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5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16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3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主页" sheetId="1" state="visible" r:id="rId3"/>
    <sheet name="使用说明" sheetId="2" state="visible" r:id="rId4"/>
    <sheet name="对接源_01水果" sheetId="3" state="visible" r:id="rId5"/>
    <sheet name="对接源_02物料" sheetId="4" state="visible" r:id="rId6"/>
    <sheet name="对接源_01入库吨位" sheetId="5" state="visible" r:id="rId7"/>
    <sheet name="对接源_01库存" sheetId="6" state="visible" r:id="rId8"/>
    <sheet name="进销存对接" sheetId="7" state="visible" r:id="rId9"/>
    <sheet name="原料入库计价" sheetId="8" state="visible" r:id="rId10"/>
    <sheet name="收入成本映射" sheetId="9" state="visible" r:id="rId11"/>
    <sheet name="自动规则" sheetId="10" state="visible" r:id="rId12"/>
    <sheet name="科目表" sheetId="11" state="visible" r:id="rId13"/>
    <sheet name="期初余额" sheetId="12" state="visible" r:id="rId14"/>
    <sheet name="资金日记账" sheetId="13" state="visible" r:id="rId15"/>
    <sheet name="成本费用登记表" sheetId="14" state="visible" r:id="rId16"/>
    <sheet name="对账补充行" sheetId="15" state="visible" r:id="rId17"/>
    <sheet name="记账凭证" sheetId="16" state="visible" r:id="rId18"/>
    <sheet name="资金与往来余额表" sheetId="17" state="visible" r:id="rId19"/>
    <sheet name="应收应付汇总表" sheetId="18" state="visible" r:id="rId20"/>
    <sheet name="库存价值与欠款比对" sheetId="19" state="visible" r:id="rId21"/>
    <sheet name="收入月度汇总" sheetId="20" state="visible" r:id="rId22"/>
    <sheet name="费用月度汇总" sheetId="21" state="visible" r:id="rId23"/>
    <sheet name="应付账款明细" sheetId="22" state="visible" r:id="rId24"/>
    <sheet name="往来对账单" sheetId="23" state="visible" r:id="rId25"/>
    <sheet name="常用分录参考" sheetId="24" state="visible" r:id="rId26"/>
    <sheet name="科目余额表" sheetId="25" state="visible" r:id="rId27"/>
    <sheet name="资产负债表" sheetId="26" state="visible" r:id="rId28"/>
    <sheet name="利润表" sheetId="27" state="visible" r:id="rId29"/>
    <sheet name="_自动清单" sheetId="28" state="hidden" r:id="rId30"/>
  </sheets>
  <externalReferences>
    <externalReference r:id="rId31"/>
    <externalReference r:id="rId32"/>
  </externalReferences>
  <definedNames>
    <definedName function="false" hidden="false" localSheetId="1" name="_xlnm.Print_Titles" vbProcedure="false">使用说明!$1:$3</definedName>
    <definedName function="false" hidden="false" localSheetId="26" name="_xlnm.Print_Titles" vbProcedure="false">利润表!$1:$3</definedName>
    <definedName function="false" hidden="false" localSheetId="5" name="_xlnm.Print_Titles" vbProcedure="false">对接源_01库存!$3:$3</definedName>
    <definedName function="false" hidden="false" localSheetId="2" name="_xlnm.Print_Area" vbProcedure="false">对接源_01水果!$A$1:$T$22</definedName>
    <definedName function="false" hidden="false" localSheetId="3" name="_xlnm.Print_Area" vbProcedure="false">对接源_02物料!$A$1:$T$22</definedName>
    <definedName function="false" hidden="false" localSheetId="23" name="_xlnm.Print_Titles" vbProcedure="false">常用分录参考!$1:$3</definedName>
    <definedName function="false" hidden="false" localSheetId="17" name="_xlnm.Print_Area" vbProcedure="false">应收应付汇总表!$A$1:$M$18</definedName>
    <definedName function="false" hidden="false" localSheetId="22" name="_xlnm.Print_Area" vbProcedure="false">往来对账单!$A$1:$H$59</definedName>
    <definedName function="false" hidden="false" localSheetId="22" name="_xlnm.Print_Titles" vbProcedure="false">往来对账单!$1:$5</definedName>
    <definedName function="false" hidden="false" localSheetId="13" name="_xlnm.Print_Titles" vbProcedure="false">成本费用登记表!$1:$3</definedName>
    <definedName function="false" hidden="true" localSheetId="13" name="_xlnm._FilterDatabase" vbProcedure="false">成本费用登记表!$A$3:$Y$304</definedName>
    <definedName function="false" hidden="false" localSheetId="8" name="_xlnm.Print_Titles" vbProcedure="false">收入成本映射!$1:$3</definedName>
    <definedName function="false" hidden="false" localSheetId="11" name="_xlnm.Print_Titles" vbProcedure="false">期初余额!$1:$3</definedName>
    <definedName function="false" hidden="false" localSheetId="24" name="_xlnm.Print_Titles" vbProcedure="false">科目余额表!$1:$3</definedName>
    <definedName function="false" hidden="true" localSheetId="24" name="_xlnm._FilterDatabase" vbProcedure="false">科目余额表!$A$3:$J$82</definedName>
    <definedName function="false" hidden="false" localSheetId="10" name="_xlnm.Print_Titles" vbProcedure="false">科目表!$1:$3</definedName>
    <definedName function="false" hidden="true" localSheetId="10" name="_xlnm._FilterDatabase" vbProcedure="false">科目表!$A$3:$G$81</definedName>
    <definedName function="false" hidden="false" localSheetId="9" name="_xlnm.Print_Area" vbProcedure="false">自动规则!$A$1:$E$32</definedName>
    <definedName function="false" hidden="false" localSheetId="15" name="_xlnm.Print_Titles" vbProcedure="false">记账凭证!$1:$3</definedName>
    <definedName function="false" hidden="true" localSheetId="15" name="_xlnm._FilterDatabase" vbProcedure="false">记账凭证!$A$3:$P$3610</definedName>
    <definedName function="false" hidden="false" localSheetId="25" name="_xlnm.Print_Titles" vbProcedure="false">资产负债表!$1:$3</definedName>
    <definedName function="false" hidden="false" localSheetId="16" name="_xlnm.Print_Titles" vbProcedure="false">资金与往来余额表!$1:$3</definedName>
    <definedName function="false" hidden="false" localSheetId="12" name="_xlnm.Print_Titles" vbProcedure="false">资金日记账!$1:$3</definedName>
    <definedName function="false" hidden="true" localSheetId="12" name="_xlnm._FilterDatabase" vbProcedure="false">资金日记账!$A$3:$V$603</definedName>
    <definedName function="false" hidden="false" localSheetId="6" name="_xlnm.Print_Titles" vbProcedure="false">进销存对接!$1:$3</definedName>
    <definedName function="false" hidden="true" localSheetId="6" name="_xlnm._FilterDatabase" vbProcedure="false">进销存对接!$A$3:$V$306</definedName>
    <definedName function="false" hidden="false" name="业务类型表" vbProcedure="false">OFFSET(科目表!$A$4,0,MATCH("业务类型",科目表!$A$3:$Q$3,0)-1,MAX(1,COUNTA(INDEX(科目表!$A$4:$Q$123,0,MATCH("业务类型",科目表!$A$3:$Q$3,0)))),1)</definedName>
    <definedName function="false" hidden="false" name="往来单位表" vbProcedure="false">OFFSET(科目表!$A$4,0,MATCH("往来单位",科目表!$A$3:$Q$3,0)-1,MAX(1,COUNTA(INDEX(科目表!$A$4:$Q$123,0,MATCH("往来单位",科目表!$A$3:$Q$3,0)))),1)</definedName>
    <definedName function="false" hidden="false" name="报表项目表" vbProcedure="false">OFFSET(科目表!$A$4,0,MATCH("报表项目",科目表!$A$3:$Q$3,0)-1,MAX(1,COUNTA(INDEX(科目表!$A$4:$Q$81,0,MATCH("报表项目",科目表!$A$3:$Q$3,0)))),1)</definedName>
    <definedName function="false" hidden="false" name="收入项目表" vbProcedure="false">OFFSET(科目表!$A$4,0,MATCH("收入项目",科目表!$A$3:$Q$3,0)-1,MAX(1,COUNTA(INDEX(科目表!$A$4:$Q$123,0,MATCH("收入项目",科目表!$A$3:$Q$3,0)))),1)</definedName>
    <definedName function="false" hidden="false" name="是否表" vbProcedure="false">OFFSET(科目表!$A$4,0,MATCH("是否",科目表!$A$3:$Q$3,0)-1,MAX(1,COUNTA(INDEX(科目表!$A$4:$Q$123,0,MATCH("是否",科目表!$A$3:$Q$3,0)))),1)</definedName>
    <definedName function="false" hidden="false" name="科目名称表" vbProcedure="false">OFFSET(科目表!$A$4,0,MATCH("科目名称",科目表!$A$3:$Q$3,0)-1,MAX(1,COUNTA(INDEX(科目表!$A$4:$Q$81,0,MATCH("科目名称",科目表!$A$3:$Q$3,0)))),1)</definedName>
    <definedName function="false" hidden="false" name="税率表" vbProcedure="false">OFFSET(科目表!$A$4,0,MATCH("税率",科目表!$A$3:$Q$3,0)-1,MAX(1,COUNTA(INDEX(科目表!$A$4:$Q$123,0,MATCH("税率",科目表!$A$3:$Q$3,0)))),1)</definedName>
    <definedName function="false" hidden="false" name="结算方式表" vbProcedure="false">OFFSET(科目表!$A$4,0,MATCH("结算方式",科目表!$A$3:$Q$3,0)-1,MAX(1,COUNTA(INDEX(科目表!$A$4:$Q$123,0,MATCH("结算方式",科目表!$A$3:$Q$3,0)))),1)</definedName>
    <definedName function="false" hidden="false" name="记账类别表" vbProcedure="false">OFFSET(科目表!$A$4,0,MATCH("记账类别",科目表!$A$3:$Q$3,0)-1,MAX(1,COUNTA(INDEX(科目表!$A$4:$Q$123,0,MATCH("记账类别",科目表!$A$3:$Q$3,0)))),1)</definedName>
    <definedName function="false" hidden="false" name="费用项目表" vbProcedure="false">OFFSET(科目表!$A$4,0,MATCH("费用项目",科目表!$A$3:$Q$3,0)-1,MAX(1,COUNTA(INDEX(科目表!$A$4:$Q$123,0,MATCH("费用项目",科目表!$A$3:$Q$3,0)))),1)</definedName>
    <definedName function="false" hidden="false" name="资金账户表" vbProcedure="false">OFFSET(科目表!$A$4,0,MATCH("资金账户",科目表!$A$3:$Q$3,0)-1,MAX(1,COUNTA(INDEX(科目表!$A$4:$Q$123,0,MATCH("资金账户",科目表!$A$3:$Q$3,0)))),1)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3" authorId="0">
      <text>
        <r>
          <rPr>
            <sz val="10"/>
            <rFont val="Arial"/>
            <family val="2"/>
          </rPr>
          <t xml:space="preserve">
</t>
        </r>
        <r>
          <rPr>
            <sz val="10"/>
            <rFont val="WenQuanYi Zen Hei"/>
            <family val="2"/>
          </rPr>
          <t xml:space="preserve">根据这列的业务类型，指定</t>
        </r>
        <r>
          <rPr>
            <sz val="10"/>
            <rFont val="Arial"/>
            <family val="2"/>
          </rPr>
          <t xml:space="preserve">L</t>
        </r>
        <r>
          <rPr>
            <sz val="10"/>
            <rFont val="WenQuanYi Zen Hei"/>
            <family val="2"/>
          </rPr>
          <t xml:space="preserve">列对应的会计科目
</t>
        </r>
      </text>
    </comment>
    <comment ref="H3" authorId="0">
      <text>
        <r>
          <rPr>
            <sz val="10"/>
            <rFont val="Arial"/>
            <family val="2"/>
          </rPr>
          <t xml:space="preserve">
</t>
        </r>
        <r>
          <rPr>
            <sz val="10"/>
            <rFont val="WenQuanYi Zen Hei"/>
            <family val="2"/>
          </rPr>
          <t xml:space="preserve">费用月度汇总提取这列项目，需要选择正确
</t>
        </r>
      </text>
    </comment>
  </commentList>
</comments>
</file>

<file path=xl/sharedStrings.xml><?xml version="1.0" encoding="utf-8"?>
<sst xmlns="http://schemas.openxmlformats.org/spreadsheetml/2006/main" count="2633" uniqueCount="1029">
  <si>
    <r>
      <rPr>
        <b val="true"/>
        <sz val="14"/>
        <color rgb="FFFFFFFF"/>
        <rFont val="Noto Sans CJK SC"/>
        <family val="0"/>
        <charset val="134"/>
      </rPr>
      <t xml:space="preserve">03</t>
    </r>
    <r>
      <rPr>
        <b val="true"/>
        <sz val="14"/>
        <color rgb="FFFFFFFF"/>
        <rFont val="WenQuanYi Zen Hei"/>
        <family val="2"/>
      </rPr>
      <t xml:space="preserve">　财 务 账 套 与 报 表</t>
    </r>
  </si>
  <si>
    <t xml:space="preserve">小企业会计准则 ｜ 全部按含税金额记账 ｜ 与 01、02 两本业务册跨文件自动联动　｜　点下面蓝色表名可直接跳转</t>
  </si>
  <si>
    <t xml:space="preserve">一、跨册对接（自动取数，勿手工填）</t>
  </si>
  <si>
    <t xml:space="preserve">序号</t>
  </si>
  <si>
    <t xml:space="preserve">子表名称</t>
  </si>
  <si>
    <t xml:space="preserve">用途说明</t>
  </si>
  <si>
    <t xml:space="preserve">属性</t>
  </si>
  <si>
    <t xml:space="preserve">对接源_01水果</t>
  </si>
  <si>
    <t xml:space="preserve">跨文件取《01》财务取数接口（24 个月收入成本 ＋ 按客户往来）</t>
  </si>
  <si>
    <t xml:space="preserve">自动</t>
  </si>
  <si>
    <t xml:space="preserve">对接源_02物料</t>
  </si>
  <si>
    <t xml:space="preserve">跨文件取《02》财务取数接口</t>
  </si>
  <si>
    <t xml:space="preserve">对接源_01入库吨位</t>
  </si>
  <si>
    <t xml:space="preserve">跨文件取《01》入库吨位汇总：周转打冷／仓储加工的筐数、总重、吨位</t>
  </si>
  <si>
    <t xml:space="preserve">进销存对接</t>
  </si>
  <si>
    <t xml:space="preserve">合并两张对接源，配科目；全部按含税金额记账</t>
  </si>
  <si>
    <t xml:space="preserve">二、日常录入</t>
  </si>
  <si>
    <t xml:space="preserve">原料入库计价</t>
  </si>
  <si>
    <t xml:space="preserve">★全展开：每个货主＋品种自动拆 周转打冷/仓储加工/装卸费 三行，只填计价方式与单价</t>
  </si>
  <si>
    <t xml:space="preserve">录入+自动</t>
  </si>
  <si>
    <t xml:space="preserve">资金日记账</t>
  </si>
  <si>
    <t xml:space="preserve">出纳每天记收付款（已去掉凭证字号/票据/经办人）；支出选费用项目就自动进成本</t>
  </si>
  <si>
    <t xml:space="preserve">录入</t>
  </si>
  <si>
    <t xml:space="preserve">成本费用登记表</t>
  </si>
  <si>
    <t xml:space="preserve">费用发生额与本单已付金额，差额＝应付账款</t>
  </si>
  <si>
    <t xml:space="preserve">对账补充行</t>
  </si>
  <si>
    <t xml:space="preserve">借款、还款、优惠、抹零等台账里没有、对账单要体现的行</t>
  </si>
  <si>
    <t xml:space="preserve">期初余额</t>
  </si>
  <si>
    <t xml:space="preserve">建账时填一次</t>
  </si>
  <si>
    <t xml:space="preserve">三、账簿 · 往来 · 成本（全部自动）</t>
  </si>
  <si>
    <t xml:space="preserve">记账凭证</t>
  </si>
  <si>
    <t xml:space="preserve">按进销存对接、资金日记账、成本费用表自动生成，手工区在 3010 行以后</t>
  </si>
  <si>
    <t xml:space="preserve">资金与往来余额表</t>
  </si>
  <si>
    <t xml:space="preserve">资金账户结存与往来单位余额</t>
  </si>
  <si>
    <t xml:space="preserve">应收应付汇总表</t>
  </si>
  <si>
    <t xml:space="preserve">每家单位的应收、应付、净往来</t>
  </si>
  <si>
    <t xml:space="preserve">收入月度汇总</t>
  </si>
  <si>
    <t xml:space="preserve">★按【资金日记账】往来单位 × 24 个月统计收入</t>
  </si>
  <si>
    <t xml:space="preserve">费用月度汇总</t>
  </si>
  <si>
    <t xml:space="preserve">成本项目 × 24 个月，含合计发生额、已付、应付余额</t>
  </si>
  <si>
    <t xml:space="preserve">应付账款明细</t>
  </si>
  <si>
    <t xml:space="preserve">按供应商/对象看发生额、已付、还欠多少</t>
  </si>
  <si>
    <t xml:space="preserve">往来对账单</t>
  </si>
  <si>
    <r>
      <rPr>
        <sz val="9"/>
        <color rgb="FF000000"/>
        <rFont val="宋体"/>
        <family val="0"/>
        <charset val="134"/>
      </rPr>
      <t xml:space="preserve">★50 </t>
    </r>
    <r>
      <rPr>
        <sz val="9"/>
        <color rgb="FF000000"/>
        <rFont val="WenQuanYi Zen Hei"/>
        <family val="2"/>
      </rPr>
      <t xml:space="preserve">行分项汇总：仓储费</t>
    </r>
    <r>
      <rPr>
        <sz val="9"/>
        <color rgb="FF000000"/>
        <rFont val="宋体"/>
        <family val="0"/>
        <charset val="134"/>
      </rPr>
      <t xml:space="preserve">/</t>
    </r>
    <r>
      <rPr>
        <sz val="9"/>
        <color rgb="FF000000"/>
        <rFont val="WenQuanYi Zen Hei"/>
        <family val="2"/>
      </rPr>
      <t xml:space="preserve">周转费</t>
    </r>
    <r>
      <rPr>
        <sz val="9"/>
        <color rgb="FF000000"/>
        <rFont val="宋体"/>
        <family val="0"/>
        <charset val="134"/>
      </rPr>
      <t xml:space="preserve">/</t>
    </r>
    <r>
      <rPr>
        <sz val="9"/>
        <color rgb="FF000000"/>
        <rFont val="WenQuanYi Zen Hei"/>
        <family val="2"/>
      </rPr>
      <t xml:space="preserve">装卸费</t>
    </r>
    <r>
      <rPr>
        <sz val="9"/>
        <color rgb="FF000000"/>
        <rFont val="宋体"/>
        <family val="0"/>
        <charset val="134"/>
      </rPr>
      <t xml:space="preserve">/</t>
    </r>
    <r>
      <rPr>
        <sz val="9"/>
        <color rgb="FF000000"/>
        <rFont val="WenQuanYi Zen Hei"/>
        <family val="2"/>
      </rPr>
      <t xml:space="preserve">成品销售</t>
    </r>
    <r>
      <rPr>
        <sz val="9"/>
        <color rgb="FF000000"/>
        <rFont val="宋体"/>
        <family val="0"/>
        <charset val="134"/>
      </rPr>
      <t xml:space="preserve">/</t>
    </r>
    <r>
      <rPr>
        <sz val="9"/>
        <color rgb="FF000000"/>
        <rFont val="WenQuanYi Zen Hei"/>
        <family val="2"/>
      </rPr>
      <t xml:space="preserve">筐子款</t>
    </r>
    <r>
      <rPr>
        <sz val="9"/>
        <color rgb="FF000000"/>
        <rFont val="宋体"/>
        <family val="0"/>
        <charset val="134"/>
      </rPr>
      <t xml:space="preserve">/</t>
    </r>
    <r>
      <rPr>
        <sz val="9"/>
        <color rgb="FF000000"/>
        <rFont val="WenQuanYi Zen Hei"/>
        <family val="2"/>
      </rPr>
      <t xml:space="preserve">物料款 ＋ 购买果品款（负数抵扣）</t>
    </r>
  </si>
  <si>
    <t xml:space="preserve">科目余额表</t>
  </si>
  <si>
    <t xml:space="preserve">★起止日期总开关：期初＋本期发生＋期末</t>
  </si>
  <si>
    <t xml:space="preserve">资产负债表</t>
  </si>
  <si>
    <t xml:space="preserve">跟科目余额表的日期走</t>
  </si>
  <si>
    <t xml:space="preserve">利润表</t>
  </si>
  <si>
    <t xml:space="preserve">本期与本年累计两套日期</t>
  </si>
  <si>
    <t xml:space="preserve">四、规则与码表</t>
  </si>
  <si>
    <t xml:space="preserve">自动规则</t>
  </si>
  <si>
    <t xml:space="preserve">业务类型 → 收付款科目</t>
  </si>
  <si>
    <t xml:space="preserve">码表</t>
  </si>
  <si>
    <t xml:space="preserve">收入成本映射</t>
  </si>
  <si>
    <t xml:space="preserve">项目 → 记账类别与借贷科目（税率一律 0%，全部含税记账）</t>
  </si>
  <si>
    <t xml:space="preserve">科目表</t>
  </si>
  <si>
    <t xml:space="preserve">会计科目 ＋ 往来单位/业务类型/收入项目/费用项目/费用对应科目</t>
  </si>
  <si>
    <t xml:space="preserve">常用分录参考</t>
  </si>
  <si>
    <t xml:space="preserve">常见业务的借贷科目参考</t>
  </si>
  <si>
    <t xml:space="preserve">图例：浅绿＝公式自动生成，请勿覆盖　｜　浅蓝＝需要手工录入　｜　浅黄＝码表/规则，偶尔维护</t>
  </si>
  <si>
    <t xml:space="preserve">本 轮 新 增</t>
  </si>
  <si>
    <t xml:space="preserve">跨文件取《01》库存等级接口</t>
  </si>
  <si>
    <t xml:space="preserve">★下半部分按等级填单价算库存价值，上半部分按客户比对「库存价值 ↔ 应收款 ↔ 差额」</t>
  </si>
  <si>
    <t xml:space="preserve">财 务 账 套 与 报 表  使 用 说 明</t>
  </si>
  <si>
    <t xml:space="preserve">口径：小企业会计准则 ｜ 一般纳税人（价税分离）｜ 与两本业务册跨文件自动联动</t>
  </si>
  <si>
    <t xml:space="preserve">一、三个文件必须放在同一个文件夹</t>
  </si>
  <si>
    <t xml:space="preserve">　01_水果进销存台账模板.xlsx</t>
  </si>
  <si>
    <t xml:space="preserve">　02_物料与周转物台账模板.xlsx</t>
  </si>
  <si>
    <t xml:space="preserve">　03_财务账套与报表模板.xlsx</t>
  </si>
  <si>
    <t xml:space="preserve">　文件名一个字都不要改，也不要分开存放，否则链接会断，单元格会变成错误值。</t>
  </si>
  <si>
    <t xml:space="preserve">　万一断了：Excel 顶部菜单【数据】→【编辑链接】→【更改源】，重新指向那两个文件即可，只需修一次。</t>
  </si>
  <si>
    <t xml:space="preserve">二、每次打开要点“更新”</t>
  </si>
  <si>
    <t xml:space="preserve">　打开本文件时 Excel/WPS 会问“是否更新链接”，点【更新】，两本业务册的数就进来了。</t>
  </si>
  <si>
    <t xml:space="preserve">　如果没弹窗：【数据】→【编辑链接】→【立即更新值】。三个文件都打开时会实时联动。</t>
  </si>
  <si>
    <t xml:space="preserve">三、数据怎么自动进来的</t>
  </si>
  <si>
    <t xml:space="preserve">　业务册明细（仓管每天录）→ 业务册【财务取数接口】按月自动汇总</t>
  </si>
  <si>
    <t xml:space="preserve">　→ 本册【对接源_01水果】/【对接源_02物料】各自跨文件取一本册子，来源册不用手工区分</t>
  </si>
  <si>
    <t xml:space="preserve">　→ 本册【进销存对接】自动把两张对接源按顺序合并，配好税率和科目、拆出不含税与税额</t>
  </si>
  <si>
    <t xml:space="preserve">　→ 本册【记账凭证】自动生成分录 →【科目余额表】→【资产负债表】/【利润表】，全程不用手工抄数字。</t>
  </si>
  <si>
    <t xml:space="preserve">四、只有这四处需要人填</t>
  </si>
  <si>
    <t xml:space="preserve">　① 业务册【计费规则】的仓储费/加工费/装卸费单价（填一次）</t>
  </si>
  <si>
    <t xml:space="preserve">　② 本册【收入成本映射】的税率、【自动规则】的业务类型对应科目（已给默认值，和会计确认后改）</t>
  </si>
  <si>
    <t xml:space="preserve">　③ 本册【期初余额】，以及【应收应付汇总表】的"期初应收""期初应付"两列（建账时填一次）</t>
  </si>
  <si>
    <t xml:space="preserve">　④ 本册【资金日记账】（出纳每天记收付款）和【成本费用登记表】（工资/水电/折旧/租金等没有台账来源的支出）</t>
  </si>
  <si>
    <t xml:space="preserve">五、记账凭证分四个区</t>
  </si>
  <si>
    <t xml:space="preserve">　自动区A（第4～909行）：由【进销存对接】自动生成，绿底，勿改</t>
  </si>
  <si>
    <t xml:space="preserve">　自动区B（第910～2109行）：由【资金日记账】自动生成</t>
  </si>
  <si>
    <t xml:space="preserve">　自动区C（第2110～3009行）：由【成本费用登记表】自动生成</t>
  </si>
  <si>
    <t xml:space="preserve">　手工区 （第3010～3609行）：调整分录、结转损益等自己录</t>
  </si>
  <si>
    <t xml:space="preserve">　表尾有借贷平衡校验，必须为 0。</t>
  </si>
  <si>
    <t xml:space="preserve">六、防止重复记账的口径</t>
  </si>
  <si>
    <t xml:space="preserve">　· 业务发生（权责发生制）一律挂【应收账款】/【应付账款】，由自动区A、C 生成。</t>
  </si>
  <si>
    <t xml:space="preserve">　· 实际收付钱走【资金日记账】，对应科目选“应收账款/应付账款”，由自动区B 生成。</t>
  </si>
  <si>
    <t xml:space="preserve">　· 两条线各记各的，不会重复；应收账款余额 = 已确认收入 − 已收到的钱。</t>
  </si>
  <si>
    <t xml:space="preserve">七、本次升级新增和改动的地方</t>
  </si>
  <si>
    <t xml:space="preserve">① 【对接源_01水果】【对接源_02物料】：一个子表对应一本业务册，各自跨文件取数；</t>
  </si>
  <si>
    <t xml:space="preserve">　　【进销存对接】的"来源册"改成公式自动判断，后期新增品种、客户都不用再手工区分。</t>
  </si>
  <si>
    <t xml:space="preserve">② 【资金日记账】的"对应科目"不用再手工筛选了：按【自动规则】表的"业务类型 + 收/支方向"自动指定。</t>
  </si>
  <si>
    <t xml:space="preserve">　　个别单据要例外，就在日记账最右边 V 列"科目手工覆盖"选一个科目，那一行以手工的为准。</t>
  </si>
  <si>
    <t xml:space="preserve">③ 【自动规则】是新增的表：业务类型 → 收款科目 / 付款科目 的对照，想改口径直接改 C、D 两列。</t>
  </si>
  <si>
    <t xml:space="preserve">④ 【资金与往来余额表】下半部的往来单位改成自动生成，取自进销存对接、资金日记账、成本费用表和手工凭证。</t>
  </si>
  <si>
    <t xml:space="preserve">⑤ 【应收应付汇总表】是新增的表：一眼看清每家单位的应收余额、应付余额和净往来，只有两列期初要手工填。</t>
  </si>
  <si>
    <t xml:space="preserve">⑥ 【往来对账单】是新增的表：选单位＋起止日期，上面出汇总（含净往来一句话结论），下面逐笔列明细，可直接打印。</t>
  </si>
  <si>
    <t xml:space="preserve">⑦ 【主页】是新增的索引表，点蓝色表名直接跳转。</t>
  </si>
  <si>
    <t xml:space="preserve">⑧ 修复了原文件里两处指向【使用说明】的错误引用（进销存对接 C9 与 C161），现已全部指向【财务取数接口】。</t>
  </si>
  <si>
    <t xml:space="preserve">八、链接断了怎么办（兜底机制）</t>
  </si>
  <si>
    <t xml:space="preserve">① 三处地方会同时报警，不会不声不响地少算：</t>
  </si>
  <si>
    <t xml:space="preserve">　　·【主页】顶部"联动状态"栏；·【对接源】两张子表右侧的绿色提示框；</t>
  </si>
  <si>
    <t xml:space="preserve">　　·【进销存对接】【记账凭证】【科目余额表】【资产负债表】【利润表】【往来对账单】的副标题会变红。</t>
  </si>
  <si>
    <t xml:space="preserve">② 链接断了不会满屏 #REF!：所有跨文件公式都套了容错，取不到数就显示空白，不会污染报表。</t>
  </si>
  <si>
    <t xml:space="preserve">③ 应急备份：链接正常时，在【对接源】表里选中 B5:H168（02 那张是 B5:H156）→ 复制 →</t>
  </si>
  <si>
    <t xml:space="preserve">　　在 I5 上点右键"选择性粘贴 → 数值"。以后万一链接断了或文件挪了地方，本表会自动改用这份备份，</t>
  </si>
  <si>
    <t xml:space="preserve">　　报表照样能出，只是不是最新数，且各处会提示"正在用应急备份"。建议每月底结完账做一次。</t>
  </si>
  <si>
    <t xml:space="preserve">④ 彻底修复：菜单【数据】→【编辑链接】→【更改源】，重新指向那两个 xlsx 文件；或【立即更新值】。</t>
  </si>
  <si>
    <t xml:space="preserve">九、这一版的两处变化</t>
  </si>
  <si>
    <t xml:space="preserve">① 逐笔业务对账搬到《04 综合查询对账单》了：那本册子把 01、02 两册所有业务合并在一起，选个客户加起止日期就能出对账单，业务和老板用那本；本册【往来对账单】保留给会计核对科目用。</t>
  </si>
  <si>
    <t xml:space="preserve">② 新增"押金"业务类型：《02》里收退的周转筐、次果筐押金，在【资金日记账】登记实际收付时，业务类型选"押金"，对应科目会自动带出"其他应付款"。</t>
  </si>
  <si>
    <t xml:space="preserve">　　押金是欠客户的钱，不算收入；只有客户明确不退筐、押金转成赔偿时，才手工做一笔转其他业务收入。</t>
  </si>
  <si>
    <t xml:space="preserve">★ 本 次 更 新（2026-09）</t>
  </si>
  <si>
    <r>
      <rPr>
        <sz val="10"/>
        <color rgb="FF1F3864"/>
        <rFont val="宋体"/>
        <family val="0"/>
        <charset val="134"/>
      </rPr>
      <t xml:space="preserve">1</t>
    </r>
    <r>
      <rPr>
        <sz val="10"/>
        <color rgb="FF1F3864"/>
        <rFont val="WenQuanYi Zen Hei"/>
        <family val="2"/>
      </rPr>
      <t xml:space="preserve">、新增【原料入库计价】：原料入库的单价放在本册。上半部「原料入库单价表」按 货主＋品种 填计价方式与单价（货主填「通用」表示该品种通用价）；下半部自动按《</t>
    </r>
    <r>
      <rPr>
        <sz val="10"/>
        <color rgb="FF1F3864"/>
        <rFont val="宋体"/>
        <family val="0"/>
        <charset val="134"/>
      </rPr>
      <t xml:space="preserve">01</t>
    </r>
    <r>
      <rPr>
        <sz val="10"/>
        <color rgb="FF1F3864"/>
        <rFont val="WenQuanYi Zen Hei"/>
        <family val="2"/>
      </rPr>
      <t xml:space="preserve">》的入库筐数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总重算出入库金额。计价方式三选一：按筐数</t>
    </r>
    <r>
      <rPr>
        <sz val="10"/>
        <color rgb="FF1F3864"/>
        <rFont val="宋体"/>
        <family val="0"/>
        <charset val="134"/>
      </rPr>
      <t xml:space="preserve">×</t>
    </r>
    <r>
      <rPr>
        <sz val="10"/>
        <color rgb="FF1F3864"/>
        <rFont val="WenQuanYi Zen Hei"/>
        <family val="2"/>
      </rPr>
      <t xml:space="preserve">单价、按总重</t>
    </r>
    <r>
      <rPr>
        <sz val="10"/>
        <color rgb="FF1F3864"/>
        <rFont val="宋体"/>
        <family val="0"/>
        <charset val="134"/>
      </rPr>
      <t xml:space="preserve">KG×</t>
    </r>
    <r>
      <rPr>
        <sz val="10"/>
        <color rgb="FF1F3864"/>
        <rFont val="WenQuanYi Zen Hei"/>
        <family val="2"/>
      </rPr>
      <t xml:space="preserve">单价、按吨位</t>
    </r>
    <r>
      <rPr>
        <sz val="10"/>
        <color rgb="FF1F3864"/>
        <rFont val="宋体"/>
        <family val="0"/>
        <charset val="134"/>
      </rPr>
      <t xml:space="preserve">×</t>
    </r>
    <r>
      <rPr>
        <sz val="10"/>
        <color rgb="FF1F3864"/>
        <rFont val="WenQuanYi Zen Hei"/>
        <family val="2"/>
      </rPr>
      <t xml:space="preserve">单价。</t>
    </r>
  </si>
  <si>
    <r>
      <rPr>
        <sz val="10"/>
        <color rgb="FF1F3864"/>
        <rFont val="宋体"/>
        <family val="0"/>
        <charset val="134"/>
      </rPr>
      <t xml:space="preserve">2</t>
    </r>
    <r>
      <rPr>
        <sz val="10"/>
        <color rgb="FF1F3864"/>
        <rFont val="WenQuanYi Zen Hei"/>
        <family val="2"/>
      </rPr>
      <t xml:space="preserve">、新增【对接源</t>
    </r>
    <r>
      <rPr>
        <sz val="10"/>
        <color rgb="FF1F3864"/>
        <rFont val="宋体"/>
        <family val="0"/>
        <charset val="134"/>
      </rPr>
      <t xml:space="preserve">_01</t>
    </r>
    <r>
      <rPr>
        <sz val="10"/>
        <color rgb="FF1F3864"/>
        <rFont val="WenQuanYi Zen Hei"/>
        <family val="2"/>
      </rPr>
      <t xml:space="preserve">入库吨位】：跨文件取《</t>
    </r>
    <r>
      <rPr>
        <sz val="10"/>
        <color rgb="FF1F3864"/>
        <rFont val="宋体"/>
        <family val="0"/>
        <charset val="134"/>
      </rPr>
      <t xml:space="preserve">01</t>
    </r>
    <r>
      <rPr>
        <sz val="10"/>
        <color rgb="FF1F3864"/>
        <rFont val="WenQuanYi Zen Hei"/>
        <family val="2"/>
      </rPr>
      <t xml:space="preserve">》的入库吨位汇总（货主＋品种的筐数、总重、吨位），供上表计价用，断链时同样有应急备份区。</t>
    </r>
  </si>
  <si>
    <r>
      <rPr>
        <sz val="10"/>
        <color rgb="FF1F3864"/>
        <rFont val="宋体"/>
        <family val="0"/>
        <charset val="134"/>
      </rPr>
      <t xml:space="preserve">3</t>
    </r>
    <r>
      <rPr>
        <sz val="10"/>
        <color rgb="FF1F3864"/>
        <rFont val="WenQuanYi Zen Hei"/>
        <family val="2"/>
      </rPr>
      <t xml:space="preserve">、新增【对账补充行】：借款、还款、优惠、抹零、未退筐等台账里没有、但对账单要体现的行填在这里；金额自动＝数量</t>
    </r>
    <r>
      <rPr>
        <sz val="10"/>
        <color rgb="FF1F3864"/>
        <rFont val="宋体"/>
        <family val="0"/>
        <charset val="134"/>
      </rPr>
      <t xml:space="preserve">×</t>
    </r>
    <r>
      <rPr>
        <sz val="10"/>
        <color rgb="FF1F3864"/>
        <rFont val="WenQuanYi Zen Hei"/>
        <family val="2"/>
      </rPr>
      <t xml:space="preserve">单价，也可用「金额手工覆盖」列直接写死（优惠、抹零填负数）。</t>
    </r>
  </si>
  <si>
    <r>
      <rPr>
        <sz val="10"/>
        <color rgb="FF1F3864"/>
        <rFont val="宋体"/>
        <family val="0"/>
        <charset val="134"/>
      </rPr>
      <t xml:space="preserve">4</t>
    </r>
    <r>
      <rPr>
        <sz val="10"/>
        <color rgb="FF1F3864"/>
        <rFont val="WenQuanYi Zen Hei"/>
        <family val="2"/>
      </rPr>
      <t xml:space="preserve">、【往来对账单】改成对账单版式：抬头＋客户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品类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电话，列为 日期｜摘要｜单位｜入库毛重｜单价｜金额（元）｜已付款｜备注；底部三行显示 对账日期／对账时段／是否含税 与 合计金额／已付款／应收款，最后一行黄底显示中文大写欠款金额，可直接打印。</t>
    </r>
  </si>
  <si>
    <r>
      <rPr>
        <sz val="10"/>
        <color rgb="FF1F3864"/>
        <rFont val="宋体"/>
        <family val="0"/>
        <charset val="134"/>
      </rPr>
      <t xml:space="preserve">5</t>
    </r>
    <r>
      <rPr>
        <sz val="10"/>
        <color rgb="FF1F3864"/>
        <rFont val="WenQuanYi Zen Hei"/>
        <family val="2"/>
      </rPr>
      <t xml:space="preserve">、对账单取数＝【原料入库计价】＋【资金日记账】＋【成本费用登记表】＋【对账补充行】四张表，按客户与起止日期自动筛选；「品类」栏自动汇总该客户的全部品种。</t>
    </r>
  </si>
  <si>
    <t xml:space="preserve">★ 本 次 更 新（2026-09 · 第三版）</t>
  </si>
  <si>
    <r>
      <rPr>
        <sz val="10"/>
        <color rgb="FF1F3864"/>
        <rFont val="宋体"/>
        <family val="0"/>
        <charset val="134"/>
      </rPr>
      <t xml:space="preserve">1</t>
    </r>
    <r>
      <rPr>
        <sz val="10"/>
        <color rgb="FF1F3864"/>
        <rFont val="WenQuanYi Zen Hei"/>
        <family val="2"/>
      </rPr>
      <t xml:space="preserve">、【原料入库计价】重做：上表只填 货主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客户、品种、项目类别（周转打冷／仓储加工／装卸费／其他服务费）、计价方式，再填单价，数量与合计金额自动算；货主填「通用」＝该品种所有客户同价。下表按「货主＋品种＋项目类别」自动展开全部入库并套用单价，最下面还有按货主的汇总。</t>
    </r>
  </si>
  <si>
    <r>
      <rPr>
        <sz val="10"/>
        <color rgb="FF1F3864"/>
        <rFont val="宋体"/>
        <family val="0"/>
        <charset val="134"/>
      </rPr>
      <t xml:space="preserve">2</t>
    </r>
    <r>
      <rPr>
        <sz val="10"/>
        <color rgb="FF1F3864"/>
        <rFont val="WenQuanYi Zen Hei"/>
        <family val="2"/>
      </rPr>
      <t xml:space="preserve">、【对接源</t>
    </r>
    <r>
      <rPr>
        <sz val="10"/>
        <color rgb="FF1F3864"/>
        <rFont val="宋体"/>
        <family val="0"/>
        <charset val="134"/>
      </rPr>
      <t xml:space="preserve">_01</t>
    </r>
    <r>
      <rPr>
        <sz val="10"/>
        <color rgb="FF1F3864"/>
        <rFont val="WenQuanYi Zen Hei"/>
        <family val="2"/>
      </rPr>
      <t xml:space="preserve">入库吨位】跟着 </t>
    </r>
    <r>
      <rPr>
        <sz val="10"/>
        <color rgb="FF1F3864"/>
        <rFont val="宋体"/>
        <family val="0"/>
        <charset val="134"/>
      </rPr>
      <t xml:space="preserve">01 </t>
    </r>
    <r>
      <rPr>
        <sz val="10"/>
        <color rgb="FF1F3864"/>
        <rFont val="WenQuanYi Zen Hei"/>
        <family val="2"/>
      </rPr>
      <t xml:space="preserve">改版：新增「周转打冷入库总筐数」「仓储加工入库总筐数」以及两类各自的总重</t>
    </r>
    <r>
      <rPr>
        <sz val="10"/>
        <color rgb="FF1F3864"/>
        <rFont val="宋体"/>
        <family val="0"/>
        <charset val="134"/>
      </rPr>
      <t xml:space="preserve">KG</t>
    </r>
    <r>
      <rPr>
        <sz val="10"/>
        <color rgb="FF1F3864"/>
        <rFont val="WenQuanYi Zen Hei"/>
        <family val="2"/>
      </rPr>
      <t xml:space="preserve">。</t>
    </r>
  </si>
  <si>
    <r>
      <rPr>
        <sz val="10"/>
        <color rgb="FF1F3864"/>
        <rFont val="宋体"/>
        <family val="0"/>
        <charset val="134"/>
      </rPr>
      <t xml:space="preserve">3</t>
    </r>
    <r>
      <rPr>
        <sz val="10"/>
        <color rgb="FF1F3864"/>
        <rFont val="WenQuanYi Zen Hei"/>
        <family val="2"/>
      </rPr>
      <t xml:space="preserve">、★应付账款怎么做：一切费用（工资、装卸费、电费、水费、差旅、维修、招待…）都在【成本费用登记表】登记，「价税合计」填本次发生额（＝成本），「本单已付金额」填已经付掉的钱，差额就是应付账款。例：本月电费 </t>
    </r>
    <r>
      <rPr>
        <sz val="10"/>
        <color rgb="FF1F3864"/>
        <rFont val="宋体"/>
        <family val="0"/>
        <charset val="134"/>
      </rPr>
      <t xml:space="preserve">10000 </t>
    </r>
    <r>
      <rPr>
        <sz val="10"/>
        <color rgb="FF1F3864"/>
        <rFont val="WenQuanYi Zen Hei"/>
        <family val="2"/>
      </rPr>
      <t xml:space="preserve">元只付了 </t>
    </r>
    <r>
      <rPr>
        <sz val="10"/>
        <color rgb="FF1F3864"/>
        <rFont val="宋体"/>
        <family val="0"/>
        <charset val="134"/>
      </rPr>
      <t xml:space="preserve">5000</t>
    </r>
    <r>
      <rPr>
        <sz val="10"/>
        <color rgb="FF1F3864"/>
        <rFont val="WenQuanYi Zen Hei"/>
        <family val="2"/>
      </rPr>
      <t xml:space="preserve">，就填 </t>
    </r>
    <r>
      <rPr>
        <sz val="10"/>
        <color rgb="FF1F3864"/>
        <rFont val="宋体"/>
        <family val="0"/>
        <charset val="134"/>
      </rPr>
      <t xml:space="preserve">10000 </t>
    </r>
    <r>
      <rPr>
        <sz val="10"/>
        <color rgb="FF1F3864"/>
        <rFont val="WenQuanYi Zen Hei"/>
        <family val="2"/>
      </rPr>
      <t xml:space="preserve">和 </t>
    </r>
    <r>
      <rPr>
        <sz val="10"/>
        <color rgb="FF1F3864"/>
        <rFont val="宋体"/>
        <family val="0"/>
        <charset val="134"/>
      </rPr>
      <t xml:space="preserve">5000</t>
    </r>
    <r>
      <rPr>
        <sz val="10"/>
        <color rgb="FF1F3864"/>
        <rFont val="WenQuanYi Zen Hei"/>
        <family val="2"/>
      </rPr>
      <t xml:space="preserve">，应付余额自动显示 </t>
    </r>
    <r>
      <rPr>
        <sz val="10"/>
        <color rgb="FF1F3864"/>
        <rFont val="宋体"/>
        <family val="0"/>
        <charset val="134"/>
      </rPr>
      <t xml:space="preserve">5000</t>
    </r>
    <r>
      <rPr>
        <sz val="10"/>
        <color rgb="FF1F3864"/>
        <rFont val="WenQuanYi Zen Hei"/>
        <family val="2"/>
      </rPr>
      <t xml:space="preserve">。付款那笔现金流同时记到【资金日记账】。</t>
    </r>
  </si>
  <si>
    <r>
      <rPr>
        <sz val="10"/>
        <color rgb="FF1F3864"/>
        <rFont val="宋体"/>
        <family val="0"/>
        <charset val="134"/>
      </rPr>
      <t xml:space="preserve">4</t>
    </r>
    <r>
      <rPr>
        <sz val="10"/>
        <color rgb="FF1F3864"/>
        <rFont val="WenQuanYi Zen Hei"/>
        <family val="2"/>
      </rPr>
      <t xml:space="preserve">、★当场付清、不挂账的小额支出：可以只记【资金日记账】，在 </t>
    </r>
    <r>
      <rPr>
        <sz val="10"/>
        <color rgb="FF1F3864"/>
        <rFont val="宋体"/>
        <family val="0"/>
        <charset val="134"/>
      </rPr>
      <t xml:space="preserve">W </t>
    </r>
    <r>
      <rPr>
        <sz val="10"/>
        <color rgb="FF1F3864"/>
        <rFont val="WenQuanYi Zen Hei"/>
        <family val="2"/>
      </rPr>
      <t xml:space="preserve">列选「费用类别」、</t>
    </r>
    <r>
      <rPr>
        <sz val="10"/>
        <color rgb="FF1F3864"/>
        <rFont val="宋体"/>
        <family val="0"/>
        <charset val="134"/>
      </rPr>
      <t xml:space="preserve">X </t>
    </r>
    <r>
      <rPr>
        <sz val="10"/>
        <color rgb="FF1F3864"/>
        <rFont val="WenQuanYi Zen Hei"/>
        <family val="2"/>
      </rPr>
      <t xml:space="preserve">列填「否」，也会自动算进成本；如果这笔已经在成本费用表登记过，</t>
    </r>
    <r>
      <rPr>
        <sz val="10"/>
        <color rgb="FF1F3864"/>
        <rFont val="宋体"/>
        <family val="0"/>
        <charset val="134"/>
      </rPr>
      <t xml:space="preserve">X </t>
    </r>
    <r>
      <rPr>
        <sz val="10"/>
        <color rgb="FF1F3864"/>
        <rFont val="WenQuanYi Zen Hei"/>
        <family val="2"/>
      </rPr>
      <t xml:space="preserve">列填「是」，避免重复计算。</t>
    </r>
  </si>
  <si>
    <r>
      <rPr>
        <sz val="10"/>
        <color rgb="FF1F3864"/>
        <rFont val="宋体"/>
        <family val="0"/>
        <charset val="134"/>
      </rPr>
      <t xml:space="preserve">5</t>
    </r>
    <r>
      <rPr>
        <sz val="10"/>
        <color rgb="FF1F3864"/>
        <rFont val="WenQuanYi Zen Hei"/>
        <family val="2"/>
      </rPr>
      <t xml:space="preserve">、新增【费用月度汇总】：成本项目 </t>
    </r>
    <r>
      <rPr>
        <sz val="10"/>
        <color rgb="FF1F3864"/>
        <rFont val="宋体"/>
        <family val="0"/>
        <charset val="134"/>
      </rPr>
      <t xml:space="preserve">× 24 </t>
    </r>
    <r>
      <rPr>
        <sz val="10"/>
        <color rgb="FF1F3864"/>
        <rFont val="WenQuanYi Zen Hei"/>
        <family val="2"/>
      </rPr>
      <t xml:space="preserve">个月的交叉表（只填 </t>
    </r>
    <r>
      <rPr>
        <sz val="10"/>
        <color rgb="FF1F3864"/>
        <rFont val="宋体"/>
        <family val="0"/>
        <charset val="134"/>
      </rPr>
      <t xml:space="preserve">F2 </t>
    </r>
    <r>
      <rPr>
        <sz val="10"/>
        <color rgb="FF1F3864"/>
        <rFont val="WenQuanYi Zen Hei"/>
        <family val="2"/>
      </rPr>
      <t xml:space="preserve">起始年月），每月各项费用一目了然，右边还有合计发生额、其中已付、应付余额。</t>
    </r>
  </si>
  <si>
    <r>
      <rPr>
        <sz val="10"/>
        <color rgb="FF1F3864"/>
        <rFont val="宋体"/>
        <family val="0"/>
        <charset val="134"/>
      </rPr>
      <t xml:space="preserve">6</t>
    </r>
    <r>
      <rPr>
        <sz val="10"/>
        <color rgb="FF1F3864"/>
        <rFont val="WenQuanYi Zen Hei"/>
        <family val="2"/>
      </rPr>
      <t xml:space="preserve">、新增【应付账款明细】：按供应商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对象看发生额、已付、还欠多少 —— 应付员工装卸费、应付供电局电费都在这里。</t>
    </r>
  </si>
  <si>
    <r>
      <rPr>
        <sz val="10"/>
        <color rgb="FF1F3864"/>
        <rFont val="宋体"/>
        <family val="0"/>
        <charset val="134"/>
      </rPr>
      <t xml:space="preserve">7</t>
    </r>
    <r>
      <rPr>
        <sz val="10"/>
        <color rgb="FF1F3864"/>
        <rFont val="WenQuanYi Zen Hei"/>
        <family val="2"/>
      </rPr>
      <t xml:space="preserve">、【往来对账单】的数据来源＝原料入库计价 ＋ 资金日记账 ＋ 成本费用登记表 ＋ 对账补充行，按客户与起止日期自动筛选。</t>
    </r>
  </si>
  <si>
    <t xml:space="preserve">★ 修 正 记 录（2026-09 · 第四版）</t>
  </si>
  <si>
    <r>
      <rPr>
        <sz val="10"/>
        <color rgb="FF1F3864"/>
        <rFont val="宋体"/>
        <family val="0"/>
        <charset val="134"/>
      </rPr>
      <t xml:space="preserve">1</t>
    </r>
    <r>
      <rPr>
        <sz val="10"/>
        <color rgb="FF1F3864"/>
        <rFont val="WenQuanYi Zen Hei"/>
        <family val="2"/>
      </rPr>
      <t xml:space="preserve">、【对接源</t>
    </r>
    <r>
      <rPr>
        <sz val="10"/>
        <color rgb="FF1F3864"/>
        <rFont val="宋体"/>
        <family val="0"/>
        <charset val="134"/>
      </rPr>
      <t xml:space="preserve">_02</t>
    </r>
    <r>
      <rPr>
        <sz val="10"/>
        <color rgb="FF1F3864"/>
        <rFont val="WenQuanYi Zen Hei"/>
        <family val="2"/>
      </rPr>
      <t xml:space="preserve">物料】扩到 </t>
    </r>
    <r>
      <rPr>
        <sz val="10"/>
        <color rgb="FF1F3864"/>
        <rFont val="宋体"/>
        <family val="0"/>
        <charset val="134"/>
      </rPr>
      <t xml:space="preserve">306 </t>
    </r>
    <r>
      <rPr>
        <sz val="10"/>
        <color rgb="FF1F3864"/>
        <rFont val="WenQuanYi Zen Hei"/>
        <family val="2"/>
      </rPr>
      <t xml:space="preserve">行，和 </t>
    </r>
    <r>
      <rPr>
        <sz val="10"/>
        <color rgb="FF1F3864"/>
        <rFont val="宋体"/>
        <family val="0"/>
        <charset val="134"/>
      </rPr>
      <t xml:space="preserve">02 </t>
    </r>
    <r>
      <rPr>
        <sz val="10"/>
        <color rgb="FF1F3864"/>
        <rFont val="WenQuanYi Zen Hei"/>
        <family val="2"/>
      </rPr>
      <t xml:space="preserve">册重建后的【财务取数接口】</t>
    </r>
    <r>
      <rPr>
        <sz val="10"/>
        <color rgb="FF1F3864"/>
        <rFont val="宋体"/>
        <family val="0"/>
        <charset val="134"/>
      </rPr>
      <t xml:space="preserve">1:1 </t>
    </r>
    <r>
      <rPr>
        <sz val="10"/>
        <color rgb="FF1F3864"/>
        <rFont val="WenQuanYi Zen Hei"/>
        <family val="2"/>
      </rPr>
      <t xml:space="preserve">对上；【进销存对接】的取数范围同步扩大，年月不再错乱（现在跟着 </t>
    </r>
    <r>
      <rPr>
        <sz val="10"/>
        <color rgb="FF1F3864"/>
        <rFont val="宋体"/>
        <family val="0"/>
        <charset val="134"/>
      </rPr>
      <t xml:space="preserve">01 </t>
    </r>
    <r>
      <rPr>
        <sz val="10"/>
        <color rgb="FF1F3864"/>
        <rFont val="WenQuanYi Zen Hei"/>
        <family val="2"/>
      </rPr>
      <t xml:space="preserve">的起始年月走）。</t>
    </r>
  </si>
  <si>
    <r>
      <rPr>
        <sz val="10"/>
        <color rgb="FF1F3864"/>
        <rFont val="宋体"/>
        <family val="0"/>
        <charset val="134"/>
      </rPr>
      <t xml:space="preserve">2</t>
    </r>
    <r>
      <rPr>
        <sz val="10"/>
        <color rgb="FF1F3864"/>
        <rFont val="WenQuanYi Zen Hei"/>
        <family val="2"/>
      </rPr>
      <t xml:space="preserve">、★全部改成按【含税金额】记账：不再拆不含税金额和税额。【收入成本映射】的税率一律 </t>
    </r>
    <r>
      <rPr>
        <sz val="10"/>
        <color rgb="FF1F3864"/>
        <rFont val="宋体"/>
        <family val="0"/>
        <charset val="134"/>
      </rPr>
      <t xml:space="preserve">0% </t>
    </r>
    <r>
      <rPr>
        <sz val="10"/>
        <color rgb="FF1F3864"/>
        <rFont val="WenQuanYi Zen Hei"/>
        <family val="2"/>
      </rPr>
      <t xml:space="preserve">且不参与计算；【进销存对接】和【成本费用登记表】的分录都变成「分录①＝借方科目 借 含税金额、分录②＝贷方科目 贷 含税金额」，分录③（增值税那行）取消。科目表里的应交增值税科目保留，只是不会再有自动发生额。</t>
    </r>
  </si>
  <si>
    <r>
      <rPr>
        <sz val="10"/>
        <color rgb="FF1F3864"/>
        <rFont val="宋体"/>
        <family val="0"/>
        <charset val="134"/>
      </rPr>
      <t xml:space="preserve">3</t>
    </r>
    <r>
      <rPr>
        <sz val="10"/>
        <color rgb="FF1F3864"/>
        <rFont val="WenQuanYi Zen Hei"/>
        <family val="2"/>
      </rPr>
      <t xml:space="preserve">、【收入成本映射】按两本业务册的实际项目重建：仓储费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周转费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装卸费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水果销售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运费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其他服务费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筐子销售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物料销售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筐子租赁费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托盘租赁费 ＋ 三个采购入库 ＋ 结转与不记账项。项目名必须和业务册一字不差。</t>
    </r>
  </si>
  <si>
    <r>
      <rPr>
        <sz val="10"/>
        <color rgb="FF1F3864"/>
        <rFont val="宋体"/>
        <family val="0"/>
        <charset val="134"/>
      </rPr>
      <t xml:space="preserve">4</t>
    </r>
    <r>
      <rPr>
        <sz val="10"/>
        <color rgb="FF1F3864"/>
        <rFont val="WenQuanYi Zen Hei"/>
        <family val="2"/>
      </rPr>
      <t xml:space="preserve">、修正【原料入库计价】上表「货主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客户」「品种」两个下拉：原来指错了辅助列所以选不出内容，现在自动列出《</t>
    </r>
    <r>
      <rPr>
        <sz val="10"/>
        <color rgb="FF1F3864"/>
        <rFont val="宋体"/>
        <family val="0"/>
        <charset val="134"/>
      </rPr>
      <t xml:space="preserve">01</t>
    </r>
    <r>
      <rPr>
        <sz val="10"/>
        <color rgb="FF1F3864"/>
        <rFont val="WenQuanYi Zen Hei"/>
        <family val="2"/>
      </rPr>
      <t xml:space="preserve">》实际有入库的货主与品种。</t>
    </r>
  </si>
  <si>
    <r>
      <rPr>
        <sz val="10"/>
        <color rgb="FF1F3864"/>
        <rFont val="宋体"/>
        <family val="0"/>
        <charset val="134"/>
      </rPr>
      <t xml:space="preserve">5</t>
    </r>
    <r>
      <rPr>
        <sz val="10"/>
        <color rgb="FF1F3864"/>
        <rFont val="WenQuanYi Zen Hei"/>
        <family val="2"/>
      </rPr>
      <t xml:space="preserve">、【科目表】的往来单位、业务类型、收入项目、费用项目已按《</t>
    </r>
    <r>
      <rPr>
        <sz val="10"/>
        <color rgb="FF1F3864"/>
        <rFont val="宋体"/>
        <family val="0"/>
        <charset val="134"/>
      </rPr>
      <t xml:space="preserve">01</t>
    </r>
    <r>
      <rPr>
        <sz val="10"/>
        <color rgb="FF1F3864"/>
        <rFont val="WenQuanYi Zen Hei"/>
        <family val="2"/>
      </rPr>
      <t xml:space="preserve">》《</t>
    </r>
    <r>
      <rPr>
        <sz val="10"/>
        <color rgb="FF1F3864"/>
        <rFont val="宋体"/>
        <family val="0"/>
        <charset val="134"/>
      </rPr>
      <t xml:space="preserve">02</t>
    </r>
    <r>
      <rPr>
        <sz val="10"/>
        <color rgb="FF1F3864"/>
        <rFont val="WenQuanYi Zen Hei"/>
        <family val="2"/>
      </rPr>
      <t xml:space="preserve">》最新【基础资料】重新生成。</t>
    </r>
  </si>
  <si>
    <t xml:space="preserve">★ 优 化 记 录（2026-09 · 第五版）</t>
  </si>
  <si>
    <r>
      <rPr>
        <sz val="10"/>
        <color rgb="FF1F3864"/>
        <rFont val="宋体"/>
        <family val="0"/>
        <charset val="134"/>
      </rPr>
      <t xml:space="preserve">1</t>
    </r>
    <r>
      <rPr>
        <sz val="10"/>
        <color rgb="FF1F3864"/>
        <rFont val="WenQuanYi Zen Hei"/>
        <family val="2"/>
      </rPr>
      <t xml:space="preserve">、【资金日记账】</t>
    </r>
    <r>
      <rPr>
        <sz val="10"/>
        <color rgb="FF1F3864"/>
        <rFont val="宋体"/>
        <family val="0"/>
        <charset val="134"/>
      </rPr>
      <t xml:space="preserve">W </t>
    </r>
    <r>
      <rPr>
        <sz val="10"/>
        <color rgb="FF1F3864"/>
        <rFont val="WenQuanYi Zen Hei"/>
        <family val="2"/>
      </rPr>
      <t xml:space="preserve">列「费用项目」的下拉改成取【科目表】</t>
    </r>
    <r>
      <rPr>
        <sz val="10"/>
        <color rgb="FF1F3864"/>
        <rFont val="宋体"/>
        <family val="0"/>
        <charset val="134"/>
      </rPr>
      <t xml:space="preserve">M </t>
    </r>
    <r>
      <rPr>
        <sz val="10"/>
        <color rgb="FF1F3864"/>
        <rFont val="WenQuanYi Zen Hei"/>
        <family val="2"/>
      </rPr>
      <t xml:space="preserve">列（已按你 </t>
    </r>
    <r>
      <rPr>
        <sz val="10"/>
        <color rgb="FF1F3864"/>
        <rFont val="宋体"/>
        <family val="0"/>
        <charset val="134"/>
      </rPr>
      <t xml:space="preserve">2025 </t>
    </r>
    <r>
      <rPr>
        <sz val="10"/>
        <color rgb="FF1F3864"/>
        <rFont val="WenQuanYi Zen Hei"/>
        <family val="2"/>
      </rPr>
      <t xml:space="preserve">年的成本项目扩充到 </t>
    </r>
    <r>
      <rPr>
        <sz val="10"/>
        <color rgb="FF1F3864"/>
        <rFont val="宋体"/>
        <family val="0"/>
        <charset val="134"/>
      </rPr>
      <t xml:space="preserve">48 </t>
    </r>
    <r>
      <rPr>
        <sz val="10"/>
        <color rgb="FF1F3864"/>
        <rFont val="WenQuanYi Zen Hei"/>
        <family val="2"/>
      </rPr>
      <t xml:space="preserve">项），和【成本费用登记表】共用同一份清单，两边口径一致。</t>
    </r>
  </si>
  <si>
    <r>
      <rPr>
        <sz val="10"/>
        <color rgb="FF1F3864"/>
        <rFont val="宋体"/>
        <family val="0"/>
        <charset val="134"/>
      </rPr>
      <t xml:space="preserve">2</t>
    </r>
    <r>
      <rPr>
        <sz val="10"/>
        <color rgb="FF1F3864"/>
        <rFont val="WenQuanYi Zen Hei"/>
        <family val="2"/>
      </rPr>
      <t xml:space="preserve">、</t>
    </r>
    <r>
      <rPr>
        <sz val="10"/>
        <color rgb="FF1F3864"/>
        <rFont val="宋体"/>
        <family val="0"/>
        <charset val="134"/>
      </rPr>
      <t xml:space="preserve">X </t>
    </r>
    <r>
      <rPr>
        <sz val="10"/>
        <color rgb="FF1F3864"/>
        <rFont val="WenQuanYi Zen Hei"/>
        <family val="2"/>
      </rPr>
      <t xml:space="preserve">列改成：只有这笔费用「已经在【成本费用登记表】登记过」才填「是」；没登记的留空就行，不用一条条选「否」。【费用月度汇总】按「不等于是」取数，留空的照样算进成本，登记过的不会重复计算。</t>
    </r>
  </si>
  <si>
    <r>
      <rPr>
        <sz val="10"/>
        <color rgb="FF1F3864"/>
        <rFont val="宋体"/>
        <family val="0"/>
        <charset val="134"/>
      </rPr>
      <t xml:space="preserve">3</t>
    </r>
    <r>
      <rPr>
        <sz val="10"/>
        <color rgb="FF1F3864"/>
        <rFont val="WenQuanYi Zen Hei"/>
        <family val="2"/>
      </rPr>
      <t xml:space="preserve">、【资金日记账】新增 </t>
    </r>
    <r>
      <rPr>
        <sz val="10"/>
        <color rgb="FF1F3864"/>
        <rFont val="宋体"/>
        <family val="0"/>
        <charset val="134"/>
      </rPr>
      <t xml:space="preserve">Y </t>
    </r>
    <r>
      <rPr>
        <sz val="10"/>
        <color rgb="FF1F3864"/>
        <rFont val="WenQuanYi Zen Hei"/>
        <family val="2"/>
      </rPr>
      <t xml:space="preserve">列「年月（自动）」、【成本费用登记表】新增 </t>
    </r>
    <r>
      <rPr>
        <sz val="10"/>
        <color rgb="FF1F3864"/>
        <rFont val="宋体"/>
        <family val="0"/>
        <charset val="134"/>
      </rPr>
      <t xml:space="preserve">AC </t>
    </r>
    <r>
      <rPr>
        <sz val="10"/>
        <color rgb="FF1F3864"/>
        <rFont val="WenQuanYi Zen Hei"/>
        <family val="2"/>
      </rPr>
      <t xml:space="preserve">列「年月（自动）」，都是按日期自动生成 </t>
    </r>
    <r>
      <rPr>
        <sz val="10"/>
        <color rgb="FF1F3864"/>
        <rFont val="宋体"/>
        <family val="0"/>
        <charset val="134"/>
      </rPr>
      <t xml:space="preserve">yyyy</t>
    </r>
    <r>
      <rPr>
        <sz val="10"/>
        <color rgb="FF1F3864"/>
        <rFont val="WenQuanYi Zen Hei"/>
        <family val="2"/>
      </rPr>
      <t xml:space="preserve">年</t>
    </r>
    <r>
      <rPr>
        <sz val="10"/>
        <color rgb="FF1F3864"/>
        <rFont val="宋体"/>
        <family val="0"/>
        <charset val="134"/>
      </rPr>
      <t xml:space="preserve">m</t>
    </r>
    <r>
      <rPr>
        <sz val="10"/>
        <color rgb="FF1F3864"/>
        <rFont val="WenQuanYi Zen Hei"/>
        <family val="2"/>
      </rPr>
      <t xml:space="preserve">月，供费用月度汇总按表头直接匹配。</t>
    </r>
  </si>
  <si>
    <r>
      <rPr>
        <sz val="10"/>
        <color rgb="FF1F3864"/>
        <rFont val="宋体"/>
        <family val="0"/>
        <charset val="134"/>
      </rPr>
      <t xml:space="preserve">4</t>
    </r>
    <r>
      <rPr>
        <sz val="10"/>
        <color rgb="FF1F3864"/>
        <rFont val="WenQuanYi Zen Hei"/>
        <family val="2"/>
      </rPr>
      <t xml:space="preserve">、【费用月度汇总】表头改成真实年月（</t>
    </r>
    <r>
      <rPr>
        <sz val="10"/>
        <color rgb="FF1F3864"/>
        <rFont val="宋体"/>
        <family val="0"/>
        <charset val="134"/>
      </rPr>
      <t xml:space="preserve">2026</t>
    </r>
    <r>
      <rPr>
        <sz val="10"/>
        <color rgb="FF1F3864"/>
        <rFont val="WenQuanYi Zen Hei"/>
        <family val="2"/>
      </rPr>
      <t xml:space="preserve">年</t>
    </r>
    <r>
      <rPr>
        <sz val="10"/>
        <color rgb="FF1F3864"/>
        <rFont val="宋体"/>
        <family val="0"/>
        <charset val="134"/>
      </rPr>
      <t xml:space="preserve">8</t>
    </r>
    <r>
      <rPr>
        <sz val="10"/>
        <color rgb="FF1F3864"/>
        <rFont val="WenQuanYi Zen Hei"/>
        <family val="2"/>
      </rPr>
      <t xml:space="preserve">月、</t>
    </r>
    <r>
      <rPr>
        <sz val="10"/>
        <color rgb="FF1F3864"/>
        <rFont val="宋体"/>
        <family val="0"/>
        <charset val="134"/>
      </rPr>
      <t xml:space="preserve">2026</t>
    </r>
    <r>
      <rPr>
        <sz val="10"/>
        <color rgb="FF1F3864"/>
        <rFont val="WenQuanYi Zen Hei"/>
        <family val="2"/>
      </rPr>
      <t xml:space="preserve">年</t>
    </r>
    <r>
      <rPr>
        <sz val="10"/>
        <color rgb="FF1F3864"/>
        <rFont val="宋体"/>
        <family val="0"/>
        <charset val="134"/>
      </rPr>
      <t xml:space="preserve">9</t>
    </r>
    <r>
      <rPr>
        <sz val="10"/>
        <color rgb="FF1F3864"/>
        <rFont val="WenQuanYi Zen Hei"/>
        <family val="2"/>
      </rPr>
      <t xml:space="preserve">月…），不再显示「第</t>
    </r>
    <r>
      <rPr>
        <sz val="10"/>
        <color rgb="FF1F3864"/>
        <rFont val="宋体"/>
        <family val="0"/>
        <charset val="134"/>
      </rPr>
      <t xml:space="preserve">1</t>
    </r>
    <r>
      <rPr>
        <sz val="10"/>
        <color rgb="FF1F3864"/>
        <rFont val="WenQuanYi Zen Hei"/>
        <family val="2"/>
      </rPr>
      <t xml:space="preserve">月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第</t>
    </r>
    <r>
      <rPr>
        <sz val="10"/>
        <color rgb="FF1F3864"/>
        <rFont val="宋体"/>
        <family val="0"/>
        <charset val="134"/>
      </rPr>
      <t xml:space="preserve">2</t>
    </r>
    <r>
      <rPr>
        <sz val="10"/>
        <color rgb="FF1F3864"/>
        <rFont val="WenQuanYi Zen Hei"/>
        <family val="2"/>
      </rPr>
      <t xml:space="preserve">月」；统计口径改成按【资金日记账】的费用项目列＋年月列匹配，成本项目清单也优先取资金日记账里用过的项目。</t>
    </r>
  </si>
  <si>
    <t xml:space="preserve">★ 补 正（2026-09 · 第六版）</t>
  </si>
  <si>
    <r>
      <rPr>
        <sz val="10"/>
        <color rgb="FF1F3864"/>
        <rFont val="宋体"/>
        <family val="0"/>
        <charset val="134"/>
      </rPr>
      <t xml:space="preserve">1</t>
    </r>
    <r>
      <rPr>
        <sz val="10"/>
        <color rgb="FF1F3864"/>
        <rFont val="WenQuanYi Zen Hei"/>
        <family val="2"/>
      </rPr>
      <t xml:space="preserve">、你在【资金日记账】里插进来的 </t>
    </r>
    <r>
      <rPr>
        <sz val="10"/>
        <color rgb="FF1F3864"/>
        <rFont val="宋体"/>
        <family val="0"/>
        <charset val="134"/>
      </rPr>
      <t xml:space="preserve">H </t>
    </r>
    <r>
      <rPr>
        <sz val="10"/>
        <color rgb="FF1F3864"/>
        <rFont val="WenQuanYi Zen Hei"/>
        <family val="2"/>
      </rPr>
      <t xml:space="preserve">列「费用项目」现在是正式的那一列了：下拉直接取【科目表】</t>
    </r>
    <r>
      <rPr>
        <sz val="10"/>
        <color rgb="FF1F3864"/>
        <rFont val="宋体"/>
        <family val="0"/>
        <charset val="134"/>
      </rPr>
      <t xml:space="preserve">M </t>
    </r>
    <r>
      <rPr>
        <sz val="10"/>
        <color rgb="FF1F3864"/>
        <rFont val="WenQuanYi Zen Hei"/>
        <family val="2"/>
      </rPr>
      <t xml:space="preserve">列（</t>
    </r>
    <r>
      <rPr>
        <sz val="10"/>
        <color rgb="FF1F3864"/>
        <rFont val="宋体"/>
        <family val="0"/>
        <charset val="134"/>
      </rPr>
      <t xml:space="preserve">48 </t>
    </r>
    <r>
      <rPr>
        <sz val="10"/>
        <color rgb="FF1F3864"/>
        <rFont val="WenQuanYi Zen Hei"/>
        <family val="2"/>
      </rPr>
      <t xml:space="preserve">项费用科目）。原来我加在最右边那一列已经取消，右边 </t>
    </r>
    <r>
      <rPr>
        <sz val="10"/>
        <color rgb="FF1F3864"/>
        <rFont val="宋体"/>
        <family val="0"/>
        <charset val="134"/>
      </rPr>
      <t xml:space="preserve">W </t>
    </r>
    <r>
      <rPr>
        <sz val="10"/>
        <color rgb="FF1F3864"/>
        <rFont val="WenQuanYi Zen Hei"/>
        <family val="2"/>
      </rPr>
      <t xml:space="preserve">列恢复成「科目手工覆盖」。</t>
    </r>
  </si>
  <si>
    <r>
      <rPr>
        <sz val="10"/>
        <color rgb="FF1F3864"/>
        <rFont val="宋体"/>
        <family val="0"/>
        <charset val="134"/>
      </rPr>
      <t xml:space="preserve">2</t>
    </r>
    <r>
      <rPr>
        <sz val="10"/>
        <color rgb="FF1F3864"/>
        <rFont val="WenQuanYi Zen Hei"/>
        <family val="2"/>
      </rPr>
      <t xml:space="preserve">、【费用月度汇总】改成按 </t>
    </r>
    <r>
      <rPr>
        <sz val="10"/>
        <color rgb="FF1F3864"/>
        <rFont val="宋体"/>
        <family val="0"/>
        <charset val="134"/>
      </rPr>
      <t xml:space="preserve">H </t>
    </r>
    <r>
      <rPr>
        <sz val="10"/>
        <color rgb="FF1F3864"/>
        <rFont val="WenQuanYi Zen Hei"/>
        <family val="2"/>
      </rPr>
      <t xml:space="preserve">列费用项目 ＋ </t>
    </r>
    <r>
      <rPr>
        <sz val="10"/>
        <color rgb="FF1F3864"/>
        <rFont val="宋体"/>
        <family val="0"/>
        <charset val="134"/>
      </rPr>
      <t xml:space="preserve">J </t>
    </r>
    <r>
      <rPr>
        <sz val="10"/>
        <color rgb="FF1F3864"/>
        <rFont val="WenQuanYi Zen Hei"/>
        <family val="2"/>
      </rPr>
      <t xml:space="preserve">列支出金额 ＋ </t>
    </r>
    <r>
      <rPr>
        <sz val="10"/>
        <color rgb="FF1F3864"/>
        <rFont val="宋体"/>
        <family val="0"/>
        <charset val="134"/>
      </rPr>
      <t xml:space="preserve">Y </t>
    </r>
    <r>
      <rPr>
        <sz val="10"/>
        <color rgb="FF1F3864"/>
        <rFont val="WenQuanYi Zen Hei"/>
        <family val="2"/>
      </rPr>
      <t xml:space="preserve">列年月统计（上一版还在读旧列号，所以一直取不到数）。成本项目清单也先取【资金日记账】里实际用过的费用项目，再并上【成本费用登记表】的。</t>
    </r>
  </si>
  <si>
    <r>
      <rPr>
        <sz val="10"/>
        <color rgb="FF1F3864"/>
        <rFont val="宋体"/>
        <family val="0"/>
        <charset val="134"/>
      </rPr>
      <t xml:space="preserve">3</t>
    </r>
    <r>
      <rPr>
        <sz val="10"/>
        <color rgb="FF1F3864"/>
        <rFont val="WenQuanYi Zen Hei"/>
        <family val="2"/>
      </rPr>
      <t xml:space="preserve">、【成本费用登记表】里 </t>
    </r>
    <r>
      <rPr>
        <sz val="10"/>
        <color rgb="FF1F3864"/>
        <rFont val="宋体"/>
        <family val="0"/>
        <charset val="134"/>
      </rPr>
      <t xml:space="preserve">2025 </t>
    </r>
    <r>
      <rPr>
        <sz val="10"/>
        <color rgb="FF1F3864"/>
        <rFont val="WenQuanYi Zen Hei"/>
        <family val="2"/>
      </rPr>
      <t xml:space="preserve">年的 </t>
    </r>
    <r>
      <rPr>
        <sz val="10"/>
        <color rgb="FF1F3864"/>
        <rFont val="宋体"/>
        <family val="0"/>
        <charset val="134"/>
      </rPr>
      <t xml:space="preserve">4 </t>
    </r>
    <r>
      <rPr>
        <sz val="10"/>
        <color rgb="FF1F3864"/>
        <rFont val="WenQuanYi Zen Hei"/>
        <family val="2"/>
      </rPr>
      <t xml:space="preserve">行示例数据（冷库电费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职工薪酬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折旧费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房屋租金）已清掉——费用月度汇总里冒出这四项就是它们带出来的。</t>
    </r>
  </si>
  <si>
    <t xml:space="preserve">★ 报 表 日 期（2026-09 · 第七版）</t>
  </si>
  <si>
    <r>
      <rPr>
        <sz val="10"/>
        <color rgb="FF1F3864"/>
        <rFont val="宋体"/>
        <family val="0"/>
        <charset val="134"/>
      </rPr>
      <t xml:space="preserve">1</t>
    </r>
    <r>
      <rPr>
        <sz val="10"/>
        <color rgb="FF1F3864"/>
        <rFont val="WenQuanYi Zen Hei"/>
        <family val="2"/>
      </rPr>
      <t xml:space="preserve">、【科目余额表】第 </t>
    </r>
    <r>
      <rPr>
        <sz val="10"/>
        <color rgb="FF1F3864"/>
        <rFont val="宋体"/>
        <family val="0"/>
        <charset val="134"/>
      </rPr>
      <t xml:space="preserve">2 </t>
    </r>
    <r>
      <rPr>
        <sz val="10"/>
        <color rgb="FF1F3864"/>
        <rFont val="WenQuanYi Zen Hei"/>
        <family val="2"/>
      </rPr>
      <t xml:space="preserve">行新增「开始日期／结束日期」，是三张报表的总开关：期初＝建账期初＋区间之前的全部发生额，本期发生＝区间内的凭证，期末＝期初</t>
    </r>
    <r>
      <rPr>
        <sz val="10"/>
        <color rgb="FF1F3864"/>
        <rFont val="宋体"/>
        <family val="0"/>
        <charset val="134"/>
      </rPr>
      <t xml:space="preserve">±</t>
    </r>
    <r>
      <rPr>
        <sz val="10"/>
        <color rgb="FF1F3864"/>
        <rFont val="WenQuanYi Zen Hei"/>
        <family val="2"/>
      </rPr>
      <t xml:space="preserve">本期。留空＝不限时间。</t>
    </r>
  </si>
  <si>
    <r>
      <rPr>
        <sz val="10"/>
        <color rgb="FF1F3864"/>
        <rFont val="宋体"/>
        <family val="0"/>
        <charset val="134"/>
      </rPr>
      <t xml:space="preserve">2</t>
    </r>
    <r>
      <rPr>
        <sz val="10"/>
        <color rgb="FF1F3864"/>
        <rFont val="WenQuanYi Zen Hei"/>
        <family val="2"/>
      </rPr>
      <t xml:space="preserve">、【资产负债表】跟着【科目余额表】走：</t>
    </r>
    <r>
      <rPr>
        <sz val="10"/>
        <color rgb="FF1F3864"/>
        <rFont val="宋体"/>
        <family val="0"/>
        <charset val="134"/>
      </rPr>
      <t xml:space="preserve">C/G </t>
    </r>
    <r>
      <rPr>
        <sz val="10"/>
        <color rgb="FF1F3864"/>
        <rFont val="WenQuanYi Zen Hei"/>
        <family val="2"/>
      </rPr>
      <t xml:space="preserve">列期末余额＝结束日期时点，</t>
    </r>
    <r>
      <rPr>
        <sz val="10"/>
        <color rgb="FF1F3864"/>
        <rFont val="宋体"/>
        <family val="0"/>
        <charset val="134"/>
      </rPr>
      <t xml:space="preserve">D/H </t>
    </r>
    <r>
      <rPr>
        <sz val="10"/>
        <color rgb="FF1F3864"/>
        <rFont val="WenQuanYi Zen Hei"/>
        <family val="2"/>
      </rPr>
      <t xml:space="preserve">列年初余额＝开始日期时点，右上角「报表日期」自动显示结束日期。要换期间到【科目余额表】改。</t>
    </r>
  </si>
  <si>
    <r>
      <rPr>
        <sz val="10"/>
        <color rgb="FF1F3864"/>
        <rFont val="宋体"/>
        <family val="0"/>
        <charset val="134"/>
      </rPr>
      <t xml:space="preserve">3</t>
    </r>
    <r>
      <rPr>
        <sz val="10"/>
        <color rgb="FF1F3864"/>
        <rFont val="WenQuanYi Zen Hei"/>
        <family val="2"/>
      </rPr>
      <t xml:space="preserve">、【资产负债表】未分配利润的算法改了：＝未分配利润科目余额 ＋ 全部未结转的损益余额（含以前期间）。原来只加本期净利润，跨月看报表会差一块、不平衡；现在任意区间都能配平（已用 </t>
    </r>
    <r>
      <rPr>
        <sz val="10"/>
        <color rgb="FF1F3864"/>
        <rFont val="宋体"/>
        <family val="0"/>
        <charset val="134"/>
      </rPr>
      <t xml:space="preserve">8 </t>
    </r>
    <r>
      <rPr>
        <sz val="10"/>
        <color rgb="FF1F3864"/>
        <rFont val="WenQuanYi Zen Hei"/>
        <family val="2"/>
      </rPr>
      <t xml:space="preserve">月／</t>
    </r>
    <r>
      <rPr>
        <sz val="10"/>
        <color rgb="FF1F3864"/>
        <rFont val="宋体"/>
        <family val="0"/>
        <charset val="134"/>
      </rPr>
      <t xml:space="preserve">9 </t>
    </r>
    <r>
      <rPr>
        <sz val="10"/>
        <color rgb="FF1F3864"/>
        <rFont val="WenQuanYi Zen Hei"/>
        <family val="2"/>
      </rPr>
      <t xml:space="preserve">月／整年三个区间验过）。</t>
    </r>
  </si>
  <si>
    <r>
      <rPr>
        <sz val="10"/>
        <color rgb="FF1F3864"/>
        <rFont val="宋体"/>
        <family val="0"/>
        <charset val="134"/>
      </rPr>
      <t xml:space="preserve">4</t>
    </r>
    <r>
      <rPr>
        <sz val="10"/>
        <color rgb="FF1F3864"/>
        <rFont val="WenQuanYi Zen Hei"/>
        <family val="2"/>
      </rPr>
      <t xml:space="preserve">、【利润表】第 </t>
    </r>
    <r>
      <rPr>
        <sz val="10"/>
        <color rgb="FF1F3864"/>
        <rFont val="宋体"/>
        <family val="0"/>
        <charset val="134"/>
      </rPr>
      <t xml:space="preserve">3 </t>
    </r>
    <r>
      <rPr>
        <sz val="10"/>
        <color rgb="FF1F3864"/>
        <rFont val="WenQuanYi Zen Hei"/>
        <family val="2"/>
      </rPr>
      <t xml:space="preserve">行三个日期都能填：本期起始、本期截止（留空＝跟科目余额表一致），</t>
    </r>
    <r>
      <rPr>
        <sz val="10"/>
        <color rgb="FF1F3864"/>
        <rFont val="宋体"/>
        <family val="0"/>
        <charset val="134"/>
      </rPr>
      <t xml:space="preserve">F3</t>
    </r>
    <r>
      <rPr>
        <sz val="10"/>
        <color rgb="FF1F3864"/>
        <rFont val="WenQuanYi Zen Hei"/>
        <family val="2"/>
      </rPr>
      <t xml:space="preserve">「本年累计起始」（留空＝跟本期起始一致）。</t>
    </r>
    <r>
      <rPr>
        <sz val="10"/>
        <color rgb="FF1F3864"/>
        <rFont val="宋体"/>
        <family val="0"/>
        <charset val="134"/>
      </rPr>
      <t xml:space="preserve">C </t>
    </r>
    <r>
      <rPr>
        <sz val="10"/>
        <color rgb="FF1F3864"/>
        <rFont val="WenQuanYi Zen Hei"/>
        <family val="2"/>
      </rPr>
      <t xml:space="preserve">列＝本期区间发生额，</t>
    </r>
    <r>
      <rPr>
        <sz val="10"/>
        <color rgb="FF1F3864"/>
        <rFont val="宋体"/>
        <family val="0"/>
        <charset val="134"/>
      </rPr>
      <t xml:space="preserve">D </t>
    </r>
    <r>
      <rPr>
        <sz val="10"/>
        <color rgb="FF1F3864"/>
        <rFont val="WenQuanYi Zen Hei"/>
        <family val="2"/>
      </rPr>
      <t xml:space="preserve">列＝本年累计。</t>
    </r>
  </si>
  <si>
    <r>
      <rPr>
        <sz val="10"/>
        <color rgb="FF1F3864"/>
        <rFont val="宋体"/>
        <family val="0"/>
        <charset val="134"/>
      </rPr>
      <t xml:space="preserve">5</t>
    </r>
    <r>
      <rPr>
        <sz val="10"/>
        <color rgb="FF1F3864"/>
        <rFont val="WenQuanYi Zen Hei"/>
        <family val="2"/>
      </rPr>
      <t xml:space="preserve">、顺手补的：【科目表】新增 </t>
    </r>
    <r>
      <rPr>
        <sz val="10"/>
        <color rgb="FF1F3864"/>
        <rFont val="宋体"/>
        <family val="0"/>
        <charset val="134"/>
      </rPr>
      <t xml:space="preserve">U </t>
    </r>
    <r>
      <rPr>
        <sz val="10"/>
        <color rgb="FF1F3864"/>
        <rFont val="WenQuanYi Zen Hei"/>
        <family val="2"/>
      </rPr>
      <t xml:space="preserve">列「费用对应科目」，和 </t>
    </r>
    <r>
      <rPr>
        <sz val="10"/>
        <color rgb="FF1F3864"/>
        <rFont val="宋体"/>
        <family val="0"/>
        <charset val="134"/>
      </rPr>
      <t xml:space="preserve">M </t>
    </r>
    <r>
      <rPr>
        <sz val="10"/>
        <color rgb="FF1F3864"/>
        <rFont val="WenQuanYi Zen Hei"/>
        <family val="2"/>
      </rPr>
      <t xml:space="preserve">列「费用项目」配对。出纳在【资金日记账】</t>
    </r>
    <r>
      <rPr>
        <sz val="10"/>
        <color rgb="FF1F3864"/>
        <rFont val="宋体"/>
        <family val="0"/>
        <charset val="134"/>
      </rPr>
      <t xml:space="preserve">H </t>
    </r>
    <r>
      <rPr>
        <sz val="10"/>
        <color rgb="FF1F3864"/>
        <rFont val="WenQuanYi Zen Hei"/>
        <family val="2"/>
      </rPr>
      <t xml:space="preserve">列选了费用项目，</t>
    </r>
    <r>
      <rPr>
        <sz val="10"/>
        <color rgb="FF1F3864"/>
        <rFont val="宋体"/>
        <family val="0"/>
        <charset val="134"/>
      </rPr>
      <t xml:space="preserve">L </t>
    </r>
    <r>
      <rPr>
        <sz val="10"/>
        <color rgb="FF1F3864"/>
        <rFont val="WenQuanYi Zen Hei"/>
        <family val="2"/>
      </rPr>
      <t xml:space="preserve">列对应科目就自动记到成本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费用科目（比如「电费」→主营业务成本、「招待费」→管理费用），不用再手工挑科目，费用也就真正进了利润表。</t>
    </r>
    <r>
      <rPr>
        <sz val="10"/>
        <color rgb="FF1F3864"/>
        <rFont val="宋体"/>
        <family val="0"/>
        <charset val="134"/>
      </rPr>
      <t xml:space="preserve">U </t>
    </r>
    <r>
      <rPr>
        <sz val="10"/>
        <color rgb="FF1F3864"/>
        <rFont val="WenQuanYi Zen Hei"/>
        <family val="2"/>
      </rPr>
      <t xml:space="preserve">列可以按你们的口径随时改。</t>
    </r>
  </si>
  <si>
    <t xml:space="preserve">★ 本 次 更 新（2026-09 · 第八版）</t>
  </si>
  <si>
    <r>
      <rPr>
        <sz val="10"/>
        <color rgb="FF1F3864"/>
        <rFont val="宋体"/>
        <family val="0"/>
        <charset val="134"/>
      </rPr>
      <t xml:space="preserve">1</t>
    </r>
    <r>
      <rPr>
        <sz val="10"/>
        <color rgb="FF1F3864"/>
        <rFont val="WenQuanYi Zen Hei"/>
        <family val="2"/>
      </rPr>
      <t xml:space="preserve">、【原料入库计价】改成全展开：每个「货主＋品种」自动拆成 周转打冷 </t>
    </r>
    <r>
      <rPr>
        <sz val="10"/>
        <color rgb="FF1F3864"/>
        <rFont val="宋体"/>
        <family val="0"/>
        <charset val="134"/>
      </rPr>
      <t xml:space="preserve">/ </t>
    </r>
    <r>
      <rPr>
        <sz val="10"/>
        <color rgb="FF1F3864"/>
        <rFont val="WenQuanYi Zen Hei"/>
        <family val="2"/>
      </rPr>
      <t xml:space="preserve">仓储加工 </t>
    </r>
    <r>
      <rPr>
        <sz val="10"/>
        <color rgb="FF1F3864"/>
        <rFont val="宋体"/>
        <family val="0"/>
        <charset val="134"/>
      </rPr>
      <t xml:space="preserve">/ </t>
    </r>
    <r>
      <rPr>
        <sz val="10"/>
        <color rgb="FF1F3864"/>
        <rFont val="WenQuanYi Zen Hei"/>
        <family val="2"/>
      </rPr>
      <t xml:space="preserve">装卸费 三行，筐数、总重、吨位全部自动带出来，一条都不会漏；你只要在每行填「计价方式」和「单价」。没有这项收费的行，单价留空即可。下面的按货主汇总还会提示「有几行还没填单价」。</t>
    </r>
  </si>
  <si>
    <r>
      <rPr>
        <sz val="10"/>
        <color rgb="FF1F3864"/>
        <rFont val="宋体"/>
        <family val="0"/>
        <charset val="134"/>
      </rPr>
      <t xml:space="preserve">2</t>
    </r>
    <r>
      <rPr>
        <sz val="10"/>
        <color rgb="FF1F3864"/>
        <rFont val="WenQuanYi Zen Hei"/>
        <family val="2"/>
      </rPr>
      <t xml:space="preserve">、【往来对账单】改成 </t>
    </r>
    <r>
      <rPr>
        <sz val="10"/>
        <color rgb="FF1F3864"/>
        <rFont val="宋体"/>
        <family val="0"/>
        <charset val="134"/>
      </rPr>
      <t xml:space="preserve">50 </t>
    </r>
    <r>
      <rPr>
        <sz val="10"/>
        <color rgb="FF1F3864"/>
        <rFont val="WenQuanYi Zen Hei"/>
        <family val="2"/>
      </rPr>
      <t xml:space="preserve">行分项汇总：仓储费、周转费、装卸费、成品销售款、客户购买筐子款、客户购买物料款，以及「公司购买客户果品款（应付抵扣）」——这一行是负数，直接冲减应收；后面接资金日记账的收付款和对账补充行。</t>
    </r>
  </si>
  <si>
    <r>
      <rPr>
        <sz val="10"/>
        <color rgb="FF1F3864"/>
        <rFont val="宋体"/>
        <family val="0"/>
        <charset val="134"/>
      </rPr>
      <t xml:space="preserve">3</t>
    </r>
    <r>
      <rPr>
        <sz val="10"/>
        <color rgb="FF1F3864"/>
        <rFont val="WenQuanYi Zen Hei"/>
        <family val="2"/>
      </rPr>
      <t xml:space="preserve">、新增【收入月度汇总】：按【资金日记账】的往来单位 </t>
    </r>
    <r>
      <rPr>
        <sz val="10"/>
        <color rgb="FF1F3864"/>
        <rFont val="宋体"/>
        <family val="0"/>
        <charset val="134"/>
      </rPr>
      <t xml:space="preserve">× 24 </t>
    </r>
    <r>
      <rPr>
        <sz val="10"/>
        <color rgb="FF1F3864"/>
        <rFont val="WenQuanYi Zen Hei"/>
        <family val="2"/>
      </rPr>
      <t xml:space="preserve">个月统计收入，和【费用月度汇总】一个样式。</t>
    </r>
  </si>
  <si>
    <r>
      <rPr>
        <sz val="10"/>
        <color rgb="FF1F3864"/>
        <rFont val="宋体"/>
        <family val="0"/>
        <charset val="134"/>
      </rPr>
      <t xml:space="preserve">4</t>
    </r>
    <r>
      <rPr>
        <sz val="10"/>
        <color rgb="FF1F3864"/>
        <rFont val="WenQuanYi Zen Hei"/>
        <family val="2"/>
      </rPr>
      <t xml:space="preserve">、【资金日记账】删掉凭证字号、票据单号、经办人三列（</t>
    </r>
    <r>
      <rPr>
        <sz val="10"/>
        <color rgb="FF1F3864"/>
        <rFont val="宋体"/>
        <family val="0"/>
        <charset val="134"/>
      </rPr>
      <t xml:space="preserve">22 </t>
    </r>
    <r>
      <rPr>
        <sz val="10"/>
        <color rgb="FF1F3864"/>
        <rFont val="WenQuanYi Zen Hei"/>
        <family val="2"/>
      </rPr>
      <t xml:space="preserve">列）。</t>
    </r>
  </si>
  <si>
    <r>
      <rPr>
        <sz val="10"/>
        <color rgb="FF1F3864"/>
        <rFont val="宋体"/>
        <family val="0"/>
        <charset val="134"/>
      </rPr>
      <t xml:space="preserve">5</t>
    </r>
    <r>
      <rPr>
        <sz val="10"/>
        <color rgb="FF1F3864"/>
        <rFont val="WenQuanYi Zen Hei"/>
        <family val="2"/>
      </rPr>
      <t xml:space="preserve">、装卸费怎么做账：收客户的那头在【原料入库计价】里按「装卸费」这一行填单价（比如 </t>
    </r>
    <r>
      <rPr>
        <sz val="10"/>
        <color rgb="FF1F3864"/>
        <rFont val="宋体"/>
        <family val="0"/>
        <charset val="134"/>
      </rPr>
      <t xml:space="preserve">50 </t>
    </r>
    <r>
      <rPr>
        <sz val="10"/>
        <color rgb="FF1F3864"/>
        <rFont val="WenQuanYi Zen Hei"/>
        <family val="2"/>
      </rPr>
      <t xml:space="preserve">元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吨），自动进往来对账单的应收；付给装卸工的那头在【成本费用登记表】登记（费用项目＝装卸费，对象＝装卸队</t>
    </r>
    <r>
      <rPr>
        <sz val="10"/>
        <color rgb="FF1F3864"/>
        <rFont val="宋体"/>
        <family val="0"/>
        <charset val="134"/>
      </rPr>
      <t xml:space="preserve">/</t>
    </r>
    <r>
      <rPr>
        <sz val="10"/>
        <color rgb="FF1F3864"/>
        <rFont val="WenQuanYi Zen Hei"/>
        <family val="2"/>
      </rPr>
      <t xml:space="preserve">员工，本单已付金额填实付），差额就是应付账款。两头都进【费用月度汇总】和利润表，毛利自动出来。</t>
    </r>
  </si>
  <si>
    <t xml:space="preserve">对 接 源 · 01 水果进销存台账（跨文件自动取数 · 断链时自动改用应急备份）</t>
  </si>
  <si>
    <t xml:space="preserve">有效行数</t>
  </si>
  <si>
    <t xml:space="preserve">链接探针</t>
  </si>
  <si>
    <t xml:space="preserve">一、实 际 使 用 值（链接正常时＝自动取数；链接断了自动切到右边备份）</t>
  </si>
  <si>
    <t xml:space="preserve">二、应 急 备 份 区（手工粘贴数值）</t>
  </si>
  <si>
    <t xml:space="preserve">状态</t>
  </si>
  <si>
    <t xml:space="preserve">备份行数</t>
  </si>
  <si>
    <t xml:space="preserve">源行</t>
  </si>
  <si>
    <t xml:space="preserve">年月 / 往来单位</t>
  </si>
  <si>
    <t xml:space="preserve">项目</t>
  </si>
  <si>
    <t xml:space="preserve">计费数量 / 应收发生额</t>
  </si>
  <si>
    <t xml:space="preserve">单位 / 应付发生额</t>
  </si>
  <si>
    <t xml:space="preserve">价税合计金额</t>
  </si>
  <si>
    <t xml:space="preserve">已收金额</t>
  </si>
  <si>
    <t xml:space="preserve">备注</t>
  </si>
  <si>
    <t xml:space="preserve">备份-年月</t>
  </si>
  <si>
    <t xml:space="preserve">备份-项目</t>
  </si>
  <si>
    <t xml:space="preserve">备份-数量</t>
  </si>
  <si>
    <t xml:space="preserve">备份-单位</t>
  </si>
  <si>
    <t xml:space="preserve">备份-金额</t>
  </si>
  <si>
    <t xml:space="preserve">备份-已收</t>
  </si>
  <si>
    <t xml:space="preserve">备份-备注</t>
  </si>
  <si>
    <t xml:space="preserve">有效</t>
  </si>
  <si>
    <t xml:space="preserve">累计</t>
  </si>
  <si>
    <t xml:space="preserve">链接可用</t>
  </si>
  <si>
    <t xml:space="preserve">当前取数来源</t>
  </si>
  <si>
    <t xml:space="preserve">对 接 源 · 02 物料与周转物台账（跨文件自动取数 · 断链时自动改用应急备份）</t>
  </si>
  <si>
    <t xml:space="preserve">对 接 源 · 01 入 库 吨 位（跨文件自动取数 · 断链时自动改用应急备份）</t>
  </si>
  <si>
    <t xml:space="preserve">一、实 际 使 用 值（链接正常＝自动取数；断链自动切到右边备份）</t>
  </si>
  <si>
    <t xml:space="preserve">货主/存放人</t>
  </si>
  <si>
    <t xml:space="preserve">品种</t>
  </si>
  <si>
    <t xml:space="preserve">周转打冷入库总筐数</t>
  </si>
  <si>
    <t xml:space="preserve">仓储加工入库总筐数</t>
  </si>
  <si>
    <t xml:space="preserve">合计总重KG</t>
  </si>
  <si>
    <t xml:space="preserve">合计吨位</t>
  </si>
  <si>
    <t xml:space="preserve">周转打冷总重KG</t>
  </si>
  <si>
    <t xml:space="preserve">仓储加工总重KG</t>
  </si>
  <si>
    <t xml:space="preserve">备份-货主</t>
  </si>
  <si>
    <t xml:space="preserve">备份-品种</t>
  </si>
  <si>
    <t xml:space="preserve">备份-打冷筐数</t>
  </si>
  <si>
    <t xml:space="preserve">备份-加工筐数</t>
  </si>
  <si>
    <t xml:space="preserve">备份-总重</t>
  </si>
  <si>
    <t xml:space="preserve">备份-吨位</t>
  </si>
  <si>
    <t xml:space="preserve">备份-打冷重</t>
  </si>
  <si>
    <t xml:space="preserve">备份-加工重</t>
  </si>
  <si>
    <t xml:space="preserve">修复说明</t>
  </si>
  <si>
    <t xml:space="preserve">对 接 源 · 01 库 存 等 级（跨文件自动取数 · 请勿改动结构）</t>
  </si>
  <si>
    <r>
      <rPr>
        <sz val="9"/>
        <color rgb="FF7F7F7F"/>
        <rFont val="微软雅黑"/>
        <family val="0"/>
        <charset val="1"/>
      </rPr>
      <t xml:space="preserve">★ 1:1 </t>
    </r>
    <r>
      <rPr>
        <sz val="9"/>
        <color rgb="FF7F7F7F"/>
        <rFont val="WenQuanYi Zen Hei"/>
        <family val="2"/>
      </rPr>
      <t xml:space="preserve">对应《</t>
    </r>
    <r>
      <rPr>
        <sz val="9"/>
        <color rgb="FF7F7F7F"/>
        <rFont val="微软雅黑"/>
        <family val="0"/>
        <charset val="1"/>
      </rPr>
      <t xml:space="preserve">01 </t>
    </r>
    <r>
      <rPr>
        <sz val="9"/>
        <color rgb="FF7F7F7F"/>
        <rFont val="WenQuanYi Zen Hei"/>
        <family val="2"/>
      </rPr>
      <t xml:space="preserve">水果进销存台账》的【库存等级接口】。链接断了会显示空白，不会报错；把四个文件放同一个文件夹、打开时选「更新链接」就能取到最新的。</t>
    </r>
  </si>
  <si>
    <t xml:space="preserve">货主/客户</t>
  </si>
  <si>
    <t xml:space="preserve">等级</t>
  </si>
  <si>
    <t xml:space="preserve">单位</t>
  </si>
  <si>
    <t xml:space="preserve">结余数量</t>
  </si>
  <si>
    <t xml:space="preserve">结余总重KG</t>
  </si>
  <si>
    <t xml:space="preserve">进 销 存 对 接（跨文件自动取数 · 全部公式，勿手工填）</t>
  </si>
  <si>
    <t xml:space="preserve">★ 全部按【含税金额】记账，不再拆不含税与税额。分录①＝借方科目 借 价税合计，分录②＝贷方科目 贷 价税合计，分录③不用。科目由【收入成本映射】按项目自动指定。</t>
  </si>
  <si>
    <t xml:space="preserve">来源册</t>
  </si>
  <si>
    <t xml:space="preserve">记账类别 / 往来标记</t>
  </si>
  <si>
    <t xml:space="preserve">税率（不再使用）</t>
  </si>
  <si>
    <t xml:space="preserve">记账金额（含税）</t>
  </si>
  <si>
    <t xml:space="preserve">税额（已取消＝0）</t>
  </si>
  <si>
    <t xml:space="preserve">分录①科目</t>
  </si>
  <si>
    <t xml:space="preserve">分录①借方</t>
  </si>
  <si>
    <t xml:space="preserve">分录①贷方</t>
  </si>
  <si>
    <t xml:space="preserve">分录②科目</t>
  </si>
  <si>
    <t xml:space="preserve">分录②借方</t>
  </si>
  <si>
    <t xml:space="preserve">分录②贷方</t>
  </si>
  <si>
    <t xml:space="preserve">分录③科目</t>
  </si>
  <si>
    <t xml:space="preserve">分录③借方</t>
  </si>
  <si>
    <t xml:space="preserve">分录③贷方</t>
  </si>
  <si>
    <t xml:space="preserve">合计</t>
  </si>
  <si>
    <t xml:space="preserve">原 料 入 库 计 价（全展开 · 每个「货主＋品种」自动拆 周转打冷 / 仓储加工 / 装卸费 三行）</t>
  </si>
  <si>
    <t xml:space="preserve">★ 左边货主、品种、项目类别、筐数、总重、吨位全部自动从《01 入库吨位汇总》带过来，一条不会漏；你只要在每行填「计价方式」和「单价」，金额自动算。没有这项收费的行，单价留空就行。</t>
  </si>
  <si>
    <t xml:space="preserve">　　自 动 带 出 ←→ 手 工 填 单 价 ←→ 自 动 算 金 额　　</t>
  </si>
  <si>
    <t xml:space="preserve">项目类别</t>
  </si>
  <si>
    <t xml:space="preserve">入库总筐数</t>
  </si>
  <si>
    <t xml:space="preserve">入库总重KG</t>
  </si>
  <si>
    <t xml:space="preserve">入库吨位</t>
  </si>
  <si>
    <t xml:space="preserve">计价方式</t>
  </si>
  <si>
    <t xml:space="preserve">单价（元）</t>
  </si>
  <si>
    <t xml:space="preserve">计价基数</t>
  </si>
  <si>
    <t xml:space="preserve">金额（元）</t>
  </si>
  <si>
    <t xml:space="preserve">收付方向</t>
  </si>
  <si>
    <t xml:space="preserve">计价日期</t>
  </si>
  <si>
    <r>
      <rPr>
        <sz val="10"/>
        <color rgb="FF1F4E79"/>
        <rFont val="WenQuanYi Zen Hei"/>
        <family val="2"/>
      </rPr>
      <t xml:space="preserve">按总重</t>
    </r>
    <r>
      <rPr>
        <sz val="10"/>
        <color rgb="FF1F4E79"/>
        <rFont val="宋体"/>
        <family val="0"/>
        <charset val="134"/>
      </rPr>
      <t xml:space="preserve">KG×</t>
    </r>
    <r>
      <rPr>
        <sz val="10"/>
        <color rgb="FF1F4E79"/>
        <rFont val="WenQuanYi Zen Hei"/>
        <family val="2"/>
      </rPr>
      <t xml:space="preserve">单价</t>
    </r>
  </si>
  <si>
    <t xml:space="preserve">免费预冷</t>
  </si>
  <si>
    <r>
      <rPr>
        <sz val="10"/>
        <color rgb="FF1F4E79"/>
        <rFont val="WenQuanYi Zen Hei"/>
        <family val="2"/>
      </rPr>
      <t xml:space="preserve">按吨位</t>
    </r>
    <r>
      <rPr>
        <sz val="10"/>
        <color rgb="FF1F4E79"/>
        <rFont val="宋体"/>
        <family val="0"/>
        <charset val="134"/>
      </rPr>
      <t xml:space="preserve">×</t>
    </r>
    <r>
      <rPr>
        <sz val="10"/>
        <color rgb="FF1F4E79"/>
        <rFont val="WenQuanYi Zen Hei"/>
        <family val="2"/>
      </rPr>
      <t xml:space="preserve">单价</t>
    </r>
  </si>
  <si>
    <r>
      <rPr>
        <sz val="10"/>
        <color rgb="FF1F4E79"/>
        <rFont val="WenQuanYi Zen Hei"/>
        <family val="2"/>
      </rPr>
      <t xml:space="preserve">按筐数</t>
    </r>
    <r>
      <rPr>
        <sz val="10"/>
        <color rgb="FF1F4E79"/>
        <rFont val="宋体"/>
        <family val="0"/>
        <charset val="134"/>
      </rPr>
      <t xml:space="preserve">×</t>
    </r>
    <r>
      <rPr>
        <sz val="10"/>
        <color rgb="FF1F4E79"/>
        <rFont val="WenQuanYi Zen Hei"/>
        <family val="2"/>
      </rPr>
      <t xml:space="preserve">单价</t>
    </r>
  </si>
  <si>
    <t xml:space="preserve">按 货 主 / 客 户 汇 总（供【往来对账单】与应收取数）</t>
  </si>
  <si>
    <t xml:space="preserve">周转费金额</t>
  </si>
  <si>
    <t xml:space="preserve">仓储费金额</t>
  </si>
  <si>
    <t xml:space="preserve">装卸费金额</t>
  </si>
  <si>
    <t xml:space="preserve">合计金额</t>
  </si>
  <si>
    <t xml:space="preserve">周转筐数</t>
  </si>
  <si>
    <t xml:space="preserve">仓储筐数</t>
  </si>
  <si>
    <t xml:space="preserve">合计筐数</t>
  </si>
  <si>
    <t xml:space="preserve">未定价行数</t>
  </si>
  <si>
    <t xml:space="preserve">收 入 / 成 本 → 科 目 与 税 率 映 射</t>
  </si>
  <si>
    <t xml:space="preserve">★ 全部按【含税金额】记账，不再拆不含税与税额，所以「税率」列一律 0% 且不参与计算。项目名称必须和《01》《02》【财务取数接口】里的项目一字不差，否则找不到科目。</t>
  </si>
  <si>
    <t xml:space="preserve">项目（与业务册接口表一致）</t>
  </si>
  <si>
    <t xml:space="preserve">记账类别</t>
  </si>
  <si>
    <t xml:space="preserve">税率</t>
  </si>
  <si>
    <t xml:space="preserve">分录借方科目</t>
  </si>
  <si>
    <t xml:space="preserve">分录贷方科目</t>
  </si>
  <si>
    <t xml:space="preserve">说明</t>
  </si>
  <si>
    <t xml:space="preserve">仓储费</t>
  </si>
  <si>
    <t xml:space="preserve">收入型</t>
  </si>
  <si>
    <t xml:space="preserve">0%</t>
  </si>
  <si>
    <t xml:space="preserve">应收账款</t>
  </si>
  <si>
    <t xml:space="preserve">主营业务收入—仓储费</t>
  </si>
  <si>
    <t xml:space="preserve">客户仓储加工的入库筐数×单价</t>
  </si>
  <si>
    <t xml:space="preserve">周转费</t>
  </si>
  <si>
    <t xml:space="preserve">主营业务收入—周转费</t>
  </si>
  <si>
    <t xml:space="preserve">周转打冷的入库筐数×单价</t>
  </si>
  <si>
    <t xml:space="preserve">装卸费</t>
  </si>
  <si>
    <t xml:space="preserve">主营业务收入—装卸费</t>
  </si>
  <si>
    <t xml:space="preserve">入库＋成品出库筐数×单价</t>
  </si>
  <si>
    <t xml:space="preserve">水果销售</t>
  </si>
  <si>
    <t xml:space="preserve">主营业务收入—水果销售</t>
  </si>
  <si>
    <t xml:space="preserve">成品出库中公司自购自销/果然鲜销售</t>
  </si>
  <si>
    <t xml:space="preserve">运费</t>
  </si>
  <si>
    <t xml:space="preserve">其他业务收入—运费</t>
  </si>
  <si>
    <t xml:space="preserve">成品出库的自结/代发运费与其他费用</t>
  </si>
  <si>
    <t xml:space="preserve">其他服务费</t>
  </si>
  <si>
    <t xml:space="preserve">其他业务收入—其他服务费</t>
  </si>
  <si>
    <t xml:space="preserve">手工填的其他服务收入</t>
  </si>
  <si>
    <t xml:space="preserve">筐子销售</t>
  </si>
  <si>
    <t xml:space="preserve">其他业务收入—筐子销售</t>
  </si>
  <si>
    <t xml:space="preserve">周转筐销售出库</t>
  </si>
  <si>
    <t xml:space="preserve">物料销售</t>
  </si>
  <si>
    <t xml:space="preserve">其他业务收入—物料销售</t>
  </si>
  <si>
    <t xml:space="preserve">包装物料销售出库</t>
  </si>
  <si>
    <t xml:space="preserve">筐子租赁费</t>
  </si>
  <si>
    <t xml:space="preserve">其他业务收入—筐子租赁费</t>
  </si>
  <si>
    <t xml:space="preserve">筐子/托盘租赁</t>
  </si>
  <si>
    <t xml:space="preserve">托盘租赁费</t>
  </si>
  <si>
    <t xml:space="preserve">托盘租赁</t>
  </si>
  <si>
    <t xml:space="preserve">押金收取</t>
  </si>
  <si>
    <t xml:space="preserve">不记账</t>
  </si>
  <si>
    <t xml:space="preserve">押金往来，另在【资金日记账】记其他应付款</t>
  </si>
  <si>
    <t xml:space="preserve">押金退还</t>
  </si>
  <si>
    <t xml:space="preserve">自购水果采购入库</t>
  </si>
  <si>
    <t xml:space="preserve">成本型</t>
  </si>
  <si>
    <t xml:space="preserve">库存商品—自购水果</t>
  </si>
  <si>
    <t xml:space="preserve">应付账款</t>
  </si>
  <si>
    <t xml:space="preserve">公司自购自销的入库数量×采购单价</t>
  </si>
  <si>
    <t xml:space="preserve">包装物料采购入库</t>
  </si>
  <si>
    <t xml:space="preserve">原材料—包装物料</t>
  </si>
  <si>
    <t xml:space="preserve">周转筐托盘采购入库</t>
  </si>
  <si>
    <t xml:space="preserve">周转材料—周转筐托盘</t>
  </si>
  <si>
    <t xml:space="preserve">周转筐/托盘采购入库</t>
  </si>
  <si>
    <t xml:space="preserve">自购水果销售成本</t>
  </si>
  <si>
    <t xml:space="preserve">结转型</t>
  </si>
  <si>
    <t xml:space="preserve">主营业务成本</t>
  </si>
  <si>
    <t xml:space="preserve">按加权平均单价结转</t>
  </si>
  <si>
    <t xml:space="preserve">客户应收</t>
  </si>
  <si>
    <t xml:space="preserve">仅供【往来余额表】按客户取数</t>
  </si>
  <si>
    <t xml:space="preserve">自购水果累计入库</t>
  </si>
  <si>
    <t xml:space="preserve">仅供核对</t>
  </si>
  <si>
    <t xml:space="preserve">自购水果累计出库</t>
  </si>
  <si>
    <t xml:space="preserve">加权平均单价（元/筐件）</t>
  </si>
  <si>
    <t xml:space="preserve">期末结存</t>
  </si>
  <si>
    <t xml:space="preserve">包装物料期末库存</t>
  </si>
  <si>
    <t xml:space="preserve">公司筐子期末总量</t>
  </si>
  <si>
    <t xml:space="preserve">客户自备筐结存（表外备查）</t>
  </si>
  <si>
    <t xml:space="preserve">表外备查</t>
  </si>
  <si>
    <t xml:space="preserve">自 动 规 则 · 业 务 类 型 → 对 应 科 目</t>
  </si>
  <si>
    <t xml:space="preserve">【资金日记账】的"对应科目"按本表自动判断，不用再手工筛选。想改口径就改 C / D 两列；个别单据要例外，就在日记账最右边"科目手工覆盖"填上。★ 已新增"押金"一行：收退押金请在日记账把业务类型选"押金"</t>
  </si>
  <si>
    <t xml:space="preserve">业务类型</t>
  </si>
  <si>
    <t xml:space="preserve">收到钱时（收入金额&gt;0）</t>
  </si>
  <si>
    <t xml:space="preserve">付出钱时（支出金额&gt;0）</t>
  </si>
  <si>
    <t xml:space="preserve">收客户仓储费 → 冲减应收；付出＝退款冲回</t>
  </si>
  <si>
    <t xml:space="preserve">加工费</t>
  </si>
  <si>
    <t xml:space="preserve">收客户加工费 → 冲减应收</t>
  </si>
  <si>
    <t xml:space="preserve">收客户装卸费 → 冲减应收</t>
  </si>
  <si>
    <t xml:space="preserve">运费收入</t>
  </si>
  <si>
    <t xml:space="preserve">代垫或代收运费 → 冲减应收</t>
  </si>
  <si>
    <t xml:space="preserve">次果筐、周转筐使用费 → 冲减应收</t>
  </si>
  <si>
    <t xml:space="preserve">筐子卖断的货款 → 冲减应收</t>
  </si>
  <si>
    <t xml:space="preserve">包装物料销售货款 → 冲减应收</t>
  </si>
  <si>
    <t xml:space="preserve">托盘租赁费 → 冲减应收</t>
  </si>
  <si>
    <t xml:space="preserve">公司自销 / 果然鲜销售货款 → 冲减应收</t>
  </si>
  <si>
    <t xml:space="preserve">水果采购</t>
  </si>
  <si>
    <t xml:space="preserve">付水果采购款 → 冲减应付</t>
  </si>
  <si>
    <t xml:space="preserve">包装物料采购</t>
  </si>
  <si>
    <t xml:space="preserve">付物料采购款 → 冲减应付</t>
  </si>
  <si>
    <t xml:space="preserve">周转筐采购</t>
  </si>
  <si>
    <t xml:space="preserve">付筐子、托盘采购款 → 冲减应付</t>
  </si>
  <si>
    <t xml:space="preserve">人工工资</t>
  </si>
  <si>
    <t xml:space="preserve">与【成本费用登记表】口径一致；若单独计提工资可改成"应付职工薪酬"</t>
  </si>
  <si>
    <t xml:space="preserve">水电费</t>
  </si>
  <si>
    <t xml:space="preserve">电费、水费 → 冲减应付</t>
  </si>
  <si>
    <t xml:space="preserve">运输费</t>
  </si>
  <si>
    <t xml:space="preserve">对外支付的运费 → 冲减应付</t>
  </si>
  <si>
    <t xml:space="preserve">租金</t>
  </si>
  <si>
    <t xml:space="preserve">房租、场地租金 → 冲减应付</t>
  </si>
  <si>
    <t xml:space="preserve">折旧摊销</t>
  </si>
  <si>
    <t xml:space="preserve">累计折旧</t>
  </si>
  <si>
    <t xml:space="preserve">折旧一般不走资金，这里只作兜底</t>
  </si>
  <si>
    <t xml:space="preserve">税费</t>
  </si>
  <si>
    <t xml:space="preserve">应交增值税—已交税金</t>
  </si>
  <si>
    <t xml:space="preserve">缴纳增值税；缴其他税种可手工覆盖成对应的应交税费科目</t>
  </si>
  <si>
    <t xml:space="preserve">借款</t>
  </si>
  <si>
    <t xml:space="preserve">短期借款</t>
  </si>
  <si>
    <t xml:space="preserve">借入＝贷记短期借款；归还本金＝借记短期借款</t>
  </si>
  <si>
    <t xml:space="preserve">还款</t>
  </si>
  <si>
    <t xml:space="preserve">客户还我们的钱→应收账款；我们还别人的钱→应付账款</t>
  </si>
  <si>
    <t xml:space="preserve">投资</t>
  </si>
  <si>
    <t xml:space="preserve">实收资本</t>
  </si>
  <si>
    <t xml:space="preserve">股东投入或抽回</t>
  </si>
  <si>
    <t xml:space="preserve">其他</t>
  </si>
  <si>
    <t xml:space="preserve">其他应收款</t>
  </si>
  <si>
    <t xml:space="preserve">其他应付款</t>
  </si>
  <si>
    <t xml:space="preserve">兜底：没匹配到业务类型时也走这一行的口径</t>
  </si>
  <si>
    <t xml:space="preserve">押金</t>
  </si>
  <si>
    <t xml:space="preserve">收客户押金＝贷记其他应付款（是欠客户的钱，不是收入）；退押金＝借记冲减。客户不退筐、押金转赔偿时，再手工做一笔转其他业务收入</t>
  </si>
  <si>
    <t xml:space="preserve">收客户周转打冷费 → 冲减应收</t>
  </si>
  <si>
    <t xml:space="preserve">收客户运费 → 冲减应收；付承运方运费 → 冲减应付</t>
  </si>
  <si>
    <t xml:space="preserve">零星服务费 → 冲减应收</t>
  </si>
  <si>
    <t xml:space="preserve">收客户押金是欠客户的钱，不是收入</t>
  </si>
  <si>
    <t xml:space="preserve">退押金＝借记冲减其他应付款</t>
  </si>
  <si>
    <t xml:space="preserve">装卸费支出</t>
  </si>
  <si>
    <t xml:space="preserve">付给装卸队的钱 → 冲减应付</t>
  </si>
  <si>
    <t xml:space="preserve">电费</t>
  </si>
  <si>
    <t xml:space="preserve">电费 → 冲减应付</t>
  </si>
  <si>
    <t xml:space="preserve">水费</t>
  </si>
  <si>
    <t xml:space="preserve">水费 → 冲减应付</t>
  </si>
  <si>
    <t xml:space="preserve">家用</t>
  </si>
  <si>
    <t xml:space="preserve">老板家用，先挂其他应收款，年底再定性</t>
  </si>
  <si>
    <t xml:space="preserve">永城财务</t>
  </si>
  <si>
    <t xml:space="preserve">关联方往来，挂其他应收款</t>
  </si>
  <si>
    <t xml:space="preserve">业务招待费</t>
  </si>
  <si>
    <t xml:space="preserve">管理费用</t>
  </si>
  <si>
    <t xml:space="preserve">招待支出直接进管理费用</t>
  </si>
  <si>
    <t xml:space="preserve">差旅费</t>
  </si>
  <si>
    <t xml:space="preserve">差旅支出直接进管理费用</t>
  </si>
  <si>
    <t xml:space="preserve">国外</t>
  </si>
  <si>
    <t xml:space="preserve">出国相关支出，先挂其他应收款</t>
  </si>
  <si>
    <t xml:space="preserve">账户互转</t>
  </si>
  <si>
    <t xml:space="preserve">其他货币资金</t>
  </si>
  <si>
    <t xml:space="preserve">两个自有账户之间调钱，一出一入各记一行；对方科目请在日记账最右边「科目手工覆盖」填上另一个账户的科目</t>
  </si>
  <si>
    <t xml:space="preserve">车辆使用费</t>
  </si>
  <si>
    <t xml:space="preserve">油费、过路费、维修 → 管理费用</t>
  </si>
  <si>
    <t xml:space="preserve">个人消费</t>
  </si>
  <si>
    <t xml:space="preserve">与经营无关的个人支出，挂其他应收款</t>
  </si>
  <si>
    <t xml:space="preserve">包装物料销售</t>
  </si>
  <si>
    <t xml:space="preserve">包装物料卖断的货款 → 冲减应收</t>
  </si>
  <si>
    <t xml:space="preserve">个人收入</t>
  </si>
  <si>
    <t xml:space="preserve">个人进账，挂其他应收款</t>
  </si>
  <si>
    <t xml:space="preserve">车费</t>
  </si>
  <si>
    <t xml:space="preserve">打车、班车 → 管理费用</t>
  </si>
  <si>
    <t xml:space="preserve">餐费</t>
  </si>
  <si>
    <t xml:space="preserve">员工餐 → 管理费用</t>
  </si>
  <si>
    <t xml:space="preserve">财务</t>
  </si>
  <si>
    <t xml:space="preserve">财务费用</t>
  </si>
  <si>
    <t xml:space="preserve">手续费一类 → 财务费用</t>
  </si>
  <si>
    <t xml:space="preserve">租库定金</t>
  </si>
  <si>
    <t xml:space="preserve">预付账款</t>
  </si>
  <si>
    <t xml:space="preserve">付出去的定金先挂预付账款，正式起租再转租金</t>
  </si>
  <si>
    <t xml:space="preserve">办公用品</t>
  </si>
  <si>
    <t xml:space="preserve">办公消耗 → 管理费用</t>
  </si>
  <si>
    <t xml:space="preserve">利息</t>
  </si>
  <si>
    <t xml:space="preserve">利息收入/支出 → 财务费用</t>
  </si>
  <si>
    <r>
      <rPr>
        <sz val="9"/>
        <color rgb="FF7F7F7F"/>
        <rFont val="WenQuanYi Zen Hei"/>
        <family val="2"/>
      </rPr>
      <t xml:space="preserve">提示：本表由【科目表】</t>
    </r>
    <r>
      <rPr>
        <sz val="9"/>
        <color rgb="FF7F7F7F"/>
        <rFont val="微软雅黑"/>
        <family val="0"/>
        <charset val="1"/>
      </rPr>
      <t xml:space="preserve">J </t>
    </r>
    <r>
      <rPr>
        <sz val="9"/>
        <color rgb="FF7F7F7F"/>
        <rFont val="WenQuanYi Zen Hei"/>
        <family val="2"/>
      </rPr>
      <t xml:space="preserve">列「业务类型」自动对齐 —— 新增业务类型请先在科目表 </t>
    </r>
    <r>
      <rPr>
        <sz val="9"/>
        <color rgb="FF7F7F7F"/>
        <rFont val="微软雅黑"/>
        <family val="0"/>
        <charset val="1"/>
      </rPr>
      <t xml:space="preserve">J </t>
    </r>
    <r>
      <rPr>
        <sz val="9"/>
        <color rgb="FF7F7F7F"/>
        <rFont val="WenQuanYi Zen Hei"/>
        <family val="2"/>
      </rPr>
      <t xml:space="preserve">列加一行，再回到本表空白行填上「收到钱时 </t>
    </r>
    <r>
      <rPr>
        <sz val="9"/>
        <color rgb="FF7F7F7F"/>
        <rFont val="微软雅黑"/>
        <family val="0"/>
        <charset val="1"/>
      </rPr>
      <t xml:space="preserve">/ </t>
    </r>
    <r>
      <rPr>
        <sz val="9"/>
        <color rgb="FF7F7F7F"/>
        <rFont val="WenQuanYi Zen Hei"/>
        <family val="2"/>
      </rPr>
      <t xml:space="preserve">付出钱时」两个科目。没填的，收款默认走「其他应收款」、付款默认走「其他应付款」；个别单据要例外，就在日记账最右边「科目手工覆盖」里填。</t>
    </r>
  </si>
  <si>
    <t xml:space="preserve">会 计 科 目 表（小企业会计准则）</t>
  </si>
  <si>
    <t xml:space="preserve">★「报表项目」是资产负债表/利润表取数的钥匙，新增科目必须填。M 列「费用项目」和 U 列「费用对应科目」是一对：出纳在【资金日记账】选了费用项目，这笔现金支出就自动记到 U 列指定的会计科目（成本/费用），不用再手工选对应科目。U 列可以按你们的口径改。</t>
  </si>
  <si>
    <t xml:space="preserve">科目编码</t>
  </si>
  <si>
    <t xml:space="preserve">科目名称</t>
  </si>
  <si>
    <t xml:space="preserve">科目类别</t>
  </si>
  <si>
    <t xml:space="preserve">余额方向</t>
  </si>
  <si>
    <t xml:space="preserve">报表项目</t>
  </si>
  <si>
    <t xml:space="preserve">损益方向</t>
  </si>
  <si>
    <t xml:space="preserve">往来单位</t>
  </si>
  <si>
    <t xml:space="preserve">资金账户</t>
  </si>
  <si>
    <t xml:space="preserve">收入项目</t>
  </si>
  <si>
    <t xml:space="preserve">费用项目</t>
  </si>
  <si>
    <t xml:space="preserve">结算方式</t>
  </si>
  <si>
    <t xml:space="preserve">是否</t>
  </si>
  <si>
    <r>
      <rPr>
        <sz val="9"/>
        <color rgb="FF7F7F7F"/>
        <rFont val="WenQuanYi Zen Hei"/>
        <family val="2"/>
      </rPr>
      <t xml:space="preserve">（已并入 </t>
    </r>
    <r>
      <rPr>
        <sz val="9"/>
        <color rgb="FF7F7F7F"/>
        <rFont val="微软雅黑"/>
        <family val="0"/>
        <charset val="1"/>
      </rPr>
      <t xml:space="preserve">K </t>
    </r>
    <r>
      <rPr>
        <sz val="9"/>
        <color rgb="FF7F7F7F"/>
        <rFont val="WenQuanYi Zen Hei"/>
        <family val="2"/>
      </rPr>
      <t xml:space="preserve">列）</t>
    </r>
  </si>
  <si>
    <t xml:space="preserve">对应会计科目
(对着左边 K 列的资金账户)</t>
  </si>
  <si>
    <t xml:space="preserve">费用对应科目</t>
  </si>
  <si>
    <t xml:space="preserve">1001</t>
  </si>
  <si>
    <t xml:space="preserve">库存现金</t>
  </si>
  <si>
    <t xml:space="preserve">资产</t>
  </si>
  <si>
    <t xml:space="preserve">借</t>
  </si>
  <si>
    <t xml:space="preserve">货币资金</t>
  </si>
  <si>
    <t xml:space="preserve">聂新平</t>
  </si>
  <si>
    <t xml:space="preserve">现金</t>
  </si>
  <si>
    <t xml:space="preserve">是</t>
  </si>
  <si>
    <t xml:space="preserve">1002</t>
  </si>
  <si>
    <t xml:space="preserve">银行存款</t>
  </si>
  <si>
    <t xml:space="preserve">王照雪</t>
  </si>
  <si>
    <r>
      <rPr>
        <sz val="10"/>
        <rFont val="WenQuanYi Zen Hei"/>
        <family val="2"/>
      </rPr>
      <t xml:space="preserve">基本户</t>
    </r>
    <r>
      <rPr>
        <sz val="10"/>
        <rFont val="宋体"/>
        <family val="0"/>
        <charset val="1"/>
      </rPr>
      <t xml:space="preserve">-</t>
    </r>
    <r>
      <rPr>
        <sz val="10"/>
        <rFont val="WenQuanYi Zen Hei"/>
        <family val="2"/>
      </rPr>
      <t xml:space="preserve">银行存款</t>
    </r>
  </si>
  <si>
    <t xml:space="preserve">银行转账</t>
  </si>
  <si>
    <t xml:space="preserve">1%</t>
  </si>
  <si>
    <t xml:space="preserve">否</t>
  </si>
  <si>
    <t xml:space="preserve">1012</t>
  </si>
  <si>
    <t xml:space="preserve">伍元虎</t>
  </si>
  <si>
    <r>
      <rPr>
        <sz val="10"/>
        <rFont val="WenQuanYi Zen Hei"/>
        <family val="2"/>
      </rPr>
      <t xml:space="preserve">一般户</t>
    </r>
    <r>
      <rPr>
        <sz val="10"/>
        <rFont val="宋体"/>
        <family val="0"/>
        <charset val="1"/>
      </rPr>
      <t xml:space="preserve">-</t>
    </r>
    <r>
      <rPr>
        <sz val="10"/>
        <rFont val="WenQuanYi Zen Hei"/>
        <family val="2"/>
      </rPr>
      <t xml:space="preserve">银行存款</t>
    </r>
  </si>
  <si>
    <t xml:space="preserve">小工费</t>
  </si>
  <si>
    <t xml:space="preserve">微信</t>
  </si>
  <si>
    <t xml:space="preserve">3%</t>
  </si>
  <si>
    <t xml:space="preserve">1121</t>
  </si>
  <si>
    <t xml:space="preserve">应收票据</t>
  </si>
  <si>
    <t xml:space="preserve">麦麦提</t>
  </si>
  <si>
    <t xml:space="preserve">支付宝</t>
  </si>
  <si>
    <t xml:space="preserve">5%</t>
  </si>
  <si>
    <t xml:space="preserve">1122</t>
  </si>
  <si>
    <t xml:space="preserve">热合曼</t>
  </si>
  <si>
    <t xml:space="preserve">自己人工资</t>
  </si>
  <si>
    <t xml:space="preserve">承兑汇票</t>
  </si>
  <si>
    <t xml:space="preserve">6%</t>
  </si>
  <si>
    <t xml:space="preserve">1123</t>
  </si>
  <si>
    <t xml:space="preserve">预付款项</t>
  </si>
  <si>
    <t xml:space="preserve">王灵云</t>
  </si>
  <si>
    <t xml:space="preserve">抵账</t>
  </si>
  <si>
    <t xml:space="preserve">9%</t>
  </si>
  <si>
    <t xml:space="preserve">1131</t>
  </si>
  <si>
    <t xml:space="preserve">应收股利</t>
  </si>
  <si>
    <t xml:space="preserve">马锦祥</t>
  </si>
  <si>
    <r>
      <rPr>
        <sz val="11"/>
        <color theme="1"/>
        <rFont val="WenQuanYi Zen Hei"/>
        <family val="2"/>
      </rPr>
      <t xml:space="preserve">工行</t>
    </r>
    <r>
      <rPr>
        <sz val="11"/>
        <color theme="1"/>
        <rFont val="宋体"/>
        <family val="0"/>
        <charset val="134"/>
      </rPr>
      <t xml:space="preserve">-</t>
    </r>
    <r>
      <rPr>
        <sz val="11"/>
        <color theme="1"/>
        <rFont val="WenQuanYi Zen Hei"/>
        <family val="2"/>
      </rPr>
      <t xml:space="preserve">姜诗林</t>
    </r>
  </si>
  <si>
    <t xml:space="preserve">筐子运费</t>
  </si>
  <si>
    <t xml:space="preserve">赊销挂账</t>
  </si>
  <si>
    <t xml:space="preserve">13%</t>
  </si>
  <si>
    <t xml:space="preserve">1132</t>
  </si>
  <si>
    <t xml:space="preserve">应收利息</t>
  </si>
  <si>
    <t xml:space="preserve">贾建国</t>
  </si>
  <si>
    <r>
      <rPr>
        <sz val="11"/>
        <color theme="1"/>
        <rFont val="WenQuanYi Zen Hei"/>
        <family val="2"/>
      </rPr>
      <t xml:space="preserve">建行</t>
    </r>
    <r>
      <rPr>
        <sz val="11"/>
        <color theme="1"/>
        <rFont val="宋体"/>
        <family val="0"/>
        <charset val="134"/>
      </rPr>
      <t xml:space="preserve">-</t>
    </r>
    <r>
      <rPr>
        <sz val="11"/>
        <color theme="1"/>
        <rFont val="WenQuanYi Zen Hei"/>
        <family val="2"/>
      </rPr>
      <t xml:space="preserve">张涛</t>
    </r>
  </si>
  <si>
    <t xml:space="preserve">预收冲抵</t>
  </si>
  <si>
    <t xml:space="preserve">1221</t>
  </si>
  <si>
    <t xml:space="preserve">荆建君</t>
  </si>
  <si>
    <t xml:space="preserve">慢慢微信</t>
  </si>
  <si>
    <t xml:space="preserve">维修费</t>
  </si>
  <si>
    <t xml:space="preserve">1231</t>
  </si>
  <si>
    <t xml:space="preserve">坏账准备</t>
  </si>
  <si>
    <t xml:space="preserve">贷</t>
  </si>
  <si>
    <t xml:space="preserve">艾合买提</t>
  </si>
  <si>
    <t xml:space="preserve">果然鲜微信</t>
  </si>
  <si>
    <t xml:space="preserve">冷库配件</t>
  </si>
  <si>
    <t xml:space="preserve">1401</t>
  </si>
  <si>
    <t xml:space="preserve">材料采购</t>
  </si>
  <si>
    <t xml:space="preserve">存货</t>
  </si>
  <si>
    <t xml:space="preserve">王浩</t>
  </si>
  <si>
    <t xml:space="preserve">次果苹果款</t>
  </si>
  <si>
    <t xml:space="preserve">冷媒</t>
  </si>
  <si>
    <t xml:space="preserve">1403</t>
  </si>
  <si>
    <t xml:space="preserve">电商/主播</t>
  </si>
  <si>
    <t xml:space="preserve">次果梨款</t>
  </si>
  <si>
    <t xml:space="preserve">除垢剂</t>
  </si>
  <si>
    <t xml:space="preserve">1405</t>
  </si>
  <si>
    <t xml:space="preserve">吐尔逊</t>
  </si>
  <si>
    <t xml:space="preserve">水泵</t>
  </si>
  <si>
    <t xml:space="preserve">1406</t>
  </si>
  <si>
    <t xml:space="preserve">库存商品—加工成品</t>
  </si>
  <si>
    <t xml:space="preserve">张艺</t>
  </si>
  <si>
    <t xml:space="preserve">电焊</t>
  </si>
  <si>
    <t xml:space="preserve">1407</t>
  </si>
  <si>
    <t xml:space="preserve">郭勇义</t>
  </si>
  <si>
    <t xml:space="preserve">消防</t>
  </si>
  <si>
    <t xml:space="preserve">1471</t>
  </si>
  <si>
    <t xml:space="preserve">存货跌价准备</t>
  </si>
  <si>
    <t xml:space="preserve">王庆文</t>
  </si>
  <si>
    <t xml:space="preserve">监控</t>
  </si>
  <si>
    <t xml:space="preserve">1601</t>
  </si>
  <si>
    <t xml:space="preserve">固定资产</t>
  </si>
  <si>
    <t xml:space="preserve">固定资产原价</t>
  </si>
  <si>
    <t xml:space="preserve">果然鲜</t>
  </si>
  <si>
    <t xml:space="preserve">网线</t>
  </si>
  <si>
    <t xml:space="preserve">1602</t>
  </si>
  <si>
    <t xml:space="preserve">努尔敦</t>
  </si>
  <si>
    <t xml:space="preserve">水泥</t>
  </si>
  <si>
    <t xml:space="preserve">1604</t>
  </si>
  <si>
    <t xml:space="preserve">在建工程</t>
  </si>
  <si>
    <t xml:space="preserve">鑫旺塑业</t>
  </si>
  <si>
    <t xml:space="preserve">新建栅子</t>
  </si>
  <si>
    <t xml:space="preserve">1701</t>
  </si>
  <si>
    <t xml:space="preserve">无形资产</t>
  </si>
  <si>
    <t xml:space="preserve">华鑫塑业</t>
  </si>
  <si>
    <t xml:space="preserve">房间装修家具</t>
  </si>
  <si>
    <t xml:space="preserve">1702</t>
  </si>
  <si>
    <t xml:space="preserve">累计摊销</t>
  </si>
  <si>
    <t xml:space="preserve">全修塑业</t>
  </si>
  <si>
    <t xml:space="preserve">五金店</t>
  </si>
  <si>
    <t xml:space="preserve">1801</t>
  </si>
  <si>
    <t xml:space="preserve">长期待摊费用</t>
  </si>
  <si>
    <t xml:space="preserve">新顺发泡网</t>
  </si>
  <si>
    <t xml:space="preserve">灯</t>
  </si>
  <si>
    <t xml:space="preserve">2001</t>
  </si>
  <si>
    <t xml:space="preserve">负债</t>
  </si>
  <si>
    <t xml:space="preserve">武宁气泡垫</t>
  </si>
  <si>
    <t xml:space="preserve">办公设备用品</t>
  </si>
  <si>
    <t xml:space="preserve">2201</t>
  </si>
  <si>
    <t xml:space="preserve">应付票据</t>
  </si>
  <si>
    <t xml:space="preserve">秦晓燕</t>
  </si>
  <si>
    <t xml:space="preserve">打印及广告</t>
  </si>
  <si>
    <t xml:space="preserve">销售费用</t>
  </si>
  <si>
    <t xml:space="preserve">2202</t>
  </si>
  <si>
    <t xml:space="preserve">任斌</t>
  </si>
  <si>
    <t xml:space="preserve">日用品</t>
  </si>
  <si>
    <t xml:space="preserve">2203</t>
  </si>
  <si>
    <t xml:space="preserve">预收账款</t>
  </si>
  <si>
    <t xml:space="preserve">预收款项</t>
  </si>
  <si>
    <t xml:space="preserve">牟韬</t>
  </si>
  <si>
    <t xml:space="preserve">厨房吃</t>
  </si>
  <si>
    <t xml:space="preserve">2211</t>
  </si>
  <si>
    <t xml:space="preserve">应付职工薪酬</t>
  </si>
  <si>
    <t xml:space="preserve">许学福</t>
  </si>
  <si>
    <t xml:space="preserve">吃饭</t>
  </si>
  <si>
    <t xml:space="preserve">222101</t>
  </si>
  <si>
    <t xml:space="preserve">应交增值税—销项税额</t>
  </si>
  <si>
    <t xml:space="preserve">应交税费</t>
  </si>
  <si>
    <t xml:space="preserve">杨萌</t>
  </si>
  <si>
    <t xml:space="preserve">员工福利奖金补贴</t>
  </si>
  <si>
    <t xml:space="preserve">222102</t>
  </si>
  <si>
    <t xml:space="preserve">应交增值税—进项税额</t>
  </si>
  <si>
    <t xml:space="preserve">刘瑞</t>
  </si>
  <si>
    <t xml:space="preserve">员工医药费</t>
  </si>
  <si>
    <t xml:space="preserve">222103</t>
  </si>
  <si>
    <t xml:space="preserve">张桂荣</t>
  </si>
  <si>
    <t xml:space="preserve">招待费</t>
  </si>
  <si>
    <t xml:space="preserve">222104</t>
  </si>
  <si>
    <t xml:space="preserve">应交增值税—进项税额转出</t>
  </si>
  <si>
    <t xml:space="preserve">小曹</t>
  </si>
  <si>
    <t xml:space="preserve">222105</t>
  </si>
  <si>
    <t xml:space="preserve">未交增值税</t>
  </si>
  <si>
    <t xml:space="preserve">金玲</t>
  </si>
  <si>
    <t xml:space="preserve">送礼</t>
  </si>
  <si>
    <t xml:space="preserve">222106</t>
  </si>
  <si>
    <t xml:space="preserve">应交城市维护建设税</t>
  </si>
  <si>
    <t xml:space="preserve">张涛香梨</t>
  </si>
  <si>
    <t xml:space="preserve">好处费</t>
  </si>
  <si>
    <t xml:space="preserve">222107</t>
  </si>
  <si>
    <t xml:space="preserve">应交教育费附加</t>
  </si>
  <si>
    <t xml:space="preserve">于瑞波</t>
  </si>
  <si>
    <t xml:space="preserve">花</t>
  </si>
  <si>
    <t xml:space="preserve">222108</t>
  </si>
  <si>
    <t xml:space="preserve">应交地方教育附加</t>
  </si>
  <si>
    <t xml:space="preserve">于翠青</t>
  </si>
  <si>
    <t xml:space="preserve">领导拿货</t>
  </si>
  <si>
    <t xml:space="preserve">222109</t>
  </si>
  <si>
    <t xml:space="preserve">应交企业所得税</t>
  </si>
  <si>
    <t xml:space="preserve">话费</t>
  </si>
  <si>
    <t xml:space="preserve">222110</t>
  </si>
  <si>
    <t xml:space="preserve">应交个人所得税</t>
  </si>
  <si>
    <t xml:space="preserve">保险费</t>
  </si>
  <si>
    <t xml:space="preserve">2231</t>
  </si>
  <si>
    <t xml:space="preserve">应付利息</t>
  </si>
  <si>
    <t xml:space="preserve">停车费</t>
  </si>
  <si>
    <t xml:space="preserve">2232</t>
  </si>
  <si>
    <t xml:space="preserve">应付利润</t>
  </si>
  <si>
    <t xml:space="preserve">车违章及加油</t>
  </si>
  <si>
    <t xml:space="preserve">2241</t>
  </si>
  <si>
    <t xml:space="preserve">垃圾费</t>
  </si>
  <si>
    <t xml:space="preserve">2401</t>
  </si>
  <si>
    <t xml:space="preserve">递延收益</t>
  </si>
  <si>
    <t xml:space="preserve">房租</t>
  </si>
  <si>
    <t xml:space="preserve">2501</t>
  </si>
  <si>
    <t xml:space="preserve">长期借款</t>
  </si>
  <si>
    <t xml:space="preserve">2701</t>
  </si>
  <si>
    <t xml:space="preserve">长期应付款</t>
  </si>
  <si>
    <t xml:space="preserve">3001</t>
  </si>
  <si>
    <t xml:space="preserve">权益</t>
  </si>
  <si>
    <t xml:space="preserve">手续费</t>
  </si>
  <si>
    <t xml:space="preserve">3002</t>
  </si>
  <si>
    <t xml:space="preserve">资本公积</t>
  </si>
  <si>
    <t xml:space="preserve">利息支出</t>
  </si>
  <si>
    <t xml:space="preserve">3101</t>
  </si>
  <si>
    <t xml:space="preserve">盈余公积</t>
  </si>
  <si>
    <t xml:space="preserve">税金及附加</t>
  </si>
  <si>
    <t xml:space="preserve">3103</t>
  </si>
  <si>
    <t xml:space="preserve">本年利润</t>
  </si>
  <si>
    <t xml:space="preserve">未分配利润</t>
  </si>
  <si>
    <t xml:space="preserve">采购成本</t>
  </si>
  <si>
    <t xml:space="preserve">3104</t>
  </si>
  <si>
    <t xml:space="preserve">利润分配—未分配利润</t>
  </si>
  <si>
    <t xml:space="preserve">5001</t>
  </si>
  <si>
    <t xml:space="preserve">主营业务收入—加工费</t>
  </si>
  <si>
    <t xml:space="preserve">损益</t>
  </si>
  <si>
    <t xml:space="preserve">营业收入</t>
  </si>
  <si>
    <t xml:space="preserve">收入</t>
  </si>
  <si>
    <t xml:space="preserve">医药费</t>
  </si>
  <si>
    <t xml:space="preserve">5002</t>
  </si>
  <si>
    <t xml:space="preserve">赔付出库</t>
  </si>
  <si>
    <t xml:space="preserve">5003</t>
  </si>
  <si>
    <t xml:space="preserve">5004</t>
  </si>
  <si>
    <t xml:space="preserve">车充电</t>
  </si>
  <si>
    <t xml:space="preserve">5051</t>
  </si>
  <si>
    <t xml:space="preserve">其他业务收入—筐子租售</t>
  </si>
  <si>
    <t xml:space="preserve">5052</t>
  </si>
  <si>
    <t xml:space="preserve">5053</t>
  </si>
  <si>
    <t xml:space="preserve">其他业务收入—运费及其他</t>
  </si>
  <si>
    <t xml:space="preserve">代办费</t>
  </si>
  <si>
    <t xml:space="preserve">5111</t>
  </si>
  <si>
    <t xml:space="preserve">投资收益</t>
  </si>
  <si>
    <t xml:space="preserve">转入微信</t>
  </si>
  <si>
    <t xml:space="preserve">5301</t>
  </si>
  <si>
    <t xml:space="preserve">营业外收入</t>
  </si>
  <si>
    <t xml:space="preserve">5401</t>
  </si>
  <si>
    <t xml:space="preserve">营业成本</t>
  </si>
  <si>
    <t xml:space="preserve">费用</t>
  </si>
  <si>
    <t xml:space="preserve">包装物料款</t>
  </si>
  <si>
    <t xml:space="preserve">5402</t>
  </si>
  <si>
    <t xml:space="preserve">其他业务成本</t>
  </si>
  <si>
    <t xml:space="preserve">还信用卡</t>
  </si>
  <si>
    <t xml:space="preserve">5403</t>
  </si>
  <si>
    <t xml:space="preserve">滴滴打车</t>
  </si>
  <si>
    <t xml:space="preserve">5601</t>
  </si>
  <si>
    <t xml:space="preserve">5602</t>
  </si>
  <si>
    <t xml:space="preserve">儿子消费</t>
  </si>
  <si>
    <t xml:space="preserve">5603</t>
  </si>
  <si>
    <t xml:space="preserve">婆婆消费</t>
  </si>
  <si>
    <t xml:space="preserve">5711</t>
  </si>
  <si>
    <t xml:space="preserve">营业外支出</t>
  </si>
  <si>
    <t xml:space="preserve">杨洋消费</t>
  </si>
  <si>
    <t xml:space="preserve">5801</t>
  </si>
  <si>
    <t xml:space="preserve">所得税费用</t>
  </si>
  <si>
    <t xml:space="preserve">鱼消费</t>
  </si>
  <si>
    <t xml:space="preserve">商店</t>
  </si>
  <si>
    <t xml:space="preserve">超市</t>
  </si>
  <si>
    <t xml:space="preserve">快递费</t>
  </si>
  <si>
    <t xml:space="preserve">蛋糕</t>
  </si>
  <si>
    <t xml:space="preserve">住宿费</t>
  </si>
  <si>
    <t xml:space="preserve">劳保</t>
  </si>
  <si>
    <t xml:space="preserve">期 初 余 额 表</t>
  </si>
  <si>
    <t xml:space="preserve">★ 只填 D、E 两列（蓝色）。资产/成本类填借方，负债/权益类填贷方；右侧另填各资金账户期初余额</t>
  </si>
  <si>
    <t xml:space="preserve">期初借方余额</t>
  </si>
  <si>
    <t xml:space="preserve">期初贷方余额</t>
  </si>
  <si>
    <t xml:space="preserve">资金账户
(自动跟科目表)</t>
  </si>
  <si>
    <t xml:space="preserve">资 金 日 记 账（出纳每天记，自动生成收付款凭证）</t>
  </si>
  <si>
    <t xml:space="preserve">★ 资金账户 / 业务类型 / 费用项目三个下拉，全部直接取【科目表】K、J、M 三列 —— 在科目表里加一行，这里马上就能选到。「对应科目」按【自动规则】和科目表 U 列自动判断；配了但没填科目的，收款走「其他应收款」、付款走「其他应付款」、费用走「管理费用」兜底，个别单据要例外就在最右边「科目手工覆盖」里填。</t>
  </si>
  <si>
    <t xml:space="preserve">日期</t>
  </si>
  <si>
    <t xml:space="preserve">摘要</t>
  </si>
  <si>
    <t xml:space="preserve">收入金额</t>
  </si>
  <si>
    <t xml:space="preserve">支出金额</t>
  </si>
  <si>
    <t xml:space="preserve">账户余额</t>
  </si>
  <si>
    <t xml:space="preserve">对应科目</t>
  </si>
  <si>
    <t xml:space="preserve">账户对应科目</t>
  </si>
  <si>
    <t xml:space="preserve">科目手工覆盖（留空＝自动）</t>
  </si>
  <si>
    <t xml:space="preserve">已在成本费用表登记?（登记过才填「是」）</t>
  </si>
  <si>
    <t xml:space="preserve">年月（自动）</t>
  </si>
  <si>
    <r>
      <rPr>
        <sz val="10"/>
        <color rgb="FF1F4E79"/>
        <rFont val="WenQuanYi Zen Hei"/>
        <family val="2"/>
      </rPr>
      <t xml:space="preserve">基本户</t>
    </r>
    <r>
      <rPr>
        <sz val="10"/>
        <color rgb="FF1F4E79"/>
        <rFont val="宋体"/>
        <family val="0"/>
        <charset val="134"/>
      </rPr>
      <t xml:space="preserve">-</t>
    </r>
    <r>
      <rPr>
        <sz val="10"/>
        <color rgb="FF1F4E79"/>
        <rFont val="WenQuanYi Zen Hei"/>
        <family val="2"/>
      </rPr>
      <t xml:space="preserve">银行存款</t>
    </r>
  </si>
  <si>
    <t xml:space="preserve">财务支出</t>
  </si>
  <si>
    <t xml:space="preserve">预支工资</t>
  </si>
  <si>
    <t xml:space="preserve">任经理</t>
  </si>
  <si>
    <t xml:space="preserve">用于还款张桂荣</t>
  </si>
  <si>
    <r>
      <rPr>
        <sz val="10"/>
        <color rgb="FF1F4E79"/>
        <rFont val="宋体"/>
        <family val="0"/>
        <charset val="134"/>
      </rPr>
      <t xml:space="preserve">2025</t>
    </r>
    <r>
      <rPr>
        <sz val="10"/>
        <color rgb="FF1F4E79"/>
        <rFont val="WenQuanYi Zen Hei"/>
        <family val="2"/>
      </rPr>
      <t xml:space="preserve">年度香梨款</t>
    </r>
  </si>
  <si>
    <r>
      <rPr>
        <sz val="10"/>
        <color rgb="FF1F4E79"/>
        <rFont val="宋体"/>
        <family val="0"/>
        <charset val="134"/>
      </rPr>
      <t xml:space="preserve">2026</t>
    </r>
    <r>
      <rPr>
        <sz val="10"/>
        <color rgb="FF1F4E79"/>
        <rFont val="WenQuanYi Zen Hei"/>
        <family val="2"/>
      </rPr>
      <t xml:space="preserve">年度香梨款</t>
    </r>
  </si>
  <si>
    <t xml:space="preserve">香梨代办费</t>
  </si>
  <si>
    <t xml:space="preserve">中秋月饼</t>
  </si>
  <si>
    <t xml:space="preserve">祁豪</t>
  </si>
  <si>
    <t xml:space="preserve">儿子班费</t>
  </si>
  <si>
    <t xml:space="preserve">于涛赫</t>
  </si>
  <si>
    <t xml:space="preserve">电车充电</t>
  </si>
  <si>
    <t xml:space="preserve">蛋白棒</t>
  </si>
  <si>
    <t xml:space="preserve">慢慢</t>
  </si>
  <si>
    <t xml:space="preserve">儿子</t>
  </si>
  <si>
    <t xml:space="preserve">饮料</t>
  </si>
  <si>
    <t xml:space="preserve">女王微信</t>
  </si>
  <si>
    <t xml:space="preserve">香梨纸款</t>
  </si>
  <si>
    <t xml:space="preserve">热和曼</t>
  </si>
  <si>
    <t xml:space="preserve">发红包</t>
  </si>
  <si>
    <t xml:space="preserve">姜诗林转来</t>
  </si>
  <si>
    <t xml:space="preserve">阿克苏家</t>
  </si>
  <si>
    <t xml:space="preserve">打车</t>
  </si>
  <si>
    <t xml:space="preserve">麻辣烫</t>
  </si>
  <si>
    <t xml:space="preserve">儿子补习班</t>
  </si>
  <si>
    <t xml:space="preserve">儿子零食</t>
  </si>
  <si>
    <t xml:space="preserve">儿子零花钱</t>
  </si>
  <si>
    <t xml:space="preserve">万和源</t>
  </si>
  <si>
    <t xml:space="preserve">蛋糕开卡</t>
  </si>
  <si>
    <t xml:space="preserve">零食</t>
  </si>
  <si>
    <t xml:space="preserve">药</t>
  </si>
  <si>
    <t xml:space="preserve">火锅</t>
  </si>
  <si>
    <t xml:space="preserve">定金</t>
  </si>
  <si>
    <t xml:space="preserve">杨萌开业</t>
  </si>
  <si>
    <t xml:space="preserve">广告牌</t>
  </si>
  <si>
    <t xml:space="preserve">叉车工押金</t>
  </si>
  <si>
    <t xml:space="preserve">饺子速冻食品</t>
  </si>
  <si>
    <t xml:space="preserve">长城</t>
  </si>
  <si>
    <t xml:space="preserve">手抓饼</t>
  </si>
  <si>
    <t xml:space="preserve">烧烤</t>
  </si>
  <si>
    <t xml:space="preserve">面包</t>
  </si>
  <si>
    <t xml:space="preserve">米线</t>
  </si>
  <si>
    <t xml:space="preserve">刀片</t>
  </si>
  <si>
    <t xml:space="preserve">贾建国定金</t>
  </si>
  <si>
    <t xml:space="preserve">艾和买提定金</t>
  </si>
  <si>
    <t xml:space="preserve">卡哈尔江定金</t>
  </si>
  <si>
    <t xml:space="preserve">王灵云定金</t>
  </si>
  <si>
    <t xml:space="preserve">退卡哈尔江</t>
  </si>
  <si>
    <t xml:space="preserve">唐旭</t>
  </si>
  <si>
    <t xml:space="preserve">做饭许师傅</t>
  </si>
  <si>
    <t xml:space="preserve">垫付任斌</t>
  </si>
  <si>
    <t xml:space="preserve">退王灵云</t>
  </si>
  <si>
    <t xml:space="preserve">烟</t>
  </si>
  <si>
    <t xml:space="preserve">退艾合买提</t>
  </si>
  <si>
    <t xml:space="preserve">托盘押金</t>
  </si>
  <si>
    <t xml:space="preserve">退托盘押金</t>
  </si>
  <si>
    <t xml:space="preserve">筐子押金</t>
  </si>
  <si>
    <t xml:space="preserve">牛奶</t>
  </si>
  <si>
    <t xml:space="preserve">托盘采购</t>
  </si>
  <si>
    <t xml:space="preserve">成 本 费 用 登 记 表（工资 / 水电 / 折旧 / 租金等没有业务台账来源的支出）</t>
  </si>
  <si>
    <t xml:space="preserve">★ 一切没有业务台账来源的支出都记在这里：工资、装卸费、电费、水费、差旅、维修、招待…「价税合计」＝本次发生额（成本），「本单已付金额」＝已经付掉的钱，差额就是【应付账款】。例：本月电费 10000 元、只付了 5000，H 填 10000、AA 填 5000，应付余额自动显示 5000。付款那笔现金流请同时记到【资金日记账】。</t>
  </si>
  <si>
    <t xml:space="preserve">供应商/对象</t>
  </si>
  <si>
    <t xml:space="preserve">费用类别</t>
  </si>
  <si>
    <t xml:space="preserve">数量</t>
  </si>
  <si>
    <t xml:space="preserve">单价</t>
  </si>
  <si>
    <t xml:space="preserve">价税合计</t>
  </si>
  <si>
    <t xml:space="preserve">进项税额（已取消＝0）</t>
  </si>
  <si>
    <t xml:space="preserve">票据/发票号</t>
  </si>
  <si>
    <t xml:space="preserve">是否取得专票</t>
  </si>
  <si>
    <t xml:space="preserve">付款状态</t>
  </si>
  <si>
    <t xml:space="preserve">本单已付金额</t>
  </si>
  <si>
    <t xml:space="preserve">应付余额</t>
  </si>
  <si>
    <t xml:space="preserve">对 账 补 充 行（借款 / 还款 / 优惠 / 抹零 / 未退筐 等手工行）</t>
  </si>
  <si>
    <t xml:space="preserve">★【往来对账单】= 原料入库计价 + 资金日记账 + 成本费用登记表 + 本表。凡是台账里没有、又要在对账单上体现的行，都填在这里。金额自动＝数量×单价；直接填「金额手工覆盖」列可写死金额（优惠、抹零填负数）。</t>
  </si>
  <si>
    <t xml:space="preserve">已付款</t>
  </si>
  <si>
    <t xml:space="preserve">金额手工覆盖</t>
  </si>
  <si>
    <t xml:space="preserve">记 账 凭 证（自动生成 + 手工调整）</t>
  </si>
  <si>
    <t xml:space="preserve">凭证字号</t>
  </si>
  <si>
    <t xml:space="preserve">借方金额</t>
  </si>
  <si>
    <t xml:space="preserve">贷方金额</t>
  </si>
  <si>
    <t xml:space="preserve">附单据数</t>
  </si>
  <si>
    <t xml:space="preserve">制单人</t>
  </si>
  <si>
    <t xml:space="preserve">数据来源</t>
  </si>
  <si>
    <t xml:space="preserve">合计 / 借贷平衡校验</t>
  </si>
  <si>
    <t xml:space="preserve">资 金 账 户 与 往 来 单 位 余 额 表（全部自动计算）</t>
  </si>
  <si>
    <t xml:space="preserve">一、资金账户结存（取自【资金日记账】）</t>
  </si>
  <si>
    <t xml:space="preserve">本期收入</t>
  </si>
  <si>
    <t xml:space="preserve">本期支出</t>
  </si>
  <si>
    <t xml:space="preserve">期末余额</t>
  </si>
  <si>
    <t xml:space="preserve">账面货币资金（科目余额表）</t>
  </si>
  <si>
    <t xml:space="preserve">二、往来单位余额（往来单位自动生成 · 应收＝业务册已确认的应收 − 资金日记账实收；应付＝账面凭证）</t>
  </si>
  <si>
    <t xml:space="preserve">期初应收</t>
  </si>
  <si>
    <t xml:space="preserve">本期应收发生</t>
  </si>
  <si>
    <t xml:space="preserve">资金实收</t>
  </si>
  <si>
    <t xml:space="preserve">应收余额</t>
  </si>
  <si>
    <t xml:space="preserve">期初应付</t>
  </si>
  <si>
    <t xml:space="preserve">本期应付发生</t>
  </si>
  <si>
    <t xml:space="preserve">资金实付</t>
  </si>
  <si>
    <t xml:space="preserve">应 收 应 付 汇 总 表（往来单位自动生成）</t>
  </si>
  <si>
    <t xml:space="preserve">应收余额＝期初应收＋本期应收发生−资金实收　｜　应付余额＝期初应付＋本期应付发生−资金实付　｜　净往来＝应收余额−应付余额（正数＝对方欠我们）</t>
  </si>
  <si>
    <t xml:space="preserve">净往来</t>
  </si>
  <si>
    <t xml:space="preserve">库 存 价 值 与 欠 款 比 对</t>
  </si>
  <si>
    <t xml:space="preserve">★ 下半部分「单价」那一列是淡黄色的手工格，你按等级填个心里价，库存价值自动算。上半部分按客户把库存价值和应收款摆在一起：差额＝库存价值−应收款。差额为正＝他压在我们库里的货够抵账，可以先不催；为负＝货不够抵，该收钱了。</t>
  </si>
  <si>
    <t xml:space="preserve">一、按 客 户 比 对（库存价值 ↔ 应收款 ↔ 差额）</t>
  </si>
  <si>
    <t xml:space="preserve">客户</t>
  </si>
  <si>
    <t xml:space="preserve">库存笔数</t>
  </si>
  <si>
    <t xml:space="preserve">库存价值</t>
  </si>
  <si>
    <t xml:space="preserve">应收款余额</t>
  </si>
  <si>
    <t xml:space="preserve">差额（库存价值−应收）</t>
  </si>
  <si>
    <t xml:space="preserve">建议</t>
  </si>
  <si>
    <t xml:space="preserve">合  计</t>
  </si>
  <si>
    <t xml:space="preserve">二、按 客 户 ＋ 等 级 明 细（「单价」是淡黄色手工格，填了库存价值就自动出）</t>
  </si>
  <si>
    <t xml:space="preserve">单价（手工填）</t>
  </si>
  <si>
    <t xml:space="preserve">库存状态</t>
  </si>
  <si>
    <t xml:space="preserve">收 入 月 度 汇 总（往来单位 × 24 个月 · 全自动）</t>
  </si>
  <si>
    <t xml:space="preserve">★ 只填 F2「起始年月」。口径＝【资金日记账】E 列「往来单位」的收入金额，按 V 列年月归月；单位名单也直接取自资金日记账 E 列。</t>
  </si>
  <si>
    <t xml:space="preserve">起始年月</t>
  </si>
  <si>
    <t xml:space="preserve">各 月 小 计</t>
  </si>
  <si>
    <t xml:space="preserve">往来单位 / 月份</t>
  </si>
  <si>
    <t xml:space="preserve">合计收入</t>
  </si>
  <si>
    <t xml:space="preserve">合　计</t>
  </si>
  <si>
    <t xml:space="preserve">费 用 月 度 汇 总（成本项目 × 24 个月 · 全自动）</t>
  </si>
  <si>
    <t xml:space="preserve">★ 只填 F2「起始年月」，表头自动排出 24 个年月。口径＝【资金日记账】G 列「费用项目」的支出（「已在成本费用表登记」没填「是」的）＋【成本费用登记表】D 列「费用项目」的发生额；项目名单也自动取自这两处。</t>
  </si>
  <si>
    <t xml:space="preserve">费用项目 / 月份</t>
  </si>
  <si>
    <t xml:space="preserve">合计发生额</t>
  </si>
  <si>
    <t xml:space="preserve">其中已付</t>
  </si>
  <si>
    <t xml:space="preserve">应 付 账 款 明 细（按供应商 / 对象 · 全自动）</t>
  </si>
  <si>
    <t xml:space="preserve">★ 数据来自【成本费用登记表】：发生额＝价税合计，已付＝本单已付金额，应付余额＝两者之差。例：应付员工装卸费、应付供电局电费、应付供应商货款，都在这里看。</t>
  </si>
  <si>
    <t xml:space="preserve">供应商 / 对象</t>
  </si>
  <si>
    <t xml:space="preserve">发生笔数</t>
  </si>
  <si>
    <t xml:space="preserve">发生额合计</t>
  </si>
  <si>
    <t xml:space="preserve">已付合计</t>
  </si>
  <si>
    <t xml:space="preserve">最近一笔日期</t>
  </si>
  <si>
    <t xml:space="preserve">主要费用类别</t>
  </si>
  <si>
    <t xml:space="preserve">新疆果然鲜仓储有限公司</t>
  </si>
  <si>
    <t xml:space="preserve">对账单</t>
  </si>
  <si>
    <t xml:space="preserve">客　户:</t>
  </si>
  <si>
    <t xml:space="preserve">开始日期:</t>
  </si>
  <si>
    <t xml:space="preserve">结束日期:</t>
  </si>
  <si>
    <t xml:space="preserve">品　类:</t>
  </si>
  <si>
    <t xml:space="preserve">对账笔数:</t>
  </si>
  <si>
    <t xml:space="preserve">是否含税:</t>
  </si>
  <si>
    <t xml:space="preserve">不含税</t>
  </si>
  <si>
    <t xml:space="preserve">电　话:</t>
  </si>
  <si>
    <t xml:space="preserve">筛选说明</t>
  </si>
  <si>
    <t xml:space="preserve">只填 B2 客户；日期留空＝不限时间</t>
  </si>
  <si>
    <t xml:space="preserve">日　期</t>
  </si>
  <si>
    <t xml:space="preserve">摘　　要</t>
  </si>
  <si>
    <t xml:space="preserve">单 位</t>
  </si>
  <si>
    <t xml:space="preserve">入库毛重</t>
  </si>
  <si>
    <t xml:space="preserve">单　价</t>
  </si>
  <si>
    <t xml:space="preserve">备　　注</t>
  </si>
  <si>
    <t xml:space="preserve">合计金额:</t>
  </si>
  <si>
    <t xml:space="preserve">已 付 款:</t>
  </si>
  <si>
    <t xml:space="preserve">应 收 款:</t>
  </si>
  <si>
    <t xml:space="preserve">截止今天，贵公司共欠我方应收账款：</t>
  </si>
  <si>
    <t xml:space="preserve">常 用 会 计 分 录 参 考</t>
  </si>
  <si>
    <t xml:space="preserve">打 √ 的已由系统自动生成，不用手工做；只有最后几条需要在【记账凭证】手工区自己录</t>
  </si>
  <si>
    <t xml:space="preserve">业务场景</t>
  </si>
  <si>
    <t xml:space="preserve">借方科目</t>
  </si>
  <si>
    <t xml:space="preserve">贷方科目</t>
  </si>
  <si>
    <t xml:space="preserve">谁来做</t>
  </si>
  <si>
    <t xml:space="preserve">仓储费 / 加工费 / 装卸费 结算</t>
  </si>
  <si>
    <r>
      <rPr>
        <sz val="10"/>
        <rFont val="宋体"/>
        <family val="0"/>
        <charset val="134"/>
      </rPr>
      <t xml:space="preserve">1122 </t>
    </r>
    <r>
      <rPr>
        <sz val="10"/>
        <rFont val="WenQuanYi Zen Hei"/>
        <family val="2"/>
      </rPr>
      <t xml:space="preserve">应收账款</t>
    </r>
  </si>
  <si>
    <r>
      <rPr>
        <sz val="10"/>
        <rFont val="宋体"/>
        <family val="0"/>
        <charset val="134"/>
      </rPr>
      <t xml:space="preserve">5001/5002/5003 </t>
    </r>
    <r>
      <rPr>
        <sz val="10"/>
        <rFont val="WenQuanYi Zen Hei"/>
        <family val="2"/>
      </rPr>
      <t xml:space="preserve">主营业务收入；</t>
    </r>
    <r>
      <rPr>
        <sz val="10"/>
        <rFont val="宋体"/>
        <family val="0"/>
        <charset val="134"/>
      </rPr>
      <t xml:space="preserve">222101 </t>
    </r>
    <r>
      <rPr>
        <sz val="10"/>
        <rFont val="WenQuanYi Zen Hei"/>
        <family val="2"/>
      </rPr>
      <t xml:space="preserve">销项税额</t>
    </r>
  </si>
  <si>
    <t xml:space="preserve">√ 自动区A</t>
  </si>
  <si>
    <t xml:space="preserve">水果销售（公司自购自销）</t>
  </si>
  <si>
    <r>
      <rPr>
        <sz val="10"/>
        <rFont val="宋体"/>
        <family val="0"/>
        <charset val="134"/>
      </rPr>
      <t xml:space="preserve">5004 </t>
    </r>
    <r>
      <rPr>
        <sz val="10"/>
        <rFont val="WenQuanYi Zen Hei"/>
        <family val="2"/>
      </rPr>
      <t xml:space="preserve">主营业务收入—水果销售；</t>
    </r>
    <r>
      <rPr>
        <sz val="10"/>
        <rFont val="宋体"/>
        <family val="0"/>
        <charset val="134"/>
      </rPr>
      <t xml:space="preserve">222101 </t>
    </r>
    <r>
      <rPr>
        <sz val="10"/>
        <rFont val="WenQuanYi Zen Hei"/>
        <family val="2"/>
      </rPr>
      <t xml:space="preserve">销项税额</t>
    </r>
  </si>
  <si>
    <t xml:space="preserve">运费及其他收入</t>
  </si>
  <si>
    <r>
      <rPr>
        <sz val="10"/>
        <rFont val="宋体"/>
        <family val="0"/>
        <charset val="134"/>
      </rPr>
      <t xml:space="preserve">5053 </t>
    </r>
    <r>
      <rPr>
        <sz val="10"/>
        <rFont val="WenQuanYi Zen Hei"/>
        <family val="2"/>
      </rPr>
      <t xml:space="preserve">其他业务收入；</t>
    </r>
    <r>
      <rPr>
        <sz val="10"/>
        <rFont val="宋体"/>
        <family val="0"/>
        <charset val="134"/>
      </rPr>
      <t xml:space="preserve">222101 </t>
    </r>
    <r>
      <rPr>
        <sz val="10"/>
        <rFont val="WenQuanYi Zen Hei"/>
        <family val="2"/>
      </rPr>
      <t xml:space="preserve">销项税额</t>
    </r>
  </si>
  <si>
    <t xml:space="preserve">筐子销售 / 次果筐使用费 / 托盘租赁</t>
  </si>
  <si>
    <r>
      <rPr>
        <sz val="10"/>
        <rFont val="宋体"/>
        <family val="0"/>
        <charset val="134"/>
      </rPr>
      <t xml:space="preserve">5051 </t>
    </r>
    <r>
      <rPr>
        <sz val="10"/>
        <rFont val="WenQuanYi Zen Hei"/>
        <family val="2"/>
      </rPr>
      <t xml:space="preserve">其他业务收入—筐子租售；</t>
    </r>
    <r>
      <rPr>
        <sz val="10"/>
        <rFont val="宋体"/>
        <family val="0"/>
        <charset val="134"/>
      </rPr>
      <t xml:space="preserve">222101 </t>
    </r>
    <r>
      <rPr>
        <sz val="10"/>
        <rFont val="WenQuanYi Zen Hei"/>
        <family val="2"/>
      </rPr>
      <t xml:space="preserve">销项税额</t>
    </r>
  </si>
  <si>
    <t xml:space="preserve">包装物料销售给客户</t>
  </si>
  <si>
    <r>
      <rPr>
        <sz val="10"/>
        <rFont val="宋体"/>
        <family val="0"/>
        <charset val="134"/>
      </rPr>
      <t xml:space="preserve">5052 </t>
    </r>
    <r>
      <rPr>
        <sz val="10"/>
        <rFont val="WenQuanYi Zen Hei"/>
        <family val="2"/>
      </rPr>
      <t xml:space="preserve">其他业务收入—物料销售；</t>
    </r>
    <r>
      <rPr>
        <sz val="10"/>
        <rFont val="宋体"/>
        <family val="0"/>
        <charset val="134"/>
      </rPr>
      <t xml:space="preserve">222101 </t>
    </r>
    <r>
      <rPr>
        <sz val="10"/>
        <rFont val="WenQuanYi Zen Hei"/>
        <family val="2"/>
      </rPr>
      <t xml:space="preserve">销项税额</t>
    </r>
  </si>
  <si>
    <r>
      <rPr>
        <sz val="10"/>
        <rFont val="宋体"/>
        <family val="0"/>
        <charset val="134"/>
      </rPr>
      <t xml:space="preserve">1405 </t>
    </r>
    <r>
      <rPr>
        <sz val="10"/>
        <rFont val="WenQuanYi Zen Hei"/>
        <family val="2"/>
      </rPr>
      <t xml:space="preserve">库存商品—自购水果；</t>
    </r>
    <r>
      <rPr>
        <sz val="10"/>
        <rFont val="宋体"/>
        <family val="0"/>
        <charset val="134"/>
      </rPr>
      <t xml:space="preserve">222102 </t>
    </r>
    <r>
      <rPr>
        <sz val="10"/>
        <rFont val="WenQuanYi Zen Hei"/>
        <family val="2"/>
      </rPr>
      <t xml:space="preserve">进项税额</t>
    </r>
  </si>
  <si>
    <r>
      <rPr>
        <sz val="10"/>
        <rFont val="宋体"/>
        <family val="0"/>
        <charset val="134"/>
      </rPr>
      <t xml:space="preserve">2202 </t>
    </r>
    <r>
      <rPr>
        <sz val="10"/>
        <rFont val="WenQuanYi Zen Hei"/>
        <family val="2"/>
      </rPr>
      <t xml:space="preserve">应付账款</t>
    </r>
  </si>
  <si>
    <r>
      <rPr>
        <sz val="10"/>
        <rFont val="宋体"/>
        <family val="0"/>
        <charset val="134"/>
      </rPr>
      <t xml:space="preserve">1403 </t>
    </r>
    <r>
      <rPr>
        <sz val="10"/>
        <rFont val="WenQuanYi Zen Hei"/>
        <family val="2"/>
      </rPr>
      <t xml:space="preserve">原材料—包装物料；</t>
    </r>
    <r>
      <rPr>
        <sz val="10"/>
        <rFont val="宋体"/>
        <family val="0"/>
        <charset val="134"/>
      </rPr>
      <t xml:space="preserve">222102 </t>
    </r>
    <r>
      <rPr>
        <sz val="10"/>
        <rFont val="WenQuanYi Zen Hei"/>
        <family val="2"/>
      </rPr>
      <t xml:space="preserve">进项税额</t>
    </r>
  </si>
  <si>
    <t xml:space="preserve">周转筐 / 托盘采购入库</t>
  </si>
  <si>
    <r>
      <rPr>
        <sz val="10"/>
        <rFont val="宋体"/>
        <family val="0"/>
        <charset val="134"/>
      </rPr>
      <t xml:space="preserve">1407 </t>
    </r>
    <r>
      <rPr>
        <sz val="10"/>
        <rFont val="WenQuanYi Zen Hei"/>
        <family val="2"/>
      </rPr>
      <t xml:space="preserve">周转材料；</t>
    </r>
    <r>
      <rPr>
        <sz val="10"/>
        <rFont val="宋体"/>
        <family val="0"/>
        <charset val="134"/>
      </rPr>
      <t xml:space="preserve">222102 </t>
    </r>
    <r>
      <rPr>
        <sz val="10"/>
        <rFont val="WenQuanYi Zen Hei"/>
        <family val="2"/>
      </rPr>
      <t xml:space="preserve">进项税额</t>
    </r>
  </si>
  <si>
    <t xml:space="preserve">自购水果销售结转成本</t>
  </si>
  <si>
    <r>
      <rPr>
        <sz val="10"/>
        <rFont val="宋体"/>
        <family val="0"/>
        <charset val="134"/>
      </rPr>
      <t xml:space="preserve">5401 </t>
    </r>
    <r>
      <rPr>
        <sz val="10"/>
        <rFont val="WenQuanYi Zen Hei"/>
        <family val="2"/>
      </rPr>
      <t xml:space="preserve">主营业务成本</t>
    </r>
  </si>
  <si>
    <r>
      <rPr>
        <sz val="10"/>
        <rFont val="宋体"/>
        <family val="0"/>
        <charset val="134"/>
      </rPr>
      <t xml:space="preserve">1405 </t>
    </r>
    <r>
      <rPr>
        <sz val="10"/>
        <rFont val="WenQuanYi Zen Hei"/>
        <family val="2"/>
      </rPr>
      <t xml:space="preserve">库存商品—自购水果</t>
    </r>
  </si>
  <si>
    <t xml:space="preserve">收到客户货款</t>
  </si>
  <si>
    <r>
      <rPr>
        <sz val="10"/>
        <rFont val="宋体"/>
        <family val="0"/>
        <charset val="134"/>
      </rPr>
      <t xml:space="preserve">1001/1002/1012 </t>
    </r>
    <r>
      <rPr>
        <sz val="10"/>
        <rFont val="WenQuanYi Zen Hei"/>
        <family val="2"/>
      </rPr>
      <t xml:space="preserve">资金科目</t>
    </r>
  </si>
  <si>
    <t xml:space="preserve">√ 自动区B（录日记账即可）</t>
  </si>
  <si>
    <t xml:space="preserve">支付供应商货款</t>
  </si>
  <si>
    <r>
      <rPr>
        <sz val="10"/>
        <rFont val="宋体"/>
        <family val="0"/>
        <charset val="134"/>
      </rPr>
      <t xml:space="preserve">1002 </t>
    </r>
    <r>
      <rPr>
        <sz val="10"/>
        <rFont val="WenQuanYi Zen Hei"/>
        <family val="2"/>
      </rPr>
      <t xml:space="preserve">银行存款</t>
    </r>
  </si>
  <si>
    <t xml:space="preserve">缴纳税款</t>
  </si>
  <si>
    <r>
      <rPr>
        <sz val="10"/>
        <rFont val="宋体"/>
        <family val="0"/>
        <charset val="134"/>
      </rPr>
      <t xml:space="preserve">222105 </t>
    </r>
    <r>
      <rPr>
        <sz val="10"/>
        <rFont val="WenQuanYi Zen Hei"/>
        <family val="2"/>
      </rPr>
      <t xml:space="preserve">未交增值税等</t>
    </r>
  </si>
  <si>
    <t xml:space="preserve">计提工资 / 水电 / 折旧 / 租金</t>
  </si>
  <si>
    <r>
      <rPr>
        <sz val="10"/>
        <rFont val="宋体"/>
        <family val="0"/>
        <charset val="134"/>
      </rPr>
      <t xml:space="preserve">5401 </t>
    </r>
    <r>
      <rPr>
        <sz val="10"/>
        <rFont val="WenQuanYi Zen Hei"/>
        <family val="2"/>
      </rPr>
      <t xml:space="preserve">主营业务成本 </t>
    </r>
    <r>
      <rPr>
        <sz val="10"/>
        <rFont val="宋体"/>
        <family val="0"/>
        <charset val="134"/>
      </rPr>
      <t xml:space="preserve">/ 5602 </t>
    </r>
    <r>
      <rPr>
        <sz val="10"/>
        <rFont val="WenQuanYi Zen Hei"/>
        <family val="2"/>
      </rPr>
      <t xml:space="preserve">管理费用</t>
    </r>
  </si>
  <si>
    <t xml:space="preserve">√ 自动区C（录成本费用登记表）</t>
  </si>
  <si>
    <t xml:space="preserve">发放工资</t>
  </si>
  <si>
    <r>
      <rPr>
        <sz val="10"/>
        <rFont val="宋体"/>
        <family val="0"/>
        <charset val="134"/>
      </rPr>
      <t xml:space="preserve">2202 </t>
    </r>
    <r>
      <rPr>
        <sz val="10"/>
        <rFont val="WenQuanYi Zen Hei"/>
        <family val="2"/>
      </rPr>
      <t xml:space="preserve">应付账款 或 </t>
    </r>
    <r>
      <rPr>
        <sz val="10"/>
        <rFont val="宋体"/>
        <family val="0"/>
        <charset val="134"/>
      </rPr>
      <t xml:space="preserve">2211 </t>
    </r>
    <r>
      <rPr>
        <sz val="10"/>
        <rFont val="WenQuanYi Zen Hei"/>
        <family val="2"/>
      </rPr>
      <t xml:space="preserve">应付职工薪酬</t>
    </r>
  </si>
  <si>
    <t xml:space="preserve">√ 自动区B</t>
  </si>
  <si>
    <t xml:space="preserve">月末结转应交增值税</t>
  </si>
  <si>
    <r>
      <rPr>
        <sz val="10"/>
        <rFont val="宋体"/>
        <family val="0"/>
        <charset val="134"/>
      </rPr>
      <t xml:space="preserve">222101 </t>
    </r>
    <r>
      <rPr>
        <sz val="10"/>
        <rFont val="WenQuanYi Zen Hei"/>
        <family val="2"/>
      </rPr>
      <t xml:space="preserve">销项税额</t>
    </r>
  </si>
  <si>
    <r>
      <rPr>
        <sz val="10"/>
        <rFont val="宋体"/>
        <family val="0"/>
        <charset val="134"/>
      </rPr>
      <t xml:space="preserve">222102 </t>
    </r>
    <r>
      <rPr>
        <sz val="10"/>
        <rFont val="WenQuanYi Zen Hei"/>
        <family val="2"/>
      </rPr>
      <t xml:space="preserve">进项税额；</t>
    </r>
    <r>
      <rPr>
        <sz val="10"/>
        <rFont val="宋体"/>
        <family val="0"/>
        <charset val="134"/>
      </rPr>
      <t xml:space="preserve">222105 </t>
    </r>
    <r>
      <rPr>
        <sz val="10"/>
        <rFont val="WenQuanYi Zen Hei"/>
        <family val="2"/>
      </rPr>
      <t xml:space="preserve">未交增值税</t>
    </r>
  </si>
  <si>
    <t xml:space="preserve">手工区（每月一次）</t>
  </si>
  <si>
    <t xml:space="preserve">计提城建税及附加</t>
  </si>
  <si>
    <r>
      <rPr>
        <sz val="10"/>
        <rFont val="宋体"/>
        <family val="0"/>
        <charset val="134"/>
      </rPr>
      <t xml:space="preserve">5403 </t>
    </r>
    <r>
      <rPr>
        <sz val="10"/>
        <rFont val="WenQuanYi Zen Hei"/>
        <family val="2"/>
      </rPr>
      <t xml:space="preserve">税金及附加</t>
    </r>
  </si>
  <si>
    <r>
      <rPr>
        <sz val="10"/>
        <rFont val="宋体"/>
        <family val="0"/>
        <charset val="134"/>
      </rPr>
      <t xml:space="preserve">222106/107/108 </t>
    </r>
    <r>
      <rPr>
        <sz val="10"/>
        <rFont val="WenQuanYi Zen Hei"/>
        <family val="2"/>
      </rPr>
      <t xml:space="preserve">附加税费</t>
    </r>
  </si>
  <si>
    <t xml:space="preserve">计提企业所得税</t>
  </si>
  <si>
    <r>
      <rPr>
        <sz val="10"/>
        <rFont val="宋体"/>
        <family val="0"/>
        <charset val="134"/>
      </rPr>
      <t xml:space="preserve">5801 </t>
    </r>
    <r>
      <rPr>
        <sz val="10"/>
        <rFont val="WenQuanYi Zen Hei"/>
        <family val="2"/>
      </rPr>
      <t xml:space="preserve">所得税费用</t>
    </r>
  </si>
  <si>
    <r>
      <rPr>
        <sz val="10"/>
        <rFont val="宋体"/>
        <family val="0"/>
        <charset val="134"/>
      </rPr>
      <t xml:space="preserve">222109 </t>
    </r>
    <r>
      <rPr>
        <sz val="10"/>
        <rFont val="WenQuanYi Zen Hei"/>
        <family val="2"/>
      </rPr>
      <t xml:space="preserve">应交企业所得税</t>
    </r>
  </si>
  <si>
    <t xml:space="preserve">手工区（按季/年）</t>
  </si>
  <si>
    <t xml:space="preserve">年末结转损益（做完请把资产负债表开关改“是”）</t>
  </si>
  <si>
    <r>
      <rPr>
        <sz val="10"/>
        <rFont val="宋体"/>
        <family val="0"/>
        <charset val="134"/>
      </rPr>
      <t xml:space="preserve">5001-5053 </t>
    </r>
    <r>
      <rPr>
        <sz val="10"/>
        <rFont val="WenQuanYi Zen Hei"/>
        <family val="2"/>
      </rPr>
      <t xml:space="preserve">各收入科目；</t>
    </r>
    <r>
      <rPr>
        <sz val="10"/>
        <rFont val="宋体"/>
        <family val="0"/>
        <charset val="134"/>
      </rPr>
      <t xml:space="preserve">3103 </t>
    </r>
    <r>
      <rPr>
        <sz val="10"/>
        <rFont val="WenQuanYi Zen Hei"/>
        <family val="2"/>
      </rPr>
      <t xml:space="preserve">本年利润</t>
    </r>
  </si>
  <si>
    <r>
      <rPr>
        <sz val="10"/>
        <rFont val="宋体"/>
        <family val="0"/>
        <charset val="134"/>
      </rPr>
      <t xml:space="preserve">3103 </t>
    </r>
    <r>
      <rPr>
        <sz val="10"/>
        <rFont val="WenQuanYi Zen Hei"/>
        <family val="2"/>
      </rPr>
      <t xml:space="preserve">本年利润；</t>
    </r>
    <r>
      <rPr>
        <sz val="10"/>
        <rFont val="宋体"/>
        <family val="0"/>
        <charset val="134"/>
      </rPr>
      <t xml:space="preserve">5401-5801 </t>
    </r>
    <r>
      <rPr>
        <sz val="10"/>
        <rFont val="WenQuanYi Zen Hei"/>
        <family val="2"/>
      </rPr>
      <t xml:space="preserve">各成本费用科目</t>
    </r>
  </si>
  <si>
    <t xml:space="preserve">手工区（一年一次）</t>
  </si>
  <si>
    <t xml:space="preserve">盘盈盘亏、坏账、调整分录</t>
  </si>
  <si>
    <t xml:space="preserve">按实际</t>
  </si>
  <si>
    <t xml:space="preserve">手工区</t>
  </si>
  <si>
    <t xml:space="preserve">科 目 余 额 表（全部自动计算）</t>
  </si>
  <si>
    <t xml:space="preserve">开始(实际)</t>
  </si>
  <si>
    <t xml:space="preserve">★ 本表是资产负债表 / 利润表的取数底表。填右边【开始日期／结束日期】即可按区间出账：期初＝建账期初＋区间之前的发生额，本期发生＝区间内的凭证，期末＝期初±本期。留空＝不限时间（全部）。</t>
  </si>
  <si>
    <t xml:space="preserve">开始日期</t>
  </si>
  <si>
    <t xml:space="preserve">结束日期</t>
  </si>
  <si>
    <t xml:space="preserve">结束(实际)</t>
  </si>
  <si>
    <t xml:space="preserve">期初借方（含区间前）</t>
  </si>
  <si>
    <t xml:space="preserve">期初贷方（含区间前）</t>
  </si>
  <si>
    <t xml:space="preserve">本期借方发生</t>
  </si>
  <si>
    <t xml:space="preserve">本期贷方发生</t>
  </si>
  <si>
    <t xml:space="preserve">期末借方</t>
  </si>
  <si>
    <t xml:space="preserve">期末贷方</t>
  </si>
  <si>
    <t xml:space="preserve">资 产 负 债 表</t>
  </si>
  <si>
    <t xml:space="preserve">★ 本表按【科目余额表】第 2 行的起止日期出数：C/G 列「期末余额」＝结束日期时点的余额，D/H 列「年初余额」＝开始日期时点的余额。要换期间请到【科目余额表】改日期，本表会跟着变。</t>
  </si>
  <si>
    <t xml:space="preserve">本期是否已做结转损益凭证：</t>
  </si>
  <si>
    <t xml:space="preserve">选“否”＝未做结转损益凭证，未分配利润自动加上全部未结转的损益余额（含以前期间）</t>
  </si>
  <si>
    <t xml:space="preserve">编制单位：</t>
  </si>
  <si>
    <t xml:space="preserve">报表日期：</t>
  </si>
  <si>
    <t xml:space="preserve">资　产</t>
  </si>
  <si>
    <t xml:space="preserve">行次</t>
  </si>
  <si>
    <t xml:space="preserve">期末余额（结束日期时点）</t>
  </si>
  <si>
    <t xml:space="preserve">年初余额（开始日期时点）</t>
  </si>
  <si>
    <t xml:space="preserve">负债和所有者权益</t>
  </si>
  <si>
    <t xml:space="preserve">流动资产：</t>
  </si>
  <si>
    <t xml:space="preserve">流动负债：</t>
  </si>
  <si>
    <t xml:space="preserve">　货币资金</t>
  </si>
  <si>
    <t xml:space="preserve">　短期借款</t>
  </si>
  <si>
    <t xml:space="preserve">　短期投资</t>
  </si>
  <si>
    <t xml:space="preserve">　应付票据</t>
  </si>
  <si>
    <t xml:space="preserve">　应收票据</t>
  </si>
  <si>
    <t xml:space="preserve">　应付账款</t>
  </si>
  <si>
    <t xml:space="preserve">　应收账款</t>
  </si>
  <si>
    <t xml:space="preserve">　预收款项</t>
  </si>
  <si>
    <t xml:space="preserve">　预付款项</t>
  </si>
  <si>
    <t xml:space="preserve">　应付职工薪酬</t>
  </si>
  <si>
    <t xml:space="preserve">　应收股利</t>
  </si>
  <si>
    <t xml:space="preserve">　应交税费</t>
  </si>
  <si>
    <t xml:space="preserve">　应收利息</t>
  </si>
  <si>
    <t xml:space="preserve">　应付利息</t>
  </si>
  <si>
    <t xml:space="preserve">　其他应收款</t>
  </si>
  <si>
    <t xml:space="preserve">　应付利润</t>
  </si>
  <si>
    <t xml:space="preserve">　存货</t>
  </si>
  <si>
    <t xml:space="preserve">　其他应付款</t>
  </si>
  <si>
    <t xml:space="preserve">　　其中：原材料—包装物料</t>
  </si>
  <si>
    <t xml:space="preserve">　其他流动负债</t>
  </si>
  <si>
    <t xml:space="preserve">　　　　　库存商品—自购水果</t>
  </si>
  <si>
    <t xml:space="preserve">流动负债合计</t>
  </si>
  <si>
    <t xml:space="preserve">　　　　　库存商品—加工成品</t>
  </si>
  <si>
    <t xml:space="preserve">非流动负债：</t>
  </si>
  <si>
    <t xml:space="preserve">　　　　　周转材料—周转筐托盘</t>
  </si>
  <si>
    <t xml:space="preserve">　长期借款</t>
  </si>
  <si>
    <t xml:space="preserve">　其他流动资产</t>
  </si>
  <si>
    <t xml:space="preserve">　长期应付款</t>
  </si>
  <si>
    <t xml:space="preserve">流动资产合计</t>
  </si>
  <si>
    <t xml:space="preserve">　递延收益</t>
  </si>
  <si>
    <t xml:space="preserve">非流动资产：</t>
  </si>
  <si>
    <t xml:space="preserve">　其他非流动负债</t>
  </si>
  <si>
    <t xml:space="preserve">　长期债券投资</t>
  </si>
  <si>
    <t xml:space="preserve">非流动负债合计</t>
  </si>
  <si>
    <t xml:space="preserve">　长期股权投资</t>
  </si>
  <si>
    <t xml:space="preserve">负　债　合　计</t>
  </si>
  <si>
    <t xml:space="preserve">　固定资产原价</t>
  </si>
  <si>
    <t xml:space="preserve">所有者权益：</t>
  </si>
  <si>
    <t xml:space="preserve">　减：累计折旧</t>
  </si>
  <si>
    <t xml:space="preserve">　实收资本</t>
  </si>
  <si>
    <t xml:space="preserve">　固定资产账面价值</t>
  </si>
  <si>
    <t xml:space="preserve">　资本公积</t>
  </si>
  <si>
    <t xml:space="preserve">　在建工程</t>
  </si>
  <si>
    <t xml:space="preserve">　盈余公积</t>
  </si>
  <si>
    <t xml:space="preserve">　工程物资</t>
  </si>
  <si>
    <t xml:space="preserve">　未分配利润</t>
  </si>
  <si>
    <t xml:space="preserve">　固定资产清理</t>
  </si>
  <si>
    <t xml:space="preserve">所有者权益合计</t>
  </si>
  <si>
    <t xml:space="preserve">　生产性生物资产</t>
  </si>
  <si>
    <t xml:space="preserve">负债和所有者权益总计</t>
  </si>
  <si>
    <t xml:space="preserve">　无形资产</t>
  </si>
  <si>
    <t xml:space="preserve">　开发支出</t>
  </si>
  <si>
    <t xml:space="preserve">　长期待摊费用</t>
  </si>
  <si>
    <t xml:space="preserve">　其他非流动资产</t>
  </si>
  <si>
    <t xml:space="preserve">非流动资产合计</t>
  </si>
  <si>
    <t xml:space="preserve">资　产　总　计</t>
  </si>
  <si>
    <t xml:space="preserve">利 润 表</t>
  </si>
  <si>
    <t xml:space="preserve">本期起</t>
  </si>
  <si>
    <t xml:space="preserve">★ 只填第 3 行三个日期：本期起始 / 本期截止（留空＝跟【科目余额表】一致）；「本年累计起始」留空＝跟本期起始一致。C 列＝本期区间发生额，D 列＝本年累计起始到本期截止的累计。</t>
  </si>
  <si>
    <t xml:space="preserve">本期止</t>
  </si>
  <si>
    <t xml:space="preserve">本期起始日期：</t>
  </si>
  <si>
    <t xml:space="preserve">本期截止日期：</t>
  </si>
  <si>
    <t xml:space="preserve">本年累计起始：</t>
  </si>
  <si>
    <t xml:space="preserve">本年起</t>
  </si>
  <si>
    <t xml:space="preserve">项　　目</t>
  </si>
  <si>
    <t xml:space="preserve">本期金额</t>
  </si>
  <si>
    <t xml:space="preserve">本年累计金额</t>
  </si>
  <si>
    <t xml:space="preserve">一、营业收入</t>
  </si>
  <si>
    <t xml:space="preserve">　减：营业成本</t>
  </si>
  <si>
    <t xml:space="preserve">　　　税金及附加</t>
  </si>
  <si>
    <t xml:space="preserve">　　　销售费用</t>
  </si>
  <si>
    <t xml:space="preserve">　　　管理费用</t>
  </si>
  <si>
    <t xml:space="preserve">　　　财务费用</t>
  </si>
  <si>
    <t xml:space="preserve">　加：投资收益（损失以“−”号填列）</t>
  </si>
  <si>
    <t xml:space="preserve">二、营业利润（亏损以“−”号填列）</t>
  </si>
  <si>
    <t xml:space="preserve">　加：营业外收入</t>
  </si>
  <si>
    <t xml:space="preserve">　减：营业外支出</t>
  </si>
  <si>
    <t xml:space="preserve">三、利润总额（亏损总额以“−”号填列）</t>
  </si>
  <si>
    <t xml:space="preserve">　减：所得税费用</t>
  </si>
  <si>
    <t xml:space="preserve">四、净利润（净亏损以“−”号填列）</t>
  </si>
  <si>
    <t xml:space="preserve">提示：三张报表都按日期出数 —— 【科目余额表】管资产负债表；【利润表】可以单独设自己的区间，留空就跟着科目余额表走。凭证没有日期的行不会被算进任何区间。</t>
  </si>
  <si>
    <t xml:space="preserve">本表由公式自动维护，供【资金与往来余额表】【应收应付汇总表】【往来对账单】取数，请勿手工修改或删除。</t>
  </si>
  <si>
    <t xml:space="preserve">首次</t>
  </si>
  <si>
    <t xml:space="preserve">往来单位(紧凑)</t>
  </si>
  <si>
    <t xml:space="preserve">命中</t>
  </si>
  <si>
    <t xml:space="preserve">金额</t>
  </si>
  <si>
    <t xml:space="preserve">费用类别(紧凑)</t>
  </si>
  <si>
    <t xml:space="preserve">应付对象</t>
  </si>
  <si>
    <t xml:space="preserve">应付对象(紧凑)</t>
  </si>
  <si>
    <t xml:space="preserve">往来单位(有收入)</t>
  </si>
  <si>
    <t xml:space="preserve">收入往来单位(紧凑)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</si>
</sst>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yyyy/mm"/>
    <numFmt numFmtId="167" formatCode="#,##0.00;[RED]\-#,##0.00;\-"/>
    <numFmt numFmtId="168" formatCode="#,##0;[RED]\-#,##0;\-"/>
    <numFmt numFmtId="169" formatCode="#,##0.000"/>
    <numFmt numFmtId="170" formatCode="#,##0"/>
    <numFmt numFmtId="171" formatCode="#,##0.00"/>
    <numFmt numFmtId="172" formatCode="#,##0.###"/>
    <numFmt numFmtId="173" formatCode="m/d/yyyy"/>
    <numFmt numFmtId="174" formatCode="@"/>
    <numFmt numFmtId="175" formatCode="yyyy/mm/dd"/>
    <numFmt numFmtId="176" formatCode="#,##0.##"/>
    <numFmt numFmtId="177" formatCode="\¥#,##0.00;[RED]&quot;-¥&quot;#,##0.00;&quot;¥ -&quot;"/>
  </numFmts>
  <fonts count="83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0"/>
      <charset val="134"/>
    </font>
    <font>
      <b val="true"/>
      <sz val="14"/>
      <color rgb="FFFFFFFF"/>
      <name val="WenQuanYi Zen Hei"/>
      <family val="2"/>
    </font>
    <font>
      <sz val="9"/>
      <color rgb="FF808080"/>
      <name val="WenQuanYi Zen Hei"/>
      <family val="0"/>
      <charset val="1"/>
    </font>
    <font>
      <b val="true"/>
      <sz val="10"/>
      <color rgb="FF006100"/>
      <name val="WenQuanYi Zen Hei"/>
      <family val="0"/>
      <charset val="1"/>
    </font>
    <font>
      <b val="true"/>
      <sz val="10"/>
      <color rgb="FFFFFFFF"/>
      <name val="WenQuanYi Zen Hei"/>
      <family val="0"/>
      <charset val="1"/>
    </font>
    <font>
      <b val="true"/>
      <sz val="9"/>
      <color rgb="FF1F4E79"/>
      <name val="WenQuanYi Zen Hei"/>
      <family val="0"/>
      <charset val="1"/>
    </font>
    <font>
      <sz val="9"/>
      <color rgb="FF000000"/>
      <name val="宋体"/>
      <family val="0"/>
      <charset val="134"/>
    </font>
    <font>
      <b val="true"/>
      <u val="single"/>
      <sz val="10"/>
      <color rgb="FF0563C1"/>
      <name val="WenQuanYi Zen Hei"/>
      <family val="0"/>
      <charset val="1"/>
    </font>
    <font>
      <sz val="9"/>
      <color rgb="FF000000"/>
      <name val="WenQuanYi Zen Hei"/>
      <family val="0"/>
      <charset val="1"/>
    </font>
    <font>
      <sz val="9"/>
      <color rgb="FF006100"/>
      <name val="WenQuanYi Zen Hei"/>
      <family val="0"/>
      <charset val="1"/>
    </font>
    <font>
      <sz val="9"/>
      <color rgb="FF1F4E79"/>
      <name val="WenQuanYi Zen Hei"/>
      <family val="0"/>
      <charset val="1"/>
    </font>
    <font>
      <sz val="9"/>
      <color rgb="FF000000"/>
      <name val="WenQuanYi Zen Hei"/>
      <family val="2"/>
    </font>
    <font>
      <sz val="9"/>
      <color rgb="FF7F6000"/>
      <name val="WenQuanYi Zen Hei"/>
      <family val="0"/>
      <charset val="1"/>
    </font>
    <font>
      <sz val="10"/>
      <color rgb="FF595959"/>
      <name val="WenQuanYi Zen Hei"/>
      <family val="0"/>
      <charset val="1"/>
    </font>
    <font>
      <b val="true"/>
      <sz val="10"/>
      <name val="WenQuanYi Zen Hei"/>
      <family val="0"/>
      <charset val="1"/>
    </font>
    <font>
      <sz val="10"/>
      <name val="微软雅黑"/>
      <family val="0"/>
      <charset val="1"/>
    </font>
    <font>
      <sz val="10"/>
      <name val="WenQuanYi Zen Hei"/>
      <family val="0"/>
      <charset val="1"/>
    </font>
    <font>
      <b val="true"/>
      <sz val="14"/>
      <color rgb="FFFFFFFF"/>
      <name val="WenQuanYi Zen Hei"/>
      <family val="0"/>
      <charset val="1"/>
    </font>
    <font>
      <b val="true"/>
      <sz val="11"/>
      <color rgb="FF1F4E79"/>
      <name val="WenQuanYi Zen Hei"/>
      <family val="0"/>
      <charset val="1"/>
    </font>
    <font>
      <sz val="10"/>
      <name val="宋体"/>
      <family val="0"/>
      <charset val="134"/>
    </font>
    <font>
      <sz val="10"/>
      <color rgb="FF000000"/>
      <name val="WenQuanYi Zen Hei"/>
      <family val="0"/>
      <charset val="1"/>
    </font>
    <font>
      <sz val="10"/>
      <color rgb="FFC00000"/>
      <name val="WenQuanYi Zen Hei"/>
      <family val="0"/>
      <charset val="1"/>
    </font>
    <font>
      <sz val="10"/>
      <color rgb="FF1F3864"/>
      <name val="宋体"/>
      <family val="0"/>
      <charset val="134"/>
    </font>
    <font>
      <sz val="10"/>
      <color rgb="FF1F3864"/>
      <name val="WenQuanYi Zen Hei"/>
      <family val="2"/>
    </font>
    <font>
      <sz val="9"/>
      <color rgb="FF595959"/>
      <name val="WenQuanYi Zen Hei"/>
      <family val="0"/>
      <charset val="1"/>
    </font>
    <font>
      <b val="true"/>
      <sz val="10"/>
      <color rgb="FF006100"/>
      <name val="宋体"/>
      <family val="0"/>
      <charset val="134"/>
    </font>
    <font>
      <b val="true"/>
      <sz val="10"/>
      <color rgb="FF595959"/>
      <name val="WenQuanYi Zen Hei"/>
      <family val="0"/>
      <charset val="1"/>
    </font>
    <font>
      <sz val="10"/>
      <color rgb="FF006100"/>
      <name val="Calibri"/>
      <family val="0"/>
      <charset val="1"/>
    </font>
    <font>
      <sz val="10"/>
      <color rgb="FF006100"/>
      <name val="宋体"/>
      <family val="0"/>
      <charset val="134"/>
    </font>
    <font>
      <sz val="10"/>
      <color rgb="FF1F4E79"/>
      <name val="宋体"/>
      <family val="0"/>
      <charset val="134"/>
    </font>
    <font>
      <sz val="8"/>
      <color rgb="FF006100"/>
      <name val="宋体"/>
      <family val="0"/>
      <charset val="134"/>
    </font>
    <font>
      <sz val="9"/>
      <color rgb="FF006100"/>
      <name val="宋体"/>
      <family val="0"/>
      <charset val="134"/>
    </font>
    <font>
      <b val="true"/>
      <sz val="9"/>
      <color rgb="FF006100"/>
      <name val="WenQuanYi Zen Hei"/>
      <family val="0"/>
      <charset val="1"/>
    </font>
    <font>
      <b val="true"/>
      <sz val="10"/>
      <color rgb="FF7F6000"/>
      <name val="WenQuanYi Zen Hei"/>
      <family val="0"/>
      <charset val="1"/>
    </font>
    <font>
      <sz val="9"/>
      <color rgb="FF1F4E79"/>
      <name val="宋体"/>
      <family val="0"/>
      <charset val="134"/>
    </font>
    <font>
      <sz val="8"/>
      <color rgb="FFBFBFBF"/>
      <name val="宋体"/>
      <family val="0"/>
      <charset val="134"/>
    </font>
    <font>
      <b val="true"/>
      <sz val="14"/>
      <color rgb="FF1F3864"/>
      <name val="WenQuanYi Zen Hei"/>
      <family val="0"/>
      <charset val="1"/>
    </font>
    <font>
      <b val="true"/>
      <sz val="10"/>
      <name val="微软雅黑"/>
      <family val="0"/>
      <charset val="1"/>
    </font>
    <font>
      <sz val="9"/>
      <color rgb="FF7F7F7F"/>
      <name val="微软雅黑"/>
      <family val="0"/>
      <charset val="1"/>
    </font>
    <font>
      <sz val="9"/>
      <color rgb="FF7F7F7F"/>
      <name val="WenQuanYi Zen Hei"/>
      <family val="2"/>
    </font>
    <font>
      <sz val="10"/>
      <color rgb="FF1F4E79"/>
      <name val="微软雅黑"/>
      <family val="0"/>
      <charset val="1"/>
    </font>
    <font>
      <b val="true"/>
      <sz val="10"/>
      <name val="微软雅黑"/>
      <family val="0"/>
      <charset val="134"/>
    </font>
    <font>
      <sz val="10"/>
      <color rgb="FF1F4E79"/>
      <name val="WenQuanYi Zen Hei"/>
      <family val="2"/>
    </font>
    <font>
      <sz val="8"/>
      <color rgb="FFBFBFBF"/>
      <name val="WenQuanYi Zen Hei"/>
      <family val="0"/>
      <charset val="1"/>
    </font>
    <font>
      <b val="true"/>
      <sz val="10"/>
      <color rgb="FF000000"/>
      <name val="WenQuanYi Zen Hei"/>
      <family val="0"/>
      <charset val="1"/>
    </font>
    <font>
      <b val="true"/>
      <sz val="10"/>
      <color rgb="FF000000"/>
      <name val="宋体"/>
      <family val="0"/>
      <charset val="134"/>
    </font>
    <font>
      <sz val="10"/>
      <color rgb="FF000000"/>
      <name val="宋体"/>
      <family val="0"/>
      <charset val="134"/>
    </font>
    <font>
      <sz val="10"/>
      <color rgb="FF0000FF"/>
      <name val="宋体"/>
      <family val="0"/>
      <charset val="134"/>
    </font>
    <font>
      <sz val="10"/>
      <color rgb="FF1F4E79"/>
      <name val="WenQuanYi Zen Hei"/>
      <family val="0"/>
      <charset val="1"/>
    </font>
    <font>
      <sz val="10"/>
      <name val="WenQuanYi Zen Hei"/>
      <family val="2"/>
    </font>
    <font>
      <sz val="10"/>
      <name val="宋体"/>
      <family val="0"/>
      <charset val="1"/>
    </font>
    <font>
      <sz val="11"/>
      <color theme="1"/>
      <name val="WenQuanYi Zen Hei"/>
      <family val="2"/>
    </font>
    <font>
      <sz val="11"/>
      <color theme="1"/>
      <name val="WenQuanYi Zen Hei"/>
      <family val="0"/>
      <charset val="1"/>
    </font>
    <font>
      <b val="true"/>
      <sz val="10"/>
      <color rgb="FFFFFFFF"/>
      <name val="Noto Sans CJK SC"/>
      <family val="0"/>
      <charset val="134"/>
    </font>
    <font>
      <sz val="10"/>
      <name val="Arial"/>
      <family val="2"/>
    </font>
    <font>
      <sz val="9"/>
      <color rgb="FF808080"/>
      <name val="宋体"/>
      <family val="0"/>
      <charset val="134"/>
    </font>
    <font>
      <b val="true"/>
      <sz val="10"/>
      <color rgb="FF1F4E79"/>
      <name val="WenQuanYi Zen Hei"/>
      <family val="0"/>
      <charset val="1"/>
    </font>
    <font>
      <b val="true"/>
      <sz val="10"/>
      <color rgb="FFC00000"/>
      <name val="WenQuanYi Zen Hei"/>
      <family val="0"/>
      <charset val="1"/>
    </font>
    <font>
      <b val="true"/>
      <sz val="10"/>
      <color rgb="FFFFFFFF"/>
      <name val="宋体"/>
      <family val="0"/>
      <charset val="134"/>
    </font>
    <font>
      <sz val="9"/>
      <color rgb="FF7F7F7F"/>
      <name val="WenQuanYi Zen Hei"/>
      <family val="0"/>
      <charset val="1"/>
    </font>
    <font>
      <sz val="10"/>
      <color rgb="FF0000C0"/>
      <name val="微软雅黑"/>
      <family val="0"/>
      <charset val="1"/>
    </font>
    <font>
      <b val="true"/>
      <sz val="9"/>
      <color rgb="FF833C00"/>
      <name val="WenQuanYi Zen Hei"/>
      <family val="0"/>
      <charset val="1"/>
    </font>
    <font>
      <b val="true"/>
      <sz val="10"/>
      <color rgb="FF1F4E79"/>
      <name val="宋体"/>
      <family val="0"/>
      <charset val="134"/>
    </font>
    <font>
      <b val="true"/>
      <sz val="10"/>
      <color rgb="FF833C00"/>
      <name val="WenQuanYi Zen Hei"/>
      <family val="0"/>
      <charset val="1"/>
    </font>
    <font>
      <b val="true"/>
      <sz val="10"/>
      <color rgb="FFC00000"/>
      <name val="宋体"/>
      <family val="0"/>
      <charset val="134"/>
    </font>
    <font>
      <b val="true"/>
      <sz val="24"/>
      <color rgb="FFFFFFFF"/>
      <name val="WenQuanYi Zen Hei"/>
      <family val="0"/>
      <charset val="1"/>
    </font>
    <font>
      <b val="true"/>
      <sz val="16"/>
      <color rgb="FF275C70"/>
      <name val="WenQuanYi Zen Hei"/>
      <family val="0"/>
      <charset val="1"/>
    </font>
    <font>
      <b val="true"/>
      <sz val="11"/>
      <color rgb="FF1F3864"/>
      <name val="WenQuanYi Zen Hei"/>
      <family val="0"/>
      <charset val="1"/>
    </font>
    <font>
      <b val="true"/>
      <sz val="12"/>
      <color rgb="FF1F4E79"/>
      <name val="WenQuanYi Zen Hei"/>
      <family val="0"/>
      <charset val="1"/>
    </font>
    <font>
      <sz val="11"/>
      <color rgb="FF006100"/>
      <name val="WenQuanYi Zen Hei"/>
      <family val="0"/>
      <charset val="1"/>
    </font>
    <font>
      <sz val="11"/>
      <color rgb="FF1F4E79"/>
      <name val="宋体"/>
      <family val="0"/>
      <charset val="134"/>
    </font>
    <font>
      <b val="true"/>
      <sz val="11"/>
      <color rgb="FFFFFFFF"/>
      <name val="WenQuanYi Zen Hei"/>
      <family val="0"/>
      <charset val="1"/>
    </font>
    <font>
      <b val="true"/>
      <sz val="11"/>
      <color rgb="FF1F3864"/>
      <name val="宋体"/>
      <family val="0"/>
      <charset val="134"/>
    </font>
    <font>
      <b val="true"/>
      <sz val="11"/>
      <color rgb="FF000000"/>
      <name val="WenQuanYi Zen Hei"/>
      <family val="0"/>
      <charset val="1"/>
    </font>
    <font>
      <b val="true"/>
      <sz val="12"/>
      <color rgb="FF000000"/>
      <name val="宋体"/>
      <family val="0"/>
      <charset val="134"/>
    </font>
    <font>
      <b val="true"/>
      <sz val="11"/>
      <color rgb="FF000000"/>
      <name val="宋体"/>
      <family val="0"/>
      <charset val="134"/>
    </font>
    <font>
      <sz val="10"/>
      <color rgb="FF006100"/>
      <name val="WenQuanYi Zen Hei"/>
      <family val="0"/>
      <charset val="1"/>
    </font>
    <font>
      <sz val="10"/>
      <color rgb="FF0000FF"/>
      <name val="WenQuanYi Zen Hei"/>
      <family val="0"/>
      <charset val="1"/>
    </font>
    <font>
      <b val="true"/>
      <sz val="11"/>
      <color rgb="FFC00000"/>
      <name val="WenQuanYi Zen Hei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275C70"/>
      </patternFill>
    </fill>
    <fill>
      <patternFill patternType="solid">
        <fgColor rgb="FFE2EFDA"/>
        <bgColor rgb="FFDDEBF7"/>
      </patternFill>
    </fill>
    <fill>
      <patternFill patternType="solid">
        <fgColor rgb="FF2E75B6"/>
        <bgColor rgb="FF2F5597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CE6F1"/>
      </patternFill>
    </fill>
    <fill>
      <patternFill patternType="solid">
        <fgColor rgb="FF2F5597"/>
        <bgColor rgb="FF1F4E79"/>
      </patternFill>
    </fill>
    <fill>
      <patternFill patternType="solid">
        <fgColor rgb="FFC00000"/>
        <bgColor rgb="FF9C0006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ED7D31"/>
      </patternFill>
    </fill>
    <fill>
      <patternFill patternType="solid">
        <fgColor rgb="FF9DC3E6"/>
        <bgColor rgb="FF8FAADC"/>
      </patternFill>
    </fill>
    <fill>
      <patternFill patternType="solid">
        <fgColor rgb="FFFCE4D6"/>
        <bgColor rgb="FFFCE4E4"/>
      </patternFill>
    </fill>
    <fill>
      <patternFill patternType="solid">
        <fgColor rgb="FFFFC000"/>
        <bgColor rgb="FFFFFF00"/>
      </patternFill>
    </fill>
    <fill>
      <patternFill patternType="solid">
        <fgColor rgb="FF275C70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D6E4F0"/>
      </patternFill>
    </fill>
    <fill>
      <patternFill patternType="solid">
        <fgColor rgb="FFC5D9E8"/>
        <bgColor rgb="FFD6E4F0"/>
      </patternFill>
    </fill>
    <fill>
      <patternFill patternType="solid">
        <fgColor rgb="FFFFFF00"/>
        <bgColor rgb="FFFFC000"/>
      </patternFill>
    </fill>
    <fill>
      <patternFill patternType="solid">
        <fgColor rgb="FFF8CBCB"/>
        <bgColor rgb="FFFFC7C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/>
      <right/>
      <top/>
      <bottom style="thin">
        <color rgb="FF8EA9C1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1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1" fillId="1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6" fillId="1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1" fillId="1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2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8" fillId="2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7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name val="宋体"/>
        <charset val="1"/>
        <family val="0"/>
        <b val="1"/>
        <color rgb="FFC00000"/>
        <sz val="10"/>
      </font>
      <fill>
        <patternFill>
          <bgColor rgb="FFFFC7CE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  <color rgb="FF9C0006"/>
      </font>
      <fill>
        <patternFill>
          <bgColor rgb="FFFCE4E4"/>
        </patternFill>
      </fill>
    </dxf>
    <dxf>
      <fill>
        <patternFill>
          <bgColor rgb="FFE2EFDA"/>
        </patternFill>
      </fill>
    </dxf>
    <dxf>
      <font>
        <name val="宋体"/>
        <charset val="1"/>
        <family val="0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275C70"/>
      <rgbColor rgb="FFBFBFBF"/>
      <rgbColor rgb="FF808080"/>
      <rgbColor rgb="FF8FAADC"/>
      <rgbColor rgb="FF7F7F7F"/>
      <rgbColor rgb="FFFFF2CC"/>
      <rgbColor rgb="FFDDEBF7"/>
      <rgbColor rgb="FF660066"/>
      <rgbColor rgb="FFF2F2F2"/>
      <rgbColor rgb="FF0563C1"/>
      <rgbColor rgb="FFC5D9E8"/>
      <rgbColor rgb="FF000080"/>
      <rgbColor rgb="FFFF00FF"/>
      <rgbColor rgb="FFFCE4E4"/>
      <rgbColor rgb="FF00FFFF"/>
      <rgbColor rgb="FF800080"/>
      <rgbColor rgb="FF800000"/>
      <rgbColor rgb="FF008080"/>
      <rgbColor rgb="FF0000C0"/>
      <rgbColor rgb="FF00CCFF"/>
      <rgbColor rgb="FFDCE6F1"/>
      <rgbColor rgb="FFE2EFDA"/>
      <rgbColor rgb="FFFCE4D6"/>
      <rgbColor rgb="FF9DC3E6"/>
      <rgbColor rgb="FFFFC7CE"/>
      <rgbColor rgb="FFD6E4F0"/>
      <rgbColor rgb="FFF8CBCB"/>
      <rgbColor rgb="FF2E75B6"/>
      <rgbColor rgb="FF33CCCC"/>
      <rgbColor rgb="FF70AD47"/>
      <rgbColor rgb="FFFFC000"/>
      <rgbColor rgb="FFBF8F00"/>
      <rgbColor rgb="FFED7D31"/>
      <rgbColor rgb="FF595959"/>
      <rgbColor rgb="FF8EA9C1"/>
      <rgbColor rgb="FF1F3864"/>
      <rgbColor rgb="FF548235"/>
      <rgbColor rgb="FF003300"/>
      <rgbColor rgb="FF333300"/>
      <rgbColor rgb="FF833C00"/>
      <rgbColor rgb="FF993366"/>
      <rgbColor rgb="FF1F4E79"/>
      <rgbColor rgb="FF2F559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.xml"/><Relationship Id="rId3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01_&#27700;&#26524;&#36827;&#38144;&#23384;&#21488;&#36134;&#27169;&#26495;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02_&#29289;&#26009;&#19982;&#21608;&#36716;&#29289;&#21488;&#36134;&#27169;&#26495;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计费规则"/>
      <sheetName val="原料入库明细"/>
      <sheetName val="原料出库明细"/>
      <sheetName val="成品出库明细"/>
      <sheetName val="其他代存明细"/>
      <sheetName val="库存结余"/>
      <sheetName val="库存总结余"/>
      <sheetName val="入库吨位汇总"/>
      <sheetName val="成品出库吨位汇总"/>
      <sheetName val="果然鲜采购明细"/>
      <sheetName val="果然鲜销售明细"/>
      <sheetName val="果然鲜销售汇总"/>
      <sheetName val="其他代存汇总"/>
      <sheetName val="实盘库存盘点"/>
      <sheetName val="筐子进出接口"/>
      <sheetName val="收入结算汇总"/>
      <sheetName val="财务取数接口"/>
      <sheetName val="字段对照"/>
      <sheetName val="_自动清单"/>
      <sheetName val="对账明细接口"/>
      <sheetName val="库存等级接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聂新平</v>
          </cell>
          <cell r="C4" t="str">
            <v>苹果</v>
          </cell>
          <cell r="D4">
            <v>1729</v>
          </cell>
          <cell r="E4">
            <v>0</v>
          </cell>
        </row>
        <row r="4">
          <cell r="H4">
            <v>37692.2</v>
          </cell>
          <cell r="I4">
            <v>0</v>
          </cell>
        </row>
        <row r="4">
          <cell r="K4">
            <v>37692.2</v>
          </cell>
          <cell r="L4">
            <v>37.692</v>
          </cell>
        </row>
        <row r="5">
          <cell r="B5" t="str">
            <v>王照雪</v>
          </cell>
          <cell r="C5" t="str">
            <v>苹果</v>
          </cell>
          <cell r="D5">
            <v>2385</v>
          </cell>
          <cell r="E5">
            <v>0</v>
          </cell>
        </row>
        <row r="5">
          <cell r="H5">
            <v>41829.5</v>
          </cell>
          <cell r="I5">
            <v>0</v>
          </cell>
        </row>
        <row r="5">
          <cell r="K5">
            <v>41829.5</v>
          </cell>
          <cell r="L5">
            <v>41.83</v>
          </cell>
        </row>
        <row r="6">
          <cell r="B6" t="str">
            <v>伍元虎</v>
          </cell>
          <cell r="C6" t="str">
            <v>苹果</v>
          </cell>
          <cell r="D6">
            <v>87</v>
          </cell>
          <cell r="E6">
            <v>0</v>
          </cell>
        </row>
        <row r="6">
          <cell r="H6">
            <v>1957.5</v>
          </cell>
          <cell r="I6">
            <v>0</v>
          </cell>
        </row>
        <row r="6">
          <cell r="K6">
            <v>1957.5</v>
          </cell>
          <cell r="L6">
            <v>1.958</v>
          </cell>
        </row>
        <row r="7">
          <cell r="B7" t="str">
            <v>王照雪</v>
          </cell>
          <cell r="C7" t="str">
            <v>李子</v>
          </cell>
          <cell r="D7">
            <v>422</v>
          </cell>
          <cell r="E7">
            <v>0</v>
          </cell>
        </row>
        <row r="7">
          <cell r="H7">
            <v>6878.6</v>
          </cell>
          <cell r="I7">
            <v>0</v>
          </cell>
        </row>
        <row r="7">
          <cell r="K7">
            <v>6878.6</v>
          </cell>
          <cell r="L7">
            <v>6.879</v>
          </cell>
        </row>
        <row r="8">
          <cell r="B8" t="str">
            <v>马锦祥</v>
          </cell>
          <cell r="C8" t="str">
            <v>苹果</v>
          </cell>
          <cell r="D8">
            <v>68</v>
          </cell>
          <cell r="E8">
            <v>0</v>
          </cell>
        </row>
        <row r="8">
          <cell r="H8">
            <v>204</v>
          </cell>
          <cell r="I8">
            <v>0</v>
          </cell>
        </row>
        <row r="8">
          <cell r="K8">
            <v>204</v>
          </cell>
          <cell r="L8">
            <v>0.204</v>
          </cell>
        </row>
        <row r="9">
          <cell r="B9" t="str">
            <v>聂新平</v>
          </cell>
          <cell r="C9" t="str">
            <v>西梅</v>
          </cell>
          <cell r="D9">
            <v>9692</v>
          </cell>
          <cell r="E9">
            <v>0</v>
          </cell>
        </row>
        <row r="9">
          <cell r="H9">
            <v>35336</v>
          </cell>
          <cell r="I9">
            <v>0</v>
          </cell>
        </row>
        <row r="9">
          <cell r="K9">
            <v>35336</v>
          </cell>
          <cell r="L9">
            <v>35.336</v>
          </cell>
        </row>
        <row r="10">
          <cell r="B10" t="str">
            <v>马锦祥</v>
          </cell>
          <cell r="C10" t="str">
            <v>香梨</v>
          </cell>
          <cell r="D10">
            <v>0</v>
          </cell>
          <cell r="E10">
            <v>2491</v>
          </cell>
        </row>
        <row r="10">
          <cell r="H10">
            <v>0</v>
          </cell>
          <cell r="I10">
            <v>47129.3</v>
          </cell>
        </row>
        <row r="10">
          <cell r="K10">
            <v>47129.3</v>
          </cell>
          <cell r="L10">
            <v>47.129</v>
          </cell>
        </row>
        <row r="11">
          <cell r="B11" t="str">
            <v>麦麦提</v>
          </cell>
          <cell r="C11" t="str">
            <v>香梨</v>
          </cell>
          <cell r="D11">
            <v>0</v>
          </cell>
          <cell r="E11">
            <v>3790</v>
          </cell>
        </row>
        <row r="11">
          <cell r="H11">
            <v>0</v>
          </cell>
          <cell r="I11">
            <v>73453</v>
          </cell>
        </row>
        <row r="11">
          <cell r="K11">
            <v>73453</v>
          </cell>
          <cell r="L11">
            <v>73.453</v>
          </cell>
        </row>
        <row r="12">
          <cell r="B12" t="str">
            <v>吐尔洪</v>
          </cell>
          <cell r="C12" t="str">
            <v>香梨</v>
          </cell>
          <cell r="D12">
            <v>0</v>
          </cell>
          <cell r="E12">
            <v>1832</v>
          </cell>
        </row>
        <row r="12">
          <cell r="H12">
            <v>0</v>
          </cell>
          <cell r="I12">
            <v>36145.6</v>
          </cell>
        </row>
        <row r="12">
          <cell r="K12">
            <v>36145.6</v>
          </cell>
          <cell r="L12">
            <v>36.146</v>
          </cell>
        </row>
        <row r="13">
          <cell r="B13" t="str">
            <v>热合曼</v>
          </cell>
          <cell r="C13" t="str">
            <v>香梨</v>
          </cell>
          <cell r="D13">
            <v>0</v>
          </cell>
          <cell r="E13">
            <v>1521</v>
          </cell>
        </row>
        <row r="13">
          <cell r="H13">
            <v>0</v>
          </cell>
          <cell r="I13">
            <v>29445.3</v>
          </cell>
        </row>
        <row r="13">
          <cell r="K13">
            <v>29445.3</v>
          </cell>
          <cell r="L13">
            <v>29.445</v>
          </cell>
        </row>
        <row r="14">
          <cell r="B14" t="str">
            <v>贾建国</v>
          </cell>
          <cell r="C14" t="str">
            <v>香梨</v>
          </cell>
          <cell r="D14">
            <v>0</v>
          </cell>
          <cell r="E14">
            <v>1390</v>
          </cell>
        </row>
        <row r="14">
          <cell r="H14">
            <v>0</v>
          </cell>
          <cell r="I14">
            <v>28596.6</v>
          </cell>
        </row>
        <row r="14">
          <cell r="K14">
            <v>28596.6</v>
          </cell>
          <cell r="L14">
            <v>28.597</v>
          </cell>
        </row>
        <row r="15">
          <cell r="B15" t="str">
            <v>王灵云</v>
          </cell>
          <cell r="C15" t="str">
            <v>香梨</v>
          </cell>
          <cell r="D15">
            <v>4214</v>
          </cell>
          <cell r="E15">
            <v>0</v>
          </cell>
        </row>
        <row r="15">
          <cell r="H15">
            <v>79231.2</v>
          </cell>
          <cell r="I15">
            <v>0</v>
          </cell>
        </row>
        <row r="15">
          <cell r="K15">
            <v>79231.2</v>
          </cell>
          <cell r="L15">
            <v>79.231</v>
          </cell>
        </row>
        <row r="16">
          <cell r="B16" t="str">
            <v>杨艳玲</v>
          </cell>
          <cell r="C16" t="str">
            <v>香梨</v>
          </cell>
          <cell r="D16">
            <v>104</v>
          </cell>
          <cell r="E16">
            <v>0</v>
          </cell>
        </row>
        <row r="16">
          <cell r="H16">
            <v>1799.2</v>
          </cell>
          <cell r="I16">
            <v>0</v>
          </cell>
        </row>
        <row r="16">
          <cell r="K16">
            <v>1799.2</v>
          </cell>
          <cell r="L16">
            <v>1.799</v>
          </cell>
        </row>
        <row r="17">
          <cell r="B17" t="str">
            <v>荆建君</v>
          </cell>
          <cell r="C17" t="str">
            <v>香梨</v>
          </cell>
          <cell r="D17">
            <v>0</v>
          </cell>
          <cell r="E17">
            <v>1864</v>
          </cell>
        </row>
        <row r="17">
          <cell r="H17">
            <v>0</v>
          </cell>
          <cell r="I17">
            <v>34111.2</v>
          </cell>
        </row>
        <row r="17">
          <cell r="K17">
            <v>34111.2</v>
          </cell>
          <cell r="L17">
            <v>34.111</v>
          </cell>
        </row>
        <row r="18">
          <cell r="B18" t="str">
            <v>王照雪</v>
          </cell>
          <cell r="C18" t="str">
            <v>香梨</v>
          </cell>
          <cell r="D18">
            <v>0</v>
          </cell>
          <cell r="E18">
            <v>852</v>
          </cell>
        </row>
        <row r="18">
          <cell r="H18">
            <v>0</v>
          </cell>
          <cell r="I18">
            <v>16247</v>
          </cell>
        </row>
        <row r="18">
          <cell r="K18">
            <v>16247</v>
          </cell>
          <cell r="L18">
            <v>16.247</v>
          </cell>
        </row>
        <row r="19">
          <cell r="B19" t="str">
            <v>努尔敦</v>
          </cell>
          <cell r="C19" t="str">
            <v>香梨</v>
          </cell>
          <cell r="D19">
            <v>0</v>
          </cell>
          <cell r="E19">
            <v>3223</v>
          </cell>
        </row>
        <row r="19">
          <cell r="H19">
            <v>0</v>
          </cell>
          <cell r="I19">
            <v>62388.9</v>
          </cell>
        </row>
        <row r="19">
          <cell r="K19">
            <v>62388.9</v>
          </cell>
          <cell r="L19">
            <v>62.389</v>
          </cell>
        </row>
        <row r="20">
          <cell r="B20" t="str">
            <v>王浩</v>
          </cell>
          <cell r="C20" t="str">
            <v>香梨</v>
          </cell>
          <cell r="D20">
            <v>0</v>
          </cell>
          <cell r="E20">
            <v>1184</v>
          </cell>
        </row>
        <row r="20">
          <cell r="H20">
            <v>0</v>
          </cell>
          <cell r="I20">
            <v>21667.2</v>
          </cell>
        </row>
        <row r="20">
          <cell r="K20">
            <v>21667.2</v>
          </cell>
          <cell r="L20">
            <v>21.667</v>
          </cell>
        </row>
        <row r="21">
          <cell r="B21" t="str">
            <v>热合曼+艾则孜</v>
          </cell>
          <cell r="C21" t="str">
            <v>香梨</v>
          </cell>
          <cell r="D21">
            <v>0</v>
          </cell>
          <cell r="E21">
            <v>500</v>
          </cell>
        </row>
        <row r="21">
          <cell r="H21">
            <v>0</v>
          </cell>
          <cell r="I21">
            <v>9674</v>
          </cell>
        </row>
        <row r="21">
          <cell r="K21">
            <v>9674</v>
          </cell>
          <cell r="L21">
            <v>9.674</v>
          </cell>
        </row>
        <row r="22">
          <cell r="B22" t="str">
            <v>李现东</v>
          </cell>
          <cell r="C22" t="str">
            <v>香梨</v>
          </cell>
          <cell r="D22">
            <v>0</v>
          </cell>
          <cell r="E22">
            <v>469</v>
          </cell>
        </row>
        <row r="22">
          <cell r="H22">
            <v>0</v>
          </cell>
          <cell r="I22">
            <v>8994.7</v>
          </cell>
        </row>
        <row r="22">
          <cell r="K22">
            <v>8994.7</v>
          </cell>
          <cell r="L22">
            <v>8.995</v>
          </cell>
        </row>
        <row r="23">
          <cell r="B23" t="str">
            <v>吐尔逊</v>
          </cell>
          <cell r="C23" t="str">
            <v>香梨</v>
          </cell>
          <cell r="D23">
            <v>0</v>
          </cell>
          <cell r="E23">
            <v>200</v>
          </cell>
        </row>
        <row r="23">
          <cell r="H23">
            <v>0</v>
          </cell>
          <cell r="I23">
            <v>4200</v>
          </cell>
        </row>
        <row r="23">
          <cell r="K23">
            <v>4200</v>
          </cell>
          <cell r="L23">
            <v>4.2</v>
          </cell>
        </row>
        <row r="24">
          <cell r="B24" t="str">
            <v>阿布都</v>
          </cell>
          <cell r="C24" t="str">
            <v>香梨</v>
          </cell>
          <cell r="D24">
            <v>0</v>
          </cell>
          <cell r="E24">
            <v>315</v>
          </cell>
        </row>
        <row r="24">
          <cell r="H24">
            <v>0</v>
          </cell>
          <cell r="I24">
            <v>5972.5</v>
          </cell>
        </row>
        <row r="24">
          <cell r="K24">
            <v>5972.5</v>
          </cell>
          <cell r="L24">
            <v>5.973</v>
          </cell>
        </row>
        <row r="25">
          <cell r="B25" t="str">
            <v>艾则孜</v>
          </cell>
          <cell r="C25" t="str">
            <v>香梨</v>
          </cell>
          <cell r="D25">
            <v>0</v>
          </cell>
          <cell r="E25">
            <v>538</v>
          </cell>
        </row>
        <row r="25">
          <cell r="H25">
            <v>0</v>
          </cell>
          <cell r="I25">
            <v>10647.4</v>
          </cell>
        </row>
        <row r="25">
          <cell r="K25">
            <v>10647.4</v>
          </cell>
          <cell r="L25">
            <v>10.647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46235</v>
          </cell>
          <cell r="C4" t="str">
            <v>仓储费</v>
          </cell>
          <cell r="D4">
            <v>0</v>
          </cell>
          <cell r="E4" t="str">
            <v>筐</v>
          </cell>
        </row>
        <row r="4">
          <cell r="G4">
            <v>0</v>
          </cell>
          <cell r="H4">
            <v>0</v>
          </cell>
        </row>
        <row r="5">
          <cell r="B5">
            <v>46266</v>
          </cell>
          <cell r="C5" t="str">
            <v>仓储费</v>
          </cell>
          <cell r="D5">
            <v>20169</v>
          </cell>
          <cell r="E5" t="str">
            <v>筐</v>
          </cell>
        </row>
        <row r="5">
          <cell r="G5">
            <v>0</v>
          </cell>
          <cell r="H5">
            <v>0</v>
          </cell>
        </row>
        <row r="6">
          <cell r="B6">
            <v>46296</v>
          </cell>
          <cell r="C6" t="str">
            <v>仓储费</v>
          </cell>
          <cell r="D6">
            <v>0</v>
          </cell>
          <cell r="E6" t="str">
            <v>筐</v>
          </cell>
        </row>
        <row r="6">
          <cell r="G6">
            <v>0</v>
          </cell>
          <cell r="H6">
            <v>0</v>
          </cell>
        </row>
        <row r="7">
          <cell r="B7">
            <v>46327</v>
          </cell>
          <cell r="C7" t="str">
            <v>仓储费</v>
          </cell>
          <cell r="D7">
            <v>0</v>
          </cell>
          <cell r="E7" t="str">
            <v>筐</v>
          </cell>
        </row>
        <row r="7">
          <cell r="G7">
            <v>0</v>
          </cell>
          <cell r="H7">
            <v>0</v>
          </cell>
        </row>
        <row r="8">
          <cell r="B8">
            <v>46357</v>
          </cell>
          <cell r="C8" t="str">
            <v>仓储费</v>
          </cell>
          <cell r="D8">
            <v>0</v>
          </cell>
          <cell r="E8" t="str">
            <v>筐</v>
          </cell>
        </row>
        <row r="8">
          <cell r="G8">
            <v>0</v>
          </cell>
          <cell r="H8">
            <v>0</v>
          </cell>
        </row>
        <row r="9">
          <cell r="B9">
            <v>46388</v>
          </cell>
          <cell r="C9" t="str">
            <v>仓储费</v>
          </cell>
          <cell r="D9">
            <v>0</v>
          </cell>
          <cell r="E9" t="str">
            <v>筐</v>
          </cell>
        </row>
        <row r="9">
          <cell r="G9">
            <v>0</v>
          </cell>
          <cell r="H9">
            <v>0</v>
          </cell>
        </row>
        <row r="10">
          <cell r="B10">
            <v>46419</v>
          </cell>
          <cell r="C10" t="str">
            <v>仓储费</v>
          </cell>
          <cell r="D10">
            <v>0</v>
          </cell>
          <cell r="E10" t="str">
            <v>筐</v>
          </cell>
        </row>
        <row r="10">
          <cell r="G10">
            <v>0</v>
          </cell>
          <cell r="H10">
            <v>0</v>
          </cell>
        </row>
        <row r="11">
          <cell r="B11">
            <v>46447</v>
          </cell>
          <cell r="C11" t="str">
            <v>仓储费</v>
          </cell>
          <cell r="D11">
            <v>0</v>
          </cell>
          <cell r="E11" t="str">
            <v>筐</v>
          </cell>
        </row>
        <row r="11">
          <cell r="G11">
            <v>0</v>
          </cell>
          <cell r="H11">
            <v>0</v>
          </cell>
        </row>
        <row r="12">
          <cell r="B12">
            <v>46478</v>
          </cell>
          <cell r="C12" t="str">
            <v>仓储费</v>
          </cell>
          <cell r="D12">
            <v>0</v>
          </cell>
          <cell r="E12" t="str">
            <v>筐</v>
          </cell>
        </row>
        <row r="12">
          <cell r="G12">
            <v>0</v>
          </cell>
          <cell r="H12">
            <v>0</v>
          </cell>
        </row>
        <row r="13">
          <cell r="B13">
            <v>46508</v>
          </cell>
          <cell r="C13" t="str">
            <v>仓储费</v>
          </cell>
          <cell r="D13">
            <v>0</v>
          </cell>
          <cell r="E13" t="str">
            <v>筐</v>
          </cell>
        </row>
        <row r="13">
          <cell r="G13">
            <v>0</v>
          </cell>
          <cell r="H13">
            <v>0</v>
          </cell>
        </row>
        <row r="14">
          <cell r="B14">
            <v>46539</v>
          </cell>
          <cell r="C14" t="str">
            <v>仓储费</v>
          </cell>
          <cell r="D14">
            <v>0</v>
          </cell>
          <cell r="E14" t="str">
            <v>筐</v>
          </cell>
        </row>
        <row r="14">
          <cell r="G14">
            <v>0</v>
          </cell>
          <cell r="H14">
            <v>0</v>
          </cell>
        </row>
        <row r="15">
          <cell r="B15">
            <v>46569</v>
          </cell>
          <cell r="C15" t="str">
            <v>仓储费</v>
          </cell>
          <cell r="D15">
            <v>0</v>
          </cell>
          <cell r="E15" t="str">
            <v>筐</v>
          </cell>
        </row>
        <row r="15">
          <cell r="G15">
            <v>0</v>
          </cell>
          <cell r="H15">
            <v>0</v>
          </cell>
        </row>
        <row r="16">
          <cell r="B16">
            <v>46600</v>
          </cell>
          <cell r="C16" t="str">
            <v>仓储费</v>
          </cell>
          <cell r="D16">
            <v>0</v>
          </cell>
          <cell r="E16" t="str">
            <v>筐</v>
          </cell>
        </row>
        <row r="16">
          <cell r="G16">
            <v>0</v>
          </cell>
          <cell r="H16">
            <v>0</v>
          </cell>
        </row>
        <row r="17">
          <cell r="B17">
            <v>46631</v>
          </cell>
          <cell r="C17" t="str">
            <v>仓储费</v>
          </cell>
          <cell r="D17">
            <v>0</v>
          </cell>
          <cell r="E17" t="str">
            <v>筐</v>
          </cell>
        </row>
        <row r="17">
          <cell r="G17">
            <v>0</v>
          </cell>
          <cell r="H17">
            <v>0</v>
          </cell>
        </row>
        <row r="18">
          <cell r="B18">
            <v>46661</v>
          </cell>
          <cell r="C18" t="str">
            <v>仓储费</v>
          </cell>
          <cell r="D18">
            <v>0</v>
          </cell>
          <cell r="E18" t="str">
            <v>筐</v>
          </cell>
        </row>
        <row r="18">
          <cell r="G18">
            <v>0</v>
          </cell>
          <cell r="H18">
            <v>0</v>
          </cell>
        </row>
        <row r="19">
          <cell r="B19">
            <v>46692</v>
          </cell>
          <cell r="C19" t="str">
            <v>仓储费</v>
          </cell>
          <cell r="D19">
            <v>0</v>
          </cell>
          <cell r="E19" t="str">
            <v>筐</v>
          </cell>
        </row>
        <row r="19">
          <cell r="G19">
            <v>0</v>
          </cell>
          <cell r="H19">
            <v>0</v>
          </cell>
        </row>
        <row r="20">
          <cell r="B20">
            <v>46722</v>
          </cell>
          <cell r="C20" t="str">
            <v>仓储费</v>
          </cell>
          <cell r="D20">
            <v>0</v>
          </cell>
          <cell r="E20" t="str">
            <v>筐</v>
          </cell>
        </row>
        <row r="20">
          <cell r="G20">
            <v>0</v>
          </cell>
          <cell r="H20">
            <v>0</v>
          </cell>
        </row>
        <row r="21">
          <cell r="B21">
            <v>46753</v>
          </cell>
          <cell r="C21" t="str">
            <v>仓储费</v>
          </cell>
          <cell r="D21">
            <v>0</v>
          </cell>
          <cell r="E21" t="str">
            <v>筐</v>
          </cell>
        </row>
        <row r="21">
          <cell r="G21">
            <v>0</v>
          </cell>
          <cell r="H21">
            <v>0</v>
          </cell>
        </row>
        <row r="22">
          <cell r="B22">
            <v>46784</v>
          </cell>
          <cell r="C22" t="str">
            <v>仓储费</v>
          </cell>
          <cell r="D22">
            <v>0</v>
          </cell>
          <cell r="E22" t="str">
            <v>筐</v>
          </cell>
        </row>
        <row r="22">
          <cell r="G22">
            <v>0</v>
          </cell>
          <cell r="H22">
            <v>0</v>
          </cell>
        </row>
        <row r="23">
          <cell r="B23">
            <v>46813</v>
          </cell>
          <cell r="C23" t="str">
            <v>仓储费</v>
          </cell>
          <cell r="D23">
            <v>0</v>
          </cell>
          <cell r="E23" t="str">
            <v>筐</v>
          </cell>
        </row>
        <row r="23">
          <cell r="G23">
            <v>0</v>
          </cell>
          <cell r="H23">
            <v>0</v>
          </cell>
        </row>
        <row r="24">
          <cell r="B24">
            <v>46844</v>
          </cell>
          <cell r="C24" t="str">
            <v>仓储费</v>
          </cell>
          <cell r="D24">
            <v>0</v>
          </cell>
          <cell r="E24" t="str">
            <v>筐</v>
          </cell>
        </row>
        <row r="24">
          <cell r="G24">
            <v>0</v>
          </cell>
          <cell r="H24">
            <v>0</v>
          </cell>
        </row>
        <row r="25">
          <cell r="B25">
            <v>46874</v>
          </cell>
          <cell r="C25" t="str">
            <v>仓储费</v>
          </cell>
          <cell r="D25">
            <v>0</v>
          </cell>
          <cell r="E25" t="str">
            <v>筐</v>
          </cell>
        </row>
        <row r="25">
          <cell r="G25">
            <v>0</v>
          </cell>
          <cell r="H25">
            <v>0</v>
          </cell>
        </row>
        <row r="26">
          <cell r="B26">
            <v>46905</v>
          </cell>
          <cell r="C26" t="str">
            <v>仓储费</v>
          </cell>
          <cell r="D26">
            <v>0</v>
          </cell>
          <cell r="E26" t="str">
            <v>筐</v>
          </cell>
        </row>
        <row r="26">
          <cell r="G26">
            <v>0</v>
          </cell>
          <cell r="H26">
            <v>0</v>
          </cell>
        </row>
        <row r="27">
          <cell r="B27">
            <v>46935</v>
          </cell>
          <cell r="C27" t="str">
            <v>仓储费</v>
          </cell>
          <cell r="D27">
            <v>0</v>
          </cell>
          <cell r="E27" t="str">
            <v>筐</v>
          </cell>
        </row>
        <row r="27">
          <cell r="G27">
            <v>0</v>
          </cell>
          <cell r="H27">
            <v>0</v>
          </cell>
        </row>
        <row r="28">
          <cell r="B28">
            <v>46235</v>
          </cell>
          <cell r="C28" t="str">
            <v>周转费</v>
          </cell>
          <cell r="D28">
            <v>13104</v>
          </cell>
          <cell r="E28" t="str">
            <v>筐</v>
          </cell>
        </row>
        <row r="28">
          <cell r="G28">
            <v>0</v>
          </cell>
          <cell r="H28">
            <v>0</v>
          </cell>
        </row>
        <row r="29">
          <cell r="B29">
            <v>46266</v>
          </cell>
          <cell r="C29" t="str">
            <v>周转费</v>
          </cell>
          <cell r="D29">
            <v>5597</v>
          </cell>
          <cell r="E29" t="str">
            <v>筐</v>
          </cell>
        </row>
        <row r="29">
          <cell r="G29">
            <v>0</v>
          </cell>
          <cell r="H29">
            <v>0</v>
          </cell>
        </row>
        <row r="30">
          <cell r="B30">
            <v>46296</v>
          </cell>
          <cell r="C30" t="str">
            <v>周转费</v>
          </cell>
          <cell r="D30">
            <v>0</v>
          </cell>
          <cell r="E30" t="str">
            <v>筐</v>
          </cell>
        </row>
        <row r="30">
          <cell r="G30">
            <v>0</v>
          </cell>
          <cell r="H30">
            <v>0</v>
          </cell>
        </row>
        <row r="31">
          <cell r="B31">
            <v>46327</v>
          </cell>
          <cell r="C31" t="str">
            <v>周转费</v>
          </cell>
          <cell r="D31">
            <v>0</v>
          </cell>
          <cell r="E31" t="str">
            <v>筐</v>
          </cell>
        </row>
        <row r="31">
          <cell r="G31">
            <v>0</v>
          </cell>
          <cell r="H31">
            <v>0</v>
          </cell>
        </row>
        <row r="32">
          <cell r="B32">
            <v>46357</v>
          </cell>
          <cell r="C32" t="str">
            <v>周转费</v>
          </cell>
          <cell r="D32">
            <v>0</v>
          </cell>
          <cell r="E32" t="str">
            <v>筐</v>
          </cell>
        </row>
        <row r="32">
          <cell r="G32">
            <v>0</v>
          </cell>
          <cell r="H32">
            <v>0</v>
          </cell>
        </row>
        <row r="33">
          <cell r="B33">
            <v>46388</v>
          </cell>
          <cell r="C33" t="str">
            <v>周转费</v>
          </cell>
          <cell r="D33">
            <v>0</v>
          </cell>
          <cell r="E33" t="str">
            <v>筐</v>
          </cell>
        </row>
        <row r="33">
          <cell r="G33">
            <v>0</v>
          </cell>
          <cell r="H33">
            <v>0</v>
          </cell>
        </row>
        <row r="34">
          <cell r="B34">
            <v>46419</v>
          </cell>
          <cell r="C34" t="str">
            <v>周转费</v>
          </cell>
          <cell r="D34">
            <v>0</v>
          </cell>
          <cell r="E34" t="str">
            <v>筐</v>
          </cell>
        </row>
        <row r="34">
          <cell r="G34">
            <v>0</v>
          </cell>
          <cell r="H34">
            <v>0</v>
          </cell>
        </row>
        <row r="35">
          <cell r="B35">
            <v>46447</v>
          </cell>
          <cell r="C35" t="str">
            <v>周转费</v>
          </cell>
          <cell r="D35">
            <v>0</v>
          </cell>
          <cell r="E35" t="str">
            <v>筐</v>
          </cell>
        </row>
        <row r="35">
          <cell r="G35">
            <v>0</v>
          </cell>
          <cell r="H35">
            <v>0</v>
          </cell>
        </row>
        <row r="36">
          <cell r="B36">
            <v>46478</v>
          </cell>
          <cell r="C36" t="str">
            <v>周转费</v>
          </cell>
          <cell r="D36">
            <v>0</v>
          </cell>
          <cell r="E36" t="str">
            <v>筐</v>
          </cell>
        </row>
        <row r="36">
          <cell r="G36">
            <v>0</v>
          </cell>
          <cell r="H36">
            <v>0</v>
          </cell>
        </row>
        <row r="37">
          <cell r="B37">
            <v>46508</v>
          </cell>
          <cell r="C37" t="str">
            <v>周转费</v>
          </cell>
          <cell r="D37">
            <v>0</v>
          </cell>
          <cell r="E37" t="str">
            <v>筐</v>
          </cell>
        </row>
        <row r="37">
          <cell r="G37">
            <v>0</v>
          </cell>
          <cell r="H37">
            <v>0</v>
          </cell>
        </row>
        <row r="38">
          <cell r="B38">
            <v>46539</v>
          </cell>
          <cell r="C38" t="str">
            <v>周转费</v>
          </cell>
          <cell r="D38">
            <v>0</v>
          </cell>
          <cell r="E38" t="str">
            <v>筐</v>
          </cell>
        </row>
        <row r="38">
          <cell r="G38">
            <v>0</v>
          </cell>
          <cell r="H38">
            <v>0</v>
          </cell>
        </row>
        <row r="39">
          <cell r="B39">
            <v>46569</v>
          </cell>
          <cell r="C39" t="str">
            <v>周转费</v>
          </cell>
          <cell r="D39">
            <v>0</v>
          </cell>
          <cell r="E39" t="str">
            <v>筐</v>
          </cell>
        </row>
        <row r="39">
          <cell r="G39">
            <v>0</v>
          </cell>
          <cell r="H39">
            <v>0</v>
          </cell>
        </row>
        <row r="40">
          <cell r="B40">
            <v>46600</v>
          </cell>
          <cell r="C40" t="str">
            <v>周转费</v>
          </cell>
          <cell r="D40">
            <v>0</v>
          </cell>
          <cell r="E40" t="str">
            <v>筐</v>
          </cell>
        </row>
        <row r="40">
          <cell r="G40">
            <v>0</v>
          </cell>
          <cell r="H40">
            <v>0</v>
          </cell>
        </row>
        <row r="41">
          <cell r="B41">
            <v>46631</v>
          </cell>
          <cell r="C41" t="str">
            <v>周转费</v>
          </cell>
          <cell r="D41">
            <v>0</v>
          </cell>
          <cell r="E41" t="str">
            <v>筐</v>
          </cell>
        </row>
        <row r="41">
          <cell r="G41">
            <v>0</v>
          </cell>
          <cell r="H41">
            <v>0</v>
          </cell>
        </row>
        <row r="42">
          <cell r="B42">
            <v>46661</v>
          </cell>
          <cell r="C42" t="str">
            <v>周转费</v>
          </cell>
          <cell r="D42">
            <v>0</v>
          </cell>
          <cell r="E42" t="str">
            <v>筐</v>
          </cell>
        </row>
        <row r="42">
          <cell r="G42">
            <v>0</v>
          </cell>
          <cell r="H42">
            <v>0</v>
          </cell>
        </row>
        <row r="43">
          <cell r="B43">
            <v>46692</v>
          </cell>
          <cell r="C43" t="str">
            <v>周转费</v>
          </cell>
          <cell r="D43">
            <v>0</v>
          </cell>
          <cell r="E43" t="str">
            <v>筐</v>
          </cell>
        </row>
        <row r="43">
          <cell r="G43">
            <v>0</v>
          </cell>
          <cell r="H43">
            <v>0</v>
          </cell>
        </row>
        <row r="44">
          <cell r="B44">
            <v>46722</v>
          </cell>
          <cell r="C44" t="str">
            <v>周转费</v>
          </cell>
          <cell r="D44">
            <v>0</v>
          </cell>
          <cell r="E44" t="str">
            <v>筐</v>
          </cell>
        </row>
        <row r="44">
          <cell r="G44">
            <v>0</v>
          </cell>
          <cell r="H44">
            <v>0</v>
          </cell>
        </row>
        <row r="45">
          <cell r="B45">
            <v>46753</v>
          </cell>
          <cell r="C45" t="str">
            <v>周转费</v>
          </cell>
          <cell r="D45">
            <v>0</v>
          </cell>
          <cell r="E45" t="str">
            <v>筐</v>
          </cell>
        </row>
        <row r="45">
          <cell r="G45">
            <v>0</v>
          </cell>
          <cell r="H45">
            <v>0</v>
          </cell>
        </row>
        <row r="46">
          <cell r="B46">
            <v>46784</v>
          </cell>
          <cell r="C46" t="str">
            <v>周转费</v>
          </cell>
          <cell r="D46">
            <v>0</v>
          </cell>
          <cell r="E46" t="str">
            <v>筐</v>
          </cell>
        </row>
        <row r="46">
          <cell r="G46">
            <v>0</v>
          </cell>
          <cell r="H46">
            <v>0</v>
          </cell>
        </row>
        <row r="47">
          <cell r="B47">
            <v>46813</v>
          </cell>
          <cell r="C47" t="str">
            <v>周转费</v>
          </cell>
          <cell r="D47">
            <v>0</v>
          </cell>
          <cell r="E47" t="str">
            <v>筐</v>
          </cell>
        </row>
        <row r="47">
          <cell r="G47">
            <v>0</v>
          </cell>
          <cell r="H47">
            <v>0</v>
          </cell>
        </row>
        <row r="48">
          <cell r="B48">
            <v>46844</v>
          </cell>
          <cell r="C48" t="str">
            <v>周转费</v>
          </cell>
          <cell r="D48">
            <v>0</v>
          </cell>
          <cell r="E48" t="str">
            <v>筐</v>
          </cell>
        </row>
        <row r="48">
          <cell r="G48">
            <v>0</v>
          </cell>
          <cell r="H48">
            <v>0</v>
          </cell>
        </row>
        <row r="49">
          <cell r="B49">
            <v>46874</v>
          </cell>
          <cell r="C49" t="str">
            <v>周转费</v>
          </cell>
          <cell r="D49">
            <v>0</v>
          </cell>
          <cell r="E49" t="str">
            <v>筐</v>
          </cell>
        </row>
        <row r="49">
          <cell r="G49">
            <v>0</v>
          </cell>
          <cell r="H49">
            <v>0</v>
          </cell>
        </row>
        <row r="50">
          <cell r="B50">
            <v>46905</v>
          </cell>
          <cell r="C50" t="str">
            <v>周转费</v>
          </cell>
          <cell r="D50">
            <v>0</v>
          </cell>
          <cell r="E50" t="str">
            <v>筐</v>
          </cell>
        </row>
        <row r="50">
          <cell r="G50">
            <v>0</v>
          </cell>
          <cell r="H50">
            <v>0</v>
          </cell>
        </row>
        <row r="51">
          <cell r="B51">
            <v>46935</v>
          </cell>
          <cell r="C51" t="str">
            <v>周转费</v>
          </cell>
          <cell r="D51">
            <v>0</v>
          </cell>
          <cell r="E51" t="str">
            <v>筐</v>
          </cell>
        </row>
        <row r="51">
          <cell r="G51">
            <v>0</v>
          </cell>
          <cell r="H51">
            <v>0</v>
          </cell>
        </row>
        <row r="52">
          <cell r="B52">
            <v>46235</v>
          </cell>
          <cell r="C52" t="str">
            <v>装卸费</v>
          </cell>
          <cell r="D52">
            <v>14523</v>
          </cell>
          <cell r="E52" t="str">
            <v>筐</v>
          </cell>
        </row>
        <row r="52">
          <cell r="G52">
            <v>0</v>
          </cell>
          <cell r="H52">
            <v>0</v>
          </cell>
        </row>
        <row r="53">
          <cell r="B53">
            <v>46266</v>
          </cell>
          <cell r="C53" t="str">
            <v>装卸费</v>
          </cell>
          <cell r="D53">
            <v>31420</v>
          </cell>
          <cell r="E53" t="str">
            <v>筐</v>
          </cell>
        </row>
        <row r="53">
          <cell r="G53">
            <v>0</v>
          </cell>
          <cell r="H53">
            <v>0</v>
          </cell>
        </row>
        <row r="54">
          <cell r="B54">
            <v>46296</v>
          </cell>
          <cell r="C54" t="str">
            <v>装卸费</v>
          </cell>
          <cell r="D54">
            <v>0</v>
          </cell>
          <cell r="E54" t="str">
            <v>筐</v>
          </cell>
        </row>
        <row r="54">
          <cell r="G54">
            <v>0</v>
          </cell>
          <cell r="H54">
            <v>0</v>
          </cell>
        </row>
        <row r="55">
          <cell r="B55">
            <v>46327</v>
          </cell>
          <cell r="C55" t="str">
            <v>装卸费</v>
          </cell>
          <cell r="D55">
            <v>0</v>
          </cell>
          <cell r="E55" t="str">
            <v>筐</v>
          </cell>
        </row>
        <row r="55">
          <cell r="G55">
            <v>0</v>
          </cell>
          <cell r="H55">
            <v>0</v>
          </cell>
        </row>
        <row r="56">
          <cell r="B56">
            <v>46357</v>
          </cell>
          <cell r="C56" t="str">
            <v>装卸费</v>
          </cell>
          <cell r="D56">
            <v>0</v>
          </cell>
          <cell r="E56" t="str">
            <v>筐</v>
          </cell>
        </row>
        <row r="56">
          <cell r="G56">
            <v>0</v>
          </cell>
          <cell r="H56">
            <v>0</v>
          </cell>
        </row>
        <row r="57">
          <cell r="B57">
            <v>46388</v>
          </cell>
          <cell r="C57" t="str">
            <v>装卸费</v>
          </cell>
          <cell r="D57">
            <v>0</v>
          </cell>
          <cell r="E57" t="str">
            <v>筐</v>
          </cell>
        </row>
        <row r="57">
          <cell r="G57">
            <v>0</v>
          </cell>
          <cell r="H57">
            <v>0</v>
          </cell>
        </row>
        <row r="58">
          <cell r="B58">
            <v>46419</v>
          </cell>
          <cell r="C58" t="str">
            <v>装卸费</v>
          </cell>
          <cell r="D58">
            <v>0</v>
          </cell>
          <cell r="E58" t="str">
            <v>筐</v>
          </cell>
        </row>
        <row r="58">
          <cell r="G58">
            <v>0</v>
          </cell>
          <cell r="H58">
            <v>0</v>
          </cell>
        </row>
        <row r="59">
          <cell r="B59">
            <v>46447</v>
          </cell>
          <cell r="C59" t="str">
            <v>装卸费</v>
          </cell>
          <cell r="D59">
            <v>0</v>
          </cell>
          <cell r="E59" t="str">
            <v>筐</v>
          </cell>
        </row>
        <row r="59">
          <cell r="G59">
            <v>0</v>
          </cell>
          <cell r="H59">
            <v>0</v>
          </cell>
        </row>
        <row r="60">
          <cell r="B60">
            <v>46478</v>
          </cell>
          <cell r="C60" t="str">
            <v>装卸费</v>
          </cell>
          <cell r="D60">
            <v>0</v>
          </cell>
          <cell r="E60" t="str">
            <v>筐</v>
          </cell>
        </row>
        <row r="60">
          <cell r="G60">
            <v>0</v>
          </cell>
          <cell r="H60">
            <v>0</v>
          </cell>
        </row>
        <row r="61">
          <cell r="B61">
            <v>46508</v>
          </cell>
          <cell r="C61" t="str">
            <v>装卸费</v>
          </cell>
          <cell r="D61">
            <v>0</v>
          </cell>
          <cell r="E61" t="str">
            <v>筐</v>
          </cell>
        </row>
        <row r="61">
          <cell r="G61">
            <v>0</v>
          </cell>
          <cell r="H61">
            <v>0</v>
          </cell>
        </row>
        <row r="62">
          <cell r="B62">
            <v>46539</v>
          </cell>
          <cell r="C62" t="str">
            <v>装卸费</v>
          </cell>
          <cell r="D62">
            <v>0</v>
          </cell>
          <cell r="E62" t="str">
            <v>筐</v>
          </cell>
        </row>
        <row r="62">
          <cell r="G62">
            <v>0</v>
          </cell>
          <cell r="H62">
            <v>0</v>
          </cell>
        </row>
        <row r="63">
          <cell r="B63">
            <v>46569</v>
          </cell>
          <cell r="C63" t="str">
            <v>装卸费</v>
          </cell>
          <cell r="D63">
            <v>0</v>
          </cell>
          <cell r="E63" t="str">
            <v>筐</v>
          </cell>
        </row>
        <row r="63">
          <cell r="G63">
            <v>0</v>
          </cell>
          <cell r="H63">
            <v>0</v>
          </cell>
        </row>
        <row r="64">
          <cell r="B64">
            <v>46600</v>
          </cell>
          <cell r="C64" t="str">
            <v>装卸费</v>
          </cell>
          <cell r="D64">
            <v>0</v>
          </cell>
          <cell r="E64" t="str">
            <v>筐</v>
          </cell>
        </row>
        <row r="64">
          <cell r="G64">
            <v>0</v>
          </cell>
          <cell r="H64">
            <v>0</v>
          </cell>
        </row>
        <row r="65">
          <cell r="B65">
            <v>46631</v>
          </cell>
          <cell r="C65" t="str">
            <v>装卸费</v>
          </cell>
          <cell r="D65">
            <v>0</v>
          </cell>
          <cell r="E65" t="str">
            <v>筐</v>
          </cell>
        </row>
        <row r="65">
          <cell r="G65">
            <v>0</v>
          </cell>
          <cell r="H65">
            <v>0</v>
          </cell>
        </row>
        <row r="66">
          <cell r="B66">
            <v>46661</v>
          </cell>
          <cell r="C66" t="str">
            <v>装卸费</v>
          </cell>
          <cell r="D66">
            <v>0</v>
          </cell>
          <cell r="E66" t="str">
            <v>筐</v>
          </cell>
        </row>
        <row r="66">
          <cell r="G66">
            <v>0</v>
          </cell>
          <cell r="H66">
            <v>0</v>
          </cell>
        </row>
        <row r="67">
          <cell r="B67">
            <v>46692</v>
          </cell>
          <cell r="C67" t="str">
            <v>装卸费</v>
          </cell>
          <cell r="D67">
            <v>0</v>
          </cell>
          <cell r="E67" t="str">
            <v>筐</v>
          </cell>
        </row>
        <row r="67">
          <cell r="G67">
            <v>0</v>
          </cell>
          <cell r="H67">
            <v>0</v>
          </cell>
        </row>
        <row r="68">
          <cell r="B68">
            <v>46722</v>
          </cell>
          <cell r="C68" t="str">
            <v>装卸费</v>
          </cell>
          <cell r="D68">
            <v>0</v>
          </cell>
          <cell r="E68" t="str">
            <v>筐</v>
          </cell>
        </row>
        <row r="68">
          <cell r="G68">
            <v>0</v>
          </cell>
          <cell r="H68">
            <v>0</v>
          </cell>
        </row>
        <row r="69">
          <cell r="B69">
            <v>46753</v>
          </cell>
          <cell r="C69" t="str">
            <v>装卸费</v>
          </cell>
          <cell r="D69">
            <v>0</v>
          </cell>
          <cell r="E69" t="str">
            <v>筐</v>
          </cell>
        </row>
        <row r="69">
          <cell r="G69">
            <v>0</v>
          </cell>
          <cell r="H69">
            <v>0</v>
          </cell>
        </row>
        <row r="70">
          <cell r="B70">
            <v>46784</v>
          </cell>
          <cell r="C70" t="str">
            <v>装卸费</v>
          </cell>
          <cell r="D70">
            <v>0</v>
          </cell>
          <cell r="E70" t="str">
            <v>筐</v>
          </cell>
        </row>
        <row r="70">
          <cell r="G70">
            <v>0</v>
          </cell>
          <cell r="H70">
            <v>0</v>
          </cell>
        </row>
        <row r="71">
          <cell r="B71">
            <v>46813</v>
          </cell>
          <cell r="C71" t="str">
            <v>装卸费</v>
          </cell>
          <cell r="D71">
            <v>0</v>
          </cell>
          <cell r="E71" t="str">
            <v>筐</v>
          </cell>
        </row>
        <row r="71">
          <cell r="G71">
            <v>0</v>
          </cell>
          <cell r="H71">
            <v>0</v>
          </cell>
        </row>
        <row r="72">
          <cell r="B72">
            <v>46844</v>
          </cell>
          <cell r="C72" t="str">
            <v>装卸费</v>
          </cell>
          <cell r="D72">
            <v>0</v>
          </cell>
          <cell r="E72" t="str">
            <v>筐</v>
          </cell>
        </row>
        <row r="72">
          <cell r="G72">
            <v>0</v>
          </cell>
          <cell r="H72">
            <v>0</v>
          </cell>
        </row>
        <row r="73">
          <cell r="B73">
            <v>46874</v>
          </cell>
          <cell r="C73" t="str">
            <v>装卸费</v>
          </cell>
          <cell r="D73">
            <v>0</v>
          </cell>
          <cell r="E73" t="str">
            <v>筐</v>
          </cell>
        </row>
        <row r="73">
          <cell r="G73">
            <v>0</v>
          </cell>
          <cell r="H73">
            <v>0</v>
          </cell>
        </row>
        <row r="74">
          <cell r="B74">
            <v>46905</v>
          </cell>
          <cell r="C74" t="str">
            <v>装卸费</v>
          </cell>
          <cell r="D74">
            <v>0</v>
          </cell>
          <cell r="E74" t="str">
            <v>筐</v>
          </cell>
        </row>
        <row r="74">
          <cell r="G74">
            <v>0</v>
          </cell>
          <cell r="H74">
            <v>0</v>
          </cell>
        </row>
        <row r="75">
          <cell r="B75">
            <v>46935</v>
          </cell>
          <cell r="C75" t="str">
            <v>装卸费</v>
          </cell>
          <cell r="D75">
            <v>0</v>
          </cell>
          <cell r="E75" t="str">
            <v>筐</v>
          </cell>
        </row>
        <row r="75">
          <cell r="G75">
            <v>0</v>
          </cell>
          <cell r="H75">
            <v>0</v>
          </cell>
        </row>
        <row r="76">
          <cell r="B76">
            <v>46235</v>
          </cell>
          <cell r="C76" t="str">
            <v>水果销售</v>
          </cell>
          <cell r="D76">
            <v>0</v>
          </cell>
          <cell r="E76" t="str">
            <v>箱</v>
          </cell>
        </row>
        <row r="76">
          <cell r="G76">
            <v>0</v>
          </cell>
          <cell r="H76">
            <v>0</v>
          </cell>
        </row>
        <row r="77">
          <cell r="B77">
            <v>46266</v>
          </cell>
          <cell r="C77" t="str">
            <v>水果销售</v>
          </cell>
          <cell r="D77">
            <v>1</v>
          </cell>
          <cell r="E77" t="str">
            <v>箱</v>
          </cell>
        </row>
        <row r="77">
          <cell r="G77">
            <v>40</v>
          </cell>
          <cell r="H77">
            <v>300</v>
          </cell>
        </row>
        <row r="78">
          <cell r="B78">
            <v>46296</v>
          </cell>
          <cell r="C78" t="str">
            <v>水果销售</v>
          </cell>
          <cell r="D78">
            <v>0</v>
          </cell>
          <cell r="E78" t="str">
            <v>箱</v>
          </cell>
        </row>
        <row r="78">
          <cell r="G78">
            <v>0</v>
          </cell>
          <cell r="H78">
            <v>0</v>
          </cell>
        </row>
        <row r="79">
          <cell r="B79">
            <v>46327</v>
          </cell>
          <cell r="C79" t="str">
            <v>水果销售</v>
          </cell>
          <cell r="D79">
            <v>0</v>
          </cell>
          <cell r="E79" t="str">
            <v>箱</v>
          </cell>
        </row>
        <row r="79">
          <cell r="G79">
            <v>0</v>
          </cell>
          <cell r="H79">
            <v>0</v>
          </cell>
        </row>
        <row r="80">
          <cell r="B80">
            <v>46357</v>
          </cell>
          <cell r="C80" t="str">
            <v>水果销售</v>
          </cell>
          <cell r="D80">
            <v>0</v>
          </cell>
          <cell r="E80" t="str">
            <v>箱</v>
          </cell>
        </row>
        <row r="80">
          <cell r="G80">
            <v>0</v>
          </cell>
          <cell r="H80">
            <v>0</v>
          </cell>
        </row>
        <row r="81">
          <cell r="B81">
            <v>46388</v>
          </cell>
          <cell r="C81" t="str">
            <v>水果销售</v>
          </cell>
          <cell r="D81">
            <v>0</v>
          </cell>
          <cell r="E81" t="str">
            <v>箱</v>
          </cell>
        </row>
        <row r="81">
          <cell r="G81">
            <v>0</v>
          </cell>
          <cell r="H81">
            <v>0</v>
          </cell>
        </row>
        <row r="82">
          <cell r="B82">
            <v>46419</v>
          </cell>
          <cell r="C82" t="str">
            <v>水果销售</v>
          </cell>
          <cell r="D82">
            <v>0</v>
          </cell>
          <cell r="E82" t="str">
            <v>箱</v>
          </cell>
        </row>
        <row r="82">
          <cell r="G82">
            <v>0</v>
          </cell>
          <cell r="H82">
            <v>0</v>
          </cell>
        </row>
        <row r="83">
          <cell r="B83">
            <v>46447</v>
          </cell>
          <cell r="C83" t="str">
            <v>水果销售</v>
          </cell>
          <cell r="D83">
            <v>0</v>
          </cell>
          <cell r="E83" t="str">
            <v>箱</v>
          </cell>
        </row>
        <row r="83">
          <cell r="G83">
            <v>0</v>
          </cell>
          <cell r="H83">
            <v>0</v>
          </cell>
        </row>
        <row r="84">
          <cell r="B84">
            <v>46478</v>
          </cell>
          <cell r="C84" t="str">
            <v>水果销售</v>
          </cell>
          <cell r="D84">
            <v>0</v>
          </cell>
          <cell r="E84" t="str">
            <v>箱</v>
          </cell>
        </row>
        <row r="84">
          <cell r="G84">
            <v>0</v>
          </cell>
          <cell r="H84">
            <v>0</v>
          </cell>
        </row>
        <row r="85">
          <cell r="B85">
            <v>46508</v>
          </cell>
          <cell r="C85" t="str">
            <v>水果销售</v>
          </cell>
          <cell r="D85">
            <v>0</v>
          </cell>
          <cell r="E85" t="str">
            <v>箱</v>
          </cell>
        </row>
        <row r="85">
          <cell r="G85">
            <v>0</v>
          </cell>
          <cell r="H85">
            <v>0</v>
          </cell>
        </row>
        <row r="86">
          <cell r="B86">
            <v>46539</v>
          </cell>
          <cell r="C86" t="str">
            <v>水果销售</v>
          </cell>
          <cell r="D86">
            <v>0</v>
          </cell>
          <cell r="E86" t="str">
            <v>箱</v>
          </cell>
        </row>
        <row r="86">
          <cell r="G86">
            <v>0</v>
          </cell>
          <cell r="H86">
            <v>0</v>
          </cell>
        </row>
        <row r="87">
          <cell r="B87">
            <v>46569</v>
          </cell>
          <cell r="C87" t="str">
            <v>水果销售</v>
          </cell>
          <cell r="D87">
            <v>0</v>
          </cell>
          <cell r="E87" t="str">
            <v>箱</v>
          </cell>
        </row>
        <row r="87">
          <cell r="G87">
            <v>0</v>
          </cell>
          <cell r="H87">
            <v>0</v>
          </cell>
        </row>
        <row r="88">
          <cell r="B88">
            <v>46600</v>
          </cell>
          <cell r="C88" t="str">
            <v>水果销售</v>
          </cell>
          <cell r="D88">
            <v>0</v>
          </cell>
          <cell r="E88" t="str">
            <v>箱</v>
          </cell>
        </row>
        <row r="88">
          <cell r="G88">
            <v>0</v>
          </cell>
          <cell r="H88">
            <v>0</v>
          </cell>
        </row>
        <row r="89">
          <cell r="B89">
            <v>46631</v>
          </cell>
          <cell r="C89" t="str">
            <v>水果销售</v>
          </cell>
          <cell r="D89">
            <v>0</v>
          </cell>
          <cell r="E89" t="str">
            <v>箱</v>
          </cell>
        </row>
        <row r="89">
          <cell r="G89">
            <v>0</v>
          </cell>
          <cell r="H89">
            <v>0</v>
          </cell>
        </row>
        <row r="90">
          <cell r="B90">
            <v>46661</v>
          </cell>
          <cell r="C90" t="str">
            <v>水果销售</v>
          </cell>
          <cell r="D90">
            <v>0</v>
          </cell>
          <cell r="E90" t="str">
            <v>箱</v>
          </cell>
        </row>
        <row r="90">
          <cell r="G90">
            <v>0</v>
          </cell>
          <cell r="H90">
            <v>0</v>
          </cell>
        </row>
        <row r="91">
          <cell r="B91">
            <v>46692</v>
          </cell>
          <cell r="C91" t="str">
            <v>水果销售</v>
          </cell>
          <cell r="D91">
            <v>0</v>
          </cell>
          <cell r="E91" t="str">
            <v>箱</v>
          </cell>
        </row>
        <row r="91">
          <cell r="G91">
            <v>0</v>
          </cell>
          <cell r="H91">
            <v>0</v>
          </cell>
        </row>
        <row r="92">
          <cell r="B92">
            <v>46722</v>
          </cell>
          <cell r="C92" t="str">
            <v>水果销售</v>
          </cell>
          <cell r="D92">
            <v>0</v>
          </cell>
          <cell r="E92" t="str">
            <v>箱</v>
          </cell>
        </row>
        <row r="92">
          <cell r="G92">
            <v>0</v>
          </cell>
          <cell r="H92">
            <v>0</v>
          </cell>
        </row>
        <row r="93">
          <cell r="B93">
            <v>46753</v>
          </cell>
          <cell r="C93" t="str">
            <v>水果销售</v>
          </cell>
          <cell r="D93">
            <v>0</v>
          </cell>
          <cell r="E93" t="str">
            <v>箱</v>
          </cell>
        </row>
        <row r="93">
          <cell r="G93">
            <v>0</v>
          </cell>
          <cell r="H93">
            <v>0</v>
          </cell>
        </row>
        <row r="94">
          <cell r="B94">
            <v>46784</v>
          </cell>
          <cell r="C94" t="str">
            <v>水果销售</v>
          </cell>
          <cell r="D94">
            <v>0</v>
          </cell>
          <cell r="E94" t="str">
            <v>箱</v>
          </cell>
        </row>
        <row r="94">
          <cell r="G94">
            <v>0</v>
          </cell>
          <cell r="H94">
            <v>0</v>
          </cell>
        </row>
        <row r="95">
          <cell r="B95">
            <v>46813</v>
          </cell>
          <cell r="C95" t="str">
            <v>水果销售</v>
          </cell>
          <cell r="D95">
            <v>0</v>
          </cell>
          <cell r="E95" t="str">
            <v>箱</v>
          </cell>
        </row>
        <row r="95">
          <cell r="G95">
            <v>0</v>
          </cell>
          <cell r="H95">
            <v>0</v>
          </cell>
        </row>
        <row r="96">
          <cell r="B96">
            <v>46844</v>
          </cell>
          <cell r="C96" t="str">
            <v>水果销售</v>
          </cell>
          <cell r="D96">
            <v>0</v>
          </cell>
          <cell r="E96" t="str">
            <v>箱</v>
          </cell>
        </row>
        <row r="96">
          <cell r="G96">
            <v>0</v>
          </cell>
          <cell r="H96">
            <v>0</v>
          </cell>
        </row>
        <row r="97">
          <cell r="B97">
            <v>46874</v>
          </cell>
          <cell r="C97" t="str">
            <v>水果销售</v>
          </cell>
          <cell r="D97">
            <v>0</v>
          </cell>
          <cell r="E97" t="str">
            <v>箱</v>
          </cell>
        </row>
        <row r="97">
          <cell r="G97">
            <v>0</v>
          </cell>
          <cell r="H97">
            <v>0</v>
          </cell>
        </row>
        <row r="98">
          <cell r="B98">
            <v>46905</v>
          </cell>
          <cell r="C98" t="str">
            <v>水果销售</v>
          </cell>
          <cell r="D98">
            <v>0</v>
          </cell>
          <cell r="E98" t="str">
            <v>箱</v>
          </cell>
        </row>
        <row r="98">
          <cell r="G98">
            <v>0</v>
          </cell>
          <cell r="H98">
            <v>0</v>
          </cell>
        </row>
        <row r="99">
          <cell r="B99">
            <v>46935</v>
          </cell>
          <cell r="C99" t="str">
            <v>水果销售</v>
          </cell>
          <cell r="D99">
            <v>0</v>
          </cell>
          <cell r="E99" t="str">
            <v>箱</v>
          </cell>
        </row>
        <row r="99">
          <cell r="G99">
            <v>0</v>
          </cell>
          <cell r="H99">
            <v>0</v>
          </cell>
        </row>
        <row r="100">
          <cell r="B100">
            <v>46235</v>
          </cell>
          <cell r="C100" t="str">
            <v>运费</v>
          </cell>
          <cell r="D100">
            <v>0</v>
          </cell>
          <cell r="E100" t="str">
            <v>元</v>
          </cell>
        </row>
        <row r="100">
          <cell r="G100">
            <v>0</v>
          </cell>
          <cell r="H100">
            <v>0</v>
          </cell>
        </row>
        <row r="101">
          <cell r="B101">
            <v>46266</v>
          </cell>
          <cell r="C101" t="str">
            <v>运费</v>
          </cell>
          <cell r="D101">
            <v>0</v>
          </cell>
          <cell r="E101" t="str">
            <v>元</v>
          </cell>
        </row>
        <row r="101">
          <cell r="G101">
            <v>352</v>
          </cell>
          <cell r="H101">
            <v>0</v>
          </cell>
        </row>
        <row r="102">
          <cell r="B102">
            <v>46296</v>
          </cell>
          <cell r="C102" t="str">
            <v>运费</v>
          </cell>
          <cell r="D102">
            <v>0</v>
          </cell>
          <cell r="E102" t="str">
            <v>元</v>
          </cell>
        </row>
        <row r="102">
          <cell r="G102">
            <v>0</v>
          </cell>
          <cell r="H102">
            <v>0</v>
          </cell>
        </row>
        <row r="103">
          <cell r="B103">
            <v>46327</v>
          </cell>
          <cell r="C103" t="str">
            <v>运费</v>
          </cell>
          <cell r="D103">
            <v>0</v>
          </cell>
          <cell r="E103" t="str">
            <v>元</v>
          </cell>
        </row>
        <row r="103">
          <cell r="G103">
            <v>0</v>
          </cell>
          <cell r="H103">
            <v>0</v>
          </cell>
        </row>
        <row r="104">
          <cell r="B104">
            <v>46357</v>
          </cell>
          <cell r="C104" t="str">
            <v>运费</v>
          </cell>
          <cell r="D104">
            <v>0</v>
          </cell>
          <cell r="E104" t="str">
            <v>元</v>
          </cell>
        </row>
        <row r="104">
          <cell r="G104">
            <v>0</v>
          </cell>
          <cell r="H104">
            <v>0</v>
          </cell>
        </row>
        <row r="105">
          <cell r="B105">
            <v>46388</v>
          </cell>
          <cell r="C105" t="str">
            <v>运费</v>
          </cell>
          <cell r="D105">
            <v>0</v>
          </cell>
          <cell r="E105" t="str">
            <v>元</v>
          </cell>
        </row>
        <row r="105">
          <cell r="G105">
            <v>0</v>
          </cell>
          <cell r="H105">
            <v>0</v>
          </cell>
        </row>
        <row r="106">
          <cell r="B106">
            <v>46419</v>
          </cell>
          <cell r="C106" t="str">
            <v>运费</v>
          </cell>
          <cell r="D106">
            <v>0</v>
          </cell>
          <cell r="E106" t="str">
            <v>元</v>
          </cell>
        </row>
        <row r="106">
          <cell r="G106">
            <v>0</v>
          </cell>
          <cell r="H106">
            <v>0</v>
          </cell>
        </row>
        <row r="107">
          <cell r="B107">
            <v>46447</v>
          </cell>
          <cell r="C107" t="str">
            <v>运费</v>
          </cell>
          <cell r="D107">
            <v>0</v>
          </cell>
          <cell r="E107" t="str">
            <v>元</v>
          </cell>
        </row>
        <row r="107">
          <cell r="G107">
            <v>0</v>
          </cell>
          <cell r="H107">
            <v>0</v>
          </cell>
        </row>
        <row r="108">
          <cell r="B108">
            <v>46478</v>
          </cell>
          <cell r="C108" t="str">
            <v>运费</v>
          </cell>
          <cell r="D108">
            <v>0</v>
          </cell>
          <cell r="E108" t="str">
            <v>元</v>
          </cell>
        </row>
        <row r="108">
          <cell r="G108">
            <v>0</v>
          </cell>
          <cell r="H108">
            <v>0</v>
          </cell>
        </row>
        <row r="109">
          <cell r="B109">
            <v>46508</v>
          </cell>
          <cell r="C109" t="str">
            <v>运费</v>
          </cell>
          <cell r="D109">
            <v>0</v>
          </cell>
          <cell r="E109" t="str">
            <v>元</v>
          </cell>
        </row>
        <row r="109">
          <cell r="G109">
            <v>0</v>
          </cell>
          <cell r="H109">
            <v>0</v>
          </cell>
        </row>
        <row r="110">
          <cell r="B110">
            <v>46539</v>
          </cell>
          <cell r="C110" t="str">
            <v>运费</v>
          </cell>
          <cell r="D110">
            <v>0</v>
          </cell>
          <cell r="E110" t="str">
            <v>元</v>
          </cell>
        </row>
        <row r="110">
          <cell r="G110">
            <v>0</v>
          </cell>
          <cell r="H110">
            <v>0</v>
          </cell>
        </row>
        <row r="111">
          <cell r="B111">
            <v>46569</v>
          </cell>
          <cell r="C111" t="str">
            <v>运费</v>
          </cell>
          <cell r="D111">
            <v>0</v>
          </cell>
          <cell r="E111" t="str">
            <v>元</v>
          </cell>
        </row>
        <row r="111">
          <cell r="G111">
            <v>0</v>
          </cell>
          <cell r="H111">
            <v>0</v>
          </cell>
        </row>
        <row r="112">
          <cell r="B112">
            <v>46600</v>
          </cell>
          <cell r="C112" t="str">
            <v>运费</v>
          </cell>
          <cell r="D112">
            <v>0</v>
          </cell>
          <cell r="E112" t="str">
            <v>元</v>
          </cell>
        </row>
        <row r="112">
          <cell r="G112">
            <v>0</v>
          </cell>
          <cell r="H112">
            <v>0</v>
          </cell>
        </row>
        <row r="113">
          <cell r="B113">
            <v>46631</v>
          </cell>
          <cell r="C113" t="str">
            <v>运费</v>
          </cell>
          <cell r="D113">
            <v>0</v>
          </cell>
          <cell r="E113" t="str">
            <v>元</v>
          </cell>
        </row>
        <row r="113">
          <cell r="G113">
            <v>0</v>
          </cell>
          <cell r="H113">
            <v>0</v>
          </cell>
        </row>
        <row r="114">
          <cell r="B114">
            <v>46661</v>
          </cell>
          <cell r="C114" t="str">
            <v>运费</v>
          </cell>
          <cell r="D114">
            <v>0</v>
          </cell>
          <cell r="E114" t="str">
            <v>元</v>
          </cell>
        </row>
        <row r="114">
          <cell r="G114">
            <v>0</v>
          </cell>
          <cell r="H114">
            <v>0</v>
          </cell>
        </row>
        <row r="115">
          <cell r="B115">
            <v>46692</v>
          </cell>
          <cell r="C115" t="str">
            <v>运费</v>
          </cell>
          <cell r="D115">
            <v>0</v>
          </cell>
          <cell r="E115" t="str">
            <v>元</v>
          </cell>
        </row>
        <row r="115">
          <cell r="G115">
            <v>0</v>
          </cell>
          <cell r="H115">
            <v>0</v>
          </cell>
        </row>
        <row r="116">
          <cell r="B116">
            <v>46722</v>
          </cell>
          <cell r="C116" t="str">
            <v>运费</v>
          </cell>
          <cell r="D116">
            <v>0</v>
          </cell>
          <cell r="E116" t="str">
            <v>元</v>
          </cell>
        </row>
        <row r="116">
          <cell r="G116">
            <v>0</v>
          </cell>
          <cell r="H116">
            <v>0</v>
          </cell>
        </row>
        <row r="117">
          <cell r="B117">
            <v>46753</v>
          </cell>
          <cell r="C117" t="str">
            <v>运费</v>
          </cell>
          <cell r="D117">
            <v>0</v>
          </cell>
          <cell r="E117" t="str">
            <v>元</v>
          </cell>
        </row>
        <row r="117">
          <cell r="G117">
            <v>0</v>
          </cell>
          <cell r="H117">
            <v>0</v>
          </cell>
        </row>
        <row r="118">
          <cell r="B118">
            <v>46784</v>
          </cell>
          <cell r="C118" t="str">
            <v>运费</v>
          </cell>
          <cell r="D118">
            <v>0</v>
          </cell>
          <cell r="E118" t="str">
            <v>元</v>
          </cell>
        </row>
        <row r="118">
          <cell r="G118">
            <v>0</v>
          </cell>
          <cell r="H118">
            <v>0</v>
          </cell>
        </row>
        <row r="119">
          <cell r="B119">
            <v>46813</v>
          </cell>
          <cell r="C119" t="str">
            <v>运费</v>
          </cell>
          <cell r="D119">
            <v>0</v>
          </cell>
          <cell r="E119" t="str">
            <v>元</v>
          </cell>
        </row>
        <row r="119">
          <cell r="G119">
            <v>0</v>
          </cell>
          <cell r="H119">
            <v>0</v>
          </cell>
        </row>
        <row r="120">
          <cell r="B120">
            <v>46844</v>
          </cell>
          <cell r="C120" t="str">
            <v>运费</v>
          </cell>
          <cell r="D120">
            <v>0</v>
          </cell>
          <cell r="E120" t="str">
            <v>元</v>
          </cell>
        </row>
        <row r="120">
          <cell r="G120">
            <v>0</v>
          </cell>
          <cell r="H120">
            <v>0</v>
          </cell>
        </row>
        <row r="121">
          <cell r="B121">
            <v>46874</v>
          </cell>
          <cell r="C121" t="str">
            <v>运费</v>
          </cell>
          <cell r="D121">
            <v>0</v>
          </cell>
          <cell r="E121" t="str">
            <v>元</v>
          </cell>
        </row>
        <row r="121">
          <cell r="G121">
            <v>0</v>
          </cell>
          <cell r="H121">
            <v>0</v>
          </cell>
        </row>
        <row r="122">
          <cell r="B122">
            <v>46905</v>
          </cell>
          <cell r="C122" t="str">
            <v>运费</v>
          </cell>
          <cell r="D122">
            <v>0</v>
          </cell>
          <cell r="E122" t="str">
            <v>元</v>
          </cell>
        </row>
        <row r="122">
          <cell r="G122">
            <v>0</v>
          </cell>
          <cell r="H122">
            <v>0</v>
          </cell>
        </row>
        <row r="123">
          <cell r="B123">
            <v>46935</v>
          </cell>
          <cell r="C123" t="str">
            <v>运费</v>
          </cell>
          <cell r="D123">
            <v>0</v>
          </cell>
          <cell r="E123" t="str">
            <v>元</v>
          </cell>
        </row>
        <row r="123">
          <cell r="G123">
            <v>0</v>
          </cell>
          <cell r="H123">
            <v>0</v>
          </cell>
        </row>
        <row r="124">
          <cell r="B124">
            <v>46235</v>
          </cell>
          <cell r="C124" t="str">
            <v>其他服务费</v>
          </cell>
        </row>
        <row r="124">
          <cell r="E124" t="str">
            <v>元</v>
          </cell>
        </row>
        <row r="125">
          <cell r="B125">
            <v>46266</v>
          </cell>
          <cell r="C125" t="str">
            <v>其他服务费</v>
          </cell>
        </row>
        <row r="125">
          <cell r="E125" t="str">
            <v>元</v>
          </cell>
        </row>
        <row r="126">
          <cell r="B126">
            <v>46296</v>
          </cell>
          <cell r="C126" t="str">
            <v>其他服务费</v>
          </cell>
        </row>
        <row r="126">
          <cell r="E126" t="str">
            <v>元</v>
          </cell>
        </row>
        <row r="127">
          <cell r="B127">
            <v>46327</v>
          </cell>
          <cell r="C127" t="str">
            <v>其他服务费</v>
          </cell>
        </row>
        <row r="127">
          <cell r="E127" t="str">
            <v>元</v>
          </cell>
        </row>
        <row r="128">
          <cell r="B128">
            <v>46357</v>
          </cell>
          <cell r="C128" t="str">
            <v>其他服务费</v>
          </cell>
        </row>
        <row r="128">
          <cell r="E128" t="str">
            <v>元</v>
          </cell>
        </row>
        <row r="129">
          <cell r="B129">
            <v>46388</v>
          </cell>
          <cell r="C129" t="str">
            <v>其他服务费</v>
          </cell>
        </row>
        <row r="129">
          <cell r="E129" t="str">
            <v>元</v>
          </cell>
        </row>
        <row r="130">
          <cell r="B130">
            <v>46419</v>
          </cell>
          <cell r="C130" t="str">
            <v>其他服务费</v>
          </cell>
        </row>
        <row r="130">
          <cell r="E130" t="str">
            <v>元</v>
          </cell>
        </row>
        <row r="131">
          <cell r="B131">
            <v>46447</v>
          </cell>
          <cell r="C131" t="str">
            <v>其他服务费</v>
          </cell>
        </row>
        <row r="131">
          <cell r="E131" t="str">
            <v>元</v>
          </cell>
        </row>
        <row r="132">
          <cell r="B132">
            <v>46478</v>
          </cell>
          <cell r="C132" t="str">
            <v>其他服务费</v>
          </cell>
        </row>
        <row r="132">
          <cell r="E132" t="str">
            <v>元</v>
          </cell>
        </row>
        <row r="133">
          <cell r="B133">
            <v>46508</v>
          </cell>
          <cell r="C133" t="str">
            <v>其他服务费</v>
          </cell>
        </row>
        <row r="133">
          <cell r="E133" t="str">
            <v>元</v>
          </cell>
        </row>
        <row r="134">
          <cell r="B134">
            <v>46539</v>
          </cell>
          <cell r="C134" t="str">
            <v>其他服务费</v>
          </cell>
        </row>
        <row r="134">
          <cell r="E134" t="str">
            <v>元</v>
          </cell>
        </row>
        <row r="135">
          <cell r="B135">
            <v>46569</v>
          </cell>
          <cell r="C135" t="str">
            <v>其他服务费</v>
          </cell>
        </row>
        <row r="135">
          <cell r="E135" t="str">
            <v>元</v>
          </cell>
        </row>
        <row r="136">
          <cell r="B136">
            <v>46600</v>
          </cell>
          <cell r="C136" t="str">
            <v>其他服务费</v>
          </cell>
        </row>
        <row r="136">
          <cell r="E136" t="str">
            <v>元</v>
          </cell>
        </row>
        <row r="137">
          <cell r="B137">
            <v>46631</v>
          </cell>
          <cell r="C137" t="str">
            <v>其他服务费</v>
          </cell>
        </row>
        <row r="137">
          <cell r="E137" t="str">
            <v>元</v>
          </cell>
        </row>
        <row r="138">
          <cell r="B138">
            <v>46661</v>
          </cell>
          <cell r="C138" t="str">
            <v>其他服务费</v>
          </cell>
        </row>
        <row r="138">
          <cell r="E138" t="str">
            <v>元</v>
          </cell>
        </row>
        <row r="139">
          <cell r="B139">
            <v>46692</v>
          </cell>
          <cell r="C139" t="str">
            <v>其他服务费</v>
          </cell>
        </row>
        <row r="139">
          <cell r="E139" t="str">
            <v>元</v>
          </cell>
        </row>
        <row r="140">
          <cell r="B140">
            <v>46722</v>
          </cell>
          <cell r="C140" t="str">
            <v>其他服务费</v>
          </cell>
        </row>
        <row r="140">
          <cell r="E140" t="str">
            <v>元</v>
          </cell>
        </row>
        <row r="141">
          <cell r="B141">
            <v>46753</v>
          </cell>
          <cell r="C141" t="str">
            <v>其他服务费</v>
          </cell>
        </row>
        <row r="141">
          <cell r="E141" t="str">
            <v>元</v>
          </cell>
        </row>
        <row r="142">
          <cell r="B142">
            <v>46784</v>
          </cell>
          <cell r="C142" t="str">
            <v>其他服务费</v>
          </cell>
        </row>
        <row r="142">
          <cell r="E142" t="str">
            <v>元</v>
          </cell>
        </row>
        <row r="143">
          <cell r="B143">
            <v>46813</v>
          </cell>
          <cell r="C143" t="str">
            <v>其他服务费</v>
          </cell>
        </row>
        <row r="143">
          <cell r="E143" t="str">
            <v>元</v>
          </cell>
        </row>
        <row r="144">
          <cell r="B144">
            <v>46844</v>
          </cell>
          <cell r="C144" t="str">
            <v>其他服务费</v>
          </cell>
        </row>
        <row r="144">
          <cell r="E144" t="str">
            <v>元</v>
          </cell>
        </row>
        <row r="145">
          <cell r="B145">
            <v>46874</v>
          </cell>
          <cell r="C145" t="str">
            <v>其他服务费</v>
          </cell>
        </row>
        <row r="145">
          <cell r="E145" t="str">
            <v>元</v>
          </cell>
        </row>
        <row r="146">
          <cell r="B146">
            <v>46905</v>
          </cell>
          <cell r="C146" t="str">
            <v>其他服务费</v>
          </cell>
        </row>
        <row r="146">
          <cell r="E146" t="str">
            <v>元</v>
          </cell>
        </row>
        <row r="147">
          <cell r="B147">
            <v>46935</v>
          </cell>
          <cell r="C147" t="str">
            <v>其他服务费</v>
          </cell>
        </row>
        <row r="147">
          <cell r="E147" t="str">
            <v>元</v>
          </cell>
        </row>
        <row r="150">
          <cell r="B150" t="str">
            <v>年月</v>
          </cell>
          <cell r="C150" t="str">
            <v>项目</v>
          </cell>
          <cell r="D150" t="str">
            <v>计费数量</v>
          </cell>
          <cell r="E150" t="str">
            <v>计量单位</v>
          </cell>
        </row>
        <row r="150">
          <cell r="G150" t="str">
            <v>价税合计金额</v>
          </cell>
          <cell r="H150" t="str">
            <v>已收金额</v>
          </cell>
          <cell r="I150" t="str">
            <v>备注</v>
          </cell>
        </row>
        <row r="151">
          <cell r="B151">
            <v>46235</v>
          </cell>
          <cell r="C151" t="str">
            <v>自购水果采购入库</v>
          </cell>
          <cell r="D151">
            <v>0</v>
          </cell>
          <cell r="E151" t="str">
            <v>筐</v>
          </cell>
        </row>
        <row r="151">
          <cell r="G151">
            <v>0</v>
          </cell>
          <cell r="H151">
            <v>0</v>
          </cell>
        </row>
        <row r="152">
          <cell r="B152">
            <v>46266</v>
          </cell>
          <cell r="C152" t="str">
            <v>自购水果采购入库</v>
          </cell>
          <cell r="D152">
            <v>0</v>
          </cell>
          <cell r="E152" t="str">
            <v>筐</v>
          </cell>
        </row>
        <row r="152">
          <cell r="G152">
            <v>0</v>
          </cell>
          <cell r="H152">
            <v>0</v>
          </cell>
        </row>
        <row r="153">
          <cell r="B153">
            <v>46296</v>
          </cell>
          <cell r="C153" t="str">
            <v>自购水果采购入库</v>
          </cell>
          <cell r="D153">
            <v>0</v>
          </cell>
          <cell r="E153" t="str">
            <v>筐</v>
          </cell>
        </row>
        <row r="153">
          <cell r="G153">
            <v>0</v>
          </cell>
          <cell r="H153">
            <v>0</v>
          </cell>
        </row>
        <row r="154">
          <cell r="B154">
            <v>46327</v>
          </cell>
          <cell r="C154" t="str">
            <v>自购水果采购入库</v>
          </cell>
          <cell r="D154">
            <v>0</v>
          </cell>
          <cell r="E154" t="str">
            <v>筐</v>
          </cell>
        </row>
        <row r="154">
          <cell r="G154">
            <v>0</v>
          </cell>
          <cell r="H154">
            <v>0</v>
          </cell>
        </row>
        <row r="155">
          <cell r="B155">
            <v>46357</v>
          </cell>
          <cell r="C155" t="str">
            <v>自购水果采购入库</v>
          </cell>
          <cell r="D155">
            <v>0</v>
          </cell>
          <cell r="E155" t="str">
            <v>筐</v>
          </cell>
        </row>
        <row r="155">
          <cell r="G155">
            <v>0</v>
          </cell>
          <cell r="H155">
            <v>0</v>
          </cell>
        </row>
        <row r="156">
          <cell r="B156">
            <v>46388</v>
          </cell>
          <cell r="C156" t="str">
            <v>自购水果采购入库</v>
          </cell>
          <cell r="D156">
            <v>0</v>
          </cell>
          <cell r="E156" t="str">
            <v>筐</v>
          </cell>
        </row>
        <row r="156">
          <cell r="G156">
            <v>0</v>
          </cell>
          <cell r="H156">
            <v>0</v>
          </cell>
        </row>
        <row r="157">
          <cell r="B157">
            <v>46419</v>
          </cell>
          <cell r="C157" t="str">
            <v>自购水果采购入库</v>
          </cell>
          <cell r="D157">
            <v>0</v>
          </cell>
          <cell r="E157" t="str">
            <v>筐</v>
          </cell>
        </row>
        <row r="157">
          <cell r="G157">
            <v>0</v>
          </cell>
          <cell r="H157">
            <v>0</v>
          </cell>
        </row>
        <row r="158">
          <cell r="B158">
            <v>46447</v>
          </cell>
          <cell r="C158" t="str">
            <v>自购水果采购入库</v>
          </cell>
          <cell r="D158">
            <v>0</v>
          </cell>
          <cell r="E158" t="str">
            <v>筐</v>
          </cell>
        </row>
        <row r="158">
          <cell r="G158">
            <v>0</v>
          </cell>
          <cell r="H158">
            <v>0</v>
          </cell>
        </row>
        <row r="159">
          <cell r="B159">
            <v>46478</v>
          </cell>
          <cell r="C159" t="str">
            <v>自购水果采购入库</v>
          </cell>
          <cell r="D159">
            <v>0</v>
          </cell>
          <cell r="E159" t="str">
            <v>筐</v>
          </cell>
        </row>
        <row r="159">
          <cell r="G159">
            <v>0</v>
          </cell>
          <cell r="H159">
            <v>0</v>
          </cell>
        </row>
        <row r="160">
          <cell r="B160">
            <v>46508</v>
          </cell>
          <cell r="C160" t="str">
            <v>自购水果采购入库</v>
          </cell>
          <cell r="D160">
            <v>0</v>
          </cell>
          <cell r="E160" t="str">
            <v>筐</v>
          </cell>
        </row>
        <row r="160">
          <cell r="G160">
            <v>0</v>
          </cell>
          <cell r="H160">
            <v>0</v>
          </cell>
        </row>
        <row r="161">
          <cell r="B161">
            <v>46539</v>
          </cell>
          <cell r="C161" t="str">
            <v>自购水果采购入库</v>
          </cell>
          <cell r="D161">
            <v>0</v>
          </cell>
          <cell r="E161" t="str">
            <v>筐</v>
          </cell>
        </row>
        <row r="161">
          <cell r="G161">
            <v>0</v>
          </cell>
          <cell r="H161">
            <v>0</v>
          </cell>
        </row>
        <row r="162">
          <cell r="B162">
            <v>46569</v>
          </cell>
          <cell r="C162" t="str">
            <v>自购水果采购入库</v>
          </cell>
          <cell r="D162">
            <v>0</v>
          </cell>
          <cell r="E162" t="str">
            <v>筐</v>
          </cell>
        </row>
        <row r="162">
          <cell r="G162">
            <v>0</v>
          </cell>
          <cell r="H162">
            <v>0</v>
          </cell>
        </row>
        <row r="163">
          <cell r="B163">
            <v>46600</v>
          </cell>
          <cell r="C163" t="str">
            <v>自购水果采购入库</v>
          </cell>
          <cell r="D163">
            <v>0</v>
          </cell>
          <cell r="E163" t="str">
            <v>筐</v>
          </cell>
        </row>
        <row r="163">
          <cell r="G163">
            <v>0</v>
          </cell>
          <cell r="H163">
            <v>0</v>
          </cell>
        </row>
        <row r="164">
          <cell r="B164">
            <v>46631</v>
          </cell>
          <cell r="C164" t="str">
            <v>自购水果采购入库</v>
          </cell>
          <cell r="D164">
            <v>0</v>
          </cell>
          <cell r="E164" t="str">
            <v>筐</v>
          </cell>
        </row>
        <row r="164">
          <cell r="G164">
            <v>0</v>
          </cell>
          <cell r="H164">
            <v>0</v>
          </cell>
        </row>
        <row r="165">
          <cell r="B165">
            <v>46661</v>
          </cell>
          <cell r="C165" t="str">
            <v>自购水果采购入库</v>
          </cell>
          <cell r="D165">
            <v>0</v>
          </cell>
          <cell r="E165" t="str">
            <v>筐</v>
          </cell>
        </row>
        <row r="165">
          <cell r="G165">
            <v>0</v>
          </cell>
          <cell r="H165">
            <v>0</v>
          </cell>
        </row>
        <row r="166">
          <cell r="B166">
            <v>46692</v>
          </cell>
          <cell r="C166" t="str">
            <v>自购水果采购入库</v>
          </cell>
          <cell r="D166">
            <v>0</v>
          </cell>
          <cell r="E166" t="str">
            <v>筐</v>
          </cell>
        </row>
        <row r="166">
          <cell r="G166">
            <v>0</v>
          </cell>
          <cell r="H166">
            <v>0</v>
          </cell>
        </row>
        <row r="167">
          <cell r="B167">
            <v>46722</v>
          </cell>
          <cell r="C167" t="str">
            <v>自购水果采购入库</v>
          </cell>
          <cell r="D167">
            <v>0</v>
          </cell>
          <cell r="E167" t="str">
            <v>筐</v>
          </cell>
        </row>
        <row r="167">
          <cell r="G167">
            <v>0</v>
          </cell>
          <cell r="H167">
            <v>0</v>
          </cell>
        </row>
        <row r="168">
          <cell r="B168">
            <v>46753</v>
          </cell>
          <cell r="C168" t="str">
            <v>自购水果采购入库</v>
          </cell>
          <cell r="D168">
            <v>0</v>
          </cell>
          <cell r="E168" t="str">
            <v>筐</v>
          </cell>
        </row>
        <row r="168">
          <cell r="G168">
            <v>0</v>
          </cell>
          <cell r="H168">
            <v>0</v>
          </cell>
        </row>
        <row r="169">
          <cell r="B169">
            <v>46784</v>
          </cell>
          <cell r="C169" t="str">
            <v>自购水果采购入库</v>
          </cell>
          <cell r="D169">
            <v>0</v>
          </cell>
          <cell r="E169" t="str">
            <v>筐</v>
          </cell>
        </row>
        <row r="169">
          <cell r="G169">
            <v>0</v>
          </cell>
          <cell r="H169">
            <v>0</v>
          </cell>
        </row>
        <row r="170">
          <cell r="B170">
            <v>46813</v>
          </cell>
          <cell r="C170" t="str">
            <v>自购水果采购入库</v>
          </cell>
          <cell r="D170">
            <v>0</v>
          </cell>
          <cell r="E170" t="str">
            <v>筐</v>
          </cell>
        </row>
        <row r="170">
          <cell r="G170">
            <v>0</v>
          </cell>
          <cell r="H170">
            <v>0</v>
          </cell>
        </row>
        <row r="171">
          <cell r="B171">
            <v>46844</v>
          </cell>
          <cell r="C171" t="str">
            <v>自购水果采购入库</v>
          </cell>
          <cell r="D171">
            <v>0</v>
          </cell>
          <cell r="E171" t="str">
            <v>筐</v>
          </cell>
        </row>
        <row r="171">
          <cell r="G171">
            <v>0</v>
          </cell>
          <cell r="H171">
            <v>0</v>
          </cell>
        </row>
        <row r="172">
          <cell r="B172">
            <v>46874</v>
          </cell>
          <cell r="C172" t="str">
            <v>自购水果采购入库</v>
          </cell>
          <cell r="D172">
            <v>0</v>
          </cell>
          <cell r="E172" t="str">
            <v>筐</v>
          </cell>
        </row>
        <row r="172">
          <cell r="G172">
            <v>0</v>
          </cell>
          <cell r="H172">
            <v>0</v>
          </cell>
        </row>
        <row r="173">
          <cell r="B173">
            <v>46905</v>
          </cell>
          <cell r="C173" t="str">
            <v>自购水果采购入库</v>
          </cell>
          <cell r="D173">
            <v>0</v>
          </cell>
          <cell r="E173" t="str">
            <v>筐</v>
          </cell>
        </row>
        <row r="173">
          <cell r="G173">
            <v>0</v>
          </cell>
          <cell r="H173">
            <v>0</v>
          </cell>
        </row>
        <row r="174">
          <cell r="B174">
            <v>46935</v>
          </cell>
          <cell r="C174" t="str">
            <v>自购水果采购入库</v>
          </cell>
          <cell r="D174">
            <v>0</v>
          </cell>
          <cell r="E174" t="str">
            <v>筐</v>
          </cell>
        </row>
        <row r="174">
          <cell r="G174">
            <v>0</v>
          </cell>
          <cell r="H174">
            <v>0</v>
          </cell>
        </row>
        <row r="175">
          <cell r="B175">
            <v>46235</v>
          </cell>
          <cell r="C175" t="str">
            <v>自购水果销售成本</v>
          </cell>
          <cell r="D175">
            <v>0</v>
          </cell>
          <cell r="E175" t="str">
            <v>筐</v>
          </cell>
        </row>
        <row r="175">
          <cell r="G175">
            <v>0</v>
          </cell>
          <cell r="H175">
            <v>0</v>
          </cell>
        </row>
        <row r="176">
          <cell r="B176">
            <v>46266</v>
          </cell>
          <cell r="C176" t="str">
            <v>自购水果销售成本</v>
          </cell>
          <cell r="D176">
            <v>0</v>
          </cell>
          <cell r="E176" t="str">
            <v>筐</v>
          </cell>
        </row>
        <row r="176">
          <cell r="G176">
            <v>0</v>
          </cell>
          <cell r="H176">
            <v>0</v>
          </cell>
        </row>
        <row r="177">
          <cell r="B177">
            <v>46296</v>
          </cell>
          <cell r="C177" t="str">
            <v>自购水果销售成本</v>
          </cell>
          <cell r="D177">
            <v>0</v>
          </cell>
          <cell r="E177" t="str">
            <v>筐</v>
          </cell>
        </row>
        <row r="177">
          <cell r="G177">
            <v>0</v>
          </cell>
          <cell r="H177">
            <v>0</v>
          </cell>
        </row>
        <row r="178">
          <cell r="B178">
            <v>46327</v>
          </cell>
          <cell r="C178" t="str">
            <v>自购水果销售成本</v>
          </cell>
          <cell r="D178">
            <v>0</v>
          </cell>
          <cell r="E178" t="str">
            <v>筐</v>
          </cell>
        </row>
        <row r="178">
          <cell r="G178">
            <v>0</v>
          </cell>
          <cell r="H178">
            <v>0</v>
          </cell>
        </row>
        <row r="179">
          <cell r="B179">
            <v>46357</v>
          </cell>
          <cell r="C179" t="str">
            <v>自购水果销售成本</v>
          </cell>
          <cell r="D179">
            <v>0</v>
          </cell>
          <cell r="E179" t="str">
            <v>筐</v>
          </cell>
        </row>
        <row r="179">
          <cell r="G179">
            <v>0</v>
          </cell>
          <cell r="H179">
            <v>0</v>
          </cell>
        </row>
        <row r="180">
          <cell r="B180">
            <v>46388</v>
          </cell>
          <cell r="C180" t="str">
            <v>自购水果销售成本</v>
          </cell>
          <cell r="D180">
            <v>0</v>
          </cell>
          <cell r="E180" t="str">
            <v>筐</v>
          </cell>
        </row>
        <row r="180">
          <cell r="G180">
            <v>0</v>
          </cell>
          <cell r="H180">
            <v>0</v>
          </cell>
        </row>
        <row r="181">
          <cell r="B181">
            <v>46419</v>
          </cell>
          <cell r="C181" t="str">
            <v>自购水果销售成本</v>
          </cell>
          <cell r="D181">
            <v>0</v>
          </cell>
          <cell r="E181" t="str">
            <v>筐</v>
          </cell>
        </row>
        <row r="181">
          <cell r="G181">
            <v>0</v>
          </cell>
          <cell r="H181">
            <v>0</v>
          </cell>
        </row>
        <row r="182">
          <cell r="B182">
            <v>46447</v>
          </cell>
          <cell r="C182" t="str">
            <v>自购水果销售成本</v>
          </cell>
          <cell r="D182">
            <v>0</v>
          </cell>
          <cell r="E182" t="str">
            <v>筐</v>
          </cell>
        </row>
        <row r="182">
          <cell r="G182">
            <v>0</v>
          </cell>
          <cell r="H182">
            <v>0</v>
          </cell>
        </row>
        <row r="183">
          <cell r="B183">
            <v>46478</v>
          </cell>
          <cell r="C183" t="str">
            <v>自购水果销售成本</v>
          </cell>
          <cell r="D183">
            <v>0</v>
          </cell>
          <cell r="E183" t="str">
            <v>筐</v>
          </cell>
        </row>
        <row r="183">
          <cell r="G183">
            <v>0</v>
          </cell>
          <cell r="H183">
            <v>0</v>
          </cell>
        </row>
        <row r="184">
          <cell r="B184">
            <v>46508</v>
          </cell>
          <cell r="C184" t="str">
            <v>自购水果销售成本</v>
          </cell>
          <cell r="D184">
            <v>0</v>
          </cell>
          <cell r="E184" t="str">
            <v>筐</v>
          </cell>
        </row>
        <row r="184">
          <cell r="G184">
            <v>0</v>
          </cell>
          <cell r="H184">
            <v>0</v>
          </cell>
        </row>
        <row r="185">
          <cell r="B185">
            <v>46539</v>
          </cell>
          <cell r="C185" t="str">
            <v>自购水果销售成本</v>
          </cell>
          <cell r="D185">
            <v>0</v>
          </cell>
          <cell r="E185" t="str">
            <v>筐</v>
          </cell>
        </row>
        <row r="185">
          <cell r="G185">
            <v>0</v>
          </cell>
          <cell r="H185">
            <v>0</v>
          </cell>
        </row>
        <row r="186">
          <cell r="B186">
            <v>46569</v>
          </cell>
          <cell r="C186" t="str">
            <v>自购水果销售成本</v>
          </cell>
          <cell r="D186">
            <v>0</v>
          </cell>
          <cell r="E186" t="str">
            <v>筐</v>
          </cell>
        </row>
        <row r="186">
          <cell r="G186">
            <v>0</v>
          </cell>
          <cell r="H186">
            <v>0</v>
          </cell>
        </row>
        <row r="187">
          <cell r="B187">
            <v>46600</v>
          </cell>
          <cell r="C187" t="str">
            <v>自购水果销售成本</v>
          </cell>
          <cell r="D187">
            <v>0</v>
          </cell>
          <cell r="E187" t="str">
            <v>筐</v>
          </cell>
        </row>
        <row r="187">
          <cell r="G187">
            <v>0</v>
          </cell>
          <cell r="H187">
            <v>0</v>
          </cell>
        </row>
        <row r="188">
          <cell r="B188">
            <v>46631</v>
          </cell>
          <cell r="C188" t="str">
            <v>自购水果销售成本</v>
          </cell>
          <cell r="D188">
            <v>0</v>
          </cell>
          <cell r="E188" t="str">
            <v>筐</v>
          </cell>
        </row>
        <row r="188">
          <cell r="G188">
            <v>0</v>
          </cell>
          <cell r="H188">
            <v>0</v>
          </cell>
        </row>
        <row r="189">
          <cell r="B189">
            <v>46661</v>
          </cell>
          <cell r="C189" t="str">
            <v>自购水果销售成本</v>
          </cell>
          <cell r="D189">
            <v>0</v>
          </cell>
          <cell r="E189" t="str">
            <v>筐</v>
          </cell>
        </row>
        <row r="189">
          <cell r="G189">
            <v>0</v>
          </cell>
          <cell r="H189">
            <v>0</v>
          </cell>
        </row>
        <row r="190">
          <cell r="B190">
            <v>46692</v>
          </cell>
          <cell r="C190" t="str">
            <v>自购水果销售成本</v>
          </cell>
          <cell r="D190">
            <v>0</v>
          </cell>
          <cell r="E190" t="str">
            <v>筐</v>
          </cell>
        </row>
        <row r="190">
          <cell r="G190">
            <v>0</v>
          </cell>
          <cell r="H190">
            <v>0</v>
          </cell>
        </row>
        <row r="191">
          <cell r="B191">
            <v>46722</v>
          </cell>
          <cell r="C191" t="str">
            <v>自购水果销售成本</v>
          </cell>
          <cell r="D191">
            <v>0</v>
          </cell>
          <cell r="E191" t="str">
            <v>筐</v>
          </cell>
        </row>
        <row r="191">
          <cell r="G191">
            <v>0</v>
          </cell>
          <cell r="H191">
            <v>0</v>
          </cell>
        </row>
        <row r="192">
          <cell r="B192">
            <v>46753</v>
          </cell>
          <cell r="C192" t="str">
            <v>自购水果销售成本</v>
          </cell>
          <cell r="D192">
            <v>0</v>
          </cell>
          <cell r="E192" t="str">
            <v>筐</v>
          </cell>
        </row>
        <row r="192">
          <cell r="G192">
            <v>0</v>
          </cell>
          <cell r="H192">
            <v>0</v>
          </cell>
        </row>
        <row r="193">
          <cell r="B193">
            <v>46784</v>
          </cell>
          <cell r="C193" t="str">
            <v>自购水果销售成本</v>
          </cell>
          <cell r="D193">
            <v>0</v>
          </cell>
          <cell r="E193" t="str">
            <v>筐</v>
          </cell>
        </row>
        <row r="193">
          <cell r="G193">
            <v>0</v>
          </cell>
          <cell r="H193">
            <v>0</v>
          </cell>
        </row>
        <row r="194">
          <cell r="B194">
            <v>46813</v>
          </cell>
          <cell r="C194" t="str">
            <v>自购水果销售成本</v>
          </cell>
          <cell r="D194">
            <v>0</v>
          </cell>
          <cell r="E194" t="str">
            <v>筐</v>
          </cell>
        </row>
        <row r="194">
          <cell r="G194">
            <v>0</v>
          </cell>
          <cell r="H194">
            <v>0</v>
          </cell>
        </row>
        <row r="195">
          <cell r="B195">
            <v>46844</v>
          </cell>
          <cell r="C195" t="str">
            <v>自购水果销售成本</v>
          </cell>
          <cell r="D195">
            <v>0</v>
          </cell>
          <cell r="E195" t="str">
            <v>筐</v>
          </cell>
        </row>
        <row r="195">
          <cell r="G195">
            <v>0</v>
          </cell>
          <cell r="H195">
            <v>0</v>
          </cell>
        </row>
        <row r="196">
          <cell r="B196">
            <v>46874</v>
          </cell>
          <cell r="C196" t="str">
            <v>自购水果销售成本</v>
          </cell>
          <cell r="D196">
            <v>0</v>
          </cell>
          <cell r="E196" t="str">
            <v>筐</v>
          </cell>
        </row>
        <row r="196">
          <cell r="G196">
            <v>0</v>
          </cell>
          <cell r="H196">
            <v>0</v>
          </cell>
        </row>
        <row r="197">
          <cell r="B197">
            <v>46905</v>
          </cell>
          <cell r="C197" t="str">
            <v>自购水果销售成本</v>
          </cell>
          <cell r="D197">
            <v>0</v>
          </cell>
          <cell r="E197" t="str">
            <v>筐</v>
          </cell>
        </row>
        <row r="197">
          <cell r="G197">
            <v>0</v>
          </cell>
          <cell r="H197">
            <v>0</v>
          </cell>
        </row>
        <row r="198">
          <cell r="B198">
            <v>46935</v>
          </cell>
          <cell r="C198" t="str">
            <v>自购水果销售成本</v>
          </cell>
          <cell r="D198">
            <v>0</v>
          </cell>
          <cell r="E198" t="str">
            <v>筐</v>
          </cell>
        </row>
        <row r="198">
          <cell r="G198">
            <v>0</v>
          </cell>
          <cell r="H198">
            <v>0</v>
          </cell>
        </row>
        <row r="200">
          <cell r="C200" t="str">
            <v>自购水果累计入库</v>
          </cell>
          <cell r="D200">
            <v>0</v>
          </cell>
          <cell r="E200" t="str">
            <v>筐</v>
          </cell>
        </row>
        <row r="200">
          <cell r="G200">
            <v>0</v>
          </cell>
        </row>
        <row r="201">
          <cell r="C201" t="str">
            <v>自购水果累计出库</v>
          </cell>
          <cell r="D201">
            <v>0</v>
          </cell>
          <cell r="E201" t="str">
            <v>筐</v>
          </cell>
        </row>
        <row r="202">
          <cell r="C202" t="str">
            <v>加权平均单价（元/筐件）</v>
          </cell>
        </row>
        <row r="202">
          <cell r="E202" t="str">
            <v>元/筐</v>
          </cell>
        </row>
        <row r="203">
          <cell r="C203" t="str">
            <v>期末结存</v>
          </cell>
          <cell r="D203">
            <v>0</v>
          </cell>
          <cell r="E203" t="str">
            <v>筐</v>
          </cell>
        </row>
        <row r="203">
          <cell r="G203">
            <v>0</v>
          </cell>
        </row>
        <row r="206">
          <cell r="B206" t="str">
            <v>往来单位</v>
          </cell>
          <cell r="C206" t="str">
            <v>项目</v>
          </cell>
          <cell r="D206" t="str">
            <v>应收发生额</v>
          </cell>
          <cell r="E206" t="str">
            <v>应付发生额</v>
          </cell>
        </row>
        <row r="206">
          <cell r="G206" t="str">
            <v>应收合计（应付显示为负）</v>
          </cell>
          <cell r="H206" t="str">
            <v>已收/已付金额</v>
          </cell>
          <cell r="I206" t="str">
            <v>备注</v>
          </cell>
        </row>
        <row r="207">
          <cell r="B207" t="str">
            <v>聂新平</v>
          </cell>
          <cell r="C207" t="str">
            <v>成品销售款</v>
          </cell>
          <cell r="D207">
            <v>0</v>
          </cell>
          <cell r="E207">
            <v>0</v>
          </cell>
        </row>
        <row r="207">
          <cell r="G207">
            <v>0</v>
          </cell>
          <cell r="H207">
            <v>0</v>
          </cell>
        </row>
        <row r="208">
          <cell r="B208" t="str">
            <v>聂新平</v>
          </cell>
          <cell r="C208" t="str">
            <v>公司购买果品款</v>
          </cell>
          <cell r="D208">
            <v>0</v>
          </cell>
          <cell r="E208">
            <v>0</v>
          </cell>
        </row>
        <row r="208">
          <cell r="G208">
            <v>0</v>
          </cell>
          <cell r="H208">
            <v>0</v>
          </cell>
        </row>
        <row r="209">
          <cell r="B209" t="str">
            <v>王照雪</v>
          </cell>
          <cell r="C209" t="str">
            <v>成品销售款</v>
          </cell>
          <cell r="D209">
            <v>0</v>
          </cell>
          <cell r="E209">
            <v>0</v>
          </cell>
        </row>
        <row r="209">
          <cell r="G209">
            <v>0</v>
          </cell>
          <cell r="H209">
            <v>0</v>
          </cell>
        </row>
        <row r="210">
          <cell r="B210" t="str">
            <v>王照雪</v>
          </cell>
          <cell r="C210" t="str">
            <v>公司购买果品款</v>
          </cell>
          <cell r="D210">
            <v>0</v>
          </cell>
          <cell r="E210">
            <v>40</v>
          </cell>
        </row>
        <row r="210">
          <cell r="G210">
            <v>-40</v>
          </cell>
          <cell r="H210">
            <v>40</v>
          </cell>
        </row>
        <row r="211">
          <cell r="B211" t="str">
            <v>伍元虎</v>
          </cell>
          <cell r="C211" t="str">
            <v>成品销售款</v>
          </cell>
          <cell r="D211">
            <v>0</v>
          </cell>
          <cell r="E211">
            <v>0</v>
          </cell>
        </row>
        <row r="211">
          <cell r="G211">
            <v>0</v>
          </cell>
          <cell r="H211">
            <v>0</v>
          </cell>
        </row>
        <row r="212">
          <cell r="B212" t="str">
            <v>伍元虎</v>
          </cell>
          <cell r="C212" t="str">
            <v>公司购买果品款</v>
          </cell>
          <cell r="D212">
            <v>0</v>
          </cell>
          <cell r="E212">
            <v>0</v>
          </cell>
        </row>
        <row r="212">
          <cell r="G212">
            <v>0</v>
          </cell>
          <cell r="H212">
            <v>0</v>
          </cell>
        </row>
        <row r="213">
          <cell r="B213" t="str">
            <v>马锦祥</v>
          </cell>
          <cell r="C213" t="str">
            <v>成品销售款</v>
          </cell>
          <cell r="D213">
            <v>0</v>
          </cell>
          <cell r="E213">
            <v>0</v>
          </cell>
        </row>
        <row r="213">
          <cell r="G213">
            <v>0</v>
          </cell>
          <cell r="H213">
            <v>0</v>
          </cell>
        </row>
        <row r="214">
          <cell r="B214" t="str">
            <v>马锦祥</v>
          </cell>
          <cell r="C214" t="str">
            <v>公司购买果品款</v>
          </cell>
          <cell r="D214">
            <v>0</v>
          </cell>
          <cell r="E214">
            <v>0</v>
          </cell>
        </row>
        <row r="214">
          <cell r="G214">
            <v>0</v>
          </cell>
          <cell r="H214">
            <v>0</v>
          </cell>
        </row>
        <row r="215">
          <cell r="B215" t="str">
            <v>麦麦提</v>
          </cell>
          <cell r="C215" t="str">
            <v>成品销售款</v>
          </cell>
          <cell r="D215">
            <v>0</v>
          </cell>
          <cell r="E215">
            <v>0</v>
          </cell>
        </row>
        <row r="215">
          <cell r="G215">
            <v>0</v>
          </cell>
          <cell r="H215">
            <v>0</v>
          </cell>
        </row>
        <row r="216">
          <cell r="B216" t="str">
            <v>麦麦提</v>
          </cell>
          <cell r="C216" t="str">
            <v>公司购买果品款</v>
          </cell>
          <cell r="D216">
            <v>0</v>
          </cell>
          <cell r="E216">
            <v>60</v>
          </cell>
        </row>
        <row r="216">
          <cell r="G216">
            <v>-60</v>
          </cell>
          <cell r="H216">
            <v>0</v>
          </cell>
        </row>
        <row r="217">
          <cell r="B217" t="str">
            <v>吐尔洪</v>
          </cell>
          <cell r="C217" t="str">
            <v>成品销售款</v>
          </cell>
          <cell r="D217">
            <v>0</v>
          </cell>
          <cell r="E217">
            <v>0</v>
          </cell>
        </row>
        <row r="217">
          <cell r="G217">
            <v>0</v>
          </cell>
          <cell r="H217">
            <v>0</v>
          </cell>
        </row>
        <row r="218">
          <cell r="B218" t="str">
            <v>吐尔洪</v>
          </cell>
          <cell r="C218" t="str">
            <v>公司购买果品款</v>
          </cell>
          <cell r="D218">
            <v>0</v>
          </cell>
          <cell r="E218">
            <v>0</v>
          </cell>
        </row>
        <row r="218">
          <cell r="G218">
            <v>0</v>
          </cell>
          <cell r="H218">
            <v>0</v>
          </cell>
        </row>
        <row r="219">
          <cell r="B219" t="str">
            <v>热合曼</v>
          </cell>
          <cell r="C219" t="str">
            <v>成品销售款</v>
          </cell>
          <cell r="D219">
            <v>0</v>
          </cell>
          <cell r="E219">
            <v>0</v>
          </cell>
        </row>
        <row r="219">
          <cell r="G219">
            <v>0</v>
          </cell>
          <cell r="H219">
            <v>0</v>
          </cell>
        </row>
        <row r="220">
          <cell r="B220" t="str">
            <v>热合曼</v>
          </cell>
          <cell r="C220" t="str">
            <v>公司购买果品款</v>
          </cell>
          <cell r="D220">
            <v>0</v>
          </cell>
          <cell r="E220">
            <v>90</v>
          </cell>
        </row>
        <row r="220">
          <cell r="G220">
            <v>-90</v>
          </cell>
          <cell r="H220">
            <v>90</v>
          </cell>
        </row>
        <row r="221">
          <cell r="B221" t="str">
            <v>贾建国</v>
          </cell>
          <cell r="C221" t="str">
            <v>成品销售款</v>
          </cell>
          <cell r="D221">
            <v>0</v>
          </cell>
          <cell r="E221">
            <v>0</v>
          </cell>
        </row>
        <row r="221">
          <cell r="G221">
            <v>0</v>
          </cell>
          <cell r="H221">
            <v>0</v>
          </cell>
        </row>
        <row r="222">
          <cell r="B222" t="str">
            <v>贾建国</v>
          </cell>
          <cell r="C222" t="str">
            <v>公司购买果品款</v>
          </cell>
          <cell r="D222">
            <v>0</v>
          </cell>
          <cell r="E222">
            <v>0</v>
          </cell>
        </row>
        <row r="222">
          <cell r="G222">
            <v>0</v>
          </cell>
          <cell r="H222">
            <v>0</v>
          </cell>
        </row>
        <row r="223">
          <cell r="B223" t="str">
            <v>王灵云</v>
          </cell>
          <cell r="C223" t="str">
            <v>成品销售款</v>
          </cell>
          <cell r="D223">
            <v>0</v>
          </cell>
          <cell r="E223">
            <v>0</v>
          </cell>
        </row>
        <row r="223">
          <cell r="G223">
            <v>0</v>
          </cell>
          <cell r="H223">
            <v>0</v>
          </cell>
        </row>
        <row r="224">
          <cell r="B224" t="str">
            <v>王灵云</v>
          </cell>
          <cell r="C224" t="str">
            <v>公司购买果品款</v>
          </cell>
          <cell r="D224">
            <v>0</v>
          </cell>
          <cell r="E224">
            <v>132</v>
          </cell>
        </row>
        <row r="224">
          <cell r="G224">
            <v>-132</v>
          </cell>
          <cell r="H224">
            <v>0</v>
          </cell>
        </row>
        <row r="225">
          <cell r="B225" t="str">
            <v>杨艳玲</v>
          </cell>
          <cell r="C225" t="str">
            <v>成品销售款</v>
          </cell>
          <cell r="D225">
            <v>0</v>
          </cell>
          <cell r="E225">
            <v>0</v>
          </cell>
        </row>
        <row r="225">
          <cell r="G225">
            <v>0</v>
          </cell>
          <cell r="H225">
            <v>0</v>
          </cell>
        </row>
        <row r="226">
          <cell r="B226" t="str">
            <v>杨艳玲</v>
          </cell>
          <cell r="C226" t="str">
            <v>公司购买果品款</v>
          </cell>
          <cell r="D226">
            <v>0</v>
          </cell>
          <cell r="E226">
            <v>0</v>
          </cell>
        </row>
        <row r="226">
          <cell r="G226">
            <v>0</v>
          </cell>
          <cell r="H226">
            <v>0</v>
          </cell>
        </row>
        <row r="227">
          <cell r="B227" t="str">
            <v>荆建君</v>
          </cell>
          <cell r="C227" t="str">
            <v>成品销售款</v>
          </cell>
          <cell r="D227">
            <v>0</v>
          </cell>
          <cell r="E227">
            <v>0</v>
          </cell>
        </row>
        <row r="227">
          <cell r="G227">
            <v>0</v>
          </cell>
          <cell r="H227">
            <v>0</v>
          </cell>
        </row>
        <row r="228">
          <cell r="B228" t="str">
            <v>荆建君</v>
          </cell>
          <cell r="C228" t="str">
            <v>公司购买果品款</v>
          </cell>
          <cell r="D228">
            <v>0</v>
          </cell>
          <cell r="E228">
            <v>0</v>
          </cell>
        </row>
        <row r="228">
          <cell r="G228">
            <v>0</v>
          </cell>
          <cell r="H228">
            <v>0</v>
          </cell>
        </row>
        <row r="229">
          <cell r="B229" t="str">
            <v>努尔敦</v>
          </cell>
          <cell r="C229" t="str">
            <v>成品销售款</v>
          </cell>
          <cell r="D229">
            <v>0</v>
          </cell>
          <cell r="E229">
            <v>0</v>
          </cell>
        </row>
        <row r="229">
          <cell r="G229">
            <v>0</v>
          </cell>
          <cell r="H229">
            <v>0</v>
          </cell>
        </row>
        <row r="230">
          <cell r="B230" t="str">
            <v>努尔敦</v>
          </cell>
          <cell r="C230" t="str">
            <v>公司购买果品款</v>
          </cell>
          <cell r="D230">
            <v>0</v>
          </cell>
          <cell r="E230">
            <v>0</v>
          </cell>
        </row>
        <row r="230">
          <cell r="G230">
            <v>0</v>
          </cell>
          <cell r="H230">
            <v>0</v>
          </cell>
        </row>
        <row r="231">
          <cell r="B231" t="str">
            <v>王浩</v>
          </cell>
          <cell r="C231" t="str">
            <v>成品销售款</v>
          </cell>
          <cell r="D231">
            <v>0</v>
          </cell>
          <cell r="E231">
            <v>0</v>
          </cell>
        </row>
        <row r="231">
          <cell r="G231">
            <v>0</v>
          </cell>
          <cell r="H231">
            <v>0</v>
          </cell>
        </row>
        <row r="232">
          <cell r="B232" t="str">
            <v>王浩</v>
          </cell>
          <cell r="C232" t="str">
            <v>公司购买果品款</v>
          </cell>
          <cell r="D232">
            <v>0</v>
          </cell>
          <cell r="E232">
            <v>0</v>
          </cell>
        </row>
        <row r="232">
          <cell r="G232">
            <v>0</v>
          </cell>
          <cell r="H232">
            <v>0</v>
          </cell>
        </row>
        <row r="233">
          <cell r="B233" t="str">
            <v>热合曼+艾则孜</v>
          </cell>
          <cell r="C233" t="str">
            <v>成品销售款</v>
          </cell>
          <cell r="D233">
            <v>0</v>
          </cell>
          <cell r="E233">
            <v>0</v>
          </cell>
        </row>
        <row r="233">
          <cell r="G233">
            <v>0</v>
          </cell>
          <cell r="H233">
            <v>0</v>
          </cell>
        </row>
        <row r="234">
          <cell r="B234" t="str">
            <v>热合曼+艾则孜</v>
          </cell>
          <cell r="C234" t="str">
            <v>公司购买果品款</v>
          </cell>
          <cell r="D234">
            <v>0</v>
          </cell>
          <cell r="E234">
            <v>0</v>
          </cell>
        </row>
        <row r="234">
          <cell r="G234">
            <v>0</v>
          </cell>
          <cell r="H234">
            <v>0</v>
          </cell>
        </row>
        <row r="235">
          <cell r="B235" t="str">
            <v>李现东</v>
          </cell>
          <cell r="C235" t="str">
            <v>成品销售款</v>
          </cell>
          <cell r="D235">
            <v>0</v>
          </cell>
          <cell r="E235">
            <v>0</v>
          </cell>
        </row>
        <row r="235">
          <cell r="G235">
            <v>0</v>
          </cell>
          <cell r="H235">
            <v>0</v>
          </cell>
        </row>
        <row r="236">
          <cell r="B236" t="str">
            <v>李现东</v>
          </cell>
          <cell r="C236" t="str">
            <v>公司购买果品款</v>
          </cell>
          <cell r="D236">
            <v>0</v>
          </cell>
          <cell r="E236">
            <v>0</v>
          </cell>
        </row>
        <row r="236">
          <cell r="G236">
            <v>0</v>
          </cell>
          <cell r="H236">
            <v>0</v>
          </cell>
        </row>
        <row r="237">
          <cell r="B237" t="str">
            <v>吐尔逊</v>
          </cell>
          <cell r="C237" t="str">
            <v>成品销售款</v>
          </cell>
          <cell r="D237">
            <v>0</v>
          </cell>
          <cell r="E237">
            <v>0</v>
          </cell>
        </row>
        <row r="237">
          <cell r="G237">
            <v>0</v>
          </cell>
          <cell r="H237">
            <v>0</v>
          </cell>
        </row>
        <row r="238">
          <cell r="B238" t="str">
            <v>吐尔逊</v>
          </cell>
          <cell r="C238" t="str">
            <v>公司购买果品款</v>
          </cell>
          <cell r="D238">
            <v>0</v>
          </cell>
          <cell r="E238">
            <v>0</v>
          </cell>
        </row>
        <row r="238">
          <cell r="G238">
            <v>0</v>
          </cell>
          <cell r="H238">
            <v>0</v>
          </cell>
        </row>
        <row r="239">
          <cell r="B239" t="str">
            <v>阿布都</v>
          </cell>
          <cell r="C239" t="str">
            <v>成品销售款</v>
          </cell>
          <cell r="D239">
            <v>0</v>
          </cell>
          <cell r="E239">
            <v>0</v>
          </cell>
        </row>
        <row r="239">
          <cell r="G239">
            <v>0</v>
          </cell>
          <cell r="H239">
            <v>0</v>
          </cell>
        </row>
        <row r="240">
          <cell r="B240" t="str">
            <v>阿布都</v>
          </cell>
          <cell r="C240" t="str">
            <v>公司购买果品款</v>
          </cell>
          <cell r="D240">
            <v>0</v>
          </cell>
          <cell r="E240">
            <v>0</v>
          </cell>
        </row>
        <row r="240">
          <cell r="G240">
            <v>0</v>
          </cell>
          <cell r="H240">
            <v>0</v>
          </cell>
        </row>
        <row r="241">
          <cell r="B241" t="str">
            <v>艾则孜</v>
          </cell>
          <cell r="C241" t="str">
            <v>成品销售款</v>
          </cell>
          <cell r="D241">
            <v>0</v>
          </cell>
          <cell r="E241">
            <v>0</v>
          </cell>
        </row>
        <row r="241">
          <cell r="G241">
            <v>0</v>
          </cell>
          <cell r="H241">
            <v>0</v>
          </cell>
        </row>
        <row r="242">
          <cell r="B242" t="str">
            <v>艾则孜</v>
          </cell>
          <cell r="C242" t="str">
            <v>公司购买果品款</v>
          </cell>
          <cell r="D242">
            <v>0</v>
          </cell>
          <cell r="E242">
            <v>0</v>
          </cell>
        </row>
        <row r="242">
          <cell r="G242">
            <v>0</v>
          </cell>
          <cell r="H242">
            <v>0</v>
          </cell>
        </row>
        <row r="243">
          <cell r="B243" t="str">
            <v>电商/主播</v>
          </cell>
          <cell r="C243" t="str">
            <v>成品销售款</v>
          </cell>
          <cell r="D243">
            <v>0</v>
          </cell>
          <cell r="E243">
            <v>0</v>
          </cell>
        </row>
        <row r="243">
          <cell r="G243">
            <v>0</v>
          </cell>
          <cell r="H243">
            <v>0</v>
          </cell>
        </row>
        <row r="244">
          <cell r="B244" t="str">
            <v>电商/主播</v>
          </cell>
          <cell r="C244" t="str">
            <v>公司购买果品款</v>
          </cell>
          <cell r="D244">
            <v>0</v>
          </cell>
          <cell r="E244">
            <v>0</v>
          </cell>
        </row>
        <row r="244">
          <cell r="G244">
            <v>0</v>
          </cell>
          <cell r="H244">
            <v>0</v>
          </cell>
        </row>
        <row r="245">
          <cell r="B245" t="str">
            <v>果然鲜</v>
          </cell>
          <cell r="C245" t="str">
            <v>成品销售款</v>
          </cell>
          <cell r="D245">
            <v>0</v>
          </cell>
          <cell r="E245">
            <v>0</v>
          </cell>
        </row>
        <row r="245">
          <cell r="G245">
            <v>0</v>
          </cell>
          <cell r="H245">
            <v>0</v>
          </cell>
        </row>
        <row r="246">
          <cell r="B246" t="str">
            <v>果然鲜</v>
          </cell>
          <cell r="C246" t="str">
            <v>公司购买果品款</v>
          </cell>
          <cell r="D246">
            <v>0</v>
          </cell>
          <cell r="E246">
            <v>0</v>
          </cell>
        </row>
        <row r="246">
          <cell r="G246">
            <v>0</v>
          </cell>
          <cell r="H246">
            <v>0</v>
          </cell>
        </row>
        <row r="247">
          <cell r="D247">
            <v>0</v>
          </cell>
          <cell r="E247">
            <v>0</v>
          </cell>
        </row>
        <row r="248">
          <cell r="D248">
            <v>0</v>
          </cell>
          <cell r="E248">
            <v>0</v>
          </cell>
        </row>
        <row r="249">
          <cell r="D249">
            <v>0</v>
          </cell>
          <cell r="E249">
            <v>0</v>
          </cell>
        </row>
        <row r="250">
          <cell r="D250">
            <v>0</v>
          </cell>
          <cell r="E250">
            <v>0</v>
          </cell>
        </row>
        <row r="251">
          <cell r="D251">
            <v>0</v>
          </cell>
          <cell r="E251">
            <v>0</v>
          </cell>
        </row>
        <row r="252">
          <cell r="D252">
            <v>0</v>
          </cell>
          <cell r="E252">
            <v>0</v>
          </cell>
        </row>
        <row r="253">
          <cell r="D253">
            <v>0</v>
          </cell>
          <cell r="E253">
            <v>0</v>
          </cell>
        </row>
        <row r="254">
          <cell r="D254">
            <v>0</v>
          </cell>
          <cell r="E254">
            <v>0</v>
          </cell>
        </row>
        <row r="255">
          <cell r="D255">
            <v>0</v>
          </cell>
          <cell r="E255">
            <v>0</v>
          </cell>
        </row>
        <row r="256">
          <cell r="D256">
            <v>0</v>
          </cell>
          <cell r="E256">
            <v>0</v>
          </cell>
        </row>
        <row r="257">
          <cell r="D257">
            <v>0</v>
          </cell>
          <cell r="E257">
            <v>0</v>
          </cell>
        </row>
        <row r="258">
          <cell r="D258">
            <v>0</v>
          </cell>
          <cell r="E258">
            <v>0</v>
          </cell>
        </row>
        <row r="259">
          <cell r="D259">
            <v>0</v>
          </cell>
          <cell r="E259">
            <v>0</v>
          </cell>
        </row>
        <row r="260">
          <cell r="D260">
            <v>0</v>
          </cell>
          <cell r="E260">
            <v>0</v>
          </cell>
        </row>
        <row r="261">
          <cell r="D261">
            <v>0</v>
          </cell>
          <cell r="E261">
            <v>0</v>
          </cell>
        </row>
        <row r="262">
          <cell r="D262">
            <v>0</v>
          </cell>
          <cell r="E262">
            <v>0</v>
          </cell>
        </row>
        <row r="263">
          <cell r="D263">
            <v>0</v>
          </cell>
          <cell r="E263">
            <v>0</v>
          </cell>
        </row>
        <row r="264">
          <cell r="D264">
            <v>0</v>
          </cell>
          <cell r="E264">
            <v>0</v>
          </cell>
        </row>
        <row r="265">
          <cell r="D265">
            <v>0</v>
          </cell>
          <cell r="E265">
            <v>0</v>
          </cell>
        </row>
        <row r="266">
          <cell r="D266">
            <v>0</v>
          </cell>
          <cell r="E266">
            <v>0</v>
          </cell>
        </row>
        <row r="267">
          <cell r="D267">
            <v>0</v>
          </cell>
          <cell r="E267">
            <v>0</v>
          </cell>
        </row>
        <row r="268">
          <cell r="D268">
            <v>0</v>
          </cell>
          <cell r="E268">
            <v>0</v>
          </cell>
        </row>
        <row r="269">
          <cell r="D269">
            <v>0</v>
          </cell>
          <cell r="E269">
            <v>0</v>
          </cell>
        </row>
        <row r="270">
          <cell r="D270">
            <v>0</v>
          </cell>
          <cell r="E270">
            <v>0</v>
          </cell>
        </row>
        <row r="271">
          <cell r="D271">
            <v>0</v>
          </cell>
          <cell r="E271">
            <v>0</v>
          </cell>
        </row>
        <row r="272">
          <cell r="D272">
            <v>0</v>
          </cell>
          <cell r="E272">
            <v>0</v>
          </cell>
        </row>
        <row r="273">
          <cell r="D273">
            <v>0</v>
          </cell>
          <cell r="E273">
            <v>0</v>
          </cell>
        </row>
        <row r="274">
          <cell r="D274">
            <v>0</v>
          </cell>
          <cell r="E274">
            <v>0</v>
          </cell>
        </row>
        <row r="275">
          <cell r="D275">
            <v>0</v>
          </cell>
          <cell r="E275">
            <v>0</v>
          </cell>
        </row>
        <row r="276">
          <cell r="D276">
            <v>0</v>
          </cell>
          <cell r="E276">
            <v>0</v>
          </cell>
        </row>
        <row r="277">
          <cell r="D277">
            <v>0</v>
          </cell>
          <cell r="E277">
            <v>0</v>
          </cell>
        </row>
        <row r="278">
          <cell r="D278">
            <v>0</v>
          </cell>
          <cell r="E278">
            <v>0</v>
          </cell>
        </row>
        <row r="279">
          <cell r="D279">
            <v>0</v>
          </cell>
          <cell r="E279">
            <v>0</v>
          </cell>
        </row>
        <row r="280">
          <cell r="D280">
            <v>0</v>
          </cell>
          <cell r="E280">
            <v>0</v>
          </cell>
        </row>
        <row r="281">
          <cell r="D281">
            <v>0</v>
          </cell>
          <cell r="E281">
            <v>0</v>
          </cell>
        </row>
        <row r="282">
          <cell r="D282">
            <v>0</v>
          </cell>
          <cell r="E282">
            <v>0</v>
          </cell>
        </row>
        <row r="283">
          <cell r="D283">
            <v>0</v>
          </cell>
          <cell r="E283">
            <v>0</v>
          </cell>
        </row>
        <row r="284">
          <cell r="D284">
            <v>0</v>
          </cell>
          <cell r="E284">
            <v>0</v>
          </cell>
        </row>
        <row r="285">
          <cell r="D285">
            <v>0</v>
          </cell>
          <cell r="E285">
            <v>0</v>
          </cell>
        </row>
        <row r="286">
          <cell r="D286">
            <v>0</v>
          </cell>
          <cell r="E286">
            <v>0</v>
          </cell>
        </row>
        <row r="287">
          <cell r="D287">
            <v>0</v>
          </cell>
          <cell r="E287">
            <v>0</v>
          </cell>
        </row>
        <row r="288">
          <cell r="D288">
            <v>0</v>
          </cell>
          <cell r="E288">
            <v>0</v>
          </cell>
        </row>
        <row r="289">
          <cell r="D289">
            <v>0</v>
          </cell>
          <cell r="E289">
            <v>0</v>
          </cell>
        </row>
        <row r="290">
          <cell r="D290">
            <v>0</v>
          </cell>
          <cell r="E290">
            <v>0</v>
          </cell>
        </row>
        <row r="291">
          <cell r="D291">
            <v>0</v>
          </cell>
          <cell r="E291">
            <v>0</v>
          </cell>
        </row>
        <row r="292">
          <cell r="D292">
            <v>0</v>
          </cell>
          <cell r="E292">
            <v>0</v>
          </cell>
        </row>
        <row r="293">
          <cell r="D293">
            <v>0</v>
          </cell>
          <cell r="E293">
            <v>0</v>
          </cell>
        </row>
        <row r="294">
          <cell r="D294">
            <v>0</v>
          </cell>
          <cell r="E294">
            <v>0</v>
          </cell>
        </row>
        <row r="295">
          <cell r="D295">
            <v>0</v>
          </cell>
          <cell r="E295">
            <v>0</v>
          </cell>
        </row>
        <row r="296">
          <cell r="D296">
            <v>0</v>
          </cell>
          <cell r="E296">
            <v>0</v>
          </cell>
        </row>
        <row r="297">
          <cell r="D297">
            <v>0</v>
          </cell>
          <cell r="E297">
            <v>0</v>
          </cell>
        </row>
        <row r="298">
          <cell r="D298">
            <v>0</v>
          </cell>
          <cell r="E298">
            <v>0</v>
          </cell>
        </row>
        <row r="299">
          <cell r="D299">
            <v>0</v>
          </cell>
          <cell r="E299">
            <v>0</v>
          </cell>
        </row>
        <row r="300">
          <cell r="D300">
            <v>0</v>
          </cell>
          <cell r="E300">
            <v>0</v>
          </cell>
        </row>
        <row r="301">
          <cell r="D301">
            <v>0</v>
          </cell>
          <cell r="E301">
            <v>0</v>
          </cell>
        </row>
        <row r="302">
          <cell r="D302">
            <v>0</v>
          </cell>
          <cell r="E302">
            <v>0</v>
          </cell>
        </row>
        <row r="303">
          <cell r="D303">
            <v>0</v>
          </cell>
          <cell r="E303">
            <v>0</v>
          </cell>
        </row>
        <row r="304">
          <cell r="D304">
            <v>0</v>
          </cell>
          <cell r="E304">
            <v>0</v>
          </cell>
        </row>
        <row r="305">
          <cell r="D305">
            <v>0</v>
          </cell>
          <cell r="E305">
            <v>0</v>
          </cell>
        </row>
        <row r="306">
          <cell r="D306">
            <v>0</v>
          </cell>
          <cell r="E306">
            <v>0</v>
          </cell>
        </row>
        <row r="307">
          <cell r="D307">
            <v>0</v>
          </cell>
          <cell r="E307">
            <v>0</v>
          </cell>
        </row>
        <row r="308">
          <cell r="D308">
            <v>0</v>
          </cell>
          <cell r="E308">
            <v>0</v>
          </cell>
        </row>
        <row r="309">
          <cell r="D309">
            <v>0</v>
          </cell>
          <cell r="E309">
            <v>0</v>
          </cell>
        </row>
        <row r="310">
          <cell r="D310">
            <v>0</v>
          </cell>
          <cell r="E310">
            <v>0</v>
          </cell>
        </row>
        <row r="311">
          <cell r="D311">
            <v>0</v>
          </cell>
          <cell r="E311">
            <v>0</v>
          </cell>
        </row>
        <row r="312">
          <cell r="D312">
            <v>0</v>
          </cell>
          <cell r="E312">
            <v>0</v>
          </cell>
        </row>
        <row r="313">
          <cell r="D313">
            <v>0</v>
          </cell>
          <cell r="E313">
            <v>0</v>
          </cell>
        </row>
        <row r="314">
          <cell r="D314">
            <v>0</v>
          </cell>
          <cell r="E314">
            <v>0</v>
          </cell>
        </row>
        <row r="315">
          <cell r="D315">
            <v>0</v>
          </cell>
          <cell r="E315">
            <v>0</v>
          </cell>
        </row>
        <row r="316">
          <cell r="D316">
            <v>0</v>
          </cell>
          <cell r="E316">
            <v>0</v>
          </cell>
        </row>
        <row r="317">
          <cell r="D317">
            <v>0</v>
          </cell>
          <cell r="E317">
            <v>0</v>
          </cell>
        </row>
        <row r="318">
          <cell r="D318">
            <v>0</v>
          </cell>
          <cell r="E318">
            <v>0</v>
          </cell>
        </row>
        <row r="319">
          <cell r="D319">
            <v>0</v>
          </cell>
          <cell r="E319">
            <v>0</v>
          </cell>
        </row>
        <row r="320">
          <cell r="D320">
            <v>0</v>
          </cell>
          <cell r="E320">
            <v>0</v>
          </cell>
        </row>
        <row r="321">
          <cell r="D321">
            <v>0</v>
          </cell>
          <cell r="E321">
            <v>0</v>
          </cell>
        </row>
        <row r="322">
          <cell r="D322">
            <v>0</v>
          </cell>
          <cell r="E322">
            <v>0</v>
          </cell>
        </row>
        <row r="323">
          <cell r="D323">
            <v>0</v>
          </cell>
          <cell r="E323">
            <v>0</v>
          </cell>
        </row>
        <row r="324">
          <cell r="D324">
            <v>0</v>
          </cell>
          <cell r="E324">
            <v>0</v>
          </cell>
        </row>
        <row r="325">
          <cell r="D325">
            <v>0</v>
          </cell>
          <cell r="E325">
            <v>0</v>
          </cell>
        </row>
        <row r="326">
          <cell r="D326">
            <v>0</v>
          </cell>
          <cell r="E326">
            <v>0</v>
          </cell>
        </row>
        <row r="327">
          <cell r="D327">
            <v>0</v>
          </cell>
          <cell r="E327">
            <v>0</v>
          </cell>
        </row>
        <row r="328">
          <cell r="D328">
            <v>0</v>
          </cell>
          <cell r="E328">
            <v>0</v>
          </cell>
        </row>
        <row r="329">
          <cell r="D329">
            <v>0</v>
          </cell>
          <cell r="E329">
            <v>0</v>
          </cell>
        </row>
        <row r="330">
          <cell r="D330">
            <v>0</v>
          </cell>
          <cell r="E330">
            <v>0</v>
          </cell>
        </row>
        <row r="331">
          <cell r="D331">
            <v>0</v>
          </cell>
          <cell r="E331">
            <v>0</v>
          </cell>
        </row>
        <row r="332">
          <cell r="D332">
            <v>0</v>
          </cell>
          <cell r="E332">
            <v>0</v>
          </cell>
        </row>
        <row r="333">
          <cell r="D333">
            <v>0</v>
          </cell>
          <cell r="E333">
            <v>0</v>
          </cell>
        </row>
        <row r="334">
          <cell r="D334">
            <v>0</v>
          </cell>
          <cell r="E334">
            <v>0</v>
          </cell>
        </row>
        <row r="335">
          <cell r="D335">
            <v>0</v>
          </cell>
          <cell r="E335">
            <v>0</v>
          </cell>
        </row>
        <row r="336">
          <cell r="D336">
            <v>0</v>
          </cell>
          <cell r="E336">
            <v>0</v>
          </cell>
        </row>
        <row r="337">
          <cell r="D337">
            <v>0</v>
          </cell>
          <cell r="E337">
            <v>0</v>
          </cell>
        </row>
        <row r="338">
          <cell r="D338">
            <v>0</v>
          </cell>
          <cell r="E338">
            <v>0</v>
          </cell>
        </row>
        <row r="339">
          <cell r="D339">
            <v>0</v>
          </cell>
          <cell r="E339">
            <v>0</v>
          </cell>
        </row>
        <row r="340">
          <cell r="D340">
            <v>0</v>
          </cell>
          <cell r="E340">
            <v>0</v>
          </cell>
        </row>
        <row r="341">
          <cell r="D341">
            <v>0</v>
          </cell>
          <cell r="E341">
            <v>0</v>
          </cell>
        </row>
        <row r="342">
          <cell r="D342">
            <v>0</v>
          </cell>
          <cell r="E342">
            <v>0</v>
          </cell>
        </row>
        <row r="343">
          <cell r="D343">
            <v>0</v>
          </cell>
          <cell r="E343">
            <v>0</v>
          </cell>
        </row>
        <row r="344">
          <cell r="D344">
            <v>0</v>
          </cell>
          <cell r="E344">
            <v>0</v>
          </cell>
        </row>
        <row r="345">
          <cell r="D345">
            <v>0</v>
          </cell>
          <cell r="E345">
            <v>0</v>
          </cell>
        </row>
        <row r="346">
          <cell r="D346">
            <v>0</v>
          </cell>
          <cell r="E346">
            <v>0</v>
          </cell>
        </row>
        <row r="347">
          <cell r="D347">
            <v>0</v>
          </cell>
          <cell r="E347">
            <v>0</v>
          </cell>
        </row>
        <row r="348">
          <cell r="D348">
            <v>0</v>
          </cell>
          <cell r="E348">
            <v>0</v>
          </cell>
        </row>
        <row r="349">
          <cell r="D349">
            <v>0</v>
          </cell>
          <cell r="E349">
            <v>0</v>
          </cell>
        </row>
        <row r="350">
          <cell r="D350">
            <v>0</v>
          </cell>
          <cell r="E350">
            <v>0</v>
          </cell>
        </row>
        <row r="351">
          <cell r="D351">
            <v>0</v>
          </cell>
          <cell r="E351">
            <v>0</v>
          </cell>
        </row>
        <row r="352">
          <cell r="D352">
            <v>0</v>
          </cell>
          <cell r="E352">
            <v>0</v>
          </cell>
        </row>
        <row r="353">
          <cell r="D353">
            <v>0</v>
          </cell>
          <cell r="E353">
            <v>0</v>
          </cell>
        </row>
        <row r="354">
          <cell r="D354">
            <v>0</v>
          </cell>
          <cell r="E354">
            <v>0</v>
          </cell>
        </row>
        <row r="355">
          <cell r="D355">
            <v>0</v>
          </cell>
          <cell r="E355">
            <v>0</v>
          </cell>
        </row>
        <row r="356">
          <cell r="D356">
            <v>0</v>
          </cell>
          <cell r="E356">
            <v>0</v>
          </cell>
        </row>
        <row r="357">
          <cell r="D357">
            <v>0</v>
          </cell>
          <cell r="E357">
            <v>0</v>
          </cell>
        </row>
        <row r="358">
          <cell r="D358">
            <v>0</v>
          </cell>
          <cell r="E358">
            <v>0</v>
          </cell>
        </row>
        <row r="359">
          <cell r="D359">
            <v>0</v>
          </cell>
          <cell r="E359">
            <v>0</v>
          </cell>
        </row>
        <row r="360">
          <cell r="D360">
            <v>0</v>
          </cell>
          <cell r="E360">
            <v>0</v>
          </cell>
        </row>
        <row r="361">
          <cell r="D361">
            <v>0</v>
          </cell>
          <cell r="E361">
            <v>0</v>
          </cell>
        </row>
        <row r="362">
          <cell r="D362">
            <v>0</v>
          </cell>
          <cell r="E362">
            <v>0</v>
          </cell>
        </row>
        <row r="363">
          <cell r="D363">
            <v>0</v>
          </cell>
          <cell r="E363">
            <v>0</v>
          </cell>
        </row>
        <row r="364">
          <cell r="D364">
            <v>0</v>
          </cell>
          <cell r="E364">
            <v>0</v>
          </cell>
        </row>
        <row r="365">
          <cell r="D365">
            <v>0</v>
          </cell>
          <cell r="E365">
            <v>0</v>
          </cell>
        </row>
        <row r="366">
          <cell r="D366">
            <v>0</v>
          </cell>
          <cell r="E366">
            <v>0</v>
          </cell>
        </row>
        <row r="367">
          <cell r="D367">
            <v>0</v>
          </cell>
          <cell r="E367">
            <v>0</v>
          </cell>
        </row>
        <row r="368">
          <cell r="D368">
            <v>0</v>
          </cell>
          <cell r="E368">
            <v>0</v>
          </cell>
        </row>
        <row r="369">
          <cell r="D369">
            <v>0</v>
          </cell>
          <cell r="E369">
            <v>0</v>
          </cell>
        </row>
        <row r="370">
          <cell r="D370">
            <v>0</v>
          </cell>
          <cell r="E370">
            <v>0</v>
          </cell>
        </row>
        <row r="371">
          <cell r="D371">
            <v>0</v>
          </cell>
          <cell r="E371">
            <v>0</v>
          </cell>
        </row>
        <row r="372">
          <cell r="D372">
            <v>0</v>
          </cell>
          <cell r="E372">
            <v>0</v>
          </cell>
        </row>
        <row r="373">
          <cell r="D373">
            <v>0</v>
          </cell>
          <cell r="E373">
            <v>0</v>
          </cell>
        </row>
        <row r="374">
          <cell r="D374">
            <v>0</v>
          </cell>
          <cell r="E374">
            <v>0</v>
          </cell>
        </row>
        <row r="375">
          <cell r="D375">
            <v>0</v>
          </cell>
          <cell r="E375">
            <v>0</v>
          </cell>
        </row>
        <row r="376">
          <cell r="D376">
            <v>0</v>
          </cell>
          <cell r="E376">
            <v>0</v>
          </cell>
        </row>
        <row r="377">
          <cell r="D377">
            <v>0</v>
          </cell>
          <cell r="E377">
            <v>0</v>
          </cell>
        </row>
        <row r="378">
          <cell r="D378">
            <v>0</v>
          </cell>
          <cell r="E378">
            <v>0</v>
          </cell>
        </row>
        <row r="379">
          <cell r="D379">
            <v>0</v>
          </cell>
          <cell r="E379">
            <v>0</v>
          </cell>
        </row>
        <row r="380">
          <cell r="D380">
            <v>0</v>
          </cell>
          <cell r="E380">
            <v>0</v>
          </cell>
        </row>
        <row r="381">
          <cell r="D381">
            <v>0</v>
          </cell>
          <cell r="E381">
            <v>0</v>
          </cell>
        </row>
        <row r="382">
          <cell r="D382">
            <v>0</v>
          </cell>
          <cell r="E382">
            <v>0</v>
          </cell>
        </row>
        <row r="383">
          <cell r="D383">
            <v>0</v>
          </cell>
          <cell r="E383">
            <v>0</v>
          </cell>
        </row>
        <row r="384">
          <cell r="D384">
            <v>0</v>
          </cell>
          <cell r="E384">
            <v>0</v>
          </cell>
        </row>
        <row r="385">
          <cell r="D385">
            <v>0</v>
          </cell>
          <cell r="E385">
            <v>0</v>
          </cell>
        </row>
        <row r="386">
          <cell r="D386">
            <v>0</v>
          </cell>
          <cell r="E386">
            <v>0</v>
          </cell>
        </row>
        <row r="387">
          <cell r="D387">
            <v>0</v>
          </cell>
          <cell r="E387">
            <v>0</v>
          </cell>
        </row>
        <row r="388">
          <cell r="D388">
            <v>0</v>
          </cell>
          <cell r="E388">
            <v>0</v>
          </cell>
        </row>
        <row r="389">
          <cell r="D389">
            <v>0</v>
          </cell>
          <cell r="E389">
            <v>0</v>
          </cell>
        </row>
        <row r="390">
          <cell r="D390">
            <v>0</v>
          </cell>
          <cell r="E390">
            <v>0</v>
          </cell>
        </row>
        <row r="391">
          <cell r="D391">
            <v>0</v>
          </cell>
          <cell r="E391">
            <v>0</v>
          </cell>
        </row>
        <row r="392">
          <cell r="D392">
            <v>0</v>
          </cell>
          <cell r="E392">
            <v>0</v>
          </cell>
        </row>
        <row r="393">
          <cell r="D393">
            <v>0</v>
          </cell>
          <cell r="E393">
            <v>0</v>
          </cell>
        </row>
        <row r="394">
          <cell r="D394">
            <v>0</v>
          </cell>
          <cell r="E394">
            <v>0</v>
          </cell>
        </row>
        <row r="395">
          <cell r="D395">
            <v>0</v>
          </cell>
          <cell r="E395">
            <v>0</v>
          </cell>
        </row>
        <row r="396">
          <cell r="D396">
            <v>0</v>
          </cell>
          <cell r="E396">
            <v>0</v>
          </cell>
        </row>
        <row r="397">
          <cell r="D397">
            <v>0</v>
          </cell>
          <cell r="E397">
            <v>0</v>
          </cell>
        </row>
        <row r="398">
          <cell r="D398">
            <v>0</v>
          </cell>
          <cell r="E398">
            <v>0</v>
          </cell>
        </row>
        <row r="399">
          <cell r="D399">
            <v>0</v>
          </cell>
          <cell r="E399">
            <v>0</v>
          </cell>
        </row>
        <row r="400">
          <cell r="D400">
            <v>0</v>
          </cell>
          <cell r="E400">
            <v>0</v>
          </cell>
        </row>
        <row r="401">
          <cell r="D401">
            <v>0</v>
          </cell>
          <cell r="E401">
            <v>0</v>
          </cell>
        </row>
        <row r="402">
          <cell r="D402">
            <v>0</v>
          </cell>
          <cell r="E402">
            <v>0</v>
          </cell>
        </row>
        <row r="403">
          <cell r="D403">
            <v>0</v>
          </cell>
          <cell r="E403">
            <v>0</v>
          </cell>
        </row>
        <row r="404">
          <cell r="D404">
            <v>0</v>
          </cell>
          <cell r="E404">
            <v>0</v>
          </cell>
        </row>
        <row r="405">
          <cell r="D405">
            <v>0</v>
          </cell>
          <cell r="E405">
            <v>0</v>
          </cell>
        </row>
        <row r="406">
          <cell r="D406">
            <v>0</v>
          </cell>
          <cell r="E406">
            <v>0</v>
          </cell>
        </row>
        <row r="407">
          <cell r="D407">
            <v>0</v>
          </cell>
          <cell r="E407">
            <v>0</v>
          </cell>
        </row>
        <row r="408">
          <cell r="D408">
            <v>0</v>
          </cell>
          <cell r="E408">
            <v>0</v>
          </cell>
        </row>
        <row r="409">
          <cell r="D409">
            <v>0</v>
          </cell>
          <cell r="E409">
            <v>0</v>
          </cell>
        </row>
        <row r="410">
          <cell r="D410">
            <v>0</v>
          </cell>
          <cell r="E410">
            <v>0</v>
          </cell>
        </row>
        <row r="411">
          <cell r="D411">
            <v>0</v>
          </cell>
          <cell r="E411">
            <v>0</v>
          </cell>
        </row>
        <row r="412">
          <cell r="D412">
            <v>0</v>
          </cell>
          <cell r="E412">
            <v>0</v>
          </cell>
        </row>
        <row r="413">
          <cell r="D413">
            <v>0</v>
          </cell>
          <cell r="E413">
            <v>0</v>
          </cell>
        </row>
        <row r="414">
          <cell r="D414">
            <v>0</v>
          </cell>
          <cell r="E414">
            <v>0</v>
          </cell>
        </row>
        <row r="415">
          <cell r="D415">
            <v>0</v>
          </cell>
          <cell r="E415">
            <v>0</v>
          </cell>
        </row>
        <row r="416">
          <cell r="D416">
            <v>0</v>
          </cell>
          <cell r="E416">
            <v>0</v>
          </cell>
        </row>
        <row r="417">
          <cell r="D417">
            <v>0</v>
          </cell>
          <cell r="E417">
            <v>0</v>
          </cell>
        </row>
        <row r="418">
          <cell r="D418">
            <v>0</v>
          </cell>
          <cell r="E418">
            <v>0</v>
          </cell>
        </row>
        <row r="419">
          <cell r="D419">
            <v>0</v>
          </cell>
          <cell r="E419">
            <v>0</v>
          </cell>
        </row>
        <row r="420">
          <cell r="D420">
            <v>0</v>
          </cell>
          <cell r="E420">
            <v>0</v>
          </cell>
        </row>
        <row r="421">
          <cell r="D421">
            <v>0</v>
          </cell>
          <cell r="E421">
            <v>0</v>
          </cell>
        </row>
        <row r="422">
          <cell r="D422">
            <v>0</v>
          </cell>
          <cell r="E422">
            <v>0</v>
          </cell>
        </row>
        <row r="423">
          <cell r="D423">
            <v>0</v>
          </cell>
          <cell r="E423">
            <v>0</v>
          </cell>
        </row>
        <row r="424">
          <cell r="D424">
            <v>0</v>
          </cell>
          <cell r="E424">
            <v>0</v>
          </cell>
        </row>
        <row r="425">
          <cell r="D425">
            <v>0</v>
          </cell>
          <cell r="E425">
            <v>0</v>
          </cell>
        </row>
        <row r="426">
          <cell r="D426">
            <v>0</v>
          </cell>
          <cell r="E426">
            <v>0</v>
          </cell>
        </row>
        <row r="427">
          <cell r="D427">
            <v>0</v>
          </cell>
          <cell r="E427">
            <v>0</v>
          </cell>
        </row>
        <row r="428">
          <cell r="D428">
            <v>0</v>
          </cell>
          <cell r="E428">
            <v>0</v>
          </cell>
        </row>
        <row r="429">
          <cell r="D429">
            <v>0</v>
          </cell>
          <cell r="E429">
            <v>0</v>
          </cell>
        </row>
        <row r="430">
          <cell r="D430">
            <v>0</v>
          </cell>
          <cell r="E430">
            <v>0</v>
          </cell>
        </row>
        <row r="431">
          <cell r="D431">
            <v>0</v>
          </cell>
          <cell r="E431">
            <v>0</v>
          </cell>
        </row>
        <row r="432">
          <cell r="D432">
            <v>0</v>
          </cell>
          <cell r="E432">
            <v>0</v>
          </cell>
        </row>
        <row r="433">
          <cell r="D433">
            <v>0</v>
          </cell>
          <cell r="E433">
            <v>0</v>
          </cell>
        </row>
        <row r="434">
          <cell r="D434">
            <v>0</v>
          </cell>
          <cell r="E434">
            <v>0</v>
          </cell>
        </row>
        <row r="435">
          <cell r="D435">
            <v>0</v>
          </cell>
          <cell r="E435">
            <v>0</v>
          </cell>
        </row>
        <row r="436">
          <cell r="D436">
            <v>0</v>
          </cell>
          <cell r="E436">
            <v>0</v>
          </cell>
        </row>
        <row r="437">
          <cell r="D437">
            <v>0</v>
          </cell>
          <cell r="E437">
            <v>0</v>
          </cell>
        </row>
        <row r="438">
          <cell r="D438">
            <v>0</v>
          </cell>
          <cell r="E438">
            <v>0</v>
          </cell>
        </row>
        <row r="439">
          <cell r="D439">
            <v>0</v>
          </cell>
          <cell r="E439">
            <v>0</v>
          </cell>
        </row>
        <row r="440">
          <cell r="D440">
            <v>0</v>
          </cell>
          <cell r="E440">
            <v>0</v>
          </cell>
        </row>
        <row r="441">
          <cell r="D441">
            <v>0</v>
          </cell>
          <cell r="E441">
            <v>0</v>
          </cell>
        </row>
        <row r="442">
          <cell r="D442">
            <v>0</v>
          </cell>
          <cell r="E442">
            <v>0</v>
          </cell>
        </row>
        <row r="443">
          <cell r="D443">
            <v>0</v>
          </cell>
          <cell r="E443">
            <v>0</v>
          </cell>
        </row>
        <row r="444">
          <cell r="D444">
            <v>0</v>
          </cell>
          <cell r="E444">
            <v>0</v>
          </cell>
        </row>
        <row r="445">
          <cell r="D445">
            <v>0</v>
          </cell>
          <cell r="E445">
            <v>0</v>
          </cell>
        </row>
        <row r="446">
          <cell r="D446">
            <v>0</v>
          </cell>
          <cell r="E446">
            <v>0</v>
          </cell>
        </row>
        <row r="447">
          <cell r="D447">
            <v>0</v>
          </cell>
          <cell r="E447">
            <v>0</v>
          </cell>
        </row>
        <row r="448">
          <cell r="D448">
            <v>0</v>
          </cell>
          <cell r="E448">
            <v>0</v>
          </cell>
        </row>
        <row r="449">
          <cell r="D449">
            <v>0</v>
          </cell>
          <cell r="E449">
            <v>0</v>
          </cell>
        </row>
        <row r="450">
          <cell r="D450">
            <v>0</v>
          </cell>
          <cell r="E450">
            <v>0</v>
          </cell>
        </row>
        <row r="451">
          <cell r="D451">
            <v>0</v>
          </cell>
          <cell r="E451">
            <v>0</v>
          </cell>
        </row>
        <row r="452">
          <cell r="D452">
            <v>0</v>
          </cell>
          <cell r="E452">
            <v>0</v>
          </cell>
        </row>
        <row r="453">
          <cell r="D453">
            <v>0</v>
          </cell>
          <cell r="E453">
            <v>0</v>
          </cell>
        </row>
        <row r="454">
          <cell r="D454">
            <v>0</v>
          </cell>
          <cell r="E454">
            <v>0</v>
          </cell>
        </row>
        <row r="455">
          <cell r="D455">
            <v>0</v>
          </cell>
          <cell r="E455">
            <v>0</v>
          </cell>
        </row>
        <row r="456">
          <cell r="D456">
            <v>0</v>
          </cell>
          <cell r="E456">
            <v>0</v>
          </cell>
        </row>
        <row r="457">
          <cell r="D457">
            <v>0</v>
          </cell>
          <cell r="E457">
            <v>0</v>
          </cell>
        </row>
        <row r="458">
          <cell r="D458">
            <v>0</v>
          </cell>
          <cell r="E458">
            <v>0</v>
          </cell>
        </row>
        <row r="459">
          <cell r="D459">
            <v>0</v>
          </cell>
          <cell r="E459">
            <v>0</v>
          </cell>
        </row>
        <row r="460">
          <cell r="D460">
            <v>0</v>
          </cell>
          <cell r="E460">
            <v>0</v>
          </cell>
        </row>
        <row r="461">
          <cell r="D461">
            <v>0</v>
          </cell>
          <cell r="E461">
            <v>0</v>
          </cell>
        </row>
        <row r="462">
          <cell r="D462">
            <v>0</v>
          </cell>
          <cell r="E462">
            <v>0</v>
          </cell>
        </row>
        <row r="463">
          <cell r="D463">
            <v>0</v>
          </cell>
          <cell r="E463">
            <v>0</v>
          </cell>
        </row>
        <row r="464">
          <cell r="D464">
            <v>0</v>
          </cell>
          <cell r="E464">
            <v>0</v>
          </cell>
        </row>
        <row r="465">
          <cell r="D465">
            <v>0</v>
          </cell>
          <cell r="E465">
            <v>0</v>
          </cell>
        </row>
        <row r="466">
          <cell r="D466">
            <v>0</v>
          </cell>
          <cell r="E466">
            <v>0</v>
          </cell>
        </row>
        <row r="467">
          <cell r="D467">
            <v>0</v>
          </cell>
          <cell r="E467">
            <v>0</v>
          </cell>
        </row>
        <row r="468">
          <cell r="D468">
            <v>0</v>
          </cell>
          <cell r="E468">
            <v>0</v>
          </cell>
        </row>
        <row r="469">
          <cell r="D469">
            <v>0</v>
          </cell>
          <cell r="E469">
            <v>0</v>
          </cell>
        </row>
        <row r="470">
          <cell r="D470">
            <v>0</v>
          </cell>
          <cell r="E470">
            <v>0</v>
          </cell>
        </row>
        <row r="471">
          <cell r="D471">
            <v>0</v>
          </cell>
          <cell r="E471">
            <v>0</v>
          </cell>
        </row>
        <row r="472">
          <cell r="D472">
            <v>0</v>
          </cell>
          <cell r="E472">
            <v>0</v>
          </cell>
        </row>
        <row r="473">
          <cell r="D473">
            <v>0</v>
          </cell>
          <cell r="E473">
            <v>0</v>
          </cell>
        </row>
        <row r="474">
          <cell r="D474">
            <v>0</v>
          </cell>
          <cell r="E474">
            <v>0</v>
          </cell>
        </row>
        <row r="475">
          <cell r="D475">
            <v>0</v>
          </cell>
          <cell r="E475">
            <v>0</v>
          </cell>
        </row>
        <row r="476">
          <cell r="D476">
            <v>0</v>
          </cell>
          <cell r="E476">
            <v>0</v>
          </cell>
        </row>
        <row r="477">
          <cell r="D477">
            <v>0</v>
          </cell>
          <cell r="E477">
            <v>0</v>
          </cell>
        </row>
        <row r="478">
          <cell r="D478">
            <v>0</v>
          </cell>
          <cell r="E478">
            <v>0</v>
          </cell>
        </row>
        <row r="479">
          <cell r="D479">
            <v>0</v>
          </cell>
          <cell r="E479">
            <v>0</v>
          </cell>
        </row>
        <row r="480">
          <cell r="D480">
            <v>0</v>
          </cell>
          <cell r="E480">
            <v>0</v>
          </cell>
        </row>
        <row r="481">
          <cell r="D481">
            <v>0</v>
          </cell>
          <cell r="E481">
            <v>0</v>
          </cell>
        </row>
        <row r="482">
          <cell r="D482">
            <v>0</v>
          </cell>
          <cell r="E482">
            <v>0</v>
          </cell>
        </row>
        <row r="483">
          <cell r="D483">
            <v>0</v>
          </cell>
          <cell r="E483">
            <v>0</v>
          </cell>
        </row>
        <row r="484">
          <cell r="D484">
            <v>0</v>
          </cell>
          <cell r="E484">
            <v>0</v>
          </cell>
        </row>
        <row r="485">
          <cell r="D485">
            <v>0</v>
          </cell>
          <cell r="E485">
            <v>0</v>
          </cell>
        </row>
        <row r="486">
          <cell r="D486">
            <v>0</v>
          </cell>
          <cell r="E486">
            <v>0</v>
          </cell>
        </row>
        <row r="487">
          <cell r="D487">
            <v>0</v>
          </cell>
          <cell r="E487">
            <v>0</v>
          </cell>
        </row>
        <row r="488">
          <cell r="D488">
            <v>0</v>
          </cell>
          <cell r="E488">
            <v>0</v>
          </cell>
        </row>
        <row r="489">
          <cell r="D489">
            <v>0</v>
          </cell>
          <cell r="E489">
            <v>0</v>
          </cell>
        </row>
        <row r="490">
          <cell r="D490">
            <v>0</v>
          </cell>
          <cell r="E490">
            <v>0</v>
          </cell>
        </row>
        <row r="491">
          <cell r="D491">
            <v>0</v>
          </cell>
          <cell r="E491">
            <v>0</v>
          </cell>
        </row>
        <row r="492">
          <cell r="D492">
            <v>0</v>
          </cell>
          <cell r="E492">
            <v>0</v>
          </cell>
        </row>
        <row r="493">
          <cell r="D493">
            <v>0</v>
          </cell>
          <cell r="E493">
            <v>0</v>
          </cell>
        </row>
        <row r="494">
          <cell r="D494">
            <v>0</v>
          </cell>
          <cell r="E494">
            <v>0</v>
          </cell>
        </row>
        <row r="495">
          <cell r="D495">
            <v>0</v>
          </cell>
          <cell r="E495">
            <v>0</v>
          </cell>
        </row>
        <row r="496">
          <cell r="D496">
            <v>0</v>
          </cell>
          <cell r="E496">
            <v>0</v>
          </cell>
        </row>
        <row r="497">
          <cell r="D497">
            <v>0</v>
          </cell>
          <cell r="E497">
            <v>0</v>
          </cell>
        </row>
        <row r="498">
          <cell r="D498">
            <v>0</v>
          </cell>
          <cell r="E498">
            <v>0</v>
          </cell>
        </row>
        <row r="499">
          <cell r="D499">
            <v>0</v>
          </cell>
          <cell r="E499">
            <v>0</v>
          </cell>
        </row>
        <row r="500">
          <cell r="D500">
            <v>0</v>
          </cell>
          <cell r="E500">
            <v>0</v>
          </cell>
        </row>
        <row r="501">
          <cell r="D501">
            <v>0</v>
          </cell>
          <cell r="E501">
            <v>0</v>
          </cell>
        </row>
        <row r="502">
          <cell r="D502">
            <v>0</v>
          </cell>
          <cell r="E502">
            <v>0</v>
          </cell>
        </row>
        <row r="503">
          <cell r="D503">
            <v>0</v>
          </cell>
          <cell r="E503">
            <v>0</v>
          </cell>
        </row>
        <row r="504">
          <cell r="D504">
            <v>0</v>
          </cell>
          <cell r="E504">
            <v>0</v>
          </cell>
        </row>
        <row r="505">
          <cell r="D505">
            <v>0</v>
          </cell>
          <cell r="E505">
            <v>0</v>
          </cell>
        </row>
        <row r="506">
          <cell r="D506">
            <v>0</v>
          </cell>
          <cell r="E506">
            <v>0</v>
          </cell>
        </row>
      </sheetData>
      <sheetData sheetId="20"/>
      <sheetData sheetId="21"/>
      <sheetData sheetId="22"/>
      <sheetData sheetId="23">
        <row r="4">
          <cell r="B4" t="str">
            <v>聂新平</v>
          </cell>
          <cell r="C4" t="str">
            <v>苹果</v>
          </cell>
          <cell r="D4" t="str">
            <v>嘎啦85#</v>
          </cell>
          <cell r="E4" t="str">
            <v>筐</v>
          </cell>
          <cell r="F4">
            <v>0</v>
          </cell>
          <cell r="G4">
            <v>9156</v>
          </cell>
          <cell r="H4" t="str">
            <v>无库存</v>
          </cell>
        </row>
        <row r="5">
          <cell r="B5" t="str">
            <v>聂新平</v>
          </cell>
          <cell r="C5" t="str">
            <v>苹果</v>
          </cell>
          <cell r="D5" t="str">
            <v>嘎啦100#</v>
          </cell>
          <cell r="E5" t="str">
            <v>筐</v>
          </cell>
          <cell r="F5">
            <v>0</v>
          </cell>
          <cell r="G5">
            <v>18682.6</v>
          </cell>
          <cell r="H5" t="str">
            <v>无库存</v>
          </cell>
        </row>
        <row r="6">
          <cell r="B6" t="str">
            <v>王照雪</v>
          </cell>
          <cell r="C6" t="str">
            <v>苹果</v>
          </cell>
          <cell r="D6" t="str">
            <v>华硕一级</v>
          </cell>
          <cell r="E6" t="str">
            <v>筐</v>
          </cell>
          <cell r="F6">
            <v>0</v>
          </cell>
          <cell r="G6">
            <v>11591</v>
          </cell>
          <cell r="H6" t="str">
            <v>无库存</v>
          </cell>
        </row>
        <row r="7">
          <cell r="B7" t="str">
            <v>王照雪</v>
          </cell>
          <cell r="C7" t="str">
            <v>苹果</v>
          </cell>
          <cell r="D7" t="str">
            <v>华硕二级</v>
          </cell>
          <cell r="E7" t="str">
            <v>筐</v>
          </cell>
          <cell r="F7">
            <v>0</v>
          </cell>
          <cell r="G7">
            <v>5362.7</v>
          </cell>
          <cell r="H7" t="str">
            <v>无库存</v>
          </cell>
        </row>
        <row r="8">
          <cell r="B8" t="str">
            <v>王照雪</v>
          </cell>
          <cell r="C8" t="str">
            <v>苹果</v>
          </cell>
          <cell r="D8" t="str">
            <v>华硕高次</v>
          </cell>
          <cell r="E8" t="str">
            <v>筐</v>
          </cell>
          <cell r="F8">
            <v>0</v>
          </cell>
          <cell r="G8">
            <v>2992.9</v>
          </cell>
          <cell r="H8" t="str">
            <v>无库存</v>
          </cell>
        </row>
        <row r="9">
          <cell r="B9" t="str">
            <v>伍元虎</v>
          </cell>
          <cell r="C9" t="str">
            <v>苹果</v>
          </cell>
          <cell r="D9" t="str">
            <v>海棠果</v>
          </cell>
          <cell r="E9" t="str">
            <v>筐</v>
          </cell>
          <cell r="F9">
            <v>0</v>
          </cell>
          <cell r="G9">
            <v>0</v>
          </cell>
          <cell r="H9" t="str">
            <v>无库存</v>
          </cell>
        </row>
        <row r="10">
          <cell r="B10" t="str">
            <v>王照雪</v>
          </cell>
          <cell r="C10" t="str">
            <v>李子</v>
          </cell>
          <cell r="D10" t="str">
            <v>樱桃李</v>
          </cell>
          <cell r="E10" t="str">
            <v>筐</v>
          </cell>
          <cell r="F10">
            <v>0</v>
          </cell>
          <cell r="G10">
            <v>0</v>
          </cell>
          <cell r="H10" t="str">
            <v>无库存</v>
          </cell>
        </row>
        <row r="11">
          <cell r="B11" t="str">
            <v>马锦祥</v>
          </cell>
          <cell r="C11" t="str">
            <v>苹果</v>
          </cell>
          <cell r="D11" t="str">
            <v>海棠果</v>
          </cell>
          <cell r="E11" t="str">
            <v>筐</v>
          </cell>
          <cell r="F11">
            <v>66</v>
          </cell>
          <cell r="G11">
            <v>198</v>
          </cell>
          <cell r="H11" t="str">
            <v>偏低</v>
          </cell>
        </row>
        <row r="12">
          <cell r="B12" t="str">
            <v>聂新平</v>
          </cell>
          <cell r="C12" t="str">
            <v>西梅</v>
          </cell>
          <cell r="D12" t="str">
            <v>西梅二级</v>
          </cell>
          <cell r="E12" t="str">
            <v>筐</v>
          </cell>
          <cell r="F12">
            <v>1</v>
          </cell>
          <cell r="G12">
            <v>2</v>
          </cell>
          <cell r="H12" t="str">
            <v>偏低</v>
          </cell>
        </row>
        <row r="13">
          <cell r="B13" t="str">
            <v>聂新平</v>
          </cell>
          <cell r="C13" t="str">
            <v>西梅</v>
          </cell>
          <cell r="D13" t="str">
            <v>西梅三级</v>
          </cell>
          <cell r="E13" t="str">
            <v>筐</v>
          </cell>
          <cell r="F13">
            <v>0</v>
          </cell>
          <cell r="G13">
            <v>0</v>
          </cell>
          <cell r="H13" t="str">
            <v>无库存</v>
          </cell>
        </row>
        <row r="14">
          <cell r="B14" t="str">
            <v>聂新平</v>
          </cell>
          <cell r="C14" t="str">
            <v>西梅</v>
          </cell>
          <cell r="D14" t="str">
            <v>西梅一级</v>
          </cell>
          <cell r="E14" t="str">
            <v>筐</v>
          </cell>
          <cell r="F14">
            <v>0</v>
          </cell>
          <cell r="G14">
            <v>0</v>
          </cell>
          <cell r="H14" t="str">
            <v>无库存</v>
          </cell>
        </row>
        <row r="15">
          <cell r="B15" t="str">
            <v>马锦祥</v>
          </cell>
          <cell r="C15" t="str">
            <v>香梨</v>
          </cell>
          <cell r="D15" t="str">
            <v>香梨一级</v>
          </cell>
          <cell r="E15" t="str">
            <v>筐</v>
          </cell>
          <cell r="F15">
            <v>1953</v>
          </cell>
          <cell r="G15">
            <v>35739.9</v>
          </cell>
          <cell r="H15" t="str">
            <v>偏低</v>
          </cell>
        </row>
        <row r="16">
          <cell r="B16" t="str">
            <v>马锦祥</v>
          </cell>
          <cell r="C16" t="str">
            <v>香梨</v>
          </cell>
          <cell r="D16" t="str">
            <v>香梨二级</v>
          </cell>
          <cell r="E16" t="str">
            <v>筐</v>
          </cell>
          <cell r="F16">
            <v>386</v>
          </cell>
          <cell r="G16">
            <v>8607.8</v>
          </cell>
          <cell r="H16" t="str">
            <v>偏低</v>
          </cell>
        </row>
        <row r="17">
          <cell r="B17" t="str">
            <v>马锦祥</v>
          </cell>
          <cell r="C17" t="str">
            <v>香梨</v>
          </cell>
          <cell r="D17" t="str">
            <v>香梨副特</v>
          </cell>
          <cell r="E17" t="str">
            <v>筐</v>
          </cell>
          <cell r="F17">
            <v>152</v>
          </cell>
          <cell r="G17">
            <v>2781.6</v>
          </cell>
          <cell r="H17" t="str">
            <v>偏低</v>
          </cell>
        </row>
        <row r="18">
          <cell r="B18" t="str">
            <v>麦麦提</v>
          </cell>
          <cell r="C18" t="str">
            <v>香梨</v>
          </cell>
          <cell r="D18" t="str">
            <v>香梨特级</v>
          </cell>
          <cell r="E18" t="str">
            <v>筐</v>
          </cell>
          <cell r="F18">
            <v>1667</v>
          </cell>
          <cell r="G18">
            <v>30542.7</v>
          </cell>
          <cell r="H18" t="str">
            <v>偏低</v>
          </cell>
        </row>
        <row r="19">
          <cell r="B19" t="str">
            <v>麦麦提</v>
          </cell>
          <cell r="C19" t="str">
            <v>香梨</v>
          </cell>
          <cell r="D19" t="str">
            <v>香梨一级</v>
          </cell>
          <cell r="E19" t="str">
            <v>筐</v>
          </cell>
          <cell r="F19">
            <v>489</v>
          </cell>
          <cell r="G19">
            <v>20075.1</v>
          </cell>
          <cell r="H19" t="str">
            <v>偏低</v>
          </cell>
        </row>
        <row r="20">
          <cell r="B20" t="str">
            <v>麦麦提</v>
          </cell>
          <cell r="C20" t="str">
            <v>香梨</v>
          </cell>
          <cell r="D20" t="str">
            <v>香梨二级</v>
          </cell>
          <cell r="E20" t="str">
            <v>筐</v>
          </cell>
          <cell r="F20">
            <v>1024</v>
          </cell>
          <cell r="G20">
            <v>22835.2</v>
          </cell>
          <cell r="H20" t="str">
            <v>偏低</v>
          </cell>
        </row>
        <row r="21">
          <cell r="B21" t="str">
            <v>吐尔洪</v>
          </cell>
          <cell r="C21" t="str">
            <v>香梨</v>
          </cell>
          <cell r="D21" t="str">
            <v>香梨特级</v>
          </cell>
          <cell r="E21" t="str">
            <v>筐</v>
          </cell>
          <cell r="F21">
            <v>868</v>
          </cell>
          <cell r="G21">
            <v>15884.4</v>
          </cell>
          <cell r="H21" t="str">
            <v>偏低</v>
          </cell>
        </row>
        <row r="22">
          <cell r="B22" t="str">
            <v>吐尔洪</v>
          </cell>
          <cell r="C22" t="str">
            <v>香梨</v>
          </cell>
          <cell r="D22" t="str">
            <v>香梨二级</v>
          </cell>
          <cell r="E22" t="str">
            <v>筐</v>
          </cell>
          <cell r="F22">
            <v>676</v>
          </cell>
          <cell r="G22">
            <v>14990.8</v>
          </cell>
          <cell r="H22" t="str">
            <v>偏低</v>
          </cell>
        </row>
        <row r="23">
          <cell r="B23" t="str">
            <v>热合曼</v>
          </cell>
          <cell r="C23" t="str">
            <v>香梨</v>
          </cell>
          <cell r="D23" t="str">
            <v>香梨一级</v>
          </cell>
          <cell r="E23" t="str">
            <v>筐</v>
          </cell>
          <cell r="F23">
            <v>519</v>
          </cell>
          <cell r="G23">
            <v>9497.7</v>
          </cell>
          <cell r="H23" t="str">
            <v>偏低</v>
          </cell>
        </row>
        <row r="24">
          <cell r="B24" t="str">
            <v>热合曼</v>
          </cell>
          <cell r="C24" t="str">
            <v>香梨</v>
          </cell>
          <cell r="D24" t="str">
            <v>香梨二级</v>
          </cell>
          <cell r="E24" t="str">
            <v>筐</v>
          </cell>
          <cell r="F24">
            <v>203</v>
          </cell>
          <cell r="G24">
            <v>4526.9</v>
          </cell>
          <cell r="H24" t="str">
            <v>偏低</v>
          </cell>
        </row>
        <row r="25">
          <cell r="B25" t="str">
            <v>热合曼</v>
          </cell>
          <cell r="C25" t="str">
            <v>香梨</v>
          </cell>
          <cell r="D25" t="str">
            <v>香梨副特</v>
          </cell>
          <cell r="E25" t="str">
            <v>筐</v>
          </cell>
          <cell r="F25">
            <v>799</v>
          </cell>
          <cell r="G25">
            <v>15420.7</v>
          </cell>
          <cell r="H25" t="str">
            <v>偏低</v>
          </cell>
        </row>
        <row r="26">
          <cell r="B26" t="str">
            <v>贾建国</v>
          </cell>
          <cell r="C26" t="str">
            <v>香梨</v>
          </cell>
          <cell r="D26" t="str">
            <v>香梨副特</v>
          </cell>
          <cell r="E26" t="str">
            <v>筐</v>
          </cell>
          <cell r="F26">
            <v>911</v>
          </cell>
          <cell r="G26">
            <v>17819.1</v>
          </cell>
          <cell r="H26" t="str">
            <v>偏低</v>
          </cell>
        </row>
        <row r="27">
          <cell r="B27" t="str">
            <v>贾建国</v>
          </cell>
          <cell r="C27" t="str">
            <v>香梨</v>
          </cell>
          <cell r="D27" t="str">
            <v>香梨二级</v>
          </cell>
          <cell r="E27" t="str">
            <v>筐</v>
          </cell>
          <cell r="F27">
            <v>479</v>
          </cell>
          <cell r="G27">
            <v>10777.5</v>
          </cell>
          <cell r="H27" t="str">
            <v>偏低</v>
          </cell>
        </row>
        <row r="28">
          <cell r="B28" t="str">
            <v>吐尔洪</v>
          </cell>
          <cell r="C28" t="str">
            <v>香梨</v>
          </cell>
          <cell r="D28" t="str">
            <v>香梨一级</v>
          </cell>
          <cell r="E28" t="str">
            <v>筐</v>
          </cell>
          <cell r="F28">
            <v>288</v>
          </cell>
          <cell r="G28">
            <v>5270.4</v>
          </cell>
          <cell r="H28" t="str">
            <v>偏低</v>
          </cell>
        </row>
        <row r="29">
          <cell r="B29" t="str">
            <v>王灵云</v>
          </cell>
          <cell r="C29" t="str">
            <v>香梨</v>
          </cell>
          <cell r="D29" t="str">
            <v>香梨一级</v>
          </cell>
          <cell r="E29" t="str">
            <v>筐</v>
          </cell>
          <cell r="F29">
            <v>2663</v>
          </cell>
          <cell r="G29">
            <v>55760.1</v>
          </cell>
          <cell r="H29" t="str">
            <v>偏低</v>
          </cell>
        </row>
        <row r="30">
          <cell r="B30" t="str">
            <v>王灵云</v>
          </cell>
          <cell r="C30" t="str">
            <v>香梨</v>
          </cell>
          <cell r="D30" t="str">
            <v>香梨副特</v>
          </cell>
          <cell r="E30" t="str">
            <v>筐</v>
          </cell>
          <cell r="F30">
            <v>592</v>
          </cell>
          <cell r="G30">
            <v>12012</v>
          </cell>
          <cell r="H30" t="str">
            <v>偏低</v>
          </cell>
        </row>
        <row r="31">
          <cell r="B31" t="str">
            <v>王灵云</v>
          </cell>
          <cell r="C31" t="str">
            <v>香梨</v>
          </cell>
          <cell r="D31" t="str">
            <v>香梨二级</v>
          </cell>
          <cell r="E31" t="str">
            <v>筐</v>
          </cell>
          <cell r="F31">
            <v>527</v>
          </cell>
          <cell r="G31">
            <v>11459.1</v>
          </cell>
          <cell r="H31" t="str">
            <v>偏低</v>
          </cell>
        </row>
        <row r="32">
          <cell r="B32" t="str">
            <v>杨艳玲</v>
          </cell>
          <cell r="C32" t="str">
            <v>香梨</v>
          </cell>
          <cell r="D32" t="str">
            <v>香梨玉露</v>
          </cell>
          <cell r="E32" t="str">
            <v>筐</v>
          </cell>
          <cell r="F32">
            <v>104</v>
          </cell>
          <cell r="G32">
            <v>1799.2</v>
          </cell>
          <cell r="H32" t="str">
            <v>偏低</v>
          </cell>
        </row>
        <row r="33">
          <cell r="B33" t="str">
            <v>荆建君</v>
          </cell>
          <cell r="C33" t="str">
            <v>香梨</v>
          </cell>
          <cell r="D33" t="str">
            <v>香梨一级</v>
          </cell>
          <cell r="E33" t="str">
            <v>筐</v>
          </cell>
          <cell r="F33">
            <v>1062</v>
          </cell>
          <cell r="G33">
            <v>19434.6</v>
          </cell>
          <cell r="H33" t="str">
            <v>偏低</v>
          </cell>
        </row>
        <row r="34">
          <cell r="B34" t="str">
            <v>荆建君</v>
          </cell>
          <cell r="C34" t="str">
            <v>香梨</v>
          </cell>
          <cell r="D34" t="str">
            <v>香梨二级</v>
          </cell>
          <cell r="E34" t="str">
            <v>筐</v>
          </cell>
          <cell r="F34">
            <v>802</v>
          </cell>
          <cell r="G34">
            <v>14676.6</v>
          </cell>
          <cell r="H34" t="str">
            <v>偏低</v>
          </cell>
        </row>
        <row r="35">
          <cell r="B35" t="str">
            <v>王照雪</v>
          </cell>
          <cell r="C35" t="str">
            <v>香梨</v>
          </cell>
          <cell r="D35" t="str">
            <v>香梨一级</v>
          </cell>
          <cell r="E35" t="str">
            <v>筐</v>
          </cell>
          <cell r="F35">
            <v>401</v>
          </cell>
          <cell r="G35">
            <v>7778</v>
          </cell>
          <cell r="H35" t="str">
            <v>偏低</v>
          </cell>
        </row>
        <row r="36">
          <cell r="B36" t="str">
            <v>王照雪</v>
          </cell>
          <cell r="C36" t="str">
            <v>香梨</v>
          </cell>
          <cell r="D36" t="str">
            <v>香梨副特</v>
          </cell>
          <cell r="E36" t="str">
            <v>筐</v>
          </cell>
          <cell r="F36">
            <v>388</v>
          </cell>
          <cell r="G36">
            <v>7344</v>
          </cell>
          <cell r="H36" t="str">
            <v>偏低</v>
          </cell>
        </row>
        <row r="37">
          <cell r="B37" t="str">
            <v>努尔敦</v>
          </cell>
          <cell r="C37" t="str">
            <v>香梨</v>
          </cell>
          <cell r="D37" t="str">
            <v>香梨特级</v>
          </cell>
          <cell r="E37" t="str">
            <v>筐</v>
          </cell>
          <cell r="F37">
            <v>1194</v>
          </cell>
          <cell r="G37">
            <v>21850.2</v>
          </cell>
          <cell r="H37" t="str">
            <v>偏低</v>
          </cell>
        </row>
        <row r="38">
          <cell r="B38" t="str">
            <v>努尔敦</v>
          </cell>
          <cell r="C38" t="str">
            <v>香梨</v>
          </cell>
          <cell r="D38" t="str">
            <v>香梨一级</v>
          </cell>
          <cell r="E38" t="str">
            <v>筐</v>
          </cell>
          <cell r="F38">
            <v>1177</v>
          </cell>
          <cell r="G38">
            <v>21539.1</v>
          </cell>
          <cell r="H38" t="str">
            <v>偏低</v>
          </cell>
        </row>
        <row r="39">
          <cell r="B39" t="str">
            <v>努尔敦</v>
          </cell>
          <cell r="C39" t="str">
            <v>香梨</v>
          </cell>
          <cell r="D39" t="str">
            <v>香梨二级</v>
          </cell>
          <cell r="E39" t="str">
            <v>筐</v>
          </cell>
          <cell r="F39">
            <v>852</v>
          </cell>
          <cell r="G39">
            <v>18999.6</v>
          </cell>
          <cell r="H39" t="str">
            <v>偏低</v>
          </cell>
        </row>
        <row r="40">
          <cell r="B40" t="str">
            <v>王浩</v>
          </cell>
          <cell r="C40" t="str">
            <v>香梨</v>
          </cell>
          <cell r="D40" t="str">
            <v>香梨一级</v>
          </cell>
          <cell r="E40" t="str">
            <v>筐</v>
          </cell>
          <cell r="F40">
            <v>1177</v>
          </cell>
          <cell r="G40">
            <v>21667.2</v>
          </cell>
          <cell r="H40" t="str">
            <v>偏低</v>
          </cell>
        </row>
        <row r="41">
          <cell r="B41" t="str">
            <v>王照雪</v>
          </cell>
          <cell r="C41" t="str">
            <v>香梨</v>
          </cell>
          <cell r="D41" t="str">
            <v>香梨二级</v>
          </cell>
          <cell r="E41" t="str">
            <v>筐</v>
          </cell>
          <cell r="F41">
            <v>50</v>
          </cell>
          <cell r="G41">
            <v>1125</v>
          </cell>
          <cell r="H41" t="str">
            <v>偏低</v>
          </cell>
        </row>
        <row r="42">
          <cell r="B42" t="str">
            <v>王照雪</v>
          </cell>
          <cell r="C42" t="str">
            <v>苹果</v>
          </cell>
          <cell r="D42" t="str">
            <v>新世纪一级</v>
          </cell>
          <cell r="E42" t="str">
            <v>筐</v>
          </cell>
          <cell r="F42">
            <v>182</v>
          </cell>
          <cell r="G42">
            <v>15102.9</v>
          </cell>
          <cell r="H42" t="str">
            <v>偏低</v>
          </cell>
        </row>
        <row r="43">
          <cell r="B43" t="str">
            <v>王照雪</v>
          </cell>
          <cell r="C43" t="str">
            <v>苹果</v>
          </cell>
          <cell r="D43" t="str">
            <v>新世纪二级</v>
          </cell>
          <cell r="E43" t="str">
            <v>筐</v>
          </cell>
          <cell r="F43">
            <v>52</v>
          </cell>
          <cell r="G43">
            <v>5084.6</v>
          </cell>
          <cell r="H43" t="str">
            <v>偏低</v>
          </cell>
        </row>
        <row r="44">
          <cell r="B44" t="str">
            <v>王照雪</v>
          </cell>
          <cell r="C44" t="str">
            <v>苹果</v>
          </cell>
          <cell r="D44" t="str">
            <v>新世纪特级</v>
          </cell>
          <cell r="E44" t="str">
            <v>筐</v>
          </cell>
          <cell r="F44">
            <v>0</v>
          </cell>
          <cell r="G44">
            <v>1262.9</v>
          </cell>
          <cell r="H44" t="str">
            <v>无库存</v>
          </cell>
        </row>
        <row r="45">
          <cell r="B45" t="str">
            <v>热合曼+艾则孜</v>
          </cell>
          <cell r="C45" t="str">
            <v>香梨</v>
          </cell>
          <cell r="D45" t="str">
            <v>香梨一级</v>
          </cell>
          <cell r="E45" t="str">
            <v>筐</v>
          </cell>
          <cell r="F45">
            <v>329</v>
          </cell>
          <cell r="G45">
            <v>6020.7</v>
          </cell>
          <cell r="H45" t="str">
            <v>偏低</v>
          </cell>
        </row>
        <row r="46">
          <cell r="B46" t="str">
            <v>热合曼+艾则孜</v>
          </cell>
          <cell r="C46" t="str">
            <v>香梨</v>
          </cell>
          <cell r="D46" t="str">
            <v>香梨二级</v>
          </cell>
          <cell r="E46" t="str">
            <v>筐</v>
          </cell>
          <cell r="F46">
            <v>131</v>
          </cell>
          <cell r="G46">
            <v>2921.3</v>
          </cell>
          <cell r="H46" t="str">
            <v>偏低</v>
          </cell>
        </row>
        <row r="47">
          <cell r="B47" t="str">
            <v>热合曼+艾则孜</v>
          </cell>
          <cell r="C47" t="str">
            <v>香梨</v>
          </cell>
          <cell r="D47" t="str">
            <v>香梨副特</v>
          </cell>
          <cell r="E47" t="str">
            <v>筐</v>
          </cell>
          <cell r="F47">
            <v>40</v>
          </cell>
          <cell r="G47">
            <v>732</v>
          </cell>
          <cell r="H47" t="str">
            <v>偏低</v>
          </cell>
        </row>
        <row r="48">
          <cell r="B48" t="str">
            <v>李现东</v>
          </cell>
          <cell r="C48" t="str">
            <v>香梨</v>
          </cell>
          <cell r="D48" t="str">
            <v>香梨一级</v>
          </cell>
          <cell r="E48" t="str">
            <v>筐</v>
          </cell>
          <cell r="F48">
            <v>310</v>
          </cell>
          <cell r="G48">
            <v>5673</v>
          </cell>
          <cell r="H48" t="str">
            <v>偏低</v>
          </cell>
        </row>
        <row r="49">
          <cell r="B49" t="str">
            <v>李现东</v>
          </cell>
          <cell r="C49" t="str">
            <v>香梨</v>
          </cell>
          <cell r="D49" t="str">
            <v>香梨二级</v>
          </cell>
          <cell r="E49" t="str">
            <v>筐</v>
          </cell>
          <cell r="F49">
            <v>103</v>
          </cell>
          <cell r="G49">
            <v>2296.9</v>
          </cell>
          <cell r="H49" t="str">
            <v>偏低</v>
          </cell>
        </row>
        <row r="50">
          <cell r="B50" t="str">
            <v>李现东</v>
          </cell>
          <cell r="C50" t="str">
            <v>香梨</v>
          </cell>
          <cell r="D50" t="str">
            <v>香梨副特</v>
          </cell>
          <cell r="E50" t="str">
            <v>筐</v>
          </cell>
          <cell r="F50">
            <v>56</v>
          </cell>
          <cell r="G50">
            <v>1024.8</v>
          </cell>
          <cell r="H50" t="str">
            <v>偏低</v>
          </cell>
        </row>
        <row r="51">
          <cell r="B51" t="str">
            <v>吐尔逊</v>
          </cell>
          <cell r="C51" t="str">
            <v>香梨</v>
          </cell>
          <cell r="D51" t="str">
            <v>香梨一级</v>
          </cell>
          <cell r="E51" t="str">
            <v>筐</v>
          </cell>
          <cell r="F51">
            <v>100</v>
          </cell>
          <cell r="G51">
            <v>1750</v>
          </cell>
          <cell r="H51" t="str">
            <v>偏低</v>
          </cell>
        </row>
        <row r="52">
          <cell r="B52" t="str">
            <v>吐尔逊</v>
          </cell>
          <cell r="C52" t="str">
            <v>香梨</v>
          </cell>
          <cell r="D52" t="str">
            <v>香梨二级</v>
          </cell>
          <cell r="E52" t="str">
            <v>筐</v>
          </cell>
          <cell r="F52">
            <v>100</v>
          </cell>
          <cell r="G52">
            <v>2450</v>
          </cell>
          <cell r="H52" t="str">
            <v>偏低</v>
          </cell>
        </row>
        <row r="53">
          <cell r="B53" t="str">
            <v>王照雪</v>
          </cell>
          <cell r="C53" t="str">
            <v>苹果</v>
          </cell>
          <cell r="D53" t="str">
            <v>玫瑰红一级</v>
          </cell>
          <cell r="E53" t="str">
            <v>筐</v>
          </cell>
          <cell r="F53">
            <v>0</v>
          </cell>
          <cell r="G53">
            <v>415.2</v>
          </cell>
          <cell r="H53" t="str">
            <v>无库存</v>
          </cell>
        </row>
        <row r="54">
          <cell r="B54" t="str">
            <v>阿布都</v>
          </cell>
          <cell r="C54" t="str">
            <v>香梨</v>
          </cell>
          <cell r="D54" t="str">
            <v>香梨特级</v>
          </cell>
          <cell r="E54" t="str">
            <v>筐</v>
          </cell>
          <cell r="F54">
            <v>118</v>
          </cell>
          <cell r="G54">
            <v>2159.4</v>
          </cell>
          <cell r="H54" t="str">
            <v>偏低</v>
          </cell>
        </row>
        <row r="55">
          <cell r="B55" t="str">
            <v>阿布都</v>
          </cell>
          <cell r="C55" t="str">
            <v>香梨</v>
          </cell>
          <cell r="D55" t="str">
            <v>香梨一级</v>
          </cell>
          <cell r="E55" t="str">
            <v>筐</v>
          </cell>
          <cell r="F55">
            <v>43</v>
          </cell>
          <cell r="G55">
            <v>786.9</v>
          </cell>
          <cell r="H55" t="str">
            <v>偏低</v>
          </cell>
        </row>
        <row r="56">
          <cell r="B56" t="str">
            <v>阿布都</v>
          </cell>
          <cell r="C56" t="str">
            <v>香梨</v>
          </cell>
          <cell r="D56" t="str">
            <v>香梨副特</v>
          </cell>
          <cell r="E56" t="str">
            <v>筐</v>
          </cell>
          <cell r="F56">
            <v>154</v>
          </cell>
          <cell r="G56">
            <v>3026.2</v>
          </cell>
          <cell r="H56" t="str">
            <v>偏低</v>
          </cell>
        </row>
        <row r="57">
          <cell r="B57" t="str">
            <v>艾则孜</v>
          </cell>
          <cell r="C57" t="str">
            <v>香梨</v>
          </cell>
          <cell r="D57" t="str">
            <v>香梨一级</v>
          </cell>
          <cell r="E57" t="str">
            <v>筐</v>
          </cell>
          <cell r="F57">
            <v>280</v>
          </cell>
          <cell r="G57">
            <v>5404</v>
          </cell>
          <cell r="H57" t="str">
            <v>偏低</v>
          </cell>
        </row>
        <row r="58">
          <cell r="B58" t="str">
            <v>艾则孜</v>
          </cell>
          <cell r="C58" t="str">
            <v>香梨</v>
          </cell>
          <cell r="D58" t="str">
            <v>香梨二级</v>
          </cell>
          <cell r="E58" t="str">
            <v>筐</v>
          </cell>
          <cell r="F58">
            <v>88</v>
          </cell>
          <cell r="G58">
            <v>1962.4</v>
          </cell>
          <cell r="H58" t="str">
            <v>偏低</v>
          </cell>
        </row>
        <row r="59">
          <cell r="B59" t="str">
            <v>艾则孜</v>
          </cell>
          <cell r="C59" t="str">
            <v>香梨</v>
          </cell>
          <cell r="D59" t="str">
            <v>香梨副特</v>
          </cell>
          <cell r="E59" t="str">
            <v>筐</v>
          </cell>
          <cell r="F59">
            <v>170</v>
          </cell>
          <cell r="G59">
            <v>3281</v>
          </cell>
          <cell r="H59" t="str">
            <v>偏低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对接源_01水果筐数"/>
      <sheetName val="周转筐出入库明细"/>
      <sheetName val="包装物料出入库明细"/>
      <sheetName val="客户自备加工筐明细"/>
      <sheetName val="次果筐+托盘明细"/>
      <sheetName val="物料库存结余"/>
      <sheetName val="筐子库存汇总"/>
      <sheetName val="筐子往来汇总"/>
      <sheetName val="筐子采购汇总"/>
      <sheetName val="筐子销售汇总"/>
      <sheetName val="自备筐汇总"/>
      <sheetName val="次果筐汇总"/>
      <sheetName val="押金汇总"/>
      <sheetName val="客户领用物料汇总"/>
      <sheetName val="实盘库存盘点"/>
      <sheetName val="收入结算汇总"/>
      <sheetName val="对账明细接口"/>
      <sheetName val="财务取数接口"/>
      <sheetName val="字段对照"/>
      <sheetName val="_自动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C4" t="str">
            <v>筐子销售</v>
          </cell>
        </row>
        <row r="4">
          <cell r="E4" t="str">
            <v>个</v>
          </cell>
        </row>
        <row r="5">
          <cell r="C5" t="str">
            <v>筐子销售</v>
          </cell>
        </row>
        <row r="5">
          <cell r="E5" t="str">
            <v>个</v>
          </cell>
        </row>
        <row r="6">
          <cell r="C6" t="str">
            <v>筐子销售</v>
          </cell>
        </row>
        <row r="6">
          <cell r="E6" t="str">
            <v>个</v>
          </cell>
        </row>
        <row r="7">
          <cell r="C7" t="str">
            <v>筐子销售</v>
          </cell>
        </row>
        <row r="7">
          <cell r="E7" t="str">
            <v>个</v>
          </cell>
        </row>
        <row r="8">
          <cell r="C8" t="str">
            <v>筐子销售</v>
          </cell>
        </row>
        <row r="8">
          <cell r="E8" t="str">
            <v>个</v>
          </cell>
        </row>
        <row r="9">
          <cell r="C9" t="str">
            <v>筐子销售</v>
          </cell>
        </row>
        <row r="9">
          <cell r="E9" t="str">
            <v>个</v>
          </cell>
        </row>
        <row r="10">
          <cell r="C10" t="str">
            <v>筐子销售</v>
          </cell>
        </row>
        <row r="10">
          <cell r="E10" t="str">
            <v>个</v>
          </cell>
        </row>
        <row r="11">
          <cell r="C11" t="str">
            <v>筐子销售</v>
          </cell>
        </row>
        <row r="11">
          <cell r="E11" t="str">
            <v>个</v>
          </cell>
        </row>
        <row r="12">
          <cell r="C12" t="str">
            <v>筐子销售</v>
          </cell>
        </row>
        <row r="12">
          <cell r="E12" t="str">
            <v>个</v>
          </cell>
        </row>
        <row r="13">
          <cell r="C13" t="str">
            <v>筐子销售</v>
          </cell>
        </row>
        <row r="13">
          <cell r="E13" t="str">
            <v>个</v>
          </cell>
        </row>
        <row r="14">
          <cell r="C14" t="str">
            <v>筐子销售</v>
          </cell>
        </row>
        <row r="14">
          <cell r="E14" t="str">
            <v>个</v>
          </cell>
        </row>
        <row r="15">
          <cell r="C15" t="str">
            <v>筐子销售</v>
          </cell>
        </row>
        <row r="15">
          <cell r="E15" t="str">
            <v>个</v>
          </cell>
        </row>
        <row r="16">
          <cell r="C16" t="str">
            <v>筐子销售</v>
          </cell>
        </row>
        <row r="16">
          <cell r="E16" t="str">
            <v>个</v>
          </cell>
        </row>
        <row r="17">
          <cell r="C17" t="str">
            <v>筐子销售</v>
          </cell>
        </row>
        <row r="17">
          <cell r="E17" t="str">
            <v>个</v>
          </cell>
        </row>
        <row r="18">
          <cell r="C18" t="str">
            <v>筐子销售</v>
          </cell>
        </row>
        <row r="18">
          <cell r="E18" t="str">
            <v>个</v>
          </cell>
        </row>
        <row r="19">
          <cell r="C19" t="str">
            <v>筐子销售</v>
          </cell>
        </row>
        <row r="19">
          <cell r="E19" t="str">
            <v>个</v>
          </cell>
        </row>
        <row r="20">
          <cell r="C20" t="str">
            <v>筐子销售</v>
          </cell>
        </row>
        <row r="20">
          <cell r="E20" t="str">
            <v>个</v>
          </cell>
        </row>
        <row r="21">
          <cell r="C21" t="str">
            <v>筐子销售</v>
          </cell>
        </row>
        <row r="21">
          <cell r="E21" t="str">
            <v>个</v>
          </cell>
        </row>
        <row r="22">
          <cell r="C22" t="str">
            <v>筐子销售</v>
          </cell>
        </row>
        <row r="22">
          <cell r="E22" t="str">
            <v>个</v>
          </cell>
        </row>
        <row r="23">
          <cell r="C23" t="str">
            <v>筐子销售</v>
          </cell>
        </row>
        <row r="23">
          <cell r="E23" t="str">
            <v>个</v>
          </cell>
        </row>
        <row r="24">
          <cell r="C24" t="str">
            <v>筐子销售</v>
          </cell>
        </row>
        <row r="24">
          <cell r="E24" t="str">
            <v>个</v>
          </cell>
        </row>
        <row r="25">
          <cell r="C25" t="str">
            <v>筐子销售</v>
          </cell>
        </row>
        <row r="25">
          <cell r="E25" t="str">
            <v>个</v>
          </cell>
        </row>
        <row r="26">
          <cell r="C26" t="str">
            <v>筐子销售</v>
          </cell>
        </row>
        <row r="26">
          <cell r="E26" t="str">
            <v>个</v>
          </cell>
        </row>
        <row r="27">
          <cell r="C27" t="str">
            <v>筐子销售</v>
          </cell>
        </row>
        <row r="27">
          <cell r="E27" t="str">
            <v>个</v>
          </cell>
        </row>
        <row r="28">
          <cell r="C28" t="str">
            <v>物料销售</v>
          </cell>
        </row>
        <row r="28">
          <cell r="E28" t="str">
            <v>包</v>
          </cell>
        </row>
        <row r="29">
          <cell r="C29" t="str">
            <v>物料销售</v>
          </cell>
        </row>
        <row r="29">
          <cell r="E29" t="str">
            <v>包</v>
          </cell>
        </row>
        <row r="30">
          <cell r="C30" t="str">
            <v>物料销售</v>
          </cell>
        </row>
        <row r="30">
          <cell r="E30" t="str">
            <v>包</v>
          </cell>
        </row>
        <row r="31">
          <cell r="C31" t="str">
            <v>物料销售</v>
          </cell>
        </row>
        <row r="31">
          <cell r="E31" t="str">
            <v>包</v>
          </cell>
        </row>
        <row r="32">
          <cell r="C32" t="str">
            <v>物料销售</v>
          </cell>
        </row>
        <row r="32">
          <cell r="E32" t="str">
            <v>包</v>
          </cell>
        </row>
        <row r="33">
          <cell r="C33" t="str">
            <v>物料销售</v>
          </cell>
        </row>
        <row r="33">
          <cell r="E33" t="str">
            <v>包</v>
          </cell>
        </row>
        <row r="34">
          <cell r="C34" t="str">
            <v>物料销售</v>
          </cell>
        </row>
        <row r="34">
          <cell r="E34" t="str">
            <v>包</v>
          </cell>
        </row>
        <row r="35">
          <cell r="C35" t="str">
            <v>物料销售</v>
          </cell>
        </row>
        <row r="35">
          <cell r="E35" t="str">
            <v>包</v>
          </cell>
        </row>
        <row r="36">
          <cell r="C36" t="str">
            <v>物料销售</v>
          </cell>
        </row>
        <row r="36">
          <cell r="E36" t="str">
            <v>包</v>
          </cell>
        </row>
        <row r="37">
          <cell r="C37" t="str">
            <v>物料销售</v>
          </cell>
        </row>
        <row r="37">
          <cell r="E37" t="str">
            <v>包</v>
          </cell>
        </row>
        <row r="38">
          <cell r="C38" t="str">
            <v>物料销售</v>
          </cell>
        </row>
        <row r="38">
          <cell r="E38" t="str">
            <v>包</v>
          </cell>
        </row>
        <row r="39">
          <cell r="C39" t="str">
            <v>物料销售</v>
          </cell>
        </row>
        <row r="39">
          <cell r="E39" t="str">
            <v>包</v>
          </cell>
        </row>
        <row r="40">
          <cell r="C40" t="str">
            <v>物料销售</v>
          </cell>
        </row>
        <row r="40">
          <cell r="E40" t="str">
            <v>包</v>
          </cell>
        </row>
        <row r="41">
          <cell r="C41" t="str">
            <v>物料销售</v>
          </cell>
        </row>
        <row r="41">
          <cell r="E41" t="str">
            <v>包</v>
          </cell>
        </row>
        <row r="42">
          <cell r="C42" t="str">
            <v>物料销售</v>
          </cell>
        </row>
        <row r="42">
          <cell r="E42" t="str">
            <v>包</v>
          </cell>
        </row>
        <row r="43">
          <cell r="C43" t="str">
            <v>物料销售</v>
          </cell>
        </row>
        <row r="43">
          <cell r="E43" t="str">
            <v>包</v>
          </cell>
        </row>
        <row r="44">
          <cell r="C44" t="str">
            <v>物料销售</v>
          </cell>
        </row>
        <row r="44">
          <cell r="E44" t="str">
            <v>包</v>
          </cell>
        </row>
        <row r="45">
          <cell r="C45" t="str">
            <v>物料销售</v>
          </cell>
        </row>
        <row r="45">
          <cell r="E45" t="str">
            <v>包</v>
          </cell>
        </row>
        <row r="46">
          <cell r="C46" t="str">
            <v>物料销售</v>
          </cell>
        </row>
        <row r="46">
          <cell r="E46" t="str">
            <v>包</v>
          </cell>
        </row>
        <row r="47">
          <cell r="C47" t="str">
            <v>物料销售</v>
          </cell>
        </row>
        <row r="47">
          <cell r="E47" t="str">
            <v>包</v>
          </cell>
        </row>
        <row r="48">
          <cell r="C48" t="str">
            <v>物料销售</v>
          </cell>
        </row>
        <row r="48">
          <cell r="E48" t="str">
            <v>包</v>
          </cell>
        </row>
        <row r="49">
          <cell r="C49" t="str">
            <v>物料销售</v>
          </cell>
        </row>
        <row r="49">
          <cell r="E49" t="str">
            <v>包</v>
          </cell>
        </row>
        <row r="50">
          <cell r="C50" t="str">
            <v>物料销售</v>
          </cell>
        </row>
        <row r="50">
          <cell r="E50" t="str">
            <v>包</v>
          </cell>
        </row>
        <row r="51">
          <cell r="C51" t="str">
            <v>物料销售</v>
          </cell>
        </row>
        <row r="51">
          <cell r="E51" t="str">
            <v>包</v>
          </cell>
        </row>
        <row r="52">
          <cell r="C52" t="str">
            <v>押金收取</v>
          </cell>
          <cell r="D52">
            <v>0</v>
          </cell>
          <cell r="E52" t="str">
            <v>元</v>
          </cell>
        </row>
        <row r="52">
          <cell r="H52">
            <v>0</v>
          </cell>
        </row>
        <row r="53">
          <cell r="C53" t="str">
            <v>押金收取</v>
          </cell>
          <cell r="D53">
            <v>0</v>
          </cell>
          <cell r="E53" t="str">
            <v>元</v>
          </cell>
        </row>
        <row r="53">
          <cell r="H53">
            <v>0</v>
          </cell>
        </row>
        <row r="54">
          <cell r="C54" t="str">
            <v>押金收取</v>
          </cell>
          <cell r="D54">
            <v>0</v>
          </cell>
          <cell r="E54" t="str">
            <v>元</v>
          </cell>
        </row>
        <row r="54">
          <cell r="H54">
            <v>0</v>
          </cell>
        </row>
        <row r="55">
          <cell r="C55" t="str">
            <v>押金收取</v>
          </cell>
          <cell r="D55">
            <v>0</v>
          </cell>
          <cell r="E55" t="str">
            <v>元</v>
          </cell>
        </row>
        <row r="55">
          <cell r="H55">
            <v>0</v>
          </cell>
        </row>
        <row r="56">
          <cell r="C56" t="str">
            <v>押金收取</v>
          </cell>
          <cell r="D56">
            <v>0</v>
          </cell>
          <cell r="E56" t="str">
            <v>元</v>
          </cell>
        </row>
        <row r="56">
          <cell r="H56">
            <v>0</v>
          </cell>
        </row>
        <row r="57">
          <cell r="C57" t="str">
            <v>押金收取</v>
          </cell>
          <cell r="D57">
            <v>0</v>
          </cell>
          <cell r="E57" t="str">
            <v>元</v>
          </cell>
        </row>
        <row r="57">
          <cell r="H57">
            <v>0</v>
          </cell>
        </row>
        <row r="58">
          <cell r="C58" t="str">
            <v>押金收取</v>
          </cell>
          <cell r="D58">
            <v>0</v>
          </cell>
          <cell r="E58" t="str">
            <v>元</v>
          </cell>
        </row>
        <row r="58">
          <cell r="H58">
            <v>0</v>
          </cell>
        </row>
        <row r="59">
          <cell r="C59" t="str">
            <v>押金收取</v>
          </cell>
          <cell r="D59">
            <v>0</v>
          </cell>
          <cell r="E59" t="str">
            <v>元</v>
          </cell>
        </row>
        <row r="59">
          <cell r="H59">
            <v>0</v>
          </cell>
        </row>
        <row r="60">
          <cell r="C60" t="str">
            <v>押金收取</v>
          </cell>
          <cell r="D60">
            <v>0</v>
          </cell>
          <cell r="E60" t="str">
            <v>元</v>
          </cell>
        </row>
        <row r="60">
          <cell r="H60">
            <v>0</v>
          </cell>
        </row>
        <row r="61">
          <cell r="C61" t="str">
            <v>押金收取</v>
          </cell>
          <cell r="D61">
            <v>0</v>
          </cell>
          <cell r="E61" t="str">
            <v>元</v>
          </cell>
        </row>
        <row r="61">
          <cell r="H61">
            <v>0</v>
          </cell>
        </row>
        <row r="62">
          <cell r="C62" t="str">
            <v>押金收取</v>
          </cell>
          <cell r="D62">
            <v>0</v>
          </cell>
          <cell r="E62" t="str">
            <v>元</v>
          </cell>
        </row>
        <row r="62">
          <cell r="H62">
            <v>0</v>
          </cell>
        </row>
        <row r="63">
          <cell r="C63" t="str">
            <v>押金收取</v>
          </cell>
          <cell r="D63">
            <v>0</v>
          </cell>
          <cell r="E63" t="str">
            <v>元</v>
          </cell>
        </row>
        <row r="63">
          <cell r="H63">
            <v>0</v>
          </cell>
        </row>
        <row r="64">
          <cell r="C64" t="str">
            <v>押金收取</v>
          </cell>
          <cell r="D64">
            <v>0</v>
          </cell>
          <cell r="E64" t="str">
            <v>元</v>
          </cell>
        </row>
        <row r="64">
          <cell r="H64">
            <v>0</v>
          </cell>
        </row>
        <row r="65">
          <cell r="C65" t="str">
            <v>押金收取</v>
          </cell>
          <cell r="D65">
            <v>0</v>
          </cell>
          <cell r="E65" t="str">
            <v>元</v>
          </cell>
        </row>
        <row r="65">
          <cell r="H65">
            <v>0</v>
          </cell>
        </row>
        <row r="66">
          <cell r="C66" t="str">
            <v>押金收取</v>
          </cell>
          <cell r="D66">
            <v>0</v>
          </cell>
          <cell r="E66" t="str">
            <v>元</v>
          </cell>
        </row>
        <row r="66">
          <cell r="H66">
            <v>0</v>
          </cell>
        </row>
        <row r="67">
          <cell r="C67" t="str">
            <v>押金收取</v>
          </cell>
          <cell r="D67">
            <v>0</v>
          </cell>
          <cell r="E67" t="str">
            <v>元</v>
          </cell>
        </row>
        <row r="67">
          <cell r="H67">
            <v>0</v>
          </cell>
        </row>
        <row r="68">
          <cell r="C68" t="str">
            <v>押金收取</v>
          </cell>
          <cell r="D68">
            <v>0</v>
          </cell>
          <cell r="E68" t="str">
            <v>元</v>
          </cell>
        </row>
        <row r="68">
          <cell r="H68">
            <v>0</v>
          </cell>
        </row>
        <row r="69">
          <cell r="C69" t="str">
            <v>押金收取</v>
          </cell>
          <cell r="D69">
            <v>0</v>
          </cell>
          <cell r="E69" t="str">
            <v>元</v>
          </cell>
        </row>
        <row r="69">
          <cell r="H69">
            <v>0</v>
          </cell>
        </row>
        <row r="70">
          <cell r="C70" t="str">
            <v>押金收取</v>
          </cell>
          <cell r="D70">
            <v>0</v>
          </cell>
          <cell r="E70" t="str">
            <v>元</v>
          </cell>
        </row>
        <row r="70">
          <cell r="H70">
            <v>0</v>
          </cell>
        </row>
        <row r="71">
          <cell r="C71" t="str">
            <v>押金收取</v>
          </cell>
          <cell r="D71">
            <v>0</v>
          </cell>
          <cell r="E71" t="str">
            <v>元</v>
          </cell>
        </row>
        <row r="71">
          <cell r="H71">
            <v>0</v>
          </cell>
        </row>
        <row r="72">
          <cell r="C72" t="str">
            <v>押金收取</v>
          </cell>
          <cell r="D72">
            <v>0</v>
          </cell>
          <cell r="E72" t="str">
            <v>元</v>
          </cell>
        </row>
        <row r="72">
          <cell r="H72">
            <v>0</v>
          </cell>
        </row>
        <row r="73">
          <cell r="C73" t="str">
            <v>押金收取</v>
          </cell>
          <cell r="D73">
            <v>0</v>
          </cell>
          <cell r="E73" t="str">
            <v>元</v>
          </cell>
        </row>
        <row r="73">
          <cell r="H73">
            <v>0</v>
          </cell>
        </row>
        <row r="74">
          <cell r="C74" t="str">
            <v>押金收取</v>
          </cell>
          <cell r="D74">
            <v>0</v>
          </cell>
          <cell r="E74" t="str">
            <v>元</v>
          </cell>
        </row>
        <row r="74">
          <cell r="H74">
            <v>0</v>
          </cell>
        </row>
        <row r="75">
          <cell r="C75" t="str">
            <v>押金收取</v>
          </cell>
          <cell r="D75">
            <v>0</v>
          </cell>
          <cell r="E75" t="str">
            <v>元</v>
          </cell>
        </row>
        <row r="75">
          <cell r="H75">
            <v>0</v>
          </cell>
        </row>
        <row r="76">
          <cell r="C76" t="str">
            <v>押金退还</v>
          </cell>
          <cell r="D76">
            <v>0</v>
          </cell>
          <cell r="E76" t="str">
            <v>元</v>
          </cell>
        </row>
        <row r="76">
          <cell r="H76">
            <v>0</v>
          </cell>
        </row>
        <row r="77">
          <cell r="C77" t="str">
            <v>押金退还</v>
          </cell>
          <cell r="D77">
            <v>0</v>
          </cell>
          <cell r="E77" t="str">
            <v>元</v>
          </cell>
        </row>
        <row r="77">
          <cell r="H77">
            <v>0</v>
          </cell>
        </row>
        <row r="78">
          <cell r="C78" t="str">
            <v>押金退还</v>
          </cell>
          <cell r="D78">
            <v>0</v>
          </cell>
          <cell r="E78" t="str">
            <v>元</v>
          </cell>
        </row>
        <row r="78">
          <cell r="H78">
            <v>0</v>
          </cell>
        </row>
        <row r="79">
          <cell r="C79" t="str">
            <v>押金退还</v>
          </cell>
          <cell r="D79">
            <v>0</v>
          </cell>
          <cell r="E79" t="str">
            <v>元</v>
          </cell>
        </row>
        <row r="79">
          <cell r="H79">
            <v>0</v>
          </cell>
        </row>
        <row r="80">
          <cell r="C80" t="str">
            <v>押金退还</v>
          </cell>
          <cell r="D80">
            <v>0</v>
          </cell>
          <cell r="E80" t="str">
            <v>元</v>
          </cell>
        </row>
        <row r="80">
          <cell r="H80">
            <v>0</v>
          </cell>
        </row>
        <row r="81">
          <cell r="C81" t="str">
            <v>押金退还</v>
          </cell>
          <cell r="D81">
            <v>0</v>
          </cell>
          <cell r="E81" t="str">
            <v>元</v>
          </cell>
        </row>
        <row r="81">
          <cell r="H81">
            <v>0</v>
          </cell>
        </row>
        <row r="82">
          <cell r="C82" t="str">
            <v>押金退还</v>
          </cell>
          <cell r="D82">
            <v>0</v>
          </cell>
          <cell r="E82" t="str">
            <v>元</v>
          </cell>
        </row>
        <row r="82">
          <cell r="H82">
            <v>0</v>
          </cell>
        </row>
        <row r="83">
          <cell r="C83" t="str">
            <v>押金退还</v>
          </cell>
          <cell r="D83">
            <v>0</v>
          </cell>
          <cell r="E83" t="str">
            <v>元</v>
          </cell>
        </row>
        <row r="83">
          <cell r="H83">
            <v>0</v>
          </cell>
        </row>
        <row r="84">
          <cell r="C84" t="str">
            <v>押金退还</v>
          </cell>
          <cell r="D84">
            <v>0</v>
          </cell>
          <cell r="E84" t="str">
            <v>元</v>
          </cell>
        </row>
        <row r="84">
          <cell r="H84">
            <v>0</v>
          </cell>
        </row>
        <row r="85">
          <cell r="C85" t="str">
            <v>押金退还</v>
          </cell>
          <cell r="D85">
            <v>0</v>
          </cell>
          <cell r="E85" t="str">
            <v>元</v>
          </cell>
        </row>
        <row r="85">
          <cell r="H85">
            <v>0</v>
          </cell>
        </row>
        <row r="86">
          <cell r="C86" t="str">
            <v>押金退还</v>
          </cell>
          <cell r="D86">
            <v>0</v>
          </cell>
          <cell r="E86" t="str">
            <v>元</v>
          </cell>
        </row>
        <row r="86">
          <cell r="H86">
            <v>0</v>
          </cell>
        </row>
        <row r="87">
          <cell r="C87" t="str">
            <v>押金退还</v>
          </cell>
          <cell r="D87">
            <v>0</v>
          </cell>
          <cell r="E87" t="str">
            <v>元</v>
          </cell>
        </row>
        <row r="87">
          <cell r="H87">
            <v>0</v>
          </cell>
        </row>
        <row r="88">
          <cell r="C88" t="str">
            <v>押金退还</v>
          </cell>
          <cell r="D88">
            <v>0</v>
          </cell>
          <cell r="E88" t="str">
            <v>元</v>
          </cell>
        </row>
        <row r="88">
          <cell r="H88">
            <v>0</v>
          </cell>
        </row>
        <row r="89">
          <cell r="C89" t="str">
            <v>押金退还</v>
          </cell>
          <cell r="D89">
            <v>0</v>
          </cell>
          <cell r="E89" t="str">
            <v>元</v>
          </cell>
        </row>
        <row r="89">
          <cell r="H89">
            <v>0</v>
          </cell>
        </row>
        <row r="90">
          <cell r="C90" t="str">
            <v>押金退还</v>
          </cell>
          <cell r="D90">
            <v>0</v>
          </cell>
          <cell r="E90" t="str">
            <v>元</v>
          </cell>
        </row>
        <row r="90">
          <cell r="H90">
            <v>0</v>
          </cell>
        </row>
        <row r="91">
          <cell r="C91" t="str">
            <v>押金退还</v>
          </cell>
          <cell r="D91">
            <v>0</v>
          </cell>
          <cell r="E91" t="str">
            <v>元</v>
          </cell>
        </row>
        <row r="91">
          <cell r="H91">
            <v>0</v>
          </cell>
        </row>
        <row r="92">
          <cell r="C92" t="str">
            <v>押金退还</v>
          </cell>
          <cell r="D92">
            <v>0</v>
          </cell>
          <cell r="E92" t="str">
            <v>元</v>
          </cell>
        </row>
        <row r="92">
          <cell r="H92">
            <v>0</v>
          </cell>
        </row>
        <row r="93">
          <cell r="C93" t="str">
            <v>押金退还</v>
          </cell>
          <cell r="D93">
            <v>0</v>
          </cell>
          <cell r="E93" t="str">
            <v>元</v>
          </cell>
        </row>
        <row r="93">
          <cell r="H93">
            <v>0</v>
          </cell>
        </row>
        <row r="94">
          <cell r="C94" t="str">
            <v>押金退还</v>
          </cell>
          <cell r="D94">
            <v>0</v>
          </cell>
          <cell r="E94" t="str">
            <v>元</v>
          </cell>
        </row>
        <row r="94">
          <cell r="H94">
            <v>0</v>
          </cell>
        </row>
        <row r="95">
          <cell r="C95" t="str">
            <v>押金退还</v>
          </cell>
          <cell r="D95">
            <v>0</v>
          </cell>
          <cell r="E95" t="str">
            <v>元</v>
          </cell>
        </row>
        <row r="95">
          <cell r="H95">
            <v>0</v>
          </cell>
        </row>
        <row r="96">
          <cell r="C96" t="str">
            <v>押金退还</v>
          </cell>
          <cell r="D96">
            <v>0</v>
          </cell>
          <cell r="E96" t="str">
            <v>元</v>
          </cell>
        </row>
        <row r="96">
          <cell r="H96">
            <v>0</v>
          </cell>
        </row>
        <row r="97">
          <cell r="C97" t="str">
            <v>押金退还</v>
          </cell>
          <cell r="D97">
            <v>0</v>
          </cell>
          <cell r="E97" t="str">
            <v>元</v>
          </cell>
        </row>
        <row r="97">
          <cell r="H97">
            <v>0</v>
          </cell>
        </row>
        <row r="98">
          <cell r="C98" t="str">
            <v>押金退还</v>
          </cell>
          <cell r="D98">
            <v>0</v>
          </cell>
          <cell r="E98" t="str">
            <v>元</v>
          </cell>
        </row>
        <row r="98">
          <cell r="H98">
            <v>0</v>
          </cell>
        </row>
        <row r="99">
          <cell r="C99" t="str">
            <v>押金退还</v>
          </cell>
          <cell r="D99">
            <v>0</v>
          </cell>
          <cell r="E99" t="str">
            <v>元</v>
          </cell>
        </row>
        <row r="99">
          <cell r="H99">
            <v>0</v>
          </cell>
        </row>
        <row r="102">
          <cell r="B102" t="str">
            <v>年月</v>
          </cell>
          <cell r="C102" t="str">
            <v>项目</v>
          </cell>
          <cell r="D102" t="str">
            <v>计费数量</v>
          </cell>
          <cell r="E102" t="str">
            <v>计量单位</v>
          </cell>
        </row>
        <row r="102">
          <cell r="G102" t="str">
            <v>价税合计金额</v>
          </cell>
          <cell r="H102" t="str">
            <v>已收金额</v>
          </cell>
          <cell r="I102" t="str">
            <v>备注</v>
          </cell>
        </row>
        <row r="103">
          <cell r="C103" t="str">
            <v>包装物料采购入库</v>
          </cell>
        </row>
        <row r="103">
          <cell r="E103" t="str">
            <v>包</v>
          </cell>
        </row>
        <row r="103">
          <cell r="H103">
            <v>0</v>
          </cell>
        </row>
        <row r="104">
          <cell r="C104" t="str">
            <v>包装物料采购入库</v>
          </cell>
        </row>
        <row r="104">
          <cell r="E104" t="str">
            <v>包</v>
          </cell>
        </row>
        <row r="104">
          <cell r="H104">
            <v>0</v>
          </cell>
        </row>
        <row r="105">
          <cell r="C105" t="str">
            <v>包装物料采购入库</v>
          </cell>
        </row>
        <row r="105">
          <cell r="E105" t="str">
            <v>包</v>
          </cell>
        </row>
        <row r="105">
          <cell r="H105">
            <v>0</v>
          </cell>
        </row>
        <row r="106">
          <cell r="C106" t="str">
            <v>包装物料采购入库</v>
          </cell>
        </row>
        <row r="106">
          <cell r="E106" t="str">
            <v>包</v>
          </cell>
        </row>
        <row r="106">
          <cell r="H106">
            <v>0</v>
          </cell>
        </row>
        <row r="107">
          <cell r="C107" t="str">
            <v>包装物料采购入库</v>
          </cell>
        </row>
        <row r="107">
          <cell r="E107" t="str">
            <v>包</v>
          </cell>
        </row>
        <row r="107">
          <cell r="H107">
            <v>0</v>
          </cell>
        </row>
        <row r="108">
          <cell r="C108" t="str">
            <v>包装物料采购入库</v>
          </cell>
        </row>
        <row r="108">
          <cell r="E108" t="str">
            <v>包</v>
          </cell>
        </row>
        <row r="108">
          <cell r="H108">
            <v>0</v>
          </cell>
        </row>
        <row r="109">
          <cell r="C109" t="str">
            <v>包装物料采购入库</v>
          </cell>
        </row>
        <row r="109">
          <cell r="E109" t="str">
            <v>包</v>
          </cell>
        </row>
        <row r="109">
          <cell r="H109">
            <v>0</v>
          </cell>
        </row>
        <row r="110">
          <cell r="C110" t="str">
            <v>包装物料采购入库</v>
          </cell>
        </row>
        <row r="110">
          <cell r="E110" t="str">
            <v>包</v>
          </cell>
        </row>
        <row r="110">
          <cell r="H110">
            <v>0</v>
          </cell>
        </row>
        <row r="111">
          <cell r="C111" t="str">
            <v>包装物料采购入库</v>
          </cell>
        </row>
        <row r="111">
          <cell r="E111" t="str">
            <v>包</v>
          </cell>
        </row>
        <row r="111">
          <cell r="H111">
            <v>0</v>
          </cell>
        </row>
        <row r="112">
          <cell r="C112" t="str">
            <v>包装物料采购入库</v>
          </cell>
        </row>
        <row r="112">
          <cell r="E112" t="str">
            <v>包</v>
          </cell>
        </row>
        <row r="112">
          <cell r="H112">
            <v>0</v>
          </cell>
        </row>
        <row r="113">
          <cell r="C113" t="str">
            <v>包装物料采购入库</v>
          </cell>
        </row>
        <row r="113">
          <cell r="E113" t="str">
            <v>包</v>
          </cell>
        </row>
        <row r="113">
          <cell r="H113">
            <v>0</v>
          </cell>
        </row>
        <row r="114">
          <cell r="C114" t="str">
            <v>包装物料采购入库</v>
          </cell>
        </row>
        <row r="114">
          <cell r="E114" t="str">
            <v>包</v>
          </cell>
        </row>
        <row r="114">
          <cell r="H114">
            <v>0</v>
          </cell>
        </row>
        <row r="115">
          <cell r="C115" t="str">
            <v>包装物料采购入库</v>
          </cell>
        </row>
        <row r="115">
          <cell r="E115" t="str">
            <v>包</v>
          </cell>
        </row>
        <row r="115">
          <cell r="H115">
            <v>0</v>
          </cell>
        </row>
        <row r="116">
          <cell r="C116" t="str">
            <v>包装物料采购入库</v>
          </cell>
        </row>
        <row r="116">
          <cell r="E116" t="str">
            <v>包</v>
          </cell>
        </row>
        <row r="116">
          <cell r="H116">
            <v>0</v>
          </cell>
        </row>
        <row r="117">
          <cell r="C117" t="str">
            <v>包装物料采购入库</v>
          </cell>
        </row>
        <row r="117">
          <cell r="E117" t="str">
            <v>包</v>
          </cell>
        </row>
        <row r="117">
          <cell r="H117">
            <v>0</v>
          </cell>
        </row>
        <row r="118">
          <cell r="C118" t="str">
            <v>包装物料采购入库</v>
          </cell>
        </row>
        <row r="118">
          <cell r="E118" t="str">
            <v>包</v>
          </cell>
        </row>
        <row r="118">
          <cell r="H118">
            <v>0</v>
          </cell>
        </row>
        <row r="119">
          <cell r="C119" t="str">
            <v>包装物料采购入库</v>
          </cell>
        </row>
        <row r="119">
          <cell r="E119" t="str">
            <v>包</v>
          </cell>
        </row>
        <row r="119">
          <cell r="H119">
            <v>0</v>
          </cell>
        </row>
        <row r="120">
          <cell r="C120" t="str">
            <v>包装物料采购入库</v>
          </cell>
        </row>
        <row r="120">
          <cell r="E120" t="str">
            <v>包</v>
          </cell>
        </row>
        <row r="120">
          <cell r="H120">
            <v>0</v>
          </cell>
        </row>
        <row r="121">
          <cell r="C121" t="str">
            <v>包装物料采购入库</v>
          </cell>
        </row>
        <row r="121">
          <cell r="E121" t="str">
            <v>包</v>
          </cell>
        </row>
        <row r="121">
          <cell r="H121">
            <v>0</v>
          </cell>
        </row>
        <row r="122">
          <cell r="C122" t="str">
            <v>包装物料采购入库</v>
          </cell>
        </row>
        <row r="122">
          <cell r="E122" t="str">
            <v>包</v>
          </cell>
        </row>
        <row r="122">
          <cell r="H122">
            <v>0</v>
          </cell>
        </row>
        <row r="123">
          <cell r="C123" t="str">
            <v>包装物料采购入库</v>
          </cell>
        </row>
        <row r="123">
          <cell r="E123" t="str">
            <v>包</v>
          </cell>
        </row>
        <row r="123">
          <cell r="H123">
            <v>0</v>
          </cell>
        </row>
        <row r="124">
          <cell r="C124" t="str">
            <v>包装物料采购入库</v>
          </cell>
        </row>
        <row r="124">
          <cell r="E124" t="str">
            <v>包</v>
          </cell>
        </row>
        <row r="124">
          <cell r="H124">
            <v>0</v>
          </cell>
        </row>
        <row r="125">
          <cell r="C125" t="str">
            <v>包装物料采购入库</v>
          </cell>
        </row>
        <row r="125">
          <cell r="E125" t="str">
            <v>包</v>
          </cell>
        </row>
        <row r="125">
          <cell r="H125">
            <v>0</v>
          </cell>
        </row>
        <row r="126">
          <cell r="C126" t="str">
            <v>包装物料采购入库</v>
          </cell>
        </row>
        <row r="126">
          <cell r="E126" t="str">
            <v>包</v>
          </cell>
        </row>
        <row r="126">
          <cell r="H126">
            <v>0</v>
          </cell>
        </row>
        <row r="127">
          <cell r="C127" t="str">
            <v>周转筐托盘采购入库</v>
          </cell>
        </row>
        <row r="127">
          <cell r="E127" t="str">
            <v>个</v>
          </cell>
        </row>
        <row r="127">
          <cell r="H127">
            <v>0</v>
          </cell>
        </row>
        <row r="128">
          <cell r="C128" t="str">
            <v>周转筐托盘采购入库</v>
          </cell>
        </row>
        <row r="128">
          <cell r="E128" t="str">
            <v>个</v>
          </cell>
        </row>
        <row r="128">
          <cell r="H128">
            <v>0</v>
          </cell>
        </row>
        <row r="129">
          <cell r="C129" t="str">
            <v>周转筐托盘采购入库</v>
          </cell>
        </row>
        <row r="129">
          <cell r="E129" t="str">
            <v>个</v>
          </cell>
        </row>
        <row r="129">
          <cell r="H129">
            <v>0</v>
          </cell>
        </row>
        <row r="130">
          <cell r="C130" t="str">
            <v>周转筐托盘采购入库</v>
          </cell>
        </row>
        <row r="130">
          <cell r="E130" t="str">
            <v>个</v>
          </cell>
        </row>
        <row r="130">
          <cell r="H130">
            <v>0</v>
          </cell>
        </row>
        <row r="131">
          <cell r="C131" t="str">
            <v>周转筐托盘采购入库</v>
          </cell>
        </row>
        <row r="131">
          <cell r="E131" t="str">
            <v>个</v>
          </cell>
        </row>
        <row r="131">
          <cell r="H131">
            <v>0</v>
          </cell>
        </row>
        <row r="132">
          <cell r="C132" t="str">
            <v>周转筐托盘采购入库</v>
          </cell>
        </row>
        <row r="132">
          <cell r="E132" t="str">
            <v>个</v>
          </cell>
        </row>
        <row r="132">
          <cell r="H132">
            <v>0</v>
          </cell>
        </row>
        <row r="133">
          <cell r="C133" t="str">
            <v>周转筐托盘采购入库</v>
          </cell>
        </row>
        <row r="133">
          <cell r="E133" t="str">
            <v>个</v>
          </cell>
        </row>
        <row r="133">
          <cell r="H133">
            <v>0</v>
          </cell>
        </row>
        <row r="134">
          <cell r="C134" t="str">
            <v>周转筐托盘采购入库</v>
          </cell>
        </row>
        <row r="134">
          <cell r="E134" t="str">
            <v>个</v>
          </cell>
        </row>
        <row r="134">
          <cell r="H134">
            <v>0</v>
          </cell>
        </row>
        <row r="135">
          <cell r="C135" t="str">
            <v>周转筐托盘采购入库</v>
          </cell>
        </row>
        <row r="135">
          <cell r="E135" t="str">
            <v>个</v>
          </cell>
        </row>
        <row r="135">
          <cell r="H135">
            <v>0</v>
          </cell>
        </row>
        <row r="136">
          <cell r="C136" t="str">
            <v>周转筐托盘采购入库</v>
          </cell>
        </row>
        <row r="136">
          <cell r="E136" t="str">
            <v>个</v>
          </cell>
        </row>
        <row r="136">
          <cell r="H136">
            <v>0</v>
          </cell>
        </row>
        <row r="137">
          <cell r="C137" t="str">
            <v>周转筐托盘采购入库</v>
          </cell>
        </row>
        <row r="137">
          <cell r="E137" t="str">
            <v>个</v>
          </cell>
        </row>
        <row r="137">
          <cell r="H137">
            <v>0</v>
          </cell>
        </row>
        <row r="138">
          <cell r="C138" t="str">
            <v>周转筐托盘采购入库</v>
          </cell>
        </row>
        <row r="138">
          <cell r="E138" t="str">
            <v>个</v>
          </cell>
        </row>
        <row r="138">
          <cell r="H138">
            <v>0</v>
          </cell>
        </row>
        <row r="139">
          <cell r="C139" t="str">
            <v>周转筐托盘采购入库</v>
          </cell>
        </row>
        <row r="139">
          <cell r="E139" t="str">
            <v>个</v>
          </cell>
        </row>
        <row r="139">
          <cell r="H139">
            <v>0</v>
          </cell>
        </row>
        <row r="140">
          <cell r="C140" t="str">
            <v>周转筐托盘采购入库</v>
          </cell>
        </row>
        <row r="140">
          <cell r="E140" t="str">
            <v>个</v>
          </cell>
        </row>
        <row r="140">
          <cell r="H140">
            <v>0</v>
          </cell>
        </row>
        <row r="141">
          <cell r="C141" t="str">
            <v>周转筐托盘采购入库</v>
          </cell>
        </row>
        <row r="141">
          <cell r="E141" t="str">
            <v>个</v>
          </cell>
        </row>
        <row r="141">
          <cell r="H141">
            <v>0</v>
          </cell>
        </row>
        <row r="142">
          <cell r="C142" t="str">
            <v>周转筐托盘采购入库</v>
          </cell>
        </row>
        <row r="142">
          <cell r="E142" t="str">
            <v>个</v>
          </cell>
        </row>
        <row r="142">
          <cell r="H142">
            <v>0</v>
          </cell>
        </row>
        <row r="143">
          <cell r="C143" t="str">
            <v>周转筐托盘采购入库</v>
          </cell>
        </row>
        <row r="143">
          <cell r="E143" t="str">
            <v>个</v>
          </cell>
        </row>
        <row r="143">
          <cell r="H143">
            <v>0</v>
          </cell>
        </row>
        <row r="144">
          <cell r="C144" t="str">
            <v>周转筐托盘采购入库</v>
          </cell>
        </row>
        <row r="144">
          <cell r="E144" t="str">
            <v>个</v>
          </cell>
        </row>
        <row r="144">
          <cell r="H144">
            <v>0</v>
          </cell>
        </row>
        <row r="145">
          <cell r="C145" t="str">
            <v>周转筐托盘采购入库</v>
          </cell>
        </row>
        <row r="145">
          <cell r="E145" t="str">
            <v>个</v>
          </cell>
        </row>
        <row r="145">
          <cell r="H145">
            <v>0</v>
          </cell>
        </row>
        <row r="146">
          <cell r="C146" t="str">
            <v>周转筐托盘采购入库</v>
          </cell>
        </row>
        <row r="146">
          <cell r="E146" t="str">
            <v>个</v>
          </cell>
        </row>
        <row r="146">
          <cell r="H146">
            <v>0</v>
          </cell>
        </row>
        <row r="147">
          <cell r="C147" t="str">
            <v>周转筐托盘采购入库</v>
          </cell>
        </row>
        <row r="147">
          <cell r="E147" t="str">
            <v>个</v>
          </cell>
        </row>
        <row r="147">
          <cell r="H147">
            <v>0</v>
          </cell>
        </row>
        <row r="148">
          <cell r="C148" t="str">
            <v>周转筐托盘采购入库</v>
          </cell>
        </row>
        <row r="148">
          <cell r="E148" t="str">
            <v>个</v>
          </cell>
        </row>
        <row r="148">
          <cell r="H148">
            <v>0</v>
          </cell>
        </row>
        <row r="149">
          <cell r="C149" t="str">
            <v>周转筐托盘采购入库</v>
          </cell>
        </row>
        <row r="149">
          <cell r="E149" t="str">
            <v>个</v>
          </cell>
        </row>
        <row r="149">
          <cell r="H149">
            <v>0</v>
          </cell>
        </row>
        <row r="150">
          <cell r="C150" t="str">
            <v>周转筐托盘采购入库</v>
          </cell>
        </row>
        <row r="150">
          <cell r="E150" t="str">
            <v>个</v>
          </cell>
        </row>
        <row r="150">
          <cell r="H150">
            <v>0</v>
          </cell>
        </row>
        <row r="153">
          <cell r="B153" t="str">
            <v>年月</v>
          </cell>
          <cell r="C153" t="str">
            <v>项目</v>
          </cell>
          <cell r="D153" t="str">
            <v>计费数量</v>
          </cell>
          <cell r="E153" t="str">
            <v>计量单位</v>
          </cell>
        </row>
        <row r="153">
          <cell r="G153" t="str">
            <v>价税合计金额</v>
          </cell>
          <cell r="H153" t="str">
            <v>已收金额</v>
          </cell>
          <cell r="I153" t="str">
            <v>备注</v>
          </cell>
        </row>
        <row r="154">
          <cell r="C154" t="str">
            <v>包装物料期末库存</v>
          </cell>
          <cell r="D154">
            <v>23497</v>
          </cell>
          <cell r="E154" t="str">
            <v>包</v>
          </cell>
        </row>
        <row r="154">
          <cell r="G154">
            <v>0</v>
          </cell>
        </row>
        <row r="155">
          <cell r="C155" t="str">
            <v>公司筐子期末总量</v>
          </cell>
          <cell r="D155">
            <v>180630</v>
          </cell>
          <cell r="E155" t="str">
            <v>个</v>
          </cell>
        </row>
        <row r="156">
          <cell r="C156" t="str">
            <v>客户自备筐结存（表外备查）</v>
          </cell>
          <cell r="D156">
            <v>4093</v>
          </cell>
          <cell r="E156" t="str">
            <v>个</v>
          </cell>
        </row>
        <row r="159">
          <cell r="B159" t="str">
            <v>往来单位</v>
          </cell>
          <cell r="C159" t="str">
            <v>项目</v>
          </cell>
          <cell r="D159" t="str">
            <v>应收发生额</v>
          </cell>
          <cell r="E159" t="str">
            <v>应付发生额</v>
          </cell>
        </row>
        <row r="159">
          <cell r="G159" t="str">
            <v>应收合计</v>
          </cell>
          <cell r="H159" t="str">
            <v>已收金额</v>
          </cell>
          <cell r="I159" t="str">
            <v>备注</v>
          </cell>
        </row>
        <row r="160">
          <cell r="B160" t="str">
            <v>聂新平</v>
          </cell>
          <cell r="C160" t="str">
            <v>筐子销售款</v>
          </cell>
          <cell r="D160">
            <v>0</v>
          </cell>
          <cell r="E160">
            <v>0</v>
          </cell>
        </row>
        <row r="160">
          <cell r="G160">
            <v>0</v>
          </cell>
          <cell r="H160">
            <v>0</v>
          </cell>
        </row>
        <row r="161">
          <cell r="B161" t="str">
            <v>聂新平</v>
          </cell>
          <cell r="C161" t="str">
            <v>物料销售款</v>
          </cell>
          <cell r="D161">
            <v>0</v>
          </cell>
          <cell r="E161">
            <v>0</v>
          </cell>
        </row>
        <row r="161">
          <cell r="G161">
            <v>0</v>
          </cell>
          <cell r="H161">
            <v>0</v>
          </cell>
        </row>
        <row r="162">
          <cell r="B162" t="str">
            <v>王照雪</v>
          </cell>
          <cell r="C162" t="str">
            <v>筐子销售款</v>
          </cell>
          <cell r="D162">
            <v>0</v>
          </cell>
          <cell r="E162">
            <v>0</v>
          </cell>
        </row>
        <row r="162">
          <cell r="G162">
            <v>0</v>
          </cell>
          <cell r="H162">
            <v>0</v>
          </cell>
        </row>
        <row r="163">
          <cell r="B163" t="str">
            <v>王照雪</v>
          </cell>
          <cell r="C163" t="str">
            <v>物料销售款</v>
          </cell>
          <cell r="D163">
            <v>0</v>
          </cell>
          <cell r="E163">
            <v>0</v>
          </cell>
        </row>
        <row r="163">
          <cell r="G163">
            <v>0</v>
          </cell>
          <cell r="H163">
            <v>0</v>
          </cell>
        </row>
        <row r="164">
          <cell r="B164" t="str">
            <v>伍元虎</v>
          </cell>
          <cell r="C164" t="str">
            <v>筐子销售款</v>
          </cell>
          <cell r="D164">
            <v>0</v>
          </cell>
          <cell r="E164">
            <v>0</v>
          </cell>
        </row>
        <row r="164">
          <cell r="G164">
            <v>0</v>
          </cell>
          <cell r="H164">
            <v>0</v>
          </cell>
        </row>
        <row r="165">
          <cell r="B165" t="str">
            <v>伍元虎</v>
          </cell>
          <cell r="C165" t="str">
            <v>物料销售款</v>
          </cell>
          <cell r="D165">
            <v>0</v>
          </cell>
          <cell r="E165">
            <v>0</v>
          </cell>
        </row>
        <row r="165">
          <cell r="G165">
            <v>0</v>
          </cell>
          <cell r="H165">
            <v>0</v>
          </cell>
        </row>
        <row r="166">
          <cell r="B166" t="str">
            <v>麦麦提</v>
          </cell>
          <cell r="C166" t="str">
            <v>筐子销售款</v>
          </cell>
          <cell r="D166">
            <v>0</v>
          </cell>
          <cell r="E166">
            <v>0</v>
          </cell>
        </row>
        <row r="166">
          <cell r="G166">
            <v>0</v>
          </cell>
          <cell r="H166">
            <v>0</v>
          </cell>
        </row>
        <row r="167">
          <cell r="B167" t="str">
            <v>麦麦提</v>
          </cell>
          <cell r="C167" t="str">
            <v>物料销售款</v>
          </cell>
          <cell r="D167">
            <v>0</v>
          </cell>
          <cell r="E167">
            <v>0</v>
          </cell>
        </row>
        <row r="167">
          <cell r="G167">
            <v>0</v>
          </cell>
          <cell r="H167">
            <v>0</v>
          </cell>
        </row>
        <row r="168">
          <cell r="B168" t="str">
            <v>热合曼</v>
          </cell>
          <cell r="C168" t="str">
            <v>筐子销售款</v>
          </cell>
          <cell r="D168">
            <v>0</v>
          </cell>
          <cell r="E168">
            <v>0</v>
          </cell>
        </row>
        <row r="168">
          <cell r="G168">
            <v>0</v>
          </cell>
          <cell r="H168">
            <v>0</v>
          </cell>
        </row>
        <row r="169">
          <cell r="B169" t="str">
            <v>热合曼</v>
          </cell>
          <cell r="C169" t="str">
            <v>物料销售款</v>
          </cell>
          <cell r="D169">
            <v>0</v>
          </cell>
          <cell r="E169">
            <v>0</v>
          </cell>
        </row>
        <row r="169">
          <cell r="G169">
            <v>0</v>
          </cell>
          <cell r="H169">
            <v>0</v>
          </cell>
        </row>
        <row r="170">
          <cell r="B170" t="str">
            <v>王灵云</v>
          </cell>
          <cell r="C170" t="str">
            <v>筐子销售款</v>
          </cell>
          <cell r="D170">
            <v>0</v>
          </cell>
          <cell r="E170">
            <v>0</v>
          </cell>
        </row>
        <row r="170">
          <cell r="G170">
            <v>0</v>
          </cell>
          <cell r="H170">
            <v>0</v>
          </cell>
        </row>
        <row r="171">
          <cell r="B171" t="str">
            <v>王灵云</v>
          </cell>
          <cell r="C171" t="str">
            <v>物料销售款</v>
          </cell>
          <cell r="D171">
            <v>0</v>
          </cell>
          <cell r="E171">
            <v>0</v>
          </cell>
        </row>
        <row r="171">
          <cell r="G171">
            <v>0</v>
          </cell>
          <cell r="H171">
            <v>0</v>
          </cell>
        </row>
        <row r="172">
          <cell r="B172" t="str">
            <v>马锦祥</v>
          </cell>
          <cell r="C172" t="str">
            <v>筐子销售款</v>
          </cell>
          <cell r="D172">
            <v>0</v>
          </cell>
          <cell r="E172">
            <v>0</v>
          </cell>
        </row>
        <row r="172">
          <cell r="G172">
            <v>0</v>
          </cell>
          <cell r="H172">
            <v>0</v>
          </cell>
        </row>
        <row r="173">
          <cell r="B173" t="str">
            <v>马锦祥</v>
          </cell>
          <cell r="C173" t="str">
            <v>物料销售款</v>
          </cell>
          <cell r="D173">
            <v>0</v>
          </cell>
          <cell r="E173">
            <v>0</v>
          </cell>
        </row>
        <row r="173">
          <cell r="G173">
            <v>0</v>
          </cell>
          <cell r="H173">
            <v>0</v>
          </cell>
        </row>
        <row r="174">
          <cell r="B174" t="str">
            <v>贾建国</v>
          </cell>
          <cell r="C174" t="str">
            <v>筐子销售款</v>
          </cell>
          <cell r="D174">
            <v>0</v>
          </cell>
          <cell r="E174">
            <v>0</v>
          </cell>
        </row>
        <row r="174">
          <cell r="G174">
            <v>0</v>
          </cell>
          <cell r="H174">
            <v>0</v>
          </cell>
        </row>
        <row r="175">
          <cell r="B175" t="str">
            <v>贾建国</v>
          </cell>
          <cell r="C175" t="str">
            <v>物料销售款</v>
          </cell>
          <cell r="D175">
            <v>0</v>
          </cell>
          <cell r="E175">
            <v>0</v>
          </cell>
        </row>
        <row r="175">
          <cell r="G175">
            <v>0</v>
          </cell>
          <cell r="H175">
            <v>0</v>
          </cell>
        </row>
        <row r="176">
          <cell r="B176" t="str">
            <v>荆建君</v>
          </cell>
          <cell r="C176" t="str">
            <v>筐子销售款</v>
          </cell>
          <cell r="D176">
            <v>0</v>
          </cell>
          <cell r="E176">
            <v>0</v>
          </cell>
        </row>
        <row r="176">
          <cell r="G176">
            <v>0</v>
          </cell>
          <cell r="H176">
            <v>0</v>
          </cell>
        </row>
        <row r="177">
          <cell r="B177" t="str">
            <v>荆建君</v>
          </cell>
          <cell r="C177" t="str">
            <v>物料销售款</v>
          </cell>
          <cell r="D177">
            <v>0</v>
          </cell>
          <cell r="E177">
            <v>0</v>
          </cell>
        </row>
        <row r="177">
          <cell r="G177">
            <v>0</v>
          </cell>
          <cell r="H177">
            <v>0</v>
          </cell>
        </row>
        <row r="178">
          <cell r="B178" t="str">
            <v>李现东</v>
          </cell>
          <cell r="C178" t="str">
            <v>筐子销售款</v>
          </cell>
          <cell r="D178">
            <v>0</v>
          </cell>
          <cell r="E178">
            <v>0</v>
          </cell>
        </row>
        <row r="178">
          <cell r="G178">
            <v>0</v>
          </cell>
          <cell r="H178">
            <v>0</v>
          </cell>
        </row>
        <row r="179">
          <cell r="B179" t="str">
            <v>李现东</v>
          </cell>
          <cell r="C179" t="str">
            <v>物料销售款</v>
          </cell>
          <cell r="D179">
            <v>0</v>
          </cell>
          <cell r="E179">
            <v>0</v>
          </cell>
        </row>
        <row r="179">
          <cell r="G179">
            <v>0</v>
          </cell>
          <cell r="H179">
            <v>0</v>
          </cell>
        </row>
        <row r="180">
          <cell r="B180" t="str">
            <v>王浩</v>
          </cell>
          <cell r="C180" t="str">
            <v>筐子销售款</v>
          </cell>
          <cell r="D180">
            <v>0</v>
          </cell>
          <cell r="E180">
            <v>0</v>
          </cell>
        </row>
        <row r="180">
          <cell r="G180">
            <v>0</v>
          </cell>
          <cell r="H180">
            <v>0</v>
          </cell>
        </row>
        <row r="181">
          <cell r="B181" t="str">
            <v>王浩</v>
          </cell>
          <cell r="C181" t="str">
            <v>物料销售款</v>
          </cell>
          <cell r="D181">
            <v>0</v>
          </cell>
          <cell r="E181">
            <v>0</v>
          </cell>
        </row>
        <row r="181">
          <cell r="G181">
            <v>0</v>
          </cell>
          <cell r="H181">
            <v>0</v>
          </cell>
        </row>
        <row r="182">
          <cell r="B182" t="str">
            <v>电商/主播</v>
          </cell>
          <cell r="C182" t="str">
            <v>筐子销售款</v>
          </cell>
          <cell r="D182">
            <v>0</v>
          </cell>
          <cell r="E182">
            <v>0</v>
          </cell>
        </row>
        <row r="182">
          <cell r="G182">
            <v>0</v>
          </cell>
          <cell r="H182">
            <v>0</v>
          </cell>
        </row>
        <row r="183">
          <cell r="B183" t="str">
            <v>电商/主播</v>
          </cell>
          <cell r="C183" t="str">
            <v>物料销售款</v>
          </cell>
          <cell r="D183">
            <v>0</v>
          </cell>
          <cell r="E183">
            <v>0</v>
          </cell>
        </row>
        <row r="183">
          <cell r="G183">
            <v>0</v>
          </cell>
          <cell r="H183">
            <v>0</v>
          </cell>
        </row>
        <row r="184">
          <cell r="B184" t="str">
            <v>吐尔逊</v>
          </cell>
          <cell r="C184" t="str">
            <v>筐子销售款</v>
          </cell>
          <cell r="D184">
            <v>0</v>
          </cell>
          <cell r="E184">
            <v>0</v>
          </cell>
        </row>
        <row r="184">
          <cell r="G184">
            <v>0</v>
          </cell>
          <cell r="H184">
            <v>0</v>
          </cell>
        </row>
        <row r="185">
          <cell r="B185" t="str">
            <v>吐尔逊</v>
          </cell>
          <cell r="C185" t="str">
            <v>物料销售款</v>
          </cell>
          <cell r="D185">
            <v>0</v>
          </cell>
          <cell r="E185">
            <v>0</v>
          </cell>
        </row>
        <row r="185">
          <cell r="G185">
            <v>0</v>
          </cell>
          <cell r="H185">
            <v>0</v>
          </cell>
        </row>
        <row r="186">
          <cell r="B186" t="str">
            <v>张艺</v>
          </cell>
          <cell r="C186" t="str">
            <v>筐子销售款</v>
          </cell>
          <cell r="D186">
            <v>0</v>
          </cell>
          <cell r="E186">
            <v>0</v>
          </cell>
        </row>
        <row r="186">
          <cell r="G186">
            <v>0</v>
          </cell>
          <cell r="H186">
            <v>0</v>
          </cell>
        </row>
        <row r="187">
          <cell r="B187" t="str">
            <v>张艺</v>
          </cell>
          <cell r="C187" t="str">
            <v>物料销售款</v>
          </cell>
          <cell r="D187">
            <v>0</v>
          </cell>
          <cell r="E187">
            <v>0</v>
          </cell>
        </row>
        <row r="187">
          <cell r="G187">
            <v>0</v>
          </cell>
          <cell r="H187">
            <v>0</v>
          </cell>
        </row>
        <row r="188">
          <cell r="B188" t="str">
            <v>郭勇义</v>
          </cell>
          <cell r="C188" t="str">
            <v>筐子销售款</v>
          </cell>
          <cell r="D188">
            <v>0</v>
          </cell>
          <cell r="E188">
            <v>0</v>
          </cell>
        </row>
        <row r="188">
          <cell r="G188">
            <v>0</v>
          </cell>
          <cell r="H188">
            <v>0</v>
          </cell>
        </row>
        <row r="189">
          <cell r="B189" t="str">
            <v>郭勇义</v>
          </cell>
          <cell r="C189" t="str">
            <v>物料销售款</v>
          </cell>
          <cell r="D189">
            <v>0</v>
          </cell>
          <cell r="E189">
            <v>0</v>
          </cell>
        </row>
        <row r="189">
          <cell r="G189">
            <v>0</v>
          </cell>
          <cell r="H189">
            <v>0</v>
          </cell>
        </row>
        <row r="190">
          <cell r="B190" t="str">
            <v>王庆文</v>
          </cell>
          <cell r="C190" t="str">
            <v>筐子销售款</v>
          </cell>
          <cell r="D190">
            <v>0</v>
          </cell>
          <cell r="E190">
            <v>0</v>
          </cell>
        </row>
        <row r="190">
          <cell r="G190">
            <v>0</v>
          </cell>
          <cell r="H190">
            <v>0</v>
          </cell>
        </row>
        <row r="191">
          <cell r="B191" t="str">
            <v>王庆文</v>
          </cell>
          <cell r="C191" t="str">
            <v>物料销售款</v>
          </cell>
          <cell r="D191">
            <v>0</v>
          </cell>
          <cell r="E191">
            <v>0</v>
          </cell>
        </row>
        <row r="191">
          <cell r="G191">
            <v>0</v>
          </cell>
          <cell r="H191">
            <v>0</v>
          </cell>
        </row>
        <row r="192">
          <cell r="B192" t="str">
            <v>果然鲜</v>
          </cell>
          <cell r="C192" t="str">
            <v>筐子销售款</v>
          </cell>
          <cell r="D192">
            <v>0</v>
          </cell>
          <cell r="E192">
            <v>0</v>
          </cell>
        </row>
        <row r="192">
          <cell r="G192">
            <v>0</v>
          </cell>
          <cell r="H192">
            <v>0</v>
          </cell>
        </row>
        <row r="193">
          <cell r="B193" t="str">
            <v>果然鲜</v>
          </cell>
          <cell r="C193" t="str">
            <v>物料销售款</v>
          </cell>
          <cell r="D193">
            <v>0</v>
          </cell>
          <cell r="E193">
            <v>0</v>
          </cell>
        </row>
        <row r="193">
          <cell r="G193">
            <v>0</v>
          </cell>
          <cell r="H193">
            <v>0</v>
          </cell>
        </row>
        <row r="194">
          <cell r="B194" t="str">
            <v>努尔敦</v>
          </cell>
          <cell r="C194" t="str">
            <v>筐子销售款</v>
          </cell>
          <cell r="D194">
            <v>0</v>
          </cell>
          <cell r="E194">
            <v>0</v>
          </cell>
        </row>
        <row r="194">
          <cell r="G194">
            <v>0</v>
          </cell>
          <cell r="H194">
            <v>0</v>
          </cell>
        </row>
        <row r="195">
          <cell r="B195" t="str">
            <v>努尔敦</v>
          </cell>
          <cell r="C195" t="str">
            <v>物料销售款</v>
          </cell>
          <cell r="D195">
            <v>0</v>
          </cell>
          <cell r="E195">
            <v>0</v>
          </cell>
        </row>
        <row r="195">
          <cell r="G195">
            <v>0</v>
          </cell>
          <cell r="H195">
            <v>0</v>
          </cell>
        </row>
        <row r="196">
          <cell r="B196" t="str">
            <v>吐尔洪</v>
          </cell>
          <cell r="C196" t="str">
            <v>筐子销售款</v>
          </cell>
          <cell r="D196">
            <v>0</v>
          </cell>
          <cell r="E196">
            <v>0</v>
          </cell>
        </row>
        <row r="196">
          <cell r="G196">
            <v>0</v>
          </cell>
          <cell r="H196">
            <v>0</v>
          </cell>
        </row>
        <row r="197">
          <cell r="B197" t="str">
            <v>吐尔洪</v>
          </cell>
          <cell r="C197" t="str">
            <v>物料销售款</v>
          </cell>
          <cell r="D197">
            <v>0</v>
          </cell>
          <cell r="E197">
            <v>0</v>
          </cell>
        </row>
        <row r="197">
          <cell r="G197">
            <v>0</v>
          </cell>
          <cell r="H197">
            <v>0</v>
          </cell>
        </row>
        <row r="198">
          <cell r="B198" t="str">
            <v>杨艳玲</v>
          </cell>
          <cell r="C198" t="str">
            <v>筐子销售款</v>
          </cell>
          <cell r="D198">
            <v>0</v>
          </cell>
          <cell r="E198">
            <v>0</v>
          </cell>
        </row>
        <row r="198">
          <cell r="G198">
            <v>0</v>
          </cell>
          <cell r="H198">
            <v>0</v>
          </cell>
        </row>
        <row r="199">
          <cell r="B199" t="str">
            <v>杨艳玲</v>
          </cell>
          <cell r="C199" t="str">
            <v>物料销售款</v>
          </cell>
          <cell r="D199">
            <v>0</v>
          </cell>
          <cell r="E199">
            <v>0</v>
          </cell>
        </row>
        <row r="199">
          <cell r="G199">
            <v>0</v>
          </cell>
          <cell r="H199">
            <v>0</v>
          </cell>
        </row>
        <row r="200">
          <cell r="B200" t="str">
            <v>艾则孜</v>
          </cell>
          <cell r="C200" t="str">
            <v>筐子销售款</v>
          </cell>
          <cell r="D200">
            <v>0</v>
          </cell>
          <cell r="E200">
            <v>0</v>
          </cell>
        </row>
        <row r="200">
          <cell r="G200">
            <v>0</v>
          </cell>
          <cell r="H200">
            <v>0</v>
          </cell>
        </row>
        <row r="201">
          <cell r="B201" t="str">
            <v>艾则孜</v>
          </cell>
          <cell r="C201" t="str">
            <v>物料销售款</v>
          </cell>
          <cell r="D201">
            <v>0</v>
          </cell>
          <cell r="E201">
            <v>0</v>
          </cell>
        </row>
        <row r="201">
          <cell r="G201">
            <v>0</v>
          </cell>
          <cell r="H201">
            <v>0</v>
          </cell>
        </row>
        <row r="202">
          <cell r="B202" t="str">
            <v>鑫旺塑业</v>
          </cell>
          <cell r="C202" t="str">
            <v>筐子销售款</v>
          </cell>
          <cell r="D202">
            <v>0</v>
          </cell>
          <cell r="E202">
            <v>0</v>
          </cell>
        </row>
        <row r="202">
          <cell r="G202">
            <v>0</v>
          </cell>
          <cell r="H202">
            <v>0</v>
          </cell>
        </row>
        <row r="203">
          <cell r="B203" t="str">
            <v>鑫旺塑业</v>
          </cell>
          <cell r="C203" t="str">
            <v>物料销售款</v>
          </cell>
          <cell r="D203">
            <v>0</v>
          </cell>
          <cell r="E203">
            <v>0</v>
          </cell>
        </row>
        <row r="203">
          <cell r="G203">
            <v>0</v>
          </cell>
          <cell r="H203">
            <v>0</v>
          </cell>
        </row>
        <row r="204">
          <cell r="B204" t="str">
            <v>华鑫塑业</v>
          </cell>
          <cell r="C204" t="str">
            <v>筐子销售款</v>
          </cell>
          <cell r="D204">
            <v>0</v>
          </cell>
          <cell r="E204">
            <v>0</v>
          </cell>
        </row>
        <row r="204">
          <cell r="G204">
            <v>0</v>
          </cell>
          <cell r="H204">
            <v>0</v>
          </cell>
        </row>
        <row r="205">
          <cell r="B205" t="str">
            <v>华鑫塑业</v>
          </cell>
          <cell r="C205" t="str">
            <v>物料销售款</v>
          </cell>
          <cell r="D205">
            <v>0</v>
          </cell>
          <cell r="E205">
            <v>0</v>
          </cell>
        </row>
        <row r="205">
          <cell r="G205">
            <v>0</v>
          </cell>
          <cell r="H205">
            <v>0</v>
          </cell>
        </row>
        <row r="206">
          <cell r="B206" t="str">
            <v>全修塑业</v>
          </cell>
          <cell r="C206" t="str">
            <v>筐子销售款</v>
          </cell>
          <cell r="D206">
            <v>0</v>
          </cell>
          <cell r="E206">
            <v>281760</v>
          </cell>
        </row>
        <row r="206">
          <cell r="G206">
            <v>0</v>
          </cell>
          <cell r="H206">
            <v>0</v>
          </cell>
        </row>
        <row r="207">
          <cell r="B207" t="str">
            <v>全修塑业</v>
          </cell>
          <cell r="C207" t="str">
            <v>物料销售款</v>
          </cell>
          <cell r="D207">
            <v>0</v>
          </cell>
          <cell r="E207">
            <v>0</v>
          </cell>
        </row>
        <row r="207">
          <cell r="G207">
            <v>0</v>
          </cell>
          <cell r="H207">
            <v>0</v>
          </cell>
        </row>
        <row r="208">
          <cell r="B208" t="str">
            <v>新顺发泡网</v>
          </cell>
          <cell r="C208" t="str">
            <v>筐子销售款</v>
          </cell>
          <cell r="D208">
            <v>0</v>
          </cell>
          <cell r="E208">
            <v>0</v>
          </cell>
        </row>
        <row r="208">
          <cell r="G208">
            <v>0</v>
          </cell>
          <cell r="H208">
            <v>0</v>
          </cell>
        </row>
        <row r="209">
          <cell r="B209" t="str">
            <v>新顺发泡网</v>
          </cell>
          <cell r="C209" t="str">
            <v>物料销售款</v>
          </cell>
          <cell r="D209">
            <v>0</v>
          </cell>
          <cell r="E209">
            <v>49728</v>
          </cell>
        </row>
        <row r="209">
          <cell r="G209">
            <v>0</v>
          </cell>
          <cell r="H209">
            <v>0</v>
          </cell>
        </row>
        <row r="210">
          <cell r="B210" t="str">
            <v>武宁气泡垫</v>
          </cell>
          <cell r="C210" t="str">
            <v>筐子销售款</v>
          </cell>
          <cell r="D210">
            <v>0</v>
          </cell>
          <cell r="E210">
            <v>0</v>
          </cell>
        </row>
        <row r="210">
          <cell r="G210">
            <v>0</v>
          </cell>
          <cell r="H210">
            <v>0</v>
          </cell>
        </row>
        <row r="211">
          <cell r="B211" t="str">
            <v>武宁气泡垫</v>
          </cell>
          <cell r="C211" t="str">
            <v>物料销售款</v>
          </cell>
          <cell r="D211">
            <v>0</v>
          </cell>
          <cell r="E211">
            <v>0</v>
          </cell>
        </row>
        <row r="211">
          <cell r="G211">
            <v>0</v>
          </cell>
          <cell r="H211">
            <v>0</v>
          </cell>
        </row>
        <row r="212">
          <cell r="D212">
            <v>0</v>
          </cell>
          <cell r="E212">
            <v>0</v>
          </cell>
        </row>
        <row r="213">
          <cell r="D213">
            <v>0</v>
          </cell>
          <cell r="E213">
            <v>0</v>
          </cell>
        </row>
        <row r="214">
          <cell r="D214">
            <v>0</v>
          </cell>
          <cell r="E214">
            <v>0</v>
          </cell>
        </row>
        <row r="215">
          <cell r="D215">
            <v>0</v>
          </cell>
          <cell r="E215">
            <v>0</v>
          </cell>
        </row>
        <row r="216">
          <cell r="D216">
            <v>0</v>
          </cell>
          <cell r="E216">
            <v>0</v>
          </cell>
        </row>
        <row r="217">
          <cell r="D217">
            <v>0</v>
          </cell>
          <cell r="E217">
            <v>0</v>
          </cell>
        </row>
        <row r="218">
          <cell r="D218">
            <v>0</v>
          </cell>
          <cell r="E218">
            <v>0</v>
          </cell>
        </row>
        <row r="219">
          <cell r="D219">
            <v>0</v>
          </cell>
          <cell r="E219">
            <v>0</v>
          </cell>
        </row>
        <row r="220">
          <cell r="D220">
            <v>0</v>
          </cell>
          <cell r="E220">
            <v>0</v>
          </cell>
        </row>
        <row r="221">
          <cell r="D221">
            <v>0</v>
          </cell>
          <cell r="E221">
            <v>0</v>
          </cell>
        </row>
        <row r="222">
          <cell r="D222">
            <v>0</v>
          </cell>
          <cell r="E222">
            <v>0</v>
          </cell>
        </row>
        <row r="223">
          <cell r="D223">
            <v>0</v>
          </cell>
          <cell r="E223">
            <v>0</v>
          </cell>
        </row>
        <row r="224">
          <cell r="D224">
            <v>0</v>
          </cell>
          <cell r="E224">
            <v>0</v>
          </cell>
        </row>
        <row r="225">
          <cell r="D225">
            <v>0</v>
          </cell>
          <cell r="E225">
            <v>0</v>
          </cell>
        </row>
        <row r="226">
          <cell r="D226">
            <v>0</v>
          </cell>
          <cell r="E226">
            <v>0</v>
          </cell>
        </row>
        <row r="227">
          <cell r="D227">
            <v>0</v>
          </cell>
          <cell r="E227">
            <v>0</v>
          </cell>
        </row>
        <row r="228">
          <cell r="D228">
            <v>0</v>
          </cell>
          <cell r="E228">
            <v>0</v>
          </cell>
        </row>
        <row r="229">
          <cell r="D229">
            <v>0</v>
          </cell>
          <cell r="E229">
            <v>0</v>
          </cell>
        </row>
        <row r="230">
          <cell r="D230">
            <v>0</v>
          </cell>
          <cell r="E230">
            <v>0</v>
          </cell>
        </row>
        <row r="231">
          <cell r="D231">
            <v>0</v>
          </cell>
          <cell r="E231">
            <v>0</v>
          </cell>
        </row>
        <row r="232">
          <cell r="D232">
            <v>0</v>
          </cell>
          <cell r="E232">
            <v>0</v>
          </cell>
        </row>
        <row r="233">
          <cell r="D233">
            <v>0</v>
          </cell>
          <cell r="E233">
            <v>0</v>
          </cell>
        </row>
        <row r="234">
          <cell r="D234">
            <v>0</v>
          </cell>
          <cell r="E234">
            <v>0</v>
          </cell>
        </row>
        <row r="235">
          <cell r="D235">
            <v>0</v>
          </cell>
          <cell r="E235">
            <v>0</v>
          </cell>
        </row>
        <row r="236">
          <cell r="D236">
            <v>0</v>
          </cell>
          <cell r="E236">
            <v>0</v>
          </cell>
        </row>
        <row r="237">
          <cell r="D237">
            <v>0</v>
          </cell>
          <cell r="E237">
            <v>0</v>
          </cell>
        </row>
        <row r="238">
          <cell r="D238">
            <v>0</v>
          </cell>
          <cell r="E238">
            <v>0</v>
          </cell>
        </row>
        <row r="239">
          <cell r="D239">
            <v>0</v>
          </cell>
          <cell r="E239">
            <v>0</v>
          </cell>
        </row>
        <row r="240">
          <cell r="D240">
            <v>0</v>
          </cell>
          <cell r="E240">
            <v>0</v>
          </cell>
        </row>
        <row r="241">
          <cell r="D241">
            <v>0</v>
          </cell>
          <cell r="E241">
            <v>0</v>
          </cell>
        </row>
        <row r="242">
          <cell r="D242">
            <v>0</v>
          </cell>
          <cell r="E242">
            <v>0</v>
          </cell>
        </row>
        <row r="243">
          <cell r="D243">
            <v>0</v>
          </cell>
          <cell r="E243">
            <v>0</v>
          </cell>
        </row>
        <row r="244">
          <cell r="D244">
            <v>0</v>
          </cell>
          <cell r="E244">
            <v>0</v>
          </cell>
        </row>
        <row r="245">
          <cell r="D245">
            <v>0</v>
          </cell>
          <cell r="E245">
            <v>0</v>
          </cell>
        </row>
        <row r="246">
          <cell r="D246">
            <v>0</v>
          </cell>
          <cell r="E246">
            <v>0</v>
          </cell>
        </row>
        <row r="247">
          <cell r="D247">
            <v>0</v>
          </cell>
          <cell r="E247">
            <v>0</v>
          </cell>
        </row>
        <row r="248">
          <cell r="D248">
            <v>0</v>
          </cell>
          <cell r="E248">
            <v>0</v>
          </cell>
        </row>
        <row r="249">
          <cell r="D249">
            <v>0</v>
          </cell>
          <cell r="E249">
            <v>0</v>
          </cell>
        </row>
        <row r="250">
          <cell r="D250">
            <v>0</v>
          </cell>
          <cell r="E250">
            <v>0</v>
          </cell>
        </row>
        <row r="251">
          <cell r="D251">
            <v>0</v>
          </cell>
          <cell r="E251">
            <v>0</v>
          </cell>
        </row>
        <row r="252">
          <cell r="D252">
            <v>0</v>
          </cell>
          <cell r="E252">
            <v>0</v>
          </cell>
        </row>
        <row r="253">
          <cell r="D253">
            <v>0</v>
          </cell>
          <cell r="E253">
            <v>0</v>
          </cell>
        </row>
        <row r="254">
          <cell r="D254">
            <v>0</v>
          </cell>
          <cell r="E254">
            <v>0</v>
          </cell>
        </row>
        <row r="255">
          <cell r="D255">
            <v>0</v>
          </cell>
          <cell r="E255">
            <v>0</v>
          </cell>
        </row>
        <row r="256">
          <cell r="D256">
            <v>0</v>
          </cell>
          <cell r="E256">
            <v>0</v>
          </cell>
        </row>
        <row r="257">
          <cell r="D257">
            <v>0</v>
          </cell>
          <cell r="E257">
            <v>0</v>
          </cell>
        </row>
        <row r="258">
          <cell r="D258">
            <v>0</v>
          </cell>
          <cell r="E258">
            <v>0</v>
          </cell>
        </row>
        <row r="259">
          <cell r="D259">
            <v>0</v>
          </cell>
          <cell r="E259">
            <v>0</v>
          </cell>
        </row>
        <row r="260">
          <cell r="D260">
            <v>0</v>
          </cell>
          <cell r="E260">
            <v>0</v>
          </cell>
        </row>
        <row r="261">
          <cell r="D261">
            <v>0</v>
          </cell>
          <cell r="E261">
            <v>0</v>
          </cell>
        </row>
        <row r="262">
          <cell r="D262">
            <v>0</v>
          </cell>
          <cell r="E262">
            <v>0</v>
          </cell>
        </row>
        <row r="263">
          <cell r="D263">
            <v>0</v>
          </cell>
          <cell r="E263">
            <v>0</v>
          </cell>
        </row>
        <row r="264">
          <cell r="D264">
            <v>0</v>
          </cell>
          <cell r="E264">
            <v>0</v>
          </cell>
        </row>
        <row r="265">
          <cell r="D265">
            <v>0</v>
          </cell>
          <cell r="E265">
            <v>0</v>
          </cell>
        </row>
        <row r="266">
          <cell r="D266">
            <v>0</v>
          </cell>
          <cell r="E266">
            <v>0</v>
          </cell>
        </row>
        <row r="267">
          <cell r="D267">
            <v>0</v>
          </cell>
          <cell r="E267">
            <v>0</v>
          </cell>
        </row>
        <row r="268">
          <cell r="D268">
            <v>0</v>
          </cell>
          <cell r="E268">
            <v>0</v>
          </cell>
        </row>
        <row r="269">
          <cell r="D269">
            <v>0</v>
          </cell>
          <cell r="E269">
            <v>0</v>
          </cell>
        </row>
        <row r="270">
          <cell r="D270">
            <v>0</v>
          </cell>
          <cell r="E270">
            <v>0</v>
          </cell>
        </row>
        <row r="271">
          <cell r="D271">
            <v>0</v>
          </cell>
          <cell r="E271">
            <v>0</v>
          </cell>
        </row>
        <row r="272">
          <cell r="D272">
            <v>0</v>
          </cell>
          <cell r="E272">
            <v>0</v>
          </cell>
        </row>
        <row r="273">
          <cell r="D273">
            <v>0</v>
          </cell>
          <cell r="E273">
            <v>0</v>
          </cell>
        </row>
        <row r="274">
          <cell r="D274">
            <v>0</v>
          </cell>
          <cell r="E274">
            <v>0</v>
          </cell>
        </row>
        <row r="275">
          <cell r="D275">
            <v>0</v>
          </cell>
          <cell r="E275">
            <v>0</v>
          </cell>
        </row>
        <row r="276">
          <cell r="D276">
            <v>0</v>
          </cell>
          <cell r="E276">
            <v>0</v>
          </cell>
        </row>
        <row r="277">
          <cell r="D277">
            <v>0</v>
          </cell>
          <cell r="E277">
            <v>0</v>
          </cell>
        </row>
        <row r="278">
          <cell r="D278">
            <v>0</v>
          </cell>
          <cell r="E278">
            <v>0</v>
          </cell>
        </row>
        <row r="279">
          <cell r="D279">
            <v>0</v>
          </cell>
          <cell r="E279">
            <v>0</v>
          </cell>
        </row>
        <row r="280">
          <cell r="D280">
            <v>0</v>
          </cell>
          <cell r="E280">
            <v>0</v>
          </cell>
        </row>
        <row r="281">
          <cell r="D281">
            <v>0</v>
          </cell>
          <cell r="E281">
            <v>0</v>
          </cell>
        </row>
        <row r="282">
          <cell r="D282">
            <v>0</v>
          </cell>
          <cell r="E282">
            <v>0</v>
          </cell>
        </row>
        <row r="283">
          <cell r="D283">
            <v>0</v>
          </cell>
          <cell r="E283">
            <v>0</v>
          </cell>
        </row>
        <row r="284">
          <cell r="D284">
            <v>0</v>
          </cell>
          <cell r="E284">
            <v>0</v>
          </cell>
        </row>
        <row r="285">
          <cell r="D285">
            <v>0</v>
          </cell>
          <cell r="E285">
            <v>0</v>
          </cell>
        </row>
        <row r="286">
          <cell r="D286">
            <v>0</v>
          </cell>
          <cell r="E286">
            <v>0</v>
          </cell>
        </row>
        <row r="287">
          <cell r="D287">
            <v>0</v>
          </cell>
          <cell r="E287">
            <v>0</v>
          </cell>
        </row>
        <row r="288">
          <cell r="D288">
            <v>0</v>
          </cell>
          <cell r="E288">
            <v>0</v>
          </cell>
        </row>
        <row r="289">
          <cell r="D289">
            <v>0</v>
          </cell>
          <cell r="E289">
            <v>0</v>
          </cell>
        </row>
        <row r="290">
          <cell r="D290">
            <v>0</v>
          </cell>
          <cell r="E290">
            <v>0</v>
          </cell>
        </row>
        <row r="291">
          <cell r="D291">
            <v>0</v>
          </cell>
          <cell r="E291">
            <v>0</v>
          </cell>
        </row>
        <row r="292">
          <cell r="D292">
            <v>0</v>
          </cell>
          <cell r="E292">
            <v>0</v>
          </cell>
        </row>
        <row r="293">
          <cell r="D293">
            <v>0</v>
          </cell>
          <cell r="E293">
            <v>0</v>
          </cell>
        </row>
        <row r="294">
          <cell r="D294">
            <v>0</v>
          </cell>
          <cell r="E294">
            <v>0</v>
          </cell>
        </row>
        <row r="295">
          <cell r="D295">
            <v>0</v>
          </cell>
          <cell r="E295">
            <v>0</v>
          </cell>
        </row>
        <row r="296">
          <cell r="D296">
            <v>0</v>
          </cell>
          <cell r="E296">
            <v>0</v>
          </cell>
        </row>
        <row r="297">
          <cell r="D297">
            <v>0</v>
          </cell>
          <cell r="E297">
            <v>0</v>
          </cell>
        </row>
        <row r="298">
          <cell r="D298">
            <v>0</v>
          </cell>
          <cell r="E298">
            <v>0</v>
          </cell>
        </row>
        <row r="299">
          <cell r="D299">
            <v>0</v>
          </cell>
          <cell r="E299">
            <v>0</v>
          </cell>
        </row>
        <row r="300">
          <cell r="D300">
            <v>0</v>
          </cell>
          <cell r="E300">
            <v>0</v>
          </cell>
        </row>
        <row r="301">
          <cell r="D301">
            <v>0</v>
          </cell>
          <cell r="E301">
            <v>0</v>
          </cell>
        </row>
        <row r="302">
          <cell r="D302">
            <v>0</v>
          </cell>
          <cell r="E302">
            <v>0</v>
          </cell>
        </row>
        <row r="303">
          <cell r="D303">
            <v>0</v>
          </cell>
          <cell r="E303">
            <v>0</v>
          </cell>
        </row>
        <row r="304">
          <cell r="D304">
            <v>0</v>
          </cell>
          <cell r="E304">
            <v>0</v>
          </cell>
        </row>
        <row r="305">
          <cell r="D305">
            <v>0</v>
          </cell>
          <cell r="E305">
            <v>0</v>
          </cell>
        </row>
        <row r="306">
          <cell r="D306">
            <v>0</v>
          </cell>
          <cell r="E306">
            <v>0</v>
          </cell>
        </row>
        <row r="307">
          <cell r="D307">
            <v>0</v>
          </cell>
          <cell r="E307">
            <v>0</v>
          </cell>
        </row>
        <row r="308">
          <cell r="D308">
            <v>0</v>
          </cell>
          <cell r="E308">
            <v>0</v>
          </cell>
        </row>
        <row r="309">
          <cell r="D309">
            <v>0</v>
          </cell>
          <cell r="E309">
            <v>0</v>
          </cell>
        </row>
        <row r="310">
          <cell r="D310">
            <v>0</v>
          </cell>
          <cell r="E310">
            <v>0</v>
          </cell>
        </row>
        <row r="311">
          <cell r="D311">
            <v>0</v>
          </cell>
          <cell r="E311">
            <v>0</v>
          </cell>
        </row>
        <row r="312">
          <cell r="D312">
            <v>0</v>
          </cell>
          <cell r="E312">
            <v>0</v>
          </cell>
        </row>
        <row r="313">
          <cell r="D313">
            <v>0</v>
          </cell>
          <cell r="E313">
            <v>0</v>
          </cell>
        </row>
        <row r="314">
          <cell r="D314">
            <v>0</v>
          </cell>
          <cell r="E314">
            <v>0</v>
          </cell>
        </row>
        <row r="315">
          <cell r="D315">
            <v>0</v>
          </cell>
          <cell r="E315">
            <v>0</v>
          </cell>
        </row>
        <row r="316">
          <cell r="D316">
            <v>0</v>
          </cell>
          <cell r="E316">
            <v>0</v>
          </cell>
        </row>
        <row r="317">
          <cell r="D317">
            <v>0</v>
          </cell>
          <cell r="E317">
            <v>0</v>
          </cell>
        </row>
        <row r="318">
          <cell r="D318">
            <v>0</v>
          </cell>
          <cell r="E318">
            <v>0</v>
          </cell>
        </row>
        <row r="319">
          <cell r="D319">
            <v>0</v>
          </cell>
          <cell r="E319">
            <v>0</v>
          </cell>
        </row>
        <row r="320">
          <cell r="D320">
            <v>0</v>
          </cell>
          <cell r="E320">
            <v>0</v>
          </cell>
        </row>
        <row r="321">
          <cell r="D321">
            <v>0</v>
          </cell>
          <cell r="E321">
            <v>0</v>
          </cell>
        </row>
        <row r="322">
          <cell r="D322">
            <v>0</v>
          </cell>
          <cell r="E322">
            <v>0</v>
          </cell>
        </row>
        <row r="323">
          <cell r="D323">
            <v>0</v>
          </cell>
          <cell r="E323">
            <v>0</v>
          </cell>
        </row>
        <row r="324">
          <cell r="D324">
            <v>0</v>
          </cell>
          <cell r="E324">
            <v>0</v>
          </cell>
        </row>
        <row r="325">
          <cell r="D325">
            <v>0</v>
          </cell>
          <cell r="E325">
            <v>0</v>
          </cell>
        </row>
        <row r="326">
          <cell r="D326">
            <v>0</v>
          </cell>
          <cell r="E326">
            <v>0</v>
          </cell>
        </row>
        <row r="327">
          <cell r="D327">
            <v>0</v>
          </cell>
          <cell r="E327">
            <v>0</v>
          </cell>
        </row>
        <row r="328">
          <cell r="D328">
            <v>0</v>
          </cell>
          <cell r="E328">
            <v>0</v>
          </cell>
        </row>
        <row r="329">
          <cell r="D329">
            <v>0</v>
          </cell>
          <cell r="E329">
            <v>0</v>
          </cell>
        </row>
        <row r="330">
          <cell r="D330">
            <v>0</v>
          </cell>
          <cell r="E330">
            <v>0</v>
          </cell>
        </row>
        <row r="331">
          <cell r="D331">
            <v>0</v>
          </cell>
          <cell r="E331">
            <v>0</v>
          </cell>
        </row>
        <row r="332">
          <cell r="D332">
            <v>0</v>
          </cell>
          <cell r="E332">
            <v>0</v>
          </cell>
        </row>
        <row r="333">
          <cell r="D333">
            <v>0</v>
          </cell>
          <cell r="E333">
            <v>0</v>
          </cell>
        </row>
        <row r="334">
          <cell r="D334">
            <v>0</v>
          </cell>
          <cell r="E334">
            <v>0</v>
          </cell>
        </row>
        <row r="335">
          <cell r="D335">
            <v>0</v>
          </cell>
          <cell r="E335">
            <v>0</v>
          </cell>
        </row>
        <row r="336">
          <cell r="D336">
            <v>0</v>
          </cell>
          <cell r="E336">
            <v>0</v>
          </cell>
        </row>
        <row r="337">
          <cell r="D337">
            <v>0</v>
          </cell>
          <cell r="E337">
            <v>0</v>
          </cell>
        </row>
        <row r="338">
          <cell r="D338">
            <v>0</v>
          </cell>
          <cell r="E338">
            <v>0</v>
          </cell>
        </row>
        <row r="339">
          <cell r="D339">
            <v>0</v>
          </cell>
          <cell r="E339">
            <v>0</v>
          </cell>
        </row>
        <row r="340">
          <cell r="D340">
            <v>0</v>
          </cell>
          <cell r="E340">
            <v>0</v>
          </cell>
        </row>
        <row r="341">
          <cell r="D341">
            <v>0</v>
          </cell>
          <cell r="E341">
            <v>0</v>
          </cell>
        </row>
        <row r="342">
          <cell r="D342">
            <v>0</v>
          </cell>
          <cell r="E342">
            <v>0</v>
          </cell>
        </row>
        <row r="343">
          <cell r="D343">
            <v>0</v>
          </cell>
          <cell r="E343">
            <v>0</v>
          </cell>
        </row>
        <row r="344">
          <cell r="D344">
            <v>0</v>
          </cell>
          <cell r="E344">
            <v>0</v>
          </cell>
        </row>
        <row r="345">
          <cell r="D345">
            <v>0</v>
          </cell>
          <cell r="E345">
            <v>0</v>
          </cell>
        </row>
        <row r="346">
          <cell r="D346">
            <v>0</v>
          </cell>
          <cell r="E346">
            <v>0</v>
          </cell>
        </row>
        <row r="347">
          <cell r="D347">
            <v>0</v>
          </cell>
          <cell r="E347">
            <v>0</v>
          </cell>
        </row>
        <row r="348">
          <cell r="D348">
            <v>0</v>
          </cell>
          <cell r="E348">
            <v>0</v>
          </cell>
        </row>
        <row r="349">
          <cell r="D349">
            <v>0</v>
          </cell>
          <cell r="E349">
            <v>0</v>
          </cell>
        </row>
        <row r="350">
          <cell r="D350">
            <v>0</v>
          </cell>
          <cell r="E350">
            <v>0</v>
          </cell>
        </row>
        <row r="351">
          <cell r="D351">
            <v>0</v>
          </cell>
          <cell r="E351">
            <v>0</v>
          </cell>
        </row>
        <row r="352">
          <cell r="D352">
            <v>0</v>
          </cell>
          <cell r="E352">
            <v>0</v>
          </cell>
        </row>
        <row r="353">
          <cell r="D353">
            <v>0</v>
          </cell>
          <cell r="E353">
            <v>0</v>
          </cell>
        </row>
        <row r="354">
          <cell r="D354">
            <v>0</v>
          </cell>
          <cell r="E354">
            <v>0</v>
          </cell>
        </row>
        <row r="355">
          <cell r="D355">
            <v>0</v>
          </cell>
          <cell r="E355">
            <v>0</v>
          </cell>
        </row>
        <row r="356">
          <cell r="D356">
            <v>0</v>
          </cell>
          <cell r="E356">
            <v>0</v>
          </cell>
        </row>
        <row r="357">
          <cell r="D357">
            <v>0</v>
          </cell>
          <cell r="E357">
            <v>0</v>
          </cell>
        </row>
        <row r="358">
          <cell r="D358">
            <v>0</v>
          </cell>
          <cell r="E358">
            <v>0</v>
          </cell>
        </row>
        <row r="359">
          <cell r="D359">
            <v>0</v>
          </cell>
          <cell r="E359">
            <v>0</v>
          </cell>
        </row>
        <row r="360">
          <cell r="D360">
            <v>0</v>
          </cell>
          <cell r="E360">
            <v>0</v>
          </cell>
        </row>
        <row r="361">
          <cell r="D361">
            <v>0</v>
          </cell>
          <cell r="E361">
            <v>0</v>
          </cell>
        </row>
        <row r="362">
          <cell r="D362">
            <v>0</v>
          </cell>
          <cell r="E362">
            <v>0</v>
          </cell>
        </row>
        <row r="363">
          <cell r="D363">
            <v>0</v>
          </cell>
          <cell r="E363">
            <v>0</v>
          </cell>
        </row>
        <row r="364">
          <cell r="D364">
            <v>0</v>
          </cell>
          <cell r="E364">
            <v>0</v>
          </cell>
        </row>
        <row r="365">
          <cell r="D365">
            <v>0</v>
          </cell>
          <cell r="E365">
            <v>0</v>
          </cell>
        </row>
        <row r="366">
          <cell r="D366">
            <v>0</v>
          </cell>
          <cell r="E366">
            <v>0</v>
          </cell>
        </row>
        <row r="367">
          <cell r="D367">
            <v>0</v>
          </cell>
          <cell r="E367">
            <v>0</v>
          </cell>
        </row>
        <row r="368">
          <cell r="D368">
            <v>0</v>
          </cell>
          <cell r="E368">
            <v>0</v>
          </cell>
        </row>
        <row r="369">
          <cell r="D369">
            <v>0</v>
          </cell>
          <cell r="E369">
            <v>0</v>
          </cell>
        </row>
        <row r="370">
          <cell r="D370">
            <v>0</v>
          </cell>
          <cell r="E370">
            <v>0</v>
          </cell>
        </row>
        <row r="371">
          <cell r="D371">
            <v>0</v>
          </cell>
          <cell r="E371">
            <v>0</v>
          </cell>
        </row>
        <row r="372">
          <cell r="D372">
            <v>0</v>
          </cell>
          <cell r="E372">
            <v>0</v>
          </cell>
        </row>
        <row r="373">
          <cell r="D373">
            <v>0</v>
          </cell>
          <cell r="E373">
            <v>0</v>
          </cell>
        </row>
        <row r="374">
          <cell r="D374">
            <v>0</v>
          </cell>
          <cell r="E374">
            <v>0</v>
          </cell>
        </row>
        <row r="375">
          <cell r="D375">
            <v>0</v>
          </cell>
          <cell r="E375">
            <v>0</v>
          </cell>
        </row>
        <row r="376">
          <cell r="D376">
            <v>0</v>
          </cell>
          <cell r="E376">
            <v>0</v>
          </cell>
        </row>
        <row r="377">
          <cell r="D377">
            <v>0</v>
          </cell>
          <cell r="E377">
            <v>0</v>
          </cell>
        </row>
        <row r="378">
          <cell r="D378">
            <v>0</v>
          </cell>
          <cell r="E378">
            <v>0</v>
          </cell>
        </row>
        <row r="379">
          <cell r="D379">
            <v>0</v>
          </cell>
          <cell r="E379">
            <v>0</v>
          </cell>
        </row>
        <row r="380">
          <cell r="D380">
            <v>0</v>
          </cell>
          <cell r="E380">
            <v>0</v>
          </cell>
        </row>
        <row r="381">
          <cell r="D381">
            <v>0</v>
          </cell>
          <cell r="E381">
            <v>0</v>
          </cell>
        </row>
        <row r="382">
          <cell r="D382">
            <v>0</v>
          </cell>
          <cell r="E382">
            <v>0</v>
          </cell>
        </row>
        <row r="383">
          <cell r="D383">
            <v>0</v>
          </cell>
          <cell r="E383">
            <v>0</v>
          </cell>
        </row>
        <row r="384">
          <cell r="D384">
            <v>0</v>
          </cell>
          <cell r="E384">
            <v>0</v>
          </cell>
        </row>
        <row r="385">
          <cell r="D385">
            <v>0</v>
          </cell>
          <cell r="E385">
            <v>0</v>
          </cell>
        </row>
        <row r="386">
          <cell r="D386">
            <v>0</v>
          </cell>
          <cell r="E386">
            <v>0</v>
          </cell>
        </row>
        <row r="387">
          <cell r="D387">
            <v>0</v>
          </cell>
          <cell r="E387">
            <v>0</v>
          </cell>
        </row>
        <row r="388">
          <cell r="D388">
            <v>0</v>
          </cell>
          <cell r="E388">
            <v>0</v>
          </cell>
        </row>
        <row r="389">
          <cell r="D389">
            <v>0</v>
          </cell>
          <cell r="E389">
            <v>0</v>
          </cell>
        </row>
        <row r="390">
          <cell r="D390">
            <v>0</v>
          </cell>
          <cell r="E390">
            <v>0</v>
          </cell>
        </row>
        <row r="391">
          <cell r="D391">
            <v>0</v>
          </cell>
          <cell r="E391">
            <v>0</v>
          </cell>
        </row>
        <row r="392">
          <cell r="D392">
            <v>0</v>
          </cell>
          <cell r="E392">
            <v>0</v>
          </cell>
        </row>
        <row r="393">
          <cell r="D393">
            <v>0</v>
          </cell>
          <cell r="E393">
            <v>0</v>
          </cell>
        </row>
        <row r="394">
          <cell r="D394">
            <v>0</v>
          </cell>
          <cell r="E394">
            <v>0</v>
          </cell>
        </row>
        <row r="395">
          <cell r="D395">
            <v>0</v>
          </cell>
          <cell r="E395">
            <v>0</v>
          </cell>
        </row>
        <row r="396">
          <cell r="D396">
            <v>0</v>
          </cell>
          <cell r="E396">
            <v>0</v>
          </cell>
        </row>
        <row r="397">
          <cell r="D397">
            <v>0</v>
          </cell>
          <cell r="E397">
            <v>0</v>
          </cell>
        </row>
        <row r="398">
          <cell r="D398">
            <v>0</v>
          </cell>
          <cell r="E398">
            <v>0</v>
          </cell>
        </row>
        <row r="399">
          <cell r="D399">
            <v>0</v>
          </cell>
          <cell r="E399">
            <v>0</v>
          </cell>
        </row>
        <row r="400">
          <cell r="D400">
            <v>0</v>
          </cell>
          <cell r="E400">
            <v>0</v>
          </cell>
        </row>
        <row r="401">
          <cell r="D401">
            <v>0</v>
          </cell>
          <cell r="E401">
            <v>0</v>
          </cell>
        </row>
        <row r="402">
          <cell r="D402">
            <v>0</v>
          </cell>
          <cell r="E402">
            <v>0</v>
          </cell>
        </row>
        <row r="403">
          <cell r="D403">
            <v>0</v>
          </cell>
          <cell r="E403">
            <v>0</v>
          </cell>
        </row>
        <row r="404">
          <cell r="D404">
            <v>0</v>
          </cell>
          <cell r="E404">
            <v>0</v>
          </cell>
        </row>
        <row r="405">
          <cell r="D405">
            <v>0</v>
          </cell>
          <cell r="E405">
            <v>0</v>
          </cell>
        </row>
        <row r="406">
          <cell r="D406">
            <v>0</v>
          </cell>
          <cell r="E406">
            <v>0</v>
          </cell>
        </row>
        <row r="407">
          <cell r="D407">
            <v>0</v>
          </cell>
          <cell r="E407">
            <v>0</v>
          </cell>
        </row>
        <row r="408">
          <cell r="D408">
            <v>0</v>
          </cell>
          <cell r="E408">
            <v>0</v>
          </cell>
        </row>
        <row r="409">
          <cell r="D409">
            <v>0</v>
          </cell>
          <cell r="E409">
            <v>0</v>
          </cell>
        </row>
        <row r="410">
          <cell r="D410">
            <v>0</v>
          </cell>
          <cell r="E410">
            <v>0</v>
          </cell>
        </row>
        <row r="411">
          <cell r="D411">
            <v>0</v>
          </cell>
          <cell r="E411">
            <v>0</v>
          </cell>
        </row>
        <row r="412">
          <cell r="D412">
            <v>0</v>
          </cell>
          <cell r="E412">
            <v>0</v>
          </cell>
        </row>
        <row r="413">
          <cell r="D413">
            <v>0</v>
          </cell>
          <cell r="E413">
            <v>0</v>
          </cell>
        </row>
        <row r="414">
          <cell r="D414">
            <v>0</v>
          </cell>
          <cell r="E414">
            <v>0</v>
          </cell>
        </row>
        <row r="415">
          <cell r="D415">
            <v>0</v>
          </cell>
          <cell r="E415">
            <v>0</v>
          </cell>
        </row>
        <row r="416">
          <cell r="D416">
            <v>0</v>
          </cell>
          <cell r="E416">
            <v>0</v>
          </cell>
        </row>
        <row r="417">
          <cell r="D417">
            <v>0</v>
          </cell>
          <cell r="E417">
            <v>0</v>
          </cell>
        </row>
        <row r="418">
          <cell r="D418">
            <v>0</v>
          </cell>
          <cell r="E418">
            <v>0</v>
          </cell>
        </row>
        <row r="419">
          <cell r="D419">
            <v>0</v>
          </cell>
          <cell r="E419">
            <v>0</v>
          </cell>
        </row>
        <row r="420">
          <cell r="D420">
            <v>0</v>
          </cell>
          <cell r="E420">
            <v>0</v>
          </cell>
        </row>
        <row r="421">
          <cell r="D421">
            <v>0</v>
          </cell>
          <cell r="E421">
            <v>0</v>
          </cell>
        </row>
        <row r="422">
          <cell r="D422">
            <v>0</v>
          </cell>
          <cell r="E422">
            <v>0</v>
          </cell>
        </row>
        <row r="423">
          <cell r="D423">
            <v>0</v>
          </cell>
          <cell r="E423">
            <v>0</v>
          </cell>
        </row>
        <row r="424">
          <cell r="D424">
            <v>0</v>
          </cell>
          <cell r="E424">
            <v>0</v>
          </cell>
        </row>
        <row r="425">
          <cell r="D425">
            <v>0</v>
          </cell>
          <cell r="E425">
            <v>0</v>
          </cell>
        </row>
        <row r="426">
          <cell r="D426">
            <v>0</v>
          </cell>
          <cell r="E426">
            <v>0</v>
          </cell>
        </row>
        <row r="427">
          <cell r="D427">
            <v>0</v>
          </cell>
          <cell r="E427">
            <v>0</v>
          </cell>
        </row>
        <row r="428">
          <cell r="D428">
            <v>0</v>
          </cell>
          <cell r="E428">
            <v>0</v>
          </cell>
        </row>
        <row r="429">
          <cell r="D429">
            <v>0</v>
          </cell>
          <cell r="E429">
            <v>0</v>
          </cell>
        </row>
        <row r="430">
          <cell r="D430">
            <v>0</v>
          </cell>
          <cell r="E430">
            <v>0</v>
          </cell>
        </row>
        <row r="431">
          <cell r="D431">
            <v>0</v>
          </cell>
          <cell r="E431">
            <v>0</v>
          </cell>
        </row>
        <row r="432">
          <cell r="D432">
            <v>0</v>
          </cell>
          <cell r="E432">
            <v>0</v>
          </cell>
        </row>
        <row r="433">
          <cell r="D433">
            <v>0</v>
          </cell>
          <cell r="E433">
            <v>0</v>
          </cell>
        </row>
        <row r="434">
          <cell r="D434">
            <v>0</v>
          </cell>
          <cell r="E434">
            <v>0</v>
          </cell>
        </row>
        <row r="435">
          <cell r="D435">
            <v>0</v>
          </cell>
          <cell r="E435">
            <v>0</v>
          </cell>
        </row>
        <row r="436">
          <cell r="D436">
            <v>0</v>
          </cell>
          <cell r="E436">
            <v>0</v>
          </cell>
        </row>
        <row r="437">
          <cell r="D437">
            <v>0</v>
          </cell>
          <cell r="E437">
            <v>0</v>
          </cell>
        </row>
        <row r="438">
          <cell r="D438">
            <v>0</v>
          </cell>
          <cell r="E438">
            <v>0</v>
          </cell>
        </row>
        <row r="439">
          <cell r="D439">
            <v>0</v>
          </cell>
          <cell r="E439">
            <v>0</v>
          </cell>
        </row>
        <row r="440">
          <cell r="D440">
            <v>0</v>
          </cell>
          <cell r="E440">
            <v>0</v>
          </cell>
        </row>
        <row r="441">
          <cell r="D441">
            <v>0</v>
          </cell>
          <cell r="E441">
            <v>0</v>
          </cell>
        </row>
        <row r="442">
          <cell r="D442">
            <v>0</v>
          </cell>
          <cell r="E442">
            <v>0</v>
          </cell>
        </row>
        <row r="443">
          <cell r="D443">
            <v>0</v>
          </cell>
          <cell r="E443">
            <v>0</v>
          </cell>
        </row>
        <row r="444">
          <cell r="D444">
            <v>0</v>
          </cell>
          <cell r="E444">
            <v>0</v>
          </cell>
        </row>
        <row r="445">
          <cell r="D445">
            <v>0</v>
          </cell>
          <cell r="E445">
            <v>0</v>
          </cell>
        </row>
        <row r="446">
          <cell r="D446">
            <v>0</v>
          </cell>
          <cell r="E446">
            <v>0</v>
          </cell>
        </row>
        <row r="447">
          <cell r="D447">
            <v>0</v>
          </cell>
          <cell r="E447">
            <v>0</v>
          </cell>
        </row>
        <row r="448">
          <cell r="D448">
            <v>0</v>
          </cell>
          <cell r="E448">
            <v>0</v>
          </cell>
        </row>
        <row r="449">
          <cell r="D449">
            <v>0</v>
          </cell>
          <cell r="E449">
            <v>0</v>
          </cell>
        </row>
        <row r="450">
          <cell r="D450">
            <v>0</v>
          </cell>
          <cell r="E450">
            <v>0</v>
          </cell>
        </row>
        <row r="451">
          <cell r="D451">
            <v>0</v>
          </cell>
          <cell r="E451">
            <v>0</v>
          </cell>
        </row>
        <row r="452">
          <cell r="D452">
            <v>0</v>
          </cell>
          <cell r="E452">
            <v>0</v>
          </cell>
        </row>
        <row r="453">
          <cell r="D453">
            <v>0</v>
          </cell>
          <cell r="E453">
            <v>0</v>
          </cell>
        </row>
        <row r="454">
          <cell r="D454">
            <v>0</v>
          </cell>
          <cell r="E454">
            <v>0</v>
          </cell>
        </row>
        <row r="455">
          <cell r="D455">
            <v>0</v>
          </cell>
          <cell r="E455">
            <v>0</v>
          </cell>
        </row>
        <row r="456">
          <cell r="D456">
            <v>0</v>
          </cell>
          <cell r="E456">
            <v>0</v>
          </cell>
        </row>
        <row r="457">
          <cell r="D457">
            <v>0</v>
          </cell>
          <cell r="E457">
            <v>0</v>
          </cell>
        </row>
        <row r="458">
          <cell r="D458">
            <v>0</v>
          </cell>
          <cell r="E458">
            <v>0</v>
          </cell>
        </row>
        <row r="459">
          <cell r="D459">
            <v>0</v>
          </cell>
          <cell r="E459">
            <v>0</v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45"/>
  <sheetViews>
    <sheetView tabSelected="1"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7.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3" customFormat="false" ht="24" hidden="false" customHeight="true" outlineLevel="0" collapsed="false">
      <c r="A3" s="3" t="str">
        <f aca="false">IF(N(对接源_01水果!$T$1)+N(对接源_02物料!$T$1)=0,"联动状态：★★ 两本业务册的数据都没接进来 —— 请打开对接源表按提示修复链接",IF(N(对接源_01水果!$T$4)*N(对接源_02物料!$T$4)*N(对接源_01入库吨位!$V$4)=0,"联动状态：⚠ 有业务册在用【应急备份】数据（不是实时数），请尽快修复链接","联动状态：✔ 正常 —— 01水果 "&amp;N(对接源_01水果!$T$1)&amp;" 行 ＋ 02物料 "&amp;N(对接源_02物料!$T$1)&amp;" 行 ＋ 01入库吨位 "&amp;N(对接源_01入库吨位!$V$1)&amp;" 行已自动接入"))</f>
        <v>联动状态：✔ 正常 —— 01水果 11 行 ＋ 02物料 5 行 ＋ 01入库吨位 22 行已自动接入</v>
      </c>
      <c r="B3" s="3"/>
      <c r="C3" s="3"/>
      <c r="D3" s="3"/>
    </row>
    <row r="5" customFormat="false" ht="24" hidden="false" customHeight="true" outlineLevel="0" collapsed="false">
      <c r="A5" s="4" t="s">
        <v>2</v>
      </c>
      <c r="B5" s="4"/>
      <c r="C5" s="4"/>
      <c r="D5" s="4"/>
    </row>
    <row r="6" customFormat="false" ht="19.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</row>
    <row r="7" customFormat="false" ht="18.75" hidden="false" customHeight="true" outlineLevel="0" collapsed="false">
      <c r="A7" s="6" t="n">
        <v>1</v>
      </c>
      <c r="B7" s="7" t="s">
        <v>7</v>
      </c>
      <c r="C7" s="8" t="s">
        <v>8</v>
      </c>
      <c r="D7" s="9" t="s">
        <v>9</v>
      </c>
    </row>
    <row r="8" customFormat="false" ht="18.75" hidden="false" customHeight="true" outlineLevel="0" collapsed="false">
      <c r="A8" s="6" t="n">
        <v>2</v>
      </c>
      <c r="B8" s="7" t="s">
        <v>10</v>
      </c>
      <c r="C8" s="8" t="s">
        <v>11</v>
      </c>
      <c r="D8" s="9" t="s">
        <v>9</v>
      </c>
    </row>
    <row r="9" customFormat="false" ht="18.75" hidden="false" customHeight="true" outlineLevel="0" collapsed="false">
      <c r="A9" s="6" t="n">
        <v>3</v>
      </c>
      <c r="B9" s="7" t="s">
        <v>12</v>
      </c>
      <c r="C9" s="8" t="s">
        <v>13</v>
      </c>
      <c r="D9" s="9" t="s">
        <v>9</v>
      </c>
    </row>
    <row r="10" customFormat="false" ht="18.75" hidden="false" customHeight="true" outlineLevel="0" collapsed="false">
      <c r="A10" s="6" t="n">
        <v>4</v>
      </c>
      <c r="B10" s="7" t="s">
        <v>14</v>
      </c>
      <c r="C10" s="8" t="s">
        <v>15</v>
      </c>
      <c r="D10" s="9" t="s">
        <v>9</v>
      </c>
    </row>
    <row r="12" customFormat="false" ht="24" hidden="false" customHeight="true" outlineLevel="0" collapsed="false">
      <c r="A12" s="4" t="s">
        <v>16</v>
      </c>
      <c r="B12" s="4"/>
      <c r="C12" s="4"/>
      <c r="D12" s="4"/>
    </row>
    <row r="13" customFormat="false" ht="19.5" hidden="false" customHeight="true" outlineLevel="0" collapsed="false">
      <c r="A13" s="5" t="s">
        <v>3</v>
      </c>
      <c r="B13" s="5" t="s">
        <v>4</v>
      </c>
      <c r="C13" s="5" t="s">
        <v>5</v>
      </c>
      <c r="D13" s="5" t="s">
        <v>6</v>
      </c>
    </row>
    <row r="14" customFormat="false" ht="18.75" hidden="false" customHeight="true" outlineLevel="0" collapsed="false">
      <c r="A14" s="6" t="n">
        <v>5</v>
      </c>
      <c r="B14" s="7" t="s">
        <v>17</v>
      </c>
      <c r="C14" s="8" t="s">
        <v>18</v>
      </c>
      <c r="D14" s="9" t="s">
        <v>19</v>
      </c>
    </row>
    <row r="15" customFormat="false" ht="18.75" hidden="false" customHeight="true" outlineLevel="0" collapsed="false">
      <c r="A15" s="6" t="n">
        <v>6</v>
      </c>
      <c r="B15" s="7" t="s">
        <v>20</v>
      </c>
      <c r="C15" s="8" t="s">
        <v>21</v>
      </c>
      <c r="D15" s="10" t="s">
        <v>22</v>
      </c>
    </row>
    <row r="16" customFormat="false" ht="18.75" hidden="false" customHeight="true" outlineLevel="0" collapsed="false">
      <c r="A16" s="6" t="n">
        <v>7</v>
      </c>
      <c r="B16" s="7" t="s">
        <v>23</v>
      </c>
      <c r="C16" s="8" t="s">
        <v>24</v>
      </c>
      <c r="D16" s="10" t="s">
        <v>22</v>
      </c>
    </row>
    <row r="17" customFormat="false" ht="18.75" hidden="false" customHeight="true" outlineLevel="0" collapsed="false">
      <c r="A17" s="6" t="n">
        <v>8</v>
      </c>
      <c r="B17" s="7" t="s">
        <v>25</v>
      </c>
      <c r="C17" s="8" t="s">
        <v>26</v>
      </c>
      <c r="D17" s="10" t="s">
        <v>22</v>
      </c>
    </row>
    <row r="18" customFormat="false" ht="18.75" hidden="false" customHeight="true" outlineLevel="0" collapsed="false">
      <c r="A18" s="6" t="n">
        <v>9</v>
      </c>
      <c r="B18" s="7" t="s">
        <v>27</v>
      </c>
      <c r="C18" s="8" t="s">
        <v>28</v>
      </c>
      <c r="D18" s="10" t="s">
        <v>22</v>
      </c>
    </row>
    <row r="20" customFormat="false" ht="24" hidden="false" customHeight="true" outlineLevel="0" collapsed="false">
      <c r="A20" s="4" t="s">
        <v>29</v>
      </c>
      <c r="B20" s="4"/>
      <c r="C20" s="4"/>
      <c r="D20" s="4"/>
    </row>
    <row r="21" customFormat="false" ht="19.5" hidden="false" customHeight="true" outlineLevel="0" collapsed="false">
      <c r="A21" s="5" t="s">
        <v>3</v>
      </c>
      <c r="B21" s="5" t="s">
        <v>4</v>
      </c>
      <c r="C21" s="5" t="s">
        <v>5</v>
      </c>
      <c r="D21" s="5" t="s">
        <v>6</v>
      </c>
    </row>
    <row r="22" customFormat="false" ht="18.75" hidden="false" customHeight="true" outlineLevel="0" collapsed="false">
      <c r="A22" s="6" t="n">
        <v>10</v>
      </c>
      <c r="B22" s="7" t="s">
        <v>30</v>
      </c>
      <c r="C22" s="8" t="s">
        <v>31</v>
      </c>
      <c r="D22" s="9" t="s">
        <v>9</v>
      </c>
    </row>
    <row r="23" customFormat="false" ht="18.75" hidden="false" customHeight="true" outlineLevel="0" collapsed="false">
      <c r="A23" s="6" t="n">
        <v>11</v>
      </c>
      <c r="B23" s="7" t="s">
        <v>32</v>
      </c>
      <c r="C23" s="8" t="s">
        <v>33</v>
      </c>
      <c r="D23" s="9" t="s">
        <v>9</v>
      </c>
    </row>
    <row r="24" customFormat="false" ht="18.75" hidden="false" customHeight="true" outlineLevel="0" collapsed="false">
      <c r="A24" s="6" t="n">
        <v>12</v>
      </c>
      <c r="B24" s="7" t="s">
        <v>34</v>
      </c>
      <c r="C24" s="8" t="s">
        <v>35</v>
      </c>
      <c r="D24" s="9" t="s">
        <v>9</v>
      </c>
    </row>
    <row r="25" customFormat="false" ht="18.75" hidden="false" customHeight="true" outlineLevel="0" collapsed="false">
      <c r="A25" s="6" t="n">
        <v>13</v>
      </c>
      <c r="B25" s="7" t="s">
        <v>36</v>
      </c>
      <c r="C25" s="8" t="s">
        <v>37</v>
      </c>
      <c r="D25" s="9" t="s">
        <v>9</v>
      </c>
    </row>
    <row r="26" customFormat="false" ht="18.75" hidden="false" customHeight="true" outlineLevel="0" collapsed="false">
      <c r="A26" s="6" t="n">
        <v>14</v>
      </c>
      <c r="B26" s="7" t="s">
        <v>38</v>
      </c>
      <c r="C26" s="8" t="s">
        <v>39</v>
      </c>
      <c r="D26" s="9" t="s">
        <v>9</v>
      </c>
    </row>
    <row r="27" customFormat="false" ht="18.75" hidden="false" customHeight="true" outlineLevel="0" collapsed="false">
      <c r="A27" s="6" t="n">
        <v>15</v>
      </c>
      <c r="B27" s="7" t="s">
        <v>40</v>
      </c>
      <c r="C27" s="8" t="s">
        <v>41</v>
      </c>
      <c r="D27" s="9" t="s">
        <v>9</v>
      </c>
    </row>
    <row r="28" customFormat="false" ht="18.75" hidden="false" customHeight="true" outlineLevel="0" collapsed="false">
      <c r="A28" s="6" t="n">
        <v>16</v>
      </c>
      <c r="B28" s="7" t="s">
        <v>42</v>
      </c>
      <c r="C28" s="11" t="s">
        <v>43</v>
      </c>
      <c r="D28" s="9" t="s">
        <v>19</v>
      </c>
    </row>
    <row r="29" customFormat="false" ht="18.75" hidden="false" customHeight="true" outlineLevel="0" collapsed="false">
      <c r="A29" s="6" t="n">
        <v>17</v>
      </c>
      <c r="B29" s="7" t="s">
        <v>44</v>
      </c>
      <c r="C29" s="8" t="s">
        <v>45</v>
      </c>
      <c r="D29" s="9" t="s">
        <v>19</v>
      </c>
    </row>
    <row r="30" customFormat="false" ht="18.75" hidden="false" customHeight="true" outlineLevel="0" collapsed="false">
      <c r="A30" s="6" t="n">
        <v>18</v>
      </c>
      <c r="B30" s="7" t="s">
        <v>46</v>
      </c>
      <c r="C30" s="8" t="s">
        <v>47</v>
      </c>
      <c r="D30" s="9" t="s">
        <v>9</v>
      </c>
    </row>
    <row r="31" customFormat="false" ht="18.75" hidden="false" customHeight="true" outlineLevel="0" collapsed="false">
      <c r="A31" s="6" t="n">
        <v>19</v>
      </c>
      <c r="B31" s="7" t="s">
        <v>48</v>
      </c>
      <c r="C31" s="8" t="s">
        <v>49</v>
      </c>
      <c r="D31" s="9" t="s">
        <v>19</v>
      </c>
    </row>
    <row r="33" customFormat="false" ht="24" hidden="false" customHeight="true" outlineLevel="0" collapsed="false">
      <c r="A33" s="4" t="s">
        <v>50</v>
      </c>
      <c r="B33" s="4"/>
      <c r="C33" s="4"/>
      <c r="D33" s="4"/>
    </row>
    <row r="34" customFormat="false" ht="19.5" hidden="false" customHeight="true" outlineLevel="0" collapsed="false">
      <c r="A34" s="5" t="s">
        <v>3</v>
      </c>
      <c r="B34" s="5" t="s">
        <v>4</v>
      </c>
      <c r="C34" s="5" t="s">
        <v>5</v>
      </c>
      <c r="D34" s="5" t="s">
        <v>6</v>
      </c>
    </row>
    <row r="35" customFormat="false" ht="18.75" hidden="false" customHeight="true" outlineLevel="0" collapsed="false">
      <c r="A35" s="6" t="n">
        <v>20</v>
      </c>
      <c r="B35" s="7" t="s">
        <v>51</v>
      </c>
      <c r="C35" s="8" t="s">
        <v>52</v>
      </c>
      <c r="D35" s="12" t="s">
        <v>53</v>
      </c>
    </row>
    <row r="36" customFormat="false" ht="18.75" hidden="false" customHeight="true" outlineLevel="0" collapsed="false">
      <c r="A36" s="6" t="n">
        <v>21</v>
      </c>
      <c r="B36" s="7" t="s">
        <v>54</v>
      </c>
      <c r="C36" s="8" t="s">
        <v>55</v>
      </c>
      <c r="D36" s="12" t="s">
        <v>53</v>
      </c>
    </row>
    <row r="37" customFormat="false" ht="18.75" hidden="false" customHeight="true" outlineLevel="0" collapsed="false">
      <c r="A37" s="6" t="n">
        <v>22</v>
      </c>
      <c r="B37" s="7" t="s">
        <v>56</v>
      </c>
      <c r="C37" s="8" t="s">
        <v>57</v>
      </c>
      <c r="D37" s="12" t="s">
        <v>53</v>
      </c>
    </row>
    <row r="38" customFormat="false" ht="18.75" hidden="false" customHeight="true" outlineLevel="0" collapsed="false">
      <c r="A38" s="6" t="n">
        <v>23</v>
      </c>
      <c r="B38" s="7" t="s">
        <v>58</v>
      </c>
      <c r="C38" s="8" t="s">
        <v>59</v>
      </c>
      <c r="D38" s="12" t="s">
        <v>53</v>
      </c>
    </row>
    <row r="40" customFormat="false" ht="19.5" hidden="false" customHeight="true" outlineLevel="0" collapsed="false">
      <c r="A40" s="13" t="s">
        <v>60</v>
      </c>
      <c r="B40" s="13"/>
      <c r="C40" s="13"/>
      <c r="D40" s="13"/>
    </row>
    <row r="42" customFormat="false" ht="19.5" hidden="false" customHeight="true" outlineLevel="0" collapsed="false">
      <c r="A42" s="14" t="s">
        <v>61</v>
      </c>
      <c r="B42" s="14"/>
      <c r="C42" s="14"/>
      <c r="D42" s="14"/>
    </row>
    <row r="43" customFormat="false" ht="19.5" hidden="false" customHeight="true" outlineLevel="0" collapsed="false">
      <c r="A43" s="15" t="s">
        <v>3</v>
      </c>
      <c r="B43" s="15" t="s">
        <v>4</v>
      </c>
      <c r="C43" s="15" t="s">
        <v>5</v>
      </c>
      <c r="D43" s="15" t="s">
        <v>6</v>
      </c>
    </row>
    <row r="44" customFormat="false" ht="18" hidden="false" customHeight="true" outlineLevel="0" collapsed="false">
      <c r="A44" s="16" t="n">
        <v>1</v>
      </c>
      <c r="B44" s="17" t="str">
        <f aca="false">HYPERLINK("#'对接源_01库存'!A1","对接源_01库存")</f>
        <v>对接源_01库存</v>
      </c>
      <c r="C44" s="18" t="s">
        <v>62</v>
      </c>
      <c r="D44" s="19" t="s">
        <v>9</v>
      </c>
    </row>
    <row r="45" customFormat="false" ht="18" hidden="false" customHeight="true" outlineLevel="0" collapsed="false">
      <c r="A45" s="16" t="n">
        <v>2</v>
      </c>
      <c r="B45" s="17" t="str">
        <f aca="false">HYPERLINK("#'库存价值与欠款比对'!A1","库存价值与欠款比对")</f>
        <v>库存价值与欠款比对</v>
      </c>
      <c r="C45" s="18" t="s">
        <v>63</v>
      </c>
      <c r="D45" s="19" t="s">
        <v>19</v>
      </c>
    </row>
  </sheetData>
  <mergeCells count="9">
    <mergeCell ref="A1:D1"/>
    <mergeCell ref="A2:D2"/>
    <mergeCell ref="A3:D3"/>
    <mergeCell ref="A5:D5"/>
    <mergeCell ref="A12:D12"/>
    <mergeCell ref="A20:D20"/>
    <mergeCell ref="A33:D33"/>
    <mergeCell ref="A40:D40"/>
    <mergeCell ref="A42:D42"/>
  </mergeCells>
  <conditionalFormatting sqref="A3">
    <cfRule type="expression" priority="2" aboveAverage="0" equalAverage="0" bottom="0" percent="0" rank="0" text="" dxfId="0">
      <formula>LEFT(A3,7)&lt;&gt;"联动状态：✔"</formula>
    </cfRule>
  </conditionalFormatting>
  <hyperlinks>
    <hyperlink ref="B7" location="'对接源_01水果'!A1" display="对接源_01水果"/>
    <hyperlink ref="B8" location="'对接源_02物料'!A1" display="对接源_02物料"/>
    <hyperlink ref="B9" location="'对接源_01入库吨位'!A1" display="对接源_01入库吨位"/>
    <hyperlink ref="B10" location="'进销存对接'!A1" display="进销存对接"/>
    <hyperlink ref="B14" location="'原料入库计价'!A1" display="原料入库计价"/>
    <hyperlink ref="B15" location="'资金日记账'!A1" display="资金日记账"/>
    <hyperlink ref="B16" location="'成本费用登记表'!A1" display="成本费用登记表"/>
    <hyperlink ref="B17" location="'对账补充行'!A1" display="对账补充行"/>
    <hyperlink ref="B18" location="'期初余额'!A1" display="期初余额"/>
    <hyperlink ref="B22" location="'记账凭证'!A1" display="记账凭证"/>
    <hyperlink ref="B23" location="'资金与往来余额表'!A1" display="资金与往来余额表"/>
    <hyperlink ref="B24" location="'应收应付汇总表'!A1" display="应收应付汇总表"/>
    <hyperlink ref="B25" location="'收入月度汇总'!A1" display="收入月度汇总"/>
    <hyperlink ref="B26" location="'费用月度汇总'!A1" display="费用月度汇总"/>
    <hyperlink ref="B27" location="'应付账款明细'!A1" display="应付账款明细"/>
    <hyperlink ref="B28" location="'往来对账单'!A1" display="往来对账单"/>
    <hyperlink ref="B29" location="'科目余额表'!A1" display="科目余额表"/>
    <hyperlink ref="B30" location="'资产负债表'!A1" display="资产负债表"/>
    <hyperlink ref="B31" location="'利润表'!A1" display="利润表"/>
    <hyperlink ref="B35" location="'自动规则'!A1" display="自动规则"/>
    <hyperlink ref="B36" location="'收入成本映射'!A1" display="收入成本映射"/>
    <hyperlink ref="B37" location="'科目表'!A1" display="科目表"/>
    <hyperlink ref="B38" location="'常用分录参考'!A1" display="常用分录参考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1"/>
  <sheetViews>
    <sheetView showFormulas="false" showGridLines="false" showRowColHeaders="true" showZeros="true" rightToLeft="false" showOutlineSymbols="true" defaultGridColor="true" view="normal" topLeftCell="A105" colorId="64" zoomScale="100" zoomScaleNormal="100" zoomScalePageLayoutView="100" workbookViewId="0">
      <selection pane="topLeft" activeCell="C124" activeCellId="0" sqref="C124"/>
    </sheetView>
  </sheetViews>
  <sheetFormatPr defaultColWidth="9" defaultRowHeight="13.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8" min="3" style="0" width="22"/>
  </cols>
  <sheetData>
    <row r="1" customFormat="false" ht="30" hidden="false" customHeight="true" outlineLevel="0" collapsed="false">
      <c r="A1" s="20" t="s">
        <v>64</v>
      </c>
      <c r="B1" s="20"/>
      <c r="C1" s="20"/>
      <c r="D1" s="20"/>
      <c r="E1" s="20"/>
      <c r="F1" s="20"/>
      <c r="G1" s="20"/>
      <c r="H1" s="20"/>
    </row>
    <row r="2" customFormat="false" ht="18" hidden="false" customHeight="true" outlineLevel="0" collapsed="false">
      <c r="A2" s="21" t="s">
        <v>65</v>
      </c>
      <c r="B2" s="21"/>
      <c r="C2" s="21"/>
      <c r="D2" s="21"/>
      <c r="E2" s="21"/>
      <c r="F2" s="21"/>
      <c r="G2" s="21"/>
      <c r="H2" s="21"/>
    </row>
    <row r="4" customFormat="false" ht="15" hidden="false" customHeight="true" outlineLevel="0" collapsed="false">
      <c r="B4" s="22" t="s">
        <v>66</v>
      </c>
      <c r="C4" s="22"/>
      <c r="D4" s="22"/>
      <c r="E4" s="22"/>
      <c r="F4" s="22"/>
      <c r="G4" s="22"/>
      <c r="H4" s="22"/>
    </row>
    <row r="5" customFormat="false" ht="13.5" hidden="false" customHeight="false" outlineLevel="0" collapsed="false">
      <c r="B5" s="23"/>
      <c r="C5" s="23"/>
      <c r="D5" s="23"/>
      <c r="E5" s="23"/>
      <c r="F5" s="23"/>
      <c r="G5" s="23"/>
      <c r="H5" s="23"/>
    </row>
    <row r="6" customFormat="false" ht="13.5" hidden="false" customHeight="true" outlineLevel="0" collapsed="false">
      <c r="B6" s="24" t="s">
        <v>67</v>
      </c>
      <c r="C6" s="24"/>
      <c r="D6" s="24"/>
      <c r="E6" s="24"/>
      <c r="F6" s="24"/>
      <c r="G6" s="24"/>
      <c r="H6" s="24"/>
    </row>
    <row r="7" customFormat="false" ht="13.5" hidden="false" customHeight="true" outlineLevel="0" collapsed="false">
      <c r="B7" s="24" t="s">
        <v>68</v>
      </c>
      <c r="C7" s="24"/>
      <c r="D7" s="24"/>
      <c r="E7" s="24"/>
      <c r="F7" s="24"/>
      <c r="G7" s="24"/>
      <c r="H7" s="24"/>
    </row>
    <row r="8" customFormat="false" ht="13.5" hidden="false" customHeight="true" outlineLevel="0" collapsed="false">
      <c r="B8" s="24" t="s">
        <v>69</v>
      </c>
      <c r="C8" s="24"/>
      <c r="D8" s="24"/>
      <c r="E8" s="24"/>
      <c r="F8" s="24"/>
      <c r="G8" s="24"/>
      <c r="H8" s="24"/>
    </row>
    <row r="9" customFormat="false" ht="13.5" hidden="false" customHeight="true" outlineLevel="0" collapsed="false">
      <c r="B9" s="24" t="s">
        <v>70</v>
      </c>
      <c r="C9" s="24"/>
      <c r="D9" s="24"/>
      <c r="E9" s="24"/>
      <c r="F9" s="24"/>
      <c r="G9" s="24"/>
      <c r="H9" s="24"/>
    </row>
    <row r="10" customFormat="false" ht="13.5" hidden="false" customHeight="true" outlineLevel="0" collapsed="false">
      <c r="B10" s="24" t="s">
        <v>71</v>
      </c>
      <c r="C10" s="24"/>
      <c r="D10" s="24"/>
      <c r="E10" s="24"/>
      <c r="F10" s="24"/>
      <c r="G10" s="24"/>
      <c r="H10" s="24"/>
    </row>
    <row r="11" customFormat="false" ht="13.5" hidden="false" customHeight="false" outlineLevel="0" collapsed="false">
      <c r="B11" s="24"/>
      <c r="C11" s="24"/>
      <c r="D11" s="24"/>
      <c r="E11" s="24"/>
      <c r="F11" s="24"/>
      <c r="G11" s="24"/>
      <c r="H11" s="24"/>
    </row>
    <row r="12" customFormat="false" ht="15" hidden="false" customHeight="true" outlineLevel="0" collapsed="false">
      <c r="B12" s="22" t="s">
        <v>72</v>
      </c>
      <c r="C12" s="22"/>
      <c r="D12" s="22"/>
      <c r="E12" s="22"/>
      <c r="F12" s="22"/>
      <c r="G12" s="22"/>
      <c r="H12" s="22"/>
    </row>
    <row r="13" customFormat="false" ht="13.5" hidden="false" customHeight="false" outlineLevel="0" collapsed="false">
      <c r="B13" s="24"/>
      <c r="C13" s="24"/>
      <c r="D13" s="24"/>
      <c r="E13" s="24"/>
      <c r="F13" s="24"/>
      <c r="G13" s="24"/>
      <c r="H13" s="24"/>
    </row>
    <row r="14" customFormat="false" ht="13.5" hidden="false" customHeight="true" outlineLevel="0" collapsed="false">
      <c r="B14" s="24" t="s">
        <v>73</v>
      </c>
      <c r="C14" s="24"/>
      <c r="D14" s="24"/>
      <c r="E14" s="24"/>
      <c r="F14" s="24"/>
      <c r="G14" s="24"/>
      <c r="H14" s="24"/>
    </row>
    <row r="15" customFormat="false" ht="13.5" hidden="false" customHeight="true" outlineLevel="0" collapsed="false">
      <c r="B15" s="24" t="s">
        <v>74</v>
      </c>
      <c r="C15" s="24"/>
      <c r="D15" s="24"/>
      <c r="E15" s="24"/>
      <c r="F15" s="24"/>
      <c r="G15" s="24"/>
      <c r="H15" s="24"/>
    </row>
    <row r="16" customFormat="false" ht="13.5" hidden="false" customHeight="false" outlineLevel="0" collapsed="false">
      <c r="B16" s="24"/>
      <c r="C16" s="24"/>
      <c r="D16" s="24"/>
      <c r="E16" s="24"/>
      <c r="F16" s="24"/>
      <c r="G16" s="24"/>
      <c r="H16" s="24"/>
    </row>
    <row r="17" customFormat="false" ht="15" hidden="false" customHeight="true" outlineLevel="0" collapsed="false">
      <c r="B17" s="22" t="s">
        <v>75</v>
      </c>
      <c r="C17" s="22"/>
      <c r="D17" s="22"/>
      <c r="E17" s="22"/>
      <c r="F17" s="22"/>
      <c r="G17" s="22"/>
      <c r="H17" s="22"/>
    </row>
    <row r="18" customFormat="false" ht="13.5" hidden="false" customHeight="false" outlineLevel="0" collapsed="false">
      <c r="B18" s="24"/>
      <c r="C18" s="24"/>
      <c r="D18" s="24"/>
      <c r="E18" s="24"/>
      <c r="F18" s="24"/>
      <c r="G18" s="24"/>
      <c r="H18" s="24"/>
    </row>
    <row r="19" customFormat="false" ht="13.5" hidden="false" customHeight="true" outlineLevel="0" collapsed="false">
      <c r="B19" s="24" t="s">
        <v>76</v>
      </c>
      <c r="C19" s="24"/>
      <c r="D19" s="24"/>
      <c r="E19" s="24"/>
      <c r="F19" s="24"/>
      <c r="G19" s="24"/>
      <c r="H19" s="24"/>
    </row>
    <row r="20" customFormat="false" ht="13.5" hidden="false" customHeight="true" outlineLevel="0" collapsed="false">
      <c r="B20" s="24" t="s">
        <v>77</v>
      </c>
      <c r="C20" s="24"/>
      <c r="D20" s="24"/>
      <c r="E20" s="24"/>
      <c r="F20" s="24"/>
      <c r="G20" s="24"/>
      <c r="H20" s="24"/>
    </row>
    <row r="21" customFormat="false" ht="13.5" hidden="false" customHeight="true" outlineLevel="0" collapsed="false">
      <c r="B21" s="24" t="s">
        <v>78</v>
      </c>
      <c r="C21" s="24"/>
      <c r="D21" s="24"/>
      <c r="E21" s="24"/>
      <c r="F21" s="24"/>
      <c r="G21" s="24"/>
      <c r="H21" s="24"/>
    </row>
    <row r="22" customFormat="false" ht="18" hidden="false" customHeight="true" outlineLevel="0" collapsed="false">
      <c r="B22" s="25" t="s">
        <v>79</v>
      </c>
      <c r="C22" s="25"/>
      <c r="D22" s="25"/>
      <c r="E22" s="25"/>
      <c r="F22" s="25"/>
      <c r="G22" s="25"/>
      <c r="H22" s="25"/>
    </row>
    <row r="23" customFormat="false" ht="13.5" hidden="false" customHeight="false" outlineLevel="0" collapsed="false">
      <c r="B23" s="24"/>
      <c r="C23" s="24"/>
      <c r="D23" s="24"/>
      <c r="E23" s="24"/>
      <c r="F23" s="24"/>
      <c r="G23" s="24"/>
      <c r="H23" s="24"/>
    </row>
    <row r="24" customFormat="false" ht="15" hidden="false" customHeight="true" outlineLevel="0" collapsed="false">
      <c r="B24" s="22" t="s">
        <v>80</v>
      </c>
      <c r="C24" s="22"/>
      <c r="D24" s="22"/>
      <c r="E24" s="22"/>
      <c r="F24" s="22"/>
      <c r="G24" s="22"/>
      <c r="H24" s="22"/>
    </row>
    <row r="25" customFormat="false" ht="13.5" hidden="false" customHeight="false" outlineLevel="0" collapsed="false">
      <c r="B25" s="24"/>
      <c r="C25" s="24"/>
      <c r="D25" s="24"/>
      <c r="E25" s="24"/>
      <c r="F25" s="24"/>
      <c r="G25" s="24"/>
      <c r="H25" s="24"/>
    </row>
    <row r="26" customFormat="false" ht="13.5" hidden="false" customHeight="true" outlineLevel="0" collapsed="false">
      <c r="B26" s="24" t="s">
        <v>81</v>
      </c>
      <c r="C26" s="24"/>
      <c r="D26" s="24"/>
      <c r="E26" s="24"/>
      <c r="F26" s="24"/>
      <c r="G26" s="24"/>
      <c r="H26" s="24"/>
    </row>
    <row r="27" customFormat="false" ht="13.5" hidden="false" customHeight="true" outlineLevel="0" collapsed="false">
      <c r="B27" s="24" t="s">
        <v>82</v>
      </c>
      <c r="C27" s="24"/>
      <c r="D27" s="24"/>
      <c r="E27" s="24"/>
      <c r="F27" s="24"/>
      <c r="G27" s="24"/>
      <c r="H27" s="24"/>
    </row>
    <row r="28" customFormat="false" ht="13.5" hidden="false" customHeight="true" outlineLevel="0" collapsed="false">
      <c r="B28" s="24" t="s">
        <v>83</v>
      </c>
      <c r="C28" s="24"/>
      <c r="D28" s="24"/>
      <c r="E28" s="24"/>
      <c r="F28" s="24"/>
      <c r="G28" s="24"/>
      <c r="H28" s="24"/>
    </row>
    <row r="29" customFormat="false" ht="13.5" hidden="false" customHeight="true" outlineLevel="0" collapsed="false">
      <c r="B29" s="24" t="s">
        <v>84</v>
      </c>
      <c r="C29" s="24"/>
      <c r="D29" s="24"/>
      <c r="E29" s="24"/>
      <c r="F29" s="24"/>
      <c r="G29" s="24"/>
      <c r="H29" s="24"/>
    </row>
    <row r="30" customFormat="false" ht="13.5" hidden="false" customHeight="false" outlineLevel="0" collapsed="false">
      <c r="B30" s="24"/>
      <c r="C30" s="24"/>
      <c r="D30" s="24"/>
      <c r="E30" s="24"/>
      <c r="F30" s="24"/>
      <c r="G30" s="24"/>
      <c r="H30" s="24"/>
    </row>
    <row r="31" customFormat="false" ht="15" hidden="false" customHeight="true" outlineLevel="0" collapsed="false">
      <c r="B31" s="22" t="s">
        <v>85</v>
      </c>
      <c r="C31" s="22"/>
      <c r="D31" s="22"/>
      <c r="E31" s="22"/>
      <c r="F31" s="22"/>
      <c r="G31" s="22"/>
      <c r="H31" s="22"/>
    </row>
    <row r="32" customFormat="false" ht="13.5" hidden="false" customHeight="false" outlineLevel="0" collapsed="false">
      <c r="B32" s="24"/>
      <c r="C32" s="24"/>
      <c r="D32" s="24"/>
      <c r="E32" s="24"/>
      <c r="F32" s="24"/>
      <c r="G32" s="24"/>
      <c r="H32" s="24"/>
    </row>
    <row r="33" customFormat="false" ht="13.5" hidden="false" customHeight="true" outlineLevel="0" collapsed="false">
      <c r="B33" s="24" t="s">
        <v>86</v>
      </c>
      <c r="C33" s="24"/>
      <c r="D33" s="24"/>
      <c r="E33" s="24"/>
      <c r="F33" s="24"/>
      <c r="G33" s="24"/>
      <c r="H33" s="24"/>
    </row>
    <row r="34" customFormat="false" ht="13.5" hidden="false" customHeight="true" outlineLevel="0" collapsed="false">
      <c r="B34" s="24" t="s">
        <v>87</v>
      </c>
      <c r="C34" s="24"/>
      <c r="D34" s="24"/>
      <c r="E34" s="24"/>
      <c r="F34" s="24"/>
      <c r="G34" s="24"/>
      <c r="H34" s="24"/>
    </row>
    <row r="35" customFormat="false" ht="13.5" hidden="false" customHeight="true" outlineLevel="0" collapsed="false">
      <c r="B35" s="24" t="s">
        <v>88</v>
      </c>
      <c r="C35" s="24"/>
      <c r="D35" s="24"/>
      <c r="E35" s="24"/>
      <c r="F35" s="24"/>
      <c r="G35" s="24"/>
      <c r="H35" s="24"/>
    </row>
    <row r="36" customFormat="false" ht="13.5" hidden="false" customHeight="true" outlineLevel="0" collapsed="false">
      <c r="B36" s="24" t="s">
        <v>89</v>
      </c>
      <c r="C36" s="24"/>
      <c r="D36" s="24"/>
      <c r="E36" s="24"/>
      <c r="F36" s="24"/>
      <c r="G36" s="24"/>
      <c r="H36" s="24"/>
    </row>
    <row r="37" customFormat="false" ht="13.5" hidden="false" customHeight="true" outlineLevel="0" collapsed="false">
      <c r="B37" s="24" t="s">
        <v>90</v>
      </c>
      <c r="C37" s="24"/>
      <c r="D37" s="24"/>
      <c r="E37" s="24"/>
      <c r="F37" s="24"/>
      <c r="G37" s="24"/>
      <c r="H37" s="24"/>
    </row>
    <row r="38" customFormat="false" ht="13.5" hidden="false" customHeight="false" outlineLevel="0" collapsed="false">
      <c r="B38" s="24"/>
      <c r="C38" s="24"/>
      <c r="D38" s="24"/>
      <c r="E38" s="24"/>
      <c r="F38" s="24"/>
      <c r="G38" s="24"/>
      <c r="H38" s="24"/>
    </row>
    <row r="39" customFormat="false" ht="15" hidden="false" customHeight="true" outlineLevel="0" collapsed="false">
      <c r="B39" s="22" t="s">
        <v>91</v>
      </c>
      <c r="C39" s="22"/>
      <c r="D39" s="22"/>
      <c r="E39" s="22"/>
      <c r="F39" s="22"/>
      <c r="G39" s="22"/>
      <c r="H39" s="22"/>
    </row>
    <row r="40" customFormat="false" ht="13.5" hidden="false" customHeight="false" outlineLevel="0" collapsed="false">
      <c r="B40" s="24"/>
      <c r="C40" s="24"/>
      <c r="D40" s="24"/>
      <c r="E40" s="24"/>
      <c r="F40" s="24"/>
      <c r="G40" s="24"/>
      <c r="H40" s="24"/>
    </row>
    <row r="41" customFormat="false" ht="13.5" hidden="false" customHeight="true" outlineLevel="0" collapsed="false">
      <c r="B41" s="24" t="s">
        <v>92</v>
      </c>
      <c r="C41" s="24"/>
      <c r="D41" s="24"/>
      <c r="E41" s="24"/>
      <c r="F41" s="24"/>
      <c r="G41" s="24"/>
      <c r="H41" s="24"/>
    </row>
    <row r="42" customFormat="false" ht="13.5" hidden="false" customHeight="true" outlineLevel="0" collapsed="false">
      <c r="B42" s="24" t="s">
        <v>93</v>
      </c>
      <c r="C42" s="24"/>
      <c r="D42" s="24"/>
      <c r="E42" s="24"/>
      <c r="F42" s="24"/>
      <c r="G42" s="24"/>
      <c r="H42" s="24"/>
    </row>
    <row r="43" customFormat="false" ht="13.5" hidden="false" customHeight="true" outlineLevel="0" collapsed="false">
      <c r="B43" s="24" t="s">
        <v>94</v>
      </c>
      <c r="C43" s="24"/>
      <c r="D43" s="24"/>
      <c r="E43" s="24"/>
      <c r="F43" s="24"/>
      <c r="G43" s="24"/>
      <c r="H43" s="24"/>
    </row>
    <row r="45" customFormat="false" ht="18" hidden="false" customHeight="true" outlineLevel="0" collapsed="false">
      <c r="B45" s="26" t="s">
        <v>95</v>
      </c>
      <c r="C45" s="26"/>
      <c r="D45" s="26"/>
      <c r="E45" s="26"/>
      <c r="F45" s="26"/>
      <c r="G45" s="26"/>
      <c r="H45" s="26"/>
    </row>
    <row r="47" customFormat="false" ht="18" hidden="false" customHeight="true" outlineLevel="0" collapsed="false">
      <c r="B47" s="25" t="s">
        <v>96</v>
      </c>
      <c r="C47" s="25"/>
      <c r="D47" s="25"/>
      <c r="E47" s="25"/>
      <c r="F47" s="25"/>
      <c r="G47" s="25"/>
      <c r="H47" s="25"/>
    </row>
    <row r="48" customFormat="false" ht="18" hidden="false" customHeight="true" outlineLevel="0" collapsed="false">
      <c r="B48" s="25" t="s">
        <v>97</v>
      </c>
      <c r="C48" s="25"/>
      <c r="D48" s="25"/>
      <c r="E48" s="25"/>
      <c r="F48" s="25"/>
      <c r="G48" s="25"/>
      <c r="H48" s="25"/>
    </row>
    <row r="49" customFormat="false" ht="18" hidden="false" customHeight="true" outlineLevel="0" collapsed="false">
      <c r="B49" s="25" t="s">
        <v>98</v>
      </c>
      <c r="C49" s="25"/>
      <c r="D49" s="25"/>
      <c r="E49" s="25"/>
      <c r="F49" s="25"/>
      <c r="G49" s="25"/>
      <c r="H49" s="25"/>
    </row>
    <row r="50" customFormat="false" ht="18" hidden="false" customHeight="true" outlineLevel="0" collapsed="false">
      <c r="B50" s="25" t="s">
        <v>99</v>
      </c>
      <c r="C50" s="25"/>
      <c r="D50" s="25"/>
      <c r="E50" s="25"/>
      <c r="F50" s="25"/>
      <c r="G50" s="25"/>
      <c r="H50" s="25"/>
    </row>
    <row r="51" customFormat="false" ht="18" hidden="false" customHeight="true" outlineLevel="0" collapsed="false">
      <c r="B51" s="25" t="s">
        <v>100</v>
      </c>
      <c r="C51" s="25"/>
      <c r="D51" s="25"/>
      <c r="E51" s="25"/>
      <c r="F51" s="25"/>
      <c r="G51" s="25"/>
      <c r="H51" s="25"/>
    </row>
    <row r="52" customFormat="false" ht="18" hidden="false" customHeight="true" outlineLevel="0" collapsed="false">
      <c r="B52" s="25" t="s">
        <v>101</v>
      </c>
      <c r="C52" s="25"/>
      <c r="D52" s="25"/>
      <c r="E52" s="25"/>
      <c r="F52" s="25"/>
      <c r="G52" s="25"/>
      <c r="H52" s="25"/>
    </row>
    <row r="53" customFormat="false" ht="18" hidden="false" customHeight="true" outlineLevel="0" collapsed="false">
      <c r="B53" s="25" t="s">
        <v>102</v>
      </c>
      <c r="C53" s="25"/>
      <c r="D53" s="25"/>
      <c r="E53" s="25"/>
      <c r="F53" s="25"/>
      <c r="G53" s="25"/>
      <c r="H53" s="25"/>
    </row>
    <row r="54" customFormat="false" ht="18" hidden="false" customHeight="true" outlineLevel="0" collapsed="false">
      <c r="B54" s="25" t="s">
        <v>103</v>
      </c>
      <c r="C54" s="25"/>
      <c r="D54" s="25"/>
      <c r="E54" s="25"/>
      <c r="F54" s="25"/>
      <c r="G54" s="25"/>
      <c r="H54" s="25"/>
    </row>
    <row r="55" customFormat="false" ht="18" hidden="false" customHeight="true" outlineLevel="0" collapsed="false">
      <c r="B55" s="25" t="s">
        <v>104</v>
      </c>
      <c r="C55" s="25"/>
      <c r="D55" s="25"/>
      <c r="E55" s="25"/>
      <c r="F55" s="25"/>
      <c r="G55" s="25"/>
      <c r="H55" s="25"/>
    </row>
    <row r="56" customFormat="false" ht="18" hidden="false" customHeight="true" outlineLevel="0" collapsed="false">
      <c r="B56" s="27" t="s">
        <v>105</v>
      </c>
      <c r="C56" s="27"/>
      <c r="D56" s="27"/>
      <c r="E56" s="27"/>
      <c r="F56" s="27"/>
      <c r="G56" s="27"/>
      <c r="H56" s="27"/>
    </row>
    <row r="58" customFormat="false" ht="18" hidden="false" customHeight="true" outlineLevel="0" collapsed="false">
      <c r="B58" s="26" t="s">
        <v>106</v>
      </c>
      <c r="C58" s="26"/>
      <c r="D58" s="26"/>
      <c r="E58" s="26"/>
      <c r="F58" s="26"/>
      <c r="G58" s="26"/>
      <c r="H58" s="26"/>
    </row>
    <row r="60" customFormat="false" ht="18" hidden="false" customHeight="true" outlineLevel="0" collapsed="false">
      <c r="B60" s="25" t="s">
        <v>107</v>
      </c>
      <c r="C60" s="25"/>
      <c r="D60" s="25"/>
      <c r="E60" s="25"/>
      <c r="F60" s="25"/>
      <c r="G60" s="25"/>
      <c r="H60" s="25"/>
    </row>
    <row r="61" customFormat="false" ht="18" hidden="false" customHeight="true" outlineLevel="0" collapsed="false">
      <c r="B61" s="25" t="s">
        <v>108</v>
      </c>
      <c r="C61" s="25"/>
      <c r="D61" s="25"/>
      <c r="E61" s="25"/>
      <c r="F61" s="25"/>
      <c r="G61" s="25"/>
      <c r="H61" s="25"/>
    </row>
    <row r="62" customFormat="false" ht="18" hidden="false" customHeight="true" outlineLevel="0" collapsed="false">
      <c r="B62" s="25" t="s">
        <v>109</v>
      </c>
      <c r="C62" s="25"/>
      <c r="D62" s="25"/>
      <c r="E62" s="25"/>
      <c r="F62" s="25"/>
      <c r="G62" s="25"/>
      <c r="H62" s="25"/>
    </row>
    <row r="63" customFormat="false" ht="18" hidden="false" customHeight="true" outlineLevel="0" collapsed="false">
      <c r="B63" s="25" t="s">
        <v>110</v>
      </c>
      <c r="C63" s="25"/>
      <c r="D63" s="25"/>
      <c r="E63" s="25"/>
      <c r="F63" s="25"/>
      <c r="G63" s="25"/>
      <c r="H63" s="25"/>
    </row>
    <row r="64" customFormat="false" ht="18" hidden="false" customHeight="true" outlineLevel="0" collapsed="false">
      <c r="B64" s="25" t="s">
        <v>111</v>
      </c>
      <c r="C64" s="25"/>
      <c r="D64" s="25"/>
      <c r="E64" s="25"/>
      <c r="F64" s="25"/>
      <c r="G64" s="25"/>
      <c r="H64" s="25"/>
    </row>
    <row r="65" customFormat="false" ht="18" hidden="false" customHeight="true" outlineLevel="0" collapsed="false">
      <c r="B65" s="25" t="s">
        <v>112</v>
      </c>
      <c r="C65" s="25"/>
      <c r="D65" s="25"/>
      <c r="E65" s="25"/>
      <c r="F65" s="25"/>
      <c r="G65" s="25"/>
      <c r="H65" s="25"/>
    </row>
    <row r="66" customFormat="false" ht="18" hidden="false" customHeight="true" outlineLevel="0" collapsed="false">
      <c r="B66" s="25" t="s">
        <v>113</v>
      </c>
      <c r="C66" s="25"/>
      <c r="D66" s="25"/>
      <c r="E66" s="25"/>
      <c r="F66" s="25"/>
      <c r="G66" s="25"/>
      <c r="H66" s="25"/>
    </row>
    <row r="67" customFormat="false" ht="18" hidden="false" customHeight="true" outlineLevel="0" collapsed="false">
      <c r="B67" s="25" t="s">
        <v>114</v>
      </c>
      <c r="C67" s="25"/>
      <c r="D67" s="25"/>
      <c r="E67" s="25"/>
      <c r="F67" s="25"/>
      <c r="G67" s="25"/>
      <c r="H67" s="25"/>
    </row>
    <row r="69" customFormat="false" ht="18" hidden="false" customHeight="true" outlineLevel="0" collapsed="false">
      <c r="B69" s="26" t="s">
        <v>115</v>
      </c>
      <c r="C69" s="26"/>
      <c r="D69" s="26"/>
      <c r="E69" s="26"/>
      <c r="F69" s="26"/>
      <c r="G69" s="26"/>
      <c r="H69" s="26"/>
    </row>
    <row r="71" customFormat="false" ht="18" hidden="false" customHeight="true" outlineLevel="0" collapsed="false">
      <c r="B71" s="25" t="s">
        <v>116</v>
      </c>
      <c r="C71" s="25"/>
      <c r="D71" s="25"/>
      <c r="E71" s="25"/>
      <c r="F71" s="25"/>
      <c r="G71" s="25"/>
      <c r="H71" s="25"/>
    </row>
    <row r="72" customFormat="false" ht="18" hidden="false" customHeight="true" outlineLevel="0" collapsed="false">
      <c r="B72" s="25" t="s">
        <v>117</v>
      </c>
      <c r="C72" s="25"/>
      <c r="D72" s="25"/>
      <c r="E72" s="25"/>
      <c r="F72" s="25"/>
      <c r="G72" s="25"/>
      <c r="H72" s="25"/>
    </row>
    <row r="73" customFormat="false" ht="18" hidden="false" customHeight="true" outlineLevel="0" collapsed="false">
      <c r="B73" s="27" t="s">
        <v>118</v>
      </c>
      <c r="C73" s="27"/>
      <c r="D73" s="27"/>
      <c r="E73" s="27"/>
      <c r="F73" s="27"/>
      <c r="G73" s="27"/>
      <c r="H73" s="27"/>
    </row>
    <row r="75" customFormat="false" ht="19.5" hidden="false" customHeight="true" outlineLevel="0" collapsed="false">
      <c r="A75" s="4" t="s">
        <v>119</v>
      </c>
      <c r="B75" s="4"/>
      <c r="C75" s="4"/>
      <c r="D75" s="4"/>
      <c r="E75" s="4"/>
      <c r="F75" s="4"/>
      <c r="G75" s="4"/>
      <c r="H75" s="4"/>
    </row>
    <row r="76" customFormat="false" ht="30" hidden="false" customHeight="true" outlineLevel="0" collapsed="false">
      <c r="A76" s="28" t="s">
        <v>120</v>
      </c>
      <c r="B76" s="28"/>
      <c r="C76" s="28"/>
      <c r="D76" s="28"/>
      <c r="E76" s="28"/>
      <c r="F76" s="28"/>
      <c r="G76" s="28"/>
      <c r="H76" s="28"/>
    </row>
    <row r="77" customFormat="false" ht="30" hidden="false" customHeight="true" outlineLevel="0" collapsed="false">
      <c r="A77" s="28" t="s">
        <v>121</v>
      </c>
      <c r="B77" s="28"/>
      <c r="C77" s="28"/>
      <c r="D77" s="28"/>
      <c r="E77" s="28"/>
      <c r="F77" s="28"/>
      <c r="G77" s="28"/>
      <c r="H77" s="28"/>
    </row>
    <row r="78" customFormat="false" ht="30" hidden="false" customHeight="true" outlineLevel="0" collapsed="false">
      <c r="A78" s="28" t="s">
        <v>122</v>
      </c>
      <c r="B78" s="28"/>
      <c r="C78" s="28"/>
      <c r="D78" s="28"/>
      <c r="E78" s="28"/>
      <c r="F78" s="28"/>
      <c r="G78" s="28"/>
      <c r="H78" s="28"/>
    </row>
    <row r="79" customFormat="false" ht="30" hidden="false" customHeight="true" outlineLevel="0" collapsed="false">
      <c r="A79" s="28" t="s">
        <v>123</v>
      </c>
      <c r="B79" s="28"/>
      <c r="C79" s="28"/>
      <c r="D79" s="28"/>
      <c r="E79" s="28"/>
      <c r="F79" s="28"/>
      <c r="G79" s="28"/>
      <c r="H79" s="28"/>
    </row>
    <row r="80" customFormat="false" ht="30" hidden="false" customHeight="true" outlineLevel="0" collapsed="false">
      <c r="A80" s="28" t="s">
        <v>124</v>
      </c>
      <c r="B80" s="28"/>
      <c r="C80" s="28"/>
      <c r="D80" s="28"/>
      <c r="E80" s="28"/>
      <c r="F80" s="28"/>
      <c r="G80" s="28"/>
      <c r="H80" s="28"/>
    </row>
    <row r="82" customFormat="false" ht="19.5" hidden="false" customHeight="true" outlineLevel="0" collapsed="false">
      <c r="A82" s="4" t="s">
        <v>125</v>
      </c>
      <c r="B82" s="4"/>
      <c r="C82" s="4"/>
      <c r="D82" s="4"/>
      <c r="E82" s="4"/>
      <c r="F82" s="4"/>
      <c r="G82" s="4"/>
      <c r="H82" s="4"/>
    </row>
    <row r="83" customFormat="false" ht="31.5" hidden="false" customHeight="true" outlineLevel="0" collapsed="false">
      <c r="A83" s="28" t="s">
        <v>126</v>
      </c>
      <c r="B83" s="28"/>
      <c r="C83" s="28"/>
      <c r="D83" s="28"/>
      <c r="E83" s="28"/>
      <c r="F83" s="28"/>
      <c r="G83" s="28"/>
      <c r="H83" s="28"/>
    </row>
    <row r="84" customFormat="false" ht="31.5" hidden="false" customHeight="true" outlineLevel="0" collapsed="false">
      <c r="A84" s="28" t="s">
        <v>127</v>
      </c>
      <c r="B84" s="28"/>
      <c r="C84" s="28"/>
      <c r="D84" s="28"/>
      <c r="E84" s="28"/>
      <c r="F84" s="28"/>
      <c r="G84" s="28"/>
      <c r="H84" s="28"/>
    </row>
    <row r="85" customFormat="false" ht="31.5" hidden="false" customHeight="true" outlineLevel="0" collapsed="false">
      <c r="A85" s="28" t="s">
        <v>128</v>
      </c>
      <c r="B85" s="28"/>
      <c r="C85" s="28"/>
      <c r="D85" s="28"/>
      <c r="E85" s="28"/>
      <c r="F85" s="28"/>
      <c r="G85" s="28"/>
      <c r="H85" s="28"/>
    </row>
    <row r="86" customFormat="false" ht="31.5" hidden="false" customHeight="true" outlineLevel="0" collapsed="false">
      <c r="A86" s="28" t="s">
        <v>129</v>
      </c>
      <c r="B86" s="28"/>
      <c r="C86" s="28"/>
      <c r="D86" s="28"/>
      <c r="E86" s="28"/>
      <c r="F86" s="28"/>
      <c r="G86" s="28"/>
      <c r="H86" s="28"/>
    </row>
    <row r="87" customFormat="false" ht="31.5" hidden="false" customHeight="true" outlineLevel="0" collapsed="false">
      <c r="A87" s="28" t="s">
        <v>130</v>
      </c>
      <c r="B87" s="28"/>
      <c r="C87" s="28"/>
      <c r="D87" s="28"/>
      <c r="E87" s="28"/>
      <c r="F87" s="28"/>
      <c r="G87" s="28"/>
      <c r="H87" s="28"/>
    </row>
    <row r="88" customFormat="false" ht="31.5" hidden="false" customHeight="true" outlineLevel="0" collapsed="false">
      <c r="A88" s="28" t="s">
        <v>131</v>
      </c>
      <c r="B88" s="28"/>
      <c r="C88" s="28"/>
      <c r="D88" s="28"/>
      <c r="E88" s="28"/>
      <c r="F88" s="28"/>
      <c r="G88" s="28"/>
      <c r="H88" s="28"/>
    </row>
    <row r="89" customFormat="false" ht="31.5" hidden="false" customHeight="true" outlineLevel="0" collapsed="false">
      <c r="A89" s="28" t="s">
        <v>132</v>
      </c>
      <c r="B89" s="28"/>
      <c r="C89" s="28"/>
      <c r="D89" s="28"/>
      <c r="E89" s="28"/>
      <c r="F89" s="28"/>
      <c r="G89" s="28"/>
      <c r="H89" s="28"/>
    </row>
    <row r="91" customFormat="false" ht="19.5" hidden="false" customHeight="true" outlineLevel="0" collapsed="false">
      <c r="A91" s="29" t="s">
        <v>133</v>
      </c>
      <c r="B91" s="29"/>
      <c r="C91" s="29"/>
      <c r="D91" s="29"/>
      <c r="E91" s="29"/>
      <c r="F91" s="29"/>
      <c r="G91" s="29"/>
      <c r="H91" s="29"/>
    </row>
    <row r="92" customFormat="false" ht="30" hidden="false" customHeight="true" outlineLevel="0" collapsed="false">
      <c r="A92" s="28" t="s">
        <v>134</v>
      </c>
      <c r="B92" s="28"/>
      <c r="C92" s="28"/>
      <c r="D92" s="28"/>
      <c r="E92" s="28"/>
      <c r="F92" s="28"/>
      <c r="G92" s="28"/>
      <c r="H92" s="28"/>
    </row>
    <row r="93" customFormat="false" ht="30" hidden="false" customHeight="true" outlineLevel="0" collapsed="false">
      <c r="A93" s="28" t="s">
        <v>135</v>
      </c>
      <c r="B93" s="28"/>
      <c r="C93" s="28"/>
      <c r="D93" s="28"/>
      <c r="E93" s="28"/>
      <c r="F93" s="28"/>
      <c r="G93" s="28"/>
      <c r="H93" s="28"/>
    </row>
    <row r="94" customFormat="false" ht="30" hidden="false" customHeight="true" outlineLevel="0" collapsed="false">
      <c r="A94" s="28" t="s">
        <v>136</v>
      </c>
      <c r="B94" s="28"/>
      <c r="C94" s="28"/>
      <c r="D94" s="28"/>
      <c r="E94" s="28"/>
      <c r="F94" s="28"/>
      <c r="G94" s="28"/>
      <c r="H94" s="28"/>
    </row>
    <row r="95" customFormat="false" ht="30" hidden="false" customHeight="true" outlineLevel="0" collapsed="false">
      <c r="A95" s="28" t="s">
        <v>137</v>
      </c>
      <c r="B95" s="28"/>
      <c r="C95" s="28"/>
      <c r="D95" s="28"/>
      <c r="E95" s="28"/>
      <c r="F95" s="28"/>
      <c r="G95" s="28"/>
      <c r="H95" s="28"/>
    </row>
    <row r="96" customFormat="false" ht="30" hidden="false" customHeight="true" outlineLevel="0" collapsed="false">
      <c r="A96" s="28" t="s">
        <v>138</v>
      </c>
      <c r="B96" s="28"/>
      <c r="C96" s="28"/>
      <c r="D96" s="28"/>
      <c r="E96" s="28"/>
      <c r="F96" s="28"/>
      <c r="G96" s="28"/>
      <c r="H96" s="28"/>
    </row>
    <row r="98" customFormat="false" ht="19.5" hidden="false" customHeight="true" outlineLevel="0" collapsed="false">
      <c r="A98" s="30" t="s">
        <v>139</v>
      </c>
      <c r="B98" s="30"/>
      <c r="C98" s="30"/>
      <c r="D98" s="30"/>
      <c r="E98" s="30"/>
      <c r="F98" s="30"/>
      <c r="G98" s="30"/>
      <c r="H98" s="30"/>
    </row>
    <row r="99" customFormat="false" ht="30" hidden="false" customHeight="true" outlineLevel="0" collapsed="false">
      <c r="A99" s="28" t="s">
        <v>140</v>
      </c>
      <c r="B99" s="28"/>
      <c r="C99" s="28"/>
      <c r="D99" s="28"/>
      <c r="E99" s="28"/>
      <c r="F99" s="28"/>
      <c r="G99" s="28"/>
      <c r="H99" s="28"/>
    </row>
    <row r="100" customFormat="false" ht="30" hidden="false" customHeight="true" outlineLevel="0" collapsed="false">
      <c r="A100" s="28" t="s">
        <v>141</v>
      </c>
      <c r="B100" s="28"/>
      <c r="C100" s="28"/>
      <c r="D100" s="28"/>
      <c r="E100" s="28"/>
      <c r="F100" s="28"/>
      <c r="G100" s="28"/>
      <c r="H100" s="28"/>
    </row>
    <row r="101" customFormat="false" ht="30" hidden="false" customHeight="true" outlineLevel="0" collapsed="false">
      <c r="A101" s="28" t="s">
        <v>142</v>
      </c>
      <c r="B101" s="28"/>
      <c r="C101" s="28"/>
      <c r="D101" s="28"/>
      <c r="E101" s="28"/>
      <c r="F101" s="28"/>
      <c r="G101" s="28"/>
      <c r="H101" s="28"/>
    </row>
    <row r="102" customFormat="false" ht="30" hidden="false" customHeight="true" outlineLevel="0" collapsed="false">
      <c r="A102" s="28" t="s">
        <v>143</v>
      </c>
      <c r="B102" s="28"/>
      <c r="C102" s="28"/>
      <c r="D102" s="28"/>
      <c r="E102" s="28"/>
      <c r="F102" s="28"/>
      <c r="G102" s="28"/>
      <c r="H102" s="28"/>
    </row>
    <row r="104" customFormat="false" ht="19.5" hidden="false" customHeight="true" outlineLevel="0" collapsed="false">
      <c r="A104" s="29" t="s">
        <v>144</v>
      </c>
      <c r="B104" s="29"/>
      <c r="C104" s="29"/>
      <c r="D104" s="29"/>
      <c r="E104" s="29"/>
      <c r="F104" s="29"/>
      <c r="G104" s="29"/>
      <c r="H104" s="29"/>
    </row>
    <row r="105" customFormat="false" ht="31.5" hidden="false" customHeight="true" outlineLevel="0" collapsed="false">
      <c r="A105" s="28" t="s">
        <v>145</v>
      </c>
      <c r="B105" s="28"/>
      <c r="C105" s="28"/>
      <c r="D105" s="28"/>
      <c r="E105" s="28"/>
      <c r="F105" s="28"/>
      <c r="G105" s="28"/>
      <c r="H105" s="28"/>
    </row>
    <row r="106" customFormat="false" ht="31.5" hidden="false" customHeight="true" outlineLevel="0" collapsed="false">
      <c r="A106" s="28" t="s">
        <v>146</v>
      </c>
      <c r="B106" s="28"/>
      <c r="C106" s="28"/>
      <c r="D106" s="28"/>
      <c r="E106" s="28"/>
      <c r="F106" s="28"/>
      <c r="G106" s="28"/>
      <c r="H106" s="28"/>
    </row>
    <row r="107" customFormat="false" ht="31.5" hidden="false" customHeight="true" outlineLevel="0" collapsed="false">
      <c r="A107" s="28" t="s">
        <v>147</v>
      </c>
      <c r="B107" s="28"/>
      <c r="C107" s="28"/>
      <c r="D107" s="28"/>
      <c r="E107" s="28"/>
      <c r="F107" s="28"/>
      <c r="G107" s="28"/>
      <c r="H107" s="28"/>
    </row>
    <row r="109" customFormat="false" ht="19.5" hidden="false" customHeight="true" outlineLevel="0" collapsed="false">
      <c r="A109" s="30" t="s">
        <v>148</v>
      </c>
      <c r="B109" s="30"/>
      <c r="C109" s="30"/>
      <c r="D109" s="30"/>
      <c r="E109" s="30"/>
      <c r="F109" s="30"/>
      <c r="G109" s="30"/>
      <c r="H109" s="30"/>
    </row>
    <row r="110" customFormat="false" ht="33.75" hidden="false" customHeight="true" outlineLevel="0" collapsed="false">
      <c r="A110" s="28" t="s">
        <v>149</v>
      </c>
      <c r="B110" s="28"/>
      <c r="C110" s="28"/>
      <c r="D110" s="28"/>
      <c r="E110" s="28"/>
      <c r="F110" s="28"/>
      <c r="G110" s="28"/>
      <c r="H110" s="28"/>
    </row>
    <row r="111" customFormat="false" ht="33.75" hidden="false" customHeight="true" outlineLevel="0" collapsed="false">
      <c r="A111" s="28" t="s">
        <v>150</v>
      </c>
      <c r="B111" s="28"/>
      <c r="C111" s="28"/>
      <c r="D111" s="28"/>
      <c r="E111" s="28"/>
      <c r="F111" s="28"/>
      <c r="G111" s="28"/>
      <c r="H111" s="28"/>
    </row>
    <row r="112" customFormat="false" ht="33.75" hidden="false" customHeight="true" outlineLevel="0" collapsed="false">
      <c r="A112" s="28" t="s">
        <v>151</v>
      </c>
      <c r="B112" s="28"/>
      <c r="C112" s="28"/>
      <c r="D112" s="28"/>
      <c r="E112" s="28"/>
      <c r="F112" s="28"/>
      <c r="G112" s="28"/>
      <c r="H112" s="28"/>
    </row>
    <row r="113" customFormat="false" ht="33.75" hidden="false" customHeight="true" outlineLevel="0" collapsed="false">
      <c r="A113" s="28" t="s">
        <v>152</v>
      </c>
      <c r="B113" s="28"/>
      <c r="C113" s="28"/>
      <c r="D113" s="28"/>
      <c r="E113" s="28"/>
      <c r="F113" s="28"/>
      <c r="G113" s="28"/>
      <c r="H113" s="28"/>
    </row>
    <row r="114" customFormat="false" ht="33.75" hidden="false" customHeight="true" outlineLevel="0" collapsed="false">
      <c r="A114" s="28" t="s">
        <v>153</v>
      </c>
      <c r="B114" s="28"/>
      <c r="C114" s="28"/>
      <c r="D114" s="28"/>
      <c r="E114" s="28"/>
      <c r="F114" s="28"/>
      <c r="G114" s="28"/>
      <c r="H114" s="28"/>
    </row>
    <row r="116" customFormat="false" ht="19.5" hidden="false" customHeight="true" outlineLevel="0" collapsed="false">
      <c r="A116" s="30" t="s">
        <v>154</v>
      </c>
      <c r="B116" s="30"/>
      <c r="C116" s="30"/>
      <c r="D116" s="30"/>
      <c r="E116" s="30"/>
      <c r="F116" s="30"/>
      <c r="G116" s="30"/>
      <c r="H116" s="30"/>
    </row>
    <row r="117" customFormat="false" ht="33.75" hidden="false" customHeight="true" outlineLevel="0" collapsed="false">
      <c r="A117" s="28" t="s">
        <v>155</v>
      </c>
      <c r="B117" s="28"/>
      <c r="C117" s="28"/>
      <c r="D117" s="28"/>
      <c r="E117" s="28"/>
      <c r="F117" s="28"/>
      <c r="G117" s="28"/>
      <c r="H117" s="28"/>
    </row>
    <row r="118" customFormat="false" ht="33.75" hidden="false" customHeight="true" outlineLevel="0" collapsed="false">
      <c r="A118" s="28" t="s">
        <v>156</v>
      </c>
      <c r="B118" s="28"/>
      <c r="C118" s="28"/>
      <c r="D118" s="28"/>
      <c r="E118" s="28"/>
      <c r="F118" s="28"/>
      <c r="G118" s="28"/>
      <c r="H118" s="28"/>
    </row>
    <row r="119" customFormat="false" ht="33.75" hidden="false" customHeight="true" outlineLevel="0" collapsed="false">
      <c r="A119" s="28" t="s">
        <v>157</v>
      </c>
      <c r="B119" s="28"/>
      <c r="C119" s="28"/>
      <c r="D119" s="28"/>
      <c r="E119" s="28"/>
      <c r="F119" s="28"/>
      <c r="G119" s="28"/>
      <c r="H119" s="28"/>
    </row>
    <row r="120" customFormat="false" ht="33.75" hidden="false" customHeight="true" outlineLevel="0" collapsed="false">
      <c r="A120" s="28" t="s">
        <v>158</v>
      </c>
      <c r="B120" s="28"/>
      <c r="C120" s="28"/>
      <c r="D120" s="28"/>
      <c r="E120" s="28"/>
      <c r="F120" s="28"/>
      <c r="G120" s="28"/>
      <c r="H120" s="28"/>
    </row>
    <row r="121" customFormat="false" ht="33.75" hidden="false" customHeight="true" outlineLevel="0" collapsed="false">
      <c r="A121" s="28" t="s">
        <v>159</v>
      </c>
      <c r="B121" s="28"/>
      <c r="C121" s="28"/>
      <c r="D121" s="28"/>
      <c r="E121" s="28"/>
      <c r="F121" s="28"/>
      <c r="G121" s="28"/>
      <c r="H121" s="28"/>
    </row>
  </sheetData>
  <mergeCells count="107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5:H45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58:H58"/>
    <mergeCell ref="B60:H60"/>
    <mergeCell ref="B61:H61"/>
    <mergeCell ref="B62:H62"/>
    <mergeCell ref="B63:H63"/>
    <mergeCell ref="B64:H64"/>
    <mergeCell ref="B65:H65"/>
    <mergeCell ref="B66:H66"/>
    <mergeCell ref="B67:H67"/>
    <mergeCell ref="B69:H69"/>
    <mergeCell ref="B71:H71"/>
    <mergeCell ref="B72:H72"/>
    <mergeCell ref="B73:H73"/>
    <mergeCell ref="A75:H75"/>
    <mergeCell ref="A76:H76"/>
    <mergeCell ref="A77:H77"/>
    <mergeCell ref="A78:H78"/>
    <mergeCell ref="A79:H79"/>
    <mergeCell ref="A80:H80"/>
    <mergeCell ref="A82:H82"/>
    <mergeCell ref="A83:H83"/>
    <mergeCell ref="A84:H84"/>
    <mergeCell ref="A85:H85"/>
    <mergeCell ref="A86:H86"/>
    <mergeCell ref="A87:H87"/>
    <mergeCell ref="A88:H88"/>
    <mergeCell ref="A89:H89"/>
    <mergeCell ref="A91:H91"/>
    <mergeCell ref="A92:H92"/>
    <mergeCell ref="A93:H93"/>
    <mergeCell ref="A94:H94"/>
    <mergeCell ref="A95:H95"/>
    <mergeCell ref="A96:H96"/>
    <mergeCell ref="A98:H98"/>
    <mergeCell ref="A99:H99"/>
    <mergeCell ref="A100:H100"/>
    <mergeCell ref="A101:H101"/>
    <mergeCell ref="A102:H102"/>
    <mergeCell ref="A104:H104"/>
    <mergeCell ref="A105:H105"/>
    <mergeCell ref="A106:H106"/>
    <mergeCell ref="A107:H107"/>
    <mergeCell ref="A109:H109"/>
    <mergeCell ref="A110:H110"/>
    <mergeCell ref="A111:H111"/>
    <mergeCell ref="A112:H112"/>
    <mergeCell ref="A113:H113"/>
    <mergeCell ref="A114:H114"/>
    <mergeCell ref="A116:H116"/>
    <mergeCell ref="A117:H117"/>
    <mergeCell ref="A118:H118"/>
    <mergeCell ref="A119:H119"/>
    <mergeCell ref="A120:H120"/>
    <mergeCell ref="A121:H121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T507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1" ySplit="4" topLeftCell="B92" activePane="bottomRight" state="frozen"/>
      <selection pane="topLeft" activeCell="A1" activeCellId="0" sqref="A1"/>
      <selection pane="topRight" activeCell="B1" activeCellId="0" sqref="B1"/>
      <selection pane="bottomLeft" activeCell="A92" activeCellId="0" sqref="A92"/>
      <selection pane="bottomRight" activeCell="E224" activeCellId="0" sqref="E224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7" min="16" style="0" width="6"/>
    <col collapsed="false" customWidth="true" hidden="false" outlineLevel="0" max="18" min="18" style="0" width="2"/>
    <col collapsed="false" customWidth="true" hidden="false" outlineLevel="0" max="19" min="19" style="0" width="13"/>
    <col collapsed="false" customWidth="true" hidden="false" outlineLevel="0" max="20" min="20" style="0" width="64"/>
  </cols>
  <sheetData>
    <row r="1" customFormat="false" ht="30" hidden="false" customHeight="true" outlineLevel="0" collapsed="false">
      <c r="A1" s="31" t="s">
        <v>160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S1" s="32" t="s">
        <v>161</v>
      </c>
      <c r="T1" s="33" t="n">
        <f aca="false">MAX($Q$5:$Q$507)</f>
        <v>11</v>
      </c>
    </row>
    <row r="2" customFormat="false" ht="18" hidden="false" customHeight="true" outlineLevel="0" collapsed="false">
      <c r="A2" s="34" t="str">
        <f aca="false">IF($T$4=1,"✔ 链接正常，已自动取到 "&amp;$T$1&amp;" 行（只算有金额/数量的行）　｜　本表 1:1 对应《01 水果进销存台账》的【财务取数接口】第 4～356 行，两本业务册必须和本文件放在同一个文件夹","★★ 链接没接上！当前取数来源："&amp;$T$5&amp;"　→ 见 S6 修复说明")</f>
        <v>✔ 链接正常，已自动取到 11 行（只算有金额/数量的行）　｜　本表 1:1 对应《01 水果进销存台账》的【财务取数接口】第 4～356 行，两本业务册必须和本文件放在同一个文件夹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S2" s="32" t="s">
        <v>162</v>
      </c>
      <c r="T2" s="33" t="str">
        <f aca="false">IFERROR(IF([1]财务取数接口!$C$4=0,"未更新",[1]财务取数接口!$C$4),"断开")</f>
        <v>仓储费</v>
      </c>
    </row>
    <row r="3" customFormat="false" ht="19.5" hidden="false" customHeight="true" outlineLevel="0" collapsed="false">
      <c r="A3" s="4" t="s">
        <v>163</v>
      </c>
      <c r="B3" s="4"/>
      <c r="C3" s="4"/>
      <c r="D3" s="4"/>
      <c r="E3" s="4"/>
      <c r="F3" s="4"/>
      <c r="G3" s="4"/>
      <c r="H3" s="4"/>
      <c r="I3" s="35" t="s">
        <v>164</v>
      </c>
      <c r="J3" s="35"/>
      <c r="K3" s="35"/>
      <c r="L3" s="35"/>
      <c r="M3" s="35"/>
      <c r="N3" s="35"/>
      <c r="O3" s="35"/>
      <c r="P3" s="36" t="s">
        <v>165</v>
      </c>
      <c r="Q3" s="36"/>
      <c r="S3" s="32" t="s">
        <v>166</v>
      </c>
      <c r="T3" s="33" t="n">
        <f aca="false">COUNTIF($J$5:$J$507,"?*")-COUNTIF($J$5:$J$507,"项目")</f>
        <v>0</v>
      </c>
    </row>
    <row r="4" customFormat="false" ht="30" hidden="false" customHeight="true" outlineLevel="0" collapsed="false">
      <c r="A4" s="37" t="s">
        <v>167</v>
      </c>
      <c r="B4" s="37" t="s">
        <v>168</v>
      </c>
      <c r="C4" s="37" t="s">
        <v>169</v>
      </c>
      <c r="D4" s="37" t="s">
        <v>170</v>
      </c>
      <c r="E4" s="37" t="s">
        <v>171</v>
      </c>
      <c r="F4" s="37" t="s">
        <v>172</v>
      </c>
      <c r="G4" s="37" t="s">
        <v>173</v>
      </c>
      <c r="H4" s="37" t="s">
        <v>174</v>
      </c>
      <c r="I4" s="37" t="s">
        <v>175</v>
      </c>
      <c r="J4" s="37" t="s">
        <v>176</v>
      </c>
      <c r="K4" s="37" t="s">
        <v>177</v>
      </c>
      <c r="L4" s="37" t="s">
        <v>178</v>
      </c>
      <c r="M4" s="37" t="s">
        <v>179</v>
      </c>
      <c r="N4" s="37" t="s">
        <v>180</v>
      </c>
      <c r="O4" s="37" t="s">
        <v>181</v>
      </c>
      <c r="P4" s="37" t="s">
        <v>182</v>
      </c>
      <c r="Q4" s="37" t="s">
        <v>183</v>
      </c>
      <c r="S4" s="32" t="s">
        <v>184</v>
      </c>
      <c r="T4" s="33" t="n">
        <f aca="false">IF(OR($T$2="断开",$T$2="未更新"),0,1)</f>
        <v>1</v>
      </c>
    </row>
    <row r="5" customFormat="false" ht="13.5" hidden="false" customHeight="false" outlineLevel="0" collapsed="false">
      <c r="A5" s="9" t="n">
        <v>4</v>
      </c>
      <c r="B5" s="38" t="n">
        <f aca="false">IF($T$4=0,IF($I5="","",$I5),IFERROR(IF([1]财务取数接口!$B$4=0,"",[1]财务取数接口!$B$4),""))</f>
        <v>46235</v>
      </c>
      <c r="C5" s="39" t="str">
        <f aca="false">IF($T$4=0,IF($J5="","",$J5),IFERROR(IF([1]财务取数接口!$C$4=0,"",[1]财务取数接口!$C$4),""))</f>
        <v>仓储费</v>
      </c>
      <c r="D5" s="40" t="str">
        <f aca="false">IF($T$4=0,IF($K5="","",$K5),IFERROR(IF([1]财务取数接口!$D$4=0,"",[1]财务取数接口!$D$4),""))</f>
        <v/>
      </c>
      <c r="E5" s="40" t="str">
        <f aca="false">IF($T$4=0,IF($L5="","",$L5),IFERROR(IF([1]财务取数接口!$E$4=0,"",[1]财务取数接口!$E$4),""))</f>
        <v>筐</v>
      </c>
      <c r="F5" s="41" t="str">
        <f aca="false">IF($T$4=0,IF($M5="","",$M5),IFERROR(IF([1]财务取数接口!$G$4=0,"",[1]财务取数接口!$G$4),""))</f>
        <v/>
      </c>
      <c r="G5" s="41" t="str">
        <f aca="false">IF($T$4=0,IF($N5="","",$N5),IFERROR(IF([1]财务取数接口!$H$4=0,"",[1]财务取数接口!$H$4),""))</f>
        <v/>
      </c>
      <c r="H5" s="39" t="str">
        <f aca="false">IF($T$4=0,IF($O5="","",$O5),IFERROR(IF([1]财务取数接口!$I$4=0,"",[1]财务取数接口!$I$4),""))</f>
        <v/>
      </c>
      <c r="I5" s="42"/>
      <c r="J5" s="43"/>
      <c r="K5" s="42"/>
      <c r="L5" s="42"/>
      <c r="M5" s="44"/>
      <c r="N5" s="44"/>
      <c r="O5" s="43"/>
      <c r="P5" s="45" t="n">
        <f aca="false">IF(AND($C5&lt;&gt;"",$C5&lt;&gt;"项目",OR(N($D5)&lt;&gt;0,N($E5)&lt;&gt;0,N($F5)&lt;&gt;0)),1,0)</f>
        <v>0</v>
      </c>
      <c r="Q5" s="45" t="n">
        <f aca="false">N(Q4)+$P5</f>
        <v>0</v>
      </c>
      <c r="S5" s="32" t="s">
        <v>185</v>
      </c>
      <c r="T5" s="33" t="str">
        <f aca="false">IF($T$4=1,"自动（跨文件链接）",IF($T$3&gt;0,"应急备份","无数据"))</f>
        <v>自动（跨文件链接）</v>
      </c>
    </row>
    <row r="6" customFormat="false" ht="13.5" hidden="false" customHeight="false" outlineLevel="0" collapsed="false">
      <c r="A6" s="9" t="n">
        <v>5</v>
      </c>
      <c r="B6" s="38" t="n">
        <f aca="false">IF($T$4=0,IF($I6="","",$I6),IFERROR(IF([1]财务取数接口!$B$5=0,"",[1]财务取数接口!$B$5),""))</f>
        <v>46266</v>
      </c>
      <c r="C6" s="39" t="str">
        <f aca="false">IF($T$4=0,IF($J6="","",$J6),IFERROR(IF([1]财务取数接口!$C$5=0,"",[1]财务取数接口!$C$5),""))</f>
        <v>仓储费</v>
      </c>
      <c r="D6" s="40" t="n">
        <f aca="false">IF($T$4=0,IF($K6="","",$K6),IFERROR(IF([1]财务取数接口!$D$5=0,"",[1]财务取数接口!$D$5),""))</f>
        <v>20169</v>
      </c>
      <c r="E6" s="40" t="str">
        <f aca="false">IF($T$4=0,IF($L6="","",$L6),IFERROR(IF([1]财务取数接口!$E$5=0,"",[1]财务取数接口!$E$5),""))</f>
        <v>筐</v>
      </c>
      <c r="F6" s="41" t="str">
        <f aca="false">IF($T$4=0,IF($M6="","",$M6),IFERROR(IF([1]财务取数接口!$G$5=0,"",[1]财务取数接口!$G$5),""))</f>
        <v/>
      </c>
      <c r="G6" s="41" t="str">
        <f aca="false">IF($T$4=0,IF($N6="","",$N6),IFERROR(IF([1]财务取数接口!$H$5=0,"",[1]财务取数接口!$H$5),""))</f>
        <v/>
      </c>
      <c r="H6" s="39" t="str">
        <f aca="false">IF($T$4=0,IF($O6="","",$O6),IFERROR(IF([1]财务取数接口!$I$5=0,"",[1]财务取数接口!$I$5),""))</f>
        <v/>
      </c>
      <c r="I6" s="42"/>
      <c r="J6" s="43"/>
      <c r="K6" s="42"/>
      <c r="L6" s="42"/>
      <c r="M6" s="44"/>
      <c r="N6" s="44"/>
      <c r="O6" s="43"/>
      <c r="P6" s="45" t="n">
        <f aca="false">IF(AND($C6&lt;&gt;"",$C6&lt;&gt;"项目",OR(N($D6)&lt;&gt;0,N($E6)&lt;&gt;0,N($F6)&lt;&gt;0)),1,0)</f>
        <v>1</v>
      </c>
      <c r="Q6" s="45" t="n">
        <f aca="false">N(Q5)+$P6</f>
        <v>1</v>
      </c>
      <c r="S6" s="46" t="str">
        <f aca="false">IF($T$2="断开",IF($T$3&gt;0,"✘ 链接已断开，正在用【应急备份区】的 "&amp;$T$3&amp;" 行数据出账（不是实时数）。修复：菜单【数据】→【编辑链接】→【更改源】，重新指向《01_水果进销存台账模板.xlsx》","✘ 链接已断开，而且应急备份区是空的，本册报表将缺少这本业务册的全部数据。修复：菜单【数据】→【编辑链接】→【更改源】，重新指向《01_水果进销存台账模板.xlsx》"),IF($T$2="未更新",IF($T$3&gt;0,"★ 链接还没更新，或者那两个文件被改名、挪走了。正在用【应急备份区】的 "&amp;$T$3&amp;" 行数据出账（不是实时数）。修复：菜单【数据】→【编辑链接】→先点【立即更新值】；还是取不到数就点【更改源】重新指向《01_水果进销存台账模板.xlsx》","★ 链接还没更新，或者那两个文件被改名、挪走了，而且没有应急备份，本册报表会缺少这本业务册的全部数据。修复：菜单【数据】→【编辑链接】→先点【立即更新值】；还是取不到数就点【更改源】重新指向《01_水果进销存台账模板.xlsx》"),"✔ 链接正常，已自动取到 "&amp;$T$1&amp;" 行。备份区现有 "&amp;$T$3&amp;" 行。建议每月底把 B5:H168 复制→选择性粘贴【数值】到 I5，作为断链时的兜底"))</f>
        <v>✔ 链接正常，已自动取到 11 行。备份区现有 0 行。建议每月底把 B5:H168 复制→选择性粘贴【数值】到 I5，作为断链时的兜底</v>
      </c>
      <c r="T6" s="46"/>
    </row>
    <row r="7" customFormat="false" ht="13.5" hidden="false" customHeight="false" outlineLevel="0" collapsed="false">
      <c r="A7" s="9" t="n">
        <v>6</v>
      </c>
      <c r="B7" s="38" t="n">
        <f aca="false">IF($T$4=0,IF($I7="","",$I7),IFERROR(IF([1]财务取数接口!$B$6=0,"",[1]财务取数接口!$B$6),""))</f>
        <v>46296</v>
      </c>
      <c r="C7" s="39" t="str">
        <f aca="false">IF($T$4=0,IF($J7="","",$J7),IFERROR(IF([1]财务取数接口!$C$6=0,"",[1]财务取数接口!$C$6),""))</f>
        <v>仓储费</v>
      </c>
      <c r="D7" s="40" t="str">
        <f aca="false">IF($T$4=0,IF($K7="","",$K7),IFERROR(IF([1]财务取数接口!$D$6=0,"",[1]财务取数接口!$D$6),""))</f>
        <v/>
      </c>
      <c r="E7" s="40" t="str">
        <f aca="false">IF($T$4=0,IF($L7="","",$L7),IFERROR(IF([1]财务取数接口!$E$6=0,"",[1]财务取数接口!$E$6),""))</f>
        <v>筐</v>
      </c>
      <c r="F7" s="41" t="str">
        <f aca="false">IF($T$4=0,IF($M7="","",$M7),IFERROR(IF([1]财务取数接口!$G$6=0,"",[1]财务取数接口!$G$6),""))</f>
        <v/>
      </c>
      <c r="G7" s="41" t="str">
        <f aca="false">IF($T$4=0,IF($N7="","",$N7),IFERROR(IF([1]财务取数接口!$H$6=0,"",[1]财务取数接口!$H$6),""))</f>
        <v/>
      </c>
      <c r="H7" s="39" t="str">
        <f aca="false">IF($T$4=0,IF($O7="","",$O7),IFERROR(IF([1]财务取数接口!$I$6=0,"",[1]财务取数接口!$I$6),""))</f>
        <v/>
      </c>
      <c r="I7" s="42"/>
      <c r="J7" s="43"/>
      <c r="K7" s="42"/>
      <c r="L7" s="42"/>
      <c r="M7" s="44"/>
      <c r="N7" s="44"/>
      <c r="O7" s="43"/>
      <c r="P7" s="45" t="n">
        <f aca="false">IF(AND($C7&lt;&gt;"",$C7&lt;&gt;"项目",OR(N($D7)&lt;&gt;0,N($E7)&lt;&gt;0,N($F7)&lt;&gt;0)),1,0)</f>
        <v>0</v>
      </c>
      <c r="Q7" s="45" t="n">
        <f aca="false">N(Q6)+$P7</f>
        <v>1</v>
      </c>
      <c r="S7" s="46"/>
      <c r="T7" s="46"/>
    </row>
    <row r="8" customFormat="false" ht="13.5" hidden="false" customHeight="false" outlineLevel="0" collapsed="false">
      <c r="A8" s="9" t="n">
        <v>7</v>
      </c>
      <c r="B8" s="38" t="n">
        <f aca="false">IF($T$4=0,IF($I8="","",$I8),IFERROR(IF([1]财务取数接口!$B$7=0,"",[1]财务取数接口!$B$7),""))</f>
        <v>46327</v>
      </c>
      <c r="C8" s="39" t="str">
        <f aca="false">IF($T$4=0,IF($J8="","",$J8),IFERROR(IF([1]财务取数接口!$C$7=0,"",[1]财务取数接口!$C$7),""))</f>
        <v>仓储费</v>
      </c>
      <c r="D8" s="40" t="str">
        <f aca="false">IF($T$4=0,IF($K8="","",$K8),IFERROR(IF([1]财务取数接口!$D$7=0,"",[1]财务取数接口!$D$7),""))</f>
        <v/>
      </c>
      <c r="E8" s="40" t="str">
        <f aca="false">IF($T$4=0,IF($L8="","",$L8),IFERROR(IF([1]财务取数接口!$E$7=0,"",[1]财务取数接口!$E$7),""))</f>
        <v>筐</v>
      </c>
      <c r="F8" s="41" t="str">
        <f aca="false">IF($T$4=0,IF($M8="","",$M8),IFERROR(IF([1]财务取数接口!$G$7=0,"",[1]财务取数接口!$G$7),""))</f>
        <v/>
      </c>
      <c r="G8" s="41" t="str">
        <f aca="false">IF($T$4=0,IF($N8="","",$N8),IFERROR(IF([1]财务取数接口!$H$7=0,"",[1]财务取数接口!$H$7),""))</f>
        <v/>
      </c>
      <c r="H8" s="39" t="str">
        <f aca="false">IF($T$4=0,IF($O8="","",$O8),IFERROR(IF([1]财务取数接口!$I$7=0,"",[1]财务取数接口!$I$7),""))</f>
        <v/>
      </c>
      <c r="I8" s="42"/>
      <c r="J8" s="43"/>
      <c r="K8" s="42"/>
      <c r="L8" s="42"/>
      <c r="M8" s="44"/>
      <c r="N8" s="44"/>
      <c r="O8" s="43"/>
      <c r="P8" s="45" t="n">
        <f aca="false">IF(AND($C8&lt;&gt;"",$C8&lt;&gt;"项目",OR(N($D8)&lt;&gt;0,N($E8)&lt;&gt;0,N($F8)&lt;&gt;0)),1,0)</f>
        <v>0</v>
      </c>
      <c r="Q8" s="45" t="n">
        <f aca="false">N(Q7)+$P8</f>
        <v>1</v>
      </c>
      <c r="S8" s="46"/>
      <c r="T8" s="46"/>
    </row>
    <row r="9" customFormat="false" ht="13.5" hidden="false" customHeight="false" outlineLevel="0" collapsed="false">
      <c r="A9" s="9" t="n">
        <v>8</v>
      </c>
      <c r="B9" s="38" t="n">
        <f aca="false">IF($T$4=0,IF($I9="","",$I9),IFERROR(IF([1]财务取数接口!$B$8=0,"",[1]财务取数接口!$B$8),""))</f>
        <v>46357</v>
      </c>
      <c r="C9" s="39" t="str">
        <f aca="false">IF($T$4=0,IF($J9="","",$J9),IFERROR(IF([1]财务取数接口!$C$8=0,"",[1]财务取数接口!$C$8),""))</f>
        <v>仓储费</v>
      </c>
      <c r="D9" s="40" t="str">
        <f aca="false">IF($T$4=0,IF($K9="","",$K9),IFERROR(IF([1]财务取数接口!$D$8=0,"",[1]财务取数接口!$D$8),""))</f>
        <v/>
      </c>
      <c r="E9" s="40" t="str">
        <f aca="false">IF($T$4=0,IF($L9="","",$L9),IFERROR(IF([1]财务取数接口!$E$8=0,"",[1]财务取数接口!$E$8),""))</f>
        <v>筐</v>
      </c>
      <c r="F9" s="41" t="str">
        <f aca="false">IF($T$4=0,IF($M9="","",$M9),IFERROR(IF([1]财务取数接口!$G$8=0,"",[1]财务取数接口!$G$8),""))</f>
        <v/>
      </c>
      <c r="G9" s="41" t="str">
        <f aca="false">IF($T$4=0,IF($N9="","",$N9),IFERROR(IF([1]财务取数接口!$H$8=0,"",[1]财务取数接口!$H$8),""))</f>
        <v/>
      </c>
      <c r="H9" s="39" t="str">
        <f aca="false">IF($T$4=0,IF($O9="","",$O9),IFERROR(IF([1]财务取数接口!$I$8=0,"",[1]财务取数接口!$I$8),""))</f>
        <v/>
      </c>
      <c r="I9" s="42"/>
      <c r="J9" s="43"/>
      <c r="K9" s="42"/>
      <c r="L9" s="42"/>
      <c r="M9" s="44"/>
      <c r="N9" s="44"/>
      <c r="O9" s="43"/>
      <c r="P9" s="45" t="n">
        <f aca="false">IF(AND($C9&lt;&gt;"",$C9&lt;&gt;"项目",OR(N($D9)&lt;&gt;0,N($E9)&lt;&gt;0,N($F9)&lt;&gt;0)),1,0)</f>
        <v>0</v>
      </c>
      <c r="Q9" s="45" t="n">
        <f aca="false">N(Q8)+$P9</f>
        <v>1</v>
      </c>
      <c r="S9" s="46"/>
      <c r="T9" s="46"/>
    </row>
    <row r="10" customFormat="false" ht="13.5" hidden="false" customHeight="false" outlineLevel="0" collapsed="false">
      <c r="A10" s="9" t="n">
        <v>9</v>
      </c>
      <c r="B10" s="38" t="n">
        <f aca="false">IF($T$4=0,IF($I10="","",$I10),IFERROR(IF([1]财务取数接口!$B$9=0,"",[1]财务取数接口!$B$9),""))</f>
        <v>46388</v>
      </c>
      <c r="C10" s="39" t="str">
        <f aca="false">IF($T$4=0,IF($J10="","",$J10),IFERROR(IF([1]财务取数接口!$C$9=0,"",[1]财务取数接口!$C$9),""))</f>
        <v>仓储费</v>
      </c>
      <c r="D10" s="40" t="str">
        <f aca="false">IF($T$4=0,IF($K10="","",$K10),IFERROR(IF([1]财务取数接口!$D$9=0,"",[1]财务取数接口!$D$9),""))</f>
        <v/>
      </c>
      <c r="E10" s="40" t="str">
        <f aca="false">IF($T$4=0,IF($L10="","",$L10),IFERROR(IF([1]财务取数接口!$E$9=0,"",[1]财务取数接口!$E$9),""))</f>
        <v>筐</v>
      </c>
      <c r="F10" s="41" t="str">
        <f aca="false">IF($T$4=0,IF($M10="","",$M10),IFERROR(IF([1]财务取数接口!$G$9=0,"",[1]财务取数接口!$G$9),""))</f>
        <v/>
      </c>
      <c r="G10" s="41" t="str">
        <f aca="false">IF($T$4=0,IF($N10="","",$N10),IFERROR(IF([1]财务取数接口!$H$9=0,"",[1]财务取数接口!$H$9),""))</f>
        <v/>
      </c>
      <c r="H10" s="39" t="str">
        <f aca="false">IF($T$4=0,IF($O10="","",$O10),IFERROR(IF([1]财务取数接口!$I$9=0,"",[1]财务取数接口!$I$9),""))</f>
        <v/>
      </c>
      <c r="I10" s="42"/>
      <c r="J10" s="43"/>
      <c r="K10" s="42"/>
      <c r="L10" s="42"/>
      <c r="M10" s="44"/>
      <c r="N10" s="44"/>
      <c r="O10" s="43"/>
      <c r="P10" s="45" t="n">
        <f aca="false">IF(AND($C10&lt;&gt;"",$C10&lt;&gt;"项目",OR(N($D10)&lt;&gt;0,N($E10)&lt;&gt;0,N($F10)&lt;&gt;0)),1,0)</f>
        <v>0</v>
      </c>
      <c r="Q10" s="45" t="n">
        <f aca="false">N(Q9)+$P10</f>
        <v>1</v>
      </c>
    </row>
    <row r="11" customFormat="false" ht="13.5" hidden="false" customHeight="false" outlineLevel="0" collapsed="false">
      <c r="A11" s="9" t="n">
        <v>10</v>
      </c>
      <c r="B11" s="38" t="n">
        <f aca="false">IF($T$4=0,IF($I11="","",$I11),IFERROR(IF([1]财务取数接口!$B$10=0,"",[1]财务取数接口!$B$10),""))</f>
        <v>46419</v>
      </c>
      <c r="C11" s="39" t="str">
        <f aca="false">IF($T$4=0,IF($J11="","",$J11),IFERROR(IF([1]财务取数接口!$C$10=0,"",[1]财务取数接口!$C$10),""))</f>
        <v>仓储费</v>
      </c>
      <c r="D11" s="40" t="str">
        <f aca="false">IF($T$4=0,IF($K11="","",$K11),IFERROR(IF([1]财务取数接口!$D$10=0,"",[1]财务取数接口!$D$10),""))</f>
        <v/>
      </c>
      <c r="E11" s="40" t="str">
        <f aca="false">IF($T$4=0,IF($L11="","",$L11),IFERROR(IF([1]财务取数接口!$E$10=0,"",[1]财务取数接口!$E$10),""))</f>
        <v>筐</v>
      </c>
      <c r="F11" s="41" t="str">
        <f aca="false">IF($T$4=0,IF($M11="","",$M11),IFERROR(IF([1]财务取数接口!$G$10=0,"",[1]财务取数接口!$G$10),""))</f>
        <v/>
      </c>
      <c r="G11" s="41" t="str">
        <f aca="false">IF($T$4=0,IF($N11="","",$N11),IFERROR(IF([1]财务取数接口!$H$10=0,"",[1]财务取数接口!$H$10),""))</f>
        <v/>
      </c>
      <c r="H11" s="39" t="str">
        <f aca="false">IF($T$4=0,IF($O11="","",$O11),IFERROR(IF([1]财务取数接口!$I$10=0,"",[1]财务取数接口!$I$10),""))</f>
        <v/>
      </c>
      <c r="I11" s="42"/>
      <c r="J11" s="43"/>
      <c r="K11" s="42"/>
      <c r="L11" s="42"/>
      <c r="M11" s="44"/>
      <c r="N11" s="44"/>
      <c r="O11" s="43"/>
      <c r="P11" s="45" t="n">
        <f aca="false">IF(AND($C11&lt;&gt;"",$C11&lt;&gt;"项目",OR(N($D11)&lt;&gt;0,N($E11)&lt;&gt;0,N($F11)&lt;&gt;0)),1,0)</f>
        <v>0</v>
      </c>
      <c r="Q11" s="45" t="n">
        <f aca="false">N(Q10)+$P11</f>
        <v>1</v>
      </c>
    </row>
    <row r="12" customFormat="false" ht="13.5" hidden="false" customHeight="false" outlineLevel="0" collapsed="false">
      <c r="A12" s="9" t="n">
        <v>11</v>
      </c>
      <c r="B12" s="38" t="n">
        <f aca="false">IF($T$4=0,IF($I12="","",$I12),IFERROR(IF([1]财务取数接口!$B$11=0,"",[1]财务取数接口!$B$11),""))</f>
        <v>46447</v>
      </c>
      <c r="C12" s="39" t="str">
        <f aca="false">IF($T$4=0,IF($J12="","",$J12),IFERROR(IF([1]财务取数接口!$C$11=0,"",[1]财务取数接口!$C$11),""))</f>
        <v>仓储费</v>
      </c>
      <c r="D12" s="40" t="str">
        <f aca="false">IF($T$4=0,IF($K12="","",$K12),IFERROR(IF([1]财务取数接口!$D$11=0,"",[1]财务取数接口!$D$11),""))</f>
        <v/>
      </c>
      <c r="E12" s="40" t="str">
        <f aca="false">IF($T$4=0,IF($L12="","",$L12),IFERROR(IF([1]财务取数接口!$E$11=0,"",[1]财务取数接口!$E$11),""))</f>
        <v>筐</v>
      </c>
      <c r="F12" s="41" t="str">
        <f aca="false">IF($T$4=0,IF($M12="","",$M12),IFERROR(IF([1]财务取数接口!$G$11=0,"",[1]财务取数接口!$G$11),""))</f>
        <v/>
      </c>
      <c r="G12" s="41" t="str">
        <f aca="false">IF($T$4=0,IF($N12="","",$N12),IFERROR(IF([1]财务取数接口!$H$11=0,"",[1]财务取数接口!$H$11),""))</f>
        <v/>
      </c>
      <c r="H12" s="39" t="str">
        <f aca="false">IF($T$4=0,IF($O12="","",$O12),IFERROR(IF([1]财务取数接口!$I$11=0,"",[1]财务取数接口!$I$11),""))</f>
        <v/>
      </c>
      <c r="I12" s="42"/>
      <c r="J12" s="43"/>
      <c r="K12" s="42"/>
      <c r="L12" s="42"/>
      <c r="M12" s="44"/>
      <c r="N12" s="44"/>
      <c r="O12" s="43"/>
      <c r="P12" s="45" t="n">
        <f aca="false">IF(AND($C12&lt;&gt;"",$C12&lt;&gt;"项目",OR(N($D12)&lt;&gt;0,N($E12)&lt;&gt;0,N($F12)&lt;&gt;0)),1,0)</f>
        <v>0</v>
      </c>
      <c r="Q12" s="45" t="n">
        <f aca="false">N(Q11)+$P12</f>
        <v>1</v>
      </c>
    </row>
    <row r="13" customFormat="false" ht="13.5" hidden="false" customHeight="false" outlineLevel="0" collapsed="false">
      <c r="A13" s="9" t="n">
        <v>12</v>
      </c>
      <c r="B13" s="38" t="n">
        <f aca="false">IF($T$4=0,IF($I13="","",$I13),IFERROR(IF([1]财务取数接口!$B$12=0,"",[1]财务取数接口!$B$12),""))</f>
        <v>46478</v>
      </c>
      <c r="C13" s="39" t="str">
        <f aca="false">IF($T$4=0,IF($J13="","",$J13),IFERROR(IF([1]财务取数接口!$C$12=0,"",[1]财务取数接口!$C$12),""))</f>
        <v>仓储费</v>
      </c>
      <c r="D13" s="40" t="str">
        <f aca="false">IF($T$4=0,IF($K13="","",$K13),IFERROR(IF([1]财务取数接口!$D$12=0,"",[1]财务取数接口!$D$12),""))</f>
        <v/>
      </c>
      <c r="E13" s="40" t="str">
        <f aca="false">IF($T$4=0,IF($L13="","",$L13),IFERROR(IF([1]财务取数接口!$E$12=0,"",[1]财务取数接口!$E$12),""))</f>
        <v>筐</v>
      </c>
      <c r="F13" s="41" t="str">
        <f aca="false">IF($T$4=0,IF($M13="","",$M13),IFERROR(IF([1]财务取数接口!$G$12=0,"",[1]财务取数接口!$G$12),""))</f>
        <v/>
      </c>
      <c r="G13" s="41" t="str">
        <f aca="false">IF($T$4=0,IF($N13="","",$N13),IFERROR(IF([1]财务取数接口!$H$12=0,"",[1]财务取数接口!$H$12),""))</f>
        <v/>
      </c>
      <c r="H13" s="39" t="str">
        <f aca="false">IF($T$4=0,IF($O13="","",$O13),IFERROR(IF([1]财务取数接口!$I$12=0,"",[1]财务取数接口!$I$12),""))</f>
        <v/>
      </c>
      <c r="I13" s="42"/>
      <c r="J13" s="43"/>
      <c r="K13" s="42"/>
      <c r="L13" s="42"/>
      <c r="M13" s="44"/>
      <c r="N13" s="44"/>
      <c r="O13" s="43"/>
      <c r="P13" s="45" t="n">
        <f aca="false">IF(AND($C13&lt;&gt;"",$C13&lt;&gt;"项目",OR(N($D13)&lt;&gt;0,N($E13)&lt;&gt;0,N($F13)&lt;&gt;0)),1,0)</f>
        <v>0</v>
      </c>
      <c r="Q13" s="45" t="n">
        <f aca="false">N(Q12)+$P13</f>
        <v>1</v>
      </c>
    </row>
    <row r="14" customFormat="false" ht="13.5" hidden="false" customHeight="false" outlineLevel="0" collapsed="false">
      <c r="A14" s="9" t="n">
        <v>13</v>
      </c>
      <c r="B14" s="38" t="n">
        <f aca="false">IF($T$4=0,IF($I14="","",$I14),IFERROR(IF([1]财务取数接口!$B$13=0,"",[1]财务取数接口!$B$13),""))</f>
        <v>46508</v>
      </c>
      <c r="C14" s="39" t="str">
        <f aca="false">IF($T$4=0,IF($J14="","",$J14),IFERROR(IF([1]财务取数接口!$C$13=0,"",[1]财务取数接口!$C$13),""))</f>
        <v>仓储费</v>
      </c>
      <c r="D14" s="40" t="str">
        <f aca="false">IF($T$4=0,IF($K14="","",$K14),IFERROR(IF([1]财务取数接口!$D$13=0,"",[1]财务取数接口!$D$13),""))</f>
        <v/>
      </c>
      <c r="E14" s="40" t="str">
        <f aca="false">IF($T$4=0,IF($L14="","",$L14),IFERROR(IF([1]财务取数接口!$E$13=0,"",[1]财务取数接口!$E$13),""))</f>
        <v>筐</v>
      </c>
      <c r="F14" s="41" t="str">
        <f aca="false">IF($T$4=0,IF($M14="","",$M14),IFERROR(IF([1]财务取数接口!$G$13=0,"",[1]财务取数接口!$G$13),""))</f>
        <v/>
      </c>
      <c r="G14" s="41" t="str">
        <f aca="false">IF($T$4=0,IF($N14="","",$N14),IFERROR(IF([1]财务取数接口!$H$13=0,"",[1]财务取数接口!$H$13),""))</f>
        <v/>
      </c>
      <c r="H14" s="39" t="str">
        <f aca="false">IF($T$4=0,IF($O14="","",$O14),IFERROR(IF([1]财务取数接口!$I$13=0,"",[1]财务取数接口!$I$13),""))</f>
        <v/>
      </c>
      <c r="I14" s="42"/>
      <c r="J14" s="43"/>
      <c r="K14" s="42"/>
      <c r="L14" s="42"/>
      <c r="M14" s="44"/>
      <c r="N14" s="44"/>
      <c r="O14" s="43"/>
      <c r="P14" s="45" t="n">
        <f aca="false">IF(AND($C14&lt;&gt;"",$C14&lt;&gt;"项目",OR(N($D14)&lt;&gt;0,N($E14)&lt;&gt;0,N($F14)&lt;&gt;0)),1,0)</f>
        <v>0</v>
      </c>
      <c r="Q14" s="45" t="n">
        <f aca="false">N(Q13)+$P14</f>
        <v>1</v>
      </c>
    </row>
    <row r="15" customFormat="false" ht="13.5" hidden="false" customHeight="false" outlineLevel="0" collapsed="false">
      <c r="A15" s="9" t="n">
        <v>14</v>
      </c>
      <c r="B15" s="38" t="n">
        <f aca="false">IF($T$4=0,IF($I15="","",$I15),IFERROR(IF([1]财务取数接口!$B$14=0,"",[1]财务取数接口!$B$14),""))</f>
        <v>46539</v>
      </c>
      <c r="C15" s="39" t="str">
        <f aca="false">IF($T$4=0,IF($J15="","",$J15),IFERROR(IF([1]财务取数接口!$C$14=0,"",[1]财务取数接口!$C$14),""))</f>
        <v>仓储费</v>
      </c>
      <c r="D15" s="40" t="str">
        <f aca="false">IF($T$4=0,IF($K15="","",$K15),IFERROR(IF([1]财务取数接口!$D$14=0,"",[1]财务取数接口!$D$14),""))</f>
        <v/>
      </c>
      <c r="E15" s="40" t="str">
        <f aca="false">IF($T$4=0,IF($L15="","",$L15),IFERROR(IF([1]财务取数接口!$E$14=0,"",[1]财务取数接口!$E$14),""))</f>
        <v>筐</v>
      </c>
      <c r="F15" s="41" t="str">
        <f aca="false">IF($T$4=0,IF($M15="","",$M15),IFERROR(IF([1]财务取数接口!$G$14=0,"",[1]财务取数接口!$G$14),""))</f>
        <v/>
      </c>
      <c r="G15" s="41" t="str">
        <f aca="false">IF($T$4=0,IF($N15="","",$N15),IFERROR(IF([1]财务取数接口!$H$14=0,"",[1]财务取数接口!$H$14),""))</f>
        <v/>
      </c>
      <c r="H15" s="39" t="str">
        <f aca="false">IF($T$4=0,IF($O15="","",$O15),IFERROR(IF([1]财务取数接口!$I$14=0,"",[1]财务取数接口!$I$14),""))</f>
        <v/>
      </c>
      <c r="I15" s="42"/>
      <c r="J15" s="43"/>
      <c r="K15" s="42"/>
      <c r="L15" s="42"/>
      <c r="M15" s="44"/>
      <c r="N15" s="44"/>
      <c r="O15" s="43"/>
      <c r="P15" s="45" t="n">
        <f aca="false">IF(AND($C15&lt;&gt;"",$C15&lt;&gt;"项目",OR(N($D15)&lt;&gt;0,N($E15)&lt;&gt;0,N($F15)&lt;&gt;0)),1,0)</f>
        <v>0</v>
      </c>
      <c r="Q15" s="45" t="n">
        <f aca="false">N(Q14)+$P15</f>
        <v>1</v>
      </c>
    </row>
    <row r="16" customFormat="false" ht="13.5" hidden="false" customHeight="false" outlineLevel="0" collapsed="false">
      <c r="A16" s="9" t="n">
        <v>15</v>
      </c>
      <c r="B16" s="38" t="n">
        <f aca="false">IF($T$4=0,IF($I16="","",$I16),IFERROR(IF([1]财务取数接口!$B$15=0,"",[1]财务取数接口!$B$15),""))</f>
        <v>46569</v>
      </c>
      <c r="C16" s="39" t="str">
        <f aca="false">IF($T$4=0,IF($J16="","",$J16),IFERROR(IF([1]财务取数接口!$C$15=0,"",[1]财务取数接口!$C$15),""))</f>
        <v>仓储费</v>
      </c>
      <c r="D16" s="40" t="str">
        <f aca="false">IF($T$4=0,IF($K16="","",$K16),IFERROR(IF([1]财务取数接口!$D$15=0,"",[1]财务取数接口!$D$15),""))</f>
        <v/>
      </c>
      <c r="E16" s="40" t="str">
        <f aca="false">IF($T$4=0,IF($L16="","",$L16),IFERROR(IF([1]财务取数接口!$E$15=0,"",[1]财务取数接口!$E$15),""))</f>
        <v>筐</v>
      </c>
      <c r="F16" s="41" t="str">
        <f aca="false">IF($T$4=0,IF($M16="","",$M16),IFERROR(IF([1]财务取数接口!$G$15=0,"",[1]财务取数接口!$G$15),""))</f>
        <v/>
      </c>
      <c r="G16" s="41" t="str">
        <f aca="false">IF($T$4=0,IF($N16="","",$N16),IFERROR(IF([1]财务取数接口!$H$15=0,"",[1]财务取数接口!$H$15),""))</f>
        <v/>
      </c>
      <c r="H16" s="39" t="str">
        <f aca="false">IF($T$4=0,IF($O16="","",$O16),IFERROR(IF([1]财务取数接口!$I$15=0,"",[1]财务取数接口!$I$15),""))</f>
        <v/>
      </c>
      <c r="I16" s="42"/>
      <c r="J16" s="43"/>
      <c r="K16" s="42"/>
      <c r="L16" s="42"/>
      <c r="M16" s="44"/>
      <c r="N16" s="44"/>
      <c r="O16" s="43"/>
      <c r="P16" s="45" t="n">
        <f aca="false">IF(AND($C16&lt;&gt;"",$C16&lt;&gt;"项目",OR(N($D16)&lt;&gt;0,N($E16)&lt;&gt;0,N($F16)&lt;&gt;0)),1,0)</f>
        <v>0</v>
      </c>
      <c r="Q16" s="45" t="n">
        <f aca="false">N(Q15)+$P16</f>
        <v>1</v>
      </c>
    </row>
    <row r="17" customFormat="false" ht="13.5" hidden="false" customHeight="false" outlineLevel="0" collapsed="false">
      <c r="A17" s="9" t="n">
        <v>16</v>
      </c>
      <c r="B17" s="38" t="n">
        <f aca="false">IF($T$4=0,IF($I17="","",$I17),IFERROR(IF([1]财务取数接口!$B$16=0,"",[1]财务取数接口!$B$16),""))</f>
        <v>46600</v>
      </c>
      <c r="C17" s="39" t="str">
        <f aca="false">IF($T$4=0,IF($J17="","",$J17),IFERROR(IF([1]财务取数接口!$C$16=0,"",[1]财务取数接口!$C$16),""))</f>
        <v>仓储费</v>
      </c>
      <c r="D17" s="40" t="str">
        <f aca="false">IF($T$4=0,IF($K17="","",$K17),IFERROR(IF([1]财务取数接口!$D$16=0,"",[1]财务取数接口!$D$16),""))</f>
        <v/>
      </c>
      <c r="E17" s="40" t="str">
        <f aca="false">IF($T$4=0,IF($L17="","",$L17),IFERROR(IF([1]财务取数接口!$E$16=0,"",[1]财务取数接口!$E$16),""))</f>
        <v>筐</v>
      </c>
      <c r="F17" s="41" t="str">
        <f aca="false">IF($T$4=0,IF($M17="","",$M17),IFERROR(IF([1]财务取数接口!$G$16=0,"",[1]财务取数接口!$G$16),""))</f>
        <v/>
      </c>
      <c r="G17" s="41" t="str">
        <f aca="false">IF($T$4=0,IF($N17="","",$N17),IFERROR(IF([1]财务取数接口!$H$16=0,"",[1]财务取数接口!$H$16),""))</f>
        <v/>
      </c>
      <c r="H17" s="39" t="str">
        <f aca="false">IF($T$4=0,IF($O17="","",$O17),IFERROR(IF([1]财务取数接口!$I$16=0,"",[1]财务取数接口!$I$16),""))</f>
        <v/>
      </c>
      <c r="I17" s="42"/>
      <c r="J17" s="43"/>
      <c r="K17" s="42"/>
      <c r="L17" s="42"/>
      <c r="M17" s="44"/>
      <c r="N17" s="44"/>
      <c r="O17" s="43"/>
      <c r="P17" s="45" t="n">
        <f aca="false">IF(AND($C17&lt;&gt;"",$C17&lt;&gt;"项目",OR(N($D17)&lt;&gt;0,N($E17)&lt;&gt;0,N($F17)&lt;&gt;0)),1,0)</f>
        <v>0</v>
      </c>
      <c r="Q17" s="45" t="n">
        <f aca="false">N(Q16)+$P17</f>
        <v>1</v>
      </c>
    </row>
    <row r="18" customFormat="false" ht="13.5" hidden="false" customHeight="false" outlineLevel="0" collapsed="false">
      <c r="A18" s="9" t="n">
        <v>17</v>
      </c>
      <c r="B18" s="38" t="n">
        <f aca="false">IF($T$4=0,IF($I18="","",$I18),IFERROR(IF([1]财务取数接口!$B$17=0,"",[1]财务取数接口!$B$17),""))</f>
        <v>46631</v>
      </c>
      <c r="C18" s="39" t="str">
        <f aca="false">IF($T$4=0,IF($J18="","",$J18),IFERROR(IF([1]财务取数接口!$C$17=0,"",[1]财务取数接口!$C$17),""))</f>
        <v>仓储费</v>
      </c>
      <c r="D18" s="40" t="str">
        <f aca="false">IF($T$4=0,IF($K18="","",$K18),IFERROR(IF([1]财务取数接口!$D$17=0,"",[1]财务取数接口!$D$17),""))</f>
        <v/>
      </c>
      <c r="E18" s="40" t="str">
        <f aca="false">IF($T$4=0,IF($L18="","",$L18),IFERROR(IF([1]财务取数接口!$E$17=0,"",[1]财务取数接口!$E$17),""))</f>
        <v>筐</v>
      </c>
      <c r="F18" s="41" t="str">
        <f aca="false">IF($T$4=0,IF($M18="","",$M18),IFERROR(IF([1]财务取数接口!$G$17=0,"",[1]财务取数接口!$G$17),""))</f>
        <v/>
      </c>
      <c r="G18" s="41" t="str">
        <f aca="false">IF($T$4=0,IF($N18="","",$N18),IFERROR(IF([1]财务取数接口!$H$17=0,"",[1]财务取数接口!$H$17),""))</f>
        <v/>
      </c>
      <c r="H18" s="39" t="str">
        <f aca="false">IF($T$4=0,IF($O18="","",$O18),IFERROR(IF([1]财务取数接口!$I$17=0,"",[1]财务取数接口!$I$17),""))</f>
        <v/>
      </c>
      <c r="I18" s="42"/>
      <c r="J18" s="43"/>
      <c r="K18" s="42"/>
      <c r="L18" s="42"/>
      <c r="M18" s="44"/>
      <c r="N18" s="44"/>
      <c r="O18" s="43"/>
      <c r="P18" s="45" t="n">
        <f aca="false">IF(AND($C18&lt;&gt;"",$C18&lt;&gt;"项目",OR(N($D18)&lt;&gt;0,N($E18)&lt;&gt;0,N($F18)&lt;&gt;0)),1,0)</f>
        <v>0</v>
      </c>
      <c r="Q18" s="45" t="n">
        <f aca="false">N(Q17)+$P18</f>
        <v>1</v>
      </c>
    </row>
    <row r="19" customFormat="false" ht="13.5" hidden="false" customHeight="false" outlineLevel="0" collapsed="false">
      <c r="A19" s="9" t="n">
        <v>18</v>
      </c>
      <c r="B19" s="38" t="n">
        <f aca="false">IF($T$4=0,IF($I19="","",$I19),IFERROR(IF([1]财务取数接口!$B$18=0,"",[1]财务取数接口!$B$18),""))</f>
        <v>46661</v>
      </c>
      <c r="C19" s="39" t="str">
        <f aca="false">IF($T$4=0,IF($J19="","",$J19),IFERROR(IF([1]财务取数接口!$C$18=0,"",[1]财务取数接口!$C$18),""))</f>
        <v>仓储费</v>
      </c>
      <c r="D19" s="40" t="str">
        <f aca="false">IF($T$4=0,IF($K19="","",$K19),IFERROR(IF([1]财务取数接口!$D$18=0,"",[1]财务取数接口!$D$18),""))</f>
        <v/>
      </c>
      <c r="E19" s="40" t="str">
        <f aca="false">IF($T$4=0,IF($L19="","",$L19),IFERROR(IF([1]财务取数接口!$E$18=0,"",[1]财务取数接口!$E$18),""))</f>
        <v>筐</v>
      </c>
      <c r="F19" s="41" t="str">
        <f aca="false">IF($T$4=0,IF($M19="","",$M19),IFERROR(IF([1]财务取数接口!$G$18=0,"",[1]财务取数接口!$G$18),""))</f>
        <v/>
      </c>
      <c r="G19" s="41" t="str">
        <f aca="false">IF($T$4=0,IF($N19="","",$N19),IFERROR(IF([1]财务取数接口!$H$18=0,"",[1]财务取数接口!$H$18),""))</f>
        <v/>
      </c>
      <c r="H19" s="39" t="str">
        <f aca="false">IF($T$4=0,IF($O19="","",$O19),IFERROR(IF([1]财务取数接口!$I$18=0,"",[1]财务取数接口!$I$18),""))</f>
        <v/>
      </c>
      <c r="I19" s="42"/>
      <c r="J19" s="43"/>
      <c r="K19" s="42"/>
      <c r="L19" s="42"/>
      <c r="M19" s="44"/>
      <c r="N19" s="44"/>
      <c r="O19" s="43"/>
      <c r="P19" s="45" t="n">
        <f aca="false">IF(AND($C19&lt;&gt;"",$C19&lt;&gt;"项目",OR(N($D19)&lt;&gt;0,N($E19)&lt;&gt;0,N($F19)&lt;&gt;0)),1,0)</f>
        <v>0</v>
      </c>
      <c r="Q19" s="45" t="n">
        <f aca="false">N(Q18)+$P19</f>
        <v>1</v>
      </c>
    </row>
    <row r="20" customFormat="false" ht="13.5" hidden="false" customHeight="false" outlineLevel="0" collapsed="false">
      <c r="A20" s="9" t="n">
        <v>19</v>
      </c>
      <c r="B20" s="38" t="n">
        <f aca="false">IF($T$4=0,IF($I20="","",$I20),IFERROR(IF([1]财务取数接口!$B$19=0,"",[1]财务取数接口!$B$19),""))</f>
        <v>46692</v>
      </c>
      <c r="C20" s="39" t="str">
        <f aca="false">IF($T$4=0,IF($J20="","",$J20),IFERROR(IF([1]财务取数接口!$C$19=0,"",[1]财务取数接口!$C$19),""))</f>
        <v>仓储费</v>
      </c>
      <c r="D20" s="40" t="str">
        <f aca="false">IF($T$4=0,IF($K20="","",$K20),IFERROR(IF([1]财务取数接口!$D$19=0,"",[1]财务取数接口!$D$19),""))</f>
        <v/>
      </c>
      <c r="E20" s="40" t="str">
        <f aca="false">IF($T$4=0,IF($L20="","",$L20),IFERROR(IF([1]财务取数接口!$E$19=0,"",[1]财务取数接口!$E$19),""))</f>
        <v>筐</v>
      </c>
      <c r="F20" s="41" t="str">
        <f aca="false">IF($T$4=0,IF($M20="","",$M20),IFERROR(IF([1]财务取数接口!$G$19=0,"",[1]财务取数接口!$G$19),""))</f>
        <v/>
      </c>
      <c r="G20" s="41" t="str">
        <f aca="false">IF($T$4=0,IF($N20="","",$N20),IFERROR(IF([1]财务取数接口!$H$19=0,"",[1]财务取数接口!$H$19),""))</f>
        <v/>
      </c>
      <c r="H20" s="39" t="str">
        <f aca="false">IF($T$4=0,IF($O20="","",$O20),IFERROR(IF([1]财务取数接口!$I$19=0,"",[1]财务取数接口!$I$19),""))</f>
        <v/>
      </c>
      <c r="I20" s="42"/>
      <c r="J20" s="43"/>
      <c r="K20" s="42"/>
      <c r="L20" s="42"/>
      <c r="M20" s="44"/>
      <c r="N20" s="44"/>
      <c r="O20" s="43"/>
      <c r="P20" s="45" t="n">
        <f aca="false">IF(AND($C20&lt;&gt;"",$C20&lt;&gt;"项目",OR(N($D20)&lt;&gt;0,N($E20)&lt;&gt;0,N($F20)&lt;&gt;0)),1,0)</f>
        <v>0</v>
      </c>
      <c r="Q20" s="45" t="n">
        <f aca="false">N(Q19)+$P20</f>
        <v>1</v>
      </c>
    </row>
    <row r="21" customFormat="false" ht="13.5" hidden="false" customHeight="false" outlineLevel="0" collapsed="false">
      <c r="A21" s="9" t="n">
        <v>20</v>
      </c>
      <c r="B21" s="38" t="n">
        <f aca="false">IF($T$4=0,IF($I21="","",$I21),IFERROR(IF([1]财务取数接口!$B$20=0,"",[1]财务取数接口!$B$20),""))</f>
        <v>46722</v>
      </c>
      <c r="C21" s="39" t="str">
        <f aca="false">IF($T$4=0,IF($J21="","",$J21),IFERROR(IF([1]财务取数接口!$C$20=0,"",[1]财务取数接口!$C$20),""))</f>
        <v>仓储费</v>
      </c>
      <c r="D21" s="40" t="str">
        <f aca="false">IF($T$4=0,IF($K21="","",$K21),IFERROR(IF([1]财务取数接口!$D$20=0,"",[1]财务取数接口!$D$20),""))</f>
        <v/>
      </c>
      <c r="E21" s="40" t="str">
        <f aca="false">IF($T$4=0,IF($L21="","",$L21),IFERROR(IF([1]财务取数接口!$E$20=0,"",[1]财务取数接口!$E$20),""))</f>
        <v>筐</v>
      </c>
      <c r="F21" s="41" t="str">
        <f aca="false">IF($T$4=0,IF($M21="","",$M21),IFERROR(IF([1]财务取数接口!$G$20=0,"",[1]财务取数接口!$G$20),""))</f>
        <v/>
      </c>
      <c r="G21" s="41" t="str">
        <f aca="false">IF($T$4=0,IF($N21="","",$N21),IFERROR(IF([1]财务取数接口!$H$20=0,"",[1]财务取数接口!$H$20),""))</f>
        <v/>
      </c>
      <c r="H21" s="39" t="str">
        <f aca="false">IF($T$4=0,IF($O21="","",$O21),IFERROR(IF([1]财务取数接口!$I$20=0,"",[1]财务取数接口!$I$20),""))</f>
        <v/>
      </c>
      <c r="I21" s="42"/>
      <c r="J21" s="43"/>
      <c r="K21" s="42"/>
      <c r="L21" s="42"/>
      <c r="M21" s="44"/>
      <c r="N21" s="44"/>
      <c r="O21" s="43"/>
      <c r="P21" s="45" t="n">
        <f aca="false">IF(AND($C21&lt;&gt;"",$C21&lt;&gt;"项目",OR(N($D21)&lt;&gt;0,N($E21)&lt;&gt;0,N($F21)&lt;&gt;0)),1,0)</f>
        <v>0</v>
      </c>
      <c r="Q21" s="45" t="n">
        <f aca="false">N(Q20)+$P21</f>
        <v>1</v>
      </c>
    </row>
    <row r="22" customFormat="false" ht="13.5" hidden="false" customHeight="false" outlineLevel="0" collapsed="false">
      <c r="A22" s="9" t="n">
        <v>21</v>
      </c>
      <c r="B22" s="38" t="n">
        <f aca="false">IF($T$4=0,IF($I22="","",$I22),IFERROR(IF([1]财务取数接口!$B$21=0,"",[1]财务取数接口!$B$21),""))</f>
        <v>46753</v>
      </c>
      <c r="C22" s="39" t="str">
        <f aca="false">IF($T$4=0,IF($J22="","",$J22),IFERROR(IF([1]财务取数接口!$C$21=0,"",[1]财务取数接口!$C$21),""))</f>
        <v>仓储费</v>
      </c>
      <c r="D22" s="40" t="str">
        <f aca="false">IF($T$4=0,IF($K22="","",$K22),IFERROR(IF([1]财务取数接口!$D$21=0,"",[1]财务取数接口!$D$21),""))</f>
        <v/>
      </c>
      <c r="E22" s="40" t="str">
        <f aca="false">IF($T$4=0,IF($L22="","",$L22),IFERROR(IF([1]财务取数接口!$E$21=0,"",[1]财务取数接口!$E$21),""))</f>
        <v>筐</v>
      </c>
      <c r="F22" s="41" t="str">
        <f aca="false">IF($T$4=0,IF($M22="","",$M22),IFERROR(IF([1]财务取数接口!$G$21=0,"",[1]财务取数接口!$G$21),""))</f>
        <v/>
      </c>
      <c r="G22" s="41" t="str">
        <f aca="false">IF($T$4=0,IF($N22="","",$N22),IFERROR(IF([1]财务取数接口!$H$21=0,"",[1]财务取数接口!$H$21),""))</f>
        <v/>
      </c>
      <c r="H22" s="39" t="str">
        <f aca="false">IF($T$4=0,IF($O22="","",$O22),IFERROR(IF([1]财务取数接口!$I$21=0,"",[1]财务取数接口!$I$21),""))</f>
        <v/>
      </c>
      <c r="I22" s="42"/>
      <c r="J22" s="43"/>
      <c r="K22" s="42"/>
      <c r="L22" s="42"/>
      <c r="M22" s="44"/>
      <c r="N22" s="44"/>
      <c r="O22" s="43"/>
      <c r="P22" s="45" t="n">
        <f aca="false">IF(AND($C22&lt;&gt;"",$C22&lt;&gt;"项目",OR(N($D22)&lt;&gt;0,N($E22)&lt;&gt;0,N($F22)&lt;&gt;0)),1,0)</f>
        <v>0</v>
      </c>
      <c r="Q22" s="45" t="n">
        <f aca="false">N(Q21)+$P22</f>
        <v>1</v>
      </c>
    </row>
    <row r="23" customFormat="false" ht="13.5" hidden="false" customHeight="false" outlineLevel="0" collapsed="false">
      <c r="A23" s="9" t="n">
        <v>22</v>
      </c>
      <c r="B23" s="38" t="n">
        <f aca="false">IF($T$4=0,IF($I23="","",$I23),IFERROR(IF([1]财务取数接口!$B$22=0,"",[1]财务取数接口!$B$22),""))</f>
        <v>46784</v>
      </c>
      <c r="C23" s="39" t="str">
        <f aca="false">IF($T$4=0,IF($J23="","",$J23),IFERROR(IF([1]财务取数接口!$C$22=0,"",[1]财务取数接口!$C$22),""))</f>
        <v>仓储费</v>
      </c>
      <c r="D23" s="40" t="str">
        <f aca="false">IF($T$4=0,IF($K23="","",$K23),IFERROR(IF([1]财务取数接口!$D$22=0,"",[1]财务取数接口!$D$22),""))</f>
        <v/>
      </c>
      <c r="E23" s="40" t="str">
        <f aca="false">IF($T$4=0,IF($L23="","",$L23),IFERROR(IF([1]财务取数接口!$E$22=0,"",[1]财务取数接口!$E$22),""))</f>
        <v>筐</v>
      </c>
      <c r="F23" s="41" t="str">
        <f aca="false">IF($T$4=0,IF($M23="","",$M23),IFERROR(IF([1]财务取数接口!$G$22=0,"",[1]财务取数接口!$G$22),""))</f>
        <v/>
      </c>
      <c r="G23" s="41" t="str">
        <f aca="false">IF($T$4=0,IF($N23="","",$N23),IFERROR(IF([1]财务取数接口!$H$22=0,"",[1]财务取数接口!$H$22),""))</f>
        <v/>
      </c>
      <c r="H23" s="39" t="str">
        <f aca="false">IF($T$4=0,IF($O23="","",$O23),IFERROR(IF([1]财务取数接口!$I$22=0,"",[1]财务取数接口!$I$22),""))</f>
        <v/>
      </c>
      <c r="I23" s="42"/>
      <c r="J23" s="43"/>
      <c r="K23" s="42"/>
      <c r="L23" s="42"/>
      <c r="M23" s="44"/>
      <c r="N23" s="44"/>
      <c r="O23" s="43"/>
      <c r="P23" s="45" t="n">
        <f aca="false">IF(AND($C23&lt;&gt;"",$C23&lt;&gt;"项目",OR(N($D23)&lt;&gt;0,N($E23)&lt;&gt;0,N($F23)&lt;&gt;0)),1,0)</f>
        <v>0</v>
      </c>
      <c r="Q23" s="45" t="n">
        <f aca="false">N(Q22)+$P23</f>
        <v>1</v>
      </c>
    </row>
    <row r="24" customFormat="false" ht="13.5" hidden="false" customHeight="false" outlineLevel="0" collapsed="false">
      <c r="A24" s="9" t="n">
        <v>23</v>
      </c>
      <c r="B24" s="38" t="n">
        <f aca="false">IF($T$4=0,IF($I24="","",$I24),IFERROR(IF([1]财务取数接口!$B$23=0,"",[1]财务取数接口!$B$23),""))</f>
        <v>46813</v>
      </c>
      <c r="C24" s="39" t="str">
        <f aca="false">IF($T$4=0,IF($J24="","",$J24),IFERROR(IF([1]财务取数接口!$C$23=0,"",[1]财务取数接口!$C$23),""))</f>
        <v>仓储费</v>
      </c>
      <c r="D24" s="40" t="str">
        <f aca="false">IF($T$4=0,IF($K24="","",$K24),IFERROR(IF([1]财务取数接口!$D$23=0,"",[1]财务取数接口!$D$23),""))</f>
        <v/>
      </c>
      <c r="E24" s="40" t="str">
        <f aca="false">IF($T$4=0,IF($L24="","",$L24),IFERROR(IF([1]财务取数接口!$E$23=0,"",[1]财务取数接口!$E$23),""))</f>
        <v>筐</v>
      </c>
      <c r="F24" s="41" t="str">
        <f aca="false">IF($T$4=0,IF($M24="","",$M24),IFERROR(IF([1]财务取数接口!$G$23=0,"",[1]财务取数接口!$G$23),""))</f>
        <v/>
      </c>
      <c r="G24" s="41" t="str">
        <f aca="false">IF($T$4=0,IF($N24="","",$N24),IFERROR(IF([1]财务取数接口!$H$23=0,"",[1]财务取数接口!$H$23),""))</f>
        <v/>
      </c>
      <c r="H24" s="39" t="str">
        <f aca="false">IF($T$4=0,IF($O24="","",$O24),IFERROR(IF([1]财务取数接口!$I$23=0,"",[1]财务取数接口!$I$23),""))</f>
        <v/>
      </c>
      <c r="I24" s="42"/>
      <c r="J24" s="43"/>
      <c r="K24" s="42"/>
      <c r="L24" s="42"/>
      <c r="M24" s="44"/>
      <c r="N24" s="44"/>
      <c r="O24" s="43"/>
      <c r="P24" s="45" t="n">
        <f aca="false">IF(AND($C24&lt;&gt;"",$C24&lt;&gt;"项目",OR(N($D24)&lt;&gt;0,N($E24)&lt;&gt;0,N($F24)&lt;&gt;0)),1,0)</f>
        <v>0</v>
      </c>
      <c r="Q24" s="45" t="n">
        <f aca="false">N(Q23)+$P24</f>
        <v>1</v>
      </c>
    </row>
    <row r="25" customFormat="false" ht="13.5" hidden="false" customHeight="false" outlineLevel="0" collapsed="false">
      <c r="A25" s="9" t="n">
        <v>24</v>
      </c>
      <c r="B25" s="38" t="n">
        <f aca="false">IF($T$4=0,IF($I25="","",$I25),IFERROR(IF([1]财务取数接口!$B$24=0,"",[1]财务取数接口!$B$24),""))</f>
        <v>46844</v>
      </c>
      <c r="C25" s="39" t="str">
        <f aca="false">IF($T$4=0,IF($J25="","",$J25),IFERROR(IF([1]财务取数接口!$C$24=0,"",[1]财务取数接口!$C$24),""))</f>
        <v>仓储费</v>
      </c>
      <c r="D25" s="40" t="str">
        <f aca="false">IF($T$4=0,IF($K25="","",$K25),IFERROR(IF([1]财务取数接口!$D$24=0,"",[1]财务取数接口!$D$24),""))</f>
        <v/>
      </c>
      <c r="E25" s="40" t="str">
        <f aca="false">IF($T$4=0,IF($L25="","",$L25),IFERROR(IF([1]财务取数接口!$E$24=0,"",[1]财务取数接口!$E$24),""))</f>
        <v>筐</v>
      </c>
      <c r="F25" s="41" t="str">
        <f aca="false">IF($T$4=0,IF($M25="","",$M25),IFERROR(IF([1]财务取数接口!$G$24=0,"",[1]财务取数接口!$G$24),""))</f>
        <v/>
      </c>
      <c r="G25" s="41" t="str">
        <f aca="false">IF($T$4=0,IF($N25="","",$N25),IFERROR(IF([1]财务取数接口!$H$24=0,"",[1]财务取数接口!$H$24),""))</f>
        <v/>
      </c>
      <c r="H25" s="39" t="str">
        <f aca="false">IF($T$4=0,IF($O25="","",$O25),IFERROR(IF([1]财务取数接口!$I$24=0,"",[1]财务取数接口!$I$24),""))</f>
        <v/>
      </c>
      <c r="I25" s="42"/>
      <c r="J25" s="43"/>
      <c r="K25" s="42"/>
      <c r="L25" s="42"/>
      <c r="M25" s="44"/>
      <c r="N25" s="44"/>
      <c r="O25" s="43"/>
      <c r="P25" s="45" t="n">
        <f aca="false">IF(AND($C25&lt;&gt;"",$C25&lt;&gt;"项目",OR(N($D25)&lt;&gt;0,N($E25)&lt;&gt;0,N($F25)&lt;&gt;0)),1,0)</f>
        <v>0</v>
      </c>
      <c r="Q25" s="45" t="n">
        <f aca="false">N(Q24)+$P25</f>
        <v>1</v>
      </c>
    </row>
    <row r="26" customFormat="false" ht="13.5" hidden="false" customHeight="false" outlineLevel="0" collapsed="false">
      <c r="A26" s="9" t="n">
        <v>25</v>
      </c>
      <c r="B26" s="38" t="n">
        <f aca="false">IF($T$4=0,IF($I26="","",$I26),IFERROR(IF([1]财务取数接口!$B$25=0,"",[1]财务取数接口!$B$25),""))</f>
        <v>46874</v>
      </c>
      <c r="C26" s="39" t="str">
        <f aca="false">IF($T$4=0,IF($J26="","",$J26),IFERROR(IF([1]财务取数接口!$C$25=0,"",[1]财务取数接口!$C$25),""))</f>
        <v>仓储费</v>
      </c>
      <c r="D26" s="40" t="str">
        <f aca="false">IF($T$4=0,IF($K26="","",$K26),IFERROR(IF([1]财务取数接口!$D$25=0,"",[1]财务取数接口!$D$25),""))</f>
        <v/>
      </c>
      <c r="E26" s="40" t="str">
        <f aca="false">IF($T$4=0,IF($L26="","",$L26),IFERROR(IF([1]财务取数接口!$E$25=0,"",[1]财务取数接口!$E$25),""))</f>
        <v>筐</v>
      </c>
      <c r="F26" s="41" t="str">
        <f aca="false">IF($T$4=0,IF($M26="","",$M26),IFERROR(IF([1]财务取数接口!$G$25=0,"",[1]财务取数接口!$G$25),""))</f>
        <v/>
      </c>
      <c r="G26" s="41" t="str">
        <f aca="false">IF($T$4=0,IF($N26="","",$N26),IFERROR(IF([1]财务取数接口!$H$25=0,"",[1]财务取数接口!$H$25),""))</f>
        <v/>
      </c>
      <c r="H26" s="39" t="str">
        <f aca="false">IF($T$4=0,IF($O26="","",$O26),IFERROR(IF([1]财务取数接口!$I$25=0,"",[1]财务取数接口!$I$25),""))</f>
        <v/>
      </c>
      <c r="I26" s="42"/>
      <c r="J26" s="43"/>
      <c r="K26" s="42"/>
      <c r="L26" s="42"/>
      <c r="M26" s="44"/>
      <c r="N26" s="44"/>
      <c r="O26" s="43"/>
      <c r="P26" s="45" t="n">
        <f aca="false">IF(AND($C26&lt;&gt;"",$C26&lt;&gt;"项目",OR(N($D26)&lt;&gt;0,N($E26)&lt;&gt;0,N($F26)&lt;&gt;0)),1,0)</f>
        <v>0</v>
      </c>
      <c r="Q26" s="45" t="n">
        <f aca="false">N(Q25)+$P26</f>
        <v>1</v>
      </c>
    </row>
    <row r="27" customFormat="false" ht="13.5" hidden="false" customHeight="false" outlineLevel="0" collapsed="false">
      <c r="A27" s="9" t="n">
        <v>26</v>
      </c>
      <c r="B27" s="38" t="n">
        <f aca="false">IF($T$4=0,IF($I27="","",$I27),IFERROR(IF([1]财务取数接口!$B$26=0,"",[1]财务取数接口!$B$26),""))</f>
        <v>46905</v>
      </c>
      <c r="C27" s="39" t="str">
        <f aca="false">IF($T$4=0,IF($J27="","",$J27),IFERROR(IF([1]财务取数接口!$C$26=0,"",[1]财务取数接口!$C$26),""))</f>
        <v>仓储费</v>
      </c>
      <c r="D27" s="40" t="str">
        <f aca="false">IF($T$4=0,IF($K27="","",$K27),IFERROR(IF([1]财务取数接口!$D$26=0,"",[1]财务取数接口!$D$26),""))</f>
        <v/>
      </c>
      <c r="E27" s="40" t="str">
        <f aca="false">IF($T$4=0,IF($L27="","",$L27),IFERROR(IF([1]财务取数接口!$E$26=0,"",[1]财务取数接口!$E$26),""))</f>
        <v>筐</v>
      </c>
      <c r="F27" s="41" t="str">
        <f aca="false">IF($T$4=0,IF($M27="","",$M27),IFERROR(IF([1]财务取数接口!$G$26=0,"",[1]财务取数接口!$G$26),""))</f>
        <v/>
      </c>
      <c r="G27" s="41" t="str">
        <f aca="false">IF($T$4=0,IF($N27="","",$N27),IFERROR(IF([1]财务取数接口!$H$26=0,"",[1]财务取数接口!$H$26),""))</f>
        <v/>
      </c>
      <c r="H27" s="39" t="str">
        <f aca="false">IF($T$4=0,IF($O27="","",$O27),IFERROR(IF([1]财务取数接口!$I$26=0,"",[1]财务取数接口!$I$26),""))</f>
        <v/>
      </c>
      <c r="I27" s="42"/>
      <c r="J27" s="43"/>
      <c r="K27" s="42"/>
      <c r="L27" s="42"/>
      <c r="M27" s="44"/>
      <c r="N27" s="44"/>
      <c r="O27" s="43"/>
      <c r="P27" s="45" t="n">
        <f aca="false">IF(AND($C27&lt;&gt;"",$C27&lt;&gt;"项目",OR(N($D27)&lt;&gt;0,N($E27)&lt;&gt;0,N($F27)&lt;&gt;0)),1,0)</f>
        <v>0</v>
      </c>
      <c r="Q27" s="45" t="n">
        <f aca="false">N(Q26)+$P27</f>
        <v>1</v>
      </c>
    </row>
    <row r="28" customFormat="false" ht="13.5" hidden="false" customHeight="false" outlineLevel="0" collapsed="false">
      <c r="A28" s="9" t="n">
        <v>27</v>
      </c>
      <c r="B28" s="38" t="n">
        <f aca="false">IF($T$4=0,IF($I28="","",$I28),IFERROR(IF([1]财务取数接口!$B$27=0,"",[1]财务取数接口!$B$27),""))</f>
        <v>46935</v>
      </c>
      <c r="C28" s="39" t="str">
        <f aca="false">IF($T$4=0,IF($J28="","",$J28),IFERROR(IF([1]财务取数接口!$C$27=0,"",[1]财务取数接口!$C$27),""))</f>
        <v>仓储费</v>
      </c>
      <c r="D28" s="40" t="str">
        <f aca="false">IF($T$4=0,IF($K28="","",$K28),IFERROR(IF([1]财务取数接口!$D$27=0,"",[1]财务取数接口!$D$27),""))</f>
        <v/>
      </c>
      <c r="E28" s="40" t="str">
        <f aca="false">IF($T$4=0,IF($L28="","",$L28),IFERROR(IF([1]财务取数接口!$E$27=0,"",[1]财务取数接口!$E$27),""))</f>
        <v>筐</v>
      </c>
      <c r="F28" s="41" t="str">
        <f aca="false">IF($T$4=0,IF($M28="","",$M28),IFERROR(IF([1]财务取数接口!$G$27=0,"",[1]财务取数接口!$G$27),""))</f>
        <v/>
      </c>
      <c r="G28" s="41" t="str">
        <f aca="false">IF($T$4=0,IF($N28="","",$N28),IFERROR(IF([1]财务取数接口!$H$27=0,"",[1]财务取数接口!$H$27),""))</f>
        <v/>
      </c>
      <c r="H28" s="39" t="str">
        <f aca="false">IF($T$4=0,IF($O28="","",$O28),IFERROR(IF([1]财务取数接口!$I$27=0,"",[1]财务取数接口!$I$27),""))</f>
        <v/>
      </c>
      <c r="I28" s="42"/>
      <c r="J28" s="43"/>
      <c r="K28" s="42"/>
      <c r="L28" s="42"/>
      <c r="M28" s="44"/>
      <c r="N28" s="44"/>
      <c r="O28" s="43"/>
      <c r="P28" s="45" t="n">
        <f aca="false">IF(AND($C28&lt;&gt;"",$C28&lt;&gt;"项目",OR(N($D28)&lt;&gt;0,N($E28)&lt;&gt;0,N($F28)&lt;&gt;0)),1,0)</f>
        <v>0</v>
      </c>
      <c r="Q28" s="45" t="n">
        <f aca="false">N(Q27)+$P28</f>
        <v>1</v>
      </c>
    </row>
    <row r="29" customFormat="false" ht="13.5" hidden="false" customHeight="false" outlineLevel="0" collapsed="false">
      <c r="A29" s="9" t="n">
        <v>28</v>
      </c>
      <c r="B29" s="38" t="n">
        <f aca="false">IF($T$4=0,IF($I29="","",$I29),IFERROR(IF([1]财务取数接口!$B$28=0,"",[1]财务取数接口!$B$28),""))</f>
        <v>46235</v>
      </c>
      <c r="C29" s="39" t="str">
        <f aca="false">IF($T$4=0,IF($J29="","",$J29),IFERROR(IF([1]财务取数接口!$C$28=0,"",[1]财务取数接口!$C$28),""))</f>
        <v>周转费</v>
      </c>
      <c r="D29" s="40" t="n">
        <f aca="false">IF($T$4=0,IF($K29="","",$K29),IFERROR(IF([1]财务取数接口!$D$28=0,"",[1]财务取数接口!$D$28),""))</f>
        <v>13104</v>
      </c>
      <c r="E29" s="40" t="str">
        <f aca="false">IF($T$4=0,IF($L29="","",$L29),IFERROR(IF([1]财务取数接口!$E$28=0,"",[1]财务取数接口!$E$28),""))</f>
        <v>筐</v>
      </c>
      <c r="F29" s="41" t="str">
        <f aca="false">IF($T$4=0,IF($M29="","",$M29),IFERROR(IF([1]财务取数接口!$G$28=0,"",[1]财务取数接口!$G$28),""))</f>
        <v/>
      </c>
      <c r="G29" s="41" t="str">
        <f aca="false">IF($T$4=0,IF($N29="","",$N29),IFERROR(IF([1]财务取数接口!$H$28=0,"",[1]财务取数接口!$H$28),""))</f>
        <v/>
      </c>
      <c r="H29" s="39" t="str">
        <f aca="false">IF($T$4=0,IF($O29="","",$O29),IFERROR(IF([1]财务取数接口!$I$28=0,"",[1]财务取数接口!$I$28),""))</f>
        <v/>
      </c>
      <c r="I29" s="42"/>
      <c r="J29" s="43"/>
      <c r="K29" s="42"/>
      <c r="L29" s="42"/>
      <c r="M29" s="44"/>
      <c r="N29" s="44"/>
      <c r="O29" s="43"/>
      <c r="P29" s="45" t="n">
        <f aca="false">IF(AND($C29&lt;&gt;"",$C29&lt;&gt;"项目",OR(N($D29)&lt;&gt;0,N($E29)&lt;&gt;0,N($F29)&lt;&gt;0)),1,0)</f>
        <v>1</v>
      </c>
      <c r="Q29" s="45" t="n">
        <f aca="false">N(Q28)+$P29</f>
        <v>2</v>
      </c>
    </row>
    <row r="30" customFormat="false" ht="13.5" hidden="false" customHeight="false" outlineLevel="0" collapsed="false">
      <c r="A30" s="9" t="n">
        <v>29</v>
      </c>
      <c r="B30" s="38" t="n">
        <f aca="false">IF($T$4=0,IF($I30="","",$I30),IFERROR(IF([1]财务取数接口!$B$29=0,"",[1]财务取数接口!$B$29),""))</f>
        <v>46266</v>
      </c>
      <c r="C30" s="39" t="str">
        <f aca="false">IF($T$4=0,IF($J30="","",$J30),IFERROR(IF([1]财务取数接口!$C$29=0,"",[1]财务取数接口!$C$29),""))</f>
        <v>周转费</v>
      </c>
      <c r="D30" s="40" t="n">
        <f aca="false">IF($T$4=0,IF($K30="","",$K30),IFERROR(IF([1]财务取数接口!$D$29=0,"",[1]财务取数接口!$D$29),""))</f>
        <v>5597</v>
      </c>
      <c r="E30" s="40" t="str">
        <f aca="false">IF($T$4=0,IF($L30="","",$L30),IFERROR(IF([1]财务取数接口!$E$29=0,"",[1]财务取数接口!$E$29),""))</f>
        <v>筐</v>
      </c>
      <c r="F30" s="41" t="str">
        <f aca="false">IF($T$4=0,IF($M30="","",$M30),IFERROR(IF([1]财务取数接口!$G$29=0,"",[1]财务取数接口!$G$29),""))</f>
        <v/>
      </c>
      <c r="G30" s="41" t="str">
        <f aca="false">IF($T$4=0,IF($N30="","",$N30),IFERROR(IF([1]财务取数接口!$H$29=0,"",[1]财务取数接口!$H$29),""))</f>
        <v/>
      </c>
      <c r="H30" s="39" t="str">
        <f aca="false">IF($T$4=0,IF($O30="","",$O30),IFERROR(IF([1]财务取数接口!$I$29=0,"",[1]财务取数接口!$I$29),""))</f>
        <v/>
      </c>
      <c r="I30" s="42"/>
      <c r="J30" s="43"/>
      <c r="K30" s="42"/>
      <c r="L30" s="42"/>
      <c r="M30" s="44"/>
      <c r="N30" s="44"/>
      <c r="O30" s="43"/>
      <c r="P30" s="45" t="n">
        <f aca="false">IF(AND($C30&lt;&gt;"",$C30&lt;&gt;"项目",OR(N($D30)&lt;&gt;0,N($E30)&lt;&gt;0,N($F30)&lt;&gt;0)),1,0)</f>
        <v>1</v>
      </c>
      <c r="Q30" s="45" t="n">
        <f aca="false">N(Q29)+$P30</f>
        <v>3</v>
      </c>
    </row>
    <row r="31" customFormat="false" ht="13.5" hidden="false" customHeight="false" outlineLevel="0" collapsed="false">
      <c r="A31" s="9" t="n">
        <v>30</v>
      </c>
      <c r="B31" s="38" t="n">
        <f aca="false">IF($T$4=0,IF($I31="","",$I31),IFERROR(IF([1]财务取数接口!$B$30=0,"",[1]财务取数接口!$B$30),""))</f>
        <v>46296</v>
      </c>
      <c r="C31" s="39" t="str">
        <f aca="false">IF($T$4=0,IF($J31="","",$J31),IFERROR(IF([1]财务取数接口!$C$30=0,"",[1]财务取数接口!$C$30),""))</f>
        <v>周转费</v>
      </c>
      <c r="D31" s="40" t="str">
        <f aca="false">IF($T$4=0,IF($K31="","",$K31),IFERROR(IF([1]财务取数接口!$D$30=0,"",[1]财务取数接口!$D$30),""))</f>
        <v/>
      </c>
      <c r="E31" s="40" t="str">
        <f aca="false">IF($T$4=0,IF($L31="","",$L31),IFERROR(IF([1]财务取数接口!$E$30=0,"",[1]财务取数接口!$E$30),""))</f>
        <v>筐</v>
      </c>
      <c r="F31" s="41" t="str">
        <f aca="false">IF($T$4=0,IF($M31="","",$M31),IFERROR(IF([1]财务取数接口!$G$30=0,"",[1]财务取数接口!$G$30),""))</f>
        <v/>
      </c>
      <c r="G31" s="41" t="str">
        <f aca="false">IF($T$4=0,IF($N31="","",$N31),IFERROR(IF([1]财务取数接口!$H$30=0,"",[1]财务取数接口!$H$30),""))</f>
        <v/>
      </c>
      <c r="H31" s="39" t="str">
        <f aca="false">IF($T$4=0,IF($O31="","",$O31),IFERROR(IF([1]财务取数接口!$I$30=0,"",[1]财务取数接口!$I$30),""))</f>
        <v/>
      </c>
      <c r="I31" s="42"/>
      <c r="J31" s="43"/>
      <c r="K31" s="42"/>
      <c r="L31" s="42"/>
      <c r="M31" s="44"/>
      <c r="N31" s="44"/>
      <c r="O31" s="43"/>
      <c r="P31" s="45" t="n">
        <f aca="false">IF(AND($C31&lt;&gt;"",$C31&lt;&gt;"项目",OR(N($D31)&lt;&gt;0,N($E31)&lt;&gt;0,N($F31)&lt;&gt;0)),1,0)</f>
        <v>0</v>
      </c>
      <c r="Q31" s="45" t="n">
        <f aca="false">N(Q30)+$P31</f>
        <v>3</v>
      </c>
    </row>
    <row r="32" customFormat="false" ht="13.5" hidden="false" customHeight="false" outlineLevel="0" collapsed="false">
      <c r="A32" s="9" t="n">
        <v>31</v>
      </c>
      <c r="B32" s="38" t="n">
        <f aca="false">IF($T$4=0,IF($I32="","",$I32),IFERROR(IF([1]财务取数接口!$B$31=0,"",[1]财务取数接口!$B$31),""))</f>
        <v>46327</v>
      </c>
      <c r="C32" s="39" t="str">
        <f aca="false">IF($T$4=0,IF($J32="","",$J32),IFERROR(IF([1]财务取数接口!$C$31=0,"",[1]财务取数接口!$C$31),""))</f>
        <v>周转费</v>
      </c>
      <c r="D32" s="40" t="str">
        <f aca="false">IF($T$4=0,IF($K32="","",$K32),IFERROR(IF([1]财务取数接口!$D$31=0,"",[1]财务取数接口!$D$31),""))</f>
        <v/>
      </c>
      <c r="E32" s="40" t="str">
        <f aca="false">IF($T$4=0,IF($L32="","",$L32),IFERROR(IF([1]财务取数接口!$E$31=0,"",[1]财务取数接口!$E$31),""))</f>
        <v>筐</v>
      </c>
      <c r="F32" s="41" t="str">
        <f aca="false">IF($T$4=0,IF($M32="","",$M32),IFERROR(IF([1]财务取数接口!$G$31=0,"",[1]财务取数接口!$G$31),""))</f>
        <v/>
      </c>
      <c r="G32" s="41" t="str">
        <f aca="false">IF($T$4=0,IF($N32="","",$N32),IFERROR(IF([1]财务取数接口!$H$31=0,"",[1]财务取数接口!$H$31),""))</f>
        <v/>
      </c>
      <c r="H32" s="39" t="str">
        <f aca="false">IF($T$4=0,IF($O32="","",$O32),IFERROR(IF([1]财务取数接口!$I$31=0,"",[1]财务取数接口!$I$31),""))</f>
        <v/>
      </c>
      <c r="I32" s="42"/>
      <c r="J32" s="43"/>
      <c r="K32" s="42"/>
      <c r="L32" s="42"/>
      <c r="M32" s="44"/>
      <c r="N32" s="44"/>
      <c r="O32" s="43"/>
      <c r="P32" s="45" t="n">
        <f aca="false">IF(AND($C32&lt;&gt;"",$C32&lt;&gt;"项目",OR(N($D32)&lt;&gt;0,N($E32)&lt;&gt;0,N($F32)&lt;&gt;0)),1,0)</f>
        <v>0</v>
      </c>
      <c r="Q32" s="45" t="n">
        <f aca="false">N(Q31)+$P32</f>
        <v>3</v>
      </c>
    </row>
    <row r="33" customFormat="false" ht="13.5" hidden="false" customHeight="false" outlineLevel="0" collapsed="false">
      <c r="A33" s="9" t="n">
        <v>32</v>
      </c>
      <c r="B33" s="38" t="n">
        <f aca="false">IF($T$4=0,IF($I33="","",$I33),IFERROR(IF([1]财务取数接口!$B$32=0,"",[1]财务取数接口!$B$32),""))</f>
        <v>46357</v>
      </c>
      <c r="C33" s="39" t="str">
        <f aca="false">IF($T$4=0,IF($J33="","",$J33),IFERROR(IF([1]财务取数接口!$C$32=0,"",[1]财务取数接口!$C$32),""))</f>
        <v>周转费</v>
      </c>
      <c r="D33" s="40" t="str">
        <f aca="false">IF($T$4=0,IF($K33="","",$K33),IFERROR(IF([1]财务取数接口!$D$32=0,"",[1]财务取数接口!$D$32),""))</f>
        <v/>
      </c>
      <c r="E33" s="40" t="str">
        <f aca="false">IF($T$4=0,IF($L33="","",$L33),IFERROR(IF([1]财务取数接口!$E$32=0,"",[1]财务取数接口!$E$32),""))</f>
        <v>筐</v>
      </c>
      <c r="F33" s="41" t="str">
        <f aca="false">IF($T$4=0,IF($M33="","",$M33),IFERROR(IF([1]财务取数接口!$G$32=0,"",[1]财务取数接口!$G$32),""))</f>
        <v/>
      </c>
      <c r="G33" s="41" t="str">
        <f aca="false">IF($T$4=0,IF($N33="","",$N33),IFERROR(IF([1]财务取数接口!$H$32=0,"",[1]财务取数接口!$H$32),""))</f>
        <v/>
      </c>
      <c r="H33" s="39" t="str">
        <f aca="false">IF($T$4=0,IF($O33="","",$O33),IFERROR(IF([1]财务取数接口!$I$32=0,"",[1]财务取数接口!$I$32),""))</f>
        <v/>
      </c>
      <c r="I33" s="42"/>
      <c r="J33" s="43"/>
      <c r="K33" s="42"/>
      <c r="L33" s="42"/>
      <c r="M33" s="44"/>
      <c r="N33" s="44"/>
      <c r="O33" s="43"/>
      <c r="P33" s="45" t="n">
        <f aca="false">IF(AND($C33&lt;&gt;"",$C33&lt;&gt;"项目",OR(N($D33)&lt;&gt;0,N($E33)&lt;&gt;0,N($F33)&lt;&gt;0)),1,0)</f>
        <v>0</v>
      </c>
      <c r="Q33" s="45" t="n">
        <f aca="false">N(Q32)+$P33</f>
        <v>3</v>
      </c>
    </row>
    <row r="34" customFormat="false" ht="13.5" hidden="false" customHeight="false" outlineLevel="0" collapsed="false">
      <c r="A34" s="9" t="n">
        <v>33</v>
      </c>
      <c r="B34" s="38" t="n">
        <f aca="false">IF($T$4=0,IF($I34="","",$I34),IFERROR(IF([1]财务取数接口!$B$33=0,"",[1]财务取数接口!$B$33),""))</f>
        <v>46388</v>
      </c>
      <c r="C34" s="39" t="str">
        <f aca="false">IF($T$4=0,IF($J34="","",$J34),IFERROR(IF([1]财务取数接口!$C$33=0,"",[1]财务取数接口!$C$33),""))</f>
        <v>周转费</v>
      </c>
      <c r="D34" s="40" t="str">
        <f aca="false">IF($T$4=0,IF($K34="","",$K34),IFERROR(IF([1]财务取数接口!$D$33=0,"",[1]财务取数接口!$D$33),""))</f>
        <v/>
      </c>
      <c r="E34" s="40" t="str">
        <f aca="false">IF($T$4=0,IF($L34="","",$L34),IFERROR(IF([1]财务取数接口!$E$33=0,"",[1]财务取数接口!$E$33),""))</f>
        <v>筐</v>
      </c>
      <c r="F34" s="41" t="str">
        <f aca="false">IF($T$4=0,IF($M34="","",$M34),IFERROR(IF([1]财务取数接口!$G$33=0,"",[1]财务取数接口!$G$33),""))</f>
        <v/>
      </c>
      <c r="G34" s="41" t="str">
        <f aca="false">IF($T$4=0,IF($N34="","",$N34),IFERROR(IF([1]财务取数接口!$H$33=0,"",[1]财务取数接口!$H$33),""))</f>
        <v/>
      </c>
      <c r="H34" s="39" t="str">
        <f aca="false">IF($T$4=0,IF($O34="","",$O34),IFERROR(IF([1]财务取数接口!$I$33=0,"",[1]财务取数接口!$I$33),""))</f>
        <v/>
      </c>
      <c r="I34" s="42"/>
      <c r="J34" s="43"/>
      <c r="K34" s="42"/>
      <c r="L34" s="42"/>
      <c r="M34" s="44"/>
      <c r="N34" s="44"/>
      <c r="O34" s="43"/>
      <c r="P34" s="45" t="n">
        <f aca="false">IF(AND($C34&lt;&gt;"",$C34&lt;&gt;"项目",OR(N($D34)&lt;&gt;0,N($E34)&lt;&gt;0,N($F34)&lt;&gt;0)),1,0)</f>
        <v>0</v>
      </c>
      <c r="Q34" s="45" t="n">
        <f aca="false">N(Q33)+$P34</f>
        <v>3</v>
      </c>
    </row>
    <row r="35" customFormat="false" ht="13.5" hidden="false" customHeight="false" outlineLevel="0" collapsed="false">
      <c r="A35" s="9" t="n">
        <v>34</v>
      </c>
      <c r="B35" s="38" t="n">
        <f aca="false">IF($T$4=0,IF($I35="","",$I35),IFERROR(IF([1]财务取数接口!$B$34=0,"",[1]财务取数接口!$B$34),""))</f>
        <v>46419</v>
      </c>
      <c r="C35" s="39" t="str">
        <f aca="false">IF($T$4=0,IF($J35="","",$J35),IFERROR(IF([1]财务取数接口!$C$34=0,"",[1]财务取数接口!$C$34),""))</f>
        <v>周转费</v>
      </c>
      <c r="D35" s="40" t="str">
        <f aca="false">IF($T$4=0,IF($K35="","",$K35),IFERROR(IF([1]财务取数接口!$D$34=0,"",[1]财务取数接口!$D$34),""))</f>
        <v/>
      </c>
      <c r="E35" s="40" t="str">
        <f aca="false">IF($T$4=0,IF($L35="","",$L35),IFERROR(IF([1]财务取数接口!$E$34=0,"",[1]财务取数接口!$E$34),""))</f>
        <v>筐</v>
      </c>
      <c r="F35" s="41" t="str">
        <f aca="false">IF($T$4=0,IF($M35="","",$M35),IFERROR(IF([1]财务取数接口!$G$34=0,"",[1]财务取数接口!$G$34),""))</f>
        <v/>
      </c>
      <c r="G35" s="41" t="str">
        <f aca="false">IF($T$4=0,IF($N35="","",$N35),IFERROR(IF([1]财务取数接口!$H$34=0,"",[1]财务取数接口!$H$34),""))</f>
        <v/>
      </c>
      <c r="H35" s="39" t="str">
        <f aca="false">IF($T$4=0,IF($O35="","",$O35),IFERROR(IF([1]财务取数接口!$I$34=0,"",[1]财务取数接口!$I$34),""))</f>
        <v/>
      </c>
      <c r="I35" s="42"/>
      <c r="J35" s="43"/>
      <c r="K35" s="42"/>
      <c r="L35" s="42"/>
      <c r="M35" s="44"/>
      <c r="N35" s="44"/>
      <c r="O35" s="43"/>
      <c r="P35" s="45" t="n">
        <f aca="false">IF(AND($C35&lt;&gt;"",$C35&lt;&gt;"项目",OR(N($D35)&lt;&gt;0,N($E35)&lt;&gt;0,N($F35)&lt;&gt;0)),1,0)</f>
        <v>0</v>
      </c>
      <c r="Q35" s="45" t="n">
        <f aca="false">N(Q34)+$P35</f>
        <v>3</v>
      </c>
    </row>
    <row r="36" customFormat="false" ht="13.5" hidden="false" customHeight="false" outlineLevel="0" collapsed="false">
      <c r="A36" s="9" t="n">
        <v>35</v>
      </c>
      <c r="B36" s="38" t="n">
        <f aca="false">IF($T$4=0,IF($I36="","",$I36),IFERROR(IF([1]财务取数接口!$B$35=0,"",[1]财务取数接口!$B$35),""))</f>
        <v>46447</v>
      </c>
      <c r="C36" s="39" t="str">
        <f aca="false">IF($T$4=0,IF($J36="","",$J36),IFERROR(IF([1]财务取数接口!$C$35=0,"",[1]财务取数接口!$C$35),""))</f>
        <v>周转费</v>
      </c>
      <c r="D36" s="40" t="str">
        <f aca="false">IF($T$4=0,IF($K36="","",$K36),IFERROR(IF([1]财务取数接口!$D$35=0,"",[1]财务取数接口!$D$35),""))</f>
        <v/>
      </c>
      <c r="E36" s="40" t="str">
        <f aca="false">IF($T$4=0,IF($L36="","",$L36),IFERROR(IF([1]财务取数接口!$E$35=0,"",[1]财务取数接口!$E$35),""))</f>
        <v>筐</v>
      </c>
      <c r="F36" s="41" t="str">
        <f aca="false">IF($T$4=0,IF($M36="","",$M36),IFERROR(IF([1]财务取数接口!$G$35=0,"",[1]财务取数接口!$G$35),""))</f>
        <v/>
      </c>
      <c r="G36" s="41" t="str">
        <f aca="false">IF($T$4=0,IF($N36="","",$N36),IFERROR(IF([1]财务取数接口!$H$35=0,"",[1]财务取数接口!$H$35),""))</f>
        <v/>
      </c>
      <c r="H36" s="39" t="str">
        <f aca="false">IF($T$4=0,IF($O36="","",$O36),IFERROR(IF([1]财务取数接口!$I$35=0,"",[1]财务取数接口!$I$35),""))</f>
        <v/>
      </c>
      <c r="I36" s="42"/>
      <c r="J36" s="43"/>
      <c r="K36" s="42"/>
      <c r="L36" s="42"/>
      <c r="M36" s="44"/>
      <c r="N36" s="44"/>
      <c r="O36" s="43"/>
      <c r="P36" s="45" t="n">
        <f aca="false">IF(AND($C36&lt;&gt;"",$C36&lt;&gt;"项目",OR(N($D36)&lt;&gt;0,N($E36)&lt;&gt;0,N($F36)&lt;&gt;0)),1,0)</f>
        <v>0</v>
      </c>
      <c r="Q36" s="45" t="n">
        <f aca="false">N(Q35)+$P36</f>
        <v>3</v>
      </c>
    </row>
    <row r="37" customFormat="false" ht="13.5" hidden="false" customHeight="false" outlineLevel="0" collapsed="false">
      <c r="A37" s="9" t="n">
        <v>36</v>
      </c>
      <c r="B37" s="38" t="n">
        <f aca="false">IF($T$4=0,IF($I37="","",$I37),IFERROR(IF([1]财务取数接口!$B$36=0,"",[1]财务取数接口!$B$36),""))</f>
        <v>46478</v>
      </c>
      <c r="C37" s="39" t="str">
        <f aca="false">IF($T$4=0,IF($J37="","",$J37),IFERROR(IF([1]财务取数接口!$C$36=0,"",[1]财务取数接口!$C$36),""))</f>
        <v>周转费</v>
      </c>
      <c r="D37" s="40" t="str">
        <f aca="false">IF($T$4=0,IF($K37="","",$K37),IFERROR(IF([1]财务取数接口!$D$36=0,"",[1]财务取数接口!$D$36),""))</f>
        <v/>
      </c>
      <c r="E37" s="40" t="str">
        <f aca="false">IF($T$4=0,IF($L37="","",$L37),IFERROR(IF([1]财务取数接口!$E$36=0,"",[1]财务取数接口!$E$36),""))</f>
        <v>筐</v>
      </c>
      <c r="F37" s="41" t="str">
        <f aca="false">IF($T$4=0,IF($M37="","",$M37),IFERROR(IF([1]财务取数接口!$G$36=0,"",[1]财务取数接口!$G$36),""))</f>
        <v/>
      </c>
      <c r="G37" s="41" t="str">
        <f aca="false">IF($T$4=0,IF($N37="","",$N37),IFERROR(IF([1]财务取数接口!$H$36=0,"",[1]财务取数接口!$H$36),""))</f>
        <v/>
      </c>
      <c r="H37" s="39" t="str">
        <f aca="false">IF($T$4=0,IF($O37="","",$O37),IFERROR(IF([1]财务取数接口!$I$36=0,"",[1]财务取数接口!$I$36),""))</f>
        <v/>
      </c>
      <c r="I37" s="42"/>
      <c r="J37" s="43"/>
      <c r="K37" s="42"/>
      <c r="L37" s="42"/>
      <c r="M37" s="44"/>
      <c r="N37" s="44"/>
      <c r="O37" s="43"/>
      <c r="P37" s="45" t="n">
        <f aca="false">IF(AND($C37&lt;&gt;"",$C37&lt;&gt;"项目",OR(N($D37)&lt;&gt;0,N($E37)&lt;&gt;0,N($F37)&lt;&gt;0)),1,0)</f>
        <v>0</v>
      </c>
      <c r="Q37" s="45" t="n">
        <f aca="false">N(Q36)+$P37</f>
        <v>3</v>
      </c>
    </row>
    <row r="38" customFormat="false" ht="13.5" hidden="false" customHeight="false" outlineLevel="0" collapsed="false">
      <c r="A38" s="9" t="n">
        <v>37</v>
      </c>
      <c r="B38" s="38" t="n">
        <f aca="false">IF($T$4=0,IF($I38="","",$I38),IFERROR(IF([1]财务取数接口!$B$37=0,"",[1]财务取数接口!$B$37),""))</f>
        <v>46508</v>
      </c>
      <c r="C38" s="39" t="str">
        <f aca="false">IF($T$4=0,IF($J38="","",$J38),IFERROR(IF([1]财务取数接口!$C$37=0,"",[1]财务取数接口!$C$37),""))</f>
        <v>周转费</v>
      </c>
      <c r="D38" s="40" t="str">
        <f aca="false">IF($T$4=0,IF($K38="","",$K38),IFERROR(IF([1]财务取数接口!$D$37=0,"",[1]财务取数接口!$D$37),""))</f>
        <v/>
      </c>
      <c r="E38" s="40" t="str">
        <f aca="false">IF($T$4=0,IF($L38="","",$L38),IFERROR(IF([1]财务取数接口!$E$37=0,"",[1]财务取数接口!$E$37),""))</f>
        <v>筐</v>
      </c>
      <c r="F38" s="41" t="str">
        <f aca="false">IF($T$4=0,IF($M38="","",$M38),IFERROR(IF([1]财务取数接口!$G$37=0,"",[1]财务取数接口!$G$37),""))</f>
        <v/>
      </c>
      <c r="G38" s="41" t="str">
        <f aca="false">IF($T$4=0,IF($N38="","",$N38),IFERROR(IF([1]财务取数接口!$H$37=0,"",[1]财务取数接口!$H$37),""))</f>
        <v/>
      </c>
      <c r="H38" s="39" t="str">
        <f aca="false">IF($T$4=0,IF($O38="","",$O38),IFERROR(IF([1]财务取数接口!$I$37=0,"",[1]财务取数接口!$I$37),""))</f>
        <v/>
      </c>
      <c r="I38" s="42"/>
      <c r="J38" s="43"/>
      <c r="K38" s="42"/>
      <c r="L38" s="42"/>
      <c r="M38" s="44"/>
      <c r="N38" s="44"/>
      <c r="O38" s="43"/>
      <c r="P38" s="45" t="n">
        <f aca="false">IF(AND($C38&lt;&gt;"",$C38&lt;&gt;"项目",OR(N($D38)&lt;&gt;0,N($E38)&lt;&gt;0,N($F38)&lt;&gt;0)),1,0)</f>
        <v>0</v>
      </c>
      <c r="Q38" s="45" t="n">
        <f aca="false">N(Q37)+$P38</f>
        <v>3</v>
      </c>
    </row>
    <row r="39" customFormat="false" ht="13.5" hidden="false" customHeight="false" outlineLevel="0" collapsed="false">
      <c r="A39" s="9" t="n">
        <v>38</v>
      </c>
      <c r="B39" s="38" t="n">
        <f aca="false">IF($T$4=0,IF($I39="","",$I39),IFERROR(IF([1]财务取数接口!$B$38=0,"",[1]财务取数接口!$B$38),""))</f>
        <v>46539</v>
      </c>
      <c r="C39" s="39" t="str">
        <f aca="false">IF($T$4=0,IF($J39="","",$J39),IFERROR(IF([1]财务取数接口!$C$38=0,"",[1]财务取数接口!$C$38),""))</f>
        <v>周转费</v>
      </c>
      <c r="D39" s="40" t="str">
        <f aca="false">IF($T$4=0,IF($K39="","",$K39),IFERROR(IF([1]财务取数接口!$D$38=0,"",[1]财务取数接口!$D$38),""))</f>
        <v/>
      </c>
      <c r="E39" s="40" t="str">
        <f aca="false">IF($T$4=0,IF($L39="","",$L39),IFERROR(IF([1]财务取数接口!$E$38=0,"",[1]财务取数接口!$E$38),""))</f>
        <v>筐</v>
      </c>
      <c r="F39" s="41" t="str">
        <f aca="false">IF($T$4=0,IF($M39="","",$M39),IFERROR(IF([1]财务取数接口!$G$38=0,"",[1]财务取数接口!$G$38),""))</f>
        <v/>
      </c>
      <c r="G39" s="41" t="str">
        <f aca="false">IF($T$4=0,IF($N39="","",$N39),IFERROR(IF([1]财务取数接口!$H$38=0,"",[1]财务取数接口!$H$38),""))</f>
        <v/>
      </c>
      <c r="H39" s="39" t="str">
        <f aca="false">IF($T$4=0,IF($O39="","",$O39),IFERROR(IF([1]财务取数接口!$I$38=0,"",[1]财务取数接口!$I$38),""))</f>
        <v/>
      </c>
      <c r="I39" s="42"/>
      <c r="J39" s="43"/>
      <c r="K39" s="42"/>
      <c r="L39" s="42"/>
      <c r="M39" s="44"/>
      <c r="N39" s="44"/>
      <c r="O39" s="43"/>
      <c r="P39" s="45" t="n">
        <f aca="false">IF(AND($C39&lt;&gt;"",$C39&lt;&gt;"项目",OR(N($D39)&lt;&gt;0,N($E39)&lt;&gt;0,N($F39)&lt;&gt;0)),1,0)</f>
        <v>0</v>
      </c>
      <c r="Q39" s="45" t="n">
        <f aca="false">N(Q38)+$P39</f>
        <v>3</v>
      </c>
    </row>
    <row r="40" customFormat="false" ht="13.5" hidden="false" customHeight="false" outlineLevel="0" collapsed="false">
      <c r="A40" s="9" t="n">
        <v>39</v>
      </c>
      <c r="B40" s="38" t="n">
        <f aca="false">IF($T$4=0,IF($I40="","",$I40),IFERROR(IF([1]财务取数接口!$B$39=0,"",[1]财务取数接口!$B$39),""))</f>
        <v>46569</v>
      </c>
      <c r="C40" s="39" t="str">
        <f aca="false">IF($T$4=0,IF($J40="","",$J40),IFERROR(IF([1]财务取数接口!$C$39=0,"",[1]财务取数接口!$C$39),""))</f>
        <v>周转费</v>
      </c>
      <c r="D40" s="40" t="str">
        <f aca="false">IF($T$4=0,IF($K40="","",$K40),IFERROR(IF([1]财务取数接口!$D$39=0,"",[1]财务取数接口!$D$39),""))</f>
        <v/>
      </c>
      <c r="E40" s="40" t="str">
        <f aca="false">IF($T$4=0,IF($L40="","",$L40),IFERROR(IF([1]财务取数接口!$E$39=0,"",[1]财务取数接口!$E$39),""))</f>
        <v>筐</v>
      </c>
      <c r="F40" s="41" t="str">
        <f aca="false">IF($T$4=0,IF($M40="","",$M40),IFERROR(IF([1]财务取数接口!$G$39=0,"",[1]财务取数接口!$G$39),""))</f>
        <v/>
      </c>
      <c r="G40" s="41" t="str">
        <f aca="false">IF($T$4=0,IF($N40="","",$N40),IFERROR(IF([1]财务取数接口!$H$39=0,"",[1]财务取数接口!$H$39),""))</f>
        <v/>
      </c>
      <c r="H40" s="39" t="str">
        <f aca="false">IF($T$4=0,IF($O40="","",$O40),IFERROR(IF([1]财务取数接口!$I$39=0,"",[1]财务取数接口!$I$39),""))</f>
        <v/>
      </c>
      <c r="I40" s="42"/>
      <c r="J40" s="43"/>
      <c r="K40" s="42"/>
      <c r="L40" s="42"/>
      <c r="M40" s="44"/>
      <c r="N40" s="44"/>
      <c r="O40" s="43"/>
      <c r="P40" s="45" t="n">
        <f aca="false">IF(AND($C40&lt;&gt;"",$C40&lt;&gt;"项目",OR(N($D40)&lt;&gt;0,N($E40)&lt;&gt;0,N($F40)&lt;&gt;0)),1,0)</f>
        <v>0</v>
      </c>
      <c r="Q40" s="45" t="n">
        <f aca="false">N(Q39)+$P40</f>
        <v>3</v>
      </c>
    </row>
    <row r="41" customFormat="false" ht="13.5" hidden="false" customHeight="false" outlineLevel="0" collapsed="false">
      <c r="A41" s="9" t="n">
        <v>40</v>
      </c>
      <c r="B41" s="38" t="n">
        <f aca="false">IF($T$4=0,IF($I41="","",$I41),IFERROR(IF([1]财务取数接口!$B$40=0,"",[1]财务取数接口!$B$40),""))</f>
        <v>46600</v>
      </c>
      <c r="C41" s="39" t="str">
        <f aca="false">IF($T$4=0,IF($J41="","",$J41),IFERROR(IF([1]财务取数接口!$C$40=0,"",[1]财务取数接口!$C$40),""))</f>
        <v>周转费</v>
      </c>
      <c r="D41" s="40" t="str">
        <f aca="false">IF($T$4=0,IF($K41="","",$K41),IFERROR(IF([1]财务取数接口!$D$40=0,"",[1]财务取数接口!$D$40),""))</f>
        <v/>
      </c>
      <c r="E41" s="40" t="str">
        <f aca="false">IF($T$4=0,IF($L41="","",$L41),IFERROR(IF([1]财务取数接口!$E$40=0,"",[1]财务取数接口!$E$40),""))</f>
        <v>筐</v>
      </c>
      <c r="F41" s="41" t="str">
        <f aca="false">IF($T$4=0,IF($M41="","",$M41),IFERROR(IF([1]财务取数接口!$G$40=0,"",[1]财务取数接口!$G$40),""))</f>
        <v/>
      </c>
      <c r="G41" s="41" t="str">
        <f aca="false">IF($T$4=0,IF($N41="","",$N41),IFERROR(IF([1]财务取数接口!$H$40=0,"",[1]财务取数接口!$H$40),""))</f>
        <v/>
      </c>
      <c r="H41" s="39" t="str">
        <f aca="false">IF($T$4=0,IF($O41="","",$O41),IFERROR(IF([1]财务取数接口!$I$40=0,"",[1]财务取数接口!$I$40),""))</f>
        <v/>
      </c>
      <c r="I41" s="42"/>
      <c r="J41" s="43"/>
      <c r="K41" s="42"/>
      <c r="L41" s="42"/>
      <c r="M41" s="44"/>
      <c r="N41" s="44"/>
      <c r="O41" s="43"/>
      <c r="P41" s="45" t="n">
        <f aca="false">IF(AND($C41&lt;&gt;"",$C41&lt;&gt;"项目",OR(N($D41)&lt;&gt;0,N($E41)&lt;&gt;0,N($F41)&lt;&gt;0)),1,0)</f>
        <v>0</v>
      </c>
      <c r="Q41" s="45" t="n">
        <f aca="false">N(Q40)+$P41</f>
        <v>3</v>
      </c>
    </row>
    <row r="42" customFormat="false" ht="13.5" hidden="false" customHeight="false" outlineLevel="0" collapsed="false">
      <c r="A42" s="9" t="n">
        <v>41</v>
      </c>
      <c r="B42" s="38" t="n">
        <f aca="false">IF($T$4=0,IF($I42="","",$I42),IFERROR(IF([1]财务取数接口!$B$41=0,"",[1]财务取数接口!$B$41),""))</f>
        <v>46631</v>
      </c>
      <c r="C42" s="39" t="str">
        <f aca="false">IF($T$4=0,IF($J42="","",$J42),IFERROR(IF([1]财务取数接口!$C$41=0,"",[1]财务取数接口!$C$41),""))</f>
        <v>周转费</v>
      </c>
      <c r="D42" s="40" t="str">
        <f aca="false">IF($T$4=0,IF($K42="","",$K42),IFERROR(IF([1]财务取数接口!$D$41=0,"",[1]财务取数接口!$D$41),""))</f>
        <v/>
      </c>
      <c r="E42" s="40" t="str">
        <f aca="false">IF($T$4=0,IF($L42="","",$L42),IFERROR(IF([1]财务取数接口!$E$41=0,"",[1]财务取数接口!$E$41),""))</f>
        <v>筐</v>
      </c>
      <c r="F42" s="41" t="str">
        <f aca="false">IF($T$4=0,IF($M42="","",$M42),IFERROR(IF([1]财务取数接口!$G$41=0,"",[1]财务取数接口!$G$41),""))</f>
        <v/>
      </c>
      <c r="G42" s="41" t="str">
        <f aca="false">IF($T$4=0,IF($N42="","",$N42),IFERROR(IF([1]财务取数接口!$H$41=0,"",[1]财务取数接口!$H$41),""))</f>
        <v/>
      </c>
      <c r="H42" s="39" t="str">
        <f aca="false">IF($T$4=0,IF($O42="","",$O42),IFERROR(IF([1]财务取数接口!$I$41=0,"",[1]财务取数接口!$I$41),""))</f>
        <v/>
      </c>
      <c r="I42" s="42"/>
      <c r="J42" s="43"/>
      <c r="K42" s="42"/>
      <c r="L42" s="42"/>
      <c r="M42" s="44"/>
      <c r="N42" s="44"/>
      <c r="O42" s="43"/>
      <c r="P42" s="45" t="n">
        <f aca="false">IF(AND($C42&lt;&gt;"",$C42&lt;&gt;"项目",OR(N($D42)&lt;&gt;0,N($E42)&lt;&gt;0,N($F42)&lt;&gt;0)),1,0)</f>
        <v>0</v>
      </c>
      <c r="Q42" s="45" t="n">
        <f aca="false">N(Q41)+$P42</f>
        <v>3</v>
      </c>
    </row>
    <row r="43" customFormat="false" ht="13.5" hidden="false" customHeight="false" outlineLevel="0" collapsed="false">
      <c r="A43" s="9" t="n">
        <v>42</v>
      </c>
      <c r="B43" s="38" t="n">
        <f aca="false">IF($T$4=0,IF($I43="","",$I43),IFERROR(IF([1]财务取数接口!$B$42=0,"",[1]财务取数接口!$B$42),""))</f>
        <v>46661</v>
      </c>
      <c r="C43" s="39" t="str">
        <f aca="false">IF($T$4=0,IF($J43="","",$J43),IFERROR(IF([1]财务取数接口!$C$42=0,"",[1]财务取数接口!$C$42),""))</f>
        <v>周转费</v>
      </c>
      <c r="D43" s="40" t="str">
        <f aca="false">IF($T$4=0,IF($K43="","",$K43),IFERROR(IF([1]财务取数接口!$D$42=0,"",[1]财务取数接口!$D$42),""))</f>
        <v/>
      </c>
      <c r="E43" s="40" t="str">
        <f aca="false">IF($T$4=0,IF($L43="","",$L43),IFERROR(IF([1]财务取数接口!$E$42=0,"",[1]财务取数接口!$E$42),""))</f>
        <v>筐</v>
      </c>
      <c r="F43" s="41" t="str">
        <f aca="false">IF($T$4=0,IF($M43="","",$M43),IFERROR(IF([1]财务取数接口!$G$42=0,"",[1]财务取数接口!$G$42),""))</f>
        <v/>
      </c>
      <c r="G43" s="41" t="str">
        <f aca="false">IF($T$4=0,IF($N43="","",$N43),IFERROR(IF([1]财务取数接口!$H$42=0,"",[1]财务取数接口!$H$42),""))</f>
        <v/>
      </c>
      <c r="H43" s="39" t="str">
        <f aca="false">IF($T$4=0,IF($O43="","",$O43),IFERROR(IF([1]财务取数接口!$I$42=0,"",[1]财务取数接口!$I$42),""))</f>
        <v/>
      </c>
      <c r="I43" s="42"/>
      <c r="J43" s="43"/>
      <c r="K43" s="42"/>
      <c r="L43" s="42"/>
      <c r="M43" s="44"/>
      <c r="N43" s="44"/>
      <c r="O43" s="43"/>
      <c r="P43" s="45" t="n">
        <f aca="false">IF(AND($C43&lt;&gt;"",$C43&lt;&gt;"项目",OR(N($D43)&lt;&gt;0,N($E43)&lt;&gt;0,N($F43)&lt;&gt;0)),1,0)</f>
        <v>0</v>
      </c>
      <c r="Q43" s="45" t="n">
        <f aca="false">N(Q42)+$P43</f>
        <v>3</v>
      </c>
    </row>
    <row r="44" customFormat="false" ht="13.5" hidden="false" customHeight="false" outlineLevel="0" collapsed="false">
      <c r="A44" s="9" t="n">
        <v>43</v>
      </c>
      <c r="B44" s="38" t="n">
        <f aca="false">IF($T$4=0,IF($I44="","",$I44),IFERROR(IF([1]财务取数接口!$B$43=0,"",[1]财务取数接口!$B$43),""))</f>
        <v>46692</v>
      </c>
      <c r="C44" s="39" t="str">
        <f aca="false">IF($T$4=0,IF($J44="","",$J44),IFERROR(IF([1]财务取数接口!$C$43=0,"",[1]财务取数接口!$C$43),""))</f>
        <v>周转费</v>
      </c>
      <c r="D44" s="40" t="str">
        <f aca="false">IF($T$4=0,IF($K44="","",$K44),IFERROR(IF([1]财务取数接口!$D$43=0,"",[1]财务取数接口!$D$43),""))</f>
        <v/>
      </c>
      <c r="E44" s="40" t="str">
        <f aca="false">IF($T$4=0,IF($L44="","",$L44),IFERROR(IF([1]财务取数接口!$E$43=0,"",[1]财务取数接口!$E$43),""))</f>
        <v>筐</v>
      </c>
      <c r="F44" s="41" t="str">
        <f aca="false">IF($T$4=0,IF($M44="","",$M44),IFERROR(IF([1]财务取数接口!$G$43=0,"",[1]财务取数接口!$G$43),""))</f>
        <v/>
      </c>
      <c r="G44" s="41" t="str">
        <f aca="false">IF($T$4=0,IF($N44="","",$N44),IFERROR(IF([1]财务取数接口!$H$43=0,"",[1]财务取数接口!$H$43),""))</f>
        <v/>
      </c>
      <c r="H44" s="39" t="str">
        <f aca="false">IF($T$4=0,IF($O44="","",$O44),IFERROR(IF([1]财务取数接口!$I$43=0,"",[1]财务取数接口!$I$43),""))</f>
        <v/>
      </c>
      <c r="I44" s="42"/>
      <c r="J44" s="43"/>
      <c r="K44" s="42"/>
      <c r="L44" s="42"/>
      <c r="M44" s="44"/>
      <c r="N44" s="44"/>
      <c r="O44" s="43"/>
      <c r="P44" s="45" t="n">
        <f aca="false">IF(AND($C44&lt;&gt;"",$C44&lt;&gt;"项目",OR(N($D44)&lt;&gt;0,N($E44)&lt;&gt;0,N($F44)&lt;&gt;0)),1,0)</f>
        <v>0</v>
      </c>
      <c r="Q44" s="45" t="n">
        <f aca="false">N(Q43)+$P44</f>
        <v>3</v>
      </c>
    </row>
    <row r="45" customFormat="false" ht="13.5" hidden="false" customHeight="false" outlineLevel="0" collapsed="false">
      <c r="A45" s="9" t="n">
        <v>44</v>
      </c>
      <c r="B45" s="38" t="n">
        <f aca="false">IF($T$4=0,IF($I45="","",$I45),IFERROR(IF([1]财务取数接口!$B$44=0,"",[1]财务取数接口!$B$44),""))</f>
        <v>46722</v>
      </c>
      <c r="C45" s="39" t="str">
        <f aca="false">IF($T$4=0,IF($J45="","",$J45),IFERROR(IF([1]财务取数接口!$C$44=0,"",[1]财务取数接口!$C$44),""))</f>
        <v>周转费</v>
      </c>
      <c r="D45" s="40" t="str">
        <f aca="false">IF($T$4=0,IF($K45="","",$K45),IFERROR(IF([1]财务取数接口!$D$44=0,"",[1]财务取数接口!$D$44),""))</f>
        <v/>
      </c>
      <c r="E45" s="40" t="str">
        <f aca="false">IF($T$4=0,IF($L45="","",$L45),IFERROR(IF([1]财务取数接口!$E$44=0,"",[1]财务取数接口!$E$44),""))</f>
        <v>筐</v>
      </c>
      <c r="F45" s="41" t="str">
        <f aca="false">IF($T$4=0,IF($M45="","",$M45),IFERROR(IF([1]财务取数接口!$G$44=0,"",[1]财务取数接口!$G$44),""))</f>
        <v/>
      </c>
      <c r="G45" s="41" t="str">
        <f aca="false">IF($T$4=0,IF($N45="","",$N45),IFERROR(IF([1]财务取数接口!$H$44=0,"",[1]财务取数接口!$H$44),""))</f>
        <v/>
      </c>
      <c r="H45" s="39" t="str">
        <f aca="false">IF($T$4=0,IF($O45="","",$O45),IFERROR(IF([1]财务取数接口!$I$44=0,"",[1]财务取数接口!$I$44),""))</f>
        <v/>
      </c>
      <c r="I45" s="42"/>
      <c r="J45" s="43"/>
      <c r="K45" s="42"/>
      <c r="L45" s="42"/>
      <c r="M45" s="44"/>
      <c r="N45" s="44"/>
      <c r="O45" s="43"/>
      <c r="P45" s="45" t="n">
        <f aca="false">IF(AND($C45&lt;&gt;"",$C45&lt;&gt;"项目",OR(N($D45)&lt;&gt;0,N($E45)&lt;&gt;0,N($F45)&lt;&gt;0)),1,0)</f>
        <v>0</v>
      </c>
      <c r="Q45" s="45" t="n">
        <f aca="false">N(Q44)+$P45</f>
        <v>3</v>
      </c>
    </row>
    <row r="46" customFormat="false" ht="13.5" hidden="false" customHeight="false" outlineLevel="0" collapsed="false">
      <c r="A46" s="9" t="n">
        <v>45</v>
      </c>
      <c r="B46" s="38" t="n">
        <f aca="false">IF($T$4=0,IF($I46="","",$I46),IFERROR(IF([1]财务取数接口!$B$45=0,"",[1]财务取数接口!$B$45),""))</f>
        <v>46753</v>
      </c>
      <c r="C46" s="39" t="str">
        <f aca="false">IF($T$4=0,IF($J46="","",$J46),IFERROR(IF([1]财务取数接口!$C$45=0,"",[1]财务取数接口!$C$45),""))</f>
        <v>周转费</v>
      </c>
      <c r="D46" s="40" t="str">
        <f aca="false">IF($T$4=0,IF($K46="","",$K46),IFERROR(IF([1]财务取数接口!$D$45=0,"",[1]财务取数接口!$D$45),""))</f>
        <v/>
      </c>
      <c r="E46" s="40" t="str">
        <f aca="false">IF($T$4=0,IF($L46="","",$L46),IFERROR(IF([1]财务取数接口!$E$45=0,"",[1]财务取数接口!$E$45),""))</f>
        <v>筐</v>
      </c>
      <c r="F46" s="41" t="str">
        <f aca="false">IF($T$4=0,IF($M46="","",$M46),IFERROR(IF([1]财务取数接口!$G$45=0,"",[1]财务取数接口!$G$45),""))</f>
        <v/>
      </c>
      <c r="G46" s="41" t="str">
        <f aca="false">IF($T$4=0,IF($N46="","",$N46),IFERROR(IF([1]财务取数接口!$H$45=0,"",[1]财务取数接口!$H$45),""))</f>
        <v/>
      </c>
      <c r="H46" s="39" t="str">
        <f aca="false">IF($T$4=0,IF($O46="","",$O46),IFERROR(IF([1]财务取数接口!$I$45=0,"",[1]财务取数接口!$I$45),""))</f>
        <v/>
      </c>
      <c r="I46" s="42"/>
      <c r="J46" s="43"/>
      <c r="K46" s="42"/>
      <c r="L46" s="42"/>
      <c r="M46" s="44"/>
      <c r="N46" s="44"/>
      <c r="O46" s="43"/>
      <c r="P46" s="45" t="n">
        <f aca="false">IF(AND($C46&lt;&gt;"",$C46&lt;&gt;"项目",OR(N($D46)&lt;&gt;0,N($E46)&lt;&gt;0,N($F46)&lt;&gt;0)),1,0)</f>
        <v>0</v>
      </c>
      <c r="Q46" s="45" t="n">
        <f aca="false">N(Q45)+$P46</f>
        <v>3</v>
      </c>
    </row>
    <row r="47" customFormat="false" ht="13.5" hidden="false" customHeight="false" outlineLevel="0" collapsed="false">
      <c r="A47" s="9" t="n">
        <v>46</v>
      </c>
      <c r="B47" s="38" t="n">
        <f aca="false">IF($T$4=0,IF($I47="","",$I47),IFERROR(IF([1]财务取数接口!$B$46=0,"",[1]财务取数接口!$B$46),""))</f>
        <v>46784</v>
      </c>
      <c r="C47" s="39" t="str">
        <f aca="false">IF($T$4=0,IF($J47="","",$J47),IFERROR(IF([1]财务取数接口!$C$46=0,"",[1]财务取数接口!$C$46),""))</f>
        <v>周转费</v>
      </c>
      <c r="D47" s="40" t="str">
        <f aca="false">IF($T$4=0,IF($K47="","",$K47),IFERROR(IF([1]财务取数接口!$D$46=0,"",[1]财务取数接口!$D$46),""))</f>
        <v/>
      </c>
      <c r="E47" s="40" t="str">
        <f aca="false">IF($T$4=0,IF($L47="","",$L47),IFERROR(IF([1]财务取数接口!$E$46=0,"",[1]财务取数接口!$E$46),""))</f>
        <v>筐</v>
      </c>
      <c r="F47" s="41" t="str">
        <f aca="false">IF($T$4=0,IF($M47="","",$M47),IFERROR(IF([1]财务取数接口!$G$46=0,"",[1]财务取数接口!$G$46),""))</f>
        <v/>
      </c>
      <c r="G47" s="41" t="str">
        <f aca="false">IF($T$4=0,IF($N47="","",$N47),IFERROR(IF([1]财务取数接口!$H$46=0,"",[1]财务取数接口!$H$46),""))</f>
        <v/>
      </c>
      <c r="H47" s="39" t="str">
        <f aca="false">IF($T$4=0,IF($O47="","",$O47),IFERROR(IF([1]财务取数接口!$I$46=0,"",[1]财务取数接口!$I$46),""))</f>
        <v/>
      </c>
      <c r="I47" s="42"/>
      <c r="J47" s="43"/>
      <c r="K47" s="42"/>
      <c r="L47" s="42"/>
      <c r="M47" s="44"/>
      <c r="N47" s="44"/>
      <c r="O47" s="43"/>
      <c r="P47" s="45" t="n">
        <f aca="false">IF(AND($C47&lt;&gt;"",$C47&lt;&gt;"项目",OR(N($D47)&lt;&gt;0,N($E47)&lt;&gt;0,N($F47)&lt;&gt;0)),1,0)</f>
        <v>0</v>
      </c>
      <c r="Q47" s="45" t="n">
        <f aca="false">N(Q46)+$P47</f>
        <v>3</v>
      </c>
    </row>
    <row r="48" customFormat="false" ht="13.5" hidden="false" customHeight="false" outlineLevel="0" collapsed="false">
      <c r="A48" s="9" t="n">
        <v>47</v>
      </c>
      <c r="B48" s="38" t="n">
        <f aca="false">IF($T$4=0,IF($I48="","",$I48),IFERROR(IF([1]财务取数接口!$B$47=0,"",[1]财务取数接口!$B$47),""))</f>
        <v>46813</v>
      </c>
      <c r="C48" s="39" t="str">
        <f aca="false">IF($T$4=0,IF($J48="","",$J48),IFERROR(IF([1]财务取数接口!$C$47=0,"",[1]财务取数接口!$C$47),""))</f>
        <v>周转费</v>
      </c>
      <c r="D48" s="40" t="str">
        <f aca="false">IF($T$4=0,IF($K48="","",$K48),IFERROR(IF([1]财务取数接口!$D$47=0,"",[1]财务取数接口!$D$47),""))</f>
        <v/>
      </c>
      <c r="E48" s="40" t="str">
        <f aca="false">IF($T$4=0,IF($L48="","",$L48),IFERROR(IF([1]财务取数接口!$E$47=0,"",[1]财务取数接口!$E$47),""))</f>
        <v>筐</v>
      </c>
      <c r="F48" s="41" t="str">
        <f aca="false">IF($T$4=0,IF($M48="","",$M48),IFERROR(IF([1]财务取数接口!$G$47=0,"",[1]财务取数接口!$G$47),""))</f>
        <v/>
      </c>
      <c r="G48" s="41" t="str">
        <f aca="false">IF($T$4=0,IF($N48="","",$N48),IFERROR(IF([1]财务取数接口!$H$47=0,"",[1]财务取数接口!$H$47),""))</f>
        <v/>
      </c>
      <c r="H48" s="39" t="str">
        <f aca="false">IF($T$4=0,IF($O48="","",$O48),IFERROR(IF([1]财务取数接口!$I$47=0,"",[1]财务取数接口!$I$47),""))</f>
        <v/>
      </c>
      <c r="I48" s="42"/>
      <c r="J48" s="43"/>
      <c r="K48" s="42"/>
      <c r="L48" s="42"/>
      <c r="M48" s="44"/>
      <c r="N48" s="44"/>
      <c r="O48" s="43"/>
      <c r="P48" s="45" t="n">
        <f aca="false">IF(AND($C48&lt;&gt;"",$C48&lt;&gt;"项目",OR(N($D48)&lt;&gt;0,N($E48)&lt;&gt;0,N($F48)&lt;&gt;0)),1,0)</f>
        <v>0</v>
      </c>
      <c r="Q48" s="45" t="n">
        <f aca="false">N(Q47)+$P48</f>
        <v>3</v>
      </c>
    </row>
    <row r="49" customFormat="false" ht="13.5" hidden="false" customHeight="false" outlineLevel="0" collapsed="false">
      <c r="A49" s="9" t="n">
        <v>48</v>
      </c>
      <c r="B49" s="38" t="n">
        <f aca="false">IF($T$4=0,IF($I49="","",$I49),IFERROR(IF([1]财务取数接口!$B$48=0,"",[1]财务取数接口!$B$48),""))</f>
        <v>46844</v>
      </c>
      <c r="C49" s="39" t="str">
        <f aca="false">IF($T$4=0,IF($J49="","",$J49),IFERROR(IF([1]财务取数接口!$C$48=0,"",[1]财务取数接口!$C$48),""))</f>
        <v>周转费</v>
      </c>
      <c r="D49" s="40" t="str">
        <f aca="false">IF($T$4=0,IF($K49="","",$K49),IFERROR(IF([1]财务取数接口!$D$48=0,"",[1]财务取数接口!$D$48),""))</f>
        <v/>
      </c>
      <c r="E49" s="40" t="str">
        <f aca="false">IF($T$4=0,IF($L49="","",$L49),IFERROR(IF([1]财务取数接口!$E$48=0,"",[1]财务取数接口!$E$48),""))</f>
        <v>筐</v>
      </c>
      <c r="F49" s="41" t="str">
        <f aca="false">IF($T$4=0,IF($M49="","",$M49),IFERROR(IF([1]财务取数接口!$G$48=0,"",[1]财务取数接口!$G$48),""))</f>
        <v/>
      </c>
      <c r="G49" s="41" t="str">
        <f aca="false">IF($T$4=0,IF($N49="","",$N49),IFERROR(IF([1]财务取数接口!$H$48=0,"",[1]财务取数接口!$H$48),""))</f>
        <v/>
      </c>
      <c r="H49" s="39" t="str">
        <f aca="false">IF($T$4=0,IF($O49="","",$O49),IFERROR(IF([1]财务取数接口!$I$48=0,"",[1]财务取数接口!$I$48),""))</f>
        <v/>
      </c>
      <c r="I49" s="42"/>
      <c r="J49" s="43"/>
      <c r="K49" s="42"/>
      <c r="L49" s="42"/>
      <c r="M49" s="44"/>
      <c r="N49" s="44"/>
      <c r="O49" s="43"/>
      <c r="P49" s="45" t="n">
        <f aca="false">IF(AND($C49&lt;&gt;"",$C49&lt;&gt;"项目",OR(N($D49)&lt;&gt;0,N($E49)&lt;&gt;0,N($F49)&lt;&gt;0)),1,0)</f>
        <v>0</v>
      </c>
      <c r="Q49" s="45" t="n">
        <f aca="false">N(Q48)+$P49</f>
        <v>3</v>
      </c>
    </row>
    <row r="50" customFormat="false" ht="13.5" hidden="false" customHeight="false" outlineLevel="0" collapsed="false">
      <c r="A50" s="9" t="n">
        <v>49</v>
      </c>
      <c r="B50" s="38" t="n">
        <f aca="false">IF($T$4=0,IF($I50="","",$I50),IFERROR(IF([1]财务取数接口!$B$49=0,"",[1]财务取数接口!$B$49),""))</f>
        <v>46874</v>
      </c>
      <c r="C50" s="39" t="str">
        <f aca="false">IF($T$4=0,IF($J50="","",$J50),IFERROR(IF([1]财务取数接口!$C$49=0,"",[1]财务取数接口!$C$49),""))</f>
        <v>周转费</v>
      </c>
      <c r="D50" s="40" t="str">
        <f aca="false">IF($T$4=0,IF($K50="","",$K50),IFERROR(IF([1]财务取数接口!$D$49=0,"",[1]财务取数接口!$D$49),""))</f>
        <v/>
      </c>
      <c r="E50" s="40" t="str">
        <f aca="false">IF($T$4=0,IF($L50="","",$L50),IFERROR(IF([1]财务取数接口!$E$49=0,"",[1]财务取数接口!$E$49),""))</f>
        <v>筐</v>
      </c>
      <c r="F50" s="41" t="str">
        <f aca="false">IF($T$4=0,IF($M50="","",$M50),IFERROR(IF([1]财务取数接口!$G$49=0,"",[1]财务取数接口!$G$49),""))</f>
        <v/>
      </c>
      <c r="G50" s="41" t="str">
        <f aca="false">IF($T$4=0,IF($N50="","",$N50),IFERROR(IF([1]财务取数接口!$H$49=0,"",[1]财务取数接口!$H$49),""))</f>
        <v/>
      </c>
      <c r="H50" s="39" t="str">
        <f aca="false">IF($T$4=0,IF($O50="","",$O50),IFERROR(IF([1]财务取数接口!$I$49=0,"",[1]财务取数接口!$I$49),""))</f>
        <v/>
      </c>
      <c r="I50" s="42"/>
      <c r="J50" s="43"/>
      <c r="K50" s="42"/>
      <c r="L50" s="42"/>
      <c r="M50" s="44"/>
      <c r="N50" s="44"/>
      <c r="O50" s="43"/>
      <c r="P50" s="45" t="n">
        <f aca="false">IF(AND($C50&lt;&gt;"",$C50&lt;&gt;"项目",OR(N($D50)&lt;&gt;0,N($E50)&lt;&gt;0,N($F50)&lt;&gt;0)),1,0)</f>
        <v>0</v>
      </c>
      <c r="Q50" s="45" t="n">
        <f aca="false">N(Q49)+$P50</f>
        <v>3</v>
      </c>
    </row>
    <row r="51" customFormat="false" ht="13.5" hidden="false" customHeight="false" outlineLevel="0" collapsed="false">
      <c r="A51" s="9" t="n">
        <v>50</v>
      </c>
      <c r="B51" s="38" t="n">
        <f aca="false">IF($T$4=0,IF($I51="","",$I51),IFERROR(IF([1]财务取数接口!$B$50=0,"",[1]财务取数接口!$B$50),""))</f>
        <v>46905</v>
      </c>
      <c r="C51" s="39" t="str">
        <f aca="false">IF($T$4=0,IF($J51="","",$J51),IFERROR(IF([1]财务取数接口!$C$50=0,"",[1]财务取数接口!$C$50),""))</f>
        <v>周转费</v>
      </c>
      <c r="D51" s="40" t="str">
        <f aca="false">IF($T$4=0,IF($K51="","",$K51),IFERROR(IF([1]财务取数接口!$D$50=0,"",[1]财务取数接口!$D$50),""))</f>
        <v/>
      </c>
      <c r="E51" s="40" t="str">
        <f aca="false">IF($T$4=0,IF($L51="","",$L51),IFERROR(IF([1]财务取数接口!$E$50=0,"",[1]财务取数接口!$E$50),""))</f>
        <v>筐</v>
      </c>
      <c r="F51" s="41" t="str">
        <f aca="false">IF($T$4=0,IF($M51="","",$M51),IFERROR(IF([1]财务取数接口!$G$50=0,"",[1]财务取数接口!$G$50),""))</f>
        <v/>
      </c>
      <c r="G51" s="41" t="str">
        <f aca="false">IF($T$4=0,IF($N51="","",$N51),IFERROR(IF([1]财务取数接口!$H$50=0,"",[1]财务取数接口!$H$50),""))</f>
        <v/>
      </c>
      <c r="H51" s="39" t="str">
        <f aca="false">IF($T$4=0,IF($O51="","",$O51),IFERROR(IF([1]财务取数接口!$I$50=0,"",[1]财务取数接口!$I$50),""))</f>
        <v/>
      </c>
      <c r="I51" s="42"/>
      <c r="J51" s="43"/>
      <c r="K51" s="42"/>
      <c r="L51" s="42"/>
      <c r="M51" s="44"/>
      <c r="N51" s="44"/>
      <c r="O51" s="43"/>
      <c r="P51" s="45" t="n">
        <f aca="false">IF(AND($C51&lt;&gt;"",$C51&lt;&gt;"项目",OR(N($D51)&lt;&gt;0,N($E51)&lt;&gt;0,N($F51)&lt;&gt;0)),1,0)</f>
        <v>0</v>
      </c>
      <c r="Q51" s="45" t="n">
        <f aca="false">N(Q50)+$P51</f>
        <v>3</v>
      </c>
    </row>
    <row r="52" customFormat="false" ht="13.5" hidden="false" customHeight="false" outlineLevel="0" collapsed="false">
      <c r="A52" s="9" t="n">
        <v>51</v>
      </c>
      <c r="B52" s="38" t="n">
        <f aca="false">IF($T$4=0,IF($I52="","",$I52),IFERROR(IF([1]财务取数接口!$B$51=0,"",[1]财务取数接口!$B$51),""))</f>
        <v>46935</v>
      </c>
      <c r="C52" s="39" t="str">
        <f aca="false">IF($T$4=0,IF($J52="","",$J52),IFERROR(IF([1]财务取数接口!$C$51=0,"",[1]财务取数接口!$C$51),""))</f>
        <v>周转费</v>
      </c>
      <c r="D52" s="40" t="str">
        <f aca="false">IF($T$4=0,IF($K52="","",$K52),IFERROR(IF([1]财务取数接口!$D$51=0,"",[1]财务取数接口!$D$51),""))</f>
        <v/>
      </c>
      <c r="E52" s="40" t="str">
        <f aca="false">IF($T$4=0,IF($L52="","",$L52),IFERROR(IF([1]财务取数接口!$E$51=0,"",[1]财务取数接口!$E$51),""))</f>
        <v>筐</v>
      </c>
      <c r="F52" s="41" t="str">
        <f aca="false">IF($T$4=0,IF($M52="","",$M52),IFERROR(IF([1]财务取数接口!$G$51=0,"",[1]财务取数接口!$G$51),""))</f>
        <v/>
      </c>
      <c r="G52" s="41" t="str">
        <f aca="false">IF($T$4=0,IF($N52="","",$N52),IFERROR(IF([1]财务取数接口!$H$51=0,"",[1]财务取数接口!$H$51),""))</f>
        <v/>
      </c>
      <c r="H52" s="39" t="str">
        <f aca="false">IF($T$4=0,IF($O52="","",$O52),IFERROR(IF([1]财务取数接口!$I$51=0,"",[1]财务取数接口!$I$51),""))</f>
        <v/>
      </c>
      <c r="I52" s="42"/>
      <c r="J52" s="43"/>
      <c r="K52" s="42"/>
      <c r="L52" s="42"/>
      <c r="M52" s="44"/>
      <c r="N52" s="44"/>
      <c r="O52" s="43"/>
      <c r="P52" s="45" t="n">
        <f aca="false">IF(AND($C52&lt;&gt;"",$C52&lt;&gt;"项目",OR(N($D52)&lt;&gt;0,N($E52)&lt;&gt;0,N($F52)&lt;&gt;0)),1,0)</f>
        <v>0</v>
      </c>
      <c r="Q52" s="45" t="n">
        <f aca="false">N(Q51)+$P52</f>
        <v>3</v>
      </c>
    </row>
    <row r="53" customFormat="false" ht="13.5" hidden="false" customHeight="false" outlineLevel="0" collapsed="false">
      <c r="A53" s="9" t="n">
        <v>52</v>
      </c>
      <c r="B53" s="38" t="n">
        <f aca="false">IF($T$4=0,IF($I53="","",$I53),IFERROR(IF([1]财务取数接口!$B$52=0,"",[1]财务取数接口!$B$52),""))</f>
        <v>46235</v>
      </c>
      <c r="C53" s="39" t="str">
        <f aca="false">IF($T$4=0,IF($J53="","",$J53),IFERROR(IF([1]财务取数接口!$C$52=0,"",[1]财务取数接口!$C$52),""))</f>
        <v>装卸费</v>
      </c>
      <c r="D53" s="40" t="n">
        <f aca="false">IF($T$4=0,IF($K53="","",$K53),IFERROR(IF([1]财务取数接口!$D$52=0,"",[1]财务取数接口!$D$52),""))</f>
        <v>14523</v>
      </c>
      <c r="E53" s="40" t="str">
        <f aca="false">IF($T$4=0,IF($L53="","",$L53),IFERROR(IF([1]财务取数接口!$E$52=0,"",[1]财务取数接口!$E$52),""))</f>
        <v>筐</v>
      </c>
      <c r="F53" s="41" t="str">
        <f aca="false">IF($T$4=0,IF($M53="","",$M53),IFERROR(IF([1]财务取数接口!$G$52=0,"",[1]财务取数接口!$G$52),""))</f>
        <v/>
      </c>
      <c r="G53" s="41" t="str">
        <f aca="false">IF($T$4=0,IF($N53="","",$N53),IFERROR(IF([1]财务取数接口!$H$52=0,"",[1]财务取数接口!$H$52),""))</f>
        <v/>
      </c>
      <c r="H53" s="39" t="str">
        <f aca="false">IF($T$4=0,IF($O53="","",$O53),IFERROR(IF([1]财务取数接口!$I$52=0,"",[1]财务取数接口!$I$52),""))</f>
        <v/>
      </c>
      <c r="I53" s="42"/>
      <c r="J53" s="43"/>
      <c r="K53" s="42"/>
      <c r="L53" s="42"/>
      <c r="M53" s="44"/>
      <c r="N53" s="44"/>
      <c r="O53" s="43"/>
      <c r="P53" s="45" t="n">
        <f aca="false">IF(AND($C53&lt;&gt;"",$C53&lt;&gt;"项目",OR(N($D53)&lt;&gt;0,N($E53)&lt;&gt;0,N($F53)&lt;&gt;0)),1,0)</f>
        <v>1</v>
      </c>
      <c r="Q53" s="45" t="n">
        <f aca="false">N(Q52)+$P53</f>
        <v>4</v>
      </c>
    </row>
    <row r="54" customFormat="false" ht="13.5" hidden="false" customHeight="false" outlineLevel="0" collapsed="false">
      <c r="A54" s="9" t="n">
        <v>53</v>
      </c>
      <c r="B54" s="38" t="n">
        <f aca="false">IF($T$4=0,IF($I54="","",$I54),IFERROR(IF([1]财务取数接口!$B$53=0,"",[1]财务取数接口!$B$53),""))</f>
        <v>46266</v>
      </c>
      <c r="C54" s="39" t="str">
        <f aca="false">IF($T$4=0,IF($J54="","",$J54),IFERROR(IF([1]财务取数接口!$C$53=0,"",[1]财务取数接口!$C$53),""))</f>
        <v>装卸费</v>
      </c>
      <c r="D54" s="40" t="n">
        <f aca="false">IF($T$4=0,IF($K54="","",$K54),IFERROR(IF([1]财务取数接口!$D$53=0,"",[1]财务取数接口!$D$53),""))</f>
        <v>31420</v>
      </c>
      <c r="E54" s="40" t="str">
        <f aca="false">IF($T$4=0,IF($L54="","",$L54),IFERROR(IF([1]财务取数接口!$E$53=0,"",[1]财务取数接口!$E$53),""))</f>
        <v>筐</v>
      </c>
      <c r="F54" s="41" t="str">
        <f aca="false">IF($T$4=0,IF($M54="","",$M54),IFERROR(IF([1]财务取数接口!$G$53=0,"",[1]财务取数接口!$G$53),""))</f>
        <v/>
      </c>
      <c r="G54" s="41" t="str">
        <f aca="false">IF($T$4=0,IF($N54="","",$N54),IFERROR(IF([1]财务取数接口!$H$53=0,"",[1]财务取数接口!$H$53),""))</f>
        <v/>
      </c>
      <c r="H54" s="39" t="str">
        <f aca="false">IF($T$4=0,IF($O54="","",$O54),IFERROR(IF([1]财务取数接口!$I$53=0,"",[1]财务取数接口!$I$53),""))</f>
        <v/>
      </c>
      <c r="I54" s="42"/>
      <c r="J54" s="43"/>
      <c r="K54" s="42"/>
      <c r="L54" s="42"/>
      <c r="M54" s="44"/>
      <c r="N54" s="44"/>
      <c r="O54" s="43"/>
      <c r="P54" s="45" t="n">
        <f aca="false">IF(AND($C54&lt;&gt;"",$C54&lt;&gt;"项目",OR(N($D54)&lt;&gt;0,N($E54)&lt;&gt;0,N($F54)&lt;&gt;0)),1,0)</f>
        <v>1</v>
      </c>
      <c r="Q54" s="45" t="n">
        <f aca="false">N(Q53)+$P54</f>
        <v>5</v>
      </c>
    </row>
    <row r="55" customFormat="false" ht="13.5" hidden="false" customHeight="false" outlineLevel="0" collapsed="false">
      <c r="A55" s="9" t="n">
        <v>54</v>
      </c>
      <c r="B55" s="38" t="n">
        <f aca="false">IF($T$4=0,IF($I55="","",$I55),IFERROR(IF([1]财务取数接口!$B$54=0,"",[1]财务取数接口!$B$54),""))</f>
        <v>46296</v>
      </c>
      <c r="C55" s="39" t="str">
        <f aca="false">IF($T$4=0,IF($J55="","",$J55),IFERROR(IF([1]财务取数接口!$C$54=0,"",[1]财务取数接口!$C$54),""))</f>
        <v>装卸费</v>
      </c>
      <c r="D55" s="40" t="str">
        <f aca="false">IF($T$4=0,IF($K55="","",$K55),IFERROR(IF([1]财务取数接口!$D$54=0,"",[1]财务取数接口!$D$54),""))</f>
        <v/>
      </c>
      <c r="E55" s="40" t="str">
        <f aca="false">IF($T$4=0,IF($L55="","",$L55),IFERROR(IF([1]财务取数接口!$E$54=0,"",[1]财务取数接口!$E$54),""))</f>
        <v>筐</v>
      </c>
      <c r="F55" s="41" t="str">
        <f aca="false">IF($T$4=0,IF($M55="","",$M55),IFERROR(IF([1]财务取数接口!$G$54=0,"",[1]财务取数接口!$G$54),""))</f>
        <v/>
      </c>
      <c r="G55" s="41" t="str">
        <f aca="false">IF($T$4=0,IF($N55="","",$N55),IFERROR(IF([1]财务取数接口!$H$54=0,"",[1]财务取数接口!$H$54),""))</f>
        <v/>
      </c>
      <c r="H55" s="39" t="str">
        <f aca="false">IF($T$4=0,IF($O55="","",$O55),IFERROR(IF([1]财务取数接口!$I$54=0,"",[1]财务取数接口!$I$54),""))</f>
        <v/>
      </c>
      <c r="I55" s="42"/>
      <c r="J55" s="43"/>
      <c r="K55" s="42"/>
      <c r="L55" s="42"/>
      <c r="M55" s="44"/>
      <c r="N55" s="44"/>
      <c r="O55" s="43"/>
      <c r="P55" s="45" t="n">
        <f aca="false">IF(AND($C55&lt;&gt;"",$C55&lt;&gt;"项目",OR(N($D55)&lt;&gt;0,N($E55)&lt;&gt;0,N($F55)&lt;&gt;0)),1,0)</f>
        <v>0</v>
      </c>
      <c r="Q55" s="45" t="n">
        <f aca="false">N(Q54)+$P55</f>
        <v>5</v>
      </c>
    </row>
    <row r="56" customFormat="false" ht="13.5" hidden="false" customHeight="false" outlineLevel="0" collapsed="false">
      <c r="A56" s="9" t="n">
        <v>55</v>
      </c>
      <c r="B56" s="38" t="n">
        <f aca="false">IF($T$4=0,IF($I56="","",$I56),IFERROR(IF([1]财务取数接口!$B$55=0,"",[1]财务取数接口!$B$55),""))</f>
        <v>46327</v>
      </c>
      <c r="C56" s="39" t="str">
        <f aca="false">IF($T$4=0,IF($J56="","",$J56),IFERROR(IF([1]财务取数接口!$C$55=0,"",[1]财务取数接口!$C$55),""))</f>
        <v>装卸费</v>
      </c>
      <c r="D56" s="40" t="str">
        <f aca="false">IF($T$4=0,IF($K56="","",$K56),IFERROR(IF([1]财务取数接口!$D$55=0,"",[1]财务取数接口!$D$55),""))</f>
        <v/>
      </c>
      <c r="E56" s="40" t="str">
        <f aca="false">IF($T$4=0,IF($L56="","",$L56),IFERROR(IF([1]财务取数接口!$E$55=0,"",[1]财务取数接口!$E$55),""))</f>
        <v>筐</v>
      </c>
      <c r="F56" s="41" t="str">
        <f aca="false">IF($T$4=0,IF($M56="","",$M56),IFERROR(IF([1]财务取数接口!$G$55=0,"",[1]财务取数接口!$G$55),""))</f>
        <v/>
      </c>
      <c r="G56" s="41" t="str">
        <f aca="false">IF($T$4=0,IF($N56="","",$N56),IFERROR(IF([1]财务取数接口!$H$55=0,"",[1]财务取数接口!$H$55),""))</f>
        <v/>
      </c>
      <c r="H56" s="39" t="str">
        <f aca="false">IF($T$4=0,IF($O56="","",$O56),IFERROR(IF([1]财务取数接口!$I$55=0,"",[1]财务取数接口!$I$55),""))</f>
        <v/>
      </c>
      <c r="I56" s="42"/>
      <c r="J56" s="43"/>
      <c r="K56" s="42"/>
      <c r="L56" s="42"/>
      <c r="M56" s="44"/>
      <c r="N56" s="44"/>
      <c r="O56" s="43"/>
      <c r="P56" s="45" t="n">
        <f aca="false">IF(AND($C56&lt;&gt;"",$C56&lt;&gt;"项目",OR(N($D56)&lt;&gt;0,N($E56)&lt;&gt;0,N($F56)&lt;&gt;0)),1,0)</f>
        <v>0</v>
      </c>
      <c r="Q56" s="45" t="n">
        <f aca="false">N(Q55)+$P56</f>
        <v>5</v>
      </c>
    </row>
    <row r="57" customFormat="false" ht="13.5" hidden="false" customHeight="false" outlineLevel="0" collapsed="false">
      <c r="A57" s="9" t="n">
        <v>56</v>
      </c>
      <c r="B57" s="38" t="n">
        <f aca="false">IF($T$4=0,IF($I57="","",$I57),IFERROR(IF([1]财务取数接口!$B$56=0,"",[1]财务取数接口!$B$56),""))</f>
        <v>46357</v>
      </c>
      <c r="C57" s="39" t="str">
        <f aca="false">IF($T$4=0,IF($J57="","",$J57),IFERROR(IF([1]财务取数接口!$C$56=0,"",[1]财务取数接口!$C$56),""))</f>
        <v>装卸费</v>
      </c>
      <c r="D57" s="40" t="str">
        <f aca="false">IF($T$4=0,IF($K57="","",$K57),IFERROR(IF([1]财务取数接口!$D$56=0,"",[1]财务取数接口!$D$56),""))</f>
        <v/>
      </c>
      <c r="E57" s="40" t="str">
        <f aca="false">IF($T$4=0,IF($L57="","",$L57),IFERROR(IF([1]财务取数接口!$E$56=0,"",[1]财务取数接口!$E$56),""))</f>
        <v>筐</v>
      </c>
      <c r="F57" s="41" t="str">
        <f aca="false">IF($T$4=0,IF($M57="","",$M57),IFERROR(IF([1]财务取数接口!$G$56=0,"",[1]财务取数接口!$G$56),""))</f>
        <v/>
      </c>
      <c r="G57" s="41" t="str">
        <f aca="false">IF($T$4=0,IF($N57="","",$N57),IFERROR(IF([1]财务取数接口!$H$56=0,"",[1]财务取数接口!$H$56),""))</f>
        <v/>
      </c>
      <c r="H57" s="39" t="str">
        <f aca="false">IF($T$4=0,IF($O57="","",$O57),IFERROR(IF([1]财务取数接口!$I$56=0,"",[1]财务取数接口!$I$56),""))</f>
        <v/>
      </c>
      <c r="I57" s="42"/>
      <c r="J57" s="43"/>
      <c r="K57" s="42"/>
      <c r="L57" s="42"/>
      <c r="M57" s="44"/>
      <c r="N57" s="44"/>
      <c r="O57" s="43"/>
      <c r="P57" s="45" t="n">
        <f aca="false">IF(AND($C57&lt;&gt;"",$C57&lt;&gt;"项目",OR(N($D57)&lt;&gt;0,N($E57)&lt;&gt;0,N($F57)&lt;&gt;0)),1,0)</f>
        <v>0</v>
      </c>
      <c r="Q57" s="45" t="n">
        <f aca="false">N(Q56)+$P57</f>
        <v>5</v>
      </c>
    </row>
    <row r="58" customFormat="false" ht="13.5" hidden="false" customHeight="false" outlineLevel="0" collapsed="false">
      <c r="A58" s="9" t="n">
        <v>57</v>
      </c>
      <c r="B58" s="38" t="n">
        <f aca="false">IF($T$4=0,IF($I58="","",$I58),IFERROR(IF([1]财务取数接口!$B$57=0,"",[1]财务取数接口!$B$57),""))</f>
        <v>46388</v>
      </c>
      <c r="C58" s="39" t="str">
        <f aca="false">IF($T$4=0,IF($J58="","",$J58),IFERROR(IF([1]财务取数接口!$C$57=0,"",[1]财务取数接口!$C$57),""))</f>
        <v>装卸费</v>
      </c>
      <c r="D58" s="40" t="str">
        <f aca="false">IF($T$4=0,IF($K58="","",$K58),IFERROR(IF([1]财务取数接口!$D$57=0,"",[1]财务取数接口!$D$57),""))</f>
        <v/>
      </c>
      <c r="E58" s="40" t="str">
        <f aca="false">IF($T$4=0,IF($L58="","",$L58),IFERROR(IF([1]财务取数接口!$E$57=0,"",[1]财务取数接口!$E$57),""))</f>
        <v>筐</v>
      </c>
      <c r="F58" s="41" t="str">
        <f aca="false">IF($T$4=0,IF($M58="","",$M58),IFERROR(IF([1]财务取数接口!$G$57=0,"",[1]财务取数接口!$G$57),""))</f>
        <v/>
      </c>
      <c r="G58" s="41" t="str">
        <f aca="false">IF($T$4=0,IF($N58="","",$N58),IFERROR(IF([1]财务取数接口!$H$57=0,"",[1]财务取数接口!$H$57),""))</f>
        <v/>
      </c>
      <c r="H58" s="39" t="str">
        <f aca="false">IF($T$4=0,IF($O58="","",$O58),IFERROR(IF([1]财务取数接口!$I$57=0,"",[1]财务取数接口!$I$57),""))</f>
        <v/>
      </c>
      <c r="I58" s="42"/>
      <c r="J58" s="43"/>
      <c r="K58" s="42"/>
      <c r="L58" s="42"/>
      <c r="M58" s="44"/>
      <c r="N58" s="44"/>
      <c r="O58" s="43"/>
      <c r="P58" s="45" t="n">
        <f aca="false">IF(AND($C58&lt;&gt;"",$C58&lt;&gt;"项目",OR(N($D58)&lt;&gt;0,N($E58)&lt;&gt;0,N($F58)&lt;&gt;0)),1,0)</f>
        <v>0</v>
      </c>
      <c r="Q58" s="45" t="n">
        <f aca="false">N(Q57)+$P58</f>
        <v>5</v>
      </c>
    </row>
    <row r="59" customFormat="false" ht="13.5" hidden="false" customHeight="false" outlineLevel="0" collapsed="false">
      <c r="A59" s="9" t="n">
        <v>58</v>
      </c>
      <c r="B59" s="38" t="n">
        <f aca="false">IF($T$4=0,IF($I59="","",$I59),IFERROR(IF([1]财务取数接口!$B$58=0,"",[1]财务取数接口!$B$58),""))</f>
        <v>46419</v>
      </c>
      <c r="C59" s="39" t="str">
        <f aca="false">IF($T$4=0,IF($J59="","",$J59),IFERROR(IF([1]财务取数接口!$C$58=0,"",[1]财务取数接口!$C$58),""))</f>
        <v>装卸费</v>
      </c>
      <c r="D59" s="40" t="str">
        <f aca="false">IF($T$4=0,IF($K59="","",$K59),IFERROR(IF([1]财务取数接口!$D$58=0,"",[1]财务取数接口!$D$58),""))</f>
        <v/>
      </c>
      <c r="E59" s="40" t="str">
        <f aca="false">IF($T$4=0,IF($L59="","",$L59),IFERROR(IF([1]财务取数接口!$E$58=0,"",[1]财务取数接口!$E$58),""))</f>
        <v>筐</v>
      </c>
      <c r="F59" s="41" t="str">
        <f aca="false">IF($T$4=0,IF($M59="","",$M59),IFERROR(IF([1]财务取数接口!$G$58=0,"",[1]财务取数接口!$G$58),""))</f>
        <v/>
      </c>
      <c r="G59" s="41" t="str">
        <f aca="false">IF($T$4=0,IF($N59="","",$N59),IFERROR(IF([1]财务取数接口!$H$58=0,"",[1]财务取数接口!$H$58),""))</f>
        <v/>
      </c>
      <c r="H59" s="39" t="str">
        <f aca="false">IF($T$4=0,IF($O59="","",$O59),IFERROR(IF([1]财务取数接口!$I$58=0,"",[1]财务取数接口!$I$58),""))</f>
        <v/>
      </c>
      <c r="I59" s="42"/>
      <c r="J59" s="43"/>
      <c r="K59" s="42"/>
      <c r="L59" s="42"/>
      <c r="M59" s="44"/>
      <c r="N59" s="44"/>
      <c r="O59" s="43"/>
      <c r="P59" s="45" t="n">
        <f aca="false">IF(AND($C59&lt;&gt;"",$C59&lt;&gt;"项目",OR(N($D59)&lt;&gt;0,N($E59)&lt;&gt;0,N($F59)&lt;&gt;0)),1,0)</f>
        <v>0</v>
      </c>
      <c r="Q59" s="45" t="n">
        <f aca="false">N(Q58)+$P59</f>
        <v>5</v>
      </c>
    </row>
    <row r="60" customFormat="false" ht="13.5" hidden="false" customHeight="false" outlineLevel="0" collapsed="false">
      <c r="A60" s="9" t="n">
        <v>59</v>
      </c>
      <c r="B60" s="38" t="n">
        <f aca="false">IF($T$4=0,IF($I60="","",$I60),IFERROR(IF([1]财务取数接口!$B$59=0,"",[1]财务取数接口!$B$59),""))</f>
        <v>46447</v>
      </c>
      <c r="C60" s="39" t="str">
        <f aca="false">IF($T$4=0,IF($J60="","",$J60),IFERROR(IF([1]财务取数接口!$C$59=0,"",[1]财务取数接口!$C$59),""))</f>
        <v>装卸费</v>
      </c>
      <c r="D60" s="40" t="str">
        <f aca="false">IF($T$4=0,IF($K60="","",$K60),IFERROR(IF([1]财务取数接口!$D$59=0,"",[1]财务取数接口!$D$59),""))</f>
        <v/>
      </c>
      <c r="E60" s="40" t="str">
        <f aca="false">IF($T$4=0,IF($L60="","",$L60),IFERROR(IF([1]财务取数接口!$E$59=0,"",[1]财务取数接口!$E$59),""))</f>
        <v>筐</v>
      </c>
      <c r="F60" s="41" t="str">
        <f aca="false">IF($T$4=0,IF($M60="","",$M60),IFERROR(IF([1]财务取数接口!$G$59=0,"",[1]财务取数接口!$G$59),""))</f>
        <v/>
      </c>
      <c r="G60" s="41" t="str">
        <f aca="false">IF($T$4=0,IF($N60="","",$N60),IFERROR(IF([1]财务取数接口!$H$59=0,"",[1]财务取数接口!$H$59),""))</f>
        <v/>
      </c>
      <c r="H60" s="39" t="str">
        <f aca="false">IF($T$4=0,IF($O60="","",$O60),IFERROR(IF([1]财务取数接口!$I$59=0,"",[1]财务取数接口!$I$59),""))</f>
        <v/>
      </c>
      <c r="I60" s="42"/>
      <c r="J60" s="43"/>
      <c r="K60" s="42"/>
      <c r="L60" s="42"/>
      <c r="M60" s="44"/>
      <c r="N60" s="44"/>
      <c r="O60" s="43"/>
      <c r="P60" s="45" t="n">
        <f aca="false">IF(AND($C60&lt;&gt;"",$C60&lt;&gt;"项目",OR(N($D60)&lt;&gt;0,N($E60)&lt;&gt;0,N($F60)&lt;&gt;0)),1,0)</f>
        <v>0</v>
      </c>
      <c r="Q60" s="45" t="n">
        <f aca="false">N(Q59)+$P60</f>
        <v>5</v>
      </c>
    </row>
    <row r="61" customFormat="false" ht="13.5" hidden="false" customHeight="false" outlineLevel="0" collapsed="false">
      <c r="A61" s="9" t="n">
        <v>60</v>
      </c>
      <c r="B61" s="38" t="n">
        <f aca="false">IF($T$4=0,IF($I61="","",$I61),IFERROR(IF([1]财务取数接口!$B$60=0,"",[1]财务取数接口!$B$60),""))</f>
        <v>46478</v>
      </c>
      <c r="C61" s="39" t="str">
        <f aca="false">IF($T$4=0,IF($J61="","",$J61),IFERROR(IF([1]财务取数接口!$C$60=0,"",[1]财务取数接口!$C$60),""))</f>
        <v>装卸费</v>
      </c>
      <c r="D61" s="40" t="str">
        <f aca="false">IF($T$4=0,IF($K61="","",$K61),IFERROR(IF([1]财务取数接口!$D$60=0,"",[1]财务取数接口!$D$60),""))</f>
        <v/>
      </c>
      <c r="E61" s="40" t="str">
        <f aca="false">IF($T$4=0,IF($L61="","",$L61),IFERROR(IF([1]财务取数接口!$E$60=0,"",[1]财务取数接口!$E$60),""))</f>
        <v>筐</v>
      </c>
      <c r="F61" s="41" t="str">
        <f aca="false">IF($T$4=0,IF($M61="","",$M61),IFERROR(IF([1]财务取数接口!$G$60=0,"",[1]财务取数接口!$G$60),""))</f>
        <v/>
      </c>
      <c r="G61" s="41" t="str">
        <f aca="false">IF($T$4=0,IF($N61="","",$N61),IFERROR(IF([1]财务取数接口!$H$60=0,"",[1]财务取数接口!$H$60),""))</f>
        <v/>
      </c>
      <c r="H61" s="39" t="str">
        <f aca="false">IF($T$4=0,IF($O61="","",$O61),IFERROR(IF([1]财务取数接口!$I$60=0,"",[1]财务取数接口!$I$60),""))</f>
        <v/>
      </c>
      <c r="I61" s="42"/>
      <c r="J61" s="43"/>
      <c r="K61" s="42"/>
      <c r="L61" s="42"/>
      <c r="M61" s="44"/>
      <c r="N61" s="44"/>
      <c r="O61" s="43"/>
      <c r="P61" s="45" t="n">
        <f aca="false">IF(AND($C61&lt;&gt;"",$C61&lt;&gt;"项目",OR(N($D61)&lt;&gt;0,N($E61)&lt;&gt;0,N($F61)&lt;&gt;0)),1,0)</f>
        <v>0</v>
      </c>
      <c r="Q61" s="45" t="n">
        <f aca="false">N(Q60)+$P61</f>
        <v>5</v>
      </c>
    </row>
    <row r="62" customFormat="false" ht="13.5" hidden="false" customHeight="false" outlineLevel="0" collapsed="false">
      <c r="A62" s="9" t="n">
        <v>61</v>
      </c>
      <c r="B62" s="38" t="n">
        <f aca="false">IF($T$4=0,IF($I62="","",$I62),IFERROR(IF([1]财务取数接口!$B$61=0,"",[1]财务取数接口!$B$61),""))</f>
        <v>46508</v>
      </c>
      <c r="C62" s="39" t="str">
        <f aca="false">IF($T$4=0,IF($J62="","",$J62),IFERROR(IF([1]财务取数接口!$C$61=0,"",[1]财务取数接口!$C$61),""))</f>
        <v>装卸费</v>
      </c>
      <c r="D62" s="40" t="str">
        <f aca="false">IF($T$4=0,IF($K62="","",$K62),IFERROR(IF([1]财务取数接口!$D$61=0,"",[1]财务取数接口!$D$61),""))</f>
        <v/>
      </c>
      <c r="E62" s="40" t="str">
        <f aca="false">IF($T$4=0,IF($L62="","",$L62),IFERROR(IF([1]财务取数接口!$E$61=0,"",[1]财务取数接口!$E$61),""))</f>
        <v>筐</v>
      </c>
      <c r="F62" s="41" t="str">
        <f aca="false">IF($T$4=0,IF($M62="","",$M62),IFERROR(IF([1]财务取数接口!$G$61=0,"",[1]财务取数接口!$G$61),""))</f>
        <v/>
      </c>
      <c r="G62" s="41" t="str">
        <f aca="false">IF($T$4=0,IF($N62="","",$N62),IFERROR(IF([1]财务取数接口!$H$61=0,"",[1]财务取数接口!$H$61),""))</f>
        <v/>
      </c>
      <c r="H62" s="39" t="str">
        <f aca="false">IF($T$4=0,IF($O62="","",$O62),IFERROR(IF([1]财务取数接口!$I$61=0,"",[1]财务取数接口!$I$61),""))</f>
        <v/>
      </c>
      <c r="I62" s="42"/>
      <c r="J62" s="43"/>
      <c r="K62" s="42"/>
      <c r="L62" s="42"/>
      <c r="M62" s="44"/>
      <c r="N62" s="44"/>
      <c r="O62" s="43"/>
      <c r="P62" s="45" t="n">
        <f aca="false">IF(AND($C62&lt;&gt;"",$C62&lt;&gt;"项目",OR(N($D62)&lt;&gt;0,N($E62)&lt;&gt;0,N($F62)&lt;&gt;0)),1,0)</f>
        <v>0</v>
      </c>
      <c r="Q62" s="45" t="n">
        <f aca="false">N(Q61)+$P62</f>
        <v>5</v>
      </c>
    </row>
    <row r="63" customFormat="false" ht="13.5" hidden="false" customHeight="false" outlineLevel="0" collapsed="false">
      <c r="A63" s="9" t="n">
        <v>62</v>
      </c>
      <c r="B63" s="38" t="n">
        <f aca="false">IF($T$4=0,IF($I63="","",$I63),IFERROR(IF([1]财务取数接口!$B$62=0,"",[1]财务取数接口!$B$62),""))</f>
        <v>46539</v>
      </c>
      <c r="C63" s="39" t="str">
        <f aca="false">IF($T$4=0,IF($J63="","",$J63),IFERROR(IF([1]财务取数接口!$C$62=0,"",[1]财务取数接口!$C$62),""))</f>
        <v>装卸费</v>
      </c>
      <c r="D63" s="40" t="str">
        <f aca="false">IF($T$4=0,IF($K63="","",$K63),IFERROR(IF([1]财务取数接口!$D$62=0,"",[1]财务取数接口!$D$62),""))</f>
        <v/>
      </c>
      <c r="E63" s="40" t="str">
        <f aca="false">IF($T$4=0,IF($L63="","",$L63),IFERROR(IF([1]财务取数接口!$E$62=0,"",[1]财务取数接口!$E$62),""))</f>
        <v>筐</v>
      </c>
      <c r="F63" s="41" t="str">
        <f aca="false">IF($T$4=0,IF($M63="","",$M63),IFERROR(IF([1]财务取数接口!$G$62=0,"",[1]财务取数接口!$G$62),""))</f>
        <v/>
      </c>
      <c r="G63" s="41" t="str">
        <f aca="false">IF($T$4=0,IF($N63="","",$N63),IFERROR(IF([1]财务取数接口!$H$62=0,"",[1]财务取数接口!$H$62),""))</f>
        <v/>
      </c>
      <c r="H63" s="39" t="str">
        <f aca="false">IF($T$4=0,IF($O63="","",$O63),IFERROR(IF([1]财务取数接口!$I$62=0,"",[1]财务取数接口!$I$62),""))</f>
        <v/>
      </c>
      <c r="I63" s="42"/>
      <c r="J63" s="43"/>
      <c r="K63" s="42"/>
      <c r="L63" s="42"/>
      <c r="M63" s="44"/>
      <c r="N63" s="44"/>
      <c r="O63" s="43"/>
      <c r="P63" s="45" t="n">
        <f aca="false">IF(AND($C63&lt;&gt;"",$C63&lt;&gt;"项目",OR(N($D63)&lt;&gt;0,N($E63)&lt;&gt;0,N($F63)&lt;&gt;0)),1,0)</f>
        <v>0</v>
      </c>
      <c r="Q63" s="45" t="n">
        <f aca="false">N(Q62)+$P63</f>
        <v>5</v>
      </c>
    </row>
    <row r="64" customFormat="false" ht="13.5" hidden="false" customHeight="false" outlineLevel="0" collapsed="false">
      <c r="A64" s="9" t="n">
        <v>63</v>
      </c>
      <c r="B64" s="38" t="n">
        <f aca="false">IF($T$4=0,IF($I64="","",$I64),IFERROR(IF([1]财务取数接口!$B$63=0,"",[1]财务取数接口!$B$63),""))</f>
        <v>46569</v>
      </c>
      <c r="C64" s="39" t="str">
        <f aca="false">IF($T$4=0,IF($J64="","",$J64),IFERROR(IF([1]财务取数接口!$C$63=0,"",[1]财务取数接口!$C$63),""))</f>
        <v>装卸费</v>
      </c>
      <c r="D64" s="40" t="str">
        <f aca="false">IF($T$4=0,IF($K64="","",$K64),IFERROR(IF([1]财务取数接口!$D$63=0,"",[1]财务取数接口!$D$63),""))</f>
        <v/>
      </c>
      <c r="E64" s="40" t="str">
        <f aca="false">IF($T$4=0,IF($L64="","",$L64),IFERROR(IF([1]财务取数接口!$E$63=0,"",[1]财务取数接口!$E$63),""))</f>
        <v>筐</v>
      </c>
      <c r="F64" s="41" t="str">
        <f aca="false">IF($T$4=0,IF($M64="","",$M64),IFERROR(IF([1]财务取数接口!$G$63=0,"",[1]财务取数接口!$G$63),""))</f>
        <v/>
      </c>
      <c r="G64" s="41" t="str">
        <f aca="false">IF($T$4=0,IF($N64="","",$N64),IFERROR(IF([1]财务取数接口!$H$63=0,"",[1]财务取数接口!$H$63),""))</f>
        <v/>
      </c>
      <c r="H64" s="39" t="str">
        <f aca="false">IF($T$4=0,IF($O64="","",$O64),IFERROR(IF([1]财务取数接口!$I$63=0,"",[1]财务取数接口!$I$63),""))</f>
        <v/>
      </c>
      <c r="I64" s="42"/>
      <c r="J64" s="43"/>
      <c r="K64" s="42"/>
      <c r="L64" s="42"/>
      <c r="M64" s="44"/>
      <c r="N64" s="44"/>
      <c r="O64" s="43"/>
      <c r="P64" s="45" t="n">
        <f aca="false">IF(AND($C64&lt;&gt;"",$C64&lt;&gt;"项目",OR(N($D64)&lt;&gt;0,N($E64)&lt;&gt;0,N($F64)&lt;&gt;0)),1,0)</f>
        <v>0</v>
      </c>
      <c r="Q64" s="45" t="n">
        <f aca="false">N(Q63)+$P64</f>
        <v>5</v>
      </c>
    </row>
    <row r="65" customFormat="false" ht="13.5" hidden="false" customHeight="false" outlineLevel="0" collapsed="false">
      <c r="A65" s="9" t="n">
        <v>64</v>
      </c>
      <c r="B65" s="40" t="n">
        <f aca="false">IF($T$4=0,IF($I65="","",$I65),IFERROR(IF([1]财务取数接口!$B$64=0,"",[1]财务取数接口!$B$64),""))</f>
        <v>46600</v>
      </c>
      <c r="C65" s="39" t="str">
        <f aca="false">IF($T$4=0,IF($J65="","",$J65),IFERROR(IF([1]财务取数接口!$C$64=0,"",[1]财务取数接口!$C$64),""))</f>
        <v>装卸费</v>
      </c>
      <c r="D65" s="40" t="str">
        <f aca="false">IF($T$4=0,IF($K65="","",$K65),IFERROR(IF([1]财务取数接口!$D$64=0,"",[1]财务取数接口!$D$64),""))</f>
        <v/>
      </c>
      <c r="E65" s="40" t="str">
        <f aca="false">IF($T$4=0,IF($L65="","",$L65),IFERROR(IF([1]财务取数接口!$E$64=0,"",[1]财务取数接口!$E$64),""))</f>
        <v>筐</v>
      </c>
      <c r="F65" s="41" t="str">
        <f aca="false">IF($T$4=0,IF($M65="","",$M65),IFERROR(IF([1]财务取数接口!$G$64=0,"",[1]财务取数接口!$G$64),""))</f>
        <v/>
      </c>
      <c r="G65" s="41" t="str">
        <f aca="false">IF($T$4=0,IF($N65="","",$N65),IFERROR(IF([1]财务取数接口!$H$64=0,"",[1]财务取数接口!$H$64),""))</f>
        <v/>
      </c>
      <c r="H65" s="39" t="str">
        <f aca="false">IF($T$4=0,IF($O65="","",$O65),IFERROR(IF([1]财务取数接口!$I$64=0,"",[1]财务取数接口!$I$64),""))</f>
        <v/>
      </c>
      <c r="I65" s="42"/>
      <c r="J65" s="43"/>
      <c r="K65" s="42"/>
      <c r="L65" s="42"/>
      <c r="M65" s="44"/>
      <c r="N65" s="44"/>
      <c r="O65" s="43"/>
      <c r="P65" s="45" t="n">
        <f aca="false">IF(AND($C65&lt;&gt;"",$C65&lt;&gt;"项目",OR(N($D65)&lt;&gt;0,N($E65)&lt;&gt;0,N($F65)&lt;&gt;0)),1,0)</f>
        <v>0</v>
      </c>
      <c r="Q65" s="45" t="n">
        <f aca="false">N(Q64)+$P65</f>
        <v>5</v>
      </c>
    </row>
    <row r="66" customFormat="false" ht="13.5" hidden="false" customHeight="false" outlineLevel="0" collapsed="false">
      <c r="A66" s="9" t="n">
        <v>65</v>
      </c>
      <c r="B66" s="40" t="n">
        <f aca="false">IF($T$4=0,IF($I66="","",$I66),IFERROR(IF([1]财务取数接口!$B$65=0,"",[1]财务取数接口!$B$65),""))</f>
        <v>46631</v>
      </c>
      <c r="C66" s="39" t="str">
        <f aca="false">IF($T$4=0,IF($J66="","",$J66),IFERROR(IF([1]财务取数接口!$C$65=0,"",[1]财务取数接口!$C$65),""))</f>
        <v>装卸费</v>
      </c>
      <c r="D66" s="40" t="str">
        <f aca="false">IF($T$4=0,IF($K66="","",$K66),IFERROR(IF([1]财务取数接口!$D$65=0,"",[1]财务取数接口!$D$65),""))</f>
        <v/>
      </c>
      <c r="E66" s="40" t="str">
        <f aca="false">IF($T$4=0,IF($L66="","",$L66),IFERROR(IF([1]财务取数接口!$E$65=0,"",[1]财务取数接口!$E$65),""))</f>
        <v>筐</v>
      </c>
      <c r="F66" s="41" t="str">
        <f aca="false">IF($T$4=0,IF($M66="","",$M66),IFERROR(IF([1]财务取数接口!$G$65=0,"",[1]财务取数接口!$G$65),""))</f>
        <v/>
      </c>
      <c r="G66" s="41" t="str">
        <f aca="false">IF($T$4=0,IF($N66="","",$N66),IFERROR(IF([1]财务取数接口!$H$65=0,"",[1]财务取数接口!$H$65),""))</f>
        <v/>
      </c>
      <c r="H66" s="39" t="str">
        <f aca="false">IF($T$4=0,IF($O66="","",$O66),IFERROR(IF([1]财务取数接口!$I$65=0,"",[1]财务取数接口!$I$65),""))</f>
        <v/>
      </c>
      <c r="I66" s="42"/>
      <c r="J66" s="43"/>
      <c r="K66" s="42"/>
      <c r="L66" s="42"/>
      <c r="M66" s="44"/>
      <c r="N66" s="44"/>
      <c r="O66" s="43"/>
      <c r="P66" s="45" t="n">
        <f aca="false">IF(AND($C66&lt;&gt;"",$C66&lt;&gt;"项目",OR(N($D66)&lt;&gt;0,N($E66)&lt;&gt;0,N($F66)&lt;&gt;0)),1,0)</f>
        <v>0</v>
      </c>
      <c r="Q66" s="45" t="n">
        <f aca="false">N(Q65)+$P66</f>
        <v>5</v>
      </c>
    </row>
    <row r="67" customFormat="false" ht="13.5" hidden="false" customHeight="false" outlineLevel="0" collapsed="false">
      <c r="A67" s="9" t="n">
        <v>66</v>
      </c>
      <c r="B67" s="38" t="n">
        <f aca="false">IF($T$4=0,IF($I67="","",$I67),IFERROR(IF([1]财务取数接口!$B$66=0,"",[1]财务取数接口!$B$66),""))</f>
        <v>46661</v>
      </c>
      <c r="C67" s="39" t="str">
        <f aca="false">IF($T$4=0,IF($J67="","",$J67),IFERROR(IF([1]财务取数接口!$C$66=0,"",[1]财务取数接口!$C$66),""))</f>
        <v>装卸费</v>
      </c>
      <c r="D67" s="40" t="str">
        <f aca="false">IF($T$4=0,IF($K67="","",$K67),IFERROR(IF([1]财务取数接口!$D$66=0,"",[1]财务取数接口!$D$66),""))</f>
        <v/>
      </c>
      <c r="E67" s="40" t="str">
        <f aca="false">IF($T$4=0,IF($L67="","",$L67),IFERROR(IF([1]财务取数接口!$E$66=0,"",[1]财务取数接口!$E$66),""))</f>
        <v>筐</v>
      </c>
      <c r="F67" s="41" t="str">
        <f aca="false">IF($T$4=0,IF($M67="","",$M67),IFERROR(IF([1]财务取数接口!$G$66=0,"",[1]财务取数接口!$G$66),""))</f>
        <v/>
      </c>
      <c r="G67" s="41" t="str">
        <f aca="false">IF($T$4=0,IF($N67="","",$N67),IFERROR(IF([1]财务取数接口!$H$66=0,"",[1]财务取数接口!$H$66),""))</f>
        <v/>
      </c>
      <c r="H67" s="39" t="str">
        <f aca="false">IF($T$4=0,IF($O67="","",$O67),IFERROR(IF([1]财务取数接口!$I$66=0,"",[1]财务取数接口!$I$66),""))</f>
        <v/>
      </c>
      <c r="I67" s="42"/>
      <c r="J67" s="43"/>
      <c r="K67" s="42"/>
      <c r="L67" s="42"/>
      <c r="M67" s="44"/>
      <c r="N67" s="44"/>
      <c r="O67" s="43"/>
      <c r="P67" s="45" t="n">
        <f aca="false">IF(AND($C67&lt;&gt;"",$C67&lt;&gt;"项目",OR(N($D67)&lt;&gt;0,N($E67)&lt;&gt;0,N($F67)&lt;&gt;0)),1,0)</f>
        <v>0</v>
      </c>
      <c r="Q67" s="45" t="n">
        <f aca="false">N(Q66)+$P67</f>
        <v>5</v>
      </c>
    </row>
    <row r="68" customFormat="false" ht="13.5" hidden="false" customHeight="false" outlineLevel="0" collapsed="false">
      <c r="A68" s="9" t="n">
        <v>67</v>
      </c>
      <c r="B68" s="38" t="n">
        <f aca="false">IF($T$4=0,IF($I68="","",$I68),IFERROR(IF([1]财务取数接口!$B$67=0,"",[1]财务取数接口!$B$67),""))</f>
        <v>46692</v>
      </c>
      <c r="C68" s="39" t="str">
        <f aca="false">IF($T$4=0,IF($J68="","",$J68),IFERROR(IF([1]财务取数接口!$C$67=0,"",[1]财务取数接口!$C$67),""))</f>
        <v>装卸费</v>
      </c>
      <c r="D68" s="40" t="str">
        <f aca="false">IF($T$4=0,IF($K68="","",$K68),IFERROR(IF([1]财务取数接口!$D$67=0,"",[1]财务取数接口!$D$67),""))</f>
        <v/>
      </c>
      <c r="E68" s="40" t="str">
        <f aca="false">IF($T$4=0,IF($L68="","",$L68),IFERROR(IF([1]财务取数接口!$E$67=0,"",[1]财务取数接口!$E$67),""))</f>
        <v>筐</v>
      </c>
      <c r="F68" s="41" t="str">
        <f aca="false">IF($T$4=0,IF($M68="","",$M68),IFERROR(IF([1]财务取数接口!$G$67=0,"",[1]财务取数接口!$G$67),""))</f>
        <v/>
      </c>
      <c r="G68" s="41" t="str">
        <f aca="false">IF($T$4=0,IF($N68="","",$N68),IFERROR(IF([1]财务取数接口!$H$67=0,"",[1]财务取数接口!$H$67),""))</f>
        <v/>
      </c>
      <c r="H68" s="39" t="str">
        <f aca="false">IF($T$4=0,IF($O68="","",$O68),IFERROR(IF([1]财务取数接口!$I$67=0,"",[1]财务取数接口!$I$67),""))</f>
        <v/>
      </c>
      <c r="I68" s="42"/>
      <c r="J68" s="43"/>
      <c r="K68" s="42"/>
      <c r="L68" s="42"/>
      <c r="M68" s="44"/>
      <c r="N68" s="44"/>
      <c r="O68" s="43"/>
      <c r="P68" s="45" t="n">
        <f aca="false">IF(AND($C68&lt;&gt;"",$C68&lt;&gt;"项目",OR(N($D68)&lt;&gt;0,N($E68)&lt;&gt;0,N($F68)&lt;&gt;0)),1,0)</f>
        <v>0</v>
      </c>
      <c r="Q68" s="45" t="n">
        <f aca="false">N(Q67)+$P68</f>
        <v>5</v>
      </c>
    </row>
    <row r="69" customFormat="false" ht="13.5" hidden="false" customHeight="false" outlineLevel="0" collapsed="false">
      <c r="A69" s="9" t="n">
        <v>68</v>
      </c>
      <c r="B69" s="38" t="n">
        <f aca="false">IF($T$4=0,IF($I69="","",$I69),IFERROR(IF([1]财务取数接口!$B$68=0,"",[1]财务取数接口!$B$68),""))</f>
        <v>46722</v>
      </c>
      <c r="C69" s="39" t="str">
        <f aca="false">IF($T$4=0,IF($J69="","",$J69),IFERROR(IF([1]财务取数接口!$C$68=0,"",[1]财务取数接口!$C$68),""))</f>
        <v>装卸费</v>
      </c>
      <c r="D69" s="40" t="str">
        <f aca="false">IF($T$4=0,IF($K69="","",$K69),IFERROR(IF([1]财务取数接口!$D$68=0,"",[1]财务取数接口!$D$68),""))</f>
        <v/>
      </c>
      <c r="E69" s="40" t="str">
        <f aca="false">IF($T$4=0,IF($L69="","",$L69),IFERROR(IF([1]财务取数接口!$E$68=0,"",[1]财务取数接口!$E$68),""))</f>
        <v>筐</v>
      </c>
      <c r="F69" s="41" t="str">
        <f aca="false">IF($T$4=0,IF($M69="","",$M69),IFERROR(IF([1]财务取数接口!$G$68=0,"",[1]财务取数接口!$G$68),""))</f>
        <v/>
      </c>
      <c r="G69" s="41" t="str">
        <f aca="false">IF($T$4=0,IF($N69="","",$N69),IFERROR(IF([1]财务取数接口!$H$68=0,"",[1]财务取数接口!$H$68),""))</f>
        <v/>
      </c>
      <c r="H69" s="39" t="str">
        <f aca="false">IF($T$4=0,IF($O69="","",$O69),IFERROR(IF([1]财务取数接口!$I$68=0,"",[1]财务取数接口!$I$68),""))</f>
        <v/>
      </c>
      <c r="I69" s="42"/>
      <c r="J69" s="43"/>
      <c r="K69" s="42"/>
      <c r="L69" s="42"/>
      <c r="M69" s="44"/>
      <c r="N69" s="44"/>
      <c r="O69" s="43"/>
      <c r="P69" s="45" t="n">
        <f aca="false">IF(AND($C69&lt;&gt;"",$C69&lt;&gt;"项目",OR(N($D69)&lt;&gt;0,N($E69)&lt;&gt;0,N($F69)&lt;&gt;0)),1,0)</f>
        <v>0</v>
      </c>
      <c r="Q69" s="45" t="n">
        <f aca="false">N(Q68)+$P69</f>
        <v>5</v>
      </c>
    </row>
    <row r="70" customFormat="false" ht="13.5" hidden="false" customHeight="false" outlineLevel="0" collapsed="false">
      <c r="A70" s="9" t="n">
        <v>69</v>
      </c>
      <c r="B70" s="38" t="n">
        <f aca="false">IF($T$4=0,IF($I70="","",$I70),IFERROR(IF([1]财务取数接口!$B$69=0,"",[1]财务取数接口!$B$69),""))</f>
        <v>46753</v>
      </c>
      <c r="C70" s="39" t="str">
        <f aca="false">IF($T$4=0,IF($J70="","",$J70),IFERROR(IF([1]财务取数接口!$C$69=0,"",[1]财务取数接口!$C$69),""))</f>
        <v>装卸费</v>
      </c>
      <c r="D70" s="40" t="str">
        <f aca="false">IF($T$4=0,IF($K70="","",$K70),IFERROR(IF([1]财务取数接口!$D$69=0,"",[1]财务取数接口!$D$69),""))</f>
        <v/>
      </c>
      <c r="E70" s="40" t="str">
        <f aca="false">IF($T$4=0,IF($L70="","",$L70),IFERROR(IF([1]财务取数接口!$E$69=0,"",[1]财务取数接口!$E$69),""))</f>
        <v>筐</v>
      </c>
      <c r="F70" s="41" t="str">
        <f aca="false">IF($T$4=0,IF($M70="","",$M70),IFERROR(IF([1]财务取数接口!$G$69=0,"",[1]财务取数接口!$G$69),""))</f>
        <v/>
      </c>
      <c r="G70" s="41" t="str">
        <f aca="false">IF($T$4=0,IF($N70="","",$N70),IFERROR(IF([1]财务取数接口!$H$69=0,"",[1]财务取数接口!$H$69),""))</f>
        <v/>
      </c>
      <c r="H70" s="39" t="str">
        <f aca="false">IF($T$4=0,IF($O70="","",$O70),IFERROR(IF([1]财务取数接口!$I$69=0,"",[1]财务取数接口!$I$69),""))</f>
        <v/>
      </c>
      <c r="I70" s="42"/>
      <c r="J70" s="43"/>
      <c r="K70" s="42"/>
      <c r="L70" s="42"/>
      <c r="M70" s="44"/>
      <c r="N70" s="44"/>
      <c r="O70" s="43"/>
      <c r="P70" s="45" t="n">
        <f aca="false">IF(AND($C70&lt;&gt;"",$C70&lt;&gt;"项目",OR(N($D70)&lt;&gt;0,N($E70)&lt;&gt;0,N($F70)&lt;&gt;0)),1,0)</f>
        <v>0</v>
      </c>
      <c r="Q70" s="45" t="n">
        <f aca="false">N(Q69)+$P70</f>
        <v>5</v>
      </c>
    </row>
    <row r="71" customFormat="false" ht="13.5" hidden="false" customHeight="false" outlineLevel="0" collapsed="false">
      <c r="A71" s="9" t="n">
        <v>70</v>
      </c>
      <c r="B71" s="38" t="n">
        <f aca="false">IF($T$4=0,IF($I71="","",$I71),IFERROR(IF([1]财务取数接口!$B$70=0,"",[1]财务取数接口!$B$70),""))</f>
        <v>46784</v>
      </c>
      <c r="C71" s="39" t="str">
        <f aca="false">IF($T$4=0,IF($J71="","",$J71),IFERROR(IF([1]财务取数接口!$C$70=0,"",[1]财务取数接口!$C$70),""))</f>
        <v>装卸费</v>
      </c>
      <c r="D71" s="40" t="str">
        <f aca="false">IF($T$4=0,IF($K71="","",$K71),IFERROR(IF([1]财务取数接口!$D$70=0,"",[1]财务取数接口!$D$70),""))</f>
        <v/>
      </c>
      <c r="E71" s="40" t="str">
        <f aca="false">IF($T$4=0,IF($L71="","",$L71),IFERROR(IF([1]财务取数接口!$E$70=0,"",[1]财务取数接口!$E$70),""))</f>
        <v>筐</v>
      </c>
      <c r="F71" s="41" t="str">
        <f aca="false">IF($T$4=0,IF($M71="","",$M71),IFERROR(IF([1]财务取数接口!$G$70=0,"",[1]财务取数接口!$G$70),""))</f>
        <v/>
      </c>
      <c r="G71" s="41" t="str">
        <f aca="false">IF($T$4=0,IF($N71="","",$N71),IFERROR(IF([1]财务取数接口!$H$70=0,"",[1]财务取数接口!$H$70),""))</f>
        <v/>
      </c>
      <c r="H71" s="39" t="str">
        <f aca="false">IF($T$4=0,IF($O71="","",$O71),IFERROR(IF([1]财务取数接口!$I$70=0,"",[1]财务取数接口!$I$70),""))</f>
        <v/>
      </c>
      <c r="I71" s="42"/>
      <c r="J71" s="43"/>
      <c r="K71" s="42"/>
      <c r="L71" s="42"/>
      <c r="M71" s="44"/>
      <c r="N71" s="44"/>
      <c r="O71" s="43"/>
      <c r="P71" s="45" t="n">
        <f aca="false">IF(AND($C71&lt;&gt;"",$C71&lt;&gt;"项目",OR(N($D71)&lt;&gt;0,N($E71)&lt;&gt;0,N($F71)&lt;&gt;0)),1,0)</f>
        <v>0</v>
      </c>
      <c r="Q71" s="45" t="n">
        <f aca="false">N(Q70)+$P71</f>
        <v>5</v>
      </c>
    </row>
    <row r="72" customFormat="false" ht="13.5" hidden="false" customHeight="false" outlineLevel="0" collapsed="false">
      <c r="A72" s="9" t="n">
        <v>71</v>
      </c>
      <c r="B72" s="38" t="n">
        <f aca="false">IF($T$4=0,IF($I72="","",$I72),IFERROR(IF([1]财务取数接口!$B$71=0,"",[1]财务取数接口!$B$71),""))</f>
        <v>46813</v>
      </c>
      <c r="C72" s="39" t="str">
        <f aca="false">IF($T$4=0,IF($J72="","",$J72),IFERROR(IF([1]财务取数接口!$C$71=0,"",[1]财务取数接口!$C$71),""))</f>
        <v>装卸费</v>
      </c>
      <c r="D72" s="40" t="str">
        <f aca="false">IF($T$4=0,IF($K72="","",$K72),IFERROR(IF([1]财务取数接口!$D$71=0,"",[1]财务取数接口!$D$71),""))</f>
        <v/>
      </c>
      <c r="E72" s="40" t="str">
        <f aca="false">IF($T$4=0,IF($L72="","",$L72),IFERROR(IF([1]财务取数接口!$E$71=0,"",[1]财务取数接口!$E$71),""))</f>
        <v>筐</v>
      </c>
      <c r="F72" s="41" t="str">
        <f aca="false">IF($T$4=0,IF($M72="","",$M72),IFERROR(IF([1]财务取数接口!$G$71=0,"",[1]财务取数接口!$G$71),""))</f>
        <v/>
      </c>
      <c r="G72" s="41" t="str">
        <f aca="false">IF($T$4=0,IF($N72="","",$N72),IFERROR(IF([1]财务取数接口!$H$71=0,"",[1]财务取数接口!$H$71),""))</f>
        <v/>
      </c>
      <c r="H72" s="39" t="str">
        <f aca="false">IF($T$4=0,IF($O72="","",$O72),IFERROR(IF([1]财务取数接口!$I$71=0,"",[1]财务取数接口!$I$71),""))</f>
        <v/>
      </c>
      <c r="I72" s="42"/>
      <c r="J72" s="43"/>
      <c r="K72" s="42"/>
      <c r="L72" s="42"/>
      <c r="M72" s="44"/>
      <c r="N72" s="44"/>
      <c r="O72" s="43"/>
      <c r="P72" s="45" t="n">
        <f aca="false">IF(AND($C72&lt;&gt;"",$C72&lt;&gt;"项目",OR(N($D72)&lt;&gt;0,N($E72)&lt;&gt;0,N($F72)&lt;&gt;0)),1,0)</f>
        <v>0</v>
      </c>
      <c r="Q72" s="45" t="n">
        <f aca="false">N(Q71)+$P72</f>
        <v>5</v>
      </c>
    </row>
    <row r="73" customFormat="false" ht="13.5" hidden="false" customHeight="false" outlineLevel="0" collapsed="false">
      <c r="A73" s="9" t="n">
        <v>72</v>
      </c>
      <c r="B73" s="38" t="n">
        <f aca="false">IF($T$4=0,IF($I73="","",$I73),IFERROR(IF([1]财务取数接口!$B$72=0,"",[1]财务取数接口!$B$72),""))</f>
        <v>46844</v>
      </c>
      <c r="C73" s="39" t="str">
        <f aca="false">IF($T$4=0,IF($J73="","",$J73),IFERROR(IF([1]财务取数接口!$C$72=0,"",[1]财务取数接口!$C$72),""))</f>
        <v>装卸费</v>
      </c>
      <c r="D73" s="40" t="str">
        <f aca="false">IF($T$4=0,IF($K73="","",$K73),IFERROR(IF([1]财务取数接口!$D$72=0,"",[1]财务取数接口!$D$72),""))</f>
        <v/>
      </c>
      <c r="E73" s="40" t="str">
        <f aca="false">IF($T$4=0,IF($L73="","",$L73),IFERROR(IF([1]财务取数接口!$E$72=0,"",[1]财务取数接口!$E$72),""))</f>
        <v>筐</v>
      </c>
      <c r="F73" s="41" t="str">
        <f aca="false">IF($T$4=0,IF($M73="","",$M73),IFERROR(IF([1]财务取数接口!$G$72=0,"",[1]财务取数接口!$G$72),""))</f>
        <v/>
      </c>
      <c r="G73" s="41" t="str">
        <f aca="false">IF($T$4=0,IF($N73="","",$N73),IFERROR(IF([1]财务取数接口!$H$72=0,"",[1]财务取数接口!$H$72),""))</f>
        <v/>
      </c>
      <c r="H73" s="39" t="str">
        <f aca="false">IF($T$4=0,IF($O73="","",$O73),IFERROR(IF([1]财务取数接口!$I$72=0,"",[1]财务取数接口!$I$72),""))</f>
        <v/>
      </c>
      <c r="I73" s="42"/>
      <c r="J73" s="43"/>
      <c r="K73" s="42"/>
      <c r="L73" s="42"/>
      <c r="M73" s="44"/>
      <c r="N73" s="44"/>
      <c r="O73" s="43"/>
      <c r="P73" s="45" t="n">
        <f aca="false">IF(AND($C73&lt;&gt;"",$C73&lt;&gt;"项目",OR(N($D73)&lt;&gt;0,N($E73)&lt;&gt;0,N($F73)&lt;&gt;0)),1,0)</f>
        <v>0</v>
      </c>
      <c r="Q73" s="45" t="n">
        <f aca="false">N(Q72)+$P73</f>
        <v>5</v>
      </c>
    </row>
    <row r="74" customFormat="false" ht="13.5" hidden="false" customHeight="false" outlineLevel="0" collapsed="false">
      <c r="A74" s="9" t="n">
        <v>73</v>
      </c>
      <c r="B74" s="38" t="n">
        <f aca="false">IF($T$4=0,IF($I74="","",$I74),IFERROR(IF([1]财务取数接口!$B$73=0,"",[1]财务取数接口!$B$73),""))</f>
        <v>46874</v>
      </c>
      <c r="C74" s="39" t="str">
        <f aca="false">IF($T$4=0,IF($J74="","",$J74),IFERROR(IF([1]财务取数接口!$C$73=0,"",[1]财务取数接口!$C$73),""))</f>
        <v>装卸费</v>
      </c>
      <c r="D74" s="40" t="str">
        <f aca="false">IF($T$4=0,IF($K74="","",$K74),IFERROR(IF([1]财务取数接口!$D$73=0,"",[1]财务取数接口!$D$73),""))</f>
        <v/>
      </c>
      <c r="E74" s="40" t="str">
        <f aca="false">IF($T$4=0,IF($L74="","",$L74),IFERROR(IF([1]财务取数接口!$E$73=0,"",[1]财务取数接口!$E$73),""))</f>
        <v>筐</v>
      </c>
      <c r="F74" s="41" t="str">
        <f aca="false">IF($T$4=0,IF($M74="","",$M74),IFERROR(IF([1]财务取数接口!$G$73=0,"",[1]财务取数接口!$G$73),""))</f>
        <v/>
      </c>
      <c r="G74" s="41" t="str">
        <f aca="false">IF($T$4=0,IF($N74="","",$N74),IFERROR(IF([1]财务取数接口!$H$73=0,"",[1]财务取数接口!$H$73),""))</f>
        <v/>
      </c>
      <c r="H74" s="39" t="str">
        <f aca="false">IF($T$4=0,IF($O74="","",$O74),IFERROR(IF([1]财务取数接口!$I$73=0,"",[1]财务取数接口!$I$73),""))</f>
        <v/>
      </c>
      <c r="I74" s="42"/>
      <c r="J74" s="43"/>
      <c r="K74" s="42"/>
      <c r="L74" s="42"/>
      <c r="M74" s="44"/>
      <c r="N74" s="44"/>
      <c r="O74" s="43"/>
      <c r="P74" s="45" t="n">
        <f aca="false">IF(AND($C74&lt;&gt;"",$C74&lt;&gt;"项目",OR(N($D74)&lt;&gt;0,N($E74)&lt;&gt;0,N($F74)&lt;&gt;0)),1,0)</f>
        <v>0</v>
      </c>
      <c r="Q74" s="45" t="n">
        <f aca="false">N(Q73)+$P74</f>
        <v>5</v>
      </c>
    </row>
    <row r="75" customFormat="false" ht="13.5" hidden="false" customHeight="false" outlineLevel="0" collapsed="false">
      <c r="A75" s="9" t="n">
        <v>74</v>
      </c>
      <c r="B75" s="38" t="n">
        <f aca="false">IF($T$4=0,IF($I75="","",$I75),IFERROR(IF([1]财务取数接口!$B$74=0,"",[1]财务取数接口!$B$74),""))</f>
        <v>46905</v>
      </c>
      <c r="C75" s="39" t="str">
        <f aca="false">IF($T$4=0,IF($J75="","",$J75),IFERROR(IF([1]财务取数接口!$C$74=0,"",[1]财务取数接口!$C$74),""))</f>
        <v>装卸费</v>
      </c>
      <c r="D75" s="40" t="str">
        <f aca="false">IF($T$4=0,IF($K75="","",$K75),IFERROR(IF([1]财务取数接口!$D$74=0,"",[1]财务取数接口!$D$74),""))</f>
        <v/>
      </c>
      <c r="E75" s="40" t="str">
        <f aca="false">IF($T$4=0,IF($L75="","",$L75),IFERROR(IF([1]财务取数接口!$E$74=0,"",[1]财务取数接口!$E$74),""))</f>
        <v>筐</v>
      </c>
      <c r="F75" s="41" t="str">
        <f aca="false">IF($T$4=0,IF($M75="","",$M75),IFERROR(IF([1]财务取数接口!$G$74=0,"",[1]财务取数接口!$G$74),""))</f>
        <v/>
      </c>
      <c r="G75" s="41" t="str">
        <f aca="false">IF($T$4=0,IF($N75="","",$N75),IFERROR(IF([1]财务取数接口!$H$74=0,"",[1]财务取数接口!$H$74),""))</f>
        <v/>
      </c>
      <c r="H75" s="39" t="str">
        <f aca="false">IF($T$4=0,IF($O75="","",$O75),IFERROR(IF([1]财务取数接口!$I$74=0,"",[1]财务取数接口!$I$74),""))</f>
        <v/>
      </c>
      <c r="I75" s="42"/>
      <c r="J75" s="43"/>
      <c r="K75" s="42"/>
      <c r="L75" s="42"/>
      <c r="M75" s="44"/>
      <c r="N75" s="44"/>
      <c r="O75" s="43"/>
      <c r="P75" s="45" t="n">
        <f aca="false">IF(AND($C75&lt;&gt;"",$C75&lt;&gt;"项目",OR(N($D75)&lt;&gt;0,N($E75)&lt;&gt;0,N($F75)&lt;&gt;0)),1,0)</f>
        <v>0</v>
      </c>
      <c r="Q75" s="45" t="n">
        <f aca="false">N(Q74)+$P75</f>
        <v>5</v>
      </c>
    </row>
    <row r="76" customFormat="false" ht="13.5" hidden="false" customHeight="false" outlineLevel="0" collapsed="false">
      <c r="A76" s="9" t="n">
        <v>75</v>
      </c>
      <c r="B76" s="38" t="n">
        <f aca="false">IF($T$4=0,IF($I76="","",$I76),IFERROR(IF([1]财务取数接口!$B$75=0,"",[1]财务取数接口!$B$75),""))</f>
        <v>46935</v>
      </c>
      <c r="C76" s="39" t="str">
        <f aca="false">IF($T$4=0,IF($J76="","",$J76),IFERROR(IF([1]财务取数接口!$C$75=0,"",[1]财务取数接口!$C$75),""))</f>
        <v>装卸费</v>
      </c>
      <c r="D76" s="40" t="str">
        <f aca="false">IF($T$4=0,IF($K76="","",$K76),IFERROR(IF([1]财务取数接口!$D$75=0,"",[1]财务取数接口!$D$75),""))</f>
        <v/>
      </c>
      <c r="E76" s="40" t="str">
        <f aca="false">IF($T$4=0,IF($L76="","",$L76),IFERROR(IF([1]财务取数接口!$E$75=0,"",[1]财务取数接口!$E$75),""))</f>
        <v>筐</v>
      </c>
      <c r="F76" s="41" t="str">
        <f aca="false">IF($T$4=0,IF($M76="","",$M76),IFERROR(IF([1]财务取数接口!$G$75=0,"",[1]财务取数接口!$G$75),""))</f>
        <v/>
      </c>
      <c r="G76" s="41" t="str">
        <f aca="false">IF($T$4=0,IF($N76="","",$N76),IFERROR(IF([1]财务取数接口!$H$75=0,"",[1]财务取数接口!$H$75),""))</f>
        <v/>
      </c>
      <c r="H76" s="39" t="str">
        <f aca="false">IF($T$4=0,IF($O76="","",$O76),IFERROR(IF([1]财务取数接口!$I$75=0,"",[1]财务取数接口!$I$75),""))</f>
        <v/>
      </c>
      <c r="I76" s="42"/>
      <c r="J76" s="43"/>
      <c r="K76" s="42"/>
      <c r="L76" s="42"/>
      <c r="M76" s="44"/>
      <c r="N76" s="44"/>
      <c r="O76" s="43"/>
      <c r="P76" s="45" t="n">
        <f aca="false">IF(AND($C76&lt;&gt;"",$C76&lt;&gt;"项目",OR(N($D76)&lt;&gt;0,N($E76)&lt;&gt;0,N($F76)&lt;&gt;0)),1,0)</f>
        <v>0</v>
      </c>
      <c r="Q76" s="45" t="n">
        <f aca="false">N(Q75)+$P76</f>
        <v>5</v>
      </c>
    </row>
    <row r="77" customFormat="false" ht="13.5" hidden="false" customHeight="false" outlineLevel="0" collapsed="false">
      <c r="A77" s="9" t="n">
        <v>76</v>
      </c>
      <c r="B77" s="38" t="n">
        <f aca="false">IF($T$4=0,IF($I77="","",$I77),IFERROR(IF([1]财务取数接口!$B$76=0,"",[1]财务取数接口!$B$76),""))</f>
        <v>46235</v>
      </c>
      <c r="C77" s="39" t="str">
        <f aca="false">IF($T$4=0,IF($J77="","",$J77),IFERROR(IF([1]财务取数接口!$C$76=0,"",[1]财务取数接口!$C$76),""))</f>
        <v>水果销售</v>
      </c>
      <c r="D77" s="40" t="str">
        <f aca="false">IF($T$4=0,IF($K77="","",$K77),IFERROR(IF([1]财务取数接口!$D$76=0,"",[1]财务取数接口!$D$76),""))</f>
        <v/>
      </c>
      <c r="E77" s="40" t="str">
        <f aca="false">IF($T$4=0,IF($L77="","",$L77),IFERROR(IF([1]财务取数接口!$E$76=0,"",[1]财务取数接口!$E$76),""))</f>
        <v>箱</v>
      </c>
      <c r="F77" s="41" t="str">
        <f aca="false">IF($T$4=0,IF($M77="","",$M77),IFERROR(IF([1]财务取数接口!$G$76=0,"",[1]财务取数接口!$G$76),""))</f>
        <v/>
      </c>
      <c r="G77" s="41" t="str">
        <f aca="false">IF($T$4=0,IF($N77="","",$N77),IFERROR(IF([1]财务取数接口!$H$76=0,"",[1]财务取数接口!$H$76),""))</f>
        <v/>
      </c>
      <c r="H77" s="39" t="str">
        <f aca="false">IF($T$4=0,IF($O77="","",$O77),IFERROR(IF([1]财务取数接口!$I$76=0,"",[1]财务取数接口!$I$76),""))</f>
        <v/>
      </c>
      <c r="I77" s="42"/>
      <c r="J77" s="43"/>
      <c r="K77" s="42"/>
      <c r="L77" s="42"/>
      <c r="M77" s="44"/>
      <c r="N77" s="44"/>
      <c r="O77" s="43"/>
      <c r="P77" s="45" t="n">
        <f aca="false">IF(AND($C77&lt;&gt;"",$C77&lt;&gt;"项目",OR(N($D77)&lt;&gt;0,N($E77)&lt;&gt;0,N($F77)&lt;&gt;0)),1,0)</f>
        <v>0</v>
      </c>
      <c r="Q77" s="45" t="n">
        <f aca="false">N(Q76)+$P77</f>
        <v>5</v>
      </c>
    </row>
    <row r="78" customFormat="false" ht="13.5" hidden="false" customHeight="false" outlineLevel="0" collapsed="false">
      <c r="A78" s="9" t="n">
        <v>77</v>
      </c>
      <c r="B78" s="38" t="n">
        <f aca="false">IF($T$4=0,IF($I78="","",$I78),IFERROR(IF([1]财务取数接口!$B$77=0,"",[1]财务取数接口!$B$77),""))</f>
        <v>46266</v>
      </c>
      <c r="C78" s="39" t="str">
        <f aca="false">IF($T$4=0,IF($J78="","",$J78),IFERROR(IF([1]财务取数接口!$C$77=0,"",[1]财务取数接口!$C$77),""))</f>
        <v>水果销售</v>
      </c>
      <c r="D78" s="40" t="n">
        <f aca="false">IF($T$4=0,IF($K78="","",$K78),IFERROR(IF([1]财务取数接口!$D$77=0,"",[1]财务取数接口!$D$77),""))</f>
        <v>1</v>
      </c>
      <c r="E78" s="40" t="str">
        <f aca="false">IF($T$4=0,IF($L78="","",$L78),IFERROR(IF([1]财务取数接口!$E$77=0,"",[1]财务取数接口!$E$77),""))</f>
        <v>箱</v>
      </c>
      <c r="F78" s="41" t="n">
        <f aca="false">IF($T$4=0,IF($M78="","",$M78),IFERROR(IF([1]财务取数接口!$G$77=0,"",[1]财务取数接口!$G$77),""))</f>
        <v>40</v>
      </c>
      <c r="G78" s="41" t="n">
        <f aca="false">IF($T$4=0,IF($N78="","",$N78),IFERROR(IF([1]财务取数接口!$H$77=0,"",[1]财务取数接口!$H$77),""))</f>
        <v>300</v>
      </c>
      <c r="H78" s="39" t="str">
        <f aca="false">IF($T$4=0,IF($O78="","",$O78),IFERROR(IF([1]财务取数接口!$I$77=0,"",[1]财务取数接口!$I$77),""))</f>
        <v/>
      </c>
      <c r="I78" s="42"/>
      <c r="J78" s="43"/>
      <c r="K78" s="42"/>
      <c r="L78" s="42"/>
      <c r="M78" s="44"/>
      <c r="N78" s="44"/>
      <c r="O78" s="43"/>
      <c r="P78" s="45" t="n">
        <f aca="false">IF(AND($C78&lt;&gt;"",$C78&lt;&gt;"项目",OR(N($D78)&lt;&gt;0,N($E78)&lt;&gt;0,N($F78)&lt;&gt;0)),1,0)</f>
        <v>1</v>
      </c>
      <c r="Q78" s="45" t="n">
        <f aca="false">N(Q77)+$P78</f>
        <v>6</v>
      </c>
    </row>
    <row r="79" customFormat="false" ht="13.5" hidden="false" customHeight="false" outlineLevel="0" collapsed="false">
      <c r="A79" s="9" t="n">
        <v>78</v>
      </c>
      <c r="B79" s="38" t="n">
        <f aca="false">IF($T$4=0,IF($I79="","",$I79),IFERROR(IF([1]财务取数接口!$B$78=0,"",[1]财务取数接口!$B$78),""))</f>
        <v>46296</v>
      </c>
      <c r="C79" s="39" t="str">
        <f aca="false">IF($T$4=0,IF($J79="","",$J79),IFERROR(IF([1]财务取数接口!$C$78=0,"",[1]财务取数接口!$C$78),""))</f>
        <v>水果销售</v>
      </c>
      <c r="D79" s="40" t="str">
        <f aca="false">IF($T$4=0,IF($K79="","",$K79),IFERROR(IF([1]财务取数接口!$D$78=0,"",[1]财务取数接口!$D$78),""))</f>
        <v/>
      </c>
      <c r="E79" s="40" t="str">
        <f aca="false">IF($T$4=0,IF($L79="","",$L79),IFERROR(IF([1]财务取数接口!$E$78=0,"",[1]财务取数接口!$E$78),""))</f>
        <v>箱</v>
      </c>
      <c r="F79" s="41" t="str">
        <f aca="false">IF($T$4=0,IF($M79="","",$M79),IFERROR(IF([1]财务取数接口!$G$78=0,"",[1]财务取数接口!$G$78),""))</f>
        <v/>
      </c>
      <c r="G79" s="41" t="str">
        <f aca="false">IF($T$4=0,IF($N79="","",$N79),IFERROR(IF([1]财务取数接口!$H$78=0,"",[1]财务取数接口!$H$78),""))</f>
        <v/>
      </c>
      <c r="H79" s="39" t="str">
        <f aca="false">IF($T$4=0,IF($O79="","",$O79),IFERROR(IF([1]财务取数接口!$I$78=0,"",[1]财务取数接口!$I$78),""))</f>
        <v/>
      </c>
      <c r="I79" s="42"/>
      <c r="J79" s="43"/>
      <c r="K79" s="42"/>
      <c r="L79" s="42"/>
      <c r="M79" s="44"/>
      <c r="N79" s="44"/>
      <c r="O79" s="43"/>
      <c r="P79" s="45" t="n">
        <f aca="false">IF(AND($C79&lt;&gt;"",$C79&lt;&gt;"项目",OR(N($D79)&lt;&gt;0,N($E79)&lt;&gt;0,N($F79)&lt;&gt;0)),1,0)</f>
        <v>0</v>
      </c>
      <c r="Q79" s="45" t="n">
        <f aca="false">N(Q78)+$P79</f>
        <v>6</v>
      </c>
    </row>
    <row r="80" customFormat="false" ht="13.5" hidden="false" customHeight="false" outlineLevel="0" collapsed="false">
      <c r="A80" s="9" t="n">
        <v>79</v>
      </c>
      <c r="B80" s="38" t="n">
        <f aca="false">IF($T$4=0,IF($I80="","",$I80),IFERROR(IF([1]财务取数接口!$B$79=0,"",[1]财务取数接口!$B$79),""))</f>
        <v>46327</v>
      </c>
      <c r="C80" s="39" t="str">
        <f aca="false">IF($T$4=0,IF($J80="","",$J80),IFERROR(IF([1]财务取数接口!$C$79=0,"",[1]财务取数接口!$C$79),""))</f>
        <v>水果销售</v>
      </c>
      <c r="D80" s="40" t="str">
        <f aca="false">IF($T$4=0,IF($K80="","",$K80),IFERROR(IF([1]财务取数接口!$D$79=0,"",[1]财务取数接口!$D$79),""))</f>
        <v/>
      </c>
      <c r="E80" s="40" t="str">
        <f aca="false">IF($T$4=0,IF($L80="","",$L80),IFERROR(IF([1]财务取数接口!$E$79=0,"",[1]财务取数接口!$E$79),""))</f>
        <v>箱</v>
      </c>
      <c r="F80" s="41" t="str">
        <f aca="false">IF($T$4=0,IF($M80="","",$M80),IFERROR(IF([1]财务取数接口!$G$79=0,"",[1]财务取数接口!$G$79),""))</f>
        <v/>
      </c>
      <c r="G80" s="41" t="str">
        <f aca="false">IF($T$4=0,IF($N80="","",$N80),IFERROR(IF([1]财务取数接口!$H$79=0,"",[1]财务取数接口!$H$79),""))</f>
        <v/>
      </c>
      <c r="H80" s="39" t="str">
        <f aca="false">IF($T$4=0,IF($O80="","",$O80),IFERROR(IF([1]财务取数接口!$I$79=0,"",[1]财务取数接口!$I$79),""))</f>
        <v/>
      </c>
      <c r="I80" s="42"/>
      <c r="J80" s="43"/>
      <c r="K80" s="42"/>
      <c r="L80" s="42"/>
      <c r="M80" s="44"/>
      <c r="N80" s="44"/>
      <c r="O80" s="43"/>
      <c r="P80" s="45" t="n">
        <f aca="false">IF(AND($C80&lt;&gt;"",$C80&lt;&gt;"项目",OR(N($D80)&lt;&gt;0,N($E80)&lt;&gt;0,N($F80)&lt;&gt;0)),1,0)</f>
        <v>0</v>
      </c>
      <c r="Q80" s="45" t="n">
        <f aca="false">N(Q79)+$P80</f>
        <v>6</v>
      </c>
    </row>
    <row r="81" customFormat="false" ht="13.5" hidden="false" customHeight="false" outlineLevel="0" collapsed="false">
      <c r="A81" s="9" t="n">
        <v>80</v>
      </c>
      <c r="B81" s="38" t="n">
        <f aca="false">IF($T$4=0,IF($I81="","",$I81),IFERROR(IF([1]财务取数接口!$B$80=0,"",[1]财务取数接口!$B$80),""))</f>
        <v>46357</v>
      </c>
      <c r="C81" s="39" t="str">
        <f aca="false">IF($T$4=0,IF($J81="","",$J81),IFERROR(IF([1]财务取数接口!$C$80=0,"",[1]财务取数接口!$C$80),""))</f>
        <v>水果销售</v>
      </c>
      <c r="D81" s="40" t="str">
        <f aca="false">IF($T$4=0,IF($K81="","",$K81),IFERROR(IF([1]财务取数接口!$D$80=0,"",[1]财务取数接口!$D$80),""))</f>
        <v/>
      </c>
      <c r="E81" s="40" t="str">
        <f aca="false">IF($T$4=0,IF($L81="","",$L81),IFERROR(IF([1]财务取数接口!$E$80=0,"",[1]财务取数接口!$E$80),""))</f>
        <v>箱</v>
      </c>
      <c r="F81" s="41" t="str">
        <f aca="false">IF($T$4=0,IF($M81="","",$M81),IFERROR(IF([1]财务取数接口!$G$80=0,"",[1]财务取数接口!$G$80),""))</f>
        <v/>
      </c>
      <c r="G81" s="41" t="str">
        <f aca="false">IF($T$4=0,IF($N81="","",$N81),IFERROR(IF([1]财务取数接口!$H$80=0,"",[1]财务取数接口!$H$80),""))</f>
        <v/>
      </c>
      <c r="H81" s="39" t="str">
        <f aca="false">IF($T$4=0,IF($O81="","",$O81),IFERROR(IF([1]财务取数接口!$I$80=0,"",[1]财务取数接口!$I$80),""))</f>
        <v/>
      </c>
      <c r="I81" s="42"/>
      <c r="J81" s="43"/>
      <c r="K81" s="42"/>
      <c r="L81" s="42"/>
      <c r="M81" s="44"/>
      <c r="N81" s="44"/>
      <c r="O81" s="43"/>
      <c r="P81" s="45" t="n">
        <f aca="false">IF(AND($C81&lt;&gt;"",$C81&lt;&gt;"项目",OR(N($D81)&lt;&gt;0,N($E81)&lt;&gt;0,N($F81)&lt;&gt;0)),1,0)</f>
        <v>0</v>
      </c>
      <c r="Q81" s="45" t="n">
        <f aca="false">N(Q80)+$P81</f>
        <v>6</v>
      </c>
    </row>
    <row r="82" customFormat="false" ht="13.5" hidden="false" customHeight="false" outlineLevel="0" collapsed="false">
      <c r="A82" s="9" t="n">
        <v>81</v>
      </c>
      <c r="B82" s="38" t="n">
        <f aca="false">IF($T$4=0,IF($I82="","",$I82),IFERROR(IF([1]财务取数接口!$B$81=0,"",[1]财务取数接口!$B$81),""))</f>
        <v>46388</v>
      </c>
      <c r="C82" s="39" t="str">
        <f aca="false">IF($T$4=0,IF($J82="","",$J82),IFERROR(IF([1]财务取数接口!$C$81=0,"",[1]财务取数接口!$C$81),""))</f>
        <v>水果销售</v>
      </c>
      <c r="D82" s="40" t="str">
        <f aca="false">IF($T$4=0,IF($K82="","",$K82),IFERROR(IF([1]财务取数接口!$D$81=0,"",[1]财务取数接口!$D$81),""))</f>
        <v/>
      </c>
      <c r="E82" s="40" t="str">
        <f aca="false">IF($T$4=0,IF($L82="","",$L82),IFERROR(IF([1]财务取数接口!$E$81=0,"",[1]财务取数接口!$E$81),""))</f>
        <v>箱</v>
      </c>
      <c r="F82" s="41" t="str">
        <f aca="false">IF($T$4=0,IF($M82="","",$M82),IFERROR(IF([1]财务取数接口!$G$81=0,"",[1]财务取数接口!$G$81),""))</f>
        <v/>
      </c>
      <c r="G82" s="41" t="str">
        <f aca="false">IF($T$4=0,IF($N82="","",$N82),IFERROR(IF([1]财务取数接口!$H$81=0,"",[1]财务取数接口!$H$81),""))</f>
        <v/>
      </c>
      <c r="H82" s="39" t="str">
        <f aca="false">IF($T$4=0,IF($O82="","",$O82),IFERROR(IF([1]财务取数接口!$I$81=0,"",[1]财务取数接口!$I$81),""))</f>
        <v/>
      </c>
      <c r="I82" s="42"/>
      <c r="J82" s="43"/>
      <c r="K82" s="42"/>
      <c r="L82" s="42"/>
      <c r="M82" s="44"/>
      <c r="N82" s="44"/>
      <c r="O82" s="43"/>
      <c r="P82" s="45" t="n">
        <f aca="false">IF(AND($C82&lt;&gt;"",$C82&lt;&gt;"项目",OR(N($D82)&lt;&gt;0,N($E82)&lt;&gt;0,N($F82)&lt;&gt;0)),1,0)</f>
        <v>0</v>
      </c>
      <c r="Q82" s="45" t="n">
        <f aca="false">N(Q81)+$P82</f>
        <v>6</v>
      </c>
    </row>
    <row r="83" customFormat="false" ht="13.5" hidden="false" customHeight="false" outlineLevel="0" collapsed="false">
      <c r="A83" s="9" t="n">
        <v>82</v>
      </c>
      <c r="B83" s="38" t="n">
        <f aca="false">IF($T$4=0,IF($I83="","",$I83),IFERROR(IF([1]财务取数接口!$B$82=0,"",[1]财务取数接口!$B$82),""))</f>
        <v>46419</v>
      </c>
      <c r="C83" s="39" t="str">
        <f aca="false">IF($T$4=0,IF($J83="","",$J83),IFERROR(IF([1]财务取数接口!$C$82=0,"",[1]财务取数接口!$C$82),""))</f>
        <v>水果销售</v>
      </c>
      <c r="D83" s="40" t="str">
        <f aca="false">IF($T$4=0,IF($K83="","",$K83),IFERROR(IF([1]财务取数接口!$D$82=0,"",[1]财务取数接口!$D$82),""))</f>
        <v/>
      </c>
      <c r="E83" s="40" t="str">
        <f aca="false">IF($T$4=0,IF($L83="","",$L83),IFERROR(IF([1]财务取数接口!$E$82=0,"",[1]财务取数接口!$E$82),""))</f>
        <v>箱</v>
      </c>
      <c r="F83" s="41" t="str">
        <f aca="false">IF($T$4=0,IF($M83="","",$M83),IFERROR(IF([1]财务取数接口!$G$82=0,"",[1]财务取数接口!$G$82),""))</f>
        <v/>
      </c>
      <c r="G83" s="41" t="str">
        <f aca="false">IF($T$4=0,IF($N83="","",$N83),IFERROR(IF([1]财务取数接口!$H$82=0,"",[1]财务取数接口!$H$82),""))</f>
        <v/>
      </c>
      <c r="H83" s="39" t="str">
        <f aca="false">IF($T$4=0,IF($O83="","",$O83),IFERROR(IF([1]财务取数接口!$I$82=0,"",[1]财务取数接口!$I$82),""))</f>
        <v/>
      </c>
      <c r="I83" s="42"/>
      <c r="J83" s="43"/>
      <c r="K83" s="42"/>
      <c r="L83" s="42"/>
      <c r="M83" s="44"/>
      <c r="N83" s="44"/>
      <c r="O83" s="43"/>
      <c r="P83" s="45" t="n">
        <f aca="false">IF(AND($C83&lt;&gt;"",$C83&lt;&gt;"项目",OR(N($D83)&lt;&gt;0,N($E83)&lt;&gt;0,N($F83)&lt;&gt;0)),1,0)</f>
        <v>0</v>
      </c>
      <c r="Q83" s="45" t="n">
        <f aca="false">N(Q82)+$P83</f>
        <v>6</v>
      </c>
    </row>
    <row r="84" customFormat="false" ht="13.5" hidden="false" customHeight="false" outlineLevel="0" collapsed="false">
      <c r="A84" s="9" t="n">
        <v>83</v>
      </c>
      <c r="B84" s="38" t="n">
        <f aca="false">IF($T$4=0,IF($I84="","",$I84),IFERROR(IF([1]财务取数接口!$B$83=0,"",[1]财务取数接口!$B$83),""))</f>
        <v>46447</v>
      </c>
      <c r="C84" s="39" t="str">
        <f aca="false">IF($T$4=0,IF($J84="","",$J84),IFERROR(IF([1]财务取数接口!$C$83=0,"",[1]财务取数接口!$C$83),""))</f>
        <v>水果销售</v>
      </c>
      <c r="D84" s="40" t="str">
        <f aca="false">IF($T$4=0,IF($K84="","",$K84),IFERROR(IF([1]财务取数接口!$D$83=0,"",[1]财务取数接口!$D$83),""))</f>
        <v/>
      </c>
      <c r="E84" s="40" t="str">
        <f aca="false">IF($T$4=0,IF($L84="","",$L84),IFERROR(IF([1]财务取数接口!$E$83=0,"",[1]财务取数接口!$E$83),""))</f>
        <v>箱</v>
      </c>
      <c r="F84" s="41" t="str">
        <f aca="false">IF($T$4=0,IF($M84="","",$M84),IFERROR(IF([1]财务取数接口!$G$83=0,"",[1]财务取数接口!$G$83),""))</f>
        <v/>
      </c>
      <c r="G84" s="41" t="str">
        <f aca="false">IF($T$4=0,IF($N84="","",$N84),IFERROR(IF([1]财务取数接口!$H$83=0,"",[1]财务取数接口!$H$83),""))</f>
        <v/>
      </c>
      <c r="H84" s="39" t="str">
        <f aca="false">IF($T$4=0,IF($O84="","",$O84),IFERROR(IF([1]财务取数接口!$I$83=0,"",[1]财务取数接口!$I$83),""))</f>
        <v/>
      </c>
      <c r="I84" s="42"/>
      <c r="J84" s="43"/>
      <c r="K84" s="42"/>
      <c r="L84" s="42"/>
      <c r="M84" s="44"/>
      <c r="N84" s="44"/>
      <c r="O84" s="43"/>
      <c r="P84" s="45" t="n">
        <f aca="false">IF(AND($C84&lt;&gt;"",$C84&lt;&gt;"项目",OR(N($D84)&lt;&gt;0,N($E84)&lt;&gt;0,N($F84)&lt;&gt;0)),1,0)</f>
        <v>0</v>
      </c>
      <c r="Q84" s="45" t="n">
        <f aca="false">N(Q83)+$P84</f>
        <v>6</v>
      </c>
    </row>
    <row r="85" customFormat="false" ht="13.5" hidden="false" customHeight="false" outlineLevel="0" collapsed="false">
      <c r="A85" s="9" t="n">
        <v>84</v>
      </c>
      <c r="B85" s="38" t="n">
        <f aca="false">IF($T$4=0,IF($I85="","",$I85),IFERROR(IF([1]财务取数接口!$B$84=0,"",[1]财务取数接口!$B$84),""))</f>
        <v>46478</v>
      </c>
      <c r="C85" s="39" t="str">
        <f aca="false">IF($T$4=0,IF($J85="","",$J85),IFERROR(IF([1]财务取数接口!$C$84=0,"",[1]财务取数接口!$C$84),""))</f>
        <v>水果销售</v>
      </c>
      <c r="D85" s="40" t="str">
        <f aca="false">IF($T$4=0,IF($K85="","",$K85),IFERROR(IF([1]财务取数接口!$D$84=0,"",[1]财务取数接口!$D$84),""))</f>
        <v/>
      </c>
      <c r="E85" s="40" t="str">
        <f aca="false">IF($T$4=0,IF($L85="","",$L85),IFERROR(IF([1]财务取数接口!$E$84=0,"",[1]财务取数接口!$E$84),""))</f>
        <v>箱</v>
      </c>
      <c r="F85" s="41" t="str">
        <f aca="false">IF($T$4=0,IF($M85="","",$M85),IFERROR(IF([1]财务取数接口!$G$84=0,"",[1]财务取数接口!$G$84),""))</f>
        <v/>
      </c>
      <c r="G85" s="41" t="str">
        <f aca="false">IF($T$4=0,IF($N85="","",$N85),IFERROR(IF([1]财务取数接口!$H$84=0,"",[1]财务取数接口!$H$84),""))</f>
        <v/>
      </c>
      <c r="H85" s="39" t="str">
        <f aca="false">IF($T$4=0,IF($O85="","",$O85),IFERROR(IF([1]财务取数接口!$I$84=0,"",[1]财务取数接口!$I$84),""))</f>
        <v/>
      </c>
      <c r="I85" s="42"/>
      <c r="J85" s="43"/>
      <c r="K85" s="42"/>
      <c r="L85" s="42"/>
      <c r="M85" s="44"/>
      <c r="N85" s="44"/>
      <c r="O85" s="43"/>
      <c r="P85" s="45" t="n">
        <f aca="false">IF(AND($C85&lt;&gt;"",$C85&lt;&gt;"项目",OR(N($D85)&lt;&gt;0,N($E85)&lt;&gt;0,N($F85)&lt;&gt;0)),1,0)</f>
        <v>0</v>
      </c>
      <c r="Q85" s="45" t="n">
        <f aca="false">N(Q84)+$P85</f>
        <v>6</v>
      </c>
    </row>
    <row r="86" customFormat="false" ht="13.5" hidden="false" customHeight="false" outlineLevel="0" collapsed="false">
      <c r="A86" s="9" t="n">
        <v>85</v>
      </c>
      <c r="B86" s="38" t="n">
        <f aca="false">IF($T$4=0,IF($I86="","",$I86),IFERROR(IF([1]财务取数接口!$B$85=0,"",[1]财务取数接口!$B$85),""))</f>
        <v>46508</v>
      </c>
      <c r="C86" s="39" t="str">
        <f aca="false">IF($T$4=0,IF($J86="","",$J86),IFERROR(IF([1]财务取数接口!$C$85=0,"",[1]财务取数接口!$C$85),""))</f>
        <v>水果销售</v>
      </c>
      <c r="D86" s="40" t="str">
        <f aca="false">IF($T$4=0,IF($K86="","",$K86),IFERROR(IF([1]财务取数接口!$D$85=0,"",[1]财务取数接口!$D$85),""))</f>
        <v/>
      </c>
      <c r="E86" s="40" t="str">
        <f aca="false">IF($T$4=0,IF($L86="","",$L86),IFERROR(IF([1]财务取数接口!$E$85=0,"",[1]财务取数接口!$E$85),""))</f>
        <v>箱</v>
      </c>
      <c r="F86" s="41" t="str">
        <f aca="false">IF($T$4=0,IF($M86="","",$M86),IFERROR(IF([1]财务取数接口!$G$85=0,"",[1]财务取数接口!$G$85),""))</f>
        <v/>
      </c>
      <c r="G86" s="41" t="str">
        <f aca="false">IF($T$4=0,IF($N86="","",$N86),IFERROR(IF([1]财务取数接口!$H$85=0,"",[1]财务取数接口!$H$85),""))</f>
        <v/>
      </c>
      <c r="H86" s="39" t="str">
        <f aca="false">IF($T$4=0,IF($O86="","",$O86),IFERROR(IF([1]财务取数接口!$I$85=0,"",[1]财务取数接口!$I$85),""))</f>
        <v/>
      </c>
      <c r="I86" s="42"/>
      <c r="J86" s="43"/>
      <c r="K86" s="42"/>
      <c r="L86" s="42"/>
      <c r="M86" s="44"/>
      <c r="N86" s="44"/>
      <c r="O86" s="43"/>
      <c r="P86" s="45" t="n">
        <f aca="false">IF(AND($C86&lt;&gt;"",$C86&lt;&gt;"项目",OR(N($D86)&lt;&gt;0,N($E86)&lt;&gt;0,N($F86)&lt;&gt;0)),1,0)</f>
        <v>0</v>
      </c>
      <c r="Q86" s="45" t="n">
        <f aca="false">N(Q85)+$P86</f>
        <v>6</v>
      </c>
    </row>
    <row r="87" customFormat="false" ht="13.5" hidden="false" customHeight="false" outlineLevel="0" collapsed="false">
      <c r="A87" s="9" t="n">
        <v>86</v>
      </c>
      <c r="B87" s="38" t="n">
        <f aca="false">IF($T$4=0,IF($I87="","",$I87),IFERROR(IF([1]财务取数接口!$B$86=0,"",[1]财务取数接口!$B$86),""))</f>
        <v>46539</v>
      </c>
      <c r="C87" s="39" t="str">
        <f aca="false">IF($T$4=0,IF($J87="","",$J87),IFERROR(IF([1]财务取数接口!$C$86=0,"",[1]财务取数接口!$C$86),""))</f>
        <v>水果销售</v>
      </c>
      <c r="D87" s="40" t="str">
        <f aca="false">IF($T$4=0,IF($K87="","",$K87),IFERROR(IF([1]财务取数接口!$D$86=0,"",[1]财务取数接口!$D$86),""))</f>
        <v/>
      </c>
      <c r="E87" s="40" t="str">
        <f aca="false">IF($T$4=0,IF($L87="","",$L87),IFERROR(IF([1]财务取数接口!$E$86=0,"",[1]财务取数接口!$E$86),""))</f>
        <v>箱</v>
      </c>
      <c r="F87" s="41" t="str">
        <f aca="false">IF($T$4=0,IF($M87="","",$M87),IFERROR(IF([1]财务取数接口!$G$86=0,"",[1]财务取数接口!$G$86),""))</f>
        <v/>
      </c>
      <c r="G87" s="41" t="str">
        <f aca="false">IF($T$4=0,IF($N87="","",$N87),IFERROR(IF([1]财务取数接口!$H$86=0,"",[1]财务取数接口!$H$86),""))</f>
        <v/>
      </c>
      <c r="H87" s="39" t="str">
        <f aca="false">IF($T$4=0,IF($O87="","",$O87),IFERROR(IF([1]财务取数接口!$I$86=0,"",[1]财务取数接口!$I$86),""))</f>
        <v/>
      </c>
      <c r="I87" s="42"/>
      <c r="J87" s="43"/>
      <c r="K87" s="42"/>
      <c r="L87" s="42"/>
      <c r="M87" s="44"/>
      <c r="N87" s="44"/>
      <c r="O87" s="43"/>
      <c r="P87" s="45" t="n">
        <f aca="false">IF(AND($C87&lt;&gt;"",$C87&lt;&gt;"项目",OR(N($D87)&lt;&gt;0,N($E87)&lt;&gt;0,N($F87)&lt;&gt;0)),1,0)</f>
        <v>0</v>
      </c>
      <c r="Q87" s="45" t="n">
        <f aca="false">N(Q86)+$P87</f>
        <v>6</v>
      </c>
    </row>
    <row r="88" customFormat="false" ht="13.5" hidden="false" customHeight="false" outlineLevel="0" collapsed="false">
      <c r="A88" s="9" t="n">
        <v>87</v>
      </c>
      <c r="B88" s="38" t="n">
        <f aca="false">IF($T$4=0,IF($I88="","",$I88),IFERROR(IF([1]财务取数接口!$B$87=0,"",[1]财务取数接口!$B$87),""))</f>
        <v>46569</v>
      </c>
      <c r="C88" s="39" t="str">
        <f aca="false">IF($T$4=0,IF($J88="","",$J88),IFERROR(IF([1]财务取数接口!$C$87=0,"",[1]财务取数接口!$C$87),""))</f>
        <v>水果销售</v>
      </c>
      <c r="D88" s="40" t="str">
        <f aca="false">IF($T$4=0,IF($K88="","",$K88),IFERROR(IF([1]财务取数接口!$D$87=0,"",[1]财务取数接口!$D$87),""))</f>
        <v/>
      </c>
      <c r="E88" s="40" t="str">
        <f aca="false">IF($T$4=0,IF($L88="","",$L88),IFERROR(IF([1]财务取数接口!$E$87=0,"",[1]财务取数接口!$E$87),""))</f>
        <v>箱</v>
      </c>
      <c r="F88" s="41" t="str">
        <f aca="false">IF($T$4=0,IF($M88="","",$M88),IFERROR(IF([1]财务取数接口!$G$87=0,"",[1]财务取数接口!$G$87),""))</f>
        <v/>
      </c>
      <c r="G88" s="41" t="str">
        <f aca="false">IF($T$4=0,IF($N88="","",$N88),IFERROR(IF([1]财务取数接口!$H$87=0,"",[1]财务取数接口!$H$87),""))</f>
        <v/>
      </c>
      <c r="H88" s="39" t="str">
        <f aca="false">IF($T$4=0,IF($O88="","",$O88),IFERROR(IF([1]财务取数接口!$I$87=0,"",[1]财务取数接口!$I$87),""))</f>
        <v/>
      </c>
      <c r="I88" s="42"/>
      <c r="J88" s="43"/>
      <c r="K88" s="42"/>
      <c r="L88" s="42"/>
      <c r="M88" s="44"/>
      <c r="N88" s="44"/>
      <c r="O88" s="43"/>
      <c r="P88" s="45" t="n">
        <f aca="false">IF(AND($C88&lt;&gt;"",$C88&lt;&gt;"项目",OR(N($D88)&lt;&gt;0,N($E88)&lt;&gt;0,N($F88)&lt;&gt;0)),1,0)</f>
        <v>0</v>
      </c>
      <c r="Q88" s="45" t="n">
        <f aca="false">N(Q87)+$P88</f>
        <v>6</v>
      </c>
    </row>
    <row r="89" customFormat="false" ht="13.5" hidden="false" customHeight="false" outlineLevel="0" collapsed="false">
      <c r="A89" s="9" t="n">
        <v>88</v>
      </c>
      <c r="B89" s="38" t="n">
        <f aca="false">IF($T$4=0,IF($I89="","",$I89),IFERROR(IF([1]财务取数接口!$B$88=0,"",[1]财务取数接口!$B$88),""))</f>
        <v>46600</v>
      </c>
      <c r="C89" s="39" t="str">
        <f aca="false">IF($T$4=0,IF($J89="","",$J89),IFERROR(IF([1]财务取数接口!$C$88=0,"",[1]财务取数接口!$C$88),""))</f>
        <v>水果销售</v>
      </c>
      <c r="D89" s="40" t="str">
        <f aca="false">IF($T$4=0,IF($K89="","",$K89),IFERROR(IF([1]财务取数接口!$D$88=0,"",[1]财务取数接口!$D$88),""))</f>
        <v/>
      </c>
      <c r="E89" s="40" t="str">
        <f aca="false">IF($T$4=0,IF($L89="","",$L89),IFERROR(IF([1]财务取数接口!$E$88=0,"",[1]财务取数接口!$E$88),""))</f>
        <v>箱</v>
      </c>
      <c r="F89" s="41" t="str">
        <f aca="false">IF($T$4=0,IF($M89="","",$M89),IFERROR(IF([1]财务取数接口!$G$88=0,"",[1]财务取数接口!$G$88),""))</f>
        <v/>
      </c>
      <c r="G89" s="41" t="str">
        <f aca="false">IF($T$4=0,IF($N89="","",$N89),IFERROR(IF([1]财务取数接口!$H$88=0,"",[1]财务取数接口!$H$88),""))</f>
        <v/>
      </c>
      <c r="H89" s="39" t="str">
        <f aca="false">IF($T$4=0,IF($O89="","",$O89),IFERROR(IF([1]财务取数接口!$I$88=0,"",[1]财务取数接口!$I$88),""))</f>
        <v/>
      </c>
      <c r="I89" s="42"/>
      <c r="J89" s="43"/>
      <c r="K89" s="42"/>
      <c r="L89" s="42"/>
      <c r="M89" s="44"/>
      <c r="N89" s="44"/>
      <c r="O89" s="43"/>
      <c r="P89" s="45" t="n">
        <f aca="false">IF(AND($C89&lt;&gt;"",$C89&lt;&gt;"项目",OR(N($D89)&lt;&gt;0,N($E89)&lt;&gt;0,N($F89)&lt;&gt;0)),1,0)</f>
        <v>0</v>
      </c>
      <c r="Q89" s="45" t="n">
        <f aca="false">N(Q88)+$P89</f>
        <v>6</v>
      </c>
    </row>
    <row r="90" customFormat="false" ht="13.5" hidden="false" customHeight="false" outlineLevel="0" collapsed="false">
      <c r="A90" s="9" t="n">
        <v>89</v>
      </c>
      <c r="B90" s="38" t="n">
        <f aca="false">IF($T$4=0,IF($I90="","",$I90),IFERROR(IF([1]财务取数接口!$B$89=0,"",[1]财务取数接口!$B$89),""))</f>
        <v>46631</v>
      </c>
      <c r="C90" s="39" t="str">
        <f aca="false">IF($T$4=0,IF($J90="","",$J90),IFERROR(IF([1]财务取数接口!$C$89=0,"",[1]财务取数接口!$C$89),""))</f>
        <v>水果销售</v>
      </c>
      <c r="D90" s="40" t="str">
        <f aca="false">IF($T$4=0,IF($K90="","",$K90),IFERROR(IF([1]财务取数接口!$D$89=0,"",[1]财务取数接口!$D$89),""))</f>
        <v/>
      </c>
      <c r="E90" s="40" t="str">
        <f aca="false">IF($T$4=0,IF($L90="","",$L90),IFERROR(IF([1]财务取数接口!$E$89=0,"",[1]财务取数接口!$E$89),""))</f>
        <v>箱</v>
      </c>
      <c r="F90" s="41" t="str">
        <f aca="false">IF($T$4=0,IF($M90="","",$M90),IFERROR(IF([1]财务取数接口!$G$89=0,"",[1]财务取数接口!$G$89),""))</f>
        <v/>
      </c>
      <c r="G90" s="41" t="str">
        <f aca="false">IF($T$4=0,IF($N90="","",$N90),IFERROR(IF([1]财务取数接口!$H$89=0,"",[1]财务取数接口!$H$89),""))</f>
        <v/>
      </c>
      <c r="H90" s="39" t="str">
        <f aca="false">IF($T$4=0,IF($O90="","",$O90),IFERROR(IF([1]财务取数接口!$I$89=0,"",[1]财务取数接口!$I$89),""))</f>
        <v/>
      </c>
      <c r="I90" s="42"/>
      <c r="J90" s="43"/>
      <c r="K90" s="42"/>
      <c r="L90" s="42"/>
      <c r="M90" s="44"/>
      <c r="N90" s="44"/>
      <c r="O90" s="43"/>
      <c r="P90" s="45" t="n">
        <f aca="false">IF(AND($C90&lt;&gt;"",$C90&lt;&gt;"项目",OR(N($D90)&lt;&gt;0,N($E90)&lt;&gt;0,N($F90)&lt;&gt;0)),1,0)</f>
        <v>0</v>
      </c>
      <c r="Q90" s="45" t="n">
        <f aca="false">N(Q89)+$P90</f>
        <v>6</v>
      </c>
    </row>
    <row r="91" customFormat="false" ht="13.5" hidden="false" customHeight="false" outlineLevel="0" collapsed="false">
      <c r="A91" s="9" t="n">
        <v>90</v>
      </c>
      <c r="B91" s="38" t="n">
        <f aca="false">IF($T$4=0,IF($I91="","",$I91),IFERROR(IF([1]财务取数接口!$B$90=0,"",[1]财务取数接口!$B$90),""))</f>
        <v>46661</v>
      </c>
      <c r="C91" s="39" t="str">
        <f aca="false">IF($T$4=0,IF($J91="","",$J91),IFERROR(IF([1]财务取数接口!$C$90=0,"",[1]财务取数接口!$C$90),""))</f>
        <v>水果销售</v>
      </c>
      <c r="D91" s="40" t="str">
        <f aca="false">IF($T$4=0,IF($K91="","",$K91),IFERROR(IF([1]财务取数接口!$D$90=0,"",[1]财务取数接口!$D$90),""))</f>
        <v/>
      </c>
      <c r="E91" s="40" t="str">
        <f aca="false">IF($T$4=0,IF($L91="","",$L91),IFERROR(IF([1]财务取数接口!$E$90=0,"",[1]财务取数接口!$E$90),""))</f>
        <v>箱</v>
      </c>
      <c r="F91" s="41" t="str">
        <f aca="false">IF($T$4=0,IF($M91="","",$M91),IFERROR(IF([1]财务取数接口!$G$90=0,"",[1]财务取数接口!$G$90),""))</f>
        <v/>
      </c>
      <c r="G91" s="41" t="str">
        <f aca="false">IF($T$4=0,IF($N91="","",$N91),IFERROR(IF([1]财务取数接口!$H$90=0,"",[1]财务取数接口!$H$90),""))</f>
        <v/>
      </c>
      <c r="H91" s="39" t="str">
        <f aca="false">IF($T$4=0,IF($O91="","",$O91),IFERROR(IF([1]财务取数接口!$I$90=0,"",[1]财务取数接口!$I$90),""))</f>
        <v/>
      </c>
      <c r="I91" s="42"/>
      <c r="J91" s="43"/>
      <c r="K91" s="42"/>
      <c r="L91" s="42"/>
      <c r="M91" s="44"/>
      <c r="N91" s="44"/>
      <c r="O91" s="43"/>
      <c r="P91" s="45" t="n">
        <f aca="false">IF(AND($C91&lt;&gt;"",$C91&lt;&gt;"项目",OR(N($D91)&lt;&gt;0,N($E91)&lt;&gt;0,N($F91)&lt;&gt;0)),1,0)</f>
        <v>0</v>
      </c>
      <c r="Q91" s="45" t="n">
        <f aca="false">N(Q90)+$P91</f>
        <v>6</v>
      </c>
    </row>
    <row r="92" customFormat="false" ht="13.5" hidden="false" customHeight="false" outlineLevel="0" collapsed="false">
      <c r="A92" s="9" t="n">
        <v>91</v>
      </c>
      <c r="B92" s="38" t="n">
        <f aca="false">IF($T$4=0,IF($I92="","",$I92),IFERROR(IF([1]财务取数接口!$B$91=0,"",[1]财务取数接口!$B$91),""))</f>
        <v>46692</v>
      </c>
      <c r="C92" s="39" t="str">
        <f aca="false">IF($T$4=0,IF($J92="","",$J92),IFERROR(IF([1]财务取数接口!$C$91=0,"",[1]财务取数接口!$C$91),""))</f>
        <v>水果销售</v>
      </c>
      <c r="D92" s="40" t="str">
        <f aca="false">IF($T$4=0,IF($K92="","",$K92),IFERROR(IF([1]财务取数接口!$D$91=0,"",[1]财务取数接口!$D$91),""))</f>
        <v/>
      </c>
      <c r="E92" s="40" t="str">
        <f aca="false">IF($T$4=0,IF($L92="","",$L92),IFERROR(IF([1]财务取数接口!$E$91=0,"",[1]财务取数接口!$E$91),""))</f>
        <v>箱</v>
      </c>
      <c r="F92" s="41" t="str">
        <f aca="false">IF($T$4=0,IF($M92="","",$M92),IFERROR(IF([1]财务取数接口!$G$91=0,"",[1]财务取数接口!$G$91),""))</f>
        <v/>
      </c>
      <c r="G92" s="41" t="str">
        <f aca="false">IF($T$4=0,IF($N92="","",$N92),IFERROR(IF([1]财务取数接口!$H$91=0,"",[1]财务取数接口!$H$91),""))</f>
        <v/>
      </c>
      <c r="H92" s="39" t="str">
        <f aca="false">IF($T$4=0,IF($O92="","",$O92),IFERROR(IF([1]财务取数接口!$I$91=0,"",[1]财务取数接口!$I$91),""))</f>
        <v/>
      </c>
      <c r="I92" s="42"/>
      <c r="J92" s="43"/>
      <c r="K92" s="42"/>
      <c r="L92" s="42"/>
      <c r="M92" s="44"/>
      <c r="N92" s="44"/>
      <c r="O92" s="43"/>
      <c r="P92" s="45" t="n">
        <f aca="false">IF(AND($C92&lt;&gt;"",$C92&lt;&gt;"项目",OR(N($D92)&lt;&gt;0,N($E92)&lt;&gt;0,N($F92)&lt;&gt;0)),1,0)</f>
        <v>0</v>
      </c>
      <c r="Q92" s="45" t="n">
        <f aca="false">N(Q91)+$P92</f>
        <v>6</v>
      </c>
    </row>
    <row r="93" customFormat="false" ht="13.5" hidden="false" customHeight="false" outlineLevel="0" collapsed="false">
      <c r="A93" s="9" t="n">
        <v>92</v>
      </c>
      <c r="B93" s="38" t="n">
        <f aca="false">IF($T$4=0,IF($I93="","",$I93),IFERROR(IF([1]财务取数接口!$B$92=0,"",[1]财务取数接口!$B$92),""))</f>
        <v>46722</v>
      </c>
      <c r="C93" s="39" t="str">
        <f aca="false">IF($T$4=0,IF($J93="","",$J93),IFERROR(IF([1]财务取数接口!$C$92=0,"",[1]财务取数接口!$C$92),""))</f>
        <v>水果销售</v>
      </c>
      <c r="D93" s="40" t="str">
        <f aca="false">IF($T$4=0,IF($K93="","",$K93),IFERROR(IF([1]财务取数接口!$D$92=0,"",[1]财务取数接口!$D$92),""))</f>
        <v/>
      </c>
      <c r="E93" s="40" t="str">
        <f aca="false">IF($T$4=0,IF($L93="","",$L93),IFERROR(IF([1]财务取数接口!$E$92=0,"",[1]财务取数接口!$E$92),""))</f>
        <v>箱</v>
      </c>
      <c r="F93" s="41" t="str">
        <f aca="false">IF($T$4=0,IF($M93="","",$M93),IFERROR(IF([1]财务取数接口!$G$92=0,"",[1]财务取数接口!$G$92),""))</f>
        <v/>
      </c>
      <c r="G93" s="41" t="str">
        <f aca="false">IF($T$4=0,IF($N93="","",$N93),IFERROR(IF([1]财务取数接口!$H$92=0,"",[1]财务取数接口!$H$92),""))</f>
        <v/>
      </c>
      <c r="H93" s="39" t="str">
        <f aca="false">IF($T$4=0,IF($O93="","",$O93),IFERROR(IF([1]财务取数接口!$I$92=0,"",[1]财务取数接口!$I$92),""))</f>
        <v/>
      </c>
      <c r="I93" s="42"/>
      <c r="J93" s="43"/>
      <c r="K93" s="42"/>
      <c r="L93" s="42"/>
      <c r="M93" s="44"/>
      <c r="N93" s="44"/>
      <c r="O93" s="43"/>
      <c r="P93" s="45" t="n">
        <f aca="false">IF(AND($C93&lt;&gt;"",$C93&lt;&gt;"项目",OR(N($D93)&lt;&gt;0,N($E93)&lt;&gt;0,N($F93)&lt;&gt;0)),1,0)</f>
        <v>0</v>
      </c>
      <c r="Q93" s="45" t="n">
        <f aca="false">N(Q92)+$P93</f>
        <v>6</v>
      </c>
    </row>
    <row r="94" customFormat="false" ht="13.5" hidden="false" customHeight="false" outlineLevel="0" collapsed="false">
      <c r="A94" s="9" t="n">
        <v>93</v>
      </c>
      <c r="B94" s="38" t="n">
        <f aca="false">IF($T$4=0,IF($I94="","",$I94),IFERROR(IF([1]财务取数接口!$B$93=0,"",[1]财务取数接口!$B$93),""))</f>
        <v>46753</v>
      </c>
      <c r="C94" s="39" t="str">
        <f aca="false">IF($T$4=0,IF($J94="","",$J94),IFERROR(IF([1]财务取数接口!$C$93=0,"",[1]财务取数接口!$C$93),""))</f>
        <v>水果销售</v>
      </c>
      <c r="D94" s="40" t="str">
        <f aca="false">IF($T$4=0,IF($K94="","",$K94),IFERROR(IF([1]财务取数接口!$D$93=0,"",[1]财务取数接口!$D$93),""))</f>
        <v/>
      </c>
      <c r="E94" s="40" t="str">
        <f aca="false">IF($T$4=0,IF($L94="","",$L94),IFERROR(IF([1]财务取数接口!$E$93=0,"",[1]财务取数接口!$E$93),""))</f>
        <v>箱</v>
      </c>
      <c r="F94" s="41" t="str">
        <f aca="false">IF($T$4=0,IF($M94="","",$M94),IFERROR(IF([1]财务取数接口!$G$93=0,"",[1]财务取数接口!$G$93),""))</f>
        <v/>
      </c>
      <c r="G94" s="41" t="str">
        <f aca="false">IF($T$4=0,IF($N94="","",$N94),IFERROR(IF([1]财务取数接口!$H$93=0,"",[1]财务取数接口!$H$93),""))</f>
        <v/>
      </c>
      <c r="H94" s="39" t="str">
        <f aca="false">IF($T$4=0,IF($O94="","",$O94),IFERROR(IF([1]财务取数接口!$I$93=0,"",[1]财务取数接口!$I$93),""))</f>
        <v/>
      </c>
      <c r="I94" s="42"/>
      <c r="J94" s="43"/>
      <c r="K94" s="42"/>
      <c r="L94" s="42"/>
      <c r="M94" s="44"/>
      <c r="N94" s="44"/>
      <c r="O94" s="43"/>
      <c r="P94" s="45" t="n">
        <f aca="false">IF(AND($C94&lt;&gt;"",$C94&lt;&gt;"项目",OR(N($D94)&lt;&gt;0,N($E94)&lt;&gt;0,N($F94)&lt;&gt;0)),1,0)</f>
        <v>0</v>
      </c>
      <c r="Q94" s="45" t="n">
        <f aca="false">N(Q93)+$P94</f>
        <v>6</v>
      </c>
    </row>
    <row r="95" customFormat="false" ht="13.5" hidden="false" customHeight="false" outlineLevel="0" collapsed="false">
      <c r="A95" s="9" t="n">
        <v>94</v>
      </c>
      <c r="B95" s="38" t="n">
        <f aca="false">IF($T$4=0,IF($I95="","",$I95),IFERROR(IF([1]财务取数接口!$B$94=0,"",[1]财务取数接口!$B$94),""))</f>
        <v>46784</v>
      </c>
      <c r="C95" s="39" t="str">
        <f aca="false">IF($T$4=0,IF($J95="","",$J95),IFERROR(IF([1]财务取数接口!$C$94=0,"",[1]财务取数接口!$C$94),""))</f>
        <v>水果销售</v>
      </c>
      <c r="D95" s="40" t="str">
        <f aca="false">IF($T$4=0,IF($K95="","",$K95),IFERROR(IF([1]财务取数接口!$D$94=0,"",[1]财务取数接口!$D$94),""))</f>
        <v/>
      </c>
      <c r="E95" s="40" t="str">
        <f aca="false">IF($T$4=0,IF($L95="","",$L95),IFERROR(IF([1]财务取数接口!$E$94=0,"",[1]财务取数接口!$E$94),""))</f>
        <v>箱</v>
      </c>
      <c r="F95" s="41" t="str">
        <f aca="false">IF($T$4=0,IF($M95="","",$M95),IFERROR(IF([1]财务取数接口!$G$94=0,"",[1]财务取数接口!$G$94),""))</f>
        <v/>
      </c>
      <c r="G95" s="41" t="str">
        <f aca="false">IF($T$4=0,IF($N95="","",$N95),IFERROR(IF([1]财务取数接口!$H$94=0,"",[1]财务取数接口!$H$94),""))</f>
        <v/>
      </c>
      <c r="H95" s="39" t="str">
        <f aca="false">IF($T$4=0,IF($O95="","",$O95),IFERROR(IF([1]财务取数接口!$I$94=0,"",[1]财务取数接口!$I$94),""))</f>
        <v/>
      </c>
      <c r="I95" s="42"/>
      <c r="J95" s="43"/>
      <c r="K95" s="42"/>
      <c r="L95" s="42"/>
      <c r="M95" s="44"/>
      <c r="N95" s="44"/>
      <c r="O95" s="43"/>
      <c r="P95" s="45" t="n">
        <f aca="false">IF(AND($C95&lt;&gt;"",$C95&lt;&gt;"项目",OR(N($D95)&lt;&gt;0,N($E95)&lt;&gt;0,N($F95)&lt;&gt;0)),1,0)</f>
        <v>0</v>
      </c>
      <c r="Q95" s="45" t="n">
        <f aca="false">N(Q94)+$P95</f>
        <v>6</v>
      </c>
    </row>
    <row r="96" customFormat="false" ht="13.5" hidden="false" customHeight="false" outlineLevel="0" collapsed="false">
      <c r="A96" s="9" t="n">
        <v>95</v>
      </c>
      <c r="B96" s="38" t="n">
        <f aca="false">IF($T$4=0,IF($I96="","",$I96),IFERROR(IF([1]财务取数接口!$B$95=0,"",[1]财务取数接口!$B$95),""))</f>
        <v>46813</v>
      </c>
      <c r="C96" s="39" t="str">
        <f aca="false">IF($T$4=0,IF($J96="","",$J96),IFERROR(IF([1]财务取数接口!$C$95=0,"",[1]财务取数接口!$C$95),""))</f>
        <v>水果销售</v>
      </c>
      <c r="D96" s="40" t="str">
        <f aca="false">IF($T$4=0,IF($K96="","",$K96),IFERROR(IF([1]财务取数接口!$D$95=0,"",[1]财务取数接口!$D$95),""))</f>
        <v/>
      </c>
      <c r="E96" s="40" t="str">
        <f aca="false">IF($T$4=0,IF($L96="","",$L96),IFERROR(IF([1]财务取数接口!$E$95=0,"",[1]财务取数接口!$E$95),""))</f>
        <v>箱</v>
      </c>
      <c r="F96" s="41" t="str">
        <f aca="false">IF($T$4=0,IF($M96="","",$M96),IFERROR(IF([1]财务取数接口!$G$95=0,"",[1]财务取数接口!$G$95),""))</f>
        <v/>
      </c>
      <c r="G96" s="41" t="str">
        <f aca="false">IF($T$4=0,IF($N96="","",$N96),IFERROR(IF([1]财务取数接口!$H$95=0,"",[1]财务取数接口!$H$95),""))</f>
        <v/>
      </c>
      <c r="H96" s="39" t="str">
        <f aca="false">IF($T$4=0,IF($O96="","",$O96),IFERROR(IF([1]财务取数接口!$I$95=0,"",[1]财务取数接口!$I$95),""))</f>
        <v/>
      </c>
      <c r="I96" s="42"/>
      <c r="J96" s="43"/>
      <c r="K96" s="42"/>
      <c r="L96" s="42"/>
      <c r="M96" s="44"/>
      <c r="N96" s="44"/>
      <c r="O96" s="43"/>
      <c r="P96" s="45" t="n">
        <f aca="false">IF(AND($C96&lt;&gt;"",$C96&lt;&gt;"项目",OR(N($D96)&lt;&gt;0,N($E96)&lt;&gt;0,N($F96)&lt;&gt;0)),1,0)</f>
        <v>0</v>
      </c>
      <c r="Q96" s="45" t="n">
        <f aca="false">N(Q95)+$P96</f>
        <v>6</v>
      </c>
    </row>
    <row r="97" customFormat="false" ht="13.5" hidden="false" customHeight="false" outlineLevel="0" collapsed="false">
      <c r="A97" s="9" t="n">
        <v>96</v>
      </c>
      <c r="B97" s="38" t="n">
        <f aca="false">IF($T$4=0,IF($I97="","",$I97),IFERROR(IF([1]财务取数接口!$B$96=0,"",[1]财务取数接口!$B$96),""))</f>
        <v>46844</v>
      </c>
      <c r="C97" s="39" t="str">
        <f aca="false">IF($T$4=0,IF($J97="","",$J97),IFERROR(IF([1]财务取数接口!$C$96=0,"",[1]财务取数接口!$C$96),""))</f>
        <v>水果销售</v>
      </c>
      <c r="D97" s="40" t="str">
        <f aca="false">IF($T$4=0,IF($K97="","",$K97),IFERROR(IF([1]财务取数接口!$D$96=0,"",[1]财务取数接口!$D$96),""))</f>
        <v/>
      </c>
      <c r="E97" s="40" t="str">
        <f aca="false">IF($T$4=0,IF($L97="","",$L97),IFERROR(IF([1]财务取数接口!$E$96=0,"",[1]财务取数接口!$E$96),""))</f>
        <v>箱</v>
      </c>
      <c r="F97" s="41" t="str">
        <f aca="false">IF($T$4=0,IF($M97="","",$M97),IFERROR(IF([1]财务取数接口!$G$96=0,"",[1]财务取数接口!$G$96),""))</f>
        <v/>
      </c>
      <c r="G97" s="41" t="str">
        <f aca="false">IF($T$4=0,IF($N97="","",$N97),IFERROR(IF([1]财务取数接口!$H$96=0,"",[1]财务取数接口!$H$96),""))</f>
        <v/>
      </c>
      <c r="H97" s="39" t="str">
        <f aca="false">IF($T$4=0,IF($O97="","",$O97),IFERROR(IF([1]财务取数接口!$I$96=0,"",[1]财务取数接口!$I$96),""))</f>
        <v/>
      </c>
      <c r="I97" s="42"/>
      <c r="J97" s="43"/>
      <c r="K97" s="42"/>
      <c r="L97" s="42"/>
      <c r="M97" s="44"/>
      <c r="N97" s="44"/>
      <c r="O97" s="43"/>
      <c r="P97" s="45" t="n">
        <f aca="false">IF(AND($C97&lt;&gt;"",$C97&lt;&gt;"项目",OR(N($D97)&lt;&gt;0,N($E97)&lt;&gt;0,N($F97)&lt;&gt;0)),1,0)</f>
        <v>0</v>
      </c>
      <c r="Q97" s="45" t="n">
        <f aca="false">N(Q96)+$P97</f>
        <v>6</v>
      </c>
    </row>
    <row r="98" customFormat="false" ht="13.5" hidden="false" customHeight="false" outlineLevel="0" collapsed="false">
      <c r="A98" s="9" t="n">
        <v>97</v>
      </c>
      <c r="B98" s="38" t="n">
        <f aca="false">IF($T$4=0,IF($I98="","",$I98),IFERROR(IF([1]财务取数接口!$B$97=0,"",[1]财务取数接口!$B$97),""))</f>
        <v>46874</v>
      </c>
      <c r="C98" s="39" t="str">
        <f aca="false">IF($T$4=0,IF($J98="","",$J98),IFERROR(IF([1]财务取数接口!$C$97=0,"",[1]财务取数接口!$C$97),""))</f>
        <v>水果销售</v>
      </c>
      <c r="D98" s="40" t="str">
        <f aca="false">IF($T$4=0,IF($K98="","",$K98),IFERROR(IF([1]财务取数接口!$D$97=0,"",[1]财务取数接口!$D$97),""))</f>
        <v/>
      </c>
      <c r="E98" s="40" t="str">
        <f aca="false">IF($T$4=0,IF($L98="","",$L98),IFERROR(IF([1]财务取数接口!$E$97=0,"",[1]财务取数接口!$E$97),""))</f>
        <v>箱</v>
      </c>
      <c r="F98" s="41" t="str">
        <f aca="false">IF($T$4=0,IF($M98="","",$M98),IFERROR(IF([1]财务取数接口!$G$97=0,"",[1]财务取数接口!$G$97),""))</f>
        <v/>
      </c>
      <c r="G98" s="41" t="str">
        <f aca="false">IF($T$4=0,IF($N98="","",$N98),IFERROR(IF([1]财务取数接口!$H$97=0,"",[1]财务取数接口!$H$97),""))</f>
        <v/>
      </c>
      <c r="H98" s="39" t="str">
        <f aca="false">IF($T$4=0,IF($O98="","",$O98),IFERROR(IF([1]财务取数接口!$I$97=0,"",[1]财务取数接口!$I$97),""))</f>
        <v/>
      </c>
      <c r="I98" s="42"/>
      <c r="J98" s="43"/>
      <c r="K98" s="42"/>
      <c r="L98" s="42"/>
      <c r="M98" s="44"/>
      <c r="N98" s="44"/>
      <c r="O98" s="43"/>
      <c r="P98" s="45" t="n">
        <f aca="false">IF(AND($C98&lt;&gt;"",$C98&lt;&gt;"项目",OR(N($D98)&lt;&gt;0,N($E98)&lt;&gt;0,N($F98)&lt;&gt;0)),1,0)</f>
        <v>0</v>
      </c>
      <c r="Q98" s="45" t="n">
        <f aca="false">N(Q97)+$P98</f>
        <v>6</v>
      </c>
    </row>
    <row r="99" customFormat="false" ht="13.5" hidden="false" customHeight="false" outlineLevel="0" collapsed="false">
      <c r="A99" s="9" t="n">
        <v>98</v>
      </c>
      <c r="B99" s="38" t="n">
        <f aca="false">IF($T$4=0,IF($I99="","",$I99),IFERROR(IF([1]财务取数接口!$B$98=0,"",[1]财务取数接口!$B$98),""))</f>
        <v>46905</v>
      </c>
      <c r="C99" s="39" t="str">
        <f aca="false">IF($T$4=0,IF($J99="","",$J99),IFERROR(IF([1]财务取数接口!$C$98=0,"",[1]财务取数接口!$C$98),""))</f>
        <v>水果销售</v>
      </c>
      <c r="D99" s="40" t="str">
        <f aca="false">IF($T$4=0,IF($K99="","",$K99),IFERROR(IF([1]财务取数接口!$D$98=0,"",[1]财务取数接口!$D$98),""))</f>
        <v/>
      </c>
      <c r="E99" s="40" t="str">
        <f aca="false">IF($T$4=0,IF($L99="","",$L99),IFERROR(IF([1]财务取数接口!$E$98=0,"",[1]财务取数接口!$E$98),""))</f>
        <v>箱</v>
      </c>
      <c r="F99" s="41" t="str">
        <f aca="false">IF($T$4=0,IF($M99="","",$M99),IFERROR(IF([1]财务取数接口!$G$98=0,"",[1]财务取数接口!$G$98),""))</f>
        <v/>
      </c>
      <c r="G99" s="41" t="str">
        <f aca="false">IF($T$4=0,IF($N99="","",$N99),IFERROR(IF([1]财务取数接口!$H$98=0,"",[1]财务取数接口!$H$98),""))</f>
        <v/>
      </c>
      <c r="H99" s="39" t="str">
        <f aca="false">IF($T$4=0,IF($O99="","",$O99),IFERROR(IF([1]财务取数接口!$I$98=0,"",[1]财务取数接口!$I$98),""))</f>
        <v/>
      </c>
      <c r="I99" s="42"/>
      <c r="J99" s="43"/>
      <c r="K99" s="42"/>
      <c r="L99" s="42"/>
      <c r="M99" s="44"/>
      <c r="N99" s="44"/>
      <c r="O99" s="43"/>
      <c r="P99" s="45" t="n">
        <f aca="false">IF(AND($C99&lt;&gt;"",$C99&lt;&gt;"项目",OR(N($D99)&lt;&gt;0,N($E99)&lt;&gt;0,N($F99)&lt;&gt;0)),1,0)</f>
        <v>0</v>
      </c>
      <c r="Q99" s="45" t="n">
        <f aca="false">N(Q98)+$P99</f>
        <v>6</v>
      </c>
    </row>
    <row r="100" customFormat="false" ht="13.5" hidden="false" customHeight="false" outlineLevel="0" collapsed="false">
      <c r="A100" s="9" t="n">
        <v>99</v>
      </c>
      <c r="B100" s="38" t="n">
        <f aca="false">IF($T$4=0,IF($I100="","",$I100),IFERROR(IF([1]财务取数接口!$B$99=0,"",[1]财务取数接口!$B$99),""))</f>
        <v>46935</v>
      </c>
      <c r="C100" s="39" t="str">
        <f aca="false">IF($T$4=0,IF($J100="","",$J100),IFERROR(IF([1]财务取数接口!$C$99=0,"",[1]财务取数接口!$C$99),""))</f>
        <v>水果销售</v>
      </c>
      <c r="D100" s="40" t="str">
        <f aca="false">IF($T$4=0,IF($K100="","",$K100),IFERROR(IF([1]财务取数接口!$D$99=0,"",[1]财务取数接口!$D$99),""))</f>
        <v/>
      </c>
      <c r="E100" s="40" t="str">
        <f aca="false">IF($T$4=0,IF($L100="","",$L100),IFERROR(IF([1]财务取数接口!$E$99=0,"",[1]财务取数接口!$E$99),""))</f>
        <v>箱</v>
      </c>
      <c r="F100" s="41" t="str">
        <f aca="false">IF($T$4=0,IF($M100="","",$M100),IFERROR(IF([1]财务取数接口!$G$99=0,"",[1]财务取数接口!$G$99),""))</f>
        <v/>
      </c>
      <c r="G100" s="41" t="str">
        <f aca="false">IF($T$4=0,IF($N100="","",$N100),IFERROR(IF([1]财务取数接口!$H$99=0,"",[1]财务取数接口!$H$99),""))</f>
        <v/>
      </c>
      <c r="H100" s="39" t="str">
        <f aca="false">IF($T$4=0,IF($O100="","",$O100),IFERROR(IF([1]财务取数接口!$I$99=0,"",[1]财务取数接口!$I$99),""))</f>
        <v/>
      </c>
      <c r="I100" s="42"/>
      <c r="J100" s="43"/>
      <c r="K100" s="42"/>
      <c r="L100" s="42"/>
      <c r="M100" s="44"/>
      <c r="N100" s="44"/>
      <c r="O100" s="43"/>
      <c r="P100" s="45" t="n">
        <f aca="false">IF(AND($C100&lt;&gt;"",$C100&lt;&gt;"项目",OR(N($D100)&lt;&gt;0,N($E100)&lt;&gt;0,N($F100)&lt;&gt;0)),1,0)</f>
        <v>0</v>
      </c>
      <c r="Q100" s="45" t="n">
        <f aca="false">N(Q99)+$P100</f>
        <v>6</v>
      </c>
    </row>
    <row r="101" customFormat="false" ht="13.5" hidden="false" customHeight="false" outlineLevel="0" collapsed="false">
      <c r="A101" s="9" t="n">
        <v>100</v>
      </c>
      <c r="B101" s="38" t="n">
        <f aca="false">IF($T$4=0,IF($I101="","",$I101),IFERROR(IF([1]财务取数接口!$B$100=0,"",[1]财务取数接口!$B$100),""))</f>
        <v>46235</v>
      </c>
      <c r="C101" s="39" t="str">
        <f aca="false">IF($T$4=0,IF($J101="","",$J101),IFERROR(IF([1]财务取数接口!$C$100=0,"",[1]财务取数接口!$C$100),""))</f>
        <v>运费</v>
      </c>
      <c r="D101" s="40" t="str">
        <f aca="false">IF($T$4=0,IF($K101="","",$K101),IFERROR(IF([1]财务取数接口!$D$100=0,"",[1]财务取数接口!$D$100),""))</f>
        <v/>
      </c>
      <c r="E101" s="40" t="str">
        <f aca="false">IF($T$4=0,IF($L101="","",$L101),IFERROR(IF([1]财务取数接口!$E$100=0,"",[1]财务取数接口!$E$100),""))</f>
        <v>元</v>
      </c>
      <c r="F101" s="41" t="str">
        <f aca="false">IF($T$4=0,IF($M101="","",$M101),IFERROR(IF([1]财务取数接口!$G$100=0,"",[1]财务取数接口!$G$100),""))</f>
        <v/>
      </c>
      <c r="G101" s="41" t="str">
        <f aca="false">IF($T$4=0,IF($N101="","",$N101),IFERROR(IF([1]财务取数接口!$H$100=0,"",[1]财务取数接口!$H$100),""))</f>
        <v/>
      </c>
      <c r="H101" s="39" t="str">
        <f aca="false">IF($T$4=0,IF($O101="","",$O101),IFERROR(IF([1]财务取数接口!$I$100=0,"",[1]财务取数接口!$I$100),""))</f>
        <v/>
      </c>
      <c r="I101" s="42"/>
      <c r="J101" s="43"/>
      <c r="K101" s="42"/>
      <c r="L101" s="42"/>
      <c r="M101" s="44"/>
      <c r="N101" s="44"/>
      <c r="O101" s="43"/>
      <c r="P101" s="45" t="n">
        <f aca="false">IF(AND($C101&lt;&gt;"",$C101&lt;&gt;"项目",OR(N($D101)&lt;&gt;0,N($E101)&lt;&gt;0,N($F101)&lt;&gt;0)),1,0)</f>
        <v>0</v>
      </c>
      <c r="Q101" s="45" t="n">
        <f aca="false">N(Q100)+$P101</f>
        <v>6</v>
      </c>
    </row>
    <row r="102" customFormat="false" ht="13.5" hidden="false" customHeight="false" outlineLevel="0" collapsed="false">
      <c r="A102" s="9" t="n">
        <v>101</v>
      </c>
      <c r="B102" s="38" t="n">
        <f aca="false">IF($T$4=0,IF($I102="","",$I102),IFERROR(IF([1]财务取数接口!$B$101=0,"",[1]财务取数接口!$B$101),""))</f>
        <v>46266</v>
      </c>
      <c r="C102" s="39" t="str">
        <f aca="false">IF($T$4=0,IF($J102="","",$J102),IFERROR(IF([1]财务取数接口!$C$101=0,"",[1]财务取数接口!$C$101),""))</f>
        <v>运费</v>
      </c>
      <c r="D102" s="40" t="str">
        <f aca="false">IF($T$4=0,IF($K102="","",$K102),IFERROR(IF([1]财务取数接口!$D$101=0,"",[1]财务取数接口!$D$101),""))</f>
        <v/>
      </c>
      <c r="E102" s="40" t="str">
        <f aca="false">IF($T$4=0,IF($L102="","",$L102),IFERROR(IF([1]财务取数接口!$E$101=0,"",[1]财务取数接口!$E$101),""))</f>
        <v>元</v>
      </c>
      <c r="F102" s="41" t="n">
        <f aca="false">IF($T$4=0,IF($M102="","",$M102),IFERROR(IF([1]财务取数接口!$G$101=0,"",[1]财务取数接口!$G$101),""))</f>
        <v>352</v>
      </c>
      <c r="G102" s="41" t="str">
        <f aca="false">IF($T$4=0,IF($N102="","",$N102),IFERROR(IF([1]财务取数接口!$H$101=0,"",[1]财务取数接口!$H$101),""))</f>
        <v/>
      </c>
      <c r="H102" s="39" t="str">
        <f aca="false">IF($T$4=0,IF($O102="","",$O102),IFERROR(IF([1]财务取数接口!$I$101=0,"",[1]财务取数接口!$I$101),""))</f>
        <v/>
      </c>
      <c r="I102" s="42"/>
      <c r="J102" s="43"/>
      <c r="K102" s="42"/>
      <c r="L102" s="42"/>
      <c r="M102" s="44"/>
      <c r="N102" s="44"/>
      <c r="O102" s="43"/>
      <c r="P102" s="45" t="n">
        <f aca="false">IF(AND($C102&lt;&gt;"",$C102&lt;&gt;"项目",OR(N($D102)&lt;&gt;0,N($E102)&lt;&gt;0,N($F102)&lt;&gt;0)),1,0)</f>
        <v>1</v>
      </c>
      <c r="Q102" s="45" t="n">
        <f aca="false">N(Q101)+$P102</f>
        <v>7</v>
      </c>
    </row>
    <row r="103" customFormat="false" ht="13.5" hidden="false" customHeight="false" outlineLevel="0" collapsed="false">
      <c r="A103" s="9" t="n">
        <v>102</v>
      </c>
      <c r="B103" s="38" t="n">
        <f aca="false">IF($T$4=0,IF($I103="","",$I103),IFERROR(IF([1]财务取数接口!$B$102=0,"",[1]财务取数接口!$B$102),""))</f>
        <v>46296</v>
      </c>
      <c r="C103" s="39" t="str">
        <f aca="false">IF($T$4=0,IF($J103="","",$J103),IFERROR(IF([1]财务取数接口!$C$102=0,"",[1]财务取数接口!$C$102),""))</f>
        <v>运费</v>
      </c>
      <c r="D103" s="40" t="str">
        <f aca="false">IF($T$4=0,IF($K103="","",$K103),IFERROR(IF([1]财务取数接口!$D$102=0,"",[1]财务取数接口!$D$102),""))</f>
        <v/>
      </c>
      <c r="E103" s="40" t="str">
        <f aca="false">IF($T$4=0,IF($L103="","",$L103),IFERROR(IF([1]财务取数接口!$E$102=0,"",[1]财务取数接口!$E$102),""))</f>
        <v>元</v>
      </c>
      <c r="F103" s="41" t="str">
        <f aca="false">IF($T$4=0,IF($M103="","",$M103),IFERROR(IF([1]财务取数接口!$G$102=0,"",[1]财务取数接口!$G$102),""))</f>
        <v/>
      </c>
      <c r="G103" s="41" t="str">
        <f aca="false">IF($T$4=0,IF($N103="","",$N103),IFERROR(IF([1]财务取数接口!$H$102=0,"",[1]财务取数接口!$H$102),""))</f>
        <v/>
      </c>
      <c r="H103" s="39" t="str">
        <f aca="false">IF($T$4=0,IF($O103="","",$O103),IFERROR(IF([1]财务取数接口!$I$102=0,"",[1]财务取数接口!$I$102),""))</f>
        <v/>
      </c>
      <c r="I103" s="42"/>
      <c r="J103" s="43"/>
      <c r="K103" s="42"/>
      <c r="L103" s="42"/>
      <c r="M103" s="44"/>
      <c r="N103" s="44"/>
      <c r="O103" s="43"/>
      <c r="P103" s="45" t="n">
        <f aca="false">IF(AND($C103&lt;&gt;"",$C103&lt;&gt;"项目",OR(N($D103)&lt;&gt;0,N($E103)&lt;&gt;0,N($F103)&lt;&gt;0)),1,0)</f>
        <v>0</v>
      </c>
      <c r="Q103" s="45" t="n">
        <f aca="false">N(Q102)+$P103</f>
        <v>7</v>
      </c>
    </row>
    <row r="104" customFormat="false" ht="13.5" hidden="false" customHeight="false" outlineLevel="0" collapsed="false">
      <c r="A104" s="9" t="n">
        <v>103</v>
      </c>
      <c r="B104" s="38" t="n">
        <f aca="false">IF($T$4=0,IF($I104="","",$I104),IFERROR(IF([1]财务取数接口!$B$103=0,"",[1]财务取数接口!$B$103),""))</f>
        <v>46327</v>
      </c>
      <c r="C104" s="39" t="str">
        <f aca="false">IF($T$4=0,IF($J104="","",$J104),IFERROR(IF([1]财务取数接口!$C$103=0,"",[1]财务取数接口!$C$103),""))</f>
        <v>运费</v>
      </c>
      <c r="D104" s="40" t="str">
        <f aca="false">IF($T$4=0,IF($K104="","",$K104),IFERROR(IF([1]财务取数接口!$D$103=0,"",[1]财务取数接口!$D$103),""))</f>
        <v/>
      </c>
      <c r="E104" s="40" t="str">
        <f aca="false">IF($T$4=0,IF($L104="","",$L104),IFERROR(IF([1]财务取数接口!$E$103=0,"",[1]财务取数接口!$E$103),""))</f>
        <v>元</v>
      </c>
      <c r="F104" s="41" t="str">
        <f aca="false">IF($T$4=0,IF($M104="","",$M104),IFERROR(IF([1]财务取数接口!$G$103=0,"",[1]财务取数接口!$G$103),""))</f>
        <v/>
      </c>
      <c r="G104" s="41" t="str">
        <f aca="false">IF($T$4=0,IF($N104="","",$N104),IFERROR(IF([1]财务取数接口!$H$103=0,"",[1]财务取数接口!$H$103),""))</f>
        <v/>
      </c>
      <c r="H104" s="39" t="str">
        <f aca="false">IF($T$4=0,IF($O104="","",$O104),IFERROR(IF([1]财务取数接口!$I$103=0,"",[1]财务取数接口!$I$103),""))</f>
        <v/>
      </c>
      <c r="I104" s="42"/>
      <c r="J104" s="43"/>
      <c r="K104" s="42"/>
      <c r="L104" s="42"/>
      <c r="M104" s="44"/>
      <c r="N104" s="44"/>
      <c r="O104" s="43"/>
      <c r="P104" s="45" t="n">
        <f aca="false">IF(AND($C104&lt;&gt;"",$C104&lt;&gt;"项目",OR(N($D104)&lt;&gt;0,N($E104)&lt;&gt;0,N($F104)&lt;&gt;0)),1,0)</f>
        <v>0</v>
      </c>
      <c r="Q104" s="45" t="n">
        <f aca="false">N(Q103)+$P104</f>
        <v>7</v>
      </c>
    </row>
    <row r="105" customFormat="false" ht="13.5" hidden="false" customHeight="false" outlineLevel="0" collapsed="false">
      <c r="A105" s="9" t="n">
        <v>104</v>
      </c>
      <c r="B105" s="38" t="n">
        <f aca="false">IF($T$4=0,IF($I105="","",$I105),IFERROR(IF([1]财务取数接口!$B$104=0,"",[1]财务取数接口!$B$104),""))</f>
        <v>46357</v>
      </c>
      <c r="C105" s="39" t="str">
        <f aca="false">IF($T$4=0,IF($J105="","",$J105),IFERROR(IF([1]财务取数接口!$C$104=0,"",[1]财务取数接口!$C$104),""))</f>
        <v>运费</v>
      </c>
      <c r="D105" s="40" t="str">
        <f aca="false">IF($T$4=0,IF($K105="","",$K105),IFERROR(IF([1]财务取数接口!$D$104=0,"",[1]财务取数接口!$D$104),""))</f>
        <v/>
      </c>
      <c r="E105" s="40" t="str">
        <f aca="false">IF($T$4=0,IF($L105="","",$L105),IFERROR(IF([1]财务取数接口!$E$104=0,"",[1]财务取数接口!$E$104),""))</f>
        <v>元</v>
      </c>
      <c r="F105" s="41" t="str">
        <f aca="false">IF($T$4=0,IF($M105="","",$M105),IFERROR(IF([1]财务取数接口!$G$104=0,"",[1]财务取数接口!$G$104),""))</f>
        <v/>
      </c>
      <c r="G105" s="41" t="str">
        <f aca="false">IF($T$4=0,IF($N105="","",$N105),IFERROR(IF([1]财务取数接口!$H$104=0,"",[1]财务取数接口!$H$104),""))</f>
        <v/>
      </c>
      <c r="H105" s="39" t="str">
        <f aca="false">IF($T$4=0,IF($O105="","",$O105),IFERROR(IF([1]财务取数接口!$I$104=0,"",[1]财务取数接口!$I$104),""))</f>
        <v/>
      </c>
      <c r="I105" s="42"/>
      <c r="J105" s="43"/>
      <c r="K105" s="42"/>
      <c r="L105" s="42"/>
      <c r="M105" s="44"/>
      <c r="N105" s="44"/>
      <c r="O105" s="43"/>
      <c r="P105" s="45" t="n">
        <f aca="false">IF(AND($C105&lt;&gt;"",$C105&lt;&gt;"项目",OR(N($D105)&lt;&gt;0,N($E105)&lt;&gt;0,N($F105)&lt;&gt;0)),1,0)</f>
        <v>0</v>
      </c>
      <c r="Q105" s="45" t="n">
        <f aca="false">N(Q104)+$P105</f>
        <v>7</v>
      </c>
    </row>
    <row r="106" customFormat="false" ht="13.5" hidden="false" customHeight="false" outlineLevel="0" collapsed="false">
      <c r="A106" s="9" t="n">
        <v>105</v>
      </c>
      <c r="B106" s="38" t="n">
        <f aca="false">IF($T$4=0,IF($I106="","",$I106),IFERROR(IF([1]财务取数接口!$B$105=0,"",[1]财务取数接口!$B$105),""))</f>
        <v>46388</v>
      </c>
      <c r="C106" s="39" t="str">
        <f aca="false">IF($T$4=0,IF($J106="","",$J106),IFERROR(IF([1]财务取数接口!$C$105=0,"",[1]财务取数接口!$C$105),""))</f>
        <v>运费</v>
      </c>
      <c r="D106" s="40" t="str">
        <f aca="false">IF($T$4=0,IF($K106="","",$K106),IFERROR(IF([1]财务取数接口!$D$105=0,"",[1]财务取数接口!$D$105),""))</f>
        <v/>
      </c>
      <c r="E106" s="40" t="str">
        <f aca="false">IF($T$4=0,IF($L106="","",$L106),IFERROR(IF([1]财务取数接口!$E$105=0,"",[1]财务取数接口!$E$105),""))</f>
        <v>元</v>
      </c>
      <c r="F106" s="41" t="str">
        <f aca="false">IF($T$4=0,IF($M106="","",$M106),IFERROR(IF([1]财务取数接口!$G$105=0,"",[1]财务取数接口!$G$105),""))</f>
        <v/>
      </c>
      <c r="G106" s="41" t="str">
        <f aca="false">IF($T$4=0,IF($N106="","",$N106),IFERROR(IF([1]财务取数接口!$H$105=0,"",[1]财务取数接口!$H$105),""))</f>
        <v/>
      </c>
      <c r="H106" s="39" t="str">
        <f aca="false">IF($T$4=0,IF($O106="","",$O106),IFERROR(IF([1]财务取数接口!$I$105=0,"",[1]财务取数接口!$I$105),""))</f>
        <v/>
      </c>
      <c r="I106" s="42"/>
      <c r="J106" s="43"/>
      <c r="K106" s="42"/>
      <c r="L106" s="42"/>
      <c r="M106" s="44"/>
      <c r="N106" s="44"/>
      <c r="O106" s="43"/>
      <c r="P106" s="45" t="n">
        <f aca="false">IF(AND($C106&lt;&gt;"",$C106&lt;&gt;"项目",OR(N($D106)&lt;&gt;0,N($E106)&lt;&gt;0,N($F106)&lt;&gt;0)),1,0)</f>
        <v>0</v>
      </c>
      <c r="Q106" s="45" t="n">
        <f aca="false">N(Q105)+$P106</f>
        <v>7</v>
      </c>
    </row>
    <row r="107" customFormat="false" ht="13.5" hidden="false" customHeight="false" outlineLevel="0" collapsed="false">
      <c r="A107" s="9" t="n">
        <v>106</v>
      </c>
      <c r="B107" s="38" t="n">
        <f aca="false">IF($T$4=0,IF($I107="","",$I107),IFERROR(IF([1]财务取数接口!$B$106=0,"",[1]财务取数接口!$B$106),""))</f>
        <v>46419</v>
      </c>
      <c r="C107" s="39" t="str">
        <f aca="false">IF($T$4=0,IF($J107="","",$J107),IFERROR(IF([1]财务取数接口!$C$106=0,"",[1]财务取数接口!$C$106),""))</f>
        <v>运费</v>
      </c>
      <c r="D107" s="40" t="str">
        <f aca="false">IF($T$4=0,IF($K107="","",$K107),IFERROR(IF([1]财务取数接口!$D$106=0,"",[1]财务取数接口!$D$106),""))</f>
        <v/>
      </c>
      <c r="E107" s="40" t="str">
        <f aca="false">IF($T$4=0,IF($L107="","",$L107),IFERROR(IF([1]财务取数接口!$E$106=0,"",[1]财务取数接口!$E$106),""))</f>
        <v>元</v>
      </c>
      <c r="F107" s="41" t="str">
        <f aca="false">IF($T$4=0,IF($M107="","",$M107),IFERROR(IF([1]财务取数接口!$G$106=0,"",[1]财务取数接口!$G$106),""))</f>
        <v/>
      </c>
      <c r="G107" s="41" t="str">
        <f aca="false">IF($T$4=0,IF($N107="","",$N107),IFERROR(IF([1]财务取数接口!$H$106=0,"",[1]财务取数接口!$H$106),""))</f>
        <v/>
      </c>
      <c r="H107" s="39" t="str">
        <f aca="false">IF($T$4=0,IF($O107="","",$O107),IFERROR(IF([1]财务取数接口!$I$106=0,"",[1]财务取数接口!$I$106),""))</f>
        <v/>
      </c>
      <c r="I107" s="42"/>
      <c r="J107" s="43"/>
      <c r="K107" s="42"/>
      <c r="L107" s="42"/>
      <c r="M107" s="44"/>
      <c r="N107" s="44"/>
      <c r="O107" s="43"/>
      <c r="P107" s="45" t="n">
        <f aca="false">IF(AND($C107&lt;&gt;"",$C107&lt;&gt;"项目",OR(N($D107)&lt;&gt;0,N($E107)&lt;&gt;0,N($F107)&lt;&gt;0)),1,0)</f>
        <v>0</v>
      </c>
      <c r="Q107" s="45" t="n">
        <f aca="false">N(Q106)+$P107</f>
        <v>7</v>
      </c>
    </row>
    <row r="108" customFormat="false" ht="13.5" hidden="false" customHeight="false" outlineLevel="0" collapsed="false">
      <c r="A108" s="9" t="n">
        <v>107</v>
      </c>
      <c r="B108" s="38" t="n">
        <f aca="false">IF($T$4=0,IF($I108="","",$I108),IFERROR(IF([1]财务取数接口!$B$107=0,"",[1]财务取数接口!$B$107),""))</f>
        <v>46447</v>
      </c>
      <c r="C108" s="39" t="str">
        <f aca="false">IF($T$4=0,IF($J108="","",$J108),IFERROR(IF([1]财务取数接口!$C$107=0,"",[1]财务取数接口!$C$107),""))</f>
        <v>运费</v>
      </c>
      <c r="D108" s="40" t="str">
        <f aca="false">IF($T$4=0,IF($K108="","",$K108),IFERROR(IF([1]财务取数接口!$D$107=0,"",[1]财务取数接口!$D$107),""))</f>
        <v/>
      </c>
      <c r="E108" s="40" t="str">
        <f aca="false">IF($T$4=0,IF($L108="","",$L108),IFERROR(IF([1]财务取数接口!$E$107=0,"",[1]财务取数接口!$E$107),""))</f>
        <v>元</v>
      </c>
      <c r="F108" s="41" t="str">
        <f aca="false">IF($T$4=0,IF($M108="","",$M108),IFERROR(IF([1]财务取数接口!$G$107=0,"",[1]财务取数接口!$G$107),""))</f>
        <v/>
      </c>
      <c r="G108" s="41" t="str">
        <f aca="false">IF($T$4=0,IF($N108="","",$N108),IFERROR(IF([1]财务取数接口!$H$107=0,"",[1]财务取数接口!$H$107),""))</f>
        <v/>
      </c>
      <c r="H108" s="39" t="str">
        <f aca="false">IF($T$4=0,IF($O108="","",$O108),IFERROR(IF([1]财务取数接口!$I$107=0,"",[1]财务取数接口!$I$107),""))</f>
        <v/>
      </c>
      <c r="I108" s="42"/>
      <c r="J108" s="43"/>
      <c r="K108" s="42"/>
      <c r="L108" s="42"/>
      <c r="M108" s="44"/>
      <c r="N108" s="44"/>
      <c r="O108" s="43"/>
      <c r="P108" s="45" t="n">
        <f aca="false">IF(AND($C108&lt;&gt;"",$C108&lt;&gt;"项目",OR(N($D108)&lt;&gt;0,N($E108)&lt;&gt;0,N($F108)&lt;&gt;0)),1,0)</f>
        <v>0</v>
      </c>
      <c r="Q108" s="45" t="n">
        <f aca="false">N(Q107)+$P108</f>
        <v>7</v>
      </c>
    </row>
    <row r="109" customFormat="false" ht="13.5" hidden="false" customHeight="false" outlineLevel="0" collapsed="false">
      <c r="A109" s="9" t="n">
        <v>108</v>
      </c>
      <c r="B109" s="38" t="n">
        <f aca="false">IF($T$4=0,IF($I109="","",$I109),IFERROR(IF([1]财务取数接口!$B$108=0,"",[1]财务取数接口!$B$108),""))</f>
        <v>46478</v>
      </c>
      <c r="C109" s="39" t="str">
        <f aca="false">IF($T$4=0,IF($J109="","",$J109),IFERROR(IF([1]财务取数接口!$C$108=0,"",[1]财务取数接口!$C$108),""))</f>
        <v>运费</v>
      </c>
      <c r="D109" s="40" t="str">
        <f aca="false">IF($T$4=0,IF($K109="","",$K109),IFERROR(IF([1]财务取数接口!$D$108=0,"",[1]财务取数接口!$D$108),""))</f>
        <v/>
      </c>
      <c r="E109" s="40" t="str">
        <f aca="false">IF($T$4=0,IF($L109="","",$L109),IFERROR(IF([1]财务取数接口!$E$108=0,"",[1]财务取数接口!$E$108),""))</f>
        <v>元</v>
      </c>
      <c r="F109" s="41" t="str">
        <f aca="false">IF($T$4=0,IF($M109="","",$M109),IFERROR(IF([1]财务取数接口!$G$108=0,"",[1]财务取数接口!$G$108),""))</f>
        <v/>
      </c>
      <c r="G109" s="41" t="str">
        <f aca="false">IF($T$4=0,IF($N109="","",$N109),IFERROR(IF([1]财务取数接口!$H$108=0,"",[1]财务取数接口!$H$108),""))</f>
        <v/>
      </c>
      <c r="H109" s="39" t="str">
        <f aca="false">IF($T$4=0,IF($O109="","",$O109),IFERROR(IF([1]财务取数接口!$I$108=0,"",[1]财务取数接口!$I$108),""))</f>
        <v/>
      </c>
      <c r="I109" s="42"/>
      <c r="J109" s="43"/>
      <c r="K109" s="42"/>
      <c r="L109" s="42"/>
      <c r="M109" s="44"/>
      <c r="N109" s="44"/>
      <c r="O109" s="43"/>
      <c r="P109" s="45" t="n">
        <f aca="false">IF(AND($C109&lt;&gt;"",$C109&lt;&gt;"项目",OR(N($D109)&lt;&gt;0,N($E109)&lt;&gt;0,N($F109)&lt;&gt;0)),1,0)</f>
        <v>0</v>
      </c>
      <c r="Q109" s="45" t="n">
        <f aca="false">N(Q108)+$P109</f>
        <v>7</v>
      </c>
    </row>
    <row r="110" customFormat="false" ht="13.5" hidden="false" customHeight="false" outlineLevel="0" collapsed="false">
      <c r="A110" s="9" t="n">
        <v>109</v>
      </c>
      <c r="B110" s="38" t="n">
        <f aca="false">IF($T$4=0,IF($I110="","",$I110),IFERROR(IF([1]财务取数接口!$B$109=0,"",[1]财务取数接口!$B$109),""))</f>
        <v>46508</v>
      </c>
      <c r="C110" s="39" t="str">
        <f aca="false">IF($T$4=0,IF($J110="","",$J110),IFERROR(IF([1]财务取数接口!$C$109=0,"",[1]财务取数接口!$C$109),""))</f>
        <v>运费</v>
      </c>
      <c r="D110" s="40" t="str">
        <f aca="false">IF($T$4=0,IF($K110="","",$K110),IFERROR(IF([1]财务取数接口!$D$109=0,"",[1]财务取数接口!$D$109),""))</f>
        <v/>
      </c>
      <c r="E110" s="40" t="str">
        <f aca="false">IF($T$4=0,IF($L110="","",$L110),IFERROR(IF([1]财务取数接口!$E$109=0,"",[1]财务取数接口!$E$109),""))</f>
        <v>元</v>
      </c>
      <c r="F110" s="41" t="str">
        <f aca="false">IF($T$4=0,IF($M110="","",$M110),IFERROR(IF([1]财务取数接口!$G$109=0,"",[1]财务取数接口!$G$109),""))</f>
        <v/>
      </c>
      <c r="G110" s="41" t="str">
        <f aca="false">IF($T$4=0,IF($N110="","",$N110),IFERROR(IF([1]财务取数接口!$H$109=0,"",[1]财务取数接口!$H$109),""))</f>
        <v/>
      </c>
      <c r="H110" s="39" t="str">
        <f aca="false">IF($T$4=0,IF($O110="","",$O110),IFERROR(IF([1]财务取数接口!$I$109=0,"",[1]财务取数接口!$I$109),""))</f>
        <v/>
      </c>
      <c r="I110" s="42"/>
      <c r="J110" s="43"/>
      <c r="K110" s="42"/>
      <c r="L110" s="42"/>
      <c r="M110" s="44"/>
      <c r="N110" s="44"/>
      <c r="O110" s="43"/>
      <c r="P110" s="45" t="n">
        <f aca="false">IF(AND($C110&lt;&gt;"",$C110&lt;&gt;"项目",OR(N($D110)&lt;&gt;0,N($E110)&lt;&gt;0,N($F110)&lt;&gt;0)),1,0)</f>
        <v>0</v>
      </c>
      <c r="Q110" s="45" t="n">
        <f aca="false">N(Q109)+$P110</f>
        <v>7</v>
      </c>
    </row>
    <row r="111" customFormat="false" ht="13.5" hidden="false" customHeight="false" outlineLevel="0" collapsed="false">
      <c r="A111" s="9" t="n">
        <v>110</v>
      </c>
      <c r="B111" s="38" t="n">
        <f aca="false">IF($T$4=0,IF($I111="","",$I111),IFERROR(IF([1]财务取数接口!$B$110=0,"",[1]财务取数接口!$B$110),""))</f>
        <v>46539</v>
      </c>
      <c r="C111" s="39" t="str">
        <f aca="false">IF($T$4=0,IF($J111="","",$J111),IFERROR(IF([1]财务取数接口!$C$110=0,"",[1]财务取数接口!$C$110),""))</f>
        <v>运费</v>
      </c>
      <c r="D111" s="40" t="str">
        <f aca="false">IF($T$4=0,IF($K111="","",$K111),IFERROR(IF([1]财务取数接口!$D$110=0,"",[1]财务取数接口!$D$110),""))</f>
        <v/>
      </c>
      <c r="E111" s="40" t="str">
        <f aca="false">IF($T$4=0,IF($L111="","",$L111),IFERROR(IF([1]财务取数接口!$E$110=0,"",[1]财务取数接口!$E$110),""))</f>
        <v>元</v>
      </c>
      <c r="F111" s="41" t="str">
        <f aca="false">IF($T$4=0,IF($M111="","",$M111),IFERROR(IF([1]财务取数接口!$G$110=0,"",[1]财务取数接口!$G$110),""))</f>
        <v/>
      </c>
      <c r="G111" s="41" t="str">
        <f aca="false">IF($T$4=0,IF($N111="","",$N111),IFERROR(IF([1]财务取数接口!$H$110=0,"",[1]财务取数接口!$H$110),""))</f>
        <v/>
      </c>
      <c r="H111" s="39" t="str">
        <f aca="false">IF($T$4=0,IF($O111="","",$O111),IFERROR(IF([1]财务取数接口!$I$110=0,"",[1]财务取数接口!$I$110),""))</f>
        <v/>
      </c>
      <c r="I111" s="42"/>
      <c r="J111" s="43"/>
      <c r="K111" s="42"/>
      <c r="L111" s="42"/>
      <c r="M111" s="44"/>
      <c r="N111" s="44"/>
      <c r="O111" s="43"/>
      <c r="P111" s="45" t="n">
        <f aca="false">IF(AND($C111&lt;&gt;"",$C111&lt;&gt;"项目",OR(N($D111)&lt;&gt;0,N($E111)&lt;&gt;0,N($F111)&lt;&gt;0)),1,0)</f>
        <v>0</v>
      </c>
      <c r="Q111" s="45" t="n">
        <f aca="false">N(Q110)+$P111</f>
        <v>7</v>
      </c>
    </row>
    <row r="112" customFormat="false" ht="13.5" hidden="false" customHeight="false" outlineLevel="0" collapsed="false">
      <c r="A112" s="9" t="n">
        <v>111</v>
      </c>
      <c r="B112" s="38" t="n">
        <f aca="false">IF($T$4=0,IF($I112="","",$I112),IFERROR(IF([1]财务取数接口!$B$111=0,"",[1]财务取数接口!$B$111),""))</f>
        <v>46569</v>
      </c>
      <c r="C112" s="39" t="str">
        <f aca="false">IF($T$4=0,IF($J112="","",$J112),IFERROR(IF([1]财务取数接口!$C$111=0,"",[1]财务取数接口!$C$111),""))</f>
        <v>运费</v>
      </c>
      <c r="D112" s="40" t="str">
        <f aca="false">IF($T$4=0,IF($K112="","",$K112),IFERROR(IF([1]财务取数接口!$D$111=0,"",[1]财务取数接口!$D$111),""))</f>
        <v/>
      </c>
      <c r="E112" s="40" t="str">
        <f aca="false">IF($T$4=0,IF($L112="","",$L112),IFERROR(IF([1]财务取数接口!$E$111=0,"",[1]财务取数接口!$E$111),""))</f>
        <v>元</v>
      </c>
      <c r="F112" s="41" t="str">
        <f aca="false">IF($T$4=0,IF($M112="","",$M112),IFERROR(IF([1]财务取数接口!$G$111=0,"",[1]财务取数接口!$G$111),""))</f>
        <v/>
      </c>
      <c r="G112" s="41" t="str">
        <f aca="false">IF($T$4=0,IF($N112="","",$N112),IFERROR(IF([1]财务取数接口!$H$111=0,"",[1]财务取数接口!$H$111),""))</f>
        <v/>
      </c>
      <c r="H112" s="39" t="str">
        <f aca="false">IF($T$4=0,IF($O112="","",$O112),IFERROR(IF([1]财务取数接口!$I$111=0,"",[1]财务取数接口!$I$111),""))</f>
        <v/>
      </c>
      <c r="I112" s="42"/>
      <c r="J112" s="43"/>
      <c r="K112" s="42"/>
      <c r="L112" s="42"/>
      <c r="M112" s="44"/>
      <c r="N112" s="44"/>
      <c r="O112" s="43"/>
      <c r="P112" s="45" t="n">
        <f aca="false">IF(AND($C112&lt;&gt;"",$C112&lt;&gt;"项目",OR(N($D112)&lt;&gt;0,N($E112)&lt;&gt;0,N($F112)&lt;&gt;0)),1,0)</f>
        <v>0</v>
      </c>
      <c r="Q112" s="45" t="n">
        <f aca="false">N(Q111)+$P112</f>
        <v>7</v>
      </c>
    </row>
    <row r="113" customFormat="false" ht="13.5" hidden="false" customHeight="false" outlineLevel="0" collapsed="false">
      <c r="A113" s="9" t="n">
        <v>112</v>
      </c>
      <c r="B113" s="38" t="n">
        <f aca="false">IF($T$4=0,IF($I113="","",$I113),IFERROR(IF([1]财务取数接口!$B$112=0,"",[1]财务取数接口!$B$112),""))</f>
        <v>46600</v>
      </c>
      <c r="C113" s="39" t="str">
        <f aca="false">IF($T$4=0,IF($J113="","",$J113),IFERROR(IF([1]财务取数接口!$C$112=0,"",[1]财务取数接口!$C$112),""))</f>
        <v>运费</v>
      </c>
      <c r="D113" s="40" t="str">
        <f aca="false">IF($T$4=0,IF($K113="","",$K113),IFERROR(IF([1]财务取数接口!$D$112=0,"",[1]财务取数接口!$D$112),""))</f>
        <v/>
      </c>
      <c r="E113" s="40" t="str">
        <f aca="false">IF($T$4=0,IF($L113="","",$L113),IFERROR(IF([1]财务取数接口!$E$112=0,"",[1]财务取数接口!$E$112),""))</f>
        <v>元</v>
      </c>
      <c r="F113" s="41" t="str">
        <f aca="false">IF($T$4=0,IF($M113="","",$M113),IFERROR(IF([1]财务取数接口!$G$112=0,"",[1]财务取数接口!$G$112),""))</f>
        <v/>
      </c>
      <c r="G113" s="41" t="str">
        <f aca="false">IF($T$4=0,IF($N113="","",$N113),IFERROR(IF([1]财务取数接口!$H$112=0,"",[1]财务取数接口!$H$112),""))</f>
        <v/>
      </c>
      <c r="H113" s="39" t="str">
        <f aca="false">IF($T$4=0,IF($O113="","",$O113),IFERROR(IF([1]财务取数接口!$I$112=0,"",[1]财务取数接口!$I$112),""))</f>
        <v/>
      </c>
      <c r="I113" s="42"/>
      <c r="J113" s="43"/>
      <c r="K113" s="42"/>
      <c r="L113" s="42"/>
      <c r="M113" s="44"/>
      <c r="N113" s="44"/>
      <c r="O113" s="43"/>
      <c r="P113" s="45" t="n">
        <f aca="false">IF(AND($C113&lt;&gt;"",$C113&lt;&gt;"项目",OR(N($D113)&lt;&gt;0,N($E113)&lt;&gt;0,N($F113)&lt;&gt;0)),1,0)</f>
        <v>0</v>
      </c>
      <c r="Q113" s="45" t="n">
        <f aca="false">N(Q112)+$P113</f>
        <v>7</v>
      </c>
    </row>
    <row r="114" customFormat="false" ht="13.5" hidden="false" customHeight="false" outlineLevel="0" collapsed="false">
      <c r="A114" s="9" t="n">
        <v>113</v>
      </c>
      <c r="B114" s="38" t="n">
        <f aca="false">IF($T$4=0,IF($I114="","",$I114),IFERROR(IF([1]财务取数接口!$B$113=0,"",[1]财务取数接口!$B$113),""))</f>
        <v>46631</v>
      </c>
      <c r="C114" s="39" t="str">
        <f aca="false">IF($T$4=0,IF($J114="","",$J114),IFERROR(IF([1]财务取数接口!$C$113=0,"",[1]财务取数接口!$C$113),""))</f>
        <v>运费</v>
      </c>
      <c r="D114" s="40" t="str">
        <f aca="false">IF($T$4=0,IF($K114="","",$K114),IFERROR(IF([1]财务取数接口!$D$113=0,"",[1]财务取数接口!$D$113),""))</f>
        <v/>
      </c>
      <c r="E114" s="40" t="str">
        <f aca="false">IF($T$4=0,IF($L114="","",$L114),IFERROR(IF([1]财务取数接口!$E$113=0,"",[1]财务取数接口!$E$113),""))</f>
        <v>元</v>
      </c>
      <c r="F114" s="41" t="str">
        <f aca="false">IF($T$4=0,IF($M114="","",$M114),IFERROR(IF([1]财务取数接口!$G$113=0,"",[1]财务取数接口!$G$113),""))</f>
        <v/>
      </c>
      <c r="G114" s="41" t="str">
        <f aca="false">IF($T$4=0,IF($N114="","",$N114),IFERROR(IF([1]财务取数接口!$H$113=0,"",[1]财务取数接口!$H$113),""))</f>
        <v/>
      </c>
      <c r="H114" s="39" t="str">
        <f aca="false">IF($T$4=0,IF($O114="","",$O114),IFERROR(IF([1]财务取数接口!$I$113=0,"",[1]财务取数接口!$I$113),""))</f>
        <v/>
      </c>
      <c r="I114" s="42"/>
      <c r="J114" s="43"/>
      <c r="K114" s="42"/>
      <c r="L114" s="42"/>
      <c r="M114" s="44"/>
      <c r="N114" s="44"/>
      <c r="O114" s="43"/>
      <c r="P114" s="45" t="n">
        <f aca="false">IF(AND($C114&lt;&gt;"",$C114&lt;&gt;"项目",OR(N($D114)&lt;&gt;0,N($E114)&lt;&gt;0,N($F114)&lt;&gt;0)),1,0)</f>
        <v>0</v>
      </c>
      <c r="Q114" s="45" t="n">
        <f aca="false">N(Q113)+$P114</f>
        <v>7</v>
      </c>
    </row>
    <row r="115" customFormat="false" ht="13.5" hidden="false" customHeight="false" outlineLevel="0" collapsed="false">
      <c r="A115" s="9" t="n">
        <v>114</v>
      </c>
      <c r="B115" s="38" t="n">
        <f aca="false">IF($T$4=0,IF($I115="","",$I115),IFERROR(IF([1]财务取数接口!$B$114=0,"",[1]财务取数接口!$B$114),""))</f>
        <v>46661</v>
      </c>
      <c r="C115" s="39" t="str">
        <f aca="false">IF($T$4=0,IF($J115="","",$J115),IFERROR(IF([1]财务取数接口!$C$114=0,"",[1]财务取数接口!$C$114),""))</f>
        <v>运费</v>
      </c>
      <c r="D115" s="40" t="str">
        <f aca="false">IF($T$4=0,IF($K115="","",$K115),IFERROR(IF([1]财务取数接口!$D$114=0,"",[1]财务取数接口!$D$114),""))</f>
        <v/>
      </c>
      <c r="E115" s="40" t="str">
        <f aca="false">IF($T$4=0,IF($L115="","",$L115),IFERROR(IF([1]财务取数接口!$E$114=0,"",[1]财务取数接口!$E$114),""))</f>
        <v>元</v>
      </c>
      <c r="F115" s="41" t="str">
        <f aca="false">IF($T$4=0,IF($M115="","",$M115),IFERROR(IF([1]财务取数接口!$G$114=0,"",[1]财务取数接口!$G$114),""))</f>
        <v/>
      </c>
      <c r="G115" s="41" t="str">
        <f aca="false">IF($T$4=0,IF($N115="","",$N115),IFERROR(IF([1]财务取数接口!$H$114=0,"",[1]财务取数接口!$H$114),""))</f>
        <v/>
      </c>
      <c r="H115" s="39" t="str">
        <f aca="false">IF($T$4=0,IF($O115="","",$O115),IFERROR(IF([1]财务取数接口!$I$114=0,"",[1]财务取数接口!$I$114),""))</f>
        <v/>
      </c>
      <c r="I115" s="42"/>
      <c r="J115" s="43"/>
      <c r="K115" s="42"/>
      <c r="L115" s="42"/>
      <c r="M115" s="44"/>
      <c r="N115" s="44"/>
      <c r="O115" s="43"/>
      <c r="P115" s="45" t="n">
        <f aca="false">IF(AND($C115&lt;&gt;"",$C115&lt;&gt;"项目",OR(N($D115)&lt;&gt;0,N($E115)&lt;&gt;0,N($F115)&lt;&gt;0)),1,0)</f>
        <v>0</v>
      </c>
      <c r="Q115" s="45" t="n">
        <f aca="false">N(Q114)+$P115</f>
        <v>7</v>
      </c>
    </row>
    <row r="116" customFormat="false" ht="13.5" hidden="false" customHeight="false" outlineLevel="0" collapsed="false">
      <c r="A116" s="9" t="n">
        <v>115</v>
      </c>
      <c r="B116" s="38" t="n">
        <f aca="false">IF($T$4=0,IF($I116="","",$I116),IFERROR(IF([1]财务取数接口!$B$115=0,"",[1]财务取数接口!$B$115),""))</f>
        <v>46692</v>
      </c>
      <c r="C116" s="39" t="str">
        <f aca="false">IF($T$4=0,IF($J116="","",$J116),IFERROR(IF([1]财务取数接口!$C$115=0,"",[1]财务取数接口!$C$115),""))</f>
        <v>运费</v>
      </c>
      <c r="D116" s="40" t="str">
        <f aca="false">IF($T$4=0,IF($K116="","",$K116),IFERROR(IF([1]财务取数接口!$D$115=0,"",[1]财务取数接口!$D$115),""))</f>
        <v/>
      </c>
      <c r="E116" s="40" t="str">
        <f aca="false">IF($T$4=0,IF($L116="","",$L116),IFERROR(IF([1]财务取数接口!$E$115=0,"",[1]财务取数接口!$E$115),""))</f>
        <v>元</v>
      </c>
      <c r="F116" s="41" t="str">
        <f aca="false">IF($T$4=0,IF($M116="","",$M116),IFERROR(IF([1]财务取数接口!$G$115=0,"",[1]财务取数接口!$G$115),""))</f>
        <v/>
      </c>
      <c r="G116" s="41" t="str">
        <f aca="false">IF($T$4=0,IF($N116="","",$N116),IFERROR(IF([1]财务取数接口!$H$115=0,"",[1]财务取数接口!$H$115),""))</f>
        <v/>
      </c>
      <c r="H116" s="39" t="str">
        <f aca="false">IF($T$4=0,IF($O116="","",$O116),IFERROR(IF([1]财务取数接口!$I$115=0,"",[1]财务取数接口!$I$115),""))</f>
        <v/>
      </c>
      <c r="I116" s="42"/>
      <c r="J116" s="43"/>
      <c r="K116" s="42"/>
      <c r="L116" s="42"/>
      <c r="M116" s="44"/>
      <c r="N116" s="44"/>
      <c r="O116" s="43"/>
      <c r="P116" s="45" t="n">
        <f aca="false">IF(AND($C116&lt;&gt;"",$C116&lt;&gt;"项目",OR(N($D116)&lt;&gt;0,N($E116)&lt;&gt;0,N($F116)&lt;&gt;0)),1,0)</f>
        <v>0</v>
      </c>
      <c r="Q116" s="45" t="n">
        <f aca="false">N(Q115)+$P116</f>
        <v>7</v>
      </c>
    </row>
    <row r="117" customFormat="false" ht="13.5" hidden="false" customHeight="false" outlineLevel="0" collapsed="false">
      <c r="A117" s="9" t="n">
        <v>116</v>
      </c>
      <c r="B117" s="38" t="n">
        <f aca="false">IF($T$4=0,IF($I117="","",$I117),IFERROR(IF([1]财务取数接口!$B$116=0,"",[1]财务取数接口!$B$116),""))</f>
        <v>46722</v>
      </c>
      <c r="C117" s="39" t="str">
        <f aca="false">IF($T$4=0,IF($J117="","",$J117),IFERROR(IF([1]财务取数接口!$C$116=0,"",[1]财务取数接口!$C$116),""))</f>
        <v>运费</v>
      </c>
      <c r="D117" s="40" t="str">
        <f aca="false">IF($T$4=0,IF($K117="","",$K117),IFERROR(IF([1]财务取数接口!$D$116=0,"",[1]财务取数接口!$D$116),""))</f>
        <v/>
      </c>
      <c r="E117" s="40" t="str">
        <f aca="false">IF($T$4=0,IF($L117="","",$L117),IFERROR(IF([1]财务取数接口!$E$116=0,"",[1]财务取数接口!$E$116),""))</f>
        <v>元</v>
      </c>
      <c r="F117" s="41" t="str">
        <f aca="false">IF($T$4=0,IF($M117="","",$M117),IFERROR(IF([1]财务取数接口!$G$116=0,"",[1]财务取数接口!$G$116),""))</f>
        <v/>
      </c>
      <c r="G117" s="41" t="str">
        <f aca="false">IF($T$4=0,IF($N117="","",$N117),IFERROR(IF([1]财务取数接口!$H$116=0,"",[1]财务取数接口!$H$116),""))</f>
        <v/>
      </c>
      <c r="H117" s="39" t="str">
        <f aca="false">IF($T$4=0,IF($O117="","",$O117),IFERROR(IF([1]财务取数接口!$I$116=0,"",[1]财务取数接口!$I$116),""))</f>
        <v/>
      </c>
      <c r="I117" s="42"/>
      <c r="J117" s="43"/>
      <c r="K117" s="42"/>
      <c r="L117" s="42"/>
      <c r="M117" s="44"/>
      <c r="N117" s="44"/>
      <c r="O117" s="43"/>
      <c r="P117" s="45" t="n">
        <f aca="false">IF(AND($C117&lt;&gt;"",$C117&lt;&gt;"项目",OR(N($D117)&lt;&gt;0,N($E117)&lt;&gt;0,N($F117)&lt;&gt;0)),1,0)</f>
        <v>0</v>
      </c>
      <c r="Q117" s="45" t="n">
        <f aca="false">N(Q116)+$P117</f>
        <v>7</v>
      </c>
    </row>
    <row r="118" customFormat="false" ht="13.5" hidden="false" customHeight="false" outlineLevel="0" collapsed="false">
      <c r="A118" s="9" t="n">
        <v>117</v>
      </c>
      <c r="B118" s="38" t="n">
        <f aca="false">IF($T$4=0,IF($I118="","",$I118),IFERROR(IF([1]财务取数接口!$B$117=0,"",[1]财务取数接口!$B$117),""))</f>
        <v>46753</v>
      </c>
      <c r="C118" s="39" t="str">
        <f aca="false">IF($T$4=0,IF($J118="","",$J118),IFERROR(IF([1]财务取数接口!$C$117=0,"",[1]财务取数接口!$C$117),""))</f>
        <v>运费</v>
      </c>
      <c r="D118" s="40" t="str">
        <f aca="false">IF($T$4=0,IF($K118="","",$K118),IFERROR(IF([1]财务取数接口!$D$117=0,"",[1]财务取数接口!$D$117),""))</f>
        <v/>
      </c>
      <c r="E118" s="40" t="str">
        <f aca="false">IF($T$4=0,IF($L118="","",$L118),IFERROR(IF([1]财务取数接口!$E$117=0,"",[1]财务取数接口!$E$117),""))</f>
        <v>元</v>
      </c>
      <c r="F118" s="41" t="str">
        <f aca="false">IF($T$4=0,IF($M118="","",$M118),IFERROR(IF([1]财务取数接口!$G$117=0,"",[1]财务取数接口!$G$117),""))</f>
        <v/>
      </c>
      <c r="G118" s="41" t="str">
        <f aca="false">IF($T$4=0,IF($N118="","",$N118),IFERROR(IF([1]财务取数接口!$H$117=0,"",[1]财务取数接口!$H$117),""))</f>
        <v/>
      </c>
      <c r="H118" s="39" t="str">
        <f aca="false">IF($T$4=0,IF($O118="","",$O118),IFERROR(IF([1]财务取数接口!$I$117=0,"",[1]财务取数接口!$I$117),""))</f>
        <v/>
      </c>
      <c r="I118" s="42"/>
      <c r="J118" s="43"/>
      <c r="K118" s="42"/>
      <c r="L118" s="42"/>
      <c r="M118" s="44"/>
      <c r="N118" s="44"/>
      <c r="O118" s="43"/>
      <c r="P118" s="45" t="n">
        <f aca="false">IF(AND($C118&lt;&gt;"",$C118&lt;&gt;"项目",OR(N($D118)&lt;&gt;0,N($E118)&lt;&gt;0,N($F118)&lt;&gt;0)),1,0)</f>
        <v>0</v>
      </c>
      <c r="Q118" s="45" t="n">
        <f aca="false">N(Q117)+$P118</f>
        <v>7</v>
      </c>
    </row>
    <row r="119" customFormat="false" ht="13.5" hidden="false" customHeight="false" outlineLevel="0" collapsed="false">
      <c r="A119" s="9" t="n">
        <v>118</v>
      </c>
      <c r="B119" s="38" t="n">
        <f aca="false">IF($T$4=0,IF($I119="","",$I119),IFERROR(IF([1]财务取数接口!$B$118=0,"",[1]财务取数接口!$B$118),""))</f>
        <v>46784</v>
      </c>
      <c r="C119" s="39" t="str">
        <f aca="false">IF($T$4=0,IF($J119="","",$J119),IFERROR(IF([1]财务取数接口!$C$118=0,"",[1]财务取数接口!$C$118),""))</f>
        <v>运费</v>
      </c>
      <c r="D119" s="40" t="str">
        <f aca="false">IF($T$4=0,IF($K119="","",$K119),IFERROR(IF([1]财务取数接口!$D$118=0,"",[1]财务取数接口!$D$118),""))</f>
        <v/>
      </c>
      <c r="E119" s="40" t="str">
        <f aca="false">IF($T$4=0,IF($L119="","",$L119),IFERROR(IF([1]财务取数接口!$E$118=0,"",[1]财务取数接口!$E$118),""))</f>
        <v>元</v>
      </c>
      <c r="F119" s="41" t="str">
        <f aca="false">IF($T$4=0,IF($M119="","",$M119),IFERROR(IF([1]财务取数接口!$G$118=0,"",[1]财务取数接口!$G$118),""))</f>
        <v/>
      </c>
      <c r="G119" s="41" t="str">
        <f aca="false">IF($T$4=0,IF($N119="","",$N119),IFERROR(IF([1]财务取数接口!$H$118=0,"",[1]财务取数接口!$H$118),""))</f>
        <v/>
      </c>
      <c r="H119" s="39" t="str">
        <f aca="false">IF($T$4=0,IF($O119="","",$O119),IFERROR(IF([1]财务取数接口!$I$118=0,"",[1]财务取数接口!$I$118),""))</f>
        <v/>
      </c>
      <c r="I119" s="42"/>
      <c r="J119" s="43"/>
      <c r="K119" s="42"/>
      <c r="L119" s="42"/>
      <c r="M119" s="44"/>
      <c r="N119" s="44"/>
      <c r="O119" s="43"/>
      <c r="P119" s="45" t="n">
        <f aca="false">IF(AND($C119&lt;&gt;"",$C119&lt;&gt;"项目",OR(N($D119)&lt;&gt;0,N($E119)&lt;&gt;0,N($F119)&lt;&gt;0)),1,0)</f>
        <v>0</v>
      </c>
      <c r="Q119" s="45" t="n">
        <f aca="false">N(Q118)+$P119</f>
        <v>7</v>
      </c>
    </row>
    <row r="120" customFormat="false" ht="13.5" hidden="false" customHeight="false" outlineLevel="0" collapsed="false">
      <c r="A120" s="9" t="n">
        <v>119</v>
      </c>
      <c r="B120" s="38" t="n">
        <f aca="false">IF($T$4=0,IF($I120="","",$I120),IFERROR(IF([1]财务取数接口!$B$119=0,"",[1]财务取数接口!$B$119),""))</f>
        <v>46813</v>
      </c>
      <c r="C120" s="39" t="str">
        <f aca="false">IF($T$4=0,IF($J120="","",$J120),IFERROR(IF([1]财务取数接口!$C$119=0,"",[1]财务取数接口!$C$119),""))</f>
        <v>运费</v>
      </c>
      <c r="D120" s="40" t="str">
        <f aca="false">IF($T$4=0,IF($K120="","",$K120),IFERROR(IF([1]财务取数接口!$D$119=0,"",[1]财务取数接口!$D$119),""))</f>
        <v/>
      </c>
      <c r="E120" s="40" t="str">
        <f aca="false">IF($T$4=0,IF($L120="","",$L120),IFERROR(IF([1]财务取数接口!$E$119=0,"",[1]财务取数接口!$E$119),""))</f>
        <v>元</v>
      </c>
      <c r="F120" s="41" t="str">
        <f aca="false">IF($T$4=0,IF($M120="","",$M120),IFERROR(IF([1]财务取数接口!$G$119=0,"",[1]财务取数接口!$G$119),""))</f>
        <v/>
      </c>
      <c r="G120" s="41" t="str">
        <f aca="false">IF($T$4=0,IF($N120="","",$N120),IFERROR(IF([1]财务取数接口!$H$119=0,"",[1]财务取数接口!$H$119),""))</f>
        <v/>
      </c>
      <c r="H120" s="39" t="str">
        <f aca="false">IF($T$4=0,IF($O120="","",$O120),IFERROR(IF([1]财务取数接口!$I$119=0,"",[1]财务取数接口!$I$119),""))</f>
        <v/>
      </c>
      <c r="I120" s="42"/>
      <c r="J120" s="43"/>
      <c r="K120" s="42"/>
      <c r="L120" s="42"/>
      <c r="M120" s="44"/>
      <c r="N120" s="44"/>
      <c r="O120" s="43"/>
      <c r="P120" s="45" t="n">
        <f aca="false">IF(AND($C120&lt;&gt;"",$C120&lt;&gt;"项目",OR(N($D120)&lt;&gt;0,N($E120)&lt;&gt;0,N($F120)&lt;&gt;0)),1,0)</f>
        <v>0</v>
      </c>
      <c r="Q120" s="45" t="n">
        <f aca="false">N(Q119)+$P120</f>
        <v>7</v>
      </c>
    </row>
    <row r="121" customFormat="false" ht="13.5" hidden="false" customHeight="false" outlineLevel="0" collapsed="false">
      <c r="A121" s="9" t="n">
        <v>120</v>
      </c>
      <c r="B121" s="38" t="n">
        <f aca="false">IF($T$4=0,IF($I121="","",$I121),IFERROR(IF([1]财务取数接口!$B$120=0,"",[1]财务取数接口!$B$120),""))</f>
        <v>46844</v>
      </c>
      <c r="C121" s="39" t="str">
        <f aca="false">IF($T$4=0,IF($J121="","",$J121),IFERROR(IF([1]财务取数接口!$C$120=0,"",[1]财务取数接口!$C$120),""))</f>
        <v>运费</v>
      </c>
      <c r="D121" s="40" t="str">
        <f aca="false">IF($T$4=0,IF($K121="","",$K121),IFERROR(IF([1]财务取数接口!$D$120=0,"",[1]财务取数接口!$D$120),""))</f>
        <v/>
      </c>
      <c r="E121" s="40" t="str">
        <f aca="false">IF($T$4=0,IF($L121="","",$L121),IFERROR(IF([1]财务取数接口!$E$120=0,"",[1]财务取数接口!$E$120),""))</f>
        <v>元</v>
      </c>
      <c r="F121" s="41" t="str">
        <f aca="false">IF($T$4=0,IF($M121="","",$M121),IFERROR(IF([1]财务取数接口!$G$120=0,"",[1]财务取数接口!$G$120),""))</f>
        <v/>
      </c>
      <c r="G121" s="41" t="str">
        <f aca="false">IF($T$4=0,IF($N121="","",$N121),IFERROR(IF([1]财务取数接口!$H$120=0,"",[1]财务取数接口!$H$120),""))</f>
        <v/>
      </c>
      <c r="H121" s="39" t="str">
        <f aca="false">IF($T$4=0,IF($O121="","",$O121),IFERROR(IF([1]财务取数接口!$I$120=0,"",[1]财务取数接口!$I$120),""))</f>
        <v/>
      </c>
      <c r="I121" s="42"/>
      <c r="J121" s="43"/>
      <c r="K121" s="42"/>
      <c r="L121" s="42"/>
      <c r="M121" s="44"/>
      <c r="N121" s="44"/>
      <c r="O121" s="43"/>
      <c r="P121" s="45" t="n">
        <f aca="false">IF(AND($C121&lt;&gt;"",$C121&lt;&gt;"项目",OR(N($D121)&lt;&gt;0,N($E121)&lt;&gt;0,N($F121)&lt;&gt;0)),1,0)</f>
        <v>0</v>
      </c>
      <c r="Q121" s="45" t="n">
        <f aca="false">N(Q120)+$P121</f>
        <v>7</v>
      </c>
    </row>
    <row r="122" customFormat="false" ht="13.5" hidden="false" customHeight="false" outlineLevel="0" collapsed="false">
      <c r="A122" s="9" t="n">
        <v>121</v>
      </c>
      <c r="B122" s="38" t="n">
        <f aca="false">IF($T$4=0,IF($I122="","",$I122),IFERROR(IF([1]财务取数接口!$B$121=0,"",[1]财务取数接口!$B$121),""))</f>
        <v>46874</v>
      </c>
      <c r="C122" s="39" t="str">
        <f aca="false">IF($T$4=0,IF($J122="","",$J122),IFERROR(IF([1]财务取数接口!$C$121=0,"",[1]财务取数接口!$C$121),""))</f>
        <v>运费</v>
      </c>
      <c r="D122" s="40" t="str">
        <f aca="false">IF($T$4=0,IF($K122="","",$K122),IFERROR(IF([1]财务取数接口!$D$121=0,"",[1]财务取数接口!$D$121),""))</f>
        <v/>
      </c>
      <c r="E122" s="40" t="str">
        <f aca="false">IF($T$4=0,IF($L122="","",$L122),IFERROR(IF([1]财务取数接口!$E$121=0,"",[1]财务取数接口!$E$121),""))</f>
        <v>元</v>
      </c>
      <c r="F122" s="41" t="str">
        <f aca="false">IF($T$4=0,IF($M122="","",$M122),IFERROR(IF([1]财务取数接口!$G$121=0,"",[1]财务取数接口!$G$121),""))</f>
        <v/>
      </c>
      <c r="G122" s="41" t="str">
        <f aca="false">IF($T$4=0,IF($N122="","",$N122),IFERROR(IF([1]财务取数接口!$H$121=0,"",[1]财务取数接口!$H$121),""))</f>
        <v/>
      </c>
      <c r="H122" s="39" t="str">
        <f aca="false">IF($T$4=0,IF($O122="","",$O122),IFERROR(IF([1]财务取数接口!$I$121=0,"",[1]财务取数接口!$I$121),""))</f>
        <v/>
      </c>
      <c r="I122" s="42"/>
      <c r="J122" s="43"/>
      <c r="K122" s="42"/>
      <c r="L122" s="42"/>
      <c r="M122" s="44"/>
      <c r="N122" s="44"/>
      <c r="O122" s="43"/>
      <c r="P122" s="45" t="n">
        <f aca="false">IF(AND($C122&lt;&gt;"",$C122&lt;&gt;"项目",OR(N($D122)&lt;&gt;0,N($E122)&lt;&gt;0,N($F122)&lt;&gt;0)),1,0)</f>
        <v>0</v>
      </c>
      <c r="Q122" s="45" t="n">
        <f aca="false">N(Q121)+$P122</f>
        <v>7</v>
      </c>
    </row>
    <row r="123" customFormat="false" ht="13.5" hidden="false" customHeight="false" outlineLevel="0" collapsed="false">
      <c r="A123" s="9" t="n">
        <v>122</v>
      </c>
      <c r="B123" s="38" t="n">
        <f aca="false">IF($T$4=0,IF($I123="","",$I123),IFERROR(IF([1]财务取数接口!$B$122=0,"",[1]财务取数接口!$B$122),""))</f>
        <v>46905</v>
      </c>
      <c r="C123" s="39" t="str">
        <f aca="false">IF($T$4=0,IF($J123="","",$J123),IFERROR(IF([1]财务取数接口!$C$122=0,"",[1]财务取数接口!$C$122),""))</f>
        <v>运费</v>
      </c>
      <c r="D123" s="40" t="str">
        <f aca="false">IF($T$4=0,IF($K123="","",$K123),IFERROR(IF([1]财务取数接口!$D$122=0,"",[1]财务取数接口!$D$122),""))</f>
        <v/>
      </c>
      <c r="E123" s="40" t="str">
        <f aca="false">IF($T$4=0,IF($L123="","",$L123),IFERROR(IF([1]财务取数接口!$E$122=0,"",[1]财务取数接口!$E$122),""))</f>
        <v>元</v>
      </c>
      <c r="F123" s="41" t="str">
        <f aca="false">IF($T$4=0,IF($M123="","",$M123),IFERROR(IF([1]财务取数接口!$G$122=0,"",[1]财务取数接口!$G$122),""))</f>
        <v/>
      </c>
      <c r="G123" s="41" t="str">
        <f aca="false">IF($T$4=0,IF($N123="","",$N123),IFERROR(IF([1]财务取数接口!$H$122=0,"",[1]财务取数接口!$H$122),""))</f>
        <v/>
      </c>
      <c r="H123" s="39" t="str">
        <f aca="false">IF($T$4=0,IF($O123="","",$O123),IFERROR(IF([1]财务取数接口!$I$122=0,"",[1]财务取数接口!$I$122),""))</f>
        <v/>
      </c>
      <c r="I123" s="42"/>
      <c r="J123" s="43"/>
      <c r="K123" s="42"/>
      <c r="L123" s="42"/>
      <c r="M123" s="44"/>
      <c r="N123" s="44"/>
      <c r="O123" s="43"/>
      <c r="P123" s="45" t="n">
        <f aca="false">IF(AND($C123&lt;&gt;"",$C123&lt;&gt;"项目",OR(N($D123)&lt;&gt;0,N($E123)&lt;&gt;0,N($F123)&lt;&gt;0)),1,0)</f>
        <v>0</v>
      </c>
      <c r="Q123" s="45" t="n">
        <f aca="false">N(Q122)+$P123</f>
        <v>7</v>
      </c>
    </row>
    <row r="124" customFormat="false" ht="13.5" hidden="false" customHeight="false" outlineLevel="0" collapsed="false">
      <c r="A124" s="9" t="n">
        <v>123</v>
      </c>
      <c r="B124" s="38" t="n">
        <f aca="false">IF($T$4=0,IF($I124="","",$I124),IFERROR(IF([1]财务取数接口!$B$123=0,"",[1]财务取数接口!$B$123),""))</f>
        <v>46935</v>
      </c>
      <c r="C124" s="39" t="str">
        <f aca="false">IF($T$4=0,IF($J124="","",$J124),IFERROR(IF([1]财务取数接口!$C$123=0,"",[1]财务取数接口!$C$123),""))</f>
        <v>运费</v>
      </c>
      <c r="D124" s="40" t="str">
        <f aca="false">IF($T$4=0,IF($K124="","",$K124),IFERROR(IF([1]财务取数接口!$D$123=0,"",[1]财务取数接口!$D$123),""))</f>
        <v/>
      </c>
      <c r="E124" s="40" t="str">
        <f aca="false">IF($T$4=0,IF($L124="","",$L124),IFERROR(IF([1]财务取数接口!$E$123=0,"",[1]财务取数接口!$E$123),""))</f>
        <v>元</v>
      </c>
      <c r="F124" s="41" t="str">
        <f aca="false">IF($T$4=0,IF($M124="","",$M124),IFERROR(IF([1]财务取数接口!$G$123=0,"",[1]财务取数接口!$G$123),""))</f>
        <v/>
      </c>
      <c r="G124" s="41" t="str">
        <f aca="false">IF($T$4=0,IF($N124="","",$N124),IFERROR(IF([1]财务取数接口!$H$123=0,"",[1]财务取数接口!$H$123),""))</f>
        <v/>
      </c>
      <c r="H124" s="39" t="str">
        <f aca="false">IF($T$4=0,IF($O124="","",$O124),IFERROR(IF([1]财务取数接口!$I$123=0,"",[1]财务取数接口!$I$123),""))</f>
        <v/>
      </c>
      <c r="I124" s="42"/>
      <c r="J124" s="43"/>
      <c r="K124" s="42"/>
      <c r="L124" s="42"/>
      <c r="M124" s="44"/>
      <c r="N124" s="44"/>
      <c r="O124" s="43"/>
      <c r="P124" s="45" t="n">
        <f aca="false">IF(AND($C124&lt;&gt;"",$C124&lt;&gt;"项目",OR(N($D124)&lt;&gt;0,N($E124)&lt;&gt;0,N($F124)&lt;&gt;0)),1,0)</f>
        <v>0</v>
      </c>
      <c r="Q124" s="45" t="n">
        <f aca="false">N(Q123)+$P124</f>
        <v>7</v>
      </c>
    </row>
    <row r="125" customFormat="false" ht="13.5" hidden="false" customHeight="false" outlineLevel="0" collapsed="false">
      <c r="A125" s="9" t="n">
        <v>124</v>
      </c>
      <c r="B125" s="38" t="n">
        <f aca="false">IF($T$4=0,IF($I125="","",$I125),IFERROR(IF([1]财务取数接口!$B$124=0,"",[1]财务取数接口!$B$124),""))</f>
        <v>46235</v>
      </c>
      <c r="C125" s="39" t="str">
        <f aca="false">IF($T$4=0,IF($J125="","",$J125),IFERROR(IF([1]财务取数接口!$C$124=0,"",[1]财务取数接口!$C$124),""))</f>
        <v>其他服务费</v>
      </c>
      <c r="D125" s="40" t="str">
        <f aca="false">IF($T$4=0,IF($K125="","",$K125),IFERROR(IF([1]财务取数接口!$D$124=0,"",[1]财务取数接口!$D$124),""))</f>
        <v/>
      </c>
      <c r="E125" s="40" t="str">
        <f aca="false">IF($T$4=0,IF($L125="","",$L125),IFERROR(IF([1]财务取数接口!$E$124=0,"",[1]财务取数接口!$E$124),""))</f>
        <v>元</v>
      </c>
      <c r="F125" s="41" t="str">
        <f aca="false">IF($T$4=0,IF($M125="","",$M125),IFERROR(IF([1]财务取数接口!$G$124=0,"",[1]财务取数接口!$G$124),""))</f>
        <v/>
      </c>
      <c r="G125" s="41" t="str">
        <f aca="false">IF($T$4=0,IF($N125="","",$N125),IFERROR(IF([1]财务取数接口!$H$124=0,"",[1]财务取数接口!$H$124),""))</f>
        <v/>
      </c>
      <c r="H125" s="39" t="str">
        <f aca="false">IF($T$4=0,IF($O125="","",$O125),IFERROR(IF([1]财务取数接口!$I$124=0,"",[1]财务取数接口!$I$124),""))</f>
        <v/>
      </c>
      <c r="I125" s="42"/>
      <c r="J125" s="43"/>
      <c r="K125" s="42"/>
      <c r="L125" s="42"/>
      <c r="M125" s="44"/>
      <c r="N125" s="44"/>
      <c r="O125" s="43"/>
      <c r="P125" s="45" t="n">
        <f aca="false">IF(AND($C125&lt;&gt;"",$C125&lt;&gt;"项目",OR(N($D125)&lt;&gt;0,N($E125)&lt;&gt;0,N($F125)&lt;&gt;0)),1,0)</f>
        <v>0</v>
      </c>
      <c r="Q125" s="45" t="n">
        <f aca="false">N(Q124)+$P125</f>
        <v>7</v>
      </c>
    </row>
    <row r="126" customFormat="false" ht="13.5" hidden="false" customHeight="false" outlineLevel="0" collapsed="false">
      <c r="A126" s="9" t="n">
        <v>125</v>
      </c>
      <c r="B126" s="38" t="n">
        <f aca="false">IF($T$4=0,IF($I126="","",$I126),IFERROR(IF([1]财务取数接口!$B$125=0,"",[1]财务取数接口!$B$125),""))</f>
        <v>46266</v>
      </c>
      <c r="C126" s="39" t="str">
        <f aca="false">IF($T$4=0,IF($J126="","",$J126),IFERROR(IF([1]财务取数接口!$C$125=0,"",[1]财务取数接口!$C$125),""))</f>
        <v>其他服务费</v>
      </c>
      <c r="D126" s="40" t="str">
        <f aca="false">IF($T$4=0,IF($K126="","",$K126),IFERROR(IF([1]财务取数接口!$D$125=0,"",[1]财务取数接口!$D$125),""))</f>
        <v/>
      </c>
      <c r="E126" s="40" t="str">
        <f aca="false">IF($T$4=0,IF($L126="","",$L126),IFERROR(IF([1]财务取数接口!$E$125=0,"",[1]财务取数接口!$E$125),""))</f>
        <v>元</v>
      </c>
      <c r="F126" s="41" t="str">
        <f aca="false">IF($T$4=0,IF($M126="","",$M126),IFERROR(IF([1]财务取数接口!$G$125=0,"",[1]财务取数接口!$G$125),""))</f>
        <v/>
      </c>
      <c r="G126" s="41" t="str">
        <f aca="false">IF($T$4=0,IF($N126="","",$N126),IFERROR(IF([1]财务取数接口!$H$125=0,"",[1]财务取数接口!$H$125),""))</f>
        <v/>
      </c>
      <c r="H126" s="39" t="str">
        <f aca="false">IF($T$4=0,IF($O126="","",$O126),IFERROR(IF([1]财务取数接口!$I$125=0,"",[1]财务取数接口!$I$125),""))</f>
        <v/>
      </c>
      <c r="I126" s="42"/>
      <c r="J126" s="43"/>
      <c r="K126" s="42"/>
      <c r="L126" s="42"/>
      <c r="M126" s="44"/>
      <c r="N126" s="44"/>
      <c r="O126" s="43"/>
      <c r="P126" s="45" t="n">
        <f aca="false">IF(AND($C126&lt;&gt;"",$C126&lt;&gt;"项目",OR(N($D126)&lt;&gt;0,N($E126)&lt;&gt;0,N($F126)&lt;&gt;0)),1,0)</f>
        <v>0</v>
      </c>
      <c r="Q126" s="45" t="n">
        <f aca="false">N(Q125)+$P126</f>
        <v>7</v>
      </c>
    </row>
    <row r="127" customFormat="false" ht="13.5" hidden="false" customHeight="false" outlineLevel="0" collapsed="false">
      <c r="A127" s="9" t="n">
        <v>126</v>
      </c>
      <c r="B127" s="38" t="n">
        <f aca="false">IF($T$4=0,IF($I127="","",$I127),IFERROR(IF([1]财务取数接口!$B$126=0,"",[1]财务取数接口!$B$126),""))</f>
        <v>46296</v>
      </c>
      <c r="C127" s="39" t="str">
        <f aca="false">IF($T$4=0,IF($J127="","",$J127),IFERROR(IF([1]财务取数接口!$C$126=0,"",[1]财务取数接口!$C$126),""))</f>
        <v>其他服务费</v>
      </c>
      <c r="D127" s="40" t="str">
        <f aca="false">IF($T$4=0,IF($K127="","",$K127),IFERROR(IF([1]财务取数接口!$D$126=0,"",[1]财务取数接口!$D$126),""))</f>
        <v/>
      </c>
      <c r="E127" s="40" t="str">
        <f aca="false">IF($T$4=0,IF($L127="","",$L127),IFERROR(IF([1]财务取数接口!$E$126=0,"",[1]财务取数接口!$E$126),""))</f>
        <v>元</v>
      </c>
      <c r="F127" s="41" t="str">
        <f aca="false">IF($T$4=0,IF($M127="","",$M127),IFERROR(IF([1]财务取数接口!$G$126=0,"",[1]财务取数接口!$G$126),""))</f>
        <v/>
      </c>
      <c r="G127" s="41" t="str">
        <f aca="false">IF($T$4=0,IF($N127="","",$N127),IFERROR(IF([1]财务取数接口!$H$126=0,"",[1]财务取数接口!$H$126),""))</f>
        <v/>
      </c>
      <c r="H127" s="39" t="str">
        <f aca="false">IF($T$4=0,IF($O127="","",$O127),IFERROR(IF([1]财务取数接口!$I$126=0,"",[1]财务取数接口!$I$126),""))</f>
        <v/>
      </c>
      <c r="I127" s="42"/>
      <c r="J127" s="43"/>
      <c r="K127" s="42"/>
      <c r="L127" s="42"/>
      <c r="M127" s="44"/>
      <c r="N127" s="44"/>
      <c r="O127" s="43"/>
      <c r="P127" s="45" t="n">
        <f aca="false">IF(AND($C127&lt;&gt;"",$C127&lt;&gt;"项目",OR(N($D127)&lt;&gt;0,N($E127)&lt;&gt;0,N($F127)&lt;&gt;0)),1,0)</f>
        <v>0</v>
      </c>
      <c r="Q127" s="45" t="n">
        <f aca="false">N(Q126)+$P127</f>
        <v>7</v>
      </c>
    </row>
    <row r="128" customFormat="false" ht="13.5" hidden="false" customHeight="false" outlineLevel="0" collapsed="false">
      <c r="A128" s="9" t="n">
        <v>127</v>
      </c>
      <c r="B128" s="38" t="n">
        <f aca="false">IF($T$4=0,IF($I128="","",$I128),IFERROR(IF([1]财务取数接口!$B$127=0,"",[1]财务取数接口!$B$127),""))</f>
        <v>46327</v>
      </c>
      <c r="C128" s="39" t="str">
        <f aca="false">IF($T$4=0,IF($J128="","",$J128),IFERROR(IF([1]财务取数接口!$C$127=0,"",[1]财务取数接口!$C$127),""))</f>
        <v>其他服务费</v>
      </c>
      <c r="D128" s="40" t="str">
        <f aca="false">IF($T$4=0,IF($K128="","",$K128),IFERROR(IF([1]财务取数接口!$D$127=0,"",[1]财务取数接口!$D$127),""))</f>
        <v/>
      </c>
      <c r="E128" s="40" t="str">
        <f aca="false">IF($T$4=0,IF($L128="","",$L128),IFERROR(IF([1]财务取数接口!$E$127=0,"",[1]财务取数接口!$E$127),""))</f>
        <v>元</v>
      </c>
      <c r="F128" s="41" t="str">
        <f aca="false">IF($T$4=0,IF($M128="","",$M128),IFERROR(IF([1]财务取数接口!$G$127=0,"",[1]财务取数接口!$G$127),""))</f>
        <v/>
      </c>
      <c r="G128" s="41" t="str">
        <f aca="false">IF($T$4=0,IF($N128="","",$N128),IFERROR(IF([1]财务取数接口!$H$127=0,"",[1]财务取数接口!$H$127),""))</f>
        <v/>
      </c>
      <c r="H128" s="39" t="str">
        <f aca="false">IF($T$4=0,IF($O128="","",$O128),IFERROR(IF([1]财务取数接口!$I$127=0,"",[1]财务取数接口!$I$127),""))</f>
        <v/>
      </c>
      <c r="I128" s="42"/>
      <c r="J128" s="43"/>
      <c r="K128" s="42"/>
      <c r="L128" s="42"/>
      <c r="M128" s="44"/>
      <c r="N128" s="44"/>
      <c r="O128" s="43"/>
      <c r="P128" s="45" t="n">
        <f aca="false">IF(AND($C128&lt;&gt;"",$C128&lt;&gt;"项目",OR(N($D128)&lt;&gt;0,N($E128)&lt;&gt;0,N($F128)&lt;&gt;0)),1,0)</f>
        <v>0</v>
      </c>
      <c r="Q128" s="45" t="n">
        <f aca="false">N(Q127)+$P128</f>
        <v>7</v>
      </c>
    </row>
    <row r="129" customFormat="false" ht="13.5" hidden="false" customHeight="false" outlineLevel="0" collapsed="false">
      <c r="A129" s="9" t="n">
        <v>128</v>
      </c>
      <c r="B129" s="38" t="n">
        <f aca="false">IF($T$4=0,IF($I129="","",$I129),IFERROR(IF([1]财务取数接口!$B$128=0,"",[1]财务取数接口!$B$128),""))</f>
        <v>46357</v>
      </c>
      <c r="C129" s="39" t="str">
        <f aca="false">IF($T$4=0,IF($J129="","",$J129),IFERROR(IF([1]财务取数接口!$C$128=0,"",[1]财务取数接口!$C$128),""))</f>
        <v>其他服务费</v>
      </c>
      <c r="D129" s="40" t="str">
        <f aca="false">IF($T$4=0,IF($K129="","",$K129),IFERROR(IF([1]财务取数接口!$D$128=0,"",[1]财务取数接口!$D$128),""))</f>
        <v/>
      </c>
      <c r="E129" s="40" t="str">
        <f aca="false">IF($T$4=0,IF($L129="","",$L129),IFERROR(IF([1]财务取数接口!$E$128=0,"",[1]财务取数接口!$E$128),""))</f>
        <v>元</v>
      </c>
      <c r="F129" s="41" t="str">
        <f aca="false">IF($T$4=0,IF($M129="","",$M129),IFERROR(IF([1]财务取数接口!$G$128=0,"",[1]财务取数接口!$G$128),""))</f>
        <v/>
      </c>
      <c r="G129" s="41" t="str">
        <f aca="false">IF($T$4=0,IF($N129="","",$N129),IFERROR(IF([1]财务取数接口!$H$128=0,"",[1]财务取数接口!$H$128),""))</f>
        <v/>
      </c>
      <c r="H129" s="39" t="str">
        <f aca="false">IF($T$4=0,IF($O129="","",$O129),IFERROR(IF([1]财务取数接口!$I$128=0,"",[1]财务取数接口!$I$128),""))</f>
        <v/>
      </c>
      <c r="I129" s="42"/>
      <c r="J129" s="43"/>
      <c r="K129" s="42"/>
      <c r="L129" s="42"/>
      <c r="M129" s="44"/>
      <c r="N129" s="44"/>
      <c r="O129" s="43"/>
      <c r="P129" s="45" t="n">
        <f aca="false">IF(AND($C129&lt;&gt;"",$C129&lt;&gt;"项目",OR(N($D129)&lt;&gt;0,N($E129)&lt;&gt;0,N($F129)&lt;&gt;0)),1,0)</f>
        <v>0</v>
      </c>
      <c r="Q129" s="45" t="n">
        <f aca="false">N(Q128)+$P129</f>
        <v>7</v>
      </c>
    </row>
    <row r="130" customFormat="false" ht="13.5" hidden="false" customHeight="false" outlineLevel="0" collapsed="false">
      <c r="A130" s="9" t="n">
        <v>129</v>
      </c>
      <c r="B130" s="38" t="n">
        <f aca="false">IF($T$4=0,IF($I130="","",$I130),IFERROR(IF([1]财务取数接口!$B$129=0,"",[1]财务取数接口!$B$129),""))</f>
        <v>46388</v>
      </c>
      <c r="C130" s="39" t="str">
        <f aca="false">IF($T$4=0,IF($J130="","",$J130),IFERROR(IF([1]财务取数接口!$C$129=0,"",[1]财务取数接口!$C$129),""))</f>
        <v>其他服务费</v>
      </c>
      <c r="D130" s="40" t="str">
        <f aca="false">IF($T$4=0,IF($K130="","",$K130),IFERROR(IF([1]财务取数接口!$D$129=0,"",[1]财务取数接口!$D$129),""))</f>
        <v/>
      </c>
      <c r="E130" s="40" t="str">
        <f aca="false">IF($T$4=0,IF($L130="","",$L130),IFERROR(IF([1]财务取数接口!$E$129=0,"",[1]财务取数接口!$E$129),""))</f>
        <v>元</v>
      </c>
      <c r="F130" s="41" t="str">
        <f aca="false">IF($T$4=0,IF($M130="","",$M130),IFERROR(IF([1]财务取数接口!$G$129=0,"",[1]财务取数接口!$G$129),""))</f>
        <v/>
      </c>
      <c r="G130" s="41" t="str">
        <f aca="false">IF($T$4=0,IF($N130="","",$N130),IFERROR(IF([1]财务取数接口!$H$129=0,"",[1]财务取数接口!$H$129),""))</f>
        <v/>
      </c>
      <c r="H130" s="39" t="str">
        <f aca="false">IF($T$4=0,IF($O130="","",$O130),IFERROR(IF([1]财务取数接口!$I$129=0,"",[1]财务取数接口!$I$129),""))</f>
        <v/>
      </c>
      <c r="I130" s="42"/>
      <c r="J130" s="43"/>
      <c r="K130" s="42"/>
      <c r="L130" s="42"/>
      <c r="M130" s="44"/>
      <c r="N130" s="44"/>
      <c r="O130" s="43"/>
      <c r="P130" s="45" t="n">
        <f aca="false">IF(AND($C130&lt;&gt;"",$C130&lt;&gt;"项目",OR(N($D130)&lt;&gt;0,N($E130)&lt;&gt;0,N($F130)&lt;&gt;0)),1,0)</f>
        <v>0</v>
      </c>
      <c r="Q130" s="45" t="n">
        <f aca="false">N(Q129)+$P130</f>
        <v>7</v>
      </c>
    </row>
    <row r="131" customFormat="false" ht="13.5" hidden="false" customHeight="false" outlineLevel="0" collapsed="false">
      <c r="A131" s="9" t="n">
        <v>130</v>
      </c>
      <c r="B131" s="38" t="n">
        <f aca="false">IF($T$4=0,IF($I131="","",$I131),IFERROR(IF([1]财务取数接口!$B$130=0,"",[1]财务取数接口!$B$130),""))</f>
        <v>46419</v>
      </c>
      <c r="C131" s="39" t="str">
        <f aca="false">IF($T$4=0,IF($J131="","",$J131),IFERROR(IF([1]财务取数接口!$C$130=0,"",[1]财务取数接口!$C$130),""))</f>
        <v>其他服务费</v>
      </c>
      <c r="D131" s="40" t="str">
        <f aca="false">IF($T$4=0,IF($K131="","",$K131),IFERROR(IF([1]财务取数接口!$D$130=0,"",[1]财务取数接口!$D$130),""))</f>
        <v/>
      </c>
      <c r="E131" s="40" t="str">
        <f aca="false">IF($T$4=0,IF($L131="","",$L131),IFERROR(IF([1]财务取数接口!$E$130=0,"",[1]财务取数接口!$E$130),""))</f>
        <v>元</v>
      </c>
      <c r="F131" s="41" t="str">
        <f aca="false">IF($T$4=0,IF($M131="","",$M131),IFERROR(IF([1]财务取数接口!$G$130=0,"",[1]财务取数接口!$G$130),""))</f>
        <v/>
      </c>
      <c r="G131" s="41" t="str">
        <f aca="false">IF($T$4=0,IF($N131="","",$N131),IFERROR(IF([1]财务取数接口!$H$130=0,"",[1]财务取数接口!$H$130),""))</f>
        <v/>
      </c>
      <c r="H131" s="39" t="str">
        <f aca="false">IF($T$4=0,IF($O131="","",$O131),IFERROR(IF([1]财务取数接口!$I$130=0,"",[1]财务取数接口!$I$130),""))</f>
        <v/>
      </c>
      <c r="I131" s="42"/>
      <c r="J131" s="43"/>
      <c r="K131" s="42"/>
      <c r="L131" s="42"/>
      <c r="M131" s="44"/>
      <c r="N131" s="44"/>
      <c r="O131" s="43"/>
      <c r="P131" s="45" t="n">
        <f aca="false">IF(AND($C131&lt;&gt;"",$C131&lt;&gt;"项目",OR(N($D131)&lt;&gt;0,N($E131)&lt;&gt;0,N($F131)&lt;&gt;0)),1,0)</f>
        <v>0</v>
      </c>
      <c r="Q131" s="45" t="n">
        <f aca="false">N(Q130)+$P131</f>
        <v>7</v>
      </c>
    </row>
    <row r="132" customFormat="false" ht="13.5" hidden="false" customHeight="false" outlineLevel="0" collapsed="false">
      <c r="A132" s="9" t="n">
        <v>131</v>
      </c>
      <c r="B132" s="38" t="n">
        <f aca="false">IF($T$4=0,IF($I132="","",$I132),IFERROR(IF([1]财务取数接口!$B$131=0,"",[1]财务取数接口!$B$131),""))</f>
        <v>46447</v>
      </c>
      <c r="C132" s="39" t="str">
        <f aca="false">IF($T$4=0,IF($J132="","",$J132),IFERROR(IF([1]财务取数接口!$C$131=0,"",[1]财务取数接口!$C$131),""))</f>
        <v>其他服务费</v>
      </c>
      <c r="D132" s="40" t="str">
        <f aca="false">IF($T$4=0,IF($K132="","",$K132),IFERROR(IF([1]财务取数接口!$D$131=0,"",[1]财务取数接口!$D$131),""))</f>
        <v/>
      </c>
      <c r="E132" s="40" t="str">
        <f aca="false">IF($T$4=0,IF($L132="","",$L132),IFERROR(IF([1]财务取数接口!$E$131=0,"",[1]财务取数接口!$E$131),""))</f>
        <v>元</v>
      </c>
      <c r="F132" s="41" t="str">
        <f aca="false">IF($T$4=0,IF($M132="","",$M132),IFERROR(IF([1]财务取数接口!$G$131=0,"",[1]财务取数接口!$G$131),""))</f>
        <v/>
      </c>
      <c r="G132" s="41" t="str">
        <f aca="false">IF($T$4=0,IF($N132="","",$N132),IFERROR(IF([1]财务取数接口!$H$131=0,"",[1]财务取数接口!$H$131),""))</f>
        <v/>
      </c>
      <c r="H132" s="39" t="str">
        <f aca="false">IF($T$4=0,IF($O132="","",$O132),IFERROR(IF([1]财务取数接口!$I$131=0,"",[1]财务取数接口!$I$131),""))</f>
        <v/>
      </c>
      <c r="I132" s="42"/>
      <c r="J132" s="43"/>
      <c r="K132" s="42"/>
      <c r="L132" s="42"/>
      <c r="M132" s="44"/>
      <c r="N132" s="44"/>
      <c r="O132" s="43"/>
      <c r="P132" s="45" t="n">
        <f aca="false">IF(AND($C132&lt;&gt;"",$C132&lt;&gt;"项目",OR(N($D132)&lt;&gt;0,N($E132)&lt;&gt;0,N($F132)&lt;&gt;0)),1,0)</f>
        <v>0</v>
      </c>
      <c r="Q132" s="45" t="n">
        <f aca="false">N(Q131)+$P132</f>
        <v>7</v>
      </c>
    </row>
    <row r="133" customFormat="false" ht="13.5" hidden="false" customHeight="false" outlineLevel="0" collapsed="false">
      <c r="A133" s="9" t="n">
        <v>132</v>
      </c>
      <c r="B133" s="38" t="n">
        <f aca="false">IF($T$4=0,IF($I133="","",$I133),IFERROR(IF([1]财务取数接口!$B$132=0,"",[1]财务取数接口!$B$132),""))</f>
        <v>46478</v>
      </c>
      <c r="C133" s="39" t="str">
        <f aca="false">IF($T$4=0,IF($J133="","",$J133),IFERROR(IF([1]财务取数接口!$C$132=0,"",[1]财务取数接口!$C$132),""))</f>
        <v>其他服务费</v>
      </c>
      <c r="D133" s="40" t="str">
        <f aca="false">IF($T$4=0,IF($K133="","",$K133),IFERROR(IF([1]财务取数接口!$D$132=0,"",[1]财务取数接口!$D$132),""))</f>
        <v/>
      </c>
      <c r="E133" s="40" t="str">
        <f aca="false">IF($T$4=0,IF($L133="","",$L133),IFERROR(IF([1]财务取数接口!$E$132=0,"",[1]财务取数接口!$E$132),""))</f>
        <v>元</v>
      </c>
      <c r="F133" s="41" t="str">
        <f aca="false">IF($T$4=0,IF($M133="","",$M133),IFERROR(IF([1]财务取数接口!$G$132=0,"",[1]财务取数接口!$G$132),""))</f>
        <v/>
      </c>
      <c r="G133" s="41" t="str">
        <f aca="false">IF($T$4=0,IF($N133="","",$N133),IFERROR(IF([1]财务取数接口!$H$132=0,"",[1]财务取数接口!$H$132),""))</f>
        <v/>
      </c>
      <c r="H133" s="39" t="str">
        <f aca="false">IF($T$4=0,IF($O133="","",$O133),IFERROR(IF([1]财务取数接口!$I$132=0,"",[1]财务取数接口!$I$132),""))</f>
        <v/>
      </c>
      <c r="I133" s="42"/>
      <c r="J133" s="43"/>
      <c r="K133" s="42"/>
      <c r="L133" s="42"/>
      <c r="M133" s="44"/>
      <c r="N133" s="44"/>
      <c r="O133" s="43"/>
      <c r="P133" s="45" t="n">
        <f aca="false">IF(AND($C133&lt;&gt;"",$C133&lt;&gt;"项目",OR(N($D133)&lt;&gt;0,N($E133)&lt;&gt;0,N($F133)&lt;&gt;0)),1,0)</f>
        <v>0</v>
      </c>
      <c r="Q133" s="45" t="n">
        <f aca="false">N(Q132)+$P133</f>
        <v>7</v>
      </c>
    </row>
    <row r="134" customFormat="false" ht="13.5" hidden="false" customHeight="false" outlineLevel="0" collapsed="false">
      <c r="A134" s="9" t="n">
        <v>133</v>
      </c>
      <c r="B134" s="38" t="n">
        <f aca="false">IF($T$4=0,IF($I134="","",$I134),IFERROR(IF([1]财务取数接口!$B$133=0,"",[1]财务取数接口!$B$133),""))</f>
        <v>46508</v>
      </c>
      <c r="C134" s="39" t="str">
        <f aca="false">IF($T$4=0,IF($J134="","",$J134),IFERROR(IF([1]财务取数接口!$C$133=0,"",[1]财务取数接口!$C$133),""))</f>
        <v>其他服务费</v>
      </c>
      <c r="D134" s="40" t="str">
        <f aca="false">IF($T$4=0,IF($K134="","",$K134),IFERROR(IF([1]财务取数接口!$D$133=0,"",[1]财务取数接口!$D$133),""))</f>
        <v/>
      </c>
      <c r="E134" s="40" t="str">
        <f aca="false">IF($T$4=0,IF($L134="","",$L134),IFERROR(IF([1]财务取数接口!$E$133=0,"",[1]财务取数接口!$E$133),""))</f>
        <v>元</v>
      </c>
      <c r="F134" s="41" t="str">
        <f aca="false">IF($T$4=0,IF($M134="","",$M134),IFERROR(IF([1]财务取数接口!$G$133=0,"",[1]财务取数接口!$G$133),""))</f>
        <v/>
      </c>
      <c r="G134" s="41" t="str">
        <f aca="false">IF($T$4=0,IF($N134="","",$N134),IFERROR(IF([1]财务取数接口!$H$133=0,"",[1]财务取数接口!$H$133),""))</f>
        <v/>
      </c>
      <c r="H134" s="39" t="str">
        <f aca="false">IF($T$4=0,IF($O134="","",$O134),IFERROR(IF([1]财务取数接口!$I$133=0,"",[1]财务取数接口!$I$133),""))</f>
        <v/>
      </c>
      <c r="I134" s="42"/>
      <c r="J134" s="43"/>
      <c r="K134" s="42"/>
      <c r="L134" s="42"/>
      <c r="M134" s="44"/>
      <c r="N134" s="44"/>
      <c r="O134" s="43"/>
      <c r="P134" s="45" t="n">
        <f aca="false">IF(AND($C134&lt;&gt;"",$C134&lt;&gt;"项目",OR(N($D134)&lt;&gt;0,N($E134)&lt;&gt;0,N($F134)&lt;&gt;0)),1,0)</f>
        <v>0</v>
      </c>
      <c r="Q134" s="45" t="n">
        <f aca="false">N(Q133)+$P134</f>
        <v>7</v>
      </c>
    </row>
    <row r="135" customFormat="false" ht="13.5" hidden="false" customHeight="false" outlineLevel="0" collapsed="false">
      <c r="A135" s="9" t="n">
        <v>134</v>
      </c>
      <c r="B135" s="38" t="n">
        <f aca="false">IF($T$4=0,IF($I135="","",$I135),IFERROR(IF([1]财务取数接口!$B$134=0,"",[1]财务取数接口!$B$134),""))</f>
        <v>46539</v>
      </c>
      <c r="C135" s="39" t="str">
        <f aca="false">IF($T$4=0,IF($J135="","",$J135),IFERROR(IF([1]财务取数接口!$C$134=0,"",[1]财务取数接口!$C$134),""))</f>
        <v>其他服务费</v>
      </c>
      <c r="D135" s="40" t="str">
        <f aca="false">IF($T$4=0,IF($K135="","",$K135),IFERROR(IF([1]财务取数接口!$D$134=0,"",[1]财务取数接口!$D$134),""))</f>
        <v/>
      </c>
      <c r="E135" s="40" t="str">
        <f aca="false">IF($T$4=0,IF($L135="","",$L135),IFERROR(IF([1]财务取数接口!$E$134=0,"",[1]财务取数接口!$E$134),""))</f>
        <v>元</v>
      </c>
      <c r="F135" s="41" t="str">
        <f aca="false">IF($T$4=0,IF($M135="","",$M135),IFERROR(IF([1]财务取数接口!$G$134=0,"",[1]财务取数接口!$G$134),""))</f>
        <v/>
      </c>
      <c r="G135" s="41" t="str">
        <f aca="false">IF($T$4=0,IF($N135="","",$N135),IFERROR(IF([1]财务取数接口!$H$134=0,"",[1]财务取数接口!$H$134),""))</f>
        <v/>
      </c>
      <c r="H135" s="39" t="str">
        <f aca="false">IF($T$4=0,IF($O135="","",$O135),IFERROR(IF([1]财务取数接口!$I$134=0,"",[1]财务取数接口!$I$134),""))</f>
        <v/>
      </c>
      <c r="I135" s="42"/>
      <c r="J135" s="43"/>
      <c r="K135" s="42"/>
      <c r="L135" s="42"/>
      <c r="M135" s="44"/>
      <c r="N135" s="44"/>
      <c r="O135" s="43"/>
      <c r="P135" s="45" t="n">
        <f aca="false">IF(AND($C135&lt;&gt;"",$C135&lt;&gt;"项目",OR(N($D135)&lt;&gt;0,N($E135)&lt;&gt;0,N($F135)&lt;&gt;0)),1,0)</f>
        <v>0</v>
      </c>
      <c r="Q135" s="45" t="n">
        <f aca="false">N(Q134)+$P135</f>
        <v>7</v>
      </c>
    </row>
    <row r="136" customFormat="false" ht="13.5" hidden="false" customHeight="false" outlineLevel="0" collapsed="false">
      <c r="A136" s="9" t="n">
        <v>135</v>
      </c>
      <c r="B136" s="38" t="n">
        <f aca="false">IF($T$4=0,IF($I136="","",$I136),IFERROR(IF([1]财务取数接口!$B$135=0,"",[1]财务取数接口!$B$135),""))</f>
        <v>46569</v>
      </c>
      <c r="C136" s="39" t="str">
        <f aca="false">IF($T$4=0,IF($J136="","",$J136),IFERROR(IF([1]财务取数接口!$C$135=0,"",[1]财务取数接口!$C$135),""))</f>
        <v>其他服务费</v>
      </c>
      <c r="D136" s="40" t="str">
        <f aca="false">IF($T$4=0,IF($K136="","",$K136),IFERROR(IF([1]财务取数接口!$D$135=0,"",[1]财务取数接口!$D$135),""))</f>
        <v/>
      </c>
      <c r="E136" s="40" t="str">
        <f aca="false">IF($T$4=0,IF($L136="","",$L136),IFERROR(IF([1]财务取数接口!$E$135=0,"",[1]财务取数接口!$E$135),""))</f>
        <v>元</v>
      </c>
      <c r="F136" s="41" t="str">
        <f aca="false">IF($T$4=0,IF($M136="","",$M136),IFERROR(IF([1]财务取数接口!$G$135=0,"",[1]财务取数接口!$G$135),""))</f>
        <v/>
      </c>
      <c r="G136" s="41" t="str">
        <f aca="false">IF($T$4=0,IF($N136="","",$N136),IFERROR(IF([1]财务取数接口!$H$135=0,"",[1]财务取数接口!$H$135),""))</f>
        <v/>
      </c>
      <c r="H136" s="39" t="str">
        <f aca="false">IF($T$4=0,IF($O136="","",$O136),IFERROR(IF([1]财务取数接口!$I$135=0,"",[1]财务取数接口!$I$135),""))</f>
        <v/>
      </c>
      <c r="I136" s="42"/>
      <c r="J136" s="43"/>
      <c r="K136" s="42"/>
      <c r="L136" s="42"/>
      <c r="M136" s="44"/>
      <c r="N136" s="44"/>
      <c r="O136" s="43"/>
      <c r="P136" s="45" t="n">
        <f aca="false">IF(AND($C136&lt;&gt;"",$C136&lt;&gt;"项目",OR(N($D136)&lt;&gt;0,N($E136)&lt;&gt;0,N($F136)&lt;&gt;0)),1,0)</f>
        <v>0</v>
      </c>
      <c r="Q136" s="45" t="n">
        <f aca="false">N(Q135)+$P136</f>
        <v>7</v>
      </c>
    </row>
    <row r="137" customFormat="false" ht="13.5" hidden="false" customHeight="false" outlineLevel="0" collapsed="false">
      <c r="A137" s="9" t="n">
        <v>136</v>
      </c>
      <c r="B137" s="38" t="n">
        <f aca="false">IF($T$4=0,IF($I137="","",$I137),IFERROR(IF([1]财务取数接口!$B$136=0,"",[1]财务取数接口!$B$136),""))</f>
        <v>46600</v>
      </c>
      <c r="C137" s="39" t="str">
        <f aca="false">IF($T$4=0,IF($J137="","",$J137),IFERROR(IF([1]财务取数接口!$C$136=0,"",[1]财务取数接口!$C$136),""))</f>
        <v>其他服务费</v>
      </c>
      <c r="D137" s="40" t="str">
        <f aca="false">IF($T$4=0,IF($K137="","",$K137),IFERROR(IF([1]财务取数接口!$D$136=0,"",[1]财务取数接口!$D$136),""))</f>
        <v/>
      </c>
      <c r="E137" s="40" t="str">
        <f aca="false">IF($T$4=0,IF($L137="","",$L137),IFERROR(IF([1]财务取数接口!$E$136=0,"",[1]财务取数接口!$E$136),""))</f>
        <v>元</v>
      </c>
      <c r="F137" s="41" t="str">
        <f aca="false">IF($T$4=0,IF($M137="","",$M137),IFERROR(IF([1]财务取数接口!$G$136=0,"",[1]财务取数接口!$G$136),""))</f>
        <v/>
      </c>
      <c r="G137" s="41" t="str">
        <f aca="false">IF($T$4=0,IF($N137="","",$N137),IFERROR(IF([1]财务取数接口!$H$136=0,"",[1]财务取数接口!$H$136),""))</f>
        <v/>
      </c>
      <c r="H137" s="39" t="str">
        <f aca="false">IF($T$4=0,IF($O137="","",$O137),IFERROR(IF([1]财务取数接口!$I$136=0,"",[1]财务取数接口!$I$136),""))</f>
        <v/>
      </c>
      <c r="I137" s="42"/>
      <c r="J137" s="43"/>
      <c r="K137" s="42"/>
      <c r="L137" s="42"/>
      <c r="M137" s="44"/>
      <c r="N137" s="44"/>
      <c r="O137" s="43"/>
      <c r="P137" s="45" t="n">
        <f aca="false">IF(AND($C137&lt;&gt;"",$C137&lt;&gt;"项目",OR(N($D137)&lt;&gt;0,N($E137)&lt;&gt;0,N($F137)&lt;&gt;0)),1,0)</f>
        <v>0</v>
      </c>
      <c r="Q137" s="45" t="n">
        <f aca="false">N(Q136)+$P137</f>
        <v>7</v>
      </c>
    </row>
    <row r="138" customFormat="false" ht="13.5" hidden="false" customHeight="false" outlineLevel="0" collapsed="false">
      <c r="A138" s="9" t="n">
        <v>137</v>
      </c>
      <c r="B138" s="38" t="n">
        <f aca="false">IF($T$4=0,IF($I138="","",$I138),IFERROR(IF([1]财务取数接口!$B$137=0,"",[1]财务取数接口!$B$137),""))</f>
        <v>46631</v>
      </c>
      <c r="C138" s="39" t="str">
        <f aca="false">IF($T$4=0,IF($J138="","",$J138),IFERROR(IF([1]财务取数接口!$C$137=0,"",[1]财务取数接口!$C$137),""))</f>
        <v>其他服务费</v>
      </c>
      <c r="D138" s="40" t="str">
        <f aca="false">IF($T$4=0,IF($K138="","",$K138),IFERROR(IF([1]财务取数接口!$D$137=0,"",[1]财务取数接口!$D$137),""))</f>
        <v/>
      </c>
      <c r="E138" s="40" t="str">
        <f aca="false">IF($T$4=0,IF($L138="","",$L138),IFERROR(IF([1]财务取数接口!$E$137=0,"",[1]财务取数接口!$E$137),""))</f>
        <v>元</v>
      </c>
      <c r="F138" s="41" t="str">
        <f aca="false">IF($T$4=0,IF($M138="","",$M138),IFERROR(IF([1]财务取数接口!$G$137=0,"",[1]财务取数接口!$G$137),""))</f>
        <v/>
      </c>
      <c r="G138" s="41" t="str">
        <f aca="false">IF($T$4=0,IF($N138="","",$N138),IFERROR(IF([1]财务取数接口!$H$137=0,"",[1]财务取数接口!$H$137),""))</f>
        <v/>
      </c>
      <c r="H138" s="39" t="str">
        <f aca="false">IF($T$4=0,IF($O138="","",$O138),IFERROR(IF([1]财务取数接口!$I$137=0,"",[1]财务取数接口!$I$137),""))</f>
        <v/>
      </c>
      <c r="I138" s="42"/>
      <c r="J138" s="43"/>
      <c r="K138" s="42"/>
      <c r="L138" s="42"/>
      <c r="M138" s="44"/>
      <c r="N138" s="44"/>
      <c r="O138" s="43"/>
      <c r="P138" s="45" t="n">
        <f aca="false">IF(AND($C138&lt;&gt;"",$C138&lt;&gt;"项目",OR(N($D138)&lt;&gt;0,N($E138)&lt;&gt;0,N($F138)&lt;&gt;0)),1,0)</f>
        <v>0</v>
      </c>
      <c r="Q138" s="45" t="n">
        <f aca="false">N(Q137)+$P138</f>
        <v>7</v>
      </c>
    </row>
    <row r="139" customFormat="false" ht="13.5" hidden="false" customHeight="false" outlineLevel="0" collapsed="false">
      <c r="A139" s="9" t="n">
        <v>138</v>
      </c>
      <c r="B139" s="38" t="n">
        <f aca="false">IF($T$4=0,IF($I139="","",$I139),IFERROR(IF([1]财务取数接口!$B$138=0,"",[1]财务取数接口!$B$138),""))</f>
        <v>46661</v>
      </c>
      <c r="C139" s="39" t="str">
        <f aca="false">IF($T$4=0,IF($J139="","",$J139),IFERROR(IF([1]财务取数接口!$C$138=0,"",[1]财务取数接口!$C$138),""))</f>
        <v>其他服务费</v>
      </c>
      <c r="D139" s="40" t="str">
        <f aca="false">IF($T$4=0,IF($K139="","",$K139),IFERROR(IF([1]财务取数接口!$D$138=0,"",[1]财务取数接口!$D$138),""))</f>
        <v/>
      </c>
      <c r="E139" s="40" t="str">
        <f aca="false">IF($T$4=0,IF($L139="","",$L139),IFERROR(IF([1]财务取数接口!$E$138=0,"",[1]财务取数接口!$E$138),""))</f>
        <v>元</v>
      </c>
      <c r="F139" s="41" t="str">
        <f aca="false">IF($T$4=0,IF($M139="","",$M139),IFERROR(IF([1]财务取数接口!$G$138=0,"",[1]财务取数接口!$G$138),""))</f>
        <v/>
      </c>
      <c r="G139" s="41" t="str">
        <f aca="false">IF($T$4=0,IF($N139="","",$N139),IFERROR(IF([1]财务取数接口!$H$138=0,"",[1]财务取数接口!$H$138),""))</f>
        <v/>
      </c>
      <c r="H139" s="39" t="str">
        <f aca="false">IF($T$4=0,IF($O139="","",$O139),IFERROR(IF([1]财务取数接口!$I$138=0,"",[1]财务取数接口!$I$138),""))</f>
        <v/>
      </c>
      <c r="I139" s="42"/>
      <c r="J139" s="43"/>
      <c r="K139" s="42"/>
      <c r="L139" s="42"/>
      <c r="M139" s="44"/>
      <c r="N139" s="44"/>
      <c r="O139" s="43"/>
      <c r="P139" s="45" t="n">
        <f aca="false">IF(AND($C139&lt;&gt;"",$C139&lt;&gt;"项目",OR(N($D139)&lt;&gt;0,N($E139)&lt;&gt;0,N($F139)&lt;&gt;0)),1,0)</f>
        <v>0</v>
      </c>
      <c r="Q139" s="45" t="n">
        <f aca="false">N(Q138)+$P139</f>
        <v>7</v>
      </c>
    </row>
    <row r="140" customFormat="false" ht="13.5" hidden="false" customHeight="false" outlineLevel="0" collapsed="false">
      <c r="A140" s="9" t="n">
        <v>139</v>
      </c>
      <c r="B140" s="38" t="n">
        <f aca="false">IF($T$4=0,IF($I140="","",$I140),IFERROR(IF([1]财务取数接口!$B$139=0,"",[1]财务取数接口!$B$139),""))</f>
        <v>46692</v>
      </c>
      <c r="C140" s="39" t="str">
        <f aca="false">IF($T$4=0,IF($J140="","",$J140),IFERROR(IF([1]财务取数接口!$C$139=0,"",[1]财务取数接口!$C$139),""))</f>
        <v>其他服务费</v>
      </c>
      <c r="D140" s="40" t="str">
        <f aca="false">IF($T$4=0,IF($K140="","",$K140),IFERROR(IF([1]财务取数接口!$D$139=0,"",[1]财务取数接口!$D$139),""))</f>
        <v/>
      </c>
      <c r="E140" s="40" t="str">
        <f aca="false">IF($T$4=0,IF($L140="","",$L140),IFERROR(IF([1]财务取数接口!$E$139=0,"",[1]财务取数接口!$E$139),""))</f>
        <v>元</v>
      </c>
      <c r="F140" s="41" t="str">
        <f aca="false">IF($T$4=0,IF($M140="","",$M140),IFERROR(IF([1]财务取数接口!$G$139=0,"",[1]财务取数接口!$G$139),""))</f>
        <v/>
      </c>
      <c r="G140" s="41" t="str">
        <f aca="false">IF($T$4=0,IF($N140="","",$N140),IFERROR(IF([1]财务取数接口!$H$139=0,"",[1]财务取数接口!$H$139),""))</f>
        <v/>
      </c>
      <c r="H140" s="39" t="str">
        <f aca="false">IF($T$4=0,IF($O140="","",$O140),IFERROR(IF([1]财务取数接口!$I$139=0,"",[1]财务取数接口!$I$139),""))</f>
        <v/>
      </c>
      <c r="I140" s="42"/>
      <c r="J140" s="43"/>
      <c r="K140" s="42"/>
      <c r="L140" s="42"/>
      <c r="M140" s="44"/>
      <c r="N140" s="44"/>
      <c r="O140" s="43"/>
      <c r="P140" s="45" t="n">
        <f aca="false">IF(AND($C140&lt;&gt;"",$C140&lt;&gt;"项目",OR(N($D140)&lt;&gt;0,N($E140)&lt;&gt;0,N($F140)&lt;&gt;0)),1,0)</f>
        <v>0</v>
      </c>
      <c r="Q140" s="45" t="n">
        <f aca="false">N(Q139)+$P140</f>
        <v>7</v>
      </c>
    </row>
    <row r="141" customFormat="false" ht="13.5" hidden="false" customHeight="false" outlineLevel="0" collapsed="false">
      <c r="A141" s="9" t="n">
        <v>140</v>
      </c>
      <c r="B141" s="38" t="n">
        <f aca="false">IF($T$4=0,IF($I141="","",$I141),IFERROR(IF([1]财务取数接口!$B$140=0,"",[1]财务取数接口!$B$140),""))</f>
        <v>46722</v>
      </c>
      <c r="C141" s="39" t="str">
        <f aca="false">IF($T$4=0,IF($J141="","",$J141),IFERROR(IF([1]财务取数接口!$C$140=0,"",[1]财务取数接口!$C$140),""))</f>
        <v>其他服务费</v>
      </c>
      <c r="D141" s="40" t="str">
        <f aca="false">IF($T$4=0,IF($K141="","",$K141),IFERROR(IF([1]财务取数接口!$D$140=0,"",[1]财务取数接口!$D$140),""))</f>
        <v/>
      </c>
      <c r="E141" s="40" t="str">
        <f aca="false">IF($T$4=0,IF($L141="","",$L141),IFERROR(IF([1]财务取数接口!$E$140=0,"",[1]财务取数接口!$E$140),""))</f>
        <v>元</v>
      </c>
      <c r="F141" s="41" t="str">
        <f aca="false">IF($T$4=0,IF($M141="","",$M141),IFERROR(IF([1]财务取数接口!$G$140=0,"",[1]财务取数接口!$G$140),""))</f>
        <v/>
      </c>
      <c r="G141" s="41" t="str">
        <f aca="false">IF($T$4=0,IF($N141="","",$N141),IFERROR(IF([1]财务取数接口!$H$140=0,"",[1]财务取数接口!$H$140),""))</f>
        <v/>
      </c>
      <c r="H141" s="39" t="str">
        <f aca="false">IF($T$4=0,IF($O141="","",$O141),IFERROR(IF([1]财务取数接口!$I$140=0,"",[1]财务取数接口!$I$140),""))</f>
        <v/>
      </c>
      <c r="I141" s="42"/>
      <c r="J141" s="43"/>
      <c r="K141" s="42"/>
      <c r="L141" s="42"/>
      <c r="M141" s="44"/>
      <c r="N141" s="44"/>
      <c r="O141" s="43"/>
      <c r="P141" s="45" t="n">
        <f aca="false">IF(AND($C141&lt;&gt;"",$C141&lt;&gt;"项目",OR(N($D141)&lt;&gt;0,N($E141)&lt;&gt;0,N($F141)&lt;&gt;0)),1,0)</f>
        <v>0</v>
      </c>
      <c r="Q141" s="45" t="n">
        <f aca="false">N(Q140)+$P141</f>
        <v>7</v>
      </c>
    </row>
    <row r="142" customFormat="false" ht="13.5" hidden="false" customHeight="false" outlineLevel="0" collapsed="false">
      <c r="A142" s="9" t="n">
        <v>141</v>
      </c>
      <c r="B142" s="38" t="n">
        <f aca="false">IF($T$4=0,IF($I142="","",$I142),IFERROR(IF([1]财务取数接口!$B$141=0,"",[1]财务取数接口!$B$141),""))</f>
        <v>46753</v>
      </c>
      <c r="C142" s="39" t="str">
        <f aca="false">IF($T$4=0,IF($J142="","",$J142),IFERROR(IF([1]财务取数接口!$C$141=0,"",[1]财务取数接口!$C$141),""))</f>
        <v>其他服务费</v>
      </c>
      <c r="D142" s="40" t="str">
        <f aca="false">IF($T$4=0,IF($K142="","",$K142),IFERROR(IF([1]财务取数接口!$D$141=0,"",[1]财务取数接口!$D$141),""))</f>
        <v/>
      </c>
      <c r="E142" s="40" t="str">
        <f aca="false">IF($T$4=0,IF($L142="","",$L142),IFERROR(IF([1]财务取数接口!$E$141=0,"",[1]财务取数接口!$E$141),""))</f>
        <v>元</v>
      </c>
      <c r="F142" s="41" t="str">
        <f aca="false">IF($T$4=0,IF($M142="","",$M142),IFERROR(IF([1]财务取数接口!$G$141=0,"",[1]财务取数接口!$G$141),""))</f>
        <v/>
      </c>
      <c r="G142" s="41" t="str">
        <f aca="false">IF($T$4=0,IF($N142="","",$N142),IFERROR(IF([1]财务取数接口!$H$141=0,"",[1]财务取数接口!$H$141),""))</f>
        <v/>
      </c>
      <c r="H142" s="39" t="str">
        <f aca="false">IF($T$4=0,IF($O142="","",$O142),IFERROR(IF([1]财务取数接口!$I$141=0,"",[1]财务取数接口!$I$141),""))</f>
        <v/>
      </c>
      <c r="I142" s="42"/>
      <c r="J142" s="43"/>
      <c r="K142" s="42"/>
      <c r="L142" s="42"/>
      <c r="M142" s="44"/>
      <c r="N142" s="44"/>
      <c r="O142" s="43"/>
      <c r="P142" s="45" t="n">
        <f aca="false">IF(AND($C142&lt;&gt;"",$C142&lt;&gt;"项目",OR(N($D142)&lt;&gt;0,N($E142)&lt;&gt;0,N($F142)&lt;&gt;0)),1,0)</f>
        <v>0</v>
      </c>
      <c r="Q142" s="45" t="n">
        <f aca="false">N(Q141)+$P142</f>
        <v>7</v>
      </c>
    </row>
    <row r="143" customFormat="false" ht="13.5" hidden="false" customHeight="false" outlineLevel="0" collapsed="false">
      <c r="A143" s="9" t="n">
        <v>142</v>
      </c>
      <c r="B143" s="38" t="n">
        <f aca="false">IF($T$4=0,IF($I143="","",$I143),IFERROR(IF([1]财务取数接口!$B$142=0,"",[1]财务取数接口!$B$142),""))</f>
        <v>46784</v>
      </c>
      <c r="C143" s="39" t="str">
        <f aca="false">IF($T$4=0,IF($J143="","",$J143),IFERROR(IF([1]财务取数接口!$C$142=0,"",[1]财务取数接口!$C$142),""))</f>
        <v>其他服务费</v>
      </c>
      <c r="D143" s="40" t="str">
        <f aca="false">IF($T$4=0,IF($K143="","",$K143),IFERROR(IF([1]财务取数接口!$D$142=0,"",[1]财务取数接口!$D$142),""))</f>
        <v/>
      </c>
      <c r="E143" s="40" t="str">
        <f aca="false">IF($T$4=0,IF($L143="","",$L143),IFERROR(IF([1]财务取数接口!$E$142=0,"",[1]财务取数接口!$E$142),""))</f>
        <v>元</v>
      </c>
      <c r="F143" s="41" t="str">
        <f aca="false">IF($T$4=0,IF($M143="","",$M143),IFERROR(IF([1]财务取数接口!$G$142=0,"",[1]财务取数接口!$G$142),""))</f>
        <v/>
      </c>
      <c r="G143" s="41" t="str">
        <f aca="false">IF($T$4=0,IF($N143="","",$N143),IFERROR(IF([1]财务取数接口!$H$142=0,"",[1]财务取数接口!$H$142),""))</f>
        <v/>
      </c>
      <c r="H143" s="39" t="str">
        <f aca="false">IF($T$4=0,IF($O143="","",$O143),IFERROR(IF([1]财务取数接口!$I$142=0,"",[1]财务取数接口!$I$142),""))</f>
        <v/>
      </c>
      <c r="I143" s="42"/>
      <c r="J143" s="43"/>
      <c r="K143" s="42"/>
      <c r="L143" s="42"/>
      <c r="M143" s="44"/>
      <c r="N143" s="44"/>
      <c r="O143" s="43"/>
      <c r="P143" s="45" t="n">
        <f aca="false">IF(AND($C143&lt;&gt;"",$C143&lt;&gt;"项目",OR(N($D143)&lt;&gt;0,N($E143)&lt;&gt;0,N($F143)&lt;&gt;0)),1,0)</f>
        <v>0</v>
      </c>
      <c r="Q143" s="45" t="n">
        <f aca="false">N(Q142)+$P143</f>
        <v>7</v>
      </c>
    </row>
    <row r="144" customFormat="false" ht="13.5" hidden="false" customHeight="false" outlineLevel="0" collapsed="false">
      <c r="A144" s="9" t="n">
        <v>143</v>
      </c>
      <c r="B144" s="38" t="n">
        <f aca="false">IF($T$4=0,IF($I144="","",$I144),IFERROR(IF([1]财务取数接口!$B$143=0,"",[1]财务取数接口!$B$143),""))</f>
        <v>46813</v>
      </c>
      <c r="C144" s="39" t="str">
        <f aca="false">IF($T$4=0,IF($J144="","",$J144),IFERROR(IF([1]财务取数接口!$C$143=0,"",[1]财务取数接口!$C$143),""))</f>
        <v>其他服务费</v>
      </c>
      <c r="D144" s="40" t="str">
        <f aca="false">IF($T$4=0,IF($K144="","",$K144),IFERROR(IF([1]财务取数接口!$D$143=0,"",[1]财务取数接口!$D$143),""))</f>
        <v/>
      </c>
      <c r="E144" s="40" t="str">
        <f aca="false">IF($T$4=0,IF($L144="","",$L144),IFERROR(IF([1]财务取数接口!$E$143=0,"",[1]财务取数接口!$E$143),""))</f>
        <v>元</v>
      </c>
      <c r="F144" s="41" t="str">
        <f aca="false">IF($T$4=0,IF($M144="","",$M144),IFERROR(IF([1]财务取数接口!$G$143=0,"",[1]财务取数接口!$G$143),""))</f>
        <v/>
      </c>
      <c r="G144" s="41" t="str">
        <f aca="false">IF($T$4=0,IF($N144="","",$N144),IFERROR(IF([1]财务取数接口!$H$143=0,"",[1]财务取数接口!$H$143),""))</f>
        <v/>
      </c>
      <c r="H144" s="39" t="str">
        <f aca="false">IF($T$4=0,IF($O144="","",$O144),IFERROR(IF([1]财务取数接口!$I$143=0,"",[1]财务取数接口!$I$143),""))</f>
        <v/>
      </c>
      <c r="I144" s="42"/>
      <c r="J144" s="43"/>
      <c r="K144" s="42"/>
      <c r="L144" s="42"/>
      <c r="M144" s="44"/>
      <c r="N144" s="44"/>
      <c r="O144" s="43"/>
      <c r="P144" s="45" t="n">
        <f aca="false">IF(AND($C144&lt;&gt;"",$C144&lt;&gt;"项目",OR(N($D144)&lt;&gt;0,N($E144)&lt;&gt;0,N($F144)&lt;&gt;0)),1,0)</f>
        <v>0</v>
      </c>
      <c r="Q144" s="45" t="n">
        <f aca="false">N(Q143)+$P144</f>
        <v>7</v>
      </c>
    </row>
    <row r="145" customFormat="false" ht="13.5" hidden="false" customHeight="false" outlineLevel="0" collapsed="false">
      <c r="A145" s="9" t="n">
        <v>144</v>
      </c>
      <c r="B145" s="38" t="n">
        <f aca="false">IF($T$4=0,IF($I145="","",$I145),IFERROR(IF([1]财务取数接口!$B$144=0,"",[1]财务取数接口!$B$144),""))</f>
        <v>46844</v>
      </c>
      <c r="C145" s="39" t="str">
        <f aca="false">IF($T$4=0,IF($J145="","",$J145),IFERROR(IF([1]财务取数接口!$C$144=0,"",[1]财务取数接口!$C$144),""))</f>
        <v>其他服务费</v>
      </c>
      <c r="D145" s="40" t="str">
        <f aca="false">IF($T$4=0,IF($K145="","",$K145),IFERROR(IF([1]财务取数接口!$D$144=0,"",[1]财务取数接口!$D$144),""))</f>
        <v/>
      </c>
      <c r="E145" s="40" t="str">
        <f aca="false">IF($T$4=0,IF($L145="","",$L145),IFERROR(IF([1]财务取数接口!$E$144=0,"",[1]财务取数接口!$E$144),""))</f>
        <v>元</v>
      </c>
      <c r="F145" s="41" t="str">
        <f aca="false">IF($T$4=0,IF($M145="","",$M145),IFERROR(IF([1]财务取数接口!$G$144=0,"",[1]财务取数接口!$G$144),""))</f>
        <v/>
      </c>
      <c r="G145" s="41" t="str">
        <f aca="false">IF($T$4=0,IF($N145="","",$N145),IFERROR(IF([1]财务取数接口!$H$144=0,"",[1]财务取数接口!$H$144),""))</f>
        <v/>
      </c>
      <c r="H145" s="39" t="str">
        <f aca="false">IF($T$4=0,IF($O145="","",$O145),IFERROR(IF([1]财务取数接口!$I$144=0,"",[1]财务取数接口!$I$144),""))</f>
        <v/>
      </c>
      <c r="I145" s="42"/>
      <c r="J145" s="43"/>
      <c r="K145" s="42"/>
      <c r="L145" s="42"/>
      <c r="M145" s="44"/>
      <c r="N145" s="44"/>
      <c r="O145" s="43"/>
      <c r="P145" s="45" t="n">
        <f aca="false">IF(AND($C145&lt;&gt;"",$C145&lt;&gt;"项目",OR(N($D145)&lt;&gt;0,N($E145)&lt;&gt;0,N($F145)&lt;&gt;0)),1,0)</f>
        <v>0</v>
      </c>
      <c r="Q145" s="45" t="n">
        <f aca="false">N(Q144)+$P145</f>
        <v>7</v>
      </c>
    </row>
    <row r="146" customFormat="false" ht="13.5" hidden="false" customHeight="false" outlineLevel="0" collapsed="false">
      <c r="A146" s="9" t="n">
        <v>145</v>
      </c>
      <c r="B146" s="38" t="n">
        <f aca="false">IF($T$4=0,IF($I146="","",$I146),IFERROR(IF([1]财务取数接口!$B$145=0,"",[1]财务取数接口!$B$145),""))</f>
        <v>46874</v>
      </c>
      <c r="C146" s="39" t="str">
        <f aca="false">IF($T$4=0,IF($J146="","",$J146),IFERROR(IF([1]财务取数接口!$C$145=0,"",[1]财务取数接口!$C$145),""))</f>
        <v>其他服务费</v>
      </c>
      <c r="D146" s="40" t="str">
        <f aca="false">IF($T$4=0,IF($K146="","",$K146),IFERROR(IF([1]财务取数接口!$D$145=0,"",[1]财务取数接口!$D$145),""))</f>
        <v/>
      </c>
      <c r="E146" s="40" t="str">
        <f aca="false">IF($T$4=0,IF($L146="","",$L146),IFERROR(IF([1]财务取数接口!$E$145=0,"",[1]财务取数接口!$E$145),""))</f>
        <v>元</v>
      </c>
      <c r="F146" s="41" t="str">
        <f aca="false">IF($T$4=0,IF($M146="","",$M146),IFERROR(IF([1]财务取数接口!$G$145=0,"",[1]财务取数接口!$G$145),""))</f>
        <v/>
      </c>
      <c r="G146" s="41" t="str">
        <f aca="false">IF($T$4=0,IF($N146="","",$N146),IFERROR(IF([1]财务取数接口!$H$145=0,"",[1]财务取数接口!$H$145),""))</f>
        <v/>
      </c>
      <c r="H146" s="39" t="str">
        <f aca="false">IF($T$4=0,IF($O146="","",$O146),IFERROR(IF([1]财务取数接口!$I$145=0,"",[1]财务取数接口!$I$145),""))</f>
        <v/>
      </c>
      <c r="I146" s="42"/>
      <c r="J146" s="43"/>
      <c r="K146" s="42"/>
      <c r="L146" s="42"/>
      <c r="M146" s="44"/>
      <c r="N146" s="44"/>
      <c r="O146" s="43"/>
      <c r="P146" s="45" t="n">
        <f aca="false">IF(AND($C146&lt;&gt;"",$C146&lt;&gt;"项目",OR(N($D146)&lt;&gt;0,N($E146)&lt;&gt;0,N($F146)&lt;&gt;0)),1,0)</f>
        <v>0</v>
      </c>
      <c r="Q146" s="45" t="n">
        <f aca="false">N(Q145)+$P146</f>
        <v>7</v>
      </c>
    </row>
    <row r="147" customFormat="false" ht="13.5" hidden="false" customHeight="false" outlineLevel="0" collapsed="false">
      <c r="A147" s="9" t="n">
        <v>146</v>
      </c>
      <c r="B147" s="38" t="n">
        <f aca="false">IF($T$4=0,IF($I147="","",$I147),IFERROR(IF([1]财务取数接口!$B$146=0,"",[1]财务取数接口!$B$146),""))</f>
        <v>46905</v>
      </c>
      <c r="C147" s="39" t="str">
        <f aca="false">IF($T$4=0,IF($J147="","",$J147),IFERROR(IF([1]财务取数接口!$C$146=0,"",[1]财务取数接口!$C$146),""))</f>
        <v>其他服务费</v>
      </c>
      <c r="D147" s="40" t="str">
        <f aca="false">IF($T$4=0,IF($K147="","",$K147),IFERROR(IF([1]财务取数接口!$D$146=0,"",[1]财务取数接口!$D$146),""))</f>
        <v/>
      </c>
      <c r="E147" s="40" t="str">
        <f aca="false">IF($T$4=0,IF($L147="","",$L147),IFERROR(IF([1]财务取数接口!$E$146=0,"",[1]财务取数接口!$E$146),""))</f>
        <v>元</v>
      </c>
      <c r="F147" s="41" t="str">
        <f aca="false">IF($T$4=0,IF($M147="","",$M147),IFERROR(IF([1]财务取数接口!$G$146=0,"",[1]财务取数接口!$G$146),""))</f>
        <v/>
      </c>
      <c r="G147" s="41" t="str">
        <f aca="false">IF($T$4=0,IF($N147="","",$N147),IFERROR(IF([1]财务取数接口!$H$146=0,"",[1]财务取数接口!$H$146),""))</f>
        <v/>
      </c>
      <c r="H147" s="39" t="str">
        <f aca="false">IF($T$4=0,IF($O147="","",$O147),IFERROR(IF([1]财务取数接口!$I$146=0,"",[1]财务取数接口!$I$146),""))</f>
        <v/>
      </c>
      <c r="I147" s="42"/>
      <c r="J147" s="43"/>
      <c r="K147" s="42"/>
      <c r="L147" s="42"/>
      <c r="M147" s="44"/>
      <c r="N147" s="44"/>
      <c r="O147" s="43"/>
      <c r="P147" s="45" t="n">
        <f aca="false">IF(AND($C147&lt;&gt;"",$C147&lt;&gt;"项目",OR(N($D147)&lt;&gt;0,N($E147)&lt;&gt;0,N($F147)&lt;&gt;0)),1,0)</f>
        <v>0</v>
      </c>
      <c r="Q147" s="45" t="n">
        <f aca="false">N(Q146)+$P147</f>
        <v>7</v>
      </c>
    </row>
    <row r="148" customFormat="false" ht="13.5" hidden="false" customHeight="false" outlineLevel="0" collapsed="false">
      <c r="A148" s="9" t="n">
        <v>147</v>
      </c>
      <c r="B148" s="38" t="n">
        <f aca="false">IF($T$4=0,IF($I148="","",$I148),IFERROR(IF([1]财务取数接口!$B$147=0,"",[1]财务取数接口!$B$147),""))</f>
        <v>46935</v>
      </c>
      <c r="C148" s="39" t="str">
        <f aca="false">IF($T$4=0,IF($J148="","",$J148),IFERROR(IF([1]财务取数接口!$C$147=0,"",[1]财务取数接口!$C$147),""))</f>
        <v>其他服务费</v>
      </c>
      <c r="D148" s="40" t="str">
        <f aca="false">IF($T$4=0,IF($K148="","",$K148),IFERROR(IF([1]财务取数接口!$D$147=0,"",[1]财务取数接口!$D$147),""))</f>
        <v/>
      </c>
      <c r="E148" s="40" t="str">
        <f aca="false">IF($T$4=0,IF($L148="","",$L148),IFERROR(IF([1]财务取数接口!$E$147=0,"",[1]财务取数接口!$E$147),""))</f>
        <v>元</v>
      </c>
      <c r="F148" s="41" t="str">
        <f aca="false">IF($T$4=0,IF($M148="","",$M148),IFERROR(IF([1]财务取数接口!$G$147=0,"",[1]财务取数接口!$G$147),""))</f>
        <v/>
      </c>
      <c r="G148" s="41" t="str">
        <f aca="false">IF($T$4=0,IF($N148="","",$N148),IFERROR(IF([1]财务取数接口!$H$147=0,"",[1]财务取数接口!$H$147),""))</f>
        <v/>
      </c>
      <c r="H148" s="39" t="str">
        <f aca="false">IF($T$4=0,IF($O148="","",$O148),IFERROR(IF([1]财务取数接口!$I$147=0,"",[1]财务取数接口!$I$147),""))</f>
        <v/>
      </c>
      <c r="I148" s="42"/>
      <c r="J148" s="43"/>
      <c r="K148" s="42"/>
      <c r="L148" s="42"/>
      <c r="M148" s="44"/>
      <c r="N148" s="44"/>
      <c r="O148" s="43"/>
      <c r="P148" s="45" t="n">
        <f aca="false">IF(AND($C148&lt;&gt;"",$C148&lt;&gt;"项目",OR(N($D148)&lt;&gt;0,N($E148)&lt;&gt;0,N($F148)&lt;&gt;0)),1,0)</f>
        <v>0</v>
      </c>
      <c r="Q148" s="45" t="n">
        <f aca="false">N(Q147)+$P148</f>
        <v>7</v>
      </c>
    </row>
    <row r="149" customFormat="false" ht="13.5" hidden="false" customHeight="false" outlineLevel="0" collapsed="false">
      <c r="A149" s="9" t="n">
        <v>148</v>
      </c>
      <c r="B149" s="40" t="str">
        <f aca="false">IF($T$4=0,IF($I149="","",$I149),IFERROR(IF([1]财务取数接口!$B$148=0,"",[1]财务取数接口!$B$148),""))</f>
        <v/>
      </c>
      <c r="C149" s="39" t="str">
        <f aca="false">IF($T$4=0,IF($J149="","",$J149),IFERROR(IF([1]财务取数接口!$C$148=0,"",[1]财务取数接口!$C$148),""))</f>
        <v/>
      </c>
      <c r="D149" s="40" t="str">
        <f aca="false">IF($T$4=0,IF($K149="","",$K149),IFERROR(IF([1]财务取数接口!$D$148=0,"",[1]财务取数接口!$D$148),""))</f>
        <v/>
      </c>
      <c r="E149" s="40" t="str">
        <f aca="false">IF($T$4=0,IF($L149="","",$L149),IFERROR(IF([1]财务取数接口!$E$148=0,"",[1]财务取数接口!$E$148),""))</f>
        <v/>
      </c>
      <c r="F149" s="41" t="str">
        <f aca="false">IF($T$4=0,IF($M149="","",$M149),IFERROR(IF([1]财务取数接口!$G$148=0,"",[1]财务取数接口!$G$148),""))</f>
        <v/>
      </c>
      <c r="G149" s="41" t="str">
        <f aca="false">IF($T$4=0,IF($N149="","",$N149),IFERROR(IF([1]财务取数接口!$H$148=0,"",[1]财务取数接口!$H$148),""))</f>
        <v/>
      </c>
      <c r="H149" s="39" t="str">
        <f aca="false">IF($T$4=0,IF($O149="","",$O149),IFERROR(IF([1]财务取数接口!$I$148=0,"",[1]财务取数接口!$I$148),""))</f>
        <v/>
      </c>
      <c r="I149" s="42"/>
      <c r="J149" s="43"/>
      <c r="K149" s="42"/>
      <c r="L149" s="42"/>
      <c r="M149" s="44"/>
      <c r="N149" s="44"/>
      <c r="O149" s="43"/>
      <c r="P149" s="45" t="n">
        <f aca="false">IF(AND($C149&lt;&gt;"",$C149&lt;&gt;"项目",OR(N($D149)&lt;&gt;0,N($E149)&lt;&gt;0,N($F149)&lt;&gt;0)),1,0)</f>
        <v>0</v>
      </c>
      <c r="Q149" s="45" t="n">
        <f aca="false">N(Q148)+$P149</f>
        <v>7</v>
      </c>
    </row>
    <row r="150" customFormat="false" ht="13.5" hidden="false" customHeight="false" outlineLevel="0" collapsed="false">
      <c r="A150" s="9" t="n">
        <v>149</v>
      </c>
      <c r="B150" s="40" t="str">
        <f aca="false">IF($T$4=0,IF($I150="","",$I150),IFERROR(IF([1]财务取数接口!$B$149=0,"",[1]财务取数接口!$B$149),""))</f>
        <v/>
      </c>
      <c r="C150" s="39" t="str">
        <f aca="false">IF($T$4=0,IF($J150="","",$J150),IFERROR(IF([1]财务取数接口!$C$149=0,"",[1]财务取数接口!$C$149),""))</f>
        <v/>
      </c>
      <c r="D150" s="40" t="str">
        <f aca="false">IF($T$4=0,IF($K150="","",$K150),IFERROR(IF([1]财务取数接口!$D$149=0,"",[1]财务取数接口!$D$149),""))</f>
        <v/>
      </c>
      <c r="E150" s="40" t="str">
        <f aca="false">IF($T$4=0,IF($L150="","",$L150),IFERROR(IF([1]财务取数接口!$E$149=0,"",[1]财务取数接口!$E$149),""))</f>
        <v/>
      </c>
      <c r="F150" s="41" t="str">
        <f aca="false">IF($T$4=0,IF($M150="","",$M150),IFERROR(IF([1]财务取数接口!$G$149=0,"",[1]财务取数接口!$G$149),""))</f>
        <v/>
      </c>
      <c r="G150" s="41" t="str">
        <f aca="false">IF($T$4=0,IF($N150="","",$N150),IFERROR(IF([1]财务取数接口!$H$149=0,"",[1]财务取数接口!$H$149),""))</f>
        <v/>
      </c>
      <c r="H150" s="39" t="str">
        <f aca="false">IF($T$4=0,IF($O150="","",$O150),IFERROR(IF([1]财务取数接口!$I$149=0,"",[1]财务取数接口!$I$149),""))</f>
        <v/>
      </c>
      <c r="I150" s="42"/>
      <c r="J150" s="43"/>
      <c r="K150" s="42"/>
      <c r="L150" s="42"/>
      <c r="M150" s="44"/>
      <c r="N150" s="44"/>
      <c r="O150" s="43"/>
      <c r="P150" s="45" t="n">
        <f aca="false">IF(AND($C150&lt;&gt;"",$C150&lt;&gt;"项目",OR(N($D150)&lt;&gt;0,N($E150)&lt;&gt;0,N($F150)&lt;&gt;0)),1,0)</f>
        <v>0</v>
      </c>
      <c r="Q150" s="45" t="n">
        <f aca="false">N(Q149)+$P150</f>
        <v>7</v>
      </c>
    </row>
    <row r="151" customFormat="false" ht="13.5" hidden="false" customHeight="false" outlineLevel="0" collapsed="false">
      <c r="A151" s="9" t="n">
        <v>150</v>
      </c>
      <c r="B151" s="40" t="str">
        <f aca="false">IF($T$4=0,IF($I151="","",$I151),IFERROR(IF([1]财务取数接口!$B$150=0,"",[1]财务取数接口!$B$150),""))</f>
        <v>年月</v>
      </c>
      <c r="C151" s="39" t="str">
        <f aca="false">IF($T$4=0,IF($J151="","",$J151),IFERROR(IF([1]财务取数接口!$C$150=0,"",[1]财务取数接口!$C$150),""))</f>
        <v>项目</v>
      </c>
      <c r="D151" s="40" t="str">
        <f aca="false">IF($T$4=0,IF($K151="","",$K151),IFERROR(IF([1]财务取数接口!$D$150=0,"",[1]财务取数接口!$D$150),""))</f>
        <v>计费数量</v>
      </c>
      <c r="E151" s="40" t="str">
        <f aca="false">IF($T$4=0,IF($L151="","",$L151),IFERROR(IF([1]财务取数接口!$E$150=0,"",[1]财务取数接口!$E$150),""))</f>
        <v>计量单位</v>
      </c>
      <c r="F151" s="41" t="str">
        <f aca="false">IF($T$4=0,IF($M151="","",$M151),IFERROR(IF([1]财务取数接口!$G$150=0,"",[1]财务取数接口!$G$150),""))</f>
        <v>价税合计金额</v>
      </c>
      <c r="G151" s="41" t="str">
        <f aca="false">IF($T$4=0,IF($N151="","",$N151),IFERROR(IF([1]财务取数接口!$H$150=0,"",[1]财务取数接口!$H$150),""))</f>
        <v>已收金额</v>
      </c>
      <c r="H151" s="39" t="str">
        <f aca="false">IF($T$4=0,IF($O151="","",$O151),IFERROR(IF([1]财务取数接口!$I$150=0,"",[1]财务取数接口!$I$150),""))</f>
        <v>备注</v>
      </c>
      <c r="I151" s="42"/>
      <c r="J151" s="43"/>
      <c r="K151" s="42"/>
      <c r="L151" s="42"/>
      <c r="M151" s="44"/>
      <c r="N151" s="44"/>
      <c r="O151" s="43"/>
      <c r="P151" s="45" t="n">
        <f aca="false">IF(AND($C151&lt;&gt;"",$C151&lt;&gt;"项目",OR(N($D151)&lt;&gt;0,N($E151)&lt;&gt;0,N($F151)&lt;&gt;0)),1,0)</f>
        <v>0</v>
      </c>
      <c r="Q151" s="45" t="n">
        <f aca="false">N(Q150)+$P151</f>
        <v>7</v>
      </c>
    </row>
    <row r="152" customFormat="false" ht="13.5" hidden="false" customHeight="false" outlineLevel="0" collapsed="false">
      <c r="A152" s="9" t="n">
        <v>151</v>
      </c>
      <c r="B152" s="38" t="n">
        <f aca="false">IF($T$4=0,IF($I152="","",$I152),IFERROR(IF([1]财务取数接口!$B$151=0,"",[1]财务取数接口!$B$151),""))</f>
        <v>46235</v>
      </c>
      <c r="C152" s="39" t="str">
        <f aca="false">IF($T$4=0,IF($J152="","",$J152),IFERROR(IF([1]财务取数接口!$C$151=0,"",[1]财务取数接口!$C$151),""))</f>
        <v>自购水果采购入库</v>
      </c>
      <c r="D152" s="40" t="str">
        <f aca="false">IF($T$4=0,IF($K152="","",$K152),IFERROR(IF([1]财务取数接口!$D$151=0,"",[1]财务取数接口!$D$151),""))</f>
        <v/>
      </c>
      <c r="E152" s="40" t="str">
        <f aca="false">IF($T$4=0,IF($L152="","",$L152),IFERROR(IF([1]财务取数接口!$E$151=0,"",[1]财务取数接口!$E$151),""))</f>
        <v>筐</v>
      </c>
      <c r="F152" s="41" t="str">
        <f aca="false">IF($T$4=0,IF($M152="","",$M152),IFERROR(IF([1]财务取数接口!$G$151=0,"",[1]财务取数接口!$G$151),""))</f>
        <v/>
      </c>
      <c r="G152" s="41" t="str">
        <f aca="false">IF($T$4=0,IF($N152="","",$N152),IFERROR(IF([1]财务取数接口!$H$151=0,"",[1]财务取数接口!$H$151),""))</f>
        <v/>
      </c>
      <c r="H152" s="39" t="str">
        <f aca="false">IF($T$4=0,IF($O152="","",$O152),IFERROR(IF([1]财务取数接口!$I$151=0,"",[1]财务取数接口!$I$151),""))</f>
        <v/>
      </c>
      <c r="I152" s="42"/>
      <c r="J152" s="43"/>
      <c r="K152" s="42"/>
      <c r="L152" s="42"/>
      <c r="M152" s="44"/>
      <c r="N152" s="44"/>
      <c r="O152" s="43"/>
      <c r="P152" s="45" t="n">
        <f aca="false">IF(AND($C152&lt;&gt;"",$C152&lt;&gt;"项目",OR(N($D152)&lt;&gt;0,N($E152)&lt;&gt;0,N($F152)&lt;&gt;0)),1,0)</f>
        <v>0</v>
      </c>
      <c r="Q152" s="45" t="n">
        <f aca="false">N(Q151)+$P152</f>
        <v>7</v>
      </c>
    </row>
    <row r="153" customFormat="false" ht="13.5" hidden="false" customHeight="false" outlineLevel="0" collapsed="false">
      <c r="A153" s="9" t="n">
        <v>152</v>
      </c>
      <c r="B153" s="38" t="n">
        <f aca="false">IF($T$4=0,IF($I153="","",$I153),IFERROR(IF([1]财务取数接口!$B$152=0,"",[1]财务取数接口!$B$152),""))</f>
        <v>46266</v>
      </c>
      <c r="C153" s="39" t="str">
        <f aca="false">IF($T$4=0,IF($J153="","",$J153),IFERROR(IF([1]财务取数接口!$C$152=0,"",[1]财务取数接口!$C$152),""))</f>
        <v>自购水果采购入库</v>
      </c>
      <c r="D153" s="40" t="str">
        <f aca="false">IF($T$4=0,IF($K153="","",$K153),IFERROR(IF([1]财务取数接口!$D$152=0,"",[1]财务取数接口!$D$152),""))</f>
        <v/>
      </c>
      <c r="E153" s="40" t="str">
        <f aca="false">IF($T$4=0,IF($L153="","",$L153),IFERROR(IF([1]财务取数接口!$E$152=0,"",[1]财务取数接口!$E$152),""))</f>
        <v>筐</v>
      </c>
      <c r="F153" s="41" t="str">
        <f aca="false">IF($T$4=0,IF($M153="","",$M153),IFERROR(IF([1]财务取数接口!$G$152=0,"",[1]财务取数接口!$G$152),""))</f>
        <v/>
      </c>
      <c r="G153" s="41" t="str">
        <f aca="false">IF($T$4=0,IF($N153="","",$N153),IFERROR(IF([1]财务取数接口!$H$152=0,"",[1]财务取数接口!$H$152),""))</f>
        <v/>
      </c>
      <c r="H153" s="39" t="str">
        <f aca="false">IF($T$4=0,IF($O153="","",$O153),IFERROR(IF([1]财务取数接口!$I$152=0,"",[1]财务取数接口!$I$152),""))</f>
        <v/>
      </c>
      <c r="I153" s="42"/>
      <c r="J153" s="43"/>
      <c r="K153" s="42"/>
      <c r="L153" s="42"/>
      <c r="M153" s="44"/>
      <c r="N153" s="44"/>
      <c r="O153" s="43"/>
      <c r="P153" s="45" t="n">
        <f aca="false">IF(AND($C153&lt;&gt;"",$C153&lt;&gt;"项目",OR(N($D153)&lt;&gt;0,N($E153)&lt;&gt;0,N($F153)&lt;&gt;0)),1,0)</f>
        <v>0</v>
      </c>
      <c r="Q153" s="45" t="n">
        <f aca="false">N(Q152)+$P153</f>
        <v>7</v>
      </c>
    </row>
    <row r="154" customFormat="false" ht="13.5" hidden="false" customHeight="false" outlineLevel="0" collapsed="false">
      <c r="A154" s="9" t="n">
        <v>153</v>
      </c>
      <c r="B154" s="38" t="n">
        <f aca="false">IF($T$4=0,IF($I154="","",$I154),IFERROR(IF([1]财务取数接口!$B$153=0,"",[1]财务取数接口!$B$153),""))</f>
        <v>46296</v>
      </c>
      <c r="C154" s="39" t="str">
        <f aca="false">IF($T$4=0,IF($J154="","",$J154),IFERROR(IF([1]财务取数接口!$C$153=0,"",[1]财务取数接口!$C$153),""))</f>
        <v>自购水果采购入库</v>
      </c>
      <c r="D154" s="40" t="str">
        <f aca="false">IF($T$4=0,IF($K154="","",$K154),IFERROR(IF([1]财务取数接口!$D$153=0,"",[1]财务取数接口!$D$153),""))</f>
        <v/>
      </c>
      <c r="E154" s="40" t="str">
        <f aca="false">IF($T$4=0,IF($L154="","",$L154),IFERROR(IF([1]财务取数接口!$E$153=0,"",[1]财务取数接口!$E$153),""))</f>
        <v>筐</v>
      </c>
      <c r="F154" s="41" t="str">
        <f aca="false">IF($T$4=0,IF($M154="","",$M154),IFERROR(IF([1]财务取数接口!$G$153=0,"",[1]财务取数接口!$G$153),""))</f>
        <v/>
      </c>
      <c r="G154" s="41" t="str">
        <f aca="false">IF($T$4=0,IF($N154="","",$N154),IFERROR(IF([1]财务取数接口!$H$153=0,"",[1]财务取数接口!$H$153),""))</f>
        <v/>
      </c>
      <c r="H154" s="39" t="str">
        <f aca="false">IF($T$4=0,IF($O154="","",$O154),IFERROR(IF([1]财务取数接口!$I$153=0,"",[1]财务取数接口!$I$153),""))</f>
        <v/>
      </c>
      <c r="I154" s="42"/>
      <c r="J154" s="43"/>
      <c r="K154" s="42"/>
      <c r="L154" s="42"/>
      <c r="M154" s="44"/>
      <c r="N154" s="44"/>
      <c r="O154" s="43"/>
      <c r="P154" s="45" t="n">
        <f aca="false">IF(AND($C154&lt;&gt;"",$C154&lt;&gt;"项目",OR(N($D154)&lt;&gt;0,N($E154)&lt;&gt;0,N($F154)&lt;&gt;0)),1,0)</f>
        <v>0</v>
      </c>
      <c r="Q154" s="45" t="n">
        <f aca="false">N(Q153)+$P154</f>
        <v>7</v>
      </c>
    </row>
    <row r="155" customFormat="false" ht="13.5" hidden="false" customHeight="false" outlineLevel="0" collapsed="false">
      <c r="A155" s="9" t="n">
        <v>154</v>
      </c>
      <c r="B155" s="38" t="n">
        <f aca="false">IF($T$4=0,IF($I155="","",$I155),IFERROR(IF([1]财务取数接口!$B$154=0,"",[1]财务取数接口!$B$154),""))</f>
        <v>46327</v>
      </c>
      <c r="C155" s="39" t="str">
        <f aca="false">IF($T$4=0,IF($J155="","",$J155),IFERROR(IF([1]财务取数接口!$C$154=0,"",[1]财务取数接口!$C$154),""))</f>
        <v>自购水果采购入库</v>
      </c>
      <c r="D155" s="40" t="str">
        <f aca="false">IF($T$4=0,IF($K155="","",$K155),IFERROR(IF([1]财务取数接口!$D$154=0,"",[1]财务取数接口!$D$154),""))</f>
        <v/>
      </c>
      <c r="E155" s="40" t="str">
        <f aca="false">IF($T$4=0,IF($L155="","",$L155),IFERROR(IF([1]财务取数接口!$E$154=0,"",[1]财务取数接口!$E$154),""))</f>
        <v>筐</v>
      </c>
      <c r="F155" s="41" t="str">
        <f aca="false">IF($T$4=0,IF($M155="","",$M155),IFERROR(IF([1]财务取数接口!$G$154=0,"",[1]财务取数接口!$G$154),""))</f>
        <v/>
      </c>
      <c r="G155" s="41" t="str">
        <f aca="false">IF($T$4=0,IF($N155="","",$N155),IFERROR(IF([1]财务取数接口!$H$154=0,"",[1]财务取数接口!$H$154),""))</f>
        <v/>
      </c>
      <c r="H155" s="39" t="str">
        <f aca="false">IF($T$4=0,IF($O155="","",$O155),IFERROR(IF([1]财务取数接口!$I$154=0,"",[1]财务取数接口!$I$154),""))</f>
        <v/>
      </c>
      <c r="I155" s="42"/>
      <c r="J155" s="43"/>
      <c r="K155" s="42"/>
      <c r="L155" s="42"/>
      <c r="M155" s="44"/>
      <c r="N155" s="44"/>
      <c r="O155" s="43"/>
      <c r="P155" s="45" t="n">
        <f aca="false">IF(AND($C155&lt;&gt;"",$C155&lt;&gt;"项目",OR(N($D155)&lt;&gt;0,N($E155)&lt;&gt;0,N($F155)&lt;&gt;0)),1,0)</f>
        <v>0</v>
      </c>
      <c r="Q155" s="45" t="n">
        <f aca="false">N(Q154)+$P155</f>
        <v>7</v>
      </c>
    </row>
    <row r="156" customFormat="false" ht="13.5" hidden="false" customHeight="false" outlineLevel="0" collapsed="false">
      <c r="A156" s="9" t="n">
        <v>155</v>
      </c>
      <c r="B156" s="38" t="n">
        <f aca="false">IF($T$4=0,IF($I156="","",$I156),IFERROR(IF([1]财务取数接口!$B$155=0,"",[1]财务取数接口!$B$155),""))</f>
        <v>46357</v>
      </c>
      <c r="C156" s="39" t="str">
        <f aca="false">IF($T$4=0,IF($J156="","",$J156),IFERROR(IF([1]财务取数接口!$C$155=0,"",[1]财务取数接口!$C$155),""))</f>
        <v>自购水果采购入库</v>
      </c>
      <c r="D156" s="40" t="str">
        <f aca="false">IF($T$4=0,IF($K156="","",$K156),IFERROR(IF([1]财务取数接口!$D$155=0,"",[1]财务取数接口!$D$155),""))</f>
        <v/>
      </c>
      <c r="E156" s="40" t="str">
        <f aca="false">IF($T$4=0,IF($L156="","",$L156),IFERROR(IF([1]财务取数接口!$E$155=0,"",[1]财务取数接口!$E$155),""))</f>
        <v>筐</v>
      </c>
      <c r="F156" s="41" t="str">
        <f aca="false">IF($T$4=0,IF($M156="","",$M156),IFERROR(IF([1]财务取数接口!$G$155=0,"",[1]财务取数接口!$G$155),""))</f>
        <v/>
      </c>
      <c r="G156" s="41" t="str">
        <f aca="false">IF($T$4=0,IF($N156="","",$N156),IFERROR(IF([1]财务取数接口!$H$155=0,"",[1]财务取数接口!$H$155),""))</f>
        <v/>
      </c>
      <c r="H156" s="39" t="str">
        <f aca="false">IF($T$4=0,IF($O156="","",$O156),IFERROR(IF([1]财务取数接口!$I$155=0,"",[1]财务取数接口!$I$155),""))</f>
        <v/>
      </c>
      <c r="I156" s="42"/>
      <c r="J156" s="43"/>
      <c r="K156" s="42"/>
      <c r="L156" s="42"/>
      <c r="M156" s="44"/>
      <c r="N156" s="44"/>
      <c r="O156" s="43"/>
      <c r="P156" s="45" t="n">
        <f aca="false">IF(AND($C156&lt;&gt;"",$C156&lt;&gt;"项目",OR(N($D156)&lt;&gt;0,N($E156)&lt;&gt;0,N($F156)&lt;&gt;0)),1,0)</f>
        <v>0</v>
      </c>
      <c r="Q156" s="45" t="n">
        <f aca="false">N(Q155)+$P156</f>
        <v>7</v>
      </c>
    </row>
    <row r="157" customFormat="false" ht="13.5" hidden="false" customHeight="false" outlineLevel="0" collapsed="false">
      <c r="A157" s="9" t="n">
        <v>156</v>
      </c>
      <c r="B157" s="38" t="n">
        <f aca="false">IF($T$4=0,IF($I157="","",$I157),IFERROR(IF([1]财务取数接口!$B$156=0,"",[1]财务取数接口!$B$156),""))</f>
        <v>46388</v>
      </c>
      <c r="C157" s="39" t="str">
        <f aca="false">IF($T$4=0,IF($J157="","",$J157),IFERROR(IF([1]财务取数接口!$C$156=0,"",[1]财务取数接口!$C$156),""))</f>
        <v>自购水果采购入库</v>
      </c>
      <c r="D157" s="40" t="str">
        <f aca="false">IF($T$4=0,IF($K157="","",$K157),IFERROR(IF([1]财务取数接口!$D$156=0,"",[1]财务取数接口!$D$156),""))</f>
        <v/>
      </c>
      <c r="E157" s="40" t="str">
        <f aca="false">IF($T$4=0,IF($L157="","",$L157),IFERROR(IF([1]财务取数接口!$E$156=0,"",[1]财务取数接口!$E$156),""))</f>
        <v>筐</v>
      </c>
      <c r="F157" s="41" t="str">
        <f aca="false">IF($T$4=0,IF($M157="","",$M157),IFERROR(IF([1]财务取数接口!$G$156=0,"",[1]财务取数接口!$G$156),""))</f>
        <v/>
      </c>
      <c r="G157" s="41" t="str">
        <f aca="false">IF($T$4=0,IF($N157="","",$N157),IFERROR(IF([1]财务取数接口!$H$156=0,"",[1]财务取数接口!$H$156),""))</f>
        <v/>
      </c>
      <c r="H157" s="39" t="str">
        <f aca="false">IF($T$4=0,IF($O157="","",$O157),IFERROR(IF([1]财务取数接口!$I$156=0,"",[1]财务取数接口!$I$156),""))</f>
        <v/>
      </c>
      <c r="I157" s="42"/>
      <c r="J157" s="43"/>
      <c r="K157" s="42"/>
      <c r="L157" s="42"/>
      <c r="M157" s="44"/>
      <c r="N157" s="44"/>
      <c r="O157" s="43"/>
      <c r="P157" s="45" t="n">
        <f aca="false">IF(AND($C157&lt;&gt;"",$C157&lt;&gt;"项目",OR(N($D157)&lt;&gt;0,N($E157)&lt;&gt;0,N($F157)&lt;&gt;0)),1,0)</f>
        <v>0</v>
      </c>
      <c r="Q157" s="45" t="n">
        <f aca="false">N(Q156)+$P157</f>
        <v>7</v>
      </c>
    </row>
    <row r="158" customFormat="false" ht="13.5" hidden="false" customHeight="false" outlineLevel="0" collapsed="false">
      <c r="A158" s="9" t="n">
        <v>157</v>
      </c>
      <c r="B158" s="38" t="n">
        <f aca="false">IF($T$4=0,IF($I158="","",$I158),IFERROR(IF([1]财务取数接口!$B$157=0,"",[1]财务取数接口!$B$157),""))</f>
        <v>46419</v>
      </c>
      <c r="C158" s="39" t="str">
        <f aca="false">IF($T$4=0,IF($J158="","",$J158),IFERROR(IF([1]财务取数接口!$C$157=0,"",[1]财务取数接口!$C$157),""))</f>
        <v>自购水果采购入库</v>
      </c>
      <c r="D158" s="40" t="str">
        <f aca="false">IF($T$4=0,IF($K158="","",$K158),IFERROR(IF([1]财务取数接口!$D$157=0,"",[1]财务取数接口!$D$157),""))</f>
        <v/>
      </c>
      <c r="E158" s="40" t="str">
        <f aca="false">IF($T$4=0,IF($L158="","",$L158),IFERROR(IF([1]财务取数接口!$E$157=0,"",[1]财务取数接口!$E$157),""))</f>
        <v>筐</v>
      </c>
      <c r="F158" s="41" t="str">
        <f aca="false">IF($T$4=0,IF($M158="","",$M158),IFERROR(IF([1]财务取数接口!$G$157=0,"",[1]财务取数接口!$G$157),""))</f>
        <v/>
      </c>
      <c r="G158" s="41" t="str">
        <f aca="false">IF($T$4=0,IF($N158="","",$N158),IFERROR(IF([1]财务取数接口!$H$157=0,"",[1]财务取数接口!$H$157),""))</f>
        <v/>
      </c>
      <c r="H158" s="39" t="str">
        <f aca="false">IF($T$4=0,IF($O158="","",$O158),IFERROR(IF([1]财务取数接口!$I$157=0,"",[1]财务取数接口!$I$157),""))</f>
        <v/>
      </c>
      <c r="I158" s="42"/>
      <c r="J158" s="43"/>
      <c r="K158" s="42"/>
      <c r="L158" s="42"/>
      <c r="M158" s="44"/>
      <c r="N158" s="44"/>
      <c r="O158" s="43"/>
      <c r="P158" s="45" t="n">
        <f aca="false">IF(AND($C158&lt;&gt;"",$C158&lt;&gt;"项目",OR(N($D158)&lt;&gt;0,N($E158)&lt;&gt;0,N($F158)&lt;&gt;0)),1,0)</f>
        <v>0</v>
      </c>
      <c r="Q158" s="45" t="n">
        <f aca="false">N(Q157)+$P158</f>
        <v>7</v>
      </c>
    </row>
    <row r="159" customFormat="false" ht="13.5" hidden="false" customHeight="false" outlineLevel="0" collapsed="false">
      <c r="A159" s="9" t="n">
        <v>158</v>
      </c>
      <c r="B159" s="38" t="n">
        <f aca="false">IF($T$4=0,IF($I159="","",$I159),IFERROR(IF([1]财务取数接口!$B$158=0,"",[1]财务取数接口!$B$158),""))</f>
        <v>46447</v>
      </c>
      <c r="C159" s="39" t="str">
        <f aca="false">IF($T$4=0,IF($J159="","",$J159),IFERROR(IF([1]财务取数接口!$C$158=0,"",[1]财务取数接口!$C$158),""))</f>
        <v>自购水果采购入库</v>
      </c>
      <c r="D159" s="40" t="str">
        <f aca="false">IF($T$4=0,IF($K159="","",$K159),IFERROR(IF([1]财务取数接口!$D$158=0,"",[1]财务取数接口!$D$158),""))</f>
        <v/>
      </c>
      <c r="E159" s="40" t="str">
        <f aca="false">IF($T$4=0,IF($L159="","",$L159),IFERROR(IF([1]财务取数接口!$E$158=0,"",[1]财务取数接口!$E$158),""))</f>
        <v>筐</v>
      </c>
      <c r="F159" s="41" t="str">
        <f aca="false">IF($T$4=0,IF($M159="","",$M159),IFERROR(IF([1]财务取数接口!$G$158=0,"",[1]财务取数接口!$G$158),""))</f>
        <v/>
      </c>
      <c r="G159" s="41" t="str">
        <f aca="false">IF($T$4=0,IF($N159="","",$N159),IFERROR(IF([1]财务取数接口!$H$158=0,"",[1]财务取数接口!$H$158),""))</f>
        <v/>
      </c>
      <c r="H159" s="39" t="str">
        <f aca="false">IF($T$4=0,IF($O159="","",$O159),IFERROR(IF([1]财务取数接口!$I$158=0,"",[1]财务取数接口!$I$158),""))</f>
        <v/>
      </c>
      <c r="I159" s="42"/>
      <c r="J159" s="43"/>
      <c r="K159" s="42"/>
      <c r="L159" s="42"/>
      <c r="M159" s="44"/>
      <c r="N159" s="44"/>
      <c r="O159" s="43"/>
      <c r="P159" s="45" t="n">
        <f aca="false">IF(AND($C159&lt;&gt;"",$C159&lt;&gt;"项目",OR(N($D159)&lt;&gt;0,N($E159)&lt;&gt;0,N($F159)&lt;&gt;0)),1,0)</f>
        <v>0</v>
      </c>
      <c r="Q159" s="45" t="n">
        <f aca="false">N(Q158)+$P159</f>
        <v>7</v>
      </c>
    </row>
    <row r="160" customFormat="false" ht="13.5" hidden="false" customHeight="false" outlineLevel="0" collapsed="false">
      <c r="A160" s="9" t="n">
        <v>159</v>
      </c>
      <c r="B160" s="38" t="n">
        <f aca="false">IF($T$4=0,IF($I160="","",$I160),IFERROR(IF([1]财务取数接口!$B$159=0,"",[1]财务取数接口!$B$159),""))</f>
        <v>46478</v>
      </c>
      <c r="C160" s="39" t="str">
        <f aca="false">IF($T$4=0,IF($J160="","",$J160),IFERROR(IF([1]财务取数接口!$C$159=0,"",[1]财务取数接口!$C$159),""))</f>
        <v>自购水果采购入库</v>
      </c>
      <c r="D160" s="40" t="str">
        <f aca="false">IF($T$4=0,IF($K160="","",$K160),IFERROR(IF([1]财务取数接口!$D$159=0,"",[1]财务取数接口!$D$159),""))</f>
        <v/>
      </c>
      <c r="E160" s="40" t="str">
        <f aca="false">IF($T$4=0,IF($L160="","",$L160),IFERROR(IF([1]财务取数接口!$E$159=0,"",[1]财务取数接口!$E$159),""))</f>
        <v>筐</v>
      </c>
      <c r="F160" s="41" t="str">
        <f aca="false">IF($T$4=0,IF($M160="","",$M160),IFERROR(IF([1]财务取数接口!$G$159=0,"",[1]财务取数接口!$G$159),""))</f>
        <v/>
      </c>
      <c r="G160" s="41" t="str">
        <f aca="false">IF($T$4=0,IF($N160="","",$N160),IFERROR(IF([1]财务取数接口!$H$159=0,"",[1]财务取数接口!$H$159),""))</f>
        <v/>
      </c>
      <c r="H160" s="39" t="str">
        <f aca="false">IF($T$4=0,IF($O160="","",$O160),IFERROR(IF([1]财务取数接口!$I$159=0,"",[1]财务取数接口!$I$159),""))</f>
        <v/>
      </c>
      <c r="I160" s="42"/>
      <c r="J160" s="43"/>
      <c r="K160" s="42"/>
      <c r="L160" s="42"/>
      <c r="M160" s="44"/>
      <c r="N160" s="44"/>
      <c r="O160" s="43"/>
      <c r="P160" s="45" t="n">
        <f aca="false">IF(AND($C160&lt;&gt;"",$C160&lt;&gt;"项目",OR(N($D160)&lt;&gt;0,N($E160)&lt;&gt;0,N($F160)&lt;&gt;0)),1,0)</f>
        <v>0</v>
      </c>
      <c r="Q160" s="45" t="n">
        <f aca="false">N(Q159)+$P160</f>
        <v>7</v>
      </c>
    </row>
    <row r="161" customFormat="false" ht="13.5" hidden="false" customHeight="false" outlineLevel="0" collapsed="false">
      <c r="A161" s="9" t="n">
        <v>160</v>
      </c>
      <c r="B161" s="38" t="n">
        <f aca="false">IF($T$4=0,IF($I161="","",$I161),IFERROR(IF([1]财务取数接口!$B$160=0,"",[1]财务取数接口!$B$160),""))</f>
        <v>46508</v>
      </c>
      <c r="C161" s="39" t="str">
        <f aca="false">IF($T$4=0,IF($J161="","",$J161),IFERROR(IF([1]财务取数接口!$C$160=0,"",[1]财务取数接口!$C$160),""))</f>
        <v>自购水果采购入库</v>
      </c>
      <c r="D161" s="40" t="str">
        <f aca="false">IF($T$4=0,IF($K161="","",$K161),IFERROR(IF([1]财务取数接口!$D$160=0,"",[1]财务取数接口!$D$160),""))</f>
        <v/>
      </c>
      <c r="E161" s="40" t="str">
        <f aca="false">IF($T$4=0,IF($L161="","",$L161),IFERROR(IF([1]财务取数接口!$E$160=0,"",[1]财务取数接口!$E$160),""))</f>
        <v>筐</v>
      </c>
      <c r="F161" s="41" t="str">
        <f aca="false">IF($T$4=0,IF($M161="","",$M161),IFERROR(IF([1]财务取数接口!$G$160=0,"",[1]财务取数接口!$G$160),""))</f>
        <v/>
      </c>
      <c r="G161" s="41" t="str">
        <f aca="false">IF($T$4=0,IF($N161="","",$N161),IFERROR(IF([1]财务取数接口!$H$160=0,"",[1]财务取数接口!$H$160),""))</f>
        <v/>
      </c>
      <c r="H161" s="39" t="str">
        <f aca="false">IF($T$4=0,IF($O161="","",$O161),IFERROR(IF([1]财务取数接口!$I$160=0,"",[1]财务取数接口!$I$160),""))</f>
        <v/>
      </c>
      <c r="I161" s="42"/>
      <c r="J161" s="43"/>
      <c r="K161" s="42"/>
      <c r="L161" s="42"/>
      <c r="M161" s="44"/>
      <c r="N161" s="44"/>
      <c r="O161" s="43"/>
      <c r="P161" s="45" t="n">
        <f aca="false">IF(AND($C161&lt;&gt;"",$C161&lt;&gt;"项目",OR(N($D161)&lt;&gt;0,N($E161)&lt;&gt;0,N($F161)&lt;&gt;0)),1,0)</f>
        <v>0</v>
      </c>
      <c r="Q161" s="45" t="n">
        <f aca="false">N(Q160)+$P161</f>
        <v>7</v>
      </c>
    </row>
    <row r="162" customFormat="false" ht="13.5" hidden="false" customHeight="false" outlineLevel="0" collapsed="false">
      <c r="A162" s="9" t="n">
        <v>161</v>
      </c>
      <c r="B162" s="38" t="n">
        <f aca="false">IF($T$4=0,IF($I162="","",$I162),IFERROR(IF([1]财务取数接口!$B$161=0,"",[1]财务取数接口!$B$161),""))</f>
        <v>46539</v>
      </c>
      <c r="C162" s="39" t="str">
        <f aca="false">IF($T$4=0,IF($J162="","",$J162),IFERROR(IF([1]财务取数接口!$C$161=0,"",[1]财务取数接口!$C$161),""))</f>
        <v>自购水果采购入库</v>
      </c>
      <c r="D162" s="40" t="str">
        <f aca="false">IF($T$4=0,IF($K162="","",$K162),IFERROR(IF([1]财务取数接口!$D$161=0,"",[1]财务取数接口!$D$161),""))</f>
        <v/>
      </c>
      <c r="E162" s="40" t="str">
        <f aca="false">IF($T$4=0,IF($L162="","",$L162),IFERROR(IF([1]财务取数接口!$E$161=0,"",[1]财务取数接口!$E$161),""))</f>
        <v>筐</v>
      </c>
      <c r="F162" s="41" t="str">
        <f aca="false">IF($T$4=0,IF($M162="","",$M162),IFERROR(IF([1]财务取数接口!$G$161=0,"",[1]财务取数接口!$G$161),""))</f>
        <v/>
      </c>
      <c r="G162" s="41" t="str">
        <f aca="false">IF($T$4=0,IF($N162="","",$N162),IFERROR(IF([1]财务取数接口!$H$161=0,"",[1]财务取数接口!$H$161),""))</f>
        <v/>
      </c>
      <c r="H162" s="39" t="str">
        <f aca="false">IF($T$4=0,IF($O162="","",$O162),IFERROR(IF([1]财务取数接口!$I$161=0,"",[1]财务取数接口!$I$161),""))</f>
        <v/>
      </c>
      <c r="I162" s="42"/>
      <c r="J162" s="43"/>
      <c r="K162" s="42"/>
      <c r="L162" s="42"/>
      <c r="M162" s="44"/>
      <c r="N162" s="44"/>
      <c r="O162" s="43"/>
      <c r="P162" s="45" t="n">
        <f aca="false">IF(AND($C162&lt;&gt;"",$C162&lt;&gt;"项目",OR(N($D162)&lt;&gt;0,N($E162)&lt;&gt;0,N($F162)&lt;&gt;0)),1,0)</f>
        <v>0</v>
      </c>
      <c r="Q162" s="45" t="n">
        <f aca="false">N(Q161)+$P162</f>
        <v>7</v>
      </c>
    </row>
    <row r="163" customFormat="false" ht="13.5" hidden="false" customHeight="false" outlineLevel="0" collapsed="false">
      <c r="A163" s="9" t="n">
        <v>162</v>
      </c>
      <c r="B163" s="38" t="n">
        <f aca="false">IF($T$4=0,IF($I163="","",$I163),IFERROR(IF([1]财务取数接口!$B$162=0,"",[1]财务取数接口!$B$162),""))</f>
        <v>46569</v>
      </c>
      <c r="C163" s="39" t="str">
        <f aca="false">IF($T$4=0,IF($J163="","",$J163),IFERROR(IF([1]财务取数接口!$C$162=0,"",[1]财务取数接口!$C$162),""))</f>
        <v>自购水果采购入库</v>
      </c>
      <c r="D163" s="40" t="str">
        <f aca="false">IF($T$4=0,IF($K163="","",$K163),IFERROR(IF([1]财务取数接口!$D$162=0,"",[1]财务取数接口!$D$162),""))</f>
        <v/>
      </c>
      <c r="E163" s="40" t="str">
        <f aca="false">IF($T$4=0,IF($L163="","",$L163),IFERROR(IF([1]财务取数接口!$E$162=0,"",[1]财务取数接口!$E$162),""))</f>
        <v>筐</v>
      </c>
      <c r="F163" s="41" t="str">
        <f aca="false">IF($T$4=0,IF($M163="","",$M163),IFERROR(IF([1]财务取数接口!$G$162=0,"",[1]财务取数接口!$G$162),""))</f>
        <v/>
      </c>
      <c r="G163" s="41" t="str">
        <f aca="false">IF($T$4=0,IF($N163="","",$N163),IFERROR(IF([1]财务取数接口!$H$162=0,"",[1]财务取数接口!$H$162),""))</f>
        <v/>
      </c>
      <c r="H163" s="39" t="str">
        <f aca="false">IF($T$4=0,IF($O163="","",$O163),IFERROR(IF([1]财务取数接口!$I$162=0,"",[1]财务取数接口!$I$162),""))</f>
        <v/>
      </c>
      <c r="I163" s="42"/>
      <c r="J163" s="43"/>
      <c r="K163" s="42"/>
      <c r="L163" s="42"/>
      <c r="M163" s="44"/>
      <c r="N163" s="44"/>
      <c r="O163" s="43"/>
      <c r="P163" s="45" t="n">
        <f aca="false">IF(AND($C163&lt;&gt;"",$C163&lt;&gt;"项目",OR(N($D163)&lt;&gt;0,N($E163)&lt;&gt;0,N($F163)&lt;&gt;0)),1,0)</f>
        <v>0</v>
      </c>
      <c r="Q163" s="45" t="n">
        <f aca="false">N(Q162)+$P163</f>
        <v>7</v>
      </c>
    </row>
    <row r="164" customFormat="false" ht="13.5" hidden="false" customHeight="false" outlineLevel="0" collapsed="false">
      <c r="A164" s="9" t="n">
        <v>163</v>
      </c>
      <c r="B164" s="38" t="n">
        <f aca="false">IF($T$4=0,IF($I164="","",$I164),IFERROR(IF([1]财务取数接口!$B$163=0,"",[1]财务取数接口!$B$163),""))</f>
        <v>46600</v>
      </c>
      <c r="C164" s="39" t="str">
        <f aca="false">IF($T$4=0,IF($J164="","",$J164),IFERROR(IF([1]财务取数接口!$C$163=0,"",[1]财务取数接口!$C$163),""))</f>
        <v>自购水果采购入库</v>
      </c>
      <c r="D164" s="40" t="str">
        <f aca="false">IF($T$4=0,IF($K164="","",$K164),IFERROR(IF([1]财务取数接口!$D$163=0,"",[1]财务取数接口!$D$163),""))</f>
        <v/>
      </c>
      <c r="E164" s="40" t="str">
        <f aca="false">IF($T$4=0,IF($L164="","",$L164),IFERROR(IF([1]财务取数接口!$E$163=0,"",[1]财务取数接口!$E$163),""))</f>
        <v>筐</v>
      </c>
      <c r="F164" s="41" t="str">
        <f aca="false">IF($T$4=0,IF($M164="","",$M164),IFERROR(IF([1]财务取数接口!$G$163=0,"",[1]财务取数接口!$G$163),""))</f>
        <v/>
      </c>
      <c r="G164" s="41" t="str">
        <f aca="false">IF($T$4=0,IF($N164="","",$N164),IFERROR(IF([1]财务取数接口!$H$163=0,"",[1]财务取数接口!$H$163),""))</f>
        <v/>
      </c>
      <c r="H164" s="39" t="str">
        <f aca="false">IF($T$4=0,IF($O164="","",$O164),IFERROR(IF([1]财务取数接口!$I$163=0,"",[1]财务取数接口!$I$163),""))</f>
        <v/>
      </c>
      <c r="I164" s="42"/>
      <c r="J164" s="43"/>
      <c r="K164" s="42"/>
      <c r="L164" s="42"/>
      <c r="M164" s="44"/>
      <c r="N164" s="44"/>
      <c r="O164" s="43"/>
      <c r="P164" s="45" t="n">
        <f aca="false">IF(AND($C164&lt;&gt;"",$C164&lt;&gt;"项目",OR(N($D164)&lt;&gt;0,N($E164)&lt;&gt;0,N($F164)&lt;&gt;0)),1,0)</f>
        <v>0</v>
      </c>
      <c r="Q164" s="45" t="n">
        <f aca="false">N(Q163)+$P164</f>
        <v>7</v>
      </c>
    </row>
    <row r="165" customFormat="false" ht="13.5" hidden="false" customHeight="false" outlineLevel="0" collapsed="false">
      <c r="A165" s="9" t="n">
        <v>164</v>
      </c>
      <c r="B165" s="38" t="n">
        <f aca="false">IF($T$4=0,IF($I165="","",$I165),IFERROR(IF([1]财务取数接口!$B$164=0,"",[1]财务取数接口!$B$164),""))</f>
        <v>46631</v>
      </c>
      <c r="C165" s="39" t="str">
        <f aca="false">IF($T$4=0,IF($J165="","",$J165),IFERROR(IF([1]财务取数接口!$C$164=0,"",[1]财务取数接口!$C$164),""))</f>
        <v>自购水果采购入库</v>
      </c>
      <c r="D165" s="40" t="str">
        <f aca="false">IF($T$4=0,IF($K165="","",$K165),IFERROR(IF([1]财务取数接口!$D$164=0,"",[1]财务取数接口!$D$164),""))</f>
        <v/>
      </c>
      <c r="E165" s="40" t="str">
        <f aca="false">IF($T$4=0,IF($L165="","",$L165),IFERROR(IF([1]财务取数接口!$E$164=0,"",[1]财务取数接口!$E$164),""))</f>
        <v>筐</v>
      </c>
      <c r="F165" s="41" t="str">
        <f aca="false">IF($T$4=0,IF($M165="","",$M165),IFERROR(IF([1]财务取数接口!$G$164=0,"",[1]财务取数接口!$G$164),""))</f>
        <v/>
      </c>
      <c r="G165" s="41" t="str">
        <f aca="false">IF($T$4=0,IF($N165="","",$N165),IFERROR(IF([1]财务取数接口!$H$164=0,"",[1]财务取数接口!$H$164),""))</f>
        <v/>
      </c>
      <c r="H165" s="39" t="str">
        <f aca="false">IF($T$4=0,IF($O165="","",$O165),IFERROR(IF([1]财务取数接口!$I$164=0,"",[1]财务取数接口!$I$164),""))</f>
        <v/>
      </c>
      <c r="I165" s="42"/>
      <c r="J165" s="43"/>
      <c r="K165" s="42"/>
      <c r="L165" s="42"/>
      <c r="M165" s="44"/>
      <c r="N165" s="44"/>
      <c r="O165" s="43"/>
      <c r="P165" s="45" t="n">
        <f aca="false">IF(AND($C165&lt;&gt;"",$C165&lt;&gt;"项目",OR(N($D165)&lt;&gt;0,N($E165)&lt;&gt;0,N($F165)&lt;&gt;0)),1,0)</f>
        <v>0</v>
      </c>
      <c r="Q165" s="45" t="n">
        <f aca="false">N(Q164)+$P165</f>
        <v>7</v>
      </c>
    </row>
    <row r="166" customFormat="false" ht="13.5" hidden="false" customHeight="false" outlineLevel="0" collapsed="false">
      <c r="A166" s="9" t="n">
        <v>165</v>
      </c>
      <c r="B166" s="38" t="n">
        <f aca="false">IF($T$4=0,IF($I166="","",$I166),IFERROR(IF([1]财务取数接口!$B$165=0,"",[1]财务取数接口!$B$165),""))</f>
        <v>46661</v>
      </c>
      <c r="C166" s="39" t="str">
        <f aca="false">IF($T$4=0,IF($J166="","",$J166),IFERROR(IF([1]财务取数接口!$C$165=0,"",[1]财务取数接口!$C$165),""))</f>
        <v>自购水果采购入库</v>
      </c>
      <c r="D166" s="40" t="str">
        <f aca="false">IF($T$4=0,IF($K166="","",$K166),IFERROR(IF([1]财务取数接口!$D$165=0,"",[1]财务取数接口!$D$165),""))</f>
        <v/>
      </c>
      <c r="E166" s="40" t="str">
        <f aca="false">IF($T$4=0,IF($L166="","",$L166),IFERROR(IF([1]财务取数接口!$E$165=0,"",[1]财务取数接口!$E$165),""))</f>
        <v>筐</v>
      </c>
      <c r="F166" s="41" t="str">
        <f aca="false">IF($T$4=0,IF($M166="","",$M166),IFERROR(IF([1]财务取数接口!$G$165=0,"",[1]财务取数接口!$G$165),""))</f>
        <v/>
      </c>
      <c r="G166" s="41" t="str">
        <f aca="false">IF($T$4=0,IF($N166="","",$N166),IFERROR(IF([1]财务取数接口!$H$165=0,"",[1]财务取数接口!$H$165),""))</f>
        <v/>
      </c>
      <c r="H166" s="39" t="str">
        <f aca="false">IF($T$4=0,IF($O166="","",$O166),IFERROR(IF([1]财务取数接口!$I$165=0,"",[1]财务取数接口!$I$165),""))</f>
        <v/>
      </c>
      <c r="I166" s="42"/>
      <c r="J166" s="43"/>
      <c r="K166" s="42"/>
      <c r="L166" s="42"/>
      <c r="M166" s="44"/>
      <c r="N166" s="44"/>
      <c r="O166" s="43"/>
      <c r="P166" s="45" t="n">
        <f aca="false">IF(AND($C166&lt;&gt;"",$C166&lt;&gt;"项目",OR(N($D166)&lt;&gt;0,N($E166)&lt;&gt;0,N($F166)&lt;&gt;0)),1,0)</f>
        <v>0</v>
      </c>
      <c r="Q166" s="45" t="n">
        <f aca="false">N(Q165)+$P166</f>
        <v>7</v>
      </c>
    </row>
    <row r="167" customFormat="false" ht="13.5" hidden="false" customHeight="false" outlineLevel="0" collapsed="false">
      <c r="A167" s="9" t="n">
        <v>166</v>
      </c>
      <c r="B167" s="38" t="n">
        <f aca="false">IF($T$4=0,IF($I167="","",$I167),IFERROR(IF([1]财务取数接口!$B$166=0,"",[1]财务取数接口!$B$166),""))</f>
        <v>46692</v>
      </c>
      <c r="C167" s="39" t="str">
        <f aca="false">IF($T$4=0,IF($J167="","",$J167),IFERROR(IF([1]财务取数接口!$C$166=0,"",[1]财务取数接口!$C$166),""))</f>
        <v>自购水果采购入库</v>
      </c>
      <c r="D167" s="40" t="str">
        <f aca="false">IF($T$4=0,IF($K167="","",$K167),IFERROR(IF([1]财务取数接口!$D$166=0,"",[1]财务取数接口!$D$166),""))</f>
        <v/>
      </c>
      <c r="E167" s="40" t="str">
        <f aca="false">IF($T$4=0,IF($L167="","",$L167),IFERROR(IF([1]财务取数接口!$E$166=0,"",[1]财务取数接口!$E$166),""))</f>
        <v>筐</v>
      </c>
      <c r="F167" s="41" t="str">
        <f aca="false">IF($T$4=0,IF($M167="","",$M167),IFERROR(IF([1]财务取数接口!$G$166=0,"",[1]财务取数接口!$G$166),""))</f>
        <v/>
      </c>
      <c r="G167" s="41" t="str">
        <f aca="false">IF($T$4=0,IF($N167="","",$N167),IFERROR(IF([1]财务取数接口!$H$166=0,"",[1]财务取数接口!$H$166),""))</f>
        <v/>
      </c>
      <c r="H167" s="39" t="str">
        <f aca="false">IF($T$4=0,IF($O167="","",$O167),IFERROR(IF([1]财务取数接口!$I$166=0,"",[1]财务取数接口!$I$166),""))</f>
        <v/>
      </c>
      <c r="I167" s="42"/>
      <c r="J167" s="43"/>
      <c r="K167" s="42"/>
      <c r="L167" s="42"/>
      <c r="M167" s="44"/>
      <c r="N167" s="44"/>
      <c r="O167" s="43"/>
      <c r="P167" s="45" t="n">
        <f aca="false">IF(AND($C167&lt;&gt;"",$C167&lt;&gt;"项目",OR(N($D167)&lt;&gt;0,N($E167)&lt;&gt;0,N($F167)&lt;&gt;0)),1,0)</f>
        <v>0</v>
      </c>
      <c r="Q167" s="45" t="n">
        <f aca="false">N(Q166)+$P167</f>
        <v>7</v>
      </c>
    </row>
    <row r="168" customFormat="false" ht="13.5" hidden="false" customHeight="false" outlineLevel="0" collapsed="false">
      <c r="A168" s="9" t="n">
        <v>167</v>
      </c>
      <c r="B168" s="38" t="n">
        <f aca="false">IF($T$4=0,IF($I168="","",$I168),IFERROR(IF([1]财务取数接口!$B$167=0,"",[1]财务取数接口!$B$167),""))</f>
        <v>46722</v>
      </c>
      <c r="C168" s="39" t="str">
        <f aca="false">IF($T$4=0,IF($J168="","",$J168),IFERROR(IF([1]财务取数接口!$C$167=0,"",[1]财务取数接口!$C$167),""))</f>
        <v>自购水果采购入库</v>
      </c>
      <c r="D168" s="40" t="str">
        <f aca="false">IF($T$4=0,IF($K168="","",$K168),IFERROR(IF([1]财务取数接口!$D$167=0,"",[1]财务取数接口!$D$167),""))</f>
        <v/>
      </c>
      <c r="E168" s="40" t="str">
        <f aca="false">IF($T$4=0,IF($L168="","",$L168),IFERROR(IF([1]财务取数接口!$E$167=0,"",[1]财务取数接口!$E$167),""))</f>
        <v>筐</v>
      </c>
      <c r="F168" s="41" t="str">
        <f aca="false">IF($T$4=0,IF($M168="","",$M168),IFERROR(IF([1]财务取数接口!$G$167=0,"",[1]财务取数接口!$G$167),""))</f>
        <v/>
      </c>
      <c r="G168" s="41" t="str">
        <f aca="false">IF($T$4=0,IF($N168="","",$N168),IFERROR(IF([1]财务取数接口!$H$167=0,"",[1]财务取数接口!$H$167),""))</f>
        <v/>
      </c>
      <c r="H168" s="39" t="str">
        <f aca="false">IF($T$4=0,IF($O168="","",$O168),IFERROR(IF([1]财务取数接口!$I$167=0,"",[1]财务取数接口!$I$167),""))</f>
        <v/>
      </c>
      <c r="I168" s="42"/>
      <c r="J168" s="43"/>
      <c r="K168" s="42"/>
      <c r="L168" s="42"/>
      <c r="M168" s="44"/>
      <c r="N168" s="44"/>
      <c r="O168" s="43"/>
      <c r="P168" s="45" t="n">
        <f aca="false">IF(AND($C168&lt;&gt;"",$C168&lt;&gt;"项目",OR(N($D168)&lt;&gt;0,N($E168)&lt;&gt;0,N($F168)&lt;&gt;0)),1,0)</f>
        <v>0</v>
      </c>
      <c r="Q168" s="45" t="n">
        <f aca="false">N(Q167)+$P168</f>
        <v>7</v>
      </c>
    </row>
    <row r="169" customFormat="false" ht="13.5" hidden="false" customHeight="false" outlineLevel="0" collapsed="false">
      <c r="A169" s="9" t="n">
        <v>168</v>
      </c>
      <c r="B169" s="38" t="n">
        <f aca="false">IF($T$4=0,IF($I169="","",$I169),IFERROR(IF([1]财务取数接口!$B$168=0,"",[1]财务取数接口!$B$168),""))</f>
        <v>46753</v>
      </c>
      <c r="C169" s="39" t="str">
        <f aca="false">IF($T$4=0,IF($J169="","",$J169),IFERROR(IF([1]财务取数接口!$C$168=0,"",[1]财务取数接口!$C$168),""))</f>
        <v>自购水果采购入库</v>
      </c>
      <c r="D169" s="40" t="str">
        <f aca="false">IF($T$4=0,IF($K169="","",$K169),IFERROR(IF([1]财务取数接口!$D$168=0,"",[1]财务取数接口!$D$168),""))</f>
        <v/>
      </c>
      <c r="E169" s="40" t="str">
        <f aca="false">IF($T$4=0,IF($L169="","",$L169),IFERROR(IF([1]财务取数接口!$E$168=0,"",[1]财务取数接口!$E$168),""))</f>
        <v>筐</v>
      </c>
      <c r="F169" s="41" t="str">
        <f aca="false">IF($T$4=0,IF($M169="","",$M169),IFERROR(IF([1]财务取数接口!$G$168=0,"",[1]财务取数接口!$G$168),""))</f>
        <v/>
      </c>
      <c r="G169" s="41" t="str">
        <f aca="false">IF($T$4=0,IF($N169="","",$N169),IFERROR(IF([1]财务取数接口!$H$168=0,"",[1]财务取数接口!$H$168),""))</f>
        <v/>
      </c>
      <c r="H169" s="39" t="str">
        <f aca="false">IF($T$4=0,IF($O169="","",$O169),IFERROR(IF([1]财务取数接口!$I$168=0,"",[1]财务取数接口!$I$168),""))</f>
        <v/>
      </c>
      <c r="I169" s="42"/>
      <c r="J169" s="43"/>
      <c r="K169" s="42"/>
      <c r="L169" s="42"/>
      <c r="M169" s="44"/>
      <c r="N169" s="44"/>
      <c r="O169" s="43"/>
      <c r="P169" s="45" t="n">
        <f aca="false">IF(AND($C169&lt;&gt;"",$C169&lt;&gt;"项目",OR(N($D169)&lt;&gt;0,N($E169)&lt;&gt;0,N($F169)&lt;&gt;0)),1,0)</f>
        <v>0</v>
      </c>
      <c r="Q169" s="45" t="n">
        <f aca="false">N(Q168)+$P169</f>
        <v>7</v>
      </c>
    </row>
    <row r="170" customFormat="false" ht="21.75" hidden="false" customHeight="true" outlineLevel="0" collapsed="false">
      <c r="A170" s="9" t="n">
        <v>169</v>
      </c>
      <c r="B170" s="38" t="n">
        <f aca="false">IF($T$4=0,IF($I170="","",$I170),IFERROR(IF([1]财务取数接口!$B$169=0,"",[1]财务取数接口!$B$169),""))</f>
        <v>46784</v>
      </c>
      <c r="C170" s="39" t="str">
        <f aca="false">IF($T$4=0,IF($J170="","",$J170),IFERROR(IF([1]财务取数接口!$C$169=0,"",[1]财务取数接口!$C$169),""))</f>
        <v>自购水果采购入库</v>
      </c>
      <c r="D170" s="40" t="str">
        <f aca="false">IF($T$4=0,IF($K170="","",$K170),IFERROR(IF([1]财务取数接口!$D$169=0,"",[1]财务取数接口!$D$169),""))</f>
        <v/>
      </c>
      <c r="E170" s="40" t="str">
        <f aca="false">IF($T$4=0,IF($L170="","",$L170),IFERROR(IF([1]财务取数接口!$E$169=0,"",[1]财务取数接口!$E$169),""))</f>
        <v>筐</v>
      </c>
      <c r="F170" s="41" t="str">
        <f aca="false">IF($T$4=0,IF($M170="","",$M170),IFERROR(IF([1]财务取数接口!$G$169=0,"",[1]财务取数接口!$G$169),""))</f>
        <v/>
      </c>
      <c r="G170" s="41" t="str">
        <f aca="false">IF($T$4=0,IF($N170="","",$N170),IFERROR(IF([1]财务取数接口!$H$169=0,"",[1]财务取数接口!$H$169),""))</f>
        <v/>
      </c>
      <c r="H170" s="39" t="str">
        <f aca="false">IF($T$4=0,IF($O170="","",$O170),IFERROR(IF([1]财务取数接口!$I$169=0,"",[1]财务取数接口!$I$169),""))</f>
        <v/>
      </c>
      <c r="I170" s="42"/>
      <c r="J170" s="43"/>
      <c r="K170" s="42"/>
      <c r="L170" s="42"/>
      <c r="M170" s="44"/>
      <c r="N170" s="44"/>
      <c r="O170" s="43"/>
      <c r="P170" s="45" t="n">
        <f aca="false">IF(AND($C170&lt;&gt;"",$C170&lt;&gt;"项目",OR(N($D170)&lt;&gt;0,N($E170)&lt;&gt;0,N($F170)&lt;&gt;0)),1,0)</f>
        <v>0</v>
      </c>
      <c r="Q170" s="45" t="n">
        <f aca="false">N(Q169)+$P170</f>
        <v>7</v>
      </c>
    </row>
    <row r="171" customFormat="false" ht="13.5" hidden="false" customHeight="false" outlineLevel="0" collapsed="false">
      <c r="A171" s="9" t="n">
        <v>170</v>
      </c>
      <c r="B171" s="38" t="n">
        <f aca="false">IF($T$4=0,IF($I171="","",$I171),IFERROR(IF([1]财务取数接口!$B$170=0,"",[1]财务取数接口!$B$170),""))</f>
        <v>46813</v>
      </c>
      <c r="C171" s="39" t="str">
        <f aca="false">IF($T$4=0,IF($J171="","",$J171),IFERROR(IF([1]财务取数接口!$C$170=0,"",[1]财务取数接口!$C$170),""))</f>
        <v>自购水果采购入库</v>
      </c>
      <c r="D171" s="40" t="str">
        <f aca="false">IF($T$4=0,IF($K171="","",$K171),IFERROR(IF([1]财务取数接口!$D$170=0,"",[1]财务取数接口!$D$170),""))</f>
        <v/>
      </c>
      <c r="E171" s="40" t="str">
        <f aca="false">IF($T$4=0,IF($L171="","",$L171),IFERROR(IF([1]财务取数接口!$E$170=0,"",[1]财务取数接口!$E$170),""))</f>
        <v>筐</v>
      </c>
      <c r="F171" s="41" t="str">
        <f aca="false">IF($T$4=0,IF($M171="","",$M171),IFERROR(IF([1]财务取数接口!$G$170=0,"",[1]财务取数接口!$G$170),""))</f>
        <v/>
      </c>
      <c r="G171" s="41" t="str">
        <f aca="false">IF($T$4=0,IF($N171="","",$N171),IFERROR(IF([1]财务取数接口!$H$170=0,"",[1]财务取数接口!$H$170),""))</f>
        <v/>
      </c>
      <c r="H171" s="39" t="str">
        <f aca="false">IF($T$4=0,IF($O171="","",$O171),IFERROR(IF([1]财务取数接口!$I$170=0,"",[1]财务取数接口!$I$170),""))</f>
        <v/>
      </c>
      <c r="I171" s="42"/>
      <c r="J171" s="43"/>
      <c r="K171" s="42"/>
      <c r="L171" s="42"/>
      <c r="M171" s="44"/>
      <c r="N171" s="44"/>
      <c r="O171" s="43"/>
      <c r="P171" s="45" t="n">
        <f aca="false">IF(AND($C171&lt;&gt;"",$C171&lt;&gt;"项目",OR(N($D171)&lt;&gt;0,N($E171)&lt;&gt;0,N($F171)&lt;&gt;0)),1,0)</f>
        <v>0</v>
      </c>
      <c r="Q171" s="45" t="n">
        <f aca="false">N(Q170)+$P171</f>
        <v>7</v>
      </c>
    </row>
    <row r="172" customFormat="false" ht="13.5" hidden="false" customHeight="false" outlineLevel="0" collapsed="false">
      <c r="A172" s="9" t="n">
        <v>171</v>
      </c>
      <c r="B172" s="38" t="n">
        <f aca="false">IF($T$4=0,IF($I172="","",$I172),IFERROR(IF([1]财务取数接口!$B$171=0,"",[1]财务取数接口!$B$171),""))</f>
        <v>46844</v>
      </c>
      <c r="C172" s="39" t="str">
        <f aca="false">IF($T$4=0,IF($J172="","",$J172),IFERROR(IF([1]财务取数接口!$C$171=0,"",[1]财务取数接口!$C$171),""))</f>
        <v>自购水果采购入库</v>
      </c>
      <c r="D172" s="40" t="str">
        <f aca="false">IF($T$4=0,IF($K172="","",$K172),IFERROR(IF([1]财务取数接口!$D$171=0,"",[1]财务取数接口!$D$171),""))</f>
        <v/>
      </c>
      <c r="E172" s="40" t="str">
        <f aca="false">IF($T$4=0,IF($L172="","",$L172),IFERROR(IF([1]财务取数接口!$E$171=0,"",[1]财务取数接口!$E$171),""))</f>
        <v>筐</v>
      </c>
      <c r="F172" s="41" t="str">
        <f aca="false">IF($T$4=0,IF($M172="","",$M172),IFERROR(IF([1]财务取数接口!$G$171=0,"",[1]财务取数接口!$G$171),""))</f>
        <v/>
      </c>
      <c r="G172" s="41" t="str">
        <f aca="false">IF($T$4=0,IF($N172="","",$N172),IFERROR(IF([1]财务取数接口!$H$171=0,"",[1]财务取数接口!$H$171),""))</f>
        <v/>
      </c>
      <c r="H172" s="39" t="str">
        <f aca="false">IF($T$4=0,IF($O172="","",$O172),IFERROR(IF([1]财务取数接口!$I$171=0,"",[1]财务取数接口!$I$171),""))</f>
        <v/>
      </c>
      <c r="I172" s="42"/>
      <c r="J172" s="43"/>
      <c r="K172" s="42"/>
      <c r="L172" s="42"/>
      <c r="M172" s="44"/>
      <c r="N172" s="44"/>
      <c r="O172" s="43"/>
      <c r="P172" s="45" t="n">
        <f aca="false">IF(AND($C172&lt;&gt;"",$C172&lt;&gt;"项目",OR(N($D172)&lt;&gt;0,N($E172)&lt;&gt;0,N($F172)&lt;&gt;0)),1,0)</f>
        <v>0</v>
      </c>
      <c r="Q172" s="45" t="n">
        <f aca="false">N(Q171)+$P172</f>
        <v>7</v>
      </c>
    </row>
    <row r="173" customFormat="false" ht="13.5" hidden="false" customHeight="false" outlineLevel="0" collapsed="false">
      <c r="A173" s="9" t="n">
        <v>172</v>
      </c>
      <c r="B173" s="38" t="n">
        <f aca="false">IF($T$4=0,IF($I173="","",$I173),IFERROR(IF([1]财务取数接口!$B$172=0,"",[1]财务取数接口!$B$172),""))</f>
        <v>46874</v>
      </c>
      <c r="C173" s="39" t="str">
        <f aca="false">IF($T$4=0,IF($J173="","",$J173),IFERROR(IF([1]财务取数接口!$C$172=0,"",[1]财务取数接口!$C$172),""))</f>
        <v>自购水果采购入库</v>
      </c>
      <c r="D173" s="40" t="str">
        <f aca="false">IF($T$4=0,IF($K173="","",$K173),IFERROR(IF([1]财务取数接口!$D$172=0,"",[1]财务取数接口!$D$172),""))</f>
        <v/>
      </c>
      <c r="E173" s="40" t="str">
        <f aca="false">IF($T$4=0,IF($L173="","",$L173),IFERROR(IF([1]财务取数接口!$E$172=0,"",[1]财务取数接口!$E$172),""))</f>
        <v>筐</v>
      </c>
      <c r="F173" s="41" t="str">
        <f aca="false">IF($T$4=0,IF($M173="","",$M173),IFERROR(IF([1]财务取数接口!$G$172=0,"",[1]财务取数接口!$G$172),""))</f>
        <v/>
      </c>
      <c r="G173" s="41" t="str">
        <f aca="false">IF($T$4=0,IF($N173="","",$N173),IFERROR(IF([1]财务取数接口!$H$172=0,"",[1]财务取数接口!$H$172),""))</f>
        <v/>
      </c>
      <c r="H173" s="39" t="str">
        <f aca="false">IF($T$4=0,IF($O173="","",$O173),IFERROR(IF([1]财务取数接口!$I$172=0,"",[1]财务取数接口!$I$172),""))</f>
        <v/>
      </c>
      <c r="I173" s="42"/>
      <c r="J173" s="43"/>
      <c r="K173" s="42"/>
      <c r="L173" s="42"/>
      <c r="M173" s="44"/>
      <c r="N173" s="44"/>
      <c r="O173" s="43"/>
      <c r="P173" s="45" t="n">
        <f aca="false">IF(AND($C173&lt;&gt;"",$C173&lt;&gt;"项目",OR(N($D173)&lt;&gt;0,N($E173)&lt;&gt;0,N($F173)&lt;&gt;0)),1,0)</f>
        <v>0</v>
      </c>
      <c r="Q173" s="45" t="n">
        <f aca="false">N(Q172)+$P173</f>
        <v>7</v>
      </c>
    </row>
    <row r="174" customFormat="false" ht="13.5" hidden="false" customHeight="false" outlineLevel="0" collapsed="false">
      <c r="A174" s="9" t="n">
        <v>173</v>
      </c>
      <c r="B174" s="38" t="n">
        <f aca="false">IF($T$4=0,IF($I174="","",$I174),IFERROR(IF([1]财务取数接口!$B$173=0,"",[1]财务取数接口!$B$173),""))</f>
        <v>46905</v>
      </c>
      <c r="C174" s="39" t="str">
        <f aca="false">IF($T$4=0,IF($J174="","",$J174),IFERROR(IF([1]财务取数接口!$C$173=0,"",[1]财务取数接口!$C$173),""))</f>
        <v>自购水果采购入库</v>
      </c>
      <c r="D174" s="40" t="str">
        <f aca="false">IF($T$4=0,IF($K174="","",$K174),IFERROR(IF([1]财务取数接口!$D$173=0,"",[1]财务取数接口!$D$173),""))</f>
        <v/>
      </c>
      <c r="E174" s="40" t="str">
        <f aca="false">IF($T$4=0,IF($L174="","",$L174),IFERROR(IF([1]财务取数接口!$E$173=0,"",[1]财务取数接口!$E$173),""))</f>
        <v>筐</v>
      </c>
      <c r="F174" s="41" t="str">
        <f aca="false">IF($T$4=0,IF($M174="","",$M174),IFERROR(IF([1]财务取数接口!$G$173=0,"",[1]财务取数接口!$G$173),""))</f>
        <v/>
      </c>
      <c r="G174" s="41" t="str">
        <f aca="false">IF($T$4=0,IF($N174="","",$N174),IFERROR(IF([1]财务取数接口!$H$173=0,"",[1]财务取数接口!$H$173),""))</f>
        <v/>
      </c>
      <c r="H174" s="39" t="str">
        <f aca="false">IF($T$4=0,IF($O174="","",$O174),IFERROR(IF([1]财务取数接口!$I$173=0,"",[1]财务取数接口!$I$173),""))</f>
        <v/>
      </c>
      <c r="I174" s="42"/>
      <c r="J174" s="43"/>
      <c r="K174" s="42"/>
      <c r="L174" s="42"/>
      <c r="M174" s="44"/>
      <c r="N174" s="44"/>
      <c r="O174" s="43"/>
      <c r="P174" s="45" t="n">
        <f aca="false">IF(AND($C174&lt;&gt;"",$C174&lt;&gt;"项目",OR(N($D174)&lt;&gt;0,N($E174)&lt;&gt;0,N($F174)&lt;&gt;0)),1,0)</f>
        <v>0</v>
      </c>
      <c r="Q174" s="45" t="n">
        <f aca="false">N(Q173)+$P174</f>
        <v>7</v>
      </c>
    </row>
    <row r="175" customFormat="false" ht="13.5" hidden="false" customHeight="false" outlineLevel="0" collapsed="false">
      <c r="A175" s="9" t="n">
        <v>174</v>
      </c>
      <c r="B175" s="38" t="n">
        <f aca="false">IF($T$4=0,IF($I175="","",$I175),IFERROR(IF([1]财务取数接口!$B$174=0,"",[1]财务取数接口!$B$174),""))</f>
        <v>46935</v>
      </c>
      <c r="C175" s="39" t="str">
        <f aca="false">IF($T$4=0,IF($J175="","",$J175),IFERROR(IF([1]财务取数接口!$C$174=0,"",[1]财务取数接口!$C$174),""))</f>
        <v>自购水果采购入库</v>
      </c>
      <c r="D175" s="40" t="str">
        <f aca="false">IF($T$4=0,IF($K175="","",$K175),IFERROR(IF([1]财务取数接口!$D$174=0,"",[1]财务取数接口!$D$174),""))</f>
        <v/>
      </c>
      <c r="E175" s="40" t="str">
        <f aca="false">IF($T$4=0,IF($L175="","",$L175),IFERROR(IF([1]财务取数接口!$E$174=0,"",[1]财务取数接口!$E$174),""))</f>
        <v>筐</v>
      </c>
      <c r="F175" s="41" t="str">
        <f aca="false">IF($T$4=0,IF($M175="","",$M175),IFERROR(IF([1]财务取数接口!$G$174=0,"",[1]财务取数接口!$G$174),""))</f>
        <v/>
      </c>
      <c r="G175" s="41" t="str">
        <f aca="false">IF($T$4=0,IF($N175="","",$N175),IFERROR(IF([1]财务取数接口!$H$174=0,"",[1]财务取数接口!$H$174),""))</f>
        <v/>
      </c>
      <c r="H175" s="39" t="str">
        <f aca="false">IF($T$4=0,IF($O175="","",$O175),IFERROR(IF([1]财务取数接口!$I$174=0,"",[1]财务取数接口!$I$174),""))</f>
        <v/>
      </c>
      <c r="I175" s="42"/>
      <c r="J175" s="43"/>
      <c r="K175" s="42"/>
      <c r="L175" s="42"/>
      <c r="M175" s="44"/>
      <c r="N175" s="44"/>
      <c r="O175" s="43"/>
      <c r="P175" s="45" t="n">
        <f aca="false">IF(AND($C175&lt;&gt;"",$C175&lt;&gt;"项目",OR(N($D175)&lt;&gt;0,N($E175)&lt;&gt;0,N($F175)&lt;&gt;0)),1,0)</f>
        <v>0</v>
      </c>
      <c r="Q175" s="45" t="n">
        <f aca="false">N(Q174)+$P175</f>
        <v>7</v>
      </c>
    </row>
    <row r="176" customFormat="false" ht="13.5" hidden="false" customHeight="false" outlineLevel="0" collapsed="false">
      <c r="A176" s="9" t="n">
        <v>175</v>
      </c>
      <c r="B176" s="38" t="n">
        <f aca="false">IF($T$4=0,IF($I176="","",$I176),IFERROR(IF([1]财务取数接口!$B$175=0,"",[1]财务取数接口!$B$175),""))</f>
        <v>46235</v>
      </c>
      <c r="C176" s="39" t="str">
        <f aca="false">IF($T$4=0,IF($J176="","",$J176),IFERROR(IF([1]财务取数接口!$C$175=0,"",[1]财务取数接口!$C$175),""))</f>
        <v>自购水果销售成本</v>
      </c>
      <c r="D176" s="40" t="str">
        <f aca="false">IF($T$4=0,IF($K176="","",$K176),IFERROR(IF([1]财务取数接口!$D$175=0,"",[1]财务取数接口!$D$175),""))</f>
        <v/>
      </c>
      <c r="E176" s="40" t="str">
        <f aca="false">IF($T$4=0,IF($L176="","",$L176),IFERROR(IF([1]财务取数接口!$E$175=0,"",[1]财务取数接口!$E$175),""))</f>
        <v>筐</v>
      </c>
      <c r="F176" s="41" t="str">
        <f aca="false">IF($T$4=0,IF($M176="","",$M176),IFERROR(IF([1]财务取数接口!$G$175=0,"",[1]财务取数接口!$G$175),""))</f>
        <v/>
      </c>
      <c r="G176" s="41" t="str">
        <f aca="false">IF($T$4=0,IF($N176="","",$N176),IFERROR(IF([1]财务取数接口!$H$175=0,"",[1]财务取数接口!$H$175),""))</f>
        <v/>
      </c>
      <c r="H176" s="39" t="str">
        <f aca="false">IF($T$4=0,IF($O176="","",$O176),IFERROR(IF([1]财务取数接口!$I$175=0,"",[1]财务取数接口!$I$175),""))</f>
        <v/>
      </c>
      <c r="I176" s="42"/>
      <c r="J176" s="43"/>
      <c r="K176" s="42"/>
      <c r="L176" s="42"/>
      <c r="M176" s="44"/>
      <c r="N176" s="44"/>
      <c r="O176" s="43"/>
      <c r="P176" s="45" t="n">
        <f aca="false">IF(AND($C176&lt;&gt;"",$C176&lt;&gt;"项目",OR(N($D176)&lt;&gt;0,N($E176)&lt;&gt;0,N($F176)&lt;&gt;0)),1,0)</f>
        <v>0</v>
      </c>
      <c r="Q176" s="45" t="n">
        <f aca="false">N(Q175)+$P176</f>
        <v>7</v>
      </c>
    </row>
    <row r="177" customFormat="false" ht="13.5" hidden="false" customHeight="false" outlineLevel="0" collapsed="false">
      <c r="A177" s="9" t="n">
        <v>176</v>
      </c>
      <c r="B177" s="38" t="n">
        <f aca="false">IF($T$4=0,IF($I177="","",$I177),IFERROR(IF([1]财务取数接口!$B$176=0,"",[1]财务取数接口!$B$176),""))</f>
        <v>46266</v>
      </c>
      <c r="C177" s="39" t="str">
        <f aca="false">IF($T$4=0,IF($J177="","",$J177),IFERROR(IF([1]财务取数接口!$C$176=0,"",[1]财务取数接口!$C$176),""))</f>
        <v>自购水果销售成本</v>
      </c>
      <c r="D177" s="40" t="str">
        <f aca="false">IF($T$4=0,IF($K177="","",$K177),IFERROR(IF([1]财务取数接口!$D$176=0,"",[1]财务取数接口!$D$176),""))</f>
        <v/>
      </c>
      <c r="E177" s="40" t="str">
        <f aca="false">IF($T$4=0,IF($L177="","",$L177),IFERROR(IF([1]财务取数接口!$E$176=0,"",[1]财务取数接口!$E$176),""))</f>
        <v>筐</v>
      </c>
      <c r="F177" s="41" t="str">
        <f aca="false">IF($T$4=0,IF($M177="","",$M177),IFERROR(IF([1]财务取数接口!$G$176=0,"",[1]财务取数接口!$G$176),""))</f>
        <v/>
      </c>
      <c r="G177" s="41" t="str">
        <f aca="false">IF($T$4=0,IF($N177="","",$N177),IFERROR(IF([1]财务取数接口!$H$176=0,"",[1]财务取数接口!$H$176),""))</f>
        <v/>
      </c>
      <c r="H177" s="39" t="str">
        <f aca="false">IF($T$4=0,IF($O177="","",$O177),IFERROR(IF([1]财务取数接口!$I$176=0,"",[1]财务取数接口!$I$176),""))</f>
        <v/>
      </c>
      <c r="I177" s="42"/>
      <c r="J177" s="43"/>
      <c r="K177" s="42"/>
      <c r="L177" s="42"/>
      <c r="M177" s="44"/>
      <c r="N177" s="44"/>
      <c r="O177" s="43"/>
      <c r="P177" s="45" t="n">
        <f aca="false">IF(AND($C177&lt;&gt;"",$C177&lt;&gt;"项目",OR(N($D177)&lt;&gt;0,N($E177)&lt;&gt;0,N($F177)&lt;&gt;0)),1,0)</f>
        <v>0</v>
      </c>
      <c r="Q177" s="45" t="n">
        <f aca="false">N(Q176)+$P177</f>
        <v>7</v>
      </c>
    </row>
    <row r="178" customFormat="false" ht="13.5" hidden="false" customHeight="false" outlineLevel="0" collapsed="false">
      <c r="A178" s="9" t="n">
        <v>177</v>
      </c>
      <c r="B178" s="38" t="n">
        <f aca="false">IF($T$4=0,IF($I178="","",$I178),IFERROR(IF([1]财务取数接口!$B$177=0,"",[1]财务取数接口!$B$177),""))</f>
        <v>46296</v>
      </c>
      <c r="C178" s="39" t="str">
        <f aca="false">IF($T$4=0,IF($J178="","",$J178),IFERROR(IF([1]财务取数接口!$C$177=0,"",[1]财务取数接口!$C$177),""))</f>
        <v>自购水果销售成本</v>
      </c>
      <c r="D178" s="40" t="str">
        <f aca="false">IF($T$4=0,IF($K178="","",$K178),IFERROR(IF([1]财务取数接口!$D$177=0,"",[1]财务取数接口!$D$177),""))</f>
        <v/>
      </c>
      <c r="E178" s="40" t="str">
        <f aca="false">IF($T$4=0,IF($L178="","",$L178),IFERROR(IF([1]财务取数接口!$E$177=0,"",[1]财务取数接口!$E$177),""))</f>
        <v>筐</v>
      </c>
      <c r="F178" s="41" t="str">
        <f aca="false">IF($T$4=0,IF($M178="","",$M178),IFERROR(IF([1]财务取数接口!$G$177=0,"",[1]财务取数接口!$G$177),""))</f>
        <v/>
      </c>
      <c r="G178" s="41" t="str">
        <f aca="false">IF($T$4=0,IF($N178="","",$N178),IFERROR(IF([1]财务取数接口!$H$177=0,"",[1]财务取数接口!$H$177),""))</f>
        <v/>
      </c>
      <c r="H178" s="39" t="str">
        <f aca="false">IF($T$4=0,IF($O178="","",$O178),IFERROR(IF([1]财务取数接口!$I$177=0,"",[1]财务取数接口!$I$177),""))</f>
        <v/>
      </c>
      <c r="I178" s="42"/>
      <c r="J178" s="43"/>
      <c r="K178" s="42"/>
      <c r="L178" s="42"/>
      <c r="M178" s="44"/>
      <c r="N178" s="44"/>
      <c r="O178" s="43"/>
      <c r="P178" s="45" t="n">
        <f aca="false">IF(AND($C178&lt;&gt;"",$C178&lt;&gt;"项目",OR(N($D178)&lt;&gt;0,N($E178)&lt;&gt;0,N($F178)&lt;&gt;0)),1,0)</f>
        <v>0</v>
      </c>
      <c r="Q178" s="45" t="n">
        <f aca="false">N(Q177)+$P178</f>
        <v>7</v>
      </c>
    </row>
    <row r="179" customFormat="false" ht="13.5" hidden="false" customHeight="false" outlineLevel="0" collapsed="false">
      <c r="A179" s="9" t="n">
        <v>178</v>
      </c>
      <c r="B179" s="38" t="n">
        <f aca="false">IF($T$4=0,IF($I179="","",$I179),IFERROR(IF([1]财务取数接口!$B$178=0,"",[1]财务取数接口!$B$178),""))</f>
        <v>46327</v>
      </c>
      <c r="C179" s="39" t="str">
        <f aca="false">IF($T$4=0,IF($J179="","",$J179),IFERROR(IF([1]财务取数接口!$C$178=0,"",[1]财务取数接口!$C$178),""))</f>
        <v>自购水果销售成本</v>
      </c>
      <c r="D179" s="40" t="str">
        <f aca="false">IF($T$4=0,IF($K179="","",$K179),IFERROR(IF([1]财务取数接口!$D$178=0,"",[1]财务取数接口!$D$178),""))</f>
        <v/>
      </c>
      <c r="E179" s="40" t="str">
        <f aca="false">IF($T$4=0,IF($L179="","",$L179),IFERROR(IF([1]财务取数接口!$E$178=0,"",[1]财务取数接口!$E$178),""))</f>
        <v>筐</v>
      </c>
      <c r="F179" s="41" t="str">
        <f aca="false">IF($T$4=0,IF($M179="","",$M179),IFERROR(IF([1]财务取数接口!$G$178=0,"",[1]财务取数接口!$G$178),""))</f>
        <v/>
      </c>
      <c r="G179" s="41" t="str">
        <f aca="false">IF($T$4=0,IF($N179="","",$N179),IFERROR(IF([1]财务取数接口!$H$178=0,"",[1]财务取数接口!$H$178),""))</f>
        <v/>
      </c>
      <c r="H179" s="39" t="str">
        <f aca="false">IF($T$4=0,IF($O179="","",$O179),IFERROR(IF([1]财务取数接口!$I$178=0,"",[1]财务取数接口!$I$178),""))</f>
        <v/>
      </c>
      <c r="I179" s="42"/>
      <c r="J179" s="43"/>
      <c r="K179" s="42"/>
      <c r="L179" s="42"/>
      <c r="M179" s="44"/>
      <c r="N179" s="44"/>
      <c r="O179" s="43"/>
      <c r="P179" s="45" t="n">
        <f aca="false">IF(AND($C179&lt;&gt;"",$C179&lt;&gt;"项目",OR(N($D179)&lt;&gt;0,N($E179)&lt;&gt;0,N($F179)&lt;&gt;0)),1,0)</f>
        <v>0</v>
      </c>
      <c r="Q179" s="45" t="n">
        <f aca="false">N(Q178)+$P179</f>
        <v>7</v>
      </c>
    </row>
    <row r="180" customFormat="false" ht="13.5" hidden="false" customHeight="false" outlineLevel="0" collapsed="false">
      <c r="A180" s="9" t="n">
        <v>179</v>
      </c>
      <c r="B180" s="38" t="n">
        <f aca="false">IF($T$4=0,IF($I180="","",$I180),IFERROR(IF([1]财务取数接口!$B$179=0,"",[1]财务取数接口!$B$179),""))</f>
        <v>46357</v>
      </c>
      <c r="C180" s="39" t="str">
        <f aca="false">IF($T$4=0,IF($J180="","",$J180),IFERROR(IF([1]财务取数接口!$C$179=0,"",[1]财务取数接口!$C$179),""))</f>
        <v>自购水果销售成本</v>
      </c>
      <c r="D180" s="40" t="str">
        <f aca="false">IF($T$4=0,IF($K180="","",$K180),IFERROR(IF([1]财务取数接口!$D$179=0,"",[1]财务取数接口!$D$179),""))</f>
        <v/>
      </c>
      <c r="E180" s="40" t="str">
        <f aca="false">IF($T$4=0,IF($L180="","",$L180),IFERROR(IF([1]财务取数接口!$E$179=0,"",[1]财务取数接口!$E$179),""))</f>
        <v>筐</v>
      </c>
      <c r="F180" s="41" t="str">
        <f aca="false">IF($T$4=0,IF($M180="","",$M180),IFERROR(IF([1]财务取数接口!$G$179=0,"",[1]财务取数接口!$G$179),""))</f>
        <v/>
      </c>
      <c r="G180" s="41" t="str">
        <f aca="false">IF($T$4=0,IF($N180="","",$N180),IFERROR(IF([1]财务取数接口!$H$179=0,"",[1]财务取数接口!$H$179),""))</f>
        <v/>
      </c>
      <c r="H180" s="39" t="str">
        <f aca="false">IF($T$4=0,IF($O180="","",$O180),IFERROR(IF([1]财务取数接口!$I$179=0,"",[1]财务取数接口!$I$179),""))</f>
        <v/>
      </c>
      <c r="I180" s="42"/>
      <c r="J180" s="43"/>
      <c r="K180" s="42"/>
      <c r="L180" s="42"/>
      <c r="M180" s="44"/>
      <c r="N180" s="44"/>
      <c r="O180" s="43"/>
      <c r="P180" s="45" t="n">
        <f aca="false">IF(AND($C180&lt;&gt;"",$C180&lt;&gt;"项目",OR(N($D180)&lt;&gt;0,N($E180)&lt;&gt;0,N($F180)&lt;&gt;0)),1,0)</f>
        <v>0</v>
      </c>
      <c r="Q180" s="45" t="n">
        <f aca="false">N(Q179)+$P180</f>
        <v>7</v>
      </c>
    </row>
    <row r="181" customFormat="false" ht="13.5" hidden="false" customHeight="false" outlineLevel="0" collapsed="false">
      <c r="A181" s="9" t="n">
        <v>180</v>
      </c>
      <c r="B181" s="38" t="n">
        <f aca="false">IF($T$4=0,IF($I181="","",$I181),IFERROR(IF([1]财务取数接口!$B$180=0,"",[1]财务取数接口!$B$180),""))</f>
        <v>46388</v>
      </c>
      <c r="C181" s="39" t="str">
        <f aca="false">IF($T$4=0,IF($J181="","",$J181),IFERROR(IF([1]财务取数接口!$C$180=0,"",[1]财务取数接口!$C$180),""))</f>
        <v>自购水果销售成本</v>
      </c>
      <c r="D181" s="40" t="str">
        <f aca="false">IF($T$4=0,IF($K181="","",$K181),IFERROR(IF([1]财务取数接口!$D$180=0,"",[1]财务取数接口!$D$180),""))</f>
        <v/>
      </c>
      <c r="E181" s="40" t="str">
        <f aca="false">IF($T$4=0,IF($L181="","",$L181),IFERROR(IF([1]财务取数接口!$E$180=0,"",[1]财务取数接口!$E$180),""))</f>
        <v>筐</v>
      </c>
      <c r="F181" s="41" t="str">
        <f aca="false">IF($T$4=0,IF($M181="","",$M181),IFERROR(IF([1]财务取数接口!$G$180=0,"",[1]财务取数接口!$G$180),""))</f>
        <v/>
      </c>
      <c r="G181" s="41" t="str">
        <f aca="false">IF($T$4=0,IF($N181="","",$N181),IFERROR(IF([1]财务取数接口!$H$180=0,"",[1]财务取数接口!$H$180),""))</f>
        <v/>
      </c>
      <c r="H181" s="39" t="str">
        <f aca="false">IF($T$4=0,IF($O181="","",$O181),IFERROR(IF([1]财务取数接口!$I$180=0,"",[1]财务取数接口!$I$180),""))</f>
        <v/>
      </c>
      <c r="I181" s="42"/>
      <c r="J181" s="43"/>
      <c r="K181" s="42"/>
      <c r="L181" s="42"/>
      <c r="M181" s="44"/>
      <c r="N181" s="44"/>
      <c r="O181" s="43"/>
      <c r="P181" s="45" t="n">
        <f aca="false">IF(AND($C181&lt;&gt;"",$C181&lt;&gt;"项目",OR(N($D181)&lt;&gt;0,N($E181)&lt;&gt;0,N($F181)&lt;&gt;0)),1,0)</f>
        <v>0</v>
      </c>
      <c r="Q181" s="45" t="n">
        <f aca="false">N(Q180)+$P181</f>
        <v>7</v>
      </c>
    </row>
    <row r="182" customFormat="false" ht="13.5" hidden="false" customHeight="false" outlineLevel="0" collapsed="false">
      <c r="A182" s="9" t="n">
        <v>181</v>
      </c>
      <c r="B182" s="38" t="n">
        <f aca="false">IF($T$4=0,IF($I182="","",$I182),IFERROR(IF([1]财务取数接口!$B$181=0,"",[1]财务取数接口!$B$181),""))</f>
        <v>46419</v>
      </c>
      <c r="C182" s="39" t="str">
        <f aca="false">IF($T$4=0,IF($J182="","",$J182),IFERROR(IF([1]财务取数接口!$C$181=0,"",[1]财务取数接口!$C$181),""))</f>
        <v>自购水果销售成本</v>
      </c>
      <c r="D182" s="40" t="str">
        <f aca="false">IF($T$4=0,IF($K182="","",$K182),IFERROR(IF([1]财务取数接口!$D$181=0,"",[1]财务取数接口!$D$181),""))</f>
        <v/>
      </c>
      <c r="E182" s="40" t="str">
        <f aca="false">IF($T$4=0,IF($L182="","",$L182),IFERROR(IF([1]财务取数接口!$E$181=0,"",[1]财务取数接口!$E$181),""))</f>
        <v>筐</v>
      </c>
      <c r="F182" s="41" t="str">
        <f aca="false">IF($T$4=0,IF($M182="","",$M182),IFERROR(IF([1]财务取数接口!$G$181=0,"",[1]财务取数接口!$G$181),""))</f>
        <v/>
      </c>
      <c r="G182" s="41" t="str">
        <f aca="false">IF($T$4=0,IF($N182="","",$N182),IFERROR(IF([1]财务取数接口!$H$181=0,"",[1]财务取数接口!$H$181),""))</f>
        <v/>
      </c>
      <c r="H182" s="39" t="str">
        <f aca="false">IF($T$4=0,IF($O182="","",$O182),IFERROR(IF([1]财务取数接口!$I$181=0,"",[1]财务取数接口!$I$181),""))</f>
        <v/>
      </c>
      <c r="I182" s="42"/>
      <c r="J182" s="43"/>
      <c r="K182" s="42"/>
      <c r="L182" s="42"/>
      <c r="M182" s="44"/>
      <c r="N182" s="44"/>
      <c r="O182" s="43"/>
      <c r="P182" s="45" t="n">
        <f aca="false">IF(AND($C182&lt;&gt;"",$C182&lt;&gt;"项目",OR(N($D182)&lt;&gt;0,N($E182)&lt;&gt;0,N($F182)&lt;&gt;0)),1,0)</f>
        <v>0</v>
      </c>
      <c r="Q182" s="45" t="n">
        <f aca="false">N(Q181)+$P182</f>
        <v>7</v>
      </c>
    </row>
    <row r="183" customFormat="false" ht="13.5" hidden="false" customHeight="false" outlineLevel="0" collapsed="false">
      <c r="A183" s="9" t="n">
        <v>182</v>
      </c>
      <c r="B183" s="38" t="n">
        <f aca="false">IF($T$4=0,IF($I183="","",$I183),IFERROR(IF([1]财务取数接口!$B$182=0,"",[1]财务取数接口!$B$182),""))</f>
        <v>46447</v>
      </c>
      <c r="C183" s="39" t="str">
        <f aca="false">IF($T$4=0,IF($J183="","",$J183),IFERROR(IF([1]财务取数接口!$C$182=0,"",[1]财务取数接口!$C$182),""))</f>
        <v>自购水果销售成本</v>
      </c>
      <c r="D183" s="40" t="str">
        <f aca="false">IF($T$4=0,IF($K183="","",$K183),IFERROR(IF([1]财务取数接口!$D$182=0,"",[1]财务取数接口!$D$182),""))</f>
        <v/>
      </c>
      <c r="E183" s="40" t="str">
        <f aca="false">IF($T$4=0,IF($L183="","",$L183),IFERROR(IF([1]财务取数接口!$E$182=0,"",[1]财务取数接口!$E$182),""))</f>
        <v>筐</v>
      </c>
      <c r="F183" s="41" t="str">
        <f aca="false">IF($T$4=0,IF($M183="","",$M183),IFERROR(IF([1]财务取数接口!$G$182=0,"",[1]财务取数接口!$G$182),""))</f>
        <v/>
      </c>
      <c r="G183" s="41" t="str">
        <f aca="false">IF($T$4=0,IF($N183="","",$N183),IFERROR(IF([1]财务取数接口!$H$182=0,"",[1]财务取数接口!$H$182),""))</f>
        <v/>
      </c>
      <c r="H183" s="39" t="str">
        <f aca="false">IF($T$4=0,IF($O183="","",$O183),IFERROR(IF([1]财务取数接口!$I$182=0,"",[1]财务取数接口!$I$182),""))</f>
        <v/>
      </c>
      <c r="I183" s="42"/>
      <c r="J183" s="43"/>
      <c r="K183" s="42"/>
      <c r="L183" s="42"/>
      <c r="M183" s="44"/>
      <c r="N183" s="44"/>
      <c r="O183" s="43"/>
      <c r="P183" s="45" t="n">
        <f aca="false">IF(AND($C183&lt;&gt;"",$C183&lt;&gt;"项目",OR(N($D183)&lt;&gt;0,N($E183)&lt;&gt;0,N($F183)&lt;&gt;0)),1,0)</f>
        <v>0</v>
      </c>
      <c r="Q183" s="45" t="n">
        <f aca="false">N(Q182)+$P183</f>
        <v>7</v>
      </c>
    </row>
    <row r="184" customFormat="false" ht="13.5" hidden="false" customHeight="false" outlineLevel="0" collapsed="false">
      <c r="A184" s="9" t="n">
        <v>183</v>
      </c>
      <c r="B184" s="38" t="n">
        <f aca="false">IF($T$4=0,IF($I184="","",$I184),IFERROR(IF([1]财务取数接口!$B$183=0,"",[1]财务取数接口!$B$183),""))</f>
        <v>46478</v>
      </c>
      <c r="C184" s="39" t="str">
        <f aca="false">IF($T$4=0,IF($J184="","",$J184),IFERROR(IF([1]财务取数接口!$C$183=0,"",[1]财务取数接口!$C$183),""))</f>
        <v>自购水果销售成本</v>
      </c>
      <c r="D184" s="40" t="str">
        <f aca="false">IF($T$4=0,IF($K184="","",$K184),IFERROR(IF([1]财务取数接口!$D$183=0,"",[1]财务取数接口!$D$183),""))</f>
        <v/>
      </c>
      <c r="E184" s="40" t="str">
        <f aca="false">IF($T$4=0,IF($L184="","",$L184),IFERROR(IF([1]财务取数接口!$E$183=0,"",[1]财务取数接口!$E$183),""))</f>
        <v>筐</v>
      </c>
      <c r="F184" s="41" t="str">
        <f aca="false">IF($T$4=0,IF($M184="","",$M184),IFERROR(IF([1]财务取数接口!$G$183=0,"",[1]财务取数接口!$G$183),""))</f>
        <v/>
      </c>
      <c r="G184" s="41" t="str">
        <f aca="false">IF($T$4=0,IF($N184="","",$N184),IFERROR(IF([1]财务取数接口!$H$183=0,"",[1]财务取数接口!$H$183),""))</f>
        <v/>
      </c>
      <c r="H184" s="39" t="str">
        <f aca="false">IF($T$4=0,IF($O184="","",$O184),IFERROR(IF([1]财务取数接口!$I$183=0,"",[1]财务取数接口!$I$183),""))</f>
        <v/>
      </c>
      <c r="I184" s="42"/>
      <c r="J184" s="43"/>
      <c r="K184" s="42"/>
      <c r="L184" s="42"/>
      <c r="M184" s="44"/>
      <c r="N184" s="44"/>
      <c r="O184" s="43"/>
      <c r="P184" s="45" t="n">
        <f aca="false">IF(AND($C184&lt;&gt;"",$C184&lt;&gt;"项目",OR(N($D184)&lt;&gt;0,N($E184)&lt;&gt;0,N($F184)&lt;&gt;0)),1,0)</f>
        <v>0</v>
      </c>
      <c r="Q184" s="45" t="n">
        <f aca="false">N(Q183)+$P184</f>
        <v>7</v>
      </c>
    </row>
    <row r="185" customFormat="false" ht="13.5" hidden="false" customHeight="false" outlineLevel="0" collapsed="false">
      <c r="A185" s="9" t="n">
        <v>184</v>
      </c>
      <c r="B185" s="38" t="n">
        <f aca="false">IF($T$4=0,IF($I185="","",$I185),IFERROR(IF([1]财务取数接口!$B$184=0,"",[1]财务取数接口!$B$184),""))</f>
        <v>46508</v>
      </c>
      <c r="C185" s="39" t="str">
        <f aca="false">IF($T$4=0,IF($J185="","",$J185),IFERROR(IF([1]财务取数接口!$C$184=0,"",[1]财务取数接口!$C$184),""))</f>
        <v>自购水果销售成本</v>
      </c>
      <c r="D185" s="40" t="str">
        <f aca="false">IF($T$4=0,IF($K185="","",$K185),IFERROR(IF([1]财务取数接口!$D$184=0,"",[1]财务取数接口!$D$184),""))</f>
        <v/>
      </c>
      <c r="E185" s="40" t="str">
        <f aca="false">IF($T$4=0,IF($L185="","",$L185),IFERROR(IF([1]财务取数接口!$E$184=0,"",[1]财务取数接口!$E$184),""))</f>
        <v>筐</v>
      </c>
      <c r="F185" s="41" t="str">
        <f aca="false">IF($T$4=0,IF($M185="","",$M185),IFERROR(IF([1]财务取数接口!$G$184=0,"",[1]财务取数接口!$G$184),""))</f>
        <v/>
      </c>
      <c r="G185" s="41" t="str">
        <f aca="false">IF($T$4=0,IF($N185="","",$N185),IFERROR(IF([1]财务取数接口!$H$184=0,"",[1]财务取数接口!$H$184),""))</f>
        <v/>
      </c>
      <c r="H185" s="39" t="str">
        <f aca="false">IF($T$4=0,IF($O185="","",$O185),IFERROR(IF([1]财务取数接口!$I$184=0,"",[1]财务取数接口!$I$184),""))</f>
        <v/>
      </c>
      <c r="I185" s="42"/>
      <c r="J185" s="43"/>
      <c r="K185" s="42"/>
      <c r="L185" s="42"/>
      <c r="M185" s="44"/>
      <c r="N185" s="44"/>
      <c r="O185" s="43"/>
      <c r="P185" s="45" t="n">
        <f aca="false">IF(AND($C185&lt;&gt;"",$C185&lt;&gt;"项目",OR(N($D185)&lt;&gt;0,N($E185)&lt;&gt;0,N($F185)&lt;&gt;0)),1,0)</f>
        <v>0</v>
      </c>
      <c r="Q185" s="45" t="n">
        <f aca="false">N(Q184)+$P185</f>
        <v>7</v>
      </c>
    </row>
    <row r="186" customFormat="false" ht="13.5" hidden="false" customHeight="false" outlineLevel="0" collapsed="false">
      <c r="A186" s="9" t="n">
        <v>185</v>
      </c>
      <c r="B186" s="38" t="n">
        <f aca="false">IF($T$4=0,IF($I186="","",$I186),IFERROR(IF([1]财务取数接口!$B$185=0,"",[1]财务取数接口!$B$185),""))</f>
        <v>46539</v>
      </c>
      <c r="C186" s="39" t="str">
        <f aca="false">IF($T$4=0,IF($J186="","",$J186),IFERROR(IF([1]财务取数接口!$C$185=0,"",[1]财务取数接口!$C$185),""))</f>
        <v>自购水果销售成本</v>
      </c>
      <c r="D186" s="40" t="str">
        <f aca="false">IF($T$4=0,IF($K186="","",$K186),IFERROR(IF([1]财务取数接口!$D$185=0,"",[1]财务取数接口!$D$185),""))</f>
        <v/>
      </c>
      <c r="E186" s="40" t="str">
        <f aca="false">IF($T$4=0,IF($L186="","",$L186),IFERROR(IF([1]财务取数接口!$E$185=0,"",[1]财务取数接口!$E$185),""))</f>
        <v>筐</v>
      </c>
      <c r="F186" s="41" t="str">
        <f aca="false">IF($T$4=0,IF($M186="","",$M186),IFERROR(IF([1]财务取数接口!$G$185=0,"",[1]财务取数接口!$G$185),""))</f>
        <v/>
      </c>
      <c r="G186" s="41" t="str">
        <f aca="false">IF($T$4=0,IF($N186="","",$N186),IFERROR(IF([1]财务取数接口!$H$185=0,"",[1]财务取数接口!$H$185),""))</f>
        <v/>
      </c>
      <c r="H186" s="39" t="str">
        <f aca="false">IF($T$4=0,IF($O186="","",$O186),IFERROR(IF([1]财务取数接口!$I$185=0,"",[1]财务取数接口!$I$185),""))</f>
        <v/>
      </c>
      <c r="I186" s="42"/>
      <c r="J186" s="43"/>
      <c r="K186" s="42"/>
      <c r="L186" s="42"/>
      <c r="M186" s="44"/>
      <c r="N186" s="44"/>
      <c r="O186" s="43"/>
      <c r="P186" s="45" t="n">
        <f aca="false">IF(AND($C186&lt;&gt;"",$C186&lt;&gt;"项目",OR(N($D186)&lt;&gt;0,N($E186)&lt;&gt;0,N($F186)&lt;&gt;0)),1,0)</f>
        <v>0</v>
      </c>
      <c r="Q186" s="45" t="n">
        <f aca="false">N(Q185)+$P186</f>
        <v>7</v>
      </c>
    </row>
    <row r="187" customFormat="false" ht="13.5" hidden="false" customHeight="false" outlineLevel="0" collapsed="false">
      <c r="A187" s="9" t="n">
        <v>186</v>
      </c>
      <c r="B187" s="38" t="n">
        <f aca="false">IF($T$4=0,IF($I187="","",$I187),IFERROR(IF([1]财务取数接口!$B$186=0,"",[1]财务取数接口!$B$186),""))</f>
        <v>46569</v>
      </c>
      <c r="C187" s="39" t="str">
        <f aca="false">IF($T$4=0,IF($J187="","",$J187),IFERROR(IF([1]财务取数接口!$C$186=0,"",[1]财务取数接口!$C$186),""))</f>
        <v>自购水果销售成本</v>
      </c>
      <c r="D187" s="40" t="str">
        <f aca="false">IF($T$4=0,IF($K187="","",$K187),IFERROR(IF([1]财务取数接口!$D$186=0,"",[1]财务取数接口!$D$186),""))</f>
        <v/>
      </c>
      <c r="E187" s="40" t="str">
        <f aca="false">IF($T$4=0,IF($L187="","",$L187),IFERROR(IF([1]财务取数接口!$E$186=0,"",[1]财务取数接口!$E$186),""))</f>
        <v>筐</v>
      </c>
      <c r="F187" s="41" t="str">
        <f aca="false">IF($T$4=0,IF($M187="","",$M187),IFERROR(IF([1]财务取数接口!$G$186=0,"",[1]财务取数接口!$G$186),""))</f>
        <v/>
      </c>
      <c r="G187" s="41" t="str">
        <f aca="false">IF($T$4=0,IF($N187="","",$N187),IFERROR(IF([1]财务取数接口!$H$186=0,"",[1]财务取数接口!$H$186),""))</f>
        <v/>
      </c>
      <c r="H187" s="39" t="str">
        <f aca="false">IF($T$4=0,IF($O187="","",$O187),IFERROR(IF([1]财务取数接口!$I$186=0,"",[1]财务取数接口!$I$186),""))</f>
        <v/>
      </c>
      <c r="I187" s="42"/>
      <c r="J187" s="43"/>
      <c r="K187" s="42"/>
      <c r="L187" s="42"/>
      <c r="M187" s="44"/>
      <c r="N187" s="44"/>
      <c r="O187" s="43"/>
      <c r="P187" s="45" t="n">
        <f aca="false">IF(AND($C187&lt;&gt;"",$C187&lt;&gt;"项目",OR(N($D187)&lt;&gt;0,N($E187)&lt;&gt;0,N($F187)&lt;&gt;0)),1,0)</f>
        <v>0</v>
      </c>
      <c r="Q187" s="45" t="n">
        <f aca="false">N(Q186)+$P187</f>
        <v>7</v>
      </c>
    </row>
    <row r="188" customFormat="false" ht="13.5" hidden="false" customHeight="false" outlineLevel="0" collapsed="false">
      <c r="A188" s="9" t="n">
        <v>187</v>
      </c>
      <c r="B188" s="38" t="n">
        <f aca="false">IF($T$4=0,IF($I188="","",$I188),IFERROR(IF([1]财务取数接口!$B$187=0,"",[1]财务取数接口!$B$187),""))</f>
        <v>46600</v>
      </c>
      <c r="C188" s="39" t="str">
        <f aca="false">IF($T$4=0,IF($J188="","",$J188),IFERROR(IF([1]财务取数接口!$C$187=0,"",[1]财务取数接口!$C$187),""))</f>
        <v>自购水果销售成本</v>
      </c>
      <c r="D188" s="40" t="str">
        <f aca="false">IF($T$4=0,IF($K188="","",$K188),IFERROR(IF([1]财务取数接口!$D$187=0,"",[1]财务取数接口!$D$187),""))</f>
        <v/>
      </c>
      <c r="E188" s="40" t="str">
        <f aca="false">IF($T$4=0,IF($L188="","",$L188),IFERROR(IF([1]财务取数接口!$E$187=0,"",[1]财务取数接口!$E$187),""))</f>
        <v>筐</v>
      </c>
      <c r="F188" s="41" t="str">
        <f aca="false">IF($T$4=0,IF($M188="","",$M188),IFERROR(IF([1]财务取数接口!$G$187=0,"",[1]财务取数接口!$G$187),""))</f>
        <v/>
      </c>
      <c r="G188" s="41" t="str">
        <f aca="false">IF($T$4=0,IF($N188="","",$N188),IFERROR(IF([1]财务取数接口!$H$187=0,"",[1]财务取数接口!$H$187),""))</f>
        <v/>
      </c>
      <c r="H188" s="39" t="str">
        <f aca="false">IF($T$4=0,IF($O188="","",$O188),IFERROR(IF([1]财务取数接口!$I$187=0,"",[1]财务取数接口!$I$187),""))</f>
        <v/>
      </c>
      <c r="I188" s="42"/>
      <c r="J188" s="43"/>
      <c r="K188" s="42"/>
      <c r="L188" s="42"/>
      <c r="M188" s="44"/>
      <c r="N188" s="44"/>
      <c r="O188" s="43"/>
      <c r="P188" s="45" t="n">
        <f aca="false">IF(AND($C188&lt;&gt;"",$C188&lt;&gt;"项目",OR(N($D188)&lt;&gt;0,N($E188)&lt;&gt;0,N($F188)&lt;&gt;0)),1,0)</f>
        <v>0</v>
      </c>
      <c r="Q188" s="45" t="n">
        <f aca="false">N(Q187)+$P188</f>
        <v>7</v>
      </c>
    </row>
    <row r="189" customFormat="false" ht="13.5" hidden="false" customHeight="false" outlineLevel="0" collapsed="false">
      <c r="A189" s="9" t="n">
        <v>188</v>
      </c>
      <c r="B189" s="38" t="n">
        <f aca="false">IF($T$4=0,IF($I189="","",$I189),IFERROR(IF([1]财务取数接口!$B$188=0,"",[1]财务取数接口!$B$188),""))</f>
        <v>46631</v>
      </c>
      <c r="C189" s="39" t="str">
        <f aca="false">IF($T$4=0,IF($J189="","",$J189),IFERROR(IF([1]财务取数接口!$C$188=0,"",[1]财务取数接口!$C$188),""))</f>
        <v>自购水果销售成本</v>
      </c>
      <c r="D189" s="40" t="str">
        <f aca="false">IF($T$4=0,IF($K189="","",$K189),IFERROR(IF([1]财务取数接口!$D$188=0,"",[1]财务取数接口!$D$188),""))</f>
        <v/>
      </c>
      <c r="E189" s="40" t="str">
        <f aca="false">IF($T$4=0,IF($L189="","",$L189),IFERROR(IF([1]财务取数接口!$E$188=0,"",[1]财务取数接口!$E$188),""))</f>
        <v>筐</v>
      </c>
      <c r="F189" s="41" t="str">
        <f aca="false">IF($T$4=0,IF($M189="","",$M189),IFERROR(IF([1]财务取数接口!$G$188=0,"",[1]财务取数接口!$G$188),""))</f>
        <v/>
      </c>
      <c r="G189" s="41" t="str">
        <f aca="false">IF($T$4=0,IF($N189="","",$N189),IFERROR(IF([1]财务取数接口!$H$188=0,"",[1]财务取数接口!$H$188),""))</f>
        <v/>
      </c>
      <c r="H189" s="39" t="str">
        <f aca="false">IF($T$4=0,IF($O189="","",$O189),IFERROR(IF([1]财务取数接口!$I$188=0,"",[1]财务取数接口!$I$188),""))</f>
        <v/>
      </c>
      <c r="I189" s="42"/>
      <c r="J189" s="43"/>
      <c r="K189" s="42"/>
      <c r="L189" s="42"/>
      <c r="M189" s="44"/>
      <c r="N189" s="44"/>
      <c r="O189" s="43"/>
      <c r="P189" s="45" t="n">
        <f aca="false">IF(AND($C189&lt;&gt;"",$C189&lt;&gt;"项目",OR(N($D189)&lt;&gt;0,N($E189)&lt;&gt;0,N($F189)&lt;&gt;0)),1,0)</f>
        <v>0</v>
      </c>
      <c r="Q189" s="45" t="n">
        <f aca="false">N(Q188)+$P189</f>
        <v>7</v>
      </c>
    </row>
    <row r="190" customFormat="false" ht="13.5" hidden="false" customHeight="false" outlineLevel="0" collapsed="false">
      <c r="A190" s="9" t="n">
        <v>189</v>
      </c>
      <c r="B190" s="38" t="n">
        <f aca="false">IF($T$4=0,IF($I190="","",$I190),IFERROR(IF([1]财务取数接口!$B$189=0,"",[1]财务取数接口!$B$189),""))</f>
        <v>46661</v>
      </c>
      <c r="C190" s="39" t="str">
        <f aca="false">IF($T$4=0,IF($J190="","",$J190),IFERROR(IF([1]财务取数接口!$C$189=0,"",[1]财务取数接口!$C$189),""))</f>
        <v>自购水果销售成本</v>
      </c>
      <c r="D190" s="40" t="str">
        <f aca="false">IF($T$4=0,IF($K190="","",$K190),IFERROR(IF([1]财务取数接口!$D$189=0,"",[1]财务取数接口!$D$189),""))</f>
        <v/>
      </c>
      <c r="E190" s="40" t="str">
        <f aca="false">IF($T$4=0,IF($L190="","",$L190),IFERROR(IF([1]财务取数接口!$E$189=0,"",[1]财务取数接口!$E$189),""))</f>
        <v>筐</v>
      </c>
      <c r="F190" s="41" t="str">
        <f aca="false">IF($T$4=0,IF($M190="","",$M190),IFERROR(IF([1]财务取数接口!$G$189=0,"",[1]财务取数接口!$G$189),""))</f>
        <v/>
      </c>
      <c r="G190" s="41" t="str">
        <f aca="false">IF($T$4=0,IF($N190="","",$N190),IFERROR(IF([1]财务取数接口!$H$189=0,"",[1]财务取数接口!$H$189),""))</f>
        <v/>
      </c>
      <c r="H190" s="39" t="str">
        <f aca="false">IF($T$4=0,IF($O190="","",$O190),IFERROR(IF([1]财务取数接口!$I$189=0,"",[1]财务取数接口!$I$189),""))</f>
        <v/>
      </c>
      <c r="I190" s="42"/>
      <c r="J190" s="43"/>
      <c r="K190" s="42"/>
      <c r="L190" s="42"/>
      <c r="M190" s="44"/>
      <c r="N190" s="44"/>
      <c r="O190" s="43"/>
      <c r="P190" s="45" t="n">
        <f aca="false">IF(AND($C190&lt;&gt;"",$C190&lt;&gt;"项目",OR(N($D190)&lt;&gt;0,N($E190)&lt;&gt;0,N($F190)&lt;&gt;0)),1,0)</f>
        <v>0</v>
      </c>
      <c r="Q190" s="45" t="n">
        <f aca="false">N(Q189)+$P190</f>
        <v>7</v>
      </c>
    </row>
    <row r="191" customFormat="false" ht="13.5" hidden="false" customHeight="false" outlineLevel="0" collapsed="false">
      <c r="A191" s="9" t="n">
        <v>190</v>
      </c>
      <c r="B191" s="38" t="n">
        <f aca="false">IF($T$4=0,IF($I191="","",$I191),IFERROR(IF([1]财务取数接口!$B$190=0,"",[1]财务取数接口!$B$190),""))</f>
        <v>46692</v>
      </c>
      <c r="C191" s="39" t="str">
        <f aca="false">IF($T$4=0,IF($J191="","",$J191),IFERROR(IF([1]财务取数接口!$C$190=0,"",[1]财务取数接口!$C$190),""))</f>
        <v>自购水果销售成本</v>
      </c>
      <c r="D191" s="40" t="str">
        <f aca="false">IF($T$4=0,IF($K191="","",$K191),IFERROR(IF([1]财务取数接口!$D$190=0,"",[1]财务取数接口!$D$190),""))</f>
        <v/>
      </c>
      <c r="E191" s="40" t="str">
        <f aca="false">IF($T$4=0,IF($L191="","",$L191),IFERROR(IF([1]财务取数接口!$E$190=0,"",[1]财务取数接口!$E$190),""))</f>
        <v>筐</v>
      </c>
      <c r="F191" s="41" t="str">
        <f aca="false">IF($T$4=0,IF($M191="","",$M191),IFERROR(IF([1]财务取数接口!$G$190=0,"",[1]财务取数接口!$G$190),""))</f>
        <v/>
      </c>
      <c r="G191" s="41" t="str">
        <f aca="false">IF($T$4=0,IF($N191="","",$N191),IFERROR(IF([1]财务取数接口!$H$190=0,"",[1]财务取数接口!$H$190),""))</f>
        <v/>
      </c>
      <c r="H191" s="39" t="str">
        <f aca="false">IF($T$4=0,IF($O191="","",$O191),IFERROR(IF([1]财务取数接口!$I$190=0,"",[1]财务取数接口!$I$190),""))</f>
        <v/>
      </c>
      <c r="I191" s="42"/>
      <c r="J191" s="43"/>
      <c r="K191" s="42"/>
      <c r="L191" s="42"/>
      <c r="M191" s="44"/>
      <c r="N191" s="44"/>
      <c r="O191" s="43"/>
      <c r="P191" s="45" t="n">
        <f aca="false">IF(AND($C191&lt;&gt;"",$C191&lt;&gt;"项目",OR(N($D191)&lt;&gt;0,N($E191)&lt;&gt;0,N($F191)&lt;&gt;0)),1,0)</f>
        <v>0</v>
      </c>
      <c r="Q191" s="45" t="n">
        <f aca="false">N(Q190)+$P191</f>
        <v>7</v>
      </c>
    </row>
    <row r="192" customFormat="false" ht="13.5" hidden="false" customHeight="false" outlineLevel="0" collapsed="false">
      <c r="A192" s="9" t="n">
        <v>191</v>
      </c>
      <c r="B192" s="38" t="n">
        <f aca="false">IF($T$4=0,IF($I192="","",$I192),IFERROR(IF([1]财务取数接口!$B$191=0,"",[1]财务取数接口!$B$191),""))</f>
        <v>46722</v>
      </c>
      <c r="C192" s="39" t="str">
        <f aca="false">IF($T$4=0,IF($J192="","",$J192),IFERROR(IF([1]财务取数接口!$C$191=0,"",[1]财务取数接口!$C$191),""))</f>
        <v>自购水果销售成本</v>
      </c>
      <c r="D192" s="40" t="str">
        <f aca="false">IF($T$4=0,IF($K192="","",$K192),IFERROR(IF([1]财务取数接口!$D$191=0,"",[1]财务取数接口!$D$191),""))</f>
        <v/>
      </c>
      <c r="E192" s="40" t="str">
        <f aca="false">IF($T$4=0,IF($L192="","",$L192),IFERROR(IF([1]财务取数接口!$E$191=0,"",[1]财务取数接口!$E$191),""))</f>
        <v>筐</v>
      </c>
      <c r="F192" s="41" t="str">
        <f aca="false">IF($T$4=0,IF($M192="","",$M192),IFERROR(IF([1]财务取数接口!$G$191=0,"",[1]财务取数接口!$G$191),""))</f>
        <v/>
      </c>
      <c r="G192" s="41" t="str">
        <f aca="false">IF($T$4=0,IF($N192="","",$N192),IFERROR(IF([1]财务取数接口!$H$191=0,"",[1]财务取数接口!$H$191),""))</f>
        <v/>
      </c>
      <c r="H192" s="39" t="str">
        <f aca="false">IF($T$4=0,IF($O192="","",$O192),IFERROR(IF([1]财务取数接口!$I$191=0,"",[1]财务取数接口!$I$191),""))</f>
        <v/>
      </c>
      <c r="I192" s="42"/>
      <c r="J192" s="43"/>
      <c r="K192" s="42"/>
      <c r="L192" s="42"/>
      <c r="M192" s="44"/>
      <c r="N192" s="44"/>
      <c r="O192" s="43"/>
      <c r="P192" s="45" t="n">
        <f aca="false">IF(AND($C192&lt;&gt;"",$C192&lt;&gt;"项目",OR(N($D192)&lt;&gt;0,N($E192)&lt;&gt;0,N($F192)&lt;&gt;0)),1,0)</f>
        <v>0</v>
      </c>
      <c r="Q192" s="45" t="n">
        <f aca="false">N(Q191)+$P192</f>
        <v>7</v>
      </c>
    </row>
    <row r="193" customFormat="false" ht="13.5" hidden="false" customHeight="false" outlineLevel="0" collapsed="false">
      <c r="A193" s="9" t="n">
        <v>192</v>
      </c>
      <c r="B193" s="38" t="n">
        <f aca="false">IF($T$4=0,IF($I193="","",$I193),IFERROR(IF([1]财务取数接口!$B$192=0,"",[1]财务取数接口!$B$192),""))</f>
        <v>46753</v>
      </c>
      <c r="C193" s="39" t="str">
        <f aca="false">IF($T$4=0,IF($J193="","",$J193),IFERROR(IF([1]财务取数接口!$C$192=0,"",[1]财务取数接口!$C$192),""))</f>
        <v>自购水果销售成本</v>
      </c>
      <c r="D193" s="40" t="str">
        <f aca="false">IF($T$4=0,IF($K193="","",$K193),IFERROR(IF([1]财务取数接口!$D$192=0,"",[1]财务取数接口!$D$192),""))</f>
        <v/>
      </c>
      <c r="E193" s="40" t="str">
        <f aca="false">IF($T$4=0,IF($L193="","",$L193),IFERROR(IF([1]财务取数接口!$E$192=0,"",[1]财务取数接口!$E$192),""))</f>
        <v>筐</v>
      </c>
      <c r="F193" s="41" t="str">
        <f aca="false">IF($T$4=0,IF($M193="","",$M193),IFERROR(IF([1]财务取数接口!$G$192=0,"",[1]财务取数接口!$G$192),""))</f>
        <v/>
      </c>
      <c r="G193" s="41" t="str">
        <f aca="false">IF($T$4=0,IF($N193="","",$N193),IFERROR(IF([1]财务取数接口!$H$192=0,"",[1]财务取数接口!$H$192),""))</f>
        <v/>
      </c>
      <c r="H193" s="39" t="str">
        <f aca="false">IF($T$4=0,IF($O193="","",$O193),IFERROR(IF([1]财务取数接口!$I$192=0,"",[1]财务取数接口!$I$192),""))</f>
        <v/>
      </c>
      <c r="I193" s="42"/>
      <c r="J193" s="43"/>
      <c r="K193" s="42"/>
      <c r="L193" s="42"/>
      <c r="M193" s="44"/>
      <c r="N193" s="44"/>
      <c r="O193" s="43"/>
      <c r="P193" s="45" t="n">
        <f aca="false">IF(AND($C193&lt;&gt;"",$C193&lt;&gt;"项目",OR(N($D193)&lt;&gt;0,N($E193)&lt;&gt;0,N($F193)&lt;&gt;0)),1,0)</f>
        <v>0</v>
      </c>
      <c r="Q193" s="45" t="n">
        <f aca="false">N(Q192)+$P193</f>
        <v>7</v>
      </c>
    </row>
    <row r="194" customFormat="false" ht="13.5" hidden="false" customHeight="false" outlineLevel="0" collapsed="false">
      <c r="A194" s="9" t="n">
        <v>193</v>
      </c>
      <c r="B194" s="38" t="n">
        <f aca="false">IF($T$4=0,IF($I194="","",$I194),IFERROR(IF([1]财务取数接口!$B$193=0,"",[1]财务取数接口!$B$193),""))</f>
        <v>46784</v>
      </c>
      <c r="C194" s="39" t="str">
        <f aca="false">IF($T$4=0,IF($J194="","",$J194),IFERROR(IF([1]财务取数接口!$C$193=0,"",[1]财务取数接口!$C$193),""))</f>
        <v>自购水果销售成本</v>
      </c>
      <c r="D194" s="40" t="str">
        <f aca="false">IF($T$4=0,IF($K194="","",$K194),IFERROR(IF([1]财务取数接口!$D$193=0,"",[1]财务取数接口!$D$193),""))</f>
        <v/>
      </c>
      <c r="E194" s="40" t="str">
        <f aca="false">IF($T$4=0,IF($L194="","",$L194),IFERROR(IF([1]财务取数接口!$E$193=0,"",[1]财务取数接口!$E$193),""))</f>
        <v>筐</v>
      </c>
      <c r="F194" s="41" t="str">
        <f aca="false">IF($T$4=0,IF($M194="","",$M194),IFERROR(IF([1]财务取数接口!$G$193=0,"",[1]财务取数接口!$G$193),""))</f>
        <v/>
      </c>
      <c r="G194" s="41" t="str">
        <f aca="false">IF($T$4=0,IF($N194="","",$N194),IFERROR(IF([1]财务取数接口!$H$193=0,"",[1]财务取数接口!$H$193),""))</f>
        <v/>
      </c>
      <c r="H194" s="39" t="str">
        <f aca="false">IF($T$4=0,IF($O194="","",$O194),IFERROR(IF([1]财务取数接口!$I$193=0,"",[1]财务取数接口!$I$193),""))</f>
        <v/>
      </c>
      <c r="I194" s="42"/>
      <c r="J194" s="43"/>
      <c r="K194" s="42"/>
      <c r="L194" s="42"/>
      <c r="M194" s="44"/>
      <c r="N194" s="44"/>
      <c r="O194" s="43"/>
      <c r="P194" s="45" t="n">
        <f aca="false">IF(AND($C194&lt;&gt;"",$C194&lt;&gt;"项目",OR(N($D194)&lt;&gt;0,N($E194)&lt;&gt;0,N($F194)&lt;&gt;0)),1,0)</f>
        <v>0</v>
      </c>
      <c r="Q194" s="45" t="n">
        <f aca="false">N(Q193)+$P194</f>
        <v>7</v>
      </c>
    </row>
    <row r="195" customFormat="false" ht="13.5" hidden="false" customHeight="false" outlineLevel="0" collapsed="false">
      <c r="A195" s="9" t="n">
        <v>194</v>
      </c>
      <c r="B195" s="38" t="n">
        <f aca="false">IF($T$4=0,IF($I195="","",$I195),IFERROR(IF([1]财务取数接口!$B$194=0,"",[1]财务取数接口!$B$194),""))</f>
        <v>46813</v>
      </c>
      <c r="C195" s="39" t="str">
        <f aca="false">IF($T$4=0,IF($J195="","",$J195),IFERROR(IF([1]财务取数接口!$C$194=0,"",[1]财务取数接口!$C$194),""))</f>
        <v>自购水果销售成本</v>
      </c>
      <c r="D195" s="40" t="str">
        <f aca="false">IF($T$4=0,IF($K195="","",$K195),IFERROR(IF([1]财务取数接口!$D$194=0,"",[1]财务取数接口!$D$194),""))</f>
        <v/>
      </c>
      <c r="E195" s="40" t="str">
        <f aca="false">IF($T$4=0,IF($L195="","",$L195),IFERROR(IF([1]财务取数接口!$E$194=0,"",[1]财务取数接口!$E$194),""))</f>
        <v>筐</v>
      </c>
      <c r="F195" s="41" t="str">
        <f aca="false">IF($T$4=0,IF($M195="","",$M195),IFERROR(IF([1]财务取数接口!$G$194=0,"",[1]财务取数接口!$G$194),""))</f>
        <v/>
      </c>
      <c r="G195" s="41" t="str">
        <f aca="false">IF($T$4=0,IF($N195="","",$N195),IFERROR(IF([1]财务取数接口!$H$194=0,"",[1]财务取数接口!$H$194),""))</f>
        <v/>
      </c>
      <c r="H195" s="39" t="str">
        <f aca="false">IF($T$4=0,IF($O195="","",$O195),IFERROR(IF([1]财务取数接口!$I$194=0,"",[1]财务取数接口!$I$194),""))</f>
        <v/>
      </c>
      <c r="I195" s="42"/>
      <c r="J195" s="43"/>
      <c r="K195" s="42"/>
      <c r="L195" s="42"/>
      <c r="M195" s="44"/>
      <c r="N195" s="44"/>
      <c r="O195" s="43"/>
      <c r="P195" s="45" t="n">
        <f aca="false">IF(AND($C195&lt;&gt;"",$C195&lt;&gt;"项目",OR(N($D195)&lt;&gt;0,N($E195)&lt;&gt;0,N($F195)&lt;&gt;0)),1,0)</f>
        <v>0</v>
      </c>
      <c r="Q195" s="45" t="n">
        <f aca="false">N(Q194)+$P195</f>
        <v>7</v>
      </c>
    </row>
    <row r="196" customFormat="false" ht="13.5" hidden="false" customHeight="false" outlineLevel="0" collapsed="false">
      <c r="A196" s="9" t="n">
        <v>195</v>
      </c>
      <c r="B196" s="38" t="n">
        <f aca="false">IF($T$4=0,IF($I196="","",$I196),IFERROR(IF([1]财务取数接口!$B$195=0,"",[1]财务取数接口!$B$195),""))</f>
        <v>46844</v>
      </c>
      <c r="C196" s="39" t="str">
        <f aca="false">IF($T$4=0,IF($J196="","",$J196),IFERROR(IF([1]财务取数接口!$C$195=0,"",[1]财务取数接口!$C$195),""))</f>
        <v>自购水果销售成本</v>
      </c>
      <c r="D196" s="40" t="str">
        <f aca="false">IF($T$4=0,IF($K196="","",$K196),IFERROR(IF([1]财务取数接口!$D$195=0,"",[1]财务取数接口!$D$195),""))</f>
        <v/>
      </c>
      <c r="E196" s="40" t="str">
        <f aca="false">IF($T$4=0,IF($L196="","",$L196),IFERROR(IF([1]财务取数接口!$E$195=0,"",[1]财务取数接口!$E$195),""))</f>
        <v>筐</v>
      </c>
      <c r="F196" s="41" t="str">
        <f aca="false">IF($T$4=0,IF($M196="","",$M196),IFERROR(IF([1]财务取数接口!$G$195=0,"",[1]财务取数接口!$G$195),""))</f>
        <v/>
      </c>
      <c r="G196" s="41" t="str">
        <f aca="false">IF($T$4=0,IF($N196="","",$N196),IFERROR(IF([1]财务取数接口!$H$195=0,"",[1]财务取数接口!$H$195),""))</f>
        <v/>
      </c>
      <c r="H196" s="39" t="str">
        <f aca="false">IF($T$4=0,IF($O196="","",$O196),IFERROR(IF([1]财务取数接口!$I$195=0,"",[1]财务取数接口!$I$195),""))</f>
        <v/>
      </c>
      <c r="I196" s="42"/>
      <c r="J196" s="43"/>
      <c r="K196" s="42"/>
      <c r="L196" s="42"/>
      <c r="M196" s="44"/>
      <c r="N196" s="44"/>
      <c r="O196" s="43"/>
      <c r="P196" s="45" t="n">
        <f aca="false">IF(AND($C196&lt;&gt;"",$C196&lt;&gt;"项目",OR(N($D196)&lt;&gt;0,N($E196)&lt;&gt;0,N($F196)&lt;&gt;0)),1,0)</f>
        <v>0</v>
      </c>
      <c r="Q196" s="45" t="n">
        <f aca="false">N(Q195)+$P196</f>
        <v>7</v>
      </c>
    </row>
    <row r="197" customFormat="false" ht="13.5" hidden="false" customHeight="false" outlineLevel="0" collapsed="false">
      <c r="A197" s="9" t="n">
        <v>196</v>
      </c>
      <c r="B197" s="38" t="n">
        <f aca="false">IF($T$4=0,IF($I197="","",$I197),IFERROR(IF([1]财务取数接口!$B$196=0,"",[1]财务取数接口!$B$196),""))</f>
        <v>46874</v>
      </c>
      <c r="C197" s="39" t="str">
        <f aca="false">IF($T$4=0,IF($J197="","",$J197),IFERROR(IF([1]财务取数接口!$C$196=0,"",[1]财务取数接口!$C$196),""))</f>
        <v>自购水果销售成本</v>
      </c>
      <c r="D197" s="40" t="str">
        <f aca="false">IF($T$4=0,IF($K197="","",$K197),IFERROR(IF([1]财务取数接口!$D$196=0,"",[1]财务取数接口!$D$196),""))</f>
        <v/>
      </c>
      <c r="E197" s="40" t="str">
        <f aca="false">IF($T$4=0,IF($L197="","",$L197),IFERROR(IF([1]财务取数接口!$E$196=0,"",[1]财务取数接口!$E$196),""))</f>
        <v>筐</v>
      </c>
      <c r="F197" s="41" t="str">
        <f aca="false">IF($T$4=0,IF($M197="","",$M197),IFERROR(IF([1]财务取数接口!$G$196=0,"",[1]财务取数接口!$G$196),""))</f>
        <v/>
      </c>
      <c r="G197" s="41" t="str">
        <f aca="false">IF($T$4=0,IF($N197="","",$N197),IFERROR(IF([1]财务取数接口!$H$196=0,"",[1]财务取数接口!$H$196),""))</f>
        <v/>
      </c>
      <c r="H197" s="39" t="str">
        <f aca="false">IF($T$4=0,IF($O197="","",$O197),IFERROR(IF([1]财务取数接口!$I$196=0,"",[1]财务取数接口!$I$196),""))</f>
        <v/>
      </c>
      <c r="I197" s="42"/>
      <c r="J197" s="43"/>
      <c r="K197" s="42"/>
      <c r="L197" s="42"/>
      <c r="M197" s="44"/>
      <c r="N197" s="44"/>
      <c r="O197" s="43"/>
      <c r="P197" s="45" t="n">
        <f aca="false">IF(AND($C197&lt;&gt;"",$C197&lt;&gt;"项目",OR(N($D197)&lt;&gt;0,N($E197)&lt;&gt;0,N($F197)&lt;&gt;0)),1,0)</f>
        <v>0</v>
      </c>
      <c r="Q197" s="45" t="n">
        <f aca="false">N(Q196)+$P197</f>
        <v>7</v>
      </c>
    </row>
    <row r="198" customFormat="false" ht="13.5" hidden="false" customHeight="false" outlineLevel="0" collapsed="false">
      <c r="A198" s="9" t="n">
        <v>197</v>
      </c>
      <c r="B198" s="38" t="n">
        <f aca="false">IF($T$4=0,IF($I198="","",$I198),IFERROR(IF([1]财务取数接口!$B$197=0,"",[1]财务取数接口!$B$197),""))</f>
        <v>46905</v>
      </c>
      <c r="C198" s="39" t="str">
        <f aca="false">IF($T$4=0,IF($J198="","",$J198),IFERROR(IF([1]财务取数接口!$C$197=0,"",[1]财务取数接口!$C$197),""))</f>
        <v>自购水果销售成本</v>
      </c>
      <c r="D198" s="40" t="str">
        <f aca="false">IF($T$4=0,IF($K198="","",$K198),IFERROR(IF([1]财务取数接口!$D$197=0,"",[1]财务取数接口!$D$197),""))</f>
        <v/>
      </c>
      <c r="E198" s="40" t="str">
        <f aca="false">IF($T$4=0,IF($L198="","",$L198),IFERROR(IF([1]财务取数接口!$E$197=0,"",[1]财务取数接口!$E$197),""))</f>
        <v>筐</v>
      </c>
      <c r="F198" s="41" t="str">
        <f aca="false">IF($T$4=0,IF($M198="","",$M198),IFERROR(IF([1]财务取数接口!$G$197=0,"",[1]财务取数接口!$G$197),""))</f>
        <v/>
      </c>
      <c r="G198" s="41" t="str">
        <f aca="false">IF($T$4=0,IF($N198="","",$N198),IFERROR(IF([1]财务取数接口!$H$197=0,"",[1]财务取数接口!$H$197),""))</f>
        <v/>
      </c>
      <c r="H198" s="39" t="str">
        <f aca="false">IF($T$4=0,IF($O198="","",$O198),IFERROR(IF([1]财务取数接口!$I$197=0,"",[1]财务取数接口!$I$197),""))</f>
        <v/>
      </c>
      <c r="I198" s="42"/>
      <c r="J198" s="43"/>
      <c r="K198" s="42"/>
      <c r="L198" s="42"/>
      <c r="M198" s="44"/>
      <c r="N198" s="44"/>
      <c r="O198" s="43"/>
      <c r="P198" s="45" t="n">
        <f aca="false">IF(AND($C198&lt;&gt;"",$C198&lt;&gt;"项目",OR(N($D198)&lt;&gt;0,N($E198)&lt;&gt;0,N($F198)&lt;&gt;0)),1,0)</f>
        <v>0</v>
      </c>
      <c r="Q198" s="45" t="n">
        <f aca="false">N(Q197)+$P198</f>
        <v>7</v>
      </c>
    </row>
    <row r="199" customFormat="false" ht="13.5" hidden="false" customHeight="false" outlineLevel="0" collapsed="false">
      <c r="A199" s="9" t="n">
        <v>198</v>
      </c>
      <c r="B199" s="38" t="n">
        <f aca="false">IF($T$4=0,IF($I199="","",$I199),IFERROR(IF([1]财务取数接口!$B$198=0,"",[1]财务取数接口!$B$198),""))</f>
        <v>46935</v>
      </c>
      <c r="C199" s="39" t="str">
        <f aca="false">IF($T$4=0,IF($J199="","",$J199),IFERROR(IF([1]财务取数接口!$C$198=0,"",[1]财务取数接口!$C$198),""))</f>
        <v>自购水果销售成本</v>
      </c>
      <c r="D199" s="40" t="str">
        <f aca="false">IF($T$4=0,IF($K199="","",$K199),IFERROR(IF([1]财务取数接口!$D$198=0,"",[1]财务取数接口!$D$198),""))</f>
        <v/>
      </c>
      <c r="E199" s="40" t="str">
        <f aca="false">IF($T$4=0,IF($L199="","",$L199),IFERROR(IF([1]财务取数接口!$E$198=0,"",[1]财务取数接口!$E$198),""))</f>
        <v>筐</v>
      </c>
      <c r="F199" s="41" t="str">
        <f aca="false">IF($T$4=0,IF($M199="","",$M199),IFERROR(IF([1]财务取数接口!$G$198=0,"",[1]财务取数接口!$G$198),""))</f>
        <v/>
      </c>
      <c r="G199" s="41" t="str">
        <f aca="false">IF($T$4=0,IF($N199="","",$N199),IFERROR(IF([1]财务取数接口!$H$198=0,"",[1]财务取数接口!$H$198),""))</f>
        <v/>
      </c>
      <c r="H199" s="39" t="str">
        <f aca="false">IF($T$4=0,IF($O199="","",$O199),IFERROR(IF([1]财务取数接口!$I$198=0,"",[1]财务取数接口!$I$198),""))</f>
        <v/>
      </c>
      <c r="I199" s="42"/>
      <c r="J199" s="43"/>
      <c r="K199" s="42"/>
      <c r="L199" s="42"/>
      <c r="M199" s="44"/>
      <c r="N199" s="44"/>
      <c r="O199" s="43"/>
      <c r="P199" s="45" t="n">
        <f aca="false">IF(AND($C199&lt;&gt;"",$C199&lt;&gt;"项目",OR(N($D199)&lt;&gt;0,N($E199)&lt;&gt;0,N($F199)&lt;&gt;0)),1,0)</f>
        <v>0</v>
      </c>
      <c r="Q199" s="45" t="n">
        <f aca="false">N(Q198)+$P199</f>
        <v>7</v>
      </c>
    </row>
    <row r="200" customFormat="false" ht="13.5" hidden="false" customHeight="false" outlineLevel="0" collapsed="false">
      <c r="A200" s="9" t="n">
        <v>199</v>
      </c>
      <c r="B200" s="40" t="str">
        <f aca="false">IF($T$4=0,IF($I200="","",$I200),IFERROR(IF([1]财务取数接口!$B$199=0,"",[1]财务取数接口!$B$199),""))</f>
        <v/>
      </c>
      <c r="C200" s="39" t="str">
        <f aca="false">IF($T$4=0,IF($J200="","",$J200),IFERROR(IF([1]财务取数接口!$C$199=0,"",[1]财务取数接口!$C$199),""))</f>
        <v/>
      </c>
      <c r="D200" s="40" t="str">
        <f aca="false">IF($T$4=0,IF($K200="","",$K200),IFERROR(IF([1]财务取数接口!$D$199=0,"",[1]财务取数接口!$D$199),""))</f>
        <v/>
      </c>
      <c r="E200" s="40" t="str">
        <f aca="false">IF($T$4=0,IF($L200="","",$L200),IFERROR(IF([1]财务取数接口!$E$199=0,"",[1]财务取数接口!$E$199),""))</f>
        <v/>
      </c>
      <c r="F200" s="41" t="str">
        <f aca="false">IF($T$4=0,IF($M200="","",$M200),IFERROR(IF([1]财务取数接口!$G$199=0,"",[1]财务取数接口!$G$199),""))</f>
        <v/>
      </c>
      <c r="G200" s="41" t="str">
        <f aca="false">IF($T$4=0,IF($N200="","",$N200),IFERROR(IF([1]财务取数接口!$H$199=0,"",[1]财务取数接口!$H$199),""))</f>
        <v/>
      </c>
      <c r="H200" s="39" t="str">
        <f aca="false">IF($T$4=0,IF($O200="","",$O200),IFERROR(IF([1]财务取数接口!$I$199=0,"",[1]财务取数接口!$I$199),""))</f>
        <v/>
      </c>
      <c r="I200" s="42"/>
      <c r="J200" s="43"/>
      <c r="K200" s="42"/>
      <c r="L200" s="42"/>
      <c r="M200" s="44"/>
      <c r="N200" s="44"/>
      <c r="O200" s="43"/>
      <c r="P200" s="45" t="n">
        <f aca="false">IF(AND($C200&lt;&gt;"",$C200&lt;&gt;"项目",OR(N($D200)&lt;&gt;0,N($E200)&lt;&gt;0,N($F200)&lt;&gt;0)),1,0)</f>
        <v>0</v>
      </c>
      <c r="Q200" s="45" t="n">
        <f aca="false">N(Q199)+$P200</f>
        <v>7</v>
      </c>
    </row>
    <row r="201" customFormat="false" ht="13.5" hidden="false" customHeight="false" outlineLevel="0" collapsed="false">
      <c r="A201" s="9" t="n">
        <v>200</v>
      </c>
      <c r="B201" s="40" t="str">
        <f aca="false">IF($T$4=0,IF($I201="","",$I201),IFERROR(IF([1]财务取数接口!$B$200=0,"",[1]财务取数接口!$B$200),""))</f>
        <v/>
      </c>
      <c r="C201" s="39" t="str">
        <f aca="false">IF($T$4=0,IF($J201="","",$J201),IFERROR(IF([1]财务取数接口!$C$200=0,"",[1]财务取数接口!$C$200),""))</f>
        <v>自购水果累计入库</v>
      </c>
      <c r="D201" s="40" t="str">
        <f aca="false">IF($T$4=0,IF($K201="","",$K201),IFERROR(IF([1]财务取数接口!$D$200=0,"",[1]财务取数接口!$D$200),""))</f>
        <v/>
      </c>
      <c r="E201" s="40" t="str">
        <f aca="false">IF($T$4=0,IF($L201="","",$L201),IFERROR(IF([1]财务取数接口!$E$200=0,"",[1]财务取数接口!$E$200),""))</f>
        <v>筐</v>
      </c>
      <c r="F201" s="41" t="str">
        <f aca="false">IF($T$4=0,IF($M201="","",$M201),IFERROR(IF([1]财务取数接口!$G$200=0,"",[1]财务取数接口!$G$200),""))</f>
        <v/>
      </c>
      <c r="G201" s="41" t="str">
        <f aca="false">IF($T$4=0,IF($N201="","",$N201),IFERROR(IF([1]财务取数接口!$H$200=0,"",[1]财务取数接口!$H$200),""))</f>
        <v/>
      </c>
      <c r="H201" s="39" t="str">
        <f aca="false">IF($T$4=0,IF($O201="","",$O201),IFERROR(IF([1]财务取数接口!$I$200=0,"",[1]财务取数接口!$I$200),""))</f>
        <v/>
      </c>
      <c r="I201" s="42"/>
      <c r="J201" s="43"/>
      <c r="K201" s="42"/>
      <c r="L201" s="42"/>
      <c r="M201" s="44"/>
      <c r="N201" s="44"/>
      <c r="O201" s="43"/>
      <c r="P201" s="45" t="n">
        <f aca="false">IF(AND($C201&lt;&gt;"",$C201&lt;&gt;"项目",OR(N($D201)&lt;&gt;0,N($E201)&lt;&gt;0,N($F201)&lt;&gt;0)),1,0)</f>
        <v>0</v>
      </c>
      <c r="Q201" s="45" t="n">
        <f aca="false">N(Q200)+$P201</f>
        <v>7</v>
      </c>
    </row>
    <row r="202" customFormat="false" ht="13.5" hidden="false" customHeight="false" outlineLevel="0" collapsed="false">
      <c r="A202" s="9" t="n">
        <v>201</v>
      </c>
      <c r="B202" s="40" t="str">
        <f aca="false">IF($T$4=0,IF($I202="","",$I202),IFERROR(IF([1]财务取数接口!$B$201=0,"",[1]财务取数接口!$B$201),""))</f>
        <v/>
      </c>
      <c r="C202" s="39" t="str">
        <f aca="false">IF($T$4=0,IF($J202="","",$J202),IFERROR(IF([1]财务取数接口!$C$201=0,"",[1]财务取数接口!$C$201),""))</f>
        <v>自购水果累计出库</v>
      </c>
      <c r="D202" s="40" t="str">
        <f aca="false">IF($T$4=0,IF($K202="","",$K202),IFERROR(IF([1]财务取数接口!$D$201=0,"",[1]财务取数接口!$D$201),""))</f>
        <v/>
      </c>
      <c r="E202" s="40" t="str">
        <f aca="false">IF($T$4=0,IF($L202="","",$L202),IFERROR(IF([1]财务取数接口!$E$201=0,"",[1]财务取数接口!$E$201),""))</f>
        <v>筐</v>
      </c>
      <c r="F202" s="41" t="str">
        <f aca="false">IF($T$4=0,IF($M202="","",$M202),IFERROR(IF([1]财务取数接口!$G$201=0,"",[1]财务取数接口!$G$201),""))</f>
        <v/>
      </c>
      <c r="G202" s="41" t="str">
        <f aca="false">IF($T$4=0,IF($N202="","",$N202),IFERROR(IF([1]财务取数接口!$H$201=0,"",[1]财务取数接口!$H$201),""))</f>
        <v/>
      </c>
      <c r="H202" s="39" t="str">
        <f aca="false">IF($T$4=0,IF($O202="","",$O202),IFERROR(IF([1]财务取数接口!$I$201=0,"",[1]财务取数接口!$I$201),""))</f>
        <v/>
      </c>
      <c r="I202" s="42"/>
      <c r="J202" s="43"/>
      <c r="K202" s="42"/>
      <c r="L202" s="42"/>
      <c r="M202" s="44"/>
      <c r="N202" s="44"/>
      <c r="O202" s="43"/>
      <c r="P202" s="45" t="n">
        <f aca="false">IF(AND($C202&lt;&gt;"",$C202&lt;&gt;"项目",OR(N($D202)&lt;&gt;0,N($E202)&lt;&gt;0,N($F202)&lt;&gt;0)),1,0)</f>
        <v>0</v>
      </c>
      <c r="Q202" s="45" t="n">
        <f aca="false">N(Q201)+$P202</f>
        <v>7</v>
      </c>
    </row>
    <row r="203" customFormat="false" ht="13.5" hidden="false" customHeight="false" outlineLevel="0" collapsed="false">
      <c r="A203" s="9" t="n">
        <v>202</v>
      </c>
      <c r="B203" s="40" t="str">
        <f aca="false">IF($T$4=0,IF($I203="","",$I203),IFERROR(IF([1]财务取数接口!$B$202=0,"",[1]财务取数接口!$B$202),""))</f>
        <v/>
      </c>
      <c r="C203" s="39" t="str">
        <f aca="false">IF($T$4=0,IF($J203="","",$J203),IFERROR(IF([1]财务取数接口!$C$202=0,"",[1]财务取数接口!$C$202),""))</f>
        <v>加权平均单价（元/筐件）</v>
      </c>
      <c r="D203" s="40" t="str">
        <f aca="false">IF($T$4=0,IF($K203="","",$K203),IFERROR(IF([1]财务取数接口!$D$202=0,"",[1]财务取数接口!$D$202),""))</f>
        <v/>
      </c>
      <c r="E203" s="40" t="str">
        <f aca="false">IF($T$4=0,IF($L203="","",$L203),IFERROR(IF([1]财务取数接口!$E$202=0,"",[1]财务取数接口!$E$202),""))</f>
        <v>元/筐</v>
      </c>
      <c r="F203" s="41" t="str">
        <f aca="false">IF($T$4=0,IF($M203="","",$M203),IFERROR(IF([1]财务取数接口!$G$202=0,"",[1]财务取数接口!$G$202),""))</f>
        <v/>
      </c>
      <c r="G203" s="41" t="str">
        <f aca="false">IF($T$4=0,IF($N203="","",$N203),IFERROR(IF([1]财务取数接口!$H$202=0,"",[1]财务取数接口!$H$202),""))</f>
        <v/>
      </c>
      <c r="H203" s="39" t="str">
        <f aca="false">IF($T$4=0,IF($O203="","",$O203),IFERROR(IF([1]财务取数接口!$I$202=0,"",[1]财务取数接口!$I$202),""))</f>
        <v/>
      </c>
      <c r="I203" s="42"/>
      <c r="J203" s="43"/>
      <c r="K203" s="42"/>
      <c r="L203" s="42"/>
      <c r="M203" s="44"/>
      <c r="N203" s="44"/>
      <c r="O203" s="43"/>
      <c r="P203" s="45" t="n">
        <f aca="false">IF(AND($C203&lt;&gt;"",$C203&lt;&gt;"项目",OR(N($D203)&lt;&gt;0,N($E203)&lt;&gt;0,N($F203)&lt;&gt;0)),1,0)</f>
        <v>0</v>
      </c>
      <c r="Q203" s="45" t="n">
        <f aca="false">N(Q202)+$P203</f>
        <v>7</v>
      </c>
    </row>
    <row r="204" customFormat="false" ht="13.5" hidden="false" customHeight="false" outlineLevel="0" collapsed="false">
      <c r="A204" s="9" t="n">
        <v>203</v>
      </c>
      <c r="B204" s="40" t="str">
        <f aca="false">IF($T$4=0,IF($I204="","",$I204),IFERROR(IF([1]财务取数接口!$B$203=0,"",[1]财务取数接口!$B$203),""))</f>
        <v/>
      </c>
      <c r="C204" s="39" t="str">
        <f aca="false">IF($T$4=0,IF($J204="","",$J204),IFERROR(IF([1]财务取数接口!$C$203=0,"",[1]财务取数接口!$C$203),""))</f>
        <v>期末结存</v>
      </c>
      <c r="D204" s="40" t="str">
        <f aca="false">IF($T$4=0,IF($K204="","",$K204),IFERROR(IF([1]财务取数接口!$D$203=0,"",[1]财务取数接口!$D$203),""))</f>
        <v/>
      </c>
      <c r="E204" s="40" t="str">
        <f aca="false">IF($T$4=0,IF($L204="","",$L204),IFERROR(IF([1]财务取数接口!$E$203=0,"",[1]财务取数接口!$E$203),""))</f>
        <v>筐</v>
      </c>
      <c r="F204" s="41" t="str">
        <f aca="false">IF($T$4=0,IF($M204="","",$M204),IFERROR(IF([1]财务取数接口!$G$203=0,"",[1]财务取数接口!$G$203),""))</f>
        <v/>
      </c>
      <c r="G204" s="41" t="str">
        <f aca="false">IF($T$4=0,IF($N204="","",$N204),IFERROR(IF([1]财务取数接口!$H$203=0,"",[1]财务取数接口!$H$203),""))</f>
        <v/>
      </c>
      <c r="H204" s="39" t="str">
        <f aca="false">IF($T$4=0,IF($O204="","",$O204),IFERROR(IF([1]财务取数接口!$I$203=0,"",[1]财务取数接口!$I$203),""))</f>
        <v/>
      </c>
      <c r="I204" s="42"/>
      <c r="J204" s="43"/>
      <c r="K204" s="42"/>
      <c r="L204" s="42"/>
      <c r="M204" s="44"/>
      <c r="N204" s="44"/>
      <c r="O204" s="43"/>
      <c r="P204" s="45" t="n">
        <f aca="false">IF(AND($C204&lt;&gt;"",$C204&lt;&gt;"项目",OR(N($D204)&lt;&gt;0,N($E204)&lt;&gt;0,N($F204)&lt;&gt;0)),1,0)</f>
        <v>0</v>
      </c>
      <c r="Q204" s="45" t="n">
        <f aca="false">N(Q203)+$P204</f>
        <v>7</v>
      </c>
    </row>
    <row r="205" customFormat="false" ht="13.5" hidden="false" customHeight="false" outlineLevel="0" collapsed="false">
      <c r="A205" s="9" t="n">
        <v>204</v>
      </c>
      <c r="B205" s="40" t="str">
        <f aca="false">IF($T$4=0,IF($I205="","",$I205),IFERROR(IF([1]财务取数接口!$B$204=0,"",[1]财务取数接口!$B$204),""))</f>
        <v/>
      </c>
      <c r="C205" s="39" t="str">
        <f aca="false">IF($T$4=0,IF($J205="","",$J205),IFERROR(IF([1]财务取数接口!$C$204=0,"",[1]财务取数接口!$C$204),""))</f>
        <v/>
      </c>
      <c r="D205" s="40" t="str">
        <f aca="false">IF($T$4=0,IF($K205="","",$K205),IFERROR(IF([1]财务取数接口!$D$204=0,"",[1]财务取数接口!$D$204),""))</f>
        <v/>
      </c>
      <c r="E205" s="40" t="str">
        <f aca="false">IF($T$4=0,IF($L205="","",$L205),IFERROR(IF([1]财务取数接口!$E$204=0,"",[1]财务取数接口!$E$204),""))</f>
        <v/>
      </c>
      <c r="F205" s="41" t="str">
        <f aca="false">IF($T$4=0,IF($M205="","",$M205),IFERROR(IF([1]财务取数接口!$G$204=0,"",[1]财务取数接口!$G$204),""))</f>
        <v/>
      </c>
      <c r="G205" s="41" t="str">
        <f aca="false">IF($T$4=0,IF($N205="","",$N205),IFERROR(IF([1]财务取数接口!$H$204=0,"",[1]财务取数接口!$H$204),""))</f>
        <v/>
      </c>
      <c r="H205" s="39" t="str">
        <f aca="false">IF($T$4=0,IF($O205="","",$O205),IFERROR(IF([1]财务取数接口!$I$204=0,"",[1]财务取数接口!$I$204),""))</f>
        <v/>
      </c>
      <c r="I205" s="42"/>
      <c r="J205" s="43"/>
      <c r="K205" s="42"/>
      <c r="L205" s="42"/>
      <c r="M205" s="44"/>
      <c r="N205" s="44"/>
      <c r="O205" s="43"/>
      <c r="P205" s="45" t="n">
        <f aca="false">IF(AND($C205&lt;&gt;"",$C205&lt;&gt;"项目",OR(N($D205)&lt;&gt;0,N($E205)&lt;&gt;0,N($F205)&lt;&gt;0)),1,0)</f>
        <v>0</v>
      </c>
      <c r="Q205" s="45" t="n">
        <f aca="false">N(Q204)+$P205</f>
        <v>7</v>
      </c>
    </row>
    <row r="206" customFormat="false" ht="13.5" hidden="false" customHeight="false" outlineLevel="0" collapsed="false">
      <c r="A206" s="9" t="n">
        <v>205</v>
      </c>
      <c r="B206" s="40" t="str">
        <f aca="false">IF($T$4=0,IF($I206="","",$I206),IFERROR(IF([1]财务取数接口!$B$205=0,"",[1]财务取数接口!$B$205),""))</f>
        <v/>
      </c>
      <c r="C206" s="39" t="str">
        <f aca="false">IF($T$4=0,IF($J206="","",$J206),IFERROR(IF([1]财务取数接口!$C$205=0,"",[1]财务取数接口!$C$205),""))</f>
        <v/>
      </c>
      <c r="D206" s="40" t="str">
        <f aca="false">IF($T$4=0,IF($K206="","",$K206),IFERROR(IF([1]财务取数接口!$D$205=0,"",[1]财务取数接口!$D$205),""))</f>
        <v/>
      </c>
      <c r="E206" s="40" t="str">
        <f aca="false">IF($T$4=0,IF($L206="","",$L206),IFERROR(IF([1]财务取数接口!$E$205=0,"",[1]财务取数接口!$E$205),""))</f>
        <v/>
      </c>
      <c r="F206" s="41" t="str">
        <f aca="false">IF($T$4=0,IF($M206="","",$M206),IFERROR(IF([1]财务取数接口!$G$205=0,"",[1]财务取数接口!$G$205),""))</f>
        <v/>
      </c>
      <c r="G206" s="41" t="str">
        <f aca="false">IF($T$4=0,IF($N206="","",$N206),IFERROR(IF([1]财务取数接口!$H$205=0,"",[1]财务取数接口!$H$205),""))</f>
        <v/>
      </c>
      <c r="H206" s="39" t="str">
        <f aca="false">IF($T$4=0,IF($O206="","",$O206),IFERROR(IF([1]财务取数接口!$I$205=0,"",[1]财务取数接口!$I$205),""))</f>
        <v/>
      </c>
      <c r="I206" s="42"/>
      <c r="J206" s="43"/>
      <c r="K206" s="42"/>
      <c r="L206" s="42"/>
      <c r="M206" s="44"/>
      <c r="N206" s="44"/>
      <c r="O206" s="43"/>
      <c r="P206" s="45" t="n">
        <f aca="false">IF(AND($C206&lt;&gt;"",$C206&lt;&gt;"项目",OR(N($D206)&lt;&gt;0,N($E206)&lt;&gt;0,N($F206)&lt;&gt;0)),1,0)</f>
        <v>0</v>
      </c>
      <c r="Q206" s="45" t="n">
        <f aca="false">N(Q205)+$P206</f>
        <v>7</v>
      </c>
    </row>
    <row r="207" customFormat="false" ht="13.5" hidden="false" customHeight="false" outlineLevel="0" collapsed="false">
      <c r="A207" s="9" t="n">
        <v>206</v>
      </c>
      <c r="B207" s="40" t="str">
        <f aca="false">IF($T$4=0,IF($I207="","",$I207),IFERROR(IF([1]财务取数接口!$B$206=0,"",[1]财务取数接口!$B$206),""))</f>
        <v>往来单位</v>
      </c>
      <c r="C207" s="39" t="str">
        <f aca="false">IF($T$4=0,IF($J207="","",$J207),IFERROR(IF([1]财务取数接口!$C$206=0,"",[1]财务取数接口!$C$206),""))</f>
        <v>项目</v>
      </c>
      <c r="D207" s="40" t="str">
        <f aca="false">IF($T$4=0,IF($K207="","",$K207),IFERROR(IF([1]财务取数接口!$D$206=0,"",[1]财务取数接口!$D$206),""))</f>
        <v>应收发生额</v>
      </c>
      <c r="E207" s="40" t="str">
        <f aca="false">IF($T$4=0,IF($L207="","",$L207),IFERROR(IF([1]财务取数接口!$E$206=0,"",[1]财务取数接口!$E$206),""))</f>
        <v>应付发生额</v>
      </c>
      <c r="F207" s="41" t="str">
        <f aca="false">IF($T$4=0,IF($M207="","",$M207),IFERROR(IF([1]财务取数接口!$G$206=0,"",[1]财务取数接口!$G$206),""))</f>
        <v>应收合计（应付显示为负）</v>
      </c>
      <c r="G207" s="41" t="str">
        <f aca="false">IF($T$4=0,IF($N207="","",$N207),IFERROR(IF([1]财务取数接口!$H$206=0,"",[1]财务取数接口!$H$206),""))</f>
        <v>已收/已付金额</v>
      </c>
      <c r="H207" s="39" t="str">
        <f aca="false">IF($T$4=0,IF($O207="","",$O207),IFERROR(IF([1]财务取数接口!$I$206=0,"",[1]财务取数接口!$I$206),""))</f>
        <v>备注</v>
      </c>
      <c r="I207" s="42"/>
      <c r="J207" s="43"/>
      <c r="K207" s="42"/>
      <c r="L207" s="42"/>
      <c r="M207" s="44"/>
      <c r="N207" s="44"/>
      <c r="O207" s="43"/>
      <c r="P207" s="45" t="n">
        <f aca="false">IF(AND($C207&lt;&gt;"",$C207&lt;&gt;"项目",OR(N($D207)&lt;&gt;0,N($E207)&lt;&gt;0,N($F207)&lt;&gt;0)),1,0)</f>
        <v>0</v>
      </c>
      <c r="Q207" s="45" t="n">
        <f aca="false">N(Q206)+$P207</f>
        <v>7</v>
      </c>
    </row>
    <row r="208" customFormat="false" ht="13.5" hidden="false" customHeight="false" outlineLevel="0" collapsed="false">
      <c r="A208" s="9" t="n">
        <v>207</v>
      </c>
      <c r="B208" s="40" t="str">
        <f aca="false">IF($T$4=0,IF($I208="","",$I208),IFERROR(IF([1]财务取数接口!$B$207=0,"",[1]财务取数接口!$B$207),""))</f>
        <v>聂新平</v>
      </c>
      <c r="C208" s="39" t="str">
        <f aca="false">IF($T$4=0,IF($J208="","",$J208),IFERROR(IF([1]财务取数接口!$C$207=0,"",[1]财务取数接口!$C$207),""))</f>
        <v>成品销售款</v>
      </c>
      <c r="D208" s="40" t="str">
        <f aca="false">IF($T$4=0,IF($K208="","",$K208),IFERROR(IF([1]财务取数接口!$D$207=0,"",[1]财务取数接口!$D$207),""))</f>
        <v/>
      </c>
      <c r="E208" s="40" t="str">
        <f aca="false">IF($T$4=0,IF($L208="","",$L208),IFERROR(IF([1]财务取数接口!$E$207=0,"",[1]财务取数接口!$E$207),""))</f>
        <v/>
      </c>
      <c r="F208" s="41" t="str">
        <f aca="false">IF($T$4=0,IF($M208="","",$M208),IFERROR(IF([1]财务取数接口!$G$207=0,"",[1]财务取数接口!$G$207),""))</f>
        <v/>
      </c>
      <c r="G208" s="41" t="str">
        <f aca="false">IF($T$4=0,IF($N208="","",$N208),IFERROR(IF([1]财务取数接口!$H$207=0,"",[1]财务取数接口!$H$207),""))</f>
        <v/>
      </c>
      <c r="H208" s="39" t="str">
        <f aca="false">IF($T$4=0,IF($O208="","",$O208),IFERROR(IF([1]财务取数接口!$I$207=0,"",[1]财务取数接口!$I$207),""))</f>
        <v/>
      </c>
      <c r="I208" s="42"/>
      <c r="J208" s="43"/>
      <c r="K208" s="42"/>
      <c r="L208" s="42"/>
      <c r="M208" s="44"/>
      <c r="N208" s="44"/>
      <c r="O208" s="43"/>
      <c r="P208" s="45" t="n">
        <f aca="false">IF(AND($C208&lt;&gt;"",$C208&lt;&gt;"项目",OR(N($D208)&lt;&gt;0,N($E208)&lt;&gt;0,N($F208)&lt;&gt;0)),1,0)</f>
        <v>0</v>
      </c>
      <c r="Q208" s="45" t="n">
        <f aca="false">N(Q207)+$P208</f>
        <v>7</v>
      </c>
    </row>
    <row r="209" customFormat="false" ht="13.5" hidden="false" customHeight="false" outlineLevel="0" collapsed="false">
      <c r="A209" s="9" t="n">
        <v>208</v>
      </c>
      <c r="B209" s="40" t="str">
        <f aca="false">IF($T$4=0,IF($I209="","",$I209),IFERROR(IF([1]财务取数接口!$B$208=0,"",[1]财务取数接口!$B$208),""))</f>
        <v>聂新平</v>
      </c>
      <c r="C209" s="39" t="str">
        <f aca="false">IF($T$4=0,IF($J209="","",$J209),IFERROR(IF([1]财务取数接口!$C$208=0,"",[1]财务取数接口!$C$208),""))</f>
        <v>公司购买果品款</v>
      </c>
      <c r="D209" s="40" t="str">
        <f aca="false">IF($T$4=0,IF($K209="","",$K209),IFERROR(IF([1]财务取数接口!$D$208=0,"",[1]财务取数接口!$D$208),""))</f>
        <v/>
      </c>
      <c r="E209" s="40" t="str">
        <f aca="false">IF($T$4=0,IF($L209="","",$L209),IFERROR(IF([1]财务取数接口!$E$208=0,"",[1]财务取数接口!$E$208),""))</f>
        <v/>
      </c>
      <c r="F209" s="41" t="str">
        <f aca="false">IF($T$4=0,IF($M209="","",$M209),IFERROR(IF([1]财务取数接口!$G$208=0,"",[1]财务取数接口!$G$208),""))</f>
        <v/>
      </c>
      <c r="G209" s="41" t="str">
        <f aca="false">IF($T$4=0,IF($N209="","",$N209),IFERROR(IF([1]财务取数接口!$H$208=0,"",[1]财务取数接口!$H$208),""))</f>
        <v/>
      </c>
      <c r="H209" s="39" t="str">
        <f aca="false">IF($T$4=0,IF($O209="","",$O209),IFERROR(IF([1]财务取数接口!$I$208=0,"",[1]财务取数接口!$I$208),""))</f>
        <v/>
      </c>
      <c r="I209" s="42"/>
      <c r="J209" s="43"/>
      <c r="K209" s="42"/>
      <c r="L209" s="42"/>
      <c r="M209" s="44"/>
      <c r="N209" s="44"/>
      <c r="O209" s="43"/>
      <c r="P209" s="45" t="n">
        <f aca="false">IF(AND($C209&lt;&gt;"",$C209&lt;&gt;"项目",OR(N($D209)&lt;&gt;0,N($E209)&lt;&gt;0,N($F209)&lt;&gt;0)),1,0)</f>
        <v>0</v>
      </c>
      <c r="Q209" s="45" t="n">
        <f aca="false">N(Q208)+$P209</f>
        <v>7</v>
      </c>
    </row>
    <row r="210" customFormat="false" ht="13.5" hidden="false" customHeight="false" outlineLevel="0" collapsed="false">
      <c r="A210" s="9" t="n">
        <v>209</v>
      </c>
      <c r="B210" s="40" t="str">
        <f aca="false">IF($T$4=0,IF($I210="","",$I210),IFERROR(IF([1]财务取数接口!$B$209=0,"",[1]财务取数接口!$B$209),""))</f>
        <v>王照雪</v>
      </c>
      <c r="C210" s="39" t="str">
        <f aca="false">IF($T$4=0,IF($J210="","",$J210),IFERROR(IF([1]财务取数接口!$C$209=0,"",[1]财务取数接口!$C$209),""))</f>
        <v>成品销售款</v>
      </c>
      <c r="D210" s="40" t="str">
        <f aca="false">IF($T$4=0,IF($K210="","",$K210),IFERROR(IF([1]财务取数接口!$D$209=0,"",[1]财务取数接口!$D$209),""))</f>
        <v/>
      </c>
      <c r="E210" s="40" t="str">
        <f aca="false">IF($T$4=0,IF($L210="","",$L210),IFERROR(IF([1]财务取数接口!$E$209=0,"",[1]财务取数接口!$E$209),""))</f>
        <v/>
      </c>
      <c r="F210" s="41" t="str">
        <f aca="false">IF($T$4=0,IF($M210="","",$M210),IFERROR(IF([1]财务取数接口!$G$209=0,"",[1]财务取数接口!$G$209),""))</f>
        <v/>
      </c>
      <c r="G210" s="41" t="str">
        <f aca="false">IF($T$4=0,IF($N210="","",$N210),IFERROR(IF([1]财务取数接口!$H$209=0,"",[1]财务取数接口!$H$209),""))</f>
        <v/>
      </c>
      <c r="H210" s="39" t="str">
        <f aca="false">IF($T$4=0,IF($O210="","",$O210),IFERROR(IF([1]财务取数接口!$I$209=0,"",[1]财务取数接口!$I$209),""))</f>
        <v/>
      </c>
      <c r="I210" s="42"/>
      <c r="J210" s="43"/>
      <c r="K210" s="42"/>
      <c r="L210" s="42"/>
      <c r="M210" s="44"/>
      <c r="N210" s="44"/>
      <c r="O210" s="43"/>
      <c r="P210" s="45" t="n">
        <f aca="false">IF(AND($C210&lt;&gt;"",$C210&lt;&gt;"项目",OR(N($D210)&lt;&gt;0,N($E210)&lt;&gt;0,N($F210)&lt;&gt;0)),1,0)</f>
        <v>0</v>
      </c>
      <c r="Q210" s="45" t="n">
        <f aca="false">N(Q209)+$P210</f>
        <v>7</v>
      </c>
    </row>
    <row r="211" customFormat="false" ht="13.5" hidden="false" customHeight="false" outlineLevel="0" collapsed="false">
      <c r="A211" s="9" t="n">
        <v>210</v>
      </c>
      <c r="B211" s="40" t="str">
        <f aca="false">IF($T$4=0,IF($I211="","",$I211),IFERROR(IF([1]财务取数接口!$B$210=0,"",[1]财务取数接口!$B$210),""))</f>
        <v>王照雪</v>
      </c>
      <c r="C211" s="39" t="str">
        <f aca="false">IF($T$4=0,IF($J211="","",$J211),IFERROR(IF([1]财务取数接口!$C$210=0,"",[1]财务取数接口!$C$210),""))</f>
        <v>公司购买果品款</v>
      </c>
      <c r="D211" s="40" t="str">
        <f aca="false">IF($T$4=0,IF($K211="","",$K211),IFERROR(IF([1]财务取数接口!$D$210=0,"",[1]财务取数接口!$D$210),""))</f>
        <v/>
      </c>
      <c r="E211" s="40" t="n">
        <f aca="false">IF($T$4=0,IF($L211="","",$L211),IFERROR(IF([1]财务取数接口!$E$210=0,"",[1]财务取数接口!$E$210),""))</f>
        <v>40</v>
      </c>
      <c r="F211" s="41" t="n">
        <f aca="false">IF($T$4=0,IF($M211="","",$M211),IFERROR(IF([1]财务取数接口!$G$210=0,"",[1]财务取数接口!$G$210),""))</f>
        <v>-40</v>
      </c>
      <c r="G211" s="41" t="n">
        <f aca="false">IF($T$4=0,IF($N211="","",$N211),IFERROR(IF([1]财务取数接口!$H$210=0,"",[1]财务取数接口!$H$210),""))</f>
        <v>40</v>
      </c>
      <c r="H211" s="39" t="str">
        <f aca="false">IF($T$4=0,IF($O211="","",$O211),IFERROR(IF([1]财务取数接口!$I$210=0,"",[1]财务取数接口!$I$210),""))</f>
        <v/>
      </c>
      <c r="I211" s="42"/>
      <c r="J211" s="43"/>
      <c r="K211" s="42"/>
      <c r="L211" s="42"/>
      <c r="M211" s="44"/>
      <c r="N211" s="44"/>
      <c r="O211" s="43"/>
      <c r="P211" s="45" t="n">
        <f aca="false">IF(AND($C211&lt;&gt;"",$C211&lt;&gt;"项目",OR(N($D211)&lt;&gt;0,N($E211)&lt;&gt;0,N($F211)&lt;&gt;0)),1,0)</f>
        <v>1</v>
      </c>
      <c r="Q211" s="45" t="n">
        <f aca="false">N(Q210)+$P211</f>
        <v>8</v>
      </c>
    </row>
    <row r="212" customFormat="false" ht="13.5" hidden="false" customHeight="false" outlineLevel="0" collapsed="false">
      <c r="A212" s="9" t="n">
        <v>211</v>
      </c>
      <c r="B212" s="40" t="str">
        <f aca="false">IF($T$4=0,IF($I212="","",$I212),IFERROR(IF([1]财务取数接口!$B$211=0,"",[1]财务取数接口!$B$211),""))</f>
        <v>伍元虎</v>
      </c>
      <c r="C212" s="39" t="str">
        <f aca="false">IF($T$4=0,IF($J212="","",$J212),IFERROR(IF([1]财务取数接口!$C$211=0,"",[1]财务取数接口!$C$211),""))</f>
        <v>成品销售款</v>
      </c>
      <c r="D212" s="40" t="str">
        <f aca="false">IF($T$4=0,IF($K212="","",$K212),IFERROR(IF([1]财务取数接口!$D$211=0,"",[1]财务取数接口!$D$211),""))</f>
        <v/>
      </c>
      <c r="E212" s="40" t="str">
        <f aca="false">IF($T$4=0,IF($L212="","",$L212),IFERROR(IF([1]财务取数接口!$E$211=0,"",[1]财务取数接口!$E$211),""))</f>
        <v/>
      </c>
      <c r="F212" s="41" t="str">
        <f aca="false">IF($T$4=0,IF($M212="","",$M212),IFERROR(IF([1]财务取数接口!$G$211=0,"",[1]财务取数接口!$G$211),""))</f>
        <v/>
      </c>
      <c r="G212" s="41" t="str">
        <f aca="false">IF($T$4=0,IF($N212="","",$N212),IFERROR(IF([1]财务取数接口!$H$211=0,"",[1]财务取数接口!$H$211),""))</f>
        <v/>
      </c>
      <c r="H212" s="39" t="str">
        <f aca="false">IF($T$4=0,IF($O212="","",$O212),IFERROR(IF([1]财务取数接口!$I$211=0,"",[1]财务取数接口!$I$211),""))</f>
        <v/>
      </c>
      <c r="I212" s="42"/>
      <c r="J212" s="43"/>
      <c r="K212" s="42"/>
      <c r="L212" s="42"/>
      <c r="M212" s="44"/>
      <c r="N212" s="44"/>
      <c r="O212" s="43"/>
      <c r="P212" s="45" t="n">
        <f aca="false">IF(AND($C212&lt;&gt;"",$C212&lt;&gt;"项目",OR(N($D212)&lt;&gt;0,N($E212)&lt;&gt;0,N($F212)&lt;&gt;0)),1,0)</f>
        <v>0</v>
      </c>
      <c r="Q212" s="45" t="n">
        <f aca="false">N(Q211)+$P212</f>
        <v>8</v>
      </c>
    </row>
    <row r="213" customFormat="false" ht="13.5" hidden="false" customHeight="false" outlineLevel="0" collapsed="false">
      <c r="A213" s="9" t="n">
        <v>212</v>
      </c>
      <c r="B213" s="40" t="str">
        <f aca="false">IF($T$4=0,IF($I213="","",$I213),IFERROR(IF([1]财务取数接口!$B$212=0,"",[1]财务取数接口!$B$212),""))</f>
        <v>伍元虎</v>
      </c>
      <c r="C213" s="39" t="str">
        <f aca="false">IF($T$4=0,IF($J213="","",$J213),IFERROR(IF([1]财务取数接口!$C$212=0,"",[1]财务取数接口!$C$212),""))</f>
        <v>公司购买果品款</v>
      </c>
      <c r="D213" s="40" t="str">
        <f aca="false">IF($T$4=0,IF($K213="","",$K213),IFERROR(IF([1]财务取数接口!$D$212=0,"",[1]财务取数接口!$D$212),""))</f>
        <v/>
      </c>
      <c r="E213" s="40" t="str">
        <f aca="false">IF($T$4=0,IF($L213="","",$L213),IFERROR(IF([1]财务取数接口!$E$212=0,"",[1]财务取数接口!$E$212),""))</f>
        <v/>
      </c>
      <c r="F213" s="41" t="str">
        <f aca="false">IF($T$4=0,IF($M213="","",$M213),IFERROR(IF([1]财务取数接口!$G$212=0,"",[1]财务取数接口!$G$212),""))</f>
        <v/>
      </c>
      <c r="G213" s="41" t="str">
        <f aca="false">IF($T$4=0,IF($N213="","",$N213),IFERROR(IF([1]财务取数接口!$H$212=0,"",[1]财务取数接口!$H$212),""))</f>
        <v/>
      </c>
      <c r="H213" s="39" t="str">
        <f aca="false">IF($T$4=0,IF($O213="","",$O213),IFERROR(IF([1]财务取数接口!$I$212=0,"",[1]财务取数接口!$I$212),""))</f>
        <v/>
      </c>
      <c r="I213" s="42"/>
      <c r="J213" s="43"/>
      <c r="K213" s="42"/>
      <c r="L213" s="42"/>
      <c r="M213" s="44"/>
      <c r="N213" s="44"/>
      <c r="O213" s="43"/>
      <c r="P213" s="45" t="n">
        <f aca="false">IF(AND($C213&lt;&gt;"",$C213&lt;&gt;"项目",OR(N($D213)&lt;&gt;0,N($E213)&lt;&gt;0,N($F213)&lt;&gt;0)),1,0)</f>
        <v>0</v>
      </c>
      <c r="Q213" s="45" t="n">
        <f aca="false">N(Q212)+$P213</f>
        <v>8</v>
      </c>
    </row>
    <row r="214" customFormat="false" ht="13.5" hidden="false" customHeight="false" outlineLevel="0" collapsed="false">
      <c r="A214" s="9" t="n">
        <v>213</v>
      </c>
      <c r="B214" s="40" t="str">
        <f aca="false">IF($T$4=0,IF($I214="","",$I214),IFERROR(IF([1]财务取数接口!$B$213=0,"",[1]财务取数接口!$B$213),""))</f>
        <v>马锦祥</v>
      </c>
      <c r="C214" s="39" t="str">
        <f aca="false">IF($T$4=0,IF($J214="","",$J214),IFERROR(IF([1]财务取数接口!$C$213=0,"",[1]财务取数接口!$C$213),""))</f>
        <v>成品销售款</v>
      </c>
      <c r="D214" s="40" t="str">
        <f aca="false">IF($T$4=0,IF($K214="","",$K214),IFERROR(IF([1]财务取数接口!$D$213=0,"",[1]财务取数接口!$D$213),""))</f>
        <v/>
      </c>
      <c r="E214" s="40" t="str">
        <f aca="false">IF($T$4=0,IF($L214="","",$L214),IFERROR(IF([1]财务取数接口!$E$213=0,"",[1]财务取数接口!$E$213),""))</f>
        <v/>
      </c>
      <c r="F214" s="41" t="str">
        <f aca="false">IF($T$4=0,IF($M214="","",$M214),IFERROR(IF([1]财务取数接口!$G$213=0,"",[1]财务取数接口!$G$213),""))</f>
        <v/>
      </c>
      <c r="G214" s="41" t="str">
        <f aca="false">IF($T$4=0,IF($N214="","",$N214),IFERROR(IF([1]财务取数接口!$H$213=0,"",[1]财务取数接口!$H$213),""))</f>
        <v/>
      </c>
      <c r="H214" s="39" t="str">
        <f aca="false">IF($T$4=0,IF($O214="","",$O214),IFERROR(IF([1]财务取数接口!$I$213=0,"",[1]财务取数接口!$I$213),""))</f>
        <v/>
      </c>
      <c r="I214" s="42"/>
      <c r="J214" s="43"/>
      <c r="K214" s="42"/>
      <c r="L214" s="42"/>
      <c r="M214" s="44"/>
      <c r="N214" s="44"/>
      <c r="O214" s="43"/>
      <c r="P214" s="45" t="n">
        <f aca="false">IF(AND($C214&lt;&gt;"",$C214&lt;&gt;"项目",OR(N($D214)&lt;&gt;0,N($E214)&lt;&gt;0,N($F214)&lt;&gt;0)),1,0)</f>
        <v>0</v>
      </c>
      <c r="Q214" s="45" t="n">
        <f aca="false">N(Q213)+$P214</f>
        <v>8</v>
      </c>
    </row>
    <row r="215" customFormat="false" ht="13.5" hidden="false" customHeight="false" outlineLevel="0" collapsed="false">
      <c r="A215" s="9" t="n">
        <v>214</v>
      </c>
      <c r="B215" s="40" t="str">
        <f aca="false">IF($T$4=0,IF($I215="","",$I215),IFERROR(IF([1]财务取数接口!$B$214=0,"",[1]财务取数接口!$B$214),""))</f>
        <v>马锦祥</v>
      </c>
      <c r="C215" s="39" t="str">
        <f aca="false">IF($T$4=0,IF($J215="","",$J215),IFERROR(IF([1]财务取数接口!$C$214=0,"",[1]财务取数接口!$C$214),""))</f>
        <v>公司购买果品款</v>
      </c>
      <c r="D215" s="40" t="str">
        <f aca="false">IF($T$4=0,IF($K215="","",$K215),IFERROR(IF([1]财务取数接口!$D$214=0,"",[1]财务取数接口!$D$214),""))</f>
        <v/>
      </c>
      <c r="E215" s="40" t="str">
        <f aca="false">IF($T$4=0,IF($L215="","",$L215),IFERROR(IF([1]财务取数接口!$E$214=0,"",[1]财务取数接口!$E$214),""))</f>
        <v/>
      </c>
      <c r="F215" s="41" t="str">
        <f aca="false">IF($T$4=0,IF($M215="","",$M215),IFERROR(IF([1]财务取数接口!$G$214=0,"",[1]财务取数接口!$G$214),""))</f>
        <v/>
      </c>
      <c r="G215" s="41" t="str">
        <f aca="false">IF($T$4=0,IF($N215="","",$N215),IFERROR(IF([1]财务取数接口!$H$214=0,"",[1]财务取数接口!$H$214),""))</f>
        <v/>
      </c>
      <c r="H215" s="39" t="str">
        <f aca="false">IF($T$4=0,IF($O215="","",$O215),IFERROR(IF([1]财务取数接口!$I$214=0,"",[1]财务取数接口!$I$214),""))</f>
        <v/>
      </c>
      <c r="I215" s="42"/>
      <c r="J215" s="43"/>
      <c r="K215" s="42"/>
      <c r="L215" s="42"/>
      <c r="M215" s="44"/>
      <c r="N215" s="44"/>
      <c r="O215" s="43"/>
      <c r="P215" s="45" t="n">
        <f aca="false">IF(AND($C215&lt;&gt;"",$C215&lt;&gt;"项目",OR(N($D215)&lt;&gt;0,N($E215)&lt;&gt;0,N($F215)&lt;&gt;0)),1,0)</f>
        <v>0</v>
      </c>
      <c r="Q215" s="45" t="n">
        <f aca="false">N(Q214)+$P215</f>
        <v>8</v>
      </c>
    </row>
    <row r="216" customFormat="false" ht="13.5" hidden="false" customHeight="false" outlineLevel="0" collapsed="false">
      <c r="A216" s="9" t="n">
        <v>215</v>
      </c>
      <c r="B216" s="40" t="str">
        <f aca="false">IF($T$4=0,IF($I216="","",$I216),IFERROR(IF([1]财务取数接口!$B$215=0,"",[1]财务取数接口!$B$215),""))</f>
        <v>麦麦提</v>
      </c>
      <c r="C216" s="39" t="str">
        <f aca="false">IF($T$4=0,IF($J216="","",$J216),IFERROR(IF([1]财务取数接口!$C$215=0,"",[1]财务取数接口!$C$215),""))</f>
        <v>成品销售款</v>
      </c>
      <c r="D216" s="40" t="str">
        <f aca="false">IF($T$4=0,IF($K216="","",$K216),IFERROR(IF([1]财务取数接口!$D$215=0,"",[1]财务取数接口!$D$215),""))</f>
        <v/>
      </c>
      <c r="E216" s="40" t="str">
        <f aca="false">IF($T$4=0,IF($L216="","",$L216),IFERROR(IF([1]财务取数接口!$E$215=0,"",[1]财务取数接口!$E$215),""))</f>
        <v/>
      </c>
      <c r="F216" s="41" t="str">
        <f aca="false">IF($T$4=0,IF($M216="","",$M216),IFERROR(IF([1]财务取数接口!$G$215=0,"",[1]财务取数接口!$G$215),""))</f>
        <v/>
      </c>
      <c r="G216" s="41" t="str">
        <f aca="false">IF($T$4=0,IF($N216="","",$N216),IFERROR(IF([1]财务取数接口!$H$215=0,"",[1]财务取数接口!$H$215),""))</f>
        <v/>
      </c>
      <c r="H216" s="39" t="str">
        <f aca="false">IF($T$4=0,IF($O216="","",$O216),IFERROR(IF([1]财务取数接口!$I$215=0,"",[1]财务取数接口!$I$215),""))</f>
        <v/>
      </c>
      <c r="I216" s="42"/>
      <c r="J216" s="43"/>
      <c r="K216" s="42"/>
      <c r="L216" s="42"/>
      <c r="M216" s="44"/>
      <c r="N216" s="44"/>
      <c r="O216" s="43"/>
      <c r="P216" s="45" t="n">
        <f aca="false">IF(AND($C216&lt;&gt;"",$C216&lt;&gt;"项目",OR(N($D216)&lt;&gt;0,N($E216)&lt;&gt;0,N($F216)&lt;&gt;0)),1,0)</f>
        <v>0</v>
      </c>
      <c r="Q216" s="45" t="n">
        <f aca="false">N(Q215)+$P216</f>
        <v>8</v>
      </c>
    </row>
    <row r="217" customFormat="false" ht="13.5" hidden="false" customHeight="false" outlineLevel="0" collapsed="false">
      <c r="A217" s="9" t="n">
        <v>216</v>
      </c>
      <c r="B217" s="40" t="str">
        <f aca="false">IF($T$4=0,IF($I217="","",$I217),IFERROR(IF([1]财务取数接口!$B$216=0,"",[1]财务取数接口!$B$216),""))</f>
        <v>麦麦提</v>
      </c>
      <c r="C217" s="39" t="str">
        <f aca="false">IF($T$4=0,IF($J217="","",$J217),IFERROR(IF([1]财务取数接口!$C$216=0,"",[1]财务取数接口!$C$216),""))</f>
        <v>公司购买果品款</v>
      </c>
      <c r="D217" s="40" t="str">
        <f aca="false">IF($T$4=0,IF($K217="","",$K217),IFERROR(IF([1]财务取数接口!$D$216=0,"",[1]财务取数接口!$D$216),""))</f>
        <v/>
      </c>
      <c r="E217" s="40" t="n">
        <f aca="false">IF($T$4=0,IF($L217="","",$L217),IFERROR(IF([1]财务取数接口!$E$216=0,"",[1]财务取数接口!$E$216),""))</f>
        <v>60</v>
      </c>
      <c r="F217" s="41" t="n">
        <f aca="false">IF($T$4=0,IF($M217="","",$M217),IFERROR(IF([1]财务取数接口!$G$216=0,"",[1]财务取数接口!$G$216),""))</f>
        <v>-60</v>
      </c>
      <c r="G217" s="41" t="str">
        <f aca="false">IF($T$4=0,IF($N217="","",$N217),IFERROR(IF([1]财务取数接口!$H$216=0,"",[1]财务取数接口!$H$216),""))</f>
        <v/>
      </c>
      <c r="H217" s="39" t="str">
        <f aca="false">IF($T$4=0,IF($O217="","",$O217),IFERROR(IF([1]财务取数接口!$I$216=0,"",[1]财务取数接口!$I$216),""))</f>
        <v/>
      </c>
      <c r="I217" s="42"/>
      <c r="J217" s="43"/>
      <c r="K217" s="42"/>
      <c r="L217" s="42"/>
      <c r="M217" s="44"/>
      <c r="N217" s="44"/>
      <c r="O217" s="43"/>
      <c r="P217" s="45" t="n">
        <f aca="false">IF(AND($C217&lt;&gt;"",$C217&lt;&gt;"项目",OR(N($D217)&lt;&gt;0,N($E217)&lt;&gt;0,N($F217)&lt;&gt;0)),1,0)</f>
        <v>1</v>
      </c>
      <c r="Q217" s="45" t="n">
        <f aca="false">N(Q216)+$P217</f>
        <v>9</v>
      </c>
    </row>
    <row r="218" customFormat="false" ht="13.5" hidden="false" customHeight="false" outlineLevel="0" collapsed="false">
      <c r="A218" s="9" t="n">
        <v>217</v>
      </c>
      <c r="B218" s="40" t="str">
        <f aca="false">IF($T$4=0,IF($I218="","",$I218),IFERROR(IF([1]财务取数接口!$B$217=0,"",[1]财务取数接口!$B$217),""))</f>
        <v>吐尔洪</v>
      </c>
      <c r="C218" s="39" t="str">
        <f aca="false">IF($T$4=0,IF($J218="","",$J218),IFERROR(IF([1]财务取数接口!$C$217=0,"",[1]财务取数接口!$C$217),""))</f>
        <v>成品销售款</v>
      </c>
      <c r="D218" s="40" t="str">
        <f aca="false">IF($T$4=0,IF($K218="","",$K218),IFERROR(IF([1]财务取数接口!$D$217=0,"",[1]财务取数接口!$D$217),""))</f>
        <v/>
      </c>
      <c r="E218" s="40" t="str">
        <f aca="false">IF($T$4=0,IF($L218="","",$L218),IFERROR(IF([1]财务取数接口!$E$217=0,"",[1]财务取数接口!$E$217),""))</f>
        <v/>
      </c>
      <c r="F218" s="41" t="str">
        <f aca="false">IF($T$4=0,IF($M218="","",$M218),IFERROR(IF([1]财务取数接口!$G$217=0,"",[1]财务取数接口!$G$217),""))</f>
        <v/>
      </c>
      <c r="G218" s="41" t="str">
        <f aca="false">IF($T$4=0,IF($N218="","",$N218),IFERROR(IF([1]财务取数接口!$H$217=0,"",[1]财务取数接口!$H$217),""))</f>
        <v/>
      </c>
      <c r="H218" s="39" t="str">
        <f aca="false">IF($T$4=0,IF($O218="","",$O218),IFERROR(IF([1]财务取数接口!$I$217=0,"",[1]财务取数接口!$I$217),""))</f>
        <v/>
      </c>
      <c r="I218" s="42"/>
      <c r="J218" s="43"/>
      <c r="K218" s="42"/>
      <c r="L218" s="42"/>
      <c r="M218" s="44"/>
      <c r="N218" s="44"/>
      <c r="O218" s="43"/>
      <c r="P218" s="45" t="n">
        <f aca="false">IF(AND($C218&lt;&gt;"",$C218&lt;&gt;"项目",OR(N($D218)&lt;&gt;0,N($E218)&lt;&gt;0,N($F218)&lt;&gt;0)),1,0)</f>
        <v>0</v>
      </c>
      <c r="Q218" s="45" t="n">
        <f aca="false">N(Q217)+$P218</f>
        <v>9</v>
      </c>
    </row>
    <row r="219" customFormat="false" ht="13.5" hidden="false" customHeight="false" outlineLevel="0" collapsed="false">
      <c r="A219" s="9" t="n">
        <v>218</v>
      </c>
      <c r="B219" s="40" t="str">
        <f aca="false">IF($T$4=0,IF($I219="","",$I219),IFERROR(IF([1]财务取数接口!$B$218=0,"",[1]财务取数接口!$B$218),""))</f>
        <v>吐尔洪</v>
      </c>
      <c r="C219" s="39" t="str">
        <f aca="false">IF($T$4=0,IF($J219="","",$J219),IFERROR(IF([1]财务取数接口!$C$218=0,"",[1]财务取数接口!$C$218),""))</f>
        <v>公司购买果品款</v>
      </c>
      <c r="D219" s="40" t="str">
        <f aca="false">IF($T$4=0,IF($K219="","",$K219),IFERROR(IF([1]财务取数接口!$D$218=0,"",[1]财务取数接口!$D$218),""))</f>
        <v/>
      </c>
      <c r="E219" s="40" t="str">
        <f aca="false">IF($T$4=0,IF($L219="","",$L219),IFERROR(IF([1]财务取数接口!$E$218=0,"",[1]财务取数接口!$E$218),""))</f>
        <v/>
      </c>
      <c r="F219" s="41" t="str">
        <f aca="false">IF($T$4=0,IF($M219="","",$M219),IFERROR(IF([1]财务取数接口!$G$218=0,"",[1]财务取数接口!$G$218),""))</f>
        <v/>
      </c>
      <c r="G219" s="41" t="str">
        <f aca="false">IF($T$4=0,IF($N219="","",$N219),IFERROR(IF([1]财务取数接口!$H$218=0,"",[1]财务取数接口!$H$218),""))</f>
        <v/>
      </c>
      <c r="H219" s="39" t="str">
        <f aca="false">IF($T$4=0,IF($O219="","",$O219),IFERROR(IF([1]财务取数接口!$I$218=0,"",[1]财务取数接口!$I$218),""))</f>
        <v/>
      </c>
      <c r="I219" s="42"/>
      <c r="J219" s="43"/>
      <c r="K219" s="42"/>
      <c r="L219" s="42"/>
      <c r="M219" s="44"/>
      <c r="N219" s="44"/>
      <c r="O219" s="43"/>
      <c r="P219" s="45" t="n">
        <f aca="false">IF(AND($C219&lt;&gt;"",$C219&lt;&gt;"项目",OR(N($D219)&lt;&gt;0,N($E219)&lt;&gt;0,N($F219)&lt;&gt;0)),1,0)</f>
        <v>0</v>
      </c>
      <c r="Q219" s="45" t="n">
        <f aca="false">N(Q218)+$P219</f>
        <v>9</v>
      </c>
    </row>
    <row r="220" customFormat="false" ht="13.5" hidden="false" customHeight="false" outlineLevel="0" collapsed="false">
      <c r="A220" s="9" t="n">
        <v>219</v>
      </c>
      <c r="B220" s="40" t="str">
        <f aca="false">IF($T$4=0,IF($I220="","",$I220),IFERROR(IF([1]财务取数接口!$B$219=0,"",[1]财务取数接口!$B$219),""))</f>
        <v>热合曼</v>
      </c>
      <c r="C220" s="39" t="str">
        <f aca="false">IF($T$4=0,IF($J220="","",$J220),IFERROR(IF([1]财务取数接口!$C$219=0,"",[1]财务取数接口!$C$219),""))</f>
        <v>成品销售款</v>
      </c>
      <c r="D220" s="40" t="str">
        <f aca="false">IF($T$4=0,IF($K220="","",$K220),IFERROR(IF([1]财务取数接口!$D$219=0,"",[1]财务取数接口!$D$219),""))</f>
        <v/>
      </c>
      <c r="E220" s="40" t="str">
        <f aca="false">IF($T$4=0,IF($L220="","",$L220),IFERROR(IF([1]财务取数接口!$E$219=0,"",[1]财务取数接口!$E$219),""))</f>
        <v/>
      </c>
      <c r="F220" s="41" t="str">
        <f aca="false">IF($T$4=0,IF($M220="","",$M220),IFERROR(IF([1]财务取数接口!$G$219=0,"",[1]财务取数接口!$G$219),""))</f>
        <v/>
      </c>
      <c r="G220" s="41" t="str">
        <f aca="false">IF($T$4=0,IF($N220="","",$N220),IFERROR(IF([1]财务取数接口!$H$219=0,"",[1]财务取数接口!$H$219),""))</f>
        <v/>
      </c>
      <c r="H220" s="39" t="str">
        <f aca="false">IF($T$4=0,IF($O220="","",$O220),IFERROR(IF([1]财务取数接口!$I$219=0,"",[1]财务取数接口!$I$219),""))</f>
        <v/>
      </c>
      <c r="I220" s="42"/>
      <c r="J220" s="43"/>
      <c r="K220" s="42"/>
      <c r="L220" s="42"/>
      <c r="M220" s="44"/>
      <c r="N220" s="44"/>
      <c r="O220" s="43"/>
      <c r="P220" s="45" t="n">
        <f aca="false">IF(AND($C220&lt;&gt;"",$C220&lt;&gt;"项目",OR(N($D220)&lt;&gt;0,N($E220)&lt;&gt;0,N($F220)&lt;&gt;0)),1,0)</f>
        <v>0</v>
      </c>
      <c r="Q220" s="45" t="n">
        <f aca="false">N(Q219)+$P220</f>
        <v>9</v>
      </c>
    </row>
    <row r="221" customFormat="false" ht="13.5" hidden="false" customHeight="false" outlineLevel="0" collapsed="false">
      <c r="A221" s="9" t="n">
        <v>220</v>
      </c>
      <c r="B221" s="40" t="str">
        <f aca="false">IF($T$4=0,IF($I221="","",$I221),IFERROR(IF([1]财务取数接口!$B$220=0,"",[1]财务取数接口!$B$220),""))</f>
        <v>热合曼</v>
      </c>
      <c r="C221" s="39" t="str">
        <f aca="false">IF($T$4=0,IF($J221="","",$J221),IFERROR(IF([1]财务取数接口!$C$220=0,"",[1]财务取数接口!$C$220),""))</f>
        <v>公司购买果品款</v>
      </c>
      <c r="D221" s="40" t="str">
        <f aca="false">IF($T$4=0,IF($K221="","",$K221),IFERROR(IF([1]财务取数接口!$D$220=0,"",[1]财务取数接口!$D$220),""))</f>
        <v/>
      </c>
      <c r="E221" s="40" t="n">
        <f aca="false">IF($T$4=0,IF($L221="","",$L221),IFERROR(IF([1]财务取数接口!$E$220=0,"",[1]财务取数接口!$E$220),""))</f>
        <v>90</v>
      </c>
      <c r="F221" s="41" t="n">
        <f aca="false">IF($T$4=0,IF($M221="","",$M221),IFERROR(IF([1]财务取数接口!$G$220=0,"",[1]财务取数接口!$G$220),""))</f>
        <v>-90</v>
      </c>
      <c r="G221" s="41" t="n">
        <f aca="false">IF($T$4=0,IF($N221="","",$N221),IFERROR(IF([1]财务取数接口!$H$220=0,"",[1]财务取数接口!$H$220),""))</f>
        <v>90</v>
      </c>
      <c r="H221" s="39" t="str">
        <f aca="false">IF($T$4=0,IF($O221="","",$O221),IFERROR(IF([1]财务取数接口!$I$220=0,"",[1]财务取数接口!$I$220),""))</f>
        <v/>
      </c>
      <c r="I221" s="42"/>
      <c r="J221" s="43"/>
      <c r="K221" s="42"/>
      <c r="L221" s="42"/>
      <c r="M221" s="44"/>
      <c r="N221" s="44"/>
      <c r="O221" s="43"/>
      <c r="P221" s="45" t="n">
        <f aca="false">IF(AND($C221&lt;&gt;"",$C221&lt;&gt;"项目",OR(N($D221)&lt;&gt;0,N($E221)&lt;&gt;0,N($F221)&lt;&gt;0)),1,0)</f>
        <v>1</v>
      </c>
      <c r="Q221" s="45" t="n">
        <f aca="false">N(Q220)+$P221</f>
        <v>10</v>
      </c>
    </row>
    <row r="222" customFormat="false" ht="13.5" hidden="false" customHeight="false" outlineLevel="0" collapsed="false">
      <c r="A222" s="9" t="n">
        <v>221</v>
      </c>
      <c r="B222" s="40" t="str">
        <f aca="false">IF($T$4=0,IF($I222="","",$I222),IFERROR(IF([1]财务取数接口!$B$221=0,"",[1]财务取数接口!$B$221),""))</f>
        <v>贾建国</v>
      </c>
      <c r="C222" s="39" t="str">
        <f aca="false">IF($T$4=0,IF($J222="","",$J222),IFERROR(IF([1]财务取数接口!$C$221=0,"",[1]财务取数接口!$C$221),""))</f>
        <v>成品销售款</v>
      </c>
      <c r="D222" s="40" t="str">
        <f aca="false">IF($T$4=0,IF($K222="","",$K222),IFERROR(IF([1]财务取数接口!$D$221=0,"",[1]财务取数接口!$D$221),""))</f>
        <v/>
      </c>
      <c r="E222" s="40" t="str">
        <f aca="false">IF($T$4=0,IF($L222="","",$L222),IFERROR(IF([1]财务取数接口!$E$221=0,"",[1]财务取数接口!$E$221),""))</f>
        <v/>
      </c>
      <c r="F222" s="41" t="str">
        <f aca="false">IF($T$4=0,IF($M222="","",$M222),IFERROR(IF([1]财务取数接口!$G$221=0,"",[1]财务取数接口!$G$221),""))</f>
        <v/>
      </c>
      <c r="G222" s="41" t="str">
        <f aca="false">IF($T$4=0,IF($N222="","",$N222),IFERROR(IF([1]财务取数接口!$H$221=0,"",[1]财务取数接口!$H$221),""))</f>
        <v/>
      </c>
      <c r="H222" s="39" t="str">
        <f aca="false">IF($T$4=0,IF($O222="","",$O222),IFERROR(IF([1]财务取数接口!$I$221=0,"",[1]财务取数接口!$I$221),""))</f>
        <v/>
      </c>
      <c r="I222" s="42"/>
      <c r="J222" s="43"/>
      <c r="K222" s="42"/>
      <c r="L222" s="42"/>
      <c r="M222" s="44"/>
      <c r="N222" s="44"/>
      <c r="O222" s="43"/>
      <c r="P222" s="45" t="n">
        <f aca="false">IF(AND($C222&lt;&gt;"",$C222&lt;&gt;"项目",OR(N($D222)&lt;&gt;0,N($E222)&lt;&gt;0,N($F222)&lt;&gt;0)),1,0)</f>
        <v>0</v>
      </c>
      <c r="Q222" s="45" t="n">
        <f aca="false">N(Q221)+$P222</f>
        <v>10</v>
      </c>
    </row>
    <row r="223" customFormat="false" ht="13.5" hidden="false" customHeight="false" outlineLevel="0" collapsed="false">
      <c r="A223" s="9" t="n">
        <v>222</v>
      </c>
      <c r="B223" s="40" t="str">
        <f aca="false">IF($T$4=0,IF($I223="","",$I223),IFERROR(IF([1]财务取数接口!$B$222=0,"",[1]财务取数接口!$B$222),""))</f>
        <v>贾建国</v>
      </c>
      <c r="C223" s="39" t="str">
        <f aca="false">IF($T$4=0,IF($J223="","",$J223),IFERROR(IF([1]财务取数接口!$C$222=0,"",[1]财务取数接口!$C$222),""))</f>
        <v>公司购买果品款</v>
      </c>
      <c r="D223" s="40" t="str">
        <f aca="false">IF($T$4=0,IF($K223="","",$K223),IFERROR(IF([1]财务取数接口!$D$222=0,"",[1]财务取数接口!$D$222),""))</f>
        <v/>
      </c>
      <c r="E223" s="40" t="str">
        <f aca="false">IF($T$4=0,IF($L223="","",$L223),IFERROR(IF([1]财务取数接口!$E$222=0,"",[1]财务取数接口!$E$222),""))</f>
        <v/>
      </c>
      <c r="F223" s="41" t="str">
        <f aca="false">IF($T$4=0,IF($M223="","",$M223),IFERROR(IF([1]财务取数接口!$G$222=0,"",[1]财务取数接口!$G$222),""))</f>
        <v/>
      </c>
      <c r="G223" s="41" t="str">
        <f aca="false">IF($T$4=0,IF($N223="","",$N223),IFERROR(IF([1]财务取数接口!$H$222=0,"",[1]财务取数接口!$H$222),""))</f>
        <v/>
      </c>
      <c r="H223" s="39" t="str">
        <f aca="false">IF($T$4=0,IF($O223="","",$O223),IFERROR(IF([1]财务取数接口!$I$222=0,"",[1]财务取数接口!$I$222),""))</f>
        <v/>
      </c>
      <c r="I223" s="42"/>
      <c r="J223" s="43"/>
      <c r="K223" s="42"/>
      <c r="L223" s="42"/>
      <c r="M223" s="44"/>
      <c r="N223" s="44"/>
      <c r="O223" s="43"/>
      <c r="P223" s="45" t="n">
        <f aca="false">IF(AND($C223&lt;&gt;"",$C223&lt;&gt;"项目",OR(N($D223)&lt;&gt;0,N($E223)&lt;&gt;0,N($F223)&lt;&gt;0)),1,0)</f>
        <v>0</v>
      </c>
      <c r="Q223" s="45" t="n">
        <f aca="false">N(Q222)+$P223</f>
        <v>10</v>
      </c>
    </row>
    <row r="224" customFormat="false" ht="13.5" hidden="false" customHeight="false" outlineLevel="0" collapsed="false">
      <c r="A224" s="9" t="n">
        <v>223</v>
      </c>
      <c r="B224" s="40" t="str">
        <f aca="false">IF($T$4=0,IF($I224="","",$I224),IFERROR(IF([1]财务取数接口!$B$223=0,"",[1]财务取数接口!$B$223),""))</f>
        <v>王灵云</v>
      </c>
      <c r="C224" s="39" t="str">
        <f aca="false">IF($T$4=0,IF($J224="","",$J224),IFERROR(IF([1]财务取数接口!$C$223=0,"",[1]财务取数接口!$C$223),""))</f>
        <v>成品销售款</v>
      </c>
      <c r="D224" s="40" t="str">
        <f aca="false">IF($T$4=0,IF($K224="","",$K224),IFERROR(IF([1]财务取数接口!$D$223=0,"",[1]财务取数接口!$D$223),""))</f>
        <v/>
      </c>
      <c r="E224" s="40" t="str">
        <f aca="false">IF($T$4=0,IF($L224="","",$L224),IFERROR(IF([1]财务取数接口!$E$223=0,"",[1]财务取数接口!$E$223),""))</f>
        <v/>
      </c>
      <c r="F224" s="41" t="str">
        <f aca="false">IF($T$4=0,IF($M224="","",$M224),IFERROR(IF([1]财务取数接口!$G$223=0,"",[1]财务取数接口!$G$223),""))</f>
        <v/>
      </c>
      <c r="G224" s="41" t="str">
        <f aca="false">IF($T$4=0,IF($N224="","",$N224),IFERROR(IF([1]财务取数接口!$H$223=0,"",[1]财务取数接口!$H$223),""))</f>
        <v/>
      </c>
      <c r="H224" s="39" t="str">
        <f aca="false">IF($T$4=0,IF($O224="","",$O224),IFERROR(IF([1]财务取数接口!$I$223=0,"",[1]财务取数接口!$I$223),""))</f>
        <v/>
      </c>
      <c r="I224" s="42"/>
      <c r="J224" s="43"/>
      <c r="K224" s="42"/>
      <c r="L224" s="42"/>
      <c r="M224" s="44"/>
      <c r="N224" s="44"/>
      <c r="O224" s="43"/>
      <c r="P224" s="45" t="n">
        <f aca="false">IF(AND($C224&lt;&gt;"",$C224&lt;&gt;"项目",OR(N($D224)&lt;&gt;0,N($E224)&lt;&gt;0,N($F224)&lt;&gt;0)),1,0)</f>
        <v>0</v>
      </c>
      <c r="Q224" s="45" t="n">
        <f aca="false">N(Q223)+$P224</f>
        <v>10</v>
      </c>
    </row>
    <row r="225" customFormat="false" ht="13.5" hidden="false" customHeight="false" outlineLevel="0" collapsed="false">
      <c r="A225" s="9" t="n">
        <v>224</v>
      </c>
      <c r="B225" s="40" t="str">
        <f aca="false">IF($T$4=0,IF($I225="","",$I225),IFERROR(IF([1]财务取数接口!$B$224=0,"",[1]财务取数接口!$B$224),""))</f>
        <v>王灵云</v>
      </c>
      <c r="C225" s="39" t="str">
        <f aca="false">IF($T$4=0,IF($J225="","",$J225),IFERROR(IF([1]财务取数接口!$C$224=0,"",[1]财务取数接口!$C$224),""))</f>
        <v>公司购买果品款</v>
      </c>
      <c r="D225" s="40" t="str">
        <f aca="false">IF($T$4=0,IF($K225="","",$K225),IFERROR(IF([1]财务取数接口!$D$224=0,"",[1]财务取数接口!$D$224),""))</f>
        <v/>
      </c>
      <c r="E225" s="40" t="n">
        <f aca="false">IF($T$4=0,IF($L225="","",$L225),IFERROR(IF([1]财务取数接口!$E$224=0,"",[1]财务取数接口!$E$224),""))</f>
        <v>132</v>
      </c>
      <c r="F225" s="41" t="n">
        <f aca="false">IF($T$4=0,IF($M225="","",$M225),IFERROR(IF([1]财务取数接口!$G$224=0,"",[1]财务取数接口!$G$224),""))</f>
        <v>-132</v>
      </c>
      <c r="G225" s="41" t="str">
        <f aca="false">IF($T$4=0,IF($N225="","",$N225),IFERROR(IF([1]财务取数接口!$H$224=0,"",[1]财务取数接口!$H$224),""))</f>
        <v/>
      </c>
      <c r="H225" s="39" t="str">
        <f aca="false">IF($T$4=0,IF($O225="","",$O225),IFERROR(IF([1]财务取数接口!$I$224=0,"",[1]财务取数接口!$I$224),""))</f>
        <v/>
      </c>
      <c r="I225" s="42"/>
      <c r="J225" s="43"/>
      <c r="K225" s="42"/>
      <c r="L225" s="42"/>
      <c r="M225" s="44"/>
      <c r="N225" s="44"/>
      <c r="O225" s="43"/>
      <c r="P225" s="45" t="n">
        <f aca="false">IF(AND($C225&lt;&gt;"",$C225&lt;&gt;"项目",OR(N($D225)&lt;&gt;0,N($E225)&lt;&gt;0,N($F225)&lt;&gt;0)),1,0)</f>
        <v>1</v>
      </c>
      <c r="Q225" s="45" t="n">
        <f aca="false">N(Q224)+$P225</f>
        <v>11</v>
      </c>
    </row>
    <row r="226" customFormat="false" ht="13.5" hidden="false" customHeight="false" outlineLevel="0" collapsed="false">
      <c r="A226" s="9" t="n">
        <v>225</v>
      </c>
      <c r="B226" s="40" t="str">
        <f aca="false">IF($T$4=0,IF($I226="","",$I226),IFERROR(IF([1]财务取数接口!$B$225=0,"",[1]财务取数接口!$B$225),""))</f>
        <v>杨艳玲</v>
      </c>
      <c r="C226" s="39" t="str">
        <f aca="false">IF($T$4=0,IF($J226="","",$J226),IFERROR(IF([1]财务取数接口!$C$225=0,"",[1]财务取数接口!$C$225),""))</f>
        <v>成品销售款</v>
      </c>
      <c r="D226" s="40" t="str">
        <f aca="false">IF($T$4=0,IF($K226="","",$K226),IFERROR(IF([1]财务取数接口!$D$225=0,"",[1]财务取数接口!$D$225),""))</f>
        <v/>
      </c>
      <c r="E226" s="40" t="str">
        <f aca="false">IF($T$4=0,IF($L226="","",$L226),IFERROR(IF([1]财务取数接口!$E$225=0,"",[1]财务取数接口!$E$225),""))</f>
        <v/>
      </c>
      <c r="F226" s="41" t="str">
        <f aca="false">IF($T$4=0,IF($M226="","",$M226),IFERROR(IF([1]财务取数接口!$G$225=0,"",[1]财务取数接口!$G$225),""))</f>
        <v/>
      </c>
      <c r="G226" s="41" t="str">
        <f aca="false">IF($T$4=0,IF($N226="","",$N226),IFERROR(IF([1]财务取数接口!$H$225=0,"",[1]财务取数接口!$H$225),""))</f>
        <v/>
      </c>
      <c r="H226" s="39" t="str">
        <f aca="false">IF($T$4=0,IF($O226="","",$O226),IFERROR(IF([1]财务取数接口!$I$225=0,"",[1]财务取数接口!$I$225),""))</f>
        <v/>
      </c>
      <c r="I226" s="42"/>
      <c r="J226" s="43"/>
      <c r="K226" s="42"/>
      <c r="L226" s="42"/>
      <c r="M226" s="44"/>
      <c r="N226" s="44"/>
      <c r="O226" s="43"/>
      <c r="P226" s="45" t="n">
        <f aca="false">IF(AND($C226&lt;&gt;"",$C226&lt;&gt;"项目",OR(N($D226)&lt;&gt;0,N($E226)&lt;&gt;0,N($F226)&lt;&gt;0)),1,0)</f>
        <v>0</v>
      </c>
      <c r="Q226" s="45" t="n">
        <f aca="false">N(Q225)+$P226</f>
        <v>11</v>
      </c>
    </row>
    <row r="227" customFormat="false" ht="13.5" hidden="false" customHeight="false" outlineLevel="0" collapsed="false">
      <c r="A227" s="9" t="n">
        <v>226</v>
      </c>
      <c r="B227" s="40" t="str">
        <f aca="false">IF($T$4=0,IF($I227="","",$I227),IFERROR(IF([1]财务取数接口!$B$226=0,"",[1]财务取数接口!$B$226),""))</f>
        <v>杨艳玲</v>
      </c>
      <c r="C227" s="39" t="str">
        <f aca="false">IF($T$4=0,IF($J227="","",$J227),IFERROR(IF([1]财务取数接口!$C$226=0,"",[1]财务取数接口!$C$226),""))</f>
        <v>公司购买果品款</v>
      </c>
      <c r="D227" s="40" t="str">
        <f aca="false">IF($T$4=0,IF($K227="","",$K227),IFERROR(IF([1]财务取数接口!$D$226=0,"",[1]财务取数接口!$D$226),""))</f>
        <v/>
      </c>
      <c r="E227" s="40" t="str">
        <f aca="false">IF($T$4=0,IF($L227="","",$L227),IFERROR(IF([1]财务取数接口!$E$226=0,"",[1]财务取数接口!$E$226),""))</f>
        <v/>
      </c>
      <c r="F227" s="41" t="str">
        <f aca="false">IF($T$4=0,IF($M227="","",$M227),IFERROR(IF([1]财务取数接口!$G$226=0,"",[1]财务取数接口!$G$226),""))</f>
        <v/>
      </c>
      <c r="G227" s="41" t="str">
        <f aca="false">IF($T$4=0,IF($N227="","",$N227),IFERROR(IF([1]财务取数接口!$H$226=0,"",[1]财务取数接口!$H$226),""))</f>
        <v/>
      </c>
      <c r="H227" s="39" t="str">
        <f aca="false">IF($T$4=0,IF($O227="","",$O227),IFERROR(IF([1]财务取数接口!$I$226=0,"",[1]财务取数接口!$I$226),""))</f>
        <v/>
      </c>
      <c r="I227" s="42"/>
      <c r="J227" s="43"/>
      <c r="K227" s="42"/>
      <c r="L227" s="42"/>
      <c r="M227" s="44"/>
      <c r="N227" s="44"/>
      <c r="O227" s="43"/>
      <c r="P227" s="45" t="n">
        <f aca="false">IF(AND($C227&lt;&gt;"",$C227&lt;&gt;"项目",OR(N($D227)&lt;&gt;0,N($E227)&lt;&gt;0,N($F227)&lt;&gt;0)),1,0)</f>
        <v>0</v>
      </c>
      <c r="Q227" s="45" t="n">
        <f aca="false">N(Q226)+$P227</f>
        <v>11</v>
      </c>
    </row>
    <row r="228" customFormat="false" ht="13.5" hidden="false" customHeight="false" outlineLevel="0" collapsed="false">
      <c r="A228" s="9" t="n">
        <v>227</v>
      </c>
      <c r="B228" s="40" t="str">
        <f aca="false">IF($T$4=0,IF($I228="","",$I228),IFERROR(IF([1]财务取数接口!$B$227=0,"",[1]财务取数接口!$B$227),""))</f>
        <v>荆建君</v>
      </c>
      <c r="C228" s="39" t="str">
        <f aca="false">IF($T$4=0,IF($J228="","",$J228),IFERROR(IF([1]财务取数接口!$C$227=0,"",[1]财务取数接口!$C$227),""))</f>
        <v>成品销售款</v>
      </c>
      <c r="D228" s="40" t="str">
        <f aca="false">IF($T$4=0,IF($K228="","",$K228),IFERROR(IF([1]财务取数接口!$D$227=0,"",[1]财务取数接口!$D$227),""))</f>
        <v/>
      </c>
      <c r="E228" s="40" t="str">
        <f aca="false">IF($T$4=0,IF($L228="","",$L228),IFERROR(IF([1]财务取数接口!$E$227=0,"",[1]财务取数接口!$E$227),""))</f>
        <v/>
      </c>
      <c r="F228" s="41" t="str">
        <f aca="false">IF($T$4=0,IF($M228="","",$M228),IFERROR(IF([1]财务取数接口!$G$227=0,"",[1]财务取数接口!$G$227),""))</f>
        <v/>
      </c>
      <c r="G228" s="41" t="str">
        <f aca="false">IF($T$4=0,IF($N228="","",$N228),IFERROR(IF([1]财务取数接口!$H$227=0,"",[1]财务取数接口!$H$227),""))</f>
        <v/>
      </c>
      <c r="H228" s="39" t="str">
        <f aca="false">IF($T$4=0,IF($O228="","",$O228),IFERROR(IF([1]财务取数接口!$I$227=0,"",[1]财务取数接口!$I$227),""))</f>
        <v/>
      </c>
      <c r="I228" s="42"/>
      <c r="J228" s="43"/>
      <c r="K228" s="42"/>
      <c r="L228" s="42"/>
      <c r="M228" s="44"/>
      <c r="N228" s="44"/>
      <c r="O228" s="43"/>
      <c r="P228" s="45" t="n">
        <f aca="false">IF(AND($C228&lt;&gt;"",$C228&lt;&gt;"项目",OR(N($D228)&lt;&gt;0,N($E228)&lt;&gt;0,N($F228)&lt;&gt;0)),1,0)</f>
        <v>0</v>
      </c>
      <c r="Q228" s="45" t="n">
        <f aca="false">N(Q227)+$P228</f>
        <v>11</v>
      </c>
    </row>
    <row r="229" customFormat="false" ht="13.5" hidden="false" customHeight="false" outlineLevel="0" collapsed="false">
      <c r="A229" s="9" t="n">
        <v>228</v>
      </c>
      <c r="B229" s="40" t="str">
        <f aca="false">IF($T$4=0,IF($I229="","",$I229),IFERROR(IF([1]财务取数接口!$B$228=0,"",[1]财务取数接口!$B$228),""))</f>
        <v>荆建君</v>
      </c>
      <c r="C229" s="39" t="str">
        <f aca="false">IF($T$4=0,IF($J229="","",$J229),IFERROR(IF([1]财务取数接口!$C$228=0,"",[1]财务取数接口!$C$228),""))</f>
        <v>公司购买果品款</v>
      </c>
      <c r="D229" s="40" t="str">
        <f aca="false">IF($T$4=0,IF($K229="","",$K229),IFERROR(IF([1]财务取数接口!$D$228=0,"",[1]财务取数接口!$D$228),""))</f>
        <v/>
      </c>
      <c r="E229" s="40" t="str">
        <f aca="false">IF($T$4=0,IF($L229="","",$L229),IFERROR(IF([1]财务取数接口!$E$228=0,"",[1]财务取数接口!$E$228),""))</f>
        <v/>
      </c>
      <c r="F229" s="41" t="str">
        <f aca="false">IF($T$4=0,IF($M229="","",$M229),IFERROR(IF([1]财务取数接口!$G$228=0,"",[1]财务取数接口!$G$228),""))</f>
        <v/>
      </c>
      <c r="G229" s="41" t="str">
        <f aca="false">IF($T$4=0,IF($N229="","",$N229),IFERROR(IF([1]财务取数接口!$H$228=0,"",[1]财务取数接口!$H$228),""))</f>
        <v/>
      </c>
      <c r="H229" s="39" t="str">
        <f aca="false">IF($T$4=0,IF($O229="","",$O229),IFERROR(IF([1]财务取数接口!$I$228=0,"",[1]财务取数接口!$I$228),""))</f>
        <v/>
      </c>
      <c r="I229" s="42"/>
      <c r="J229" s="43"/>
      <c r="K229" s="42"/>
      <c r="L229" s="42"/>
      <c r="M229" s="44"/>
      <c r="N229" s="44"/>
      <c r="O229" s="43"/>
      <c r="P229" s="45" t="n">
        <f aca="false">IF(AND($C229&lt;&gt;"",$C229&lt;&gt;"项目",OR(N($D229)&lt;&gt;0,N($E229)&lt;&gt;0,N($F229)&lt;&gt;0)),1,0)</f>
        <v>0</v>
      </c>
      <c r="Q229" s="45" t="n">
        <f aca="false">N(Q228)+$P229</f>
        <v>11</v>
      </c>
    </row>
    <row r="230" customFormat="false" ht="13.5" hidden="false" customHeight="false" outlineLevel="0" collapsed="false">
      <c r="A230" s="9" t="n">
        <v>229</v>
      </c>
      <c r="B230" s="40" t="str">
        <f aca="false">IF($T$4=0,IF($I230="","",$I230),IFERROR(IF([1]财务取数接口!$B$229=0,"",[1]财务取数接口!$B$229),""))</f>
        <v>努尔敦</v>
      </c>
      <c r="C230" s="39" t="str">
        <f aca="false">IF($T$4=0,IF($J230="","",$J230),IFERROR(IF([1]财务取数接口!$C$229=0,"",[1]财务取数接口!$C$229),""))</f>
        <v>成品销售款</v>
      </c>
      <c r="D230" s="40" t="str">
        <f aca="false">IF($T$4=0,IF($K230="","",$K230),IFERROR(IF([1]财务取数接口!$D$229=0,"",[1]财务取数接口!$D$229),""))</f>
        <v/>
      </c>
      <c r="E230" s="40" t="str">
        <f aca="false">IF($T$4=0,IF($L230="","",$L230),IFERROR(IF([1]财务取数接口!$E$229=0,"",[1]财务取数接口!$E$229),""))</f>
        <v/>
      </c>
      <c r="F230" s="41" t="str">
        <f aca="false">IF($T$4=0,IF($M230="","",$M230),IFERROR(IF([1]财务取数接口!$G$229=0,"",[1]财务取数接口!$G$229),""))</f>
        <v/>
      </c>
      <c r="G230" s="41" t="str">
        <f aca="false">IF($T$4=0,IF($N230="","",$N230),IFERROR(IF([1]财务取数接口!$H$229=0,"",[1]财务取数接口!$H$229),""))</f>
        <v/>
      </c>
      <c r="H230" s="39" t="str">
        <f aca="false">IF($T$4=0,IF($O230="","",$O230),IFERROR(IF([1]财务取数接口!$I$229=0,"",[1]财务取数接口!$I$229),""))</f>
        <v/>
      </c>
      <c r="I230" s="42"/>
      <c r="J230" s="43"/>
      <c r="K230" s="42"/>
      <c r="L230" s="42"/>
      <c r="M230" s="44"/>
      <c r="N230" s="44"/>
      <c r="O230" s="43"/>
      <c r="P230" s="45" t="n">
        <f aca="false">IF(AND($C230&lt;&gt;"",$C230&lt;&gt;"项目",OR(N($D230)&lt;&gt;0,N($E230)&lt;&gt;0,N($F230)&lt;&gt;0)),1,0)</f>
        <v>0</v>
      </c>
      <c r="Q230" s="45" t="n">
        <f aca="false">N(Q229)+$P230</f>
        <v>11</v>
      </c>
    </row>
    <row r="231" customFormat="false" ht="13.5" hidden="false" customHeight="false" outlineLevel="0" collapsed="false">
      <c r="A231" s="9" t="n">
        <v>230</v>
      </c>
      <c r="B231" s="40" t="str">
        <f aca="false">IF($T$4=0,IF($I231="","",$I231),IFERROR(IF([1]财务取数接口!$B$230=0,"",[1]财务取数接口!$B$230),""))</f>
        <v>努尔敦</v>
      </c>
      <c r="C231" s="39" t="str">
        <f aca="false">IF($T$4=0,IF($J231="","",$J231),IFERROR(IF([1]财务取数接口!$C$230=0,"",[1]财务取数接口!$C$230),""))</f>
        <v>公司购买果品款</v>
      </c>
      <c r="D231" s="40" t="str">
        <f aca="false">IF($T$4=0,IF($K231="","",$K231),IFERROR(IF([1]财务取数接口!$D$230=0,"",[1]财务取数接口!$D$230),""))</f>
        <v/>
      </c>
      <c r="E231" s="40" t="str">
        <f aca="false">IF($T$4=0,IF($L231="","",$L231),IFERROR(IF([1]财务取数接口!$E$230=0,"",[1]财务取数接口!$E$230),""))</f>
        <v/>
      </c>
      <c r="F231" s="41" t="str">
        <f aca="false">IF($T$4=0,IF($M231="","",$M231),IFERROR(IF([1]财务取数接口!$G$230=0,"",[1]财务取数接口!$G$230),""))</f>
        <v/>
      </c>
      <c r="G231" s="41" t="str">
        <f aca="false">IF($T$4=0,IF($N231="","",$N231),IFERROR(IF([1]财务取数接口!$H$230=0,"",[1]财务取数接口!$H$230),""))</f>
        <v/>
      </c>
      <c r="H231" s="39" t="str">
        <f aca="false">IF($T$4=0,IF($O231="","",$O231),IFERROR(IF([1]财务取数接口!$I$230=0,"",[1]财务取数接口!$I$230),""))</f>
        <v/>
      </c>
      <c r="I231" s="42"/>
      <c r="J231" s="43"/>
      <c r="K231" s="42"/>
      <c r="L231" s="42"/>
      <c r="M231" s="44"/>
      <c r="N231" s="44"/>
      <c r="O231" s="43"/>
      <c r="P231" s="45" t="n">
        <f aca="false">IF(AND($C231&lt;&gt;"",$C231&lt;&gt;"项目",OR(N($D231)&lt;&gt;0,N($E231)&lt;&gt;0,N($F231)&lt;&gt;0)),1,0)</f>
        <v>0</v>
      </c>
      <c r="Q231" s="45" t="n">
        <f aca="false">N(Q230)+$P231</f>
        <v>11</v>
      </c>
    </row>
    <row r="232" customFormat="false" ht="13.5" hidden="false" customHeight="false" outlineLevel="0" collapsed="false">
      <c r="A232" s="9" t="n">
        <v>231</v>
      </c>
      <c r="B232" s="40" t="str">
        <f aca="false">IF($T$4=0,IF($I232="","",$I232),IFERROR(IF([1]财务取数接口!$B$231=0,"",[1]财务取数接口!$B$231),""))</f>
        <v>王浩</v>
      </c>
      <c r="C232" s="39" t="str">
        <f aca="false">IF($T$4=0,IF($J232="","",$J232),IFERROR(IF([1]财务取数接口!$C$231=0,"",[1]财务取数接口!$C$231),""))</f>
        <v>成品销售款</v>
      </c>
      <c r="D232" s="40" t="str">
        <f aca="false">IF($T$4=0,IF($K232="","",$K232),IFERROR(IF([1]财务取数接口!$D$231=0,"",[1]财务取数接口!$D$231),""))</f>
        <v/>
      </c>
      <c r="E232" s="40" t="str">
        <f aca="false">IF($T$4=0,IF($L232="","",$L232),IFERROR(IF([1]财务取数接口!$E$231=0,"",[1]财务取数接口!$E$231),""))</f>
        <v/>
      </c>
      <c r="F232" s="41" t="str">
        <f aca="false">IF($T$4=0,IF($M232="","",$M232),IFERROR(IF([1]财务取数接口!$G$231=0,"",[1]财务取数接口!$G$231),""))</f>
        <v/>
      </c>
      <c r="G232" s="41" t="str">
        <f aca="false">IF($T$4=0,IF($N232="","",$N232),IFERROR(IF([1]财务取数接口!$H$231=0,"",[1]财务取数接口!$H$231),""))</f>
        <v/>
      </c>
      <c r="H232" s="39" t="str">
        <f aca="false">IF($T$4=0,IF($O232="","",$O232),IFERROR(IF([1]财务取数接口!$I$231=0,"",[1]财务取数接口!$I$231),""))</f>
        <v/>
      </c>
      <c r="I232" s="42"/>
      <c r="J232" s="43"/>
      <c r="K232" s="42"/>
      <c r="L232" s="42"/>
      <c r="M232" s="44"/>
      <c r="N232" s="44"/>
      <c r="O232" s="43"/>
      <c r="P232" s="45" t="n">
        <f aca="false">IF(AND($C232&lt;&gt;"",$C232&lt;&gt;"项目",OR(N($D232)&lt;&gt;0,N($E232)&lt;&gt;0,N($F232)&lt;&gt;0)),1,0)</f>
        <v>0</v>
      </c>
      <c r="Q232" s="45" t="n">
        <f aca="false">N(Q231)+$P232</f>
        <v>11</v>
      </c>
    </row>
    <row r="233" customFormat="false" ht="13.5" hidden="false" customHeight="false" outlineLevel="0" collapsed="false">
      <c r="A233" s="9" t="n">
        <v>232</v>
      </c>
      <c r="B233" s="40" t="str">
        <f aca="false">IF($T$4=0,IF($I233="","",$I233),IFERROR(IF([1]财务取数接口!$B$232=0,"",[1]财务取数接口!$B$232),""))</f>
        <v>王浩</v>
      </c>
      <c r="C233" s="39" t="str">
        <f aca="false">IF($T$4=0,IF($J233="","",$J233),IFERROR(IF([1]财务取数接口!$C$232=0,"",[1]财务取数接口!$C$232),""))</f>
        <v>公司购买果品款</v>
      </c>
      <c r="D233" s="40" t="str">
        <f aca="false">IF($T$4=0,IF($K233="","",$K233),IFERROR(IF([1]财务取数接口!$D$232=0,"",[1]财务取数接口!$D$232),""))</f>
        <v/>
      </c>
      <c r="E233" s="40" t="str">
        <f aca="false">IF($T$4=0,IF($L233="","",$L233),IFERROR(IF([1]财务取数接口!$E$232=0,"",[1]财务取数接口!$E$232),""))</f>
        <v/>
      </c>
      <c r="F233" s="41" t="str">
        <f aca="false">IF($T$4=0,IF($M233="","",$M233),IFERROR(IF([1]财务取数接口!$G$232=0,"",[1]财务取数接口!$G$232),""))</f>
        <v/>
      </c>
      <c r="G233" s="41" t="str">
        <f aca="false">IF($T$4=0,IF($N233="","",$N233),IFERROR(IF([1]财务取数接口!$H$232=0,"",[1]财务取数接口!$H$232),""))</f>
        <v/>
      </c>
      <c r="H233" s="39" t="str">
        <f aca="false">IF($T$4=0,IF($O233="","",$O233),IFERROR(IF([1]财务取数接口!$I$232=0,"",[1]财务取数接口!$I$232),""))</f>
        <v/>
      </c>
      <c r="I233" s="42"/>
      <c r="J233" s="43"/>
      <c r="K233" s="42"/>
      <c r="L233" s="42"/>
      <c r="M233" s="44"/>
      <c r="N233" s="44"/>
      <c r="O233" s="43"/>
      <c r="P233" s="45" t="n">
        <f aca="false">IF(AND($C233&lt;&gt;"",$C233&lt;&gt;"项目",OR(N($D233)&lt;&gt;0,N($E233)&lt;&gt;0,N($F233)&lt;&gt;0)),1,0)</f>
        <v>0</v>
      </c>
      <c r="Q233" s="45" t="n">
        <f aca="false">N(Q232)+$P233</f>
        <v>11</v>
      </c>
    </row>
    <row r="234" customFormat="false" ht="13.5" hidden="false" customHeight="false" outlineLevel="0" collapsed="false">
      <c r="A234" s="9" t="n">
        <v>233</v>
      </c>
      <c r="B234" s="40" t="str">
        <f aca="false">IF($T$4=0,IF($I234="","",$I234),IFERROR(IF([1]财务取数接口!$B$233=0,"",[1]财务取数接口!$B$233),""))</f>
        <v>热合曼+艾则孜</v>
      </c>
      <c r="C234" s="39" t="str">
        <f aca="false">IF($T$4=0,IF($J234="","",$J234),IFERROR(IF([1]财务取数接口!$C$233=0,"",[1]财务取数接口!$C$233),""))</f>
        <v>成品销售款</v>
      </c>
      <c r="D234" s="40" t="str">
        <f aca="false">IF($T$4=0,IF($K234="","",$K234),IFERROR(IF([1]财务取数接口!$D$233=0,"",[1]财务取数接口!$D$233),""))</f>
        <v/>
      </c>
      <c r="E234" s="40" t="str">
        <f aca="false">IF($T$4=0,IF($L234="","",$L234),IFERROR(IF([1]财务取数接口!$E$233=0,"",[1]财务取数接口!$E$233),""))</f>
        <v/>
      </c>
      <c r="F234" s="41" t="str">
        <f aca="false">IF($T$4=0,IF($M234="","",$M234),IFERROR(IF([1]财务取数接口!$G$233=0,"",[1]财务取数接口!$G$233),""))</f>
        <v/>
      </c>
      <c r="G234" s="41" t="str">
        <f aca="false">IF($T$4=0,IF($N234="","",$N234),IFERROR(IF([1]财务取数接口!$H$233=0,"",[1]财务取数接口!$H$233),""))</f>
        <v/>
      </c>
      <c r="H234" s="39" t="str">
        <f aca="false">IF($T$4=0,IF($O234="","",$O234),IFERROR(IF([1]财务取数接口!$I$233=0,"",[1]财务取数接口!$I$233),""))</f>
        <v/>
      </c>
      <c r="I234" s="42"/>
      <c r="J234" s="43"/>
      <c r="K234" s="42"/>
      <c r="L234" s="42"/>
      <c r="M234" s="44"/>
      <c r="N234" s="44"/>
      <c r="O234" s="43"/>
      <c r="P234" s="45" t="n">
        <f aca="false">IF(AND($C234&lt;&gt;"",$C234&lt;&gt;"项目",OR(N($D234)&lt;&gt;0,N($E234)&lt;&gt;0,N($F234)&lt;&gt;0)),1,0)</f>
        <v>0</v>
      </c>
      <c r="Q234" s="45" t="n">
        <f aca="false">N(Q233)+$P234</f>
        <v>11</v>
      </c>
    </row>
    <row r="235" customFormat="false" ht="13.5" hidden="false" customHeight="false" outlineLevel="0" collapsed="false">
      <c r="A235" s="9" t="n">
        <v>234</v>
      </c>
      <c r="B235" s="40" t="str">
        <f aca="false">IF($T$4=0,IF($I235="","",$I235),IFERROR(IF([1]财务取数接口!$B$234=0,"",[1]财务取数接口!$B$234),""))</f>
        <v>热合曼+艾则孜</v>
      </c>
      <c r="C235" s="39" t="str">
        <f aca="false">IF($T$4=0,IF($J235="","",$J235),IFERROR(IF([1]财务取数接口!$C$234=0,"",[1]财务取数接口!$C$234),""))</f>
        <v>公司购买果品款</v>
      </c>
      <c r="D235" s="40" t="str">
        <f aca="false">IF($T$4=0,IF($K235="","",$K235),IFERROR(IF([1]财务取数接口!$D$234=0,"",[1]财务取数接口!$D$234),""))</f>
        <v/>
      </c>
      <c r="E235" s="40" t="str">
        <f aca="false">IF($T$4=0,IF($L235="","",$L235),IFERROR(IF([1]财务取数接口!$E$234=0,"",[1]财务取数接口!$E$234),""))</f>
        <v/>
      </c>
      <c r="F235" s="41" t="str">
        <f aca="false">IF($T$4=0,IF($M235="","",$M235),IFERROR(IF([1]财务取数接口!$G$234=0,"",[1]财务取数接口!$G$234),""))</f>
        <v/>
      </c>
      <c r="G235" s="41" t="str">
        <f aca="false">IF($T$4=0,IF($N235="","",$N235),IFERROR(IF([1]财务取数接口!$H$234=0,"",[1]财务取数接口!$H$234),""))</f>
        <v/>
      </c>
      <c r="H235" s="39" t="str">
        <f aca="false">IF($T$4=0,IF($O235="","",$O235),IFERROR(IF([1]财务取数接口!$I$234=0,"",[1]财务取数接口!$I$234),""))</f>
        <v/>
      </c>
      <c r="I235" s="42"/>
      <c r="J235" s="43"/>
      <c r="K235" s="42"/>
      <c r="L235" s="42"/>
      <c r="M235" s="44"/>
      <c r="N235" s="44"/>
      <c r="O235" s="43"/>
      <c r="P235" s="45" t="n">
        <f aca="false">IF(AND($C235&lt;&gt;"",$C235&lt;&gt;"项目",OR(N($D235)&lt;&gt;0,N($E235)&lt;&gt;0,N($F235)&lt;&gt;0)),1,0)</f>
        <v>0</v>
      </c>
      <c r="Q235" s="45" t="n">
        <f aca="false">N(Q234)+$P235</f>
        <v>11</v>
      </c>
    </row>
    <row r="236" customFormat="false" ht="13.5" hidden="false" customHeight="false" outlineLevel="0" collapsed="false">
      <c r="A236" s="9" t="n">
        <v>235</v>
      </c>
      <c r="B236" s="40" t="str">
        <f aca="false">IF($T$4=0,IF($I236="","",$I236),IFERROR(IF([1]财务取数接口!$B$235=0,"",[1]财务取数接口!$B$235),""))</f>
        <v>李现东</v>
      </c>
      <c r="C236" s="39" t="str">
        <f aca="false">IF($T$4=0,IF($J236="","",$J236),IFERROR(IF([1]财务取数接口!$C$235=0,"",[1]财务取数接口!$C$235),""))</f>
        <v>成品销售款</v>
      </c>
      <c r="D236" s="40" t="str">
        <f aca="false">IF($T$4=0,IF($K236="","",$K236),IFERROR(IF([1]财务取数接口!$D$235=0,"",[1]财务取数接口!$D$235),""))</f>
        <v/>
      </c>
      <c r="E236" s="40" t="str">
        <f aca="false">IF($T$4=0,IF($L236="","",$L236),IFERROR(IF([1]财务取数接口!$E$235=0,"",[1]财务取数接口!$E$235),""))</f>
        <v/>
      </c>
      <c r="F236" s="41" t="str">
        <f aca="false">IF($T$4=0,IF($M236="","",$M236),IFERROR(IF([1]财务取数接口!$G$235=0,"",[1]财务取数接口!$G$235),""))</f>
        <v/>
      </c>
      <c r="G236" s="41" t="str">
        <f aca="false">IF($T$4=0,IF($N236="","",$N236),IFERROR(IF([1]财务取数接口!$H$235=0,"",[1]财务取数接口!$H$235),""))</f>
        <v/>
      </c>
      <c r="H236" s="39" t="str">
        <f aca="false">IF($T$4=0,IF($O236="","",$O236),IFERROR(IF([1]财务取数接口!$I$235=0,"",[1]财务取数接口!$I$235),""))</f>
        <v/>
      </c>
      <c r="I236" s="42"/>
      <c r="J236" s="43"/>
      <c r="K236" s="42"/>
      <c r="L236" s="42"/>
      <c r="M236" s="44"/>
      <c r="N236" s="44"/>
      <c r="O236" s="43"/>
      <c r="P236" s="45" t="n">
        <f aca="false">IF(AND($C236&lt;&gt;"",$C236&lt;&gt;"项目",OR(N($D236)&lt;&gt;0,N($E236)&lt;&gt;0,N($F236)&lt;&gt;0)),1,0)</f>
        <v>0</v>
      </c>
      <c r="Q236" s="45" t="n">
        <f aca="false">N(Q235)+$P236</f>
        <v>11</v>
      </c>
    </row>
    <row r="237" customFormat="false" ht="13.5" hidden="false" customHeight="false" outlineLevel="0" collapsed="false">
      <c r="A237" s="9" t="n">
        <v>236</v>
      </c>
      <c r="B237" s="40" t="str">
        <f aca="false">IF($T$4=0,IF($I237="","",$I237),IFERROR(IF([1]财务取数接口!$B$236=0,"",[1]财务取数接口!$B$236),""))</f>
        <v>李现东</v>
      </c>
      <c r="C237" s="39" t="str">
        <f aca="false">IF($T$4=0,IF($J237="","",$J237),IFERROR(IF([1]财务取数接口!$C$236=0,"",[1]财务取数接口!$C$236),""))</f>
        <v>公司购买果品款</v>
      </c>
      <c r="D237" s="40" t="str">
        <f aca="false">IF($T$4=0,IF($K237="","",$K237),IFERROR(IF([1]财务取数接口!$D$236=0,"",[1]财务取数接口!$D$236),""))</f>
        <v/>
      </c>
      <c r="E237" s="40" t="str">
        <f aca="false">IF($T$4=0,IF($L237="","",$L237),IFERROR(IF([1]财务取数接口!$E$236=0,"",[1]财务取数接口!$E$236),""))</f>
        <v/>
      </c>
      <c r="F237" s="41" t="str">
        <f aca="false">IF($T$4=0,IF($M237="","",$M237),IFERROR(IF([1]财务取数接口!$G$236=0,"",[1]财务取数接口!$G$236),""))</f>
        <v/>
      </c>
      <c r="G237" s="41" t="str">
        <f aca="false">IF($T$4=0,IF($N237="","",$N237),IFERROR(IF([1]财务取数接口!$H$236=0,"",[1]财务取数接口!$H$236),""))</f>
        <v/>
      </c>
      <c r="H237" s="39" t="str">
        <f aca="false">IF($T$4=0,IF($O237="","",$O237),IFERROR(IF([1]财务取数接口!$I$236=0,"",[1]财务取数接口!$I$236),""))</f>
        <v/>
      </c>
      <c r="I237" s="42"/>
      <c r="J237" s="43"/>
      <c r="K237" s="42"/>
      <c r="L237" s="42"/>
      <c r="M237" s="44"/>
      <c r="N237" s="44"/>
      <c r="O237" s="43"/>
      <c r="P237" s="45" t="n">
        <f aca="false">IF(AND($C237&lt;&gt;"",$C237&lt;&gt;"项目",OR(N($D237)&lt;&gt;0,N($E237)&lt;&gt;0,N($F237)&lt;&gt;0)),1,0)</f>
        <v>0</v>
      </c>
      <c r="Q237" s="45" t="n">
        <f aca="false">N(Q236)+$P237</f>
        <v>11</v>
      </c>
    </row>
    <row r="238" customFormat="false" ht="13.5" hidden="false" customHeight="false" outlineLevel="0" collapsed="false">
      <c r="A238" s="9" t="n">
        <v>237</v>
      </c>
      <c r="B238" s="40" t="str">
        <f aca="false">IF($T$4=0,IF($I238="","",$I238),IFERROR(IF([1]财务取数接口!$B$237=0,"",[1]财务取数接口!$B$237),""))</f>
        <v>吐尔逊</v>
      </c>
      <c r="C238" s="39" t="str">
        <f aca="false">IF($T$4=0,IF($J238="","",$J238),IFERROR(IF([1]财务取数接口!$C$237=0,"",[1]财务取数接口!$C$237),""))</f>
        <v>成品销售款</v>
      </c>
      <c r="D238" s="40" t="str">
        <f aca="false">IF($T$4=0,IF($K238="","",$K238),IFERROR(IF([1]财务取数接口!$D$237=0,"",[1]财务取数接口!$D$237),""))</f>
        <v/>
      </c>
      <c r="E238" s="40" t="str">
        <f aca="false">IF($T$4=0,IF($L238="","",$L238),IFERROR(IF([1]财务取数接口!$E$237=0,"",[1]财务取数接口!$E$237),""))</f>
        <v/>
      </c>
      <c r="F238" s="41" t="str">
        <f aca="false">IF($T$4=0,IF($M238="","",$M238),IFERROR(IF([1]财务取数接口!$G$237=0,"",[1]财务取数接口!$G$237),""))</f>
        <v/>
      </c>
      <c r="G238" s="41" t="str">
        <f aca="false">IF($T$4=0,IF($N238="","",$N238),IFERROR(IF([1]财务取数接口!$H$237=0,"",[1]财务取数接口!$H$237),""))</f>
        <v/>
      </c>
      <c r="H238" s="39" t="str">
        <f aca="false">IF($T$4=0,IF($O238="","",$O238),IFERROR(IF([1]财务取数接口!$I$237=0,"",[1]财务取数接口!$I$237),""))</f>
        <v/>
      </c>
      <c r="I238" s="42"/>
      <c r="J238" s="43"/>
      <c r="K238" s="42"/>
      <c r="L238" s="42"/>
      <c r="M238" s="44"/>
      <c r="N238" s="44"/>
      <c r="O238" s="43"/>
      <c r="P238" s="45" t="n">
        <f aca="false">IF(AND($C238&lt;&gt;"",$C238&lt;&gt;"项目",OR(N($D238)&lt;&gt;0,N($E238)&lt;&gt;0,N($F238)&lt;&gt;0)),1,0)</f>
        <v>0</v>
      </c>
      <c r="Q238" s="45" t="n">
        <f aca="false">N(Q237)+$P238</f>
        <v>11</v>
      </c>
    </row>
    <row r="239" customFormat="false" ht="13.5" hidden="false" customHeight="false" outlineLevel="0" collapsed="false">
      <c r="A239" s="9" t="n">
        <v>238</v>
      </c>
      <c r="B239" s="40" t="str">
        <f aca="false">IF($T$4=0,IF($I239="","",$I239),IFERROR(IF([1]财务取数接口!$B$238=0,"",[1]财务取数接口!$B$238),""))</f>
        <v>吐尔逊</v>
      </c>
      <c r="C239" s="39" t="str">
        <f aca="false">IF($T$4=0,IF($J239="","",$J239),IFERROR(IF([1]财务取数接口!$C$238=0,"",[1]财务取数接口!$C$238),""))</f>
        <v>公司购买果品款</v>
      </c>
      <c r="D239" s="40" t="str">
        <f aca="false">IF($T$4=0,IF($K239="","",$K239),IFERROR(IF([1]财务取数接口!$D$238=0,"",[1]财务取数接口!$D$238),""))</f>
        <v/>
      </c>
      <c r="E239" s="40" t="str">
        <f aca="false">IF($T$4=0,IF($L239="","",$L239),IFERROR(IF([1]财务取数接口!$E$238=0,"",[1]财务取数接口!$E$238),""))</f>
        <v/>
      </c>
      <c r="F239" s="41" t="str">
        <f aca="false">IF($T$4=0,IF($M239="","",$M239),IFERROR(IF([1]财务取数接口!$G$238=0,"",[1]财务取数接口!$G$238),""))</f>
        <v/>
      </c>
      <c r="G239" s="41" t="str">
        <f aca="false">IF($T$4=0,IF($N239="","",$N239),IFERROR(IF([1]财务取数接口!$H$238=0,"",[1]财务取数接口!$H$238),""))</f>
        <v/>
      </c>
      <c r="H239" s="39" t="str">
        <f aca="false">IF($T$4=0,IF($O239="","",$O239),IFERROR(IF([1]财务取数接口!$I$238=0,"",[1]财务取数接口!$I$238),""))</f>
        <v/>
      </c>
      <c r="I239" s="42"/>
      <c r="J239" s="43"/>
      <c r="K239" s="42"/>
      <c r="L239" s="42"/>
      <c r="M239" s="44"/>
      <c r="N239" s="44"/>
      <c r="O239" s="43"/>
      <c r="P239" s="45" t="n">
        <f aca="false">IF(AND($C239&lt;&gt;"",$C239&lt;&gt;"项目",OR(N($D239)&lt;&gt;0,N($E239)&lt;&gt;0,N($F239)&lt;&gt;0)),1,0)</f>
        <v>0</v>
      </c>
      <c r="Q239" s="45" t="n">
        <f aca="false">N(Q238)+$P239</f>
        <v>11</v>
      </c>
    </row>
    <row r="240" customFormat="false" ht="13.5" hidden="false" customHeight="false" outlineLevel="0" collapsed="false">
      <c r="A240" s="9" t="n">
        <v>239</v>
      </c>
      <c r="B240" s="40" t="str">
        <f aca="false">IF($T$4=0,IF($I240="","",$I240),IFERROR(IF([1]财务取数接口!$B$239=0,"",[1]财务取数接口!$B$239),""))</f>
        <v>阿布都</v>
      </c>
      <c r="C240" s="39" t="str">
        <f aca="false">IF($T$4=0,IF($J240="","",$J240),IFERROR(IF([1]财务取数接口!$C$239=0,"",[1]财务取数接口!$C$239),""))</f>
        <v>成品销售款</v>
      </c>
      <c r="D240" s="40" t="str">
        <f aca="false">IF($T$4=0,IF($K240="","",$K240),IFERROR(IF([1]财务取数接口!$D$239=0,"",[1]财务取数接口!$D$239),""))</f>
        <v/>
      </c>
      <c r="E240" s="40" t="str">
        <f aca="false">IF($T$4=0,IF($L240="","",$L240),IFERROR(IF([1]财务取数接口!$E$239=0,"",[1]财务取数接口!$E$239),""))</f>
        <v/>
      </c>
      <c r="F240" s="41" t="str">
        <f aca="false">IF($T$4=0,IF($M240="","",$M240),IFERROR(IF([1]财务取数接口!$G$239=0,"",[1]财务取数接口!$G$239),""))</f>
        <v/>
      </c>
      <c r="G240" s="41" t="str">
        <f aca="false">IF($T$4=0,IF($N240="","",$N240),IFERROR(IF([1]财务取数接口!$H$239=0,"",[1]财务取数接口!$H$239),""))</f>
        <v/>
      </c>
      <c r="H240" s="39" t="str">
        <f aca="false">IF($T$4=0,IF($O240="","",$O240),IFERROR(IF([1]财务取数接口!$I$239=0,"",[1]财务取数接口!$I$239),""))</f>
        <v/>
      </c>
      <c r="I240" s="42"/>
      <c r="J240" s="43"/>
      <c r="K240" s="42"/>
      <c r="L240" s="42"/>
      <c r="M240" s="44"/>
      <c r="N240" s="44"/>
      <c r="O240" s="43"/>
      <c r="P240" s="45" t="n">
        <f aca="false">IF(AND($C240&lt;&gt;"",$C240&lt;&gt;"项目",OR(N($D240)&lt;&gt;0,N($E240)&lt;&gt;0,N($F240)&lt;&gt;0)),1,0)</f>
        <v>0</v>
      </c>
      <c r="Q240" s="45" t="n">
        <f aca="false">N(Q239)+$P240</f>
        <v>11</v>
      </c>
    </row>
    <row r="241" customFormat="false" ht="13.5" hidden="false" customHeight="false" outlineLevel="0" collapsed="false">
      <c r="A241" s="9" t="n">
        <v>240</v>
      </c>
      <c r="B241" s="40" t="str">
        <f aca="false">IF($T$4=0,IF($I241="","",$I241),IFERROR(IF([1]财务取数接口!$B$240=0,"",[1]财务取数接口!$B$240),""))</f>
        <v>阿布都</v>
      </c>
      <c r="C241" s="39" t="str">
        <f aca="false">IF($T$4=0,IF($J241="","",$J241),IFERROR(IF([1]财务取数接口!$C$240=0,"",[1]财务取数接口!$C$240),""))</f>
        <v>公司购买果品款</v>
      </c>
      <c r="D241" s="40" t="str">
        <f aca="false">IF($T$4=0,IF($K241="","",$K241),IFERROR(IF([1]财务取数接口!$D$240=0,"",[1]财务取数接口!$D$240),""))</f>
        <v/>
      </c>
      <c r="E241" s="40" t="str">
        <f aca="false">IF($T$4=0,IF($L241="","",$L241),IFERROR(IF([1]财务取数接口!$E$240=0,"",[1]财务取数接口!$E$240),""))</f>
        <v/>
      </c>
      <c r="F241" s="41" t="str">
        <f aca="false">IF($T$4=0,IF($M241="","",$M241),IFERROR(IF([1]财务取数接口!$G$240=0,"",[1]财务取数接口!$G$240),""))</f>
        <v/>
      </c>
      <c r="G241" s="41" t="str">
        <f aca="false">IF($T$4=0,IF($N241="","",$N241),IFERROR(IF([1]财务取数接口!$H$240=0,"",[1]财务取数接口!$H$240),""))</f>
        <v/>
      </c>
      <c r="H241" s="39" t="str">
        <f aca="false">IF($T$4=0,IF($O241="","",$O241),IFERROR(IF([1]财务取数接口!$I$240=0,"",[1]财务取数接口!$I$240),""))</f>
        <v/>
      </c>
      <c r="I241" s="42"/>
      <c r="J241" s="43"/>
      <c r="K241" s="42"/>
      <c r="L241" s="42"/>
      <c r="M241" s="44"/>
      <c r="N241" s="44"/>
      <c r="O241" s="43"/>
      <c r="P241" s="45" t="n">
        <f aca="false">IF(AND($C241&lt;&gt;"",$C241&lt;&gt;"项目",OR(N($D241)&lt;&gt;0,N($E241)&lt;&gt;0,N($F241)&lt;&gt;0)),1,0)</f>
        <v>0</v>
      </c>
      <c r="Q241" s="45" t="n">
        <f aca="false">N(Q240)+$P241</f>
        <v>11</v>
      </c>
    </row>
    <row r="242" customFormat="false" ht="13.5" hidden="false" customHeight="false" outlineLevel="0" collapsed="false">
      <c r="A242" s="9" t="n">
        <v>241</v>
      </c>
      <c r="B242" s="40" t="str">
        <f aca="false">IF($T$4=0,IF($I242="","",$I242),IFERROR(IF([1]财务取数接口!$B$241=0,"",[1]财务取数接口!$B$241),""))</f>
        <v>艾则孜</v>
      </c>
      <c r="C242" s="39" t="str">
        <f aca="false">IF($T$4=0,IF($J242="","",$J242),IFERROR(IF([1]财务取数接口!$C$241=0,"",[1]财务取数接口!$C$241),""))</f>
        <v>成品销售款</v>
      </c>
      <c r="D242" s="40" t="str">
        <f aca="false">IF($T$4=0,IF($K242="","",$K242),IFERROR(IF([1]财务取数接口!$D$241=0,"",[1]财务取数接口!$D$241),""))</f>
        <v/>
      </c>
      <c r="E242" s="40" t="str">
        <f aca="false">IF($T$4=0,IF($L242="","",$L242),IFERROR(IF([1]财务取数接口!$E$241=0,"",[1]财务取数接口!$E$241),""))</f>
        <v/>
      </c>
      <c r="F242" s="41" t="str">
        <f aca="false">IF($T$4=0,IF($M242="","",$M242),IFERROR(IF([1]财务取数接口!$G$241=0,"",[1]财务取数接口!$G$241),""))</f>
        <v/>
      </c>
      <c r="G242" s="41" t="str">
        <f aca="false">IF($T$4=0,IF($N242="","",$N242),IFERROR(IF([1]财务取数接口!$H$241=0,"",[1]财务取数接口!$H$241),""))</f>
        <v/>
      </c>
      <c r="H242" s="39" t="str">
        <f aca="false">IF($T$4=0,IF($O242="","",$O242),IFERROR(IF([1]财务取数接口!$I$241=0,"",[1]财务取数接口!$I$241),""))</f>
        <v/>
      </c>
      <c r="I242" s="42"/>
      <c r="J242" s="43"/>
      <c r="K242" s="42"/>
      <c r="L242" s="42"/>
      <c r="M242" s="44"/>
      <c r="N242" s="44"/>
      <c r="O242" s="43"/>
      <c r="P242" s="45" t="n">
        <f aca="false">IF(AND($C242&lt;&gt;"",$C242&lt;&gt;"项目",OR(N($D242)&lt;&gt;0,N($E242)&lt;&gt;0,N($F242)&lt;&gt;0)),1,0)</f>
        <v>0</v>
      </c>
      <c r="Q242" s="45" t="n">
        <f aca="false">N(Q241)+$P242</f>
        <v>11</v>
      </c>
    </row>
    <row r="243" customFormat="false" ht="13.5" hidden="false" customHeight="false" outlineLevel="0" collapsed="false">
      <c r="A243" s="9" t="n">
        <v>242</v>
      </c>
      <c r="B243" s="40" t="str">
        <f aca="false">IF($T$4=0,IF($I243="","",$I243),IFERROR(IF([1]财务取数接口!$B$242=0,"",[1]财务取数接口!$B$242),""))</f>
        <v>艾则孜</v>
      </c>
      <c r="C243" s="39" t="str">
        <f aca="false">IF($T$4=0,IF($J243="","",$J243),IFERROR(IF([1]财务取数接口!$C$242=0,"",[1]财务取数接口!$C$242),""))</f>
        <v>公司购买果品款</v>
      </c>
      <c r="D243" s="40" t="str">
        <f aca="false">IF($T$4=0,IF($K243="","",$K243),IFERROR(IF([1]财务取数接口!$D$242=0,"",[1]财务取数接口!$D$242),""))</f>
        <v/>
      </c>
      <c r="E243" s="40" t="str">
        <f aca="false">IF($T$4=0,IF($L243="","",$L243),IFERROR(IF([1]财务取数接口!$E$242=0,"",[1]财务取数接口!$E$242),""))</f>
        <v/>
      </c>
      <c r="F243" s="41" t="str">
        <f aca="false">IF($T$4=0,IF($M243="","",$M243),IFERROR(IF([1]财务取数接口!$G$242=0,"",[1]财务取数接口!$G$242),""))</f>
        <v/>
      </c>
      <c r="G243" s="41" t="str">
        <f aca="false">IF($T$4=0,IF($N243="","",$N243),IFERROR(IF([1]财务取数接口!$H$242=0,"",[1]财务取数接口!$H$242),""))</f>
        <v/>
      </c>
      <c r="H243" s="39" t="str">
        <f aca="false">IF($T$4=0,IF($O243="","",$O243),IFERROR(IF([1]财务取数接口!$I$242=0,"",[1]财务取数接口!$I$242),""))</f>
        <v/>
      </c>
      <c r="I243" s="42"/>
      <c r="J243" s="43"/>
      <c r="K243" s="42"/>
      <c r="L243" s="42"/>
      <c r="M243" s="44"/>
      <c r="N243" s="44"/>
      <c r="O243" s="43"/>
      <c r="P243" s="45" t="n">
        <f aca="false">IF(AND($C243&lt;&gt;"",$C243&lt;&gt;"项目",OR(N($D243)&lt;&gt;0,N($E243)&lt;&gt;0,N($F243)&lt;&gt;0)),1,0)</f>
        <v>0</v>
      </c>
      <c r="Q243" s="45" t="n">
        <f aca="false">N(Q242)+$P243</f>
        <v>11</v>
      </c>
    </row>
    <row r="244" customFormat="false" ht="13.5" hidden="false" customHeight="false" outlineLevel="0" collapsed="false">
      <c r="A244" s="9" t="n">
        <v>243</v>
      </c>
      <c r="B244" s="40" t="str">
        <f aca="false">IF($T$4=0,IF($I244="","",$I244),IFERROR(IF([1]财务取数接口!$B$243=0,"",[1]财务取数接口!$B$243),""))</f>
        <v>电商/主播</v>
      </c>
      <c r="C244" s="39" t="str">
        <f aca="false">IF($T$4=0,IF($J244="","",$J244),IFERROR(IF([1]财务取数接口!$C$243=0,"",[1]财务取数接口!$C$243),""))</f>
        <v>成品销售款</v>
      </c>
      <c r="D244" s="40" t="str">
        <f aca="false">IF($T$4=0,IF($K244="","",$K244),IFERROR(IF([1]财务取数接口!$D$243=0,"",[1]财务取数接口!$D$243),""))</f>
        <v/>
      </c>
      <c r="E244" s="40" t="str">
        <f aca="false">IF($T$4=0,IF($L244="","",$L244),IFERROR(IF([1]财务取数接口!$E$243=0,"",[1]财务取数接口!$E$243),""))</f>
        <v/>
      </c>
      <c r="F244" s="41" t="str">
        <f aca="false">IF($T$4=0,IF($M244="","",$M244),IFERROR(IF([1]财务取数接口!$G$243=0,"",[1]财务取数接口!$G$243),""))</f>
        <v/>
      </c>
      <c r="G244" s="41" t="str">
        <f aca="false">IF($T$4=0,IF($N244="","",$N244),IFERROR(IF([1]财务取数接口!$H$243=0,"",[1]财务取数接口!$H$243),""))</f>
        <v/>
      </c>
      <c r="H244" s="39" t="str">
        <f aca="false">IF($T$4=0,IF($O244="","",$O244),IFERROR(IF([1]财务取数接口!$I$243=0,"",[1]财务取数接口!$I$243),""))</f>
        <v/>
      </c>
      <c r="I244" s="42"/>
      <c r="J244" s="43"/>
      <c r="K244" s="42"/>
      <c r="L244" s="42"/>
      <c r="M244" s="44"/>
      <c r="N244" s="44"/>
      <c r="O244" s="43"/>
      <c r="P244" s="45" t="n">
        <f aca="false">IF(AND($C244&lt;&gt;"",$C244&lt;&gt;"项目",OR(N($D244)&lt;&gt;0,N($E244)&lt;&gt;0,N($F244)&lt;&gt;0)),1,0)</f>
        <v>0</v>
      </c>
      <c r="Q244" s="45" t="n">
        <f aca="false">N(Q243)+$P244</f>
        <v>11</v>
      </c>
    </row>
    <row r="245" customFormat="false" ht="13.5" hidden="false" customHeight="false" outlineLevel="0" collapsed="false">
      <c r="A245" s="9" t="n">
        <v>244</v>
      </c>
      <c r="B245" s="40" t="str">
        <f aca="false">IF($T$4=0,IF($I245="","",$I245),IFERROR(IF([1]财务取数接口!$B$244=0,"",[1]财务取数接口!$B$244),""))</f>
        <v>电商/主播</v>
      </c>
      <c r="C245" s="39" t="str">
        <f aca="false">IF($T$4=0,IF($J245="","",$J245),IFERROR(IF([1]财务取数接口!$C$244=0,"",[1]财务取数接口!$C$244),""))</f>
        <v>公司购买果品款</v>
      </c>
      <c r="D245" s="40" t="str">
        <f aca="false">IF($T$4=0,IF($K245="","",$K245),IFERROR(IF([1]财务取数接口!$D$244=0,"",[1]财务取数接口!$D$244),""))</f>
        <v/>
      </c>
      <c r="E245" s="40" t="str">
        <f aca="false">IF($T$4=0,IF($L245="","",$L245),IFERROR(IF([1]财务取数接口!$E$244=0,"",[1]财务取数接口!$E$244),""))</f>
        <v/>
      </c>
      <c r="F245" s="41" t="str">
        <f aca="false">IF($T$4=0,IF($M245="","",$M245),IFERROR(IF([1]财务取数接口!$G$244=0,"",[1]财务取数接口!$G$244),""))</f>
        <v/>
      </c>
      <c r="G245" s="41" t="str">
        <f aca="false">IF($T$4=0,IF($N245="","",$N245),IFERROR(IF([1]财务取数接口!$H$244=0,"",[1]财务取数接口!$H$244),""))</f>
        <v/>
      </c>
      <c r="H245" s="39" t="str">
        <f aca="false">IF($T$4=0,IF($O245="","",$O245),IFERROR(IF([1]财务取数接口!$I$244=0,"",[1]财务取数接口!$I$244),""))</f>
        <v/>
      </c>
      <c r="I245" s="42"/>
      <c r="J245" s="43"/>
      <c r="K245" s="42"/>
      <c r="L245" s="42"/>
      <c r="M245" s="44"/>
      <c r="N245" s="44"/>
      <c r="O245" s="43"/>
      <c r="P245" s="45" t="n">
        <f aca="false">IF(AND($C245&lt;&gt;"",$C245&lt;&gt;"项目",OR(N($D245)&lt;&gt;0,N($E245)&lt;&gt;0,N($F245)&lt;&gt;0)),1,0)</f>
        <v>0</v>
      </c>
      <c r="Q245" s="45" t="n">
        <f aca="false">N(Q244)+$P245</f>
        <v>11</v>
      </c>
    </row>
    <row r="246" customFormat="false" ht="13.5" hidden="false" customHeight="false" outlineLevel="0" collapsed="false">
      <c r="A246" s="9" t="n">
        <v>245</v>
      </c>
      <c r="B246" s="40" t="str">
        <f aca="false">IF($T$4=0,IF($I246="","",$I246),IFERROR(IF([1]财务取数接口!$B$245=0,"",[1]财务取数接口!$B$245),""))</f>
        <v>果然鲜</v>
      </c>
      <c r="C246" s="39" t="str">
        <f aca="false">IF($T$4=0,IF($J246="","",$J246),IFERROR(IF([1]财务取数接口!$C$245=0,"",[1]财务取数接口!$C$245),""))</f>
        <v>成品销售款</v>
      </c>
      <c r="D246" s="40" t="str">
        <f aca="false">IF($T$4=0,IF($K246="","",$K246),IFERROR(IF([1]财务取数接口!$D$245=0,"",[1]财务取数接口!$D$245),""))</f>
        <v/>
      </c>
      <c r="E246" s="40" t="str">
        <f aca="false">IF($T$4=0,IF($L246="","",$L246),IFERROR(IF([1]财务取数接口!$E$245=0,"",[1]财务取数接口!$E$245),""))</f>
        <v/>
      </c>
      <c r="F246" s="41" t="str">
        <f aca="false">IF($T$4=0,IF($M246="","",$M246),IFERROR(IF([1]财务取数接口!$G$245=0,"",[1]财务取数接口!$G$245),""))</f>
        <v/>
      </c>
      <c r="G246" s="41" t="str">
        <f aca="false">IF($T$4=0,IF($N246="","",$N246),IFERROR(IF([1]财务取数接口!$H$245=0,"",[1]财务取数接口!$H$245),""))</f>
        <v/>
      </c>
      <c r="H246" s="39" t="str">
        <f aca="false">IF($T$4=0,IF($O246="","",$O246),IFERROR(IF([1]财务取数接口!$I$245=0,"",[1]财务取数接口!$I$245),""))</f>
        <v/>
      </c>
      <c r="I246" s="42"/>
      <c r="J246" s="43"/>
      <c r="K246" s="42"/>
      <c r="L246" s="42"/>
      <c r="M246" s="44"/>
      <c r="N246" s="44"/>
      <c r="O246" s="43"/>
      <c r="P246" s="45" t="n">
        <f aca="false">IF(AND($C246&lt;&gt;"",$C246&lt;&gt;"项目",OR(N($D246)&lt;&gt;0,N($E246)&lt;&gt;0,N($F246)&lt;&gt;0)),1,0)</f>
        <v>0</v>
      </c>
      <c r="Q246" s="45" t="n">
        <f aca="false">N(Q245)+$P246</f>
        <v>11</v>
      </c>
    </row>
    <row r="247" customFormat="false" ht="13.5" hidden="false" customHeight="false" outlineLevel="0" collapsed="false">
      <c r="A247" s="9" t="n">
        <v>246</v>
      </c>
      <c r="B247" s="40" t="str">
        <f aca="false">IF($T$4=0,IF($I247="","",$I247),IFERROR(IF([1]财务取数接口!$B$246=0,"",[1]财务取数接口!$B$246),""))</f>
        <v>果然鲜</v>
      </c>
      <c r="C247" s="39" t="str">
        <f aca="false">IF($T$4=0,IF($J247="","",$J247),IFERROR(IF([1]财务取数接口!$C$246=0,"",[1]财务取数接口!$C$246),""))</f>
        <v>公司购买果品款</v>
      </c>
      <c r="D247" s="40" t="str">
        <f aca="false">IF($T$4=0,IF($K247="","",$K247),IFERROR(IF([1]财务取数接口!$D$246=0,"",[1]财务取数接口!$D$246),""))</f>
        <v/>
      </c>
      <c r="E247" s="40" t="str">
        <f aca="false">IF($T$4=0,IF($L247="","",$L247),IFERROR(IF([1]财务取数接口!$E$246=0,"",[1]财务取数接口!$E$246),""))</f>
        <v/>
      </c>
      <c r="F247" s="41" t="str">
        <f aca="false">IF($T$4=0,IF($M247="","",$M247),IFERROR(IF([1]财务取数接口!$G$246=0,"",[1]财务取数接口!$G$246),""))</f>
        <v/>
      </c>
      <c r="G247" s="41" t="str">
        <f aca="false">IF($T$4=0,IF($N247="","",$N247),IFERROR(IF([1]财务取数接口!$H$246=0,"",[1]财务取数接口!$H$246),""))</f>
        <v/>
      </c>
      <c r="H247" s="39" t="str">
        <f aca="false">IF($T$4=0,IF($O247="","",$O247),IFERROR(IF([1]财务取数接口!$I$246=0,"",[1]财务取数接口!$I$246),""))</f>
        <v/>
      </c>
      <c r="I247" s="42"/>
      <c r="J247" s="43"/>
      <c r="K247" s="42"/>
      <c r="L247" s="42"/>
      <c r="M247" s="44"/>
      <c r="N247" s="44"/>
      <c r="O247" s="43"/>
      <c r="P247" s="45" t="n">
        <f aca="false">IF(AND($C247&lt;&gt;"",$C247&lt;&gt;"项目",OR(N($D247)&lt;&gt;0,N($E247)&lt;&gt;0,N($F247)&lt;&gt;0)),1,0)</f>
        <v>0</v>
      </c>
      <c r="Q247" s="45" t="n">
        <f aca="false">N(Q246)+$P247</f>
        <v>11</v>
      </c>
    </row>
    <row r="248" customFormat="false" ht="13.5" hidden="false" customHeight="false" outlineLevel="0" collapsed="false">
      <c r="A248" s="9" t="n">
        <v>247</v>
      </c>
      <c r="B248" s="40" t="str">
        <f aca="false">IF($T$4=0,IF($I248="","",$I248),IFERROR(IF([1]财务取数接口!$B$247=0,"",[1]财务取数接口!$B$247),""))</f>
        <v/>
      </c>
      <c r="C248" s="39" t="str">
        <f aca="false">IF($T$4=0,IF($J248="","",$J248),IFERROR(IF([1]财务取数接口!$C$247=0,"",[1]财务取数接口!$C$247),""))</f>
        <v/>
      </c>
      <c r="D248" s="40" t="str">
        <f aca="false">IF($T$4=0,IF($K248="","",$K248),IFERROR(IF([1]财务取数接口!$D$247=0,"",[1]财务取数接口!$D$247),""))</f>
        <v/>
      </c>
      <c r="E248" s="40" t="str">
        <f aca="false">IF($T$4=0,IF($L248="","",$L248),IFERROR(IF([1]财务取数接口!$E$247=0,"",[1]财务取数接口!$E$247),""))</f>
        <v/>
      </c>
      <c r="F248" s="41" t="str">
        <f aca="false">IF($T$4=0,IF($M248="","",$M248),IFERROR(IF([1]财务取数接口!$G$247=0,"",[1]财务取数接口!$G$247),""))</f>
        <v/>
      </c>
      <c r="G248" s="41" t="str">
        <f aca="false">IF($T$4=0,IF($N248="","",$N248),IFERROR(IF([1]财务取数接口!$H$247=0,"",[1]财务取数接口!$H$247),""))</f>
        <v/>
      </c>
      <c r="H248" s="39" t="str">
        <f aca="false">IF($T$4=0,IF($O248="","",$O248),IFERROR(IF([1]财务取数接口!$I$247=0,"",[1]财务取数接口!$I$247),""))</f>
        <v/>
      </c>
      <c r="I248" s="42"/>
      <c r="J248" s="43"/>
      <c r="K248" s="42"/>
      <c r="L248" s="42"/>
      <c r="M248" s="44"/>
      <c r="N248" s="44"/>
      <c r="O248" s="43"/>
      <c r="P248" s="45" t="n">
        <f aca="false">IF(AND($C248&lt;&gt;"",$C248&lt;&gt;"项目",OR(N($D248)&lt;&gt;0,N($E248)&lt;&gt;0,N($F248)&lt;&gt;0)),1,0)</f>
        <v>0</v>
      </c>
      <c r="Q248" s="45" t="n">
        <f aca="false">N(Q247)+$P248</f>
        <v>11</v>
      </c>
    </row>
    <row r="249" customFormat="false" ht="13.5" hidden="false" customHeight="false" outlineLevel="0" collapsed="false">
      <c r="A249" s="9" t="n">
        <v>248</v>
      </c>
      <c r="B249" s="40" t="str">
        <f aca="false">IF($T$4=0,IF($I249="","",$I249),IFERROR(IF([1]财务取数接口!$B$248=0,"",[1]财务取数接口!$B$248),""))</f>
        <v/>
      </c>
      <c r="C249" s="39" t="str">
        <f aca="false">IF($T$4=0,IF($J249="","",$J249),IFERROR(IF([1]财务取数接口!$C$248=0,"",[1]财务取数接口!$C$248),""))</f>
        <v/>
      </c>
      <c r="D249" s="40" t="str">
        <f aca="false">IF($T$4=0,IF($K249="","",$K249),IFERROR(IF([1]财务取数接口!$D$248=0,"",[1]财务取数接口!$D$248),""))</f>
        <v/>
      </c>
      <c r="E249" s="40" t="str">
        <f aca="false">IF($T$4=0,IF($L249="","",$L249),IFERROR(IF([1]财务取数接口!$E$248=0,"",[1]财务取数接口!$E$248),""))</f>
        <v/>
      </c>
      <c r="F249" s="41" t="str">
        <f aca="false">IF($T$4=0,IF($M249="","",$M249),IFERROR(IF([1]财务取数接口!$G$248=0,"",[1]财务取数接口!$G$248),""))</f>
        <v/>
      </c>
      <c r="G249" s="41" t="str">
        <f aca="false">IF($T$4=0,IF($N249="","",$N249),IFERROR(IF([1]财务取数接口!$H$248=0,"",[1]财务取数接口!$H$248),""))</f>
        <v/>
      </c>
      <c r="H249" s="39" t="str">
        <f aca="false">IF($T$4=0,IF($O249="","",$O249),IFERROR(IF([1]财务取数接口!$I$248=0,"",[1]财务取数接口!$I$248),""))</f>
        <v/>
      </c>
      <c r="I249" s="42"/>
      <c r="J249" s="43"/>
      <c r="K249" s="42"/>
      <c r="L249" s="42"/>
      <c r="M249" s="44"/>
      <c r="N249" s="44"/>
      <c r="O249" s="43"/>
      <c r="P249" s="45" t="n">
        <f aca="false">IF(AND($C249&lt;&gt;"",$C249&lt;&gt;"项目",OR(N($D249)&lt;&gt;0,N($E249)&lt;&gt;0,N($F249)&lt;&gt;0)),1,0)</f>
        <v>0</v>
      </c>
      <c r="Q249" s="45" t="n">
        <f aca="false">N(Q248)+$P249</f>
        <v>11</v>
      </c>
    </row>
    <row r="250" customFormat="false" ht="13.5" hidden="false" customHeight="false" outlineLevel="0" collapsed="false">
      <c r="A250" s="9" t="n">
        <v>249</v>
      </c>
      <c r="B250" s="40" t="str">
        <f aca="false">IF($T$4=0,IF($I250="","",$I250),IFERROR(IF([1]财务取数接口!$B$249=0,"",[1]财务取数接口!$B$249),""))</f>
        <v/>
      </c>
      <c r="C250" s="39" t="str">
        <f aca="false">IF($T$4=0,IF($J250="","",$J250),IFERROR(IF([1]财务取数接口!$C$249=0,"",[1]财务取数接口!$C$249),""))</f>
        <v/>
      </c>
      <c r="D250" s="40" t="str">
        <f aca="false">IF($T$4=0,IF($K250="","",$K250),IFERROR(IF([1]财务取数接口!$D$249=0,"",[1]财务取数接口!$D$249),""))</f>
        <v/>
      </c>
      <c r="E250" s="40" t="str">
        <f aca="false">IF($T$4=0,IF($L250="","",$L250),IFERROR(IF([1]财务取数接口!$E$249=0,"",[1]财务取数接口!$E$249),""))</f>
        <v/>
      </c>
      <c r="F250" s="41" t="str">
        <f aca="false">IF($T$4=0,IF($M250="","",$M250),IFERROR(IF([1]财务取数接口!$G$249=0,"",[1]财务取数接口!$G$249),""))</f>
        <v/>
      </c>
      <c r="G250" s="41" t="str">
        <f aca="false">IF($T$4=0,IF($N250="","",$N250),IFERROR(IF([1]财务取数接口!$H$249=0,"",[1]财务取数接口!$H$249),""))</f>
        <v/>
      </c>
      <c r="H250" s="39" t="str">
        <f aca="false">IF($T$4=0,IF($O250="","",$O250),IFERROR(IF([1]财务取数接口!$I$249=0,"",[1]财务取数接口!$I$249),""))</f>
        <v/>
      </c>
      <c r="I250" s="42"/>
      <c r="J250" s="43"/>
      <c r="K250" s="42"/>
      <c r="L250" s="42"/>
      <c r="M250" s="44"/>
      <c r="N250" s="44"/>
      <c r="O250" s="43"/>
      <c r="P250" s="45" t="n">
        <f aca="false">IF(AND($C250&lt;&gt;"",$C250&lt;&gt;"项目",OR(N($D250)&lt;&gt;0,N($E250)&lt;&gt;0,N($F250)&lt;&gt;0)),1,0)</f>
        <v>0</v>
      </c>
      <c r="Q250" s="45" t="n">
        <f aca="false">N(Q249)+$P250</f>
        <v>11</v>
      </c>
    </row>
    <row r="251" customFormat="false" ht="13.5" hidden="false" customHeight="false" outlineLevel="0" collapsed="false">
      <c r="A251" s="9" t="n">
        <v>250</v>
      </c>
      <c r="B251" s="40" t="str">
        <f aca="false">IF($T$4=0,IF($I251="","",$I251),IFERROR(IF([1]财务取数接口!$B$250=0,"",[1]财务取数接口!$B$250),""))</f>
        <v/>
      </c>
      <c r="C251" s="39" t="str">
        <f aca="false">IF($T$4=0,IF($J251="","",$J251),IFERROR(IF([1]财务取数接口!$C$250=0,"",[1]财务取数接口!$C$250),""))</f>
        <v/>
      </c>
      <c r="D251" s="40" t="str">
        <f aca="false">IF($T$4=0,IF($K251="","",$K251),IFERROR(IF([1]财务取数接口!$D$250=0,"",[1]财务取数接口!$D$250),""))</f>
        <v/>
      </c>
      <c r="E251" s="40" t="str">
        <f aca="false">IF($T$4=0,IF($L251="","",$L251),IFERROR(IF([1]财务取数接口!$E$250=0,"",[1]财务取数接口!$E$250),""))</f>
        <v/>
      </c>
      <c r="F251" s="41" t="str">
        <f aca="false">IF($T$4=0,IF($M251="","",$M251),IFERROR(IF([1]财务取数接口!$G$250=0,"",[1]财务取数接口!$G$250),""))</f>
        <v/>
      </c>
      <c r="G251" s="41" t="str">
        <f aca="false">IF($T$4=0,IF($N251="","",$N251),IFERROR(IF([1]财务取数接口!$H$250=0,"",[1]财务取数接口!$H$250),""))</f>
        <v/>
      </c>
      <c r="H251" s="39" t="str">
        <f aca="false">IF($T$4=0,IF($O251="","",$O251),IFERROR(IF([1]财务取数接口!$I$250=0,"",[1]财务取数接口!$I$250),""))</f>
        <v/>
      </c>
      <c r="I251" s="42"/>
      <c r="J251" s="43"/>
      <c r="K251" s="42"/>
      <c r="L251" s="42"/>
      <c r="M251" s="44"/>
      <c r="N251" s="44"/>
      <c r="O251" s="43"/>
      <c r="P251" s="45" t="n">
        <f aca="false">IF(AND($C251&lt;&gt;"",$C251&lt;&gt;"项目",OR(N($D251)&lt;&gt;0,N($E251)&lt;&gt;0,N($F251)&lt;&gt;0)),1,0)</f>
        <v>0</v>
      </c>
      <c r="Q251" s="45" t="n">
        <f aca="false">N(Q250)+$P251</f>
        <v>11</v>
      </c>
    </row>
    <row r="252" customFormat="false" ht="13.5" hidden="false" customHeight="false" outlineLevel="0" collapsed="false">
      <c r="A252" s="9" t="n">
        <v>251</v>
      </c>
      <c r="B252" s="40" t="str">
        <f aca="false">IF($T$4=0,IF($I252="","",$I252),IFERROR(IF([1]财务取数接口!$B$251=0,"",[1]财务取数接口!$B$251),""))</f>
        <v/>
      </c>
      <c r="C252" s="39" t="str">
        <f aca="false">IF($T$4=0,IF($J252="","",$J252),IFERROR(IF([1]财务取数接口!$C$251=0,"",[1]财务取数接口!$C$251),""))</f>
        <v/>
      </c>
      <c r="D252" s="40" t="str">
        <f aca="false">IF($T$4=0,IF($K252="","",$K252),IFERROR(IF([1]财务取数接口!$D$251=0,"",[1]财务取数接口!$D$251),""))</f>
        <v/>
      </c>
      <c r="E252" s="40" t="str">
        <f aca="false">IF($T$4=0,IF($L252="","",$L252),IFERROR(IF([1]财务取数接口!$E$251=0,"",[1]财务取数接口!$E$251),""))</f>
        <v/>
      </c>
      <c r="F252" s="41" t="str">
        <f aca="false">IF($T$4=0,IF($M252="","",$M252),IFERROR(IF([1]财务取数接口!$G$251=0,"",[1]财务取数接口!$G$251),""))</f>
        <v/>
      </c>
      <c r="G252" s="41" t="str">
        <f aca="false">IF($T$4=0,IF($N252="","",$N252),IFERROR(IF([1]财务取数接口!$H$251=0,"",[1]财务取数接口!$H$251),""))</f>
        <v/>
      </c>
      <c r="H252" s="39" t="str">
        <f aca="false">IF($T$4=0,IF($O252="","",$O252),IFERROR(IF([1]财务取数接口!$I$251=0,"",[1]财务取数接口!$I$251),""))</f>
        <v/>
      </c>
      <c r="I252" s="42"/>
      <c r="J252" s="43"/>
      <c r="K252" s="42"/>
      <c r="L252" s="42"/>
      <c r="M252" s="44"/>
      <c r="N252" s="44"/>
      <c r="O252" s="43"/>
      <c r="P252" s="45" t="n">
        <f aca="false">IF(AND($C252&lt;&gt;"",$C252&lt;&gt;"项目",OR(N($D252)&lt;&gt;0,N($E252)&lt;&gt;0,N($F252)&lt;&gt;0)),1,0)</f>
        <v>0</v>
      </c>
      <c r="Q252" s="45" t="n">
        <f aca="false">N(Q251)+$P252</f>
        <v>11</v>
      </c>
    </row>
    <row r="253" customFormat="false" ht="13.5" hidden="false" customHeight="false" outlineLevel="0" collapsed="false">
      <c r="A253" s="9" t="n">
        <v>252</v>
      </c>
      <c r="B253" s="40" t="str">
        <f aca="false">IF($T$4=0,IF($I253="","",$I253),IFERROR(IF([1]财务取数接口!$B$252=0,"",[1]财务取数接口!$B$252),""))</f>
        <v/>
      </c>
      <c r="C253" s="39" t="str">
        <f aca="false">IF($T$4=0,IF($J253="","",$J253),IFERROR(IF([1]财务取数接口!$C$252=0,"",[1]财务取数接口!$C$252),""))</f>
        <v/>
      </c>
      <c r="D253" s="40" t="str">
        <f aca="false">IF($T$4=0,IF($K253="","",$K253),IFERROR(IF([1]财务取数接口!$D$252=0,"",[1]财务取数接口!$D$252),""))</f>
        <v/>
      </c>
      <c r="E253" s="40" t="str">
        <f aca="false">IF($T$4=0,IF($L253="","",$L253),IFERROR(IF([1]财务取数接口!$E$252=0,"",[1]财务取数接口!$E$252),""))</f>
        <v/>
      </c>
      <c r="F253" s="41" t="str">
        <f aca="false">IF($T$4=0,IF($M253="","",$M253),IFERROR(IF([1]财务取数接口!$G$252=0,"",[1]财务取数接口!$G$252),""))</f>
        <v/>
      </c>
      <c r="G253" s="41" t="str">
        <f aca="false">IF($T$4=0,IF($N253="","",$N253),IFERROR(IF([1]财务取数接口!$H$252=0,"",[1]财务取数接口!$H$252),""))</f>
        <v/>
      </c>
      <c r="H253" s="39" t="str">
        <f aca="false">IF($T$4=0,IF($O253="","",$O253),IFERROR(IF([1]财务取数接口!$I$252=0,"",[1]财务取数接口!$I$252),""))</f>
        <v/>
      </c>
      <c r="I253" s="42"/>
      <c r="J253" s="43"/>
      <c r="K253" s="42"/>
      <c r="L253" s="42"/>
      <c r="M253" s="44"/>
      <c r="N253" s="44"/>
      <c r="O253" s="43"/>
      <c r="P253" s="45" t="n">
        <f aca="false">IF(AND($C253&lt;&gt;"",$C253&lt;&gt;"项目",OR(N($D253)&lt;&gt;0,N($E253)&lt;&gt;0,N($F253)&lt;&gt;0)),1,0)</f>
        <v>0</v>
      </c>
      <c r="Q253" s="45" t="n">
        <f aca="false">N(Q252)+$P253</f>
        <v>11</v>
      </c>
    </row>
    <row r="254" customFormat="false" ht="13.5" hidden="false" customHeight="false" outlineLevel="0" collapsed="false">
      <c r="A254" s="9" t="n">
        <v>253</v>
      </c>
      <c r="B254" s="40" t="str">
        <f aca="false">IF($T$4=0,IF($I254="","",$I254),IFERROR(IF([1]财务取数接口!$B$253=0,"",[1]财务取数接口!$B$253),""))</f>
        <v/>
      </c>
      <c r="C254" s="39" t="str">
        <f aca="false">IF($T$4=0,IF($J254="","",$J254),IFERROR(IF([1]财务取数接口!$C$253=0,"",[1]财务取数接口!$C$253),""))</f>
        <v/>
      </c>
      <c r="D254" s="40" t="str">
        <f aca="false">IF($T$4=0,IF($K254="","",$K254),IFERROR(IF([1]财务取数接口!$D$253=0,"",[1]财务取数接口!$D$253),""))</f>
        <v/>
      </c>
      <c r="E254" s="40" t="str">
        <f aca="false">IF($T$4=0,IF($L254="","",$L254),IFERROR(IF([1]财务取数接口!$E$253=0,"",[1]财务取数接口!$E$253),""))</f>
        <v/>
      </c>
      <c r="F254" s="41" t="str">
        <f aca="false">IF($T$4=0,IF($M254="","",$M254),IFERROR(IF([1]财务取数接口!$G$253=0,"",[1]财务取数接口!$G$253),""))</f>
        <v/>
      </c>
      <c r="G254" s="41" t="str">
        <f aca="false">IF($T$4=0,IF($N254="","",$N254),IFERROR(IF([1]财务取数接口!$H$253=0,"",[1]财务取数接口!$H$253),""))</f>
        <v/>
      </c>
      <c r="H254" s="39" t="str">
        <f aca="false">IF($T$4=0,IF($O254="","",$O254),IFERROR(IF([1]财务取数接口!$I$253=0,"",[1]财务取数接口!$I$253),""))</f>
        <v/>
      </c>
      <c r="I254" s="42"/>
      <c r="J254" s="43"/>
      <c r="K254" s="42"/>
      <c r="L254" s="42"/>
      <c r="M254" s="44"/>
      <c r="N254" s="44"/>
      <c r="O254" s="43"/>
      <c r="P254" s="45" t="n">
        <f aca="false">IF(AND($C254&lt;&gt;"",$C254&lt;&gt;"项目",OR(N($D254)&lt;&gt;0,N($E254)&lt;&gt;0,N($F254)&lt;&gt;0)),1,0)</f>
        <v>0</v>
      </c>
      <c r="Q254" s="45" t="n">
        <f aca="false">N(Q253)+$P254</f>
        <v>11</v>
      </c>
    </row>
    <row r="255" customFormat="false" ht="13.5" hidden="false" customHeight="false" outlineLevel="0" collapsed="false">
      <c r="A255" s="9" t="n">
        <v>254</v>
      </c>
      <c r="B255" s="40" t="str">
        <f aca="false">IF($T$4=0,IF($I255="","",$I255),IFERROR(IF([1]财务取数接口!$B$254=0,"",[1]财务取数接口!$B$254),""))</f>
        <v/>
      </c>
      <c r="C255" s="39" t="str">
        <f aca="false">IF($T$4=0,IF($J255="","",$J255),IFERROR(IF([1]财务取数接口!$C$254=0,"",[1]财务取数接口!$C$254),""))</f>
        <v/>
      </c>
      <c r="D255" s="40" t="str">
        <f aca="false">IF($T$4=0,IF($K255="","",$K255),IFERROR(IF([1]财务取数接口!$D$254=0,"",[1]财务取数接口!$D$254),""))</f>
        <v/>
      </c>
      <c r="E255" s="40" t="str">
        <f aca="false">IF($T$4=0,IF($L255="","",$L255),IFERROR(IF([1]财务取数接口!$E$254=0,"",[1]财务取数接口!$E$254),""))</f>
        <v/>
      </c>
      <c r="F255" s="41" t="str">
        <f aca="false">IF($T$4=0,IF($M255="","",$M255),IFERROR(IF([1]财务取数接口!$G$254=0,"",[1]财务取数接口!$G$254),""))</f>
        <v/>
      </c>
      <c r="G255" s="41" t="str">
        <f aca="false">IF($T$4=0,IF($N255="","",$N255),IFERROR(IF([1]财务取数接口!$H$254=0,"",[1]财务取数接口!$H$254),""))</f>
        <v/>
      </c>
      <c r="H255" s="39" t="str">
        <f aca="false">IF($T$4=0,IF($O255="","",$O255),IFERROR(IF([1]财务取数接口!$I$254=0,"",[1]财务取数接口!$I$254),""))</f>
        <v/>
      </c>
      <c r="I255" s="42"/>
      <c r="J255" s="43"/>
      <c r="K255" s="42"/>
      <c r="L255" s="42"/>
      <c r="M255" s="44"/>
      <c r="N255" s="44"/>
      <c r="O255" s="43"/>
      <c r="P255" s="45" t="n">
        <f aca="false">IF(AND($C255&lt;&gt;"",$C255&lt;&gt;"项目",OR(N($D255)&lt;&gt;0,N($E255)&lt;&gt;0,N($F255)&lt;&gt;0)),1,0)</f>
        <v>0</v>
      </c>
      <c r="Q255" s="45" t="n">
        <f aca="false">N(Q254)+$P255</f>
        <v>11</v>
      </c>
    </row>
    <row r="256" customFormat="false" ht="13.5" hidden="false" customHeight="false" outlineLevel="0" collapsed="false">
      <c r="A256" s="9" t="n">
        <v>255</v>
      </c>
      <c r="B256" s="40" t="str">
        <f aca="false">IF($T$4=0,IF($I256="","",$I256),IFERROR(IF([1]财务取数接口!$B$255=0,"",[1]财务取数接口!$B$255),""))</f>
        <v/>
      </c>
      <c r="C256" s="39" t="str">
        <f aca="false">IF($T$4=0,IF($J256="","",$J256),IFERROR(IF([1]财务取数接口!$C$255=0,"",[1]财务取数接口!$C$255),""))</f>
        <v/>
      </c>
      <c r="D256" s="40" t="str">
        <f aca="false">IF($T$4=0,IF($K256="","",$K256),IFERROR(IF([1]财务取数接口!$D$255=0,"",[1]财务取数接口!$D$255),""))</f>
        <v/>
      </c>
      <c r="E256" s="40" t="str">
        <f aca="false">IF($T$4=0,IF($L256="","",$L256),IFERROR(IF([1]财务取数接口!$E$255=0,"",[1]财务取数接口!$E$255),""))</f>
        <v/>
      </c>
      <c r="F256" s="41" t="str">
        <f aca="false">IF($T$4=0,IF($M256="","",$M256),IFERROR(IF([1]财务取数接口!$G$255=0,"",[1]财务取数接口!$G$255),""))</f>
        <v/>
      </c>
      <c r="G256" s="41" t="str">
        <f aca="false">IF($T$4=0,IF($N256="","",$N256),IFERROR(IF([1]财务取数接口!$H$255=0,"",[1]财务取数接口!$H$255),""))</f>
        <v/>
      </c>
      <c r="H256" s="39" t="str">
        <f aca="false">IF($T$4=0,IF($O256="","",$O256),IFERROR(IF([1]财务取数接口!$I$255=0,"",[1]财务取数接口!$I$255),""))</f>
        <v/>
      </c>
      <c r="I256" s="42"/>
      <c r="J256" s="43"/>
      <c r="K256" s="42"/>
      <c r="L256" s="42"/>
      <c r="M256" s="44"/>
      <c r="N256" s="44"/>
      <c r="O256" s="43"/>
      <c r="P256" s="45" t="n">
        <f aca="false">IF(AND($C256&lt;&gt;"",$C256&lt;&gt;"项目",OR(N($D256)&lt;&gt;0,N($E256)&lt;&gt;0,N($F256)&lt;&gt;0)),1,0)</f>
        <v>0</v>
      </c>
      <c r="Q256" s="45" t="n">
        <f aca="false">N(Q255)+$P256</f>
        <v>11</v>
      </c>
    </row>
    <row r="257" customFormat="false" ht="13.5" hidden="false" customHeight="false" outlineLevel="0" collapsed="false">
      <c r="A257" s="9" t="n">
        <v>256</v>
      </c>
      <c r="B257" s="40" t="str">
        <f aca="false">IF($T$4=0,IF($I257="","",$I257),IFERROR(IF([1]财务取数接口!$B$256=0,"",[1]财务取数接口!$B$256),""))</f>
        <v/>
      </c>
      <c r="C257" s="39" t="str">
        <f aca="false">IF($T$4=0,IF($J257="","",$J257),IFERROR(IF([1]财务取数接口!$C$256=0,"",[1]财务取数接口!$C$256),""))</f>
        <v/>
      </c>
      <c r="D257" s="40" t="str">
        <f aca="false">IF($T$4=0,IF($K257="","",$K257),IFERROR(IF([1]财务取数接口!$D$256=0,"",[1]财务取数接口!$D$256),""))</f>
        <v/>
      </c>
      <c r="E257" s="40" t="str">
        <f aca="false">IF($T$4=0,IF($L257="","",$L257),IFERROR(IF([1]财务取数接口!$E$256=0,"",[1]财务取数接口!$E$256),""))</f>
        <v/>
      </c>
      <c r="F257" s="41" t="str">
        <f aca="false">IF($T$4=0,IF($M257="","",$M257),IFERROR(IF([1]财务取数接口!$G$256=0,"",[1]财务取数接口!$G$256),""))</f>
        <v/>
      </c>
      <c r="G257" s="41" t="str">
        <f aca="false">IF($T$4=0,IF($N257="","",$N257),IFERROR(IF([1]财务取数接口!$H$256=0,"",[1]财务取数接口!$H$256),""))</f>
        <v/>
      </c>
      <c r="H257" s="39" t="str">
        <f aca="false">IF($T$4=0,IF($O257="","",$O257),IFERROR(IF([1]财务取数接口!$I$256=0,"",[1]财务取数接口!$I$256),""))</f>
        <v/>
      </c>
      <c r="I257" s="42"/>
      <c r="J257" s="43"/>
      <c r="K257" s="42"/>
      <c r="L257" s="42"/>
      <c r="M257" s="44"/>
      <c r="N257" s="44"/>
      <c r="O257" s="43"/>
      <c r="P257" s="45" t="n">
        <f aca="false">IF(AND($C257&lt;&gt;"",$C257&lt;&gt;"项目",OR(N($D257)&lt;&gt;0,N($E257)&lt;&gt;0,N($F257)&lt;&gt;0)),1,0)</f>
        <v>0</v>
      </c>
      <c r="Q257" s="45" t="n">
        <f aca="false">N(Q256)+$P257</f>
        <v>11</v>
      </c>
    </row>
    <row r="258" customFormat="false" ht="13.5" hidden="false" customHeight="false" outlineLevel="0" collapsed="false">
      <c r="A258" s="9" t="n">
        <v>257</v>
      </c>
      <c r="B258" s="40" t="str">
        <f aca="false">IF($T$4=0,IF($I258="","",$I258),IFERROR(IF([1]财务取数接口!$B$257=0,"",[1]财务取数接口!$B$257),""))</f>
        <v/>
      </c>
      <c r="C258" s="39" t="str">
        <f aca="false">IF($T$4=0,IF($J258="","",$J258),IFERROR(IF([1]财务取数接口!$C$257=0,"",[1]财务取数接口!$C$257),""))</f>
        <v/>
      </c>
      <c r="D258" s="40" t="str">
        <f aca="false">IF($T$4=0,IF($K258="","",$K258),IFERROR(IF([1]财务取数接口!$D$257=0,"",[1]财务取数接口!$D$257),""))</f>
        <v/>
      </c>
      <c r="E258" s="40" t="str">
        <f aca="false">IF($T$4=0,IF($L258="","",$L258),IFERROR(IF([1]财务取数接口!$E$257=0,"",[1]财务取数接口!$E$257),""))</f>
        <v/>
      </c>
      <c r="F258" s="41" t="str">
        <f aca="false">IF($T$4=0,IF($M258="","",$M258),IFERROR(IF([1]财务取数接口!$G$257=0,"",[1]财务取数接口!$G$257),""))</f>
        <v/>
      </c>
      <c r="G258" s="41" t="str">
        <f aca="false">IF($T$4=0,IF($N258="","",$N258),IFERROR(IF([1]财务取数接口!$H$257=0,"",[1]财务取数接口!$H$257),""))</f>
        <v/>
      </c>
      <c r="H258" s="39" t="str">
        <f aca="false">IF($T$4=0,IF($O258="","",$O258),IFERROR(IF([1]财务取数接口!$I$257=0,"",[1]财务取数接口!$I$257),""))</f>
        <v/>
      </c>
      <c r="I258" s="42"/>
      <c r="J258" s="43"/>
      <c r="K258" s="42"/>
      <c r="L258" s="42"/>
      <c r="M258" s="44"/>
      <c r="N258" s="44"/>
      <c r="O258" s="43"/>
      <c r="P258" s="45" t="n">
        <f aca="false">IF(AND($C258&lt;&gt;"",$C258&lt;&gt;"项目",OR(N($D258)&lt;&gt;0,N($E258)&lt;&gt;0,N($F258)&lt;&gt;0)),1,0)</f>
        <v>0</v>
      </c>
      <c r="Q258" s="45" t="n">
        <f aca="false">N(Q257)+$P258</f>
        <v>11</v>
      </c>
    </row>
    <row r="259" customFormat="false" ht="13.5" hidden="false" customHeight="false" outlineLevel="0" collapsed="false">
      <c r="A259" s="9" t="n">
        <v>258</v>
      </c>
      <c r="B259" s="40" t="str">
        <f aca="false">IF($T$4=0,IF($I259="","",$I259),IFERROR(IF([1]财务取数接口!$B$258=0,"",[1]财务取数接口!$B$258),""))</f>
        <v/>
      </c>
      <c r="C259" s="39" t="str">
        <f aca="false">IF($T$4=0,IF($J259="","",$J259),IFERROR(IF([1]财务取数接口!$C$258=0,"",[1]财务取数接口!$C$258),""))</f>
        <v/>
      </c>
      <c r="D259" s="40" t="str">
        <f aca="false">IF($T$4=0,IF($K259="","",$K259),IFERROR(IF([1]财务取数接口!$D$258=0,"",[1]财务取数接口!$D$258),""))</f>
        <v/>
      </c>
      <c r="E259" s="40" t="str">
        <f aca="false">IF($T$4=0,IF($L259="","",$L259),IFERROR(IF([1]财务取数接口!$E$258=0,"",[1]财务取数接口!$E$258),""))</f>
        <v/>
      </c>
      <c r="F259" s="41" t="str">
        <f aca="false">IF($T$4=0,IF($M259="","",$M259),IFERROR(IF([1]财务取数接口!$G$258=0,"",[1]财务取数接口!$G$258),""))</f>
        <v/>
      </c>
      <c r="G259" s="41" t="str">
        <f aca="false">IF($T$4=0,IF($N259="","",$N259),IFERROR(IF([1]财务取数接口!$H$258=0,"",[1]财务取数接口!$H$258),""))</f>
        <v/>
      </c>
      <c r="H259" s="39" t="str">
        <f aca="false">IF($T$4=0,IF($O259="","",$O259),IFERROR(IF([1]财务取数接口!$I$258=0,"",[1]财务取数接口!$I$258),""))</f>
        <v/>
      </c>
      <c r="I259" s="42"/>
      <c r="J259" s="43"/>
      <c r="K259" s="42"/>
      <c r="L259" s="42"/>
      <c r="M259" s="44"/>
      <c r="N259" s="44"/>
      <c r="O259" s="43"/>
      <c r="P259" s="45" t="n">
        <f aca="false">IF(AND($C259&lt;&gt;"",$C259&lt;&gt;"项目",OR(N($D259)&lt;&gt;0,N($E259)&lt;&gt;0,N($F259)&lt;&gt;0)),1,0)</f>
        <v>0</v>
      </c>
      <c r="Q259" s="45" t="n">
        <f aca="false">N(Q258)+$P259</f>
        <v>11</v>
      </c>
    </row>
    <row r="260" customFormat="false" ht="13.5" hidden="false" customHeight="false" outlineLevel="0" collapsed="false">
      <c r="A260" s="9" t="n">
        <v>259</v>
      </c>
      <c r="B260" s="40" t="str">
        <f aca="false">IF($T$4=0,IF($I260="","",$I260),IFERROR(IF([1]财务取数接口!$B$259=0,"",[1]财务取数接口!$B$259),""))</f>
        <v/>
      </c>
      <c r="C260" s="39" t="str">
        <f aca="false">IF($T$4=0,IF($J260="","",$J260),IFERROR(IF([1]财务取数接口!$C$259=0,"",[1]财务取数接口!$C$259),""))</f>
        <v/>
      </c>
      <c r="D260" s="40" t="str">
        <f aca="false">IF($T$4=0,IF($K260="","",$K260),IFERROR(IF([1]财务取数接口!$D$259=0,"",[1]财务取数接口!$D$259),""))</f>
        <v/>
      </c>
      <c r="E260" s="40" t="str">
        <f aca="false">IF($T$4=0,IF($L260="","",$L260),IFERROR(IF([1]财务取数接口!$E$259=0,"",[1]财务取数接口!$E$259),""))</f>
        <v/>
      </c>
      <c r="F260" s="41" t="str">
        <f aca="false">IF($T$4=0,IF($M260="","",$M260),IFERROR(IF([1]财务取数接口!$G$259=0,"",[1]财务取数接口!$G$259),""))</f>
        <v/>
      </c>
      <c r="G260" s="41" t="str">
        <f aca="false">IF($T$4=0,IF($N260="","",$N260),IFERROR(IF([1]财务取数接口!$H$259=0,"",[1]财务取数接口!$H$259),""))</f>
        <v/>
      </c>
      <c r="H260" s="39" t="str">
        <f aca="false">IF($T$4=0,IF($O260="","",$O260),IFERROR(IF([1]财务取数接口!$I$259=0,"",[1]财务取数接口!$I$259),""))</f>
        <v/>
      </c>
      <c r="I260" s="42"/>
      <c r="J260" s="43"/>
      <c r="K260" s="42"/>
      <c r="L260" s="42"/>
      <c r="M260" s="44"/>
      <c r="N260" s="44"/>
      <c r="O260" s="43"/>
      <c r="P260" s="45" t="n">
        <f aca="false">IF(AND($C260&lt;&gt;"",$C260&lt;&gt;"项目",OR(N($D260)&lt;&gt;0,N($E260)&lt;&gt;0,N($F260)&lt;&gt;0)),1,0)</f>
        <v>0</v>
      </c>
      <c r="Q260" s="45" t="n">
        <f aca="false">N(Q259)+$P260</f>
        <v>11</v>
      </c>
    </row>
    <row r="261" customFormat="false" ht="13.5" hidden="false" customHeight="false" outlineLevel="0" collapsed="false">
      <c r="A261" s="9" t="n">
        <v>260</v>
      </c>
      <c r="B261" s="40" t="str">
        <f aca="false">IF($T$4=0,IF($I261="","",$I261),IFERROR(IF([1]财务取数接口!$B$260=0,"",[1]财务取数接口!$B$260),""))</f>
        <v/>
      </c>
      <c r="C261" s="39" t="str">
        <f aca="false">IF($T$4=0,IF($J261="","",$J261),IFERROR(IF([1]财务取数接口!$C$260=0,"",[1]财务取数接口!$C$260),""))</f>
        <v/>
      </c>
      <c r="D261" s="40" t="str">
        <f aca="false">IF($T$4=0,IF($K261="","",$K261),IFERROR(IF([1]财务取数接口!$D$260=0,"",[1]财务取数接口!$D$260),""))</f>
        <v/>
      </c>
      <c r="E261" s="40" t="str">
        <f aca="false">IF($T$4=0,IF($L261="","",$L261),IFERROR(IF([1]财务取数接口!$E$260=0,"",[1]财务取数接口!$E$260),""))</f>
        <v/>
      </c>
      <c r="F261" s="41" t="str">
        <f aca="false">IF($T$4=0,IF($M261="","",$M261),IFERROR(IF([1]财务取数接口!$G$260=0,"",[1]财务取数接口!$G$260),""))</f>
        <v/>
      </c>
      <c r="G261" s="41" t="str">
        <f aca="false">IF($T$4=0,IF($N261="","",$N261),IFERROR(IF([1]财务取数接口!$H$260=0,"",[1]财务取数接口!$H$260),""))</f>
        <v/>
      </c>
      <c r="H261" s="39" t="str">
        <f aca="false">IF($T$4=0,IF($O261="","",$O261),IFERROR(IF([1]财务取数接口!$I$260=0,"",[1]财务取数接口!$I$260),""))</f>
        <v/>
      </c>
      <c r="I261" s="42"/>
      <c r="J261" s="43"/>
      <c r="K261" s="42"/>
      <c r="L261" s="42"/>
      <c r="M261" s="44"/>
      <c r="N261" s="44"/>
      <c r="O261" s="43"/>
      <c r="P261" s="45" t="n">
        <f aca="false">IF(AND($C261&lt;&gt;"",$C261&lt;&gt;"项目",OR(N($D261)&lt;&gt;0,N($E261)&lt;&gt;0,N($F261)&lt;&gt;0)),1,0)</f>
        <v>0</v>
      </c>
      <c r="Q261" s="45" t="n">
        <f aca="false">N(Q260)+$P261</f>
        <v>11</v>
      </c>
    </row>
    <row r="262" customFormat="false" ht="13.5" hidden="false" customHeight="false" outlineLevel="0" collapsed="false">
      <c r="A262" s="9" t="n">
        <v>261</v>
      </c>
      <c r="B262" s="40" t="str">
        <f aca="false">IF($T$4=0,IF($I262="","",$I262),IFERROR(IF([1]财务取数接口!$B$261=0,"",[1]财务取数接口!$B$261),""))</f>
        <v/>
      </c>
      <c r="C262" s="39" t="str">
        <f aca="false">IF($T$4=0,IF($J262="","",$J262),IFERROR(IF([1]财务取数接口!$C$261=0,"",[1]财务取数接口!$C$261),""))</f>
        <v/>
      </c>
      <c r="D262" s="40" t="str">
        <f aca="false">IF($T$4=0,IF($K262="","",$K262),IFERROR(IF([1]财务取数接口!$D$261=0,"",[1]财务取数接口!$D$261),""))</f>
        <v/>
      </c>
      <c r="E262" s="40" t="str">
        <f aca="false">IF($T$4=0,IF($L262="","",$L262),IFERROR(IF([1]财务取数接口!$E$261=0,"",[1]财务取数接口!$E$261),""))</f>
        <v/>
      </c>
      <c r="F262" s="41" t="str">
        <f aca="false">IF($T$4=0,IF($M262="","",$M262),IFERROR(IF([1]财务取数接口!$G$261=0,"",[1]财务取数接口!$G$261),""))</f>
        <v/>
      </c>
      <c r="G262" s="41" t="str">
        <f aca="false">IF($T$4=0,IF($N262="","",$N262),IFERROR(IF([1]财务取数接口!$H$261=0,"",[1]财务取数接口!$H$261),""))</f>
        <v/>
      </c>
      <c r="H262" s="39" t="str">
        <f aca="false">IF($T$4=0,IF($O262="","",$O262),IFERROR(IF([1]财务取数接口!$I$261=0,"",[1]财务取数接口!$I$261),""))</f>
        <v/>
      </c>
      <c r="I262" s="42"/>
      <c r="J262" s="43"/>
      <c r="K262" s="42"/>
      <c r="L262" s="42"/>
      <c r="M262" s="44"/>
      <c r="N262" s="44"/>
      <c r="O262" s="43"/>
      <c r="P262" s="45" t="n">
        <f aca="false">IF(AND($C262&lt;&gt;"",$C262&lt;&gt;"项目",OR(N($D262)&lt;&gt;0,N($E262)&lt;&gt;0,N($F262)&lt;&gt;0)),1,0)</f>
        <v>0</v>
      </c>
      <c r="Q262" s="45" t="n">
        <f aca="false">N(Q261)+$P262</f>
        <v>11</v>
      </c>
    </row>
    <row r="263" customFormat="false" ht="13.5" hidden="false" customHeight="false" outlineLevel="0" collapsed="false">
      <c r="A263" s="9" t="n">
        <v>262</v>
      </c>
      <c r="B263" s="40" t="str">
        <f aca="false">IF($T$4=0,IF($I263="","",$I263),IFERROR(IF([1]财务取数接口!$B$262=0,"",[1]财务取数接口!$B$262),""))</f>
        <v/>
      </c>
      <c r="C263" s="39" t="str">
        <f aca="false">IF($T$4=0,IF($J263="","",$J263),IFERROR(IF([1]财务取数接口!$C$262=0,"",[1]财务取数接口!$C$262),""))</f>
        <v/>
      </c>
      <c r="D263" s="40" t="str">
        <f aca="false">IF($T$4=0,IF($K263="","",$K263),IFERROR(IF([1]财务取数接口!$D$262=0,"",[1]财务取数接口!$D$262),""))</f>
        <v/>
      </c>
      <c r="E263" s="40" t="str">
        <f aca="false">IF($T$4=0,IF($L263="","",$L263),IFERROR(IF([1]财务取数接口!$E$262=0,"",[1]财务取数接口!$E$262),""))</f>
        <v/>
      </c>
      <c r="F263" s="41" t="str">
        <f aca="false">IF($T$4=0,IF($M263="","",$M263),IFERROR(IF([1]财务取数接口!$G$262=0,"",[1]财务取数接口!$G$262),""))</f>
        <v/>
      </c>
      <c r="G263" s="41" t="str">
        <f aca="false">IF($T$4=0,IF($N263="","",$N263),IFERROR(IF([1]财务取数接口!$H$262=0,"",[1]财务取数接口!$H$262),""))</f>
        <v/>
      </c>
      <c r="H263" s="39" t="str">
        <f aca="false">IF($T$4=0,IF($O263="","",$O263),IFERROR(IF([1]财务取数接口!$I$262=0,"",[1]财务取数接口!$I$262),""))</f>
        <v/>
      </c>
      <c r="I263" s="42"/>
      <c r="J263" s="43"/>
      <c r="K263" s="42"/>
      <c r="L263" s="42"/>
      <c r="M263" s="44"/>
      <c r="N263" s="44"/>
      <c r="O263" s="43"/>
      <c r="P263" s="45" t="n">
        <f aca="false">IF(AND($C263&lt;&gt;"",$C263&lt;&gt;"项目",OR(N($D263)&lt;&gt;0,N($E263)&lt;&gt;0,N($F263)&lt;&gt;0)),1,0)</f>
        <v>0</v>
      </c>
      <c r="Q263" s="45" t="n">
        <f aca="false">N(Q262)+$P263</f>
        <v>11</v>
      </c>
    </row>
    <row r="264" customFormat="false" ht="13.5" hidden="false" customHeight="false" outlineLevel="0" collapsed="false">
      <c r="A264" s="9" t="n">
        <v>263</v>
      </c>
      <c r="B264" s="40" t="str">
        <f aca="false">IF($T$4=0,IF($I264="","",$I264),IFERROR(IF([1]财务取数接口!$B$263=0,"",[1]财务取数接口!$B$263),""))</f>
        <v/>
      </c>
      <c r="C264" s="39" t="str">
        <f aca="false">IF($T$4=0,IF($J264="","",$J264),IFERROR(IF([1]财务取数接口!$C$263=0,"",[1]财务取数接口!$C$263),""))</f>
        <v/>
      </c>
      <c r="D264" s="40" t="str">
        <f aca="false">IF($T$4=0,IF($K264="","",$K264),IFERROR(IF([1]财务取数接口!$D$263=0,"",[1]财务取数接口!$D$263),""))</f>
        <v/>
      </c>
      <c r="E264" s="40" t="str">
        <f aca="false">IF($T$4=0,IF($L264="","",$L264),IFERROR(IF([1]财务取数接口!$E$263=0,"",[1]财务取数接口!$E$263),""))</f>
        <v/>
      </c>
      <c r="F264" s="41" t="str">
        <f aca="false">IF($T$4=0,IF($M264="","",$M264),IFERROR(IF([1]财务取数接口!$G$263=0,"",[1]财务取数接口!$G$263),""))</f>
        <v/>
      </c>
      <c r="G264" s="41" t="str">
        <f aca="false">IF($T$4=0,IF($N264="","",$N264),IFERROR(IF([1]财务取数接口!$H$263=0,"",[1]财务取数接口!$H$263),""))</f>
        <v/>
      </c>
      <c r="H264" s="39" t="str">
        <f aca="false">IF($T$4=0,IF($O264="","",$O264),IFERROR(IF([1]财务取数接口!$I$263=0,"",[1]财务取数接口!$I$263),""))</f>
        <v/>
      </c>
      <c r="I264" s="42"/>
      <c r="J264" s="43"/>
      <c r="K264" s="42"/>
      <c r="L264" s="42"/>
      <c r="M264" s="44"/>
      <c r="N264" s="44"/>
      <c r="O264" s="43"/>
      <c r="P264" s="45" t="n">
        <f aca="false">IF(AND($C264&lt;&gt;"",$C264&lt;&gt;"项目",OR(N($D264)&lt;&gt;0,N($E264)&lt;&gt;0,N($F264)&lt;&gt;0)),1,0)</f>
        <v>0</v>
      </c>
      <c r="Q264" s="45" t="n">
        <f aca="false">N(Q263)+$P264</f>
        <v>11</v>
      </c>
    </row>
    <row r="265" customFormat="false" ht="13.5" hidden="false" customHeight="false" outlineLevel="0" collapsed="false">
      <c r="A265" s="9" t="n">
        <v>264</v>
      </c>
      <c r="B265" s="40" t="str">
        <f aca="false">IF($T$4=0,IF($I265="","",$I265),IFERROR(IF([1]财务取数接口!$B$264=0,"",[1]财务取数接口!$B$264),""))</f>
        <v/>
      </c>
      <c r="C265" s="39" t="str">
        <f aca="false">IF($T$4=0,IF($J265="","",$J265),IFERROR(IF([1]财务取数接口!$C$264=0,"",[1]财务取数接口!$C$264),""))</f>
        <v/>
      </c>
      <c r="D265" s="40" t="str">
        <f aca="false">IF($T$4=0,IF($K265="","",$K265),IFERROR(IF([1]财务取数接口!$D$264=0,"",[1]财务取数接口!$D$264),""))</f>
        <v/>
      </c>
      <c r="E265" s="40" t="str">
        <f aca="false">IF($T$4=0,IF($L265="","",$L265),IFERROR(IF([1]财务取数接口!$E$264=0,"",[1]财务取数接口!$E$264),""))</f>
        <v/>
      </c>
      <c r="F265" s="41" t="str">
        <f aca="false">IF($T$4=0,IF($M265="","",$M265),IFERROR(IF([1]财务取数接口!$G$264=0,"",[1]财务取数接口!$G$264),""))</f>
        <v/>
      </c>
      <c r="G265" s="41" t="str">
        <f aca="false">IF($T$4=0,IF($N265="","",$N265),IFERROR(IF([1]财务取数接口!$H$264=0,"",[1]财务取数接口!$H$264),""))</f>
        <v/>
      </c>
      <c r="H265" s="39" t="str">
        <f aca="false">IF($T$4=0,IF($O265="","",$O265),IFERROR(IF([1]财务取数接口!$I$264=0,"",[1]财务取数接口!$I$264),""))</f>
        <v/>
      </c>
      <c r="I265" s="42"/>
      <c r="J265" s="43"/>
      <c r="K265" s="42"/>
      <c r="L265" s="42"/>
      <c r="M265" s="44"/>
      <c r="N265" s="44"/>
      <c r="O265" s="43"/>
      <c r="P265" s="45" t="n">
        <f aca="false">IF(AND($C265&lt;&gt;"",$C265&lt;&gt;"项目",OR(N($D265)&lt;&gt;0,N($E265)&lt;&gt;0,N($F265)&lt;&gt;0)),1,0)</f>
        <v>0</v>
      </c>
      <c r="Q265" s="45" t="n">
        <f aca="false">N(Q264)+$P265</f>
        <v>11</v>
      </c>
    </row>
    <row r="266" customFormat="false" ht="13.5" hidden="false" customHeight="false" outlineLevel="0" collapsed="false">
      <c r="A266" s="9" t="n">
        <v>265</v>
      </c>
      <c r="B266" s="40" t="str">
        <f aca="false">IF($T$4=0,IF($I266="","",$I266),IFERROR(IF([1]财务取数接口!$B$265=0,"",[1]财务取数接口!$B$265),""))</f>
        <v/>
      </c>
      <c r="C266" s="39" t="str">
        <f aca="false">IF($T$4=0,IF($J266="","",$J266),IFERROR(IF([1]财务取数接口!$C$265=0,"",[1]财务取数接口!$C$265),""))</f>
        <v/>
      </c>
      <c r="D266" s="40" t="str">
        <f aca="false">IF($T$4=0,IF($K266="","",$K266),IFERROR(IF([1]财务取数接口!$D$265=0,"",[1]财务取数接口!$D$265),""))</f>
        <v/>
      </c>
      <c r="E266" s="40" t="str">
        <f aca="false">IF($T$4=0,IF($L266="","",$L266),IFERROR(IF([1]财务取数接口!$E$265=0,"",[1]财务取数接口!$E$265),""))</f>
        <v/>
      </c>
      <c r="F266" s="41" t="str">
        <f aca="false">IF($T$4=0,IF($M266="","",$M266),IFERROR(IF([1]财务取数接口!$G$265=0,"",[1]财务取数接口!$G$265),""))</f>
        <v/>
      </c>
      <c r="G266" s="41" t="str">
        <f aca="false">IF($T$4=0,IF($N266="","",$N266),IFERROR(IF([1]财务取数接口!$H$265=0,"",[1]财务取数接口!$H$265),""))</f>
        <v/>
      </c>
      <c r="H266" s="39" t="str">
        <f aca="false">IF($T$4=0,IF($O266="","",$O266),IFERROR(IF([1]财务取数接口!$I$265=0,"",[1]财务取数接口!$I$265),""))</f>
        <v/>
      </c>
      <c r="I266" s="42"/>
      <c r="J266" s="43"/>
      <c r="K266" s="42"/>
      <c r="L266" s="42"/>
      <c r="M266" s="44"/>
      <c r="N266" s="44"/>
      <c r="O266" s="43"/>
      <c r="P266" s="45" t="n">
        <f aca="false">IF(AND($C266&lt;&gt;"",$C266&lt;&gt;"项目",OR(N($D266)&lt;&gt;0,N($E266)&lt;&gt;0,N($F266)&lt;&gt;0)),1,0)</f>
        <v>0</v>
      </c>
      <c r="Q266" s="45" t="n">
        <f aca="false">N(Q265)+$P266</f>
        <v>11</v>
      </c>
    </row>
    <row r="267" customFormat="false" ht="13.5" hidden="false" customHeight="false" outlineLevel="0" collapsed="false">
      <c r="A267" s="9" t="n">
        <v>266</v>
      </c>
      <c r="B267" s="40" t="str">
        <f aca="false">IF($T$4=0,IF($I267="","",$I267),IFERROR(IF([1]财务取数接口!$B$266=0,"",[1]财务取数接口!$B$266),""))</f>
        <v/>
      </c>
      <c r="C267" s="39" t="str">
        <f aca="false">IF($T$4=0,IF($J267="","",$J267),IFERROR(IF([1]财务取数接口!$C$266=0,"",[1]财务取数接口!$C$266),""))</f>
        <v/>
      </c>
      <c r="D267" s="40" t="str">
        <f aca="false">IF($T$4=0,IF($K267="","",$K267),IFERROR(IF([1]财务取数接口!$D$266=0,"",[1]财务取数接口!$D$266),""))</f>
        <v/>
      </c>
      <c r="E267" s="40" t="str">
        <f aca="false">IF($T$4=0,IF($L267="","",$L267),IFERROR(IF([1]财务取数接口!$E$266=0,"",[1]财务取数接口!$E$266),""))</f>
        <v/>
      </c>
      <c r="F267" s="41" t="str">
        <f aca="false">IF($T$4=0,IF($M267="","",$M267),IFERROR(IF([1]财务取数接口!$G$266=0,"",[1]财务取数接口!$G$266),""))</f>
        <v/>
      </c>
      <c r="G267" s="41" t="str">
        <f aca="false">IF($T$4=0,IF($N267="","",$N267),IFERROR(IF([1]财务取数接口!$H$266=0,"",[1]财务取数接口!$H$266),""))</f>
        <v/>
      </c>
      <c r="H267" s="39" t="str">
        <f aca="false">IF($T$4=0,IF($O267="","",$O267),IFERROR(IF([1]财务取数接口!$I$266=0,"",[1]财务取数接口!$I$266),""))</f>
        <v/>
      </c>
      <c r="I267" s="42"/>
      <c r="J267" s="43"/>
      <c r="K267" s="42"/>
      <c r="L267" s="42"/>
      <c r="M267" s="44"/>
      <c r="N267" s="44"/>
      <c r="O267" s="43"/>
      <c r="P267" s="45" t="n">
        <f aca="false">IF(AND($C267&lt;&gt;"",$C267&lt;&gt;"项目",OR(N($D267)&lt;&gt;0,N($E267)&lt;&gt;0,N($F267)&lt;&gt;0)),1,0)</f>
        <v>0</v>
      </c>
      <c r="Q267" s="45" t="n">
        <f aca="false">N(Q266)+$P267</f>
        <v>11</v>
      </c>
    </row>
    <row r="268" customFormat="false" ht="13.5" hidden="false" customHeight="false" outlineLevel="0" collapsed="false">
      <c r="A268" s="9" t="n">
        <v>267</v>
      </c>
      <c r="B268" s="40" t="str">
        <f aca="false">IF($T$4=0,IF($I268="","",$I268),IFERROR(IF([1]财务取数接口!$B$267=0,"",[1]财务取数接口!$B$267),""))</f>
        <v/>
      </c>
      <c r="C268" s="39" t="str">
        <f aca="false">IF($T$4=0,IF($J268="","",$J268),IFERROR(IF([1]财务取数接口!$C$267=0,"",[1]财务取数接口!$C$267),""))</f>
        <v/>
      </c>
      <c r="D268" s="40" t="str">
        <f aca="false">IF($T$4=0,IF($K268="","",$K268),IFERROR(IF([1]财务取数接口!$D$267=0,"",[1]财务取数接口!$D$267),""))</f>
        <v/>
      </c>
      <c r="E268" s="40" t="str">
        <f aca="false">IF($T$4=0,IF($L268="","",$L268),IFERROR(IF([1]财务取数接口!$E$267=0,"",[1]财务取数接口!$E$267),""))</f>
        <v/>
      </c>
      <c r="F268" s="41" t="str">
        <f aca="false">IF($T$4=0,IF($M268="","",$M268),IFERROR(IF([1]财务取数接口!$G$267=0,"",[1]财务取数接口!$G$267),""))</f>
        <v/>
      </c>
      <c r="G268" s="41" t="str">
        <f aca="false">IF($T$4=0,IF($N268="","",$N268),IFERROR(IF([1]财务取数接口!$H$267=0,"",[1]财务取数接口!$H$267),""))</f>
        <v/>
      </c>
      <c r="H268" s="39" t="str">
        <f aca="false">IF($T$4=0,IF($O268="","",$O268),IFERROR(IF([1]财务取数接口!$I$267=0,"",[1]财务取数接口!$I$267),""))</f>
        <v/>
      </c>
      <c r="I268" s="42"/>
      <c r="J268" s="43"/>
      <c r="K268" s="42"/>
      <c r="L268" s="42"/>
      <c r="M268" s="44"/>
      <c r="N268" s="44"/>
      <c r="O268" s="43"/>
      <c r="P268" s="45" t="n">
        <f aca="false">IF(AND($C268&lt;&gt;"",$C268&lt;&gt;"项目",OR(N($D268)&lt;&gt;0,N($E268)&lt;&gt;0,N($F268)&lt;&gt;0)),1,0)</f>
        <v>0</v>
      </c>
      <c r="Q268" s="45" t="n">
        <f aca="false">N(Q267)+$P268</f>
        <v>11</v>
      </c>
    </row>
    <row r="269" customFormat="false" ht="13.5" hidden="false" customHeight="false" outlineLevel="0" collapsed="false">
      <c r="A269" s="9" t="n">
        <v>268</v>
      </c>
      <c r="B269" s="40" t="str">
        <f aca="false">IF($T$4=0,IF($I269="","",$I269),IFERROR(IF([1]财务取数接口!$B$268=0,"",[1]财务取数接口!$B$268),""))</f>
        <v/>
      </c>
      <c r="C269" s="39" t="str">
        <f aca="false">IF($T$4=0,IF($J269="","",$J269),IFERROR(IF([1]财务取数接口!$C$268=0,"",[1]财务取数接口!$C$268),""))</f>
        <v/>
      </c>
      <c r="D269" s="40" t="str">
        <f aca="false">IF($T$4=0,IF($K269="","",$K269),IFERROR(IF([1]财务取数接口!$D$268=0,"",[1]财务取数接口!$D$268),""))</f>
        <v/>
      </c>
      <c r="E269" s="40" t="str">
        <f aca="false">IF($T$4=0,IF($L269="","",$L269),IFERROR(IF([1]财务取数接口!$E$268=0,"",[1]财务取数接口!$E$268),""))</f>
        <v/>
      </c>
      <c r="F269" s="41" t="str">
        <f aca="false">IF($T$4=0,IF($M269="","",$M269),IFERROR(IF([1]财务取数接口!$G$268=0,"",[1]财务取数接口!$G$268),""))</f>
        <v/>
      </c>
      <c r="G269" s="41" t="str">
        <f aca="false">IF($T$4=0,IF($N269="","",$N269),IFERROR(IF([1]财务取数接口!$H$268=0,"",[1]财务取数接口!$H$268),""))</f>
        <v/>
      </c>
      <c r="H269" s="39" t="str">
        <f aca="false">IF($T$4=0,IF($O269="","",$O269),IFERROR(IF([1]财务取数接口!$I$268=0,"",[1]财务取数接口!$I$268),""))</f>
        <v/>
      </c>
      <c r="I269" s="42"/>
      <c r="J269" s="43"/>
      <c r="K269" s="42"/>
      <c r="L269" s="42"/>
      <c r="M269" s="44"/>
      <c r="N269" s="44"/>
      <c r="O269" s="43"/>
      <c r="P269" s="45" t="n">
        <f aca="false">IF(AND($C269&lt;&gt;"",$C269&lt;&gt;"项目",OR(N($D269)&lt;&gt;0,N($E269)&lt;&gt;0,N($F269)&lt;&gt;0)),1,0)</f>
        <v>0</v>
      </c>
      <c r="Q269" s="45" t="n">
        <f aca="false">N(Q268)+$P269</f>
        <v>11</v>
      </c>
    </row>
    <row r="270" customFormat="false" ht="13.5" hidden="false" customHeight="false" outlineLevel="0" collapsed="false">
      <c r="A270" s="9" t="n">
        <v>269</v>
      </c>
      <c r="B270" s="40" t="str">
        <f aca="false">IF($T$4=0,IF($I270="","",$I270),IFERROR(IF([1]财务取数接口!$B$269=0,"",[1]财务取数接口!$B$269),""))</f>
        <v/>
      </c>
      <c r="C270" s="39" t="str">
        <f aca="false">IF($T$4=0,IF($J270="","",$J270),IFERROR(IF([1]财务取数接口!$C$269=0,"",[1]财务取数接口!$C$269),""))</f>
        <v/>
      </c>
      <c r="D270" s="40" t="str">
        <f aca="false">IF($T$4=0,IF($K270="","",$K270),IFERROR(IF([1]财务取数接口!$D$269=0,"",[1]财务取数接口!$D$269),""))</f>
        <v/>
      </c>
      <c r="E270" s="40" t="str">
        <f aca="false">IF($T$4=0,IF($L270="","",$L270),IFERROR(IF([1]财务取数接口!$E$269=0,"",[1]财务取数接口!$E$269),""))</f>
        <v/>
      </c>
      <c r="F270" s="41" t="str">
        <f aca="false">IF($T$4=0,IF($M270="","",$M270),IFERROR(IF([1]财务取数接口!$G$269=0,"",[1]财务取数接口!$G$269),""))</f>
        <v/>
      </c>
      <c r="G270" s="41" t="str">
        <f aca="false">IF($T$4=0,IF($N270="","",$N270),IFERROR(IF([1]财务取数接口!$H$269=0,"",[1]财务取数接口!$H$269),""))</f>
        <v/>
      </c>
      <c r="H270" s="39" t="str">
        <f aca="false">IF($T$4=0,IF($O270="","",$O270),IFERROR(IF([1]财务取数接口!$I$269=0,"",[1]财务取数接口!$I$269),""))</f>
        <v/>
      </c>
      <c r="I270" s="42"/>
      <c r="J270" s="43"/>
      <c r="K270" s="42"/>
      <c r="L270" s="42"/>
      <c r="M270" s="44"/>
      <c r="N270" s="44"/>
      <c r="O270" s="43"/>
      <c r="P270" s="45" t="n">
        <f aca="false">IF(AND($C270&lt;&gt;"",$C270&lt;&gt;"项目",OR(N($D270)&lt;&gt;0,N($E270)&lt;&gt;0,N($F270)&lt;&gt;0)),1,0)</f>
        <v>0</v>
      </c>
      <c r="Q270" s="45" t="n">
        <f aca="false">N(Q269)+$P270</f>
        <v>11</v>
      </c>
    </row>
    <row r="271" customFormat="false" ht="13.5" hidden="false" customHeight="false" outlineLevel="0" collapsed="false">
      <c r="A271" s="9" t="n">
        <v>270</v>
      </c>
      <c r="B271" s="40" t="str">
        <f aca="false">IF($T$4=0,IF($I271="","",$I271),IFERROR(IF([1]财务取数接口!$B$270=0,"",[1]财务取数接口!$B$270),""))</f>
        <v/>
      </c>
      <c r="C271" s="39" t="str">
        <f aca="false">IF($T$4=0,IF($J271="","",$J271),IFERROR(IF([1]财务取数接口!$C$270=0,"",[1]财务取数接口!$C$270),""))</f>
        <v/>
      </c>
      <c r="D271" s="40" t="str">
        <f aca="false">IF($T$4=0,IF($K271="","",$K271),IFERROR(IF([1]财务取数接口!$D$270=0,"",[1]财务取数接口!$D$270),""))</f>
        <v/>
      </c>
      <c r="E271" s="40" t="str">
        <f aca="false">IF($T$4=0,IF($L271="","",$L271),IFERROR(IF([1]财务取数接口!$E$270=0,"",[1]财务取数接口!$E$270),""))</f>
        <v/>
      </c>
      <c r="F271" s="41" t="str">
        <f aca="false">IF($T$4=0,IF($M271="","",$M271),IFERROR(IF([1]财务取数接口!$G$270=0,"",[1]财务取数接口!$G$270),""))</f>
        <v/>
      </c>
      <c r="G271" s="41" t="str">
        <f aca="false">IF($T$4=0,IF($N271="","",$N271),IFERROR(IF([1]财务取数接口!$H$270=0,"",[1]财务取数接口!$H$270),""))</f>
        <v/>
      </c>
      <c r="H271" s="39" t="str">
        <f aca="false">IF($T$4=0,IF($O271="","",$O271),IFERROR(IF([1]财务取数接口!$I$270=0,"",[1]财务取数接口!$I$270),""))</f>
        <v/>
      </c>
      <c r="I271" s="42"/>
      <c r="J271" s="43"/>
      <c r="K271" s="42"/>
      <c r="L271" s="42"/>
      <c r="M271" s="44"/>
      <c r="N271" s="44"/>
      <c r="O271" s="43"/>
      <c r="P271" s="45" t="n">
        <f aca="false">IF(AND($C271&lt;&gt;"",$C271&lt;&gt;"项目",OR(N($D271)&lt;&gt;0,N($E271)&lt;&gt;0,N($F271)&lt;&gt;0)),1,0)</f>
        <v>0</v>
      </c>
      <c r="Q271" s="45" t="n">
        <f aca="false">N(Q270)+$P271</f>
        <v>11</v>
      </c>
    </row>
    <row r="272" customFormat="false" ht="13.5" hidden="false" customHeight="false" outlineLevel="0" collapsed="false">
      <c r="A272" s="9" t="n">
        <v>271</v>
      </c>
      <c r="B272" s="40" t="str">
        <f aca="false">IF($T$4=0,IF($I272="","",$I272),IFERROR(IF([1]财务取数接口!$B$271=0,"",[1]财务取数接口!$B$271),""))</f>
        <v/>
      </c>
      <c r="C272" s="39" t="str">
        <f aca="false">IF($T$4=0,IF($J272="","",$J272),IFERROR(IF([1]财务取数接口!$C$271=0,"",[1]财务取数接口!$C$271),""))</f>
        <v/>
      </c>
      <c r="D272" s="40" t="str">
        <f aca="false">IF($T$4=0,IF($K272="","",$K272),IFERROR(IF([1]财务取数接口!$D$271=0,"",[1]财务取数接口!$D$271),""))</f>
        <v/>
      </c>
      <c r="E272" s="40" t="str">
        <f aca="false">IF($T$4=0,IF($L272="","",$L272),IFERROR(IF([1]财务取数接口!$E$271=0,"",[1]财务取数接口!$E$271),""))</f>
        <v/>
      </c>
      <c r="F272" s="41" t="str">
        <f aca="false">IF($T$4=0,IF($M272="","",$M272),IFERROR(IF([1]财务取数接口!$G$271=0,"",[1]财务取数接口!$G$271),""))</f>
        <v/>
      </c>
      <c r="G272" s="41" t="str">
        <f aca="false">IF($T$4=0,IF($N272="","",$N272),IFERROR(IF([1]财务取数接口!$H$271=0,"",[1]财务取数接口!$H$271),""))</f>
        <v/>
      </c>
      <c r="H272" s="39" t="str">
        <f aca="false">IF($T$4=0,IF($O272="","",$O272),IFERROR(IF([1]财务取数接口!$I$271=0,"",[1]财务取数接口!$I$271),""))</f>
        <v/>
      </c>
      <c r="I272" s="42"/>
      <c r="J272" s="43"/>
      <c r="K272" s="42"/>
      <c r="L272" s="42"/>
      <c r="M272" s="44"/>
      <c r="N272" s="44"/>
      <c r="O272" s="43"/>
      <c r="P272" s="45" t="n">
        <f aca="false">IF(AND($C272&lt;&gt;"",$C272&lt;&gt;"项目",OR(N($D272)&lt;&gt;0,N($E272)&lt;&gt;0,N($F272)&lt;&gt;0)),1,0)</f>
        <v>0</v>
      </c>
      <c r="Q272" s="45" t="n">
        <f aca="false">N(Q271)+$P272</f>
        <v>11</v>
      </c>
    </row>
    <row r="273" customFormat="false" ht="13.5" hidden="false" customHeight="false" outlineLevel="0" collapsed="false">
      <c r="A273" s="9" t="n">
        <v>272</v>
      </c>
      <c r="B273" s="40" t="str">
        <f aca="false">IF($T$4=0,IF($I273="","",$I273),IFERROR(IF([1]财务取数接口!$B$272=0,"",[1]财务取数接口!$B$272),""))</f>
        <v/>
      </c>
      <c r="C273" s="39" t="str">
        <f aca="false">IF($T$4=0,IF($J273="","",$J273),IFERROR(IF([1]财务取数接口!$C$272=0,"",[1]财务取数接口!$C$272),""))</f>
        <v/>
      </c>
      <c r="D273" s="40" t="str">
        <f aca="false">IF($T$4=0,IF($K273="","",$K273),IFERROR(IF([1]财务取数接口!$D$272=0,"",[1]财务取数接口!$D$272),""))</f>
        <v/>
      </c>
      <c r="E273" s="40" t="str">
        <f aca="false">IF($T$4=0,IF($L273="","",$L273),IFERROR(IF([1]财务取数接口!$E$272=0,"",[1]财务取数接口!$E$272),""))</f>
        <v/>
      </c>
      <c r="F273" s="41" t="str">
        <f aca="false">IF($T$4=0,IF($M273="","",$M273),IFERROR(IF([1]财务取数接口!$G$272=0,"",[1]财务取数接口!$G$272),""))</f>
        <v/>
      </c>
      <c r="G273" s="41" t="str">
        <f aca="false">IF($T$4=0,IF($N273="","",$N273),IFERROR(IF([1]财务取数接口!$H$272=0,"",[1]财务取数接口!$H$272),""))</f>
        <v/>
      </c>
      <c r="H273" s="39" t="str">
        <f aca="false">IF($T$4=0,IF($O273="","",$O273),IFERROR(IF([1]财务取数接口!$I$272=0,"",[1]财务取数接口!$I$272),""))</f>
        <v/>
      </c>
      <c r="I273" s="42"/>
      <c r="J273" s="43"/>
      <c r="K273" s="42"/>
      <c r="L273" s="42"/>
      <c r="M273" s="44"/>
      <c r="N273" s="44"/>
      <c r="O273" s="43"/>
      <c r="P273" s="45" t="n">
        <f aca="false">IF(AND($C273&lt;&gt;"",$C273&lt;&gt;"项目",OR(N($D273)&lt;&gt;0,N($E273)&lt;&gt;0,N($F273)&lt;&gt;0)),1,0)</f>
        <v>0</v>
      </c>
      <c r="Q273" s="45" t="n">
        <f aca="false">N(Q272)+$P273</f>
        <v>11</v>
      </c>
    </row>
    <row r="274" customFormat="false" ht="13.5" hidden="false" customHeight="false" outlineLevel="0" collapsed="false">
      <c r="A274" s="9" t="n">
        <v>273</v>
      </c>
      <c r="B274" s="40" t="str">
        <f aca="false">IF($T$4=0,IF($I274="","",$I274),IFERROR(IF([1]财务取数接口!$B$273=0,"",[1]财务取数接口!$B$273),""))</f>
        <v/>
      </c>
      <c r="C274" s="39" t="str">
        <f aca="false">IF($T$4=0,IF($J274="","",$J274),IFERROR(IF([1]财务取数接口!$C$273=0,"",[1]财务取数接口!$C$273),""))</f>
        <v/>
      </c>
      <c r="D274" s="40" t="str">
        <f aca="false">IF($T$4=0,IF($K274="","",$K274),IFERROR(IF([1]财务取数接口!$D$273=0,"",[1]财务取数接口!$D$273),""))</f>
        <v/>
      </c>
      <c r="E274" s="40" t="str">
        <f aca="false">IF($T$4=0,IF($L274="","",$L274),IFERROR(IF([1]财务取数接口!$E$273=0,"",[1]财务取数接口!$E$273),""))</f>
        <v/>
      </c>
      <c r="F274" s="41" t="str">
        <f aca="false">IF($T$4=0,IF($M274="","",$M274),IFERROR(IF([1]财务取数接口!$G$273=0,"",[1]财务取数接口!$G$273),""))</f>
        <v/>
      </c>
      <c r="G274" s="41" t="str">
        <f aca="false">IF($T$4=0,IF($N274="","",$N274),IFERROR(IF([1]财务取数接口!$H$273=0,"",[1]财务取数接口!$H$273),""))</f>
        <v/>
      </c>
      <c r="H274" s="39" t="str">
        <f aca="false">IF($T$4=0,IF($O274="","",$O274),IFERROR(IF([1]财务取数接口!$I$273=0,"",[1]财务取数接口!$I$273),""))</f>
        <v/>
      </c>
      <c r="I274" s="42"/>
      <c r="J274" s="43"/>
      <c r="K274" s="42"/>
      <c r="L274" s="42"/>
      <c r="M274" s="44"/>
      <c r="N274" s="44"/>
      <c r="O274" s="43"/>
      <c r="P274" s="45" t="n">
        <f aca="false">IF(AND($C274&lt;&gt;"",$C274&lt;&gt;"项目",OR(N($D274)&lt;&gt;0,N($E274)&lt;&gt;0,N($F274)&lt;&gt;0)),1,0)</f>
        <v>0</v>
      </c>
      <c r="Q274" s="45" t="n">
        <f aca="false">N(Q273)+$P274</f>
        <v>11</v>
      </c>
    </row>
    <row r="275" customFormat="false" ht="13.5" hidden="false" customHeight="false" outlineLevel="0" collapsed="false">
      <c r="A275" s="9" t="n">
        <v>274</v>
      </c>
      <c r="B275" s="40" t="str">
        <f aca="false">IF($T$4=0,IF($I275="","",$I275),IFERROR(IF([1]财务取数接口!$B$274=0,"",[1]财务取数接口!$B$274),""))</f>
        <v/>
      </c>
      <c r="C275" s="39" t="str">
        <f aca="false">IF($T$4=0,IF($J275="","",$J275),IFERROR(IF([1]财务取数接口!$C$274=0,"",[1]财务取数接口!$C$274),""))</f>
        <v/>
      </c>
      <c r="D275" s="40" t="str">
        <f aca="false">IF($T$4=0,IF($K275="","",$K275),IFERROR(IF([1]财务取数接口!$D$274=0,"",[1]财务取数接口!$D$274),""))</f>
        <v/>
      </c>
      <c r="E275" s="40" t="str">
        <f aca="false">IF($T$4=0,IF($L275="","",$L275),IFERROR(IF([1]财务取数接口!$E$274=0,"",[1]财务取数接口!$E$274),""))</f>
        <v/>
      </c>
      <c r="F275" s="41" t="str">
        <f aca="false">IF($T$4=0,IF($M275="","",$M275),IFERROR(IF([1]财务取数接口!$G$274=0,"",[1]财务取数接口!$G$274),""))</f>
        <v/>
      </c>
      <c r="G275" s="41" t="str">
        <f aca="false">IF($T$4=0,IF($N275="","",$N275),IFERROR(IF([1]财务取数接口!$H$274=0,"",[1]财务取数接口!$H$274),""))</f>
        <v/>
      </c>
      <c r="H275" s="39" t="str">
        <f aca="false">IF($T$4=0,IF($O275="","",$O275),IFERROR(IF([1]财务取数接口!$I$274=0,"",[1]财务取数接口!$I$274),""))</f>
        <v/>
      </c>
      <c r="I275" s="42"/>
      <c r="J275" s="43"/>
      <c r="K275" s="42"/>
      <c r="L275" s="42"/>
      <c r="M275" s="44"/>
      <c r="N275" s="44"/>
      <c r="O275" s="43"/>
      <c r="P275" s="45" t="n">
        <f aca="false">IF(AND($C275&lt;&gt;"",$C275&lt;&gt;"项目",OR(N($D275)&lt;&gt;0,N($E275)&lt;&gt;0,N($F275)&lt;&gt;0)),1,0)</f>
        <v>0</v>
      </c>
      <c r="Q275" s="45" t="n">
        <f aca="false">N(Q274)+$P275</f>
        <v>11</v>
      </c>
    </row>
    <row r="276" customFormat="false" ht="13.5" hidden="false" customHeight="false" outlineLevel="0" collapsed="false">
      <c r="A276" s="9" t="n">
        <v>275</v>
      </c>
      <c r="B276" s="40" t="str">
        <f aca="false">IF($T$4=0,IF($I276="","",$I276),IFERROR(IF([1]财务取数接口!$B$275=0,"",[1]财务取数接口!$B$275),""))</f>
        <v/>
      </c>
      <c r="C276" s="39" t="str">
        <f aca="false">IF($T$4=0,IF($J276="","",$J276),IFERROR(IF([1]财务取数接口!$C$275=0,"",[1]财务取数接口!$C$275),""))</f>
        <v/>
      </c>
      <c r="D276" s="40" t="str">
        <f aca="false">IF($T$4=0,IF($K276="","",$K276),IFERROR(IF([1]财务取数接口!$D$275=0,"",[1]财务取数接口!$D$275),""))</f>
        <v/>
      </c>
      <c r="E276" s="40" t="str">
        <f aca="false">IF($T$4=0,IF($L276="","",$L276),IFERROR(IF([1]财务取数接口!$E$275=0,"",[1]财务取数接口!$E$275),""))</f>
        <v/>
      </c>
      <c r="F276" s="41" t="str">
        <f aca="false">IF($T$4=0,IF($M276="","",$M276),IFERROR(IF([1]财务取数接口!$G$275=0,"",[1]财务取数接口!$G$275),""))</f>
        <v/>
      </c>
      <c r="G276" s="41" t="str">
        <f aca="false">IF($T$4=0,IF($N276="","",$N276),IFERROR(IF([1]财务取数接口!$H$275=0,"",[1]财务取数接口!$H$275),""))</f>
        <v/>
      </c>
      <c r="H276" s="39" t="str">
        <f aca="false">IF($T$4=0,IF($O276="","",$O276),IFERROR(IF([1]财务取数接口!$I$275=0,"",[1]财务取数接口!$I$275),""))</f>
        <v/>
      </c>
      <c r="I276" s="42"/>
      <c r="J276" s="43"/>
      <c r="K276" s="42"/>
      <c r="L276" s="42"/>
      <c r="M276" s="44"/>
      <c r="N276" s="44"/>
      <c r="O276" s="43"/>
      <c r="P276" s="45" t="n">
        <f aca="false">IF(AND($C276&lt;&gt;"",$C276&lt;&gt;"项目",OR(N($D276)&lt;&gt;0,N($E276)&lt;&gt;0,N($F276)&lt;&gt;0)),1,0)</f>
        <v>0</v>
      </c>
      <c r="Q276" s="45" t="n">
        <f aca="false">N(Q275)+$P276</f>
        <v>11</v>
      </c>
    </row>
    <row r="277" customFormat="false" ht="13.5" hidden="false" customHeight="false" outlineLevel="0" collapsed="false">
      <c r="A277" s="9" t="n">
        <v>276</v>
      </c>
      <c r="B277" s="40" t="str">
        <f aca="false">IF($T$4=0,IF($I277="","",$I277),IFERROR(IF([1]财务取数接口!$B$276=0,"",[1]财务取数接口!$B$276),""))</f>
        <v/>
      </c>
      <c r="C277" s="39" t="str">
        <f aca="false">IF($T$4=0,IF($J277="","",$J277),IFERROR(IF([1]财务取数接口!$C$276=0,"",[1]财务取数接口!$C$276),""))</f>
        <v/>
      </c>
      <c r="D277" s="40" t="str">
        <f aca="false">IF($T$4=0,IF($K277="","",$K277),IFERROR(IF([1]财务取数接口!$D$276=0,"",[1]财务取数接口!$D$276),""))</f>
        <v/>
      </c>
      <c r="E277" s="40" t="str">
        <f aca="false">IF($T$4=0,IF($L277="","",$L277),IFERROR(IF([1]财务取数接口!$E$276=0,"",[1]财务取数接口!$E$276),""))</f>
        <v/>
      </c>
      <c r="F277" s="41" t="str">
        <f aca="false">IF($T$4=0,IF($M277="","",$M277),IFERROR(IF([1]财务取数接口!$G$276=0,"",[1]财务取数接口!$G$276),""))</f>
        <v/>
      </c>
      <c r="G277" s="41" t="str">
        <f aca="false">IF($T$4=0,IF($N277="","",$N277),IFERROR(IF([1]财务取数接口!$H$276=0,"",[1]财务取数接口!$H$276),""))</f>
        <v/>
      </c>
      <c r="H277" s="39" t="str">
        <f aca="false">IF($T$4=0,IF($O277="","",$O277),IFERROR(IF([1]财务取数接口!$I$276=0,"",[1]财务取数接口!$I$276),""))</f>
        <v/>
      </c>
      <c r="I277" s="42"/>
      <c r="J277" s="43"/>
      <c r="K277" s="42"/>
      <c r="L277" s="42"/>
      <c r="M277" s="44"/>
      <c r="N277" s="44"/>
      <c r="O277" s="43"/>
      <c r="P277" s="45" t="n">
        <f aca="false">IF(AND($C277&lt;&gt;"",$C277&lt;&gt;"项目",OR(N($D277)&lt;&gt;0,N($E277)&lt;&gt;0,N($F277)&lt;&gt;0)),1,0)</f>
        <v>0</v>
      </c>
      <c r="Q277" s="45" t="n">
        <f aca="false">N(Q276)+$P277</f>
        <v>11</v>
      </c>
    </row>
    <row r="278" customFormat="false" ht="13.5" hidden="false" customHeight="false" outlineLevel="0" collapsed="false">
      <c r="A278" s="9" t="n">
        <v>277</v>
      </c>
      <c r="B278" s="40" t="str">
        <f aca="false">IF($T$4=0,IF($I278="","",$I278),IFERROR(IF([1]财务取数接口!$B$277=0,"",[1]财务取数接口!$B$277),""))</f>
        <v/>
      </c>
      <c r="C278" s="39" t="str">
        <f aca="false">IF($T$4=0,IF($J278="","",$J278),IFERROR(IF([1]财务取数接口!$C$277=0,"",[1]财务取数接口!$C$277),""))</f>
        <v/>
      </c>
      <c r="D278" s="40" t="str">
        <f aca="false">IF($T$4=0,IF($K278="","",$K278),IFERROR(IF([1]财务取数接口!$D$277=0,"",[1]财务取数接口!$D$277),""))</f>
        <v/>
      </c>
      <c r="E278" s="40" t="str">
        <f aca="false">IF($T$4=0,IF($L278="","",$L278),IFERROR(IF([1]财务取数接口!$E$277=0,"",[1]财务取数接口!$E$277),""))</f>
        <v/>
      </c>
      <c r="F278" s="41" t="str">
        <f aca="false">IF($T$4=0,IF($M278="","",$M278),IFERROR(IF([1]财务取数接口!$G$277=0,"",[1]财务取数接口!$G$277),""))</f>
        <v/>
      </c>
      <c r="G278" s="41" t="str">
        <f aca="false">IF($T$4=0,IF($N278="","",$N278),IFERROR(IF([1]财务取数接口!$H$277=0,"",[1]财务取数接口!$H$277),""))</f>
        <v/>
      </c>
      <c r="H278" s="39" t="str">
        <f aca="false">IF($T$4=0,IF($O278="","",$O278),IFERROR(IF([1]财务取数接口!$I$277=0,"",[1]财务取数接口!$I$277),""))</f>
        <v/>
      </c>
      <c r="I278" s="42"/>
      <c r="J278" s="43"/>
      <c r="K278" s="42"/>
      <c r="L278" s="42"/>
      <c r="M278" s="44"/>
      <c r="N278" s="44"/>
      <c r="O278" s="43"/>
      <c r="P278" s="45" t="n">
        <f aca="false">IF(AND($C278&lt;&gt;"",$C278&lt;&gt;"项目",OR(N($D278)&lt;&gt;0,N($E278)&lt;&gt;0,N($F278)&lt;&gt;0)),1,0)</f>
        <v>0</v>
      </c>
      <c r="Q278" s="45" t="n">
        <f aca="false">N(Q277)+$P278</f>
        <v>11</v>
      </c>
    </row>
    <row r="279" customFormat="false" ht="13.5" hidden="false" customHeight="false" outlineLevel="0" collapsed="false">
      <c r="A279" s="9" t="n">
        <v>278</v>
      </c>
      <c r="B279" s="40" t="str">
        <f aca="false">IF($T$4=0,IF($I279="","",$I279),IFERROR(IF([1]财务取数接口!$B$278=0,"",[1]财务取数接口!$B$278),""))</f>
        <v/>
      </c>
      <c r="C279" s="39" t="str">
        <f aca="false">IF($T$4=0,IF($J279="","",$J279),IFERROR(IF([1]财务取数接口!$C$278=0,"",[1]财务取数接口!$C$278),""))</f>
        <v/>
      </c>
      <c r="D279" s="40" t="str">
        <f aca="false">IF($T$4=0,IF($K279="","",$K279),IFERROR(IF([1]财务取数接口!$D$278=0,"",[1]财务取数接口!$D$278),""))</f>
        <v/>
      </c>
      <c r="E279" s="40" t="str">
        <f aca="false">IF($T$4=0,IF($L279="","",$L279),IFERROR(IF([1]财务取数接口!$E$278=0,"",[1]财务取数接口!$E$278),""))</f>
        <v/>
      </c>
      <c r="F279" s="41" t="str">
        <f aca="false">IF($T$4=0,IF($M279="","",$M279),IFERROR(IF([1]财务取数接口!$G$278=0,"",[1]财务取数接口!$G$278),""))</f>
        <v/>
      </c>
      <c r="G279" s="41" t="str">
        <f aca="false">IF($T$4=0,IF($N279="","",$N279),IFERROR(IF([1]财务取数接口!$H$278=0,"",[1]财务取数接口!$H$278),""))</f>
        <v/>
      </c>
      <c r="H279" s="39" t="str">
        <f aca="false">IF($T$4=0,IF($O279="","",$O279),IFERROR(IF([1]财务取数接口!$I$278=0,"",[1]财务取数接口!$I$278),""))</f>
        <v/>
      </c>
      <c r="I279" s="42"/>
      <c r="J279" s="43"/>
      <c r="K279" s="42"/>
      <c r="L279" s="42"/>
      <c r="M279" s="44"/>
      <c r="N279" s="44"/>
      <c r="O279" s="43"/>
      <c r="P279" s="45" t="n">
        <f aca="false">IF(AND($C279&lt;&gt;"",$C279&lt;&gt;"项目",OR(N($D279)&lt;&gt;0,N($E279)&lt;&gt;0,N($F279)&lt;&gt;0)),1,0)</f>
        <v>0</v>
      </c>
      <c r="Q279" s="45" t="n">
        <f aca="false">N(Q278)+$P279</f>
        <v>11</v>
      </c>
    </row>
    <row r="280" customFormat="false" ht="13.5" hidden="false" customHeight="false" outlineLevel="0" collapsed="false">
      <c r="A280" s="9" t="n">
        <v>279</v>
      </c>
      <c r="B280" s="40" t="str">
        <f aca="false">IF($T$4=0,IF($I280="","",$I280),IFERROR(IF([1]财务取数接口!$B$279=0,"",[1]财务取数接口!$B$279),""))</f>
        <v/>
      </c>
      <c r="C280" s="39" t="str">
        <f aca="false">IF($T$4=0,IF($J280="","",$J280),IFERROR(IF([1]财务取数接口!$C$279=0,"",[1]财务取数接口!$C$279),""))</f>
        <v/>
      </c>
      <c r="D280" s="40" t="str">
        <f aca="false">IF($T$4=0,IF($K280="","",$K280),IFERROR(IF([1]财务取数接口!$D$279=0,"",[1]财务取数接口!$D$279),""))</f>
        <v/>
      </c>
      <c r="E280" s="40" t="str">
        <f aca="false">IF($T$4=0,IF($L280="","",$L280),IFERROR(IF([1]财务取数接口!$E$279=0,"",[1]财务取数接口!$E$279),""))</f>
        <v/>
      </c>
      <c r="F280" s="41" t="str">
        <f aca="false">IF($T$4=0,IF($M280="","",$M280),IFERROR(IF([1]财务取数接口!$G$279=0,"",[1]财务取数接口!$G$279),""))</f>
        <v/>
      </c>
      <c r="G280" s="41" t="str">
        <f aca="false">IF($T$4=0,IF($N280="","",$N280),IFERROR(IF([1]财务取数接口!$H$279=0,"",[1]财务取数接口!$H$279),""))</f>
        <v/>
      </c>
      <c r="H280" s="39" t="str">
        <f aca="false">IF($T$4=0,IF($O280="","",$O280),IFERROR(IF([1]财务取数接口!$I$279=0,"",[1]财务取数接口!$I$279),""))</f>
        <v/>
      </c>
      <c r="I280" s="42"/>
      <c r="J280" s="43"/>
      <c r="K280" s="42"/>
      <c r="L280" s="42"/>
      <c r="M280" s="44"/>
      <c r="N280" s="44"/>
      <c r="O280" s="43"/>
      <c r="P280" s="45" t="n">
        <f aca="false">IF(AND($C280&lt;&gt;"",$C280&lt;&gt;"项目",OR(N($D280)&lt;&gt;0,N($E280)&lt;&gt;0,N($F280)&lt;&gt;0)),1,0)</f>
        <v>0</v>
      </c>
      <c r="Q280" s="45" t="n">
        <f aca="false">N(Q279)+$P280</f>
        <v>11</v>
      </c>
    </row>
    <row r="281" customFormat="false" ht="13.5" hidden="false" customHeight="false" outlineLevel="0" collapsed="false">
      <c r="A281" s="9" t="n">
        <v>280</v>
      </c>
      <c r="B281" s="40" t="str">
        <f aca="false">IF($T$4=0,IF($I281="","",$I281),IFERROR(IF([1]财务取数接口!$B$280=0,"",[1]财务取数接口!$B$280),""))</f>
        <v/>
      </c>
      <c r="C281" s="39" t="str">
        <f aca="false">IF($T$4=0,IF($J281="","",$J281),IFERROR(IF([1]财务取数接口!$C$280=0,"",[1]财务取数接口!$C$280),""))</f>
        <v/>
      </c>
      <c r="D281" s="40" t="str">
        <f aca="false">IF($T$4=0,IF($K281="","",$K281),IFERROR(IF([1]财务取数接口!$D$280=0,"",[1]财务取数接口!$D$280),""))</f>
        <v/>
      </c>
      <c r="E281" s="40" t="str">
        <f aca="false">IF($T$4=0,IF($L281="","",$L281),IFERROR(IF([1]财务取数接口!$E$280=0,"",[1]财务取数接口!$E$280),""))</f>
        <v/>
      </c>
      <c r="F281" s="41" t="str">
        <f aca="false">IF($T$4=0,IF($M281="","",$M281),IFERROR(IF([1]财务取数接口!$G$280=0,"",[1]财务取数接口!$G$280),""))</f>
        <v/>
      </c>
      <c r="G281" s="41" t="str">
        <f aca="false">IF($T$4=0,IF($N281="","",$N281),IFERROR(IF([1]财务取数接口!$H$280=0,"",[1]财务取数接口!$H$280),""))</f>
        <v/>
      </c>
      <c r="H281" s="39" t="str">
        <f aca="false">IF($T$4=0,IF($O281="","",$O281),IFERROR(IF([1]财务取数接口!$I$280=0,"",[1]财务取数接口!$I$280),""))</f>
        <v/>
      </c>
      <c r="I281" s="42"/>
      <c r="J281" s="43"/>
      <c r="K281" s="42"/>
      <c r="L281" s="42"/>
      <c r="M281" s="44"/>
      <c r="N281" s="44"/>
      <c r="O281" s="43"/>
      <c r="P281" s="45" t="n">
        <f aca="false">IF(AND($C281&lt;&gt;"",$C281&lt;&gt;"项目",OR(N($D281)&lt;&gt;0,N($E281)&lt;&gt;0,N($F281)&lt;&gt;0)),1,0)</f>
        <v>0</v>
      </c>
      <c r="Q281" s="45" t="n">
        <f aca="false">N(Q280)+$P281</f>
        <v>11</v>
      </c>
    </row>
    <row r="282" customFormat="false" ht="13.5" hidden="false" customHeight="false" outlineLevel="0" collapsed="false">
      <c r="A282" s="9" t="n">
        <v>281</v>
      </c>
      <c r="B282" s="40" t="str">
        <f aca="false">IF($T$4=0,IF($I282="","",$I282),IFERROR(IF([1]财务取数接口!$B$281=0,"",[1]财务取数接口!$B$281),""))</f>
        <v/>
      </c>
      <c r="C282" s="39" t="str">
        <f aca="false">IF($T$4=0,IF($J282="","",$J282),IFERROR(IF([1]财务取数接口!$C$281=0,"",[1]财务取数接口!$C$281),""))</f>
        <v/>
      </c>
      <c r="D282" s="40" t="str">
        <f aca="false">IF($T$4=0,IF($K282="","",$K282),IFERROR(IF([1]财务取数接口!$D$281=0,"",[1]财务取数接口!$D$281),""))</f>
        <v/>
      </c>
      <c r="E282" s="40" t="str">
        <f aca="false">IF($T$4=0,IF($L282="","",$L282),IFERROR(IF([1]财务取数接口!$E$281=0,"",[1]财务取数接口!$E$281),""))</f>
        <v/>
      </c>
      <c r="F282" s="41" t="str">
        <f aca="false">IF($T$4=0,IF($M282="","",$M282),IFERROR(IF([1]财务取数接口!$G$281=0,"",[1]财务取数接口!$G$281),""))</f>
        <v/>
      </c>
      <c r="G282" s="41" t="str">
        <f aca="false">IF($T$4=0,IF($N282="","",$N282),IFERROR(IF([1]财务取数接口!$H$281=0,"",[1]财务取数接口!$H$281),""))</f>
        <v/>
      </c>
      <c r="H282" s="39" t="str">
        <f aca="false">IF($T$4=0,IF($O282="","",$O282),IFERROR(IF([1]财务取数接口!$I$281=0,"",[1]财务取数接口!$I$281),""))</f>
        <v/>
      </c>
      <c r="I282" s="42"/>
      <c r="J282" s="43"/>
      <c r="K282" s="42"/>
      <c r="L282" s="42"/>
      <c r="M282" s="44"/>
      <c r="N282" s="44"/>
      <c r="O282" s="43"/>
      <c r="P282" s="45" t="n">
        <f aca="false">IF(AND($C282&lt;&gt;"",$C282&lt;&gt;"项目",OR(N($D282)&lt;&gt;0,N($E282)&lt;&gt;0,N($F282)&lt;&gt;0)),1,0)</f>
        <v>0</v>
      </c>
      <c r="Q282" s="45" t="n">
        <f aca="false">N(Q281)+$P282</f>
        <v>11</v>
      </c>
    </row>
    <row r="283" customFormat="false" ht="13.5" hidden="false" customHeight="false" outlineLevel="0" collapsed="false">
      <c r="A283" s="9" t="n">
        <v>282</v>
      </c>
      <c r="B283" s="40" t="str">
        <f aca="false">IF($T$4=0,IF($I283="","",$I283),IFERROR(IF([1]财务取数接口!$B$282=0,"",[1]财务取数接口!$B$282),""))</f>
        <v/>
      </c>
      <c r="C283" s="39" t="str">
        <f aca="false">IF($T$4=0,IF($J283="","",$J283),IFERROR(IF([1]财务取数接口!$C$282=0,"",[1]财务取数接口!$C$282),""))</f>
        <v/>
      </c>
      <c r="D283" s="40" t="str">
        <f aca="false">IF($T$4=0,IF($K283="","",$K283),IFERROR(IF([1]财务取数接口!$D$282=0,"",[1]财务取数接口!$D$282),""))</f>
        <v/>
      </c>
      <c r="E283" s="40" t="str">
        <f aca="false">IF($T$4=0,IF($L283="","",$L283),IFERROR(IF([1]财务取数接口!$E$282=0,"",[1]财务取数接口!$E$282),""))</f>
        <v/>
      </c>
      <c r="F283" s="41" t="str">
        <f aca="false">IF($T$4=0,IF($M283="","",$M283),IFERROR(IF([1]财务取数接口!$G$282=0,"",[1]财务取数接口!$G$282),""))</f>
        <v/>
      </c>
      <c r="G283" s="41" t="str">
        <f aca="false">IF($T$4=0,IF($N283="","",$N283),IFERROR(IF([1]财务取数接口!$H$282=0,"",[1]财务取数接口!$H$282),""))</f>
        <v/>
      </c>
      <c r="H283" s="39" t="str">
        <f aca="false">IF($T$4=0,IF($O283="","",$O283),IFERROR(IF([1]财务取数接口!$I$282=0,"",[1]财务取数接口!$I$282),""))</f>
        <v/>
      </c>
      <c r="I283" s="42"/>
      <c r="J283" s="43"/>
      <c r="K283" s="42"/>
      <c r="L283" s="42"/>
      <c r="M283" s="44"/>
      <c r="N283" s="44"/>
      <c r="O283" s="43"/>
      <c r="P283" s="45" t="n">
        <f aca="false">IF(AND($C283&lt;&gt;"",$C283&lt;&gt;"项目",OR(N($D283)&lt;&gt;0,N($E283)&lt;&gt;0,N($F283)&lt;&gt;0)),1,0)</f>
        <v>0</v>
      </c>
      <c r="Q283" s="45" t="n">
        <f aca="false">N(Q282)+$P283</f>
        <v>11</v>
      </c>
    </row>
    <row r="284" customFormat="false" ht="13.5" hidden="false" customHeight="false" outlineLevel="0" collapsed="false">
      <c r="A284" s="9" t="n">
        <v>283</v>
      </c>
      <c r="B284" s="40" t="str">
        <f aca="false">IF($T$4=0,IF($I284="","",$I284),IFERROR(IF([1]财务取数接口!$B$283=0,"",[1]财务取数接口!$B$283),""))</f>
        <v/>
      </c>
      <c r="C284" s="39" t="str">
        <f aca="false">IF($T$4=0,IF($J284="","",$J284),IFERROR(IF([1]财务取数接口!$C$283=0,"",[1]财务取数接口!$C$283),""))</f>
        <v/>
      </c>
      <c r="D284" s="40" t="str">
        <f aca="false">IF($T$4=0,IF($K284="","",$K284),IFERROR(IF([1]财务取数接口!$D$283=0,"",[1]财务取数接口!$D$283),""))</f>
        <v/>
      </c>
      <c r="E284" s="40" t="str">
        <f aca="false">IF($T$4=0,IF($L284="","",$L284),IFERROR(IF([1]财务取数接口!$E$283=0,"",[1]财务取数接口!$E$283),""))</f>
        <v/>
      </c>
      <c r="F284" s="41" t="str">
        <f aca="false">IF($T$4=0,IF($M284="","",$M284),IFERROR(IF([1]财务取数接口!$G$283=0,"",[1]财务取数接口!$G$283),""))</f>
        <v/>
      </c>
      <c r="G284" s="41" t="str">
        <f aca="false">IF($T$4=0,IF($N284="","",$N284),IFERROR(IF([1]财务取数接口!$H$283=0,"",[1]财务取数接口!$H$283),""))</f>
        <v/>
      </c>
      <c r="H284" s="39" t="str">
        <f aca="false">IF($T$4=0,IF($O284="","",$O284),IFERROR(IF([1]财务取数接口!$I$283=0,"",[1]财务取数接口!$I$283),""))</f>
        <v/>
      </c>
      <c r="I284" s="42"/>
      <c r="J284" s="43"/>
      <c r="K284" s="42"/>
      <c r="L284" s="42"/>
      <c r="M284" s="44"/>
      <c r="N284" s="44"/>
      <c r="O284" s="43"/>
      <c r="P284" s="45" t="n">
        <f aca="false">IF(AND($C284&lt;&gt;"",$C284&lt;&gt;"项目",OR(N($D284)&lt;&gt;0,N($E284)&lt;&gt;0,N($F284)&lt;&gt;0)),1,0)</f>
        <v>0</v>
      </c>
      <c r="Q284" s="45" t="n">
        <f aca="false">N(Q283)+$P284</f>
        <v>11</v>
      </c>
    </row>
    <row r="285" customFormat="false" ht="13.5" hidden="false" customHeight="false" outlineLevel="0" collapsed="false">
      <c r="A285" s="9" t="n">
        <v>284</v>
      </c>
      <c r="B285" s="40" t="str">
        <f aca="false">IF($T$4=0,IF($I285="","",$I285),IFERROR(IF([1]财务取数接口!$B$284=0,"",[1]财务取数接口!$B$284),""))</f>
        <v/>
      </c>
      <c r="C285" s="39" t="str">
        <f aca="false">IF($T$4=0,IF($J285="","",$J285),IFERROR(IF([1]财务取数接口!$C$284=0,"",[1]财务取数接口!$C$284),""))</f>
        <v/>
      </c>
      <c r="D285" s="40" t="str">
        <f aca="false">IF($T$4=0,IF($K285="","",$K285),IFERROR(IF([1]财务取数接口!$D$284=0,"",[1]财务取数接口!$D$284),""))</f>
        <v/>
      </c>
      <c r="E285" s="40" t="str">
        <f aca="false">IF($T$4=0,IF($L285="","",$L285),IFERROR(IF([1]财务取数接口!$E$284=0,"",[1]财务取数接口!$E$284),""))</f>
        <v/>
      </c>
      <c r="F285" s="41" t="str">
        <f aca="false">IF($T$4=0,IF($M285="","",$M285),IFERROR(IF([1]财务取数接口!$G$284=0,"",[1]财务取数接口!$G$284),""))</f>
        <v/>
      </c>
      <c r="G285" s="41" t="str">
        <f aca="false">IF($T$4=0,IF($N285="","",$N285),IFERROR(IF([1]财务取数接口!$H$284=0,"",[1]财务取数接口!$H$284),""))</f>
        <v/>
      </c>
      <c r="H285" s="39" t="str">
        <f aca="false">IF($T$4=0,IF($O285="","",$O285),IFERROR(IF([1]财务取数接口!$I$284=0,"",[1]财务取数接口!$I$284),""))</f>
        <v/>
      </c>
      <c r="I285" s="42"/>
      <c r="J285" s="43"/>
      <c r="K285" s="42"/>
      <c r="L285" s="42"/>
      <c r="M285" s="44"/>
      <c r="N285" s="44"/>
      <c r="O285" s="43"/>
      <c r="P285" s="45" t="n">
        <f aca="false">IF(AND($C285&lt;&gt;"",$C285&lt;&gt;"项目",OR(N($D285)&lt;&gt;0,N($E285)&lt;&gt;0,N($F285)&lt;&gt;0)),1,0)</f>
        <v>0</v>
      </c>
      <c r="Q285" s="45" t="n">
        <f aca="false">N(Q284)+$P285</f>
        <v>11</v>
      </c>
    </row>
    <row r="286" customFormat="false" ht="13.5" hidden="false" customHeight="false" outlineLevel="0" collapsed="false">
      <c r="A286" s="9" t="n">
        <v>285</v>
      </c>
      <c r="B286" s="40" t="str">
        <f aca="false">IF($T$4=0,IF($I286="","",$I286),IFERROR(IF([1]财务取数接口!$B$285=0,"",[1]财务取数接口!$B$285),""))</f>
        <v/>
      </c>
      <c r="C286" s="39" t="str">
        <f aca="false">IF($T$4=0,IF($J286="","",$J286),IFERROR(IF([1]财务取数接口!$C$285=0,"",[1]财务取数接口!$C$285),""))</f>
        <v/>
      </c>
      <c r="D286" s="40" t="str">
        <f aca="false">IF($T$4=0,IF($K286="","",$K286),IFERROR(IF([1]财务取数接口!$D$285=0,"",[1]财务取数接口!$D$285),""))</f>
        <v/>
      </c>
      <c r="E286" s="40" t="str">
        <f aca="false">IF($T$4=0,IF($L286="","",$L286),IFERROR(IF([1]财务取数接口!$E$285=0,"",[1]财务取数接口!$E$285),""))</f>
        <v/>
      </c>
      <c r="F286" s="41" t="str">
        <f aca="false">IF($T$4=0,IF($M286="","",$M286),IFERROR(IF([1]财务取数接口!$G$285=0,"",[1]财务取数接口!$G$285),""))</f>
        <v/>
      </c>
      <c r="G286" s="41" t="str">
        <f aca="false">IF($T$4=0,IF($N286="","",$N286),IFERROR(IF([1]财务取数接口!$H$285=0,"",[1]财务取数接口!$H$285),""))</f>
        <v/>
      </c>
      <c r="H286" s="39" t="str">
        <f aca="false">IF($T$4=0,IF($O286="","",$O286),IFERROR(IF([1]财务取数接口!$I$285=0,"",[1]财务取数接口!$I$285),""))</f>
        <v/>
      </c>
      <c r="I286" s="42"/>
      <c r="J286" s="43"/>
      <c r="K286" s="42"/>
      <c r="L286" s="42"/>
      <c r="M286" s="44"/>
      <c r="N286" s="44"/>
      <c r="O286" s="43"/>
      <c r="P286" s="45" t="n">
        <f aca="false">IF(AND($C286&lt;&gt;"",$C286&lt;&gt;"项目",OR(N($D286)&lt;&gt;0,N($E286)&lt;&gt;0,N($F286)&lt;&gt;0)),1,0)</f>
        <v>0</v>
      </c>
      <c r="Q286" s="45" t="n">
        <f aca="false">N(Q285)+$P286</f>
        <v>11</v>
      </c>
    </row>
    <row r="287" customFormat="false" ht="13.5" hidden="false" customHeight="false" outlineLevel="0" collapsed="false">
      <c r="A287" s="9" t="n">
        <v>286</v>
      </c>
      <c r="B287" s="40" t="str">
        <f aca="false">IF($T$4=0,IF($I287="","",$I287),IFERROR(IF([1]财务取数接口!$B$286=0,"",[1]财务取数接口!$B$286),""))</f>
        <v/>
      </c>
      <c r="C287" s="39" t="str">
        <f aca="false">IF($T$4=0,IF($J287="","",$J287),IFERROR(IF([1]财务取数接口!$C$286=0,"",[1]财务取数接口!$C$286),""))</f>
        <v/>
      </c>
      <c r="D287" s="40" t="str">
        <f aca="false">IF($T$4=0,IF($K287="","",$K287),IFERROR(IF([1]财务取数接口!$D$286=0,"",[1]财务取数接口!$D$286),""))</f>
        <v/>
      </c>
      <c r="E287" s="40" t="str">
        <f aca="false">IF($T$4=0,IF($L287="","",$L287),IFERROR(IF([1]财务取数接口!$E$286=0,"",[1]财务取数接口!$E$286),""))</f>
        <v/>
      </c>
      <c r="F287" s="41" t="str">
        <f aca="false">IF($T$4=0,IF($M287="","",$M287),IFERROR(IF([1]财务取数接口!$G$286=0,"",[1]财务取数接口!$G$286),""))</f>
        <v/>
      </c>
      <c r="G287" s="41" t="str">
        <f aca="false">IF($T$4=0,IF($N287="","",$N287),IFERROR(IF([1]财务取数接口!$H$286=0,"",[1]财务取数接口!$H$286),""))</f>
        <v/>
      </c>
      <c r="H287" s="39" t="str">
        <f aca="false">IF($T$4=0,IF($O287="","",$O287),IFERROR(IF([1]财务取数接口!$I$286=0,"",[1]财务取数接口!$I$286),""))</f>
        <v/>
      </c>
      <c r="I287" s="42"/>
      <c r="J287" s="43"/>
      <c r="K287" s="42"/>
      <c r="L287" s="42"/>
      <c r="M287" s="44"/>
      <c r="N287" s="44"/>
      <c r="O287" s="43"/>
      <c r="P287" s="45" t="n">
        <f aca="false">IF(AND($C287&lt;&gt;"",$C287&lt;&gt;"项目",OR(N($D287)&lt;&gt;0,N($E287)&lt;&gt;0,N($F287)&lt;&gt;0)),1,0)</f>
        <v>0</v>
      </c>
      <c r="Q287" s="45" t="n">
        <f aca="false">N(Q286)+$P287</f>
        <v>11</v>
      </c>
    </row>
    <row r="288" customFormat="false" ht="13.5" hidden="false" customHeight="false" outlineLevel="0" collapsed="false">
      <c r="A288" s="9" t="n">
        <v>287</v>
      </c>
      <c r="B288" s="40" t="str">
        <f aca="false">IF($T$4=0,IF($I288="","",$I288),IFERROR(IF([1]财务取数接口!$B$287=0,"",[1]财务取数接口!$B$287),""))</f>
        <v/>
      </c>
      <c r="C288" s="39" t="str">
        <f aca="false">IF($T$4=0,IF($J288="","",$J288),IFERROR(IF([1]财务取数接口!$C$287=0,"",[1]财务取数接口!$C$287),""))</f>
        <v/>
      </c>
      <c r="D288" s="40" t="str">
        <f aca="false">IF($T$4=0,IF($K288="","",$K288),IFERROR(IF([1]财务取数接口!$D$287=0,"",[1]财务取数接口!$D$287),""))</f>
        <v/>
      </c>
      <c r="E288" s="40" t="str">
        <f aca="false">IF($T$4=0,IF($L288="","",$L288),IFERROR(IF([1]财务取数接口!$E$287=0,"",[1]财务取数接口!$E$287),""))</f>
        <v/>
      </c>
      <c r="F288" s="41" t="str">
        <f aca="false">IF($T$4=0,IF($M288="","",$M288),IFERROR(IF([1]财务取数接口!$G$287=0,"",[1]财务取数接口!$G$287),""))</f>
        <v/>
      </c>
      <c r="G288" s="41" t="str">
        <f aca="false">IF($T$4=0,IF($N288="","",$N288),IFERROR(IF([1]财务取数接口!$H$287=0,"",[1]财务取数接口!$H$287),""))</f>
        <v/>
      </c>
      <c r="H288" s="39" t="str">
        <f aca="false">IF($T$4=0,IF($O288="","",$O288),IFERROR(IF([1]财务取数接口!$I$287=0,"",[1]财务取数接口!$I$287),""))</f>
        <v/>
      </c>
      <c r="I288" s="42"/>
      <c r="J288" s="43"/>
      <c r="K288" s="42"/>
      <c r="L288" s="42"/>
      <c r="M288" s="44"/>
      <c r="N288" s="44"/>
      <c r="O288" s="43"/>
      <c r="P288" s="45" t="n">
        <f aca="false">IF(AND($C288&lt;&gt;"",$C288&lt;&gt;"项目",OR(N($D288)&lt;&gt;0,N($E288)&lt;&gt;0,N($F288)&lt;&gt;0)),1,0)</f>
        <v>0</v>
      </c>
      <c r="Q288" s="45" t="n">
        <f aca="false">N(Q287)+$P288</f>
        <v>11</v>
      </c>
    </row>
    <row r="289" customFormat="false" ht="13.5" hidden="false" customHeight="false" outlineLevel="0" collapsed="false">
      <c r="A289" s="9" t="n">
        <v>288</v>
      </c>
      <c r="B289" s="40" t="str">
        <f aca="false">IF($T$4=0,IF($I289="","",$I289),IFERROR(IF([1]财务取数接口!$B$288=0,"",[1]财务取数接口!$B$288),""))</f>
        <v/>
      </c>
      <c r="C289" s="39" t="str">
        <f aca="false">IF($T$4=0,IF($J289="","",$J289),IFERROR(IF([1]财务取数接口!$C$288=0,"",[1]财务取数接口!$C$288),""))</f>
        <v/>
      </c>
      <c r="D289" s="40" t="str">
        <f aca="false">IF($T$4=0,IF($K289="","",$K289),IFERROR(IF([1]财务取数接口!$D$288=0,"",[1]财务取数接口!$D$288),""))</f>
        <v/>
      </c>
      <c r="E289" s="40" t="str">
        <f aca="false">IF($T$4=0,IF($L289="","",$L289),IFERROR(IF([1]财务取数接口!$E$288=0,"",[1]财务取数接口!$E$288),""))</f>
        <v/>
      </c>
      <c r="F289" s="41" t="str">
        <f aca="false">IF($T$4=0,IF($M289="","",$M289),IFERROR(IF([1]财务取数接口!$G$288=0,"",[1]财务取数接口!$G$288),""))</f>
        <v/>
      </c>
      <c r="G289" s="41" t="str">
        <f aca="false">IF($T$4=0,IF($N289="","",$N289),IFERROR(IF([1]财务取数接口!$H$288=0,"",[1]财务取数接口!$H$288),""))</f>
        <v/>
      </c>
      <c r="H289" s="39" t="str">
        <f aca="false">IF($T$4=0,IF($O289="","",$O289),IFERROR(IF([1]财务取数接口!$I$288=0,"",[1]财务取数接口!$I$288),""))</f>
        <v/>
      </c>
      <c r="I289" s="42"/>
      <c r="J289" s="43"/>
      <c r="K289" s="42"/>
      <c r="L289" s="42"/>
      <c r="M289" s="44"/>
      <c r="N289" s="44"/>
      <c r="O289" s="43"/>
      <c r="P289" s="45" t="n">
        <f aca="false">IF(AND($C289&lt;&gt;"",$C289&lt;&gt;"项目",OR(N($D289)&lt;&gt;0,N($E289)&lt;&gt;0,N($F289)&lt;&gt;0)),1,0)</f>
        <v>0</v>
      </c>
      <c r="Q289" s="45" t="n">
        <f aca="false">N(Q288)+$P289</f>
        <v>11</v>
      </c>
    </row>
    <row r="290" customFormat="false" ht="13.5" hidden="false" customHeight="false" outlineLevel="0" collapsed="false">
      <c r="A290" s="9" t="n">
        <v>289</v>
      </c>
      <c r="B290" s="40" t="str">
        <f aca="false">IF($T$4=0,IF($I290="","",$I290),IFERROR(IF([1]财务取数接口!$B$289=0,"",[1]财务取数接口!$B$289),""))</f>
        <v/>
      </c>
      <c r="C290" s="39" t="str">
        <f aca="false">IF($T$4=0,IF($J290="","",$J290),IFERROR(IF([1]财务取数接口!$C$289=0,"",[1]财务取数接口!$C$289),""))</f>
        <v/>
      </c>
      <c r="D290" s="40" t="str">
        <f aca="false">IF($T$4=0,IF($K290="","",$K290),IFERROR(IF([1]财务取数接口!$D$289=0,"",[1]财务取数接口!$D$289),""))</f>
        <v/>
      </c>
      <c r="E290" s="40" t="str">
        <f aca="false">IF($T$4=0,IF($L290="","",$L290),IFERROR(IF([1]财务取数接口!$E$289=0,"",[1]财务取数接口!$E$289),""))</f>
        <v/>
      </c>
      <c r="F290" s="41" t="str">
        <f aca="false">IF($T$4=0,IF($M290="","",$M290),IFERROR(IF([1]财务取数接口!$G$289=0,"",[1]财务取数接口!$G$289),""))</f>
        <v/>
      </c>
      <c r="G290" s="41" t="str">
        <f aca="false">IF($T$4=0,IF($N290="","",$N290),IFERROR(IF([1]财务取数接口!$H$289=0,"",[1]财务取数接口!$H$289),""))</f>
        <v/>
      </c>
      <c r="H290" s="39" t="str">
        <f aca="false">IF($T$4=0,IF($O290="","",$O290),IFERROR(IF([1]财务取数接口!$I$289=0,"",[1]财务取数接口!$I$289),""))</f>
        <v/>
      </c>
      <c r="I290" s="42"/>
      <c r="J290" s="43"/>
      <c r="K290" s="42"/>
      <c r="L290" s="42"/>
      <c r="M290" s="44"/>
      <c r="N290" s="44"/>
      <c r="O290" s="43"/>
      <c r="P290" s="45" t="n">
        <f aca="false">IF(AND($C290&lt;&gt;"",$C290&lt;&gt;"项目",OR(N($D290)&lt;&gt;0,N($E290)&lt;&gt;0,N($F290)&lt;&gt;0)),1,0)</f>
        <v>0</v>
      </c>
      <c r="Q290" s="45" t="n">
        <f aca="false">N(Q289)+$P290</f>
        <v>11</v>
      </c>
    </row>
    <row r="291" customFormat="false" ht="13.5" hidden="false" customHeight="false" outlineLevel="0" collapsed="false">
      <c r="A291" s="9" t="n">
        <v>290</v>
      </c>
      <c r="B291" s="40" t="str">
        <f aca="false">IF($T$4=0,IF($I291="","",$I291),IFERROR(IF([1]财务取数接口!$B$290=0,"",[1]财务取数接口!$B$290),""))</f>
        <v/>
      </c>
      <c r="C291" s="39" t="str">
        <f aca="false">IF($T$4=0,IF($J291="","",$J291),IFERROR(IF([1]财务取数接口!$C$290=0,"",[1]财务取数接口!$C$290),""))</f>
        <v/>
      </c>
      <c r="D291" s="40" t="str">
        <f aca="false">IF($T$4=0,IF($K291="","",$K291),IFERROR(IF([1]财务取数接口!$D$290=0,"",[1]财务取数接口!$D$290),""))</f>
        <v/>
      </c>
      <c r="E291" s="40" t="str">
        <f aca="false">IF($T$4=0,IF($L291="","",$L291),IFERROR(IF([1]财务取数接口!$E$290=0,"",[1]财务取数接口!$E$290),""))</f>
        <v/>
      </c>
      <c r="F291" s="41" t="str">
        <f aca="false">IF($T$4=0,IF($M291="","",$M291),IFERROR(IF([1]财务取数接口!$G$290=0,"",[1]财务取数接口!$G$290),""))</f>
        <v/>
      </c>
      <c r="G291" s="41" t="str">
        <f aca="false">IF($T$4=0,IF($N291="","",$N291),IFERROR(IF([1]财务取数接口!$H$290=0,"",[1]财务取数接口!$H$290),""))</f>
        <v/>
      </c>
      <c r="H291" s="39" t="str">
        <f aca="false">IF($T$4=0,IF($O291="","",$O291),IFERROR(IF([1]财务取数接口!$I$290=0,"",[1]财务取数接口!$I$290),""))</f>
        <v/>
      </c>
      <c r="I291" s="42"/>
      <c r="J291" s="43"/>
      <c r="K291" s="42"/>
      <c r="L291" s="42"/>
      <c r="M291" s="44"/>
      <c r="N291" s="44"/>
      <c r="O291" s="43"/>
      <c r="P291" s="45" t="n">
        <f aca="false">IF(AND($C291&lt;&gt;"",$C291&lt;&gt;"项目",OR(N($D291)&lt;&gt;0,N($E291)&lt;&gt;0,N($F291)&lt;&gt;0)),1,0)</f>
        <v>0</v>
      </c>
      <c r="Q291" s="45" t="n">
        <f aca="false">N(Q290)+$P291</f>
        <v>11</v>
      </c>
    </row>
    <row r="292" customFormat="false" ht="13.5" hidden="false" customHeight="false" outlineLevel="0" collapsed="false">
      <c r="A292" s="9" t="n">
        <v>291</v>
      </c>
      <c r="B292" s="40" t="str">
        <f aca="false">IF($T$4=0,IF($I292="","",$I292),IFERROR(IF([1]财务取数接口!$B$291=0,"",[1]财务取数接口!$B$291),""))</f>
        <v/>
      </c>
      <c r="C292" s="39" t="str">
        <f aca="false">IF($T$4=0,IF($J292="","",$J292),IFERROR(IF([1]财务取数接口!$C$291=0,"",[1]财务取数接口!$C$291),""))</f>
        <v/>
      </c>
      <c r="D292" s="40" t="str">
        <f aca="false">IF($T$4=0,IF($K292="","",$K292),IFERROR(IF([1]财务取数接口!$D$291=0,"",[1]财务取数接口!$D$291),""))</f>
        <v/>
      </c>
      <c r="E292" s="40" t="str">
        <f aca="false">IF($T$4=0,IF($L292="","",$L292),IFERROR(IF([1]财务取数接口!$E$291=0,"",[1]财务取数接口!$E$291),""))</f>
        <v/>
      </c>
      <c r="F292" s="41" t="str">
        <f aca="false">IF($T$4=0,IF($M292="","",$M292),IFERROR(IF([1]财务取数接口!$G$291=0,"",[1]财务取数接口!$G$291),""))</f>
        <v/>
      </c>
      <c r="G292" s="41" t="str">
        <f aca="false">IF($T$4=0,IF($N292="","",$N292),IFERROR(IF([1]财务取数接口!$H$291=0,"",[1]财务取数接口!$H$291),""))</f>
        <v/>
      </c>
      <c r="H292" s="39" t="str">
        <f aca="false">IF($T$4=0,IF($O292="","",$O292),IFERROR(IF([1]财务取数接口!$I$291=0,"",[1]财务取数接口!$I$291),""))</f>
        <v/>
      </c>
      <c r="I292" s="42"/>
      <c r="J292" s="43"/>
      <c r="K292" s="42"/>
      <c r="L292" s="42"/>
      <c r="M292" s="44"/>
      <c r="N292" s="44"/>
      <c r="O292" s="43"/>
      <c r="P292" s="45" t="n">
        <f aca="false">IF(AND($C292&lt;&gt;"",$C292&lt;&gt;"项目",OR(N($D292)&lt;&gt;0,N($E292)&lt;&gt;0,N($F292)&lt;&gt;0)),1,0)</f>
        <v>0</v>
      </c>
      <c r="Q292" s="45" t="n">
        <f aca="false">N(Q291)+$P292</f>
        <v>11</v>
      </c>
    </row>
    <row r="293" customFormat="false" ht="13.5" hidden="false" customHeight="false" outlineLevel="0" collapsed="false">
      <c r="A293" s="9" t="n">
        <v>292</v>
      </c>
      <c r="B293" s="40" t="str">
        <f aca="false">IF($T$4=0,IF($I293="","",$I293),IFERROR(IF([1]财务取数接口!$B$292=0,"",[1]财务取数接口!$B$292),""))</f>
        <v/>
      </c>
      <c r="C293" s="39" t="str">
        <f aca="false">IF($T$4=0,IF($J293="","",$J293),IFERROR(IF([1]财务取数接口!$C$292=0,"",[1]财务取数接口!$C$292),""))</f>
        <v/>
      </c>
      <c r="D293" s="40" t="str">
        <f aca="false">IF($T$4=0,IF($K293="","",$K293),IFERROR(IF([1]财务取数接口!$D$292=0,"",[1]财务取数接口!$D$292),""))</f>
        <v/>
      </c>
      <c r="E293" s="40" t="str">
        <f aca="false">IF($T$4=0,IF($L293="","",$L293),IFERROR(IF([1]财务取数接口!$E$292=0,"",[1]财务取数接口!$E$292),""))</f>
        <v/>
      </c>
      <c r="F293" s="41" t="str">
        <f aca="false">IF($T$4=0,IF($M293="","",$M293),IFERROR(IF([1]财务取数接口!$G$292=0,"",[1]财务取数接口!$G$292),""))</f>
        <v/>
      </c>
      <c r="G293" s="41" t="str">
        <f aca="false">IF($T$4=0,IF($N293="","",$N293),IFERROR(IF([1]财务取数接口!$H$292=0,"",[1]财务取数接口!$H$292),""))</f>
        <v/>
      </c>
      <c r="H293" s="39" t="str">
        <f aca="false">IF($T$4=0,IF($O293="","",$O293),IFERROR(IF([1]财务取数接口!$I$292=0,"",[1]财务取数接口!$I$292),""))</f>
        <v/>
      </c>
      <c r="I293" s="42"/>
      <c r="J293" s="43"/>
      <c r="K293" s="42"/>
      <c r="L293" s="42"/>
      <c r="M293" s="44"/>
      <c r="N293" s="44"/>
      <c r="O293" s="43"/>
      <c r="P293" s="45" t="n">
        <f aca="false">IF(AND($C293&lt;&gt;"",$C293&lt;&gt;"项目",OR(N($D293)&lt;&gt;0,N($E293)&lt;&gt;0,N($F293)&lt;&gt;0)),1,0)</f>
        <v>0</v>
      </c>
      <c r="Q293" s="45" t="n">
        <f aca="false">N(Q292)+$P293</f>
        <v>11</v>
      </c>
    </row>
    <row r="294" customFormat="false" ht="13.5" hidden="false" customHeight="false" outlineLevel="0" collapsed="false">
      <c r="A294" s="9" t="n">
        <v>293</v>
      </c>
      <c r="B294" s="40" t="str">
        <f aca="false">IF($T$4=0,IF($I294="","",$I294),IFERROR(IF([1]财务取数接口!$B$293=0,"",[1]财务取数接口!$B$293),""))</f>
        <v/>
      </c>
      <c r="C294" s="39" t="str">
        <f aca="false">IF($T$4=0,IF($J294="","",$J294),IFERROR(IF([1]财务取数接口!$C$293=0,"",[1]财务取数接口!$C$293),""))</f>
        <v/>
      </c>
      <c r="D294" s="40" t="str">
        <f aca="false">IF($T$4=0,IF($K294="","",$K294),IFERROR(IF([1]财务取数接口!$D$293=0,"",[1]财务取数接口!$D$293),""))</f>
        <v/>
      </c>
      <c r="E294" s="40" t="str">
        <f aca="false">IF($T$4=0,IF($L294="","",$L294),IFERROR(IF([1]财务取数接口!$E$293=0,"",[1]财务取数接口!$E$293),""))</f>
        <v/>
      </c>
      <c r="F294" s="41" t="str">
        <f aca="false">IF($T$4=0,IF($M294="","",$M294),IFERROR(IF([1]财务取数接口!$G$293=0,"",[1]财务取数接口!$G$293),""))</f>
        <v/>
      </c>
      <c r="G294" s="41" t="str">
        <f aca="false">IF($T$4=0,IF($N294="","",$N294),IFERROR(IF([1]财务取数接口!$H$293=0,"",[1]财务取数接口!$H$293),""))</f>
        <v/>
      </c>
      <c r="H294" s="39" t="str">
        <f aca="false">IF($T$4=0,IF($O294="","",$O294),IFERROR(IF([1]财务取数接口!$I$293=0,"",[1]财务取数接口!$I$293),""))</f>
        <v/>
      </c>
      <c r="I294" s="42"/>
      <c r="J294" s="43"/>
      <c r="K294" s="42"/>
      <c r="L294" s="42"/>
      <c r="M294" s="44"/>
      <c r="N294" s="44"/>
      <c r="O294" s="43"/>
      <c r="P294" s="45" t="n">
        <f aca="false">IF(AND($C294&lt;&gt;"",$C294&lt;&gt;"项目",OR(N($D294)&lt;&gt;0,N($E294)&lt;&gt;0,N($F294)&lt;&gt;0)),1,0)</f>
        <v>0</v>
      </c>
      <c r="Q294" s="45" t="n">
        <f aca="false">N(Q293)+$P294</f>
        <v>11</v>
      </c>
    </row>
    <row r="295" customFormat="false" ht="13.5" hidden="false" customHeight="false" outlineLevel="0" collapsed="false">
      <c r="A295" s="9" t="n">
        <v>294</v>
      </c>
      <c r="B295" s="40" t="str">
        <f aca="false">IF($T$4=0,IF($I295="","",$I295),IFERROR(IF([1]财务取数接口!$B$294=0,"",[1]财务取数接口!$B$294),""))</f>
        <v/>
      </c>
      <c r="C295" s="39" t="str">
        <f aca="false">IF($T$4=0,IF($J295="","",$J295),IFERROR(IF([1]财务取数接口!$C$294=0,"",[1]财务取数接口!$C$294),""))</f>
        <v/>
      </c>
      <c r="D295" s="40" t="str">
        <f aca="false">IF($T$4=0,IF($K295="","",$K295),IFERROR(IF([1]财务取数接口!$D$294=0,"",[1]财务取数接口!$D$294),""))</f>
        <v/>
      </c>
      <c r="E295" s="40" t="str">
        <f aca="false">IF($T$4=0,IF($L295="","",$L295),IFERROR(IF([1]财务取数接口!$E$294=0,"",[1]财务取数接口!$E$294),""))</f>
        <v/>
      </c>
      <c r="F295" s="41" t="str">
        <f aca="false">IF($T$4=0,IF($M295="","",$M295),IFERROR(IF([1]财务取数接口!$G$294=0,"",[1]财务取数接口!$G$294),""))</f>
        <v/>
      </c>
      <c r="G295" s="41" t="str">
        <f aca="false">IF($T$4=0,IF($N295="","",$N295),IFERROR(IF([1]财务取数接口!$H$294=0,"",[1]财务取数接口!$H$294),""))</f>
        <v/>
      </c>
      <c r="H295" s="39" t="str">
        <f aca="false">IF($T$4=0,IF($O295="","",$O295),IFERROR(IF([1]财务取数接口!$I$294=0,"",[1]财务取数接口!$I$294),""))</f>
        <v/>
      </c>
      <c r="I295" s="42"/>
      <c r="J295" s="43"/>
      <c r="K295" s="42"/>
      <c r="L295" s="42"/>
      <c r="M295" s="44"/>
      <c r="N295" s="44"/>
      <c r="O295" s="43"/>
      <c r="P295" s="45" t="n">
        <f aca="false">IF(AND($C295&lt;&gt;"",$C295&lt;&gt;"项目",OR(N($D295)&lt;&gt;0,N($E295)&lt;&gt;0,N($F295)&lt;&gt;0)),1,0)</f>
        <v>0</v>
      </c>
      <c r="Q295" s="45" t="n">
        <f aca="false">N(Q294)+$P295</f>
        <v>11</v>
      </c>
    </row>
    <row r="296" customFormat="false" ht="13.5" hidden="false" customHeight="false" outlineLevel="0" collapsed="false">
      <c r="A296" s="9" t="n">
        <v>295</v>
      </c>
      <c r="B296" s="40" t="str">
        <f aca="false">IF($T$4=0,IF($I296="","",$I296),IFERROR(IF([1]财务取数接口!$B$295=0,"",[1]财务取数接口!$B$295),""))</f>
        <v/>
      </c>
      <c r="C296" s="39" t="str">
        <f aca="false">IF($T$4=0,IF($J296="","",$J296),IFERROR(IF([1]财务取数接口!$C$295=0,"",[1]财务取数接口!$C$295),""))</f>
        <v/>
      </c>
      <c r="D296" s="40" t="str">
        <f aca="false">IF($T$4=0,IF($K296="","",$K296),IFERROR(IF([1]财务取数接口!$D$295=0,"",[1]财务取数接口!$D$295),""))</f>
        <v/>
      </c>
      <c r="E296" s="40" t="str">
        <f aca="false">IF($T$4=0,IF($L296="","",$L296),IFERROR(IF([1]财务取数接口!$E$295=0,"",[1]财务取数接口!$E$295),""))</f>
        <v/>
      </c>
      <c r="F296" s="41" t="str">
        <f aca="false">IF($T$4=0,IF($M296="","",$M296),IFERROR(IF([1]财务取数接口!$G$295=0,"",[1]财务取数接口!$G$295),""))</f>
        <v/>
      </c>
      <c r="G296" s="41" t="str">
        <f aca="false">IF($T$4=0,IF($N296="","",$N296),IFERROR(IF([1]财务取数接口!$H$295=0,"",[1]财务取数接口!$H$295),""))</f>
        <v/>
      </c>
      <c r="H296" s="39" t="str">
        <f aca="false">IF($T$4=0,IF($O296="","",$O296),IFERROR(IF([1]财务取数接口!$I$295=0,"",[1]财务取数接口!$I$295),""))</f>
        <v/>
      </c>
      <c r="I296" s="42"/>
      <c r="J296" s="43"/>
      <c r="K296" s="42"/>
      <c r="L296" s="42"/>
      <c r="M296" s="44"/>
      <c r="N296" s="44"/>
      <c r="O296" s="43"/>
      <c r="P296" s="45" t="n">
        <f aca="false">IF(AND($C296&lt;&gt;"",$C296&lt;&gt;"项目",OR(N($D296)&lt;&gt;0,N($E296)&lt;&gt;0,N($F296)&lt;&gt;0)),1,0)</f>
        <v>0</v>
      </c>
      <c r="Q296" s="45" t="n">
        <f aca="false">N(Q295)+$P296</f>
        <v>11</v>
      </c>
    </row>
    <row r="297" customFormat="false" ht="13.5" hidden="false" customHeight="false" outlineLevel="0" collapsed="false">
      <c r="A297" s="9" t="n">
        <v>296</v>
      </c>
      <c r="B297" s="40" t="str">
        <f aca="false">IF($T$4=0,IF($I297="","",$I297),IFERROR(IF([1]财务取数接口!$B$296=0,"",[1]财务取数接口!$B$296),""))</f>
        <v/>
      </c>
      <c r="C297" s="39" t="str">
        <f aca="false">IF($T$4=0,IF($J297="","",$J297),IFERROR(IF([1]财务取数接口!$C$296=0,"",[1]财务取数接口!$C$296),""))</f>
        <v/>
      </c>
      <c r="D297" s="40" t="str">
        <f aca="false">IF($T$4=0,IF($K297="","",$K297),IFERROR(IF([1]财务取数接口!$D$296=0,"",[1]财务取数接口!$D$296),""))</f>
        <v/>
      </c>
      <c r="E297" s="40" t="str">
        <f aca="false">IF($T$4=0,IF($L297="","",$L297),IFERROR(IF([1]财务取数接口!$E$296=0,"",[1]财务取数接口!$E$296),""))</f>
        <v/>
      </c>
      <c r="F297" s="41" t="str">
        <f aca="false">IF($T$4=0,IF($M297="","",$M297),IFERROR(IF([1]财务取数接口!$G$296=0,"",[1]财务取数接口!$G$296),""))</f>
        <v/>
      </c>
      <c r="G297" s="41" t="str">
        <f aca="false">IF($T$4=0,IF($N297="","",$N297),IFERROR(IF([1]财务取数接口!$H$296=0,"",[1]财务取数接口!$H$296),""))</f>
        <v/>
      </c>
      <c r="H297" s="39" t="str">
        <f aca="false">IF($T$4=0,IF($O297="","",$O297),IFERROR(IF([1]财务取数接口!$I$296=0,"",[1]财务取数接口!$I$296),""))</f>
        <v/>
      </c>
      <c r="I297" s="42"/>
      <c r="J297" s="43"/>
      <c r="K297" s="42"/>
      <c r="L297" s="42"/>
      <c r="M297" s="44"/>
      <c r="N297" s="44"/>
      <c r="O297" s="43"/>
      <c r="P297" s="45" t="n">
        <f aca="false">IF(AND($C297&lt;&gt;"",$C297&lt;&gt;"项目",OR(N($D297)&lt;&gt;0,N($E297)&lt;&gt;0,N($F297)&lt;&gt;0)),1,0)</f>
        <v>0</v>
      </c>
      <c r="Q297" s="45" t="n">
        <f aca="false">N(Q296)+$P297</f>
        <v>11</v>
      </c>
    </row>
    <row r="298" customFormat="false" ht="13.5" hidden="false" customHeight="false" outlineLevel="0" collapsed="false">
      <c r="A298" s="9" t="n">
        <v>297</v>
      </c>
      <c r="B298" s="40" t="str">
        <f aca="false">IF($T$4=0,IF($I298="","",$I298),IFERROR(IF([1]财务取数接口!$B$297=0,"",[1]财务取数接口!$B$297),""))</f>
        <v/>
      </c>
      <c r="C298" s="39" t="str">
        <f aca="false">IF($T$4=0,IF($J298="","",$J298),IFERROR(IF([1]财务取数接口!$C$297=0,"",[1]财务取数接口!$C$297),""))</f>
        <v/>
      </c>
      <c r="D298" s="40" t="str">
        <f aca="false">IF($T$4=0,IF($K298="","",$K298),IFERROR(IF([1]财务取数接口!$D$297=0,"",[1]财务取数接口!$D$297),""))</f>
        <v/>
      </c>
      <c r="E298" s="40" t="str">
        <f aca="false">IF($T$4=0,IF($L298="","",$L298),IFERROR(IF([1]财务取数接口!$E$297=0,"",[1]财务取数接口!$E$297),""))</f>
        <v/>
      </c>
      <c r="F298" s="41" t="str">
        <f aca="false">IF($T$4=0,IF($M298="","",$M298),IFERROR(IF([1]财务取数接口!$G$297=0,"",[1]财务取数接口!$G$297),""))</f>
        <v/>
      </c>
      <c r="G298" s="41" t="str">
        <f aca="false">IF($T$4=0,IF($N298="","",$N298),IFERROR(IF([1]财务取数接口!$H$297=0,"",[1]财务取数接口!$H$297),""))</f>
        <v/>
      </c>
      <c r="H298" s="39" t="str">
        <f aca="false">IF($T$4=0,IF($O298="","",$O298),IFERROR(IF([1]财务取数接口!$I$297=0,"",[1]财务取数接口!$I$297),""))</f>
        <v/>
      </c>
      <c r="I298" s="42"/>
      <c r="J298" s="43"/>
      <c r="K298" s="42"/>
      <c r="L298" s="42"/>
      <c r="M298" s="44"/>
      <c r="N298" s="44"/>
      <c r="O298" s="43"/>
      <c r="P298" s="45" t="n">
        <f aca="false">IF(AND($C298&lt;&gt;"",$C298&lt;&gt;"项目",OR(N($D298)&lt;&gt;0,N($E298)&lt;&gt;0,N($F298)&lt;&gt;0)),1,0)</f>
        <v>0</v>
      </c>
      <c r="Q298" s="45" t="n">
        <f aca="false">N(Q297)+$P298</f>
        <v>11</v>
      </c>
    </row>
    <row r="299" customFormat="false" ht="13.5" hidden="false" customHeight="false" outlineLevel="0" collapsed="false">
      <c r="A299" s="9" t="n">
        <v>298</v>
      </c>
      <c r="B299" s="40" t="str">
        <f aca="false">IF($T$4=0,IF($I299="","",$I299),IFERROR(IF([1]财务取数接口!$B$298=0,"",[1]财务取数接口!$B$298),""))</f>
        <v/>
      </c>
      <c r="C299" s="39" t="str">
        <f aca="false">IF($T$4=0,IF($J299="","",$J299),IFERROR(IF([1]财务取数接口!$C$298=0,"",[1]财务取数接口!$C$298),""))</f>
        <v/>
      </c>
      <c r="D299" s="40" t="str">
        <f aca="false">IF($T$4=0,IF($K299="","",$K299),IFERROR(IF([1]财务取数接口!$D$298=0,"",[1]财务取数接口!$D$298),""))</f>
        <v/>
      </c>
      <c r="E299" s="40" t="str">
        <f aca="false">IF($T$4=0,IF($L299="","",$L299),IFERROR(IF([1]财务取数接口!$E$298=0,"",[1]财务取数接口!$E$298),""))</f>
        <v/>
      </c>
      <c r="F299" s="41" t="str">
        <f aca="false">IF($T$4=0,IF($M299="","",$M299),IFERROR(IF([1]财务取数接口!$G$298=0,"",[1]财务取数接口!$G$298),""))</f>
        <v/>
      </c>
      <c r="G299" s="41" t="str">
        <f aca="false">IF($T$4=0,IF($N299="","",$N299),IFERROR(IF([1]财务取数接口!$H$298=0,"",[1]财务取数接口!$H$298),""))</f>
        <v/>
      </c>
      <c r="H299" s="39" t="str">
        <f aca="false">IF($T$4=0,IF($O299="","",$O299),IFERROR(IF([1]财务取数接口!$I$298=0,"",[1]财务取数接口!$I$298),""))</f>
        <v/>
      </c>
      <c r="I299" s="42"/>
      <c r="J299" s="43"/>
      <c r="K299" s="42"/>
      <c r="L299" s="42"/>
      <c r="M299" s="44"/>
      <c r="N299" s="44"/>
      <c r="O299" s="43"/>
      <c r="P299" s="45" t="n">
        <f aca="false">IF(AND($C299&lt;&gt;"",$C299&lt;&gt;"项目",OR(N($D299)&lt;&gt;0,N($E299)&lt;&gt;0,N($F299)&lt;&gt;0)),1,0)</f>
        <v>0</v>
      </c>
      <c r="Q299" s="45" t="n">
        <f aca="false">N(Q298)+$P299</f>
        <v>11</v>
      </c>
    </row>
    <row r="300" customFormat="false" ht="13.5" hidden="false" customHeight="false" outlineLevel="0" collapsed="false">
      <c r="A300" s="9" t="n">
        <v>299</v>
      </c>
      <c r="B300" s="40" t="str">
        <f aca="false">IF($T$4=0,IF($I300="","",$I300),IFERROR(IF([1]财务取数接口!$B$299=0,"",[1]财务取数接口!$B$299),""))</f>
        <v/>
      </c>
      <c r="C300" s="39" t="str">
        <f aca="false">IF($T$4=0,IF($J300="","",$J300),IFERROR(IF([1]财务取数接口!$C$299=0,"",[1]财务取数接口!$C$299),""))</f>
        <v/>
      </c>
      <c r="D300" s="40" t="str">
        <f aca="false">IF($T$4=0,IF($K300="","",$K300),IFERROR(IF([1]财务取数接口!$D$299=0,"",[1]财务取数接口!$D$299),""))</f>
        <v/>
      </c>
      <c r="E300" s="40" t="str">
        <f aca="false">IF($T$4=0,IF($L300="","",$L300),IFERROR(IF([1]财务取数接口!$E$299=0,"",[1]财务取数接口!$E$299),""))</f>
        <v/>
      </c>
      <c r="F300" s="41" t="str">
        <f aca="false">IF($T$4=0,IF($M300="","",$M300),IFERROR(IF([1]财务取数接口!$G$299=0,"",[1]财务取数接口!$G$299),""))</f>
        <v/>
      </c>
      <c r="G300" s="41" t="str">
        <f aca="false">IF($T$4=0,IF($N300="","",$N300),IFERROR(IF([1]财务取数接口!$H$299=0,"",[1]财务取数接口!$H$299),""))</f>
        <v/>
      </c>
      <c r="H300" s="39" t="str">
        <f aca="false">IF($T$4=0,IF($O300="","",$O300),IFERROR(IF([1]财务取数接口!$I$299=0,"",[1]财务取数接口!$I$299),""))</f>
        <v/>
      </c>
      <c r="I300" s="42"/>
      <c r="J300" s="43"/>
      <c r="K300" s="42"/>
      <c r="L300" s="42"/>
      <c r="M300" s="44"/>
      <c r="N300" s="44"/>
      <c r="O300" s="43"/>
      <c r="P300" s="45" t="n">
        <f aca="false">IF(AND($C300&lt;&gt;"",$C300&lt;&gt;"项目",OR(N($D300)&lt;&gt;0,N($E300)&lt;&gt;0,N($F300)&lt;&gt;0)),1,0)</f>
        <v>0</v>
      </c>
      <c r="Q300" s="45" t="n">
        <f aca="false">N(Q299)+$P300</f>
        <v>11</v>
      </c>
    </row>
    <row r="301" customFormat="false" ht="13.5" hidden="false" customHeight="false" outlineLevel="0" collapsed="false">
      <c r="A301" s="9" t="n">
        <v>300</v>
      </c>
      <c r="B301" s="40" t="str">
        <f aca="false">IF($T$4=0,IF($I301="","",$I301),IFERROR(IF([1]财务取数接口!$B$300=0,"",[1]财务取数接口!$B$300),""))</f>
        <v/>
      </c>
      <c r="C301" s="39" t="str">
        <f aca="false">IF($T$4=0,IF($J301="","",$J301),IFERROR(IF([1]财务取数接口!$C$300=0,"",[1]财务取数接口!$C$300),""))</f>
        <v/>
      </c>
      <c r="D301" s="40" t="str">
        <f aca="false">IF($T$4=0,IF($K301="","",$K301),IFERROR(IF([1]财务取数接口!$D$300=0,"",[1]财务取数接口!$D$300),""))</f>
        <v/>
      </c>
      <c r="E301" s="40" t="str">
        <f aca="false">IF($T$4=0,IF($L301="","",$L301),IFERROR(IF([1]财务取数接口!$E$300=0,"",[1]财务取数接口!$E$300),""))</f>
        <v/>
      </c>
      <c r="F301" s="41" t="str">
        <f aca="false">IF($T$4=0,IF($M301="","",$M301),IFERROR(IF([1]财务取数接口!$G$300=0,"",[1]财务取数接口!$G$300),""))</f>
        <v/>
      </c>
      <c r="G301" s="41" t="str">
        <f aca="false">IF($T$4=0,IF($N301="","",$N301),IFERROR(IF([1]财务取数接口!$H$300=0,"",[1]财务取数接口!$H$300),""))</f>
        <v/>
      </c>
      <c r="H301" s="39" t="str">
        <f aca="false">IF($T$4=0,IF($O301="","",$O301),IFERROR(IF([1]财务取数接口!$I$300=0,"",[1]财务取数接口!$I$300),""))</f>
        <v/>
      </c>
      <c r="I301" s="42"/>
      <c r="J301" s="43"/>
      <c r="K301" s="42"/>
      <c r="L301" s="42"/>
      <c r="M301" s="44"/>
      <c r="N301" s="44"/>
      <c r="O301" s="43"/>
      <c r="P301" s="45" t="n">
        <f aca="false">IF(AND($C301&lt;&gt;"",$C301&lt;&gt;"项目",OR(N($D301)&lt;&gt;0,N($E301)&lt;&gt;0,N($F301)&lt;&gt;0)),1,0)</f>
        <v>0</v>
      </c>
      <c r="Q301" s="45" t="n">
        <f aca="false">N(Q300)+$P301</f>
        <v>11</v>
      </c>
    </row>
    <row r="302" customFormat="false" ht="13.5" hidden="false" customHeight="false" outlineLevel="0" collapsed="false">
      <c r="A302" s="9" t="n">
        <v>301</v>
      </c>
      <c r="B302" s="40" t="str">
        <f aca="false">IF($T$4=0,IF($I302="","",$I302),IFERROR(IF([1]财务取数接口!$B$301=0,"",[1]财务取数接口!$B$301),""))</f>
        <v/>
      </c>
      <c r="C302" s="39" t="str">
        <f aca="false">IF($T$4=0,IF($J302="","",$J302),IFERROR(IF([1]财务取数接口!$C$301=0,"",[1]财务取数接口!$C$301),""))</f>
        <v/>
      </c>
      <c r="D302" s="40" t="str">
        <f aca="false">IF($T$4=0,IF($K302="","",$K302),IFERROR(IF([1]财务取数接口!$D$301=0,"",[1]财务取数接口!$D$301),""))</f>
        <v/>
      </c>
      <c r="E302" s="40" t="str">
        <f aca="false">IF($T$4=0,IF($L302="","",$L302),IFERROR(IF([1]财务取数接口!$E$301=0,"",[1]财务取数接口!$E$301),""))</f>
        <v/>
      </c>
      <c r="F302" s="41" t="str">
        <f aca="false">IF($T$4=0,IF($M302="","",$M302),IFERROR(IF([1]财务取数接口!$G$301=0,"",[1]财务取数接口!$G$301),""))</f>
        <v/>
      </c>
      <c r="G302" s="41" t="str">
        <f aca="false">IF($T$4=0,IF($N302="","",$N302),IFERROR(IF([1]财务取数接口!$H$301=0,"",[1]财务取数接口!$H$301),""))</f>
        <v/>
      </c>
      <c r="H302" s="39" t="str">
        <f aca="false">IF($T$4=0,IF($O302="","",$O302),IFERROR(IF([1]财务取数接口!$I$301=0,"",[1]财务取数接口!$I$301),""))</f>
        <v/>
      </c>
      <c r="I302" s="42"/>
      <c r="J302" s="43"/>
      <c r="K302" s="42"/>
      <c r="L302" s="42"/>
      <c r="M302" s="44"/>
      <c r="N302" s="44"/>
      <c r="O302" s="43"/>
      <c r="P302" s="45" t="n">
        <f aca="false">IF(AND($C302&lt;&gt;"",$C302&lt;&gt;"项目",OR(N($D302)&lt;&gt;0,N($E302)&lt;&gt;0,N($F302)&lt;&gt;0)),1,0)</f>
        <v>0</v>
      </c>
      <c r="Q302" s="45" t="n">
        <f aca="false">N(Q301)+$P302</f>
        <v>11</v>
      </c>
    </row>
    <row r="303" customFormat="false" ht="13.5" hidden="false" customHeight="false" outlineLevel="0" collapsed="false">
      <c r="A303" s="9" t="n">
        <v>302</v>
      </c>
      <c r="B303" s="40" t="str">
        <f aca="false">IF($T$4=0,IF($I303="","",$I303),IFERROR(IF([1]财务取数接口!$B$302=0,"",[1]财务取数接口!$B$302),""))</f>
        <v/>
      </c>
      <c r="C303" s="39" t="str">
        <f aca="false">IF($T$4=0,IF($J303="","",$J303),IFERROR(IF([1]财务取数接口!$C$302=0,"",[1]财务取数接口!$C$302),""))</f>
        <v/>
      </c>
      <c r="D303" s="40" t="str">
        <f aca="false">IF($T$4=0,IF($K303="","",$K303),IFERROR(IF([1]财务取数接口!$D$302=0,"",[1]财务取数接口!$D$302),""))</f>
        <v/>
      </c>
      <c r="E303" s="40" t="str">
        <f aca="false">IF($T$4=0,IF($L303="","",$L303),IFERROR(IF([1]财务取数接口!$E$302=0,"",[1]财务取数接口!$E$302),""))</f>
        <v/>
      </c>
      <c r="F303" s="41" t="str">
        <f aca="false">IF($T$4=0,IF($M303="","",$M303),IFERROR(IF([1]财务取数接口!$G$302=0,"",[1]财务取数接口!$G$302),""))</f>
        <v/>
      </c>
      <c r="G303" s="41" t="str">
        <f aca="false">IF($T$4=0,IF($N303="","",$N303),IFERROR(IF([1]财务取数接口!$H$302=0,"",[1]财务取数接口!$H$302),""))</f>
        <v/>
      </c>
      <c r="H303" s="39" t="str">
        <f aca="false">IF($T$4=0,IF($O303="","",$O303),IFERROR(IF([1]财务取数接口!$I$302=0,"",[1]财务取数接口!$I$302),""))</f>
        <v/>
      </c>
      <c r="I303" s="42"/>
      <c r="J303" s="43"/>
      <c r="K303" s="42"/>
      <c r="L303" s="42"/>
      <c r="M303" s="44"/>
      <c r="N303" s="44"/>
      <c r="O303" s="43"/>
      <c r="P303" s="45" t="n">
        <f aca="false">IF(AND($C303&lt;&gt;"",$C303&lt;&gt;"项目",OR(N($D303)&lt;&gt;0,N($E303)&lt;&gt;0,N($F303)&lt;&gt;0)),1,0)</f>
        <v>0</v>
      </c>
      <c r="Q303" s="45" t="n">
        <f aca="false">N(Q302)+$P303</f>
        <v>11</v>
      </c>
    </row>
    <row r="304" customFormat="false" ht="13.5" hidden="false" customHeight="false" outlineLevel="0" collapsed="false">
      <c r="A304" s="9" t="n">
        <v>303</v>
      </c>
      <c r="B304" s="40" t="str">
        <f aca="false">IF($T$4=0,IF($I304="","",$I304),IFERROR(IF([1]财务取数接口!$B$303=0,"",[1]财务取数接口!$B$303),""))</f>
        <v/>
      </c>
      <c r="C304" s="39" t="str">
        <f aca="false">IF($T$4=0,IF($J304="","",$J304),IFERROR(IF([1]财务取数接口!$C$303=0,"",[1]财务取数接口!$C$303),""))</f>
        <v/>
      </c>
      <c r="D304" s="40" t="str">
        <f aca="false">IF($T$4=0,IF($K304="","",$K304),IFERROR(IF([1]财务取数接口!$D$303=0,"",[1]财务取数接口!$D$303),""))</f>
        <v/>
      </c>
      <c r="E304" s="40" t="str">
        <f aca="false">IF($T$4=0,IF($L304="","",$L304),IFERROR(IF([1]财务取数接口!$E$303=0,"",[1]财务取数接口!$E$303),""))</f>
        <v/>
      </c>
      <c r="F304" s="41" t="str">
        <f aca="false">IF($T$4=0,IF($M304="","",$M304),IFERROR(IF([1]财务取数接口!$G$303=0,"",[1]财务取数接口!$G$303),""))</f>
        <v/>
      </c>
      <c r="G304" s="41" t="str">
        <f aca="false">IF($T$4=0,IF($N304="","",$N304),IFERROR(IF([1]财务取数接口!$H$303=0,"",[1]财务取数接口!$H$303),""))</f>
        <v/>
      </c>
      <c r="H304" s="39" t="str">
        <f aca="false">IF($T$4=0,IF($O304="","",$O304),IFERROR(IF([1]财务取数接口!$I$303=0,"",[1]财务取数接口!$I$303),""))</f>
        <v/>
      </c>
      <c r="I304" s="42"/>
      <c r="J304" s="43"/>
      <c r="K304" s="42"/>
      <c r="L304" s="42"/>
      <c r="M304" s="44"/>
      <c r="N304" s="44"/>
      <c r="O304" s="43"/>
      <c r="P304" s="45" t="n">
        <f aca="false">IF(AND($C304&lt;&gt;"",$C304&lt;&gt;"项目",OR(N($D304)&lt;&gt;0,N($E304)&lt;&gt;0,N($F304)&lt;&gt;0)),1,0)</f>
        <v>0</v>
      </c>
      <c r="Q304" s="45" t="n">
        <f aca="false">N(Q303)+$P304</f>
        <v>11</v>
      </c>
    </row>
    <row r="305" customFormat="false" ht="13.5" hidden="false" customHeight="false" outlineLevel="0" collapsed="false">
      <c r="A305" s="9" t="n">
        <v>304</v>
      </c>
      <c r="B305" s="40" t="str">
        <f aca="false">IF($T$4=0,IF($I305="","",$I305),IFERROR(IF([1]财务取数接口!$B$304=0,"",[1]财务取数接口!$B$304),""))</f>
        <v/>
      </c>
      <c r="C305" s="39" t="str">
        <f aca="false">IF($T$4=0,IF($J305="","",$J305),IFERROR(IF([1]财务取数接口!$C$304=0,"",[1]财务取数接口!$C$304),""))</f>
        <v/>
      </c>
      <c r="D305" s="40" t="str">
        <f aca="false">IF($T$4=0,IF($K305="","",$K305),IFERROR(IF([1]财务取数接口!$D$304=0,"",[1]财务取数接口!$D$304),""))</f>
        <v/>
      </c>
      <c r="E305" s="40" t="str">
        <f aca="false">IF($T$4=0,IF($L305="","",$L305),IFERROR(IF([1]财务取数接口!$E$304=0,"",[1]财务取数接口!$E$304),""))</f>
        <v/>
      </c>
      <c r="F305" s="41" t="str">
        <f aca="false">IF($T$4=0,IF($M305="","",$M305),IFERROR(IF([1]财务取数接口!$G$304=0,"",[1]财务取数接口!$G$304),""))</f>
        <v/>
      </c>
      <c r="G305" s="41" t="str">
        <f aca="false">IF($T$4=0,IF($N305="","",$N305),IFERROR(IF([1]财务取数接口!$H$304=0,"",[1]财务取数接口!$H$304),""))</f>
        <v/>
      </c>
      <c r="H305" s="39" t="str">
        <f aca="false">IF($T$4=0,IF($O305="","",$O305),IFERROR(IF([1]财务取数接口!$I$304=0,"",[1]财务取数接口!$I$304),""))</f>
        <v/>
      </c>
      <c r="I305" s="42"/>
      <c r="J305" s="43"/>
      <c r="K305" s="42"/>
      <c r="L305" s="42"/>
      <c r="M305" s="44"/>
      <c r="N305" s="44"/>
      <c r="O305" s="43"/>
      <c r="P305" s="45" t="n">
        <f aca="false">IF(AND($C305&lt;&gt;"",$C305&lt;&gt;"项目",OR(N($D305)&lt;&gt;0,N($E305)&lt;&gt;0,N($F305)&lt;&gt;0)),1,0)</f>
        <v>0</v>
      </c>
      <c r="Q305" s="45" t="n">
        <f aca="false">N(Q304)+$P305</f>
        <v>11</v>
      </c>
    </row>
    <row r="306" customFormat="false" ht="13.5" hidden="false" customHeight="false" outlineLevel="0" collapsed="false">
      <c r="A306" s="9" t="n">
        <v>305</v>
      </c>
      <c r="B306" s="40" t="str">
        <f aca="false">IF($T$4=0,IF($I306="","",$I306),IFERROR(IF([1]财务取数接口!$B$305=0,"",[1]财务取数接口!$B$305),""))</f>
        <v/>
      </c>
      <c r="C306" s="39" t="str">
        <f aca="false">IF($T$4=0,IF($J306="","",$J306),IFERROR(IF([1]财务取数接口!$C$305=0,"",[1]财务取数接口!$C$305),""))</f>
        <v/>
      </c>
      <c r="D306" s="40" t="str">
        <f aca="false">IF($T$4=0,IF($K306="","",$K306),IFERROR(IF([1]财务取数接口!$D$305=0,"",[1]财务取数接口!$D$305),""))</f>
        <v/>
      </c>
      <c r="E306" s="40" t="str">
        <f aca="false">IF($T$4=0,IF($L306="","",$L306),IFERROR(IF([1]财务取数接口!$E$305=0,"",[1]财务取数接口!$E$305),""))</f>
        <v/>
      </c>
      <c r="F306" s="41" t="str">
        <f aca="false">IF($T$4=0,IF($M306="","",$M306),IFERROR(IF([1]财务取数接口!$G$305=0,"",[1]财务取数接口!$G$305),""))</f>
        <v/>
      </c>
      <c r="G306" s="41" t="str">
        <f aca="false">IF($T$4=0,IF($N306="","",$N306),IFERROR(IF([1]财务取数接口!$H$305=0,"",[1]财务取数接口!$H$305),""))</f>
        <v/>
      </c>
      <c r="H306" s="39" t="str">
        <f aca="false">IF($T$4=0,IF($O306="","",$O306),IFERROR(IF([1]财务取数接口!$I$305=0,"",[1]财务取数接口!$I$305),""))</f>
        <v/>
      </c>
      <c r="I306" s="42"/>
      <c r="J306" s="43"/>
      <c r="K306" s="42"/>
      <c r="L306" s="42"/>
      <c r="M306" s="44"/>
      <c r="N306" s="44"/>
      <c r="O306" s="43"/>
      <c r="P306" s="45" t="n">
        <f aca="false">IF(AND($C306&lt;&gt;"",$C306&lt;&gt;"项目",OR(N($D306)&lt;&gt;0,N($E306)&lt;&gt;0,N($F306)&lt;&gt;0)),1,0)</f>
        <v>0</v>
      </c>
      <c r="Q306" s="45" t="n">
        <f aca="false">N(Q305)+$P306</f>
        <v>11</v>
      </c>
    </row>
    <row r="307" customFormat="false" ht="13.5" hidden="false" customHeight="false" outlineLevel="0" collapsed="false">
      <c r="A307" s="9" t="n">
        <v>306</v>
      </c>
      <c r="B307" s="40" t="str">
        <f aca="false">IF($T$4=0,IF($I307="","",$I307),IFERROR(IF([1]财务取数接口!$B$306=0,"",[1]财务取数接口!$B$306),""))</f>
        <v/>
      </c>
      <c r="C307" s="39" t="str">
        <f aca="false">IF($T$4=0,IF($J307="","",$J307),IFERROR(IF([1]财务取数接口!$C$306=0,"",[1]财务取数接口!$C$306),""))</f>
        <v/>
      </c>
      <c r="D307" s="40" t="str">
        <f aca="false">IF($T$4=0,IF($K307="","",$K307),IFERROR(IF([1]财务取数接口!$D$306=0,"",[1]财务取数接口!$D$306),""))</f>
        <v/>
      </c>
      <c r="E307" s="40" t="str">
        <f aca="false">IF($T$4=0,IF($L307="","",$L307),IFERROR(IF([1]财务取数接口!$E$306=0,"",[1]财务取数接口!$E$306),""))</f>
        <v/>
      </c>
      <c r="F307" s="41" t="str">
        <f aca="false">IF($T$4=0,IF($M307="","",$M307),IFERROR(IF([1]财务取数接口!$G$306=0,"",[1]财务取数接口!$G$306),""))</f>
        <v/>
      </c>
      <c r="G307" s="41" t="str">
        <f aca="false">IF($T$4=0,IF($N307="","",$N307),IFERROR(IF([1]财务取数接口!$H$306=0,"",[1]财务取数接口!$H$306),""))</f>
        <v/>
      </c>
      <c r="H307" s="39" t="str">
        <f aca="false">IF($T$4=0,IF($O307="","",$O307),IFERROR(IF([1]财务取数接口!$I$306=0,"",[1]财务取数接口!$I$306),""))</f>
        <v/>
      </c>
      <c r="I307" s="42"/>
      <c r="J307" s="43"/>
      <c r="K307" s="42"/>
      <c r="L307" s="42"/>
      <c r="M307" s="44"/>
      <c r="N307" s="44"/>
      <c r="O307" s="43"/>
      <c r="P307" s="45" t="n">
        <f aca="false">IF(AND($C307&lt;&gt;"",$C307&lt;&gt;"项目",OR(N($D307)&lt;&gt;0,N($E307)&lt;&gt;0,N($F307)&lt;&gt;0)),1,0)</f>
        <v>0</v>
      </c>
      <c r="Q307" s="45" t="n">
        <f aca="false">N(Q306)+$P307</f>
        <v>11</v>
      </c>
    </row>
    <row r="308" customFormat="false" ht="13.5" hidden="false" customHeight="false" outlineLevel="0" collapsed="false">
      <c r="A308" s="9" t="n">
        <v>307</v>
      </c>
      <c r="B308" s="40" t="str">
        <f aca="false">IF($T$4=0,IF($I308="","",$I308),IFERROR(IF([1]财务取数接口!$B$307=0,"",[1]财务取数接口!$B$307),""))</f>
        <v/>
      </c>
      <c r="C308" s="39" t="str">
        <f aca="false">IF($T$4=0,IF($J308="","",$J308),IFERROR(IF([1]财务取数接口!$C$307=0,"",[1]财务取数接口!$C$307),""))</f>
        <v/>
      </c>
      <c r="D308" s="40" t="str">
        <f aca="false">IF($T$4=0,IF($K308="","",$K308),IFERROR(IF([1]财务取数接口!$D$307=0,"",[1]财务取数接口!$D$307),""))</f>
        <v/>
      </c>
      <c r="E308" s="40" t="str">
        <f aca="false">IF($T$4=0,IF($L308="","",$L308),IFERROR(IF([1]财务取数接口!$E$307=0,"",[1]财务取数接口!$E$307),""))</f>
        <v/>
      </c>
      <c r="F308" s="41" t="str">
        <f aca="false">IF($T$4=0,IF($M308="","",$M308),IFERROR(IF([1]财务取数接口!$G$307=0,"",[1]财务取数接口!$G$307),""))</f>
        <v/>
      </c>
      <c r="G308" s="41" t="str">
        <f aca="false">IF($T$4=0,IF($N308="","",$N308),IFERROR(IF([1]财务取数接口!$H$307=0,"",[1]财务取数接口!$H$307),""))</f>
        <v/>
      </c>
      <c r="H308" s="39" t="str">
        <f aca="false">IF($T$4=0,IF($O308="","",$O308),IFERROR(IF([1]财务取数接口!$I$307=0,"",[1]财务取数接口!$I$307),""))</f>
        <v/>
      </c>
      <c r="I308" s="42"/>
      <c r="J308" s="43"/>
      <c r="K308" s="42"/>
      <c r="L308" s="42"/>
      <c r="M308" s="44"/>
      <c r="N308" s="44"/>
      <c r="O308" s="43"/>
      <c r="P308" s="45" t="n">
        <f aca="false">IF(AND($C308&lt;&gt;"",$C308&lt;&gt;"项目",OR(N($D308)&lt;&gt;0,N($E308)&lt;&gt;0,N($F308)&lt;&gt;0)),1,0)</f>
        <v>0</v>
      </c>
      <c r="Q308" s="45" t="n">
        <f aca="false">N(Q307)+$P308</f>
        <v>11</v>
      </c>
    </row>
    <row r="309" customFormat="false" ht="13.5" hidden="false" customHeight="false" outlineLevel="0" collapsed="false">
      <c r="A309" s="9" t="n">
        <v>308</v>
      </c>
      <c r="B309" s="40" t="str">
        <f aca="false">IF($T$4=0,IF($I309="","",$I309),IFERROR(IF([1]财务取数接口!$B$308=0,"",[1]财务取数接口!$B$308),""))</f>
        <v/>
      </c>
      <c r="C309" s="39" t="str">
        <f aca="false">IF($T$4=0,IF($J309="","",$J309),IFERROR(IF([1]财务取数接口!$C$308=0,"",[1]财务取数接口!$C$308),""))</f>
        <v/>
      </c>
      <c r="D309" s="40" t="str">
        <f aca="false">IF($T$4=0,IF($K309="","",$K309),IFERROR(IF([1]财务取数接口!$D$308=0,"",[1]财务取数接口!$D$308),""))</f>
        <v/>
      </c>
      <c r="E309" s="40" t="str">
        <f aca="false">IF($T$4=0,IF($L309="","",$L309),IFERROR(IF([1]财务取数接口!$E$308=0,"",[1]财务取数接口!$E$308),""))</f>
        <v/>
      </c>
      <c r="F309" s="41" t="str">
        <f aca="false">IF($T$4=0,IF($M309="","",$M309),IFERROR(IF([1]财务取数接口!$G$308=0,"",[1]财务取数接口!$G$308),""))</f>
        <v/>
      </c>
      <c r="G309" s="41" t="str">
        <f aca="false">IF($T$4=0,IF($N309="","",$N309),IFERROR(IF([1]财务取数接口!$H$308=0,"",[1]财务取数接口!$H$308),""))</f>
        <v/>
      </c>
      <c r="H309" s="39" t="str">
        <f aca="false">IF($T$4=0,IF($O309="","",$O309),IFERROR(IF([1]财务取数接口!$I$308=0,"",[1]财务取数接口!$I$308),""))</f>
        <v/>
      </c>
      <c r="I309" s="42"/>
      <c r="J309" s="43"/>
      <c r="K309" s="42"/>
      <c r="L309" s="42"/>
      <c r="M309" s="44"/>
      <c r="N309" s="44"/>
      <c r="O309" s="43"/>
      <c r="P309" s="45" t="n">
        <f aca="false">IF(AND($C309&lt;&gt;"",$C309&lt;&gt;"项目",OR(N($D309)&lt;&gt;0,N($E309)&lt;&gt;0,N($F309)&lt;&gt;0)),1,0)</f>
        <v>0</v>
      </c>
      <c r="Q309" s="45" t="n">
        <f aca="false">N(Q308)+$P309</f>
        <v>11</v>
      </c>
    </row>
    <row r="310" customFormat="false" ht="13.5" hidden="false" customHeight="false" outlineLevel="0" collapsed="false">
      <c r="A310" s="9" t="n">
        <v>309</v>
      </c>
      <c r="B310" s="40" t="str">
        <f aca="false">IF($T$4=0,IF($I310="","",$I310),IFERROR(IF([1]财务取数接口!$B$309=0,"",[1]财务取数接口!$B$309),""))</f>
        <v/>
      </c>
      <c r="C310" s="39" t="str">
        <f aca="false">IF($T$4=0,IF($J310="","",$J310),IFERROR(IF([1]财务取数接口!$C$309=0,"",[1]财务取数接口!$C$309),""))</f>
        <v/>
      </c>
      <c r="D310" s="40" t="str">
        <f aca="false">IF($T$4=0,IF($K310="","",$K310),IFERROR(IF([1]财务取数接口!$D$309=0,"",[1]财务取数接口!$D$309),""))</f>
        <v/>
      </c>
      <c r="E310" s="40" t="str">
        <f aca="false">IF($T$4=0,IF($L310="","",$L310),IFERROR(IF([1]财务取数接口!$E$309=0,"",[1]财务取数接口!$E$309),""))</f>
        <v/>
      </c>
      <c r="F310" s="41" t="str">
        <f aca="false">IF($T$4=0,IF($M310="","",$M310),IFERROR(IF([1]财务取数接口!$G$309=0,"",[1]财务取数接口!$G$309),""))</f>
        <v/>
      </c>
      <c r="G310" s="41" t="str">
        <f aca="false">IF($T$4=0,IF($N310="","",$N310),IFERROR(IF([1]财务取数接口!$H$309=0,"",[1]财务取数接口!$H$309),""))</f>
        <v/>
      </c>
      <c r="H310" s="39" t="str">
        <f aca="false">IF($T$4=0,IF($O310="","",$O310),IFERROR(IF([1]财务取数接口!$I$309=0,"",[1]财务取数接口!$I$309),""))</f>
        <v/>
      </c>
      <c r="I310" s="42"/>
      <c r="J310" s="43"/>
      <c r="K310" s="42"/>
      <c r="L310" s="42"/>
      <c r="M310" s="44"/>
      <c r="N310" s="44"/>
      <c r="O310" s="43"/>
      <c r="P310" s="45" t="n">
        <f aca="false">IF(AND($C310&lt;&gt;"",$C310&lt;&gt;"项目",OR(N($D310)&lt;&gt;0,N($E310)&lt;&gt;0,N($F310)&lt;&gt;0)),1,0)</f>
        <v>0</v>
      </c>
      <c r="Q310" s="45" t="n">
        <f aca="false">N(Q309)+$P310</f>
        <v>11</v>
      </c>
    </row>
    <row r="311" customFormat="false" ht="13.5" hidden="false" customHeight="false" outlineLevel="0" collapsed="false">
      <c r="A311" s="9" t="n">
        <v>310</v>
      </c>
      <c r="B311" s="40" t="str">
        <f aca="false">IF($T$4=0,IF($I311="","",$I311),IFERROR(IF([1]财务取数接口!$B$310=0,"",[1]财务取数接口!$B$310),""))</f>
        <v/>
      </c>
      <c r="C311" s="39" t="str">
        <f aca="false">IF($T$4=0,IF($J311="","",$J311),IFERROR(IF([1]财务取数接口!$C$310=0,"",[1]财务取数接口!$C$310),""))</f>
        <v/>
      </c>
      <c r="D311" s="40" t="str">
        <f aca="false">IF($T$4=0,IF($K311="","",$K311),IFERROR(IF([1]财务取数接口!$D$310=0,"",[1]财务取数接口!$D$310),""))</f>
        <v/>
      </c>
      <c r="E311" s="40" t="str">
        <f aca="false">IF($T$4=0,IF($L311="","",$L311),IFERROR(IF([1]财务取数接口!$E$310=0,"",[1]财务取数接口!$E$310),""))</f>
        <v/>
      </c>
      <c r="F311" s="41" t="str">
        <f aca="false">IF($T$4=0,IF($M311="","",$M311),IFERROR(IF([1]财务取数接口!$G$310=0,"",[1]财务取数接口!$G$310),""))</f>
        <v/>
      </c>
      <c r="G311" s="41" t="str">
        <f aca="false">IF($T$4=0,IF($N311="","",$N311),IFERROR(IF([1]财务取数接口!$H$310=0,"",[1]财务取数接口!$H$310),""))</f>
        <v/>
      </c>
      <c r="H311" s="39" t="str">
        <f aca="false">IF($T$4=0,IF($O311="","",$O311),IFERROR(IF([1]财务取数接口!$I$310=0,"",[1]财务取数接口!$I$310),""))</f>
        <v/>
      </c>
      <c r="I311" s="42"/>
      <c r="J311" s="43"/>
      <c r="K311" s="42"/>
      <c r="L311" s="42"/>
      <c r="M311" s="44"/>
      <c r="N311" s="44"/>
      <c r="O311" s="43"/>
      <c r="P311" s="45" t="n">
        <f aca="false">IF(AND($C311&lt;&gt;"",$C311&lt;&gt;"项目",OR(N($D311)&lt;&gt;0,N($E311)&lt;&gt;0,N($F311)&lt;&gt;0)),1,0)</f>
        <v>0</v>
      </c>
      <c r="Q311" s="45" t="n">
        <f aca="false">N(Q310)+$P311</f>
        <v>11</v>
      </c>
    </row>
    <row r="312" customFormat="false" ht="13.5" hidden="false" customHeight="false" outlineLevel="0" collapsed="false">
      <c r="A312" s="9" t="n">
        <v>311</v>
      </c>
      <c r="B312" s="40" t="str">
        <f aca="false">IF($T$4=0,IF($I312="","",$I312),IFERROR(IF([1]财务取数接口!$B$311=0,"",[1]财务取数接口!$B$311),""))</f>
        <v/>
      </c>
      <c r="C312" s="39" t="str">
        <f aca="false">IF($T$4=0,IF($J312="","",$J312),IFERROR(IF([1]财务取数接口!$C$311=0,"",[1]财务取数接口!$C$311),""))</f>
        <v/>
      </c>
      <c r="D312" s="40" t="str">
        <f aca="false">IF($T$4=0,IF($K312="","",$K312),IFERROR(IF([1]财务取数接口!$D$311=0,"",[1]财务取数接口!$D$311),""))</f>
        <v/>
      </c>
      <c r="E312" s="40" t="str">
        <f aca="false">IF($T$4=0,IF($L312="","",$L312),IFERROR(IF([1]财务取数接口!$E$311=0,"",[1]财务取数接口!$E$311),""))</f>
        <v/>
      </c>
      <c r="F312" s="41" t="str">
        <f aca="false">IF($T$4=0,IF($M312="","",$M312),IFERROR(IF([1]财务取数接口!$G$311=0,"",[1]财务取数接口!$G$311),""))</f>
        <v/>
      </c>
      <c r="G312" s="41" t="str">
        <f aca="false">IF($T$4=0,IF($N312="","",$N312),IFERROR(IF([1]财务取数接口!$H$311=0,"",[1]财务取数接口!$H$311),""))</f>
        <v/>
      </c>
      <c r="H312" s="39" t="str">
        <f aca="false">IF($T$4=0,IF($O312="","",$O312),IFERROR(IF([1]财务取数接口!$I$311=0,"",[1]财务取数接口!$I$311),""))</f>
        <v/>
      </c>
      <c r="I312" s="42"/>
      <c r="J312" s="43"/>
      <c r="K312" s="42"/>
      <c r="L312" s="42"/>
      <c r="M312" s="44"/>
      <c r="N312" s="44"/>
      <c r="O312" s="43"/>
      <c r="P312" s="45" t="n">
        <f aca="false">IF(AND($C312&lt;&gt;"",$C312&lt;&gt;"项目",OR(N($D312)&lt;&gt;0,N($E312)&lt;&gt;0,N($F312)&lt;&gt;0)),1,0)</f>
        <v>0</v>
      </c>
      <c r="Q312" s="45" t="n">
        <f aca="false">N(Q311)+$P312</f>
        <v>11</v>
      </c>
    </row>
    <row r="313" customFormat="false" ht="13.5" hidden="false" customHeight="false" outlineLevel="0" collapsed="false">
      <c r="A313" s="9" t="n">
        <v>312</v>
      </c>
      <c r="B313" s="40" t="str">
        <f aca="false">IF($T$4=0,IF($I313="","",$I313),IFERROR(IF([1]财务取数接口!$B$312=0,"",[1]财务取数接口!$B$312),""))</f>
        <v/>
      </c>
      <c r="C313" s="39" t="str">
        <f aca="false">IF($T$4=0,IF($J313="","",$J313),IFERROR(IF([1]财务取数接口!$C$312=0,"",[1]财务取数接口!$C$312),""))</f>
        <v/>
      </c>
      <c r="D313" s="40" t="str">
        <f aca="false">IF($T$4=0,IF($K313="","",$K313),IFERROR(IF([1]财务取数接口!$D$312=0,"",[1]财务取数接口!$D$312),""))</f>
        <v/>
      </c>
      <c r="E313" s="40" t="str">
        <f aca="false">IF($T$4=0,IF($L313="","",$L313),IFERROR(IF([1]财务取数接口!$E$312=0,"",[1]财务取数接口!$E$312),""))</f>
        <v/>
      </c>
      <c r="F313" s="41" t="str">
        <f aca="false">IF($T$4=0,IF($M313="","",$M313),IFERROR(IF([1]财务取数接口!$G$312=0,"",[1]财务取数接口!$G$312),""))</f>
        <v/>
      </c>
      <c r="G313" s="41" t="str">
        <f aca="false">IF($T$4=0,IF($N313="","",$N313),IFERROR(IF([1]财务取数接口!$H$312=0,"",[1]财务取数接口!$H$312),""))</f>
        <v/>
      </c>
      <c r="H313" s="39" t="str">
        <f aca="false">IF($T$4=0,IF($O313="","",$O313),IFERROR(IF([1]财务取数接口!$I$312=0,"",[1]财务取数接口!$I$312),""))</f>
        <v/>
      </c>
      <c r="I313" s="42"/>
      <c r="J313" s="43"/>
      <c r="K313" s="42"/>
      <c r="L313" s="42"/>
      <c r="M313" s="44"/>
      <c r="N313" s="44"/>
      <c r="O313" s="43"/>
      <c r="P313" s="45" t="n">
        <f aca="false">IF(AND($C313&lt;&gt;"",$C313&lt;&gt;"项目",OR(N($D313)&lt;&gt;0,N($E313)&lt;&gt;0,N($F313)&lt;&gt;0)),1,0)</f>
        <v>0</v>
      </c>
      <c r="Q313" s="45" t="n">
        <f aca="false">N(Q312)+$P313</f>
        <v>11</v>
      </c>
    </row>
    <row r="314" customFormat="false" ht="13.5" hidden="false" customHeight="false" outlineLevel="0" collapsed="false">
      <c r="A314" s="9" t="n">
        <v>313</v>
      </c>
      <c r="B314" s="40" t="str">
        <f aca="false">IF($T$4=0,IF($I314="","",$I314),IFERROR(IF([1]财务取数接口!$B$313=0,"",[1]财务取数接口!$B$313),""))</f>
        <v/>
      </c>
      <c r="C314" s="39" t="str">
        <f aca="false">IF($T$4=0,IF($J314="","",$J314),IFERROR(IF([1]财务取数接口!$C$313=0,"",[1]财务取数接口!$C$313),""))</f>
        <v/>
      </c>
      <c r="D314" s="40" t="str">
        <f aca="false">IF($T$4=0,IF($K314="","",$K314),IFERROR(IF([1]财务取数接口!$D$313=0,"",[1]财务取数接口!$D$313),""))</f>
        <v/>
      </c>
      <c r="E314" s="40" t="str">
        <f aca="false">IF($T$4=0,IF($L314="","",$L314),IFERROR(IF([1]财务取数接口!$E$313=0,"",[1]财务取数接口!$E$313),""))</f>
        <v/>
      </c>
      <c r="F314" s="41" t="str">
        <f aca="false">IF($T$4=0,IF($M314="","",$M314),IFERROR(IF([1]财务取数接口!$G$313=0,"",[1]财务取数接口!$G$313),""))</f>
        <v/>
      </c>
      <c r="G314" s="41" t="str">
        <f aca="false">IF($T$4=0,IF($N314="","",$N314),IFERROR(IF([1]财务取数接口!$H$313=0,"",[1]财务取数接口!$H$313),""))</f>
        <v/>
      </c>
      <c r="H314" s="39" t="str">
        <f aca="false">IF($T$4=0,IF($O314="","",$O314),IFERROR(IF([1]财务取数接口!$I$313=0,"",[1]财务取数接口!$I$313),""))</f>
        <v/>
      </c>
      <c r="I314" s="42"/>
      <c r="J314" s="43"/>
      <c r="K314" s="42"/>
      <c r="L314" s="42"/>
      <c r="M314" s="44"/>
      <c r="N314" s="44"/>
      <c r="O314" s="43"/>
      <c r="P314" s="45" t="n">
        <f aca="false">IF(AND($C314&lt;&gt;"",$C314&lt;&gt;"项目",OR(N($D314)&lt;&gt;0,N($E314)&lt;&gt;0,N($F314)&lt;&gt;0)),1,0)</f>
        <v>0</v>
      </c>
      <c r="Q314" s="45" t="n">
        <f aca="false">N(Q313)+$P314</f>
        <v>11</v>
      </c>
    </row>
    <row r="315" customFormat="false" ht="13.5" hidden="false" customHeight="false" outlineLevel="0" collapsed="false">
      <c r="A315" s="9" t="n">
        <v>314</v>
      </c>
      <c r="B315" s="40" t="str">
        <f aca="false">IF($T$4=0,IF($I315="","",$I315),IFERROR(IF([1]财务取数接口!$B$314=0,"",[1]财务取数接口!$B$314),""))</f>
        <v/>
      </c>
      <c r="C315" s="39" t="str">
        <f aca="false">IF($T$4=0,IF($J315="","",$J315),IFERROR(IF([1]财务取数接口!$C$314=0,"",[1]财务取数接口!$C$314),""))</f>
        <v/>
      </c>
      <c r="D315" s="40" t="str">
        <f aca="false">IF($T$4=0,IF($K315="","",$K315),IFERROR(IF([1]财务取数接口!$D$314=0,"",[1]财务取数接口!$D$314),""))</f>
        <v/>
      </c>
      <c r="E315" s="40" t="str">
        <f aca="false">IF($T$4=0,IF($L315="","",$L315),IFERROR(IF([1]财务取数接口!$E$314=0,"",[1]财务取数接口!$E$314),""))</f>
        <v/>
      </c>
      <c r="F315" s="41" t="str">
        <f aca="false">IF($T$4=0,IF($M315="","",$M315),IFERROR(IF([1]财务取数接口!$G$314=0,"",[1]财务取数接口!$G$314),""))</f>
        <v/>
      </c>
      <c r="G315" s="41" t="str">
        <f aca="false">IF($T$4=0,IF($N315="","",$N315),IFERROR(IF([1]财务取数接口!$H$314=0,"",[1]财务取数接口!$H$314),""))</f>
        <v/>
      </c>
      <c r="H315" s="39" t="str">
        <f aca="false">IF($T$4=0,IF($O315="","",$O315),IFERROR(IF([1]财务取数接口!$I$314=0,"",[1]财务取数接口!$I$314),""))</f>
        <v/>
      </c>
      <c r="I315" s="42"/>
      <c r="J315" s="43"/>
      <c r="K315" s="42"/>
      <c r="L315" s="42"/>
      <c r="M315" s="44"/>
      <c r="N315" s="44"/>
      <c r="O315" s="43"/>
      <c r="P315" s="45" t="n">
        <f aca="false">IF(AND($C315&lt;&gt;"",$C315&lt;&gt;"项目",OR(N($D315)&lt;&gt;0,N($E315)&lt;&gt;0,N($F315)&lt;&gt;0)),1,0)</f>
        <v>0</v>
      </c>
      <c r="Q315" s="45" t="n">
        <f aca="false">N(Q314)+$P315</f>
        <v>11</v>
      </c>
    </row>
    <row r="316" customFormat="false" ht="13.5" hidden="false" customHeight="false" outlineLevel="0" collapsed="false">
      <c r="A316" s="9" t="n">
        <v>315</v>
      </c>
      <c r="B316" s="40" t="str">
        <f aca="false">IF($T$4=0,IF($I316="","",$I316),IFERROR(IF([1]财务取数接口!$B$315=0,"",[1]财务取数接口!$B$315),""))</f>
        <v/>
      </c>
      <c r="C316" s="39" t="str">
        <f aca="false">IF($T$4=0,IF($J316="","",$J316),IFERROR(IF([1]财务取数接口!$C$315=0,"",[1]财务取数接口!$C$315),""))</f>
        <v/>
      </c>
      <c r="D316" s="40" t="str">
        <f aca="false">IF($T$4=0,IF($K316="","",$K316),IFERROR(IF([1]财务取数接口!$D$315=0,"",[1]财务取数接口!$D$315),""))</f>
        <v/>
      </c>
      <c r="E316" s="40" t="str">
        <f aca="false">IF($T$4=0,IF($L316="","",$L316),IFERROR(IF([1]财务取数接口!$E$315=0,"",[1]财务取数接口!$E$315),""))</f>
        <v/>
      </c>
      <c r="F316" s="41" t="str">
        <f aca="false">IF($T$4=0,IF($M316="","",$M316),IFERROR(IF([1]财务取数接口!$G$315=0,"",[1]财务取数接口!$G$315),""))</f>
        <v/>
      </c>
      <c r="G316" s="41" t="str">
        <f aca="false">IF($T$4=0,IF($N316="","",$N316),IFERROR(IF([1]财务取数接口!$H$315=0,"",[1]财务取数接口!$H$315),""))</f>
        <v/>
      </c>
      <c r="H316" s="39" t="str">
        <f aca="false">IF($T$4=0,IF($O316="","",$O316),IFERROR(IF([1]财务取数接口!$I$315=0,"",[1]财务取数接口!$I$315),""))</f>
        <v/>
      </c>
      <c r="I316" s="42"/>
      <c r="J316" s="43"/>
      <c r="K316" s="42"/>
      <c r="L316" s="42"/>
      <c r="M316" s="44"/>
      <c r="N316" s="44"/>
      <c r="O316" s="43"/>
      <c r="P316" s="45" t="n">
        <f aca="false">IF(AND($C316&lt;&gt;"",$C316&lt;&gt;"项目",OR(N($D316)&lt;&gt;0,N($E316)&lt;&gt;0,N($F316)&lt;&gt;0)),1,0)</f>
        <v>0</v>
      </c>
      <c r="Q316" s="45" t="n">
        <f aca="false">N(Q315)+$P316</f>
        <v>11</v>
      </c>
    </row>
    <row r="317" customFormat="false" ht="13.5" hidden="false" customHeight="false" outlineLevel="0" collapsed="false">
      <c r="A317" s="9" t="n">
        <v>316</v>
      </c>
      <c r="B317" s="40" t="str">
        <f aca="false">IF($T$4=0,IF($I317="","",$I317),IFERROR(IF([1]财务取数接口!$B$316=0,"",[1]财务取数接口!$B$316),""))</f>
        <v/>
      </c>
      <c r="C317" s="39" t="str">
        <f aca="false">IF($T$4=0,IF($J317="","",$J317),IFERROR(IF([1]财务取数接口!$C$316=0,"",[1]财务取数接口!$C$316),""))</f>
        <v/>
      </c>
      <c r="D317" s="40" t="str">
        <f aca="false">IF($T$4=0,IF($K317="","",$K317),IFERROR(IF([1]财务取数接口!$D$316=0,"",[1]财务取数接口!$D$316),""))</f>
        <v/>
      </c>
      <c r="E317" s="40" t="str">
        <f aca="false">IF($T$4=0,IF($L317="","",$L317),IFERROR(IF([1]财务取数接口!$E$316=0,"",[1]财务取数接口!$E$316),""))</f>
        <v/>
      </c>
      <c r="F317" s="41" t="str">
        <f aca="false">IF($T$4=0,IF($M317="","",$M317),IFERROR(IF([1]财务取数接口!$G$316=0,"",[1]财务取数接口!$G$316),""))</f>
        <v/>
      </c>
      <c r="G317" s="41" t="str">
        <f aca="false">IF($T$4=0,IF($N317="","",$N317),IFERROR(IF([1]财务取数接口!$H$316=0,"",[1]财务取数接口!$H$316),""))</f>
        <v/>
      </c>
      <c r="H317" s="39" t="str">
        <f aca="false">IF($T$4=0,IF($O317="","",$O317),IFERROR(IF([1]财务取数接口!$I$316=0,"",[1]财务取数接口!$I$316),""))</f>
        <v/>
      </c>
      <c r="I317" s="42"/>
      <c r="J317" s="43"/>
      <c r="K317" s="42"/>
      <c r="L317" s="42"/>
      <c r="M317" s="44"/>
      <c r="N317" s="44"/>
      <c r="O317" s="43"/>
      <c r="P317" s="45" t="n">
        <f aca="false">IF(AND($C317&lt;&gt;"",$C317&lt;&gt;"项目",OR(N($D317)&lt;&gt;0,N($E317)&lt;&gt;0,N($F317)&lt;&gt;0)),1,0)</f>
        <v>0</v>
      </c>
      <c r="Q317" s="45" t="n">
        <f aca="false">N(Q316)+$P317</f>
        <v>11</v>
      </c>
    </row>
    <row r="318" customFormat="false" ht="13.5" hidden="false" customHeight="false" outlineLevel="0" collapsed="false">
      <c r="A318" s="9" t="n">
        <v>317</v>
      </c>
      <c r="B318" s="40" t="str">
        <f aca="false">IF($T$4=0,IF($I318="","",$I318),IFERROR(IF([1]财务取数接口!$B$317=0,"",[1]财务取数接口!$B$317),""))</f>
        <v/>
      </c>
      <c r="C318" s="39" t="str">
        <f aca="false">IF($T$4=0,IF($J318="","",$J318),IFERROR(IF([1]财务取数接口!$C$317=0,"",[1]财务取数接口!$C$317),""))</f>
        <v/>
      </c>
      <c r="D318" s="40" t="str">
        <f aca="false">IF($T$4=0,IF($K318="","",$K318),IFERROR(IF([1]财务取数接口!$D$317=0,"",[1]财务取数接口!$D$317),""))</f>
        <v/>
      </c>
      <c r="E318" s="40" t="str">
        <f aca="false">IF($T$4=0,IF($L318="","",$L318),IFERROR(IF([1]财务取数接口!$E$317=0,"",[1]财务取数接口!$E$317),""))</f>
        <v/>
      </c>
      <c r="F318" s="41" t="str">
        <f aca="false">IF($T$4=0,IF($M318="","",$M318),IFERROR(IF([1]财务取数接口!$G$317=0,"",[1]财务取数接口!$G$317),""))</f>
        <v/>
      </c>
      <c r="G318" s="41" t="str">
        <f aca="false">IF($T$4=0,IF($N318="","",$N318),IFERROR(IF([1]财务取数接口!$H$317=0,"",[1]财务取数接口!$H$317),""))</f>
        <v/>
      </c>
      <c r="H318" s="39" t="str">
        <f aca="false">IF($T$4=0,IF($O318="","",$O318),IFERROR(IF([1]财务取数接口!$I$317=0,"",[1]财务取数接口!$I$317),""))</f>
        <v/>
      </c>
      <c r="I318" s="42"/>
      <c r="J318" s="43"/>
      <c r="K318" s="42"/>
      <c r="L318" s="42"/>
      <c r="M318" s="44"/>
      <c r="N318" s="44"/>
      <c r="O318" s="43"/>
      <c r="P318" s="45" t="n">
        <f aca="false">IF(AND($C318&lt;&gt;"",$C318&lt;&gt;"项目",OR(N($D318)&lt;&gt;0,N($E318)&lt;&gt;0,N($F318)&lt;&gt;0)),1,0)</f>
        <v>0</v>
      </c>
      <c r="Q318" s="45" t="n">
        <f aca="false">N(Q317)+$P318</f>
        <v>11</v>
      </c>
    </row>
    <row r="319" customFormat="false" ht="13.5" hidden="false" customHeight="false" outlineLevel="0" collapsed="false">
      <c r="A319" s="9" t="n">
        <v>318</v>
      </c>
      <c r="B319" s="40" t="str">
        <f aca="false">IF($T$4=0,IF($I319="","",$I319),IFERROR(IF([1]财务取数接口!$B$318=0,"",[1]财务取数接口!$B$318),""))</f>
        <v/>
      </c>
      <c r="C319" s="39" t="str">
        <f aca="false">IF($T$4=0,IF($J319="","",$J319),IFERROR(IF([1]财务取数接口!$C$318=0,"",[1]财务取数接口!$C$318),""))</f>
        <v/>
      </c>
      <c r="D319" s="40" t="str">
        <f aca="false">IF($T$4=0,IF($K319="","",$K319),IFERROR(IF([1]财务取数接口!$D$318=0,"",[1]财务取数接口!$D$318),""))</f>
        <v/>
      </c>
      <c r="E319" s="40" t="str">
        <f aca="false">IF($T$4=0,IF($L319="","",$L319),IFERROR(IF([1]财务取数接口!$E$318=0,"",[1]财务取数接口!$E$318),""))</f>
        <v/>
      </c>
      <c r="F319" s="41" t="str">
        <f aca="false">IF($T$4=0,IF($M319="","",$M319),IFERROR(IF([1]财务取数接口!$G$318=0,"",[1]财务取数接口!$G$318),""))</f>
        <v/>
      </c>
      <c r="G319" s="41" t="str">
        <f aca="false">IF($T$4=0,IF($N319="","",$N319),IFERROR(IF([1]财务取数接口!$H$318=0,"",[1]财务取数接口!$H$318),""))</f>
        <v/>
      </c>
      <c r="H319" s="39" t="str">
        <f aca="false">IF($T$4=0,IF($O319="","",$O319),IFERROR(IF([1]财务取数接口!$I$318=0,"",[1]财务取数接口!$I$318),""))</f>
        <v/>
      </c>
      <c r="I319" s="42"/>
      <c r="J319" s="43"/>
      <c r="K319" s="42"/>
      <c r="L319" s="42"/>
      <c r="M319" s="44"/>
      <c r="N319" s="44"/>
      <c r="O319" s="43"/>
      <c r="P319" s="45" t="n">
        <f aca="false">IF(AND($C319&lt;&gt;"",$C319&lt;&gt;"项目",OR(N($D319)&lt;&gt;0,N($E319)&lt;&gt;0,N($F319)&lt;&gt;0)),1,0)</f>
        <v>0</v>
      </c>
      <c r="Q319" s="45" t="n">
        <f aca="false">N(Q318)+$P319</f>
        <v>11</v>
      </c>
    </row>
    <row r="320" customFormat="false" ht="13.5" hidden="false" customHeight="false" outlineLevel="0" collapsed="false">
      <c r="A320" s="9" t="n">
        <v>319</v>
      </c>
      <c r="B320" s="40" t="str">
        <f aca="false">IF($T$4=0,IF($I320="","",$I320),IFERROR(IF([1]财务取数接口!$B$319=0,"",[1]财务取数接口!$B$319),""))</f>
        <v/>
      </c>
      <c r="C320" s="39" t="str">
        <f aca="false">IF($T$4=0,IF($J320="","",$J320),IFERROR(IF([1]财务取数接口!$C$319=0,"",[1]财务取数接口!$C$319),""))</f>
        <v/>
      </c>
      <c r="D320" s="40" t="str">
        <f aca="false">IF($T$4=0,IF($K320="","",$K320),IFERROR(IF([1]财务取数接口!$D$319=0,"",[1]财务取数接口!$D$319),""))</f>
        <v/>
      </c>
      <c r="E320" s="40" t="str">
        <f aca="false">IF($T$4=0,IF($L320="","",$L320),IFERROR(IF([1]财务取数接口!$E$319=0,"",[1]财务取数接口!$E$319),""))</f>
        <v/>
      </c>
      <c r="F320" s="41" t="str">
        <f aca="false">IF($T$4=0,IF($M320="","",$M320),IFERROR(IF([1]财务取数接口!$G$319=0,"",[1]财务取数接口!$G$319),""))</f>
        <v/>
      </c>
      <c r="G320" s="41" t="str">
        <f aca="false">IF($T$4=0,IF($N320="","",$N320),IFERROR(IF([1]财务取数接口!$H$319=0,"",[1]财务取数接口!$H$319),""))</f>
        <v/>
      </c>
      <c r="H320" s="39" t="str">
        <f aca="false">IF($T$4=0,IF($O320="","",$O320),IFERROR(IF([1]财务取数接口!$I$319=0,"",[1]财务取数接口!$I$319),""))</f>
        <v/>
      </c>
      <c r="I320" s="42"/>
      <c r="J320" s="43"/>
      <c r="K320" s="42"/>
      <c r="L320" s="42"/>
      <c r="M320" s="44"/>
      <c r="N320" s="44"/>
      <c r="O320" s="43"/>
      <c r="P320" s="45" t="n">
        <f aca="false">IF(AND($C320&lt;&gt;"",$C320&lt;&gt;"项目",OR(N($D320)&lt;&gt;0,N($E320)&lt;&gt;0,N($F320)&lt;&gt;0)),1,0)</f>
        <v>0</v>
      </c>
      <c r="Q320" s="45" t="n">
        <f aca="false">N(Q319)+$P320</f>
        <v>11</v>
      </c>
    </row>
    <row r="321" customFormat="false" ht="13.5" hidden="false" customHeight="false" outlineLevel="0" collapsed="false">
      <c r="A321" s="9" t="n">
        <v>320</v>
      </c>
      <c r="B321" s="40" t="str">
        <f aca="false">IF($T$4=0,IF($I321="","",$I321),IFERROR(IF([1]财务取数接口!$B$320=0,"",[1]财务取数接口!$B$320),""))</f>
        <v/>
      </c>
      <c r="C321" s="39" t="str">
        <f aca="false">IF($T$4=0,IF($J321="","",$J321),IFERROR(IF([1]财务取数接口!$C$320=0,"",[1]财务取数接口!$C$320),""))</f>
        <v/>
      </c>
      <c r="D321" s="40" t="str">
        <f aca="false">IF($T$4=0,IF($K321="","",$K321),IFERROR(IF([1]财务取数接口!$D$320=0,"",[1]财务取数接口!$D$320),""))</f>
        <v/>
      </c>
      <c r="E321" s="40" t="str">
        <f aca="false">IF($T$4=0,IF($L321="","",$L321),IFERROR(IF([1]财务取数接口!$E$320=0,"",[1]财务取数接口!$E$320),""))</f>
        <v/>
      </c>
      <c r="F321" s="41" t="str">
        <f aca="false">IF($T$4=0,IF($M321="","",$M321),IFERROR(IF([1]财务取数接口!$G$320=0,"",[1]财务取数接口!$G$320),""))</f>
        <v/>
      </c>
      <c r="G321" s="41" t="str">
        <f aca="false">IF($T$4=0,IF($N321="","",$N321),IFERROR(IF([1]财务取数接口!$H$320=0,"",[1]财务取数接口!$H$320),""))</f>
        <v/>
      </c>
      <c r="H321" s="39" t="str">
        <f aca="false">IF($T$4=0,IF($O321="","",$O321),IFERROR(IF([1]财务取数接口!$I$320=0,"",[1]财务取数接口!$I$320),""))</f>
        <v/>
      </c>
      <c r="I321" s="42"/>
      <c r="J321" s="43"/>
      <c r="K321" s="42"/>
      <c r="L321" s="42"/>
      <c r="M321" s="44"/>
      <c r="N321" s="44"/>
      <c r="O321" s="43"/>
      <c r="P321" s="45" t="n">
        <f aca="false">IF(AND($C321&lt;&gt;"",$C321&lt;&gt;"项目",OR(N($D321)&lt;&gt;0,N($E321)&lt;&gt;0,N($F321)&lt;&gt;0)),1,0)</f>
        <v>0</v>
      </c>
      <c r="Q321" s="45" t="n">
        <f aca="false">N(Q320)+$P321</f>
        <v>11</v>
      </c>
    </row>
    <row r="322" customFormat="false" ht="13.5" hidden="false" customHeight="false" outlineLevel="0" collapsed="false">
      <c r="A322" s="9" t="n">
        <v>321</v>
      </c>
      <c r="B322" s="40" t="str">
        <f aca="false">IF($T$4=0,IF($I322="","",$I322),IFERROR(IF([1]财务取数接口!$B$321=0,"",[1]财务取数接口!$B$321),""))</f>
        <v/>
      </c>
      <c r="C322" s="39" t="str">
        <f aca="false">IF($T$4=0,IF($J322="","",$J322),IFERROR(IF([1]财务取数接口!$C$321=0,"",[1]财务取数接口!$C$321),""))</f>
        <v/>
      </c>
      <c r="D322" s="40" t="str">
        <f aca="false">IF($T$4=0,IF($K322="","",$K322),IFERROR(IF([1]财务取数接口!$D$321=0,"",[1]财务取数接口!$D$321),""))</f>
        <v/>
      </c>
      <c r="E322" s="40" t="str">
        <f aca="false">IF($T$4=0,IF($L322="","",$L322),IFERROR(IF([1]财务取数接口!$E$321=0,"",[1]财务取数接口!$E$321),""))</f>
        <v/>
      </c>
      <c r="F322" s="41" t="str">
        <f aca="false">IF($T$4=0,IF($M322="","",$M322),IFERROR(IF([1]财务取数接口!$G$321=0,"",[1]财务取数接口!$G$321),""))</f>
        <v/>
      </c>
      <c r="G322" s="41" t="str">
        <f aca="false">IF($T$4=0,IF($N322="","",$N322),IFERROR(IF([1]财务取数接口!$H$321=0,"",[1]财务取数接口!$H$321),""))</f>
        <v/>
      </c>
      <c r="H322" s="39" t="str">
        <f aca="false">IF($T$4=0,IF($O322="","",$O322),IFERROR(IF([1]财务取数接口!$I$321=0,"",[1]财务取数接口!$I$321),""))</f>
        <v/>
      </c>
      <c r="I322" s="42"/>
      <c r="J322" s="43"/>
      <c r="K322" s="42"/>
      <c r="L322" s="42"/>
      <c r="M322" s="44"/>
      <c r="N322" s="44"/>
      <c r="O322" s="43"/>
      <c r="P322" s="45" t="n">
        <f aca="false">IF(AND($C322&lt;&gt;"",$C322&lt;&gt;"项目",OR(N($D322)&lt;&gt;0,N($E322)&lt;&gt;0,N($F322)&lt;&gt;0)),1,0)</f>
        <v>0</v>
      </c>
      <c r="Q322" s="45" t="n">
        <f aca="false">N(Q321)+$P322</f>
        <v>11</v>
      </c>
    </row>
    <row r="323" customFormat="false" ht="13.5" hidden="false" customHeight="false" outlineLevel="0" collapsed="false">
      <c r="A323" s="9" t="n">
        <v>322</v>
      </c>
      <c r="B323" s="40" t="str">
        <f aca="false">IF($T$4=0,IF($I323="","",$I323),IFERROR(IF([1]财务取数接口!$B$322=0,"",[1]财务取数接口!$B$322),""))</f>
        <v/>
      </c>
      <c r="C323" s="39" t="str">
        <f aca="false">IF($T$4=0,IF($J323="","",$J323),IFERROR(IF([1]财务取数接口!$C$322=0,"",[1]财务取数接口!$C$322),""))</f>
        <v/>
      </c>
      <c r="D323" s="40" t="str">
        <f aca="false">IF($T$4=0,IF($K323="","",$K323),IFERROR(IF([1]财务取数接口!$D$322=0,"",[1]财务取数接口!$D$322),""))</f>
        <v/>
      </c>
      <c r="E323" s="40" t="str">
        <f aca="false">IF($T$4=0,IF($L323="","",$L323),IFERROR(IF([1]财务取数接口!$E$322=0,"",[1]财务取数接口!$E$322),""))</f>
        <v/>
      </c>
      <c r="F323" s="41" t="str">
        <f aca="false">IF($T$4=0,IF($M323="","",$M323),IFERROR(IF([1]财务取数接口!$G$322=0,"",[1]财务取数接口!$G$322),""))</f>
        <v/>
      </c>
      <c r="G323" s="41" t="str">
        <f aca="false">IF($T$4=0,IF($N323="","",$N323),IFERROR(IF([1]财务取数接口!$H$322=0,"",[1]财务取数接口!$H$322),""))</f>
        <v/>
      </c>
      <c r="H323" s="39" t="str">
        <f aca="false">IF($T$4=0,IF($O323="","",$O323),IFERROR(IF([1]财务取数接口!$I$322=0,"",[1]财务取数接口!$I$322),""))</f>
        <v/>
      </c>
      <c r="I323" s="42"/>
      <c r="J323" s="43"/>
      <c r="K323" s="42"/>
      <c r="L323" s="42"/>
      <c r="M323" s="44"/>
      <c r="N323" s="44"/>
      <c r="O323" s="43"/>
      <c r="P323" s="45" t="n">
        <f aca="false">IF(AND($C323&lt;&gt;"",$C323&lt;&gt;"项目",OR(N($D323)&lt;&gt;0,N($E323)&lt;&gt;0,N($F323)&lt;&gt;0)),1,0)</f>
        <v>0</v>
      </c>
      <c r="Q323" s="45" t="n">
        <f aca="false">N(Q322)+$P323</f>
        <v>11</v>
      </c>
    </row>
    <row r="324" customFormat="false" ht="13.5" hidden="false" customHeight="false" outlineLevel="0" collapsed="false">
      <c r="A324" s="9" t="n">
        <v>323</v>
      </c>
      <c r="B324" s="40" t="str">
        <f aca="false">IF($T$4=0,IF($I324="","",$I324),IFERROR(IF([1]财务取数接口!$B$323=0,"",[1]财务取数接口!$B$323),""))</f>
        <v/>
      </c>
      <c r="C324" s="39" t="str">
        <f aca="false">IF($T$4=0,IF($J324="","",$J324),IFERROR(IF([1]财务取数接口!$C$323=0,"",[1]财务取数接口!$C$323),""))</f>
        <v/>
      </c>
      <c r="D324" s="40" t="str">
        <f aca="false">IF($T$4=0,IF($K324="","",$K324),IFERROR(IF([1]财务取数接口!$D$323=0,"",[1]财务取数接口!$D$323),""))</f>
        <v/>
      </c>
      <c r="E324" s="40" t="str">
        <f aca="false">IF($T$4=0,IF($L324="","",$L324),IFERROR(IF([1]财务取数接口!$E$323=0,"",[1]财务取数接口!$E$323),""))</f>
        <v/>
      </c>
      <c r="F324" s="41" t="str">
        <f aca="false">IF($T$4=0,IF($M324="","",$M324),IFERROR(IF([1]财务取数接口!$G$323=0,"",[1]财务取数接口!$G$323),""))</f>
        <v/>
      </c>
      <c r="G324" s="41" t="str">
        <f aca="false">IF($T$4=0,IF($N324="","",$N324),IFERROR(IF([1]财务取数接口!$H$323=0,"",[1]财务取数接口!$H$323),""))</f>
        <v/>
      </c>
      <c r="H324" s="39" t="str">
        <f aca="false">IF($T$4=0,IF($O324="","",$O324),IFERROR(IF([1]财务取数接口!$I$323=0,"",[1]财务取数接口!$I$323),""))</f>
        <v/>
      </c>
      <c r="I324" s="42"/>
      <c r="J324" s="43"/>
      <c r="K324" s="42"/>
      <c r="L324" s="42"/>
      <c r="M324" s="44"/>
      <c r="N324" s="44"/>
      <c r="O324" s="43"/>
      <c r="P324" s="45" t="n">
        <f aca="false">IF(AND($C324&lt;&gt;"",$C324&lt;&gt;"项目",OR(N($D324)&lt;&gt;0,N($E324)&lt;&gt;0,N($F324)&lt;&gt;0)),1,0)</f>
        <v>0</v>
      </c>
      <c r="Q324" s="45" t="n">
        <f aca="false">N(Q323)+$P324</f>
        <v>11</v>
      </c>
    </row>
    <row r="325" customFormat="false" ht="13.5" hidden="false" customHeight="false" outlineLevel="0" collapsed="false">
      <c r="A325" s="9" t="n">
        <v>324</v>
      </c>
      <c r="B325" s="40" t="str">
        <f aca="false">IF($T$4=0,IF($I325="","",$I325),IFERROR(IF([1]财务取数接口!$B$324=0,"",[1]财务取数接口!$B$324),""))</f>
        <v/>
      </c>
      <c r="C325" s="39" t="str">
        <f aca="false">IF($T$4=0,IF($J325="","",$J325),IFERROR(IF([1]财务取数接口!$C$324=0,"",[1]财务取数接口!$C$324),""))</f>
        <v/>
      </c>
      <c r="D325" s="40" t="str">
        <f aca="false">IF($T$4=0,IF($K325="","",$K325),IFERROR(IF([1]财务取数接口!$D$324=0,"",[1]财务取数接口!$D$324),""))</f>
        <v/>
      </c>
      <c r="E325" s="40" t="str">
        <f aca="false">IF($T$4=0,IF($L325="","",$L325),IFERROR(IF([1]财务取数接口!$E$324=0,"",[1]财务取数接口!$E$324),""))</f>
        <v/>
      </c>
      <c r="F325" s="41" t="str">
        <f aca="false">IF($T$4=0,IF($M325="","",$M325),IFERROR(IF([1]财务取数接口!$G$324=0,"",[1]财务取数接口!$G$324),""))</f>
        <v/>
      </c>
      <c r="G325" s="41" t="str">
        <f aca="false">IF($T$4=0,IF($N325="","",$N325),IFERROR(IF([1]财务取数接口!$H$324=0,"",[1]财务取数接口!$H$324),""))</f>
        <v/>
      </c>
      <c r="H325" s="39" t="str">
        <f aca="false">IF($T$4=0,IF($O325="","",$O325),IFERROR(IF([1]财务取数接口!$I$324=0,"",[1]财务取数接口!$I$324),""))</f>
        <v/>
      </c>
      <c r="I325" s="42"/>
      <c r="J325" s="43"/>
      <c r="K325" s="42"/>
      <c r="L325" s="42"/>
      <c r="M325" s="44"/>
      <c r="N325" s="44"/>
      <c r="O325" s="43"/>
      <c r="P325" s="45" t="n">
        <f aca="false">IF(AND($C325&lt;&gt;"",$C325&lt;&gt;"项目",OR(N($D325)&lt;&gt;0,N($E325)&lt;&gt;0,N($F325)&lt;&gt;0)),1,0)</f>
        <v>0</v>
      </c>
      <c r="Q325" s="45" t="n">
        <f aca="false">N(Q324)+$P325</f>
        <v>11</v>
      </c>
    </row>
    <row r="326" customFormat="false" ht="13.5" hidden="false" customHeight="false" outlineLevel="0" collapsed="false">
      <c r="A326" s="9" t="n">
        <v>325</v>
      </c>
      <c r="B326" s="40" t="str">
        <f aca="false">IF($T$4=0,IF($I326="","",$I326),IFERROR(IF([1]财务取数接口!$B$325=0,"",[1]财务取数接口!$B$325),""))</f>
        <v/>
      </c>
      <c r="C326" s="39" t="str">
        <f aca="false">IF($T$4=0,IF($J326="","",$J326),IFERROR(IF([1]财务取数接口!$C$325=0,"",[1]财务取数接口!$C$325),""))</f>
        <v/>
      </c>
      <c r="D326" s="40" t="str">
        <f aca="false">IF($T$4=0,IF($K326="","",$K326),IFERROR(IF([1]财务取数接口!$D$325=0,"",[1]财务取数接口!$D$325),""))</f>
        <v/>
      </c>
      <c r="E326" s="40" t="str">
        <f aca="false">IF($T$4=0,IF($L326="","",$L326),IFERROR(IF([1]财务取数接口!$E$325=0,"",[1]财务取数接口!$E$325),""))</f>
        <v/>
      </c>
      <c r="F326" s="41" t="str">
        <f aca="false">IF($T$4=0,IF($M326="","",$M326),IFERROR(IF([1]财务取数接口!$G$325=0,"",[1]财务取数接口!$G$325),""))</f>
        <v/>
      </c>
      <c r="G326" s="41" t="str">
        <f aca="false">IF($T$4=0,IF($N326="","",$N326),IFERROR(IF([1]财务取数接口!$H$325=0,"",[1]财务取数接口!$H$325),""))</f>
        <v/>
      </c>
      <c r="H326" s="39" t="str">
        <f aca="false">IF($T$4=0,IF($O326="","",$O326),IFERROR(IF([1]财务取数接口!$I$325=0,"",[1]财务取数接口!$I$325),""))</f>
        <v/>
      </c>
      <c r="I326" s="42"/>
      <c r="J326" s="43"/>
      <c r="K326" s="42"/>
      <c r="L326" s="42"/>
      <c r="M326" s="44"/>
      <c r="N326" s="44"/>
      <c r="O326" s="43"/>
      <c r="P326" s="45" t="n">
        <f aca="false">IF(AND($C326&lt;&gt;"",$C326&lt;&gt;"项目",OR(N($D326)&lt;&gt;0,N($E326)&lt;&gt;0,N($F326)&lt;&gt;0)),1,0)</f>
        <v>0</v>
      </c>
      <c r="Q326" s="45" t="n">
        <f aca="false">N(Q325)+$P326</f>
        <v>11</v>
      </c>
    </row>
    <row r="327" customFormat="false" ht="13.5" hidden="false" customHeight="false" outlineLevel="0" collapsed="false">
      <c r="A327" s="9" t="n">
        <v>326</v>
      </c>
      <c r="B327" s="40" t="str">
        <f aca="false">IF($T$4=0,IF($I327="","",$I327),IFERROR(IF([1]财务取数接口!$B$326=0,"",[1]财务取数接口!$B$326),""))</f>
        <v/>
      </c>
      <c r="C327" s="39" t="str">
        <f aca="false">IF($T$4=0,IF($J327="","",$J327),IFERROR(IF([1]财务取数接口!$C$326=0,"",[1]财务取数接口!$C$326),""))</f>
        <v/>
      </c>
      <c r="D327" s="40" t="str">
        <f aca="false">IF($T$4=0,IF($K327="","",$K327),IFERROR(IF([1]财务取数接口!$D$326=0,"",[1]财务取数接口!$D$326),""))</f>
        <v/>
      </c>
      <c r="E327" s="40" t="str">
        <f aca="false">IF($T$4=0,IF($L327="","",$L327),IFERROR(IF([1]财务取数接口!$E$326=0,"",[1]财务取数接口!$E$326),""))</f>
        <v/>
      </c>
      <c r="F327" s="41" t="str">
        <f aca="false">IF($T$4=0,IF($M327="","",$M327),IFERROR(IF([1]财务取数接口!$G$326=0,"",[1]财务取数接口!$G$326),""))</f>
        <v/>
      </c>
      <c r="G327" s="41" t="str">
        <f aca="false">IF($T$4=0,IF($N327="","",$N327),IFERROR(IF([1]财务取数接口!$H$326=0,"",[1]财务取数接口!$H$326),""))</f>
        <v/>
      </c>
      <c r="H327" s="39" t="str">
        <f aca="false">IF($T$4=0,IF($O327="","",$O327),IFERROR(IF([1]财务取数接口!$I$326=0,"",[1]财务取数接口!$I$326),""))</f>
        <v/>
      </c>
      <c r="I327" s="42"/>
      <c r="J327" s="43"/>
      <c r="K327" s="42"/>
      <c r="L327" s="42"/>
      <c r="M327" s="44"/>
      <c r="N327" s="44"/>
      <c r="O327" s="43"/>
      <c r="P327" s="45" t="n">
        <f aca="false">IF(AND($C327&lt;&gt;"",$C327&lt;&gt;"项目",OR(N($D327)&lt;&gt;0,N($E327)&lt;&gt;0,N($F327)&lt;&gt;0)),1,0)</f>
        <v>0</v>
      </c>
      <c r="Q327" s="45" t="n">
        <f aca="false">N(Q326)+$P327</f>
        <v>11</v>
      </c>
    </row>
    <row r="328" customFormat="false" ht="13.5" hidden="false" customHeight="false" outlineLevel="0" collapsed="false">
      <c r="A328" s="9" t="n">
        <v>327</v>
      </c>
      <c r="B328" s="40" t="str">
        <f aca="false">IF($T$4=0,IF($I328="","",$I328),IFERROR(IF([1]财务取数接口!$B$327=0,"",[1]财务取数接口!$B$327),""))</f>
        <v/>
      </c>
      <c r="C328" s="39" t="str">
        <f aca="false">IF($T$4=0,IF($J328="","",$J328),IFERROR(IF([1]财务取数接口!$C$327=0,"",[1]财务取数接口!$C$327),""))</f>
        <v/>
      </c>
      <c r="D328" s="40" t="str">
        <f aca="false">IF($T$4=0,IF($K328="","",$K328),IFERROR(IF([1]财务取数接口!$D$327=0,"",[1]财务取数接口!$D$327),""))</f>
        <v/>
      </c>
      <c r="E328" s="40" t="str">
        <f aca="false">IF($T$4=0,IF($L328="","",$L328),IFERROR(IF([1]财务取数接口!$E$327=0,"",[1]财务取数接口!$E$327),""))</f>
        <v/>
      </c>
      <c r="F328" s="41" t="str">
        <f aca="false">IF($T$4=0,IF($M328="","",$M328),IFERROR(IF([1]财务取数接口!$G$327=0,"",[1]财务取数接口!$G$327),""))</f>
        <v/>
      </c>
      <c r="G328" s="41" t="str">
        <f aca="false">IF($T$4=0,IF($N328="","",$N328),IFERROR(IF([1]财务取数接口!$H$327=0,"",[1]财务取数接口!$H$327),""))</f>
        <v/>
      </c>
      <c r="H328" s="39" t="str">
        <f aca="false">IF($T$4=0,IF($O328="","",$O328),IFERROR(IF([1]财务取数接口!$I$327=0,"",[1]财务取数接口!$I$327),""))</f>
        <v/>
      </c>
      <c r="I328" s="42"/>
      <c r="J328" s="43"/>
      <c r="K328" s="42"/>
      <c r="L328" s="42"/>
      <c r="M328" s="44"/>
      <c r="N328" s="44"/>
      <c r="O328" s="43"/>
      <c r="P328" s="45" t="n">
        <f aca="false">IF(AND($C328&lt;&gt;"",$C328&lt;&gt;"项目",OR(N($D328)&lt;&gt;0,N($E328)&lt;&gt;0,N($F328)&lt;&gt;0)),1,0)</f>
        <v>0</v>
      </c>
      <c r="Q328" s="45" t="n">
        <f aca="false">N(Q327)+$P328</f>
        <v>11</v>
      </c>
    </row>
    <row r="329" customFormat="false" ht="13.5" hidden="false" customHeight="false" outlineLevel="0" collapsed="false">
      <c r="A329" s="9" t="n">
        <v>328</v>
      </c>
      <c r="B329" s="40" t="str">
        <f aca="false">IF($T$4=0,IF($I329="","",$I329),IFERROR(IF([1]财务取数接口!$B$328=0,"",[1]财务取数接口!$B$328),""))</f>
        <v/>
      </c>
      <c r="C329" s="39" t="str">
        <f aca="false">IF($T$4=0,IF($J329="","",$J329),IFERROR(IF([1]财务取数接口!$C$328=0,"",[1]财务取数接口!$C$328),""))</f>
        <v/>
      </c>
      <c r="D329" s="40" t="str">
        <f aca="false">IF($T$4=0,IF($K329="","",$K329),IFERROR(IF([1]财务取数接口!$D$328=0,"",[1]财务取数接口!$D$328),""))</f>
        <v/>
      </c>
      <c r="E329" s="40" t="str">
        <f aca="false">IF($T$4=0,IF($L329="","",$L329),IFERROR(IF([1]财务取数接口!$E$328=0,"",[1]财务取数接口!$E$328),""))</f>
        <v/>
      </c>
      <c r="F329" s="41" t="str">
        <f aca="false">IF($T$4=0,IF($M329="","",$M329),IFERROR(IF([1]财务取数接口!$G$328=0,"",[1]财务取数接口!$G$328),""))</f>
        <v/>
      </c>
      <c r="G329" s="41" t="str">
        <f aca="false">IF($T$4=0,IF($N329="","",$N329),IFERROR(IF([1]财务取数接口!$H$328=0,"",[1]财务取数接口!$H$328),""))</f>
        <v/>
      </c>
      <c r="H329" s="39" t="str">
        <f aca="false">IF($T$4=0,IF($O329="","",$O329),IFERROR(IF([1]财务取数接口!$I$328=0,"",[1]财务取数接口!$I$328),""))</f>
        <v/>
      </c>
      <c r="I329" s="42"/>
      <c r="J329" s="43"/>
      <c r="K329" s="42"/>
      <c r="L329" s="42"/>
      <c r="M329" s="44"/>
      <c r="N329" s="44"/>
      <c r="O329" s="43"/>
      <c r="P329" s="45" t="n">
        <f aca="false">IF(AND($C329&lt;&gt;"",$C329&lt;&gt;"项目",OR(N($D329)&lt;&gt;0,N($E329)&lt;&gt;0,N($F329)&lt;&gt;0)),1,0)</f>
        <v>0</v>
      </c>
      <c r="Q329" s="45" t="n">
        <f aca="false">N(Q328)+$P329</f>
        <v>11</v>
      </c>
    </row>
    <row r="330" customFormat="false" ht="13.5" hidden="false" customHeight="false" outlineLevel="0" collapsed="false">
      <c r="A330" s="9" t="n">
        <v>329</v>
      </c>
      <c r="B330" s="40" t="str">
        <f aca="false">IF($T$4=0,IF($I330="","",$I330),IFERROR(IF([1]财务取数接口!$B$329=0,"",[1]财务取数接口!$B$329),""))</f>
        <v/>
      </c>
      <c r="C330" s="39" t="str">
        <f aca="false">IF($T$4=0,IF($J330="","",$J330),IFERROR(IF([1]财务取数接口!$C$329=0,"",[1]财务取数接口!$C$329),""))</f>
        <v/>
      </c>
      <c r="D330" s="40" t="str">
        <f aca="false">IF($T$4=0,IF($K330="","",$K330),IFERROR(IF([1]财务取数接口!$D$329=0,"",[1]财务取数接口!$D$329),""))</f>
        <v/>
      </c>
      <c r="E330" s="40" t="str">
        <f aca="false">IF($T$4=0,IF($L330="","",$L330),IFERROR(IF([1]财务取数接口!$E$329=0,"",[1]财务取数接口!$E$329),""))</f>
        <v/>
      </c>
      <c r="F330" s="41" t="str">
        <f aca="false">IF($T$4=0,IF($M330="","",$M330),IFERROR(IF([1]财务取数接口!$G$329=0,"",[1]财务取数接口!$G$329),""))</f>
        <v/>
      </c>
      <c r="G330" s="41" t="str">
        <f aca="false">IF($T$4=0,IF($N330="","",$N330),IFERROR(IF([1]财务取数接口!$H$329=0,"",[1]财务取数接口!$H$329),""))</f>
        <v/>
      </c>
      <c r="H330" s="39" t="str">
        <f aca="false">IF($T$4=0,IF($O330="","",$O330),IFERROR(IF([1]财务取数接口!$I$329=0,"",[1]财务取数接口!$I$329),""))</f>
        <v/>
      </c>
      <c r="I330" s="42"/>
      <c r="J330" s="43"/>
      <c r="K330" s="42"/>
      <c r="L330" s="42"/>
      <c r="M330" s="44"/>
      <c r="N330" s="44"/>
      <c r="O330" s="43"/>
      <c r="P330" s="45" t="n">
        <f aca="false">IF(AND($C330&lt;&gt;"",$C330&lt;&gt;"项目",OR(N($D330)&lt;&gt;0,N($E330)&lt;&gt;0,N($F330)&lt;&gt;0)),1,0)</f>
        <v>0</v>
      </c>
      <c r="Q330" s="45" t="n">
        <f aca="false">N(Q329)+$P330</f>
        <v>11</v>
      </c>
    </row>
    <row r="331" customFormat="false" ht="13.5" hidden="false" customHeight="false" outlineLevel="0" collapsed="false">
      <c r="A331" s="9" t="n">
        <v>330</v>
      </c>
      <c r="B331" s="40" t="str">
        <f aca="false">IF($T$4=0,IF($I331="","",$I331),IFERROR(IF([1]财务取数接口!$B$330=0,"",[1]财务取数接口!$B$330),""))</f>
        <v/>
      </c>
      <c r="C331" s="39" t="str">
        <f aca="false">IF($T$4=0,IF($J331="","",$J331),IFERROR(IF([1]财务取数接口!$C$330=0,"",[1]财务取数接口!$C$330),""))</f>
        <v/>
      </c>
      <c r="D331" s="40" t="str">
        <f aca="false">IF($T$4=0,IF($K331="","",$K331),IFERROR(IF([1]财务取数接口!$D$330=0,"",[1]财务取数接口!$D$330),""))</f>
        <v/>
      </c>
      <c r="E331" s="40" t="str">
        <f aca="false">IF($T$4=0,IF($L331="","",$L331),IFERROR(IF([1]财务取数接口!$E$330=0,"",[1]财务取数接口!$E$330),""))</f>
        <v/>
      </c>
      <c r="F331" s="41" t="str">
        <f aca="false">IF($T$4=0,IF($M331="","",$M331),IFERROR(IF([1]财务取数接口!$G$330=0,"",[1]财务取数接口!$G$330),""))</f>
        <v/>
      </c>
      <c r="G331" s="41" t="str">
        <f aca="false">IF($T$4=0,IF($N331="","",$N331),IFERROR(IF([1]财务取数接口!$H$330=0,"",[1]财务取数接口!$H$330),""))</f>
        <v/>
      </c>
      <c r="H331" s="39" t="str">
        <f aca="false">IF($T$4=0,IF($O331="","",$O331),IFERROR(IF([1]财务取数接口!$I$330=0,"",[1]财务取数接口!$I$330),""))</f>
        <v/>
      </c>
      <c r="I331" s="42"/>
      <c r="J331" s="43"/>
      <c r="K331" s="42"/>
      <c r="L331" s="42"/>
      <c r="M331" s="44"/>
      <c r="N331" s="44"/>
      <c r="O331" s="43"/>
      <c r="P331" s="45" t="n">
        <f aca="false">IF(AND($C331&lt;&gt;"",$C331&lt;&gt;"项目",OR(N($D331)&lt;&gt;0,N($E331)&lt;&gt;0,N($F331)&lt;&gt;0)),1,0)</f>
        <v>0</v>
      </c>
      <c r="Q331" s="45" t="n">
        <f aca="false">N(Q330)+$P331</f>
        <v>11</v>
      </c>
    </row>
    <row r="332" customFormat="false" ht="13.5" hidden="false" customHeight="false" outlineLevel="0" collapsed="false">
      <c r="A332" s="9" t="n">
        <v>331</v>
      </c>
      <c r="B332" s="40" t="str">
        <f aca="false">IF($T$4=0,IF($I332="","",$I332),IFERROR(IF([1]财务取数接口!$B$331=0,"",[1]财务取数接口!$B$331),""))</f>
        <v/>
      </c>
      <c r="C332" s="39" t="str">
        <f aca="false">IF($T$4=0,IF($J332="","",$J332),IFERROR(IF([1]财务取数接口!$C$331=0,"",[1]财务取数接口!$C$331),""))</f>
        <v/>
      </c>
      <c r="D332" s="40" t="str">
        <f aca="false">IF($T$4=0,IF($K332="","",$K332),IFERROR(IF([1]财务取数接口!$D$331=0,"",[1]财务取数接口!$D$331),""))</f>
        <v/>
      </c>
      <c r="E332" s="40" t="str">
        <f aca="false">IF($T$4=0,IF($L332="","",$L332),IFERROR(IF([1]财务取数接口!$E$331=0,"",[1]财务取数接口!$E$331),""))</f>
        <v/>
      </c>
      <c r="F332" s="41" t="str">
        <f aca="false">IF($T$4=0,IF($M332="","",$M332),IFERROR(IF([1]财务取数接口!$G$331=0,"",[1]财务取数接口!$G$331),""))</f>
        <v/>
      </c>
      <c r="G332" s="41" t="str">
        <f aca="false">IF($T$4=0,IF($N332="","",$N332),IFERROR(IF([1]财务取数接口!$H$331=0,"",[1]财务取数接口!$H$331),""))</f>
        <v/>
      </c>
      <c r="H332" s="39" t="str">
        <f aca="false">IF($T$4=0,IF($O332="","",$O332),IFERROR(IF([1]财务取数接口!$I$331=0,"",[1]财务取数接口!$I$331),""))</f>
        <v/>
      </c>
      <c r="I332" s="42"/>
      <c r="J332" s="43"/>
      <c r="K332" s="42"/>
      <c r="L332" s="42"/>
      <c r="M332" s="44"/>
      <c r="N332" s="44"/>
      <c r="O332" s="43"/>
      <c r="P332" s="45" t="n">
        <f aca="false">IF(AND($C332&lt;&gt;"",$C332&lt;&gt;"项目",OR(N($D332)&lt;&gt;0,N($E332)&lt;&gt;0,N($F332)&lt;&gt;0)),1,0)</f>
        <v>0</v>
      </c>
      <c r="Q332" s="45" t="n">
        <f aca="false">N(Q331)+$P332</f>
        <v>11</v>
      </c>
    </row>
    <row r="333" customFormat="false" ht="13.5" hidden="false" customHeight="false" outlineLevel="0" collapsed="false">
      <c r="A333" s="9" t="n">
        <v>332</v>
      </c>
      <c r="B333" s="40" t="str">
        <f aca="false">IF($T$4=0,IF($I333="","",$I333),IFERROR(IF([1]财务取数接口!$B$332=0,"",[1]财务取数接口!$B$332),""))</f>
        <v/>
      </c>
      <c r="C333" s="39" t="str">
        <f aca="false">IF($T$4=0,IF($J333="","",$J333),IFERROR(IF([1]财务取数接口!$C$332=0,"",[1]财务取数接口!$C$332),""))</f>
        <v/>
      </c>
      <c r="D333" s="40" t="str">
        <f aca="false">IF($T$4=0,IF($K333="","",$K333),IFERROR(IF([1]财务取数接口!$D$332=0,"",[1]财务取数接口!$D$332),""))</f>
        <v/>
      </c>
      <c r="E333" s="40" t="str">
        <f aca="false">IF($T$4=0,IF($L333="","",$L333),IFERROR(IF([1]财务取数接口!$E$332=0,"",[1]财务取数接口!$E$332),""))</f>
        <v/>
      </c>
      <c r="F333" s="41" t="str">
        <f aca="false">IF($T$4=0,IF($M333="","",$M333),IFERROR(IF([1]财务取数接口!$G$332=0,"",[1]财务取数接口!$G$332),""))</f>
        <v/>
      </c>
      <c r="G333" s="41" t="str">
        <f aca="false">IF($T$4=0,IF($N333="","",$N333),IFERROR(IF([1]财务取数接口!$H$332=0,"",[1]财务取数接口!$H$332),""))</f>
        <v/>
      </c>
      <c r="H333" s="39" t="str">
        <f aca="false">IF($T$4=0,IF($O333="","",$O333),IFERROR(IF([1]财务取数接口!$I$332=0,"",[1]财务取数接口!$I$332),""))</f>
        <v/>
      </c>
      <c r="I333" s="42"/>
      <c r="J333" s="43"/>
      <c r="K333" s="42"/>
      <c r="L333" s="42"/>
      <c r="M333" s="44"/>
      <c r="N333" s="44"/>
      <c r="O333" s="43"/>
      <c r="P333" s="45" t="n">
        <f aca="false">IF(AND($C333&lt;&gt;"",$C333&lt;&gt;"项目",OR(N($D333)&lt;&gt;0,N($E333)&lt;&gt;0,N($F333)&lt;&gt;0)),1,0)</f>
        <v>0</v>
      </c>
      <c r="Q333" s="45" t="n">
        <f aca="false">N(Q332)+$P333</f>
        <v>11</v>
      </c>
    </row>
    <row r="334" customFormat="false" ht="13.5" hidden="false" customHeight="false" outlineLevel="0" collapsed="false">
      <c r="A334" s="9" t="n">
        <v>333</v>
      </c>
      <c r="B334" s="40" t="str">
        <f aca="false">IF($T$4=0,IF($I334="","",$I334),IFERROR(IF([1]财务取数接口!$B$333=0,"",[1]财务取数接口!$B$333),""))</f>
        <v/>
      </c>
      <c r="C334" s="39" t="str">
        <f aca="false">IF($T$4=0,IF($J334="","",$J334),IFERROR(IF([1]财务取数接口!$C$333=0,"",[1]财务取数接口!$C$333),""))</f>
        <v/>
      </c>
      <c r="D334" s="40" t="str">
        <f aca="false">IF($T$4=0,IF($K334="","",$K334),IFERROR(IF([1]财务取数接口!$D$333=0,"",[1]财务取数接口!$D$333),""))</f>
        <v/>
      </c>
      <c r="E334" s="40" t="str">
        <f aca="false">IF($T$4=0,IF($L334="","",$L334),IFERROR(IF([1]财务取数接口!$E$333=0,"",[1]财务取数接口!$E$333),""))</f>
        <v/>
      </c>
      <c r="F334" s="41" t="str">
        <f aca="false">IF($T$4=0,IF($M334="","",$M334),IFERROR(IF([1]财务取数接口!$G$333=0,"",[1]财务取数接口!$G$333),""))</f>
        <v/>
      </c>
      <c r="G334" s="41" t="str">
        <f aca="false">IF($T$4=0,IF($N334="","",$N334),IFERROR(IF([1]财务取数接口!$H$333=0,"",[1]财务取数接口!$H$333),""))</f>
        <v/>
      </c>
      <c r="H334" s="39" t="str">
        <f aca="false">IF($T$4=0,IF($O334="","",$O334),IFERROR(IF([1]财务取数接口!$I$333=0,"",[1]财务取数接口!$I$333),""))</f>
        <v/>
      </c>
      <c r="I334" s="42"/>
      <c r="J334" s="43"/>
      <c r="K334" s="42"/>
      <c r="L334" s="42"/>
      <c r="M334" s="44"/>
      <c r="N334" s="44"/>
      <c r="O334" s="43"/>
      <c r="P334" s="45" t="n">
        <f aca="false">IF(AND($C334&lt;&gt;"",$C334&lt;&gt;"项目",OR(N($D334)&lt;&gt;0,N($E334)&lt;&gt;0,N($F334)&lt;&gt;0)),1,0)</f>
        <v>0</v>
      </c>
      <c r="Q334" s="45" t="n">
        <f aca="false">N(Q333)+$P334</f>
        <v>11</v>
      </c>
    </row>
    <row r="335" customFormat="false" ht="13.5" hidden="false" customHeight="false" outlineLevel="0" collapsed="false">
      <c r="A335" s="9" t="n">
        <v>334</v>
      </c>
      <c r="B335" s="40" t="str">
        <f aca="false">IF($T$4=0,IF($I335="","",$I335),IFERROR(IF([1]财务取数接口!$B$334=0,"",[1]财务取数接口!$B$334),""))</f>
        <v/>
      </c>
      <c r="C335" s="39" t="str">
        <f aca="false">IF($T$4=0,IF($J335="","",$J335),IFERROR(IF([1]财务取数接口!$C$334=0,"",[1]财务取数接口!$C$334),""))</f>
        <v/>
      </c>
      <c r="D335" s="40" t="str">
        <f aca="false">IF($T$4=0,IF($K335="","",$K335),IFERROR(IF([1]财务取数接口!$D$334=0,"",[1]财务取数接口!$D$334),""))</f>
        <v/>
      </c>
      <c r="E335" s="40" t="str">
        <f aca="false">IF($T$4=0,IF($L335="","",$L335),IFERROR(IF([1]财务取数接口!$E$334=0,"",[1]财务取数接口!$E$334),""))</f>
        <v/>
      </c>
      <c r="F335" s="41" t="str">
        <f aca="false">IF($T$4=0,IF($M335="","",$M335),IFERROR(IF([1]财务取数接口!$G$334=0,"",[1]财务取数接口!$G$334),""))</f>
        <v/>
      </c>
      <c r="G335" s="41" t="str">
        <f aca="false">IF($T$4=0,IF($N335="","",$N335),IFERROR(IF([1]财务取数接口!$H$334=0,"",[1]财务取数接口!$H$334),""))</f>
        <v/>
      </c>
      <c r="H335" s="39" t="str">
        <f aca="false">IF($T$4=0,IF($O335="","",$O335),IFERROR(IF([1]财务取数接口!$I$334=0,"",[1]财务取数接口!$I$334),""))</f>
        <v/>
      </c>
      <c r="I335" s="42"/>
      <c r="J335" s="43"/>
      <c r="K335" s="42"/>
      <c r="L335" s="42"/>
      <c r="M335" s="44"/>
      <c r="N335" s="44"/>
      <c r="O335" s="43"/>
      <c r="P335" s="45" t="n">
        <f aca="false">IF(AND($C335&lt;&gt;"",$C335&lt;&gt;"项目",OR(N($D335)&lt;&gt;0,N($E335)&lt;&gt;0,N($F335)&lt;&gt;0)),1,0)</f>
        <v>0</v>
      </c>
      <c r="Q335" s="45" t="n">
        <f aca="false">N(Q334)+$P335</f>
        <v>11</v>
      </c>
    </row>
    <row r="336" customFormat="false" ht="13.5" hidden="false" customHeight="false" outlineLevel="0" collapsed="false">
      <c r="A336" s="9" t="n">
        <v>335</v>
      </c>
      <c r="B336" s="40" t="str">
        <f aca="false">IF($T$4=0,IF($I336="","",$I336),IFERROR(IF([1]财务取数接口!$B$335=0,"",[1]财务取数接口!$B$335),""))</f>
        <v/>
      </c>
      <c r="C336" s="39" t="str">
        <f aca="false">IF($T$4=0,IF($J336="","",$J336),IFERROR(IF([1]财务取数接口!$C$335=0,"",[1]财务取数接口!$C$335),""))</f>
        <v/>
      </c>
      <c r="D336" s="40" t="str">
        <f aca="false">IF($T$4=0,IF($K336="","",$K336),IFERROR(IF([1]财务取数接口!$D$335=0,"",[1]财务取数接口!$D$335),""))</f>
        <v/>
      </c>
      <c r="E336" s="40" t="str">
        <f aca="false">IF($T$4=0,IF($L336="","",$L336),IFERROR(IF([1]财务取数接口!$E$335=0,"",[1]财务取数接口!$E$335),""))</f>
        <v/>
      </c>
      <c r="F336" s="41" t="str">
        <f aca="false">IF($T$4=0,IF($M336="","",$M336),IFERROR(IF([1]财务取数接口!$G$335=0,"",[1]财务取数接口!$G$335),""))</f>
        <v/>
      </c>
      <c r="G336" s="41" t="str">
        <f aca="false">IF($T$4=0,IF($N336="","",$N336),IFERROR(IF([1]财务取数接口!$H$335=0,"",[1]财务取数接口!$H$335),""))</f>
        <v/>
      </c>
      <c r="H336" s="39" t="str">
        <f aca="false">IF($T$4=0,IF($O336="","",$O336),IFERROR(IF([1]财务取数接口!$I$335=0,"",[1]财务取数接口!$I$335),""))</f>
        <v/>
      </c>
      <c r="I336" s="42"/>
      <c r="J336" s="43"/>
      <c r="K336" s="42"/>
      <c r="L336" s="42"/>
      <c r="M336" s="44"/>
      <c r="N336" s="44"/>
      <c r="O336" s="43"/>
      <c r="P336" s="45" t="n">
        <f aca="false">IF(AND($C336&lt;&gt;"",$C336&lt;&gt;"项目",OR(N($D336)&lt;&gt;0,N($E336)&lt;&gt;0,N($F336)&lt;&gt;0)),1,0)</f>
        <v>0</v>
      </c>
      <c r="Q336" s="45" t="n">
        <f aca="false">N(Q335)+$P336</f>
        <v>11</v>
      </c>
    </row>
    <row r="337" customFormat="false" ht="13.5" hidden="false" customHeight="false" outlineLevel="0" collapsed="false">
      <c r="A337" s="9" t="n">
        <v>336</v>
      </c>
      <c r="B337" s="40" t="str">
        <f aca="false">IF($T$4=0,IF($I337="","",$I337),IFERROR(IF([1]财务取数接口!$B$336=0,"",[1]财务取数接口!$B$336),""))</f>
        <v/>
      </c>
      <c r="C337" s="39" t="str">
        <f aca="false">IF($T$4=0,IF($J337="","",$J337),IFERROR(IF([1]财务取数接口!$C$336=0,"",[1]财务取数接口!$C$336),""))</f>
        <v/>
      </c>
      <c r="D337" s="40" t="str">
        <f aca="false">IF($T$4=0,IF($K337="","",$K337),IFERROR(IF([1]财务取数接口!$D$336=0,"",[1]财务取数接口!$D$336),""))</f>
        <v/>
      </c>
      <c r="E337" s="40" t="str">
        <f aca="false">IF($T$4=0,IF($L337="","",$L337),IFERROR(IF([1]财务取数接口!$E$336=0,"",[1]财务取数接口!$E$336),""))</f>
        <v/>
      </c>
      <c r="F337" s="41" t="str">
        <f aca="false">IF($T$4=0,IF($M337="","",$M337),IFERROR(IF([1]财务取数接口!$G$336=0,"",[1]财务取数接口!$G$336),""))</f>
        <v/>
      </c>
      <c r="G337" s="41" t="str">
        <f aca="false">IF($T$4=0,IF($N337="","",$N337),IFERROR(IF([1]财务取数接口!$H$336=0,"",[1]财务取数接口!$H$336),""))</f>
        <v/>
      </c>
      <c r="H337" s="39" t="str">
        <f aca="false">IF($T$4=0,IF($O337="","",$O337),IFERROR(IF([1]财务取数接口!$I$336=0,"",[1]财务取数接口!$I$336),""))</f>
        <v/>
      </c>
      <c r="I337" s="42"/>
      <c r="J337" s="43"/>
      <c r="K337" s="42"/>
      <c r="L337" s="42"/>
      <c r="M337" s="44"/>
      <c r="N337" s="44"/>
      <c r="O337" s="43"/>
      <c r="P337" s="45" t="n">
        <f aca="false">IF(AND($C337&lt;&gt;"",$C337&lt;&gt;"项目",OR(N($D337)&lt;&gt;0,N($E337)&lt;&gt;0,N($F337)&lt;&gt;0)),1,0)</f>
        <v>0</v>
      </c>
      <c r="Q337" s="45" t="n">
        <f aca="false">N(Q336)+$P337</f>
        <v>11</v>
      </c>
    </row>
    <row r="338" customFormat="false" ht="13.5" hidden="false" customHeight="false" outlineLevel="0" collapsed="false">
      <c r="A338" s="9" t="n">
        <v>337</v>
      </c>
      <c r="B338" s="40" t="str">
        <f aca="false">IF($T$4=0,IF($I338="","",$I338),IFERROR(IF([1]财务取数接口!$B$337=0,"",[1]财务取数接口!$B$337),""))</f>
        <v/>
      </c>
      <c r="C338" s="39" t="str">
        <f aca="false">IF($T$4=0,IF($J338="","",$J338),IFERROR(IF([1]财务取数接口!$C$337=0,"",[1]财务取数接口!$C$337),""))</f>
        <v/>
      </c>
      <c r="D338" s="40" t="str">
        <f aca="false">IF($T$4=0,IF($K338="","",$K338),IFERROR(IF([1]财务取数接口!$D$337=0,"",[1]财务取数接口!$D$337),""))</f>
        <v/>
      </c>
      <c r="E338" s="40" t="str">
        <f aca="false">IF($T$4=0,IF($L338="","",$L338),IFERROR(IF([1]财务取数接口!$E$337=0,"",[1]财务取数接口!$E$337),""))</f>
        <v/>
      </c>
      <c r="F338" s="41" t="str">
        <f aca="false">IF($T$4=0,IF($M338="","",$M338),IFERROR(IF([1]财务取数接口!$G$337=0,"",[1]财务取数接口!$G$337),""))</f>
        <v/>
      </c>
      <c r="G338" s="41" t="str">
        <f aca="false">IF($T$4=0,IF($N338="","",$N338),IFERROR(IF([1]财务取数接口!$H$337=0,"",[1]财务取数接口!$H$337),""))</f>
        <v/>
      </c>
      <c r="H338" s="39" t="str">
        <f aca="false">IF($T$4=0,IF($O338="","",$O338),IFERROR(IF([1]财务取数接口!$I$337=0,"",[1]财务取数接口!$I$337),""))</f>
        <v/>
      </c>
      <c r="I338" s="42"/>
      <c r="J338" s="43"/>
      <c r="K338" s="42"/>
      <c r="L338" s="42"/>
      <c r="M338" s="44"/>
      <c r="N338" s="44"/>
      <c r="O338" s="43"/>
      <c r="P338" s="45" t="n">
        <f aca="false">IF(AND($C338&lt;&gt;"",$C338&lt;&gt;"项目",OR(N($D338)&lt;&gt;0,N($E338)&lt;&gt;0,N($F338)&lt;&gt;0)),1,0)</f>
        <v>0</v>
      </c>
      <c r="Q338" s="45" t="n">
        <f aca="false">N(Q337)+$P338</f>
        <v>11</v>
      </c>
    </row>
    <row r="339" customFormat="false" ht="13.5" hidden="false" customHeight="false" outlineLevel="0" collapsed="false">
      <c r="A339" s="9" t="n">
        <v>338</v>
      </c>
      <c r="B339" s="40" t="str">
        <f aca="false">IF($T$4=0,IF($I339="","",$I339),IFERROR(IF([1]财务取数接口!$B$338=0,"",[1]财务取数接口!$B$338),""))</f>
        <v/>
      </c>
      <c r="C339" s="39" t="str">
        <f aca="false">IF($T$4=0,IF($J339="","",$J339),IFERROR(IF([1]财务取数接口!$C$338=0,"",[1]财务取数接口!$C$338),""))</f>
        <v/>
      </c>
      <c r="D339" s="40" t="str">
        <f aca="false">IF($T$4=0,IF($K339="","",$K339),IFERROR(IF([1]财务取数接口!$D$338=0,"",[1]财务取数接口!$D$338),""))</f>
        <v/>
      </c>
      <c r="E339" s="40" t="str">
        <f aca="false">IF($T$4=0,IF($L339="","",$L339),IFERROR(IF([1]财务取数接口!$E$338=0,"",[1]财务取数接口!$E$338),""))</f>
        <v/>
      </c>
      <c r="F339" s="41" t="str">
        <f aca="false">IF($T$4=0,IF($M339="","",$M339),IFERROR(IF([1]财务取数接口!$G$338=0,"",[1]财务取数接口!$G$338),""))</f>
        <v/>
      </c>
      <c r="G339" s="41" t="str">
        <f aca="false">IF($T$4=0,IF($N339="","",$N339),IFERROR(IF([1]财务取数接口!$H$338=0,"",[1]财务取数接口!$H$338),""))</f>
        <v/>
      </c>
      <c r="H339" s="39" t="str">
        <f aca="false">IF($T$4=0,IF($O339="","",$O339),IFERROR(IF([1]财务取数接口!$I$338=0,"",[1]财务取数接口!$I$338),""))</f>
        <v/>
      </c>
      <c r="I339" s="42"/>
      <c r="J339" s="43"/>
      <c r="K339" s="42"/>
      <c r="L339" s="42"/>
      <c r="M339" s="44"/>
      <c r="N339" s="44"/>
      <c r="O339" s="43"/>
      <c r="P339" s="45" t="n">
        <f aca="false">IF(AND($C339&lt;&gt;"",$C339&lt;&gt;"项目",OR(N($D339)&lt;&gt;0,N($E339)&lt;&gt;0,N($F339)&lt;&gt;0)),1,0)</f>
        <v>0</v>
      </c>
      <c r="Q339" s="45" t="n">
        <f aca="false">N(Q338)+$P339</f>
        <v>11</v>
      </c>
    </row>
    <row r="340" customFormat="false" ht="13.5" hidden="false" customHeight="false" outlineLevel="0" collapsed="false">
      <c r="A340" s="9" t="n">
        <v>339</v>
      </c>
      <c r="B340" s="40" t="str">
        <f aca="false">IF($T$4=0,IF($I340="","",$I340),IFERROR(IF([1]财务取数接口!$B$339=0,"",[1]财务取数接口!$B$339),""))</f>
        <v/>
      </c>
      <c r="C340" s="39" t="str">
        <f aca="false">IF($T$4=0,IF($J340="","",$J340),IFERROR(IF([1]财务取数接口!$C$339=0,"",[1]财务取数接口!$C$339),""))</f>
        <v/>
      </c>
      <c r="D340" s="40" t="str">
        <f aca="false">IF($T$4=0,IF($K340="","",$K340),IFERROR(IF([1]财务取数接口!$D$339=0,"",[1]财务取数接口!$D$339),""))</f>
        <v/>
      </c>
      <c r="E340" s="40" t="str">
        <f aca="false">IF($T$4=0,IF($L340="","",$L340),IFERROR(IF([1]财务取数接口!$E$339=0,"",[1]财务取数接口!$E$339),""))</f>
        <v/>
      </c>
      <c r="F340" s="41" t="str">
        <f aca="false">IF($T$4=0,IF($M340="","",$M340),IFERROR(IF([1]财务取数接口!$G$339=0,"",[1]财务取数接口!$G$339),""))</f>
        <v/>
      </c>
      <c r="G340" s="41" t="str">
        <f aca="false">IF($T$4=0,IF($N340="","",$N340),IFERROR(IF([1]财务取数接口!$H$339=0,"",[1]财务取数接口!$H$339),""))</f>
        <v/>
      </c>
      <c r="H340" s="39" t="str">
        <f aca="false">IF($T$4=0,IF($O340="","",$O340),IFERROR(IF([1]财务取数接口!$I$339=0,"",[1]财务取数接口!$I$339),""))</f>
        <v/>
      </c>
      <c r="I340" s="42"/>
      <c r="J340" s="43"/>
      <c r="K340" s="42"/>
      <c r="L340" s="42"/>
      <c r="M340" s="44"/>
      <c r="N340" s="44"/>
      <c r="O340" s="43"/>
      <c r="P340" s="45" t="n">
        <f aca="false">IF(AND($C340&lt;&gt;"",$C340&lt;&gt;"项目",OR(N($D340)&lt;&gt;0,N($E340)&lt;&gt;0,N($F340)&lt;&gt;0)),1,0)</f>
        <v>0</v>
      </c>
      <c r="Q340" s="45" t="n">
        <f aca="false">N(Q339)+$P340</f>
        <v>11</v>
      </c>
    </row>
    <row r="341" customFormat="false" ht="13.5" hidden="false" customHeight="false" outlineLevel="0" collapsed="false">
      <c r="A341" s="9" t="n">
        <v>340</v>
      </c>
      <c r="B341" s="40" t="str">
        <f aca="false">IF($T$4=0,IF($I341="","",$I341),IFERROR(IF([1]财务取数接口!$B$340=0,"",[1]财务取数接口!$B$340),""))</f>
        <v/>
      </c>
      <c r="C341" s="39" t="str">
        <f aca="false">IF($T$4=0,IF($J341="","",$J341),IFERROR(IF([1]财务取数接口!$C$340=0,"",[1]财务取数接口!$C$340),""))</f>
        <v/>
      </c>
      <c r="D341" s="40" t="str">
        <f aca="false">IF($T$4=0,IF($K341="","",$K341),IFERROR(IF([1]财务取数接口!$D$340=0,"",[1]财务取数接口!$D$340),""))</f>
        <v/>
      </c>
      <c r="E341" s="40" t="str">
        <f aca="false">IF($T$4=0,IF($L341="","",$L341),IFERROR(IF([1]财务取数接口!$E$340=0,"",[1]财务取数接口!$E$340),""))</f>
        <v/>
      </c>
      <c r="F341" s="41" t="str">
        <f aca="false">IF($T$4=0,IF($M341="","",$M341),IFERROR(IF([1]财务取数接口!$G$340=0,"",[1]财务取数接口!$G$340),""))</f>
        <v/>
      </c>
      <c r="G341" s="41" t="str">
        <f aca="false">IF($T$4=0,IF($N341="","",$N341),IFERROR(IF([1]财务取数接口!$H$340=0,"",[1]财务取数接口!$H$340),""))</f>
        <v/>
      </c>
      <c r="H341" s="39" t="str">
        <f aca="false">IF($T$4=0,IF($O341="","",$O341),IFERROR(IF([1]财务取数接口!$I$340=0,"",[1]财务取数接口!$I$340),""))</f>
        <v/>
      </c>
      <c r="I341" s="42"/>
      <c r="J341" s="43"/>
      <c r="K341" s="42"/>
      <c r="L341" s="42"/>
      <c r="M341" s="44"/>
      <c r="N341" s="44"/>
      <c r="O341" s="43"/>
      <c r="P341" s="45" t="n">
        <f aca="false">IF(AND($C341&lt;&gt;"",$C341&lt;&gt;"项目",OR(N($D341)&lt;&gt;0,N($E341)&lt;&gt;0,N($F341)&lt;&gt;0)),1,0)</f>
        <v>0</v>
      </c>
      <c r="Q341" s="45" t="n">
        <f aca="false">N(Q340)+$P341</f>
        <v>11</v>
      </c>
    </row>
    <row r="342" customFormat="false" ht="13.5" hidden="false" customHeight="false" outlineLevel="0" collapsed="false">
      <c r="A342" s="9" t="n">
        <v>341</v>
      </c>
      <c r="B342" s="40" t="str">
        <f aca="false">IF($T$4=0,IF($I342="","",$I342),IFERROR(IF([1]财务取数接口!$B$341=0,"",[1]财务取数接口!$B$341),""))</f>
        <v/>
      </c>
      <c r="C342" s="39" t="str">
        <f aca="false">IF($T$4=0,IF($J342="","",$J342),IFERROR(IF([1]财务取数接口!$C$341=0,"",[1]财务取数接口!$C$341),""))</f>
        <v/>
      </c>
      <c r="D342" s="40" t="str">
        <f aca="false">IF($T$4=0,IF($K342="","",$K342),IFERROR(IF([1]财务取数接口!$D$341=0,"",[1]财务取数接口!$D$341),""))</f>
        <v/>
      </c>
      <c r="E342" s="40" t="str">
        <f aca="false">IF($T$4=0,IF($L342="","",$L342),IFERROR(IF([1]财务取数接口!$E$341=0,"",[1]财务取数接口!$E$341),""))</f>
        <v/>
      </c>
      <c r="F342" s="41" t="str">
        <f aca="false">IF($T$4=0,IF($M342="","",$M342),IFERROR(IF([1]财务取数接口!$G$341=0,"",[1]财务取数接口!$G$341),""))</f>
        <v/>
      </c>
      <c r="G342" s="41" t="str">
        <f aca="false">IF($T$4=0,IF($N342="","",$N342),IFERROR(IF([1]财务取数接口!$H$341=0,"",[1]财务取数接口!$H$341),""))</f>
        <v/>
      </c>
      <c r="H342" s="39" t="str">
        <f aca="false">IF($T$4=0,IF($O342="","",$O342),IFERROR(IF([1]财务取数接口!$I$341=0,"",[1]财务取数接口!$I$341),""))</f>
        <v/>
      </c>
      <c r="I342" s="42"/>
      <c r="J342" s="43"/>
      <c r="K342" s="42"/>
      <c r="L342" s="42"/>
      <c r="M342" s="44"/>
      <c r="N342" s="44"/>
      <c r="O342" s="43"/>
      <c r="P342" s="45" t="n">
        <f aca="false">IF(AND($C342&lt;&gt;"",$C342&lt;&gt;"项目",OR(N($D342)&lt;&gt;0,N($E342)&lt;&gt;0,N($F342)&lt;&gt;0)),1,0)</f>
        <v>0</v>
      </c>
      <c r="Q342" s="45" t="n">
        <f aca="false">N(Q341)+$P342</f>
        <v>11</v>
      </c>
    </row>
    <row r="343" customFormat="false" ht="13.5" hidden="false" customHeight="false" outlineLevel="0" collapsed="false">
      <c r="A343" s="9" t="n">
        <v>342</v>
      </c>
      <c r="B343" s="40" t="str">
        <f aca="false">IF($T$4=0,IF($I343="","",$I343),IFERROR(IF([1]财务取数接口!$B$342=0,"",[1]财务取数接口!$B$342),""))</f>
        <v/>
      </c>
      <c r="C343" s="39" t="str">
        <f aca="false">IF($T$4=0,IF($J343="","",$J343),IFERROR(IF([1]财务取数接口!$C$342=0,"",[1]财务取数接口!$C$342),""))</f>
        <v/>
      </c>
      <c r="D343" s="40" t="str">
        <f aca="false">IF($T$4=0,IF($K343="","",$K343),IFERROR(IF([1]财务取数接口!$D$342=0,"",[1]财务取数接口!$D$342),""))</f>
        <v/>
      </c>
      <c r="E343" s="40" t="str">
        <f aca="false">IF($T$4=0,IF($L343="","",$L343),IFERROR(IF([1]财务取数接口!$E$342=0,"",[1]财务取数接口!$E$342),""))</f>
        <v/>
      </c>
      <c r="F343" s="41" t="str">
        <f aca="false">IF($T$4=0,IF($M343="","",$M343),IFERROR(IF([1]财务取数接口!$G$342=0,"",[1]财务取数接口!$G$342),""))</f>
        <v/>
      </c>
      <c r="G343" s="41" t="str">
        <f aca="false">IF($T$4=0,IF($N343="","",$N343),IFERROR(IF([1]财务取数接口!$H$342=0,"",[1]财务取数接口!$H$342),""))</f>
        <v/>
      </c>
      <c r="H343" s="39" t="str">
        <f aca="false">IF($T$4=0,IF($O343="","",$O343),IFERROR(IF([1]财务取数接口!$I$342=0,"",[1]财务取数接口!$I$342),""))</f>
        <v/>
      </c>
      <c r="I343" s="42"/>
      <c r="J343" s="43"/>
      <c r="K343" s="42"/>
      <c r="L343" s="42"/>
      <c r="M343" s="44"/>
      <c r="N343" s="44"/>
      <c r="O343" s="43"/>
      <c r="P343" s="45" t="n">
        <f aca="false">IF(AND($C343&lt;&gt;"",$C343&lt;&gt;"项目",OR(N($D343)&lt;&gt;0,N($E343)&lt;&gt;0,N($F343)&lt;&gt;0)),1,0)</f>
        <v>0</v>
      </c>
      <c r="Q343" s="45" t="n">
        <f aca="false">N(Q342)+$P343</f>
        <v>11</v>
      </c>
    </row>
    <row r="344" customFormat="false" ht="13.5" hidden="false" customHeight="false" outlineLevel="0" collapsed="false">
      <c r="A344" s="9" t="n">
        <v>343</v>
      </c>
      <c r="B344" s="40" t="str">
        <f aca="false">IF($T$4=0,IF($I344="","",$I344),IFERROR(IF([1]财务取数接口!$B$343=0,"",[1]财务取数接口!$B$343),""))</f>
        <v/>
      </c>
      <c r="C344" s="39" t="str">
        <f aca="false">IF($T$4=0,IF($J344="","",$J344),IFERROR(IF([1]财务取数接口!$C$343=0,"",[1]财务取数接口!$C$343),""))</f>
        <v/>
      </c>
      <c r="D344" s="40" t="str">
        <f aca="false">IF($T$4=0,IF($K344="","",$K344),IFERROR(IF([1]财务取数接口!$D$343=0,"",[1]财务取数接口!$D$343),""))</f>
        <v/>
      </c>
      <c r="E344" s="40" t="str">
        <f aca="false">IF($T$4=0,IF($L344="","",$L344),IFERROR(IF([1]财务取数接口!$E$343=0,"",[1]财务取数接口!$E$343),""))</f>
        <v/>
      </c>
      <c r="F344" s="41" t="str">
        <f aca="false">IF($T$4=0,IF($M344="","",$M344),IFERROR(IF([1]财务取数接口!$G$343=0,"",[1]财务取数接口!$G$343),""))</f>
        <v/>
      </c>
      <c r="G344" s="41" t="str">
        <f aca="false">IF($T$4=0,IF($N344="","",$N344),IFERROR(IF([1]财务取数接口!$H$343=0,"",[1]财务取数接口!$H$343),""))</f>
        <v/>
      </c>
      <c r="H344" s="39" t="str">
        <f aca="false">IF($T$4=0,IF($O344="","",$O344),IFERROR(IF([1]财务取数接口!$I$343=0,"",[1]财务取数接口!$I$343),""))</f>
        <v/>
      </c>
      <c r="I344" s="42"/>
      <c r="J344" s="43"/>
      <c r="K344" s="42"/>
      <c r="L344" s="42"/>
      <c r="M344" s="44"/>
      <c r="N344" s="44"/>
      <c r="O344" s="43"/>
      <c r="P344" s="45" t="n">
        <f aca="false">IF(AND($C344&lt;&gt;"",$C344&lt;&gt;"项目",OR(N($D344)&lt;&gt;0,N($E344)&lt;&gt;0,N($F344)&lt;&gt;0)),1,0)</f>
        <v>0</v>
      </c>
      <c r="Q344" s="45" t="n">
        <f aca="false">N(Q343)+$P344</f>
        <v>11</v>
      </c>
    </row>
    <row r="345" customFormat="false" ht="13.5" hidden="false" customHeight="false" outlineLevel="0" collapsed="false">
      <c r="A345" s="9" t="n">
        <v>344</v>
      </c>
      <c r="B345" s="40" t="str">
        <f aca="false">IF($T$4=0,IF($I345="","",$I345),IFERROR(IF([1]财务取数接口!$B$344=0,"",[1]财务取数接口!$B$344),""))</f>
        <v/>
      </c>
      <c r="C345" s="39" t="str">
        <f aca="false">IF($T$4=0,IF($J345="","",$J345),IFERROR(IF([1]财务取数接口!$C$344=0,"",[1]财务取数接口!$C$344),""))</f>
        <v/>
      </c>
      <c r="D345" s="40" t="str">
        <f aca="false">IF($T$4=0,IF($K345="","",$K345),IFERROR(IF([1]财务取数接口!$D$344=0,"",[1]财务取数接口!$D$344),""))</f>
        <v/>
      </c>
      <c r="E345" s="40" t="str">
        <f aca="false">IF($T$4=0,IF($L345="","",$L345),IFERROR(IF([1]财务取数接口!$E$344=0,"",[1]财务取数接口!$E$344),""))</f>
        <v/>
      </c>
      <c r="F345" s="41" t="str">
        <f aca="false">IF($T$4=0,IF($M345="","",$M345),IFERROR(IF([1]财务取数接口!$G$344=0,"",[1]财务取数接口!$G$344),""))</f>
        <v/>
      </c>
      <c r="G345" s="41" t="str">
        <f aca="false">IF($T$4=0,IF($N345="","",$N345),IFERROR(IF([1]财务取数接口!$H$344=0,"",[1]财务取数接口!$H$344),""))</f>
        <v/>
      </c>
      <c r="H345" s="39" t="str">
        <f aca="false">IF($T$4=0,IF($O345="","",$O345),IFERROR(IF([1]财务取数接口!$I$344=0,"",[1]财务取数接口!$I$344),""))</f>
        <v/>
      </c>
      <c r="I345" s="42"/>
      <c r="J345" s="43"/>
      <c r="K345" s="42"/>
      <c r="L345" s="42"/>
      <c r="M345" s="44"/>
      <c r="N345" s="44"/>
      <c r="O345" s="43"/>
      <c r="P345" s="45" t="n">
        <f aca="false">IF(AND($C345&lt;&gt;"",$C345&lt;&gt;"项目",OR(N($D345)&lt;&gt;0,N($E345)&lt;&gt;0,N($F345)&lt;&gt;0)),1,0)</f>
        <v>0</v>
      </c>
      <c r="Q345" s="45" t="n">
        <f aca="false">N(Q344)+$P345</f>
        <v>11</v>
      </c>
    </row>
    <row r="346" customFormat="false" ht="13.5" hidden="false" customHeight="false" outlineLevel="0" collapsed="false">
      <c r="A346" s="9" t="n">
        <v>345</v>
      </c>
      <c r="B346" s="40" t="str">
        <f aca="false">IF($T$4=0,IF($I346="","",$I346),IFERROR(IF([1]财务取数接口!$B$345=0,"",[1]财务取数接口!$B$345),""))</f>
        <v/>
      </c>
      <c r="C346" s="39" t="str">
        <f aca="false">IF($T$4=0,IF($J346="","",$J346),IFERROR(IF([1]财务取数接口!$C$345=0,"",[1]财务取数接口!$C$345),""))</f>
        <v/>
      </c>
      <c r="D346" s="40" t="str">
        <f aca="false">IF($T$4=0,IF($K346="","",$K346),IFERROR(IF([1]财务取数接口!$D$345=0,"",[1]财务取数接口!$D$345),""))</f>
        <v/>
      </c>
      <c r="E346" s="40" t="str">
        <f aca="false">IF($T$4=0,IF($L346="","",$L346),IFERROR(IF([1]财务取数接口!$E$345=0,"",[1]财务取数接口!$E$345),""))</f>
        <v/>
      </c>
      <c r="F346" s="41" t="str">
        <f aca="false">IF($T$4=0,IF($M346="","",$M346),IFERROR(IF([1]财务取数接口!$G$345=0,"",[1]财务取数接口!$G$345),""))</f>
        <v/>
      </c>
      <c r="G346" s="41" t="str">
        <f aca="false">IF($T$4=0,IF($N346="","",$N346),IFERROR(IF([1]财务取数接口!$H$345=0,"",[1]财务取数接口!$H$345),""))</f>
        <v/>
      </c>
      <c r="H346" s="39" t="str">
        <f aca="false">IF($T$4=0,IF($O346="","",$O346),IFERROR(IF([1]财务取数接口!$I$345=0,"",[1]财务取数接口!$I$345),""))</f>
        <v/>
      </c>
      <c r="I346" s="42"/>
      <c r="J346" s="43"/>
      <c r="K346" s="42"/>
      <c r="L346" s="42"/>
      <c r="M346" s="44"/>
      <c r="N346" s="44"/>
      <c r="O346" s="43"/>
      <c r="P346" s="45" t="n">
        <f aca="false">IF(AND($C346&lt;&gt;"",$C346&lt;&gt;"项目",OR(N($D346)&lt;&gt;0,N($E346)&lt;&gt;0,N($F346)&lt;&gt;0)),1,0)</f>
        <v>0</v>
      </c>
      <c r="Q346" s="45" t="n">
        <f aca="false">N(Q345)+$P346</f>
        <v>11</v>
      </c>
    </row>
    <row r="347" customFormat="false" ht="13.5" hidden="false" customHeight="false" outlineLevel="0" collapsed="false">
      <c r="A347" s="9" t="n">
        <v>346</v>
      </c>
      <c r="B347" s="40" t="str">
        <f aca="false">IF($T$4=0,IF($I347="","",$I347),IFERROR(IF([1]财务取数接口!$B$346=0,"",[1]财务取数接口!$B$346),""))</f>
        <v/>
      </c>
      <c r="C347" s="39" t="str">
        <f aca="false">IF($T$4=0,IF($J347="","",$J347),IFERROR(IF([1]财务取数接口!$C$346=0,"",[1]财务取数接口!$C$346),""))</f>
        <v/>
      </c>
      <c r="D347" s="40" t="str">
        <f aca="false">IF($T$4=0,IF($K347="","",$K347),IFERROR(IF([1]财务取数接口!$D$346=0,"",[1]财务取数接口!$D$346),""))</f>
        <v/>
      </c>
      <c r="E347" s="40" t="str">
        <f aca="false">IF($T$4=0,IF($L347="","",$L347),IFERROR(IF([1]财务取数接口!$E$346=0,"",[1]财务取数接口!$E$346),""))</f>
        <v/>
      </c>
      <c r="F347" s="41" t="str">
        <f aca="false">IF($T$4=0,IF($M347="","",$M347),IFERROR(IF([1]财务取数接口!$G$346=0,"",[1]财务取数接口!$G$346),""))</f>
        <v/>
      </c>
      <c r="G347" s="41" t="str">
        <f aca="false">IF($T$4=0,IF($N347="","",$N347),IFERROR(IF([1]财务取数接口!$H$346=0,"",[1]财务取数接口!$H$346),""))</f>
        <v/>
      </c>
      <c r="H347" s="39" t="str">
        <f aca="false">IF($T$4=0,IF($O347="","",$O347),IFERROR(IF([1]财务取数接口!$I$346=0,"",[1]财务取数接口!$I$346),""))</f>
        <v/>
      </c>
      <c r="I347" s="42"/>
      <c r="J347" s="43"/>
      <c r="K347" s="42"/>
      <c r="L347" s="42"/>
      <c r="M347" s="44"/>
      <c r="N347" s="44"/>
      <c r="O347" s="43"/>
      <c r="P347" s="45" t="n">
        <f aca="false">IF(AND($C347&lt;&gt;"",$C347&lt;&gt;"项目",OR(N($D347)&lt;&gt;0,N($E347)&lt;&gt;0,N($F347)&lt;&gt;0)),1,0)</f>
        <v>0</v>
      </c>
      <c r="Q347" s="45" t="n">
        <f aca="false">N(Q346)+$P347</f>
        <v>11</v>
      </c>
    </row>
    <row r="348" customFormat="false" ht="13.5" hidden="false" customHeight="false" outlineLevel="0" collapsed="false">
      <c r="A348" s="9" t="n">
        <v>347</v>
      </c>
      <c r="B348" s="40" t="str">
        <f aca="false">IF($T$4=0,IF($I348="","",$I348),IFERROR(IF([1]财务取数接口!$B$347=0,"",[1]财务取数接口!$B$347),""))</f>
        <v/>
      </c>
      <c r="C348" s="39" t="str">
        <f aca="false">IF($T$4=0,IF($J348="","",$J348),IFERROR(IF([1]财务取数接口!$C$347=0,"",[1]财务取数接口!$C$347),""))</f>
        <v/>
      </c>
      <c r="D348" s="40" t="str">
        <f aca="false">IF($T$4=0,IF($K348="","",$K348),IFERROR(IF([1]财务取数接口!$D$347=0,"",[1]财务取数接口!$D$347),""))</f>
        <v/>
      </c>
      <c r="E348" s="40" t="str">
        <f aca="false">IF($T$4=0,IF($L348="","",$L348),IFERROR(IF([1]财务取数接口!$E$347=0,"",[1]财务取数接口!$E$347),""))</f>
        <v/>
      </c>
      <c r="F348" s="41" t="str">
        <f aca="false">IF($T$4=0,IF($M348="","",$M348),IFERROR(IF([1]财务取数接口!$G$347=0,"",[1]财务取数接口!$G$347),""))</f>
        <v/>
      </c>
      <c r="G348" s="41" t="str">
        <f aca="false">IF($T$4=0,IF($N348="","",$N348),IFERROR(IF([1]财务取数接口!$H$347=0,"",[1]财务取数接口!$H$347),""))</f>
        <v/>
      </c>
      <c r="H348" s="39" t="str">
        <f aca="false">IF($T$4=0,IF($O348="","",$O348),IFERROR(IF([1]财务取数接口!$I$347=0,"",[1]财务取数接口!$I$347),""))</f>
        <v/>
      </c>
      <c r="I348" s="42"/>
      <c r="J348" s="43"/>
      <c r="K348" s="42"/>
      <c r="L348" s="42"/>
      <c r="M348" s="44"/>
      <c r="N348" s="44"/>
      <c r="O348" s="43"/>
      <c r="P348" s="45" t="n">
        <f aca="false">IF(AND($C348&lt;&gt;"",$C348&lt;&gt;"项目",OR(N($D348)&lt;&gt;0,N($E348)&lt;&gt;0,N($F348)&lt;&gt;0)),1,0)</f>
        <v>0</v>
      </c>
      <c r="Q348" s="45" t="n">
        <f aca="false">N(Q347)+$P348</f>
        <v>11</v>
      </c>
    </row>
    <row r="349" customFormat="false" ht="13.5" hidden="false" customHeight="false" outlineLevel="0" collapsed="false">
      <c r="A349" s="9" t="n">
        <v>348</v>
      </c>
      <c r="B349" s="40" t="str">
        <f aca="false">IF($T$4=0,IF($I349="","",$I349),IFERROR(IF([1]财务取数接口!$B$348=0,"",[1]财务取数接口!$B$348),""))</f>
        <v/>
      </c>
      <c r="C349" s="39" t="str">
        <f aca="false">IF($T$4=0,IF($J349="","",$J349),IFERROR(IF([1]财务取数接口!$C$348=0,"",[1]财务取数接口!$C$348),""))</f>
        <v/>
      </c>
      <c r="D349" s="40" t="str">
        <f aca="false">IF($T$4=0,IF($K349="","",$K349),IFERROR(IF([1]财务取数接口!$D$348=0,"",[1]财务取数接口!$D$348),""))</f>
        <v/>
      </c>
      <c r="E349" s="40" t="str">
        <f aca="false">IF($T$4=0,IF($L349="","",$L349),IFERROR(IF([1]财务取数接口!$E$348=0,"",[1]财务取数接口!$E$348),""))</f>
        <v/>
      </c>
      <c r="F349" s="41" t="str">
        <f aca="false">IF($T$4=0,IF($M349="","",$M349),IFERROR(IF([1]财务取数接口!$G$348=0,"",[1]财务取数接口!$G$348),""))</f>
        <v/>
      </c>
      <c r="G349" s="41" t="str">
        <f aca="false">IF($T$4=0,IF($N349="","",$N349),IFERROR(IF([1]财务取数接口!$H$348=0,"",[1]财务取数接口!$H$348),""))</f>
        <v/>
      </c>
      <c r="H349" s="39" t="str">
        <f aca="false">IF($T$4=0,IF($O349="","",$O349),IFERROR(IF([1]财务取数接口!$I$348=0,"",[1]财务取数接口!$I$348),""))</f>
        <v/>
      </c>
      <c r="I349" s="42"/>
      <c r="J349" s="43"/>
      <c r="K349" s="42"/>
      <c r="L349" s="42"/>
      <c r="M349" s="44"/>
      <c r="N349" s="44"/>
      <c r="O349" s="43"/>
      <c r="P349" s="45" t="n">
        <f aca="false">IF(AND($C349&lt;&gt;"",$C349&lt;&gt;"项目",OR(N($D349)&lt;&gt;0,N($E349)&lt;&gt;0,N($F349)&lt;&gt;0)),1,0)</f>
        <v>0</v>
      </c>
      <c r="Q349" s="45" t="n">
        <f aca="false">N(Q348)+$P349</f>
        <v>11</v>
      </c>
    </row>
    <row r="350" customFormat="false" ht="13.5" hidden="false" customHeight="false" outlineLevel="0" collapsed="false">
      <c r="A350" s="9" t="n">
        <v>349</v>
      </c>
      <c r="B350" s="40" t="str">
        <f aca="false">IF($T$4=0,IF($I350="","",$I350),IFERROR(IF([1]财务取数接口!$B$349=0,"",[1]财务取数接口!$B$349),""))</f>
        <v/>
      </c>
      <c r="C350" s="39" t="str">
        <f aca="false">IF($T$4=0,IF($J350="","",$J350),IFERROR(IF([1]财务取数接口!$C$349=0,"",[1]财务取数接口!$C$349),""))</f>
        <v/>
      </c>
      <c r="D350" s="40" t="str">
        <f aca="false">IF($T$4=0,IF($K350="","",$K350),IFERROR(IF([1]财务取数接口!$D$349=0,"",[1]财务取数接口!$D$349),""))</f>
        <v/>
      </c>
      <c r="E350" s="40" t="str">
        <f aca="false">IF($T$4=0,IF($L350="","",$L350),IFERROR(IF([1]财务取数接口!$E$349=0,"",[1]财务取数接口!$E$349),""))</f>
        <v/>
      </c>
      <c r="F350" s="41" t="str">
        <f aca="false">IF($T$4=0,IF($M350="","",$M350),IFERROR(IF([1]财务取数接口!$G$349=0,"",[1]财务取数接口!$G$349),""))</f>
        <v/>
      </c>
      <c r="G350" s="41" t="str">
        <f aca="false">IF($T$4=0,IF($N350="","",$N350),IFERROR(IF([1]财务取数接口!$H$349=0,"",[1]财务取数接口!$H$349),""))</f>
        <v/>
      </c>
      <c r="H350" s="39" t="str">
        <f aca="false">IF($T$4=0,IF($O350="","",$O350),IFERROR(IF([1]财务取数接口!$I$349=0,"",[1]财务取数接口!$I$349),""))</f>
        <v/>
      </c>
      <c r="I350" s="42"/>
      <c r="J350" s="43"/>
      <c r="K350" s="42"/>
      <c r="L350" s="42"/>
      <c r="M350" s="44"/>
      <c r="N350" s="44"/>
      <c r="O350" s="43"/>
      <c r="P350" s="45" t="n">
        <f aca="false">IF(AND($C350&lt;&gt;"",$C350&lt;&gt;"项目",OR(N($D350)&lt;&gt;0,N($E350)&lt;&gt;0,N($F350)&lt;&gt;0)),1,0)</f>
        <v>0</v>
      </c>
      <c r="Q350" s="45" t="n">
        <f aca="false">N(Q349)+$P350</f>
        <v>11</v>
      </c>
    </row>
    <row r="351" customFormat="false" ht="13.5" hidden="false" customHeight="false" outlineLevel="0" collapsed="false">
      <c r="A351" s="9" t="n">
        <v>350</v>
      </c>
      <c r="B351" s="40" t="str">
        <f aca="false">IF($T$4=0,IF($I351="","",$I351),IFERROR(IF([1]财务取数接口!$B$350=0,"",[1]财务取数接口!$B$350),""))</f>
        <v/>
      </c>
      <c r="C351" s="39" t="str">
        <f aca="false">IF($T$4=0,IF($J351="","",$J351),IFERROR(IF([1]财务取数接口!$C$350=0,"",[1]财务取数接口!$C$350),""))</f>
        <v/>
      </c>
      <c r="D351" s="40" t="str">
        <f aca="false">IF($T$4=0,IF($K351="","",$K351),IFERROR(IF([1]财务取数接口!$D$350=0,"",[1]财务取数接口!$D$350),""))</f>
        <v/>
      </c>
      <c r="E351" s="40" t="str">
        <f aca="false">IF($T$4=0,IF($L351="","",$L351),IFERROR(IF([1]财务取数接口!$E$350=0,"",[1]财务取数接口!$E$350),""))</f>
        <v/>
      </c>
      <c r="F351" s="41" t="str">
        <f aca="false">IF($T$4=0,IF($M351="","",$M351),IFERROR(IF([1]财务取数接口!$G$350=0,"",[1]财务取数接口!$G$350),""))</f>
        <v/>
      </c>
      <c r="G351" s="41" t="str">
        <f aca="false">IF($T$4=0,IF($N351="","",$N351),IFERROR(IF([1]财务取数接口!$H$350=0,"",[1]财务取数接口!$H$350),""))</f>
        <v/>
      </c>
      <c r="H351" s="39" t="str">
        <f aca="false">IF($T$4=0,IF($O351="","",$O351),IFERROR(IF([1]财务取数接口!$I$350=0,"",[1]财务取数接口!$I$350),""))</f>
        <v/>
      </c>
      <c r="I351" s="42"/>
      <c r="J351" s="43"/>
      <c r="K351" s="42"/>
      <c r="L351" s="42"/>
      <c r="M351" s="44"/>
      <c r="N351" s="44"/>
      <c r="O351" s="43"/>
      <c r="P351" s="45" t="n">
        <f aca="false">IF(AND($C351&lt;&gt;"",$C351&lt;&gt;"项目",OR(N($D351)&lt;&gt;0,N($E351)&lt;&gt;0,N($F351)&lt;&gt;0)),1,0)</f>
        <v>0</v>
      </c>
      <c r="Q351" s="45" t="n">
        <f aca="false">N(Q350)+$P351</f>
        <v>11</v>
      </c>
    </row>
    <row r="352" customFormat="false" ht="13.5" hidden="false" customHeight="false" outlineLevel="0" collapsed="false">
      <c r="A352" s="9" t="n">
        <v>351</v>
      </c>
      <c r="B352" s="40" t="str">
        <f aca="false">IF($T$4=0,IF($I352="","",$I352),IFERROR(IF([1]财务取数接口!$B$351=0,"",[1]财务取数接口!$B$351),""))</f>
        <v/>
      </c>
      <c r="C352" s="39" t="str">
        <f aca="false">IF($T$4=0,IF($J352="","",$J352),IFERROR(IF([1]财务取数接口!$C$351=0,"",[1]财务取数接口!$C$351),""))</f>
        <v/>
      </c>
      <c r="D352" s="40" t="str">
        <f aca="false">IF($T$4=0,IF($K352="","",$K352),IFERROR(IF([1]财务取数接口!$D$351=0,"",[1]财务取数接口!$D$351),""))</f>
        <v/>
      </c>
      <c r="E352" s="40" t="str">
        <f aca="false">IF($T$4=0,IF($L352="","",$L352),IFERROR(IF([1]财务取数接口!$E$351=0,"",[1]财务取数接口!$E$351),""))</f>
        <v/>
      </c>
      <c r="F352" s="41" t="str">
        <f aca="false">IF($T$4=0,IF($M352="","",$M352),IFERROR(IF([1]财务取数接口!$G$351=0,"",[1]财务取数接口!$G$351),""))</f>
        <v/>
      </c>
      <c r="G352" s="41" t="str">
        <f aca="false">IF($T$4=0,IF($N352="","",$N352),IFERROR(IF([1]财务取数接口!$H$351=0,"",[1]财务取数接口!$H$351),""))</f>
        <v/>
      </c>
      <c r="H352" s="39" t="str">
        <f aca="false">IF($T$4=0,IF($O352="","",$O352),IFERROR(IF([1]财务取数接口!$I$351=0,"",[1]财务取数接口!$I$351),""))</f>
        <v/>
      </c>
      <c r="I352" s="42"/>
      <c r="J352" s="43"/>
      <c r="K352" s="42"/>
      <c r="L352" s="42"/>
      <c r="M352" s="44"/>
      <c r="N352" s="44"/>
      <c r="O352" s="43"/>
      <c r="P352" s="45" t="n">
        <f aca="false">IF(AND($C352&lt;&gt;"",$C352&lt;&gt;"项目",OR(N($D352)&lt;&gt;0,N($E352)&lt;&gt;0,N($F352)&lt;&gt;0)),1,0)</f>
        <v>0</v>
      </c>
      <c r="Q352" s="45" t="n">
        <f aca="false">N(Q351)+$P352</f>
        <v>11</v>
      </c>
    </row>
    <row r="353" customFormat="false" ht="13.5" hidden="false" customHeight="false" outlineLevel="0" collapsed="false">
      <c r="A353" s="9" t="n">
        <v>352</v>
      </c>
      <c r="B353" s="40" t="str">
        <f aca="false">IF($T$4=0,IF($I353="","",$I353),IFERROR(IF([1]财务取数接口!$B$352=0,"",[1]财务取数接口!$B$352),""))</f>
        <v/>
      </c>
      <c r="C353" s="39" t="str">
        <f aca="false">IF($T$4=0,IF($J353="","",$J353),IFERROR(IF([1]财务取数接口!$C$352=0,"",[1]财务取数接口!$C$352),""))</f>
        <v/>
      </c>
      <c r="D353" s="40" t="str">
        <f aca="false">IF($T$4=0,IF($K353="","",$K353),IFERROR(IF([1]财务取数接口!$D$352=0,"",[1]财务取数接口!$D$352),""))</f>
        <v/>
      </c>
      <c r="E353" s="40" t="str">
        <f aca="false">IF($T$4=0,IF($L353="","",$L353),IFERROR(IF([1]财务取数接口!$E$352=0,"",[1]财务取数接口!$E$352),""))</f>
        <v/>
      </c>
      <c r="F353" s="41" t="str">
        <f aca="false">IF($T$4=0,IF($M353="","",$M353),IFERROR(IF([1]财务取数接口!$G$352=0,"",[1]财务取数接口!$G$352),""))</f>
        <v/>
      </c>
      <c r="G353" s="41" t="str">
        <f aca="false">IF($T$4=0,IF($N353="","",$N353),IFERROR(IF([1]财务取数接口!$H$352=0,"",[1]财务取数接口!$H$352),""))</f>
        <v/>
      </c>
      <c r="H353" s="39" t="str">
        <f aca="false">IF($T$4=0,IF($O353="","",$O353),IFERROR(IF([1]财务取数接口!$I$352=0,"",[1]财务取数接口!$I$352),""))</f>
        <v/>
      </c>
      <c r="I353" s="42"/>
      <c r="J353" s="43"/>
      <c r="K353" s="42"/>
      <c r="L353" s="42"/>
      <c r="M353" s="44"/>
      <c r="N353" s="44"/>
      <c r="O353" s="43"/>
      <c r="P353" s="45" t="n">
        <f aca="false">IF(AND($C353&lt;&gt;"",$C353&lt;&gt;"项目",OR(N($D353)&lt;&gt;0,N($E353)&lt;&gt;0,N($F353)&lt;&gt;0)),1,0)</f>
        <v>0</v>
      </c>
      <c r="Q353" s="45" t="n">
        <f aca="false">N(Q352)+$P353</f>
        <v>11</v>
      </c>
    </row>
    <row r="354" customFormat="false" ht="13.5" hidden="false" customHeight="false" outlineLevel="0" collapsed="false">
      <c r="A354" s="9" t="n">
        <v>353</v>
      </c>
      <c r="B354" s="40" t="str">
        <f aca="false">IF($T$4=0,IF($I354="","",$I354),IFERROR(IF([1]财务取数接口!$B$353=0,"",[1]财务取数接口!$B$353),""))</f>
        <v/>
      </c>
      <c r="C354" s="39" t="str">
        <f aca="false">IF($T$4=0,IF($J354="","",$J354),IFERROR(IF([1]财务取数接口!$C$353=0,"",[1]财务取数接口!$C$353),""))</f>
        <v/>
      </c>
      <c r="D354" s="40" t="str">
        <f aca="false">IF($T$4=0,IF($K354="","",$K354),IFERROR(IF([1]财务取数接口!$D$353=0,"",[1]财务取数接口!$D$353),""))</f>
        <v/>
      </c>
      <c r="E354" s="40" t="str">
        <f aca="false">IF($T$4=0,IF($L354="","",$L354),IFERROR(IF([1]财务取数接口!$E$353=0,"",[1]财务取数接口!$E$353),""))</f>
        <v/>
      </c>
      <c r="F354" s="41" t="str">
        <f aca="false">IF($T$4=0,IF($M354="","",$M354),IFERROR(IF([1]财务取数接口!$G$353=0,"",[1]财务取数接口!$G$353),""))</f>
        <v/>
      </c>
      <c r="G354" s="41" t="str">
        <f aca="false">IF($T$4=0,IF($N354="","",$N354),IFERROR(IF([1]财务取数接口!$H$353=0,"",[1]财务取数接口!$H$353),""))</f>
        <v/>
      </c>
      <c r="H354" s="39" t="str">
        <f aca="false">IF($T$4=0,IF($O354="","",$O354),IFERROR(IF([1]财务取数接口!$I$353=0,"",[1]财务取数接口!$I$353),""))</f>
        <v/>
      </c>
      <c r="I354" s="42"/>
      <c r="J354" s="43"/>
      <c r="K354" s="42"/>
      <c r="L354" s="42"/>
      <c r="M354" s="44"/>
      <c r="N354" s="44"/>
      <c r="O354" s="43"/>
      <c r="P354" s="45" t="n">
        <f aca="false">IF(AND($C354&lt;&gt;"",$C354&lt;&gt;"项目",OR(N($D354)&lt;&gt;0,N($E354)&lt;&gt;0,N($F354)&lt;&gt;0)),1,0)</f>
        <v>0</v>
      </c>
      <c r="Q354" s="45" t="n">
        <f aca="false">N(Q353)+$P354</f>
        <v>11</v>
      </c>
    </row>
    <row r="355" customFormat="false" ht="13.5" hidden="false" customHeight="false" outlineLevel="0" collapsed="false">
      <c r="A355" s="9" t="n">
        <v>354</v>
      </c>
      <c r="B355" s="40" t="str">
        <f aca="false">IF($T$4=0,IF($I355="","",$I355),IFERROR(IF([1]财务取数接口!$B$354=0,"",[1]财务取数接口!$B$354),""))</f>
        <v/>
      </c>
      <c r="C355" s="39" t="str">
        <f aca="false">IF($T$4=0,IF($J355="","",$J355),IFERROR(IF([1]财务取数接口!$C$354=0,"",[1]财务取数接口!$C$354),""))</f>
        <v/>
      </c>
      <c r="D355" s="40" t="str">
        <f aca="false">IF($T$4=0,IF($K355="","",$K355),IFERROR(IF([1]财务取数接口!$D$354=0,"",[1]财务取数接口!$D$354),""))</f>
        <v/>
      </c>
      <c r="E355" s="40" t="str">
        <f aca="false">IF($T$4=0,IF($L355="","",$L355),IFERROR(IF([1]财务取数接口!$E$354=0,"",[1]财务取数接口!$E$354),""))</f>
        <v/>
      </c>
      <c r="F355" s="41" t="str">
        <f aca="false">IF($T$4=0,IF($M355="","",$M355),IFERROR(IF([1]财务取数接口!$G$354=0,"",[1]财务取数接口!$G$354),""))</f>
        <v/>
      </c>
      <c r="G355" s="41" t="str">
        <f aca="false">IF($T$4=0,IF($N355="","",$N355),IFERROR(IF([1]财务取数接口!$H$354=0,"",[1]财务取数接口!$H$354),""))</f>
        <v/>
      </c>
      <c r="H355" s="39" t="str">
        <f aca="false">IF($T$4=0,IF($O355="","",$O355),IFERROR(IF([1]财务取数接口!$I$354=0,"",[1]财务取数接口!$I$354),""))</f>
        <v/>
      </c>
      <c r="I355" s="42"/>
      <c r="J355" s="43"/>
      <c r="K355" s="42"/>
      <c r="L355" s="42"/>
      <c r="M355" s="44"/>
      <c r="N355" s="44"/>
      <c r="O355" s="43"/>
      <c r="P355" s="45" t="n">
        <f aca="false">IF(AND($C355&lt;&gt;"",$C355&lt;&gt;"项目",OR(N($D355)&lt;&gt;0,N($E355)&lt;&gt;0,N($F355)&lt;&gt;0)),1,0)</f>
        <v>0</v>
      </c>
      <c r="Q355" s="45" t="n">
        <f aca="false">N(Q354)+$P355</f>
        <v>11</v>
      </c>
    </row>
    <row r="356" customFormat="false" ht="13.5" hidden="false" customHeight="false" outlineLevel="0" collapsed="false">
      <c r="A356" s="9" t="n">
        <v>355</v>
      </c>
      <c r="B356" s="40" t="str">
        <f aca="false">IF($T$4=0,IF($I356="","",$I356),IFERROR(IF([1]财务取数接口!$B$355=0,"",[1]财务取数接口!$B$355),""))</f>
        <v/>
      </c>
      <c r="C356" s="39" t="str">
        <f aca="false">IF($T$4=0,IF($J356="","",$J356),IFERROR(IF([1]财务取数接口!$C$355=0,"",[1]财务取数接口!$C$355),""))</f>
        <v/>
      </c>
      <c r="D356" s="40" t="str">
        <f aca="false">IF($T$4=0,IF($K356="","",$K356),IFERROR(IF([1]财务取数接口!$D$355=0,"",[1]财务取数接口!$D$355),""))</f>
        <v/>
      </c>
      <c r="E356" s="40" t="str">
        <f aca="false">IF($T$4=0,IF($L356="","",$L356),IFERROR(IF([1]财务取数接口!$E$355=0,"",[1]财务取数接口!$E$355),""))</f>
        <v/>
      </c>
      <c r="F356" s="41" t="str">
        <f aca="false">IF($T$4=0,IF($M356="","",$M356),IFERROR(IF([1]财务取数接口!$G$355=0,"",[1]财务取数接口!$G$355),""))</f>
        <v/>
      </c>
      <c r="G356" s="41" t="str">
        <f aca="false">IF($T$4=0,IF($N356="","",$N356),IFERROR(IF([1]财务取数接口!$H$355=0,"",[1]财务取数接口!$H$355),""))</f>
        <v/>
      </c>
      <c r="H356" s="39" t="str">
        <f aca="false">IF($T$4=0,IF($O356="","",$O356),IFERROR(IF([1]财务取数接口!$I$355=0,"",[1]财务取数接口!$I$355),""))</f>
        <v/>
      </c>
      <c r="I356" s="42"/>
      <c r="J356" s="43"/>
      <c r="K356" s="42"/>
      <c r="L356" s="42"/>
      <c r="M356" s="44"/>
      <c r="N356" s="44"/>
      <c r="O356" s="43"/>
      <c r="P356" s="45" t="n">
        <f aca="false">IF(AND($C356&lt;&gt;"",$C356&lt;&gt;"项目",OR(N($D356)&lt;&gt;0,N($E356)&lt;&gt;0,N($F356)&lt;&gt;0)),1,0)</f>
        <v>0</v>
      </c>
      <c r="Q356" s="45" t="n">
        <f aca="false">N(Q355)+$P356</f>
        <v>11</v>
      </c>
    </row>
    <row r="357" customFormat="false" ht="13.5" hidden="false" customHeight="false" outlineLevel="0" collapsed="false">
      <c r="A357" s="9" t="n">
        <v>356</v>
      </c>
      <c r="B357" s="40" t="str">
        <f aca="false">IF($T$4=0,IF($I357="","",$I357),IFERROR(IF([1]财务取数接口!$B$356=0,"",[1]财务取数接口!$B$356),""))</f>
        <v/>
      </c>
      <c r="C357" s="39" t="str">
        <f aca="false">IF($T$4=0,IF($J357="","",$J357),IFERROR(IF([1]财务取数接口!$C$356=0,"",[1]财务取数接口!$C$356),""))</f>
        <v/>
      </c>
      <c r="D357" s="40" t="str">
        <f aca="false">IF($T$4=0,IF($K357="","",$K357),IFERROR(IF([1]财务取数接口!$D$356=0,"",[1]财务取数接口!$D$356),""))</f>
        <v/>
      </c>
      <c r="E357" s="40" t="str">
        <f aca="false">IF($T$4=0,IF($L357="","",$L357),IFERROR(IF([1]财务取数接口!$E$356=0,"",[1]财务取数接口!$E$356),""))</f>
        <v/>
      </c>
      <c r="F357" s="41" t="str">
        <f aca="false">IF($T$4=0,IF($M357="","",$M357),IFERROR(IF([1]财务取数接口!$G$356=0,"",[1]财务取数接口!$G$356),""))</f>
        <v/>
      </c>
      <c r="G357" s="41" t="str">
        <f aca="false">IF($T$4=0,IF($N357="","",$N357),IFERROR(IF([1]财务取数接口!$H$356=0,"",[1]财务取数接口!$H$356),""))</f>
        <v/>
      </c>
      <c r="H357" s="39" t="str">
        <f aca="false">IF($T$4=0,IF($O357="","",$O357),IFERROR(IF([1]财务取数接口!$I$356=0,"",[1]财务取数接口!$I$356),""))</f>
        <v/>
      </c>
      <c r="I357" s="42"/>
      <c r="J357" s="43"/>
      <c r="K357" s="42"/>
      <c r="L357" s="42"/>
      <c r="M357" s="44"/>
      <c r="N357" s="44"/>
      <c r="O357" s="43"/>
      <c r="P357" s="45" t="n">
        <f aca="false">IF(AND($C357&lt;&gt;"",$C357&lt;&gt;"项目",OR(N($D357)&lt;&gt;0,N($E357)&lt;&gt;0,N($F357)&lt;&gt;0)),1,0)</f>
        <v>0</v>
      </c>
      <c r="Q357" s="45" t="n">
        <f aca="false">N(Q356)+$P357</f>
        <v>11</v>
      </c>
    </row>
    <row r="358" customFormat="false" ht="13.5" hidden="false" customHeight="false" outlineLevel="0" collapsed="false">
      <c r="A358" s="9" t="n">
        <v>357</v>
      </c>
      <c r="B358" s="40" t="str">
        <f aca="false">IF($T$4=0,IF($I358="","",$I358),IFERROR(IF([1]财务取数接口!$B$357=0,"",[1]财务取数接口!$B$357),""))</f>
        <v/>
      </c>
      <c r="C358" s="39" t="str">
        <f aca="false">IF($T$4=0,IF($J358="","",$J358),IFERROR(IF([1]财务取数接口!$C$357=0,"",[1]财务取数接口!$C$357),""))</f>
        <v/>
      </c>
      <c r="D358" s="40" t="str">
        <f aca="false">IF($T$4=0,IF($K358="","",$K358),IFERROR(IF([1]财务取数接口!$D$357=0,"",[1]财务取数接口!$D$357),""))</f>
        <v/>
      </c>
      <c r="E358" s="40" t="str">
        <f aca="false">IF($T$4=0,IF($L358="","",$L358),IFERROR(IF([1]财务取数接口!$E$357=0,"",[1]财务取数接口!$E$357),""))</f>
        <v/>
      </c>
      <c r="F358" s="41" t="str">
        <f aca="false">IF($T$4=0,IF($M358="","",$M358),IFERROR(IF([1]财务取数接口!$G$357=0,"",[1]财务取数接口!$G$357),""))</f>
        <v/>
      </c>
      <c r="G358" s="41" t="str">
        <f aca="false">IF($T$4=0,IF($N358="","",$N358),IFERROR(IF([1]财务取数接口!$H$357=0,"",[1]财务取数接口!$H$357),""))</f>
        <v/>
      </c>
      <c r="H358" s="39" t="str">
        <f aca="false">IF($T$4=0,IF($O358="","",$O358),IFERROR(IF([1]财务取数接口!$I$357=0,"",[1]财务取数接口!$I$357),""))</f>
        <v/>
      </c>
      <c r="I358" s="42"/>
      <c r="J358" s="43"/>
      <c r="K358" s="42"/>
      <c r="L358" s="42"/>
      <c r="M358" s="44"/>
      <c r="N358" s="44"/>
      <c r="O358" s="43"/>
      <c r="P358" s="45" t="n">
        <f aca="false">IF(AND($C358&lt;&gt;"",$C358&lt;&gt;"项目",OR(N($D358)&lt;&gt;0,N($E358)&lt;&gt;0,N($F358)&lt;&gt;0)),1,0)</f>
        <v>0</v>
      </c>
      <c r="Q358" s="45" t="n">
        <f aca="false">N(Q357)+$P358</f>
        <v>11</v>
      </c>
    </row>
    <row r="359" customFormat="false" ht="13.5" hidden="false" customHeight="false" outlineLevel="0" collapsed="false">
      <c r="A359" s="9" t="n">
        <v>358</v>
      </c>
      <c r="B359" s="40" t="str">
        <f aca="false">IF($T$4=0,IF($I359="","",$I359),IFERROR(IF([1]财务取数接口!$B$358=0,"",[1]财务取数接口!$B$358),""))</f>
        <v/>
      </c>
      <c r="C359" s="39" t="str">
        <f aca="false">IF($T$4=0,IF($J359="","",$J359),IFERROR(IF([1]财务取数接口!$C$358=0,"",[1]财务取数接口!$C$358),""))</f>
        <v/>
      </c>
      <c r="D359" s="40" t="str">
        <f aca="false">IF($T$4=0,IF($K359="","",$K359),IFERROR(IF([1]财务取数接口!$D$358=0,"",[1]财务取数接口!$D$358),""))</f>
        <v/>
      </c>
      <c r="E359" s="40" t="str">
        <f aca="false">IF($T$4=0,IF($L359="","",$L359),IFERROR(IF([1]财务取数接口!$E$358=0,"",[1]财务取数接口!$E$358),""))</f>
        <v/>
      </c>
      <c r="F359" s="41" t="str">
        <f aca="false">IF($T$4=0,IF($M359="","",$M359),IFERROR(IF([1]财务取数接口!$G$358=0,"",[1]财务取数接口!$G$358),""))</f>
        <v/>
      </c>
      <c r="G359" s="41" t="str">
        <f aca="false">IF($T$4=0,IF($N359="","",$N359),IFERROR(IF([1]财务取数接口!$H$358=0,"",[1]财务取数接口!$H$358),""))</f>
        <v/>
      </c>
      <c r="H359" s="39" t="str">
        <f aca="false">IF($T$4=0,IF($O359="","",$O359),IFERROR(IF([1]财务取数接口!$I$358=0,"",[1]财务取数接口!$I$358),""))</f>
        <v/>
      </c>
      <c r="I359" s="42"/>
      <c r="J359" s="43"/>
      <c r="K359" s="42"/>
      <c r="L359" s="42"/>
      <c r="M359" s="44"/>
      <c r="N359" s="44"/>
      <c r="O359" s="43"/>
      <c r="P359" s="45" t="n">
        <f aca="false">IF(AND($C359&lt;&gt;"",$C359&lt;&gt;"项目",OR(N($D359)&lt;&gt;0,N($E359)&lt;&gt;0,N($F359)&lt;&gt;0)),1,0)</f>
        <v>0</v>
      </c>
      <c r="Q359" s="45" t="n">
        <f aca="false">N(Q358)+$P359</f>
        <v>11</v>
      </c>
    </row>
    <row r="360" customFormat="false" ht="13.5" hidden="false" customHeight="false" outlineLevel="0" collapsed="false">
      <c r="A360" s="9" t="n">
        <v>359</v>
      </c>
      <c r="B360" s="40" t="str">
        <f aca="false">IF($T$4=0,IF($I360="","",$I360),IFERROR(IF([1]财务取数接口!$B$359=0,"",[1]财务取数接口!$B$359),""))</f>
        <v/>
      </c>
      <c r="C360" s="39" t="str">
        <f aca="false">IF($T$4=0,IF($J360="","",$J360),IFERROR(IF([1]财务取数接口!$C$359=0,"",[1]财务取数接口!$C$359),""))</f>
        <v/>
      </c>
      <c r="D360" s="40" t="str">
        <f aca="false">IF($T$4=0,IF($K360="","",$K360),IFERROR(IF([1]财务取数接口!$D$359=0,"",[1]财务取数接口!$D$359),""))</f>
        <v/>
      </c>
      <c r="E360" s="40" t="str">
        <f aca="false">IF($T$4=0,IF($L360="","",$L360),IFERROR(IF([1]财务取数接口!$E$359=0,"",[1]财务取数接口!$E$359),""))</f>
        <v/>
      </c>
      <c r="F360" s="41" t="str">
        <f aca="false">IF($T$4=0,IF($M360="","",$M360),IFERROR(IF([1]财务取数接口!$G$359=0,"",[1]财务取数接口!$G$359),""))</f>
        <v/>
      </c>
      <c r="G360" s="41" t="str">
        <f aca="false">IF($T$4=0,IF($N360="","",$N360),IFERROR(IF([1]财务取数接口!$H$359=0,"",[1]财务取数接口!$H$359),""))</f>
        <v/>
      </c>
      <c r="H360" s="39" t="str">
        <f aca="false">IF($T$4=0,IF($O360="","",$O360),IFERROR(IF([1]财务取数接口!$I$359=0,"",[1]财务取数接口!$I$359),""))</f>
        <v/>
      </c>
      <c r="I360" s="42"/>
      <c r="J360" s="43"/>
      <c r="K360" s="42"/>
      <c r="L360" s="42"/>
      <c r="M360" s="44"/>
      <c r="N360" s="44"/>
      <c r="O360" s="43"/>
      <c r="P360" s="45" t="n">
        <f aca="false">IF(AND($C360&lt;&gt;"",$C360&lt;&gt;"项目",OR(N($D360)&lt;&gt;0,N($E360)&lt;&gt;0,N($F360)&lt;&gt;0)),1,0)</f>
        <v>0</v>
      </c>
      <c r="Q360" s="45" t="n">
        <f aca="false">N(Q359)+$P360</f>
        <v>11</v>
      </c>
    </row>
    <row r="361" customFormat="false" ht="13.5" hidden="false" customHeight="false" outlineLevel="0" collapsed="false">
      <c r="A361" s="9" t="n">
        <v>360</v>
      </c>
      <c r="B361" s="40" t="str">
        <f aca="false">IF($T$4=0,IF($I361="","",$I361),IFERROR(IF([1]财务取数接口!$B$360=0,"",[1]财务取数接口!$B$360),""))</f>
        <v/>
      </c>
      <c r="C361" s="39" t="str">
        <f aca="false">IF($T$4=0,IF($J361="","",$J361),IFERROR(IF([1]财务取数接口!$C$360=0,"",[1]财务取数接口!$C$360),""))</f>
        <v/>
      </c>
      <c r="D361" s="40" t="str">
        <f aca="false">IF($T$4=0,IF($K361="","",$K361),IFERROR(IF([1]财务取数接口!$D$360=0,"",[1]财务取数接口!$D$360),""))</f>
        <v/>
      </c>
      <c r="E361" s="40" t="str">
        <f aca="false">IF($T$4=0,IF($L361="","",$L361),IFERROR(IF([1]财务取数接口!$E$360=0,"",[1]财务取数接口!$E$360),""))</f>
        <v/>
      </c>
      <c r="F361" s="41" t="str">
        <f aca="false">IF($T$4=0,IF($M361="","",$M361),IFERROR(IF([1]财务取数接口!$G$360=0,"",[1]财务取数接口!$G$360),""))</f>
        <v/>
      </c>
      <c r="G361" s="41" t="str">
        <f aca="false">IF($T$4=0,IF($N361="","",$N361),IFERROR(IF([1]财务取数接口!$H$360=0,"",[1]财务取数接口!$H$360),""))</f>
        <v/>
      </c>
      <c r="H361" s="39" t="str">
        <f aca="false">IF($T$4=0,IF($O361="","",$O361),IFERROR(IF([1]财务取数接口!$I$360=0,"",[1]财务取数接口!$I$360),""))</f>
        <v/>
      </c>
      <c r="I361" s="42"/>
      <c r="J361" s="43"/>
      <c r="K361" s="42"/>
      <c r="L361" s="42"/>
      <c r="M361" s="44"/>
      <c r="N361" s="44"/>
      <c r="O361" s="43"/>
      <c r="P361" s="45" t="n">
        <f aca="false">IF(AND($C361&lt;&gt;"",$C361&lt;&gt;"项目",OR(N($D361)&lt;&gt;0,N($E361)&lt;&gt;0,N($F361)&lt;&gt;0)),1,0)</f>
        <v>0</v>
      </c>
      <c r="Q361" s="45" t="n">
        <f aca="false">N(Q360)+$P361</f>
        <v>11</v>
      </c>
    </row>
    <row r="362" customFormat="false" ht="13.5" hidden="false" customHeight="false" outlineLevel="0" collapsed="false">
      <c r="A362" s="9" t="n">
        <v>361</v>
      </c>
      <c r="B362" s="40" t="str">
        <f aca="false">IF($T$4=0,IF($I362="","",$I362),IFERROR(IF([1]财务取数接口!$B$361=0,"",[1]财务取数接口!$B$361),""))</f>
        <v/>
      </c>
      <c r="C362" s="39" t="str">
        <f aca="false">IF($T$4=0,IF($J362="","",$J362),IFERROR(IF([1]财务取数接口!$C$361=0,"",[1]财务取数接口!$C$361),""))</f>
        <v/>
      </c>
      <c r="D362" s="40" t="str">
        <f aca="false">IF($T$4=0,IF($K362="","",$K362),IFERROR(IF([1]财务取数接口!$D$361=0,"",[1]财务取数接口!$D$361),""))</f>
        <v/>
      </c>
      <c r="E362" s="40" t="str">
        <f aca="false">IF($T$4=0,IF($L362="","",$L362),IFERROR(IF([1]财务取数接口!$E$361=0,"",[1]财务取数接口!$E$361),""))</f>
        <v/>
      </c>
      <c r="F362" s="41" t="str">
        <f aca="false">IF($T$4=0,IF($M362="","",$M362),IFERROR(IF([1]财务取数接口!$G$361=0,"",[1]财务取数接口!$G$361),""))</f>
        <v/>
      </c>
      <c r="G362" s="41" t="str">
        <f aca="false">IF($T$4=0,IF($N362="","",$N362),IFERROR(IF([1]财务取数接口!$H$361=0,"",[1]财务取数接口!$H$361),""))</f>
        <v/>
      </c>
      <c r="H362" s="39" t="str">
        <f aca="false">IF($T$4=0,IF($O362="","",$O362),IFERROR(IF([1]财务取数接口!$I$361=0,"",[1]财务取数接口!$I$361),""))</f>
        <v/>
      </c>
      <c r="I362" s="42"/>
      <c r="J362" s="43"/>
      <c r="K362" s="42"/>
      <c r="L362" s="42"/>
      <c r="M362" s="44"/>
      <c r="N362" s="44"/>
      <c r="O362" s="43"/>
      <c r="P362" s="45" t="n">
        <f aca="false">IF(AND($C362&lt;&gt;"",$C362&lt;&gt;"项目",OR(N($D362)&lt;&gt;0,N($E362)&lt;&gt;0,N($F362)&lt;&gt;0)),1,0)</f>
        <v>0</v>
      </c>
      <c r="Q362" s="45" t="n">
        <f aca="false">N(Q361)+$P362</f>
        <v>11</v>
      </c>
    </row>
    <row r="363" customFormat="false" ht="13.5" hidden="false" customHeight="false" outlineLevel="0" collapsed="false">
      <c r="A363" s="9" t="n">
        <v>362</v>
      </c>
      <c r="B363" s="40" t="str">
        <f aca="false">IF($T$4=0,IF($I363="","",$I363),IFERROR(IF([1]财务取数接口!$B$362=0,"",[1]财务取数接口!$B$362),""))</f>
        <v/>
      </c>
      <c r="C363" s="39" t="str">
        <f aca="false">IF($T$4=0,IF($J363="","",$J363),IFERROR(IF([1]财务取数接口!$C$362=0,"",[1]财务取数接口!$C$362),""))</f>
        <v/>
      </c>
      <c r="D363" s="40" t="str">
        <f aca="false">IF($T$4=0,IF($K363="","",$K363),IFERROR(IF([1]财务取数接口!$D$362=0,"",[1]财务取数接口!$D$362),""))</f>
        <v/>
      </c>
      <c r="E363" s="40" t="str">
        <f aca="false">IF($T$4=0,IF($L363="","",$L363),IFERROR(IF([1]财务取数接口!$E$362=0,"",[1]财务取数接口!$E$362),""))</f>
        <v/>
      </c>
      <c r="F363" s="41" t="str">
        <f aca="false">IF($T$4=0,IF($M363="","",$M363),IFERROR(IF([1]财务取数接口!$G$362=0,"",[1]财务取数接口!$G$362),""))</f>
        <v/>
      </c>
      <c r="G363" s="41" t="str">
        <f aca="false">IF($T$4=0,IF($N363="","",$N363),IFERROR(IF([1]财务取数接口!$H$362=0,"",[1]财务取数接口!$H$362),""))</f>
        <v/>
      </c>
      <c r="H363" s="39" t="str">
        <f aca="false">IF($T$4=0,IF($O363="","",$O363),IFERROR(IF([1]财务取数接口!$I$362=0,"",[1]财务取数接口!$I$362),""))</f>
        <v/>
      </c>
      <c r="I363" s="42"/>
      <c r="J363" s="43"/>
      <c r="K363" s="42"/>
      <c r="L363" s="42"/>
      <c r="M363" s="44"/>
      <c r="N363" s="44"/>
      <c r="O363" s="43"/>
      <c r="P363" s="45" t="n">
        <f aca="false">IF(AND($C363&lt;&gt;"",$C363&lt;&gt;"项目",OR(N($D363)&lt;&gt;0,N($E363)&lt;&gt;0,N($F363)&lt;&gt;0)),1,0)</f>
        <v>0</v>
      </c>
      <c r="Q363" s="45" t="n">
        <f aca="false">N(Q362)+$P363</f>
        <v>11</v>
      </c>
    </row>
    <row r="364" customFormat="false" ht="13.5" hidden="false" customHeight="false" outlineLevel="0" collapsed="false">
      <c r="A364" s="9" t="n">
        <v>363</v>
      </c>
      <c r="B364" s="40" t="str">
        <f aca="false">IF($T$4=0,IF($I364="","",$I364),IFERROR(IF([1]财务取数接口!$B$363=0,"",[1]财务取数接口!$B$363),""))</f>
        <v/>
      </c>
      <c r="C364" s="39" t="str">
        <f aca="false">IF($T$4=0,IF($J364="","",$J364),IFERROR(IF([1]财务取数接口!$C$363=0,"",[1]财务取数接口!$C$363),""))</f>
        <v/>
      </c>
      <c r="D364" s="40" t="str">
        <f aca="false">IF($T$4=0,IF($K364="","",$K364),IFERROR(IF([1]财务取数接口!$D$363=0,"",[1]财务取数接口!$D$363),""))</f>
        <v/>
      </c>
      <c r="E364" s="40" t="str">
        <f aca="false">IF($T$4=0,IF($L364="","",$L364),IFERROR(IF([1]财务取数接口!$E$363=0,"",[1]财务取数接口!$E$363),""))</f>
        <v/>
      </c>
      <c r="F364" s="41" t="str">
        <f aca="false">IF($T$4=0,IF($M364="","",$M364),IFERROR(IF([1]财务取数接口!$G$363=0,"",[1]财务取数接口!$G$363),""))</f>
        <v/>
      </c>
      <c r="G364" s="41" t="str">
        <f aca="false">IF($T$4=0,IF($N364="","",$N364),IFERROR(IF([1]财务取数接口!$H$363=0,"",[1]财务取数接口!$H$363),""))</f>
        <v/>
      </c>
      <c r="H364" s="39" t="str">
        <f aca="false">IF($T$4=0,IF($O364="","",$O364),IFERROR(IF([1]财务取数接口!$I$363=0,"",[1]财务取数接口!$I$363),""))</f>
        <v/>
      </c>
      <c r="I364" s="42"/>
      <c r="J364" s="43"/>
      <c r="K364" s="42"/>
      <c r="L364" s="42"/>
      <c r="M364" s="44"/>
      <c r="N364" s="44"/>
      <c r="O364" s="43"/>
      <c r="P364" s="45" t="n">
        <f aca="false">IF(AND($C364&lt;&gt;"",$C364&lt;&gt;"项目",OR(N($D364)&lt;&gt;0,N($E364)&lt;&gt;0,N($F364)&lt;&gt;0)),1,0)</f>
        <v>0</v>
      </c>
      <c r="Q364" s="45" t="n">
        <f aca="false">N(Q363)+$P364</f>
        <v>11</v>
      </c>
    </row>
    <row r="365" customFormat="false" ht="13.5" hidden="false" customHeight="false" outlineLevel="0" collapsed="false">
      <c r="A365" s="9" t="n">
        <v>364</v>
      </c>
      <c r="B365" s="40" t="str">
        <f aca="false">IF($T$4=0,IF($I365="","",$I365),IFERROR(IF([1]财务取数接口!$B$364=0,"",[1]财务取数接口!$B$364),""))</f>
        <v/>
      </c>
      <c r="C365" s="39" t="str">
        <f aca="false">IF($T$4=0,IF($J365="","",$J365),IFERROR(IF([1]财务取数接口!$C$364=0,"",[1]财务取数接口!$C$364),""))</f>
        <v/>
      </c>
      <c r="D365" s="40" t="str">
        <f aca="false">IF($T$4=0,IF($K365="","",$K365),IFERROR(IF([1]财务取数接口!$D$364=0,"",[1]财务取数接口!$D$364),""))</f>
        <v/>
      </c>
      <c r="E365" s="40" t="str">
        <f aca="false">IF($T$4=0,IF($L365="","",$L365),IFERROR(IF([1]财务取数接口!$E$364=0,"",[1]财务取数接口!$E$364),""))</f>
        <v/>
      </c>
      <c r="F365" s="41" t="str">
        <f aca="false">IF($T$4=0,IF($M365="","",$M365),IFERROR(IF([1]财务取数接口!$G$364=0,"",[1]财务取数接口!$G$364),""))</f>
        <v/>
      </c>
      <c r="G365" s="41" t="str">
        <f aca="false">IF($T$4=0,IF($N365="","",$N365),IFERROR(IF([1]财务取数接口!$H$364=0,"",[1]财务取数接口!$H$364),""))</f>
        <v/>
      </c>
      <c r="H365" s="39" t="str">
        <f aca="false">IF($T$4=0,IF($O365="","",$O365),IFERROR(IF([1]财务取数接口!$I$364=0,"",[1]财务取数接口!$I$364),""))</f>
        <v/>
      </c>
      <c r="I365" s="42"/>
      <c r="J365" s="43"/>
      <c r="K365" s="42"/>
      <c r="L365" s="42"/>
      <c r="M365" s="44"/>
      <c r="N365" s="44"/>
      <c r="O365" s="43"/>
      <c r="P365" s="45" t="n">
        <f aca="false">IF(AND($C365&lt;&gt;"",$C365&lt;&gt;"项目",OR(N($D365)&lt;&gt;0,N($E365)&lt;&gt;0,N($F365)&lt;&gt;0)),1,0)</f>
        <v>0</v>
      </c>
      <c r="Q365" s="45" t="n">
        <f aca="false">N(Q364)+$P365</f>
        <v>11</v>
      </c>
    </row>
    <row r="366" customFormat="false" ht="13.5" hidden="false" customHeight="false" outlineLevel="0" collapsed="false">
      <c r="A366" s="9" t="n">
        <v>365</v>
      </c>
      <c r="B366" s="40" t="str">
        <f aca="false">IF($T$4=0,IF($I366="","",$I366),IFERROR(IF([1]财务取数接口!$B$365=0,"",[1]财务取数接口!$B$365),""))</f>
        <v/>
      </c>
      <c r="C366" s="39" t="str">
        <f aca="false">IF($T$4=0,IF($J366="","",$J366),IFERROR(IF([1]财务取数接口!$C$365=0,"",[1]财务取数接口!$C$365),""))</f>
        <v/>
      </c>
      <c r="D366" s="40" t="str">
        <f aca="false">IF($T$4=0,IF($K366="","",$K366),IFERROR(IF([1]财务取数接口!$D$365=0,"",[1]财务取数接口!$D$365),""))</f>
        <v/>
      </c>
      <c r="E366" s="40" t="str">
        <f aca="false">IF($T$4=0,IF($L366="","",$L366),IFERROR(IF([1]财务取数接口!$E$365=0,"",[1]财务取数接口!$E$365),""))</f>
        <v/>
      </c>
      <c r="F366" s="41" t="str">
        <f aca="false">IF($T$4=0,IF($M366="","",$M366),IFERROR(IF([1]财务取数接口!$G$365=0,"",[1]财务取数接口!$G$365),""))</f>
        <v/>
      </c>
      <c r="G366" s="41" t="str">
        <f aca="false">IF($T$4=0,IF($N366="","",$N366),IFERROR(IF([1]财务取数接口!$H$365=0,"",[1]财务取数接口!$H$365),""))</f>
        <v/>
      </c>
      <c r="H366" s="39" t="str">
        <f aca="false">IF($T$4=0,IF($O366="","",$O366),IFERROR(IF([1]财务取数接口!$I$365=0,"",[1]财务取数接口!$I$365),""))</f>
        <v/>
      </c>
      <c r="I366" s="42"/>
      <c r="J366" s="43"/>
      <c r="K366" s="42"/>
      <c r="L366" s="42"/>
      <c r="M366" s="44"/>
      <c r="N366" s="44"/>
      <c r="O366" s="43"/>
      <c r="P366" s="45" t="n">
        <f aca="false">IF(AND($C366&lt;&gt;"",$C366&lt;&gt;"项目",OR(N($D366)&lt;&gt;0,N($E366)&lt;&gt;0,N($F366)&lt;&gt;0)),1,0)</f>
        <v>0</v>
      </c>
      <c r="Q366" s="45" t="n">
        <f aca="false">N(Q365)+$P366</f>
        <v>11</v>
      </c>
    </row>
    <row r="367" customFormat="false" ht="13.5" hidden="false" customHeight="false" outlineLevel="0" collapsed="false">
      <c r="A367" s="9" t="n">
        <v>366</v>
      </c>
      <c r="B367" s="40" t="str">
        <f aca="false">IF($T$4=0,IF($I367="","",$I367),IFERROR(IF([1]财务取数接口!$B$366=0,"",[1]财务取数接口!$B$366),""))</f>
        <v/>
      </c>
      <c r="C367" s="39" t="str">
        <f aca="false">IF($T$4=0,IF($J367="","",$J367),IFERROR(IF([1]财务取数接口!$C$366=0,"",[1]财务取数接口!$C$366),""))</f>
        <v/>
      </c>
      <c r="D367" s="40" t="str">
        <f aca="false">IF($T$4=0,IF($K367="","",$K367),IFERROR(IF([1]财务取数接口!$D$366=0,"",[1]财务取数接口!$D$366),""))</f>
        <v/>
      </c>
      <c r="E367" s="40" t="str">
        <f aca="false">IF($T$4=0,IF($L367="","",$L367),IFERROR(IF([1]财务取数接口!$E$366=0,"",[1]财务取数接口!$E$366),""))</f>
        <v/>
      </c>
      <c r="F367" s="41" t="str">
        <f aca="false">IF($T$4=0,IF($M367="","",$M367),IFERROR(IF([1]财务取数接口!$G$366=0,"",[1]财务取数接口!$G$366),""))</f>
        <v/>
      </c>
      <c r="G367" s="41" t="str">
        <f aca="false">IF($T$4=0,IF($N367="","",$N367),IFERROR(IF([1]财务取数接口!$H$366=0,"",[1]财务取数接口!$H$366),""))</f>
        <v/>
      </c>
      <c r="H367" s="39" t="str">
        <f aca="false">IF($T$4=0,IF($O367="","",$O367),IFERROR(IF([1]财务取数接口!$I$366=0,"",[1]财务取数接口!$I$366),""))</f>
        <v/>
      </c>
      <c r="I367" s="42"/>
      <c r="J367" s="43"/>
      <c r="K367" s="42"/>
      <c r="L367" s="42"/>
      <c r="M367" s="44"/>
      <c r="N367" s="44"/>
      <c r="O367" s="43"/>
      <c r="P367" s="45" t="n">
        <f aca="false">IF(AND($C367&lt;&gt;"",$C367&lt;&gt;"项目",OR(N($D367)&lt;&gt;0,N($E367)&lt;&gt;0,N($F367)&lt;&gt;0)),1,0)</f>
        <v>0</v>
      </c>
      <c r="Q367" s="45" t="n">
        <f aca="false">N(Q366)+$P367</f>
        <v>11</v>
      </c>
    </row>
    <row r="368" customFormat="false" ht="13.5" hidden="false" customHeight="false" outlineLevel="0" collapsed="false">
      <c r="A368" s="9" t="n">
        <v>367</v>
      </c>
      <c r="B368" s="40" t="str">
        <f aca="false">IF($T$4=0,IF($I368="","",$I368),IFERROR(IF([1]财务取数接口!$B$367=0,"",[1]财务取数接口!$B$367),""))</f>
        <v/>
      </c>
      <c r="C368" s="39" t="str">
        <f aca="false">IF($T$4=0,IF($J368="","",$J368),IFERROR(IF([1]财务取数接口!$C$367=0,"",[1]财务取数接口!$C$367),""))</f>
        <v/>
      </c>
      <c r="D368" s="40" t="str">
        <f aca="false">IF($T$4=0,IF($K368="","",$K368),IFERROR(IF([1]财务取数接口!$D$367=0,"",[1]财务取数接口!$D$367),""))</f>
        <v/>
      </c>
      <c r="E368" s="40" t="str">
        <f aca="false">IF($T$4=0,IF($L368="","",$L368),IFERROR(IF([1]财务取数接口!$E$367=0,"",[1]财务取数接口!$E$367),""))</f>
        <v/>
      </c>
      <c r="F368" s="41" t="str">
        <f aca="false">IF($T$4=0,IF($M368="","",$M368),IFERROR(IF([1]财务取数接口!$G$367=0,"",[1]财务取数接口!$G$367),""))</f>
        <v/>
      </c>
      <c r="G368" s="41" t="str">
        <f aca="false">IF($T$4=0,IF($N368="","",$N368),IFERROR(IF([1]财务取数接口!$H$367=0,"",[1]财务取数接口!$H$367),""))</f>
        <v/>
      </c>
      <c r="H368" s="39" t="str">
        <f aca="false">IF($T$4=0,IF($O368="","",$O368),IFERROR(IF([1]财务取数接口!$I$367=0,"",[1]财务取数接口!$I$367),""))</f>
        <v/>
      </c>
      <c r="I368" s="42"/>
      <c r="J368" s="43"/>
      <c r="K368" s="42"/>
      <c r="L368" s="42"/>
      <c r="M368" s="44"/>
      <c r="N368" s="44"/>
      <c r="O368" s="43"/>
      <c r="P368" s="45" t="n">
        <f aca="false">IF(AND($C368&lt;&gt;"",$C368&lt;&gt;"项目",OR(N($D368)&lt;&gt;0,N($E368)&lt;&gt;0,N($F368)&lt;&gt;0)),1,0)</f>
        <v>0</v>
      </c>
      <c r="Q368" s="45" t="n">
        <f aca="false">N(Q367)+$P368</f>
        <v>11</v>
      </c>
    </row>
    <row r="369" customFormat="false" ht="13.5" hidden="false" customHeight="false" outlineLevel="0" collapsed="false">
      <c r="A369" s="9" t="n">
        <v>368</v>
      </c>
      <c r="B369" s="40" t="str">
        <f aca="false">IF($T$4=0,IF($I369="","",$I369),IFERROR(IF([1]财务取数接口!$B$368=0,"",[1]财务取数接口!$B$368),""))</f>
        <v/>
      </c>
      <c r="C369" s="39" t="str">
        <f aca="false">IF($T$4=0,IF($J369="","",$J369),IFERROR(IF([1]财务取数接口!$C$368=0,"",[1]财务取数接口!$C$368),""))</f>
        <v/>
      </c>
      <c r="D369" s="40" t="str">
        <f aca="false">IF($T$4=0,IF($K369="","",$K369),IFERROR(IF([1]财务取数接口!$D$368=0,"",[1]财务取数接口!$D$368),""))</f>
        <v/>
      </c>
      <c r="E369" s="40" t="str">
        <f aca="false">IF($T$4=0,IF($L369="","",$L369),IFERROR(IF([1]财务取数接口!$E$368=0,"",[1]财务取数接口!$E$368),""))</f>
        <v/>
      </c>
      <c r="F369" s="41" t="str">
        <f aca="false">IF($T$4=0,IF($M369="","",$M369),IFERROR(IF([1]财务取数接口!$G$368=0,"",[1]财务取数接口!$G$368),""))</f>
        <v/>
      </c>
      <c r="G369" s="41" t="str">
        <f aca="false">IF($T$4=0,IF($N369="","",$N369),IFERROR(IF([1]财务取数接口!$H$368=0,"",[1]财务取数接口!$H$368),""))</f>
        <v/>
      </c>
      <c r="H369" s="39" t="str">
        <f aca="false">IF($T$4=0,IF($O369="","",$O369),IFERROR(IF([1]财务取数接口!$I$368=0,"",[1]财务取数接口!$I$368),""))</f>
        <v/>
      </c>
      <c r="I369" s="42"/>
      <c r="J369" s="43"/>
      <c r="K369" s="42"/>
      <c r="L369" s="42"/>
      <c r="M369" s="44"/>
      <c r="N369" s="44"/>
      <c r="O369" s="43"/>
      <c r="P369" s="45" t="n">
        <f aca="false">IF(AND($C369&lt;&gt;"",$C369&lt;&gt;"项目",OR(N($D369)&lt;&gt;0,N($E369)&lt;&gt;0,N($F369)&lt;&gt;0)),1,0)</f>
        <v>0</v>
      </c>
      <c r="Q369" s="45" t="n">
        <f aca="false">N(Q368)+$P369</f>
        <v>11</v>
      </c>
    </row>
    <row r="370" customFormat="false" ht="13.5" hidden="false" customHeight="false" outlineLevel="0" collapsed="false">
      <c r="A370" s="9" t="n">
        <v>369</v>
      </c>
      <c r="B370" s="40" t="str">
        <f aca="false">IF($T$4=0,IF($I370="","",$I370),IFERROR(IF([1]财务取数接口!$B$369=0,"",[1]财务取数接口!$B$369),""))</f>
        <v/>
      </c>
      <c r="C370" s="39" t="str">
        <f aca="false">IF($T$4=0,IF($J370="","",$J370),IFERROR(IF([1]财务取数接口!$C$369=0,"",[1]财务取数接口!$C$369),""))</f>
        <v/>
      </c>
      <c r="D370" s="40" t="str">
        <f aca="false">IF($T$4=0,IF($K370="","",$K370),IFERROR(IF([1]财务取数接口!$D$369=0,"",[1]财务取数接口!$D$369),""))</f>
        <v/>
      </c>
      <c r="E370" s="40" t="str">
        <f aca="false">IF($T$4=0,IF($L370="","",$L370),IFERROR(IF([1]财务取数接口!$E$369=0,"",[1]财务取数接口!$E$369),""))</f>
        <v/>
      </c>
      <c r="F370" s="41" t="str">
        <f aca="false">IF($T$4=0,IF($M370="","",$M370),IFERROR(IF([1]财务取数接口!$G$369=0,"",[1]财务取数接口!$G$369),""))</f>
        <v/>
      </c>
      <c r="G370" s="41" t="str">
        <f aca="false">IF($T$4=0,IF($N370="","",$N370),IFERROR(IF([1]财务取数接口!$H$369=0,"",[1]财务取数接口!$H$369),""))</f>
        <v/>
      </c>
      <c r="H370" s="39" t="str">
        <f aca="false">IF($T$4=0,IF($O370="","",$O370),IFERROR(IF([1]财务取数接口!$I$369=0,"",[1]财务取数接口!$I$369),""))</f>
        <v/>
      </c>
      <c r="I370" s="42"/>
      <c r="J370" s="43"/>
      <c r="K370" s="42"/>
      <c r="L370" s="42"/>
      <c r="M370" s="44"/>
      <c r="N370" s="44"/>
      <c r="O370" s="43"/>
      <c r="P370" s="45" t="n">
        <f aca="false">IF(AND($C370&lt;&gt;"",$C370&lt;&gt;"项目",OR(N($D370)&lt;&gt;0,N($E370)&lt;&gt;0,N($F370)&lt;&gt;0)),1,0)</f>
        <v>0</v>
      </c>
      <c r="Q370" s="45" t="n">
        <f aca="false">N(Q369)+$P370</f>
        <v>11</v>
      </c>
    </row>
    <row r="371" customFormat="false" ht="13.5" hidden="false" customHeight="false" outlineLevel="0" collapsed="false">
      <c r="A371" s="9" t="n">
        <v>370</v>
      </c>
      <c r="B371" s="40" t="str">
        <f aca="false">IF($T$4=0,IF($I371="","",$I371),IFERROR(IF([1]财务取数接口!$B$370=0,"",[1]财务取数接口!$B$370),""))</f>
        <v/>
      </c>
      <c r="C371" s="39" t="str">
        <f aca="false">IF($T$4=0,IF($J371="","",$J371),IFERROR(IF([1]财务取数接口!$C$370=0,"",[1]财务取数接口!$C$370),""))</f>
        <v/>
      </c>
      <c r="D371" s="40" t="str">
        <f aca="false">IF($T$4=0,IF($K371="","",$K371),IFERROR(IF([1]财务取数接口!$D$370=0,"",[1]财务取数接口!$D$370),""))</f>
        <v/>
      </c>
      <c r="E371" s="40" t="str">
        <f aca="false">IF($T$4=0,IF($L371="","",$L371),IFERROR(IF([1]财务取数接口!$E$370=0,"",[1]财务取数接口!$E$370),""))</f>
        <v/>
      </c>
      <c r="F371" s="41" t="str">
        <f aca="false">IF($T$4=0,IF($M371="","",$M371),IFERROR(IF([1]财务取数接口!$G$370=0,"",[1]财务取数接口!$G$370),""))</f>
        <v/>
      </c>
      <c r="G371" s="41" t="str">
        <f aca="false">IF($T$4=0,IF($N371="","",$N371),IFERROR(IF([1]财务取数接口!$H$370=0,"",[1]财务取数接口!$H$370),""))</f>
        <v/>
      </c>
      <c r="H371" s="39" t="str">
        <f aca="false">IF($T$4=0,IF($O371="","",$O371),IFERROR(IF([1]财务取数接口!$I$370=0,"",[1]财务取数接口!$I$370),""))</f>
        <v/>
      </c>
      <c r="I371" s="42"/>
      <c r="J371" s="43"/>
      <c r="K371" s="42"/>
      <c r="L371" s="42"/>
      <c r="M371" s="44"/>
      <c r="N371" s="44"/>
      <c r="O371" s="43"/>
      <c r="P371" s="45" t="n">
        <f aca="false">IF(AND($C371&lt;&gt;"",$C371&lt;&gt;"项目",OR(N($D371)&lt;&gt;0,N($E371)&lt;&gt;0,N($F371)&lt;&gt;0)),1,0)</f>
        <v>0</v>
      </c>
      <c r="Q371" s="45" t="n">
        <f aca="false">N(Q370)+$P371</f>
        <v>11</v>
      </c>
    </row>
    <row r="372" customFormat="false" ht="13.5" hidden="false" customHeight="false" outlineLevel="0" collapsed="false">
      <c r="A372" s="9" t="n">
        <v>371</v>
      </c>
      <c r="B372" s="40" t="str">
        <f aca="false">IF($T$4=0,IF($I372="","",$I372),IFERROR(IF([1]财务取数接口!$B$371=0,"",[1]财务取数接口!$B$371),""))</f>
        <v/>
      </c>
      <c r="C372" s="39" t="str">
        <f aca="false">IF($T$4=0,IF($J372="","",$J372),IFERROR(IF([1]财务取数接口!$C$371=0,"",[1]财务取数接口!$C$371),""))</f>
        <v/>
      </c>
      <c r="D372" s="40" t="str">
        <f aca="false">IF($T$4=0,IF($K372="","",$K372),IFERROR(IF([1]财务取数接口!$D$371=0,"",[1]财务取数接口!$D$371),""))</f>
        <v/>
      </c>
      <c r="E372" s="40" t="str">
        <f aca="false">IF($T$4=0,IF($L372="","",$L372),IFERROR(IF([1]财务取数接口!$E$371=0,"",[1]财务取数接口!$E$371),""))</f>
        <v/>
      </c>
      <c r="F372" s="41" t="str">
        <f aca="false">IF($T$4=0,IF($M372="","",$M372),IFERROR(IF([1]财务取数接口!$G$371=0,"",[1]财务取数接口!$G$371),""))</f>
        <v/>
      </c>
      <c r="G372" s="41" t="str">
        <f aca="false">IF($T$4=0,IF($N372="","",$N372),IFERROR(IF([1]财务取数接口!$H$371=0,"",[1]财务取数接口!$H$371),""))</f>
        <v/>
      </c>
      <c r="H372" s="39" t="str">
        <f aca="false">IF($T$4=0,IF($O372="","",$O372),IFERROR(IF([1]财务取数接口!$I$371=0,"",[1]财务取数接口!$I$371),""))</f>
        <v/>
      </c>
      <c r="I372" s="42"/>
      <c r="J372" s="43"/>
      <c r="K372" s="42"/>
      <c r="L372" s="42"/>
      <c r="M372" s="44"/>
      <c r="N372" s="44"/>
      <c r="O372" s="43"/>
      <c r="P372" s="45" t="n">
        <f aca="false">IF(AND($C372&lt;&gt;"",$C372&lt;&gt;"项目",OR(N($D372)&lt;&gt;0,N($E372)&lt;&gt;0,N($F372)&lt;&gt;0)),1,0)</f>
        <v>0</v>
      </c>
      <c r="Q372" s="45" t="n">
        <f aca="false">N(Q371)+$P372</f>
        <v>11</v>
      </c>
    </row>
    <row r="373" customFormat="false" ht="13.5" hidden="false" customHeight="false" outlineLevel="0" collapsed="false">
      <c r="A373" s="9" t="n">
        <v>372</v>
      </c>
      <c r="B373" s="40" t="str">
        <f aca="false">IF($T$4=0,IF($I373="","",$I373),IFERROR(IF([1]财务取数接口!$B$372=0,"",[1]财务取数接口!$B$372),""))</f>
        <v/>
      </c>
      <c r="C373" s="39" t="str">
        <f aca="false">IF($T$4=0,IF($J373="","",$J373),IFERROR(IF([1]财务取数接口!$C$372=0,"",[1]财务取数接口!$C$372),""))</f>
        <v/>
      </c>
      <c r="D373" s="40" t="str">
        <f aca="false">IF($T$4=0,IF($K373="","",$K373),IFERROR(IF([1]财务取数接口!$D$372=0,"",[1]财务取数接口!$D$372),""))</f>
        <v/>
      </c>
      <c r="E373" s="40" t="str">
        <f aca="false">IF($T$4=0,IF($L373="","",$L373),IFERROR(IF([1]财务取数接口!$E$372=0,"",[1]财务取数接口!$E$372),""))</f>
        <v/>
      </c>
      <c r="F373" s="41" t="str">
        <f aca="false">IF($T$4=0,IF($M373="","",$M373),IFERROR(IF([1]财务取数接口!$G$372=0,"",[1]财务取数接口!$G$372),""))</f>
        <v/>
      </c>
      <c r="G373" s="41" t="str">
        <f aca="false">IF($T$4=0,IF($N373="","",$N373),IFERROR(IF([1]财务取数接口!$H$372=0,"",[1]财务取数接口!$H$372),""))</f>
        <v/>
      </c>
      <c r="H373" s="39" t="str">
        <f aca="false">IF($T$4=0,IF($O373="","",$O373),IFERROR(IF([1]财务取数接口!$I$372=0,"",[1]财务取数接口!$I$372),""))</f>
        <v/>
      </c>
      <c r="I373" s="42"/>
      <c r="J373" s="43"/>
      <c r="K373" s="42"/>
      <c r="L373" s="42"/>
      <c r="M373" s="44"/>
      <c r="N373" s="44"/>
      <c r="O373" s="43"/>
      <c r="P373" s="45" t="n">
        <f aca="false">IF(AND($C373&lt;&gt;"",$C373&lt;&gt;"项目",OR(N($D373)&lt;&gt;0,N($E373)&lt;&gt;0,N($F373)&lt;&gt;0)),1,0)</f>
        <v>0</v>
      </c>
      <c r="Q373" s="45" t="n">
        <f aca="false">N(Q372)+$P373</f>
        <v>11</v>
      </c>
    </row>
    <row r="374" customFormat="false" ht="13.5" hidden="false" customHeight="false" outlineLevel="0" collapsed="false">
      <c r="A374" s="9" t="n">
        <v>373</v>
      </c>
      <c r="B374" s="40" t="str">
        <f aca="false">IF($T$4=0,IF($I374="","",$I374),IFERROR(IF([1]财务取数接口!$B$373=0,"",[1]财务取数接口!$B$373),""))</f>
        <v/>
      </c>
      <c r="C374" s="39" t="str">
        <f aca="false">IF($T$4=0,IF($J374="","",$J374),IFERROR(IF([1]财务取数接口!$C$373=0,"",[1]财务取数接口!$C$373),""))</f>
        <v/>
      </c>
      <c r="D374" s="40" t="str">
        <f aca="false">IF($T$4=0,IF($K374="","",$K374),IFERROR(IF([1]财务取数接口!$D$373=0,"",[1]财务取数接口!$D$373),""))</f>
        <v/>
      </c>
      <c r="E374" s="40" t="str">
        <f aca="false">IF($T$4=0,IF($L374="","",$L374),IFERROR(IF([1]财务取数接口!$E$373=0,"",[1]财务取数接口!$E$373),""))</f>
        <v/>
      </c>
      <c r="F374" s="41" t="str">
        <f aca="false">IF($T$4=0,IF($M374="","",$M374),IFERROR(IF([1]财务取数接口!$G$373=0,"",[1]财务取数接口!$G$373),""))</f>
        <v/>
      </c>
      <c r="G374" s="41" t="str">
        <f aca="false">IF($T$4=0,IF($N374="","",$N374),IFERROR(IF([1]财务取数接口!$H$373=0,"",[1]财务取数接口!$H$373),""))</f>
        <v/>
      </c>
      <c r="H374" s="39" t="str">
        <f aca="false">IF($T$4=0,IF($O374="","",$O374),IFERROR(IF([1]财务取数接口!$I$373=0,"",[1]财务取数接口!$I$373),""))</f>
        <v/>
      </c>
      <c r="I374" s="42"/>
      <c r="J374" s="43"/>
      <c r="K374" s="42"/>
      <c r="L374" s="42"/>
      <c r="M374" s="44"/>
      <c r="N374" s="44"/>
      <c r="O374" s="43"/>
      <c r="P374" s="45" t="n">
        <f aca="false">IF(AND($C374&lt;&gt;"",$C374&lt;&gt;"项目",OR(N($D374)&lt;&gt;0,N($E374)&lt;&gt;0,N($F374)&lt;&gt;0)),1,0)</f>
        <v>0</v>
      </c>
      <c r="Q374" s="45" t="n">
        <f aca="false">N(Q373)+$P374</f>
        <v>11</v>
      </c>
    </row>
    <row r="375" customFormat="false" ht="13.5" hidden="false" customHeight="false" outlineLevel="0" collapsed="false">
      <c r="A375" s="9" t="n">
        <v>374</v>
      </c>
      <c r="B375" s="40" t="str">
        <f aca="false">IF($T$4=0,IF($I375="","",$I375),IFERROR(IF([1]财务取数接口!$B$374=0,"",[1]财务取数接口!$B$374),""))</f>
        <v/>
      </c>
      <c r="C375" s="39" t="str">
        <f aca="false">IF($T$4=0,IF($J375="","",$J375),IFERROR(IF([1]财务取数接口!$C$374=0,"",[1]财务取数接口!$C$374),""))</f>
        <v/>
      </c>
      <c r="D375" s="40" t="str">
        <f aca="false">IF($T$4=0,IF($K375="","",$K375),IFERROR(IF([1]财务取数接口!$D$374=0,"",[1]财务取数接口!$D$374),""))</f>
        <v/>
      </c>
      <c r="E375" s="40" t="str">
        <f aca="false">IF($T$4=0,IF($L375="","",$L375),IFERROR(IF([1]财务取数接口!$E$374=0,"",[1]财务取数接口!$E$374),""))</f>
        <v/>
      </c>
      <c r="F375" s="41" t="str">
        <f aca="false">IF($T$4=0,IF($M375="","",$M375),IFERROR(IF([1]财务取数接口!$G$374=0,"",[1]财务取数接口!$G$374),""))</f>
        <v/>
      </c>
      <c r="G375" s="41" t="str">
        <f aca="false">IF($T$4=0,IF($N375="","",$N375),IFERROR(IF([1]财务取数接口!$H$374=0,"",[1]财务取数接口!$H$374),""))</f>
        <v/>
      </c>
      <c r="H375" s="39" t="str">
        <f aca="false">IF($T$4=0,IF($O375="","",$O375),IFERROR(IF([1]财务取数接口!$I$374=0,"",[1]财务取数接口!$I$374),""))</f>
        <v/>
      </c>
      <c r="I375" s="42"/>
      <c r="J375" s="43"/>
      <c r="K375" s="42"/>
      <c r="L375" s="42"/>
      <c r="M375" s="44"/>
      <c r="N375" s="44"/>
      <c r="O375" s="43"/>
      <c r="P375" s="45" t="n">
        <f aca="false">IF(AND($C375&lt;&gt;"",$C375&lt;&gt;"项目",OR(N($D375)&lt;&gt;0,N($E375)&lt;&gt;0,N($F375)&lt;&gt;0)),1,0)</f>
        <v>0</v>
      </c>
      <c r="Q375" s="45" t="n">
        <f aca="false">N(Q374)+$P375</f>
        <v>11</v>
      </c>
    </row>
    <row r="376" customFormat="false" ht="13.5" hidden="false" customHeight="false" outlineLevel="0" collapsed="false">
      <c r="A376" s="9" t="n">
        <v>375</v>
      </c>
      <c r="B376" s="40" t="str">
        <f aca="false">IF($T$4=0,IF($I376="","",$I376),IFERROR(IF([1]财务取数接口!$B$375=0,"",[1]财务取数接口!$B$375),""))</f>
        <v/>
      </c>
      <c r="C376" s="39" t="str">
        <f aca="false">IF($T$4=0,IF($J376="","",$J376),IFERROR(IF([1]财务取数接口!$C$375=0,"",[1]财务取数接口!$C$375),""))</f>
        <v/>
      </c>
      <c r="D376" s="40" t="str">
        <f aca="false">IF($T$4=0,IF($K376="","",$K376),IFERROR(IF([1]财务取数接口!$D$375=0,"",[1]财务取数接口!$D$375),""))</f>
        <v/>
      </c>
      <c r="E376" s="40" t="str">
        <f aca="false">IF($T$4=0,IF($L376="","",$L376),IFERROR(IF([1]财务取数接口!$E$375=0,"",[1]财务取数接口!$E$375),""))</f>
        <v/>
      </c>
      <c r="F376" s="41" t="str">
        <f aca="false">IF($T$4=0,IF($M376="","",$M376),IFERROR(IF([1]财务取数接口!$G$375=0,"",[1]财务取数接口!$G$375),""))</f>
        <v/>
      </c>
      <c r="G376" s="41" t="str">
        <f aca="false">IF($T$4=0,IF($N376="","",$N376),IFERROR(IF([1]财务取数接口!$H$375=0,"",[1]财务取数接口!$H$375),""))</f>
        <v/>
      </c>
      <c r="H376" s="39" t="str">
        <f aca="false">IF($T$4=0,IF($O376="","",$O376),IFERROR(IF([1]财务取数接口!$I$375=0,"",[1]财务取数接口!$I$375),""))</f>
        <v/>
      </c>
      <c r="I376" s="42"/>
      <c r="J376" s="43"/>
      <c r="K376" s="42"/>
      <c r="L376" s="42"/>
      <c r="M376" s="44"/>
      <c r="N376" s="44"/>
      <c r="O376" s="43"/>
      <c r="P376" s="45" t="n">
        <f aca="false">IF(AND($C376&lt;&gt;"",$C376&lt;&gt;"项目",OR(N($D376)&lt;&gt;0,N($E376)&lt;&gt;0,N($F376)&lt;&gt;0)),1,0)</f>
        <v>0</v>
      </c>
      <c r="Q376" s="45" t="n">
        <f aca="false">N(Q375)+$P376</f>
        <v>11</v>
      </c>
    </row>
    <row r="377" customFormat="false" ht="13.5" hidden="false" customHeight="false" outlineLevel="0" collapsed="false">
      <c r="A377" s="9" t="n">
        <v>376</v>
      </c>
      <c r="B377" s="40" t="str">
        <f aca="false">IF($T$4=0,IF($I377="","",$I377),IFERROR(IF([1]财务取数接口!$B$376=0,"",[1]财务取数接口!$B$376),""))</f>
        <v/>
      </c>
      <c r="C377" s="39" t="str">
        <f aca="false">IF($T$4=0,IF($J377="","",$J377),IFERROR(IF([1]财务取数接口!$C$376=0,"",[1]财务取数接口!$C$376),""))</f>
        <v/>
      </c>
      <c r="D377" s="40" t="str">
        <f aca="false">IF($T$4=0,IF($K377="","",$K377),IFERROR(IF([1]财务取数接口!$D$376=0,"",[1]财务取数接口!$D$376),""))</f>
        <v/>
      </c>
      <c r="E377" s="40" t="str">
        <f aca="false">IF($T$4=0,IF($L377="","",$L377),IFERROR(IF([1]财务取数接口!$E$376=0,"",[1]财务取数接口!$E$376),""))</f>
        <v/>
      </c>
      <c r="F377" s="41" t="str">
        <f aca="false">IF($T$4=0,IF($M377="","",$M377),IFERROR(IF([1]财务取数接口!$G$376=0,"",[1]财务取数接口!$G$376),""))</f>
        <v/>
      </c>
      <c r="G377" s="41" t="str">
        <f aca="false">IF($T$4=0,IF($N377="","",$N377),IFERROR(IF([1]财务取数接口!$H$376=0,"",[1]财务取数接口!$H$376),""))</f>
        <v/>
      </c>
      <c r="H377" s="39" t="str">
        <f aca="false">IF($T$4=0,IF($O377="","",$O377),IFERROR(IF([1]财务取数接口!$I$376=0,"",[1]财务取数接口!$I$376),""))</f>
        <v/>
      </c>
      <c r="I377" s="42"/>
      <c r="J377" s="43"/>
      <c r="K377" s="42"/>
      <c r="L377" s="42"/>
      <c r="M377" s="44"/>
      <c r="N377" s="44"/>
      <c r="O377" s="43"/>
      <c r="P377" s="45" t="n">
        <f aca="false">IF(AND($C377&lt;&gt;"",$C377&lt;&gt;"项目",OR(N($D377)&lt;&gt;0,N($E377)&lt;&gt;0,N($F377)&lt;&gt;0)),1,0)</f>
        <v>0</v>
      </c>
      <c r="Q377" s="45" t="n">
        <f aca="false">N(Q376)+$P377</f>
        <v>11</v>
      </c>
    </row>
    <row r="378" customFormat="false" ht="13.5" hidden="false" customHeight="false" outlineLevel="0" collapsed="false">
      <c r="A378" s="9" t="n">
        <v>377</v>
      </c>
      <c r="B378" s="40" t="str">
        <f aca="false">IF($T$4=0,IF($I378="","",$I378),IFERROR(IF([1]财务取数接口!$B$377=0,"",[1]财务取数接口!$B$377),""))</f>
        <v/>
      </c>
      <c r="C378" s="39" t="str">
        <f aca="false">IF($T$4=0,IF($J378="","",$J378),IFERROR(IF([1]财务取数接口!$C$377=0,"",[1]财务取数接口!$C$377),""))</f>
        <v/>
      </c>
      <c r="D378" s="40" t="str">
        <f aca="false">IF($T$4=0,IF($K378="","",$K378),IFERROR(IF([1]财务取数接口!$D$377=0,"",[1]财务取数接口!$D$377),""))</f>
        <v/>
      </c>
      <c r="E378" s="40" t="str">
        <f aca="false">IF($T$4=0,IF($L378="","",$L378),IFERROR(IF([1]财务取数接口!$E$377=0,"",[1]财务取数接口!$E$377),""))</f>
        <v/>
      </c>
      <c r="F378" s="41" t="str">
        <f aca="false">IF($T$4=0,IF($M378="","",$M378),IFERROR(IF([1]财务取数接口!$G$377=0,"",[1]财务取数接口!$G$377),""))</f>
        <v/>
      </c>
      <c r="G378" s="41" t="str">
        <f aca="false">IF($T$4=0,IF($N378="","",$N378),IFERROR(IF([1]财务取数接口!$H$377=0,"",[1]财务取数接口!$H$377),""))</f>
        <v/>
      </c>
      <c r="H378" s="39" t="str">
        <f aca="false">IF($T$4=0,IF($O378="","",$O378),IFERROR(IF([1]财务取数接口!$I$377=0,"",[1]财务取数接口!$I$377),""))</f>
        <v/>
      </c>
      <c r="I378" s="42"/>
      <c r="J378" s="43"/>
      <c r="K378" s="42"/>
      <c r="L378" s="42"/>
      <c r="M378" s="44"/>
      <c r="N378" s="44"/>
      <c r="O378" s="43"/>
      <c r="P378" s="45" t="n">
        <f aca="false">IF(AND($C378&lt;&gt;"",$C378&lt;&gt;"项目",OR(N($D378)&lt;&gt;0,N($E378)&lt;&gt;0,N($F378)&lt;&gt;0)),1,0)</f>
        <v>0</v>
      </c>
      <c r="Q378" s="45" t="n">
        <f aca="false">N(Q377)+$P378</f>
        <v>11</v>
      </c>
    </row>
    <row r="379" customFormat="false" ht="13.5" hidden="false" customHeight="false" outlineLevel="0" collapsed="false">
      <c r="A379" s="9" t="n">
        <v>378</v>
      </c>
      <c r="B379" s="40" t="str">
        <f aca="false">IF($T$4=0,IF($I379="","",$I379),IFERROR(IF([1]财务取数接口!$B$378=0,"",[1]财务取数接口!$B$378),""))</f>
        <v/>
      </c>
      <c r="C379" s="39" t="str">
        <f aca="false">IF($T$4=0,IF($J379="","",$J379),IFERROR(IF([1]财务取数接口!$C$378=0,"",[1]财务取数接口!$C$378),""))</f>
        <v/>
      </c>
      <c r="D379" s="40" t="str">
        <f aca="false">IF($T$4=0,IF($K379="","",$K379),IFERROR(IF([1]财务取数接口!$D$378=0,"",[1]财务取数接口!$D$378),""))</f>
        <v/>
      </c>
      <c r="E379" s="40" t="str">
        <f aca="false">IF($T$4=0,IF($L379="","",$L379),IFERROR(IF([1]财务取数接口!$E$378=0,"",[1]财务取数接口!$E$378),""))</f>
        <v/>
      </c>
      <c r="F379" s="41" t="str">
        <f aca="false">IF($T$4=0,IF($M379="","",$M379),IFERROR(IF([1]财务取数接口!$G$378=0,"",[1]财务取数接口!$G$378),""))</f>
        <v/>
      </c>
      <c r="G379" s="41" t="str">
        <f aca="false">IF($T$4=0,IF($N379="","",$N379),IFERROR(IF([1]财务取数接口!$H$378=0,"",[1]财务取数接口!$H$378),""))</f>
        <v/>
      </c>
      <c r="H379" s="39" t="str">
        <f aca="false">IF($T$4=0,IF($O379="","",$O379),IFERROR(IF([1]财务取数接口!$I$378=0,"",[1]财务取数接口!$I$378),""))</f>
        <v/>
      </c>
      <c r="I379" s="42"/>
      <c r="J379" s="43"/>
      <c r="K379" s="42"/>
      <c r="L379" s="42"/>
      <c r="M379" s="44"/>
      <c r="N379" s="44"/>
      <c r="O379" s="43"/>
      <c r="P379" s="45" t="n">
        <f aca="false">IF(AND($C379&lt;&gt;"",$C379&lt;&gt;"项目",OR(N($D379)&lt;&gt;0,N($E379)&lt;&gt;0,N($F379)&lt;&gt;0)),1,0)</f>
        <v>0</v>
      </c>
      <c r="Q379" s="45" t="n">
        <f aca="false">N(Q378)+$P379</f>
        <v>11</v>
      </c>
    </row>
    <row r="380" customFormat="false" ht="13.5" hidden="false" customHeight="false" outlineLevel="0" collapsed="false">
      <c r="A380" s="9" t="n">
        <v>379</v>
      </c>
      <c r="B380" s="40" t="str">
        <f aca="false">IF($T$4=0,IF($I380="","",$I380),IFERROR(IF([1]财务取数接口!$B$379=0,"",[1]财务取数接口!$B$379),""))</f>
        <v/>
      </c>
      <c r="C380" s="39" t="str">
        <f aca="false">IF($T$4=0,IF($J380="","",$J380),IFERROR(IF([1]财务取数接口!$C$379=0,"",[1]财务取数接口!$C$379),""))</f>
        <v/>
      </c>
      <c r="D380" s="40" t="str">
        <f aca="false">IF($T$4=0,IF($K380="","",$K380),IFERROR(IF([1]财务取数接口!$D$379=0,"",[1]财务取数接口!$D$379),""))</f>
        <v/>
      </c>
      <c r="E380" s="40" t="str">
        <f aca="false">IF($T$4=0,IF($L380="","",$L380),IFERROR(IF([1]财务取数接口!$E$379=0,"",[1]财务取数接口!$E$379),""))</f>
        <v/>
      </c>
      <c r="F380" s="41" t="str">
        <f aca="false">IF($T$4=0,IF($M380="","",$M380),IFERROR(IF([1]财务取数接口!$G$379=0,"",[1]财务取数接口!$G$379),""))</f>
        <v/>
      </c>
      <c r="G380" s="41" t="str">
        <f aca="false">IF($T$4=0,IF($N380="","",$N380),IFERROR(IF([1]财务取数接口!$H$379=0,"",[1]财务取数接口!$H$379),""))</f>
        <v/>
      </c>
      <c r="H380" s="39" t="str">
        <f aca="false">IF($T$4=0,IF($O380="","",$O380),IFERROR(IF([1]财务取数接口!$I$379=0,"",[1]财务取数接口!$I$379),""))</f>
        <v/>
      </c>
      <c r="I380" s="42"/>
      <c r="J380" s="43"/>
      <c r="K380" s="42"/>
      <c r="L380" s="42"/>
      <c r="M380" s="44"/>
      <c r="N380" s="44"/>
      <c r="O380" s="43"/>
      <c r="P380" s="45" t="n">
        <f aca="false">IF(AND($C380&lt;&gt;"",$C380&lt;&gt;"项目",OR(N($D380)&lt;&gt;0,N($E380)&lt;&gt;0,N($F380)&lt;&gt;0)),1,0)</f>
        <v>0</v>
      </c>
      <c r="Q380" s="45" t="n">
        <f aca="false">N(Q379)+$P380</f>
        <v>11</v>
      </c>
    </row>
    <row r="381" customFormat="false" ht="13.5" hidden="false" customHeight="false" outlineLevel="0" collapsed="false">
      <c r="A381" s="9" t="n">
        <v>380</v>
      </c>
      <c r="B381" s="40" t="str">
        <f aca="false">IF($T$4=0,IF($I381="","",$I381),IFERROR(IF([1]财务取数接口!$B$380=0,"",[1]财务取数接口!$B$380),""))</f>
        <v/>
      </c>
      <c r="C381" s="39" t="str">
        <f aca="false">IF($T$4=0,IF($J381="","",$J381),IFERROR(IF([1]财务取数接口!$C$380=0,"",[1]财务取数接口!$C$380),""))</f>
        <v/>
      </c>
      <c r="D381" s="40" t="str">
        <f aca="false">IF($T$4=0,IF($K381="","",$K381),IFERROR(IF([1]财务取数接口!$D$380=0,"",[1]财务取数接口!$D$380),""))</f>
        <v/>
      </c>
      <c r="E381" s="40" t="str">
        <f aca="false">IF($T$4=0,IF($L381="","",$L381),IFERROR(IF([1]财务取数接口!$E$380=0,"",[1]财务取数接口!$E$380),""))</f>
        <v/>
      </c>
      <c r="F381" s="41" t="str">
        <f aca="false">IF($T$4=0,IF($M381="","",$M381),IFERROR(IF([1]财务取数接口!$G$380=0,"",[1]财务取数接口!$G$380),""))</f>
        <v/>
      </c>
      <c r="G381" s="41" t="str">
        <f aca="false">IF($T$4=0,IF($N381="","",$N381),IFERROR(IF([1]财务取数接口!$H$380=0,"",[1]财务取数接口!$H$380),""))</f>
        <v/>
      </c>
      <c r="H381" s="39" t="str">
        <f aca="false">IF($T$4=0,IF($O381="","",$O381),IFERROR(IF([1]财务取数接口!$I$380=0,"",[1]财务取数接口!$I$380),""))</f>
        <v/>
      </c>
      <c r="I381" s="42"/>
      <c r="J381" s="43"/>
      <c r="K381" s="42"/>
      <c r="L381" s="42"/>
      <c r="M381" s="44"/>
      <c r="N381" s="44"/>
      <c r="O381" s="43"/>
      <c r="P381" s="45" t="n">
        <f aca="false">IF(AND($C381&lt;&gt;"",$C381&lt;&gt;"项目",OR(N($D381)&lt;&gt;0,N($E381)&lt;&gt;0,N($F381)&lt;&gt;0)),1,0)</f>
        <v>0</v>
      </c>
      <c r="Q381" s="45" t="n">
        <f aca="false">N(Q380)+$P381</f>
        <v>11</v>
      </c>
    </row>
    <row r="382" customFormat="false" ht="13.5" hidden="false" customHeight="false" outlineLevel="0" collapsed="false">
      <c r="A382" s="9" t="n">
        <v>381</v>
      </c>
      <c r="B382" s="40" t="str">
        <f aca="false">IF($T$4=0,IF($I382="","",$I382),IFERROR(IF([1]财务取数接口!$B$381=0,"",[1]财务取数接口!$B$381),""))</f>
        <v/>
      </c>
      <c r="C382" s="39" t="str">
        <f aca="false">IF($T$4=0,IF($J382="","",$J382),IFERROR(IF([1]财务取数接口!$C$381=0,"",[1]财务取数接口!$C$381),""))</f>
        <v/>
      </c>
      <c r="D382" s="40" t="str">
        <f aca="false">IF($T$4=0,IF($K382="","",$K382),IFERROR(IF([1]财务取数接口!$D$381=0,"",[1]财务取数接口!$D$381),""))</f>
        <v/>
      </c>
      <c r="E382" s="40" t="str">
        <f aca="false">IF($T$4=0,IF($L382="","",$L382),IFERROR(IF([1]财务取数接口!$E$381=0,"",[1]财务取数接口!$E$381),""))</f>
        <v/>
      </c>
      <c r="F382" s="41" t="str">
        <f aca="false">IF($T$4=0,IF($M382="","",$M382),IFERROR(IF([1]财务取数接口!$G$381=0,"",[1]财务取数接口!$G$381),""))</f>
        <v/>
      </c>
      <c r="G382" s="41" t="str">
        <f aca="false">IF($T$4=0,IF($N382="","",$N382),IFERROR(IF([1]财务取数接口!$H$381=0,"",[1]财务取数接口!$H$381),""))</f>
        <v/>
      </c>
      <c r="H382" s="39" t="str">
        <f aca="false">IF($T$4=0,IF($O382="","",$O382),IFERROR(IF([1]财务取数接口!$I$381=0,"",[1]财务取数接口!$I$381),""))</f>
        <v/>
      </c>
      <c r="I382" s="42"/>
      <c r="J382" s="43"/>
      <c r="K382" s="42"/>
      <c r="L382" s="42"/>
      <c r="M382" s="44"/>
      <c r="N382" s="44"/>
      <c r="O382" s="43"/>
      <c r="P382" s="45" t="n">
        <f aca="false">IF(AND($C382&lt;&gt;"",$C382&lt;&gt;"项目",OR(N($D382)&lt;&gt;0,N($E382)&lt;&gt;0,N($F382)&lt;&gt;0)),1,0)</f>
        <v>0</v>
      </c>
      <c r="Q382" s="45" t="n">
        <f aca="false">N(Q381)+$P382</f>
        <v>11</v>
      </c>
    </row>
    <row r="383" customFormat="false" ht="13.5" hidden="false" customHeight="false" outlineLevel="0" collapsed="false">
      <c r="A383" s="9" t="n">
        <v>382</v>
      </c>
      <c r="B383" s="40" t="str">
        <f aca="false">IF($T$4=0,IF($I383="","",$I383),IFERROR(IF([1]财务取数接口!$B$382=0,"",[1]财务取数接口!$B$382),""))</f>
        <v/>
      </c>
      <c r="C383" s="39" t="str">
        <f aca="false">IF($T$4=0,IF($J383="","",$J383),IFERROR(IF([1]财务取数接口!$C$382=0,"",[1]财务取数接口!$C$382),""))</f>
        <v/>
      </c>
      <c r="D383" s="40" t="str">
        <f aca="false">IF($T$4=0,IF($K383="","",$K383),IFERROR(IF([1]财务取数接口!$D$382=0,"",[1]财务取数接口!$D$382),""))</f>
        <v/>
      </c>
      <c r="E383" s="40" t="str">
        <f aca="false">IF($T$4=0,IF($L383="","",$L383),IFERROR(IF([1]财务取数接口!$E$382=0,"",[1]财务取数接口!$E$382),""))</f>
        <v/>
      </c>
      <c r="F383" s="41" t="str">
        <f aca="false">IF($T$4=0,IF($M383="","",$M383),IFERROR(IF([1]财务取数接口!$G$382=0,"",[1]财务取数接口!$G$382),""))</f>
        <v/>
      </c>
      <c r="G383" s="41" t="str">
        <f aca="false">IF($T$4=0,IF($N383="","",$N383),IFERROR(IF([1]财务取数接口!$H$382=0,"",[1]财务取数接口!$H$382),""))</f>
        <v/>
      </c>
      <c r="H383" s="39" t="str">
        <f aca="false">IF($T$4=0,IF($O383="","",$O383),IFERROR(IF([1]财务取数接口!$I$382=0,"",[1]财务取数接口!$I$382),""))</f>
        <v/>
      </c>
      <c r="I383" s="42"/>
      <c r="J383" s="43"/>
      <c r="K383" s="42"/>
      <c r="L383" s="42"/>
      <c r="M383" s="44"/>
      <c r="N383" s="44"/>
      <c r="O383" s="43"/>
      <c r="P383" s="45" t="n">
        <f aca="false">IF(AND($C383&lt;&gt;"",$C383&lt;&gt;"项目",OR(N($D383)&lt;&gt;0,N($E383)&lt;&gt;0,N($F383)&lt;&gt;0)),1,0)</f>
        <v>0</v>
      </c>
      <c r="Q383" s="45" t="n">
        <f aca="false">N(Q382)+$P383</f>
        <v>11</v>
      </c>
    </row>
    <row r="384" customFormat="false" ht="13.5" hidden="false" customHeight="false" outlineLevel="0" collapsed="false">
      <c r="A384" s="9" t="n">
        <v>383</v>
      </c>
      <c r="B384" s="40" t="str">
        <f aca="false">IF($T$4=0,IF($I384="","",$I384),IFERROR(IF([1]财务取数接口!$B$383=0,"",[1]财务取数接口!$B$383),""))</f>
        <v/>
      </c>
      <c r="C384" s="39" t="str">
        <f aca="false">IF($T$4=0,IF($J384="","",$J384),IFERROR(IF([1]财务取数接口!$C$383=0,"",[1]财务取数接口!$C$383),""))</f>
        <v/>
      </c>
      <c r="D384" s="40" t="str">
        <f aca="false">IF($T$4=0,IF($K384="","",$K384),IFERROR(IF([1]财务取数接口!$D$383=0,"",[1]财务取数接口!$D$383),""))</f>
        <v/>
      </c>
      <c r="E384" s="40" t="str">
        <f aca="false">IF($T$4=0,IF($L384="","",$L384),IFERROR(IF([1]财务取数接口!$E$383=0,"",[1]财务取数接口!$E$383),""))</f>
        <v/>
      </c>
      <c r="F384" s="41" t="str">
        <f aca="false">IF($T$4=0,IF($M384="","",$M384),IFERROR(IF([1]财务取数接口!$G$383=0,"",[1]财务取数接口!$G$383),""))</f>
        <v/>
      </c>
      <c r="G384" s="41" t="str">
        <f aca="false">IF($T$4=0,IF($N384="","",$N384),IFERROR(IF([1]财务取数接口!$H$383=0,"",[1]财务取数接口!$H$383),""))</f>
        <v/>
      </c>
      <c r="H384" s="39" t="str">
        <f aca="false">IF($T$4=0,IF($O384="","",$O384),IFERROR(IF([1]财务取数接口!$I$383=0,"",[1]财务取数接口!$I$383),""))</f>
        <v/>
      </c>
      <c r="I384" s="42"/>
      <c r="J384" s="43"/>
      <c r="K384" s="42"/>
      <c r="L384" s="42"/>
      <c r="M384" s="44"/>
      <c r="N384" s="44"/>
      <c r="O384" s="43"/>
      <c r="P384" s="45" t="n">
        <f aca="false">IF(AND($C384&lt;&gt;"",$C384&lt;&gt;"项目",OR(N($D384)&lt;&gt;0,N($E384)&lt;&gt;0,N($F384)&lt;&gt;0)),1,0)</f>
        <v>0</v>
      </c>
      <c r="Q384" s="45" t="n">
        <f aca="false">N(Q383)+$P384</f>
        <v>11</v>
      </c>
    </row>
    <row r="385" customFormat="false" ht="13.5" hidden="false" customHeight="false" outlineLevel="0" collapsed="false">
      <c r="A385" s="9" t="n">
        <v>384</v>
      </c>
      <c r="B385" s="40" t="str">
        <f aca="false">IF($T$4=0,IF($I385="","",$I385),IFERROR(IF([1]财务取数接口!$B$384=0,"",[1]财务取数接口!$B$384),""))</f>
        <v/>
      </c>
      <c r="C385" s="39" t="str">
        <f aca="false">IF($T$4=0,IF($J385="","",$J385),IFERROR(IF([1]财务取数接口!$C$384=0,"",[1]财务取数接口!$C$384),""))</f>
        <v/>
      </c>
      <c r="D385" s="40" t="str">
        <f aca="false">IF($T$4=0,IF($K385="","",$K385),IFERROR(IF([1]财务取数接口!$D$384=0,"",[1]财务取数接口!$D$384),""))</f>
        <v/>
      </c>
      <c r="E385" s="40" t="str">
        <f aca="false">IF($T$4=0,IF($L385="","",$L385),IFERROR(IF([1]财务取数接口!$E$384=0,"",[1]财务取数接口!$E$384),""))</f>
        <v/>
      </c>
      <c r="F385" s="41" t="str">
        <f aca="false">IF($T$4=0,IF($M385="","",$M385),IFERROR(IF([1]财务取数接口!$G$384=0,"",[1]财务取数接口!$G$384),""))</f>
        <v/>
      </c>
      <c r="G385" s="41" t="str">
        <f aca="false">IF($T$4=0,IF($N385="","",$N385),IFERROR(IF([1]财务取数接口!$H$384=0,"",[1]财务取数接口!$H$384),""))</f>
        <v/>
      </c>
      <c r="H385" s="39" t="str">
        <f aca="false">IF($T$4=0,IF($O385="","",$O385),IFERROR(IF([1]财务取数接口!$I$384=0,"",[1]财务取数接口!$I$384),""))</f>
        <v/>
      </c>
      <c r="I385" s="42"/>
      <c r="J385" s="43"/>
      <c r="K385" s="42"/>
      <c r="L385" s="42"/>
      <c r="M385" s="44"/>
      <c r="N385" s="44"/>
      <c r="O385" s="43"/>
      <c r="P385" s="45" t="n">
        <f aca="false">IF(AND($C385&lt;&gt;"",$C385&lt;&gt;"项目",OR(N($D385)&lt;&gt;0,N($E385)&lt;&gt;0,N($F385)&lt;&gt;0)),1,0)</f>
        <v>0</v>
      </c>
      <c r="Q385" s="45" t="n">
        <f aca="false">N(Q384)+$P385</f>
        <v>11</v>
      </c>
    </row>
    <row r="386" customFormat="false" ht="13.5" hidden="false" customHeight="false" outlineLevel="0" collapsed="false">
      <c r="A386" s="9" t="n">
        <v>385</v>
      </c>
      <c r="B386" s="40" t="str">
        <f aca="false">IF($T$4=0,IF($I386="","",$I386),IFERROR(IF([1]财务取数接口!$B$385=0,"",[1]财务取数接口!$B$385),""))</f>
        <v/>
      </c>
      <c r="C386" s="39" t="str">
        <f aca="false">IF($T$4=0,IF($J386="","",$J386),IFERROR(IF([1]财务取数接口!$C$385=0,"",[1]财务取数接口!$C$385),""))</f>
        <v/>
      </c>
      <c r="D386" s="40" t="str">
        <f aca="false">IF($T$4=0,IF($K386="","",$K386),IFERROR(IF([1]财务取数接口!$D$385=0,"",[1]财务取数接口!$D$385),""))</f>
        <v/>
      </c>
      <c r="E386" s="40" t="str">
        <f aca="false">IF($T$4=0,IF($L386="","",$L386),IFERROR(IF([1]财务取数接口!$E$385=0,"",[1]财务取数接口!$E$385),""))</f>
        <v/>
      </c>
      <c r="F386" s="41" t="str">
        <f aca="false">IF($T$4=0,IF($M386="","",$M386),IFERROR(IF([1]财务取数接口!$G$385=0,"",[1]财务取数接口!$G$385),""))</f>
        <v/>
      </c>
      <c r="G386" s="41" t="str">
        <f aca="false">IF($T$4=0,IF($N386="","",$N386),IFERROR(IF([1]财务取数接口!$H$385=0,"",[1]财务取数接口!$H$385),""))</f>
        <v/>
      </c>
      <c r="H386" s="39" t="str">
        <f aca="false">IF($T$4=0,IF($O386="","",$O386),IFERROR(IF([1]财务取数接口!$I$385=0,"",[1]财务取数接口!$I$385),""))</f>
        <v/>
      </c>
      <c r="I386" s="42"/>
      <c r="J386" s="43"/>
      <c r="K386" s="42"/>
      <c r="L386" s="42"/>
      <c r="M386" s="44"/>
      <c r="N386" s="44"/>
      <c r="O386" s="43"/>
      <c r="P386" s="45" t="n">
        <f aca="false">IF(AND($C386&lt;&gt;"",$C386&lt;&gt;"项目",OR(N($D386)&lt;&gt;0,N($E386)&lt;&gt;0,N($F386)&lt;&gt;0)),1,0)</f>
        <v>0</v>
      </c>
      <c r="Q386" s="45" t="n">
        <f aca="false">N(Q385)+$P386</f>
        <v>11</v>
      </c>
    </row>
    <row r="387" customFormat="false" ht="13.5" hidden="false" customHeight="false" outlineLevel="0" collapsed="false">
      <c r="A387" s="9" t="n">
        <v>386</v>
      </c>
      <c r="B387" s="40" t="str">
        <f aca="false">IF($T$4=0,IF($I387="","",$I387),IFERROR(IF([1]财务取数接口!$B$386=0,"",[1]财务取数接口!$B$386),""))</f>
        <v/>
      </c>
      <c r="C387" s="39" t="str">
        <f aca="false">IF($T$4=0,IF($J387="","",$J387),IFERROR(IF([1]财务取数接口!$C$386=0,"",[1]财务取数接口!$C$386),""))</f>
        <v/>
      </c>
      <c r="D387" s="40" t="str">
        <f aca="false">IF($T$4=0,IF($K387="","",$K387),IFERROR(IF([1]财务取数接口!$D$386=0,"",[1]财务取数接口!$D$386),""))</f>
        <v/>
      </c>
      <c r="E387" s="40" t="str">
        <f aca="false">IF($T$4=0,IF($L387="","",$L387),IFERROR(IF([1]财务取数接口!$E$386=0,"",[1]财务取数接口!$E$386),""))</f>
        <v/>
      </c>
      <c r="F387" s="41" t="str">
        <f aca="false">IF($T$4=0,IF($M387="","",$M387),IFERROR(IF([1]财务取数接口!$G$386=0,"",[1]财务取数接口!$G$386),""))</f>
        <v/>
      </c>
      <c r="G387" s="41" t="str">
        <f aca="false">IF($T$4=0,IF($N387="","",$N387),IFERROR(IF([1]财务取数接口!$H$386=0,"",[1]财务取数接口!$H$386),""))</f>
        <v/>
      </c>
      <c r="H387" s="39" t="str">
        <f aca="false">IF($T$4=0,IF($O387="","",$O387),IFERROR(IF([1]财务取数接口!$I$386=0,"",[1]财务取数接口!$I$386),""))</f>
        <v/>
      </c>
      <c r="I387" s="42"/>
      <c r="J387" s="43"/>
      <c r="K387" s="42"/>
      <c r="L387" s="42"/>
      <c r="M387" s="44"/>
      <c r="N387" s="44"/>
      <c r="O387" s="43"/>
      <c r="P387" s="45" t="n">
        <f aca="false">IF(AND($C387&lt;&gt;"",$C387&lt;&gt;"项目",OR(N($D387)&lt;&gt;0,N($E387)&lt;&gt;0,N($F387)&lt;&gt;0)),1,0)</f>
        <v>0</v>
      </c>
      <c r="Q387" s="45" t="n">
        <f aca="false">N(Q386)+$P387</f>
        <v>11</v>
      </c>
    </row>
    <row r="388" customFormat="false" ht="13.5" hidden="false" customHeight="false" outlineLevel="0" collapsed="false">
      <c r="A388" s="9" t="n">
        <v>387</v>
      </c>
      <c r="B388" s="40" t="str">
        <f aca="false">IF($T$4=0,IF($I388="","",$I388),IFERROR(IF([1]财务取数接口!$B$387=0,"",[1]财务取数接口!$B$387),""))</f>
        <v/>
      </c>
      <c r="C388" s="39" t="str">
        <f aca="false">IF($T$4=0,IF($J388="","",$J388),IFERROR(IF([1]财务取数接口!$C$387=0,"",[1]财务取数接口!$C$387),""))</f>
        <v/>
      </c>
      <c r="D388" s="40" t="str">
        <f aca="false">IF($T$4=0,IF($K388="","",$K388),IFERROR(IF([1]财务取数接口!$D$387=0,"",[1]财务取数接口!$D$387),""))</f>
        <v/>
      </c>
      <c r="E388" s="40" t="str">
        <f aca="false">IF($T$4=0,IF($L388="","",$L388),IFERROR(IF([1]财务取数接口!$E$387=0,"",[1]财务取数接口!$E$387),""))</f>
        <v/>
      </c>
      <c r="F388" s="41" t="str">
        <f aca="false">IF($T$4=0,IF($M388="","",$M388),IFERROR(IF([1]财务取数接口!$G$387=0,"",[1]财务取数接口!$G$387),""))</f>
        <v/>
      </c>
      <c r="G388" s="41" t="str">
        <f aca="false">IF($T$4=0,IF($N388="","",$N388),IFERROR(IF([1]财务取数接口!$H$387=0,"",[1]财务取数接口!$H$387),""))</f>
        <v/>
      </c>
      <c r="H388" s="39" t="str">
        <f aca="false">IF($T$4=0,IF($O388="","",$O388),IFERROR(IF([1]财务取数接口!$I$387=0,"",[1]财务取数接口!$I$387),""))</f>
        <v/>
      </c>
      <c r="I388" s="42"/>
      <c r="J388" s="43"/>
      <c r="K388" s="42"/>
      <c r="L388" s="42"/>
      <c r="M388" s="44"/>
      <c r="N388" s="44"/>
      <c r="O388" s="43"/>
      <c r="P388" s="45" t="n">
        <f aca="false">IF(AND($C388&lt;&gt;"",$C388&lt;&gt;"项目",OR(N($D388)&lt;&gt;0,N($E388)&lt;&gt;0,N($F388)&lt;&gt;0)),1,0)</f>
        <v>0</v>
      </c>
      <c r="Q388" s="45" t="n">
        <f aca="false">N(Q387)+$P388</f>
        <v>11</v>
      </c>
    </row>
    <row r="389" customFormat="false" ht="13.5" hidden="false" customHeight="false" outlineLevel="0" collapsed="false">
      <c r="A389" s="9" t="n">
        <v>388</v>
      </c>
      <c r="B389" s="40" t="str">
        <f aca="false">IF($T$4=0,IF($I389="","",$I389),IFERROR(IF([1]财务取数接口!$B$388=0,"",[1]财务取数接口!$B$388),""))</f>
        <v/>
      </c>
      <c r="C389" s="39" t="str">
        <f aca="false">IF($T$4=0,IF($J389="","",$J389),IFERROR(IF([1]财务取数接口!$C$388=0,"",[1]财务取数接口!$C$388),""))</f>
        <v/>
      </c>
      <c r="D389" s="40" t="str">
        <f aca="false">IF($T$4=0,IF($K389="","",$K389),IFERROR(IF([1]财务取数接口!$D$388=0,"",[1]财务取数接口!$D$388),""))</f>
        <v/>
      </c>
      <c r="E389" s="40" t="str">
        <f aca="false">IF($T$4=0,IF($L389="","",$L389),IFERROR(IF([1]财务取数接口!$E$388=0,"",[1]财务取数接口!$E$388),""))</f>
        <v/>
      </c>
      <c r="F389" s="41" t="str">
        <f aca="false">IF($T$4=0,IF($M389="","",$M389),IFERROR(IF([1]财务取数接口!$G$388=0,"",[1]财务取数接口!$G$388),""))</f>
        <v/>
      </c>
      <c r="G389" s="41" t="str">
        <f aca="false">IF($T$4=0,IF($N389="","",$N389),IFERROR(IF([1]财务取数接口!$H$388=0,"",[1]财务取数接口!$H$388),""))</f>
        <v/>
      </c>
      <c r="H389" s="39" t="str">
        <f aca="false">IF($T$4=0,IF($O389="","",$O389),IFERROR(IF([1]财务取数接口!$I$388=0,"",[1]财务取数接口!$I$388),""))</f>
        <v/>
      </c>
      <c r="I389" s="42"/>
      <c r="J389" s="43"/>
      <c r="K389" s="42"/>
      <c r="L389" s="42"/>
      <c r="M389" s="44"/>
      <c r="N389" s="44"/>
      <c r="O389" s="43"/>
      <c r="P389" s="45" t="n">
        <f aca="false">IF(AND($C389&lt;&gt;"",$C389&lt;&gt;"项目",OR(N($D389)&lt;&gt;0,N($E389)&lt;&gt;0,N($F389)&lt;&gt;0)),1,0)</f>
        <v>0</v>
      </c>
      <c r="Q389" s="45" t="n">
        <f aca="false">N(Q388)+$P389</f>
        <v>11</v>
      </c>
    </row>
    <row r="390" customFormat="false" ht="13.5" hidden="false" customHeight="false" outlineLevel="0" collapsed="false">
      <c r="A390" s="9" t="n">
        <v>389</v>
      </c>
      <c r="B390" s="40" t="str">
        <f aca="false">IF($T$4=0,IF($I390="","",$I390),IFERROR(IF([1]财务取数接口!$B$389=0,"",[1]财务取数接口!$B$389),""))</f>
        <v/>
      </c>
      <c r="C390" s="39" t="str">
        <f aca="false">IF($T$4=0,IF($J390="","",$J390),IFERROR(IF([1]财务取数接口!$C$389=0,"",[1]财务取数接口!$C$389),""))</f>
        <v/>
      </c>
      <c r="D390" s="40" t="str">
        <f aca="false">IF($T$4=0,IF($K390="","",$K390),IFERROR(IF([1]财务取数接口!$D$389=0,"",[1]财务取数接口!$D$389),""))</f>
        <v/>
      </c>
      <c r="E390" s="40" t="str">
        <f aca="false">IF($T$4=0,IF($L390="","",$L390),IFERROR(IF([1]财务取数接口!$E$389=0,"",[1]财务取数接口!$E$389),""))</f>
        <v/>
      </c>
      <c r="F390" s="41" t="str">
        <f aca="false">IF($T$4=0,IF($M390="","",$M390),IFERROR(IF([1]财务取数接口!$G$389=0,"",[1]财务取数接口!$G$389),""))</f>
        <v/>
      </c>
      <c r="G390" s="41" t="str">
        <f aca="false">IF($T$4=0,IF($N390="","",$N390),IFERROR(IF([1]财务取数接口!$H$389=0,"",[1]财务取数接口!$H$389),""))</f>
        <v/>
      </c>
      <c r="H390" s="39" t="str">
        <f aca="false">IF($T$4=0,IF($O390="","",$O390),IFERROR(IF([1]财务取数接口!$I$389=0,"",[1]财务取数接口!$I$389),""))</f>
        <v/>
      </c>
      <c r="I390" s="42"/>
      <c r="J390" s="43"/>
      <c r="K390" s="42"/>
      <c r="L390" s="42"/>
      <c r="M390" s="44"/>
      <c r="N390" s="44"/>
      <c r="O390" s="43"/>
      <c r="P390" s="45" t="n">
        <f aca="false">IF(AND($C390&lt;&gt;"",$C390&lt;&gt;"项目",OR(N($D390)&lt;&gt;0,N($E390)&lt;&gt;0,N($F390)&lt;&gt;0)),1,0)</f>
        <v>0</v>
      </c>
      <c r="Q390" s="45" t="n">
        <f aca="false">N(Q389)+$P390</f>
        <v>11</v>
      </c>
    </row>
    <row r="391" customFormat="false" ht="13.5" hidden="false" customHeight="false" outlineLevel="0" collapsed="false">
      <c r="A391" s="9" t="n">
        <v>390</v>
      </c>
      <c r="B391" s="40" t="str">
        <f aca="false">IF($T$4=0,IF($I391="","",$I391),IFERROR(IF([1]财务取数接口!$B$390=0,"",[1]财务取数接口!$B$390),""))</f>
        <v/>
      </c>
      <c r="C391" s="39" t="str">
        <f aca="false">IF($T$4=0,IF($J391="","",$J391),IFERROR(IF([1]财务取数接口!$C$390=0,"",[1]财务取数接口!$C$390),""))</f>
        <v/>
      </c>
      <c r="D391" s="40" t="str">
        <f aca="false">IF($T$4=0,IF($K391="","",$K391),IFERROR(IF([1]财务取数接口!$D$390=0,"",[1]财务取数接口!$D$390),""))</f>
        <v/>
      </c>
      <c r="E391" s="40" t="str">
        <f aca="false">IF($T$4=0,IF($L391="","",$L391),IFERROR(IF([1]财务取数接口!$E$390=0,"",[1]财务取数接口!$E$390),""))</f>
        <v/>
      </c>
      <c r="F391" s="41" t="str">
        <f aca="false">IF($T$4=0,IF($M391="","",$M391),IFERROR(IF([1]财务取数接口!$G$390=0,"",[1]财务取数接口!$G$390),""))</f>
        <v/>
      </c>
      <c r="G391" s="41" t="str">
        <f aca="false">IF($T$4=0,IF($N391="","",$N391),IFERROR(IF([1]财务取数接口!$H$390=0,"",[1]财务取数接口!$H$390),""))</f>
        <v/>
      </c>
      <c r="H391" s="39" t="str">
        <f aca="false">IF($T$4=0,IF($O391="","",$O391),IFERROR(IF([1]财务取数接口!$I$390=0,"",[1]财务取数接口!$I$390),""))</f>
        <v/>
      </c>
      <c r="I391" s="42"/>
      <c r="J391" s="43"/>
      <c r="K391" s="42"/>
      <c r="L391" s="42"/>
      <c r="M391" s="44"/>
      <c r="N391" s="44"/>
      <c r="O391" s="43"/>
      <c r="P391" s="45" t="n">
        <f aca="false">IF(AND($C391&lt;&gt;"",$C391&lt;&gt;"项目",OR(N($D391)&lt;&gt;0,N($E391)&lt;&gt;0,N($F391)&lt;&gt;0)),1,0)</f>
        <v>0</v>
      </c>
      <c r="Q391" s="45" t="n">
        <f aca="false">N(Q390)+$P391</f>
        <v>11</v>
      </c>
    </row>
    <row r="392" customFormat="false" ht="13.5" hidden="false" customHeight="false" outlineLevel="0" collapsed="false">
      <c r="A392" s="9" t="n">
        <v>391</v>
      </c>
      <c r="B392" s="40" t="str">
        <f aca="false">IF($T$4=0,IF($I392="","",$I392),IFERROR(IF([1]财务取数接口!$B$391=0,"",[1]财务取数接口!$B$391),""))</f>
        <v/>
      </c>
      <c r="C392" s="39" t="str">
        <f aca="false">IF($T$4=0,IF($J392="","",$J392),IFERROR(IF([1]财务取数接口!$C$391=0,"",[1]财务取数接口!$C$391),""))</f>
        <v/>
      </c>
      <c r="D392" s="40" t="str">
        <f aca="false">IF($T$4=0,IF($K392="","",$K392),IFERROR(IF([1]财务取数接口!$D$391=0,"",[1]财务取数接口!$D$391),""))</f>
        <v/>
      </c>
      <c r="E392" s="40" t="str">
        <f aca="false">IF($T$4=0,IF($L392="","",$L392),IFERROR(IF([1]财务取数接口!$E$391=0,"",[1]财务取数接口!$E$391),""))</f>
        <v/>
      </c>
      <c r="F392" s="41" t="str">
        <f aca="false">IF($T$4=0,IF($M392="","",$M392),IFERROR(IF([1]财务取数接口!$G$391=0,"",[1]财务取数接口!$G$391),""))</f>
        <v/>
      </c>
      <c r="G392" s="41" t="str">
        <f aca="false">IF($T$4=0,IF($N392="","",$N392),IFERROR(IF([1]财务取数接口!$H$391=0,"",[1]财务取数接口!$H$391),""))</f>
        <v/>
      </c>
      <c r="H392" s="39" t="str">
        <f aca="false">IF($T$4=0,IF($O392="","",$O392),IFERROR(IF([1]财务取数接口!$I$391=0,"",[1]财务取数接口!$I$391),""))</f>
        <v/>
      </c>
      <c r="I392" s="42"/>
      <c r="J392" s="43"/>
      <c r="K392" s="42"/>
      <c r="L392" s="42"/>
      <c r="M392" s="44"/>
      <c r="N392" s="44"/>
      <c r="O392" s="43"/>
      <c r="P392" s="45" t="n">
        <f aca="false">IF(AND($C392&lt;&gt;"",$C392&lt;&gt;"项目",OR(N($D392)&lt;&gt;0,N($E392)&lt;&gt;0,N($F392)&lt;&gt;0)),1,0)</f>
        <v>0</v>
      </c>
      <c r="Q392" s="45" t="n">
        <f aca="false">N(Q391)+$P392</f>
        <v>11</v>
      </c>
    </row>
    <row r="393" customFormat="false" ht="13.5" hidden="false" customHeight="false" outlineLevel="0" collapsed="false">
      <c r="A393" s="9" t="n">
        <v>392</v>
      </c>
      <c r="B393" s="40" t="str">
        <f aca="false">IF($T$4=0,IF($I393="","",$I393),IFERROR(IF([1]财务取数接口!$B$392=0,"",[1]财务取数接口!$B$392),""))</f>
        <v/>
      </c>
      <c r="C393" s="39" t="str">
        <f aca="false">IF($T$4=0,IF($J393="","",$J393),IFERROR(IF([1]财务取数接口!$C$392=0,"",[1]财务取数接口!$C$392),""))</f>
        <v/>
      </c>
      <c r="D393" s="40" t="str">
        <f aca="false">IF($T$4=0,IF($K393="","",$K393),IFERROR(IF([1]财务取数接口!$D$392=0,"",[1]财务取数接口!$D$392),""))</f>
        <v/>
      </c>
      <c r="E393" s="40" t="str">
        <f aca="false">IF($T$4=0,IF($L393="","",$L393),IFERROR(IF([1]财务取数接口!$E$392=0,"",[1]财务取数接口!$E$392),""))</f>
        <v/>
      </c>
      <c r="F393" s="41" t="str">
        <f aca="false">IF($T$4=0,IF($M393="","",$M393),IFERROR(IF([1]财务取数接口!$G$392=0,"",[1]财务取数接口!$G$392),""))</f>
        <v/>
      </c>
      <c r="G393" s="41" t="str">
        <f aca="false">IF($T$4=0,IF($N393="","",$N393),IFERROR(IF([1]财务取数接口!$H$392=0,"",[1]财务取数接口!$H$392),""))</f>
        <v/>
      </c>
      <c r="H393" s="39" t="str">
        <f aca="false">IF($T$4=0,IF($O393="","",$O393),IFERROR(IF([1]财务取数接口!$I$392=0,"",[1]财务取数接口!$I$392),""))</f>
        <v/>
      </c>
      <c r="I393" s="42"/>
      <c r="J393" s="43"/>
      <c r="K393" s="42"/>
      <c r="L393" s="42"/>
      <c r="M393" s="44"/>
      <c r="N393" s="44"/>
      <c r="O393" s="43"/>
      <c r="P393" s="45" t="n">
        <f aca="false">IF(AND($C393&lt;&gt;"",$C393&lt;&gt;"项目",OR(N($D393)&lt;&gt;0,N($E393)&lt;&gt;0,N($F393)&lt;&gt;0)),1,0)</f>
        <v>0</v>
      </c>
      <c r="Q393" s="45" t="n">
        <f aca="false">N(Q392)+$P393</f>
        <v>11</v>
      </c>
    </row>
    <row r="394" customFormat="false" ht="13.5" hidden="false" customHeight="false" outlineLevel="0" collapsed="false">
      <c r="A394" s="9" t="n">
        <v>393</v>
      </c>
      <c r="B394" s="40" t="str">
        <f aca="false">IF($T$4=0,IF($I394="","",$I394),IFERROR(IF([1]财务取数接口!$B$393=0,"",[1]财务取数接口!$B$393),""))</f>
        <v/>
      </c>
      <c r="C394" s="39" t="str">
        <f aca="false">IF($T$4=0,IF($J394="","",$J394),IFERROR(IF([1]财务取数接口!$C$393=0,"",[1]财务取数接口!$C$393),""))</f>
        <v/>
      </c>
      <c r="D394" s="40" t="str">
        <f aca="false">IF($T$4=0,IF($K394="","",$K394),IFERROR(IF([1]财务取数接口!$D$393=0,"",[1]财务取数接口!$D$393),""))</f>
        <v/>
      </c>
      <c r="E394" s="40" t="str">
        <f aca="false">IF($T$4=0,IF($L394="","",$L394),IFERROR(IF([1]财务取数接口!$E$393=0,"",[1]财务取数接口!$E$393),""))</f>
        <v/>
      </c>
      <c r="F394" s="41" t="str">
        <f aca="false">IF($T$4=0,IF($M394="","",$M394),IFERROR(IF([1]财务取数接口!$G$393=0,"",[1]财务取数接口!$G$393),""))</f>
        <v/>
      </c>
      <c r="G394" s="41" t="str">
        <f aca="false">IF($T$4=0,IF($N394="","",$N394),IFERROR(IF([1]财务取数接口!$H$393=0,"",[1]财务取数接口!$H$393),""))</f>
        <v/>
      </c>
      <c r="H394" s="39" t="str">
        <f aca="false">IF($T$4=0,IF($O394="","",$O394),IFERROR(IF([1]财务取数接口!$I$393=0,"",[1]财务取数接口!$I$393),""))</f>
        <v/>
      </c>
      <c r="I394" s="42"/>
      <c r="J394" s="43"/>
      <c r="K394" s="42"/>
      <c r="L394" s="42"/>
      <c r="M394" s="44"/>
      <c r="N394" s="44"/>
      <c r="O394" s="43"/>
      <c r="P394" s="45" t="n">
        <f aca="false">IF(AND($C394&lt;&gt;"",$C394&lt;&gt;"项目",OR(N($D394)&lt;&gt;0,N($E394)&lt;&gt;0,N($F394)&lt;&gt;0)),1,0)</f>
        <v>0</v>
      </c>
      <c r="Q394" s="45" t="n">
        <f aca="false">N(Q393)+$P394</f>
        <v>11</v>
      </c>
    </row>
    <row r="395" customFormat="false" ht="13.5" hidden="false" customHeight="false" outlineLevel="0" collapsed="false">
      <c r="A395" s="9" t="n">
        <v>394</v>
      </c>
      <c r="B395" s="40" t="str">
        <f aca="false">IF($T$4=0,IF($I395="","",$I395),IFERROR(IF([1]财务取数接口!$B$394=0,"",[1]财务取数接口!$B$394),""))</f>
        <v/>
      </c>
      <c r="C395" s="39" t="str">
        <f aca="false">IF($T$4=0,IF($J395="","",$J395),IFERROR(IF([1]财务取数接口!$C$394=0,"",[1]财务取数接口!$C$394),""))</f>
        <v/>
      </c>
      <c r="D395" s="40" t="str">
        <f aca="false">IF($T$4=0,IF($K395="","",$K395),IFERROR(IF([1]财务取数接口!$D$394=0,"",[1]财务取数接口!$D$394),""))</f>
        <v/>
      </c>
      <c r="E395" s="40" t="str">
        <f aca="false">IF($T$4=0,IF($L395="","",$L395),IFERROR(IF([1]财务取数接口!$E$394=0,"",[1]财务取数接口!$E$394),""))</f>
        <v/>
      </c>
      <c r="F395" s="41" t="str">
        <f aca="false">IF($T$4=0,IF($M395="","",$M395),IFERROR(IF([1]财务取数接口!$G$394=0,"",[1]财务取数接口!$G$394),""))</f>
        <v/>
      </c>
      <c r="G395" s="41" t="str">
        <f aca="false">IF($T$4=0,IF($N395="","",$N395),IFERROR(IF([1]财务取数接口!$H$394=0,"",[1]财务取数接口!$H$394),""))</f>
        <v/>
      </c>
      <c r="H395" s="39" t="str">
        <f aca="false">IF($T$4=0,IF($O395="","",$O395),IFERROR(IF([1]财务取数接口!$I$394=0,"",[1]财务取数接口!$I$394),""))</f>
        <v/>
      </c>
      <c r="I395" s="42"/>
      <c r="J395" s="43"/>
      <c r="K395" s="42"/>
      <c r="L395" s="42"/>
      <c r="M395" s="44"/>
      <c r="N395" s="44"/>
      <c r="O395" s="43"/>
      <c r="P395" s="45" t="n">
        <f aca="false">IF(AND($C395&lt;&gt;"",$C395&lt;&gt;"项目",OR(N($D395)&lt;&gt;0,N($E395)&lt;&gt;0,N($F395)&lt;&gt;0)),1,0)</f>
        <v>0</v>
      </c>
      <c r="Q395" s="45" t="n">
        <f aca="false">N(Q394)+$P395</f>
        <v>11</v>
      </c>
    </row>
    <row r="396" customFormat="false" ht="13.5" hidden="false" customHeight="false" outlineLevel="0" collapsed="false">
      <c r="A396" s="9" t="n">
        <v>395</v>
      </c>
      <c r="B396" s="40" t="str">
        <f aca="false">IF($T$4=0,IF($I396="","",$I396),IFERROR(IF([1]财务取数接口!$B$395=0,"",[1]财务取数接口!$B$395),""))</f>
        <v/>
      </c>
      <c r="C396" s="39" t="str">
        <f aca="false">IF($T$4=0,IF($J396="","",$J396),IFERROR(IF([1]财务取数接口!$C$395=0,"",[1]财务取数接口!$C$395),""))</f>
        <v/>
      </c>
      <c r="D396" s="40" t="str">
        <f aca="false">IF($T$4=0,IF($K396="","",$K396),IFERROR(IF([1]财务取数接口!$D$395=0,"",[1]财务取数接口!$D$395),""))</f>
        <v/>
      </c>
      <c r="E396" s="40" t="str">
        <f aca="false">IF($T$4=0,IF($L396="","",$L396),IFERROR(IF([1]财务取数接口!$E$395=0,"",[1]财务取数接口!$E$395),""))</f>
        <v/>
      </c>
      <c r="F396" s="41" t="str">
        <f aca="false">IF($T$4=0,IF($M396="","",$M396),IFERROR(IF([1]财务取数接口!$G$395=0,"",[1]财务取数接口!$G$395),""))</f>
        <v/>
      </c>
      <c r="G396" s="41" t="str">
        <f aca="false">IF($T$4=0,IF($N396="","",$N396),IFERROR(IF([1]财务取数接口!$H$395=0,"",[1]财务取数接口!$H$395),""))</f>
        <v/>
      </c>
      <c r="H396" s="39" t="str">
        <f aca="false">IF($T$4=0,IF($O396="","",$O396),IFERROR(IF([1]财务取数接口!$I$395=0,"",[1]财务取数接口!$I$395),""))</f>
        <v/>
      </c>
      <c r="I396" s="42"/>
      <c r="J396" s="43"/>
      <c r="K396" s="42"/>
      <c r="L396" s="42"/>
      <c r="M396" s="44"/>
      <c r="N396" s="44"/>
      <c r="O396" s="43"/>
      <c r="P396" s="45" t="n">
        <f aca="false">IF(AND($C396&lt;&gt;"",$C396&lt;&gt;"项目",OR(N($D396)&lt;&gt;0,N($E396)&lt;&gt;0,N($F396)&lt;&gt;0)),1,0)</f>
        <v>0</v>
      </c>
      <c r="Q396" s="45" t="n">
        <f aca="false">N(Q395)+$P396</f>
        <v>11</v>
      </c>
    </row>
    <row r="397" customFormat="false" ht="13.5" hidden="false" customHeight="false" outlineLevel="0" collapsed="false">
      <c r="A397" s="9" t="n">
        <v>396</v>
      </c>
      <c r="B397" s="40" t="str">
        <f aca="false">IF($T$4=0,IF($I397="","",$I397),IFERROR(IF([1]财务取数接口!$B$396=0,"",[1]财务取数接口!$B$396),""))</f>
        <v/>
      </c>
      <c r="C397" s="39" t="str">
        <f aca="false">IF($T$4=0,IF($J397="","",$J397),IFERROR(IF([1]财务取数接口!$C$396=0,"",[1]财务取数接口!$C$396),""))</f>
        <v/>
      </c>
      <c r="D397" s="40" t="str">
        <f aca="false">IF($T$4=0,IF($K397="","",$K397),IFERROR(IF([1]财务取数接口!$D$396=0,"",[1]财务取数接口!$D$396),""))</f>
        <v/>
      </c>
      <c r="E397" s="40" t="str">
        <f aca="false">IF($T$4=0,IF($L397="","",$L397),IFERROR(IF([1]财务取数接口!$E$396=0,"",[1]财务取数接口!$E$396),""))</f>
        <v/>
      </c>
      <c r="F397" s="41" t="str">
        <f aca="false">IF($T$4=0,IF($M397="","",$M397),IFERROR(IF([1]财务取数接口!$G$396=0,"",[1]财务取数接口!$G$396),""))</f>
        <v/>
      </c>
      <c r="G397" s="41" t="str">
        <f aca="false">IF($T$4=0,IF($N397="","",$N397),IFERROR(IF([1]财务取数接口!$H$396=0,"",[1]财务取数接口!$H$396),""))</f>
        <v/>
      </c>
      <c r="H397" s="39" t="str">
        <f aca="false">IF($T$4=0,IF($O397="","",$O397),IFERROR(IF([1]财务取数接口!$I$396=0,"",[1]财务取数接口!$I$396),""))</f>
        <v/>
      </c>
      <c r="I397" s="42"/>
      <c r="J397" s="43"/>
      <c r="K397" s="42"/>
      <c r="L397" s="42"/>
      <c r="M397" s="44"/>
      <c r="N397" s="44"/>
      <c r="O397" s="43"/>
      <c r="P397" s="45" t="n">
        <f aca="false">IF(AND($C397&lt;&gt;"",$C397&lt;&gt;"项目",OR(N($D397)&lt;&gt;0,N($E397)&lt;&gt;0,N($F397)&lt;&gt;0)),1,0)</f>
        <v>0</v>
      </c>
      <c r="Q397" s="45" t="n">
        <f aca="false">N(Q396)+$P397</f>
        <v>11</v>
      </c>
    </row>
    <row r="398" customFormat="false" ht="13.5" hidden="false" customHeight="false" outlineLevel="0" collapsed="false">
      <c r="A398" s="9" t="n">
        <v>397</v>
      </c>
      <c r="B398" s="40" t="str">
        <f aca="false">IF($T$4=0,IF($I398="","",$I398),IFERROR(IF([1]财务取数接口!$B$397=0,"",[1]财务取数接口!$B$397),""))</f>
        <v/>
      </c>
      <c r="C398" s="39" t="str">
        <f aca="false">IF($T$4=0,IF($J398="","",$J398),IFERROR(IF([1]财务取数接口!$C$397=0,"",[1]财务取数接口!$C$397),""))</f>
        <v/>
      </c>
      <c r="D398" s="40" t="str">
        <f aca="false">IF($T$4=0,IF($K398="","",$K398),IFERROR(IF([1]财务取数接口!$D$397=0,"",[1]财务取数接口!$D$397),""))</f>
        <v/>
      </c>
      <c r="E398" s="40" t="str">
        <f aca="false">IF($T$4=0,IF($L398="","",$L398),IFERROR(IF([1]财务取数接口!$E$397=0,"",[1]财务取数接口!$E$397),""))</f>
        <v/>
      </c>
      <c r="F398" s="41" t="str">
        <f aca="false">IF($T$4=0,IF($M398="","",$M398),IFERROR(IF([1]财务取数接口!$G$397=0,"",[1]财务取数接口!$G$397),""))</f>
        <v/>
      </c>
      <c r="G398" s="41" t="str">
        <f aca="false">IF($T$4=0,IF($N398="","",$N398),IFERROR(IF([1]财务取数接口!$H$397=0,"",[1]财务取数接口!$H$397),""))</f>
        <v/>
      </c>
      <c r="H398" s="39" t="str">
        <f aca="false">IF($T$4=0,IF($O398="","",$O398),IFERROR(IF([1]财务取数接口!$I$397=0,"",[1]财务取数接口!$I$397),""))</f>
        <v/>
      </c>
      <c r="I398" s="42"/>
      <c r="J398" s="43"/>
      <c r="K398" s="42"/>
      <c r="L398" s="42"/>
      <c r="M398" s="44"/>
      <c r="N398" s="44"/>
      <c r="O398" s="43"/>
      <c r="P398" s="45" t="n">
        <f aca="false">IF(AND($C398&lt;&gt;"",$C398&lt;&gt;"项目",OR(N($D398)&lt;&gt;0,N($E398)&lt;&gt;0,N($F398)&lt;&gt;0)),1,0)</f>
        <v>0</v>
      </c>
      <c r="Q398" s="45" t="n">
        <f aca="false">N(Q397)+$P398</f>
        <v>11</v>
      </c>
    </row>
    <row r="399" customFormat="false" ht="13.5" hidden="false" customHeight="false" outlineLevel="0" collapsed="false">
      <c r="A399" s="9" t="n">
        <v>398</v>
      </c>
      <c r="B399" s="40" t="str">
        <f aca="false">IF($T$4=0,IF($I399="","",$I399),IFERROR(IF([1]财务取数接口!$B$398=0,"",[1]财务取数接口!$B$398),""))</f>
        <v/>
      </c>
      <c r="C399" s="39" t="str">
        <f aca="false">IF($T$4=0,IF($J399="","",$J399),IFERROR(IF([1]财务取数接口!$C$398=0,"",[1]财务取数接口!$C$398),""))</f>
        <v/>
      </c>
      <c r="D399" s="40" t="str">
        <f aca="false">IF($T$4=0,IF($K399="","",$K399),IFERROR(IF([1]财务取数接口!$D$398=0,"",[1]财务取数接口!$D$398),""))</f>
        <v/>
      </c>
      <c r="E399" s="40" t="str">
        <f aca="false">IF($T$4=0,IF($L399="","",$L399),IFERROR(IF([1]财务取数接口!$E$398=0,"",[1]财务取数接口!$E$398),""))</f>
        <v/>
      </c>
      <c r="F399" s="41" t="str">
        <f aca="false">IF($T$4=0,IF($M399="","",$M399),IFERROR(IF([1]财务取数接口!$G$398=0,"",[1]财务取数接口!$G$398),""))</f>
        <v/>
      </c>
      <c r="G399" s="41" t="str">
        <f aca="false">IF($T$4=0,IF($N399="","",$N399),IFERROR(IF([1]财务取数接口!$H$398=0,"",[1]财务取数接口!$H$398),""))</f>
        <v/>
      </c>
      <c r="H399" s="39" t="str">
        <f aca="false">IF($T$4=0,IF($O399="","",$O399),IFERROR(IF([1]财务取数接口!$I$398=0,"",[1]财务取数接口!$I$398),""))</f>
        <v/>
      </c>
      <c r="I399" s="42"/>
      <c r="J399" s="43"/>
      <c r="K399" s="42"/>
      <c r="L399" s="42"/>
      <c r="M399" s="44"/>
      <c r="N399" s="44"/>
      <c r="O399" s="43"/>
      <c r="P399" s="45" t="n">
        <f aca="false">IF(AND($C399&lt;&gt;"",$C399&lt;&gt;"项目",OR(N($D399)&lt;&gt;0,N($E399)&lt;&gt;0,N($F399)&lt;&gt;0)),1,0)</f>
        <v>0</v>
      </c>
      <c r="Q399" s="45" t="n">
        <f aca="false">N(Q398)+$P399</f>
        <v>11</v>
      </c>
    </row>
    <row r="400" customFormat="false" ht="13.5" hidden="false" customHeight="false" outlineLevel="0" collapsed="false">
      <c r="A400" s="9" t="n">
        <v>399</v>
      </c>
      <c r="B400" s="40" t="str">
        <f aca="false">IF($T$4=0,IF($I400="","",$I400),IFERROR(IF([1]财务取数接口!$B$399=0,"",[1]财务取数接口!$B$399),""))</f>
        <v/>
      </c>
      <c r="C400" s="39" t="str">
        <f aca="false">IF($T$4=0,IF($J400="","",$J400),IFERROR(IF([1]财务取数接口!$C$399=0,"",[1]财务取数接口!$C$399),""))</f>
        <v/>
      </c>
      <c r="D400" s="40" t="str">
        <f aca="false">IF($T$4=0,IF($K400="","",$K400),IFERROR(IF([1]财务取数接口!$D$399=0,"",[1]财务取数接口!$D$399),""))</f>
        <v/>
      </c>
      <c r="E400" s="40" t="str">
        <f aca="false">IF($T$4=0,IF($L400="","",$L400),IFERROR(IF([1]财务取数接口!$E$399=0,"",[1]财务取数接口!$E$399),""))</f>
        <v/>
      </c>
      <c r="F400" s="41" t="str">
        <f aca="false">IF($T$4=0,IF($M400="","",$M400),IFERROR(IF([1]财务取数接口!$G$399=0,"",[1]财务取数接口!$G$399),""))</f>
        <v/>
      </c>
      <c r="G400" s="41" t="str">
        <f aca="false">IF($T$4=0,IF($N400="","",$N400),IFERROR(IF([1]财务取数接口!$H$399=0,"",[1]财务取数接口!$H$399),""))</f>
        <v/>
      </c>
      <c r="H400" s="39" t="str">
        <f aca="false">IF($T$4=0,IF($O400="","",$O400),IFERROR(IF([1]财务取数接口!$I$399=0,"",[1]财务取数接口!$I$399),""))</f>
        <v/>
      </c>
      <c r="I400" s="42"/>
      <c r="J400" s="43"/>
      <c r="K400" s="42"/>
      <c r="L400" s="42"/>
      <c r="M400" s="44"/>
      <c r="N400" s="44"/>
      <c r="O400" s="43"/>
      <c r="P400" s="45" t="n">
        <f aca="false">IF(AND($C400&lt;&gt;"",$C400&lt;&gt;"项目",OR(N($D400)&lt;&gt;0,N($E400)&lt;&gt;0,N($F400)&lt;&gt;0)),1,0)</f>
        <v>0</v>
      </c>
      <c r="Q400" s="45" t="n">
        <f aca="false">N(Q399)+$P400</f>
        <v>11</v>
      </c>
    </row>
    <row r="401" customFormat="false" ht="13.5" hidden="false" customHeight="false" outlineLevel="0" collapsed="false">
      <c r="A401" s="9" t="n">
        <v>400</v>
      </c>
      <c r="B401" s="40" t="str">
        <f aca="false">IF($T$4=0,IF($I401="","",$I401),IFERROR(IF([1]财务取数接口!$B$400=0,"",[1]财务取数接口!$B$400),""))</f>
        <v/>
      </c>
      <c r="C401" s="39" t="str">
        <f aca="false">IF($T$4=0,IF($J401="","",$J401),IFERROR(IF([1]财务取数接口!$C$400=0,"",[1]财务取数接口!$C$400),""))</f>
        <v/>
      </c>
      <c r="D401" s="40" t="str">
        <f aca="false">IF($T$4=0,IF($K401="","",$K401),IFERROR(IF([1]财务取数接口!$D$400=0,"",[1]财务取数接口!$D$400),""))</f>
        <v/>
      </c>
      <c r="E401" s="40" t="str">
        <f aca="false">IF($T$4=0,IF($L401="","",$L401),IFERROR(IF([1]财务取数接口!$E$400=0,"",[1]财务取数接口!$E$400),""))</f>
        <v/>
      </c>
      <c r="F401" s="41" t="str">
        <f aca="false">IF($T$4=0,IF($M401="","",$M401),IFERROR(IF([1]财务取数接口!$G$400=0,"",[1]财务取数接口!$G$400),""))</f>
        <v/>
      </c>
      <c r="G401" s="41" t="str">
        <f aca="false">IF($T$4=0,IF($N401="","",$N401),IFERROR(IF([1]财务取数接口!$H$400=0,"",[1]财务取数接口!$H$400),""))</f>
        <v/>
      </c>
      <c r="H401" s="39" t="str">
        <f aca="false">IF($T$4=0,IF($O401="","",$O401),IFERROR(IF([1]财务取数接口!$I$400=0,"",[1]财务取数接口!$I$400),""))</f>
        <v/>
      </c>
      <c r="I401" s="42"/>
      <c r="J401" s="43"/>
      <c r="K401" s="42"/>
      <c r="L401" s="42"/>
      <c r="M401" s="44"/>
      <c r="N401" s="44"/>
      <c r="O401" s="43"/>
      <c r="P401" s="45" t="n">
        <f aca="false">IF(AND($C401&lt;&gt;"",$C401&lt;&gt;"项目",OR(N($D401)&lt;&gt;0,N($E401)&lt;&gt;0,N($F401)&lt;&gt;0)),1,0)</f>
        <v>0</v>
      </c>
      <c r="Q401" s="45" t="n">
        <f aca="false">N(Q400)+$P401</f>
        <v>11</v>
      </c>
    </row>
    <row r="402" customFormat="false" ht="13.5" hidden="false" customHeight="false" outlineLevel="0" collapsed="false">
      <c r="A402" s="9" t="n">
        <v>401</v>
      </c>
      <c r="B402" s="40" t="str">
        <f aca="false">IF($T$4=0,IF($I402="","",$I402),IFERROR(IF([1]财务取数接口!$B$401=0,"",[1]财务取数接口!$B$401),""))</f>
        <v/>
      </c>
      <c r="C402" s="39" t="str">
        <f aca="false">IF($T$4=0,IF($J402="","",$J402),IFERROR(IF([1]财务取数接口!$C$401=0,"",[1]财务取数接口!$C$401),""))</f>
        <v/>
      </c>
      <c r="D402" s="40" t="str">
        <f aca="false">IF($T$4=0,IF($K402="","",$K402),IFERROR(IF([1]财务取数接口!$D$401=0,"",[1]财务取数接口!$D$401),""))</f>
        <v/>
      </c>
      <c r="E402" s="40" t="str">
        <f aca="false">IF($T$4=0,IF($L402="","",$L402),IFERROR(IF([1]财务取数接口!$E$401=0,"",[1]财务取数接口!$E$401),""))</f>
        <v/>
      </c>
      <c r="F402" s="41" t="str">
        <f aca="false">IF($T$4=0,IF($M402="","",$M402),IFERROR(IF([1]财务取数接口!$G$401=0,"",[1]财务取数接口!$G$401),""))</f>
        <v/>
      </c>
      <c r="G402" s="41" t="str">
        <f aca="false">IF($T$4=0,IF($N402="","",$N402),IFERROR(IF([1]财务取数接口!$H$401=0,"",[1]财务取数接口!$H$401),""))</f>
        <v/>
      </c>
      <c r="H402" s="39" t="str">
        <f aca="false">IF($T$4=0,IF($O402="","",$O402),IFERROR(IF([1]财务取数接口!$I$401=0,"",[1]财务取数接口!$I$401),""))</f>
        <v/>
      </c>
      <c r="I402" s="42"/>
      <c r="J402" s="43"/>
      <c r="K402" s="42"/>
      <c r="L402" s="42"/>
      <c r="M402" s="44"/>
      <c r="N402" s="44"/>
      <c r="O402" s="43"/>
      <c r="P402" s="45" t="n">
        <f aca="false">IF(AND($C402&lt;&gt;"",$C402&lt;&gt;"项目",OR(N($D402)&lt;&gt;0,N($E402)&lt;&gt;0,N($F402)&lt;&gt;0)),1,0)</f>
        <v>0</v>
      </c>
      <c r="Q402" s="45" t="n">
        <f aca="false">N(Q401)+$P402</f>
        <v>11</v>
      </c>
    </row>
    <row r="403" customFormat="false" ht="13.5" hidden="false" customHeight="false" outlineLevel="0" collapsed="false">
      <c r="A403" s="9" t="n">
        <v>402</v>
      </c>
      <c r="B403" s="40" t="str">
        <f aca="false">IF($T$4=0,IF($I403="","",$I403),IFERROR(IF([1]财务取数接口!$B$402=0,"",[1]财务取数接口!$B$402),""))</f>
        <v/>
      </c>
      <c r="C403" s="39" t="str">
        <f aca="false">IF($T$4=0,IF($J403="","",$J403),IFERROR(IF([1]财务取数接口!$C$402=0,"",[1]财务取数接口!$C$402),""))</f>
        <v/>
      </c>
      <c r="D403" s="40" t="str">
        <f aca="false">IF($T$4=0,IF($K403="","",$K403),IFERROR(IF([1]财务取数接口!$D$402=0,"",[1]财务取数接口!$D$402),""))</f>
        <v/>
      </c>
      <c r="E403" s="40" t="str">
        <f aca="false">IF($T$4=0,IF($L403="","",$L403),IFERROR(IF([1]财务取数接口!$E$402=0,"",[1]财务取数接口!$E$402),""))</f>
        <v/>
      </c>
      <c r="F403" s="41" t="str">
        <f aca="false">IF($T$4=0,IF($M403="","",$M403),IFERROR(IF([1]财务取数接口!$G$402=0,"",[1]财务取数接口!$G$402),""))</f>
        <v/>
      </c>
      <c r="G403" s="41" t="str">
        <f aca="false">IF($T$4=0,IF($N403="","",$N403),IFERROR(IF([1]财务取数接口!$H$402=0,"",[1]财务取数接口!$H$402),""))</f>
        <v/>
      </c>
      <c r="H403" s="39" t="str">
        <f aca="false">IF($T$4=0,IF($O403="","",$O403),IFERROR(IF([1]财务取数接口!$I$402=0,"",[1]财务取数接口!$I$402),""))</f>
        <v/>
      </c>
      <c r="I403" s="42"/>
      <c r="J403" s="43"/>
      <c r="K403" s="42"/>
      <c r="L403" s="42"/>
      <c r="M403" s="44"/>
      <c r="N403" s="44"/>
      <c r="O403" s="43"/>
      <c r="P403" s="45" t="n">
        <f aca="false">IF(AND($C403&lt;&gt;"",$C403&lt;&gt;"项目",OR(N($D403)&lt;&gt;0,N($E403)&lt;&gt;0,N($F403)&lt;&gt;0)),1,0)</f>
        <v>0</v>
      </c>
      <c r="Q403" s="45" t="n">
        <f aca="false">N(Q402)+$P403</f>
        <v>11</v>
      </c>
    </row>
    <row r="404" customFormat="false" ht="13.5" hidden="false" customHeight="false" outlineLevel="0" collapsed="false">
      <c r="A404" s="9" t="n">
        <v>403</v>
      </c>
      <c r="B404" s="40" t="str">
        <f aca="false">IF($T$4=0,IF($I404="","",$I404),IFERROR(IF([1]财务取数接口!$B$403=0,"",[1]财务取数接口!$B$403),""))</f>
        <v/>
      </c>
      <c r="C404" s="39" t="str">
        <f aca="false">IF($T$4=0,IF($J404="","",$J404),IFERROR(IF([1]财务取数接口!$C$403=0,"",[1]财务取数接口!$C$403),""))</f>
        <v/>
      </c>
      <c r="D404" s="40" t="str">
        <f aca="false">IF($T$4=0,IF($K404="","",$K404),IFERROR(IF([1]财务取数接口!$D$403=0,"",[1]财务取数接口!$D$403),""))</f>
        <v/>
      </c>
      <c r="E404" s="40" t="str">
        <f aca="false">IF($T$4=0,IF($L404="","",$L404),IFERROR(IF([1]财务取数接口!$E$403=0,"",[1]财务取数接口!$E$403),""))</f>
        <v/>
      </c>
      <c r="F404" s="41" t="str">
        <f aca="false">IF($T$4=0,IF($M404="","",$M404),IFERROR(IF([1]财务取数接口!$G$403=0,"",[1]财务取数接口!$G$403),""))</f>
        <v/>
      </c>
      <c r="G404" s="41" t="str">
        <f aca="false">IF($T$4=0,IF($N404="","",$N404),IFERROR(IF([1]财务取数接口!$H$403=0,"",[1]财务取数接口!$H$403),""))</f>
        <v/>
      </c>
      <c r="H404" s="39" t="str">
        <f aca="false">IF($T$4=0,IF($O404="","",$O404),IFERROR(IF([1]财务取数接口!$I$403=0,"",[1]财务取数接口!$I$403),""))</f>
        <v/>
      </c>
      <c r="I404" s="42"/>
      <c r="J404" s="43"/>
      <c r="K404" s="42"/>
      <c r="L404" s="42"/>
      <c r="M404" s="44"/>
      <c r="N404" s="44"/>
      <c r="O404" s="43"/>
      <c r="P404" s="45" t="n">
        <f aca="false">IF(AND($C404&lt;&gt;"",$C404&lt;&gt;"项目",OR(N($D404)&lt;&gt;0,N($E404)&lt;&gt;0,N($F404)&lt;&gt;0)),1,0)</f>
        <v>0</v>
      </c>
      <c r="Q404" s="45" t="n">
        <f aca="false">N(Q403)+$P404</f>
        <v>11</v>
      </c>
    </row>
    <row r="405" customFormat="false" ht="13.5" hidden="false" customHeight="false" outlineLevel="0" collapsed="false">
      <c r="A405" s="9" t="n">
        <v>404</v>
      </c>
      <c r="B405" s="40" t="str">
        <f aca="false">IF($T$4=0,IF($I405="","",$I405),IFERROR(IF([1]财务取数接口!$B$404=0,"",[1]财务取数接口!$B$404),""))</f>
        <v/>
      </c>
      <c r="C405" s="39" t="str">
        <f aca="false">IF($T$4=0,IF($J405="","",$J405),IFERROR(IF([1]财务取数接口!$C$404=0,"",[1]财务取数接口!$C$404),""))</f>
        <v/>
      </c>
      <c r="D405" s="40" t="str">
        <f aca="false">IF($T$4=0,IF($K405="","",$K405),IFERROR(IF([1]财务取数接口!$D$404=0,"",[1]财务取数接口!$D$404),""))</f>
        <v/>
      </c>
      <c r="E405" s="40" t="str">
        <f aca="false">IF($T$4=0,IF($L405="","",$L405),IFERROR(IF([1]财务取数接口!$E$404=0,"",[1]财务取数接口!$E$404),""))</f>
        <v/>
      </c>
      <c r="F405" s="41" t="str">
        <f aca="false">IF($T$4=0,IF($M405="","",$M405),IFERROR(IF([1]财务取数接口!$G$404=0,"",[1]财务取数接口!$G$404),""))</f>
        <v/>
      </c>
      <c r="G405" s="41" t="str">
        <f aca="false">IF($T$4=0,IF($N405="","",$N405),IFERROR(IF([1]财务取数接口!$H$404=0,"",[1]财务取数接口!$H$404),""))</f>
        <v/>
      </c>
      <c r="H405" s="39" t="str">
        <f aca="false">IF($T$4=0,IF($O405="","",$O405),IFERROR(IF([1]财务取数接口!$I$404=0,"",[1]财务取数接口!$I$404),""))</f>
        <v/>
      </c>
      <c r="I405" s="42"/>
      <c r="J405" s="43"/>
      <c r="K405" s="42"/>
      <c r="L405" s="42"/>
      <c r="M405" s="44"/>
      <c r="N405" s="44"/>
      <c r="O405" s="43"/>
      <c r="P405" s="45" t="n">
        <f aca="false">IF(AND($C405&lt;&gt;"",$C405&lt;&gt;"项目",OR(N($D405)&lt;&gt;0,N($E405)&lt;&gt;0,N($F405)&lt;&gt;0)),1,0)</f>
        <v>0</v>
      </c>
      <c r="Q405" s="45" t="n">
        <f aca="false">N(Q404)+$P405</f>
        <v>11</v>
      </c>
    </row>
    <row r="406" customFormat="false" ht="13.5" hidden="false" customHeight="false" outlineLevel="0" collapsed="false">
      <c r="A406" s="9" t="n">
        <v>405</v>
      </c>
      <c r="B406" s="40" t="str">
        <f aca="false">IF($T$4=0,IF($I406="","",$I406),IFERROR(IF([1]财务取数接口!$B$405=0,"",[1]财务取数接口!$B$405),""))</f>
        <v/>
      </c>
      <c r="C406" s="39" t="str">
        <f aca="false">IF($T$4=0,IF($J406="","",$J406),IFERROR(IF([1]财务取数接口!$C$405=0,"",[1]财务取数接口!$C$405),""))</f>
        <v/>
      </c>
      <c r="D406" s="40" t="str">
        <f aca="false">IF($T$4=0,IF($K406="","",$K406),IFERROR(IF([1]财务取数接口!$D$405=0,"",[1]财务取数接口!$D$405),""))</f>
        <v/>
      </c>
      <c r="E406" s="40" t="str">
        <f aca="false">IF($T$4=0,IF($L406="","",$L406),IFERROR(IF([1]财务取数接口!$E$405=0,"",[1]财务取数接口!$E$405),""))</f>
        <v/>
      </c>
      <c r="F406" s="41" t="str">
        <f aca="false">IF($T$4=0,IF($M406="","",$M406),IFERROR(IF([1]财务取数接口!$G$405=0,"",[1]财务取数接口!$G$405),""))</f>
        <v/>
      </c>
      <c r="G406" s="41" t="str">
        <f aca="false">IF($T$4=0,IF($N406="","",$N406),IFERROR(IF([1]财务取数接口!$H$405=0,"",[1]财务取数接口!$H$405),""))</f>
        <v/>
      </c>
      <c r="H406" s="39" t="str">
        <f aca="false">IF($T$4=0,IF($O406="","",$O406),IFERROR(IF([1]财务取数接口!$I$405=0,"",[1]财务取数接口!$I$405),""))</f>
        <v/>
      </c>
      <c r="I406" s="42"/>
      <c r="J406" s="43"/>
      <c r="K406" s="42"/>
      <c r="L406" s="42"/>
      <c r="M406" s="44"/>
      <c r="N406" s="44"/>
      <c r="O406" s="43"/>
      <c r="P406" s="45" t="n">
        <f aca="false">IF(AND($C406&lt;&gt;"",$C406&lt;&gt;"项目",OR(N($D406)&lt;&gt;0,N($E406)&lt;&gt;0,N($F406)&lt;&gt;0)),1,0)</f>
        <v>0</v>
      </c>
      <c r="Q406" s="45" t="n">
        <f aca="false">N(Q405)+$P406</f>
        <v>11</v>
      </c>
    </row>
    <row r="407" customFormat="false" ht="13.5" hidden="false" customHeight="false" outlineLevel="0" collapsed="false">
      <c r="A407" s="9" t="n">
        <v>406</v>
      </c>
      <c r="B407" s="40" t="str">
        <f aca="false">IF($T$4=0,IF($I407="","",$I407),IFERROR(IF([1]财务取数接口!$B$406=0,"",[1]财务取数接口!$B$406),""))</f>
        <v/>
      </c>
      <c r="C407" s="39" t="str">
        <f aca="false">IF($T$4=0,IF($J407="","",$J407),IFERROR(IF([1]财务取数接口!$C$406=0,"",[1]财务取数接口!$C$406),""))</f>
        <v/>
      </c>
      <c r="D407" s="40" t="str">
        <f aca="false">IF($T$4=0,IF($K407="","",$K407),IFERROR(IF([1]财务取数接口!$D$406=0,"",[1]财务取数接口!$D$406),""))</f>
        <v/>
      </c>
      <c r="E407" s="40" t="str">
        <f aca="false">IF($T$4=0,IF($L407="","",$L407),IFERROR(IF([1]财务取数接口!$E$406=0,"",[1]财务取数接口!$E$406),""))</f>
        <v/>
      </c>
      <c r="F407" s="41" t="str">
        <f aca="false">IF($T$4=0,IF($M407="","",$M407),IFERROR(IF([1]财务取数接口!$G$406=0,"",[1]财务取数接口!$G$406),""))</f>
        <v/>
      </c>
      <c r="G407" s="41" t="str">
        <f aca="false">IF($T$4=0,IF($N407="","",$N407),IFERROR(IF([1]财务取数接口!$H$406=0,"",[1]财务取数接口!$H$406),""))</f>
        <v/>
      </c>
      <c r="H407" s="39" t="str">
        <f aca="false">IF($T$4=0,IF($O407="","",$O407),IFERROR(IF([1]财务取数接口!$I$406=0,"",[1]财务取数接口!$I$406),""))</f>
        <v/>
      </c>
      <c r="I407" s="42"/>
      <c r="J407" s="43"/>
      <c r="K407" s="42"/>
      <c r="L407" s="42"/>
      <c r="M407" s="44"/>
      <c r="N407" s="44"/>
      <c r="O407" s="43"/>
      <c r="P407" s="45" t="n">
        <f aca="false">IF(AND($C407&lt;&gt;"",$C407&lt;&gt;"项目",OR(N($D407)&lt;&gt;0,N($E407)&lt;&gt;0,N($F407)&lt;&gt;0)),1,0)</f>
        <v>0</v>
      </c>
      <c r="Q407" s="45" t="n">
        <f aca="false">N(Q406)+$P407</f>
        <v>11</v>
      </c>
    </row>
    <row r="408" customFormat="false" ht="13.5" hidden="false" customHeight="false" outlineLevel="0" collapsed="false">
      <c r="A408" s="9" t="n">
        <v>407</v>
      </c>
      <c r="B408" s="40" t="str">
        <f aca="false">IF($T$4=0,IF($I408="","",$I408),IFERROR(IF([1]财务取数接口!$B$407=0,"",[1]财务取数接口!$B$407),""))</f>
        <v/>
      </c>
      <c r="C408" s="39" t="str">
        <f aca="false">IF($T$4=0,IF($J408="","",$J408),IFERROR(IF([1]财务取数接口!$C$407=0,"",[1]财务取数接口!$C$407),""))</f>
        <v/>
      </c>
      <c r="D408" s="40" t="str">
        <f aca="false">IF($T$4=0,IF($K408="","",$K408),IFERROR(IF([1]财务取数接口!$D$407=0,"",[1]财务取数接口!$D$407),""))</f>
        <v/>
      </c>
      <c r="E408" s="40" t="str">
        <f aca="false">IF($T$4=0,IF($L408="","",$L408),IFERROR(IF([1]财务取数接口!$E$407=0,"",[1]财务取数接口!$E$407),""))</f>
        <v/>
      </c>
      <c r="F408" s="41" t="str">
        <f aca="false">IF($T$4=0,IF($M408="","",$M408),IFERROR(IF([1]财务取数接口!$G$407=0,"",[1]财务取数接口!$G$407),""))</f>
        <v/>
      </c>
      <c r="G408" s="41" t="str">
        <f aca="false">IF($T$4=0,IF($N408="","",$N408),IFERROR(IF([1]财务取数接口!$H$407=0,"",[1]财务取数接口!$H$407),""))</f>
        <v/>
      </c>
      <c r="H408" s="39" t="str">
        <f aca="false">IF($T$4=0,IF($O408="","",$O408),IFERROR(IF([1]财务取数接口!$I$407=0,"",[1]财务取数接口!$I$407),""))</f>
        <v/>
      </c>
      <c r="I408" s="42"/>
      <c r="J408" s="43"/>
      <c r="K408" s="42"/>
      <c r="L408" s="42"/>
      <c r="M408" s="44"/>
      <c r="N408" s="44"/>
      <c r="O408" s="43"/>
      <c r="P408" s="45" t="n">
        <f aca="false">IF(AND($C408&lt;&gt;"",$C408&lt;&gt;"项目",OR(N($D408)&lt;&gt;0,N($E408)&lt;&gt;0,N($F408)&lt;&gt;0)),1,0)</f>
        <v>0</v>
      </c>
      <c r="Q408" s="45" t="n">
        <f aca="false">N(Q407)+$P408</f>
        <v>11</v>
      </c>
    </row>
    <row r="409" customFormat="false" ht="13.5" hidden="false" customHeight="false" outlineLevel="0" collapsed="false">
      <c r="A409" s="9" t="n">
        <v>408</v>
      </c>
      <c r="B409" s="40" t="str">
        <f aca="false">IF($T$4=0,IF($I409="","",$I409),IFERROR(IF([1]财务取数接口!$B$408=0,"",[1]财务取数接口!$B$408),""))</f>
        <v/>
      </c>
      <c r="C409" s="39" t="str">
        <f aca="false">IF($T$4=0,IF($J409="","",$J409),IFERROR(IF([1]财务取数接口!$C$408=0,"",[1]财务取数接口!$C$408),""))</f>
        <v/>
      </c>
      <c r="D409" s="40" t="str">
        <f aca="false">IF($T$4=0,IF($K409="","",$K409),IFERROR(IF([1]财务取数接口!$D$408=0,"",[1]财务取数接口!$D$408),""))</f>
        <v/>
      </c>
      <c r="E409" s="40" t="str">
        <f aca="false">IF($T$4=0,IF($L409="","",$L409),IFERROR(IF([1]财务取数接口!$E$408=0,"",[1]财务取数接口!$E$408),""))</f>
        <v/>
      </c>
      <c r="F409" s="41" t="str">
        <f aca="false">IF($T$4=0,IF($M409="","",$M409),IFERROR(IF([1]财务取数接口!$G$408=0,"",[1]财务取数接口!$G$408),""))</f>
        <v/>
      </c>
      <c r="G409" s="41" t="str">
        <f aca="false">IF($T$4=0,IF($N409="","",$N409),IFERROR(IF([1]财务取数接口!$H$408=0,"",[1]财务取数接口!$H$408),""))</f>
        <v/>
      </c>
      <c r="H409" s="39" t="str">
        <f aca="false">IF($T$4=0,IF($O409="","",$O409),IFERROR(IF([1]财务取数接口!$I$408=0,"",[1]财务取数接口!$I$408),""))</f>
        <v/>
      </c>
      <c r="I409" s="42"/>
      <c r="J409" s="43"/>
      <c r="K409" s="42"/>
      <c r="L409" s="42"/>
      <c r="M409" s="44"/>
      <c r="N409" s="44"/>
      <c r="O409" s="43"/>
      <c r="P409" s="45" t="n">
        <f aca="false">IF(AND($C409&lt;&gt;"",$C409&lt;&gt;"项目",OR(N($D409)&lt;&gt;0,N($E409)&lt;&gt;0,N($F409)&lt;&gt;0)),1,0)</f>
        <v>0</v>
      </c>
      <c r="Q409" s="45" t="n">
        <f aca="false">N(Q408)+$P409</f>
        <v>11</v>
      </c>
    </row>
    <row r="410" customFormat="false" ht="13.5" hidden="false" customHeight="false" outlineLevel="0" collapsed="false">
      <c r="A410" s="9" t="n">
        <v>409</v>
      </c>
      <c r="B410" s="40" t="str">
        <f aca="false">IF($T$4=0,IF($I410="","",$I410),IFERROR(IF([1]财务取数接口!$B$409=0,"",[1]财务取数接口!$B$409),""))</f>
        <v/>
      </c>
      <c r="C410" s="39" t="str">
        <f aca="false">IF($T$4=0,IF($J410="","",$J410),IFERROR(IF([1]财务取数接口!$C$409=0,"",[1]财务取数接口!$C$409),""))</f>
        <v/>
      </c>
      <c r="D410" s="40" t="str">
        <f aca="false">IF($T$4=0,IF($K410="","",$K410),IFERROR(IF([1]财务取数接口!$D$409=0,"",[1]财务取数接口!$D$409),""))</f>
        <v/>
      </c>
      <c r="E410" s="40" t="str">
        <f aca="false">IF($T$4=0,IF($L410="","",$L410),IFERROR(IF([1]财务取数接口!$E$409=0,"",[1]财务取数接口!$E$409),""))</f>
        <v/>
      </c>
      <c r="F410" s="41" t="str">
        <f aca="false">IF($T$4=0,IF($M410="","",$M410),IFERROR(IF([1]财务取数接口!$G$409=0,"",[1]财务取数接口!$G$409),""))</f>
        <v/>
      </c>
      <c r="G410" s="41" t="str">
        <f aca="false">IF($T$4=0,IF($N410="","",$N410),IFERROR(IF([1]财务取数接口!$H$409=0,"",[1]财务取数接口!$H$409),""))</f>
        <v/>
      </c>
      <c r="H410" s="39" t="str">
        <f aca="false">IF($T$4=0,IF($O410="","",$O410),IFERROR(IF([1]财务取数接口!$I$409=0,"",[1]财务取数接口!$I$409),""))</f>
        <v/>
      </c>
      <c r="I410" s="42"/>
      <c r="J410" s="43"/>
      <c r="K410" s="42"/>
      <c r="L410" s="42"/>
      <c r="M410" s="44"/>
      <c r="N410" s="44"/>
      <c r="O410" s="43"/>
      <c r="P410" s="45" t="n">
        <f aca="false">IF(AND($C410&lt;&gt;"",$C410&lt;&gt;"项目",OR(N($D410)&lt;&gt;0,N($E410)&lt;&gt;0,N($F410)&lt;&gt;0)),1,0)</f>
        <v>0</v>
      </c>
      <c r="Q410" s="45" t="n">
        <f aca="false">N(Q409)+$P410</f>
        <v>11</v>
      </c>
    </row>
    <row r="411" customFormat="false" ht="13.5" hidden="false" customHeight="false" outlineLevel="0" collapsed="false">
      <c r="A411" s="9" t="n">
        <v>410</v>
      </c>
      <c r="B411" s="40" t="str">
        <f aca="false">IF($T$4=0,IF($I411="","",$I411),IFERROR(IF([1]财务取数接口!$B$410=0,"",[1]财务取数接口!$B$410),""))</f>
        <v/>
      </c>
      <c r="C411" s="39" t="str">
        <f aca="false">IF($T$4=0,IF($J411="","",$J411),IFERROR(IF([1]财务取数接口!$C$410=0,"",[1]财务取数接口!$C$410),""))</f>
        <v/>
      </c>
      <c r="D411" s="40" t="str">
        <f aca="false">IF($T$4=0,IF($K411="","",$K411),IFERROR(IF([1]财务取数接口!$D$410=0,"",[1]财务取数接口!$D$410),""))</f>
        <v/>
      </c>
      <c r="E411" s="40" t="str">
        <f aca="false">IF($T$4=0,IF($L411="","",$L411),IFERROR(IF([1]财务取数接口!$E$410=0,"",[1]财务取数接口!$E$410),""))</f>
        <v/>
      </c>
      <c r="F411" s="41" t="str">
        <f aca="false">IF($T$4=0,IF($M411="","",$M411),IFERROR(IF([1]财务取数接口!$G$410=0,"",[1]财务取数接口!$G$410),""))</f>
        <v/>
      </c>
      <c r="G411" s="41" t="str">
        <f aca="false">IF($T$4=0,IF($N411="","",$N411),IFERROR(IF([1]财务取数接口!$H$410=0,"",[1]财务取数接口!$H$410),""))</f>
        <v/>
      </c>
      <c r="H411" s="39" t="str">
        <f aca="false">IF($T$4=0,IF($O411="","",$O411),IFERROR(IF([1]财务取数接口!$I$410=0,"",[1]财务取数接口!$I$410),""))</f>
        <v/>
      </c>
      <c r="I411" s="42"/>
      <c r="J411" s="43"/>
      <c r="K411" s="42"/>
      <c r="L411" s="42"/>
      <c r="M411" s="44"/>
      <c r="N411" s="44"/>
      <c r="O411" s="43"/>
      <c r="P411" s="45" t="n">
        <f aca="false">IF(AND($C411&lt;&gt;"",$C411&lt;&gt;"项目",OR(N($D411)&lt;&gt;0,N($E411)&lt;&gt;0,N($F411)&lt;&gt;0)),1,0)</f>
        <v>0</v>
      </c>
      <c r="Q411" s="45" t="n">
        <f aca="false">N(Q410)+$P411</f>
        <v>11</v>
      </c>
    </row>
    <row r="412" customFormat="false" ht="13.5" hidden="false" customHeight="false" outlineLevel="0" collapsed="false">
      <c r="A412" s="9" t="n">
        <v>411</v>
      </c>
      <c r="B412" s="40" t="str">
        <f aca="false">IF($T$4=0,IF($I412="","",$I412),IFERROR(IF([1]财务取数接口!$B$411=0,"",[1]财务取数接口!$B$411),""))</f>
        <v/>
      </c>
      <c r="C412" s="39" t="str">
        <f aca="false">IF($T$4=0,IF($J412="","",$J412),IFERROR(IF([1]财务取数接口!$C$411=0,"",[1]财务取数接口!$C$411),""))</f>
        <v/>
      </c>
      <c r="D412" s="40" t="str">
        <f aca="false">IF($T$4=0,IF($K412="","",$K412),IFERROR(IF([1]财务取数接口!$D$411=0,"",[1]财务取数接口!$D$411),""))</f>
        <v/>
      </c>
      <c r="E412" s="40" t="str">
        <f aca="false">IF($T$4=0,IF($L412="","",$L412),IFERROR(IF([1]财务取数接口!$E$411=0,"",[1]财务取数接口!$E$411),""))</f>
        <v/>
      </c>
      <c r="F412" s="41" t="str">
        <f aca="false">IF($T$4=0,IF($M412="","",$M412),IFERROR(IF([1]财务取数接口!$G$411=0,"",[1]财务取数接口!$G$411),""))</f>
        <v/>
      </c>
      <c r="G412" s="41" t="str">
        <f aca="false">IF($T$4=0,IF($N412="","",$N412),IFERROR(IF([1]财务取数接口!$H$411=0,"",[1]财务取数接口!$H$411),""))</f>
        <v/>
      </c>
      <c r="H412" s="39" t="str">
        <f aca="false">IF($T$4=0,IF($O412="","",$O412),IFERROR(IF([1]财务取数接口!$I$411=0,"",[1]财务取数接口!$I$411),""))</f>
        <v/>
      </c>
      <c r="I412" s="42"/>
      <c r="J412" s="43"/>
      <c r="K412" s="42"/>
      <c r="L412" s="42"/>
      <c r="M412" s="44"/>
      <c r="N412" s="44"/>
      <c r="O412" s="43"/>
      <c r="P412" s="45" t="n">
        <f aca="false">IF(AND($C412&lt;&gt;"",$C412&lt;&gt;"项目",OR(N($D412)&lt;&gt;0,N($E412)&lt;&gt;0,N($F412)&lt;&gt;0)),1,0)</f>
        <v>0</v>
      </c>
      <c r="Q412" s="45" t="n">
        <f aca="false">N(Q411)+$P412</f>
        <v>11</v>
      </c>
    </row>
    <row r="413" customFormat="false" ht="13.5" hidden="false" customHeight="false" outlineLevel="0" collapsed="false">
      <c r="A413" s="9" t="n">
        <v>412</v>
      </c>
      <c r="B413" s="40" t="str">
        <f aca="false">IF($T$4=0,IF($I413="","",$I413),IFERROR(IF([1]财务取数接口!$B$412=0,"",[1]财务取数接口!$B$412),""))</f>
        <v/>
      </c>
      <c r="C413" s="39" t="str">
        <f aca="false">IF($T$4=0,IF($J413="","",$J413),IFERROR(IF([1]财务取数接口!$C$412=0,"",[1]财务取数接口!$C$412),""))</f>
        <v/>
      </c>
      <c r="D413" s="40" t="str">
        <f aca="false">IF($T$4=0,IF($K413="","",$K413),IFERROR(IF([1]财务取数接口!$D$412=0,"",[1]财务取数接口!$D$412),""))</f>
        <v/>
      </c>
      <c r="E413" s="40" t="str">
        <f aca="false">IF($T$4=0,IF($L413="","",$L413),IFERROR(IF([1]财务取数接口!$E$412=0,"",[1]财务取数接口!$E$412),""))</f>
        <v/>
      </c>
      <c r="F413" s="41" t="str">
        <f aca="false">IF($T$4=0,IF($M413="","",$M413),IFERROR(IF([1]财务取数接口!$G$412=0,"",[1]财务取数接口!$G$412),""))</f>
        <v/>
      </c>
      <c r="G413" s="41" t="str">
        <f aca="false">IF($T$4=0,IF($N413="","",$N413),IFERROR(IF([1]财务取数接口!$H$412=0,"",[1]财务取数接口!$H$412),""))</f>
        <v/>
      </c>
      <c r="H413" s="39" t="str">
        <f aca="false">IF($T$4=0,IF($O413="","",$O413),IFERROR(IF([1]财务取数接口!$I$412=0,"",[1]财务取数接口!$I$412),""))</f>
        <v/>
      </c>
      <c r="I413" s="42"/>
      <c r="J413" s="43"/>
      <c r="K413" s="42"/>
      <c r="L413" s="42"/>
      <c r="M413" s="44"/>
      <c r="N413" s="44"/>
      <c r="O413" s="43"/>
      <c r="P413" s="45" t="n">
        <f aca="false">IF(AND($C413&lt;&gt;"",$C413&lt;&gt;"项目",OR(N($D413)&lt;&gt;0,N($E413)&lt;&gt;0,N($F413)&lt;&gt;0)),1,0)</f>
        <v>0</v>
      </c>
      <c r="Q413" s="45" t="n">
        <f aca="false">N(Q412)+$P413</f>
        <v>11</v>
      </c>
    </row>
    <row r="414" customFormat="false" ht="13.5" hidden="false" customHeight="false" outlineLevel="0" collapsed="false">
      <c r="A414" s="9" t="n">
        <v>413</v>
      </c>
      <c r="B414" s="40" t="str">
        <f aca="false">IF($T$4=0,IF($I414="","",$I414),IFERROR(IF([1]财务取数接口!$B$413=0,"",[1]财务取数接口!$B$413),""))</f>
        <v/>
      </c>
      <c r="C414" s="39" t="str">
        <f aca="false">IF($T$4=0,IF($J414="","",$J414),IFERROR(IF([1]财务取数接口!$C$413=0,"",[1]财务取数接口!$C$413),""))</f>
        <v/>
      </c>
      <c r="D414" s="40" t="str">
        <f aca="false">IF($T$4=0,IF($K414="","",$K414),IFERROR(IF([1]财务取数接口!$D$413=0,"",[1]财务取数接口!$D$413),""))</f>
        <v/>
      </c>
      <c r="E414" s="40" t="str">
        <f aca="false">IF($T$4=0,IF($L414="","",$L414),IFERROR(IF([1]财务取数接口!$E$413=0,"",[1]财务取数接口!$E$413),""))</f>
        <v/>
      </c>
      <c r="F414" s="41" t="str">
        <f aca="false">IF($T$4=0,IF($M414="","",$M414),IFERROR(IF([1]财务取数接口!$G$413=0,"",[1]财务取数接口!$G$413),""))</f>
        <v/>
      </c>
      <c r="G414" s="41" t="str">
        <f aca="false">IF($T$4=0,IF($N414="","",$N414),IFERROR(IF([1]财务取数接口!$H$413=0,"",[1]财务取数接口!$H$413),""))</f>
        <v/>
      </c>
      <c r="H414" s="39" t="str">
        <f aca="false">IF($T$4=0,IF($O414="","",$O414),IFERROR(IF([1]财务取数接口!$I$413=0,"",[1]财务取数接口!$I$413),""))</f>
        <v/>
      </c>
      <c r="I414" s="42"/>
      <c r="J414" s="43"/>
      <c r="K414" s="42"/>
      <c r="L414" s="42"/>
      <c r="M414" s="44"/>
      <c r="N414" s="44"/>
      <c r="O414" s="43"/>
      <c r="P414" s="45" t="n">
        <f aca="false">IF(AND($C414&lt;&gt;"",$C414&lt;&gt;"项目",OR(N($D414)&lt;&gt;0,N($E414)&lt;&gt;0,N($F414)&lt;&gt;0)),1,0)</f>
        <v>0</v>
      </c>
      <c r="Q414" s="45" t="n">
        <f aca="false">N(Q413)+$P414</f>
        <v>11</v>
      </c>
    </row>
    <row r="415" customFormat="false" ht="13.5" hidden="false" customHeight="false" outlineLevel="0" collapsed="false">
      <c r="A415" s="9" t="n">
        <v>414</v>
      </c>
      <c r="B415" s="40" t="str">
        <f aca="false">IF($T$4=0,IF($I415="","",$I415),IFERROR(IF([1]财务取数接口!$B$414=0,"",[1]财务取数接口!$B$414),""))</f>
        <v/>
      </c>
      <c r="C415" s="39" t="str">
        <f aca="false">IF($T$4=0,IF($J415="","",$J415),IFERROR(IF([1]财务取数接口!$C$414=0,"",[1]财务取数接口!$C$414),""))</f>
        <v/>
      </c>
      <c r="D415" s="40" t="str">
        <f aca="false">IF($T$4=0,IF($K415="","",$K415),IFERROR(IF([1]财务取数接口!$D$414=0,"",[1]财务取数接口!$D$414),""))</f>
        <v/>
      </c>
      <c r="E415" s="40" t="str">
        <f aca="false">IF($T$4=0,IF($L415="","",$L415),IFERROR(IF([1]财务取数接口!$E$414=0,"",[1]财务取数接口!$E$414),""))</f>
        <v/>
      </c>
      <c r="F415" s="41" t="str">
        <f aca="false">IF($T$4=0,IF($M415="","",$M415),IFERROR(IF([1]财务取数接口!$G$414=0,"",[1]财务取数接口!$G$414),""))</f>
        <v/>
      </c>
      <c r="G415" s="41" t="str">
        <f aca="false">IF($T$4=0,IF($N415="","",$N415),IFERROR(IF([1]财务取数接口!$H$414=0,"",[1]财务取数接口!$H$414),""))</f>
        <v/>
      </c>
      <c r="H415" s="39" t="str">
        <f aca="false">IF($T$4=0,IF($O415="","",$O415),IFERROR(IF([1]财务取数接口!$I$414=0,"",[1]财务取数接口!$I$414),""))</f>
        <v/>
      </c>
      <c r="I415" s="42"/>
      <c r="J415" s="43"/>
      <c r="K415" s="42"/>
      <c r="L415" s="42"/>
      <c r="M415" s="44"/>
      <c r="N415" s="44"/>
      <c r="O415" s="43"/>
      <c r="P415" s="45" t="n">
        <f aca="false">IF(AND($C415&lt;&gt;"",$C415&lt;&gt;"项目",OR(N($D415)&lt;&gt;0,N($E415)&lt;&gt;0,N($F415)&lt;&gt;0)),1,0)</f>
        <v>0</v>
      </c>
      <c r="Q415" s="45" t="n">
        <f aca="false">N(Q414)+$P415</f>
        <v>11</v>
      </c>
    </row>
    <row r="416" customFormat="false" ht="13.5" hidden="false" customHeight="false" outlineLevel="0" collapsed="false">
      <c r="A416" s="9" t="n">
        <v>415</v>
      </c>
      <c r="B416" s="40" t="str">
        <f aca="false">IF($T$4=0,IF($I416="","",$I416),IFERROR(IF([1]财务取数接口!$B$415=0,"",[1]财务取数接口!$B$415),""))</f>
        <v/>
      </c>
      <c r="C416" s="39" t="str">
        <f aca="false">IF($T$4=0,IF($J416="","",$J416),IFERROR(IF([1]财务取数接口!$C$415=0,"",[1]财务取数接口!$C$415),""))</f>
        <v/>
      </c>
      <c r="D416" s="40" t="str">
        <f aca="false">IF($T$4=0,IF($K416="","",$K416),IFERROR(IF([1]财务取数接口!$D$415=0,"",[1]财务取数接口!$D$415),""))</f>
        <v/>
      </c>
      <c r="E416" s="40" t="str">
        <f aca="false">IF($T$4=0,IF($L416="","",$L416),IFERROR(IF([1]财务取数接口!$E$415=0,"",[1]财务取数接口!$E$415),""))</f>
        <v/>
      </c>
      <c r="F416" s="41" t="str">
        <f aca="false">IF($T$4=0,IF($M416="","",$M416),IFERROR(IF([1]财务取数接口!$G$415=0,"",[1]财务取数接口!$G$415),""))</f>
        <v/>
      </c>
      <c r="G416" s="41" t="str">
        <f aca="false">IF($T$4=0,IF($N416="","",$N416),IFERROR(IF([1]财务取数接口!$H$415=0,"",[1]财务取数接口!$H$415),""))</f>
        <v/>
      </c>
      <c r="H416" s="39" t="str">
        <f aca="false">IF($T$4=0,IF($O416="","",$O416),IFERROR(IF([1]财务取数接口!$I$415=0,"",[1]财务取数接口!$I$415),""))</f>
        <v/>
      </c>
      <c r="I416" s="42"/>
      <c r="J416" s="43"/>
      <c r="K416" s="42"/>
      <c r="L416" s="42"/>
      <c r="M416" s="44"/>
      <c r="N416" s="44"/>
      <c r="O416" s="43"/>
      <c r="P416" s="45" t="n">
        <f aca="false">IF(AND($C416&lt;&gt;"",$C416&lt;&gt;"项目",OR(N($D416)&lt;&gt;0,N($E416)&lt;&gt;0,N($F416)&lt;&gt;0)),1,0)</f>
        <v>0</v>
      </c>
      <c r="Q416" s="45" t="n">
        <f aca="false">N(Q415)+$P416</f>
        <v>11</v>
      </c>
    </row>
    <row r="417" customFormat="false" ht="13.5" hidden="false" customHeight="false" outlineLevel="0" collapsed="false">
      <c r="A417" s="9" t="n">
        <v>416</v>
      </c>
      <c r="B417" s="40" t="str">
        <f aca="false">IF($T$4=0,IF($I417="","",$I417),IFERROR(IF([1]财务取数接口!$B$416=0,"",[1]财务取数接口!$B$416),""))</f>
        <v/>
      </c>
      <c r="C417" s="39" t="str">
        <f aca="false">IF($T$4=0,IF($J417="","",$J417),IFERROR(IF([1]财务取数接口!$C$416=0,"",[1]财务取数接口!$C$416),""))</f>
        <v/>
      </c>
      <c r="D417" s="40" t="str">
        <f aca="false">IF($T$4=0,IF($K417="","",$K417),IFERROR(IF([1]财务取数接口!$D$416=0,"",[1]财务取数接口!$D$416),""))</f>
        <v/>
      </c>
      <c r="E417" s="40" t="str">
        <f aca="false">IF($T$4=0,IF($L417="","",$L417),IFERROR(IF([1]财务取数接口!$E$416=0,"",[1]财务取数接口!$E$416),""))</f>
        <v/>
      </c>
      <c r="F417" s="41" t="str">
        <f aca="false">IF($T$4=0,IF($M417="","",$M417),IFERROR(IF([1]财务取数接口!$G$416=0,"",[1]财务取数接口!$G$416),""))</f>
        <v/>
      </c>
      <c r="G417" s="41" t="str">
        <f aca="false">IF($T$4=0,IF($N417="","",$N417),IFERROR(IF([1]财务取数接口!$H$416=0,"",[1]财务取数接口!$H$416),""))</f>
        <v/>
      </c>
      <c r="H417" s="39" t="str">
        <f aca="false">IF($T$4=0,IF($O417="","",$O417),IFERROR(IF([1]财务取数接口!$I$416=0,"",[1]财务取数接口!$I$416),""))</f>
        <v/>
      </c>
      <c r="I417" s="42"/>
      <c r="J417" s="43"/>
      <c r="K417" s="42"/>
      <c r="L417" s="42"/>
      <c r="M417" s="44"/>
      <c r="N417" s="44"/>
      <c r="O417" s="43"/>
      <c r="P417" s="45" t="n">
        <f aca="false">IF(AND($C417&lt;&gt;"",$C417&lt;&gt;"项目",OR(N($D417)&lt;&gt;0,N($E417)&lt;&gt;0,N($F417)&lt;&gt;0)),1,0)</f>
        <v>0</v>
      </c>
      <c r="Q417" s="45" t="n">
        <f aca="false">N(Q416)+$P417</f>
        <v>11</v>
      </c>
    </row>
    <row r="418" customFormat="false" ht="13.5" hidden="false" customHeight="false" outlineLevel="0" collapsed="false">
      <c r="A418" s="9" t="n">
        <v>417</v>
      </c>
      <c r="B418" s="40" t="str">
        <f aca="false">IF($T$4=0,IF($I418="","",$I418),IFERROR(IF([1]财务取数接口!$B$417=0,"",[1]财务取数接口!$B$417),""))</f>
        <v/>
      </c>
      <c r="C418" s="39" t="str">
        <f aca="false">IF($T$4=0,IF($J418="","",$J418),IFERROR(IF([1]财务取数接口!$C$417=0,"",[1]财务取数接口!$C$417),""))</f>
        <v/>
      </c>
      <c r="D418" s="40" t="str">
        <f aca="false">IF($T$4=0,IF($K418="","",$K418),IFERROR(IF([1]财务取数接口!$D$417=0,"",[1]财务取数接口!$D$417),""))</f>
        <v/>
      </c>
      <c r="E418" s="40" t="str">
        <f aca="false">IF($T$4=0,IF($L418="","",$L418),IFERROR(IF([1]财务取数接口!$E$417=0,"",[1]财务取数接口!$E$417),""))</f>
        <v/>
      </c>
      <c r="F418" s="41" t="str">
        <f aca="false">IF($T$4=0,IF($M418="","",$M418),IFERROR(IF([1]财务取数接口!$G$417=0,"",[1]财务取数接口!$G$417),""))</f>
        <v/>
      </c>
      <c r="G418" s="41" t="str">
        <f aca="false">IF($T$4=0,IF($N418="","",$N418),IFERROR(IF([1]财务取数接口!$H$417=0,"",[1]财务取数接口!$H$417),""))</f>
        <v/>
      </c>
      <c r="H418" s="39" t="str">
        <f aca="false">IF($T$4=0,IF($O418="","",$O418),IFERROR(IF([1]财务取数接口!$I$417=0,"",[1]财务取数接口!$I$417),""))</f>
        <v/>
      </c>
      <c r="I418" s="42"/>
      <c r="J418" s="43"/>
      <c r="K418" s="42"/>
      <c r="L418" s="42"/>
      <c r="M418" s="44"/>
      <c r="N418" s="44"/>
      <c r="O418" s="43"/>
      <c r="P418" s="45" t="n">
        <f aca="false">IF(AND($C418&lt;&gt;"",$C418&lt;&gt;"项目",OR(N($D418)&lt;&gt;0,N($E418)&lt;&gt;0,N($F418)&lt;&gt;0)),1,0)</f>
        <v>0</v>
      </c>
      <c r="Q418" s="45" t="n">
        <f aca="false">N(Q417)+$P418</f>
        <v>11</v>
      </c>
    </row>
    <row r="419" customFormat="false" ht="13.5" hidden="false" customHeight="false" outlineLevel="0" collapsed="false">
      <c r="A419" s="9" t="n">
        <v>418</v>
      </c>
      <c r="B419" s="40" t="str">
        <f aca="false">IF($T$4=0,IF($I419="","",$I419),IFERROR(IF([1]财务取数接口!$B$418=0,"",[1]财务取数接口!$B$418),""))</f>
        <v/>
      </c>
      <c r="C419" s="39" t="str">
        <f aca="false">IF($T$4=0,IF($J419="","",$J419),IFERROR(IF([1]财务取数接口!$C$418=0,"",[1]财务取数接口!$C$418),""))</f>
        <v/>
      </c>
      <c r="D419" s="40" t="str">
        <f aca="false">IF($T$4=0,IF($K419="","",$K419),IFERROR(IF([1]财务取数接口!$D$418=0,"",[1]财务取数接口!$D$418),""))</f>
        <v/>
      </c>
      <c r="E419" s="40" t="str">
        <f aca="false">IF($T$4=0,IF($L419="","",$L419),IFERROR(IF([1]财务取数接口!$E$418=0,"",[1]财务取数接口!$E$418),""))</f>
        <v/>
      </c>
      <c r="F419" s="41" t="str">
        <f aca="false">IF($T$4=0,IF($M419="","",$M419),IFERROR(IF([1]财务取数接口!$G$418=0,"",[1]财务取数接口!$G$418),""))</f>
        <v/>
      </c>
      <c r="G419" s="41" t="str">
        <f aca="false">IF($T$4=0,IF($N419="","",$N419),IFERROR(IF([1]财务取数接口!$H$418=0,"",[1]财务取数接口!$H$418),""))</f>
        <v/>
      </c>
      <c r="H419" s="39" t="str">
        <f aca="false">IF($T$4=0,IF($O419="","",$O419),IFERROR(IF([1]财务取数接口!$I$418=0,"",[1]财务取数接口!$I$418),""))</f>
        <v/>
      </c>
      <c r="I419" s="42"/>
      <c r="J419" s="43"/>
      <c r="K419" s="42"/>
      <c r="L419" s="42"/>
      <c r="M419" s="44"/>
      <c r="N419" s="44"/>
      <c r="O419" s="43"/>
      <c r="P419" s="45" t="n">
        <f aca="false">IF(AND($C419&lt;&gt;"",$C419&lt;&gt;"项目",OR(N($D419)&lt;&gt;0,N($E419)&lt;&gt;0,N($F419)&lt;&gt;0)),1,0)</f>
        <v>0</v>
      </c>
      <c r="Q419" s="45" t="n">
        <f aca="false">N(Q418)+$P419</f>
        <v>11</v>
      </c>
    </row>
    <row r="420" customFormat="false" ht="13.5" hidden="false" customHeight="false" outlineLevel="0" collapsed="false">
      <c r="A420" s="9" t="n">
        <v>419</v>
      </c>
      <c r="B420" s="40" t="str">
        <f aca="false">IF($T$4=0,IF($I420="","",$I420),IFERROR(IF([1]财务取数接口!$B$419=0,"",[1]财务取数接口!$B$419),""))</f>
        <v/>
      </c>
      <c r="C420" s="39" t="str">
        <f aca="false">IF($T$4=0,IF($J420="","",$J420),IFERROR(IF([1]财务取数接口!$C$419=0,"",[1]财务取数接口!$C$419),""))</f>
        <v/>
      </c>
      <c r="D420" s="40" t="str">
        <f aca="false">IF($T$4=0,IF($K420="","",$K420),IFERROR(IF([1]财务取数接口!$D$419=0,"",[1]财务取数接口!$D$419),""))</f>
        <v/>
      </c>
      <c r="E420" s="40" t="str">
        <f aca="false">IF($T$4=0,IF($L420="","",$L420),IFERROR(IF([1]财务取数接口!$E$419=0,"",[1]财务取数接口!$E$419),""))</f>
        <v/>
      </c>
      <c r="F420" s="41" t="str">
        <f aca="false">IF($T$4=0,IF($M420="","",$M420),IFERROR(IF([1]财务取数接口!$G$419=0,"",[1]财务取数接口!$G$419),""))</f>
        <v/>
      </c>
      <c r="G420" s="41" t="str">
        <f aca="false">IF($T$4=0,IF($N420="","",$N420),IFERROR(IF([1]财务取数接口!$H$419=0,"",[1]财务取数接口!$H$419),""))</f>
        <v/>
      </c>
      <c r="H420" s="39" t="str">
        <f aca="false">IF($T$4=0,IF($O420="","",$O420),IFERROR(IF([1]财务取数接口!$I$419=0,"",[1]财务取数接口!$I$419),""))</f>
        <v/>
      </c>
      <c r="I420" s="42"/>
      <c r="J420" s="43"/>
      <c r="K420" s="42"/>
      <c r="L420" s="42"/>
      <c r="M420" s="44"/>
      <c r="N420" s="44"/>
      <c r="O420" s="43"/>
      <c r="P420" s="45" t="n">
        <f aca="false">IF(AND($C420&lt;&gt;"",$C420&lt;&gt;"项目",OR(N($D420)&lt;&gt;0,N($E420)&lt;&gt;0,N($F420)&lt;&gt;0)),1,0)</f>
        <v>0</v>
      </c>
      <c r="Q420" s="45" t="n">
        <f aca="false">N(Q419)+$P420</f>
        <v>11</v>
      </c>
    </row>
    <row r="421" customFormat="false" ht="13.5" hidden="false" customHeight="false" outlineLevel="0" collapsed="false">
      <c r="A421" s="9" t="n">
        <v>420</v>
      </c>
      <c r="B421" s="40" t="str">
        <f aca="false">IF($T$4=0,IF($I421="","",$I421),IFERROR(IF([1]财务取数接口!$B$420=0,"",[1]财务取数接口!$B$420),""))</f>
        <v/>
      </c>
      <c r="C421" s="39" t="str">
        <f aca="false">IF($T$4=0,IF($J421="","",$J421),IFERROR(IF([1]财务取数接口!$C$420=0,"",[1]财务取数接口!$C$420),""))</f>
        <v/>
      </c>
      <c r="D421" s="40" t="str">
        <f aca="false">IF($T$4=0,IF($K421="","",$K421),IFERROR(IF([1]财务取数接口!$D$420=0,"",[1]财务取数接口!$D$420),""))</f>
        <v/>
      </c>
      <c r="E421" s="40" t="str">
        <f aca="false">IF($T$4=0,IF($L421="","",$L421),IFERROR(IF([1]财务取数接口!$E$420=0,"",[1]财务取数接口!$E$420),""))</f>
        <v/>
      </c>
      <c r="F421" s="41" t="str">
        <f aca="false">IF($T$4=0,IF($M421="","",$M421),IFERROR(IF([1]财务取数接口!$G$420=0,"",[1]财务取数接口!$G$420),""))</f>
        <v/>
      </c>
      <c r="G421" s="41" t="str">
        <f aca="false">IF($T$4=0,IF($N421="","",$N421),IFERROR(IF([1]财务取数接口!$H$420=0,"",[1]财务取数接口!$H$420),""))</f>
        <v/>
      </c>
      <c r="H421" s="39" t="str">
        <f aca="false">IF($T$4=0,IF($O421="","",$O421),IFERROR(IF([1]财务取数接口!$I$420=0,"",[1]财务取数接口!$I$420),""))</f>
        <v/>
      </c>
      <c r="I421" s="42"/>
      <c r="J421" s="43"/>
      <c r="K421" s="42"/>
      <c r="L421" s="42"/>
      <c r="M421" s="44"/>
      <c r="N421" s="44"/>
      <c r="O421" s="43"/>
      <c r="P421" s="45" t="n">
        <f aca="false">IF(AND($C421&lt;&gt;"",$C421&lt;&gt;"项目",OR(N($D421)&lt;&gt;0,N($E421)&lt;&gt;0,N($F421)&lt;&gt;0)),1,0)</f>
        <v>0</v>
      </c>
      <c r="Q421" s="45" t="n">
        <f aca="false">N(Q420)+$P421</f>
        <v>11</v>
      </c>
    </row>
    <row r="422" customFormat="false" ht="13.5" hidden="false" customHeight="false" outlineLevel="0" collapsed="false">
      <c r="A422" s="9" t="n">
        <v>421</v>
      </c>
      <c r="B422" s="40" t="str">
        <f aca="false">IF($T$4=0,IF($I422="","",$I422),IFERROR(IF([1]财务取数接口!$B$421=0,"",[1]财务取数接口!$B$421),""))</f>
        <v/>
      </c>
      <c r="C422" s="39" t="str">
        <f aca="false">IF($T$4=0,IF($J422="","",$J422),IFERROR(IF([1]财务取数接口!$C$421=0,"",[1]财务取数接口!$C$421),""))</f>
        <v/>
      </c>
      <c r="D422" s="40" t="str">
        <f aca="false">IF($T$4=0,IF($K422="","",$K422),IFERROR(IF([1]财务取数接口!$D$421=0,"",[1]财务取数接口!$D$421),""))</f>
        <v/>
      </c>
      <c r="E422" s="40" t="str">
        <f aca="false">IF($T$4=0,IF($L422="","",$L422),IFERROR(IF([1]财务取数接口!$E$421=0,"",[1]财务取数接口!$E$421),""))</f>
        <v/>
      </c>
      <c r="F422" s="41" t="str">
        <f aca="false">IF($T$4=0,IF($M422="","",$M422),IFERROR(IF([1]财务取数接口!$G$421=0,"",[1]财务取数接口!$G$421),""))</f>
        <v/>
      </c>
      <c r="G422" s="41" t="str">
        <f aca="false">IF($T$4=0,IF($N422="","",$N422),IFERROR(IF([1]财务取数接口!$H$421=0,"",[1]财务取数接口!$H$421),""))</f>
        <v/>
      </c>
      <c r="H422" s="39" t="str">
        <f aca="false">IF($T$4=0,IF($O422="","",$O422),IFERROR(IF([1]财务取数接口!$I$421=0,"",[1]财务取数接口!$I$421),""))</f>
        <v/>
      </c>
      <c r="I422" s="42"/>
      <c r="J422" s="43"/>
      <c r="K422" s="42"/>
      <c r="L422" s="42"/>
      <c r="M422" s="44"/>
      <c r="N422" s="44"/>
      <c r="O422" s="43"/>
      <c r="P422" s="45" t="n">
        <f aca="false">IF(AND($C422&lt;&gt;"",$C422&lt;&gt;"项目",OR(N($D422)&lt;&gt;0,N($E422)&lt;&gt;0,N($F422)&lt;&gt;0)),1,0)</f>
        <v>0</v>
      </c>
      <c r="Q422" s="45" t="n">
        <f aca="false">N(Q421)+$P422</f>
        <v>11</v>
      </c>
    </row>
    <row r="423" customFormat="false" ht="13.5" hidden="false" customHeight="false" outlineLevel="0" collapsed="false">
      <c r="A423" s="9" t="n">
        <v>422</v>
      </c>
      <c r="B423" s="40" t="str">
        <f aca="false">IF($T$4=0,IF($I423="","",$I423),IFERROR(IF([1]财务取数接口!$B$422=0,"",[1]财务取数接口!$B$422),""))</f>
        <v/>
      </c>
      <c r="C423" s="39" t="str">
        <f aca="false">IF($T$4=0,IF($J423="","",$J423),IFERROR(IF([1]财务取数接口!$C$422=0,"",[1]财务取数接口!$C$422),""))</f>
        <v/>
      </c>
      <c r="D423" s="40" t="str">
        <f aca="false">IF($T$4=0,IF($K423="","",$K423),IFERROR(IF([1]财务取数接口!$D$422=0,"",[1]财务取数接口!$D$422),""))</f>
        <v/>
      </c>
      <c r="E423" s="40" t="str">
        <f aca="false">IF($T$4=0,IF($L423="","",$L423),IFERROR(IF([1]财务取数接口!$E$422=0,"",[1]财务取数接口!$E$422),""))</f>
        <v/>
      </c>
      <c r="F423" s="41" t="str">
        <f aca="false">IF($T$4=0,IF($M423="","",$M423),IFERROR(IF([1]财务取数接口!$G$422=0,"",[1]财务取数接口!$G$422),""))</f>
        <v/>
      </c>
      <c r="G423" s="41" t="str">
        <f aca="false">IF($T$4=0,IF($N423="","",$N423),IFERROR(IF([1]财务取数接口!$H$422=0,"",[1]财务取数接口!$H$422),""))</f>
        <v/>
      </c>
      <c r="H423" s="39" t="str">
        <f aca="false">IF($T$4=0,IF($O423="","",$O423),IFERROR(IF([1]财务取数接口!$I$422=0,"",[1]财务取数接口!$I$422),""))</f>
        <v/>
      </c>
      <c r="I423" s="42"/>
      <c r="J423" s="43"/>
      <c r="K423" s="42"/>
      <c r="L423" s="42"/>
      <c r="M423" s="44"/>
      <c r="N423" s="44"/>
      <c r="O423" s="43"/>
      <c r="P423" s="45" t="n">
        <f aca="false">IF(AND($C423&lt;&gt;"",$C423&lt;&gt;"项目",OR(N($D423)&lt;&gt;0,N($E423)&lt;&gt;0,N($F423)&lt;&gt;0)),1,0)</f>
        <v>0</v>
      </c>
      <c r="Q423" s="45" t="n">
        <f aca="false">N(Q422)+$P423</f>
        <v>11</v>
      </c>
    </row>
    <row r="424" customFormat="false" ht="13.5" hidden="false" customHeight="false" outlineLevel="0" collapsed="false">
      <c r="A424" s="9" t="n">
        <v>423</v>
      </c>
      <c r="B424" s="40" t="str">
        <f aca="false">IF($T$4=0,IF($I424="","",$I424),IFERROR(IF([1]财务取数接口!$B$423=0,"",[1]财务取数接口!$B$423),""))</f>
        <v/>
      </c>
      <c r="C424" s="39" t="str">
        <f aca="false">IF($T$4=0,IF($J424="","",$J424),IFERROR(IF([1]财务取数接口!$C$423=0,"",[1]财务取数接口!$C$423),""))</f>
        <v/>
      </c>
      <c r="D424" s="40" t="str">
        <f aca="false">IF($T$4=0,IF($K424="","",$K424),IFERROR(IF([1]财务取数接口!$D$423=0,"",[1]财务取数接口!$D$423),""))</f>
        <v/>
      </c>
      <c r="E424" s="40" t="str">
        <f aca="false">IF($T$4=0,IF($L424="","",$L424),IFERROR(IF([1]财务取数接口!$E$423=0,"",[1]财务取数接口!$E$423),""))</f>
        <v/>
      </c>
      <c r="F424" s="41" t="str">
        <f aca="false">IF($T$4=0,IF($M424="","",$M424),IFERROR(IF([1]财务取数接口!$G$423=0,"",[1]财务取数接口!$G$423),""))</f>
        <v/>
      </c>
      <c r="G424" s="41" t="str">
        <f aca="false">IF($T$4=0,IF($N424="","",$N424),IFERROR(IF([1]财务取数接口!$H$423=0,"",[1]财务取数接口!$H$423),""))</f>
        <v/>
      </c>
      <c r="H424" s="39" t="str">
        <f aca="false">IF($T$4=0,IF($O424="","",$O424),IFERROR(IF([1]财务取数接口!$I$423=0,"",[1]财务取数接口!$I$423),""))</f>
        <v/>
      </c>
      <c r="I424" s="42"/>
      <c r="J424" s="43"/>
      <c r="K424" s="42"/>
      <c r="L424" s="42"/>
      <c r="M424" s="44"/>
      <c r="N424" s="44"/>
      <c r="O424" s="43"/>
      <c r="P424" s="45" t="n">
        <f aca="false">IF(AND($C424&lt;&gt;"",$C424&lt;&gt;"项目",OR(N($D424)&lt;&gt;0,N($E424)&lt;&gt;0,N($F424)&lt;&gt;0)),1,0)</f>
        <v>0</v>
      </c>
      <c r="Q424" s="45" t="n">
        <f aca="false">N(Q423)+$P424</f>
        <v>11</v>
      </c>
    </row>
    <row r="425" customFormat="false" ht="13.5" hidden="false" customHeight="false" outlineLevel="0" collapsed="false">
      <c r="A425" s="9" t="n">
        <v>424</v>
      </c>
      <c r="B425" s="40" t="str">
        <f aca="false">IF($T$4=0,IF($I425="","",$I425),IFERROR(IF([1]财务取数接口!$B$424=0,"",[1]财务取数接口!$B$424),""))</f>
        <v/>
      </c>
      <c r="C425" s="39" t="str">
        <f aca="false">IF($T$4=0,IF($J425="","",$J425),IFERROR(IF([1]财务取数接口!$C$424=0,"",[1]财务取数接口!$C$424),""))</f>
        <v/>
      </c>
      <c r="D425" s="40" t="str">
        <f aca="false">IF($T$4=0,IF($K425="","",$K425),IFERROR(IF([1]财务取数接口!$D$424=0,"",[1]财务取数接口!$D$424),""))</f>
        <v/>
      </c>
      <c r="E425" s="40" t="str">
        <f aca="false">IF($T$4=0,IF($L425="","",$L425),IFERROR(IF([1]财务取数接口!$E$424=0,"",[1]财务取数接口!$E$424),""))</f>
        <v/>
      </c>
      <c r="F425" s="41" t="str">
        <f aca="false">IF($T$4=0,IF($M425="","",$M425),IFERROR(IF([1]财务取数接口!$G$424=0,"",[1]财务取数接口!$G$424),""))</f>
        <v/>
      </c>
      <c r="G425" s="41" t="str">
        <f aca="false">IF($T$4=0,IF($N425="","",$N425),IFERROR(IF([1]财务取数接口!$H$424=0,"",[1]财务取数接口!$H$424),""))</f>
        <v/>
      </c>
      <c r="H425" s="39" t="str">
        <f aca="false">IF($T$4=0,IF($O425="","",$O425),IFERROR(IF([1]财务取数接口!$I$424=0,"",[1]财务取数接口!$I$424),""))</f>
        <v/>
      </c>
      <c r="I425" s="42"/>
      <c r="J425" s="43"/>
      <c r="K425" s="42"/>
      <c r="L425" s="42"/>
      <c r="M425" s="44"/>
      <c r="N425" s="44"/>
      <c r="O425" s="43"/>
      <c r="P425" s="45" t="n">
        <f aca="false">IF(AND($C425&lt;&gt;"",$C425&lt;&gt;"项目",OR(N($D425)&lt;&gt;0,N($E425)&lt;&gt;0,N($F425)&lt;&gt;0)),1,0)</f>
        <v>0</v>
      </c>
      <c r="Q425" s="45" t="n">
        <f aca="false">N(Q424)+$P425</f>
        <v>11</v>
      </c>
    </row>
    <row r="426" customFormat="false" ht="13.5" hidden="false" customHeight="false" outlineLevel="0" collapsed="false">
      <c r="A426" s="9" t="n">
        <v>425</v>
      </c>
      <c r="B426" s="40" t="str">
        <f aca="false">IF($T$4=0,IF($I426="","",$I426),IFERROR(IF([1]财务取数接口!$B$425=0,"",[1]财务取数接口!$B$425),""))</f>
        <v/>
      </c>
      <c r="C426" s="39" t="str">
        <f aca="false">IF($T$4=0,IF($J426="","",$J426),IFERROR(IF([1]财务取数接口!$C$425=0,"",[1]财务取数接口!$C$425),""))</f>
        <v/>
      </c>
      <c r="D426" s="40" t="str">
        <f aca="false">IF($T$4=0,IF($K426="","",$K426),IFERROR(IF([1]财务取数接口!$D$425=0,"",[1]财务取数接口!$D$425),""))</f>
        <v/>
      </c>
      <c r="E426" s="40" t="str">
        <f aca="false">IF($T$4=0,IF($L426="","",$L426),IFERROR(IF([1]财务取数接口!$E$425=0,"",[1]财务取数接口!$E$425),""))</f>
        <v/>
      </c>
      <c r="F426" s="41" t="str">
        <f aca="false">IF($T$4=0,IF($M426="","",$M426),IFERROR(IF([1]财务取数接口!$G$425=0,"",[1]财务取数接口!$G$425),""))</f>
        <v/>
      </c>
      <c r="G426" s="41" t="str">
        <f aca="false">IF($T$4=0,IF($N426="","",$N426),IFERROR(IF([1]财务取数接口!$H$425=0,"",[1]财务取数接口!$H$425),""))</f>
        <v/>
      </c>
      <c r="H426" s="39" t="str">
        <f aca="false">IF($T$4=0,IF($O426="","",$O426),IFERROR(IF([1]财务取数接口!$I$425=0,"",[1]财务取数接口!$I$425),""))</f>
        <v/>
      </c>
      <c r="I426" s="42"/>
      <c r="J426" s="43"/>
      <c r="K426" s="42"/>
      <c r="L426" s="42"/>
      <c r="M426" s="44"/>
      <c r="N426" s="44"/>
      <c r="O426" s="43"/>
      <c r="P426" s="45" t="n">
        <f aca="false">IF(AND($C426&lt;&gt;"",$C426&lt;&gt;"项目",OR(N($D426)&lt;&gt;0,N($E426)&lt;&gt;0,N($F426)&lt;&gt;0)),1,0)</f>
        <v>0</v>
      </c>
      <c r="Q426" s="45" t="n">
        <f aca="false">N(Q425)+$P426</f>
        <v>11</v>
      </c>
    </row>
    <row r="427" customFormat="false" ht="13.5" hidden="false" customHeight="false" outlineLevel="0" collapsed="false">
      <c r="A427" s="9" t="n">
        <v>426</v>
      </c>
      <c r="B427" s="40" t="str">
        <f aca="false">IF($T$4=0,IF($I427="","",$I427),IFERROR(IF([1]财务取数接口!$B$426=0,"",[1]财务取数接口!$B$426),""))</f>
        <v/>
      </c>
      <c r="C427" s="39" t="str">
        <f aca="false">IF($T$4=0,IF($J427="","",$J427),IFERROR(IF([1]财务取数接口!$C$426=0,"",[1]财务取数接口!$C$426),""))</f>
        <v/>
      </c>
      <c r="D427" s="40" t="str">
        <f aca="false">IF($T$4=0,IF($K427="","",$K427),IFERROR(IF([1]财务取数接口!$D$426=0,"",[1]财务取数接口!$D$426),""))</f>
        <v/>
      </c>
      <c r="E427" s="40" t="str">
        <f aca="false">IF($T$4=0,IF($L427="","",$L427),IFERROR(IF([1]财务取数接口!$E$426=0,"",[1]财务取数接口!$E$426),""))</f>
        <v/>
      </c>
      <c r="F427" s="41" t="str">
        <f aca="false">IF($T$4=0,IF($M427="","",$M427),IFERROR(IF([1]财务取数接口!$G$426=0,"",[1]财务取数接口!$G$426),""))</f>
        <v/>
      </c>
      <c r="G427" s="41" t="str">
        <f aca="false">IF($T$4=0,IF($N427="","",$N427),IFERROR(IF([1]财务取数接口!$H$426=0,"",[1]财务取数接口!$H$426),""))</f>
        <v/>
      </c>
      <c r="H427" s="39" t="str">
        <f aca="false">IF($T$4=0,IF($O427="","",$O427),IFERROR(IF([1]财务取数接口!$I$426=0,"",[1]财务取数接口!$I$426),""))</f>
        <v/>
      </c>
      <c r="I427" s="42"/>
      <c r="J427" s="43"/>
      <c r="K427" s="42"/>
      <c r="L427" s="42"/>
      <c r="M427" s="44"/>
      <c r="N427" s="44"/>
      <c r="O427" s="43"/>
      <c r="P427" s="45" t="n">
        <f aca="false">IF(AND($C427&lt;&gt;"",$C427&lt;&gt;"项目",OR(N($D427)&lt;&gt;0,N($E427)&lt;&gt;0,N($F427)&lt;&gt;0)),1,0)</f>
        <v>0</v>
      </c>
      <c r="Q427" s="45" t="n">
        <f aca="false">N(Q426)+$P427</f>
        <v>11</v>
      </c>
    </row>
    <row r="428" customFormat="false" ht="13.5" hidden="false" customHeight="false" outlineLevel="0" collapsed="false">
      <c r="A428" s="9" t="n">
        <v>427</v>
      </c>
      <c r="B428" s="40" t="str">
        <f aca="false">IF($T$4=0,IF($I428="","",$I428),IFERROR(IF([1]财务取数接口!$B$427=0,"",[1]财务取数接口!$B$427),""))</f>
        <v/>
      </c>
      <c r="C428" s="39" t="str">
        <f aca="false">IF($T$4=0,IF($J428="","",$J428),IFERROR(IF([1]财务取数接口!$C$427=0,"",[1]财务取数接口!$C$427),""))</f>
        <v/>
      </c>
      <c r="D428" s="40" t="str">
        <f aca="false">IF($T$4=0,IF($K428="","",$K428),IFERROR(IF([1]财务取数接口!$D$427=0,"",[1]财务取数接口!$D$427),""))</f>
        <v/>
      </c>
      <c r="E428" s="40" t="str">
        <f aca="false">IF($T$4=0,IF($L428="","",$L428),IFERROR(IF([1]财务取数接口!$E$427=0,"",[1]财务取数接口!$E$427),""))</f>
        <v/>
      </c>
      <c r="F428" s="41" t="str">
        <f aca="false">IF($T$4=0,IF($M428="","",$M428),IFERROR(IF([1]财务取数接口!$G$427=0,"",[1]财务取数接口!$G$427),""))</f>
        <v/>
      </c>
      <c r="G428" s="41" t="str">
        <f aca="false">IF($T$4=0,IF($N428="","",$N428),IFERROR(IF([1]财务取数接口!$H$427=0,"",[1]财务取数接口!$H$427),""))</f>
        <v/>
      </c>
      <c r="H428" s="39" t="str">
        <f aca="false">IF($T$4=0,IF($O428="","",$O428),IFERROR(IF([1]财务取数接口!$I$427=0,"",[1]财务取数接口!$I$427),""))</f>
        <v/>
      </c>
      <c r="I428" s="42"/>
      <c r="J428" s="43"/>
      <c r="K428" s="42"/>
      <c r="L428" s="42"/>
      <c r="M428" s="44"/>
      <c r="N428" s="44"/>
      <c r="O428" s="43"/>
      <c r="P428" s="45" t="n">
        <f aca="false">IF(AND($C428&lt;&gt;"",$C428&lt;&gt;"项目",OR(N($D428)&lt;&gt;0,N($E428)&lt;&gt;0,N($F428)&lt;&gt;0)),1,0)</f>
        <v>0</v>
      </c>
      <c r="Q428" s="45" t="n">
        <f aca="false">N(Q427)+$P428</f>
        <v>11</v>
      </c>
    </row>
    <row r="429" customFormat="false" ht="13.5" hidden="false" customHeight="false" outlineLevel="0" collapsed="false">
      <c r="A429" s="9" t="n">
        <v>428</v>
      </c>
      <c r="B429" s="40" t="str">
        <f aca="false">IF($T$4=0,IF($I429="","",$I429),IFERROR(IF([1]财务取数接口!$B$428=0,"",[1]财务取数接口!$B$428),""))</f>
        <v/>
      </c>
      <c r="C429" s="39" t="str">
        <f aca="false">IF($T$4=0,IF($J429="","",$J429),IFERROR(IF([1]财务取数接口!$C$428=0,"",[1]财务取数接口!$C$428),""))</f>
        <v/>
      </c>
      <c r="D429" s="40" t="str">
        <f aca="false">IF($T$4=0,IF($K429="","",$K429),IFERROR(IF([1]财务取数接口!$D$428=0,"",[1]财务取数接口!$D$428),""))</f>
        <v/>
      </c>
      <c r="E429" s="40" t="str">
        <f aca="false">IF($T$4=0,IF($L429="","",$L429),IFERROR(IF([1]财务取数接口!$E$428=0,"",[1]财务取数接口!$E$428),""))</f>
        <v/>
      </c>
      <c r="F429" s="41" t="str">
        <f aca="false">IF($T$4=0,IF($M429="","",$M429),IFERROR(IF([1]财务取数接口!$G$428=0,"",[1]财务取数接口!$G$428),""))</f>
        <v/>
      </c>
      <c r="G429" s="41" t="str">
        <f aca="false">IF($T$4=0,IF($N429="","",$N429),IFERROR(IF([1]财务取数接口!$H$428=0,"",[1]财务取数接口!$H$428),""))</f>
        <v/>
      </c>
      <c r="H429" s="39" t="str">
        <f aca="false">IF($T$4=0,IF($O429="","",$O429),IFERROR(IF([1]财务取数接口!$I$428=0,"",[1]财务取数接口!$I$428),""))</f>
        <v/>
      </c>
      <c r="I429" s="42"/>
      <c r="J429" s="43"/>
      <c r="K429" s="42"/>
      <c r="L429" s="42"/>
      <c r="M429" s="44"/>
      <c r="N429" s="44"/>
      <c r="O429" s="43"/>
      <c r="P429" s="45" t="n">
        <f aca="false">IF(AND($C429&lt;&gt;"",$C429&lt;&gt;"项目",OR(N($D429)&lt;&gt;0,N($E429)&lt;&gt;0,N($F429)&lt;&gt;0)),1,0)</f>
        <v>0</v>
      </c>
      <c r="Q429" s="45" t="n">
        <f aca="false">N(Q428)+$P429</f>
        <v>11</v>
      </c>
    </row>
    <row r="430" customFormat="false" ht="13.5" hidden="false" customHeight="false" outlineLevel="0" collapsed="false">
      <c r="A430" s="9" t="n">
        <v>429</v>
      </c>
      <c r="B430" s="40" t="str">
        <f aca="false">IF($T$4=0,IF($I430="","",$I430),IFERROR(IF([1]财务取数接口!$B$429=0,"",[1]财务取数接口!$B$429),""))</f>
        <v/>
      </c>
      <c r="C430" s="39" t="str">
        <f aca="false">IF($T$4=0,IF($J430="","",$J430),IFERROR(IF([1]财务取数接口!$C$429=0,"",[1]财务取数接口!$C$429),""))</f>
        <v/>
      </c>
      <c r="D430" s="40" t="str">
        <f aca="false">IF($T$4=0,IF($K430="","",$K430),IFERROR(IF([1]财务取数接口!$D$429=0,"",[1]财务取数接口!$D$429),""))</f>
        <v/>
      </c>
      <c r="E430" s="40" t="str">
        <f aca="false">IF($T$4=0,IF($L430="","",$L430),IFERROR(IF([1]财务取数接口!$E$429=0,"",[1]财务取数接口!$E$429),""))</f>
        <v/>
      </c>
      <c r="F430" s="41" t="str">
        <f aca="false">IF($T$4=0,IF($M430="","",$M430),IFERROR(IF([1]财务取数接口!$G$429=0,"",[1]财务取数接口!$G$429),""))</f>
        <v/>
      </c>
      <c r="G430" s="41" t="str">
        <f aca="false">IF($T$4=0,IF($N430="","",$N430),IFERROR(IF([1]财务取数接口!$H$429=0,"",[1]财务取数接口!$H$429),""))</f>
        <v/>
      </c>
      <c r="H430" s="39" t="str">
        <f aca="false">IF($T$4=0,IF($O430="","",$O430),IFERROR(IF([1]财务取数接口!$I$429=0,"",[1]财务取数接口!$I$429),""))</f>
        <v/>
      </c>
      <c r="I430" s="42"/>
      <c r="J430" s="43"/>
      <c r="K430" s="42"/>
      <c r="L430" s="42"/>
      <c r="M430" s="44"/>
      <c r="N430" s="44"/>
      <c r="O430" s="43"/>
      <c r="P430" s="45" t="n">
        <f aca="false">IF(AND($C430&lt;&gt;"",$C430&lt;&gt;"项目",OR(N($D430)&lt;&gt;0,N($E430)&lt;&gt;0,N($F430)&lt;&gt;0)),1,0)</f>
        <v>0</v>
      </c>
      <c r="Q430" s="45" t="n">
        <f aca="false">N(Q429)+$P430</f>
        <v>11</v>
      </c>
    </row>
    <row r="431" customFormat="false" ht="13.5" hidden="false" customHeight="false" outlineLevel="0" collapsed="false">
      <c r="A431" s="9" t="n">
        <v>430</v>
      </c>
      <c r="B431" s="40" t="str">
        <f aca="false">IF($T$4=0,IF($I431="","",$I431),IFERROR(IF([1]财务取数接口!$B$430=0,"",[1]财务取数接口!$B$430),""))</f>
        <v/>
      </c>
      <c r="C431" s="39" t="str">
        <f aca="false">IF($T$4=0,IF($J431="","",$J431),IFERROR(IF([1]财务取数接口!$C$430=0,"",[1]财务取数接口!$C$430),""))</f>
        <v/>
      </c>
      <c r="D431" s="40" t="str">
        <f aca="false">IF($T$4=0,IF($K431="","",$K431),IFERROR(IF([1]财务取数接口!$D$430=0,"",[1]财务取数接口!$D$430),""))</f>
        <v/>
      </c>
      <c r="E431" s="40" t="str">
        <f aca="false">IF($T$4=0,IF($L431="","",$L431),IFERROR(IF([1]财务取数接口!$E$430=0,"",[1]财务取数接口!$E$430),""))</f>
        <v/>
      </c>
      <c r="F431" s="41" t="str">
        <f aca="false">IF($T$4=0,IF($M431="","",$M431),IFERROR(IF([1]财务取数接口!$G$430=0,"",[1]财务取数接口!$G$430),""))</f>
        <v/>
      </c>
      <c r="G431" s="41" t="str">
        <f aca="false">IF($T$4=0,IF($N431="","",$N431),IFERROR(IF([1]财务取数接口!$H$430=0,"",[1]财务取数接口!$H$430),""))</f>
        <v/>
      </c>
      <c r="H431" s="39" t="str">
        <f aca="false">IF($T$4=0,IF($O431="","",$O431),IFERROR(IF([1]财务取数接口!$I$430=0,"",[1]财务取数接口!$I$430),""))</f>
        <v/>
      </c>
      <c r="I431" s="42"/>
      <c r="J431" s="43"/>
      <c r="K431" s="42"/>
      <c r="L431" s="42"/>
      <c r="M431" s="44"/>
      <c r="N431" s="44"/>
      <c r="O431" s="43"/>
      <c r="P431" s="45" t="n">
        <f aca="false">IF(AND($C431&lt;&gt;"",$C431&lt;&gt;"项目",OR(N($D431)&lt;&gt;0,N($E431)&lt;&gt;0,N($F431)&lt;&gt;0)),1,0)</f>
        <v>0</v>
      </c>
      <c r="Q431" s="45" t="n">
        <f aca="false">N(Q430)+$P431</f>
        <v>11</v>
      </c>
    </row>
    <row r="432" customFormat="false" ht="13.5" hidden="false" customHeight="false" outlineLevel="0" collapsed="false">
      <c r="A432" s="9" t="n">
        <v>431</v>
      </c>
      <c r="B432" s="40" t="str">
        <f aca="false">IF($T$4=0,IF($I432="","",$I432),IFERROR(IF([1]财务取数接口!$B$431=0,"",[1]财务取数接口!$B$431),""))</f>
        <v/>
      </c>
      <c r="C432" s="39" t="str">
        <f aca="false">IF($T$4=0,IF($J432="","",$J432),IFERROR(IF([1]财务取数接口!$C$431=0,"",[1]财务取数接口!$C$431),""))</f>
        <v/>
      </c>
      <c r="D432" s="40" t="str">
        <f aca="false">IF($T$4=0,IF($K432="","",$K432),IFERROR(IF([1]财务取数接口!$D$431=0,"",[1]财务取数接口!$D$431),""))</f>
        <v/>
      </c>
      <c r="E432" s="40" t="str">
        <f aca="false">IF($T$4=0,IF($L432="","",$L432),IFERROR(IF([1]财务取数接口!$E$431=0,"",[1]财务取数接口!$E$431),""))</f>
        <v/>
      </c>
      <c r="F432" s="41" t="str">
        <f aca="false">IF($T$4=0,IF($M432="","",$M432),IFERROR(IF([1]财务取数接口!$G$431=0,"",[1]财务取数接口!$G$431),""))</f>
        <v/>
      </c>
      <c r="G432" s="41" t="str">
        <f aca="false">IF($T$4=0,IF($N432="","",$N432),IFERROR(IF([1]财务取数接口!$H$431=0,"",[1]财务取数接口!$H$431),""))</f>
        <v/>
      </c>
      <c r="H432" s="39" t="str">
        <f aca="false">IF($T$4=0,IF($O432="","",$O432),IFERROR(IF([1]财务取数接口!$I$431=0,"",[1]财务取数接口!$I$431),""))</f>
        <v/>
      </c>
      <c r="I432" s="42"/>
      <c r="J432" s="43"/>
      <c r="K432" s="42"/>
      <c r="L432" s="42"/>
      <c r="M432" s="44"/>
      <c r="N432" s="44"/>
      <c r="O432" s="43"/>
      <c r="P432" s="45" t="n">
        <f aca="false">IF(AND($C432&lt;&gt;"",$C432&lt;&gt;"项目",OR(N($D432)&lt;&gt;0,N($E432)&lt;&gt;0,N($F432)&lt;&gt;0)),1,0)</f>
        <v>0</v>
      </c>
      <c r="Q432" s="45" t="n">
        <f aca="false">N(Q431)+$P432</f>
        <v>11</v>
      </c>
    </row>
    <row r="433" customFormat="false" ht="13.5" hidden="false" customHeight="false" outlineLevel="0" collapsed="false">
      <c r="A433" s="9" t="n">
        <v>432</v>
      </c>
      <c r="B433" s="40" t="str">
        <f aca="false">IF($T$4=0,IF($I433="","",$I433),IFERROR(IF([1]财务取数接口!$B$432=0,"",[1]财务取数接口!$B$432),""))</f>
        <v/>
      </c>
      <c r="C433" s="39" t="str">
        <f aca="false">IF($T$4=0,IF($J433="","",$J433),IFERROR(IF([1]财务取数接口!$C$432=0,"",[1]财务取数接口!$C$432),""))</f>
        <v/>
      </c>
      <c r="D433" s="40" t="str">
        <f aca="false">IF($T$4=0,IF($K433="","",$K433),IFERROR(IF([1]财务取数接口!$D$432=0,"",[1]财务取数接口!$D$432),""))</f>
        <v/>
      </c>
      <c r="E433" s="40" t="str">
        <f aca="false">IF($T$4=0,IF($L433="","",$L433),IFERROR(IF([1]财务取数接口!$E$432=0,"",[1]财务取数接口!$E$432),""))</f>
        <v/>
      </c>
      <c r="F433" s="41" t="str">
        <f aca="false">IF($T$4=0,IF($M433="","",$M433),IFERROR(IF([1]财务取数接口!$G$432=0,"",[1]财务取数接口!$G$432),""))</f>
        <v/>
      </c>
      <c r="G433" s="41" t="str">
        <f aca="false">IF($T$4=0,IF($N433="","",$N433),IFERROR(IF([1]财务取数接口!$H$432=0,"",[1]财务取数接口!$H$432),""))</f>
        <v/>
      </c>
      <c r="H433" s="39" t="str">
        <f aca="false">IF($T$4=0,IF($O433="","",$O433),IFERROR(IF([1]财务取数接口!$I$432=0,"",[1]财务取数接口!$I$432),""))</f>
        <v/>
      </c>
      <c r="I433" s="42"/>
      <c r="J433" s="43"/>
      <c r="K433" s="42"/>
      <c r="L433" s="42"/>
      <c r="M433" s="44"/>
      <c r="N433" s="44"/>
      <c r="O433" s="43"/>
      <c r="P433" s="45" t="n">
        <f aca="false">IF(AND($C433&lt;&gt;"",$C433&lt;&gt;"项目",OR(N($D433)&lt;&gt;0,N($E433)&lt;&gt;0,N($F433)&lt;&gt;0)),1,0)</f>
        <v>0</v>
      </c>
      <c r="Q433" s="45" t="n">
        <f aca="false">N(Q432)+$P433</f>
        <v>11</v>
      </c>
    </row>
    <row r="434" customFormat="false" ht="13.5" hidden="false" customHeight="false" outlineLevel="0" collapsed="false">
      <c r="A434" s="9" t="n">
        <v>433</v>
      </c>
      <c r="B434" s="40" t="str">
        <f aca="false">IF($T$4=0,IF($I434="","",$I434),IFERROR(IF([1]财务取数接口!$B$433=0,"",[1]财务取数接口!$B$433),""))</f>
        <v/>
      </c>
      <c r="C434" s="39" t="str">
        <f aca="false">IF($T$4=0,IF($J434="","",$J434),IFERROR(IF([1]财务取数接口!$C$433=0,"",[1]财务取数接口!$C$433),""))</f>
        <v/>
      </c>
      <c r="D434" s="40" t="str">
        <f aca="false">IF($T$4=0,IF($K434="","",$K434),IFERROR(IF([1]财务取数接口!$D$433=0,"",[1]财务取数接口!$D$433),""))</f>
        <v/>
      </c>
      <c r="E434" s="40" t="str">
        <f aca="false">IF($T$4=0,IF($L434="","",$L434),IFERROR(IF([1]财务取数接口!$E$433=0,"",[1]财务取数接口!$E$433),""))</f>
        <v/>
      </c>
      <c r="F434" s="41" t="str">
        <f aca="false">IF($T$4=0,IF($M434="","",$M434),IFERROR(IF([1]财务取数接口!$G$433=0,"",[1]财务取数接口!$G$433),""))</f>
        <v/>
      </c>
      <c r="G434" s="41" t="str">
        <f aca="false">IF($T$4=0,IF($N434="","",$N434),IFERROR(IF([1]财务取数接口!$H$433=0,"",[1]财务取数接口!$H$433),""))</f>
        <v/>
      </c>
      <c r="H434" s="39" t="str">
        <f aca="false">IF($T$4=0,IF($O434="","",$O434),IFERROR(IF([1]财务取数接口!$I$433=0,"",[1]财务取数接口!$I$433),""))</f>
        <v/>
      </c>
      <c r="I434" s="42"/>
      <c r="J434" s="43"/>
      <c r="K434" s="42"/>
      <c r="L434" s="42"/>
      <c r="M434" s="44"/>
      <c r="N434" s="44"/>
      <c r="O434" s="43"/>
      <c r="P434" s="45" t="n">
        <f aca="false">IF(AND($C434&lt;&gt;"",$C434&lt;&gt;"项目",OR(N($D434)&lt;&gt;0,N($E434)&lt;&gt;0,N($F434)&lt;&gt;0)),1,0)</f>
        <v>0</v>
      </c>
      <c r="Q434" s="45" t="n">
        <f aca="false">N(Q433)+$P434</f>
        <v>11</v>
      </c>
    </row>
    <row r="435" customFormat="false" ht="13.5" hidden="false" customHeight="false" outlineLevel="0" collapsed="false">
      <c r="A435" s="9" t="n">
        <v>434</v>
      </c>
      <c r="B435" s="40" t="str">
        <f aca="false">IF($T$4=0,IF($I435="","",$I435),IFERROR(IF([1]财务取数接口!$B$434=0,"",[1]财务取数接口!$B$434),""))</f>
        <v/>
      </c>
      <c r="C435" s="39" t="str">
        <f aca="false">IF($T$4=0,IF($J435="","",$J435),IFERROR(IF([1]财务取数接口!$C$434=0,"",[1]财务取数接口!$C$434),""))</f>
        <v/>
      </c>
      <c r="D435" s="40" t="str">
        <f aca="false">IF($T$4=0,IF($K435="","",$K435),IFERROR(IF([1]财务取数接口!$D$434=0,"",[1]财务取数接口!$D$434),""))</f>
        <v/>
      </c>
      <c r="E435" s="40" t="str">
        <f aca="false">IF($T$4=0,IF($L435="","",$L435),IFERROR(IF([1]财务取数接口!$E$434=0,"",[1]财务取数接口!$E$434),""))</f>
        <v/>
      </c>
      <c r="F435" s="41" t="str">
        <f aca="false">IF($T$4=0,IF($M435="","",$M435),IFERROR(IF([1]财务取数接口!$G$434=0,"",[1]财务取数接口!$G$434),""))</f>
        <v/>
      </c>
      <c r="G435" s="41" t="str">
        <f aca="false">IF($T$4=0,IF($N435="","",$N435),IFERROR(IF([1]财务取数接口!$H$434=0,"",[1]财务取数接口!$H$434),""))</f>
        <v/>
      </c>
      <c r="H435" s="39" t="str">
        <f aca="false">IF($T$4=0,IF($O435="","",$O435),IFERROR(IF([1]财务取数接口!$I$434=0,"",[1]财务取数接口!$I$434),""))</f>
        <v/>
      </c>
      <c r="I435" s="42"/>
      <c r="J435" s="43"/>
      <c r="K435" s="42"/>
      <c r="L435" s="42"/>
      <c r="M435" s="44"/>
      <c r="N435" s="44"/>
      <c r="O435" s="43"/>
      <c r="P435" s="45" t="n">
        <f aca="false">IF(AND($C435&lt;&gt;"",$C435&lt;&gt;"项目",OR(N($D435)&lt;&gt;0,N($E435)&lt;&gt;0,N($F435)&lt;&gt;0)),1,0)</f>
        <v>0</v>
      </c>
      <c r="Q435" s="45" t="n">
        <f aca="false">N(Q434)+$P435</f>
        <v>11</v>
      </c>
    </row>
    <row r="436" customFormat="false" ht="13.5" hidden="false" customHeight="false" outlineLevel="0" collapsed="false">
      <c r="A436" s="9" t="n">
        <v>435</v>
      </c>
      <c r="B436" s="40" t="str">
        <f aca="false">IF($T$4=0,IF($I436="","",$I436),IFERROR(IF([1]财务取数接口!$B$435=0,"",[1]财务取数接口!$B$435),""))</f>
        <v/>
      </c>
      <c r="C436" s="39" t="str">
        <f aca="false">IF($T$4=0,IF($J436="","",$J436),IFERROR(IF([1]财务取数接口!$C$435=0,"",[1]财务取数接口!$C$435),""))</f>
        <v/>
      </c>
      <c r="D436" s="40" t="str">
        <f aca="false">IF($T$4=0,IF($K436="","",$K436),IFERROR(IF([1]财务取数接口!$D$435=0,"",[1]财务取数接口!$D$435),""))</f>
        <v/>
      </c>
      <c r="E436" s="40" t="str">
        <f aca="false">IF($T$4=0,IF($L436="","",$L436),IFERROR(IF([1]财务取数接口!$E$435=0,"",[1]财务取数接口!$E$435),""))</f>
        <v/>
      </c>
      <c r="F436" s="41" t="str">
        <f aca="false">IF($T$4=0,IF($M436="","",$M436),IFERROR(IF([1]财务取数接口!$G$435=0,"",[1]财务取数接口!$G$435),""))</f>
        <v/>
      </c>
      <c r="G436" s="41" t="str">
        <f aca="false">IF($T$4=0,IF($N436="","",$N436),IFERROR(IF([1]财务取数接口!$H$435=0,"",[1]财务取数接口!$H$435),""))</f>
        <v/>
      </c>
      <c r="H436" s="39" t="str">
        <f aca="false">IF($T$4=0,IF($O436="","",$O436),IFERROR(IF([1]财务取数接口!$I$435=0,"",[1]财务取数接口!$I$435),""))</f>
        <v/>
      </c>
      <c r="I436" s="42"/>
      <c r="J436" s="43"/>
      <c r="K436" s="42"/>
      <c r="L436" s="42"/>
      <c r="M436" s="44"/>
      <c r="N436" s="44"/>
      <c r="O436" s="43"/>
      <c r="P436" s="45" t="n">
        <f aca="false">IF(AND($C436&lt;&gt;"",$C436&lt;&gt;"项目",OR(N($D436)&lt;&gt;0,N($E436)&lt;&gt;0,N($F436)&lt;&gt;0)),1,0)</f>
        <v>0</v>
      </c>
      <c r="Q436" s="45" t="n">
        <f aca="false">N(Q435)+$P436</f>
        <v>11</v>
      </c>
    </row>
    <row r="437" customFormat="false" ht="13.5" hidden="false" customHeight="false" outlineLevel="0" collapsed="false">
      <c r="A437" s="9" t="n">
        <v>436</v>
      </c>
      <c r="B437" s="40" t="str">
        <f aca="false">IF($T$4=0,IF($I437="","",$I437),IFERROR(IF([1]财务取数接口!$B$436=0,"",[1]财务取数接口!$B$436),""))</f>
        <v/>
      </c>
      <c r="C437" s="39" t="str">
        <f aca="false">IF($T$4=0,IF($J437="","",$J437),IFERROR(IF([1]财务取数接口!$C$436=0,"",[1]财务取数接口!$C$436),""))</f>
        <v/>
      </c>
      <c r="D437" s="40" t="str">
        <f aca="false">IF($T$4=0,IF($K437="","",$K437),IFERROR(IF([1]财务取数接口!$D$436=0,"",[1]财务取数接口!$D$436),""))</f>
        <v/>
      </c>
      <c r="E437" s="40" t="str">
        <f aca="false">IF($T$4=0,IF($L437="","",$L437),IFERROR(IF([1]财务取数接口!$E$436=0,"",[1]财务取数接口!$E$436),""))</f>
        <v/>
      </c>
      <c r="F437" s="41" t="str">
        <f aca="false">IF($T$4=0,IF($M437="","",$M437),IFERROR(IF([1]财务取数接口!$G$436=0,"",[1]财务取数接口!$G$436),""))</f>
        <v/>
      </c>
      <c r="G437" s="41" t="str">
        <f aca="false">IF($T$4=0,IF($N437="","",$N437),IFERROR(IF([1]财务取数接口!$H$436=0,"",[1]财务取数接口!$H$436),""))</f>
        <v/>
      </c>
      <c r="H437" s="39" t="str">
        <f aca="false">IF($T$4=0,IF($O437="","",$O437),IFERROR(IF([1]财务取数接口!$I$436=0,"",[1]财务取数接口!$I$436),""))</f>
        <v/>
      </c>
      <c r="I437" s="42"/>
      <c r="J437" s="43"/>
      <c r="K437" s="42"/>
      <c r="L437" s="42"/>
      <c r="M437" s="44"/>
      <c r="N437" s="44"/>
      <c r="O437" s="43"/>
      <c r="P437" s="45" t="n">
        <f aca="false">IF(AND($C437&lt;&gt;"",$C437&lt;&gt;"项目",OR(N($D437)&lt;&gt;0,N($E437)&lt;&gt;0,N($F437)&lt;&gt;0)),1,0)</f>
        <v>0</v>
      </c>
      <c r="Q437" s="45" t="n">
        <f aca="false">N(Q436)+$P437</f>
        <v>11</v>
      </c>
    </row>
    <row r="438" customFormat="false" ht="13.5" hidden="false" customHeight="false" outlineLevel="0" collapsed="false">
      <c r="A438" s="9" t="n">
        <v>437</v>
      </c>
      <c r="B438" s="40" t="str">
        <f aca="false">IF($T$4=0,IF($I438="","",$I438),IFERROR(IF([1]财务取数接口!$B$437=0,"",[1]财务取数接口!$B$437),""))</f>
        <v/>
      </c>
      <c r="C438" s="39" t="str">
        <f aca="false">IF($T$4=0,IF($J438="","",$J438),IFERROR(IF([1]财务取数接口!$C$437=0,"",[1]财务取数接口!$C$437),""))</f>
        <v/>
      </c>
      <c r="D438" s="40" t="str">
        <f aca="false">IF($T$4=0,IF($K438="","",$K438),IFERROR(IF([1]财务取数接口!$D$437=0,"",[1]财务取数接口!$D$437),""))</f>
        <v/>
      </c>
      <c r="E438" s="40" t="str">
        <f aca="false">IF($T$4=0,IF($L438="","",$L438),IFERROR(IF([1]财务取数接口!$E$437=0,"",[1]财务取数接口!$E$437),""))</f>
        <v/>
      </c>
      <c r="F438" s="41" t="str">
        <f aca="false">IF($T$4=0,IF($M438="","",$M438),IFERROR(IF([1]财务取数接口!$G$437=0,"",[1]财务取数接口!$G$437),""))</f>
        <v/>
      </c>
      <c r="G438" s="41" t="str">
        <f aca="false">IF($T$4=0,IF($N438="","",$N438),IFERROR(IF([1]财务取数接口!$H$437=0,"",[1]财务取数接口!$H$437),""))</f>
        <v/>
      </c>
      <c r="H438" s="39" t="str">
        <f aca="false">IF($T$4=0,IF($O438="","",$O438),IFERROR(IF([1]财务取数接口!$I$437=0,"",[1]财务取数接口!$I$437),""))</f>
        <v/>
      </c>
      <c r="I438" s="42"/>
      <c r="J438" s="43"/>
      <c r="K438" s="42"/>
      <c r="L438" s="42"/>
      <c r="M438" s="44"/>
      <c r="N438" s="44"/>
      <c r="O438" s="43"/>
      <c r="P438" s="45" t="n">
        <f aca="false">IF(AND($C438&lt;&gt;"",$C438&lt;&gt;"项目",OR(N($D438)&lt;&gt;0,N($E438)&lt;&gt;0,N($F438)&lt;&gt;0)),1,0)</f>
        <v>0</v>
      </c>
      <c r="Q438" s="45" t="n">
        <f aca="false">N(Q437)+$P438</f>
        <v>11</v>
      </c>
    </row>
    <row r="439" customFormat="false" ht="13.5" hidden="false" customHeight="false" outlineLevel="0" collapsed="false">
      <c r="A439" s="9" t="n">
        <v>438</v>
      </c>
      <c r="B439" s="40" t="str">
        <f aca="false">IF($T$4=0,IF($I439="","",$I439),IFERROR(IF([1]财务取数接口!$B$438=0,"",[1]财务取数接口!$B$438),""))</f>
        <v/>
      </c>
      <c r="C439" s="39" t="str">
        <f aca="false">IF($T$4=0,IF($J439="","",$J439),IFERROR(IF([1]财务取数接口!$C$438=0,"",[1]财务取数接口!$C$438),""))</f>
        <v/>
      </c>
      <c r="D439" s="40" t="str">
        <f aca="false">IF($T$4=0,IF($K439="","",$K439),IFERROR(IF([1]财务取数接口!$D$438=0,"",[1]财务取数接口!$D$438),""))</f>
        <v/>
      </c>
      <c r="E439" s="40" t="str">
        <f aca="false">IF($T$4=0,IF($L439="","",$L439),IFERROR(IF([1]财务取数接口!$E$438=0,"",[1]财务取数接口!$E$438),""))</f>
        <v/>
      </c>
      <c r="F439" s="41" t="str">
        <f aca="false">IF($T$4=0,IF($M439="","",$M439),IFERROR(IF([1]财务取数接口!$G$438=0,"",[1]财务取数接口!$G$438),""))</f>
        <v/>
      </c>
      <c r="G439" s="41" t="str">
        <f aca="false">IF($T$4=0,IF($N439="","",$N439),IFERROR(IF([1]财务取数接口!$H$438=0,"",[1]财务取数接口!$H$438),""))</f>
        <v/>
      </c>
      <c r="H439" s="39" t="str">
        <f aca="false">IF($T$4=0,IF($O439="","",$O439),IFERROR(IF([1]财务取数接口!$I$438=0,"",[1]财务取数接口!$I$438),""))</f>
        <v/>
      </c>
      <c r="I439" s="42"/>
      <c r="J439" s="43"/>
      <c r="K439" s="42"/>
      <c r="L439" s="42"/>
      <c r="M439" s="44"/>
      <c r="N439" s="44"/>
      <c r="O439" s="43"/>
      <c r="P439" s="45" t="n">
        <f aca="false">IF(AND($C439&lt;&gt;"",$C439&lt;&gt;"项目",OR(N($D439)&lt;&gt;0,N($E439)&lt;&gt;0,N($F439)&lt;&gt;0)),1,0)</f>
        <v>0</v>
      </c>
      <c r="Q439" s="45" t="n">
        <f aca="false">N(Q438)+$P439</f>
        <v>11</v>
      </c>
    </row>
    <row r="440" customFormat="false" ht="13.5" hidden="false" customHeight="false" outlineLevel="0" collapsed="false">
      <c r="A440" s="9" t="n">
        <v>439</v>
      </c>
      <c r="B440" s="40" t="str">
        <f aca="false">IF($T$4=0,IF($I440="","",$I440),IFERROR(IF([1]财务取数接口!$B$439=0,"",[1]财务取数接口!$B$439),""))</f>
        <v/>
      </c>
      <c r="C440" s="39" t="str">
        <f aca="false">IF($T$4=0,IF($J440="","",$J440),IFERROR(IF([1]财务取数接口!$C$439=0,"",[1]财务取数接口!$C$439),""))</f>
        <v/>
      </c>
      <c r="D440" s="40" t="str">
        <f aca="false">IF($T$4=0,IF($K440="","",$K440),IFERROR(IF([1]财务取数接口!$D$439=0,"",[1]财务取数接口!$D$439),""))</f>
        <v/>
      </c>
      <c r="E440" s="40" t="str">
        <f aca="false">IF($T$4=0,IF($L440="","",$L440),IFERROR(IF([1]财务取数接口!$E$439=0,"",[1]财务取数接口!$E$439),""))</f>
        <v/>
      </c>
      <c r="F440" s="41" t="str">
        <f aca="false">IF($T$4=0,IF($M440="","",$M440),IFERROR(IF([1]财务取数接口!$G$439=0,"",[1]财务取数接口!$G$439),""))</f>
        <v/>
      </c>
      <c r="G440" s="41" t="str">
        <f aca="false">IF($T$4=0,IF($N440="","",$N440),IFERROR(IF([1]财务取数接口!$H$439=0,"",[1]财务取数接口!$H$439),""))</f>
        <v/>
      </c>
      <c r="H440" s="39" t="str">
        <f aca="false">IF($T$4=0,IF($O440="","",$O440),IFERROR(IF([1]财务取数接口!$I$439=0,"",[1]财务取数接口!$I$439),""))</f>
        <v/>
      </c>
      <c r="I440" s="42"/>
      <c r="J440" s="43"/>
      <c r="K440" s="42"/>
      <c r="L440" s="42"/>
      <c r="M440" s="44"/>
      <c r="N440" s="44"/>
      <c r="O440" s="43"/>
      <c r="P440" s="45" t="n">
        <f aca="false">IF(AND($C440&lt;&gt;"",$C440&lt;&gt;"项目",OR(N($D440)&lt;&gt;0,N($E440)&lt;&gt;0,N($F440)&lt;&gt;0)),1,0)</f>
        <v>0</v>
      </c>
      <c r="Q440" s="45" t="n">
        <f aca="false">N(Q439)+$P440</f>
        <v>11</v>
      </c>
    </row>
    <row r="441" customFormat="false" ht="13.5" hidden="false" customHeight="false" outlineLevel="0" collapsed="false">
      <c r="A441" s="9" t="n">
        <v>440</v>
      </c>
      <c r="B441" s="40" t="str">
        <f aca="false">IF($T$4=0,IF($I441="","",$I441),IFERROR(IF([1]财务取数接口!$B$440=0,"",[1]财务取数接口!$B$440),""))</f>
        <v/>
      </c>
      <c r="C441" s="39" t="str">
        <f aca="false">IF($T$4=0,IF($J441="","",$J441),IFERROR(IF([1]财务取数接口!$C$440=0,"",[1]财务取数接口!$C$440),""))</f>
        <v/>
      </c>
      <c r="D441" s="40" t="str">
        <f aca="false">IF($T$4=0,IF($K441="","",$K441),IFERROR(IF([1]财务取数接口!$D$440=0,"",[1]财务取数接口!$D$440),""))</f>
        <v/>
      </c>
      <c r="E441" s="40" t="str">
        <f aca="false">IF($T$4=0,IF($L441="","",$L441),IFERROR(IF([1]财务取数接口!$E$440=0,"",[1]财务取数接口!$E$440),""))</f>
        <v/>
      </c>
      <c r="F441" s="41" t="str">
        <f aca="false">IF($T$4=0,IF($M441="","",$M441),IFERROR(IF([1]财务取数接口!$G$440=0,"",[1]财务取数接口!$G$440),""))</f>
        <v/>
      </c>
      <c r="G441" s="41" t="str">
        <f aca="false">IF($T$4=0,IF($N441="","",$N441),IFERROR(IF([1]财务取数接口!$H$440=0,"",[1]财务取数接口!$H$440),""))</f>
        <v/>
      </c>
      <c r="H441" s="39" t="str">
        <f aca="false">IF($T$4=0,IF($O441="","",$O441),IFERROR(IF([1]财务取数接口!$I$440=0,"",[1]财务取数接口!$I$440),""))</f>
        <v/>
      </c>
      <c r="I441" s="42"/>
      <c r="J441" s="43"/>
      <c r="K441" s="42"/>
      <c r="L441" s="42"/>
      <c r="M441" s="44"/>
      <c r="N441" s="44"/>
      <c r="O441" s="43"/>
      <c r="P441" s="45" t="n">
        <f aca="false">IF(AND($C441&lt;&gt;"",$C441&lt;&gt;"项目",OR(N($D441)&lt;&gt;0,N($E441)&lt;&gt;0,N($F441)&lt;&gt;0)),1,0)</f>
        <v>0</v>
      </c>
      <c r="Q441" s="45" t="n">
        <f aca="false">N(Q440)+$P441</f>
        <v>11</v>
      </c>
    </row>
    <row r="442" customFormat="false" ht="13.5" hidden="false" customHeight="false" outlineLevel="0" collapsed="false">
      <c r="A442" s="9" t="n">
        <v>441</v>
      </c>
      <c r="B442" s="40" t="str">
        <f aca="false">IF($T$4=0,IF($I442="","",$I442),IFERROR(IF([1]财务取数接口!$B$441=0,"",[1]财务取数接口!$B$441),""))</f>
        <v/>
      </c>
      <c r="C442" s="39" t="str">
        <f aca="false">IF($T$4=0,IF($J442="","",$J442),IFERROR(IF([1]财务取数接口!$C$441=0,"",[1]财务取数接口!$C$441),""))</f>
        <v/>
      </c>
      <c r="D442" s="40" t="str">
        <f aca="false">IF($T$4=0,IF($K442="","",$K442),IFERROR(IF([1]财务取数接口!$D$441=0,"",[1]财务取数接口!$D$441),""))</f>
        <v/>
      </c>
      <c r="E442" s="40" t="str">
        <f aca="false">IF($T$4=0,IF($L442="","",$L442),IFERROR(IF([1]财务取数接口!$E$441=0,"",[1]财务取数接口!$E$441),""))</f>
        <v/>
      </c>
      <c r="F442" s="41" t="str">
        <f aca="false">IF($T$4=0,IF($M442="","",$M442),IFERROR(IF([1]财务取数接口!$G$441=0,"",[1]财务取数接口!$G$441),""))</f>
        <v/>
      </c>
      <c r="G442" s="41" t="str">
        <f aca="false">IF($T$4=0,IF($N442="","",$N442),IFERROR(IF([1]财务取数接口!$H$441=0,"",[1]财务取数接口!$H$441),""))</f>
        <v/>
      </c>
      <c r="H442" s="39" t="str">
        <f aca="false">IF($T$4=0,IF($O442="","",$O442),IFERROR(IF([1]财务取数接口!$I$441=0,"",[1]财务取数接口!$I$441),""))</f>
        <v/>
      </c>
      <c r="I442" s="42"/>
      <c r="J442" s="43"/>
      <c r="K442" s="42"/>
      <c r="L442" s="42"/>
      <c r="M442" s="44"/>
      <c r="N442" s="44"/>
      <c r="O442" s="43"/>
      <c r="P442" s="45" t="n">
        <f aca="false">IF(AND($C442&lt;&gt;"",$C442&lt;&gt;"项目",OR(N($D442)&lt;&gt;0,N($E442)&lt;&gt;0,N($F442)&lt;&gt;0)),1,0)</f>
        <v>0</v>
      </c>
      <c r="Q442" s="45" t="n">
        <f aca="false">N(Q441)+$P442</f>
        <v>11</v>
      </c>
    </row>
    <row r="443" customFormat="false" ht="13.5" hidden="false" customHeight="false" outlineLevel="0" collapsed="false">
      <c r="A443" s="9" t="n">
        <v>442</v>
      </c>
      <c r="B443" s="40" t="str">
        <f aca="false">IF($T$4=0,IF($I443="","",$I443),IFERROR(IF([1]财务取数接口!$B$442=0,"",[1]财务取数接口!$B$442),""))</f>
        <v/>
      </c>
      <c r="C443" s="39" t="str">
        <f aca="false">IF($T$4=0,IF($J443="","",$J443),IFERROR(IF([1]财务取数接口!$C$442=0,"",[1]财务取数接口!$C$442),""))</f>
        <v/>
      </c>
      <c r="D443" s="40" t="str">
        <f aca="false">IF($T$4=0,IF($K443="","",$K443),IFERROR(IF([1]财务取数接口!$D$442=0,"",[1]财务取数接口!$D$442),""))</f>
        <v/>
      </c>
      <c r="E443" s="40" t="str">
        <f aca="false">IF($T$4=0,IF($L443="","",$L443),IFERROR(IF([1]财务取数接口!$E$442=0,"",[1]财务取数接口!$E$442),""))</f>
        <v/>
      </c>
      <c r="F443" s="41" t="str">
        <f aca="false">IF($T$4=0,IF($M443="","",$M443),IFERROR(IF([1]财务取数接口!$G$442=0,"",[1]财务取数接口!$G$442),""))</f>
        <v/>
      </c>
      <c r="G443" s="41" t="str">
        <f aca="false">IF($T$4=0,IF($N443="","",$N443),IFERROR(IF([1]财务取数接口!$H$442=0,"",[1]财务取数接口!$H$442),""))</f>
        <v/>
      </c>
      <c r="H443" s="39" t="str">
        <f aca="false">IF($T$4=0,IF($O443="","",$O443),IFERROR(IF([1]财务取数接口!$I$442=0,"",[1]财务取数接口!$I$442),""))</f>
        <v/>
      </c>
      <c r="I443" s="42"/>
      <c r="J443" s="43"/>
      <c r="K443" s="42"/>
      <c r="L443" s="42"/>
      <c r="M443" s="44"/>
      <c r="N443" s="44"/>
      <c r="O443" s="43"/>
      <c r="P443" s="45" t="n">
        <f aca="false">IF(AND($C443&lt;&gt;"",$C443&lt;&gt;"项目",OR(N($D443)&lt;&gt;0,N($E443)&lt;&gt;0,N($F443)&lt;&gt;0)),1,0)</f>
        <v>0</v>
      </c>
      <c r="Q443" s="45" t="n">
        <f aca="false">N(Q442)+$P443</f>
        <v>11</v>
      </c>
    </row>
    <row r="444" customFormat="false" ht="13.5" hidden="false" customHeight="false" outlineLevel="0" collapsed="false">
      <c r="A444" s="9" t="n">
        <v>443</v>
      </c>
      <c r="B444" s="40" t="str">
        <f aca="false">IF($T$4=0,IF($I444="","",$I444),IFERROR(IF([1]财务取数接口!$B$443=0,"",[1]财务取数接口!$B$443),""))</f>
        <v/>
      </c>
      <c r="C444" s="39" t="str">
        <f aca="false">IF($T$4=0,IF($J444="","",$J444),IFERROR(IF([1]财务取数接口!$C$443=0,"",[1]财务取数接口!$C$443),""))</f>
        <v/>
      </c>
      <c r="D444" s="40" t="str">
        <f aca="false">IF($T$4=0,IF($K444="","",$K444),IFERROR(IF([1]财务取数接口!$D$443=0,"",[1]财务取数接口!$D$443),""))</f>
        <v/>
      </c>
      <c r="E444" s="40" t="str">
        <f aca="false">IF($T$4=0,IF($L444="","",$L444),IFERROR(IF([1]财务取数接口!$E$443=0,"",[1]财务取数接口!$E$443),""))</f>
        <v/>
      </c>
      <c r="F444" s="41" t="str">
        <f aca="false">IF($T$4=0,IF($M444="","",$M444),IFERROR(IF([1]财务取数接口!$G$443=0,"",[1]财务取数接口!$G$443),""))</f>
        <v/>
      </c>
      <c r="G444" s="41" t="str">
        <f aca="false">IF($T$4=0,IF($N444="","",$N444),IFERROR(IF([1]财务取数接口!$H$443=0,"",[1]财务取数接口!$H$443),""))</f>
        <v/>
      </c>
      <c r="H444" s="39" t="str">
        <f aca="false">IF($T$4=0,IF($O444="","",$O444),IFERROR(IF([1]财务取数接口!$I$443=0,"",[1]财务取数接口!$I$443),""))</f>
        <v/>
      </c>
      <c r="I444" s="42"/>
      <c r="J444" s="43"/>
      <c r="K444" s="42"/>
      <c r="L444" s="42"/>
      <c r="M444" s="44"/>
      <c r="N444" s="44"/>
      <c r="O444" s="43"/>
      <c r="P444" s="45" t="n">
        <f aca="false">IF(AND($C444&lt;&gt;"",$C444&lt;&gt;"项目",OR(N($D444)&lt;&gt;0,N($E444)&lt;&gt;0,N($F444)&lt;&gt;0)),1,0)</f>
        <v>0</v>
      </c>
      <c r="Q444" s="45" t="n">
        <f aca="false">N(Q443)+$P444</f>
        <v>11</v>
      </c>
    </row>
    <row r="445" customFormat="false" ht="13.5" hidden="false" customHeight="false" outlineLevel="0" collapsed="false">
      <c r="A445" s="9" t="n">
        <v>444</v>
      </c>
      <c r="B445" s="40" t="str">
        <f aca="false">IF($T$4=0,IF($I445="","",$I445),IFERROR(IF([1]财务取数接口!$B$444=0,"",[1]财务取数接口!$B$444),""))</f>
        <v/>
      </c>
      <c r="C445" s="39" t="str">
        <f aca="false">IF($T$4=0,IF($J445="","",$J445),IFERROR(IF([1]财务取数接口!$C$444=0,"",[1]财务取数接口!$C$444),""))</f>
        <v/>
      </c>
      <c r="D445" s="40" t="str">
        <f aca="false">IF($T$4=0,IF($K445="","",$K445),IFERROR(IF([1]财务取数接口!$D$444=0,"",[1]财务取数接口!$D$444),""))</f>
        <v/>
      </c>
      <c r="E445" s="40" t="str">
        <f aca="false">IF($T$4=0,IF($L445="","",$L445),IFERROR(IF([1]财务取数接口!$E$444=0,"",[1]财务取数接口!$E$444),""))</f>
        <v/>
      </c>
      <c r="F445" s="41" t="str">
        <f aca="false">IF($T$4=0,IF($M445="","",$M445),IFERROR(IF([1]财务取数接口!$G$444=0,"",[1]财务取数接口!$G$444),""))</f>
        <v/>
      </c>
      <c r="G445" s="41" t="str">
        <f aca="false">IF($T$4=0,IF($N445="","",$N445),IFERROR(IF([1]财务取数接口!$H$444=0,"",[1]财务取数接口!$H$444),""))</f>
        <v/>
      </c>
      <c r="H445" s="39" t="str">
        <f aca="false">IF($T$4=0,IF($O445="","",$O445),IFERROR(IF([1]财务取数接口!$I$444=0,"",[1]财务取数接口!$I$444),""))</f>
        <v/>
      </c>
      <c r="I445" s="42"/>
      <c r="J445" s="43"/>
      <c r="K445" s="42"/>
      <c r="L445" s="42"/>
      <c r="M445" s="44"/>
      <c r="N445" s="44"/>
      <c r="O445" s="43"/>
      <c r="P445" s="45" t="n">
        <f aca="false">IF(AND($C445&lt;&gt;"",$C445&lt;&gt;"项目",OR(N($D445)&lt;&gt;0,N($E445)&lt;&gt;0,N($F445)&lt;&gt;0)),1,0)</f>
        <v>0</v>
      </c>
      <c r="Q445" s="45" t="n">
        <f aca="false">N(Q444)+$P445</f>
        <v>11</v>
      </c>
    </row>
    <row r="446" customFormat="false" ht="13.5" hidden="false" customHeight="false" outlineLevel="0" collapsed="false">
      <c r="A446" s="9" t="n">
        <v>445</v>
      </c>
      <c r="B446" s="40" t="str">
        <f aca="false">IF($T$4=0,IF($I446="","",$I446),IFERROR(IF([1]财务取数接口!$B$445=0,"",[1]财务取数接口!$B$445),""))</f>
        <v/>
      </c>
      <c r="C446" s="39" t="str">
        <f aca="false">IF($T$4=0,IF($J446="","",$J446),IFERROR(IF([1]财务取数接口!$C$445=0,"",[1]财务取数接口!$C$445),""))</f>
        <v/>
      </c>
      <c r="D446" s="40" t="str">
        <f aca="false">IF($T$4=0,IF($K446="","",$K446),IFERROR(IF([1]财务取数接口!$D$445=0,"",[1]财务取数接口!$D$445),""))</f>
        <v/>
      </c>
      <c r="E446" s="40" t="str">
        <f aca="false">IF($T$4=0,IF($L446="","",$L446),IFERROR(IF([1]财务取数接口!$E$445=0,"",[1]财务取数接口!$E$445),""))</f>
        <v/>
      </c>
      <c r="F446" s="41" t="str">
        <f aca="false">IF($T$4=0,IF($M446="","",$M446),IFERROR(IF([1]财务取数接口!$G$445=0,"",[1]财务取数接口!$G$445),""))</f>
        <v/>
      </c>
      <c r="G446" s="41" t="str">
        <f aca="false">IF($T$4=0,IF($N446="","",$N446),IFERROR(IF([1]财务取数接口!$H$445=0,"",[1]财务取数接口!$H$445),""))</f>
        <v/>
      </c>
      <c r="H446" s="39" t="str">
        <f aca="false">IF($T$4=0,IF($O446="","",$O446),IFERROR(IF([1]财务取数接口!$I$445=0,"",[1]财务取数接口!$I$445),""))</f>
        <v/>
      </c>
      <c r="I446" s="42"/>
      <c r="J446" s="43"/>
      <c r="K446" s="42"/>
      <c r="L446" s="42"/>
      <c r="M446" s="44"/>
      <c r="N446" s="44"/>
      <c r="O446" s="43"/>
      <c r="P446" s="45" t="n">
        <f aca="false">IF(AND($C446&lt;&gt;"",$C446&lt;&gt;"项目",OR(N($D446)&lt;&gt;0,N($E446)&lt;&gt;0,N($F446)&lt;&gt;0)),1,0)</f>
        <v>0</v>
      </c>
      <c r="Q446" s="45" t="n">
        <f aca="false">N(Q445)+$P446</f>
        <v>11</v>
      </c>
    </row>
    <row r="447" customFormat="false" ht="13.5" hidden="false" customHeight="false" outlineLevel="0" collapsed="false">
      <c r="A447" s="9" t="n">
        <v>446</v>
      </c>
      <c r="B447" s="40" t="str">
        <f aca="false">IF($T$4=0,IF($I447="","",$I447),IFERROR(IF([1]财务取数接口!$B$446=0,"",[1]财务取数接口!$B$446),""))</f>
        <v/>
      </c>
      <c r="C447" s="39" t="str">
        <f aca="false">IF($T$4=0,IF($J447="","",$J447),IFERROR(IF([1]财务取数接口!$C$446=0,"",[1]财务取数接口!$C$446),""))</f>
        <v/>
      </c>
      <c r="D447" s="40" t="str">
        <f aca="false">IF($T$4=0,IF($K447="","",$K447),IFERROR(IF([1]财务取数接口!$D$446=0,"",[1]财务取数接口!$D$446),""))</f>
        <v/>
      </c>
      <c r="E447" s="40" t="str">
        <f aca="false">IF($T$4=0,IF($L447="","",$L447),IFERROR(IF([1]财务取数接口!$E$446=0,"",[1]财务取数接口!$E$446),""))</f>
        <v/>
      </c>
      <c r="F447" s="41" t="str">
        <f aca="false">IF($T$4=0,IF($M447="","",$M447),IFERROR(IF([1]财务取数接口!$G$446=0,"",[1]财务取数接口!$G$446),""))</f>
        <v/>
      </c>
      <c r="G447" s="41" t="str">
        <f aca="false">IF($T$4=0,IF($N447="","",$N447),IFERROR(IF([1]财务取数接口!$H$446=0,"",[1]财务取数接口!$H$446),""))</f>
        <v/>
      </c>
      <c r="H447" s="39" t="str">
        <f aca="false">IF($T$4=0,IF($O447="","",$O447),IFERROR(IF([1]财务取数接口!$I$446=0,"",[1]财务取数接口!$I$446),""))</f>
        <v/>
      </c>
      <c r="I447" s="42"/>
      <c r="J447" s="43"/>
      <c r="K447" s="42"/>
      <c r="L447" s="42"/>
      <c r="M447" s="44"/>
      <c r="N447" s="44"/>
      <c r="O447" s="43"/>
      <c r="P447" s="45" t="n">
        <f aca="false">IF(AND($C447&lt;&gt;"",$C447&lt;&gt;"项目",OR(N($D447)&lt;&gt;0,N($E447)&lt;&gt;0,N($F447)&lt;&gt;0)),1,0)</f>
        <v>0</v>
      </c>
      <c r="Q447" s="45" t="n">
        <f aca="false">N(Q446)+$P447</f>
        <v>11</v>
      </c>
    </row>
    <row r="448" customFormat="false" ht="13.5" hidden="false" customHeight="false" outlineLevel="0" collapsed="false">
      <c r="A448" s="9" t="n">
        <v>447</v>
      </c>
      <c r="B448" s="40" t="str">
        <f aca="false">IF($T$4=0,IF($I448="","",$I448),IFERROR(IF([1]财务取数接口!$B$447=0,"",[1]财务取数接口!$B$447),""))</f>
        <v/>
      </c>
      <c r="C448" s="39" t="str">
        <f aca="false">IF($T$4=0,IF($J448="","",$J448),IFERROR(IF([1]财务取数接口!$C$447=0,"",[1]财务取数接口!$C$447),""))</f>
        <v/>
      </c>
      <c r="D448" s="40" t="str">
        <f aca="false">IF($T$4=0,IF($K448="","",$K448),IFERROR(IF([1]财务取数接口!$D$447=0,"",[1]财务取数接口!$D$447),""))</f>
        <v/>
      </c>
      <c r="E448" s="40" t="str">
        <f aca="false">IF($T$4=0,IF($L448="","",$L448),IFERROR(IF([1]财务取数接口!$E$447=0,"",[1]财务取数接口!$E$447),""))</f>
        <v/>
      </c>
      <c r="F448" s="41" t="str">
        <f aca="false">IF($T$4=0,IF($M448="","",$M448),IFERROR(IF([1]财务取数接口!$G$447=0,"",[1]财务取数接口!$G$447),""))</f>
        <v/>
      </c>
      <c r="G448" s="41" t="str">
        <f aca="false">IF($T$4=0,IF($N448="","",$N448),IFERROR(IF([1]财务取数接口!$H$447=0,"",[1]财务取数接口!$H$447),""))</f>
        <v/>
      </c>
      <c r="H448" s="39" t="str">
        <f aca="false">IF($T$4=0,IF($O448="","",$O448),IFERROR(IF([1]财务取数接口!$I$447=0,"",[1]财务取数接口!$I$447),""))</f>
        <v/>
      </c>
      <c r="I448" s="42"/>
      <c r="J448" s="43"/>
      <c r="K448" s="42"/>
      <c r="L448" s="42"/>
      <c r="M448" s="44"/>
      <c r="N448" s="44"/>
      <c r="O448" s="43"/>
      <c r="P448" s="45" t="n">
        <f aca="false">IF(AND($C448&lt;&gt;"",$C448&lt;&gt;"项目",OR(N($D448)&lt;&gt;0,N($E448)&lt;&gt;0,N($F448)&lt;&gt;0)),1,0)</f>
        <v>0</v>
      </c>
      <c r="Q448" s="45" t="n">
        <f aca="false">N(Q447)+$P448</f>
        <v>11</v>
      </c>
    </row>
    <row r="449" customFormat="false" ht="13.5" hidden="false" customHeight="false" outlineLevel="0" collapsed="false">
      <c r="A449" s="9" t="n">
        <v>448</v>
      </c>
      <c r="B449" s="40" t="str">
        <f aca="false">IF($T$4=0,IF($I449="","",$I449),IFERROR(IF([1]财务取数接口!$B$448=0,"",[1]财务取数接口!$B$448),""))</f>
        <v/>
      </c>
      <c r="C449" s="39" t="str">
        <f aca="false">IF($T$4=0,IF($J449="","",$J449),IFERROR(IF([1]财务取数接口!$C$448=0,"",[1]财务取数接口!$C$448),""))</f>
        <v/>
      </c>
      <c r="D449" s="40" t="str">
        <f aca="false">IF($T$4=0,IF($K449="","",$K449),IFERROR(IF([1]财务取数接口!$D$448=0,"",[1]财务取数接口!$D$448),""))</f>
        <v/>
      </c>
      <c r="E449" s="40" t="str">
        <f aca="false">IF($T$4=0,IF($L449="","",$L449),IFERROR(IF([1]财务取数接口!$E$448=0,"",[1]财务取数接口!$E$448),""))</f>
        <v/>
      </c>
      <c r="F449" s="41" t="str">
        <f aca="false">IF($T$4=0,IF($M449="","",$M449),IFERROR(IF([1]财务取数接口!$G$448=0,"",[1]财务取数接口!$G$448),""))</f>
        <v/>
      </c>
      <c r="G449" s="41" t="str">
        <f aca="false">IF($T$4=0,IF($N449="","",$N449),IFERROR(IF([1]财务取数接口!$H$448=0,"",[1]财务取数接口!$H$448),""))</f>
        <v/>
      </c>
      <c r="H449" s="39" t="str">
        <f aca="false">IF($T$4=0,IF($O449="","",$O449),IFERROR(IF([1]财务取数接口!$I$448=0,"",[1]财务取数接口!$I$448),""))</f>
        <v/>
      </c>
      <c r="I449" s="42"/>
      <c r="J449" s="43"/>
      <c r="K449" s="42"/>
      <c r="L449" s="42"/>
      <c r="M449" s="44"/>
      <c r="N449" s="44"/>
      <c r="O449" s="43"/>
      <c r="P449" s="45" t="n">
        <f aca="false">IF(AND($C449&lt;&gt;"",$C449&lt;&gt;"项目",OR(N($D449)&lt;&gt;0,N($E449)&lt;&gt;0,N($F449)&lt;&gt;0)),1,0)</f>
        <v>0</v>
      </c>
      <c r="Q449" s="45" t="n">
        <f aca="false">N(Q448)+$P449</f>
        <v>11</v>
      </c>
    </row>
    <row r="450" customFormat="false" ht="13.5" hidden="false" customHeight="false" outlineLevel="0" collapsed="false">
      <c r="A450" s="9" t="n">
        <v>449</v>
      </c>
      <c r="B450" s="40" t="str">
        <f aca="false">IF($T$4=0,IF($I450="","",$I450),IFERROR(IF([1]财务取数接口!$B$449=0,"",[1]财务取数接口!$B$449),""))</f>
        <v/>
      </c>
      <c r="C450" s="39" t="str">
        <f aca="false">IF($T$4=0,IF($J450="","",$J450),IFERROR(IF([1]财务取数接口!$C$449=0,"",[1]财务取数接口!$C$449),""))</f>
        <v/>
      </c>
      <c r="D450" s="40" t="str">
        <f aca="false">IF($T$4=0,IF($K450="","",$K450),IFERROR(IF([1]财务取数接口!$D$449=0,"",[1]财务取数接口!$D$449),""))</f>
        <v/>
      </c>
      <c r="E450" s="40" t="str">
        <f aca="false">IF($T$4=0,IF($L450="","",$L450),IFERROR(IF([1]财务取数接口!$E$449=0,"",[1]财务取数接口!$E$449),""))</f>
        <v/>
      </c>
      <c r="F450" s="41" t="str">
        <f aca="false">IF($T$4=0,IF($M450="","",$M450),IFERROR(IF([1]财务取数接口!$G$449=0,"",[1]财务取数接口!$G$449),""))</f>
        <v/>
      </c>
      <c r="G450" s="41" t="str">
        <f aca="false">IF($T$4=0,IF($N450="","",$N450),IFERROR(IF([1]财务取数接口!$H$449=0,"",[1]财务取数接口!$H$449),""))</f>
        <v/>
      </c>
      <c r="H450" s="39" t="str">
        <f aca="false">IF($T$4=0,IF($O450="","",$O450),IFERROR(IF([1]财务取数接口!$I$449=0,"",[1]财务取数接口!$I$449),""))</f>
        <v/>
      </c>
      <c r="I450" s="42"/>
      <c r="J450" s="43"/>
      <c r="K450" s="42"/>
      <c r="L450" s="42"/>
      <c r="M450" s="44"/>
      <c r="N450" s="44"/>
      <c r="O450" s="43"/>
      <c r="P450" s="45" t="n">
        <f aca="false">IF(AND($C450&lt;&gt;"",$C450&lt;&gt;"项目",OR(N($D450)&lt;&gt;0,N($E450)&lt;&gt;0,N($F450)&lt;&gt;0)),1,0)</f>
        <v>0</v>
      </c>
      <c r="Q450" s="45" t="n">
        <f aca="false">N(Q449)+$P450</f>
        <v>11</v>
      </c>
    </row>
    <row r="451" customFormat="false" ht="13.5" hidden="false" customHeight="false" outlineLevel="0" collapsed="false">
      <c r="A451" s="9" t="n">
        <v>450</v>
      </c>
      <c r="B451" s="40" t="str">
        <f aca="false">IF($T$4=0,IF($I451="","",$I451),IFERROR(IF([1]财务取数接口!$B$450=0,"",[1]财务取数接口!$B$450),""))</f>
        <v/>
      </c>
      <c r="C451" s="39" t="str">
        <f aca="false">IF($T$4=0,IF($J451="","",$J451),IFERROR(IF([1]财务取数接口!$C$450=0,"",[1]财务取数接口!$C$450),""))</f>
        <v/>
      </c>
      <c r="D451" s="40" t="str">
        <f aca="false">IF($T$4=0,IF($K451="","",$K451),IFERROR(IF([1]财务取数接口!$D$450=0,"",[1]财务取数接口!$D$450),""))</f>
        <v/>
      </c>
      <c r="E451" s="40" t="str">
        <f aca="false">IF($T$4=0,IF($L451="","",$L451),IFERROR(IF([1]财务取数接口!$E$450=0,"",[1]财务取数接口!$E$450),""))</f>
        <v/>
      </c>
      <c r="F451" s="41" t="str">
        <f aca="false">IF($T$4=0,IF($M451="","",$M451),IFERROR(IF([1]财务取数接口!$G$450=0,"",[1]财务取数接口!$G$450),""))</f>
        <v/>
      </c>
      <c r="G451" s="41" t="str">
        <f aca="false">IF($T$4=0,IF($N451="","",$N451),IFERROR(IF([1]财务取数接口!$H$450=0,"",[1]财务取数接口!$H$450),""))</f>
        <v/>
      </c>
      <c r="H451" s="39" t="str">
        <f aca="false">IF($T$4=0,IF($O451="","",$O451),IFERROR(IF([1]财务取数接口!$I$450=0,"",[1]财务取数接口!$I$450),""))</f>
        <v/>
      </c>
      <c r="I451" s="42"/>
      <c r="J451" s="43"/>
      <c r="K451" s="42"/>
      <c r="L451" s="42"/>
      <c r="M451" s="44"/>
      <c r="N451" s="44"/>
      <c r="O451" s="43"/>
      <c r="P451" s="45" t="n">
        <f aca="false">IF(AND($C451&lt;&gt;"",$C451&lt;&gt;"项目",OR(N($D451)&lt;&gt;0,N($E451)&lt;&gt;0,N($F451)&lt;&gt;0)),1,0)</f>
        <v>0</v>
      </c>
      <c r="Q451" s="45" t="n">
        <f aca="false">N(Q450)+$P451</f>
        <v>11</v>
      </c>
    </row>
    <row r="452" customFormat="false" ht="13.5" hidden="false" customHeight="false" outlineLevel="0" collapsed="false">
      <c r="A452" s="9" t="n">
        <v>451</v>
      </c>
      <c r="B452" s="40" t="str">
        <f aca="false">IF($T$4=0,IF($I452="","",$I452),IFERROR(IF([1]财务取数接口!$B$451=0,"",[1]财务取数接口!$B$451),""))</f>
        <v/>
      </c>
      <c r="C452" s="39" t="str">
        <f aca="false">IF($T$4=0,IF($J452="","",$J452),IFERROR(IF([1]财务取数接口!$C$451=0,"",[1]财务取数接口!$C$451),""))</f>
        <v/>
      </c>
      <c r="D452" s="40" t="str">
        <f aca="false">IF($T$4=0,IF($K452="","",$K452),IFERROR(IF([1]财务取数接口!$D$451=0,"",[1]财务取数接口!$D$451),""))</f>
        <v/>
      </c>
      <c r="E452" s="40" t="str">
        <f aca="false">IF($T$4=0,IF($L452="","",$L452),IFERROR(IF([1]财务取数接口!$E$451=0,"",[1]财务取数接口!$E$451),""))</f>
        <v/>
      </c>
      <c r="F452" s="41" t="str">
        <f aca="false">IF($T$4=0,IF($M452="","",$M452),IFERROR(IF([1]财务取数接口!$G$451=0,"",[1]财务取数接口!$G$451),""))</f>
        <v/>
      </c>
      <c r="G452" s="41" t="str">
        <f aca="false">IF($T$4=0,IF($N452="","",$N452),IFERROR(IF([1]财务取数接口!$H$451=0,"",[1]财务取数接口!$H$451),""))</f>
        <v/>
      </c>
      <c r="H452" s="39" t="str">
        <f aca="false">IF($T$4=0,IF($O452="","",$O452),IFERROR(IF([1]财务取数接口!$I$451=0,"",[1]财务取数接口!$I$451),""))</f>
        <v/>
      </c>
      <c r="I452" s="42"/>
      <c r="J452" s="43"/>
      <c r="K452" s="42"/>
      <c r="L452" s="42"/>
      <c r="M452" s="44"/>
      <c r="N452" s="44"/>
      <c r="O452" s="43"/>
      <c r="P452" s="45" t="n">
        <f aca="false">IF(AND($C452&lt;&gt;"",$C452&lt;&gt;"项目",OR(N($D452)&lt;&gt;0,N($E452)&lt;&gt;0,N($F452)&lt;&gt;0)),1,0)</f>
        <v>0</v>
      </c>
      <c r="Q452" s="45" t="n">
        <f aca="false">N(Q451)+$P452</f>
        <v>11</v>
      </c>
    </row>
    <row r="453" customFormat="false" ht="13.5" hidden="false" customHeight="false" outlineLevel="0" collapsed="false">
      <c r="A453" s="9" t="n">
        <v>452</v>
      </c>
      <c r="B453" s="40" t="str">
        <f aca="false">IF($T$4=0,IF($I453="","",$I453),IFERROR(IF([1]财务取数接口!$B$452=0,"",[1]财务取数接口!$B$452),""))</f>
        <v/>
      </c>
      <c r="C453" s="39" t="str">
        <f aca="false">IF($T$4=0,IF($J453="","",$J453),IFERROR(IF([1]财务取数接口!$C$452=0,"",[1]财务取数接口!$C$452),""))</f>
        <v/>
      </c>
      <c r="D453" s="40" t="str">
        <f aca="false">IF($T$4=0,IF($K453="","",$K453),IFERROR(IF([1]财务取数接口!$D$452=0,"",[1]财务取数接口!$D$452),""))</f>
        <v/>
      </c>
      <c r="E453" s="40" t="str">
        <f aca="false">IF($T$4=0,IF($L453="","",$L453),IFERROR(IF([1]财务取数接口!$E$452=0,"",[1]财务取数接口!$E$452),""))</f>
        <v/>
      </c>
      <c r="F453" s="41" t="str">
        <f aca="false">IF($T$4=0,IF($M453="","",$M453),IFERROR(IF([1]财务取数接口!$G$452=0,"",[1]财务取数接口!$G$452),""))</f>
        <v/>
      </c>
      <c r="G453" s="41" t="str">
        <f aca="false">IF($T$4=0,IF($N453="","",$N453),IFERROR(IF([1]财务取数接口!$H$452=0,"",[1]财务取数接口!$H$452),""))</f>
        <v/>
      </c>
      <c r="H453" s="39" t="str">
        <f aca="false">IF($T$4=0,IF($O453="","",$O453),IFERROR(IF([1]财务取数接口!$I$452=0,"",[1]财务取数接口!$I$452),""))</f>
        <v/>
      </c>
      <c r="I453" s="42"/>
      <c r="J453" s="43"/>
      <c r="K453" s="42"/>
      <c r="L453" s="42"/>
      <c r="M453" s="44"/>
      <c r="N453" s="44"/>
      <c r="O453" s="43"/>
      <c r="P453" s="45" t="n">
        <f aca="false">IF(AND($C453&lt;&gt;"",$C453&lt;&gt;"项目",OR(N($D453)&lt;&gt;0,N($E453)&lt;&gt;0,N($F453)&lt;&gt;0)),1,0)</f>
        <v>0</v>
      </c>
      <c r="Q453" s="45" t="n">
        <f aca="false">N(Q452)+$P453</f>
        <v>11</v>
      </c>
    </row>
    <row r="454" customFormat="false" ht="13.5" hidden="false" customHeight="false" outlineLevel="0" collapsed="false">
      <c r="A454" s="9" t="n">
        <v>453</v>
      </c>
      <c r="B454" s="40" t="str">
        <f aca="false">IF($T$4=0,IF($I454="","",$I454),IFERROR(IF([1]财务取数接口!$B$453=0,"",[1]财务取数接口!$B$453),""))</f>
        <v/>
      </c>
      <c r="C454" s="39" t="str">
        <f aca="false">IF($T$4=0,IF($J454="","",$J454),IFERROR(IF([1]财务取数接口!$C$453=0,"",[1]财务取数接口!$C$453),""))</f>
        <v/>
      </c>
      <c r="D454" s="40" t="str">
        <f aca="false">IF($T$4=0,IF($K454="","",$K454),IFERROR(IF([1]财务取数接口!$D$453=0,"",[1]财务取数接口!$D$453),""))</f>
        <v/>
      </c>
      <c r="E454" s="40" t="str">
        <f aca="false">IF($T$4=0,IF($L454="","",$L454),IFERROR(IF([1]财务取数接口!$E$453=0,"",[1]财务取数接口!$E$453),""))</f>
        <v/>
      </c>
      <c r="F454" s="41" t="str">
        <f aca="false">IF($T$4=0,IF($M454="","",$M454),IFERROR(IF([1]财务取数接口!$G$453=0,"",[1]财务取数接口!$G$453),""))</f>
        <v/>
      </c>
      <c r="G454" s="41" t="str">
        <f aca="false">IF($T$4=0,IF($N454="","",$N454),IFERROR(IF([1]财务取数接口!$H$453=0,"",[1]财务取数接口!$H$453),""))</f>
        <v/>
      </c>
      <c r="H454" s="39" t="str">
        <f aca="false">IF($T$4=0,IF($O454="","",$O454),IFERROR(IF([1]财务取数接口!$I$453=0,"",[1]财务取数接口!$I$453),""))</f>
        <v/>
      </c>
      <c r="I454" s="42"/>
      <c r="J454" s="43"/>
      <c r="K454" s="42"/>
      <c r="L454" s="42"/>
      <c r="M454" s="44"/>
      <c r="N454" s="44"/>
      <c r="O454" s="43"/>
      <c r="P454" s="45" t="n">
        <f aca="false">IF(AND($C454&lt;&gt;"",$C454&lt;&gt;"项目",OR(N($D454)&lt;&gt;0,N($E454)&lt;&gt;0,N($F454)&lt;&gt;0)),1,0)</f>
        <v>0</v>
      </c>
      <c r="Q454" s="45" t="n">
        <f aca="false">N(Q453)+$P454</f>
        <v>11</v>
      </c>
    </row>
    <row r="455" customFormat="false" ht="13.5" hidden="false" customHeight="false" outlineLevel="0" collapsed="false">
      <c r="A455" s="9" t="n">
        <v>454</v>
      </c>
      <c r="B455" s="40" t="str">
        <f aca="false">IF($T$4=0,IF($I455="","",$I455),IFERROR(IF([1]财务取数接口!$B$454=0,"",[1]财务取数接口!$B$454),""))</f>
        <v/>
      </c>
      <c r="C455" s="39" t="str">
        <f aca="false">IF($T$4=0,IF($J455="","",$J455),IFERROR(IF([1]财务取数接口!$C$454=0,"",[1]财务取数接口!$C$454),""))</f>
        <v/>
      </c>
      <c r="D455" s="40" t="str">
        <f aca="false">IF($T$4=0,IF($K455="","",$K455),IFERROR(IF([1]财务取数接口!$D$454=0,"",[1]财务取数接口!$D$454),""))</f>
        <v/>
      </c>
      <c r="E455" s="40" t="str">
        <f aca="false">IF($T$4=0,IF($L455="","",$L455),IFERROR(IF([1]财务取数接口!$E$454=0,"",[1]财务取数接口!$E$454),""))</f>
        <v/>
      </c>
      <c r="F455" s="41" t="str">
        <f aca="false">IF($T$4=0,IF($M455="","",$M455),IFERROR(IF([1]财务取数接口!$G$454=0,"",[1]财务取数接口!$G$454),""))</f>
        <v/>
      </c>
      <c r="G455" s="41" t="str">
        <f aca="false">IF($T$4=0,IF($N455="","",$N455),IFERROR(IF([1]财务取数接口!$H$454=0,"",[1]财务取数接口!$H$454),""))</f>
        <v/>
      </c>
      <c r="H455" s="39" t="str">
        <f aca="false">IF($T$4=0,IF($O455="","",$O455),IFERROR(IF([1]财务取数接口!$I$454=0,"",[1]财务取数接口!$I$454),""))</f>
        <v/>
      </c>
      <c r="I455" s="42"/>
      <c r="J455" s="43"/>
      <c r="K455" s="42"/>
      <c r="L455" s="42"/>
      <c r="M455" s="44"/>
      <c r="N455" s="44"/>
      <c r="O455" s="43"/>
      <c r="P455" s="45" t="n">
        <f aca="false">IF(AND($C455&lt;&gt;"",$C455&lt;&gt;"项目",OR(N($D455)&lt;&gt;0,N($E455)&lt;&gt;0,N($F455)&lt;&gt;0)),1,0)</f>
        <v>0</v>
      </c>
      <c r="Q455" s="45" t="n">
        <f aca="false">N(Q454)+$P455</f>
        <v>11</v>
      </c>
    </row>
    <row r="456" customFormat="false" ht="13.5" hidden="false" customHeight="false" outlineLevel="0" collapsed="false">
      <c r="A456" s="9" t="n">
        <v>455</v>
      </c>
      <c r="B456" s="40" t="str">
        <f aca="false">IF($T$4=0,IF($I456="","",$I456),IFERROR(IF([1]财务取数接口!$B$455=0,"",[1]财务取数接口!$B$455),""))</f>
        <v/>
      </c>
      <c r="C456" s="39" t="str">
        <f aca="false">IF($T$4=0,IF($J456="","",$J456),IFERROR(IF([1]财务取数接口!$C$455=0,"",[1]财务取数接口!$C$455),""))</f>
        <v/>
      </c>
      <c r="D456" s="40" t="str">
        <f aca="false">IF($T$4=0,IF($K456="","",$K456),IFERROR(IF([1]财务取数接口!$D$455=0,"",[1]财务取数接口!$D$455),""))</f>
        <v/>
      </c>
      <c r="E456" s="40" t="str">
        <f aca="false">IF($T$4=0,IF($L456="","",$L456),IFERROR(IF([1]财务取数接口!$E$455=0,"",[1]财务取数接口!$E$455),""))</f>
        <v/>
      </c>
      <c r="F456" s="41" t="str">
        <f aca="false">IF($T$4=0,IF($M456="","",$M456),IFERROR(IF([1]财务取数接口!$G$455=0,"",[1]财务取数接口!$G$455),""))</f>
        <v/>
      </c>
      <c r="G456" s="41" t="str">
        <f aca="false">IF($T$4=0,IF($N456="","",$N456),IFERROR(IF([1]财务取数接口!$H$455=0,"",[1]财务取数接口!$H$455),""))</f>
        <v/>
      </c>
      <c r="H456" s="39" t="str">
        <f aca="false">IF($T$4=0,IF($O456="","",$O456),IFERROR(IF([1]财务取数接口!$I$455=0,"",[1]财务取数接口!$I$455),""))</f>
        <v/>
      </c>
      <c r="I456" s="42"/>
      <c r="J456" s="43"/>
      <c r="K456" s="42"/>
      <c r="L456" s="42"/>
      <c r="M456" s="44"/>
      <c r="N456" s="44"/>
      <c r="O456" s="43"/>
      <c r="P456" s="45" t="n">
        <f aca="false">IF(AND($C456&lt;&gt;"",$C456&lt;&gt;"项目",OR(N($D456)&lt;&gt;0,N($E456)&lt;&gt;0,N($F456)&lt;&gt;0)),1,0)</f>
        <v>0</v>
      </c>
      <c r="Q456" s="45" t="n">
        <f aca="false">N(Q455)+$P456</f>
        <v>11</v>
      </c>
    </row>
    <row r="457" customFormat="false" ht="13.5" hidden="false" customHeight="false" outlineLevel="0" collapsed="false">
      <c r="A457" s="9" t="n">
        <v>456</v>
      </c>
      <c r="B457" s="40" t="str">
        <f aca="false">IF($T$4=0,IF($I457="","",$I457),IFERROR(IF([1]财务取数接口!$B$456=0,"",[1]财务取数接口!$B$456),""))</f>
        <v/>
      </c>
      <c r="C457" s="39" t="str">
        <f aca="false">IF($T$4=0,IF($J457="","",$J457),IFERROR(IF([1]财务取数接口!$C$456=0,"",[1]财务取数接口!$C$456),""))</f>
        <v/>
      </c>
      <c r="D457" s="40" t="str">
        <f aca="false">IF($T$4=0,IF($K457="","",$K457),IFERROR(IF([1]财务取数接口!$D$456=0,"",[1]财务取数接口!$D$456),""))</f>
        <v/>
      </c>
      <c r="E457" s="40" t="str">
        <f aca="false">IF($T$4=0,IF($L457="","",$L457),IFERROR(IF([1]财务取数接口!$E$456=0,"",[1]财务取数接口!$E$456),""))</f>
        <v/>
      </c>
      <c r="F457" s="41" t="str">
        <f aca="false">IF($T$4=0,IF($M457="","",$M457),IFERROR(IF([1]财务取数接口!$G$456=0,"",[1]财务取数接口!$G$456),""))</f>
        <v/>
      </c>
      <c r="G457" s="41" t="str">
        <f aca="false">IF($T$4=0,IF($N457="","",$N457),IFERROR(IF([1]财务取数接口!$H$456=0,"",[1]财务取数接口!$H$456),""))</f>
        <v/>
      </c>
      <c r="H457" s="39" t="str">
        <f aca="false">IF($T$4=0,IF($O457="","",$O457),IFERROR(IF([1]财务取数接口!$I$456=0,"",[1]财务取数接口!$I$456),""))</f>
        <v/>
      </c>
      <c r="I457" s="42"/>
      <c r="J457" s="43"/>
      <c r="K457" s="42"/>
      <c r="L457" s="42"/>
      <c r="M457" s="44"/>
      <c r="N457" s="44"/>
      <c r="O457" s="43"/>
      <c r="P457" s="45" t="n">
        <f aca="false">IF(AND($C457&lt;&gt;"",$C457&lt;&gt;"项目",OR(N($D457)&lt;&gt;0,N($E457)&lt;&gt;0,N($F457)&lt;&gt;0)),1,0)</f>
        <v>0</v>
      </c>
      <c r="Q457" s="45" t="n">
        <f aca="false">N(Q456)+$P457</f>
        <v>11</v>
      </c>
    </row>
    <row r="458" customFormat="false" ht="13.5" hidden="false" customHeight="false" outlineLevel="0" collapsed="false">
      <c r="A458" s="9" t="n">
        <v>457</v>
      </c>
      <c r="B458" s="40" t="str">
        <f aca="false">IF($T$4=0,IF($I458="","",$I458),IFERROR(IF([1]财务取数接口!$B$457=0,"",[1]财务取数接口!$B$457),""))</f>
        <v/>
      </c>
      <c r="C458" s="39" t="str">
        <f aca="false">IF($T$4=0,IF($J458="","",$J458),IFERROR(IF([1]财务取数接口!$C$457=0,"",[1]财务取数接口!$C$457),""))</f>
        <v/>
      </c>
      <c r="D458" s="40" t="str">
        <f aca="false">IF($T$4=0,IF($K458="","",$K458),IFERROR(IF([1]财务取数接口!$D$457=0,"",[1]财务取数接口!$D$457),""))</f>
        <v/>
      </c>
      <c r="E458" s="40" t="str">
        <f aca="false">IF($T$4=0,IF($L458="","",$L458),IFERROR(IF([1]财务取数接口!$E$457=0,"",[1]财务取数接口!$E$457),""))</f>
        <v/>
      </c>
      <c r="F458" s="41" t="str">
        <f aca="false">IF($T$4=0,IF($M458="","",$M458),IFERROR(IF([1]财务取数接口!$G$457=0,"",[1]财务取数接口!$G$457),""))</f>
        <v/>
      </c>
      <c r="G458" s="41" t="str">
        <f aca="false">IF($T$4=0,IF($N458="","",$N458),IFERROR(IF([1]财务取数接口!$H$457=0,"",[1]财务取数接口!$H$457),""))</f>
        <v/>
      </c>
      <c r="H458" s="39" t="str">
        <f aca="false">IF($T$4=0,IF($O458="","",$O458),IFERROR(IF([1]财务取数接口!$I$457=0,"",[1]财务取数接口!$I$457),""))</f>
        <v/>
      </c>
      <c r="I458" s="42"/>
      <c r="J458" s="43"/>
      <c r="K458" s="42"/>
      <c r="L458" s="42"/>
      <c r="M458" s="44"/>
      <c r="N458" s="44"/>
      <c r="O458" s="43"/>
      <c r="P458" s="45" t="n">
        <f aca="false">IF(AND($C458&lt;&gt;"",$C458&lt;&gt;"项目",OR(N($D458)&lt;&gt;0,N($E458)&lt;&gt;0,N($F458)&lt;&gt;0)),1,0)</f>
        <v>0</v>
      </c>
      <c r="Q458" s="45" t="n">
        <f aca="false">N(Q457)+$P458</f>
        <v>11</v>
      </c>
    </row>
    <row r="459" customFormat="false" ht="13.5" hidden="false" customHeight="false" outlineLevel="0" collapsed="false">
      <c r="A459" s="9" t="n">
        <v>458</v>
      </c>
      <c r="B459" s="40" t="str">
        <f aca="false">IF($T$4=0,IF($I459="","",$I459),IFERROR(IF([1]财务取数接口!$B$458=0,"",[1]财务取数接口!$B$458),""))</f>
        <v/>
      </c>
      <c r="C459" s="39" t="str">
        <f aca="false">IF($T$4=0,IF($J459="","",$J459),IFERROR(IF([1]财务取数接口!$C$458=0,"",[1]财务取数接口!$C$458),""))</f>
        <v/>
      </c>
      <c r="D459" s="40" t="str">
        <f aca="false">IF($T$4=0,IF($K459="","",$K459),IFERROR(IF([1]财务取数接口!$D$458=0,"",[1]财务取数接口!$D$458),""))</f>
        <v/>
      </c>
      <c r="E459" s="40" t="str">
        <f aca="false">IF($T$4=0,IF($L459="","",$L459),IFERROR(IF([1]财务取数接口!$E$458=0,"",[1]财务取数接口!$E$458),""))</f>
        <v/>
      </c>
      <c r="F459" s="41" t="str">
        <f aca="false">IF($T$4=0,IF($M459="","",$M459),IFERROR(IF([1]财务取数接口!$G$458=0,"",[1]财务取数接口!$G$458),""))</f>
        <v/>
      </c>
      <c r="G459" s="41" t="str">
        <f aca="false">IF($T$4=0,IF($N459="","",$N459),IFERROR(IF([1]财务取数接口!$H$458=0,"",[1]财务取数接口!$H$458),""))</f>
        <v/>
      </c>
      <c r="H459" s="39" t="str">
        <f aca="false">IF($T$4=0,IF($O459="","",$O459),IFERROR(IF([1]财务取数接口!$I$458=0,"",[1]财务取数接口!$I$458),""))</f>
        <v/>
      </c>
      <c r="I459" s="42"/>
      <c r="J459" s="43"/>
      <c r="K459" s="42"/>
      <c r="L459" s="42"/>
      <c r="M459" s="44"/>
      <c r="N459" s="44"/>
      <c r="O459" s="43"/>
      <c r="P459" s="45" t="n">
        <f aca="false">IF(AND($C459&lt;&gt;"",$C459&lt;&gt;"项目",OR(N($D459)&lt;&gt;0,N($E459)&lt;&gt;0,N($F459)&lt;&gt;0)),1,0)</f>
        <v>0</v>
      </c>
      <c r="Q459" s="45" t="n">
        <f aca="false">N(Q458)+$P459</f>
        <v>11</v>
      </c>
    </row>
    <row r="460" customFormat="false" ht="13.5" hidden="false" customHeight="false" outlineLevel="0" collapsed="false">
      <c r="A460" s="9" t="n">
        <v>459</v>
      </c>
      <c r="B460" s="40" t="str">
        <f aca="false">IF($T$4=0,IF($I460="","",$I460),IFERROR(IF([1]财务取数接口!$B$459=0,"",[1]财务取数接口!$B$459),""))</f>
        <v/>
      </c>
      <c r="C460" s="39" t="str">
        <f aca="false">IF($T$4=0,IF($J460="","",$J460),IFERROR(IF([1]财务取数接口!$C$459=0,"",[1]财务取数接口!$C$459),""))</f>
        <v/>
      </c>
      <c r="D460" s="40" t="str">
        <f aca="false">IF($T$4=0,IF($K460="","",$K460),IFERROR(IF([1]财务取数接口!$D$459=0,"",[1]财务取数接口!$D$459),""))</f>
        <v/>
      </c>
      <c r="E460" s="40" t="str">
        <f aca="false">IF($T$4=0,IF($L460="","",$L460),IFERROR(IF([1]财务取数接口!$E$459=0,"",[1]财务取数接口!$E$459),""))</f>
        <v/>
      </c>
      <c r="F460" s="41" t="str">
        <f aca="false">IF($T$4=0,IF($M460="","",$M460),IFERROR(IF([1]财务取数接口!$G$459=0,"",[1]财务取数接口!$G$459),""))</f>
        <v/>
      </c>
      <c r="G460" s="41" t="str">
        <f aca="false">IF($T$4=0,IF($N460="","",$N460),IFERROR(IF([1]财务取数接口!$H$459=0,"",[1]财务取数接口!$H$459),""))</f>
        <v/>
      </c>
      <c r="H460" s="39" t="str">
        <f aca="false">IF($T$4=0,IF($O460="","",$O460),IFERROR(IF([1]财务取数接口!$I$459=0,"",[1]财务取数接口!$I$459),""))</f>
        <v/>
      </c>
      <c r="I460" s="42"/>
      <c r="J460" s="43"/>
      <c r="K460" s="42"/>
      <c r="L460" s="42"/>
      <c r="M460" s="44"/>
      <c r="N460" s="44"/>
      <c r="O460" s="43"/>
      <c r="P460" s="45" t="n">
        <f aca="false">IF(AND($C460&lt;&gt;"",$C460&lt;&gt;"项目",OR(N($D460)&lt;&gt;0,N($E460)&lt;&gt;0,N($F460)&lt;&gt;0)),1,0)</f>
        <v>0</v>
      </c>
      <c r="Q460" s="45" t="n">
        <f aca="false">N(Q459)+$P460</f>
        <v>11</v>
      </c>
    </row>
    <row r="461" customFormat="false" ht="13.5" hidden="false" customHeight="false" outlineLevel="0" collapsed="false">
      <c r="A461" s="9" t="n">
        <v>460</v>
      </c>
      <c r="B461" s="40" t="str">
        <f aca="false">IF($T$4=0,IF($I461="","",$I461),IFERROR(IF([1]财务取数接口!$B$460=0,"",[1]财务取数接口!$B$460),""))</f>
        <v/>
      </c>
      <c r="C461" s="39" t="str">
        <f aca="false">IF($T$4=0,IF($J461="","",$J461),IFERROR(IF([1]财务取数接口!$C$460=0,"",[1]财务取数接口!$C$460),""))</f>
        <v/>
      </c>
      <c r="D461" s="40" t="str">
        <f aca="false">IF($T$4=0,IF($K461="","",$K461),IFERROR(IF([1]财务取数接口!$D$460=0,"",[1]财务取数接口!$D$460),""))</f>
        <v/>
      </c>
      <c r="E461" s="40" t="str">
        <f aca="false">IF($T$4=0,IF($L461="","",$L461),IFERROR(IF([1]财务取数接口!$E$460=0,"",[1]财务取数接口!$E$460),""))</f>
        <v/>
      </c>
      <c r="F461" s="41" t="str">
        <f aca="false">IF($T$4=0,IF($M461="","",$M461),IFERROR(IF([1]财务取数接口!$G$460=0,"",[1]财务取数接口!$G$460),""))</f>
        <v/>
      </c>
      <c r="G461" s="41" t="str">
        <f aca="false">IF($T$4=0,IF($N461="","",$N461),IFERROR(IF([1]财务取数接口!$H$460=0,"",[1]财务取数接口!$H$460),""))</f>
        <v/>
      </c>
      <c r="H461" s="39" t="str">
        <f aca="false">IF($T$4=0,IF($O461="","",$O461),IFERROR(IF([1]财务取数接口!$I$460=0,"",[1]财务取数接口!$I$460),""))</f>
        <v/>
      </c>
      <c r="I461" s="42"/>
      <c r="J461" s="43"/>
      <c r="K461" s="42"/>
      <c r="L461" s="42"/>
      <c r="M461" s="44"/>
      <c r="N461" s="44"/>
      <c r="O461" s="43"/>
      <c r="P461" s="45" t="n">
        <f aca="false">IF(AND($C461&lt;&gt;"",$C461&lt;&gt;"项目",OR(N($D461)&lt;&gt;0,N($E461)&lt;&gt;0,N($F461)&lt;&gt;0)),1,0)</f>
        <v>0</v>
      </c>
      <c r="Q461" s="45" t="n">
        <f aca="false">N(Q460)+$P461</f>
        <v>11</v>
      </c>
    </row>
    <row r="462" customFormat="false" ht="13.5" hidden="false" customHeight="false" outlineLevel="0" collapsed="false">
      <c r="A462" s="9" t="n">
        <v>461</v>
      </c>
      <c r="B462" s="40" t="str">
        <f aca="false">IF($T$4=0,IF($I462="","",$I462),IFERROR(IF([1]财务取数接口!$B$461=0,"",[1]财务取数接口!$B$461),""))</f>
        <v/>
      </c>
      <c r="C462" s="39" t="str">
        <f aca="false">IF($T$4=0,IF($J462="","",$J462),IFERROR(IF([1]财务取数接口!$C$461=0,"",[1]财务取数接口!$C$461),""))</f>
        <v/>
      </c>
      <c r="D462" s="40" t="str">
        <f aca="false">IF($T$4=0,IF($K462="","",$K462),IFERROR(IF([1]财务取数接口!$D$461=0,"",[1]财务取数接口!$D$461),""))</f>
        <v/>
      </c>
      <c r="E462" s="40" t="str">
        <f aca="false">IF($T$4=0,IF($L462="","",$L462),IFERROR(IF([1]财务取数接口!$E$461=0,"",[1]财务取数接口!$E$461),""))</f>
        <v/>
      </c>
      <c r="F462" s="41" t="str">
        <f aca="false">IF($T$4=0,IF($M462="","",$M462),IFERROR(IF([1]财务取数接口!$G$461=0,"",[1]财务取数接口!$G$461),""))</f>
        <v/>
      </c>
      <c r="G462" s="41" t="str">
        <f aca="false">IF($T$4=0,IF($N462="","",$N462),IFERROR(IF([1]财务取数接口!$H$461=0,"",[1]财务取数接口!$H$461),""))</f>
        <v/>
      </c>
      <c r="H462" s="39" t="str">
        <f aca="false">IF($T$4=0,IF($O462="","",$O462),IFERROR(IF([1]财务取数接口!$I$461=0,"",[1]财务取数接口!$I$461),""))</f>
        <v/>
      </c>
      <c r="I462" s="42"/>
      <c r="J462" s="43"/>
      <c r="K462" s="42"/>
      <c r="L462" s="42"/>
      <c r="M462" s="44"/>
      <c r="N462" s="44"/>
      <c r="O462" s="43"/>
      <c r="P462" s="45" t="n">
        <f aca="false">IF(AND($C462&lt;&gt;"",$C462&lt;&gt;"项目",OR(N($D462)&lt;&gt;0,N($E462)&lt;&gt;0,N($F462)&lt;&gt;0)),1,0)</f>
        <v>0</v>
      </c>
      <c r="Q462" s="45" t="n">
        <f aca="false">N(Q461)+$P462</f>
        <v>11</v>
      </c>
    </row>
    <row r="463" customFormat="false" ht="13.5" hidden="false" customHeight="false" outlineLevel="0" collapsed="false">
      <c r="A463" s="9" t="n">
        <v>462</v>
      </c>
      <c r="B463" s="40" t="str">
        <f aca="false">IF($T$4=0,IF($I463="","",$I463),IFERROR(IF([1]财务取数接口!$B$462=0,"",[1]财务取数接口!$B$462),""))</f>
        <v/>
      </c>
      <c r="C463" s="39" t="str">
        <f aca="false">IF($T$4=0,IF($J463="","",$J463),IFERROR(IF([1]财务取数接口!$C$462=0,"",[1]财务取数接口!$C$462),""))</f>
        <v/>
      </c>
      <c r="D463" s="40" t="str">
        <f aca="false">IF($T$4=0,IF($K463="","",$K463),IFERROR(IF([1]财务取数接口!$D$462=0,"",[1]财务取数接口!$D$462),""))</f>
        <v/>
      </c>
      <c r="E463" s="40" t="str">
        <f aca="false">IF($T$4=0,IF($L463="","",$L463),IFERROR(IF([1]财务取数接口!$E$462=0,"",[1]财务取数接口!$E$462),""))</f>
        <v/>
      </c>
      <c r="F463" s="41" t="str">
        <f aca="false">IF($T$4=0,IF($M463="","",$M463),IFERROR(IF([1]财务取数接口!$G$462=0,"",[1]财务取数接口!$G$462),""))</f>
        <v/>
      </c>
      <c r="G463" s="41" t="str">
        <f aca="false">IF($T$4=0,IF($N463="","",$N463),IFERROR(IF([1]财务取数接口!$H$462=0,"",[1]财务取数接口!$H$462),""))</f>
        <v/>
      </c>
      <c r="H463" s="39" t="str">
        <f aca="false">IF($T$4=0,IF($O463="","",$O463),IFERROR(IF([1]财务取数接口!$I$462=0,"",[1]财务取数接口!$I$462),""))</f>
        <v/>
      </c>
      <c r="I463" s="42"/>
      <c r="J463" s="43"/>
      <c r="K463" s="42"/>
      <c r="L463" s="42"/>
      <c r="M463" s="44"/>
      <c r="N463" s="44"/>
      <c r="O463" s="43"/>
      <c r="P463" s="45" t="n">
        <f aca="false">IF(AND($C463&lt;&gt;"",$C463&lt;&gt;"项目",OR(N($D463)&lt;&gt;0,N($E463)&lt;&gt;0,N($F463)&lt;&gt;0)),1,0)</f>
        <v>0</v>
      </c>
      <c r="Q463" s="45" t="n">
        <f aca="false">N(Q462)+$P463</f>
        <v>11</v>
      </c>
    </row>
    <row r="464" customFormat="false" ht="13.5" hidden="false" customHeight="false" outlineLevel="0" collapsed="false">
      <c r="A464" s="9" t="n">
        <v>463</v>
      </c>
      <c r="B464" s="40" t="str">
        <f aca="false">IF($T$4=0,IF($I464="","",$I464),IFERROR(IF([1]财务取数接口!$B$463=0,"",[1]财务取数接口!$B$463),""))</f>
        <v/>
      </c>
      <c r="C464" s="39" t="str">
        <f aca="false">IF($T$4=0,IF($J464="","",$J464),IFERROR(IF([1]财务取数接口!$C$463=0,"",[1]财务取数接口!$C$463),""))</f>
        <v/>
      </c>
      <c r="D464" s="40" t="str">
        <f aca="false">IF($T$4=0,IF($K464="","",$K464),IFERROR(IF([1]财务取数接口!$D$463=0,"",[1]财务取数接口!$D$463),""))</f>
        <v/>
      </c>
      <c r="E464" s="40" t="str">
        <f aca="false">IF($T$4=0,IF($L464="","",$L464),IFERROR(IF([1]财务取数接口!$E$463=0,"",[1]财务取数接口!$E$463),""))</f>
        <v/>
      </c>
      <c r="F464" s="41" t="str">
        <f aca="false">IF($T$4=0,IF($M464="","",$M464),IFERROR(IF([1]财务取数接口!$G$463=0,"",[1]财务取数接口!$G$463),""))</f>
        <v/>
      </c>
      <c r="G464" s="41" t="str">
        <f aca="false">IF($T$4=0,IF($N464="","",$N464),IFERROR(IF([1]财务取数接口!$H$463=0,"",[1]财务取数接口!$H$463),""))</f>
        <v/>
      </c>
      <c r="H464" s="39" t="str">
        <f aca="false">IF($T$4=0,IF($O464="","",$O464),IFERROR(IF([1]财务取数接口!$I$463=0,"",[1]财务取数接口!$I$463),""))</f>
        <v/>
      </c>
      <c r="I464" s="42"/>
      <c r="J464" s="43"/>
      <c r="K464" s="42"/>
      <c r="L464" s="42"/>
      <c r="M464" s="44"/>
      <c r="N464" s="44"/>
      <c r="O464" s="43"/>
      <c r="P464" s="45" t="n">
        <f aca="false">IF(AND($C464&lt;&gt;"",$C464&lt;&gt;"项目",OR(N($D464)&lt;&gt;0,N($E464)&lt;&gt;0,N($F464)&lt;&gt;0)),1,0)</f>
        <v>0</v>
      </c>
      <c r="Q464" s="45" t="n">
        <f aca="false">N(Q463)+$P464</f>
        <v>11</v>
      </c>
    </row>
    <row r="465" customFormat="false" ht="13.5" hidden="false" customHeight="false" outlineLevel="0" collapsed="false">
      <c r="A465" s="9" t="n">
        <v>464</v>
      </c>
      <c r="B465" s="40" t="str">
        <f aca="false">IF($T$4=0,IF($I465="","",$I465),IFERROR(IF([1]财务取数接口!$B$464=0,"",[1]财务取数接口!$B$464),""))</f>
        <v/>
      </c>
      <c r="C465" s="39" t="str">
        <f aca="false">IF($T$4=0,IF($J465="","",$J465),IFERROR(IF([1]财务取数接口!$C$464=0,"",[1]财务取数接口!$C$464),""))</f>
        <v/>
      </c>
      <c r="D465" s="40" t="str">
        <f aca="false">IF($T$4=0,IF($K465="","",$K465),IFERROR(IF([1]财务取数接口!$D$464=0,"",[1]财务取数接口!$D$464),""))</f>
        <v/>
      </c>
      <c r="E465" s="40" t="str">
        <f aca="false">IF($T$4=0,IF($L465="","",$L465),IFERROR(IF([1]财务取数接口!$E$464=0,"",[1]财务取数接口!$E$464),""))</f>
        <v/>
      </c>
      <c r="F465" s="41" t="str">
        <f aca="false">IF($T$4=0,IF($M465="","",$M465),IFERROR(IF([1]财务取数接口!$G$464=0,"",[1]财务取数接口!$G$464),""))</f>
        <v/>
      </c>
      <c r="G465" s="41" t="str">
        <f aca="false">IF($T$4=0,IF($N465="","",$N465),IFERROR(IF([1]财务取数接口!$H$464=0,"",[1]财务取数接口!$H$464),""))</f>
        <v/>
      </c>
      <c r="H465" s="39" t="str">
        <f aca="false">IF($T$4=0,IF($O465="","",$O465),IFERROR(IF([1]财务取数接口!$I$464=0,"",[1]财务取数接口!$I$464),""))</f>
        <v/>
      </c>
      <c r="I465" s="42"/>
      <c r="J465" s="43"/>
      <c r="K465" s="42"/>
      <c r="L465" s="42"/>
      <c r="M465" s="44"/>
      <c r="N465" s="44"/>
      <c r="O465" s="43"/>
      <c r="P465" s="45" t="n">
        <f aca="false">IF(AND($C465&lt;&gt;"",$C465&lt;&gt;"项目",OR(N($D465)&lt;&gt;0,N($E465)&lt;&gt;0,N($F465)&lt;&gt;0)),1,0)</f>
        <v>0</v>
      </c>
      <c r="Q465" s="45" t="n">
        <f aca="false">N(Q464)+$P465</f>
        <v>11</v>
      </c>
    </row>
    <row r="466" customFormat="false" ht="13.5" hidden="false" customHeight="false" outlineLevel="0" collapsed="false">
      <c r="A466" s="9" t="n">
        <v>465</v>
      </c>
      <c r="B466" s="40" t="str">
        <f aca="false">IF($T$4=0,IF($I466="","",$I466),IFERROR(IF([1]财务取数接口!$B$465=0,"",[1]财务取数接口!$B$465),""))</f>
        <v/>
      </c>
      <c r="C466" s="39" t="str">
        <f aca="false">IF($T$4=0,IF($J466="","",$J466),IFERROR(IF([1]财务取数接口!$C$465=0,"",[1]财务取数接口!$C$465),""))</f>
        <v/>
      </c>
      <c r="D466" s="40" t="str">
        <f aca="false">IF($T$4=0,IF($K466="","",$K466),IFERROR(IF([1]财务取数接口!$D$465=0,"",[1]财务取数接口!$D$465),""))</f>
        <v/>
      </c>
      <c r="E466" s="40" t="str">
        <f aca="false">IF($T$4=0,IF($L466="","",$L466),IFERROR(IF([1]财务取数接口!$E$465=0,"",[1]财务取数接口!$E$465),""))</f>
        <v/>
      </c>
      <c r="F466" s="41" t="str">
        <f aca="false">IF($T$4=0,IF($M466="","",$M466),IFERROR(IF([1]财务取数接口!$G$465=0,"",[1]财务取数接口!$G$465),""))</f>
        <v/>
      </c>
      <c r="G466" s="41" t="str">
        <f aca="false">IF($T$4=0,IF($N466="","",$N466),IFERROR(IF([1]财务取数接口!$H$465=0,"",[1]财务取数接口!$H$465),""))</f>
        <v/>
      </c>
      <c r="H466" s="39" t="str">
        <f aca="false">IF($T$4=0,IF($O466="","",$O466),IFERROR(IF([1]财务取数接口!$I$465=0,"",[1]财务取数接口!$I$465),""))</f>
        <v/>
      </c>
      <c r="I466" s="42"/>
      <c r="J466" s="43"/>
      <c r="K466" s="42"/>
      <c r="L466" s="42"/>
      <c r="M466" s="44"/>
      <c r="N466" s="44"/>
      <c r="O466" s="43"/>
      <c r="P466" s="45" t="n">
        <f aca="false">IF(AND($C466&lt;&gt;"",$C466&lt;&gt;"项目",OR(N($D466)&lt;&gt;0,N($E466)&lt;&gt;0,N($F466)&lt;&gt;0)),1,0)</f>
        <v>0</v>
      </c>
      <c r="Q466" s="45" t="n">
        <f aca="false">N(Q465)+$P466</f>
        <v>11</v>
      </c>
    </row>
    <row r="467" customFormat="false" ht="13.5" hidden="false" customHeight="false" outlineLevel="0" collapsed="false">
      <c r="A467" s="9" t="n">
        <v>466</v>
      </c>
      <c r="B467" s="40" t="str">
        <f aca="false">IF($T$4=0,IF($I467="","",$I467),IFERROR(IF([1]财务取数接口!$B$466=0,"",[1]财务取数接口!$B$466),""))</f>
        <v/>
      </c>
      <c r="C467" s="39" t="str">
        <f aca="false">IF($T$4=0,IF($J467="","",$J467),IFERROR(IF([1]财务取数接口!$C$466=0,"",[1]财务取数接口!$C$466),""))</f>
        <v/>
      </c>
      <c r="D467" s="40" t="str">
        <f aca="false">IF($T$4=0,IF($K467="","",$K467),IFERROR(IF([1]财务取数接口!$D$466=0,"",[1]财务取数接口!$D$466),""))</f>
        <v/>
      </c>
      <c r="E467" s="40" t="str">
        <f aca="false">IF($T$4=0,IF($L467="","",$L467),IFERROR(IF([1]财务取数接口!$E$466=0,"",[1]财务取数接口!$E$466),""))</f>
        <v/>
      </c>
      <c r="F467" s="41" t="str">
        <f aca="false">IF($T$4=0,IF($M467="","",$M467),IFERROR(IF([1]财务取数接口!$G$466=0,"",[1]财务取数接口!$G$466),""))</f>
        <v/>
      </c>
      <c r="G467" s="41" t="str">
        <f aca="false">IF($T$4=0,IF($N467="","",$N467),IFERROR(IF([1]财务取数接口!$H$466=0,"",[1]财务取数接口!$H$466),""))</f>
        <v/>
      </c>
      <c r="H467" s="39" t="str">
        <f aca="false">IF($T$4=0,IF($O467="","",$O467),IFERROR(IF([1]财务取数接口!$I$466=0,"",[1]财务取数接口!$I$466),""))</f>
        <v/>
      </c>
      <c r="I467" s="42"/>
      <c r="J467" s="43"/>
      <c r="K467" s="42"/>
      <c r="L467" s="42"/>
      <c r="M467" s="44"/>
      <c r="N467" s="44"/>
      <c r="O467" s="43"/>
      <c r="P467" s="45" t="n">
        <f aca="false">IF(AND($C467&lt;&gt;"",$C467&lt;&gt;"项目",OR(N($D467)&lt;&gt;0,N($E467)&lt;&gt;0,N($F467)&lt;&gt;0)),1,0)</f>
        <v>0</v>
      </c>
      <c r="Q467" s="45" t="n">
        <f aca="false">N(Q466)+$P467</f>
        <v>11</v>
      </c>
    </row>
    <row r="468" customFormat="false" ht="13.5" hidden="false" customHeight="false" outlineLevel="0" collapsed="false">
      <c r="A468" s="9" t="n">
        <v>467</v>
      </c>
      <c r="B468" s="40" t="str">
        <f aca="false">IF($T$4=0,IF($I468="","",$I468),IFERROR(IF([1]财务取数接口!$B$467=0,"",[1]财务取数接口!$B$467),""))</f>
        <v/>
      </c>
      <c r="C468" s="39" t="str">
        <f aca="false">IF($T$4=0,IF($J468="","",$J468),IFERROR(IF([1]财务取数接口!$C$467=0,"",[1]财务取数接口!$C$467),""))</f>
        <v/>
      </c>
      <c r="D468" s="40" t="str">
        <f aca="false">IF($T$4=0,IF($K468="","",$K468),IFERROR(IF([1]财务取数接口!$D$467=0,"",[1]财务取数接口!$D$467),""))</f>
        <v/>
      </c>
      <c r="E468" s="40" t="str">
        <f aca="false">IF($T$4=0,IF($L468="","",$L468),IFERROR(IF([1]财务取数接口!$E$467=0,"",[1]财务取数接口!$E$467),""))</f>
        <v/>
      </c>
      <c r="F468" s="41" t="str">
        <f aca="false">IF($T$4=0,IF($M468="","",$M468),IFERROR(IF([1]财务取数接口!$G$467=0,"",[1]财务取数接口!$G$467),""))</f>
        <v/>
      </c>
      <c r="G468" s="41" t="str">
        <f aca="false">IF($T$4=0,IF($N468="","",$N468),IFERROR(IF([1]财务取数接口!$H$467=0,"",[1]财务取数接口!$H$467),""))</f>
        <v/>
      </c>
      <c r="H468" s="39" t="str">
        <f aca="false">IF($T$4=0,IF($O468="","",$O468),IFERROR(IF([1]财务取数接口!$I$467=0,"",[1]财务取数接口!$I$467),""))</f>
        <v/>
      </c>
      <c r="I468" s="42"/>
      <c r="J468" s="43"/>
      <c r="K468" s="42"/>
      <c r="L468" s="42"/>
      <c r="M468" s="44"/>
      <c r="N468" s="44"/>
      <c r="O468" s="43"/>
      <c r="P468" s="45" t="n">
        <f aca="false">IF(AND($C468&lt;&gt;"",$C468&lt;&gt;"项目",OR(N($D468)&lt;&gt;0,N($E468)&lt;&gt;0,N($F468)&lt;&gt;0)),1,0)</f>
        <v>0</v>
      </c>
      <c r="Q468" s="45" t="n">
        <f aca="false">N(Q467)+$P468</f>
        <v>11</v>
      </c>
    </row>
    <row r="469" customFormat="false" ht="13.5" hidden="false" customHeight="false" outlineLevel="0" collapsed="false">
      <c r="A469" s="9" t="n">
        <v>468</v>
      </c>
      <c r="B469" s="40" t="str">
        <f aca="false">IF($T$4=0,IF($I469="","",$I469),IFERROR(IF([1]财务取数接口!$B$468=0,"",[1]财务取数接口!$B$468),""))</f>
        <v/>
      </c>
      <c r="C469" s="39" t="str">
        <f aca="false">IF($T$4=0,IF($J469="","",$J469),IFERROR(IF([1]财务取数接口!$C$468=0,"",[1]财务取数接口!$C$468),""))</f>
        <v/>
      </c>
      <c r="D469" s="40" t="str">
        <f aca="false">IF($T$4=0,IF($K469="","",$K469),IFERROR(IF([1]财务取数接口!$D$468=0,"",[1]财务取数接口!$D$468),""))</f>
        <v/>
      </c>
      <c r="E469" s="40" t="str">
        <f aca="false">IF($T$4=0,IF($L469="","",$L469),IFERROR(IF([1]财务取数接口!$E$468=0,"",[1]财务取数接口!$E$468),""))</f>
        <v/>
      </c>
      <c r="F469" s="41" t="str">
        <f aca="false">IF($T$4=0,IF($M469="","",$M469),IFERROR(IF([1]财务取数接口!$G$468=0,"",[1]财务取数接口!$G$468),""))</f>
        <v/>
      </c>
      <c r="G469" s="41" t="str">
        <f aca="false">IF($T$4=0,IF($N469="","",$N469),IFERROR(IF([1]财务取数接口!$H$468=0,"",[1]财务取数接口!$H$468),""))</f>
        <v/>
      </c>
      <c r="H469" s="39" t="str">
        <f aca="false">IF($T$4=0,IF($O469="","",$O469),IFERROR(IF([1]财务取数接口!$I$468=0,"",[1]财务取数接口!$I$468),""))</f>
        <v/>
      </c>
      <c r="I469" s="42"/>
      <c r="J469" s="43"/>
      <c r="K469" s="42"/>
      <c r="L469" s="42"/>
      <c r="M469" s="44"/>
      <c r="N469" s="44"/>
      <c r="O469" s="43"/>
      <c r="P469" s="45" t="n">
        <f aca="false">IF(AND($C469&lt;&gt;"",$C469&lt;&gt;"项目",OR(N($D469)&lt;&gt;0,N($E469)&lt;&gt;0,N($F469)&lt;&gt;0)),1,0)</f>
        <v>0</v>
      </c>
      <c r="Q469" s="45" t="n">
        <f aca="false">N(Q468)+$P469</f>
        <v>11</v>
      </c>
    </row>
    <row r="470" customFormat="false" ht="13.5" hidden="false" customHeight="false" outlineLevel="0" collapsed="false">
      <c r="A470" s="9" t="n">
        <v>469</v>
      </c>
      <c r="B470" s="40" t="str">
        <f aca="false">IF($T$4=0,IF($I470="","",$I470),IFERROR(IF([1]财务取数接口!$B$469=0,"",[1]财务取数接口!$B$469),""))</f>
        <v/>
      </c>
      <c r="C470" s="39" t="str">
        <f aca="false">IF($T$4=0,IF($J470="","",$J470),IFERROR(IF([1]财务取数接口!$C$469=0,"",[1]财务取数接口!$C$469),""))</f>
        <v/>
      </c>
      <c r="D470" s="40" t="str">
        <f aca="false">IF($T$4=0,IF($K470="","",$K470),IFERROR(IF([1]财务取数接口!$D$469=0,"",[1]财务取数接口!$D$469),""))</f>
        <v/>
      </c>
      <c r="E470" s="40" t="str">
        <f aca="false">IF($T$4=0,IF($L470="","",$L470),IFERROR(IF([1]财务取数接口!$E$469=0,"",[1]财务取数接口!$E$469),""))</f>
        <v/>
      </c>
      <c r="F470" s="41" t="str">
        <f aca="false">IF($T$4=0,IF($M470="","",$M470),IFERROR(IF([1]财务取数接口!$G$469=0,"",[1]财务取数接口!$G$469),""))</f>
        <v/>
      </c>
      <c r="G470" s="41" t="str">
        <f aca="false">IF($T$4=0,IF($N470="","",$N470),IFERROR(IF([1]财务取数接口!$H$469=0,"",[1]财务取数接口!$H$469),""))</f>
        <v/>
      </c>
      <c r="H470" s="39" t="str">
        <f aca="false">IF($T$4=0,IF($O470="","",$O470),IFERROR(IF([1]财务取数接口!$I$469=0,"",[1]财务取数接口!$I$469),""))</f>
        <v/>
      </c>
      <c r="I470" s="42"/>
      <c r="J470" s="43"/>
      <c r="K470" s="42"/>
      <c r="L470" s="42"/>
      <c r="M470" s="44"/>
      <c r="N470" s="44"/>
      <c r="O470" s="43"/>
      <c r="P470" s="45" t="n">
        <f aca="false">IF(AND($C470&lt;&gt;"",$C470&lt;&gt;"项目",OR(N($D470)&lt;&gt;0,N($E470)&lt;&gt;0,N($F470)&lt;&gt;0)),1,0)</f>
        <v>0</v>
      </c>
      <c r="Q470" s="45" t="n">
        <f aca="false">N(Q469)+$P470</f>
        <v>11</v>
      </c>
    </row>
    <row r="471" customFormat="false" ht="13.5" hidden="false" customHeight="false" outlineLevel="0" collapsed="false">
      <c r="A471" s="9" t="n">
        <v>470</v>
      </c>
      <c r="B471" s="40" t="str">
        <f aca="false">IF($T$4=0,IF($I471="","",$I471),IFERROR(IF([1]财务取数接口!$B$470=0,"",[1]财务取数接口!$B$470),""))</f>
        <v/>
      </c>
      <c r="C471" s="39" t="str">
        <f aca="false">IF($T$4=0,IF($J471="","",$J471),IFERROR(IF([1]财务取数接口!$C$470=0,"",[1]财务取数接口!$C$470),""))</f>
        <v/>
      </c>
      <c r="D471" s="40" t="str">
        <f aca="false">IF($T$4=0,IF($K471="","",$K471),IFERROR(IF([1]财务取数接口!$D$470=0,"",[1]财务取数接口!$D$470),""))</f>
        <v/>
      </c>
      <c r="E471" s="40" t="str">
        <f aca="false">IF($T$4=0,IF($L471="","",$L471),IFERROR(IF([1]财务取数接口!$E$470=0,"",[1]财务取数接口!$E$470),""))</f>
        <v/>
      </c>
      <c r="F471" s="41" t="str">
        <f aca="false">IF($T$4=0,IF($M471="","",$M471),IFERROR(IF([1]财务取数接口!$G$470=0,"",[1]财务取数接口!$G$470),""))</f>
        <v/>
      </c>
      <c r="G471" s="41" t="str">
        <f aca="false">IF($T$4=0,IF($N471="","",$N471),IFERROR(IF([1]财务取数接口!$H$470=0,"",[1]财务取数接口!$H$470),""))</f>
        <v/>
      </c>
      <c r="H471" s="39" t="str">
        <f aca="false">IF($T$4=0,IF($O471="","",$O471),IFERROR(IF([1]财务取数接口!$I$470=0,"",[1]财务取数接口!$I$470),""))</f>
        <v/>
      </c>
      <c r="I471" s="42"/>
      <c r="J471" s="43"/>
      <c r="K471" s="42"/>
      <c r="L471" s="42"/>
      <c r="M471" s="44"/>
      <c r="N471" s="44"/>
      <c r="O471" s="43"/>
      <c r="P471" s="45" t="n">
        <f aca="false">IF(AND($C471&lt;&gt;"",$C471&lt;&gt;"项目",OR(N($D471)&lt;&gt;0,N($E471)&lt;&gt;0,N($F471)&lt;&gt;0)),1,0)</f>
        <v>0</v>
      </c>
      <c r="Q471" s="45" t="n">
        <f aca="false">N(Q470)+$P471</f>
        <v>11</v>
      </c>
    </row>
    <row r="472" customFormat="false" ht="13.5" hidden="false" customHeight="false" outlineLevel="0" collapsed="false">
      <c r="A472" s="9" t="n">
        <v>471</v>
      </c>
      <c r="B472" s="40" t="str">
        <f aca="false">IF($T$4=0,IF($I472="","",$I472),IFERROR(IF([1]财务取数接口!$B$471=0,"",[1]财务取数接口!$B$471),""))</f>
        <v/>
      </c>
      <c r="C472" s="39" t="str">
        <f aca="false">IF($T$4=0,IF($J472="","",$J472),IFERROR(IF([1]财务取数接口!$C$471=0,"",[1]财务取数接口!$C$471),""))</f>
        <v/>
      </c>
      <c r="D472" s="40" t="str">
        <f aca="false">IF($T$4=0,IF($K472="","",$K472),IFERROR(IF([1]财务取数接口!$D$471=0,"",[1]财务取数接口!$D$471),""))</f>
        <v/>
      </c>
      <c r="E472" s="40" t="str">
        <f aca="false">IF($T$4=0,IF($L472="","",$L472),IFERROR(IF([1]财务取数接口!$E$471=0,"",[1]财务取数接口!$E$471),""))</f>
        <v/>
      </c>
      <c r="F472" s="41" t="str">
        <f aca="false">IF($T$4=0,IF($M472="","",$M472),IFERROR(IF([1]财务取数接口!$G$471=0,"",[1]财务取数接口!$G$471),""))</f>
        <v/>
      </c>
      <c r="G472" s="41" t="str">
        <f aca="false">IF($T$4=0,IF($N472="","",$N472),IFERROR(IF([1]财务取数接口!$H$471=0,"",[1]财务取数接口!$H$471),""))</f>
        <v/>
      </c>
      <c r="H472" s="39" t="str">
        <f aca="false">IF($T$4=0,IF($O472="","",$O472),IFERROR(IF([1]财务取数接口!$I$471=0,"",[1]财务取数接口!$I$471),""))</f>
        <v/>
      </c>
      <c r="I472" s="42"/>
      <c r="J472" s="43"/>
      <c r="K472" s="42"/>
      <c r="L472" s="42"/>
      <c r="M472" s="44"/>
      <c r="N472" s="44"/>
      <c r="O472" s="43"/>
      <c r="P472" s="45" t="n">
        <f aca="false">IF(AND($C472&lt;&gt;"",$C472&lt;&gt;"项目",OR(N($D472)&lt;&gt;0,N($E472)&lt;&gt;0,N($F472)&lt;&gt;0)),1,0)</f>
        <v>0</v>
      </c>
      <c r="Q472" s="45" t="n">
        <f aca="false">N(Q471)+$P472</f>
        <v>11</v>
      </c>
    </row>
    <row r="473" customFormat="false" ht="13.5" hidden="false" customHeight="false" outlineLevel="0" collapsed="false">
      <c r="A473" s="9" t="n">
        <v>472</v>
      </c>
      <c r="B473" s="40" t="str">
        <f aca="false">IF($T$4=0,IF($I473="","",$I473),IFERROR(IF([1]财务取数接口!$B$472=0,"",[1]财务取数接口!$B$472),""))</f>
        <v/>
      </c>
      <c r="C473" s="39" t="str">
        <f aca="false">IF($T$4=0,IF($J473="","",$J473),IFERROR(IF([1]财务取数接口!$C$472=0,"",[1]财务取数接口!$C$472),""))</f>
        <v/>
      </c>
      <c r="D473" s="40" t="str">
        <f aca="false">IF($T$4=0,IF($K473="","",$K473),IFERROR(IF([1]财务取数接口!$D$472=0,"",[1]财务取数接口!$D$472),""))</f>
        <v/>
      </c>
      <c r="E473" s="40" t="str">
        <f aca="false">IF($T$4=0,IF($L473="","",$L473),IFERROR(IF([1]财务取数接口!$E$472=0,"",[1]财务取数接口!$E$472),""))</f>
        <v/>
      </c>
      <c r="F473" s="41" t="str">
        <f aca="false">IF($T$4=0,IF($M473="","",$M473),IFERROR(IF([1]财务取数接口!$G$472=0,"",[1]财务取数接口!$G$472),""))</f>
        <v/>
      </c>
      <c r="G473" s="41" t="str">
        <f aca="false">IF($T$4=0,IF($N473="","",$N473),IFERROR(IF([1]财务取数接口!$H$472=0,"",[1]财务取数接口!$H$472),""))</f>
        <v/>
      </c>
      <c r="H473" s="39" t="str">
        <f aca="false">IF($T$4=0,IF($O473="","",$O473),IFERROR(IF([1]财务取数接口!$I$472=0,"",[1]财务取数接口!$I$472),""))</f>
        <v/>
      </c>
      <c r="I473" s="42"/>
      <c r="J473" s="43"/>
      <c r="K473" s="42"/>
      <c r="L473" s="42"/>
      <c r="M473" s="44"/>
      <c r="N473" s="44"/>
      <c r="O473" s="43"/>
      <c r="P473" s="45" t="n">
        <f aca="false">IF(AND($C473&lt;&gt;"",$C473&lt;&gt;"项目",OR(N($D473)&lt;&gt;0,N($E473)&lt;&gt;0,N($F473)&lt;&gt;0)),1,0)</f>
        <v>0</v>
      </c>
      <c r="Q473" s="45" t="n">
        <f aca="false">N(Q472)+$P473</f>
        <v>11</v>
      </c>
    </row>
    <row r="474" customFormat="false" ht="13.5" hidden="false" customHeight="false" outlineLevel="0" collapsed="false">
      <c r="A474" s="9" t="n">
        <v>473</v>
      </c>
      <c r="B474" s="40" t="str">
        <f aca="false">IF($T$4=0,IF($I474="","",$I474),IFERROR(IF([1]财务取数接口!$B$473=0,"",[1]财务取数接口!$B$473),""))</f>
        <v/>
      </c>
      <c r="C474" s="39" t="str">
        <f aca="false">IF($T$4=0,IF($J474="","",$J474),IFERROR(IF([1]财务取数接口!$C$473=0,"",[1]财务取数接口!$C$473),""))</f>
        <v/>
      </c>
      <c r="D474" s="40" t="str">
        <f aca="false">IF($T$4=0,IF($K474="","",$K474),IFERROR(IF([1]财务取数接口!$D$473=0,"",[1]财务取数接口!$D$473),""))</f>
        <v/>
      </c>
      <c r="E474" s="40" t="str">
        <f aca="false">IF($T$4=0,IF($L474="","",$L474),IFERROR(IF([1]财务取数接口!$E$473=0,"",[1]财务取数接口!$E$473),""))</f>
        <v/>
      </c>
      <c r="F474" s="41" t="str">
        <f aca="false">IF($T$4=0,IF($M474="","",$M474),IFERROR(IF([1]财务取数接口!$G$473=0,"",[1]财务取数接口!$G$473),""))</f>
        <v/>
      </c>
      <c r="G474" s="41" t="str">
        <f aca="false">IF($T$4=0,IF($N474="","",$N474),IFERROR(IF([1]财务取数接口!$H$473=0,"",[1]财务取数接口!$H$473),""))</f>
        <v/>
      </c>
      <c r="H474" s="39" t="str">
        <f aca="false">IF($T$4=0,IF($O474="","",$O474),IFERROR(IF([1]财务取数接口!$I$473=0,"",[1]财务取数接口!$I$473),""))</f>
        <v/>
      </c>
      <c r="I474" s="42"/>
      <c r="J474" s="43"/>
      <c r="K474" s="42"/>
      <c r="L474" s="42"/>
      <c r="M474" s="44"/>
      <c r="N474" s="44"/>
      <c r="O474" s="43"/>
      <c r="P474" s="45" t="n">
        <f aca="false">IF(AND($C474&lt;&gt;"",$C474&lt;&gt;"项目",OR(N($D474)&lt;&gt;0,N($E474)&lt;&gt;0,N($F474)&lt;&gt;0)),1,0)</f>
        <v>0</v>
      </c>
      <c r="Q474" s="45" t="n">
        <f aca="false">N(Q473)+$P474</f>
        <v>11</v>
      </c>
    </row>
    <row r="475" customFormat="false" ht="13.5" hidden="false" customHeight="false" outlineLevel="0" collapsed="false">
      <c r="A475" s="9" t="n">
        <v>474</v>
      </c>
      <c r="B475" s="40" t="str">
        <f aca="false">IF($T$4=0,IF($I475="","",$I475),IFERROR(IF([1]财务取数接口!$B$474=0,"",[1]财务取数接口!$B$474),""))</f>
        <v/>
      </c>
      <c r="C475" s="39" t="str">
        <f aca="false">IF($T$4=0,IF($J475="","",$J475),IFERROR(IF([1]财务取数接口!$C$474=0,"",[1]财务取数接口!$C$474),""))</f>
        <v/>
      </c>
      <c r="D475" s="40" t="str">
        <f aca="false">IF($T$4=0,IF($K475="","",$K475),IFERROR(IF([1]财务取数接口!$D$474=0,"",[1]财务取数接口!$D$474),""))</f>
        <v/>
      </c>
      <c r="E475" s="40" t="str">
        <f aca="false">IF($T$4=0,IF($L475="","",$L475),IFERROR(IF([1]财务取数接口!$E$474=0,"",[1]财务取数接口!$E$474),""))</f>
        <v/>
      </c>
      <c r="F475" s="41" t="str">
        <f aca="false">IF($T$4=0,IF($M475="","",$M475),IFERROR(IF([1]财务取数接口!$G$474=0,"",[1]财务取数接口!$G$474),""))</f>
        <v/>
      </c>
      <c r="G475" s="41" t="str">
        <f aca="false">IF($T$4=0,IF($N475="","",$N475),IFERROR(IF([1]财务取数接口!$H$474=0,"",[1]财务取数接口!$H$474),""))</f>
        <v/>
      </c>
      <c r="H475" s="39" t="str">
        <f aca="false">IF($T$4=0,IF($O475="","",$O475),IFERROR(IF([1]财务取数接口!$I$474=0,"",[1]财务取数接口!$I$474),""))</f>
        <v/>
      </c>
      <c r="I475" s="42"/>
      <c r="J475" s="43"/>
      <c r="K475" s="42"/>
      <c r="L475" s="42"/>
      <c r="M475" s="44"/>
      <c r="N475" s="44"/>
      <c r="O475" s="43"/>
      <c r="P475" s="45" t="n">
        <f aca="false">IF(AND($C475&lt;&gt;"",$C475&lt;&gt;"项目",OR(N($D475)&lt;&gt;0,N($E475)&lt;&gt;0,N($F475)&lt;&gt;0)),1,0)</f>
        <v>0</v>
      </c>
      <c r="Q475" s="45" t="n">
        <f aca="false">N(Q474)+$P475</f>
        <v>11</v>
      </c>
    </row>
    <row r="476" customFormat="false" ht="13.5" hidden="false" customHeight="false" outlineLevel="0" collapsed="false">
      <c r="A476" s="9" t="n">
        <v>475</v>
      </c>
      <c r="B476" s="40" t="str">
        <f aca="false">IF($T$4=0,IF($I476="","",$I476),IFERROR(IF([1]财务取数接口!$B$475=0,"",[1]财务取数接口!$B$475),""))</f>
        <v/>
      </c>
      <c r="C476" s="39" t="str">
        <f aca="false">IF($T$4=0,IF($J476="","",$J476),IFERROR(IF([1]财务取数接口!$C$475=0,"",[1]财务取数接口!$C$475),""))</f>
        <v/>
      </c>
      <c r="D476" s="40" t="str">
        <f aca="false">IF($T$4=0,IF($K476="","",$K476),IFERROR(IF([1]财务取数接口!$D$475=0,"",[1]财务取数接口!$D$475),""))</f>
        <v/>
      </c>
      <c r="E476" s="40" t="str">
        <f aca="false">IF($T$4=0,IF($L476="","",$L476),IFERROR(IF([1]财务取数接口!$E$475=0,"",[1]财务取数接口!$E$475),""))</f>
        <v/>
      </c>
      <c r="F476" s="41" t="str">
        <f aca="false">IF($T$4=0,IF($M476="","",$M476),IFERROR(IF([1]财务取数接口!$G$475=0,"",[1]财务取数接口!$G$475),""))</f>
        <v/>
      </c>
      <c r="G476" s="41" t="str">
        <f aca="false">IF($T$4=0,IF($N476="","",$N476),IFERROR(IF([1]财务取数接口!$H$475=0,"",[1]财务取数接口!$H$475),""))</f>
        <v/>
      </c>
      <c r="H476" s="39" t="str">
        <f aca="false">IF($T$4=0,IF($O476="","",$O476),IFERROR(IF([1]财务取数接口!$I$475=0,"",[1]财务取数接口!$I$475),""))</f>
        <v/>
      </c>
      <c r="I476" s="42"/>
      <c r="J476" s="43"/>
      <c r="K476" s="42"/>
      <c r="L476" s="42"/>
      <c r="M476" s="44"/>
      <c r="N476" s="44"/>
      <c r="O476" s="43"/>
      <c r="P476" s="45" t="n">
        <f aca="false">IF(AND($C476&lt;&gt;"",$C476&lt;&gt;"项目",OR(N($D476)&lt;&gt;0,N($E476)&lt;&gt;0,N($F476)&lt;&gt;0)),1,0)</f>
        <v>0</v>
      </c>
      <c r="Q476" s="45" t="n">
        <f aca="false">N(Q475)+$P476</f>
        <v>11</v>
      </c>
    </row>
    <row r="477" customFormat="false" ht="13.5" hidden="false" customHeight="false" outlineLevel="0" collapsed="false">
      <c r="A477" s="9" t="n">
        <v>476</v>
      </c>
      <c r="B477" s="40" t="str">
        <f aca="false">IF($T$4=0,IF($I477="","",$I477),IFERROR(IF([1]财务取数接口!$B$476=0,"",[1]财务取数接口!$B$476),""))</f>
        <v/>
      </c>
      <c r="C477" s="39" t="str">
        <f aca="false">IF($T$4=0,IF($J477="","",$J477),IFERROR(IF([1]财务取数接口!$C$476=0,"",[1]财务取数接口!$C$476),""))</f>
        <v/>
      </c>
      <c r="D477" s="40" t="str">
        <f aca="false">IF($T$4=0,IF($K477="","",$K477),IFERROR(IF([1]财务取数接口!$D$476=0,"",[1]财务取数接口!$D$476),""))</f>
        <v/>
      </c>
      <c r="E477" s="40" t="str">
        <f aca="false">IF($T$4=0,IF($L477="","",$L477),IFERROR(IF([1]财务取数接口!$E$476=0,"",[1]财务取数接口!$E$476),""))</f>
        <v/>
      </c>
      <c r="F477" s="41" t="str">
        <f aca="false">IF($T$4=0,IF($M477="","",$M477),IFERROR(IF([1]财务取数接口!$G$476=0,"",[1]财务取数接口!$G$476),""))</f>
        <v/>
      </c>
      <c r="G477" s="41" t="str">
        <f aca="false">IF($T$4=0,IF($N477="","",$N477),IFERROR(IF([1]财务取数接口!$H$476=0,"",[1]财务取数接口!$H$476),""))</f>
        <v/>
      </c>
      <c r="H477" s="39" t="str">
        <f aca="false">IF($T$4=0,IF($O477="","",$O477),IFERROR(IF([1]财务取数接口!$I$476=0,"",[1]财务取数接口!$I$476),""))</f>
        <v/>
      </c>
      <c r="I477" s="42"/>
      <c r="J477" s="43"/>
      <c r="K477" s="42"/>
      <c r="L477" s="42"/>
      <c r="M477" s="44"/>
      <c r="N477" s="44"/>
      <c r="O477" s="43"/>
      <c r="P477" s="45" t="n">
        <f aca="false">IF(AND($C477&lt;&gt;"",$C477&lt;&gt;"项目",OR(N($D477)&lt;&gt;0,N($E477)&lt;&gt;0,N($F477)&lt;&gt;0)),1,0)</f>
        <v>0</v>
      </c>
      <c r="Q477" s="45" t="n">
        <f aca="false">N(Q476)+$P477</f>
        <v>11</v>
      </c>
    </row>
    <row r="478" customFormat="false" ht="13.5" hidden="false" customHeight="false" outlineLevel="0" collapsed="false">
      <c r="A478" s="9" t="n">
        <v>477</v>
      </c>
      <c r="B478" s="40" t="str">
        <f aca="false">IF($T$4=0,IF($I478="","",$I478),IFERROR(IF([1]财务取数接口!$B$477=0,"",[1]财务取数接口!$B$477),""))</f>
        <v/>
      </c>
      <c r="C478" s="39" t="str">
        <f aca="false">IF($T$4=0,IF($J478="","",$J478),IFERROR(IF([1]财务取数接口!$C$477=0,"",[1]财务取数接口!$C$477),""))</f>
        <v/>
      </c>
      <c r="D478" s="40" t="str">
        <f aca="false">IF($T$4=0,IF($K478="","",$K478),IFERROR(IF([1]财务取数接口!$D$477=0,"",[1]财务取数接口!$D$477),""))</f>
        <v/>
      </c>
      <c r="E478" s="40" t="str">
        <f aca="false">IF($T$4=0,IF($L478="","",$L478),IFERROR(IF([1]财务取数接口!$E$477=0,"",[1]财务取数接口!$E$477),""))</f>
        <v/>
      </c>
      <c r="F478" s="41" t="str">
        <f aca="false">IF($T$4=0,IF($M478="","",$M478),IFERROR(IF([1]财务取数接口!$G$477=0,"",[1]财务取数接口!$G$477),""))</f>
        <v/>
      </c>
      <c r="G478" s="41" t="str">
        <f aca="false">IF($T$4=0,IF($N478="","",$N478),IFERROR(IF([1]财务取数接口!$H$477=0,"",[1]财务取数接口!$H$477),""))</f>
        <v/>
      </c>
      <c r="H478" s="39" t="str">
        <f aca="false">IF($T$4=0,IF($O478="","",$O478),IFERROR(IF([1]财务取数接口!$I$477=0,"",[1]财务取数接口!$I$477),""))</f>
        <v/>
      </c>
      <c r="I478" s="42"/>
      <c r="J478" s="43"/>
      <c r="K478" s="42"/>
      <c r="L478" s="42"/>
      <c r="M478" s="44"/>
      <c r="N478" s="44"/>
      <c r="O478" s="43"/>
      <c r="P478" s="45" t="n">
        <f aca="false">IF(AND($C478&lt;&gt;"",$C478&lt;&gt;"项目",OR(N($D478)&lt;&gt;0,N($E478)&lt;&gt;0,N($F478)&lt;&gt;0)),1,0)</f>
        <v>0</v>
      </c>
      <c r="Q478" s="45" t="n">
        <f aca="false">N(Q477)+$P478</f>
        <v>11</v>
      </c>
    </row>
    <row r="479" customFormat="false" ht="13.5" hidden="false" customHeight="false" outlineLevel="0" collapsed="false">
      <c r="A479" s="9" t="n">
        <v>478</v>
      </c>
      <c r="B479" s="40" t="str">
        <f aca="false">IF($T$4=0,IF($I479="","",$I479),IFERROR(IF([1]财务取数接口!$B$478=0,"",[1]财务取数接口!$B$478),""))</f>
        <v/>
      </c>
      <c r="C479" s="39" t="str">
        <f aca="false">IF($T$4=0,IF($J479="","",$J479),IFERROR(IF([1]财务取数接口!$C$478=0,"",[1]财务取数接口!$C$478),""))</f>
        <v/>
      </c>
      <c r="D479" s="40" t="str">
        <f aca="false">IF($T$4=0,IF($K479="","",$K479),IFERROR(IF([1]财务取数接口!$D$478=0,"",[1]财务取数接口!$D$478),""))</f>
        <v/>
      </c>
      <c r="E479" s="40" t="str">
        <f aca="false">IF($T$4=0,IF($L479="","",$L479),IFERROR(IF([1]财务取数接口!$E$478=0,"",[1]财务取数接口!$E$478),""))</f>
        <v/>
      </c>
      <c r="F479" s="41" t="str">
        <f aca="false">IF($T$4=0,IF($M479="","",$M479),IFERROR(IF([1]财务取数接口!$G$478=0,"",[1]财务取数接口!$G$478),""))</f>
        <v/>
      </c>
      <c r="G479" s="41" t="str">
        <f aca="false">IF($T$4=0,IF($N479="","",$N479),IFERROR(IF([1]财务取数接口!$H$478=0,"",[1]财务取数接口!$H$478),""))</f>
        <v/>
      </c>
      <c r="H479" s="39" t="str">
        <f aca="false">IF($T$4=0,IF($O479="","",$O479),IFERROR(IF([1]财务取数接口!$I$478=0,"",[1]财务取数接口!$I$478),""))</f>
        <v/>
      </c>
      <c r="I479" s="42"/>
      <c r="J479" s="43"/>
      <c r="K479" s="42"/>
      <c r="L479" s="42"/>
      <c r="M479" s="44"/>
      <c r="N479" s="44"/>
      <c r="O479" s="43"/>
      <c r="P479" s="45" t="n">
        <f aca="false">IF(AND($C479&lt;&gt;"",$C479&lt;&gt;"项目",OR(N($D479)&lt;&gt;0,N($E479)&lt;&gt;0,N($F479)&lt;&gt;0)),1,0)</f>
        <v>0</v>
      </c>
      <c r="Q479" s="45" t="n">
        <f aca="false">N(Q478)+$P479</f>
        <v>11</v>
      </c>
    </row>
    <row r="480" customFormat="false" ht="13.5" hidden="false" customHeight="false" outlineLevel="0" collapsed="false">
      <c r="A480" s="9" t="n">
        <v>479</v>
      </c>
      <c r="B480" s="40" t="str">
        <f aca="false">IF($T$4=0,IF($I480="","",$I480),IFERROR(IF([1]财务取数接口!$B$479=0,"",[1]财务取数接口!$B$479),""))</f>
        <v/>
      </c>
      <c r="C480" s="39" t="str">
        <f aca="false">IF($T$4=0,IF($J480="","",$J480),IFERROR(IF([1]财务取数接口!$C$479=0,"",[1]财务取数接口!$C$479),""))</f>
        <v/>
      </c>
      <c r="D480" s="40" t="str">
        <f aca="false">IF($T$4=0,IF($K480="","",$K480),IFERROR(IF([1]财务取数接口!$D$479=0,"",[1]财务取数接口!$D$479),""))</f>
        <v/>
      </c>
      <c r="E480" s="40" t="str">
        <f aca="false">IF($T$4=0,IF($L480="","",$L480),IFERROR(IF([1]财务取数接口!$E$479=0,"",[1]财务取数接口!$E$479),""))</f>
        <v/>
      </c>
      <c r="F480" s="41" t="str">
        <f aca="false">IF($T$4=0,IF($M480="","",$M480),IFERROR(IF([1]财务取数接口!$G$479=0,"",[1]财务取数接口!$G$479),""))</f>
        <v/>
      </c>
      <c r="G480" s="41" t="str">
        <f aca="false">IF($T$4=0,IF($N480="","",$N480),IFERROR(IF([1]财务取数接口!$H$479=0,"",[1]财务取数接口!$H$479),""))</f>
        <v/>
      </c>
      <c r="H480" s="39" t="str">
        <f aca="false">IF($T$4=0,IF($O480="","",$O480),IFERROR(IF([1]财务取数接口!$I$479=0,"",[1]财务取数接口!$I$479),""))</f>
        <v/>
      </c>
      <c r="I480" s="42"/>
      <c r="J480" s="43"/>
      <c r="K480" s="42"/>
      <c r="L480" s="42"/>
      <c r="M480" s="44"/>
      <c r="N480" s="44"/>
      <c r="O480" s="43"/>
      <c r="P480" s="45" t="n">
        <f aca="false">IF(AND($C480&lt;&gt;"",$C480&lt;&gt;"项目",OR(N($D480)&lt;&gt;0,N($E480)&lt;&gt;0,N($F480)&lt;&gt;0)),1,0)</f>
        <v>0</v>
      </c>
      <c r="Q480" s="45" t="n">
        <f aca="false">N(Q479)+$P480</f>
        <v>11</v>
      </c>
    </row>
    <row r="481" customFormat="false" ht="13.5" hidden="false" customHeight="false" outlineLevel="0" collapsed="false">
      <c r="A481" s="9" t="n">
        <v>480</v>
      </c>
      <c r="B481" s="40" t="str">
        <f aca="false">IF($T$4=0,IF($I481="","",$I481),IFERROR(IF([1]财务取数接口!$B$480=0,"",[1]财务取数接口!$B$480),""))</f>
        <v/>
      </c>
      <c r="C481" s="39" t="str">
        <f aca="false">IF($T$4=0,IF($J481="","",$J481),IFERROR(IF([1]财务取数接口!$C$480=0,"",[1]财务取数接口!$C$480),""))</f>
        <v/>
      </c>
      <c r="D481" s="40" t="str">
        <f aca="false">IF($T$4=0,IF($K481="","",$K481),IFERROR(IF([1]财务取数接口!$D$480=0,"",[1]财务取数接口!$D$480),""))</f>
        <v/>
      </c>
      <c r="E481" s="40" t="str">
        <f aca="false">IF($T$4=0,IF($L481="","",$L481),IFERROR(IF([1]财务取数接口!$E$480=0,"",[1]财务取数接口!$E$480),""))</f>
        <v/>
      </c>
      <c r="F481" s="41" t="str">
        <f aca="false">IF($T$4=0,IF($M481="","",$M481),IFERROR(IF([1]财务取数接口!$G$480=0,"",[1]财务取数接口!$G$480),""))</f>
        <v/>
      </c>
      <c r="G481" s="41" t="str">
        <f aca="false">IF($T$4=0,IF($N481="","",$N481),IFERROR(IF([1]财务取数接口!$H$480=0,"",[1]财务取数接口!$H$480),""))</f>
        <v/>
      </c>
      <c r="H481" s="39" t="str">
        <f aca="false">IF($T$4=0,IF($O481="","",$O481),IFERROR(IF([1]财务取数接口!$I$480=0,"",[1]财务取数接口!$I$480),""))</f>
        <v/>
      </c>
      <c r="I481" s="42"/>
      <c r="J481" s="43"/>
      <c r="K481" s="42"/>
      <c r="L481" s="42"/>
      <c r="M481" s="44"/>
      <c r="N481" s="44"/>
      <c r="O481" s="43"/>
      <c r="P481" s="45" t="n">
        <f aca="false">IF(AND($C481&lt;&gt;"",$C481&lt;&gt;"项目",OR(N($D481)&lt;&gt;0,N($E481)&lt;&gt;0,N($F481)&lt;&gt;0)),1,0)</f>
        <v>0</v>
      </c>
      <c r="Q481" s="45" t="n">
        <f aca="false">N(Q480)+$P481</f>
        <v>11</v>
      </c>
    </row>
    <row r="482" customFormat="false" ht="13.5" hidden="false" customHeight="false" outlineLevel="0" collapsed="false">
      <c r="A482" s="9" t="n">
        <v>481</v>
      </c>
      <c r="B482" s="40" t="str">
        <f aca="false">IF($T$4=0,IF($I482="","",$I482),IFERROR(IF([1]财务取数接口!$B$481=0,"",[1]财务取数接口!$B$481),""))</f>
        <v/>
      </c>
      <c r="C482" s="39" t="str">
        <f aca="false">IF($T$4=0,IF($J482="","",$J482),IFERROR(IF([1]财务取数接口!$C$481=0,"",[1]财务取数接口!$C$481),""))</f>
        <v/>
      </c>
      <c r="D482" s="40" t="str">
        <f aca="false">IF($T$4=0,IF($K482="","",$K482),IFERROR(IF([1]财务取数接口!$D$481=0,"",[1]财务取数接口!$D$481),""))</f>
        <v/>
      </c>
      <c r="E482" s="40" t="str">
        <f aca="false">IF($T$4=0,IF($L482="","",$L482),IFERROR(IF([1]财务取数接口!$E$481=0,"",[1]财务取数接口!$E$481),""))</f>
        <v/>
      </c>
      <c r="F482" s="41" t="str">
        <f aca="false">IF($T$4=0,IF($M482="","",$M482),IFERROR(IF([1]财务取数接口!$G$481=0,"",[1]财务取数接口!$G$481),""))</f>
        <v/>
      </c>
      <c r="G482" s="41" t="str">
        <f aca="false">IF($T$4=0,IF($N482="","",$N482),IFERROR(IF([1]财务取数接口!$H$481=0,"",[1]财务取数接口!$H$481),""))</f>
        <v/>
      </c>
      <c r="H482" s="39" t="str">
        <f aca="false">IF($T$4=0,IF($O482="","",$O482),IFERROR(IF([1]财务取数接口!$I$481=0,"",[1]财务取数接口!$I$481),""))</f>
        <v/>
      </c>
      <c r="I482" s="42"/>
      <c r="J482" s="43"/>
      <c r="K482" s="42"/>
      <c r="L482" s="42"/>
      <c r="M482" s="44"/>
      <c r="N482" s="44"/>
      <c r="O482" s="43"/>
      <c r="P482" s="45" t="n">
        <f aca="false">IF(AND($C482&lt;&gt;"",$C482&lt;&gt;"项目",OR(N($D482)&lt;&gt;0,N($E482)&lt;&gt;0,N($F482)&lt;&gt;0)),1,0)</f>
        <v>0</v>
      </c>
      <c r="Q482" s="45" t="n">
        <f aca="false">N(Q481)+$P482</f>
        <v>11</v>
      </c>
    </row>
    <row r="483" customFormat="false" ht="13.5" hidden="false" customHeight="false" outlineLevel="0" collapsed="false">
      <c r="A483" s="9" t="n">
        <v>482</v>
      </c>
      <c r="B483" s="40" t="str">
        <f aca="false">IF($T$4=0,IF($I483="","",$I483),IFERROR(IF([1]财务取数接口!$B$482=0,"",[1]财务取数接口!$B$482),""))</f>
        <v/>
      </c>
      <c r="C483" s="39" t="str">
        <f aca="false">IF($T$4=0,IF($J483="","",$J483),IFERROR(IF([1]财务取数接口!$C$482=0,"",[1]财务取数接口!$C$482),""))</f>
        <v/>
      </c>
      <c r="D483" s="40" t="str">
        <f aca="false">IF($T$4=0,IF($K483="","",$K483),IFERROR(IF([1]财务取数接口!$D$482=0,"",[1]财务取数接口!$D$482),""))</f>
        <v/>
      </c>
      <c r="E483" s="40" t="str">
        <f aca="false">IF($T$4=0,IF($L483="","",$L483),IFERROR(IF([1]财务取数接口!$E$482=0,"",[1]财务取数接口!$E$482),""))</f>
        <v/>
      </c>
      <c r="F483" s="41" t="str">
        <f aca="false">IF($T$4=0,IF($M483="","",$M483),IFERROR(IF([1]财务取数接口!$G$482=0,"",[1]财务取数接口!$G$482),""))</f>
        <v/>
      </c>
      <c r="G483" s="41" t="str">
        <f aca="false">IF($T$4=0,IF($N483="","",$N483),IFERROR(IF([1]财务取数接口!$H$482=0,"",[1]财务取数接口!$H$482),""))</f>
        <v/>
      </c>
      <c r="H483" s="39" t="str">
        <f aca="false">IF($T$4=0,IF($O483="","",$O483),IFERROR(IF([1]财务取数接口!$I$482=0,"",[1]财务取数接口!$I$482),""))</f>
        <v/>
      </c>
      <c r="I483" s="42"/>
      <c r="J483" s="43"/>
      <c r="K483" s="42"/>
      <c r="L483" s="42"/>
      <c r="M483" s="44"/>
      <c r="N483" s="44"/>
      <c r="O483" s="43"/>
      <c r="P483" s="45" t="n">
        <f aca="false">IF(AND($C483&lt;&gt;"",$C483&lt;&gt;"项目",OR(N($D483)&lt;&gt;0,N($E483)&lt;&gt;0,N($F483)&lt;&gt;0)),1,0)</f>
        <v>0</v>
      </c>
      <c r="Q483" s="45" t="n">
        <f aca="false">N(Q482)+$P483</f>
        <v>11</v>
      </c>
    </row>
    <row r="484" customFormat="false" ht="13.5" hidden="false" customHeight="false" outlineLevel="0" collapsed="false">
      <c r="A484" s="9" t="n">
        <v>483</v>
      </c>
      <c r="B484" s="40" t="str">
        <f aca="false">IF($T$4=0,IF($I484="","",$I484),IFERROR(IF([1]财务取数接口!$B$483=0,"",[1]财务取数接口!$B$483),""))</f>
        <v/>
      </c>
      <c r="C484" s="39" t="str">
        <f aca="false">IF($T$4=0,IF($J484="","",$J484),IFERROR(IF([1]财务取数接口!$C$483=0,"",[1]财务取数接口!$C$483),""))</f>
        <v/>
      </c>
      <c r="D484" s="40" t="str">
        <f aca="false">IF($T$4=0,IF($K484="","",$K484),IFERROR(IF([1]财务取数接口!$D$483=0,"",[1]财务取数接口!$D$483),""))</f>
        <v/>
      </c>
      <c r="E484" s="40" t="str">
        <f aca="false">IF($T$4=0,IF($L484="","",$L484),IFERROR(IF([1]财务取数接口!$E$483=0,"",[1]财务取数接口!$E$483),""))</f>
        <v/>
      </c>
      <c r="F484" s="41" t="str">
        <f aca="false">IF($T$4=0,IF($M484="","",$M484),IFERROR(IF([1]财务取数接口!$G$483=0,"",[1]财务取数接口!$G$483),""))</f>
        <v/>
      </c>
      <c r="G484" s="41" t="str">
        <f aca="false">IF($T$4=0,IF($N484="","",$N484),IFERROR(IF([1]财务取数接口!$H$483=0,"",[1]财务取数接口!$H$483),""))</f>
        <v/>
      </c>
      <c r="H484" s="39" t="str">
        <f aca="false">IF($T$4=0,IF($O484="","",$O484),IFERROR(IF([1]财务取数接口!$I$483=0,"",[1]财务取数接口!$I$483),""))</f>
        <v/>
      </c>
      <c r="I484" s="42"/>
      <c r="J484" s="43"/>
      <c r="K484" s="42"/>
      <c r="L484" s="42"/>
      <c r="M484" s="44"/>
      <c r="N484" s="44"/>
      <c r="O484" s="43"/>
      <c r="P484" s="45" t="n">
        <f aca="false">IF(AND($C484&lt;&gt;"",$C484&lt;&gt;"项目",OR(N($D484)&lt;&gt;0,N($E484)&lt;&gt;0,N($F484)&lt;&gt;0)),1,0)</f>
        <v>0</v>
      </c>
      <c r="Q484" s="45" t="n">
        <f aca="false">N(Q483)+$P484</f>
        <v>11</v>
      </c>
    </row>
    <row r="485" customFormat="false" ht="13.5" hidden="false" customHeight="false" outlineLevel="0" collapsed="false">
      <c r="A485" s="9" t="n">
        <v>484</v>
      </c>
      <c r="B485" s="40" t="str">
        <f aca="false">IF($T$4=0,IF($I485="","",$I485),IFERROR(IF([1]财务取数接口!$B$484=0,"",[1]财务取数接口!$B$484),""))</f>
        <v/>
      </c>
      <c r="C485" s="39" t="str">
        <f aca="false">IF($T$4=0,IF($J485="","",$J485),IFERROR(IF([1]财务取数接口!$C$484=0,"",[1]财务取数接口!$C$484),""))</f>
        <v/>
      </c>
      <c r="D485" s="40" t="str">
        <f aca="false">IF($T$4=0,IF($K485="","",$K485),IFERROR(IF([1]财务取数接口!$D$484=0,"",[1]财务取数接口!$D$484),""))</f>
        <v/>
      </c>
      <c r="E485" s="40" t="str">
        <f aca="false">IF($T$4=0,IF($L485="","",$L485),IFERROR(IF([1]财务取数接口!$E$484=0,"",[1]财务取数接口!$E$484),""))</f>
        <v/>
      </c>
      <c r="F485" s="41" t="str">
        <f aca="false">IF($T$4=0,IF($M485="","",$M485),IFERROR(IF([1]财务取数接口!$G$484=0,"",[1]财务取数接口!$G$484),""))</f>
        <v/>
      </c>
      <c r="G485" s="41" t="str">
        <f aca="false">IF($T$4=0,IF($N485="","",$N485),IFERROR(IF([1]财务取数接口!$H$484=0,"",[1]财务取数接口!$H$484),""))</f>
        <v/>
      </c>
      <c r="H485" s="39" t="str">
        <f aca="false">IF($T$4=0,IF($O485="","",$O485),IFERROR(IF([1]财务取数接口!$I$484=0,"",[1]财务取数接口!$I$484),""))</f>
        <v/>
      </c>
      <c r="I485" s="42"/>
      <c r="J485" s="43"/>
      <c r="K485" s="42"/>
      <c r="L485" s="42"/>
      <c r="M485" s="44"/>
      <c r="N485" s="44"/>
      <c r="O485" s="43"/>
      <c r="P485" s="45" t="n">
        <f aca="false">IF(AND($C485&lt;&gt;"",$C485&lt;&gt;"项目",OR(N($D485)&lt;&gt;0,N($E485)&lt;&gt;0,N($F485)&lt;&gt;0)),1,0)</f>
        <v>0</v>
      </c>
      <c r="Q485" s="45" t="n">
        <f aca="false">N(Q484)+$P485</f>
        <v>11</v>
      </c>
    </row>
    <row r="486" customFormat="false" ht="13.5" hidden="false" customHeight="false" outlineLevel="0" collapsed="false">
      <c r="A486" s="9" t="n">
        <v>485</v>
      </c>
      <c r="B486" s="40" t="str">
        <f aca="false">IF($T$4=0,IF($I486="","",$I486),IFERROR(IF([1]财务取数接口!$B$485=0,"",[1]财务取数接口!$B$485),""))</f>
        <v/>
      </c>
      <c r="C486" s="39" t="str">
        <f aca="false">IF($T$4=0,IF($J486="","",$J486),IFERROR(IF([1]财务取数接口!$C$485=0,"",[1]财务取数接口!$C$485),""))</f>
        <v/>
      </c>
      <c r="D486" s="40" t="str">
        <f aca="false">IF($T$4=0,IF($K486="","",$K486),IFERROR(IF([1]财务取数接口!$D$485=0,"",[1]财务取数接口!$D$485),""))</f>
        <v/>
      </c>
      <c r="E486" s="40" t="str">
        <f aca="false">IF($T$4=0,IF($L486="","",$L486),IFERROR(IF([1]财务取数接口!$E$485=0,"",[1]财务取数接口!$E$485),""))</f>
        <v/>
      </c>
      <c r="F486" s="41" t="str">
        <f aca="false">IF($T$4=0,IF($M486="","",$M486),IFERROR(IF([1]财务取数接口!$G$485=0,"",[1]财务取数接口!$G$485),""))</f>
        <v/>
      </c>
      <c r="G486" s="41" t="str">
        <f aca="false">IF($T$4=0,IF($N486="","",$N486),IFERROR(IF([1]财务取数接口!$H$485=0,"",[1]财务取数接口!$H$485),""))</f>
        <v/>
      </c>
      <c r="H486" s="39" t="str">
        <f aca="false">IF($T$4=0,IF($O486="","",$O486),IFERROR(IF([1]财务取数接口!$I$485=0,"",[1]财务取数接口!$I$485),""))</f>
        <v/>
      </c>
      <c r="I486" s="42"/>
      <c r="J486" s="43"/>
      <c r="K486" s="42"/>
      <c r="L486" s="42"/>
      <c r="M486" s="44"/>
      <c r="N486" s="44"/>
      <c r="O486" s="43"/>
      <c r="P486" s="45" t="n">
        <f aca="false">IF(AND($C486&lt;&gt;"",$C486&lt;&gt;"项目",OR(N($D486)&lt;&gt;0,N($E486)&lt;&gt;0,N($F486)&lt;&gt;0)),1,0)</f>
        <v>0</v>
      </c>
      <c r="Q486" s="45" t="n">
        <f aca="false">N(Q485)+$P486</f>
        <v>11</v>
      </c>
    </row>
    <row r="487" customFormat="false" ht="13.5" hidden="false" customHeight="false" outlineLevel="0" collapsed="false">
      <c r="A487" s="9" t="n">
        <v>486</v>
      </c>
      <c r="B487" s="40" t="str">
        <f aca="false">IF($T$4=0,IF($I487="","",$I487),IFERROR(IF([1]财务取数接口!$B$486=0,"",[1]财务取数接口!$B$486),""))</f>
        <v/>
      </c>
      <c r="C487" s="39" t="str">
        <f aca="false">IF($T$4=0,IF($J487="","",$J487),IFERROR(IF([1]财务取数接口!$C$486=0,"",[1]财务取数接口!$C$486),""))</f>
        <v/>
      </c>
      <c r="D487" s="40" t="str">
        <f aca="false">IF($T$4=0,IF($K487="","",$K487),IFERROR(IF([1]财务取数接口!$D$486=0,"",[1]财务取数接口!$D$486),""))</f>
        <v/>
      </c>
      <c r="E487" s="40" t="str">
        <f aca="false">IF($T$4=0,IF($L487="","",$L487),IFERROR(IF([1]财务取数接口!$E$486=0,"",[1]财务取数接口!$E$486),""))</f>
        <v/>
      </c>
      <c r="F487" s="41" t="str">
        <f aca="false">IF($T$4=0,IF($M487="","",$M487),IFERROR(IF([1]财务取数接口!$G$486=0,"",[1]财务取数接口!$G$486),""))</f>
        <v/>
      </c>
      <c r="G487" s="41" t="str">
        <f aca="false">IF($T$4=0,IF($N487="","",$N487),IFERROR(IF([1]财务取数接口!$H$486=0,"",[1]财务取数接口!$H$486),""))</f>
        <v/>
      </c>
      <c r="H487" s="39" t="str">
        <f aca="false">IF($T$4=0,IF($O487="","",$O487),IFERROR(IF([1]财务取数接口!$I$486=0,"",[1]财务取数接口!$I$486),""))</f>
        <v/>
      </c>
      <c r="I487" s="42"/>
      <c r="J487" s="43"/>
      <c r="K487" s="42"/>
      <c r="L487" s="42"/>
      <c r="M487" s="44"/>
      <c r="N487" s="44"/>
      <c r="O487" s="43"/>
      <c r="P487" s="45" t="n">
        <f aca="false">IF(AND($C487&lt;&gt;"",$C487&lt;&gt;"项目",OR(N($D487)&lt;&gt;0,N($E487)&lt;&gt;0,N($F487)&lt;&gt;0)),1,0)</f>
        <v>0</v>
      </c>
      <c r="Q487" s="45" t="n">
        <f aca="false">N(Q486)+$P487</f>
        <v>11</v>
      </c>
    </row>
    <row r="488" customFormat="false" ht="13.5" hidden="false" customHeight="false" outlineLevel="0" collapsed="false">
      <c r="A488" s="9" t="n">
        <v>487</v>
      </c>
      <c r="B488" s="40" t="str">
        <f aca="false">IF($T$4=0,IF($I488="","",$I488),IFERROR(IF([1]财务取数接口!$B$487=0,"",[1]财务取数接口!$B$487),""))</f>
        <v/>
      </c>
      <c r="C488" s="39" t="str">
        <f aca="false">IF($T$4=0,IF($J488="","",$J488),IFERROR(IF([1]财务取数接口!$C$487=0,"",[1]财务取数接口!$C$487),""))</f>
        <v/>
      </c>
      <c r="D488" s="40" t="str">
        <f aca="false">IF($T$4=0,IF($K488="","",$K488),IFERROR(IF([1]财务取数接口!$D$487=0,"",[1]财务取数接口!$D$487),""))</f>
        <v/>
      </c>
      <c r="E488" s="40" t="str">
        <f aca="false">IF($T$4=0,IF($L488="","",$L488),IFERROR(IF([1]财务取数接口!$E$487=0,"",[1]财务取数接口!$E$487),""))</f>
        <v/>
      </c>
      <c r="F488" s="41" t="str">
        <f aca="false">IF($T$4=0,IF($M488="","",$M488),IFERROR(IF([1]财务取数接口!$G$487=0,"",[1]财务取数接口!$G$487),""))</f>
        <v/>
      </c>
      <c r="G488" s="41" t="str">
        <f aca="false">IF($T$4=0,IF($N488="","",$N488),IFERROR(IF([1]财务取数接口!$H$487=0,"",[1]财务取数接口!$H$487),""))</f>
        <v/>
      </c>
      <c r="H488" s="39" t="str">
        <f aca="false">IF($T$4=0,IF($O488="","",$O488),IFERROR(IF([1]财务取数接口!$I$487=0,"",[1]财务取数接口!$I$487),""))</f>
        <v/>
      </c>
      <c r="I488" s="42"/>
      <c r="J488" s="43"/>
      <c r="K488" s="42"/>
      <c r="L488" s="42"/>
      <c r="M488" s="44"/>
      <c r="N488" s="44"/>
      <c r="O488" s="43"/>
      <c r="P488" s="45" t="n">
        <f aca="false">IF(AND($C488&lt;&gt;"",$C488&lt;&gt;"项目",OR(N($D488)&lt;&gt;0,N($E488)&lt;&gt;0,N($F488)&lt;&gt;0)),1,0)</f>
        <v>0</v>
      </c>
      <c r="Q488" s="45" t="n">
        <f aca="false">N(Q487)+$P488</f>
        <v>11</v>
      </c>
    </row>
    <row r="489" customFormat="false" ht="13.5" hidden="false" customHeight="false" outlineLevel="0" collapsed="false">
      <c r="A489" s="9" t="n">
        <v>488</v>
      </c>
      <c r="B489" s="40" t="str">
        <f aca="false">IF($T$4=0,IF($I489="","",$I489),IFERROR(IF([1]财务取数接口!$B$488=0,"",[1]财务取数接口!$B$488),""))</f>
        <v/>
      </c>
      <c r="C489" s="39" t="str">
        <f aca="false">IF($T$4=0,IF($J489="","",$J489),IFERROR(IF([1]财务取数接口!$C$488=0,"",[1]财务取数接口!$C$488),""))</f>
        <v/>
      </c>
      <c r="D489" s="40" t="str">
        <f aca="false">IF($T$4=0,IF($K489="","",$K489),IFERROR(IF([1]财务取数接口!$D$488=0,"",[1]财务取数接口!$D$488),""))</f>
        <v/>
      </c>
      <c r="E489" s="40" t="str">
        <f aca="false">IF($T$4=0,IF($L489="","",$L489),IFERROR(IF([1]财务取数接口!$E$488=0,"",[1]财务取数接口!$E$488),""))</f>
        <v/>
      </c>
      <c r="F489" s="41" t="str">
        <f aca="false">IF($T$4=0,IF($M489="","",$M489),IFERROR(IF([1]财务取数接口!$G$488=0,"",[1]财务取数接口!$G$488),""))</f>
        <v/>
      </c>
      <c r="G489" s="41" t="str">
        <f aca="false">IF($T$4=0,IF($N489="","",$N489),IFERROR(IF([1]财务取数接口!$H$488=0,"",[1]财务取数接口!$H$488),""))</f>
        <v/>
      </c>
      <c r="H489" s="39" t="str">
        <f aca="false">IF($T$4=0,IF($O489="","",$O489),IFERROR(IF([1]财务取数接口!$I$488=0,"",[1]财务取数接口!$I$488),""))</f>
        <v/>
      </c>
      <c r="I489" s="42"/>
      <c r="J489" s="43"/>
      <c r="K489" s="42"/>
      <c r="L489" s="42"/>
      <c r="M489" s="44"/>
      <c r="N489" s="44"/>
      <c r="O489" s="43"/>
      <c r="P489" s="45" t="n">
        <f aca="false">IF(AND($C489&lt;&gt;"",$C489&lt;&gt;"项目",OR(N($D489)&lt;&gt;0,N($E489)&lt;&gt;0,N($F489)&lt;&gt;0)),1,0)</f>
        <v>0</v>
      </c>
      <c r="Q489" s="45" t="n">
        <f aca="false">N(Q488)+$P489</f>
        <v>11</v>
      </c>
    </row>
    <row r="490" customFormat="false" ht="13.5" hidden="false" customHeight="false" outlineLevel="0" collapsed="false">
      <c r="A490" s="9" t="n">
        <v>489</v>
      </c>
      <c r="B490" s="40" t="str">
        <f aca="false">IF($T$4=0,IF($I490="","",$I490),IFERROR(IF([1]财务取数接口!$B$489=0,"",[1]财务取数接口!$B$489),""))</f>
        <v/>
      </c>
      <c r="C490" s="39" t="str">
        <f aca="false">IF($T$4=0,IF($J490="","",$J490),IFERROR(IF([1]财务取数接口!$C$489=0,"",[1]财务取数接口!$C$489),""))</f>
        <v/>
      </c>
      <c r="D490" s="40" t="str">
        <f aca="false">IF($T$4=0,IF($K490="","",$K490),IFERROR(IF([1]财务取数接口!$D$489=0,"",[1]财务取数接口!$D$489),""))</f>
        <v/>
      </c>
      <c r="E490" s="40" t="str">
        <f aca="false">IF($T$4=0,IF($L490="","",$L490),IFERROR(IF([1]财务取数接口!$E$489=0,"",[1]财务取数接口!$E$489),""))</f>
        <v/>
      </c>
      <c r="F490" s="41" t="str">
        <f aca="false">IF($T$4=0,IF($M490="","",$M490),IFERROR(IF([1]财务取数接口!$G$489=0,"",[1]财务取数接口!$G$489),""))</f>
        <v/>
      </c>
      <c r="G490" s="41" t="str">
        <f aca="false">IF($T$4=0,IF($N490="","",$N490),IFERROR(IF([1]财务取数接口!$H$489=0,"",[1]财务取数接口!$H$489),""))</f>
        <v/>
      </c>
      <c r="H490" s="39" t="str">
        <f aca="false">IF($T$4=0,IF($O490="","",$O490),IFERROR(IF([1]财务取数接口!$I$489=0,"",[1]财务取数接口!$I$489),""))</f>
        <v/>
      </c>
      <c r="I490" s="42"/>
      <c r="J490" s="43"/>
      <c r="K490" s="42"/>
      <c r="L490" s="42"/>
      <c r="M490" s="44"/>
      <c r="N490" s="44"/>
      <c r="O490" s="43"/>
      <c r="P490" s="45" t="n">
        <f aca="false">IF(AND($C490&lt;&gt;"",$C490&lt;&gt;"项目",OR(N($D490)&lt;&gt;0,N($E490)&lt;&gt;0,N($F490)&lt;&gt;0)),1,0)</f>
        <v>0</v>
      </c>
      <c r="Q490" s="45" t="n">
        <f aca="false">N(Q489)+$P490</f>
        <v>11</v>
      </c>
    </row>
    <row r="491" customFormat="false" ht="13.5" hidden="false" customHeight="false" outlineLevel="0" collapsed="false">
      <c r="A491" s="9" t="n">
        <v>490</v>
      </c>
      <c r="B491" s="40" t="str">
        <f aca="false">IF($T$4=0,IF($I491="","",$I491),IFERROR(IF([1]财务取数接口!$B$490=0,"",[1]财务取数接口!$B$490),""))</f>
        <v/>
      </c>
      <c r="C491" s="39" t="str">
        <f aca="false">IF($T$4=0,IF($J491="","",$J491),IFERROR(IF([1]财务取数接口!$C$490=0,"",[1]财务取数接口!$C$490),""))</f>
        <v/>
      </c>
      <c r="D491" s="40" t="str">
        <f aca="false">IF($T$4=0,IF($K491="","",$K491),IFERROR(IF([1]财务取数接口!$D$490=0,"",[1]财务取数接口!$D$490),""))</f>
        <v/>
      </c>
      <c r="E491" s="40" t="str">
        <f aca="false">IF($T$4=0,IF($L491="","",$L491),IFERROR(IF([1]财务取数接口!$E$490=0,"",[1]财务取数接口!$E$490),""))</f>
        <v/>
      </c>
      <c r="F491" s="41" t="str">
        <f aca="false">IF($T$4=0,IF($M491="","",$M491),IFERROR(IF([1]财务取数接口!$G$490=0,"",[1]财务取数接口!$G$490),""))</f>
        <v/>
      </c>
      <c r="G491" s="41" t="str">
        <f aca="false">IF($T$4=0,IF($N491="","",$N491),IFERROR(IF([1]财务取数接口!$H$490=0,"",[1]财务取数接口!$H$490),""))</f>
        <v/>
      </c>
      <c r="H491" s="39" t="str">
        <f aca="false">IF($T$4=0,IF($O491="","",$O491),IFERROR(IF([1]财务取数接口!$I$490=0,"",[1]财务取数接口!$I$490),""))</f>
        <v/>
      </c>
      <c r="I491" s="42"/>
      <c r="J491" s="43"/>
      <c r="K491" s="42"/>
      <c r="L491" s="42"/>
      <c r="M491" s="44"/>
      <c r="N491" s="44"/>
      <c r="O491" s="43"/>
      <c r="P491" s="45" t="n">
        <f aca="false">IF(AND($C491&lt;&gt;"",$C491&lt;&gt;"项目",OR(N($D491)&lt;&gt;0,N($E491)&lt;&gt;0,N($F491)&lt;&gt;0)),1,0)</f>
        <v>0</v>
      </c>
      <c r="Q491" s="45" t="n">
        <f aca="false">N(Q490)+$P491</f>
        <v>11</v>
      </c>
    </row>
    <row r="492" customFormat="false" ht="13.5" hidden="false" customHeight="false" outlineLevel="0" collapsed="false">
      <c r="A492" s="9" t="n">
        <v>491</v>
      </c>
      <c r="B492" s="40" t="str">
        <f aca="false">IF($T$4=0,IF($I492="","",$I492),IFERROR(IF([1]财务取数接口!$B$491=0,"",[1]财务取数接口!$B$491),""))</f>
        <v/>
      </c>
      <c r="C492" s="39" t="str">
        <f aca="false">IF($T$4=0,IF($J492="","",$J492),IFERROR(IF([1]财务取数接口!$C$491=0,"",[1]财务取数接口!$C$491),""))</f>
        <v/>
      </c>
      <c r="D492" s="40" t="str">
        <f aca="false">IF($T$4=0,IF($K492="","",$K492),IFERROR(IF([1]财务取数接口!$D$491=0,"",[1]财务取数接口!$D$491),""))</f>
        <v/>
      </c>
      <c r="E492" s="40" t="str">
        <f aca="false">IF($T$4=0,IF($L492="","",$L492),IFERROR(IF([1]财务取数接口!$E$491=0,"",[1]财务取数接口!$E$491),""))</f>
        <v/>
      </c>
      <c r="F492" s="41" t="str">
        <f aca="false">IF($T$4=0,IF($M492="","",$M492),IFERROR(IF([1]财务取数接口!$G$491=0,"",[1]财务取数接口!$G$491),""))</f>
        <v/>
      </c>
      <c r="G492" s="41" t="str">
        <f aca="false">IF($T$4=0,IF($N492="","",$N492),IFERROR(IF([1]财务取数接口!$H$491=0,"",[1]财务取数接口!$H$491),""))</f>
        <v/>
      </c>
      <c r="H492" s="39" t="str">
        <f aca="false">IF($T$4=0,IF($O492="","",$O492),IFERROR(IF([1]财务取数接口!$I$491=0,"",[1]财务取数接口!$I$491),""))</f>
        <v/>
      </c>
      <c r="I492" s="42"/>
      <c r="J492" s="43"/>
      <c r="K492" s="42"/>
      <c r="L492" s="42"/>
      <c r="M492" s="44"/>
      <c r="N492" s="44"/>
      <c r="O492" s="43"/>
      <c r="P492" s="45" t="n">
        <f aca="false">IF(AND($C492&lt;&gt;"",$C492&lt;&gt;"项目",OR(N($D492)&lt;&gt;0,N($E492)&lt;&gt;0,N($F492)&lt;&gt;0)),1,0)</f>
        <v>0</v>
      </c>
      <c r="Q492" s="45" t="n">
        <f aca="false">N(Q491)+$P492</f>
        <v>11</v>
      </c>
    </row>
    <row r="493" customFormat="false" ht="13.5" hidden="false" customHeight="false" outlineLevel="0" collapsed="false">
      <c r="A493" s="9" t="n">
        <v>492</v>
      </c>
      <c r="B493" s="40" t="str">
        <f aca="false">IF($T$4=0,IF($I493="","",$I493),IFERROR(IF([1]财务取数接口!$B$492=0,"",[1]财务取数接口!$B$492),""))</f>
        <v/>
      </c>
      <c r="C493" s="39" t="str">
        <f aca="false">IF($T$4=0,IF($J493="","",$J493),IFERROR(IF([1]财务取数接口!$C$492=0,"",[1]财务取数接口!$C$492),""))</f>
        <v/>
      </c>
      <c r="D493" s="40" t="str">
        <f aca="false">IF($T$4=0,IF($K493="","",$K493),IFERROR(IF([1]财务取数接口!$D$492=0,"",[1]财务取数接口!$D$492),""))</f>
        <v/>
      </c>
      <c r="E493" s="40" t="str">
        <f aca="false">IF($T$4=0,IF($L493="","",$L493),IFERROR(IF([1]财务取数接口!$E$492=0,"",[1]财务取数接口!$E$492),""))</f>
        <v/>
      </c>
      <c r="F493" s="41" t="str">
        <f aca="false">IF($T$4=0,IF($M493="","",$M493),IFERROR(IF([1]财务取数接口!$G$492=0,"",[1]财务取数接口!$G$492),""))</f>
        <v/>
      </c>
      <c r="G493" s="41" t="str">
        <f aca="false">IF($T$4=0,IF($N493="","",$N493),IFERROR(IF([1]财务取数接口!$H$492=0,"",[1]财务取数接口!$H$492),""))</f>
        <v/>
      </c>
      <c r="H493" s="39" t="str">
        <f aca="false">IF($T$4=0,IF($O493="","",$O493),IFERROR(IF([1]财务取数接口!$I$492=0,"",[1]财务取数接口!$I$492),""))</f>
        <v/>
      </c>
      <c r="I493" s="42"/>
      <c r="J493" s="43"/>
      <c r="K493" s="42"/>
      <c r="L493" s="42"/>
      <c r="M493" s="44"/>
      <c r="N493" s="44"/>
      <c r="O493" s="43"/>
      <c r="P493" s="45" t="n">
        <f aca="false">IF(AND($C493&lt;&gt;"",$C493&lt;&gt;"项目",OR(N($D493)&lt;&gt;0,N($E493)&lt;&gt;0,N($F493)&lt;&gt;0)),1,0)</f>
        <v>0</v>
      </c>
      <c r="Q493" s="45" t="n">
        <f aca="false">N(Q492)+$P493</f>
        <v>11</v>
      </c>
    </row>
    <row r="494" customFormat="false" ht="13.5" hidden="false" customHeight="false" outlineLevel="0" collapsed="false">
      <c r="A494" s="9" t="n">
        <v>493</v>
      </c>
      <c r="B494" s="40" t="str">
        <f aca="false">IF($T$4=0,IF($I494="","",$I494),IFERROR(IF([1]财务取数接口!$B$493=0,"",[1]财务取数接口!$B$493),""))</f>
        <v/>
      </c>
      <c r="C494" s="39" t="str">
        <f aca="false">IF($T$4=0,IF($J494="","",$J494),IFERROR(IF([1]财务取数接口!$C$493=0,"",[1]财务取数接口!$C$493),""))</f>
        <v/>
      </c>
      <c r="D494" s="40" t="str">
        <f aca="false">IF($T$4=0,IF($K494="","",$K494),IFERROR(IF([1]财务取数接口!$D$493=0,"",[1]财务取数接口!$D$493),""))</f>
        <v/>
      </c>
      <c r="E494" s="40" t="str">
        <f aca="false">IF($T$4=0,IF($L494="","",$L494),IFERROR(IF([1]财务取数接口!$E$493=0,"",[1]财务取数接口!$E$493),""))</f>
        <v/>
      </c>
      <c r="F494" s="41" t="str">
        <f aca="false">IF($T$4=0,IF($M494="","",$M494),IFERROR(IF([1]财务取数接口!$G$493=0,"",[1]财务取数接口!$G$493),""))</f>
        <v/>
      </c>
      <c r="G494" s="41" t="str">
        <f aca="false">IF($T$4=0,IF($N494="","",$N494),IFERROR(IF([1]财务取数接口!$H$493=0,"",[1]财务取数接口!$H$493),""))</f>
        <v/>
      </c>
      <c r="H494" s="39" t="str">
        <f aca="false">IF($T$4=0,IF($O494="","",$O494),IFERROR(IF([1]财务取数接口!$I$493=0,"",[1]财务取数接口!$I$493),""))</f>
        <v/>
      </c>
      <c r="I494" s="42"/>
      <c r="J494" s="43"/>
      <c r="K494" s="42"/>
      <c r="L494" s="42"/>
      <c r="M494" s="44"/>
      <c r="N494" s="44"/>
      <c r="O494" s="43"/>
      <c r="P494" s="45" t="n">
        <f aca="false">IF(AND($C494&lt;&gt;"",$C494&lt;&gt;"项目",OR(N($D494)&lt;&gt;0,N($E494)&lt;&gt;0,N($F494)&lt;&gt;0)),1,0)</f>
        <v>0</v>
      </c>
      <c r="Q494" s="45" t="n">
        <f aca="false">N(Q493)+$P494</f>
        <v>11</v>
      </c>
    </row>
    <row r="495" customFormat="false" ht="13.5" hidden="false" customHeight="false" outlineLevel="0" collapsed="false">
      <c r="A495" s="9" t="n">
        <v>494</v>
      </c>
      <c r="B495" s="40" t="str">
        <f aca="false">IF($T$4=0,IF($I495="","",$I495),IFERROR(IF([1]财务取数接口!$B$494=0,"",[1]财务取数接口!$B$494),""))</f>
        <v/>
      </c>
      <c r="C495" s="39" t="str">
        <f aca="false">IF($T$4=0,IF($J495="","",$J495),IFERROR(IF([1]财务取数接口!$C$494=0,"",[1]财务取数接口!$C$494),""))</f>
        <v/>
      </c>
      <c r="D495" s="40" t="str">
        <f aca="false">IF($T$4=0,IF($K495="","",$K495),IFERROR(IF([1]财务取数接口!$D$494=0,"",[1]财务取数接口!$D$494),""))</f>
        <v/>
      </c>
      <c r="E495" s="40" t="str">
        <f aca="false">IF($T$4=0,IF($L495="","",$L495),IFERROR(IF([1]财务取数接口!$E$494=0,"",[1]财务取数接口!$E$494),""))</f>
        <v/>
      </c>
      <c r="F495" s="41" t="str">
        <f aca="false">IF($T$4=0,IF($M495="","",$M495),IFERROR(IF([1]财务取数接口!$G$494=0,"",[1]财务取数接口!$G$494),""))</f>
        <v/>
      </c>
      <c r="G495" s="41" t="str">
        <f aca="false">IF($T$4=0,IF($N495="","",$N495),IFERROR(IF([1]财务取数接口!$H$494=0,"",[1]财务取数接口!$H$494),""))</f>
        <v/>
      </c>
      <c r="H495" s="39" t="str">
        <f aca="false">IF($T$4=0,IF($O495="","",$O495),IFERROR(IF([1]财务取数接口!$I$494=0,"",[1]财务取数接口!$I$494),""))</f>
        <v/>
      </c>
      <c r="I495" s="42"/>
      <c r="J495" s="43"/>
      <c r="K495" s="42"/>
      <c r="L495" s="42"/>
      <c r="M495" s="44"/>
      <c r="N495" s="44"/>
      <c r="O495" s="43"/>
      <c r="P495" s="45" t="n">
        <f aca="false">IF(AND($C495&lt;&gt;"",$C495&lt;&gt;"项目",OR(N($D495)&lt;&gt;0,N($E495)&lt;&gt;0,N($F495)&lt;&gt;0)),1,0)</f>
        <v>0</v>
      </c>
      <c r="Q495" s="45" t="n">
        <f aca="false">N(Q494)+$P495</f>
        <v>11</v>
      </c>
    </row>
    <row r="496" customFormat="false" ht="13.5" hidden="false" customHeight="false" outlineLevel="0" collapsed="false">
      <c r="A496" s="9" t="n">
        <v>495</v>
      </c>
      <c r="B496" s="40" t="str">
        <f aca="false">IF($T$4=0,IF($I496="","",$I496),IFERROR(IF([1]财务取数接口!$B$495=0,"",[1]财务取数接口!$B$495),""))</f>
        <v/>
      </c>
      <c r="C496" s="39" t="str">
        <f aca="false">IF($T$4=0,IF($J496="","",$J496),IFERROR(IF([1]财务取数接口!$C$495=0,"",[1]财务取数接口!$C$495),""))</f>
        <v/>
      </c>
      <c r="D496" s="40" t="str">
        <f aca="false">IF($T$4=0,IF($K496="","",$K496),IFERROR(IF([1]财务取数接口!$D$495=0,"",[1]财务取数接口!$D$495),""))</f>
        <v/>
      </c>
      <c r="E496" s="40" t="str">
        <f aca="false">IF($T$4=0,IF($L496="","",$L496),IFERROR(IF([1]财务取数接口!$E$495=0,"",[1]财务取数接口!$E$495),""))</f>
        <v/>
      </c>
      <c r="F496" s="41" t="str">
        <f aca="false">IF($T$4=0,IF($M496="","",$M496),IFERROR(IF([1]财务取数接口!$G$495=0,"",[1]财务取数接口!$G$495),""))</f>
        <v/>
      </c>
      <c r="G496" s="41" t="str">
        <f aca="false">IF($T$4=0,IF($N496="","",$N496),IFERROR(IF([1]财务取数接口!$H$495=0,"",[1]财务取数接口!$H$495),""))</f>
        <v/>
      </c>
      <c r="H496" s="39" t="str">
        <f aca="false">IF($T$4=0,IF($O496="","",$O496),IFERROR(IF([1]财务取数接口!$I$495=0,"",[1]财务取数接口!$I$495),""))</f>
        <v/>
      </c>
      <c r="I496" s="42"/>
      <c r="J496" s="43"/>
      <c r="K496" s="42"/>
      <c r="L496" s="42"/>
      <c r="M496" s="44"/>
      <c r="N496" s="44"/>
      <c r="O496" s="43"/>
      <c r="P496" s="45" t="n">
        <f aca="false">IF(AND($C496&lt;&gt;"",$C496&lt;&gt;"项目",OR(N($D496)&lt;&gt;0,N($E496)&lt;&gt;0,N($F496)&lt;&gt;0)),1,0)</f>
        <v>0</v>
      </c>
      <c r="Q496" s="45" t="n">
        <f aca="false">N(Q495)+$P496</f>
        <v>11</v>
      </c>
    </row>
    <row r="497" customFormat="false" ht="13.5" hidden="false" customHeight="false" outlineLevel="0" collapsed="false">
      <c r="A497" s="9" t="n">
        <v>496</v>
      </c>
      <c r="B497" s="40" t="str">
        <f aca="false">IF($T$4=0,IF($I497="","",$I497),IFERROR(IF([1]财务取数接口!$B$496=0,"",[1]财务取数接口!$B$496),""))</f>
        <v/>
      </c>
      <c r="C497" s="39" t="str">
        <f aca="false">IF($T$4=0,IF($J497="","",$J497),IFERROR(IF([1]财务取数接口!$C$496=0,"",[1]财务取数接口!$C$496),""))</f>
        <v/>
      </c>
      <c r="D497" s="40" t="str">
        <f aca="false">IF($T$4=0,IF($K497="","",$K497),IFERROR(IF([1]财务取数接口!$D$496=0,"",[1]财务取数接口!$D$496),""))</f>
        <v/>
      </c>
      <c r="E497" s="40" t="str">
        <f aca="false">IF($T$4=0,IF($L497="","",$L497),IFERROR(IF([1]财务取数接口!$E$496=0,"",[1]财务取数接口!$E$496),""))</f>
        <v/>
      </c>
      <c r="F497" s="41" t="str">
        <f aca="false">IF($T$4=0,IF($M497="","",$M497),IFERROR(IF([1]财务取数接口!$G$496=0,"",[1]财务取数接口!$G$496),""))</f>
        <v/>
      </c>
      <c r="G497" s="41" t="str">
        <f aca="false">IF($T$4=0,IF($N497="","",$N497),IFERROR(IF([1]财务取数接口!$H$496=0,"",[1]财务取数接口!$H$496),""))</f>
        <v/>
      </c>
      <c r="H497" s="39" t="str">
        <f aca="false">IF($T$4=0,IF($O497="","",$O497),IFERROR(IF([1]财务取数接口!$I$496=0,"",[1]财务取数接口!$I$496),""))</f>
        <v/>
      </c>
      <c r="I497" s="42"/>
      <c r="J497" s="43"/>
      <c r="K497" s="42"/>
      <c r="L497" s="42"/>
      <c r="M497" s="44"/>
      <c r="N497" s="44"/>
      <c r="O497" s="43"/>
      <c r="P497" s="45" t="n">
        <f aca="false">IF(AND($C497&lt;&gt;"",$C497&lt;&gt;"项目",OR(N($D497)&lt;&gt;0,N($E497)&lt;&gt;0,N($F497)&lt;&gt;0)),1,0)</f>
        <v>0</v>
      </c>
      <c r="Q497" s="45" t="n">
        <f aca="false">N(Q496)+$P497</f>
        <v>11</v>
      </c>
    </row>
    <row r="498" customFormat="false" ht="13.5" hidden="false" customHeight="false" outlineLevel="0" collapsed="false">
      <c r="A498" s="9" t="n">
        <v>497</v>
      </c>
      <c r="B498" s="40" t="str">
        <f aca="false">IF($T$4=0,IF($I498="","",$I498),IFERROR(IF([1]财务取数接口!$B$497=0,"",[1]财务取数接口!$B$497),""))</f>
        <v/>
      </c>
      <c r="C498" s="39" t="str">
        <f aca="false">IF($T$4=0,IF($J498="","",$J498),IFERROR(IF([1]财务取数接口!$C$497=0,"",[1]财务取数接口!$C$497),""))</f>
        <v/>
      </c>
      <c r="D498" s="40" t="str">
        <f aca="false">IF($T$4=0,IF($K498="","",$K498),IFERROR(IF([1]财务取数接口!$D$497=0,"",[1]财务取数接口!$D$497),""))</f>
        <v/>
      </c>
      <c r="E498" s="40" t="str">
        <f aca="false">IF($T$4=0,IF($L498="","",$L498),IFERROR(IF([1]财务取数接口!$E$497=0,"",[1]财务取数接口!$E$497),""))</f>
        <v/>
      </c>
      <c r="F498" s="41" t="str">
        <f aca="false">IF($T$4=0,IF($M498="","",$M498),IFERROR(IF([1]财务取数接口!$G$497=0,"",[1]财务取数接口!$G$497),""))</f>
        <v/>
      </c>
      <c r="G498" s="41" t="str">
        <f aca="false">IF($T$4=0,IF($N498="","",$N498),IFERROR(IF([1]财务取数接口!$H$497=0,"",[1]财务取数接口!$H$497),""))</f>
        <v/>
      </c>
      <c r="H498" s="39" t="str">
        <f aca="false">IF($T$4=0,IF($O498="","",$O498),IFERROR(IF([1]财务取数接口!$I$497=0,"",[1]财务取数接口!$I$497),""))</f>
        <v/>
      </c>
      <c r="I498" s="42"/>
      <c r="J498" s="43"/>
      <c r="K498" s="42"/>
      <c r="L498" s="42"/>
      <c r="M498" s="44"/>
      <c r="N498" s="44"/>
      <c r="O498" s="43"/>
      <c r="P498" s="45" t="n">
        <f aca="false">IF(AND($C498&lt;&gt;"",$C498&lt;&gt;"项目",OR(N($D498)&lt;&gt;0,N($E498)&lt;&gt;0,N($F498)&lt;&gt;0)),1,0)</f>
        <v>0</v>
      </c>
      <c r="Q498" s="45" t="n">
        <f aca="false">N(Q497)+$P498</f>
        <v>11</v>
      </c>
    </row>
    <row r="499" customFormat="false" ht="13.5" hidden="false" customHeight="false" outlineLevel="0" collapsed="false">
      <c r="A499" s="9" t="n">
        <v>498</v>
      </c>
      <c r="B499" s="40" t="str">
        <f aca="false">IF($T$4=0,IF($I499="","",$I499),IFERROR(IF([1]财务取数接口!$B$498=0,"",[1]财务取数接口!$B$498),""))</f>
        <v/>
      </c>
      <c r="C499" s="39" t="str">
        <f aca="false">IF($T$4=0,IF($J499="","",$J499),IFERROR(IF([1]财务取数接口!$C$498=0,"",[1]财务取数接口!$C$498),""))</f>
        <v/>
      </c>
      <c r="D499" s="40" t="str">
        <f aca="false">IF($T$4=0,IF($K499="","",$K499),IFERROR(IF([1]财务取数接口!$D$498=0,"",[1]财务取数接口!$D$498),""))</f>
        <v/>
      </c>
      <c r="E499" s="40" t="str">
        <f aca="false">IF($T$4=0,IF($L499="","",$L499),IFERROR(IF([1]财务取数接口!$E$498=0,"",[1]财务取数接口!$E$498),""))</f>
        <v/>
      </c>
      <c r="F499" s="41" t="str">
        <f aca="false">IF($T$4=0,IF($M499="","",$M499),IFERROR(IF([1]财务取数接口!$G$498=0,"",[1]财务取数接口!$G$498),""))</f>
        <v/>
      </c>
      <c r="G499" s="41" t="str">
        <f aca="false">IF($T$4=0,IF($N499="","",$N499),IFERROR(IF([1]财务取数接口!$H$498=0,"",[1]财务取数接口!$H$498),""))</f>
        <v/>
      </c>
      <c r="H499" s="39" t="str">
        <f aca="false">IF($T$4=0,IF($O499="","",$O499),IFERROR(IF([1]财务取数接口!$I$498=0,"",[1]财务取数接口!$I$498),""))</f>
        <v/>
      </c>
      <c r="I499" s="42"/>
      <c r="J499" s="43"/>
      <c r="K499" s="42"/>
      <c r="L499" s="42"/>
      <c r="M499" s="44"/>
      <c r="N499" s="44"/>
      <c r="O499" s="43"/>
      <c r="P499" s="45" t="n">
        <f aca="false">IF(AND($C499&lt;&gt;"",$C499&lt;&gt;"项目",OR(N($D499)&lt;&gt;0,N($E499)&lt;&gt;0,N($F499)&lt;&gt;0)),1,0)</f>
        <v>0</v>
      </c>
      <c r="Q499" s="45" t="n">
        <f aca="false">N(Q498)+$P499</f>
        <v>11</v>
      </c>
    </row>
    <row r="500" customFormat="false" ht="13.5" hidden="false" customHeight="false" outlineLevel="0" collapsed="false">
      <c r="A500" s="9" t="n">
        <v>499</v>
      </c>
      <c r="B500" s="40" t="str">
        <f aca="false">IF($T$4=0,IF($I500="","",$I500),IFERROR(IF([1]财务取数接口!$B$499=0,"",[1]财务取数接口!$B$499),""))</f>
        <v/>
      </c>
      <c r="C500" s="39" t="str">
        <f aca="false">IF($T$4=0,IF($J500="","",$J500),IFERROR(IF([1]财务取数接口!$C$499=0,"",[1]财务取数接口!$C$499),""))</f>
        <v/>
      </c>
      <c r="D500" s="40" t="str">
        <f aca="false">IF($T$4=0,IF($K500="","",$K500),IFERROR(IF([1]财务取数接口!$D$499=0,"",[1]财务取数接口!$D$499),""))</f>
        <v/>
      </c>
      <c r="E500" s="40" t="str">
        <f aca="false">IF($T$4=0,IF($L500="","",$L500),IFERROR(IF([1]财务取数接口!$E$499=0,"",[1]财务取数接口!$E$499),""))</f>
        <v/>
      </c>
      <c r="F500" s="41" t="str">
        <f aca="false">IF($T$4=0,IF($M500="","",$M500),IFERROR(IF([1]财务取数接口!$G$499=0,"",[1]财务取数接口!$G$499),""))</f>
        <v/>
      </c>
      <c r="G500" s="41" t="str">
        <f aca="false">IF($T$4=0,IF($N500="","",$N500),IFERROR(IF([1]财务取数接口!$H$499=0,"",[1]财务取数接口!$H$499),""))</f>
        <v/>
      </c>
      <c r="H500" s="39" t="str">
        <f aca="false">IF($T$4=0,IF($O500="","",$O500),IFERROR(IF([1]财务取数接口!$I$499=0,"",[1]财务取数接口!$I$499),""))</f>
        <v/>
      </c>
      <c r="I500" s="42"/>
      <c r="J500" s="43"/>
      <c r="K500" s="42"/>
      <c r="L500" s="42"/>
      <c r="M500" s="44"/>
      <c r="N500" s="44"/>
      <c r="O500" s="43"/>
      <c r="P500" s="45" t="n">
        <f aca="false">IF(AND($C500&lt;&gt;"",$C500&lt;&gt;"项目",OR(N($D500)&lt;&gt;0,N($E500)&lt;&gt;0,N($F500)&lt;&gt;0)),1,0)</f>
        <v>0</v>
      </c>
      <c r="Q500" s="45" t="n">
        <f aca="false">N(Q499)+$P500</f>
        <v>11</v>
      </c>
    </row>
    <row r="501" customFormat="false" ht="13.5" hidden="false" customHeight="false" outlineLevel="0" collapsed="false">
      <c r="A501" s="9" t="n">
        <v>500</v>
      </c>
      <c r="B501" s="40" t="str">
        <f aca="false">IF($T$4=0,IF($I501="","",$I501),IFERROR(IF([1]财务取数接口!$B$500=0,"",[1]财务取数接口!$B$500),""))</f>
        <v/>
      </c>
      <c r="C501" s="39" t="str">
        <f aca="false">IF($T$4=0,IF($J501="","",$J501),IFERROR(IF([1]财务取数接口!$C$500=0,"",[1]财务取数接口!$C$500),""))</f>
        <v/>
      </c>
      <c r="D501" s="40" t="str">
        <f aca="false">IF($T$4=0,IF($K501="","",$K501),IFERROR(IF([1]财务取数接口!$D$500=0,"",[1]财务取数接口!$D$500),""))</f>
        <v/>
      </c>
      <c r="E501" s="40" t="str">
        <f aca="false">IF($T$4=0,IF($L501="","",$L501),IFERROR(IF([1]财务取数接口!$E$500=0,"",[1]财务取数接口!$E$500),""))</f>
        <v/>
      </c>
      <c r="F501" s="41" t="str">
        <f aca="false">IF($T$4=0,IF($M501="","",$M501),IFERROR(IF([1]财务取数接口!$G$500=0,"",[1]财务取数接口!$G$500),""))</f>
        <v/>
      </c>
      <c r="G501" s="41" t="str">
        <f aca="false">IF($T$4=0,IF($N501="","",$N501),IFERROR(IF([1]财务取数接口!$H$500=0,"",[1]财务取数接口!$H$500),""))</f>
        <v/>
      </c>
      <c r="H501" s="39" t="str">
        <f aca="false">IF($T$4=0,IF($O501="","",$O501),IFERROR(IF([1]财务取数接口!$I$500=0,"",[1]财务取数接口!$I$500),""))</f>
        <v/>
      </c>
      <c r="I501" s="42"/>
      <c r="J501" s="43"/>
      <c r="K501" s="42"/>
      <c r="L501" s="42"/>
      <c r="M501" s="44"/>
      <c r="N501" s="44"/>
      <c r="O501" s="43"/>
      <c r="P501" s="45" t="n">
        <f aca="false">IF(AND($C501&lt;&gt;"",$C501&lt;&gt;"项目",OR(N($D501)&lt;&gt;0,N($E501)&lt;&gt;0,N($F501)&lt;&gt;0)),1,0)</f>
        <v>0</v>
      </c>
      <c r="Q501" s="45" t="n">
        <f aca="false">N(Q500)+$P501</f>
        <v>11</v>
      </c>
    </row>
    <row r="502" customFormat="false" ht="13.5" hidden="false" customHeight="false" outlineLevel="0" collapsed="false">
      <c r="A502" s="9" t="n">
        <v>501</v>
      </c>
      <c r="B502" s="40" t="str">
        <f aca="false">IF($T$4=0,IF($I502="","",$I502),IFERROR(IF([1]财务取数接口!$B$501=0,"",[1]财务取数接口!$B$501),""))</f>
        <v/>
      </c>
      <c r="C502" s="39" t="str">
        <f aca="false">IF($T$4=0,IF($J502="","",$J502),IFERROR(IF([1]财务取数接口!$C$501=0,"",[1]财务取数接口!$C$501),""))</f>
        <v/>
      </c>
      <c r="D502" s="40" t="str">
        <f aca="false">IF($T$4=0,IF($K502="","",$K502),IFERROR(IF([1]财务取数接口!$D$501=0,"",[1]财务取数接口!$D$501),""))</f>
        <v/>
      </c>
      <c r="E502" s="40" t="str">
        <f aca="false">IF($T$4=0,IF($L502="","",$L502),IFERROR(IF([1]财务取数接口!$E$501=0,"",[1]财务取数接口!$E$501),""))</f>
        <v/>
      </c>
      <c r="F502" s="41" t="str">
        <f aca="false">IF($T$4=0,IF($M502="","",$M502),IFERROR(IF([1]财务取数接口!$G$501=0,"",[1]财务取数接口!$G$501),""))</f>
        <v/>
      </c>
      <c r="G502" s="41" t="str">
        <f aca="false">IF($T$4=0,IF($N502="","",$N502),IFERROR(IF([1]财务取数接口!$H$501=0,"",[1]财务取数接口!$H$501),""))</f>
        <v/>
      </c>
      <c r="H502" s="39" t="str">
        <f aca="false">IF($T$4=0,IF($O502="","",$O502),IFERROR(IF([1]财务取数接口!$I$501=0,"",[1]财务取数接口!$I$501),""))</f>
        <v/>
      </c>
      <c r="I502" s="42"/>
      <c r="J502" s="43"/>
      <c r="K502" s="42"/>
      <c r="L502" s="42"/>
      <c r="M502" s="44"/>
      <c r="N502" s="44"/>
      <c r="O502" s="43"/>
      <c r="P502" s="45" t="n">
        <f aca="false">IF(AND($C502&lt;&gt;"",$C502&lt;&gt;"项目",OR(N($D502)&lt;&gt;0,N($E502)&lt;&gt;0,N($F502)&lt;&gt;0)),1,0)</f>
        <v>0</v>
      </c>
      <c r="Q502" s="45" t="n">
        <f aca="false">N(Q501)+$P502</f>
        <v>11</v>
      </c>
    </row>
    <row r="503" customFormat="false" ht="13.5" hidden="false" customHeight="false" outlineLevel="0" collapsed="false">
      <c r="A503" s="9" t="n">
        <v>502</v>
      </c>
      <c r="B503" s="40" t="str">
        <f aca="false">IF($T$4=0,IF($I503="","",$I503),IFERROR(IF([1]财务取数接口!$B$502=0,"",[1]财务取数接口!$B$502),""))</f>
        <v/>
      </c>
      <c r="C503" s="39" t="str">
        <f aca="false">IF($T$4=0,IF($J503="","",$J503),IFERROR(IF([1]财务取数接口!$C$502=0,"",[1]财务取数接口!$C$502),""))</f>
        <v/>
      </c>
      <c r="D503" s="40" t="str">
        <f aca="false">IF($T$4=0,IF($K503="","",$K503),IFERROR(IF([1]财务取数接口!$D$502=0,"",[1]财务取数接口!$D$502),""))</f>
        <v/>
      </c>
      <c r="E503" s="40" t="str">
        <f aca="false">IF($T$4=0,IF($L503="","",$L503),IFERROR(IF([1]财务取数接口!$E$502=0,"",[1]财务取数接口!$E$502),""))</f>
        <v/>
      </c>
      <c r="F503" s="41" t="str">
        <f aca="false">IF($T$4=0,IF($M503="","",$M503),IFERROR(IF([1]财务取数接口!$G$502=0,"",[1]财务取数接口!$G$502),""))</f>
        <v/>
      </c>
      <c r="G503" s="41" t="str">
        <f aca="false">IF($T$4=0,IF($N503="","",$N503),IFERROR(IF([1]财务取数接口!$H$502=0,"",[1]财务取数接口!$H$502),""))</f>
        <v/>
      </c>
      <c r="H503" s="39" t="str">
        <f aca="false">IF($T$4=0,IF($O503="","",$O503),IFERROR(IF([1]财务取数接口!$I$502=0,"",[1]财务取数接口!$I$502),""))</f>
        <v/>
      </c>
      <c r="I503" s="42"/>
      <c r="J503" s="43"/>
      <c r="K503" s="42"/>
      <c r="L503" s="42"/>
      <c r="M503" s="44"/>
      <c r="N503" s="44"/>
      <c r="O503" s="43"/>
      <c r="P503" s="45" t="n">
        <f aca="false">IF(AND($C503&lt;&gt;"",$C503&lt;&gt;"项目",OR(N($D503)&lt;&gt;0,N($E503)&lt;&gt;0,N($F503)&lt;&gt;0)),1,0)</f>
        <v>0</v>
      </c>
      <c r="Q503" s="45" t="n">
        <f aca="false">N(Q502)+$P503</f>
        <v>11</v>
      </c>
    </row>
    <row r="504" customFormat="false" ht="13.5" hidden="false" customHeight="false" outlineLevel="0" collapsed="false">
      <c r="A504" s="9" t="n">
        <v>503</v>
      </c>
      <c r="B504" s="40" t="str">
        <f aca="false">IF($T$4=0,IF($I504="","",$I504),IFERROR(IF([1]财务取数接口!$B$503=0,"",[1]财务取数接口!$B$503),""))</f>
        <v/>
      </c>
      <c r="C504" s="39" t="str">
        <f aca="false">IF($T$4=0,IF($J504="","",$J504),IFERROR(IF([1]财务取数接口!$C$503=0,"",[1]财务取数接口!$C$503),""))</f>
        <v/>
      </c>
      <c r="D504" s="40" t="str">
        <f aca="false">IF($T$4=0,IF($K504="","",$K504),IFERROR(IF([1]财务取数接口!$D$503=0,"",[1]财务取数接口!$D$503),""))</f>
        <v/>
      </c>
      <c r="E504" s="40" t="str">
        <f aca="false">IF($T$4=0,IF($L504="","",$L504),IFERROR(IF([1]财务取数接口!$E$503=0,"",[1]财务取数接口!$E$503),""))</f>
        <v/>
      </c>
      <c r="F504" s="41" t="str">
        <f aca="false">IF($T$4=0,IF($M504="","",$M504),IFERROR(IF([1]财务取数接口!$G$503=0,"",[1]财务取数接口!$G$503),""))</f>
        <v/>
      </c>
      <c r="G504" s="41" t="str">
        <f aca="false">IF($T$4=0,IF($N504="","",$N504),IFERROR(IF([1]财务取数接口!$H$503=0,"",[1]财务取数接口!$H$503),""))</f>
        <v/>
      </c>
      <c r="H504" s="39" t="str">
        <f aca="false">IF($T$4=0,IF($O504="","",$O504),IFERROR(IF([1]财务取数接口!$I$503=0,"",[1]财务取数接口!$I$503),""))</f>
        <v/>
      </c>
      <c r="I504" s="42"/>
      <c r="J504" s="43"/>
      <c r="K504" s="42"/>
      <c r="L504" s="42"/>
      <c r="M504" s="44"/>
      <c r="N504" s="44"/>
      <c r="O504" s="43"/>
      <c r="P504" s="45" t="n">
        <f aca="false">IF(AND($C504&lt;&gt;"",$C504&lt;&gt;"项目",OR(N($D504)&lt;&gt;0,N($E504)&lt;&gt;0,N($F504)&lt;&gt;0)),1,0)</f>
        <v>0</v>
      </c>
      <c r="Q504" s="45" t="n">
        <f aca="false">N(Q503)+$P504</f>
        <v>11</v>
      </c>
    </row>
    <row r="505" customFormat="false" ht="13.5" hidden="false" customHeight="false" outlineLevel="0" collapsed="false">
      <c r="A505" s="9" t="n">
        <v>504</v>
      </c>
      <c r="B505" s="40" t="str">
        <f aca="false">IF($T$4=0,IF($I505="","",$I505),IFERROR(IF([1]财务取数接口!$B$504=0,"",[1]财务取数接口!$B$504),""))</f>
        <v/>
      </c>
      <c r="C505" s="39" t="str">
        <f aca="false">IF($T$4=0,IF($J505="","",$J505),IFERROR(IF([1]财务取数接口!$C$504=0,"",[1]财务取数接口!$C$504),""))</f>
        <v/>
      </c>
      <c r="D505" s="40" t="str">
        <f aca="false">IF($T$4=0,IF($K505="","",$K505),IFERROR(IF([1]财务取数接口!$D$504=0,"",[1]财务取数接口!$D$504),""))</f>
        <v/>
      </c>
      <c r="E505" s="40" t="str">
        <f aca="false">IF($T$4=0,IF($L505="","",$L505),IFERROR(IF([1]财务取数接口!$E$504=0,"",[1]财务取数接口!$E$504),""))</f>
        <v/>
      </c>
      <c r="F505" s="41" t="str">
        <f aca="false">IF($T$4=0,IF($M505="","",$M505),IFERROR(IF([1]财务取数接口!$G$504=0,"",[1]财务取数接口!$G$504),""))</f>
        <v/>
      </c>
      <c r="G505" s="41" t="str">
        <f aca="false">IF($T$4=0,IF($N505="","",$N505),IFERROR(IF([1]财务取数接口!$H$504=0,"",[1]财务取数接口!$H$504),""))</f>
        <v/>
      </c>
      <c r="H505" s="39" t="str">
        <f aca="false">IF($T$4=0,IF($O505="","",$O505),IFERROR(IF([1]财务取数接口!$I$504=0,"",[1]财务取数接口!$I$504),""))</f>
        <v/>
      </c>
      <c r="I505" s="42"/>
      <c r="J505" s="43"/>
      <c r="K505" s="42"/>
      <c r="L505" s="42"/>
      <c r="M505" s="44"/>
      <c r="N505" s="44"/>
      <c r="O505" s="43"/>
      <c r="P505" s="45" t="n">
        <f aca="false">IF(AND($C505&lt;&gt;"",$C505&lt;&gt;"项目",OR(N($D505)&lt;&gt;0,N($E505)&lt;&gt;0,N($F505)&lt;&gt;0)),1,0)</f>
        <v>0</v>
      </c>
      <c r="Q505" s="45" t="n">
        <f aca="false">N(Q504)+$P505</f>
        <v>11</v>
      </c>
    </row>
    <row r="506" customFormat="false" ht="13.5" hidden="false" customHeight="false" outlineLevel="0" collapsed="false">
      <c r="A506" s="9" t="n">
        <v>505</v>
      </c>
      <c r="B506" s="40" t="str">
        <f aca="false">IF($T$4=0,IF($I506="","",$I506),IFERROR(IF([1]财务取数接口!$B$505=0,"",[1]财务取数接口!$B$505),""))</f>
        <v/>
      </c>
      <c r="C506" s="39" t="str">
        <f aca="false">IF($T$4=0,IF($J506="","",$J506),IFERROR(IF([1]财务取数接口!$C$505=0,"",[1]财务取数接口!$C$505),""))</f>
        <v/>
      </c>
      <c r="D506" s="40" t="str">
        <f aca="false">IF($T$4=0,IF($K506="","",$K506),IFERROR(IF([1]财务取数接口!$D$505=0,"",[1]财务取数接口!$D$505),""))</f>
        <v/>
      </c>
      <c r="E506" s="40" t="str">
        <f aca="false">IF($T$4=0,IF($L506="","",$L506),IFERROR(IF([1]财务取数接口!$E$505=0,"",[1]财务取数接口!$E$505),""))</f>
        <v/>
      </c>
      <c r="F506" s="41" t="str">
        <f aca="false">IF($T$4=0,IF($M506="","",$M506),IFERROR(IF([1]财务取数接口!$G$505=0,"",[1]财务取数接口!$G$505),""))</f>
        <v/>
      </c>
      <c r="G506" s="41" t="str">
        <f aca="false">IF($T$4=0,IF($N506="","",$N506),IFERROR(IF([1]财务取数接口!$H$505=0,"",[1]财务取数接口!$H$505),""))</f>
        <v/>
      </c>
      <c r="H506" s="39" t="str">
        <f aca="false">IF($T$4=0,IF($O506="","",$O506),IFERROR(IF([1]财务取数接口!$I$505=0,"",[1]财务取数接口!$I$505),""))</f>
        <v/>
      </c>
      <c r="I506" s="42"/>
      <c r="J506" s="43"/>
      <c r="K506" s="42"/>
      <c r="L506" s="42"/>
      <c r="M506" s="44"/>
      <c r="N506" s="44"/>
      <c r="O506" s="43"/>
      <c r="P506" s="45" t="n">
        <f aca="false">IF(AND($C506&lt;&gt;"",$C506&lt;&gt;"项目",OR(N($D506)&lt;&gt;0,N($E506)&lt;&gt;0,N($F506)&lt;&gt;0)),1,0)</f>
        <v>0</v>
      </c>
      <c r="Q506" s="45" t="n">
        <f aca="false">N(Q505)+$P506</f>
        <v>11</v>
      </c>
    </row>
    <row r="507" customFormat="false" ht="13.5" hidden="false" customHeight="false" outlineLevel="0" collapsed="false">
      <c r="A507" s="9" t="n">
        <v>506</v>
      </c>
      <c r="B507" s="40" t="str">
        <f aca="false">IF($T$4=0,IF($I507="","",$I507),IFERROR(IF([1]财务取数接口!$B$506=0,"",[1]财务取数接口!$B$506),""))</f>
        <v/>
      </c>
      <c r="C507" s="39" t="str">
        <f aca="false">IF($T$4=0,IF($J507="","",$J507),IFERROR(IF([1]财务取数接口!$C$506=0,"",[1]财务取数接口!$C$506),""))</f>
        <v/>
      </c>
      <c r="D507" s="40" t="str">
        <f aca="false">IF($T$4=0,IF($K507="","",$K507),IFERROR(IF([1]财务取数接口!$D$506=0,"",[1]财务取数接口!$D$506),""))</f>
        <v/>
      </c>
      <c r="E507" s="40" t="str">
        <f aca="false">IF($T$4=0,IF($L507="","",$L507),IFERROR(IF([1]财务取数接口!$E$506=0,"",[1]财务取数接口!$E$506),""))</f>
        <v/>
      </c>
      <c r="F507" s="41" t="str">
        <f aca="false">IF($T$4=0,IF($M507="","",$M507),IFERROR(IF([1]财务取数接口!$G$506=0,"",[1]财务取数接口!$G$506),""))</f>
        <v/>
      </c>
      <c r="G507" s="41" t="str">
        <f aca="false">IF($T$4=0,IF($N507="","",$N507),IFERROR(IF([1]财务取数接口!$H$506=0,"",[1]财务取数接口!$H$506),""))</f>
        <v/>
      </c>
      <c r="H507" s="39" t="str">
        <f aca="false">IF($T$4=0,IF($O507="","",$O507),IFERROR(IF([1]财务取数接口!$I$506=0,"",[1]财务取数接口!$I$506),""))</f>
        <v/>
      </c>
      <c r="I507" s="42"/>
      <c r="J507" s="43"/>
      <c r="K507" s="42"/>
      <c r="L507" s="42"/>
      <c r="M507" s="44"/>
      <c r="N507" s="44"/>
      <c r="O507" s="43"/>
      <c r="P507" s="45" t="n">
        <f aca="false">IF(AND($C507&lt;&gt;"",$C507&lt;&gt;"项目",OR(N($D507)&lt;&gt;0,N($E507)&lt;&gt;0,N($F507)&lt;&gt;0)),1,0)</f>
        <v>0</v>
      </c>
      <c r="Q507" s="45" t="n">
        <f aca="false">N(Q506)+$P507</f>
        <v>11</v>
      </c>
    </row>
  </sheetData>
  <mergeCells count="6">
    <mergeCell ref="A1:Q1"/>
    <mergeCell ref="A2:Q2"/>
    <mergeCell ref="A3:H3"/>
    <mergeCell ref="I3:O3"/>
    <mergeCell ref="P3:Q3"/>
    <mergeCell ref="S6:T9"/>
  </mergeCells>
  <conditionalFormatting sqref="A2">
    <cfRule type="expression" priority="2" aboveAverage="0" equalAverage="0" bottom="0" percent="0" rank="0" text="" dxfId="0">
      <formula>$T$4=0</formula>
    </cfRule>
  </conditionalFormatting>
  <conditionalFormatting sqref="S6">
    <cfRule type="expression" priority="3" aboveAverage="0" equalAverage="0" bottom="0" percent="0" rank="0" text="" dxfId="0">
      <formula>$T$4=0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T460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1" ySplit="4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C26" activeCellId="0" sqref="C26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7" min="16" style="0" width="6"/>
    <col collapsed="false" customWidth="true" hidden="false" outlineLevel="0" max="18" min="18" style="0" width="2"/>
    <col collapsed="false" customWidth="true" hidden="false" outlineLevel="0" max="19" min="19" style="0" width="13"/>
    <col collapsed="false" customWidth="true" hidden="false" outlineLevel="0" max="20" min="20" style="0" width="64"/>
  </cols>
  <sheetData>
    <row r="1" customFormat="false" ht="30" hidden="false" customHeight="true" outlineLevel="0" collapsed="false">
      <c r="A1" s="31" t="s">
        <v>186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S1" s="32" t="s">
        <v>161</v>
      </c>
      <c r="T1" s="33" t="n">
        <f aca="false">MAX($Q$5:$Q$460)</f>
        <v>5</v>
      </c>
    </row>
    <row r="2" customFormat="false" ht="18" hidden="false" customHeight="true" outlineLevel="0" collapsed="false">
      <c r="A2" s="34" t="str">
        <f aca="false">IF($T$4=1,"✔ 链接正常，已自动取到 "&amp;$T$1&amp;" 行（只算有金额/数量的行）　｜　本表 1:1 对应《02 物料与周转物台账》的【财务取数接口】第 4～309 行","★★ 链接没接上！当前取数来源："&amp;$T$5&amp;"　→ 见 S6 修复说明")</f>
        <v>✔ 链接正常，已自动取到 5 行（只算有金额/数量的行）　｜　本表 1:1 对应《02 物料与周转物台账》的【财务取数接口】第 4～309 行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S2" s="32" t="s">
        <v>162</v>
      </c>
      <c r="T2" s="33" t="str">
        <f aca="false">IFERROR(IF([2]财务取数接口!$C$4=0,"未更新",[2]财务取数接口!$C$4),"断开")</f>
        <v>筐子销售</v>
      </c>
    </row>
    <row r="3" customFormat="false" ht="19.5" hidden="false" customHeight="true" outlineLevel="0" collapsed="false">
      <c r="A3" s="4" t="s">
        <v>163</v>
      </c>
      <c r="B3" s="4"/>
      <c r="C3" s="4"/>
      <c r="D3" s="4"/>
      <c r="E3" s="4"/>
      <c r="F3" s="4"/>
      <c r="G3" s="4"/>
      <c r="H3" s="4"/>
      <c r="I3" s="35" t="s">
        <v>164</v>
      </c>
      <c r="J3" s="35"/>
      <c r="K3" s="35"/>
      <c r="L3" s="35"/>
      <c r="M3" s="35"/>
      <c r="N3" s="35"/>
      <c r="O3" s="35"/>
      <c r="P3" s="36" t="s">
        <v>165</v>
      </c>
      <c r="Q3" s="36"/>
      <c r="S3" s="32" t="s">
        <v>166</v>
      </c>
      <c r="T3" s="33" t="n">
        <f aca="false">COUNTIF($J$5:$J$460,"?*")-COUNTIF($J$5:$J$460,"项目")</f>
        <v>0</v>
      </c>
    </row>
    <row r="4" customFormat="false" ht="30" hidden="false" customHeight="true" outlineLevel="0" collapsed="false">
      <c r="A4" s="37" t="s">
        <v>167</v>
      </c>
      <c r="B4" s="37" t="s">
        <v>168</v>
      </c>
      <c r="C4" s="37" t="s">
        <v>169</v>
      </c>
      <c r="D4" s="37" t="s">
        <v>170</v>
      </c>
      <c r="E4" s="37" t="s">
        <v>171</v>
      </c>
      <c r="F4" s="37" t="s">
        <v>172</v>
      </c>
      <c r="G4" s="37" t="s">
        <v>173</v>
      </c>
      <c r="H4" s="37" t="s">
        <v>174</v>
      </c>
      <c r="I4" s="37" t="s">
        <v>175</v>
      </c>
      <c r="J4" s="37" t="s">
        <v>176</v>
      </c>
      <c r="K4" s="37" t="s">
        <v>177</v>
      </c>
      <c r="L4" s="37" t="s">
        <v>178</v>
      </c>
      <c r="M4" s="37" t="s">
        <v>179</v>
      </c>
      <c r="N4" s="37" t="s">
        <v>180</v>
      </c>
      <c r="O4" s="37" t="s">
        <v>181</v>
      </c>
      <c r="P4" s="37" t="s">
        <v>182</v>
      </c>
      <c r="Q4" s="37" t="s">
        <v>183</v>
      </c>
      <c r="S4" s="32" t="s">
        <v>184</v>
      </c>
      <c r="T4" s="33" t="n">
        <f aca="false">IF(OR($T$2="断开",$T$2="未更新"),0,1)</f>
        <v>1</v>
      </c>
    </row>
    <row r="5" customFormat="false" ht="13.5" hidden="false" customHeight="false" outlineLevel="0" collapsed="false">
      <c r="A5" s="9" t="n">
        <v>4</v>
      </c>
      <c r="B5" s="38" t="str">
        <f aca="false">IF($T$4=0,IF($I5="","",$I5),IFERROR(IF([2]财务取数接口!$B$4=0,"",[2]财务取数接口!$B$4),""))</f>
        <v/>
      </c>
      <c r="C5" s="39" t="str">
        <f aca="false">IF($T$4=0,IF($J5="","",$J5),IFERROR(IF([2]财务取数接口!$C$4=0,"",[2]财务取数接口!$C$4),""))</f>
        <v>筐子销售</v>
      </c>
      <c r="D5" s="40" t="str">
        <f aca="false">IF($T$4=0,IF($K5="","",$K5),IFERROR(IF([2]财务取数接口!$D$4=0,"",[2]财务取数接口!$D$4),""))</f>
        <v/>
      </c>
      <c r="E5" s="40" t="str">
        <f aca="false">IF($T$4=0,IF($L5="","",$L5),IFERROR(IF([2]财务取数接口!$E$4=0,"",[2]财务取数接口!$E$4),""))</f>
        <v>个</v>
      </c>
      <c r="F5" s="41" t="str">
        <f aca="false">IF($T$4=0,IF($M5="","",$M5),IFERROR(IF([2]财务取数接口!$G$4=0,"",[2]财务取数接口!$G$4),""))</f>
        <v/>
      </c>
      <c r="G5" s="41" t="str">
        <f aca="false">IF($T$4=0,IF($N5="","",$N5),IFERROR(IF([2]财务取数接口!$H$4=0,"",[2]财务取数接口!$H$4),""))</f>
        <v/>
      </c>
      <c r="H5" s="39" t="str">
        <f aca="false">IF($T$4=0,IF($O5="","",$O5),IFERROR(IF([2]财务取数接口!$I$4=0,"",[2]财务取数接口!$I$4),""))</f>
        <v/>
      </c>
      <c r="I5" s="42"/>
      <c r="J5" s="43"/>
      <c r="K5" s="42"/>
      <c r="L5" s="42"/>
      <c r="M5" s="44"/>
      <c r="N5" s="44"/>
      <c r="O5" s="43"/>
      <c r="P5" s="45" t="n">
        <f aca="false">IF(AND($C5&lt;&gt;"",$C5&lt;&gt;"项目",OR(N($D5)&lt;&gt;0,N($E5)&lt;&gt;0,N($F5)&lt;&gt;0)),1,0)</f>
        <v>0</v>
      </c>
      <c r="Q5" s="45" t="n">
        <f aca="false">N(Q4)+$P5</f>
        <v>0</v>
      </c>
      <c r="S5" s="32" t="s">
        <v>185</v>
      </c>
      <c r="T5" s="33" t="str">
        <f aca="false">IF($T$4=1,"自动（跨文件链接）",IF($T$3&gt;0,"应急备份","无数据"))</f>
        <v>自动（跨文件链接）</v>
      </c>
    </row>
    <row r="6" customFormat="false" ht="13.5" hidden="false" customHeight="false" outlineLevel="0" collapsed="false">
      <c r="A6" s="9" t="n">
        <v>5</v>
      </c>
      <c r="B6" s="38" t="str">
        <f aca="false">IF($T$4=0,IF($I6="","",$I6),IFERROR(IF([2]财务取数接口!$B$5=0,"",[2]财务取数接口!$B$5),""))</f>
        <v/>
      </c>
      <c r="C6" s="39" t="str">
        <f aca="false">IF($T$4=0,IF($J6="","",$J6),IFERROR(IF([2]财务取数接口!$C$5=0,"",[2]财务取数接口!$C$5),""))</f>
        <v>筐子销售</v>
      </c>
      <c r="D6" s="40" t="str">
        <f aca="false">IF($T$4=0,IF($K6="","",$K6),IFERROR(IF([2]财务取数接口!$D$5=0,"",[2]财务取数接口!$D$5),""))</f>
        <v/>
      </c>
      <c r="E6" s="40" t="str">
        <f aca="false">IF($T$4=0,IF($L6="","",$L6),IFERROR(IF([2]财务取数接口!$E$5=0,"",[2]财务取数接口!$E$5),""))</f>
        <v>个</v>
      </c>
      <c r="F6" s="41" t="str">
        <f aca="false">IF($T$4=0,IF($M6="","",$M6),IFERROR(IF([2]财务取数接口!$G$5=0,"",[2]财务取数接口!$G$5),""))</f>
        <v/>
      </c>
      <c r="G6" s="41" t="str">
        <f aca="false">IF($T$4=0,IF($N6="","",$N6),IFERROR(IF([2]财务取数接口!$H$5=0,"",[2]财务取数接口!$H$5),""))</f>
        <v/>
      </c>
      <c r="H6" s="39" t="str">
        <f aca="false">IF($T$4=0,IF($O6="","",$O6),IFERROR(IF([2]财务取数接口!$I$5=0,"",[2]财务取数接口!$I$5),""))</f>
        <v/>
      </c>
      <c r="I6" s="42"/>
      <c r="J6" s="43"/>
      <c r="K6" s="42"/>
      <c r="L6" s="42"/>
      <c r="M6" s="44"/>
      <c r="N6" s="44"/>
      <c r="O6" s="43"/>
      <c r="P6" s="45" t="n">
        <f aca="false">IF(AND($C6&lt;&gt;"",$C6&lt;&gt;"项目",OR(N($D6)&lt;&gt;0,N($E6)&lt;&gt;0,N($F6)&lt;&gt;0)),1,0)</f>
        <v>0</v>
      </c>
      <c r="Q6" s="45" t="n">
        <f aca="false">N(Q5)+$P6</f>
        <v>0</v>
      </c>
      <c r="S6" s="46" t="str">
        <f aca="false">IF($T$2="断开",IF($T$3&gt;0,"✘ 链接已断开，正在用【应急备份区】的 "&amp;$T$3&amp;" 行数据出账（不是实时数）。修复：菜单【数据】→【编辑链接】→【更改源】，重新指向《02_物料与周转物台账模板.xlsx》","✘ 链接已断开，而且应急备份区是空的，本册报表将缺少这本业务册的全部数据。修复：菜单【数据】→【编辑链接】→【更改源】，重新指向《02_物料与周转物台账模板.xlsx》"),IF($T$2="未更新",IF($T$3&gt;0,"★ 链接还没更新，或者那两个文件被改名、挪走了。正在用【应急备份区】的 "&amp;$T$3&amp;" 行数据出账（不是实时数）。修复：菜单【数据】→【编辑链接】→先点【立即更新值】；还是取不到数就点【更改源】重新指向《02_物料与周转物台账模板.xlsx》","★ 链接还没更新，或者那两个文件被改名、挪走了，而且没有应急备份，本册报表会缺少这本业务册的全部数据。修复：菜单【数据】→【编辑链接】→先点【立即更新值】；还是取不到数就点【更改源】重新指向《02_物料与周转物台账模板.xlsx》"),"✔ 链接正常，已自动取到 "&amp;$T$1&amp;" 行。备份区现有 "&amp;$T$3&amp;" 行。建议每月底把 B5:H156 复制→选择性粘贴【数值】到 I5，作为断链时的兜底"))</f>
        <v>✔ 链接正常，已自动取到 5 行。备份区现有 0 行。建议每月底把 B5:H156 复制→选择性粘贴【数值】到 I5，作为断链时的兜底</v>
      </c>
      <c r="T6" s="46"/>
    </row>
    <row r="7" customFormat="false" ht="13.5" hidden="false" customHeight="false" outlineLevel="0" collapsed="false">
      <c r="A7" s="9" t="n">
        <v>6</v>
      </c>
      <c r="B7" s="38" t="str">
        <f aca="false">IF($T$4=0,IF($I7="","",$I7),IFERROR(IF([2]财务取数接口!$B$6=0,"",[2]财务取数接口!$B$6),""))</f>
        <v/>
      </c>
      <c r="C7" s="39" t="str">
        <f aca="false">IF($T$4=0,IF($J7="","",$J7),IFERROR(IF([2]财务取数接口!$C$6=0,"",[2]财务取数接口!$C$6),""))</f>
        <v>筐子销售</v>
      </c>
      <c r="D7" s="40" t="str">
        <f aca="false">IF($T$4=0,IF($K7="","",$K7),IFERROR(IF([2]财务取数接口!$D$6=0,"",[2]财务取数接口!$D$6),""))</f>
        <v/>
      </c>
      <c r="E7" s="40" t="str">
        <f aca="false">IF($T$4=0,IF($L7="","",$L7),IFERROR(IF([2]财务取数接口!$E$6=0,"",[2]财务取数接口!$E$6),""))</f>
        <v>个</v>
      </c>
      <c r="F7" s="41" t="str">
        <f aca="false">IF($T$4=0,IF($M7="","",$M7),IFERROR(IF([2]财务取数接口!$G$6=0,"",[2]财务取数接口!$G$6),""))</f>
        <v/>
      </c>
      <c r="G7" s="41" t="str">
        <f aca="false">IF($T$4=0,IF($N7="","",$N7),IFERROR(IF([2]财务取数接口!$H$6=0,"",[2]财务取数接口!$H$6),""))</f>
        <v/>
      </c>
      <c r="H7" s="39" t="str">
        <f aca="false">IF($T$4=0,IF($O7="","",$O7),IFERROR(IF([2]财务取数接口!$I$6=0,"",[2]财务取数接口!$I$6),""))</f>
        <v/>
      </c>
      <c r="I7" s="42"/>
      <c r="J7" s="43"/>
      <c r="K7" s="42"/>
      <c r="L7" s="42"/>
      <c r="M7" s="44"/>
      <c r="N7" s="44"/>
      <c r="O7" s="43"/>
      <c r="P7" s="45" t="n">
        <f aca="false">IF(AND($C7&lt;&gt;"",$C7&lt;&gt;"项目",OR(N($D7)&lt;&gt;0,N($E7)&lt;&gt;0,N($F7)&lt;&gt;0)),1,0)</f>
        <v>0</v>
      </c>
      <c r="Q7" s="45" t="n">
        <f aca="false">N(Q6)+$P7</f>
        <v>0</v>
      </c>
      <c r="S7" s="46"/>
      <c r="T7" s="46"/>
    </row>
    <row r="8" customFormat="false" ht="13.5" hidden="false" customHeight="false" outlineLevel="0" collapsed="false">
      <c r="A8" s="9" t="n">
        <v>7</v>
      </c>
      <c r="B8" s="38" t="str">
        <f aca="false">IF($T$4=0,IF($I8="","",$I8),IFERROR(IF([2]财务取数接口!$B$7=0,"",[2]财务取数接口!$B$7),""))</f>
        <v/>
      </c>
      <c r="C8" s="39" t="str">
        <f aca="false">IF($T$4=0,IF($J8="","",$J8),IFERROR(IF([2]财务取数接口!$C$7=0,"",[2]财务取数接口!$C$7),""))</f>
        <v>筐子销售</v>
      </c>
      <c r="D8" s="40" t="str">
        <f aca="false">IF($T$4=0,IF($K8="","",$K8),IFERROR(IF([2]财务取数接口!$D$7=0,"",[2]财务取数接口!$D$7),""))</f>
        <v/>
      </c>
      <c r="E8" s="40" t="str">
        <f aca="false">IF($T$4=0,IF($L8="","",$L8),IFERROR(IF([2]财务取数接口!$E$7=0,"",[2]财务取数接口!$E$7),""))</f>
        <v>个</v>
      </c>
      <c r="F8" s="41" t="str">
        <f aca="false">IF($T$4=0,IF($M8="","",$M8),IFERROR(IF([2]财务取数接口!$G$7=0,"",[2]财务取数接口!$G$7),""))</f>
        <v/>
      </c>
      <c r="G8" s="41" t="str">
        <f aca="false">IF($T$4=0,IF($N8="","",$N8),IFERROR(IF([2]财务取数接口!$H$7=0,"",[2]财务取数接口!$H$7),""))</f>
        <v/>
      </c>
      <c r="H8" s="39" t="str">
        <f aca="false">IF($T$4=0,IF($O8="","",$O8),IFERROR(IF([2]财务取数接口!$I$7=0,"",[2]财务取数接口!$I$7),""))</f>
        <v/>
      </c>
      <c r="I8" s="42"/>
      <c r="J8" s="43"/>
      <c r="K8" s="42"/>
      <c r="L8" s="42"/>
      <c r="M8" s="44"/>
      <c r="N8" s="44"/>
      <c r="O8" s="43"/>
      <c r="P8" s="45" t="n">
        <f aca="false">IF(AND($C8&lt;&gt;"",$C8&lt;&gt;"项目",OR(N($D8)&lt;&gt;0,N($E8)&lt;&gt;0,N($F8)&lt;&gt;0)),1,0)</f>
        <v>0</v>
      </c>
      <c r="Q8" s="45" t="n">
        <f aca="false">N(Q7)+$P8</f>
        <v>0</v>
      </c>
      <c r="S8" s="46"/>
      <c r="T8" s="46"/>
    </row>
    <row r="9" customFormat="false" ht="13.5" hidden="false" customHeight="false" outlineLevel="0" collapsed="false">
      <c r="A9" s="9" t="n">
        <v>8</v>
      </c>
      <c r="B9" s="38" t="str">
        <f aca="false">IF($T$4=0,IF($I9="","",$I9),IFERROR(IF([2]财务取数接口!$B$8=0,"",[2]财务取数接口!$B$8),""))</f>
        <v/>
      </c>
      <c r="C9" s="39" t="str">
        <f aca="false">IF($T$4=0,IF($J9="","",$J9),IFERROR(IF([2]财务取数接口!$C$8=0,"",[2]财务取数接口!$C$8),""))</f>
        <v>筐子销售</v>
      </c>
      <c r="D9" s="40" t="str">
        <f aca="false">IF($T$4=0,IF($K9="","",$K9),IFERROR(IF([2]财务取数接口!$D$8=0,"",[2]财务取数接口!$D$8),""))</f>
        <v/>
      </c>
      <c r="E9" s="40" t="str">
        <f aca="false">IF($T$4=0,IF($L9="","",$L9),IFERROR(IF([2]财务取数接口!$E$8=0,"",[2]财务取数接口!$E$8),""))</f>
        <v>个</v>
      </c>
      <c r="F9" s="41" t="str">
        <f aca="false">IF($T$4=0,IF($M9="","",$M9),IFERROR(IF([2]财务取数接口!$G$8=0,"",[2]财务取数接口!$G$8),""))</f>
        <v/>
      </c>
      <c r="G9" s="41" t="str">
        <f aca="false">IF($T$4=0,IF($N9="","",$N9),IFERROR(IF([2]财务取数接口!$H$8=0,"",[2]财务取数接口!$H$8),""))</f>
        <v/>
      </c>
      <c r="H9" s="39" t="str">
        <f aca="false">IF($T$4=0,IF($O9="","",$O9),IFERROR(IF([2]财务取数接口!$I$8=0,"",[2]财务取数接口!$I$8),""))</f>
        <v/>
      </c>
      <c r="I9" s="42"/>
      <c r="J9" s="43"/>
      <c r="K9" s="42"/>
      <c r="L9" s="42"/>
      <c r="M9" s="44"/>
      <c r="N9" s="44"/>
      <c r="O9" s="43"/>
      <c r="P9" s="45" t="n">
        <f aca="false">IF(AND($C9&lt;&gt;"",$C9&lt;&gt;"项目",OR(N($D9)&lt;&gt;0,N($E9)&lt;&gt;0,N($F9)&lt;&gt;0)),1,0)</f>
        <v>0</v>
      </c>
      <c r="Q9" s="45" t="n">
        <f aca="false">N(Q8)+$P9</f>
        <v>0</v>
      </c>
      <c r="S9" s="46"/>
      <c r="T9" s="46"/>
    </row>
    <row r="10" customFormat="false" ht="13.5" hidden="false" customHeight="false" outlineLevel="0" collapsed="false">
      <c r="A10" s="9" t="n">
        <v>9</v>
      </c>
      <c r="B10" s="38" t="str">
        <f aca="false">IF($T$4=0,IF($I10="","",$I10),IFERROR(IF([2]财务取数接口!$B$9=0,"",[2]财务取数接口!$B$9),""))</f>
        <v/>
      </c>
      <c r="C10" s="39" t="str">
        <f aca="false">IF($T$4=0,IF($J10="","",$J10),IFERROR(IF([2]财务取数接口!$C$9=0,"",[2]财务取数接口!$C$9),""))</f>
        <v>筐子销售</v>
      </c>
      <c r="D10" s="40" t="str">
        <f aca="false">IF($T$4=0,IF($K10="","",$K10),IFERROR(IF([2]财务取数接口!$D$9=0,"",[2]财务取数接口!$D$9),""))</f>
        <v/>
      </c>
      <c r="E10" s="40" t="str">
        <f aca="false">IF($T$4=0,IF($L10="","",$L10),IFERROR(IF([2]财务取数接口!$E$9=0,"",[2]财务取数接口!$E$9),""))</f>
        <v>个</v>
      </c>
      <c r="F10" s="41" t="str">
        <f aca="false">IF($T$4=0,IF($M10="","",$M10),IFERROR(IF([2]财务取数接口!$G$9=0,"",[2]财务取数接口!$G$9),""))</f>
        <v/>
      </c>
      <c r="G10" s="41" t="str">
        <f aca="false">IF($T$4=0,IF($N10="","",$N10),IFERROR(IF([2]财务取数接口!$H$9=0,"",[2]财务取数接口!$H$9),""))</f>
        <v/>
      </c>
      <c r="H10" s="39" t="str">
        <f aca="false">IF($T$4=0,IF($O10="","",$O10),IFERROR(IF([2]财务取数接口!$I$9=0,"",[2]财务取数接口!$I$9),""))</f>
        <v/>
      </c>
      <c r="I10" s="42"/>
      <c r="J10" s="43"/>
      <c r="K10" s="42"/>
      <c r="L10" s="42"/>
      <c r="M10" s="44"/>
      <c r="N10" s="44"/>
      <c r="O10" s="43"/>
      <c r="P10" s="45" t="n">
        <f aca="false">IF(AND($C10&lt;&gt;"",$C10&lt;&gt;"项目",OR(N($D10)&lt;&gt;0,N($E10)&lt;&gt;0,N($F10)&lt;&gt;0)),1,0)</f>
        <v>0</v>
      </c>
      <c r="Q10" s="45" t="n">
        <f aca="false">N(Q9)+$P10</f>
        <v>0</v>
      </c>
    </row>
    <row r="11" customFormat="false" ht="13.5" hidden="false" customHeight="false" outlineLevel="0" collapsed="false">
      <c r="A11" s="9" t="n">
        <v>10</v>
      </c>
      <c r="B11" s="38" t="str">
        <f aca="false">IF($T$4=0,IF($I11="","",$I11),IFERROR(IF([2]财务取数接口!$B$10=0,"",[2]财务取数接口!$B$10),""))</f>
        <v/>
      </c>
      <c r="C11" s="39" t="str">
        <f aca="false">IF($T$4=0,IF($J11="","",$J11),IFERROR(IF([2]财务取数接口!$C$10=0,"",[2]财务取数接口!$C$10),""))</f>
        <v>筐子销售</v>
      </c>
      <c r="D11" s="40" t="str">
        <f aca="false">IF($T$4=0,IF($K11="","",$K11),IFERROR(IF([2]财务取数接口!$D$10=0,"",[2]财务取数接口!$D$10),""))</f>
        <v/>
      </c>
      <c r="E11" s="40" t="str">
        <f aca="false">IF($T$4=0,IF($L11="","",$L11),IFERROR(IF([2]财务取数接口!$E$10=0,"",[2]财务取数接口!$E$10),""))</f>
        <v>个</v>
      </c>
      <c r="F11" s="41" t="str">
        <f aca="false">IF($T$4=0,IF($M11="","",$M11),IFERROR(IF([2]财务取数接口!$G$10=0,"",[2]财务取数接口!$G$10),""))</f>
        <v/>
      </c>
      <c r="G11" s="41" t="str">
        <f aca="false">IF($T$4=0,IF($N11="","",$N11),IFERROR(IF([2]财务取数接口!$H$10=0,"",[2]财务取数接口!$H$10),""))</f>
        <v/>
      </c>
      <c r="H11" s="39" t="str">
        <f aca="false">IF($T$4=0,IF($O11="","",$O11),IFERROR(IF([2]财务取数接口!$I$10=0,"",[2]财务取数接口!$I$10),""))</f>
        <v/>
      </c>
      <c r="I11" s="42"/>
      <c r="J11" s="43"/>
      <c r="K11" s="42"/>
      <c r="L11" s="42"/>
      <c r="M11" s="44"/>
      <c r="N11" s="44"/>
      <c r="O11" s="43"/>
      <c r="P11" s="45" t="n">
        <f aca="false">IF(AND($C11&lt;&gt;"",$C11&lt;&gt;"项目",OR(N($D11)&lt;&gt;0,N($E11)&lt;&gt;0,N($F11)&lt;&gt;0)),1,0)</f>
        <v>0</v>
      </c>
      <c r="Q11" s="45" t="n">
        <f aca="false">N(Q10)+$P11</f>
        <v>0</v>
      </c>
    </row>
    <row r="12" customFormat="false" ht="13.5" hidden="false" customHeight="false" outlineLevel="0" collapsed="false">
      <c r="A12" s="9" t="n">
        <v>11</v>
      </c>
      <c r="B12" s="38" t="str">
        <f aca="false">IF($T$4=0,IF($I12="","",$I12),IFERROR(IF([2]财务取数接口!$B$11=0,"",[2]财务取数接口!$B$11),""))</f>
        <v/>
      </c>
      <c r="C12" s="39" t="str">
        <f aca="false">IF($T$4=0,IF($J12="","",$J12),IFERROR(IF([2]财务取数接口!$C$11=0,"",[2]财务取数接口!$C$11),""))</f>
        <v>筐子销售</v>
      </c>
      <c r="D12" s="40" t="str">
        <f aca="false">IF($T$4=0,IF($K12="","",$K12),IFERROR(IF([2]财务取数接口!$D$11=0,"",[2]财务取数接口!$D$11),""))</f>
        <v/>
      </c>
      <c r="E12" s="40" t="str">
        <f aca="false">IF($T$4=0,IF($L12="","",$L12),IFERROR(IF([2]财务取数接口!$E$11=0,"",[2]财务取数接口!$E$11),""))</f>
        <v>个</v>
      </c>
      <c r="F12" s="41" t="str">
        <f aca="false">IF($T$4=0,IF($M12="","",$M12),IFERROR(IF([2]财务取数接口!$G$11=0,"",[2]财务取数接口!$G$11),""))</f>
        <v/>
      </c>
      <c r="G12" s="41" t="str">
        <f aca="false">IF($T$4=0,IF($N12="","",$N12),IFERROR(IF([2]财务取数接口!$H$11=0,"",[2]财务取数接口!$H$11),""))</f>
        <v/>
      </c>
      <c r="H12" s="39" t="str">
        <f aca="false">IF($T$4=0,IF($O12="","",$O12),IFERROR(IF([2]财务取数接口!$I$11=0,"",[2]财务取数接口!$I$11),""))</f>
        <v/>
      </c>
      <c r="I12" s="42"/>
      <c r="J12" s="43"/>
      <c r="K12" s="42"/>
      <c r="L12" s="42"/>
      <c r="M12" s="44"/>
      <c r="N12" s="44"/>
      <c r="O12" s="43"/>
      <c r="P12" s="45" t="n">
        <f aca="false">IF(AND($C12&lt;&gt;"",$C12&lt;&gt;"项目",OR(N($D12)&lt;&gt;0,N($E12)&lt;&gt;0,N($F12)&lt;&gt;0)),1,0)</f>
        <v>0</v>
      </c>
      <c r="Q12" s="45" t="n">
        <f aca="false">N(Q11)+$P12</f>
        <v>0</v>
      </c>
    </row>
    <row r="13" customFormat="false" ht="13.5" hidden="false" customHeight="false" outlineLevel="0" collapsed="false">
      <c r="A13" s="9" t="n">
        <v>12</v>
      </c>
      <c r="B13" s="38" t="str">
        <f aca="false">IF($T$4=0,IF($I13="","",$I13),IFERROR(IF([2]财务取数接口!$B$12=0,"",[2]财务取数接口!$B$12),""))</f>
        <v/>
      </c>
      <c r="C13" s="39" t="str">
        <f aca="false">IF($T$4=0,IF($J13="","",$J13),IFERROR(IF([2]财务取数接口!$C$12=0,"",[2]财务取数接口!$C$12),""))</f>
        <v>筐子销售</v>
      </c>
      <c r="D13" s="40" t="str">
        <f aca="false">IF($T$4=0,IF($K13="","",$K13),IFERROR(IF([2]财务取数接口!$D$12=0,"",[2]财务取数接口!$D$12),""))</f>
        <v/>
      </c>
      <c r="E13" s="40" t="str">
        <f aca="false">IF($T$4=0,IF($L13="","",$L13),IFERROR(IF([2]财务取数接口!$E$12=0,"",[2]财务取数接口!$E$12),""))</f>
        <v>个</v>
      </c>
      <c r="F13" s="41" t="str">
        <f aca="false">IF($T$4=0,IF($M13="","",$M13),IFERROR(IF([2]财务取数接口!$G$12=0,"",[2]财务取数接口!$G$12),""))</f>
        <v/>
      </c>
      <c r="G13" s="41" t="str">
        <f aca="false">IF($T$4=0,IF($N13="","",$N13),IFERROR(IF([2]财务取数接口!$H$12=0,"",[2]财务取数接口!$H$12),""))</f>
        <v/>
      </c>
      <c r="H13" s="39" t="str">
        <f aca="false">IF($T$4=0,IF($O13="","",$O13),IFERROR(IF([2]财务取数接口!$I$12=0,"",[2]财务取数接口!$I$12),""))</f>
        <v/>
      </c>
      <c r="I13" s="42"/>
      <c r="J13" s="43"/>
      <c r="K13" s="42"/>
      <c r="L13" s="42"/>
      <c r="M13" s="44"/>
      <c r="N13" s="44"/>
      <c r="O13" s="43"/>
      <c r="P13" s="45" t="n">
        <f aca="false">IF(AND($C13&lt;&gt;"",$C13&lt;&gt;"项目",OR(N($D13)&lt;&gt;0,N($E13)&lt;&gt;0,N($F13)&lt;&gt;0)),1,0)</f>
        <v>0</v>
      </c>
      <c r="Q13" s="45" t="n">
        <f aca="false">N(Q12)+$P13</f>
        <v>0</v>
      </c>
    </row>
    <row r="14" customFormat="false" ht="13.5" hidden="false" customHeight="false" outlineLevel="0" collapsed="false">
      <c r="A14" s="9" t="n">
        <v>13</v>
      </c>
      <c r="B14" s="38" t="str">
        <f aca="false">IF($T$4=0,IF($I14="","",$I14),IFERROR(IF([2]财务取数接口!$B$13=0,"",[2]财务取数接口!$B$13),""))</f>
        <v/>
      </c>
      <c r="C14" s="39" t="str">
        <f aca="false">IF($T$4=0,IF($J14="","",$J14),IFERROR(IF([2]财务取数接口!$C$13=0,"",[2]财务取数接口!$C$13),""))</f>
        <v>筐子销售</v>
      </c>
      <c r="D14" s="40" t="str">
        <f aca="false">IF($T$4=0,IF($K14="","",$K14),IFERROR(IF([2]财务取数接口!$D$13=0,"",[2]财务取数接口!$D$13),""))</f>
        <v/>
      </c>
      <c r="E14" s="40" t="str">
        <f aca="false">IF($T$4=0,IF($L14="","",$L14),IFERROR(IF([2]财务取数接口!$E$13=0,"",[2]财务取数接口!$E$13),""))</f>
        <v>个</v>
      </c>
      <c r="F14" s="41" t="str">
        <f aca="false">IF($T$4=0,IF($M14="","",$M14),IFERROR(IF([2]财务取数接口!$G$13=0,"",[2]财务取数接口!$G$13),""))</f>
        <v/>
      </c>
      <c r="G14" s="41" t="str">
        <f aca="false">IF($T$4=0,IF($N14="","",$N14),IFERROR(IF([2]财务取数接口!$H$13=0,"",[2]财务取数接口!$H$13),""))</f>
        <v/>
      </c>
      <c r="H14" s="39" t="str">
        <f aca="false">IF($T$4=0,IF($O14="","",$O14),IFERROR(IF([2]财务取数接口!$I$13=0,"",[2]财务取数接口!$I$13),""))</f>
        <v/>
      </c>
      <c r="I14" s="42"/>
      <c r="J14" s="43"/>
      <c r="K14" s="42"/>
      <c r="L14" s="42"/>
      <c r="M14" s="44"/>
      <c r="N14" s="44"/>
      <c r="O14" s="43"/>
      <c r="P14" s="45" t="n">
        <f aca="false">IF(AND($C14&lt;&gt;"",$C14&lt;&gt;"项目",OR(N($D14)&lt;&gt;0,N($E14)&lt;&gt;0,N($F14)&lt;&gt;0)),1,0)</f>
        <v>0</v>
      </c>
      <c r="Q14" s="45" t="n">
        <f aca="false">N(Q13)+$P14</f>
        <v>0</v>
      </c>
    </row>
    <row r="15" customFormat="false" ht="13.5" hidden="false" customHeight="false" outlineLevel="0" collapsed="false">
      <c r="A15" s="9" t="n">
        <v>14</v>
      </c>
      <c r="B15" s="38" t="str">
        <f aca="false">IF($T$4=0,IF($I15="","",$I15),IFERROR(IF([2]财务取数接口!$B$14=0,"",[2]财务取数接口!$B$14),""))</f>
        <v/>
      </c>
      <c r="C15" s="39" t="str">
        <f aca="false">IF($T$4=0,IF($J15="","",$J15),IFERROR(IF([2]财务取数接口!$C$14=0,"",[2]财务取数接口!$C$14),""))</f>
        <v>筐子销售</v>
      </c>
      <c r="D15" s="40" t="str">
        <f aca="false">IF($T$4=0,IF($K15="","",$K15),IFERROR(IF([2]财务取数接口!$D$14=0,"",[2]财务取数接口!$D$14),""))</f>
        <v/>
      </c>
      <c r="E15" s="40" t="str">
        <f aca="false">IF($T$4=0,IF($L15="","",$L15),IFERROR(IF([2]财务取数接口!$E$14=0,"",[2]财务取数接口!$E$14),""))</f>
        <v>个</v>
      </c>
      <c r="F15" s="41" t="str">
        <f aca="false">IF($T$4=0,IF($M15="","",$M15),IFERROR(IF([2]财务取数接口!$G$14=0,"",[2]财务取数接口!$G$14),""))</f>
        <v/>
      </c>
      <c r="G15" s="41" t="str">
        <f aca="false">IF($T$4=0,IF($N15="","",$N15),IFERROR(IF([2]财务取数接口!$H$14=0,"",[2]财务取数接口!$H$14),""))</f>
        <v/>
      </c>
      <c r="H15" s="39" t="str">
        <f aca="false">IF($T$4=0,IF($O15="","",$O15),IFERROR(IF([2]财务取数接口!$I$14=0,"",[2]财务取数接口!$I$14),""))</f>
        <v/>
      </c>
      <c r="I15" s="42"/>
      <c r="J15" s="43"/>
      <c r="K15" s="42"/>
      <c r="L15" s="42"/>
      <c r="M15" s="44"/>
      <c r="N15" s="44"/>
      <c r="O15" s="43"/>
      <c r="P15" s="45" t="n">
        <f aca="false">IF(AND($C15&lt;&gt;"",$C15&lt;&gt;"项目",OR(N($D15)&lt;&gt;0,N($E15)&lt;&gt;0,N($F15)&lt;&gt;0)),1,0)</f>
        <v>0</v>
      </c>
      <c r="Q15" s="45" t="n">
        <f aca="false">N(Q14)+$P15</f>
        <v>0</v>
      </c>
    </row>
    <row r="16" customFormat="false" ht="13.5" hidden="false" customHeight="false" outlineLevel="0" collapsed="false">
      <c r="A16" s="9" t="n">
        <v>15</v>
      </c>
      <c r="B16" s="38" t="str">
        <f aca="false">IF($T$4=0,IF($I16="","",$I16),IFERROR(IF([2]财务取数接口!$B$15=0,"",[2]财务取数接口!$B$15),""))</f>
        <v/>
      </c>
      <c r="C16" s="39" t="str">
        <f aca="false">IF($T$4=0,IF($J16="","",$J16),IFERROR(IF([2]财务取数接口!$C$15=0,"",[2]财务取数接口!$C$15),""))</f>
        <v>筐子销售</v>
      </c>
      <c r="D16" s="40" t="str">
        <f aca="false">IF($T$4=0,IF($K16="","",$K16),IFERROR(IF([2]财务取数接口!$D$15=0,"",[2]财务取数接口!$D$15),""))</f>
        <v/>
      </c>
      <c r="E16" s="40" t="str">
        <f aca="false">IF($T$4=0,IF($L16="","",$L16),IFERROR(IF([2]财务取数接口!$E$15=0,"",[2]财务取数接口!$E$15),""))</f>
        <v>个</v>
      </c>
      <c r="F16" s="41" t="str">
        <f aca="false">IF($T$4=0,IF($M16="","",$M16),IFERROR(IF([2]财务取数接口!$G$15=0,"",[2]财务取数接口!$G$15),""))</f>
        <v/>
      </c>
      <c r="G16" s="41" t="str">
        <f aca="false">IF($T$4=0,IF($N16="","",$N16),IFERROR(IF([2]财务取数接口!$H$15=0,"",[2]财务取数接口!$H$15),""))</f>
        <v/>
      </c>
      <c r="H16" s="39" t="str">
        <f aca="false">IF($T$4=0,IF($O16="","",$O16),IFERROR(IF([2]财务取数接口!$I$15=0,"",[2]财务取数接口!$I$15),""))</f>
        <v/>
      </c>
      <c r="I16" s="42"/>
      <c r="J16" s="43"/>
      <c r="K16" s="42"/>
      <c r="L16" s="42"/>
      <c r="M16" s="44"/>
      <c r="N16" s="44"/>
      <c r="O16" s="43"/>
      <c r="P16" s="45" t="n">
        <f aca="false">IF(AND($C16&lt;&gt;"",$C16&lt;&gt;"项目",OR(N($D16)&lt;&gt;0,N($E16)&lt;&gt;0,N($F16)&lt;&gt;0)),1,0)</f>
        <v>0</v>
      </c>
      <c r="Q16" s="45" t="n">
        <f aca="false">N(Q15)+$P16</f>
        <v>0</v>
      </c>
    </row>
    <row r="17" customFormat="false" ht="13.5" hidden="false" customHeight="false" outlineLevel="0" collapsed="false">
      <c r="A17" s="9" t="n">
        <v>16</v>
      </c>
      <c r="B17" s="38" t="str">
        <f aca="false">IF($T$4=0,IF($I17="","",$I17),IFERROR(IF([2]财务取数接口!$B$16=0,"",[2]财务取数接口!$B$16),""))</f>
        <v/>
      </c>
      <c r="C17" s="39" t="str">
        <f aca="false">IF($T$4=0,IF($J17="","",$J17),IFERROR(IF([2]财务取数接口!$C$16=0,"",[2]财务取数接口!$C$16),""))</f>
        <v>筐子销售</v>
      </c>
      <c r="D17" s="40" t="str">
        <f aca="false">IF($T$4=0,IF($K17="","",$K17),IFERROR(IF([2]财务取数接口!$D$16=0,"",[2]财务取数接口!$D$16),""))</f>
        <v/>
      </c>
      <c r="E17" s="40" t="str">
        <f aca="false">IF($T$4=0,IF($L17="","",$L17),IFERROR(IF([2]财务取数接口!$E$16=0,"",[2]财务取数接口!$E$16),""))</f>
        <v>个</v>
      </c>
      <c r="F17" s="41" t="str">
        <f aca="false">IF($T$4=0,IF($M17="","",$M17),IFERROR(IF([2]财务取数接口!$G$16=0,"",[2]财务取数接口!$G$16),""))</f>
        <v/>
      </c>
      <c r="G17" s="41" t="str">
        <f aca="false">IF($T$4=0,IF($N17="","",$N17),IFERROR(IF([2]财务取数接口!$H$16=0,"",[2]财务取数接口!$H$16),""))</f>
        <v/>
      </c>
      <c r="H17" s="39" t="str">
        <f aca="false">IF($T$4=0,IF($O17="","",$O17),IFERROR(IF([2]财务取数接口!$I$16=0,"",[2]财务取数接口!$I$16),""))</f>
        <v/>
      </c>
      <c r="I17" s="42"/>
      <c r="J17" s="43"/>
      <c r="K17" s="42"/>
      <c r="L17" s="42"/>
      <c r="M17" s="44"/>
      <c r="N17" s="44"/>
      <c r="O17" s="43"/>
      <c r="P17" s="45" t="n">
        <f aca="false">IF(AND($C17&lt;&gt;"",$C17&lt;&gt;"项目",OR(N($D17)&lt;&gt;0,N($E17)&lt;&gt;0,N($F17)&lt;&gt;0)),1,0)</f>
        <v>0</v>
      </c>
      <c r="Q17" s="45" t="n">
        <f aca="false">N(Q16)+$P17</f>
        <v>0</v>
      </c>
    </row>
    <row r="18" customFormat="false" ht="13.5" hidden="false" customHeight="false" outlineLevel="0" collapsed="false">
      <c r="A18" s="9" t="n">
        <v>17</v>
      </c>
      <c r="B18" s="38" t="str">
        <f aca="false">IF($T$4=0,IF($I18="","",$I18),IFERROR(IF([2]财务取数接口!$B$17=0,"",[2]财务取数接口!$B$17),""))</f>
        <v/>
      </c>
      <c r="C18" s="39" t="str">
        <f aca="false">IF($T$4=0,IF($J18="","",$J18),IFERROR(IF([2]财务取数接口!$C$17=0,"",[2]财务取数接口!$C$17),""))</f>
        <v>筐子销售</v>
      </c>
      <c r="D18" s="40" t="str">
        <f aca="false">IF($T$4=0,IF($K18="","",$K18),IFERROR(IF([2]财务取数接口!$D$17=0,"",[2]财务取数接口!$D$17),""))</f>
        <v/>
      </c>
      <c r="E18" s="40" t="str">
        <f aca="false">IF($T$4=0,IF($L18="","",$L18),IFERROR(IF([2]财务取数接口!$E$17=0,"",[2]财务取数接口!$E$17),""))</f>
        <v>个</v>
      </c>
      <c r="F18" s="41" t="str">
        <f aca="false">IF($T$4=0,IF($M18="","",$M18),IFERROR(IF([2]财务取数接口!$G$17=0,"",[2]财务取数接口!$G$17),""))</f>
        <v/>
      </c>
      <c r="G18" s="41" t="str">
        <f aca="false">IF($T$4=0,IF($N18="","",$N18),IFERROR(IF([2]财务取数接口!$H$17=0,"",[2]财务取数接口!$H$17),""))</f>
        <v/>
      </c>
      <c r="H18" s="39" t="str">
        <f aca="false">IF($T$4=0,IF($O18="","",$O18),IFERROR(IF([2]财务取数接口!$I$17=0,"",[2]财务取数接口!$I$17),""))</f>
        <v/>
      </c>
      <c r="I18" s="42"/>
      <c r="J18" s="43"/>
      <c r="K18" s="42"/>
      <c r="L18" s="42"/>
      <c r="M18" s="44"/>
      <c r="N18" s="44"/>
      <c r="O18" s="43"/>
      <c r="P18" s="45" t="n">
        <f aca="false">IF(AND($C18&lt;&gt;"",$C18&lt;&gt;"项目",OR(N($D18)&lt;&gt;0,N($E18)&lt;&gt;0,N($F18)&lt;&gt;0)),1,0)</f>
        <v>0</v>
      </c>
      <c r="Q18" s="45" t="n">
        <f aca="false">N(Q17)+$P18</f>
        <v>0</v>
      </c>
    </row>
    <row r="19" customFormat="false" ht="13.5" hidden="false" customHeight="false" outlineLevel="0" collapsed="false">
      <c r="A19" s="9" t="n">
        <v>18</v>
      </c>
      <c r="B19" s="38" t="str">
        <f aca="false">IF($T$4=0,IF($I19="","",$I19),IFERROR(IF([2]财务取数接口!$B$18=0,"",[2]财务取数接口!$B$18),""))</f>
        <v/>
      </c>
      <c r="C19" s="39" t="str">
        <f aca="false">IF($T$4=0,IF($J19="","",$J19),IFERROR(IF([2]财务取数接口!$C$18=0,"",[2]财务取数接口!$C$18),""))</f>
        <v>筐子销售</v>
      </c>
      <c r="D19" s="40" t="str">
        <f aca="false">IF($T$4=0,IF($K19="","",$K19),IFERROR(IF([2]财务取数接口!$D$18=0,"",[2]财务取数接口!$D$18),""))</f>
        <v/>
      </c>
      <c r="E19" s="40" t="str">
        <f aca="false">IF($T$4=0,IF($L19="","",$L19),IFERROR(IF([2]财务取数接口!$E$18=0,"",[2]财务取数接口!$E$18),""))</f>
        <v>个</v>
      </c>
      <c r="F19" s="41" t="str">
        <f aca="false">IF($T$4=0,IF($M19="","",$M19),IFERROR(IF([2]财务取数接口!$G$18=0,"",[2]财务取数接口!$G$18),""))</f>
        <v/>
      </c>
      <c r="G19" s="41" t="str">
        <f aca="false">IF($T$4=0,IF($N19="","",$N19),IFERROR(IF([2]财务取数接口!$H$18=0,"",[2]财务取数接口!$H$18),""))</f>
        <v/>
      </c>
      <c r="H19" s="39" t="str">
        <f aca="false">IF($T$4=0,IF($O19="","",$O19),IFERROR(IF([2]财务取数接口!$I$18=0,"",[2]财务取数接口!$I$18),""))</f>
        <v/>
      </c>
      <c r="I19" s="42"/>
      <c r="J19" s="43"/>
      <c r="K19" s="42"/>
      <c r="L19" s="42"/>
      <c r="M19" s="44"/>
      <c r="N19" s="44"/>
      <c r="O19" s="43"/>
      <c r="P19" s="45" t="n">
        <f aca="false">IF(AND($C19&lt;&gt;"",$C19&lt;&gt;"项目",OR(N($D19)&lt;&gt;0,N($E19)&lt;&gt;0,N($F19)&lt;&gt;0)),1,0)</f>
        <v>0</v>
      </c>
      <c r="Q19" s="45" t="n">
        <f aca="false">N(Q18)+$P19</f>
        <v>0</v>
      </c>
    </row>
    <row r="20" customFormat="false" ht="13.5" hidden="false" customHeight="false" outlineLevel="0" collapsed="false">
      <c r="A20" s="9" t="n">
        <v>19</v>
      </c>
      <c r="B20" s="38" t="str">
        <f aca="false">IF($T$4=0,IF($I20="","",$I20),IFERROR(IF([2]财务取数接口!$B$19=0,"",[2]财务取数接口!$B$19),""))</f>
        <v/>
      </c>
      <c r="C20" s="39" t="str">
        <f aca="false">IF($T$4=0,IF($J20="","",$J20),IFERROR(IF([2]财务取数接口!$C$19=0,"",[2]财务取数接口!$C$19),""))</f>
        <v>筐子销售</v>
      </c>
      <c r="D20" s="40" t="str">
        <f aca="false">IF($T$4=0,IF($K20="","",$K20),IFERROR(IF([2]财务取数接口!$D$19=0,"",[2]财务取数接口!$D$19),""))</f>
        <v/>
      </c>
      <c r="E20" s="40" t="str">
        <f aca="false">IF($T$4=0,IF($L20="","",$L20),IFERROR(IF([2]财务取数接口!$E$19=0,"",[2]财务取数接口!$E$19),""))</f>
        <v>个</v>
      </c>
      <c r="F20" s="41" t="str">
        <f aca="false">IF($T$4=0,IF($M20="","",$M20),IFERROR(IF([2]财务取数接口!$G$19=0,"",[2]财务取数接口!$G$19),""))</f>
        <v/>
      </c>
      <c r="G20" s="41" t="str">
        <f aca="false">IF($T$4=0,IF($N20="","",$N20),IFERROR(IF([2]财务取数接口!$H$19=0,"",[2]财务取数接口!$H$19),""))</f>
        <v/>
      </c>
      <c r="H20" s="39" t="str">
        <f aca="false">IF($T$4=0,IF($O20="","",$O20),IFERROR(IF([2]财务取数接口!$I$19=0,"",[2]财务取数接口!$I$19),""))</f>
        <v/>
      </c>
      <c r="I20" s="42"/>
      <c r="J20" s="43"/>
      <c r="K20" s="42"/>
      <c r="L20" s="42"/>
      <c r="M20" s="44"/>
      <c r="N20" s="44"/>
      <c r="O20" s="43"/>
      <c r="P20" s="45" t="n">
        <f aca="false">IF(AND($C20&lt;&gt;"",$C20&lt;&gt;"项目",OR(N($D20)&lt;&gt;0,N($E20)&lt;&gt;0,N($F20)&lt;&gt;0)),1,0)</f>
        <v>0</v>
      </c>
      <c r="Q20" s="45" t="n">
        <f aca="false">N(Q19)+$P20</f>
        <v>0</v>
      </c>
    </row>
    <row r="21" customFormat="false" ht="13.5" hidden="false" customHeight="false" outlineLevel="0" collapsed="false">
      <c r="A21" s="9" t="n">
        <v>20</v>
      </c>
      <c r="B21" s="38" t="str">
        <f aca="false">IF($T$4=0,IF($I21="","",$I21),IFERROR(IF([2]财务取数接口!$B$20=0,"",[2]财务取数接口!$B$20),""))</f>
        <v/>
      </c>
      <c r="C21" s="39" t="str">
        <f aca="false">IF($T$4=0,IF($J21="","",$J21),IFERROR(IF([2]财务取数接口!$C$20=0,"",[2]财务取数接口!$C$20),""))</f>
        <v>筐子销售</v>
      </c>
      <c r="D21" s="40" t="str">
        <f aca="false">IF($T$4=0,IF($K21="","",$K21),IFERROR(IF([2]财务取数接口!$D$20=0,"",[2]财务取数接口!$D$20),""))</f>
        <v/>
      </c>
      <c r="E21" s="40" t="str">
        <f aca="false">IF($T$4=0,IF($L21="","",$L21),IFERROR(IF([2]财务取数接口!$E$20=0,"",[2]财务取数接口!$E$20),""))</f>
        <v>个</v>
      </c>
      <c r="F21" s="41" t="str">
        <f aca="false">IF($T$4=0,IF($M21="","",$M21),IFERROR(IF([2]财务取数接口!$G$20=0,"",[2]财务取数接口!$G$20),""))</f>
        <v/>
      </c>
      <c r="G21" s="41" t="str">
        <f aca="false">IF($T$4=0,IF($N21="","",$N21),IFERROR(IF([2]财务取数接口!$H$20=0,"",[2]财务取数接口!$H$20),""))</f>
        <v/>
      </c>
      <c r="H21" s="39" t="str">
        <f aca="false">IF($T$4=0,IF($O21="","",$O21),IFERROR(IF([2]财务取数接口!$I$20=0,"",[2]财务取数接口!$I$20),""))</f>
        <v/>
      </c>
      <c r="I21" s="42"/>
      <c r="J21" s="43"/>
      <c r="K21" s="42"/>
      <c r="L21" s="42"/>
      <c r="M21" s="44"/>
      <c r="N21" s="44"/>
      <c r="O21" s="43"/>
      <c r="P21" s="45" t="n">
        <f aca="false">IF(AND($C21&lt;&gt;"",$C21&lt;&gt;"项目",OR(N($D21)&lt;&gt;0,N($E21)&lt;&gt;0,N($F21)&lt;&gt;0)),1,0)</f>
        <v>0</v>
      </c>
      <c r="Q21" s="45" t="n">
        <f aca="false">N(Q20)+$P21</f>
        <v>0</v>
      </c>
    </row>
    <row r="22" customFormat="false" ht="13.5" hidden="false" customHeight="false" outlineLevel="0" collapsed="false">
      <c r="A22" s="9" t="n">
        <v>21</v>
      </c>
      <c r="B22" s="38" t="str">
        <f aca="false">IF($T$4=0,IF($I22="","",$I22),IFERROR(IF([2]财务取数接口!$B$21=0,"",[2]财务取数接口!$B$21),""))</f>
        <v/>
      </c>
      <c r="C22" s="39" t="str">
        <f aca="false">IF($T$4=0,IF($J22="","",$J22),IFERROR(IF([2]财务取数接口!$C$21=0,"",[2]财务取数接口!$C$21),""))</f>
        <v>筐子销售</v>
      </c>
      <c r="D22" s="40" t="str">
        <f aca="false">IF($T$4=0,IF($K22="","",$K22),IFERROR(IF([2]财务取数接口!$D$21=0,"",[2]财务取数接口!$D$21),""))</f>
        <v/>
      </c>
      <c r="E22" s="40" t="str">
        <f aca="false">IF($T$4=0,IF($L22="","",$L22),IFERROR(IF([2]财务取数接口!$E$21=0,"",[2]财务取数接口!$E$21),""))</f>
        <v>个</v>
      </c>
      <c r="F22" s="41" t="str">
        <f aca="false">IF($T$4=0,IF($M22="","",$M22),IFERROR(IF([2]财务取数接口!$G$21=0,"",[2]财务取数接口!$G$21),""))</f>
        <v/>
      </c>
      <c r="G22" s="41" t="str">
        <f aca="false">IF($T$4=0,IF($N22="","",$N22),IFERROR(IF([2]财务取数接口!$H$21=0,"",[2]财务取数接口!$H$21),""))</f>
        <v/>
      </c>
      <c r="H22" s="39" t="str">
        <f aca="false">IF($T$4=0,IF($O22="","",$O22),IFERROR(IF([2]财务取数接口!$I$21=0,"",[2]财务取数接口!$I$21),""))</f>
        <v/>
      </c>
      <c r="I22" s="42"/>
      <c r="J22" s="43"/>
      <c r="K22" s="42"/>
      <c r="L22" s="42"/>
      <c r="M22" s="44"/>
      <c r="N22" s="44"/>
      <c r="O22" s="43"/>
      <c r="P22" s="45" t="n">
        <f aca="false">IF(AND($C22&lt;&gt;"",$C22&lt;&gt;"项目",OR(N($D22)&lt;&gt;0,N($E22)&lt;&gt;0,N($F22)&lt;&gt;0)),1,0)</f>
        <v>0</v>
      </c>
      <c r="Q22" s="45" t="n">
        <f aca="false">N(Q21)+$P22</f>
        <v>0</v>
      </c>
    </row>
    <row r="23" customFormat="false" ht="13.5" hidden="false" customHeight="false" outlineLevel="0" collapsed="false">
      <c r="A23" s="9" t="n">
        <v>22</v>
      </c>
      <c r="B23" s="38" t="str">
        <f aca="false">IF($T$4=0,IF($I23="","",$I23),IFERROR(IF([2]财务取数接口!$B$22=0,"",[2]财务取数接口!$B$22),""))</f>
        <v/>
      </c>
      <c r="C23" s="39" t="str">
        <f aca="false">IF($T$4=0,IF($J23="","",$J23),IFERROR(IF([2]财务取数接口!$C$22=0,"",[2]财务取数接口!$C$22),""))</f>
        <v>筐子销售</v>
      </c>
      <c r="D23" s="40" t="str">
        <f aca="false">IF($T$4=0,IF($K23="","",$K23),IFERROR(IF([2]财务取数接口!$D$22=0,"",[2]财务取数接口!$D$22),""))</f>
        <v/>
      </c>
      <c r="E23" s="40" t="str">
        <f aca="false">IF($T$4=0,IF($L23="","",$L23),IFERROR(IF([2]财务取数接口!$E$22=0,"",[2]财务取数接口!$E$22),""))</f>
        <v>个</v>
      </c>
      <c r="F23" s="41" t="str">
        <f aca="false">IF($T$4=0,IF($M23="","",$M23),IFERROR(IF([2]财务取数接口!$G$22=0,"",[2]财务取数接口!$G$22),""))</f>
        <v/>
      </c>
      <c r="G23" s="41" t="str">
        <f aca="false">IF($T$4=0,IF($N23="","",$N23),IFERROR(IF([2]财务取数接口!$H$22=0,"",[2]财务取数接口!$H$22),""))</f>
        <v/>
      </c>
      <c r="H23" s="39" t="str">
        <f aca="false">IF($T$4=0,IF($O23="","",$O23),IFERROR(IF([2]财务取数接口!$I$22=0,"",[2]财务取数接口!$I$22),""))</f>
        <v/>
      </c>
      <c r="I23" s="42"/>
      <c r="J23" s="43"/>
      <c r="K23" s="42"/>
      <c r="L23" s="42"/>
      <c r="M23" s="44"/>
      <c r="N23" s="44"/>
      <c r="O23" s="43"/>
      <c r="P23" s="45" t="n">
        <f aca="false">IF(AND($C23&lt;&gt;"",$C23&lt;&gt;"项目",OR(N($D23)&lt;&gt;0,N($E23)&lt;&gt;0,N($F23)&lt;&gt;0)),1,0)</f>
        <v>0</v>
      </c>
      <c r="Q23" s="45" t="n">
        <f aca="false">N(Q22)+$P23</f>
        <v>0</v>
      </c>
    </row>
    <row r="24" customFormat="false" ht="13.5" hidden="false" customHeight="false" outlineLevel="0" collapsed="false">
      <c r="A24" s="9" t="n">
        <v>23</v>
      </c>
      <c r="B24" s="38" t="str">
        <f aca="false">IF($T$4=0,IF($I24="","",$I24),IFERROR(IF([2]财务取数接口!$B$23=0,"",[2]财务取数接口!$B$23),""))</f>
        <v/>
      </c>
      <c r="C24" s="39" t="str">
        <f aca="false">IF($T$4=0,IF($J24="","",$J24),IFERROR(IF([2]财务取数接口!$C$23=0,"",[2]财务取数接口!$C$23),""))</f>
        <v>筐子销售</v>
      </c>
      <c r="D24" s="40" t="str">
        <f aca="false">IF($T$4=0,IF($K24="","",$K24),IFERROR(IF([2]财务取数接口!$D$23=0,"",[2]财务取数接口!$D$23),""))</f>
        <v/>
      </c>
      <c r="E24" s="40" t="str">
        <f aca="false">IF($T$4=0,IF($L24="","",$L24),IFERROR(IF([2]财务取数接口!$E$23=0,"",[2]财务取数接口!$E$23),""))</f>
        <v>个</v>
      </c>
      <c r="F24" s="41" t="str">
        <f aca="false">IF($T$4=0,IF($M24="","",$M24),IFERROR(IF([2]财务取数接口!$G$23=0,"",[2]财务取数接口!$G$23),""))</f>
        <v/>
      </c>
      <c r="G24" s="41" t="str">
        <f aca="false">IF($T$4=0,IF($N24="","",$N24),IFERROR(IF([2]财务取数接口!$H$23=0,"",[2]财务取数接口!$H$23),""))</f>
        <v/>
      </c>
      <c r="H24" s="39" t="str">
        <f aca="false">IF($T$4=0,IF($O24="","",$O24),IFERROR(IF([2]财务取数接口!$I$23=0,"",[2]财务取数接口!$I$23),""))</f>
        <v/>
      </c>
      <c r="I24" s="42"/>
      <c r="J24" s="43"/>
      <c r="K24" s="42"/>
      <c r="L24" s="42"/>
      <c r="M24" s="44"/>
      <c r="N24" s="44"/>
      <c r="O24" s="43"/>
      <c r="P24" s="45" t="n">
        <f aca="false">IF(AND($C24&lt;&gt;"",$C24&lt;&gt;"项目",OR(N($D24)&lt;&gt;0,N($E24)&lt;&gt;0,N($F24)&lt;&gt;0)),1,0)</f>
        <v>0</v>
      </c>
      <c r="Q24" s="45" t="n">
        <f aca="false">N(Q23)+$P24</f>
        <v>0</v>
      </c>
    </row>
    <row r="25" customFormat="false" ht="13.5" hidden="false" customHeight="false" outlineLevel="0" collapsed="false">
      <c r="A25" s="9" t="n">
        <v>24</v>
      </c>
      <c r="B25" s="38" t="str">
        <f aca="false">IF($T$4=0,IF($I25="","",$I25),IFERROR(IF([2]财务取数接口!$B$24=0,"",[2]财务取数接口!$B$24),""))</f>
        <v/>
      </c>
      <c r="C25" s="39" t="str">
        <f aca="false">IF($T$4=0,IF($J25="","",$J25),IFERROR(IF([2]财务取数接口!$C$24=0,"",[2]财务取数接口!$C$24),""))</f>
        <v>筐子销售</v>
      </c>
      <c r="D25" s="40" t="str">
        <f aca="false">IF($T$4=0,IF($K25="","",$K25),IFERROR(IF([2]财务取数接口!$D$24=0,"",[2]财务取数接口!$D$24),""))</f>
        <v/>
      </c>
      <c r="E25" s="40" t="str">
        <f aca="false">IF($T$4=0,IF($L25="","",$L25),IFERROR(IF([2]财务取数接口!$E$24=0,"",[2]财务取数接口!$E$24),""))</f>
        <v>个</v>
      </c>
      <c r="F25" s="41" t="str">
        <f aca="false">IF($T$4=0,IF($M25="","",$M25),IFERROR(IF([2]财务取数接口!$G$24=0,"",[2]财务取数接口!$G$24),""))</f>
        <v/>
      </c>
      <c r="G25" s="41" t="str">
        <f aca="false">IF($T$4=0,IF($N25="","",$N25),IFERROR(IF([2]财务取数接口!$H$24=0,"",[2]财务取数接口!$H$24),""))</f>
        <v/>
      </c>
      <c r="H25" s="39" t="str">
        <f aca="false">IF($T$4=0,IF($O25="","",$O25),IFERROR(IF([2]财务取数接口!$I$24=0,"",[2]财务取数接口!$I$24),""))</f>
        <v/>
      </c>
      <c r="I25" s="42"/>
      <c r="J25" s="43"/>
      <c r="K25" s="42"/>
      <c r="L25" s="42"/>
      <c r="M25" s="44"/>
      <c r="N25" s="44"/>
      <c r="O25" s="43"/>
      <c r="P25" s="45" t="n">
        <f aca="false">IF(AND($C25&lt;&gt;"",$C25&lt;&gt;"项目",OR(N($D25)&lt;&gt;0,N($E25)&lt;&gt;0,N($F25)&lt;&gt;0)),1,0)</f>
        <v>0</v>
      </c>
      <c r="Q25" s="45" t="n">
        <f aca="false">N(Q24)+$P25</f>
        <v>0</v>
      </c>
    </row>
    <row r="26" customFormat="false" ht="13.5" hidden="false" customHeight="false" outlineLevel="0" collapsed="false">
      <c r="A26" s="9" t="n">
        <v>25</v>
      </c>
      <c r="B26" s="38" t="str">
        <f aca="false">IF($T$4=0,IF($I26="","",$I26),IFERROR(IF([2]财务取数接口!$B$25=0,"",[2]财务取数接口!$B$25),""))</f>
        <v/>
      </c>
      <c r="C26" s="39" t="str">
        <f aca="false">IF($T$4=0,IF($J26="","",$J26),IFERROR(IF([2]财务取数接口!$C$25=0,"",[2]财务取数接口!$C$25),""))</f>
        <v>筐子销售</v>
      </c>
      <c r="D26" s="40" t="str">
        <f aca="false">IF($T$4=0,IF($K26="","",$K26),IFERROR(IF([2]财务取数接口!$D$25=0,"",[2]财务取数接口!$D$25),""))</f>
        <v/>
      </c>
      <c r="E26" s="40" t="str">
        <f aca="false">IF($T$4=0,IF($L26="","",$L26),IFERROR(IF([2]财务取数接口!$E$25=0,"",[2]财务取数接口!$E$25),""))</f>
        <v>个</v>
      </c>
      <c r="F26" s="41" t="str">
        <f aca="false">IF($T$4=0,IF($M26="","",$M26),IFERROR(IF([2]财务取数接口!$G$25=0,"",[2]财务取数接口!$G$25),""))</f>
        <v/>
      </c>
      <c r="G26" s="41" t="str">
        <f aca="false">IF($T$4=0,IF($N26="","",$N26),IFERROR(IF([2]财务取数接口!$H$25=0,"",[2]财务取数接口!$H$25),""))</f>
        <v/>
      </c>
      <c r="H26" s="39" t="str">
        <f aca="false">IF($T$4=0,IF($O26="","",$O26),IFERROR(IF([2]财务取数接口!$I$25=0,"",[2]财务取数接口!$I$25),""))</f>
        <v/>
      </c>
      <c r="I26" s="42"/>
      <c r="J26" s="43"/>
      <c r="K26" s="42"/>
      <c r="L26" s="42"/>
      <c r="M26" s="44"/>
      <c r="N26" s="44"/>
      <c r="O26" s="43"/>
      <c r="P26" s="45" t="n">
        <f aca="false">IF(AND($C26&lt;&gt;"",$C26&lt;&gt;"项目",OR(N($D26)&lt;&gt;0,N($E26)&lt;&gt;0,N($F26)&lt;&gt;0)),1,0)</f>
        <v>0</v>
      </c>
      <c r="Q26" s="45" t="n">
        <f aca="false">N(Q25)+$P26</f>
        <v>0</v>
      </c>
    </row>
    <row r="27" customFormat="false" ht="13.5" hidden="false" customHeight="false" outlineLevel="0" collapsed="false">
      <c r="A27" s="9" t="n">
        <v>26</v>
      </c>
      <c r="B27" s="38" t="str">
        <f aca="false">IF($T$4=0,IF($I27="","",$I27),IFERROR(IF([2]财务取数接口!$B$26=0,"",[2]财务取数接口!$B$26),""))</f>
        <v/>
      </c>
      <c r="C27" s="39" t="str">
        <f aca="false">IF($T$4=0,IF($J27="","",$J27),IFERROR(IF([2]财务取数接口!$C$26=0,"",[2]财务取数接口!$C$26),""))</f>
        <v>筐子销售</v>
      </c>
      <c r="D27" s="40" t="str">
        <f aca="false">IF($T$4=0,IF($K27="","",$K27),IFERROR(IF([2]财务取数接口!$D$26=0,"",[2]财务取数接口!$D$26),""))</f>
        <v/>
      </c>
      <c r="E27" s="40" t="str">
        <f aca="false">IF($T$4=0,IF($L27="","",$L27),IFERROR(IF([2]财务取数接口!$E$26=0,"",[2]财务取数接口!$E$26),""))</f>
        <v>个</v>
      </c>
      <c r="F27" s="41" t="str">
        <f aca="false">IF($T$4=0,IF($M27="","",$M27),IFERROR(IF([2]财务取数接口!$G$26=0,"",[2]财务取数接口!$G$26),""))</f>
        <v/>
      </c>
      <c r="G27" s="41" t="str">
        <f aca="false">IF($T$4=0,IF($N27="","",$N27),IFERROR(IF([2]财务取数接口!$H$26=0,"",[2]财务取数接口!$H$26),""))</f>
        <v/>
      </c>
      <c r="H27" s="39" t="str">
        <f aca="false">IF($T$4=0,IF($O27="","",$O27),IFERROR(IF([2]财务取数接口!$I$26=0,"",[2]财务取数接口!$I$26),""))</f>
        <v/>
      </c>
      <c r="I27" s="42"/>
      <c r="J27" s="43"/>
      <c r="K27" s="42"/>
      <c r="L27" s="42"/>
      <c r="M27" s="44"/>
      <c r="N27" s="44"/>
      <c r="O27" s="43"/>
      <c r="P27" s="45" t="n">
        <f aca="false">IF(AND($C27&lt;&gt;"",$C27&lt;&gt;"项目",OR(N($D27)&lt;&gt;0,N($E27)&lt;&gt;0,N($F27)&lt;&gt;0)),1,0)</f>
        <v>0</v>
      </c>
      <c r="Q27" s="45" t="n">
        <f aca="false">N(Q26)+$P27</f>
        <v>0</v>
      </c>
    </row>
    <row r="28" customFormat="false" ht="13.5" hidden="false" customHeight="false" outlineLevel="0" collapsed="false">
      <c r="A28" s="9" t="n">
        <v>27</v>
      </c>
      <c r="B28" s="38" t="str">
        <f aca="false">IF($T$4=0,IF($I28="","",$I28),IFERROR(IF([2]财务取数接口!$B$27=0,"",[2]财务取数接口!$B$27),""))</f>
        <v/>
      </c>
      <c r="C28" s="39" t="str">
        <f aca="false">IF($T$4=0,IF($J28="","",$J28),IFERROR(IF([2]财务取数接口!$C$27=0,"",[2]财务取数接口!$C$27),""))</f>
        <v>筐子销售</v>
      </c>
      <c r="D28" s="40" t="str">
        <f aca="false">IF($T$4=0,IF($K28="","",$K28),IFERROR(IF([2]财务取数接口!$D$27=0,"",[2]财务取数接口!$D$27),""))</f>
        <v/>
      </c>
      <c r="E28" s="40" t="str">
        <f aca="false">IF($T$4=0,IF($L28="","",$L28),IFERROR(IF([2]财务取数接口!$E$27=0,"",[2]财务取数接口!$E$27),""))</f>
        <v>个</v>
      </c>
      <c r="F28" s="41" t="str">
        <f aca="false">IF($T$4=0,IF($M28="","",$M28),IFERROR(IF([2]财务取数接口!$G$27=0,"",[2]财务取数接口!$G$27),""))</f>
        <v/>
      </c>
      <c r="G28" s="41" t="str">
        <f aca="false">IF($T$4=0,IF($N28="","",$N28),IFERROR(IF([2]财务取数接口!$H$27=0,"",[2]财务取数接口!$H$27),""))</f>
        <v/>
      </c>
      <c r="H28" s="39" t="str">
        <f aca="false">IF($T$4=0,IF($O28="","",$O28),IFERROR(IF([2]财务取数接口!$I$27=0,"",[2]财务取数接口!$I$27),""))</f>
        <v/>
      </c>
      <c r="I28" s="42"/>
      <c r="J28" s="43"/>
      <c r="K28" s="42"/>
      <c r="L28" s="42"/>
      <c r="M28" s="44"/>
      <c r="N28" s="44"/>
      <c r="O28" s="43"/>
      <c r="P28" s="45" t="n">
        <f aca="false">IF(AND($C28&lt;&gt;"",$C28&lt;&gt;"项目",OR(N($D28)&lt;&gt;0,N($E28)&lt;&gt;0,N($F28)&lt;&gt;0)),1,0)</f>
        <v>0</v>
      </c>
      <c r="Q28" s="45" t="n">
        <f aca="false">N(Q27)+$P28</f>
        <v>0</v>
      </c>
    </row>
    <row r="29" customFormat="false" ht="13.5" hidden="false" customHeight="false" outlineLevel="0" collapsed="false">
      <c r="A29" s="9" t="n">
        <v>28</v>
      </c>
      <c r="B29" s="38" t="str">
        <f aca="false">IF($T$4=0,IF($I29="","",$I29),IFERROR(IF([2]财务取数接口!$B$28=0,"",[2]财务取数接口!$B$28),""))</f>
        <v/>
      </c>
      <c r="C29" s="39" t="str">
        <f aca="false">IF($T$4=0,IF($J29="","",$J29),IFERROR(IF([2]财务取数接口!$C$28=0,"",[2]财务取数接口!$C$28),""))</f>
        <v>物料销售</v>
      </c>
      <c r="D29" s="40" t="str">
        <f aca="false">IF($T$4=0,IF($K29="","",$K29),IFERROR(IF([2]财务取数接口!$D$28=0,"",[2]财务取数接口!$D$28),""))</f>
        <v/>
      </c>
      <c r="E29" s="40" t="str">
        <f aca="false">IF($T$4=0,IF($L29="","",$L29),IFERROR(IF([2]财务取数接口!$E$28=0,"",[2]财务取数接口!$E$28),""))</f>
        <v>包</v>
      </c>
      <c r="F29" s="41" t="str">
        <f aca="false">IF($T$4=0,IF($M29="","",$M29),IFERROR(IF([2]财务取数接口!$G$28=0,"",[2]财务取数接口!$G$28),""))</f>
        <v/>
      </c>
      <c r="G29" s="41" t="str">
        <f aca="false">IF($T$4=0,IF($N29="","",$N29),IFERROR(IF([2]财务取数接口!$H$28=0,"",[2]财务取数接口!$H$28),""))</f>
        <v/>
      </c>
      <c r="H29" s="39" t="str">
        <f aca="false">IF($T$4=0,IF($O29="","",$O29),IFERROR(IF([2]财务取数接口!$I$28=0,"",[2]财务取数接口!$I$28),""))</f>
        <v/>
      </c>
      <c r="I29" s="42"/>
      <c r="J29" s="43"/>
      <c r="K29" s="42"/>
      <c r="L29" s="42"/>
      <c r="M29" s="44"/>
      <c r="N29" s="44"/>
      <c r="O29" s="43"/>
      <c r="P29" s="45" t="n">
        <f aca="false">IF(AND($C29&lt;&gt;"",$C29&lt;&gt;"项目",OR(N($D29)&lt;&gt;0,N($E29)&lt;&gt;0,N($F29)&lt;&gt;0)),1,0)</f>
        <v>0</v>
      </c>
      <c r="Q29" s="45" t="n">
        <f aca="false">N(Q28)+$P29</f>
        <v>0</v>
      </c>
    </row>
    <row r="30" customFormat="false" ht="13.5" hidden="false" customHeight="false" outlineLevel="0" collapsed="false">
      <c r="A30" s="9" t="n">
        <v>29</v>
      </c>
      <c r="B30" s="38" t="str">
        <f aca="false">IF($T$4=0,IF($I30="","",$I30),IFERROR(IF([2]财务取数接口!$B$29=0,"",[2]财务取数接口!$B$29),""))</f>
        <v/>
      </c>
      <c r="C30" s="39" t="str">
        <f aca="false">IF($T$4=0,IF($J30="","",$J30),IFERROR(IF([2]财务取数接口!$C$29=0,"",[2]财务取数接口!$C$29),""))</f>
        <v>物料销售</v>
      </c>
      <c r="D30" s="40" t="str">
        <f aca="false">IF($T$4=0,IF($K30="","",$K30),IFERROR(IF([2]财务取数接口!$D$29=0,"",[2]财务取数接口!$D$29),""))</f>
        <v/>
      </c>
      <c r="E30" s="40" t="str">
        <f aca="false">IF($T$4=0,IF($L30="","",$L30),IFERROR(IF([2]财务取数接口!$E$29=0,"",[2]财务取数接口!$E$29),""))</f>
        <v>包</v>
      </c>
      <c r="F30" s="41" t="str">
        <f aca="false">IF($T$4=0,IF($M30="","",$M30),IFERROR(IF([2]财务取数接口!$G$29=0,"",[2]财务取数接口!$G$29),""))</f>
        <v/>
      </c>
      <c r="G30" s="41" t="str">
        <f aca="false">IF($T$4=0,IF($N30="","",$N30),IFERROR(IF([2]财务取数接口!$H$29=0,"",[2]财务取数接口!$H$29),""))</f>
        <v/>
      </c>
      <c r="H30" s="39" t="str">
        <f aca="false">IF($T$4=0,IF($O30="","",$O30),IFERROR(IF([2]财务取数接口!$I$29=0,"",[2]财务取数接口!$I$29),""))</f>
        <v/>
      </c>
      <c r="I30" s="42"/>
      <c r="J30" s="43"/>
      <c r="K30" s="42"/>
      <c r="L30" s="42"/>
      <c r="M30" s="44"/>
      <c r="N30" s="44"/>
      <c r="O30" s="43"/>
      <c r="P30" s="45" t="n">
        <f aca="false">IF(AND($C30&lt;&gt;"",$C30&lt;&gt;"项目",OR(N($D30)&lt;&gt;0,N($E30)&lt;&gt;0,N($F30)&lt;&gt;0)),1,0)</f>
        <v>0</v>
      </c>
      <c r="Q30" s="45" t="n">
        <f aca="false">N(Q29)+$P30</f>
        <v>0</v>
      </c>
    </row>
    <row r="31" customFormat="false" ht="13.5" hidden="false" customHeight="false" outlineLevel="0" collapsed="false">
      <c r="A31" s="9" t="n">
        <v>30</v>
      </c>
      <c r="B31" s="38" t="str">
        <f aca="false">IF($T$4=0,IF($I31="","",$I31),IFERROR(IF([2]财务取数接口!$B$30=0,"",[2]财务取数接口!$B$30),""))</f>
        <v/>
      </c>
      <c r="C31" s="39" t="str">
        <f aca="false">IF($T$4=0,IF($J31="","",$J31),IFERROR(IF([2]财务取数接口!$C$30=0,"",[2]财务取数接口!$C$30),""))</f>
        <v>物料销售</v>
      </c>
      <c r="D31" s="40" t="str">
        <f aca="false">IF($T$4=0,IF($K31="","",$K31),IFERROR(IF([2]财务取数接口!$D$30=0,"",[2]财务取数接口!$D$30),""))</f>
        <v/>
      </c>
      <c r="E31" s="40" t="str">
        <f aca="false">IF($T$4=0,IF($L31="","",$L31),IFERROR(IF([2]财务取数接口!$E$30=0,"",[2]财务取数接口!$E$30),""))</f>
        <v>包</v>
      </c>
      <c r="F31" s="41" t="str">
        <f aca="false">IF($T$4=0,IF($M31="","",$M31),IFERROR(IF([2]财务取数接口!$G$30=0,"",[2]财务取数接口!$G$30),""))</f>
        <v/>
      </c>
      <c r="G31" s="41" t="str">
        <f aca="false">IF($T$4=0,IF($N31="","",$N31),IFERROR(IF([2]财务取数接口!$H$30=0,"",[2]财务取数接口!$H$30),""))</f>
        <v/>
      </c>
      <c r="H31" s="39" t="str">
        <f aca="false">IF($T$4=0,IF($O31="","",$O31),IFERROR(IF([2]财务取数接口!$I$30=0,"",[2]财务取数接口!$I$30),""))</f>
        <v/>
      </c>
      <c r="I31" s="42"/>
      <c r="J31" s="43"/>
      <c r="K31" s="42"/>
      <c r="L31" s="42"/>
      <c r="M31" s="44"/>
      <c r="N31" s="44"/>
      <c r="O31" s="43"/>
      <c r="P31" s="45" t="n">
        <f aca="false">IF(AND($C31&lt;&gt;"",$C31&lt;&gt;"项目",OR(N($D31)&lt;&gt;0,N($E31)&lt;&gt;0,N($F31)&lt;&gt;0)),1,0)</f>
        <v>0</v>
      </c>
      <c r="Q31" s="45" t="n">
        <f aca="false">N(Q30)+$P31</f>
        <v>0</v>
      </c>
    </row>
    <row r="32" customFormat="false" ht="13.5" hidden="false" customHeight="false" outlineLevel="0" collapsed="false">
      <c r="A32" s="9" t="n">
        <v>31</v>
      </c>
      <c r="B32" s="38" t="str">
        <f aca="false">IF($T$4=0,IF($I32="","",$I32),IFERROR(IF([2]财务取数接口!$B$31=0,"",[2]财务取数接口!$B$31),""))</f>
        <v/>
      </c>
      <c r="C32" s="39" t="str">
        <f aca="false">IF($T$4=0,IF($J32="","",$J32),IFERROR(IF([2]财务取数接口!$C$31=0,"",[2]财务取数接口!$C$31),""))</f>
        <v>物料销售</v>
      </c>
      <c r="D32" s="40" t="str">
        <f aca="false">IF($T$4=0,IF($K32="","",$K32),IFERROR(IF([2]财务取数接口!$D$31=0,"",[2]财务取数接口!$D$31),""))</f>
        <v/>
      </c>
      <c r="E32" s="40" t="str">
        <f aca="false">IF($T$4=0,IF($L32="","",$L32),IFERROR(IF([2]财务取数接口!$E$31=0,"",[2]财务取数接口!$E$31),""))</f>
        <v>包</v>
      </c>
      <c r="F32" s="41" t="str">
        <f aca="false">IF($T$4=0,IF($M32="","",$M32),IFERROR(IF([2]财务取数接口!$G$31=0,"",[2]财务取数接口!$G$31),""))</f>
        <v/>
      </c>
      <c r="G32" s="41" t="str">
        <f aca="false">IF($T$4=0,IF($N32="","",$N32),IFERROR(IF([2]财务取数接口!$H$31=0,"",[2]财务取数接口!$H$31),""))</f>
        <v/>
      </c>
      <c r="H32" s="39" t="str">
        <f aca="false">IF($T$4=0,IF($O32="","",$O32),IFERROR(IF([2]财务取数接口!$I$31=0,"",[2]财务取数接口!$I$31),""))</f>
        <v/>
      </c>
      <c r="I32" s="42"/>
      <c r="J32" s="43"/>
      <c r="K32" s="42"/>
      <c r="L32" s="42"/>
      <c r="M32" s="44"/>
      <c r="N32" s="44"/>
      <c r="O32" s="43"/>
      <c r="P32" s="45" t="n">
        <f aca="false">IF(AND($C32&lt;&gt;"",$C32&lt;&gt;"项目",OR(N($D32)&lt;&gt;0,N($E32)&lt;&gt;0,N($F32)&lt;&gt;0)),1,0)</f>
        <v>0</v>
      </c>
      <c r="Q32" s="45" t="n">
        <f aca="false">N(Q31)+$P32</f>
        <v>0</v>
      </c>
    </row>
    <row r="33" customFormat="false" ht="13.5" hidden="false" customHeight="false" outlineLevel="0" collapsed="false">
      <c r="A33" s="9" t="n">
        <v>32</v>
      </c>
      <c r="B33" s="38" t="str">
        <f aca="false">IF($T$4=0,IF($I33="","",$I33),IFERROR(IF([2]财务取数接口!$B$32=0,"",[2]财务取数接口!$B$32),""))</f>
        <v/>
      </c>
      <c r="C33" s="39" t="str">
        <f aca="false">IF($T$4=0,IF($J33="","",$J33),IFERROR(IF([2]财务取数接口!$C$32=0,"",[2]财务取数接口!$C$32),""))</f>
        <v>物料销售</v>
      </c>
      <c r="D33" s="40" t="str">
        <f aca="false">IF($T$4=0,IF($K33="","",$K33),IFERROR(IF([2]财务取数接口!$D$32=0,"",[2]财务取数接口!$D$32),""))</f>
        <v/>
      </c>
      <c r="E33" s="40" t="str">
        <f aca="false">IF($T$4=0,IF($L33="","",$L33),IFERROR(IF([2]财务取数接口!$E$32=0,"",[2]财务取数接口!$E$32),""))</f>
        <v>包</v>
      </c>
      <c r="F33" s="41" t="str">
        <f aca="false">IF($T$4=0,IF($M33="","",$M33),IFERROR(IF([2]财务取数接口!$G$32=0,"",[2]财务取数接口!$G$32),""))</f>
        <v/>
      </c>
      <c r="G33" s="41" t="str">
        <f aca="false">IF($T$4=0,IF($N33="","",$N33),IFERROR(IF([2]财务取数接口!$H$32=0,"",[2]财务取数接口!$H$32),""))</f>
        <v/>
      </c>
      <c r="H33" s="39" t="str">
        <f aca="false">IF($T$4=0,IF($O33="","",$O33),IFERROR(IF([2]财务取数接口!$I$32=0,"",[2]财务取数接口!$I$32),""))</f>
        <v/>
      </c>
      <c r="I33" s="42"/>
      <c r="J33" s="43"/>
      <c r="K33" s="42"/>
      <c r="L33" s="42"/>
      <c r="M33" s="44"/>
      <c r="N33" s="44"/>
      <c r="O33" s="43"/>
      <c r="P33" s="45" t="n">
        <f aca="false">IF(AND($C33&lt;&gt;"",$C33&lt;&gt;"项目",OR(N($D33)&lt;&gt;0,N($E33)&lt;&gt;0,N($F33)&lt;&gt;0)),1,0)</f>
        <v>0</v>
      </c>
      <c r="Q33" s="45" t="n">
        <f aca="false">N(Q32)+$P33</f>
        <v>0</v>
      </c>
    </row>
    <row r="34" customFormat="false" ht="13.5" hidden="false" customHeight="false" outlineLevel="0" collapsed="false">
      <c r="A34" s="9" t="n">
        <v>33</v>
      </c>
      <c r="B34" s="38" t="str">
        <f aca="false">IF($T$4=0,IF($I34="","",$I34),IFERROR(IF([2]财务取数接口!$B$33=0,"",[2]财务取数接口!$B$33),""))</f>
        <v/>
      </c>
      <c r="C34" s="39" t="str">
        <f aca="false">IF($T$4=0,IF($J34="","",$J34),IFERROR(IF([2]财务取数接口!$C$33=0,"",[2]财务取数接口!$C$33),""))</f>
        <v>物料销售</v>
      </c>
      <c r="D34" s="40" t="str">
        <f aca="false">IF($T$4=0,IF($K34="","",$K34),IFERROR(IF([2]财务取数接口!$D$33=0,"",[2]财务取数接口!$D$33),""))</f>
        <v/>
      </c>
      <c r="E34" s="40" t="str">
        <f aca="false">IF($T$4=0,IF($L34="","",$L34),IFERROR(IF([2]财务取数接口!$E$33=0,"",[2]财务取数接口!$E$33),""))</f>
        <v>包</v>
      </c>
      <c r="F34" s="41" t="str">
        <f aca="false">IF($T$4=0,IF($M34="","",$M34),IFERROR(IF([2]财务取数接口!$G$33=0,"",[2]财务取数接口!$G$33),""))</f>
        <v/>
      </c>
      <c r="G34" s="41" t="str">
        <f aca="false">IF($T$4=0,IF($N34="","",$N34),IFERROR(IF([2]财务取数接口!$H$33=0,"",[2]财务取数接口!$H$33),""))</f>
        <v/>
      </c>
      <c r="H34" s="39" t="str">
        <f aca="false">IF($T$4=0,IF($O34="","",$O34),IFERROR(IF([2]财务取数接口!$I$33=0,"",[2]财务取数接口!$I$33),""))</f>
        <v/>
      </c>
      <c r="I34" s="42"/>
      <c r="J34" s="43"/>
      <c r="K34" s="42"/>
      <c r="L34" s="42"/>
      <c r="M34" s="44"/>
      <c r="N34" s="44"/>
      <c r="O34" s="43"/>
      <c r="P34" s="45" t="n">
        <f aca="false">IF(AND($C34&lt;&gt;"",$C34&lt;&gt;"项目",OR(N($D34)&lt;&gt;0,N($E34)&lt;&gt;0,N($F34)&lt;&gt;0)),1,0)</f>
        <v>0</v>
      </c>
      <c r="Q34" s="45" t="n">
        <f aca="false">N(Q33)+$P34</f>
        <v>0</v>
      </c>
    </row>
    <row r="35" customFormat="false" ht="13.5" hidden="false" customHeight="false" outlineLevel="0" collapsed="false">
      <c r="A35" s="9" t="n">
        <v>34</v>
      </c>
      <c r="B35" s="38" t="str">
        <f aca="false">IF($T$4=0,IF($I35="","",$I35),IFERROR(IF([2]财务取数接口!$B$34=0,"",[2]财务取数接口!$B$34),""))</f>
        <v/>
      </c>
      <c r="C35" s="39" t="str">
        <f aca="false">IF($T$4=0,IF($J35="","",$J35),IFERROR(IF([2]财务取数接口!$C$34=0,"",[2]财务取数接口!$C$34),""))</f>
        <v>物料销售</v>
      </c>
      <c r="D35" s="40" t="str">
        <f aca="false">IF($T$4=0,IF($K35="","",$K35),IFERROR(IF([2]财务取数接口!$D$34=0,"",[2]财务取数接口!$D$34),""))</f>
        <v/>
      </c>
      <c r="E35" s="40" t="str">
        <f aca="false">IF($T$4=0,IF($L35="","",$L35),IFERROR(IF([2]财务取数接口!$E$34=0,"",[2]财务取数接口!$E$34),""))</f>
        <v>包</v>
      </c>
      <c r="F35" s="41" t="str">
        <f aca="false">IF($T$4=0,IF($M35="","",$M35),IFERROR(IF([2]财务取数接口!$G$34=0,"",[2]财务取数接口!$G$34),""))</f>
        <v/>
      </c>
      <c r="G35" s="41" t="str">
        <f aca="false">IF($T$4=0,IF($N35="","",$N35),IFERROR(IF([2]财务取数接口!$H$34=0,"",[2]财务取数接口!$H$34),""))</f>
        <v/>
      </c>
      <c r="H35" s="39" t="str">
        <f aca="false">IF($T$4=0,IF($O35="","",$O35),IFERROR(IF([2]财务取数接口!$I$34=0,"",[2]财务取数接口!$I$34),""))</f>
        <v/>
      </c>
      <c r="I35" s="42"/>
      <c r="J35" s="43"/>
      <c r="K35" s="42"/>
      <c r="L35" s="42"/>
      <c r="M35" s="44"/>
      <c r="N35" s="44"/>
      <c r="O35" s="43"/>
      <c r="P35" s="45" t="n">
        <f aca="false">IF(AND($C35&lt;&gt;"",$C35&lt;&gt;"项目",OR(N($D35)&lt;&gt;0,N($E35)&lt;&gt;0,N($F35)&lt;&gt;0)),1,0)</f>
        <v>0</v>
      </c>
      <c r="Q35" s="45" t="n">
        <f aca="false">N(Q34)+$P35</f>
        <v>0</v>
      </c>
    </row>
    <row r="36" customFormat="false" ht="13.5" hidden="false" customHeight="false" outlineLevel="0" collapsed="false">
      <c r="A36" s="9" t="n">
        <v>35</v>
      </c>
      <c r="B36" s="38" t="str">
        <f aca="false">IF($T$4=0,IF($I36="","",$I36),IFERROR(IF([2]财务取数接口!$B$35=0,"",[2]财务取数接口!$B$35),""))</f>
        <v/>
      </c>
      <c r="C36" s="39" t="str">
        <f aca="false">IF($T$4=0,IF($J36="","",$J36),IFERROR(IF([2]财务取数接口!$C$35=0,"",[2]财务取数接口!$C$35),""))</f>
        <v>物料销售</v>
      </c>
      <c r="D36" s="40" t="str">
        <f aca="false">IF($T$4=0,IF($K36="","",$K36),IFERROR(IF([2]财务取数接口!$D$35=0,"",[2]财务取数接口!$D$35),""))</f>
        <v/>
      </c>
      <c r="E36" s="40" t="str">
        <f aca="false">IF($T$4=0,IF($L36="","",$L36),IFERROR(IF([2]财务取数接口!$E$35=0,"",[2]财务取数接口!$E$35),""))</f>
        <v>包</v>
      </c>
      <c r="F36" s="41" t="str">
        <f aca="false">IF($T$4=0,IF($M36="","",$M36),IFERROR(IF([2]财务取数接口!$G$35=0,"",[2]财务取数接口!$G$35),""))</f>
        <v/>
      </c>
      <c r="G36" s="41" t="str">
        <f aca="false">IF($T$4=0,IF($N36="","",$N36),IFERROR(IF([2]财务取数接口!$H$35=0,"",[2]财务取数接口!$H$35),""))</f>
        <v/>
      </c>
      <c r="H36" s="39" t="str">
        <f aca="false">IF($T$4=0,IF($O36="","",$O36),IFERROR(IF([2]财务取数接口!$I$35=0,"",[2]财务取数接口!$I$35),""))</f>
        <v/>
      </c>
      <c r="I36" s="42"/>
      <c r="J36" s="43"/>
      <c r="K36" s="42"/>
      <c r="L36" s="42"/>
      <c r="M36" s="44"/>
      <c r="N36" s="44"/>
      <c r="O36" s="43"/>
      <c r="P36" s="45" t="n">
        <f aca="false">IF(AND($C36&lt;&gt;"",$C36&lt;&gt;"项目",OR(N($D36)&lt;&gt;0,N($E36)&lt;&gt;0,N($F36)&lt;&gt;0)),1,0)</f>
        <v>0</v>
      </c>
      <c r="Q36" s="45" t="n">
        <f aca="false">N(Q35)+$P36</f>
        <v>0</v>
      </c>
    </row>
    <row r="37" customFormat="false" ht="13.5" hidden="false" customHeight="false" outlineLevel="0" collapsed="false">
      <c r="A37" s="9" t="n">
        <v>36</v>
      </c>
      <c r="B37" s="38" t="str">
        <f aca="false">IF($T$4=0,IF($I37="","",$I37),IFERROR(IF([2]财务取数接口!$B$36=0,"",[2]财务取数接口!$B$36),""))</f>
        <v/>
      </c>
      <c r="C37" s="39" t="str">
        <f aca="false">IF($T$4=0,IF($J37="","",$J37),IFERROR(IF([2]财务取数接口!$C$36=0,"",[2]财务取数接口!$C$36),""))</f>
        <v>物料销售</v>
      </c>
      <c r="D37" s="40" t="str">
        <f aca="false">IF($T$4=0,IF($K37="","",$K37),IFERROR(IF([2]财务取数接口!$D$36=0,"",[2]财务取数接口!$D$36),""))</f>
        <v/>
      </c>
      <c r="E37" s="40" t="str">
        <f aca="false">IF($T$4=0,IF($L37="","",$L37),IFERROR(IF([2]财务取数接口!$E$36=0,"",[2]财务取数接口!$E$36),""))</f>
        <v>包</v>
      </c>
      <c r="F37" s="41" t="str">
        <f aca="false">IF($T$4=0,IF($M37="","",$M37),IFERROR(IF([2]财务取数接口!$G$36=0,"",[2]财务取数接口!$G$36),""))</f>
        <v/>
      </c>
      <c r="G37" s="41" t="str">
        <f aca="false">IF($T$4=0,IF($N37="","",$N37),IFERROR(IF([2]财务取数接口!$H$36=0,"",[2]财务取数接口!$H$36),""))</f>
        <v/>
      </c>
      <c r="H37" s="39" t="str">
        <f aca="false">IF($T$4=0,IF($O37="","",$O37),IFERROR(IF([2]财务取数接口!$I$36=0,"",[2]财务取数接口!$I$36),""))</f>
        <v/>
      </c>
      <c r="I37" s="42"/>
      <c r="J37" s="43"/>
      <c r="K37" s="42"/>
      <c r="L37" s="42"/>
      <c r="M37" s="44"/>
      <c r="N37" s="44"/>
      <c r="O37" s="43"/>
      <c r="P37" s="45" t="n">
        <f aca="false">IF(AND($C37&lt;&gt;"",$C37&lt;&gt;"项目",OR(N($D37)&lt;&gt;0,N($E37)&lt;&gt;0,N($F37)&lt;&gt;0)),1,0)</f>
        <v>0</v>
      </c>
      <c r="Q37" s="45" t="n">
        <f aca="false">N(Q36)+$P37</f>
        <v>0</v>
      </c>
    </row>
    <row r="38" customFormat="false" ht="13.5" hidden="false" customHeight="false" outlineLevel="0" collapsed="false">
      <c r="A38" s="9" t="n">
        <v>37</v>
      </c>
      <c r="B38" s="38" t="str">
        <f aca="false">IF($T$4=0,IF($I38="","",$I38),IFERROR(IF([2]财务取数接口!$B$37=0,"",[2]财务取数接口!$B$37),""))</f>
        <v/>
      </c>
      <c r="C38" s="39" t="str">
        <f aca="false">IF($T$4=0,IF($J38="","",$J38),IFERROR(IF([2]财务取数接口!$C$37=0,"",[2]财务取数接口!$C$37),""))</f>
        <v>物料销售</v>
      </c>
      <c r="D38" s="40" t="str">
        <f aca="false">IF($T$4=0,IF($K38="","",$K38),IFERROR(IF([2]财务取数接口!$D$37=0,"",[2]财务取数接口!$D$37),""))</f>
        <v/>
      </c>
      <c r="E38" s="40" t="str">
        <f aca="false">IF($T$4=0,IF($L38="","",$L38),IFERROR(IF([2]财务取数接口!$E$37=0,"",[2]财务取数接口!$E$37),""))</f>
        <v>包</v>
      </c>
      <c r="F38" s="41" t="str">
        <f aca="false">IF($T$4=0,IF($M38="","",$M38),IFERROR(IF([2]财务取数接口!$G$37=0,"",[2]财务取数接口!$G$37),""))</f>
        <v/>
      </c>
      <c r="G38" s="41" t="str">
        <f aca="false">IF($T$4=0,IF($N38="","",$N38),IFERROR(IF([2]财务取数接口!$H$37=0,"",[2]财务取数接口!$H$37),""))</f>
        <v/>
      </c>
      <c r="H38" s="39" t="str">
        <f aca="false">IF($T$4=0,IF($O38="","",$O38),IFERROR(IF([2]财务取数接口!$I$37=0,"",[2]财务取数接口!$I$37),""))</f>
        <v/>
      </c>
      <c r="I38" s="42"/>
      <c r="J38" s="43"/>
      <c r="K38" s="42"/>
      <c r="L38" s="42"/>
      <c r="M38" s="44"/>
      <c r="N38" s="44"/>
      <c r="O38" s="43"/>
      <c r="P38" s="45" t="n">
        <f aca="false">IF(AND($C38&lt;&gt;"",$C38&lt;&gt;"项目",OR(N($D38)&lt;&gt;0,N($E38)&lt;&gt;0,N($F38)&lt;&gt;0)),1,0)</f>
        <v>0</v>
      </c>
      <c r="Q38" s="45" t="n">
        <f aca="false">N(Q37)+$P38</f>
        <v>0</v>
      </c>
    </row>
    <row r="39" customFormat="false" ht="13.5" hidden="false" customHeight="false" outlineLevel="0" collapsed="false">
      <c r="A39" s="9" t="n">
        <v>38</v>
      </c>
      <c r="B39" s="38" t="str">
        <f aca="false">IF($T$4=0,IF($I39="","",$I39),IFERROR(IF([2]财务取数接口!$B$38=0,"",[2]财务取数接口!$B$38),""))</f>
        <v/>
      </c>
      <c r="C39" s="39" t="str">
        <f aca="false">IF($T$4=0,IF($J39="","",$J39),IFERROR(IF([2]财务取数接口!$C$38=0,"",[2]财务取数接口!$C$38),""))</f>
        <v>物料销售</v>
      </c>
      <c r="D39" s="40" t="str">
        <f aca="false">IF($T$4=0,IF($K39="","",$K39),IFERROR(IF([2]财务取数接口!$D$38=0,"",[2]财务取数接口!$D$38),""))</f>
        <v/>
      </c>
      <c r="E39" s="40" t="str">
        <f aca="false">IF($T$4=0,IF($L39="","",$L39),IFERROR(IF([2]财务取数接口!$E$38=0,"",[2]财务取数接口!$E$38),""))</f>
        <v>包</v>
      </c>
      <c r="F39" s="41" t="str">
        <f aca="false">IF($T$4=0,IF($M39="","",$M39),IFERROR(IF([2]财务取数接口!$G$38=0,"",[2]财务取数接口!$G$38),""))</f>
        <v/>
      </c>
      <c r="G39" s="41" t="str">
        <f aca="false">IF($T$4=0,IF($N39="","",$N39),IFERROR(IF([2]财务取数接口!$H$38=0,"",[2]财务取数接口!$H$38),""))</f>
        <v/>
      </c>
      <c r="H39" s="39" t="str">
        <f aca="false">IF($T$4=0,IF($O39="","",$O39),IFERROR(IF([2]财务取数接口!$I$38=0,"",[2]财务取数接口!$I$38),""))</f>
        <v/>
      </c>
      <c r="I39" s="42"/>
      <c r="J39" s="43"/>
      <c r="K39" s="42"/>
      <c r="L39" s="42"/>
      <c r="M39" s="44"/>
      <c r="N39" s="44"/>
      <c r="O39" s="43"/>
      <c r="P39" s="45" t="n">
        <f aca="false">IF(AND($C39&lt;&gt;"",$C39&lt;&gt;"项目",OR(N($D39)&lt;&gt;0,N($E39)&lt;&gt;0,N($F39)&lt;&gt;0)),1,0)</f>
        <v>0</v>
      </c>
      <c r="Q39" s="45" t="n">
        <f aca="false">N(Q38)+$P39</f>
        <v>0</v>
      </c>
    </row>
    <row r="40" customFormat="false" ht="13.5" hidden="false" customHeight="false" outlineLevel="0" collapsed="false">
      <c r="A40" s="9" t="n">
        <v>39</v>
      </c>
      <c r="B40" s="38" t="str">
        <f aca="false">IF($T$4=0,IF($I40="","",$I40),IFERROR(IF([2]财务取数接口!$B$39=0,"",[2]财务取数接口!$B$39),""))</f>
        <v/>
      </c>
      <c r="C40" s="39" t="str">
        <f aca="false">IF($T$4=0,IF($J40="","",$J40),IFERROR(IF([2]财务取数接口!$C$39=0,"",[2]财务取数接口!$C$39),""))</f>
        <v>物料销售</v>
      </c>
      <c r="D40" s="40" t="str">
        <f aca="false">IF($T$4=0,IF($K40="","",$K40),IFERROR(IF([2]财务取数接口!$D$39=0,"",[2]财务取数接口!$D$39),""))</f>
        <v/>
      </c>
      <c r="E40" s="40" t="str">
        <f aca="false">IF($T$4=0,IF($L40="","",$L40),IFERROR(IF([2]财务取数接口!$E$39=0,"",[2]财务取数接口!$E$39),""))</f>
        <v>包</v>
      </c>
      <c r="F40" s="41" t="str">
        <f aca="false">IF($T$4=0,IF($M40="","",$M40),IFERROR(IF([2]财务取数接口!$G$39=0,"",[2]财务取数接口!$G$39),""))</f>
        <v/>
      </c>
      <c r="G40" s="41" t="str">
        <f aca="false">IF($T$4=0,IF($N40="","",$N40),IFERROR(IF([2]财务取数接口!$H$39=0,"",[2]财务取数接口!$H$39),""))</f>
        <v/>
      </c>
      <c r="H40" s="39" t="str">
        <f aca="false">IF($T$4=0,IF($O40="","",$O40),IFERROR(IF([2]财务取数接口!$I$39=0,"",[2]财务取数接口!$I$39),""))</f>
        <v/>
      </c>
      <c r="I40" s="42"/>
      <c r="J40" s="43"/>
      <c r="K40" s="42"/>
      <c r="L40" s="42"/>
      <c r="M40" s="44"/>
      <c r="N40" s="44"/>
      <c r="O40" s="43"/>
      <c r="P40" s="45" t="n">
        <f aca="false">IF(AND($C40&lt;&gt;"",$C40&lt;&gt;"项目",OR(N($D40)&lt;&gt;0,N($E40)&lt;&gt;0,N($F40)&lt;&gt;0)),1,0)</f>
        <v>0</v>
      </c>
      <c r="Q40" s="45" t="n">
        <f aca="false">N(Q39)+$P40</f>
        <v>0</v>
      </c>
    </row>
    <row r="41" customFormat="false" ht="13.5" hidden="false" customHeight="false" outlineLevel="0" collapsed="false">
      <c r="A41" s="9" t="n">
        <v>40</v>
      </c>
      <c r="B41" s="38" t="str">
        <f aca="false">IF($T$4=0,IF($I41="","",$I41),IFERROR(IF([2]财务取数接口!$B$40=0,"",[2]财务取数接口!$B$40),""))</f>
        <v/>
      </c>
      <c r="C41" s="39" t="str">
        <f aca="false">IF($T$4=0,IF($J41="","",$J41),IFERROR(IF([2]财务取数接口!$C$40=0,"",[2]财务取数接口!$C$40),""))</f>
        <v>物料销售</v>
      </c>
      <c r="D41" s="40" t="str">
        <f aca="false">IF($T$4=0,IF($K41="","",$K41),IFERROR(IF([2]财务取数接口!$D$40=0,"",[2]财务取数接口!$D$40),""))</f>
        <v/>
      </c>
      <c r="E41" s="40" t="str">
        <f aca="false">IF($T$4=0,IF($L41="","",$L41),IFERROR(IF([2]财务取数接口!$E$40=0,"",[2]财务取数接口!$E$40),""))</f>
        <v>包</v>
      </c>
      <c r="F41" s="41" t="str">
        <f aca="false">IF($T$4=0,IF($M41="","",$M41),IFERROR(IF([2]财务取数接口!$G$40=0,"",[2]财务取数接口!$G$40),""))</f>
        <v/>
      </c>
      <c r="G41" s="41" t="str">
        <f aca="false">IF($T$4=0,IF($N41="","",$N41),IFERROR(IF([2]财务取数接口!$H$40=0,"",[2]财务取数接口!$H$40),""))</f>
        <v/>
      </c>
      <c r="H41" s="39" t="str">
        <f aca="false">IF($T$4=0,IF($O41="","",$O41),IFERROR(IF([2]财务取数接口!$I$40=0,"",[2]财务取数接口!$I$40),""))</f>
        <v/>
      </c>
      <c r="I41" s="42"/>
      <c r="J41" s="43"/>
      <c r="K41" s="42"/>
      <c r="L41" s="42"/>
      <c r="M41" s="44"/>
      <c r="N41" s="44"/>
      <c r="O41" s="43"/>
      <c r="P41" s="45" t="n">
        <f aca="false">IF(AND($C41&lt;&gt;"",$C41&lt;&gt;"项目",OR(N($D41)&lt;&gt;0,N($E41)&lt;&gt;0,N($F41)&lt;&gt;0)),1,0)</f>
        <v>0</v>
      </c>
      <c r="Q41" s="45" t="n">
        <f aca="false">N(Q40)+$P41</f>
        <v>0</v>
      </c>
    </row>
    <row r="42" customFormat="false" ht="13.5" hidden="false" customHeight="false" outlineLevel="0" collapsed="false">
      <c r="A42" s="9" t="n">
        <v>41</v>
      </c>
      <c r="B42" s="38" t="str">
        <f aca="false">IF($T$4=0,IF($I42="","",$I42),IFERROR(IF([2]财务取数接口!$B$41=0,"",[2]财务取数接口!$B$41),""))</f>
        <v/>
      </c>
      <c r="C42" s="39" t="str">
        <f aca="false">IF($T$4=0,IF($J42="","",$J42),IFERROR(IF([2]财务取数接口!$C$41=0,"",[2]财务取数接口!$C$41),""))</f>
        <v>物料销售</v>
      </c>
      <c r="D42" s="40" t="str">
        <f aca="false">IF($T$4=0,IF($K42="","",$K42),IFERROR(IF([2]财务取数接口!$D$41=0,"",[2]财务取数接口!$D$41),""))</f>
        <v/>
      </c>
      <c r="E42" s="40" t="str">
        <f aca="false">IF($T$4=0,IF($L42="","",$L42),IFERROR(IF([2]财务取数接口!$E$41=0,"",[2]财务取数接口!$E$41),""))</f>
        <v>包</v>
      </c>
      <c r="F42" s="41" t="str">
        <f aca="false">IF($T$4=0,IF($M42="","",$M42),IFERROR(IF([2]财务取数接口!$G$41=0,"",[2]财务取数接口!$G$41),""))</f>
        <v/>
      </c>
      <c r="G42" s="41" t="str">
        <f aca="false">IF($T$4=0,IF($N42="","",$N42),IFERROR(IF([2]财务取数接口!$H$41=0,"",[2]财务取数接口!$H$41),""))</f>
        <v/>
      </c>
      <c r="H42" s="39" t="str">
        <f aca="false">IF($T$4=0,IF($O42="","",$O42),IFERROR(IF([2]财务取数接口!$I$41=0,"",[2]财务取数接口!$I$41),""))</f>
        <v/>
      </c>
      <c r="I42" s="42"/>
      <c r="J42" s="43"/>
      <c r="K42" s="42"/>
      <c r="L42" s="42"/>
      <c r="M42" s="44"/>
      <c r="N42" s="44"/>
      <c r="O42" s="43"/>
      <c r="P42" s="45" t="n">
        <f aca="false">IF(AND($C42&lt;&gt;"",$C42&lt;&gt;"项目",OR(N($D42)&lt;&gt;0,N($E42)&lt;&gt;0,N($F42)&lt;&gt;0)),1,0)</f>
        <v>0</v>
      </c>
      <c r="Q42" s="45" t="n">
        <f aca="false">N(Q41)+$P42</f>
        <v>0</v>
      </c>
    </row>
    <row r="43" customFormat="false" ht="13.5" hidden="false" customHeight="false" outlineLevel="0" collapsed="false">
      <c r="A43" s="9" t="n">
        <v>42</v>
      </c>
      <c r="B43" s="38" t="str">
        <f aca="false">IF($T$4=0,IF($I43="","",$I43),IFERROR(IF([2]财务取数接口!$B$42=0,"",[2]财务取数接口!$B$42),""))</f>
        <v/>
      </c>
      <c r="C43" s="39" t="str">
        <f aca="false">IF($T$4=0,IF($J43="","",$J43),IFERROR(IF([2]财务取数接口!$C$42=0,"",[2]财务取数接口!$C$42),""))</f>
        <v>物料销售</v>
      </c>
      <c r="D43" s="40" t="str">
        <f aca="false">IF($T$4=0,IF($K43="","",$K43),IFERROR(IF([2]财务取数接口!$D$42=0,"",[2]财务取数接口!$D$42),""))</f>
        <v/>
      </c>
      <c r="E43" s="40" t="str">
        <f aca="false">IF($T$4=0,IF($L43="","",$L43),IFERROR(IF([2]财务取数接口!$E$42=0,"",[2]财务取数接口!$E$42),""))</f>
        <v>包</v>
      </c>
      <c r="F43" s="41" t="str">
        <f aca="false">IF($T$4=0,IF($M43="","",$M43),IFERROR(IF([2]财务取数接口!$G$42=0,"",[2]财务取数接口!$G$42),""))</f>
        <v/>
      </c>
      <c r="G43" s="41" t="str">
        <f aca="false">IF($T$4=0,IF($N43="","",$N43),IFERROR(IF([2]财务取数接口!$H$42=0,"",[2]财务取数接口!$H$42),""))</f>
        <v/>
      </c>
      <c r="H43" s="39" t="str">
        <f aca="false">IF($T$4=0,IF($O43="","",$O43),IFERROR(IF([2]财务取数接口!$I$42=0,"",[2]财务取数接口!$I$42),""))</f>
        <v/>
      </c>
      <c r="I43" s="42"/>
      <c r="J43" s="43"/>
      <c r="K43" s="42"/>
      <c r="L43" s="42"/>
      <c r="M43" s="44"/>
      <c r="N43" s="44"/>
      <c r="O43" s="43"/>
      <c r="P43" s="45" t="n">
        <f aca="false">IF(AND($C43&lt;&gt;"",$C43&lt;&gt;"项目",OR(N($D43)&lt;&gt;0,N($E43)&lt;&gt;0,N($F43)&lt;&gt;0)),1,0)</f>
        <v>0</v>
      </c>
      <c r="Q43" s="45" t="n">
        <f aca="false">N(Q42)+$P43</f>
        <v>0</v>
      </c>
    </row>
    <row r="44" customFormat="false" ht="13.5" hidden="false" customHeight="false" outlineLevel="0" collapsed="false">
      <c r="A44" s="9" t="n">
        <v>43</v>
      </c>
      <c r="B44" s="38" t="str">
        <f aca="false">IF($T$4=0,IF($I44="","",$I44),IFERROR(IF([2]财务取数接口!$B$43=0,"",[2]财务取数接口!$B$43),""))</f>
        <v/>
      </c>
      <c r="C44" s="39" t="str">
        <f aca="false">IF($T$4=0,IF($J44="","",$J44),IFERROR(IF([2]财务取数接口!$C$43=0,"",[2]财务取数接口!$C$43),""))</f>
        <v>物料销售</v>
      </c>
      <c r="D44" s="40" t="str">
        <f aca="false">IF($T$4=0,IF($K44="","",$K44),IFERROR(IF([2]财务取数接口!$D$43=0,"",[2]财务取数接口!$D$43),""))</f>
        <v/>
      </c>
      <c r="E44" s="40" t="str">
        <f aca="false">IF($T$4=0,IF($L44="","",$L44),IFERROR(IF([2]财务取数接口!$E$43=0,"",[2]财务取数接口!$E$43),""))</f>
        <v>包</v>
      </c>
      <c r="F44" s="41" t="str">
        <f aca="false">IF($T$4=0,IF($M44="","",$M44),IFERROR(IF([2]财务取数接口!$G$43=0,"",[2]财务取数接口!$G$43),""))</f>
        <v/>
      </c>
      <c r="G44" s="41" t="str">
        <f aca="false">IF($T$4=0,IF($N44="","",$N44),IFERROR(IF([2]财务取数接口!$H$43=0,"",[2]财务取数接口!$H$43),""))</f>
        <v/>
      </c>
      <c r="H44" s="39" t="str">
        <f aca="false">IF($T$4=0,IF($O44="","",$O44),IFERROR(IF([2]财务取数接口!$I$43=0,"",[2]财务取数接口!$I$43),""))</f>
        <v/>
      </c>
      <c r="I44" s="42"/>
      <c r="J44" s="43"/>
      <c r="K44" s="42"/>
      <c r="L44" s="42"/>
      <c r="M44" s="44"/>
      <c r="N44" s="44"/>
      <c r="O44" s="43"/>
      <c r="P44" s="45" t="n">
        <f aca="false">IF(AND($C44&lt;&gt;"",$C44&lt;&gt;"项目",OR(N($D44)&lt;&gt;0,N($E44)&lt;&gt;0,N($F44)&lt;&gt;0)),1,0)</f>
        <v>0</v>
      </c>
      <c r="Q44" s="45" t="n">
        <f aca="false">N(Q43)+$P44</f>
        <v>0</v>
      </c>
    </row>
    <row r="45" customFormat="false" ht="13.5" hidden="false" customHeight="false" outlineLevel="0" collapsed="false">
      <c r="A45" s="9" t="n">
        <v>44</v>
      </c>
      <c r="B45" s="38" t="str">
        <f aca="false">IF($T$4=0,IF($I45="","",$I45),IFERROR(IF([2]财务取数接口!$B$44=0,"",[2]财务取数接口!$B$44),""))</f>
        <v/>
      </c>
      <c r="C45" s="39" t="str">
        <f aca="false">IF($T$4=0,IF($J45="","",$J45),IFERROR(IF([2]财务取数接口!$C$44=0,"",[2]财务取数接口!$C$44),""))</f>
        <v>物料销售</v>
      </c>
      <c r="D45" s="40" t="str">
        <f aca="false">IF($T$4=0,IF($K45="","",$K45),IFERROR(IF([2]财务取数接口!$D$44=0,"",[2]财务取数接口!$D$44),""))</f>
        <v/>
      </c>
      <c r="E45" s="40" t="str">
        <f aca="false">IF($T$4=0,IF($L45="","",$L45),IFERROR(IF([2]财务取数接口!$E$44=0,"",[2]财务取数接口!$E$44),""))</f>
        <v>包</v>
      </c>
      <c r="F45" s="41" t="str">
        <f aca="false">IF($T$4=0,IF($M45="","",$M45),IFERROR(IF([2]财务取数接口!$G$44=0,"",[2]财务取数接口!$G$44),""))</f>
        <v/>
      </c>
      <c r="G45" s="41" t="str">
        <f aca="false">IF($T$4=0,IF($N45="","",$N45),IFERROR(IF([2]财务取数接口!$H$44=0,"",[2]财务取数接口!$H$44),""))</f>
        <v/>
      </c>
      <c r="H45" s="39" t="str">
        <f aca="false">IF($T$4=0,IF($O45="","",$O45),IFERROR(IF([2]财务取数接口!$I$44=0,"",[2]财务取数接口!$I$44),""))</f>
        <v/>
      </c>
      <c r="I45" s="42"/>
      <c r="J45" s="43"/>
      <c r="K45" s="42"/>
      <c r="L45" s="42"/>
      <c r="M45" s="44"/>
      <c r="N45" s="44"/>
      <c r="O45" s="43"/>
      <c r="P45" s="45" t="n">
        <f aca="false">IF(AND($C45&lt;&gt;"",$C45&lt;&gt;"项目",OR(N($D45)&lt;&gt;0,N($E45)&lt;&gt;0,N($F45)&lt;&gt;0)),1,0)</f>
        <v>0</v>
      </c>
      <c r="Q45" s="45" t="n">
        <f aca="false">N(Q44)+$P45</f>
        <v>0</v>
      </c>
    </row>
    <row r="46" customFormat="false" ht="13.5" hidden="false" customHeight="false" outlineLevel="0" collapsed="false">
      <c r="A46" s="9" t="n">
        <v>45</v>
      </c>
      <c r="B46" s="38" t="str">
        <f aca="false">IF($T$4=0,IF($I46="","",$I46),IFERROR(IF([2]财务取数接口!$B$45=0,"",[2]财务取数接口!$B$45),""))</f>
        <v/>
      </c>
      <c r="C46" s="39" t="str">
        <f aca="false">IF($T$4=0,IF($J46="","",$J46),IFERROR(IF([2]财务取数接口!$C$45=0,"",[2]财务取数接口!$C$45),""))</f>
        <v>物料销售</v>
      </c>
      <c r="D46" s="40" t="str">
        <f aca="false">IF($T$4=0,IF($K46="","",$K46),IFERROR(IF([2]财务取数接口!$D$45=0,"",[2]财务取数接口!$D$45),""))</f>
        <v/>
      </c>
      <c r="E46" s="40" t="str">
        <f aca="false">IF($T$4=0,IF($L46="","",$L46),IFERROR(IF([2]财务取数接口!$E$45=0,"",[2]财务取数接口!$E$45),""))</f>
        <v>包</v>
      </c>
      <c r="F46" s="41" t="str">
        <f aca="false">IF($T$4=0,IF($M46="","",$M46),IFERROR(IF([2]财务取数接口!$G$45=0,"",[2]财务取数接口!$G$45),""))</f>
        <v/>
      </c>
      <c r="G46" s="41" t="str">
        <f aca="false">IF($T$4=0,IF($N46="","",$N46),IFERROR(IF([2]财务取数接口!$H$45=0,"",[2]财务取数接口!$H$45),""))</f>
        <v/>
      </c>
      <c r="H46" s="39" t="str">
        <f aca="false">IF($T$4=0,IF($O46="","",$O46),IFERROR(IF([2]财务取数接口!$I$45=0,"",[2]财务取数接口!$I$45),""))</f>
        <v/>
      </c>
      <c r="I46" s="42"/>
      <c r="J46" s="43"/>
      <c r="K46" s="42"/>
      <c r="L46" s="42"/>
      <c r="M46" s="44"/>
      <c r="N46" s="44"/>
      <c r="O46" s="43"/>
      <c r="P46" s="45" t="n">
        <f aca="false">IF(AND($C46&lt;&gt;"",$C46&lt;&gt;"项目",OR(N($D46)&lt;&gt;0,N($E46)&lt;&gt;0,N($F46)&lt;&gt;0)),1,0)</f>
        <v>0</v>
      </c>
      <c r="Q46" s="45" t="n">
        <f aca="false">N(Q45)+$P46</f>
        <v>0</v>
      </c>
    </row>
    <row r="47" customFormat="false" ht="13.5" hidden="false" customHeight="false" outlineLevel="0" collapsed="false">
      <c r="A47" s="9" t="n">
        <v>46</v>
      </c>
      <c r="B47" s="38" t="str">
        <f aca="false">IF($T$4=0,IF($I47="","",$I47),IFERROR(IF([2]财务取数接口!$B$46=0,"",[2]财务取数接口!$B$46),""))</f>
        <v/>
      </c>
      <c r="C47" s="39" t="str">
        <f aca="false">IF($T$4=0,IF($J47="","",$J47),IFERROR(IF([2]财务取数接口!$C$46=0,"",[2]财务取数接口!$C$46),""))</f>
        <v>物料销售</v>
      </c>
      <c r="D47" s="40" t="str">
        <f aca="false">IF($T$4=0,IF($K47="","",$K47),IFERROR(IF([2]财务取数接口!$D$46=0,"",[2]财务取数接口!$D$46),""))</f>
        <v/>
      </c>
      <c r="E47" s="40" t="str">
        <f aca="false">IF($T$4=0,IF($L47="","",$L47),IFERROR(IF([2]财务取数接口!$E$46=0,"",[2]财务取数接口!$E$46),""))</f>
        <v>包</v>
      </c>
      <c r="F47" s="41" t="str">
        <f aca="false">IF($T$4=0,IF($M47="","",$M47),IFERROR(IF([2]财务取数接口!$G$46=0,"",[2]财务取数接口!$G$46),""))</f>
        <v/>
      </c>
      <c r="G47" s="41" t="str">
        <f aca="false">IF($T$4=0,IF($N47="","",$N47),IFERROR(IF([2]财务取数接口!$H$46=0,"",[2]财务取数接口!$H$46),""))</f>
        <v/>
      </c>
      <c r="H47" s="39" t="str">
        <f aca="false">IF($T$4=0,IF($O47="","",$O47),IFERROR(IF([2]财务取数接口!$I$46=0,"",[2]财务取数接口!$I$46),""))</f>
        <v/>
      </c>
      <c r="I47" s="42"/>
      <c r="J47" s="43"/>
      <c r="K47" s="42"/>
      <c r="L47" s="42"/>
      <c r="M47" s="44"/>
      <c r="N47" s="44"/>
      <c r="O47" s="43"/>
      <c r="P47" s="45" t="n">
        <f aca="false">IF(AND($C47&lt;&gt;"",$C47&lt;&gt;"项目",OR(N($D47)&lt;&gt;0,N($E47)&lt;&gt;0,N($F47)&lt;&gt;0)),1,0)</f>
        <v>0</v>
      </c>
      <c r="Q47" s="45" t="n">
        <f aca="false">N(Q46)+$P47</f>
        <v>0</v>
      </c>
    </row>
    <row r="48" customFormat="false" ht="13.5" hidden="false" customHeight="false" outlineLevel="0" collapsed="false">
      <c r="A48" s="9" t="n">
        <v>47</v>
      </c>
      <c r="B48" s="38" t="str">
        <f aca="false">IF($T$4=0,IF($I48="","",$I48),IFERROR(IF([2]财务取数接口!$B$47=0,"",[2]财务取数接口!$B$47),""))</f>
        <v/>
      </c>
      <c r="C48" s="39" t="str">
        <f aca="false">IF($T$4=0,IF($J48="","",$J48),IFERROR(IF([2]财务取数接口!$C$47=0,"",[2]财务取数接口!$C$47),""))</f>
        <v>物料销售</v>
      </c>
      <c r="D48" s="40" t="str">
        <f aca="false">IF($T$4=0,IF($K48="","",$K48),IFERROR(IF([2]财务取数接口!$D$47=0,"",[2]财务取数接口!$D$47),""))</f>
        <v/>
      </c>
      <c r="E48" s="40" t="str">
        <f aca="false">IF($T$4=0,IF($L48="","",$L48),IFERROR(IF([2]财务取数接口!$E$47=0,"",[2]财务取数接口!$E$47),""))</f>
        <v>包</v>
      </c>
      <c r="F48" s="41" t="str">
        <f aca="false">IF($T$4=0,IF($M48="","",$M48),IFERROR(IF([2]财务取数接口!$G$47=0,"",[2]财务取数接口!$G$47),""))</f>
        <v/>
      </c>
      <c r="G48" s="41" t="str">
        <f aca="false">IF($T$4=0,IF($N48="","",$N48),IFERROR(IF([2]财务取数接口!$H$47=0,"",[2]财务取数接口!$H$47),""))</f>
        <v/>
      </c>
      <c r="H48" s="39" t="str">
        <f aca="false">IF($T$4=0,IF($O48="","",$O48),IFERROR(IF([2]财务取数接口!$I$47=0,"",[2]财务取数接口!$I$47),""))</f>
        <v/>
      </c>
      <c r="I48" s="42"/>
      <c r="J48" s="43"/>
      <c r="K48" s="42"/>
      <c r="L48" s="42"/>
      <c r="M48" s="44"/>
      <c r="N48" s="44"/>
      <c r="O48" s="43"/>
      <c r="P48" s="45" t="n">
        <f aca="false">IF(AND($C48&lt;&gt;"",$C48&lt;&gt;"项目",OR(N($D48)&lt;&gt;0,N($E48)&lt;&gt;0,N($F48)&lt;&gt;0)),1,0)</f>
        <v>0</v>
      </c>
      <c r="Q48" s="45" t="n">
        <f aca="false">N(Q47)+$P48</f>
        <v>0</v>
      </c>
    </row>
    <row r="49" customFormat="false" ht="13.5" hidden="false" customHeight="false" outlineLevel="0" collapsed="false">
      <c r="A49" s="9" t="n">
        <v>48</v>
      </c>
      <c r="B49" s="38" t="str">
        <f aca="false">IF($T$4=0,IF($I49="","",$I49),IFERROR(IF([2]财务取数接口!$B$48=0,"",[2]财务取数接口!$B$48),""))</f>
        <v/>
      </c>
      <c r="C49" s="39" t="str">
        <f aca="false">IF($T$4=0,IF($J49="","",$J49),IFERROR(IF([2]财务取数接口!$C$48=0,"",[2]财务取数接口!$C$48),""))</f>
        <v>物料销售</v>
      </c>
      <c r="D49" s="40" t="str">
        <f aca="false">IF($T$4=0,IF($K49="","",$K49),IFERROR(IF([2]财务取数接口!$D$48=0,"",[2]财务取数接口!$D$48),""))</f>
        <v/>
      </c>
      <c r="E49" s="40" t="str">
        <f aca="false">IF($T$4=0,IF($L49="","",$L49),IFERROR(IF([2]财务取数接口!$E$48=0,"",[2]财务取数接口!$E$48),""))</f>
        <v>包</v>
      </c>
      <c r="F49" s="41" t="str">
        <f aca="false">IF($T$4=0,IF($M49="","",$M49),IFERROR(IF([2]财务取数接口!$G$48=0,"",[2]财务取数接口!$G$48),""))</f>
        <v/>
      </c>
      <c r="G49" s="41" t="str">
        <f aca="false">IF($T$4=0,IF($N49="","",$N49),IFERROR(IF([2]财务取数接口!$H$48=0,"",[2]财务取数接口!$H$48),""))</f>
        <v/>
      </c>
      <c r="H49" s="39" t="str">
        <f aca="false">IF($T$4=0,IF($O49="","",$O49),IFERROR(IF([2]财务取数接口!$I$48=0,"",[2]财务取数接口!$I$48),""))</f>
        <v/>
      </c>
      <c r="I49" s="42"/>
      <c r="J49" s="43"/>
      <c r="K49" s="42"/>
      <c r="L49" s="42"/>
      <c r="M49" s="44"/>
      <c r="N49" s="44"/>
      <c r="O49" s="43"/>
      <c r="P49" s="45" t="n">
        <f aca="false">IF(AND($C49&lt;&gt;"",$C49&lt;&gt;"项目",OR(N($D49)&lt;&gt;0,N($E49)&lt;&gt;0,N($F49)&lt;&gt;0)),1,0)</f>
        <v>0</v>
      </c>
      <c r="Q49" s="45" t="n">
        <f aca="false">N(Q48)+$P49</f>
        <v>0</v>
      </c>
    </row>
    <row r="50" customFormat="false" ht="13.5" hidden="false" customHeight="false" outlineLevel="0" collapsed="false">
      <c r="A50" s="9" t="n">
        <v>49</v>
      </c>
      <c r="B50" s="38" t="str">
        <f aca="false">IF($T$4=0,IF($I50="","",$I50),IFERROR(IF([2]财务取数接口!$B$49=0,"",[2]财务取数接口!$B$49),""))</f>
        <v/>
      </c>
      <c r="C50" s="39" t="str">
        <f aca="false">IF($T$4=0,IF($J50="","",$J50),IFERROR(IF([2]财务取数接口!$C$49=0,"",[2]财务取数接口!$C$49),""))</f>
        <v>物料销售</v>
      </c>
      <c r="D50" s="40" t="str">
        <f aca="false">IF($T$4=0,IF($K50="","",$K50),IFERROR(IF([2]财务取数接口!$D$49=0,"",[2]财务取数接口!$D$49),""))</f>
        <v/>
      </c>
      <c r="E50" s="40" t="str">
        <f aca="false">IF($T$4=0,IF($L50="","",$L50),IFERROR(IF([2]财务取数接口!$E$49=0,"",[2]财务取数接口!$E$49),""))</f>
        <v>包</v>
      </c>
      <c r="F50" s="41" t="str">
        <f aca="false">IF($T$4=0,IF($M50="","",$M50),IFERROR(IF([2]财务取数接口!$G$49=0,"",[2]财务取数接口!$G$49),""))</f>
        <v/>
      </c>
      <c r="G50" s="41" t="str">
        <f aca="false">IF($T$4=0,IF($N50="","",$N50),IFERROR(IF([2]财务取数接口!$H$49=0,"",[2]财务取数接口!$H$49),""))</f>
        <v/>
      </c>
      <c r="H50" s="39" t="str">
        <f aca="false">IF($T$4=0,IF($O50="","",$O50),IFERROR(IF([2]财务取数接口!$I$49=0,"",[2]财务取数接口!$I$49),""))</f>
        <v/>
      </c>
      <c r="I50" s="42"/>
      <c r="J50" s="43"/>
      <c r="K50" s="42"/>
      <c r="L50" s="42"/>
      <c r="M50" s="44"/>
      <c r="N50" s="44"/>
      <c r="O50" s="43"/>
      <c r="P50" s="45" t="n">
        <f aca="false">IF(AND($C50&lt;&gt;"",$C50&lt;&gt;"项目",OR(N($D50)&lt;&gt;0,N($E50)&lt;&gt;0,N($F50)&lt;&gt;0)),1,0)</f>
        <v>0</v>
      </c>
      <c r="Q50" s="45" t="n">
        <f aca="false">N(Q49)+$P50</f>
        <v>0</v>
      </c>
    </row>
    <row r="51" customFormat="false" ht="13.5" hidden="false" customHeight="false" outlineLevel="0" collapsed="false">
      <c r="A51" s="9" t="n">
        <v>50</v>
      </c>
      <c r="B51" s="38" t="str">
        <f aca="false">IF($T$4=0,IF($I51="","",$I51),IFERROR(IF([2]财务取数接口!$B$50=0,"",[2]财务取数接口!$B$50),""))</f>
        <v/>
      </c>
      <c r="C51" s="39" t="str">
        <f aca="false">IF($T$4=0,IF($J51="","",$J51),IFERROR(IF([2]财务取数接口!$C$50=0,"",[2]财务取数接口!$C$50),""))</f>
        <v>物料销售</v>
      </c>
      <c r="D51" s="40" t="str">
        <f aca="false">IF($T$4=0,IF($K51="","",$K51),IFERROR(IF([2]财务取数接口!$D$50=0,"",[2]财务取数接口!$D$50),""))</f>
        <v/>
      </c>
      <c r="E51" s="40" t="str">
        <f aca="false">IF($T$4=0,IF($L51="","",$L51),IFERROR(IF([2]财务取数接口!$E$50=0,"",[2]财务取数接口!$E$50),""))</f>
        <v>包</v>
      </c>
      <c r="F51" s="41" t="str">
        <f aca="false">IF($T$4=0,IF($M51="","",$M51),IFERROR(IF([2]财务取数接口!$G$50=0,"",[2]财务取数接口!$G$50),""))</f>
        <v/>
      </c>
      <c r="G51" s="41" t="str">
        <f aca="false">IF($T$4=0,IF($N51="","",$N51),IFERROR(IF([2]财务取数接口!$H$50=0,"",[2]财务取数接口!$H$50),""))</f>
        <v/>
      </c>
      <c r="H51" s="39" t="str">
        <f aca="false">IF($T$4=0,IF($O51="","",$O51),IFERROR(IF([2]财务取数接口!$I$50=0,"",[2]财务取数接口!$I$50),""))</f>
        <v/>
      </c>
      <c r="I51" s="42"/>
      <c r="J51" s="43"/>
      <c r="K51" s="42"/>
      <c r="L51" s="42"/>
      <c r="M51" s="44"/>
      <c r="N51" s="44"/>
      <c r="O51" s="43"/>
      <c r="P51" s="45" t="n">
        <f aca="false">IF(AND($C51&lt;&gt;"",$C51&lt;&gt;"项目",OR(N($D51)&lt;&gt;0,N($E51)&lt;&gt;0,N($F51)&lt;&gt;0)),1,0)</f>
        <v>0</v>
      </c>
      <c r="Q51" s="45" t="n">
        <f aca="false">N(Q50)+$P51</f>
        <v>0</v>
      </c>
    </row>
    <row r="52" customFormat="false" ht="13.5" hidden="false" customHeight="false" outlineLevel="0" collapsed="false">
      <c r="A52" s="9" t="n">
        <v>51</v>
      </c>
      <c r="B52" s="38" t="str">
        <f aca="false">IF($T$4=0,IF($I52="","",$I52),IFERROR(IF([2]财务取数接口!$B$51=0,"",[2]财务取数接口!$B$51),""))</f>
        <v/>
      </c>
      <c r="C52" s="39" t="str">
        <f aca="false">IF($T$4=0,IF($J52="","",$J52),IFERROR(IF([2]财务取数接口!$C$51=0,"",[2]财务取数接口!$C$51),""))</f>
        <v>物料销售</v>
      </c>
      <c r="D52" s="40" t="str">
        <f aca="false">IF($T$4=0,IF($K52="","",$K52),IFERROR(IF([2]财务取数接口!$D$51=0,"",[2]财务取数接口!$D$51),""))</f>
        <v/>
      </c>
      <c r="E52" s="40" t="str">
        <f aca="false">IF($T$4=0,IF($L52="","",$L52),IFERROR(IF([2]财务取数接口!$E$51=0,"",[2]财务取数接口!$E$51),""))</f>
        <v>包</v>
      </c>
      <c r="F52" s="41" t="str">
        <f aca="false">IF($T$4=0,IF($M52="","",$M52),IFERROR(IF([2]财务取数接口!$G$51=0,"",[2]财务取数接口!$G$51),""))</f>
        <v/>
      </c>
      <c r="G52" s="41" t="str">
        <f aca="false">IF($T$4=0,IF($N52="","",$N52),IFERROR(IF([2]财务取数接口!$H$51=0,"",[2]财务取数接口!$H$51),""))</f>
        <v/>
      </c>
      <c r="H52" s="39" t="str">
        <f aca="false">IF($T$4=0,IF($O52="","",$O52),IFERROR(IF([2]财务取数接口!$I$51=0,"",[2]财务取数接口!$I$51),""))</f>
        <v/>
      </c>
      <c r="I52" s="42"/>
      <c r="J52" s="43"/>
      <c r="K52" s="42"/>
      <c r="L52" s="42"/>
      <c r="M52" s="44"/>
      <c r="N52" s="44"/>
      <c r="O52" s="43"/>
      <c r="P52" s="45" t="n">
        <f aca="false">IF(AND($C52&lt;&gt;"",$C52&lt;&gt;"项目",OR(N($D52)&lt;&gt;0,N($E52)&lt;&gt;0,N($F52)&lt;&gt;0)),1,0)</f>
        <v>0</v>
      </c>
      <c r="Q52" s="45" t="n">
        <f aca="false">N(Q51)+$P52</f>
        <v>0</v>
      </c>
    </row>
    <row r="53" customFormat="false" ht="13.5" hidden="false" customHeight="false" outlineLevel="0" collapsed="false">
      <c r="A53" s="9" t="n">
        <v>52</v>
      </c>
      <c r="B53" s="38" t="str">
        <f aca="false">IF($T$4=0,IF($I53="","",$I53),IFERROR(IF([2]财务取数接口!$B$52=0,"",[2]财务取数接口!$B$52),""))</f>
        <v/>
      </c>
      <c r="C53" s="39" t="str">
        <f aca="false">IF($T$4=0,IF($J53="","",$J53),IFERROR(IF([2]财务取数接口!$C$52=0,"",[2]财务取数接口!$C$52),""))</f>
        <v>押金收取</v>
      </c>
      <c r="D53" s="40" t="str">
        <f aca="false">IF($T$4=0,IF($K53="","",$K53),IFERROR(IF([2]财务取数接口!$D$52=0,"",[2]财务取数接口!$D$52),""))</f>
        <v/>
      </c>
      <c r="E53" s="40" t="str">
        <f aca="false">IF($T$4=0,IF($L53="","",$L53),IFERROR(IF([2]财务取数接口!$E$52=0,"",[2]财务取数接口!$E$52),""))</f>
        <v>元</v>
      </c>
      <c r="F53" s="41" t="str">
        <f aca="false">IF($T$4=0,IF($M53="","",$M53),IFERROR(IF([2]财务取数接口!$G$52=0,"",[2]财务取数接口!$G$52),""))</f>
        <v/>
      </c>
      <c r="G53" s="41" t="str">
        <f aca="false">IF($T$4=0,IF($N53="","",$N53),IFERROR(IF([2]财务取数接口!$H$52=0,"",[2]财务取数接口!$H$52),""))</f>
        <v/>
      </c>
      <c r="H53" s="39" t="str">
        <f aca="false">IF($T$4=0,IF($O53="","",$O53),IFERROR(IF([2]财务取数接口!$I$52=0,"",[2]财务取数接口!$I$52),""))</f>
        <v/>
      </c>
      <c r="I53" s="42"/>
      <c r="J53" s="43"/>
      <c r="K53" s="42"/>
      <c r="L53" s="42"/>
      <c r="M53" s="44"/>
      <c r="N53" s="44"/>
      <c r="O53" s="43"/>
      <c r="P53" s="45" t="n">
        <f aca="false">IF(AND($C53&lt;&gt;"",$C53&lt;&gt;"项目",OR(N($D53)&lt;&gt;0,N($E53)&lt;&gt;0,N($F53)&lt;&gt;0)),1,0)</f>
        <v>0</v>
      </c>
      <c r="Q53" s="45" t="n">
        <f aca="false">N(Q52)+$P53</f>
        <v>0</v>
      </c>
    </row>
    <row r="54" customFormat="false" ht="13.5" hidden="false" customHeight="false" outlineLevel="0" collapsed="false">
      <c r="A54" s="9" t="n">
        <v>53</v>
      </c>
      <c r="B54" s="38" t="str">
        <f aca="false">IF($T$4=0,IF($I54="","",$I54),IFERROR(IF([2]财务取数接口!$B$53=0,"",[2]财务取数接口!$B$53),""))</f>
        <v/>
      </c>
      <c r="C54" s="39" t="str">
        <f aca="false">IF($T$4=0,IF($J54="","",$J54),IFERROR(IF([2]财务取数接口!$C$53=0,"",[2]财务取数接口!$C$53),""))</f>
        <v>押金收取</v>
      </c>
      <c r="D54" s="40" t="str">
        <f aca="false">IF($T$4=0,IF($K54="","",$K54),IFERROR(IF([2]财务取数接口!$D$53=0,"",[2]财务取数接口!$D$53),""))</f>
        <v/>
      </c>
      <c r="E54" s="40" t="str">
        <f aca="false">IF($T$4=0,IF($L54="","",$L54),IFERROR(IF([2]财务取数接口!$E$53=0,"",[2]财务取数接口!$E$53),""))</f>
        <v>元</v>
      </c>
      <c r="F54" s="41" t="str">
        <f aca="false">IF($T$4=0,IF($M54="","",$M54),IFERROR(IF([2]财务取数接口!$G$53=0,"",[2]财务取数接口!$G$53),""))</f>
        <v/>
      </c>
      <c r="G54" s="41" t="str">
        <f aca="false">IF($T$4=0,IF($N54="","",$N54),IFERROR(IF([2]财务取数接口!$H$53=0,"",[2]财务取数接口!$H$53),""))</f>
        <v/>
      </c>
      <c r="H54" s="39" t="str">
        <f aca="false">IF($T$4=0,IF($O54="","",$O54),IFERROR(IF([2]财务取数接口!$I$53=0,"",[2]财务取数接口!$I$53),""))</f>
        <v/>
      </c>
      <c r="I54" s="42"/>
      <c r="J54" s="43"/>
      <c r="K54" s="42"/>
      <c r="L54" s="42"/>
      <c r="M54" s="44"/>
      <c r="N54" s="44"/>
      <c r="O54" s="43"/>
      <c r="P54" s="45" t="n">
        <f aca="false">IF(AND($C54&lt;&gt;"",$C54&lt;&gt;"项目",OR(N($D54)&lt;&gt;0,N($E54)&lt;&gt;0,N($F54)&lt;&gt;0)),1,0)</f>
        <v>0</v>
      </c>
      <c r="Q54" s="45" t="n">
        <f aca="false">N(Q53)+$P54</f>
        <v>0</v>
      </c>
    </row>
    <row r="55" customFormat="false" ht="13.5" hidden="false" customHeight="false" outlineLevel="0" collapsed="false">
      <c r="A55" s="9" t="n">
        <v>54</v>
      </c>
      <c r="B55" s="38" t="str">
        <f aca="false">IF($T$4=0,IF($I55="","",$I55),IFERROR(IF([2]财务取数接口!$B$54=0,"",[2]财务取数接口!$B$54),""))</f>
        <v/>
      </c>
      <c r="C55" s="39" t="str">
        <f aca="false">IF($T$4=0,IF($J55="","",$J55),IFERROR(IF([2]财务取数接口!$C$54=0,"",[2]财务取数接口!$C$54),""))</f>
        <v>押金收取</v>
      </c>
      <c r="D55" s="40" t="str">
        <f aca="false">IF($T$4=0,IF($K55="","",$K55),IFERROR(IF([2]财务取数接口!$D$54=0,"",[2]财务取数接口!$D$54),""))</f>
        <v/>
      </c>
      <c r="E55" s="40" t="str">
        <f aca="false">IF($T$4=0,IF($L55="","",$L55),IFERROR(IF([2]财务取数接口!$E$54=0,"",[2]财务取数接口!$E$54),""))</f>
        <v>元</v>
      </c>
      <c r="F55" s="41" t="str">
        <f aca="false">IF($T$4=0,IF($M55="","",$M55),IFERROR(IF([2]财务取数接口!$G$54=0,"",[2]财务取数接口!$G$54),""))</f>
        <v/>
      </c>
      <c r="G55" s="41" t="str">
        <f aca="false">IF($T$4=0,IF($N55="","",$N55),IFERROR(IF([2]财务取数接口!$H$54=0,"",[2]财务取数接口!$H$54),""))</f>
        <v/>
      </c>
      <c r="H55" s="39" t="str">
        <f aca="false">IF($T$4=0,IF($O55="","",$O55),IFERROR(IF([2]财务取数接口!$I$54=0,"",[2]财务取数接口!$I$54),""))</f>
        <v/>
      </c>
      <c r="I55" s="42"/>
      <c r="J55" s="43"/>
      <c r="K55" s="42"/>
      <c r="L55" s="42"/>
      <c r="M55" s="44"/>
      <c r="N55" s="44"/>
      <c r="O55" s="43"/>
      <c r="P55" s="45" t="n">
        <f aca="false">IF(AND($C55&lt;&gt;"",$C55&lt;&gt;"项目",OR(N($D55)&lt;&gt;0,N($E55)&lt;&gt;0,N($F55)&lt;&gt;0)),1,0)</f>
        <v>0</v>
      </c>
      <c r="Q55" s="45" t="n">
        <f aca="false">N(Q54)+$P55</f>
        <v>0</v>
      </c>
    </row>
    <row r="56" customFormat="false" ht="13.5" hidden="false" customHeight="false" outlineLevel="0" collapsed="false">
      <c r="A56" s="9" t="n">
        <v>55</v>
      </c>
      <c r="B56" s="38" t="str">
        <f aca="false">IF($T$4=0,IF($I56="","",$I56),IFERROR(IF([2]财务取数接口!$B$55=0,"",[2]财务取数接口!$B$55),""))</f>
        <v/>
      </c>
      <c r="C56" s="39" t="str">
        <f aca="false">IF($T$4=0,IF($J56="","",$J56),IFERROR(IF([2]财务取数接口!$C$55=0,"",[2]财务取数接口!$C$55),""))</f>
        <v>押金收取</v>
      </c>
      <c r="D56" s="40" t="str">
        <f aca="false">IF($T$4=0,IF($K56="","",$K56),IFERROR(IF([2]财务取数接口!$D$55=0,"",[2]财务取数接口!$D$55),""))</f>
        <v/>
      </c>
      <c r="E56" s="40" t="str">
        <f aca="false">IF($T$4=0,IF($L56="","",$L56),IFERROR(IF([2]财务取数接口!$E$55=0,"",[2]财务取数接口!$E$55),""))</f>
        <v>元</v>
      </c>
      <c r="F56" s="41" t="str">
        <f aca="false">IF($T$4=0,IF($M56="","",$M56),IFERROR(IF([2]财务取数接口!$G$55=0,"",[2]财务取数接口!$G$55),""))</f>
        <v/>
      </c>
      <c r="G56" s="41" t="str">
        <f aca="false">IF($T$4=0,IF($N56="","",$N56),IFERROR(IF([2]财务取数接口!$H$55=0,"",[2]财务取数接口!$H$55),""))</f>
        <v/>
      </c>
      <c r="H56" s="39" t="str">
        <f aca="false">IF($T$4=0,IF($O56="","",$O56),IFERROR(IF([2]财务取数接口!$I$55=0,"",[2]财务取数接口!$I$55),""))</f>
        <v/>
      </c>
      <c r="I56" s="42"/>
      <c r="J56" s="43"/>
      <c r="K56" s="42"/>
      <c r="L56" s="42"/>
      <c r="M56" s="44"/>
      <c r="N56" s="44"/>
      <c r="O56" s="43"/>
      <c r="P56" s="45" t="n">
        <f aca="false">IF(AND($C56&lt;&gt;"",$C56&lt;&gt;"项目",OR(N($D56)&lt;&gt;0,N($E56)&lt;&gt;0,N($F56)&lt;&gt;0)),1,0)</f>
        <v>0</v>
      </c>
      <c r="Q56" s="45" t="n">
        <f aca="false">N(Q55)+$P56</f>
        <v>0</v>
      </c>
    </row>
    <row r="57" customFormat="false" ht="13.5" hidden="false" customHeight="false" outlineLevel="0" collapsed="false">
      <c r="A57" s="9" t="n">
        <v>56</v>
      </c>
      <c r="B57" s="38" t="str">
        <f aca="false">IF($T$4=0,IF($I57="","",$I57),IFERROR(IF([2]财务取数接口!$B$56=0,"",[2]财务取数接口!$B$56),""))</f>
        <v/>
      </c>
      <c r="C57" s="39" t="str">
        <f aca="false">IF($T$4=0,IF($J57="","",$J57),IFERROR(IF([2]财务取数接口!$C$56=0,"",[2]财务取数接口!$C$56),""))</f>
        <v>押金收取</v>
      </c>
      <c r="D57" s="40" t="str">
        <f aca="false">IF($T$4=0,IF($K57="","",$K57),IFERROR(IF([2]财务取数接口!$D$56=0,"",[2]财务取数接口!$D$56),""))</f>
        <v/>
      </c>
      <c r="E57" s="40" t="str">
        <f aca="false">IF($T$4=0,IF($L57="","",$L57),IFERROR(IF([2]财务取数接口!$E$56=0,"",[2]财务取数接口!$E$56),""))</f>
        <v>元</v>
      </c>
      <c r="F57" s="41" t="str">
        <f aca="false">IF($T$4=0,IF($M57="","",$M57),IFERROR(IF([2]财务取数接口!$G$56=0,"",[2]财务取数接口!$G$56),""))</f>
        <v/>
      </c>
      <c r="G57" s="41" t="str">
        <f aca="false">IF($T$4=0,IF($N57="","",$N57),IFERROR(IF([2]财务取数接口!$H$56=0,"",[2]财务取数接口!$H$56),""))</f>
        <v/>
      </c>
      <c r="H57" s="39" t="str">
        <f aca="false">IF($T$4=0,IF($O57="","",$O57),IFERROR(IF([2]财务取数接口!$I$56=0,"",[2]财务取数接口!$I$56),""))</f>
        <v/>
      </c>
      <c r="I57" s="42"/>
      <c r="J57" s="43"/>
      <c r="K57" s="42"/>
      <c r="L57" s="42"/>
      <c r="M57" s="44"/>
      <c r="N57" s="44"/>
      <c r="O57" s="43"/>
      <c r="P57" s="45" t="n">
        <f aca="false">IF(AND($C57&lt;&gt;"",$C57&lt;&gt;"项目",OR(N($D57)&lt;&gt;0,N($E57)&lt;&gt;0,N($F57)&lt;&gt;0)),1,0)</f>
        <v>0</v>
      </c>
      <c r="Q57" s="45" t="n">
        <f aca="false">N(Q56)+$P57</f>
        <v>0</v>
      </c>
    </row>
    <row r="58" customFormat="false" ht="13.5" hidden="false" customHeight="false" outlineLevel="0" collapsed="false">
      <c r="A58" s="9" t="n">
        <v>57</v>
      </c>
      <c r="B58" s="38" t="str">
        <f aca="false">IF($T$4=0,IF($I58="","",$I58),IFERROR(IF([2]财务取数接口!$B$57=0,"",[2]财务取数接口!$B$57),""))</f>
        <v/>
      </c>
      <c r="C58" s="39" t="str">
        <f aca="false">IF($T$4=0,IF($J58="","",$J58),IFERROR(IF([2]财务取数接口!$C$57=0,"",[2]财务取数接口!$C$57),""))</f>
        <v>押金收取</v>
      </c>
      <c r="D58" s="40" t="str">
        <f aca="false">IF($T$4=0,IF($K58="","",$K58),IFERROR(IF([2]财务取数接口!$D$57=0,"",[2]财务取数接口!$D$57),""))</f>
        <v/>
      </c>
      <c r="E58" s="40" t="str">
        <f aca="false">IF($T$4=0,IF($L58="","",$L58),IFERROR(IF([2]财务取数接口!$E$57=0,"",[2]财务取数接口!$E$57),""))</f>
        <v>元</v>
      </c>
      <c r="F58" s="41" t="str">
        <f aca="false">IF($T$4=0,IF($M58="","",$M58),IFERROR(IF([2]财务取数接口!$G$57=0,"",[2]财务取数接口!$G$57),""))</f>
        <v/>
      </c>
      <c r="G58" s="41" t="str">
        <f aca="false">IF($T$4=0,IF($N58="","",$N58),IFERROR(IF([2]财务取数接口!$H$57=0,"",[2]财务取数接口!$H$57),""))</f>
        <v/>
      </c>
      <c r="H58" s="39" t="str">
        <f aca="false">IF($T$4=0,IF($O58="","",$O58),IFERROR(IF([2]财务取数接口!$I$57=0,"",[2]财务取数接口!$I$57),""))</f>
        <v/>
      </c>
      <c r="I58" s="42"/>
      <c r="J58" s="43"/>
      <c r="K58" s="42"/>
      <c r="L58" s="42"/>
      <c r="M58" s="44"/>
      <c r="N58" s="44"/>
      <c r="O58" s="43"/>
      <c r="P58" s="45" t="n">
        <f aca="false">IF(AND($C58&lt;&gt;"",$C58&lt;&gt;"项目",OR(N($D58)&lt;&gt;0,N($E58)&lt;&gt;0,N($F58)&lt;&gt;0)),1,0)</f>
        <v>0</v>
      </c>
      <c r="Q58" s="45" t="n">
        <f aca="false">N(Q57)+$P58</f>
        <v>0</v>
      </c>
    </row>
    <row r="59" customFormat="false" ht="13.5" hidden="false" customHeight="false" outlineLevel="0" collapsed="false">
      <c r="A59" s="9" t="n">
        <v>58</v>
      </c>
      <c r="B59" s="38" t="str">
        <f aca="false">IF($T$4=0,IF($I59="","",$I59),IFERROR(IF([2]财务取数接口!$B$58=0,"",[2]财务取数接口!$B$58),""))</f>
        <v/>
      </c>
      <c r="C59" s="39" t="str">
        <f aca="false">IF($T$4=0,IF($J59="","",$J59),IFERROR(IF([2]财务取数接口!$C$58=0,"",[2]财务取数接口!$C$58),""))</f>
        <v>押金收取</v>
      </c>
      <c r="D59" s="40" t="str">
        <f aca="false">IF($T$4=0,IF($K59="","",$K59),IFERROR(IF([2]财务取数接口!$D$58=0,"",[2]财务取数接口!$D$58),""))</f>
        <v/>
      </c>
      <c r="E59" s="40" t="str">
        <f aca="false">IF($T$4=0,IF($L59="","",$L59),IFERROR(IF([2]财务取数接口!$E$58=0,"",[2]财务取数接口!$E$58),""))</f>
        <v>元</v>
      </c>
      <c r="F59" s="41" t="str">
        <f aca="false">IF($T$4=0,IF($M59="","",$M59),IFERROR(IF([2]财务取数接口!$G$58=0,"",[2]财务取数接口!$G$58),""))</f>
        <v/>
      </c>
      <c r="G59" s="41" t="str">
        <f aca="false">IF($T$4=0,IF($N59="","",$N59),IFERROR(IF([2]财务取数接口!$H$58=0,"",[2]财务取数接口!$H$58),""))</f>
        <v/>
      </c>
      <c r="H59" s="39" t="str">
        <f aca="false">IF($T$4=0,IF($O59="","",$O59),IFERROR(IF([2]财务取数接口!$I$58=0,"",[2]财务取数接口!$I$58),""))</f>
        <v/>
      </c>
      <c r="I59" s="42"/>
      <c r="J59" s="43"/>
      <c r="K59" s="42"/>
      <c r="L59" s="42"/>
      <c r="M59" s="44"/>
      <c r="N59" s="44"/>
      <c r="O59" s="43"/>
      <c r="P59" s="45" t="n">
        <f aca="false">IF(AND($C59&lt;&gt;"",$C59&lt;&gt;"项目",OR(N($D59)&lt;&gt;0,N($E59)&lt;&gt;0,N($F59)&lt;&gt;0)),1,0)</f>
        <v>0</v>
      </c>
      <c r="Q59" s="45" t="n">
        <f aca="false">N(Q58)+$P59</f>
        <v>0</v>
      </c>
    </row>
    <row r="60" customFormat="false" ht="13.5" hidden="false" customHeight="false" outlineLevel="0" collapsed="false">
      <c r="A60" s="9" t="n">
        <v>59</v>
      </c>
      <c r="B60" s="38" t="str">
        <f aca="false">IF($T$4=0,IF($I60="","",$I60),IFERROR(IF([2]财务取数接口!$B$59=0,"",[2]财务取数接口!$B$59),""))</f>
        <v/>
      </c>
      <c r="C60" s="39" t="str">
        <f aca="false">IF($T$4=0,IF($J60="","",$J60),IFERROR(IF([2]财务取数接口!$C$59=0,"",[2]财务取数接口!$C$59),""))</f>
        <v>押金收取</v>
      </c>
      <c r="D60" s="40" t="str">
        <f aca="false">IF($T$4=0,IF($K60="","",$K60),IFERROR(IF([2]财务取数接口!$D$59=0,"",[2]财务取数接口!$D$59),""))</f>
        <v/>
      </c>
      <c r="E60" s="40" t="str">
        <f aca="false">IF($T$4=0,IF($L60="","",$L60),IFERROR(IF([2]财务取数接口!$E$59=0,"",[2]财务取数接口!$E$59),""))</f>
        <v>元</v>
      </c>
      <c r="F60" s="41" t="str">
        <f aca="false">IF($T$4=0,IF($M60="","",$M60),IFERROR(IF([2]财务取数接口!$G$59=0,"",[2]财务取数接口!$G$59),""))</f>
        <v/>
      </c>
      <c r="G60" s="41" t="str">
        <f aca="false">IF($T$4=0,IF($N60="","",$N60),IFERROR(IF([2]财务取数接口!$H$59=0,"",[2]财务取数接口!$H$59),""))</f>
        <v/>
      </c>
      <c r="H60" s="39" t="str">
        <f aca="false">IF($T$4=0,IF($O60="","",$O60),IFERROR(IF([2]财务取数接口!$I$59=0,"",[2]财务取数接口!$I$59),""))</f>
        <v/>
      </c>
      <c r="I60" s="42"/>
      <c r="J60" s="43"/>
      <c r="K60" s="42"/>
      <c r="L60" s="42"/>
      <c r="M60" s="44"/>
      <c r="N60" s="44"/>
      <c r="O60" s="43"/>
      <c r="P60" s="45" t="n">
        <f aca="false">IF(AND($C60&lt;&gt;"",$C60&lt;&gt;"项目",OR(N($D60)&lt;&gt;0,N($E60)&lt;&gt;0,N($F60)&lt;&gt;0)),1,0)</f>
        <v>0</v>
      </c>
      <c r="Q60" s="45" t="n">
        <f aca="false">N(Q59)+$P60</f>
        <v>0</v>
      </c>
    </row>
    <row r="61" customFormat="false" ht="13.5" hidden="false" customHeight="false" outlineLevel="0" collapsed="false">
      <c r="A61" s="9" t="n">
        <v>60</v>
      </c>
      <c r="B61" s="38" t="str">
        <f aca="false">IF($T$4=0,IF($I61="","",$I61),IFERROR(IF([2]财务取数接口!$B$60=0,"",[2]财务取数接口!$B$60),""))</f>
        <v/>
      </c>
      <c r="C61" s="39" t="str">
        <f aca="false">IF($T$4=0,IF($J61="","",$J61),IFERROR(IF([2]财务取数接口!$C$60=0,"",[2]财务取数接口!$C$60),""))</f>
        <v>押金收取</v>
      </c>
      <c r="D61" s="40" t="str">
        <f aca="false">IF($T$4=0,IF($K61="","",$K61),IFERROR(IF([2]财务取数接口!$D$60=0,"",[2]财务取数接口!$D$60),""))</f>
        <v/>
      </c>
      <c r="E61" s="40" t="str">
        <f aca="false">IF($T$4=0,IF($L61="","",$L61),IFERROR(IF([2]财务取数接口!$E$60=0,"",[2]财务取数接口!$E$60),""))</f>
        <v>元</v>
      </c>
      <c r="F61" s="41" t="str">
        <f aca="false">IF($T$4=0,IF($M61="","",$M61),IFERROR(IF([2]财务取数接口!$G$60=0,"",[2]财务取数接口!$G$60),""))</f>
        <v/>
      </c>
      <c r="G61" s="41" t="str">
        <f aca="false">IF($T$4=0,IF($N61="","",$N61),IFERROR(IF([2]财务取数接口!$H$60=0,"",[2]财务取数接口!$H$60),""))</f>
        <v/>
      </c>
      <c r="H61" s="39" t="str">
        <f aca="false">IF($T$4=0,IF($O61="","",$O61),IFERROR(IF([2]财务取数接口!$I$60=0,"",[2]财务取数接口!$I$60),""))</f>
        <v/>
      </c>
      <c r="I61" s="42"/>
      <c r="J61" s="43"/>
      <c r="K61" s="42"/>
      <c r="L61" s="42"/>
      <c r="M61" s="44"/>
      <c r="N61" s="44"/>
      <c r="O61" s="43"/>
      <c r="P61" s="45" t="n">
        <f aca="false">IF(AND($C61&lt;&gt;"",$C61&lt;&gt;"项目",OR(N($D61)&lt;&gt;0,N($E61)&lt;&gt;0,N($F61)&lt;&gt;0)),1,0)</f>
        <v>0</v>
      </c>
      <c r="Q61" s="45" t="n">
        <f aca="false">N(Q60)+$P61</f>
        <v>0</v>
      </c>
    </row>
    <row r="62" customFormat="false" ht="13.5" hidden="false" customHeight="false" outlineLevel="0" collapsed="false">
      <c r="A62" s="9" t="n">
        <v>61</v>
      </c>
      <c r="B62" s="38" t="str">
        <f aca="false">IF($T$4=0,IF($I62="","",$I62),IFERROR(IF([2]财务取数接口!$B$61=0,"",[2]财务取数接口!$B$61),""))</f>
        <v/>
      </c>
      <c r="C62" s="39" t="str">
        <f aca="false">IF($T$4=0,IF($J62="","",$J62),IFERROR(IF([2]财务取数接口!$C$61=0,"",[2]财务取数接口!$C$61),""))</f>
        <v>押金收取</v>
      </c>
      <c r="D62" s="40" t="str">
        <f aca="false">IF($T$4=0,IF($K62="","",$K62),IFERROR(IF([2]财务取数接口!$D$61=0,"",[2]财务取数接口!$D$61),""))</f>
        <v/>
      </c>
      <c r="E62" s="40" t="str">
        <f aca="false">IF($T$4=0,IF($L62="","",$L62),IFERROR(IF([2]财务取数接口!$E$61=0,"",[2]财务取数接口!$E$61),""))</f>
        <v>元</v>
      </c>
      <c r="F62" s="41" t="str">
        <f aca="false">IF($T$4=0,IF($M62="","",$M62),IFERROR(IF([2]财务取数接口!$G$61=0,"",[2]财务取数接口!$G$61),""))</f>
        <v/>
      </c>
      <c r="G62" s="41" t="str">
        <f aca="false">IF($T$4=0,IF($N62="","",$N62),IFERROR(IF([2]财务取数接口!$H$61=0,"",[2]财务取数接口!$H$61),""))</f>
        <v/>
      </c>
      <c r="H62" s="39" t="str">
        <f aca="false">IF($T$4=0,IF($O62="","",$O62),IFERROR(IF([2]财务取数接口!$I$61=0,"",[2]财务取数接口!$I$61),""))</f>
        <v/>
      </c>
      <c r="I62" s="42"/>
      <c r="J62" s="43"/>
      <c r="K62" s="42"/>
      <c r="L62" s="42"/>
      <c r="M62" s="44"/>
      <c r="N62" s="44"/>
      <c r="O62" s="43"/>
      <c r="P62" s="45" t="n">
        <f aca="false">IF(AND($C62&lt;&gt;"",$C62&lt;&gt;"项目",OR(N($D62)&lt;&gt;0,N($E62)&lt;&gt;0,N($F62)&lt;&gt;0)),1,0)</f>
        <v>0</v>
      </c>
      <c r="Q62" s="45" t="n">
        <f aca="false">N(Q61)+$P62</f>
        <v>0</v>
      </c>
    </row>
    <row r="63" customFormat="false" ht="13.5" hidden="false" customHeight="false" outlineLevel="0" collapsed="false">
      <c r="A63" s="9" t="n">
        <v>62</v>
      </c>
      <c r="B63" s="38" t="str">
        <f aca="false">IF($T$4=0,IF($I63="","",$I63),IFERROR(IF([2]财务取数接口!$B$62=0,"",[2]财务取数接口!$B$62),""))</f>
        <v/>
      </c>
      <c r="C63" s="39" t="str">
        <f aca="false">IF($T$4=0,IF($J63="","",$J63),IFERROR(IF([2]财务取数接口!$C$62=0,"",[2]财务取数接口!$C$62),""))</f>
        <v>押金收取</v>
      </c>
      <c r="D63" s="40" t="str">
        <f aca="false">IF($T$4=0,IF($K63="","",$K63),IFERROR(IF([2]财务取数接口!$D$62=0,"",[2]财务取数接口!$D$62),""))</f>
        <v/>
      </c>
      <c r="E63" s="40" t="str">
        <f aca="false">IF($T$4=0,IF($L63="","",$L63),IFERROR(IF([2]财务取数接口!$E$62=0,"",[2]财务取数接口!$E$62),""))</f>
        <v>元</v>
      </c>
      <c r="F63" s="41" t="str">
        <f aca="false">IF($T$4=0,IF($M63="","",$M63),IFERROR(IF([2]财务取数接口!$G$62=0,"",[2]财务取数接口!$G$62),""))</f>
        <v/>
      </c>
      <c r="G63" s="41" t="str">
        <f aca="false">IF($T$4=0,IF($N63="","",$N63),IFERROR(IF([2]财务取数接口!$H$62=0,"",[2]财务取数接口!$H$62),""))</f>
        <v/>
      </c>
      <c r="H63" s="39" t="str">
        <f aca="false">IF($T$4=0,IF($O63="","",$O63),IFERROR(IF([2]财务取数接口!$I$62=0,"",[2]财务取数接口!$I$62),""))</f>
        <v/>
      </c>
      <c r="I63" s="42"/>
      <c r="J63" s="43"/>
      <c r="K63" s="42"/>
      <c r="L63" s="42"/>
      <c r="M63" s="44"/>
      <c r="N63" s="44"/>
      <c r="O63" s="43"/>
      <c r="P63" s="45" t="n">
        <f aca="false">IF(AND($C63&lt;&gt;"",$C63&lt;&gt;"项目",OR(N($D63)&lt;&gt;0,N($E63)&lt;&gt;0,N($F63)&lt;&gt;0)),1,0)</f>
        <v>0</v>
      </c>
      <c r="Q63" s="45" t="n">
        <f aca="false">N(Q62)+$P63</f>
        <v>0</v>
      </c>
    </row>
    <row r="64" customFormat="false" ht="13.5" hidden="false" customHeight="false" outlineLevel="0" collapsed="false">
      <c r="A64" s="9" t="n">
        <v>63</v>
      </c>
      <c r="B64" s="38" t="str">
        <f aca="false">IF($T$4=0,IF($I64="","",$I64),IFERROR(IF([2]财务取数接口!$B$63=0,"",[2]财务取数接口!$B$63),""))</f>
        <v/>
      </c>
      <c r="C64" s="39" t="str">
        <f aca="false">IF($T$4=0,IF($J64="","",$J64),IFERROR(IF([2]财务取数接口!$C$63=0,"",[2]财务取数接口!$C$63),""))</f>
        <v>押金收取</v>
      </c>
      <c r="D64" s="40" t="str">
        <f aca="false">IF($T$4=0,IF($K64="","",$K64),IFERROR(IF([2]财务取数接口!$D$63=0,"",[2]财务取数接口!$D$63),""))</f>
        <v/>
      </c>
      <c r="E64" s="40" t="str">
        <f aca="false">IF($T$4=0,IF($L64="","",$L64),IFERROR(IF([2]财务取数接口!$E$63=0,"",[2]财务取数接口!$E$63),""))</f>
        <v>元</v>
      </c>
      <c r="F64" s="41" t="str">
        <f aca="false">IF($T$4=0,IF($M64="","",$M64),IFERROR(IF([2]财务取数接口!$G$63=0,"",[2]财务取数接口!$G$63),""))</f>
        <v/>
      </c>
      <c r="G64" s="41" t="str">
        <f aca="false">IF($T$4=0,IF($N64="","",$N64),IFERROR(IF([2]财务取数接口!$H$63=0,"",[2]财务取数接口!$H$63),""))</f>
        <v/>
      </c>
      <c r="H64" s="39" t="str">
        <f aca="false">IF($T$4=0,IF($O64="","",$O64),IFERROR(IF([2]财务取数接口!$I$63=0,"",[2]财务取数接口!$I$63),""))</f>
        <v/>
      </c>
      <c r="I64" s="42"/>
      <c r="J64" s="43"/>
      <c r="K64" s="42"/>
      <c r="L64" s="42"/>
      <c r="M64" s="44"/>
      <c r="N64" s="44"/>
      <c r="O64" s="43"/>
      <c r="P64" s="45" t="n">
        <f aca="false">IF(AND($C64&lt;&gt;"",$C64&lt;&gt;"项目",OR(N($D64)&lt;&gt;0,N($E64)&lt;&gt;0,N($F64)&lt;&gt;0)),1,0)</f>
        <v>0</v>
      </c>
      <c r="Q64" s="45" t="n">
        <f aca="false">N(Q63)+$P64</f>
        <v>0</v>
      </c>
    </row>
    <row r="65" customFormat="false" ht="13.5" hidden="false" customHeight="false" outlineLevel="0" collapsed="false">
      <c r="A65" s="9" t="n">
        <v>64</v>
      </c>
      <c r="B65" s="38" t="str">
        <f aca="false">IF($T$4=0,IF($I65="","",$I65),IFERROR(IF([2]财务取数接口!$B$64=0,"",[2]财务取数接口!$B$64),""))</f>
        <v/>
      </c>
      <c r="C65" s="39" t="str">
        <f aca="false">IF($T$4=0,IF($J65="","",$J65),IFERROR(IF([2]财务取数接口!$C$64=0,"",[2]财务取数接口!$C$64),""))</f>
        <v>押金收取</v>
      </c>
      <c r="D65" s="40" t="str">
        <f aca="false">IF($T$4=0,IF($K65="","",$K65),IFERROR(IF([2]财务取数接口!$D$64=0,"",[2]财务取数接口!$D$64),""))</f>
        <v/>
      </c>
      <c r="E65" s="40" t="str">
        <f aca="false">IF($T$4=0,IF($L65="","",$L65),IFERROR(IF([2]财务取数接口!$E$64=0,"",[2]财务取数接口!$E$64),""))</f>
        <v>元</v>
      </c>
      <c r="F65" s="41" t="str">
        <f aca="false">IF($T$4=0,IF($M65="","",$M65),IFERROR(IF([2]财务取数接口!$G$64=0,"",[2]财务取数接口!$G$64),""))</f>
        <v/>
      </c>
      <c r="G65" s="41" t="str">
        <f aca="false">IF($T$4=0,IF($N65="","",$N65),IFERROR(IF([2]财务取数接口!$H$64=0,"",[2]财务取数接口!$H$64),""))</f>
        <v/>
      </c>
      <c r="H65" s="39" t="str">
        <f aca="false">IF($T$4=0,IF($O65="","",$O65),IFERROR(IF([2]财务取数接口!$I$64=0,"",[2]财务取数接口!$I$64),""))</f>
        <v/>
      </c>
      <c r="I65" s="42"/>
      <c r="J65" s="43"/>
      <c r="K65" s="42"/>
      <c r="L65" s="42"/>
      <c r="M65" s="44"/>
      <c r="N65" s="44"/>
      <c r="O65" s="43"/>
      <c r="P65" s="45" t="n">
        <f aca="false">IF(AND($C65&lt;&gt;"",$C65&lt;&gt;"项目",OR(N($D65)&lt;&gt;0,N($E65)&lt;&gt;0,N($F65)&lt;&gt;0)),1,0)</f>
        <v>0</v>
      </c>
      <c r="Q65" s="45" t="n">
        <f aca="false">N(Q64)+$P65</f>
        <v>0</v>
      </c>
    </row>
    <row r="66" customFormat="false" ht="13.5" hidden="false" customHeight="false" outlineLevel="0" collapsed="false">
      <c r="A66" s="9" t="n">
        <v>65</v>
      </c>
      <c r="B66" s="38" t="str">
        <f aca="false">IF($T$4=0,IF($I66="","",$I66),IFERROR(IF([2]财务取数接口!$B$65=0,"",[2]财务取数接口!$B$65),""))</f>
        <v/>
      </c>
      <c r="C66" s="39" t="str">
        <f aca="false">IF($T$4=0,IF($J66="","",$J66),IFERROR(IF([2]财务取数接口!$C$65=0,"",[2]财务取数接口!$C$65),""))</f>
        <v>押金收取</v>
      </c>
      <c r="D66" s="40" t="str">
        <f aca="false">IF($T$4=0,IF($K66="","",$K66),IFERROR(IF([2]财务取数接口!$D$65=0,"",[2]财务取数接口!$D$65),""))</f>
        <v/>
      </c>
      <c r="E66" s="40" t="str">
        <f aca="false">IF($T$4=0,IF($L66="","",$L66),IFERROR(IF([2]财务取数接口!$E$65=0,"",[2]财务取数接口!$E$65),""))</f>
        <v>元</v>
      </c>
      <c r="F66" s="41" t="str">
        <f aca="false">IF($T$4=0,IF($M66="","",$M66),IFERROR(IF([2]财务取数接口!$G$65=0,"",[2]财务取数接口!$G$65),""))</f>
        <v/>
      </c>
      <c r="G66" s="41" t="str">
        <f aca="false">IF($T$4=0,IF($N66="","",$N66),IFERROR(IF([2]财务取数接口!$H$65=0,"",[2]财务取数接口!$H$65),""))</f>
        <v/>
      </c>
      <c r="H66" s="39" t="str">
        <f aca="false">IF($T$4=0,IF($O66="","",$O66),IFERROR(IF([2]财务取数接口!$I$65=0,"",[2]财务取数接口!$I$65),""))</f>
        <v/>
      </c>
      <c r="I66" s="42"/>
      <c r="J66" s="43"/>
      <c r="K66" s="42"/>
      <c r="L66" s="42"/>
      <c r="M66" s="44"/>
      <c r="N66" s="44"/>
      <c r="O66" s="43"/>
      <c r="P66" s="45" t="n">
        <f aca="false">IF(AND($C66&lt;&gt;"",$C66&lt;&gt;"项目",OR(N($D66)&lt;&gt;0,N($E66)&lt;&gt;0,N($F66)&lt;&gt;0)),1,0)</f>
        <v>0</v>
      </c>
      <c r="Q66" s="45" t="n">
        <f aca="false">N(Q65)+$P66</f>
        <v>0</v>
      </c>
    </row>
    <row r="67" customFormat="false" ht="13.5" hidden="false" customHeight="false" outlineLevel="0" collapsed="false">
      <c r="A67" s="9" t="n">
        <v>66</v>
      </c>
      <c r="B67" s="38" t="str">
        <f aca="false">IF($T$4=0,IF($I67="","",$I67),IFERROR(IF([2]财务取数接口!$B$66=0,"",[2]财务取数接口!$B$66),""))</f>
        <v/>
      </c>
      <c r="C67" s="39" t="str">
        <f aca="false">IF($T$4=0,IF($J67="","",$J67),IFERROR(IF([2]财务取数接口!$C$66=0,"",[2]财务取数接口!$C$66),""))</f>
        <v>押金收取</v>
      </c>
      <c r="D67" s="40" t="str">
        <f aca="false">IF($T$4=0,IF($K67="","",$K67),IFERROR(IF([2]财务取数接口!$D$66=0,"",[2]财务取数接口!$D$66),""))</f>
        <v/>
      </c>
      <c r="E67" s="40" t="str">
        <f aca="false">IF($T$4=0,IF($L67="","",$L67),IFERROR(IF([2]财务取数接口!$E$66=0,"",[2]财务取数接口!$E$66),""))</f>
        <v>元</v>
      </c>
      <c r="F67" s="41" t="str">
        <f aca="false">IF($T$4=0,IF($M67="","",$M67),IFERROR(IF([2]财务取数接口!$G$66=0,"",[2]财务取数接口!$G$66),""))</f>
        <v/>
      </c>
      <c r="G67" s="41" t="str">
        <f aca="false">IF($T$4=0,IF($N67="","",$N67),IFERROR(IF([2]财务取数接口!$H$66=0,"",[2]财务取数接口!$H$66),""))</f>
        <v/>
      </c>
      <c r="H67" s="39" t="str">
        <f aca="false">IF($T$4=0,IF($O67="","",$O67),IFERROR(IF([2]财务取数接口!$I$66=0,"",[2]财务取数接口!$I$66),""))</f>
        <v/>
      </c>
      <c r="I67" s="42"/>
      <c r="J67" s="43"/>
      <c r="K67" s="42"/>
      <c r="L67" s="42"/>
      <c r="M67" s="44"/>
      <c r="N67" s="44"/>
      <c r="O67" s="43"/>
      <c r="P67" s="45" t="n">
        <f aca="false">IF(AND($C67&lt;&gt;"",$C67&lt;&gt;"项目",OR(N($D67)&lt;&gt;0,N($E67)&lt;&gt;0,N($F67)&lt;&gt;0)),1,0)</f>
        <v>0</v>
      </c>
      <c r="Q67" s="45" t="n">
        <f aca="false">N(Q66)+$P67</f>
        <v>0</v>
      </c>
    </row>
    <row r="68" customFormat="false" ht="13.5" hidden="false" customHeight="false" outlineLevel="0" collapsed="false">
      <c r="A68" s="9" t="n">
        <v>67</v>
      </c>
      <c r="B68" s="38" t="str">
        <f aca="false">IF($T$4=0,IF($I68="","",$I68),IFERROR(IF([2]财务取数接口!$B$67=0,"",[2]财务取数接口!$B$67),""))</f>
        <v/>
      </c>
      <c r="C68" s="39" t="str">
        <f aca="false">IF($T$4=0,IF($J68="","",$J68),IFERROR(IF([2]财务取数接口!$C$67=0,"",[2]财务取数接口!$C$67),""))</f>
        <v>押金收取</v>
      </c>
      <c r="D68" s="40" t="str">
        <f aca="false">IF($T$4=0,IF($K68="","",$K68),IFERROR(IF([2]财务取数接口!$D$67=0,"",[2]财务取数接口!$D$67),""))</f>
        <v/>
      </c>
      <c r="E68" s="40" t="str">
        <f aca="false">IF($T$4=0,IF($L68="","",$L68),IFERROR(IF([2]财务取数接口!$E$67=0,"",[2]财务取数接口!$E$67),""))</f>
        <v>元</v>
      </c>
      <c r="F68" s="41" t="str">
        <f aca="false">IF($T$4=0,IF($M68="","",$M68),IFERROR(IF([2]财务取数接口!$G$67=0,"",[2]财务取数接口!$G$67),""))</f>
        <v/>
      </c>
      <c r="G68" s="41" t="str">
        <f aca="false">IF($T$4=0,IF($N68="","",$N68),IFERROR(IF([2]财务取数接口!$H$67=0,"",[2]财务取数接口!$H$67),""))</f>
        <v/>
      </c>
      <c r="H68" s="39" t="str">
        <f aca="false">IF($T$4=0,IF($O68="","",$O68),IFERROR(IF([2]财务取数接口!$I$67=0,"",[2]财务取数接口!$I$67),""))</f>
        <v/>
      </c>
      <c r="I68" s="42"/>
      <c r="J68" s="43"/>
      <c r="K68" s="42"/>
      <c r="L68" s="42"/>
      <c r="M68" s="44"/>
      <c r="N68" s="44"/>
      <c r="O68" s="43"/>
      <c r="P68" s="45" t="n">
        <f aca="false">IF(AND($C68&lt;&gt;"",$C68&lt;&gt;"项目",OR(N($D68)&lt;&gt;0,N($E68)&lt;&gt;0,N($F68)&lt;&gt;0)),1,0)</f>
        <v>0</v>
      </c>
      <c r="Q68" s="45" t="n">
        <f aca="false">N(Q67)+$P68</f>
        <v>0</v>
      </c>
    </row>
    <row r="69" customFormat="false" ht="13.5" hidden="false" customHeight="false" outlineLevel="0" collapsed="false">
      <c r="A69" s="9" t="n">
        <v>68</v>
      </c>
      <c r="B69" s="38" t="str">
        <f aca="false">IF($T$4=0,IF($I69="","",$I69),IFERROR(IF([2]财务取数接口!$B$68=0,"",[2]财务取数接口!$B$68),""))</f>
        <v/>
      </c>
      <c r="C69" s="39" t="str">
        <f aca="false">IF($T$4=0,IF($J69="","",$J69),IFERROR(IF([2]财务取数接口!$C$68=0,"",[2]财务取数接口!$C$68),""))</f>
        <v>押金收取</v>
      </c>
      <c r="D69" s="40" t="str">
        <f aca="false">IF($T$4=0,IF($K69="","",$K69),IFERROR(IF([2]财务取数接口!$D$68=0,"",[2]财务取数接口!$D$68),""))</f>
        <v/>
      </c>
      <c r="E69" s="40" t="str">
        <f aca="false">IF($T$4=0,IF($L69="","",$L69),IFERROR(IF([2]财务取数接口!$E$68=0,"",[2]财务取数接口!$E$68),""))</f>
        <v>元</v>
      </c>
      <c r="F69" s="41" t="str">
        <f aca="false">IF($T$4=0,IF($M69="","",$M69),IFERROR(IF([2]财务取数接口!$G$68=0,"",[2]财务取数接口!$G$68),""))</f>
        <v/>
      </c>
      <c r="G69" s="41" t="str">
        <f aca="false">IF($T$4=0,IF($N69="","",$N69),IFERROR(IF([2]财务取数接口!$H$68=0,"",[2]财务取数接口!$H$68),""))</f>
        <v/>
      </c>
      <c r="H69" s="39" t="str">
        <f aca="false">IF($T$4=0,IF($O69="","",$O69),IFERROR(IF([2]财务取数接口!$I$68=0,"",[2]财务取数接口!$I$68),""))</f>
        <v/>
      </c>
      <c r="I69" s="42"/>
      <c r="J69" s="43"/>
      <c r="K69" s="42"/>
      <c r="L69" s="42"/>
      <c r="M69" s="44"/>
      <c r="N69" s="44"/>
      <c r="O69" s="43"/>
      <c r="P69" s="45" t="n">
        <f aca="false">IF(AND($C69&lt;&gt;"",$C69&lt;&gt;"项目",OR(N($D69)&lt;&gt;0,N($E69)&lt;&gt;0,N($F69)&lt;&gt;0)),1,0)</f>
        <v>0</v>
      </c>
      <c r="Q69" s="45" t="n">
        <f aca="false">N(Q68)+$P69</f>
        <v>0</v>
      </c>
    </row>
    <row r="70" customFormat="false" ht="13.5" hidden="false" customHeight="false" outlineLevel="0" collapsed="false">
      <c r="A70" s="9" t="n">
        <v>69</v>
      </c>
      <c r="B70" s="38" t="str">
        <f aca="false">IF($T$4=0,IF($I70="","",$I70),IFERROR(IF([2]财务取数接口!$B$69=0,"",[2]财务取数接口!$B$69),""))</f>
        <v/>
      </c>
      <c r="C70" s="39" t="str">
        <f aca="false">IF($T$4=0,IF($J70="","",$J70),IFERROR(IF([2]财务取数接口!$C$69=0,"",[2]财务取数接口!$C$69),""))</f>
        <v>押金收取</v>
      </c>
      <c r="D70" s="40" t="str">
        <f aca="false">IF($T$4=0,IF($K70="","",$K70),IFERROR(IF([2]财务取数接口!$D$69=0,"",[2]财务取数接口!$D$69),""))</f>
        <v/>
      </c>
      <c r="E70" s="40" t="str">
        <f aca="false">IF($T$4=0,IF($L70="","",$L70),IFERROR(IF([2]财务取数接口!$E$69=0,"",[2]财务取数接口!$E$69),""))</f>
        <v>元</v>
      </c>
      <c r="F70" s="41" t="str">
        <f aca="false">IF($T$4=0,IF($M70="","",$M70),IFERROR(IF([2]财务取数接口!$G$69=0,"",[2]财务取数接口!$G$69),""))</f>
        <v/>
      </c>
      <c r="G70" s="41" t="str">
        <f aca="false">IF($T$4=0,IF($N70="","",$N70),IFERROR(IF([2]财务取数接口!$H$69=0,"",[2]财务取数接口!$H$69),""))</f>
        <v/>
      </c>
      <c r="H70" s="39" t="str">
        <f aca="false">IF($T$4=0,IF($O70="","",$O70),IFERROR(IF([2]财务取数接口!$I$69=0,"",[2]财务取数接口!$I$69),""))</f>
        <v/>
      </c>
      <c r="I70" s="42"/>
      <c r="J70" s="43"/>
      <c r="K70" s="42"/>
      <c r="L70" s="42"/>
      <c r="M70" s="44"/>
      <c r="N70" s="44"/>
      <c r="O70" s="43"/>
      <c r="P70" s="45" t="n">
        <f aca="false">IF(AND($C70&lt;&gt;"",$C70&lt;&gt;"项目",OR(N($D70)&lt;&gt;0,N($E70)&lt;&gt;0,N($F70)&lt;&gt;0)),1,0)</f>
        <v>0</v>
      </c>
      <c r="Q70" s="45" t="n">
        <f aca="false">N(Q69)+$P70</f>
        <v>0</v>
      </c>
    </row>
    <row r="71" customFormat="false" ht="13.5" hidden="false" customHeight="false" outlineLevel="0" collapsed="false">
      <c r="A71" s="9" t="n">
        <v>70</v>
      </c>
      <c r="B71" s="38" t="str">
        <f aca="false">IF($T$4=0,IF($I71="","",$I71),IFERROR(IF([2]财务取数接口!$B$70=0,"",[2]财务取数接口!$B$70),""))</f>
        <v/>
      </c>
      <c r="C71" s="39" t="str">
        <f aca="false">IF($T$4=0,IF($J71="","",$J71),IFERROR(IF([2]财务取数接口!$C$70=0,"",[2]财务取数接口!$C$70),""))</f>
        <v>押金收取</v>
      </c>
      <c r="D71" s="40" t="str">
        <f aca="false">IF($T$4=0,IF($K71="","",$K71),IFERROR(IF([2]财务取数接口!$D$70=0,"",[2]财务取数接口!$D$70),""))</f>
        <v/>
      </c>
      <c r="E71" s="40" t="str">
        <f aca="false">IF($T$4=0,IF($L71="","",$L71),IFERROR(IF([2]财务取数接口!$E$70=0,"",[2]财务取数接口!$E$70),""))</f>
        <v>元</v>
      </c>
      <c r="F71" s="41" t="str">
        <f aca="false">IF($T$4=0,IF($M71="","",$M71),IFERROR(IF([2]财务取数接口!$G$70=0,"",[2]财务取数接口!$G$70),""))</f>
        <v/>
      </c>
      <c r="G71" s="41" t="str">
        <f aca="false">IF($T$4=0,IF($N71="","",$N71),IFERROR(IF([2]财务取数接口!$H$70=0,"",[2]财务取数接口!$H$70),""))</f>
        <v/>
      </c>
      <c r="H71" s="39" t="str">
        <f aca="false">IF($T$4=0,IF($O71="","",$O71),IFERROR(IF([2]财务取数接口!$I$70=0,"",[2]财务取数接口!$I$70),""))</f>
        <v/>
      </c>
      <c r="I71" s="42"/>
      <c r="J71" s="43"/>
      <c r="K71" s="42"/>
      <c r="L71" s="42"/>
      <c r="M71" s="44"/>
      <c r="N71" s="44"/>
      <c r="O71" s="43"/>
      <c r="P71" s="45" t="n">
        <f aca="false">IF(AND($C71&lt;&gt;"",$C71&lt;&gt;"项目",OR(N($D71)&lt;&gt;0,N($E71)&lt;&gt;0,N($F71)&lt;&gt;0)),1,0)</f>
        <v>0</v>
      </c>
      <c r="Q71" s="45" t="n">
        <f aca="false">N(Q70)+$P71</f>
        <v>0</v>
      </c>
    </row>
    <row r="72" customFormat="false" ht="13.5" hidden="false" customHeight="false" outlineLevel="0" collapsed="false">
      <c r="A72" s="9" t="n">
        <v>71</v>
      </c>
      <c r="B72" s="38" t="str">
        <f aca="false">IF($T$4=0,IF($I72="","",$I72),IFERROR(IF([2]财务取数接口!$B$71=0,"",[2]财务取数接口!$B$71),""))</f>
        <v/>
      </c>
      <c r="C72" s="39" t="str">
        <f aca="false">IF($T$4=0,IF($J72="","",$J72),IFERROR(IF([2]财务取数接口!$C$71=0,"",[2]财务取数接口!$C$71),""))</f>
        <v>押金收取</v>
      </c>
      <c r="D72" s="40" t="str">
        <f aca="false">IF($T$4=0,IF($K72="","",$K72),IFERROR(IF([2]财务取数接口!$D$71=0,"",[2]财务取数接口!$D$71),""))</f>
        <v/>
      </c>
      <c r="E72" s="40" t="str">
        <f aca="false">IF($T$4=0,IF($L72="","",$L72),IFERROR(IF([2]财务取数接口!$E$71=0,"",[2]财务取数接口!$E$71),""))</f>
        <v>元</v>
      </c>
      <c r="F72" s="41" t="str">
        <f aca="false">IF($T$4=0,IF($M72="","",$M72),IFERROR(IF([2]财务取数接口!$G$71=0,"",[2]财务取数接口!$G$71),""))</f>
        <v/>
      </c>
      <c r="G72" s="41" t="str">
        <f aca="false">IF($T$4=0,IF($N72="","",$N72),IFERROR(IF([2]财务取数接口!$H$71=0,"",[2]财务取数接口!$H$71),""))</f>
        <v/>
      </c>
      <c r="H72" s="39" t="str">
        <f aca="false">IF($T$4=0,IF($O72="","",$O72),IFERROR(IF([2]财务取数接口!$I$71=0,"",[2]财务取数接口!$I$71),""))</f>
        <v/>
      </c>
      <c r="I72" s="42"/>
      <c r="J72" s="43"/>
      <c r="K72" s="42"/>
      <c r="L72" s="42"/>
      <c r="M72" s="44"/>
      <c r="N72" s="44"/>
      <c r="O72" s="43"/>
      <c r="P72" s="45" t="n">
        <f aca="false">IF(AND($C72&lt;&gt;"",$C72&lt;&gt;"项目",OR(N($D72)&lt;&gt;0,N($E72)&lt;&gt;0,N($F72)&lt;&gt;0)),1,0)</f>
        <v>0</v>
      </c>
      <c r="Q72" s="45" t="n">
        <f aca="false">N(Q71)+$P72</f>
        <v>0</v>
      </c>
    </row>
    <row r="73" customFormat="false" ht="13.5" hidden="false" customHeight="false" outlineLevel="0" collapsed="false">
      <c r="A73" s="9" t="n">
        <v>72</v>
      </c>
      <c r="B73" s="38" t="str">
        <f aca="false">IF($T$4=0,IF($I73="","",$I73),IFERROR(IF([2]财务取数接口!$B$72=0,"",[2]财务取数接口!$B$72),""))</f>
        <v/>
      </c>
      <c r="C73" s="39" t="str">
        <f aca="false">IF($T$4=0,IF($J73="","",$J73),IFERROR(IF([2]财务取数接口!$C$72=0,"",[2]财务取数接口!$C$72),""))</f>
        <v>押金收取</v>
      </c>
      <c r="D73" s="40" t="str">
        <f aca="false">IF($T$4=0,IF($K73="","",$K73),IFERROR(IF([2]财务取数接口!$D$72=0,"",[2]财务取数接口!$D$72),""))</f>
        <v/>
      </c>
      <c r="E73" s="40" t="str">
        <f aca="false">IF($T$4=0,IF($L73="","",$L73),IFERROR(IF([2]财务取数接口!$E$72=0,"",[2]财务取数接口!$E$72),""))</f>
        <v>元</v>
      </c>
      <c r="F73" s="41" t="str">
        <f aca="false">IF($T$4=0,IF($M73="","",$M73),IFERROR(IF([2]财务取数接口!$G$72=0,"",[2]财务取数接口!$G$72),""))</f>
        <v/>
      </c>
      <c r="G73" s="41" t="str">
        <f aca="false">IF($T$4=0,IF($N73="","",$N73),IFERROR(IF([2]财务取数接口!$H$72=0,"",[2]财务取数接口!$H$72),""))</f>
        <v/>
      </c>
      <c r="H73" s="39" t="str">
        <f aca="false">IF($T$4=0,IF($O73="","",$O73),IFERROR(IF([2]财务取数接口!$I$72=0,"",[2]财务取数接口!$I$72),""))</f>
        <v/>
      </c>
      <c r="I73" s="42"/>
      <c r="J73" s="43"/>
      <c r="K73" s="42"/>
      <c r="L73" s="42"/>
      <c r="M73" s="44"/>
      <c r="N73" s="44"/>
      <c r="O73" s="43"/>
      <c r="P73" s="45" t="n">
        <f aca="false">IF(AND($C73&lt;&gt;"",$C73&lt;&gt;"项目",OR(N($D73)&lt;&gt;0,N($E73)&lt;&gt;0,N($F73)&lt;&gt;0)),1,0)</f>
        <v>0</v>
      </c>
      <c r="Q73" s="45" t="n">
        <f aca="false">N(Q72)+$P73</f>
        <v>0</v>
      </c>
    </row>
    <row r="74" customFormat="false" ht="13.5" hidden="false" customHeight="false" outlineLevel="0" collapsed="false">
      <c r="A74" s="9" t="n">
        <v>73</v>
      </c>
      <c r="B74" s="38" t="str">
        <f aca="false">IF($T$4=0,IF($I74="","",$I74),IFERROR(IF([2]财务取数接口!$B$73=0,"",[2]财务取数接口!$B$73),""))</f>
        <v/>
      </c>
      <c r="C74" s="39" t="str">
        <f aca="false">IF($T$4=0,IF($J74="","",$J74),IFERROR(IF([2]财务取数接口!$C$73=0,"",[2]财务取数接口!$C$73),""))</f>
        <v>押金收取</v>
      </c>
      <c r="D74" s="40" t="str">
        <f aca="false">IF($T$4=0,IF($K74="","",$K74),IFERROR(IF([2]财务取数接口!$D$73=0,"",[2]财务取数接口!$D$73),""))</f>
        <v/>
      </c>
      <c r="E74" s="40" t="str">
        <f aca="false">IF($T$4=0,IF($L74="","",$L74),IFERROR(IF([2]财务取数接口!$E$73=0,"",[2]财务取数接口!$E$73),""))</f>
        <v>元</v>
      </c>
      <c r="F74" s="41" t="str">
        <f aca="false">IF($T$4=0,IF($M74="","",$M74),IFERROR(IF([2]财务取数接口!$G$73=0,"",[2]财务取数接口!$G$73),""))</f>
        <v/>
      </c>
      <c r="G74" s="41" t="str">
        <f aca="false">IF($T$4=0,IF($N74="","",$N74),IFERROR(IF([2]财务取数接口!$H$73=0,"",[2]财务取数接口!$H$73),""))</f>
        <v/>
      </c>
      <c r="H74" s="39" t="str">
        <f aca="false">IF($T$4=0,IF($O74="","",$O74),IFERROR(IF([2]财务取数接口!$I$73=0,"",[2]财务取数接口!$I$73),""))</f>
        <v/>
      </c>
      <c r="I74" s="42"/>
      <c r="J74" s="43"/>
      <c r="K74" s="42"/>
      <c r="L74" s="42"/>
      <c r="M74" s="44"/>
      <c r="N74" s="44"/>
      <c r="O74" s="43"/>
      <c r="P74" s="45" t="n">
        <f aca="false">IF(AND($C74&lt;&gt;"",$C74&lt;&gt;"项目",OR(N($D74)&lt;&gt;0,N($E74)&lt;&gt;0,N($F74)&lt;&gt;0)),1,0)</f>
        <v>0</v>
      </c>
      <c r="Q74" s="45" t="n">
        <f aca="false">N(Q73)+$P74</f>
        <v>0</v>
      </c>
    </row>
    <row r="75" customFormat="false" ht="13.5" hidden="false" customHeight="false" outlineLevel="0" collapsed="false">
      <c r="A75" s="9" t="n">
        <v>74</v>
      </c>
      <c r="B75" s="38" t="str">
        <f aca="false">IF($T$4=0,IF($I75="","",$I75),IFERROR(IF([2]财务取数接口!$B$74=0,"",[2]财务取数接口!$B$74),""))</f>
        <v/>
      </c>
      <c r="C75" s="39" t="str">
        <f aca="false">IF($T$4=0,IF($J75="","",$J75),IFERROR(IF([2]财务取数接口!$C$74=0,"",[2]财务取数接口!$C$74),""))</f>
        <v>押金收取</v>
      </c>
      <c r="D75" s="40" t="str">
        <f aca="false">IF($T$4=0,IF($K75="","",$K75),IFERROR(IF([2]财务取数接口!$D$74=0,"",[2]财务取数接口!$D$74),""))</f>
        <v/>
      </c>
      <c r="E75" s="40" t="str">
        <f aca="false">IF($T$4=0,IF($L75="","",$L75),IFERROR(IF([2]财务取数接口!$E$74=0,"",[2]财务取数接口!$E$74),""))</f>
        <v>元</v>
      </c>
      <c r="F75" s="41" t="str">
        <f aca="false">IF($T$4=0,IF($M75="","",$M75),IFERROR(IF([2]财务取数接口!$G$74=0,"",[2]财务取数接口!$G$74),""))</f>
        <v/>
      </c>
      <c r="G75" s="41" t="str">
        <f aca="false">IF($T$4=0,IF($N75="","",$N75),IFERROR(IF([2]财务取数接口!$H$74=0,"",[2]财务取数接口!$H$74),""))</f>
        <v/>
      </c>
      <c r="H75" s="39" t="str">
        <f aca="false">IF($T$4=0,IF($O75="","",$O75),IFERROR(IF([2]财务取数接口!$I$74=0,"",[2]财务取数接口!$I$74),""))</f>
        <v/>
      </c>
      <c r="I75" s="42"/>
      <c r="J75" s="43"/>
      <c r="K75" s="42"/>
      <c r="L75" s="42"/>
      <c r="M75" s="44"/>
      <c r="N75" s="44"/>
      <c r="O75" s="43"/>
      <c r="P75" s="45" t="n">
        <f aca="false">IF(AND($C75&lt;&gt;"",$C75&lt;&gt;"项目",OR(N($D75)&lt;&gt;0,N($E75)&lt;&gt;0,N($F75)&lt;&gt;0)),1,0)</f>
        <v>0</v>
      </c>
      <c r="Q75" s="45" t="n">
        <f aca="false">N(Q74)+$P75</f>
        <v>0</v>
      </c>
    </row>
    <row r="76" customFormat="false" ht="13.5" hidden="false" customHeight="false" outlineLevel="0" collapsed="false">
      <c r="A76" s="9" t="n">
        <v>75</v>
      </c>
      <c r="B76" s="38" t="str">
        <f aca="false">IF($T$4=0,IF($I76="","",$I76),IFERROR(IF([2]财务取数接口!$B$75=0,"",[2]财务取数接口!$B$75),""))</f>
        <v/>
      </c>
      <c r="C76" s="39" t="str">
        <f aca="false">IF($T$4=0,IF($J76="","",$J76),IFERROR(IF([2]财务取数接口!$C$75=0,"",[2]财务取数接口!$C$75),""))</f>
        <v>押金收取</v>
      </c>
      <c r="D76" s="40" t="str">
        <f aca="false">IF($T$4=0,IF($K76="","",$K76),IFERROR(IF([2]财务取数接口!$D$75=0,"",[2]财务取数接口!$D$75),""))</f>
        <v/>
      </c>
      <c r="E76" s="40" t="str">
        <f aca="false">IF($T$4=0,IF($L76="","",$L76),IFERROR(IF([2]财务取数接口!$E$75=0,"",[2]财务取数接口!$E$75),""))</f>
        <v>元</v>
      </c>
      <c r="F76" s="41" t="str">
        <f aca="false">IF($T$4=0,IF($M76="","",$M76),IFERROR(IF([2]财务取数接口!$G$75=0,"",[2]财务取数接口!$G$75),""))</f>
        <v/>
      </c>
      <c r="G76" s="41" t="str">
        <f aca="false">IF($T$4=0,IF($N76="","",$N76),IFERROR(IF([2]财务取数接口!$H$75=0,"",[2]财务取数接口!$H$75),""))</f>
        <v/>
      </c>
      <c r="H76" s="39" t="str">
        <f aca="false">IF($T$4=0,IF($O76="","",$O76),IFERROR(IF([2]财务取数接口!$I$75=0,"",[2]财务取数接口!$I$75),""))</f>
        <v/>
      </c>
      <c r="I76" s="42"/>
      <c r="J76" s="43"/>
      <c r="K76" s="42"/>
      <c r="L76" s="42"/>
      <c r="M76" s="44"/>
      <c r="N76" s="44"/>
      <c r="O76" s="43"/>
      <c r="P76" s="45" t="n">
        <f aca="false">IF(AND($C76&lt;&gt;"",$C76&lt;&gt;"项目",OR(N($D76)&lt;&gt;0,N($E76)&lt;&gt;0,N($F76)&lt;&gt;0)),1,0)</f>
        <v>0</v>
      </c>
      <c r="Q76" s="45" t="n">
        <f aca="false">N(Q75)+$P76</f>
        <v>0</v>
      </c>
    </row>
    <row r="77" customFormat="false" ht="13.5" hidden="false" customHeight="false" outlineLevel="0" collapsed="false">
      <c r="A77" s="9" t="n">
        <v>76</v>
      </c>
      <c r="B77" s="38" t="str">
        <f aca="false">IF($T$4=0,IF($I77="","",$I77),IFERROR(IF([2]财务取数接口!$B$76=0,"",[2]财务取数接口!$B$76),""))</f>
        <v/>
      </c>
      <c r="C77" s="39" t="str">
        <f aca="false">IF($T$4=0,IF($J77="","",$J77),IFERROR(IF([2]财务取数接口!$C$76=0,"",[2]财务取数接口!$C$76),""))</f>
        <v>押金退还</v>
      </c>
      <c r="D77" s="40" t="str">
        <f aca="false">IF($T$4=0,IF($K77="","",$K77),IFERROR(IF([2]财务取数接口!$D$76=0,"",[2]财务取数接口!$D$76),""))</f>
        <v/>
      </c>
      <c r="E77" s="40" t="str">
        <f aca="false">IF($T$4=0,IF($L77="","",$L77),IFERROR(IF([2]财务取数接口!$E$76=0,"",[2]财务取数接口!$E$76),""))</f>
        <v>元</v>
      </c>
      <c r="F77" s="41" t="str">
        <f aca="false">IF($T$4=0,IF($M77="","",$M77),IFERROR(IF([2]财务取数接口!$G$76=0,"",[2]财务取数接口!$G$76),""))</f>
        <v/>
      </c>
      <c r="G77" s="41" t="str">
        <f aca="false">IF($T$4=0,IF($N77="","",$N77),IFERROR(IF([2]财务取数接口!$H$76=0,"",[2]财务取数接口!$H$76),""))</f>
        <v/>
      </c>
      <c r="H77" s="39" t="str">
        <f aca="false">IF($T$4=0,IF($O77="","",$O77),IFERROR(IF([2]财务取数接口!$I$76=0,"",[2]财务取数接口!$I$76),""))</f>
        <v/>
      </c>
      <c r="I77" s="42"/>
      <c r="J77" s="43"/>
      <c r="K77" s="42"/>
      <c r="L77" s="42"/>
      <c r="M77" s="44"/>
      <c r="N77" s="44"/>
      <c r="O77" s="43"/>
      <c r="P77" s="45" t="n">
        <f aca="false">IF(AND($C77&lt;&gt;"",$C77&lt;&gt;"项目",OR(N($D77)&lt;&gt;0,N($E77)&lt;&gt;0,N($F77)&lt;&gt;0)),1,0)</f>
        <v>0</v>
      </c>
      <c r="Q77" s="45" t="n">
        <f aca="false">N(Q76)+$P77</f>
        <v>0</v>
      </c>
    </row>
    <row r="78" customFormat="false" ht="13.5" hidden="false" customHeight="false" outlineLevel="0" collapsed="false">
      <c r="A78" s="9" t="n">
        <v>77</v>
      </c>
      <c r="B78" s="38" t="str">
        <f aca="false">IF($T$4=0,IF($I78="","",$I78),IFERROR(IF([2]财务取数接口!$B$77=0,"",[2]财务取数接口!$B$77),""))</f>
        <v/>
      </c>
      <c r="C78" s="39" t="str">
        <f aca="false">IF($T$4=0,IF($J78="","",$J78),IFERROR(IF([2]财务取数接口!$C$77=0,"",[2]财务取数接口!$C$77),""))</f>
        <v>押金退还</v>
      </c>
      <c r="D78" s="40" t="str">
        <f aca="false">IF($T$4=0,IF($K78="","",$K78),IFERROR(IF([2]财务取数接口!$D$77=0,"",[2]财务取数接口!$D$77),""))</f>
        <v/>
      </c>
      <c r="E78" s="40" t="str">
        <f aca="false">IF($T$4=0,IF($L78="","",$L78),IFERROR(IF([2]财务取数接口!$E$77=0,"",[2]财务取数接口!$E$77),""))</f>
        <v>元</v>
      </c>
      <c r="F78" s="41" t="str">
        <f aca="false">IF($T$4=0,IF($M78="","",$M78),IFERROR(IF([2]财务取数接口!$G$77=0,"",[2]财务取数接口!$G$77),""))</f>
        <v/>
      </c>
      <c r="G78" s="41" t="str">
        <f aca="false">IF($T$4=0,IF($N78="","",$N78),IFERROR(IF([2]财务取数接口!$H$77=0,"",[2]财务取数接口!$H$77),""))</f>
        <v/>
      </c>
      <c r="H78" s="39" t="str">
        <f aca="false">IF($T$4=0,IF($O78="","",$O78),IFERROR(IF([2]财务取数接口!$I$77=0,"",[2]财务取数接口!$I$77),""))</f>
        <v/>
      </c>
      <c r="I78" s="42"/>
      <c r="J78" s="43"/>
      <c r="K78" s="42"/>
      <c r="L78" s="42"/>
      <c r="M78" s="44"/>
      <c r="N78" s="44"/>
      <c r="O78" s="43"/>
      <c r="P78" s="45" t="n">
        <f aca="false">IF(AND($C78&lt;&gt;"",$C78&lt;&gt;"项目",OR(N($D78)&lt;&gt;0,N($E78)&lt;&gt;0,N($F78)&lt;&gt;0)),1,0)</f>
        <v>0</v>
      </c>
      <c r="Q78" s="45" t="n">
        <f aca="false">N(Q77)+$P78</f>
        <v>0</v>
      </c>
    </row>
    <row r="79" customFormat="false" ht="13.5" hidden="false" customHeight="false" outlineLevel="0" collapsed="false">
      <c r="A79" s="9" t="n">
        <v>78</v>
      </c>
      <c r="B79" s="38" t="str">
        <f aca="false">IF($T$4=0,IF($I79="","",$I79),IFERROR(IF([2]财务取数接口!$B$78=0,"",[2]财务取数接口!$B$78),""))</f>
        <v/>
      </c>
      <c r="C79" s="39" t="str">
        <f aca="false">IF($T$4=0,IF($J79="","",$J79),IFERROR(IF([2]财务取数接口!$C$78=0,"",[2]财务取数接口!$C$78),""))</f>
        <v>押金退还</v>
      </c>
      <c r="D79" s="40" t="str">
        <f aca="false">IF($T$4=0,IF($K79="","",$K79),IFERROR(IF([2]财务取数接口!$D$78=0,"",[2]财务取数接口!$D$78),""))</f>
        <v/>
      </c>
      <c r="E79" s="40" t="str">
        <f aca="false">IF($T$4=0,IF($L79="","",$L79),IFERROR(IF([2]财务取数接口!$E$78=0,"",[2]财务取数接口!$E$78),""))</f>
        <v>元</v>
      </c>
      <c r="F79" s="41" t="str">
        <f aca="false">IF($T$4=0,IF($M79="","",$M79),IFERROR(IF([2]财务取数接口!$G$78=0,"",[2]财务取数接口!$G$78),""))</f>
        <v/>
      </c>
      <c r="G79" s="41" t="str">
        <f aca="false">IF($T$4=0,IF($N79="","",$N79),IFERROR(IF([2]财务取数接口!$H$78=0,"",[2]财务取数接口!$H$78),""))</f>
        <v/>
      </c>
      <c r="H79" s="39" t="str">
        <f aca="false">IF($T$4=0,IF($O79="","",$O79),IFERROR(IF([2]财务取数接口!$I$78=0,"",[2]财务取数接口!$I$78),""))</f>
        <v/>
      </c>
      <c r="I79" s="42"/>
      <c r="J79" s="43"/>
      <c r="K79" s="42"/>
      <c r="L79" s="42"/>
      <c r="M79" s="44"/>
      <c r="N79" s="44"/>
      <c r="O79" s="43"/>
      <c r="P79" s="45" t="n">
        <f aca="false">IF(AND($C79&lt;&gt;"",$C79&lt;&gt;"项目",OR(N($D79)&lt;&gt;0,N($E79)&lt;&gt;0,N($F79)&lt;&gt;0)),1,0)</f>
        <v>0</v>
      </c>
      <c r="Q79" s="45" t="n">
        <f aca="false">N(Q78)+$P79</f>
        <v>0</v>
      </c>
    </row>
    <row r="80" customFormat="false" ht="13.5" hidden="false" customHeight="false" outlineLevel="0" collapsed="false">
      <c r="A80" s="9" t="n">
        <v>79</v>
      </c>
      <c r="B80" s="38" t="str">
        <f aca="false">IF($T$4=0,IF($I80="","",$I80),IFERROR(IF([2]财务取数接口!$B$79=0,"",[2]财务取数接口!$B$79),""))</f>
        <v/>
      </c>
      <c r="C80" s="39" t="str">
        <f aca="false">IF($T$4=0,IF($J80="","",$J80),IFERROR(IF([2]财务取数接口!$C$79=0,"",[2]财务取数接口!$C$79),""))</f>
        <v>押金退还</v>
      </c>
      <c r="D80" s="40" t="str">
        <f aca="false">IF($T$4=0,IF($K80="","",$K80),IFERROR(IF([2]财务取数接口!$D$79=0,"",[2]财务取数接口!$D$79),""))</f>
        <v/>
      </c>
      <c r="E80" s="40" t="str">
        <f aca="false">IF($T$4=0,IF($L80="","",$L80),IFERROR(IF([2]财务取数接口!$E$79=0,"",[2]财务取数接口!$E$79),""))</f>
        <v>元</v>
      </c>
      <c r="F80" s="41" t="str">
        <f aca="false">IF($T$4=0,IF($M80="","",$M80),IFERROR(IF([2]财务取数接口!$G$79=0,"",[2]财务取数接口!$G$79),""))</f>
        <v/>
      </c>
      <c r="G80" s="41" t="str">
        <f aca="false">IF($T$4=0,IF($N80="","",$N80),IFERROR(IF([2]财务取数接口!$H$79=0,"",[2]财务取数接口!$H$79),""))</f>
        <v/>
      </c>
      <c r="H80" s="39" t="str">
        <f aca="false">IF($T$4=0,IF($O80="","",$O80),IFERROR(IF([2]财务取数接口!$I$79=0,"",[2]财务取数接口!$I$79),""))</f>
        <v/>
      </c>
      <c r="I80" s="42"/>
      <c r="J80" s="43"/>
      <c r="K80" s="42"/>
      <c r="L80" s="42"/>
      <c r="M80" s="44"/>
      <c r="N80" s="44"/>
      <c r="O80" s="43"/>
      <c r="P80" s="45" t="n">
        <f aca="false">IF(AND($C80&lt;&gt;"",$C80&lt;&gt;"项目",OR(N($D80)&lt;&gt;0,N($E80)&lt;&gt;0,N($F80)&lt;&gt;0)),1,0)</f>
        <v>0</v>
      </c>
      <c r="Q80" s="45" t="n">
        <f aca="false">N(Q79)+$P80</f>
        <v>0</v>
      </c>
    </row>
    <row r="81" customFormat="false" ht="13.5" hidden="false" customHeight="false" outlineLevel="0" collapsed="false">
      <c r="A81" s="9" t="n">
        <v>80</v>
      </c>
      <c r="B81" s="38" t="str">
        <f aca="false">IF($T$4=0,IF($I81="","",$I81),IFERROR(IF([2]财务取数接口!$B$80=0,"",[2]财务取数接口!$B$80),""))</f>
        <v/>
      </c>
      <c r="C81" s="39" t="str">
        <f aca="false">IF($T$4=0,IF($J81="","",$J81),IFERROR(IF([2]财务取数接口!$C$80=0,"",[2]财务取数接口!$C$80),""))</f>
        <v>押金退还</v>
      </c>
      <c r="D81" s="40" t="str">
        <f aca="false">IF($T$4=0,IF($K81="","",$K81),IFERROR(IF([2]财务取数接口!$D$80=0,"",[2]财务取数接口!$D$80),""))</f>
        <v/>
      </c>
      <c r="E81" s="40" t="str">
        <f aca="false">IF($T$4=0,IF($L81="","",$L81),IFERROR(IF([2]财务取数接口!$E$80=0,"",[2]财务取数接口!$E$80),""))</f>
        <v>元</v>
      </c>
      <c r="F81" s="41" t="str">
        <f aca="false">IF($T$4=0,IF($M81="","",$M81),IFERROR(IF([2]财务取数接口!$G$80=0,"",[2]财务取数接口!$G$80),""))</f>
        <v/>
      </c>
      <c r="G81" s="41" t="str">
        <f aca="false">IF($T$4=0,IF($N81="","",$N81),IFERROR(IF([2]财务取数接口!$H$80=0,"",[2]财务取数接口!$H$80),""))</f>
        <v/>
      </c>
      <c r="H81" s="39" t="str">
        <f aca="false">IF($T$4=0,IF($O81="","",$O81),IFERROR(IF([2]财务取数接口!$I$80=0,"",[2]财务取数接口!$I$80),""))</f>
        <v/>
      </c>
      <c r="I81" s="42"/>
      <c r="J81" s="43"/>
      <c r="K81" s="42"/>
      <c r="L81" s="42"/>
      <c r="M81" s="44"/>
      <c r="N81" s="44"/>
      <c r="O81" s="43"/>
      <c r="P81" s="45" t="n">
        <f aca="false">IF(AND($C81&lt;&gt;"",$C81&lt;&gt;"项目",OR(N($D81)&lt;&gt;0,N($E81)&lt;&gt;0,N($F81)&lt;&gt;0)),1,0)</f>
        <v>0</v>
      </c>
      <c r="Q81" s="45" t="n">
        <f aca="false">N(Q80)+$P81</f>
        <v>0</v>
      </c>
    </row>
    <row r="82" customFormat="false" ht="13.5" hidden="false" customHeight="false" outlineLevel="0" collapsed="false">
      <c r="A82" s="9" t="n">
        <v>81</v>
      </c>
      <c r="B82" s="38" t="str">
        <f aca="false">IF($T$4=0,IF($I82="","",$I82),IFERROR(IF([2]财务取数接口!$B$81=0,"",[2]财务取数接口!$B$81),""))</f>
        <v/>
      </c>
      <c r="C82" s="39" t="str">
        <f aca="false">IF($T$4=0,IF($J82="","",$J82),IFERROR(IF([2]财务取数接口!$C$81=0,"",[2]财务取数接口!$C$81),""))</f>
        <v>押金退还</v>
      </c>
      <c r="D82" s="40" t="str">
        <f aca="false">IF($T$4=0,IF($K82="","",$K82),IFERROR(IF([2]财务取数接口!$D$81=0,"",[2]财务取数接口!$D$81),""))</f>
        <v/>
      </c>
      <c r="E82" s="40" t="str">
        <f aca="false">IF($T$4=0,IF($L82="","",$L82),IFERROR(IF([2]财务取数接口!$E$81=0,"",[2]财务取数接口!$E$81),""))</f>
        <v>元</v>
      </c>
      <c r="F82" s="41" t="str">
        <f aca="false">IF($T$4=0,IF($M82="","",$M82),IFERROR(IF([2]财务取数接口!$G$81=0,"",[2]财务取数接口!$G$81),""))</f>
        <v/>
      </c>
      <c r="G82" s="41" t="str">
        <f aca="false">IF($T$4=0,IF($N82="","",$N82),IFERROR(IF([2]财务取数接口!$H$81=0,"",[2]财务取数接口!$H$81),""))</f>
        <v/>
      </c>
      <c r="H82" s="39" t="str">
        <f aca="false">IF($T$4=0,IF($O82="","",$O82),IFERROR(IF([2]财务取数接口!$I$81=0,"",[2]财务取数接口!$I$81),""))</f>
        <v/>
      </c>
      <c r="I82" s="42"/>
      <c r="J82" s="43"/>
      <c r="K82" s="42"/>
      <c r="L82" s="42"/>
      <c r="M82" s="44"/>
      <c r="N82" s="44"/>
      <c r="O82" s="43"/>
      <c r="P82" s="45" t="n">
        <f aca="false">IF(AND($C82&lt;&gt;"",$C82&lt;&gt;"项目",OR(N($D82)&lt;&gt;0,N($E82)&lt;&gt;0,N($F82)&lt;&gt;0)),1,0)</f>
        <v>0</v>
      </c>
      <c r="Q82" s="45" t="n">
        <f aca="false">N(Q81)+$P82</f>
        <v>0</v>
      </c>
    </row>
    <row r="83" customFormat="false" ht="13.5" hidden="false" customHeight="false" outlineLevel="0" collapsed="false">
      <c r="A83" s="9" t="n">
        <v>82</v>
      </c>
      <c r="B83" s="38" t="str">
        <f aca="false">IF($T$4=0,IF($I83="","",$I83),IFERROR(IF([2]财务取数接口!$B$82=0,"",[2]财务取数接口!$B$82),""))</f>
        <v/>
      </c>
      <c r="C83" s="39" t="str">
        <f aca="false">IF($T$4=0,IF($J83="","",$J83),IFERROR(IF([2]财务取数接口!$C$82=0,"",[2]财务取数接口!$C$82),""))</f>
        <v>押金退还</v>
      </c>
      <c r="D83" s="40" t="str">
        <f aca="false">IF($T$4=0,IF($K83="","",$K83),IFERROR(IF([2]财务取数接口!$D$82=0,"",[2]财务取数接口!$D$82),""))</f>
        <v/>
      </c>
      <c r="E83" s="40" t="str">
        <f aca="false">IF($T$4=0,IF($L83="","",$L83),IFERROR(IF([2]财务取数接口!$E$82=0,"",[2]财务取数接口!$E$82),""))</f>
        <v>元</v>
      </c>
      <c r="F83" s="41" t="str">
        <f aca="false">IF($T$4=0,IF($M83="","",$M83),IFERROR(IF([2]财务取数接口!$G$82=0,"",[2]财务取数接口!$G$82),""))</f>
        <v/>
      </c>
      <c r="G83" s="41" t="str">
        <f aca="false">IF($T$4=0,IF($N83="","",$N83),IFERROR(IF([2]财务取数接口!$H$82=0,"",[2]财务取数接口!$H$82),""))</f>
        <v/>
      </c>
      <c r="H83" s="39" t="str">
        <f aca="false">IF($T$4=0,IF($O83="","",$O83),IFERROR(IF([2]财务取数接口!$I$82=0,"",[2]财务取数接口!$I$82),""))</f>
        <v/>
      </c>
      <c r="I83" s="42"/>
      <c r="J83" s="43"/>
      <c r="K83" s="42"/>
      <c r="L83" s="42"/>
      <c r="M83" s="44"/>
      <c r="N83" s="44"/>
      <c r="O83" s="43"/>
      <c r="P83" s="45" t="n">
        <f aca="false">IF(AND($C83&lt;&gt;"",$C83&lt;&gt;"项目",OR(N($D83)&lt;&gt;0,N($E83)&lt;&gt;0,N($F83)&lt;&gt;0)),1,0)</f>
        <v>0</v>
      </c>
      <c r="Q83" s="45" t="n">
        <f aca="false">N(Q82)+$P83</f>
        <v>0</v>
      </c>
    </row>
    <row r="84" customFormat="false" ht="13.5" hidden="false" customHeight="false" outlineLevel="0" collapsed="false">
      <c r="A84" s="9" t="n">
        <v>83</v>
      </c>
      <c r="B84" s="38" t="str">
        <f aca="false">IF($T$4=0,IF($I84="","",$I84),IFERROR(IF([2]财务取数接口!$B$83=0,"",[2]财务取数接口!$B$83),""))</f>
        <v/>
      </c>
      <c r="C84" s="39" t="str">
        <f aca="false">IF($T$4=0,IF($J84="","",$J84),IFERROR(IF([2]财务取数接口!$C$83=0,"",[2]财务取数接口!$C$83),""))</f>
        <v>押金退还</v>
      </c>
      <c r="D84" s="40" t="str">
        <f aca="false">IF($T$4=0,IF($K84="","",$K84),IFERROR(IF([2]财务取数接口!$D$83=0,"",[2]财务取数接口!$D$83),""))</f>
        <v/>
      </c>
      <c r="E84" s="40" t="str">
        <f aca="false">IF($T$4=0,IF($L84="","",$L84),IFERROR(IF([2]财务取数接口!$E$83=0,"",[2]财务取数接口!$E$83),""))</f>
        <v>元</v>
      </c>
      <c r="F84" s="41" t="str">
        <f aca="false">IF($T$4=0,IF($M84="","",$M84),IFERROR(IF([2]财务取数接口!$G$83=0,"",[2]财务取数接口!$G$83),""))</f>
        <v/>
      </c>
      <c r="G84" s="41" t="str">
        <f aca="false">IF($T$4=0,IF($N84="","",$N84),IFERROR(IF([2]财务取数接口!$H$83=0,"",[2]财务取数接口!$H$83),""))</f>
        <v/>
      </c>
      <c r="H84" s="39" t="str">
        <f aca="false">IF($T$4=0,IF($O84="","",$O84),IFERROR(IF([2]财务取数接口!$I$83=0,"",[2]财务取数接口!$I$83),""))</f>
        <v/>
      </c>
      <c r="I84" s="42"/>
      <c r="J84" s="43"/>
      <c r="K84" s="42"/>
      <c r="L84" s="42"/>
      <c r="M84" s="44"/>
      <c r="N84" s="44"/>
      <c r="O84" s="43"/>
      <c r="P84" s="45" t="n">
        <f aca="false">IF(AND($C84&lt;&gt;"",$C84&lt;&gt;"项目",OR(N($D84)&lt;&gt;0,N($E84)&lt;&gt;0,N($F84)&lt;&gt;0)),1,0)</f>
        <v>0</v>
      </c>
      <c r="Q84" s="45" t="n">
        <f aca="false">N(Q83)+$P84</f>
        <v>0</v>
      </c>
    </row>
    <row r="85" customFormat="false" ht="13.5" hidden="false" customHeight="false" outlineLevel="0" collapsed="false">
      <c r="A85" s="9" t="n">
        <v>84</v>
      </c>
      <c r="B85" s="38" t="str">
        <f aca="false">IF($T$4=0,IF($I85="","",$I85),IFERROR(IF([2]财务取数接口!$B$84=0,"",[2]财务取数接口!$B$84),""))</f>
        <v/>
      </c>
      <c r="C85" s="39" t="str">
        <f aca="false">IF($T$4=0,IF($J85="","",$J85),IFERROR(IF([2]财务取数接口!$C$84=0,"",[2]财务取数接口!$C$84),""))</f>
        <v>押金退还</v>
      </c>
      <c r="D85" s="40" t="str">
        <f aca="false">IF($T$4=0,IF($K85="","",$K85),IFERROR(IF([2]财务取数接口!$D$84=0,"",[2]财务取数接口!$D$84),""))</f>
        <v/>
      </c>
      <c r="E85" s="40" t="str">
        <f aca="false">IF($T$4=0,IF($L85="","",$L85),IFERROR(IF([2]财务取数接口!$E$84=0,"",[2]财务取数接口!$E$84),""))</f>
        <v>元</v>
      </c>
      <c r="F85" s="41" t="str">
        <f aca="false">IF($T$4=0,IF($M85="","",$M85),IFERROR(IF([2]财务取数接口!$G$84=0,"",[2]财务取数接口!$G$84),""))</f>
        <v/>
      </c>
      <c r="G85" s="41" t="str">
        <f aca="false">IF($T$4=0,IF($N85="","",$N85),IFERROR(IF([2]财务取数接口!$H$84=0,"",[2]财务取数接口!$H$84),""))</f>
        <v/>
      </c>
      <c r="H85" s="39" t="str">
        <f aca="false">IF($T$4=0,IF($O85="","",$O85),IFERROR(IF([2]财务取数接口!$I$84=0,"",[2]财务取数接口!$I$84),""))</f>
        <v/>
      </c>
      <c r="I85" s="42"/>
      <c r="J85" s="43"/>
      <c r="K85" s="42"/>
      <c r="L85" s="42"/>
      <c r="M85" s="44"/>
      <c r="N85" s="44"/>
      <c r="O85" s="43"/>
      <c r="P85" s="45" t="n">
        <f aca="false">IF(AND($C85&lt;&gt;"",$C85&lt;&gt;"项目",OR(N($D85)&lt;&gt;0,N($E85)&lt;&gt;0,N($F85)&lt;&gt;0)),1,0)</f>
        <v>0</v>
      </c>
      <c r="Q85" s="45" t="n">
        <f aca="false">N(Q84)+$P85</f>
        <v>0</v>
      </c>
    </row>
    <row r="86" customFormat="false" ht="13.5" hidden="false" customHeight="false" outlineLevel="0" collapsed="false">
      <c r="A86" s="9" t="n">
        <v>85</v>
      </c>
      <c r="B86" s="38" t="str">
        <f aca="false">IF($T$4=0,IF($I86="","",$I86),IFERROR(IF([2]财务取数接口!$B$85=0,"",[2]财务取数接口!$B$85),""))</f>
        <v/>
      </c>
      <c r="C86" s="39" t="str">
        <f aca="false">IF($T$4=0,IF($J86="","",$J86),IFERROR(IF([2]财务取数接口!$C$85=0,"",[2]财务取数接口!$C$85),""))</f>
        <v>押金退还</v>
      </c>
      <c r="D86" s="40" t="str">
        <f aca="false">IF($T$4=0,IF($K86="","",$K86),IFERROR(IF([2]财务取数接口!$D$85=0,"",[2]财务取数接口!$D$85),""))</f>
        <v/>
      </c>
      <c r="E86" s="40" t="str">
        <f aca="false">IF($T$4=0,IF($L86="","",$L86),IFERROR(IF([2]财务取数接口!$E$85=0,"",[2]财务取数接口!$E$85),""))</f>
        <v>元</v>
      </c>
      <c r="F86" s="41" t="str">
        <f aca="false">IF($T$4=0,IF($M86="","",$M86),IFERROR(IF([2]财务取数接口!$G$85=0,"",[2]财务取数接口!$G$85),""))</f>
        <v/>
      </c>
      <c r="G86" s="41" t="str">
        <f aca="false">IF($T$4=0,IF($N86="","",$N86),IFERROR(IF([2]财务取数接口!$H$85=0,"",[2]财务取数接口!$H$85),""))</f>
        <v/>
      </c>
      <c r="H86" s="39" t="str">
        <f aca="false">IF($T$4=0,IF($O86="","",$O86),IFERROR(IF([2]财务取数接口!$I$85=0,"",[2]财务取数接口!$I$85),""))</f>
        <v/>
      </c>
      <c r="I86" s="42"/>
      <c r="J86" s="43"/>
      <c r="K86" s="42"/>
      <c r="L86" s="42"/>
      <c r="M86" s="44"/>
      <c r="N86" s="44"/>
      <c r="O86" s="43"/>
      <c r="P86" s="45" t="n">
        <f aca="false">IF(AND($C86&lt;&gt;"",$C86&lt;&gt;"项目",OR(N($D86)&lt;&gt;0,N($E86)&lt;&gt;0,N($F86)&lt;&gt;0)),1,0)</f>
        <v>0</v>
      </c>
      <c r="Q86" s="45" t="n">
        <f aca="false">N(Q85)+$P86</f>
        <v>0</v>
      </c>
    </row>
    <row r="87" customFormat="false" ht="13.5" hidden="false" customHeight="false" outlineLevel="0" collapsed="false">
      <c r="A87" s="9" t="n">
        <v>86</v>
      </c>
      <c r="B87" s="38" t="str">
        <f aca="false">IF($T$4=0,IF($I87="","",$I87),IFERROR(IF([2]财务取数接口!$B$86=0,"",[2]财务取数接口!$B$86),""))</f>
        <v/>
      </c>
      <c r="C87" s="39" t="str">
        <f aca="false">IF($T$4=0,IF($J87="","",$J87),IFERROR(IF([2]财务取数接口!$C$86=0,"",[2]财务取数接口!$C$86),""))</f>
        <v>押金退还</v>
      </c>
      <c r="D87" s="40" t="str">
        <f aca="false">IF($T$4=0,IF($K87="","",$K87),IFERROR(IF([2]财务取数接口!$D$86=0,"",[2]财务取数接口!$D$86),""))</f>
        <v/>
      </c>
      <c r="E87" s="40" t="str">
        <f aca="false">IF($T$4=0,IF($L87="","",$L87),IFERROR(IF([2]财务取数接口!$E$86=0,"",[2]财务取数接口!$E$86),""))</f>
        <v>元</v>
      </c>
      <c r="F87" s="41" t="str">
        <f aca="false">IF($T$4=0,IF($M87="","",$M87),IFERROR(IF([2]财务取数接口!$G$86=0,"",[2]财务取数接口!$G$86),""))</f>
        <v/>
      </c>
      <c r="G87" s="41" t="str">
        <f aca="false">IF($T$4=0,IF($N87="","",$N87),IFERROR(IF([2]财务取数接口!$H$86=0,"",[2]财务取数接口!$H$86),""))</f>
        <v/>
      </c>
      <c r="H87" s="39" t="str">
        <f aca="false">IF($T$4=0,IF($O87="","",$O87),IFERROR(IF([2]财务取数接口!$I$86=0,"",[2]财务取数接口!$I$86),""))</f>
        <v/>
      </c>
      <c r="I87" s="42"/>
      <c r="J87" s="43"/>
      <c r="K87" s="42"/>
      <c r="L87" s="42"/>
      <c r="M87" s="44"/>
      <c r="N87" s="44"/>
      <c r="O87" s="43"/>
      <c r="P87" s="45" t="n">
        <f aca="false">IF(AND($C87&lt;&gt;"",$C87&lt;&gt;"项目",OR(N($D87)&lt;&gt;0,N($E87)&lt;&gt;0,N($F87)&lt;&gt;0)),1,0)</f>
        <v>0</v>
      </c>
      <c r="Q87" s="45" t="n">
        <f aca="false">N(Q86)+$P87</f>
        <v>0</v>
      </c>
    </row>
    <row r="88" customFormat="false" ht="13.5" hidden="false" customHeight="false" outlineLevel="0" collapsed="false">
      <c r="A88" s="9" t="n">
        <v>87</v>
      </c>
      <c r="B88" s="38" t="str">
        <f aca="false">IF($T$4=0,IF($I88="","",$I88),IFERROR(IF([2]财务取数接口!$B$87=0,"",[2]财务取数接口!$B$87),""))</f>
        <v/>
      </c>
      <c r="C88" s="39" t="str">
        <f aca="false">IF($T$4=0,IF($J88="","",$J88),IFERROR(IF([2]财务取数接口!$C$87=0,"",[2]财务取数接口!$C$87),""))</f>
        <v>押金退还</v>
      </c>
      <c r="D88" s="40" t="str">
        <f aca="false">IF($T$4=0,IF($K88="","",$K88),IFERROR(IF([2]财务取数接口!$D$87=0,"",[2]财务取数接口!$D$87),""))</f>
        <v/>
      </c>
      <c r="E88" s="40" t="str">
        <f aca="false">IF($T$4=0,IF($L88="","",$L88),IFERROR(IF([2]财务取数接口!$E$87=0,"",[2]财务取数接口!$E$87),""))</f>
        <v>元</v>
      </c>
      <c r="F88" s="41" t="str">
        <f aca="false">IF($T$4=0,IF($M88="","",$M88),IFERROR(IF([2]财务取数接口!$G$87=0,"",[2]财务取数接口!$G$87),""))</f>
        <v/>
      </c>
      <c r="G88" s="41" t="str">
        <f aca="false">IF($T$4=0,IF($N88="","",$N88),IFERROR(IF([2]财务取数接口!$H$87=0,"",[2]财务取数接口!$H$87),""))</f>
        <v/>
      </c>
      <c r="H88" s="39" t="str">
        <f aca="false">IF($T$4=0,IF($O88="","",$O88),IFERROR(IF([2]财务取数接口!$I$87=0,"",[2]财务取数接口!$I$87),""))</f>
        <v/>
      </c>
      <c r="I88" s="42"/>
      <c r="J88" s="43"/>
      <c r="K88" s="42"/>
      <c r="L88" s="42"/>
      <c r="M88" s="44"/>
      <c r="N88" s="44"/>
      <c r="O88" s="43"/>
      <c r="P88" s="45" t="n">
        <f aca="false">IF(AND($C88&lt;&gt;"",$C88&lt;&gt;"项目",OR(N($D88)&lt;&gt;0,N($E88)&lt;&gt;0,N($F88)&lt;&gt;0)),1,0)</f>
        <v>0</v>
      </c>
      <c r="Q88" s="45" t="n">
        <f aca="false">N(Q87)+$P88</f>
        <v>0</v>
      </c>
    </row>
    <row r="89" customFormat="false" ht="13.5" hidden="false" customHeight="false" outlineLevel="0" collapsed="false">
      <c r="A89" s="9" t="n">
        <v>88</v>
      </c>
      <c r="B89" s="38" t="str">
        <f aca="false">IF($T$4=0,IF($I89="","",$I89),IFERROR(IF([2]财务取数接口!$B$88=0,"",[2]财务取数接口!$B$88),""))</f>
        <v/>
      </c>
      <c r="C89" s="39" t="str">
        <f aca="false">IF($T$4=0,IF($J89="","",$J89),IFERROR(IF([2]财务取数接口!$C$88=0,"",[2]财务取数接口!$C$88),""))</f>
        <v>押金退还</v>
      </c>
      <c r="D89" s="40" t="str">
        <f aca="false">IF($T$4=0,IF($K89="","",$K89),IFERROR(IF([2]财务取数接口!$D$88=0,"",[2]财务取数接口!$D$88),""))</f>
        <v/>
      </c>
      <c r="E89" s="40" t="str">
        <f aca="false">IF($T$4=0,IF($L89="","",$L89),IFERROR(IF([2]财务取数接口!$E$88=0,"",[2]财务取数接口!$E$88),""))</f>
        <v>元</v>
      </c>
      <c r="F89" s="41" t="str">
        <f aca="false">IF($T$4=0,IF($M89="","",$M89),IFERROR(IF([2]财务取数接口!$G$88=0,"",[2]财务取数接口!$G$88),""))</f>
        <v/>
      </c>
      <c r="G89" s="41" t="str">
        <f aca="false">IF($T$4=0,IF($N89="","",$N89),IFERROR(IF([2]财务取数接口!$H$88=0,"",[2]财务取数接口!$H$88),""))</f>
        <v/>
      </c>
      <c r="H89" s="39" t="str">
        <f aca="false">IF($T$4=0,IF($O89="","",$O89),IFERROR(IF([2]财务取数接口!$I$88=0,"",[2]财务取数接口!$I$88),""))</f>
        <v/>
      </c>
      <c r="I89" s="42"/>
      <c r="J89" s="43"/>
      <c r="K89" s="42"/>
      <c r="L89" s="42"/>
      <c r="M89" s="44"/>
      <c r="N89" s="44"/>
      <c r="O89" s="43"/>
      <c r="P89" s="45" t="n">
        <f aca="false">IF(AND($C89&lt;&gt;"",$C89&lt;&gt;"项目",OR(N($D89)&lt;&gt;0,N($E89)&lt;&gt;0,N($F89)&lt;&gt;0)),1,0)</f>
        <v>0</v>
      </c>
      <c r="Q89" s="45" t="n">
        <f aca="false">N(Q88)+$P89</f>
        <v>0</v>
      </c>
    </row>
    <row r="90" customFormat="false" ht="13.5" hidden="false" customHeight="false" outlineLevel="0" collapsed="false">
      <c r="A90" s="9" t="n">
        <v>89</v>
      </c>
      <c r="B90" s="38" t="str">
        <f aca="false">IF($T$4=0,IF($I90="","",$I90),IFERROR(IF([2]财务取数接口!$B$89=0,"",[2]财务取数接口!$B$89),""))</f>
        <v/>
      </c>
      <c r="C90" s="39" t="str">
        <f aca="false">IF($T$4=0,IF($J90="","",$J90),IFERROR(IF([2]财务取数接口!$C$89=0,"",[2]财务取数接口!$C$89),""))</f>
        <v>押金退还</v>
      </c>
      <c r="D90" s="40" t="str">
        <f aca="false">IF($T$4=0,IF($K90="","",$K90),IFERROR(IF([2]财务取数接口!$D$89=0,"",[2]财务取数接口!$D$89),""))</f>
        <v/>
      </c>
      <c r="E90" s="40" t="str">
        <f aca="false">IF($T$4=0,IF($L90="","",$L90),IFERROR(IF([2]财务取数接口!$E$89=0,"",[2]财务取数接口!$E$89),""))</f>
        <v>元</v>
      </c>
      <c r="F90" s="41" t="str">
        <f aca="false">IF($T$4=0,IF($M90="","",$M90),IFERROR(IF([2]财务取数接口!$G$89=0,"",[2]财务取数接口!$G$89),""))</f>
        <v/>
      </c>
      <c r="G90" s="41" t="str">
        <f aca="false">IF($T$4=0,IF($N90="","",$N90),IFERROR(IF([2]财务取数接口!$H$89=0,"",[2]财务取数接口!$H$89),""))</f>
        <v/>
      </c>
      <c r="H90" s="39" t="str">
        <f aca="false">IF($T$4=0,IF($O90="","",$O90),IFERROR(IF([2]财务取数接口!$I$89=0,"",[2]财务取数接口!$I$89),""))</f>
        <v/>
      </c>
      <c r="I90" s="42"/>
      <c r="J90" s="43"/>
      <c r="K90" s="42"/>
      <c r="L90" s="42"/>
      <c r="M90" s="44"/>
      <c r="N90" s="44"/>
      <c r="O90" s="43"/>
      <c r="P90" s="45" t="n">
        <f aca="false">IF(AND($C90&lt;&gt;"",$C90&lt;&gt;"项目",OR(N($D90)&lt;&gt;0,N($E90)&lt;&gt;0,N($F90)&lt;&gt;0)),1,0)</f>
        <v>0</v>
      </c>
      <c r="Q90" s="45" t="n">
        <f aca="false">N(Q89)+$P90</f>
        <v>0</v>
      </c>
    </row>
    <row r="91" customFormat="false" ht="13.5" hidden="false" customHeight="false" outlineLevel="0" collapsed="false">
      <c r="A91" s="9" t="n">
        <v>90</v>
      </c>
      <c r="B91" s="38" t="str">
        <f aca="false">IF($T$4=0,IF($I91="","",$I91),IFERROR(IF([2]财务取数接口!$B$90=0,"",[2]财务取数接口!$B$90),""))</f>
        <v/>
      </c>
      <c r="C91" s="39" t="str">
        <f aca="false">IF($T$4=0,IF($J91="","",$J91),IFERROR(IF([2]财务取数接口!$C$90=0,"",[2]财务取数接口!$C$90),""))</f>
        <v>押金退还</v>
      </c>
      <c r="D91" s="40" t="str">
        <f aca="false">IF($T$4=0,IF($K91="","",$K91),IFERROR(IF([2]财务取数接口!$D$90=0,"",[2]财务取数接口!$D$90),""))</f>
        <v/>
      </c>
      <c r="E91" s="40" t="str">
        <f aca="false">IF($T$4=0,IF($L91="","",$L91),IFERROR(IF([2]财务取数接口!$E$90=0,"",[2]财务取数接口!$E$90),""))</f>
        <v>元</v>
      </c>
      <c r="F91" s="41" t="str">
        <f aca="false">IF($T$4=0,IF($M91="","",$M91),IFERROR(IF([2]财务取数接口!$G$90=0,"",[2]财务取数接口!$G$90),""))</f>
        <v/>
      </c>
      <c r="G91" s="41" t="str">
        <f aca="false">IF($T$4=0,IF($N91="","",$N91),IFERROR(IF([2]财务取数接口!$H$90=0,"",[2]财务取数接口!$H$90),""))</f>
        <v/>
      </c>
      <c r="H91" s="39" t="str">
        <f aca="false">IF($T$4=0,IF($O91="","",$O91),IFERROR(IF([2]财务取数接口!$I$90=0,"",[2]财务取数接口!$I$90),""))</f>
        <v/>
      </c>
      <c r="I91" s="42"/>
      <c r="J91" s="43"/>
      <c r="K91" s="42"/>
      <c r="L91" s="42"/>
      <c r="M91" s="44"/>
      <c r="N91" s="44"/>
      <c r="O91" s="43"/>
      <c r="P91" s="45" t="n">
        <f aca="false">IF(AND($C91&lt;&gt;"",$C91&lt;&gt;"项目",OR(N($D91)&lt;&gt;0,N($E91)&lt;&gt;0,N($F91)&lt;&gt;0)),1,0)</f>
        <v>0</v>
      </c>
      <c r="Q91" s="45" t="n">
        <f aca="false">N(Q90)+$P91</f>
        <v>0</v>
      </c>
    </row>
    <row r="92" customFormat="false" ht="13.5" hidden="false" customHeight="false" outlineLevel="0" collapsed="false">
      <c r="A92" s="9" t="n">
        <v>91</v>
      </c>
      <c r="B92" s="38" t="str">
        <f aca="false">IF($T$4=0,IF($I92="","",$I92),IFERROR(IF([2]财务取数接口!$B$91=0,"",[2]财务取数接口!$B$91),""))</f>
        <v/>
      </c>
      <c r="C92" s="39" t="str">
        <f aca="false">IF($T$4=0,IF($J92="","",$J92),IFERROR(IF([2]财务取数接口!$C$91=0,"",[2]财务取数接口!$C$91),""))</f>
        <v>押金退还</v>
      </c>
      <c r="D92" s="40" t="str">
        <f aca="false">IF($T$4=0,IF($K92="","",$K92),IFERROR(IF([2]财务取数接口!$D$91=0,"",[2]财务取数接口!$D$91),""))</f>
        <v/>
      </c>
      <c r="E92" s="40" t="str">
        <f aca="false">IF($T$4=0,IF($L92="","",$L92),IFERROR(IF([2]财务取数接口!$E$91=0,"",[2]财务取数接口!$E$91),""))</f>
        <v>元</v>
      </c>
      <c r="F92" s="41" t="str">
        <f aca="false">IF($T$4=0,IF($M92="","",$M92),IFERROR(IF([2]财务取数接口!$G$91=0,"",[2]财务取数接口!$G$91),""))</f>
        <v/>
      </c>
      <c r="G92" s="41" t="str">
        <f aca="false">IF($T$4=0,IF($N92="","",$N92),IFERROR(IF([2]财务取数接口!$H$91=0,"",[2]财务取数接口!$H$91),""))</f>
        <v/>
      </c>
      <c r="H92" s="39" t="str">
        <f aca="false">IF($T$4=0,IF($O92="","",$O92),IFERROR(IF([2]财务取数接口!$I$91=0,"",[2]财务取数接口!$I$91),""))</f>
        <v/>
      </c>
      <c r="I92" s="42"/>
      <c r="J92" s="43"/>
      <c r="K92" s="42"/>
      <c r="L92" s="42"/>
      <c r="M92" s="44"/>
      <c r="N92" s="44"/>
      <c r="O92" s="43"/>
      <c r="P92" s="45" t="n">
        <f aca="false">IF(AND($C92&lt;&gt;"",$C92&lt;&gt;"项目",OR(N($D92)&lt;&gt;0,N($E92)&lt;&gt;0,N($F92)&lt;&gt;0)),1,0)</f>
        <v>0</v>
      </c>
      <c r="Q92" s="45" t="n">
        <f aca="false">N(Q91)+$P92</f>
        <v>0</v>
      </c>
    </row>
    <row r="93" customFormat="false" ht="13.5" hidden="false" customHeight="false" outlineLevel="0" collapsed="false">
      <c r="A93" s="9" t="n">
        <v>92</v>
      </c>
      <c r="B93" s="38" t="str">
        <f aca="false">IF($T$4=0,IF($I93="","",$I93),IFERROR(IF([2]财务取数接口!$B$92=0,"",[2]财务取数接口!$B$92),""))</f>
        <v/>
      </c>
      <c r="C93" s="39" t="str">
        <f aca="false">IF($T$4=0,IF($J93="","",$J93),IFERROR(IF([2]财务取数接口!$C$92=0,"",[2]财务取数接口!$C$92),""))</f>
        <v>押金退还</v>
      </c>
      <c r="D93" s="40" t="str">
        <f aca="false">IF($T$4=0,IF($K93="","",$K93),IFERROR(IF([2]财务取数接口!$D$92=0,"",[2]财务取数接口!$D$92),""))</f>
        <v/>
      </c>
      <c r="E93" s="40" t="str">
        <f aca="false">IF($T$4=0,IF($L93="","",$L93),IFERROR(IF([2]财务取数接口!$E$92=0,"",[2]财务取数接口!$E$92),""))</f>
        <v>元</v>
      </c>
      <c r="F93" s="41" t="str">
        <f aca="false">IF($T$4=0,IF($M93="","",$M93),IFERROR(IF([2]财务取数接口!$G$92=0,"",[2]财务取数接口!$G$92),""))</f>
        <v/>
      </c>
      <c r="G93" s="41" t="str">
        <f aca="false">IF($T$4=0,IF($N93="","",$N93),IFERROR(IF([2]财务取数接口!$H$92=0,"",[2]财务取数接口!$H$92),""))</f>
        <v/>
      </c>
      <c r="H93" s="39" t="str">
        <f aca="false">IF($T$4=0,IF($O93="","",$O93),IFERROR(IF([2]财务取数接口!$I$92=0,"",[2]财务取数接口!$I$92),""))</f>
        <v/>
      </c>
      <c r="I93" s="42"/>
      <c r="J93" s="43"/>
      <c r="K93" s="42"/>
      <c r="L93" s="42"/>
      <c r="M93" s="44"/>
      <c r="N93" s="44"/>
      <c r="O93" s="43"/>
      <c r="P93" s="45" t="n">
        <f aca="false">IF(AND($C93&lt;&gt;"",$C93&lt;&gt;"项目",OR(N($D93)&lt;&gt;0,N($E93)&lt;&gt;0,N($F93)&lt;&gt;0)),1,0)</f>
        <v>0</v>
      </c>
      <c r="Q93" s="45" t="n">
        <f aca="false">N(Q92)+$P93</f>
        <v>0</v>
      </c>
    </row>
    <row r="94" customFormat="false" ht="13.5" hidden="false" customHeight="false" outlineLevel="0" collapsed="false">
      <c r="A94" s="9" t="n">
        <v>93</v>
      </c>
      <c r="B94" s="38" t="str">
        <f aca="false">IF($T$4=0,IF($I94="","",$I94),IFERROR(IF([2]财务取数接口!$B$93=0,"",[2]财务取数接口!$B$93),""))</f>
        <v/>
      </c>
      <c r="C94" s="39" t="str">
        <f aca="false">IF($T$4=0,IF($J94="","",$J94),IFERROR(IF([2]财务取数接口!$C$93=0,"",[2]财务取数接口!$C$93),""))</f>
        <v>押金退还</v>
      </c>
      <c r="D94" s="40" t="str">
        <f aca="false">IF($T$4=0,IF($K94="","",$K94),IFERROR(IF([2]财务取数接口!$D$93=0,"",[2]财务取数接口!$D$93),""))</f>
        <v/>
      </c>
      <c r="E94" s="40" t="str">
        <f aca="false">IF($T$4=0,IF($L94="","",$L94),IFERROR(IF([2]财务取数接口!$E$93=0,"",[2]财务取数接口!$E$93),""))</f>
        <v>元</v>
      </c>
      <c r="F94" s="41" t="str">
        <f aca="false">IF($T$4=0,IF($M94="","",$M94),IFERROR(IF([2]财务取数接口!$G$93=0,"",[2]财务取数接口!$G$93),""))</f>
        <v/>
      </c>
      <c r="G94" s="41" t="str">
        <f aca="false">IF($T$4=0,IF($N94="","",$N94),IFERROR(IF([2]财务取数接口!$H$93=0,"",[2]财务取数接口!$H$93),""))</f>
        <v/>
      </c>
      <c r="H94" s="39" t="str">
        <f aca="false">IF($T$4=0,IF($O94="","",$O94),IFERROR(IF([2]财务取数接口!$I$93=0,"",[2]财务取数接口!$I$93),""))</f>
        <v/>
      </c>
      <c r="I94" s="42"/>
      <c r="J94" s="43"/>
      <c r="K94" s="42"/>
      <c r="L94" s="42"/>
      <c r="M94" s="44"/>
      <c r="N94" s="44"/>
      <c r="O94" s="43"/>
      <c r="P94" s="45" t="n">
        <f aca="false">IF(AND($C94&lt;&gt;"",$C94&lt;&gt;"项目",OR(N($D94)&lt;&gt;0,N($E94)&lt;&gt;0,N($F94)&lt;&gt;0)),1,0)</f>
        <v>0</v>
      </c>
      <c r="Q94" s="45" t="n">
        <f aca="false">N(Q93)+$P94</f>
        <v>0</v>
      </c>
    </row>
    <row r="95" customFormat="false" ht="13.5" hidden="false" customHeight="false" outlineLevel="0" collapsed="false">
      <c r="A95" s="9" t="n">
        <v>94</v>
      </c>
      <c r="B95" s="38" t="str">
        <f aca="false">IF($T$4=0,IF($I95="","",$I95),IFERROR(IF([2]财务取数接口!$B$94=0,"",[2]财务取数接口!$B$94),""))</f>
        <v/>
      </c>
      <c r="C95" s="39" t="str">
        <f aca="false">IF($T$4=0,IF($J95="","",$J95),IFERROR(IF([2]财务取数接口!$C$94=0,"",[2]财务取数接口!$C$94),""))</f>
        <v>押金退还</v>
      </c>
      <c r="D95" s="40" t="str">
        <f aca="false">IF($T$4=0,IF($K95="","",$K95),IFERROR(IF([2]财务取数接口!$D$94=0,"",[2]财务取数接口!$D$94),""))</f>
        <v/>
      </c>
      <c r="E95" s="40" t="str">
        <f aca="false">IF($T$4=0,IF($L95="","",$L95),IFERROR(IF([2]财务取数接口!$E$94=0,"",[2]财务取数接口!$E$94),""))</f>
        <v>元</v>
      </c>
      <c r="F95" s="41" t="str">
        <f aca="false">IF($T$4=0,IF($M95="","",$M95),IFERROR(IF([2]财务取数接口!$G$94=0,"",[2]财务取数接口!$G$94),""))</f>
        <v/>
      </c>
      <c r="G95" s="41" t="str">
        <f aca="false">IF($T$4=0,IF($N95="","",$N95),IFERROR(IF([2]财务取数接口!$H$94=0,"",[2]财务取数接口!$H$94),""))</f>
        <v/>
      </c>
      <c r="H95" s="39" t="str">
        <f aca="false">IF($T$4=0,IF($O95="","",$O95),IFERROR(IF([2]财务取数接口!$I$94=0,"",[2]财务取数接口!$I$94),""))</f>
        <v/>
      </c>
      <c r="I95" s="42"/>
      <c r="J95" s="43"/>
      <c r="K95" s="42"/>
      <c r="L95" s="42"/>
      <c r="M95" s="44"/>
      <c r="N95" s="44"/>
      <c r="O95" s="43"/>
      <c r="P95" s="45" t="n">
        <f aca="false">IF(AND($C95&lt;&gt;"",$C95&lt;&gt;"项目",OR(N($D95)&lt;&gt;0,N($E95)&lt;&gt;0,N($F95)&lt;&gt;0)),1,0)</f>
        <v>0</v>
      </c>
      <c r="Q95" s="45" t="n">
        <f aca="false">N(Q94)+$P95</f>
        <v>0</v>
      </c>
    </row>
    <row r="96" customFormat="false" ht="13.5" hidden="false" customHeight="false" outlineLevel="0" collapsed="false">
      <c r="A96" s="9" t="n">
        <v>95</v>
      </c>
      <c r="B96" s="38" t="str">
        <f aca="false">IF($T$4=0,IF($I96="","",$I96),IFERROR(IF([2]财务取数接口!$B$95=0,"",[2]财务取数接口!$B$95),""))</f>
        <v/>
      </c>
      <c r="C96" s="39" t="str">
        <f aca="false">IF($T$4=0,IF($J96="","",$J96),IFERROR(IF([2]财务取数接口!$C$95=0,"",[2]财务取数接口!$C$95),""))</f>
        <v>押金退还</v>
      </c>
      <c r="D96" s="40" t="str">
        <f aca="false">IF($T$4=0,IF($K96="","",$K96),IFERROR(IF([2]财务取数接口!$D$95=0,"",[2]财务取数接口!$D$95),""))</f>
        <v/>
      </c>
      <c r="E96" s="40" t="str">
        <f aca="false">IF($T$4=0,IF($L96="","",$L96),IFERROR(IF([2]财务取数接口!$E$95=0,"",[2]财务取数接口!$E$95),""))</f>
        <v>元</v>
      </c>
      <c r="F96" s="41" t="str">
        <f aca="false">IF($T$4=0,IF($M96="","",$M96),IFERROR(IF([2]财务取数接口!$G$95=0,"",[2]财务取数接口!$G$95),""))</f>
        <v/>
      </c>
      <c r="G96" s="41" t="str">
        <f aca="false">IF($T$4=0,IF($N96="","",$N96),IFERROR(IF([2]财务取数接口!$H$95=0,"",[2]财务取数接口!$H$95),""))</f>
        <v/>
      </c>
      <c r="H96" s="39" t="str">
        <f aca="false">IF($T$4=0,IF($O96="","",$O96),IFERROR(IF([2]财务取数接口!$I$95=0,"",[2]财务取数接口!$I$95),""))</f>
        <v/>
      </c>
      <c r="I96" s="42"/>
      <c r="J96" s="43"/>
      <c r="K96" s="42"/>
      <c r="L96" s="42"/>
      <c r="M96" s="44"/>
      <c r="N96" s="44"/>
      <c r="O96" s="43"/>
      <c r="P96" s="45" t="n">
        <f aca="false">IF(AND($C96&lt;&gt;"",$C96&lt;&gt;"项目",OR(N($D96)&lt;&gt;0,N($E96)&lt;&gt;0,N($F96)&lt;&gt;0)),1,0)</f>
        <v>0</v>
      </c>
      <c r="Q96" s="45" t="n">
        <f aca="false">N(Q95)+$P96</f>
        <v>0</v>
      </c>
    </row>
    <row r="97" customFormat="false" ht="13.5" hidden="false" customHeight="false" outlineLevel="0" collapsed="false">
      <c r="A97" s="9" t="n">
        <v>96</v>
      </c>
      <c r="B97" s="38" t="str">
        <f aca="false">IF($T$4=0,IF($I97="","",$I97),IFERROR(IF([2]财务取数接口!$B$96=0,"",[2]财务取数接口!$B$96),""))</f>
        <v/>
      </c>
      <c r="C97" s="39" t="str">
        <f aca="false">IF($T$4=0,IF($J97="","",$J97),IFERROR(IF([2]财务取数接口!$C$96=0,"",[2]财务取数接口!$C$96),""))</f>
        <v>押金退还</v>
      </c>
      <c r="D97" s="40" t="str">
        <f aca="false">IF($T$4=0,IF($K97="","",$K97),IFERROR(IF([2]财务取数接口!$D$96=0,"",[2]财务取数接口!$D$96),""))</f>
        <v/>
      </c>
      <c r="E97" s="40" t="str">
        <f aca="false">IF($T$4=0,IF($L97="","",$L97),IFERROR(IF([2]财务取数接口!$E$96=0,"",[2]财务取数接口!$E$96),""))</f>
        <v>元</v>
      </c>
      <c r="F97" s="41" t="str">
        <f aca="false">IF($T$4=0,IF($M97="","",$M97),IFERROR(IF([2]财务取数接口!$G$96=0,"",[2]财务取数接口!$G$96),""))</f>
        <v/>
      </c>
      <c r="G97" s="41" t="str">
        <f aca="false">IF($T$4=0,IF($N97="","",$N97),IFERROR(IF([2]财务取数接口!$H$96=0,"",[2]财务取数接口!$H$96),""))</f>
        <v/>
      </c>
      <c r="H97" s="39" t="str">
        <f aca="false">IF($T$4=0,IF($O97="","",$O97),IFERROR(IF([2]财务取数接口!$I$96=0,"",[2]财务取数接口!$I$96),""))</f>
        <v/>
      </c>
      <c r="I97" s="42"/>
      <c r="J97" s="43"/>
      <c r="K97" s="42"/>
      <c r="L97" s="42"/>
      <c r="M97" s="44"/>
      <c r="N97" s="44"/>
      <c r="O97" s="43"/>
      <c r="P97" s="45" t="n">
        <f aca="false">IF(AND($C97&lt;&gt;"",$C97&lt;&gt;"项目",OR(N($D97)&lt;&gt;0,N($E97)&lt;&gt;0,N($F97)&lt;&gt;0)),1,0)</f>
        <v>0</v>
      </c>
      <c r="Q97" s="45" t="n">
        <f aca="false">N(Q96)+$P97</f>
        <v>0</v>
      </c>
    </row>
    <row r="98" customFormat="false" ht="13.5" hidden="false" customHeight="false" outlineLevel="0" collapsed="false">
      <c r="A98" s="9" t="n">
        <v>97</v>
      </c>
      <c r="B98" s="38" t="str">
        <f aca="false">IF($T$4=0,IF($I98="","",$I98),IFERROR(IF([2]财务取数接口!$B$97=0,"",[2]财务取数接口!$B$97),""))</f>
        <v/>
      </c>
      <c r="C98" s="39" t="str">
        <f aca="false">IF($T$4=0,IF($J98="","",$J98),IFERROR(IF([2]财务取数接口!$C$97=0,"",[2]财务取数接口!$C$97),""))</f>
        <v>押金退还</v>
      </c>
      <c r="D98" s="40" t="str">
        <f aca="false">IF($T$4=0,IF($K98="","",$K98),IFERROR(IF([2]财务取数接口!$D$97=0,"",[2]财务取数接口!$D$97),""))</f>
        <v/>
      </c>
      <c r="E98" s="40" t="str">
        <f aca="false">IF($T$4=0,IF($L98="","",$L98),IFERROR(IF([2]财务取数接口!$E$97=0,"",[2]财务取数接口!$E$97),""))</f>
        <v>元</v>
      </c>
      <c r="F98" s="41" t="str">
        <f aca="false">IF($T$4=0,IF($M98="","",$M98),IFERROR(IF([2]财务取数接口!$G$97=0,"",[2]财务取数接口!$G$97),""))</f>
        <v/>
      </c>
      <c r="G98" s="41" t="str">
        <f aca="false">IF($T$4=0,IF($N98="","",$N98),IFERROR(IF([2]财务取数接口!$H$97=0,"",[2]财务取数接口!$H$97),""))</f>
        <v/>
      </c>
      <c r="H98" s="39" t="str">
        <f aca="false">IF($T$4=0,IF($O98="","",$O98),IFERROR(IF([2]财务取数接口!$I$97=0,"",[2]财务取数接口!$I$97),""))</f>
        <v/>
      </c>
      <c r="I98" s="42"/>
      <c r="J98" s="43"/>
      <c r="K98" s="42"/>
      <c r="L98" s="42"/>
      <c r="M98" s="44"/>
      <c r="N98" s="44"/>
      <c r="O98" s="43"/>
      <c r="P98" s="45" t="n">
        <f aca="false">IF(AND($C98&lt;&gt;"",$C98&lt;&gt;"项目",OR(N($D98)&lt;&gt;0,N($E98)&lt;&gt;0,N($F98)&lt;&gt;0)),1,0)</f>
        <v>0</v>
      </c>
      <c r="Q98" s="45" t="n">
        <f aca="false">N(Q97)+$P98</f>
        <v>0</v>
      </c>
    </row>
    <row r="99" customFormat="false" ht="13.5" hidden="false" customHeight="false" outlineLevel="0" collapsed="false">
      <c r="A99" s="9" t="n">
        <v>98</v>
      </c>
      <c r="B99" s="38" t="str">
        <f aca="false">IF($T$4=0,IF($I99="","",$I99),IFERROR(IF([2]财务取数接口!$B$98=0,"",[2]财务取数接口!$B$98),""))</f>
        <v/>
      </c>
      <c r="C99" s="39" t="str">
        <f aca="false">IF($T$4=0,IF($J99="","",$J99),IFERROR(IF([2]财务取数接口!$C$98=0,"",[2]财务取数接口!$C$98),""))</f>
        <v>押金退还</v>
      </c>
      <c r="D99" s="40" t="str">
        <f aca="false">IF($T$4=0,IF($K99="","",$K99),IFERROR(IF([2]财务取数接口!$D$98=0,"",[2]财务取数接口!$D$98),""))</f>
        <v/>
      </c>
      <c r="E99" s="40" t="str">
        <f aca="false">IF($T$4=0,IF($L99="","",$L99),IFERROR(IF([2]财务取数接口!$E$98=0,"",[2]财务取数接口!$E$98),""))</f>
        <v>元</v>
      </c>
      <c r="F99" s="41" t="str">
        <f aca="false">IF($T$4=0,IF($M99="","",$M99),IFERROR(IF([2]财务取数接口!$G$98=0,"",[2]财务取数接口!$G$98),""))</f>
        <v/>
      </c>
      <c r="G99" s="41" t="str">
        <f aca="false">IF($T$4=0,IF($N99="","",$N99),IFERROR(IF([2]财务取数接口!$H$98=0,"",[2]财务取数接口!$H$98),""))</f>
        <v/>
      </c>
      <c r="H99" s="39" t="str">
        <f aca="false">IF($T$4=0,IF($O99="","",$O99),IFERROR(IF([2]财务取数接口!$I$98=0,"",[2]财务取数接口!$I$98),""))</f>
        <v/>
      </c>
      <c r="I99" s="42"/>
      <c r="J99" s="43"/>
      <c r="K99" s="42"/>
      <c r="L99" s="42"/>
      <c r="M99" s="44"/>
      <c r="N99" s="44"/>
      <c r="O99" s="43"/>
      <c r="P99" s="45" t="n">
        <f aca="false">IF(AND($C99&lt;&gt;"",$C99&lt;&gt;"项目",OR(N($D99)&lt;&gt;0,N($E99)&lt;&gt;0,N($F99)&lt;&gt;0)),1,0)</f>
        <v>0</v>
      </c>
      <c r="Q99" s="45" t="n">
        <f aca="false">N(Q98)+$P99</f>
        <v>0</v>
      </c>
    </row>
    <row r="100" customFormat="false" ht="13.5" hidden="false" customHeight="false" outlineLevel="0" collapsed="false">
      <c r="A100" s="9" t="n">
        <v>99</v>
      </c>
      <c r="B100" s="38" t="str">
        <f aca="false">IF($T$4=0,IF($I100="","",$I100),IFERROR(IF([2]财务取数接口!$B$99=0,"",[2]财务取数接口!$B$99),""))</f>
        <v/>
      </c>
      <c r="C100" s="39" t="str">
        <f aca="false">IF($T$4=0,IF($J100="","",$J100),IFERROR(IF([2]财务取数接口!$C$99=0,"",[2]财务取数接口!$C$99),""))</f>
        <v>押金退还</v>
      </c>
      <c r="D100" s="40" t="str">
        <f aca="false">IF($T$4=0,IF($K100="","",$K100),IFERROR(IF([2]财务取数接口!$D$99=0,"",[2]财务取数接口!$D$99),""))</f>
        <v/>
      </c>
      <c r="E100" s="40" t="str">
        <f aca="false">IF($T$4=0,IF($L100="","",$L100),IFERROR(IF([2]财务取数接口!$E$99=0,"",[2]财务取数接口!$E$99),""))</f>
        <v>元</v>
      </c>
      <c r="F100" s="41" t="str">
        <f aca="false">IF($T$4=0,IF($M100="","",$M100),IFERROR(IF([2]财务取数接口!$G$99=0,"",[2]财务取数接口!$G$99),""))</f>
        <v/>
      </c>
      <c r="G100" s="41" t="str">
        <f aca="false">IF($T$4=0,IF($N100="","",$N100),IFERROR(IF([2]财务取数接口!$H$99=0,"",[2]财务取数接口!$H$99),""))</f>
        <v/>
      </c>
      <c r="H100" s="39" t="str">
        <f aca="false">IF($T$4=0,IF($O100="","",$O100),IFERROR(IF([2]财务取数接口!$I$99=0,"",[2]财务取数接口!$I$99),""))</f>
        <v/>
      </c>
      <c r="I100" s="42"/>
      <c r="J100" s="43"/>
      <c r="K100" s="42"/>
      <c r="L100" s="42"/>
      <c r="M100" s="44"/>
      <c r="N100" s="44"/>
      <c r="O100" s="43"/>
      <c r="P100" s="45" t="n">
        <f aca="false">IF(AND($C100&lt;&gt;"",$C100&lt;&gt;"项目",OR(N($D100)&lt;&gt;0,N($E100)&lt;&gt;0,N($F100)&lt;&gt;0)),1,0)</f>
        <v>0</v>
      </c>
      <c r="Q100" s="45" t="n">
        <f aca="false">N(Q99)+$P100</f>
        <v>0</v>
      </c>
    </row>
    <row r="101" customFormat="false" ht="13.5" hidden="false" customHeight="false" outlineLevel="0" collapsed="false">
      <c r="A101" s="9" t="n">
        <v>100</v>
      </c>
      <c r="B101" s="40" t="str">
        <f aca="false">IF($T$4=0,IF($I101="","",$I101),IFERROR(IF([2]财务取数接口!$B$100=0,"",[2]财务取数接口!$B$100),""))</f>
        <v/>
      </c>
      <c r="C101" s="39" t="str">
        <f aca="false">IF($T$4=0,IF($J101="","",$J101),IFERROR(IF([2]财务取数接口!$C$100=0,"",[2]财务取数接口!$C$100),""))</f>
        <v/>
      </c>
      <c r="D101" s="40" t="str">
        <f aca="false">IF($T$4=0,IF($K101="","",$K101),IFERROR(IF([2]财务取数接口!$D$100=0,"",[2]财务取数接口!$D$100),""))</f>
        <v/>
      </c>
      <c r="E101" s="40" t="str">
        <f aca="false">IF($T$4=0,IF($L101="","",$L101),IFERROR(IF([2]财务取数接口!$E$100=0,"",[2]财务取数接口!$E$100),""))</f>
        <v/>
      </c>
      <c r="F101" s="41" t="str">
        <f aca="false">IF($T$4=0,IF($M101="","",$M101),IFERROR(IF([2]财务取数接口!$G$100=0,"",[2]财务取数接口!$G$100),""))</f>
        <v/>
      </c>
      <c r="G101" s="41" t="str">
        <f aca="false">IF($T$4=0,IF($N101="","",$N101),IFERROR(IF([2]财务取数接口!$H$100=0,"",[2]财务取数接口!$H$100),""))</f>
        <v/>
      </c>
      <c r="H101" s="39" t="str">
        <f aca="false">IF($T$4=0,IF($O101="","",$O101),IFERROR(IF([2]财务取数接口!$I$100=0,"",[2]财务取数接口!$I$100),""))</f>
        <v/>
      </c>
      <c r="I101" s="42"/>
      <c r="J101" s="43"/>
      <c r="K101" s="42"/>
      <c r="L101" s="42"/>
      <c r="M101" s="44"/>
      <c r="N101" s="44"/>
      <c r="O101" s="43"/>
      <c r="P101" s="45" t="n">
        <f aca="false">IF(AND($C101&lt;&gt;"",$C101&lt;&gt;"项目",OR(N($D101)&lt;&gt;0,N($E101)&lt;&gt;0,N($F101)&lt;&gt;0)),1,0)</f>
        <v>0</v>
      </c>
      <c r="Q101" s="45" t="n">
        <f aca="false">N(Q100)+$P101</f>
        <v>0</v>
      </c>
    </row>
    <row r="102" customFormat="false" ht="13.5" hidden="false" customHeight="false" outlineLevel="0" collapsed="false">
      <c r="A102" s="9" t="n">
        <v>101</v>
      </c>
      <c r="B102" s="40" t="str">
        <f aca="false">IF($T$4=0,IF($I102="","",$I102),IFERROR(IF([2]财务取数接口!$B$101=0,"",[2]财务取数接口!$B$101),""))</f>
        <v/>
      </c>
      <c r="C102" s="39" t="str">
        <f aca="false">IF($T$4=0,IF($J102="","",$J102),IFERROR(IF([2]财务取数接口!$C$101=0,"",[2]财务取数接口!$C$101),""))</f>
        <v/>
      </c>
      <c r="D102" s="40" t="str">
        <f aca="false">IF($T$4=0,IF($K102="","",$K102),IFERROR(IF([2]财务取数接口!$D$101=0,"",[2]财务取数接口!$D$101),""))</f>
        <v/>
      </c>
      <c r="E102" s="40" t="str">
        <f aca="false">IF($T$4=0,IF($L102="","",$L102),IFERROR(IF([2]财务取数接口!$E$101=0,"",[2]财务取数接口!$E$101),""))</f>
        <v/>
      </c>
      <c r="F102" s="41" t="str">
        <f aca="false">IF($T$4=0,IF($M102="","",$M102),IFERROR(IF([2]财务取数接口!$G$101=0,"",[2]财务取数接口!$G$101),""))</f>
        <v/>
      </c>
      <c r="G102" s="41" t="str">
        <f aca="false">IF($T$4=0,IF($N102="","",$N102),IFERROR(IF([2]财务取数接口!$H$101=0,"",[2]财务取数接口!$H$101),""))</f>
        <v/>
      </c>
      <c r="H102" s="39" t="str">
        <f aca="false">IF($T$4=0,IF($O102="","",$O102),IFERROR(IF([2]财务取数接口!$I$101=0,"",[2]财务取数接口!$I$101),""))</f>
        <v/>
      </c>
      <c r="I102" s="42"/>
      <c r="J102" s="43"/>
      <c r="K102" s="42"/>
      <c r="L102" s="42"/>
      <c r="M102" s="44"/>
      <c r="N102" s="44"/>
      <c r="O102" s="43"/>
      <c r="P102" s="45" t="n">
        <f aca="false">IF(AND($C102&lt;&gt;"",$C102&lt;&gt;"项目",OR(N($D102)&lt;&gt;0,N($E102)&lt;&gt;0,N($F102)&lt;&gt;0)),1,0)</f>
        <v>0</v>
      </c>
      <c r="Q102" s="45" t="n">
        <f aca="false">N(Q101)+$P102</f>
        <v>0</v>
      </c>
    </row>
    <row r="103" customFormat="false" ht="13.5" hidden="false" customHeight="false" outlineLevel="0" collapsed="false">
      <c r="A103" s="9" t="n">
        <v>102</v>
      </c>
      <c r="B103" s="40" t="str">
        <f aca="false">IF($T$4=0,IF($I103="","",$I103),IFERROR(IF([2]财务取数接口!$B$102=0,"",[2]财务取数接口!$B$102),""))</f>
        <v>年月</v>
      </c>
      <c r="C103" s="39" t="str">
        <f aca="false">IF($T$4=0,IF($J103="","",$J103),IFERROR(IF([2]财务取数接口!$C$102=0,"",[2]财务取数接口!$C$102),""))</f>
        <v>项目</v>
      </c>
      <c r="D103" s="40" t="str">
        <f aca="false">IF($T$4=0,IF($K103="","",$K103),IFERROR(IF([2]财务取数接口!$D$102=0,"",[2]财务取数接口!$D$102),""))</f>
        <v>计费数量</v>
      </c>
      <c r="E103" s="40" t="str">
        <f aca="false">IF($T$4=0,IF($L103="","",$L103),IFERROR(IF([2]财务取数接口!$E$102=0,"",[2]财务取数接口!$E$102),""))</f>
        <v>计量单位</v>
      </c>
      <c r="F103" s="41" t="str">
        <f aca="false">IF($T$4=0,IF($M103="","",$M103),IFERROR(IF([2]财务取数接口!$G$102=0,"",[2]财务取数接口!$G$102),""))</f>
        <v>价税合计金额</v>
      </c>
      <c r="G103" s="41" t="str">
        <f aca="false">IF($T$4=0,IF($N103="","",$N103),IFERROR(IF([2]财务取数接口!$H$102=0,"",[2]财务取数接口!$H$102),""))</f>
        <v>已收金额</v>
      </c>
      <c r="H103" s="39" t="str">
        <f aca="false">IF($T$4=0,IF($O103="","",$O103),IFERROR(IF([2]财务取数接口!$I$102=0,"",[2]财务取数接口!$I$102),""))</f>
        <v>备注</v>
      </c>
      <c r="I103" s="42"/>
      <c r="J103" s="43"/>
      <c r="K103" s="42"/>
      <c r="L103" s="42"/>
      <c r="M103" s="44"/>
      <c r="N103" s="44"/>
      <c r="O103" s="43"/>
      <c r="P103" s="45" t="n">
        <f aca="false">IF(AND($C103&lt;&gt;"",$C103&lt;&gt;"项目",OR(N($D103)&lt;&gt;0,N($E103)&lt;&gt;0,N($F103)&lt;&gt;0)),1,0)</f>
        <v>0</v>
      </c>
      <c r="Q103" s="45" t="n">
        <f aca="false">N(Q102)+$P103</f>
        <v>0</v>
      </c>
    </row>
    <row r="104" customFormat="false" ht="13.5" hidden="false" customHeight="false" outlineLevel="0" collapsed="false">
      <c r="A104" s="9" t="n">
        <v>103</v>
      </c>
      <c r="B104" s="38" t="str">
        <f aca="false">IF($T$4=0,IF($I104="","",$I104),IFERROR(IF([2]财务取数接口!$B$103=0,"",[2]财务取数接口!$B$103),""))</f>
        <v/>
      </c>
      <c r="C104" s="39" t="str">
        <f aca="false">IF($T$4=0,IF($J104="","",$J104),IFERROR(IF([2]财务取数接口!$C$103=0,"",[2]财务取数接口!$C$103),""))</f>
        <v>包装物料采购入库</v>
      </c>
      <c r="D104" s="40" t="str">
        <f aca="false">IF($T$4=0,IF($K104="","",$K104),IFERROR(IF([2]财务取数接口!$D$103=0,"",[2]财务取数接口!$D$103),""))</f>
        <v/>
      </c>
      <c r="E104" s="40" t="str">
        <f aca="false">IF($T$4=0,IF($L104="","",$L104),IFERROR(IF([2]财务取数接口!$E$103=0,"",[2]财务取数接口!$E$103),""))</f>
        <v>包</v>
      </c>
      <c r="F104" s="41" t="str">
        <f aca="false">IF($T$4=0,IF($M104="","",$M104),IFERROR(IF([2]财务取数接口!$G$103=0,"",[2]财务取数接口!$G$103),""))</f>
        <v/>
      </c>
      <c r="G104" s="41" t="str">
        <f aca="false">IF($T$4=0,IF($N104="","",$N104),IFERROR(IF([2]财务取数接口!$H$103=0,"",[2]财务取数接口!$H$103),""))</f>
        <v/>
      </c>
      <c r="H104" s="39" t="str">
        <f aca="false">IF($T$4=0,IF($O104="","",$O104),IFERROR(IF([2]财务取数接口!$I$103=0,"",[2]财务取数接口!$I$103),""))</f>
        <v/>
      </c>
      <c r="I104" s="42"/>
      <c r="J104" s="43"/>
      <c r="K104" s="42"/>
      <c r="L104" s="42"/>
      <c r="M104" s="44"/>
      <c r="N104" s="44"/>
      <c r="O104" s="43"/>
      <c r="P104" s="45" t="n">
        <f aca="false">IF(AND($C104&lt;&gt;"",$C104&lt;&gt;"项目",OR(N($D104)&lt;&gt;0,N($E104)&lt;&gt;0,N($F104)&lt;&gt;0)),1,0)</f>
        <v>0</v>
      </c>
      <c r="Q104" s="45" t="n">
        <f aca="false">N(Q103)+$P104</f>
        <v>0</v>
      </c>
    </row>
    <row r="105" customFormat="false" ht="13.5" hidden="false" customHeight="false" outlineLevel="0" collapsed="false">
      <c r="A105" s="9" t="n">
        <v>104</v>
      </c>
      <c r="B105" s="38" t="str">
        <f aca="false">IF($T$4=0,IF($I105="","",$I105),IFERROR(IF([2]财务取数接口!$B$104=0,"",[2]财务取数接口!$B$104),""))</f>
        <v/>
      </c>
      <c r="C105" s="39" t="str">
        <f aca="false">IF($T$4=0,IF($J105="","",$J105),IFERROR(IF([2]财务取数接口!$C$104=0,"",[2]财务取数接口!$C$104),""))</f>
        <v>包装物料采购入库</v>
      </c>
      <c r="D105" s="40" t="str">
        <f aca="false">IF($T$4=0,IF($K105="","",$K105),IFERROR(IF([2]财务取数接口!$D$104=0,"",[2]财务取数接口!$D$104),""))</f>
        <v/>
      </c>
      <c r="E105" s="40" t="str">
        <f aca="false">IF($T$4=0,IF($L105="","",$L105),IFERROR(IF([2]财务取数接口!$E$104=0,"",[2]财务取数接口!$E$104),""))</f>
        <v>包</v>
      </c>
      <c r="F105" s="41" t="str">
        <f aca="false">IF($T$4=0,IF($M105="","",$M105),IFERROR(IF([2]财务取数接口!$G$104=0,"",[2]财务取数接口!$G$104),""))</f>
        <v/>
      </c>
      <c r="G105" s="41" t="str">
        <f aca="false">IF($T$4=0,IF($N105="","",$N105),IFERROR(IF([2]财务取数接口!$H$104=0,"",[2]财务取数接口!$H$104),""))</f>
        <v/>
      </c>
      <c r="H105" s="39" t="str">
        <f aca="false">IF($T$4=0,IF($O105="","",$O105),IFERROR(IF([2]财务取数接口!$I$104=0,"",[2]财务取数接口!$I$104),""))</f>
        <v/>
      </c>
      <c r="I105" s="42"/>
      <c r="J105" s="43"/>
      <c r="K105" s="42"/>
      <c r="L105" s="42"/>
      <c r="M105" s="44"/>
      <c r="N105" s="44"/>
      <c r="O105" s="43"/>
      <c r="P105" s="45" t="n">
        <f aca="false">IF(AND($C105&lt;&gt;"",$C105&lt;&gt;"项目",OR(N($D105)&lt;&gt;0,N($E105)&lt;&gt;0,N($F105)&lt;&gt;0)),1,0)</f>
        <v>0</v>
      </c>
      <c r="Q105" s="45" t="n">
        <f aca="false">N(Q104)+$P105</f>
        <v>0</v>
      </c>
    </row>
    <row r="106" customFormat="false" ht="13.5" hidden="false" customHeight="false" outlineLevel="0" collapsed="false">
      <c r="A106" s="9" t="n">
        <v>105</v>
      </c>
      <c r="B106" s="38" t="str">
        <f aca="false">IF($T$4=0,IF($I106="","",$I106),IFERROR(IF([2]财务取数接口!$B$105=0,"",[2]财务取数接口!$B$105),""))</f>
        <v/>
      </c>
      <c r="C106" s="39" t="str">
        <f aca="false">IF($T$4=0,IF($J106="","",$J106),IFERROR(IF([2]财务取数接口!$C$105=0,"",[2]财务取数接口!$C$105),""))</f>
        <v>包装物料采购入库</v>
      </c>
      <c r="D106" s="40" t="str">
        <f aca="false">IF($T$4=0,IF($K106="","",$K106),IFERROR(IF([2]财务取数接口!$D$105=0,"",[2]财务取数接口!$D$105),""))</f>
        <v/>
      </c>
      <c r="E106" s="40" t="str">
        <f aca="false">IF($T$4=0,IF($L106="","",$L106),IFERROR(IF([2]财务取数接口!$E$105=0,"",[2]财务取数接口!$E$105),""))</f>
        <v>包</v>
      </c>
      <c r="F106" s="41" t="str">
        <f aca="false">IF($T$4=0,IF($M106="","",$M106),IFERROR(IF([2]财务取数接口!$G$105=0,"",[2]财务取数接口!$G$105),""))</f>
        <v/>
      </c>
      <c r="G106" s="41" t="str">
        <f aca="false">IF($T$4=0,IF($N106="","",$N106),IFERROR(IF([2]财务取数接口!$H$105=0,"",[2]财务取数接口!$H$105),""))</f>
        <v/>
      </c>
      <c r="H106" s="39" t="str">
        <f aca="false">IF($T$4=0,IF($O106="","",$O106),IFERROR(IF([2]财务取数接口!$I$105=0,"",[2]财务取数接口!$I$105),""))</f>
        <v/>
      </c>
      <c r="I106" s="42"/>
      <c r="J106" s="43"/>
      <c r="K106" s="42"/>
      <c r="L106" s="42"/>
      <c r="M106" s="44"/>
      <c r="N106" s="44"/>
      <c r="O106" s="43"/>
      <c r="P106" s="45" t="n">
        <f aca="false">IF(AND($C106&lt;&gt;"",$C106&lt;&gt;"项目",OR(N($D106)&lt;&gt;0,N($E106)&lt;&gt;0,N($F106)&lt;&gt;0)),1,0)</f>
        <v>0</v>
      </c>
      <c r="Q106" s="45" t="n">
        <f aca="false">N(Q105)+$P106</f>
        <v>0</v>
      </c>
    </row>
    <row r="107" customFormat="false" ht="13.5" hidden="false" customHeight="false" outlineLevel="0" collapsed="false">
      <c r="A107" s="9" t="n">
        <v>106</v>
      </c>
      <c r="B107" s="38" t="str">
        <f aca="false">IF($T$4=0,IF($I107="","",$I107),IFERROR(IF([2]财务取数接口!$B$106=0,"",[2]财务取数接口!$B$106),""))</f>
        <v/>
      </c>
      <c r="C107" s="39" t="str">
        <f aca="false">IF($T$4=0,IF($J107="","",$J107),IFERROR(IF([2]财务取数接口!$C$106=0,"",[2]财务取数接口!$C$106),""))</f>
        <v>包装物料采购入库</v>
      </c>
      <c r="D107" s="40" t="str">
        <f aca="false">IF($T$4=0,IF($K107="","",$K107),IFERROR(IF([2]财务取数接口!$D$106=0,"",[2]财务取数接口!$D$106),""))</f>
        <v/>
      </c>
      <c r="E107" s="40" t="str">
        <f aca="false">IF($T$4=0,IF($L107="","",$L107),IFERROR(IF([2]财务取数接口!$E$106=0,"",[2]财务取数接口!$E$106),""))</f>
        <v>包</v>
      </c>
      <c r="F107" s="41" t="str">
        <f aca="false">IF($T$4=0,IF($M107="","",$M107),IFERROR(IF([2]财务取数接口!$G$106=0,"",[2]财务取数接口!$G$106),""))</f>
        <v/>
      </c>
      <c r="G107" s="41" t="str">
        <f aca="false">IF($T$4=0,IF($N107="","",$N107),IFERROR(IF([2]财务取数接口!$H$106=0,"",[2]财务取数接口!$H$106),""))</f>
        <v/>
      </c>
      <c r="H107" s="39" t="str">
        <f aca="false">IF($T$4=0,IF($O107="","",$O107),IFERROR(IF([2]财务取数接口!$I$106=0,"",[2]财务取数接口!$I$106),""))</f>
        <v/>
      </c>
      <c r="I107" s="42"/>
      <c r="J107" s="43"/>
      <c r="K107" s="42"/>
      <c r="L107" s="42"/>
      <c r="M107" s="44"/>
      <c r="N107" s="44"/>
      <c r="O107" s="43"/>
      <c r="P107" s="45" t="n">
        <f aca="false">IF(AND($C107&lt;&gt;"",$C107&lt;&gt;"项目",OR(N($D107)&lt;&gt;0,N($E107)&lt;&gt;0,N($F107)&lt;&gt;0)),1,0)</f>
        <v>0</v>
      </c>
      <c r="Q107" s="45" t="n">
        <f aca="false">N(Q106)+$P107</f>
        <v>0</v>
      </c>
    </row>
    <row r="108" customFormat="false" ht="13.5" hidden="false" customHeight="false" outlineLevel="0" collapsed="false">
      <c r="A108" s="9" t="n">
        <v>107</v>
      </c>
      <c r="B108" s="38" t="str">
        <f aca="false">IF($T$4=0,IF($I108="","",$I108),IFERROR(IF([2]财务取数接口!$B$107=0,"",[2]财务取数接口!$B$107),""))</f>
        <v/>
      </c>
      <c r="C108" s="39" t="str">
        <f aca="false">IF($T$4=0,IF($J108="","",$J108),IFERROR(IF([2]财务取数接口!$C$107=0,"",[2]财务取数接口!$C$107),""))</f>
        <v>包装物料采购入库</v>
      </c>
      <c r="D108" s="40" t="str">
        <f aca="false">IF($T$4=0,IF($K108="","",$K108),IFERROR(IF([2]财务取数接口!$D$107=0,"",[2]财务取数接口!$D$107),""))</f>
        <v/>
      </c>
      <c r="E108" s="40" t="str">
        <f aca="false">IF($T$4=0,IF($L108="","",$L108),IFERROR(IF([2]财务取数接口!$E$107=0,"",[2]财务取数接口!$E$107),""))</f>
        <v>包</v>
      </c>
      <c r="F108" s="41" t="str">
        <f aca="false">IF($T$4=0,IF($M108="","",$M108),IFERROR(IF([2]财务取数接口!$G$107=0,"",[2]财务取数接口!$G$107),""))</f>
        <v/>
      </c>
      <c r="G108" s="41" t="str">
        <f aca="false">IF($T$4=0,IF($N108="","",$N108),IFERROR(IF([2]财务取数接口!$H$107=0,"",[2]财务取数接口!$H$107),""))</f>
        <v/>
      </c>
      <c r="H108" s="39" t="str">
        <f aca="false">IF($T$4=0,IF($O108="","",$O108),IFERROR(IF([2]财务取数接口!$I$107=0,"",[2]财务取数接口!$I$107),""))</f>
        <v/>
      </c>
      <c r="I108" s="42"/>
      <c r="J108" s="43"/>
      <c r="K108" s="42"/>
      <c r="L108" s="42"/>
      <c r="M108" s="44"/>
      <c r="N108" s="44"/>
      <c r="O108" s="43"/>
      <c r="P108" s="45" t="n">
        <f aca="false">IF(AND($C108&lt;&gt;"",$C108&lt;&gt;"项目",OR(N($D108)&lt;&gt;0,N($E108)&lt;&gt;0,N($F108)&lt;&gt;0)),1,0)</f>
        <v>0</v>
      </c>
      <c r="Q108" s="45" t="n">
        <f aca="false">N(Q107)+$P108</f>
        <v>0</v>
      </c>
    </row>
    <row r="109" customFormat="false" ht="13.5" hidden="false" customHeight="false" outlineLevel="0" collapsed="false">
      <c r="A109" s="9" t="n">
        <v>108</v>
      </c>
      <c r="B109" s="38" t="str">
        <f aca="false">IF($T$4=0,IF($I109="","",$I109),IFERROR(IF([2]财务取数接口!$B$108=0,"",[2]财务取数接口!$B$108),""))</f>
        <v/>
      </c>
      <c r="C109" s="39" t="str">
        <f aca="false">IF($T$4=0,IF($J109="","",$J109),IFERROR(IF([2]财务取数接口!$C$108=0,"",[2]财务取数接口!$C$108),""))</f>
        <v>包装物料采购入库</v>
      </c>
      <c r="D109" s="40" t="str">
        <f aca="false">IF($T$4=0,IF($K109="","",$K109),IFERROR(IF([2]财务取数接口!$D$108=0,"",[2]财务取数接口!$D$108),""))</f>
        <v/>
      </c>
      <c r="E109" s="40" t="str">
        <f aca="false">IF($T$4=0,IF($L109="","",$L109),IFERROR(IF([2]财务取数接口!$E$108=0,"",[2]财务取数接口!$E$108),""))</f>
        <v>包</v>
      </c>
      <c r="F109" s="41" t="str">
        <f aca="false">IF($T$4=0,IF($M109="","",$M109),IFERROR(IF([2]财务取数接口!$G$108=0,"",[2]财务取数接口!$G$108),""))</f>
        <v/>
      </c>
      <c r="G109" s="41" t="str">
        <f aca="false">IF($T$4=0,IF($N109="","",$N109),IFERROR(IF([2]财务取数接口!$H$108=0,"",[2]财务取数接口!$H$108),""))</f>
        <v/>
      </c>
      <c r="H109" s="39" t="str">
        <f aca="false">IF($T$4=0,IF($O109="","",$O109),IFERROR(IF([2]财务取数接口!$I$108=0,"",[2]财务取数接口!$I$108),""))</f>
        <v/>
      </c>
      <c r="I109" s="42"/>
      <c r="J109" s="43"/>
      <c r="K109" s="42"/>
      <c r="L109" s="42"/>
      <c r="M109" s="44"/>
      <c r="N109" s="44"/>
      <c r="O109" s="43"/>
      <c r="P109" s="45" t="n">
        <f aca="false">IF(AND($C109&lt;&gt;"",$C109&lt;&gt;"项目",OR(N($D109)&lt;&gt;0,N($E109)&lt;&gt;0,N($F109)&lt;&gt;0)),1,0)</f>
        <v>0</v>
      </c>
      <c r="Q109" s="45" t="n">
        <f aca="false">N(Q108)+$P109</f>
        <v>0</v>
      </c>
    </row>
    <row r="110" customFormat="false" ht="13.5" hidden="false" customHeight="false" outlineLevel="0" collapsed="false">
      <c r="A110" s="9" t="n">
        <v>109</v>
      </c>
      <c r="B110" s="38" t="str">
        <f aca="false">IF($T$4=0,IF($I110="","",$I110),IFERROR(IF([2]财务取数接口!$B$109=0,"",[2]财务取数接口!$B$109),""))</f>
        <v/>
      </c>
      <c r="C110" s="39" t="str">
        <f aca="false">IF($T$4=0,IF($J110="","",$J110),IFERROR(IF([2]财务取数接口!$C$109=0,"",[2]财务取数接口!$C$109),""))</f>
        <v>包装物料采购入库</v>
      </c>
      <c r="D110" s="40" t="str">
        <f aca="false">IF($T$4=0,IF($K110="","",$K110),IFERROR(IF([2]财务取数接口!$D$109=0,"",[2]财务取数接口!$D$109),""))</f>
        <v/>
      </c>
      <c r="E110" s="40" t="str">
        <f aca="false">IF($T$4=0,IF($L110="","",$L110),IFERROR(IF([2]财务取数接口!$E$109=0,"",[2]财务取数接口!$E$109),""))</f>
        <v>包</v>
      </c>
      <c r="F110" s="41" t="str">
        <f aca="false">IF($T$4=0,IF($M110="","",$M110),IFERROR(IF([2]财务取数接口!$G$109=0,"",[2]财务取数接口!$G$109),""))</f>
        <v/>
      </c>
      <c r="G110" s="41" t="str">
        <f aca="false">IF($T$4=0,IF($N110="","",$N110),IFERROR(IF([2]财务取数接口!$H$109=0,"",[2]财务取数接口!$H$109),""))</f>
        <v/>
      </c>
      <c r="H110" s="39" t="str">
        <f aca="false">IF($T$4=0,IF($O110="","",$O110),IFERROR(IF([2]财务取数接口!$I$109=0,"",[2]财务取数接口!$I$109),""))</f>
        <v/>
      </c>
      <c r="I110" s="42"/>
      <c r="J110" s="43"/>
      <c r="K110" s="42"/>
      <c r="L110" s="42"/>
      <c r="M110" s="44"/>
      <c r="N110" s="44"/>
      <c r="O110" s="43"/>
      <c r="P110" s="45" t="n">
        <f aca="false">IF(AND($C110&lt;&gt;"",$C110&lt;&gt;"项目",OR(N($D110)&lt;&gt;0,N($E110)&lt;&gt;0,N($F110)&lt;&gt;0)),1,0)</f>
        <v>0</v>
      </c>
      <c r="Q110" s="45" t="n">
        <f aca="false">N(Q109)+$P110</f>
        <v>0</v>
      </c>
    </row>
    <row r="111" customFormat="false" ht="13.5" hidden="false" customHeight="false" outlineLevel="0" collapsed="false">
      <c r="A111" s="9" t="n">
        <v>110</v>
      </c>
      <c r="B111" s="38" t="str">
        <f aca="false">IF($T$4=0,IF($I111="","",$I111),IFERROR(IF([2]财务取数接口!$B$110=0,"",[2]财务取数接口!$B$110),""))</f>
        <v/>
      </c>
      <c r="C111" s="39" t="str">
        <f aca="false">IF($T$4=0,IF($J111="","",$J111),IFERROR(IF([2]财务取数接口!$C$110=0,"",[2]财务取数接口!$C$110),""))</f>
        <v>包装物料采购入库</v>
      </c>
      <c r="D111" s="40" t="str">
        <f aca="false">IF($T$4=0,IF($K111="","",$K111),IFERROR(IF([2]财务取数接口!$D$110=0,"",[2]财务取数接口!$D$110),""))</f>
        <v/>
      </c>
      <c r="E111" s="40" t="str">
        <f aca="false">IF($T$4=0,IF($L111="","",$L111),IFERROR(IF([2]财务取数接口!$E$110=0,"",[2]财务取数接口!$E$110),""))</f>
        <v>包</v>
      </c>
      <c r="F111" s="41" t="str">
        <f aca="false">IF($T$4=0,IF($M111="","",$M111),IFERROR(IF([2]财务取数接口!$G$110=0,"",[2]财务取数接口!$G$110),""))</f>
        <v/>
      </c>
      <c r="G111" s="41" t="str">
        <f aca="false">IF($T$4=0,IF($N111="","",$N111),IFERROR(IF([2]财务取数接口!$H$110=0,"",[2]财务取数接口!$H$110),""))</f>
        <v/>
      </c>
      <c r="H111" s="39" t="str">
        <f aca="false">IF($T$4=0,IF($O111="","",$O111),IFERROR(IF([2]财务取数接口!$I$110=0,"",[2]财务取数接口!$I$110),""))</f>
        <v/>
      </c>
      <c r="I111" s="42"/>
      <c r="J111" s="43"/>
      <c r="K111" s="42"/>
      <c r="L111" s="42"/>
      <c r="M111" s="44"/>
      <c r="N111" s="44"/>
      <c r="O111" s="43"/>
      <c r="P111" s="45" t="n">
        <f aca="false">IF(AND($C111&lt;&gt;"",$C111&lt;&gt;"项目",OR(N($D111)&lt;&gt;0,N($E111)&lt;&gt;0,N($F111)&lt;&gt;0)),1,0)</f>
        <v>0</v>
      </c>
      <c r="Q111" s="45" t="n">
        <f aca="false">N(Q110)+$P111</f>
        <v>0</v>
      </c>
    </row>
    <row r="112" customFormat="false" ht="13.5" hidden="false" customHeight="false" outlineLevel="0" collapsed="false">
      <c r="A112" s="9" t="n">
        <v>111</v>
      </c>
      <c r="B112" s="38" t="str">
        <f aca="false">IF($T$4=0,IF($I112="","",$I112),IFERROR(IF([2]财务取数接口!$B$111=0,"",[2]财务取数接口!$B$111),""))</f>
        <v/>
      </c>
      <c r="C112" s="39" t="str">
        <f aca="false">IF($T$4=0,IF($J112="","",$J112),IFERROR(IF([2]财务取数接口!$C$111=0,"",[2]财务取数接口!$C$111),""))</f>
        <v>包装物料采购入库</v>
      </c>
      <c r="D112" s="40" t="str">
        <f aca="false">IF($T$4=0,IF($K112="","",$K112),IFERROR(IF([2]财务取数接口!$D$111=0,"",[2]财务取数接口!$D$111),""))</f>
        <v/>
      </c>
      <c r="E112" s="40" t="str">
        <f aca="false">IF($T$4=0,IF($L112="","",$L112),IFERROR(IF([2]财务取数接口!$E$111=0,"",[2]财务取数接口!$E$111),""))</f>
        <v>包</v>
      </c>
      <c r="F112" s="41" t="str">
        <f aca="false">IF($T$4=0,IF($M112="","",$M112),IFERROR(IF([2]财务取数接口!$G$111=0,"",[2]财务取数接口!$G$111),""))</f>
        <v/>
      </c>
      <c r="G112" s="41" t="str">
        <f aca="false">IF($T$4=0,IF($N112="","",$N112),IFERROR(IF([2]财务取数接口!$H$111=0,"",[2]财务取数接口!$H$111),""))</f>
        <v/>
      </c>
      <c r="H112" s="39" t="str">
        <f aca="false">IF($T$4=0,IF($O112="","",$O112),IFERROR(IF([2]财务取数接口!$I$111=0,"",[2]财务取数接口!$I$111),""))</f>
        <v/>
      </c>
      <c r="I112" s="42"/>
      <c r="J112" s="43"/>
      <c r="K112" s="42"/>
      <c r="L112" s="42"/>
      <c r="M112" s="44"/>
      <c r="N112" s="44"/>
      <c r="O112" s="43"/>
      <c r="P112" s="45" t="n">
        <f aca="false">IF(AND($C112&lt;&gt;"",$C112&lt;&gt;"项目",OR(N($D112)&lt;&gt;0,N($E112)&lt;&gt;0,N($F112)&lt;&gt;0)),1,0)</f>
        <v>0</v>
      </c>
      <c r="Q112" s="45" t="n">
        <f aca="false">N(Q111)+$P112</f>
        <v>0</v>
      </c>
    </row>
    <row r="113" customFormat="false" ht="13.5" hidden="false" customHeight="false" outlineLevel="0" collapsed="false">
      <c r="A113" s="9" t="n">
        <v>112</v>
      </c>
      <c r="B113" s="38" t="str">
        <f aca="false">IF($T$4=0,IF($I113="","",$I113),IFERROR(IF([2]财务取数接口!$B$112=0,"",[2]财务取数接口!$B$112),""))</f>
        <v/>
      </c>
      <c r="C113" s="39" t="str">
        <f aca="false">IF($T$4=0,IF($J113="","",$J113),IFERROR(IF([2]财务取数接口!$C$112=0,"",[2]财务取数接口!$C$112),""))</f>
        <v>包装物料采购入库</v>
      </c>
      <c r="D113" s="40" t="str">
        <f aca="false">IF($T$4=0,IF($K113="","",$K113),IFERROR(IF([2]财务取数接口!$D$112=0,"",[2]财务取数接口!$D$112),""))</f>
        <v/>
      </c>
      <c r="E113" s="40" t="str">
        <f aca="false">IF($T$4=0,IF($L113="","",$L113),IFERROR(IF([2]财务取数接口!$E$112=0,"",[2]财务取数接口!$E$112),""))</f>
        <v>包</v>
      </c>
      <c r="F113" s="41" t="str">
        <f aca="false">IF($T$4=0,IF($M113="","",$M113),IFERROR(IF([2]财务取数接口!$G$112=0,"",[2]财务取数接口!$G$112),""))</f>
        <v/>
      </c>
      <c r="G113" s="41" t="str">
        <f aca="false">IF($T$4=0,IF($N113="","",$N113),IFERROR(IF([2]财务取数接口!$H$112=0,"",[2]财务取数接口!$H$112),""))</f>
        <v/>
      </c>
      <c r="H113" s="39" t="str">
        <f aca="false">IF($T$4=0,IF($O113="","",$O113),IFERROR(IF([2]财务取数接口!$I$112=0,"",[2]财务取数接口!$I$112),""))</f>
        <v/>
      </c>
      <c r="I113" s="42"/>
      <c r="J113" s="43"/>
      <c r="K113" s="42"/>
      <c r="L113" s="42"/>
      <c r="M113" s="44"/>
      <c r="N113" s="44"/>
      <c r="O113" s="43"/>
      <c r="P113" s="45" t="n">
        <f aca="false">IF(AND($C113&lt;&gt;"",$C113&lt;&gt;"项目",OR(N($D113)&lt;&gt;0,N($E113)&lt;&gt;0,N($F113)&lt;&gt;0)),1,0)</f>
        <v>0</v>
      </c>
      <c r="Q113" s="45" t="n">
        <f aca="false">N(Q112)+$P113</f>
        <v>0</v>
      </c>
    </row>
    <row r="114" customFormat="false" ht="13.5" hidden="false" customHeight="false" outlineLevel="0" collapsed="false">
      <c r="A114" s="9" t="n">
        <v>113</v>
      </c>
      <c r="B114" s="38" t="str">
        <f aca="false">IF($T$4=0,IF($I114="","",$I114),IFERROR(IF([2]财务取数接口!$B$113=0,"",[2]财务取数接口!$B$113),""))</f>
        <v/>
      </c>
      <c r="C114" s="39" t="str">
        <f aca="false">IF($T$4=0,IF($J114="","",$J114),IFERROR(IF([2]财务取数接口!$C$113=0,"",[2]财务取数接口!$C$113),""))</f>
        <v>包装物料采购入库</v>
      </c>
      <c r="D114" s="40" t="str">
        <f aca="false">IF($T$4=0,IF($K114="","",$K114),IFERROR(IF([2]财务取数接口!$D$113=0,"",[2]财务取数接口!$D$113),""))</f>
        <v/>
      </c>
      <c r="E114" s="40" t="str">
        <f aca="false">IF($T$4=0,IF($L114="","",$L114),IFERROR(IF([2]财务取数接口!$E$113=0,"",[2]财务取数接口!$E$113),""))</f>
        <v>包</v>
      </c>
      <c r="F114" s="41" t="str">
        <f aca="false">IF($T$4=0,IF($M114="","",$M114),IFERROR(IF([2]财务取数接口!$G$113=0,"",[2]财务取数接口!$G$113),""))</f>
        <v/>
      </c>
      <c r="G114" s="41" t="str">
        <f aca="false">IF($T$4=0,IF($N114="","",$N114),IFERROR(IF([2]财务取数接口!$H$113=0,"",[2]财务取数接口!$H$113),""))</f>
        <v/>
      </c>
      <c r="H114" s="39" t="str">
        <f aca="false">IF($T$4=0,IF($O114="","",$O114),IFERROR(IF([2]财务取数接口!$I$113=0,"",[2]财务取数接口!$I$113),""))</f>
        <v/>
      </c>
      <c r="I114" s="42"/>
      <c r="J114" s="43"/>
      <c r="K114" s="42"/>
      <c r="L114" s="42"/>
      <c r="M114" s="44"/>
      <c r="N114" s="44"/>
      <c r="O114" s="43"/>
      <c r="P114" s="45" t="n">
        <f aca="false">IF(AND($C114&lt;&gt;"",$C114&lt;&gt;"项目",OR(N($D114)&lt;&gt;0,N($E114)&lt;&gt;0,N($F114)&lt;&gt;0)),1,0)</f>
        <v>0</v>
      </c>
      <c r="Q114" s="45" t="n">
        <f aca="false">N(Q113)+$P114</f>
        <v>0</v>
      </c>
    </row>
    <row r="115" customFormat="false" ht="13.5" hidden="false" customHeight="false" outlineLevel="0" collapsed="false">
      <c r="A115" s="9" t="n">
        <v>114</v>
      </c>
      <c r="B115" s="38" t="str">
        <f aca="false">IF($T$4=0,IF($I115="","",$I115),IFERROR(IF([2]财务取数接口!$B$114=0,"",[2]财务取数接口!$B$114),""))</f>
        <v/>
      </c>
      <c r="C115" s="39" t="str">
        <f aca="false">IF($T$4=0,IF($J115="","",$J115),IFERROR(IF([2]财务取数接口!$C$114=0,"",[2]财务取数接口!$C$114),""))</f>
        <v>包装物料采购入库</v>
      </c>
      <c r="D115" s="40" t="str">
        <f aca="false">IF($T$4=0,IF($K115="","",$K115),IFERROR(IF([2]财务取数接口!$D$114=0,"",[2]财务取数接口!$D$114),""))</f>
        <v/>
      </c>
      <c r="E115" s="40" t="str">
        <f aca="false">IF($T$4=0,IF($L115="","",$L115),IFERROR(IF([2]财务取数接口!$E$114=0,"",[2]财务取数接口!$E$114),""))</f>
        <v>包</v>
      </c>
      <c r="F115" s="41" t="str">
        <f aca="false">IF($T$4=0,IF($M115="","",$M115),IFERROR(IF([2]财务取数接口!$G$114=0,"",[2]财务取数接口!$G$114),""))</f>
        <v/>
      </c>
      <c r="G115" s="41" t="str">
        <f aca="false">IF($T$4=0,IF($N115="","",$N115),IFERROR(IF([2]财务取数接口!$H$114=0,"",[2]财务取数接口!$H$114),""))</f>
        <v/>
      </c>
      <c r="H115" s="39" t="str">
        <f aca="false">IF($T$4=0,IF($O115="","",$O115),IFERROR(IF([2]财务取数接口!$I$114=0,"",[2]财务取数接口!$I$114),""))</f>
        <v/>
      </c>
      <c r="I115" s="42"/>
      <c r="J115" s="43"/>
      <c r="K115" s="42"/>
      <c r="L115" s="42"/>
      <c r="M115" s="44"/>
      <c r="N115" s="44"/>
      <c r="O115" s="43"/>
      <c r="P115" s="45" t="n">
        <f aca="false">IF(AND($C115&lt;&gt;"",$C115&lt;&gt;"项目",OR(N($D115)&lt;&gt;0,N($E115)&lt;&gt;0,N($F115)&lt;&gt;0)),1,0)</f>
        <v>0</v>
      </c>
      <c r="Q115" s="45" t="n">
        <f aca="false">N(Q114)+$P115</f>
        <v>0</v>
      </c>
    </row>
    <row r="116" customFormat="false" ht="13.5" hidden="false" customHeight="false" outlineLevel="0" collapsed="false">
      <c r="A116" s="9" t="n">
        <v>115</v>
      </c>
      <c r="B116" s="38" t="str">
        <f aca="false">IF($T$4=0,IF($I116="","",$I116),IFERROR(IF([2]财务取数接口!$B$115=0,"",[2]财务取数接口!$B$115),""))</f>
        <v/>
      </c>
      <c r="C116" s="39" t="str">
        <f aca="false">IF($T$4=0,IF($J116="","",$J116),IFERROR(IF([2]财务取数接口!$C$115=0,"",[2]财务取数接口!$C$115),""))</f>
        <v>包装物料采购入库</v>
      </c>
      <c r="D116" s="40" t="str">
        <f aca="false">IF($T$4=0,IF($K116="","",$K116),IFERROR(IF([2]财务取数接口!$D$115=0,"",[2]财务取数接口!$D$115),""))</f>
        <v/>
      </c>
      <c r="E116" s="40" t="str">
        <f aca="false">IF($T$4=0,IF($L116="","",$L116),IFERROR(IF([2]财务取数接口!$E$115=0,"",[2]财务取数接口!$E$115),""))</f>
        <v>包</v>
      </c>
      <c r="F116" s="41" t="str">
        <f aca="false">IF($T$4=0,IF($M116="","",$M116),IFERROR(IF([2]财务取数接口!$G$115=0,"",[2]财务取数接口!$G$115),""))</f>
        <v/>
      </c>
      <c r="G116" s="41" t="str">
        <f aca="false">IF($T$4=0,IF($N116="","",$N116),IFERROR(IF([2]财务取数接口!$H$115=0,"",[2]财务取数接口!$H$115),""))</f>
        <v/>
      </c>
      <c r="H116" s="39" t="str">
        <f aca="false">IF($T$4=0,IF($O116="","",$O116),IFERROR(IF([2]财务取数接口!$I$115=0,"",[2]财务取数接口!$I$115),""))</f>
        <v/>
      </c>
      <c r="I116" s="42"/>
      <c r="J116" s="43"/>
      <c r="K116" s="42"/>
      <c r="L116" s="42"/>
      <c r="M116" s="44"/>
      <c r="N116" s="44"/>
      <c r="O116" s="43"/>
      <c r="P116" s="45" t="n">
        <f aca="false">IF(AND($C116&lt;&gt;"",$C116&lt;&gt;"项目",OR(N($D116)&lt;&gt;0,N($E116)&lt;&gt;0,N($F116)&lt;&gt;0)),1,0)</f>
        <v>0</v>
      </c>
      <c r="Q116" s="45" t="n">
        <f aca="false">N(Q115)+$P116</f>
        <v>0</v>
      </c>
    </row>
    <row r="117" customFormat="false" ht="13.5" hidden="false" customHeight="false" outlineLevel="0" collapsed="false">
      <c r="A117" s="9" t="n">
        <v>116</v>
      </c>
      <c r="B117" s="38" t="str">
        <f aca="false">IF($T$4=0,IF($I117="","",$I117),IFERROR(IF([2]财务取数接口!$B$116=0,"",[2]财务取数接口!$B$116),""))</f>
        <v/>
      </c>
      <c r="C117" s="39" t="str">
        <f aca="false">IF($T$4=0,IF($J117="","",$J117),IFERROR(IF([2]财务取数接口!$C$116=0,"",[2]财务取数接口!$C$116),""))</f>
        <v>包装物料采购入库</v>
      </c>
      <c r="D117" s="40" t="str">
        <f aca="false">IF($T$4=0,IF($K117="","",$K117),IFERROR(IF([2]财务取数接口!$D$116=0,"",[2]财务取数接口!$D$116),""))</f>
        <v/>
      </c>
      <c r="E117" s="40" t="str">
        <f aca="false">IF($T$4=0,IF($L117="","",$L117),IFERROR(IF([2]财务取数接口!$E$116=0,"",[2]财务取数接口!$E$116),""))</f>
        <v>包</v>
      </c>
      <c r="F117" s="41" t="str">
        <f aca="false">IF($T$4=0,IF($M117="","",$M117),IFERROR(IF([2]财务取数接口!$G$116=0,"",[2]财务取数接口!$G$116),""))</f>
        <v/>
      </c>
      <c r="G117" s="41" t="str">
        <f aca="false">IF($T$4=0,IF($N117="","",$N117),IFERROR(IF([2]财务取数接口!$H$116=0,"",[2]财务取数接口!$H$116),""))</f>
        <v/>
      </c>
      <c r="H117" s="39" t="str">
        <f aca="false">IF($T$4=0,IF($O117="","",$O117),IFERROR(IF([2]财务取数接口!$I$116=0,"",[2]财务取数接口!$I$116),""))</f>
        <v/>
      </c>
      <c r="I117" s="42"/>
      <c r="J117" s="43"/>
      <c r="K117" s="42"/>
      <c r="L117" s="42"/>
      <c r="M117" s="44"/>
      <c r="N117" s="44"/>
      <c r="O117" s="43"/>
      <c r="P117" s="45" t="n">
        <f aca="false">IF(AND($C117&lt;&gt;"",$C117&lt;&gt;"项目",OR(N($D117)&lt;&gt;0,N($E117)&lt;&gt;0,N($F117)&lt;&gt;0)),1,0)</f>
        <v>0</v>
      </c>
      <c r="Q117" s="45" t="n">
        <f aca="false">N(Q116)+$P117</f>
        <v>0</v>
      </c>
    </row>
    <row r="118" customFormat="false" ht="13.5" hidden="false" customHeight="false" outlineLevel="0" collapsed="false">
      <c r="A118" s="9" t="n">
        <v>117</v>
      </c>
      <c r="B118" s="38" t="str">
        <f aca="false">IF($T$4=0,IF($I118="","",$I118),IFERROR(IF([2]财务取数接口!$B$117=0,"",[2]财务取数接口!$B$117),""))</f>
        <v/>
      </c>
      <c r="C118" s="39" t="str">
        <f aca="false">IF($T$4=0,IF($J118="","",$J118),IFERROR(IF([2]财务取数接口!$C$117=0,"",[2]财务取数接口!$C$117),""))</f>
        <v>包装物料采购入库</v>
      </c>
      <c r="D118" s="40" t="str">
        <f aca="false">IF($T$4=0,IF($K118="","",$K118),IFERROR(IF([2]财务取数接口!$D$117=0,"",[2]财务取数接口!$D$117),""))</f>
        <v/>
      </c>
      <c r="E118" s="40" t="str">
        <f aca="false">IF($T$4=0,IF($L118="","",$L118),IFERROR(IF([2]财务取数接口!$E$117=0,"",[2]财务取数接口!$E$117),""))</f>
        <v>包</v>
      </c>
      <c r="F118" s="41" t="str">
        <f aca="false">IF($T$4=0,IF($M118="","",$M118),IFERROR(IF([2]财务取数接口!$G$117=0,"",[2]财务取数接口!$G$117),""))</f>
        <v/>
      </c>
      <c r="G118" s="41" t="str">
        <f aca="false">IF($T$4=0,IF($N118="","",$N118),IFERROR(IF([2]财务取数接口!$H$117=0,"",[2]财务取数接口!$H$117),""))</f>
        <v/>
      </c>
      <c r="H118" s="39" t="str">
        <f aca="false">IF($T$4=0,IF($O118="","",$O118),IFERROR(IF([2]财务取数接口!$I$117=0,"",[2]财务取数接口!$I$117),""))</f>
        <v/>
      </c>
      <c r="I118" s="42"/>
      <c r="J118" s="43"/>
      <c r="K118" s="42"/>
      <c r="L118" s="42"/>
      <c r="M118" s="44"/>
      <c r="N118" s="44"/>
      <c r="O118" s="43"/>
      <c r="P118" s="45" t="n">
        <f aca="false">IF(AND($C118&lt;&gt;"",$C118&lt;&gt;"项目",OR(N($D118)&lt;&gt;0,N($E118)&lt;&gt;0,N($F118)&lt;&gt;0)),1,0)</f>
        <v>0</v>
      </c>
      <c r="Q118" s="45" t="n">
        <f aca="false">N(Q117)+$P118</f>
        <v>0</v>
      </c>
    </row>
    <row r="119" customFormat="false" ht="13.5" hidden="false" customHeight="false" outlineLevel="0" collapsed="false">
      <c r="A119" s="9" t="n">
        <v>118</v>
      </c>
      <c r="B119" s="38" t="str">
        <f aca="false">IF($T$4=0,IF($I119="","",$I119),IFERROR(IF([2]财务取数接口!$B$118=0,"",[2]财务取数接口!$B$118),""))</f>
        <v/>
      </c>
      <c r="C119" s="39" t="str">
        <f aca="false">IF($T$4=0,IF($J119="","",$J119),IFERROR(IF([2]财务取数接口!$C$118=0,"",[2]财务取数接口!$C$118),""))</f>
        <v>包装物料采购入库</v>
      </c>
      <c r="D119" s="40" t="str">
        <f aca="false">IF($T$4=0,IF($K119="","",$K119),IFERROR(IF([2]财务取数接口!$D$118=0,"",[2]财务取数接口!$D$118),""))</f>
        <v/>
      </c>
      <c r="E119" s="40" t="str">
        <f aca="false">IF($T$4=0,IF($L119="","",$L119),IFERROR(IF([2]财务取数接口!$E$118=0,"",[2]财务取数接口!$E$118),""))</f>
        <v>包</v>
      </c>
      <c r="F119" s="41" t="str">
        <f aca="false">IF($T$4=0,IF($M119="","",$M119),IFERROR(IF([2]财务取数接口!$G$118=0,"",[2]财务取数接口!$G$118),""))</f>
        <v/>
      </c>
      <c r="G119" s="41" t="str">
        <f aca="false">IF($T$4=0,IF($N119="","",$N119),IFERROR(IF([2]财务取数接口!$H$118=0,"",[2]财务取数接口!$H$118),""))</f>
        <v/>
      </c>
      <c r="H119" s="39" t="str">
        <f aca="false">IF($T$4=0,IF($O119="","",$O119),IFERROR(IF([2]财务取数接口!$I$118=0,"",[2]财务取数接口!$I$118),""))</f>
        <v/>
      </c>
      <c r="I119" s="42"/>
      <c r="J119" s="43"/>
      <c r="K119" s="42"/>
      <c r="L119" s="42"/>
      <c r="M119" s="44"/>
      <c r="N119" s="44"/>
      <c r="O119" s="43"/>
      <c r="P119" s="45" t="n">
        <f aca="false">IF(AND($C119&lt;&gt;"",$C119&lt;&gt;"项目",OR(N($D119)&lt;&gt;0,N($E119)&lt;&gt;0,N($F119)&lt;&gt;0)),1,0)</f>
        <v>0</v>
      </c>
      <c r="Q119" s="45" t="n">
        <f aca="false">N(Q118)+$P119</f>
        <v>0</v>
      </c>
    </row>
    <row r="120" customFormat="false" ht="13.5" hidden="false" customHeight="false" outlineLevel="0" collapsed="false">
      <c r="A120" s="9" t="n">
        <v>119</v>
      </c>
      <c r="B120" s="38" t="str">
        <f aca="false">IF($T$4=0,IF($I120="","",$I120),IFERROR(IF([2]财务取数接口!$B$119=0,"",[2]财务取数接口!$B$119),""))</f>
        <v/>
      </c>
      <c r="C120" s="39" t="str">
        <f aca="false">IF($T$4=0,IF($J120="","",$J120),IFERROR(IF([2]财务取数接口!$C$119=0,"",[2]财务取数接口!$C$119),""))</f>
        <v>包装物料采购入库</v>
      </c>
      <c r="D120" s="40" t="str">
        <f aca="false">IF($T$4=0,IF($K120="","",$K120),IFERROR(IF([2]财务取数接口!$D$119=0,"",[2]财务取数接口!$D$119),""))</f>
        <v/>
      </c>
      <c r="E120" s="40" t="str">
        <f aca="false">IF($T$4=0,IF($L120="","",$L120),IFERROR(IF([2]财务取数接口!$E$119=0,"",[2]财务取数接口!$E$119),""))</f>
        <v>包</v>
      </c>
      <c r="F120" s="41" t="str">
        <f aca="false">IF($T$4=0,IF($M120="","",$M120),IFERROR(IF([2]财务取数接口!$G$119=0,"",[2]财务取数接口!$G$119),""))</f>
        <v/>
      </c>
      <c r="G120" s="41" t="str">
        <f aca="false">IF($T$4=0,IF($N120="","",$N120),IFERROR(IF([2]财务取数接口!$H$119=0,"",[2]财务取数接口!$H$119),""))</f>
        <v/>
      </c>
      <c r="H120" s="39" t="str">
        <f aca="false">IF($T$4=0,IF($O120="","",$O120),IFERROR(IF([2]财务取数接口!$I$119=0,"",[2]财务取数接口!$I$119),""))</f>
        <v/>
      </c>
      <c r="I120" s="42"/>
      <c r="J120" s="43"/>
      <c r="K120" s="42"/>
      <c r="L120" s="42"/>
      <c r="M120" s="44"/>
      <c r="N120" s="44"/>
      <c r="O120" s="43"/>
      <c r="P120" s="45" t="n">
        <f aca="false">IF(AND($C120&lt;&gt;"",$C120&lt;&gt;"项目",OR(N($D120)&lt;&gt;0,N($E120)&lt;&gt;0,N($F120)&lt;&gt;0)),1,0)</f>
        <v>0</v>
      </c>
      <c r="Q120" s="45" t="n">
        <f aca="false">N(Q119)+$P120</f>
        <v>0</v>
      </c>
    </row>
    <row r="121" customFormat="false" ht="13.5" hidden="false" customHeight="false" outlineLevel="0" collapsed="false">
      <c r="A121" s="9" t="n">
        <v>120</v>
      </c>
      <c r="B121" s="38" t="str">
        <f aca="false">IF($T$4=0,IF($I121="","",$I121),IFERROR(IF([2]财务取数接口!$B$120=0,"",[2]财务取数接口!$B$120),""))</f>
        <v/>
      </c>
      <c r="C121" s="39" t="str">
        <f aca="false">IF($T$4=0,IF($J121="","",$J121),IFERROR(IF([2]财务取数接口!$C$120=0,"",[2]财务取数接口!$C$120),""))</f>
        <v>包装物料采购入库</v>
      </c>
      <c r="D121" s="40" t="str">
        <f aca="false">IF($T$4=0,IF($K121="","",$K121),IFERROR(IF([2]财务取数接口!$D$120=0,"",[2]财务取数接口!$D$120),""))</f>
        <v/>
      </c>
      <c r="E121" s="40" t="str">
        <f aca="false">IF($T$4=0,IF($L121="","",$L121),IFERROR(IF([2]财务取数接口!$E$120=0,"",[2]财务取数接口!$E$120),""))</f>
        <v>包</v>
      </c>
      <c r="F121" s="41" t="str">
        <f aca="false">IF($T$4=0,IF($M121="","",$M121),IFERROR(IF([2]财务取数接口!$G$120=0,"",[2]财务取数接口!$G$120),""))</f>
        <v/>
      </c>
      <c r="G121" s="41" t="str">
        <f aca="false">IF($T$4=0,IF($N121="","",$N121),IFERROR(IF([2]财务取数接口!$H$120=0,"",[2]财务取数接口!$H$120),""))</f>
        <v/>
      </c>
      <c r="H121" s="39" t="str">
        <f aca="false">IF($T$4=0,IF($O121="","",$O121),IFERROR(IF([2]财务取数接口!$I$120=0,"",[2]财务取数接口!$I$120),""))</f>
        <v/>
      </c>
      <c r="I121" s="42"/>
      <c r="J121" s="43"/>
      <c r="K121" s="42"/>
      <c r="L121" s="42"/>
      <c r="M121" s="44"/>
      <c r="N121" s="44"/>
      <c r="O121" s="43"/>
      <c r="P121" s="45" t="n">
        <f aca="false">IF(AND($C121&lt;&gt;"",$C121&lt;&gt;"项目",OR(N($D121)&lt;&gt;0,N($E121)&lt;&gt;0,N($F121)&lt;&gt;0)),1,0)</f>
        <v>0</v>
      </c>
      <c r="Q121" s="45" t="n">
        <f aca="false">N(Q120)+$P121</f>
        <v>0</v>
      </c>
    </row>
    <row r="122" customFormat="false" ht="13.5" hidden="false" customHeight="false" outlineLevel="0" collapsed="false">
      <c r="A122" s="9" t="n">
        <v>121</v>
      </c>
      <c r="B122" s="38" t="str">
        <f aca="false">IF($T$4=0,IF($I122="","",$I122),IFERROR(IF([2]财务取数接口!$B$121=0,"",[2]财务取数接口!$B$121),""))</f>
        <v/>
      </c>
      <c r="C122" s="39" t="str">
        <f aca="false">IF($T$4=0,IF($J122="","",$J122),IFERROR(IF([2]财务取数接口!$C$121=0,"",[2]财务取数接口!$C$121),""))</f>
        <v>包装物料采购入库</v>
      </c>
      <c r="D122" s="40" t="str">
        <f aca="false">IF($T$4=0,IF($K122="","",$K122),IFERROR(IF([2]财务取数接口!$D$121=0,"",[2]财务取数接口!$D$121),""))</f>
        <v/>
      </c>
      <c r="E122" s="40" t="str">
        <f aca="false">IF($T$4=0,IF($L122="","",$L122),IFERROR(IF([2]财务取数接口!$E$121=0,"",[2]财务取数接口!$E$121),""))</f>
        <v>包</v>
      </c>
      <c r="F122" s="41" t="str">
        <f aca="false">IF($T$4=0,IF($M122="","",$M122),IFERROR(IF([2]财务取数接口!$G$121=0,"",[2]财务取数接口!$G$121),""))</f>
        <v/>
      </c>
      <c r="G122" s="41" t="str">
        <f aca="false">IF($T$4=0,IF($N122="","",$N122),IFERROR(IF([2]财务取数接口!$H$121=0,"",[2]财务取数接口!$H$121),""))</f>
        <v/>
      </c>
      <c r="H122" s="39" t="str">
        <f aca="false">IF($T$4=0,IF($O122="","",$O122),IFERROR(IF([2]财务取数接口!$I$121=0,"",[2]财务取数接口!$I$121),""))</f>
        <v/>
      </c>
      <c r="I122" s="42"/>
      <c r="J122" s="43"/>
      <c r="K122" s="42"/>
      <c r="L122" s="42"/>
      <c r="M122" s="44"/>
      <c r="N122" s="44"/>
      <c r="O122" s="43"/>
      <c r="P122" s="45" t="n">
        <f aca="false">IF(AND($C122&lt;&gt;"",$C122&lt;&gt;"项目",OR(N($D122)&lt;&gt;0,N($E122)&lt;&gt;0,N($F122)&lt;&gt;0)),1,0)</f>
        <v>0</v>
      </c>
      <c r="Q122" s="45" t="n">
        <f aca="false">N(Q121)+$P122</f>
        <v>0</v>
      </c>
    </row>
    <row r="123" customFormat="false" ht="13.5" hidden="false" customHeight="false" outlineLevel="0" collapsed="false">
      <c r="A123" s="9" t="n">
        <v>122</v>
      </c>
      <c r="B123" s="38" t="str">
        <f aca="false">IF($T$4=0,IF($I123="","",$I123),IFERROR(IF([2]财务取数接口!$B$122=0,"",[2]财务取数接口!$B$122),""))</f>
        <v/>
      </c>
      <c r="C123" s="39" t="str">
        <f aca="false">IF($T$4=0,IF($J123="","",$J123),IFERROR(IF([2]财务取数接口!$C$122=0,"",[2]财务取数接口!$C$122),""))</f>
        <v>包装物料采购入库</v>
      </c>
      <c r="D123" s="40" t="str">
        <f aca="false">IF($T$4=0,IF($K123="","",$K123),IFERROR(IF([2]财务取数接口!$D$122=0,"",[2]财务取数接口!$D$122),""))</f>
        <v/>
      </c>
      <c r="E123" s="40" t="str">
        <f aca="false">IF($T$4=0,IF($L123="","",$L123),IFERROR(IF([2]财务取数接口!$E$122=0,"",[2]财务取数接口!$E$122),""))</f>
        <v>包</v>
      </c>
      <c r="F123" s="41" t="str">
        <f aca="false">IF($T$4=0,IF($M123="","",$M123),IFERROR(IF([2]财务取数接口!$G$122=0,"",[2]财务取数接口!$G$122),""))</f>
        <v/>
      </c>
      <c r="G123" s="41" t="str">
        <f aca="false">IF($T$4=0,IF($N123="","",$N123),IFERROR(IF([2]财务取数接口!$H$122=0,"",[2]财务取数接口!$H$122),""))</f>
        <v/>
      </c>
      <c r="H123" s="39" t="str">
        <f aca="false">IF($T$4=0,IF($O123="","",$O123),IFERROR(IF([2]财务取数接口!$I$122=0,"",[2]财务取数接口!$I$122),""))</f>
        <v/>
      </c>
      <c r="I123" s="42"/>
      <c r="J123" s="43"/>
      <c r="K123" s="42"/>
      <c r="L123" s="42"/>
      <c r="M123" s="44"/>
      <c r="N123" s="44"/>
      <c r="O123" s="43"/>
      <c r="P123" s="45" t="n">
        <f aca="false">IF(AND($C123&lt;&gt;"",$C123&lt;&gt;"项目",OR(N($D123)&lt;&gt;0,N($E123)&lt;&gt;0,N($F123)&lt;&gt;0)),1,0)</f>
        <v>0</v>
      </c>
      <c r="Q123" s="45" t="n">
        <f aca="false">N(Q122)+$P123</f>
        <v>0</v>
      </c>
    </row>
    <row r="124" customFormat="false" ht="13.5" hidden="false" customHeight="false" outlineLevel="0" collapsed="false">
      <c r="A124" s="9" t="n">
        <v>123</v>
      </c>
      <c r="B124" s="38" t="str">
        <f aca="false">IF($T$4=0,IF($I124="","",$I124),IFERROR(IF([2]财务取数接口!$B$123=0,"",[2]财务取数接口!$B$123),""))</f>
        <v/>
      </c>
      <c r="C124" s="39" t="str">
        <f aca="false">IF($T$4=0,IF($J124="","",$J124),IFERROR(IF([2]财务取数接口!$C$123=0,"",[2]财务取数接口!$C$123),""))</f>
        <v>包装物料采购入库</v>
      </c>
      <c r="D124" s="40" t="str">
        <f aca="false">IF($T$4=0,IF($K124="","",$K124),IFERROR(IF([2]财务取数接口!$D$123=0,"",[2]财务取数接口!$D$123),""))</f>
        <v/>
      </c>
      <c r="E124" s="40" t="str">
        <f aca="false">IF($T$4=0,IF($L124="","",$L124),IFERROR(IF([2]财务取数接口!$E$123=0,"",[2]财务取数接口!$E$123),""))</f>
        <v>包</v>
      </c>
      <c r="F124" s="41" t="str">
        <f aca="false">IF($T$4=0,IF($M124="","",$M124),IFERROR(IF([2]财务取数接口!$G$123=0,"",[2]财务取数接口!$G$123),""))</f>
        <v/>
      </c>
      <c r="G124" s="41" t="str">
        <f aca="false">IF($T$4=0,IF($N124="","",$N124),IFERROR(IF([2]财务取数接口!$H$123=0,"",[2]财务取数接口!$H$123),""))</f>
        <v/>
      </c>
      <c r="H124" s="39" t="str">
        <f aca="false">IF($T$4=0,IF($O124="","",$O124),IFERROR(IF([2]财务取数接口!$I$123=0,"",[2]财务取数接口!$I$123),""))</f>
        <v/>
      </c>
      <c r="I124" s="42"/>
      <c r="J124" s="43"/>
      <c r="K124" s="42"/>
      <c r="L124" s="42"/>
      <c r="M124" s="44"/>
      <c r="N124" s="44"/>
      <c r="O124" s="43"/>
      <c r="P124" s="45" t="n">
        <f aca="false">IF(AND($C124&lt;&gt;"",$C124&lt;&gt;"项目",OR(N($D124)&lt;&gt;0,N($E124)&lt;&gt;0,N($F124)&lt;&gt;0)),1,0)</f>
        <v>0</v>
      </c>
      <c r="Q124" s="45" t="n">
        <f aca="false">N(Q123)+$P124</f>
        <v>0</v>
      </c>
    </row>
    <row r="125" customFormat="false" ht="13.5" hidden="false" customHeight="false" outlineLevel="0" collapsed="false">
      <c r="A125" s="9" t="n">
        <v>124</v>
      </c>
      <c r="B125" s="38" t="str">
        <f aca="false">IF($T$4=0,IF($I125="","",$I125),IFERROR(IF([2]财务取数接口!$B$124=0,"",[2]财务取数接口!$B$124),""))</f>
        <v/>
      </c>
      <c r="C125" s="39" t="str">
        <f aca="false">IF($T$4=0,IF($J125="","",$J125),IFERROR(IF([2]财务取数接口!$C$124=0,"",[2]财务取数接口!$C$124),""))</f>
        <v>包装物料采购入库</v>
      </c>
      <c r="D125" s="40" t="str">
        <f aca="false">IF($T$4=0,IF($K125="","",$K125),IFERROR(IF([2]财务取数接口!$D$124=0,"",[2]财务取数接口!$D$124),""))</f>
        <v/>
      </c>
      <c r="E125" s="40" t="str">
        <f aca="false">IF($T$4=0,IF($L125="","",$L125),IFERROR(IF([2]财务取数接口!$E$124=0,"",[2]财务取数接口!$E$124),""))</f>
        <v>包</v>
      </c>
      <c r="F125" s="41" t="str">
        <f aca="false">IF($T$4=0,IF($M125="","",$M125),IFERROR(IF([2]财务取数接口!$G$124=0,"",[2]财务取数接口!$G$124),""))</f>
        <v/>
      </c>
      <c r="G125" s="41" t="str">
        <f aca="false">IF($T$4=0,IF($N125="","",$N125),IFERROR(IF([2]财务取数接口!$H$124=0,"",[2]财务取数接口!$H$124),""))</f>
        <v/>
      </c>
      <c r="H125" s="39" t="str">
        <f aca="false">IF($T$4=0,IF($O125="","",$O125),IFERROR(IF([2]财务取数接口!$I$124=0,"",[2]财务取数接口!$I$124),""))</f>
        <v/>
      </c>
      <c r="I125" s="42"/>
      <c r="J125" s="43"/>
      <c r="K125" s="42"/>
      <c r="L125" s="42"/>
      <c r="M125" s="44"/>
      <c r="N125" s="44"/>
      <c r="O125" s="43"/>
      <c r="P125" s="45" t="n">
        <f aca="false">IF(AND($C125&lt;&gt;"",$C125&lt;&gt;"项目",OR(N($D125)&lt;&gt;0,N($E125)&lt;&gt;0,N($F125)&lt;&gt;0)),1,0)</f>
        <v>0</v>
      </c>
      <c r="Q125" s="45" t="n">
        <f aca="false">N(Q124)+$P125</f>
        <v>0</v>
      </c>
    </row>
    <row r="126" customFormat="false" ht="13.5" hidden="false" customHeight="false" outlineLevel="0" collapsed="false">
      <c r="A126" s="9" t="n">
        <v>125</v>
      </c>
      <c r="B126" s="38" t="str">
        <f aca="false">IF($T$4=0,IF($I126="","",$I126),IFERROR(IF([2]财务取数接口!$B$125=0,"",[2]财务取数接口!$B$125),""))</f>
        <v/>
      </c>
      <c r="C126" s="39" t="str">
        <f aca="false">IF($T$4=0,IF($J126="","",$J126),IFERROR(IF([2]财务取数接口!$C$125=0,"",[2]财务取数接口!$C$125),""))</f>
        <v>包装物料采购入库</v>
      </c>
      <c r="D126" s="40" t="str">
        <f aca="false">IF($T$4=0,IF($K126="","",$K126),IFERROR(IF([2]财务取数接口!$D$125=0,"",[2]财务取数接口!$D$125),""))</f>
        <v/>
      </c>
      <c r="E126" s="40" t="str">
        <f aca="false">IF($T$4=0,IF($L126="","",$L126),IFERROR(IF([2]财务取数接口!$E$125=0,"",[2]财务取数接口!$E$125),""))</f>
        <v>包</v>
      </c>
      <c r="F126" s="41" t="str">
        <f aca="false">IF($T$4=0,IF($M126="","",$M126),IFERROR(IF([2]财务取数接口!$G$125=0,"",[2]财务取数接口!$G$125),""))</f>
        <v/>
      </c>
      <c r="G126" s="41" t="str">
        <f aca="false">IF($T$4=0,IF($N126="","",$N126),IFERROR(IF([2]财务取数接口!$H$125=0,"",[2]财务取数接口!$H$125),""))</f>
        <v/>
      </c>
      <c r="H126" s="39" t="str">
        <f aca="false">IF($T$4=0,IF($O126="","",$O126),IFERROR(IF([2]财务取数接口!$I$125=0,"",[2]财务取数接口!$I$125),""))</f>
        <v/>
      </c>
      <c r="I126" s="42"/>
      <c r="J126" s="43"/>
      <c r="K126" s="42"/>
      <c r="L126" s="42"/>
      <c r="M126" s="44"/>
      <c r="N126" s="44"/>
      <c r="O126" s="43"/>
      <c r="P126" s="45" t="n">
        <f aca="false">IF(AND($C126&lt;&gt;"",$C126&lt;&gt;"项目",OR(N($D126)&lt;&gt;0,N($E126)&lt;&gt;0,N($F126)&lt;&gt;0)),1,0)</f>
        <v>0</v>
      </c>
      <c r="Q126" s="45" t="n">
        <f aca="false">N(Q125)+$P126</f>
        <v>0</v>
      </c>
    </row>
    <row r="127" customFormat="false" ht="13.5" hidden="false" customHeight="false" outlineLevel="0" collapsed="false">
      <c r="A127" s="9" t="n">
        <v>126</v>
      </c>
      <c r="B127" s="38" t="str">
        <f aca="false">IF($T$4=0,IF($I127="","",$I127),IFERROR(IF([2]财务取数接口!$B$126=0,"",[2]财务取数接口!$B$126),""))</f>
        <v/>
      </c>
      <c r="C127" s="39" t="str">
        <f aca="false">IF($T$4=0,IF($J127="","",$J127),IFERROR(IF([2]财务取数接口!$C$126=0,"",[2]财务取数接口!$C$126),""))</f>
        <v>包装物料采购入库</v>
      </c>
      <c r="D127" s="40" t="str">
        <f aca="false">IF($T$4=0,IF($K127="","",$K127),IFERROR(IF([2]财务取数接口!$D$126=0,"",[2]财务取数接口!$D$126),""))</f>
        <v/>
      </c>
      <c r="E127" s="40" t="str">
        <f aca="false">IF($T$4=0,IF($L127="","",$L127),IFERROR(IF([2]财务取数接口!$E$126=0,"",[2]财务取数接口!$E$126),""))</f>
        <v>包</v>
      </c>
      <c r="F127" s="41" t="str">
        <f aca="false">IF($T$4=0,IF($M127="","",$M127),IFERROR(IF([2]财务取数接口!$G$126=0,"",[2]财务取数接口!$G$126),""))</f>
        <v/>
      </c>
      <c r="G127" s="41" t="str">
        <f aca="false">IF($T$4=0,IF($N127="","",$N127),IFERROR(IF([2]财务取数接口!$H$126=0,"",[2]财务取数接口!$H$126),""))</f>
        <v/>
      </c>
      <c r="H127" s="39" t="str">
        <f aca="false">IF($T$4=0,IF($O127="","",$O127),IFERROR(IF([2]财务取数接口!$I$126=0,"",[2]财务取数接口!$I$126),""))</f>
        <v/>
      </c>
      <c r="I127" s="42"/>
      <c r="J127" s="43"/>
      <c r="K127" s="42"/>
      <c r="L127" s="42"/>
      <c r="M127" s="44"/>
      <c r="N127" s="44"/>
      <c r="O127" s="43"/>
      <c r="P127" s="45" t="n">
        <f aca="false">IF(AND($C127&lt;&gt;"",$C127&lt;&gt;"项目",OR(N($D127)&lt;&gt;0,N($E127)&lt;&gt;0,N($F127)&lt;&gt;0)),1,0)</f>
        <v>0</v>
      </c>
      <c r="Q127" s="45" t="n">
        <f aca="false">N(Q126)+$P127</f>
        <v>0</v>
      </c>
    </row>
    <row r="128" customFormat="false" ht="13.5" hidden="false" customHeight="false" outlineLevel="0" collapsed="false">
      <c r="A128" s="9" t="n">
        <v>127</v>
      </c>
      <c r="B128" s="38" t="str">
        <f aca="false">IF($T$4=0,IF($I128="","",$I128),IFERROR(IF([2]财务取数接口!$B$127=0,"",[2]财务取数接口!$B$127),""))</f>
        <v/>
      </c>
      <c r="C128" s="39" t="str">
        <f aca="false">IF($T$4=0,IF($J128="","",$J128),IFERROR(IF([2]财务取数接口!$C$127=0,"",[2]财务取数接口!$C$127),""))</f>
        <v>周转筐托盘采购入库</v>
      </c>
      <c r="D128" s="40" t="str">
        <f aca="false">IF($T$4=0,IF($K128="","",$K128),IFERROR(IF([2]财务取数接口!$D$127=0,"",[2]财务取数接口!$D$127),""))</f>
        <v/>
      </c>
      <c r="E128" s="40" t="str">
        <f aca="false">IF($T$4=0,IF($L128="","",$L128),IFERROR(IF([2]财务取数接口!$E$127=0,"",[2]财务取数接口!$E$127),""))</f>
        <v>个</v>
      </c>
      <c r="F128" s="41" t="str">
        <f aca="false">IF($T$4=0,IF($M128="","",$M128),IFERROR(IF([2]财务取数接口!$G$127=0,"",[2]财务取数接口!$G$127),""))</f>
        <v/>
      </c>
      <c r="G128" s="41" t="str">
        <f aca="false">IF($T$4=0,IF($N128="","",$N128),IFERROR(IF([2]财务取数接口!$H$127=0,"",[2]财务取数接口!$H$127),""))</f>
        <v/>
      </c>
      <c r="H128" s="39" t="str">
        <f aca="false">IF($T$4=0,IF($O128="","",$O128),IFERROR(IF([2]财务取数接口!$I$127=0,"",[2]财务取数接口!$I$127),""))</f>
        <v/>
      </c>
      <c r="I128" s="42"/>
      <c r="J128" s="43"/>
      <c r="K128" s="42"/>
      <c r="L128" s="42"/>
      <c r="M128" s="44"/>
      <c r="N128" s="44"/>
      <c r="O128" s="43"/>
      <c r="P128" s="45" t="n">
        <f aca="false">IF(AND($C128&lt;&gt;"",$C128&lt;&gt;"项目",OR(N($D128)&lt;&gt;0,N($E128)&lt;&gt;0,N($F128)&lt;&gt;0)),1,0)</f>
        <v>0</v>
      </c>
      <c r="Q128" s="45" t="n">
        <f aca="false">N(Q127)+$P128</f>
        <v>0</v>
      </c>
    </row>
    <row r="129" customFormat="false" ht="13.5" hidden="false" customHeight="false" outlineLevel="0" collapsed="false">
      <c r="A129" s="9" t="n">
        <v>128</v>
      </c>
      <c r="B129" s="38" t="str">
        <f aca="false">IF($T$4=0,IF($I129="","",$I129),IFERROR(IF([2]财务取数接口!$B$128=0,"",[2]财务取数接口!$B$128),""))</f>
        <v/>
      </c>
      <c r="C129" s="39" t="str">
        <f aca="false">IF($T$4=0,IF($J129="","",$J129),IFERROR(IF([2]财务取数接口!$C$128=0,"",[2]财务取数接口!$C$128),""))</f>
        <v>周转筐托盘采购入库</v>
      </c>
      <c r="D129" s="40" t="str">
        <f aca="false">IF($T$4=0,IF($K129="","",$K129),IFERROR(IF([2]财务取数接口!$D$128=0,"",[2]财务取数接口!$D$128),""))</f>
        <v/>
      </c>
      <c r="E129" s="40" t="str">
        <f aca="false">IF($T$4=0,IF($L129="","",$L129),IFERROR(IF([2]财务取数接口!$E$128=0,"",[2]财务取数接口!$E$128),""))</f>
        <v>个</v>
      </c>
      <c r="F129" s="41" t="str">
        <f aca="false">IF($T$4=0,IF($M129="","",$M129),IFERROR(IF([2]财务取数接口!$G$128=0,"",[2]财务取数接口!$G$128),""))</f>
        <v/>
      </c>
      <c r="G129" s="41" t="str">
        <f aca="false">IF($T$4=0,IF($N129="","",$N129),IFERROR(IF([2]财务取数接口!$H$128=0,"",[2]财务取数接口!$H$128),""))</f>
        <v/>
      </c>
      <c r="H129" s="39" t="str">
        <f aca="false">IF($T$4=0,IF($O129="","",$O129),IFERROR(IF([2]财务取数接口!$I$128=0,"",[2]财务取数接口!$I$128),""))</f>
        <v/>
      </c>
      <c r="I129" s="42"/>
      <c r="J129" s="43"/>
      <c r="K129" s="42"/>
      <c r="L129" s="42"/>
      <c r="M129" s="44"/>
      <c r="N129" s="44"/>
      <c r="O129" s="43"/>
      <c r="P129" s="45" t="n">
        <f aca="false">IF(AND($C129&lt;&gt;"",$C129&lt;&gt;"项目",OR(N($D129)&lt;&gt;0,N($E129)&lt;&gt;0,N($F129)&lt;&gt;0)),1,0)</f>
        <v>0</v>
      </c>
      <c r="Q129" s="45" t="n">
        <f aca="false">N(Q128)+$P129</f>
        <v>0</v>
      </c>
    </row>
    <row r="130" customFormat="false" ht="13.5" hidden="false" customHeight="false" outlineLevel="0" collapsed="false">
      <c r="A130" s="9" t="n">
        <v>129</v>
      </c>
      <c r="B130" s="38" t="str">
        <f aca="false">IF($T$4=0,IF($I130="","",$I130),IFERROR(IF([2]财务取数接口!$B$129=0,"",[2]财务取数接口!$B$129),""))</f>
        <v/>
      </c>
      <c r="C130" s="39" t="str">
        <f aca="false">IF($T$4=0,IF($J130="","",$J130),IFERROR(IF([2]财务取数接口!$C$129=0,"",[2]财务取数接口!$C$129),""))</f>
        <v>周转筐托盘采购入库</v>
      </c>
      <c r="D130" s="40" t="str">
        <f aca="false">IF($T$4=0,IF($K130="","",$K130),IFERROR(IF([2]财务取数接口!$D$129=0,"",[2]财务取数接口!$D$129),""))</f>
        <v/>
      </c>
      <c r="E130" s="40" t="str">
        <f aca="false">IF($T$4=0,IF($L130="","",$L130),IFERROR(IF([2]财务取数接口!$E$129=0,"",[2]财务取数接口!$E$129),""))</f>
        <v>个</v>
      </c>
      <c r="F130" s="41" t="str">
        <f aca="false">IF($T$4=0,IF($M130="","",$M130),IFERROR(IF([2]财务取数接口!$G$129=0,"",[2]财务取数接口!$G$129),""))</f>
        <v/>
      </c>
      <c r="G130" s="41" t="str">
        <f aca="false">IF($T$4=0,IF($N130="","",$N130),IFERROR(IF([2]财务取数接口!$H$129=0,"",[2]财务取数接口!$H$129),""))</f>
        <v/>
      </c>
      <c r="H130" s="39" t="str">
        <f aca="false">IF($T$4=0,IF($O130="","",$O130),IFERROR(IF([2]财务取数接口!$I$129=0,"",[2]财务取数接口!$I$129),""))</f>
        <v/>
      </c>
      <c r="I130" s="42"/>
      <c r="J130" s="43"/>
      <c r="K130" s="42"/>
      <c r="L130" s="42"/>
      <c r="M130" s="44"/>
      <c r="N130" s="44"/>
      <c r="O130" s="43"/>
      <c r="P130" s="45" t="n">
        <f aca="false">IF(AND($C130&lt;&gt;"",$C130&lt;&gt;"项目",OR(N($D130)&lt;&gt;0,N($E130)&lt;&gt;0,N($F130)&lt;&gt;0)),1,0)</f>
        <v>0</v>
      </c>
      <c r="Q130" s="45" t="n">
        <f aca="false">N(Q129)+$P130</f>
        <v>0</v>
      </c>
    </row>
    <row r="131" customFormat="false" ht="13.5" hidden="false" customHeight="false" outlineLevel="0" collapsed="false">
      <c r="A131" s="9" t="n">
        <v>130</v>
      </c>
      <c r="B131" s="38" t="str">
        <f aca="false">IF($T$4=0,IF($I131="","",$I131),IFERROR(IF([2]财务取数接口!$B$130=0,"",[2]财务取数接口!$B$130),""))</f>
        <v/>
      </c>
      <c r="C131" s="39" t="str">
        <f aca="false">IF($T$4=0,IF($J131="","",$J131),IFERROR(IF([2]财务取数接口!$C$130=0,"",[2]财务取数接口!$C$130),""))</f>
        <v>周转筐托盘采购入库</v>
      </c>
      <c r="D131" s="40" t="str">
        <f aca="false">IF($T$4=0,IF($K131="","",$K131),IFERROR(IF([2]财务取数接口!$D$130=0,"",[2]财务取数接口!$D$130),""))</f>
        <v/>
      </c>
      <c r="E131" s="40" t="str">
        <f aca="false">IF($T$4=0,IF($L131="","",$L131),IFERROR(IF([2]财务取数接口!$E$130=0,"",[2]财务取数接口!$E$130),""))</f>
        <v>个</v>
      </c>
      <c r="F131" s="41" t="str">
        <f aca="false">IF($T$4=0,IF($M131="","",$M131),IFERROR(IF([2]财务取数接口!$G$130=0,"",[2]财务取数接口!$G$130),""))</f>
        <v/>
      </c>
      <c r="G131" s="41" t="str">
        <f aca="false">IF($T$4=0,IF($N131="","",$N131),IFERROR(IF([2]财务取数接口!$H$130=0,"",[2]财务取数接口!$H$130),""))</f>
        <v/>
      </c>
      <c r="H131" s="39" t="str">
        <f aca="false">IF($T$4=0,IF($O131="","",$O131),IFERROR(IF([2]财务取数接口!$I$130=0,"",[2]财务取数接口!$I$130),""))</f>
        <v/>
      </c>
      <c r="I131" s="42"/>
      <c r="J131" s="43"/>
      <c r="K131" s="42"/>
      <c r="L131" s="42"/>
      <c r="M131" s="44"/>
      <c r="N131" s="44"/>
      <c r="O131" s="43"/>
      <c r="P131" s="45" t="n">
        <f aca="false">IF(AND($C131&lt;&gt;"",$C131&lt;&gt;"项目",OR(N($D131)&lt;&gt;0,N($E131)&lt;&gt;0,N($F131)&lt;&gt;0)),1,0)</f>
        <v>0</v>
      </c>
      <c r="Q131" s="45" t="n">
        <f aca="false">N(Q130)+$P131</f>
        <v>0</v>
      </c>
    </row>
    <row r="132" customFormat="false" ht="13.5" hidden="false" customHeight="false" outlineLevel="0" collapsed="false">
      <c r="A132" s="9" t="n">
        <v>131</v>
      </c>
      <c r="B132" s="38" t="str">
        <f aca="false">IF($T$4=0,IF($I132="","",$I132),IFERROR(IF([2]财务取数接口!$B$131=0,"",[2]财务取数接口!$B$131),""))</f>
        <v/>
      </c>
      <c r="C132" s="39" t="str">
        <f aca="false">IF($T$4=0,IF($J132="","",$J132),IFERROR(IF([2]财务取数接口!$C$131=0,"",[2]财务取数接口!$C$131),""))</f>
        <v>周转筐托盘采购入库</v>
      </c>
      <c r="D132" s="40" t="str">
        <f aca="false">IF($T$4=0,IF($K132="","",$K132),IFERROR(IF([2]财务取数接口!$D$131=0,"",[2]财务取数接口!$D$131),""))</f>
        <v/>
      </c>
      <c r="E132" s="40" t="str">
        <f aca="false">IF($T$4=0,IF($L132="","",$L132),IFERROR(IF([2]财务取数接口!$E$131=0,"",[2]财务取数接口!$E$131),""))</f>
        <v>个</v>
      </c>
      <c r="F132" s="41" t="str">
        <f aca="false">IF($T$4=0,IF($M132="","",$M132),IFERROR(IF([2]财务取数接口!$G$131=0,"",[2]财务取数接口!$G$131),""))</f>
        <v/>
      </c>
      <c r="G132" s="41" t="str">
        <f aca="false">IF($T$4=0,IF($N132="","",$N132),IFERROR(IF([2]财务取数接口!$H$131=0,"",[2]财务取数接口!$H$131),""))</f>
        <v/>
      </c>
      <c r="H132" s="39" t="str">
        <f aca="false">IF($T$4=0,IF($O132="","",$O132),IFERROR(IF([2]财务取数接口!$I$131=0,"",[2]财务取数接口!$I$131),""))</f>
        <v/>
      </c>
      <c r="I132" s="42"/>
      <c r="J132" s="43"/>
      <c r="K132" s="42"/>
      <c r="L132" s="42"/>
      <c r="M132" s="44"/>
      <c r="N132" s="44"/>
      <c r="O132" s="43"/>
      <c r="P132" s="45" t="n">
        <f aca="false">IF(AND($C132&lt;&gt;"",$C132&lt;&gt;"项目",OR(N($D132)&lt;&gt;0,N($E132)&lt;&gt;0,N($F132)&lt;&gt;0)),1,0)</f>
        <v>0</v>
      </c>
      <c r="Q132" s="45" t="n">
        <f aca="false">N(Q131)+$P132</f>
        <v>0</v>
      </c>
    </row>
    <row r="133" customFormat="false" ht="13.5" hidden="false" customHeight="false" outlineLevel="0" collapsed="false">
      <c r="A133" s="9" t="n">
        <v>132</v>
      </c>
      <c r="B133" s="38" t="str">
        <f aca="false">IF($T$4=0,IF($I133="","",$I133),IFERROR(IF([2]财务取数接口!$B$132=0,"",[2]财务取数接口!$B$132),""))</f>
        <v/>
      </c>
      <c r="C133" s="39" t="str">
        <f aca="false">IF($T$4=0,IF($J133="","",$J133),IFERROR(IF([2]财务取数接口!$C$132=0,"",[2]财务取数接口!$C$132),""))</f>
        <v>周转筐托盘采购入库</v>
      </c>
      <c r="D133" s="40" t="str">
        <f aca="false">IF($T$4=0,IF($K133="","",$K133),IFERROR(IF([2]财务取数接口!$D$132=0,"",[2]财务取数接口!$D$132),""))</f>
        <v/>
      </c>
      <c r="E133" s="40" t="str">
        <f aca="false">IF($T$4=0,IF($L133="","",$L133),IFERROR(IF([2]财务取数接口!$E$132=0,"",[2]财务取数接口!$E$132),""))</f>
        <v>个</v>
      </c>
      <c r="F133" s="41" t="str">
        <f aca="false">IF($T$4=0,IF($M133="","",$M133),IFERROR(IF([2]财务取数接口!$G$132=0,"",[2]财务取数接口!$G$132),""))</f>
        <v/>
      </c>
      <c r="G133" s="41" t="str">
        <f aca="false">IF($T$4=0,IF($N133="","",$N133),IFERROR(IF([2]财务取数接口!$H$132=0,"",[2]财务取数接口!$H$132),""))</f>
        <v/>
      </c>
      <c r="H133" s="39" t="str">
        <f aca="false">IF($T$4=0,IF($O133="","",$O133),IFERROR(IF([2]财务取数接口!$I$132=0,"",[2]财务取数接口!$I$132),""))</f>
        <v/>
      </c>
      <c r="I133" s="42"/>
      <c r="J133" s="43"/>
      <c r="K133" s="42"/>
      <c r="L133" s="42"/>
      <c r="M133" s="44"/>
      <c r="N133" s="44"/>
      <c r="O133" s="43"/>
      <c r="P133" s="45" t="n">
        <f aca="false">IF(AND($C133&lt;&gt;"",$C133&lt;&gt;"项目",OR(N($D133)&lt;&gt;0,N($E133)&lt;&gt;0,N($F133)&lt;&gt;0)),1,0)</f>
        <v>0</v>
      </c>
      <c r="Q133" s="45" t="n">
        <f aca="false">N(Q132)+$P133</f>
        <v>0</v>
      </c>
    </row>
    <row r="134" customFormat="false" ht="13.5" hidden="false" customHeight="false" outlineLevel="0" collapsed="false">
      <c r="A134" s="9" t="n">
        <v>133</v>
      </c>
      <c r="B134" s="38" t="str">
        <f aca="false">IF($T$4=0,IF($I134="","",$I134),IFERROR(IF([2]财务取数接口!$B$133=0,"",[2]财务取数接口!$B$133),""))</f>
        <v/>
      </c>
      <c r="C134" s="39" t="str">
        <f aca="false">IF($T$4=0,IF($J134="","",$J134),IFERROR(IF([2]财务取数接口!$C$133=0,"",[2]财务取数接口!$C$133),""))</f>
        <v>周转筐托盘采购入库</v>
      </c>
      <c r="D134" s="40" t="str">
        <f aca="false">IF($T$4=0,IF($K134="","",$K134),IFERROR(IF([2]财务取数接口!$D$133=0,"",[2]财务取数接口!$D$133),""))</f>
        <v/>
      </c>
      <c r="E134" s="40" t="str">
        <f aca="false">IF($T$4=0,IF($L134="","",$L134),IFERROR(IF([2]财务取数接口!$E$133=0,"",[2]财务取数接口!$E$133),""))</f>
        <v>个</v>
      </c>
      <c r="F134" s="41" t="str">
        <f aca="false">IF($T$4=0,IF($M134="","",$M134),IFERROR(IF([2]财务取数接口!$G$133=0,"",[2]财务取数接口!$G$133),""))</f>
        <v/>
      </c>
      <c r="G134" s="41" t="str">
        <f aca="false">IF($T$4=0,IF($N134="","",$N134),IFERROR(IF([2]财务取数接口!$H$133=0,"",[2]财务取数接口!$H$133),""))</f>
        <v/>
      </c>
      <c r="H134" s="39" t="str">
        <f aca="false">IF($T$4=0,IF($O134="","",$O134),IFERROR(IF([2]财务取数接口!$I$133=0,"",[2]财务取数接口!$I$133),""))</f>
        <v/>
      </c>
      <c r="I134" s="42"/>
      <c r="J134" s="43"/>
      <c r="K134" s="42"/>
      <c r="L134" s="42"/>
      <c r="M134" s="44"/>
      <c r="N134" s="44"/>
      <c r="O134" s="43"/>
      <c r="P134" s="45" t="n">
        <f aca="false">IF(AND($C134&lt;&gt;"",$C134&lt;&gt;"项目",OR(N($D134)&lt;&gt;0,N($E134)&lt;&gt;0,N($F134)&lt;&gt;0)),1,0)</f>
        <v>0</v>
      </c>
      <c r="Q134" s="45" t="n">
        <f aca="false">N(Q133)+$P134</f>
        <v>0</v>
      </c>
    </row>
    <row r="135" customFormat="false" ht="13.5" hidden="false" customHeight="false" outlineLevel="0" collapsed="false">
      <c r="A135" s="9" t="n">
        <v>134</v>
      </c>
      <c r="B135" s="38" t="str">
        <f aca="false">IF($T$4=0,IF($I135="","",$I135),IFERROR(IF([2]财务取数接口!$B$134=0,"",[2]财务取数接口!$B$134),""))</f>
        <v/>
      </c>
      <c r="C135" s="39" t="str">
        <f aca="false">IF($T$4=0,IF($J135="","",$J135),IFERROR(IF([2]财务取数接口!$C$134=0,"",[2]财务取数接口!$C$134),""))</f>
        <v>周转筐托盘采购入库</v>
      </c>
      <c r="D135" s="40" t="str">
        <f aca="false">IF($T$4=0,IF($K135="","",$K135),IFERROR(IF([2]财务取数接口!$D$134=0,"",[2]财务取数接口!$D$134),""))</f>
        <v/>
      </c>
      <c r="E135" s="40" t="str">
        <f aca="false">IF($T$4=0,IF($L135="","",$L135),IFERROR(IF([2]财务取数接口!$E$134=0,"",[2]财务取数接口!$E$134),""))</f>
        <v>个</v>
      </c>
      <c r="F135" s="41" t="str">
        <f aca="false">IF($T$4=0,IF($M135="","",$M135),IFERROR(IF([2]财务取数接口!$G$134=0,"",[2]财务取数接口!$G$134),""))</f>
        <v/>
      </c>
      <c r="G135" s="41" t="str">
        <f aca="false">IF($T$4=0,IF($N135="","",$N135),IFERROR(IF([2]财务取数接口!$H$134=0,"",[2]财务取数接口!$H$134),""))</f>
        <v/>
      </c>
      <c r="H135" s="39" t="str">
        <f aca="false">IF($T$4=0,IF($O135="","",$O135),IFERROR(IF([2]财务取数接口!$I$134=0,"",[2]财务取数接口!$I$134),""))</f>
        <v/>
      </c>
      <c r="I135" s="42"/>
      <c r="J135" s="43"/>
      <c r="K135" s="42"/>
      <c r="L135" s="42"/>
      <c r="M135" s="44"/>
      <c r="N135" s="44"/>
      <c r="O135" s="43"/>
      <c r="P135" s="45" t="n">
        <f aca="false">IF(AND($C135&lt;&gt;"",$C135&lt;&gt;"项目",OR(N($D135)&lt;&gt;0,N($E135)&lt;&gt;0,N($F135)&lt;&gt;0)),1,0)</f>
        <v>0</v>
      </c>
      <c r="Q135" s="45" t="n">
        <f aca="false">N(Q134)+$P135</f>
        <v>0</v>
      </c>
    </row>
    <row r="136" customFormat="false" ht="13.5" hidden="false" customHeight="false" outlineLevel="0" collapsed="false">
      <c r="A136" s="9" t="n">
        <v>135</v>
      </c>
      <c r="B136" s="38" t="str">
        <f aca="false">IF($T$4=0,IF($I136="","",$I136),IFERROR(IF([2]财务取数接口!$B$135=0,"",[2]财务取数接口!$B$135),""))</f>
        <v/>
      </c>
      <c r="C136" s="39" t="str">
        <f aca="false">IF($T$4=0,IF($J136="","",$J136),IFERROR(IF([2]财务取数接口!$C$135=0,"",[2]财务取数接口!$C$135),""))</f>
        <v>周转筐托盘采购入库</v>
      </c>
      <c r="D136" s="40" t="str">
        <f aca="false">IF($T$4=0,IF($K136="","",$K136),IFERROR(IF([2]财务取数接口!$D$135=0,"",[2]财务取数接口!$D$135),""))</f>
        <v/>
      </c>
      <c r="E136" s="40" t="str">
        <f aca="false">IF($T$4=0,IF($L136="","",$L136),IFERROR(IF([2]财务取数接口!$E$135=0,"",[2]财务取数接口!$E$135),""))</f>
        <v>个</v>
      </c>
      <c r="F136" s="41" t="str">
        <f aca="false">IF($T$4=0,IF($M136="","",$M136),IFERROR(IF([2]财务取数接口!$G$135=0,"",[2]财务取数接口!$G$135),""))</f>
        <v/>
      </c>
      <c r="G136" s="41" t="str">
        <f aca="false">IF($T$4=0,IF($N136="","",$N136),IFERROR(IF([2]财务取数接口!$H$135=0,"",[2]财务取数接口!$H$135),""))</f>
        <v/>
      </c>
      <c r="H136" s="39" t="str">
        <f aca="false">IF($T$4=0,IF($O136="","",$O136),IFERROR(IF([2]财务取数接口!$I$135=0,"",[2]财务取数接口!$I$135),""))</f>
        <v/>
      </c>
      <c r="I136" s="42"/>
      <c r="J136" s="43"/>
      <c r="K136" s="42"/>
      <c r="L136" s="42"/>
      <c r="M136" s="44"/>
      <c r="N136" s="44"/>
      <c r="O136" s="43"/>
      <c r="P136" s="45" t="n">
        <f aca="false">IF(AND($C136&lt;&gt;"",$C136&lt;&gt;"项目",OR(N($D136)&lt;&gt;0,N($E136)&lt;&gt;0,N($F136)&lt;&gt;0)),1,0)</f>
        <v>0</v>
      </c>
      <c r="Q136" s="45" t="n">
        <f aca="false">N(Q135)+$P136</f>
        <v>0</v>
      </c>
    </row>
    <row r="137" customFormat="false" ht="13.5" hidden="false" customHeight="false" outlineLevel="0" collapsed="false">
      <c r="A137" s="9" t="n">
        <v>136</v>
      </c>
      <c r="B137" s="38" t="str">
        <f aca="false">IF($T$4=0,IF($I137="","",$I137),IFERROR(IF([2]财务取数接口!$B$136=0,"",[2]财务取数接口!$B$136),""))</f>
        <v/>
      </c>
      <c r="C137" s="39" t="str">
        <f aca="false">IF($T$4=0,IF($J137="","",$J137),IFERROR(IF([2]财务取数接口!$C$136=0,"",[2]财务取数接口!$C$136),""))</f>
        <v>周转筐托盘采购入库</v>
      </c>
      <c r="D137" s="40" t="str">
        <f aca="false">IF($T$4=0,IF($K137="","",$K137),IFERROR(IF([2]财务取数接口!$D$136=0,"",[2]财务取数接口!$D$136),""))</f>
        <v/>
      </c>
      <c r="E137" s="40" t="str">
        <f aca="false">IF($T$4=0,IF($L137="","",$L137),IFERROR(IF([2]财务取数接口!$E$136=0,"",[2]财务取数接口!$E$136),""))</f>
        <v>个</v>
      </c>
      <c r="F137" s="41" t="str">
        <f aca="false">IF($T$4=0,IF($M137="","",$M137),IFERROR(IF([2]财务取数接口!$G$136=0,"",[2]财务取数接口!$G$136),""))</f>
        <v/>
      </c>
      <c r="G137" s="41" t="str">
        <f aca="false">IF($T$4=0,IF($N137="","",$N137),IFERROR(IF([2]财务取数接口!$H$136=0,"",[2]财务取数接口!$H$136),""))</f>
        <v/>
      </c>
      <c r="H137" s="39" t="str">
        <f aca="false">IF($T$4=0,IF($O137="","",$O137),IFERROR(IF([2]财务取数接口!$I$136=0,"",[2]财务取数接口!$I$136),""))</f>
        <v/>
      </c>
      <c r="I137" s="42"/>
      <c r="J137" s="43"/>
      <c r="K137" s="42"/>
      <c r="L137" s="42"/>
      <c r="M137" s="44"/>
      <c r="N137" s="44"/>
      <c r="O137" s="43"/>
      <c r="P137" s="45" t="n">
        <f aca="false">IF(AND($C137&lt;&gt;"",$C137&lt;&gt;"项目",OR(N($D137)&lt;&gt;0,N($E137)&lt;&gt;0,N($F137)&lt;&gt;0)),1,0)</f>
        <v>0</v>
      </c>
      <c r="Q137" s="45" t="n">
        <f aca="false">N(Q136)+$P137</f>
        <v>0</v>
      </c>
    </row>
    <row r="138" customFormat="false" ht="13.5" hidden="false" customHeight="false" outlineLevel="0" collapsed="false">
      <c r="A138" s="9" t="n">
        <v>137</v>
      </c>
      <c r="B138" s="38" t="str">
        <f aca="false">IF($T$4=0,IF($I138="","",$I138),IFERROR(IF([2]财务取数接口!$B$137=0,"",[2]财务取数接口!$B$137),""))</f>
        <v/>
      </c>
      <c r="C138" s="39" t="str">
        <f aca="false">IF($T$4=0,IF($J138="","",$J138),IFERROR(IF([2]财务取数接口!$C$137=0,"",[2]财务取数接口!$C$137),""))</f>
        <v>周转筐托盘采购入库</v>
      </c>
      <c r="D138" s="40" t="str">
        <f aca="false">IF($T$4=0,IF($K138="","",$K138),IFERROR(IF([2]财务取数接口!$D$137=0,"",[2]财务取数接口!$D$137),""))</f>
        <v/>
      </c>
      <c r="E138" s="40" t="str">
        <f aca="false">IF($T$4=0,IF($L138="","",$L138),IFERROR(IF([2]财务取数接口!$E$137=0,"",[2]财务取数接口!$E$137),""))</f>
        <v>个</v>
      </c>
      <c r="F138" s="41" t="str">
        <f aca="false">IF($T$4=0,IF($M138="","",$M138),IFERROR(IF([2]财务取数接口!$G$137=0,"",[2]财务取数接口!$G$137),""))</f>
        <v/>
      </c>
      <c r="G138" s="41" t="str">
        <f aca="false">IF($T$4=0,IF($N138="","",$N138),IFERROR(IF([2]财务取数接口!$H$137=0,"",[2]财务取数接口!$H$137),""))</f>
        <v/>
      </c>
      <c r="H138" s="39" t="str">
        <f aca="false">IF($T$4=0,IF($O138="","",$O138),IFERROR(IF([2]财务取数接口!$I$137=0,"",[2]财务取数接口!$I$137),""))</f>
        <v/>
      </c>
      <c r="I138" s="42"/>
      <c r="J138" s="43"/>
      <c r="K138" s="42"/>
      <c r="L138" s="42"/>
      <c r="M138" s="44"/>
      <c r="N138" s="44"/>
      <c r="O138" s="43"/>
      <c r="P138" s="45" t="n">
        <f aca="false">IF(AND($C138&lt;&gt;"",$C138&lt;&gt;"项目",OR(N($D138)&lt;&gt;0,N($E138)&lt;&gt;0,N($F138)&lt;&gt;0)),1,0)</f>
        <v>0</v>
      </c>
      <c r="Q138" s="45" t="n">
        <f aca="false">N(Q137)+$P138</f>
        <v>0</v>
      </c>
    </row>
    <row r="139" customFormat="false" ht="13.5" hidden="false" customHeight="false" outlineLevel="0" collapsed="false">
      <c r="A139" s="9" t="n">
        <v>138</v>
      </c>
      <c r="B139" s="38" t="str">
        <f aca="false">IF($T$4=0,IF($I139="","",$I139),IFERROR(IF([2]财务取数接口!$B$138=0,"",[2]财务取数接口!$B$138),""))</f>
        <v/>
      </c>
      <c r="C139" s="39" t="str">
        <f aca="false">IF($T$4=0,IF($J139="","",$J139),IFERROR(IF([2]财务取数接口!$C$138=0,"",[2]财务取数接口!$C$138),""))</f>
        <v>周转筐托盘采购入库</v>
      </c>
      <c r="D139" s="40" t="str">
        <f aca="false">IF($T$4=0,IF($K139="","",$K139),IFERROR(IF([2]财务取数接口!$D$138=0,"",[2]财务取数接口!$D$138),""))</f>
        <v/>
      </c>
      <c r="E139" s="40" t="str">
        <f aca="false">IF($T$4=0,IF($L139="","",$L139),IFERROR(IF([2]财务取数接口!$E$138=0,"",[2]财务取数接口!$E$138),""))</f>
        <v>个</v>
      </c>
      <c r="F139" s="41" t="str">
        <f aca="false">IF($T$4=0,IF($M139="","",$M139),IFERROR(IF([2]财务取数接口!$G$138=0,"",[2]财务取数接口!$G$138),""))</f>
        <v/>
      </c>
      <c r="G139" s="41" t="str">
        <f aca="false">IF($T$4=0,IF($N139="","",$N139),IFERROR(IF([2]财务取数接口!$H$138=0,"",[2]财务取数接口!$H$138),""))</f>
        <v/>
      </c>
      <c r="H139" s="39" t="str">
        <f aca="false">IF($T$4=0,IF($O139="","",$O139),IFERROR(IF([2]财务取数接口!$I$138=0,"",[2]财务取数接口!$I$138),""))</f>
        <v/>
      </c>
      <c r="I139" s="42"/>
      <c r="J139" s="43"/>
      <c r="K139" s="42"/>
      <c r="L139" s="42"/>
      <c r="M139" s="44"/>
      <c r="N139" s="44"/>
      <c r="O139" s="43"/>
      <c r="P139" s="45" t="n">
        <f aca="false">IF(AND($C139&lt;&gt;"",$C139&lt;&gt;"项目",OR(N($D139)&lt;&gt;0,N($E139)&lt;&gt;0,N($F139)&lt;&gt;0)),1,0)</f>
        <v>0</v>
      </c>
      <c r="Q139" s="45" t="n">
        <f aca="false">N(Q138)+$P139</f>
        <v>0</v>
      </c>
    </row>
    <row r="140" customFormat="false" ht="13.5" hidden="false" customHeight="false" outlineLevel="0" collapsed="false">
      <c r="A140" s="9" t="n">
        <v>139</v>
      </c>
      <c r="B140" s="38" t="str">
        <f aca="false">IF($T$4=0,IF($I140="","",$I140),IFERROR(IF([2]财务取数接口!$B$139=0,"",[2]财务取数接口!$B$139),""))</f>
        <v/>
      </c>
      <c r="C140" s="39" t="str">
        <f aca="false">IF($T$4=0,IF($J140="","",$J140),IFERROR(IF([2]财务取数接口!$C$139=0,"",[2]财务取数接口!$C$139),""))</f>
        <v>周转筐托盘采购入库</v>
      </c>
      <c r="D140" s="40" t="str">
        <f aca="false">IF($T$4=0,IF($K140="","",$K140),IFERROR(IF([2]财务取数接口!$D$139=0,"",[2]财务取数接口!$D$139),""))</f>
        <v/>
      </c>
      <c r="E140" s="40" t="str">
        <f aca="false">IF($T$4=0,IF($L140="","",$L140),IFERROR(IF([2]财务取数接口!$E$139=0,"",[2]财务取数接口!$E$139),""))</f>
        <v>个</v>
      </c>
      <c r="F140" s="41" t="str">
        <f aca="false">IF($T$4=0,IF($M140="","",$M140),IFERROR(IF([2]财务取数接口!$G$139=0,"",[2]财务取数接口!$G$139),""))</f>
        <v/>
      </c>
      <c r="G140" s="41" t="str">
        <f aca="false">IF($T$4=0,IF($N140="","",$N140),IFERROR(IF([2]财务取数接口!$H$139=0,"",[2]财务取数接口!$H$139),""))</f>
        <v/>
      </c>
      <c r="H140" s="39" t="str">
        <f aca="false">IF($T$4=0,IF($O140="","",$O140),IFERROR(IF([2]财务取数接口!$I$139=0,"",[2]财务取数接口!$I$139),""))</f>
        <v/>
      </c>
      <c r="I140" s="42"/>
      <c r="J140" s="43"/>
      <c r="K140" s="42"/>
      <c r="L140" s="42"/>
      <c r="M140" s="44"/>
      <c r="N140" s="44"/>
      <c r="O140" s="43"/>
      <c r="P140" s="45" t="n">
        <f aca="false">IF(AND($C140&lt;&gt;"",$C140&lt;&gt;"项目",OR(N($D140)&lt;&gt;0,N($E140)&lt;&gt;0,N($F140)&lt;&gt;0)),1,0)</f>
        <v>0</v>
      </c>
      <c r="Q140" s="45" t="n">
        <f aca="false">N(Q139)+$P140</f>
        <v>0</v>
      </c>
    </row>
    <row r="141" customFormat="false" ht="13.5" hidden="false" customHeight="false" outlineLevel="0" collapsed="false">
      <c r="A141" s="9" t="n">
        <v>140</v>
      </c>
      <c r="B141" s="38" t="str">
        <f aca="false">IF($T$4=0,IF($I141="","",$I141),IFERROR(IF([2]财务取数接口!$B$140=0,"",[2]财务取数接口!$B$140),""))</f>
        <v/>
      </c>
      <c r="C141" s="39" t="str">
        <f aca="false">IF($T$4=0,IF($J141="","",$J141),IFERROR(IF([2]财务取数接口!$C$140=0,"",[2]财务取数接口!$C$140),""))</f>
        <v>周转筐托盘采购入库</v>
      </c>
      <c r="D141" s="40" t="str">
        <f aca="false">IF($T$4=0,IF($K141="","",$K141),IFERROR(IF([2]财务取数接口!$D$140=0,"",[2]财务取数接口!$D$140),""))</f>
        <v/>
      </c>
      <c r="E141" s="40" t="str">
        <f aca="false">IF($T$4=0,IF($L141="","",$L141),IFERROR(IF([2]财务取数接口!$E$140=0,"",[2]财务取数接口!$E$140),""))</f>
        <v>个</v>
      </c>
      <c r="F141" s="41" t="str">
        <f aca="false">IF($T$4=0,IF($M141="","",$M141),IFERROR(IF([2]财务取数接口!$G$140=0,"",[2]财务取数接口!$G$140),""))</f>
        <v/>
      </c>
      <c r="G141" s="41" t="str">
        <f aca="false">IF($T$4=0,IF($N141="","",$N141),IFERROR(IF([2]财务取数接口!$H$140=0,"",[2]财务取数接口!$H$140),""))</f>
        <v/>
      </c>
      <c r="H141" s="39" t="str">
        <f aca="false">IF($T$4=0,IF($O141="","",$O141),IFERROR(IF([2]财务取数接口!$I$140=0,"",[2]财务取数接口!$I$140),""))</f>
        <v/>
      </c>
      <c r="I141" s="42"/>
      <c r="J141" s="43"/>
      <c r="K141" s="42"/>
      <c r="L141" s="42"/>
      <c r="M141" s="44"/>
      <c r="N141" s="44"/>
      <c r="O141" s="43"/>
      <c r="P141" s="45" t="n">
        <f aca="false">IF(AND($C141&lt;&gt;"",$C141&lt;&gt;"项目",OR(N($D141)&lt;&gt;0,N($E141)&lt;&gt;0,N($F141)&lt;&gt;0)),1,0)</f>
        <v>0</v>
      </c>
      <c r="Q141" s="45" t="n">
        <f aca="false">N(Q140)+$P141</f>
        <v>0</v>
      </c>
    </row>
    <row r="142" customFormat="false" ht="13.5" hidden="false" customHeight="false" outlineLevel="0" collapsed="false">
      <c r="A142" s="9" t="n">
        <v>141</v>
      </c>
      <c r="B142" s="38" t="str">
        <f aca="false">IF($T$4=0,IF($I142="","",$I142),IFERROR(IF([2]财务取数接口!$B$141=0,"",[2]财务取数接口!$B$141),""))</f>
        <v/>
      </c>
      <c r="C142" s="39" t="str">
        <f aca="false">IF($T$4=0,IF($J142="","",$J142),IFERROR(IF([2]财务取数接口!$C$141=0,"",[2]财务取数接口!$C$141),""))</f>
        <v>周转筐托盘采购入库</v>
      </c>
      <c r="D142" s="40" t="str">
        <f aca="false">IF($T$4=0,IF($K142="","",$K142),IFERROR(IF([2]财务取数接口!$D$141=0,"",[2]财务取数接口!$D$141),""))</f>
        <v/>
      </c>
      <c r="E142" s="40" t="str">
        <f aca="false">IF($T$4=0,IF($L142="","",$L142),IFERROR(IF([2]财务取数接口!$E$141=0,"",[2]财务取数接口!$E$141),""))</f>
        <v>个</v>
      </c>
      <c r="F142" s="41" t="str">
        <f aca="false">IF($T$4=0,IF($M142="","",$M142),IFERROR(IF([2]财务取数接口!$G$141=0,"",[2]财务取数接口!$G$141),""))</f>
        <v/>
      </c>
      <c r="G142" s="41" t="str">
        <f aca="false">IF($T$4=0,IF($N142="","",$N142),IFERROR(IF([2]财务取数接口!$H$141=0,"",[2]财务取数接口!$H$141),""))</f>
        <v/>
      </c>
      <c r="H142" s="39" t="str">
        <f aca="false">IF($T$4=0,IF($O142="","",$O142),IFERROR(IF([2]财务取数接口!$I$141=0,"",[2]财务取数接口!$I$141),""))</f>
        <v/>
      </c>
      <c r="I142" s="42"/>
      <c r="J142" s="43"/>
      <c r="K142" s="42"/>
      <c r="L142" s="42"/>
      <c r="M142" s="44"/>
      <c r="N142" s="44"/>
      <c r="O142" s="43"/>
      <c r="P142" s="45" t="n">
        <f aca="false">IF(AND($C142&lt;&gt;"",$C142&lt;&gt;"项目",OR(N($D142)&lt;&gt;0,N($E142)&lt;&gt;0,N($F142)&lt;&gt;0)),1,0)</f>
        <v>0</v>
      </c>
      <c r="Q142" s="45" t="n">
        <f aca="false">N(Q141)+$P142</f>
        <v>0</v>
      </c>
    </row>
    <row r="143" customFormat="false" ht="13.5" hidden="false" customHeight="false" outlineLevel="0" collapsed="false">
      <c r="A143" s="9" t="n">
        <v>142</v>
      </c>
      <c r="B143" s="38" t="str">
        <f aca="false">IF($T$4=0,IF($I143="","",$I143),IFERROR(IF([2]财务取数接口!$B$142=0,"",[2]财务取数接口!$B$142),""))</f>
        <v/>
      </c>
      <c r="C143" s="39" t="str">
        <f aca="false">IF($T$4=0,IF($J143="","",$J143),IFERROR(IF([2]财务取数接口!$C$142=0,"",[2]财务取数接口!$C$142),""))</f>
        <v>周转筐托盘采购入库</v>
      </c>
      <c r="D143" s="40" t="str">
        <f aca="false">IF($T$4=0,IF($K143="","",$K143),IFERROR(IF([2]财务取数接口!$D$142=0,"",[2]财务取数接口!$D$142),""))</f>
        <v/>
      </c>
      <c r="E143" s="40" t="str">
        <f aca="false">IF($T$4=0,IF($L143="","",$L143),IFERROR(IF([2]财务取数接口!$E$142=0,"",[2]财务取数接口!$E$142),""))</f>
        <v>个</v>
      </c>
      <c r="F143" s="41" t="str">
        <f aca="false">IF($T$4=0,IF($M143="","",$M143),IFERROR(IF([2]财务取数接口!$G$142=0,"",[2]财务取数接口!$G$142),""))</f>
        <v/>
      </c>
      <c r="G143" s="41" t="str">
        <f aca="false">IF($T$4=0,IF($N143="","",$N143),IFERROR(IF([2]财务取数接口!$H$142=0,"",[2]财务取数接口!$H$142),""))</f>
        <v/>
      </c>
      <c r="H143" s="39" t="str">
        <f aca="false">IF($T$4=0,IF($O143="","",$O143),IFERROR(IF([2]财务取数接口!$I$142=0,"",[2]财务取数接口!$I$142),""))</f>
        <v/>
      </c>
      <c r="I143" s="42"/>
      <c r="J143" s="43"/>
      <c r="K143" s="42"/>
      <c r="L143" s="42"/>
      <c r="M143" s="44"/>
      <c r="N143" s="44"/>
      <c r="O143" s="43"/>
      <c r="P143" s="45" t="n">
        <f aca="false">IF(AND($C143&lt;&gt;"",$C143&lt;&gt;"项目",OR(N($D143)&lt;&gt;0,N($E143)&lt;&gt;0,N($F143)&lt;&gt;0)),1,0)</f>
        <v>0</v>
      </c>
      <c r="Q143" s="45" t="n">
        <f aca="false">N(Q142)+$P143</f>
        <v>0</v>
      </c>
    </row>
    <row r="144" customFormat="false" ht="13.5" hidden="false" customHeight="false" outlineLevel="0" collapsed="false">
      <c r="A144" s="9" t="n">
        <v>143</v>
      </c>
      <c r="B144" s="38" t="str">
        <f aca="false">IF($T$4=0,IF($I144="","",$I144),IFERROR(IF([2]财务取数接口!$B$143=0,"",[2]财务取数接口!$B$143),""))</f>
        <v/>
      </c>
      <c r="C144" s="39" t="str">
        <f aca="false">IF($T$4=0,IF($J144="","",$J144),IFERROR(IF([2]财务取数接口!$C$143=0,"",[2]财务取数接口!$C$143),""))</f>
        <v>周转筐托盘采购入库</v>
      </c>
      <c r="D144" s="40" t="str">
        <f aca="false">IF($T$4=0,IF($K144="","",$K144),IFERROR(IF([2]财务取数接口!$D$143=0,"",[2]财务取数接口!$D$143),""))</f>
        <v/>
      </c>
      <c r="E144" s="40" t="str">
        <f aca="false">IF($T$4=0,IF($L144="","",$L144),IFERROR(IF([2]财务取数接口!$E$143=0,"",[2]财务取数接口!$E$143),""))</f>
        <v>个</v>
      </c>
      <c r="F144" s="41" t="str">
        <f aca="false">IF($T$4=0,IF($M144="","",$M144),IFERROR(IF([2]财务取数接口!$G$143=0,"",[2]财务取数接口!$G$143),""))</f>
        <v/>
      </c>
      <c r="G144" s="41" t="str">
        <f aca="false">IF($T$4=0,IF($N144="","",$N144),IFERROR(IF([2]财务取数接口!$H$143=0,"",[2]财务取数接口!$H$143),""))</f>
        <v/>
      </c>
      <c r="H144" s="39" t="str">
        <f aca="false">IF($T$4=0,IF($O144="","",$O144),IFERROR(IF([2]财务取数接口!$I$143=0,"",[2]财务取数接口!$I$143),""))</f>
        <v/>
      </c>
      <c r="I144" s="42"/>
      <c r="J144" s="43"/>
      <c r="K144" s="42"/>
      <c r="L144" s="42"/>
      <c r="M144" s="44"/>
      <c r="N144" s="44"/>
      <c r="O144" s="43"/>
      <c r="P144" s="45" t="n">
        <f aca="false">IF(AND($C144&lt;&gt;"",$C144&lt;&gt;"项目",OR(N($D144)&lt;&gt;0,N($E144)&lt;&gt;0,N($F144)&lt;&gt;0)),1,0)</f>
        <v>0</v>
      </c>
      <c r="Q144" s="45" t="n">
        <f aca="false">N(Q143)+$P144</f>
        <v>0</v>
      </c>
    </row>
    <row r="145" customFormat="false" ht="13.5" hidden="false" customHeight="false" outlineLevel="0" collapsed="false">
      <c r="A145" s="9" t="n">
        <v>144</v>
      </c>
      <c r="B145" s="38" t="str">
        <f aca="false">IF($T$4=0,IF($I145="","",$I145),IFERROR(IF([2]财务取数接口!$B$144=0,"",[2]财务取数接口!$B$144),""))</f>
        <v/>
      </c>
      <c r="C145" s="39" t="str">
        <f aca="false">IF($T$4=0,IF($J145="","",$J145),IFERROR(IF([2]财务取数接口!$C$144=0,"",[2]财务取数接口!$C$144),""))</f>
        <v>周转筐托盘采购入库</v>
      </c>
      <c r="D145" s="40" t="str">
        <f aca="false">IF($T$4=0,IF($K145="","",$K145),IFERROR(IF([2]财务取数接口!$D$144=0,"",[2]财务取数接口!$D$144),""))</f>
        <v/>
      </c>
      <c r="E145" s="40" t="str">
        <f aca="false">IF($T$4=0,IF($L145="","",$L145),IFERROR(IF([2]财务取数接口!$E$144=0,"",[2]财务取数接口!$E$144),""))</f>
        <v>个</v>
      </c>
      <c r="F145" s="41" t="str">
        <f aca="false">IF($T$4=0,IF($M145="","",$M145),IFERROR(IF([2]财务取数接口!$G$144=0,"",[2]财务取数接口!$G$144),""))</f>
        <v/>
      </c>
      <c r="G145" s="41" t="str">
        <f aca="false">IF($T$4=0,IF($N145="","",$N145),IFERROR(IF([2]财务取数接口!$H$144=0,"",[2]财务取数接口!$H$144),""))</f>
        <v/>
      </c>
      <c r="H145" s="39" t="str">
        <f aca="false">IF($T$4=0,IF($O145="","",$O145),IFERROR(IF([2]财务取数接口!$I$144=0,"",[2]财务取数接口!$I$144),""))</f>
        <v/>
      </c>
      <c r="I145" s="42"/>
      <c r="J145" s="43"/>
      <c r="K145" s="42"/>
      <c r="L145" s="42"/>
      <c r="M145" s="44"/>
      <c r="N145" s="44"/>
      <c r="O145" s="43"/>
      <c r="P145" s="45" t="n">
        <f aca="false">IF(AND($C145&lt;&gt;"",$C145&lt;&gt;"项目",OR(N($D145)&lt;&gt;0,N($E145)&lt;&gt;0,N($F145)&lt;&gt;0)),1,0)</f>
        <v>0</v>
      </c>
      <c r="Q145" s="45" t="n">
        <f aca="false">N(Q144)+$P145</f>
        <v>0</v>
      </c>
    </row>
    <row r="146" customFormat="false" ht="13.5" hidden="false" customHeight="false" outlineLevel="0" collapsed="false">
      <c r="A146" s="9" t="n">
        <v>145</v>
      </c>
      <c r="B146" s="38" t="str">
        <f aca="false">IF($T$4=0,IF($I146="","",$I146),IFERROR(IF([2]财务取数接口!$B$145=0,"",[2]财务取数接口!$B$145),""))</f>
        <v/>
      </c>
      <c r="C146" s="39" t="str">
        <f aca="false">IF($T$4=0,IF($J146="","",$J146),IFERROR(IF([2]财务取数接口!$C$145=0,"",[2]财务取数接口!$C$145),""))</f>
        <v>周转筐托盘采购入库</v>
      </c>
      <c r="D146" s="40" t="str">
        <f aca="false">IF($T$4=0,IF($K146="","",$K146),IFERROR(IF([2]财务取数接口!$D$145=0,"",[2]财务取数接口!$D$145),""))</f>
        <v/>
      </c>
      <c r="E146" s="40" t="str">
        <f aca="false">IF($T$4=0,IF($L146="","",$L146),IFERROR(IF([2]财务取数接口!$E$145=0,"",[2]财务取数接口!$E$145),""))</f>
        <v>个</v>
      </c>
      <c r="F146" s="41" t="str">
        <f aca="false">IF($T$4=0,IF($M146="","",$M146),IFERROR(IF([2]财务取数接口!$G$145=0,"",[2]财务取数接口!$G$145),""))</f>
        <v/>
      </c>
      <c r="G146" s="41" t="str">
        <f aca="false">IF($T$4=0,IF($N146="","",$N146),IFERROR(IF([2]财务取数接口!$H$145=0,"",[2]财务取数接口!$H$145),""))</f>
        <v/>
      </c>
      <c r="H146" s="39" t="str">
        <f aca="false">IF($T$4=0,IF($O146="","",$O146),IFERROR(IF([2]财务取数接口!$I$145=0,"",[2]财务取数接口!$I$145),""))</f>
        <v/>
      </c>
      <c r="I146" s="42"/>
      <c r="J146" s="43"/>
      <c r="K146" s="42"/>
      <c r="L146" s="42"/>
      <c r="M146" s="44"/>
      <c r="N146" s="44"/>
      <c r="O146" s="43"/>
      <c r="P146" s="45" t="n">
        <f aca="false">IF(AND($C146&lt;&gt;"",$C146&lt;&gt;"项目",OR(N($D146)&lt;&gt;0,N($E146)&lt;&gt;0,N($F146)&lt;&gt;0)),1,0)</f>
        <v>0</v>
      </c>
      <c r="Q146" s="45" t="n">
        <f aca="false">N(Q145)+$P146</f>
        <v>0</v>
      </c>
    </row>
    <row r="147" customFormat="false" ht="13.5" hidden="false" customHeight="false" outlineLevel="0" collapsed="false">
      <c r="A147" s="9" t="n">
        <v>146</v>
      </c>
      <c r="B147" s="38" t="str">
        <f aca="false">IF($T$4=0,IF($I147="","",$I147),IFERROR(IF([2]财务取数接口!$B$146=0,"",[2]财务取数接口!$B$146),""))</f>
        <v/>
      </c>
      <c r="C147" s="39" t="str">
        <f aca="false">IF($T$4=0,IF($J147="","",$J147),IFERROR(IF([2]财务取数接口!$C$146=0,"",[2]财务取数接口!$C$146),""))</f>
        <v>周转筐托盘采购入库</v>
      </c>
      <c r="D147" s="40" t="str">
        <f aca="false">IF($T$4=0,IF($K147="","",$K147),IFERROR(IF([2]财务取数接口!$D$146=0,"",[2]财务取数接口!$D$146),""))</f>
        <v/>
      </c>
      <c r="E147" s="40" t="str">
        <f aca="false">IF($T$4=0,IF($L147="","",$L147),IFERROR(IF([2]财务取数接口!$E$146=0,"",[2]财务取数接口!$E$146),""))</f>
        <v>个</v>
      </c>
      <c r="F147" s="41" t="str">
        <f aca="false">IF($T$4=0,IF($M147="","",$M147),IFERROR(IF([2]财务取数接口!$G$146=0,"",[2]财务取数接口!$G$146),""))</f>
        <v/>
      </c>
      <c r="G147" s="41" t="str">
        <f aca="false">IF($T$4=0,IF($N147="","",$N147),IFERROR(IF([2]财务取数接口!$H$146=0,"",[2]财务取数接口!$H$146),""))</f>
        <v/>
      </c>
      <c r="H147" s="39" t="str">
        <f aca="false">IF($T$4=0,IF($O147="","",$O147),IFERROR(IF([2]财务取数接口!$I$146=0,"",[2]财务取数接口!$I$146),""))</f>
        <v/>
      </c>
      <c r="I147" s="42"/>
      <c r="J147" s="43"/>
      <c r="K147" s="42"/>
      <c r="L147" s="42"/>
      <c r="M147" s="44"/>
      <c r="N147" s="44"/>
      <c r="O147" s="43"/>
      <c r="P147" s="45" t="n">
        <f aca="false">IF(AND($C147&lt;&gt;"",$C147&lt;&gt;"项目",OR(N($D147)&lt;&gt;0,N($E147)&lt;&gt;0,N($F147)&lt;&gt;0)),1,0)</f>
        <v>0</v>
      </c>
      <c r="Q147" s="45" t="n">
        <f aca="false">N(Q146)+$P147</f>
        <v>0</v>
      </c>
    </row>
    <row r="148" customFormat="false" ht="13.5" hidden="false" customHeight="false" outlineLevel="0" collapsed="false">
      <c r="A148" s="9" t="n">
        <v>147</v>
      </c>
      <c r="B148" s="38" t="str">
        <f aca="false">IF($T$4=0,IF($I148="","",$I148),IFERROR(IF([2]财务取数接口!$B$147=0,"",[2]财务取数接口!$B$147),""))</f>
        <v/>
      </c>
      <c r="C148" s="39" t="str">
        <f aca="false">IF($T$4=0,IF($J148="","",$J148),IFERROR(IF([2]财务取数接口!$C$147=0,"",[2]财务取数接口!$C$147),""))</f>
        <v>周转筐托盘采购入库</v>
      </c>
      <c r="D148" s="40" t="str">
        <f aca="false">IF($T$4=0,IF($K148="","",$K148),IFERROR(IF([2]财务取数接口!$D$147=0,"",[2]财务取数接口!$D$147),""))</f>
        <v/>
      </c>
      <c r="E148" s="40" t="str">
        <f aca="false">IF($T$4=0,IF($L148="","",$L148),IFERROR(IF([2]财务取数接口!$E$147=0,"",[2]财务取数接口!$E$147),""))</f>
        <v>个</v>
      </c>
      <c r="F148" s="41" t="str">
        <f aca="false">IF($T$4=0,IF($M148="","",$M148),IFERROR(IF([2]财务取数接口!$G$147=0,"",[2]财务取数接口!$G$147),""))</f>
        <v/>
      </c>
      <c r="G148" s="41" t="str">
        <f aca="false">IF($T$4=0,IF($N148="","",$N148),IFERROR(IF([2]财务取数接口!$H$147=0,"",[2]财务取数接口!$H$147),""))</f>
        <v/>
      </c>
      <c r="H148" s="39" t="str">
        <f aca="false">IF($T$4=0,IF($O148="","",$O148),IFERROR(IF([2]财务取数接口!$I$147=0,"",[2]财务取数接口!$I$147),""))</f>
        <v/>
      </c>
      <c r="I148" s="42"/>
      <c r="J148" s="43"/>
      <c r="K148" s="42"/>
      <c r="L148" s="42"/>
      <c r="M148" s="44"/>
      <c r="N148" s="44"/>
      <c r="O148" s="43"/>
      <c r="P148" s="45" t="n">
        <f aca="false">IF(AND($C148&lt;&gt;"",$C148&lt;&gt;"项目",OR(N($D148)&lt;&gt;0,N($E148)&lt;&gt;0,N($F148)&lt;&gt;0)),1,0)</f>
        <v>0</v>
      </c>
      <c r="Q148" s="45" t="n">
        <f aca="false">N(Q147)+$P148</f>
        <v>0</v>
      </c>
    </row>
    <row r="149" customFormat="false" ht="13.5" hidden="false" customHeight="false" outlineLevel="0" collapsed="false">
      <c r="A149" s="9" t="n">
        <v>148</v>
      </c>
      <c r="B149" s="38" t="str">
        <f aca="false">IF($T$4=0,IF($I149="","",$I149),IFERROR(IF([2]财务取数接口!$B$148=0,"",[2]财务取数接口!$B$148),""))</f>
        <v/>
      </c>
      <c r="C149" s="39" t="str">
        <f aca="false">IF($T$4=0,IF($J149="","",$J149),IFERROR(IF([2]财务取数接口!$C$148=0,"",[2]财务取数接口!$C$148),""))</f>
        <v>周转筐托盘采购入库</v>
      </c>
      <c r="D149" s="40" t="str">
        <f aca="false">IF($T$4=0,IF($K149="","",$K149),IFERROR(IF([2]财务取数接口!$D$148=0,"",[2]财务取数接口!$D$148),""))</f>
        <v/>
      </c>
      <c r="E149" s="40" t="str">
        <f aca="false">IF($T$4=0,IF($L149="","",$L149),IFERROR(IF([2]财务取数接口!$E$148=0,"",[2]财务取数接口!$E$148),""))</f>
        <v>个</v>
      </c>
      <c r="F149" s="41" t="str">
        <f aca="false">IF($T$4=0,IF($M149="","",$M149),IFERROR(IF([2]财务取数接口!$G$148=0,"",[2]财务取数接口!$G$148),""))</f>
        <v/>
      </c>
      <c r="G149" s="41" t="str">
        <f aca="false">IF($T$4=0,IF($N149="","",$N149),IFERROR(IF([2]财务取数接口!$H$148=0,"",[2]财务取数接口!$H$148),""))</f>
        <v/>
      </c>
      <c r="H149" s="39" t="str">
        <f aca="false">IF($T$4=0,IF($O149="","",$O149),IFERROR(IF([2]财务取数接口!$I$148=0,"",[2]财务取数接口!$I$148),""))</f>
        <v/>
      </c>
      <c r="I149" s="42"/>
      <c r="J149" s="43"/>
      <c r="K149" s="42"/>
      <c r="L149" s="42"/>
      <c r="M149" s="44"/>
      <c r="N149" s="44"/>
      <c r="O149" s="43"/>
      <c r="P149" s="45" t="n">
        <f aca="false">IF(AND($C149&lt;&gt;"",$C149&lt;&gt;"项目",OR(N($D149)&lt;&gt;0,N($E149)&lt;&gt;0,N($F149)&lt;&gt;0)),1,0)</f>
        <v>0</v>
      </c>
      <c r="Q149" s="45" t="n">
        <f aca="false">N(Q148)+$P149</f>
        <v>0</v>
      </c>
    </row>
    <row r="150" customFormat="false" ht="13.5" hidden="false" customHeight="false" outlineLevel="0" collapsed="false">
      <c r="A150" s="9" t="n">
        <v>149</v>
      </c>
      <c r="B150" s="38" t="str">
        <f aca="false">IF($T$4=0,IF($I150="","",$I150),IFERROR(IF([2]财务取数接口!$B$149=0,"",[2]财务取数接口!$B$149),""))</f>
        <v/>
      </c>
      <c r="C150" s="39" t="str">
        <f aca="false">IF($T$4=0,IF($J150="","",$J150),IFERROR(IF([2]财务取数接口!$C$149=0,"",[2]财务取数接口!$C$149),""))</f>
        <v>周转筐托盘采购入库</v>
      </c>
      <c r="D150" s="40" t="str">
        <f aca="false">IF($T$4=0,IF($K150="","",$K150),IFERROR(IF([2]财务取数接口!$D$149=0,"",[2]财务取数接口!$D$149),""))</f>
        <v/>
      </c>
      <c r="E150" s="40" t="str">
        <f aca="false">IF($T$4=0,IF($L150="","",$L150),IFERROR(IF([2]财务取数接口!$E$149=0,"",[2]财务取数接口!$E$149),""))</f>
        <v>个</v>
      </c>
      <c r="F150" s="41" t="str">
        <f aca="false">IF($T$4=0,IF($M150="","",$M150),IFERROR(IF([2]财务取数接口!$G$149=0,"",[2]财务取数接口!$G$149),""))</f>
        <v/>
      </c>
      <c r="G150" s="41" t="str">
        <f aca="false">IF($T$4=0,IF($N150="","",$N150),IFERROR(IF([2]财务取数接口!$H$149=0,"",[2]财务取数接口!$H$149),""))</f>
        <v/>
      </c>
      <c r="H150" s="39" t="str">
        <f aca="false">IF($T$4=0,IF($O150="","",$O150),IFERROR(IF([2]财务取数接口!$I$149=0,"",[2]财务取数接口!$I$149),""))</f>
        <v/>
      </c>
      <c r="I150" s="42"/>
      <c r="J150" s="43"/>
      <c r="K150" s="42"/>
      <c r="L150" s="42"/>
      <c r="M150" s="44"/>
      <c r="N150" s="44"/>
      <c r="O150" s="43"/>
      <c r="P150" s="45" t="n">
        <f aca="false">IF(AND($C150&lt;&gt;"",$C150&lt;&gt;"项目",OR(N($D150)&lt;&gt;0,N($E150)&lt;&gt;0,N($F150)&lt;&gt;0)),1,0)</f>
        <v>0</v>
      </c>
      <c r="Q150" s="45" t="n">
        <f aca="false">N(Q149)+$P150</f>
        <v>0</v>
      </c>
    </row>
    <row r="151" customFormat="false" ht="13.5" hidden="false" customHeight="false" outlineLevel="0" collapsed="false">
      <c r="A151" s="9" t="n">
        <v>150</v>
      </c>
      <c r="B151" s="38" t="str">
        <f aca="false">IF($T$4=0,IF($I151="","",$I151),IFERROR(IF([2]财务取数接口!$B$150=0,"",[2]财务取数接口!$B$150),""))</f>
        <v/>
      </c>
      <c r="C151" s="39" t="str">
        <f aca="false">IF($T$4=0,IF($J151="","",$J151),IFERROR(IF([2]财务取数接口!$C$150=0,"",[2]财务取数接口!$C$150),""))</f>
        <v>周转筐托盘采购入库</v>
      </c>
      <c r="D151" s="40" t="str">
        <f aca="false">IF($T$4=0,IF($K151="","",$K151),IFERROR(IF([2]财务取数接口!$D$150=0,"",[2]财务取数接口!$D$150),""))</f>
        <v/>
      </c>
      <c r="E151" s="40" t="str">
        <f aca="false">IF($T$4=0,IF($L151="","",$L151),IFERROR(IF([2]财务取数接口!$E$150=0,"",[2]财务取数接口!$E$150),""))</f>
        <v>个</v>
      </c>
      <c r="F151" s="41" t="str">
        <f aca="false">IF($T$4=0,IF($M151="","",$M151),IFERROR(IF([2]财务取数接口!$G$150=0,"",[2]财务取数接口!$G$150),""))</f>
        <v/>
      </c>
      <c r="G151" s="41" t="str">
        <f aca="false">IF($T$4=0,IF($N151="","",$N151),IFERROR(IF([2]财务取数接口!$H$150=0,"",[2]财务取数接口!$H$150),""))</f>
        <v/>
      </c>
      <c r="H151" s="39" t="str">
        <f aca="false">IF($T$4=0,IF($O151="","",$O151),IFERROR(IF([2]财务取数接口!$I$150=0,"",[2]财务取数接口!$I$150),""))</f>
        <v/>
      </c>
      <c r="I151" s="42"/>
      <c r="J151" s="43"/>
      <c r="K151" s="42"/>
      <c r="L151" s="42"/>
      <c r="M151" s="44"/>
      <c r="N151" s="44"/>
      <c r="O151" s="43"/>
      <c r="P151" s="45" t="n">
        <f aca="false">IF(AND($C151&lt;&gt;"",$C151&lt;&gt;"项目",OR(N($D151)&lt;&gt;0,N($E151)&lt;&gt;0,N($F151)&lt;&gt;0)),1,0)</f>
        <v>0</v>
      </c>
      <c r="Q151" s="45" t="n">
        <f aca="false">N(Q150)+$P151</f>
        <v>0</v>
      </c>
    </row>
    <row r="152" customFormat="false" ht="13.5" hidden="false" customHeight="false" outlineLevel="0" collapsed="false">
      <c r="A152" s="9" t="n">
        <v>151</v>
      </c>
      <c r="B152" s="40" t="str">
        <f aca="false">IF($T$4=0,IF($I152="","",$I152),IFERROR(IF([2]财务取数接口!$B$151=0,"",[2]财务取数接口!$B$151),""))</f>
        <v/>
      </c>
      <c r="C152" s="39" t="str">
        <f aca="false">IF($T$4=0,IF($J152="","",$J152),IFERROR(IF([2]财务取数接口!$C$151=0,"",[2]财务取数接口!$C$151),""))</f>
        <v/>
      </c>
      <c r="D152" s="40" t="str">
        <f aca="false">IF($T$4=0,IF($K152="","",$K152),IFERROR(IF([2]财务取数接口!$D$151=0,"",[2]财务取数接口!$D$151),""))</f>
        <v/>
      </c>
      <c r="E152" s="40" t="str">
        <f aca="false">IF($T$4=0,IF($L152="","",$L152),IFERROR(IF([2]财务取数接口!$E$151=0,"",[2]财务取数接口!$E$151),""))</f>
        <v/>
      </c>
      <c r="F152" s="41" t="str">
        <f aca="false">IF($T$4=0,IF($M152="","",$M152),IFERROR(IF([2]财务取数接口!$G$151=0,"",[2]财务取数接口!$G$151),""))</f>
        <v/>
      </c>
      <c r="G152" s="41" t="str">
        <f aca="false">IF($T$4=0,IF($N152="","",$N152),IFERROR(IF([2]财务取数接口!$H$151=0,"",[2]财务取数接口!$H$151),""))</f>
        <v/>
      </c>
      <c r="H152" s="39" t="str">
        <f aca="false">IF($T$4=0,IF($O152="","",$O152),IFERROR(IF([2]财务取数接口!$I$151=0,"",[2]财务取数接口!$I$151),""))</f>
        <v/>
      </c>
      <c r="I152" s="42"/>
      <c r="J152" s="43"/>
      <c r="K152" s="42"/>
      <c r="L152" s="42"/>
      <c r="M152" s="44"/>
      <c r="N152" s="44"/>
      <c r="O152" s="43"/>
      <c r="P152" s="45" t="n">
        <f aca="false">IF(AND($C152&lt;&gt;"",$C152&lt;&gt;"项目",OR(N($D152)&lt;&gt;0,N($E152)&lt;&gt;0,N($F152)&lt;&gt;0)),1,0)</f>
        <v>0</v>
      </c>
      <c r="Q152" s="45" t="n">
        <f aca="false">N(Q151)+$P152</f>
        <v>0</v>
      </c>
    </row>
    <row r="153" customFormat="false" ht="13.5" hidden="false" customHeight="false" outlineLevel="0" collapsed="false">
      <c r="A153" s="9" t="n">
        <v>152</v>
      </c>
      <c r="B153" s="40" t="str">
        <f aca="false">IF($T$4=0,IF($I153="","",$I153),IFERROR(IF([2]财务取数接口!$B$152=0,"",[2]财务取数接口!$B$152),""))</f>
        <v/>
      </c>
      <c r="C153" s="39" t="str">
        <f aca="false">IF($T$4=0,IF($J153="","",$J153),IFERROR(IF([2]财务取数接口!$C$152=0,"",[2]财务取数接口!$C$152),""))</f>
        <v/>
      </c>
      <c r="D153" s="40" t="str">
        <f aca="false">IF($T$4=0,IF($K153="","",$K153),IFERROR(IF([2]财务取数接口!$D$152=0,"",[2]财务取数接口!$D$152),""))</f>
        <v/>
      </c>
      <c r="E153" s="40" t="str">
        <f aca="false">IF($T$4=0,IF($L153="","",$L153),IFERROR(IF([2]财务取数接口!$E$152=0,"",[2]财务取数接口!$E$152),""))</f>
        <v/>
      </c>
      <c r="F153" s="41" t="str">
        <f aca="false">IF($T$4=0,IF($M153="","",$M153),IFERROR(IF([2]财务取数接口!$G$152=0,"",[2]财务取数接口!$G$152),""))</f>
        <v/>
      </c>
      <c r="G153" s="41" t="str">
        <f aca="false">IF($T$4=0,IF($N153="","",$N153),IFERROR(IF([2]财务取数接口!$H$152=0,"",[2]财务取数接口!$H$152),""))</f>
        <v/>
      </c>
      <c r="H153" s="39" t="str">
        <f aca="false">IF($T$4=0,IF($O153="","",$O153),IFERROR(IF([2]财务取数接口!$I$152=0,"",[2]财务取数接口!$I$152),""))</f>
        <v/>
      </c>
      <c r="I153" s="42"/>
      <c r="J153" s="43"/>
      <c r="K153" s="42"/>
      <c r="L153" s="42"/>
      <c r="M153" s="44"/>
      <c r="N153" s="44"/>
      <c r="O153" s="43"/>
      <c r="P153" s="45" t="n">
        <f aca="false">IF(AND($C153&lt;&gt;"",$C153&lt;&gt;"项目",OR(N($D153)&lt;&gt;0,N($E153)&lt;&gt;0,N($F153)&lt;&gt;0)),1,0)</f>
        <v>0</v>
      </c>
      <c r="Q153" s="45" t="n">
        <f aca="false">N(Q152)+$P153</f>
        <v>0</v>
      </c>
    </row>
    <row r="154" customFormat="false" ht="13.5" hidden="false" customHeight="false" outlineLevel="0" collapsed="false">
      <c r="A154" s="9" t="n">
        <v>153</v>
      </c>
      <c r="B154" s="40" t="str">
        <f aca="false">IF($T$4=0,IF($I154="","",$I154),IFERROR(IF([2]财务取数接口!$B$153=0,"",[2]财务取数接口!$B$153),""))</f>
        <v>年月</v>
      </c>
      <c r="C154" s="39" t="str">
        <f aca="false">IF($T$4=0,IF($J154="","",$J154),IFERROR(IF([2]财务取数接口!$C$153=0,"",[2]财务取数接口!$C$153),""))</f>
        <v>项目</v>
      </c>
      <c r="D154" s="40" t="str">
        <f aca="false">IF($T$4=0,IF($K154="","",$K154),IFERROR(IF([2]财务取数接口!$D$153=0,"",[2]财务取数接口!$D$153),""))</f>
        <v>计费数量</v>
      </c>
      <c r="E154" s="40" t="str">
        <f aca="false">IF($T$4=0,IF($L154="","",$L154),IFERROR(IF([2]财务取数接口!$E$153=0,"",[2]财务取数接口!$E$153),""))</f>
        <v>计量单位</v>
      </c>
      <c r="F154" s="41" t="str">
        <f aca="false">IF($T$4=0,IF($M154="","",$M154),IFERROR(IF([2]财务取数接口!$G$153=0,"",[2]财务取数接口!$G$153),""))</f>
        <v>价税合计金额</v>
      </c>
      <c r="G154" s="41" t="str">
        <f aca="false">IF($T$4=0,IF($N154="","",$N154),IFERROR(IF([2]财务取数接口!$H$153=0,"",[2]财务取数接口!$H$153),""))</f>
        <v>已收金额</v>
      </c>
      <c r="H154" s="39" t="str">
        <f aca="false">IF($T$4=0,IF($O154="","",$O154),IFERROR(IF([2]财务取数接口!$I$153=0,"",[2]财务取数接口!$I$153),""))</f>
        <v>备注</v>
      </c>
      <c r="I154" s="42"/>
      <c r="J154" s="43"/>
      <c r="K154" s="42"/>
      <c r="L154" s="42"/>
      <c r="M154" s="44"/>
      <c r="N154" s="44"/>
      <c r="O154" s="43"/>
      <c r="P154" s="45" t="n">
        <f aca="false">IF(AND($C154&lt;&gt;"",$C154&lt;&gt;"项目",OR(N($D154)&lt;&gt;0,N($E154)&lt;&gt;0,N($F154)&lt;&gt;0)),1,0)</f>
        <v>0</v>
      </c>
      <c r="Q154" s="45" t="n">
        <f aca="false">N(Q153)+$P154</f>
        <v>0</v>
      </c>
    </row>
    <row r="155" customFormat="false" ht="13.5" hidden="false" customHeight="false" outlineLevel="0" collapsed="false">
      <c r="A155" s="9" t="n">
        <v>154</v>
      </c>
      <c r="B155" s="40" t="str">
        <f aca="false">IF($T$4=0,IF($I155="","",$I155),IFERROR(IF([2]财务取数接口!$B$154=0,"",[2]财务取数接口!$B$154),""))</f>
        <v/>
      </c>
      <c r="C155" s="39" t="str">
        <f aca="false">IF($T$4=0,IF($J155="","",$J155),IFERROR(IF([2]财务取数接口!$C$154=0,"",[2]财务取数接口!$C$154),""))</f>
        <v>包装物料期末库存</v>
      </c>
      <c r="D155" s="40" t="n">
        <f aca="false">IF($T$4=0,IF($K155="","",$K155),IFERROR(IF([2]财务取数接口!$D$154=0,"",[2]财务取数接口!$D$154),""))</f>
        <v>23497</v>
      </c>
      <c r="E155" s="40" t="str">
        <f aca="false">IF($T$4=0,IF($L155="","",$L155),IFERROR(IF([2]财务取数接口!$E$154=0,"",[2]财务取数接口!$E$154),""))</f>
        <v>包</v>
      </c>
      <c r="F155" s="41" t="str">
        <f aca="false">IF($T$4=0,IF($M155="","",$M155),IFERROR(IF([2]财务取数接口!$G$154=0,"",[2]财务取数接口!$G$154),""))</f>
        <v/>
      </c>
      <c r="G155" s="41" t="str">
        <f aca="false">IF($T$4=0,IF($N155="","",$N155),IFERROR(IF([2]财务取数接口!$H$154=0,"",[2]财务取数接口!$H$154),""))</f>
        <v/>
      </c>
      <c r="H155" s="39" t="str">
        <f aca="false">IF($T$4=0,IF($O155="","",$O155),IFERROR(IF([2]财务取数接口!$I$154=0,"",[2]财务取数接口!$I$154),""))</f>
        <v/>
      </c>
      <c r="I155" s="42"/>
      <c r="J155" s="43"/>
      <c r="K155" s="42"/>
      <c r="L155" s="42"/>
      <c r="M155" s="44"/>
      <c r="N155" s="44"/>
      <c r="O155" s="43"/>
      <c r="P155" s="45" t="n">
        <f aca="false">IF(AND($C155&lt;&gt;"",$C155&lt;&gt;"项目",OR(N($D155)&lt;&gt;0,N($E155)&lt;&gt;0,N($F155)&lt;&gt;0)),1,0)</f>
        <v>1</v>
      </c>
      <c r="Q155" s="45" t="n">
        <f aca="false">N(Q154)+$P155</f>
        <v>1</v>
      </c>
    </row>
    <row r="156" customFormat="false" ht="13.5" hidden="false" customHeight="false" outlineLevel="0" collapsed="false">
      <c r="A156" s="9" t="n">
        <v>155</v>
      </c>
      <c r="B156" s="40" t="str">
        <f aca="false">IF($T$4=0,IF($I156="","",$I156),IFERROR(IF([2]财务取数接口!$B$155=0,"",[2]财务取数接口!$B$155),""))</f>
        <v/>
      </c>
      <c r="C156" s="39" t="str">
        <f aca="false">IF($T$4=0,IF($J156="","",$J156),IFERROR(IF([2]财务取数接口!$C$155=0,"",[2]财务取数接口!$C$155),""))</f>
        <v>公司筐子期末总量</v>
      </c>
      <c r="D156" s="40" t="n">
        <f aca="false">IF($T$4=0,IF($K156="","",$K156),IFERROR(IF([2]财务取数接口!$D$155=0,"",[2]财务取数接口!$D$155),""))</f>
        <v>180630</v>
      </c>
      <c r="E156" s="40" t="str">
        <f aca="false">IF($T$4=0,IF($L156="","",$L156),IFERROR(IF([2]财务取数接口!$E$155=0,"",[2]财务取数接口!$E$155),""))</f>
        <v>个</v>
      </c>
      <c r="F156" s="41" t="str">
        <f aca="false">IF($T$4=0,IF($M156="","",$M156),IFERROR(IF([2]财务取数接口!$G$155=0,"",[2]财务取数接口!$G$155),""))</f>
        <v/>
      </c>
      <c r="G156" s="41" t="str">
        <f aca="false">IF($T$4=0,IF($N156="","",$N156),IFERROR(IF([2]财务取数接口!$H$155=0,"",[2]财务取数接口!$H$155),""))</f>
        <v/>
      </c>
      <c r="H156" s="39" t="str">
        <f aca="false">IF($T$4=0,IF($O156="","",$O156),IFERROR(IF([2]财务取数接口!$I$155=0,"",[2]财务取数接口!$I$155),""))</f>
        <v/>
      </c>
      <c r="I156" s="42"/>
      <c r="J156" s="43"/>
      <c r="K156" s="42"/>
      <c r="L156" s="42"/>
      <c r="M156" s="44"/>
      <c r="N156" s="44"/>
      <c r="O156" s="43"/>
      <c r="P156" s="45" t="n">
        <f aca="false">IF(AND($C156&lt;&gt;"",$C156&lt;&gt;"项目",OR(N($D156)&lt;&gt;0,N($E156)&lt;&gt;0,N($F156)&lt;&gt;0)),1,0)</f>
        <v>1</v>
      </c>
      <c r="Q156" s="45" t="n">
        <f aca="false">N(Q155)+$P156</f>
        <v>2</v>
      </c>
    </row>
    <row r="157" customFormat="false" ht="13.5" hidden="false" customHeight="false" outlineLevel="0" collapsed="false">
      <c r="A157" s="9" t="n">
        <v>156</v>
      </c>
      <c r="B157" s="40" t="str">
        <f aca="false">IF($T$4=0,IF($I157="","",$I157),IFERROR(IF([2]财务取数接口!$B$156=0,"",[2]财务取数接口!$B$156),""))</f>
        <v/>
      </c>
      <c r="C157" s="39" t="str">
        <f aca="false">IF($T$4=0,IF($J157="","",$J157),IFERROR(IF([2]财务取数接口!$C$156=0,"",[2]财务取数接口!$C$156),""))</f>
        <v>客户自备筐结存（表外备查）</v>
      </c>
      <c r="D157" s="40" t="n">
        <f aca="false">IF($T$4=0,IF($K157="","",$K157),IFERROR(IF([2]财务取数接口!$D$156=0,"",[2]财务取数接口!$D$156),""))</f>
        <v>4093</v>
      </c>
      <c r="E157" s="40" t="str">
        <f aca="false">IF($T$4=0,IF($L157="","",$L157),IFERROR(IF([2]财务取数接口!$E$156=0,"",[2]财务取数接口!$E$156),""))</f>
        <v>个</v>
      </c>
      <c r="F157" s="41" t="str">
        <f aca="false">IF($T$4=0,IF($M157="","",$M157),IFERROR(IF([2]财务取数接口!$G$156=0,"",[2]财务取数接口!$G$156),""))</f>
        <v/>
      </c>
      <c r="G157" s="41" t="str">
        <f aca="false">IF($T$4=0,IF($N157="","",$N157),IFERROR(IF([2]财务取数接口!$H$156=0,"",[2]财务取数接口!$H$156),""))</f>
        <v/>
      </c>
      <c r="H157" s="39" t="str">
        <f aca="false">IF($T$4=0,IF($O157="","",$O157),IFERROR(IF([2]财务取数接口!$I$156=0,"",[2]财务取数接口!$I$156),""))</f>
        <v/>
      </c>
      <c r="I157" s="42"/>
      <c r="J157" s="43"/>
      <c r="K157" s="42"/>
      <c r="L157" s="42"/>
      <c r="M157" s="44"/>
      <c r="N157" s="44"/>
      <c r="O157" s="43"/>
      <c r="P157" s="45" t="n">
        <f aca="false">IF(AND($C157&lt;&gt;"",$C157&lt;&gt;"项目",OR(N($D157)&lt;&gt;0,N($E157)&lt;&gt;0,N($F157)&lt;&gt;0)),1,0)</f>
        <v>1</v>
      </c>
      <c r="Q157" s="45" t="n">
        <f aca="false">N(Q156)+$P157</f>
        <v>3</v>
      </c>
    </row>
    <row r="158" customFormat="false" ht="21.75" hidden="false" customHeight="true" outlineLevel="0" collapsed="false">
      <c r="A158" s="9" t="n">
        <v>157</v>
      </c>
      <c r="B158" s="40" t="str">
        <f aca="false">IF($T$4=0,IF($I158="","",$I158),IFERROR(IF([2]财务取数接口!$B$157=0,"",[2]财务取数接口!$B$157),""))</f>
        <v/>
      </c>
      <c r="C158" s="39" t="str">
        <f aca="false">IF($T$4=0,IF($J158="","",$J158),IFERROR(IF([2]财务取数接口!$C$157=0,"",[2]财务取数接口!$C$157),""))</f>
        <v/>
      </c>
      <c r="D158" s="40" t="str">
        <f aca="false">IF($T$4=0,IF($K158="","",$K158),IFERROR(IF([2]财务取数接口!$D$157=0,"",[2]财务取数接口!$D$157),""))</f>
        <v/>
      </c>
      <c r="E158" s="40" t="str">
        <f aca="false">IF($T$4=0,IF($L158="","",$L158),IFERROR(IF([2]财务取数接口!$E$157=0,"",[2]财务取数接口!$E$157),""))</f>
        <v/>
      </c>
      <c r="F158" s="41" t="str">
        <f aca="false">IF($T$4=0,IF($M158="","",$M158),IFERROR(IF([2]财务取数接口!$G$157=0,"",[2]财务取数接口!$G$157),""))</f>
        <v/>
      </c>
      <c r="G158" s="41" t="str">
        <f aca="false">IF($T$4=0,IF($N158="","",$N158),IFERROR(IF([2]财务取数接口!$H$157=0,"",[2]财务取数接口!$H$157),""))</f>
        <v/>
      </c>
      <c r="H158" s="39" t="str">
        <f aca="false">IF($T$4=0,IF($O158="","",$O158),IFERROR(IF([2]财务取数接口!$I$157=0,"",[2]财务取数接口!$I$157),""))</f>
        <v/>
      </c>
      <c r="I158" s="42"/>
      <c r="J158" s="43"/>
      <c r="K158" s="42"/>
      <c r="L158" s="42"/>
      <c r="M158" s="44"/>
      <c r="N158" s="44"/>
      <c r="O158" s="43"/>
      <c r="P158" s="45" t="n">
        <f aca="false">IF(AND($C158&lt;&gt;"",$C158&lt;&gt;"项目",OR(N($D158)&lt;&gt;0,N($E158)&lt;&gt;0,N($F158)&lt;&gt;0)),1,0)</f>
        <v>0</v>
      </c>
      <c r="Q158" s="45" t="n">
        <f aca="false">N(Q157)+$P158</f>
        <v>3</v>
      </c>
    </row>
    <row r="159" customFormat="false" ht="13.5" hidden="false" customHeight="false" outlineLevel="0" collapsed="false">
      <c r="A159" s="9" t="n">
        <v>158</v>
      </c>
      <c r="B159" s="40" t="str">
        <f aca="false">IF($T$4=0,IF($I159="","",$I159),IFERROR(IF([2]财务取数接口!$B$158=0,"",[2]财务取数接口!$B$158),""))</f>
        <v/>
      </c>
      <c r="C159" s="39" t="str">
        <f aca="false">IF($T$4=0,IF($J159="","",$J159),IFERROR(IF([2]财务取数接口!$C$158=0,"",[2]财务取数接口!$C$158),""))</f>
        <v/>
      </c>
      <c r="D159" s="40" t="str">
        <f aca="false">IF($T$4=0,IF($K159="","",$K159),IFERROR(IF([2]财务取数接口!$D$158=0,"",[2]财务取数接口!$D$158),""))</f>
        <v/>
      </c>
      <c r="E159" s="40" t="str">
        <f aca="false">IF($T$4=0,IF($L159="","",$L159),IFERROR(IF([2]财务取数接口!$E$158=0,"",[2]财务取数接口!$E$158),""))</f>
        <v/>
      </c>
      <c r="F159" s="41" t="str">
        <f aca="false">IF($T$4=0,IF($M159="","",$M159),IFERROR(IF([2]财务取数接口!$G$158=0,"",[2]财务取数接口!$G$158),""))</f>
        <v/>
      </c>
      <c r="G159" s="41" t="str">
        <f aca="false">IF($T$4=0,IF($N159="","",$N159),IFERROR(IF([2]财务取数接口!$H$158=0,"",[2]财务取数接口!$H$158),""))</f>
        <v/>
      </c>
      <c r="H159" s="39" t="str">
        <f aca="false">IF($T$4=0,IF($O159="","",$O159),IFERROR(IF([2]财务取数接口!$I$158=0,"",[2]财务取数接口!$I$158),""))</f>
        <v/>
      </c>
      <c r="I159" s="42"/>
      <c r="J159" s="43"/>
      <c r="K159" s="42"/>
      <c r="L159" s="42"/>
      <c r="M159" s="44"/>
      <c r="N159" s="44"/>
      <c r="O159" s="43"/>
      <c r="P159" s="45" t="n">
        <f aca="false">IF(AND($C159&lt;&gt;"",$C159&lt;&gt;"项目",OR(N($D159)&lt;&gt;0,N($E159)&lt;&gt;0,N($F159)&lt;&gt;0)),1,0)</f>
        <v>0</v>
      </c>
      <c r="Q159" s="45" t="n">
        <f aca="false">N(Q158)+$P159</f>
        <v>3</v>
      </c>
    </row>
    <row r="160" customFormat="false" ht="13.5" hidden="false" customHeight="false" outlineLevel="0" collapsed="false">
      <c r="A160" s="9" t="n">
        <v>159</v>
      </c>
      <c r="B160" s="40" t="str">
        <f aca="false">IF($T$4=0,IF($I160="","",$I160),IFERROR(IF([2]财务取数接口!$B$159=0,"",[2]财务取数接口!$B$159),""))</f>
        <v>往来单位</v>
      </c>
      <c r="C160" s="39" t="str">
        <f aca="false">IF($T$4=0,IF($J160="","",$J160),IFERROR(IF([2]财务取数接口!$C$159=0,"",[2]财务取数接口!$C$159),""))</f>
        <v>项目</v>
      </c>
      <c r="D160" s="40" t="str">
        <f aca="false">IF($T$4=0,IF($K160="","",$K160),IFERROR(IF([2]财务取数接口!$D$159=0,"",[2]财务取数接口!$D$159),""))</f>
        <v>应收发生额</v>
      </c>
      <c r="E160" s="40" t="str">
        <f aca="false">IF($T$4=0,IF($L160="","",$L160),IFERROR(IF([2]财务取数接口!$E$159=0,"",[2]财务取数接口!$E$159),""))</f>
        <v>应付发生额</v>
      </c>
      <c r="F160" s="41" t="str">
        <f aca="false">IF($T$4=0,IF($M160="","",$M160),IFERROR(IF([2]财务取数接口!$G$159=0,"",[2]财务取数接口!$G$159),""))</f>
        <v>应收合计</v>
      </c>
      <c r="G160" s="41" t="str">
        <f aca="false">IF($T$4=0,IF($N160="","",$N160),IFERROR(IF([2]财务取数接口!$H$159=0,"",[2]财务取数接口!$H$159),""))</f>
        <v>已收金额</v>
      </c>
      <c r="H160" s="39" t="str">
        <f aca="false">IF($T$4=0,IF($O160="","",$O160),IFERROR(IF([2]财务取数接口!$I$159=0,"",[2]财务取数接口!$I$159),""))</f>
        <v>备注</v>
      </c>
      <c r="I160" s="42"/>
      <c r="J160" s="43"/>
      <c r="K160" s="42"/>
      <c r="L160" s="42"/>
      <c r="M160" s="44"/>
      <c r="N160" s="44"/>
      <c r="O160" s="43"/>
      <c r="P160" s="45" t="n">
        <f aca="false">IF(AND($C160&lt;&gt;"",$C160&lt;&gt;"项目",OR(N($D160)&lt;&gt;0,N($E160)&lt;&gt;0,N($F160)&lt;&gt;0)),1,0)</f>
        <v>0</v>
      </c>
      <c r="Q160" s="45" t="n">
        <f aca="false">N(Q159)+$P160</f>
        <v>3</v>
      </c>
    </row>
    <row r="161" customFormat="false" ht="13.5" hidden="false" customHeight="false" outlineLevel="0" collapsed="false">
      <c r="A161" s="9" t="n">
        <v>160</v>
      </c>
      <c r="B161" s="40" t="str">
        <f aca="false">IF($T$4=0,IF($I161="","",$I161),IFERROR(IF([2]财务取数接口!$B$160=0,"",[2]财务取数接口!$B$160),""))</f>
        <v>聂新平</v>
      </c>
      <c r="C161" s="39" t="str">
        <f aca="false">IF($T$4=0,IF($J161="","",$J161),IFERROR(IF([2]财务取数接口!$C$160=0,"",[2]财务取数接口!$C$160),""))</f>
        <v>筐子销售款</v>
      </c>
      <c r="D161" s="40" t="str">
        <f aca="false">IF($T$4=0,IF($K161="","",$K161),IFERROR(IF([2]财务取数接口!$D$160=0,"",[2]财务取数接口!$D$160),""))</f>
        <v/>
      </c>
      <c r="E161" s="40" t="str">
        <f aca="false">IF($T$4=0,IF($L161="","",$L161),IFERROR(IF([2]财务取数接口!$E$160=0,"",[2]财务取数接口!$E$160),""))</f>
        <v/>
      </c>
      <c r="F161" s="41" t="str">
        <f aca="false">IF($T$4=0,IF($M161="","",$M161),IFERROR(IF([2]财务取数接口!$G$160=0,"",[2]财务取数接口!$G$160),""))</f>
        <v/>
      </c>
      <c r="G161" s="41" t="str">
        <f aca="false">IF($T$4=0,IF($N161="","",$N161),IFERROR(IF([2]财务取数接口!$H$160=0,"",[2]财务取数接口!$H$160),""))</f>
        <v/>
      </c>
      <c r="H161" s="39" t="str">
        <f aca="false">IF($T$4=0,IF($O161="","",$O161),IFERROR(IF([2]财务取数接口!$I$160=0,"",[2]财务取数接口!$I$160),""))</f>
        <v/>
      </c>
      <c r="I161" s="42"/>
      <c r="J161" s="43"/>
      <c r="K161" s="42"/>
      <c r="L161" s="42"/>
      <c r="M161" s="44"/>
      <c r="N161" s="44"/>
      <c r="O161" s="43"/>
      <c r="P161" s="45" t="n">
        <f aca="false">IF(AND($C161&lt;&gt;"",$C161&lt;&gt;"项目",OR(N($D161)&lt;&gt;0,N($E161)&lt;&gt;0,N($F161)&lt;&gt;0)),1,0)</f>
        <v>0</v>
      </c>
      <c r="Q161" s="45" t="n">
        <f aca="false">N(Q160)+$P161</f>
        <v>3</v>
      </c>
    </row>
    <row r="162" customFormat="false" ht="13.5" hidden="false" customHeight="false" outlineLevel="0" collapsed="false">
      <c r="A162" s="9" t="n">
        <v>161</v>
      </c>
      <c r="B162" s="40" t="str">
        <f aca="false">IF($T$4=0,IF($I162="","",$I162),IFERROR(IF([2]财务取数接口!$B$161=0,"",[2]财务取数接口!$B$161),""))</f>
        <v>聂新平</v>
      </c>
      <c r="C162" s="39" t="str">
        <f aca="false">IF($T$4=0,IF($J162="","",$J162),IFERROR(IF([2]财务取数接口!$C$161=0,"",[2]财务取数接口!$C$161),""))</f>
        <v>物料销售款</v>
      </c>
      <c r="D162" s="40" t="str">
        <f aca="false">IF($T$4=0,IF($K162="","",$K162),IFERROR(IF([2]财务取数接口!$D$161=0,"",[2]财务取数接口!$D$161),""))</f>
        <v/>
      </c>
      <c r="E162" s="40" t="str">
        <f aca="false">IF($T$4=0,IF($L162="","",$L162),IFERROR(IF([2]财务取数接口!$E$161=0,"",[2]财务取数接口!$E$161),""))</f>
        <v/>
      </c>
      <c r="F162" s="41" t="str">
        <f aca="false">IF($T$4=0,IF($M162="","",$M162),IFERROR(IF([2]财务取数接口!$G$161=0,"",[2]财务取数接口!$G$161),""))</f>
        <v/>
      </c>
      <c r="G162" s="41" t="str">
        <f aca="false">IF($T$4=0,IF($N162="","",$N162),IFERROR(IF([2]财务取数接口!$H$161=0,"",[2]财务取数接口!$H$161),""))</f>
        <v/>
      </c>
      <c r="H162" s="39" t="str">
        <f aca="false">IF($T$4=0,IF($O162="","",$O162),IFERROR(IF([2]财务取数接口!$I$161=0,"",[2]财务取数接口!$I$161),""))</f>
        <v/>
      </c>
      <c r="I162" s="42"/>
      <c r="J162" s="43"/>
      <c r="K162" s="42"/>
      <c r="L162" s="42"/>
      <c r="M162" s="44"/>
      <c r="N162" s="44"/>
      <c r="O162" s="43"/>
      <c r="P162" s="45" t="n">
        <f aca="false">IF(AND($C162&lt;&gt;"",$C162&lt;&gt;"项目",OR(N($D162)&lt;&gt;0,N($E162)&lt;&gt;0,N($F162)&lt;&gt;0)),1,0)</f>
        <v>0</v>
      </c>
      <c r="Q162" s="45" t="n">
        <f aca="false">N(Q161)+$P162</f>
        <v>3</v>
      </c>
    </row>
    <row r="163" customFormat="false" ht="13.5" hidden="false" customHeight="false" outlineLevel="0" collapsed="false">
      <c r="A163" s="9" t="n">
        <v>162</v>
      </c>
      <c r="B163" s="40" t="str">
        <f aca="false">IF($T$4=0,IF($I163="","",$I163),IFERROR(IF([2]财务取数接口!$B$162=0,"",[2]财务取数接口!$B$162),""))</f>
        <v>王照雪</v>
      </c>
      <c r="C163" s="39" t="str">
        <f aca="false">IF($T$4=0,IF($J163="","",$J163),IFERROR(IF([2]财务取数接口!$C$162=0,"",[2]财务取数接口!$C$162),""))</f>
        <v>筐子销售款</v>
      </c>
      <c r="D163" s="40" t="str">
        <f aca="false">IF($T$4=0,IF($K163="","",$K163),IFERROR(IF([2]财务取数接口!$D$162=0,"",[2]财务取数接口!$D$162),""))</f>
        <v/>
      </c>
      <c r="E163" s="40" t="str">
        <f aca="false">IF($T$4=0,IF($L163="","",$L163),IFERROR(IF([2]财务取数接口!$E$162=0,"",[2]财务取数接口!$E$162),""))</f>
        <v/>
      </c>
      <c r="F163" s="41" t="str">
        <f aca="false">IF($T$4=0,IF($M163="","",$M163),IFERROR(IF([2]财务取数接口!$G$162=0,"",[2]财务取数接口!$G$162),""))</f>
        <v/>
      </c>
      <c r="G163" s="41" t="str">
        <f aca="false">IF($T$4=0,IF($N163="","",$N163),IFERROR(IF([2]财务取数接口!$H$162=0,"",[2]财务取数接口!$H$162),""))</f>
        <v/>
      </c>
      <c r="H163" s="39" t="str">
        <f aca="false">IF($T$4=0,IF($O163="","",$O163),IFERROR(IF([2]财务取数接口!$I$162=0,"",[2]财务取数接口!$I$162),""))</f>
        <v/>
      </c>
      <c r="I163" s="42"/>
      <c r="J163" s="43"/>
      <c r="K163" s="42"/>
      <c r="L163" s="42"/>
      <c r="M163" s="44"/>
      <c r="N163" s="44"/>
      <c r="O163" s="43"/>
      <c r="P163" s="45" t="n">
        <f aca="false">IF(AND($C163&lt;&gt;"",$C163&lt;&gt;"项目",OR(N($D163)&lt;&gt;0,N($E163)&lt;&gt;0,N($F163)&lt;&gt;0)),1,0)</f>
        <v>0</v>
      </c>
      <c r="Q163" s="45" t="n">
        <f aca="false">N(Q162)+$P163</f>
        <v>3</v>
      </c>
    </row>
    <row r="164" customFormat="false" ht="13.5" hidden="false" customHeight="false" outlineLevel="0" collapsed="false">
      <c r="A164" s="9" t="n">
        <v>163</v>
      </c>
      <c r="B164" s="40" t="str">
        <f aca="false">IF($T$4=0,IF($I164="","",$I164),IFERROR(IF([2]财务取数接口!$B$163=0,"",[2]财务取数接口!$B$163),""))</f>
        <v>王照雪</v>
      </c>
      <c r="C164" s="39" t="str">
        <f aca="false">IF($T$4=0,IF($J164="","",$J164),IFERROR(IF([2]财务取数接口!$C$163=0,"",[2]财务取数接口!$C$163),""))</f>
        <v>物料销售款</v>
      </c>
      <c r="D164" s="40" t="str">
        <f aca="false">IF($T$4=0,IF($K164="","",$K164),IFERROR(IF([2]财务取数接口!$D$163=0,"",[2]财务取数接口!$D$163),""))</f>
        <v/>
      </c>
      <c r="E164" s="40" t="str">
        <f aca="false">IF($T$4=0,IF($L164="","",$L164),IFERROR(IF([2]财务取数接口!$E$163=0,"",[2]财务取数接口!$E$163),""))</f>
        <v/>
      </c>
      <c r="F164" s="41" t="str">
        <f aca="false">IF($T$4=0,IF($M164="","",$M164),IFERROR(IF([2]财务取数接口!$G$163=0,"",[2]财务取数接口!$G$163),""))</f>
        <v/>
      </c>
      <c r="G164" s="41" t="str">
        <f aca="false">IF($T$4=0,IF($N164="","",$N164),IFERROR(IF([2]财务取数接口!$H$163=0,"",[2]财务取数接口!$H$163),""))</f>
        <v/>
      </c>
      <c r="H164" s="39" t="str">
        <f aca="false">IF($T$4=0,IF($O164="","",$O164),IFERROR(IF([2]财务取数接口!$I$163=0,"",[2]财务取数接口!$I$163),""))</f>
        <v/>
      </c>
      <c r="I164" s="42"/>
      <c r="J164" s="43"/>
      <c r="K164" s="42"/>
      <c r="L164" s="42"/>
      <c r="M164" s="44"/>
      <c r="N164" s="44"/>
      <c r="O164" s="43"/>
      <c r="P164" s="45" t="n">
        <f aca="false">IF(AND($C164&lt;&gt;"",$C164&lt;&gt;"项目",OR(N($D164)&lt;&gt;0,N($E164)&lt;&gt;0,N($F164)&lt;&gt;0)),1,0)</f>
        <v>0</v>
      </c>
      <c r="Q164" s="45" t="n">
        <f aca="false">N(Q163)+$P164</f>
        <v>3</v>
      </c>
    </row>
    <row r="165" customFormat="false" ht="13.5" hidden="false" customHeight="false" outlineLevel="0" collapsed="false">
      <c r="A165" s="9" t="n">
        <v>164</v>
      </c>
      <c r="B165" s="40" t="str">
        <f aca="false">IF($T$4=0,IF($I165="","",$I165),IFERROR(IF([2]财务取数接口!$B$164=0,"",[2]财务取数接口!$B$164),""))</f>
        <v>伍元虎</v>
      </c>
      <c r="C165" s="39" t="str">
        <f aca="false">IF($T$4=0,IF($J165="","",$J165),IFERROR(IF([2]财务取数接口!$C$164=0,"",[2]财务取数接口!$C$164),""))</f>
        <v>筐子销售款</v>
      </c>
      <c r="D165" s="40" t="str">
        <f aca="false">IF($T$4=0,IF($K165="","",$K165),IFERROR(IF([2]财务取数接口!$D$164=0,"",[2]财务取数接口!$D$164),""))</f>
        <v/>
      </c>
      <c r="E165" s="40" t="str">
        <f aca="false">IF($T$4=0,IF($L165="","",$L165),IFERROR(IF([2]财务取数接口!$E$164=0,"",[2]财务取数接口!$E$164),""))</f>
        <v/>
      </c>
      <c r="F165" s="41" t="str">
        <f aca="false">IF($T$4=0,IF($M165="","",$M165),IFERROR(IF([2]财务取数接口!$G$164=0,"",[2]财务取数接口!$G$164),""))</f>
        <v/>
      </c>
      <c r="G165" s="41" t="str">
        <f aca="false">IF($T$4=0,IF($N165="","",$N165),IFERROR(IF([2]财务取数接口!$H$164=0,"",[2]财务取数接口!$H$164),""))</f>
        <v/>
      </c>
      <c r="H165" s="39" t="str">
        <f aca="false">IF($T$4=0,IF($O165="","",$O165),IFERROR(IF([2]财务取数接口!$I$164=0,"",[2]财务取数接口!$I$164),""))</f>
        <v/>
      </c>
      <c r="I165" s="42"/>
      <c r="J165" s="43"/>
      <c r="K165" s="42"/>
      <c r="L165" s="42"/>
      <c r="M165" s="44"/>
      <c r="N165" s="44"/>
      <c r="O165" s="43"/>
      <c r="P165" s="45" t="n">
        <f aca="false">IF(AND($C165&lt;&gt;"",$C165&lt;&gt;"项目",OR(N($D165)&lt;&gt;0,N($E165)&lt;&gt;0,N($F165)&lt;&gt;0)),1,0)</f>
        <v>0</v>
      </c>
      <c r="Q165" s="45" t="n">
        <f aca="false">N(Q164)+$P165</f>
        <v>3</v>
      </c>
    </row>
    <row r="166" customFormat="false" ht="13.5" hidden="false" customHeight="false" outlineLevel="0" collapsed="false">
      <c r="A166" s="9" t="n">
        <v>165</v>
      </c>
      <c r="B166" s="40" t="str">
        <f aca="false">IF($T$4=0,IF($I166="","",$I166),IFERROR(IF([2]财务取数接口!$B$165=0,"",[2]财务取数接口!$B$165),""))</f>
        <v>伍元虎</v>
      </c>
      <c r="C166" s="39" t="str">
        <f aca="false">IF($T$4=0,IF($J166="","",$J166),IFERROR(IF([2]财务取数接口!$C$165=0,"",[2]财务取数接口!$C$165),""))</f>
        <v>物料销售款</v>
      </c>
      <c r="D166" s="40" t="str">
        <f aca="false">IF($T$4=0,IF($K166="","",$K166),IFERROR(IF([2]财务取数接口!$D$165=0,"",[2]财务取数接口!$D$165),""))</f>
        <v/>
      </c>
      <c r="E166" s="40" t="str">
        <f aca="false">IF($T$4=0,IF($L166="","",$L166),IFERROR(IF([2]财务取数接口!$E$165=0,"",[2]财务取数接口!$E$165),""))</f>
        <v/>
      </c>
      <c r="F166" s="41" t="str">
        <f aca="false">IF($T$4=0,IF($M166="","",$M166),IFERROR(IF([2]财务取数接口!$G$165=0,"",[2]财务取数接口!$G$165),""))</f>
        <v/>
      </c>
      <c r="G166" s="41" t="str">
        <f aca="false">IF($T$4=0,IF($N166="","",$N166),IFERROR(IF([2]财务取数接口!$H$165=0,"",[2]财务取数接口!$H$165),""))</f>
        <v/>
      </c>
      <c r="H166" s="39" t="str">
        <f aca="false">IF($T$4=0,IF($O166="","",$O166),IFERROR(IF([2]财务取数接口!$I$165=0,"",[2]财务取数接口!$I$165),""))</f>
        <v/>
      </c>
      <c r="I166" s="42"/>
      <c r="J166" s="43"/>
      <c r="K166" s="42"/>
      <c r="L166" s="42"/>
      <c r="M166" s="44"/>
      <c r="N166" s="44"/>
      <c r="O166" s="43"/>
      <c r="P166" s="45" t="n">
        <f aca="false">IF(AND($C166&lt;&gt;"",$C166&lt;&gt;"项目",OR(N($D166)&lt;&gt;0,N($E166)&lt;&gt;0,N($F166)&lt;&gt;0)),1,0)</f>
        <v>0</v>
      </c>
      <c r="Q166" s="45" t="n">
        <f aca="false">N(Q165)+$P166</f>
        <v>3</v>
      </c>
    </row>
    <row r="167" customFormat="false" ht="13.5" hidden="false" customHeight="false" outlineLevel="0" collapsed="false">
      <c r="A167" s="9" t="n">
        <v>166</v>
      </c>
      <c r="B167" s="40" t="str">
        <f aca="false">IF($T$4=0,IF($I167="","",$I167),IFERROR(IF([2]财务取数接口!$B$166=0,"",[2]财务取数接口!$B$166),""))</f>
        <v>麦麦提</v>
      </c>
      <c r="C167" s="39" t="str">
        <f aca="false">IF($T$4=0,IF($J167="","",$J167),IFERROR(IF([2]财务取数接口!$C$166=0,"",[2]财务取数接口!$C$166),""))</f>
        <v>筐子销售款</v>
      </c>
      <c r="D167" s="40" t="str">
        <f aca="false">IF($T$4=0,IF($K167="","",$K167),IFERROR(IF([2]财务取数接口!$D$166=0,"",[2]财务取数接口!$D$166),""))</f>
        <v/>
      </c>
      <c r="E167" s="40" t="str">
        <f aca="false">IF($T$4=0,IF($L167="","",$L167),IFERROR(IF([2]财务取数接口!$E$166=0,"",[2]财务取数接口!$E$166),""))</f>
        <v/>
      </c>
      <c r="F167" s="41" t="str">
        <f aca="false">IF($T$4=0,IF($M167="","",$M167),IFERROR(IF([2]财务取数接口!$G$166=0,"",[2]财务取数接口!$G$166),""))</f>
        <v/>
      </c>
      <c r="G167" s="41" t="str">
        <f aca="false">IF($T$4=0,IF($N167="","",$N167),IFERROR(IF([2]财务取数接口!$H$166=0,"",[2]财务取数接口!$H$166),""))</f>
        <v/>
      </c>
      <c r="H167" s="39" t="str">
        <f aca="false">IF($T$4=0,IF($O167="","",$O167),IFERROR(IF([2]财务取数接口!$I$166=0,"",[2]财务取数接口!$I$166),""))</f>
        <v/>
      </c>
      <c r="I167" s="42"/>
      <c r="J167" s="43"/>
      <c r="K167" s="42"/>
      <c r="L167" s="42"/>
      <c r="M167" s="44"/>
      <c r="N167" s="44"/>
      <c r="O167" s="43"/>
      <c r="P167" s="45" t="n">
        <f aca="false">IF(AND($C167&lt;&gt;"",$C167&lt;&gt;"项目",OR(N($D167)&lt;&gt;0,N($E167)&lt;&gt;0,N($F167)&lt;&gt;0)),1,0)</f>
        <v>0</v>
      </c>
      <c r="Q167" s="45" t="n">
        <f aca="false">N(Q166)+$P167</f>
        <v>3</v>
      </c>
    </row>
    <row r="168" customFormat="false" ht="13.5" hidden="false" customHeight="false" outlineLevel="0" collapsed="false">
      <c r="A168" s="9" t="n">
        <v>167</v>
      </c>
      <c r="B168" s="40" t="str">
        <f aca="false">IF($T$4=0,IF($I168="","",$I168),IFERROR(IF([2]财务取数接口!$B$167=0,"",[2]财务取数接口!$B$167),""))</f>
        <v>麦麦提</v>
      </c>
      <c r="C168" s="39" t="str">
        <f aca="false">IF($T$4=0,IF($J168="","",$J168),IFERROR(IF([2]财务取数接口!$C$167=0,"",[2]财务取数接口!$C$167),""))</f>
        <v>物料销售款</v>
      </c>
      <c r="D168" s="40" t="str">
        <f aca="false">IF($T$4=0,IF($K168="","",$K168),IFERROR(IF([2]财务取数接口!$D$167=0,"",[2]财务取数接口!$D$167),""))</f>
        <v/>
      </c>
      <c r="E168" s="40" t="str">
        <f aca="false">IF($T$4=0,IF($L168="","",$L168),IFERROR(IF([2]财务取数接口!$E$167=0,"",[2]财务取数接口!$E$167),""))</f>
        <v/>
      </c>
      <c r="F168" s="41" t="str">
        <f aca="false">IF($T$4=0,IF($M168="","",$M168),IFERROR(IF([2]财务取数接口!$G$167=0,"",[2]财务取数接口!$G$167),""))</f>
        <v/>
      </c>
      <c r="G168" s="41" t="str">
        <f aca="false">IF($T$4=0,IF($N168="","",$N168),IFERROR(IF([2]财务取数接口!$H$167=0,"",[2]财务取数接口!$H$167),""))</f>
        <v/>
      </c>
      <c r="H168" s="39" t="str">
        <f aca="false">IF($T$4=0,IF($O168="","",$O168),IFERROR(IF([2]财务取数接口!$I$167=0,"",[2]财务取数接口!$I$167),""))</f>
        <v/>
      </c>
      <c r="I168" s="42"/>
      <c r="J168" s="43"/>
      <c r="K168" s="42"/>
      <c r="L168" s="42"/>
      <c r="M168" s="44"/>
      <c r="N168" s="44"/>
      <c r="O168" s="43"/>
      <c r="P168" s="45" t="n">
        <f aca="false">IF(AND($C168&lt;&gt;"",$C168&lt;&gt;"项目",OR(N($D168)&lt;&gt;0,N($E168)&lt;&gt;0,N($F168)&lt;&gt;0)),1,0)</f>
        <v>0</v>
      </c>
      <c r="Q168" s="45" t="n">
        <f aca="false">N(Q167)+$P168</f>
        <v>3</v>
      </c>
    </row>
    <row r="169" customFormat="false" ht="13.5" hidden="false" customHeight="false" outlineLevel="0" collapsed="false">
      <c r="A169" s="9" t="n">
        <v>168</v>
      </c>
      <c r="B169" s="40" t="str">
        <f aca="false">IF($T$4=0,IF($I169="","",$I169),IFERROR(IF([2]财务取数接口!$B$168=0,"",[2]财务取数接口!$B$168),""))</f>
        <v>热合曼</v>
      </c>
      <c r="C169" s="39" t="str">
        <f aca="false">IF($T$4=0,IF($J169="","",$J169),IFERROR(IF([2]财务取数接口!$C$168=0,"",[2]财务取数接口!$C$168),""))</f>
        <v>筐子销售款</v>
      </c>
      <c r="D169" s="40" t="str">
        <f aca="false">IF($T$4=0,IF($K169="","",$K169),IFERROR(IF([2]财务取数接口!$D$168=0,"",[2]财务取数接口!$D$168),""))</f>
        <v/>
      </c>
      <c r="E169" s="40" t="str">
        <f aca="false">IF($T$4=0,IF($L169="","",$L169),IFERROR(IF([2]财务取数接口!$E$168=0,"",[2]财务取数接口!$E$168),""))</f>
        <v/>
      </c>
      <c r="F169" s="41" t="str">
        <f aca="false">IF($T$4=0,IF($M169="","",$M169),IFERROR(IF([2]财务取数接口!$G$168=0,"",[2]财务取数接口!$G$168),""))</f>
        <v/>
      </c>
      <c r="G169" s="41" t="str">
        <f aca="false">IF($T$4=0,IF($N169="","",$N169),IFERROR(IF([2]财务取数接口!$H$168=0,"",[2]财务取数接口!$H$168),""))</f>
        <v/>
      </c>
      <c r="H169" s="39" t="str">
        <f aca="false">IF($T$4=0,IF($O169="","",$O169),IFERROR(IF([2]财务取数接口!$I$168=0,"",[2]财务取数接口!$I$168),""))</f>
        <v/>
      </c>
      <c r="I169" s="42"/>
      <c r="J169" s="43"/>
      <c r="K169" s="42"/>
      <c r="L169" s="42"/>
      <c r="M169" s="44"/>
      <c r="N169" s="44"/>
      <c r="O169" s="43"/>
      <c r="P169" s="45" t="n">
        <f aca="false">IF(AND($C169&lt;&gt;"",$C169&lt;&gt;"项目",OR(N($D169)&lt;&gt;0,N($E169)&lt;&gt;0,N($F169)&lt;&gt;0)),1,0)</f>
        <v>0</v>
      </c>
      <c r="Q169" s="45" t="n">
        <f aca="false">N(Q168)+$P169</f>
        <v>3</v>
      </c>
    </row>
    <row r="170" customFormat="false" ht="13.5" hidden="false" customHeight="false" outlineLevel="0" collapsed="false">
      <c r="A170" s="9" t="n">
        <v>169</v>
      </c>
      <c r="B170" s="40" t="str">
        <f aca="false">IF($T$4=0,IF($I170="","",$I170),IFERROR(IF([2]财务取数接口!$B$169=0,"",[2]财务取数接口!$B$169),""))</f>
        <v>热合曼</v>
      </c>
      <c r="C170" s="39" t="str">
        <f aca="false">IF($T$4=0,IF($J170="","",$J170),IFERROR(IF([2]财务取数接口!$C$169=0,"",[2]财务取数接口!$C$169),""))</f>
        <v>物料销售款</v>
      </c>
      <c r="D170" s="40" t="str">
        <f aca="false">IF($T$4=0,IF($K170="","",$K170),IFERROR(IF([2]财务取数接口!$D$169=0,"",[2]财务取数接口!$D$169),""))</f>
        <v/>
      </c>
      <c r="E170" s="40" t="str">
        <f aca="false">IF($T$4=0,IF($L170="","",$L170),IFERROR(IF([2]财务取数接口!$E$169=0,"",[2]财务取数接口!$E$169),""))</f>
        <v/>
      </c>
      <c r="F170" s="41" t="str">
        <f aca="false">IF($T$4=0,IF($M170="","",$M170),IFERROR(IF([2]财务取数接口!$G$169=0,"",[2]财务取数接口!$G$169),""))</f>
        <v/>
      </c>
      <c r="G170" s="41" t="str">
        <f aca="false">IF($T$4=0,IF($N170="","",$N170),IFERROR(IF([2]财务取数接口!$H$169=0,"",[2]财务取数接口!$H$169),""))</f>
        <v/>
      </c>
      <c r="H170" s="39" t="str">
        <f aca="false">IF($T$4=0,IF($O170="","",$O170),IFERROR(IF([2]财务取数接口!$I$169=0,"",[2]财务取数接口!$I$169),""))</f>
        <v/>
      </c>
      <c r="I170" s="42"/>
      <c r="J170" s="43"/>
      <c r="K170" s="42"/>
      <c r="L170" s="42"/>
      <c r="M170" s="44"/>
      <c r="N170" s="44"/>
      <c r="O170" s="43"/>
      <c r="P170" s="45" t="n">
        <f aca="false">IF(AND($C170&lt;&gt;"",$C170&lt;&gt;"项目",OR(N($D170)&lt;&gt;0,N($E170)&lt;&gt;0,N($F170)&lt;&gt;0)),1,0)</f>
        <v>0</v>
      </c>
      <c r="Q170" s="45" t="n">
        <f aca="false">N(Q169)+$P170</f>
        <v>3</v>
      </c>
    </row>
    <row r="171" customFormat="false" ht="13.5" hidden="false" customHeight="false" outlineLevel="0" collapsed="false">
      <c r="A171" s="9" t="n">
        <v>170</v>
      </c>
      <c r="B171" s="40" t="str">
        <f aca="false">IF($T$4=0,IF($I171="","",$I171),IFERROR(IF([2]财务取数接口!$B$170=0,"",[2]财务取数接口!$B$170),""))</f>
        <v>王灵云</v>
      </c>
      <c r="C171" s="39" t="str">
        <f aca="false">IF($T$4=0,IF($J171="","",$J171),IFERROR(IF([2]财务取数接口!$C$170=0,"",[2]财务取数接口!$C$170),""))</f>
        <v>筐子销售款</v>
      </c>
      <c r="D171" s="40" t="str">
        <f aca="false">IF($T$4=0,IF($K171="","",$K171),IFERROR(IF([2]财务取数接口!$D$170=0,"",[2]财务取数接口!$D$170),""))</f>
        <v/>
      </c>
      <c r="E171" s="40" t="str">
        <f aca="false">IF($T$4=0,IF($L171="","",$L171),IFERROR(IF([2]财务取数接口!$E$170=0,"",[2]财务取数接口!$E$170),""))</f>
        <v/>
      </c>
      <c r="F171" s="41" t="str">
        <f aca="false">IF($T$4=0,IF($M171="","",$M171),IFERROR(IF([2]财务取数接口!$G$170=0,"",[2]财务取数接口!$G$170),""))</f>
        <v/>
      </c>
      <c r="G171" s="41" t="str">
        <f aca="false">IF($T$4=0,IF($N171="","",$N171),IFERROR(IF([2]财务取数接口!$H$170=0,"",[2]财务取数接口!$H$170),""))</f>
        <v/>
      </c>
      <c r="H171" s="39" t="str">
        <f aca="false">IF($T$4=0,IF($O171="","",$O171),IFERROR(IF([2]财务取数接口!$I$170=0,"",[2]财务取数接口!$I$170),""))</f>
        <v/>
      </c>
      <c r="I171" s="42"/>
      <c r="J171" s="43"/>
      <c r="K171" s="42"/>
      <c r="L171" s="42"/>
      <c r="M171" s="44"/>
      <c r="N171" s="44"/>
      <c r="O171" s="43"/>
      <c r="P171" s="45" t="n">
        <f aca="false">IF(AND($C171&lt;&gt;"",$C171&lt;&gt;"项目",OR(N($D171)&lt;&gt;0,N($E171)&lt;&gt;0,N($F171)&lt;&gt;0)),1,0)</f>
        <v>0</v>
      </c>
      <c r="Q171" s="45" t="n">
        <f aca="false">N(Q170)+$P171</f>
        <v>3</v>
      </c>
    </row>
    <row r="172" customFormat="false" ht="13.5" hidden="false" customHeight="false" outlineLevel="0" collapsed="false">
      <c r="A172" s="9" t="n">
        <v>171</v>
      </c>
      <c r="B172" s="40" t="str">
        <f aca="false">IF($T$4=0,IF($I172="","",$I172),IFERROR(IF([2]财务取数接口!$B$171=0,"",[2]财务取数接口!$B$171),""))</f>
        <v>王灵云</v>
      </c>
      <c r="C172" s="39" t="str">
        <f aca="false">IF($T$4=0,IF($J172="","",$J172),IFERROR(IF([2]财务取数接口!$C$171=0,"",[2]财务取数接口!$C$171),""))</f>
        <v>物料销售款</v>
      </c>
      <c r="D172" s="40" t="str">
        <f aca="false">IF($T$4=0,IF($K172="","",$K172),IFERROR(IF([2]财务取数接口!$D$171=0,"",[2]财务取数接口!$D$171),""))</f>
        <v/>
      </c>
      <c r="E172" s="40" t="str">
        <f aca="false">IF($T$4=0,IF($L172="","",$L172),IFERROR(IF([2]财务取数接口!$E$171=0,"",[2]财务取数接口!$E$171),""))</f>
        <v/>
      </c>
      <c r="F172" s="41" t="str">
        <f aca="false">IF($T$4=0,IF($M172="","",$M172),IFERROR(IF([2]财务取数接口!$G$171=0,"",[2]财务取数接口!$G$171),""))</f>
        <v/>
      </c>
      <c r="G172" s="41" t="str">
        <f aca="false">IF($T$4=0,IF($N172="","",$N172),IFERROR(IF([2]财务取数接口!$H$171=0,"",[2]财务取数接口!$H$171),""))</f>
        <v/>
      </c>
      <c r="H172" s="39" t="str">
        <f aca="false">IF($T$4=0,IF($O172="","",$O172),IFERROR(IF([2]财务取数接口!$I$171=0,"",[2]财务取数接口!$I$171),""))</f>
        <v/>
      </c>
      <c r="I172" s="42"/>
      <c r="J172" s="43"/>
      <c r="K172" s="42"/>
      <c r="L172" s="42"/>
      <c r="M172" s="44"/>
      <c r="N172" s="44"/>
      <c r="O172" s="43"/>
      <c r="P172" s="45" t="n">
        <f aca="false">IF(AND($C172&lt;&gt;"",$C172&lt;&gt;"项目",OR(N($D172)&lt;&gt;0,N($E172)&lt;&gt;0,N($F172)&lt;&gt;0)),1,0)</f>
        <v>0</v>
      </c>
      <c r="Q172" s="45" t="n">
        <f aca="false">N(Q171)+$P172</f>
        <v>3</v>
      </c>
    </row>
    <row r="173" customFormat="false" ht="13.5" hidden="false" customHeight="false" outlineLevel="0" collapsed="false">
      <c r="A173" s="9" t="n">
        <v>172</v>
      </c>
      <c r="B173" s="40" t="str">
        <f aca="false">IF($T$4=0,IF($I173="","",$I173),IFERROR(IF([2]财务取数接口!$B$172=0,"",[2]财务取数接口!$B$172),""))</f>
        <v>马锦祥</v>
      </c>
      <c r="C173" s="39" t="str">
        <f aca="false">IF($T$4=0,IF($J173="","",$J173),IFERROR(IF([2]财务取数接口!$C$172=0,"",[2]财务取数接口!$C$172),""))</f>
        <v>筐子销售款</v>
      </c>
      <c r="D173" s="40" t="str">
        <f aca="false">IF($T$4=0,IF($K173="","",$K173),IFERROR(IF([2]财务取数接口!$D$172=0,"",[2]财务取数接口!$D$172),""))</f>
        <v/>
      </c>
      <c r="E173" s="40" t="str">
        <f aca="false">IF($T$4=0,IF($L173="","",$L173),IFERROR(IF([2]财务取数接口!$E$172=0,"",[2]财务取数接口!$E$172),""))</f>
        <v/>
      </c>
      <c r="F173" s="41" t="str">
        <f aca="false">IF($T$4=0,IF($M173="","",$M173),IFERROR(IF([2]财务取数接口!$G$172=0,"",[2]财务取数接口!$G$172),""))</f>
        <v/>
      </c>
      <c r="G173" s="41" t="str">
        <f aca="false">IF($T$4=0,IF($N173="","",$N173),IFERROR(IF([2]财务取数接口!$H$172=0,"",[2]财务取数接口!$H$172),""))</f>
        <v/>
      </c>
      <c r="H173" s="39" t="str">
        <f aca="false">IF($T$4=0,IF($O173="","",$O173),IFERROR(IF([2]财务取数接口!$I$172=0,"",[2]财务取数接口!$I$172),""))</f>
        <v/>
      </c>
      <c r="I173" s="42"/>
      <c r="J173" s="43"/>
      <c r="K173" s="42"/>
      <c r="L173" s="42"/>
      <c r="M173" s="44"/>
      <c r="N173" s="44"/>
      <c r="O173" s="43"/>
      <c r="P173" s="45" t="n">
        <f aca="false">IF(AND($C173&lt;&gt;"",$C173&lt;&gt;"项目",OR(N($D173)&lt;&gt;0,N($E173)&lt;&gt;0,N($F173)&lt;&gt;0)),1,0)</f>
        <v>0</v>
      </c>
      <c r="Q173" s="45" t="n">
        <f aca="false">N(Q172)+$P173</f>
        <v>3</v>
      </c>
    </row>
    <row r="174" customFormat="false" ht="13.5" hidden="false" customHeight="false" outlineLevel="0" collapsed="false">
      <c r="A174" s="9" t="n">
        <v>173</v>
      </c>
      <c r="B174" s="40" t="str">
        <f aca="false">IF($T$4=0,IF($I174="","",$I174),IFERROR(IF([2]财务取数接口!$B$173=0,"",[2]财务取数接口!$B$173),""))</f>
        <v>马锦祥</v>
      </c>
      <c r="C174" s="39" t="str">
        <f aca="false">IF($T$4=0,IF($J174="","",$J174),IFERROR(IF([2]财务取数接口!$C$173=0,"",[2]财务取数接口!$C$173),""))</f>
        <v>物料销售款</v>
      </c>
      <c r="D174" s="40" t="str">
        <f aca="false">IF($T$4=0,IF($K174="","",$K174),IFERROR(IF([2]财务取数接口!$D$173=0,"",[2]财务取数接口!$D$173),""))</f>
        <v/>
      </c>
      <c r="E174" s="40" t="str">
        <f aca="false">IF($T$4=0,IF($L174="","",$L174),IFERROR(IF([2]财务取数接口!$E$173=0,"",[2]财务取数接口!$E$173),""))</f>
        <v/>
      </c>
      <c r="F174" s="41" t="str">
        <f aca="false">IF($T$4=0,IF($M174="","",$M174),IFERROR(IF([2]财务取数接口!$G$173=0,"",[2]财务取数接口!$G$173),""))</f>
        <v/>
      </c>
      <c r="G174" s="41" t="str">
        <f aca="false">IF($T$4=0,IF($N174="","",$N174),IFERROR(IF([2]财务取数接口!$H$173=0,"",[2]财务取数接口!$H$173),""))</f>
        <v/>
      </c>
      <c r="H174" s="39" t="str">
        <f aca="false">IF($T$4=0,IF($O174="","",$O174),IFERROR(IF([2]财务取数接口!$I$173=0,"",[2]财务取数接口!$I$173),""))</f>
        <v/>
      </c>
      <c r="I174" s="42"/>
      <c r="J174" s="43"/>
      <c r="K174" s="42"/>
      <c r="L174" s="42"/>
      <c r="M174" s="44"/>
      <c r="N174" s="44"/>
      <c r="O174" s="43"/>
      <c r="P174" s="45" t="n">
        <f aca="false">IF(AND($C174&lt;&gt;"",$C174&lt;&gt;"项目",OR(N($D174)&lt;&gt;0,N($E174)&lt;&gt;0,N($F174)&lt;&gt;0)),1,0)</f>
        <v>0</v>
      </c>
      <c r="Q174" s="45" t="n">
        <f aca="false">N(Q173)+$P174</f>
        <v>3</v>
      </c>
    </row>
    <row r="175" customFormat="false" ht="13.5" hidden="false" customHeight="false" outlineLevel="0" collapsed="false">
      <c r="A175" s="9" t="n">
        <v>174</v>
      </c>
      <c r="B175" s="40" t="str">
        <f aca="false">IF($T$4=0,IF($I175="","",$I175),IFERROR(IF([2]财务取数接口!$B$174=0,"",[2]财务取数接口!$B$174),""))</f>
        <v>贾建国</v>
      </c>
      <c r="C175" s="39" t="str">
        <f aca="false">IF($T$4=0,IF($J175="","",$J175),IFERROR(IF([2]财务取数接口!$C$174=0,"",[2]财务取数接口!$C$174),""))</f>
        <v>筐子销售款</v>
      </c>
      <c r="D175" s="40" t="str">
        <f aca="false">IF($T$4=0,IF($K175="","",$K175),IFERROR(IF([2]财务取数接口!$D$174=0,"",[2]财务取数接口!$D$174),""))</f>
        <v/>
      </c>
      <c r="E175" s="40" t="str">
        <f aca="false">IF($T$4=0,IF($L175="","",$L175),IFERROR(IF([2]财务取数接口!$E$174=0,"",[2]财务取数接口!$E$174),""))</f>
        <v/>
      </c>
      <c r="F175" s="41" t="str">
        <f aca="false">IF($T$4=0,IF($M175="","",$M175),IFERROR(IF([2]财务取数接口!$G$174=0,"",[2]财务取数接口!$G$174),""))</f>
        <v/>
      </c>
      <c r="G175" s="41" t="str">
        <f aca="false">IF($T$4=0,IF($N175="","",$N175),IFERROR(IF([2]财务取数接口!$H$174=0,"",[2]财务取数接口!$H$174),""))</f>
        <v/>
      </c>
      <c r="H175" s="39" t="str">
        <f aca="false">IF($T$4=0,IF($O175="","",$O175),IFERROR(IF([2]财务取数接口!$I$174=0,"",[2]财务取数接口!$I$174),""))</f>
        <v/>
      </c>
      <c r="I175" s="42"/>
      <c r="J175" s="43"/>
      <c r="K175" s="42"/>
      <c r="L175" s="42"/>
      <c r="M175" s="44"/>
      <c r="N175" s="44"/>
      <c r="O175" s="43"/>
      <c r="P175" s="45" t="n">
        <f aca="false">IF(AND($C175&lt;&gt;"",$C175&lt;&gt;"项目",OR(N($D175)&lt;&gt;0,N($E175)&lt;&gt;0,N($F175)&lt;&gt;0)),1,0)</f>
        <v>0</v>
      </c>
      <c r="Q175" s="45" t="n">
        <f aca="false">N(Q174)+$P175</f>
        <v>3</v>
      </c>
    </row>
    <row r="176" customFormat="false" ht="13.5" hidden="false" customHeight="false" outlineLevel="0" collapsed="false">
      <c r="A176" s="9" t="n">
        <v>175</v>
      </c>
      <c r="B176" s="40" t="str">
        <f aca="false">IF($T$4=0,IF($I176="","",$I176),IFERROR(IF([2]财务取数接口!$B$175=0,"",[2]财务取数接口!$B$175),""))</f>
        <v>贾建国</v>
      </c>
      <c r="C176" s="39" t="str">
        <f aca="false">IF($T$4=0,IF($J176="","",$J176),IFERROR(IF([2]财务取数接口!$C$175=0,"",[2]财务取数接口!$C$175),""))</f>
        <v>物料销售款</v>
      </c>
      <c r="D176" s="40" t="str">
        <f aca="false">IF($T$4=0,IF($K176="","",$K176),IFERROR(IF([2]财务取数接口!$D$175=0,"",[2]财务取数接口!$D$175),""))</f>
        <v/>
      </c>
      <c r="E176" s="40" t="str">
        <f aca="false">IF($T$4=0,IF($L176="","",$L176),IFERROR(IF([2]财务取数接口!$E$175=0,"",[2]财务取数接口!$E$175),""))</f>
        <v/>
      </c>
      <c r="F176" s="41" t="str">
        <f aca="false">IF($T$4=0,IF($M176="","",$M176),IFERROR(IF([2]财务取数接口!$G$175=0,"",[2]财务取数接口!$G$175),""))</f>
        <v/>
      </c>
      <c r="G176" s="41" t="str">
        <f aca="false">IF($T$4=0,IF($N176="","",$N176),IFERROR(IF([2]财务取数接口!$H$175=0,"",[2]财务取数接口!$H$175),""))</f>
        <v/>
      </c>
      <c r="H176" s="39" t="str">
        <f aca="false">IF($T$4=0,IF($O176="","",$O176),IFERROR(IF([2]财务取数接口!$I$175=0,"",[2]财务取数接口!$I$175),""))</f>
        <v/>
      </c>
      <c r="I176" s="42"/>
      <c r="J176" s="43"/>
      <c r="K176" s="42"/>
      <c r="L176" s="42"/>
      <c r="M176" s="44"/>
      <c r="N176" s="44"/>
      <c r="O176" s="43"/>
      <c r="P176" s="45" t="n">
        <f aca="false">IF(AND($C176&lt;&gt;"",$C176&lt;&gt;"项目",OR(N($D176)&lt;&gt;0,N($E176)&lt;&gt;0,N($F176)&lt;&gt;0)),1,0)</f>
        <v>0</v>
      </c>
      <c r="Q176" s="45" t="n">
        <f aca="false">N(Q175)+$P176</f>
        <v>3</v>
      </c>
    </row>
    <row r="177" customFormat="false" ht="13.5" hidden="false" customHeight="false" outlineLevel="0" collapsed="false">
      <c r="A177" s="9" t="n">
        <v>176</v>
      </c>
      <c r="B177" s="40" t="str">
        <f aca="false">IF($T$4=0,IF($I177="","",$I177),IFERROR(IF([2]财务取数接口!$B$176=0,"",[2]财务取数接口!$B$176),""))</f>
        <v>荆建君</v>
      </c>
      <c r="C177" s="39" t="str">
        <f aca="false">IF($T$4=0,IF($J177="","",$J177),IFERROR(IF([2]财务取数接口!$C$176=0,"",[2]财务取数接口!$C$176),""))</f>
        <v>筐子销售款</v>
      </c>
      <c r="D177" s="40" t="str">
        <f aca="false">IF($T$4=0,IF($K177="","",$K177),IFERROR(IF([2]财务取数接口!$D$176=0,"",[2]财务取数接口!$D$176),""))</f>
        <v/>
      </c>
      <c r="E177" s="40" t="str">
        <f aca="false">IF($T$4=0,IF($L177="","",$L177),IFERROR(IF([2]财务取数接口!$E$176=0,"",[2]财务取数接口!$E$176),""))</f>
        <v/>
      </c>
      <c r="F177" s="41" t="str">
        <f aca="false">IF($T$4=0,IF($M177="","",$M177),IFERROR(IF([2]财务取数接口!$G$176=0,"",[2]财务取数接口!$G$176),""))</f>
        <v/>
      </c>
      <c r="G177" s="41" t="str">
        <f aca="false">IF($T$4=0,IF($N177="","",$N177),IFERROR(IF([2]财务取数接口!$H$176=0,"",[2]财务取数接口!$H$176),""))</f>
        <v/>
      </c>
      <c r="H177" s="39" t="str">
        <f aca="false">IF($T$4=0,IF($O177="","",$O177),IFERROR(IF([2]财务取数接口!$I$176=0,"",[2]财务取数接口!$I$176),""))</f>
        <v/>
      </c>
      <c r="I177" s="42"/>
      <c r="J177" s="43"/>
      <c r="K177" s="42"/>
      <c r="L177" s="42"/>
      <c r="M177" s="44"/>
      <c r="N177" s="44"/>
      <c r="O177" s="43"/>
      <c r="P177" s="45" t="n">
        <f aca="false">IF(AND($C177&lt;&gt;"",$C177&lt;&gt;"项目",OR(N($D177)&lt;&gt;0,N($E177)&lt;&gt;0,N($F177)&lt;&gt;0)),1,0)</f>
        <v>0</v>
      </c>
      <c r="Q177" s="45" t="n">
        <f aca="false">N(Q176)+$P177</f>
        <v>3</v>
      </c>
    </row>
    <row r="178" customFormat="false" ht="13.5" hidden="false" customHeight="false" outlineLevel="0" collapsed="false">
      <c r="A178" s="9" t="n">
        <v>177</v>
      </c>
      <c r="B178" s="40" t="str">
        <f aca="false">IF($T$4=0,IF($I178="","",$I178),IFERROR(IF([2]财务取数接口!$B$177=0,"",[2]财务取数接口!$B$177),""))</f>
        <v>荆建君</v>
      </c>
      <c r="C178" s="39" t="str">
        <f aca="false">IF($T$4=0,IF($J178="","",$J178),IFERROR(IF([2]财务取数接口!$C$177=0,"",[2]财务取数接口!$C$177),""))</f>
        <v>物料销售款</v>
      </c>
      <c r="D178" s="40" t="str">
        <f aca="false">IF($T$4=0,IF($K178="","",$K178),IFERROR(IF([2]财务取数接口!$D$177=0,"",[2]财务取数接口!$D$177),""))</f>
        <v/>
      </c>
      <c r="E178" s="40" t="str">
        <f aca="false">IF($T$4=0,IF($L178="","",$L178),IFERROR(IF([2]财务取数接口!$E$177=0,"",[2]财务取数接口!$E$177),""))</f>
        <v/>
      </c>
      <c r="F178" s="41" t="str">
        <f aca="false">IF($T$4=0,IF($M178="","",$M178),IFERROR(IF([2]财务取数接口!$G$177=0,"",[2]财务取数接口!$G$177),""))</f>
        <v/>
      </c>
      <c r="G178" s="41" t="str">
        <f aca="false">IF($T$4=0,IF($N178="","",$N178),IFERROR(IF([2]财务取数接口!$H$177=0,"",[2]财务取数接口!$H$177),""))</f>
        <v/>
      </c>
      <c r="H178" s="39" t="str">
        <f aca="false">IF($T$4=0,IF($O178="","",$O178),IFERROR(IF([2]财务取数接口!$I$177=0,"",[2]财务取数接口!$I$177),""))</f>
        <v/>
      </c>
      <c r="I178" s="42"/>
      <c r="J178" s="43"/>
      <c r="K178" s="42"/>
      <c r="L178" s="42"/>
      <c r="M178" s="44"/>
      <c r="N178" s="44"/>
      <c r="O178" s="43"/>
      <c r="P178" s="45" t="n">
        <f aca="false">IF(AND($C178&lt;&gt;"",$C178&lt;&gt;"项目",OR(N($D178)&lt;&gt;0,N($E178)&lt;&gt;0,N($F178)&lt;&gt;0)),1,0)</f>
        <v>0</v>
      </c>
      <c r="Q178" s="45" t="n">
        <f aca="false">N(Q177)+$P178</f>
        <v>3</v>
      </c>
    </row>
    <row r="179" customFormat="false" ht="13.5" hidden="false" customHeight="false" outlineLevel="0" collapsed="false">
      <c r="A179" s="9" t="n">
        <v>178</v>
      </c>
      <c r="B179" s="40" t="str">
        <f aca="false">IF($T$4=0,IF($I179="","",$I179),IFERROR(IF([2]财务取数接口!$B$178=0,"",[2]财务取数接口!$B$178),""))</f>
        <v>李现东</v>
      </c>
      <c r="C179" s="39" t="str">
        <f aca="false">IF($T$4=0,IF($J179="","",$J179),IFERROR(IF([2]财务取数接口!$C$178=0,"",[2]财务取数接口!$C$178),""))</f>
        <v>筐子销售款</v>
      </c>
      <c r="D179" s="40" t="str">
        <f aca="false">IF($T$4=0,IF($K179="","",$K179),IFERROR(IF([2]财务取数接口!$D$178=0,"",[2]财务取数接口!$D$178),""))</f>
        <v/>
      </c>
      <c r="E179" s="40" t="str">
        <f aca="false">IF($T$4=0,IF($L179="","",$L179),IFERROR(IF([2]财务取数接口!$E$178=0,"",[2]财务取数接口!$E$178),""))</f>
        <v/>
      </c>
      <c r="F179" s="41" t="str">
        <f aca="false">IF($T$4=0,IF($M179="","",$M179),IFERROR(IF([2]财务取数接口!$G$178=0,"",[2]财务取数接口!$G$178),""))</f>
        <v/>
      </c>
      <c r="G179" s="41" t="str">
        <f aca="false">IF($T$4=0,IF($N179="","",$N179),IFERROR(IF([2]财务取数接口!$H$178=0,"",[2]财务取数接口!$H$178),""))</f>
        <v/>
      </c>
      <c r="H179" s="39" t="str">
        <f aca="false">IF($T$4=0,IF($O179="","",$O179),IFERROR(IF([2]财务取数接口!$I$178=0,"",[2]财务取数接口!$I$178),""))</f>
        <v/>
      </c>
      <c r="I179" s="42"/>
      <c r="J179" s="43"/>
      <c r="K179" s="42"/>
      <c r="L179" s="42"/>
      <c r="M179" s="44"/>
      <c r="N179" s="44"/>
      <c r="O179" s="43"/>
      <c r="P179" s="45" t="n">
        <f aca="false">IF(AND($C179&lt;&gt;"",$C179&lt;&gt;"项目",OR(N($D179)&lt;&gt;0,N($E179)&lt;&gt;0,N($F179)&lt;&gt;0)),1,0)</f>
        <v>0</v>
      </c>
      <c r="Q179" s="45" t="n">
        <f aca="false">N(Q178)+$P179</f>
        <v>3</v>
      </c>
    </row>
    <row r="180" customFormat="false" ht="13.5" hidden="false" customHeight="false" outlineLevel="0" collapsed="false">
      <c r="A180" s="9" t="n">
        <v>179</v>
      </c>
      <c r="B180" s="40" t="str">
        <f aca="false">IF($T$4=0,IF($I180="","",$I180),IFERROR(IF([2]财务取数接口!$B$179=0,"",[2]财务取数接口!$B$179),""))</f>
        <v>李现东</v>
      </c>
      <c r="C180" s="39" t="str">
        <f aca="false">IF($T$4=0,IF($J180="","",$J180),IFERROR(IF([2]财务取数接口!$C$179=0,"",[2]财务取数接口!$C$179),""))</f>
        <v>物料销售款</v>
      </c>
      <c r="D180" s="40" t="str">
        <f aca="false">IF($T$4=0,IF($K180="","",$K180),IFERROR(IF([2]财务取数接口!$D$179=0,"",[2]财务取数接口!$D$179),""))</f>
        <v/>
      </c>
      <c r="E180" s="40" t="str">
        <f aca="false">IF($T$4=0,IF($L180="","",$L180),IFERROR(IF([2]财务取数接口!$E$179=0,"",[2]财务取数接口!$E$179),""))</f>
        <v/>
      </c>
      <c r="F180" s="41" t="str">
        <f aca="false">IF($T$4=0,IF($M180="","",$M180),IFERROR(IF([2]财务取数接口!$G$179=0,"",[2]财务取数接口!$G$179),""))</f>
        <v/>
      </c>
      <c r="G180" s="41" t="str">
        <f aca="false">IF($T$4=0,IF($N180="","",$N180),IFERROR(IF([2]财务取数接口!$H$179=0,"",[2]财务取数接口!$H$179),""))</f>
        <v/>
      </c>
      <c r="H180" s="39" t="str">
        <f aca="false">IF($T$4=0,IF($O180="","",$O180),IFERROR(IF([2]财务取数接口!$I$179=0,"",[2]财务取数接口!$I$179),""))</f>
        <v/>
      </c>
      <c r="I180" s="42"/>
      <c r="J180" s="43"/>
      <c r="K180" s="42"/>
      <c r="L180" s="42"/>
      <c r="M180" s="44"/>
      <c r="N180" s="44"/>
      <c r="O180" s="43"/>
      <c r="P180" s="45" t="n">
        <f aca="false">IF(AND($C180&lt;&gt;"",$C180&lt;&gt;"项目",OR(N($D180)&lt;&gt;0,N($E180)&lt;&gt;0,N($F180)&lt;&gt;0)),1,0)</f>
        <v>0</v>
      </c>
      <c r="Q180" s="45" t="n">
        <f aca="false">N(Q179)+$P180</f>
        <v>3</v>
      </c>
    </row>
    <row r="181" customFormat="false" ht="13.5" hidden="false" customHeight="false" outlineLevel="0" collapsed="false">
      <c r="A181" s="9" t="n">
        <v>180</v>
      </c>
      <c r="B181" s="40" t="str">
        <f aca="false">IF($T$4=0,IF($I181="","",$I181),IFERROR(IF([2]财务取数接口!$B$180=0,"",[2]财务取数接口!$B$180),""))</f>
        <v>王浩</v>
      </c>
      <c r="C181" s="39" t="str">
        <f aca="false">IF($T$4=0,IF($J181="","",$J181),IFERROR(IF([2]财务取数接口!$C$180=0,"",[2]财务取数接口!$C$180),""))</f>
        <v>筐子销售款</v>
      </c>
      <c r="D181" s="40" t="str">
        <f aca="false">IF($T$4=0,IF($K181="","",$K181),IFERROR(IF([2]财务取数接口!$D$180=0,"",[2]财务取数接口!$D$180),""))</f>
        <v/>
      </c>
      <c r="E181" s="40" t="str">
        <f aca="false">IF($T$4=0,IF($L181="","",$L181),IFERROR(IF([2]财务取数接口!$E$180=0,"",[2]财务取数接口!$E$180),""))</f>
        <v/>
      </c>
      <c r="F181" s="41" t="str">
        <f aca="false">IF($T$4=0,IF($M181="","",$M181),IFERROR(IF([2]财务取数接口!$G$180=0,"",[2]财务取数接口!$G$180),""))</f>
        <v/>
      </c>
      <c r="G181" s="41" t="str">
        <f aca="false">IF($T$4=0,IF($N181="","",$N181),IFERROR(IF([2]财务取数接口!$H$180=0,"",[2]财务取数接口!$H$180),""))</f>
        <v/>
      </c>
      <c r="H181" s="39" t="str">
        <f aca="false">IF($T$4=0,IF($O181="","",$O181),IFERROR(IF([2]财务取数接口!$I$180=0,"",[2]财务取数接口!$I$180),""))</f>
        <v/>
      </c>
      <c r="I181" s="42"/>
      <c r="J181" s="43"/>
      <c r="K181" s="42"/>
      <c r="L181" s="42"/>
      <c r="M181" s="44"/>
      <c r="N181" s="44"/>
      <c r="O181" s="43"/>
      <c r="P181" s="45" t="n">
        <f aca="false">IF(AND($C181&lt;&gt;"",$C181&lt;&gt;"项目",OR(N($D181)&lt;&gt;0,N($E181)&lt;&gt;0,N($F181)&lt;&gt;0)),1,0)</f>
        <v>0</v>
      </c>
      <c r="Q181" s="45" t="n">
        <f aca="false">N(Q180)+$P181</f>
        <v>3</v>
      </c>
    </row>
    <row r="182" customFormat="false" ht="13.5" hidden="false" customHeight="false" outlineLevel="0" collapsed="false">
      <c r="A182" s="9" t="n">
        <v>181</v>
      </c>
      <c r="B182" s="40" t="str">
        <f aca="false">IF($T$4=0,IF($I182="","",$I182),IFERROR(IF([2]财务取数接口!$B$181=0,"",[2]财务取数接口!$B$181),""))</f>
        <v>王浩</v>
      </c>
      <c r="C182" s="39" t="str">
        <f aca="false">IF($T$4=0,IF($J182="","",$J182),IFERROR(IF([2]财务取数接口!$C$181=0,"",[2]财务取数接口!$C$181),""))</f>
        <v>物料销售款</v>
      </c>
      <c r="D182" s="40" t="str">
        <f aca="false">IF($T$4=0,IF($K182="","",$K182),IFERROR(IF([2]财务取数接口!$D$181=0,"",[2]财务取数接口!$D$181),""))</f>
        <v/>
      </c>
      <c r="E182" s="40" t="str">
        <f aca="false">IF($T$4=0,IF($L182="","",$L182),IFERROR(IF([2]财务取数接口!$E$181=0,"",[2]财务取数接口!$E$181),""))</f>
        <v/>
      </c>
      <c r="F182" s="41" t="str">
        <f aca="false">IF($T$4=0,IF($M182="","",$M182),IFERROR(IF([2]财务取数接口!$G$181=0,"",[2]财务取数接口!$G$181),""))</f>
        <v/>
      </c>
      <c r="G182" s="41" t="str">
        <f aca="false">IF($T$4=0,IF($N182="","",$N182),IFERROR(IF([2]财务取数接口!$H$181=0,"",[2]财务取数接口!$H$181),""))</f>
        <v/>
      </c>
      <c r="H182" s="39" t="str">
        <f aca="false">IF($T$4=0,IF($O182="","",$O182),IFERROR(IF([2]财务取数接口!$I$181=0,"",[2]财务取数接口!$I$181),""))</f>
        <v/>
      </c>
      <c r="I182" s="42"/>
      <c r="J182" s="43"/>
      <c r="K182" s="42"/>
      <c r="L182" s="42"/>
      <c r="M182" s="44"/>
      <c r="N182" s="44"/>
      <c r="O182" s="43"/>
      <c r="P182" s="45" t="n">
        <f aca="false">IF(AND($C182&lt;&gt;"",$C182&lt;&gt;"项目",OR(N($D182)&lt;&gt;0,N($E182)&lt;&gt;0,N($F182)&lt;&gt;0)),1,0)</f>
        <v>0</v>
      </c>
      <c r="Q182" s="45" t="n">
        <f aca="false">N(Q181)+$P182</f>
        <v>3</v>
      </c>
    </row>
    <row r="183" customFormat="false" ht="13.5" hidden="false" customHeight="false" outlineLevel="0" collapsed="false">
      <c r="A183" s="9" t="n">
        <v>182</v>
      </c>
      <c r="B183" s="40" t="str">
        <f aca="false">IF($T$4=0,IF($I183="","",$I183),IFERROR(IF([2]财务取数接口!$B$182=0,"",[2]财务取数接口!$B$182),""))</f>
        <v>电商/主播</v>
      </c>
      <c r="C183" s="39" t="str">
        <f aca="false">IF($T$4=0,IF($J183="","",$J183),IFERROR(IF([2]财务取数接口!$C$182=0,"",[2]财务取数接口!$C$182),""))</f>
        <v>筐子销售款</v>
      </c>
      <c r="D183" s="40" t="str">
        <f aca="false">IF($T$4=0,IF($K183="","",$K183),IFERROR(IF([2]财务取数接口!$D$182=0,"",[2]财务取数接口!$D$182),""))</f>
        <v/>
      </c>
      <c r="E183" s="40" t="str">
        <f aca="false">IF($T$4=0,IF($L183="","",$L183),IFERROR(IF([2]财务取数接口!$E$182=0,"",[2]财务取数接口!$E$182),""))</f>
        <v/>
      </c>
      <c r="F183" s="41" t="str">
        <f aca="false">IF($T$4=0,IF($M183="","",$M183),IFERROR(IF([2]财务取数接口!$G$182=0,"",[2]财务取数接口!$G$182),""))</f>
        <v/>
      </c>
      <c r="G183" s="41" t="str">
        <f aca="false">IF($T$4=0,IF($N183="","",$N183),IFERROR(IF([2]财务取数接口!$H$182=0,"",[2]财务取数接口!$H$182),""))</f>
        <v/>
      </c>
      <c r="H183" s="39" t="str">
        <f aca="false">IF($T$4=0,IF($O183="","",$O183),IFERROR(IF([2]财务取数接口!$I$182=0,"",[2]财务取数接口!$I$182),""))</f>
        <v/>
      </c>
      <c r="I183" s="42"/>
      <c r="J183" s="43"/>
      <c r="K183" s="42"/>
      <c r="L183" s="42"/>
      <c r="M183" s="44"/>
      <c r="N183" s="44"/>
      <c r="O183" s="43"/>
      <c r="P183" s="45" t="n">
        <f aca="false">IF(AND($C183&lt;&gt;"",$C183&lt;&gt;"项目",OR(N($D183)&lt;&gt;0,N($E183)&lt;&gt;0,N($F183)&lt;&gt;0)),1,0)</f>
        <v>0</v>
      </c>
      <c r="Q183" s="45" t="n">
        <f aca="false">N(Q182)+$P183</f>
        <v>3</v>
      </c>
    </row>
    <row r="184" customFormat="false" ht="13.5" hidden="false" customHeight="false" outlineLevel="0" collapsed="false">
      <c r="A184" s="9" t="n">
        <v>183</v>
      </c>
      <c r="B184" s="40" t="str">
        <f aca="false">IF($T$4=0,IF($I184="","",$I184),IFERROR(IF([2]财务取数接口!$B$183=0,"",[2]财务取数接口!$B$183),""))</f>
        <v>电商/主播</v>
      </c>
      <c r="C184" s="39" t="str">
        <f aca="false">IF($T$4=0,IF($J184="","",$J184),IFERROR(IF([2]财务取数接口!$C$183=0,"",[2]财务取数接口!$C$183),""))</f>
        <v>物料销售款</v>
      </c>
      <c r="D184" s="40" t="str">
        <f aca="false">IF($T$4=0,IF($K184="","",$K184),IFERROR(IF([2]财务取数接口!$D$183=0,"",[2]财务取数接口!$D$183),""))</f>
        <v/>
      </c>
      <c r="E184" s="40" t="str">
        <f aca="false">IF($T$4=0,IF($L184="","",$L184),IFERROR(IF([2]财务取数接口!$E$183=0,"",[2]财务取数接口!$E$183),""))</f>
        <v/>
      </c>
      <c r="F184" s="41" t="str">
        <f aca="false">IF($T$4=0,IF($M184="","",$M184),IFERROR(IF([2]财务取数接口!$G$183=0,"",[2]财务取数接口!$G$183),""))</f>
        <v/>
      </c>
      <c r="G184" s="41" t="str">
        <f aca="false">IF($T$4=0,IF($N184="","",$N184),IFERROR(IF([2]财务取数接口!$H$183=0,"",[2]财务取数接口!$H$183),""))</f>
        <v/>
      </c>
      <c r="H184" s="39" t="str">
        <f aca="false">IF($T$4=0,IF($O184="","",$O184),IFERROR(IF([2]财务取数接口!$I$183=0,"",[2]财务取数接口!$I$183),""))</f>
        <v/>
      </c>
      <c r="I184" s="42"/>
      <c r="J184" s="43"/>
      <c r="K184" s="42"/>
      <c r="L184" s="42"/>
      <c r="M184" s="44"/>
      <c r="N184" s="44"/>
      <c r="O184" s="43"/>
      <c r="P184" s="45" t="n">
        <f aca="false">IF(AND($C184&lt;&gt;"",$C184&lt;&gt;"项目",OR(N($D184)&lt;&gt;0,N($E184)&lt;&gt;0,N($F184)&lt;&gt;0)),1,0)</f>
        <v>0</v>
      </c>
      <c r="Q184" s="45" t="n">
        <f aca="false">N(Q183)+$P184</f>
        <v>3</v>
      </c>
    </row>
    <row r="185" customFormat="false" ht="13.5" hidden="false" customHeight="false" outlineLevel="0" collapsed="false">
      <c r="A185" s="9" t="n">
        <v>184</v>
      </c>
      <c r="B185" s="40" t="str">
        <f aca="false">IF($T$4=0,IF($I185="","",$I185),IFERROR(IF([2]财务取数接口!$B$184=0,"",[2]财务取数接口!$B$184),""))</f>
        <v>吐尔逊</v>
      </c>
      <c r="C185" s="39" t="str">
        <f aca="false">IF($T$4=0,IF($J185="","",$J185),IFERROR(IF([2]财务取数接口!$C$184=0,"",[2]财务取数接口!$C$184),""))</f>
        <v>筐子销售款</v>
      </c>
      <c r="D185" s="40" t="str">
        <f aca="false">IF($T$4=0,IF($K185="","",$K185),IFERROR(IF([2]财务取数接口!$D$184=0,"",[2]财务取数接口!$D$184),""))</f>
        <v/>
      </c>
      <c r="E185" s="40" t="str">
        <f aca="false">IF($T$4=0,IF($L185="","",$L185),IFERROR(IF([2]财务取数接口!$E$184=0,"",[2]财务取数接口!$E$184),""))</f>
        <v/>
      </c>
      <c r="F185" s="41" t="str">
        <f aca="false">IF($T$4=0,IF($M185="","",$M185),IFERROR(IF([2]财务取数接口!$G$184=0,"",[2]财务取数接口!$G$184),""))</f>
        <v/>
      </c>
      <c r="G185" s="41" t="str">
        <f aca="false">IF($T$4=0,IF($N185="","",$N185),IFERROR(IF([2]财务取数接口!$H$184=0,"",[2]财务取数接口!$H$184),""))</f>
        <v/>
      </c>
      <c r="H185" s="39" t="str">
        <f aca="false">IF($T$4=0,IF($O185="","",$O185),IFERROR(IF([2]财务取数接口!$I$184=0,"",[2]财务取数接口!$I$184),""))</f>
        <v/>
      </c>
      <c r="I185" s="42"/>
      <c r="J185" s="43"/>
      <c r="K185" s="42"/>
      <c r="L185" s="42"/>
      <c r="M185" s="44"/>
      <c r="N185" s="44"/>
      <c r="O185" s="43"/>
      <c r="P185" s="45" t="n">
        <f aca="false">IF(AND($C185&lt;&gt;"",$C185&lt;&gt;"项目",OR(N($D185)&lt;&gt;0,N($E185)&lt;&gt;0,N($F185)&lt;&gt;0)),1,0)</f>
        <v>0</v>
      </c>
      <c r="Q185" s="45" t="n">
        <f aca="false">N(Q184)+$P185</f>
        <v>3</v>
      </c>
    </row>
    <row r="186" customFormat="false" ht="13.5" hidden="false" customHeight="false" outlineLevel="0" collapsed="false">
      <c r="A186" s="9" t="n">
        <v>185</v>
      </c>
      <c r="B186" s="40" t="str">
        <f aca="false">IF($T$4=0,IF($I186="","",$I186),IFERROR(IF([2]财务取数接口!$B$185=0,"",[2]财务取数接口!$B$185),""))</f>
        <v>吐尔逊</v>
      </c>
      <c r="C186" s="39" t="str">
        <f aca="false">IF($T$4=0,IF($J186="","",$J186),IFERROR(IF([2]财务取数接口!$C$185=0,"",[2]财务取数接口!$C$185),""))</f>
        <v>物料销售款</v>
      </c>
      <c r="D186" s="40" t="str">
        <f aca="false">IF($T$4=0,IF($K186="","",$K186),IFERROR(IF([2]财务取数接口!$D$185=0,"",[2]财务取数接口!$D$185),""))</f>
        <v/>
      </c>
      <c r="E186" s="40" t="str">
        <f aca="false">IF($T$4=0,IF($L186="","",$L186),IFERROR(IF([2]财务取数接口!$E$185=0,"",[2]财务取数接口!$E$185),""))</f>
        <v/>
      </c>
      <c r="F186" s="41" t="str">
        <f aca="false">IF($T$4=0,IF($M186="","",$M186),IFERROR(IF([2]财务取数接口!$G$185=0,"",[2]财务取数接口!$G$185),""))</f>
        <v/>
      </c>
      <c r="G186" s="41" t="str">
        <f aca="false">IF($T$4=0,IF($N186="","",$N186),IFERROR(IF([2]财务取数接口!$H$185=0,"",[2]财务取数接口!$H$185),""))</f>
        <v/>
      </c>
      <c r="H186" s="39" t="str">
        <f aca="false">IF($T$4=0,IF($O186="","",$O186),IFERROR(IF([2]财务取数接口!$I$185=0,"",[2]财务取数接口!$I$185),""))</f>
        <v/>
      </c>
      <c r="I186" s="42"/>
      <c r="J186" s="43"/>
      <c r="K186" s="42"/>
      <c r="L186" s="42"/>
      <c r="M186" s="44"/>
      <c r="N186" s="44"/>
      <c r="O186" s="43"/>
      <c r="P186" s="45" t="n">
        <f aca="false">IF(AND($C186&lt;&gt;"",$C186&lt;&gt;"项目",OR(N($D186)&lt;&gt;0,N($E186)&lt;&gt;0,N($F186)&lt;&gt;0)),1,0)</f>
        <v>0</v>
      </c>
      <c r="Q186" s="45" t="n">
        <f aca="false">N(Q185)+$P186</f>
        <v>3</v>
      </c>
    </row>
    <row r="187" customFormat="false" ht="13.5" hidden="false" customHeight="false" outlineLevel="0" collapsed="false">
      <c r="A187" s="9" t="n">
        <v>186</v>
      </c>
      <c r="B187" s="40" t="str">
        <f aca="false">IF($T$4=0,IF($I187="","",$I187),IFERROR(IF([2]财务取数接口!$B$186=0,"",[2]财务取数接口!$B$186),""))</f>
        <v>张艺</v>
      </c>
      <c r="C187" s="39" t="str">
        <f aca="false">IF($T$4=0,IF($J187="","",$J187),IFERROR(IF([2]财务取数接口!$C$186=0,"",[2]财务取数接口!$C$186),""))</f>
        <v>筐子销售款</v>
      </c>
      <c r="D187" s="40" t="str">
        <f aca="false">IF($T$4=0,IF($K187="","",$K187),IFERROR(IF([2]财务取数接口!$D$186=0,"",[2]财务取数接口!$D$186),""))</f>
        <v/>
      </c>
      <c r="E187" s="40" t="str">
        <f aca="false">IF($T$4=0,IF($L187="","",$L187),IFERROR(IF([2]财务取数接口!$E$186=0,"",[2]财务取数接口!$E$186),""))</f>
        <v/>
      </c>
      <c r="F187" s="41" t="str">
        <f aca="false">IF($T$4=0,IF($M187="","",$M187),IFERROR(IF([2]财务取数接口!$G$186=0,"",[2]财务取数接口!$G$186),""))</f>
        <v/>
      </c>
      <c r="G187" s="41" t="str">
        <f aca="false">IF($T$4=0,IF($N187="","",$N187),IFERROR(IF([2]财务取数接口!$H$186=0,"",[2]财务取数接口!$H$186),""))</f>
        <v/>
      </c>
      <c r="H187" s="39" t="str">
        <f aca="false">IF($T$4=0,IF($O187="","",$O187),IFERROR(IF([2]财务取数接口!$I$186=0,"",[2]财务取数接口!$I$186),""))</f>
        <v/>
      </c>
      <c r="I187" s="42"/>
      <c r="J187" s="43"/>
      <c r="K187" s="42"/>
      <c r="L187" s="42"/>
      <c r="M187" s="44"/>
      <c r="N187" s="44"/>
      <c r="O187" s="43"/>
      <c r="P187" s="45" t="n">
        <f aca="false">IF(AND($C187&lt;&gt;"",$C187&lt;&gt;"项目",OR(N($D187)&lt;&gt;0,N($E187)&lt;&gt;0,N($F187)&lt;&gt;0)),1,0)</f>
        <v>0</v>
      </c>
      <c r="Q187" s="45" t="n">
        <f aca="false">N(Q186)+$P187</f>
        <v>3</v>
      </c>
    </row>
    <row r="188" customFormat="false" ht="13.5" hidden="false" customHeight="false" outlineLevel="0" collapsed="false">
      <c r="A188" s="9" t="n">
        <v>187</v>
      </c>
      <c r="B188" s="40" t="str">
        <f aca="false">IF($T$4=0,IF($I188="","",$I188),IFERROR(IF([2]财务取数接口!$B$187=0,"",[2]财务取数接口!$B$187),""))</f>
        <v>张艺</v>
      </c>
      <c r="C188" s="39" t="str">
        <f aca="false">IF($T$4=0,IF($J188="","",$J188),IFERROR(IF([2]财务取数接口!$C$187=0,"",[2]财务取数接口!$C$187),""))</f>
        <v>物料销售款</v>
      </c>
      <c r="D188" s="40" t="str">
        <f aca="false">IF($T$4=0,IF($K188="","",$K188),IFERROR(IF([2]财务取数接口!$D$187=0,"",[2]财务取数接口!$D$187),""))</f>
        <v/>
      </c>
      <c r="E188" s="40" t="str">
        <f aca="false">IF($T$4=0,IF($L188="","",$L188),IFERROR(IF([2]财务取数接口!$E$187=0,"",[2]财务取数接口!$E$187),""))</f>
        <v/>
      </c>
      <c r="F188" s="41" t="str">
        <f aca="false">IF($T$4=0,IF($M188="","",$M188),IFERROR(IF([2]财务取数接口!$G$187=0,"",[2]财务取数接口!$G$187),""))</f>
        <v/>
      </c>
      <c r="G188" s="41" t="str">
        <f aca="false">IF($T$4=0,IF($N188="","",$N188),IFERROR(IF([2]财务取数接口!$H$187=0,"",[2]财务取数接口!$H$187),""))</f>
        <v/>
      </c>
      <c r="H188" s="39" t="str">
        <f aca="false">IF($T$4=0,IF($O188="","",$O188),IFERROR(IF([2]财务取数接口!$I$187=0,"",[2]财务取数接口!$I$187),""))</f>
        <v/>
      </c>
      <c r="I188" s="42"/>
      <c r="J188" s="43"/>
      <c r="K188" s="42"/>
      <c r="L188" s="42"/>
      <c r="M188" s="44"/>
      <c r="N188" s="44"/>
      <c r="O188" s="43"/>
      <c r="P188" s="45" t="n">
        <f aca="false">IF(AND($C188&lt;&gt;"",$C188&lt;&gt;"项目",OR(N($D188)&lt;&gt;0,N($E188)&lt;&gt;0,N($F188)&lt;&gt;0)),1,0)</f>
        <v>0</v>
      </c>
      <c r="Q188" s="45" t="n">
        <f aca="false">N(Q187)+$P188</f>
        <v>3</v>
      </c>
    </row>
    <row r="189" customFormat="false" ht="13.5" hidden="false" customHeight="false" outlineLevel="0" collapsed="false">
      <c r="A189" s="9" t="n">
        <v>188</v>
      </c>
      <c r="B189" s="40" t="str">
        <f aca="false">IF($T$4=0,IF($I189="","",$I189),IFERROR(IF([2]财务取数接口!$B$188=0,"",[2]财务取数接口!$B$188),""))</f>
        <v>郭勇义</v>
      </c>
      <c r="C189" s="39" t="str">
        <f aca="false">IF($T$4=0,IF($J189="","",$J189),IFERROR(IF([2]财务取数接口!$C$188=0,"",[2]财务取数接口!$C$188),""))</f>
        <v>筐子销售款</v>
      </c>
      <c r="D189" s="40" t="str">
        <f aca="false">IF($T$4=0,IF($K189="","",$K189),IFERROR(IF([2]财务取数接口!$D$188=0,"",[2]财务取数接口!$D$188),""))</f>
        <v/>
      </c>
      <c r="E189" s="40" t="str">
        <f aca="false">IF($T$4=0,IF($L189="","",$L189),IFERROR(IF([2]财务取数接口!$E$188=0,"",[2]财务取数接口!$E$188),""))</f>
        <v/>
      </c>
      <c r="F189" s="41" t="str">
        <f aca="false">IF($T$4=0,IF($M189="","",$M189),IFERROR(IF([2]财务取数接口!$G$188=0,"",[2]财务取数接口!$G$188),""))</f>
        <v/>
      </c>
      <c r="G189" s="41" t="str">
        <f aca="false">IF($T$4=0,IF($N189="","",$N189),IFERROR(IF([2]财务取数接口!$H$188=0,"",[2]财务取数接口!$H$188),""))</f>
        <v/>
      </c>
      <c r="H189" s="39" t="str">
        <f aca="false">IF($T$4=0,IF($O189="","",$O189),IFERROR(IF([2]财务取数接口!$I$188=0,"",[2]财务取数接口!$I$188),""))</f>
        <v/>
      </c>
      <c r="I189" s="42"/>
      <c r="J189" s="43"/>
      <c r="K189" s="42"/>
      <c r="L189" s="42"/>
      <c r="M189" s="44"/>
      <c r="N189" s="44"/>
      <c r="O189" s="43"/>
      <c r="P189" s="45" t="n">
        <f aca="false">IF(AND($C189&lt;&gt;"",$C189&lt;&gt;"项目",OR(N($D189)&lt;&gt;0,N($E189)&lt;&gt;0,N($F189)&lt;&gt;0)),1,0)</f>
        <v>0</v>
      </c>
      <c r="Q189" s="45" t="n">
        <f aca="false">N(Q188)+$P189</f>
        <v>3</v>
      </c>
    </row>
    <row r="190" customFormat="false" ht="13.5" hidden="false" customHeight="false" outlineLevel="0" collapsed="false">
      <c r="A190" s="9" t="n">
        <v>189</v>
      </c>
      <c r="B190" s="40" t="str">
        <f aca="false">IF($T$4=0,IF($I190="","",$I190),IFERROR(IF([2]财务取数接口!$B$189=0,"",[2]财务取数接口!$B$189),""))</f>
        <v>郭勇义</v>
      </c>
      <c r="C190" s="39" t="str">
        <f aca="false">IF($T$4=0,IF($J190="","",$J190),IFERROR(IF([2]财务取数接口!$C$189=0,"",[2]财务取数接口!$C$189),""))</f>
        <v>物料销售款</v>
      </c>
      <c r="D190" s="40" t="str">
        <f aca="false">IF($T$4=0,IF($K190="","",$K190),IFERROR(IF([2]财务取数接口!$D$189=0,"",[2]财务取数接口!$D$189),""))</f>
        <v/>
      </c>
      <c r="E190" s="40" t="str">
        <f aca="false">IF($T$4=0,IF($L190="","",$L190),IFERROR(IF([2]财务取数接口!$E$189=0,"",[2]财务取数接口!$E$189),""))</f>
        <v/>
      </c>
      <c r="F190" s="41" t="str">
        <f aca="false">IF($T$4=0,IF($M190="","",$M190),IFERROR(IF([2]财务取数接口!$G$189=0,"",[2]财务取数接口!$G$189),""))</f>
        <v/>
      </c>
      <c r="G190" s="41" t="str">
        <f aca="false">IF($T$4=0,IF($N190="","",$N190),IFERROR(IF([2]财务取数接口!$H$189=0,"",[2]财务取数接口!$H$189),""))</f>
        <v/>
      </c>
      <c r="H190" s="39" t="str">
        <f aca="false">IF($T$4=0,IF($O190="","",$O190),IFERROR(IF([2]财务取数接口!$I$189=0,"",[2]财务取数接口!$I$189),""))</f>
        <v/>
      </c>
      <c r="I190" s="42"/>
      <c r="J190" s="43"/>
      <c r="K190" s="42"/>
      <c r="L190" s="42"/>
      <c r="M190" s="44"/>
      <c r="N190" s="44"/>
      <c r="O190" s="43"/>
      <c r="P190" s="45" t="n">
        <f aca="false">IF(AND($C190&lt;&gt;"",$C190&lt;&gt;"项目",OR(N($D190)&lt;&gt;0,N($E190)&lt;&gt;0,N($F190)&lt;&gt;0)),1,0)</f>
        <v>0</v>
      </c>
      <c r="Q190" s="45" t="n">
        <f aca="false">N(Q189)+$P190</f>
        <v>3</v>
      </c>
    </row>
    <row r="191" customFormat="false" ht="13.5" hidden="false" customHeight="false" outlineLevel="0" collapsed="false">
      <c r="A191" s="9" t="n">
        <v>190</v>
      </c>
      <c r="B191" s="40" t="str">
        <f aca="false">IF($T$4=0,IF($I191="","",$I191),IFERROR(IF([2]财务取数接口!$B$190=0,"",[2]财务取数接口!$B$190),""))</f>
        <v>王庆文</v>
      </c>
      <c r="C191" s="39" t="str">
        <f aca="false">IF($T$4=0,IF($J191="","",$J191),IFERROR(IF([2]财务取数接口!$C$190=0,"",[2]财务取数接口!$C$190),""))</f>
        <v>筐子销售款</v>
      </c>
      <c r="D191" s="40" t="str">
        <f aca="false">IF($T$4=0,IF($K191="","",$K191),IFERROR(IF([2]财务取数接口!$D$190=0,"",[2]财务取数接口!$D$190),""))</f>
        <v/>
      </c>
      <c r="E191" s="40" t="str">
        <f aca="false">IF($T$4=0,IF($L191="","",$L191),IFERROR(IF([2]财务取数接口!$E$190=0,"",[2]财务取数接口!$E$190),""))</f>
        <v/>
      </c>
      <c r="F191" s="41" t="str">
        <f aca="false">IF($T$4=0,IF($M191="","",$M191),IFERROR(IF([2]财务取数接口!$G$190=0,"",[2]财务取数接口!$G$190),""))</f>
        <v/>
      </c>
      <c r="G191" s="41" t="str">
        <f aca="false">IF($T$4=0,IF($N191="","",$N191),IFERROR(IF([2]财务取数接口!$H$190=0,"",[2]财务取数接口!$H$190),""))</f>
        <v/>
      </c>
      <c r="H191" s="39" t="str">
        <f aca="false">IF($T$4=0,IF($O191="","",$O191),IFERROR(IF([2]财务取数接口!$I$190=0,"",[2]财务取数接口!$I$190),""))</f>
        <v/>
      </c>
      <c r="I191" s="42"/>
      <c r="J191" s="43"/>
      <c r="K191" s="42"/>
      <c r="L191" s="42"/>
      <c r="M191" s="44"/>
      <c r="N191" s="44"/>
      <c r="O191" s="43"/>
      <c r="P191" s="45" t="n">
        <f aca="false">IF(AND($C191&lt;&gt;"",$C191&lt;&gt;"项目",OR(N($D191)&lt;&gt;0,N($E191)&lt;&gt;0,N($F191)&lt;&gt;0)),1,0)</f>
        <v>0</v>
      </c>
      <c r="Q191" s="45" t="n">
        <f aca="false">N(Q190)+$P191</f>
        <v>3</v>
      </c>
    </row>
    <row r="192" customFormat="false" ht="13.5" hidden="false" customHeight="false" outlineLevel="0" collapsed="false">
      <c r="A192" s="9" t="n">
        <v>191</v>
      </c>
      <c r="B192" s="40" t="str">
        <f aca="false">IF($T$4=0,IF($I192="","",$I192),IFERROR(IF([2]财务取数接口!$B$191=0,"",[2]财务取数接口!$B$191),""))</f>
        <v>王庆文</v>
      </c>
      <c r="C192" s="39" t="str">
        <f aca="false">IF($T$4=0,IF($J192="","",$J192),IFERROR(IF([2]财务取数接口!$C$191=0,"",[2]财务取数接口!$C$191),""))</f>
        <v>物料销售款</v>
      </c>
      <c r="D192" s="40" t="str">
        <f aca="false">IF($T$4=0,IF($K192="","",$K192),IFERROR(IF([2]财务取数接口!$D$191=0,"",[2]财务取数接口!$D$191),""))</f>
        <v/>
      </c>
      <c r="E192" s="40" t="str">
        <f aca="false">IF($T$4=0,IF($L192="","",$L192),IFERROR(IF([2]财务取数接口!$E$191=0,"",[2]财务取数接口!$E$191),""))</f>
        <v/>
      </c>
      <c r="F192" s="41" t="str">
        <f aca="false">IF($T$4=0,IF($M192="","",$M192),IFERROR(IF([2]财务取数接口!$G$191=0,"",[2]财务取数接口!$G$191),""))</f>
        <v/>
      </c>
      <c r="G192" s="41" t="str">
        <f aca="false">IF($T$4=0,IF($N192="","",$N192),IFERROR(IF([2]财务取数接口!$H$191=0,"",[2]财务取数接口!$H$191),""))</f>
        <v/>
      </c>
      <c r="H192" s="39" t="str">
        <f aca="false">IF($T$4=0,IF($O192="","",$O192),IFERROR(IF([2]财务取数接口!$I$191=0,"",[2]财务取数接口!$I$191),""))</f>
        <v/>
      </c>
      <c r="I192" s="42"/>
      <c r="J192" s="43"/>
      <c r="K192" s="42"/>
      <c r="L192" s="42"/>
      <c r="M192" s="44"/>
      <c r="N192" s="44"/>
      <c r="O192" s="43"/>
      <c r="P192" s="45" t="n">
        <f aca="false">IF(AND($C192&lt;&gt;"",$C192&lt;&gt;"项目",OR(N($D192)&lt;&gt;0,N($E192)&lt;&gt;0,N($F192)&lt;&gt;0)),1,0)</f>
        <v>0</v>
      </c>
      <c r="Q192" s="45" t="n">
        <f aca="false">N(Q191)+$P192</f>
        <v>3</v>
      </c>
    </row>
    <row r="193" customFormat="false" ht="13.5" hidden="false" customHeight="false" outlineLevel="0" collapsed="false">
      <c r="A193" s="9" t="n">
        <v>192</v>
      </c>
      <c r="B193" s="40" t="str">
        <f aca="false">IF($T$4=0,IF($I193="","",$I193),IFERROR(IF([2]财务取数接口!$B$192=0,"",[2]财务取数接口!$B$192),""))</f>
        <v>果然鲜</v>
      </c>
      <c r="C193" s="39" t="str">
        <f aca="false">IF($T$4=0,IF($J193="","",$J193),IFERROR(IF([2]财务取数接口!$C$192=0,"",[2]财务取数接口!$C$192),""))</f>
        <v>筐子销售款</v>
      </c>
      <c r="D193" s="40" t="str">
        <f aca="false">IF($T$4=0,IF($K193="","",$K193),IFERROR(IF([2]财务取数接口!$D$192=0,"",[2]财务取数接口!$D$192),""))</f>
        <v/>
      </c>
      <c r="E193" s="40" t="str">
        <f aca="false">IF($T$4=0,IF($L193="","",$L193),IFERROR(IF([2]财务取数接口!$E$192=0,"",[2]财务取数接口!$E$192),""))</f>
        <v/>
      </c>
      <c r="F193" s="41" t="str">
        <f aca="false">IF($T$4=0,IF($M193="","",$M193),IFERROR(IF([2]财务取数接口!$G$192=0,"",[2]财务取数接口!$G$192),""))</f>
        <v/>
      </c>
      <c r="G193" s="41" t="str">
        <f aca="false">IF($T$4=0,IF($N193="","",$N193),IFERROR(IF([2]财务取数接口!$H$192=0,"",[2]财务取数接口!$H$192),""))</f>
        <v/>
      </c>
      <c r="H193" s="39" t="str">
        <f aca="false">IF($T$4=0,IF($O193="","",$O193),IFERROR(IF([2]财务取数接口!$I$192=0,"",[2]财务取数接口!$I$192),""))</f>
        <v/>
      </c>
      <c r="I193" s="42"/>
      <c r="J193" s="43"/>
      <c r="K193" s="42"/>
      <c r="L193" s="42"/>
      <c r="M193" s="44"/>
      <c r="N193" s="44"/>
      <c r="O193" s="43"/>
      <c r="P193" s="45" t="n">
        <f aca="false">IF(AND($C193&lt;&gt;"",$C193&lt;&gt;"项目",OR(N($D193)&lt;&gt;0,N($E193)&lt;&gt;0,N($F193)&lt;&gt;0)),1,0)</f>
        <v>0</v>
      </c>
      <c r="Q193" s="45" t="n">
        <f aca="false">N(Q192)+$P193</f>
        <v>3</v>
      </c>
    </row>
    <row r="194" customFormat="false" ht="13.5" hidden="false" customHeight="false" outlineLevel="0" collapsed="false">
      <c r="A194" s="9" t="n">
        <v>193</v>
      </c>
      <c r="B194" s="40" t="str">
        <f aca="false">IF($T$4=0,IF($I194="","",$I194),IFERROR(IF([2]财务取数接口!$B$193=0,"",[2]财务取数接口!$B$193),""))</f>
        <v>果然鲜</v>
      </c>
      <c r="C194" s="39" t="str">
        <f aca="false">IF($T$4=0,IF($J194="","",$J194),IFERROR(IF([2]财务取数接口!$C$193=0,"",[2]财务取数接口!$C$193),""))</f>
        <v>物料销售款</v>
      </c>
      <c r="D194" s="40" t="str">
        <f aca="false">IF($T$4=0,IF($K194="","",$K194),IFERROR(IF([2]财务取数接口!$D$193=0,"",[2]财务取数接口!$D$193),""))</f>
        <v/>
      </c>
      <c r="E194" s="40" t="str">
        <f aca="false">IF($T$4=0,IF($L194="","",$L194),IFERROR(IF([2]财务取数接口!$E$193=0,"",[2]财务取数接口!$E$193),""))</f>
        <v/>
      </c>
      <c r="F194" s="41" t="str">
        <f aca="false">IF($T$4=0,IF($M194="","",$M194),IFERROR(IF([2]财务取数接口!$G$193=0,"",[2]财务取数接口!$G$193),""))</f>
        <v/>
      </c>
      <c r="G194" s="41" t="str">
        <f aca="false">IF($T$4=0,IF($N194="","",$N194),IFERROR(IF([2]财务取数接口!$H$193=0,"",[2]财务取数接口!$H$193),""))</f>
        <v/>
      </c>
      <c r="H194" s="39" t="str">
        <f aca="false">IF($T$4=0,IF($O194="","",$O194),IFERROR(IF([2]财务取数接口!$I$193=0,"",[2]财务取数接口!$I$193),""))</f>
        <v/>
      </c>
      <c r="I194" s="42"/>
      <c r="J194" s="43"/>
      <c r="K194" s="42"/>
      <c r="L194" s="42"/>
      <c r="M194" s="44"/>
      <c r="N194" s="44"/>
      <c r="O194" s="43"/>
      <c r="P194" s="45" t="n">
        <f aca="false">IF(AND($C194&lt;&gt;"",$C194&lt;&gt;"项目",OR(N($D194)&lt;&gt;0,N($E194)&lt;&gt;0,N($F194)&lt;&gt;0)),1,0)</f>
        <v>0</v>
      </c>
      <c r="Q194" s="45" t="n">
        <f aca="false">N(Q193)+$P194</f>
        <v>3</v>
      </c>
    </row>
    <row r="195" customFormat="false" ht="13.5" hidden="false" customHeight="false" outlineLevel="0" collapsed="false">
      <c r="A195" s="9" t="n">
        <v>194</v>
      </c>
      <c r="B195" s="40" t="str">
        <f aca="false">IF($T$4=0,IF($I195="","",$I195),IFERROR(IF([2]财务取数接口!$B$194=0,"",[2]财务取数接口!$B$194),""))</f>
        <v>努尔敦</v>
      </c>
      <c r="C195" s="39" t="str">
        <f aca="false">IF($T$4=0,IF($J195="","",$J195),IFERROR(IF([2]财务取数接口!$C$194=0,"",[2]财务取数接口!$C$194),""))</f>
        <v>筐子销售款</v>
      </c>
      <c r="D195" s="40" t="str">
        <f aca="false">IF($T$4=0,IF($K195="","",$K195),IFERROR(IF([2]财务取数接口!$D$194=0,"",[2]财务取数接口!$D$194),""))</f>
        <v/>
      </c>
      <c r="E195" s="40" t="str">
        <f aca="false">IF($T$4=0,IF($L195="","",$L195),IFERROR(IF([2]财务取数接口!$E$194=0,"",[2]财务取数接口!$E$194),""))</f>
        <v/>
      </c>
      <c r="F195" s="41" t="str">
        <f aca="false">IF($T$4=0,IF($M195="","",$M195),IFERROR(IF([2]财务取数接口!$G$194=0,"",[2]财务取数接口!$G$194),""))</f>
        <v/>
      </c>
      <c r="G195" s="41" t="str">
        <f aca="false">IF($T$4=0,IF($N195="","",$N195),IFERROR(IF([2]财务取数接口!$H$194=0,"",[2]财务取数接口!$H$194),""))</f>
        <v/>
      </c>
      <c r="H195" s="39" t="str">
        <f aca="false">IF($T$4=0,IF($O195="","",$O195),IFERROR(IF([2]财务取数接口!$I$194=0,"",[2]财务取数接口!$I$194),""))</f>
        <v/>
      </c>
      <c r="I195" s="42"/>
      <c r="J195" s="43"/>
      <c r="K195" s="42"/>
      <c r="L195" s="42"/>
      <c r="M195" s="44"/>
      <c r="N195" s="44"/>
      <c r="O195" s="43"/>
      <c r="P195" s="45" t="n">
        <f aca="false">IF(AND($C195&lt;&gt;"",$C195&lt;&gt;"项目",OR(N($D195)&lt;&gt;0,N($E195)&lt;&gt;0,N($F195)&lt;&gt;0)),1,0)</f>
        <v>0</v>
      </c>
      <c r="Q195" s="45" t="n">
        <f aca="false">N(Q194)+$P195</f>
        <v>3</v>
      </c>
    </row>
    <row r="196" customFormat="false" ht="13.5" hidden="false" customHeight="false" outlineLevel="0" collapsed="false">
      <c r="A196" s="9" t="n">
        <v>195</v>
      </c>
      <c r="B196" s="40" t="str">
        <f aca="false">IF($T$4=0,IF($I196="","",$I196),IFERROR(IF([2]财务取数接口!$B$195=0,"",[2]财务取数接口!$B$195),""))</f>
        <v>努尔敦</v>
      </c>
      <c r="C196" s="39" t="str">
        <f aca="false">IF($T$4=0,IF($J196="","",$J196),IFERROR(IF([2]财务取数接口!$C$195=0,"",[2]财务取数接口!$C$195),""))</f>
        <v>物料销售款</v>
      </c>
      <c r="D196" s="40" t="str">
        <f aca="false">IF($T$4=0,IF($K196="","",$K196),IFERROR(IF([2]财务取数接口!$D$195=0,"",[2]财务取数接口!$D$195),""))</f>
        <v/>
      </c>
      <c r="E196" s="40" t="str">
        <f aca="false">IF($T$4=0,IF($L196="","",$L196),IFERROR(IF([2]财务取数接口!$E$195=0,"",[2]财务取数接口!$E$195),""))</f>
        <v/>
      </c>
      <c r="F196" s="41" t="str">
        <f aca="false">IF($T$4=0,IF($M196="","",$M196),IFERROR(IF([2]财务取数接口!$G$195=0,"",[2]财务取数接口!$G$195),""))</f>
        <v/>
      </c>
      <c r="G196" s="41" t="str">
        <f aca="false">IF($T$4=0,IF($N196="","",$N196),IFERROR(IF([2]财务取数接口!$H$195=0,"",[2]财务取数接口!$H$195),""))</f>
        <v/>
      </c>
      <c r="H196" s="39" t="str">
        <f aca="false">IF($T$4=0,IF($O196="","",$O196),IFERROR(IF([2]财务取数接口!$I$195=0,"",[2]财务取数接口!$I$195),""))</f>
        <v/>
      </c>
      <c r="I196" s="42"/>
      <c r="J196" s="43"/>
      <c r="K196" s="42"/>
      <c r="L196" s="42"/>
      <c r="M196" s="44"/>
      <c r="N196" s="44"/>
      <c r="O196" s="43"/>
      <c r="P196" s="45" t="n">
        <f aca="false">IF(AND($C196&lt;&gt;"",$C196&lt;&gt;"项目",OR(N($D196)&lt;&gt;0,N($E196)&lt;&gt;0,N($F196)&lt;&gt;0)),1,0)</f>
        <v>0</v>
      </c>
      <c r="Q196" s="45" t="n">
        <f aca="false">N(Q195)+$P196</f>
        <v>3</v>
      </c>
    </row>
    <row r="197" customFormat="false" ht="13.5" hidden="false" customHeight="false" outlineLevel="0" collapsed="false">
      <c r="A197" s="9" t="n">
        <v>196</v>
      </c>
      <c r="B197" s="40" t="str">
        <f aca="false">IF($T$4=0,IF($I197="","",$I197),IFERROR(IF([2]财务取数接口!$B$196=0,"",[2]财务取数接口!$B$196),""))</f>
        <v>吐尔洪</v>
      </c>
      <c r="C197" s="39" t="str">
        <f aca="false">IF($T$4=0,IF($J197="","",$J197),IFERROR(IF([2]财务取数接口!$C$196=0,"",[2]财务取数接口!$C$196),""))</f>
        <v>筐子销售款</v>
      </c>
      <c r="D197" s="40" t="str">
        <f aca="false">IF($T$4=0,IF($K197="","",$K197),IFERROR(IF([2]财务取数接口!$D$196=0,"",[2]财务取数接口!$D$196),""))</f>
        <v/>
      </c>
      <c r="E197" s="40" t="str">
        <f aca="false">IF($T$4=0,IF($L197="","",$L197),IFERROR(IF([2]财务取数接口!$E$196=0,"",[2]财务取数接口!$E$196),""))</f>
        <v/>
      </c>
      <c r="F197" s="41" t="str">
        <f aca="false">IF($T$4=0,IF($M197="","",$M197),IFERROR(IF([2]财务取数接口!$G$196=0,"",[2]财务取数接口!$G$196),""))</f>
        <v/>
      </c>
      <c r="G197" s="41" t="str">
        <f aca="false">IF($T$4=0,IF($N197="","",$N197),IFERROR(IF([2]财务取数接口!$H$196=0,"",[2]财务取数接口!$H$196),""))</f>
        <v/>
      </c>
      <c r="H197" s="39" t="str">
        <f aca="false">IF($T$4=0,IF($O197="","",$O197),IFERROR(IF([2]财务取数接口!$I$196=0,"",[2]财务取数接口!$I$196),""))</f>
        <v/>
      </c>
      <c r="I197" s="42"/>
      <c r="J197" s="43"/>
      <c r="K197" s="42"/>
      <c r="L197" s="42"/>
      <c r="M197" s="44"/>
      <c r="N197" s="44"/>
      <c r="O197" s="43"/>
      <c r="P197" s="45" t="n">
        <f aca="false">IF(AND($C197&lt;&gt;"",$C197&lt;&gt;"项目",OR(N($D197)&lt;&gt;0,N($E197)&lt;&gt;0,N($F197)&lt;&gt;0)),1,0)</f>
        <v>0</v>
      </c>
      <c r="Q197" s="45" t="n">
        <f aca="false">N(Q196)+$P197</f>
        <v>3</v>
      </c>
    </row>
    <row r="198" customFormat="false" ht="13.5" hidden="false" customHeight="false" outlineLevel="0" collapsed="false">
      <c r="A198" s="9" t="n">
        <v>197</v>
      </c>
      <c r="B198" s="40" t="str">
        <f aca="false">IF($T$4=0,IF($I198="","",$I198),IFERROR(IF([2]财务取数接口!$B$197=0,"",[2]财务取数接口!$B$197),""))</f>
        <v>吐尔洪</v>
      </c>
      <c r="C198" s="39" t="str">
        <f aca="false">IF($T$4=0,IF($J198="","",$J198),IFERROR(IF([2]财务取数接口!$C$197=0,"",[2]财务取数接口!$C$197),""))</f>
        <v>物料销售款</v>
      </c>
      <c r="D198" s="40" t="str">
        <f aca="false">IF($T$4=0,IF($K198="","",$K198),IFERROR(IF([2]财务取数接口!$D$197=0,"",[2]财务取数接口!$D$197),""))</f>
        <v/>
      </c>
      <c r="E198" s="40" t="str">
        <f aca="false">IF($T$4=0,IF($L198="","",$L198),IFERROR(IF([2]财务取数接口!$E$197=0,"",[2]财务取数接口!$E$197),""))</f>
        <v/>
      </c>
      <c r="F198" s="41" t="str">
        <f aca="false">IF($T$4=0,IF($M198="","",$M198),IFERROR(IF([2]财务取数接口!$G$197=0,"",[2]财务取数接口!$G$197),""))</f>
        <v/>
      </c>
      <c r="G198" s="41" t="str">
        <f aca="false">IF($T$4=0,IF($N198="","",$N198),IFERROR(IF([2]财务取数接口!$H$197=0,"",[2]财务取数接口!$H$197),""))</f>
        <v/>
      </c>
      <c r="H198" s="39" t="str">
        <f aca="false">IF($T$4=0,IF($O198="","",$O198),IFERROR(IF([2]财务取数接口!$I$197=0,"",[2]财务取数接口!$I$197),""))</f>
        <v/>
      </c>
      <c r="I198" s="42"/>
      <c r="J198" s="43"/>
      <c r="K198" s="42"/>
      <c r="L198" s="42"/>
      <c r="M198" s="44"/>
      <c r="N198" s="44"/>
      <c r="O198" s="43"/>
      <c r="P198" s="45" t="n">
        <f aca="false">IF(AND($C198&lt;&gt;"",$C198&lt;&gt;"项目",OR(N($D198)&lt;&gt;0,N($E198)&lt;&gt;0,N($F198)&lt;&gt;0)),1,0)</f>
        <v>0</v>
      </c>
      <c r="Q198" s="45" t="n">
        <f aca="false">N(Q197)+$P198</f>
        <v>3</v>
      </c>
    </row>
    <row r="199" customFormat="false" ht="13.5" hidden="false" customHeight="false" outlineLevel="0" collapsed="false">
      <c r="A199" s="9" t="n">
        <v>198</v>
      </c>
      <c r="B199" s="40" t="str">
        <f aca="false">IF($T$4=0,IF($I199="","",$I199),IFERROR(IF([2]财务取数接口!$B$198=0,"",[2]财务取数接口!$B$198),""))</f>
        <v>杨艳玲</v>
      </c>
      <c r="C199" s="39" t="str">
        <f aca="false">IF($T$4=0,IF($J199="","",$J199),IFERROR(IF([2]财务取数接口!$C$198=0,"",[2]财务取数接口!$C$198),""))</f>
        <v>筐子销售款</v>
      </c>
      <c r="D199" s="40" t="str">
        <f aca="false">IF($T$4=0,IF($K199="","",$K199),IFERROR(IF([2]财务取数接口!$D$198=0,"",[2]财务取数接口!$D$198),""))</f>
        <v/>
      </c>
      <c r="E199" s="40" t="str">
        <f aca="false">IF($T$4=0,IF($L199="","",$L199),IFERROR(IF([2]财务取数接口!$E$198=0,"",[2]财务取数接口!$E$198),""))</f>
        <v/>
      </c>
      <c r="F199" s="41" t="str">
        <f aca="false">IF($T$4=0,IF($M199="","",$M199),IFERROR(IF([2]财务取数接口!$G$198=0,"",[2]财务取数接口!$G$198),""))</f>
        <v/>
      </c>
      <c r="G199" s="41" t="str">
        <f aca="false">IF($T$4=0,IF($N199="","",$N199),IFERROR(IF([2]财务取数接口!$H$198=0,"",[2]财务取数接口!$H$198),""))</f>
        <v/>
      </c>
      <c r="H199" s="39" t="str">
        <f aca="false">IF($T$4=0,IF($O199="","",$O199),IFERROR(IF([2]财务取数接口!$I$198=0,"",[2]财务取数接口!$I$198),""))</f>
        <v/>
      </c>
      <c r="I199" s="42"/>
      <c r="J199" s="43"/>
      <c r="K199" s="42"/>
      <c r="L199" s="42"/>
      <c r="M199" s="44"/>
      <c r="N199" s="44"/>
      <c r="O199" s="43"/>
      <c r="P199" s="45" t="n">
        <f aca="false">IF(AND($C199&lt;&gt;"",$C199&lt;&gt;"项目",OR(N($D199)&lt;&gt;0,N($E199)&lt;&gt;0,N($F199)&lt;&gt;0)),1,0)</f>
        <v>0</v>
      </c>
      <c r="Q199" s="45" t="n">
        <f aca="false">N(Q198)+$P199</f>
        <v>3</v>
      </c>
    </row>
    <row r="200" customFormat="false" ht="13.5" hidden="false" customHeight="false" outlineLevel="0" collapsed="false">
      <c r="A200" s="9" t="n">
        <v>199</v>
      </c>
      <c r="B200" s="40" t="str">
        <f aca="false">IF($T$4=0,IF($I200="","",$I200),IFERROR(IF([2]财务取数接口!$B$199=0,"",[2]财务取数接口!$B$199),""))</f>
        <v>杨艳玲</v>
      </c>
      <c r="C200" s="39" t="str">
        <f aca="false">IF($T$4=0,IF($J200="","",$J200),IFERROR(IF([2]财务取数接口!$C$199=0,"",[2]财务取数接口!$C$199),""))</f>
        <v>物料销售款</v>
      </c>
      <c r="D200" s="40" t="str">
        <f aca="false">IF($T$4=0,IF($K200="","",$K200),IFERROR(IF([2]财务取数接口!$D$199=0,"",[2]财务取数接口!$D$199),""))</f>
        <v/>
      </c>
      <c r="E200" s="40" t="str">
        <f aca="false">IF($T$4=0,IF($L200="","",$L200),IFERROR(IF([2]财务取数接口!$E$199=0,"",[2]财务取数接口!$E$199),""))</f>
        <v/>
      </c>
      <c r="F200" s="41" t="str">
        <f aca="false">IF($T$4=0,IF($M200="","",$M200),IFERROR(IF([2]财务取数接口!$G$199=0,"",[2]财务取数接口!$G$199),""))</f>
        <v/>
      </c>
      <c r="G200" s="41" t="str">
        <f aca="false">IF($T$4=0,IF($N200="","",$N200),IFERROR(IF([2]财务取数接口!$H$199=0,"",[2]财务取数接口!$H$199),""))</f>
        <v/>
      </c>
      <c r="H200" s="39" t="str">
        <f aca="false">IF($T$4=0,IF($O200="","",$O200),IFERROR(IF([2]财务取数接口!$I$199=0,"",[2]财务取数接口!$I$199),""))</f>
        <v/>
      </c>
      <c r="I200" s="42"/>
      <c r="J200" s="43"/>
      <c r="K200" s="42"/>
      <c r="L200" s="42"/>
      <c r="M200" s="44"/>
      <c r="N200" s="44"/>
      <c r="O200" s="43"/>
      <c r="P200" s="45" t="n">
        <f aca="false">IF(AND($C200&lt;&gt;"",$C200&lt;&gt;"项目",OR(N($D200)&lt;&gt;0,N($E200)&lt;&gt;0,N($F200)&lt;&gt;0)),1,0)</f>
        <v>0</v>
      </c>
      <c r="Q200" s="45" t="n">
        <f aca="false">N(Q199)+$P200</f>
        <v>3</v>
      </c>
    </row>
    <row r="201" customFormat="false" ht="13.5" hidden="false" customHeight="false" outlineLevel="0" collapsed="false">
      <c r="A201" s="9" t="n">
        <v>200</v>
      </c>
      <c r="B201" s="40" t="str">
        <f aca="false">IF($T$4=0,IF($I201="","",$I201),IFERROR(IF([2]财务取数接口!$B$200=0,"",[2]财务取数接口!$B$200),""))</f>
        <v>艾则孜</v>
      </c>
      <c r="C201" s="39" t="str">
        <f aca="false">IF($T$4=0,IF($J201="","",$J201),IFERROR(IF([2]财务取数接口!$C$200=0,"",[2]财务取数接口!$C$200),""))</f>
        <v>筐子销售款</v>
      </c>
      <c r="D201" s="40" t="str">
        <f aca="false">IF($T$4=0,IF($K201="","",$K201),IFERROR(IF([2]财务取数接口!$D$200=0,"",[2]财务取数接口!$D$200),""))</f>
        <v/>
      </c>
      <c r="E201" s="40" t="str">
        <f aca="false">IF($T$4=0,IF($L201="","",$L201),IFERROR(IF([2]财务取数接口!$E$200=0,"",[2]财务取数接口!$E$200),""))</f>
        <v/>
      </c>
      <c r="F201" s="41" t="str">
        <f aca="false">IF($T$4=0,IF($M201="","",$M201),IFERROR(IF([2]财务取数接口!$G$200=0,"",[2]财务取数接口!$G$200),""))</f>
        <v/>
      </c>
      <c r="G201" s="41" t="str">
        <f aca="false">IF($T$4=0,IF($N201="","",$N201),IFERROR(IF([2]财务取数接口!$H$200=0,"",[2]财务取数接口!$H$200),""))</f>
        <v/>
      </c>
      <c r="H201" s="39" t="str">
        <f aca="false">IF($T$4=0,IF($O201="","",$O201),IFERROR(IF([2]财务取数接口!$I$200=0,"",[2]财务取数接口!$I$200),""))</f>
        <v/>
      </c>
      <c r="I201" s="42"/>
      <c r="J201" s="43"/>
      <c r="K201" s="42"/>
      <c r="L201" s="42"/>
      <c r="M201" s="44"/>
      <c r="N201" s="44"/>
      <c r="O201" s="43"/>
      <c r="P201" s="45" t="n">
        <f aca="false">IF(AND($C201&lt;&gt;"",$C201&lt;&gt;"项目",OR(N($D201)&lt;&gt;0,N($E201)&lt;&gt;0,N($F201)&lt;&gt;0)),1,0)</f>
        <v>0</v>
      </c>
      <c r="Q201" s="45" t="n">
        <f aca="false">N(Q200)+$P201</f>
        <v>3</v>
      </c>
    </row>
    <row r="202" customFormat="false" ht="13.5" hidden="false" customHeight="false" outlineLevel="0" collapsed="false">
      <c r="A202" s="9" t="n">
        <v>201</v>
      </c>
      <c r="B202" s="40" t="str">
        <f aca="false">IF($T$4=0,IF($I202="","",$I202),IFERROR(IF([2]财务取数接口!$B$201=0,"",[2]财务取数接口!$B$201),""))</f>
        <v>艾则孜</v>
      </c>
      <c r="C202" s="39" t="str">
        <f aca="false">IF($T$4=0,IF($J202="","",$J202),IFERROR(IF([2]财务取数接口!$C$201=0,"",[2]财务取数接口!$C$201),""))</f>
        <v>物料销售款</v>
      </c>
      <c r="D202" s="40" t="str">
        <f aca="false">IF($T$4=0,IF($K202="","",$K202),IFERROR(IF([2]财务取数接口!$D$201=0,"",[2]财务取数接口!$D$201),""))</f>
        <v/>
      </c>
      <c r="E202" s="40" t="str">
        <f aca="false">IF($T$4=0,IF($L202="","",$L202),IFERROR(IF([2]财务取数接口!$E$201=0,"",[2]财务取数接口!$E$201),""))</f>
        <v/>
      </c>
      <c r="F202" s="41" t="str">
        <f aca="false">IF($T$4=0,IF($M202="","",$M202),IFERROR(IF([2]财务取数接口!$G$201=0,"",[2]财务取数接口!$G$201),""))</f>
        <v/>
      </c>
      <c r="G202" s="41" t="str">
        <f aca="false">IF($T$4=0,IF($N202="","",$N202),IFERROR(IF([2]财务取数接口!$H$201=0,"",[2]财务取数接口!$H$201),""))</f>
        <v/>
      </c>
      <c r="H202" s="39" t="str">
        <f aca="false">IF($T$4=0,IF($O202="","",$O202),IFERROR(IF([2]财务取数接口!$I$201=0,"",[2]财务取数接口!$I$201),""))</f>
        <v/>
      </c>
      <c r="I202" s="42"/>
      <c r="J202" s="43"/>
      <c r="K202" s="42"/>
      <c r="L202" s="42"/>
      <c r="M202" s="44"/>
      <c r="N202" s="44"/>
      <c r="O202" s="43"/>
      <c r="P202" s="45" t="n">
        <f aca="false">IF(AND($C202&lt;&gt;"",$C202&lt;&gt;"项目",OR(N($D202)&lt;&gt;0,N($E202)&lt;&gt;0,N($F202)&lt;&gt;0)),1,0)</f>
        <v>0</v>
      </c>
      <c r="Q202" s="45" t="n">
        <f aca="false">N(Q201)+$P202</f>
        <v>3</v>
      </c>
    </row>
    <row r="203" customFormat="false" ht="13.5" hidden="false" customHeight="false" outlineLevel="0" collapsed="false">
      <c r="A203" s="9" t="n">
        <v>202</v>
      </c>
      <c r="B203" s="40" t="str">
        <f aca="false">IF($T$4=0,IF($I203="","",$I203),IFERROR(IF([2]财务取数接口!$B$202=0,"",[2]财务取数接口!$B$202),""))</f>
        <v>鑫旺塑业</v>
      </c>
      <c r="C203" s="39" t="str">
        <f aca="false">IF($T$4=0,IF($J203="","",$J203),IFERROR(IF([2]财务取数接口!$C$202=0,"",[2]财务取数接口!$C$202),""))</f>
        <v>筐子销售款</v>
      </c>
      <c r="D203" s="40" t="str">
        <f aca="false">IF($T$4=0,IF($K203="","",$K203),IFERROR(IF([2]财务取数接口!$D$202=0,"",[2]财务取数接口!$D$202),""))</f>
        <v/>
      </c>
      <c r="E203" s="40" t="str">
        <f aca="false">IF($T$4=0,IF($L203="","",$L203),IFERROR(IF([2]财务取数接口!$E$202=0,"",[2]财务取数接口!$E$202),""))</f>
        <v/>
      </c>
      <c r="F203" s="41" t="str">
        <f aca="false">IF($T$4=0,IF($M203="","",$M203),IFERROR(IF([2]财务取数接口!$G$202=0,"",[2]财务取数接口!$G$202),""))</f>
        <v/>
      </c>
      <c r="G203" s="41" t="str">
        <f aca="false">IF($T$4=0,IF($N203="","",$N203),IFERROR(IF([2]财务取数接口!$H$202=0,"",[2]财务取数接口!$H$202),""))</f>
        <v/>
      </c>
      <c r="H203" s="39" t="str">
        <f aca="false">IF($T$4=0,IF($O203="","",$O203),IFERROR(IF([2]财务取数接口!$I$202=0,"",[2]财务取数接口!$I$202),""))</f>
        <v/>
      </c>
      <c r="I203" s="42"/>
      <c r="J203" s="43"/>
      <c r="K203" s="42"/>
      <c r="L203" s="42"/>
      <c r="M203" s="44"/>
      <c r="N203" s="44"/>
      <c r="O203" s="43"/>
      <c r="P203" s="45" t="n">
        <f aca="false">IF(AND($C203&lt;&gt;"",$C203&lt;&gt;"项目",OR(N($D203)&lt;&gt;0,N($E203)&lt;&gt;0,N($F203)&lt;&gt;0)),1,0)</f>
        <v>0</v>
      </c>
      <c r="Q203" s="45" t="n">
        <f aca="false">N(Q202)+$P203</f>
        <v>3</v>
      </c>
    </row>
    <row r="204" customFormat="false" ht="13.5" hidden="false" customHeight="false" outlineLevel="0" collapsed="false">
      <c r="A204" s="9" t="n">
        <v>203</v>
      </c>
      <c r="B204" s="40" t="str">
        <f aca="false">IF($T$4=0,IF($I204="","",$I204),IFERROR(IF([2]财务取数接口!$B$203=0,"",[2]财务取数接口!$B$203),""))</f>
        <v>鑫旺塑业</v>
      </c>
      <c r="C204" s="39" t="str">
        <f aca="false">IF($T$4=0,IF($J204="","",$J204),IFERROR(IF([2]财务取数接口!$C$203=0,"",[2]财务取数接口!$C$203),""))</f>
        <v>物料销售款</v>
      </c>
      <c r="D204" s="40" t="str">
        <f aca="false">IF($T$4=0,IF($K204="","",$K204),IFERROR(IF([2]财务取数接口!$D$203=0,"",[2]财务取数接口!$D$203),""))</f>
        <v/>
      </c>
      <c r="E204" s="40" t="str">
        <f aca="false">IF($T$4=0,IF($L204="","",$L204),IFERROR(IF([2]财务取数接口!$E$203=0,"",[2]财务取数接口!$E$203),""))</f>
        <v/>
      </c>
      <c r="F204" s="41" t="str">
        <f aca="false">IF($T$4=0,IF($M204="","",$M204),IFERROR(IF([2]财务取数接口!$G$203=0,"",[2]财务取数接口!$G$203),""))</f>
        <v/>
      </c>
      <c r="G204" s="41" t="str">
        <f aca="false">IF($T$4=0,IF($N204="","",$N204),IFERROR(IF([2]财务取数接口!$H$203=0,"",[2]财务取数接口!$H$203),""))</f>
        <v/>
      </c>
      <c r="H204" s="39" t="str">
        <f aca="false">IF($T$4=0,IF($O204="","",$O204),IFERROR(IF([2]财务取数接口!$I$203=0,"",[2]财务取数接口!$I$203),""))</f>
        <v/>
      </c>
      <c r="I204" s="42"/>
      <c r="J204" s="43"/>
      <c r="K204" s="42"/>
      <c r="L204" s="42"/>
      <c r="M204" s="44"/>
      <c r="N204" s="44"/>
      <c r="O204" s="43"/>
      <c r="P204" s="45" t="n">
        <f aca="false">IF(AND($C204&lt;&gt;"",$C204&lt;&gt;"项目",OR(N($D204)&lt;&gt;0,N($E204)&lt;&gt;0,N($F204)&lt;&gt;0)),1,0)</f>
        <v>0</v>
      </c>
      <c r="Q204" s="45" t="n">
        <f aca="false">N(Q203)+$P204</f>
        <v>3</v>
      </c>
    </row>
    <row r="205" customFormat="false" ht="13.5" hidden="false" customHeight="false" outlineLevel="0" collapsed="false">
      <c r="A205" s="9" t="n">
        <v>204</v>
      </c>
      <c r="B205" s="40" t="str">
        <f aca="false">IF($T$4=0,IF($I205="","",$I205),IFERROR(IF([2]财务取数接口!$B$204=0,"",[2]财务取数接口!$B$204),""))</f>
        <v>华鑫塑业</v>
      </c>
      <c r="C205" s="39" t="str">
        <f aca="false">IF($T$4=0,IF($J205="","",$J205),IFERROR(IF([2]财务取数接口!$C$204=0,"",[2]财务取数接口!$C$204),""))</f>
        <v>筐子销售款</v>
      </c>
      <c r="D205" s="40" t="str">
        <f aca="false">IF($T$4=0,IF($K205="","",$K205),IFERROR(IF([2]财务取数接口!$D$204=0,"",[2]财务取数接口!$D$204),""))</f>
        <v/>
      </c>
      <c r="E205" s="40" t="str">
        <f aca="false">IF($T$4=0,IF($L205="","",$L205),IFERROR(IF([2]财务取数接口!$E$204=0,"",[2]财务取数接口!$E$204),""))</f>
        <v/>
      </c>
      <c r="F205" s="41" t="str">
        <f aca="false">IF($T$4=0,IF($M205="","",$M205),IFERROR(IF([2]财务取数接口!$G$204=0,"",[2]财务取数接口!$G$204),""))</f>
        <v/>
      </c>
      <c r="G205" s="41" t="str">
        <f aca="false">IF($T$4=0,IF($N205="","",$N205),IFERROR(IF([2]财务取数接口!$H$204=0,"",[2]财务取数接口!$H$204),""))</f>
        <v/>
      </c>
      <c r="H205" s="39" t="str">
        <f aca="false">IF($T$4=0,IF($O205="","",$O205),IFERROR(IF([2]财务取数接口!$I$204=0,"",[2]财务取数接口!$I$204),""))</f>
        <v/>
      </c>
      <c r="I205" s="42"/>
      <c r="J205" s="43"/>
      <c r="K205" s="42"/>
      <c r="L205" s="42"/>
      <c r="M205" s="44"/>
      <c r="N205" s="44"/>
      <c r="O205" s="43"/>
      <c r="P205" s="45" t="n">
        <f aca="false">IF(AND($C205&lt;&gt;"",$C205&lt;&gt;"项目",OR(N($D205)&lt;&gt;0,N($E205)&lt;&gt;0,N($F205)&lt;&gt;0)),1,0)</f>
        <v>0</v>
      </c>
      <c r="Q205" s="45" t="n">
        <f aca="false">N(Q204)+$P205</f>
        <v>3</v>
      </c>
    </row>
    <row r="206" customFormat="false" ht="13.5" hidden="false" customHeight="false" outlineLevel="0" collapsed="false">
      <c r="A206" s="9" t="n">
        <v>205</v>
      </c>
      <c r="B206" s="40" t="str">
        <f aca="false">IF($T$4=0,IF($I206="","",$I206),IFERROR(IF([2]财务取数接口!$B$205=0,"",[2]财务取数接口!$B$205),""))</f>
        <v>华鑫塑业</v>
      </c>
      <c r="C206" s="39" t="str">
        <f aca="false">IF($T$4=0,IF($J206="","",$J206),IFERROR(IF([2]财务取数接口!$C$205=0,"",[2]财务取数接口!$C$205),""))</f>
        <v>物料销售款</v>
      </c>
      <c r="D206" s="40" t="str">
        <f aca="false">IF($T$4=0,IF($K206="","",$K206),IFERROR(IF([2]财务取数接口!$D$205=0,"",[2]财务取数接口!$D$205),""))</f>
        <v/>
      </c>
      <c r="E206" s="40" t="str">
        <f aca="false">IF($T$4=0,IF($L206="","",$L206),IFERROR(IF([2]财务取数接口!$E$205=0,"",[2]财务取数接口!$E$205),""))</f>
        <v/>
      </c>
      <c r="F206" s="41" t="str">
        <f aca="false">IF($T$4=0,IF($M206="","",$M206),IFERROR(IF([2]财务取数接口!$G$205=0,"",[2]财务取数接口!$G$205),""))</f>
        <v/>
      </c>
      <c r="G206" s="41" t="str">
        <f aca="false">IF($T$4=0,IF($N206="","",$N206),IFERROR(IF([2]财务取数接口!$H$205=0,"",[2]财务取数接口!$H$205),""))</f>
        <v/>
      </c>
      <c r="H206" s="39" t="str">
        <f aca="false">IF($T$4=0,IF($O206="","",$O206),IFERROR(IF([2]财务取数接口!$I$205=0,"",[2]财务取数接口!$I$205),""))</f>
        <v/>
      </c>
      <c r="I206" s="42"/>
      <c r="J206" s="43"/>
      <c r="K206" s="42"/>
      <c r="L206" s="42"/>
      <c r="M206" s="44"/>
      <c r="N206" s="44"/>
      <c r="O206" s="43"/>
      <c r="P206" s="45" t="n">
        <f aca="false">IF(AND($C206&lt;&gt;"",$C206&lt;&gt;"项目",OR(N($D206)&lt;&gt;0,N($E206)&lt;&gt;0,N($F206)&lt;&gt;0)),1,0)</f>
        <v>0</v>
      </c>
      <c r="Q206" s="45" t="n">
        <f aca="false">N(Q205)+$P206</f>
        <v>3</v>
      </c>
    </row>
    <row r="207" customFormat="false" ht="13.5" hidden="false" customHeight="false" outlineLevel="0" collapsed="false">
      <c r="A207" s="9" t="n">
        <v>206</v>
      </c>
      <c r="B207" s="40" t="str">
        <f aca="false">IF($T$4=0,IF($I207="","",$I207),IFERROR(IF([2]财务取数接口!$B$206=0,"",[2]财务取数接口!$B$206),""))</f>
        <v>全修塑业</v>
      </c>
      <c r="C207" s="39" t="str">
        <f aca="false">IF($T$4=0,IF($J207="","",$J207),IFERROR(IF([2]财务取数接口!$C$206=0,"",[2]财务取数接口!$C$206),""))</f>
        <v>筐子销售款</v>
      </c>
      <c r="D207" s="40" t="str">
        <f aca="false">IF($T$4=0,IF($K207="","",$K207),IFERROR(IF([2]财务取数接口!$D$206=0,"",[2]财务取数接口!$D$206),""))</f>
        <v/>
      </c>
      <c r="E207" s="40" t="n">
        <f aca="false">IF($T$4=0,IF($L207="","",$L207),IFERROR(IF([2]财务取数接口!$E$206=0,"",[2]财务取数接口!$E$206),""))</f>
        <v>281760</v>
      </c>
      <c r="F207" s="41" t="str">
        <f aca="false">IF($T$4=0,IF($M207="","",$M207),IFERROR(IF([2]财务取数接口!$G$206=0,"",[2]财务取数接口!$G$206),""))</f>
        <v/>
      </c>
      <c r="G207" s="41" t="str">
        <f aca="false">IF($T$4=0,IF($N207="","",$N207),IFERROR(IF([2]财务取数接口!$H$206=0,"",[2]财务取数接口!$H$206),""))</f>
        <v/>
      </c>
      <c r="H207" s="39" t="str">
        <f aca="false">IF($T$4=0,IF($O207="","",$O207),IFERROR(IF([2]财务取数接口!$I$206=0,"",[2]财务取数接口!$I$206),""))</f>
        <v/>
      </c>
      <c r="I207" s="42"/>
      <c r="J207" s="43"/>
      <c r="K207" s="42"/>
      <c r="L207" s="42"/>
      <c r="M207" s="44"/>
      <c r="N207" s="44"/>
      <c r="O207" s="43"/>
      <c r="P207" s="45" t="n">
        <f aca="false">IF(AND($C207&lt;&gt;"",$C207&lt;&gt;"项目",OR(N($D207)&lt;&gt;0,N($E207)&lt;&gt;0,N($F207)&lt;&gt;0)),1,0)</f>
        <v>1</v>
      </c>
      <c r="Q207" s="45" t="n">
        <f aca="false">N(Q206)+$P207</f>
        <v>4</v>
      </c>
    </row>
    <row r="208" customFormat="false" ht="13.5" hidden="false" customHeight="false" outlineLevel="0" collapsed="false">
      <c r="A208" s="9" t="n">
        <v>207</v>
      </c>
      <c r="B208" s="40" t="str">
        <f aca="false">IF($T$4=0,IF($I208="","",$I208),IFERROR(IF([2]财务取数接口!$B$207=0,"",[2]财务取数接口!$B$207),""))</f>
        <v>全修塑业</v>
      </c>
      <c r="C208" s="39" t="str">
        <f aca="false">IF($T$4=0,IF($J208="","",$J208),IFERROR(IF([2]财务取数接口!$C$207=0,"",[2]财务取数接口!$C$207),""))</f>
        <v>物料销售款</v>
      </c>
      <c r="D208" s="40" t="str">
        <f aca="false">IF($T$4=0,IF($K208="","",$K208),IFERROR(IF([2]财务取数接口!$D$207=0,"",[2]财务取数接口!$D$207),""))</f>
        <v/>
      </c>
      <c r="E208" s="40" t="str">
        <f aca="false">IF($T$4=0,IF($L208="","",$L208),IFERROR(IF([2]财务取数接口!$E$207=0,"",[2]财务取数接口!$E$207),""))</f>
        <v/>
      </c>
      <c r="F208" s="41" t="str">
        <f aca="false">IF($T$4=0,IF($M208="","",$M208),IFERROR(IF([2]财务取数接口!$G$207=0,"",[2]财务取数接口!$G$207),""))</f>
        <v/>
      </c>
      <c r="G208" s="41" t="str">
        <f aca="false">IF($T$4=0,IF($N208="","",$N208),IFERROR(IF([2]财务取数接口!$H$207=0,"",[2]财务取数接口!$H$207),""))</f>
        <v/>
      </c>
      <c r="H208" s="39" t="str">
        <f aca="false">IF($T$4=0,IF($O208="","",$O208),IFERROR(IF([2]财务取数接口!$I$207=0,"",[2]财务取数接口!$I$207),""))</f>
        <v/>
      </c>
      <c r="I208" s="42"/>
      <c r="J208" s="43"/>
      <c r="K208" s="42"/>
      <c r="L208" s="42"/>
      <c r="M208" s="44"/>
      <c r="N208" s="44"/>
      <c r="O208" s="43"/>
      <c r="P208" s="45" t="n">
        <f aca="false">IF(AND($C208&lt;&gt;"",$C208&lt;&gt;"项目",OR(N($D208)&lt;&gt;0,N($E208)&lt;&gt;0,N($F208)&lt;&gt;0)),1,0)</f>
        <v>0</v>
      </c>
      <c r="Q208" s="45" t="n">
        <f aca="false">N(Q207)+$P208</f>
        <v>4</v>
      </c>
    </row>
    <row r="209" customFormat="false" ht="13.5" hidden="false" customHeight="false" outlineLevel="0" collapsed="false">
      <c r="A209" s="9" t="n">
        <v>208</v>
      </c>
      <c r="B209" s="40" t="str">
        <f aca="false">IF($T$4=0,IF($I209="","",$I209),IFERROR(IF([2]财务取数接口!$B$208=0,"",[2]财务取数接口!$B$208),""))</f>
        <v>新顺发泡网</v>
      </c>
      <c r="C209" s="39" t="str">
        <f aca="false">IF($T$4=0,IF($J209="","",$J209),IFERROR(IF([2]财务取数接口!$C$208=0,"",[2]财务取数接口!$C$208),""))</f>
        <v>筐子销售款</v>
      </c>
      <c r="D209" s="40" t="str">
        <f aca="false">IF($T$4=0,IF($K209="","",$K209),IFERROR(IF([2]财务取数接口!$D$208=0,"",[2]财务取数接口!$D$208),""))</f>
        <v/>
      </c>
      <c r="E209" s="40" t="str">
        <f aca="false">IF($T$4=0,IF($L209="","",$L209),IFERROR(IF([2]财务取数接口!$E$208=0,"",[2]财务取数接口!$E$208),""))</f>
        <v/>
      </c>
      <c r="F209" s="41" t="str">
        <f aca="false">IF($T$4=0,IF($M209="","",$M209),IFERROR(IF([2]财务取数接口!$G$208=0,"",[2]财务取数接口!$G$208),""))</f>
        <v/>
      </c>
      <c r="G209" s="41" t="str">
        <f aca="false">IF($T$4=0,IF($N209="","",$N209),IFERROR(IF([2]财务取数接口!$H$208=0,"",[2]财务取数接口!$H$208),""))</f>
        <v/>
      </c>
      <c r="H209" s="39" t="str">
        <f aca="false">IF($T$4=0,IF($O209="","",$O209),IFERROR(IF([2]财务取数接口!$I$208=0,"",[2]财务取数接口!$I$208),""))</f>
        <v/>
      </c>
      <c r="I209" s="42"/>
      <c r="J209" s="43"/>
      <c r="K209" s="42"/>
      <c r="L209" s="42"/>
      <c r="M209" s="44"/>
      <c r="N209" s="44"/>
      <c r="O209" s="43"/>
      <c r="P209" s="45" t="n">
        <f aca="false">IF(AND($C209&lt;&gt;"",$C209&lt;&gt;"项目",OR(N($D209)&lt;&gt;0,N($E209)&lt;&gt;0,N($F209)&lt;&gt;0)),1,0)</f>
        <v>0</v>
      </c>
      <c r="Q209" s="45" t="n">
        <f aca="false">N(Q208)+$P209</f>
        <v>4</v>
      </c>
    </row>
    <row r="210" customFormat="false" ht="13.5" hidden="false" customHeight="false" outlineLevel="0" collapsed="false">
      <c r="A210" s="9" t="n">
        <v>209</v>
      </c>
      <c r="B210" s="40" t="str">
        <f aca="false">IF($T$4=0,IF($I210="","",$I210),IFERROR(IF([2]财务取数接口!$B$209=0,"",[2]财务取数接口!$B$209),""))</f>
        <v>新顺发泡网</v>
      </c>
      <c r="C210" s="39" t="str">
        <f aca="false">IF($T$4=0,IF($J210="","",$J210),IFERROR(IF([2]财务取数接口!$C$209=0,"",[2]财务取数接口!$C$209),""))</f>
        <v>物料销售款</v>
      </c>
      <c r="D210" s="40" t="str">
        <f aca="false">IF($T$4=0,IF($K210="","",$K210),IFERROR(IF([2]财务取数接口!$D$209=0,"",[2]财务取数接口!$D$209),""))</f>
        <v/>
      </c>
      <c r="E210" s="40" t="n">
        <f aca="false">IF($T$4=0,IF($L210="","",$L210),IFERROR(IF([2]财务取数接口!$E$209=0,"",[2]财务取数接口!$E$209),""))</f>
        <v>49728</v>
      </c>
      <c r="F210" s="41" t="str">
        <f aca="false">IF($T$4=0,IF($M210="","",$M210),IFERROR(IF([2]财务取数接口!$G$209=0,"",[2]财务取数接口!$G$209),""))</f>
        <v/>
      </c>
      <c r="G210" s="41" t="str">
        <f aca="false">IF($T$4=0,IF($N210="","",$N210),IFERROR(IF([2]财务取数接口!$H$209=0,"",[2]财务取数接口!$H$209),""))</f>
        <v/>
      </c>
      <c r="H210" s="39" t="str">
        <f aca="false">IF($T$4=0,IF($O210="","",$O210),IFERROR(IF([2]财务取数接口!$I$209=0,"",[2]财务取数接口!$I$209),""))</f>
        <v/>
      </c>
      <c r="I210" s="42"/>
      <c r="J210" s="43"/>
      <c r="K210" s="42"/>
      <c r="L210" s="42"/>
      <c r="M210" s="44"/>
      <c r="N210" s="44"/>
      <c r="O210" s="43"/>
      <c r="P210" s="45" t="n">
        <f aca="false">IF(AND($C210&lt;&gt;"",$C210&lt;&gt;"项目",OR(N($D210)&lt;&gt;0,N($E210)&lt;&gt;0,N($F210)&lt;&gt;0)),1,0)</f>
        <v>1</v>
      </c>
      <c r="Q210" s="45" t="n">
        <f aca="false">N(Q209)+$P210</f>
        <v>5</v>
      </c>
    </row>
    <row r="211" customFormat="false" ht="13.5" hidden="false" customHeight="false" outlineLevel="0" collapsed="false">
      <c r="A211" s="9" t="n">
        <v>210</v>
      </c>
      <c r="B211" s="40" t="str">
        <f aca="false">IF($T$4=0,IF($I211="","",$I211),IFERROR(IF([2]财务取数接口!$B$210=0,"",[2]财务取数接口!$B$210),""))</f>
        <v>武宁气泡垫</v>
      </c>
      <c r="C211" s="39" t="str">
        <f aca="false">IF($T$4=0,IF($J211="","",$J211),IFERROR(IF([2]财务取数接口!$C$210=0,"",[2]财务取数接口!$C$210),""))</f>
        <v>筐子销售款</v>
      </c>
      <c r="D211" s="40" t="str">
        <f aca="false">IF($T$4=0,IF($K211="","",$K211),IFERROR(IF([2]财务取数接口!$D$210=0,"",[2]财务取数接口!$D$210),""))</f>
        <v/>
      </c>
      <c r="E211" s="40" t="str">
        <f aca="false">IF($T$4=0,IF($L211="","",$L211),IFERROR(IF([2]财务取数接口!$E$210=0,"",[2]财务取数接口!$E$210),""))</f>
        <v/>
      </c>
      <c r="F211" s="41" t="str">
        <f aca="false">IF($T$4=0,IF($M211="","",$M211),IFERROR(IF([2]财务取数接口!$G$210=0,"",[2]财务取数接口!$G$210),""))</f>
        <v/>
      </c>
      <c r="G211" s="41" t="str">
        <f aca="false">IF($T$4=0,IF($N211="","",$N211),IFERROR(IF([2]财务取数接口!$H$210=0,"",[2]财务取数接口!$H$210),""))</f>
        <v/>
      </c>
      <c r="H211" s="39" t="str">
        <f aca="false">IF($T$4=0,IF($O211="","",$O211),IFERROR(IF([2]财务取数接口!$I$210=0,"",[2]财务取数接口!$I$210),""))</f>
        <v/>
      </c>
      <c r="I211" s="42"/>
      <c r="J211" s="43"/>
      <c r="K211" s="42"/>
      <c r="L211" s="42"/>
      <c r="M211" s="44"/>
      <c r="N211" s="44"/>
      <c r="O211" s="43"/>
      <c r="P211" s="45" t="n">
        <f aca="false">IF(AND($C211&lt;&gt;"",$C211&lt;&gt;"项目",OR(N($D211)&lt;&gt;0,N($E211)&lt;&gt;0,N($F211)&lt;&gt;0)),1,0)</f>
        <v>0</v>
      </c>
      <c r="Q211" s="45" t="n">
        <f aca="false">N(Q210)+$P211</f>
        <v>5</v>
      </c>
    </row>
    <row r="212" customFormat="false" ht="13.5" hidden="false" customHeight="false" outlineLevel="0" collapsed="false">
      <c r="A212" s="9" t="n">
        <v>211</v>
      </c>
      <c r="B212" s="40" t="str">
        <f aca="false">IF($T$4=0,IF($I212="","",$I212),IFERROR(IF([2]财务取数接口!$B$211=0,"",[2]财务取数接口!$B$211),""))</f>
        <v>武宁气泡垫</v>
      </c>
      <c r="C212" s="39" t="str">
        <f aca="false">IF($T$4=0,IF($J212="","",$J212),IFERROR(IF([2]财务取数接口!$C$211=0,"",[2]财务取数接口!$C$211),""))</f>
        <v>物料销售款</v>
      </c>
      <c r="D212" s="40" t="str">
        <f aca="false">IF($T$4=0,IF($K212="","",$K212),IFERROR(IF([2]财务取数接口!$D$211=0,"",[2]财务取数接口!$D$211),""))</f>
        <v/>
      </c>
      <c r="E212" s="40" t="str">
        <f aca="false">IF($T$4=0,IF($L212="","",$L212),IFERROR(IF([2]财务取数接口!$E$211=0,"",[2]财务取数接口!$E$211),""))</f>
        <v/>
      </c>
      <c r="F212" s="41" t="str">
        <f aca="false">IF($T$4=0,IF($M212="","",$M212),IFERROR(IF([2]财务取数接口!$G$211=0,"",[2]财务取数接口!$G$211),""))</f>
        <v/>
      </c>
      <c r="G212" s="41" t="str">
        <f aca="false">IF($T$4=0,IF($N212="","",$N212),IFERROR(IF([2]财务取数接口!$H$211=0,"",[2]财务取数接口!$H$211),""))</f>
        <v/>
      </c>
      <c r="H212" s="39" t="str">
        <f aca="false">IF($T$4=0,IF($O212="","",$O212),IFERROR(IF([2]财务取数接口!$I$211=0,"",[2]财务取数接口!$I$211),""))</f>
        <v/>
      </c>
      <c r="I212" s="42"/>
      <c r="J212" s="43"/>
      <c r="K212" s="42"/>
      <c r="L212" s="42"/>
      <c r="M212" s="44"/>
      <c r="N212" s="44"/>
      <c r="O212" s="43"/>
      <c r="P212" s="45" t="n">
        <f aca="false">IF(AND($C212&lt;&gt;"",$C212&lt;&gt;"项目",OR(N($D212)&lt;&gt;0,N($E212)&lt;&gt;0,N($F212)&lt;&gt;0)),1,0)</f>
        <v>0</v>
      </c>
      <c r="Q212" s="45" t="n">
        <f aca="false">N(Q211)+$P212</f>
        <v>5</v>
      </c>
    </row>
    <row r="213" customFormat="false" ht="13.5" hidden="false" customHeight="false" outlineLevel="0" collapsed="false">
      <c r="A213" s="9" t="n">
        <v>212</v>
      </c>
      <c r="B213" s="40" t="str">
        <f aca="false">IF($T$4=0,IF($I213="","",$I213),IFERROR(IF([2]财务取数接口!$B$212=0,"",[2]财务取数接口!$B$212),""))</f>
        <v/>
      </c>
      <c r="C213" s="39" t="str">
        <f aca="false">IF($T$4=0,IF($J213="","",$J213),IFERROR(IF([2]财务取数接口!$C$212=0,"",[2]财务取数接口!$C$212),""))</f>
        <v/>
      </c>
      <c r="D213" s="40" t="str">
        <f aca="false">IF($T$4=0,IF($K213="","",$K213),IFERROR(IF([2]财务取数接口!$D$212=0,"",[2]财务取数接口!$D$212),""))</f>
        <v/>
      </c>
      <c r="E213" s="40" t="str">
        <f aca="false">IF($T$4=0,IF($L213="","",$L213),IFERROR(IF([2]财务取数接口!$E$212=0,"",[2]财务取数接口!$E$212),""))</f>
        <v/>
      </c>
      <c r="F213" s="41" t="str">
        <f aca="false">IF($T$4=0,IF($M213="","",$M213),IFERROR(IF([2]财务取数接口!$G$212=0,"",[2]财务取数接口!$G$212),""))</f>
        <v/>
      </c>
      <c r="G213" s="41" t="str">
        <f aca="false">IF($T$4=0,IF($N213="","",$N213),IFERROR(IF([2]财务取数接口!$H$212=0,"",[2]财务取数接口!$H$212),""))</f>
        <v/>
      </c>
      <c r="H213" s="39" t="str">
        <f aca="false">IF($T$4=0,IF($O213="","",$O213),IFERROR(IF([2]财务取数接口!$I$212=0,"",[2]财务取数接口!$I$212),""))</f>
        <v/>
      </c>
      <c r="I213" s="42"/>
      <c r="J213" s="43"/>
      <c r="K213" s="42"/>
      <c r="L213" s="42"/>
      <c r="M213" s="44"/>
      <c r="N213" s="44"/>
      <c r="O213" s="43"/>
      <c r="P213" s="45" t="n">
        <f aca="false">IF(AND($C213&lt;&gt;"",$C213&lt;&gt;"项目",OR(N($D213)&lt;&gt;0,N($E213)&lt;&gt;0,N($F213)&lt;&gt;0)),1,0)</f>
        <v>0</v>
      </c>
      <c r="Q213" s="45" t="n">
        <f aca="false">N(Q212)+$P213</f>
        <v>5</v>
      </c>
    </row>
    <row r="214" customFormat="false" ht="13.5" hidden="false" customHeight="false" outlineLevel="0" collapsed="false">
      <c r="A214" s="9" t="n">
        <v>213</v>
      </c>
      <c r="B214" s="40" t="str">
        <f aca="false">IF($T$4=0,IF($I214="","",$I214),IFERROR(IF([2]财务取数接口!$B$213=0,"",[2]财务取数接口!$B$213),""))</f>
        <v/>
      </c>
      <c r="C214" s="39" t="str">
        <f aca="false">IF($T$4=0,IF($J214="","",$J214),IFERROR(IF([2]财务取数接口!$C$213=0,"",[2]财务取数接口!$C$213),""))</f>
        <v/>
      </c>
      <c r="D214" s="40" t="str">
        <f aca="false">IF($T$4=0,IF($K214="","",$K214),IFERROR(IF([2]财务取数接口!$D$213=0,"",[2]财务取数接口!$D$213),""))</f>
        <v/>
      </c>
      <c r="E214" s="40" t="str">
        <f aca="false">IF($T$4=0,IF($L214="","",$L214),IFERROR(IF([2]财务取数接口!$E$213=0,"",[2]财务取数接口!$E$213),""))</f>
        <v/>
      </c>
      <c r="F214" s="41" t="str">
        <f aca="false">IF($T$4=0,IF($M214="","",$M214),IFERROR(IF([2]财务取数接口!$G$213=0,"",[2]财务取数接口!$G$213),""))</f>
        <v/>
      </c>
      <c r="G214" s="41" t="str">
        <f aca="false">IF($T$4=0,IF($N214="","",$N214),IFERROR(IF([2]财务取数接口!$H$213=0,"",[2]财务取数接口!$H$213),""))</f>
        <v/>
      </c>
      <c r="H214" s="39" t="str">
        <f aca="false">IF($T$4=0,IF($O214="","",$O214),IFERROR(IF([2]财务取数接口!$I$213=0,"",[2]财务取数接口!$I$213),""))</f>
        <v/>
      </c>
      <c r="I214" s="42"/>
      <c r="J214" s="43"/>
      <c r="K214" s="42"/>
      <c r="L214" s="42"/>
      <c r="M214" s="44"/>
      <c r="N214" s="44"/>
      <c r="O214" s="43"/>
      <c r="P214" s="45" t="n">
        <f aca="false">IF(AND($C214&lt;&gt;"",$C214&lt;&gt;"项目",OR(N($D214)&lt;&gt;0,N($E214)&lt;&gt;0,N($F214)&lt;&gt;0)),1,0)</f>
        <v>0</v>
      </c>
      <c r="Q214" s="45" t="n">
        <f aca="false">N(Q213)+$P214</f>
        <v>5</v>
      </c>
    </row>
    <row r="215" customFormat="false" ht="13.5" hidden="false" customHeight="false" outlineLevel="0" collapsed="false">
      <c r="A215" s="9" t="n">
        <v>214</v>
      </c>
      <c r="B215" s="40" t="str">
        <f aca="false">IF($T$4=0,IF($I215="","",$I215),IFERROR(IF([2]财务取数接口!$B$214=0,"",[2]财务取数接口!$B$214),""))</f>
        <v/>
      </c>
      <c r="C215" s="39" t="str">
        <f aca="false">IF($T$4=0,IF($J215="","",$J215),IFERROR(IF([2]财务取数接口!$C$214=0,"",[2]财务取数接口!$C$214),""))</f>
        <v/>
      </c>
      <c r="D215" s="40" t="str">
        <f aca="false">IF($T$4=0,IF($K215="","",$K215),IFERROR(IF([2]财务取数接口!$D$214=0,"",[2]财务取数接口!$D$214),""))</f>
        <v/>
      </c>
      <c r="E215" s="40" t="str">
        <f aca="false">IF($T$4=0,IF($L215="","",$L215),IFERROR(IF([2]财务取数接口!$E$214=0,"",[2]财务取数接口!$E$214),""))</f>
        <v/>
      </c>
      <c r="F215" s="41" t="str">
        <f aca="false">IF($T$4=0,IF($M215="","",$M215),IFERROR(IF([2]财务取数接口!$G$214=0,"",[2]财务取数接口!$G$214),""))</f>
        <v/>
      </c>
      <c r="G215" s="41" t="str">
        <f aca="false">IF($T$4=0,IF($N215="","",$N215),IFERROR(IF([2]财务取数接口!$H$214=0,"",[2]财务取数接口!$H$214),""))</f>
        <v/>
      </c>
      <c r="H215" s="39" t="str">
        <f aca="false">IF($T$4=0,IF($O215="","",$O215),IFERROR(IF([2]财务取数接口!$I$214=0,"",[2]财务取数接口!$I$214),""))</f>
        <v/>
      </c>
      <c r="I215" s="42"/>
      <c r="J215" s="43"/>
      <c r="K215" s="42"/>
      <c r="L215" s="42"/>
      <c r="M215" s="44"/>
      <c r="N215" s="44"/>
      <c r="O215" s="43"/>
      <c r="P215" s="45" t="n">
        <f aca="false">IF(AND($C215&lt;&gt;"",$C215&lt;&gt;"项目",OR(N($D215)&lt;&gt;0,N($E215)&lt;&gt;0,N($F215)&lt;&gt;0)),1,0)</f>
        <v>0</v>
      </c>
      <c r="Q215" s="45" t="n">
        <f aca="false">N(Q214)+$P215</f>
        <v>5</v>
      </c>
    </row>
    <row r="216" customFormat="false" ht="13.5" hidden="false" customHeight="false" outlineLevel="0" collapsed="false">
      <c r="A216" s="9" t="n">
        <v>215</v>
      </c>
      <c r="B216" s="40" t="str">
        <f aca="false">IF($T$4=0,IF($I216="","",$I216),IFERROR(IF([2]财务取数接口!$B$215=0,"",[2]财务取数接口!$B$215),""))</f>
        <v/>
      </c>
      <c r="C216" s="39" t="str">
        <f aca="false">IF($T$4=0,IF($J216="","",$J216),IFERROR(IF([2]财务取数接口!$C$215=0,"",[2]财务取数接口!$C$215),""))</f>
        <v/>
      </c>
      <c r="D216" s="40" t="str">
        <f aca="false">IF($T$4=0,IF($K216="","",$K216),IFERROR(IF([2]财务取数接口!$D$215=0,"",[2]财务取数接口!$D$215),""))</f>
        <v/>
      </c>
      <c r="E216" s="40" t="str">
        <f aca="false">IF($T$4=0,IF($L216="","",$L216),IFERROR(IF([2]财务取数接口!$E$215=0,"",[2]财务取数接口!$E$215),""))</f>
        <v/>
      </c>
      <c r="F216" s="41" t="str">
        <f aca="false">IF($T$4=0,IF($M216="","",$M216),IFERROR(IF([2]财务取数接口!$G$215=0,"",[2]财务取数接口!$G$215),""))</f>
        <v/>
      </c>
      <c r="G216" s="41" t="str">
        <f aca="false">IF($T$4=0,IF($N216="","",$N216),IFERROR(IF([2]财务取数接口!$H$215=0,"",[2]财务取数接口!$H$215),""))</f>
        <v/>
      </c>
      <c r="H216" s="39" t="str">
        <f aca="false">IF($T$4=0,IF($O216="","",$O216),IFERROR(IF([2]财务取数接口!$I$215=0,"",[2]财务取数接口!$I$215),""))</f>
        <v/>
      </c>
      <c r="I216" s="42"/>
      <c r="J216" s="43"/>
      <c r="K216" s="42"/>
      <c r="L216" s="42"/>
      <c r="M216" s="44"/>
      <c r="N216" s="44"/>
      <c r="O216" s="43"/>
      <c r="P216" s="45" t="n">
        <f aca="false">IF(AND($C216&lt;&gt;"",$C216&lt;&gt;"项目",OR(N($D216)&lt;&gt;0,N($E216)&lt;&gt;0,N($F216)&lt;&gt;0)),1,0)</f>
        <v>0</v>
      </c>
      <c r="Q216" s="45" t="n">
        <f aca="false">N(Q215)+$P216</f>
        <v>5</v>
      </c>
    </row>
    <row r="217" customFormat="false" ht="13.5" hidden="false" customHeight="false" outlineLevel="0" collapsed="false">
      <c r="A217" s="9" t="n">
        <v>216</v>
      </c>
      <c r="B217" s="40" t="str">
        <f aca="false">IF($T$4=0,IF($I217="","",$I217),IFERROR(IF([2]财务取数接口!$B$216=0,"",[2]财务取数接口!$B$216),""))</f>
        <v/>
      </c>
      <c r="C217" s="39" t="str">
        <f aca="false">IF($T$4=0,IF($J217="","",$J217),IFERROR(IF([2]财务取数接口!$C$216=0,"",[2]财务取数接口!$C$216),""))</f>
        <v/>
      </c>
      <c r="D217" s="40" t="str">
        <f aca="false">IF($T$4=0,IF($K217="","",$K217),IFERROR(IF([2]财务取数接口!$D$216=0,"",[2]财务取数接口!$D$216),""))</f>
        <v/>
      </c>
      <c r="E217" s="40" t="str">
        <f aca="false">IF($T$4=0,IF($L217="","",$L217),IFERROR(IF([2]财务取数接口!$E$216=0,"",[2]财务取数接口!$E$216),""))</f>
        <v/>
      </c>
      <c r="F217" s="41" t="str">
        <f aca="false">IF($T$4=0,IF($M217="","",$M217),IFERROR(IF([2]财务取数接口!$G$216=0,"",[2]财务取数接口!$G$216),""))</f>
        <v/>
      </c>
      <c r="G217" s="41" t="str">
        <f aca="false">IF($T$4=0,IF($N217="","",$N217),IFERROR(IF([2]财务取数接口!$H$216=0,"",[2]财务取数接口!$H$216),""))</f>
        <v/>
      </c>
      <c r="H217" s="39" t="str">
        <f aca="false">IF($T$4=0,IF($O217="","",$O217),IFERROR(IF([2]财务取数接口!$I$216=0,"",[2]财务取数接口!$I$216),""))</f>
        <v/>
      </c>
      <c r="I217" s="42"/>
      <c r="J217" s="43"/>
      <c r="K217" s="42"/>
      <c r="L217" s="42"/>
      <c r="M217" s="44"/>
      <c r="N217" s="44"/>
      <c r="O217" s="43"/>
      <c r="P217" s="45" t="n">
        <f aca="false">IF(AND($C217&lt;&gt;"",$C217&lt;&gt;"项目",OR(N($D217)&lt;&gt;0,N($E217)&lt;&gt;0,N($F217)&lt;&gt;0)),1,0)</f>
        <v>0</v>
      </c>
      <c r="Q217" s="45" t="n">
        <f aca="false">N(Q216)+$P217</f>
        <v>5</v>
      </c>
    </row>
    <row r="218" customFormat="false" ht="13.5" hidden="false" customHeight="false" outlineLevel="0" collapsed="false">
      <c r="A218" s="9" t="n">
        <v>217</v>
      </c>
      <c r="B218" s="40" t="str">
        <f aca="false">IF($T$4=0,IF($I218="","",$I218),IFERROR(IF([2]财务取数接口!$B$217=0,"",[2]财务取数接口!$B$217),""))</f>
        <v/>
      </c>
      <c r="C218" s="39" t="str">
        <f aca="false">IF($T$4=0,IF($J218="","",$J218),IFERROR(IF([2]财务取数接口!$C$217=0,"",[2]财务取数接口!$C$217),""))</f>
        <v/>
      </c>
      <c r="D218" s="40" t="str">
        <f aca="false">IF($T$4=0,IF($K218="","",$K218),IFERROR(IF([2]财务取数接口!$D$217=0,"",[2]财务取数接口!$D$217),""))</f>
        <v/>
      </c>
      <c r="E218" s="40" t="str">
        <f aca="false">IF($T$4=0,IF($L218="","",$L218),IFERROR(IF([2]财务取数接口!$E$217=0,"",[2]财务取数接口!$E$217),""))</f>
        <v/>
      </c>
      <c r="F218" s="41" t="str">
        <f aca="false">IF($T$4=0,IF($M218="","",$M218),IFERROR(IF([2]财务取数接口!$G$217=0,"",[2]财务取数接口!$G$217),""))</f>
        <v/>
      </c>
      <c r="G218" s="41" t="str">
        <f aca="false">IF($T$4=0,IF($N218="","",$N218),IFERROR(IF([2]财务取数接口!$H$217=0,"",[2]财务取数接口!$H$217),""))</f>
        <v/>
      </c>
      <c r="H218" s="39" t="str">
        <f aca="false">IF($T$4=0,IF($O218="","",$O218),IFERROR(IF([2]财务取数接口!$I$217=0,"",[2]财务取数接口!$I$217),""))</f>
        <v/>
      </c>
      <c r="I218" s="42"/>
      <c r="J218" s="43"/>
      <c r="K218" s="42"/>
      <c r="L218" s="42"/>
      <c r="M218" s="44"/>
      <c r="N218" s="44"/>
      <c r="O218" s="43"/>
      <c r="P218" s="45" t="n">
        <f aca="false">IF(AND($C218&lt;&gt;"",$C218&lt;&gt;"项目",OR(N($D218)&lt;&gt;0,N($E218)&lt;&gt;0,N($F218)&lt;&gt;0)),1,0)</f>
        <v>0</v>
      </c>
      <c r="Q218" s="45" t="n">
        <f aca="false">N(Q217)+$P218</f>
        <v>5</v>
      </c>
    </row>
    <row r="219" customFormat="false" ht="13.5" hidden="false" customHeight="false" outlineLevel="0" collapsed="false">
      <c r="A219" s="9" t="n">
        <v>218</v>
      </c>
      <c r="B219" s="40" t="str">
        <f aca="false">IF($T$4=0,IF($I219="","",$I219),IFERROR(IF([2]财务取数接口!$B$218=0,"",[2]财务取数接口!$B$218),""))</f>
        <v/>
      </c>
      <c r="C219" s="39" t="str">
        <f aca="false">IF($T$4=0,IF($J219="","",$J219),IFERROR(IF([2]财务取数接口!$C$218=0,"",[2]财务取数接口!$C$218),""))</f>
        <v/>
      </c>
      <c r="D219" s="40" t="str">
        <f aca="false">IF($T$4=0,IF($K219="","",$K219),IFERROR(IF([2]财务取数接口!$D$218=0,"",[2]财务取数接口!$D$218),""))</f>
        <v/>
      </c>
      <c r="E219" s="40" t="str">
        <f aca="false">IF($T$4=0,IF($L219="","",$L219),IFERROR(IF([2]财务取数接口!$E$218=0,"",[2]财务取数接口!$E$218),""))</f>
        <v/>
      </c>
      <c r="F219" s="41" t="str">
        <f aca="false">IF($T$4=0,IF($M219="","",$M219),IFERROR(IF([2]财务取数接口!$G$218=0,"",[2]财务取数接口!$G$218),""))</f>
        <v/>
      </c>
      <c r="G219" s="41" t="str">
        <f aca="false">IF($T$4=0,IF($N219="","",$N219),IFERROR(IF([2]财务取数接口!$H$218=0,"",[2]财务取数接口!$H$218),""))</f>
        <v/>
      </c>
      <c r="H219" s="39" t="str">
        <f aca="false">IF($T$4=0,IF($O219="","",$O219),IFERROR(IF([2]财务取数接口!$I$218=0,"",[2]财务取数接口!$I$218),""))</f>
        <v/>
      </c>
      <c r="I219" s="42"/>
      <c r="J219" s="43"/>
      <c r="K219" s="42"/>
      <c r="L219" s="42"/>
      <c r="M219" s="44"/>
      <c r="N219" s="44"/>
      <c r="O219" s="43"/>
      <c r="P219" s="45" t="n">
        <f aca="false">IF(AND($C219&lt;&gt;"",$C219&lt;&gt;"项目",OR(N($D219)&lt;&gt;0,N($E219)&lt;&gt;0,N($F219)&lt;&gt;0)),1,0)</f>
        <v>0</v>
      </c>
      <c r="Q219" s="45" t="n">
        <f aca="false">N(Q218)+$P219</f>
        <v>5</v>
      </c>
    </row>
    <row r="220" customFormat="false" ht="13.5" hidden="false" customHeight="false" outlineLevel="0" collapsed="false">
      <c r="A220" s="9" t="n">
        <v>219</v>
      </c>
      <c r="B220" s="40" t="str">
        <f aca="false">IF($T$4=0,IF($I220="","",$I220),IFERROR(IF([2]财务取数接口!$B$219=0,"",[2]财务取数接口!$B$219),""))</f>
        <v/>
      </c>
      <c r="C220" s="39" t="str">
        <f aca="false">IF($T$4=0,IF($J220="","",$J220),IFERROR(IF([2]财务取数接口!$C$219=0,"",[2]财务取数接口!$C$219),""))</f>
        <v/>
      </c>
      <c r="D220" s="40" t="str">
        <f aca="false">IF($T$4=0,IF($K220="","",$K220),IFERROR(IF([2]财务取数接口!$D$219=0,"",[2]财务取数接口!$D$219),""))</f>
        <v/>
      </c>
      <c r="E220" s="40" t="str">
        <f aca="false">IF($T$4=0,IF($L220="","",$L220),IFERROR(IF([2]财务取数接口!$E$219=0,"",[2]财务取数接口!$E$219),""))</f>
        <v/>
      </c>
      <c r="F220" s="41" t="str">
        <f aca="false">IF($T$4=0,IF($M220="","",$M220),IFERROR(IF([2]财务取数接口!$G$219=0,"",[2]财务取数接口!$G$219),""))</f>
        <v/>
      </c>
      <c r="G220" s="41" t="str">
        <f aca="false">IF($T$4=0,IF($N220="","",$N220),IFERROR(IF([2]财务取数接口!$H$219=0,"",[2]财务取数接口!$H$219),""))</f>
        <v/>
      </c>
      <c r="H220" s="39" t="str">
        <f aca="false">IF($T$4=0,IF($O220="","",$O220),IFERROR(IF([2]财务取数接口!$I$219=0,"",[2]财务取数接口!$I$219),""))</f>
        <v/>
      </c>
      <c r="I220" s="42"/>
      <c r="J220" s="43"/>
      <c r="K220" s="42"/>
      <c r="L220" s="42"/>
      <c r="M220" s="44"/>
      <c r="N220" s="44"/>
      <c r="O220" s="43"/>
      <c r="P220" s="45" t="n">
        <f aca="false">IF(AND($C220&lt;&gt;"",$C220&lt;&gt;"项目",OR(N($D220)&lt;&gt;0,N($E220)&lt;&gt;0,N($F220)&lt;&gt;0)),1,0)</f>
        <v>0</v>
      </c>
      <c r="Q220" s="45" t="n">
        <f aca="false">N(Q219)+$P220</f>
        <v>5</v>
      </c>
    </row>
    <row r="221" customFormat="false" ht="13.5" hidden="false" customHeight="false" outlineLevel="0" collapsed="false">
      <c r="A221" s="9" t="n">
        <v>220</v>
      </c>
      <c r="B221" s="40" t="str">
        <f aca="false">IF($T$4=0,IF($I221="","",$I221),IFERROR(IF([2]财务取数接口!$B$220=0,"",[2]财务取数接口!$B$220),""))</f>
        <v/>
      </c>
      <c r="C221" s="39" t="str">
        <f aca="false">IF($T$4=0,IF($J221="","",$J221),IFERROR(IF([2]财务取数接口!$C$220=0,"",[2]财务取数接口!$C$220),""))</f>
        <v/>
      </c>
      <c r="D221" s="40" t="str">
        <f aca="false">IF($T$4=0,IF($K221="","",$K221),IFERROR(IF([2]财务取数接口!$D$220=0,"",[2]财务取数接口!$D$220),""))</f>
        <v/>
      </c>
      <c r="E221" s="40" t="str">
        <f aca="false">IF($T$4=0,IF($L221="","",$L221),IFERROR(IF([2]财务取数接口!$E$220=0,"",[2]财务取数接口!$E$220),""))</f>
        <v/>
      </c>
      <c r="F221" s="41" t="str">
        <f aca="false">IF($T$4=0,IF($M221="","",$M221),IFERROR(IF([2]财务取数接口!$G$220=0,"",[2]财务取数接口!$G$220),""))</f>
        <v/>
      </c>
      <c r="G221" s="41" t="str">
        <f aca="false">IF($T$4=0,IF($N221="","",$N221),IFERROR(IF([2]财务取数接口!$H$220=0,"",[2]财务取数接口!$H$220),""))</f>
        <v/>
      </c>
      <c r="H221" s="39" t="str">
        <f aca="false">IF($T$4=0,IF($O221="","",$O221),IFERROR(IF([2]财务取数接口!$I$220=0,"",[2]财务取数接口!$I$220),""))</f>
        <v/>
      </c>
      <c r="I221" s="42"/>
      <c r="J221" s="43"/>
      <c r="K221" s="42"/>
      <c r="L221" s="42"/>
      <c r="M221" s="44"/>
      <c r="N221" s="44"/>
      <c r="O221" s="43"/>
      <c r="P221" s="45" t="n">
        <f aca="false">IF(AND($C221&lt;&gt;"",$C221&lt;&gt;"项目",OR(N($D221)&lt;&gt;0,N($E221)&lt;&gt;0,N($F221)&lt;&gt;0)),1,0)</f>
        <v>0</v>
      </c>
      <c r="Q221" s="45" t="n">
        <f aca="false">N(Q220)+$P221</f>
        <v>5</v>
      </c>
    </row>
    <row r="222" customFormat="false" ht="13.5" hidden="false" customHeight="false" outlineLevel="0" collapsed="false">
      <c r="A222" s="9" t="n">
        <v>221</v>
      </c>
      <c r="B222" s="40" t="str">
        <f aca="false">IF($T$4=0,IF($I222="","",$I222),IFERROR(IF([2]财务取数接口!$B$221=0,"",[2]财务取数接口!$B$221),""))</f>
        <v/>
      </c>
      <c r="C222" s="39" t="str">
        <f aca="false">IF($T$4=0,IF($J222="","",$J222),IFERROR(IF([2]财务取数接口!$C$221=0,"",[2]财务取数接口!$C$221),""))</f>
        <v/>
      </c>
      <c r="D222" s="40" t="str">
        <f aca="false">IF($T$4=0,IF($K222="","",$K222),IFERROR(IF([2]财务取数接口!$D$221=0,"",[2]财务取数接口!$D$221),""))</f>
        <v/>
      </c>
      <c r="E222" s="40" t="str">
        <f aca="false">IF($T$4=0,IF($L222="","",$L222),IFERROR(IF([2]财务取数接口!$E$221=0,"",[2]财务取数接口!$E$221),""))</f>
        <v/>
      </c>
      <c r="F222" s="41" t="str">
        <f aca="false">IF($T$4=0,IF($M222="","",$M222),IFERROR(IF([2]财务取数接口!$G$221=0,"",[2]财务取数接口!$G$221),""))</f>
        <v/>
      </c>
      <c r="G222" s="41" t="str">
        <f aca="false">IF($T$4=0,IF($N222="","",$N222),IFERROR(IF([2]财务取数接口!$H$221=0,"",[2]财务取数接口!$H$221),""))</f>
        <v/>
      </c>
      <c r="H222" s="39" t="str">
        <f aca="false">IF($T$4=0,IF($O222="","",$O222),IFERROR(IF([2]财务取数接口!$I$221=0,"",[2]财务取数接口!$I$221),""))</f>
        <v/>
      </c>
      <c r="I222" s="42"/>
      <c r="J222" s="43"/>
      <c r="K222" s="42"/>
      <c r="L222" s="42"/>
      <c r="M222" s="44"/>
      <c r="N222" s="44"/>
      <c r="O222" s="43"/>
      <c r="P222" s="45" t="n">
        <f aca="false">IF(AND($C222&lt;&gt;"",$C222&lt;&gt;"项目",OR(N($D222)&lt;&gt;0,N($E222)&lt;&gt;0,N($F222)&lt;&gt;0)),1,0)</f>
        <v>0</v>
      </c>
      <c r="Q222" s="45" t="n">
        <f aca="false">N(Q221)+$P222</f>
        <v>5</v>
      </c>
    </row>
    <row r="223" customFormat="false" ht="13.5" hidden="false" customHeight="false" outlineLevel="0" collapsed="false">
      <c r="A223" s="9" t="n">
        <v>222</v>
      </c>
      <c r="B223" s="40" t="str">
        <f aca="false">IF($T$4=0,IF($I223="","",$I223),IFERROR(IF([2]财务取数接口!$B$222=0,"",[2]财务取数接口!$B$222),""))</f>
        <v/>
      </c>
      <c r="C223" s="39" t="str">
        <f aca="false">IF($T$4=0,IF($J223="","",$J223),IFERROR(IF([2]财务取数接口!$C$222=0,"",[2]财务取数接口!$C$222),""))</f>
        <v/>
      </c>
      <c r="D223" s="40" t="str">
        <f aca="false">IF($T$4=0,IF($K223="","",$K223),IFERROR(IF([2]财务取数接口!$D$222=0,"",[2]财务取数接口!$D$222),""))</f>
        <v/>
      </c>
      <c r="E223" s="40" t="str">
        <f aca="false">IF($T$4=0,IF($L223="","",$L223),IFERROR(IF([2]财务取数接口!$E$222=0,"",[2]财务取数接口!$E$222),""))</f>
        <v/>
      </c>
      <c r="F223" s="41" t="str">
        <f aca="false">IF($T$4=0,IF($M223="","",$M223),IFERROR(IF([2]财务取数接口!$G$222=0,"",[2]财务取数接口!$G$222),""))</f>
        <v/>
      </c>
      <c r="G223" s="41" t="str">
        <f aca="false">IF($T$4=0,IF($N223="","",$N223),IFERROR(IF([2]财务取数接口!$H$222=0,"",[2]财务取数接口!$H$222),""))</f>
        <v/>
      </c>
      <c r="H223" s="39" t="str">
        <f aca="false">IF($T$4=0,IF($O223="","",$O223),IFERROR(IF([2]财务取数接口!$I$222=0,"",[2]财务取数接口!$I$222),""))</f>
        <v/>
      </c>
      <c r="I223" s="42"/>
      <c r="J223" s="43"/>
      <c r="K223" s="42"/>
      <c r="L223" s="42"/>
      <c r="M223" s="44"/>
      <c r="N223" s="44"/>
      <c r="O223" s="43"/>
      <c r="P223" s="45" t="n">
        <f aca="false">IF(AND($C223&lt;&gt;"",$C223&lt;&gt;"项目",OR(N($D223)&lt;&gt;0,N($E223)&lt;&gt;0,N($F223)&lt;&gt;0)),1,0)</f>
        <v>0</v>
      </c>
      <c r="Q223" s="45" t="n">
        <f aca="false">N(Q222)+$P223</f>
        <v>5</v>
      </c>
    </row>
    <row r="224" customFormat="false" ht="13.5" hidden="false" customHeight="false" outlineLevel="0" collapsed="false">
      <c r="A224" s="9" t="n">
        <v>223</v>
      </c>
      <c r="B224" s="40" t="str">
        <f aca="false">IF($T$4=0,IF($I224="","",$I224),IFERROR(IF([2]财务取数接口!$B$223=0,"",[2]财务取数接口!$B$223),""))</f>
        <v/>
      </c>
      <c r="C224" s="39" t="str">
        <f aca="false">IF($T$4=0,IF($J224="","",$J224),IFERROR(IF([2]财务取数接口!$C$223=0,"",[2]财务取数接口!$C$223),""))</f>
        <v/>
      </c>
      <c r="D224" s="40" t="str">
        <f aca="false">IF($T$4=0,IF($K224="","",$K224),IFERROR(IF([2]财务取数接口!$D$223=0,"",[2]财务取数接口!$D$223),""))</f>
        <v/>
      </c>
      <c r="E224" s="40" t="str">
        <f aca="false">IF($T$4=0,IF($L224="","",$L224),IFERROR(IF([2]财务取数接口!$E$223=0,"",[2]财务取数接口!$E$223),""))</f>
        <v/>
      </c>
      <c r="F224" s="41" t="str">
        <f aca="false">IF($T$4=0,IF($M224="","",$M224),IFERROR(IF([2]财务取数接口!$G$223=0,"",[2]财务取数接口!$G$223),""))</f>
        <v/>
      </c>
      <c r="G224" s="41" t="str">
        <f aca="false">IF($T$4=0,IF($N224="","",$N224),IFERROR(IF([2]财务取数接口!$H$223=0,"",[2]财务取数接口!$H$223),""))</f>
        <v/>
      </c>
      <c r="H224" s="39" t="str">
        <f aca="false">IF($T$4=0,IF($O224="","",$O224),IFERROR(IF([2]财务取数接口!$I$223=0,"",[2]财务取数接口!$I$223),""))</f>
        <v/>
      </c>
      <c r="I224" s="42"/>
      <c r="J224" s="43"/>
      <c r="K224" s="42"/>
      <c r="L224" s="42"/>
      <c r="M224" s="44"/>
      <c r="N224" s="44"/>
      <c r="O224" s="43"/>
      <c r="P224" s="45" t="n">
        <f aca="false">IF(AND($C224&lt;&gt;"",$C224&lt;&gt;"项目",OR(N($D224)&lt;&gt;0,N($E224)&lt;&gt;0,N($F224)&lt;&gt;0)),1,0)</f>
        <v>0</v>
      </c>
      <c r="Q224" s="45" t="n">
        <f aca="false">N(Q223)+$P224</f>
        <v>5</v>
      </c>
    </row>
    <row r="225" customFormat="false" ht="13.5" hidden="false" customHeight="false" outlineLevel="0" collapsed="false">
      <c r="A225" s="9" t="n">
        <v>224</v>
      </c>
      <c r="B225" s="40" t="str">
        <f aca="false">IF($T$4=0,IF($I225="","",$I225),IFERROR(IF([2]财务取数接口!$B$224=0,"",[2]财务取数接口!$B$224),""))</f>
        <v/>
      </c>
      <c r="C225" s="39" t="str">
        <f aca="false">IF($T$4=0,IF($J225="","",$J225),IFERROR(IF([2]财务取数接口!$C$224=0,"",[2]财务取数接口!$C$224),""))</f>
        <v/>
      </c>
      <c r="D225" s="40" t="str">
        <f aca="false">IF($T$4=0,IF($K225="","",$K225),IFERROR(IF([2]财务取数接口!$D$224=0,"",[2]财务取数接口!$D$224),""))</f>
        <v/>
      </c>
      <c r="E225" s="40" t="str">
        <f aca="false">IF($T$4=0,IF($L225="","",$L225),IFERROR(IF([2]财务取数接口!$E$224=0,"",[2]财务取数接口!$E$224),""))</f>
        <v/>
      </c>
      <c r="F225" s="41" t="str">
        <f aca="false">IF($T$4=0,IF($M225="","",$M225),IFERROR(IF([2]财务取数接口!$G$224=0,"",[2]财务取数接口!$G$224),""))</f>
        <v/>
      </c>
      <c r="G225" s="41" t="str">
        <f aca="false">IF($T$4=0,IF($N225="","",$N225),IFERROR(IF([2]财务取数接口!$H$224=0,"",[2]财务取数接口!$H$224),""))</f>
        <v/>
      </c>
      <c r="H225" s="39" t="str">
        <f aca="false">IF($T$4=0,IF($O225="","",$O225),IFERROR(IF([2]财务取数接口!$I$224=0,"",[2]财务取数接口!$I$224),""))</f>
        <v/>
      </c>
      <c r="I225" s="42"/>
      <c r="J225" s="43"/>
      <c r="K225" s="42"/>
      <c r="L225" s="42"/>
      <c r="M225" s="44"/>
      <c r="N225" s="44"/>
      <c r="O225" s="43"/>
      <c r="P225" s="45" t="n">
        <f aca="false">IF(AND($C225&lt;&gt;"",$C225&lt;&gt;"项目",OR(N($D225)&lt;&gt;0,N($E225)&lt;&gt;0,N($F225)&lt;&gt;0)),1,0)</f>
        <v>0</v>
      </c>
      <c r="Q225" s="45" t="n">
        <f aca="false">N(Q224)+$P225</f>
        <v>5</v>
      </c>
    </row>
    <row r="226" customFormat="false" ht="13.5" hidden="false" customHeight="false" outlineLevel="0" collapsed="false">
      <c r="A226" s="9" t="n">
        <v>225</v>
      </c>
      <c r="B226" s="40" t="str">
        <f aca="false">IF($T$4=0,IF($I226="","",$I226),IFERROR(IF([2]财务取数接口!$B$225=0,"",[2]财务取数接口!$B$225),""))</f>
        <v/>
      </c>
      <c r="C226" s="39" t="str">
        <f aca="false">IF($T$4=0,IF($J226="","",$J226),IFERROR(IF([2]财务取数接口!$C$225=0,"",[2]财务取数接口!$C$225),""))</f>
        <v/>
      </c>
      <c r="D226" s="40" t="str">
        <f aca="false">IF($T$4=0,IF($K226="","",$K226),IFERROR(IF([2]财务取数接口!$D$225=0,"",[2]财务取数接口!$D$225),""))</f>
        <v/>
      </c>
      <c r="E226" s="40" t="str">
        <f aca="false">IF($T$4=0,IF($L226="","",$L226),IFERROR(IF([2]财务取数接口!$E$225=0,"",[2]财务取数接口!$E$225),""))</f>
        <v/>
      </c>
      <c r="F226" s="41" t="str">
        <f aca="false">IF($T$4=0,IF($M226="","",$M226),IFERROR(IF([2]财务取数接口!$G$225=0,"",[2]财务取数接口!$G$225),""))</f>
        <v/>
      </c>
      <c r="G226" s="41" t="str">
        <f aca="false">IF($T$4=0,IF($N226="","",$N226),IFERROR(IF([2]财务取数接口!$H$225=0,"",[2]财务取数接口!$H$225),""))</f>
        <v/>
      </c>
      <c r="H226" s="39" t="str">
        <f aca="false">IF($T$4=0,IF($O226="","",$O226),IFERROR(IF([2]财务取数接口!$I$225=0,"",[2]财务取数接口!$I$225),""))</f>
        <v/>
      </c>
      <c r="I226" s="42"/>
      <c r="J226" s="43"/>
      <c r="K226" s="42"/>
      <c r="L226" s="42"/>
      <c r="M226" s="44"/>
      <c r="N226" s="44"/>
      <c r="O226" s="43"/>
      <c r="P226" s="45" t="n">
        <f aca="false">IF(AND($C226&lt;&gt;"",$C226&lt;&gt;"项目",OR(N($D226)&lt;&gt;0,N($E226)&lt;&gt;0,N($F226)&lt;&gt;0)),1,0)</f>
        <v>0</v>
      </c>
      <c r="Q226" s="45" t="n">
        <f aca="false">N(Q225)+$P226</f>
        <v>5</v>
      </c>
    </row>
    <row r="227" customFormat="false" ht="13.5" hidden="false" customHeight="false" outlineLevel="0" collapsed="false">
      <c r="A227" s="9" t="n">
        <v>226</v>
      </c>
      <c r="B227" s="40" t="str">
        <f aca="false">IF($T$4=0,IF($I227="","",$I227),IFERROR(IF([2]财务取数接口!$B$226=0,"",[2]财务取数接口!$B$226),""))</f>
        <v/>
      </c>
      <c r="C227" s="39" t="str">
        <f aca="false">IF($T$4=0,IF($J227="","",$J227),IFERROR(IF([2]财务取数接口!$C$226=0,"",[2]财务取数接口!$C$226),""))</f>
        <v/>
      </c>
      <c r="D227" s="40" t="str">
        <f aca="false">IF($T$4=0,IF($K227="","",$K227),IFERROR(IF([2]财务取数接口!$D$226=0,"",[2]财务取数接口!$D$226),""))</f>
        <v/>
      </c>
      <c r="E227" s="40" t="str">
        <f aca="false">IF($T$4=0,IF($L227="","",$L227),IFERROR(IF([2]财务取数接口!$E$226=0,"",[2]财务取数接口!$E$226),""))</f>
        <v/>
      </c>
      <c r="F227" s="41" t="str">
        <f aca="false">IF($T$4=0,IF($M227="","",$M227),IFERROR(IF([2]财务取数接口!$G$226=0,"",[2]财务取数接口!$G$226),""))</f>
        <v/>
      </c>
      <c r="G227" s="41" t="str">
        <f aca="false">IF($T$4=0,IF($N227="","",$N227),IFERROR(IF([2]财务取数接口!$H$226=0,"",[2]财务取数接口!$H$226),""))</f>
        <v/>
      </c>
      <c r="H227" s="39" t="str">
        <f aca="false">IF($T$4=0,IF($O227="","",$O227),IFERROR(IF([2]财务取数接口!$I$226=0,"",[2]财务取数接口!$I$226),""))</f>
        <v/>
      </c>
      <c r="I227" s="42"/>
      <c r="J227" s="43"/>
      <c r="K227" s="42"/>
      <c r="L227" s="42"/>
      <c r="M227" s="44"/>
      <c r="N227" s="44"/>
      <c r="O227" s="43"/>
      <c r="P227" s="45" t="n">
        <f aca="false">IF(AND($C227&lt;&gt;"",$C227&lt;&gt;"项目",OR(N($D227)&lt;&gt;0,N($E227)&lt;&gt;0,N($F227)&lt;&gt;0)),1,0)</f>
        <v>0</v>
      </c>
      <c r="Q227" s="45" t="n">
        <f aca="false">N(Q226)+$P227</f>
        <v>5</v>
      </c>
    </row>
    <row r="228" customFormat="false" ht="13.5" hidden="false" customHeight="false" outlineLevel="0" collapsed="false">
      <c r="A228" s="9" t="n">
        <v>227</v>
      </c>
      <c r="B228" s="40" t="str">
        <f aca="false">IF($T$4=0,IF($I228="","",$I228),IFERROR(IF([2]财务取数接口!$B$227=0,"",[2]财务取数接口!$B$227),""))</f>
        <v/>
      </c>
      <c r="C228" s="39" t="str">
        <f aca="false">IF($T$4=0,IF($J228="","",$J228),IFERROR(IF([2]财务取数接口!$C$227=0,"",[2]财务取数接口!$C$227),""))</f>
        <v/>
      </c>
      <c r="D228" s="40" t="str">
        <f aca="false">IF($T$4=0,IF($K228="","",$K228),IFERROR(IF([2]财务取数接口!$D$227=0,"",[2]财务取数接口!$D$227),""))</f>
        <v/>
      </c>
      <c r="E228" s="40" t="str">
        <f aca="false">IF($T$4=0,IF($L228="","",$L228),IFERROR(IF([2]财务取数接口!$E$227=0,"",[2]财务取数接口!$E$227),""))</f>
        <v/>
      </c>
      <c r="F228" s="41" t="str">
        <f aca="false">IF($T$4=0,IF($M228="","",$M228),IFERROR(IF([2]财务取数接口!$G$227=0,"",[2]财务取数接口!$G$227),""))</f>
        <v/>
      </c>
      <c r="G228" s="41" t="str">
        <f aca="false">IF($T$4=0,IF($N228="","",$N228),IFERROR(IF([2]财务取数接口!$H$227=0,"",[2]财务取数接口!$H$227),""))</f>
        <v/>
      </c>
      <c r="H228" s="39" t="str">
        <f aca="false">IF($T$4=0,IF($O228="","",$O228),IFERROR(IF([2]财务取数接口!$I$227=0,"",[2]财务取数接口!$I$227),""))</f>
        <v/>
      </c>
      <c r="I228" s="42"/>
      <c r="J228" s="43"/>
      <c r="K228" s="42"/>
      <c r="L228" s="42"/>
      <c r="M228" s="44"/>
      <c r="N228" s="44"/>
      <c r="O228" s="43"/>
      <c r="P228" s="45" t="n">
        <f aca="false">IF(AND($C228&lt;&gt;"",$C228&lt;&gt;"项目",OR(N($D228)&lt;&gt;0,N($E228)&lt;&gt;0,N($F228)&lt;&gt;0)),1,0)</f>
        <v>0</v>
      </c>
      <c r="Q228" s="45" t="n">
        <f aca="false">N(Q227)+$P228</f>
        <v>5</v>
      </c>
    </row>
    <row r="229" customFormat="false" ht="13.5" hidden="false" customHeight="false" outlineLevel="0" collapsed="false">
      <c r="A229" s="9" t="n">
        <v>228</v>
      </c>
      <c r="B229" s="40" t="str">
        <f aca="false">IF($T$4=0,IF($I229="","",$I229),IFERROR(IF([2]财务取数接口!$B$228=0,"",[2]财务取数接口!$B$228),""))</f>
        <v/>
      </c>
      <c r="C229" s="39" t="str">
        <f aca="false">IF($T$4=0,IF($J229="","",$J229),IFERROR(IF([2]财务取数接口!$C$228=0,"",[2]财务取数接口!$C$228),""))</f>
        <v/>
      </c>
      <c r="D229" s="40" t="str">
        <f aca="false">IF($T$4=0,IF($K229="","",$K229),IFERROR(IF([2]财务取数接口!$D$228=0,"",[2]财务取数接口!$D$228),""))</f>
        <v/>
      </c>
      <c r="E229" s="40" t="str">
        <f aca="false">IF($T$4=0,IF($L229="","",$L229),IFERROR(IF([2]财务取数接口!$E$228=0,"",[2]财务取数接口!$E$228),""))</f>
        <v/>
      </c>
      <c r="F229" s="41" t="str">
        <f aca="false">IF($T$4=0,IF($M229="","",$M229),IFERROR(IF([2]财务取数接口!$G$228=0,"",[2]财务取数接口!$G$228),""))</f>
        <v/>
      </c>
      <c r="G229" s="41" t="str">
        <f aca="false">IF($T$4=0,IF($N229="","",$N229),IFERROR(IF([2]财务取数接口!$H$228=0,"",[2]财务取数接口!$H$228),""))</f>
        <v/>
      </c>
      <c r="H229" s="39" t="str">
        <f aca="false">IF($T$4=0,IF($O229="","",$O229),IFERROR(IF([2]财务取数接口!$I$228=0,"",[2]财务取数接口!$I$228),""))</f>
        <v/>
      </c>
      <c r="I229" s="42"/>
      <c r="J229" s="43"/>
      <c r="K229" s="42"/>
      <c r="L229" s="42"/>
      <c r="M229" s="44"/>
      <c r="N229" s="44"/>
      <c r="O229" s="43"/>
      <c r="P229" s="45" t="n">
        <f aca="false">IF(AND($C229&lt;&gt;"",$C229&lt;&gt;"项目",OR(N($D229)&lt;&gt;0,N($E229)&lt;&gt;0,N($F229)&lt;&gt;0)),1,0)</f>
        <v>0</v>
      </c>
      <c r="Q229" s="45" t="n">
        <f aca="false">N(Q228)+$P229</f>
        <v>5</v>
      </c>
    </row>
    <row r="230" customFormat="false" ht="13.5" hidden="false" customHeight="false" outlineLevel="0" collapsed="false">
      <c r="A230" s="9" t="n">
        <v>229</v>
      </c>
      <c r="B230" s="40" t="str">
        <f aca="false">IF($T$4=0,IF($I230="","",$I230),IFERROR(IF([2]财务取数接口!$B$229=0,"",[2]财务取数接口!$B$229),""))</f>
        <v/>
      </c>
      <c r="C230" s="39" t="str">
        <f aca="false">IF($T$4=0,IF($J230="","",$J230),IFERROR(IF([2]财务取数接口!$C$229=0,"",[2]财务取数接口!$C$229),""))</f>
        <v/>
      </c>
      <c r="D230" s="40" t="str">
        <f aca="false">IF($T$4=0,IF($K230="","",$K230),IFERROR(IF([2]财务取数接口!$D$229=0,"",[2]财务取数接口!$D$229),""))</f>
        <v/>
      </c>
      <c r="E230" s="40" t="str">
        <f aca="false">IF($T$4=0,IF($L230="","",$L230),IFERROR(IF([2]财务取数接口!$E$229=0,"",[2]财务取数接口!$E$229),""))</f>
        <v/>
      </c>
      <c r="F230" s="41" t="str">
        <f aca="false">IF($T$4=0,IF($M230="","",$M230),IFERROR(IF([2]财务取数接口!$G$229=0,"",[2]财务取数接口!$G$229),""))</f>
        <v/>
      </c>
      <c r="G230" s="41" t="str">
        <f aca="false">IF($T$4=0,IF($N230="","",$N230),IFERROR(IF([2]财务取数接口!$H$229=0,"",[2]财务取数接口!$H$229),""))</f>
        <v/>
      </c>
      <c r="H230" s="39" t="str">
        <f aca="false">IF($T$4=0,IF($O230="","",$O230),IFERROR(IF([2]财务取数接口!$I$229=0,"",[2]财务取数接口!$I$229),""))</f>
        <v/>
      </c>
      <c r="I230" s="42"/>
      <c r="J230" s="43"/>
      <c r="K230" s="42"/>
      <c r="L230" s="42"/>
      <c r="M230" s="44"/>
      <c r="N230" s="44"/>
      <c r="O230" s="43"/>
      <c r="P230" s="45" t="n">
        <f aca="false">IF(AND($C230&lt;&gt;"",$C230&lt;&gt;"项目",OR(N($D230)&lt;&gt;0,N($E230)&lt;&gt;0,N($F230)&lt;&gt;0)),1,0)</f>
        <v>0</v>
      </c>
      <c r="Q230" s="45" t="n">
        <f aca="false">N(Q229)+$P230</f>
        <v>5</v>
      </c>
    </row>
    <row r="231" customFormat="false" ht="13.5" hidden="false" customHeight="false" outlineLevel="0" collapsed="false">
      <c r="A231" s="9" t="n">
        <v>230</v>
      </c>
      <c r="B231" s="40" t="str">
        <f aca="false">IF($T$4=0,IF($I231="","",$I231),IFERROR(IF([2]财务取数接口!$B$230=0,"",[2]财务取数接口!$B$230),""))</f>
        <v/>
      </c>
      <c r="C231" s="39" t="str">
        <f aca="false">IF($T$4=0,IF($J231="","",$J231),IFERROR(IF([2]财务取数接口!$C$230=0,"",[2]财务取数接口!$C$230),""))</f>
        <v/>
      </c>
      <c r="D231" s="40" t="str">
        <f aca="false">IF($T$4=0,IF($K231="","",$K231),IFERROR(IF([2]财务取数接口!$D$230=0,"",[2]财务取数接口!$D$230),""))</f>
        <v/>
      </c>
      <c r="E231" s="40" t="str">
        <f aca="false">IF($T$4=0,IF($L231="","",$L231),IFERROR(IF([2]财务取数接口!$E$230=0,"",[2]财务取数接口!$E$230),""))</f>
        <v/>
      </c>
      <c r="F231" s="41" t="str">
        <f aca="false">IF($T$4=0,IF($M231="","",$M231),IFERROR(IF([2]财务取数接口!$G$230=0,"",[2]财务取数接口!$G$230),""))</f>
        <v/>
      </c>
      <c r="G231" s="41" t="str">
        <f aca="false">IF($T$4=0,IF($N231="","",$N231),IFERROR(IF([2]财务取数接口!$H$230=0,"",[2]财务取数接口!$H$230),""))</f>
        <v/>
      </c>
      <c r="H231" s="39" t="str">
        <f aca="false">IF($T$4=0,IF($O231="","",$O231),IFERROR(IF([2]财务取数接口!$I$230=0,"",[2]财务取数接口!$I$230),""))</f>
        <v/>
      </c>
      <c r="I231" s="42"/>
      <c r="J231" s="43"/>
      <c r="K231" s="42"/>
      <c r="L231" s="42"/>
      <c r="M231" s="44"/>
      <c r="N231" s="44"/>
      <c r="O231" s="43"/>
      <c r="P231" s="45" t="n">
        <f aca="false">IF(AND($C231&lt;&gt;"",$C231&lt;&gt;"项目",OR(N($D231)&lt;&gt;0,N($E231)&lt;&gt;0,N($F231)&lt;&gt;0)),1,0)</f>
        <v>0</v>
      </c>
      <c r="Q231" s="45" t="n">
        <f aca="false">N(Q230)+$P231</f>
        <v>5</v>
      </c>
    </row>
    <row r="232" customFormat="false" ht="13.5" hidden="false" customHeight="false" outlineLevel="0" collapsed="false">
      <c r="A232" s="9" t="n">
        <v>231</v>
      </c>
      <c r="B232" s="40" t="str">
        <f aca="false">IF($T$4=0,IF($I232="","",$I232),IFERROR(IF([2]财务取数接口!$B$231=0,"",[2]财务取数接口!$B$231),""))</f>
        <v/>
      </c>
      <c r="C232" s="39" t="str">
        <f aca="false">IF($T$4=0,IF($J232="","",$J232),IFERROR(IF([2]财务取数接口!$C$231=0,"",[2]财务取数接口!$C$231),""))</f>
        <v/>
      </c>
      <c r="D232" s="40" t="str">
        <f aca="false">IF($T$4=0,IF($K232="","",$K232),IFERROR(IF([2]财务取数接口!$D$231=0,"",[2]财务取数接口!$D$231),""))</f>
        <v/>
      </c>
      <c r="E232" s="40" t="str">
        <f aca="false">IF($T$4=0,IF($L232="","",$L232),IFERROR(IF([2]财务取数接口!$E$231=0,"",[2]财务取数接口!$E$231),""))</f>
        <v/>
      </c>
      <c r="F232" s="41" t="str">
        <f aca="false">IF($T$4=0,IF($M232="","",$M232),IFERROR(IF([2]财务取数接口!$G$231=0,"",[2]财务取数接口!$G$231),""))</f>
        <v/>
      </c>
      <c r="G232" s="41" t="str">
        <f aca="false">IF($T$4=0,IF($N232="","",$N232),IFERROR(IF([2]财务取数接口!$H$231=0,"",[2]财务取数接口!$H$231),""))</f>
        <v/>
      </c>
      <c r="H232" s="39" t="str">
        <f aca="false">IF($T$4=0,IF($O232="","",$O232),IFERROR(IF([2]财务取数接口!$I$231=0,"",[2]财务取数接口!$I$231),""))</f>
        <v/>
      </c>
      <c r="I232" s="42"/>
      <c r="J232" s="43"/>
      <c r="K232" s="42"/>
      <c r="L232" s="42"/>
      <c r="M232" s="44"/>
      <c r="N232" s="44"/>
      <c r="O232" s="43"/>
      <c r="P232" s="45" t="n">
        <f aca="false">IF(AND($C232&lt;&gt;"",$C232&lt;&gt;"项目",OR(N($D232)&lt;&gt;0,N($E232)&lt;&gt;0,N($F232)&lt;&gt;0)),1,0)</f>
        <v>0</v>
      </c>
      <c r="Q232" s="45" t="n">
        <f aca="false">N(Q231)+$P232</f>
        <v>5</v>
      </c>
    </row>
    <row r="233" customFormat="false" ht="13.5" hidden="false" customHeight="false" outlineLevel="0" collapsed="false">
      <c r="A233" s="9" t="n">
        <v>232</v>
      </c>
      <c r="B233" s="40" t="str">
        <f aca="false">IF($T$4=0,IF($I233="","",$I233),IFERROR(IF([2]财务取数接口!$B$232=0,"",[2]财务取数接口!$B$232),""))</f>
        <v/>
      </c>
      <c r="C233" s="39" t="str">
        <f aca="false">IF($T$4=0,IF($J233="","",$J233),IFERROR(IF([2]财务取数接口!$C$232=0,"",[2]财务取数接口!$C$232),""))</f>
        <v/>
      </c>
      <c r="D233" s="40" t="str">
        <f aca="false">IF($T$4=0,IF($K233="","",$K233),IFERROR(IF([2]财务取数接口!$D$232=0,"",[2]财务取数接口!$D$232),""))</f>
        <v/>
      </c>
      <c r="E233" s="40" t="str">
        <f aca="false">IF($T$4=0,IF($L233="","",$L233),IFERROR(IF([2]财务取数接口!$E$232=0,"",[2]财务取数接口!$E$232),""))</f>
        <v/>
      </c>
      <c r="F233" s="41" t="str">
        <f aca="false">IF($T$4=0,IF($M233="","",$M233),IFERROR(IF([2]财务取数接口!$G$232=0,"",[2]财务取数接口!$G$232),""))</f>
        <v/>
      </c>
      <c r="G233" s="41" t="str">
        <f aca="false">IF($T$4=0,IF($N233="","",$N233),IFERROR(IF([2]财务取数接口!$H$232=0,"",[2]财务取数接口!$H$232),""))</f>
        <v/>
      </c>
      <c r="H233" s="39" t="str">
        <f aca="false">IF($T$4=0,IF($O233="","",$O233),IFERROR(IF([2]财务取数接口!$I$232=0,"",[2]财务取数接口!$I$232),""))</f>
        <v/>
      </c>
      <c r="I233" s="42"/>
      <c r="J233" s="43"/>
      <c r="K233" s="42"/>
      <c r="L233" s="42"/>
      <c r="M233" s="44"/>
      <c r="N233" s="44"/>
      <c r="O233" s="43"/>
      <c r="P233" s="45" t="n">
        <f aca="false">IF(AND($C233&lt;&gt;"",$C233&lt;&gt;"项目",OR(N($D233)&lt;&gt;0,N($E233)&lt;&gt;0,N($F233)&lt;&gt;0)),1,0)</f>
        <v>0</v>
      </c>
      <c r="Q233" s="45" t="n">
        <f aca="false">N(Q232)+$P233</f>
        <v>5</v>
      </c>
    </row>
    <row r="234" customFormat="false" ht="13.5" hidden="false" customHeight="false" outlineLevel="0" collapsed="false">
      <c r="A234" s="9" t="n">
        <v>233</v>
      </c>
      <c r="B234" s="40" t="str">
        <f aca="false">IF($T$4=0,IF($I234="","",$I234),IFERROR(IF([2]财务取数接口!$B$233=0,"",[2]财务取数接口!$B$233),""))</f>
        <v/>
      </c>
      <c r="C234" s="39" t="str">
        <f aca="false">IF($T$4=0,IF($J234="","",$J234),IFERROR(IF([2]财务取数接口!$C$233=0,"",[2]财务取数接口!$C$233),""))</f>
        <v/>
      </c>
      <c r="D234" s="40" t="str">
        <f aca="false">IF($T$4=0,IF($K234="","",$K234),IFERROR(IF([2]财务取数接口!$D$233=0,"",[2]财务取数接口!$D$233),""))</f>
        <v/>
      </c>
      <c r="E234" s="40" t="str">
        <f aca="false">IF($T$4=0,IF($L234="","",$L234),IFERROR(IF([2]财务取数接口!$E$233=0,"",[2]财务取数接口!$E$233),""))</f>
        <v/>
      </c>
      <c r="F234" s="41" t="str">
        <f aca="false">IF($T$4=0,IF($M234="","",$M234),IFERROR(IF([2]财务取数接口!$G$233=0,"",[2]财务取数接口!$G$233),""))</f>
        <v/>
      </c>
      <c r="G234" s="41" t="str">
        <f aca="false">IF($T$4=0,IF($N234="","",$N234),IFERROR(IF([2]财务取数接口!$H$233=0,"",[2]财务取数接口!$H$233),""))</f>
        <v/>
      </c>
      <c r="H234" s="39" t="str">
        <f aca="false">IF($T$4=0,IF($O234="","",$O234),IFERROR(IF([2]财务取数接口!$I$233=0,"",[2]财务取数接口!$I$233),""))</f>
        <v/>
      </c>
      <c r="I234" s="42"/>
      <c r="J234" s="43"/>
      <c r="K234" s="42"/>
      <c r="L234" s="42"/>
      <c r="M234" s="44"/>
      <c r="N234" s="44"/>
      <c r="O234" s="43"/>
      <c r="P234" s="45" t="n">
        <f aca="false">IF(AND($C234&lt;&gt;"",$C234&lt;&gt;"项目",OR(N($D234)&lt;&gt;0,N($E234)&lt;&gt;0,N($F234)&lt;&gt;0)),1,0)</f>
        <v>0</v>
      </c>
      <c r="Q234" s="45" t="n">
        <f aca="false">N(Q233)+$P234</f>
        <v>5</v>
      </c>
    </row>
    <row r="235" customFormat="false" ht="13.5" hidden="false" customHeight="false" outlineLevel="0" collapsed="false">
      <c r="A235" s="9" t="n">
        <v>234</v>
      </c>
      <c r="B235" s="40" t="str">
        <f aca="false">IF($T$4=0,IF($I235="","",$I235),IFERROR(IF([2]财务取数接口!$B$234=0,"",[2]财务取数接口!$B$234),""))</f>
        <v/>
      </c>
      <c r="C235" s="39" t="str">
        <f aca="false">IF($T$4=0,IF($J235="","",$J235),IFERROR(IF([2]财务取数接口!$C$234=0,"",[2]财务取数接口!$C$234),""))</f>
        <v/>
      </c>
      <c r="D235" s="40" t="str">
        <f aca="false">IF($T$4=0,IF($K235="","",$K235),IFERROR(IF([2]财务取数接口!$D$234=0,"",[2]财务取数接口!$D$234),""))</f>
        <v/>
      </c>
      <c r="E235" s="40" t="str">
        <f aca="false">IF($T$4=0,IF($L235="","",$L235),IFERROR(IF([2]财务取数接口!$E$234=0,"",[2]财务取数接口!$E$234),""))</f>
        <v/>
      </c>
      <c r="F235" s="41" t="str">
        <f aca="false">IF($T$4=0,IF($M235="","",$M235),IFERROR(IF([2]财务取数接口!$G$234=0,"",[2]财务取数接口!$G$234),""))</f>
        <v/>
      </c>
      <c r="G235" s="41" t="str">
        <f aca="false">IF($T$4=0,IF($N235="","",$N235),IFERROR(IF([2]财务取数接口!$H$234=0,"",[2]财务取数接口!$H$234),""))</f>
        <v/>
      </c>
      <c r="H235" s="39" t="str">
        <f aca="false">IF($T$4=0,IF($O235="","",$O235),IFERROR(IF([2]财务取数接口!$I$234=0,"",[2]财务取数接口!$I$234),""))</f>
        <v/>
      </c>
      <c r="I235" s="42"/>
      <c r="J235" s="43"/>
      <c r="K235" s="42"/>
      <c r="L235" s="42"/>
      <c r="M235" s="44"/>
      <c r="N235" s="44"/>
      <c r="O235" s="43"/>
      <c r="P235" s="45" t="n">
        <f aca="false">IF(AND($C235&lt;&gt;"",$C235&lt;&gt;"项目",OR(N($D235)&lt;&gt;0,N($E235)&lt;&gt;0,N($F235)&lt;&gt;0)),1,0)</f>
        <v>0</v>
      </c>
      <c r="Q235" s="45" t="n">
        <f aca="false">N(Q234)+$P235</f>
        <v>5</v>
      </c>
    </row>
    <row r="236" customFormat="false" ht="13.5" hidden="false" customHeight="false" outlineLevel="0" collapsed="false">
      <c r="A236" s="9" t="n">
        <v>235</v>
      </c>
      <c r="B236" s="40" t="str">
        <f aca="false">IF($T$4=0,IF($I236="","",$I236),IFERROR(IF([2]财务取数接口!$B$235=0,"",[2]财务取数接口!$B$235),""))</f>
        <v/>
      </c>
      <c r="C236" s="39" t="str">
        <f aca="false">IF($T$4=0,IF($J236="","",$J236),IFERROR(IF([2]财务取数接口!$C$235=0,"",[2]财务取数接口!$C$235),""))</f>
        <v/>
      </c>
      <c r="D236" s="40" t="str">
        <f aca="false">IF($T$4=0,IF($K236="","",$K236),IFERROR(IF([2]财务取数接口!$D$235=0,"",[2]财务取数接口!$D$235),""))</f>
        <v/>
      </c>
      <c r="E236" s="40" t="str">
        <f aca="false">IF($T$4=0,IF($L236="","",$L236),IFERROR(IF([2]财务取数接口!$E$235=0,"",[2]财务取数接口!$E$235),""))</f>
        <v/>
      </c>
      <c r="F236" s="41" t="str">
        <f aca="false">IF($T$4=0,IF($M236="","",$M236),IFERROR(IF([2]财务取数接口!$G$235=0,"",[2]财务取数接口!$G$235),""))</f>
        <v/>
      </c>
      <c r="G236" s="41" t="str">
        <f aca="false">IF($T$4=0,IF($N236="","",$N236),IFERROR(IF([2]财务取数接口!$H$235=0,"",[2]财务取数接口!$H$235),""))</f>
        <v/>
      </c>
      <c r="H236" s="39" t="str">
        <f aca="false">IF($T$4=0,IF($O236="","",$O236),IFERROR(IF([2]财务取数接口!$I$235=0,"",[2]财务取数接口!$I$235),""))</f>
        <v/>
      </c>
      <c r="I236" s="42"/>
      <c r="J236" s="43"/>
      <c r="K236" s="42"/>
      <c r="L236" s="42"/>
      <c r="M236" s="44"/>
      <c r="N236" s="44"/>
      <c r="O236" s="43"/>
      <c r="P236" s="45" t="n">
        <f aca="false">IF(AND($C236&lt;&gt;"",$C236&lt;&gt;"项目",OR(N($D236)&lt;&gt;0,N($E236)&lt;&gt;0,N($F236)&lt;&gt;0)),1,0)</f>
        <v>0</v>
      </c>
      <c r="Q236" s="45" t="n">
        <f aca="false">N(Q235)+$P236</f>
        <v>5</v>
      </c>
    </row>
    <row r="237" customFormat="false" ht="13.5" hidden="false" customHeight="false" outlineLevel="0" collapsed="false">
      <c r="A237" s="9" t="n">
        <v>236</v>
      </c>
      <c r="B237" s="40" t="str">
        <f aca="false">IF($T$4=0,IF($I237="","",$I237),IFERROR(IF([2]财务取数接口!$B$236=0,"",[2]财务取数接口!$B$236),""))</f>
        <v/>
      </c>
      <c r="C237" s="39" t="str">
        <f aca="false">IF($T$4=0,IF($J237="","",$J237),IFERROR(IF([2]财务取数接口!$C$236=0,"",[2]财务取数接口!$C$236),""))</f>
        <v/>
      </c>
      <c r="D237" s="40" t="str">
        <f aca="false">IF($T$4=0,IF($K237="","",$K237),IFERROR(IF([2]财务取数接口!$D$236=0,"",[2]财务取数接口!$D$236),""))</f>
        <v/>
      </c>
      <c r="E237" s="40" t="str">
        <f aca="false">IF($T$4=0,IF($L237="","",$L237),IFERROR(IF([2]财务取数接口!$E$236=0,"",[2]财务取数接口!$E$236),""))</f>
        <v/>
      </c>
      <c r="F237" s="41" t="str">
        <f aca="false">IF($T$4=0,IF($M237="","",$M237),IFERROR(IF([2]财务取数接口!$G$236=0,"",[2]财务取数接口!$G$236),""))</f>
        <v/>
      </c>
      <c r="G237" s="41" t="str">
        <f aca="false">IF($T$4=0,IF($N237="","",$N237),IFERROR(IF([2]财务取数接口!$H$236=0,"",[2]财务取数接口!$H$236),""))</f>
        <v/>
      </c>
      <c r="H237" s="39" t="str">
        <f aca="false">IF($T$4=0,IF($O237="","",$O237),IFERROR(IF([2]财务取数接口!$I$236=0,"",[2]财务取数接口!$I$236),""))</f>
        <v/>
      </c>
      <c r="I237" s="42"/>
      <c r="J237" s="43"/>
      <c r="K237" s="42"/>
      <c r="L237" s="42"/>
      <c r="M237" s="44"/>
      <c r="N237" s="44"/>
      <c r="O237" s="43"/>
      <c r="P237" s="45" t="n">
        <f aca="false">IF(AND($C237&lt;&gt;"",$C237&lt;&gt;"项目",OR(N($D237)&lt;&gt;0,N($E237)&lt;&gt;0,N($F237)&lt;&gt;0)),1,0)</f>
        <v>0</v>
      </c>
      <c r="Q237" s="45" t="n">
        <f aca="false">N(Q236)+$P237</f>
        <v>5</v>
      </c>
    </row>
    <row r="238" customFormat="false" ht="13.5" hidden="false" customHeight="false" outlineLevel="0" collapsed="false">
      <c r="A238" s="9" t="n">
        <v>237</v>
      </c>
      <c r="B238" s="40" t="str">
        <f aca="false">IF($T$4=0,IF($I238="","",$I238),IFERROR(IF([2]财务取数接口!$B$237=0,"",[2]财务取数接口!$B$237),""))</f>
        <v/>
      </c>
      <c r="C238" s="39" t="str">
        <f aca="false">IF($T$4=0,IF($J238="","",$J238),IFERROR(IF([2]财务取数接口!$C$237=0,"",[2]财务取数接口!$C$237),""))</f>
        <v/>
      </c>
      <c r="D238" s="40" t="str">
        <f aca="false">IF($T$4=0,IF($K238="","",$K238),IFERROR(IF([2]财务取数接口!$D$237=0,"",[2]财务取数接口!$D$237),""))</f>
        <v/>
      </c>
      <c r="E238" s="40" t="str">
        <f aca="false">IF($T$4=0,IF($L238="","",$L238),IFERROR(IF([2]财务取数接口!$E$237=0,"",[2]财务取数接口!$E$237),""))</f>
        <v/>
      </c>
      <c r="F238" s="41" t="str">
        <f aca="false">IF($T$4=0,IF($M238="","",$M238),IFERROR(IF([2]财务取数接口!$G$237=0,"",[2]财务取数接口!$G$237),""))</f>
        <v/>
      </c>
      <c r="G238" s="41" t="str">
        <f aca="false">IF($T$4=0,IF($N238="","",$N238),IFERROR(IF([2]财务取数接口!$H$237=0,"",[2]财务取数接口!$H$237),""))</f>
        <v/>
      </c>
      <c r="H238" s="39" t="str">
        <f aca="false">IF($T$4=0,IF($O238="","",$O238),IFERROR(IF([2]财务取数接口!$I$237=0,"",[2]财务取数接口!$I$237),""))</f>
        <v/>
      </c>
      <c r="I238" s="42"/>
      <c r="J238" s="43"/>
      <c r="K238" s="42"/>
      <c r="L238" s="42"/>
      <c r="M238" s="44"/>
      <c r="N238" s="44"/>
      <c r="O238" s="43"/>
      <c r="P238" s="45" t="n">
        <f aca="false">IF(AND($C238&lt;&gt;"",$C238&lt;&gt;"项目",OR(N($D238)&lt;&gt;0,N($E238)&lt;&gt;0,N($F238)&lt;&gt;0)),1,0)</f>
        <v>0</v>
      </c>
      <c r="Q238" s="45" t="n">
        <f aca="false">N(Q237)+$P238</f>
        <v>5</v>
      </c>
    </row>
    <row r="239" customFormat="false" ht="13.5" hidden="false" customHeight="false" outlineLevel="0" collapsed="false">
      <c r="A239" s="9" t="n">
        <v>238</v>
      </c>
      <c r="B239" s="40" t="str">
        <f aca="false">IF($T$4=0,IF($I239="","",$I239),IFERROR(IF([2]财务取数接口!$B$238=0,"",[2]财务取数接口!$B$238),""))</f>
        <v/>
      </c>
      <c r="C239" s="39" t="str">
        <f aca="false">IF($T$4=0,IF($J239="","",$J239),IFERROR(IF([2]财务取数接口!$C$238=0,"",[2]财务取数接口!$C$238),""))</f>
        <v/>
      </c>
      <c r="D239" s="40" t="str">
        <f aca="false">IF($T$4=0,IF($K239="","",$K239),IFERROR(IF([2]财务取数接口!$D$238=0,"",[2]财务取数接口!$D$238),""))</f>
        <v/>
      </c>
      <c r="E239" s="40" t="str">
        <f aca="false">IF($T$4=0,IF($L239="","",$L239),IFERROR(IF([2]财务取数接口!$E$238=0,"",[2]财务取数接口!$E$238),""))</f>
        <v/>
      </c>
      <c r="F239" s="41" t="str">
        <f aca="false">IF($T$4=0,IF($M239="","",$M239),IFERROR(IF([2]财务取数接口!$G$238=0,"",[2]财务取数接口!$G$238),""))</f>
        <v/>
      </c>
      <c r="G239" s="41" t="str">
        <f aca="false">IF($T$4=0,IF($N239="","",$N239),IFERROR(IF([2]财务取数接口!$H$238=0,"",[2]财务取数接口!$H$238),""))</f>
        <v/>
      </c>
      <c r="H239" s="39" t="str">
        <f aca="false">IF($T$4=0,IF($O239="","",$O239),IFERROR(IF([2]财务取数接口!$I$238=0,"",[2]财务取数接口!$I$238),""))</f>
        <v/>
      </c>
      <c r="I239" s="42"/>
      <c r="J239" s="43"/>
      <c r="K239" s="42"/>
      <c r="L239" s="42"/>
      <c r="M239" s="44"/>
      <c r="N239" s="44"/>
      <c r="O239" s="43"/>
      <c r="P239" s="45" t="n">
        <f aca="false">IF(AND($C239&lt;&gt;"",$C239&lt;&gt;"项目",OR(N($D239)&lt;&gt;0,N($E239)&lt;&gt;0,N($F239)&lt;&gt;0)),1,0)</f>
        <v>0</v>
      </c>
      <c r="Q239" s="45" t="n">
        <f aca="false">N(Q238)+$P239</f>
        <v>5</v>
      </c>
    </row>
    <row r="240" customFormat="false" ht="13.5" hidden="false" customHeight="false" outlineLevel="0" collapsed="false">
      <c r="A240" s="9" t="n">
        <v>239</v>
      </c>
      <c r="B240" s="40" t="str">
        <f aca="false">IF($T$4=0,IF($I240="","",$I240),IFERROR(IF([2]财务取数接口!$B$239=0,"",[2]财务取数接口!$B$239),""))</f>
        <v/>
      </c>
      <c r="C240" s="39" t="str">
        <f aca="false">IF($T$4=0,IF($J240="","",$J240),IFERROR(IF([2]财务取数接口!$C$239=0,"",[2]财务取数接口!$C$239),""))</f>
        <v/>
      </c>
      <c r="D240" s="40" t="str">
        <f aca="false">IF($T$4=0,IF($K240="","",$K240),IFERROR(IF([2]财务取数接口!$D$239=0,"",[2]财务取数接口!$D$239),""))</f>
        <v/>
      </c>
      <c r="E240" s="40" t="str">
        <f aca="false">IF($T$4=0,IF($L240="","",$L240),IFERROR(IF([2]财务取数接口!$E$239=0,"",[2]财务取数接口!$E$239),""))</f>
        <v/>
      </c>
      <c r="F240" s="41" t="str">
        <f aca="false">IF($T$4=0,IF($M240="","",$M240),IFERROR(IF([2]财务取数接口!$G$239=0,"",[2]财务取数接口!$G$239),""))</f>
        <v/>
      </c>
      <c r="G240" s="41" t="str">
        <f aca="false">IF($T$4=0,IF($N240="","",$N240),IFERROR(IF([2]财务取数接口!$H$239=0,"",[2]财务取数接口!$H$239),""))</f>
        <v/>
      </c>
      <c r="H240" s="39" t="str">
        <f aca="false">IF($T$4=0,IF($O240="","",$O240),IFERROR(IF([2]财务取数接口!$I$239=0,"",[2]财务取数接口!$I$239),""))</f>
        <v/>
      </c>
      <c r="I240" s="42"/>
      <c r="J240" s="43"/>
      <c r="K240" s="42"/>
      <c r="L240" s="42"/>
      <c r="M240" s="44"/>
      <c r="N240" s="44"/>
      <c r="O240" s="43"/>
      <c r="P240" s="45" t="n">
        <f aca="false">IF(AND($C240&lt;&gt;"",$C240&lt;&gt;"项目",OR(N($D240)&lt;&gt;0,N($E240)&lt;&gt;0,N($F240)&lt;&gt;0)),1,0)</f>
        <v>0</v>
      </c>
      <c r="Q240" s="45" t="n">
        <f aca="false">N(Q239)+$P240</f>
        <v>5</v>
      </c>
    </row>
    <row r="241" customFormat="false" ht="13.5" hidden="false" customHeight="false" outlineLevel="0" collapsed="false">
      <c r="A241" s="9" t="n">
        <v>240</v>
      </c>
      <c r="B241" s="40" t="str">
        <f aca="false">IF($T$4=0,IF($I241="","",$I241),IFERROR(IF([2]财务取数接口!$B$240=0,"",[2]财务取数接口!$B$240),""))</f>
        <v/>
      </c>
      <c r="C241" s="39" t="str">
        <f aca="false">IF($T$4=0,IF($J241="","",$J241),IFERROR(IF([2]财务取数接口!$C$240=0,"",[2]财务取数接口!$C$240),""))</f>
        <v/>
      </c>
      <c r="D241" s="40" t="str">
        <f aca="false">IF($T$4=0,IF($K241="","",$K241),IFERROR(IF([2]财务取数接口!$D$240=0,"",[2]财务取数接口!$D$240),""))</f>
        <v/>
      </c>
      <c r="E241" s="40" t="str">
        <f aca="false">IF($T$4=0,IF($L241="","",$L241),IFERROR(IF([2]财务取数接口!$E$240=0,"",[2]财务取数接口!$E$240),""))</f>
        <v/>
      </c>
      <c r="F241" s="41" t="str">
        <f aca="false">IF($T$4=0,IF($M241="","",$M241),IFERROR(IF([2]财务取数接口!$G$240=0,"",[2]财务取数接口!$G$240),""))</f>
        <v/>
      </c>
      <c r="G241" s="41" t="str">
        <f aca="false">IF($T$4=0,IF($N241="","",$N241),IFERROR(IF([2]财务取数接口!$H$240=0,"",[2]财务取数接口!$H$240),""))</f>
        <v/>
      </c>
      <c r="H241" s="39" t="str">
        <f aca="false">IF($T$4=0,IF($O241="","",$O241),IFERROR(IF([2]财务取数接口!$I$240=0,"",[2]财务取数接口!$I$240),""))</f>
        <v/>
      </c>
      <c r="I241" s="42"/>
      <c r="J241" s="43"/>
      <c r="K241" s="42"/>
      <c r="L241" s="42"/>
      <c r="M241" s="44"/>
      <c r="N241" s="44"/>
      <c r="O241" s="43"/>
      <c r="P241" s="45" t="n">
        <f aca="false">IF(AND($C241&lt;&gt;"",$C241&lt;&gt;"项目",OR(N($D241)&lt;&gt;0,N($E241)&lt;&gt;0,N($F241)&lt;&gt;0)),1,0)</f>
        <v>0</v>
      </c>
      <c r="Q241" s="45" t="n">
        <f aca="false">N(Q240)+$P241</f>
        <v>5</v>
      </c>
    </row>
    <row r="242" customFormat="false" ht="13.5" hidden="false" customHeight="false" outlineLevel="0" collapsed="false">
      <c r="A242" s="9" t="n">
        <v>241</v>
      </c>
      <c r="B242" s="40" t="str">
        <f aca="false">IF($T$4=0,IF($I242="","",$I242),IFERROR(IF([2]财务取数接口!$B$241=0,"",[2]财务取数接口!$B$241),""))</f>
        <v/>
      </c>
      <c r="C242" s="39" t="str">
        <f aca="false">IF($T$4=0,IF($J242="","",$J242),IFERROR(IF([2]财务取数接口!$C$241=0,"",[2]财务取数接口!$C$241),""))</f>
        <v/>
      </c>
      <c r="D242" s="40" t="str">
        <f aca="false">IF($T$4=0,IF($K242="","",$K242),IFERROR(IF([2]财务取数接口!$D$241=0,"",[2]财务取数接口!$D$241),""))</f>
        <v/>
      </c>
      <c r="E242" s="40" t="str">
        <f aca="false">IF($T$4=0,IF($L242="","",$L242),IFERROR(IF([2]财务取数接口!$E$241=0,"",[2]财务取数接口!$E$241),""))</f>
        <v/>
      </c>
      <c r="F242" s="41" t="str">
        <f aca="false">IF($T$4=0,IF($M242="","",$M242),IFERROR(IF([2]财务取数接口!$G$241=0,"",[2]财务取数接口!$G$241),""))</f>
        <v/>
      </c>
      <c r="G242" s="41" t="str">
        <f aca="false">IF($T$4=0,IF($N242="","",$N242),IFERROR(IF([2]财务取数接口!$H$241=0,"",[2]财务取数接口!$H$241),""))</f>
        <v/>
      </c>
      <c r="H242" s="39" t="str">
        <f aca="false">IF($T$4=0,IF($O242="","",$O242),IFERROR(IF([2]财务取数接口!$I$241=0,"",[2]财务取数接口!$I$241),""))</f>
        <v/>
      </c>
      <c r="I242" s="42"/>
      <c r="J242" s="43"/>
      <c r="K242" s="42"/>
      <c r="L242" s="42"/>
      <c r="M242" s="44"/>
      <c r="N242" s="44"/>
      <c r="O242" s="43"/>
      <c r="P242" s="45" t="n">
        <f aca="false">IF(AND($C242&lt;&gt;"",$C242&lt;&gt;"项目",OR(N($D242)&lt;&gt;0,N($E242)&lt;&gt;0,N($F242)&lt;&gt;0)),1,0)</f>
        <v>0</v>
      </c>
      <c r="Q242" s="45" t="n">
        <f aca="false">N(Q241)+$P242</f>
        <v>5</v>
      </c>
    </row>
    <row r="243" customFormat="false" ht="13.5" hidden="false" customHeight="false" outlineLevel="0" collapsed="false">
      <c r="A243" s="9" t="n">
        <v>242</v>
      </c>
      <c r="B243" s="40" t="str">
        <f aca="false">IF($T$4=0,IF($I243="","",$I243),IFERROR(IF([2]财务取数接口!$B$242=0,"",[2]财务取数接口!$B$242),""))</f>
        <v/>
      </c>
      <c r="C243" s="39" t="str">
        <f aca="false">IF($T$4=0,IF($J243="","",$J243),IFERROR(IF([2]财务取数接口!$C$242=0,"",[2]财务取数接口!$C$242),""))</f>
        <v/>
      </c>
      <c r="D243" s="40" t="str">
        <f aca="false">IF($T$4=0,IF($K243="","",$K243),IFERROR(IF([2]财务取数接口!$D$242=0,"",[2]财务取数接口!$D$242),""))</f>
        <v/>
      </c>
      <c r="E243" s="40" t="str">
        <f aca="false">IF($T$4=0,IF($L243="","",$L243),IFERROR(IF([2]财务取数接口!$E$242=0,"",[2]财务取数接口!$E$242),""))</f>
        <v/>
      </c>
      <c r="F243" s="41" t="str">
        <f aca="false">IF($T$4=0,IF($M243="","",$M243),IFERROR(IF([2]财务取数接口!$G$242=0,"",[2]财务取数接口!$G$242),""))</f>
        <v/>
      </c>
      <c r="G243" s="41" t="str">
        <f aca="false">IF($T$4=0,IF($N243="","",$N243),IFERROR(IF([2]财务取数接口!$H$242=0,"",[2]财务取数接口!$H$242),""))</f>
        <v/>
      </c>
      <c r="H243" s="39" t="str">
        <f aca="false">IF($T$4=0,IF($O243="","",$O243),IFERROR(IF([2]财务取数接口!$I$242=0,"",[2]财务取数接口!$I$242),""))</f>
        <v/>
      </c>
      <c r="I243" s="42"/>
      <c r="J243" s="43"/>
      <c r="K243" s="42"/>
      <c r="L243" s="42"/>
      <c r="M243" s="44"/>
      <c r="N243" s="44"/>
      <c r="O243" s="43"/>
      <c r="P243" s="45" t="n">
        <f aca="false">IF(AND($C243&lt;&gt;"",$C243&lt;&gt;"项目",OR(N($D243)&lt;&gt;0,N($E243)&lt;&gt;0,N($F243)&lt;&gt;0)),1,0)</f>
        <v>0</v>
      </c>
      <c r="Q243" s="45" t="n">
        <f aca="false">N(Q242)+$P243</f>
        <v>5</v>
      </c>
    </row>
    <row r="244" customFormat="false" ht="13.5" hidden="false" customHeight="false" outlineLevel="0" collapsed="false">
      <c r="A244" s="9" t="n">
        <v>243</v>
      </c>
      <c r="B244" s="40" t="str">
        <f aca="false">IF($T$4=0,IF($I244="","",$I244),IFERROR(IF([2]财务取数接口!$B$243=0,"",[2]财务取数接口!$B$243),""))</f>
        <v/>
      </c>
      <c r="C244" s="39" t="str">
        <f aca="false">IF($T$4=0,IF($J244="","",$J244),IFERROR(IF([2]财务取数接口!$C$243=0,"",[2]财务取数接口!$C$243),""))</f>
        <v/>
      </c>
      <c r="D244" s="40" t="str">
        <f aca="false">IF($T$4=0,IF($K244="","",$K244),IFERROR(IF([2]财务取数接口!$D$243=0,"",[2]财务取数接口!$D$243),""))</f>
        <v/>
      </c>
      <c r="E244" s="40" t="str">
        <f aca="false">IF($T$4=0,IF($L244="","",$L244),IFERROR(IF([2]财务取数接口!$E$243=0,"",[2]财务取数接口!$E$243),""))</f>
        <v/>
      </c>
      <c r="F244" s="41" t="str">
        <f aca="false">IF($T$4=0,IF($M244="","",$M244),IFERROR(IF([2]财务取数接口!$G$243=0,"",[2]财务取数接口!$G$243),""))</f>
        <v/>
      </c>
      <c r="G244" s="41" t="str">
        <f aca="false">IF($T$4=0,IF($N244="","",$N244),IFERROR(IF([2]财务取数接口!$H$243=0,"",[2]财务取数接口!$H$243),""))</f>
        <v/>
      </c>
      <c r="H244" s="39" t="str">
        <f aca="false">IF($T$4=0,IF($O244="","",$O244),IFERROR(IF([2]财务取数接口!$I$243=0,"",[2]财务取数接口!$I$243),""))</f>
        <v/>
      </c>
      <c r="I244" s="42"/>
      <c r="J244" s="43"/>
      <c r="K244" s="42"/>
      <c r="L244" s="42"/>
      <c r="M244" s="44"/>
      <c r="N244" s="44"/>
      <c r="O244" s="43"/>
      <c r="P244" s="45" t="n">
        <f aca="false">IF(AND($C244&lt;&gt;"",$C244&lt;&gt;"项目",OR(N($D244)&lt;&gt;0,N($E244)&lt;&gt;0,N($F244)&lt;&gt;0)),1,0)</f>
        <v>0</v>
      </c>
      <c r="Q244" s="45" t="n">
        <f aca="false">N(Q243)+$P244</f>
        <v>5</v>
      </c>
    </row>
    <row r="245" customFormat="false" ht="13.5" hidden="false" customHeight="false" outlineLevel="0" collapsed="false">
      <c r="A245" s="9" t="n">
        <v>244</v>
      </c>
      <c r="B245" s="40" t="str">
        <f aca="false">IF($T$4=0,IF($I245="","",$I245),IFERROR(IF([2]财务取数接口!$B$244=0,"",[2]财务取数接口!$B$244),""))</f>
        <v/>
      </c>
      <c r="C245" s="39" t="str">
        <f aca="false">IF($T$4=0,IF($J245="","",$J245),IFERROR(IF([2]财务取数接口!$C$244=0,"",[2]财务取数接口!$C$244),""))</f>
        <v/>
      </c>
      <c r="D245" s="40" t="str">
        <f aca="false">IF($T$4=0,IF($K245="","",$K245),IFERROR(IF([2]财务取数接口!$D$244=0,"",[2]财务取数接口!$D$244),""))</f>
        <v/>
      </c>
      <c r="E245" s="40" t="str">
        <f aca="false">IF($T$4=0,IF($L245="","",$L245),IFERROR(IF([2]财务取数接口!$E$244=0,"",[2]财务取数接口!$E$244),""))</f>
        <v/>
      </c>
      <c r="F245" s="41" t="str">
        <f aca="false">IF($T$4=0,IF($M245="","",$M245),IFERROR(IF([2]财务取数接口!$G$244=0,"",[2]财务取数接口!$G$244),""))</f>
        <v/>
      </c>
      <c r="G245" s="41" t="str">
        <f aca="false">IF($T$4=0,IF($N245="","",$N245),IFERROR(IF([2]财务取数接口!$H$244=0,"",[2]财务取数接口!$H$244),""))</f>
        <v/>
      </c>
      <c r="H245" s="39" t="str">
        <f aca="false">IF($T$4=0,IF($O245="","",$O245),IFERROR(IF([2]财务取数接口!$I$244=0,"",[2]财务取数接口!$I$244),""))</f>
        <v/>
      </c>
      <c r="I245" s="42"/>
      <c r="J245" s="43"/>
      <c r="K245" s="42"/>
      <c r="L245" s="42"/>
      <c r="M245" s="44"/>
      <c r="N245" s="44"/>
      <c r="O245" s="43"/>
      <c r="P245" s="45" t="n">
        <f aca="false">IF(AND($C245&lt;&gt;"",$C245&lt;&gt;"项目",OR(N($D245)&lt;&gt;0,N($E245)&lt;&gt;0,N($F245)&lt;&gt;0)),1,0)</f>
        <v>0</v>
      </c>
      <c r="Q245" s="45" t="n">
        <f aca="false">N(Q244)+$P245</f>
        <v>5</v>
      </c>
    </row>
    <row r="246" customFormat="false" ht="13.5" hidden="false" customHeight="false" outlineLevel="0" collapsed="false">
      <c r="A246" s="9" t="n">
        <v>245</v>
      </c>
      <c r="B246" s="40" t="str">
        <f aca="false">IF($T$4=0,IF($I246="","",$I246),IFERROR(IF([2]财务取数接口!$B$245=0,"",[2]财务取数接口!$B$245),""))</f>
        <v/>
      </c>
      <c r="C246" s="39" t="str">
        <f aca="false">IF($T$4=0,IF($J246="","",$J246),IFERROR(IF([2]财务取数接口!$C$245=0,"",[2]财务取数接口!$C$245),""))</f>
        <v/>
      </c>
      <c r="D246" s="40" t="str">
        <f aca="false">IF($T$4=0,IF($K246="","",$K246),IFERROR(IF([2]财务取数接口!$D$245=0,"",[2]财务取数接口!$D$245),""))</f>
        <v/>
      </c>
      <c r="E246" s="40" t="str">
        <f aca="false">IF($T$4=0,IF($L246="","",$L246),IFERROR(IF([2]财务取数接口!$E$245=0,"",[2]财务取数接口!$E$245),""))</f>
        <v/>
      </c>
      <c r="F246" s="41" t="str">
        <f aca="false">IF($T$4=0,IF($M246="","",$M246),IFERROR(IF([2]财务取数接口!$G$245=0,"",[2]财务取数接口!$G$245),""))</f>
        <v/>
      </c>
      <c r="G246" s="41" t="str">
        <f aca="false">IF($T$4=0,IF($N246="","",$N246),IFERROR(IF([2]财务取数接口!$H$245=0,"",[2]财务取数接口!$H$245),""))</f>
        <v/>
      </c>
      <c r="H246" s="39" t="str">
        <f aca="false">IF($T$4=0,IF($O246="","",$O246),IFERROR(IF([2]财务取数接口!$I$245=0,"",[2]财务取数接口!$I$245),""))</f>
        <v/>
      </c>
      <c r="I246" s="42"/>
      <c r="J246" s="43"/>
      <c r="K246" s="42"/>
      <c r="L246" s="42"/>
      <c r="M246" s="44"/>
      <c r="N246" s="44"/>
      <c r="O246" s="43"/>
      <c r="P246" s="45" t="n">
        <f aca="false">IF(AND($C246&lt;&gt;"",$C246&lt;&gt;"项目",OR(N($D246)&lt;&gt;0,N($E246)&lt;&gt;0,N($F246)&lt;&gt;0)),1,0)</f>
        <v>0</v>
      </c>
      <c r="Q246" s="45" t="n">
        <f aca="false">N(Q245)+$P246</f>
        <v>5</v>
      </c>
    </row>
    <row r="247" customFormat="false" ht="13.5" hidden="false" customHeight="false" outlineLevel="0" collapsed="false">
      <c r="A247" s="9" t="n">
        <v>246</v>
      </c>
      <c r="B247" s="40" t="str">
        <f aca="false">IF($T$4=0,IF($I247="","",$I247),IFERROR(IF([2]财务取数接口!$B$246=0,"",[2]财务取数接口!$B$246),""))</f>
        <v/>
      </c>
      <c r="C247" s="39" t="str">
        <f aca="false">IF($T$4=0,IF($J247="","",$J247),IFERROR(IF([2]财务取数接口!$C$246=0,"",[2]财务取数接口!$C$246),""))</f>
        <v/>
      </c>
      <c r="D247" s="40" t="str">
        <f aca="false">IF($T$4=0,IF($K247="","",$K247),IFERROR(IF([2]财务取数接口!$D$246=0,"",[2]财务取数接口!$D$246),""))</f>
        <v/>
      </c>
      <c r="E247" s="40" t="str">
        <f aca="false">IF($T$4=0,IF($L247="","",$L247),IFERROR(IF([2]财务取数接口!$E$246=0,"",[2]财务取数接口!$E$246),""))</f>
        <v/>
      </c>
      <c r="F247" s="41" t="str">
        <f aca="false">IF($T$4=0,IF($M247="","",$M247),IFERROR(IF([2]财务取数接口!$G$246=0,"",[2]财务取数接口!$G$246),""))</f>
        <v/>
      </c>
      <c r="G247" s="41" t="str">
        <f aca="false">IF($T$4=0,IF($N247="","",$N247),IFERROR(IF([2]财务取数接口!$H$246=0,"",[2]财务取数接口!$H$246),""))</f>
        <v/>
      </c>
      <c r="H247" s="39" t="str">
        <f aca="false">IF($T$4=0,IF($O247="","",$O247),IFERROR(IF([2]财务取数接口!$I$246=0,"",[2]财务取数接口!$I$246),""))</f>
        <v/>
      </c>
      <c r="I247" s="42"/>
      <c r="J247" s="43"/>
      <c r="K247" s="42"/>
      <c r="L247" s="42"/>
      <c r="M247" s="44"/>
      <c r="N247" s="44"/>
      <c r="O247" s="43"/>
      <c r="P247" s="45" t="n">
        <f aca="false">IF(AND($C247&lt;&gt;"",$C247&lt;&gt;"项目",OR(N($D247)&lt;&gt;0,N($E247)&lt;&gt;0,N($F247)&lt;&gt;0)),1,0)</f>
        <v>0</v>
      </c>
      <c r="Q247" s="45" t="n">
        <f aca="false">N(Q246)+$P247</f>
        <v>5</v>
      </c>
    </row>
    <row r="248" customFormat="false" ht="13.5" hidden="false" customHeight="false" outlineLevel="0" collapsed="false">
      <c r="A248" s="9" t="n">
        <v>247</v>
      </c>
      <c r="B248" s="40" t="str">
        <f aca="false">IF($T$4=0,IF($I248="","",$I248),IFERROR(IF([2]财务取数接口!$B$247=0,"",[2]财务取数接口!$B$247),""))</f>
        <v/>
      </c>
      <c r="C248" s="39" t="str">
        <f aca="false">IF($T$4=0,IF($J248="","",$J248),IFERROR(IF([2]财务取数接口!$C$247=0,"",[2]财务取数接口!$C$247),""))</f>
        <v/>
      </c>
      <c r="D248" s="40" t="str">
        <f aca="false">IF($T$4=0,IF($K248="","",$K248),IFERROR(IF([2]财务取数接口!$D$247=0,"",[2]财务取数接口!$D$247),""))</f>
        <v/>
      </c>
      <c r="E248" s="40" t="str">
        <f aca="false">IF($T$4=0,IF($L248="","",$L248),IFERROR(IF([2]财务取数接口!$E$247=0,"",[2]财务取数接口!$E$247),""))</f>
        <v/>
      </c>
      <c r="F248" s="41" t="str">
        <f aca="false">IF($T$4=0,IF($M248="","",$M248),IFERROR(IF([2]财务取数接口!$G$247=0,"",[2]财务取数接口!$G$247),""))</f>
        <v/>
      </c>
      <c r="G248" s="41" t="str">
        <f aca="false">IF($T$4=0,IF($N248="","",$N248),IFERROR(IF([2]财务取数接口!$H$247=0,"",[2]财务取数接口!$H$247),""))</f>
        <v/>
      </c>
      <c r="H248" s="39" t="str">
        <f aca="false">IF($T$4=0,IF($O248="","",$O248),IFERROR(IF([2]财务取数接口!$I$247=0,"",[2]财务取数接口!$I$247),""))</f>
        <v/>
      </c>
      <c r="I248" s="42"/>
      <c r="J248" s="43"/>
      <c r="K248" s="42"/>
      <c r="L248" s="42"/>
      <c r="M248" s="44"/>
      <c r="N248" s="44"/>
      <c r="O248" s="43"/>
      <c r="P248" s="45" t="n">
        <f aca="false">IF(AND($C248&lt;&gt;"",$C248&lt;&gt;"项目",OR(N($D248)&lt;&gt;0,N($E248)&lt;&gt;0,N($F248)&lt;&gt;0)),1,0)</f>
        <v>0</v>
      </c>
      <c r="Q248" s="45" t="n">
        <f aca="false">N(Q247)+$P248</f>
        <v>5</v>
      </c>
    </row>
    <row r="249" customFormat="false" ht="13.5" hidden="false" customHeight="false" outlineLevel="0" collapsed="false">
      <c r="A249" s="9" t="n">
        <v>248</v>
      </c>
      <c r="B249" s="40" t="str">
        <f aca="false">IF($T$4=0,IF($I249="","",$I249),IFERROR(IF([2]财务取数接口!$B$248=0,"",[2]财务取数接口!$B$248),""))</f>
        <v/>
      </c>
      <c r="C249" s="39" t="str">
        <f aca="false">IF($T$4=0,IF($J249="","",$J249),IFERROR(IF([2]财务取数接口!$C$248=0,"",[2]财务取数接口!$C$248),""))</f>
        <v/>
      </c>
      <c r="D249" s="40" t="str">
        <f aca="false">IF($T$4=0,IF($K249="","",$K249),IFERROR(IF([2]财务取数接口!$D$248=0,"",[2]财务取数接口!$D$248),""))</f>
        <v/>
      </c>
      <c r="E249" s="40" t="str">
        <f aca="false">IF($T$4=0,IF($L249="","",$L249),IFERROR(IF([2]财务取数接口!$E$248=0,"",[2]财务取数接口!$E$248),""))</f>
        <v/>
      </c>
      <c r="F249" s="41" t="str">
        <f aca="false">IF($T$4=0,IF($M249="","",$M249),IFERROR(IF([2]财务取数接口!$G$248=0,"",[2]财务取数接口!$G$248),""))</f>
        <v/>
      </c>
      <c r="G249" s="41" t="str">
        <f aca="false">IF($T$4=0,IF($N249="","",$N249),IFERROR(IF([2]财务取数接口!$H$248=0,"",[2]财务取数接口!$H$248),""))</f>
        <v/>
      </c>
      <c r="H249" s="39" t="str">
        <f aca="false">IF($T$4=0,IF($O249="","",$O249),IFERROR(IF([2]财务取数接口!$I$248=0,"",[2]财务取数接口!$I$248),""))</f>
        <v/>
      </c>
      <c r="I249" s="42"/>
      <c r="J249" s="43"/>
      <c r="K249" s="42"/>
      <c r="L249" s="42"/>
      <c r="M249" s="44"/>
      <c r="N249" s="44"/>
      <c r="O249" s="43"/>
      <c r="P249" s="45" t="n">
        <f aca="false">IF(AND($C249&lt;&gt;"",$C249&lt;&gt;"项目",OR(N($D249)&lt;&gt;0,N($E249)&lt;&gt;0,N($F249)&lt;&gt;0)),1,0)</f>
        <v>0</v>
      </c>
      <c r="Q249" s="45" t="n">
        <f aca="false">N(Q248)+$P249</f>
        <v>5</v>
      </c>
    </row>
    <row r="250" customFormat="false" ht="13.5" hidden="false" customHeight="false" outlineLevel="0" collapsed="false">
      <c r="A250" s="9" t="n">
        <v>249</v>
      </c>
      <c r="B250" s="40" t="str">
        <f aca="false">IF($T$4=0,IF($I250="","",$I250),IFERROR(IF([2]财务取数接口!$B$249=0,"",[2]财务取数接口!$B$249),""))</f>
        <v/>
      </c>
      <c r="C250" s="39" t="str">
        <f aca="false">IF($T$4=0,IF($J250="","",$J250),IFERROR(IF([2]财务取数接口!$C$249=0,"",[2]财务取数接口!$C$249),""))</f>
        <v/>
      </c>
      <c r="D250" s="40" t="str">
        <f aca="false">IF($T$4=0,IF($K250="","",$K250),IFERROR(IF([2]财务取数接口!$D$249=0,"",[2]财务取数接口!$D$249),""))</f>
        <v/>
      </c>
      <c r="E250" s="40" t="str">
        <f aca="false">IF($T$4=0,IF($L250="","",$L250),IFERROR(IF([2]财务取数接口!$E$249=0,"",[2]财务取数接口!$E$249),""))</f>
        <v/>
      </c>
      <c r="F250" s="41" t="str">
        <f aca="false">IF($T$4=0,IF($M250="","",$M250),IFERROR(IF([2]财务取数接口!$G$249=0,"",[2]财务取数接口!$G$249),""))</f>
        <v/>
      </c>
      <c r="G250" s="41" t="str">
        <f aca="false">IF($T$4=0,IF($N250="","",$N250),IFERROR(IF([2]财务取数接口!$H$249=0,"",[2]财务取数接口!$H$249),""))</f>
        <v/>
      </c>
      <c r="H250" s="39" t="str">
        <f aca="false">IF($T$4=0,IF($O250="","",$O250),IFERROR(IF([2]财务取数接口!$I$249=0,"",[2]财务取数接口!$I$249),""))</f>
        <v/>
      </c>
      <c r="I250" s="42"/>
      <c r="J250" s="43"/>
      <c r="K250" s="42"/>
      <c r="L250" s="42"/>
      <c r="M250" s="44"/>
      <c r="N250" s="44"/>
      <c r="O250" s="43"/>
      <c r="P250" s="45" t="n">
        <f aca="false">IF(AND($C250&lt;&gt;"",$C250&lt;&gt;"项目",OR(N($D250)&lt;&gt;0,N($E250)&lt;&gt;0,N($F250)&lt;&gt;0)),1,0)</f>
        <v>0</v>
      </c>
      <c r="Q250" s="45" t="n">
        <f aca="false">N(Q249)+$P250</f>
        <v>5</v>
      </c>
    </row>
    <row r="251" customFormat="false" ht="13.5" hidden="false" customHeight="false" outlineLevel="0" collapsed="false">
      <c r="A251" s="9" t="n">
        <v>250</v>
      </c>
      <c r="B251" s="40" t="str">
        <f aca="false">IF($T$4=0,IF($I251="","",$I251),IFERROR(IF([2]财务取数接口!$B$250=0,"",[2]财务取数接口!$B$250),""))</f>
        <v/>
      </c>
      <c r="C251" s="39" t="str">
        <f aca="false">IF($T$4=0,IF($J251="","",$J251),IFERROR(IF([2]财务取数接口!$C$250=0,"",[2]财务取数接口!$C$250),""))</f>
        <v/>
      </c>
      <c r="D251" s="40" t="str">
        <f aca="false">IF($T$4=0,IF($K251="","",$K251),IFERROR(IF([2]财务取数接口!$D$250=0,"",[2]财务取数接口!$D$250),""))</f>
        <v/>
      </c>
      <c r="E251" s="40" t="str">
        <f aca="false">IF($T$4=0,IF($L251="","",$L251),IFERROR(IF([2]财务取数接口!$E$250=0,"",[2]财务取数接口!$E$250),""))</f>
        <v/>
      </c>
      <c r="F251" s="41" t="str">
        <f aca="false">IF($T$4=0,IF($M251="","",$M251),IFERROR(IF([2]财务取数接口!$G$250=0,"",[2]财务取数接口!$G$250),""))</f>
        <v/>
      </c>
      <c r="G251" s="41" t="str">
        <f aca="false">IF($T$4=0,IF($N251="","",$N251),IFERROR(IF([2]财务取数接口!$H$250=0,"",[2]财务取数接口!$H$250),""))</f>
        <v/>
      </c>
      <c r="H251" s="39" t="str">
        <f aca="false">IF($T$4=0,IF($O251="","",$O251),IFERROR(IF([2]财务取数接口!$I$250=0,"",[2]财务取数接口!$I$250),""))</f>
        <v/>
      </c>
      <c r="I251" s="42"/>
      <c r="J251" s="43"/>
      <c r="K251" s="42"/>
      <c r="L251" s="42"/>
      <c r="M251" s="44"/>
      <c r="N251" s="44"/>
      <c r="O251" s="43"/>
      <c r="P251" s="45" t="n">
        <f aca="false">IF(AND($C251&lt;&gt;"",$C251&lt;&gt;"项目",OR(N($D251)&lt;&gt;0,N($E251)&lt;&gt;0,N($F251)&lt;&gt;0)),1,0)</f>
        <v>0</v>
      </c>
      <c r="Q251" s="45" t="n">
        <f aca="false">N(Q250)+$P251</f>
        <v>5</v>
      </c>
    </row>
    <row r="252" customFormat="false" ht="13.5" hidden="false" customHeight="false" outlineLevel="0" collapsed="false">
      <c r="A252" s="9" t="n">
        <v>251</v>
      </c>
      <c r="B252" s="40" t="str">
        <f aca="false">IF($T$4=0,IF($I252="","",$I252),IFERROR(IF([2]财务取数接口!$B$251=0,"",[2]财务取数接口!$B$251),""))</f>
        <v/>
      </c>
      <c r="C252" s="39" t="str">
        <f aca="false">IF($T$4=0,IF($J252="","",$J252),IFERROR(IF([2]财务取数接口!$C$251=0,"",[2]财务取数接口!$C$251),""))</f>
        <v/>
      </c>
      <c r="D252" s="40" t="str">
        <f aca="false">IF($T$4=0,IF($K252="","",$K252),IFERROR(IF([2]财务取数接口!$D$251=0,"",[2]财务取数接口!$D$251),""))</f>
        <v/>
      </c>
      <c r="E252" s="40" t="str">
        <f aca="false">IF($T$4=0,IF($L252="","",$L252),IFERROR(IF([2]财务取数接口!$E$251=0,"",[2]财务取数接口!$E$251),""))</f>
        <v/>
      </c>
      <c r="F252" s="41" t="str">
        <f aca="false">IF($T$4=0,IF($M252="","",$M252),IFERROR(IF([2]财务取数接口!$G$251=0,"",[2]财务取数接口!$G$251),""))</f>
        <v/>
      </c>
      <c r="G252" s="41" t="str">
        <f aca="false">IF($T$4=0,IF($N252="","",$N252),IFERROR(IF([2]财务取数接口!$H$251=0,"",[2]财务取数接口!$H$251),""))</f>
        <v/>
      </c>
      <c r="H252" s="39" t="str">
        <f aca="false">IF($T$4=0,IF($O252="","",$O252),IFERROR(IF([2]财务取数接口!$I$251=0,"",[2]财务取数接口!$I$251),""))</f>
        <v/>
      </c>
      <c r="I252" s="42"/>
      <c r="J252" s="43"/>
      <c r="K252" s="42"/>
      <c r="L252" s="42"/>
      <c r="M252" s="44"/>
      <c r="N252" s="44"/>
      <c r="O252" s="43"/>
      <c r="P252" s="45" t="n">
        <f aca="false">IF(AND($C252&lt;&gt;"",$C252&lt;&gt;"项目",OR(N($D252)&lt;&gt;0,N($E252)&lt;&gt;0,N($F252)&lt;&gt;0)),1,0)</f>
        <v>0</v>
      </c>
      <c r="Q252" s="45" t="n">
        <f aca="false">N(Q251)+$P252</f>
        <v>5</v>
      </c>
    </row>
    <row r="253" customFormat="false" ht="13.5" hidden="false" customHeight="false" outlineLevel="0" collapsed="false">
      <c r="A253" s="9" t="n">
        <v>252</v>
      </c>
      <c r="B253" s="40" t="str">
        <f aca="false">IF($T$4=0,IF($I253="","",$I253),IFERROR(IF([2]财务取数接口!$B$252=0,"",[2]财务取数接口!$B$252),""))</f>
        <v/>
      </c>
      <c r="C253" s="39" t="str">
        <f aca="false">IF($T$4=0,IF($J253="","",$J253),IFERROR(IF([2]财务取数接口!$C$252=0,"",[2]财务取数接口!$C$252),""))</f>
        <v/>
      </c>
      <c r="D253" s="40" t="str">
        <f aca="false">IF($T$4=0,IF($K253="","",$K253),IFERROR(IF([2]财务取数接口!$D$252=0,"",[2]财务取数接口!$D$252),""))</f>
        <v/>
      </c>
      <c r="E253" s="40" t="str">
        <f aca="false">IF($T$4=0,IF($L253="","",$L253),IFERROR(IF([2]财务取数接口!$E$252=0,"",[2]财务取数接口!$E$252),""))</f>
        <v/>
      </c>
      <c r="F253" s="41" t="str">
        <f aca="false">IF($T$4=0,IF($M253="","",$M253),IFERROR(IF([2]财务取数接口!$G$252=0,"",[2]财务取数接口!$G$252),""))</f>
        <v/>
      </c>
      <c r="G253" s="41" t="str">
        <f aca="false">IF($T$4=0,IF($N253="","",$N253),IFERROR(IF([2]财务取数接口!$H$252=0,"",[2]财务取数接口!$H$252),""))</f>
        <v/>
      </c>
      <c r="H253" s="39" t="str">
        <f aca="false">IF($T$4=0,IF($O253="","",$O253),IFERROR(IF([2]财务取数接口!$I$252=0,"",[2]财务取数接口!$I$252),""))</f>
        <v/>
      </c>
      <c r="I253" s="42"/>
      <c r="J253" s="43"/>
      <c r="K253" s="42"/>
      <c r="L253" s="42"/>
      <c r="M253" s="44"/>
      <c r="N253" s="44"/>
      <c r="O253" s="43"/>
      <c r="P253" s="45" t="n">
        <f aca="false">IF(AND($C253&lt;&gt;"",$C253&lt;&gt;"项目",OR(N($D253)&lt;&gt;0,N($E253)&lt;&gt;0,N($F253)&lt;&gt;0)),1,0)</f>
        <v>0</v>
      </c>
      <c r="Q253" s="45" t="n">
        <f aca="false">N(Q252)+$P253</f>
        <v>5</v>
      </c>
    </row>
    <row r="254" customFormat="false" ht="13.5" hidden="false" customHeight="false" outlineLevel="0" collapsed="false">
      <c r="A254" s="9" t="n">
        <v>253</v>
      </c>
      <c r="B254" s="40" t="str">
        <f aca="false">IF($T$4=0,IF($I254="","",$I254),IFERROR(IF([2]财务取数接口!$B$253=0,"",[2]财务取数接口!$B$253),""))</f>
        <v/>
      </c>
      <c r="C254" s="39" t="str">
        <f aca="false">IF($T$4=0,IF($J254="","",$J254),IFERROR(IF([2]财务取数接口!$C$253=0,"",[2]财务取数接口!$C$253),""))</f>
        <v/>
      </c>
      <c r="D254" s="40" t="str">
        <f aca="false">IF($T$4=0,IF($K254="","",$K254),IFERROR(IF([2]财务取数接口!$D$253=0,"",[2]财务取数接口!$D$253),""))</f>
        <v/>
      </c>
      <c r="E254" s="40" t="str">
        <f aca="false">IF($T$4=0,IF($L254="","",$L254),IFERROR(IF([2]财务取数接口!$E$253=0,"",[2]财务取数接口!$E$253),""))</f>
        <v/>
      </c>
      <c r="F254" s="41" t="str">
        <f aca="false">IF($T$4=0,IF($M254="","",$M254),IFERROR(IF([2]财务取数接口!$G$253=0,"",[2]财务取数接口!$G$253),""))</f>
        <v/>
      </c>
      <c r="G254" s="41" t="str">
        <f aca="false">IF($T$4=0,IF($N254="","",$N254),IFERROR(IF([2]财务取数接口!$H$253=0,"",[2]财务取数接口!$H$253),""))</f>
        <v/>
      </c>
      <c r="H254" s="39" t="str">
        <f aca="false">IF($T$4=0,IF($O254="","",$O254),IFERROR(IF([2]财务取数接口!$I$253=0,"",[2]财务取数接口!$I$253),""))</f>
        <v/>
      </c>
      <c r="I254" s="42"/>
      <c r="J254" s="43"/>
      <c r="K254" s="42"/>
      <c r="L254" s="42"/>
      <c r="M254" s="44"/>
      <c r="N254" s="44"/>
      <c r="O254" s="43"/>
      <c r="P254" s="45" t="n">
        <f aca="false">IF(AND($C254&lt;&gt;"",$C254&lt;&gt;"项目",OR(N($D254)&lt;&gt;0,N($E254)&lt;&gt;0,N($F254)&lt;&gt;0)),1,0)</f>
        <v>0</v>
      </c>
      <c r="Q254" s="45" t="n">
        <f aca="false">N(Q253)+$P254</f>
        <v>5</v>
      </c>
    </row>
    <row r="255" customFormat="false" ht="13.5" hidden="false" customHeight="false" outlineLevel="0" collapsed="false">
      <c r="A255" s="9" t="n">
        <v>254</v>
      </c>
      <c r="B255" s="40" t="str">
        <f aca="false">IF($T$4=0,IF($I255="","",$I255),IFERROR(IF([2]财务取数接口!$B$254=0,"",[2]财务取数接口!$B$254),""))</f>
        <v/>
      </c>
      <c r="C255" s="39" t="str">
        <f aca="false">IF($T$4=0,IF($J255="","",$J255),IFERROR(IF([2]财务取数接口!$C$254=0,"",[2]财务取数接口!$C$254),""))</f>
        <v/>
      </c>
      <c r="D255" s="40" t="str">
        <f aca="false">IF($T$4=0,IF($K255="","",$K255),IFERROR(IF([2]财务取数接口!$D$254=0,"",[2]财务取数接口!$D$254),""))</f>
        <v/>
      </c>
      <c r="E255" s="40" t="str">
        <f aca="false">IF($T$4=0,IF($L255="","",$L255),IFERROR(IF([2]财务取数接口!$E$254=0,"",[2]财务取数接口!$E$254),""))</f>
        <v/>
      </c>
      <c r="F255" s="41" t="str">
        <f aca="false">IF($T$4=0,IF($M255="","",$M255),IFERROR(IF([2]财务取数接口!$G$254=0,"",[2]财务取数接口!$G$254),""))</f>
        <v/>
      </c>
      <c r="G255" s="41" t="str">
        <f aca="false">IF($T$4=0,IF($N255="","",$N255),IFERROR(IF([2]财务取数接口!$H$254=0,"",[2]财务取数接口!$H$254),""))</f>
        <v/>
      </c>
      <c r="H255" s="39" t="str">
        <f aca="false">IF($T$4=0,IF($O255="","",$O255),IFERROR(IF([2]财务取数接口!$I$254=0,"",[2]财务取数接口!$I$254),""))</f>
        <v/>
      </c>
      <c r="I255" s="42"/>
      <c r="J255" s="43"/>
      <c r="K255" s="42"/>
      <c r="L255" s="42"/>
      <c r="M255" s="44"/>
      <c r="N255" s="44"/>
      <c r="O255" s="43"/>
      <c r="P255" s="45" t="n">
        <f aca="false">IF(AND($C255&lt;&gt;"",$C255&lt;&gt;"项目",OR(N($D255)&lt;&gt;0,N($E255)&lt;&gt;0,N($F255)&lt;&gt;0)),1,0)</f>
        <v>0</v>
      </c>
      <c r="Q255" s="45" t="n">
        <f aca="false">N(Q254)+$P255</f>
        <v>5</v>
      </c>
    </row>
    <row r="256" customFormat="false" ht="13.5" hidden="false" customHeight="false" outlineLevel="0" collapsed="false">
      <c r="A256" s="9" t="n">
        <v>255</v>
      </c>
      <c r="B256" s="40" t="str">
        <f aca="false">IF($T$4=0,IF($I256="","",$I256),IFERROR(IF([2]财务取数接口!$B$255=0,"",[2]财务取数接口!$B$255),""))</f>
        <v/>
      </c>
      <c r="C256" s="39" t="str">
        <f aca="false">IF($T$4=0,IF($J256="","",$J256),IFERROR(IF([2]财务取数接口!$C$255=0,"",[2]财务取数接口!$C$255),""))</f>
        <v/>
      </c>
      <c r="D256" s="40" t="str">
        <f aca="false">IF($T$4=0,IF($K256="","",$K256),IFERROR(IF([2]财务取数接口!$D$255=0,"",[2]财务取数接口!$D$255),""))</f>
        <v/>
      </c>
      <c r="E256" s="40" t="str">
        <f aca="false">IF($T$4=0,IF($L256="","",$L256),IFERROR(IF([2]财务取数接口!$E$255=0,"",[2]财务取数接口!$E$255),""))</f>
        <v/>
      </c>
      <c r="F256" s="41" t="str">
        <f aca="false">IF($T$4=0,IF($M256="","",$M256),IFERROR(IF([2]财务取数接口!$G$255=0,"",[2]财务取数接口!$G$255),""))</f>
        <v/>
      </c>
      <c r="G256" s="41" t="str">
        <f aca="false">IF($T$4=0,IF($N256="","",$N256),IFERROR(IF([2]财务取数接口!$H$255=0,"",[2]财务取数接口!$H$255),""))</f>
        <v/>
      </c>
      <c r="H256" s="39" t="str">
        <f aca="false">IF($T$4=0,IF($O256="","",$O256),IFERROR(IF([2]财务取数接口!$I$255=0,"",[2]财务取数接口!$I$255),""))</f>
        <v/>
      </c>
      <c r="I256" s="42"/>
      <c r="J256" s="43"/>
      <c r="K256" s="42"/>
      <c r="L256" s="42"/>
      <c r="M256" s="44"/>
      <c r="N256" s="44"/>
      <c r="O256" s="43"/>
      <c r="P256" s="45" t="n">
        <f aca="false">IF(AND($C256&lt;&gt;"",$C256&lt;&gt;"项目",OR(N($D256)&lt;&gt;0,N($E256)&lt;&gt;0,N($F256)&lt;&gt;0)),1,0)</f>
        <v>0</v>
      </c>
      <c r="Q256" s="45" t="n">
        <f aca="false">N(Q255)+$P256</f>
        <v>5</v>
      </c>
    </row>
    <row r="257" customFormat="false" ht="13.5" hidden="false" customHeight="false" outlineLevel="0" collapsed="false">
      <c r="A257" s="9" t="n">
        <v>256</v>
      </c>
      <c r="B257" s="40" t="str">
        <f aca="false">IF($T$4=0,IF($I257="","",$I257),IFERROR(IF([2]财务取数接口!$B$256=0,"",[2]财务取数接口!$B$256),""))</f>
        <v/>
      </c>
      <c r="C257" s="39" t="str">
        <f aca="false">IF($T$4=0,IF($J257="","",$J257),IFERROR(IF([2]财务取数接口!$C$256=0,"",[2]财务取数接口!$C$256),""))</f>
        <v/>
      </c>
      <c r="D257" s="40" t="str">
        <f aca="false">IF($T$4=0,IF($K257="","",$K257),IFERROR(IF([2]财务取数接口!$D$256=0,"",[2]财务取数接口!$D$256),""))</f>
        <v/>
      </c>
      <c r="E257" s="40" t="str">
        <f aca="false">IF($T$4=0,IF($L257="","",$L257),IFERROR(IF([2]财务取数接口!$E$256=0,"",[2]财务取数接口!$E$256),""))</f>
        <v/>
      </c>
      <c r="F257" s="41" t="str">
        <f aca="false">IF($T$4=0,IF($M257="","",$M257),IFERROR(IF([2]财务取数接口!$G$256=0,"",[2]财务取数接口!$G$256),""))</f>
        <v/>
      </c>
      <c r="G257" s="41" t="str">
        <f aca="false">IF($T$4=0,IF($N257="","",$N257),IFERROR(IF([2]财务取数接口!$H$256=0,"",[2]财务取数接口!$H$256),""))</f>
        <v/>
      </c>
      <c r="H257" s="39" t="str">
        <f aca="false">IF($T$4=0,IF($O257="","",$O257),IFERROR(IF([2]财务取数接口!$I$256=0,"",[2]财务取数接口!$I$256),""))</f>
        <v/>
      </c>
      <c r="I257" s="42"/>
      <c r="J257" s="43"/>
      <c r="K257" s="42"/>
      <c r="L257" s="42"/>
      <c r="M257" s="44"/>
      <c r="N257" s="44"/>
      <c r="O257" s="43"/>
      <c r="P257" s="45" t="n">
        <f aca="false">IF(AND($C257&lt;&gt;"",$C257&lt;&gt;"项目",OR(N($D257)&lt;&gt;0,N($E257)&lt;&gt;0,N($F257)&lt;&gt;0)),1,0)</f>
        <v>0</v>
      </c>
      <c r="Q257" s="45" t="n">
        <f aca="false">N(Q256)+$P257</f>
        <v>5</v>
      </c>
    </row>
    <row r="258" customFormat="false" ht="13.5" hidden="false" customHeight="false" outlineLevel="0" collapsed="false">
      <c r="A258" s="9" t="n">
        <v>257</v>
      </c>
      <c r="B258" s="40" t="str">
        <f aca="false">IF($T$4=0,IF($I258="","",$I258),IFERROR(IF([2]财务取数接口!$B$257=0,"",[2]财务取数接口!$B$257),""))</f>
        <v/>
      </c>
      <c r="C258" s="39" t="str">
        <f aca="false">IF($T$4=0,IF($J258="","",$J258),IFERROR(IF([2]财务取数接口!$C$257=0,"",[2]财务取数接口!$C$257),""))</f>
        <v/>
      </c>
      <c r="D258" s="40" t="str">
        <f aca="false">IF($T$4=0,IF($K258="","",$K258),IFERROR(IF([2]财务取数接口!$D$257=0,"",[2]财务取数接口!$D$257),""))</f>
        <v/>
      </c>
      <c r="E258" s="40" t="str">
        <f aca="false">IF($T$4=0,IF($L258="","",$L258),IFERROR(IF([2]财务取数接口!$E$257=0,"",[2]财务取数接口!$E$257),""))</f>
        <v/>
      </c>
      <c r="F258" s="41" t="str">
        <f aca="false">IF($T$4=0,IF($M258="","",$M258),IFERROR(IF([2]财务取数接口!$G$257=0,"",[2]财务取数接口!$G$257),""))</f>
        <v/>
      </c>
      <c r="G258" s="41" t="str">
        <f aca="false">IF($T$4=0,IF($N258="","",$N258),IFERROR(IF([2]财务取数接口!$H$257=0,"",[2]财务取数接口!$H$257),""))</f>
        <v/>
      </c>
      <c r="H258" s="39" t="str">
        <f aca="false">IF($T$4=0,IF($O258="","",$O258),IFERROR(IF([2]财务取数接口!$I$257=0,"",[2]财务取数接口!$I$257),""))</f>
        <v/>
      </c>
      <c r="I258" s="42"/>
      <c r="J258" s="43"/>
      <c r="K258" s="42"/>
      <c r="L258" s="42"/>
      <c r="M258" s="44"/>
      <c r="N258" s="44"/>
      <c r="O258" s="43"/>
      <c r="P258" s="45" t="n">
        <f aca="false">IF(AND($C258&lt;&gt;"",$C258&lt;&gt;"项目",OR(N($D258)&lt;&gt;0,N($E258)&lt;&gt;0,N($F258)&lt;&gt;0)),1,0)</f>
        <v>0</v>
      </c>
      <c r="Q258" s="45" t="n">
        <f aca="false">N(Q257)+$P258</f>
        <v>5</v>
      </c>
    </row>
    <row r="259" customFormat="false" ht="13.5" hidden="false" customHeight="false" outlineLevel="0" collapsed="false">
      <c r="A259" s="9" t="n">
        <v>258</v>
      </c>
      <c r="B259" s="40" t="str">
        <f aca="false">IF($T$4=0,IF($I259="","",$I259),IFERROR(IF([2]财务取数接口!$B$258=0,"",[2]财务取数接口!$B$258),""))</f>
        <v/>
      </c>
      <c r="C259" s="39" t="str">
        <f aca="false">IF($T$4=0,IF($J259="","",$J259),IFERROR(IF([2]财务取数接口!$C$258=0,"",[2]财务取数接口!$C$258),""))</f>
        <v/>
      </c>
      <c r="D259" s="40" t="str">
        <f aca="false">IF($T$4=0,IF($K259="","",$K259),IFERROR(IF([2]财务取数接口!$D$258=0,"",[2]财务取数接口!$D$258),""))</f>
        <v/>
      </c>
      <c r="E259" s="40" t="str">
        <f aca="false">IF($T$4=0,IF($L259="","",$L259),IFERROR(IF([2]财务取数接口!$E$258=0,"",[2]财务取数接口!$E$258),""))</f>
        <v/>
      </c>
      <c r="F259" s="41" t="str">
        <f aca="false">IF($T$4=0,IF($M259="","",$M259),IFERROR(IF([2]财务取数接口!$G$258=0,"",[2]财务取数接口!$G$258),""))</f>
        <v/>
      </c>
      <c r="G259" s="41" t="str">
        <f aca="false">IF($T$4=0,IF($N259="","",$N259),IFERROR(IF([2]财务取数接口!$H$258=0,"",[2]财务取数接口!$H$258),""))</f>
        <v/>
      </c>
      <c r="H259" s="39" t="str">
        <f aca="false">IF($T$4=0,IF($O259="","",$O259),IFERROR(IF([2]财务取数接口!$I$258=0,"",[2]财务取数接口!$I$258),""))</f>
        <v/>
      </c>
      <c r="I259" s="42"/>
      <c r="J259" s="43"/>
      <c r="K259" s="42"/>
      <c r="L259" s="42"/>
      <c r="M259" s="44"/>
      <c r="N259" s="44"/>
      <c r="O259" s="43"/>
      <c r="P259" s="45" t="n">
        <f aca="false">IF(AND($C259&lt;&gt;"",$C259&lt;&gt;"项目",OR(N($D259)&lt;&gt;0,N($E259)&lt;&gt;0,N($F259)&lt;&gt;0)),1,0)</f>
        <v>0</v>
      </c>
      <c r="Q259" s="45" t="n">
        <f aca="false">N(Q258)+$P259</f>
        <v>5</v>
      </c>
    </row>
    <row r="260" customFormat="false" ht="13.5" hidden="false" customHeight="false" outlineLevel="0" collapsed="false">
      <c r="A260" s="9" t="n">
        <v>259</v>
      </c>
      <c r="B260" s="40" t="str">
        <f aca="false">IF($T$4=0,IF($I260="","",$I260),IFERROR(IF([2]财务取数接口!$B$259=0,"",[2]财务取数接口!$B$259),""))</f>
        <v/>
      </c>
      <c r="C260" s="39" t="str">
        <f aca="false">IF($T$4=0,IF($J260="","",$J260),IFERROR(IF([2]财务取数接口!$C$259=0,"",[2]财务取数接口!$C$259),""))</f>
        <v/>
      </c>
      <c r="D260" s="40" t="str">
        <f aca="false">IF($T$4=0,IF($K260="","",$K260),IFERROR(IF([2]财务取数接口!$D$259=0,"",[2]财务取数接口!$D$259),""))</f>
        <v/>
      </c>
      <c r="E260" s="40" t="str">
        <f aca="false">IF($T$4=0,IF($L260="","",$L260),IFERROR(IF([2]财务取数接口!$E$259=0,"",[2]财务取数接口!$E$259),""))</f>
        <v/>
      </c>
      <c r="F260" s="41" t="str">
        <f aca="false">IF($T$4=0,IF($M260="","",$M260),IFERROR(IF([2]财务取数接口!$G$259=0,"",[2]财务取数接口!$G$259),""))</f>
        <v/>
      </c>
      <c r="G260" s="41" t="str">
        <f aca="false">IF($T$4=0,IF($N260="","",$N260),IFERROR(IF([2]财务取数接口!$H$259=0,"",[2]财务取数接口!$H$259),""))</f>
        <v/>
      </c>
      <c r="H260" s="39" t="str">
        <f aca="false">IF($T$4=0,IF($O260="","",$O260),IFERROR(IF([2]财务取数接口!$I$259=0,"",[2]财务取数接口!$I$259),""))</f>
        <v/>
      </c>
      <c r="I260" s="42"/>
      <c r="J260" s="43"/>
      <c r="K260" s="42"/>
      <c r="L260" s="42"/>
      <c r="M260" s="44"/>
      <c r="N260" s="44"/>
      <c r="O260" s="43"/>
      <c r="P260" s="45" t="n">
        <f aca="false">IF(AND($C260&lt;&gt;"",$C260&lt;&gt;"项目",OR(N($D260)&lt;&gt;0,N($E260)&lt;&gt;0,N($F260)&lt;&gt;0)),1,0)</f>
        <v>0</v>
      </c>
      <c r="Q260" s="45" t="n">
        <f aca="false">N(Q259)+$P260</f>
        <v>5</v>
      </c>
    </row>
    <row r="261" customFormat="false" ht="13.5" hidden="false" customHeight="false" outlineLevel="0" collapsed="false">
      <c r="A261" s="9" t="n">
        <v>260</v>
      </c>
      <c r="B261" s="40" t="str">
        <f aca="false">IF($T$4=0,IF($I261="","",$I261),IFERROR(IF([2]财务取数接口!$B$260=0,"",[2]财务取数接口!$B$260),""))</f>
        <v/>
      </c>
      <c r="C261" s="39" t="str">
        <f aca="false">IF($T$4=0,IF($J261="","",$J261),IFERROR(IF([2]财务取数接口!$C$260=0,"",[2]财务取数接口!$C$260),""))</f>
        <v/>
      </c>
      <c r="D261" s="40" t="str">
        <f aca="false">IF($T$4=0,IF($K261="","",$K261),IFERROR(IF([2]财务取数接口!$D$260=0,"",[2]财务取数接口!$D$260),""))</f>
        <v/>
      </c>
      <c r="E261" s="40" t="str">
        <f aca="false">IF($T$4=0,IF($L261="","",$L261),IFERROR(IF([2]财务取数接口!$E$260=0,"",[2]财务取数接口!$E$260),""))</f>
        <v/>
      </c>
      <c r="F261" s="41" t="str">
        <f aca="false">IF($T$4=0,IF($M261="","",$M261),IFERROR(IF([2]财务取数接口!$G$260=0,"",[2]财务取数接口!$G$260),""))</f>
        <v/>
      </c>
      <c r="G261" s="41" t="str">
        <f aca="false">IF($T$4=0,IF($N261="","",$N261),IFERROR(IF([2]财务取数接口!$H$260=0,"",[2]财务取数接口!$H$260),""))</f>
        <v/>
      </c>
      <c r="H261" s="39" t="str">
        <f aca="false">IF($T$4=0,IF($O261="","",$O261),IFERROR(IF([2]财务取数接口!$I$260=0,"",[2]财务取数接口!$I$260),""))</f>
        <v/>
      </c>
      <c r="I261" s="42"/>
      <c r="J261" s="43"/>
      <c r="K261" s="42"/>
      <c r="L261" s="42"/>
      <c r="M261" s="44"/>
      <c r="N261" s="44"/>
      <c r="O261" s="43"/>
      <c r="P261" s="45" t="n">
        <f aca="false">IF(AND($C261&lt;&gt;"",$C261&lt;&gt;"项目",OR(N($D261)&lt;&gt;0,N($E261)&lt;&gt;0,N($F261)&lt;&gt;0)),1,0)</f>
        <v>0</v>
      </c>
      <c r="Q261" s="45" t="n">
        <f aca="false">N(Q260)+$P261</f>
        <v>5</v>
      </c>
    </row>
    <row r="262" customFormat="false" ht="13.5" hidden="false" customHeight="false" outlineLevel="0" collapsed="false">
      <c r="A262" s="9" t="n">
        <v>261</v>
      </c>
      <c r="B262" s="40" t="str">
        <f aca="false">IF($T$4=0,IF($I262="","",$I262),IFERROR(IF([2]财务取数接口!$B$261=0,"",[2]财务取数接口!$B$261),""))</f>
        <v/>
      </c>
      <c r="C262" s="39" t="str">
        <f aca="false">IF($T$4=0,IF($J262="","",$J262),IFERROR(IF([2]财务取数接口!$C$261=0,"",[2]财务取数接口!$C$261),""))</f>
        <v/>
      </c>
      <c r="D262" s="40" t="str">
        <f aca="false">IF($T$4=0,IF($K262="","",$K262),IFERROR(IF([2]财务取数接口!$D$261=0,"",[2]财务取数接口!$D$261),""))</f>
        <v/>
      </c>
      <c r="E262" s="40" t="str">
        <f aca="false">IF($T$4=0,IF($L262="","",$L262),IFERROR(IF([2]财务取数接口!$E$261=0,"",[2]财务取数接口!$E$261),""))</f>
        <v/>
      </c>
      <c r="F262" s="41" t="str">
        <f aca="false">IF($T$4=0,IF($M262="","",$M262),IFERROR(IF([2]财务取数接口!$G$261=0,"",[2]财务取数接口!$G$261),""))</f>
        <v/>
      </c>
      <c r="G262" s="41" t="str">
        <f aca="false">IF($T$4=0,IF($N262="","",$N262),IFERROR(IF([2]财务取数接口!$H$261=0,"",[2]财务取数接口!$H$261),""))</f>
        <v/>
      </c>
      <c r="H262" s="39" t="str">
        <f aca="false">IF($T$4=0,IF($O262="","",$O262),IFERROR(IF([2]财务取数接口!$I$261=0,"",[2]财务取数接口!$I$261),""))</f>
        <v/>
      </c>
      <c r="I262" s="42"/>
      <c r="J262" s="43"/>
      <c r="K262" s="42"/>
      <c r="L262" s="42"/>
      <c r="M262" s="44"/>
      <c r="N262" s="44"/>
      <c r="O262" s="43"/>
      <c r="P262" s="45" t="n">
        <f aca="false">IF(AND($C262&lt;&gt;"",$C262&lt;&gt;"项目",OR(N($D262)&lt;&gt;0,N($E262)&lt;&gt;0,N($F262)&lt;&gt;0)),1,0)</f>
        <v>0</v>
      </c>
      <c r="Q262" s="45" t="n">
        <f aca="false">N(Q261)+$P262</f>
        <v>5</v>
      </c>
    </row>
    <row r="263" customFormat="false" ht="13.5" hidden="false" customHeight="false" outlineLevel="0" collapsed="false">
      <c r="A263" s="9" t="n">
        <v>262</v>
      </c>
      <c r="B263" s="40" t="str">
        <f aca="false">IF($T$4=0,IF($I263="","",$I263),IFERROR(IF([2]财务取数接口!$B$262=0,"",[2]财务取数接口!$B$262),""))</f>
        <v/>
      </c>
      <c r="C263" s="39" t="str">
        <f aca="false">IF($T$4=0,IF($J263="","",$J263),IFERROR(IF([2]财务取数接口!$C$262=0,"",[2]财务取数接口!$C$262),""))</f>
        <v/>
      </c>
      <c r="D263" s="40" t="str">
        <f aca="false">IF($T$4=0,IF($K263="","",$K263),IFERROR(IF([2]财务取数接口!$D$262=0,"",[2]财务取数接口!$D$262),""))</f>
        <v/>
      </c>
      <c r="E263" s="40" t="str">
        <f aca="false">IF($T$4=0,IF($L263="","",$L263),IFERROR(IF([2]财务取数接口!$E$262=0,"",[2]财务取数接口!$E$262),""))</f>
        <v/>
      </c>
      <c r="F263" s="41" t="str">
        <f aca="false">IF($T$4=0,IF($M263="","",$M263),IFERROR(IF([2]财务取数接口!$G$262=0,"",[2]财务取数接口!$G$262),""))</f>
        <v/>
      </c>
      <c r="G263" s="41" t="str">
        <f aca="false">IF($T$4=0,IF($N263="","",$N263),IFERROR(IF([2]财务取数接口!$H$262=0,"",[2]财务取数接口!$H$262),""))</f>
        <v/>
      </c>
      <c r="H263" s="39" t="str">
        <f aca="false">IF($T$4=0,IF($O263="","",$O263),IFERROR(IF([2]财务取数接口!$I$262=0,"",[2]财务取数接口!$I$262),""))</f>
        <v/>
      </c>
      <c r="I263" s="42"/>
      <c r="J263" s="43"/>
      <c r="K263" s="42"/>
      <c r="L263" s="42"/>
      <c r="M263" s="44"/>
      <c r="N263" s="44"/>
      <c r="O263" s="43"/>
      <c r="P263" s="45" t="n">
        <f aca="false">IF(AND($C263&lt;&gt;"",$C263&lt;&gt;"项目",OR(N($D263)&lt;&gt;0,N($E263)&lt;&gt;0,N($F263)&lt;&gt;0)),1,0)</f>
        <v>0</v>
      </c>
      <c r="Q263" s="45" t="n">
        <f aca="false">N(Q262)+$P263</f>
        <v>5</v>
      </c>
    </row>
    <row r="264" customFormat="false" ht="13.5" hidden="false" customHeight="false" outlineLevel="0" collapsed="false">
      <c r="A264" s="9" t="n">
        <v>263</v>
      </c>
      <c r="B264" s="40" t="str">
        <f aca="false">IF($T$4=0,IF($I264="","",$I264),IFERROR(IF([2]财务取数接口!$B$263=0,"",[2]财务取数接口!$B$263),""))</f>
        <v/>
      </c>
      <c r="C264" s="39" t="str">
        <f aca="false">IF($T$4=0,IF($J264="","",$J264),IFERROR(IF([2]财务取数接口!$C$263=0,"",[2]财务取数接口!$C$263),""))</f>
        <v/>
      </c>
      <c r="D264" s="40" t="str">
        <f aca="false">IF($T$4=0,IF($K264="","",$K264),IFERROR(IF([2]财务取数接口!$D$263=0,"",[2]财务取数接口!$D$263),""))</f>
        <v/>
      </c>
      <c r="E264" s="40" t="str">
        <f aca="false">IF($T$4=0,IF($L264="","",$L264),IFERROR(IF([2]财务取数接口!$E$263=0,"",[2]财务取数接口!$E$263),""))</f>
        <v/>
      </c>
      <c r="F264" s="41" t="str">
        <f aca="false">IF($T$4=0,IF($M264="","",$M264),IFERROR(IF([2]财务取数接口!$G$263=0,"",[2]财务取数接口!$G$263),""))</f>
        <v/>
      </c>
      <c r="G264" s="41" t="str">
        <f aca="false">IF($T$4=0,IF($N264="","",$N264),IFERROR(IF([2]财务取数接口!$H$263=0,"",[2]财务取数接口!$H$263),""))</f>
        <v/>
      </c>
      <c r="H264" s="39" t="str">
        <f aca="false">IF($T$4=0,IF($O264="","",$O264),IFERROR(IF([2]财务取数接口!$I$263=0,"",[2]财务取数接口!$I$263),""))</f>
        <v/>
      </c>
      <c r="I264" s="42"/>
      <c r="J264" s="43"/>
      <c r="K264" s="42"/>
      <c r="L264" s="42"/>
      <c r="M264" s="44"/>
      <c r="N264" s="44"/>
      <c r="O264" s="43"/>
      <c r="P264" s="45" t="n">
        <f aca="false">IF(AND($C264&lt;&gt;"",$C264&lt;&gt;"项目",OR(N($D264)&lt;&gt;0,N($E264)&lt;&gt;0,N($F264)&lt;&gt;0)),1,0)</f>
        <v>0</v>
      </c>
      <c r="Q264" s="45" t="n">
        <f aca="false">N(Q263)+$P264</f>
        <v>5</v>
      </c>
    </row>
    <row r="265" customFormat="false" ht="13.5" hidden="false" customHeight="false" outlineLevel="0" collapsed="false">
      <c r="A265" s="9" t="n">
        <v>264</v>
      </c>
      <c r="B265" s="40" t="str">
        <f aca="false">IF($T$4=0,IF($I265="","",$I265),IFERROR(IF([2]财务取数接口!$B$264=0,"",[2]财务取数接口!$B$264),""))</f>
        <v/>
      </c>
      <c r="C265" s="39" t="str">
        <f aca="false">IF($T$4=0,IF($J265="","",$J265),IFERROR(IF([2]财务取数接口!$C$264=0,"",[2]财务取数接口!$C$264),""))</f>
        <v/>
      </c>
      <c r="D265" s="40" t="str">
        <f aca="false">IF($T$4=0,IF($K265="","",$K265),IFERROR(IF([2]财务取数接口!$D$264=0,"",[2]财务取数接口!$D$264),""))</f>
        <v/>
      </c>
      <c r="E265" s="40" t="str">
        <f aca="false">IF($T$4=0,IF($L265="","",$L265),IFERROR(IF([2]财务取数接口!$E$264=0,"",[2]财务取数接口!$E$264),""))</f>
        <v/>
      </c>
      <c r="F265" s="41" t="str">
        <f aca="false">IF($T$4=0,IF($M265="","",$M265),IFERROR(IF([2]财务取数接口!$G$264=0,"",[2]财务取数接口!$G$264),""))</f>
        <v/>
      </c>
      <c r="G265" s="41" t="str">
        <f aca="false">IF($T$4=0,IF($N265="","",$N265),IFERROR(IF([2]财务取数接口!$H$264=0,"",[2]财务取数接口!$H$264),""))</f>
        <v/>
      </c>
      <c r="H265" s="39" t="str">
        <f aca="false">IF($T$4=0,IF($O265="","",$O265),IFERROR(IF([2]财务取数接口!$I$264=0,"",[2]财务取数接口!$I$264),""))</f>
        <v/>
      </c>
      <c r="I265" s="42"/>
      <c r="J265" s="43"/>
      <c r="K265" s="42"/>
      <c r="L265" s="42"/>
      <c r="M265" s="44"/>
      <c r="N265" s="44"/>
      <c r="O265" s="43"/>
      <c r="P265" s="45" t="n">
        <f aca="false">IF(AND($C265&lt;&gt;"",$C265&lt;&gt;"项目",OR(N($D265)&lt;&gt;0,N($E265)&lt;&gt;0,N($F265)&lt;&gt;0)),1,0)</f>
        <v>0</v>
      </c>
      <c r="Q265" s="45" t="n">
        <f aca="false">N(Q264)+$P265</f>
        <v>5</v>
      </c>
    </row>
    <row r="266" customFormat="false" ht="13.5" hidden="false" customHeight="false" outlineLevel="0" collapsed="false">
      <c r="A266" s="9" t="n">
        <v>265</v>
      </c>
      <c r="B266" s="40" t="str">
        <f aca="false">IF($T$4=0,IF($I266="","",$I266),IFERROR(IF([2]财务取数接口!$B$265=0,"",[2]财务取数接口!$B$265),""))</f>
        <v/>
      </c>
      <c r="C266" s="39" t="str">
        <f aca="false">IF($T$4=0,IF($J266="","",$J266),IFERROR(IF([2]财务取数接口!$C$265=0,"",[2]财务取数接口!$C$265),""))</f>
        <v/>
      </c>
      <c r="D266" s="40" t="str">
        <f aca="false">IF($T$4=0,IF($K266="","",$K266),IFERROR(IF([2]财务取数接口!$D$265=0,"",[2]财务取数接口!$D$265),""))</f>
        <v/>
      </c>
      <c r="E266" s="40" t="str">
        <f aca="false">IF($T$4=0,IF($L266="","",$L266),IFERROR(IF([2]财务取数接口!$E$265=0,"",[2]财务取数接口!$E$265),""))</f>
        <v/>
      </c>
      <c r="F266" s="41" t="str">
        <f aca="false">IF($T$4=0,IF($M266="","",$M266),IFERROR(IF([2]财务取数接口!$G$265=0,"",[2]财务取数接口!$G$265),""))</f>
        <v/>
      </c>
      <c r="G266" s="41" t="str">
        <f aca="false">IF($T$4=0,IF($N266="","",$N266),IFERROR(IF([2]财务取数接口!$H$265=0,"",[2]财务取数接口!$H$265),""))</f>
        <v/>
      </c>
      <c r="H266" s="39" t="str">
        <f aca="false">IF($T$4=0,IF($O266="","",$O266),IFERROR(IF([2]财务取数接口!$I$265=0,"",[2]财务取数接口!$I$265),""))</f>
        <v/>
      </c>
      <c r="I266" s="42"/>
      <c r="J266" s="43"/>
      <c r="K266" s="42"/>
      <c r="L266" s="42"/>
      <c r="M266" s="44"/>
      <c r="N266" s="44"/>
      <c r="O266" s="43"/>
      <c r="P266" s="45" t="n">
        <f aca="false">IF(AND($C266&lt;&gt;"",$C266&lt;&gt;"项目",OR(N($D266)&lt;&gt;0,N($E266)&lt;&gt;0,N($F266)&lt;&gt;0)),1,0)</f>
        <v>0</v>
      </c>
      <c r="Q266" s="45" t="n">
        <f aca="false">N(Q265)+$P266</f>
        <v>5</v>
      </c>
    </row>
    <row r="267" customFormat="false" ht="13.5" hidden="false" customHeight="false" outlineLevel="0" collapsed="false">
      <c r="A267" s="9" t="n">
        <v>266</v>
      </c>
      <c r="B267" s="40" t="str">
        <f aca="false">IF($T$4=0,IF($I267="","",$I267),IFERROR(IF([2]财务取数接口!$B$266=0,"",[2]财务取数接口!$B$266),""))</f>
        <v/>
      </c>
      <c r="C267" s="39" t="str">
        <f aca="false">IF($T$4=0,IF($J267="","",$J267),IFERROR(IF([2]财务取数接口!$C$266=0,"",[2]财务取数接口!$C$266),""))</f>
        <v/>
      </c>
      <c r="D267" s="40" t="str">
        <f aca="false">IF($T$4=0,IF($K267="","",$K267),IFERROR(IF([2]财务取数接口!$D$266=0,"",[2]财务取数接口!$D$266),""))</f>
        <v/>
      </c>
      <c r="E267" s="40" t="str">
        <f aca="false">IF($T$4=0,IF($L267="","",$L267),IFERROR(IF([2]财务取数接口!$E$266=0,"",[2]财务取数接口!$E$266),""))</f>
        <v/>
      </c>
      <c r="F267" s="41" t="str">
        <f aca="false">IF($T$4=0,IF($M267="","",$M267),IFERROR(IF([2]财务取数接口!$G$266=0,"",[2]财务取数接口!$G$266),""))</f>
        <v/>
      </c>
      <c r="G267" s="41" t="str">
        <f aca="false">IF($T$4=0,IF($N267="","",$N267),IFERROR(IF([2]财务取数接口!$H$266=0,"",[2]财务取数接口!$H$266),""))</f>
        <v/>
      </c>
      <c r="H267" s="39" t="str">
        <f aca="false">IF($T$4=0,IF($O267="","",$O267),IFERROR(IF([2]财务取数接口!$I$266=0,"",[2]财务取数接口!$I$266),""))</f>
        <v/>
      </c>
      <c r="I267" s="42"/>
      <c r="J267" s="43"/>
      <c r="K267" s="42"/>
      <c r="L267" s="42"/>
      <c r="M267" s="44"/>
      <c r="N267" s="44"/>
      <c r="O267" s="43"/>
      <c r="P267" s="45" t="n">
        <f aca="false">IF(AND($C267&lt;&gt;"",$C267&lt;&gt;"项目",OR(N($D267)&lt;&gt;0,N($E267)&lt;&gt;0,N($F267)&lt;&gt;0)),1,0)</f>
        <v>0</v>
      </c>
      <c r="Q267" s="45" t="n">
        <f aca="false">N(Q266)+$P267</f>
        <v>5</v>
      </c>
    </row>
    <row r="268" customFormat="false" ht="13.5" hidden="false" customHeight="false" outlineLevel="0" collapsed="false">
      <c r="A268" s="9" t="n">
        <v>267</v>
      </c>
      <c r="B268" s="40" t="str">
        <f aca="false">IF($T$4=0,IF($I268="","",$I268),IFERROR(IF([2]财务取数接口!$B$267=0,"",[2]财务取数接口!$B$267),""))</f>
        <v/>
      </c>
      <c r="C268" s="39" t="str">
        <f aca="false">IF($T$4=0,IF($J268="","",$J268),IFERROR(IF([2]财务取数接口!$C$267=0,"",[2]财务取数接口!$C$267),""))</f>
        <v/>
      </c>
      <c r="D268" s="40" t="str">
        <f aca="false">IF($T$4=0,IF($K268="","",$K268),IFERROR(IF([2]财务取数接口!$D$267=0,"",[2]财务取数接口!$D$267),""))</f>
        <v/>
      </c>
      <c r="E268" s="40" t="str">
        <f aca="false">IF($T$4=0,IF($L268="","",$L268),IFERROR(IF([2]财务取数接口!$E$267=0,"",[2]财务取数接口!$E$267),""))</f>
        <v/>
      </c>
      <c r="F268" s="41" t="str">
        <f aca="false">IF($T$4=0,IF($M268="","",$M268),IFERROR(IF([2]财务取数接口!$G$267=0,"",[2]财务取数接口!$G$267),""))</f>
        <v/>
      </c>
      <c r="G268" s="41" t="str">
        <f aca="false">IF($T$4=0,IF($N268="","",$N268),IFERROR(IF([2]财务取数接口!$H$267=0,"",[2]财务取数接口!$H$267),""))</f>
        <v/>
      </c>
      <c r="H268" s="39" t="str">
        <f aca="false">IF($T$4=0,IF($O268="","",$O268),IFERROR(IF([2]财务取数接口!$I$267=0,"",[2]财务取数接口!$I$267),""))</f>
        <v/>
      </c>
      <c r="I268" s="42"/>
      <c r="J268" s="43"/>
      <c r="K268" s="42"/>
      <c r="L268" s="42"/>
      <c r="M268" s="44"/>
      <c r="N268" s="44"/>
      <c r="O268" s="43"/>
      <c r="P268" s="45" t="n">
        <f aca="false">IF(AND($C268&lt;&gt;"",$C268&lt;&gt;"项目",OR(N($D268)&lt;&gt;0,N($E268)&lt;&gt;0,N($F268)&lt;&gt;0)),1,0)</f>
        <v>0</v>
      </c>
      <c r="Q268" s="45" t="n">
        <f aca="false">N(Q267)+$P268</f>
        <v>5</v>
      </c>
    </row>
    <row r="269" customFormat="false" ht="13.5" hidden="false" customHeight="false" outlineLevel="0" collapsed="false">
      <c r="A269" s="9" t="n">
        <v>268</v>
      </c>
      <c r="B269" s="40" t="str">
        <f aca="false">IF($T$4=0,IF($I269="","",$I269),IFERROR(IF([2]财务取数接口!$B$268=0,"",[2]财务取数接口!$B$268),""))</f>
        <v/>
      </c>
      <c r="C269" s="39" t="str">
        <f aca="false">IF($T$4=0,IF($J269="","",$J269),IFERROR(IF([2]财务取数接口!$C$268=0,"",[2]财务取数接口!$C$268),""))</f>
        <v/>
      </c>
      <c r="D269" s="40" t="str">
        <f aca="false">IF($T$4=0,IF($K269="","",$K269),IFERROR(IF([2]财务取数接口!$D$268=0,"",[2]财务取数接口!$D$268),""))</f>
        <v/>
      </c>
      <c r="E269" s="40" t="str">
        <f aca="false">IF($T$4=0,IF($L269="","",$L269),IFERROR(IF([2]财务取数接口!$E$268=0,"",[2]财务取数接口!$E$268),""))</f>
        <v/>
      </c>
      <c r="F269" s="41" t="str">
        <f aca="false">IF($T$4=0,IF($M269="","",$M269),IFERROR(IF([2]财务取数接口!$G$268=0,"",[2]财务取数接口!$G$268),""))</f>
        <v/>
      </c>
      <c r="G269" s="41" t="str">
        <f aca="false">IF($T$4=0,IF($N269="","",$N269),IFERROR(IF([2]财务取数接口!$H$268=0,"",[2]财务取数接口!$H$268),""))</f>
        <v/>
      </c>
      <c r="H269" s="39" t="str">
        <f aca="false">IF($T$4=0,IF($O269="","",$O269),IFERROR(IF([2]财务取数接口!$I$268=0,"",[2]财务取数接口!$I$268),""))</f>
        <v/>
      </c>
      <c r="I269" s="42"/>
      <c r="J269" s="43"/>
      <c r="K269" s="42"/>
      <c r="L269" s="42"/>
      <c r="M269" s="44"/>
      <c r="N269" s="44"/>
      <c r="O269" s="43"/>
      <c r="P269" s="45" t="n">
        <f aca="false">IF(AND($C269&lt;&gt;"",$C269&lt;&gt;"项目",OR(N($D269)&lt;&gt;0,N($E269)&lt;&gt;0,N($F269)&lt;&gt;0)),1,0)</f>
        <v>0</v>
      </c>
      <c r="Q269" s="45" t="n">
        <f aca="false">N(Q268)+$P269</f>
        <v>5</v>
      </c>
    </row>
    <row r="270" customFormat="false" ht="13.5" hidden="false" customHeight="false" outlineLevel="0" collapsed="false">
      <c r="A270" s="9" t="n">
        <v>269</v>
      </c>
      <c r="B270" s="40" t="str">
        <f aca="false">IF($T$4=0,IF($I270="","",$I270),IFERROR(IF([2]财务取数接口!$B$269=0,"",[2]财务取数接口!$B$269),""))</f>
        <v/>
      </c>
      <c r="C270" s="39" t="str">
        <f aca="false">IF($T$4=0,IF($J270="","",$J270),IFERROR(IF([2]财务取数接口!$C$269=0,"",[2]财务取数接口!$C$269),""))</f>
        <v/>
      </c>
      <c r="D270" s="40" t="str">
        <f aca="false">IF($T$4=0,IF($K270="","",$K270),IFERROR(IF([2]财务取数接口!$D$269=0,"",[2]财务取数接口!$D$269),""))</f>
        <v/>
      </c>
      <c r="E270" s="40" t="str">
        <f aca="false">IF($T$4=0,IF($L270="","",$L270),IFERROR(IF([2]财务取数接口!$E$269=0,"",[2]财务取数接口!$E$269),""))</f>
        <v/>
      </c>
      <c r="F270" s="41" t="str">
        <f aca="false">IF($T$4=0,IF($M270="","",$M270),IFERROR(IF([2]财务取数接口!$G$269=0,"",[2]财务取数接口!$G$269),""))</f>
        <v/>
      </c>
      <c r="G270" s="41" t="str">
        <f aca="false">IF($T$4=0,IF($N270="","",$N270),IFERROR(IF([2]财务取数接口!$H$269=0,"",[2]财务取数接口!$H$269),""))</f>
        <v/>
      </c>
      <c r="H270" s="39" t="str">
        <f aca="false">IF($T$4=0,IF($O270="","",$O270),IFERROR(IF([2]财务取数接口!$I$269=0,"",[2]财务取数接口!$I$269),""))</f>
        <v/>
      </c>
      <c r="I270" s="42"/>
      <c r="J270" s="43"/>
      <c r="K270" s="42"/>
      <c r="L270" s="42"/>
      <c r="M270" s="44"/>
      <c r="N270" s="44"/>
      <c r="O270" s="43"/>
      <c r="P270" s="45" t="n">
        <f aca="false">IF(AND($C270&lt;&gt;"",$C270&lt;&gt;"项目",OR(N($D270)&lt;&gt;0,N($E270)&lt;&gt;0,N($F270)&lt;&gt;0)),1,0)</f>
        <v>0</v>
      </c>
      <c r="Q270" s="45" t="n">
        <f aca="false">N(Q269)+$P270</f>
        <v>5</v>
      </c>
    </row>
    <row r="271" customFormat="false" ht="13.5" hidden="false" customHeight="false" outlineLevel="0" collapsed="false">
      <c r="A271" s="9" t="n">
        <v>270</v>
      </c>
      <c r="B271" s="40" t="str">
        <f aca="false">IF($T$4=0,IF($I271="","",$I271),IFERROR(IF([2]财务取数接口!$B$270=0,"",[2]财务取数接口!$B$270),""))</f>
        <v/>
      </c>
      <c r="C271" s="39" t="str">
        <f aca="false">IF($T$4=0,IF($J271="","",$J271),IFERROR(IF([2]财务取数接口!$C$270=0,"",[2]财务取数接口!$C$270),""))</f>
        <v/>
      </c>
      <c r="D271" s="40" t="str">
        <f aca="false">IF($T$4=0,IF($K271="","",$K271),IFERROR(IF([2]财务取数接口!$D$270=0,"",[2]财务取数接口!$D$270),""))</f>
        <v/>
      </c>
      <c r="E271" s="40" t="str">
        <f aca="false">IF($T$4=0,IF($L271="","",$L271),IFERROR(IF([2]财务取数接口!$E$270=0,"",[2]财务取数接口!$E$270),""))</f>
        <v/>
      </c>
      <c r="F271" s="41" t="str">
        <f aca="false">IF($T$4=0,IF($M271="","",$M271),IFERROR(IF([2]财务取数接口!$G$270=0,"",[2]财务取数接口!$G$270),""))</f>
        <v/>
      </c>
      <c r="G271" s="41" t="str">
        <f aca="false">IF($T$4=0,IF($N271="","",$N271),IFERROR(IF([2]财务取数接口!$H$270=0,"",[2]财务取数接口!$H$270),""))</f>
        <v/>
      </c>
      <c r="H271" s="39" t="str">
        <f aca="false">IF($T$4=0,IF($O271="","",$O271),IFERROR(IF([2]财务取数接口!$I$270=0,"",[2]财务取数接口!$I$270),""))</f>
        <v/>
      </c>
      <c r="I271" s="42"/>
      <c r="J271" s="43"/>
      <c r="K271" s="42"/>
      <c r="L271" s="42"/>
      <c r="M271" s="44"/>
      <c r="N271" s="44"/>
      <c r="O271" s="43"/>
      <c r="P271" s="45" t="n">
        <f aca="false">IF(AND($C271&lt;&gt;"",$C271&lt;&gt;"项目",OR(N($D271)&lt;&gt;0,N($E271)&lt;&gt;0,N($F271)&lt;&gt;0)),1,0)</f>
        <v>0</v>
      </c>
      <c r="Q271" s="45" t="n">
        <f aca="false">N(Q270)+$P271</f>
        <v>5</v>
      </c>
    </row>
    <row r="272" customFormat="false" ht="13.5" hidden="false" customHeight="false" outlineLevel="0" collapsed="false">
      <c r="A272" s="9" t="n">
        <v>271</v>
      </c>
      <c r="B272" s="40" t="str">
        <f aca="false">IF($T$4=0,IF($I272="","",$I272),IFERROR(IF([2]财务取数接口!$B$271=0,"",[2]财务取数接口!$B$271),""))</f>
        <v/>
      </c>
      <c r="C272" s="39" t="str">
        <f aca="false">IF($T$4=0,IF($J272="","",$J272),IFERROR(IF([2]财务取数接口!$C$271=0,"",[2]财务取数接口!$C$271),""))</f>
        <v/>
      </c>
      <c r="D272" s="40" t="str">
        <f aca="false">IF($T$4=0,IF($K272="","",$K272),IFERROR(IF([2]财务取数接口!$D$271=0,"",[2]财务取数接口!$D$271),""))</f>
        <v/>
      </c>
      <c r="E272" s="40" t="str">
        <f aca="false">IF($T$4=0,IF($L272="","",$L272),IFERROR(IF([2]财务取数接口!$E$271=0,"",[2]财务取数接口!$E$271),""))</f>
        <v/>
      </c>
      <c r="F272" s="41" t="str">
        <f aca="false">IF($T$4=0,IF($M272="","",$M272),IFERROR(IF([2]财务取数接口!$G$271=0,"",[2]财务取数接口!$G$271),""))</f>
        <v/>
      </c>
      <c r="G272" s="41" t="str">
        <f aca="false">IF($T$4=0,IF($N272="","",$N272),IFERROR(IF([2]财务取数接口!$H$271=0,"",[2]财务取数接口!$H$271),""))</f>
        <v/>
      </c>
      <c r="H272" s="39" t="str">
        <f aca="false">IF($T$4=0,IF($O272="","",$O272),IFERROR(IF([2]财务取数接口!$I$271=0,"",[2]财务取数接口!$I$271),""))</f>
        <v/>
      </c>
      <c r="I272" s="42"/>
      <c r="J272" s="43"/>
      <c r="K272" s="42"/>
      <c r="L272" s="42"/>
      <c r="M272" s="44"/>
      <c r="N272" s="44"/>
      <c r="O272" s="43"/>
      <c r="P272" s="45" t="n">
        <f aca="false">IF(AND($C272&lt;&gt;"",$C272&lt;&gt;"项目",OR(N($D272)&lt;&gt;0,N($E272)&lt;&gt;0,N($F272)&lt;&gt;0)),1,0)</f>
        <v>0</v>
      </c>
      <c r="Q272" s="45" t="n">
        <f aca="false">N(Q271)+$P272</f>
        <v>5</v>
      </c>
    </row>
    <row r="273" customFormat="false" ht="13.5" hidden="false" customHeight="false" outlineLevel="0" collapsed="false">
      <c r="A273" s="9" t="n">
        <v>272</v>
      </c>
      <c r="B273" s="40" t="str">
        <f aca="false">IF($T$4=0,IF($I273="","",$I273),IFERROR(IF([2]财务取数接口!$B$272=0,"",[2]财务取数接口!$B$272),""))</f>
        <v/>
      </c>
      <c r="C273" s="39" t="str">
        <f aca="false">IF($T$4=0,IF($J273="","",$J273),IFERROR(IF([2]财务取数接口!$C$272=0,"",[2]财务取数接口!$C$272),""))</f>
        <v/>
      </c>
      <c r="D273" s="40" t="str">
        <f aca="false">IF($T$4=0,IF($K273="","",$K273),IFERROR(IF([2]财务取数接口!$D$272=0,"",[2]财务取数接口!$D$272),""))</f>
        <v/>
      </c>
      <c r="E273" s="40" t="str">
        <f aca="false">IF($T$4=0,IF($L273="","",$L273),IFERROR(IF([2]财务取数接口!$E$272=0,"",[2]财务取数接口!$E$272),""))</f>
        <v/>
      </c>
      <c r="F273" s="41" t="str">
        <f aca="false">IF($T$4=0,IF($M273="","",$M273),IFERROR(IF([2]财务取数接口!$G$272=0,"",[2]财务取数接口!$G$272),""))</f>
        <v/>
      </c>
      <c r="G273" s="41" t="str">
        <f aca="false">IF($T$4=0,IF($N273="","",$N273),IFERROR(IF([2]财务取数接口!$H$272=0,"",[2]财务取数接口!$H$272),""))</f>
        <v/>
      </c>
      <c r="H273" s="39" t="str">
        <f aca="false">IF($T$4=0,IF($O273="","",$O273),IFERROR(IF([2]财务取数接口!$I$272=0,"",[2]财务取数接口!$I$272),""))</f>
        <v/>
      </c>
      <c r="I273" s="42"/>
      <c r="J273" s="43"/>
      <c r="K273" s="42"/>
      <c r="L273" s="42"/>
      <c r="M273" s="44"/>
      <c r="N273" s="44"/>
      <c r="O273" s="43"/>
      <c r="P273" s="45" t="n">
        <f aca="false">IF(AND($C273&lt;&gt;"",$C273&lt;&gt;"项目",OR(N($D273)&lt;&gt;0,N($E273)&lt;&gt;0,N($F273)&lt;&gt;0)),1,0)</f>
        <v>0</v>
      </c>
      <c r="Q273" s="45" t="n">
        <f aca="false">N(Q272)+$P273</f>
        <v>5</v>
      </c>
    </row>
    <row r="274" customFormat="false" ht="13.5" hidden="false" customHeight="false" outlineLevel="0" collapsed="false">
      <c r="A274" s="9" t="n">
        <v>273</v>
      </c>
      <c r="B274" s="40" t="str">
        <f aca="false">IF($T$4=0,IF($I274="","",$I274),IFERROR(IF([2]财务取数接口!$B$273=0,"",[2]财务取数接口!$B$273),""))</f>
        <v/>
      </c>
      <c r="C274" s="39" t="str">
        <f aca="false">IF($T$4=0,IF($J274="","",$J274),IFERROR(IF([2]财务取数接口!$C$273=0,"",[2]财务取数接口!$C$273),""))</f>
        <v/>
      </c>
      <c r="D274" s="40" t="str">
        <f aca="false">IF($T$4=0,IF($K274="","",$K274),IFERROR(IF([2]财务取数接口!$D$273=0,"",[2]财务取数接口!$D$273),""))</f>
        <v/>
      </c>
      <c r="E274" s="40" t="str">
        <f aca="false">IF($T$4=0,IF($L274="","",$L274),IFERROR(IF([2]财务取数接口!$E$273=0,"",[2]财务取数接口!$E$273),""))</f>
        <v/>
      </c>
      <c r="F274" s="41" t="str">
        <f aca="false">IF($T$4=0,IF($M274="","",$M274),IFERROR(IF([2]财务取数接口!$G$273=0,"",[2]财务取数接口!$G$273),""))</f>
        <v/>
      </c>
      <c r="G274" s="41" t="str">
        <f aca="false">IF($T$4=0,IF($N274="","",$N274),IFERROR(IF([2]财务取数接口!$H$273=0,"",[2]财务取数接口!$H$273),""))</f>
        <v/>
      </c>
      <c r="H274" s="39" t="str">
        <f aca="false">IF($T$4=0,IF($O274="","",$O274),IFERROR(IF([2]财务取数接口!$I$273=0,"",[2]财务取数接口!$I$273),""))</f>
        <v/>
      </c>
      <c r="I274" s="42"/>
      <c r="J274" s="43"/>
      <c r="K274" s="42"/>
      <c r="L274" s="42"/>
      <c r="M274" s="44"/>
      <c r="N274" s="44"/>
      <c r="O274" s="43"/>
      <c r="P274" s="45" t="n">
        <f aca="false">IF(AND($C274&lt;&gt;"",$C274&lt;&gt;"项目",OR(N($D274)&lt;&gt;0,N($E274)&lt;&gt;0,N($F274)&lt;&gt;0)),1,0)</f>
        <v>0</v>
      </c>
      <c r="Q274" s="45" t="n">
        <f aca="false">N(Q273)+$P274</f>
        <v>5</v>
      </c>
    </row>
    <row r="275" customFormat="false" ht="13.5" hidden="false" customHeight="false" outlineLevel="0" collapsed="false">
      <c r="A275" s="9" t="n">
        <v>274</v>
      </c>
      <c r="B275" s="40" t="str">
        <f aca="false">IF($T$4=0,IF($I275="","",$I275),IFERROR(IF([2]财务取数接口!$B$274=0,"",[2]财务取数接口!$B$274),""))</f>
        <v/>
      </c>
      <c r="C275" s="39" t="str">
        <f aca="false">IF($T$4=0,IF($J275="","",$J275),IFERROR(IF([2]财务取数接口!$C$274=0,"",[2]财务取数接口!$C$274),""))</f>
        <v/>
      </c>
      <c r="D275" s="40" t="str">
        <f aca="false">IF($T$4=0,IF($K275="","",$K275),IFERROR(IF([2]财务取数接口!$D$274=0,"",[2]财务取数接口!$D$274),""))</f>
        <v/>
      </c>
      <c r="E275" s="40" t="str">
        <f aca="false">IF($T$4=0,IF($L275="","",$L275),IFERROR(IF([2]财务取数接口!$E$274=0,"",[2]财务取数接口!$E$274),""))</f>
        <v/>
      </c>
      <c r="F275" s="41" t="str">
        <f aca="false">IF($T$4=0,IF($M275="","",$M275),IFERROR(IF([2]财务取数接口!$G$274=0,"",[2]财务取数接口!$G$274),""))</f>
        <v/>
      </c>
      <c r="G275" s="41" t="str">
        <f aca="false">IF($T$4=0,IF($N275="","",$N275),IFERROR(IF([2]财务取数接口!$H$274=0,"",[2]财务取数接口!$H$274),""))</f>
        <v/>
      </c>
      <c r="H275" s="39" t="str">
        <f aca="false">IF($T$4=0,IF($O275="","",$O275),IFERROR(IF([2]财务取数接口!$I$274=0,"",[2]财务取数接口!$I$274),""))</f>
        <v/>
      </c>
      <c r="I275" s="42"/>
      <c r="J275" s="43"/>
      <c r="K275" s="42"/>
      <c r="L275" s="42"/>
      <c r="M275" s="44"/>
      <c r="N275" s="44"/>
      <c r="O275" s="43"/>
      <c r="P275" s="45" t="n">
        <f aca="false">IF(AND($C275&lt;&gt;"",$C275&lt;&gt;"项目",OR(N($D275)&lt;&gt;0,N($E275)&lt;&gt;0,N($F275)&lt;&gt;0)),1,0)</f>
        <v>0</v>
      </c>
      <c r="Q275" s="45" t="n">
        <f aca="false">N(Q274)+$P275</f>
        <v>5</v>
      </c>
    </row>
    <row r="276" customFormat="false" ht="13.5" hidden="false" customHeight="false" outlineLevel="0" collapsed="false">
      <c r="A276" s="9" t="n">
        <v>275</v>
      </c>
      <c r="B276" s="40" t="str">
        <f aca="false">IF($T$4=0,IF($I276="","",$I276),IFERROR(IF([2]财务取数接口!$B$275=0,"",[2]财务取数接口!$B$275),""))</f>
        <v/>
      </c>
      <c r="C276" s="39" t="str">
        <f aca="false">IF($T$4=0,IF($J276="","",$J276),IFERROR(IF([2]财务取数接口!$C$275=0,"",[2]财务取数接口!$C$275),""))</f>
        <v/>
      </c>
      <c r="D276" s="40" t="str">
        <f aca="false">IF($T$4=0,IF($K276="","",$K276),IFERROR(IF([2]财务取数接口!$D$275=0,"",[2]财务取数接口!$D$275),""))</f>
        <v/>
      </c>
      <c r="E276" s="40" t="str">
        <f aca="false">IF($T$4=0,IF($L276="","",$L276),IFERROR(IF([2]财务取数接口!$E$275=0,"",[2]财务取数接口!$E$275),""))</f>
        <v/>
      </c>
      <c r="F276" s="41" t="str">
        <f aca="false">IF($T$4=0,IF($M276="","",$M276),IFERROR(IF([2]财务取数接口!$G$275=0,"",[2]财务取数接口!$G$275),""))</f>
        <v/>
      </c>
      <c r="G276" s="41" t="str">
        <f aca="false">IF($T$4=0,IF($N276="","",$N276),IFERROR(IF([2]财务取数接口!$H$275=0,"",[2]财务取数接口!$H$275),""))</f>
        <v/>
      </c>
      <c r="H276" s="39" t="str">
        <f aca="false">IF($T$4=0,IF($O276="","",$O276),IFERROR(IF([2]财务取数接口!$I$275=0,"",[2]财务取数接口!$I$275),""))</f>
        <v/>
      </c>
      <c r="I276" s="42"/>
      <c r="J276" s="43"/>
      <c r="K276" s="42"/>
      <c r="L276" s="42"/>
      <c r="M276" s="44"/>
      <c r="N276" s="44"/>
      <c r="O276" s="43"/>
      <c r="P276" s="45" t="n">
        <f aca="false">IF(AND($C276&lt;&gt;"",$C276&lt;&gt;"项目",OR(N($D276)&lt;&gt;0,N($E276)&lt;&gt;0,N($F276)&lt;&gt;0)),1,0)</f>
        <v>0</v>
      </c>
      <c r="Q276" s="45" t="n">
        <f aca="false">N(Q275)+$P276</f>
        <v>5</v>
      </c>
    </row>
    <row r="277" customFormat="false" ht="13.5" hidden="false" customHeight="false" outlineLevel="0" collapsed="false">
      <c r="A277" s="9" t="n">
        <v>276</v>
      </c>
      <c r="B277" s="40" t="str">
        <f aca="false">IF($T$4=0,IF($I277="","",$I277),IFERROR(IF([2]财务取数接口!$B$276=0,"",[2]财务取数接口!$B$276),""))</f>
        <v/>
      </c>
      <c r="C277" s="39" t="str">
        <f aca="false">IF($T$4=0,IF($J277="","",$J277),IFERROR(IF([2]财务取数接口!$C$276=0,"",[2]财务取数接口!$C$276),""))</f>
        <v/>
      </c>
      <c r="D277" s="40" t="str">
        <f aca="false">IF($T$4=0,IF($K277="","",$K277),IFERROR(IF([2]财务取数接口!$D$276=0,"",[2]财务取数接口!$D$276),""))</f>
        <v/>
      </c>
      <c r="E277" s="40" t="str">
        <f aca="false">IF($T$4=0,IF($L277="","",$L277),IFERROR(IF([2]财务取数接口!$E$276=0,"",[2]财务取数接口!$E$276),""))</f>
        <v/>
      </c>
      <c r="F277" s="41" t="str">
        <f aca="false">IF($T$4=0,IF($M277="","",$M277),IFERROR(IF([2]财务取数接口!$G$276=0,"",[2]财务取数接口!$G$276),""))</f>
        <v/>
      </c>
      <c r="G277" s="41" t="str">
        <f aca="false">IF($T$4=0,IF($N277="","",$N277),IFERROR(IF([2]财务取数接口!$H$276=0,"",[2]财务取数接口!$H$276),""))</f>
        <v/>
      </c>
      <c r="H277" s="39" t="str">
        <f aca="false">IF($T$4=0,IF($O277="","",$O277),IFERROR(IF([2]财务取数接口!$I$276=0,"",[2]财务取数接口!$I$276),""))</f>
        <v/>
      </c>
      <c r="I277" s="42"/>
      <c r="J277" s="43"/>
      <c r="K277" s="42"/>
      <c r="L277" s="42"/>
      <c r="M277" s="44"/>
      <c r="N277" s="44"/>
      <c r="O277" s="43"/>
      <c r="P277" s="45" t="n">
        <f aca="false">IF(AND($C277&lt;&gt;"",$C277&lt;&gt;"项目",OR(N($D277)&lt;&gt;0,N($E277)&lt;&gt;0,N($F277)&lt;&gt;0)),1,0)</f>
        <v>0</v>
      </c>
      <c r="Q277" s="45" t="n">
        <f aca="false">N(Q276)+$P277</f>
        <v>5</v>
      </c>
    </row>
    <row r="278" customFormat="false" ht="13.5" hidden="false" customHeight="false" outlineLevel="0" collapsed="false">
      <c r="A278" s="9" t="n">
        <v>277</v>
      </c>
      <c r="B278" s="40" t="str">
        <f aca="false">IF($T$4=0,IF($I278="","",$I278),IFERROR(IF([2]财务取数接口!$B$277=0,"",[2]财务取数接口!$B$277),""))</f>
        <v/>
      </c>
      <c r="C278" s="39" t="str">
        <f aca="false">IF($T$4=0,IF($J278="","",$J278),IFERROR(IF([2]财务取数接口!$C$277=0,"",[2]财务取数接口!$C$277),""))</f>
        <v/>
      </c>
      <c r="D278" s="40" t="str">
        <f aca="false">IF($T$4=0,IF($K278="","",$K278),IFERROR(IF([2]财务取数接口!$D$277=0,"",[2]财务取数接口!$D$277),""))</f>
        <v/>
      </c>
      <c r="E278" s="40" t="str">
        <f aca="false">IF($T$4=0,IF($L278="","",$L278),IFERROR(IF([2]财务取数接口!$E$277=0,"",[2]财务取数接口!$E$277),""))</f>
        <v/>
      </c>
      <c r="F278" s="41" t="str">
        <f aca="false">IF($T$4=0,IF($M278="","",$M278),IFERROR(IF([2]财务取数接口!$G$277=0,"",[2]财务取数接口!$G$277),""))</f>
        <v/>
      </c>
      <c r="G278" s="41" t="str">
        <f aca="false">IF($T$4=0,IF($N278="","",$N278),IFERROR(IF([2]财务取数接口!$H$277=0,"",[2]财务取数接口!$H$277),""))</f>
        <v/>
      </c>
      <c r="H278" s="39" t="str">
        <f aca="false">IF($T$4=0,IF($O278="","",$O278),IFERROR(IF([2]财务取数接口!$I$277=0,"",[2]财务取数接口!$I$277),""))</f>
        <v/>
      </c>
      <c r="I278" s="42"/>
      <c r="J278" s="43"/>
      <c r="K278" s="42"/>
      <c r="L278" s="42"/>
      <c r="M278" s="44"/>
      <c r="N278" s="44"/>
      <c r="O278" s="43"/>
      <c r="P278" s="45" t="n">
        <f aca="false">IF(AND($C278&lt;&gt;"",$C278&lt;&gt;"项目",OR(N($D278)&lt;&gt;0,N($E278)&lt;&gt;0,N($F278)&lt;&gt;0)),1,0)</f>
        <v>0</v>
      </c>
      <c r="Q278" s="45" t="n">
        <f aca="false">N(Q277)+$P278</f>
        <v>5</v>
      </c>
    </row>
    <row r="279" customFormat="false" ht="13.5" hidden="false" customHeight="false" outlineLevel="0" collapsed="false">
      <c r="A279" s="9" t="n">
        <v>278</v>
      </c>
      <c r="B279" s="40" t="str">
        <f aca="false">IF($T$4=0,IF($I279="","",$I279),IFERROR(IF([2]财务取数接口!$B$278=0,"",[2]财务取数接口!$B$278),""))</f>
        <v/>
      </c>
      <c r="C279" s="39" t="str">
        <f aca="false">IF($T$4=0,IF($J279="","",$J279),IFERROR(IF([2]财务取数接口!$C$278=0,"",[2]财务取数接口!$C$278),""))</f>
        <v/>
      </c>
      <c r="D279" s="40" t="str">
        <f aca="false">IF($T$4=0,IF($K279="","",$K279),IFERROR(IF([2]财务取数接口!$D$278=0,"",[2]财务取数接口!$D$278),""))</f>
        <v/>
      </c>
      <c r="E279" s="40" t="str">
        <f aca="false">IF($T$4=0,IF($L279="","",$L279),IFERROR(IF([2]财务取数接口!$E$278=0,"",[2]财务取数接口!$E$278),""))</f>
        <v/>
      </c>
      <c r="F279" s="41" t="str">
        <f aca="false">IF($T$4=0,IF($M279="","",$M279),IFERROR(IF([2]财务取数接口!$G$278=0,"",[2]财务取数接口!$G$278),""))</f>
        <v/>
      </c>
      <c r="G279" s="41" t="str">
        <f aca="false">IF($T$4=0,IF($N279="","",$N279),IFERROR(IF([2]财务取数接口!$H$278=0,"",[2]财务取数接口!$H$278),""))</f>
        <v/>
      </c>
      <c r="H279" s="39" t="str">
        <f aca="false">IF($T$4=0,IF($O279="","",$O279),IFERROR(IF([2]财务取数接口!$I$278=0,"",[2]财务取数接口!$I$278),""))</f>
        <v/>
      </c>
      <c r="I279" s="42"/>
      <c r="J279" s="43"/>
      <c r="K279" s="42"/>
      <c r="L279" s="42"/>
      <c r="M279" s="44"/>
      <c r="N279" s="44"/>
      <c r="O279" s="43"/>
      <c r="P279" s="45" t="n">
        <f aca="false">IF(AND($C279&lt;&gt;"",$C279&lt;&gt;"项目",OR(N($D279)&lt;&gt;0,N($E279)&lt;&gt;0,N($F279)&lt;&gt;0)),1,0)</f>
        <v>0</v>
      </c>
      <c r="Q279" s="45" t="n">
        <f aca="false">N(Q278)+$P279</f>
        <v>5</v>
      </c>
    </row>
    <row r="280" customFormat="false" ht="13.5" hidden="false" customHeight="false" outlineLevel="0" collapsed="false">
      <c r="A280" s="9" t="n">
        <v>279</v>
      </c>
      <c r="B280" s="40" t="str">
        <f aca="false">IF($T$4=0,IF($I280="","",$I280),IFERROR(IF([2]财务取数接口!$B$279=0,"",[2]财务取数接口!$B$279),""))</f>
        <v/>
      </c>
      <c r="C280" s="39" t="str">
        <f aca="false">IF($T$4=0,IF($J280="","",$J280),IFERROR(IF([2]财务取数接口!$C$279=0,"",[2]财务取数接口!$C$279),""))</f>
        <v/>
      </c>
      <c r="D280" s="40" t="str">
        <f aca="false">IF($T$4=0,IF($K280="","",$K280),IFERROR(IF([2]财务取数接口!$D$279=0,"",[2]财务取数接口!$D$279),""))</f>
        <v/>
      </c>
      <c r="E280" s="40" t="str">
        <f aca="false">IF($T$4=0,IF($L280="","",$L280),IFERROR(IF([2]财务取数接口!$E$279=0,"",[2]财务取数接口!$E$279),""))</f>
        <v/>
      </c>
      <c r="F280" s="41" t="str">
        <f aca="false">IF($T$4=0,IF($M280="","",$M280),IFERROR(IF([2]财务取数接口!$G$279=0,"",[2]财务取数接口!$G$279),""))</f>
        <v/>
      </c>
      <c r="G280" s="41" t="str">
        <f aca="false">IF($T$4=0,IF($N280="","",$N280),IFERROR(IF([2]财务取数接口!$H$279=0,"",[2]财务取数接口!$H$279),""))</f>
        <v/>
      </c>
      <c r="H280" s="39" t="str">
        <f aca="false">IF($T$4=0,IF($O280="","",$O280),IFERROR(IF([2]财务取数接口!$I$279=0,"",[2]财务取数接口!$I$279),""))</f>
        <v/>
      </c>
      <c r="I280" s="42"/>
      <c r="J280" s="43"/>
      <c r="K280" s="42"/>
      <c r="L280" s="42"/>
      <c r="M280" s="44"/>
      <c r="N280" s="44"/>
      <c r="O280" s="43"/>
      <c r="P280" s="45" t="n">
        <f aca="false">IF(AND($C280&lt;&gt;"",$C280&lt;&gt;"项目",OR(N($D280)&lt;&gt;0,N($E280)&lt;&gt;0,N($F280)&lt;&gt;0)),1,0)</f>
        <v>0</v>
      </c>
      <c r="Q280" s="45" t="n">
        <f aca="false">N(Q279)+$P280</f>
        <v>5</v>
      </c>
    </row>
    <row r="281" customFormat="false" ht="13.5" hidden="false" customHeight="false" outlineLevel="0" collapsed="false">
      <c r="A281" s="9" t="n">
        <v>280</v>
      </c>
      <c r="B281" s="40" t="str">
        <f aca="false">IF($T$4=0,IF($I281="","",$I281),IFERROR(IF([2]财务取数接口!$B$280=0,"",[2]财务取数接口!$B$280),""))</f>
        <v/>
      </c>
      <c r="C281" s="39" t="str">
        <f aca="false">IF($T$4=0,IF($J281="","",$J281),IFERROR(IF([2]财务取数接口!$C$280=0,"",[2]财务取数接口!$C$280),""))</f>
        <v/>
      </c>
      <c r="D281" s="40" t="str">
        <f aca="false">IF($T$4=0,IF($K281="","",$K281),IFERROR(IF([2]财务取数接口!$D$280=0,"",[2]财务取数接口!$D$280),""))</f>
        <v/>
      </c>
      <c r="E281" s="40" t="str">
        <f aca="false">IF($T$4=0,IF($L281="","",$L281),IFERROR(IF([2]财务取数接口!$E$280=0,"",[2]财务取数接口!$E$280),""))</f>
        <v/>
      </c>
      <c r="F281" s="41" t="str">
        <f aca="false">IF($T$4=0,IF($M281="","",$M281),IFERROR(IF([2]财务取数接口!$G$280=0,"",[2]财务取数接口!$G$280),""))</f>
        <v/>
      </c>
      <c r="G281" s="41" t="str">
        <f aca="false">IF($T$4=0,IF($N281="","",$N281),IFERROR(IF([2]财务取数接口!$H$280=0,"",[2]财务取数接口!$H$280),""))</f>
        <v/>
      </c>
      <c r="H281" s="39" t="str">
        <f aca="false">IF($T$4=0,IF($O281="","",$O281),IFERROR(IF([2]财务取数接口!$I$280=0,"",[2]财务取数接口!$I$280),""))</f>
        <v/>
      </c>
      <c r="I281" s="42"/>
      <c r="J281" s="43"/>
      <c r="K281" s="42"/>
      <c r="L281" s="42"/>
      <c r="M281" s="44"/>
      <c r="N281" s="44"/>
      <c r="O281" s="43"/>
      <c r="P281" s="45" t="n">
        <f aca="false">IF(AND($C281&lt;&gt;"",$C281&lt;&gt;"项目",OR(N($D281)&lt;&gt;0,N($E281)&lt;&gt;0,N($F281)&lt;&gt;0)),1,0)</f>
        <v>0</v>
      </c>
      <c r="Q281" s="45" t="n">
        <f aca="false">N(Q280)+$P281</f>
        <v>5</v>
      </c>
    </row>
    <row r="282" customFormat="false" ht="13.5" hidden="false" customHeight="false" outlineLevel="0" collapsed="false">
      <c r="A282" s="9" t="n">
        <v>281</v>
      </c>
      <c r="B282" s="40" t="str">
        <f aca="false">IF($T$4=0,IF($I282="","",$I282),IFERROR(IF([2]财务取数接口!$B$281=0,"",[2]财务取数接口!$B$281),""))</f>
        <v/>
      </c>
      <c r="C282" s="39" t="str">
        <f aca="false">IF($T$4=0,IF($J282="","",$J282),IFERROR(IF([2]财务取数接口!$C$281=0,"",[2]财务取数接口!$C$281),""))</f>
        <v/>
      </c>
      <c r="D282" s="40" t="str">
        <f aca="false">IF($T$4=0,IF($K282="","",$K282),IFERROR(IF([2]财务取数接口!$D$281=0,"",[2]财务取数接口!$D$281),""))</f>
        <v/>
      </c>
      <c r="E282" s="40" t="str">
        <f aca="false">IF($T$4=0,IF($L282="","",$L282),IFERROR(IF([2]财务取数接口!$E$281=0,"",[2]财务取数接口!$E$281),""))</f>
        <v/>
      </c>
      <c r="F282" s="41" t="str">
        <f aca="false">IF($T$4=0,IF($M282="","",$M282),IFERROR(IF([2]财务取数接口!$G$281=0,"",[2]财务取数接口!$G$281),""))</f>
        <v/>
      </c>
      <c r="G282" s="41" t="str">
        <f aca="false">IF($T$4=0,IF($N282="","",$N282),IFERROR(IF([2]财务取数接口!$H$281=0,"",[2]财务取数接口!$H$281),""))</f>
        <v/>
      </c>
      <c r="H282" s="39" t="str">
        <f aca="false">IF($T$4=0,IF($O282="","",$O282),IFERROR(IF([2]财务取数接口!$I$281=0,"",[2]财务取数接口!$I$281),""))</f>
        <v/>
      </c>
      <c r="I282" s="42"/>
      <c r="J282" s="43"/>
      <c r="K282" s="42"/>
      <c r="L282" s="42"/>
      <c r="M282" s="44"/>
      <c r="N282" s="44"/>
      <c r="O282" s="43"/>
      <c r="P282" s="45" t="n">
        <f aca="false">IF(AND($C282&lt;&gt;"",$C282&lt;&gt;"项目",OR(N($D282)&lt;&gt;0,N($E282)&lt;&gt;0,N($F282)&lt;&gt;0)),1,0)</f>
        <v>0</v>
      </c>
      <c r="Q282" s="45" t="n">
        <f aca="false">N(Q281)+$P282</f>
        <v>5</v>
      </c>
    </row>
    <row r="283" customFormat="false" ht="13.5" hidden="false" customHeight="false" outlineLevel="0" collapsed="false">
      <c r="A283" s="9" t="n">
        <v>282</v>
      </c>
      <c r="B283" s="40" t="str">
        <f aca="false">IF($T$4=0,IF($I283="","",$I283),IFERROR(IF([2]财务取数接口!$B$282=0,"",[2]财务取数接口!$B$282),""))</f>
        <v/>
      </c>
      <c r="C283" s="39" t="str">
        <f aca="false">IF($T$4=0,IF($J283="","",$J283),IFERROR(IF([2]财务取数接口!$C$282=0,"",[2]财务取数接口!$C$282),""))</f>
        <v/>
      </c>
      <c r="D283" s="40" t="str">
        <f aca="false">IF($T$4=0,IF($K283="","",$K283),IFERROR(IF([2]财务取数接口!$D$282=0,"",[2]财务取数接口!$D$282),""))</f>
        <v/>
      </c>
      <c r="E283" s="40" t="str">
        <f aca="false">IF($T$4=0,IF($L283="","",$L283),IFERROR(IF([2]财务取数接口!$E$282=0,"",[2]财务取数接口!$E$282),""))</f>
        <v/>
      </c>
      <c r="F283" s="41" t="str">
        <f aca="false">IF($T$4=0,IF($M283="","",$M283),IFERROR(IF([2]财务取数接口!$G$282=0,"",[2]财务取数接口!$G$282),""))</f>
        <v/>
      </c>
      <c r="G283" s="41" t="str">
        <f aca="false">IF($T$4=0,IF($N283="","",$N283),IFERROR(IF([2]财务取数接口!$H$282=0,"",[2]财务取数接口!$H$282),""))</f>
        <v/>
      </c>
      <c r="H283" s="39" t="str">
        <f aca="false">IF($T$4=0,IF($O283="","",$O283),IFERROR(IF([2]财务取数接口!$I$282=0,"",[2]财务取数接口!$I$282),""))</f>
        <v/>
      </c>
      <c r="I283" s="42"/>
      <c r="J283" s="43"/>
      <c r="K283" s="42"/>
      <c r="L283" s="42"/>
      <c r="M283" s="44"/>
      <c r="N283" s="44"/>
      <c r="O283" s="43"/>
      <c r="P283" s="45" t="n">
        <f aca="false">IF(AND($C283&lt;&gt;"",$C283&lt;&gt;"项目",OR(N($D283)&lt;&gt;0,N($E283)&lt;&gt;0,N($F283)&lt;&gt;0)),1,0)</f>
        <v>0</v>
      </c>
      <c r="Q283" s="45" t="n">
        <f aca="false">N(Q282)+$P283</f>
        <v>5</v>
      </c>
    </row>
    <row r="284" customFormat="false" ht="13.5" hidden="false" customHeight="false" outlineLevel="0" collapsed="false">
      <c r="A284" s="9" t="n">
        <v>283</v>
      </c>
      <c r="B284" s="40" t="str">
        <f aca="false">IF($T$4=0,IF($I284="","",$I284),IFERROR(IF([2]财务取数接口!$B$283=0,"",[2]财务取数接口!$B$283),""))</f>
        <v/>
      </c>
      <c r="C284" s="39" t="str">
        <f aca="false">IF($T$4=0,IF($J284="","",$J284),IFERROR(IF([2]财务取数接口!$C$283=0,"",[2]财务取数接口!$C$283),""))</f>
        <v/>
      </c>
      <c r="D284" s="40" t="str">
        <f aca="false">IF($T$4=0,IF($K284="","",$K284),IFERROR(IF([2]财务取数接口!$D$283=0,"",[2]财务取数接口!$D$283),""))</f>
        <v/>
      </c>
      <c r="E284" s="40" t="str">
        <f aca="false">IF($T$4=0,IF($L284="","",$L284),IFERROR(IF([2]财务取数接口!$E$283=0,"",[2]财务取数接口!$E$283),""))</f>
        <v/>
      </c>
      <c r="F284" s="41" t="str">
        <f aca="false">IF($T$4=0,IF($M284="","",$M284),IFERROR(IF([2]财务取数接口!$G$283=0,"",[2]财务取数接口!$G$283),""))</f>
        <v/>
      </c>
      <c r="G284" s="41" t="str">
        <f aca="false">IF($T$4=0,IF($N284="","",$N284),IFERROR(IF([2]财务取数接口!$H$283=0,"",[2]财务取数接口!$H$283),""))</f>
        <v/>
      </c>
      <c r="H284" s="39" t="str">
        <f aca="false">IF($T$4=0,IF($O284="","",$O284),IFERROR(IF([2]财务取数接口!$I$283=0,"",[2]财务取数接口!$I$283),""))</f>
        <v/>
      </c>
      <c r="I284" s="42"/>
      <c r="J284" s="43"/>
      <c r="K284" s="42"/>
      <c r="L284" s="42"/>
      <c r="M284" s="44"/>
      <c r="N284" s="44"/>
      <c r="O284" s="43"/>
      <c r="P284" s="45" t="n">
        <f aca="false">IF(AND($C284&lt;&gt;"",$C284&lt;&gt;"项目",OR(N($D284)&lt;&gt;0,N($E284)&lt;&gt;0,N($F284)&lt;&gt;0)),1,0)</f>
        <v>0</v>
      </c>
      <c r="Q284" s="45" t="n">
        <f aca="false">N(Q283)+$P284</f>
        <v>5</v>
      </c>
    </row>
    <row r="285" customFormat="false" ht="13.5" hidden="false" customHeight="false" outlineLevel="0" collapsed="false">
      <c r="A285" s="9" t="n">
        <v>284</v>
      </c>
      <c r="B285" s="40" t="str">
        <f aca="false">IF($T$4=0,IF($I285="","",$I285),IFERROR(IF([2]财务取数接口!$B$284=0,"",[2]财务取数接口!$B$284),""))</f>
        <v/>
      </c>
      <c r="C285" s="39" t="str">
        <f aca="false">IF($T$4=0,IF($J285="","",$J285),IFERROR(IF([2]财务取数接口!$C$284=0,"",[2]财务取数接口!$C$284),""))</f>
        <v/>
      </c>
      <c r="D285" s="40" t="str">
        <f aca="false">IF($T$4=0,IF($K285="","",$K285),IFERROR(IF([2]财务取数接口!$D$284=0,"",[2]财务取数接口!$D$284),""))</f>
        <v/>
      </c>
      <c r="E285" s="40" t="str">
        <f aca="false">IF($T$4=0,IF($L285="","",$L285),IFERROR(IF([2]财务取数接口!$E$284=0,"",[2]财务取数接口!$E$284),""))</f>
        <v/>
      </c>
      <c r="F285" s="41" t="str">
        <f aca="false">IF($T$4=0,IF($M285="","",$M285),IFERROR(IF([2]财务取数接口!$G$284=0,"",[2]财务取数接口!$G$284),""))</f>
        <v/>
      </c>
      <c r="G285" s="41" t="str">
        <f aca="false">IF($T$4=0,IF($N285="","",$N285),IFERROR(IF([2]财务取数接口!$H$284=0,"",[2]财务取数接口!$H$284),""))</f>
        <v/>
      </c>
      <c r="H285" s="39" t="str">
        <f aca="false">IF($T$4=0,IF($O285="","",$O285),IFERROR(IF([2]财务取数接口!$I$284=0,"",[2]财务取数接口!$I$284),""))</f>
        <v/>
      </c>
      <c r="I285" s="42"/>
      <c r="J285" s="43"/>
      <c r="K285" s="42"/>
      <c r="L285" s="42"/>
      <c r="M285" s="44"/>
      <c r="N285" s="44"/>
      <c r="O285" s="43"/>
      <c r="P285" s="45" t="n">
        <f aca="false">IF(AND($C285&lt;&gt;"",$C285&lt;&gt;"项目",OR(N($D285)&lt;&gt;0,N($E285)&lt;&gt;0,N($F285)&lt;&gt;0)),1,0)</f>
        <v>0</v>
      </c>
      <c r="Q285" s="45" t="n">
        <f aca="false">N(Q284)+$P285</f>
        <v>5</v>
      </c>
    </row>
    <row r="286" customFormat="false" ht="13.5" hidden="false" customHeight="false" outlineLevel="0" collapsed="false">
      <c r="A286" s="9" t="n">
        <v>285</v>
      </c>
      <c r="B286" s="40" t="str">
        <f aca="false">IF($T$4=0,IF($I286="","",$I286),IFERROR(IF([2]财务取数接口!$B$285=0,"",[2]财务取数接口!$B$285),""))</f>
        <v/>
      </c>
      <c r="C286" s="39" t="str">
        <f aca="false">IF($T$4=0,IF($J286="","",$J286),IFERROR(IF([2]财务取数接口!$C$285=0,"",[2]财务取数接口!$C$285),""))</f>
        <v/>
      </c>
      <c r="D286" s="40" t="str">
        <f aca="false">IF($T$4=0,IF($K286="","",$K286),IFERROR(IF([2]财务取数接口!$D$285=0,"",[2]财务取数接口!$D$285),""))</f>
        <v/>
      </c>
      <c r="E286" s="40" t="str">
        <f aca="false">IF($T$4=0,IF($L286="","",$L286),IFERROR(IF([2]财务取数接口!$E$285=0,"",[2]财务取数接口!$E$285),""))</f>
        <v/>
      </c>
      <c r="F286" s="41" t="str">
        <f aca="false">IF($T$4=0,IF($M286="","",$M286),IFERROR(IF([2]财务取数接口!$G$285=0,"",[2]财务取数接口!$G$285),""))</f>
        <v/>
      </c>
      <c r="G286" s="41" t="str">
        <f aca="false">IF($T$4=0,IF($N286="","",$N286),IFERROR(IF([2]财务取数接口!$H$285=0,"",[2]财务取数接口!$H$285),""))</f>
        <v/>
      </c>
      <c r="H286" s="39" t="str">
        <f aca="false">IF($T$4=0,IF($O286="","",$O286),IFERROR(IF([2]财务取数接口!$I$285=0,"",[2]财务取数接口!$I$285),""))</f>
        <v/>
      </c>
      <c r="I286" s="42"/>
      <c r="J286" s="43"/>
      <c r="K286" s="42"/>
      <c r="L286" s="42"/>
      <c r="M286" s="44"/>
      <c r="N286" s="44"/>
      <c r="O286" s="43"/>
      <c r="P286" s="45" t="n">
        <f aca="false">IF(AND($C286&lt;&gt;"",$C286&lt;&gt;"项目",OR(N($D286)&lt;&gt;0,N($E286)&lt;&gt;0,N($F286)&lt;&gt;0)),1,0)</f>
        <v>0</v>
      </c>
      <c r="Q286" s="45" t="n">
        <f aca="false">N(Q285)+$P286</f>
        <v>5</v>
      </c>
    </row>
    <row r="287" customFormat="false" ht="13.5" hidden="false" customHeight="false" outlineLevel="0" collapsed="false">
      <c r="A287" s="9" t="n">
        <v>286</v>
      </c>
      <c r="B287" s="40" t="str">
        <f aca="false">IF($T$4=0,IF($I287="","",$I287),IFERROR(IF([2]财务取数接口!$B$286=0,"",[2]财务取数接口!$B$286),""))</f>
        <v/>
      </c>
      <c r="C287" s="39" t="str">
        <f aca="false">IF($T$4=0,IF($J287="","",$J287),IFERROR(IF([2]财务取数接口!$C$286=0,"",[2]财务取数接口!$C$286),""))</f>
        <v/>
      </c>
      <c r="D287" s="40" t="str">
        <f aca="false">IF($T$4=0,IF($K287="","",$K287),IFERROR(IF([2]财务取数接口!$D$286=0,"",[2]财务取数接口!$D$286),""))</f>
        <v/>
      </c>
      <c r="E287" s="40" t="str">
        <f aca="false">IF($T$4=0,IF($L287="","",$L287),IFERROR(IF([2]财务取数接口!$E$286=0,"",[2]财务取数接口!$E$286),""))</f>
        <v/>
      </c>
      <c r="F287" s="41" t="str">
        <f aca="false">IF($T$4=0,IF($M287="","",$M287),IFERROR(IF([2]财务取数接口!$G$286=0,"",[2]财务取数接口!$G$286),""))</f>
        <v/>
      </c>
      <c r="G287" s="41" t="str">
        <f aca="false">IF($T$4=0,IF($N287="","",$N287),IFERROR(IF([2]财务取数接口!$H$286=0,"",[2]财务取数接口!$H$286),""))</f>
        <v/>
      </c>
      <c r="H287" s="39" t="str">
        <f aca="false">IF($T$4=0,IF($O287="","",$O287),IFERROR(IF([2]财务取数接口!$I$286=0,"",[2]财务取数接口!$I$286),""))</f>
        <v/>
      </c>
      <c r="I287" s="42"/>
      <c r="J287" s="43"/>
      <c r="K287" s="42"/>
      <c r="L287" s="42"/>
      <c r="M287" s="44"/>
      <c r="N287" s="44"/>
      <c r="O287" s="43"/>
      <c r="P287" s="45" t="n">
        <f aca="false">IF(AND($C287&lt;&gt;"",$C287&lt;&gt;"项目",OR(N($D287)&lt;&gt;0,N($E287)&lt;&gt;0,N($F287)&lt;&gt;0)),1,0)</f>
        <v>0</v>
      </c>
      <c r="Q287" s="45" t="n">
        <f aca="false">N(Q286)+$P287</f>
        <v>5</v>
      </c>
    </row>
    <row r="288" customFormat="false" ht="13.5" hidden="false" customHeight="false" outlineLevel="0" collapsed="false">
      <c r="A288" s="9" t="n">
        <v>287</v>
      </c>
      <c r="B288" s="40" t="str">
        <f aca="false">IF($T$4=0,IF($I288="","",$I288),IFERROR(IF([2]财务取数接口!$B$287=0,"",[2]财务取数接口!$B$287),""))</f>
        <v/>
      </c>
      <c r="C288" s="39" t="str">
        <f aca="false">IF($T$4=0,IF($J288="","",$J288),IFERROR(IF([2]财务取数接口!$C$287=0,"",[2]财务取数接口!$C$287),""))</f>
        <v/>
      </c>
      <c r="D288" s="40" t="str">
        <f aca="false">IF($T$4=0,IF($K288="","",$K288),IFERROR(IF([2]财务取数接口!$D$287=0,"",[2]财务取数接口!$D$287),""))</f>
        <v/>
      </c>
      <c r="E288" s="40" t="str">
        <f aca="false">IF($T$4=0,IF($L288="","",$L288),IFERROR(IF([2]财务取数接口!$E$287=0,"",[2]财务取数接口!$E$287),""))</f>
        <v/>
      </c>
      <c r="F288" s="41" t="str">
        <f aca="false">IF($T$4=0,IF($M288="","",$M288),IFERROR(IF([2]财务取数接口!$G$287=0,"",[2]财务取数接口!$G$287),""))</f>
        <v/>
      </c>
      <c r="G288" s="41" t="str">
        <f aca="false">IF($T$4=0,IF($N288="","",$N288),IFERROR(IF([2]财务取数接口!$H$287=0,"",[2]财务取数接口!$H$287),""))</f>
        <v/>
      </c>
      <c r="H288" s="39" t="str">
        <f aca="false">IF($T$4=0,IF($O288="","",$O288),IFERROR(IF([2]财务取数接口!$I$287=0,"",[2]财务取数接口!$I$287),""))</f>
        <v/>
      </c>
      <c r="I288" s="42"/>
      <c r="J288" s="43"/>
      <c r="K288" s="42"/>
      <c r="L288" s="42"/>
      <c r="M288" s="44"/>
      <c r="N288" s="44"/>
      <c r="O288" s="43"/>
      <c r="P288" s="45" t="n">
        <f aca="false">IF(AND($C288&lt;&gt;"",$C288&lt;&gt;"项目",OR(N($D288)&lt;&gt;0,N($E288)&lt;&gt;0,N($F288)&lt;&gt;0)),1,0)</f>
        <v>0</v>
      </c>
      <c r="Q288" s="45" t="n">
        <f aca="false">N(Q287)+$P288</f>
        <v>5</v>
      </c>
    </row>
    <row r="289" customFormat="false" ht="13.5" hidden="false" customHeight="false" outlineLevel="0" collapsed="false">
      <c r="A289" s="9" t="n">
        <v>288</v>
      </c>
      <c r="B289" s="40" t="str">
        <f aca="false">IF($T$4=0,IF($I289="","",$I289),IFERROR(IF([2]财务取数接口!$B$288=0,"",[2]财务取数接口!$B$288),""))</f>
        <v/>
      </c>
      <c r="C289" s="39" t="str">
        <f aca="false">IF($T$4=0,IF($J289="","",$J289),IFERROR(IF([2]财务取数接口!$C$288=0,"",[2]财务取数接口!$C$288),""))</f>
        <v/>
      </c>
      <c r="D289" s="40" t="str">
        <f aca="false">IF($T$4=0,IF($K289="","",$K289),IFERROR(IF([2]财务取数接口!$D$288=0,"",[2]财务取数接口!$D$288),""))</f>
        <v/>
      </c>
      <c r="E289" s="40" t="str">
        <f aca="false">IF($T$4=0,IF($L289="","",$L289),IFERROR(IF([2]财务取数接口!$E$288=0,"",[2]财务取数接口!$E$288),""))</f>
        <v/>
      </c>
      <c r="F289" s="41" t="str">
        <f aca="false">IF($T$4=0,IF($M289="","",$M289),IFERROR(IF([2]财务取数接口!$G$288=0,"",[2]财务取数接口!$G$288),""))</f>
        <v/>
      </c>
      <c r="G289" s="41" t="str">
        <f aca="false">IF($T$4=0,IF($N289="","",$N289),IFERROR(IF([2]财务取数接口!$H$288=0,"",[2]财务取数接口!$H$288),""))</f>
        <v/>
      </c>
      <c r="H289" s="39" t="str">
        <f aca="false">IF($T$4=0,IF($O289="","",$O289),IFERROR(IF([2]财务取数接口!$I$288=0,"",[2]财务取数接口!$I$288),""))</f>
        <v/>
      </c>
      <c r="I289" s="42"/>
      <c r="J289" s="43"/>
      <c r="K289" s="42"/>
      <c r="L289" s="42"/>
      <c r="M289" s="44"/>
      <c r="N289" s="44"/>
      <c r="O289" s="43"/>
      <c r="P289" s="45" t="n">
        <f aca="false">IF(AND($C289&lt;&gt;"",$C289&lt;&gt;"项目",OR(N($D289)&lt;&gt;0,N($E289)&lt;&gt;0,N($F289)&lt;&gt;0)),1,0)</f>
        <v>0</v>
      </c>
      <c r="Q289" s="45" t="n">
        <f aca="false">N(Q288)+$P289</f>
        <v>5</v>
      </c>
    </row>
    <row r="290" customFormat="false" ht="13.5" hidden="false" customHeight="false" outlineLevel="0" collapsed="false">
      <c r="A290" s="9" t="n">
        <v>289</v>
      </c>
      <c r="B290" s="40" t="str">
        <f aca="false">IF($T$4=0,IF($I290="","",$I290),IFERROR(IF([2]财务取数接口!$B$289=0,"",[2]财务取数接口!$B$289),""))</f>
        <v/>
      </c>
      <c r="C290" s="39" t="str">
        <f aca="false">IF($T$4=0,IF($J290="","",$J290),IFERROR(IF([2]财务取数接口!$C$289=0,"",[2]财务取数接口!$C$289),""))</f>
        <v/>
      </c>
      <c r="D290" s="40" t="str">
        <f aca="false">IF($T$4=0,IF($K290="","",$K290),IFERROR(IF([2]财务取数接口!$D$289=0,"",[2]财务取数接口!$D$289),""))</f>
        <v/>
      </c>
      <c r="E290" s="40" t="str">
        <f aca="false">IF($T$4=0,IF($L290="","",$L290),IFERROR(IF([2]财务取数接口!$E$289=0,"",[2]财务取数接口!$E$289),""))</f>
        <v/>
      </c>
      <c r="F290" s="41" t="str">
        <f aca="false">IF($T$4=0,IF($M290="","",$M290),IFERROR(IF([2]财务取数接口!$G$289=0,"",[2]财务取数接口!$G$289),""))</f>
        <v/>
      </c>
      <c r="G290" s="41" t="str">
        <f aca="false">IF($T$4=0,IF($N290="","",$N290),IFERROR(IF([2]财务取数接口!$H$289=0,"",[2]财务取数接口!$H$289),""))</f>
        <v/>
      </c>
      <c r="H290" s="39" t="str">
        <f aca="false">IF($T$4=0,IF($O290="","",$O290),IFERROR(IF([2]财务取数接口!$I$289=0,"",[2]财务取数接口!$I$289),""))</f>
        <v/>
      </c>
      <c r="I290" s="42"/>
      <c r="J290" s="43"/>
      <c r="K290" s="42"/>
      <c r="L290" s="42"/>
      <c r="M290" s="44"/>
      <c r="N290" s="44"/>
      <c r="O290" s="43"/>
      <c r="P290" s="45" t="n">
        <f aca="false">IF(AND($C290&lt;&gt;"",$C290&lt;&gt;"项目",OR(N($D290)&lt;&gt;0,N($E290)&lt;&gt;0,N($F290)&lt;&gt;0)),1,0)</f>
        <v>0</v>
      </c>
      <c r="Q290" s="45" t="n">
        <f aca="false">N(Q289)+$P290</f>
        <v>5</v>
      </c>
    </row>
    <row r="291" customFormat="false" ht="13.5" hidden="false" customHeight="false" outlineLevel="0" collapsed="false">
      <c r="A291" s="9" t="n">
        <v>290</v>
      </c>
      <c r="B291" s="40" t="str">
        <f aca="false">IF($T$4=0,IF($I291="","",$I291),IFERROR(IF([2]财务取数接口!$B$290=0,"",[2]财务取数接口!$B$290),""))</f>
        <v/>
      </c>
      <c r="C291" s="39" t="str">
        <f aca="false">IF($T$4=0,IF($J291="","",$J291),IFERROR(IF([2]财务取数接口!$C$290=0,"",[2]财务取数接口!$C$290),""))</f>
        <v/>
      </c>
      <c r="D291" s="40" t="str">
        <f aca="false">IF($T$4=0,IF($K291="","",$K291),IFERROR(IF([2]财务取数接口!$D$290=0,"",[2]财务取数接口!$D$290),""))</f>
        <v/>
      </c>
      <c r="E291" s="40" t="str">
        <f aca="false">IF($T$4=0,IF($L291="","",$L291),IFERROR(IF([2]财务取数接口!$E$290=0,"",[2]财务取数接口!$E$290),""))</f>
        <v/>
      </c>
      <c r="F291" s="41" t="str">
        <f aca="false">IF($T$4=0,IF($M291="","",$M291),IFERROR(IF([2]财务取数接口!$G$290=0,"",[2]财务取数接口!$G$290),""))</f>
        <v/>
      </c>
      <c r="G291" s="41" t="str">
        <f aca="false">IF($T$4=0,IF($N291="","",$N291),IFERROR(IF([2]财务取数接口!$H$290=0,"",[2]财务取数接口!$H$290),""))</f>
        <v/>
      </c>
      <c r="H291" s="39" t="str">
        <f aca="false">IF($T$4=0,IF($O291="","",$O291),IFERROR(IF([2]财务取数接口!$I$290=0,"",[2]财务取数接口!$I$290),""))</f>
        <v/>
      </c>
      <c r="I291" s="42"/>
      <c r="J291" s="43"/>
      <c r="K291" s="42"/>
      <c r="L291" s="42"/>
      <c r="M291" s="44"/>
      <c r="N291" s="44"/>
      <c r="O291" s="43"/>
      <c r="P291" s="45" t="n">
        <f aca="false">IF(AND($C291&lt;&gt;"",$C291&lt;&gt;"项目",OR(N($D291)&lt;&gt;0,N($E291)&lt;&gt;0,N($F291)&lt;&gt;0)),1,0)</f>
        <v>0</v>
      </c>
      <c r="Q291" s="45" t="n">
        <f aca="false">N(Q290)+$P291</f>
        <v>5</v>
      </c>
    </row>
    <row r="292" customFormat="false" ht="13.5" hidden="false" customHeight="false" outlineLevel="0" collapsed="false">
      <c r="A292" s="9" t="n">
        <v>291</v>
      </c>
      <c r="B292" s="40" t="str">
        <f aca="false">IF($T$4=0,IF($I292="","",$I292),IFERROR(IF([2]财务取数接口!$B$291=0,"",[2]财务取数接口!$B$291),""))</f>
        <v/>
      </c>
      <c r="C292" s="39" t="str">
        <f aca="false">IF($T$4=0,IF($J292="","",$J292),IFERROR(IF([2]财务取数接口!$C$291=0,"",[2]财务取数接口!$C$291),""))</f>
        <v/>
      </c>
      <c r="D292" s="40" t="str">
        <f aca="false">IF($T$4=0,IF($K292="","",$K292),IFERROR(IF([2]财务取数接口!$D$291=0,"",[2]财务取数接口!$D$291),""))</f>
        <v/>
      </c>
      <c r="E292" s="40" t="str">
        <f aca="false">IF($T$4=0,IF($L292="","",$L292),IFERROR(IF([2]财务取数接口!$E$291=0,"",[2]财务取数接口!$E$291),""))</f>
        <v/>
      </c>
      <c r="F292" s="41" t="str">
        <f aca="false">IF($T$4=0,IF($M292="","",$M292),IFERROR(IF([2]财务取数接口!$G$291=0,"",[2]财务取数接口!$G$291),""))</f>
        <v/>
      </c>
      <c r="G292" s="41" t="str">
        <f aca="false">IF($T$4=0,IF($N292="","",$N292),IFERROR(IF([2]财务取数接口!$H$291=0,"",[2]财务取数接口!$H$291),""))</f>
        <v/>
      </c>
      <c r="H292" s="39" t="str">
        <f aca="false">IF($T$4=0,IF($O292="","",$O292),IFERROR(IF([2]财务取数接口!$I$291=0,"",[2]财务取数接口!$I$291),""))</f>
        <v/>
      </c>
      <c r="I292" s="42"/>
      <c r="J292" s="43"/>
      <c r="K292" s="42"/>
      <c r="L292" s="42"/>
      <c r="M292" s="44"/>
      <c r="N292" s="44"/>
      <c r="O292" s="43"/>
      <c r="P292" s="45" t="n">
        <f aca="false">IF(AND($C292&lt;&gt;"",$C292&lt;&gt;"项目",OR(N($D292)&lt;&gt;0,N($E292)&lt;&gt;0,N($F292)&lt;&gt;0)),1,0)</f>
        <v>0</v>
      </c>
      <c r="Q292" s="45" t="n">
        <f aca="false">N(Q291)+$P292</f>
        <v>5</v>
      </c>
    </row>
    <row r="293" customFormat="false" ht="13.5" hidden="false" customHeight="false" outlineLevel="0" collapsed="false">
      <c r="A293" s="9" t="n">
        <v>292</v>
      </c>
      <c r="B293" s="40" t="str">
        <f aca="false">IF($T$4=0,IF($I293="","",$I293),IFERROR(IF([2]财务取数接口!$B$292=0,"",[2]财务取数接口!$B$292),""))</f>
        <v/>
      </c>
      <c r="C293" s="39" t="str">
        <f aca="false">IF($T$4=0,IF($J293="","",$J293),IFERROR(IF([2]财务取数接口!$C$292=0,"",[2]财务取数接口!$C$292),""))</f>
        <v/>
      </c>
      <c r="D293" s="40" t="str">
        <f aca="false">IF($T$4=0,IF($K293="","",$K293),IFERROR(IF([2]财务取数接口!$D$292=0,"",[2]财务取数接口!$D$292),""))</f>
        <v/>
      </c>
      <c r="E293" s="40" t="str">
        <f aca="false">IF($T$4=0,IF($L293="","",$L293),IFERROR(IF([2]财务取数接口!$E$292=0,"",[2]财务取数接口!$E$292),""))</f>
        <v/>
      </c>
      <c r="F293" s="41" t="str">
        <f aca="false">IF($T$4=0,IF($M293="","",$M293),IFERROR(IF([2]财务取数接口!$G$292=0,"",[2]财务取数接口!$G$292),""))</f>
        <v/>
      </c>
      <c r="G293" s="41" t="str">
        <f aca="false">IF($T$4=0,IF($N293="","",$N293),IFERROR(IF([2]财务取数接口!$H$292=0,"",[2]财务取数接口!$H$292),""))</f>
        <v/>
      </c>
      <c r="H293" s="39" t="str">
        <f aca="false">IF($T$4=0,IF($O293="","",$O293),IFERROR(IF([2]财务取数接口!$I$292=0,"",[2]财务取数接口!$I$292),""))</f>
        <v/>
      </c>
      <c r="I293" s="42"/>
      <c r="J293" s="43"/>
      <c r="K293" s="42"/>
      <c r="L293" s="42"/>
      <c r="M293" s="44"/>
      <c r="N293" s="44"/>
      <c r="O293" s="43"/>
      <c r="P293" s="45" t="n">
        <f aca="false">IF(AND($C293&lt;&gt;"",$C293&lt;&gt;"项目",OR(N($D293)&lt;&gt;0,N($E293)&lt;&gt;0,N($F293)&lt;&gt;0)),1,0)</f>
        <v>0</v>
      </c>
      <c r="Q293" s="45" t="n">
        <f aca="false">N(Q292)+$P293</f>
        <v>5</v>
      </c>
    </row>
    <row r="294" customFormat="false" ht="13.5" hidden="false" customHeight="false" outlineLevel="0" collapsed="false">
      <c r="A294" s="9" t="n">
        <v>293</v>
      </c>
      <c r="B294" s="40" t="str">
        <f aca="false">IF($T$4=0,IF($I294="","",$I294),IFERROR(IF([2]财务取数接口!$B$293=0,"",[2]财务取数接口!$B$293),""))</f>
        <v/>
      </c>
      <c r="C294" s="39" t="str">
        <f aca="false">IF($T$4=0,IF($J294="","",$J294),IFERROR(IF([2]财务取数接口!$C$293=0,"",[2]财务取数接口!$C$293),""))</f>
        <v/>
      </c>
      <c r="D294" s="40" t="str">
        <f aca="false">IF($T$4=0,IF($K294="","",$K294),IFERROR(IF([2]财务取数接口!$D$293=0,"",[2]财务取数接口!$D$293),""))</f>
        <v/>
      </c>
      <c r="E294" s="40" t="str">
        <f aca="false">IF($T$4=0,IF($L294="","",$L294),IFERROR(IF([2]财务取数接口!$E$293=0,"",[2]财务取数接口!$E$293),""))</f>
        <v/>
      </c>
      <c r="F294" s="41" t="str">
        <f aca="false">IF($T$4=0,IF($M294="","",$M294),IFERROR(IF([2]财务取数接口!$G$293=0,"",[2]财务取数接口!$G$293),""))</f>
        <v/>
      </c>
      <c r="G294" s="41" t="str">
        <f aca="false">IF($T$4=0,IF($N294="","",$N294),IFERROR(IF([2]财务取数接口!$H$293=0,"",[2]财务取数接口!$H$293),""))</f>
        <v/>
      </c>
      <c r="H294" s="39" t="str">
        <f aca="false">IF($T$4=0,IF($O294="","",$O294),IFERROR(IF([2]财务取数接口!$I$293=0,"",[2]财务取数接口!$I$293),""))</f>
        <v/>
      </c>
      <c r="I294" s="42"/>
      <c r="J294" s="43"/>
      <c r="K294" s="42"/>
      <c r="L294" s="42"/>
      <c r="M294" s="44"/>
      <c r="N294" s="44"/>
      <c r="O294" s="43"/>
      <c r="P294" s="45" t="n">
        <f aca="false">IF(AND($C294&lt;&gt;"",$C294&lt;&gt;"项目",OR(N($D294)&lt;&gt;0,N($E294)&lt;&gt;0,N($F294)&lt;&gt;0)),1,0)</f>
        <v>0</v>
      </c>
      <c r="Q294" s="45" t="n">
        <f aca="false">N(Q293)+$P294</f>
        <v>5</v>
      </c>
    </row>
    <row r="295" customFormat="false" ht="13.5" hidden="false" customHeight="false" outlineLevel="0" collapsed="false">
      <c r="A295" s="9" t="n">
        <v>294</v>
      </c>
      <c r="B295" s="40" t="str">
        <f aca="false">IF($T$4=0,IF($I295="","",$I295),IFERROR(IF([2]财务取数接口!$B$294=0,"",[2]财务取数接口!$B$294),""))</f>
        <v/>
      </c>
      <c r="C295" s="39" t="str">
        <f aca="false">IF($T$4=0,IF($J295="","",$J295),IFERROR(IF([2]财务取数接口!$C$294=0,"",[2]财务取数接口!$C$294),""))</f>
        <v/>
      </c>
      <c r="D295" s="40" t="str">
        <f aca="false">IF($T$4=0,IF($K295="","",$K295),IFERROR(IF([2]财务取数接口!$D$294=0,"",[2]财务取数接口!$D$294),""))</f>
        <v/>
      </c>
      <c r="E295" s="40" t="str">
        <f aca="false">IF($T$4=0,IF($L295="","",$L295),IFERROR(IF([2]财务取数接口!$E$294=0,"",[2]财务取数接口!$E$294),""))</f>
        <v/>
      </c>
      <c r="F295" s="41" t="str">
        <f aca="false">IF($T$4=0,IF($M295="","",$M295),IFERROR(IF([2]财务取数接口!$G$294=0,"",[2]财务取数接口!$G$294),""))</f>
        <v/>
      </c>
      <c r="G295" s="41" t="str">
        <f aca="false">IF($T$4=0,IF($N295="","",$N295),IFERROR(IF([2]财务取数接口!$H$294=0,"",[2]财务取数接口!$H$294),""))</f>
        <v/>
      </c>
      <c r="H295" s="39" t="str">
        <f aca="false">IF($T$4=0,IF($O295="","",$O295),IFERROR(IF([2]财务取数接口!$I$294=0,"",[2]财务取数接口!$I$294),""))</f>
        <v/>
      </c>
      <c r="I295" s="42"/>
      <c r="J295" s="43"/>
      <c r="K295" s="42"/>
      <c r="L295" s="42"/>
      <c r="M295" s="44"/>
      <c r="N295" s="44"/>
      <c r="O295" s="43"/>
      <c r="P295" s="45" t="n">
        <f aca="false">IF(AND($C295&lt;&gt;"",$C295&lt;&gt;"项目",OR(N($D295)&lt;&gt;0,N($E295)&lt;&gt;0,N($F295)&lt;&gt;0)),1,0)</f>
        <v>0</v>
      </c>
      <c r="Q295" s="45" t="n">
        <f aca="false">N(Q294)+$P295</f>
        <v>5</v>
      </c>
    </row>
    <row r="296" customFormat="false" ht="13.5" hidden="false" customHeight="false" outlineLevel="0" collapsed="false">
      <c r="A296" s="9" t="n">
        <v>295</v>
      </c>
      <c r="B296" s="40" t="str">
        <f aca="false">IF($T$4=0,IF($I296="","",$I296),IFERROR(IF([2]财务取数接口!$B$295=0,"",[2]财务取数接口!$B$295),""))</f>
        <v/>
      </c>
      <c r="C296" s="39" t="str">
        <f aca="false">IF($T$4=0,IF($J296="","",$J296),IFERROR(IF([2]财务取数接口!$C$295=0,"",[2]财务取数接口!$C$295),""))</f>
        <v/>
      </c>
      <c r="D296" s="40" t="str">
        <f aca="false">IF($T$4=0,IF($K296="","",$K296),IFERROR(IF([2]财务取数接口!$D$295=0,"",[2]财务取数接口!$D$295),""))</f>
        <v/>
      </c>
      <c r="E296" s="40" t="str">
        <f aca="false">IF($T$4=0,IF($L296="","",$L296),IFERROR(IF([2]财务取数接口!$E$295=0,"",[2]财务取数接口!$E$295),""))</f>
        <v/>
      </c>
      <c r="F296" s="41" t="str">
        <f aca="false">IF($T$4=0,IF($M296="","",$M296),IFERROR(IF([2]财务取数接口!$G$295=0,"",[2]财务取数接口!$G$295),""))</f>
        <v/>
      </c>
      <c r="G296" s="41" t="str">
        <f aca="false">IF($T$4=0,IF($N296="","",$N296),IFERROR(IF([2]财务取数接口!$H$295=0,"",[2]财务取数接口!$H$295),""))</f>
        <v/>
      </c>
      <c r="H296" s="39" t="str">
        <f aca="false">IF($T$4=0,IF($O296="","",$O296),IFERROR(IF([2]财务取数接口!$I$295=0,"",[2]财务取数接口!$I$295),""))</f>
        <v/>
      </c>
      <c r="I296" s="42"/>
      <c r="J296" s="43"/>
      <c r="K296" s="42"/>
      <c r="L296" s="42"/>
      <c r="M296" s="44"/>
      <c r="N296" s="44"/>
      <c r="O296" s="43"/>
      <c r="P296" s="45" t="n">
        <f aca="false">IF(AND($C296&lt;&gt;"",$C296&lt;&gt;"项目",OR(N($D296)&lt;&gt;0,N($E296)&lt;&gt;0,N($F296)&lt;&gt;0)),1,0)</f>
        <v>0</v>
      </c>
      <c r="Q296" s="45" t="n">
        <f aca="false">N(Q295)+$P296</f>
        <v>5</v>
      </c>
    </row>
    <row r="297" customFormat="false" ht="13.5" hidden="false" customHeight="false" outlineLevel="0" collapsed="false">
      <c r="A297" s="9" t="n">
        <v>296</v>
      </c>
      <c r="B297" s="40" t="str">
        <f aca="false">IF($T$4=0,IF($I297="","",$I297),IFERROR(IF([2]财务取数接口!$B$296=0,"",[2]财务取数接口!$B$296),""))</f>
        <v/>
      </c>
      <c r="C297" s="39" t="str">
        <f aca="false">IF($T$4=0,IF($J297="","",$J297),IFERROR(IF([2]财务取数接口!$C$296=0,"",[2]财务取数接口!$C$296),""))</f>
        <v/>
      </c>
      <c r="D297" s="40" t="str">
        <f aca="false">IF($T$4=0,IF($K297="","",$K297),IFERROR(IF([2]财务取数接口!$D$296=0,"",[2]财务取数接口!$D$296),""))</f>
        <v/>
      </c>
      <c r="E297" s="40" t="str">
        <f aca="false">IF($T$4=0,IF($L297="","",$L297),IFERROR(IF([2]财务取数接口!$E$296=0,"",[2]财务取数接口!$E$296),""))</f>
        <v/>
      </c>
      <c r="F297" s="41" t="str">
        <f aca="false">IF($T$4=0,IF($M297="","",$M297),IFERROR(IF([2]财务取数接口!$G$296=0,"",[2]财务取数接口!$G$296),""))</f>
        <v/>
      </c>
      <c r="G297" s="41" t="str">
        <f aca="false">IF($T$4=0,IF($N297="","",$N297),IFERROR(IF([2]财务取数接口!$H$296=0,"",[2]财务取数接口!$H$296),""))</f>
        <v/>
      </c>
      <c r="H297" s="39" t="str">
        <f aca="false">IF($T$4=0,IF($O297="","",$O297),IFERROR(IF([2]财务取数接口!$I$296=0,"",[2]财务取数接口!$I$296),""))</f>
        <v/>
      </c>
      <c r="I297" s="42"/>
      <c r="J297" s="43"/>
      <c r="K297" s="42"/>
      <c r="L297" s="42"/>
      <c r="M297" s="44"/>
      <c r="N297" s="44"/>
      <c r="O297" s="43"/>
      <c r="P297" s="45" t="n">
        <f aca="false">IF(AND($C297&lt;&gt;"",$C297&lt;&gt;"项目",OR(N($D297)&lt;&gt;0,N($E297)&lt;&gt;0,N($F297)&lt;&gt;0)),1,0)</f>
        <v>0</v>
      </c>
      <c r="Q297" s="45" t="n">
        <f aca="false">N(Q296)+$P297</f>
        <v>5</v>
      </c>
    </row>
    <row r="298" customFormat="false" ht="13.5" hidden="false" customHeight="false" outlineLevel="0" collapsed="false">
      <c r="A298" s="9" t="n">
        <v>297</v>
      </c>
      <c r="B298" s="40" t="str">
        <f aca="false">IF($T$4=0,IF($I298="","",$I298),IFERROR(IF([2]财务取数接口!$B$297=0,"",[2]财务取数接口!$B$297),""))</f>
        <v/>
      </c>
      <c r="C298" s="39" t="str">
        <f aca="false">IF($T$4=0,IF($J298="","",$J298),IFERROR(IF([2]财务取数接口!$C$297=0,"",[2]财务取数接口!$C$297),""))</f>
        <v/>
      </c>
      <c r="D298" s="40" t="str">
        <f aca="false">IF($T$4=0,IF($K298="","",$K298),IFERROR(IF([2]财务取数接口!$D$297=0,"",[2]财务取数接口!$D$297),""))</f>
        <v/>
      </c>
      <c r="E298" s="40" t="str">
        <f aca="false">IF($T$4=0,IF($L298="","",$L298),IFERROR(IF([2]财务取数接口!$E$297=0,"",[2]财务取数接口!$E$297),""))</f>
        <v/>
      </c>
      <c r="F298" s="41" t="str">
        <f aca="false">IF($T$4=0,IF($M298="","",$M298),IFERROR(IF([2]财务取数接口!$G$297=0,"",[2]财务取数接口!$G$297),""))</f>
        <v/>
      </c>
      <c r="G298" s="41" t="str">
        <f aca="false">IF($T$4=0,IF($N298="","",$N298),IFERROR(IF([2]财务取数接口!$H$297=0,"",[2]财务取数接口!$H$297),""))</f>
        <v/>
      </c>
      <c r="H298" s="39" t="str">
        <f aca="false">IF($T$4=0,IF($O298="","",$O298),IFERROR(IF([2]财务取数接口!$I$297=0,"",[2]财务取数接口!$I$297),""))</f>
        <v/>
      </c>
      <c r="I298" s="42"/>
      <c r="J298" s="43"/>
      <c r="K298" s="42"/>
      <c r="L298" s="42"/>
      <c r="M298" s="44"/>
      <c r="N298" s="44"/>
      <c r="O298" s="43"/>
      <c r="P298" s="45" t="n">
        <f aca="false">IF(AND($C298&lt;&gt;"",$C298&lt;&gt;"项目",OR(N($D298)&lt;&gt;0,N($E298)&lt;&gt;0,N($F298)&lt;&gt;0)),1,0)</f>
        <v>0</v>
      </c>
      <c r="Q298" s="45" t="n">
        <f aca="false">N(Q297)+$P298</f>
        <v>5</v>
      </c>
    </row>
    <row r="299" customFormat="false" ht="13.5" hidden="false" customHeight="false" outlineLevel="0" collapsed="false">
      <c r="A299" s="9" t="n">
        <v>298</v>
      </c>
      <c r="B299" s="40" t="str">
        <f aca="false">IF($T$4=0,IF($I299="","",$I299),IFERROR(IF([2]财务取数接口!$B$298=0,"",[2]财务取数接口!$B$298),""))</f>
        <v/>
      </c>
      <c r="C299" s="39" t="str">
        <f aca="false">IF($T$4=0,IF($J299="","",$J299),IFERROR(IF([2]财务取数接口!$C$298=0,"",[2]财务取数接口!$C$298),""))</f>
        <v/>
      </c>
      <c r="D299" s="40" t="str">
        <f aca="false">IF($T$4=0,IF($K299="","",$K299),IFERROR(IF([2]财务取数接口!$D$298=0,"",[2]财务取数接口!$D$298),""))</f>
        <v/>
      </c>
      <c r="E299" s="40" t="str">
        <f aca="false">IF($T$4=0,IF($L299="","",$L299),IFERROR(IF([2]财务取数接口!$E$298=0,"",[2]财务取数接口!$E$298),""))</f>
        <v/>
      </c>
      <c r="F299" s="41" t="str">
        <f aca="false">IF($T$4=0,IF($M299="","",$M299),IFERROR(IF([2]财务取数接口!$G$298=0,"",[2]财务取数接口!$G$298),""))</f>
        <v/>
      </c>
      <c r="G299" s="41" t="str">
        <f aca="false">IF($T$4=0,IF($N299="","",$N299),IFERROR(IF([2]财务取数接口!$H$298=0,"",[2]财务取数接口!$H$298),""))</f>
        <v/>
      </c>
      <c r="H299" s="39" t="str">
        <f aca="false">IF($T$4=0,IF($O299="","",$O299),IFERROR(IF([2]财务取数接口!$I$298=0,"",[2]财务取数接口!$I$298),""))</f>
        <v/>
      </c>
      <c r="I299" s="42"/>
      <c r="J299" s="43"/>
      <c r="K299" s="42"/>
      <c r="L299" s="42"/>
      <c r="M299" s="44"/>
      <c r="N299" s="44"/>
      <c r="O299" s="43"/>
      <c r="P299" s="45" t="n">
        <f aca="false">IF(AND($C299&lt;&gt;"",$C299&lt;&gt;"项目",OR(N($D299)&lt;&gt;0,N($E299)&lt;&gt;0,N($F299)&lt;&gt;0)),1,0)</f>
        <v>0</v>
      </c>
      <c r="Q299" s="45" t="n">
        <f aca="false">N(Q298)+$P299</f>
        <v>5</v>
      </c>
    </row>
    <row r="300" customFormat="false" ht="13.5" hidden="false" customHeight="false" outlineLevel="0" collapsed="false">
      <c r="A300" s="9" t="n">
        <v>299</v>
      </c>
      <c r="B300" s="40" t="str">
        <f aca="false">IF($T$4=0,IF($I300="","",$I300),IFERROR(IF([2]财务取数接口!$B$299=0,"",[2]财务取数接口!$B$299),""))</f>
        <v/>
      </c>
      <c r="C300" s="39" t="str">
        <f aca="false">IF($T$4=0,IF($J300="","",$J300),IFERROR(IF([2]财务取数接口!$C$299=0,"",[2]财务取数接口!$C$299),""))</f>
        <v/>
      </c>
      <c r="D300" s="40" t="str">
        <f aca="false">IF($T$4=0,IF($K300="","",$K300),IFERROR(IF([2]财务取数接口!$D$299=0,"",[2]财务取数接口!$D$299),""))</f>
        <v/>
      </c>
      <c r="E300" s="40" t="str">
        <f aca="false">IF($T$4=0,IF($L300="","",$L300),IFERROR(IF([2]财务取数接口!$E$299=0,"",[2]财务取数接口!$E$299),""))</f>
        <v/>
      </c>
      <c r="F300" s="41" t="str">
        <f aca="false">IF($T$4=0,IF($M300="","",$M300),IFERROR(IF([2]财务取数接口!$G$299=0,"",[2]财务取数接口!$G$299),""))</f>
        <v/>
      </c>
      <c r="G300" s="41" t="str">
        <f aca="false">IF($T$4=0,IF($N300="","",$N300),IFERROR(IF([2]财务取数接口!$H$299=0,"",[2]财务取数接口!$H$299),""))</f>
        <v/>
      </c>
      <c r="H300" s="39" t="str">
        <f aca="false">IF($T$4=0,IF($O300="","",$O300),IFERROR(IF([2]财务取数接口!$I$299=0,"",[2]财务取数接口!$I$299),""))</f>
        <v/>
      </c>
      <c r="I300" s="42"/>
      <c r="J300" s="43"/>
      <c r="K300" s="42"/>
      <c r="L300" s="42"/>
      <c r="M300" s="44"/>
      <c r="N300" s="44"/>
      <c r="O300" s="43"/>
      <c r="P300" s="45" t="n">
        <f aca="false">IF(AND($C300&lt;&gt;"",$C300&lt;&gt;"项目",OR(N($D300)&lt;&gt;0,N($E300)&lt;&gt;0,N($F300)&lt;&gt;0)),1,0)</f>
        <v>0</v>
      </c>
      <c r="Q300" s="45" t="n">
        <f aca="false">N(Q299)+$P300</f>
        <v>5</v>
      </c>
    </row>
    <row r="301" customFormat="false" ht="13.5" hidden="false" customHeight="false" outlineLevel="0" collapsed="false">
      <c r="A301" s="9" t="n">
        <v>300</v>
      </c>
      <c r="B301" s="40" t="str">
        <f aca="false">IF($T$4=0,IF($I301="","",$I301),IFERROR(IF([2]财务取数接口!$B$300=0,"",[2]财务取数接口!$B$300),""))</f>
        <v/>
      </c>
      <c r="C301" s="39" t="str">
        <f aca="false">IF($T$4=0,IF($J301="","",$J301),IFERROR(IF([2]财务取数接口!$C$300=0,"",[2]财务取数接口!$C$300),""))</f>
        <v/>
      </c>
      <c r="D301" s="40" t="str">
        <f aca="false">IF($T$4=0,IF($K301="","",$K301),IFERROR(IF([2]财务取数接口!$D$300=0,"",[2]财务取数接口!$D$300),""))</f>
        <v/>
      </c>
      <c r="E301" s="40" t="str">
        <f aca="false">IF($T$4=0,IF($L301="","",$L301),IFERROR(IF([2]财务取数接口!$E$300=0,"",[2]财务取数接口!$E$300),""))</f>
        <v/>
      </c>
      <c r="F301" s="41" t="str">
        <f aca="false">IF($T$4=0,IF($M301="","",$M301),IFERROR(IF([2]财务取数接口!$G$300=0,"",[2]财务取数接口!$G$300),""))</f>
        <v/>
      </c>
      <c r="G301" s="41" t="str">
        <f aca="false">IF($T$4=0,IF($N301="","",$N301),IFERROR(IF([2]财务取数接口!$H$300=0,"",[2]财务取数接口!$H$300),""))</f>
        <v/>
      </c>
      <c r="H301" s="39" t="str">
        <f aca="false">IF($T$4=0,IF($O301="","",$O301),IFERROR(IF([2]财务取数接口!$I$300=0,"",[2]财务取数接口!$I$300),""))</f>
        <v/>
      </c>
      <c r="I301" s="42"/>
      <c r="J301" s="43"/>
      <c r="K301" s="42"/>
      <c r="L301" s="42"/>
      <c r="M301" s="44"/>
      <c r="N301" s="44"/>
      <c r="O301" s="43"/>
      <c r="P301" s="45" t="n">
        <f aca="false">IF(AND($C301&lt;&gt;"",$C301&lt;&gt;"项目",OR(N($D301)&lt;&gt;0,N($E301)&lt;&gt;0,N($F301)&lt;&gt;0)),1,0)</f>
        <v>0</v>
      </c>
      <c r="Q301" s="45" t="n">
        <f aca="false">N(Q300)+$P301</f>
        <v>5</v>
      </c>
    </row>
    <row r="302" customFormat="false" ht="13.5" hidden="false" customHeight="false" outlineLevel="0" collapsed="false">
      <c r="A302" s="9" t="n">
        <v>301</v>
      </c>
      <c r="B302" s="40" t="str">
        <f aca="false">IF($T$4=0,IF($I302="","",$I302),IFERROR(IF([2]财务取数接口!$B$301=0,"",[2]财务取数接口!$B$301),""))</f>
        <v/>
      </c>
      <c r="C302" s="39" t="str">
        <f aca="false">IF($T$4=0,IF($J302="","",$J302),IFERROR(IF([2]财务取数接口!$C$301=0,"",[2]财务取数接口!$C$301),""))</f>
        <v/>
      </c>
      <c r="D302" s="40" t="str">
        <f aca="false">IF($T$4=0,IF($K302="","",$K302),IFERROR(IF([2]财务取数接口!$D$301=0,"",[2]财务取数接口!$D$301),""))</f>
        <v/>
      </c>
      <c r="E302" s="40" t="str">
        <f aca="false">IF($T$4=0,IF($L302="","",$L302),IFERROR(IF([2]财务取数接口!$E$301=0,"",[2]财务取数接口!$E$301),""))</f>
        <v/>
      </c>
      <c r="F302" s="41" t="str">
        <f aca="false">IF($T$4=0,IF($M302="","",$M302),IFERROR(IF([2]财务取数接口!$G$301=0,"",[2]财务取数接口!$G$301),""))</f>
        <v/>
      </c>
      <c r="G302" s="41" t="str">
        <f aca="false">IF($T$4=0,IF($N302="","",$N302),IFERROR(IF([2]财务取数接口!$H$301=0,"",[2]财务取数接口!$H$301),""))</f>
        <v/>
      </c>
      <c r="H302" s="39" t="str">
        <f aca="false">IF($T$4=0,IF($O302="","",$O302),IFERROR(IF([2]财务取数接口!$I$301=0,"",[2]财务取数接口!$I$301),""))</f>
        <v/>
      </c>
      <c r="I302" s="42"/>
      <c r="J302" s="43"/>
      <c r="K302" s="42"/>
      <c r="L302" s="42"/>
      <c r="M302" s="44"/>
      <c r="N302" s="44"/>
      <c r="O302" s="43"/>
      <c r="P302" s="45" t="n">
        <f aca="false">IF(AND($C302&lt;&gt;"",$C302&lt;&gt;"项目",OR(N($D302)&lt;&gt;0,N($E302)&lt;&gt;0,N($F302)&lt;&gt;0)),1,0)</f>
        <v>0</v>
      </c>
      <c r="Q302" s="45" t="n">
        <f aca="false">N(Q301)+$P302</f>
        <v>5</v>
      </c>
    </row>
    <row r="303" customFormat="false" ht="13.5" hidden="false" customHeight="false" outlineLevel="0" collapsed="false">
      <c r="A303" s="9" t="n">
        <v>302</v>
      </c>
      <c r="B303" s="40" t="str">
        <f aca="false">IF($T$4=0,IF($I303="","",$I303),IFERROR(IF([2]财务取数接口!$B$302=0,"",[2]财务取数接口!$B$302),""))</f>
        <v/>
      </c>
      <c r="C303" s="39" t="str">
        <f aca="false">IF($T$4=0,IF($J303="","",$J303),IFERROR(IF([2]财务取数接口!$C$302=0,"",[2]财务取数接口!$C$302),""))</f>
        <v/>
      </c>
      <c r="D303" s="40" t="str">
        <f aca="false">IF($T$4=0,IF($K303="","",$K303),IFERROR(IF([2]财务取数接口!$D$302=0,"",[2]财务取数接口!$D$302),""))</f>
        <v/>
      </c>
      <c r="E303" s="40" t="str">
        <f aca="false">IF($T$4=0,IF($L303="","",$L303),IFERROR(IF([2]财务取数接口!$E$302=0,"",[2]财务取数接口!$E$302),""))</f>
        <v/>
      </c>
      <c r="F303" s="41" t="str">
        <f aca="false">IF($T$4=0,IF($M303="","",$M303),IFERROR(IF([2]财务取数接口!$G$302=0,"",[2]财务取数接口!$G$302),""))</f>
        <v/>
      </c>
      <c r="G303" s="41" t="str">
        <f aca="false">IF($T$4=0,IF($N303="","",$N303),IFERROR(IF([2]财务取数接口!$H$302=0,"",[2]财务取数接口!$H$302),""))</f>
        <v/>
      </c>
      <c r="H303" s="39" t="str">
        <f aca="false">IF($T$4=0,IF($O303="","",$O303),IFERROR(IF([2]财务取数接口!$I$302=0,"",[2]财务取数接口!$I$302),""))</f>
        <v/>
      </c>
      <c r="I303" s="42"/>
      <c r="J303" s="43"/>
      <c r="K303" s="42"/>
      <c r="L303" s="42"/>
      <c r="M303" s="44"/>
      <c r="N303" s="44"/>
      <c r="O303" s="43"/>
      <c r="P303" s="45" t="n">
        <f aca="false">IF(AND($C303&lt;&gt;"",$C303&lt;&gt;"项目",OR(N($D303)&lt;&gt;0,N($E303)&lt;&gt;0,N($F303)&lt;&gt;0)),1,0)</f>
        <v>0</v>
      </c>
      <c r="Q303" s="45" t="n">
        <f aca="false">N(Q302)+$P303</f>
        <v>5</v>
      </c>
    </row>
    <row r="304" customFormat="false" ht="13.5" hidden="false" customHeight="false" outlineLevel="0" collapsed="false">
      <c r="A304" s="9" t="n">
        <v>303</v>
      </c>
      <c r="B304" s="40" t="str">
        <f aca="false">IF($T$4=0,IF($I304="","",$I304),IFERROR(IF([2]财务取数接口!$B$303=0,"",[2]财务取数接口!$B$303),""))</f>
        <v/>
      </c>
      <c r="C304" s="39" t="str">
        <f aca="false">IF($T$4=0,IF($J304="","",$J304),IFERROR(IF([2]财务取数接口!$C$303=0,"",[2]财务取数接口!$C$303),""))</f>
        <v/>
      </c>
      <c r="D304" s="40" t="str">
        <f aca="false">IF($T$4=0,IF($K304="","",$K304),IFERROR(IF([2]财务取数接口!$D$303=0,"",[2]财务取数接口!$D$303),""))</f>
        <v/>
      </c>
      <c r="E304" s="40" t="str">
        <f aca="false">IF($T$4=0,IF($L304="","",$L304),IFERROR(IF([2]财务取数接口!$E$303=0,"",[2]财务取数接口!$E$303),""))</f>
        <v/>
      </c>
      <c r="F304" s="41" t="str">
        <f aca="false">IF($T$4=0,IF($M304="","",$M304),IFERROR(IF([2]财务取数接口!$G$303=0,"",[2]财务取数接口!$G$303),""))</f>
        <v/>
      </c>
      <c r="G304" s="41" t="str">
        <f aca="false">IF($T$4=0,IF($N304="","",$N304),IFERROR(IF([2]财务取数接口!$H$303=0,"",[2]财务取数接口!$H$303),""))</f>
        <v/>
      </c>
      <c r="H304" s="39" t="str">
        <f aca="false">IF($T$4=0,IF($O304="","",$O304),IFERROR(IF([2]财务取数接口!$I$303=0,"",[2]财务取数接口!$I$303),""))</f>
        <v/>
      </c>
      <c r="I304" s="42"/>
      <c r="J304" s="43"/>
      <c r="K304" s="42"/>
      <c r="L304" s="42"/>
      <c r="M304" s="44"/>
      <c r="N304" s="44"/>
      <c r="O304" s="43"/>
      <c r="P304" s="45" t="n">
        <f aca="false">IF(AND($C304&lt;&gt;"",$C304&lt;&gt;"项目",OR(N($D304)&lt;&gt;0,N($E304)&lt;&gt;0,N($F304)&lt;&gt;0)),1,0)</f>
        <v>0</v>
      </c>
      <c r="Q304" s="45" t="n">
        <f aca="false">N(Q303)+$P304</f>
        <v>5</v>
      </c>
    </row>
    <row r="305" customFormat="false" ht="13.5" hidden="false" customHeight="false" outlineLevel="0" collapsed="false">
      <c r="A305" s="9" t="n">
        <v>304</v>
      </c>
      <c r="B305" s="40" t="str">
        <f aca="false">IF($T$4=0,IF($I305="","",$I305),IFERROR(IF([2]财务取数接口!$B$304=0,"",[2]财务取数接口!$B$304),""))</f>
        <v/>
      </c>
      <c r="C305" s="39" t="str">
        <f aca="false">IF($T$4=0,IF($J305="","",$J305),IFERROR(IF([2]财务取数接口!$C$304=0,"",[2]财务取数接口!$C$304),""))</f>
        <v/>
      </c>
      <c r="D305" s="40" t="str">
        <f aca="false">IF($T$4=0,IF($K305="","",$K305),IFERROR(IF([2]财务取数接口!$D$304=0,"",[2]财务取数接口!$D$304),""))</f>
        <v/>
      </c>
      <c r="E305" s="40" t="str">
        <f aca="false">IF($T$4=0,IF($L305="","",$L305),IFERROR(IF([2]财务取数接口!$E$304=0,"",[2]财务取数接口!$E$304),""))</f>
        <v/>
      </c>
      <c r="F305" s="41" t="str">
        <f aca="false">IF($T$4=0,IF($M305="","",$M305),IFERROR(IF([2]财务取数接口!$G$304=0,"",[2]财务取数接口!$G$304),""))</f>
        <v/>
      </c>
      <c r="G305" s="41" t="str">
        <f aca="false">IF($T$4=0,IF($N305="","",$N305),IFERROR(IF([2]财务取数接口!$H$304=0,"",[2]财务取数接口!$H$304),""))</f>
        <v/>
      </c>
      <c r="H305" s="39" t="str">
        <f aca="false">IF($T$4=0,IF($O305="","",$O305),IFERROR(IF([2]财务取数接口!$I$304=0,"",[2]财务取数接口!$I$304),""))</f>
        <v/>
      </c>
      <c r="I305" s="42"/>
      <c r="J305" s="43"/>
      <c r="K305" s="42"/>
      <c r="L305" s="42"/>
      <c r="M305" s="44"/>
      <c r="N305" s="44"/>
      <c r="O305" s="43"/>
      <c r="P305" s="45" t="n">
        <f aca="false">IF(AND($C305&lt;&gt;"",$C305&lt;&gt;"项目",OR(N($D305)&lt;&gt;0,N($E305)&lt;&gt;0,N($F305)&lt;&gt;0)),1,0)</f>
        <v>0</v>
      </c>
      <c r="Q305" s="45" t="n">
        <f aca="false">N(Q304)+$P305</f>
        <v>5</v>
      </c>
    </row>
    <row r="306" customFormat="false" ht="13.5" hidden="false" customHeight="false" outlineLevel="0" collapsed="false">
      <c r="A306" s="9" t="n">
        <v>305</v>
      </c>
      <c r="B306" s="40" t="str">
        <f aca="false">IF($T$4=0,IF($I306="","",$I306),IFERROR(IF([2]财务取数接口!$B$305=0,"",[2]财务取数接口!$B$305),""))</f>
        <v/>
      </c>
      <c r="C306" s="39" t="str">
        <f aca="false">IF($T$4=0,IF($J306="","",$J306),IFERROR(IF([2]财务取数接口!$C$305=0,"",[2]财务取数接口!$C$305),""))</f>
        <v/>
      </c>
      <c r="D306" s="40" t="str">
        <f aca="false">IF($T$4=0,IF($K306="","",$K306),IFERROR(IF([2]财务取数接口!$D$305=0,"",[2]财务取数接口!$D$305),""))</f>
        <v/>
      </c>
      <c r="E306" s="40" t="str">
        <f aca="false">IF($T$4=0,IF($L306="","",$L306),IFERROR(IF([2]财务取数接口!$E$305=0,"",[2]财务取数接口!$E$305),""))</f>
        <v/>
      </c>
      <c r="F306" s="41" t="str">
        <f aca="false">IF($T$4=0,IF($M306="","",$M306),IFERROR(IF([2]财务取数接口!$G$305=0,"",[2]财务取数接口!$G$305),""))</f>
        <v/>
      </c>
      <c r="G306" s="41" t="str">
        <f aca="false">IF($T$4=0,IF($N306="","",$N306),IFERROR(IF([2]财务取数接口!$H$305=0,"",[2]财务取数接口!$H$305),""))</f>
        <v/>
      </c>
      <c r="H306" s="39" t="str">
        <f aca="false">IF($T$4=0,IF($O306="","",$O306),IFERROR(IF([2]财务取数接口!$I$305=0,"",[2]财务取数接口!$I$305),""))</f>
        <v/>
      </c>
      <c r="I306" s="42"/>
      <c r="J306" s="43"/>
      <c r="K306" s="42"/>
      <c r="L306" s="42"/>
      <c r="M306" s="44"/>
      <c r="N306" s="44"/>
      <c r="O306" s="43"/>
      <c r="P306" s="45" t="n">
        <f aca="false">IF(AND($C306&lt;&gt;"",$C306&lt;&gt;"项目",OR(N($D306)&lt;&gt;0,N($E306)&lt;&gt;0,N($F306)&lt;&gt;0)),1,0)</f>
        <v>0</v>
      </c>
      <c r="Q306" s="45" t="n">
        <f aca="false">N(Q305)+$P306</f>
        <v>5</v>
      </c>
    </row>
    <row r="307" customFormat="false" ht="13.5" hidden="false" customHeight="false" outlineLevel="0" collapsed="false">
      <c r="A307" s="9" t="n">
        <v>306</v>
      </c>
      <c r="B307" s="40" t="str">
        <f aca="false">IF($T$4=0,IF($I307="","",$I307),IFERROR(IF([2]财务取数接口!$B$306=0,"",[2]财务取数接口!$B$306),""))</f>
        <v/>
      </c>
      <c r="C307" s="39" t="str">
        <f aca="false">IF($T$4=0,IF($J307="","",$J307),IFERROR(IF([2]财务取数接口!$C$306=0,"",[2]财务取数接口!$C$306),""))</f>
        <v/>
      </c>
      <c r="D307" s="40" t="str">
        <f aca="false">IF($T$4=0,IF($K307="","",$K307),IFERROR(IF([2]财务取数接口!$D$306=0,"",[2]财务取数接口!$D$306),""))</f>
        <v/>
      </c>
      <c r="E307" s="40" t="str">
        <f aca="false">IF($T$4=0,IF($L307="","",$L307),IFERROR(IF([2]财务取数接口!$E$306=0,"",[2]财务取数接口!$E$306),""))</f>
        <v/>
      </c>
      <c r="F307" s="41" t="str">
        <f aca="false">IF($T$4=0,IF($M307="","",$M307),IFERROR(IF([2]财务取数接口!$G$306=0,"",[2]财务取数接口!$G$306),""))</f>
        <v/>
      </c>
      <c r="G307" s="41" t="str">
        <f aca="false">IF($T$4=0,IF($N307="","",$N307),IFERROR(IF([2]财务取数接口!$H$306=0,"",[2]财务取数接口!$H$306),""))</f>
        <v/>
      </c>
      <c r="H307" s="39" t="str">
        <f aca="false">IF($T$4=0,IF($O307="","",$O307),IFERROR(IF([2]财务取数接口!$I$306=0,"",[2]财务取数接口!$I$306),""))</f>
        <v/>
      </c>
      <c r="I307" s="42"/>
      <c r="J307" s="43"/>
      <c r="K307" s="42"/>
      <c r="L307" s="42"/>
      <c r="M307" s="44"/>
      <c r="N307" s="44"/>
      <c r="O307" s="43"/>
      <c r="P307" s="45" t="n">
        <f aca="false">IF(AND($C307&lt;&gt;"",$C307&lt;&gt;"项目",OR(N($D307)&lt;&gt;0,N($E307)&lt;&gt;0,N($F307)&lt;&gt;0)),1,0)</f>
        <v>0</v>
      </c>
      <c r="Q307" s="45" t="n">
        <f aca="false">N(Q306)+$P307</f>
        <v>5</v>
      </c>
    </row>
    <row r="308" customFormat="false" ht="13.5" hidden="false" customHeight="false" outlineLevel="0" collapsed="false">
      <c r="A308" s="9" t="n">
        <v>307</v>
      </c>
      <c r="B308" s="40" t="str">
        <f aca="false">IF($T$4=0,IF($I308="","",$I308),IFERROR(IF([2]财务取数接口!$B$307=0,"",[2]财务取数接口!$B$307),""))</f>
        <v/>
      </c>
      <c r="C308" s="39" t="str">
        <f aca="false">IF($T$4=0,IF($J308="","",$J308),IFERROR(IF([2]财务取数接口!$C$307=0,"",[2]财务取数接口!$C$307),""))</f>
        <v/>
      </c>
      <c r="D308" s="40" t="str">
        <f aca="false">IF($T$4=0,IF($K308="","",$K308),IFERROR(IF([2]财务取数接口!$D$307=0,"",[2]财务取数接口!$D$307),""))</f>
        <v/>
      </c>
      <c r="E308" s="40" t="str">
        <f aca="false">IF($T$4=0,IF($L308="","",$L308),IFERROR(IF([2]财务取数接口!$E$307=0,"",[2]财务取数接口!$E$307),""))</f>
        <v/>
      </c>
      <c r="F308" s="41" t="str">
        <f aca="false">IF($T$4=0,IF($M308="","",$M308),IFERROR(IF([2]财务取数接口!$G$307=0,"",[2]财务取数接口!$G$307),""))</f>
        <v/>
      </c>
      <c r="G308" s="41" t="str">
        <f aca="false">IF($T$4=0,IF($N308="","",$N308),IFERROR(IF([2]财务取数接口!$H$307=0,"",[2]财务取数接口!$H$307),""))</f>
        <v/>
      </c>
      <c r="H308" s="39" t="str">
        <f aca="false">IF($T$4=0,IF($O308="","",$O308),IFERROR(IF([2]财务取数接口!$I$307=0,"",[2]财务取数接口!$I$307),""))</f>
        <v/>
      </c>
      <c r="I308" s="42"/>
      <c r="J308" s="43"/>
      <c r="K308" s="42"/>
      <c r="L308" s="42"/>
      <c r="M308" s="44"/>
      <c r="N308" s="44"/>
      <c r="O308" s="43"/>
      <c r="P308" s="45" t="n">
        <f aca="false">IF(AND($C308&lt;&gt;"",$C308&lt;&gt;"项目",OR(N($D308)&lt;&gt;0,N($E308)&lt;&gt;0,N($F308)&lt;&gt;0)),1,0)</f>
        <v>0</v>
      </c>
      <c r="Q308" s="45" t="n">
        <f aca="false">N(Q307)+$P308</f>
        <v>5</v>
      </c>
    </row>
    <row r="309" customFormat="false" ht="13.5" hidden="false" customHeight="false" outlineLevel="0" collapsed="false">
      <c r="A309" s="9" t="n">
        <v>308</v>
      </c>
      <c r="B309" s="40" t="str">
        <f aca="false">IF($T$4=0,IF($I309="","",$I309),IFERROR(IF([2]财务取数接口!$B$308=0,"",[2]财务取数接口!$B$308),""))</f>
        <v/>
      </c>
      <c r="C309" s="39" t="str">
        <f aca="false">IF($T$4=0,IF($J309="","",$J309),IFERROR(IF([2]财务取数接口!$C$308=0,"",[2]财务取数接口!$C$308),""))</f>
        <v/>
      </c>
      <c r="D309" s="40" t="str">
        <f aca="false">IF($T$4=0,IF($K309="","",$K309),IFERROR(IF([2]财务取数接口!$D$308=0,"",[2]财务取数接口!$D$308),""))</f>
        <v/>
      </c>
      <c r="E309" s="40" t="str">
        <f aca="false">IF($T$4=0,IF($L309="","",$L309),IFERROR(IF([2]财务取数接口!$E$308=0,"",[2]财务取数接口!$E$308),""))</f>
        <v/>
      </c>
      <c r="F309" s="41" t="str">
        <f aca="false">IF($T$4=0,IF($M309="","",$M309),IFERROR(IF([2]财务取数接口!$G$308=0,"",[2]财务取数接口!$G$308),""))</f>
        <v/>
      </c>
      <c r="G309" s="41" t="str">
        <f aca="false">IF($T$4=0,IF($N309="","",$N309),IFERROR(IF([2]财务取数接口!$H$308=0,"",[2]财务取数接口!$H$308),""))</f>
        <v/>
      </c>
      <c r="H309" s="39" t="str">
        <f aca="false">IF($T$4=0,IF($O309="","",$O309),IFERROR(IF([2]财务取数接口!$I$308=0,"",[2]财务取数接口!$I$308),""))</f>
        <v/>
      </c>
      <c r="I309" s="42"/>
      <c r="J309" s="43"/>
      <c r="K309" s="42"/>
      <c r="L309" s="42"/>
      <c r="M309" s="44"/>
      <c r="N309" s="44"/>
      <c r="O309" s="43"/>
      <c r="P309" s="45" t="n">
        <f aca="false">IF(AND($C309&lt;&gt;"",$C309&lt;&gt;"项目",OR(N($D309)&lt;&gt;0,N($E309)&lt;&gt;0,N($F309)&lt;&gt;0)),1,0)</f>
        <v>0</v>
      </c>
      <c r="Q309" s="45" t="n">
        <f aca="false">N(Q308)+$P309</f>
        <v>5</v>
      </c>
    </row>
    <row r="310" customFormat="false" ht="13.5" hidden="false" customHeight="false" outlineLevel="0" collapsed="false">
      <c r="A310" s="9" t="n">
        <v>309</v>
      </c>
      <c r="B310" s="40" t="str">
        <f aca="false">IF($T$4=0,IF($I310="","",$I310),IFERROR(IF([2]财务取数接口!$B$309=0,"",[2]财务取数接口!$B$309),""))</f>
        <v/>
      </c>
      <c r="C310" s="39" t="str">
        <f aca="false">IF($T$4=0,IF($J310="","",$J310),IFERROR(IF([2]财务取数接口!$C$309=0,"",[2]财务取数接口!$C$309),""))</f>
        <v/>
      </c>
      <c r="D310" s="40" t="str">
        <f aca="false">IF($T$4=0,IF($K310="","",$K310),IFERROR(IF([2]财务取数接口!$D$309=0,"",[2]财务取数接口!$D$309),""))</f>
        <v/>
      </c>
      <c r="E310" s="40" t="str">
        <f aca="false">IF($T$4=0,IF($L310="","",$L310),IFERROR(IF([2]财务取数接口!$E$309=0,"",[2]财务取数接口!$E$309),""))</f>
        <v/>
      </c>
      <c r="F310" s="41" t="str">
        <f aca="false">IF($T$4=0,IF($M310="","",$M310),IFERROR(IF([2]财务取数接口!$G$309=0,"",[2]财务取数接口!$G$309),""))</f>
        <v/>
      </c>
      <c r="G310" s="41" t="str">
        <f aca="false">IF($T$4=0,IF($N310="","",$N310),IFERROR(IF([2]财务取数接口!$H$309=0,"",[2]财务取数接口!$H$309),""))</f>
        <v/>
      </c>
      <c r="H310" s="39" t="str">
        <f aca="false">IF($T$4=0,IF($O310="","",$O310),IFERROR(IF([2]财务取数接口!$I$309=0,"",[2]财务取数接口!$I$309),""))</f>
        <v/>
      </c>
      <c r="I310" s="42"/>
      <c r="J310" s="43"/>
      <c r="K310" s="42"/>
      <c r="L310" s="42"/>
      <c r="M310" s="44"/>
      <c r="N310" s="44"/>
      <c r="O310" s="43"/>
      <c r="P310" s="45" t="n">
        <f aca="false">IF(AND($C310&lt;&gt;"",$C310&lt;&gt;"项目",OR(N($D310)&lt;&gt;0,N($E310)&lt;&gt;0,N($F310)&lt;&gt;0)),1,0)</f>
        <v>0</v>
      </c>
      <c r="Q310" s="45" t="n">
        <f aca="false">N(Q309)+$P310</f>
        <v>5</v>
      </c>
    </row>
    <row r="311" customFormat="false" ht="13.5" hidden="false" customHeight="false" outlineLevel="0" collapsed="false">
      <c r="A311" s="9" t="n">
        <v>310</v>
      </c>
      <c r="B311" s="40" t="str">
        <f aca="false">IF($T$4=0,IF($I311="","",$I311),IFERROR(IF([2]财务取数接口!$B$310=0,"",[2]财务取数接口!$B$310),""))</f>
        <v/>
      </c>
      <c r="C311" s="39" t="str">
        <f aca="false">IF($T$4=0,IF($J311="","",$J311),IFERROR(IF([2]财务取数接口!$C$310=0,"",[2]财务取数接口!$C$310),""))</f>
        <v/>
      </c>
      <c r="D311" s="40" t="str">
        <f aca="false">IF($T$4=0,IF($K311="","",$K311),IFERROR(IF([2]财务取数接口!$D$310=0,"",[2]财务取数接口!$D$310),""))</f>
        <v/>
      </c>
      <c r="E311" s="40" t="str">
        <f aca="false">IF($T$4=0,IF($L311="","",$L311),IFERROR(IF([2]财务取数接口!$E$310=0,"",[2]财务取数接口!$E$310),""))</f>
        <v/>
      </c>
      <c r="F311" s="41" t="str">
        <f aca="false">IF($T$4=0,IF($M311="","",$M311),IFERROR(IF([2]财务取数接口!$G$310=0,"",[2]财务取数接口!$G$310),""))</f>
        <v/>
      </c>
      <c r="G311" s="41" t="str">
        <f aca="false">IF($T$4=0,IF($N311="","",$N311),IFERROR(IF([2]财务取数接口!$H$310=0,"",[2]财务取数接口!$H$310),""))</f>
        <v/>
      </c>
      <c r="H311" s="39" t="str">
        <f aca="false">IF($T$4=0,IF($O311="","",$O311),IFERROR(IF([2]财务取数接口!$I$310=0,"",[2]财务取数接口!$I$310),""))</f>
        <v/>
      </c>
      <c r="I311" s="42"/>
      <c r="J311" s="43"/>
      <c r="K311" s="42"/>
      <c r="L311" s="42"/>
      <c r="M311" s="44"/>
      <c r="N311" s="44"/>
      <c r="O311" s="43"/>
      <c r="P311" s="45" t="n">
        <f aca="false">IF(AND($C311&lt;&gt;"",$C311&lt;&gt;"项目",OR(N($D311)&lt;&gt;0,N($E311)&lt;&gt;0,N($F311)&lt;&gt;0)),1,0)</f>
        <v>0</v>
      </c>
      <c r="Q311" s="45" t="n">
        <f aca="false">N(Q310)+$P311</f>
        <v>5</v>
      </c>
    </row>
    <row r="312" customFormat="false" ht="13.5" hidden="false" customHeight="false" outlineLevel="0" collapsed="false">
      <c r="A312" s="9" t="n">
        <v>311</v>
      </c>
      <c r="B312" s="40" t="str">
        <f aca="false">IF($T$4=0,IF($I312="","",$I312),IFERROR(IF([2]财务取数接口!$B$311=0,"",[2]财务取数接口!$B$311),""))</f>
        <v/>
      </c>
      <c r="C312" s="39" t="str">
        <f aca="false">IF($T$4=0,IF($J312="","",$J312),IFERROR(IF([2]财务取数接口!$C$311=0,"",[2]财务取数接口!$C$311),""))</f>
        <v/>
      </c>
      <c r="D312" s="40" t="str">
        <f aca="false">IF($T$4=0,IF($K312="","",$K312),IFERROR(IF([2]财务取数接口!$D$311=0,"",[2]财务取数接口!$D$311),""))</f>
        <v/>
      </c>
      <c r="E312" s="40" t="str">
        <f aca="false">IF($T$4=0,IF($L312="","",$L312),IFERROR(IF([2]财务取数接口!$E$311=0,"",[2]财务取数接口!$E$311),""))</f>
        <v/>
      </c>
      <c r="F312" s="41" t="str">
        <f aca="false">IF($T$4=0,IF($M312="","",$M312),IFERROR(IF([2]财务取数接口!$G$311=0,"",[2]财务取数接口!$G$311),""))</f>
        <v/>
      </c>
      <c r="G312" s="41" t="str">
        <f aca="false">IF($T$4=0,IF($N312="","",$N312),IFERROR(IF([2]财务取数接口!$H$311=0,"",[2]财务取数接口!$H$311),""))</f>
        <v/>
      </c>
      <c r="H312" s="39" t="str">
        <f aca="false">IF($T$4=0,IF($O312="","",$O312),IFERROR(IF([2]财务取数接口!$I$311=0,"",[2]财务取数接口!$I$311),""))</f>
        <v/>
      </c>
      <c r="I312" s="42"/>
      <c r="J312" s="43"/>
      <c r="K312" s="42"/>
      <c r="L312" s="42"/>
      <c r="M312" s="44"/>
      <c r="N312" s="44"/>
      <c r="O312" s="43"/>
      <c r="P312" s="45" t="n">
        <f aca="false">IF(AND($C312&lt;&gt;"",$C312&lt;&gt;"项目",OR(N($D312)&lt;&gt;0,N($E312)&lt;&gt;0,N($F312)&lt;&gt;0)),1,0)</f>
        <v>0</v>
      </c>
      <c r="Q312" s="45" t="n">
        <f aca="false">N(Q311)+$P312</f>
        <v>5</v>
      </c>
    </row>
    <row r="313" customFormat="false" ht="13.5" hidden="false" customHeight="false" outlineLevel="0" collapsed="false">
      <c r="A313" s="9" t="n">
        <v>312</v>
      </c>
      <c r="B313" s="40" t="str">
        <f aca="false">IF($T$4=0,IF($I313="","",$I313),IFERROR(IF([2]财务取数接口!$B$312=0,"",[2]财务取数接口!$B$312),""))</f>
        <v/>
      </c>
      <c r="C313" s="39" t="str">
        <f aca="false">IF($T$4=0,IF($J313="","",$J313),IFERROR(IF([2]财务取数接口!$C$312=0,"",[2]财务取数接口!$C$312),""))</f>
        <v/>
      </c>
      <c r="D313" s="40" t="str">
        <f aca="false">IF($T$4=0,IF($K313="","",$K313),IFERROR(IF([2]财务取数接口!$D$312=0,"",[2]财务取数接口!$D$312),""))</f>
        <v/>
      </c>
      <c r="E313" s="40" t="str">
        <f aca="false">IF($T$4=0,IF($L313="","",$L313),IFERROR(IF([2]财务取数接口!$E$312=0,"",[2]财务取数接口!$E$312),""))</f>
        <v/>
      </c>
      <c r="F313" s="41" t="str">
        <f aca="false">IF($T$4=0,IF($M313="","",$M313),IFERROR(IF([2]财务取数接口!$G$312=0,"",[2]财务取数接口!$G$312),""))</f>
        <v/>
      </c>
      <c r="G313" s="41" t="str">
        <f aca="false">IF($T$4=0,IF($N313="","",$N313),IFERROR(IF([2]财务取数接口!$H$312=0,"",[2]财务取数接口!$H$312),""))</f>
        <v/>
      </c>
      <c r="H313" s="39" t="str">
        <f aca="false">IF($T$4=0,IF($O313="","",$O313),IFERROR(IF([2]财务取数接口!$I$312=0,"",[2]财务取数接口!$I$312),""))</f>
        <v/>
      </c>
      <c r="I313" s="42"/>
      <c r="J313" s="43"/>
      <c r="K313" s="42"/>
      <c r="L313" s="42"/>
      <c r="M313" s="44"/>
      <c r="N313" s="44"/>
      <c r="O313" s="43"/>
      <c r="P313" s="45" t="n">
        <f aca="false">IF(AND($C313&lt;&gt;"",$C313&lt;&gt;"项目",OR(N($D313)&lt;&gt;0,N($E313)&lt;&gt;0,N($F313)&lt;&gt;0)),1,0)</f>
        <v>0</v>
      </c>
      <c r="Q313" s="45" t="n">
        <f aca="false">N(Q312)+$P313</f>
        <v>5</v>
      </c>
    </row>
    <row r="314" customFormat="false" ht="13.5" hidden="false" customHeight="false" outlineLevel="0" collapsed="false">
      <c r="A314" s="9" t="n">
        <v>313</v>
      </c>
      <c r="B314" s="40" t="str">
        <f aca="false">IF($T$4=0,IF($I314="","",$I314),IFERROR(IF([2]财务取数接口!$B$313=0,"",[2]财务取数接口!$B$313),""))</f>
        <v/>
      </c>
      <c r="C314" s="39" t="str">
        <f aca="false">IF($T$4=0,IF($J314="","",$J314),IFERROR(IF([2]财务取数接口!$C$313=0,"",[2]财务取数接口!$C$313),""))</f>
        <v/>
      </c>
      <c r="D314" s="40" t="str">
        <f aca="false">IF($T$4=0,IF($K314="","",$K314),IFERROR(IF([2]财务取数接口!$D$313=0,"",[2]财务取数接口!$D$313),""))</f>
        <v/>
      </c>
      <c r="E314" s="40" t="str">
        <f aca="false">IF($T$4=0,IF($L314="","",$L314),IFERROR(IF([2]财务取数接口!$E$313=0,"",[2]财务取数接口!$E$313),""))</f>
        <v/>
      </c>
      <c r="F314" s="41" t="str">
        <f aca="false">IF($T$4=0,IF($M314="","",$M314),IFERROR(IF([2]财务取数接口!$G$313=0,"",[2]财务取数接口!$G$313),""))</f>
        <v/>
      </c>
      <c r="G314" s="41" t="str">
        <f aca="false">IF($T$4=0,IF($N314="","",$N314),IFERROR(IF([2]财务取数接口!$H$313=0,"",[2]财务取数接口!$H$313),""))</f>
        <v/>
      </c>
      <c r="H314" s="39" t="str">
        <f aca="false">IF($T$4=0,IF($O314="","",$O314),IFERROR(IF([2]财务取数接口!$I$313=0,"",[2]财务取数接口!$I$313),""))</f>
        <v/>
      </c>
      <c r="I314" s="42"/>
      <c r="J314" s="43"/>
      <c r="K314" s="42"/>
      <c r="L314" s="42"/>
      <c r="M314" s="44"/>
      <c r="N314" s="44"/>
      <c r="O314" s="43"/>
      <c r="P314" s="45" t="n">
        <f aca="false">IF(AND($C314&lt;&gt;"",$C314&lt;&gt;"项目",OR(N($D314)&lt;&gt;0,N($E314)&lt;&gt;0,N($F314)&lt;&gt;0)),1,0)</f>
        <v>0</v>
      </c>
      <c r="Q314" s="45" t="n">
        <f aca="false">N(Q313)+$P314</f>
        <v>5</v>
      </c>
    </row>
    <row r="315" customFormat="false" ht="13.5" hidden="false" customHeight="false" outlineLevel="0" collapsed="false">
      <c r="A315" s="9" t="n">
        <v>314</v>
      </c>
      <c r="B315" s="40" t="str">
        <f aca="false">IF($T$4=0,IF($I315="","",$I315),IFERROR(IF([2]财务取数接口!$B$314=0,"",[2]财务取数接口!$B$314),""))</f>
        <v/>
      </c>
      <c r="C315" s="39" t="str">
        <f aca="false">IF($T$4=0,IF($J315="","",$J315),IFERROR(IF([2]财务取数接口!$C$314=0,"",[2]财务取数接口!$C$314),""))</f>
        <v/>
      </c>
      <c r="D315" s="40" t="str">
        <f aca="false">IF($T$4=0,IF($K315="","",$K315),IFERROR(IF([2]财务取数接口!$D$314=0,"",[2]财务取数接口!$D$314),""))</f>
        <v/>
      </c>
      <c r="E315" s="40" t="str">
        <f aca="false">IF($T$4=0,IF($L315="","",$L315),IFERROR(IF([2]财务取数接口!$E$314=0,"",[2]财务取数接口!$E$314),""))</f>
        <v/>
      </c>
      <c r="F315" s="41" t="str">
        <f aca="false">IF($T$4=0,IF($M315="","",$M315),IFERROR(IF([2]财务取数接口!$G$314=0,"",[2]财务取数接口!$G$314),""))</f>
        <v/>
      </c>
      <c r="G315" s="41" t="str">
        <f aca="false">IF($T$4=0,IF($N315="","",$N315),IFERROR(IF([2]财务取数接口!$H$314=0,"",[2]财务取数接口!$H$314),""))</f>
        <v/>
      </c>
      <c r="H315" s="39" t="str">
        <f aca="false">IF($T$4=0,IF($O315="","",$O315),IFERROR(IF([2]财务取数接口!$I$314=0,"",[2]财务取数接口!$I$314),""))</f>
        <v/>
      </c>
      <c r="I315" s="42"/>
      <c r="J315" s="43"/>
      <c r="K315" s="42"/>
      <c r="L315" s="42"/>
      <c r="M315" s="44"/>
      <c r="N315" s="44"/>
      <c r="O315" s="43"/>
      <c r="P315" s="45" t="n">
        <f aca="false">IF(AND($C315&lt;&gt;"",$C315&lt;&gt;"项目",OR(N($D315)&lt;&gt;0,N($E315)&lt;&gt;0,N($F315)&lt;&gt;0)),1,0)</f>
        <v>0</v>
      </c>
      <c r="Q315" s="45" t="n">
        <f aca="false">N(Q314)+$P315</f>
        <v>5</v>
      </c>
    </row>
    <row r="316" customFormat="false" ht="13.5" hidden="false" customHeight="false" outlineLevel="0" collapsed="false">
      <c r="A316" s="9" t="n">
        <v>315</v>
      </c>
      <c r="B316" s="40" t="str">
        <f aca="false">IF($T$4=0,IF($I316="","",$I316),IFERROR(IF([2]财务取数接口!$B$315=0,"",[2]财务取数接口!$B$315),""))</f>
        <v/>
      </c>
      <c r="C316" s="39" t="str">
        <f aca="false">IF($T$4=0,IF($J316="","",$J316),IFERROR(IF([2]财务取数接口!$C$315=0,"",[2]财务取数接口!$C$315),""))</f>
        <v/>
      </c>
      <c r="D316" s="40" t="str">
        <f aca="false">IF($T$4=0,IF($K316="","",$K316),IFERROR(IF([2]财务取数接口!$D$315=0,"",[2]财务取数接口!$D$315),""))</f>
        <v/>
      </c>
      <c r="E316" s="40" t="str">
        <f aca="false">IF($T$4=0,IF($L316="","",$L316),IFERROR(IF([2]财务取数接口!$E$315=0,"",[2]财务取数接口!$E$315),""))</f>
        <v/>
      </c>
      <c r="F316" s="41" t="str">
        <f aca="false">IF($T$4=0,IF($M316="","",$M316),IFERROR(IF([2]财务取数接口!$G$315=0,"",[2]财务取数接口!$G$315),""))</f>
        <v/>
      </c>
      <c r="G316" s="41" t="str">
        <f aca="false">IF($T$4=0,IF($N316="","",$N316),IFERROR(IF([2]财务取数接口!$H$315=0,"",[2]财务取数接口!$H$315),""))</f>
        <v/>
      </c>
      <c r="H316" s="39" t="str">
        <f aca="false">IF($T$4=0,IF($O316="","",$O316),IFERROR(IF([2]财务取数接口!$I$315=0,"",[2]财务取数接口!$I$315),""))</f>
        <v/>
      </c>
      <c r="I316" s="42"/>
      <c r="J316" s="43"/>
      <c r="K316" s="42"/>
      <c r="L316" s="42"/>
      <c r="M316" s="44"/>
      <c r="N316" s="44"/>
      <c r="O316" s="43"/>
      <c r="P316" s="45" t="n">
        <f aca="false">IF(AND($C316&lt;&gt;"",$C316&lt;&gt;"项目",OR(N($D316)&lt;&gt;0,N($E316)&lt;&gt;0,N($F316)&lt;&gt;0)),1,0)</f>
        <v>0</v>
      </c>
      <c r="Q316" s="45" t="n">
        <f aca="false">N(Q315)+$P316</f>
        <v>5</v>
      </c>
    </row>
    <row r="317" customFormat="false" ht="13.5" hidden="false" customHeight="false" outlineLevel="0" collapsed="false">
      <c r="A317" s="9" t="n">
        <v>316</v>
      </c>
      <c r="B317" s="40" t="str">
        <f aca="false">IF($T$4=0,IF($I317="","",$I317),IFERROR(IF([2]财务取数接口!$B$316=0,"",[2]财务取数接口!$B$316),""))</f>
        <v/>
      </c>
      <c r="C317" s="39" t="str">
        <f aca="false">IF($T$4=0,IF($J317="","",$J317),IFERROR(IF([2]财务取数接口!$C$316=0,"",[2]财务取数接口!$C$316),""))</f>
        <v/>
      </c>
      <c r="D317" s="40" t="str">
        <f aca="false">IF($T$4=0,IF($K317="","",$K317),IFERROR(IF([2]财务取数接口!$D$316=0,"",[2]财务取数接口!$D$316),""))</f>
        <v/>
      </c>
      <c r="E317" s="40" t="str">
        <f aca="false">IF($T$4=0,IF($L317="","",$L317),IFERROR(IF([2]财务取数接口!$E$316=0,"",[2]财务取数接口!$E$316),""))</f>
        <v/>
      </c>
      <c r="F317" s="41" t="str">
        <f aca="false">IF($T$4=0,IF($M317="","",$M317),IFERROR(IF([2]财务取数接口!$G$316=0,"",[2]财务取数接口!$G$316),""))</f>
        <v/>
      </c>
      <c r="G317" s="41" t="str">
        <f aca="false">IF($T$4=0,IF($N317="","",$N317),IFERROR(IF([2]财务取数接口!$H$316=0,"",[2]财务取数接口!$H$316),""))</f>
        <v/>
      </c>
      <c r="H317" s="39" t="str">
        <f aca="false">IF($T$4=0,IF($O317="","",$O317),IFERROR(IF([2]财务取数接口!$I$316=0,"",[2]财务取数接口!$I$316),""))</f>
        <v/>
      </c>
      <c r="I317" s="42"/>
      <c r="J317" s="43"/>
      <c r="K317" s="42"/>
      <c r="L317" s="42"/>
      <c r="M317" s="44"/>
      <c r="N317" s="44"/>
      <c r="O317" s="43"/>
      <c r="P317" s="45" t="n">
        <f aca="false">IF(AND($C317&lt;&gt;"",$C317&lt;&gt;"项目",OR(N($D317)&lt;&gt;0,N($E317)&lt;&gt;0,N($F317)&lt;&gt;0)),1,0)</f>
        <v>0</v>
      </c>
      <c r="Q317" s="45" t="n">
        <f aca="false">N(Q316)+$P317</f>
        <v>5</v>
      </c>
    </row>
    <row r="318" customFormat="false" ht="13.5" hidden="false" customHeight="false" outlineLevel="0" collapsed="false">
      <c r="A318" s="9" t="n">
        <v>317</v>
      </c>
      <c r="B318" s="40" t="str">
        <f aca="false">IF($T$4=0,IF($I318="","",$I318),IFERROR(IF([2]财务取数接口!$B$317=0,"",[2]财务取数接口!$B$317),""))</f>
        <v/>
      </c>
      <c r="C318" s="39" t="str">
        <f aca="false">IF($T$4=0,IF($J318="","",$J318),IFERROR(IF([2]财务取数接口!$C$317=0,"",[2]财务取数接口!$C$317),""))</f>
        <v/>
      </c>
      <c r="D318" s="40" t="str">
        <f aca="false">IF($T$4=0,IF($K318="","",$K318),IFERROR(IF([2]财务取数接口!$D$317=0,"",[2]财务取数接口!$D$317),""))</f>
        <v/>
      </c>
      <c r="E318" s="40" t="str">
        <f aca="false">IF($T$4=0,IF($L318="","",$L318),IFERROR(IF([2]财务取数接口!$E$317=0,"",[2]财务取数接口!$E$317),""))</f>
        <v/>
      </c>
      <c r="F318" s="41" t="str">
        <f aca="false">IF($T$4=0,IF($M318="","",$M318),IFERROR(IF([2]财务取数接口!$G$317=0,"",[2]财务取数接口!$G$317),""))</f>
        <v/>
      </c>
      <c r="G318" s="41" t="str">
        <f aca="false">IF($T$4=0,IF($N318="","",$N318),IFERROR(IF([2]财务取数接口!$H$317=0,"",[2]财务取数接口!$H$317),""))</f>
        <v/>
      </c>
      <c r="H318" s="39" t="str">
        <f aca="false">IF($T$4=0,IF($O318="","",$O318),IFERROR(IF([2]财务取数接口!$I$317=0,"",[2]财务取数接口!$I$317),""))</f>
        <v/>
      </c>
      <c r="I318" s="42"/>
      <c r="J318" s="43"/>
      <c r="K318" s="42"/>
      <c r="L318" s="42"/>
      <c r="M318" s="44"/>
      <c r="N318" s="44"/>
      <c r="O318" s="43"/>
      <c r="P318" s="45" t="n">
        <f aca="false">IF(AND($C318&lt;&gt;"",$C318&lt;&gt;"项目",OR(N($D318)&lt;&gt;0,N($E318)&lt;&gt;0,N($F318)&lt;&gt;0)),1,0)</f>
        <v>0</v>
      </c>
      <c r="Q318" s="45" t="n">
        <f aca="false">N(Q317)+$P318</f>
        <v>5</v>
      </c>
    </row>
    <row r="319" customFormat="false" ht="13.5" hidden="false" customHeight="false" outlineLevel="0" collapsed="false">
      <c r="A319" s="9" t="n">
        <v>318</v>
      </c>
      <c r="B319" s="40" t="str">
        <f aca="false">IF($T$4=0,IF($I319="","",$I319),IFERROR(IF([2]财务取数接口!$B$318=0,"",[2]财务取数接口!$B$318),""))</f>
        <v/>
      </c>
      <c r="C319" s="39" t="str">
        <f aca="false">IF($T$4=0,IF($J319="","",$J319),IFERROR(IF([2]财务取数接口!$C$318=0,"",[2]财务取数接口!$C$318),""))</f>
        <v/>
      </c>
      <c r="D319" s="40" t="str">
        <f aca="false">IF($T$4=0,IF($K319="","",$K319),IFERROR(IF([2]财务取数接口!$D$318=0,"",[2]财务取数接口!$D$318),""))</f>
        <v/>
      </c>
      <c r="E319" s="40" t="str">
        <f aca="false">IF($T$4=0,IF($L319="","",$L319),IFERROR(IF([2]财务取数接口!$E$318=0,"",[2]财务取数接口!$E$318),""))</f>
        <v/>
      </c>
      <c r="F319" s="41" t="str">
        <f aca="false">IF($T$4=0,IF($M319="","",$M319),IFERROR(IF([2]财务取数接口!$G$318=0,"",[2]财务取数接口!$G$318),""))</f>
        <v/>
      </c>
      <c r="G319" s="41" t="str">
        <f aca="false">IF($T$4=0,IF($N319="","",$N319),IFERROR(IF([2]财务取数接口!$H$318=0,"",[2]财务取数接口!$H$318),""))</f>
        <v/>
      </c>
      <c r="H319" s="39" t="str">
        <f aca="false">IF($T$4=0,IF($O319="","",$O319),IFERROR(IF([2]财务取数接口!$I$318=0,"",[2]财务取数接口!$I$318),""))</f>
        <v/>
      </c>
      <c r="I319" s="42"/>
      <c r="J319" s="43"/>
      <c r="K319" s="42"/>
      <c r="L319" s="42"/>
      <c r="M319" s="44"/>
      <c r="N319" s="44"/>
      <c r="O319" s="43"/>
      <c r="P319" s="45" t="n">
        <f aca="false">IF(AND($C319&lt;&gt;"",$C319&lt;&gt;"项目",OR(N($D319)&lt;&gt;0,N($E319)&lt;&gt;0,N($F319)&lt;&gt;0)),1,0)</f>
        <v>0</v>
      </c>
      <c r="Q319" s="45" t="n">
        <f aca="false">N(Q318)+$P319</f>
        <v>5</v>
      </c>
    </row>
    <row r="320" customFormat="false" ht="13.5" hidden="false" customHeight="false" outlineLevel="0" collapsed="false">
      <c r="A320" s="9" t="n">
        <v>319</v>
      </c>
      <c r="B320" s="40" t="str">
        <f aca="false">IF($T$4=0,IF($I320="","",$I320),IFERROR(IF([2]财务取数接口!$B$319=0,"",[2]财务取数接口!$B$319),""))</f>
        <v/>
      </c>
      <c r="C320" s="39" t="str">
        <f aca="false">IF($T$4=0,IF($J320="","",$J320),IFERROR(IF([2]财务取数接口!$C$319=0,"",[2]财务取数接口!$C$319),""))</f>
        <v/>
      </c>
      <c r="D320" s="40" t="str">
        <f aca="false">IF($T$4=0,IF($K320="","",$K320),IFERROR(IF([2]财务取数接口!$D$319=0,"",[2]财务取数接口!$D$319),""))</f>
        <v/>
      </c>
      <c r="E320" s="40" t="str">
        <f aca="false">IF($T$4=0,IF($L320="","",$L320),IFERROR(IF([2]财务取数接口!$E$319=0,"",[2]财务取数接口!$E$319),""))</f>
        <v/>
      </c>
      <c r="F320" s="41" t="str">
        <f aca="false">IF($T$4=0,IF($M320="","",$M320),IFERROR(IF([2]财务取数接口!$G$319=0,"",[2]财务取数接口!$G$319),""))</f>
        <v/>
      </c>
      <c r="G320" s="41" t="str">
        <f aca="false">IF($T$4=0,IF($N320="","",$N320),IFERROR(IF([2]财务取数接口!$H$319=0,"",[2]财务取数接口!$H$319),""))</f>
        <v/>
      </c>
      <c r="H320" s="39" t="str">
        <f aca="false">IF($T$4=0,IF($O320="","",$O320),IFERROR(IF([2]财务取数接口!$I$319=0,"",[2]财务取数接口!$I$319),""))</f>
        <v/>
      </c>
      <c r="I320" s="42"/>
      <c r="J320" s="43"/>
      <c r="K320" s="42"/>
      <c r="L320" s="42"/>
      <c r="M320" s="44"/>
      <c r="N320" s="44"/>
      <c r="O320" s="43"/>
      <c r="P320" s="45" t="n">
        <f aca="false">IF(AND($C320&lt;&gt;"",$C320&lt;&gt;"项目",OR(N($D320)&lt;&gt;0,N($E320)&lt;&gt;0,N($F320)&lt;&gt;0)),1,0)</f>
        <v>0</v>
      </c>
      <c r="Q320" s="45" t="n">
        <f aca="false">N(Q319)+$P320</f>
        <v>5</v>
      </c>
    </row>
    <row r="321" customFormat="false" ht="13.5" hidden="false" customHeight="false" outlineLevel="0" collapsed="false">
      <c r="A321" s="9" t="n">
        <v>320</v>
      </c>
      <c r="B321" s="40" t="str">
        <f aca="false">IF($T$4=0,IF($I321="","",$I321),IFERROR(IF([2]财务取数接口!$B$320=0,"",[2]财务取数接口!$B$320),""))</f>
        <v/>
      </c>
      <c r="C321" s="39" t="str">
        <f aca="false">IF($T$4=0,IF($J321="","",$J321),IFERROR(IF([2]财务取数接口!$C$320=0,"",[2]财务取数接口!$C$320),""))</f>
        <v/>
      </c>
      <c r="D321" s="40" t="str">
        <f aca="false">IF($T$4=0,IF($K321="","",$K321),IFERROR(IF([2]财务取数接口!$D$320=0,"",[2]财务取数接口!$D$320),""))</f>
        <v/>
      </c>
      <c r="E321" s="40" t="str">
        <f aca="false">IF($T$4=0,IF($L321="","",$L321),IFERROR(IF([2]财务取数接口!$E$320=0,"",[2]财务取数接口!$E$320),""))</f>
        <v/>
      </c>
      <c r="F321" s="41" t="str">
        <f aca="false">IF($T$4=0,IF($M321="","",$M321),IFERROR(IF([2]财务取数接口!$G$320=0,"",[2]财务取数接口!$G$320),""))</f>
        <v/>
      </c>
      <c r="G321" s="41" t="str">
        <f aca="false">IF($T$4=0,IF($N321="","",$N321),IFERROR(IF([2]财务取数接口!$H$320=0,"",[2]财务取数接口!$H$320),""))</f>
        <v/>
      </c>
      <c r="H321" s="39" t="str">
        <f aca="false">IF($T$4=0,IF($O321="","",$O321),IFERROR(IF([2]财务取数接口!$I$320=0,"",[2]财务取数接口!$I$320),""))</f>
        <v/>
      </c>
      <c r="I321" s="42"/>
      <c r="J321" s="43"/>
      <c r="K321" s="42"/>
      <c r="L321" s="42"/>
      <c r="M321" s="44"/>
      <c r="N321" s="44"/>
      <c r="O321" s="43"/>
      <c r="P321" s="45" t="n">
        <f aca="false">IF(AND($C321&lt;&gt;"",$C321&lt;&gt;"项目",OR(N($D321)&lt;&gt;0,N($E321)&lt;&gt;0,N($F321)&lt;&gt;0)),1,0)</f>
        <v>0</v>
      </c>
      <c r="Q321" s="45" t="n">
        <f aca="false">N(Q320)+$P321</f>
        <v>5</v>
      </c>
    </row>
    <row r="322" customFormat="false" ht="13.5" hidden="false" customHeight="false" outlineLevel="0" collapsed="false">
      <c r="A322" s="9" t="n">
        <v>321</v>
      </c>
      <c r="B322" s="40" t="str">
        <f aca="false">IF($T$4=0,IF($I322="","",$I322),IFERROR(IF([2]财务取数接口!$B$321=0,"",[2]财务取数接口!$B$321),""))</f>
        <v/>
      </c>
      <c r="C322" s="39" t="str">
        <f aca="false">IF($T$4=0,IF($J322="","",$J322),IFERROR(IF([2]财务取数接口!$C$321=0,"",[2]财务取数接口!$C$321),""))</f>
        <v/>
      </c>
      <c r="D322" s="40" t="str">
        <f aca="false">IF($T$4=0,IF($K322="","",$K322),IFERROR(IF([2]财务取数接口!$D$321=0,"",[2]财务取数接口!$D$321),""))</f>
        <v/>
      </c>
      <c r="E322" s="40" t="str">
        <f aca="false">IF($T$4=0,IF($L322="","",$L322),IFERROR(IF([2]财务取数接口!$E$321=0,"",[2]财务取数接口!$E$321),""))</f>
        <v/>
      </c>
      <c r="F322" s="41" t="str">
        <f aca="false">IF($T$4=0,IF($M322="","",$M322),IFERROR(IF([2]财务取数接口!$G$321=0,"",[2]财务取数接口!$G$321),""))</f>
        <v/>
      </c>
      <c r="G322" s="41" t="str">
        <f aca="false">IF($T$4=0,IF($N322="","",$N322),IFERROR(IF([2]财务取数接口!$H$321=0,"",[2]财务取数接口!$H$321),""))</f>
        <v/>
      </c>
      <c r="H322" s="39" t="str">
        <f aca="false">IF($T$4=0,IF($O322="","",$O322),IFERROR(IF([2]财务取数接口!$I$321=0,"",[2]财务取数接口!$I$321),""))</f>
        <v/>
      </c>
      <c r="I322" s="42"/>
      <c r="J322" s="43"/>
      <c r="K322" s="42"/>
      <c r="L322" s="42"/>
      <c r="M322" s="44"/>
      <c r="N322" s="44"/>
      <c r="O322" s="43"/>
      <c r="P322" s="45" t="n">
        <f aca="false">IF(AND($C322&lt;&gt;"",$C322&lt;&gt;"项目",OR(N($D322)&lt;&gt;0,N($E322)&lt;&gt;0,N($F322)&lt;&gt;0)),1,0)</f>
        <v>0</v>
      </c>
      <c r="Q322" s="45" t="n">
        <f aca="false">N(Q321)+$P322</f>
        <v>5</v>
      </c>
    </row>
    <row r="323" customFormat="false" ht="13.5" hidden="false" customHeight="false" outlineLevel="0" collapsed="false">
      <c r="A323" s="9" t="n">
        <v>322</v>
      </c>
      <c r="B323" s="40" t="str">
        <f aca="false">IF($T$4=0,IF($I323="","",$I323),IFERROR(IF([2]财务取数接口!$B$322=0,"",[2]财务取数接口!$B$322),""))</f>
        <v/>
      </c>
      <c r="C323" s="39" t="str">
        <f aca="false">IF($T$4=0,IF($J323="","",$J323),IFERROR(IF([2]财务取数接口!$C$322=0,"",[2]财务取数接口!$C$322),""))</f>
        <v/>
      </c>
      <c r="D323" s="40" t="str">
        <f aca="false">IF($T$4=0,IF($K323="","",$K323),IFERROR(IF([2]财务取数接口!$D$322=0,"",[2]财务取数接口!$D$322),""))</f>
        <v/>
      </c>
      <c r="E323" s="40" t="str">
        <f aca="false">IF($T$4=0,IF($L323="","",$L323),IFERROR(IF([2]财务取数接口!$E$322=0,"",[2]财务取数接口!$E$322),""))</f>
        <v/>
      </c>
      <c r="F323" s="41" t="str">
        <f aca="false">IF($T$4=0,IF($M323="","",$M323),IFERROR(IF([2]财务取数接口!$G$322=0,"",[2]财务取数接口!$G$322),""))</f>
        <v/>
      </c>
      <c r="G323" s="41" t="str">
        <f aca="false">IF($T$4=0,IF($N323="","",$N323),IFERROR(IF([2]财务取数接口!$H$322=0,"",[2]财务取数接口!$H$322),""))</f>
        <v/>
      </c>
      <c r="H323" s="39" t="str">
        <f aca="false">IF($T$4=0,IF($O323="","",$O323),IFERROR(IF([2]财务取数接口!$I$322=0,"",[2]财务取数接口!$I$322),""))</f>
        <v/>
      </c>
      <c r="I323" s="42"/>
      <c r="J323" s="43"/>
      <c r="K323" s="42"/>
      <c r="L323" s="42"/>
      <c r="M323" s="44"/>
      <c r="N323" s="44"/>
      <c r="O323" s="43"/>
      <c r="P323" s="45" t="n">
        <f aca="false">IF(AND($C323&lt;&gt;"",$C323&lt;&gt;"项目",OR(N($D323)&lt;&gt;0,N($E323)&lt;&gt;0,N($F323)&lt;&gt;0)),1,0)</f>
        <v>0</v>
      </c>
      <c r="Q323" s="45" t="n">
        <f aca="false">N(Q322)+$P323</f>
        <v>5</v>
      </c>
    </row>
    <row r="324" customFormat="false" ht="13.5" hidden="false" customHeight="false" outlineLevel="0" collapsed="false">
      <c r="A324" s="9" t="n">
        <v>323</v>
      </c>
      <c r="B324" s="40" t="str">
        <f aca="false">IF($T$4=0,IF($I324="","",$I324),IFERROR(IF([2]财务取数接口!$B$323=0,"",[2]财务取数接口!$B$323),""))</f>
        <v/>
      </c>
      <c r="C324" s="39" t="str">
        <f aca="false">IF($T$4=0,IF($J324="","",$J324),IFERROR(IF([2]财务取数接口!$C$323=0,"",[2]财务取数接口!$C$323),""))</f>
        <v/>
      </c>
      <c r="D324" s="40" t="str">
        <f aca="false">IF($T$4=0,IF($K324="","",$K324),IFERROR(IF([2]财务取数接口!$D$323=0,"",[2]财务取数接口!$D$323),""))</f>
        <v/>
      </c>
      <c r="E324" s="40" t="str">
        <f aca="false">IF($T$4=0,IF($L324="","",$L324),IFERROR(IF([2]财务取数接口!$E$323=0,"",[2]财务取数接口!$E$323),""))</f>
        <v/>
      </c>
      <c r="F324" s="41" t="str">
        <f aca="false">IF($T$4=0,IF($M324="","",$M324),IFERROR(IF([2]财务取数接口!$G$323=0,"",[2]财务取数接口!$G$323),""))</f>
        <v/>
      </c>
      <c r="G324" s="41" t="str">
        <f aca="false">IF($T$4=0,IF($N324="","",$N324),IFERROR(IF([2]财务取数接口!$H$323=0,"",[2]财务取数接口!$H$323),""))</f>
        <v/>
      </c>
      <c r="H324" s="39" t="str">
        <f aca="false">IF($T$4=0,IF($O324="","",$O324),IFERROR(IF([2]财务取数接口!$I$323=0,"",[2]财务取数接口!$I$323),""))</f>
        <v/>
      </c>
      <c r="I324" s="42"/>
      <c r="J324" s="43"/>
      <c r="K324" s="42"/>
      <c r="L324" s="42"/>
      <c r="M324" s="44"/>
      <c r="N324" s="44"/>
      <c r="O324" s="43"/>
      <c r="P324" s="45" t="n">
        <f aca="false">IF(AND($C324&lt;&gt;"",$C324&lt;&gt;"项目",OR(N($D324)&lt;&gt;0,N($E324)&lt;&gt;0,N($F324)&lt;&gt;0)),1,0)</f>
        <v>0</v>
      </c>
      <c r="Q324" s="45" t="n">
        <f aca="false">N(Q323)+$P324</f>
        <v>5</v>
      </c>
    </row>
    <row r="325" customFormat="false" ht="13.5" hidden="false" customHeight="false" outlineLevel="0" collapsed="false">
      <c r="A325" s="9" t="n">
        <v>324</v>
      </c>
      <c r="B325" s="40" t="str">
        <f aca="false">IF($T$4=0,IF($I325="","",$I325),IFERROR(IF([2]财务取数接口!$B$324=0,"",[2]财务取数接口!$B$324),""))</f>
        <v/>
      </c>
      <c r="C325" s="39" t="str">
        <f aca="false">IF($T$4=0,IF($J325="","",$J325),IFERROR(IF([2]财务取数接口!$C$324=0,"",[2]财务取数接口!$C$324),""))</f>
        <v/>
      </c>
      <c r="D325" s="40" t="str">
        <f aca="false">IF($T$4=0,IF($K325="","",$K325),IFERROR(IF([2]财务取数接口!$D$324=0,"",[2]财务取数接口!$D$324),""))</f>
        <v/>
      </c>
      <c r="E325" s="40" t="str">
        <f aca="false">IF($T$4=0,IF($L325="","",$L325),IFERROR(IF([2]财务取数接口!$E$324=0,"",[2]财务取数接口!$E$324),""))</f>
        <v/>
      </c>
      <c r="F325" s="41" t="str">
        <f aca="false">IF($T$4=0,IF($M325="","",$M325),IFERROR(IF([2]财务取数接口!$G$324=0,"",[2]财务取数接口!$G$324),""))</f>
        <v/>
      </c>
      <c r="G325" s="41" t="str">
        <f aca="false">IF($T$4=0,IF($N325="","",$N325),IFERROR(IF([2]财务取数接口!$H$324=0,"",[2]财务取数接口!$H$324),""))</f>
        <v/>
      </c>
      <c r="H325" s="39" t="str">
        <f aca="false">IF($T$4=0,IF($O325="","",$O325),IFERROR(IF([2]财务取数接口!$I$324=0,"",[2]财务取数接口!$I$324),""))</f>
        <v/>
      </c>
      <c r="I325" s="42"/>
      <c r="J325" s="43"/>
      <c r="K325" s="42"/>
      <c r="L325" s="42"/>
      <c r="M325" s="44"/>
      <c r="N325" s="44"/>
      <c r="O325" s="43"/>
      <c r="P325" s="45" t="n">
        <f aca="false">IF(AND($C325&lt;&gt;"",$C325&lt;&gt;"项目",OR(N($D325)&lt;&gt;0,N($E325)&lt;&gt;0,N($F325)&lt;&gt;0)),1,0)</f>
        <v>0</v>
      </c>
      <c r="Q325" s="45" t="n">
        <f aca="false">N(Q324)+$P325</f>
        <v>5</v>
      </c>
    </row>
    <row r="326" customFormat="false" ht="13.5" hidden="false" customHeight="false" outlineLevel="0" collapsed="false">
      <c r="A326" s="9" t="n">
        <v>325</v>
      </c>
      <c r="B326" s="40" t="str">
        <f aca="false">IF($T$4=0,IF($I326="","",$I326),IFERROR(IF([2]财务取数接口!$B$325=0,"",[2]财务取数接口!$B$325),""))</f>
        <v/>
      </c>
      <c r="C326" s="39" t="str">
        <f aca="false">IF($T$4=0,IF($J326="","",$J326),IFERROR(IF([2]财务取数接口!$C$325=0,"",[2]财务取数接口!$C$325),""))</f>
        <v/>
      </c>
      <c r="D326" s="40" t="str">
        <f aca="false">IF($T$4=0,IF($K326="","",$K326),IFERROR(IF([2]财务取数接口!$D$325=0,"",[2]财务取数接口!$D$325),""))</f>
        <v/>
      </c>
      <c r="E326" s="40" t="str">
        <f aca="false">IF($T$4=0,IF($L326="","",$L326),IFERROR(IF([2]财务取数接口!$E$325=0,"",[2]财务取数接口!$E$325),""))</f>
        <v/>
      </c>
      <c r="F326" s="41" t="str">
        <f aca="false">IF($T$4=0,IF($M326="","",$M326),IFERROR(IF([2]财务取数接口!$G$325=0,"",[2]财务取数接口!$G$325),""))</f>
        <v/>
      </c>
      <c r="G326" s="41" t="str">
        <f aca="false">IF($T$4=0,IF($N326="","",$N326),IFERROR(IF([2]财务取数接口!$H$325=0,"",[2]财务取数接口!$H$325),""))</f>
        <v/>
      </c>
      <c r="H326" s="39" t="str">
        <f aca="false">IF($T$4=0,IF($O326="","",$O326),IFERROR(IF([2]财务取数接口!$I$325=0,"",[2]财务取数接口!$I$325),""))</f>
        <v/>
      </c>
      <c r="I326" s="42"/>
      <c r="J326" s="43"/>
      <c r="K326" s="42"/>
      <c r="L326" s="42"/>
      <c r="M326" s="44"/>
      <c r="N326" s="44"/>
      <c r="O326" s="43"/>
      <c r="P326" s="45" t="n">
        <f aca="false">IF(AND($C326&lt;&gt;"",$C326&lt;&gt;"项目",OR(N($D326)&lt;&gt;0,N($E326)&lt;&gt;0,N($F326)&lt;&gt;0)),1,0)</f>
        <v>0</v>
      </c>
      <c r="Q326" s="45" t="n">
        <f aca="false">N(Q325)+$P326</f>
        <v>5</v>
      </c>
    </row>
    <row r="327" customFormat="false" ht="13.5" hidden="false" customHeight="false" outlineLevel="0" collapsed="false">
      <c r="A327" s="9" t="n">
        <v>326</v>
      </c>
      <c r="B327" s="40" t="str">
        <f aca="false">IF($T$4=0,IF($I327="","",$I327),IFERROR(IF([2]财务取数接口!$B$326=0,"",[2]财务取数接口!$B$326),""))</f>
        <v/>
      </c>
      <c r="C327" s="39" t="str">
        <f aca="false">IF($T$4=0,IF($J327="","",$J327),IFERROR(IF([2]财务取数接口!$C$326=0,"",[2]财务取数接口!$C$326),""))</f>
        <v/>
      </c>
      <c r="D327" s="40" t="str">
        <f aca="false">IF($T$4=0,IF($K327="","",$K327),IFERROR(IF([2]财务取数接口!$D$326=0,"",[2]财务取数接口!$D$326),""))</f>
        <v/>
      </c>
      <c r="E327" s="40" t="str">
        <f aca="false">IF($T$4=0,IF($L327="","",$L327),IFERROR(IF([2]财务取数接口!$E$326=0,"",[2]财务取数接口!$E$326),""))</f>
        <v/>
      </c>
      <c r="F327" s="41" t="str">
        <f aca="false">IF($T$4=0,IF($M327="","",$M327),IFERROR(IF([2]财务取数接口!$G$326=0,"",[2]财务取数接口!$G$326),""))</f>
        <v/>
      </c>
      <c r="G327" s="41" t="str">
        <f aca="false">IF($T$4=0,IF($N327="","",$N327),IFERROR(IF([2]财务取数接口!$H$326=0,"",[2]财务取数接口!$H$326),""))</f>
        <v/>
      </c>
      <c r="H327" s="39" t="str">
        <f aca="false">IF($T$4=0,IF($O327="","",$O327),IFERROR(IF([2]财务取数接口!$I$326=0,"",[2]财务取数接口!$I$326),""))</f>
        <v/>
      </c>
      <c r="I327" s="42"/>
      <c r="J327" s="43"/>
      <c r="K327" s="42"/>
      <c r="L327" s="42"/>
      <c r="M327" s="44"/>
      <c r="N327" s="44"/>
      <c r="O327" s="43"/>
      <c r="P327" s="45" t="n">
        <f aca="false">IF(AND($C327&lt;&gt;"",$C327&lt;&gt;"项目",OR(N($D327)&lt;&gt;0,N($E327)&lt;&gt;0,N($F327)&lt;&gt;0)),1,0)</f>
        <v>0</v>
      </c>
      <c r="Q327" s="45" t="n">
        <f aca="false">N(Q326)+$P327</f>
        <v>5</v>
      </c>
    </row>
    <row r="328" customFormat="false" ht="13.5" hidden="false" customHeight="false" outlineLevel="0" collapsed="false">
      <c r="A328" s="9" t="n">
        <v>327</v>
      </c>
      <c r="B328" s="40" t="str">
        <f aca="false">IF($T$4=0,IF($I328="","",$I328),IFERROR(IF([2]财务取数接口!$B$327=0,"",[2]财务取数接口!$B$327),""))</f>
        <v/>
      </c>
      <c r="C328" s="39" t="str">
        <f aca="false">IF($T$4=0,IF($J328="","",$J328),IFERROR(IF([2]财务取数接口!$C$327=0,"",[2]财务取数接口!$C$327),""))</f>
        <v/>
      </c>
      <c r="D328" s="40" t="str">
        <f aca="false">IF($T$4=0,IF($K328="","",$K328),IFERROR(IF([2]财务取数接口!$D$327=0,"",[2]财务取数接口!$D$327),""))</f>
        <v/>
      </c>
      <c r="E328" s="40" t="str">
        <f aca="false">IF($T$4=0,IF($L328="","",$L328),IFERROR(IF([2]财务取数接口!$E$327=0,"",[2]财务取数接口!$E$327),""))</f>
        <v/>
      </c>
      <c r="F328" s="41" t="str">
        <f aca="false">IF($T$4=0,IF($M328="","",$M328),IFERROR(IF([2]财务取数接口!$G$327=0,"",[2]财务取数接口!$G$327),""))</f>
        <v/>
      </c>
      <c r="G328" s="41" t="str">
        <f aca="false">IF($T$4=0,IF($N328="","",$N328),IFERROR(IF([2]财务取数接口!$H$327=0,"",[2]财务取数接口!$H$327),""))</f>
        <v/>
      </c>
      <c r="H328" s="39" t="str">
        <f aca="false">IF($T$4=0,IF($O328="","",$O328),IFERROR(IF([2]财务取数接口!$I$327=0,"",[2]财务取数接口!$I$327),""))</f>
        <v/>
      </c>
      <c r="I328" s="42"/>
      <c r="J328" s="43"/>
      <c r="K328" s="42"/>
      <c r="L328" s="42"/>
      <c r="M328" s="44"/>
      <c r="N328" s="44"/>
      <c r="O328" s="43"/>
      <c r="P328" s="45" t="n">
        <f aca="false">IF(AND($C328&lt;&gt;"",$C328&lt;&gt;"项目",OR(N($D328)&lt;&gt;0,N($E328)&lt;&gt;0,N($F328)&lt;&gt;0)),1,0)</f>
        <v>0</v>
      </c>
      <c r="Q328" s="45" t="n">
        <f aca="false">N(Q327)+$P328</f>
        <v>5</v>
      </c>
    </row>
    <row r="329" customFormat="false" ht="13.5" hidden="false" customHeight="false" outlineLevel="0" collapsed="false">
      <c r="A329" s="9" t="n">
        <v>328</v>
      </c>
      <c r="B329" s="40" t="str">
        <f aca="false">IF($T$4=0,IF($I329="","",$I329),IFERROR(IF([2]财务取数接口!$B$328=0,"",[2]财务取数接口!$B$328),""))</f>
        <v/>
      </c>
      <c r="C329" s="39" t="str">
        <f aca="false">IF($T$4=0,IF($J329="","",$J329),IFERROR(IF([2]财务取数接口!$C$328=0,"",[2]财务取数接口!$C$328),""))</f>
        <v/>
      </c>
      <c r="D329" s="40" t="str">
        <f aca="false">IF($T$4=0,IF($K329="","",$K329),IFERROR(IF([2]财务取数接口!$D$328=0,"",[2]财务取数接口!$D$328),""))</f>
        <v/>
      </c>
      <c r="E329" s="40" t="str">
        <f aca="false">IF($T$4=0,IF($L329="","",$L329),IFERROR(IF([2]财务取数接口!$E$328=0,"",[2]财务取数接口!$E$328),""))</f>
        <v/>
      </c>
      <c r="F329" s="41" t="str">
        <f aca="false">IF($T$4=0,IF($M329="","",$M329),IFERROR(IF([2]财务取数接口!$G$328=0,"",[2]财务取数接口!$G$328),""))</f>
        <v/>
      </c>
      <c r="G329" s="41" t="str">
        <f aca="false">IF($T$4=0,IF($N329="","",$N329),IFERROR(IF([2]财务取数接口!$H$328=0,"",[2]财务取数接口!$H$328),""))</f>
        <v/>
      </c>
      <c r="H329" s="39" t="str">
        <f aca="false">IF($T$4=0,IF($O329="","",$O329),IFERROR(IF([2]财务取数接口!$I$328=0,"",[2]财务取数接口!$I$328),""))</f>
        <v/>
      </c>
      <c r="I329" s="42"/>
      <c r="J329" s="43"/>
      <c r="K329" s="42"/>
      <c r="L329" s="42"/>
      <c r="M329" s="44"/>
      <c r="N329" s="44"/>
      <c r="O329" s="43"/>
      <c r="P329" s="45" t="n">
        <f aca="false">IF(AND($C329&lt;&gt;"",$C329&lt;&gt;"项目",OR(N($D329)&lt;&gt;0,N($E329)&lt;&gt;0,N($F329)&lt;&gt;0)),1,0)</f>
        <v>0</v>
      </c>
      <c r="Q329" s="45" t="n">
        <f aca="false">N(Q328)+$P329</f>
        <v>5</v>
      </c>
    </row>
    <row r="330" customFormat="false" ht="13.5" hidden="false" customHeight="false" outlineLevel="0" collapsed="false">
      <c r="A330" s="9" t="n">
        <v>329</v>
      </c>
      <c r="B330" s="40" t="str">
        <f aca="false">IF($T$4=0,IF($I330="","",$I330),IFERROR(IF([2]财务取数接口!$B$329=0,"",[2]财务取数接口!$B$329),""))</f>
        <v/>
      </c>
      <c r="C330" s="39" t="str">
        <f aca="false">IF($T$4=0,IF($J330="","",$J330),IFERROR(IF([2]财务取数接口!$C$329=0,"",[2]财务取数接口!$C$329),""))</f>
        <v/>
      </c>
      <c r="D330" s="40" t="str">
        <f aca="false">IF($T$4=0,IF($K330="","",$K330),IFERROR(IF([2]财务取数接口!$D$329=0,"",[2]财务取数接口!$D$329),""))</f>
        <v/>
      </c>
      <c r="E330" s="40" t="str">
        <f aca="false">IF($T$4=0,IF($L330="","",$L330),IFERROR(IF([2]财务取数接口!$E$329=0,"",[2]财务取数接口!$E$329),""))</f>
        <v/>
      </c>
      <c r="F330" s="41" t="str">
        <f aca="false">IF($T$4=0,IF($M330="","",$M330),IFERROR(IF([2]财务取数接口!$G$329=0,"",[2]财务取数接口!$G$329),""))</f>
        <v/>
      </c>
      <c r="G330" s="41" t="str">
        <f aca="false">IF($T$4=0,IF($N330="","",$N330),IFERROR(IF([2]财务取数接口!$H$329=0,"",[2]财务取数接口!$H$329),""))</f>
        <v/>
      </c>
      <c r="H330" s="39" t="str">
        <f aca="false">IF($T$4=0,IF($O330="","",$O330),IFERROR(IF([2]财务取数接口!$I$329=0,"",[2]财务取数接口!$I$329),""))</f>
        <v/>
      </c>
      <c r="I330" s="42"/>
      <c r="J330" s="43"/>
      <c r="K330" s="42"/>
      <c r="L330" s="42"/>
      <c r="M330" s="44"/>
      <c r="N330" s="44"/>
      <c r="O330" s="43"/>
      <c r="P330" s="45" t="n">
        <f aca="false">IF(AND($C330&lt;&gt;"",$C330&lt;&gt;"项目",OR(N($D330)&lt;&gt;0,N($E330)&lt;&gt;0,N($F330)&lt;&gt;0)),1,0)</f>
        <v>0</v>
      </c>
      <c r="Q330" s="45" t="n">
        <f aca="false">N(Q329)+$P330</f>
        <v>5</v>
      </c>
    </row>
    <row r="331" customFormat="false" ht="13.5" hidden="false" customHeight="false" outlineLevel="0" collapsed="false">
      <c r="A331" s="9" t="n">
        <v>330</v>
      </c>
      <c r="B331" s="40" t="str">
        <f aca="false">IF($T$4=0,IF($I331="","",$I331),IFERROR(IF([2]财务取数接口!$B$330=0,"",[2]财务取数接口!$B$330),""))</f>
        <v/>
      </c>
      <c r="C331" s="39" t="str">
        <f aca="false">IF($T$4=0,IF($J331="","",$J331),IFERROR(IF([2]财务取数接口!$C$330=0,"",[2]财务取数接口!$C$330),""))</f>
        <v/>
      </c>
      <c r="D331" s="40" t="str">
        <f aca="false">IF($T$4=0,IF($K331="","",$K331),IFERROR(IF([2]财务取数接口!$D$330=0,"",[2]财务取数接口!$D$330),""))</f>
        <v/>
      </c>
      <c r="E331" s="40" t="str">
        <f aca="false">IF($T$4=0,IF($L331="","",$L331),IFERROR(IF([2]财务取数接口!$E$330=0,"",[2]财务取数接口!$E$330),""))</f>
        <v/>
      </c>
      <c r="F331" s="41" t="str">
        <f aca="false">IF($T$4=0,IF($M331="","",$M331),IFERROR(IF([2]财务取数接口!$G$330=0,"",[2]财务取数接口!$G$330),""))</f>
        <v/>
      </c>
      <c r="G331" s="41" t="str">
        <f aca="false">IF($T$4=0,IF($N331="","",$N331),IFERROR(IF([2]财务取数接口!$H$330=0,"",[2]财务取数接口!$H$330),""))</f>
        <v/>
      </c>
      <c r="H331" s="39" t="str">
        <f aca="false">IF($T$4=0,IF($O331="","",$O331),IFERROR(IF([2]财务取数接口!$I$330=0,"",[2]财务取数接口!$I$330),""))</f>
        <v/>
      </c>
      <c r="I331" s="42"/>
      <c r="J331" s="43"/>
      <c r="K331" s="42"/>
      <c r="L331" s="42"/>
      <c r="M331" s="44"/>
      <c r="N331" s="44"/>
      <c r="O331" s="43"/>
      <c r="P331" s="45" t="n">
        <f aca="false">IF(AND($C331&lt;&gt;"",$C331&lt;&gt;"项目",OR(N($D331)&lt;&gt;0,N($E331)&lt;&gt;0,N($F331)&lt;&gt;0)),1,0)</f>
        <v>0</v>
      </c>
      <c r="Q331" s="45" t="n">
        <f aca="false">N(Q330)+$P331</f>
        <v>5</v>
      </c>
    </row>
    <row r="332" customFormat="false" ht="13.5" hidden="false" customHeight="false" outlineLevel="0" collapsed="false">
      <c r="A332" s="9" t="n">
        <v>331</v>
      </c>
      <c r="B332" s="40" t="str">
        <f aca="false">IF($T$4=0,IF($I332="","",$I332),IFERROR(IF([2]财务取数接口!$B$331=0,"",[2]财务取数接口!$B$331),""))</f>
        <v/>
      </c>
      <c r="C332" s="39" t="str">
        <f aca="false">IF($T$4=0,IF($J332="","",$J332),IFERROR(IF([2]财务取数接口!$C$331=0,"",[2]财务取数接口!$C$331),""))</f>
        <v/>
      </c>
      <c r="D332" s="40" t="str">
        <f aca="false">IF($T$4=0,IF($K332="","",$K332),IFERROR(IF([2]财务取数接口!$D$331=0,"",[2]财务取数接口!$D$331),""))</f>
        <v/>
      </c>
      <c r="E332" s="40" t="str">
        <f aca="false">IF($T$4=0,IF($L332="","",$L332),IFERROR(IF([2]财务取数接口!$E$331=0,"",[2]财务取数接口!$E$331),""))</f>
        <v/>
      </c>
      <c r="F332" s="41" t="str">
        <f aca="false">IF($T$4=0,IF($M332="","",$M332),IFERROR(IF([2]财务取数接口!$G$331=0,"",[2]财务取数接口!$G$331),""))</f>
        <v/>
      </c>
      <c r="G332" s="41" t="str">
        <f aca="false">IF($T$4=0,IF($N332="","",$N332),IFERROR(IF([2]财务取数接口!$H$331=0,"",[2]财务取数接口!$H$331),""))</f>
        <v/>
      </c>
      <c r="H332" s="39" t="str">
        <f aca="false">IF($T$4=0,IF($O332="","",$O332),IFERROR(IF([2]财务取数接口!$I$331=0,"",[2]财务取数接口!$I$331),""))</f>
        <v/>
      </c>
      <c r="I332" s="42"/>
      <c r="J332" s="43"/>
      <c r="K332" s="42"/>
      <c r="L332" s="42"/>
      <c r="M332" s="44"/>
      <c r="N332" s="44"/>
      <c r="O332" s="43"/>
      <c r="P332" s="45" t="n">
        <f aca="false">IF(AND($C332&lt;&gt;"",$C332&lt;&gt;"项目",OR(N($D332)&lt;&gt;0,N($E332)&lt;&gt;0,N($F332)&lt;&gt;0)),1,0)</f>
        <v>0</v>
      </c>
      <c r="Q332" s="45" t="n">
        <f aca="false">N(Q331)+$P332</f>
        <v>5</v>
      </c>
    </row>
    <row r="333" customFormat="false" ht="13.5" hidden="false" customHeight="false" outlineLevel="0" collapsed="false">
      <c r="A333" s="9" t="n">
        <v>332</v>
      </c>
      <c r="B333" s="40" t="str">
        <f aca="false">IF($T$4=0,IF($I333="","",$I333),IFERROR(IF([2]财务取数接口!$B$332=0,"",[2]财务取数接口!$B$332),""))</f>
        <v/>
      </c>
      <c r="C333" s="39" t="str">
        <f aca="false">IF($T$4=0,IF($J333="","",$J333),IFERROR(IF([2]财务取数接口!$C$332=0,"",[2]财务取数接口!$C$332),""))</f>
        <v/>
      </c>
      <c r="D333" s="40" t="str">
        <f aca="false">IF($T$4=0,IF($K333="","",$K333),IFERROR(IF([2]财务取数接口!$D$332=0,"",[2]财务取数接口!$D$332),""))</f>
        <v/>
      </c>
      <c r="E333" s="40" t="str">
        <f aca="false">IF($T$4=0,IF($L333="","",$L333),IFERROR(IF([2]财务取数接口!$E$332=0,"",[2]财务取数接口!$E$332),""))</f>
        <v/>
      </c>
      <c r="F333" s="41" t="str">
        <f aca="false">IF($T$4=0,IF($M333="","",$M333),IFERROR(IF([2]财务取数接口!$G$332=0,"",[2]财务取数接口!$G$332),""))</f>
        <v/>
      </c>
      <c r="G333" s="41" t="str">
        <f aca="false">IF($T$4=0,IF($N333="","",$N333),IFERROR(IF([2]财务取数接口!$H$332=0,"",[2]财务取数接口!$H$332),""))</f>
        <v/>
      </c>
      <c r="H333" s="39" t="str">
        <f aca="false">IF($T$4=0,IF($O333="","",$O333),IFERROR(IF([2]财务取数接口!$I$332=0,"",[2]财务取数接口!$I$332),""))</f>
        <v/>
      </c>
      <c r="I333" s="42"/>
      <c r="J333" s="43"/>
      <c r="K333" s="42"/>
      <c r="L333" s="42"/>
      <c r="M333" s="44"/>
      <c r="N333" s="44"/>
      <c r="O333" s="43"/>
      <c r="P333" s="45" t="n">
        <f aca="false">IF(AND($C333&lt;&gt;"",$C333&lt;&gt;"项目",OR(N($D333)&lt;&gt;0,N($E333)&lt;&gt;0,N($F333)&lt;&gt;0)),1,0)</f>
        <v>0</v>
      </c>
      <c r="Q333" s="45" t="n">
        <f aca="false">N(Q332)+$P333</f>
        <v>5</v>
      </c>
    </row>
    <row r="334" customFormat="false" ht="13.5" hidden="false" customHeight="false" outlineLevel="0" collapsed="false">
      <c r="A334" s="9" t="n">
        <v>333</v>
      </c>
      <c r="B334" s="40" t="str">
        <f aca="false">IF($T$4=0,IF($I334="","",$I334),IFERROR(IF([2]财务取数接口!$B$333=0,"",[2]财务取数接口!$B$333),""))</f>
        <v/>
      </c>
      <c r="C334" s="39" t="str">
        <f aca="false">IF($T$4=0,IF($J334="","",$J334),IFERROR(IF([2]财务取数接口!$C$333=0,"",[2]财务取数接口!$C$333),""))</f>
        <v/>
      </c>
      <c r="D334" s="40" t="str">
        <f aca="false">IF($T$4=0,IF($K334="","",$K334),IFERROR(IF([2]财务取数接口!$D$333=0,"",[2]财务取数接口!$D$333),""))</f>
        <v/>
      </c>
      <c r="E334" s="40" t="str">
        <f aca="false">IF($T$4=0,IF($L334="","",$L334),IFERROR(IF([2]财务取数接口!$E$333=0,"",[2]财务取数接口!$E$333),""))</f>
        <v/>
      </c>
      <c r="F334" s="41" t="str">
        <f aca="false">IF($T$4=0,IF($M334="","",$M334),IFERROR(IF([2]财务取数接口!$G$333=0,"",[2]财务取数接口!$G$333),""))</f>
        <v/>
      </c>
      <c r="G334" s="41" t="str">
        <f aca="false">IF($T$4=0,IF($N334="","",$N334),IFERROR(IF([2]财务取数接口!$H$333=0,"",[2]财务取数接口!$H$333),""))</f>
        <v/>
      </c>
      <c r="H334" s="39" t="str">
        <f aca="false">IF($T$4=0,IF($O334="","",$O334),IFERROR(IF([2]财务取数接口!$I$333=0,"",[2]财务取数接口!$I$333),""))</f>
        <v/>
      </c>
      <c r="I334" s="42"/>
      <c r="J334" s="43"/>
      <c r="K334" s="42"/>
      <c r="L334" s="42"/>
      <c r="M334" s="44"/>
      <c r="N334" s="44"/>
      <c r="O334" s="43"/>
      <c r="P334" s="45" t="n">
        <f aca="false">IF(AND($C334&lt;&gt;"",$C334&lt;&gt;"项目",OR(N($D334)&lt;&gt;0,N($E334)&lt;&gt;0,N($F334)&lt;&gt;0)),1,0)</f>
        <v>0</v>
      </c>
      <c r="Q334" s="45" t="n">
        <f aca="false">N(Q333)+$P334</f>
        <v>5</v>
      </c>
    </row>
    <row r="335" customFormat="false" ht="13.5" hidden="false" customHeight="false" outlineLevel="0" collapsed="false">
      <c r="A335" s="9" t="n">
        <v>334</v>
      </c>
      <c r="B335" s="40" t="str">
        <f aca="false">IF($T$4=0,IF($I335="","",$I335),IFERROR(IF([2]财务取数接口!$B$334=0,"",[2]财务取数接口!$B$334),""))</f>
        <v/>
      </c>
      <c r="C335" s="39" t="str">
        <f aca="false">IF($T$4=0,IF($J335="","",$J335),IFERROR(IF([2]财务取数接口!$C$334=0,"",[2]财务取数接口!$C$334),""))</f>
        <v/>
      </c>
      <c r="D335" s="40" t="str">
        <f aca="false">IF($T$4=0,IF($K335="","",$K335),IFERROR(IF([2]财务取数接口!$D$334=0,"",[2]财务取数接口!$D$334),""))</f>
        <v/>
      </c>
      <c r="E335" s="40" t="str">
        <f aca="false">IF($T$4=0,IF($L335="","",$L335),IFERROR(IF([2]财务取数接口!$E$334=0,"",[2]财务取数接口!$E$334),""))</f>
        <v/>
      </c>
      <c r="F335" s="41" t="str">
        <f aca="false">IF($T$4=0,IF($M335="","",$M335),IFERROR(IF([2]财务取数接口!$G$334=0,"",[2]财务取数接口!$G$334),""))</f>
        <v/>
      </c>
      <c r="G335" s="41" t="str">
        <f aca="false">IF($T$4=0,IF($N335="","",$N335),IFERROR(IF([2]财务取数接口!$H$334=0,"",[2]财务取数接口!$H$334),""))</f>
        <v/>
      </c>
      <c r="H335" s="39" t="str">
        <f aca="false">IF($T$4=0,IF($O335="","",$O335),IFERROR(IF([2]财务取数接口!$I$334=0,"",[2]财务取数接口!$I$334),""))</f>
        <v/>
      </c>
      <c r="I335" s="42"/>
      <c r="J335" s="43"/>
      <c r="K335" s="42"/>
      <c r="L335" s="42"/>
      <c r="M335" s="44"/>
      <c r="N335" s="44"/>
      <c r="O335" s="43"/>
      <c r="P335" s="45" t="n">
        <f aca="false">IF(AND($C335&lt;&gt;"",$C335&lt;&gt;"项目",OR(N($D335)&lt;&gt;0,N($E335)&lt;&gt;0,N($F335)&lt;&gt;0)),1,0)</f>
        <v>0</v>
      </c>
      <c r="Q335" s="45" t="n">
        <f aca="false">N(Q334)+$P335</f>
        <v>5</v>
      </c>
    </row>
    <row r="336" customFormat="false" ht="13.5" hidden="false" customHeight="false" outlineLevel="0" collapsed="false">
      <c r="A336" s="9" t="n">
        <v>335</v>
      </c>
      <c r="B336" s="40" t="str">
        <f aca="false">IF($T$4=0,IF($I336="","",$I336),IFERROR(IF([2]财务取数接口!$B$335=0,"",[2]财务取数接口!$B$335),""))</f>
        <v/>
      </c>
      <c r="C336" s="39" t="str">
        <f aca="false">IF($T$4=0,IF($J336="","",$J336),IFERROR(IF([2]财务取数接口!$C$335=0,"",[2]财务取数接口!$C$335),""))</f>
        <v/>
      </c>
      <c r="D336" s="40" t="str">
        <f aca="false">IF($T$4=0,IF($K336="","",$K336),IFERROR(IF([2]财务取数接口!$D$335=0,"",[2]财务取数接口!$D$335),""))</f>
        <v/>
      </c>
      <c r="E336" s="40" t="str">
        <f aca="false">IF($T$4=0,IF($L336="","",$L336),IFERROR(IF([2]财务取数接口!$E$335=0,"",[2]财务取数接口!$E$335),""))</f>
        <v/>
      </c>
      <c r="F336" s="41" t="str">
        <f aca="false">IF($T$4=0,IF($M336="","",$M336),IFERROR(IF([2]财务取数接口!$G$335=0,"",[2]财务取数接口!$G$335),""))</f>
        <v/>
      </c>
      <c r="G336" s="41" t="str">
        <f aca="false">IF($T$4=0,IF($N336="","",$N336),IFERROR(IF([2]财务取数接口!$H$335=0,"",[2]财务取数接口!$H$335),""))</f>
        <v/>
      </c>
      <c r="H336" s="39" t="str">
        <f aca="false">IF($T$4=0,IF($O336="","",$O336),IFERROR(IF([2]财务取数接口!$I$335=0,"",[2]财务取数接口!$I$335),""))</f>
        <v/>
      </c>
      <c r="I336" s="42"/>
      <c r="J336" s="43"/>
      <c r="K336" s="42"/>
      <c r="L336" s="42"/>
      <c r="M336" s="44"/>
      <c r="N336" s="44"/>
      <c r="O336" s="43"/>
      <c r="P336" s="45" t="n">
        <f aca="false">IF(AND($C336&lt;&gt;"",$C336&lt;&gt;"项目",OR(N($D336)&lt;&gt;0,N($E336)&lt;&gt;0,N($F336)&lt;&gt;0)),1,0)</f>
        <v>0</v>
      </c>
      <c r="Q336" s="45" t="n">
        <f aca="false">N(Q335)+$P336</f>
        <v>5</v>
      </c>
    </row>
    <row r="337" customFormat="false" ht="13.5" hidden="false" customHeight="false" outlineLevel="0" collapsed="false">
      <c r="A337" s="9" t="n">
        <v>336</v>
      </c>
      <c r="B337" s="40" t="str">
        <f aca="false">IF($T$4=0,IF($I337="","",$I337),IFERROR(IF([2]财务取数接口!$B$336=0,"",[2]财务取数接口!$B$336),""))</f>
        <v/>
      </c>
      <c r="C337" s="39" t="str">
        <f aca="false">IF($T$4=0,IF($J337="","",$J337),IFERROR(IF([2]财务取数接口!$C$336=0,"",[2]财务取数接口!$C$336),""))</f>
        <v/>
      </c>
      <c r="D337" s="40" t="str">
        <f aca="false">IF($T$4=0,IF($K337="","",$K337),IFERROR(IF([2]财务取数接口!$D$336=0,"",[2]财务取数接口!$D$336),""))</f>
        <v/>
      </c>
      <c r="E337" s="40" t="str">
        <f aca="false">IF($T$4=0,IF($L337="","",$L337),IFERROR(IF([2]财务取数接口!$E$336=0,"",[2]财务取数接口!$E$336),""))</f>
        <v/>
      </c>
      <c r="F337" s="41" t="str">
        <f aca="false">IF($T$4=0,IF($M337="","",$M337),IFERROR(IF([2]财务取数接口!$G$336=0,"",[2]财务取数接口!$G$336),""))</f>
        <v/>
      </c>
      <c r="G337" s="41" t="str">
        <f aca="false">IF($T$4=0,IF($N337="","",$N337),IFERROR(IF([2]财务取数接口!$H$336=0,"",[2]财务取数接口!$H$336),""))</f>
        <v/>
      </c>
      <c r="H337" s="39" t="str">
        <f aca="false">IF($T$4=0,IF($O337="","",$O337),IFERROR(IF([2]财务取数接口!$I$336=0,"",[2]财务取数接口!$I$336),""))</f>
        <v/>
      </c>
      <c r="I337" s="42"/>
      <c r="J337" s="43"/>
      <c r="K337" s="42"/>
      <c r="L337" s="42"/>
      <c r="M337" s="44"/>
      <c r="N337" s="44"/>
      <c r="O337" s="43"/>
      <c r="P337" s="45" t="n">
        <f aca="false">IF(AND($C337&lt;&gt;"",$C337&lt;&gt;"项目",OR(N($D337)&lt;&gt;0,N($E337)&lt;&gt;0,N($F337)&lt;&gt;0)),1,0)</f>
        <v>0</v>
      </c>
      <c r="Q337" s="45" t="n">
        <f aca="false">N(Q336)+$P337</f>
        <v>5</v>
      </c>
    </row>
    <row r="338" customFormat="false" ht="13.5" hidden="false" customHeight="false" outlineLevel="0" collapsed="false">
      <c r="A338" s="9" t="n">
        <v>337</v>
      </c>
      <c r="B338" s="40" t="str">
        <f aca="false">IF($T$4=0,IF($I338="","",$I338),IFERROR(IF([2]财务取数接口!$B$337=0,"",[2]财务取数接口!$B$337),""))</f>
        <v/>
      </c>
      <c r="C338" s="39" t="str">
        <f aca="false">IF($T$4=0,IF($J338="","",$J338),IFERROR(IF([2]财务取数接口!$C$337=0,"",[2]财务取数接口!$C$337),""))</f>
        <v/>
      </c>
      <c r="D338" s="40" t="str">
        <f aca="false">IF($T$4=0,IF($K338="","",$K338),IFERROR(IF([2]财务取数接口!$D$337=0,"",[2]财务取数接口!$D$337),""))</f>
        <v/>
      </c>
      <c r="E338" s="40" t="str">
        <f aca="false">IF($T$4=0,IF($L338="","",$L338),IFERROR(IF([2]财务取数接口!$E$337=0,"",[2]财务取数接口!$E$337),""))</f>
        <v/>
      </c>
      <c r="F338" s="41" t="str">
        <f aca="false">IF($T$4=0,IF($M338="","",$M338),IFERROR(IF([2]财务取数接口!$G$337=0,"",[2]财务取数接口!$G$337),""))</f>
        <v/>
      </c>
      <c r="G338" s="41" t="str">
        <f aca="false">IF($T$4=0,IF($N338="","",$N338),IFERROR(IF([2]财务取数接口!$H$337=0,"",[2]财务取数接口!$H$337),""))</f>
        <v/>
      </c>
      <c r="H338" s="39" t="str">
        <f aca="false">IF($T$4=0,IF($O338="","",$O338),IFERROR(IF([2]财务取数接口!$I$337=0,"",[2]财务取数接口!$I$337),""))</f>
        <v/>
      </c>
      <c r="I338" s="42"/>
      <c r="J338" s="43"/>
      <c r="K338" s="42"/>
      <c r="L338" s="42"/>
      <c r="M338" s="44"/>
      <c r="N338" s="44"/>
      <c r="O338" s="43"/>
      <c r="P338" s="45" t="n">
        <f aca="false">IF(AND($C338&lt;&gt;"",$C338&lt;&gt;"项目",OR(N($D338)&lt;&gt;0,N($E338)&lt;&gt;0,N($F338)&lt;&gt;0)),1,0)</f>
        <v>0</v>
      </c>
      <c r="Q338" s="45" t="n">
        <f aca="false">N(Q337)+$P338</f>
        <v>5</v>
      </c>
    </row>
    <row r="339" customFormat="false" ht="13.5" hidden="false" customHeight="false" outlineLevel="0" collapsed="false">
      <c r="A339" s="9" t="n">
        <v>338</v>
      </c>
      <c r="B339" s="40" t="str">
        <f aca="false">IF($T$4=0,IF($I339="","",$I339),IFERROR(IF([2]财务取数接口!$B$338=0,"",[2]财务取数接口!$B$338),""))</f>
        <v/>
      </c>
      <c r="C339" s="39" t="str">
        <f aca="false">IF($T$4=0,IF($J339="","",$J339),IFERROR(IF([2]财务取数接口!$C$338=0,"",[2]财务取数接口!$C$338),""))</f>
        <v/>
      </c>
      <c r="D339" s="40" t="str">
        <f aca="false">IF($T$4=0,IF($K339="","",$K339),IFERROR(IF([2]财务取数接口!$D$338=0,"",[2]财务取数接口!$D$338),""))</f>
        <v/>
      </c>
      <c r="E339" s="40" t="str">
        <f aca="false">IF($T$4=0,IF($L339="","",$L339),IFERROR(IF([2]财务取数接口!$E$338=0,"",[2]财务取数接口!$E$338),""))</f>
        <v/>
      </c>
      <c r="F339" s="41" t="str">
        <f aca="false">IF($T$4=0,IF($M339="","",$M339),IFERROR(IF([2]财务取数接口!$G$338=0,"",[2]财务取数接口!$G$338),""))</f>
        <v/>
      </c>
      <c r="G339" s="41" t="str">
        <f aca="false">IF($T$4=0,IF($N339="","",$N339),IFERROR(IF([2]财务取数接口!$H$338=0,"",[2]财务取数接口!$H$338),""))</f>
        <v/>
      </c>
      <c r="H339" s="39" t="str">
        <f aca="false">IF($T$4=0,IF($O339="","",$O339),IFERROR(IF([2]财务取数接口!$I$338=0,"",[2]财务取数接口!$I$338),""))</f>
        <v/>
      </c>
      <c r="I339" s="42"/>
      <c r="J339" s="43"/>
      <c r="K339" s="42"/>
      <c r="L339" s="42"/>
      <c r="M339" s="44"/>
      <c r="N339" s="44"/>
      <c r="O339" s="43"/>
      <c r="P339" s="45" t="n">
        <f aca="false">IF(AND($C339&lt;&gt;"",$C339&lt;&gt;"项目",OR(N($D339)&lt;&gt;0,N($E339)&lt;&gt;0,N($F339)&lt;&gt;0)),1,0)</f>
        <v>0</v>
      </c>
      <c r="Q339" s="45" t="n">
        <f aca="false">N(Q338)+$P339</f>
        <v>5</v>
      </c>
    </row>
    <row r="340" customFormat="false" ht="13.5" hidden="false" customHeight="false" outlineLevel="0" collapsed="false">
      <c r="A340" s="9" t="n">
        <v>339</v>
      </c>
      <c r="B340" s="40" t="str">
        <f aca="false">IF($T$4=0,IF($I340="","",$I340),IFERROR(IF([2]财务取数接口!$B$339=0,"",[2]财务取数接口!$B$339),""))</f>
        <v/>
      </c>
      <c r="C340" s="39" t="str">
        <f aca="false">IF($T$4=0,IF($J340="","",$J340),IFERROR(IF([2]财务取数接口!$C$339=0,"",[2]财务取数接口!$C$339),""))</f>
        <v/>
      </c>
      <c r="D340" s="40" t="str">
        <f aca="false">IF($T$4=0,IF($K340="","",$K340),IFERROR(IF([2]财务取数接口!$D$339=0,"",[2]财务取数接口!$D$339),""))</f>
        <v/>
      </c>
      <c r="E340" s="40" t="str">
        <f aca="false">IF($T$4=0,IF($L340="","",$L340),IFERROR(IF([2]财务取数接口!$E$339=0,"",[2]财务取数接口!$E$339),""))</f>
        <v/>
      </c>
      <c r="F340" s="41" t="str">
        <f aca="false">IF($T$4=0,IF($M340="","",$M340),IFERROR(IF([2]财务取数接口!$G$339=0,"",[2]财务取数接口!$G$339),""))</f>
        <v/>
      </c>
      <c r="G340" s="41" t="str">
        <f aca="false">IF($T$4=0,IF($N340="","",$N340),IFERROR(IF([2]财务取数接口!$H$339=0,"",[2]财务取数接口!$H$339),""))</f>
        <v/>
      </c>
      <c r="H340" s="39" t="str">
        <f aca="false">IF($T$4=0,IF($O340="","",$O340),IFERROR(IF([2]财务取数接口!$I$339=0,"",[2]财务取数接口!$I$339),""))</f>
        <v/>
      </c>
      <c r="I340" s="42"/>
      <c r="J340" s="43"/>
      <c r="K340" s="42"/>
      <c r="L340" s="42"/>
      <c r="M340" s="44"/>
      <c r="N340" s="44"/>
      <c r="O340" s="43"/>
      <c r="P340" s="45" t="n">
        <f aca="false">IF(AND($C340&lt;&gt;"",$C340&lt;&gt;"项目",OR(N($D340)&lt;&gt;0,N($E340)&lt;&gt;0,N($F340)&lt;&gt;0)),1,0)</f>
        <v>0</v>
      </c>
      <c r="Q340" s="45" t="n">
        <f aca="false">N(Q339)+$P340</f>
        <v>5</v>
      </c>
    </row>
    <row r="341" customFormat="false" ht="13.5" hidden="false" customHeight="false" outlineLevel="0" collapsed="false">
      <c r="A341" s="9" t="n">
        <v>340</v>
      </c>
      <c r="B341" s="40" t="str">
        <f aca="false">IF($T$4=0,IF($I341="","",$I341),IFERROR(IF([2]财务取数接口!$B$340=0,"",[2]财务取数接口!$B$340),""))</f>
        <v/>
      </c>
      <c r="C341" s="39" t="str">
        <f aca="false">IF($T$4=0,IF($J341="","",$J341),IFERROR(IF([2]财务取数接口!$C$340=0,"",[2]财务取数接口!$C$340),""))</f>
        <v/>
      </c>
      <c r="D341" s="40" t="str">
        <f aca="false">IF($T$4=0,IF($K341="","",$K341),IFERROR(IF([2]财务取数接口!$D$340=0,"",[2]财务取数接口!$D$340),""))</f>
        <v/>
      </c>
      <c r="E341" s="40" t="str">
        <f aca="false">IF($T$4=0,IF($L341="","",$L341),IFERROR(IF([2]财务取数接口!$E$340=0,"",[2]财务取数接口!$E$340),""))</f>
        <v/>
      </c>
      <c r="F341" s="41" t="str">
        <f aca="false">IF($T$4=0,IF($M341="","",$M341),IFERROR(IF([2]财务取数接口!$G$340=0,"",[2]财务取数接口!$G$340),""))</f>
        <v/>
      </c>
      <c r="G341" s="41" t="str">
        <f aca="false">IF($T$4=0,IF($N341="","",$N341),IFERROR(IF([2]财务取数接口!$H$340=0,"",[2]财务取数接口!$H$340),""))</f>
        <v/>
      </c>
      <c r="H341" s="39" t="str">
        <f aca="false">IF($T$4=0,IF($O341="","",$O341),IFERROR(IF([2]财务取数接口!$I$340=0,"",[2]财务取数接口!$I$340),""))</f>
        <v/>
      </c>
      <c r="I341" s="42"/>
      <c r="J341" s="43"/>
      <c r="K341" s="42"/>
      <c r="L341" s="42"/>
      <c r="M341" s="44"/>
      <c r="N341" s="44"/>
      <c r="O341" s="43"/>
      <c r="P341" s="45" t="n">
        <f aca="false">IF(AND($C341&lt;&gt;"",$C341&lt;&gt;"项目",OR(N($D341)&lt;&gt;0,N($E341)&lt;&gt;0,N($F341)&lt;&gt;0)),1,0)</f>
        <v>0</v>
      </c>
      <c r="Q341" s="45" t="n">
        <f aca="false">N(Q340)+$P341</f>
        <v>5</v>
      </c>
    </row>
    <row r="342" customFormat="false" ht="13.5" hidden="false" customHeight="false" outlineLevel="0" collapsed="false">
      <c r="A342" s="9" t="n">
        <v>341</v>
      </c>
      <c r="B342" s="40" t="str">
        <f aca="false">IF($T$4=0,IF($I342="","",$I342),IFERROR(IF([2]财务取数接口!$B$341=0,"",[2]财务取数接口!$B$341),""))</f>
        <v/>
      </c>
      <c r="C342" s="39" t="str">
        <f aca="false">IF($T$4=0,IF($J342="","",$J342),IFERROR(IF([2]财务取数接口!$C$341=0,"",[2]财务取数接口!$C$341),""))</f>
        <v/>
      </c>
      <c r="D342" s="40" t="str">
        <f aca="false">IF($T$4=0,IF($K342="","",$K342),IFERROR(IF([2]财务取数接口!$D$341=0,"",[2]财务取数接口!$D$341),""))</f>
        <v/>
      </c>
      <c r="E342" s="40" t="str">
        <f aca="false">IF($T$4=0,IF($L342="","",$L342),IFERROR(IF([2]财务取数接口!$E$341=0,"",[2]财务取数接口!$E$341),""))</f>
        <v/>
      </c>
      <c r="F342" s="41" t="str">
        <f aca="false">IF($T$4=0,IF($M342="","",$M342),IFERROR(IF([2]财务取数接口!$G$341=0,"",[2]财务取数接口!$G$341),""))</f>
        <v/>
      </c>
      <c r="G342" s="41" t="str">
        <f aca="false">IF($T$4=0,IF($N342="","",$N342),IFERROR(IF([2]财务取数接口!$H$341=0,"",[2]财务取数接口!$H$341),""))</f>
        <v/>
      </c>
      <c r="H342" s="39" t="str">
        <f aca="false">IF($T$4=0,IF($O342="","",$O342),IFERROR(IF([2]财务取数接口!$I$341=0,"",[2]财务取数接口!$I$341),""))</f>
        <v/>
      </c>
      <c r="I342" s="42"/>
      <c r="J342" s="43"/>
      <c r="K342" s="42"/>
      <c r="L342" s="42"/>
      <c r="M342" s="44"/>
      <c r="N342" s="44"/>
      <c r="O342" s="43"/>
      <c r="P342" s="45" t="n">
        <f aca="false">IF(AND($C342&lt;&gt;"",$C342&lt;&gt;"项目",OR(N($D342)&lt;&gt;0,N($E342)&lt;&gt;0,N($F342)&lt;&gt;0)),1,0)</f>
        <v>0</v>
      </c>
      <c r="Q342" s="45" t="n">
        <f aca="false">N(Q341)+$P342</f>
        <v>5</v>
      </c>
    </row>
    <row r="343" customFormat="false" ht="13.5" hidden="false" customHeight="false" outlineLevel="0" collapsed="false">
      <c r="A343" s="9" t="n">
        <v>342</v>
      </c>
      <c r="B343" s="40" t="str">
        <f aca="false">IF($T$4=0,IF($I343="","",$I343),IFERROR(IF([2]财务取数接口!$B$342=0,"",[2]财务取数接口!$B$342),""))</f>
        <v/>
      </c>
      <c r="C343" s="39" t="str">
        <f aca="false">IF($T$4=0,IF($J343="","",$J343),IFERROR(IF([2]财务取数接口!$C$342=0,"",[2]财务取数接口!$C$342),""))</f>
        <v/>
      </c>
      <c r="D343" s="40" t="str">
        <f aca="false">IF($T$4=0,IF($K343="","",$K343),IFERROR(IF([2]财务取数接口!$D$342=0,"",[2]财务取数接口!$D$342),""))</f>
        <v/>
      </c>
      <c r="E343" s="40" t="str">
        <f aca="false">IF($T$4=0,IF($L343="","",$L343),IFERROR(IF([2]财务取数接口!$E$342=0,"",[2]财务取数接口!$E$342),""))</f>
        <v/>
      </c>
      <c r="F343" s="41" t="str">
        <f aca="false">IF($T$4=0,IF($M343="","",$M343),IFERROR(IF([2]财务取数接口!$G$342=0,"",[2]财务取数接口!$G$342),""))</f>
        <v/>
      </c>
      <c r="G343" s="41" t="str">
        <f aca="false">IF($T$4=0,IF($N343="","",$N343),IFERROR(IF([2]财务取数接口!$H$342=0,"",[2]财务取数接口!$H$342),""))</f>
        <v/>
      </c>
      <c r="H343" s="39" t="str">
        <f aca="false">IF($T$4=0,IF($O343="","",$O343),IFERROR(IF([2]财务取数接口!$I$342=0,"",[2]财务取数接口!$I$342),""))</f>
        <v/>
      </c>
      <c r="I343" s="42"/>
      <c r="J343" s="43"/>
      <c r="K343" s="42"/>
      <c r="L343" s="42"/>
      <c r="M343" s="44"/>
      <c r="N343" s="44"/>
      <c r="O343" s="43"/>
      <c r="P343" s="45" t="n">
        <f aca="false">IF(AND($C343&lt;&gt;"",$C343&lt;&gt;"项目",OR(N($D343)&lt;&gt;0,N($E343)&lt;&gt;0,N($F343)&lt;&gt;0)),1,0)</f>
        <v>0</v>
      </c>
      <c r="Q343" s="45" t="n">
        <f aca="false">N(Q342)+$P343</f>
        <v>5</v>
      </c>
    </row>
    <row r="344" customFormat="false" ht="13.5" hidden="false" customHeight="false" outlineLevel="0" collapsed="false">
      <c r="A344" s="9" t="n">
        <v>343</v>
      </c>
      <c r="B344" s="40" t="str">
        <f aca="false">IF($T$4=0,IF($I344="","",$I344),IFERROR(IF([2]财务取数接口!$B$343=0,"",[2]财务取数接口!$B$343),""))</f>
        <v/>
      </c>
      <c r="C344" s="39" t="str">
        <f aca="false">IF($T$4=0,IF($J344="","",$J344),IFERROR(IF([2]财务取数接口!$C$343=0,"",[2]财务取数接口!$C$343),""))</f>
        <v/>
      </c>
      <c r="D344" s="40" t="str">
        <f aca="false">IF($T$4=0,IF($K344="","",$K344),IFERROR(IF([2]财务取数接口!$D$343=0,"",[2]财务取数接口!$D$343),""))</f>
        <v/>
      </c>
      <c r="E344" s="40" t="str">
        <f aca="false">IF($T$4=0,IF($L344="","",$L344),IFERROR(IF([2]财务取数接口!$E$343=0,"",[2]财务取数接口!$E$343),""))</f>
        <v/>
      </c>
      <c r="F344" s="41" t="str">
        <f aca="false">IF($T$4=0,IF($M344="","",$M344),IFERROR(IF([2]财务取数接口!$G$343=0,"",[2]财务取数接口!$G$343),""))</f>
        <v/>
      </c>
      <c r="G344" s="41" t="str">
        <f aca="false">IF($T$4=0,IF($N344="","",$N344),IFERROR(IF([2]财务取数接口!$H$343=0,"",[2]财务取数接口!$H$343),""))</f>
        <v/>
      </c>
      <c r="H344" s="39" t="str">
        <f aca="false">IF($T$4=0,IF($O344="","",$O344),IFERROR(IF([2]财务取数接口!$I$343=0,"",[2]财务取数接口!$I$343),""))</f>
        <v/>
      </c>
      <c r="I344" s="42"/>
      <c r="J344" s="43"/>
      <c r="K344" s="42"/>
      <c r="L344" s="42"/>
      <c r="M344" s="44"/>
      <c r="N344" s="44"/>
      <c r="O344" s="43"/>
      <c r="P344" s="45" t="n">
        <f aca="false">IF(AND($C344&lt;&gt;"",$C344&lt;&gt;"项目",OR(N($D344)&lt;&gt;0,N($E344)&lt;&gt;0,N($F344)&lt;&gt;0)),1,0)</f>
        <v>0</v>
      </c>
      <c r="Q344" s="45" t="n">
        <f aca="false">N(Q343)+$P344</f>
        <v>5</v>
      </c>
    </row>
    <row r="345" customFormat="false" ht="13.5" hidden="false" customHeight="false" outlineLevel="0" collapsed="false">
      <c r="A345" s="9" t="n">
        <v>344</v>
      </c>
      <c r="B345" s="40" t="str">
        <f aca="false">IF($T$4=0,IF($I345="","",$I345),IFERROR(IF([2]财务取数接口!$B$344=0,"",[2]财务取数接口!$B$344),""))</f>
        <v/>
      </c>
      <c r="C345" s="39" t="str">
        <f aca="false">IF($T$4=0,IF($J345="","",$J345),IFERROR(IF([2]财务取数接口!$C$344=0,"",[2]财务取数接口!$C$344),""))</f>
        <v/>
      </c>
      <c r="D345" s="40" t="str">
        <f aca="false">IF($T$4=0,IF($K345="","",$K345),IFERROR(IF([2]财务取数接口!$D$344=0,"",[2]财务取数接口!$D$344),""))</f>
        <v/>
      </c>
      <c r="E345" s="40" t="str">
        <f aca="false">IF($T$4=0,IF($L345="","",$L345),IFERROR(IF([2]财务取数接口!$E$344=0,"",[2]财务取数接口!$E$344),""))</f>
        <v/>
      </c>
      <c r="F345" s="41" t="str">
        <f aca="false">IF($T$4=0,IF($M345="","",$M345),IFERROR(IF([2]财务取数接口!$G$344=0,"",[2]财务取数接口!$G$344),""))</f>
        <v/>
      </c>
      <c r="G345" s="41" t="str">
        <f aca="false">IF($T$4=0,IF($N345="","",$N345),IFERROR(IF([2]财务取数接口!$H$344=0,"",[2]财务取数接口!$H$344),""))</f>
        <v/>
      </c>
      <c r="H345" s="39" t="str">
        <f aca="false">IF($T$4=0,IF($O345="","",$O345),IFERROR(IF([2]财务取数接口!$I$344=0,"",[2]财务取数接口!$I$344),""))</f>
        <v/>
      </c>
      <c r="I345" s="42"/>
      <c r="J345" s="43"/>
      <c r="K345" s="42"/>
      <c r="L345" s="42"/>
      <c r="M345" s="44"/>
      <c r="N345" s="44"/>
      <c r="O345" s="43"/>
      <c r="P345" s="45" t="n">
        <f aca="false">IF(AND($C345&lt;&gt;"",$C345&lt;&gt;"项目",OR(N($D345)&lt;&gt;0,N($E345)&lt;&gt;0,N($F345)&lt;&gt;0)),1,0)</f>
        <v>0</v>
      </c>
      <c r="Q345" s="45" t="n">
        <f aca="false">N(Q344)+$P345</f>
        <v>5</v>
      </c>
    </row>
    <row r="346" customFormat="false" ht="13.5" hidden="false" customHeight="false" outlineLevel="0" collapsed="false">
      <c r="A346" s="9" t="n">
        <v>345</v>
      </c>
      <c r="B346" s="40" t="str">
        <f aca="false">IF($T$4=0,IF($I346="","",$I346),IFERROR(IF([2]财务取数接口!$B$345=0,"",[2]财务取数接口!$B$345),""))</f>
        <v/>
      </c>
      <c r="C346" s="39" t="str">
        <f aca="false">IF($T$4=0,IF($J346="","",$J346),IFERROR(IF([2]财务取数接口!$C$345=0,"",[2]财务取数接口!$C$345),""))</f>
        <v/>
      </c>
      <c r="D346" s="40" t="str">
        <f aca="false">IF($T$4=0,IF($K346="","",$K346),IFERROR(IF([2]财务取数接口!$D$345=0,"",[2]财务取数接口!$D$345),""))</f>
        <v/>
      </c>
      <c r="E346" s="40" t="str">
        <f aca="false">IF($T$4=0,IF($L346="","",$L346),IFERROR(IF([2]财务取数接口!$E$345=0,"",[2]财务取数接口!$E$345),""))</f>
        <v/>
      </c>
      <c r="F346" s="41" t="str">
        <f aca="false">IF($T$4=0,IF($M346="","",$M346),IFERROR(IF([2]财务取数接口!$G$345=0,"",[2]财务取数接口!$G$345),""))</f>
        <v/>
      </c>
      <c r="G346" s="41" t="str">
        <f aca="false">IF($T$4=0,IF($N346="","",$N346),IFERROR(IF([2]财务取数接口!$H$345=0,"",[2]财务取数接口!$H$345),""))</f>
        <v/>
      </c>
      <c r="H346" s="39" t="str">
        <f aca="false">IF($T$4=0,IF($O346="","",$O346),IFERROR(IF([2]财务取数接口!$I$345=0,"",[2]财务取数接口!$I$345),""))</f>
        <v/>
      </c>
      <c r="I346" s="42"/>
      <c r="J346" s="43"/>
      <c r="K346" s="42"/>
      <c r="L346" s="42"/>
      <c r="M346" s="44"/>
      <c r="N346" s="44"/>
      <c r="O346" s="43"/>
      <c r="P346" s="45" t="n">
        <f aca="false">IF(AND($C346&lt;&gt;"",$C346&lt;&gt;"项目",OR(N($D346)&lt;&gt;0,N($E346)&lt;&gt;0,N($F346)&lt;&gt;0)),1,0)</f>
        <v>0</v>
      </c>
      <c r="Q346" s="45" t="n">
        <f aca="false">N(Q345)+$P346</f>
        <v>5</v>
      </c>
    </row>
    <row r="347" customFormat="false" ht="13.5" hidden="false" customHeight="false" outlineLevel="0" collapsed="false">
      <c r="A347" s="9" t="n">
        <v>346</v>
      </c>
      <c r="B347" s="40" t="str">
        <f aca="false">IF($T$4=0,IF($I347="","",$I347),IFERROR(IF([2]财务取数接口!$B$346=0,"",[2]财务取数接口!$B$346),""))</f>
        <v/>
      </c>
      <c r="C347" s="39" t="str">
        <f aca="false">IF($T$4=0,IF($J347="","",$J347),IFERROR(IF([2]财务取数接口!$C$346=0,"",[2]财务取数接口!$C$346),""))</f>
        <v/>
      </c>
      <c r="D347" s="40" t="str">
        <f aca="false">IF($T$4=0,IF($K347="","",$K347),IFERROR(IF([2]财务取数接口!$D$346=0,"",[2]财务取数接口!$D$346),""))</f>
        <v/>
      </c>
      <c r="E347" s="40" t="str">
        <f aca="false">IF($T$4=0,IF($L347="","",$L347),IFERROR(IF([2]财务取数接口!$E$346=0,"",[2]财务取数接口!$E$346),""))</f>
        <v/>
      </c>
      <c r="F347" s="41" t="str">
        <f aca="false">IF($T$4=0,IF($M347="","",$M347),IFERROR(IF([2]财务取数接口!$G$346=0,"",[2]财务取数接口!$G$346),""))</f>
        <v/>
      </c>
      <c r="G347" s="41" t="str">
        <f aca="false">IF($T$4=0,IF($N347="","",$N347),IFERROR(IF([2]财务取数接口!$H$346=0,"",[2]财务取数接口!$H$346),""))</f>
        <v/>
      </c>
      <c r="H347" s="39" t="str">
        <f aca="false">IF($T$4=0,IF($O347="","",$O347),IFERROR(IF([2]财务取数接口!$I$346=0,"",[2]财务取数接口!$I$346),""))</f>
        <v/>
      </c>
      <c r="I347" s="42"/>
      <c r="J347" s="43"/>
      <c r="K347" s="42"/>
      <c r="L347" s="42"/>
      <c r="M347" s="44"/>
      <c r="N347" s="44"/>
      <c r="O347" s="43"/>
      <c r="P347" s="45" t="n">
        <f aca="false">IF(AND($C347&lt;&gt;"",$C347&lt;&gt;"项目",OR(N($D347)&lt;&gt;0,N($E347)&lt;&gt;0,N($F347)&lt;&gt;0)),1,0)</f>
        <v>0</v>
      </c>
      <c r="Q347" s="45" t="n">
        <f aca="false">N(Q346)+$P347</f>
        <v>5</v>
      </c>
    </row>
    <row r="348" customFormat="false" ht="13.5" hidden="false" customHeight="false" outlineLevel="0" collapsed="false">
      <c r="A348" s="9" t="n">
        <v>347</v>
      </c>
      <c r="B348" s="40" t="str">
        <f aca="false">IF($T$4=0,IF($I348="","",$I348),IFERROR(IF([2]财务取数接口!$B$347=0,"",[2]财务取数接口!$B$347),""))</f>
        <v/>
      </c>
      <c r="C348" s="39" t="str">
        <f aca="false">IF($T$4=0,IF($J348="","",$J348),IFERROR(IF([2]财务取数接口!$C$347=0,"",[2]财务取数接口!$C$347),""))</f>
        <v/>
      </c>
      <c r="D348" s="40" t="str">
        <f aca="false">IF($T$4=0,IF($K348="","",$K348),IFERROR(IF([2]财务取数接口!$D$347=0,"",[2]财务取数接口!$D$347),""))</f>
        <v/>
      </c>
      <c r="E348" s="40" t="str">
        <f aca="false">IF($T$4=0,IF($L348="","",$L348),IFERROR(IF([2]财务取数接口!$E$347=0,"",[2]财务取数接口!$E$347),""))</f>
        <v/>
      </c>
      <c r="F348" s="41" t="str">
        <f aca="false">IF($T$4=0,IF($M348="","",$M348),IFERROR(IF([2]财务取数接口!$G$347=0,"",[2]财务取数接口!$G$347),""))</f>
        <v/>
      </c>
      <c r="G348" s="41" t="str">
        <f aca="false">IF($T$4=0,IF($N348="","",$N348),IFERROR(IF([2]财务取数接口!$H$347=0,"",[2]财务取数接口!$H$347),""))</f>
        <v/>
      </c>
      <c r="H348" s="39" t="str">
        <f aca="false">IF($T$4=0,IF($O348="","",$O348),IFERROR(IF([2]财务取数接口!$I$347=0,"",[2]财务取数接口!$I$347),""))</f>
        <v/>
      </c>
      <c r="I348" s="42"/>
      <c r="J348" s="43"/>
      <c r="K348" s="42"/>
      <c r="L348" s="42"/>
      <c r="M348" s="44"/>
      <c r="N348" s="44"/>
      <c r="O348" s="43"/>
      <c r="P348" s="45" t="n">
        <f aca="false">IF(AND($C348&lt;&gt;"",$C348&lt;&gt;"项目",OR(N($D348)&lt;&gt;0,N($E348)&lt;&gt;0,N($F348)&lt;&gt;0)),1,0)</f>
        <v>0</v>
      </c>
      <c r="Q348" s="45" t="n">
        <f aca="false">N(Q347)+$P348</f>
        <v>5</v>
      </c>
    </row>
    <row r="349" customFormat="false" ht="13.5" hidden="false" customHeight="false" outlineLevel="0" collapsed="false">
      <c r="A349" s="9" t="n">
        <v>348</v>
      </c>
      <c r="B349" s="40" t="str">
        <f aca="false">IF($T$4=0,IF($I349="","",$I349),IFERROR(IF([2]财务取数接口!$B$348=0,"",[2]财务取数接口!$B$348),""))</f>
        <v/>
      </c>
      <c r="C349" s="39" t="str">
        <f aca="false">IF($T$4=0,IF($J349="","",$J349),IFERROR(IF([2]财务取数接口!$C$348=0,"",[2]财务取数接口!$C$348),""))</f>
        <v/>
      </c>
      <c r="D349" s="40" t="str">
        <f aca="false">IF($T$4=0,IF($K349="","",$K349),IFERROR(IF([2]财务取数接口!$D$348=0,"",[2]财务取数接口!$D$348),""))</f>
        <v/>
      </c>
      <c r="E349" s="40" t="str">
        <f aca="false">IF($T$4=0,IF($L349="","",$L349),IFERROR(IF([2]财务取数接口!$E$348=0,"",[2]财务取数接口!$E$348),""))</f>
        <v/>
      </c>
      <c r="F349" s="41" t="str">
        <f aca="false">IF($T$4=0,IF($M349="","",$M349),IFERROR(IF([2]财务取数接口!$G$348=0,"",[2]财务取数接口!$G$348),""))</f>
        <v/>
      </c>
      <c r="G349" s="41" t="str">
        <f aca="false">IF($T$4=0,IF($N349="","",$N349),IFERROR(IF([2]财务取数接口!$H$348=0,"",[2]财务取数接口!$H$348),""))</f>
        <v/>
      </c>
      <c r="H349" s="39" t="str">
        <f aca="false">IF($T$4=0,IF($O349="","",$O349),IFERROR(IF([2]财务取数接口!$I$348=0,"",[2]财务取数接口!$I$348),""))</f>
        <v/>
      </c>
      <c r="I349" s="42"/>
      <c r="J349" s="43"/>
      <c r="K349" s="42"/>
      <c r="L349" s="42"/>
      <c r="M349" s="44"/>
      <c r="N349" s="44"/>
      <c r="O349" s="43"/>
      <c r="P349" s="45" t="n">
        <f aca="false">IF(AND($C349&lt;&gt;"",$C349&lt;&gt;"项目",OR(N($D349)&lt;&gt;0,N($E349)&lt;&gt;0,N($F349)&lt;&gt;0)),1,0)</f>
        <v>0</v>
      </c>
      <c r="Q349" s="45" t="n">
        <f aca="false">N(Q348)+$P349</f>
        <v>5</v>
      </c>
    </row>
    <row r="350" customFormat="false" ht="13.5" hidden="false" customHeight="false" outlineLevel="0" collapsed="false">
      <c r="A350" s="9" t="n">
        <v>349</v>
      </c>
      <c r="B350" s="40" t="str">
        <f aca="false">IF($T$4=0,IF($I350="","",$I350),IFERROR(IF([2]财务取数接口!$B$349=0,"",[2]财务取数接口!$B$349),""))</f>
        <v/>
      </c>
      <c r="C350" s="39" t="str">
        <f aca="false">IF($T$4=0,IF($J350="","",$J350),IFERROR(IF([2]财务取数接口!$C$349=0,"",[2]财务取数接口!$C$349),""))</f>
        <v/>
      </c>
      <c r="D350" s="40" t="str">
        <f aca="false">IF($T$4=0,IF($K350="","",$K350),IFERROR(IF([2]财务取数接口!$D$349=0,"",[2]财务取数接口!$D$349),""))</f>
        <v/>
      </c>
      <c r="E350" s="40" t="str">
        <f aca="false">IF($T$4=0,IF($L350="","",$L350),IFERROR(IF([2]财务取数接口!$E$349=0,"",[2]财务取数接口!$E$349),""))</f>
        <v/>
      </c>
      <c r="F350" s="41" t="str">
        <f aca="false">IF($T$4=0,IF($M350="","",$M350),IFERROR(IF([2]财务取数接口!$G$349=0,"",[2]财务取数接口!$G$349),""))</f>
        <v/>
      </c>
      <c r="G350" s="41" t="str">
        <f aca="false">IF($T$4=0,IF($N350="","",$N350),IFERROR(IF([2]财务取数接口!$H$349=0,"",[2]财务取数接口!$H$349),""))</f>
        <v/>
      </c>
      <c r="H350" s="39" t="str">
        <f aca="false">IF($T$4=0,IF($O350="","",$O350),IFERROR(IF([2]财务取数接口!$I$349=0,"",[2]财务取数接口!$I$349),""))</f>
        <v/>
      </c>
      <c r="I350" s="42"/>
      <c r="J350" s="43"/>
      <c r="K350" s="42"/>
      <c r="L350" s="42"/>
      <c r="M350" s="44"/>
      <c r="N350" s="44"/>
      <c r="O350" s="43"/>
      <c r="P350" s="45" t="n">
        <f aca="false">IF(AND($C350&lt;&gt;"",$C350&lt;&gt;"项目",OR(N($D350)&lt;&gt;0,N($E350)&lt;&gt;0,N($F350)&lt;&gt;0)),1,0)</f>
        <v>0</v>
      </c>
      <c r="Q350" s="45" t="n">
        <f aca="false">N(Q349)+$P350</f>
        <v>5</v>
      </c>
    </row>
    <row r="351" customFormat="false" ht="13.5" hidden="false" customHeight="false" outlineLevel="0" collapsed="false">
      <c r="A351" s="9" t="n">
        <v>350</v>
      </c>
      <c r="B351" s="40" t="str">
        <f aca="false">IF($T$4=0,IF($I351="","",$I351),IFERROR(IF([2]财务取数接口!$B$350=0,"",[2]财务取数接口!$B$350),""))</f>
        <v/>
      </c>
      <c r="C351" s="39" t="str">
        <f aca="false">IF($T$4=0,IF($J351="","",$J351),IFERROR(IF([2]财务取数接口!$C$350=0,"",[2]财务取数接口!$C$350),""))</f>
        <v/>
      </c>
      <c r="D351" s="40" t="str">
        <f aca="false">IF($T$4=0,IF($K351="","",$K351),IFERROR(IF([2]财务取数接口!$D$350=0,"",[2]财务取数接口!$D$350),""))</f>
        <v/>
      </c>
      <c r="E351" s="40" t="str">
        <f aca="false">IF($T$4=0,IF($L351="","",$L351),IFERROR(IF([2]财务取数接口!$E$350=0,"",[2]财务取数接口!$E$350),""))</f>
        <v/>
      </c>
      <c r="F351" s="41" t="str">
        <f aca="false">IF($T$4=0,IF($M351="","",$M351),IFERROR(IF([2]财务取数接口!$G$350=0,"",[2]财务取数接口!$G$350),""))</f>
        <v/>
      </c>
      <c r="G351" s="41" t="str">
        <f aca="false">IF($T$4=0,IF($N351="","",$N351),IFERROR(IF([2]财务取数接口!$H$350=0,"",[2]财务取数接口!$H$350),""))</f>
        <v/>
      </c>
      <c r="H351" s="39" t="str">
        <f aca="false">IF($T$4=0,IF($O351="","",$O351),IFERROR(IF([2]财务取数接口!$I$350=0,"",[2]财务取数接口!$I$350),""))</f>
        <v/>
      </c>
      <c r="I351" s="42"/>
      <c r="J351" s="43"/>
      <c r="K351" s="42"/>
      <c r="L351" s="42"/>
      <c r="M351" s="44"/>
      <c r="N351" s="44"/>
      <c r="O351" s="43"/>
      <c r="P351" s="45" t="n">
        <f aca="false">IF(AND($C351&lt;&gt;"",$C351&lt;&gt;"项目",OR(N($D351)&lt;&gt;0,N($E351)&lt;&gt;0,N($F351)&lt;&gt;0)),1,0)</f>
        <v>0</v>
      </c>
      <c r="Q351" s="45" t="n">
        <f aca="false">N(Q350)+$P351</f>
        <v>5</v>
      </c>
    </row>
    <row r="352" customFormat="false" ht="13.5" hidden="false" customHeight="false" outlineLevel="0" collapsed="false">
      <c r="A352" s="9" t="n">
        <v>351</v>
      </c>
      <c r="B352" s="40" t="str">
        <f aca="false">IF($T$4=0,IF($I352="","",$I352),IFERROR(IF([2]财务取数接口!$B$351=0,"",[2]财务取数接口!$B$351),""))</f>
        <v/>
      </c>
      <c r="C352" s="39" t="str">
        <f aca="false">IF($T$4=0,IF($J352="","",$J352),IFERROR(IF([2]财务取数接口!$C$351=0,"",[2]财务取数接口!$C$351),""))</f>
        <v/>
      </c>
      <c r="D352" s="40" t="str">
        <f aca="false">IF($T$4=0,IF($K352="","",$K352),IFERROR(IF([2]财务取数接口!$D$351=0,"",[2]财务取数接口!$D$351),""))</f>
        <v/>
      </c>
      <c r="E352" s="40" t="str">
        <f aca="false">IF($T$4=0,IF($L352="","",$L352),IFERROR(IF([2]财务取数接口!$E$351=0,"",[2]财务取数接口!$E$351),""))</f>
        <v/>
      </c>
      <c r="F352" s="41" t="str">
        <f aca="false">IF($T$4=0,IF($M352="","",$M352),IFERROR(IF([2]财务取数接口!$G$351=0,"",[2]财务取数接口!$G$351),""))</f>
        <v/>
      </c>
      <c r="G352" s="41" t="str">
        <f aca="false">IF($T$4=0,IF($N352="","",$N352),IFERROR(IF([2]财务取数接口!$H$351=0,"",[2]财务取数接口!$H$351),""))</f>
        <v/>
      </c>
      <c r="H352" s="39" t="str">
        <f aca="false">IF($T$4=0,IF($O352="","",$O352),IFERROR(IF([2]财务取数接口!$I$351=0,"",[2]财务取数接口!$I$351),""))</f>
        <v/>
      </c>
      <c r="I352" s="42"/>
      <c r="J352" s="43"/>
      <c r="K352" s="42"/>
      <c r="L352" s="42"/>
      <c r="M352" s="44"/>
      <c r="N352" s="44"/>
      <c r="O352" s="43"/>
      <c r="P352" s="45" t="n">
        <f aca="false">IF(AND($C352&lt;&gt;"",$C352&lt;&gt;"项目",OR(N($D352)&lt;&gt;0,N($E352)&lt;&gt;0,N($F352)&lt;&gt;0)),1,0)</f>
        <v>0</v>
      </c>
      <c r="Q352" s="45" t="n">
        <f aca="false">N(Q351)+$P352</f>
        <v>5</v>
      </c>
    </row>
    <row r="353" customFormat="false" ht="13.5" hidden="false" customHeight="false" outlineLevel="0" collapsed="false">
      <c r="A353" s="9" t="n">
        <v>352</v>
      </c>
      <c r="B353" s="40" t="str">
        <f aca="false">IF($T$4=0,IF($I353="","",$I353),IFERROR(IF([2]财务取数接口!$B$352=0,"",[2]财务取数接口!$B$352),""))</f>
        <v/>
      </c>
      <c r="C353" s="39" t="str">
        <f aca="false">IF($T$4=0,IF($J353="","",$J353),IFERROR(IF([2]财务取数接口!$C$352=0,"",[2]财务取数接口!$C$352),""))</f>
        <v/>
      </c>
      <c r="D353" s="40" t="str">
        <f aca="false">IF($T$4=0,IF($K353="","",$K353),IFERROR(IF([2]财务取数接口!$D$352=0,"",[2]财务取数接口!$D$352),""))</f>
        <v/>
      </c>
      <c r="E353" s="40" t="str">
        <f aca="false">IF($T$4=0,IF($L353="","",$L353),IFERROR(IF([2]财务取数接口!$E$352=0,"",[2]财务取数接口!$E$352),""))</f>
        <v/>
      </c>
      <c r="F353" s="41" t="str">
        <f aca="false">IF($T$4=0,IF($M353="","",$M353),IFERROR(IF([2]财务取数接口!$G$352=0,"",[2]财务取数接口!$G$352),""))</f>
        <v/>
      </c>
      <c r="G353" s="41" t="str">
        <f aca="false">IF($T$4=0,IF($N353="","",$N353),IFERROR(IF([2]财务取数接口!$H$352=0,"",[2]财务取数接口!$H$352),""))</f>
        <v/>
      </c>
      <c r="H353" s="39" t="str">
        <f aca="false">IF($T$4=0,IF($O353="","",$O353),IFERROR(IF([2]财务取数接口!$I$352=0,"",[2]财务取数接口!$I$352),""))</f>
        <v/>
      </c>
      <c r="I353" s="42"/>
      <c r="J353" s="43"/>
      <c r="K353" s="42"/>
      <c r="L353" s="42"/>
      <c r="M353" s="44"/>
      <c r="N353" s="44"/>
      <c r="O353" s="43"/>
      <c r="P353" s="45" t="n">
        <f aca="false">IF(AND($C353&lt;&gt;"",$C353&lt;&gt;"项目",OR(N($D353)&lt;&gt;0,N($E353)&lt;&gt;0,N($F353)&lt;&gt;0)),1,0)</f>
        <v>0</v>
      </c>
      <c r="Q353" s="45" t="n">
        <f aca="false">N(Q352)+$P353</f>
        <v>5</v>
      </c>
    </row>
    <row r="354" customFormat="false" ht="13.5" hidden="false" customHeight="false" outlineLevel="0" collapsed="false">
      <c r="A354" s="9" t="n">
        <v>353</v>
      </c>
      <c r="B354" s="40" t="str">
        <f aca="false">IF($T$4=0,IF($I354="","",$I354),IFERROR(IF([2]财务取数接口!$B$353=0,"",[2]财务取数接口!$B$353),""))</f>
        <v/>
      </c>
      <c r="C354" s="39" t="str">
        <f aca="false">IF($T$4=0,IF($J354="","",$J354),IFERROR(IF([2]财务取数接口!$C$353=0,"",[2]财务取数接口!$C$353),""))</f>
        <v/>
      </c>
      <c r="D354" s="40" t="str">
        <f aca="false">IF($T$4=0,IF($K354="","",$K354),IFERROR(IF([2]财务取数接口!$D$353=0,"",[2]财务取数接口!$D$353),""))</f>
        <v/>
      </c>
      <c r="E354" s="40" t="str">
        <f aca="false">IF($T$4=0,IF($L354="","",$L354),IFERROR(IF([2]财务取数接口!$E$353=0,"",[2]财务取数接口!$E$353),""))</f>
        <v/>
      </c>
      <c r="F354" s="41" t="str">
        <f aca="false">IF($T$4=0,IF($M354="","",$M354),IFERROR(IF([2]财务取数接口!$G$353=0,"",[2]财务取数接口!$G$353),""))</f>
        <v/>
      </c>
      <c r="G354" s="41" t="str">
        <f aca="false">IF($T$4=0,IF($N354="","",$N354),IFERROR(IF([2]财务取数接口!$H$353=0,"",[2]财务取数接口!$H$353),""))</f>
        <v/>
      </c>
      <c r="H354" s="39" t="str">
        <f aca="false">IF($T$4=0,IF($O354="","",$O354),IFERROR(IF([2]财务取数接口!$I$353=0,"",[2]财务取数接口!$I$353),""))</f>
        <v/>
      </c>
      <c r="I354" s="42"/>
      <c r="J354" s="43"/>
      <c r="K354" s="42"/>
      <c r="L354" s="42"/>
      <c r="M354" s="44"/>
      <c r="N354" s="44"/>
      <c r="O354" s="43"/>
      <c r="P354" s="45" t="n">
        <f aca="false">IF(AND($C354&lt;&gt;"",$C354&lt;&gt;"项目",OR(N($D354)&lt;&gt;0,N($E354)&lt;&gt;0,N($F354)&lt;&gt;0)),1,0)</f>
        <v>0</v>
      </c>
      <c r="Q354" s="45" t="n">
        <f aca="false">N(Q353)+$P354</f>
        <v>5</v>
      </c>
    </row>
    <row r="355" customFormat="false" ht="13.5" hidden="false" customHeight="false" outlineLevel="0" collapsed="false">
      <c r="A355" s="9" t="n">
        <v>354</v>
      </c>
      <c r="B355" s="40" t="str">
        <f aca="false">IF($T$4=0,IF($I355="","",$I355),IFERROR(IF([2]财务取数接口!$B$354=0,"",[2]财务取数接口!$B$354),""))</f>
        <v/>
      </c>
      <c r="C355" s="39" t="str">
        <f aca="false">IF($T$4=0,IF($J355="","",$J355),IFERROR(IF([2]财务取数接口!$C$354=0,"",[2]财务取数接口!$C$354),""))</f>
        <v/>
      </c>
      <c r="D355" s="40" t="str">
        <f aca="false">IF($T$4=0,IF($K355="","",$K355),IFERROR(IF([2]财务取数接口!$D$354=0,"",[2]财务取数接口!$D$354),""))</f>
        <v/>
      </c>
      <c r="E355" s="40" t="str">
        <f aca="false">IF($T$4=0,IF($L355="","",$L355),IFERROR(IF([2]财务取数接口!$E$354=0,"",[2]财务取数接口!$E$354),""))</f>
        <v/>
      </c>
      <c r="F355" s="41" t="str">
        <f aca="false">IF($T$4=0,IF($M355="","",$M355),IFERROR(IF([2]财务取数接口!$G$354=0,"",[2]财务取数接口!$G$354),""))</f>
        <v/>
      </c>
      <c r="G355" s="41" t="str">
        <f aca="false">IF($T$4=0,IF($N355="","",$N355),IFERROR(IF([2]财务取数接口!$H$354=0,"",[2]财务取数接口!$H$354),""))</f>
        <v/>
      </c>
      <c r="H355" s="39" t="str">
        <f aca="false">IF($T$4=0,IF($O355="","",$O355),IFERROR(IF([2]财务取数接口!$I$354=0,"",[2]财务取数接口!$I$354),""))</f>
        <v/>
      </c>
      <c r="I355" s="42"/>
      <c r="J355" s="43"/>
      <c r="K355" s="42"/>
      <c r="L355" s="42"/>
      <c r="M355" s="44"/>
      <c r="N355" s="44"/>
      <c r="O355" s="43"/>
      <c r="P355" s="45" t="n">
        <f aca="false">IF(AND($C355&lt;&gt;"",$C355&lt;&gt;"项目",OR(N($D355)&lt;&gt;0,N($E355)&lt;&gt;0,N($F355)&lt;&gt;0)),1,0)</f>
        <v>0</v>
      </c>
      <c r="Q355" s="45" t="n">
        <f aca="false">N(Q354)+$P355</f>
        <v>5</v>
      </c>
    </row>
    <row r="356" customFormat="false" ht="13.5" hidden="false" customHeight="false" outlineLevel="0" collapsed="false">
      <c r="A356" s="9" t="n">
        <v>355</v>
      </c>
      <c r="B356" s="40" t="str">
        <f aca="false">IF($T$4=0,IF($I356="","",$I356),IFERROR(IF([2]财务取数接口!$B$355=0,"",[2]财务取数接口!$B$355),""))</f>
        <v/>
      </c>
      <c r="C356" s="39" t="str">
        <f aca="false">IF($T$4=0,IF($J356="","",$J356),IFERROR(IF([2]财务取数接口!$C$355=0,"",[2]财务取数接口!$C$355),""))</f>
        <v/>
      </c>
      <c r="D356" s="40" t="str">
        <f aca="false">IF($T$4=0,IF($K356="","",$K356),IFERROR(IF([2]财务取数接口!$D$355=0,"",[2]财务取数接口!$D$355),""))</f>
        <v/>
      </c>
      <c r="E356" s="40" t="str">
        <f aca="false">IF($T$4=0,IF($L356="","",$L356),IFERROR(IF([2]财务取数接口!$E$355=0,"",[2]财务取数接口!$E$355),""))</f>
        <v/>
      </c>
      <c r="F356" s="41" t="str">
        <f aca="false">IF($T$4=0,IF($M356="","",$M356),IFERROR(IF([2]财务取数接口!$G$355=0,"",[2]财务取数接口!$G$355),""))</f>
        <v/>
      </c>
      <c r="G356" s="41" t="str">
        <f aca="false">IF($T$4=0,IF($N356="","",$N356),IFERROR(IF([2]财务取数接口!$H$355=0,"",[2]财务取数接口!$H$355),""))</f>
        <v/>
      </c>
      <c r="H356" s="39" t="str">
        <f aca="false">IF($T$4=0,IF($O356="","",$O356),IFERROR(IF([2]财务取数接口!$I$355=0,"",[2]财务取数接口!$I$355),""))</f>
        <v/>
      </c>
      <c r="I356" s="42"/>
      <c r="J356" s="43"/>
      <c r="K356" s="42"/>
      <c r="L356" s="42"/>
      <c r="M356" s="44"/>
      <c r="N356" s="44"/>
      <c r="O356" s="43"/>
      <c r="P356" s="45" t="n">
        <f aca="false">IF(AND($C356&lt;&gt;"",$C356&lt;&gt;"项目",OR(N($D356)&lt;&gt;0,N($E356)&lt;&gt;0,N($F356)&lt;&gt;0)),1,0)</f>
        <v>0</v>
      </c>
      <c r="Q356" s="45" t="n">
        <f aca="false">N(Q355)+$P356</f>
        <v>5</v>
      </c>
    </row>
    <row r="357" customFormat="false" ht="13.5" hidden="false" customHeight="false" outlineLevel="0" collapsed="false">
      <c r="A357" s="9" t="n">
        <v>356</v>
      </c>
      <c r="B357" s="40" t="str">
        <f aca="false">IF($T$4=0,IF($I357="","",$I357),IFERROR(IF([2]财务取数接口!$B$356=0,"",[2]财务取数接口!$B$356),""))</f>
        <v/>
      </c>
      <c r="C357" s="39" t="str">
        <f aca="false">IF($T$4=0,IF($J357="","",$J357),IFERROR(IF([2]财务取数接口!$C$356=0,"",[2]财务取数接口!$C$356),""))</f>
        <v/>
      </c>
      <c r="D357" s="40" t="str">
        <f aca="false">IF($T$4=0,IF($K357="","",$K357),IFERROR(IF([2]财务取数接口!$D$356=0,"",[2]财务取数接口!$D$356),""))</f>
        <v/>
      </c>
      <c r="E357" s="40" t="str">
        <f aca="false">IF($T$4=0,IF($L357="","",$L357),IFERROR(IF([2]财务取数接口!$E$356=0,"",[2]财务取数接口!$E$356),""))</f>
        <v/>
      </c>
      <c r="F357" s="41" t="str">
        <f aca="false">IF($T$4=0,IF($M357="","",$M357),IFERROR(IF([2]财务取数接口!$G$356=0,"",[2]财务取数接口!$G$356),""))</f>
        <v/>
      </c>
      <c r="G357" s="41" t="str">
        <f aca="false">IF($T$4=0,IF($N357="","",$N357),IFERROR(IF([2]财务取数接口!$H$356=0,"",[2]财务取数接口!$H$356),""))</f>
        <v/>
      </c>
      <c r="H357" s="39" t="str">
        <f aca="false">IF($T$4=0,IF($O357="","",$O357),IFERROR(IF([2]财务取数接口!$I$356=0,"",[2]财务取数接口!$I$356),""))</f>
        <v/>
      </c>
      <c r="I357" s="42"/>
      <c r="J357" s="43"/>
      <c r="K357" s="42"/>
      <c r="L357" s="42"/>
      <c r="M357" s="44"/>
      <c r="N357" s="44"/>
      <c r="O357" s="43"/>
      <c r="P357" s="45" t="n">
        <f aca="false">IF(AND($C357&lt;&gt;"",$C357&lt;&gt;"项目",OR(N($D357)&lt;&gt;0,N($E357)&lt;&gt;0,N($F357)&lt;&gt;0)),1,0)</f>
        <v>0</v>
      </c>
      <c r="Q357" s="45" t="n">
        <f aca="false">N(Q356)+$P357</f>
        <v>5</v>
      </c>
    </row>
    <row r="358" customFormat="false" ht="13.5" hidden="false" customHeight="false" outlineLevel="0" collapsed="false">
      <c r="A358" s="9" t="n">
        <v>357</v>
      </c>
      <c r="B358" s="40" t="str">
        <f aca="false">IF($T$4=0,IF($I358="","",$I358),IFERROR(IF([2]财务取数接口!$B$357=0,"",[2]财务取数接口!$B$357),""))</f>
        <v/>
      </c>
      <c r="C358" s="39" t="str">
        <f aca="false">IF($T$4=0,IF($J358="","",$J358),IFERROR(IF([2]财务取数接口!$C$357=0,"",[2]财务取数接口!$C$357),""))</f>
        <v/>
      </c>
      <c r="D358" s="40" t="str">
        <f aca="false">IF($T$4=0,IF($K358="","",$K358),IFERROR(IF([2]财务取数接口!$D$357=0,"",[2]财务取数接口!$D$357),""))</f>
        <v/>
      </c>
      <c r="E358" s="40" t="str">
        <f aca="false">IF($T$4=0,IF($L358="","",$L358),IFERROR(IF([2]财务取数接口!$E$357=0,"",[2]财务取数接口!$E$357),""))</f>
        <v/>
      </c>
      <c r="F358" s="41" t="str">
        <f aca="false">IF($T$4=0,IF($M358="","",$M358),IFERROR(IF([2]财务取数接口!$G$357=0,"",[2]财务取数接口!$G$357),""))</f>
        <v/>
      </c>
      <c r="G358" s="41" t="str">
        <f aca="false">IF($T$4=0,IF($N358="","",$N358),IFERROR(IF([2]财务取数接口!$H$357=0,"",[2]财务取数接口!$H$357),""))</f>
        <v/>
      </c>
      <c r="H358" s="39" t="str">
        <f aca="false">IF($T$4=0,IF($O358="","",$O358),IFERROR(IF([2]财务取数接口!$I$357=0,"",[2]财务取数接口!$I$357),""))</f>
        <v/>
      </c>
      <c r="I358" s="42"/>
      <c r="J358" s="43"/>
      <c r="K358" s="42"/>
      <c r="L358" s="42"/>
      <c r="M358" s="44"/>
      <c r="N358" s="44"/>
      <c r="O358" s="43"/>
      <c r="P358" s="45" t="n">
        <f aca="false">IF(AND($C358&lt;&gt;"",$C358&lt;&gt;"项目",OR(N($D358)&lt;&gt;0,N($E358)&lt;&gt;0,N($F358)&lt;&gt;0)),1,0)</f>
        <v>0</v>
      </c>
      <c r="Q358" s="45" t="n">
        <f aca="false">N(Q357)+$P358</f>
        <v>5</v>
      </c>
    </row>
    <row r="359" customFormat="false" ht="13.5" hidden="false" customHeight="false" outlineLevel="0" collapsed="false">
      <c r="A359" s="9" t="n">
        <v>358</v>
      </c>
      <c r="B359" s="40" t="str">
        <f aca="false">IF($T$4=0,IF($I359="","",$I359),IFERROR(IF([2]财务取数接口!$B$358=0,"",[2]财务取数接口!$B$358),""))</f>
        <v/>
      </c>
      <c r="C359" s="39" t="str">
        <f aca="false">IF($T$4=0,IF($J359="","",$J359),IFERROR(IF([2]财务取数接口!$C$358=0,"",[2]财务取数接口!$C$358),""))</f>
        <v/>
      </c>
      <c r="D359" s="40" t="str">
        <f aca="false">IF($T$4=0,IF($K359="","",$K359),IFERROR(IF([2]财务取数接口!$D$358=0,"",[2]财务取数接口!$D$358),""))</f>
        <v/>
      </c>
      <c r="E359" s="40" t="str">
        <f aca="false">IF($T$4=0,IF($L359="","",$L359),IFERROR(IF([2]财务取数接口!$E$358=0,"",[2]财务取数接口!$E$358),""))</f>
        <v/>
      </c>
      <c r="F359" s="41" t="str">
        <f aca="false">IF($T$4=0,IF($M359="","",$M359),IFERROR(IF([2]财务取数接口!$G$358=0,"",[2]财务取数接口!$G$358),""))</f>
        <v/>
      </c>
      <c r="G359" s="41" t="str">
        <f aca="false">IF($T$4=0,IF($N359="","",$N359),IFERROR(IF([2]财务取数接口!$H$358=0,"",[2]财务取数接口!$H$358),""))</f>
        <v/>
      </c>
      <c r="H359" s="39" t="str">
        <f aca="false">IF($T$4=0,IF($O359="","",$O359),IFERROR(IF([2]财务取数接口!$I$358=0,"",[2]财务取数接口!$I$358),""))</f>
        <v/>
      </c>
      <c r="I359" s="42"/>
      <c r="J359" s="43"/>
      <c r="K359" s="42"/>
      <c r="L359" s="42"/>
      <c r="M359" s="44"/>
      <c r="N359" s="44"/>
      <c r="O359" s="43"/>
      <c r="P359" s="45" t="n">
        <f aca="false">IF(AND($C359&lt;&gt;"",$C359&lt;&gt;"项目",OR(N($D359)&lt;&gt;0,N($E359)&lt;&gt;0,N($F359)&lt;&gt;0)),1,0)</f>
        <v>0</v>
      </c>
      <c r="Q359" s="45" t="n">
        <f aca="false">N(Q358)+$P359</f>
        <v>5</v>
      </c>
    </row>
    <row r="360" customFormat="false" ht="13.5" hidden="false" customHeight="false" outlineLevel="0" collapsed="false">
      <c r="A360" s="9" t="n">
        <v>359</v>
      </c>
      <c r="B360" s="40" t="str">
        <f aca="false">IF($T$4=0,IF($I360="","",$I360),IFERROR(IF([2]财务取数接口!$B$359=0,"",[2]财务取数接口!$B$359),""))</f>
        <v/>
      </c>
      <c r="C360" s="39" t="str">
        <f aca="false">IF($T$4=0,IF($J360="","",$J360),IFERROR(IF([2]财务取数接口!$C$359=0,"",[2]财务取数接口!$C$359),""))</f>
        <v/>
      </c>
      <c r="D360" s="40" t="str">
        <f aca="false">IF($T$4=0,IF($K360="","",$K360),IFERROR(IF([2]财务取数接口!$D$359=0,"",[2]财务取数接口!$D$359),""))</f>
        <v/>
      </c>
      <c r="E360" s="40" t="str">
        <f aca="false">IF($T$4=0,IF($L360="","",$L360),IFERROR(IF([2]财务取数接口!$E$359=0,"",[2]财务取数接口!$E$359),""))</f>
        <v/>
      </c>
      <c r="F360" s="41" t="str">
        <f aca="false">IF($T$4=0,IF($M360="","",$M360),IFERROR(IF([2]财务取数接口!$G$359=0,"",[2]财务取数接口!$G$359),""))</f>
        <v/>
      </c>
      <c r="G360" s="41" t="str">
        <f aca="false">IF($T$4=0,IF($N360="","",$N360),IFERROR(IF([2]财务取数接口!$H$359=0,"",[2]财务取数接口!$H$359),""))</f>
        <v/>
      </c>
      <c r="H360" s="39" t="str">
        <f aca="false">IF($T$4=0,IF($O360="","",$O360),IFERROR(IF([2]财务取数接口!$I$359=0,"",[2]财务取数接口!$I$359),""))</f>
        <v/>
      </c>
      <c r="I360" s="42"/>
      <c r="J360" s="43"/>
      <c r="K360" s="42"/>
      <c r="L360" s="42"/>
      <c r="M360" s="44"/>
      <c r="N360" s="44"/>
      <c r="O360" s="43"/>
      <c r="P360" s="45" t="n">
        <f aca="false">IF(AND($C360&lt;&gt;"",$C360&lt;&gt;"项目",OR(N($D360)&lt;&gt;0,N($E360)&lt;&gt;0,N($F360)&lt;&gt;0)),1,0)</f>
        <v>0</v>
      </c>
      <c r="Q360" s="45" t="n">
        <f aca="false">N(Q359)+$P360</f>
        <v>5</v>
      </c>
    </row>
    <row r="361" customFormat="false" ht="13.5" hidden="false" customHeight="false" outlineLevel="0" collapsed="false">
      <c r="A361" s="9" t="n">
        <v>360</v>
      </c>
      <c r="B361" s="40" t="str">
        <f aca="false">IF($T$4=0,IF($I361="","",$I361),IFERROR(IF([2]财务取数接口!$B$360=0,"",[2]财务取数接口!$B$360),""))</f>
        <v/>
      </c>
      <c r="C361" s="39" t="str">
        <f aca="false">IF($T$4=0,IF($J361="","",$J361),IFERROR(IF([2]财务取数接口!$C$360=0,"",[2]财务取数接口!$C$360),""))</f>
        <v/>
      </c>
      <c r="D361" s="40" t="str">
        <f aca="false">IF($T$4=0,IF($K361="","",$K361),IFERROR(IF([2]财务取数接口!$D$360=0,"",[2]财务取数接口!$D$360),""))</f>
        <v/>
      </c>
      <c r="E361" s="40" t="str">
        <f aca="false">IF($T$4=0,IF($L361="","",$L361),IFERROR(IF([2]财务取数接口!$E$360=0,"",[2]财务取数接口!$E$360),""))</f>
        <v/>
      </c>
      <c r="F361" s="41" t="str">
        <f aca="false">IF($T$4=0,IF($M361="","",$M361),IFERROR(IF([2]财务取数接口!$G$360=0,"",[2]财务取数接口!$G$360),""))</f>
        <v/>
      </c>
      <c r="G361" s="41" t="str">
        <f aca="false">IF($T$4=0,IF($N361="","",$N361),IFERROR(IF([2]财务取数接口!$H$360=0,"",[2]财务取数接口!$H$360),""))</f>
        <v/>
      </c>
      <c r="H361" s="39" t="str">
        <f aca="false">IF($T$4=0,IF($O361="","",$O361),IFERROR(IF([2]财务取数接口!$I$360=0,"",[2]财务取数接口!$I$360),""))</f>
        <v/>
      </c>
      <c r="I361" s="42"/>
      <c r="J361" s="43"/>
      <c r="K361" s="42"/>
      <c r="L361" s="42"/>
      <c r="M361" s="44"/>
      <c r="N361" s="44"/>
      <c r="O361" s="43"/>
      <c r="P361" s="45" t="n">
        <f aca="false">IF(AND($C361&lt;&gt;"",$C361&lt;&gt;"项目",OR(N($D361)&lt;&gt;0,N($E361)&lt;&gt;0,N($F361)&lt;&gt;0)),1,0)</f>
        <v>0</v>
      </c>
      <c r="Q361" s="45" t="n">
        <f aca="false">N(Q360)+$P361</f>
        <v>5</v>
      </c>
    </row>
    <row r="362" customFormat="false" ht="13.5" hidden="false" customHeight="false" outlineLevel="0" collapsed="false">
      <c r="A362" s="9" t="n">
        <v>361</v>
      </c>
      <c r="B362" s="40" t="str">
        <f aca="false">IF($T$4=0,IF($I362="","",$I362),IFERROR(IF([2]财务取数接口!$B$361=0,"",[2]财务取数接口!$B$361),""))</f>
        <v/>
      </c>
      <c r="C362" s="39" t="str">
        <f aca="false">IF($T$4=0,IF($J362="","",$J362),IFERROR(IF([2]财务取数接口!$C$361=0,"",[2]财务取数接口!$C$361),""))</f>
        <v/>
      </c>
      <c r="D362" s="40" t="str">
        <f aca="false">IF($T$4=0,IF($K362="","",$K362),IFERROR(IF([2]财务取数接口!$D$361=0,"",[2]财务取数接口!$D$361),""))</f>
        <v/>
      </c>
      <c r="E362" s="40" t="str">
        <f aca="false">IF($T$4=0,IF($L362="","",$L362),IFERROR(IF([2]财务取数接口!$E$361=0,"",[2]财务取数接口!$E$361),""))</f>
        <v/>
      </c>
      <c r="F362" s="41" t="str">
        <f aca="false">IF($T$4=0,IF($M362="","",$M362),IFERROR(IF([2]财务取数接口!$G$361=0,"",[2]财务取数接口!$G$361),""))</f>
        <v/>
      </c>
      <c r="G362" s="41" t="str">
        <f aca="false">IF($T$4=0,IF($N362="","",$N362),IFERROR(IF([2]财务取数接口!$H$361=0,"",[2]财务取数接口!$H$361),""))</f>
        <v/>
      </c>
      <c r="H362" s="39" t="str">
        <f aca="false">IF($T$4=0,IF($O362="","",$O362),IFERROR(IF([2]财务取数接口!$I$361=0,"",[2]财务取数接口!$I$361),""))</f>
        <v/>
      </c>
      <c r="I362" s="42"/>
      <c r="J362" s="43"/>
      <c r="K362" s="42"/>
      <c r="L362" s="42"/>
      <c r="M362" s="44"/>
      <c r="N362" s="44"/>
      <c r="O362" s="43"/>
      <c r="P362" s="45" t="n">
        <f aca="false">IF(AND($C362&lt;&gt;"",$C362&lt;&gt;"项目",OR(N($D362)&lt;&gt;0,N($E362)&lt;&gt;0,N($F362)&lt;&gt;0)),1,0)</f>
        <v>0</v>
      </c>
      <c r="Q362" s="45" t="n">
        <f aca="false">N(Q361)+$P362</f>
        <v>5</v>
      </c>
    </row>
    <row r="363" customFormat="false" ht="13.5" hidden="false" customHeight="false" outlineLevel="0" collapsed="false">
      <c r="A363" s="9" t="n">
        <v>362</v>
      </c>
      <c r="B363" s="40" t="str">
        <f aca="false">IF($T$4=0,IF($I363="","",$I363),IFERROR(IF([2]财务取数接口!$B$362=0,"",[2]财务取数接口!$B$362),""))</f>
        <v/>
      </c>
      <c r="C363" s="39" t="str">
        <f aca="false">IF($T$4=0,IF($J363="","",$J363),IFERROR(IF([2]财务取数接口!$C$362=0,"",[2]财务取数接口!$C$362),""))</f>
        <v/>
      </c>
      <c r="D363" s="40" t="str">
        <f aca="false">IF($T$4=0,IF($K363="","",$K363),IFERROR(IF([2]财务取数接口!$D$362=0,"",[2]财务取数接口!$D$362),""))</f>
        <v/>
      </c>
      <c r="E363" s="40" t="str">
        <f aca="false">IF($T$4=0,IF($L363="","",$L363),IFERROR(IF([2]财务取数接口!$E$362=0,"",[2]财务取数接口!$E$362),""))</f>
        <v/>
      </c>
      <c r="F363" s="41" t="str">
        <f aca="false">IF($T$4=0,IF($M363="","",$M363),IFERROR(IF([2]财务取数接口!$G$362=0,"",[2]财务取数接口!$G$362),""))</f>
        <v/>
      </c>
      <c r="G363" s="41" t="str">
        <f aca="false">IF($T$4=0,IF($N363="","",$N363),IFERROR(IF([2]财务取数接口!$H$362=0,"",[2]财务取数接口!$H$362),""))</f>
        <v/>
      </c>
      <c r="H363" s="39" t="str">
        <f aca="false">IF($T$4=0,IF($O363="","",$O363),IFERROR(IF([2]财务取数接口!$I$362=0,"",[2]财务取数接口!$I$362),""))</f>
        <v/>
      </c>
      <c r="I363" s="42"/>
      <c r="J363" s="43"/>
      <c r="K363" s="42"/>
      <c r="L363" s="42"/>
      <c r="M363" s="44"/>
      <c r="N363" s="44"/>
      <c r="O363" s="43"/>
      <c r="P363" s="45" t="n">
        <f aca="false">IF(AND($C363&lt;&gt;"",$C363&lt;&gt;"项目",OR(N($D363)&lt;&gt;0,N($E363)&lt;&gt;0,N($F363)&lt;&gt;0)),1,0)</f>
        <v>0</v>
      </c>
      <c r="Q363" s="45" t="n">
        <f aca="false">N(Q362)+$P363</f>
        <v>5</v>
      </c>
    </row>
    <row r="364" customFormat="false" ht="13.5" hidden="false" customHeight="false" outlineLevel="0" collapsed="false">
      <c r="A364" s="9" t="n">
        <v>363</v>
      </c>
      <c r="B364" s="40" t="str">
        <f aca="false">IF($T$4=0,IF($I364="","",$I364),IFERROR(IF([2]财务取数接口!$B$363=0,"",[2]财务取数接口!$B$363),""))</f>
        <v/>
      </c>
      <c r="C364" s="39" t="str">
        <f aca="false">IF($T$4=0,IF($J364="","",$J364),IFERROR(IF([2]财务取数接口!$C$363=0,"",[2]财务取数接口!$C$363),""))</f>
        <v/>
      </c>
      <c r="D364" s="40" t="str">
        <f aca="false">IF($T$4=0,IF($K364="","",$K364),IFERROR(IF([2]财务取数接口!$D$363=0,"",[2]财务取数接口!$D$363),""))</f>
        <v/>
      </c>
      <c r="E364" s="40" t="str">
        <f aca="false">IF($T$4=0,IF($L364="","",$L364),IFERROR(IF([2]财务取数接口!$E$363=0,"",[2]财务取数接口!$E$363),""))</f>
        <v/>
      </c>
      <c r="F364" s="41" t="str">
        <f aca="false">IF($T$4=0,IF($M364="","",$M364),IFERROR(IF([2]财务取数接口!$G$363=0,"",[2]财务取数接口!$G$363),""))</f>
        <v/>
      </c>
      <c r="G364" s="41" t="str">
        <f aca="false">IF($T$4=0,IF($N364="","",$N364),IFERROR(IF([2]财务取数接口!$H$363=0,"",[2]财务取数接口!$H$363),""))</f>
        <v/>
      </c>
      <c r="H364" s="39" t="str">
        <f aca="false">IF($T$4=0,IF($O364="","",$O364),IFERROR(IF([2]财务取数接口!$I$363=0,"",[2]财务取数接口!$I$363),""))</f>
        <v/>
      </c>
      <c r="I364" s="42"/>
      <c r="J364" s="43"/>
      <c r="K364" s="42"/>
      <c r="L364" s="42"/>
      <c r="M364" s="44"/>
      <c r="N364" s="44"/>
      <c r="O364" s="43"/>
      <c r="P364" s="45" t="n">
        <f aca="false">IF(AND($C364&lt;&gt;"",$C364&lt;&gt;"项目",OR(N($D364)&lt;&gt;0,N($E364)&lt;&gt;0,N($F364)&lt;&gt;0)),1,0)</f>
        <v>0</v>
      </c>
      <c r="Q364" s="45" t="n">
        <f aca="false">N(Q363)+$P364</f>
        <v>5</v>
      </c>
    </row>
    <row r="365" customFormat="false" ht="13.5" hidden="false" customHeight="false" outlineLevel="0" collapsed="false">
      <c r="A365" s="9" t="n">
        <v>364</v>
      </c>
      <c r="B365" s="40" t="str">
        <f aca="false">IF($T$4=0,IF($I365="","",$I365),IFERROR(IF([2]财务取数接口!$B$364=0,"",[2]财务取数接口!$B$364),""))</f>
        <v/>
      </c>
      <c r="C365" s="39" t="str">
        <f aca="false">IF($T$4=0,IF($J365="","",$J365),IFERROR(IF([2]财务取数接口!$C$364=0,"",[2]财务取数接口!$C$364),""))</f>
        <v/>
      </c>
      <c r="D365" s="40" t="str">
        <f aca="false">IF($T$4=0,IF($K365="","",$K365),IFERROR(IF([2]财务取数接口!$D$364=0,"",[2]财务取数接口!$D$364),""))</f>
        <v/>
      </c>
      <c r="E365" s="40" t="str">
        <f aca="false">IF($T$4=0,IF($L365="","",$L365),IFERROR(IF([2]财务取数接口!$E$364=0,"",[2]财务取数接口!$E$364),""))</f>
        <v/>
      </c>
      <c r="F365" s="41" t="str">
        <f aca="false">IF($T$4=0,IF($M365="","",$M365),IFERROR(IF([2]财务取数接口!$G$364=0,"",[2]财务取数接口!$G$364),""))</f>
        <v/>
      </c>
      <c r="G365" s="41" t="str">
        <f aca="false">IF($T$4=0,IF($N365="","",$N365),IFERROR(IF([2]财务取数接口!$H$364=0,"",[2]财务取数接口!$H$364),""))</f>
        <v/>
      </c>
      <c r="H365" s="39" t="str">
        <f aca="false">IF($T$4=0,IF($O365="","",$O365),IFERROR(IF([2]财务取数接口!$I$364=0,"",[2]财务取数接口!$I$364),""))</f>
        <v/>
      </c>
      <c r="I365" s="42"/>
      <c r="J365" s="43"/>
      <c r="K365" s="42"/>
      <c r="L365" s="42"/>
      <c r="M365" s="44"/>
      <c r="N365" s="44"/>
      <c r="O365" s="43"/>
      <c r="P365" s="45" t="n">
        <f aca="false">IF(AND($C365&lt;&gt;"",$C365&lt;&gt;"项目",OR(N($D365)&lt;&gt;0,N($E365)&lt;&gt;0,N($F365)&lt;&gt;0)),1,0)</f>
        <v>0</v>
      </c>
      <c r="Q365" s="45" t="n">
        <f aca="false">N(Q364)+$P365</f>
        <v>5</v>
      </c>
    </row>
    <row r="366" customFormat="false" ht="13.5" hidden="false" customHeight="false" outlineLevel="0" collapsed="false">
      <c r="A366" s="9" t="n">
        <v>365</v>
      </c>
      <c r="B366" s="40" t="str">
        <f aca="false">IF($T$4=0,IF($I366="","",$I366),IFERROR(IF([2]财务取数接口!$B$365=0,"",[2]财务取数接口!$B$365),""))</f>
        <v/>
      </c>
      <c r="C366" s="39" t="str">
        <f aca="false">IF($T$4=0,IF($J366="","",$J366),IFERROR(IF([2]财务取数接口!$C$365=0,"",[2]财务取数接口!$C$365),""))</f>
        <v/>
      </c>
      <c r="D366" s="40" t="str">
        <f aca="false">IF($T$4=0,IF($K366="","",$K366),IFERROR(IF([2]财务取数接口!$D$365=0,"",[2]财务取数接口!$D$365),""))</f>
        <v/>
      </c>
      <c r="E366" s="40" t="str">
        <f aca="false">IF($T$4=0,IF($L366="","",$L366),IFERROR(IF([2]财务取数接口!$E$365=0,"",[2]财务取数接口!$E$365),""))</f>
        <v/>
      </c>
      <c r="F366" s="41" t="str">
        <f aca="false">IF($T$4=0,IF($M366="","",$M366),IFERROR(IF([2]财务取数接口!$G$365=0,"",[2]财务取数接口!$G$365),""))</f>
        <v/>
      </c>
      <c r="G366" s="41" t="str">
        <f aca="false">IF($T$4=0,IF($N366="","",$N366),IFERROR(IF([2]财务取数接口!$H$365=0,"",[2]财务取数接口!$H$365),""))</f>
        <v/>
      </c>
      <c r="H366" s="39" t="str">
        <f aca="false">IF($T$4=0,IF($O366="","",$O366),IFERROR(IF([2]财务取数接口!$I$365=0,"",[2]财务取数接口!$I$365),""))</f>
        <v/>
      </c>
      <c r="I366" s="42"/>
      <c r="J366" s="43"/>
      <c r="K366" s="42"/>
      <c r="L366" s="42"/>
      <c r="M366" s="44"/>
      <c r="N366" s="44"/>
      <c r="O366" s="43"/>
      <c r="P366" s="45" t="n">
        <f aca="false">IF(AND($C366&lt;&gt;"",$C366&lt;&gt;"项目",OR(N($D366)&lt;&gt;0,N($E366)&lt;&gt;0,N($F366)&lt;&gt;0)),1,0)</f>
        <v>0</v>
      </c>
      <c r="Q366" s="45" t="n">
        <f aca="false">N(Q365)+$P366</f>
        <v>5</v>
      </c>
    </row>
    <row r="367" customFormat="false" ht="13.5" hidden="false" customHeight="false" outlineLevel="0" collapsed="false">
      <c r="A367" s="9" t="n">
        <v>366</v>
      </c>
      <c r="B367" s="40" t="str">
        <f aca="false">IF($T$4=0,IF($I367="","",$I367),IFERROR(IF([2]财务取数接口!$B$366=0,"",[2]财务取数接口!$B$366),""))</f>
        <v/>
      </c>
      <c r="C367" s="39" t="str">
        <f aca="false">IF($T$4=0,IF($J367="","",$J367),IFERROR(IF([2]财务取数接口!$C$366=0,"",[2]财务取数接口!$C$366),""))</f>
        <v/>
      </c>
      <c r="D367" s="40" t="str">
        <f aca="false">IF($T$4=0,IF($K367="","",$K367),IFERROR(IF([2]财务取数接口!$D$366=0,"",[2]财务取数接口!$D$366),""))</f>
        <v/>
      </c>
      <c r="E367" s="40" t="str">
        <f aca="false">IF($T$4=0,IF($L367="","",$L367),IFERROR(IF([2]财务取数接口!$E$366=0,"",[2]财务取数接口!$E$366),""))</f>
        <v/>
      </c>
      <c r="F367" s="41" t="str">
        <f aca="false">IF($T$4=0,IF($M367="","",$M367),IFERROR(IF([2]财务取数接口!$G$366=0,"",[2]财务取数接口!$G$366),""))</f>
        <v/>
      </c>
      <c r="G367" s="41" t="str">
        <f aca="false">IF($T$4=0,IF($N367="","",$N367),IFERROR(IF([2]财务取数接口!$H$366=0,"",[2]财务取数接口!$H$366),""))</f>
        <v/>
      </c>
      <c r="H367" s="39" t="str">
        <f aca="false">IF($T$4=0,IF($O367="","",$O367),IFERROR(IF([2]财务取数接口!$I$366=0,"",[2]财务取数接口!$I$366),""))</f>
        <v/>
      </c>
      <c r="I367" s="42"/>
      <c r="J367" s="43"/>
      <c r="K367" s="42"/>
      <c r="L367" s="42"/>
      <c r="M367" s="44"/>
      <c r="N367" s="44"/>
      <c r="O367" s="43"/>
      <c r="P367" s="45" t="n">
        <f aca="false">IF(AND($C367&lt;&gt;"",$C367&lt;&gt;"项目",OR(N($D367)&lt;&gt;0,N($E367)&lt;&gt;0,N($F367)&lt;&gt;0)),1,0)</f>
        <v>0</v>
      </c>
      <c r="Q367" s="45" t="n">
        <f aca="false">N(Q366)+$P367</f>
        <v>5</v>
      </c>
    </row>
    <row r="368" customFormat="false" ht="13.5" hidden="false" customHeight="false" outlineLevel="0" collapsed="false">
      <c r="A368" s="9" t="n">
        <v>367</v>
      </c>
      <c r="B368" s="40" t="str">
        <f aca="false">IF($T$4=0,IF($I368="","",$I368),IFERROR(IF([2]财务取数接口!$B$367=0,"",[2]财务取数接口!$B$367),""))</f>
        <v/>
      </c>
      <c r="C368" s="39" t="str">
        <f aca="false">IF($T$4=0,IF($J368="","",$J368),IFERROR(IF([2]财务取数接口!$C$367=0,"",[2]财务取数接口!$C$367),""))</f>
        <v/>
      </c>
      <c r="D368" s="40" t="str">
        <f aca="false">IF($T$4=0,IF($K368="","",$K368),IFERROR(IF([2]财务取数接口!$D$367=0,"",[2]财务取数接口!$D$367),""))</f>
        <v/>
      </c>
      <c r="E368" s="40" t="str">
        <f aca="false">IF($T$4=0,IF($L368="","",$L368),IFERROR(IF([2]财务取数接口!$E$367=0,"",[2]财务取数接口!$E$367),""))</f>
        <v/>
      </c>
      <c r="F368" s="41" t="str">
        <f aca="false">IF($T$4=0,IF($M368="","",$M368),IFERROR(IF([2]财务取数接口!$G$367=0,"",[2]财务取数接口!$G$367),""))</f>
        <v/>
      </c>
      <c r="G368" s="41" t="str">
        <f aca="false">IF($T$4=0,IF($N368="","",$N368),IFERROR(IF([2]财务取数接口!$H$367=0,"",[2]财务取数接口!$H$367),""))</f>
        <v/>
      </c>
      <c r="H368" s="39" t="str">
        <f aca="false">IF($T$4=0,IF($O368="","",$O368),IFERROR(IF([2]财务取数接口!$I$367=0,"",[2]财务取数接口!$I$367),""))</f>
        <v/>
      </c>
      <c r="I368" s="42"/>
      <c r="J368" s="43"/>
      <c r="K368" s="42"/>
      <c r="L368" s="42"/>
      <c r="M368" s="44"/>
      <c r="N368" s="44"/>
      <c r="O368" s="43"/>
      <c r="P368" s="45" t="n">
        <f aca="false">IF(AND($C368&lt;&gt;"",$C368&lt;&gt;"项目",OR(N($D368)&lt;&gt;0,N($E368)&lt;&gt;0,N($F368)&lt;&gt;0)),1,0)</f>
        <v>0</v>
      </c>
      <c r="Q368" s="45" t="n">
        <f aca="false">N(Q367)+$P368</f>
        <v>5</v>
      </c>
    </row>
    <row r="369" customFormat="false" ht="13.5" hidden="false" customHeight="false" outlineLevel="0" collapsed="false">
      <c r="A369" s="9" t="n">
        <v>368</v>
      </c>
      <c r="B369" s="40" t="str">
        <f aca="false">IF($T$4=0,IF($I369="","",$I369),IFERROR(IF([2]财务取数接口!$B$368=0,"",[2]财务取数接口!$B$368),""))</f>
        <v/>
      </c>
      <c r="C369" s="39" t="str">
        <f aca="false">IF($T$4=0,IF($J369="","",$J369),IFERROR(IF([2]财务取数接口!$C$368=0,"",[2]财务取数接口!$C$368),""))</f>
        <v/>
      </c>
      <c r="D369" s="40" t="str">
        <f aca="false">IF($T$4=0,IF($K369="","",$K369),IFERROR(IF([2]财务取数接口!$D$368=0,"",[2]财务取数接口!$D$368),""))</f>
        <v/>
      </c>
      <c r="E369" s="40" t="str">
        <f aca="false">IF($T$4=0,IF($L369="","",$L369),IFERROR(IF([2]财务取数接口!$E$368=0,"",[2]财务取数接口!$E$368),""))</f>
        <v/>
      </c>
      <c r="F369" s="41" t="str">
        <f aca="false">IF($T$4=0,IF($M369="","",$M369),IFERROR(IF([2]财务取数接口!$G$368=0,"",[2]财务取数接口!$G$368),""))</f>
        <v/>
      </c>
      <c r="G369" s="41" t="str">
        <f aca="false">IF($T$4=0,IF($N369="","",$N369),IFERROR(IF([2]财务取数接口!$H$368=0,"",[2]财务取数接口!$H$368),""))</f>
        <v/>
      </c>
      <c r="H369" s="39" t="str">
        <f aca="false">IF($T$4=0,IF($O369="","",$O369),IFERROR(IF([2]财务取数接口!$I$368=0,"",[2]财务取数接口!$I$368),""))</f>
        <v/>
      </c>
      <c r="I369" s="42"/>
      <c r="J369" s="43"/>
      <c r="K369" s="42"/>
      <c r="L369" s="42"/>
      <c r="M369" s="44"/>
      <c r="N369" s="44"/>
      <c r="O369" s="43"/>
      <c r="P369" s="45" t="n">
        <f aca="false">IF(AND($C369&lt;&gt;"",$C369&lt;&gt;"项目",OR(N($D369)&lt;&gt;0,N($E369)&lt;&gt;0,N($F369)&lt;&gt;0)),1,0)</f>
        <v>0</v>
      </c>
      <c r="Q369" s="45" t="n">
        <f aca="false">N(Q368)+$P369</f>
        <v>5</v>
      </c>
    </row>
    <row r="370" customFormat="false" ht="13.5" hidden="false" customHeight="false" outlineLevel="0" collapsed="false">
      <c r="A370" s="9" t="n">
        <v>369</v>
      </c>
      <c r="B370" s="40" t="str">
        <f aca="false">IF($T$4=0,IF($I370="","",$I370),IFERROR(IF([2]财务取数接口!$B$369=0,"",[2]财务取数接口!$B$369),""))</f>
        <v/>
      </c>
      <c r="C370" s="39" t="str">
        <f aca="false">IF($T$4=0,IF($J370="","",$J370),IFERROR(IF([2]财务取数接口!$C$369=0,"",[2]财务取数接口!$C$369),""))</f>
        <v/>
      </c>
      <c r="D370" s="40" t="str">
        <f aca="false">IF($T$4=0,IF($K370="","",$K370),IFERROR(IF([2]财务取数接口!$D$369=0,"",[2]财务取数接口!$D$369),""))</f>
        <v/>
      </c>
      <c r="E370" s="40" t="str">
        <f aca="false">IF($T$4=0,IF($L370="","",$L370),IFERROR(IF([2]财务取数接口!$E$369=0,"",[2]财务取数接口!$E$369),""))</f>
        <v/>
      </c>
      <c r="F370" s="41" t="str">
        <f aca="false">IF($T$4=0,IF($M370="","",$M370),IFERROR(IF([2]财务取数接口!$G$369=0,"",[2]财务取数接口!$G$369),""))</f>
        <v/>
      </c>
      <c r="G370" s="41" t="str">
        <f aca="false">IF($T$4=0,IF($N370="","",$N370),IFERROR(IF([2]财务取数接口!$H$369=0,"",[2]财务取数接口!$H$369),""))</f>
        <v/>
      </c>
      <c r="H370" s="39" t="str">
        <f aca="false">IF($T$4=0,IF($O370="","",$O370),IFERROR(IF([2]财务取数接口!$I$369=0,"",[2]财务取数接口!$I$369),""))</f>
        <v/>
      </c>
      <c r="I370" s="42"/>
      <c r="J370" s="43"/>
      <c r="K370" s="42"/>
      <c r="L370" s="42"/>
      <c r="M370" s="44"/>
      <c r="N370" s="44"/>
      <c r="O370" s="43"/>
      <c r="P370" s="45" t="n">
        <f aca="false">IF(AND($C370&lt;&gt;"",$C370&lt;&gt;"项目",OR(N($D370)&lt;&gt;0,N($E370)&lt;&gt;0,N($F370)&lt;&gt;0)),1,0)</f>
        <v>0</v>
      </c>
      <c r="Q370" s="45" t="n">
        <f aca="false">N(Q369)+$P370</f>
        <v>5</v>
      </c>
    </row>
    <row r="371" customFormat="false" ht="13.5" hidden="false" customHeight="false" outlineLevel="0" collapsed="false">
      <c r="A371" s="9" t="n">
        <v>370</v>
      </c>
      <c r="B371" s="40" t="str">
        <f aca="false">IF($T$4=0,IF($I371="","",$I371),IFERROR(IF([2]财务取数接口!$B$370=0,"",[2]财务取数接口!$B$370),""))</f>
        <v/>
      </c>
      <c r="C371" s="39" t="str">
        <f aca="false">IF($T$4=0,IF($J371="","",$J371),IFERROR(IF([2]财务取数接口!$C$370=0,"",[2]财务取数接口!$C$370),""))</f>
        <v/>
      </c>
      <c r="D371" s="40" t="str">
        <f aca="false">IF($T$4=0,IF($K371="","",$K371),IFERROR(IF([2]财务取数接口!$D$370=0,"",[2]财务取数接口!$D$370),""))</f>
        <v/>
      </c>
      <c r="E371" s="40" t="str">
        <f aca="false">IF($T$4=0,IF($L371="","",$L371),IFERROR(IF([2]财务取数接口!$E$370=0,"",[2]财务取数接口!$E$370),""))</f>
        <v/>
      </c>
      <c r="F371" s="41" t="str">
        <f aca="false">IF($T$4=0,IF($M371="","",$M371),IFERROR(IF([2]财务取数接口!$G$370=0,"",[2]财务取数接口!$G$370),""))</f>
        <v/>
      </c>
      <c r="G371" s="41" t="str">
        <f aca="false">IF($T$4=0,IF($N371="","",$N371),IFERROR(IF([2]财务取数接口!$H$370=0,"",[2]财务取数接口!$H$370),""))</f>
        <v/>
      </c>
      <c r="H371" s="39" t="str">
        <f aca="false">IF($T$4=0,IF($O371="","",$O371),IFERROR(IF([2]财务取数接口!$I$370=0,"",[2]财务取数接口!$I$370),""))</f>
        <v/>
      </c>
      <c r="I371" s="42"/>
      <c r="J371" s="43"/>
      <c r="K371" s="42"/>
      <c r="L371" s="42"/>
      <c r="M371" s="44"/>
      <c r="N371" s="44"/>
      <c r="O371" s="43"/>
      <c r="P371" s="45" t="n">
        <f aca="false">IF(AND($C371&lt;&gt;"",$C371&lt;&gt;"项目",OR(N($D371)&lt;&gt;0,N($E371)&lt;&gt;0,N($F371)&lt;&gt;0)),1,0)</f>
        <v>0</v>
      </c>
      <c r="Q371" s="45" t="n">
        <f aca="false">N(Q370)+$P371</f>
        <v>5</v>
      </c>
    </row>
    <row r="372" customFormat="false" ht="13.5" hidden="false" customHeight="false" outlineLevel="0" collapsed="false">
      <c r="A372" s="9" t="n">
        <v>371</v>
      </c>
      <c r="B372" s="40" t="str">
        <f aca="false">IF($T$4=0,IF($I372="","",$I372),IFERROR(IF([2]财务取数接口!$B$371=0,"",[2]财务取数接口!$B$371),""))</f>
        <v/>
      </c>
      <c r="C372" s="39" t="str">
        <f aca="false">IF($T$4=0,IF($J372="","",$J372),IFERROR(IF([2]财务取数接口!$C$371=0,"",[2]财务取数接口!$C$371),""))</f>
        <v/>
      </c>
      <c r="D372" s="40" t="str">
        <f aca="false">IF($T$4=0,IF($K372="","",$K372),IFERROR(IF([2]财务取数接口!$D$371=0,"",[2]财务取数接口!$D$371),""))</f>
        <v/>
      </c>
      <c r="E372" s="40" t="str">
        <f aca="false">IF($T$4=0,IF($L372="","",$L372),IFERROR(IF([2]财务取数接口!$E$371=0,"",[2]财务取数接口!$E$371),""))</f>
        <v/>
      </c>
      <c r="F372" s="41" t="str">
        <f aca="false">IF($T$4=0,IF($M372="","",$M372),IFERROR(IF([2]财务取数接口!$G$371=0,"",[2]财务取数接口!$G$371),""))</f>
        <v/>
      </c>
      <c r="G372" s="41" t="str">
        <f aca="false">IF($T$4=0,IF($N372="","",$N372),IFERROR(IF([2]财务取数接口!$H$371=0,"",[2]财务取数接口!$H$371),""))</f>
        <v/>
      </c>
      <c r="H372" s="39" t="str">
        <f aca="false">IF($T$4=0,IF($O372="","",$O372),IFERROR(IF([2]财务取数接口!$I$371=0,"",[2]财务取数接口!$I$371),""))</f>
        <v/>
      </c>
      <c r="I372" s="42"/>
      <c r="J372" s="43"/>
      <c r="K372" s="42"/>
      <c r="L372" s="42"/>
      <c r="M372" s="44"/>
      <c r="N372" s="44"/>
      <c r="O372" s="43"/>
      <c r="P372" s="45" t="n">
        <f aca="false">IF(AND($C372&lt;&gt;"",$C372&lt;&gt;"项目",OR(N($D372)&lt;&gt;0,N($E372)&lt;&gt;0,N($F372)&lt;&gt;0)),1,0)</f>
        <v>0</v>
      </c>
      <c r="Q372" s="45" t="n">
        <f aca="false">N(Q371)+$P372</f>
        <v>5</v>
      </c>
    </row>
    <row r="373" customFormat="false" ht="13.5" hidden="false" customHeight="false" outlineLevel="0" collapsed="false">
      <c r="A373" s="9" t="n">
        <v>372</v>
      </c>
      <c r="B373" s="40" t="str">
        <f aca="false">IF($T$4=0,IF($I373="","",$I373),IFERROR(IF([2]财务取数接口!$B$372=0,"",[2]财务取数接口!$B$372),""))</f>
        <v/>
      </c>
      <c r="C373" s="39" t="str">
        <f aca="false">IF($T$4=0,IF($J373="","",$J373),IFERROR(IF([2]财务取数接口!$C$372=0,"",[2]财务取数接口!$C$372),""))</f>
        <v/>
      </c>
      <c r="D373" s="40" t="str">
        <f aca="false">IF($T$4=0,IF($K373="","",$K373),IFERROR(IF([2]财务取数接口!$D$372=0,"",[2]财务取数接口!$D$372),""))</f>
        <v/>
      </c>
      <c r="E373" s="40" t="str">
        <f aca="false">IF($T$4=0,IF($L373="","",$L373),IFERROR(IF([2]财务取数接口!$E$372=0,"",[2]财务取数接口!$E$372),""))</f>
        <v/>
      </c>
      <c r="F373" s="41" t="str">
        <f aca="false">IF($T$4=0,IF($M373="","",$M373),IFERROR(IF([2]财务取数接口!$G$372=0,"",[2]财务取数接口!$G$372),""))</f>
        <v/>
      </c>
      <c r="G373" s="41" t="str">
        <f aca="false">IF($T$4=0,IF($N373="","",$N373),IFERROR(IF([2]财务取数接口!$H$372=0,"",[2]财务取数接口!$H$372),""))</f>
        <v/>
      </c>
      <c r="H373" s="39" t="str">
        <f aca="false">IF($T$4=0,IF($O373="","",$O373),IFERROR(IF([2]财务取数接口!$I$372=0,"",[2]财务取数接口!$I$372),""))</f>
        <v/>
      </c>
      <c r="I373" s="42"/>
      <c r="J373" s="43"/>
      <c r="K373" s="42"/>
      <c r="L373" s="42"/>
      <c r="M373" s="44"/>
      <c r="N373" s="44"/>
      <c r="O373" s="43"/>
      <c r="P373" s="45" t="n">
        <f aca="false">IF(AND($C373&lt;&gt;"",$C373&lt;&gt;"项目",OR(N($D373)&lt;&gt;0,N($E373)&lt;&gt;0,N($F373)&lt;&gt;0)),1,0)</f>
        <v>0</v>
      </c>
      <c r="Q373" s="45" t="n">
        <f aca="false">N(Q372)+$P373</f>
        <v>5</v>
      </c>
    </row>
    <row r="374" customFormat="false" ht="13.5" hidden="false" customHeight="false" outlineLevel="0" collapsed="false">
      <c r="A374" s="9" t="n">
        <v>373</v>
      </c>
      <c r="B374" s="40" t="str">
        <f aca="false">IF($T$4=0,IF($I374="","",$I374),IFERROR(IF([2]财务取数接口!$B$373=0,"",[2]财务取数接口!$B$373),""))</f>
        <v/>
      </c>
      <c r="C374" s="39" t="str">
        <f aca="false">IF($T$4=0,IF($J374="","",$J374),IFERROR(IF([2]财务取数接口!$C$373=0,"",[2]财务取数接口!$C$373),""))</f>
        <v/>
      </c>
      <c r="D374" s="40" t="str">
        <f aca="false">IF($T$4=0,IF($K374="","",$K374),IFERROR(IF([2]财务取数接口!$D$373=0,"",[2]财务取数接口!$D$373),""))</f>
        <v/>
      </c>
      <c r="E374" s="40" t="str">
        <f aca="false">IF($T$4=0,IF($L374="","",$L374),IFERROR(IF([2]财务取数接口!$E$373=0,"",[2]财务取数接口!$E$373),""))</f>
        <v/>
      </c>
      <c r="F374" s="41" t="str">
        <f aca="false">IF($T$4=0,IF($M374="","",$M374),IFERROR(IF([2]财务取数接口!$G$373=0,"",[2]财务取数接口!$G$373),""))</f>
        <v/>
      </c>
      <c r="G374" s="41" t="str">
        <f aca="false">IF($T$4=0,IF($N374="","",$N374),IFERROR(IF([2]财务取数接口!$H$373=0,"",[2]财务取数接口!$H$373),""))</f>
        <v/>
      </c>
      <c r="H374" s="39" t="str">
        <f aca="false">IF($T$4=0,IF($O374="","",$O374),IFERROR(IF([2]财务取数接口!$I$373=0,"",[2]财务取数接口!$I$373),""))</f>
        <v/>
      </c>
      <c r="I374" s="42"/>
      <c r="J374" s="43"/>
      <c r="K374" s="42"/>
      <c r="L374" s="42"/>
      <c r="M374" s="44"/>
      <c r="N374" s="44"/>
      <c r="O374" s="43"/>
      <c r="P374" s="45" t="n">
        <f aca="false">IF(AND($C374&lt;&gt;"",$C374&lt;&gt;"项目",OR(N($D374)&lt;&gt;0,N($E374)&lt;&gt;0,N($F374)&lt;&gt;0)),1,0)</f>
        <v>0</v>
      </c>
      <c r="Q374" s="45" t="n">
        <f aca="false">N(Q373)+$P374</f>
        <v>5</v>
      </c>
    </row>
    <row r="375" customFormat="false" ht="13.5" hidden="false" customHeight="false" outlineLevel="0" collapsed="false">
      <c r="A375" s="9" t="n">
        <v>374</v>
      </c>
      <c r="B375" s="40" t="str">
        <f aca="false">IF($T$4=0,IF($I375="","",$I375),IFERROR(IF([2]财务取数接口!$B$374=0,"",[2]财务取数接口!$B$374),""))</f>
        <v/>
      </c>
      <c r="C375" s="39" t="str">
        <f aca="false">IF($T$4=0,IF($J375="","",$J375),IFERROR(IF([2]财务取数接口!$C$374=0,"",[2]财务取数接口!$C$374),""))</f>
        <v/>
      </c>
      <c r="D375" s="40" t="str">
        <f aca="false">IF($T$4=0,IF($K375="","",$K375),IFERROR(IF([2]财务取数接口!$D$374=0,"",[2]财务取数接口!$D$374),""))</f>
        <v/>
      </c>
      <c r="E375" s="40" t="str">
        <f aca="false">IF($T$4=0,IF($L375="","",$L375),IFERROR(IF([2]财务取数接口!$E$374=0,"",[2]财务取数接口!$E$374),""))</f>
        <v/>
      </c>
      <c r="F375" s="41" t="str">
        <f aca="false">IF($T$4=0,IF($M375="","",$M375),IFERROR(IF([2]财务取数接口!$G$374=0,"",[2]财务取数接口!$G$374),""))</f>
        <v/>
      </c>
      <c r="G375" s="41" t="str">
        <f aca="false">IF($T$4=0,IF($N375="","",$N375),IFERROR(IF([2]财务取数接口!$H$374=0,"",[2]财务取数接口!$H$374),""))</f>
        <v/>
      </c>
      <c r="H375" s="39" t="str">
        <f aca="false">IF($T$4=0,IF($O375="","",$O375),IFERROR(IF([2]财务取数接口!$I$374=0,"",[2]财务取数接口!$I$374),""))</f>
        <v/>
      </c>
      <c r="I375" s="42"/>
      <c r="J375" s="43"/>
      <c r="K375" s="42"/>
      <c r="L375" s="42"/>
      <c r="M375" s="44"/>
      <c r="N375" s="44"/>
      <c r="O375" s="43"/>
      <c r="P375" s="45" t="n">
        <f aca="false">IF(AND($C375&lt;&gt;"",$C375&lt;&gt;"项目",OR(N($D375)&lt;&gt;0,N($E375)&lt;&gt;0,N($F375)&lt;&gt;0)),1,0)</f>
        <v>0</v>
      </c>
      <c r="Q375" s="45" t="n">
        <f aca="false">N(Q374)+$P375</f>
        <v>5</v>
      </c>
    </row>
    <row r="376" customFormat="false" ht="13.5" hidden="false" customHeight="false" outlineLevel="0" collapsed="false">
      <c r="A376" s="9" t="n">
        <v>375</v>
      </c>
      <c r="B376" s="40" t="str">
        <f aca="false">IF($T$4=0,IF($I376="","",$I376),IFERROR(IF([2]财务取数接口!$B$375=0,"",[2]财务取数接口!$B$375),""))</f>
        <v/>
      </c>
      <c r="C376" s="39" t="str">
        <f aca="false">IF($T$4=0,IF($J376="","",$J376),IFERROR(IF([2]财务取数接口!$C$375=0,"",[2]财务取数接口!$C$375),""))</f>
        <v/>
      </c>
      <c r="D376" s="40" t="str">
        <f aca="false">IF($T$4=0,IF($K376="","",$K376),IFERROR(IF([2]财务取数接口!$D$375=0,"",[2]财务取数接口!$D$375),""))</f>
        <v/>
      </c>
      <c r="E376" s="40" t="str">
        <f aca="false">IF($T$4=0,IF($L376="","",$L376),IFERROR(IF([2]财务取数接口!$E$375=0,"",[2]财务取数接口!$E$375),""))</f>
        <v/>
      </c>
      <c r="F376" s="41" t="str">
        <f aca="false">IF($T$4=0,IF($M376="","",$M376),IFERROR(IF([2]财务取数接口!$G$375=0,"",[2]财务取数接口!$G$375),""))</f>
        <v/>
      </c>
      <c r="G376" s="41" t="str">
        <f aca="false">IF($T$4=0,IF($N376="","",$N376),IFERROR(IF([2]财务取数接口!$H$375=0,"",[2]财务取数接口!$H$375),""))</f>
        <v/>
      </c>
      <c r="H376" s="39" t="str">
        <f aca="false">IF($T$4=0,IF($O376="","",$O376),IFERROR(IF([2]财务取数接口!$I$375=0,"",[2]财务取数接口!$I$375),""))</f>
        <v/>
      </c>
      <c r="I376" s="42"/>
      <c r="J376" s="43"/>
      <c r="K376" s="42"/>
      <c r="L376" s="42"/>
      <c r="M376" s="44"/>
      <c r="N376" s="44"/>
      <c r="O376" s="43"/>
      <c r="P376" s="45" t="n">
        <f aca="false">IF(AND($C376&lt;&gt;"",$C376&lt;&gt;"项目",OR(N($D376)&lt;&gt;0,N($E376)&lt;&gt;0,N($F376)&lt;&gt;0)),1,0)</f>
        <v>0</v>
      </c>
      <c r="Q376" s="45" t="n">
        <f aca="false">N(Q375)+$P376</f>
        <v>5</v>
      </c>
    </row>
    <row r="377" customFormat="false" ht="13.5" hidden="false" customHeight="false" outlineLevel="0" collapsed="false">
      <c r="A377" s="9" t="n">
        <v>376</v>
      </c>
      <c r="B377" s="40" t="str">
        <f aca="false">IF($T$4=0,IF($I377="","",$I377),IFERROR(IF([2]财务取数接口!$B$376=0,"",[2]财务取数接口!$B$376),""))</f>
        <v/>
      </c>
      <c r="C377" s="39" t="str">
        <f aca="false">IF($T$4=0,IF($J377="","",$J377),IFERROR(IF([2]财务取数接口!$C$376=0,"",[2]财务取数接口!$C$376),""))</f>
        <v/>
      </c>
      <c r="D377" s="40" t="str">
        <f aca="false">IF($T$4=0,IF($K377="","",$K377),IFERROR(IF([2]财务取数接口!$D$376=0,"",[2]财务取数接口!$D$376),""))</f>
        <v/>
      </c>
      <c r="E377" s="40" t="str">
        <f aca="false">IF($T$4=0,IF($L377="","",$L377),IFERROR(IF([2]财务取数接口!$E$376=0,"",[2]财务取数接口!$E$376),""))</f>
        <v/>
      </c>
      <c r="F377" s="41" t="str">
        <f aca="false">IF($T$4=0,IF($M377="","",$M377),IFERROR(IF([2]财务取数接口!$G$376=0,"",[2]财务取数接口!$G$376),""))</f>
        <v/>
      </c>
      <c r="G377" s="41" t="str">
        <f aca="false">IF($T$4=0,IF($N377="","",$N377),IFERROR(IF([2]财务取数接口!$H$376=0,"",[2]财务取数接口!$H$376),""))</f>
        <v/>
      </c>
      <c r="H377" s="39" t="str">
        <f aca="false">IF($T$4=0,IF($O377="","",$O377),IFERROR(IF([2]财务取数接口!$I$376=0,"",[2]财务取数接口!$I$376),""))</f>
        <v/>
      </c>
      <c r="I377" s="42"/>
      <c r="J377" s="43"/>
      <c r="K377" s="42"/>
      <c r="L377" s="42"/>
      <c r="M377" s="44"/>
      <c r="N377" s="44"/>
      <c r="O377" s="43"/>
      <c r="P377" s="45" t="n">
        <f aca="false">IF(AND($C377&lt;&gt;"",$C377&lt;&gt;"项目",OR(N($D377)&lt;&gt;0,N($E377)&lt;&gt;0,N($F377)&lt;&gt;0)),1,0)</f>
        <v>0</v>
      </c>
      <c r="Q377" s="45" t="n">
        <f aca="false">N(Q376)+$P377</f>
        <v>5</v>
      </c>
    </row>
    <row r="378" customFormat="false" ht="13.5" hidden="false" customHeight="false" outlineLevel="0" collapsed="false">
      <c r="A378" s="9" t="n">
        <v>377</v>
      </c>
      <c r="B378" s="40" t="str">
        <f aca="false">IF($T$4=0,IF($I378="","",$I378),IFERROR(IF([2]财务取数接口!$B$377=0,"",[2]财务取数接口!$B$377),""))</f>
        <v/>
      </c>
      <c r="C378" s="39" t="str">
        <f aca="false">IF($T$4=0,IF($J378="","",$J378),IFERROR(IF([2]财务取数接口!$C$377=0,"",[2]财务取数接口!$C$377),""))</f>
        <v/>
      </c>
      <c r="D378" s="40" t="str">
        <f aca="false">IF($T$4=0,IF($K378="","",$K378),IFERROR(IF([2]财务取数接口!$D$377=0,"",[2]财务取数接口!$D$377),""))</f>
        <v/>
      </c>
      <c r="E378" s="40" t="str">
        <f aca="false">IF($T$4=0,IF($L378="","",$L378),IFERROR(IF([2]财务取数接口!$E$377=0,"",[2]财务取数接口!$E$377),""))</f>
        <v/>
      </c>
      <c r="F378" s="41" t="str">
        <f aca="false">IF($T$4=0,IF($M378="","",$M378),IFERROR(IF([2]财务取数接口!$G$377=0,"",[2]财务取数接口!$G$377),""))</f>
        <v/>
      </c>
      <c r="G378" s="41" t="str">
        <f aca="false">IF($T$4=0,IF($N378="","",$N378),IFERROR(IF([2]财务取数接口!$H$377=0,"",[2]财务取数接口!$H$377),""))</f>
        <v/>
      </c>
      <c r="H378" s="39" t="str">
        <f aca="false">IF($T$4=0,IF($O378="","",$O378),IFERROR(IF([2]财务取数接口!$I$377=0,"",[2]财务取数接口!$I$377),""))</f>
        <v/>
      </c>
      <c r="I378" s="42"/>
      <c r="J378" s="43"/>
      <c r="K378" s="42"/>
      <c r="L378" s="42"/>
      <c r="M378" s="44"/>
      <c r="N378" s="44"/>
      <c r="O378" s="43"/>
      <c r="P378" s="45" t="n">
        <f aca="false">IF(AND($C378&lt;&gt;"",$C378&lt;&gt;"项目",OR(N($D378)&lt;&gt;0,N($E378)&lt;&gt;0,N($F378)&lt;&gt;0)),1,0)</f>
        <v>0</v>
      </c>
      <c r="Q378" s="45" t="n">
        <f aca="false">N(Q377)+$P378</f>
        <v>5</v>
      </c>
    </row>
    <row r="379" customFormat="false" ht="13.5" hidden="false" customHeight="false" outlineLevel="0" collapsed="false">
      <c r="A379" s="9" t="n">
        <v>378</v>
      </c>
      <c r="B379" s="40" t="str">
        <f aca="false">IF($T$4=0,IF($I379="","",$I379),IFERROR(IF([2]财务取数接口!$B$378=0,"",[2]财务取数接口!$B$378),""))</f>
        <v/>
      </c>
      <c r="C379" s="39" t="str">
        <f aca="false">IF($T$4=0,IF($J379="","",$J379),IFERROR(IF([2]财务取数接口!$C$378=0,"",[2]财务取数接口!$C$378),""))</f>
        <v/>
      </c>
      <c r="D379" s="40" t="str">
        <f aca="false">IF($T$4=0,IF($K379="","",$K379),IFERROR(IF([2]财务取数接口!$D$378=0,"",[2]财务取数接口!$D$378),""))</f>
        <v/>
      </c>
      <c r="E379" s="40" t="str">
        <f aca="false">IF($T$4=0,IF($L379="","",$L379),IFERROR(IF([2]财务取数接口!$E$378=0,"",[2]财务取数接口!$E$378),""))</f>
        <v/>
      </c>
      <c r="F379" s="41" t="str">
        <f aca="false">IF($T$4=0,IF($M379="","",$M379),IFERROR(IF([2]财务取数接口!$G$378=0,"",[2]财务取数接口!$G$378),""))</f>
        <v/>
      </c>
      <c r="G379" s="41" t="str">
        <f aca="false">IF($T$4=0,IF($N379="","",$N379),IFERROR(IF([2]财务取数接口!$H$378=0,"",[2]财务取数接口!$H$378),""))</f>
        <v/>
      </c>
      <c r="H379" s="39" t="str">
        <f aca="false">IF($T$4=0,IF($O379="","",$O379),IFERROR(IF([2]财务取数接口!$I$378=0,"",[2]财务取数接口!$I$378),""))</f>
        <v/>
      </c>
      <c r="I379" s="42"/>
      <c r="J379" s="43"/>
      <c r="K379" s="42"/>
      <c r="L379" s="42"/>
      <c r="M379" s="44"/>
      <c r="N379" s="44"/>
      <c r="O379" s="43"/>
      <c r="P379" s="45" t="n">
        <f aca="false">IF(AND($C379&lt;&gt;"",$C379&lt;&gt;"项目",OR(N($D379)&lt;&gt;0,N($E379)&lt;&gt;0,N($F379)&lt;&gt;0)),1,0)</f>
        <v>0</v>
      </c>
      <c r="Q379" s="45" t="n">
        <f aca="false">N(Q378)+$P379</f>
        <v>5</v>
      </c>
    </row>
    <row r="380" customFormat="false" ht="13.5" hidden="false" customHeight="false" outlineLevel="0" collapsed="false">
      <c r="A380" s="9" t="n">
        <v>379</v>
      </c>
      <c r="B380" s="40" t="str">
        <f aca="false">IF($T$4=0,IF($I380="","",$I380),IFERROR(IF([2]财务取数接口!$B$379=0,"",[2]财务取数接口!$B$379),""))</f>
        <v/>
      </c>
      <c r="C380" s="39" t="str">
        <f aca="false">IF($T$4=0,IF($J380="","",$J380),IFERROR(IF([2]财务取数接口!$C$379=0,"",[2]财务取数接口!$C$379),""))</f>
        <v/>
      </c>
      <c r="D380" s="40" t="str">
        <f aca="false">IF($T$4=0,IF($K380="","",$K380),IFERROR(IF([2]财务取数接口!$D$379=0,"",[2]财务取数接口!$D$379),""))</f>
        <v/>
      </c>
      <c r="E380" s="40" t="str">
        <f aca="false">IF($T$4=0,IF($L380="","",$L380),IFERROR(IF([2]财务取数接口!$E$379=0,"",[2]财务取数接口!$E$379),""))</f>
        <v/>
      </c>
      <c r="F380" s="41" t="str">
        <f aca="false">IF($T$4=0,IF($M380="","",$M380),IFERROR(IF([2]财务取数接口!$G$379=0,"",[2]财务取数接口!$G$379),""))</f>
        <v/>
      </c>
      <c r="G380" s="41" t="str">
        <f aca="false">IF($T$4=0,IF($N380="","",$N380),IFERROR(IF([2]财务取数接口!$H$379=0,"",[2]财务取数接口!$H$379),""))</f>
        <v/>
      </c>
      <c r="H380" s="39" t="str">
        <f aca="false">IF($T$4=0,IF($O380="","",$O380),IFERROR(IF([2]财务取数接口!$I$379=0,"",[2]财务取数接口!$I$379),""))</f>
        <v/>
      </c>
      <c r="I380" s="42"/>
      <c r="J380" s="43"/>
      <c r="K380" s="42"/>
      <c r="L380" s="42"/>
      <c r="M380" s="44"/>
      <c r="N380" s="44"/>
      <c r="O380" s="43"/>
      <c r="P380" s="45" t="n">
        <f aca="false">IF(AND($C380&lt;&gt;"",$C380&lt;&gt;"项目",OR(N($D380)&lt;&gt;0,N($E380)&lt;&gt;0,N($F380)&lt;&gt;0)),1,0)</f>
        <v>0</v>
      </c>
      <c r="Q380" s="45" t="n">
        <f aca="false">N(Q379)+$P380</f>
        <v>5</v>
      </c>
    </row>
    <row r="381" customFormat="false" ht="13.5" hidden="false" customHeight="false" outlineLevel="0" collapsed="false">
      <c r="A381" s="9" t="n">
        <v>380</v>
      </c>
      <c r="B381" s="40" t="str">
        <f aca="false">IF($T$4=0,IF($I381="","",$I381),IFERROR(IF([2]财务取数接口!$B$380=0,"",[2]财务取数接口!$B$380),""))</f>
        <v/>
      </c>
      <c r="C381" s="39" t="str">
        <f aca="false">IF($T$4=0,IF($J381="","",$J381),IFERROR(IF([2]财务取数接口!$C$380=0,"",[2]财务取数接口!$C$380),""))</f>
        <v/>
      </c>
      <c r="D381" s="40" t="str">
        <f aca="false">IF($T$4=0,IF($K381="","",$K381),IFERROR(IF([2]财务取数接口!$D$380=0,"",[2]财务取数接口!$D$380),""))</f>
        <v/>
      </c>
      <c r="E381" s="40" t="str">
        <f aca="false">IF($T$4=0,IF($L381="","",$L381),IFERROR(IF([2]财务取数接口!$E$380=0,"",[2]财务取数接口!$E$380),""))</f>
        <v/>
      </c>
      <c r="F381" s="41" t="str">
        <f aca="false">IF($T$4=0,IF($M381="","",$M381),IFERROR(IF([2]财务取数接口!$G$380=0,"",[2]财务取数接口!$G$380),""))</f>
        <v/>
      </c>
      <c r="G381" s="41" t="str">
        <f aca="false">IF($T$4=0,IF($N381="","",$N381),IFERROR(IF([2]财务取数接口!$H$380=0,"",[2]财务取数接口!$H$380),""))</f>
        <v/>
      </c>
      <c r="H381" s="39" t="str">
        <f aca="false">IF($T$4=0,IF($O381="","",$O381),IFERROR(IF([2]财务取数接口!$I$380=0,"",[2]财务取数接口!$I$380),""))</f>
        <v/>
      </c>
      <c r="I381" s="42"/>
      <c r="J381" s="43"/>
      <c r="K381" s="42"/>
      <c r="L381" s="42"/>
      <c r="M381" s="44"/>
      <c r="N381" s="44"/>
      <c r="O381" s="43"/>
      <c r="P381" s="45" t="n">
        <f aca="false">IF(AND($C381&lt;&gt;"",$C381&lt;&gt;"项目",OR(N($D381)&lt;&gt;0,N($E381)&lt;&gt;0,N($F381)&lt;&gt;0)),1,0)</f>
        <v>0</v>
      </c>
      <c r="Q381" s="45" t="n">
        <f aca="false">N(Q380)+$P381</f>
        <v>5</v>
      </c>
    </row>
    <row r="382" customFormat="false" ht="13.5" hidden="false" customHeight="false" outlineLevel="0" collapsed="false">
      <c r="A382" s="9" t="n">
        <v>381</v>
      </c>
      <c r="B382" s="40" t="str">
        <f aca="false">IF($T$4=0,IF($I382="","",$I382),IFERROR(IF([2]财务取数接口!$B$381=0,"",[2]财务取数接口!$B$381),""))</f>
        <v/>
      </c>
      <c r="C382" s="39" t="str">
        <f aca="false">IF($T$4=0,IF($J382="","",$J382),IFERROR(IF([2]财务取数接口!$C$381=0,"",[2]财务取数接口!$C$381),""))</f>
        <v/>
      </c>
      <c r="D382" s="40" t="str">
        <f aca="false">IF($T$4=0,IF($K382="","",$K382),IFERROR(IF([2]财务取数接口!$D$381=0,"",[2]财务取数接口!$D$381),""))</f>
        <v/>
      </c>
      <c r="E382" s="40" t="str">
        <f aca="false">IF($T$4=0,IF($L382="","",$L382),IFERROR(IF([2]财务取数接口!$E$381=0,"",[2]财务取数接口!$E$381),""))</f>
        <v/>
      </c>
      <c r="F382" s="41" t="str">
        <f aca="false">IF($T$4=0,IF($M382="","",$M382),IFERROR(IF([2]财务取数接口!$G$381=0,"",[2]财务取数接口!$G$381),""))</f>
        <v/>
      </c>
      <c r="G382" s="41" t="str">
        <f aca="false">IF($T$4=0,IF($N382="","",$N382),IFERROR(IF([2]财务取数接口!$H$381=0,"",[2]财务取数接口!$H$381),""))</f>
        <v/>
      </c>
      <c r="H382" s="39" t="str">
        <f aca="false">IF($T$4=0,IF($O382="","",$O382),IFERROR(IF([2]财务取数接口!$I$381=0,"",[2]财务取数接口!$I$381),""))</f>
        <v/>
      </c>
      <c r="I382" s="42"/>
      <c r="J382" s="43"/>
      <c r="K382" s="42"/>
      <c r="L382" s="42"/>
      <c r="M382" s="44"/>
      <c r="N382" s="44"/>
      <c r="O382" s="43"/>
      <c r="P382" s="45" t="n">
        <f aca="false">IF(AND($C382&lt;&gt;"",$C382&lt;&gt;"项目",OR(N($D382)&lt;&gt;0,N($E382)&lt;&gt;0,N($F382)&lt;&gt;0)),1,0)</f>
        <v>0</v>
      </c>
      <c r="Q382" s="45" t="n">
        <f aca="false">N(Q381)+$P382</f>
        <v>5</v>
      </c>
    </row>
    <row r="383" customFormat="false" ht="13.5" hidden="false" customHeight="false" outlineLevel="0" collapsed="false">
      <c r="A383" s="9" t="n">
        <v>382</v>
      </c>
      <c r="B383" s="40" t="str">
        <f aca="false">IF($T$4=0,IF($I383="","",$I383),IFERROR(IF([2]财务取数接口!$B$382=0,"",[2]财务取数接口!$B$382),""))</f>
        <v/>
      </c>
      <c r="C383" s="39" t="str">
        <f aca="false">IF($T$4=0,IF($J383="","",$J383),IFERROR(IF([2]财务取数接口!$C$382=0,"",[2]财务取数接口!$C$382),""))</f>
        <v/>
      </c>
      <c r="D383" s="40" t="str">
        <f aca="false">IF($T$4=0,IF($K383="","",$K383),IFERROR(IF([2]财务取数接口!$D$382=0,"",[2]财务取数接口!$D$382),""))</f>
        <v/>
      </c>
      <c r="E383" s="40" t="str">
        <f aca="false">IF($T$4=0,IF($L383="","",$L383),IFERROR(IF([2]财务取数接口!$E$382=0,"",[2]财务取数接口!$E$382),""))</f>
        <v/>
      </c>
      <c r="F383" s="41" t="str">
        <f aca="false">IF($T$4=0,IF($M383="","",$M383),IFERROR(IF([2]财务取数接口!$G$382=0,"",[2]财务取数接口!$G$382),""))</f>
        <v/>
      </c>
      <c r="G383" s="41" t="str">
        <f aca="false">IF($T$4=0,IF($N383="","",$N383),IFERROR(IF([2]财务取数接口!$H$382=0,"",[2]财务取数接口!$H$382),""))</f>
        <v/>
      </c>
      <c r="H383" s="39" t="str">
        <f aca="false">IF($T$4=0,IF($O383="","",$O383),IFERROR(IF([2]财务取数接口!$I$382=0,"",[2]财务取数接口!$I$382),""))</f>
        <v/>
      </c>
      <c r="I383" s="42"/>
      <c r="J383" s="43"/>
      <c r="K383" s="42"/>
      <c r="L383" s="42"/>
      <c r="M383" s="44"/>
      <c r="N383" s="44"/>
      <c r="O383" s="43"/>
      <c r="P383" s="45" t="n">
        <f aca="false">IF(AND($C383&lt;&gt;"",$C383&lt;&gt;"项目",OR(N($D383)&lt;&gt;0,N($E383)&lt;&gt;0,N($F383)&lt;&gt;0)),1,0)</f>
        <v>0</v>
      </c>
      <c r="Q383" s="45" t="n">
        <f aca="false">N(Q382)+$P383</f>
        <v>5</v>
      </c>
    </row>
    <row r="384" customFormat="false" ht="13.5" hidden="false" customHeight="false" outlineLevel="0" collapsed="false">
      <c r="A384" s="9" t="n">
        <v>383</v>
      </c>
      <c r="B384" s="40" t="str">
        <f aca="false">IF($T$4=0,IF($I384="","",$I384),IFERROR(IF([2]财务取数接口!$B$383=0,"",[2]财务取数接口!$B$383),""))</f>
        <v/>
      </c>
      <c r="C384" s="39" t="str">
        <f aca="false">IF($T$4=0,IF($J384="","",$J384),IFERROR(IF([2]财务取数接口!$C$383=0,"",[2]财务取数接口!$C$383),""))</f>
        <v/>
      </c>
      <c r="D384" s="40" t="str">
        <f aca="false">IF($T$4=0,IF($K384="","",$K384),IFERROR(IF([2]财务取数接口!$D$383=0,"",[2]财务取数接口!$D$383),""))</f>
        <v/>
      </c>
      <c r="E384" s="40" t="str">
        <f aca="false">IF($T$4=0,IF($L384="","",$L384),IFERROR(IF([2]财务取数接口!$E$383=0,"",[2]财务取数接口!$E$383),""))</f>
        <v/>
      </c>
      <c r="F384" s="41" t="str">
        <f aca="false">IF($T$4=0,IF($M384="","",$M384),IFERROR(IF([2]财务取数接口!$G$383=0,"",[2]财务取数接口!$G$383),""))</f>
        <v/>
      </c>
      <c r="G384" s="41" t="str">
        <f aca="false">IF($T$4=0,IF($N384="","",$N384),IFERROR(IF([2]财务取数接口!$H$383=0,"",[2]财务取数接口!$H$383),""))</f>
        <v/>
      </c>
      <c r="H384" s="39" t="str">
        <f aca="false">IF($T$4=0,IF($O384="","",$O384),IFERROR(IF([2]财务取数接口!$I$383=0,"",[2]财务取数接口!$I$383),""))</f>
        <v/>
      </c>
      <c r="I384" s="42"/>
      <c r="J384" s="43"/>
      <c r="K384" s="42"/>
      <c r="L384" s="42"/>
      <c r="M384" s="44"/>
      <c r="N384" s="44"/>
      <c r="O384" s="43"/>
      <c r="P384" s="45" t="n">
        <f aca="false">IF(AND($C384&lt;&gt;"",$C384&lt;&gt;"项目",OR(N($D384)&lt;&gt;0,N($E384)&lt;&gt;0,N($F384)&lt;&gt;0)),1,0)</f>
        <v>0</v>
      </c>
      <c r="Q384" s="45" t="n">
        <f aca="false">N(Q383)+$P384</f>
        <v>5</v>
      </c>
    </row>
    <row r="385" customFormat="false" ht="13.5" hidden="false" customHeight="false" outlineLevel="0" collapsed="false">
      <c r="A385" s="9" t="n">
        <v>384</v>
      </c>
      <c r="B385" s="40" t="str">
        <f aca="false">IF($T$4=0,IF($I385="","",$I385),IFERROR(IF([2]财务取数接口!$B$384=0,"",[2]财务取数接口!$B$384),""))</f>
        <v/>
      </c>
      <c r="C385" s="39" t="str">
        <f aca="false">IF($T$4=0,IF($J385="","",$J385),IFERROR(IF([2]财务取数接口!$C$384=0,"",[2]财务取数接口!$C$384),""))</f>
        <v/>
      </c>
      <c r="D385" s="40" t="str">
        <f aca="false">IF($T$4=0,IF($K385="","",$K385),IFERROR(IF([2]财务取数接口!$D$384=0,"",[2]财务取数接口!$D$384),""))</f>
        <v/>
      </c>
      <c r="E385" s="40" t="str">
        <f aca="false">IF($T$4=0,IF($L385="","",$L385),IFERROR(IF([2]财务取数接口!$E$384=0,"",[2]财务取数接口!$E$384),""))</f>
        <v/>
      </c>
      <c r="F385" s="41" t="str">
        <f aca="false">IF($T$4=0,IF($M385="","",$M385),IFERROR(IF([2]财务取数接口!$G$384=0,"",[2]财务取数接口!$G$384),""))</f>
        <v/>
      </c>
      <c r="G385" s="41" t="str">
        <f aca="false">IF($T$4=0,IF($N385="","",$N385),IFERROR(IF([2]财务取数接口!$H$384=0,"",[2]财务取数接口!$H$384),""))</f>
        <v/>
      </c>
      <c r="H385" s="39" t="str">
        <f aca="false">IF($T$4=0,IF($O385="","",$O385),IFERROR(IF([2]财务取数接口!$I$384=0,"",[2]财务取数接口!$I$384),""))</f>
        <v/>
      </c>
      <c r="I385" s="42"/>
      <c r="J385" s="43"/>
      <c r="K385" s="42"/>
      <c r="L385" s="42"/>
      <c r="M385" s="44"/>
      <c r="N385" s="44"/>
      <c r="O385" s="43"/>
      <c r="P385" s="45" t="n">
        <f aca="false">IF(AND($C385&lt;&gt;"",$C385&lt;&gt;"项目",OR(N($D385)&lt;&gt;0,N($E385)&lt;&gt;0,N($F385)&lt;&gt;0)),1,0)</f>
        <v>0</v>
      </c>
      <c r="Q385" s="45" t="n">
        <f aca="false">N(Q384)+$P385</f>
        <v>5</v>
      </c>
    </row>
    <row r="386" customFormat="false" ht="13.5" hidden="false" customHeight="false" outlineLevel="0" collapsed="false">
      <c r="A386" s="9" t="n">
        <v>385</v>
      </c>
      <c r="B386" s="40" t="str">
        <f aca="false">IF($T$4=0,IF($I386="","",$I386),IFERROR(IF([2]财务取数接口!$B$385=0,"",[2]财务取数接口!$B$385),""))</f>
        <v/>
      </c>
      <c r="C386" s="39" t="str">
        <f aca="false">IF($T$4=0,IF($J386="","",$J386),IFERROR(IF([2]财务取数接口!$C$385=0,"",[2]财务取数接口!$C$385),""))</f>
        <v/>
      </c>
      <c r="D386" s="40" t="str">
        <f aca="false">IF($T$4=0,IF($K386="","",$K386),IFERROR(IF([2]财务取数接口!$D$385=0,"",[2]财务取数接口!$D$385),""))</f>
        <v/>
      </c>
      <c r="E386" s="40" t="str">
        <f aca="false">IF($T$4=0,IF($L386="","",$L386),IFERROR(IF([2]财务取数接口!$E$385=0,"",[2]财务取数接口!$E$385),""))</f>
        <v/>
      </c>
      <c r="F386" s="41" t="str">
        <f aca="false">IF($T$4=0,IF($M386="","",$M386),IFERROR(IF([2]财务取数接口!$G$385=0,"",[2]财务取数接口!$G$385),""))</f>
        <v/>
      </c>
      <c r="G386" s="41" t="str">
        <f aca="false">IF($T$4=0,IF($N386="","",$N386),IFERROR(IF([2]财务取数接口!$H$385=0,"",[2]财务取数接口!$H$385),""))</f>
        <v/>
      </c>
      <c r="H386" s="39" t="str">
        <f aca="false">IF($T$4=0,IF($O386="","",$O386),IFERROR(IF([2]财务取数接口!$I$385=0,"",[2]财务取数接口!$I$385),""))</f>
        <v/>
      </c>
      <c r="I386" s="42"/>
      <c r="J386" s="43"/>
      <c r="K386" s="42"/>
      <c r="L386" s="42"/>
      <c r="M386" s="44"/>
      <c r="N386" s="44"/>
      <c r="O386" s="43"/>
      <c r="P386" s="45" t="n">
        <f aca="false">IF(AND($C386&lt;&gt;"",$C386&lt;&gt;"项目",OR(N($D386)&lt;&gt;0,N($E386)&lt;&gt;0,N($F386)&lt;&gt;0)),1,0)</f>
        <v>0</v>
      </c>
      <c r="Q386" s="45" t="n">
        <f aca="false">N(Q385)+$P386</f>
        <v>5</v>
      </c>
    </row>
    <row r="387" customFormat="false" ht="13.5" hidden="false" customHeight="false" outlineLevel="0" collapsed="false">
      <c r="A387" s="9" t="n">
        <v>386</v>
      </c>
      <c r="B387" s="40" t="str">
        <f aca="false">IF($T$4=0,IF($I387="","",$I387),IFERROR(IF([2]财务取数接口!$B$386=0,"",[2]财务取数接口!$B$386),""))</f>
        <v/>
      </c>
      <c r="C387" s="39" t="str">
        <f aca="false">IF($T$4=0,IF($J387="","",$J387),IFERROR(IF([2]财务取数接口!$C$386=0,"",[2]财务取数接口!$C$386),""))</f>
        <v/>
      </c>
      <c r="D387" s="40" t="str">
        <f aca="false">IF($T$4=0,IF($K387="","",$K387),IFERROR(IF([2]财务取数接口!$D$386=0,"",[2]财务取数接口!$D$386),""))</f>
        <v/>
      </c>
      <c r="E387" s="40" t="str">
        <f aca="false">IF($T$4=0,IF($L387="","",$L387),IFERROR(IF([2]财务取数接口!$E$386=0,"",[2]财务取数接口!$E$386),""))</f>
        <v/>
      </c>
      <c r="F387" s="41" t="str">
        <f aca="false">IF($T$4=0,IF($M387="","",$M387),IFERROR(IF([2]财务取数接口!$G$386=0,"",[2]财务取数接口!$G$386),""))</f>
        <v/>
      </c>
      <c r="G387" s="41" t="str">
        <f aca="false">IF($T$4=0,IF($N387="","",$N387),IFERROR(IF([2]财务取数接口!$H$386=0,"",[2]财务取数接口!$H$386),""))</f>
        <v/>
      </c>
      <c r="H387" s="39" t="str">
        <f aca="false">IF($T$4=0,IF($O387="","",$O387),IFERROR(IF([2]财务取数接口!$I$386=0,"",[2]财务取数接口!$I$386),""))</f>
        <v/>
      </c>
      <c r="I387" s="42"/>
      <c r="J387" s="43"/>
      <c r="K387" s="42"/>
      <c r="L387" s="42"/>
      <c r="M387" s="44"/>
      <c r="N387" s="44"/>
      <c r="O387" s="43"/>
      <c r="P387" s="45" t="n">
        <f aca="false">IF(AND($C387&lt;&gt;"",$C387&lt;&gt;"项目",OR(N($D387)&lt;&gt;0,N($E387)&lt;&gt;0,N($F387)&lt;&gt;0)),1,0)</f>
        <v>0</v>
      </c>
      <c r="Q387" s="45" t="n">
        <f aca="false">N(Q386)+$P387</f>
        <v>5</v>
      </c>
    </row>
    <row r="388" customFormat="false" ht="13.5" hidden="false" customHeight="false" outlineLevel="0" collapsed="false">
      <c r="A388" s="9" t="n">
        <v>387</v>
      </c>
      <c r="B388" s="40" t="str">
        <f aca="false">IF($T$4=0,IF($I388="","",$I388),IFERROR(IF([2]财务取数接口!$B$387=0,"",[2]财务取数接口!$B$387),""))</f>
        <v/>
      </c>
      <c r="C388" s="39" t="str">
        <f aca="false">IF($T$4=0,IF($J388="","",$J388),IFERROR(IF([2]财务取数接口!$C$387=0,"",[2]财务取数接口!$C$387),""))</f>
        <v/>
      </c>
      <c r="D388" s="40" t="str">
        <f aca="false">IF($T$4=0,IF($K388="","",$K388),IFERROR(IF([2]财务取数接口!$D$387=0,"",[2]财务取数接口!$D$387),""))</f>
        <v/>
      </c>
      <c r="E388" s="40" t="str">
        <f aca="false">IF($T$4=0,IF($L388="","",$L388),IFERROR(IF([2]财务取数接口!$E$387=0,"",[2]财务取数接口!$E$387),""))</f>
        <v/>
      </c>
      <c r="F388" s="41" t="str">
        <f aca="false">IF($T$4=0,IF($M388="","",$M388),IFERROR(IF([2]财务取数接口!$G$387=0,"",[2]财务取数接口!$G$387),""))</f>
        <v/>
      </c>
      <c r="G388" s="41" t="str">
        <f aca="false">IF($T$4=0,IF($N388="","",$N388),IFERROR(IF([2]财务取数接口!$H$387=0,"",[2]财务取数接口!$H$387),""))</f>
        <v/>
      </c>
      <c r="H388" s="39" t="str">
        <f aca="false">IF($T$4=0,IF($O388="","",$O388),IFERROR(IF([2]财务取数接口!$I$387=0,"",[2]财务取数接口!$I$387),""))</f>
        <v/>
      </c>
      <c r="I388" s="42"/>
      <c r="J388" s="43"/>
      <c r="K388" s="42"/>
      <c r="L388" s="42"/>
      <c r="M388" s="44"/>
      <c r="N388" s="44"/>
      <c r="O388" s="43"/>
      <c r="P388" s="45" t="n">
        <f aca="false">IF(AND($C388&lt;&gt;"",$C388&lt;&gt;"项目",OR(N($D388)&lt;&gt;0,N($E388)&lt;&gt;0,N($F388)&lt;&gt;0)),1,0)</f>
        <v>0</v>
      </c>
      <c r="Q388" s="45" t="n">
        <f aca="false">N(Q387)+$P388</f>
        <v>5</v>
      </c>
    </row>
    <row r="389" customFormat="false" ht="13.5" hidden="false" customHeight="false" outlineLevel="0" collapsed="false">
      <c r="A389" s="9" t="n">
        <v>388</v>
      </c>
      <c r="B389" s="40" t="str">
        <f aca="false">IF($T$4=0,IF($I389="","",$I389),IFERROR(IF([2]财务取数接口!$B$388=0,"",[2]财务取数接口!$B$388),""))</f>
        <v/>
      </c>
      <c r="C389" s="39" t="str">
        <f aca="false">IF($T$4=0,IF($J389="","",$J389),IFERROR(IF([2]财务取数接口!$C$388=0,"",[2]财务取数接口!$C$388),""))</f>
        <v/>
      </c>
      <c r="D389" s="40" t="str">
        <f aca="false">IF($T$4=0,IF($K389="","",$K389),IFERROR(IF([2]财务取数接口!$D$388=0,"",[2]财务取数接口!$D$388),""))</f>
        <v/>
      </c>
      <c r="E389" s="40" t="str">
        <f aca="false">IF($T$4=0,IF($L389="","",$L389),IFERROR(IF([2]财务取数接口!$E$388=0,"",[2]财务取数接口!$E$388),""))</f>
        <v/>
      </c>
      <c r="F389" s="41" t="str">
        <f aca="false">IF($T$4=0,IF($M389="","",$M389),IFERROR(IF([2]财务取数接口!$G$388=0,"",[2]财务取数接口!$G$388),""))</f>
        <v/>
      </c>
      <c r="G389" s="41" t="str">
        <f aca="false">IF($T$4=0,IF($N389="","",$N389),IFERROR(IF([2]财务取数接口!$H$388=0,"",[2]财务取数接口!$H$388),""))</f>
        <v/>
      </c>
      <c r="H389" s="39" t="str">
        <f aca="false">IF($T$4=0,IF($O389="","",$O389),IFERROR(IF([2]财务取数接口!$I$388=0,"",[2]财务取数接口!$I$388),""))</f>
        <v/>
      </c>
      <c r="I389" s="42"/>
      <c r="J389" s="43"/>
      <c r="K389" s="42"/>
      <c r="L389" s="42"/>
      <c r="M389" s="44"/>
      <c r="N389" s="44"/>
      <c r="O389" s="43"/>
      <c r="P389" s="45" t="n">
        <f aca="false">IF(AND($C389&lt;&gt;"",$C389&lt;&gt;"项目",OR(N($D389)&lt;&gt;0,N($E389)&lt;&gt;0,N($F389)&lt;&gt;0)),1,0)</f>
        <v>0</v>
      </c>
      <c r="Q389" s="45" t="n">
        <f aca="false">N(Q388)+$P389</f>
        <v>5</v>
      </c>
    </row>
    <row r="390" customFormat="false" ht="13.5" hidden="false" customHeight="false" outlineLevel="0" collapsed="false">
      <c r="A390" s="9" t="n">
        <v>389</v>
      </c>
      <c r="B390" s="40" t="str">
        <f aca="false">IF($T$4=0,IF($I390="","",$I390),IFERROR(IF([2]财务取数接口!$B$389=0,"",[2]财务取数接口!$B$389),""))</f>
        <v/>
      </c>
      <c r="C390" s="39" t="str">
        <f aca="false">IF($T$4=0,IF($J390="","",$J390),IFERROR(IF([2]财务取数接口!$C$389=0,"",[2]财务取数接口!$C$389),""))</f>
        <v/>
      </c>
      <c r="D390" s="40" t="str">
        <f aca="false">IF($T$4=0,IF($K390="","",$K390),IFERROR(IF([2]财务取数接口!$D$389=0,"",[2]财务取数接口!$D$389),""))</f>
        <v/>
      </c>
      <c r="E390" s="40" t="str">
        <f aca="false">IF($T$4=0,IF($L390="","",$L390),IFERROR(IF([2]财务取数接口!$E$389=0,"",[2]财务取数接口!$E$389),""))</f>
        <v/>
      </c>
      <c r="F390" s="41" t="str">
        <f aca="false">IF($T$4=0,IF($M390="","",$M390),IFERROR(IF([2]财务取数接口!$G$389=0,"",[2]财务取数接口!$G$389),""))</f>
        <v/>
      </c>
      <c r="G390" s="41" t="str">
        <f aca="false">IF($T$4=0,IF($N390="","",$N390),IFERROR(IF([2]财务取数接口!$H$389=0,"",[2]财务取数接口!$H$389),""))</f>
        <v/>
      </c>
      <c r="H390" s="39" t="str">
        <f aca="false">IF($T$4=0,IF($O390="","",$O390),IFERROR(IF([2]财务取数接口!$I$389=0,"",[2]财务取数接口!$I$389),""))</f>
        <v/>
      </c>
      <c r="I390" s="42"/>
      <c r="J390" s="43"/>
      <c r="K390" s="42"/>
      <c r="L390" s="42"/>
      <c r="M390" s="44"/>
      <c r="N390" s="44"/>
      <c r="O390" s="43"/>
      <c r="P390" s="45" t="n">
        <f aca="false">IF(AND($C390&lt;&gt;"",$C390&lt;&gt;"项目",OR(N($D390)&lt;&gt;0,N($E390)&lt;&gt;0,N($F390)&lt;&gt;0)),1,0)</f>
        <v>0</v>
      </c>
      <c r="Q390" s="45" t="n">
        <f aca="false">N(Q389)+$P390</f>
        <v>5</v>
      </c>
    </row>
    <row r="391" customFormat="false" ht="13.5" hidden="false" customHeight="false" outlineLevel="0" collapsed="false">
      <c r="A391" s="9" t="n">
        <v>390</v>
      </c>
      <c r="B391" s="40" t="str">
        <f aca="false">IF($T$4=0,IF($I391="","",$I391),IFERROR(IF([2]财务取数接口!$B$390=0,"",[2]财务取数接口!$B$390),""))</f>
        <v/>
      </c>
      <c r="C391" s="39" t="str">
        <f aca="false">IF($T$4=0,IF($J391="","",$J391),IFERROR(IF([2]财务取数接口!$C$390=0,"",[2]财务取数接口!$C$390),""))</f>
        <v/>
      </c>
      <c r="D391" s="40" t="str">
        <f aca="false">IF($T$4=0,IF($K391="","",$K391),IFERROR(IF([2]财务取数接口!$D$390=0,"",[2]财务取数接口!$D$390),""))</f>
        <v/>
      </c>
      <c r="E391" s="40" t="str">
        <f aca="false">IF($T$4=0,IF($L391="","",$L391),IFERROR(IF([2]财务取数接口!$E$390=0,"",[2]财务取数接口!$E$390),""))</f>
        <v/>
      </c>
      <c r="F391" s="41" t="str">
        <f aca="false">IF($T$4=0,IF($M391="","",$M391),IFERROR(IF([2]财务取数接口!$G$390=0,"",[2]财务取数接口!$G$390),""))</f>
        <v/>
      </c>
      <c r="G391" s="41" t="str">
        <f aca="false">IF($T$4=0,IF($N391="","",$N391),IFERROR(IF([2]财务取数接口!$H$390=0,"",[2]财务取数接口!$H$390),""))</f>
        <v/>
      </c>
      <c r="H391" s="39" t="str">
        <f aca="false">IF($T$4=0,IF($O391="","",$O391),IFERROR(IF([2]财务取数接口!$I$390=0,"",[2]财务取数接口!$I$390),""))</f>
        <v/>
      </c>
      <c r="I391" s="42"/>
      <c r="J391" s="43"/>
      <c r="K391" s="42"/>
      <c r="L391" s="42"/>
      <c r="M391" s="44"/>
      <c r="N391" s="44"/>
      <c r="O391" s="43"/>
      <c r="P391" s="45" t="n">
        <f aca="false">IF(AND($C391&lt;&gt;"",$C391&lt;&gt;"项目",OR(N($D391)&lt;&gt;0,N($E391)&lt;&gt;0,N($F391)&lt;&gt;0)),1,0)</f>
        <v>0</v>
      </c>
      <c r="Q391" s="45" t="n">
        <f aca="false">N(Q390)+$P391</f>
        <v>5</v>
      </c>
    </row>
    <row r="392" customFormat="false" ht="13.5" hidden="false" customHeight="false" outlineLevel="0" collapsed="false">
      <c r="A392" s="9" t="n">
        <v>391</v>
      </c>
      <c r="B392" s="40" t="str">
        <f aca="false">IF($T$4=0,IF($I392="","",$I392),IFERROR(IF([2]财务取数接口!$B$391=0,"",[2]财务取数接口!$B$391),""))</f>
        <v/>
      </c>
      <c r="C392" s="39" t="str">
        <f aca="false">IF($T$4=0,IF($J392="","",$J392),IFERROR(IF([2]财务取数接口!$C$391=0,"",[2]财务取数接口!$C$391),""))</f>
        <v/>
      </c>
      <c r="D392" s="40" t="str">
        <f aca="false">IF($T$4=0,IF($K392="","",$K392),IFERROR(IF([2]财务取数接口!$D$391=0,"",[2]财务取数接口!$D$391),""))</f>
        <v/>
      </c>
      <c r="E392" s="40" t="str">
        <f aca="false">IF($T$4=0,IF($L392="","",$L392),IFERROR(IF([2]财务取数接口!$E$391=0,"",[2]财务取数接口!$E$391),""))</f>
        <v/>
      </c>
      <c r="F392" s="41" t="str">
        <f aca="false">IF($T$4=0,IF($M392="","",$M392),IFERROR(IF([2]财务取数接口!$G$391=0,"",[2]财务取数接口!$G$391),""))</f>
        <v/>
      </c>
      <c r="G392" s="41" t="str">
        <f aca="false">IF($T$4=0,IF($N392="","",$N392),IFERROR(IF([2]财务取数接口!$H$391=0,"",[2]财务取数接口!$H$391),""))</f>
        <v/>
      </c>
      <c r="H392" s="39" t="str">
        <f aca="false">IF($T$4=0,IF($O392="","",$O392),IFERROR(IF([2]财务取数接口!$I$391=0,"",[2]财务取数接口!$I$391),""))</f>
        <v/>
      </c>
      <c r="I392" s="42"/>
      <c r="J392" s="43"/>
      <c r="K392" s="42"/>
      <c r="L392" s="42"/>
      <c r="M392" s="44"/>
      <c r="N392" s="44"/>
      <c r="O392" s="43"/>
      <c r="P392" s="45" t="n">
        <f aca="false">IF(AND($C392&lt;&gt;"",$C392&lt;&gt;"项目",OR(N($D392)&lt;&gt;0,N($E392)&lt;&gt;0,N($F392)&lt;&gt;0)),1,0)</f>
        <v>0</v>
      </c>
      <c r="Q392" s="45" t="n">
        <f aca="false">N(Q391)+$P392</f>
        <v>5</v>
      </c>
    </row>
    <row r="393" customFormat="false" ht="13.5" hidden="false" customHeight="false" outlineLevel="0" collapsed="false">
      <c r="A393" s="9" t="n">
        <v>392</v>
      </c>
      <c r="B393" s="40" t="str">
        <f aca="false">IF($T$4=0,IF($I393="","",$I393),IFERROR(IF([2]财务取数接口!$B$392=0,"",[2]财务取数接口!$B$392),""))</f>
        <v/>
      </c>
      <c r="C393" s="39" t="str">
        <f aca="false">IF($T$4=0,IF($J393="","",$J393),IFERROR(IF([2]财务取数接口!$C$392=0,"",[2]财务取数接口!$C$392),""))</f>
        <v/>
      </c>
      <c r="D393" s="40" t="str">
        <f aca="false">IF($T$4=0,IF($K393="","",$K393),IFERROR(IF([2]财务取数接口!$D$392=0,"",[2]财务取数接口!$D$392),""))</f>
        <v/>
      </c>
      <c r="E393" s="40" t="str">
        <f aca="false">IF($T$4=0,IF($L393="","",$L393),IFERROR(IF([2]财务取数接口!$E$392=0,"",[2]财务取数接口!$E$392),""))</f>
        <v/>
      </c>
      <c r="F393" s="41" t="str">
        <f aca="false">IF($T$4=0,IF($M393="","",$M393),IFERROR(IF([2]财务取数接口!$G$392=0,"",[2]财务取数接口!$G$392),""))</f>
        <v/>
      </c>
      <c r="G393" s="41" t="str">
        <f aca="false">IF($T$4=0,IF($N393="","",$N393),IFERROR(IF([2]财务取数接口!$H$392=0,"",[2]财务取数接口!$H$392),""))</f>
        <v/>
      </c>
      <c r="H393" s="39" t="str">
        <f aca="false">IF($T$4=0,IF($O393="","",$O393),IFERROR(IF([2]财务取数接口!$I$392=0,"",[2]财务取数接口!$I$392),""))</f>
        <v/>
      </c>
      <c r="I393" s="42"/>
      <c r="J393" s="43"/>
      <c r="K393" s="42"/>
      <c r="L393" s="42"/>
      <c r="M393" s="44"/>
      <c r="N393" s="44"/>
      <c r="O393" s="43"/>
      <c r="P393" s="45" t="n">
        <f aca="false">IF(AND($C393&lt;&gt;"",$C393&lt;&gt;"项目",OR(N($D393)&lt;&gt;0,N($E393)&lt;&gt;0,N($F393)&lt;&gt;0)),1,0)</f>
        <v>0</v>
      </c>
      <c r="Q393" s="45" t="n">
        <f aca="false">N(Q392)+$P393</f>
        <v>5</v>
      </c>
    </row>
    <row r="394" customFormat="false" ht="13.5" hidden="false" customHeight="false" outlineLevel="0" collapsed="false">
      <c r="A394" s="9" t="n">
        <v>393</v>
      </c>
      <c r="B394" s="40" t="str">
        <f aca="false">IF($T$4=0,IF($I394="","",$I394),IFERROR(IF([2]财务取数接口!$B$393=0,"",[2]财务取数接口!$B$393),""))</f>
        <v/>
      </c>
      <c r="C394" s="39" t="str">
        <f aca="false">IF($T$4=0,IF($J394="","",$J394),IFERROR(IF([2]财务取数接口!$C$393=0,"",[2]财务取数接口!$C$393),""))</f>
        <v/>
      </c>
      <c r="D394" s="40" t="str">
        <f aca="false">IF($T$4=0,IF($K394="","",$K394),IFERROR(IF([2]财务取数接口!$D$393=0,"",[2]财务取数接口!$D$393),""))</f>
        <v/>
      </c>
      <c r="E394" s="40" t="str">
        <f aca="false">IF($T$4=0,IF($L394="","",$L394),IFERROR(IF([2]财务取数接口!$E$393=0,"",[2]财务取数接口!$E$393),""))</f>
        <v/>
      </c>
      <c r="F394" s="41" t="str">
        <f aca="false">IF($T$4=0,IF($M394="","",$M394),IFERROR(IF([2]财务取数接口!$G$393=0,"",[2]财务取数接口!$G$393),""))</f>
        <v/>
      </c>
      <c r="G394" s="41" t="str">
        <f aca="false">IF($T$4=0,IF($N394="","",$N394),IFERROR(IF([2]财务取数接口!$H$393=0,"",[2]财务取数接口!$H$393),""))</f>
        <v/>
      </c>
      <c r="H394" s="39" t="str">
        <f aca="false">IF($T$4=0,IF($O394="","",$O394),IFERROR(IF([2]财务取数接口!$I$393=0,"",[2]财务取数接口!$I$393),""))</f>
        <v/>
      </c>
      <c r="I394" s="42"/>
      <c r="J394" s="43"/>
      <c r="K394" s="42"/>
      <c r="L394" s="42"/>
      <c r="M394" s="44"/>
      <c r="N394" s="44"/>
      <c r="O394" s="43"/>
      <c r="P394" s="45" t="n">
        <f aca="false">IF(AND($C394&lt;&gt;"",$C394&lt;&gt;"项目",OR(N($D394)&lt;&gt;0,N($E394)&lt;&gt;0,N($F394)&lt;&gt;0)),1,0)</f>
        <v>0</v>
      </c>
      <c r="Q394" s="45" t="n">
        <f aca="false">N(Q393)+$P394</f>
        <v>5</v>
      </c>
    </row>
    <row r="395" customFormat="false" ht="13.5" hidden="false" customHeight="false" outlineLevel="0" collapsed="false">
      <c r="A395" s="9" t="n">
        <v>394</v>
      </c>
      <c r="B395" s="40" t="str">
        <f aca="false">IF($T$4=0,IF($I395="","",$I395),IFERROR(IF([2]财务取数接口!$B$394=0,"",[2]财务取数接口!$B$394),""))</f>
        <v/>
      </c>
      <c r="C395" s="39" t="str">
        <f aca="false">IF($T$4=0,IF($J395="","",$J395),IFERROR(IF([2]财务取数接口!$C$394=0,"",[2]财务取数接口!$C$394),""))</f>
        <v/>
      </c>
      <c r="D395" s="40" t="str">
        <f aca="false">IF($T$4=0,IF($K395="","",$K395),IFERROR(IF([2]财务取数接口!$D$394=0,"",[2]财务取数接口!$D$394),""))</f>
        <v/>
      </c>
      <c r="E395" s="40" t="str">
        <f aca="false">IF($T$4=0,IF($L395="","",$L395),IFERROR(IF([2]财务取数接口!$E$394=0,"",[2]财务取数接口!$E$394),""))</f>
        <v/>
      </c>
      <c r="F395" s="41" t="str">
        <f aca="false">IF($T$4=0,IF($M395="","",$M395),IFERROR(IF([2]财务取数接口!$G$394=0,"",[2]财务取数接口!$G$394),""))</f>
        <v/>
      </c>
      <c r="G395" s="41" t="str">
        <f aca="false">IF($T$4=0,IF($N395="","",$N395),IFERROR(IF([2]财务取数接口!$H$394=0,"",[2]财务取数接口!$H$394),""))</f>
        <v/>
      </c>
      <c r="H395" s="39" t="str">
        <f aca="false">IF($T$4=0,IF($O395="","",$O395),IFERROR(IF([2]财务取数接口!$I$394=0,"",[2]财务取数接口!$I$394),""))</f>
        <v/>
      </c>
      <c r="I395" s="42"/>
      <c r="J395" s="43"/>
      <c r="K395" s="42"/>
      <c r="L395" s="42"/>
      <c r="M395" s="44"/>
      <c r="N395" s="44"/>
      <c r="O395" s="43"/>
      <c r="P395" s="45" t="n">
        <f aca="false">IF(AND($C395&lt;&gt;"",$C395&lt;&gt;"项目",OR(N($D395)&lt;&gt;0,N($E395)&lt;&gt;0,N($F395)&lt;&gt;0)),1,0)</f>
        <v>0</v>
      </c>
      <c r="Q395" s="45" t="n">
        <f aca="false">N(Q394)+$P395</f>
        <v>5</v>
      </c>
    </row>
    <row r="396" customFormat="false" ht="13.5" hidden="false" customHeight="false" outlineLevel="0" collapsed="false">
      <c r="A396" s="9" t="n">
        <v>395</v>
      </c>
      <c r="B396" s="40" t="str">
        <f aca="false">IF($T$4=0,IF($I396="","",$I396),IFERROR(IF([2]财务取数接口!$B$395=0,"",[2]财务取数接口!$B$395),""))</f>
        <v/>
      </c>
      <c r="C396" s="39" t="str">
        <f aca="false">IF($T$4=0,IF($J396="","",$J396),IFERROR(IF([2]财务取数接口!$C$395=0,"",[2]财务取数接口!$C$395),""))</f>
        <v/>
      </c>
      <c r="D396" s="40" t="str">
        <f aca="false">IF($T$4=0,IF($K396="","",$K396),IFERROR(IF([2]财务取数接口!$D$395=0,"",[2]财务取数接口!$D$395),""))</f>
        <v/>
      </c>
      <c r="E396" s="40" t="str">
        <f aca="false">IF($T$4=0,IF($L396="","",$L396),IFERROR(IF([2]财务取数接口!$E$395=0,"",[2]财务取数接口!$E$395),""))</f>
        <v/>
      </c>
      <c r="F396" s="41" t="str">
        <f aca="false">IF($T$4=0,IF($M396="","",$M396),IFERROR(IF([2]财务取数接口!$G$395=0,"",[2]财务取数接口!$G$395),""))</f>
        <v/>
      </c>
      <c r="G396" s="41" t="str">
        <f aca="false">IF($T$4=0,IF($N396="","",$N396),IFERROR(IF([2]财务取数接口!$H$395=0,"",[2]财务取数接口!$H$395),""))</f>
        <v/>
      </c>
      <c r="H396" s="39" t="str">
        <f aca="false">IF($T$4=0,IF($O396="","",$O396),IFERROR(IF([2]财务取数接口!$I$395=0,"",[2]财务取数接口!$I$395),""))</f>
        <v/>
      </c>
      <c r="I396" s="42"/>
      <c r="J396" s="43"/>
      <c r="K396" s="42"/>
      <c r="L396" s="42"/>
      <c r="M396" s="44"/>
      <c r="N396" s="44"/>
      <c r="O396" s="43"/>
      <c r="P396" s="45" t="n">
        <f aca="false">IF(AND($C396&lt;&gt;"",$C396&lt;&gt;"项目",OR(N($D396)&lt;&gt;0,N($E396)&lt;&gt;0,N($F396)&lt;&gt;0)),1,0)</f>
        <v>0</v>
      </c>
      <c r="Q396" s="45" t="n">
        <f aca="false">N(Q395)+$P396</f>
        <v>5</v>
      </c>
    </row>
    <row r="397" customFormat="false" ht="13.5" hidden="false" customHeight="false" outlineLevel="0" collapsed="false">
      <c r="A397" s="9" t="n">
        <v>396</v>
      </c>
      <c r="B397" s="40" t="str">
        <f aca="false">IF($T$4=0,IF($I397="","",$I397),IFERROR(IF([2]财务取数接口!$B$396=0,"",[2]财务取数接口!$B$396),""))</f>
        <v/>
      </c>
      <c r="C397" s="39" t="str">
        <f aca="false">IF($T$4=0,IF($J397="","",$J397),IFERROR(IF([2]财务取数接口!$C$396=0,"",[2]财务取数接口!$C$396),""))</f>
        <v/>
      </c>
      <c r="D397" s="40" t="str">
        <f aca="false">IF($T$4=0,IF($K397="","",$K397),IFERROR(IF([2]财务取数接口!$D$396=0,"",[2]财务取数接口!$D$396),""))</f>
        <v/>
      </c>
      <c r="E397" s="40" t="str">
        <f aca="false">IF($T$4=0,IF($L397="","",$L397),IFERROR(IF([2]财务取数接口!$E$396=0,"",[2]财务取数接口!$E$396),""))</f>
        <v/>
      </c>
      <c r="F397" s="41" t="str">
        <f aca="false">IF($T$4=0,IF($M397="","",$M397),IFERROR(IF([2]财务取数接口!$G$396=0,"",[2]财务取数接口!$G$396),""))</f>
        <v/>
      </c>
      <c r="G397" s="41" t="str">
        <f aca="false">IF($T$4=0,IF($N397="","",$N397),IFERROR(IF([2]财务取数接口!$H$396=0,"",[2]财务取数接口!$H$396),""))</f>
        <v/>
      </c>
      <c r="H397" s="39" t="str">
        <f aca="false">IF($T$4=0,IF($O397="","",$O397),IFERROR(IF([2]财务取数接口!$I$396=0,"",[2]财务取数接口!$I$396),""))</f>
        <v/>
      </c>
      <c r="I397" s="42"/>
      <c r="J397" s="43"/>
      <c r="K397" s="42"/>
      <c r="L397" s="42"/>
      <c r="M397" s="44"/>
      <c r="N397" s="44"/>
      <c r="O397" s="43"/>
      <c r="P397" s="45" t="n">
        <f aca="false">IF(AND($C397&lt;&gt;"",$C397&lt;&gt;"项目",OR(N($D397)&lt;&gt;0,N($E397)&lt;&gt;0,N($F397)&lt;&gt;0)),1,0)</f>
        <v>0</v>
      </c>
      <c r="Q397" s="45" t="n">
        <f aca="false">N(Q396)+$P397</f>
        <v>5</v>
      </c>
    </row>
    <row r="398" customFormat="false" ht="13.5" hidden="false" customHeight="false" outlineLevel="0" collapsed="false">
      <c r="A398" s="9" t="n">
        <v>397</v>
      </c>
      <c r="B398" s="40" t="str">
        <f aca="false">IF($T$4=0,IF($I398="","",$I398),IFERROR(IF([2]财务取数接口!$B$397=0,"",[2]财务取数接口!$B$397),""))</f>
        <v/>
      </c>
      <c r="C398" s="39" t="str">
        <f aca="false">IF($T$4=0,IF($J398="","",$J398),IFERROR(IF([2]财务取数接口!$C$397=0,"",[2]财务取数接口!$C$397),""))</f>
        <v/>
      </c>
      <c r="D398" s="40" t="str">
        <f aca="false">IF($T$4=0,IF($K398="","",$K398),IFERROR(IF([2]财务取数接口!$D$397=0,"",[2]财务取数接口!$D$397),""))</f>
        <v/>
      </c>
      <c r="E398" s="40" t="str">
        <f aca="false">IF($T$4=0,IF($L398="","",$L398),IFERROR(IF([2]财务取数接口!$E$397=0,"",[2]财务取数接口!$E$397),""))</f>
        <v/>
      </c>
      <c r="F398" s="41" t="str">
        <f aca="false">IF($T$4=0,IF($M398="","",$M398),IFERROR(IF([2]财务取数接口!$G$397=0,"",[2]财务取数接口!$G$397),""))</f>
        <v/>
      </c>
      <c r="G398" s="41" t="str">
        <f aca="false">IF($T$4=0,IF($N398="","",$N398),IFERROR(IF([2]财务取数接口!$H$397=0,"",[2]财务取数接口!$H$397),""))</f>
        <v/>
      </c>
      <c r="H398" s="39" t="str">
        <f aca="false">IF($T$4=0,IF($O398="","",$O398),IFERROR(IF([2]财务取数接口!$I$397=0,"",[2]财务取数接口!$I$397),""))</f>
        <v/>
      </c>
      <c r="I398" s="42"/>
      <c r="J398" s="43"/>
      <c r="K398" s="42"/>
      <c r="L398" s="42"/>
      <c r="M398" s="44"/>
      <c r="N398" s="44"/>
      <c r="O398" s="43"/>
      <c r="P398" s="45" t="n">
        <f aca="false">IF(AND($C398&lt;&gt;"",$C398&lt;&gt;"项目",OR(N($D398)&lt;&gt;0,N($E398)&lt;&gt;0,N($F398)&lt;&gt;0)),1,0)</f>
        <v>0</v>
      </c>
      <c r="Q398" s="45" t="n">
        <f aca="false">N(Q397)+$P398</f>
        <v>5</v>
      </c>
    </row>
    <row r="399" customFormat="false" ht="13.5" hidden="false" customHeight="false" outlineLevel="0" collapsed="false">
      <c r="A399" s="9" t="n">
        <v>398</v>
      </c>
      <c r="B399" s="40" t="str">
        <f aca="false">IF($T$4=0,IF($I399="","",$I399),IFERROR(IF([2]财务取数接口!$B$398=0,"",[2]财务取数接口!$B$398),""))</f>
        <v/>
      </c>
      <c r="C399" s="39" t="str">
        <f aca="false">IF($T$4=0,IF($J399="","",$J399),IFERROR(IF([2]财务取数接口!$C$398=0,"",[2]财务取数接口!$C$398),""))</f>
        <v/>
      </c>
      <c r="D399" s="40" t="str">
        <f aca="false">IF($T$4=0,IF($K399="","",$K399),IFERROR(IF([2]财务取数接口!$D$398=0,"",[2]财务取数接口!$D$398),""))</f>
        <v/>
      </c>
      <c r="E399" s="40" t="str">
        <f aca="false">IF($T$4=0,IF($L399="","",$L399),IFERROR(IF([2]财务取数接口!$E$398=0,"",[2]财务取数接口!$E$398),""))</f>
        <v/>
      </c>
      <c r="F399" s="41" t="str">
        <f aca="false">IF($T$4=0,IF($M399="","",$M399),IFERROR(IF([2]财务取数接口!$G$398=0,"",[2]财务取数接口!$G$398),""))</f>
        <v/>
      </c>
      <c r="G399" s="41" t="str">
        <f aca="false">IF($T$4=0,IF($N399="","",$N399),IFERROR(IF([2]财务取数接口!$H$398=0,"",[2]财务取数接口!$H$398),""))</f>
        <v/>
      </c>
      <c r="H399" s="39" t="str">
        <f aca="false">IF($T$4=0,IF($O399="","",$O399),IFERROR(IF([2]财务取数接口!$I$398=0,"",[2]财务取数接口!$I$398),""))</f>
        <v/>
      </c>
      <c r="I399" s="42"/>
      <c r="J399" s="43"/>
      <c r="K399" s="42"/>
      <c r="L399" s="42"/>
      <c r="M399" s="44"/>
      <c r="N399" s="44"/>
      <c r="O399" s="43"/>
      <c r="P399" s="45" t="n">
        <f aca="false">IF(AND($C399&lt;&gt;"",$C399&lt;&gt;"项目",OR(N($D399)&lt;&gt;0,N($E399)&lt;&gt;0,N($F399)&lt;&gt;0)),1,0)</f>
        <v>0</v>
      </c>
      <c r="Q399" s="45" t="n">
        <f aca="false">N(Q398)+$P399</f>
        <v>5</v>
      </c>
    </row>
    <row r="400" customFormat="false" ht="13.5" hidden="false" customHeight="false" outlineLevel="0" collapsed="false">
      <c r="A400" s="9" t="n">
        <v>399</v>
      </c>
      <c r="B400" s="40" t="str">
        <f aca="false">IF($T$4=0,IF($I400="","",$I400),IFERROR(IF([2]财务取数接口!$B$399=0,"",[2]财务取数接口!$B$399),""))</f>
        <v/>
      </c>
      <c r="C400" s="39" t="str">
        <f aca="false">IF($T$4=0,IF($J400="","",$J400),IFERROR(IF([2]财务取数接口!$C$399=0,"",[2]财务取数接口!$C$399),""))</f>
        <v/>
      </c>
      <c r="D400" s="40" t="str">
        <f aca="false">IF($T$4=0,IF($K400="","",$K400),IFERROR(IF([2]财务取数接口!$D$399=0,"",[2]财务取数接口!$D$399),""))</f>
        <v/>
      </c>
      <c r="E400" s="40" t="str">
        <f aca="false">IF($T$4=0,IF($L400="","",$L400),IFERROR(IF([2]财务取数接口!$E$399=0,"",[2]财务取数接口!$E$399),""))</f>
        <v/>
      </c>
      <c r="F400" s="41" t="str">
        <f aca="false">IF($T$4=0,IF($M400="","",$M400),IFERROR(IF([2]财务取数接口!$G$399=0,"",[2]财务取数接口!$G$399),""))</f>
        <v/>
      </c>
      <c r="G400" s="41" t="str">
        <f aca="false">IF($T$4=0,IF($N400="","",$N400),IFERROR(IF([2]财务取数接口!$H$399=0,"",[2]财务取数接口!$H$399),""))</f>
        <v/>
      </c>
      <c r="H400" s="39" t="str">
        <f aca="false">IF($T$4=0,IF($O400="","",$O400),IFERROR(IF([2]财务取数接口!$I$399=0,"",[2]财务取数接口!$I$399),""))</f>
        <v/>
      </c>
      <c r="I400" s="42"/>
      <c r="J400" s="43"/>
      <c r="K400" s="42"/>
      <c r="L400" s="42"/>
      <c r="M400" s="44"/>
      <c r="N400" s="44"/>
      <c r="O400" s="43"/>
      <c r="P400" s="45" t="n">
        <f aca="false">IF(AND($C400&lt;&gt;"",$C400&lt;&gt;"项目",OR(N($D400)&lt;&gt;0,N($E400)&lt;&gt;0,N($F400)&lt;&gt;0)),1,0)</f>
        <v>0</v>
      </c>
      <c r="Q400" s="45" t="n">
        <f aca="false">N(Q399)+$P400</f>
        <v>5</v>
      </c>
    </row>
    <row r="401" customFormat="false" ht="13.5" hidden="false" customHeight="false" outlineLevel="0" collapsed="false">
      <c r="A401" s="9" t="n">
        <v>400</v>
      </c>
      <c r="B401" s="40" t="str">
        <f aca="false">IF($T$4=0,IF($I401="","",$I401),IFERROR(IF([2]财务取数接口!$B$400=0,"",[2]财务取数接口!$B$400),""))</f>
        <v/>
      </c>
      <c r="C401" s="39" t="str">
        <f aca="false">IF($T$4=0,IF($J401="","",$J401),IFERROR(IF([2]财务取数接口!$C$400=0,"",[2]财务取数接口!$C$400),""))</f>
        <v/>
      </c>
      <c r="D401" s="40" t="str">
        <f aca="false">IF($T$4=0,IF($K401="","",$K401),IFERROR(IF([2]财务取数接口!$D$400=0,"",[2]财务取数接口!$D$400),""))</f>
        <v/>
      </c>
      <c r="E401" s="40" t="str">
        <f aca="false">IF($T$4=0,IF($L401="","",$L401),IFERROR(IF([2]财务取数接口!$E$400=0,"",[2]财务取数接口!$E$400),""))</f>
        <v/>
      </c>
      <c r="F401" s="41" t="str">
        <f aca="false">IF($T$4=0,IF($M401="","",$M401),IFERROR(IF([2]财务取数接口!$G$400=0,"",[2]财务取数接口!$G$400),""))</f>
        <v/>
      </c>
      <c r="G401" s="41" t="str">
        <f aca="false">IF($T$4=0,IF($N401="","",$N401),IFERROR(IF([2]财务取数接口!$H$400=0,"",[2]财务取数接口!$H$400),""))</f>
        <v/>
      </c>
      <c r="H401" s="39" t="str">
        <f aca="false">IF($T$4=0,IF($O401="","",$O401),IFERROR(IF([2]财务取数接口!$I$400=0,"",[2]财务取数接口!$I$400),""))</f>
        <v/>
      </c>
      <c r="I401" s="42"/>
      <c r="J401" s="43"/>
      <c r="K401" s="42"/>
      <c r="L401" s="42"/>
      <c r="M401" s="44"/>
      <c r="N401" s="44"/>
      <c r="O401" s="43"/>
      <c r="P401" s="45" t="n">
        <f aca="false">IF(AND($C401&lt;&gt;"",$C401&lt;&gt;"项目",OR(N($D401)&lt;&gt;0,N($E401)&lt;&gt;0,N($F401)&lt;&gt;0)),1,0)</f>
        <v>0</v>
      </c>
      <c r="Q401" s="45" t="n">
        <f aca="false">N(Q400)+$P401</f>
        <v>5</v>
      </c>
    </row>
    <row r="402" customFormat="false" ht="13.5" hidden="false" customHeight="false" outlineLevel="0" collapsed="false">
      <c r="A402" s="9" t="n">
        <v>401</v>
      </c>
      <c r="B402" s="40" t="str">
        <f aca="false">IF($T$4=0,IF($I402="","",$I402),IFERROR(IF([2]财务取数接口!$B$401=0,"",[2]财务取数接口!$B$401),""))</f>
        <v/>
      </c>
      <c r="C402" s="39" t="str">
        <f aca="false">IF($T$4=0,IF($J402="","",$J402),IFERROR(IF([2]财务取数接口!$C$401=0,"",[2]财务取数接口!$C$401),""))</f>
        <v/>
      </c>
      <c r="D402" s="40" t="str">
        <f aca="false">IF($T$4=0,IF($K402="","",$K402),IFERROR(IF([2]财务取数接口!$D$401=0,"",[2]财务取数接口!$D$401),""))</f>
        <v/>
      </c>
      <c r="E402" s="40" t="str">
        <f aca="false">IF($T$4=0,IF($L402="","",$L402),IFERROR(IF([2]财务取数接口!$E$401=0,"",[2]财务取数接口!$E$401),""))</f>
        <v/>
      </c>
      <c r="F402" s="41" t="str">
        <f aca="false">IF($T$4=0,IF($M402="","",$M402),IFERROR(IF([2]财务取数接口!$G$401=0,"",[2]财务取数接口!$G$401),""))</f>
        <v/>
      </c>
      <c r="G402" s="41" t="str">
        <f aca="false">IF($T$4=0,IF($N402="","",$N402),IFERROR(IF([2]财务取数接口!$H$401=0,"",[2]财务取数接口!$H$401),""))</f>
        <v/>
      </c>
      <c r="H402" s="39" t="str">
        <f aca="false">IF($T$4=0,IF($O402="","",$O402),IFERROR(IF([2]财务取数接口!$I$401=0,"",[2]财务取数接口!$I$401),""))</f>
        <v/>
      </c>
      <c r="I402" s="42"/>
      <c r="J402" s="43"/>
      <c r="K402" s="42"/>
      <c r="L402" s="42"/>
      <c r="M402" s="44"/>
      <c r="N402" s="44"/>
      <c r="O402" s="43"/>
      <c r="P402" s="45" t="n">
        <f aca="false">IF(AND($C402&lt;&gt;"",$C402&lt;&gt;"项目",OR(N($D402)&lt;&gt;0,N($E402)&lt;&gt;0,N($F402)&lt;&gt;0)),1,0)</f>
        <v>0</v>
      </c>
      <c r="Q402" s="45" t="n">
        <f aca="false">N(Q401)+$P402</f>
        <v>5</v>
      </c>
    </row>
    <row r="403" customFormat="false" ht="13.5" hidden="false" customHeight="false" outlineLevel="0" collapsed="false">
      <c r="A403" s="9" t="n">
        <v>402</v>
      </c>
      <c r="B403" s="40" t="str">
        <f aca="false">IF($T$4=0,IF($I403="","",$I403),IFERROR(IF([2]财务取数接口!$B$402=0,"",[2]财务取数接口!$B$402),""))</f>
        <v/>
      </c>
      <c r="C403" s="39" t="str">
        <f aca="false">IF($T$4=0,IF($J403="","",$J403),IFERROR(IF([2]财务取数接口!$C$402=0,"",[2]财务取数接口!$C$402),""))</f>
        <v/>
      </c>
      <c r="D403" s="40" t="str">
        <f aca="false">IF($T$4=0,IF($K403="","",$K403),IFERROR(IF([2]财务取数接口!$D$402=0,"",[2]财务取数接口!$D$402),""))</f>
        <v/>
      </c>
      <c r="E403" s="40" t="str">
        <f aca="false">IF($T$4=0,IF($L403="","",$L403),IFERROR(IF([2]财务取数接口!$E$402=0,"",[2]财务取数接口!$E$402),""))</f>
        <v/>
      </c>
      <c r="F403" s="41" t="str">
        <f aca="false">IF($T$4=0,IF($M403="","",$M403),IFERROR(IF([2]财务取数接口!$G$402=0,"",[2]财务取数接口!$G$402),""))</f>
        <v/>
      </c>
      <c r="G403" s="41" t="str">
        <f aca="false">IF($T$4=0,IF($N403="","",$N403),IFERROR(IF([2]财务取数接口!$H$402=0,"",[2]财务取数接口!$H$402),""))</f>
        <v/>
      </c>
      <c r="H403" s="39" t="str">
        <f aca="false">IF($T$4=0,IF($O403="","",$O403),IFERROR(IF([2]财务取数接口!$I$402=0,"",[2]财务取数接口!$I$402),""))</f>
        <v/>
      </c>
      <c r="I403" s="42"/>
      <c r="J403" s="43"/>
      <c r="K403" s="42"/>
      <c r="L403" s="42"/>
      <c r="M403" s="44"/>
      <c r="N403" s="44"/>
      <c r="O403" s="43"/>
      <c r="P403" s="45" t="n">
        <f aca="false">IF(AND($C403&lt;&gt;"",$C403&lt;&gt;"项目",OR(N($D403)&lt;&gt;0,N($E403)&lt;&gt;0,N($F403)&lt;&gt;0)),1,0)</f>
        <v>0</v>
      </c>
      <c r="Q403" s="45" t="n">
        <f aca="false">N(Q402)+$P403</f>
        <v>5</v>
      </c>
    </row>
    <row r="404" customFormat="false" ht="13.5" hidden="false" customHeight="false" outlineLevel="0" collapsed="false">
      <c r="A404" s="9" t="n">
        <v>403</v>
      </c>
      <c r="B404" s="40" t="str">
        <f aca="false">IF($T$4=0,IF($I404="","",$I404),IFERROR(IF([2]财务取数接口!$B$403=0,"",[2]财务取数接口!$B$403),""))</f>
        <v/>
      </c>
      <c r="C404" s="39" t="str">
        <f aca="false">IF($T$4=0,IF($J404="","",$J404),IFERROR(IF([2]财务取数接口!$C$403=0,"",[2]财务取数接口!$C$403),""))</f>
        <v/>
      </c>
      <c r="D404" s="40" t="str">
        <f aca="false">IF($T$4=0,IF($K404="","",$K404),IFERROR(IF([2]财务取数接口!$D$403=0,"",[2]财务取数接口!$D$403),""))</f>
        <v/>
      </c>
      <c r="E404" s="40" t="str">
        <f aca="false">IF($T$4=0,IF($L404="","",$L404),IFERROR(IF([2]财务取数接口!$E$403=0,"",[2]财务取数接口!$E$403),""))</f>
        <v/>
      </c>
      <c r="F404" s="41" t="str">
        <f aca="false">IF($T$4=0,IF($M404="","",$M404),IFERROR(IF([2]财务取数接口!$G$403=0,"",[2]财务取数接口!$G$403),""))</f>
        <v/>
      </c>
      <c r="G404" s="41" t="str">
        <f aca="false">IF($T$4=0,IF($N404="","",$N404),IFERROR(IF([2]财务取数接口!$H$403=0,"",[2]财务取数接口!$H$403),""))</f>
        <v/>
      </c>
      <c r="H404" s="39" t="str">
        <f aca="false">IF($T$4=0,IF($O404="","",$O404),IFERROR(IF([2]财务取数接口!$I$403=0,"",[2]财务取数接口!$I$403),""))</f>
        <v/>
      </c>
      <c r="I404" s="42"/>
      <c r="J404" s="43"/>
      <c r="K404" s="42"/>
      <c r="L404" s="42"/>
      <c r="M404" s="44"/>
      <c r="N404" s="44"/>
      <c r="O404" s="43"/>
      <c r="P404" s="45" t="n">
        <f aca="false">IF(AND($C404&lt;&gt;"",$C404&lt;&gt;"项目",OR(N($D404)&lt;&gt;0,N($E404)&lt;&gt;0,N($F404)&lt;&gt;0)),1,0)</f>
        <v>0</v>
      </c>
      <c r="Q404" s="45" t="n">
        <f aca="false">N(Q403)+$P404</f>
        <v>5</v>
      </c>
    </row>
    <row r="405" customFormat="false" ht="13.5" hidden="false" customHeight="false" outlineLevel="0" collapsed="false">
      <c r="A405" s="9" t="n">
        <v>404</v>
      </c>
      <c r="B405" s="40" t="str">
        <f aca="false">IF($T$4=0,IF($I405="","",$I405),IFERROR(IF([2]财务取数接口!$B$404=0,"",[2]财务取数接口!$B$404),""))</f>
        <v/>
      </c>
      <c r="C405" s="39" t="str">
        <f aca="false">IF($T$4=0,IF($J405="","",$J405),IFERROR(IF([2]财务取数接口!$C$404=0,"",[2]财务取数接口!$C$404),""))</f>
        <v/>
      </c>
      <c r="D405" s="40" t="str">
        <f aca="false">IF($T$4=0,IF($K405="","",$K405),IFERROR(IF([2]财务取数接口!$D$404=0,"",[2]财务取数接口!$D$404),""))</f>
        <v/>
      </c>
      <c r="E405" s="40" t="str">
        <f aca="false">IF($T$4=0,IF($L405="","",$L405),IFERROR(IF([2]财务取数接口!$E$404=0,"",[2]财务取数接口!$E$404),""))</f>
        <v/>
      </c>
      <c r="F405" s="41" t="str">
        <f aca="false">IF($T$4=0,IF($M405="","",$M405),IFERROR(IF([2]财务取数接口!$G$404=0,"",[2]财务取数接口!$G$404),""))</f>
        <v/>
      </c>
      <c r="G405" s="41" t="str">
        <f aca="false">IF($T$4=0,IF($N405="","",$N405),IFERROR(IF([2]财务取数接口!$H$404=0,"",[2]财务取数接口!$H$404),""))</f>
        <v/>
      </c>
      <c r="H405" s="39" t="str">
        <f aca="false">IF($T$4=0,IF($O405="","",$O405),IFERROR(IF([2]财务取数接口!$I$404=0,"",[2]财务取数接口!$I$404),""))</f>
        <v/>
      </c>
      <c r="I405" s="42"/>
      <c r="J405" s="43"/>
      <c r="K405" s="42"/>
      <c r="L405" s="42"/>
      <c r="M405" s="44"/>
      <c r="N405" s="44"/>
      <c r="O405" s="43"/>
      <c r="P405" s="45" t="n">
        <f aca="false">IF(AND($C405&lt;&gt;"",$C405&lt;&gt;"项目",OR(N($D405)&lt;&gt;0,N($E405)&lt;&gt;0,N($F405)&lt;&gt;0)),1,0)</f>
        <v>0</v>
      </c>
      <c r="Q405" s="45" t="n">
        <f aca="false">N(Q404)+$P405</f>
        <v>5</v>
      </c>
    </row>
    <row r="406" customFormat="false" ht="13.5" hidden="false" customHeight="false" outlineLevel="0" collapsed="false">
      <c r="A406" s="9" t="n">
        <v>405</v>
      </c>
      <c r="B406" s="40" t="str">
        <f aca="false">IF($T$4=0,IF($I406="","",$I406),IFERROR(IF([2]财务取数接口!$B$405=0,"",[2]财务取数接口!$B$405),""))</f>
        <v/>
      </c>
      <c r="C406" s="39" t="str">
        <f aca="false">IF($T$4=0,IF($J406="","",$J406),IFERROR(IF([2]财务取数接口!$C$405=0,"",[2]财务取数接口!$C$405),""))</f>
        <v/>
      </c>
      <c r="D406" s="40" t="str">
        <f aca="false">IF($T$4=0,IF($K406="","",$K406),IFERROR(IF([2]财务取数接口!$D$405=0,"",[2]财务取数接口!$D$405),""))</f>
        <v/>
      </c>
      <c r="E406" s="40" t="str">
        <f aca="false">IF($T$4=0,IF($L406="","",$L406),IFERROR(IF([2]财务取数接口!$E$405=0,"",[2]财务取数接口!$E$405),""))</f>
        <v/>
      </c>
      <c r="F406" s="41" t="str">
        <f aca="false">IF($T$4=0,IF($M406="","",$M406),IFERROR(IF([2]财务取数接口!$G$405=0,"",[2]财务取数接口!$G$405),""))</f>
        <v/>
      </c>
      <c r="G406" s="41" t="str">
        <f aca="false">IF($T$4=0,IF($N406="","",$N406),IFERROR(IF([2]财务取数接口!$H$405=0,"",[2]财务取数接口!$H$405),""))</f>
        <v/>
      </c>
      <c r="H406" s="39" t="str">
        <f aca="false">IF($T$4=0,IF($O406="","",$O406),IFERROR(IF([2]财务取数接口!$I$405=0,"",[2]财务取数接口!$I$405),""))</f>
        <v/>
      </c>
      <c r="I406" s="42"/>
      <c r="J406" s="43"/>
      <c r="K406" s="42"/>
      <c r="L406" s="42"/>
      <c r="M406" s="44"/>
      <c r="N406" s="44"/>
      <c r="O406" s="43"/>
      <c r="P406" s="45" t="n">
        <f aca="false">IF(AND($C406&lt;&gt;"",$C406&lt;&gt;"项目",OR(N($D406)&lt;&gt;0,N($E406)&lt;&gt;0,N($F406)&lt;&gt;0)),1,0)</f>
        <v>0</v>
      </c>
      <c r="Q406" s="45" t="n">
        <f aca="false">N(Q405)+$P406</f>
        <v>5</v>
      </c>
    </row>
    <row r="407" customFormat="false" ht="13.5" hidden="false" customHeight="false" outlineLevel="0" collapsed="false">
      <c r="A407" s="9" t="n">
        <v>406</v>
      </c>
      <c r="B407" s="40" t="str">
        <f aca="false">IF($T$4=0,IF($I407="","",$I407),IFERROR(IF([2]财务取数接口!$B$406=0,"",[2]财务取数接口!$B$406),""))</f>
        <v/>
      </c>
      <c r="C407" s="39" t="str">
        <f aca="false">IF($T$4=0,IF($J407="","",$J407),IFERROR(IF([2]财务取数接口!$C$406=0,"",[2]财务取数接口!$C$406),""))</f>
        <v/>
      </c>
      <c r="D407" s="40" t="str">
        <f aca="false">IF($T$4=0,IF($K407="","",$K407),IFERROR(IF([2]财务取数接口!$D$406=0,"",[2]财务取数接口!$D$406),""))</f>
        <v/>
      </c>
      <c r="E407" s="40" t="str">
        <f aca="false">IF($T$4=0,IF($L407="","",$L407),IFERROR(IF([2]财务取数接口!$E$406=0,"",[2]财务取数接口!$E$406),""))</f>
        <v/>
      </c>
      <c r="F407" s="41" t="str">
        <f aca="false">IF($T$4=0,IF($M407="","",$M407),IFERROR(IF([2]财务取数接口!$G$406=0,"",[2]财务取数接口!$G$406),""))</f>
        <v/>
      </c>
      <c r="G407" s="41" t="str">
        <f aca="false">IF($T$4=0,IF($N407="","",$N407),IFERROR(IF([2]财务取数接口!$H$406=0,"",[2]财务取数接口!$H$406),""))</f>
        <v/>
      </c>
      <c r="H407" s="39" t="str">
        <f aca="false">IF($T$4=0,IF($O407="","",$O407),IFERROR(IF([2]财务取数接口!$I$406=0,"",[2]财务取数接口!$I$406),""))</f>
        <v/>
      </c>
      <c r="I407" s="42"/>
      <c r="J407" s="43"/>
      <c r="K407" s="42"/>
      <c r="L407" s="42"/>
      <c r="M407" s="44"/>
      <c r="N407" s="44"/>
      <c r="O407" s="43"/>
      <c r="P407" s="45" t="n">
        <f aca="false">IF(AND($C407&lt;&gt;"",$C407&lt;&gt;"项目",OR(N($D407)&lt;&gt;0,N($E407)&lt;&gt;0,N($F407)&lt;&gt;0)),1,0)</f>
        <v>0</v>
      </c>
      <c r="Q407" s="45" t="n">
        <f aca="false">N(Q406)+$P407</f>
        <v>5</v>
      </c>
    </row>
    <row r="408" customFormat="false" ht="13.5" hidden="false" customHeight="false" outlineLevel="0" collapsed="false">
      <c r="A408" s="9" t="n">
        <v>407</v>
      </c>
      <c r="B408" s="40" t="str">
        <f aca="false">IF($T$4=0,IF($I408="","",$I408),IFERROR(IF([2]财务取数接口!$B$407=0,"",[2]财务取数接口!$B$407),""))</f>
        <v/>
      </c>
      <c r="C408" s="39" t="str">
        <f aca="false">IF($T$4=0,IF($J408="","",$J408),IFERROR(IF([2]财务取数接口!$C$407=0,"",[2]财务取数接口!$C$407),""))</f>
        <v/>
      </c>
      <c r="D408" s="40" t="str">
        <f aca="false">IF($T$4=0,IF($K408="","",$K408),IFERROR(IF([2]财务取数接口!$D$407=0,"",[2]财务取数接口!$D$407),""))</f>
        <v/>
      </c>
      <c r="E408" s="40" t="str">
        <f aca="false">IF($T$4=0,IF($L408="","",$L408),IFERROR(IF([2]财务取数接口!$E$407=0,"",[2]财务取数接口!$E$407),""))</f>
        <v/>
      </c>
      <c r="F408" s="41" t="str">
        <f aca="false">IF($T$4=0,IF($M408="","",$M408),IFERROR(IF([2]财务取数接口!$G$407=0,"",[2]财务取数接口!$G$407),""))</f>
        <v/>
      </c>
      <c r="G408" s="41" t="str">
        <f aca="false">IF($T$4=0,IF($N408="","",$N408),IFERROR(IF([2]财务取数接口!$H$407=0,"",[2]财务取数接口!$H$407),""))</f>
        <v/>
      </c>
      <c r="H408" s="39" t="str">
        <f aca="false">IF($T$4=0,IF($O408="","",$O408),IFERROR(IF([2]财务取数接口!$I$407=0,"",[2]财务取数接口!$I$407),""))</f>
        <v/>
      </c>
      <c r="I408" s="42"/>
      <c r="J408" s="43"/>
      <c r="K408" s="42"/>
      <c r="L408" s="42"/>
      <c r="M408" s="44"/>
      <c r="N408" s="44"/>
      <c r="O408" s="43"/>
      <c r="P408" s="45" t="n">
        <f aca="false">IF(AND($C408&lt;&gt;"",$C408&lt;&gt;"项目",OR(N($D408)&lt;&gt;0,N($E408)&lt;&gt;0,N($F408)&lt;&gt;0)),1,0)</f>
        <v>0</v>
      </c>
      <c r="Q408" s="45" t="n">
        <f aca="false">N(Q407)+$P408</f>
        <v>5</v>
      </c>
    </row>
    <row r="409" customFormat="false" ht="13.5" hidden="false" customHeight="false" outlineLevel="0" collapsed="false">
      <c r="A409" s="9" t="n">
        <v>408</v>
      </c>
      <c r="B409" s="40" t="str">
        <f aca="false">IF($T$4=0,IF($I409="","",$I409),IFERROR(IF([2]财务取数接口!$B$408=0,"",[2]财务取数接口!$B$408),""))</f>
        <v/>
      </c>
      <c r="C409" s="39" t="str">
        <f aca="false">IF($T$4=0,IF($J409="","",$J409),IFERROR(IF([2]财务取数接口!$C$408=0,"",[2]财务取数接口!$C$408),""))</f>
        <v/>
      </c>
      <c r="D409" s="40" t="str">
        <f aca="false">IF($T$4=0,IF($K409="","",$K409),IFERROR(IF([2]财务取数接口!$D$408=0,"",[2]财务取数接口!$D$408),""))</f>
        <v/>
      </c>
      <c r="E409" s="40" t="str">
        <f aca="false">IF($T$4=0,IF($L409="","",$L409),IFERROR(IF([2]财务取数接口!$E$408=0,"",[2]财务取数接口!$E$408),""))</f>
        <v/>
      </c>
      <c r="F409" s="41" t="str">
        <f aca="false">IF($T$4=0,IF($M409="","",$M409),IFERROR(IF([2]财务取数接口!$G$408=0,"",[2]财务取数接口!$G$408),""))</f>
        <v/>
      </c>
      <c r="G409" s="41" t="str">
        <f aca="false">IF($T$4=0,IF($N409="","",$N409),IFERROR(IF([2]财务取数接口!$H$408=0,"",[2]财务取数接口!$H$408),""))</f>
        <v/>
      </c>
      <c r="H409" s="39" t="str">
        <f aca="false">IF($T$4=0,IF($O409="","",$O409),IFERROR(IF([2]财务取数接口!$I$408=0,"",[2]财务取数接口!$I$408),""))</f>
        <v/>
      </c>
      <c r="I409" s="42"/>
      <c r="J409" s="43"/>
      <c r="K409" s="42"/>
      <c r="L409" s="42"/>
      <c r="M409" s="44"/>
      <c r="N409" s="44"/>
      <c r="O409" s="43"/>
      <c r="P409" s="45" t="n">
        <f aca="false">IF(AND($C409&lt;&gt;"",$C409&lt;&gt;"项目",OR(N($D409)&lt;&gt;0,N($E409)&lt;&gt;0,N($F409)&lt;&gt;0)),1,0)</f>
        <v>0</v>
      </c>
      <c r="Q409" s="45" t="n">
        <f aca="false">N(Q408)+$P409</f>
        <v>5</v>
      </c>
    </row>
    <row r="410" customFormat="false" ht="13.5" hidden="false" customHeight="false" outlineLevel="0" collapsed="false">
      <c r="A410" s="9" t="n">
        <v>409</v>
      </c>
      <c r="B410" s="40" t="str">
        <f aca="false">IF($T$4=0,IF($I410="","",$I410),IFERROR(IF([2]财务取数接口!$B$409=0,"",[2]财务取数接口!$B$409),""))</f>
        <v/>
      </c>
      <c r="C410" s="39" t="str">
        <f aca="false">IF($T$4=0,IF($J410="","",$J410),IFERROR(IF([2]财务取数接口!$C$409=0,"",[2]财务取数接口!$C$409),""))</f>
        <v/>
      </c>
      <c r="D410" s="40" t="str">
        <f aca="false">IF($T$4=0,IF($K410="","",$K410),IFERROR(IF([2]财务取数接口!$D$409=0,"",[2]财务取数接口!$D$409),""))</f>
        <v/>
      </c>
      <c r="E410" s="40" t="str">
        <f aca="false">IF($T$4=0,IF($L410="","",$L410),IFERROR(IF([2]财务取数接口!$E$409=0,"",[2]财务取数接口!$E$409),""))</f>
        <v/>
      </c>
      <c r="F410" s="41" t="str">
        <f aca="false">IF($T$4=0,IF($M410="","",$M410),IFERROR(IF([2]财务取数接口!$G$409=0,"",[2]财务取数接口!$G$409),""))</f>
        <v/>
      </c>
      <c r="G410" s="41" t="str">
        <f aca="false">IF($T$4=0,IF($N410="","",$N410),IFERROR(IF([2]财务取数接口!$H$409=0,"",[2]财务取数接口!$H$409),""))</f>
        <v/>
      </c>
      <c r="H410" s="39" t="str">
        <f aca="false">IF($T$4=0,IF($O410="","",$O410),IFERROR(IF([2]财务取数接口!$I$409=0,"",[2]财务取数接口!$I$409),""))</f>
        <v/>
      </c>
      <c r="I410" s="42"/>
      <c r="J410" s="43"/>
      <c r="K410" s="42"/>
      <c r="L410" s="42"/>
      <c r="M410" s="44"/>
      <c r="N410" s="44"/>
      <c r="O410" s="43"/>
      <c r="P410" s="45" t="n">
        <f aca="false">IF(AND($C410&lt;&gt;"",$C410&lt;&gt;"项目",OR(N($D410)&lt;&gt;0,N($E410)&lt;&gt;0,N($F410)&lt;&gt;0)),1,0)</f>
        <v>0</v>
      </c>
      <c r="Q410" s="45" t="n">
        <f aca="false">N(Q409)+$P410</f>
        <v>5</v>
      </c>
    </row>
    <row r="411" customFormat="false" ht="13.5" hidden="false" customHeight="false" outlineLevel="0" collapsed="false">
      <c r="A411" s="9" t="n">
        <v>410</v>
      </c>
      <c r="B411" s="40" t="str">
        <f aca="false">IF($T$4=0,IF($I411="","",$I411),IFERROR(IF([2]财务取数接口!$B$410=0,"",[2]财务取数接口!$B$410),""))</f>
        <v/>
      </c>
      <c r="C411" s="39" t="str">
        <f aca="false">IF($T$4=0,IF($J411="","",$J411),IFERROR(IF([2]财务取数接口!$C$410=0,"",[2]财务取数接口!$C$410),""))</f>
        <v/>
      </c>
      <c r="D411" s="40" t="str">
        <f aca="false">IF($T$4=0,IF($K411="","",$K411),IFERROR(IF([2]财务取数接口!$D$410=0,"",[2]财务取数接口!$D$410),""))</f>
        <v/>
      </c>
      <c r="E411" s="40" t="str">
        <f aca="false">IF($T$4=0,IF($L411="","",$L411),IFERROR(IF([2]财务取数接口!$E$410=0,"",[2]财务取数接口!$E$410),""))</f>
        <v/>
      </c>
      <c r="F411" s="41" t="str">
        <f aca="false">IF($T$4=0,IF($M411="","",$M411),IFERROR(IF([2]财务取数接口!$G$410=0,"",[2]财务取数接口!$G$410),""))</f>
        <v/>
      </c>
      <c r="G411" s="41" t="str">
        <f aca="false">IF($T$4=0,IF($N411="","",$N411),IFERROR(IF([2]财务取数接口!$H$410=0,"",[2]财务取数接口!$H$410),""))</f>
        <v/>
      </c>
      <c r="H411" s="39" t="str">
        <f aca="false">IF($T$4=0,IF($O411="","",$O411),IFERROR(IF([2]财务取数接口!$I$410=0,"",[2]财务取数接口!$I$410),""))</f>
        <v/>
      </c>
      <c r="I411" s="42"/>
      <c r="J411" s="43"/>
      <c r="K411" s="42"/>
      <c r="L411" s="42"/>
      <c r="M411" s="44"/>
      <c r="N411" s="44"/>
      <c r="O411" s="43"/>
      <c r="P411" s="45" t="n">
        <f aca="false">IF(AND($C411&lt;&gt;"",$C411&lt;&gt;"项目",OR(N($D411)&lt;&gt;0,N($E411)&lt;&gt;0,N($F411)&lt;&gt;0)),1,0)</f>
        <v>0</v>
      </c>
      <c r="Q411" s="45" t="n">
        <f aca="false">N(Q410)+$P411</f>
        <v>5</v>
      </c>
    </row>
    <row r="412" customFormat="false" ht="13.5" hidden="false" customHeight="false" outlineLevel="0" collapsed="false">
      <c r="A412" s="9" t="n">
        <v>411</v>
      </c>
      <c r="B412" s="40" t="str">
        <f aca="false">IF($T$4=0,IF($I412="","",$I412),IFERROR(IF([2]财务取数接口!$B$411=0,"",[2]财务取数接口!$B$411),""))</f>
        <v/>
      </c>
      <c r="C412" s="39" t="str">
        <f aca="false">IF($T$4=0,IF($J412="","",$J412),IFERROR(IF([2]财务取数接口!$C$411=0,"",[2]财务取数接口!$C$411),""))</f>
        <v/>
      </c>
      <c r="D412" s="40" t="str">
        <f aca="false">IF($T$4=0,IF($K412="","",$K412),IFERROR(IF([2]财务取数接口!$D$411=0,"",[2]财务取数接口!$D$411),""))</f>
        <v/>
      </c>
      <c r="E412" s="40" t="str">
        <f aca="false">IF($T$4=0,IF($L412="","",$L412),IFERROR(IF([2]财务取数接口!$E$411=0,"",[2]财务取数接口!$E$411),""))</f>
        <v/>
      </c>
      <c r="F412" s="41" t="str">
        <f aca="false">IF($T$4=0,IF($M412="","",$M412),IFERROR(IF([2]财务取数接口!$G$411=0,"",[2]财务取数接口!$G$411),""))</f>
        <v/>
      </c>
      <c r="G412" s="41" t="str">
        <f aca="false">IF($T$4=0,IF($N412="","",$N412),IFERROR(IF([2]财务取数接口!$H$411=0,"",[2]财务取数接口!$H$411),""))</f>
        <v/>
      </c>
      <c r="H412" s="39" t="str">
        <f aca="false">IF($T$4=0,IF($O412="","",$O412),IFERROR(IF([2]财务取数接口!$I$411=0,"",[2]财务取数接口!$I$411),""))</f>
        <v/>
      </c>
      <c r="I412" s="42"/>
      <c r="J412" s="43"/>
      <c r="K412" s="42"/>
      <c r="L412" s="42"/>
      <c r="M412" s="44"/>
      <c r="N412" s="44"/>
      <c r="O412" s="43"/>
      <c r="P412" s="45" t="n">
        <f aca="false">IF(AND($C412&lt;&gt;"",$C412&lt;&gt;"项目",OR(N($D412)&lt;&gt;0,N($E412)&lt;&gt;0,N($F412)&lt;&gt;0)),1,0)</f>
        <v>0</v>
      </c>
      <c r="Q412" s="45" t="n">
        <f aca="false">N(Q411)+$P412</f>
        <v>5</v>
      </c>
    </row>
    <row r="413" customFormat="false" ht="13.5" hidden="false" customHeight="false" outlineLevel="0" collapsed="false">
      <c r="A413" s="9" t="n">
        <v>412</v>
      </c>
      <c r="B413" s="40" t="str">
        <f aca="false">IF($T$4=0,IF($I413="","",$I413),IFERROR(IF([2]财务取数接口!$B$412=0,"",[2]财务取数接口!$B$412),""))</f>
        <v/>
      </c>
      <c r="C413" s="39" t="str">
        <f aca="false">IF($T$4=0,IF($J413="","",$J413),IFERROR(IF([2]财务取数接口!$C$412=0,"",[2]财务取数接口!$C$412),""))</f>
        <v/>
      </c>
      <c r="D413" s="40" t="str">
        <f aca="false">IF($T$4=0,IF($K413="","",$K413),IFERROR(IF([2]财务取数接口!$D$412=0,"",[2]财务取数接口!$D$412),""))</f>
        <v/>
      </c>
      <c r="E413" s="40" t="str">
        <f aca="false">IF($T$4=0,IF($L413="","",$L413),IFERROR(IF([2]财务取数接口!$E$412=0,"",[2]财务取数接口!$E$412),""))</f>
        <v/>
      </c>
      <c r="F413" s="41" t="str">
        <f aca="false">IF($T$4=0,IF($M413="","",$M413),IFERROR(IF([2]财务取数接口!$G$412=0,"",[2]财务取数接口!$G$412),""))</f>
        <v/>
      </c>
      <c r="G413" s="41" t="str">
        <f aca="false">IF($T$4=0,IF($N413="","",$N413),IFERROR(IF([2]财务取数接口!$H$412=0,"",[2]财务取数接口!$H$412),""))</f>
        <v/>
      </c>
      <c r="H413" s="39" t="str">
        <f aca="false">IF($T$4=0,IF($O413="","",$O413),IFERROR(IF([2]财务取数接口!$I$412=0,"",[2]财务取数接口!$I$412),""))</f>
        <v/>
      </c>
      <c r="I413" s="42"/>
      <c r="J413" s="43"/>
      <c r="K413" s="42"/>
      <c r="L413" s="42"/>
      <c r="M413" s="44"/>
      <c r="N413" s="44"/>
      <c r="O413" s="43"/>
      <c r="P413" s="45" t="n">
        <f aca="false">IF(AND($C413&lt;&gt;"",$C413&lt;&gt;"项目",OR(N($D413)&lt;&gt;0,N($E413)&lt;&gt;0,N($F413)&lt;&gt;0)),1,0)</f>
        <v>0</v>
      </c>
      <c r="Q413" s="45" t="n">
        <f aca="false">N(Q412)+$P413</f>
        <v>5</v>
      </c>
    </row>
    <row r="414" customFormat="false" ht="13.5" hidden="false" customHeight="false" outlineLevel="0" collapsed="false">
      <c r="A414" s="9" t="n">
        <v>413</v>
      </c>
      <c r="B414" s="40" t="str">
        <f aca="false">IF($T$4=0,IF($I414="","",$I414),IFERROR(IF([2]财务取数接口!$B$413=0,"",[2]财务取数接口!$B$413),""))</f>
        <v/>
      </c>
      <c r="C414" s="39" t="str">
        <f aca="false">IF($T$4=0,IF($J414="","",$J414),IFERROR(IF([2]财务取数接口!$C$413=0,"",[2]财务取数接口!$C$413),""))</f>
        <v/>
      </c>
      <c r="D414" s="40" t="str">
        <f aca="false">IF($T$4=0,IF($K414="","",$K414),IFERROR(IF([2]财务取数接口!$D$413=0,"",[2]财务取数接口!$D$413),""))</f>
        <v/>
      </c>
      <c r="E414" s="40" t="str">
        <f aca="false">IF($T$4=0,IF($L414="","",$L414),IFERROR(IF([2]财务取数接口!$E$413=0,"",[2]财务取数接口!$E$413),""))</f>
        <v/>
      </c>
      <c r="F414" s="41" t="str">
        <f aca="false">IF($T$4=0,IF($M414="","",$M414),IFERROR(IF([2]财务取数接口!$G$413=0,"",[2]财务取数接口!$G$413),""))</f>
        <v/>
      </c>
      <c r="G414" s="41" t="str">
        <f aca="false">IF($T$4=0,IF($N414="","",$N414),IFERROR(IF([2]财务取数接口!$H$413=0,"",[2]财务取数接口!$H$413),""))</f>
        <v/>
      </c>
      <c r="H414" s="39" t="str">
        <f aca="false">IF($T$4=0,IF($O414="","",$O414),IFERROR(IF([2]财务取数接口!$I$413=0,"",[2]财务取数接口!$I$413),""))</f>
        <v/>
      </c>
      <c r="I414" s="42"/>
      <c r="J414" s="43"/>
      <c r="K414" s="42"/>
      <c r="L414" s="42"/>
      <c r="M414" s="44"/>
      <c r="N414" s="44"/>
      <c r="O414" s="43"/>
      <c r="P414" s="45" t="n">
        <f aca="false">IF(AND($C414&lt;&gt;"",$C414&lt;&gt;"项目",OR(N($D414)&lt;&gt;0,N($E414)&lt;&gt;0,N($F414)&lt;&gt;0)),1,0)</f>
        <v>0</v>
      </c>
      <c r="Q414" s="45" t="n">
        <f aca="false">N(Q413)+$P414</f>
        <v>5</v>
      </c>
    </row>
    <row r="415" customFormat="false" ht="13.5" hidden="false" customHeight="false" outlineLevel="0" collapsed="false">
      <c r="A415" s="9" t="n">
        <v>414</v>
      </c>
      <c r="B415" s="40" t="str">
        <f aca="false">IF($T$4=0,IF($I415="","",$I415),IFERROR(IF([2]财务取数接口!$B$414=0,"",[2]财务取数接口!$B$414),""))</f>
        <v/>
      </c>
      <c r="C415" s="39" t="str">
        <f aca="false">IF($T$4=0,IF($J415="","",$J415),IFERROR(IF([2]财务取数接口!$C$414=0,"",[2]财务取数接口!$C$414),""))</f>
        <v/>
      </c>
      <c r="D415" s="40" t="str">
        <f aca="false">IF($T$4=0,IF($K415="","",$K415),IFERROR(IF([2]财务取数接口!$D$414=0,"",[2]财务取数接口!$D$414),""))</f>
        <v/>
      </c>
      <c r="E415" s="40" t="str">
        <f aca="false">IF($T$4=0,IF($L415="","",$L415),IFERROR(IF([2]财务取数接口!$E$414=0,"",[2]财务取数接口!$E$414),""))</f>
        <v/>
      </c>
      <c r="F415" s="41" t="str">
        <f aca="false">IF($T$4=0,IF($M415="","",$M415),IFERROR(IF([2]财务取数接口!$G$414=0,"",[2]财务取数接口!$G$414),""))</f>
        <v/>
      </c>
      <c r="G415" s="41" t="str">
        <f aca="false">IF($T$4=0,IF($N415="","",$N415),IFERROR(IF([2]财务取数接口!$H$414=0,"",[2]财务取数接口!$H$414),""))</f>
        <v/>
      </c>
      <c r="H415" s="39" t="str">
        <f aca="false">IF($T$4=0,IF($O415="","",$O415),IFERROR(IF([2]财务取数接口!$I$414=0,"",[2]财务取数接口!$I$414),""))</f>
        <v/>
      </c>
      <c r="I415" s="42"/>
      <c r="J415" s="43"/>
      <c r="K415" s="42"/>
      <c r="L415" s="42"/>
      <c r="M415" s="44"/>
      <c r="N415" s="44"/>
      <c r="O415" s="43"/>
      <c r="P415" s="45" t="n">
        <f aca="false">IF(AND($C415&lt;&gt;"",$C415&lt;&gt;"项目",OR(N($D415)&lt;&gt;0,N($E415)&lt;&gt;0,N($F415)&lt;&gt;0)),1,0)</f>
        <v>0</v>
      </c>
      <c r="Q415" s="45" t="n">
        <f aca="false">N(Q414)+$P415</f>
        <v>5</v>
      </c>
    </row>
    <row r="416" customFormat="false" ht="13.5" hidden="false" customHeight="false" outlineLevel="0" collapsed="false">
      <c r="A416" s="9" t="n">
        <v>415</v>
      </c>
      <c r="B416" s="40" t="str">
        <f aca="false">IF($T$4=0,IF($I416="","",$I416),IFERROR(IF([2]财务取数接口!$B$415=0,"",[2]财务取数接口!$B$415),""))</f>
        <v/>
      </c>
      <c r="C416" s="39" t="str">
        <f aca="false">IF($T$4=0,IF($J416="","",$J416),IFERROR(IF([2]财务取数接口!$C$415=0,"",[2]财务取数接口!$C$415),""))</f>
        <v/>
      </c>
      <c r="D416" s="40" t="str">
        <f aca="false">IF($T$4=0,IF($K416="","",$K416),IFERROR(IF([2]财务取数接口!$D$415=0,"",[2]财务取数接口!$D$415),""))</f>
        <v/>
      </c>
      <c r="E416" s="40" t="str">
        <f aca="false">IF($T$4=0,IF($L416="","",$L416),IFERROR(IF([2]财务取数接口!$E$415=0,"",[2]财务取数接口!$E$415),""))</f>
        <v/>
      </c>
      <c r="F416" s="41" t="str">
        <f aca="false">IF($T$4=0,IF($M416="","",$M416),IFERROR(IF([2]财务取数接口!$G$415=0,"",[2]财务取数接口!$G$415),""))</f>
        <v/>
      </c>
      <c r="G416" s="41" t="str">
        <f aca="false">IF($T$4=0,IF($N416="","",$N416),IFERROR(IF([2]财务取数接口!$H$415=0,"",[2]财务取数接口!$H$415),""))</f>
        <v/>
      </c>
      <c r="H416" s="39" t="str">
        <f aca="false">IF($T$4=0,IF($O416="","",$O416),IFERROR(IF([2]财务取数接口!$I$415=0,"",[2]财务取数接口!$I$415),""))</f>
        <v/>
      </c>
      <c r="I416" s="42"/>
      <c r="J416" s="43"/>
      <c r="K416" s="42"/>
      <c r="L416" s="42"/>
      <c r="M416" s="44"/>
      <c r="N416" s="44"/>
      <c r="O416" s="43"/>
      <c r="P416" s="45" t="n">
        <f aca="false">IF(AND($C416&lt;&gt;"",$C416&lt;&gt;"项目",OR(N($D416)&lt;&gt;0,N($E416)&lt;&gt;0,N($F416)&lt;&gt;0)),1,0)</f>
        <v>0</v>
      </c>
      <c r="Q416" s="45" t="n">
        <f aca="false">N(Q415)+$P416</f>
        <v>5</v>
      </c>
    </row>
    <row r="417" customFormat="false" ht="13.5" hidden="false" customHeight="false" outlineLevel="0" collapsed="false">
      <c r="A417" s="9" t="n">
        <v>416</v>
      </c>
      <c r="B417" s="40" t="str">
        <f aca="false">IF($T$4=0,IF($I417="","",$I417),IFERROR(IF([2]财务取数接口!$B$416=0,"",[2]财务取数接口!$B$416),""))</f>
        <v/>
      </c>
      <c r="C417" s="39" t="str">
        <f aca="false">IF($T$4=0,IF($J417="","",$J417),IFERROR(IF([2]财务取数接口!$C$416=0,"",[2]财务取数接口!$C$416),""))</f>
        <v/>
      </c>
      <c r="D417" s="40" t="str">
        <f aca="false">IF($T$4=0,IF($K417="","",$K417),IFERROR(IF([2]财务取数接口!$D$416=0,"",[2]财务取数接口!$D$416),""))</f>
        <v/>
      </c>
      <c r="E417" s="40" t="str">
        <f aca="false">IF($T$4=0,IF($L417="","",$L417),IFERROR(IF([2]财务取数接口!$E$416=0,"",[2]财务取数接口!$E$416),""))</f>
        <v/>
      </c>
      <c r="F417" s="41" t="str">
        <f aca="false">IF($T$4=0,IF($M417="","",$M417),IFERROR(IF([2]财务取数接口!$G$416=0,"",[2]财务取数接口!$G$416),""))</f>
        <v/>
      </c>
      <c r="G417" s="41" t="str">
        <f aca="false">IF($T$4=0,IF($N417="","",$N417),IFERROR(IF([2]财务取数接口!$H$416=0,"",[2]财务取数接口!$H$416),""))</f>
        <v/>
      </c>
      <c r="H417" s="39" t="str">
        <f aca="false">IF($T$4=0,IF($O417="","",$O417),IFERROR(IF([2]财务取数接口!$I$416=0,"",[2]财务取数接口!$I$416),""))</f>
        <v/>
      </c>
      <c r="I417" s="42"/>
      <c r="J417" s="43"/>
      <c r="K417" s="42"/>
      <c r="L417" s="42"/>
      <c r="M417" s="44"/>
      <c r="N417" s="44"/>
      <c r="O417" s="43"/>
      <c r="P417" s="45" t="n">
        <f aca="false">IF(AND($C417&lt;&gt;"",$C417&lt;&gt;"项目",OR(N($D417)&lt;&gt;0,N($E417)&lt;&gt;0,N($F417)&lt;&gt;0)),1,0)</f>
        <v>0</v>
      </c>
      <c r="Q417" s="45" t="n">
        <f aca="false">N(Q416)+$P417</f>
        <v>5</v>
      </c>
    </row>
    <row r="418" customFormat="false" ht="13.5" hidden="false" customHeight="false" outlineLevel="0" collapsed="false">
      <c r="A418" s="9" t="n">
        <v>417</v>
      </c>
      <c r="B418" s="40" t="str">
        <f aca="false">IF($T$4=0,IF($I418="","",$I418),IFERROR(IF([2]财务取数接口!$B$417=0,"",[2]财务取数接口!$B$417),""))</f>
        <v/>
      </c>
      <c r="C418" s="39" t="str">
        <f aca="false">IF($T$4=0,IF($J418="","",$J418),IFERROR(IF([2]财务取数接口!$C$417=0,"",[2]财务取数接口!$C$417),""))</f>
        <v/>
      </c>
      <c r="D418" s="40" t="str">
        <f aca="false">IF($T$4=0,IF($K418="","",$K418),IFERROR(IF([2]财务取数接口!$D$417=0,"",[2]财务取数接口!$D$417),""))</f>
        <v/>
      </c>
      <c r="E418" s="40" t="str">
        <f aca="false">IF($T$4=0,IF($L418="","",$L418),IFERROR(IF([2]财务取数接口!$E$417=0,"",[2]财务取数接口!$E$417),""))</f>
        <v/>
      </c>
      <c r="F418" s="41" t="str">
        <f aca="false">IF($T$4=0,IF($M418="","",$M418),IFERROR(IF([2]财务取数接口!$G$417=0,"",[2]财务取数接口!$G$417),""))</f>
        <v/>
      </c>
      <c r="G418" s="41" t="str">
        <f aca="false">IF($T$4=0,IF($N418="","",$N418),IFERROR(IF([2]财务取数接口!$H$417=0,"",[2]财务取数接口!$H$417),""))</f>
        <v/>
      </c>
      <c r="H418" s="39" t="str">
        <f aca="false">IF($T$4=0,IF($O418="","",$O418),IFERROR(IF([2]财务取数接口!$I$417=0,"",[2]财务取数接口!$I$417),""))</f>
        <v/>
      </c>
      <c r="I418" s="42"/>
      <c r="J418" s="43"/>
      <c r="K418" s="42"/>
      <c r="L418" s="42"/>
      <c r="M418" s="44"/>
      <c r="N418" s="44"/>
      <c r="O418" s="43"/>
      <c r="P418" s="45" t="n">
        <f aca="false">IF(AND($C418&lt;&gt;"",$C418&lt;&gt;"项目",OR(N($D418)&lt;&gt;0,N($E418)&lt;&gt;0,N($F418)&lt;&gt;0)),1,0)</f>
        <v>0</v>
      </c>
      <c r="Q418" s="45" t="n">
        <f aca="false">N(Q417)+$P418</f>
        <v>5</v>
      </c>
    </row>
    <row r="419" customFormat="false" ht="13.5" hidden="false" customHeight="false" outlineLevel="0" collapsed="false">
      <c r="A419" s="9" t="n">
        <v>418</v>
      </c>
      <c r="B419" s="40" t="str">
        <f aca="false">IF($T$4=0,IF($I419="","",$I419),IFERROR(IF([2]财务取数接口!$B$418=0,"",[2]财务取数接口!$B$418),""))</f>
        <v/>
      </c>
      <c r="C419" s="39" t="str">
        <f aca="false">IF($T$4=0,IF($J419="","",$J419),IFERROR(IF([2]财务取数接口!$C$418=0,"",[2]财务取数接口!$C$418),""))</f>
        <v/>
      </c>
      <c r="D419" s="40" t="str">
        <f aca="false">IF($T$4=0,IF($K419="","",$K419),IFERROR(IF([2]财务取数接口!$D$418=0,"",[2]财务取数接口!$D$418),""))</f>
        <v/>
      </c>
      <c r="E419" s="40" t="str">
        <f aca="false">IF($T$4=0,IF($L419="","",$L419),IFERROR(IF([2]财务取数接口!$E$418=0,"",[2]财务取数接口!$E$418),""))</f>
        <v/>
      </c>
      <c r="F419" s="41" t="str">
        <f aca="false">IF($T$4=0,IF($M419="","",$M419),IFERROR(IF([2]财务取数接口!$G$418=0,"",[2]财务取数接口!$G$418),""))</f>
        <v/>
      </c>
      <c r="G419" s="41" t="str">
        <f aca="false">IF($T$4=0,IF($N419="","",$N419),IFERROR(IF([2]财务取数接口!$H$418=0,"",[2]财务取数接口!$H$418),""))</f>
        <v/>
      </c>
      <c r="H419" s="39" t="str">
        <f aca="false">IF($T$4=0,IF($O419="","",$O419),IFERROR(IF([2]财务取数接口!$I$418=0,"",[2]财务取数接口!$I$418),""))</f>
        <v/>
      </c>
      <c r="I419" s="42"/>
      <c r="J419" s="43"/>
      <c r="K419" s="42"/>
      <c r="L419" s="42"/>
      <c r="M419" s="44"/>
      <c r="N419" s="44"/>
      <c r="O419" s="43"/>
      <c r="P419" s="45" t="n">
        <f aca="false">IF(AND($C419&lt;&gt;"",$C419&lt;&gt;"项目",OR(N($D419)&lt;&gt;0,N($E419)&lt;&gt;0,N($F419)&lt;&gt;0)),1,0)</f>
        <v>0</v>
      </c>
      <c r="Q419" s="45" t="n">
        <f aca="false">N(Q418)+$P419</f>
        <v>5</v>
      </c>
    </row>
    <row r="420" customFormat="false" ht="13.5" hidden="false" customHeight="false" outlineLevel="0" collapsed="false">
      <c r="A420" s="9" t="n">
        <v>419</v>
      </c>
      <c r="B420" s="40" t="str">
        <f aca="false">IF($T$4=0,IF($I420="","",$I420),IFERROR(IF([2]财务取数接口!$B$419=0,"",[2]财务取数接口!$B$419),""))</f>
        <v/>
      </c>
      <c r="C420" s="39" t="str">
        <f aca="false">IF($T$4=0,IF($J420="","",$J420),IFERROR(IF([2]财务取数接口!$C$419=0,"",[2]财务取数接口!$C$419),""))</f>
        <v/>
      </c>
      <c r="D420" s="40" t="str">
        <f aca="false">IF($T$4=0,IF($K420="","",$K420),IFERROR(IF([2]财务取数接口!$D$419=0,"",[2]财务取数接口!$D$419),""))</f>
        <v/>
      </c>
      <c r="E420" s="40" t="str">
        <f aca="false">IF($T$4=0,IF($L420="","",$L420),IFERROR(IF([2]财务取数接口!$E$419=0,"",[2]财务取数接口!$E$419),""))</f>
        <v/>
      </c>
      <c r="F420" s="41" t="str">
        <f aca="false">IF($T$4=0,IF($M420="","",$M420),IFERROR(IF([2]财务取数接口!$G$419=0,"",[2]财务取数接口!$G$419),""))</f>
        <v/>
      </c>
      <c r="G420" s="41" t="str">
        <f aca="false">IF($T$4=0,IF($N420="","",$N420),IFERROR(IF([2]财务取数接口!$H$419=0,"",[2]财务取数接口!$H$419),""))</f>
        <v/>
      </c>
      <c r="H420" s="39" t="str">
        <f aca="false">IF($T$4=0,IF($O420="","",$O420),IFERROR(IF([2]财务取数接口!$I$419=0,"",[2]财务取数接口!$I$419),""))</f>
        <v/>
      </c>
      <c r="I420" s="42"/>
      <c r="J420" s="43"/>
      <c r="K420" s="42"/>
      <c r="L420" s="42"/>
      <c r="M420" s="44"/>
      <c r="N420" s="44"/>
      <c r="O420" s="43"/>
      <c r="P420" s="45" t="n">
        <f aca="false">IF(AND($C420&lt;&gt;"",$C420&lt;&gt;"项目",OR(N($D420)&lt;&gt;0,N($E420)&lt;&gt;0,N($F420)&lt;&gt;0)),1,0)</f>
        <v>0</v>
      </c>
      <c r="Q420" s="45" t="n">
        <f aca="false">N(Q419)+$P420</f>
        <v>5</v>
      </c>
    </row>
    <row r="421" customFormat="false" ht="13.5" hidden="false" customHeight="false" outlineLevel="0" collapsed="false">
      <c r="A421" s="9" t="n">
        <v>420</v>
      </c>
      <c r="B421" s="40" t="str">
        <f aca="false">IF($T$4=0,IF($I421="","",$I421),IFERROR(IF([2]财务取数接口!$B$420=0,"",[2]财务取数接口!$B$420),""))</f>
        <v/>
      </c>
      <c r="C421" s="39" t="str">
        <f aca="false">IF($T$4=0,IF($J421="","",$J421),IFERROR(IF([2]财务取数接口!$C$420=0,"",[2]财务取数接口!$C$420),""))</f>
        <v/>
      </c>
      <c r="D421" s="40" t="str">
        <f aca="false">IF($T$4=0,IF($K421="","",$K421),IFERROR(IF([2]财务取数接口!$D$420=0,"",[2]财务取数接口!$D$420),""))</f>
        <v/>
      </c>
      <c r="E421" s="40" t="str">
        <f aca="false">IF($T$4=0,IF($L421="","",$L421),IFERROR(IF([2]财务取数接口!$E$420=0,"",[2]财务取数接口!$E$420),""))</f>
        <v/>
      </c>
      <c r="F421" s="41" t="str">
        <f aca="false">IF($T$4=0,IF($M421="","",$M421),IFERROR(IF([2]财务取数接口!$G$420=0,"",[2]财务取数接口!$G$420),""))</f>
        <v/>
      </c>
      <c r="G421" s="41" t="str">
        <f aca="false">IF($T$4=0,IF($N421="","",$N421),IFERROR(IF([2]财务取数接口!$H$420=0,"",[2]财务取数接口!$H$420),""))</f>
        <v/>
      </c>
      <c r="H421" s="39" t="str">
        <f aca="false">IF($T$4=0,IF($O421="","",$O421),IFERROR(IF([2]财务取数接口!$I$420=0,"",[2]财务取数接口!$I$420),""))</f>
        <v/>
      </c>
      <c r="I421" s="42"/>
      <c r="J421" s="43"/>
      <c r="K421" s="42"/>
      <c r="L421" s="42"/>
      <c r="M421" s="44"/>
      <c r="N421" s="44"/>
      <c r="O421" s="43"/>
      <c r="P421" s="45" t="n">
        <f aca="false">IF(AND($C421&lt;&gt;"",$C421&lt;&gt;"项目",OR(N($D421)&lt;&gt;0,N($E421)&lt;&gt;0,N($F421)&lt;&gt;0)),1,0)</f>
        <v>0</v>
      </c>
      <c r="Q421" s="45" t="n">
        <f aca="false">N(Q420)+$P421</f>
        <v>5</v>
      </c>
    </row>
    <row r="422" customFormat="false" ht="13.5" hidden="false" customHeight="false" outlineLevel="0" collapsed="false">
      <c r="A422" s="9" t="n">
        <v>421</v>
      </c>
      <c r="B422" s="40" t="str">
        <f aca="false">IF($T$4=0,IF($I422="","",$I422),IFERROR(IF([2]财务取数接口!$B$421=0,"",[2]财务取数接口!$B$421),""))</f>
        <v/>
      </c>
      <c r="C422" s="39" t="str">
        <f aca="false">IF($T$4=0,IF($J422="","",$J422),IFERROR(IF([2]财务取数接口!$C$421=0,"",[2]财务取数接口!$C$421),""))</f>
        <v/>
      </c>
      <c r="D422" s="40" t="str">
        <f aca="false">IF($T$4=0,IF($K422="","",$K422),IFERROR(IF([2]财务取数接口!$D$421=0,"",[2]财务取数接口!$D$421),""))</f>
        <v/>
      </c>
      <c r="E422" s="40" t="str">
        <f aca="false">IF($T$4=0,IF($L422="","",$L422),IFERROR(IF([2]财务取数接口!$E$421=0,"",[2]财务取数接口!$E$421),""))</f>
        <v/>
      </c>
      <c r="F422" s="41" t="str">
        <f aca="false">IF($T$4=0,IF($M422="","",$M422),IFERROR(IF([2]财务取数接口!$G$421=0,"",[2]财务取数接口!$G$421),""))</f>
        <v/>
      </c>
      <c r="G422" s="41" t="str">
        <f aca="false">IF($T$4=0,IF($N422="","",$N422),IFERROR(IF([2]财务取数接口!$H$421=0,"",[2]财务取数接口!$H$421),""))</f>
        <v/>
      </c>
      <c r="H422" s="39" t="str">
        <f aca="false">IF($T$4=0,IF($O422="","",$O422),IFERROR(IF([2]财务取数接口!$I$421=0,"",[2]财务取数接口!$I$421),""))</f>
        <v/>
      </c>
      <c r="I422" s="42"/>
      <c r="J422" s="43"/>
      <c r="K422" s="42"/>
      <c r="L422" s="42"/>
      <c r="M422" s="44"/>
      <c r="N422" s="44"/>
      <c r="O422" s="43"/>
      <c r="P422" s="45" t="n">
        <f aca="false">IF(AND($C422&lt;&gt;"",$C422&lt;&gt;"项目",OR(N($D422)&lt;&gt;0,N($E422)&lt;&gt;0,N($F422)&lt;&gt;0)),1,0)</f>
        <v>0</v>
      </c>
      <c r="Q422" s="45" t="n">
        <f aca="false">N(Q421)+$P422</f>
        <v>5</v>
      </c>
    </row>
    <row r="423" customFormat="false" ht="13.5" hidden="false" customHeight="false" outlineLevel="0" collapsed="false">
      <c r="A423" s="9" t="n">
        <v>422</v>
      </c>
      <c r="B423" s="40" t="str">
        <f aca="false">IF($T$4=0,IF($I423="","",$I423),IFERROR(IF([2]财务取数接口!$B$422=0,"",[2]财务取数接口!$B$422),""))</f>
        <v/>
      </c>
      <c r="C423" s="39" t="str">
        <f aca="false">IF($T$4=0,IF($J423="","",$J423),IFERROR(IF([2]财务取数接口!$C$422=0,"",[2]财务取数接口!$C$422),""))</f>
        <v/>
      </c>
      <c r="D423" s="40" t="str">
        <f aca="false">IF($T$4=0,IF($K423="","",$K423),IFERROR(IF([2]财务取数接口!$D$422=0,"",[2]财务取数接口!$D$422),""))</f>
        <v/>
      </c>
      <c r="E423" s="40" t="str">
        <f aca="false">IF($T$4=0,IF($L423="","",$L423),IFERROR(IF([2]财务取数接口!$E$422=0,"",[2]财务取数接口!$E$422),""))</f>
        <v/>
      </c>
      <c r="F423" s="41" t="str">
        <f aca="false">IF($T$4=0,IF($M423="","",$M423),IFERROR(IF([2]财务取数接口!$G$422=0,"",[2]财务取数接口!$G$422),""))</f>
        <v/>
      </c>
      <c r="G423" s="41" t="str">
        <f aca="false">IF($T$4=0,IF($N423="","",$N423),IFERROR(IF([2]财务取数接口!$H$422=0,"",[2]财务取数接口!$H$422),""))</f>
        <v/>
      </c>
      <c r="H423" s="39" t="str">
        <f aca="false">IF($T$4=0,IF($O423="","",$O423),IFERROR(IF([2]财务取数接口!$I$422=0,"",[2]财务取数接口!$I$422),""))</f>
        <v/>
      </c>
      <c r="I423" s="42"/>
      <c r="J423" s="43"/>
      <c r="K423" s="42"/>
      <c r="L423" s="42"/>
      <c r="M423" s="44"/>
      <c r="N423" s="44"/>
      <c r="O423" s="43"/>
      <c r="P423" s="45" t="n">
        <f aca="false">IF(AND($C423&lt;&gt;"",$C423&lt;&gt;"项目",OR(N($D423)&lt;&gt;0,N($E423)&lt;&gt;0,N($F423)&lt;&gt;0)),1,0)</f>
        <v>0</v>
      </c>
      <c r="Q423" s="45" t="n">
        <f aca="false">N(Q422)+$P423</f>
        <v>5</v>
      </c>
    </row>
    <row r="424" customFormat="false" ht="13.5" hidden="false" customHeight="false" outlineLevel="0" collapsed="false">
      <c r="A424" s="9" t="n">
        <v>423</v>
      </c>
      <c r="B424" s="40" t="str">
        <f aca="false">IF($T$4=0,IF($I424="","",$I424),IFERROR(IF([2]财务取数接口!$B$423=0,"",[2]财务取数接口!$B$423),""))</f>
        <v/>
      </c>
      <c r="C424" s="39" t="str">
        <f aca="false">IF($T$4=0,IF($J424="","",$J424),IFERROR(IF([2]财务取数接口!$C$423=0,"",[2]财务取数接口!$C$423),""))</f>
        <v/>
      </c>
      <c r="D424" s="40" t="str">
        <f aca="false">IF($T$4=0,IF($K424="","",$K424),IFERROR(IF([2]财务取数接口!$D$423=0,"",[2]财务取数接口!$D$423),""))</f>
        <v/>
      </c>
      <c r="E424" s="40" t="str">
        <f aca="false">IF($T$4=0,IF($L424="","",$L424),IFERROR(IF([2]财务取数接口!$E$423=0,"",[2]财务取数接口!$E$423),""))</f>
        <v/>
      </c>
      <c r="F424" s="41" t="str">
        <f aca="false">IF($T$4=0,IF($M424="","",$M424),IFERROR(IF([2]财务取数接口!$G$423=0,"",[2]财务取数接口!$G$423),""))</f>
        <v/>
      </c>
      <c r="G424" s="41" t="str">
        <f aca="false">IF($T$4=0,IF($N424="","",$N424),IFERROR(IF([2]财务取数接口!$H$423=0,"",[2]财务取数接口!$H$423),""))</f>
        <v/>
      </c>
      <c r="H424" s="39" t="str">
        <f aca="false">IF($T$4=0,IF($O424="","",$O424),IFERROR(IF([2]财务取数接口!$I$423=0,"",[2]财务取数接口!$I$423),""))</f>
        <v/>
      </c>
      <c r="I424" s="42"/>
      <c r="J424" s="43"/>
      <c r="K424" s="42"/>
      <c r="L424" s="42"/>
      <c r="M424" s="44"/>
      <c r="N424" s="44"/>
      <c r="O424" s="43"/>
      <c r="P424" s="45" t="n">
        <f aca="false">IF(AND($C424&lt;&gt;"",$C424&lt;&gt;"项目",OR(N($D424)&lt;&gt;0,N($E424)&lt;&gt;0,N($F424)&lt;&gt;0)),1,0)</f>
        <v>0</v>
      </c>
      <c r="Q424" s="45" t="n">
        <f aca="false">N(Q423)+$P424</f>
        <v>5</v>
      </c>
    </row>
    <row r="425" customFormat="false" ht="13.5" hidden="false" customHeight="false" outlineLevel="0" collapsed="false">
      <c r="A425" s="9" t="n">
        <v>424</v>
      </c>
      <c r="B425" s="40" t="str">
        <f aca="false">IF($T$4=0,IF($I425="","",$I425),IFERROR(IF([2]财务取数接口!$B$424=0,"",[2]财务取数接口!$B$424),""))</f>
        <v/>
      </c>
      <c r="C425" s="39" t="str">
        <f aca="false">IF($T$4=0,IF($J425="","",$J425),IFERROR(IF([2]财务取数接口!$C$424=0,"",[2]财务取数接口!$C$424),""))</f>
        <v/>
      </c>
      <c r="D425" s="40" t="str">
        <f aca="false">IF($T$4=0,IF($K425="","",$K425),IFERROR(IF([2]财务取数接口!$D$424=0,"",[2]财务取数接口!$D$424),""))</f>
        <v/>
      </c>
      <c r="E425" s="40" t="str">
        <f aca="false">IF($T$4=0,IF($L425="","",$L425),IFERROR(IF([2]财务取数接口!$E$424=0,"",[2]财务取数接口!$E$424),""))</f>
        <v/>
      </c>
      <c r="F425" s="41" t="str">
        <f aca="false">IF($T$4=0,IF($M425="","",$M425),IFERROR(IF([2]财务取数接口!$G$424=0,"",[2]财务取数接口!$G$424),""))</f>
        <v/>
      </c>
      <c r="G425" s="41" t="str">
        <f aca="false">IF($T$4=0,IF($N425="","",$N425),IFERROR(IF([2]财务取数接口!$H$424=0,"",[2]财务取数接口!$H$424),""))</f>
        <v/>
      </c>
      <c r="H425" s="39" t="str">
        <f aca="false">IF($T$4=0,IF($O425="","",$O425),IFERROR(IF([2]财务取数接口!$I$424=0,"",[2]财务取数接口!$I$424),""))</f>
        <v/>
      </c>
      <c r="I425" s="42"/>
      <c r="J425" s="43"/>
      <c r="K425" s="42"/>
      <c r="L425" s="42"/>
      <c r="M425" s="44"/>
      <c r="N425" s="44"/>
      <c r="O425" s="43"/>
      <c r="P425" s="45" t="n">
        <f aca="false">IF(AND($C425&lt;&gt;"",$C425&lt;&gt;"项目",OR(N($D425)&lt;&gt;0,N($E425)&lt;&gt;0,N($F425)&lt;&gt;0)),1,0)</f>
        <v>0</v>
      </c>
      <c r="Q425" s="45" t="n">
        <f aca="false">N(Q424)+$P425</f>
        <v>5</v>
      </c>
    </row>
    <row r="426" customFormat="false" ht="13.5" hidden="false" customHeight="false" outlineLevel="0" collapsed="false">
      <c r="A426" s="9" t="n">
        <v>425</v>
      </c>
      <c r="B426" s="40" t="str">
        <f aca="false">IF($T$4=0,IF($I426="","",$I426),IFERROR(IF([2]财务取数接口!$B$425=0,"",[2]财务取数接口!$B$425),""))</f>
        <v/>
      </c>
      <c r="C426" s="39" t="str">
        <f aca="false">IF($T$4=0,IF($J426="","",$J426),IFERROR(IF([2]财务取数接口!$C$425=0,"",[2]财务取数接口!$C$425),""))</f>
        <v/>
      </c>
      <c r="D426" s="40" t="str">
        <f aca="false">IF($T$4=0,IF($K426="","",$K426),IFERROR(IF([2]财务取数接口!$D$425=0,"",[2]财务取数接口!$D$425),""))</f>
        <v/>
      </c>
      <c r="E426" s="40" t="str">
        <f aca="false">IF($T$4=0,IF($L426="","",$L426),IFERROR(IF([2]财务取数接口!$E$425=0,"",[2]财务取数接口!$E$425),""))</f>
        <v/>
      </c>
      <c r="F426" s="41" t="str">
        <f aca="false">IF($T$4=0,IF($M426="","",$M426),IFERROR(IF([2]财务取数接口!$G$425=0,"",[2]财务取数接口!$G$425),""))</f>
        <v/>
      </c>
      <c r="G426" s="41" t="str">
        <f aca="false">IF($T$4=0,IF($N426="","",$N426),IFERROR(IF([2]财务取数接口!$H$425=0,"",[2]财务取数接口!$H$425),""))</f>
        <v/>
      </c>
      <c r="H426" s="39" t="str">
        <f aca="false">IF($T$4=0,IF($O426="","",$O426),IFERROR(IF([2]财务取数接口!$I$425=0,"",[2]财务取数接口!$I$425),""))</f>
        <v/>
      </c>
      <c r="I426" s="42"/>
      <c r="J426" s="43"/>
      <c r="K426" s="42"/>
      <c r="L426" s="42"/>
      <c r="M426" s="44"/>
      <c r="N426" s="44"/>
      <c r="O426" s="43"/>
      <c r="P426" s="45" t="n">
        <f aca="false">IF(AND($C426&lt;&gt;"",$C426&lt;&gt;"项目",OR(N($D426)&lt;&gt;0,N($E426)&lt;&gt;0,N($F426)&lt;&gt;0)),1,0)</f>
        <v>0</v>
      </c>
      <c r="Q426" s="45" t="n">
        <f aca="false">N(Q425)+$P426</f>
        <v>5</v>
      </c>
    </row>
    <row r="427" customFormat="false" ht="13.5" hidden="false" customHeight="false" outlineLevel="0" collapsed="false">
      <c r="A427" s="9" t="n">
        <v>426</v>
      </c>
      <c r="B427" s="40" t="str">
        <f aca="false">IF($T$4=0,IF($I427="","",$I427),IFERROR(IF([2]财务取数接口!$B$426=0,"",[2]财务取数接口!$B$426),""))</f>
        <v/>
      </c>
      <c r="C427" s="39" t="str">
        <f aca="false">IF($T$4=0,IF($J427="","",$J427),IFERROR(IF([2]财务取数接口!$C$426=0,"",[2]财务取数接口!$C$426),""))</f>
        <v/>
      </c>
      <c r="D427" s="40" t="str">
        <f aca="false">IF($T$4=0,IF($K427="","",$K427),IFERROR(IF([2]财务取数接口!$D$426=0,"",[2]财务取数接口!$D$426),""))</f>
        <v/>
      </c>
      <c r="E427" s="40" t="str">
        <f aca="false">IF($T$4=0,IF($L427="","",$L427),IFERROR(IF([2]财务取数接口!$E$426=0,"",[2]财务取数接口!$E$426),""))</f>
        <v/>
      </c>
      <c r="F427" s="41" t="str">
        <f aca="false">IF($T$4=0,IF($M427="","",$M427),IFERROR(IF([2]财务取数接口!$G$426=0,"",[2]财务取数接口!$G$426),""))</f>
        <v/>
      </c>
      <c r="G427" s="41" t="str">
        <f aca="false">IF($T$4=0,IF($N427="","",$N427),IFERROR(IF([2]财务取数接口!$H$426=0,"",[2]财务取数接口!$H$426),""))</f>
        <v/>
      </c>
      <c r="H427" s="39" t="str">
        <f aca="false">IF($T$4=0,IF($O427="","",$O427),IFERROR(IF([2]财务取数接口!$I$426=0,"",[2]财务取数接口!$I$426),""))</f>
        <v/>
      </c>
      <c r="I427" s="42"/>
      <c r="J427" s="43"/>
      <c r="K427" s="42"/>
      <c r="L427" s="42"/>
      <c r="M427" s="44"/>
      <c r="N427" s="44"/>
      <c r="O427" s="43"/>
      <c r="P427" s="45" t="n">
        <f aca="false">IF(AND($C427&lt;&gt;"",$C427&lt;&gt;"项目",OR(N($D427)&lt;&gt;0,N($E427)&lt;&gt;0,N($F427)&lt;&gt;0)),1,0)</f>
        <v>0</v>
      </c>
      <c r="Q427" s="45" t="n">
        <f aca="false">N(Q426)+$P427</f>
        <v>5</v>
      </c>
    </row>
    <row r="428" customFormat="false" ht="13.5" hidden="false" customHeight="false" outlineLevel="0" collapsed="false">
      <c r="A428" s="9" t="n">
        <v>427</v>
      </c>
      <c r="B428" s="40" t="str">
        <f aca="false">IF($T$4=0,IF($I428="","",$I428),IFERROR(IF([2]财务取数接口!$B$427=0,"",[2]财务取数接口!$B$427),""))</f>
        <v/>
      </c>
      <c r="C428" s="39" t="str">
        <f aca="false">IF($T$4=0,IF($J428="","",$J428),IFERROR(IF([2]财务取数接口!$C$427=0,"",[2]财务取数接口!$C$427),""))</f>
        <v/>
      </c>
      <c r="D428" s="40" t="str">
        <f aca="false">IF($T$4=0,IF($K428="","",$K428),IFERROR(IF([2]财务取数接口!$D$427=0,"",[2]财务取数接口!$D$427),""))</f>
        <v/>
      </c>
      <c r="E428" s="40" t="str">
        <f aca="false">IF($T$4=0,IF($L428="","",$L428),IFERROR(IF([2]财务取数接口!$E$427=0,"",[2]财务取数接口!$E$427),""))</f>
        <v/>
      </c>
      <c r="F428" s="41" t="str">
        <f aca="false">IF($T$4=0,IF($M428="","",$M428),IFERROR(IF([2]财务取数接口!$G$427=0,"",[2]财务取数接口!$G$427),""))</f>
        <v/>
      </c>
      <c r="G428" s="41" t="str">
        <f aca="false">IF($T$4=0,IF($N428="","",$N428),IFERROR(IF([2]财务取数接口!$H$427=0,"",[2]财务取数接口!$H$427),""))</f>
        <v/>
      </c>
      <c r="H428" s="39" t="str">
        <f aca="false">IF($T$4=0,IF($O428="","",$O428),IFERROR(IF([2]财务取数接口!$I$427=0,"",[2]财务取数接口!$I$427),""))</f>
        <v/>
      </c>
      <c r="I428" s="42"/>
      <c r="J428" s="43"/>
      <c r="K428" s="42"/>
      <c r="L428" s="42"/>
      <c r="M428" s="44"/>
      <c r="N428" s="44"/>
      <c r="O428" s="43"/>
      <c r="P428" s="45" t="n">
        <f aca="false">IF(AND($C428&lt;&gt;"",$C428&lt;&gt;"项目",OR(N($D428)&lt;&gt;0,N($E428)&lt;&gt;0,N($F428)&lt;&gt;0)),1,0)</f>
        <v>0</v>
      </c>
      <c r="Q428" s="45" t="n">
        <f aca="false">N(Q427)+$P428</f>
        <v>5</v>
      </c>
    </row>
    <row r="429" customFormat="false" ht="13.5" hidden="false" customHeight="false" outlineLevel="0" collapsed="false">
      <c r="A429" s="9" t="n">
        <v>428</v>
      </c>
      <c r="B429" s="40" t="str">
        <f aca="false">IF($T$4=0,IF($I429="","",$I429),IFERROR(IF([2]财务取数接口!$B$428=0,"",[2]财务取数接口!$B$428),""))</f>
        <v/>
      </c>
      <c r="C429" s="39" t="str">
        <f aca="false">IF($T$4=0,IF($J429="","",$J429),IFERROR(IF([2]财务取数接口!$C$428=0,"",[2]财务取数接口!$C$428),""))</f>
        <v/>
      </c>
      <c r="D429" s="40" t="str">
        <f aca="false">IF($T$4=0,IF($K429="","",$K429),IFERROR(IF([2]财务取数接口!$D$428=0,"",[2]财务取数接口!$D$428),""))</f>
        <v/>
      </c>
      <c r="E429" s="40" t="str">
        <f aca="false">IF($T$4=0,IF($L429="","",$L429),IFERROR(IF([2]财务取数接口!$E$428=0,"",[2]财务取数接口!$E$428),""))</f>
        <v/>
      </c>
      <c r="F429" s="41" t="str">
        <f aca="false">IF($T$4=0,IF($M429="","",$M429),IFERROR(IF([2]财务取数接口!$G$428=0,"",[2]财务取数接口!$G$428),""))</f>
        <v/>
      </c>
      <c r="G429" s="41" t="str">
        <f aca="false">IF($T$4=0,IF($N429="","",$N429),IFERROR(IF([2]财务取数接口!$H$428=0,"",[2]财务取数接口!$H$428),""))</f>
        <v/>
      </c>
      <c r="H429" s="39" t="str">
        <f aca="false">IF($T$4=0,IF($O429="","",$O429),IFERROR(IF([2]财务取数接口!$I$428=0,"",[2]财务取数接口!$I$428),""))</f>
        <v/>
      </c>
      <c r="I429" s="42"/>
      <c r="J429" s="43"/>
      <c r="K429" s="42"/>
      <c r="L429" s="42"/>
      <c r="M429" s="44"/>
      <c r="N429" s="44"/>
      <c r="O429" s="43"/>
      <c r="P429" s="45" t="n">
        <f aca="false">IF(AND($C429&lt;&gt;"",$C429&lt;&gt;"项目",OR(N($D429)&lt;&gt;0,N($E429)&lt;&gt;0,N($F429)&lt;&gt;0)),1,0)</f>
        <v>0</v>
      </c>
      <c r="Q429" s="45" t="n">
        <f aca="false">N(Q428)+$P429</f>
        <v>5</v>
      </c>
    </row>
    <row r="430" customFormat="false" ht="13.5" hidden="false" customHeight="false" outlineLevel="0" collapsed="false">
      <c r="A430" s="9" t="n">
        <v>429</v>
      </c>
      <c r="B430" s="40" t="str">
        <f aca="false">IF($T$4=0,IF($I430="","",$I430),IFERROR(IF([2]财务取数接口!$B$429=0,"",[2]财务取数接口!$B$429),""))</f>
        <v/>
      </c>
      <c r="C430" s="39" t="str">
        <f aca="false">IF($T$4=0,IF($J430="","",$J430),IFERROR(IF([2]财务取数接口!$C$429=0,"",[2]财务取数接口!$C$429),""))</f>
        <v/>
      </c>
      <c r="D430" s="40" t="str">
        <f aca="false">IF($T$4=0,IF($K430="","",$K430),IFERROR(IF([2]财务取数接口!$D$429=0,"",[2]财务取数接口!$D$429),""))</f>
        <v/>
      </c>
      <c r="E430" s="40" t="str">
        <f aca="false">IF($T$4=0,IF($L430="","",$L430),IFERROR(IF([2]财务取数接口!$E$429=0,"",[2]财务取数接口!$E$429),""))</f>
        <v/>
      </c>
      <c r="F430" s="41" t="str">
        <f aca="false">IF($T$4=0,IF($M430="","",$M430),IFERROR(IF([2]财务取数接口!$G$429=0,"",[2]财务取数接口!$G$429),""))</f>
        <v/>
      </c>
      <c r="G430" s="41" t="str">
        <f aca="false">IF($T$4=0,IF($N430="","",$N430),IFERROR(IF([2]财务取数接口!$H$429=0,"",[2]财务取数接口!$H$429),""))</f>
        <v/>
      </c>
      <c r="H430" s="39" t="str">
        <f aca="false">IF($T$4=0,IF($O430="","",$O430),IFERROR(IF([2]财务取数接口!$I$429=0,"",[2]财务取数接口!$I$429),""))</f>
        <v/>
      </c>
      <c r="I430" s="42"/>
      <c r="J430" s="43"/>
      <c r="K430" s="42"/>
      <c r="L430" s="42"/>
      <c r="M430" s="44"/>
      <c r="N430" s="44"/>
      <c r="O430" s="43"/>
      <c r="P430" s="45" t="n">
        <f aca="false">IF(AND($C430&lt;&gt;"",$C430&lt;&gt;"项目",OR(N($D430)&lt;&gt;0,N($E430)&lt;&gt;0,N($F430)&lt;&gt;0)),1,0)</f>
        <v>0</v>
      </c>
      <c r="Q430" s="45" t="n">
        <f aca="false">N(Q429)+$P430</f>
        <v>5</v>
      </c>
    </row>
    <row r="431" customFormat="false" ht="13.5" hidden="false" customHeight="false" outlineLevel="0" collapsed="false">
      <c r="A431" s="9" t="n">
        <v>430</v>
      </c>
      <c r="B431" s="40" t="str">
        <f aca="false">IF($T$4=0,IF($I431="","",$I431),IFERROR(IF([2]财务取数接口!$B$430=0,"",[2]财务取数接口!$B$430),""))</f>
        <v/>
      </c>
      <c r="C431" s="39" t="str">
        <f aca="false">IF($T$4=0,IF($J431="","",$J431),IFERROR(IF([2]财务取数接口!$C$430=0,"",[2]财务取数接口!$C$430),""))</f>
        <v/>
      </c>
      <c r="D431" s="40" t="str">
        <f aca="false">IF($T$4=0,IF($K431="","",$K431),IFERROR(IF([2]财务取数接口!$D$430=0,"",[2]财务取数接口!$D$430),""))</f>
        <v/>
      </c>
      <c r="E431" s="40" t="str">
        <f aca="false">IF($T$4=0,IF($L431="","",$L431),IFERROR(IF([2]财务取数接口!$E$430=0,"",[2]财务取数接口!$E$430),""))</f>
        <v/>
      </c>
      <c r="F431" s="41" t="str">
        <f aca="false">IF($T$4=0,IF($M431="","",$M431),IFERROR(IF([2]财务取数接口!$G$430=0,"",[2]财务取数接口!$G$430),""))</f>
        <v/>
      </c>
      <c r="G431" s="41" t="str">
        <f aca="false">IF($T$4=0,IF($N431="","",$N431),IFERROR(IF([2]财务取数接口!$H$430=0,"",[2]财务取数接口!$H$430),""))</f>
        <v/>
      </c>
      <c r="H431" s="39" t="str">
        <f aca="false">IF($T$4=0,IF($O431="","",$O431),IFERROR(IF([2]财务取数接口!$I$430=0,"",[2]财务取数接口!$I$430),""))</f>
        <v/>
      </c>
      <c r="I431" s="42"/>
      <c r="J431" s="43"/>
      <c r="K431" s="42"/>
      <c r="L431" s="42"/>
      <c r="M431" s="44"/>
      <c r="N431" s="44"/>
      <c r="O431" s="43"/>
      <c r="P431" s="45" t="n">
        <f aca="false">IF(AND($C431&lt;&gt;"",$C431&lt;&gt;"项目",OR(N($D431)&lt;&gt;0,N($E431)&lt;&gt;0,N($F431)&lt;&gt;0)),1,0)</f>
        <v>0</v>
      </c>
      <c r="Q431" s="45" t="n">
        <f aca="false">N(Q430)+$P431</f>
        <v>5</v>
      </c>
    </row>
    <row r="432" customFormat="false" ht="13.5" hidden="false" customHeight="false" outlineLevel="0" collapsed="false">
      <c r="A432" s="9" t="n">
        <v>431</v>
      </c>
      <c r="B432" s="40" t="str">
        <f aca="false">IF($T$4=0,IF($I432="","",$I432),IFERROR(IF([2]财务取数接口!$B$431=0,"",[2]财务取数接口!$B$431),""))</f>
        <v/>
      </c>
      <c r="C432" s="39" t="str">
        <f aca="false">IF($T$4=0,IF($J432="","",$J432),IFERROR(IF([2]财务取数接口!$C$431=0,"",[2]财务取数接口!$C$431),""))</f>
        <v/>
      </c>
      <c r="D432" s="40" t="str">
        <f aca="false">IF($T$4=0,IF($K432="","",$K432),IFERROR(IF([2]财务取数接口!$D$431=0,"",[2]财务取数接口!$D$431),""))</f>
        <v/>
      </c>
      <c r="E432" s="40" t="str">
        <f aca="false">IF($T$4=0,IF($L432="","",$L432),IFERROR(IF([2]财务取数接口!$E$431=0,"",[2]财务取数接口!$E$431),""))</f>
        <v/>
      </c>
      <c r="F432" s="41" t="str">
        <f aca="false">IF($T$4=0,IF($M432="","",$M432),IFERROR(IF([2]财务取数接口!$G$431=0,"",[2]财务取数接口!$G$431),""))</f>
        <v/>
      </c>
      <c r="G432" s="41" t="str">
        <f aca="false">IF($T$4=0,IF($N432="","",$N432),IFERROR(IF([2]财务取数接口!$H$431=0,"",[2]财务取数接口!$H$431),""))</f>
        <v/>
      </c>
      <c r="H432" s="39" t="str">
        <f aca="false">IF($T$4=0,IF($O432="","",$O432),IFERROR(IF([2]财务取数接口!$I$431=0,"",[2]财务取数接口!$I$431),""))</f>
        <v/>
      </c>
      <c r="I432" s="42"/>
      <c r="J432" s="43"/>
      <c r="K432" s="42"/>
      <c r="L432" s="42"/>
      <c r="M432" s="44"/>
      <c r="N432" s="44"/>
      <c r="O432" s="43"/>
      <c r="P432" s="45" t="n">
        <f aca="false">IF(AND($C432&lt;&gt;"",$C432&lt;&gt;"项目",OR(N($D432)&lt;&gt;0,N($E432)&lt;&gt;0,N($F432)&lt;&gt;0)),1,0)</f>
        <v>0</v>
      </c>
      <c r="Q432" s="45" t="n">
        <f aca="false">N(Q431)+$P432</f>
        <v>5</v>
      </c>
    </row>
    <row r="433" customFormat="false" ht="13.5" hidden="false" customHeight="false" outlineLevel="0" collapsed="false">
      <c r="A433" s="9" t="n">
        <v>432</v>
      </c>
      <c r="B433" s="40" t="str">
        <f aca="false">IF($T$4=0,IF($I433="","",$I433),IFERROR(IF([2]财务取数接口!$B$432=0,"",[2]财务取数接口!$B$432),""))</f>
        <v/>
      </c>
      <c r="C433" s="39" t="str">
        <f aca="false">IF($T$4=0,IF($J433="","",$J433),IFERROR(IF([2]财务取数接口!$C$432=0,"",[2]财务取数接口!$C$432),""))</f>
        <v/>
      </c>
      <c r="D433" s="40" t="str">
        <f aca="false">IF($T$4=0,IF($K433="","",$K433),IFERROR(IF([2]财务取数接口!$D$432=0,"",[2]财务取数接口!$D$432),""))</f>
        <v/>
      </c>
      <c r="E433" s="40" t="str">
        <f aca="false">IF($T$4=0,IF($L433="","",$L433),IFERROR(IF([2]财务取数接口!$E$432=0,"",[2]财务取数接口!$E$432),""))</f>
        <v/>
      </c>
      <c r="F433" s="41" t="str">
        <f aca="false">IF($T$4=0,IF($M433="","",$M433),IFERROR(IF([2]财务取数接口!$G$432=0,"",[2]财务取数接口!$G$432),""))</f>
        <v/>
      </c>
      <c r="G433" s="41" t="str">
        <f aca="false">IF($T$4=0,IF($N433="","",$N433),IFERROR(IF([2]财务取数接口!$H$432=0,"",[2]财务取数接口!$H$432),""))</f>
        <v/>
      </c>
      <c r="H433" s="39" t="str">
        <f aca="false">IF($T$4=0,IF($O433="","",$O433),IFERROR(IF([2]财务取数接口!$I$432=0,"",[2]财务取数接口!$I$432),""))</f>
        <v/>
      </c>
      <c r="I433" s="42"/>
      <c r="J433" s="43"/>
      <c r="K433" s="42"/>
      <c r="L433" s="42"/>
      <c r="M433" s="44"/>
      <c r="N433" s="44"/>
      <c r="O433" s="43"/>
      <c r="P433" s="45" t="n">
        <f aca="false">IF(AND($C433&lt;&gt;"",$C433&lt;&gt;"项目",OR(N($D433)&lt;&gt;0,N($E433)&lt;&gt;0,N($F433)&lt;&gt;0)),1,0)</f>
        <v>0</v>
      </c>
      <c r="Q433" s="45" t="n">
        <f aca="false">N(Q432)+$P433</f>
        <v>5</v>
      </c>
    </row>
    <row r="434" customFormat="false" ht="13.5" hidden="false" customHeight="false" outlineLevel="0" collapsed="false">
      <c r="A434" s="9" t="n">
        <v>433</v>
      </c>
      <c r="B434" s="40" t="str">
        <f aca="false">IF($T$4=0,IF($I434="","",$I434),IFERROR(IF([2]财务取数接口!$B$433=0,"",[2]财务取数接口!$B$433),""))</f>
        <v/>
      </c>
      <c r="C434" s="39" t="str">
        <f aca="false">IF($T$4=0,IF($J434="","",$J434),IFERROR(IF([2]财务取数接口!$C$433=0,"",[2]财务取数接口!$C$433),""))</f>
        <v/>
      </c>
      <c r="D434" s="40" t="str">
        <f aca="false">IF($T$4=0,IF($K434="","",$K434),IFERROR(IF([2]财务取数接口!$D$433=0,"",[2]财务取数接口!$D$433),""))</f>
        <v/>
      </c>
      <c r="E434" s="40" t="str">
        <f aca="false">IF($T$4=0,IF($L434="","",$L434),IFERROR(IF([2]财务取数接口!$E$433=0,"",[2]财务取数接口!$E$433),""))</f>
        <v/>
      </c>
      <c r="F434" s="41" t="str">
        <f aca="false">IF($T$4=0,IF($M434="","",$M434),IFERROR(IF([2]财务取数接口!$G$433=0,"",[2]财务取数接口!$G$433),""))</f>
        <v/>
      </c>
      <c r="G434" s="41" t="str">
        <f aca="false">IF($T$4=0,IF($N434="","",$N434),IFERROR(IF([2]财务取数接口!$H$433=0,"",[2]财务取数接口!$H$433),""))</f>
        <v/>
      </c>
      <c r="H434" s="39" t="str">
        <f aca="false">IF($T$4=0,IF($O434="","",$O434),IFERROR(IF([2]财务取数接口!$I$433=0,"",[2]财务取数接口!$I$433),""))</f>
        <v/>
      </c>
      <c r="I434" s="42"/>
      <c r="J434" s="43"/>
      <c r="K434" s="42"/>
      <c r="L434" s="42"/>
      <c r="M434" s="44"/>
      <c r="N434" s="44"/>
      <c r="O434" s="43"/>
      <c r="P434" s="45" t="n">
        <f aca="false">IF(AND($C434&lt;&gt;"",$C434&lt;&gt;"项目",OR(N($D434)&lt;&gt;0,N($E434)&lt;&gt;0,N($F434)&lt;&gt;0)),1,0)</f>
        <v>0</v>
      </c>
      <c r="Q434" s="45" t="n">
        <f aca="false">N(Q433)+$P434</f>
        <v>5</v>
      </c>
    </row>
    <row r="435" customFormat="false" ht="13.5" hidden="false" customHeight="false" outlineLevel="0" collapsed="false">
      <c r="A435" s="9" t="n">
        <v>434</v>
      </c>
      <c r="B435" s="40" t="str">
        <f aca="false">IF($T$4=0,IF($I435="","",$I435),IFERROR(IF([2]财务取数接口!$B$434=0,"",[2]财务取数接口!$B$434),""))</f>
        <v/>
      </c>
      <c r="C435" s="39" t="str">
        <f aca="false">IF($T$4=0,IF($J435="","",$J435),IFERROR(IF([2]财务取数接口!$C$434=0,"",[2]财务取数接口!$C$434),""))</f>
        <v/>
      </c>
      <c r="D435" s="40" t="str">
        <f aca="false">IF($T$4=0,IF($K435="","",$K435),IFERROR(IF([2]财务取数接口!$D$434=0,"",[2]财务取数接口!$D$434),""))</f>
        <v/>
      </c>
      <c r="E435" s="40" t="str">
        <f aca="false">IF($T$4=0,IF($L435="","",$L435),IFERROR(IF([2]财务取数接口!$E$434=0,"",[2]财务取数接口!$E$434),""))</f>
        <v/>
      </c>
      <c r="F435" s="41" t="str">
        <f aca="false">IF($T$4=0,IF($M435="","",$M435),IFERROR(IF([2]财务取数接口!$G$434=0,"",[2]财务取数接口!$G$434),""))</f>
        <v/>
      </c>
      <c r="G435" s="41" t="str">
        <f aca="false">IF($T$4=0,IF($N435="","",$N435),IFERROR(IF([2]财务取数接口!$H$434=0,"",[2]财务取数接口!$H$434),""))</f>
        <v/>
      </c>
      <c r="H435" s="39" t="str">
        <f aca="false">IF($T$4=0,IF($O435="","",$O435),IFERROR(IF([2]财务取数接口!$I$434=0,"",[2]财务取数接口!$I$434),""))</f>
        <v/>
      </c>
      <c r="I435" s="42"/>
      <c r="J435" s="43"/>
      <c r="K435" s="42"/>
      <c r="L435" s="42"/>
      <c r="M435" s="44"/>
      <c r="N435" s="44"/>
      <c r="O435" s="43"/>
      <c r="P435" s="45" t="n">
        <f aca="false">IF(AND($C435&lt;&gt;"",$C435&lt;&gt;"项目",OR(N($D435)&lt;&gt;0,N($E435)&lt;&gt;0,N($F435)&lt;&gt;0)),1,0)</f>
        <v>0</v>
      </c>
      <c r="Q435" s="45" t="n">
        <f aca="false">N(Q434)+$P435</f>
        <v>5</v>
      </c>
    </row>
    <row r="436" customFormat="false" ht="13.5" hidden="false" customHeight="false" outlineLevel="0" collapsed="false">
      <c r="A436" s="9" t="n">
        <v>435</v>
      </c>
      <c r="B436" s="40" t="str">
        <f aca="false">IF($T$4=0,IF($I436="","",$I436),IFERROR(IF([2]财务取数接口!$B$435=0,"",[2]财务取数接口!$B$435),""))</f>
        <v/>
      </c>
      <c r="C436" s="39" t="str">
        <f aca="false">IF($T$4=0,IF($J436="","",$J436),IFERROR(IF([2]财务取数接口!$C$435=0,"",[2]财务取数接口!$C$435),""))</f>
        <v/>
      </c>
      <c r="D436" s="40" t="str">
        <f aca="false">IF($T$4=0,IF($K436="","",$K436),IFERROR(IF([2]财务取数接口!$D$435=0,"",[2]财务取数接口!$D$435),""))</f>
        <v/>
      </c>
      <c r="E436" s="40" t="str">
        <f aca="false">IF($T$4=0,IF($L436="","",$L436),IFERROR(IF([2]财务取数接口!$E$435=0,"",[2]财务取数接口!$E$435),""))</f>
        <v/>
      </c>
      <c r="F436" s="41" t="str">
        <f aca="false">IF($T$4=0,IF($M436="","",$M436),IFERROR(IF([2]财务取数接口!$G$435=0,"",[2]财务取数接口!$G$435),""))</f>
        <v/>
      </c>
      <c r="G436" s="41" t="str">
        <f aca="false">IF($T$4=0,IF($N436="","",$N436),IFERROR(IF([2]财务取数接口!$H$435=0,"",[2]财务取数接口!$H$435),""))</f>
        <v/>
      </c>
      <c r="H436" s="39" t="str">
        <f aca="false">IF($T$4=0,IF($O436="","",$O436),IFERROR(IF([2]财务取数接口!$I$435=0,"",[2]财务取数接口!$I$435),""))</f>
        <v/>
      </c>
      <c r="I436" s="42"/>
      <c r="J436" s="43"/>
      <c r="K436" s="42"/>
      <c r="L436" s="42"/>
      <c r="M436" s="44"/>
      <c r="N436" s="44"/>
      <c r="O436" s="43"/>
      <c r="P436" s="45" t="n">
        <f aca="false">IF(AND($C436&lt;&gt;"",$C436&lt;&gt;"项目",OR(N($D436)&lt;&gt;0,N($E436)&lt;&gt;0,N($F436)&lt;&gt;0)),1,0)</f>
        <v>0</v>
      </c>
      <c r="Q436" s="45" t="n">
        <f aca="false">N(Q435)+$P436</f>
        <v>5</v>
      </c>
    </row>
    <row r="437" customFormat="false" ht="13.5" hidden="false" customHeight="false" outlineLevel="0" collapsed="false">
      <c r="A437" s="9" t="n">
        <v>436</v>
      </c>
      <c r="B437" s="40" t="str">
        <f aca="false">IF($T$4=0,IF($I437="","",$I437),IFERROR(IF([2]财务取数接口!$B$436=0,"",[2]财务取数接口!$B$436),""))</f>
        <v/>
      </c>
      <c r="C437" s="39" t="str">
        <f aca="false">IF($T$4=0,IF($J437="","",$J437),IFERROR(IF([2]财务取数接口!$C$436=0,"",[2]财务取数接口!$C$436),""))</f>
        <v/>
      </c>
      <c r="D437" s="40" t="str">
        <f aca="false">IF($T$4=0,IF($K437="","",$K437),IFERROR(IF([2]财务取数接口!$D$436=0,"",[2]财务取数接口!$D$436),""))</f>
        <v/>
      </c>
      <c r="E437" s="40" t="str">
        <f aca="false">IF($T$4=0,IF($L437="","",$L437),IFERROR(IF([2]财务取数接口!$E$436=0,"",[2]财务取数接口!$E$436),""))</f>
        <v/>
      </c>
      <c r="F437" s="41" t="str">
        <f aca="false">IF($T$4=0,IF($M437="","",$M437),IFERROR(IF([2]财务取数接口!$G$436=0,"",[2]财务取数接口!$G$436),""))</f>
        <v/>
      </c>
      <c r="G437" s="41" t="str">
        <f aca="false">IF($T$4=0,IF($N437="","",$N437),IFERROR(IF([2]财务取数接口!$H$436=0,"",[2]财务取数接口!$H$436),""))</f>
        <v/>
      </c>
      <c r="H437" s="39" t="str">
        <f aca="false">IF($T$4=0,IF($O437="","",$O437),IFERROR(IF([2]财务取数接口!$I$436=0,"",[2]财务取数接口!$I$436),""))</f>
        <v/>
      </c>
      <c r="I437" s="42"/>
      <c r="J437" s="43"/>
      <c r="K437" s="42"/>
      <c r="L437" s="42"/>
      <c r="M437" s="44"/>
      <c r="N437" s="44"/>
      <c r="O437" s="43"/>
      <c r="P437" s="45" t="n">
        <f aca="false">IF(AND($C437&lt;&gt;"",$C437&lt;&gt;"项目",OR(N($D437)&lt;&gt;0,N($E437)&lt;&gt;0,N($F437)&lt;&gt;0)),1,0)</f>
        <v>0</v>
      </c>
      <c r="Q437" s="45" t="n">
        <f aca="false">N(Q436)+$P437</f>
        <v>5</v>
      </c>
    </row>
    <row r="438" customFormat="false" ht="13.5" hidden="false" customHeight="false" outlineLevel="0" collapsed="false">
      <c r="A438" s="9" t="n">
        <v>437</v>
      </c>
      <c r="B438" s="40" t="str">
        <f aca="false">IF($T$4=0,IF($I438="","",$I438),IFERROR(IF([2]财务取数接口!$B$437=0,"",[2]财务取数接口!$B$437),""))</f>
        <v/>
      </c>
      <c r="C438" s="39" t="str">
        <f aca="false">IF($T$4=0,IF($J438="","",$J438),IFERROR(IF([2]财务取数接口!$C$437=0,"",[2]财务取数接口!$C$437),""))</f>
        <v/>
      </c>
      <c r="D438" s="40" t="str">
        <f aca="false">IF($T$4=0,IF($K438="","",$K438),IFERROR(IF([2]财务取数接口!$D$437=0,"",[2]财务取数接口!$D$437),""))</f>
        <v/>
      </c>
      <c r="E438" s="40" t="str">
        <f aca="false">IF($T$4=0,IF($L438="","",$L438),IFERROR(IF([2]财务取数接口!$E$437=0,"",[2]财务取数接口!$E$437),""))</f>
        <v/>
      </c>
      <c r="F438" s="41" t="str">
        <f aca="false">IF($T$4=0,IF($M438="","",$M438),IFERROR(IF([2]财务取数接口!$G$437=0,"",[2]财务取数接口!$G$437),""))</f>
        <v/>
      </c>
      <c r="G438" s="41" t="str">
        <f aca="false">IF($T$4=0,IF($N438="","",$N438),IFERROR(IF([2]财务取数接口!$H$437=0,"",[2]财务取数接口!$H$437),""))</f>
        <v/>
      </c>
      <c r="H438" s="39" t="str">
        <f aca="false">IF($T$4=0,IF($O438="","",$O438),IFERROR(IF([2]财务取数接口!$I$437=0,"",[2]财务取数接口!$I$437),""))</f>
        <v/>
      </c>
      <c r="I438" s="42"/>
      <c r="J438" s="43"/>
      <c r="K438" s="42"/>
      <c r="L438" s="42"/>
      <c r="M438" s="44"/>
      <c r="N438" s="44"/>
      <c r="O438" s="43"/>
      <c r="P438" s="45" t="n">
        <f aca="false">IF(AND($C438&lt;&gt;"",$C438&lt;&gt;"项目",OR(N($D438)&lt;&gt;0,N($E438)&lt;&gt;0,N($F438)&lt;&gt;0)),1,0)</f>
        <v>0</v>
      </c>
      <c r="Q438" s="45" t="n">
        <f aca="false">N(Q437)+$P438</f>
        <v>5</v>
      </c>
    </row>
    <row r="439" customFormat="false" ht="13.5" hidden="false" customHeight="false" outlineLevel="0" collapsed="false">
      <c r="A439" s="9" t="n">
        <v>438</v>
      </c>
      <c r="B439" s="40" t="str">
        <f aca="false">IF($T$4=0,IF($I439="","",$I439),IFERROR(IF([2]财务取数接口!$B$438=0,"",[2]财务取数接口!$B$438),""))</f>
        <v/>
      </c>
      <c r="C439" s="39" t="str">
        <f aca="false">IF($T$4=0,IF($J439="","",$J439),IFERROR(IF([2]财务取数接口!$C$438=0,"",[2]财务取数接口!$C$438),""))</f>
        <v/>
      </c>
      <c r="D439" s="40" t="str">
        <f aca="false">IF($T$4=0,IF($K439="","",$K439),IFERROR(IF([2]财务取数接口!$D$438=0,"",[2]财务取数接口!$D$438),""))</f>
        <v/>
      </c>
      <c r="E439" s="40" t="str">
        <f aca="false">IF($T$4=0,IF($L439="","",$L439),IFERROR(IF([2]财务取数接口!$E$438=0,"",[2]财务取数接口!$E$438),""))</f>
        <v/>
      </c>
      <c r="F439" s="41" t="str">
        <f aca="false">IF($T$4=0,IF($M439="","",$M439),IFERROR(IF([2]财务取数接口!$G$438=0,"",[2]财务取数接口!$G$438),""))</f>
        <v/>
      </c>
      <c r="G439" s="41" t="str">
        <f aca="false">IF($T$4=0,IF($N439="","",$N439),IFERROR(IF([2]财务取数接口!$H$438=0,"",[2]财务取数接口!$H$438),""))</f>
        <v/>
      </c>
      <c r="H439" s="39" t="str">
        <f aca="false">IF($T$4=0,IF($O439="","",$O439),IFERROR(IF([2]财务取数接口!$I$438=0,"",[2]财务取数接口!$I$438),""))</f>
        <v/>
      </c>
      <c r="I439" s="42"/>
      <c r="J439" s="43"/>
      <c r="K439" s="42"/>
      <c r="L439" s="42"/>
      <c r="M439" s="44"/>
      <c r="N439" s="44"/>
      <c r="O439" s="43"/>
      <c r="P439" s="45" t="n">
        <f aca="false">IF(AND($C439&lt;&gt;"",$C439&lt;&gt;"项目",OR(N($D439)&lt;&gt;0,N($E439)&lt;&gt;0,N($F439)&lt;&gt;0)),1,0)</f>
        <v>0</v>
      </c>
      <c r="Q439" s="45" t="n">
        <f aca="false">N(Q438)+$P439</f>
        <v>5</v>
      </c>
    </row>
    <row r="440" customFormat="false" ht="13.5" hidden="false" customHeight="false" outlineLevel="0" collapsed="false">
      <c r="A440" s="9" t="n">
        <v>439</v>
      </c>
      <c r="B440" s="40" t="str">
        <f aca="false">IF($T$4=0,IF($I440="","",$I440),IFERROR(IF([2]财务取数接口!$B$439=0,"",[2]财务取数接口!$B$439),""))</f>
        <v/>
      </c>
      <c r="C440" s="39" t="str">
        <f aca="false">IF($T$4=0,IF($J440="","",$J440),IFERROR(IF([2]财务取数接口!$C$439=0,"",[2]财务取数接口!$C$439),""))</f>
        <v/>
      </c>
      <c r="D440" s="40" t="str">
        <f aca="false">IF($T$4=0,IF($K440="","",$K440),IFERROR(IF([2]财务取数接口!$D$439=0,"",[2]财务取数接口!$D$439),""))</f>
        <v/>
      </c>
      <c r="E440" s="40" t="str">
        <f aca="false">IF($T$4=0,IF($L440="","",$L440),IFERROR(IF([2]财务取数接口!$E$439=0,"",[2]财务取数接口!$E$439),""))</f>
        <v/>
      </c>
      <c r="F440" s="41" t="str">
        <f aca="false">IF($T$4=0,IF($M440="","",$M440),IFERROR(IF([2]财务取数接口!$G$439=0,"",[2]财务取数接口!$G$439),""))</f>
        <v/>
      </c>
      <c r="G440" s="41" t="str">
        <f aca="false">IF($T$4=0,IF($N440="","",$N440),IFERROR(IF([2]财务取数接口!$H$439=0,"",[2]财务取数接口!$H$439),""))</f>
        <v/>
      </c>
      <c r="H440" s="39" t="str">
        <f aca="false">IF($T$4=0,IF($O440="","",$O440),IFERROR(IF([2]财务取数接口!$I$439=0,"",[2]财务取数接口!$I$439),""))</f>
        <v/>
      </c>
      <c r="I440" s="42"/>
      <c r="J440" s="43"/>
      <c r="K440" s="42"/>
      <c r="L440" s="42"/>
      <c r="M440" s="44"/>
      <c r="N440" s="44"/>
      <c r="O440" s="43"/>
      <c r="P440" s="45" t="n">
        <f aca="false">IF(AND($C440&lt;&gt;"",$C440&lt;&gt;"项目",OR(N($D440)&lt;&gt;0,N($E440)&lt;&gt;0,N($F440)&lt;&gt;0)),1,0)</f>
        <v>0</v>
      </c>
      <c r="Q440" s="45" t="n">
        <f aca="false">N(Q439)+$P440</f>
        <v>5</v>
      </c>
    </row>
    <row r="441" customFormat="false" ht="13.5" hidden="false" customHeight="false" outlineLevel="0" collapsed="false">
      <c r="A441" s="9" t="n">
        <v>440</v>
      </c>
      <c r="B441" s="40" t="str">
        <f aca="false">IF($T$4=0,IF($I441="","",$I441),IFERROR(IF([2]财务取数接口!$B$440=0,"",[2]财务取数接口!$B$440),""))</f>
        <v/>
      </c>
      <c r="C441" s="39" t="str">
        <f aca="false">IF($T$4=0,IF($J441="","",$J441),IFERROR(IF([2]财务取数接口!$C$440=0,"",[2]财务取数接口!$C$440),""))</f>
        <v/>
      </c>
      <c r="D441" s="40" t="str">
        <f aca="false">IF($T$4=0,IF($K441="","",$K441),IFERROR(IF([2]财务取数接口!$D$440=0,"",[2]财务取数接口!$D$440),""))</f>
        <v/>
      </c>
      <c r="E441" s="40" t="str">
        <f aca="false">IF($T$4=0,IF($L441="","",$L441),IFERROR(IF([2]财务取数接口!$E$440=0,"",[2]财务取数接口!$E$440),""))</f>
        <v/>
      </c>
      <c r="F441" s="41" t="str">
        <f aca="false">IF($T$4=0,IF($M441="","",$M441),IFERROR(IF([2]财务取数接口!$G$440=0,"",[2]财务取数接口!$G$440),""))</f>
        <v/>
      </c>
      <c r="G441" s="41" t="str">
        <f aca="false">IF($T$4=0,IF($N441="","",$N441),IFERROR(IF([2]财务取数接口!$H$440=0,"",[2]财务取数接口!$H$440),""))</f>
        <v/>
      </c>
      <c r="H441" s="39" t="str">
        <f aca="false">IF($T$4=0,IF($O441="","",$O441),IFERROR(IF([2]财务取数接口!$I$440=0,"",[2]财务取数接口!$I$440),""))</f>
        <v/>
      </c>
      <c r="I441" s="42"/>
      <c r="J441" s="43"/>
      <c r="K441" s="42"/>
      <c r="L441" s="42"/>
      <c r="M441" s="44"/>
      <c r="N441" s="44"/>
      <c r="O441" s="43"/>
      <c r="P441" s="45" t="n">
        <f aca="false">IF(AND($C441&lt;&gt;"",$C441&lt;&gt;"项目",OR(N($D441)&lt;&gt;0,N($E441)&lt;&gt;0,N($F441)&lt;&gt;0)),1,0)</f>
        <v>0</v>
      </c>
      <c r="Q441" s="45" t="n">
        <f aca="false">N(Q440)+$P441</f>
        <v>5</v>
      </c>
    </row>
    <row r="442" customFormat="false" ht="13.5" hidden="false" customHeight="false" outlineLevel="0" collapsed="false">
      <c r="A442" s="9" t="n">
        <v>441</v>
      </c>
      <c r="B442" s="40" t="str">
        <f aca="false">IF($T$4=0,IF($I442="","",$I442),IFERROR(IF([2]财务取数接口!$B$441=0,"",[2]财务取数接口!$B$441),""))</f>
        <v/>
      </c>
      <c r="C442" s="39" t="str">
        <f aca="false">IF($T$4=0,IF($J442="","",$J442),IFERROR(IF([2]财务取数接口!$C$441=0,"",[2]财务取数接口!$C$441),""))</f>
        <v/>
      </c>
      <c r="D442" s="40" t="str">
        <f aca="false">IF($T$4=0,IF($K442="","",$K442),IFERROR(IF([2]财务取数接口!$D$441=0,"",[2]财务取数接口!$D$441),""))</f>
        <v/>
      </c>
      <c r="E442" s="40" t="str">
        <f aca="false">IF($T$4=0,IF($L442="","",$L442),IFERROR(IF([2]财务取数接口!$E$441=0,"",[2]财务取数接口!$E$441),""))</f>
        <v/>
      </c>
      <c r="F442" s="41" t="str">
        <f aca="false">IF($T$4=0,IF($M442="","",$M442),IFERROR(IF([2]财务取数接口!$G$441=0,"",[2]财务取数接口!$G$441),""))</f>
        <v/>
      </c>
      <c r="G442" s="41" t="str">
        <f aca="false">IF($T$4=0,IF($N442="","",$N442),IFERROR(IF([2]财务取数接口!$H$441=0,"",[2]财务取数接口!$H$441),""))</f>
        <v/>
      </c>
      <c r="H442" s="39" t="str">
        <f aca="false">IF($T$4=0,IF($O442="","",$O442),IFERROR(IF([2]财务取数接口!$I$441=0,"",[2]财务取数接口!$I$441),""))</f>
        <v/>
      </c>
      <c r="I442" s="42"/>
      <c r="J442" s="43"/>
      <c r="K442" s="42"/>
      <c r="L442" s="42"/>
      <c r="M442" s="44"/>
      <c r="N442" s="44"/>
      <c r="O442" s="43"/>
      <c r="P442" s="45" t="n">
        <f aca="false">IF(AND($C442&lt;&gt;"",$C442&lt;&gt;"项目",OR(N($D442)&lt;&gt;0,N($E442)&lt;&gt;0,N($F442)&lt;&gt;0)),1,0)</f>
        <v>0</v>
      </c>
      <c r="Q442" s="45" t="n">
        <f aca="false">N(Q441)+$P442</f>
        <v>5</v>
      </c>
    </row>
    <row r="443" customFormat="false" ht="13.5" hidden="false" customHeight="false" outlineLevel="0" collapsed="false">
      <c r="A443" s="9" t="n">
        <v>442</v>
      </c>
      <c r="B443" s="40" t="str">
        <f aca="false">IF($T$4=0,IF($I443="","",$I443),IFERROR(IF([2]财务取数接口!$B$442=0,"",[2]财务取数接口!$B$442),""))</f>
        <v/>
      </c>
      <c r="C443" s="39" t="str">
        <f aca="false">IF($T$4=0,IF($J443="","",$J443),IFERROR(IF([2]财务取数接口!$C$442=0,"",[2]财务取数接口!$C$442),""))</f>
        <v/>
      </c>
      <c r="D443" s="40" t="str">
        <f aca="false">IF($T$4=0,IF($K443="","",$K443),IFERROR(IF([2]财务取数接口!$D$442=0,"",[2]财务取数接口!$D$442),""))</f>
        <v/>
      </c>
      <c r="E443" s="40" t="str">
        <f aca="false">IF($T$4=0,IF($L443="","",$L443),IFERROR(IF([2]财务取数接口!$E$442=0,"",[2]财务取数接口!$E$442),""))</f>
        <v/>
      </c>
      <c r="F443" s="41" t="str">
        <f aca="false">IF($T$4=0,IF($M443="","",$M443),IFERROR(IF([2]财务取数接口!$G$442=0,"",[2]财务取数接口!$G$442),""))</f>
        <v/>
      </c>
      <c r="G443" s="41" t="str">
        <f aca="false">IF($T$4=0,IF($N443="","",$N443),IFERROR(IF([2]财务取数接口!$H$442=0,"",[2]财务取数接口!$H$442),""))</f>
        <v/>
      </c>
      <c r="H443" s="39" t="str">
        <f aca="false">IF($T$4=0,IF($O443="","",$O443),IFERROR(IF([2]财务取数接口!$I$442=0,"",[2]财务取数接口!$I$442),""))</f>
        <v/>
      </c>
      <c r="I443" s="42"/>
      <c r="J443" s="43"/>
      <c r="K443" s="42"/>
      <c r="L443" s="42"/>
      <c r="M443" s="44"/>
      <c r="N443" s="44"/>
      <c r="O443" s="43"/>
      <c r="P443" s="45" t="n">
        <f aca="false">IF(AND($C443&lt;&gt;"",$C443&lt;&gt;"项目",OR(N($D443)&lt;&gt;0,N($E443)&lt;&gt;0,N($F443)&lt;&gt;0)),1,0)</f>
        <v>0</v>
      </c>
      <c r="Q443" s="45" t="n">
        <f aca="false">N(Q442)+$P443</f>
        <v>5</v>
      </c>
    </row>
    <row r="444" customFormat="false" ht="13.5" hidden="false" customHeight="false" outlineLevel="0" collapsed="false">
      <c r="A444" s="9" t="n">
        <v>443</v>
      </c>
      <c r="B444" s="40" t="str">
        <f aca="false">IF($T$4=0,IF($I444="","",$I444),IFERROR(IF([2]财务取数接口!$B$443=0,"",[2]财务取数接口!$B$443),""))</f>
        <v/>
      </c>
      <c r="C444" s="39" t="str">
        <f aca="false">IF($T$4=0,IF($J444="","",$J444),IFERROR(IF([2]财务取数接口!$C$443=0,"",[2]财务取数接口!$C$443),""))</f>
        <v/>
      </c>
      <c r="D444" s="40" t="str">
        <f aca="false">IF($T$4=0,IF($K444="","",$K444),IFERROR(IF([2]财务取数接口!$D$443=0,"",[2]财务取数接口!$D$443),""))</f>
        <v/>
      </c>
      <c r="E444" s="40" t="str">
        <f aca="false">IF($T$4=0,IF($L444="","",$L444),IFERROR(IF([2]财务取数接口!$E$443=0,"",[2]财务取数接口!$E$443),""))</f>
        <v/>
      </c>
      <c r="F444" s="41" t="str">
        <f aca="false">IF($T$4=0,IF($M444="","",$M444),IFERROR(IF([2]财务取数接口!$G$443=0,"",[2]财务取数接口!$G$443),""))</f>
        <v/>
      </c>
      <c r="G444" s="41" t="str">
        <f aca="false">IF($T$4=0,IF($N444="","",$N444),IFERROR(IF([2]财务取数接口!$H$443=0,"",[2]财务取数接口!$H$443),""))</f>
        <v/>
      </c>
      <c r="H444" s="39" t="str">
        <f aca="false">IF($T$4=0,IF($O444="","",$O444),IFERROR(IF([2]财务取数接口!$I$443=0,"",[2]财务取数接口!$I$443),""))</f>
        <v/>
      </c>
      <c r="I444" s="42"/>
      <c r="J444" s="43"/>
      <c r="K444" s="42"/>
      <c r="L444" s="42"/>
      <c r="M444" s="44"/>
      <c r="N444" s="44"/>
      <c r="O444" s="43"/>
      <c r="P444" s="45" t="n">
        <f aca="false">IF(AND($C444&lt;&gt;"",$C444&lt;&gt;"项目",OR(N($D444)&lt;&gt;0,N($E444)&lt;&gt;0,N($F444)&lt;&gt;0)),1,0)</f>
        <v>0</v>
      </c>
      <c r="Q444" s="45" t="n">
        <f aca="false">N(Q443)+$P444</f>
        <v>5</v>
      </c>
    </row>
    <row r="445" customFormat="false" ht="13.5" hidden="false" customHeight="false" outlineLevel="0" collapsed="false">
      <c r="A445" s="9" t="n">
        <v>444</v>
      </c>
      <c r="B445" s="40" t="str">
        <f aca="false">IF($T$4=0,IF($I445="","",$I445),IFERROR(IF([2]财务取数接口!$B$444=0,"",[2]财务取数接口!$B$444),""))</f>
        <v/>
      </c>
      <c r="C445" s="39" t="str">
        <f aca="false">IF($T$4=0,IF($J445="","",$J445),IFERROR(IF([2]财务取数接口!$C$444=0,"",[2]财务取数接口!$C$444),""))</f>
        <v/>
      </c>
      <c r="D445" s="40" t="str">
        <f aca="false">IF($T$4=0,IF($K445="","",$K445),IFERROR(IF([2]财务取数接口!$D$444=0,"",[2]财务取数接口!$D$444),""))</f>
        <v/>
      </c>
      <c r="E445" s="40" t="str">
        <f aca="false">IF($T$4=0,IF($L445="","",$L445),IFERROR(IF([2]财务取数接口!$E$444=0,"",[2]财务取数接口!$E$444),""))</f>
        <v/>
      </c>
      <c r="F445" s="41" t="str">
        <f aca="false">IF($T$4=0,IF($M445="","",$M445),IFERROR(IF([2]财务取数接口!$G$444=0,"",[2]财务取数接口!$G$444),""))</f>
        <v/>
      </c>
      <c r="G445" s="41" t="str">
        <f aca="false">IF($T$4=0,IF($N445="","",$N445),IFERROR(IF([2]财务取数接口!$H$444=0,"",[2]财务取数接口!$H$444),""))</f>
        <v/>
      </c>
      <c r="H445" s="39" t="str">
        <f aca="false">IF($T$4=0,IF($O445="","",$O445),IFERROR(IF([2]财务取数接口!$I$444=0,"",[2]财务取数接口!$I$444),""))</f>
        <v/>
      </c>
      <c r="I445" s="42"/>
      <c r="J445" s="43"/>
      <c r="K445" s="42"/>
      <c r="L445" s="42"/>
      <c r="M445" s="44"/>
      <c r="N445" s="44"/>
      <c r="O445" s="43"/>
      <c r="P445" s="45" t="n">
        <f aca="false">IF(AND($C445&lt;&gt;"",$C445&lt;&gt;"项目",OR(N($D445)&lt;&gt;0,N($E445)&lt;&gt;0,N($F445)&lt;&gt;0)),1,0)</f>
        <v>0</v>
      </c>
      <c r="Q445" s="45" t="n">
        <f aca="false">N(Q444)+$P445</f>
        <v>5</v>
      </c>
    </row>
    <row r="446" customFormat="false" ht="13.5" hidden="false" customHeight="false" outlineLevel="0" collapsed="false">
      <c r="A446" s="9" t="n">
        <v>445</v>
      </c>
      <c r="B446" s="40" t="str">
        <f aca="false">IF($T$4=0,IF($I446="","",$I446),IFERROR(IF([2]财务取数接口!$B$445=0,"",[2]财务取数接口!$B$445),""))</f>
        <v/>
      </c>
      <c r="C446" s="39" t="str">
        <f aca="false">IF($T$4=0,IF($J446="","",$J446),IFERROR(IF([2]财务取数接口!$C$445=0,"",[2]财务取数接口!$C$445),""))</f>
        <v/>
      </c>
      <c r="D446" s="40" t="str">
        <f aca="false">IF($T$4=0,IF($K446="","",$K446),IFERROR(IF([2]财务取数接口!$D$445=0,"",[2]财务取数接口!$D$445),""))</f>
        <v/>
      </c>
      <c r="E446" s="40" t="str">
        <f aca="false">IF($T$4=0,IF($L446="","",$L446),IFERROR(IF([2]财务取数接口!$E$445=0,"",[2]财务取数接口!$E$445),""))</f>
        <v/>
      </c>
      <c r="F446" s="41" t="str">
        <f aca="false">IF($T$4=0,IF($M446="","",$M446),IFERROR(IF([2]财务取数接口!$G$445=0,"",[2]财务取数接口!$G$445),""))</f>
        <v/>
      </c>
      <c r="G446" s="41" t="str">
        <f aca="false">IF($T$4=0,IF($N446="","",$N446),IFERROR(IF([2]财务取数接口!$H$445=0,"",[2]财务取数接口!$H$445),""))</f>
        <v/>
      </c>
      <c r="H446" s="39" t="str">
        <f aca="false">IF($T$4=0,IF($O446="","",$O446),IFERROR(IF([2]财务取数接口!$I$445=0,"",[2]财务取数接口!$I$445),""))</f>
        <v/>
      </c>
      <c r="I446" s="42"/>
      <c r="J446" s="43"/>
      <c r="K446" s="42"/>
      <c r="L446" s="42"/>
      <c r="M446" s="44"/>
      <c r="N446" s="44"/>
      <c r="O446" s="43"/>
      <c r="P446" s="45" t="n">
        <f aca="false">IF(AND($C446&lt;&gt;"",$C446&lt;&gt;"项目",OR(N($D446)&lt;&gt;0,N($E446)&lt;&gt;0,N($F446)&lt;&gt;0)),1,0)</f>
        <v>0</v>
      </c>
      <c r="Q446" s="45" t="n">
        <f aca="false">N(Q445)+$P446</f>
        <v>5</v>
      </c>
    </row>
    <row r="447" customFormat="false" ht="13.5" hidden="false" customHeight="false" outlineLevel="0" collapsed="false">
      <c r="A447" s="9" t="n">
        <v>446</v>
      </c>
      <c r="B447" s="40" t="str">
        <f aca="false">IF($T$4=0,IF($I447="","",$I447),IFERROR(IF([2]财务取数接口!$B$446=0,"",[2]财务取数接口!$B$446),""))</f>
        <v/>
      </c>
      <c r="C447" s="39" t="str">
        <f aca="false">IF($T$4=0,IF($J447="","",$J447),IFERROR(IF([2]财务取数接口!$C$446=0,"",[2]财务取数接口!$C$446),""))</f>
        <v/>
      </c>
      <c r="D447" s="40" t="str">
        <f aca="false">IF($T$4=0,IF($K447="","",$K447),IFERROR(IF([2]财务取数接口!$D$446=0,"",[2]财务取数接口!$D$446),""))</f>
        <v/>
      </c>
      <c r="E447" s="40" t="str">
        <f aca="false">IF($T$4=0,IF($L447="","",$L447),IFERROR(IF([2]财务取数接口!$E$446=0,"",[2]财务取数接口!$E$446),""))</f>
        <v/>
      </c>
      <c r="F447" s="41" t="str">
        <f aca="false">IF($T$4=0,IF($M447="","",$M447),IFERROR(IF([2]财务取数接口!$G$446=0,"",[2]财务取数接口!$G$446),""))</f>
        <v/>
      </c>
      <c r="G447" s="41" t="str">
        <f aca="false">IF($T$4=0,IF($N447="","",$N447),IFERROR(IF([2]财务取数接口!$H$446=0,"",[2]财务取数接口!$H$446),""))</f>
        <v/>
      </c>
      <c r="H447" s="39" t="str">
        <f aca="false">IF($T$4=0,IF($O447="","",$O447),IFERROR(IF([2]财务取数接口!$I$446=0,"",[2]财务取数接口!$I$446),""))</f>
        <v/>
      </c>
      <c r="I447" s="42"/>
      <c r="J447" s="43"/>
      <c r="K447" s="42"/>
      <c r="L447" s="42"/>
      <c r="M447" s="44"/>
      <c r="N447" s="44"/>
      <c r="O447" s="43"/>
      <c r="P447" s="45" t="n">
        <f aca="false">IF(AND($C447&lt;&gt;"",$C447&lt;&gt;"项目",OR(N($D447)&lt;&gt;0,N($E447)&lt;&gt;0,N($F447)&lt;&gt;0)),1,0)</f>
        <v>0</v>
      </c>
      <c r="Q447" s="45" t="n">
        <f aca="false">N(Q446)+$P447</f>
        <v>5</v>
      </c>
    </row>
    <row r="448" customFormat="false" ht="13.5" hidden="false" customHeight="false" outlineLevel="0" collapsed="false">
      <c r="A448" s="9" t="n">
        <v>447</v>
      </c>
      <c r="B448" s="40" t="str">
        <f aca="false">IF($T$4=0,IF($I448="","",$I448),IFERROR(IF([2]财务取数接口!$B$447=0,"",[2]财务取数接口!$B$447),""))</f>
        <v/>
      </c>
      <c r="C448" s="39" t="str">
        <f aca="false">IF($T$4=0,IF($J448="","",$J448),IFERROR(IF([2]财务取数接口!$C$447=0,"",[2]财务取数接口!$C$447),""))</f>
        <v/>
      </c>
      <c r="D448" s="40" t="str">
        <f aca="false">IF($T$4=0,IF($K448="","",$K448),IFERROR(IF([2]财务取数接口!$D$447=0,"",[2]财务取数接口!$D$447),""))</f>
        <v/>
      </c>
      <c r="E448" s="40" t="str">
        <f aca="false">IF($T$4=0,IF($L448="","",$L448),IFERROR(IF([2]财务取数接口!$E$447=0,"",[2]财务取数接口!$E$447),""))</f>
        <v/>
      </c>
      <c r="F448" s="41" t="str">
        <f aca="false">IF($T$4=0,IF($M448="","",$M448),IFERROR(IF([2]财务取数接口!$G$447=0,"",[2]财务取数接口!$G$447),""))</f>
        <v/>
      </c>
      <c r="G448" s="41" t="str">
        <f aca="false">IF($T$4=0,IF($N448="","",$N448),IFERROR(IF([2]财务取数接口!$H$447=0,"",[2]财务取数接口!$H$447),""))</f>
        <v/>
      </c>
      <c r="H448" s="39" t="str">
        <f aca="false">IF($T$4=0,IF($O448="","",$O448),IFERROR(IF([2]财务取数接口!$I$447=0,"",[2]财务取数接口!$I$447),""))</f>
        <v/>
      </c>
      <c r="I448" s="42"/>
      <c r="J448" s="43"/>
      <c r="K448" s="42"/>
      <c r="L448" s="42"/>
      <c r="M448" s="44"/>
      <c r="N448" s="44"/>
      <c r="O448" s="43"/>
      <c r="P448" s="45" t="n">
        <f aca="false">IF(AND($C448&lt;&gt;"",$C448&lt;&gt;"项目",OR(N($D448)&lt;&gt;0,N($E448)&lt;&gt;0,N($F448)&lt;&gt;0)),1,0)</f>
        <v>0</v>
      </c>
      <c r="Q448" s="45" t="n">
        <f aca="false">N(Q447)+$P448</f>
        <v>5</v>
      </c>
    </row>
    <row r="449" customFormat="false" ht="13.5" hidden="false" customHeight="false" outlineLevel="0" collapsed="false">
      <c r="A449" s="9" t="n">
        <v>448</v>
      </c>
      <c r="B449" s="40" t="str">
        <f aca="false">IF($T$4=0,IF($I449="","",$I449),IFERROR(IF([2]财务取数接口!$B$448=0,"",[2]财务取数接口!$B$448),""))</f>
        <v/>
      </c>
      <c r="C449" s="39" t="str">
        <f aca="false">IF($T$4=0,IF($J449="","",$J449),IFERROR(IF([2]财务取数接口!$C$448=0,"",[2]财务取数接口!$C$448),""))</f>
        <v/>
      </c>
      <c r="D449" s="40" t="str">
        <f aca="false">IF($T$4=0,IF($K449="","",$K449),IFERROR(IF([2]财务取数接口!$D$448=0,"",[2]财务取数接口!$D$448),""))</f>
        <v/>
      </c>
      <c r="E449" s="40" t="str">
        <f aca="false">IF($T$4=0,IF($L449="","",$L449),IFERROR(IF([2]财务取数接口!$E$448=0,"",[2]财务取数接口!$E$448),""))</f>
        <v/>
      </c>
      <c r="F449" s="41" t="str">
        <f aca="false">IF($T$4=0,IF($M449="","",$M449),IFERROR(IF([2]财务取数接口!$G$448=0,"",[2]财务取数接口!$G$448),""))</f>
        <v/>
      </c>
      <c r="G449" s="41" t="str">
        <f aca="false">IF($T$4=0,IF($N449="","",$N449),IFERROR(IF([2]财务取数接口!$H$448=0,"",[2]财务取数接口!$H$448),""))</f>
        <v/>
      </c>
      <c r="H449" s="39" t="str">
        <f aca="false">IF($T$4=0,IF($O449="","",$O449),IFERROR(IF([2]财务取数接口!$I$448=0,"",[2]财务取数接口!$I$448),""))</f>
        <v/>
      </c>
      <c r="I449" s="42"/>
      <c r="J449" s="43"/>
      <c r="K449" s="42"/>
      <c r="L449" s="42"/>
      <c r="M449" s="44"/>
      <c r="N449" s="44"/>
      <c r="O449" s="43"/>
      <c r="P449" s="45" t="n">
        <f aca="false">IF(AND($C449&lt;&gt;"",$C449&lt;&gt;"项目",OR(N($D449)&lt;&gt;0,N($E449)&lt;&gt;0,N($F449)&lt;&gt;0)),1,0)</f>
        <v>0</v>
      </c>
      <c r="Q449" s="45" t="n">
        <f aca="false">N(Q448)+$P449</f>
        <v>5</v>
      </c>
    </row>
    <row r="450" customFormat="false" ht="13.5" hidden="false" customHeight="false" outlineLevel="0" collapsed="false">
      <c r="A450" s="9" t="n">
        <v>449</v>
      </c>
      <c r="B450" s="40" t="str">
        <f aca="false">IF($T$4=0,IF($I450="","",$I450),IFERROR(IF([2]财务取数接口!$B$449=0,"",[2]财务取数接口!$B$449),""))</f>
        <v/>
      </c>
      <c r="C450" s="39" t="str">
        <f aca="false">IF($T$4=0,IF($J450="","",$J450),IFERROR(IF([2]财务取数接口!$C$449=0,"",[2]财务取数接口!$C$449),""))</f>
        <v/>
      </c>
      <c r="D450" s="40" t="str">
        <f aca="false">IF($T$4=0,IF($K450="","",$K450),IFERROR(IF([2]财务取数接口!$D$449=0,"",[2]财务取数接口!$D$449),""))</f>
        <v/>
      </c>
      <c r="E450" s="40" t="str">
        <f aca="false">IF($T$4=0,IF($L450="","",$L450),IFERROR(IF([2]财务取数接口!$E$449=0,"",[2]财务取数接口!$E$449),""))</f>
        <v/>
      </c>
      <c r="F450" s="41" t="str">
        <f aca="false">IF($T$4=0,IF($M450="","",$M450),IFERROR(IF([2]财务取数接口!$G$449=0,"",[2]财务取数接口!$G$449),""))</f>
        <v/>
      </c>
      <c r="G450" s="41" t="str">
        <f aca="false">IF($T$4=0,IF($N450="","",$N450),IFERROR(IF([2]财务取数接口!$H$449=0,"",[2]财务取数接口!$H$449),""))</f>
        <v/>
      </c>
      <c r="H450" s="39" t="str">
        <f aca="false">IF($T$4=0,IF($O450="","",$O450),IFERROR(IF([2]财务取数接口!$I$449=0,"",[2]财务取数接口!$I$449),""))</f>
        <v/>
      </c>
      <c r="I450" s="42"/>
      <c r="J450" s="43"/>
      <c r="K450" s="42"/>
      <c r="L450" s="42"/>
      <c r="M450" s="44"/>
      <c r="N450" s="44"/>
      <c r="O450" s="43"/>
      <c r="P450" s="45" t="n">
        <f aca="false">IF(AND($C450&lt;&gt;"",$C450&lt;&gt;"项目",OR(N($D450)&lt;&gt;0,N($E450)&lt;&gt;0,N($F450)&lt;&gt;0)),1,0)</f>
        <v>0</v>
      </c>
      <c r="Q450" s="45" t="n">
        <f aca="false">N(Q449)+$P450</f>
        <v>5</v>
      </c>
    </row>
    <row r="451" customFormat="false" ht="13.5" hidden="false" customHeight="false" outlineLevel="0" collapsed="false">
      <c r="A451" s="9" t="n">
        <v>450</v>
      </c>
      <c r="B451" s="40" t="str">
        <f aca="false">IF($T$4=0,IF($I451="","",$I451),IFERROR(IF([2]财务取数接口!$B$450=0,"",[2]财务取数接口!$B$450),""))</f>
        <v/>
      </c>
      <c r="C451" s="39" t="str">
        <f aca="false">IF($T$4=0,IF($J451="","",$J451),IFERROR(IF([2]财务取数接口!$C$450=0,"",[2]财务取数接口!$C$450),""))</f>
        <v/>
      </c>
      <c r="D451" s="40" t="str">
        <f aca="false">IF($T$4=0,IF($K451="","",$K451),IFERROR(IF([2]财务取数接口!$D$450=0,"",[2]财务取数接口!$D$450),""))</f>
        <v/>
      </c>
      <c r="E451" s="40" t="str">
        <f aca="false">IF($T$4=0,IF($L451="","",$L451),IFERROR(IF([2]财务取数接口!$E$450=0,"",[2]财务取数接口!$E$450),""))</f>
        <v/>
      </c>
      <c r="F451" s="41" t="str">
        <f aca="false">IF($T$4=0,IF($M451="","",$M451),IFERROR(IF([2]财务取数接口!$G$450=0,"",[2]财务取数接口!$G$450),""))</f>
        <v/>
      </c>
      <c r="G451" s="41" t="str">
        <f aca="false">IF($T$4=0,IF($N451="","",$N451),IFERROR(IF([2]财务取数接口!$H$450=0,"",[2]财务取数接口!$H$450),""))</f>
        <v/>
      </c>
      <c r="H451" s="39" t="str">
        <f aca="false">IF($T$4=0,IF($O451="","",$O451),IFERROR(IF([2]财务取数接口!$I$450=0,"",[2]财务取数接口!$I$450),""))</f>
        <v/>
      </c>
      <c r="I451" s="42"/>
      <c r="J451" s="43"/>
      <c r="K451" s="42"/>
      <c r="L451" s="42"/>
      <c r="M451" s="44"/>
      <c r="N451" s="44"/>
      <c r="O451" s="43"/>
      <c r="P451" s="45" t="n">
        <f aca="false">IF(AND($C451&lt;&gt;"",$C451&lt;&gt;"项目",OR(N($D451)&lt;&gt;0,N($E451)&lt;&gt;0,N($F451)&lt;&gt;0)),1,0)</f>
        <v>0</v>
      </c>
      <c r="Q451" s="45" t="n">
        <f aca="false">N(Q450)+$P451</f>
        <v>5</v>
      </c>
    </row>
    <row r="452" customFormat="false" ht="13.5" hidden="false" customHeight="false" outlineLevel="0" collapsed="false">
      <c r="A452" s="9" t="n">
        <v>451</v>
      </c>
      <c r="B452" s="40" t="str">
        <f aca="false">IF($T$4=0,IF($I452="","",$I452),IFERROR(IF([2]财务取数接口!$B$451=0,"",[2]财务取数接口!$B$451),""))</f>
        <v/>
      </c>
      <c r="C452" s="39" t="str">
        <f aca="false">IF($T$4=0,IF($J452="","",$J452),IFERROR(IF([2]财务取数接口!$C$451=0,"",[2]财务取数接口!$C$451),""))</f>
        <v/>
      </c>
      <c r="D452" s="40" t="str">
        <f aca="false">IF($T$4=0,IF($K452="","",$K452),IFERROR(IF([2]财务取数接口!$D$451=0,"",[2]财务取数接口!$D$451),""))</f>
        <v/>
      </c>
      <c r="E452" s="40" t="str">
        <f aca="false">IF($T$4=0,IF($L452="","",$L452),IFERROR(IF([2]财务取数接口!$E$451=0,"",[2]财务取数接口!$E$451),""))</f>
        <v/>
      </c>
      <c r="F452" s="41" t="str">
        <f aca="false">IF($T$4=0,IF($M452="","",$M452),IFERROR(IF([2]财务取数接口!$G$451=0,"",[2]财务取数接口!$G$451),""))</f>
        <v/>
      </c>
      <c r="G452" s="41" t="str">
        <f aca="false">IF($T$4=0,IF($N452="","",$N452),IFERROR(IF([2]财务取数接口!$H$451=0,"",[2]财务取数接口!$H$451),""))</f>
        <v/>
      </c>
      <c r="H452" s="39" t="str">
        <f aca="false">IF($T$4=0,IF($O452="","",$O452),IFERROR(IF([2]财务取数接口!$I$451=0,"",[2]财务取数接口!$I$451),""))</f>
        <v/>
      </c>
      <c r="I452" s="42"/>
      <c r="J452" s="43"/>
      <c r="K452" s="42"/>
      <c r="L452" s="42"/>
      <c r="M452" s="44"/>
      <c r="N452" s="44"/>
      <c r="O452" s="43"/>
      <c r="P452" s="45" t="n">
        <f aca="false">IF(AND($C452&lt;&gt;"",$C452&lt;&gt;"项目",OR(N($D452)&lt;&gt;0,N($E452)&lt;&gt;0,N($F452)&lt;&gt;0)),1,0)</f>
        <v>0</v>
      </c>
      <c r="Q452" s="45" t="n">
        <f aca="false">N(Q451)+$P452</f>
        <v>5</v>
      </c>
    </row>
    <row r="453" customFormat="false" ht="13.5" hidden="false" customHeight="false" outlineLevel="0" collapsed="false">
      <c r="A453" s="9" t="n">
        <v>452</v>
      </c>
      <c r="B453" s="40" t="str">
        <f aca="false">IF($T$4=0,IF($I453="","",$I453),IFERROR(IF([2]财务取数接口!$B$452=0,"",[2]财务取数接口!$B$452),""))</f>
        <v/>
      </c>
      <c r="C453" s="39" t="str">
        <f aca="false">IF($T$4=0,IF($J453="","",$J453),IFERROR(IF([2]财务取数接口!$C$452=0,"",[2]财务取数接口!$C$452),""))</f>
        <v/>
      </c>
      <c r="D453" s="40" t="str">
        <f aca="false">IF($T$4=0,IF($K453="","",$K453),IFERROR(IF([2]财务取数接口!$D$452=0,"",[2]财务取数接口!$D$452),""))</f>
        <v/>
      </c>
      <c r="E453" s="40" t="str">
        <f aca="false">IF($T$4=0,IF($L453="","",$L453),IFERROR(IF([2]财务取数接口!$E$452=0,"",[2]财务取数接口!$E$452),""))</f>
        <v/>
      </c>
      <c r="F453" s="41" t="str">
        <f aca="false">IF($T$4=0,IF($M453="","",$M453),IFERROR(IF([2]财务取数接口!$G$452=0,"",[2]财务取数接口!$G$452),""))</f>
        <v/>
      </c>
      <c r="G453" s="41" t="str">
        <f aca="false">IF($T$4=0,IF($N453="","",$N453),IFERROR(IF([2]财务取数接口!$H$452=0,"",[2]财务取数接口!$H$452),""))</f>
        <v/>
      </c>
      <c r="H453" s="39" t="str">
        <f aca="false">IF($T$4=0,IF($O453="","",$O453),IFERROR(IF([2]财务取数接口!$I$452=0,"",[2]财务取数接口!$I$452),""))</f>
        <v/>
      </c>
      <c r="I453" s="42"/>
      <c r="J453" s="43"/>
      <c r="K453" s="42"/>
      <c r="L453" s="42"/>
      <c r="M453" s="44"/>
      <c r="N453" s="44"/>
      <c r="O453" s="43"/>
      <c r="P453" s="45" t="n">
        <f aca="false">IF(AND($C453&lt;&gt;"",$C453&lt;&gt;"项目",OR(N($D453)&lt;&gt;0,N($E453)&lt;&gt;0,N($F453)&lt;&gt;0)),1,0)</f>
        <v>0</v>
      </c>
      <c r="Q453" s="45" t="n">
        <f aca="false">N(Q452)+$P453</f>
        <v>5</v>
      </c>
    </row>
    <row r="454" customFormat="false" ht="13.5" hidden="false" customHeight="false" outlineLevel="0" collapsed="false">
      <c r="A454" s="9" t="n">
        <v>453</v>
      </c>
      <c r="B454" s="40" t="str">
        <f aca="false">IF($T$4=0,IF($I454="","",$I454),IFERROR(IF([2]财务取数接口!$B$453=0,"",[2]财务取数接口!$B$453),""))</f>
        <v/>
      </c>
      <c r="C454" s="39" t="str">
        <f aca="false">IF($T$4=0,IF($J454="","",$J454),IFERROR(IF([2]财务取数接口!$C$453=0,"",[2]财务取数接口!$C$453),""))</f>
        <v/>
      </c>
      <c r="D454" s="40" t="str">
        <f aca="false">IF($T$4=0,IF($K454="","",$K454),IFERROR(IF([2]财务取数接口!$D$453=0,"",[2]财务取数接口!$D$453),""))</f>
        <v/>
      </c>
      <c r="E454" s="40" t="str">
        <f aca="false">IF($T$4=0,IF($L454="","",$L454),IFERROR(IF([2]财务取数接口!$E$453=0,"",[2]财务取数接口!$E$453),""))</f>
        <v/>
      </c>
      <c r="F454" s="41" t="str">
        <f aca="false">IF($T$4=0,IF($M454="","",$M454),IFERROR(IF([2]财务取数接口!$G$453=0,"",[2]财务取数接口!$G$453),""))</f>
        <v/>
      </c>
      <c r="G454" s="41" t="str">
        <f aca="false">IF($T$4=0,IF($N454="","",$N454),IFERROR(IF([2]财务取数接口!$H$453=0,"",[2]财务取数接口!$H$453),""))</f>
        <v/>
      </c>
      <c r="H454" s="39" t="str">
        <f aca="false">IF($T$4=0,IF($O454="","",$O454),IFERROR(IF([2]财务取数接口!$I$453=0,"",[2]财务取数接口!$I$453),""))</f>
        <v/>
      </c>
      <c r="I454" s="42"/>
      <c r="J454" s="43"/>
      <c r="K454" s="42"/>
      <c r="L454" s="42"/>
      <c r="M454" s="44"/>
      <c r="N454" s="44"/>
      <c r="O454" s="43"/>
      <c r="P454" s="45" t="n">
        <f aca="false">IF(AND($C454&lt;&gt;"",$C454&lt;&gt;"项目",OR(N($D454)&lt;&gt;0,N($E454)&lt;&gt;0,N($F454)&lt;&gt;0)),1,0)</f>
        <v>0</v>
      </c>
      <c r="Q454" s="45" t="n">
        <f aca="false">N(Q453)+$P454</f>
        <v>5</v>
      </c>
    </row>
    <row r="455" customFormat="false" ht="13.5" hidden="false" customHeight="false" outlineLevel="0" collapsed="false">
      <c r="A455" s="9" t="n">
        <v>454</v>
      </c>
      <c r="B455" s="40" t="str">
        <f aca="false">IF($T$4=0,IF($I455="","",$I455),IFERROR(IF([2]财务取数接口!$B$454=0,"",[2]财务取数接口!$B$454),""))</f>
        <v/>
      </c>
      <c r="C455" s="39" t="str">
        <f aca="false">IF($T$4=0,IF($J455="","",$J455),IFERROR(IF([2]财务取数接口!$C$454=0,"",[2]财务取数接口!$C$454),""))</f>
        <v/>
      </c>
      <c r="D455" s="40" t="str">
        <f aca="false">IF($T$4=0,IF($K455="","",$K455),IFERROR(IF([2]财务取数接口!$D$454=0,"",[2]财务取数接口!$D$454),""))</f>
        <v/>
      </c>
      <c r="E455" s="40" t="str">
        <f aca="false">IF($T$4=0,IF($L455="","",$L455),IFERROR(IF([2]财务取数接口!$E$454=0,"",[2]财务取数接口!$E$454),""))</f>
        <v/>
      </c>
      <c r="F455" s="41" t="str">
        <f aca="false">IF($T$4=0,IF($M455="","",$M455),IFERROR(IF([2]财务取数接口!$G$454=0,"",[2]财务取数接口!$G$454),""))</f>
        <v/>
      </c>
      <c r="G455" s="41" t="str">
        <f aca="false">IF($T$4=0,IF($N455="","",$N455),IFERROR(IF([2]财务取数接口!$H$454=0,"",[2]财务取数接口!$H$454),""))</f>
        <v/>
      </c>
      <c r="H455" s="39" t="str">
        <f aca="false">IF($T$4=0,IF($O455="","",$O455),IFERROR(IF([2]财务取数接口!$I$454=0,"",[2]财务取数接口!$I$454),""))</f>
        <v/>
      </c>
      <c r="I455" s="42"/>
      <c r="J455" s="43"/>
      <c r="K455" s="42"/>
      <c r="L455" s="42"/>
      <c r="M455" s="44"/>
      <c r="N455" s="44"/>
      <c r="O455" s="43"/>
      <c r="P455" s="45" t="n">
        <f aca="false">IF(AND($C455&lt;&gt;"",$C455&lt;&gt;"项目",OR(N($D455)&lt;&gt;0,N($E455)&lt;&gt;0,N($F455)&lt;&gt;0)),1,0)</f>
        <v>0</v>
      </c>
      <c r="Q455" s="45" t="n">
        <f aca="false">N(Q454)+$P455</f>
        <v>5</v>
      </c>
    </row>
    <row r="456" customFormat="false" ht="13.5" hidden="false" customHeight="false" outlineLevel="0" collapsed="false">
      <c r="A456" s="9" t="n">
        <v>455</v>
      </c>
      <c r="B456" s="40" t="str">
        <f aca="false">IF($T$4=0,IF($I456="","",$I456),IFERROR(IF([2]财务取数接口!$B$455=0,"",[2]财务取数接口!$B$455),""))</f>
        <v/>
      </c>
      <c r="C456" s="39" t="str">
        <f aca="false">IF($T$4=0,IF($J456="","",$J456),IFERROR(IF([2]财务取数接口!$C$455=0,"",[2]财务取数接口!$C$455),""))</f>
        <v/>
      </c>
      <c r="D456" s="40" t="str">
        <f aca="false">IF($T$4=0,IF($K456="","",$K456),IFERROR(IF([2]财务取数接口!$D$455=0,"",[2]财务取数接口!$D$455),""))</f>
        <v/>
      </c>
      <c r="E456" s="40" t="str">
        <f aca="false">IF($T$4=0,IF($L456="","",$L456),IFERROR(IF([2]财务取数接口!$E$455=0,"",[2]财务取数接口!$E$455),""))</f>
        <v/>
      </c>
      <c r="F456" s="41" t="str">
        <f aca="false">IF($T$4=0,IF($M456="","",$M456),IFERROR(IF([2]财务取数接口!$G$455=0,"",[2]财务取数接口!$G$455),""))</f>
        <v/>
      </c>
      <c r="G456" s="41" t="str">
        <f aca="false">IF($T$4=0,IF($N456="","",$N456),IFERROR(IF([2]财务取数接口!$H$455=0,"",[2]财务取数接口!$H$455),""))</f>
        <v/>
      </c>
      <c r="H456" s="39" t="str">
        <f aca="false">IF($T$4=0,IF($O456="","",$O456),IFERROR(IF([2]财务取数接口!$I$455=0,"",[2]财务取数接口!$I$455),""))</f>
        <v/>
      </c>
      <c r="I456" s="42"/>
      <c r="J456" s="43"/>
      <c r="K456" s="42"/>
      <c r="L456" s="42"/>
      <c r="M456" s="44"/>
      <c r="N456" s="44"/>
      <c r="O456" s="43"/>
      <c r="P456" s="45" t="n">
        <f aca="false">IF(AND($C456&lt;&gt;"",$C456&lt;&gt;"项目",OR(N($D456)&lt;&gt;0,N($E456)&lt;&gt;0,N($F456)&lt;&gt;0)),1,0)</f>
        <v>0</v>
      </c>
      <c r="Q456" s="45" t="n">
        <f aca="false">N(Q455)+$P456</f>
        <v>5</v>
      </c>
    </row>
    <row r="457" customFormat="false" ht="13.5" hidden="false" customHeight="false" outlineLevel="0" collapsed="false">
      <c r="A457" s="9" t="n">
        <v>456</v>
      </c>
      <c r="B457" s="40" t="str">
        <f aca="false">IF($T$4=0,IF($I457="","",$I457),IFERROR(IF([2]财务取数接口!$B$456=0,"",[2]财务取数接口!$B$456),""))</f>
        <v/>
      </c>
      <c r="C457" s="39" t="str">
        <f aca="false">IF($T$4=0,IF($J457="","",$J457),IFERROR(IF([2]财务取数接口!$C$456=0,"",[2]财务取数接口!$C$456),""))</f>
        <v/>
      </c>
      <c r="D457" s="40" t="str">
        <f aca="false">IF($T$4=0,IF($K457="","",$K457),IFERROR(IF([2]财务取数接口!$D$456=0,"",[2]财务取数接口!$D$456),""))</f>
        <v/>
      </c>
      <c r="E457" s="40" t="str">
        <f aca="false">IF($T$4=0,IF($L457="","",$L457),IFERROR(IF([2]财务取数接口!$E$456=0,"",[2]财务取数接口!$E$456),""))</f>
        <v/>
      </c>
      <c r="F457" s="41" t="str">
        <f aca="false">IF($T$4=0,IF($M457="","",$M457),IFERROR(IF([2]财务取数接口!$G$456=0,"",[2]财务取数接口!$G$456),""))</f>
        <v/>
      </c>
      <c r="G457" s="41" t="str">
        <f aca="false">IF($T$4=0,IF($N457="","",$N457),IFERROR(IF([2]财务取数接口!$H$456=0,"",[2]财务取数接口!$H$456),""))</f>
        <v/>
      </c>
      <c r="H457" s="39" t="str">
        <f aca="false">IF($T$4=0,IF($O457="","",$O457),IFERROR(IF([2]财务取数接口!$I$456=0,"",[2]财务取数接口!$I$456),""))</f>
        <v/>
      </c>
      <c r="I457" s="42"/>
      <c r="J457" s="43"/>
      <c r="K457" s="42"/>
      <c r="L457" s="42"/>
      <c r="M457" s="44"/>
      <c r="N457" s="44"/>
      <c r="O457" s="43"/>
      <c r="P457" s="45" t="n">
        <f aca="false">IF(AND($C457&lt;&gt;"",$C457&lt;&gt;"项目",OR(N($D457)&lt;&gt;0,N($E457)&lt;&gt;0,N($F457)&lt;&gt;0)),1,0)</f>
        <v>0</v>
      </c>
      <c r="Q457" s="45" t="n">
        <f aca="false">N(Q456)+$P457</f>
        <v>5</v>
      </c>
    </row>
    <row r="458" customFormat="false" ht="13.5" hidden="false" customHeight="false" outlineLevel="0" collapsed="false">
      <c r="A458" s="9" t="n">
        <v>457</v>
      </c>
      <c r="B458" s="40" t="str">
        <f aca="false">IF($T$4=0,IF($I458="","",$I458),IFERROR(IF([2]财务取数接口!$B$457=0,"",[2]财务取数接口!$B$457),""))</f>
        <v/>
      </c>
      <c r="C458" s="39" t="str">
        <f aca="false">IF($T$4=0,IF($J458="","",$J458),IFERROR(IF([2]财务取数接口!$C$457=0,"",[2]财务取数接口!$C$457),""))</f>
        <v/>
      </c>
      <c r="D458" s="40" t="str">
        <f aca="false">IF($T$4=0,IF($K458="","",$K458),IFERROR(IF([2]财务取数接口!$D$457=0,"",[2]财务取数接口!$D$457),""))</f>
        <v/>
      </c>
      <c r="E458" s="40" t="str">
        <f aca="false">IF($T$4=0,IF($L458="","",$L458),IFERROR(IF([2]财务取数接口!$E$457=0,"",[2]财务取数接口!$E$457),""))</f>
        <v/>
      </c>
      <c r="F458" s="41" t="str">
        <f aca="false">IF($T$4=0,IF($M458="","",$M458),IFERROR(IF([2]财务取数接口!$G$457=0,"",[2]财务取数接口!$G$457),""))</f>
        <v/>
      </c>
      <c r="G458" s="41" t="str">
        <f aca="false">IF($T$4=0,IF($N458="","",$N458),IFERROR(IF([2]财务取数接口!$H$457=0,"",[2]财务取数接口!$H$457),""))</f>
        <v/>
      </c>
      <c r="H458" s="39" t="str">
        <f aca="false">IF($T$4=0,IF($O458="","",$O458),IFERROR(IF([2]财务取数接口!$I$457=0,"",[2]财务取数接口!$I$457),""))</f>
        <v/>
      </c>
      <c r="I458" s="42"/>
      <c r="J458" s="43"/>
      <c r="K458" s="42"/>
      <c r="L458" s="42"/>
      <c r="M458" s="44"/>
      <c r="N458" s="44"/>
      <c r="O458" s="43"/>
      <c r="P458" s="45" t="n">
        <f aca="false">IF(AND($C458&lt;&gt;"",$C458&lt;&gt;"项目",OR(N($D458)&lt;&gt;0,N($E458)&lt;&gt;0,N($F458)&lt;&gt;0)),1,0)</f>
        <v>0</v>
      </c>
      <c r="Q458" s="45" t="n">
        <f aca="false">N(Q457)+$P458</f>
        <v>5</v>
      </c>
    </row>
    <row r="459" customFormat="false" ht="13.5" hidden="false" customHeight="false" outlineLevel="0" collapsed="false">
      <c r="A459" s="9" t="n">
        <v>458</v>
      </c>
      <c r="B459" s="40" t="str">
        <f aca="false">IF($T$4=0,IF($I459="","",$I459),IFERROR(IF([2]财务取数接口!$B$458=0,"",[2]财务取数接口!$B$458),""))</f>
        <v/>
      </c>
      <c r="C459" s="39" t="str">
        <f aca="false">IF($T$4=0,IF($J459="","",$J459),IFERROR(IF([2]财务取数接口!$C$458=0,"",[2]财务取数接口!$C$458),""))</f>
        <v/>
      </c>
      <c r="D459" s="40" t="str">
        <f aca="false">IF($T$4=0,IF($K459="","",$K459),IFERROR(IF([2]财务取数接口!$D$458=0,"",[2]财务取数接口!$D$458),""))</f>
        <v/>
      </c>
      <c r="E459" s="40" t="str">
        <f aca="false">IF($T$4=0,IF($L459="","",$L459),IFERROR(IF([2]财务取数接口!$E$458=0,"",[2]财务取数接口!$E$458),""))</f>
        <v/>
      </c>
      <c r="F459" s="41" t="str">
        <f aca="false">IF($T$4=0,IF($M459="","",$M459),IFERROR(IF([2]财务取数接口!$G$458=0,"",[2]财务取数接口!$G$458),""))</f>
        <v/>
      </c>
      <c r="G459" s="41" t="str">
        <f aca="false">IF($T$4=0,IF($N459="","",$N459),IFERROR(IF([2]财务取数接口!$H$458=0,"",[2]财务取数接口!$H$458),""))</f>
        <v/>
      </c>
      <c r="H459" s="39" t="str">
        <f aca="false">IF($T$4=0,IF($O459="","",$O459),IFERROR(IF([2]财务取数接口!$I$458=0,"",[2]财务取数接口!$I$458),""))</f>
        <v/>
      </c>
      <c r="I459" s="42"/>
      <c r="J459" s="43"/>
      <c r="K459" s="42"/>
      <c r="L459" s="42"/>
      <c r="M459" s="44"/>
      <c r="N459" s="44"/>
      <c r="O459" s="43"/>
      <c r="P459" s="45" t="n">
        <f aca="false">IF(AND($C459&lt;&gt;"",$C459&lt;&gt;"项目",OR(N($D459)&lt;&gt;0,N($E459)&lt;&gt;0,N($F459)&lt;&gt;0)),1,0)</f>
        <v>0</v>
      </c>
      <c r="Q459" s="45" t="n">
        <f aca="false">N(Q458)+$P459</f>
        <v>5</v>
      </c>
    </row>
    <row r="460" customFormat="false" ht="13.5" hidden="false" customHeight="false" outlineLevel="0" collapsed="false">
      <c r="A460" s="9" t="n">
        <v>459</v>
      </c>
      <c r="B460" s="40" t="str">
        <f aca="false">IF($T$4=0,IF($I460="","",$I460),IFERROR(IF([2]财务取数接口!$B$459=0,"",[2]财务取数接口!$B$459),""))</f>
        <v/>
      </c>
      <c r="C460" s="39" t="str">
        <f aca="false">IF($T$4=0,IF($J460="","",$J460),IFERROR(IF([2]财务取数接口!$C$459=0,"",[2]财务取数接口!$C$459),""))</f>
        <v/>
      </c>
      <c r="D460" s="40" t="str">
        <f aca="false">IF($T$4=0,IF($K460="","",$K460),IFERROR(IF([2]财务取数接口!$D$459=0,"",[2]财务取数接口!$D$459),""))</f>
        <v/>
      </c>
      <c r="E460" s="40" t="str">
        <f aca="false">IF($T$4=0,IF($L460="","",$L460),IFERROR(IF([2]财务取数接口!$E$459=0,"",[2]财务取数接口!$E$459),""))</f>
        <v/>
      </c>
      <c r="F460" s="41" t="str">
        <f aca="false">IF($T$4=0,IF($M460="","",$M460),IFERROR(IF([2]财务取数接口!$G$459=0,"",[2]财务取数接口!$G$459),""))</f>
        <v/>
      </c>
      <c r="G460" s="41" t="str">
        <f aca="false">IF($T$4=0,IF($N460="","",$N460),IFERROR(IF([2]财务取数接口!$H$459=0,"",[2]财务取数接口!$H$459),""))</f>
        <v/>
      </c>
      <c r="H460" s="39" t="str">
        <f aca="false">IF($T$4=0,IF($O460="","",$O460),IFERROR(IF([2]财务取数接口!$I$459=0,"",[2]财务取数接口!$I$459),""))</f>
        <v/>
      </c>
      <c r="I460" s="42"/>
      <c r="J460" s="43"/>
      <c r="K460" s="42"/>
      <c r="L460" s="42"/>
      <c r="M460" s="44"/>
      <c r="N460" s="44"/>
      <c r="O460" s="43"/>
      <c r="P460" s="45" t="n">
        <f aca="false">IF(AND($C460&lt;&gt;"",$C460&lt;&gt;"项目",OR(N($D460)&lt;&gt;0,N($E460)&lt;&gt;0,N($F460)&lt;&gt;0)),1,0)</f>
        <v>0</v>
      </c>
      <c r="Q460" s="45" t="n">
        <f aca="false">N(Q459)+$P460</f>
        <v>5</v>
      </c>
    </row>
  </sheetData>
  <mergeCells count="6">
    <mergeCell ref="A1:Q1"/>
    <mergeCell ref="A2:Q2"/>
    <mergeCell ref="A3:H3"/>
    <mergeCell ref="I3:O3"/>
    <mergeCell ref="P3:Q3"/>
    <mergeCell ref="S6:T9"/>
  </mergeCells>
  <conditionalFormatting sqref="A2">
    <cfRule type="expression" priority="2" aboveAverage="0" equalAverage="0" bottom="0" percent="0" rank="0" text="" dxfId="0">
      <formula>$T$4=0</formula>
    </cfRule>
  </conditionalFormatting>
  <conditionalFormatting sqref="S6">
    <cfRule type="expression" priority="3" aboveAverage="0" equalAverage="0" bottom="0" percent="0" rank="0" text="" dxfId="0">
      <formula>$T$4=0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false"/>
  </sheetPr>
  <dimension ref="A1:V304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F11" activeCellId="0" sqref="F1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7" min="10" style="0" width="12"/>
    <col collapsed="false" customWidth="true" hidden="false" outlineLevel="0" max="19" min="18" style="0" width="5"/>
    <col collapsed="false" customWidth="true" hidden="false" outlineLevel="0" max="20" min="20" style="0" width="2"/>
    <col collapsed="false" customWidth="true" hidden="false" outlineLevel="0" max="21" min="21" style="0" width="13"/>
    <col collapsed="false" customWidth="true" hidden="false" outlineLevel="0" max="22" min="22" style="0" width="46"/>
  </cols>
  <sheetData>
    <row r="1" customFormat="false" ht="30" hidden="false" customHeight="true" outlineLevel="0" collapsed="false">
      <c r="A1" s="31" t="s">
        <v>187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U1" s="47" t="s">
        <v>161</v>
      </c>
      <c r="V1" s="48" t="n">
        <f aca="false">MAX($S$5:$S$304)</f>
        <v>22</v>
      </c>
    </row>
    <row r="2" customFormat="false" ht="13.5" hidden="false" customHeight="false" outlineLevel="0" collapsed="false">
      <c r="A2" s="49" t="str">
        <f aca="false">IF($V$4=1,"✔ 链接正常，已自动取到 "&amp;$V$1&amp;" 行　｜　本表 1:1 对应《01 水果进销存台账》的【入库吨位汇总】第 4～303 行；筐数已按货权属性拆成「周转打冷」与「仓储加工」两列","★★ 链接没接上！当前取数来源："&amp;$V$5&amp;"　→ 见 V6 修复说明")</f>
        <v>✔ 链接正常，已自动取到 22 行　｜　本表 1:1 对应《01 水果进销存台账》的【入库吨位汇总】第 4～303 行；筐数已按货权属性拆成「周转打冷」与「仓储加工」两列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U2" s="47" t="s">
        <v>162</v>
      </c>
      <c r="V2" s="48" t="str">
        <f aca="false">IFERROR(IF([1]入库吨位汇总!$B$4=0,"未更新",[1]入库吨位汇总!$B$4),"断开")</f>
        <v>聂新平</v>
      </c>
    </row>
    <row r="3" customFormat="false" ht="19.5" hidden="false" customHeight="true" outlineLevel="0" collapsed="false">
      <c r="A3" s="4" t="s">
        <v>188</v>
      </c>
      <c r="B3" s="4"/>
      <c r="C3" s="4"/>
      <c r="D3" s="4"/>
      <c r="E3" s="4"/>
      <c r="F3" s="4"/>
      <c r="G3" s="4"/>
      <c r="H3" s="4"/>
      <c r="I3" s="4"/>
      <c r="J3" s="50" t="s">
        <v>164</v>
      </c>
      <c r="K3" s="50"/>
      <c r="L3" s="50"/>
      <c r="M3" s="50"/>
      <c r="N3" s="50"/>
      <c r="O3" s="50"/>
      <c r="P3" s="50"/>
      <c r="Q3" s="50"/>
      <c r="R3" s="36" t="s">
        <v>165</v>
      </c>
      <c r="S3" s="36"/>
      <c r="U3" s="47" t="s">
        <v>166</v>
      </c>
      <c r="V3" s="48" t="n">
        <f aca="false">COUNTIF($J$5:$J$304,"?*")</f>
        <v>0</v>
      </c>
    </row>
    <row r="4" customFormat="false" ht="30" hidden="false" customHeight="true" outlineLevel="0" collapsed="false">
      <c r="A4" s="37" t="s">
        <v>167</v>
      </c>
      <c r="B4" s="37" t="s">
        <v>189</v>
      </c>
      <c r="C4" s="37" t="s">
        <v>190</v>
      </c>
      <c r="D4" s="37" t="s">
        <v>191</v>
      </c>
      <c r="E4" s="37" t="s">
        <v>192</v>
      </c>
      <c r="F4" s="37" t="s">
        <v>193</v>
      </c>
      <c r="G4" s="37" t="s">
        <v>194</v>
      </c>
      <c r="H4" s="37" t="s">
        <v>195</v>
      </c>
      <c r="I4" s="37" t="s">
        <v>196</v>
      </c>
      <c r="J4" s="37" t="s">
        <v>197</v>
      </c>
      <c r="K4" s="37" t="s">
        <v>198</v>
      </c>
      <c r="L4" s="37" t="s">
        <v>199</v>
      </c>
      <c r="M4" s="37" t="s">
        <v>200</v>
      </c>
      <c r="N4" s="37" t="s">
        <v>201</v>
      </c>
      <c r="O4" s="37" t="s">
        <v>202</v>
      </c>
      <c r="P4" s="37" t="s">
        <v>203</v>
      </c>
      <c r="Q4" s="37" t="s">
        <v>204</v>
      </c>
      <c r="R4" s="37" t="s">
        <v>182</v>
      </c>
      <c r="S4" s="37" t="s">
        <v>183</v>
      </c>
      <c r="U4" s="47" t="s">
        <v>184</v>
      </c>
      <c r="V4" s="48" t="n">
        <f aca="false">IF(OR($V$2="断开",$V$2="未更新"),0,1)</f>
        <v>1</v>
      </c>
    </row>
    <row r="5" customFormat="false" ht="13.5" hidden="false" customHeight="false" outlineLevel="0" collapsed="false">
      <c r="A5" s="9" t="n">
        <v>4</v>
      </c>
      <c r="B5" s="39" t="str">
        <f aca="false">IF($V$4=0,IF($J5="","",$J5),IFERROR(IF([1]入库吨位汇总!$B$4=0,"",[1]入库吨位汇总!$B$4),""))</f>
        <v>聂新平</v>
      </c>
      <c r="C5" s="39" t="str">
        <f aca="false">IF($V$4=0,IF($K5="","",$K5),IFERROR(IF([1]入库吨位汇总!$C$4=0,"",[1]入库吨位汇总!$C$4),""))</f>
        <v>苹果</v>
      </c>
      <c r="D5" s="51" t="n">
        <f aca="false">IF($V$4=0,IF($L5="","",$L5),IFERROR(IF([1]入库吨位汇总!$D$4=0,"",[1]入库吨位汇总!$D$4),""))</f>
        <v>1729</v>
      </c>
      <c r="E5" s="51" t="str">
        <f aca="false">IF($V$4=0,IF($M5="","",$M5),IFERROR(IF([1]入库吨位汇总!$E$4=0,"",[1]入库吨位汇总!$E$4),""))</f>
        <v/>
      </c>
      <c r="F5" s="41" t="n">
        <f aca="false">IF($V$4=0,IF($N5="","",$N5),IFERROR(IF([1]入库吨位汇总!$K$4=0,"",[1]入库吨位汇总!$K$4),""))</f>
        <v>37692.2</v>
      </c>
      <c r="G5" s="52" t="n">
        <f aca="false">IF($V$4=0,IF($O5="","",$O5),IFERROR(IF([1]入库吨位汇总!$L$4=0,"",[1]入库吨位汇总!$L$4),""))</f>
        <v>37.692</v>
      </c>
      <c r="H5" s="41" t="n">
        <f aca="false">IF($V$4=0,IF($P5="","",$P5),IFERROR(IF([1]入库吨位汇总!$H$4=0,"",[1]入库吨位汇总!$H$4),""))</f>
        <v>37692.2</v>
      </c>
      <c r="I5" s="41" t="str">
        <f aca="false">IF($V$4=0,IF($Q5="","",$Q5),IFERROR(IF([1]入库吨位汇总!$I$4=0,"",[1]入库吨位汇总!$I$4),""))</f>
        <v/>
      </c>
      <c r="J5" s="10"/>
      <c r="K5" s="10"/>
      <c r="L5" s="53"/>
      <c r="M5" s="53"/>
      <c r="N5" s="54"/>
      <c r="O5" s="54"/>
      <c r="P5" s="54"/>
      <c r="Q5" s="54"/>
      <c r="R5" s="55" t="n">
        <f aca="false">IF(AND($B5&lt;&gt;"",$C5&lt;&gt;""),1,0)</f>
        <v>1</v>
      </c>
      <c r="S5" s="55" t="n">
        <f aca="false">N(S4)+$R5</f>
        <v>1</v>
      </c>
      <c r="U5" s="47" t="s">
        <v>185</v>
      </c>
      <c r="V5" s="48" t="str">
        <f aca="false">IF($V$4=1,"自动（跨文件链接）",IF($V$3&gt;0,"应急备份","无数据"))</f>
        <v>自动（跨文件链接）</v>
      </c>
    </row>
    <row r="6" customFormat="false" ht="22.5" hidden="false" customHeight="true" outlineLevel="0" collapsed="false">
      <c r="A6" s="9" t="n">
        <v>5</v>
      </c>
      <c r="B6" s="39" t="str">
        <f aca="false">IF($V$4=0,IF($J6="","",$J6),IFERROR(IF([1]入库吨位汇总!$B$5=0,"",[1]入库吨位汇总!$B$5),""))</f>
        <v>王照雪</v>
      </c>
      <c r="C6" s="39" t="str">
        <f aca="false">IF($V$4=0,IF($K6="","",$K6),IFERROR(IF([1]入库吨位汇总!$C$5=0,"",[1]入库吨位汇总!$C$5),""))</f>
        <v>苹果</v>
      </c>
      <c r="D6" s="51" t="n">
        <f aca="false">IF($V$4=0,IF($L6="","",$L6),IFERROR(IF([1]入库吨位汇总!$D$5=0,"",[1]入库吨位汇总!$D$5),""))</f>
        <v>2385</v>
      </c>
      <c r="E6" s="51" t="str">
        <f aca="false">IF($V$4=0,IF($M6="","",$M6),IFERROR(IF([1]入库吨位汇总!$E$5=0,"",[1]入库吨位汇总!$E$5),""))</f>
        <v/>
      </c>
      <c r="F6" s="41" t="n">
        <f aca="false">IF($V$4=0,IF($N6="","",$N6),IFERROR(IF([1]入库吨位汇总!$K$5=0,"",[1]入库吨位汇总!$K$5),""))</f>
        <v>41829.5</v>
      </c>
      <c r="G6" s="52" t="n">
        <f aca="false">IF($V$4=0,IF($O6="","",$O6),IFERROR(IF([1]入库吨位汇总!$L$5=0,"",[1]入库吨位汇总!$L$5),""))</f>
        <v>41.83</v>
      </c>
      <c r="H6" s="41" t="n">
        <f aca="false">IF($V$4=0,IF($P6="","",$P6),IFERROR(IF([1]入库吨位汇总!$H$5=0,"",[1]入库吨位汇总!$H$5),""))</f>
        <v>41829.5</v>
      </c>
      <c r="I6" s="41" t="str">
        <f aca="false">IF($V$4=0,IF($Q6="","",$Q6),IFERROR(IF([1]入库吨位汇总!$I$5=0,"",[1]入库吨位汇总!$I$5),""))</f>
        <v/>
      </c>
      <c r="J6" s="10"/>
      <c r="K6" s="10"/>
      <c r="L6" s="53"/>
      <c r="M6" s="53"/>
      <c r="N6" s="54"/>
      <c r="O6" s="54"/>
      <c r="P6" s="54"/>
      <c r="Q6" s="54"/>
      <c r="R6" s="55" t="n">
        <f aca="false">IF(AND($B6&lt;&gt;"",$C6&lt;&gt;""),1,0)</f>
        <v>1</v>
      </c>
      <c r="S6" s="55" t="n">
        <f aca="false">N(S5)+$R6</f>
        <v>2</v>
      </c>
      <c r="U6" s="47" t="s">
        <v>205</v>
      </c>
      <c r="V6" s="56" t="str">
        <f aca="false">IF($V$2="断开","✘ 链接已断开。修复：菜单【数据】→【编辑链接】→【更改源】，重新指向《01_水果进销存台账模板.xlsx》",IF($V$2="未更新","★ 链接还没更新。修复：菜单【数据】→【编辑链接】→【立即更新值】","✔ 链接正常。建议每月底把 B5:I304 复制→选择性粘贴【数值】到 J5 作为兜底"))</f>
        <v>✔ 链接正常。建议每月底把 B5:I304 复制→选择性粘贴【数值】到 J5 作为兜底</v>
      </c>
    </row>
    <row r="7" customFormat="false" ht="13.5" hidden="false" customHeight="false" outlineLevel="0" collapsed="false">
      <c r="A7" s="9" t="n">
        <v>6</v>
      </c>
      <c r="B7" s="39" t="str">
        <f aca="false">IF($V$4=0,IF($J7="","",$J7),IFERROR(IF([1]入库吨位汇总!$B$6=0,"",[1]入库吨位汇总!$B$6),""))</f>
        <v>伍元虎</v>
      </c>
      <c r="C7" s="39" t="str">
        <f aca="false">IF($V$4=0,IF($K7="","",$K7),IFERROR(IF([1]入库吨位汇总!$C$6=0,"",[1]入库吨位汇总!$C$6),""))</f>
        <v>苹果</v>
      </c>
      <c r="D7" s="51" t="n">
        <f aca="false">IF($V$4=0,IF($L7="","",$L7),IFERROR(IF([1]入库吨位汇总!$D$6=0,"",[1]入库吨位汇总!$D$6),""))</f>
        <v>87</v>
      </c>
      <c r="E7" s="51" t="str">
        <f aca="false">IF($V$4=0,IF($M7="","",$M7),IFERROR(IF([1]入库吨位汇总!$E$6=0,"",[1]入库吨位汇总!$E$6),""))</f>
        <v/>
      </c>
      <c r="F7" s="41" t="n">
        <f aca="false">IF($V$4=0,IF($N7="","",$N7),IFERROR(IF([1]入库吨位汇总!$K$6=0,"",[1]入库吨位汇总!$K$6),""))</f>
        <v>1957.5</v>
      </c>
      <c r="G7" s="52" t="n">
        <f aca="false">IF($V$4=0,IF($O7="","",$O7),IFERROR(IF([1]入库吨位汇总!$L$6=0,"",[1]入库吨位汇总!$L$6),""))</f>
        <v>1.958</v>
      </c>
      <c r="H7" s="41" t="n">
        <f aca="false">IF($V$4=0,IF($P7="","",$P7),IFERROR(IF([1]入库吨位汇总!$H$6=0,"",[1]入库吨位汇总!$H$6),""))</f>
        <v>1957.5</v>
      </c>
      <c r="I7" s="41" t="str">
        <f aca="false">IF($V$4=0,IF($Q7="","",$Q7),IFERROR(IF([1]入库吨位汇总!$I$6=0,"",[1]入库吨位汇总!$I$6),""))</f>
        <v/>
      </c>
      <c r="J7" s="10"/>
      <c r="K7" s="10"/>
      <c r="L7" s="53"/>
      <c r="M7" s="53"/>
      <c r="N7" s="54"/>
      <c r="O7" s="54"/>
      <c r="P7" s="54"/>
      <c r="Q7" s="54"/>
      <c r="R7" s="55" t="n">
        <f aca="false">IF(AND($B7&lt;&gt;"",$C7&lt;&gt;""),1,0)</f>
        <v>1</v>
      </c>
      <c r="S7" s="55" t="n">
        <f aca="false">N(S6)+$R7</f>
        <v>3</v>
      </c>
    </row>
    <row r="8" customFormat="false" ht="13.5" hidden="false" customHeight="false" outlineLevel="0" collapsed="false">
      <c r="A8" s="9" t="n">
        <v>7</v>
      </c>
      <c r="B8" s="39" t="str">
        <f aca="false">IF($V$4=0,IF($J8="","",$J8),IFERROR(IF([1]入库吨位汇总!$B$7=0,"",[1]入库吨位汇总!$B$7),""))</f>
        <v>王照雪</v>
      </c>
      <c r="C8" s="39" t="str">
        <f aca="false">IF($V$4=0,IF($K8="","",$K8),IFERROR(IF([1]入库吨位汇总!$C$7=0,"",[1]入库吨位汇总!$C$7),""))</f>
        <v>李子</v>
      </c>
      <c r="D8" s="51" t="n">
        <f aca="false">IF($V$4=0,IF($L8="","",$L8),IFERROR(IF([1]入库吨位汇总!$D$7=0,"",[1]入库吨位汇总!$D$7),""))</f>
        <v>422</v>
      </c>
      <c r="E8" s="51" t="str">
        <f aca="false">IF($V$4=0,IF($M8="","",$M8),IFERROR(IF([1]入库吨位汇总!$E$7=0,"",[1]入库吨位汇总!$E$7),""))</f>
        <v/>
      </c>
      <c r="F8" s="41" t="n">
        <f aca="false">IF($V$4=0,IF($N8="","",$N8),IFERROR(IF([1]入库吨位汇总!$K$7=0,"",[1]入库吨位汇总!$K$7),""))</f>
        <v>6878.6</v>
      </c>
      <c r="G8" s="52" t="n">
        <f aca="false">IF($V$4=0,IF($O8="","",$O8),IFERROR(IF([1]入库吨位汇总!$L$7=0,"",[1]入库吨位汇总!$L$7),""))</f>
        <v>6.879</v>
      </c>
      <c r="H8" s="41" t="n">
        <f aca="false">IF($V$4=0,IF($P8="","",$P8),IFERROR(IF([1]入库吨位汇总!$H$7=0,"",[1]入库吨位汇总!$H$7),""))</f>
        <v>6878.6</v>
      </c>
      <c r="I8" s="41" t="str">
        <f aca="false">IF($V$4=0,IF($Q8="","",$Q8),IFERROR(IF([1]入库吨位汇总!$I$7=0,"",[1]入库吨位汇总!$I$7),""))</f>
        <v/>
      </c>
      <c r="J8" s="10"/>
      <c r="K8" s="10"/>
      <c r="L8" s="53"/>
      <c r="M8" s="53"/>
      <c r="N8" s="54"/>
      <c r="O8" s="54"/>
      <c r="P8" s="54"/>
      <c r="Q8" s="54"/>
      <c r="R8" s="55" t="n">
        <f aca="false">IF(AND($B8&lt;&gt;"",$C8&lt;&gt;""),1,0)</f>
        <v>1</v>
      </c>
      <c r="S8" s="55" t="n">
        <f aca="false">N(S7)+$R8</f>
        <v>4</v>
      </c>
    </row>
    <row r="9" customFormat="false" ht="13.5" hidden="false" customHeight="false" outlineLevel="0" collapsed="false">
      <c r="A9" s="9" t="n">
        <v>8</v>
      </c>
      <c r="B9" s="39" t="str">
        <f aca="false">IF($V$4=0,IF($J9="","",$J9),IFERROR(IF([1]入库吨位汇总!$B$8=0,"",[1]入库吨位汇总!$B$8),""))</f>
        <v>马锦祥</v>
      </c>
      <c r="C9" s="39" t="str">
        <f aca="false">IF($V$4=0,IF($K9="","",$K9),IFERROR(IF([1]入库吨位汇总!$C$8=0,"",[1]入库吨位汇总!$C$8),""))</f>
        <v>苹果</v>
      </c>
      <c r="D9" s="51" t="n">
        <f aca="false">IF($V$4=0,IF($L9="","",$L9),IFERROR(IF([1]入库吨位汇总!$D$8=0,"",[1]入库吨位汇总!$D$8),""))</f>
        <v>68</v>
      </c>
      <c r="E9" s="51" t="str">
        <f aca="false">IF($V$4=0,IF($M9="","",$M9),IFERROR(IF([1]入库吨位汇总!$E$8=0,"",[1]入库吨位汇总!$E$8),""))</f>
        <v/>
      </c>
      <c r="F9" s="41" t="n">
        <f aca="false">IF($V$4=0,IF($N9="","",$N9),IFERROR(IF([1]入库吨位汇总!$K$8=0,"",[1]入库吨位汇总!$K$8),""))</f>
        <v>204</v>
      </c>
      <c r="G9" s="52" t="n">
        <f aca="false">IF($V$4=0,IF($O9="","",$O9),IFERROR(IF([1]入库吨位汇总!$L$8=0,"",[1]入库吨位汇总!$L$8),""))</f>
        <v>0.204</v>
      </c>
      <c r="H9" s="41" t="n">
        <f aca="false">IF($V$4=0,IF($P9="","",$P9),IFERROR(IF([1]入库吨位汇总!$H$8=0,"",[1]入库吨位汇总!$H$8),""))</f>
        <v>204</v>
      </c>
      <c r="I9" s="41" t="str">
        <f aca="false">IF($V$4=0,IF($Q9="","",$Q9),IFERROR(IF([1]入库吨位汇总!$I$8=0,"",[1]入库吨位汇总!$I$8),""))</f>
        <v/>
      </c>
      <c r="J9" s="10"/>
      <c r="K9" s="10"/>
      <c r="L9" s="53"/>
      <c r="M9" s="53"/>
      <c r="N9" s="54"/>
      <c r="O9" s="54"/>
      <c r="P9" s="54"/>
      <c r="Q9" s="54"/>
      <c r="R9" s="55" t="n">
        <f aca="false">IF(AND($B9&lt;&gt;"",$C9&lt;&gt;""),1,0)</f>
        <v>1</v>
      </c>
      <c r="S9" s="55" t="n">
        <f aca="false">N(S8)+$R9</f>
        <v>5</v>
      </c>
    </row>
    <row r="10" customFormat="false" ht="13.5" hidden="false" customHeight="false" outlineLevel="0" collapsed="false">
      <c r="A10" s="9" t="n">
        <v>9</v>
      </c>
      <c r="B10" s="39" t="str">
        <f aca="false">IF($V$4=0,IF($J10="","",$J10),IFERROR(IF([1]入库吨位汇总!$B$9=0,"",[1]入库吨位汇总!$B$9),""))</f>
        <v>聂新平</v>
      </c>
      <c r="C10" s="39" t="str">
        <f aca="false">IF($V$4=0,IF($K10="","",$K10),IFERROR(IF([1]入库吨位汇总!$C$9=0,"",[1]入库吨位汇总!$C$9),""))</f>
        <v>西梅</v>
      </c>
      <c r="D10" s="51" t="n">
        <f aca="false">IF($V$4=0,IF($L10="","",$L10),IFERROR(IF([1]入库吨位汇总!$D$9=0,"",[1]入库吨位汇总!$D$9),""))</f>
        <v>9692</v>
      </c>
      <c r="E10" s="51" t="str">
        <f aca="false">IF($V$4=0,IF($M10="","",$M10),IFERROR(IF([1]入库吨位汇总!$E$9=0,"",[1]入库吨位汇总!$E$9),""))</f>
        <v/>
      </c>
      <c r="F10" s="41" t="n">
        <f aca="false">IF($V$4=0,IF($N10="","",$N10),IFERROR(IF([1]入库吨位汇总!$K$9=0,"",[1]入库吨位汇总!$K$9),""))</f>
        <v>35336</v>
      </c>
      <c r="G10" s="52" t="n">
        <f aca="false">IF($V$4=0,IF($O10="","",$O10),IFERROR(IF([1]入库吨位汇总!$L$9=0,"",[1]入库吨位汇总!$L$9),""))</f>
        <v>35.336</v>
      </c>
      <c r="H10" s="41" t="n">
        <f aca="false">IF($V$4=0,IF($P10="","",$P10),IFERROR(IF([1]入库吨位汇总!$H$9=0,"",[1]入库吨位汇总!$H$9),""))</f>
        <v>35336</v>
      </c>
      <c r="I10" s="41" t="str">
        <f aca="false">IF($V$4=0,IF($Q10="","",$Q10),IFERROR(IF([1]入库吨位汇总!$I$9=0,"",[1]入库吨位汇总!$I$9),""))</f>
        <v/>
      </c>
      <c r="J10" s="10"/>
      <c r="K10" s="10"/>
      <c r="L10" s="53"/>
      <c r="M10" s="53"/>
      <c r="N10" s="54"/>
      <c r="O10" s="54"/>
      <c r="P10" s="54"/>
      <c r="Q10" s="54"/>
      <c r="R10" s="55" t="n">
        <f aca="false">IF(AND($B10&lt;&gt;"",$C10&lt;&gt;""),1,0)</f>
        <v>1</v>
      </c>
      <c r="S10" s="55" t="n">
        <f aca="false">N(S9)+$R10</f>
        <v>6</v>
      </c>
    </row>
    <row r="11" customFormat="false" ht="13.5" hidden="false" customHeight="false" outlineLevel="0" collapsed="false">
      <c r="A11" s="9" t="n">
        <v>10</v>
      </c>
      <c r="B11" s="39" t="str">
        <f aca="false">IF($V$4=0,IF($J11="","",$J11),IFERROR(IF([1]入库吨位汇总!$B$10=0,"",[1]入库吨位汇总!$B$10),""))</f>
        <v>马锦祥</v>
      </c>
      <c r="C11" s="39" t="str">
        <f aca="false">IF($V$4=0,IF($K11="","",$K11),IFERROR(IF([1]入库吨位汇总!$C$10=0,"",[1]入库吨位汇总!$C$10),""))</f>
        <v>香梨</v>
      </c>
      <c r="D11" s="51" t="str">
        <f aca="false">IF($V$4=0,IF($L11="","",$L11),IFERROR(IF([1]入库吨位汇总!$D$10=0,"",[1]入库吨位汇总!$D$10),""))</f>
        <v/>
      </c>
      <c r="E11" s="51" t="n">
        <f aca="false">IF($V$4=0,IF($M11="","",$M11),IFERROR(IF([1]入库吨位汇总!$E$10=0,"",[1]入库吨位汇总!$E$10),""))</f>
        <v>2491</v>
      </c>
      <c r="F11" s="41" t="n">
        <f aca="false">IF($V$4=0,IF($N11="","",$N11),IFERROR(IF([1]入库吨位汇总!$K$10=0,"",[1]入库吨位汇总!$K$10),""))</f>
        <v>47129.3</v>
      </c>
      <c r="G11" s="52" t="n">
        <f aca="false">IF($V$4=0,IF($O11="","",$O11),IFERROR(IF([1]入库吨位汇总!$L$10=0,"",[1]入库吨位汇总!$L$10),""))</f>
        <v>47.129</v>
      </c>
      <c r="H11" s="41" t="str">
        <f aca="false">IF($V$4=0,IF($P11="","",$P11),IFERROR(IF([1]入库吨位汇总!$H$10=0,"",[1]入库吨位汇总!$H$10),""))</f>
        <v/>
      </c>
      <c r="I11" s="41" t="n">
        <f aca="false">IF($V$4=0,IF($Q11="","",$Q11),IFERROR(IF([1]入库吨位汇总!$I$10=0,"",[1]入库吨位汇总!$I$10),""))</f>
        <v>47129.3</v>
      </c>
      <c r="J11" s="10"/>
      <c r="K11" s="10"/>
      <c r="L11" s="53"/>
      <c r="M11" s="53"/>
      <c r="N11" s="54"/>
      <c r="O11" s="54"/>
      <c r="P11" s="54"/>
      <c r="Q11" s="54"/>
      <c r="R11" s="55" t="n">
        <f aca="false">IF(AND($B11&lt;&gt;"",$C11&lt;&gt;""),1,0)</f>
        <v>1</v>
      </c>
      <c r="S11" s="55" t="n">
        <f aca="false">N(S10)+$R11</f>
        <v>7</v>
      </c>
    </row>
    <row r="12" customFormat="false" ht="13.5" hidden="false" customHeight="false" outlineLevel="0" collapsed="false">
      <c r="A12" s="9" t="n">
        <v>11</v>
      </c>
      <c r="B12" s="39" t="str">
        <f aca="false">IF($V$4=0,IF($J12="","",$J12),IFERROR(IF([1]入库吨位汇总!$B$11=0,"",[1]入库吨位汇总!$B$11),""))</f>
        <v>麦麦提</v>
      </c>
      <c r="C12" s="39" t="str">
        <f aca="false">IF($V$4=0,IF($K12="","",$K12),IFERROR(IF([1]入库吨位汇总!$C$11=0,"",[1]入库吨位汇总!$C$11),""))</f>
        <v>香梨</v>
      </c>
      <c r="D12" s="51" t="str">
        <f aca="false">IF($V$4=0,IF($L12="","",$L12),IFERROR(IF([1]入库吨位汇总!$D$11=0,"",[1]入库吨位汇总!$D$11),""))</f>
        <v/>
      </c>
      <c r="E12" s="51" t="n">
        <f aca="false">IF($V$4=0,IF($M12="","",$M12),IFERROR(IF([1]入库吨位汇总!$E$11=0,"",[1]入库吨位汇总!$E$11),""))</f>
        <v>3790</v>
      </c>
      <c r="F12" s="41" t="n">
        <f aca="false">IF($V$4=0,IF($N12="","",$N12),IFERROR(IF([1]入库吨位汇总!$K$11=0,"",[1]入库吨位汇总!$K$11),""))</f>
        <v>73453</v>
      </c>
      <c r="G12" s="52" t="n">
        <f aca="false">IF($V$4=0,IF($O12="","",$O12),IFERROR(IF([1]入库吨位汇总!$L$11=0,"",[1]入库吨位汇总!$L$11),""))</f>
        <v>73.453</v>
      </c>
      <c r="H12" s="41" t="str">
        <f aca="false">IF($V$4=0,IF($P12="","",$P12),IFERROR(IF([1]入库吨位汇总!$H$11=0,"",[1]入库吨位汇总!$H$11),""))</f>
        <v/>
      </c>
      <c r="I12" s="41" t="n">
        <f aca="false">IF($V$4=0,IF($Q12="","",$Q12),IFERROR(IF([1]入库吨位汇总!$I$11=0,"",[1]入库吨位汇总!$I$11),""))</f>
        <v>73453</v>
      </c>
      <c r="J12" s="10"/>
      <c r="K12" s="10"/>
      <c r="L12" s="53"/>
      <c r="M12" s="53"/>
      <c r="N12" s="54"/>
      <c r="O12" s="54"/>
      <c r="P12" s="54"/>
      <c r="Q12" s="54"/>
      <c r="R12" s="55" t="n">
        <f aca="false">IF(AND($B12&lt;&gt;"",$C12&lt;&gt;""),1,0)</f>
        <v>1</v>
      </c>
      <c r="S12" s="55" t="n">
        <f aca="false">N(S11)+$R12</f>
        <v>8</v>
      </c>
    </row>
    <row r="13" customFormat="false" ht="13.5" hidden="false" customHeight="false" outlineLevel="0" collapsed="false">
      <c r="A13" s="9" t="n">
        <v>12</v>
      </c>
      <c r="B13" s="39" t="str">
        <f aca="false">IF($V$4=0,IF($J13="","",$J13),IFERROR(IF([1]入库吨位汇总!$B$12=0,"",[1]入库吨位汇总!$B$12),""))</f>
        <v>吐尔洪</v>
      </c>
      <c r="C13" s="39" t="str">
        <f aca="false">IF($V$4=0,IF($K13="","",$K13),IFERROR(IF([1]入库吨位汇总!$C$12=0,"",[1]入库吨位汇总!$C$12),""))</f>
        <v>香梨</v>
      </c>
      <c r="D13" s="51" t="str">
        <f aca="false">IF($V$4=0,IF($L13="","",$L13),IFERROR(IF([1]入库吨位汇总!$D$12=0,"",[1]入库吨位汇总!$D$12),""))</f>
        <v/>
      </c>
      <c r="E13" s="51" t="n">
        <f aca="false">IF($V$4=0,IF($M13="","",$M13),IFERROR(IF([1]入库吨位汇总!$E$12=0,"",[1]入库吨位汇总!$E$12),""))</f>
        <v>1832</v>
      </c>
      <c r="F13" s="41" t="n">
        <f aca="false">IF($V$4=0,IF($N13="","",$N13),IFERROR(IF([1]入库吨位汇总!$K$12=0,"",[1]入库吨位汇总!$K$12),""))</f>
        <v>36145.6</v>
      </c>
      <c r="G13" s="52" t="n">
        <f aca="false">IF($V$4=0,IF($O13="","",$O13),IFERROR(IF([1]入库吨位汇总!$L$12=0,"",[1]入库吨位汇总!$L$12),""))</f>
        <v>36.146</v>
      </c>
      <c r="H13" s="41" t="str">
        <f aca="false">IF($V$4=0,IF($P13="","",$P13),IFERROR(IF([1]入库吨位汇总!$H$12=0,"",[1]入库吨位汇总!$H$12),""))</f>
        <v/>
      </c>
      <c r="I13" s="41" t="n">
        <f aca="false">IF($V$4=0,IF($Q13="","",$Q13),IFERROR(IF([1]入库吨位汇总!$I$12=0,"",[1]入库吨位汇总!$I$12),""))</f>
        <v>36145.6</v>
      </c>
      <c r="J13" s="10"/>
      <c r="K13" s="10"/>
      <c r="L13" s="53"/>
      <c r="M13" s="53"/>
      <c r="N13" s="54"/>
      <c r="O13" s="54"/>
      <c r="P13" s="54"/>
      <c r="Q13" s="54"/>
      <c r="R13" s="55" t="n">
        <f aca="false">IF(AND($B13&lt;&gt;"",$C13&lt;&gt;""),1,0)</f>
        <v>1</v>
      </c>
      <c r="S13" s="55" t="n">
        <f aca="false">N(S12)+$R13</f>
        <v>9</v>
      </c>
    </row>
    <row r="14" customFormat="false" ht="13.5" hidden="false" customHeight="false" outlineLevel="0" collapsed="false">
      <c r="A14" s="9" t="n">
        <v>13</v>
      </c>
      <c r="B14" s="39" t="str">
        <f aca="false">IF($V$4=0,IF($J14="","",$J14),IFERROR(IF([1]入库吨位汇总!$B$13=0,"",[1]入库吨位汇总!$B$13),""))</f>
        <v>热合曼</v>
      </c>
      <c r="C14" s="39" t="str">
        <f aca="false">IF($V$4=0,IF($K14="","",$K14),IFERROR(IF([1]入库吨位汇总!$C$13=0,"",[1]入库吨位汇总!$C$13),""))</f>
        <v>香梨</v>
      </c>
      <c r="D14" s="51" t="str">
        <f aca="false">IF($V$4=0,IF($L14="","",$L14),IFERROR(IF([1]入库吨位汇总!$D$13=0,"",[1]入库吨位汇总!$D$13),""))</f>
        <v/>
      </c>
      <c r="E14" s="51" t="n">
        <f aca="false">IF($V$4=0,IF($M14="","",$M14),IFERROR(IF([1]入库吨位汇总!$E$13=0,"",[1]入库吨位汇总!$E$13),""))</f>
        <v>1521</v>
      </c>
      <c r="F14" s="41" t="n">
        <f aca="false">IF($V$4=0,IF($N14="","",$N14),IFERROR(IF([1]入库吨位汇总!$K$13=0,"",[1]入库吨位汇总!$K$13),""))</f>
        <v>29445.3</v>
      </c>
      <c r="G14" s="52" t="n">
        <f aca="false">IF($V$4=0,IF($O14="","",$O14),IFERROR(IF([1]入库吨位汇总!$L$13=0,"",[1]入库吨位汇总!$L$13),""))</f>
        <v>29.445</v>
      </c>
      <c r="H14" s="41" t="str">
        <f aca="false">IF($V$4=0,IF($P14="","",$P14),IFERROR(IF([1]入库吨位汇总!$H$13=0,"",[1]入库吨位汇总!$H$13),""))</f>
        <v/>
      </c>
      <c r="I14" s="41" t="n">
        <f aca="false">IF($V$4=0,IF($Q14="","",$Q14),IFERROR(IF([1]入库吨位汇总!$I$13=0,"",[1]入库吨位汇总!$I$13),""))</f>
        <v>29445.3</v>
      </c>
      <c r="J14" s="10"/>
      <c r="K14" s="10"/>
      <c r="L14" s="53"/>
      <c r="M14" s="53"/>
      <c r="N14" s="54"/>
      <c r="O14" s="54"/>
      <c r="P14" s="54"/>
      <c r="Q14" s="54"/>
      <c r="R14" s="55" t="n">
        <f aca="false">IF(AND($B14&lt;&gt;"",$C14&lt;&gt;""),1,0)</f>
        <v>1</v>
      </c>
      <c r="S14" s="55" t="n">
        <f aca="false">N(S13)+$R14</f>
        <v>10</v>
      </c>
    </row>
    <row r="15" customFormat="false" ht="13.5" hidden="false" customHeight="false" outlineLevel="0" collapsed="false">
      <c r="A15" s="9" t="n">
        <v>14</v>
      </c>
      <c r="B15" s="39" t="str">
        <f aca="false">IF($V$4=0,IF($J15="","",$J15),IFERROR(IF([1]入库吨位汇总!$B$14=0,"",[1]入库吨位汇总!$B$14),""))</f>
        <v>贾建国</v>
      </c>
      <c r="C15" s="39" t="str">
        <f aca="false">IF($V$4=0,IF($K15="","",$K15),IFERROR(IF([1]入库吨位汇总!$C$14=0,"",[1]入库吨位汇总!$C$14),""))</f>
        <v>香梨</v>
      </c>
      <c r="D15" s="51" t="str">
        <f aca="false">IF($V$4=0,IF($L15="","",$L15),IFERROR(IF([1]入库吨位汇总!$D$14=0,"",[1]入库吨位汇总!$D$14),""))</f>
        <v/>
      </c>
      <c r="E15" s="51" t="n">
        <f aca="false">IF($V$4=0,IF($M15="","",$M15),IFERROR(IF([1]入库吨位汇总!$E$14=0,"",[1]入库吨位汇总!$E$14),""))</f>
        <v>1390</v>
      </c>
      <c r="F15" s="41" t="n">
        <f aca="false">IF($V$4=0,IF($N15="","",$N15),IFERROR(IF([1]入库吨位汇总!$K$14=0,"",[1]入库吨位汇总!$K$14),""))</f>
        <v>28596.6</v>
      </c>
      <c r="G15" s="52" t="n">
        <f aca="false">IF($V$4=0,IF($O15="","",$O15),IFERROR(IF([1]入库吨位汇总!$L$14=0,"",[1]入库吨位汇总!$L$14),""))</f>
        <v>28.597</v>
      </c>
      <c r="H15" s="41" t="str">
        <f aca="false">IF($V$4=0,IF($P15="","",$P15),IFERROR(IF([1]入库吨位汇总!$H$14=0,"",[1]入库吨位汇总!$H$14),""))</f>
        <v/>
      </c>
      <c r="I15" s="41" t="n">
        <f aca="false">IF($V$4=0,IF($Q15="","",$Q15),IFERROR(IF([1]入库吨位汇总!$I$14=0,"",[1]入库吨位汇总!$I$14),""))</f>
        <v>28596.6</v>
      </c>
      <c r="J15" s="10"/>
      <c r="K15" s="10"/>
      <c r="L15" s="53"/>
      <c r="M15" s="53"/>
      <c r="N15" s="54"/>
      <c r="O15" s="54"/>
      <c r="P15" s="54"/>
      <c r="Q15" s="54"/>
      <c r="R15" s="55" t="n">
        <f aca="false">IF(AND($B15&lt;&gt;"",$C15&lt;&gt;""),1,0)</f>
        <v>1</v>
      </c>
      <c r="S15" s="55" t="n">
        <f aca="false">N(S14)+$R15</f>
        <v>11</v>
      </c>
    </row>
    <row r="16" customFormat="false" ht="13.5" hidden="false" customHeight="false" outlineLevel="0" collapsed="false">
      <c r="A16" s="9" t="n">
        <v>15</v>
      </c>
      <c r="B16" s="39" t="str">
        <f aca="false">IF($V$4=0,IF($J16="","",$J16),IFERROR(IF([1]入库吨位汇总!$B$15=0,"",[1]入库吨位汇总!$B$15),""))</f>
        <v>王灵云</v>
      </c>
      <c r="C16" s="39" t="str">
        <f aca="false">IF($V$4=0,IF($K16="","",$K16),IFERROR(IF([1]入库吨位汇总!$C$15=0,"",[1]入库吨位汇总!$C$15),""))</f>
        <v>香梨</v>
      </c>
      <c r="D16" s="51" t="n">
        <f aca="false">IF($V$4=0,IF($L16="","",$L16),IFERROR(IF([1]入库吨位汇总!$D$15=0,"",[1]入库吨位汇总!$D$15),""))</f>
        <v>4214</v>
      </c>
      <c r="E16" s="51" t="str">
        <f aca="false">IF($V$4=0,IF($M16="","",$M16),IFERROR(IF([1]入库吨位汇总!$E$15=0,"",[1]入库吨位汇总!$E$15),""))</f>
        <v/>
      </c>
      <c r="F16" s="41" t="n">
        <f aca="false">IF($V$4=0,IF($N16="","",$N16),IFERROR(IF([1]入库吨位汇总!$K$15=0,"",[1]入库吨位汇总!$K$15),""))</f>
        <v>79231.2</v>
      </c>
      <c r="G16" s="52" t="n">
        <f aca="false">IF($V$4=0,IF($O16="","",$O16),IFERROR(IF([1]入库吨位汇总!$L$15=0,"",[1]入库吨位汇总!$L$15),""))</f>
        <v>79.231</v>
      </c>
      <c r="H16" s="41" t="n">
        <f aca="false">IF($V$4=0,IF($P16="","",$P16),IFERROR(IF([1]入库吨位汇总!$H$15=0,"",[1]入库吨位汇总!$H$15),""))</f>
        <v>79231.2</v>
      </c>
      <c r="I16" s="41" t="str">
        <f aca="false">IF($V$4=0,IF($Q16="","",$Q16),IFERROR(IF([1]入库吨位汇总!$I$15=0,"",[1]入库吨位汇总!$I$15),""))</f>
        <v/>
      </c>
      <c r="J16" s="10"/>
      <c r="K16" s="10"/>
      <c r="L16" s="53"/>
      <c r="M16" s="53"/>
      <c r="N16" s="54"/>
      <c r="O16" s="54"/>
      <c r="P16" s="54"/>
      <c r="Q16" s="54"/>
      <c r="R16" s="55" t="n">
        <f aca="false">IF(AND($B16&lt;&gt;"",$C16&lt;&gt;""),1,0)</f>
        <v>1</v>
      </c>
      <c r="S16" s="55" t="n">
        <f aca="false">N(S15)+$R16</f>
        <v>12</v>
      </c>
    </row>
    <row r="17" customFormat="false" ht="13.5" hidden="false" customHeight="false" outlineLevel="0" collapsed="false">
      <c r="A17" s="9" t="n">
        <v>16</v>
      </c>
      <c r="B17" s="39" t="str">
        <f aca="false">IF($V$4=0,IF($J17="","",$J17),IFERROR(IF([1]入库吨位汇总!$B$16=0,"",[1]入库吨位汇总!$B$16),""))</f>
        <v>杨艳玲</v>
      </c>
      <c r="C17" s="39" t="str">
        <f aca="false">IF($V$4=0,IF($K17="","",$K17),IFERROR(IF([1]入库吨位汇总!$C$16=0,"",[1]入库吨位汇总!$C$16),""))</f>
        <v>香梨</v>
      </c>
      <c r="D17" s="51" t="n">
        <f aca="false">IF($V$4=0,IF($L17="","",$L17),IFERROR(IF([1]入库吨位汇总!$D$16=0,"",[1]入库吨位汇总!$D$16),""))</f>
        <v>104</v>
      </c>
      <c r="E17" s="51" t="str">
        <f aca="false">IF($V$4=0,IF($M17="","",$M17),IFERROR(IF([1]入库吨位汇总!$E$16=0,"",[1]入库吨位汇总!$E$16),""))</f>
        <v/>
      </c>
      <c r="F17" s="41" t="n">
        <f aca="false">IF($V$4=0,IF($N17="","",$N17),IFERROR(IF([1]入库吨位汇总!$K$16=0,"",[1]入库吨位汇总!$K$16),""))</f>
        <v>1799.2</v>
      </c>
      <c r="G17" s="52" t="n">
        <f aca="false">IF($V$4=0,IF($O17="","",$O17),IFERROR(IF([1]入库吨位汇总!$L$16=0,"",[1]入库吨位汇总!$L$16),""))</f>
        <v>1.799</v>
      </c>
      <c r="H17" s="41" t="n">
        <f aca="false">IF($V$4=0,IF($P17="","",$P17),IFERROR(IF([1]入库吨位汇总!$H$16=0,"",[1]入库吨位汇总!$H$16),""))</f>
        <v>1799.2</v>
      </c>
      <c r="I17" s="41" t="str">
        <f aca="false">IF($V$4=0,IF($Q17="","",$Q17),IFERROR(IF([1]入库吨位汇总!$I$16=0,"",[1]入库吨位汇总!$I$16),""))</f>
        <v/>
      </c>
      <c r="J17" s="10"/>
      <c r="K17" s="10"/>
      <c r="L17" s="53"/>
      <c r="M17" s="53"/>
      <c r="N17" s="54"/>
      <c r="O17" s="54"/>
      <c r="P17" s="54"/>
      <c r="Q17" s="54"/>
      <c r="R17" s="55" t="n">
        <f aca="false">IF(AND($B17&lt;&gt;"",$C17&lt;&gt;""),1,0)</f>
        <v>1</v>
      </c>
      <c r="S17" s="55" t="n">
        <f aca="false">N(S16)+$R17</f>
        <v>13</v>
      </c>
    </row>
    <row r="18" customFormat="false" ht="13.5" hidden="false" customHeight="false" outlineLevel="0" collapsed="false">
      <c r="A18" s="9" t="n">
        <v>17</v>
      </c>
      <c r="B18" s="39" t="str">
        <f aca="false">IF($V$4=0,IF($J18="","",$J18),IFERROR(IF([1]入库吨位汇总!$B$17=0,"",[1]入库吨位汇总!$B$17),""))</f>
        <v>荆建君</v>
      </c>
      <c r="C18" s="39" t="str">
        <f aca="false">IF($V$4=0,IF($K18="","",$K18),IFERROR(IF([1]入库吨位汇总!$C$17=0,"",[1]入库吨位汇总!$C$17),""))</f>
        <v>香梨</v>
      </c>
      <c r="D18" s="51" t="str">
        <f aca="false">IF($V$4=0,IF($L18="","",$L18),IFERROR(IF([1]入库吨位汇总!$D$17=0,"",[1]入库吨位汇总!$D$17),""))</f>
        <v/>
      </c>
      <c r="E18" s="51" t="n">
        <f aca="false">IF($V$4=0,IF($M18="","",$M18),IFERROR(IF([1]入库吨位汇总!$E$17=0,"",[1]入库吨位汇总!$E$17),""))</f>
        <v>1864</v>
      </c>
      <c r="F18" s="41" t="n">
        <f aca="false">IF($V$4=0,IF($N18="","",$N18),IFERROR(IF([1]入库吨位汇总!$K$17=0,"",[1]入库吨位汇总!$K$17),""))</f>
        <v>34111.2</v>
      </c>
      <c r="G18" s="52" t="n">
        <f aca="false">IF($V$4=0,IF($O18="","",$O18),IFERROR(IF([1]入库吨位汇总!$L$17=0,"",[1]入库吨位汇总!$L$17),""))</f>
        <v>34.111</v>
      </c>
      <c r="H18" s="41" t="str">
        <f aca="false">IF($V$4=0,IF($P18="","",$P18),IFERROR(IF([1]入库吨位汇总!$H$17=0,"",[1]入库吨位汇总!$H$17),""))</f>
        <v/>
      </c>
      <c r="I18" s="41" t="n">
        <f aca="false">IF($V$4=0,IF($Q18="","",$Q18),IFERROR(IF([1]入库吨位汇总!$I$17=0,"",[1]入库吨位汇总!$I$17),""))</f>
        <v>34111.2</v>
      </c>
      <c r="J18" s="10"/>
      <c r="K18" s="10"/>
      <c r="L18" s="53"/>
      <c r="M18" s="53"/>
      <c r="N18" s="54"/>
      <c r="O18" s="54"/>
      <c r="P18" s="54"/>
      <c r="Q18" s="54"/>
      <c r="R18" s="55" t="n">
        <f aca="false">IF(AND($B18&lt;&gt;"",$C18&lt;&gt;""),1,0)</f>
        <v>1</v>
      </c>
      <c r="S18" s="55" t="n">
        <f aca="false">N(S17)+$R18</f>
        <v>14</v>
      </c>
    </row>
    <row r="19" customFormat="false" ht="13.5" hidden="false" customHeight="false" outlineLevel="0" collapsed="false">
      <c r="A19" s="9" t="n">
        <v>18</v>
      </c>
      <c r="B19" s="39" t="str">
        <f aca="false">IF($V$4=0,IF($J19="","",$J19),IFERROR(IF([1]入库吨位汇总!$B$18=0,"",[1]入库吨位汇总!$B$18),""))</f>
        <v>王照雪</v>
      </c>
      <c r="C19" s="39" t="str">
        <f aca="false">IF($V$4=0,IF($K19="","",$K19),IFERROR(IF([1]入库吨位汇总!$C$18=0,"",[1]入库吨位汇总!$C$18),""))</f>
        <v>香梨</v>
      </c>
      <c r="D19" s="51" t="str">
        <f aca="false">IF($V$4=0,IF($L19="","",$L19),IFERROR(IF([1]入库吨位汇总!$D$18=0,"",[1]入库吨位汇总!$D$18),""))</f>
        <v/>
      </c>
      <c r="E19" s="51" t="n">
        <f aca="false">IF($V$4=0,IF($M19="","",$M19),IFERROR(IF([1]入库吨位汇总!$E$18=0,"",[1]入库吨位汇总!$E$18),""))</f>
        <v>852</v>
      </c>
      <c r="F19" s="41" t="n">
        <f aca="false">IF($V$4=0,IF($N19="","",$N19),IFERROR(IF([1]入库吨位汇总!$K$18=0,"",[1]入库吨位汇总!$K$18),""))</f>
        <v>16247</v>
      </c>
      <c r="G19" s="52" t="n">
        <f aca="false">IF($V$4=0,IF($O19="","",$O19),IFERROR(IF([1]入库吨位汇总!$L$18=0,"",[1]入库吨位汇总!$L$18),""))</f>
        <v>16.247</v>
      </c>
      <c r="H19" s="41" t="str">
        <f aca="false">IF($V$4=0,IF($P19="","",$P19),IFERROR(IF([1]入库吨位汇总!$H$18=0,"",[1]入库吨位汇总!$H$18),""))</f>
        <v/>
      </c>
      <c r="I19" s="41" t="n">
        <f aca="false">IF($V$4=0,IF($Q19="","",$Q19),IFERROR(IF([1]入库吨位汇总!$I$18=0,"",[1]入库吨位汇总!$I$18),""))</f>
        <v>16247</v>
      </c>
      <c r="J19" s="10"/>
      <c r="K19" s="10"/>
      <c r="L19" s="53"/>
      <c r="M19" s="53"/>
      <c r="N19" s="54"/>
      <c r="O19" s="54"/>
      <c r="P19" s="54"/>
      <c r="Q19" s="54"/>
      <c r="R19" s="55" t="n">
        <f aca="false">IF(AND($B19&lt;&gt;"",$C19&lt;&gt;""),1,0)</f>
        <v>1</v>
      </c>
      <c r="S19" s="55" t="n">
        <f aca="false">N(S18)+$R19</f>
        <v>15</v>
      </c>
    </row>
    <row r="20" customFormat="false" ht="13.5" hidden="false" customHeight="false" outlineLevel="0" collapsed="false">
      <c r="A20" s="9" t="n">
        <v>19</v>
      </c>
      <c r="B20" s="39" t="str">
        <f aca="false">IF($V$4=0,IF($J20="","",$J20),IFERROR(IF([1]入库吨位汇总!$B$19=0,"",[1]入库吨位汇总!$B$19),""))</f>
        <v>努尔敦</v>
      </c>
      <c r="C20" s="39" t="str">
        <f aca="false">IF($V$4=0,IF($K20="","",$K20),IFERROR(IF([1]入库吨位汇总!$C$19=0,"",[1]入库吨位汇总!$C$19),""))</f>
        <v>香梨</v>
      </c>
      <c r="D20" s="51" t="str">
        <f aca="false">IF($V$4=0,IF($L20="","",$L20),IFERROR(IF([1]入库吨位汇总!$D$19=0,"",[1]入库吨位汇总!$D$19),""))</f>
        <v/>
      </c>
      <c r="E20" s="51" t="n">
        <f aca="false">IF($V$4=0,IF($M20="","",$M20),IFERROR(IF([1]入库吨位汇总!$E$19=0,"",[1]入库吨位汇总!$E$19),""))</f>
        <v>3223</v>
      </c>
      <c r="F20" s="41" t="n">
        <f aca="false">IF($V$4=0,IF($N20="","",$N20),IFERROR(IF([1]入库吨位汇总!$K$19=0,"",[1]入库吨位汇总!$K$19),""))</f>
        <v>62388.9</v>
      </c>
      <c r="G20" s="52" t="n">
        <f aca="false">IF($V$4=0,IF($O20="","",$O20),IFERROR(IF([1]入库吨位汇总!$L$19=0,"",[1]入库吨位汇总!$L$19),""))</f>
        <v>62.389</v>
      </c>
      <c r="H20" s="41" t="str">
        <f aca="false">IF($V$4=0,IF($P20="","",$P20),IFERROR(IF([1]入库吨位汇总!$H$19=0,"",[1]入库吨位汇总!$H$19),""))</f>
        <v/>
      </c>
      <c r="I20" s="41" t="n">
        <f aca="false">IF($V$4=0,IF($Q20="","",$Q20),IFERROR(IF([1]入库吨位汇总!$I$19=0,"",[1]入库吨位汇总!$I$19),""))</f>
        <v>62388.9</v>
      </c>
      <c r="J20" s="10"/>
      <c r="K20" s="10"/>
      <c r="L20" s="53"/>
      <c r="M20" s="53"/>
      <c r="N20" s="54"/>
      <c r="O20" s="54"/>
      <c r="P20" s="54"/>
      <c r="Q20" s="54"/>
      <c r="R20" s="55" t="n">
        <f aca="false">IF(AND($B20&lt;&gt;"",$C20&lt;&gt;""),1,0)</f>
        <v>1</v>
      </c>
      <c r="S20" s="55" t="n">
        <f aca="false">N(S19)+$R20</f>
        <v>16</v>
      </c>
    </row>
    <row r="21" customFormat="false" ht="13.5" hidden="false" customHeight="false" outlineLevel="0" collapsed="false">
      <c r="A21" s="9" t="n">
        <v>20</v>
      </c>
      <c r="B21" s="39" t="str">
        <f aca="false">IF($V$4=0,IF($J21="","",$J21),IFERROR(IF([1]入库吨位汇总!$B$20=0,"",[1]入库吨位汇总!$B$20),""))</f>
        <v>王浩</v>
      </c>
      <c r="C21" s="39" t="str">
        <f aca="false">IF($V$4=0,IF($K21="","",$K21),IFERROR(IF([1]入库吨位汇总!$C$20=0,"",[1]入库吨位汇总!$C$20),""))</f>
        <v>香梨</v>
      </c>
      <c r="D21" s="51" t="str">
        <f aca="false">IF($V$4=0,IF($L21="","",$L21),IFERROR(IF([1]入库吨位汇总!$D$20=0,"",[1]入库吨位汇总!$D$20),""))</f>
        <v/>
      </c>
      <c r="E21" s="51" t="n">
        <f aca="false">IF($V$4=0,IF($M21="","",$M21),IFERROR(IF([1]入库吨位汇总!$E$20=0,"",[1]入库吨位汇总!$E$20),""))</f>
        <v>1184</v>
      </c>
      <c r="F21" s="41" t="n">
        <f aca="false">IF($V$4=0,IF($N21="","",$N21),IFERROR(IF([1]入库吨位汇总!$K$20=0,"",[1]入库吨位汇总!$K$20),""))</f>
        <v>21667.2</v>
      </c>
      <c r="G21" s="52" t="n">
        <f aca="false">IF($V$4=0,IF($O21="","",$O21),IFERROR(IF([1]入库吨位汇总!$L$20=0,"",[1]入库吨位汇总!$L$20),""))</f>
        <v>21.667</v>
      </c>
      <c r="H21" s="41" t="str">
        <f aca="false">IF($V$4=0,IF($P21="","",$P21),IFERROR(IF([1]入库吨位汇总!$H$20=0,"",[1]入库吨位汇总!$H$20),""))</f>
        <v/>
      </c>
      <c r="I21" s="41" t="n">
        <f aca="false">IF($V$4=0,IF($Q21="","",$Q21),IFERROR(IF([1]入库吨位汇总!$I$20=0,"",[1]入库吨位汇总!$I$20),""))</f>
        <v>21667.2</v>
      </c>
      <c r="J21" s="10"/>
      <c r="K21" s="10"/>
      <c r="L21" s="53"/>
      <c r="M21" s="53"/>
      <c r="N21" s="54"/>
      <c r="O21" s="54"/>
      <c r="P21" s="54"/>
      <c r="Q21" s="54"/>
      <c r="R21" s="55" t="n">
        <f aca="false">IF(AND($B21&lt;&gt;"",$C21&lt;&gt;""),1,0)</f>
        <v>1</v>
      </c>
      <c r="S21" s="55" t="n">
        <f aca="false">N(S20)+$R21</f>
        <v>17</v>
      </c>
    </row>
    <row r="22" customFormat="false" ht="13.5" hidden="false" customHeight="false" outlineLevel="0" collapsed="false">
      <c r="A22" s="9" t="n">
        <v>21</v>
      </c>
      <c r="B22" s="39" t="str">
        <f aca="false">IF($V$4=0,IF($J22="","",$J22),IFERROR(IF([1]入库吨位汇总!$B$21=0,"",[1]入库吨位汇总!$B$21),""))</f>
        <v>热合曼+艾则孜</v>
      </c>
      <c r="C22" s="39" t="str">
        <f aca="false">IF($V$4=0,IF($K22="","",$K22),IFERROR(IF([1]入库吨位汇总!$C$21=0,"",[1]入库吨位汇总!$C$21),""))</f>
        <v>香梨</v>
      </c>
      <c r="D22" s="51" t="str">
        <f aca="false">IF($V$4=0,IF($L22="","",$L22),IFERROR(IF([1]入库吨位汇总!$D$21=0,"",[1]入库吨位汇总!$D$21),""))</f>
        <v/>
      </c>
      <c r="E22" s="51" t="n">
        <f aca="false">IF($V$4=0,IF($M22="","",$M22),IFERROR(IF([1]入库吨位汇总!$E$21=0,"",[1]入库吨位汇总!$E$21),""))</f>
        <v>500</v>
      </c>
      <c r="F22" s="41" t="n">
        <f aca="false">IF($V$4=0,IF($N22="","",$N22),IFERROR(IF([1]入库吨位汇总!$K$21=0,"",[1]入库吨位汇总!$K$21),""))</f>
        <v>9674</v>
      </c>
      <c r="G22" s="52" t="n">
        <f aca="false">IF($V$4=0,IF($O22="","",$O22),IFERROR(IF([1]入库吨位汇总!$L$21=0,"",[1]入库吨位汇总!$L$21),""))</f>
        <v>9.674</v>
      </c>
      <c r="H22" s="41" t="str">
        <f aca="false">IF($V$4=0,IF($P22="","",$P22),IFERROR(IF([1]入库吨位汇总!$H$21=0,"",[1]入库吨位汇总!$H$21),""))</f>
        <v/>
      </c>
      <c r="I22" s="41" t="n">
        <f aca="false">IF($V$4=0,IF($Q22="","",$Q22),IFERROR(IF([1]入库吨位汇总!$I$21=0,"",[1]入库吨位汇总!$I$21),""))</f>
        <v>9674</v>
      </c>
      <c r="J22" s="10"/>
      <c r="K22" s="10"/>
      <c r="L22" s="53"/>
      <c r="M22" s="53"/>
      <c r="N22" s="54"/>
      <c r="O22" s="54"/>
      <c r="P22" s="54"/>
      <c r="Q22" s="54"/>
      <c r="R22" s="55" t="n">
        <f aca="false">IF(AND($B22&lt;&gt;"",$C22&lt;&gt;""),1,0)</f>
        <v>1</v>
      </c>
      <c r="S22" s="55" t="n">
        <f aca="false">N(S21)+$R22</f>
        <v>18</v>
      </c>
    </row>
    <row r="23" customFormat="false" ht="13.5" hidden="false" customHeight="false" outlineLevel="0" collapsed="false">
      <c r="A23" s="9" t="n">
        <v>22</v>
      </c>
      <c r="B23" s="39" t="str">
        <f aca="false">IF($V$4=0,IF($J23="","",$J23),IFERROR(IF([1]入库吨位汇总!$B$22=0,"",[1]入库吨位汇总!$B$22),""))</f>
        <v>李现东</v>
      </c>
      <c r="C23" s="39" t="str">
        <f aca="false">IF($V$4=0,IF($K23="","",$K23),IFERROR(IF([1]入库吨位汇总!$C$22=0,"",[1]入库吨位汇总!$C$22),""))</f>
        <v>香梨</v>
      </c>
      <c r="D23" s="51" t="str">
        <f aca="false">IF($V$4=0,IF($L23="","",$L23),IFERROR(IF([1]入库吨位汇总!$D$22=0,"",[1]入库吨位汇总!$D$22),""))</f>
        <v/>
      </c>
      <c r="E23" s="51" t="n">
        <f aca="false">IF($V$4=0,IF($M23="","",$M23),IFERROR(IF([1]入库吨位汇总!$E$22=0,"",[1]入库吨位汇总!$E$22),""))</f>
        <v>469</v>
      </c>
      <c r="F23" s="41" t="n">
        <f aca="false">IF($V$4=0,IF($N23="","",$N23),IFERROR(IF([1]入库吨位汇总!$K$22=0,"",[1]入库吨位汇总!$K$22),""))</f>
        <v>8994.7</v>
      </c>
      <c r="G23" s="52" t="n">
        <f aca="false">IF($V$4=0,IF($O23="","",$O23),IFERROR(IF([1]入库吨位汇总!$L$22=0,"",[1]入库吨位汇总!$L$22),""))</f>
        <v>8.995</v>
      </c>
      <c r="H23" s="41" t="str">
        <f aca="false">IF($V$4=0,IF($P23="","",$P23),IFERROR(IF([1]入库吨位汇总!$H$22=0,"",[1]入库吨位汇总!$H$22),""))</f>
        <v/>
      </c>
      <c r="I23" s="41" t="n">
        <f aca="false">IF($V$4=0,IF($Q23="","",$Q23),IFERROR(IF([1]入库吨位汇总!$I$22=0,"",[1]入库吨位汇总!$I$22),""))</f>
        <v>8994.7</v>
      </c>
      <c r="J23" s="10"/>
      <c r="K23" s="10"/>
      <c r="L23" s="53"/>
      <c r="M23" s="53"/>
      <c r="N23" s="54"/>
      <c r="O23" s="54"/>
      <c r="P23" s="54"/>
      <c r="Q23" s="54"/>
      <c r="R23" s="55" t="n">
        <f aca="false">IF(AND($B23&lt;&gt;"",$C23&lt;&gt;""),1,0)</f>
        <v>1</v>
      </c>
      <c r="S23" s="55" t="n">
        <f aca="false">N(S22)+$R23</f>
        <v>19</v>
      </c>
    </row>
    <row r="24" customFormat="false" ht="13.5" hidden="false" customHeight="false" outlineLevel="0" collapsed="false">
      <c r="A24" s="9" t="n">
        <v>23</v>
      </c>
      <c r="B24" s="39" t="str">
        <f aca="false">IF($V$4=0,IF($J24="","",$J24),IFERROR(IF([1]入库吨位汇总!$B$23=0,"",[1]入库吨位汇总!$B$23),""))</f>
        <v>吐尔逊</v>
      </c>
      <c r="C24" s="39" t="str">
        <f aca="false">IF($V$4=0,IF($K24="","",$K24),IFERROR(IF([1]入库吨位汇总!$C$23=0,"",[1]入库吨位汇总!$C$23),""))</f>
        <v>香梨</v>
      </c>
      <c r="D24" s="51" t="str">
        <f aca="false">IF($V$4=0,IF($L24="","",$L24),IFERROR(IF([1]入库吨位汇总!$D$23=0,"",[1]入库吨位汇总!$D$23),""))</f>
        <v/>
      </c>
      <c r="E24" s="51" t="n">
        <f aca="false">IF($V$4=0,IF($M24="","",$M24),IFERROR(IF([1]入库吨位汇总!$E$23=0,"",[1]入库吨位汇总!$E$23),""))</f>
        <v>200</v>
      </c>
      <c r="F24" s="41" t="n">
        <f aca="false">IF($V$4=0,IF($N24="","",$N24),IFERROR(IF([1]入库吨位汇总!$K$23=0,"",[1]入库吨位汇总!$K$23),""))</f>
        <v>4200</v>
      </c>
      <c r="G24" s="52" t="n">
        <f aca="false">IF($V$4=0,IF($O24="","",$O24),IFERROR(IF([1]入库吨位汇总!$L$23=0,"",[1]入库吨位汇总!$L$23),""))</f>
        <v>4.2</v>
      </c>
      <c r="H24" s="41" t="str">
        <f aca="false">IF($V$4=0,IF($P24="","",$P24),IFERROR(IF([1]入库吨位汇总!$H$23=0,"",[1]入库吨位汇总!$H$23),""))</f>
        <v/>
      </c>
      <c r="I24" s="41" t="n">
        <f aca="false">IF($V$4=0,IF($Q24="","",$Q24),IFERROR(IF([1]入库吨位汇总!$I$23=0,"",[1]入库吨位汇总!$I$23),""))</f>
        <v>4200</v>
      </c>
      <c r="J24" s="10"/>
      <c r="K24" s="10"/>
      <c r="L24" s="53"/>
      <c r="M24" s="53"/>
      <c r="N24" s="54"/>
      <c r="O24" s="54"/>
      <c r="P24" s="54"/>
      <c r="Q24" s="54"/>
      <c r="R24" s="55" t="n">
        <f aca="false">IF(AND($B24&lt;&gt;"",$C24&lt;&gt;""),1,0)</f>
        <v>1</v>
      </c>
      <c r="S24" s="55" t="n">
        <f aca="false">N(S23)+$R24</f>
        <v>20</v>
      </c>
    </row>
    <row r="25" customFormat="false" ht="13.5" hidden="false" customHeight="false" outlineLevel="0" collapsed="false">
      <c r="A25" s="9" t="n">
        <v>24</v>
      </c>
      <c r="B25" s="39" t="str">
        <f aca="false">IF($V$4=0,IF($J25="","",$J25),IFERROR(IF([1]入库吨位汇总!$B$24=0,"",[1]入库吨位汇总!$B$24),""))</f>
        <v>阿布都</v>
      </c>
      <c r="C25" s="39" t="str">
        <f aca="false">IF($V$4=0,IF($K25="","",$K25),IFERROR(IF([1]入库吨位汇总!$C$24=0,"",[1]入库吨位汇总!$C$24),""))</f>
        <v>香梨</v>
      </c>
      <c r="D25" s="51" t="str">
        <f aca="false">IF($V$4=0,IF($L25="","",$L25),IFERROR(IF([1]入库吨位汇总!$D$24=0,"",[1]入库吨位汇总!$D$24),""))</f>
        <v/>
      </c>
      <c r="E25" s="51" t="n">
        <f aca="false">IF($V$4=0,IF($M25="","",$M25),IFERROR(IF([1]入库吨位汇总!$E$24=0,"",[1]入库吨位汇总!$E$24),""))</f>
        <v>315</v>
      </c>
      <c r="F25" s="41" t="n">
        <f aca="false">IF($V$4=0,IF($N25="","",$N25),IFERROR(IF([1]入库吨位汇总!$K$24=0,"",[1]入库吨位汇总!$K$24),""))</f>
        <v>5972.5</v>
      </c>
      <c r="G25" s="52" t="n">
        <f aca="false">IF($V$4=0,IF($O25="","",$O25),IFERROR(IF([1]入库吨位汇总!$L$24=0,"",[1]入库吨位汇总!$L$24),""))</f>
        <v>5.973</v>
      </c>
      <c r="H25" s="41" t="str">
        <f aca="false">IF($V$4=0,IF($P25="","",$P25),IFERROR(IF([1]入库吨位汇总!$H$24=0,"",[1]入库吨位汇总!$H$24),""))</f>
        <v/>
      </c>
      <c r="I25" s="41" t="n">
        <f aca="false">IF($V$4=0,IF($Q25="","",$Q25),IFERROR(IF([1]入库吨位汇总!$I$24=0,"",[1]入库吨位汇总!$I$24),""))</f>
        <v>5972.5</v>
      </c>
      <c r="J25" s="10"/>
      <c r="K25" s="10"/>
      <c r="L25" s="53"/>
      <c r="M25" s="53"/>
      <c r="N25" s="54"/>
      <c r="O25" s="54"/>
      <c r="P25" s="54"/>
      <c r="Q25" s="54"/>
      <c r="R25" s="55" t="n">
        <f aca="false">IF(AND($B25&lt;&gt;"",$C25&lt;&gt;""),1,0)</f>
        <v>1</v>
      </c>
      <c r="S25" s="55" t="n">
        <f aca="false">N(S24)+$R25</f>
        <v>21</v>
      </c>
    </row>
    <row r="26" customFormat="false" ht="13.5" hidden="false" customHeight="false" outlineLevel="0" collapsed="false">
      <c r="A26" s="9" t="n">
        <v>25</v>
      </c>
      <c r="B26" s="39" t="str">
        <f aca="false">IF($V$4=0,IF($J26="","",$J26),IFERROR(IF([1]入库吨位汇总!$B$25=0,"",[1]入库吨位汇总!$B$25),""))</f>
        <v>艾则孜</v>
      </c>
      <c r="C26" s="39" t="str">
        <f aca="false">IF($V$4=0,IF($K26="","",$K26),IFERROR(IF([1]入库吨位汇总!$C$25=0,"",[1]入库吨位汇总!$C$25),""))</f>
        <v>香梨</v>
      </c>
      <c r="D26" s="51" t="str">
        <f aca="false">IF($V$4=0,IF($L26="","",$L26),IFERROR(IF([1]入库吨位汇总!$D$25=0,"",[1]入库吨位汇总!$D$25),""))</f>
        <v/>
      </c>
      <c r="E26" s="51" t="n">
        <f aca="false">IF($V$4=0,IF($M26="","",$M26),IFERROR(IF([1]入库吨位汇总!$E$25=0,"",[1]入库吨位汇总!$E$25),""))</f>
        <v>538</v>
      </c>
      <c r="F26" s="41" t="n">
        <f aca="false">IF($V$4=0,IF($N26="","",$N26),IFERROR(IF([1]入库吨位汇总!$K$25=0,"",[1]入库吨位汇总!$K$25),""))</f>
        <v>10647.4</v>
      </c>
      <c r="G26" s="52" t="n">
        <f aca="false">IF($V$4=0,IF($O26="","",$O26),IFERROR(IF([1]入库吨位汇总!$L$25=0,"",[1]入库吨位汇总!$L$25),""))</f>
        <v>10.647</v>
      </c>
      <c r="H26" s="41" t="str">
        <f aca="false">IF($V$4=0,IF($P26="","",$P26),IFERROR(IF([1]入库吨位汇总!$H$25=0,"",[1]入库吨位汇总!$H$25),""))</f>
        <v/>
      </c>
      <c r="I26" s="41" t="n">
        <f aca="false">IF($V$4=0,IF($Q26="","",$Q26),IFERROR(IF([1]入库吨位汇总!$I$25=0,"",[1]入库吨位汇总!$I$25),""))</f>
        <v>10647.4</v>
      </c>
      <c r="J26" s="10"/>
      <c r="K26" s="10"/>
      <c r="L26" s="53"/>
      <c r="M26" s="53"/>
      <c r="N26" s="54"/>
      <c r="O26" s="54"/>
      <c r="P26" s="54"/>
      <c r="Q26" s="54"/>
      <c r="R26" s="55" t="n">
        <f aca="false">IF(AND($B26&lt;&gt;"",$C26&lt;&gt;""),1,0)</f>
        <v>1</v>
      </c>
      <c r="S26" s="55" t="n">
        <f aca="false">N(S25)+$R26</f>
        <v>22</v>
      </c>
    </row>
    <row r="27" customFormat="false" ht="13.5" hidden="false" customHeight="false" outlineLevel="0" collapsed="false">
      <c r="A27" s="9" t="n">
        <v>26</v>
      </c>
      <c r="B27" s="39" t="str">
        <f aca="false">IF($V$4=0,IF($J27="","",$J27),IFERROR(IF([1]入库吨位汇总!$B$26=0,"",[1]入库吨位汇总!$B$26),""))</f>
        <v/>
      </c>
      <c r="C27" s="39" t="str">
        <f aca="false">IF($V$4=0,IF($K27="","",$K27),IFERROR(IF([1]入库吨位汇总!$C$26=0,"",[1]入库吨位汇总!$C$26),""))</f>
        <v/>
      </c>
      <c r="D27" s="51" t="str">
        <f aca="false">IF($V$4=0,IF($L27="","",$L27),IFERROR(IF([1]入库吨位汇总!$D$26=0,"",[1]入库吨位汇总!$D$26),""))</f>
        <v/>
      </c>
      <c r="E27" s="51" t="str">
        <f aca="false">IF($V$4=0,IF($M27="","",$M27),IFERROR(IF([1]入库吨位汇总!$E$26=0,"",[1]入库吨位汇总!$E$26),""))</f>
        <v/>
      </c>
      <c r="F27" s="41" t="str">
        <f aca="false">IF($V$4=0,IF($N27="","",$N27),IFERROR(IF([1]入库吨位汇总!$K$26=0,"",[1]入库吨位汇总!$K$26),""))</f>
        <v/>
      </c>
      <c r="G27" s="52" t="str">
        <f aca="false">IF($V$4=0,IF($O27="","",$O27),IFERROR(IF([1]入库吨位汇总!$L$26=0,"",[1]入库吨位汇总!$L$26),""))</f>
        <v/>
      </c>
      <c r="H27" s="41" t="str">
        <f aca="false">IF($V$4=0,IF($P27="","",$P27),IFERROR(IF([1]入库吨位汇总!$H$26=0,"",[1]入库吨位汇总!$H$26),""))</f>
        <v/>
      </c>
      <c r="I27" s="41" t="str">
        <f aca="false">IF($V$4=0,IF($Q27="","",$Q27),IFERROR(IF([1]入库吨位汇总!$I$26=0,"",[1]入库吨位汇总!$I$26),""))</f>
        <v/>
      </c>
      <c r="J27" s="10"/>
      <c r="K27" s="10"/>
      <c r="L27" s="53"/>
      <c r="M27" s="53"/>
      <c r="N27" s="54"/>
      <c r="O27" s="54"/>
      <c r="P27" s="54"/>
      <c r="Q27" s="54"/>
      <c r="R27" s="55" t="n">
        <f aca="false">IF(AND($B27&lt;&gt;"",$C27&lt;&gt;""),1,0)</f>
        <v>0</v>
      </c>
      <c r="S27" s="55" t="n">
        <f aca="false">N(S26)+$R27</f>
        <v>22</v>
      </c>
    </row>
    <row r="28" customFormat="false" ht="13.5" hidden="false" customHeight="false" outlineLevel="0" collapsed="false">
      <c r="A28" s="9" t="n">
        <v>27</v>
      </c>
      <c r="B28" s="39" t="str">
        <f aca="false">IF($V$4=0,IF($J28="","",$J28),IFERROR(IF([1]入库吨位汇总!$B$27=0,"",[1]入库吨位汇总!$B$27),""))</f>
        <v/>
      </c>
      <c r="C28" s="39" t="str">
        <f aca="false">IF($V$4=0,IF($K28="","",$K28),IFERROR(IF([1]入库吨位汇总!$C$27=0,"",[1]入库吨位汇总!$C$27),""))</f>
        <v/>
      </c>
      <c r="D28" s="51" t="str">
        <f aca="false">IF($V$4=0,IF($L28="","",$L28),IFERROR(IF([1]入库吨位汇总!$D$27=0,"",[1]入库吨位汇总!$D$27),""))</f>
        <v/>
      </c>
      <c r="E28" s="51" t="str">
        <f aca="false">IF($V$4=0,IF($M28="","",$M28),IFERROR(IF([1]入库吨位汇总!$E$27=0,"",[1]入库吨位汇总!$E$27),""))</f>
        <v/>
      </c>
      <c r="F28" s="41" t="str">
        <f aca="false">IF($V$4=0,IF($N28="","",$N28),IFERROR(IF([1]入库吨位汇总!$K$27=0,"",[1]入库吨位汇总!$K$27),""))</f>
        <v/>
      </c>
      <c r="G28" s="52" t="str">
        <f aca="false">IF($V$4=0,IF($O28="","",$O28),IFERROR(IF([1]入库吨位汇总!$L$27=0,"",[1]入库吨位汇总!$L$27),""))</f>
        <v/>
      </c>
      <c r="H28" s="41" t="str">
        <f aca="false">IF($V$4=0,IF($P28="","",$P28),IFERROR(IF([1]入库吨位汇总!$H$27=0,"",[1]入库吨位汇总!$H$27),""))</f>
        <v/>
      </c>
      <c r="I28" s="41" t="str">
        <f aca="false">IF($V$4=0,IF($Q28="","",$Q28),IFERROR(IF([1]入库吨位汇总!$I$27=0,"",[1]入库吨位汇总!$I$27),""))</f>
        <v/>
      </c>
      <c r="J28" s="10"/>
      <c r="K28" s="10"/>
      <c r="L28" s="53"/>
      <c r="M28" s="53"/>
      <c r="N28" s="54"/>
      <c r="O28" s="54"/>
      <c r="P28" s="54"/>
      <c r="Q28" s="54"/>
      <c r="R28" s="55" t="n">
        <f aca="false">IF(AND($B28&lt;&gt;"",$C28&lt;&gt;""),1,0)</f>
        <v>0</v>
      </c>
      <c r="S28" s="55" t="n">
        <f aca="false">N(S27)+$R28</f>
        <v>22</v>
      </c>
    </row>
    <row r="29" customFormat="false" ht="13.5" hidden="false" customHeight="false" outlineLevel="0" collapsed="false">
      <c r="A29" s="9" t="n">
        <v>28</v>
      </c>
      <c r="B29" s="39" t="str">
        <f aca="false">IF($V$4=0,IF($J29="","",$J29),IFERROR(IF([1]入库吨位汇总!$B$28=0,"",[1]入库吨位汇总!$B$28),""))</f>
        <v/>
      </c>
      <c r="C29" s="39" t="str">
        <f aca="false">IF($V$4=0,IF($K29="","",$K29),IFERROR(IF([1]入库吨位汇总!$C$28=0,"",[1]入库吨位汇总!$C$28),""))</f>
        <v/>
      </c>
      <c r="D29" s="51" t="str">
        <f aca="false">IF($V$4=0,IF($L29="","",$L29),IFERROR(IF([1]入库吨位汇总!$D$28=0,"",[1]入库吨位汇总!$D$28),""))</f>
        <v/>
      </c>
      <c r="E29" s="51" t="str">
        <f aca="false">IF($V$4=0,IF($M29="","",$M29),IFERROR(IF([1]入库吨位汇总!$E$28=0,"",[1]入库吨位汇总!$E$28),""))</f>
        <v/>
      </c>
      <c r="F29" s="41" t="str">
        <f aca="false">IF($V$4=0,IF($N29="","",$N29),IFERROR(IF([1]入库吨位汇总!$K$28=0,"",[1]入库吨位汇总!$K$28),""))</f>
        <v/>
      </c>
      <c r="G29" s="52" t="str">
        <f aca="false">IF($V$4=0,IF($O29="","",$O29),IFERROR(IF([1]入库吨位汇总!$L$28=0,"",[1]入库吨位汇总!$L$28),""))</f>
        <v/>
      </c>
      <c r="H29" s="41" t="str">
        <f aca="false">IF($V$4=0,IF($P29="","",$P29),IFERROR(IF([1]入库吨位汇总!$H$28=0,"",[1]入库吨位汇总!$H$28),""))</f>
        <v/>
      </c>
      <c r="I29" s="41" t="str">
        <f aca="false">IF($V$4=0,IF($Q29="","",$Q29),IFERROR(IF([1]入库吨位汇总!$I$28=0,"",[1]入库吨位汇总!$I$28),""))</f>
        <v/>
      </c>
      <c r="J29" s="10"/>
      <c r="K29" s="10"/>
      <c r="L29" s="53"/>
      <c r="M29" s="53"/>
      <c r="N29" s="54"/>
      <c r="O29" s="54"/>
      <c r="P29" s="54"/>
      <c r="Q29" s="54"/>
      <c r="R29" s="55" t="n">
        <f aca="false">IF(AND($B29&lt;&gt;"",$C29&lt;&gt;""),1,0)</f>
        <v>0</v>
      </c>
      <c r="S29" s="55" t="n">
        <f aca="false">N(S28)+$R29</f>
        <v>22</v>
      </c>
    </row>
    <row r="30" customFormat="false" ht="13.5" hidden="false" customHeight="false" outlineLevel="0" collapsed="false">
      <c r="A30" s="9" t="n">
        <v>29</v>
      </c>
      <c r="B30" s="39" t="str">
        <f aca="false">IF($V$4=0,IF($J30="","",$J30),IFERROR(IF([1]入库吨位汇总!$B$29=0,"",[1]入库吨位汇总!$B$29),""))</f>
        <v/>
      </c>
      <c r="C30" s="39" t="str">
        <f aca="false">IF($V$4=0,IF($K30="","",$K30),IFERROR(IF([1]入库吨位汇总!$C$29=0,"",[1]入库吨位汇总!$C$29),""))</f>
        <v/>
      </c>
      <c r="D30" s="51" t="str">
        <f aca="false">IF($V$4=0,IF($L30="","",$L30),IFERROR(IF([1]入库吨位汇总!$D$29=0,"",[1]入库吨位汇总!$D$29),""))</f>
        <v/>
      </c>
      <c r="E30" s="51" t="str">
        <f aca="false">IF($V$4=0,IF($M30="","",$M30),IFERROR(IF([1]入库吨位汇总!$E$29=0,"",[1]入库吨位汇总!$E$29),""))</f>
        <v/>
      </c>
      <c r="F30" s="41" t="str">
        <f aca="false">IF($V$4=0,IF($N30="","",$N30),IFERROR(IF([1]入库吨位汇总!$K$29=0,"",[1]入库吨位汇总!$K$29),""))</f>
        <v/>
      </c>
      <c r="G30" s="52" t="str">
        <f aca="false">IF($V$4=0,IF($O30="","",$O30),IFERROR(IF([1]入库吨位汇总!$L$29=0,"",[1]入库吨位汇总!$L$29),""))</f>
        <v/>
      </c>
      <c r="H30" s="41" t="str">
        <f aca="false">IF($V$4=0,IF($P30="","",$P30),IFERROR(IF([1]入库吨位汇总!$H$29=0,"",[1]入库吨位汇总!$H$29),""))</f>
        <v/>
      </c>
      <c r="I30" s="41" t="str">
        <f aca="false">IF($V$4=0,IF($Q30="","",$Q30),IFERROR(IF([1]入库吨位汇总!$I$29=0,"",[1]入库吨位汇总!$I$29),""))</f>
        <v/>
      </c>
      <c r="J30" s="10"/>
      <c r="K30" s="10"/>
      <c r="L30" s="53"/>
      <c r="M30" s="53"/>
      <c r="N30" s="54"/>
      <c r="O30" s="54"/>
      <c r="P30" s="54"/>
      <c r="Q30" s="54"/>
      <c r="R30" s="55" t="n">
        <f aca="false">IF(AND($B30&lt;&gt;"",$C30&lt;&gt;""),1,0)</f>
        <v>0</v>
      </c>
      <c r="S30" s="55" t="n">
        <f aca="false">N(S29)+$R30</f>
        <v>22</v>
      </c>
    </row>
    <row r="31" customFormat="false" ht="13.5" hidden="false" customHeight="false" outlineLevel="0" collapsed="false">
      <c r="A31" s="9" t="n">
        <v>30</v>
      </c>
      <c r="B31" s="39" t="str">
        <f aca="false">IF($V$4=0,IF($J31="","",$J31),IFERROR(IF([1]入库吨位汇总!$B$30=0,"",[1]入库吨位汇总!$B$30),""))</f>
        <v/>
      </c>
      <c r="C31" s="39" t="str">
        <f aca="false">IF($V$4=0,IF($K31="","",$K31),IFERROR(IF([1]入库吨位汇总!$C$30=0,"",[1]入库吨位汇总!$C$30),""))</f>
        <v/>
      </c>
      <c r="D31" s="51" t="str">
        <f aca="false">IF($V$4=0,IF($L31="","",$L31),IFERROR(IF([1]入库吨位汇总!$D$30=0,"",[1]入库吨位汇总!$D$30),""))</f>
        <v/>
      </c>
      <c r="E31" s="51" t="str">
        <f aca="false">IF($V$4=0,IF($M31="","",$M31),IFERROR(IF([1]入库吨位汇总!$E$30=0,"",[1]入库吨位汇总!$E$30),""))</f>
        <v/>
      </c>
      <c r="F31" s="41" t="str">
        <f aca="false">IF($V$4=0,IF($N31="","",$N31),IFERROR(IF([1]入库吨位汇总!$K$30=0,"",[1]入库吨位汇总!$K$30),""))</f>
        <v/>
      </c>
      <c r="G31" s="52" t="str">
        <f aca="false">IF($V$4=0,IF($O31="","",$O31),IFERROR(IF([1]入库吨位汇总!$L$30=0,"",[1]入库吨位汇总!$L$30),""))</f>
        <v/>
      </c>
      <c r="H31" s="41" t="str">
        <f aca="false">IF($V$4=0,IF($P31="","",$P31),IFERROR(IF([1]入库吨位汇总!$H$30=0,"",[1]入库吨位汇总!$H$30),""))</f>
        <v/>
      </c>
      <c r="I31" s="41" t="str">
        <f aca="false">IF($V$4=0,IF($Q31="","",$Q31),IFERROR(IF([1]入库吨位汇总!$I$30=0,"",[1]入库吨位汇总!$I$30),""))</f>
        <v/>
      </c>
      <c r="J31" s="10"/>
      <c r="K31" s="10"/>
      <c r="L31" s="53"/>
      <c r="M31" s="53"/>
      <c r="N31" s="54"/>
      <c r="O31" s="54"/>
      <c r="P31" s="54"/>
      <c r="Q31" s="54"/>
      <c r="R31" s="55" t="n">
        <f aca="false">IF(AND($B31&lt;&gt;"",$C31&lt;&gt;""),1,0)</f>
        <v>0</v>
      </c>
      <c r="S31" s="55" t="n">
        <f aca="false">N(S30)+$R31</f>
        <v>22</v>
      </c>
    </row>
    <row r="32" customFormat="false" ht="13.5" hidden="false" customHeight="false" outlineLevel="0" collapsed="false">
      <c r="A32" s="9" t="n">
        <v>31</v>
      </c>
      <c r="B32" s="39" t="str">
        <f aca="false">IF($V$4=0,IF($J32="","",$J32),IFERROR(IF([1]入库吨位汇总!$B$31=0,"",[1]入库吨位汇总!$B$31),""))</f>
        <v/>
      </c>
      <c r="C32" s="39" t="str">
        <f aca="false">IF($V$4=0,IF($K32="","",$K32),IFERROR(IF([1]入库吨位汇总!$C$31=0,"",[1]入库吨位汇总!$C$31),""))</f>
        <v/>
      </c>
      <c r="D32" s="51" t="str">
        <f aca="false">IF($V$4=0,IF($L32="","",$L32),IFERROR(IF([1]入库吨位汇总!$D$31=0,"",[1]入库吨位汇总!$D$31),""))</f>
        <v/>
      </c>
      <c r="E32" s="51" t="str">
        <f aca="false">IF($V$4=0,IF($M32="","",$M32),IFERROR(IF([1]入库吨位汇总!$E$31=0,"",[1]入库吨位汇总!$E$31),""))</f>
        <v/>
      </c>
      <c r="F32" s="41" t="str">
        <f aca="false">IF($V$4=0,IF($N32="","",$N32),IFERROR(IF([1]入库吨位汇总!$K$31=0,"",[1]入库吨位汇总!$K$31),""))</f>
        <v/>
      </c>
      <c r="G32" s="52" t="str">
        <f aca="false">IF($V$4=0,IF($O32="","",$O32),IFERROR(IF([1]入库吨位汇总!$L$31=0,"",[1]入库吨位汇总!$L$31),""))</f>
        <v/>
      </c>
      <c r="H32" s="41" t="str">
        <f aca="false">IF($V$4=0,IF($P32="","",$P32),IFERROR(IF([1]入库吨位汇总!$H$31=0,"",[1]入库吨位汇总!$H$31),""))</f>
        <v/>
      </c>
      <c r="I32" s="41" t="str">
        <f aca="false">IF($V$4=0,IF($Q32="","",$Q32),IFERROR(IF([1]入库吨位汇总!$I$31=0,"",[1]入库吨位汇总!$I$31),""))</f>
        <v/>
      </c>
      <c r="J32" s="10"/>
      <c r="K32" s="10"/>
      <c r="L32" s="53"/>
      <c r="M32" s="53"/>
      <c r="N32" s="54"/>
      <c r="O32" s="54"/>
      <c r="P32" s="54"/>
      <c r="Q32" s="54"/>
      <c r="R32" s="55" t="n">
        <f aca="false">IF(AND($B32&lt;&gt;"",$C32&lt;&gt;""),1,0)</f>
        <v>0</v>
      </c>
      <c r="S32" s="55" t="n">
        <f aca="false">N(S31)+$R32</f>
        <v>22</v>
      </c>
    </row>
    <row r="33" customFormat="false" ht="13.5" hidden="false" customHeight="false" outlineLevel="0" collapsed="false">
      <c r="A33" s="9" t="n">
        <v>32</v>
      </c>
      <c r="B33" s="39" t="str">
        <f aca="false">IF($V$4=0,IF($J33="","",$J33),IFERROR(IF([1]入库吨位汇总!$B$32=0,"",[1]入库吨位汇总!$B$32),""))</f>
        <v/>
      </c>
      <c r="C33" s="39" t="str">
        <f aca="false">IF($V$4=0,IF($K33="","",$K33),IFERROR(IF([1]入库吨位汇总!$C$32=0,"",[1]入库吨位汇总!$C$32),""))</f>
        <v/>
      </c>
      <c r="D33" s="51" t="str">
        <f aca="false">IF($V$4=0,IF($L33="","",$L33),IFERROR(IF([1]入库吨位汇总!$D$32=0,"",[1]入库吨位汇总!$D$32),""))</f>
        <v/>
      </c>
      <c r="E33" s="51" t="str">
        <f aca="false">IF($V$4=0,IF($M33="","",$M33),IFERROR(IF([1]入库吨位汇总!$E$32=0,"",[1]入库吨位汇总!$E$32),""))</f>
        <v/>
      </c>
      <c r="F33" s="41" t="str">
        <f aca="false">IF($V$4=0,IF($N33="","",$N33),IFERROR(IF([1]入库吨位汇总!$K$32=0,"",[1]入库吨位汇总!$K$32),""))</f>
        <v/>
      </c>
      <c r="G33" s="52" t="str">
        <f aca="false">IF($V$4=0,IF($O33="","",$O33),IFERROR(IF([1]入库吨位汇总!$L$32=0,"",[1]入库吨位汇总!$L$32),""))</f>
        <v/>
      </c>
      <c r="H33" s="41" t="str">
        <f aca="false">IF($V$4=0,IF($P33="","",$P33),IFERROR(IF([1]入库吨位汇总!$H$32=0,"",[1]入库吨位汇总!$H$32),""))</f>
        <v/>
      </c>
      <c r="I33" s="41" t="str">
        <f aca="false">IF($V$4=0,IF($Q33="","",$Q33),IFERROR(IF([1]入库吨位汇总!$I$32=0,"",[1]入库吨位汇总!$I$32),""))</f>
        <v/>
      </c>
      <c r="J33" s="10"/>
      <c r="K33" s="10"/>
      <c r="L33" s="53"/>
      <c r="M33" s="53"/>
      <c r="N33" s="54"/>
      <c r="O33" s="54"/>
      <c r="P33" s="54"/>
      <c r="Q33" s="54"/>
      <c r="R33" s="55" t="n">
        <f aca="false">IF(AND($B33&lt;&gt;"",$C33&lt;&gt;""),1,0)</f>
        <v>0</v>
      </c>
      <c r="S33" s="55" t="n">
        <f aca="false">N(S32)+$R33</f>
        <v>22</v>
      </c>
    </row>
    <row r="34" customFormat="false" ht="13.5" hidden="false" customHeight="false" outlineLevel="0" collapsed="false">
      <c r="A34" s="9" t="n">
        <v>33</v>
      </c>
      <c r="B34" s="39" t="str">
        <f aca="false">IF($V$4=0,IF($J34="","",$J34),IFERROR(IF([1]入库吨位汇总!$B$33=0,"",[1]入库吨位汇总!$B$33),""))</f>
        <v/>
      </c>
      <c r="C34" s="39" t="str">
        <f aca="false">IF($V$4=0,IF($K34="","",$K34),IFERROR(IF([1]入库吨位汇总!$C$33=0,"",[1]入库吨位汇总!$C$33),""))</f>
        <v/>
      </c>
      <c r="D34" s="51" t="str">
        <f aca="false">IF($V$4=0,IF($L34="","",$L34),IFERROR(IF([1]入库吨位汇总!$D$33=0,"",[1]入库吨位汇总!$D$33),""))</f>
        <v/>
      </c>
      <c r="E34" s="51" t="str">
        <f aca="false">IF($V$4=0,IF($M34="","",$M34),IFERROR(IF([1]入库吨位汇总!$E$33=0,"",[1]入库吨位汇总!$E$33),""))</f>
        <v/>
      </c>
      <c r="F34" s="41" t="str">
        <f aca="false">IF($V$4=0,IF($N34="","",$N34),IFERROR(IF([1]入库吨位汇总!$K$33=0,"",[1]入库吨位汇总!$K$33),""))</f>
        <v/>
      </c>
      <c r="G34" s="52" t="str">
        <f aca="false">IF($V$4=0,IF($O34="","",$O34),IFERROR(IF([1]入库吨位汇总!$L$33=0,"",[1]入库吨位汇总!$L$33),""))</f>
        <v/>
      </c>
      <c r="H34" s="41" t="str">
        <f aca="false">IF($V$4=0,IF($P34="","",$P34),IFERROR(IF([1]入库吨位汇总!$H$33=0,"",[1]入库吨位汇总!$H$33),""))</f>
        <v/>
      </c>
      <c r="I34" s="41" t="str">
        <f aca="false">IF($V$4=0,IF($Q34="","",$Q34),IFERROR(IF([1]入库吨位汇总!$I$33=0,"",[1]入库吨位汇总!$I$33),""))</f>
        <v/>
      </c>
      <c r="J34" s="10"/>
      <c r="K34" s="10"/>
      <c r="L34" s="53"/>
      <c r="M34" s="53"/>
      <c r="N34" s="54"/>
      <c r="O34" s="54"/>
      <c r="P34" s="54"/>
      <c r="Q34" s="54"/>
      <c r="R34" s="55" t="n">
        <f aca="false">IF(AND($B34&lt;&gt;"",$C34&lt;&gt;""),1,0)</f>
        <v>0</v>
      </c>
      <c r="S34" s="55" t="n">
        <f aca="false">N(S33)+$R34</f>
        <v>22</v>
      </c>
    </row>
    <row r="35" customFormat="false" ht="13.5" hidden="false" customHeight="false" outlineLevel="0" collapsed="false">
      <c r="A35" s="9" t="n">
        <v>34</v>
      </c>
      <c r="B35" s="39" t="str">
        <f aca="false">IF($V$4=0,IF($J35="","",$J35),IFERROR(IF([1]入库吨位汇总!$B$34=0,"",[1]入库吨位汇总!$B$34),""))</f>
        <v/>
      </c>
      <c r="C35" s="39" t="str">
        <f aca="false">IF($V$4=0,IF($K35="","",$K35),IFERROR(IF([1]入库吨位汇总!$C$34=0,"",[1]入库吨位汇总!$C$34),""))</f>
        <v/>
      </c>
      <c r="D35" s="51" t="str">
        <f aca="false">IF($V$4=0,IF($L35="","",$L35),IFERROR(IF([1]入库吨位汇总!$D$34=0,"",[1]入库吨位汇总!$D$34),""))</f>
        <v/>
      </c>
      <c r="E35" s="51" t="str">
        <f aca="false">IF($V$4=0,IF($M35="","",$M35),IFERROR(IF([1]入库吨位汇总!$E$34=0,"",[1]入库吨位汇总!$E$34),""))</f>
        <v/>
      </c>
      <c r="F35" s="41" t="str">
        <f aca="false">IF($V$4=0,IF($N35="","",$N35),IFERROR(IF([1]入库吨位汇总!$K$34=0,"",[1]入库吨位汇总!$K$34),""))</f>
        <v/>
      </c>
      <c r="G35" s="52" t="str">
        <f aca="false">IF($V$4=0,IF($O35="","",$O35),IFERROR(IF([1]入库吨位汇总!$L$34=0,"",[1]入库吨位汇总!$L$34),""))</f>
        <v/>
      </c>
      <c r="H35" s="41" t="str">
        <f aca="false">IF($V$4=0,IF($P35="","",$P35),IFERROR(IF([1]入库吨位汇总!$H$34=0,"",[1]入库吨位汇总!$H$34),""))</f>
        <v/>
      </c>
      <c r="I35" s="41" t="str">
        <f aca="false">IF($V$4=0,IF($Q35="","",$Q35),IFERROR(IF([1]入库吨位汇总!$I$34=0,"",[1]入库吨位汇总!$I$34),""))</f>
        <v/>
      </c>
      <c r="J35" s="10"/>
      <c r="K35" s="10"/>
      <c r="L35" s="53"/>
      <c r="M35" s="53"/>
      <c r="N35" s="54"/>
      <c r="O35" s="54"/>
      <c r="P35" s="54"/>
      <c r="Q35" s="54"/>
      <c r="R35" s="55" t="n">
        <f aca="false">IF(AND($B35&lt;&gt;"",$C35&lt;&gt;""),1,0)</f>
        <v>0</v>
      </c>
      <c r="S35" s="55" t="n">
        <f aca="false">N(S34)+$R35</f>
        <v>22</v>
      </c>
    </row>
    <row r="36" customFormat="false" ht="13.5" hidden="false" customHeight="false" outlineLevel="0" collapsed="false">
      <c r="A36" s="9" t="n">
        <v>35</v>
      </c>
      <c r="B36" s="39" t="str">
        <f aca="false">IF($V$4=0,IF($J36="","",$J36),IFERROR(IF([1]入库吨位汇总!$B$35=0,"",[1]入库吨位汇总!$B$35),""))</f>
        <v/>
      </c>
      <c r="C36" s="39" t="str">
        <f aca="false">IF($V$4=0,IF($K36="","",$K36),IFERROR(IF([1]入库吨位汇总!$C$35=0,"",[1]入库吨位汇总!$C$35),""))</f>
        <v/>
      </c>
      <c r="D36" s="51" t="str">
        <f aca="false">IF($V$4=0,IF($L36="","",$L36),IFERROR(IF([1]入库吨位汇总!$D$35=0,"",[1]入库吨位汇总!$D$35),""))</f>
        <v/>
      </c>
      <c r="E36" s="51" t="str">
        <f aca="false">IF($V$4=0,IF($M36="","",$M36),IFERROR(IF([1]入库吨位汇总!$E$35=0,"",[1]入库吨位汇总!$E$35),""))</f>
        <v/>
      </c>
      <c r="F36" s="41" t="str">
        <f aca="false">IF($V$4=0,IF($N36="","",$N36),IFERROR(IF([1]入库吨位汇总!$K$35=0,"",[1]入库吨位汇总!$K$35),""))</f>
        <v/>
      </c>
      <c r="G36" s="52" t="str">
        <f aca="false">IF($V$4=0,IF($O36="","",$O36),IFERROR(IF([1]入库吨位汇总!$L$35=0,"",[1]入库吨位汇总!$L$35),""))</f>
        <v/>
      </c>
      <c r="H36" s="41" t="str">
        <f aca="false">IF($V$4=0,IF($P36="","",$P36),IFERROR(IF([1]入库吨位汇总!$H$35=0,"",[1]入库吨位汇总!$H$35),""))</f>
        <v/>
      </c>
      <c r="I36" s="41" t="str">
        <f aca="false">IF($V$4=0,IF($Q36="","",$Q36),IFERROR(IF([1]入库吨位汇总!$I$35=0,"",[1]入库吨位汇总!$I$35),""))</f>
        <v/>
      </c>
      <c r="J36" s="10"/>
      <c r="K36" s="10"/>
      <c r="L36" s="53"/>
      <c r="M36" s="53"/>
      <c r="N36" s="54"/>
      <c r="O36" s="54"/>
      <c r="P36" s="54"/>
      <c r="Q36" s="54"/>
      <c r="R36" s="55" t="n">
        <f aca="false">IF(AND($B36&lt;&gt;"",$C36&lt;&gt;""),1,0)</f>
        <v>0</v>
      </c>
      <c r="S36" s="55" t="n">
        <f aca="false">N(S35)+$R36</f>
        <v>22</v>
      </c>
    </row>
    <row r="37" customFormat="false" ht="13.5" hidden="false" customHeight="false" outlineLevel="0" collapsed="false">
      <c r="A37" s="9" t="n">
        <v>36</v>
      </c>
      <c r="B37" s="39" t="str">
        <f aca="false">IF($V$4=0,IF($J37="","",$J37),IFERROR(IF([1]入库吨位汇总!$B$36=0,"",[1]入库吨位汇总!$B$36),""))</f>
        <v/>
      </c>
      <c r="C37" s="39" t="str">
        <f aca="false">IF($V$4=0,IF($K37="","",$K37),IFERROR(IF([1]入库吨位汇总!$C$36=0,"",[1]入库吨位汇总!$C$36),""))</f>
        <v/>
      </c>
      <c r="D37" s="51" t="str">
        <f aca="false">IF($V$4=0,IF($L37="","",$L37),IFERROR(IF([1]入库吨位汇总!$D$36=0,"",[1]入库吨位汇总!$D$36),""))</f>
        <v/>
      </c>
      <c r="E37" s="51" t="str">
        <f aca="false">IF($V$4=0,IF($M37="","",$M37),IFERROR(IF([1]入库吨位汇总!$E$36=0,"",[1]入库吨位汇总!$E$36),""))</f>
        <v/>
      </c>
      <c r="F37" s="41" t="str">
        <f aca="false">IF($V$4=0,IF($N37="","",$N37),IFERROR(IF([1]入库吨位汇总!$K$36=0,"",[1]入库吨位汇总!$K$36),""))</f>
        <v/>
      </c>
      <c r="G37" s="52" t="str">
        <f aca="false">IF($V$4=0,IF($O37="","",$O37),IFERROR(IF([1]入库吨位汇总!$L$36=0,"",[1]入库吨位汇总!$L$36),""))</f>
        <v/>
      </c>
      <c r="H37" s="41" t="str">
        <f aca="false">IF($V$4=0,IF($P37="","",$P37),IFERROR(IF([1]入库吨位汇总!$H$36=0,"",[1]入库吨位汇总!$H$36),""))</f>
        <v/>
      </c>
      <c r="I37" s="41" t="str">
        <f aca="false">IF($V$4=0,IF($Q37="","",$Q37),IFERROR(IF([1]入库吨位汇总!$I$36=0,"",[1]入库吨位汇总!$I$36),""))</f>
        <v/>
      </c>
      <c r="J37" s="10"/>
      <c r="K37" s="10"/>
      <c r="L37" s="53"/>
      <c r="M37" s="53"/>
      <c r="N37" s="54"/>
      <c r="O37" s="54"/>
      <c r="P37" s="54"/>
      <c r="Q37" s="54"/>
      <c r="R37" s="55" t="n">
        <f aca="false">IF(AND($B37&lt;&gt;"",$C37&lt;&gt;""),1,0)</f>
        <v>0</v>
      </c>
      <c r="S37" s="55" t="n">
        <f aca="false">N(S36)+$R37</f>
        <v>22</v>
      </c>
    </row>
    <row r="38" customFormat="false" ht="13.5" hidden="false" customHeight="false" outlineLevel="0" collapsed="false">
      <c r="A38" s="9" t="n">
        <v>37</v>
      </c>
      <c r="B38" s="39" t="str">
        <f aca="false">IF($V$4=0,IF($J38="","",$J38),IFERROR(IF([1]入库吨位汇总!$B$37=0,"",[1]入库吨位汇总!$B$37),""))</f>
        <v/>
      </c>
      <c r="C38" s="39" t="str">
        <f aca="false">IF($V$4=0,IF($K38="","",$K38),IFERROR(IF([1]入库吨位汇总!$C$37=0,"",[1]入库吨位汇总!$C$37),""))</f>
        <v/>
      </c>
      <c r="D38" s="51" t="str">
        <f aca="false">IF($V$4=0,IF($L38="","",$L38),IFERROR(IF([1]入库吨位汇总!$D$37=0,"",[1]入库吨位汇总!$D$37),""))</f>
        <v/>
      </c>
      <c r="E38" s="51" t="str">
        <f aca="false">IF($V$4=0,IF($M38="","",$M38),IFERROR(IF([1]入库吨位汇总!$E$37=0,"",[1]入库吨位汇总!$E$37),""))</f>
        <v/>
      </c>
      <c r="F38" s="41" t="str">
        <f aca="false">IF($V$4=0,IF($N38="","",$N38),IFERROR(IF([1]入库吨位汇总!$K$37=0,"",[1]入库吨位汇总!$K$37),""))</f>
        <v/>
      </c>
      <c r="G38" s="52" t="str">
        <f aca="false">IF($V$4=0,IF($O38="","",$O38),IFERROR(IF([1]入库吨位汇总!$L$37=0,"",[1]入库吨位汇总!$L$37),""))</f>
        <v/>
      </c>
      <c r="H38" s="41" t="str">
        <f aca="false">IF($V$4=0,IF($P38="","",$P38),IFERROR(IF([1]入库吨位汇总!$H$37=0,"",[1]入库吨位汇总!$H$37),""))</f>
        <v/>
      </c>
      <c r="I38" s="41" t="str">
        <f aca="false">IF($V$4=0,IF($Q38="","",$Q38),IFERROR(IF([1]入库吨位汇总!$I$37=0,"",[1]入库吨位汇总!$I$37),""))</f>
        <v/>
      </c>
      <c r="J38" s="10"/>
      <c r="K38" s="10"/>
      <c r="L38" s="53"/>
      <c r="M38" s="53"/>
      <c r="N38" s="54"/>
      <c r="O38" s="54"/>
      <c r="P38" s="54"/>
      <c r="Q38" s="54"/>
      <c r="R38" s="55" t="n">
        <f aca="false">IF(AND($B38&lt;&gt;"",$C38&lt;&gt;""),1,0)</f>
        <v>0</v>
      </c>
      <c r="S38" s="55" t="n">
        <f aca="false">N(S37)+$R38</f>
        <v>22</v>
      </c>
    </row>
    <row r="39" customFormat="false" ht="13.5" hidden="false" customHeight="false" outlineLevel="0" collapsed="false">
      <c r="A39" s="9" t="n">
        <v>38</v>
      </c>
      <c r="B39" s="39" t="str">
        <f aca="false">IF($V$4=0,IF($J39="","",$J39),IFERROR(IF([1]入库吨位汇总!$B$38=0,"",[1]入库吨位汇总!$B$38),""))</f>
        <v/>
      </c>
      <c r="C39" s="39" t="str">
        <f aca="false">IF($V$4=0,IF($K39="","",$K39),IFERROR(IF([1]入库吨位汇总!$C$38=0,"",[1]入库吨位汇总!$C$38),""))</f>
        <v/>
      </c>
      <c r="D39" s="51" t="str">
        <f aca="false">IF($V$4=0,IF($L39="","",$L39),IFERROR(IF([1]入库吨位汇总!$D$38=0,"",[1]入库吨位汇总!$D$38),""))</f>
        <v/>
      </c>
      <c r="E39" s="51" t="str">
        <f aca="false">IF($V$4=0,IF($M39="","",$M39),IFERROR(IF([1]入库吨位汇总!$E$38=0,"",[1]入库吨位汇总!$E$38),""))</f>
        <v/>
      </c>
      <c r="F39" s="41" t="str">
        <f aca="false">IF($V$4=0,IF($N39="","",$N39),IFERROR(IF([1]入库吨位汇总!$K$38=0,"",[1]入库吨位汇总!$K$38),""))</f>
        <v/>
      </c>
      <c r="G39" s="52" t="str">
        <f aca="false">IF($V$4=0,IF($O39="","",$O39),IFERROR(IF([1]入库吨位汇总!$L$38=0,"",[1]入库吨位汇总!$L$38),""))</f>
        <v/>
      </c>
      <c r="H39" s="41" t="str">
        <f aca="false">IF($V$4=0,IF($P39="","",$P39),IFERROR(IF([1]入库吨位汇总!$H$38=0,"",[1]入库吨位汇总!$H$38),""))</f>
        <v/>
      </c>
      <c r="I39" s="41" t="str">
        <f aca="false">IF($V$4=0,IF($Q39="","",$Q39),IFERROR(IF([1]入库吨位汇总!$I$38=0,"",[1]入库吨位汇总!$I$38),""))</f>
        <v/>
      </c>
      <c r="J39" s="10"/>
      <c r="K39" s="10"/>
      <c r="L39" s="53"/>
      <c r="M39" s="53"/>
      <c r="N39" s="54"/>
      <c r="O39" s="54"/>
      <c r="P39" s="54"/>
      <c r="Q39" s="54"/>
      <c r="R39" s="55" t="n">
        <f aca="false">IF(AND($B39&lt;&gt;"",$C39&lt;&gt;""),1,0)</f>
        <v>0</v>
      </c>
      <c r="S39" s="55" t="n">
        <f aca="false">N(S38)+$R39</f>
        <v>22</v>
      </c>
    </row>
    <row r="40" customFormat="false" ht="13.5" hidden="false" customHeight="false" outlineLevel="0" collapsed="false">
      <c r="A40" s="9" t="n">
        <v>39</v>
      </c>
      <c r="B40" s="39" t="str">
        <f aca="false">IF($V$4=0,IF($J40="","",$J40),IFERROR(IF([1]入库吨位汇总!$B$39=0,"",[1]入库吨位汇总!$B$39),""))</f>
        <v/>
      </c>
      <c r="C40" s="39" t="str">
        <f aca="false">IF($V$4=0,IF($K40="","",$K40),IFERROR(IF([1]入库吨位汇总!$C$39=0,"",[1]入库吨位汇总!$C$39),""))</f>
        <v/>
      </c>
      <c r="D40" s="51" t="str">
        <f aca="false">IF($V$4=0,IF($L40="","",$L40),IFERROR(IF([1]入库吨位汇总!$D$39=0,"",[1]入库吨位汇总!$D$39),""))</f>
        <v/>
      </c>
      <c r="E40" s="51" t="str">
        <f aca="false">IF($V$4=0,IF($M40="","",$M40),IFERROR(IF([1]入库吨位汇总!$E$39=0,"",[1]入库吨位汇总!$E$39),""))</f>
        <v/>
      </c>
      <c r="F40" s="41" t="str">
        <f aca="false">IF($V$4=0,IF($N40="","",$N40),IFERROR(IF([1]入库吨位汇总!$K$39=0,"",[1]入库吨位汇总!$K$39),""))</f>
        <v/>
      </c>
      <c r="G40" s="52" t="str">
        <f aca="false">IF($V$4=0,IF($O40="","",$O40),IFERROR(IF([1]入库吨位汇总!$L$39=0,"",[1]入库吨位汇总!$L$39),""))</f>
        <v/>
      </c>
      <c r="H40" s="41" t="str">
        <f aca="false">IF($V$4=0,IF($P40="","",$P40),IFERROR(IF([1]入库吨位汇总!$H$39=0,"",[1]入库吨位汇总!$H$39),""))</f>
        <v/>
      </c>
      <c r="I40" s="41" t="str">
        <f aca="false">IF($V$4=0,IF($Q40="","",$Q40),IFERROR(IF([1]入库吨位汇总!$I$39=0,"",[1]入库吨位汇总!$I$39),""))</f>
        <v/>
      </c>
      <c r="J40" s="10"/>
      <c r="K40" s="10"/>
      <c r="L40" s="53"/>
      <c r="M40" s="53"/>
      <c r="N40" s="54"/>
      <c r="O40" s="54"/>
      <c r="P40" s="54"/>
      <c r="Q40" s="54"/>
      <c r="R40" s="55" t="n">
        <f aca="false">IF(AND($B40&lt;&gt;"",$C40&lt;&gt;""),1,0)</f>
        <v>0</v>
      </c>
      <c r="S40" s="55" t="n">
        <f aca="false">N(S39)+$R40</f>
        <v>22</v>
      </c>
    </row>
    <row r="41" customFormat="false" ht="13.5" hidden="false" customHeight="false" outlineLevel="0" collapsed="false">
      <c r="A41" s="9" t="n">
        <v>40</v>
      </c>
      <c r="B41" s="39" t="str">
        <f aca="false">IF($V$4=0,IF($J41="","",$J41),IFERROR(IF([1]入库吨位汇总!$B$40=0,"",[1]入库吨位汇总!$B$40),""))</f>
        <v/>
      </c>
      <c r="C41" s="39" t="str">
        <f aca="false">IF($V$4=0,IF($K41="","",$K41),IFERROR(IF([1]入库吨位汇总!$C$40=0,"",[1]入库吨位汇总!$C$40),""))</f>
        <v/>
      </c>
      <c r="D41" s="51" t="str">
        <f aca="false">IF($V$4=0,IF($L41="","",$L41),IFERROR(IF([1]入库吨位汇总!$D$40=0,"",[1]入库吨位汇总!$D$40),""))</f>
        <v/>
      </c>
      <c r="E41" s="51" t="str">
        <f aca="false">IF($V$4=0,IF($M41="","",$M41),IFERROR(IF([1]入库吨位汇总!$E$40=0,"",[1]入库吨位汇总!$E$40),""))</f>
        <v/>
      </c>
      <c r="F41" s="41" t="str">
        <f aca="false">IF($V$4=0,IF($N41="","",$N41),IFERROR(IF([1]入库吨位汇总!$K$40=0,"",[1]入库吨位汇总!$K$40),""))</f>
        <v/>
      </c>
      <c r="G41" s="52" t="str">
        <f aca="false">IF($V$4=0,IF($O41="","",$O41),IFERROR(IF([1]入库吨位汇总!$L$40=0,"",[1]入库吨位汇总!$L$40),""))</f>
        <v/>
      </c>
      <c r="H41" s="41" t="str">
        <f aca="false">IF($V$4=0,IF($P41="","",$P41),IFERROR(IF([1]入库吨位汇总!$H$40=0,"",[1]入库吨位汇总!$H$40),""))</f>
        <v/>
      </c>
      <c r="I41" s="41" t="str">
        <f aca="false">IF($V$4=0,IF($Q41="","",$Q41),IFERROR(IF([1]入库吨位汇总!$I$40=0,"",[1]入库吨位汇总!$I$40),""))</f>
        <v/>
      </c>
      <c r="J41" s="10"/>
      <c r="K41" s="10"/>
      <c r="L41" s="53"/>
      <c r="M41" s="53"/>
      <c r="N41" s="54"/>
      <c r="O41" s="54"/>
      <c r="P41" s="54"/>
      <c r="Q41" s="54"/>
      <c r="R41" s="55" t="n">
        <f aca="false">IF(AND($B41&lt;&gt;"",$C41&lt;&gt;""),1,0)</f>
        <v>0</v>
      </c>
      <c r="S41" s="55" t="n">
        <f aca="false">N(S40)+$R41</f>
        <v>22</v>
      </c>
    </row>
    <row r="42" customFormat="false" ht="13.5" hidden="false" customHeight="false" outlineLevel="0" collapsed="false">
      <c r="A42" s="9" t="n">
        <v>41</v>
      </c>
      <c r="B42" s="39" t="str">
        <f aca="false">IF($V$4=0,IF($J42="","",$J42),IFERROR(IF([1]入库吨位汇总!$B$41=0,"",[1]入库吨位汇总!$B$41),""))</f>
        <v/>
      </c>
      <c r="C42" s="39" t="str">
        <f aca="false">IF($V$4=0,IF($K42="","",$K42),IFERROR(IF([1]入库吨位汇总!$C$41=0,"",[1]入库吨位汇总!$C$41),""))</f>
        <v/>
      </c>
      <c r="D42" s="51" t="str">
        <f aca="false">IF($V$4=0,IF($L42="","",$L42),IFERROR(IF([1]入库吨位汇总!$D$41=0,"",[1]入库吨位汇总!$D$41),""))</f>
        <v/>
      </c>
      <c r="E42" s="51" t="str">
        <f aca="false">IF($V$4=0,IF($M42="","",$M42),IFERROR(IF([1]入库吨位汇总!$E$41=0,"",[1]入库吨位汇总!$E$41),""))</f>
        <v/>
      </c>
      <c r="F42" s="41" t="str">
        <f aca="false">IF($V$4=0,IF($N42="","",$N42),IFERROR(IF([1]入库吨位汇总!$K$41=0,"",[1]入库吨位汇总!$K$41),""))</f>
        <v/>
      </c>
      <c r="G42" s="52" t="str">
        <f aca="false">IF($V$4=0,IF($O42="","",$O42),IFERROR(IF([1]入库吨位汇总!$L$41=0,"",[1]入库吨位汇总!$L$41),""))</f>
        <v/>
      </c>
      <c r="H42" s="41" t="str">
        <f aca="false">IF($V$4=0,IF($P42="","",$P42),IFERROR(IF([1]入库吨位汇总!$H$41=0,"",[1]入库吨位汇总!$H$41),""))</f>
        <v/>
      </c>
      <c r="I42" s="41" t="str">
        <f aca="false">IF($V$4=0,IF($Q42="","",$Q42),IFERROR(IF([1]入库吨位汇总!$I$41=0,"",[1]入库吨位汇总!$I$41),""))</f>
        <v/>
      </c>
      <c r="J42" s="10"/>
      <c r="K42" s="10"/>
      <c r="L42" s="53"/>
      <c r="M42" s="53"/>
      <c r="N42" s="54"/>
      <c r="O42" s="54"/>
      <c r="P42" s="54"/>
      <c r="Q42" s="54"/>
      <c r="R42" s="55" t="n">
        <f aca="false">IF(AND($B42&lt;&gt;"",$C42&lt;&gt;""),1,0)</f>
        <v>0</v>
      </c>
      <c r="S42" s="55" t="n">
        <f aca="false">N(S41)+$R42</f>
        <v>22</v>
      </c>
    </row>
    <row r="43" customFormat="false" ht="13.5" hidden="false" customHeight="false" outlineLevel="0" collapsed="false">
      <c r="A43" s="9" t="n">
        <v>42</v>
      </c>
      <c r="B43" s="39" t="str">
        <f aca="false">IF($V$4=0,IF($J43="","",$J43),IFERROR(IF([1]入库吨位汇总!$B$42=0,"",[1]入库吨位汇总!$B$42),""))</f>
        <v/>
      </c>
      <c r="C43" s="39" t="str">
        <f aca="false">IF($V$4=0,IF($K43="","",$K43),IFERROR(IF([1]入库吨位汇总!$C$42=0,"",[1]入库吨位汇总!$C$42),""))</f>
        <v/>
      </c>
      <c r="D43" s="51" t="str">
        <f aca="false">IF($V$4=0,IF($L43="","",$L43),IFERROR(IF([1]入库吨位汇总!$D$42=0,"",[1]入库吨位汇总!$D$42),""))</f>
        <v/>
      </c>
      <c r="E43" s="51" t="str">
        <f aca="false">IF($V$4=0,IF($M43="","",$M43),IFERROR(IF([1]入库吨位汇总!$E$42=0,"",[1]入库吨位汇总!$E$42),""))</f>
        <v/>
      </c>
      <c r="F43" s="41" t="str">
        <f aca="false">IF($V$4=0,IF($N43="","",$N43),IFERROR(IF([1]入库吨位汇总!$K$42=0,"",[1]入库吨位汇总!$K$42),""))</f>
        <v/>
      </c>
      <c r="G43" s="52" t="str">
        <f aca="false">IF($V$4=0,IF($O43="","",$O43),IFERROR(IF([1]入库吨位汇总!$L$42=0,"",[1]入库吨位汇总!$L$42),""))</f>
        <v/>
      </c>
      <c r="H43" s="41" t="str">
        <f aca="false">IF($V$4=0,IF($P43="","",$P43),IFERROR(IF([1]入库吨位汇总!$H$42=0,"",[1]入库吨位汇总!$H$42),""))</f>
        <v/>
      </c>
      <c r="I43" s="41" t="str">
        <f aca="false">IF($V$4=0,IF($Q43="","",$Q43),IFERROR(IF([1]入库吨位汇总!$I$42=0,"",[1]入库吨位汇总!$I$42),""))</f>
        <v/>
      </c>
      <c r="J43" s="10"/>
      <c r="K43" s="10"/>
      <c r="L43" s="53"/>
      <c r="M43" s="53"/>
      <c r="N43" s="54"/>
      <c r="O43" s="54"/>
      <c r="P43" s="54"/>
      <c r="Q43" s="54"/>
      <c r="R43" s="55" t="n">
        <f aca="false">IF(AND($B43&lt;&gt;"",$C43&lt;&gt;""),1,0)</f>
        <v>0</v>
      </c>
      <c r="S43" s="55" t="n">
        <f aca="false">N(S42)+$R43</f>
        <v>22</v>
      </c>
    </row>
    <row r="44" customFormat="false" ht="13.5" hidden="false" customHeight="false" outlineLevel="0" collapsed="false">
      <c r="A44" s="9" t="n">
        <v>43</v>
      </c>
      <c r="B44" s="39" t="str">
        <f aca="false">IF($V$4=0,IF($J44="","",$J44),IFERROR(IF([1]入库吨位汇总!$B$43=0,"",[1]入库吨位汇总!$B$43),""))</f>
        <v/>
      </c>
      <c r="C44" s="39" t="str">
        <f aca="false">IF($V$4=0,IF($K44="","",$K44),IFERROR(IF([1]入库吨位汇总!$C$43=0,"",[1]入库吨位汇总!$C$43),""))</f>
        <v/>
      </c>
      <c r="D44" s="51" t="str">
        <f aca="false">IF($V$4=0,IF($L44="","",$L44),IFERROR(IF([1]入库吨位汇总!$D$43=0,"",[1]入库吨位汇总!$D$43),""))</f>
        <v/>
      </c>
      <c r="E44" s="51" t="str">
        <f aca="false">IF($V$4=0,IF($M44="","",$M44),IFERROR(IF([1]入库吨位汇总!$E$43=0,"",[1]入库吨位汇总!$E$43),""))</f>
        <v/>
      </c>
      <c r="F44" s="41" t="str">
        <f aca="false">IF($V$4=0,IF($N44="","",$N44),IFERROR(IF([1]入库吨位汇总!$K$43=0,"",[1]入库吨位汇总!$K$43),""))</f>
        <v/>
      </c>
      <c r="G44" s="52" t="str">
        <f aca="false">IF($V$4=0,IF($O44="","",$O44),IFERROR(IF([1]入库吨位汇总!$L$43=0,"",[1]入库吨位汇总!$L$43),""))</f>
        <v/>
      </c>
      <c r="H44" s="41" t="str">
        <f aca="false">IF($V$4=0,IF($P44="","",$P44),IFERROR(IF([1]入库吨位汇总!$H$43=0,"",[1]入库吨位汇总!$H$43),""))</f>
        <v/>
      </c>
      <c r="I44" s="41" t="str">
        <f aca="false">IF($V$4=0,IF($Q44="","",$Q44),IFERROR(IF([1]入库吨位汇总!$I$43=0,"",[1]入库吨位汇总!$I$43),""))</f>
        <v/>
      </c>
      <c r="J44" s="10"/>
      <c r="K44" s="10"/>
      <c r="L44" s="53"/>
      <c r="M44" s="53"/>
      <c r="N44" s="54"/>
      <c r="O44" s="54"/>
      <c r="P44" s="54"/>
      <c r="Q44" s="54"/>
      <c r="R44" s="55" t="n">
        <f aca="false">IF(AND($B44&lt;&gt;"",$C44&lt;&gt;""),1,0)</f>
        <v>0</v>
      </c>
      <c r="S44" s="55" t="n">
        <f aca="false">N(S43)+$R44</f>
        <v>22</v>
      </c>
    </row>
    <row r="45" customFormat="false" ht="13.5" hidden="false" customHeight="false" outlineLevel="0" collapsed="false">
      <c r="A45" s="9" t="n">
        <v>44</v>
      </c>
      <c r="B45" s="39" t="str">
        <f aca="false">IF($V$4=0,IF($J45="","",$J45),IFERROR(IF([1]入库吨位汇总!$B$44=0,"",[1]入库吨位汇总!$B$44),""))</f>
        <v/>
      </c>
      <c r="C45" s="39" t="str">
        <f aca="false">IF($V$4=0,IF($K45="","",$K45),IFERROR(IF([1]入库吨位汇总!$C$44=0,"",[1]入库吨位汇总!$C$44),""))</f>
        <v/>
      </c>
      <c r="D45" s="51" t="str">
        <f aca="false">IF($V$4=0,IF($L45="","",$L45),IFERROR(IF([1]入库吨位汇总!$D$44=0,"",[1]入库吨位汇总!$D$44),""))</f>
        <v/>
      </c>
      <c r="E45" s="51" t="str">
        <f aca="false">IF($V$4=0,IF($M45="","",$M45),IFERROR(IF([1]入库吨位汇总!$E$44=0,"",[1]入库吨位汇总!$E$44),""))</f>
        <v/>
      </c>
      <c r="F45" s="41" t="str">
        <f aca="false">IF($V$4=0,IF($N45="","",$N45),IFERROR(IF([1]入库吨位汇总!$K$44=0,"",[1]入库吨位汇总!$K$44),""))</f>
        <v/>
      </c>
      <c r="G45" s="52" t="str">
        <f aca="false">IF($V$4=0,IF($O45="","",$O45),IFERROR(IF([1]入库吨位汇总!$L$44=0,"",[1]入库吨位汇总!$L$44),""))</f>
        <v/>
      </c>
      <c r="H45" s="41" t="str">
        <f aca="false">IF($V$4=0,IF($P45="","",$P45),IFERROR(IF([1]入库吨位汇总!$H$44=0,"",[1]入库吨位汇总!$H$44),""))</f>
        <v/>
      </c>
      <c r="I45" s="41" t="str">
        <f aca="false">IF($V$4=0,IF($Q45="","",$Q45),IFERROR(IF([1]入库吨位汇总!$I$44=0,"",[1]入库吨位汇总!$I$44),""))</f>
        <v/>
      </c>
      <c r="J45" s="10"/>
      <c r="K45" s="10"/>
      <c r="L45" s="53"/>
      <c r="M45" s="53"/>
      <c r="N45" s="54"/>
      <c r="O45" s="54"/>
      <c r="P45" s="54"/>
      <c r="Q45" s="54"/>
      <c r="R45" s="55" t="n">
        <f aca="false">IF(AND($B45&lt;&gt;"",$C45&lt;&gt;""),1,0)</f>
        <v>0</v>
      </c>
      <c r="S45" s="55" t="n">
        <f aca="false">N(S44)+$R45</f>
        <v>22</v>
      </c>
    </row>
    <row r="46" customFormat="false" ht="13.5" hidden="false" customHeight="false" outlineLevel="0" collapsed="false">
      <c r="A46" s="9" t="n">
        <v>45</v>
      </c>
      <c r="B46" s="39" t="str">
        <f aca="false">IF($V$4=0,IF($J46="","",$J46),IFERROR(IF([1]入库吨位汇总!$B$45=0,"",[1]入库吨位汇总!$B$45),""))</f>
        <v/>
      </c>
      <c r="C46" s="39" t="str">
        <f aca="false">IF($V$4=0,IF($K46="","",$K46),IFERROR(IF([1]入库吨位汇总!$C$45=0,"",[1]入库吨位汇总!$C$45),""))</f>
        <v/>
      </c>
      <c r="D46" s="51" t="str">
        <f aca="false">IF($V$4=0,IF($L46="","",$L46),IFERROR(IF([1]入库吨位汇总!$D$45=0,"",[1]入库吨位汇总!$D$45),""))</f>
        <v/>
      </c>
      <c r="E46" s="51" t="str">
        <f aca="false">IF($V$4=0,IF($M46="","",$M46),IFERROR(IF([1]入库吨位汇总!$E$45=0,"",[1]入库吨位汇总!$E$45),""))</f>
        <v/>
      </c>
      <c r="F46" s="41" t="str">
        <f aca="false">IF($V$4=0,IF($N46="","",$N46),IFERROR(IF([1]入库吨位汇总!$K$45=0,"",[1]入库吨位汇总!$K$45),""))</f>
        <v/>
      </c>
      <c r="G46" s="52" t="str">
        <f aca="false">IF($V$4=0,IF($O46="","",$O46),IFERROR(IF([1]入库吨位汇总!$L$45=0,"",[1]入库吨位汇总!$L$45),""))</f>
        <v/>
      </c>
      <c r="H46" s="41" t="str">
        <f aca="false">IF($V$4=0,IF($P46="","",$P46),IFERROR(IF([1]入库吨位汇总!$H$45=0,"",[1]入库吨位汇总!$H$45),""))</f>
        <v/>
      </c>
      <c r="I46" s="41" t="str">
        <f aca="false">IF($V$4=0,IF($Q46="","",$Q46),IFERROR(IF([1]入库吨位汇总!$I$45=0,"",[1]入库吨位汇总!$I$45),""))</f>
        <v/>
      </c>
      <c r="J46" s="10"/>
      <c r="K46" s="10"/>
      <c r="L46" s="53"/>
      <c r="M46" s="53"/>
      <c r="N46" s="54"/>
      <c r="O46" s="54"/>
      <c r="P46" s="54"/>
      <c r="Q46" s="54"/>
      <c r="R46" s="55" t="n">
        <f aca="false">IF(AND($B46&lt;&gt;"",$C46&lt;&gt;""),1,0)</f>
        <v>0</v>
      </c>
      <c r="S46" s="55" t="n">
        <f aca="false">N(S45)+$R46</f>
        <v>22</v>
      </c>
    </row>
    <row r="47" customFormat="false" ht="13.5" hidden="false" customHeight="false" outlineLevel="0" collapsed="false">
      <c r="A47" s="9" t="n">
        <v>46</v>
      </c>
      <c r="B47" s="39" t="str">
        <f aca="false">IF($V$4=0,IF($J47="","",$J47),IFERROR(IF([1]入库吨位汇总!$B$46=0,"",[1]入库吨位汇总!$B$46),""))</f>
        <v/>
      </c>
      <c r="C47" s="39" t="str">
        <f aca="false">IF($V$4=0,IF($K47="","",$K47),IFERROR(IF([1]入库吨位汇总!$C$46=0,"",[1]入库吨位汇总!$C$46),""))</f>
        <v/>
      </c>
      <c r="D47" s="51" t="str">
        <f aca="false">IF($V$4=0,IF($L47="","",$L47),IFERROR(IF([1]入库吨位汇总!$D$46=0,"",[1]入库吨位汇总!$D$46),""))</f>
        <v/>
      </c>
      <c r="E47" s="51" t="str">
        <f aca="false">IF($V$4=0,IF($M47="","",$M47),IFERROR(IF([1]入库吨位汇总!$E$46=0,"",[1]入库吨位汇总!$E$46),""))</f>
        <v/>
      </c>
      <c r="F47" s="41" t="str">
        <f aca="false">IF($V$4=0,IF($N47="","",$N47),IFERROR(IF([1]入库吨位汇总!$K$46=0,"",[1]入库吨位汇总!$K$46),""))</f>
        <v/>
      </c>
      <c r="G47" s="52" t="str">
        <f aca="false">IF($V$4=0,IF($O47="","",$O47),IFERROR(IF([1]入库吨位汇总!$L$46=0,"",[1]入库吨位汇总!$L$46),""))</f>
        <v/>
      </c>
      <c r="H47" s="41" t="str">
        <f aca="false">IF($V$4=0,IF($P47="","",$P47),IFERROR(IF([1]入库吨位汇总!$H$46=0,"",[1]入库吨位汇总!$H$46),""))</f>
        <v/>
      </c>
      <c r="I47" s="41" t="str">
        <f aca="false">IF($V$4=0,IF($Q47="","",$Q47),IFERROR(IF([1]入库吨位汇总!$I$46=0,"",[1]入库吨位汇总!$I$46),""))</f>
        <v/>
      </c>
      <c r="J47" s="10"/>
      <c r="K47" s="10"/>
      <c r="L47" s="53"/>
      <c r="M47" s="53"/>
      <c r="N47" s="54"/>
      <c r="O47" s="54"/>
      <c r="P47" s="54"/>
      <c r="Q47" s="54"/>
      <c r="R47" s="55" t="n">
        <f aca="false">IF(AND($B47&lt;&gt;"",$C47&lt;&gt;""),1,0)</f>
        <v>0</v>
      </c>
      <c r="S47" s="55" t="n">
        <f aca="false">N(S46)+$R47</f>
        <v>22</v>
      </c>
    </row>
    <row r="48" customFormat="false" ht="13.5" hidden="false" customHeight="false" outlineLevel="0" collapsed="false">
      <c r="A48" s="9" t="n">
        <v>47</v>
      </c>
      <c r="B48" s="39" t="str">
        <f aca="false">IF($V$4=0,IF($J48="","",$J48),IFERROR(IF([1]入库吨位汇总!$B$47=0,"",[1]入库吨位汇总!$B$47),""))</f>
        <v/>
      </c>
      <c r="C48" s="39" t="str">
        <f aca="false">IF($V$4=0,IF($K48="","",$K48),IFERROR(IF([1]入库吨位汇总!$C$47=0,"",[1]入库吨位汇总!$C$47),""))</f>
        <v/>
      </c>
      <c r="D48" s="51" t="str">
        <f aca="false">IF($V$4=0,IF($L48="","",$L48),IFERROR(IF([1]入库吨位汇总!$D$47=0,"",[1]入库吨位汇总!$D$47),""))</f>
        <v/>
      </c>
      <c r="E48" s="51" t="str">
        <f aca="false">IF($V$4=0,IF($M48="","",$M48),IFERROR(IF([1]入库吨位汇总!$E$47=0,"",[1]入库吨位汇总!$E$47),""))</f>
        <v/>
      </c>
      <c r="F48" s="41" t="str">
        <f aca="false">IF($V$4=0,IF($N48="","",$N48),IFERROR(IF([1]入库吨位汇总!$K$47=0,"",[1]入库吨位汇总!$K$47),""))</f>
        <v/>
      </c>
      <c r="G48" s="52" t="str">
        <f aca="false">IF($V$4=0,IF($O48="","",$O48),IFERROR(IF([1]入库吨位汇总!$L$47=0,"",[1]入库吨位汇总!$L$47),""))</f>
        <v/>
      </c>
      <c r="H48" s="41" t="str">
        <f aca="false">IF($V$4=0,IF($P48="","",$P48),IFERROR(IF([1]入库吨位汇总!$H$47=0,"",[1]入库吨位汇总!$H$47),""))</f>
        <v/>
      </c>
      <c r="I48" s="41" t="str">
        <f aca="false">IF($V$4=0,IF($Q48="","",$Q48),IFERROR(IF([1]入库吨位汇总!$I$47=0,"",[1]入库吨位汇总!$I$47),""))</f>
        <v/>
      </c>
      <c r="J48" s="10"/>
      <c r="K48" s="10"/>
      <c r="L48" s="53"/>
      <c r="M48" s="53"/>
      <c r="N48" s="54"/>
      <c r="O48" s="54"/>
      <c r="P48" s="54"/>
      <c r="Q48" s="54"/>
      <c r="R48" s="55" t="n">
        <f aca="false">IF(AND($B48&lt;&gt;"",$C48&lt;&gt;""),1,0)</f>
        <v>0</v>
      </c>
      <c r="S48" s="55" t="n">
        <f aca="false">N(S47)+$R48</f>
        <v>22</v>
      </c>
    </row>
    <row r="49" customFormat="false" ht="13.5" hidden="false" customHeight="false" outlineLevel="0" collapsed="false">
      <c r="A49" s="9" t="n">
        <v>48</v>
      </c>
      <c r="B49" s="39" t="str">
        <f aca="false">IF($V$4=0,IF($J49="","",$J49),IFERROR(IF([1]入库吨位汇总!$B$48=0,"",[1]入库吨位汇总!$B$48),""))</f>
        <v/>
      </c>
      <c r="C49" s="39" t="str">
        <f aca="false">IF($V$4=0,IF($K49="","",$K49),IFERROR(IF([1]入库吨位汇总!$C$48=0,"",[1]入库吨位汇总!$C$48),""))</f>
        <v/>
      </c>
      <c r="D49" s="51" t="str">
        <f aca="false">IF($V$4=0,IF($L49="","",$L49),IFERROR(IF([1]入库吨位汇总!$D$48=0,"",[1]入库吨位汇总!$D$48),""))</f>
        <v/>
      </c>
      <c r="E49" s="51" t="str">
        <f aca="false">IF($V$4=0,IF($M49="","",$M49),IFERROR(IF([1]入库吨位汇总!$E$48=0,"",[1]入库吨位汇总!$E$48),""))</f>
        <v/>
      </c>
      <c r="F49" s="41" t="str">
        <f aca="false">IF($V$4=0,IF($N49="","",$N49),IFERROR(IF([1]入库吨位汇总!$K$48=0,"",[1]入库吨位汇总!$K$48),""))</f>
        <v/>
      </c>
      <c r="G49" s="52" t="str">
        <f aca="false">IF($V$4=0,IF($O49="","",$O49),IFERROR(IF([1]入库吨位汇总!$L$48=0,"",[1]入库吨位汇总!$L$48),""))</f>
        <v/>
      </c>
      <c r="H49" s="41" t="str">
        <f aca="false">IF($V$4=0,IF($P49="","",$P49),IFERROR(IF([1]入库吨位汇总!$H$48=0,"",[1]入库吨位汇总!$H$48),""))</f>
        <v/>
      </c>
      <c r="I49" s="41" t="str">
        <f aca="false">IF($V$4=0,IF($Q49="","",$Q49),IFERROR(IF([1]入库吨位汇总!$I$48=0,"",[1]入库吨位汇总!$I$48),""))</f>
        <v/>
      </c>
      <c r="J49" s="10"/>
      <c r="K49" s="10"/>
      <c r="L49" s="53"/>
      <c r="M49" s="53"/>
      <c r="N49" s="54"/>
      <c r="O49" s="54"/>
      <c r="P49" s="54"/>
      <c r="Q49" s="54"/>
      <c r="R49" s="55" t="n">
        <f aca="false">IF(AND($B49&lt;&gt;"",$C49&lt;&gt;""),1,0)</f>
        <v>0</v>
      </c>
      <c r="S49" s="55" t="n">
        <f aca="false">N(S48)+$R49</f>
        <v>22</v>
      </c>
    </row>
    <row r="50" customFormat="false" ht="13.5" hidden="false" customHeight="false" outlineLevel="0" collapsed="false">
      <c r="A50" s="9" t="n">
        <v>49</v>
      </c>
      <c r="B50" s="39" t="str">
        <f aca="false">IF($V$4=0,IF($J50="","",$J50),IFERROR(IF([1]入库吨位汇总!$B$49=0,"",[1]入库吨位汇总!$B$49),""))</f>
        <v/>
      </c>
      <c r="C50" s="39" t="str">
        <f aca="false">IF($V$4=0,IF($K50="","",$K50),IFERROR(IF([1]入库吨位汇总!$C$49=0,"",[1]入库吨位汇总!$C$49),""))</f>
        <v/>
      </c>
      <c r="D50" s="51" t="str">
        <f aca="false">IF($V$4=0,IF($L50="","",$L50),IFERROR(IF([1]入库吨位汇总!$D$49=0,"",[1]入库吨位汇总!$D$49),""))</f>
        <v/>
      </c>
      <c r="E50" s="51" t="str">
        <f aca="false">IF($V$4=0,IF($M50="","",$M50),IFERROR(IF([1]入库吨位汇总!$E$49=0,"",[1]入库吨位汇总!$E$49),""))</f>
        <v/>
      </c>
      <c r="F50" s="41" t="str">
        <f aca="false">IF($V$4=0,IF($N50="","",$N50),IFERROR(IF([1]入库吨位汇总!$K$49=0,"",[1]入库吨位汇总!$K$49),""))</f>
        <v/>
      </c>
      <c r="G50" s="52" t="str">
        <f aca="false">IF($V$4=0,IF($O50="","",$O50),IFERROR(IF([1]入库吨位汇总!$L$49=0,"",[1]入库吨位汇总!$L$49),""))</f>
        <v/>
      </c>
      <c r="H50" s="41" t="str">
        <f aca="false">IF($V$4=0,IF($P50="","",$P50),IFERROR(IF([1]入库吨位汇总!$H$49=0,"",[1]入库吨位汇总!$H$49),""))</f>
        <v/>
      </c>
      <c r="I50" s="41" t="str">
        <f aca="false">IF($V$4=0,IF($Q50="","",$Q50),IFERROR(IF([1]入库吨位汇总!$I$49=0,"",[1]入库吨位汇总!$I$49),""))</f>
        <v/>
      </c>
      <c r="J50" s="10"/>
      <c r="K50" s="10"/>
      <c r="L50" s="53"/>
      <c r="M50" s="53"/>
      <c r="N50" s="54"/>
      <c r="O50" s="54"/>
      <c r="P50" s="54"/>
      <c r="Q50" s="54"/>
      <c r="R50" s="55" t="n">
        <f aca="false">IF(AND($B50&lt;&gt;"",$C50&lt;&gt;""),1,0)</f>
        <v>0</v>
      </c>
      <c r="S50" s="55" t="n">
        <f aca="false">N(S49)+$R50</f>
        <v>22</v>
      </c>
    </row>
    <row r="51" customFormat="false" ht="13.5" hidden="false" customHeight="false" outlineLevel="0" collapsed="false">
      <c r="A51" s="9" t="n">
        <v>50</v>
      </c>
      <c r="B51" s="39" t="str">
        <f aca="false">IF($V$4=0,IF($J51="","",$J51),IFERROR(IF([1]入库吨位汇总!$B$50=0,"",[1]入库吨位汇总!$B$50),""))</f>
        <v/>
      </c>
      <c r="C51" s="39" t="str">
        <f aca="false">IF($V$4=0,IF($K51="","",$K51),IFERROR(IF([1]入库吨位汇总!$C$50=0,"",[1]入库吨位汇总!$C$50),""))</f>
        <v/>
      </c>
      <c r="D51" s="51" t="str">
        <f aca="false">IF($V$4=0,IF($L51="","",$L51),IFERROR(IF([1]入库吨位汇总!$D$50=0,"",[1]入库吨位汇总!$D$50),""))</f>
        <v/>
      </c>
      <c r="E51" s="51" t="str">
        <f aca="false">IF($V$4=0,IF($M51="","",$M51),IFERROR(IF([1]入库吨位汇总!$E$50=0,"",[1]入库吨位汇总!$E$50),""))</f>
        <v/>
      </c>
      <c r="F51" s="41" t="str">
        <f aca="false">IF($V$4=0,IF($N51="","",$N51),IFERROR(IF([1]入库吨位汇总!$K$50=0,"",[1]入库吨位汇总!$K$50),""))</f>
        <v/>
      </c>
      <c r="G51" s="52" t="str">
        <f aca="false">IF($V$4=0,IF($O51="","",$O51),IFERROR(IF([1]入库吨位汇总!$L$50=0,"",[1]入库吨位汇总!$L$50),""))</f>
        <v/>
      </c>
      <c r="H51" s="41" t="str">
        <f aca="false">IF($V$4=0,IF($P51="","",$P51),IFERROR(IF([1]入库吨位汇总!$H$50=0,"",[1]入库吨位汇总!$H$50),""))</f>
        <v/>
      </c>
      <c r="I51" s="41" t="str">
        <f aca="false">IF($V$4=0,IF($Q51="","",$Q51),IFERROR(IF([1]入库吨位汇总!$I$50=0,"",[1]入库吨位汇总!$I$50),""))</f>
        <v/>
      </c>
      <c r="J51" s="10"/>
      <c r="K51" s="10"/>
      <c r="L51" s="53"/>
      <c r="M51" s="53"/>
      <c r="N51" s="54"/>
      <c r="O51" s="54"/>
      <c r="P51" s="54"/>
      <c r="Q51" s="54"/>
      <c r="R51" s="55" t="n">
        <f aca="false">IF(AND($B51&lt;&gt;"",$C51&lt;&gt;""),1,0)</f>
        <v>0</v>
      </c>
      <c r="S51" s="55" t="n">
        <f aca="false">N(S50)+$R51</f>
        <v>22</v>
      </c>
    </row>
    <row r="52" customFormat="false" ht="13.5" hidden="false" customHeight="false" outlineLevel="0" collapsed="false">
      <c r="A52" s="9" t="n">
        <v>51</v>
      </c>
      <c r="B52" s="39" t="str">
        <f aca="false">IF($V$4=0,IF($J52="","",$J52),IFERROR(IF([1]入库吨位汇总!$B$51=0,"",[1]入库吨位汇总!$B$51),""))</f>
        <v/>
      </c>
      <c r="C52" s="39" t="str">
        <f aca="false">IF($V$4=0,IF($K52="","",$K52),IFERROR(IF([1]入库吨位汇总!$C$51=0,"",[1]入库吨位汇总!$C$51),""))</f>
        <v/>
      </c>
      <c r="D52" s="51" t="str">
        <f aca="false">IF($V$4=0,IF($L52="","",$L52),IFERROR(IF([1]入库吨位汇总!$D$51=0,"",[1]入库吨位汇总!$D$51),""))</f>
        <v/>
      </c>
      <c r="E52" s="51" t="str">
        <f aca="false">IF($V$4=0,IF($M52="","",$M52),IFERROR(IF([1]入库吨位汇总!$E$51=0,"",[1]入库吨位汇总!$E$51),""))</f>
        <v/>
      </c>
      <c r="F52" s="41" t="str">
        <f aca="false">IF($V$4=0,IF($N52="","",$N52),IFERROR(IF([1]入库吨位汇总!$K$51=0,"",[1]入库吨位汇总!$K$51),""))</f>
        <v/>
      </c>
      <c r="G52" s="52" t="str">
        <f aca="false">IF($V$4=0,IF($O52="","",$O52),IFERROR(IF([1]入库吨位汇总!$L$51=0,"",[1]入库吨位汇总!$L$51),""))</f>
        <v/>
      </c>
      <c r="H52" s="41" t="str">
        <f aca="false">IF($V$4=0,IF($P52="","",$P52),IFERROR(IF([1]入库吨位汇总!$H$51=0,"",[1]入库吨位汇总!$H$51),""))</f>
        <v/>
      </c>
      <c r="I52" s="41" t="str">
        <f aca="false">IF($V$4=0,IF($Q52="","",$Q52),IFERROR(IF([1]入库吨位汇总!$I$51=0,"",[1]入库吨位汇总!$I$51),""))</f>
        <v/>
      </c>
      <c r="J52" s="10"/>
      <c r="K52" s="10"/>
      <c r="L52" s="53"/>
      <c r="M52" s="53"/>
      <c r="N52" s="54"/>
      <c r="O52" s="54"/>
      <c r="P52" s="54"/>
      <c r="Q52" s="54"/>
      <c r="R52" s="55" t="n">
        <f aca="false">IF(AND($B52&lt;&gt;"",$C52&lt;&gt;""),1,0)</f>
        <v>0</v>
      </c>
      <c r="S52" s="55" t="n">
        <f aca="false">N(S51)+$R52</f>
        <v>22</v>
      </c>
    </row>
    <row r="53" customFormat="false" ht="13.5" hidden="false" customHeight="false" outlineLevel="0" collapsed="false">
      <c r="A53" s="9" t="n">
        <v>52</v>
      </c>
      <c r="B53" s="39" t="str">
        <f aca="false">IF($V$4=0,IF($J53="","",$J53),IFERROR(IF([1]入库吨位汇总!$B$52=0,"",[1]入库吨位汇总!$B$52),""))</f>
        <v/>
      </c>
      <c r="C53" s="39" t="str">
        <f aca="false">IF($V$4=0,IF($K53="","",$K53),IFERROR(IF([1]入库吨位汇总!$C$52=0,"",[1]入库吨位汇总!$C$52),""))</f>
        <v/>
      </c>
      <c r="D53" s="51" t="str">
        <f aca="false">IF($V$4=0,IF($L53="","",$L53),IFERROR(IF([1]入库吨位汇总!$D$52=0,"",[1]入库吨位汇总!$D$52),""))</f>
        <v/>
      </c>
      <c r="E53" s="51" t="str">
        <f aca="false">IF($V$4=0,IF($M53="","",$M53),IFERROR(IF([1]入库吨位汇总!$E$52=0,"",[1]入库吨位汇总!$E$52),""))</f>
        <v/>
      </c>
      <c r="F53" s="41" t="str">
        <f aca="false">IF($V$4=0,IF($N53="","",$N53),IFERROR(IF([1]入库吨位汇总!$K$52=0,"",[1]入库吨位汇总!$K$52),""))</f>
        <v/>
      </c>
      <c r="G53" s="52" t="str">
        <f aca="false">IF($V$4=0,IF($O53="","",$O53),IFERROR(IF([1]入库吨位汇总!$L$52=0,"",[1]入库吨位汇总!$L$52),""))</f>
        <v/>
      </c>
      <c r="H53" s="41" t="str">
        <f aca="false">IF($V$4=0,IF($P53="","",$P53),IFERROR(IF([1]入库吨位汇总!$H$52=0,"",[1]入库吨位汇总!$H$52),""))</f>
        <v/>
      </c>
      <c r="I53" s="41" t="str">
        <f aca="false">IF($V$4=0,IF($Q53="","",$Q53),IFERROR(IF([1]入库吨位汇总!$I$52=0,"",[1]入库吨位汇总!$I$52),""))</f>
        <v/>
      </c>
      <c r="J53" s="10"/>
      <c r="K53" s="10"/>
      <c r="L53" s="53"/>
      <c r="M53" s="53"/>
      <c r="N53" s="54"/>
      <c r="O53" s="54"/>
      <c r="P53" s="54"/>
      <c r="Q53" s="54"/>
      <c r="R53" s="55" t="n">
        <f aca="false">IF(AND($B53&lt;&gt;"",$C53&lt;&gt;""),1,0)</f>
        <v>0</v>
      </c>
      <c r="S53" s="55" t="n">
        <f aca="false">N(S52)+$R53</f>
        <v>22</v>
      </c>
    </row>
    <row r="54" customFormat="false" ht="13.5" hidden="false" customHeight="false" outlineLevel="0" collapsed="false">
      <c r="A54" s="9" t="n">
        <v>53</v>
      </c>
      <c r="B54" s="39" t="str">
        <f aca="false">IF($V$4=0,IF($J54="","",$J54),IFERROR(IF([1]入库吨位汇总!$B$53=0,"",[1]入库吨位汇总!$B$53),""))</f>
        <v/>
      </c>
      <c r="C54" s="39" t="str">
        <f aca="false">IF($V$4=0,IF($K54="","",$K54),IFERROR(IF([1]入库吨位汇总!$C$53=0,"",[1]入库吨位汇总!$C$53),""))</f>
        <v/>
      </c>
      <c r="D54" s="51" t="str">
        <f aca="false">IF($V$4=0,IF($L54="","",$L54),IFERROR(IF([1]入库吨位汇总!$D$53=0,"",[1]入库吨位汇总!$D$53),""))</f>
        <v/>
      </c>
      <c r="E54" s="51" t="str">
        <f aca="false">IF($V$4=0,IF($M54="","",$M54),IFERROR(IF([1]入库吨位汇总!$E$53=0,"",[1]入库吨位汇总!$E$53),""))</f>
        <v/>
      </c>
      <c r="F54" s="41" t="str">
        <f aca="false">IF($V$4=0,IF($N54="","",$N54),IFERROR(IF([1]入库吨位汇总!$K$53=0,"",[1]入库吨位汇总!$K$53),""))</f>
        <v/>
      </c>
      <c r="G54" s="52" t="str">
        <f aca="false">IF($V$4=0,IF($O54="","",$O54),IFERROR(IF([1]入库吨位汇总!$L$53=0,"",[1]入库吨位汇总!$L$53),""))</f>
        <v/>
      </c>
      <c r="H54" s="41" t="str">
        <f aca="false">IF($V$4=0,IF($P54="","",$P54),IFERROR(IF([1]入库吨位汇总!$H$53=0,"",[1]入库吨位汇总!$H$53),""))</f>
        <v/>
      </c>
      <c r="I54" s="41" t="str">
        <f aca="false">IF($V$4=0,IF($Q54="","",$Q54),IFERROR(IF([1]入库吨位汇总!$I$53=0,"",[1]入库吨位汇总!$I$53),""))</f>
        <v/>
      </c>
      <c r="J54" s="10"/>
      <c r="K54" s="10"/>
      <c r="L54" s="53"/>
      <c r="M54" s="53"/>
      <c r="N54" s="54"/>
      <c r="O54" s="54"/>
      <c r="P54" s="54"/>
      <c r="Q54" s="54"/>
      <c r="R54" s="55" t="n">
        <f aca="false">IF(AND($B54&lt;&gt;"",$C54&lt;&gt;""),1,0)</f>
        <v>0</v>
      </c>
      <c r="S54" s="55" t="n">
        <f aca="false">N(S53)+$R54</f>
        <v>22</v>
      </c>
    </row>
    <row r="55" customFormat="false" ht="13.5" hidden="false" customHeight="false" outlineLevel="0" collapsed="false">
      <c r="A55" s="9" t="n">
        <v>54</v>
      </c>
      <c r="B55" s="39" t="str">
        <f aca="false">IF($V$4=0,IF($J55="","",$J55),IFERROR(IF([1]入库吨位汇总!$B$54=0,"",[1]入库吨位汇总!$B$54),""))</f>
        <v/>
      </c>
      <c r="C55" s="39" t="str">
        <f aca="false">IF($V$4=0,IF($K55="","",$K55),IFERROR(IF([1]入库吨位汇总!$C$54=0,"",[1]入库吨位汇总!$C$54),""))</f>
        <v/>
      </c>
      <c r="D55" s="51" t="str">
        <f aca="false">IF($V$4=0,IF($L55="","",$L55),IFERROR(IF([1]入库吨位汇总!$D$54=0,"",[1]入库吨位汇总!$D$54),""))</f>
        <v/>
      </c>
      <c r="E55" s="51" t="str">
        <f aca="false">IF($V$4=0,IF($M55="","",$M55),IFERROR(IF([1]入库吨位汇总!$E$54=0,"",[1]入库吨位汇总!$E$54),""))</f>
        <v/>
      </c>
      <c r="F55" s="41" t="str">
        <f aca="false">IF($V$4=0,IF($N55="","",$N55),IFERROR(IF([1]入库吨位汇总!$K$54=0,"",[1]入库吨位汇总!$K$54),""))</f>
        <v/>
      </c>
      <c r="G55" s="52" t="str">
        <f aca="false">IF($V$4=0,IF($O55="","",$O55),IFERROR(IF([1]入库吨位汇总!$L$54=0,"",[1]入库吨位汇总!$L$54),""))</f>
        <v/>
      </c>
      <c r="H55" s="41" t="str">
        <f aca="false">IF($V$4=0,IF($P55="","",$P55),IFERROR(IF([1]入库吨位汇总!$H$54=0,"",[1]入库吨位汇总!$H$54),""))</f>
        <v/>
      </c>
      <c r="I55" s="41" t="str">
        <f aca="false">IF($V$4=0,IF($Q55="","",$Q55),IFERROR(IF([1]入库吨位汇总!$I$54=0,"",[1]入库吨位汇总!$I$54),""))</f>
        <v/>
      </c>
      <c r="J55" s="10"/>
      <c r="K55" s="10"/>
      <c r="L55" s="53"/>
      <c r="M55" s="53"/>
      <c r="N55" s="54"/>
      <c r="O55" s="54"/>
      <c r="P55" s="54"/>
      <c r="Q55" s="54"/>
      <c r="R55" s="55" t="n">
        <f aca="false">IF(AND($B55&lt;&gt;"",$C55&lt;&gt;""),1,0)</f>
        <v>0</v>
      </c>
      <c r="S55" s="55" t="n">
        <f aca="false">N(S54)+$R55</f>
        <v>22</v>
      </c>
    </row>
    <row r="56" customFormat="false" ht="13.5" hidden="false" customHeight="false" outlineLevel="0" collapsed="false">
      <c r="A56" s="9" t="n">
        <v>55</v>
      </c>
      <c r="B56" s="39" t="str">
        <f aca="false">IF($V$4=0,IF($J56="","",$J56),IFERROR(IF([1]入库吨位汇总!$B$55=0,"",[1]入库吨位汇总!$B$55),""))</f>
        <v/>
      </c>
      <c r="C56" s="39" t="str">
        <f aca="false">IF($V$4=0,IF($K56="","",$K56),IFERROR(IF([1]入库吨位汇总!$C$55=0,"",[1]入库吨位汇总!$C$55),""))</f>
        <v/>
      </c>
      <c r="D56" s="51" t="str">
        <f aca="false">IF($V$4=0,IF($L56="","",$L56),IFERROR(IF([1]入库吨位汇总!$D$55=0,"",[1]入库吨位汇总!$D$55),""))</f>
        <v/>
      </c>
      <c r="E56" s="51" t="str">
        <f aca="false">IF($V$4=0,IF($M56="","",$M56),IFERROR(IF([1]入库吨位汇总!$E$55=0,"",[1]入库吨位汇总!$E$55),""))</f>
        <v/>
      </c>
      <c r="F56" s="41" t="str">
        <f aca="false">IF($V$4=0,IF($N56="","",$N56),IFERROR(IF([1]入库吨位汇总!$K$55=0,"",[1]入库吨位汇总!$K$55),""))</f>
        <v/>
      </c>
      <c r="G56" s="52" t="str">
        <f aca="false">IF($V$4=0,IF($O56="","",$O56),IFERROR(IF([1]入库吨位汇总!$L$55=0,"",[1]入库吨位汇总!$L$55),""))</f>
        <v/>
      </c>
      <c r="H56" s="41" t="str">
        <f aca="false">IF($V$4=0,IF($P56="","",$P56),IFERROR(IF([1]入库吨位汇总!$H$55=0,"",[1]入库吨位汇总!$H$55),""))</f>
        <v/>
      </c>
      <c r="I56" s="41" t="str">
        <f aca="false">IF($V$4=0,IF($Q56="","",$Q56),IFERROR(IF([1]入库吨位汇总!$I$55=0,"",[1]入库吨位汇总!$I$55),""))</f>
        <v/>
      </c>
      <c r="J56" s="10"/>
      <c r="K56" s="10"/>
      <c r="L56" s="53"/>
      <c r="M56" s="53"/>
      <c r="N56" s="54"/>
      <c r="O56" s="54"/>
      <c r="P56" s="54"/>
      <c r="Q56" s="54"/>
      <c r="R56" s="55" t="n">
        <f aca="false">IF(AND($B56&lt;&gt;"",$C56&lt;&gt;""),1,0)</f>
        <v>0</v>
      </c>
      <c r="S56" s="55" t="n">
        <f aca="false">N(S55)+$R56</f>
        <v>22</v>
      </c>
    </row>
    <row r="57" customFormat="false" ht="13.5" hidden="false" customHeight="false" outlineLevel="0" collapsed="false">
      <c r="A57" s="9" t="n">
        <v>56</v>
      </c>
      <c r="B57" s="39" t="str">
        <f aca="false">IF($V$4=0,IF($J57="","",$J57),IFERROR(IF([1]入库吨位汇总!$B$56=0,"",[1]入库吨位汇总!$B$56),""))</f>
        <v/>
      </c>
      <c r="C57" s="39" t="str">
        <f aca="false">IF($V$4=0,IF($K57="","",$K57),IFERROR(IF([1]入库吨位汇总!$C$56=0,"",[1]入库吨位汇总!$C$56),""))</f>
        <v/>
      </c>
      <c r="D57" s="51" t="str">
        <f aca="false">IF($V$4=0,IF($L57="","",$L57),IFERROR(IF([1]入库吨位汇总!$D$56=0,"",[1]入库吨位汇总!$D$56),""))</f>
        <v/>
      </c>
      <c r="E57" s="51" t="str">
        <f aca="false">IF($V$4=0,IF($M57="","",$M57),IFERROR(IF([1]入库吨位汇总!$E$56=0,"",[1]入库吨位汇总!$E$56),""))</f>
        <v/>
      </c>
      <c r="F57" s="41" t="str">
        <f aca="false">IF($V$4=0,IF($N57="","",$N57),IFERROR(IF([1]入库吨位汇总!$K$56=0,"",[1]入库吨位汇总!$K$56),""))</f>
        <v/>
      </c>
      <c r="G57" s="52" t="str">
        <f aca="false">IF($V$4=0,IF($O57="","",$O57),IFERROR(IF([1]入库吨位汇总!$L$56=0,"",[1]入库吨位汇总!$L$56),""))</f>
        <v/>
      </c>
      <c r="H57" s="41" t="str">
        <f aca="false">IF($V$4=0,IF($P57="","",$P57),IFERROR(IF([1]入库吨位汇总!$H$56=0,"",[1]入库吨位汇总!$H$56),""))</f>
        <v/>
      </c>
      <c r="I57" s="41" t="str">
        <f aca="false">IF($V$4=0,IF($Q57="","",$Q57),IFERROR(IF([1]入库吨位汇总!$I$56=0,"",[1]入库吨位汇总!$I$56),""))</f>
        <v/>
      </c>
      <c r="J57" s="10"/>
      <c r="K57" s="10"/>
      <c r="L57" s="53"/>
      <c r="M57" s="53"/>
      <c r="N57" s="54"/>
      <c r="O57" s="54"/>
      <c r="P57" s="54"/>
      <c r="Q57" s="54"/>
      <c r="R57" s="55" t="n">
        <f aca="false">IF(AND($B57&lt;&gt;"",$C57&lt;&gt;""),1,0)</f>
        <v>0</v>
      </c>
      <c r="S57" s="55" t="n">
        <f aca="false">N(S56)+$R57</f>
        <v>22</v>
      </c>
    </row>
    <row r="58" customFormat="false" ht="13.5" hidden="false" customHeight="false" outlineLevel="0" collapsed="false">
      <c r="A58" s="9" t="n">
        <v>57</v>
      </c>
      <c r="B58" s="39" t="str">
        <f aca="false">IF($V$4=0,IF($J58="","",$J58),IFERROR(IF([1]入库吨位汇总!$B$57=0,"",[1]入库吨位汇总!$B$57),""))</f>
        <v/>
      </c>
      <c r="C58" s="39" t="str">
        <f aca="false">IF($V$4=0,IF($K58="","",$K58),IFERROR(IF([1]入库吨位汇总!$C$57=0,"",[1]入库吨位汇总!$C$57),""))</f>
        <v/>
      </c>
      <c r="D58" s="51" t="str">
        <f aca="false">IF($V$4=0,IF($L58="","",$L58),IFERROR(IF([1]入库吨位汇总!$D$57=0,"",[1]入库吨位汇总!$D$57),""))</f>
        <v/>
      </c>
      <c r="E58" s="51" t="str">
        <f aca="false">IF($V$4=0,IF($M58="","",$M58),IFERROR(IF([1]入库吨位汇总!$E$57=0,"",[1]入库吨位汇总!$E$57),""))</f>
        <v/>
      </c>
      <c r="F58" s="41" t="str">
        <f aca="false">IF($V$4=0,IF($N58="","",$N58),IFERROR(IF([1]入库吨位汇总!$K$57=0,"",[1]入库吨位汇总!$K$57),""))</f>
        <v/>
      </c>
      <c r="G58" s="52" t="str">
        <f aca="false">IF($V$4=0,IF($O58="","",$O58),IFERROR(IF([1]入库吨位汇总!$L$57=0,"",[1]入库吨位汇总!$L$57),""))</f>
        <v/>
      </c>
      <c r="H58" s="41" t="str">
        <f aca="false">IF($V$4=0,IF($P58="","",$P58),IFERROR(IF([1]入库吨位汇总!$H$57=0,"",[1]入库吨位汇总!$H$57),""))</f>
        <v/>
      </c>
      <c r="I58" s="41" t="str">
        <f aca="false">IF($V$4=0,IF($Q58="","",$Q58),IFERROR(IF([1]入库吨位汇总!$I$57=0,"",[1]入库吨位汇总!$I$57),""))</f>
        <v/>
      </c>
      <c r="J58" s="10"/>
      <c r="K58" s="10"/>
      <c r="L58" s="53"/>
      <c r="M58" s="53"/>
      <c r="N58" s="54"/>
      <c r="O58" s="54"/>
      <c r="P58" s="54"/>
      <c r="Q58" s="54"/>
      <c r="R58" s="55" t="n">
        <f aca="false">IF(AND($B58&lt;&gt;"",$C58&lt;&gt;""),1,0)</f>
        <v>0</v>
      </c>
      <c r="S58" s="55" t="n">
        <f aca="false">N(S57)+$R58</f>
        <v>22</v>
      </c>
    </row>
    <row r="59" customFormat="false" ht="13.5" hidden="false" customHeight="false" outlineLevel="0" collapsed="false">
      <c r="A59" s="9" t="n">
        <v>58</v>
      </c>
      <c r="B59" s="39" t="str">
        <f aca="false">IF($V$4=0,IF($J59="","",$J59),IFERROR(IF([1]入库吨位汇总!$B$58=0,"",[1]入库吨位汇总!$B$58),""))</f>
        <v/>
      </c>
      <c r="C59" s="39" t="str">
        <f aca="false">IF($V$4=0,IF($K59="","",$K59),IFERROR(IF([1]入库吨位汇总!$C$58=0,"",[1]入库吨位汇总!$C$58),""))</f>
        <v/>
      </c>
      <c r="D59" s="51" t="str">
        <f aca="false">IF($V$4=0,IF($L59="","",$L59),IFERROR(IF([1]入库吨位汇总!$D$58=0,"",[1]入库吨位汇总!$D$58),""))</f>
        <v/>
      </c>
      <c r="E59" s="51" t="str">
        <f aca="false">IF($V$4=0,IF($M59="","",$M59),IFERROR(IF([1]入库吨位汇总!$E$58=0,"",[1]入库吨位汇总!$E$58),""))</f>
        <v/>
      </c>
      <c r="F59" s="41" t="str">
        <f aca="false">IF($V$4=0,IF($N59="","",$N59),IFERROR(IF([1]入库吨位汇总!$K$58=0,"",[1]入库吨位汇总!$K$58),""))</f>
        <v/>
      </c>
      <c r="G59" s="52" t="str">
        <f aca="false">IF($V$4=0,IF($O59="","",$O59),IFERROR(IF([1]入库吨位汇总!$L$58=0,"",[1]入库吨位汇总!$L$58),""))</f>
        <v/>
      </c>
      <c r="H59" s="41" t="str">
        <f aca="false">IF($V$4=0,IF($P59="","",$P59),IFERROR(IF([1]入库吨位汇总!$H$58=0,"",[1]入库吨位汇总!$H$58),""))</f>
        <v/>
      </c>
      <c r="I59" s="41" t="str">
        <f aca="false">IF($V$4=0,IF($Q59="","",$Q59),IFERROR(IF([1]入库吨位汇总!$I$58=0,"",[1]入库吨位汇总!$I$58),""))</f>
        <v/>
      </c>
      <c r="J59" s="10"/>
      <c r="K59" s="10"/>
      <c r="L59" s="53"/>
      <c r="M59" s="53"/>
      <c r="N59" s="54"/>
      <c r="O59" s="54"/>
      <c r="P59" s="54"/>
      <c r="Q59" s="54"/>
      <c r="R59" s="55" t="n">
        <f aca="false">IF(AND($B59&lt;&gt;"",$C59&lt;&gt;""),1,0)</f>
        <v>0</v>
      </c>
      <c r="S59" s="55" t="n">
        <f aca="false">N(S58)+$R59</f>
        <v>22</v>
      </c>
    </row>
    <row r="60" customFormat="false" ht="13.5" hidden="false" customHeight="false" outlineLevel="0" collapsed="false">
      <c r="A60" s="9" t="n">
        <v>59</v>
      </c>
      <c r="B60" s="39" t="str">
        <f aca="false">IF($V$4=0,IF($J60="","",$J60),IFERROR(IF([1]入库吨位汇总!$B$59=0,"",[1]入库吨位汇总!$B$59),""))</f>
        <v/>
      </c>
      <c r="C60" s="39" t="str">
        <f aca="false">IF($V$4=0,IF($K60="","",$K60),IFERROR(IF([1]入库吨位汇总!$C$59=0,"",[1]入库吨位汇总!$C$59),""))</f>
        <v/>
      </c>
      <c r="D60" s="51" t="str">
        <f aca="false">IF($V$4=0,IF($L60="","",$L60),IFERROR(IF([1]入库吨位汇总!$D$59=0,"",[1]入库吨位汇总!$D$59),""))</f>
        <v/>
      </c>
      <c r="E60" s="51" t="str">
        <f aca="false">IF($V$4=0,IF($M60="","",$M60),IFERROR(IF([1]入库吨位汇总!$E$59=0,"",[1]入库吨位汇总!$E$59),""))</f>
        <v/>
      </c>
      <c r="F60" s="41" t="str">
        <f aca="false">IF($V$4=0,IF($N60="","",$N60),IFERROR(IF([1]入库吨位汇总!$K$59=0,"",[1]入库吨位汇总!$K$59),""))</f>
        <v/>
      </c>
      <c r="G60" s="52" t="str">
        <f aca="false">IF($V$4=0,IF($O60="","",$O60),IFERROR(IF([1]入库吨位汇总!$L$59=0,"",[1]入库吨位汇总!$L$59),""))</f>
        <v/>
      </c>
      <c r="H60" s="41" t="str">
        <f aca="false">IF($V$4=0,IF($P60="","",$P60),IFERROR(IF([1]入库吨位汇总!$H$59=0,"",[1]入库吨位汇总!$H$59),""))</f>
        <v/>
      </c>
      <c r="I60" s="41" t="str">
        <f aca="false">IF($V$4=0,IF($Q60="","",$Q60),IFERROR(IF([1]入库吨位汇总!$I$59=0,"",[1]入库吨位汇总!$I$59),""))</f>
        <v/>
      </c>
      <c r="J60" s="10"/>
      <c r="K60" s="10"/>
      <c r="L60" s="53"/>
      <c r="M60" s="53"/>
      <c r="N60" s="54"/>
      <c r="O60" s="54"/>
      <c r="P60" s="54"/>
      <c r="Q60" s="54"/>
      <c r="R60" s="55" t="n">
        <f aca="false">IF(AND($B60&lt;&gt;"",$C60&lt;&gt;""),1,0)</f>
        <v>0</v>
      </c>
      <c r="S60" s="55" t="n">
        <f aca="false">N(S59)+$R60</f>
        <v>22</v>
      </c>
    </row>
    <row r="61" customFormat="false" ht="13.5" hidden="false" customHeight="false" outlineLevel="0" collapsed="false">
      <c r="A61" s="9" t="n">
        <v>60</v>
      </c>
      <c r="B61" s="39" t="str">
        <f aca="false">IF($V$4=0,IF($J61="","",$J61),IFERROR(IF([1]入库吨位汇总!$B$60=0,"",[1]入库吨位汇总!$B$60),""))</f>
        <v/>
      </c>
      <c r="C61" s="39" t="str">
        <f aca="false">IF($V$4=0,IF($K61="","",$K61),IFERROR(IF([1]入库吨位汇总!$C$60=0,"",[1]入库吨位汇总!$C$60),""))</f>
        <v/>
      </c>
      <c r="D61" s="51" t="str">
        <f aca="false">IF($V$4=0,IF($L61="","",$L61),IFERROR(IF([1]入库吨位汇总!$D$60=0,"",[1]入库吨位汇总!$D$60),""))</f>
        <v/>
      </c>
      <c r="E61" s="51" t="str">
        <f aca="false">IF($V$4=0,IF($M61="","",$M61),IFERROR(IF([1]入库吨位汇总!$E$60=0,"",[1]入库吨位汇总!$E$60),""))</f>
        <v/>
      </c>
      <c r="F61" s="41" t="str">
        <f aca="false">IF($V$4=0,IF($N61="","",$N61),IFERROR(IF([1]入库吨位汇总!$K$60=0,"",[1]入库吨位汇总!$K$60),""))</f>
        <v/>
      </c>
      <c r="G61" s="52" t="str">
        <f aca="false">IF($V$4=0,IF($O61="","",$O61),IFERROR(IF([1]入库吨位汇总!$L$60=0,"",[1]入库吨位汇总!$L$60),""))</f>
        <v/>
      </c>
      <c r="H61" s="41" t="str">
        <f aca="false">IF($V$4=0,IF($P61="","",$P61),IFERROR(IF([1]入库吨位汇总!$H$60=0,"",[1]入库吨位汇总!$H$60),""))</f>
        <v/>
      </c>
      <c r="I61" s="41" t="str">
        <f aca="false">IF($V$4=0,IF($Q61="","",$Q61),IFERROR(IF([1]入库吨位汇总!$I$60=0,"",[1]入库吨位汇总!$I$60),""))</f>
        <v/>
      </c>
      <c r="J61" s="10"/>
      <c r="K61" s="10"/>
      <c r="L61" s="53"/>
      <c r="M61" s="53"/>
      <c r="N61" s="54"/>
      <c r="O61" s="54"/>
      <c r="P61" s="54"/>
      <c r="Q61" s="54"/>
      <c r="R61" s="55" t="n">
        <f aca="false">IF(AND($B61&lt;&gt;"",$C61&lt;&gt;""),1,0)</f>
        <v>0</v>
      </c>
      <c r="S61" s="55" t="n">
        <f aca="false">N(S60)+$R61</f>
        <v>22</v>
      </c>
    </row>
    <row r="62" customFormat="false" ht="13.5" hidden="false" customHeight="false" outlineLevel="0" collapsed="false">
      <c r="A62" s="9" t="n">
        <v>61</v>
      </c>
      <c r="B62" s="39" t="str">
        <f aca="false">IF($V$4=0,IF($J62="","",$J62),IFERROR(IF([1]入库吨位汇总!$B$61=0,"",[1]入库吨位汇总!$B$61),""))</f>
        <v/>
      </c>
      <c r="C62" s="39" t="str">
        <f aca="false">IF($V$4=0,IF($K62="","",$K62),IFERROR(IF([1]入库吨位汇总!$C$61=0,"",[1]入库吨位汇总!$C$61),""))</f>
        <v/>
      </c>
      <c r="D62" s="51" t="str">
        <f aca="false">IF($V$4=0,IF($L62="","",$L62),IFERROR(IF([1]入库吨位汇总!$D$61=0,"",[1]入库吨位汇总!$D$61),""))</f>
        <v/>
      </c>
      <c r="E62" s="51" t="str">
        <f aca="false">IF($V$4=0,IF($M62="","",$M62),IFERROR(IF([1]入库吨位汇总!$E$61=0,"",[1]入库吨位汇总!$E$61),""))</f>
        <v/>
      </c>
      <c r="F62" s="41" t="str">
        <f aca="false">IF($V$4=0,IF($N62="","",$N62),IFERROR(IF([1]入库吨位汇总!$K$61=0,"",[1]入库吨位汇总!$K$61),""))</f>
        <v/>
      </c>
      <c r="G62" s="52" t="str">
        <f aca="false">IF($V$4=0,IF($O62="","",$O62),IFERROR(IF([1]入库吨位汇总!$L$61=0,"",[1]入库吨位汇总!$L$61),""))</f>
        <v/>
      </c>
      <c r="H62" s="41" t="str">
        <f aca="false">IF($V$4=0,IF($P62="","",$P62),IFERROR(IF([1]入库吨位汇总!$H$61=0,"",[1]入库吨位汇总!$H$61),""))</f>
        <v/>
      </c>
      <c r="I62" s="41" t="str">
        <f aca="false">IF($V$4=0,IF($Q62="","",$Q62),IFERROR(IF([1]入库吨位汇总!$I$61=0,"",[1]入库吨位汇总!$I$61),""))</f>
        <v/>
      </c>
      <c r="J62" s="10"/>
      <c r="K62" s="10"/>
      <c r="L62" s="53"/>
      <c r="M62" s="53"/>
      <c r="N62" s="54"/>
      <c r="O62" s="54"/>
      <c r="P62" s="54"/>
      <c r="Q62" s="54"/>
      <c r="R62" s="55" t="n">
        <f aca="false">IF(AND($B62&lt;&gt;"",$C62&lt;&gt;""),1,0)</f>
        <v>0</v>
      </c>
      <c r="S62" s="55" t="n">
        <f aca="false">N(S61)+$R62</f>
        <v>22</v>
      </c>
    </row>
    <row r="63" customFormat="false" ht="13.5" hidden="false" customHeight="false" outlineLevel="0" collapsed="false">
      <c r="A63" s="9" t="n">
        <v>62</v>
      </c>
      <c r="B63" s="39" t="str">
        <f aca="false">IF($V$4=0,IF($J63="","",$J63),IFERROR(IF([1]入库吨位汇总!$B$62=0,"",[1]入库吨位汇总!$B$62),""))</f>
        <v/>
      </c>
      <c r="C63" s="39" t="str">
        <f aca="false">IF($V$4=0,IF($K63="","",$K63),IFERROR(IF([1]入库吨位汇总!$C$62=0,"",[1]入库吨位汇总!$C$62),""))</f>
        <v/>
      </c>
      <c r="D63" s="51" t="str">
        <f aca="false">IF($V$4=0,IF($L63="","",$L63),IFERROR(IF([1]入库吨位汇总!$D$62=0,"",[1]入库吨位汇总!$D$62),""))</f>
        <v/>
      </c>
      <c r="E63" s="51" t="str">
        <f aca="false">IF($V$4=0,IF($M63="","",$M63),IFERROR(IF([1]入库吨位汇总!$E$62=0,"",[1]入库吨位汇总!$E$62),""))</f>
        <v/>
      </c>
      <c r="F63" s="41" t="str">
        <f aca="false">IF($V$4=0,IF($N63="","",$N63),IFERROR(IF([1]入库吨位汇总!$K$62=0,"",[1]入库吨位汇总!$K$62),""))</f>
        <v/>
      </c>
      <c r="G63" s="52" t="str">
        <f aca="false">IF($V$4=0,IF($O63="","",$O63),IFERROR(IF([1]入库吨位汇总!$L$62=0,"",[1]入库吨位汇总!$L$62),""))</f>
        <v/>
      </c>
      <c r="H63" s="41" t="str">
        <f aca="false">IF($V$4=0,IF($P63="","",$P63),IFERROR(IF([1]入库吨位汇总!$H$62=0,"",[1]入库吨位汇总!$H$62),""))</f>
        <v/>
      </c>
      <c r="I63" s="41" t="str">
        <f aca="false">IF($V$4=0,IF($Q63="","",$Q63),IFERROR(IF([1]入库吨位汇总!$I$62=0,"",[1]入库吨位汇总!$I$62),""))</f>
        <v/>
      </c>
      <c r="J63" s="10"/>
      <c r="K63" s="10"/>
      <c r="L63" s="53"/>
      <c r="M63" s="53"/>
      <c r="N63" s="54"/>
      <c r="O63" s="54"/>
      <c r="P63" s="54"/>
      <c r="Q63" s="54"/>
      <c r="R63" s="55" t="n">
        <f aca="false">IF(AND($B63&lt;&gt;"",$C63&lt;&gt;""),1,0)</f>
        <v>0</v>
      </c>
      <c r="S63" s="55" t="n">
        <f aca="false">N(S62)+$R63</f>
        <v>22</v>
      </c>
    </row>
    <row r="64" customFormat="false" ht="13.5" hidden="false" customHeight="false" outlineLevel="0" collapsed="false">
      <c r="A64" s="9" t="n">
        <v>63</v>
      </c>
      <c r="B64" s="39" t="str">
        <f aca="false">IF($V$4=0,IF($J64="","",$J64),IFERROR(IF([1]入库吨位汇总!$B$63=0,"",[1]入库吨位汇总!$B$63),""))</f>
        <v/>
      </c>
      <c r="C64" s="39" t="str">
        <f aca="false">IF($V$4=0,IF($K64="","",$K64),IFERROR(IF([1]入库吨位汇总!$C$63=0,"",[1]入库吨位汇总!$C$63),""))</f>
        <v/>
      </c>
      <c r="D64" s="51" t="str">
        <f aca="false">IF($V$4=0,IF($L64="","",$L64),IFERROR(IF([1]入库吨位汇总!$D$63=0,"",[1]入库吨位汇总!$D$63),""))</f>
        <v/>
      </c>
      <c r="E64" s="51" t="str">
        <f aca="false">IF($V$4=0,IF($M64="","",$M64),IFERROR(IF([1]入库吨位汇总!$E$63=0,"",[1]入库吨位汇总!$E$63),""))</f>
        <v/>
      </c>
      <c r="F64" s="41" t="str">
        <f aca="false">IF($V$4=0,IF($N64="","",$N64),IFERROR(IF([1]入库吨位汇总!$K$63=0,"",[1]入库吨位汇总!$K$63),""))</f>
        <v/>
      </c>
      <c r="G64" s="52" t="str">
        <f aca="false">IF($V$4=0,IF($O64="","",$O64),IFERROR(IF([1]入库吨位汇总!$L$63=0,"",[1]入库吨位汇总!$L$63),""))</f>
        <v/>
      </c>
      <c r="H64" s="41" t="str">
        <f aca="false">IF($V$4=0,IF($P64="","",$P64),IFERROR(IF([1]入库吨位汇总!$H$63=0,"",[1]入库吨位汇总!$H$63),""))</f>
        <v/>
      </c>
      <c r="I64" s="41" t="str">
        <f aca="false">IF($V$4=0,IF($Q64="","",$Q64),IFERROR(IF([1]入库吨位汇总!$I$63=0,"",[1]入库吨位汇总!$I$63),""))</f>
        <v/>
      </c>
      <c r="J64" s="10"/>
      <c r="K64" s="10"/>
      <c r="L64" s="53"/>
      <c r="M64" s="53"/>
      <c r="N64" s="54"/>
      <c r="O64" s="54"/>
      <c r="P64" s="54"/>
      <c r="Q64" s="54"/>
      <c r="R64" s="55" t="n">
        <f aca="false">IF(AND($B64&lt;&gt;"",$C64&lt;&gt;""),1,0)</f>
        <v>0</v>
      </c>
      <c r="S64" s="55" t="n">
        <f aca="false">N(S63)+$R64</f>
        <v>22</v>
      </c>
    </row>
    <row r="65" customFormat="false" ht="13.5" hidden="false" customHeight="false" outlineLevel="0" collapsed="false">
      <c r="A65" s="9" t="n">
        <v>64</v>
      </c>
      <c r="B65" s="39" t="str">
        <f aca="false">IF($V$4=0,IF($J65="","",$J65),IFERROR(IF([1]入库吨位汇总!$B$64=0,"",[1]入库吨位汇总!$B$64),""))</f>
        <v/>
      </c>
      <c r="C65" s="39" t="str">
        <f aca="false">IF($V$4=0,IF($K65="","",$K65),IFERROR(IF([1]入库吨位汇总!$C$64=0,"",[1]入库吨位汇总!$C$64),""))</f>
        <v/>
      </c>
      <c r="D65" s="51" t="str">
        <f aca="false">IF($V$4=0,IF($L65="","",$L65),IFERROR(IF([1]入库吨位汇总!$D$64=0,"",[1]入库吨位汇总!$D$64),""))</f>
        <v/>
      </c>
      <c r="E65" s="51" t="str">
        <f aca="false">IF($V$4=0,IF($M65="","",$M65),IFERROR(IF([1]入库吨位汇总!$E$64=0,"",[1]入库吨位汇总!$E$64),""))</f>
        <v/>
      </c>
      <c r="F65" s="41" t="str">
        <f aca="false">IF($V$4=0,IF($N65="","",$N65),IFERROR(IF([1]入库吨位汇总!$K$64=0,"",[1]入库吨位汇总!$K$64),""))</f>
        <v/>
      </c>
      <c r="G65" s="52" t="str">
        <f aca="false">IF($V$4=0,IF($O65="","",$O65),IFERROR(IF([1]入库吨位汇总!$L$64=0,"",[1]入库吨位汇总!$L$64),""))</f>
        <v/>
      </c>
      <c r="H65" s="41" t="str">
        <f aca="false">IF($V$4=0,IF($P65="","",$P65),IFERROR(IF([1]入库吨位汇总!$H$64=0,"",[1]入库吨位汇总!$H$64),""))</f>
        <v/>
      </c>
      <c r="I65" s="41" t="str">
        <f aca="false">IF($V$4=0,IF($Q65="","",$Q65),IFERROR(IF([1]入库吨位汇总!$I$64=0,"",[1]入库吨位汇总!$I$64),""))</f>
        <v/>
      </c>
      <c r="J65" s="10"/>
      <c r="K65" s="10"/>
      <c r="L65" s="53"/>
      <c r="M65" s="53"/>
      <c r="N65" s="54"/>
      <c r="O65" s="54"/>
      <c r="P65" s="54"/>
      <c r="Q65" s="54"/>
      <c r="R65" s="55" t="n">
        <f aca="false">IF(AND($B65&lt;&gt;"",$C65&lt;&gt;""),1,0)</f>
        <v>0</v>
      </c>
      <c r="S65" s="55" t="n">
        <f aca="false">N(S64)+$R65</f>
        <v>22</v>
      </c>
    </row>
    <row r="66" customFormat="false" ht="13.5" hidden="false" customHeight="false" outlineLevel="0" collapsed="false">
      <c r="A66" s="9" t="n">
        <v>65</v>
      </c>
      <c r="B66" s="39" t="str">
        <f aca="false">IF($V$4=0,IF($J66="","",$J66),IFERROR(IF([1]入库吨位汇总!$B$65=0,"",[1]入库吨位汇总!$B$65),""))</f>
        <v/>
      </c>
      <c r="C66" s="39" t="str">
        <f aca="false">IF($V$4=0,IF($K66="","",$K66),IFERROR(IF([1]入库吨位汇总!$C$65=0,"",[1]入库吨位汇总!$C$65),""))</f>
        <v/>
      </c>
      <c r="D66" s="51" t="str">
        <f aca="false">IF($V$4=0,IF($L66="","",$L66),IFERROR(IF([1]入库吨位汇总!$D$65=0,"",[1]入库吨位汇总!$D$65),""))</f>
        <v/>
      </c>
      <c r="E66" s="51" t="str">
        <f aca="false">IF($V$4=0,IF($M66="","",$M66),IFERROR(IF([1]入库吨位汇总!$E$65=0,"",[1]入库吨位汇总!$E$65),""))</f>
        <v/>
      </c>
      <c r="F66" s="41" t="str">
        <f aca="false">IF($V$4=0,IF($N66="","",$N66),IFERROR(IF([1]入库吨位汇总!$K$65=0,"",[1]入库吨位汇总!$K$65),""))</f>
        <v/>
      </c>
      <c r="G66" s="52" t="str">
        <f aca="false">IF($V$4=0,IF($O66="","",$O66),IFERROR(IF([1]入库吨位汇总!$L$65=0,"",[1]入库吨位汇总!$L$65),""))</f>
        <v/>
      </c>
      <c r="H66" s="41" t="str">
        <f aca="false">IF($V$4=0,IF($P66="","",$P66),IFERROR(IF([1]入库吨位汇总!$H$65=0,"",[1]入库吨位汇总!$H$65),""))</f>
        <v/>
      </c>
      <c r="I66" s="41" t="str">
        <f aca="false">IF($V$4=0,IF($Q66="","",$Q66),IFERROR(IF([1]入库吨位汇总!$I$65=0,"",[1]入库吨位汇总!$I$65),""))</f>
        <v/>
      </c>
      <c r="J66" s="10"/>
      <c r="K66" s="10"/>
      <c r="L66" s="53"/>
      <c r="M66" s="53"/>
      <c r="N66" s="54"/>
      <c r="O66" s="54"/>
      <c r="P66" s="54"/>
      <c r="Q66" s="54"/>
      <c r="R66" s="55" t="n">
        <f aca="false">IF(AND($B66&lt;&gt;"",$C66&lt;&gt;""),1,0)</f>
        <v>0</v>
      </c>
      <c r="S66" s="55" t="n">
        <f aca="false">N(S65)+$R66</f>
        <v>22</v>
      </c>
    </row>
    <row r="67" customFormat="false" ht="13.5" hidden="false" customHeight="false" outlineLevel="0" collapsed="false">
      <c r="A67" s="9" t="n">
        <v>66</v>
      </c>
      <c r="B67" s="39" t="str">
        <f aca="false">IF($V$4=0,IF($J67="","",$J67),IFERROR(IF([1]入库吨位汇总!$B$66=0,"",[1]入库吨位汇总!$B$66),""))</f>
        <v/>
      </c>
      <c r="C67" s="39" t="str">
        <f aca="false">IF($V$4=0,IF($K67="","",$K67),IFERROR(IF([1]入库吨位汇总!$C$66=0,"",[1]入库吨位汇总!$C$66),""))</f>
        <v/>
      </c>
      <c r="D67" s="51" t="str">
        <f aca="false">IF($V$4=0,IF($L67="","",$L67),IFERROR(IF([1]入库吨位汇总!$D$66=0,"",[1]入库吨位汇总!$D$66),""))</f>
        <v/>
      </c>
      <c r="E67" s="51" t="str">
        <f aca="false">IF($V$4=0,IF($M67="","",$M67),IFERROR(IF([1]入库吨位汇总!$E$66=0,"",[1]入库吨位汇总!$E$66),""))</f>
        <v/>
      </c>
      <c r="F67" s="41" t="str">
        <f aca="false">IF($V$4=0,IF($N67="","",$N67),IFERROR(IF([1]入库吨位汇总!$K$66=0,"",[1]入库吨位汇总!$K$66),""))</f>
        <v/>
      </c>
      <c r="G67" s="52" t="str">
        <f aca="false">IF($V$4=0,IF($O67="","",$O67),IFERROR(IF([1]入库吨位汇总!$L$66=0,"",[1]入库吨位汇总!$L$66),""))</f>
        <v/>
      </c>
      <c r="H67" s="41" t="str">
        <f aca="false">IF($V$4=0,IF($P67="","",$P67),IFERROR(IF([1]入库吨位汇总!$H$66=0,"",[1]入库吨位汇总!$H$66),""))</f>
        <v/>
      </c>
      <c r="I67" s="41" t="str">
        <f aca="false">IF($V$4=0,IF($Q67="","",$Q67),IFERROR(IF([1]入库吨位汇总!$I$66=0,"",[1]入库吨位汇总!$I$66),""))</f>
        <v/>
      </c>
      <c r="J67" s="10"/>
      <c r="K67" s="10"/>
      <c r="L67" s="53"/>
      <c r="M67" s="53"/>
      <c r="N67" s="54"/>
      <c r="O67" s="54"/>
      <c r="P67" s="54"/>
      <c r="Q67" s="54"/>
      <c r="R67" s="55" t="n">
        <f aca="false">IF(AND($B67&lt;&gt;"",$C67&lt;&gt;""),1,0)</f>
        <v>0</v>
      </c>
      <c r="S67" s="55" t="n">
        <f aca="false">N(S66)+$R67</f>
        <v>22</v>
      </c>
    </row>
    <row r="68" customFormat="false" ht="13.5" hidden="false" customHeight="false" outlineLevel="0" collapsed="false">
      <c r="A68" s="9" t="n">
        <v>67</v>
      </c>
      <c r="B68" s="39" t="str">
        <f aca="false">IF($V$4=0,IF($J68="","",$J68),IFERROR(IF([1]入库吨位汇总!$B$67=0,"",[1]入库吨位汇总!$B$67),""))</f>
        <v/>
      </c>
      <c r="C68" s="39" t="str">
        <f aca="false">IF($V$4=0,IF($K68="","",$K68),IFERROR(IF([1]入库吨位汇总!$C$67=0,"",[1]入库吨位汇总!$C$67),""))</f>
        <v/>
      </c>
      <c r="D68" s="51" t="str">
        <f aca="false">IF($V$4=0,IF($L68="","",$L68),IFERROR(IF([1]入库吨位汇总!$D$67=0,"",[1]入库吨位汇总!$D$67),""))</f>
        <v/>
      </c>
      <c r="E68" s="51" t="str">
        <f aca="false">IF($V$4=0,IF($M68="","",$M68),IFERROR(IF([1]入库吨位汇总!$E$67=0,"",[1]入库吨位汇总!$E$67),""))</f>
        <v/>
      </c>
      <c r="F68" s="41" t="str">
        <f aca="false">IF($V$4=0,IF($N68="","",$N68),IFERROR(IF([1]入库吨位汇总!$K$67=0,"",[1]入库吨位汇总!$K$67),""))</f>
        <v/>
      </c>
      <c r="G68" s="52" t="str">
        <f aca="false">IF($V$4=0,IF($O68="","",$O68),IFERROR(IF([1]入库吨位汇总!$L$67=0,"",[1]入库吨位汇总!$L$67),""))</f>
        <v/>
      </c>
      <c r="H68" s="41" t="str">
        <f aca="false">IF($V$4=0,IF($P68="","",$P68),IFERROR(IF([1]入库吨位汇总!$H$67=0,"",[1]入库吨位汇总!$H$67),""))</f>
        <v/>
      </c>
      <c r="I68" s="41" t="str">
        <f aca="false">IF($V$4=0,IF($Q68="","",$Q68),IFERROR(IF([1]入库吨位汇总!$I$67=0,"",[1]入库吨位汇总!$I$67),""))</f>
        <v/>
      </c>
      <c r="J68" s="10"/>
      <c r="K68" s="10"/>
      <c r="L68" s="53"/>
      <c r="M68" s="53"/>
      <c r="N68" s="54"/>
      <c r="O68" s="54"/>
      <c r="P68" s="54"/>
      <c r="Q68" s="54"/>
      <c r="R68" s="55" t="n">
        <f aca="false">IF(AND($B68&lt;&gt;"",$C68&lt;&gt;""),1,0)</f>
        <v>0</v>
      </c>
      <c r="S68" s="55" t="n">
        <f aca="false">N(S67)+$R68</f>
        <v>22</v>
      </c>
    </row>
    <row r="69" customFormat="false" ht="13.5" hidden="false" customHeight="false" outlineLevel="0" collapsed="false">
      <c r="A69" s="9" t="n">
        <v>68</v>
      </c>
      <c r="B69" s="39" t="str">
        <f aca="false">IF($V$4=0,IF($J69="","",$J69),IFERROR(IF([1]入库吨位汇总!$B$68=0,"",[1]入库吨位汇总!$B$68),""))</f>
        <v/>
      </c>
      <c r="C69" s="39" t="str">
        <f aca="false">IF($V$4=0,IF($K69="","",$K69),IFERROR(IF([1]入库吨位汇总!$C$68=0,"",[1]入库吨位汇总!$C$68),""))</f>
        <v/>
      </c>
      <c r="D69" s="51" t="str">
        <f aca="false">IF($V$4=0,IF($L69="","",$L69),IFERROR(IF([1]入库吨位汇总!$D$68=0,"",[1]入库吨位汇总!$D$68),""))</f>
        <v/>
      </c>
      <c r="E69" s="51" t="str">
        <f aca="false">IF($V$4=0,IF($M69="","",$M69),IFERROR(IF([1]入库吨位汇总!$E$68=0,"",[1]入库吨位汇总!$E$68),""))</f>
        <v/>
      </c>
      <c r="F69" s="41" t="str">
        <f aca="false">IF($V$4=0,IF($N69="","",$N69),IFERROR(IF([1]入库吨位汇总!$K$68=0,"",[1]入库吨位汇总!$K$68),""))</f>
        <v/>
      </c>
      <c r="G69" s="52" t="str">
        <f aca="false">IF($V$4=0,IF($O69="","",$O69),IFERROR(IF([1]入库吨位汇总!$L$68=0,"",[1]入库吨位汇总!$L$68),""))</f>
        <v/>
      </c>
      <c r="H69" s="41" t="str">
        <f aca="false">IF($V$4=0,IF($P69="","",$P69),IFERROR(IF([1]入库吨位汇总!$H$68=0,"",[1]入库吨位汇总!$H$68),""))</f>
        <v/>
      </c>
      <c r="I69" s="41" t="str">
        <f aca="false">IF($V$4=0,IF($Q69="","",$Q69),IFERROR(IF([1]入库吨位汇总!$I$68=0,"",[1]入库吨位汇总!$I$68),""))</f>
        <v/>
      </c>
      <c r="J69" s="10"/>
      <c r="K69" s="10"/>
      <c r="L69" s="53"/>
      <c r="M69" s="53"/>
      <c r="N69" s="54"/>
      <c r="O69" s="54"/>
      <c r="P69" s="54"/>
      <c r="Q69" s="54"/>
      <c r="R69" s="55" t="n">
        <f aca="false">IF(AND($B69&lt;&gt;"",$C69&lt;&gt;""),1,0)</f>
        <v>0</v>
      </c>
      <c r="S69" s="55" t="n">
        <f aca="false">N(S68)+$R69</f>
        <v>22</v>
      </c>
    </row>
    <row r="70" customFormat="false" ht="13.5" hidden="false" customHeight="false" outlineLevel="0" collapsed="false">
      <c r="A70" s="9" t="n">
        <v>69</v>
      </c>
      <c r="B70" s="39" t="str">
        <f aca="false">IF($V$4=0,IF($J70="","",$J70),IFERROR(IF([1]入库吨位汇总!$B$69=0,"",[1]入库吨位汇总!$B$69),""))</f>
        <v/>
      </c>
      <c r="C70" s="39" t="str">
        <f aca="false">IF($V$4=0,IF($K70="","",$K70),IFERROR(IF([1]入库吨位汇总!$C$69=0,"",[1]入库吨位汇总!$C$69),""))</f>
        <v/>
      </c>
      <c r="D70" s="51" t="str">
        <f aca="false">IF($V$4=0,IF($L70="","",$L70),IFERROR(IF([1]入库吨位汇总!$D$69=0,"",[1]入库吨位汇总!$D$69),""))</f>
        <v/>
      </c>
      <c r="E70" s="51" t="str">
        <f aca="false">IF($V$4=0,IF($M70="","",$M70),IFERROR(IF([1]入库吨位汇总!$E$69=0,"",[1]入库吨位汇总!$E$69),""))</f>
        <v/>
      </c>
      <c r="F70" s="41" t="str">
        <f aca="false">IF($V$4=0,IF($N70="","",$N70),IFERROR(IF([1]入库吨位汇总!$K$69=0,"",[1]入库吨位汇总!$K$69),""))</f>
        <v/>
      </c>
      <c r="G70" s="52" t="str">
        <f aca="false">IF($V$4=0,IF($O70="","",$O70),IFERROR(IF([1]入库吨位汇总!$L$69=0,"",[1]入库吨位汇总!$L$69),""))</f>
        <v/>
      </c>
      <c r="H70" s="41" t="str">
        <f aca="false">IF($V$4=0,IF($P70="","",$P70),IFERROR(IF([1]入库吨位汇总!$H$69=0,"",[1]入库吨位汇总!$H$69),""))</f>
        <v/>
      </c>
      <c r="I70" s="41" t="str">
        <f aca="false">IF($V$4=0,IF($Q70="","",$Q70),IFERROR(IF([1]入库吨位汇总!$I$69=0,"",[1]入库吨位汇总!$I$69),""))</f>
        <v/>
      </c>
      <c r="J70" s="10"/>
      <c r="K70" s="10"/>
      <c r="L70" s="53"/>
      <c r="M70" s="53"/>
      <c r="N70" s="54"/>
      <c r="O70" s="54"/>
      <c r="P70" s="54"/>
      <c r="Q70" s="54"/>
      <c r="R70" s="55" t="n">
        <f aca="false">IF(AND($B70&lt;&gt;"",$C70&lt;&gt;""),1,0)</f>
        <v>0</v>
      </c>
      <c r="S70" s="55" t="n">
        <f aca="false">N(S69)+$R70</f>
        <v>22</v>
      </c>
    </row>
    <row r="71" customFormat="false" ht="13.5" hidden="false" customHeight="false" outlineLevel="0" collapsed="false">
      <c r="A71" s="9" t="n">
        <v>70</v>
      </c>
      <c r="B71" s="39" t="str">
        <f aca="false">IF($V$4=0,IF($J71="","",$J71),IFERROR(IF([1]入库吨位汇总!$B$70=0,"",[1]入库吨位汇总!$B$70),""))</f>
        <v/>
      </c>
      <c r="C71" s="39" t="str">
        <f aca="false">IF($V$4=0,IF($K71="","",$K71),IFERROR(IF([1]入库吨位汇总!$C$70=0,"",[1]入库吨位汇总!$C$70),""))</f>
        <v/>
      </c>
      <c r="D71" s="51" t="str">
        <f aca="false">IF($V$4=0,IF($L71="","",$L71),IFERROR(IF([1]入库吨位汇总!$D$70=0,"",[1]入库吨位汇总!$D$70),""))</f>
        <v/>
      </c>
      <c r="E71" s="51" t="str">
        <f aca="false">IF($V$4=0,IF($M71="","",$M71),IFERROR(IF([1]入库吨位汇总!$E$70=0,"",[1]入库吨位汇总!$E$70),""))</f>
        <v/>
      </c>
      <c r="F71" s="41" t="str">
        <f aca="false">IF($V$4=0,IF($N71="","",$N71),IFERROR(IF([1]入库吨位汇总!$K$70=0,"",[1]入库吨位汇总!$K$70),""))</f>
        <v/>
      </c>
      <c r="G71" s="52" t="str">
        <f aca="false">IF($V$4=0,IF($O71="","",$O71),IFERROR(IF([1]入库吨位汇总!$L$70=0,"",[1]入库吨位汇总!$L$70),""))</f>
        <v/>
      </c>
      <c r="H71" s="41" t="str">
        <f aca="false">IF($V$4=0,IF($P71="","",$P71),IFERROR(IF([1]入库吨位汇总!$H$70=0,"",[1]入库吨位汇总!$H$70),""))</f>
        <v/>
      </c>
      <c r="I71" s="41" t="str">
        <f aca="false">IF($V$4=0,IF($Q71="","",$Q71),IFERROR(IF([1]入库吨位汇总!$I$70=0,"",[1]入库吨位汇总!$I$70),""))</f>
        <v/>
      </c>
      <c r="J71" s="10"/>
      <c r="K71" s="10"/>
      <c r="L71" s="53"/>
      <c r="M71" s="53"/>
      <c r="N71" s="54"/>
      <c r="O71" s="54"/>
      <c r="P71" s="54"/>
      <c r="Q71" s="54"/>
      <c r="R71" s="55" t="n">
        <f aca="false">IF(AND($B71&lt;&gt;"",$C71&lt;&gt;""),1,0)</f>
        <v>0</v>
      </c>
      <c r="S71" s="55" t="n">
        <f aca="false">N(S70)+$R71</f>
        <v>22</v>
      </c>
    </row>
    <row r="72" customFormat="false" ht="13.5" hidden="false" customHeight="false" outlineLevel="0" collapsed="false">
      <c r="A72" s="9" t="n">
        <v>71</v>
      </c>
      <c r="B72" s="39" t="str">
        <f aca="false">IF($V$4=0,IF($J72="","",$J72),IFERROR(IF([1]入库吨位汇总!$B$71=0,"",[1]入库吨位汇总!$B$71),""))</f>
        <v/>
      </c>
      <c r="C72" s="39" t="str">
        <f aca="false">IF($V$4=0,IF($K72="","",$K72),IFERROR(IF([1]入库吨位汇总!$C$71=0,"",[1]入库吨位汇总!$C$71),""))</f>
        <v/>
      </c>
      <c r="D72" s="51" t="str">
        <f aca="false">IF($V$4=0,IF($L72="","",$L72),IFERROR(IF([1]入库吨位汇总!$D$71=0,"",[1]入库吨位汇总!$D$71),""))</f>
        <v/>
      </c>
      <c r="E72" s="51" t="str">
        <f aca="false">IF($V$4=0,IF($M72="","",$M72),IFERROR(IF([1]入库吨位汇总!$E$71=0,"",[1]入库吨位汇总!$E$71),""))</f>
        <v/>
      </c>
      <c r="F72" s="41" t="str">
        <f aca="false">IF($V$4=0,IF($N72="","",$N72),IFERROR(IF([1]入库吨位汇总!$K$71=0,"",[1]入库吨位汇总!$K$71),""))</f>
        <v/>
      </c>
      <c r="G72" s="52" t="str">
        <f aca="false">IF($V$4=0,IF($O72="","",$O72),IFERROR(IF([1]入库吨位汇总!$L$71=0,"",[1]入库吨位汇总!$L$71),""))</f>
        <v/>
      </c>
      <c r="H72" s="41" t="str">
        <f aca="false">IF($V$4=0,IF($P72="","",$P72),IFERROR(IF([1]入库吨位汇总!$H$71=0,"",[1]入库吨位汇总!$H$71),""))</f>
        <v/>
      </c>
      <c r="I72" s="41" t="str">
        <f aca="false">IF($V$4=0,IF($Q72="","",$Q72),IFERROR(IF([1]入库吨位汇总!$I$71=0,"",[1]入库吨位汇总!$I$71),""))</f>
        <v/>
      </c>
      <c r="J72" s="10"/>
      <c r="K72" s="10"/>
      <c r="L72" s="53"/>
      <c r="M72" s="53"/>
      <c r="N72" s="54"/>
      <c r="O72" s="54"/>
      <c r="P72" s="54"/>
      <c r="Q72" s="54"/>
      <c r="R72" s="55" t="n">
        <f aca="false">IF(AND($B72&lt;&gt;"",$C72&lt;&gt;""),1,0)</f>
        <v>0</v>
      </c>
      <c r="S72" s="55" t="n">
        <f aca="false">N(S71)+$R72</f>
        <v>22</v>
      </c>
    </row>
    <row r="73" customFormat="false" ht="13.5" hidden="false" customHeight="false" outlineLevel="0" collapsed="false">
      <c r="A73" s="9" t="n">
        <v>72</v>
      </c>
      <c r="B73" s="39" t="str">
        <f aca="false">IF($V$4=0,IF($J73="","",$J73),IFERROR(IF([1]入库吨位汇总!$B$72=0,"",[1]入库吨位汇总!$B$72),""))</f>
        <v/>
      </c>
      <c r="C73" s="39" t="str">
        <f aca="false">IF($V$4=0,IF($K73="","",$K73),IFERROR(IF([1]入库吨位汇总!$C$72=0,"",[1]入库吨位汇总!$C$72),""))</f>
        <v/>
      </c>
      <c r="D73" s="51" t="str">
        <f aca="false">IF($V$4=0,IF($L73="","",$L73),IFERROR(IF([1]入库吨位汇总!$D$72=0,"",[1]入库吨位汇总!$D$72),""))</f>
        <v/>
      </c>
      <c r="E73" s="51" t="str">
        <f aca="false">IF($V$4=0,IF($M73="","",$M73),IFERROR(IF([1]入库吨位汇总!$E$72=0,"",[1]入库吨位汇总!$E$72),""))</f>
        <v/>
      </c>
      <c r="F73" s="41" t="str">
        <f aca="false">IF($V$4=0,IF($N73="","",$N73),IFERROR(IF([1]入库吨位汇总!$K$72=0,"",[1]入库吨位汇总!$K$72),""))</f>
        <v/>
      </c>
      <c r="G73" s="52" t="str">
        <f aca="false">IF($V$4=0,IF($O73="","",$O73),IFERROR(IF([1]入库吨位汇总!$L$72=0,"",[1]入库吨位汇总!$L$72),""))</f>
        <v/>
      </c>
      <c r="H73" s="41" t="str">
        <f aca="false">IF($V$4=0,IF($P73="","",$P73),IFERROR(IF([1]入库吨位汇总!$H$72=0,"",[1]入库吨位汇总!$H$72),""))</f>
        <v/>
      </c>
      <c r="I73" s="41" t="str">
        <f aca="false">IF($V$4=0,IF($Q73="","",$Q73),IFERROR(IF([1]入库吨位汇总!$I$72=0,"",[1]入库吨位汇总!$I$72),""))</f>
        <v/>
      </c>
      <c r="J73" s="10"/>
      <c r="K73" s="10"/>
      <c r="L73" s="53"/>
      <c r="M73" s="53"/>
      <c r="N73" s="54"/>
      <c r="O73" s="54"/>
      <c r="P73" s="54"/>
      <c r="Q73" s="54"/>
      <c r="R73" s="55" t="n">
        <f aca="false">IF(AND($B73&lt;&gt;"",$C73&lt;&gt;""),1,0)</f>
        <v>0</v>
      </c>
      <c r="S73" s="55" t="n">
        <f aca="false">N(S72)+$R73</f>
        <v>22</v>
      </c>
    </row>
    <row r="74" customFormat="false" ht="13.5" hidden="false" customHeight="false" outlineLevel="0" collapsed="false">
      <c r="A74" s="9" t="n">
        <v>73</v>
      </c>
      <c r="B74" s="39" t="str">
        <f aca="false">IF($V$4=0,IF($J74="","",$J74),IFERROR(IF([1]入库吨位汇总!$B$73=0,"",[1]入库吨位汇总!$B$73),""))</f>
        <v/>
      </c>
      <c r="C74" s="39" t="str">
        <f aca="false">IF($V$4=0,IF($K74="","",$K74),IFERROR(IF([1]入库吨位汇总!$C$73=0,"",[1]入库吨位汇总!$C$73),""))</f>
        <v/>
      </c>
      <c r="D74" s="51" t="str">
        <f aca="false">IF($V$4=0,IF($L74="","",$L74),IFERROR(IF([1]入库吨位汇总!$D$73=0,"",[1]入库吨位汇总!$D$73),""))</f>
        <v/>
      </c>
      <c r="E74" s="51" t="str">
        <f aca="false">IF($V$4=0,IF($M74="","",$M74),IFERROR(IF([1]入库吨位汇总!$E$73=0,"",[1]入库吨位汇总!$E$73),""))</f>
        <v/>
      </c>
      <c r="F74" s="41" t="str">
        <f aca="false">IF($V$4=0,IF($N74="","",$N74),IFERROR(IF([1]入库吨位汇总!$K$73=0,"",[1]入库吨位汇总!$K$73),""))</f>
        <v/>
      </c>
      <c r="G74" s="52" t="str">
        <f aca="false">IF($V$4=0,IF($O74="","",$O74),IFERROR(IF([1]入库吨位汇总!$L$73=0,"",[1]入库吨位汇总!$L$73),""))</f>
        <v/>
      </c>
      <c r="H74" s="41" t="str">
        <f aca="false">IF($V$4=0,IF($P74="","",$P74),IFERROR(IF([1]入库吨位汇总!$H$73=0,"",[1]入库吨位汇总!$H$73),""))</f>
        <v/>
      </c>
      <c r="I74" s="41" t="str">
        <f aca="false">IF($V$4=0,IF($Q74="","",$Q74),IFERROR(IF([1]入库吨位汇总!$I$73=0,"",[1]入库吨位汇总!$I$73),""))</f>
        <v/>
      </c>
      <c r="J74" s="10"/>
      <c r="K74" s="10"/>
      <c r="L74" s="53"/>
      <c r="M74" s="53"/>
      <c r="N74" s="54"/>
      <c r="O74" s="54"/>
      <c r="P74" s="54"/>
      <c r="Q74" s="54"/>
      <c r="R74" s="55" t="n">
        <f aca="false">IF(AND($B74&lt;&gt;"",$C74&lt;&gt;""),1,0)</f>
        <v>0</v>
      </c>
      <c r="S74" s="55" t="n">
        <f aca="false">N(S73)+$R74</f>
        <v>22</v>
      </c>
    </row>
    <row r="75" customFormat="false" ht="13.5" hidden="false" customHeight="false" outlineLevel="0" collapsed="false">
      <c r="A75" s="9" t="n">
        <v>74</v>
      </c>
      <c r="B75" s="39" t="str">
        <f aca="false">IF($V$4=0,IF($J75="","",$J75),IFERROR(IF([1]入库吨位汇总!$B$74=0,"",[1]入库吨位汇总!$B$74),""))</f>
        <v/>
      </c>
      <c r="C75" s="39" t="str">
        <f aca="false">IF($V$4=0,IF($K75="","",$K75),IFERROR(IF([1]入库吨位汇总!$C$74=0,"",[1]入库吨位汇总!$C$74),""))</f>
        <v/>
      </c>
      <c r="D75" s="51" t="str">
        <f aca="false">IF($V$4=0,IF($L75="","",$L75),IFERROR(IF([1]入库吨位汇总!$D$74=0,"",[1]入库吨位汇总!$D$74),""))</f>
        <v/>
      </c>
      <c r="E75" s="51" t="str">
        <f aca="false">IF($V$4=0,IF($M75="","",$M75),IFERROR(IF([1]入库吨位汇总!$E$74=0,"",[1]入库吨位汇总!$E$74),""))</f>
        <v/>
      </c>
      <c r="F75" s="41" t="str">
        <f aca="false">IF($V$4=0,IF($N75="","",$N75),IFERROR(IF([1]入库吨位汇总!$K$74=0,"",[1]入库吨位汇总!$K$74),""))</f>
        <v/>
      </c>
      <c r="G75" s="52" t="str">
        <f aca="false">IF($V$4=0,IF($O75="","",$O75),IFERROR(IF([1]入库吨位汇总!$L$74=0,"",[1]入库吨位汇总!$L$74),""))</f>
        <v/>
      </c>
      <c r="H75" s="41" t="str">
        <f aca="false">IF($V$4=0,IF($P75="","",$P75),IFERROR(IF([1]入库吨位汇总!$H$74=0,"",[1]入库吨位汇总!$H$74),""))</f>
        <v/>
      </c>
      <c r="I75" s="41" t="str">
        <f aca="false">IF($V$4=0,IF($Q75="","",$Q75),IFERROR(IF([1]入库吨位汇总!$I$74=0,"",[1]入库吨位汇总!$I$74),""))</f>
        <v/>
      </c>
      <c r="J75" s="10"/>
      <c r="K75" s="10"/>
      <c r="L75" s="53"/>
      <c r="M75" s="53"/>
      <c r="N75" s="54"/>
      <c r="O75" s="54"/>
      <c r="P75" s="54"/>
      <c r="Q75" s="54"/>
      <c r="R75" s="55" t="n">
        <f aca="false">IF(AND($B75&lt;&gt;"",$C75&lt;&gt;""),1,0)</f>
        <v>0</v>
      </c>
      <c r="S75" s="55" t="n">
        <f aca="false">N(S74)+$R75</f>
        <v>22</v>
      </c>
    </row>
    <row r="76" customFormat="false" ht="13.5" hidden="false" customHeight="false" outlineLevel="0" collapsed="false">
      <c r="A76" s="9" t="n">
        <v>75</v>
      </c>
      <c r="B76" s="39" t="str">
        <f aca="false">IF($V$4=0,IF($J76="","",$J76),IFERROR(IF([1]入库吨位汇总!$B$75=0,"",[1]入库吨位汇总!$B$75),""))</f>
        <v/>
      </c>
      <c r="C76" s="39" t="str">
        <f aca="false">IF($V$4=0,IF($K76="","",$K76),IFERROR(IF([1]入库吨位汇总!$C$75=0,"",[1]入库吨位汇总!$C$75),""))</f>
        <v/>
      </c>
      <c r="D76" s="51" t="str">
        <f aca="false">IF($V$4=0,IF($L76="","",$L76),IFERROR(IF([1]入库吨位汇总!$D$75=0,"",[1]入库吨位汇总!$D$75),""))</f>
        <v/>
      </c>
      <c r="E76" s="51" t="str">
        <f aca="false">IF($V$4=0,IF($M76="","",$M76),IFERROR(IF([1]入库吨位汇总!$E$75=0,"",[1]入库吨位汇总!$E$75),""))</f>
        <v/>
      </c>
      <c r="F76" s="41" t="str">
        <f aca="false">IF($V$4=0,IF($N76="","",$N76),IFERROR(IF([1]入库吨位汇总!$K$75=0,"",[1]入库吨位汇总!$K$75),""))</f>
        <v/>
      </c>
      <c r="G76" s="52" t="str">
        <f aca="false">IF($V$4=0,IF($O76="","",$O76),IFERROR(IF([1]入库吨位汇总!$L$75=0,"",[1]入库吨位汇总!$L$75),""))</f>
        <v/>
      </c>
      <c r="H76" s="41" t="str">
        <f aca="false">IF($V$4=0,IF($P76="","",$P76),IFERROR(IF([1]入库吨位汇总!$H$75=0,"",[1]入库吨位汇总!$H$75),""))</f>
        <v/>
      </c>
      <c r="I76" s="41" t="str">
        <f aca="false">IF($V$4=0,IF($Q76="","",$Q76),IFERROR(IF([1]入库吨位汇总!$I$75=0,"",[1]入库吨位汇总!$I$75),""))</f>
        <v/>
      </c>
      <c r="J76" s="10"/>
      <c r="K76" s="10"/>
      <c r="L76" s="53"/>
      <c r="M76" s="53"/>
      <c r="N76" s="54"/>
      <c r="O76" s="54"/>
      <c r="P76" s="54"/>
      <c r="Q76" s="54"/>
      <c r="R76" s="55" t="n">
        <f aca="false">IF(AND($B76&lt;&gt;"",$C76&lt;&gt;""),1,0)</f>
        <v>0</v>
      </c>
      <c r="S76" s="55" t="n">
        <f aca="false">N(S75)+$R76</f>
        <v>22</v>
      </c>
    </row>
    <row r="77" customFormat="false" ht="13.5" hidden="false" customHeight="false" outlineLevel="0" collapsed="false">
      <c r="A77" s="9" t="n">
        <v>76</v>
      </c>
      <c r="B77" s="39" t="str">
        <f aca="false">IF($V$4=0,IF($J77="","",$J77),IFERROR(IF([1]入库吨位汇总!$B$76=0,"",[1]入库吨位汇总!$B$76),""))</f>
        <v/>
      </c>
      <c r="C77" s="39" t="str">
        <f aca="false">IF($V$4=0,IF($K77="","",$K77),IFERROR(IF([1]入库吨位汇总!$C$76=0,"",[1]入库吨位汇总!$C$76),""))</f>
        <v/>
      </c>
      <c r="D77" s="51" t="str">
        <f aca="false">IF($V$4=0,IF($L77="","",$L77),IFERROR(IF([1]入库吨位汇总!$D$76=0,"",[1]入库吨位汇总!$D$76),""))</f>
        <v/>
      </c>
      <c r="E77" s="51" t="str">
        <f aca="false">IF($V$4=0,IF($M77="","",$M77),IFERROR(IF([1]入库吨位汇总!$E$76=0,"",[1]入库吨位汇总!$E$76),""))</f>
        <v/>
      </c>
      <c r="F77" s="41" t="str">
        <f aca="false">IF($V$4=0,IF($N77="","",$N77),IFERROR(IF([1]入库吨位汇总!$K$76=0,"",[1]入库吨位汇总!$K$76),""))</f>
        <v/>
      </c>
      <c r="G77" s="52" t="str">
        <f aca="false">IF($V$4=0,IF($O77="","",$O77),IFERROR(IF([1]入库吨位汇总!$L$76=0,"",[1]入库吨位汇总!$L$76),""))</f>
        <v/>
      </c>
      <c r="H77" s="41" t="str">
        <f aca="false">IF($V$4=0,IF($P77="","",$P77),IFERROR(IF([1]入库吨位汇总!$H$76=0,"",[1]入库吨位汇总!$H$76),""))</f>
        <v/>
      </c>
      <c r="I77" s="41" t="str">
        <f aca="false">IF($V$4=0,IF($Q77="","",$Q77),IFERROR(IF([1]入库吨位汇总!$I$76=0,"",[1]入库吨位汇总!$I$76),""))</f>
        <v/>
      </c>
      <c r="J77" s="10"/>
      <c r="K77" s="10"/>
      <c r="L77" s="53"/>
      <c r="M77" s="53"/>
      <c r="N77" s="54"/>
      <c r="O77" s="54"/>
      <c r="P77" s="54"/>
      <c r="Q77" s="54"/>
      <c r="R77" s="55" t="n">
        <f aca="false">IF(AND($B77&lt;&gt;"",$C77&lt;&gt;""),1,0)</f>
        <v>0</v>
      </c>
      <c r="S77" s="55" t="n">
        <f aca="false">N(S76)+$R77</f>
        <v>22</v>
      </c>
    </row>
    <row r="78" customFormat="false" ht="13.5" hidden="false" customHeight="false" outlineLevel="0" collapsed="false">
      <c r="A78" s="9" t="n">
        <v>77</v>
      </c>
      <c r="B78" s="39" t="str">
        <f aca="false">IF($V$4=0,IF($J78="","",$J78),IFERROR(IF([1]入库吨位汇总!$B$77=0,"",[1]入库吨位汇总!$B$77),""))</f>
        <v/>
      </c>
      <c r="C78" s="39" t="str">
        <f aca="false">IF($V$4=0,IF($K78="","",$K78),IFERROR(IF([1]入库吨位汇总!$C$77=0,"",[1]入库吨位汇总!$C$77),""))</f>
        <v/>
      </c>
      <c r="D78" s="51" t="str">
        <f aca="false">IF($V$4=0,IF($L78="","",$L78),IFERROR(IF([1]入库吨位汇总!$D$77=0,"",[1]入库吨位汇总!$D$77),""))</f>
        <v/>
      </c>
      <c r="E78" s="51" t="str">
        <f aca="false">IF($V$4=0,IF($M78="","",$M78),IFERROR(IF([1]入库吨位汇总!$E$77=0,"",[1]入库吨位汇总!$E$77),""))</f>
        <v/>
      </c>
      <c r="F78" s="41" t="str">
        <f aca="false">IF($V$4=0,IF($N78="","",$N78),IFERROR(IF([1]入库吨位汇总!$K$77=0,"",[1]入库吨位汇总!$K$77),""))</f>
        <v/>
      </c>
      <c r="G78" s="52" t="str">
        <f aca="false">IF($V$4=0,IF($O78="","",$O78),IFERROR(IF([1]入库吨位汇总!$L$77=0,"",[1]入库吨位汇总!$L$77),""))</f>
        <v/>
      </c>
      <c r="H78" s="41" t="str">
        <f aca="false">IF($V$4=0,IF($P78="","",$P78),IFERROR(IF([1]入库吨位汇总!$H$77=0,"",[1]入库吨位汇总!$H$77),""))</f>
        <v/>
      </c>
      <c r="I78" s="41" t="str">
        <f aca="false">IF($V$4=0,IF($Q78="","",$Q78),IFERROR(IF([1]入库吨位汇总!$I$77=0,"",[1]入库吨位汇总!$I$77),""))</f>
        <v/>
      </c>
      <c r="J78" s="10"/>
      <c r="K78" s="10"/>
      <c r="L78" s="53"/>
      <c r="M78" s="53"/>
      <c r="N78" s="54"/>
      <c r="O78" s="54"/>
      <c r="P78" s="54"/>
      <c r="Q78" s="54"/>
      <c r="R78" s="55" t="n">
        <f aca="false">IF(AND($B78&lt;&gt;"",$C78&lt;&gt;""),1,0)</f>
        <v>0</v>
      </c>
      <c r="S78" s="55" t="n">
        <f aca="false">N(S77)+$R78</f>
        <v>22</v>
      </c>
    </row>
    <row r="79" customFormat="false" ht="13.5" hidden="false" customHeight="false" outlineLevel="0" collapsed="false">
      <c r="A79" s="9" t="n">
        <v>78</v>
      </c>
      <c r="B79" s="39" t="str">
        <f aca="false">IF($V$4=0,IF($J79="","",$J79),IFERROR(IF([1]入库吨位汇总!$B$78=0,"",[1]入库吨位汇总!$B$78),""))</f>
        <v/>
      </c>
      <c r="C79" s="39" t="str">
        <f aca="false">IF($V$4=0,IF($K79="","",$K79),IFERROR(IF([1]入库吨位汇总!$C$78=0,"",[1]入库吨位汇总!$C$78),""))</f>
        <v/>
      </c>
      <c r="D79" s="51" t="str">
        <f aca="false">IF($V$4=0,IF($L79="","",$L79),IFERROR(IF([1]入库吨位汇总!$D$78=0,"",[1]入库吨位汇总!$D$78),""))</f>
        <v/>
      </c>
      <c r="E79" s="51" t="str">
        <f aca="false">IF($V$4=0,IF($M79="","",$M79),IFERROR(IF([1]入库吨位汇总!$E$78=0,"",[1]入库吨位汇总!$E$78),""))</f>
        <v/>
      </c>
      <c r="F79" s="41" t="str">
        <f aca="false">IF($V$4=0,IF($N79="","",$N79),IFERROR(IF([1]入库吨位汇总!$K$78=0,"",[1]入库吨位汇总!$K$78),""))</f>
        <v/>
      </c>
      <c r="G79" s="52" t="str">
        <f aca="false">IF($V$4=0,IF($O79="","",$O79),IFERROR(IF([1]入库吨位汇总!$L$78=0,"",[1]入库吨位汇总!$L$78),""))</f>
        <v/>
      </c>
      <c r="H79" s="41" t="str">
        <f aca="false">IF($V$4=0,IF($P79="","",$P79),IFERROR(IF([1]入库吨位汇总!$H$78=0,"",[1]入库吨位汇总!$H$78),""))</f>
        <v/>
      </c>
      <c r="I79" s="41" t="str">
        <f aca="false">IF($V$4=0,IF($Q79="","",$Q79),IFERROR(IF([1]入库吨位汇总!$I$78=0,"",[1]入库吨位汇总!$I$78),""))</f>
        <v/>
      </c>
      <c r="J79" s="10"/>
      <c r="K79" s="10"/>
      <c r="L79" s="53"/>
      <c r="M79" s="53"/>
      <c r="N79" s="54"/>
      <c r="O79" s="54"/>
      <c r="P79" s="54"/>
      <c r="Q79" s="54"/>
      <c r="R79" s="55" t="n">
        <f aca="false">IF(AND($B79&lt;&gt;"",$C79&lt;&gt;""),1,0)</f>
        <v>0</v>
      </c>
      <c r="S79" s="55" t="n">
        <f aca="false">N(S78)+$R79</f>
        <v>22</v>
      </c>
    </row>
    <row r="80" customFormat="false" ht="13.5" hidden="false" customHeight="false" outlineLevel="0" collapsed="false">
      <c r="A80" s="9" t="n">
        <v>79</v>
      </c>
      <c r="B80" s="39" t="str">
        <f aca="false">IF($V$4=0,IF($J80="","",$J80),IFERROR(IF([1]入库吨位汇总!$B$79=0,"",[1]入库吨位汇总!$B$79),""))</f>
        <v/>
      </c>
      <c r="C80" s="39" t="str">
        <f aca="false">IF($V$4=0,IF($K80="","",$K80),IFERROR(IF([1]入库吨位汇总!$C$79=0,"",[1]入库吨位汇总!$C$79),""))</f>
        <v/>
      </c>
      <c r="D80" s="51" t="str">
        <f aca="false">IF($V$4=0,IF($L80="","",$L80),IFERROR(IF([1]入库吨位汇总!$D$79=0,"",[1]入库吨位汇总!$D$79),""))</f>
        <v/>
      </c>
      <c r="E80" s="51" t="str">
        <f aca="false">IF($V$4=0,IF($M80="","",$M80),IFERROR(IF([1]入库吨位汇总!$E$79=0,"",[1]入库吨位汇总!$E$79),""))</f>
        <v/>
      </c>
      <c r="F80" s="41" t="str">
        <f aca="false">IF($V$4=0,IF($N80="","",$N80),IFERROR(IF([1]入库吨位汇总!$K$79=0,"",[1]入库吨位汇总!$K$79),""))</f>
        <v/>
      </c>
      <c r="G80" s="52" t="str">
        <f aca="false">IF($V$4=0,IF($O80="","",$O80),IFERROR(IF([1]入库吨位汇总!$L$79=0,"",[1]入库吨位汇总!$L$79),""))</f>
        <v/>
      </c>
      <c r="H80" s="41" t="str">
        <f aca="false">IF($V$4=0,IF($P80="","",$P80),IFERROR(IF([1]入库吨位汇总!$H$79=0,"",[1]入库吨位汇总!$H$79),""))</f>
        <v/>
      </c>
      <c r="I80" s="41" t="str">
        <f aca="false">IF($V$4=0,IF($Q80="","",$Q80),IFERROR(IF([1]入库吨位汇总!$I$79=0,"",[1]入库吨位汇总!$I$79),""))</f>
        <v/>
      </c>
      <c r="J80" s="10"/>
      <c r="K80" s="10"/>
      <c r="L80" s="53"/>
      <c r="M80" s="53"/>
      <c r="N80" s="54"/>
      <c r="O80" s="54"/>
      <c r="P80" s="54"/>
      <c r="Q80" s="54"/>
      <c r="R80" s="55" t="n">
        <f aca="false">IF(AND($B80&lt;&gt;"",$C80&lt;&gt;""),1,0)</f>
        <v>0</v>
      </c>
      <c r="S80" s="55" t="n">
        <f aca="false">N(S79)+$R80</f>
        <v>22</v>
      </c>
    </row>
    <row r="81" customFormat="false" ht="13.5" hidden="false" customHeight="false" outlineLevel="0" collapsed="false">
      <c r="A81" s="9" t="n">
        <v>80</v>
      </c>
      <c r="B81" s="39" t="str">
        <f aca="false">IF($V$4=0,IF($J81="","",$J81),IFERROR(IF([1]入库吨位汇总!$B$80=0,"",[1]入库吨位汇总!$B$80),""))</f>
        <v/>
      </c>
      <c r="C81" s="39" t="str">
        <f aca="false">IF($V$4=0,IF($K81="","",$K81),IFERROR(IF([1]入库吨位汇总!$C$80=0,"",[1]入库吨位汇总!$C$80),""))</f>
        <v/>
      </c>
      <c r="D81" s="51" t="str">
        <f aca="false">IF($V$4=0,IF($L81="","",$L81),IFERROR(IF([1]入库吨位汇总!$D$80=0,"",[1]入库吨位汇总!$D$80),""))</f>
        <v/>
      </c>
      <c r="E81" s="51" t="str">
        <f aca="false">IF($V$4=0,IF($M81="","",$M81),IFERROR(IF([1]入库吨位汇总!$E$80=0,"",[1]入库吨位汇总!$E$80),""))</f>
        <v/>
      </c>
      <c r="F81" s="41" t="str">
        <f aca="false">IF($V$4=0,IF($N81="","",$N81),IFERROR(IF([1]入库吨位汇总!$K$80=0,"",[1]入库吨位汇总!$K$80),""))</f>
        <v/>
      </c>
      <c r="G81" s="52" t="str">
        <f aca="false">IF($V$4=0,IF($O81="","",$O81),IFERROR(IF([1]入库吨位汇总!$L$80=0,"",[1]入库吨位汇总!$L$80),""))</f>
        <v/>
      </c>
      <c r="H81" s="41" t="str">
        <f aca="false">IF($V$4=0,IF($P81="","",$P81),IFERROR(IF([1]入库吨位汇总!$H$80=0,"",[1]入库吨位汇总!$H$80),""))</f>
        <v/>
      </c>
      <c r="I81" s="41" t="str">
        <f aca="false">IF($V$4=0,IF($Q81="","",$Q81),IFERROR(IF([1]入库吨位汇总!$I$80=0,"",[1]入库吨位汇总!$I$80),""))</f>
        <v/>
      </c>
      <c r="J81" s="10"/>
      <c r="K81" s="10"/>
      <c r="L81" s="53"/>
      <c r="M81" s="53"/>
      <c r="N81" s="54"/>
      <c r="O81" s="54"/>
      <c r="P81" s="54"/>
      <c r="Q81" s="54"/>
      <c r="R81" s="55" t="n">
        <f aca="false">IF(AND($B81&lt;&gt;"",$C81&lt;&gt;""),1,0)</f>
        <v>0</v>
      </c>
      <c r="S81" s="55" t="n">
        <f aca="false">N(S80)+$R81</f>
        <v>22</v>
      </c>
    </row>
    <row r="82" customFormat="false" ht="13.5" hidden="false" customHeight="false" outlineLevel="0" collapsed="false">
      <c r="A82" s="9" t="n">
        <v>81</v>
      </c>
      <c r="B82" s="39" t="str">
        <f aca="false">IF($V$4=0,IF($J82="","",$J82),IFERROR(IF([1]入库吨位汇总!$B$81=0,"",[1]入库吨位汇总!$B$81),""))</f>
        <v/>
      </c>
      <c r="C82" s="39" t="str">
        <f aca="false">IF($V$4=0,IF($K82="","",$K82),IFERROR(IF([1]入库吨位汇总!$C$81=0,"",[1]入库吨位汇总!$C$81),""))</f>
        <v/>
      </c>
      <c r="D82" s="51" t="str">
        <f aca="false">IF($V$4=0,IF($L82="","",$L82),IFERROR(IF([1]入库吨位汇总!$D$81=0,"",[1]入库吨位汇总!$D$81),""))</f>
        <v/>
      </c>
      <c r="E82" s="51" t="str">
        <f aca="false">IF($V$4=0,IF($M82="","",$M82),IFERROR(IF([1]入库吨位汇总!$E$81=0,"",[1]入库吨位汇总!$E$81),""))</f>
        <v/>
      </c>
      <c r="F82" s="41" t="str">
        <f aca="false">IF($V$4=0,IF($N82="","",$N82),IFERROR(IF([1]入库吨位汇总!$K$81=0,"",[1]入库吨位汇总!$K$81),""))</f>
        <v/>
      </c>
      <c r="G82" s="52" t="str">
        <f aca="false">IF($V$4=0,IF($O82="","",$O82),IFERROR(IF([1]入库吨位汇总!$L$81=0,"",[1]入库吨位汇总!$L$81),""))</f>
        <v/>
      </c>
      <c r="H82" s="41" t="str">
        <f aca="false">IF($V$4=0,IF($P82="","",$P82),IFERROR(IF([1]入库吨位汇总!$H$81=0,"",[1]入库吨位汇总!$H$81),""))</f>
        <v/>
      </c>
      <c r="I82" s="41" t="str">
        <f aca="false">IF($V$4=0,IF($Q82="","",$Q82),IFERROR(IF([1]入库吨位汇总!$I$81=0,"",[1]入库吨位汇总!$I$81),""))</f>
        <v/>
      </c>
      <c r="J82" s="10"/>
      <c r="K82" s="10"/>
      <c r="L82" s="53"/>
      <c r="M82" s="53"/>
      <c r="N82" s="54"/>
      <c r="O82" s="54"/>
      <c r="P82" s="54"/>
      <c r="Q82" s="54"/>
      <c r="R82" s="55" t="n">
        <f aca="false">IF(AND($B82&lt;&gt;"",$C82&lt;&gt;""),1,0)</f>
        <v>0</v>
      </c>
      <c r="S82" s="55" t="n">
        <f aca="false">N(S81)+$R82</f>
        <v>22</v>
      </c>
    </row>
    <row r="83" customFormat="false" ht="13.5" hidden="false" customHeight="false" outlineLevel="0" collapsed="false">
      <c r="A83" s="9" t="n">
        <v>82</v>
      </c>
      <c r="B83" s="39" t="str">
        <f aca="false">IF($V$4=0,IF($J83="","",$J83),IFERROR(IF([1]入库吨位汇总!$B$82=0,"",[1]入库吨位汇总!$B$82),""))</f>
        <v/>
      </c>
      <c r="C83" s="39" t="str">
        <f aca="false">IF($V$4=0,IF($K83="","",$K83),IFERROR(IF([1]入库吨位汇总!$C$82=0,"",[1]入库吨位汇总!$C$82),""))</f>
        <v/>
      </c>
      <c r="D83" s="51" t="str">
        <f aca="false">IF($V$4=0,IF($L83="","",$L83),IFERROR(IF([1]入库吨位汇总!$D$82=0,"",[1]入库吨位汇总!$D$82),""))</f>
        <v/>
      </c>
      <c r="E83" s="51" t="str">
        <f aca="false">IF($V$4=0,IF($M83="","",$M83),IFERROR(IF([1]入库吨位汇总!$E$82=0,"",[1]入库吨位汇总!$E$82),""))</f>
        <v/>
      </c>
      <c r="F83" s="41" t="str">
        <f aca="false">IF($V$4=0,IF($N83="","",$N83),IFERROR(IF([1]入库吨位汇总!$K$82=0,"",[1]入库吨位汇总!$K$82),""))</f>
        <v/>
      </c>
      <c r="G83" s="52" t="str">
        <f aca="false">IF($V$4=0,IF($O83="","",$O83),IFERROR(IF([1]入库吨位汇总!$L$82=0,"",[1]入库吨位汇总!$L$82),""))</f>
        <v/>
      </c>
      <c r="H83" s="41" t="str">
        <f aca="false">IF($V$4=0,IF($P83="","",$P83),IFERROR(IF([1]入库吨位汇总!$H$82=0,"",[1]入库吨位汇总!$H$82),""))</f>
        <v/>
      </c>
      <c r="I83" s="41" t="str">
        <f aca="false">IF($V$4=0,IF($Q83="","",$Q83),IFERROR(IF([1]入库吨位汇总!$I$82=0,"",[1]入库吨位汇总!$I$82),""))</f>
        <v/>
      </c>
      <c r="J83" s="10"/>
      <c r="K83" s="10"/>
      <c r="L83" s="53"/>
      <c r="M83" s="53"/>
      <c r="N83" s="54"/>
      <c r="O83" s="54"/>
      <c r="P83" s="54"/>
      <c r="Q83" s="54"/>
      <c r="R83" s="55" t="n">
        <f aca="false">IF(AND($B83&lt;&gt;"",$C83&lt;&gt;""),1,0)</f>
        <v>0</v>
      </c>
      <c r="S83" s="55" t="n">
        <f aca="false">N(S82)+$R83</f>
        <v>22</v>
      </c>
    </row>
    <row r="84" customFormat="false" ht="13.5" hidden="false" customHeight="false" outlineLevel="0" collapsed="false">
      <c r="A84" s="9" t="n">
        <v>83</v>
      </c>
      <c r="B84" s="39" t="str">
        <f aca="false">IF($V$4=0,IF($J84="","",$J84),IFERROR(IF([1]入库吨位汇总!$B$83=0,"",[1]入库吨位汇总!$B$83),""))</f>
        <v/>
      </c>
      <c r="C84" s="39" t="str">
        <f aca="false">IF($V$4=0,IF($K84="","",$K84),IFERROR(IF([1]入库吨位汇总!$C$83=0,"",[1]入库吨位汇总!$C$83),""))</f>
        <v/>
      </c>
      <c r="D84" s="51" t="str">
        <f aca="false">IF($V$4=0,IF($L84="","",$L84),IFERROR(IF([1]入库吨位汇总!$D$83=0,"",[1]入库吨位汇总!$D$83),""))</f>
        <v/>
      </c>
      <c r="E84" s="51" t="str">
        <f aca="false">IF($V$4=0,IF($M84="","",$M84),IFERROR(IF([1]入库吨位汇总!$E$83=0,"",[1]入库吨位汇总!$E$83),""))</f>
        <v/>
      </c>
      <c r="F84" s="41" t="str">
        <f aca="false">IF($V$4=0,IF($N84="","",$N84),IFERROR(IF([1]入库吨位汇总!$K$83=0,"",[1]入库吨位汇总!$K$83),""))</f>
        <v/>
      </c>
      <c r="G84" s="52" t="str">
        <f aca="false">IF($V$4=0,IF($O84="","",$O84),IFERROR(IF([1]入库吨位汇总!$L$83=0,"",[1]入库吨位汇总!$L$83),""))</f>
        <v/>
      </c>
      <c r="H84" s="41" t="str">
        <f aca="false">IF($V$4=0,IF($P84="","",$P84),IFERROR(IF([1]入库吨位汇总!$H$83=0,"",[1]入库吨位汇总!$H$83),""))</f>
        <v/>
      </c>
      <c r="I84" s="41" t="str">
        <f aca="false">IF($V$4=0,IF($Q84="","",$Q84),IFERROR(IF([1]入库吨位汇总!$I$83=0,"",[1]入库吨位汇总!$I$83),""))</f>
        <v/>
      </c>
      <c r="J84" s="10"/>
      <c r="K84" s="10"/>
      <c r="L84" s="53"/>
      <c r="M84" s="53"/>
      <c r="N84" s="54"/>
      <c r="O84" s="54"/>
      <c r="P84" s="54"/>
      <c r="Q84" s="54"/>
      <c r="R84" s="55" t="n">
        <f aca="false">IF(AND($B84&lt;&gt;"",$C84&lt;&gt;""),1,0)</f>
        <v>0</v>
      </c>
      <c r="S84" s="55" t="n">
        <f aca="false">N(S83)+$R84</f>
        <v>22</v>
      </c>
    </row>
    <row r="85" customFormat="false" ht="13.5" hidden="false" customHeight="false" outlineLevel="0" collapsed="false">
      <c r="A85" s="9" t="n">
        <v>84</v>
      </c>
      <c r="B85" s="39" t="str">
        <f aca="false">IF($V$4=0,IF($J85="","",$J85),IFERROR(IF([1]入库吨位汇总!$B$84=0,"",[1]入库吨位汇总!$B$84),""))</f>
        <v/>
      </c>
      <c r="C85" s="39" t="str">
        <f aca="false">IF($V$4=0,IF($K85="","",$K85),IFERROR(IF([1]入库吨位汇总!$C$84=0,"",[1]入库吨位汇总!$C$84),""))</f>
        <v/>
      </c>
      <c r="D85" s="51" t="str">
        <f aca="false">IF($V$4=0,IF($L85="","",$L85),IFERROR(IF([1]入库吨位汇总!$D$84=0,"",[1]入库吨位汇总!$D$84),""))</f>
        <v/>
      </c>
      <c r="E85" s="51" t="str">
        <f aca="false">IF($V$4=0,IF($M85="","",$M85),IFERROR(IF([1]入库吨位汇总!$E$84=0,"",[1]入库吨位汇总!$E$84),""))</f>
        <v/>
      </c>
      <c r="F85" s="41" t="str">
        <f aca="false">IF($V$4=0,IF($N85="","",$N85),IFERROR(IF([1]入库吨位汇总!$K$84=0,"",[1]入库吨位汇总!$K$84),""))</f>
        <v/>
      </c>
      <c r="G85" s="52" t="str">
        <f aca="false">IF($V$4=0,IF($O85="","",$O85),IFERROR(IF([1]入库吨位汇总!$L$84=0,"",[1]入库吨位汇总!$L$84),""))</f>
        <v/>
      </c>
      <c r="H85" s="41" t="str">
        <f aca="false">IF($V$4=0,IF($P85="","",$P85),IFERROR(IF([1]入库吨位汇总!$H$84=0,"",[1]入库吨位汇总!$H$84),""))</f>
        <v/>
      </c>
      <c r="I85" s="41" t="str">
        <f aca="false">IF($V$4=0,IF($Q85="","",$Q85),IFERROR(IF([1]入库吨位汇总!$I$84=0,"",[1]入库吨位汇总!$I$84),""))</f>
        <v/>
      </c>
      <c r="J85" s="10"/>
      <c r="K85" s="10"/>
      <c r="L85" s="53"/>
      <c r="M85" s="53"/>
      <c r="N85" s="54"/>
      <c r="O85" s="54"/>
      <c r="P85" s="54"/>
      <c r="Q85" s="54"/>
      <c r="R85" s="55" t="n">
        <f aca="false">IF(AND($B85&lt;&gt;"",$C85&lt;&gt;""),1,0)</f>
        <v>0</v>
      </c>
      <c r="S85" s="55" t="n">
        <f aca="false">N(S84)+$R85</f>
        <v>22</v>
      </c>
    </row>
    <row r="86" customFormat="false" ht="13.5" hidden="false" customHeight="false" outlineLevel="0" collapsed="false">
      <c r="A86" s="9" t="n">
        <v>85</v>
      </c>
      <c r="B86" s="39" t="str">
        <f aca="false">IF($V$4=0,IF($J86="","",$J86),IFERROR(IF([1]入库吨位汇总!$B$85=0,"",[1]入库吨位汇总!$B$85),""))</f>
        <v/>
      </c>
      <c r="C86" s="39" t="str">
        <f aca="false">IF($V$4=0,IF($K86="","",$K86),IFERROR(IF([1]入库吨位汇总!$C$85=0,"",[1]入库吨位汇总!$C$85),""))</f>
        <v/>
      </c>
      <c r="D86" s="51" t="str">
        <f aca="false">IF($V$4=0,IF($L86="","",$L86),IFERROR(IF([1]入库吨位汇总!$D$85=0,"",[1]入库吨位汇总!$D$85),""))</f>
        <v/>
      </c>
      <c r="E86" s="51" t="str">
        <f aca="false">IF($V$4=0,IF($M86="","",$M86),IFERROR(IF([1]入库吨位汇总!$E$85=0,"",[1]入库吨位汇总!$E$85),""))</f>
        <v/>
      </c>
      <c r="F86" s="41" t="str">
        <f aca="false">IF($V$4=0,IF($N86="","",$N86),IFERROR(IF([1]入库吨位汇总!$K$85=0,"",[1]入库吨位汇总!$K$85),""))</f>
        <v/>
      </c>
      <c r="G86" s="52" t="str">
        <f aca="false">IF($V$4=0,IF($O86="","",$O86),IFERROR(IF([1]入库吨位汇总!$L$85=0,"",[1]入库吨位汇总!$L$85),""))</f>
        <v/>
      </c>
      <c r="H86" s="41" t="str">
        <f aca="false">IF($V$4=0,IF($P86="","",$P86),IFERROR(IF([1]入库吨位汇总!$H$85=0,"",[1]入库吨位汇总!$H$85),""))</f>
        <v/>
      </c>
      <c r="I86" s="41" t="str">
        <f aca="false">IF($V$4=0,IF($Q86="","",$Q86),IFERROR(IF([1]入库吨位汇总!$I$85=0,"",[1]入库吨位汇总!$I$85),""))</f>
        <v/>
      </c>
      <c r="J86" s="10"/>
      <c r="K86" s="10"/>
      <c r="L86" s="53"/>
      <c r="M86" s="53"/>
      <c r="N86" s="54"/>
      <c r="O86" s="54"/>
      <c r="P86" s="54"/>
      <c r="Q86" s="54"/>
      <c r="R86" s="55" t="n">
        <f aca="false">IF(AND($B86&lt;&gt;"",$C86&lt;&gt;""),1,0)</f>
        <v>0</v>
      </c>
      <c r="S86" s="55" t="n">
        <f aca="false">N(S85)+$R86</f>
        <v>22</v>
      </c>
    </row>
    <row r="87" customFormat="false" ht="13.5" hidden="false" customHeight="false" outlineLevel="0" collapsed="false">
      <c r="A87" s="9" t="n">
        <v>86</v>
      </c>
      <c r="B87" s="39" t="str">
        <f aca="false">IF($V$4=0,IF($J87="","",$J87),IFERROR(IF([1]入库吨位汇总!$B$86=0,"",[1]入库吨位汇总!$B$86),""))</f>
        <v/>
      </c>
      <c r="C87" s="39" t="str">
        <f aca="false">IF($V$4=0,IF($K87="","",$K87),IFERROR(IF([1]入库吨位汇总!$C$86=0,"",[1]入库吨位汇总!$C$86),""))</f>
        <v/>
      </c>
      <c r="D87" s="51" t="str">
        <f aca="false">IF($V$4=0,IF($L87="","",$L87),IFERROR(IF([1]入库吨位汇总!$D$86=0,"",[1]入库吨位汇总!$D$86),""))</f>
        <v/>
      </c>
      <c r="E87" s="51" t="str">
        <f aca="false">IF($V$4=0,IF($M87="","",$M87),IFERROR(IF([1]入库吨位汇总!$E$86=0,"",[1]入库吨位汇总!$E$86),""))</f>
        <v/>
      </c>
      <c r="F87" s="41" t="str">
        <f aca="false">IF($V$4=0,IF($N87="","",$N87),IFERROR(IF([1]入库吨位汇总!$K$86=0,"",[1]入库吨位汇总!$K$86),""))</f>
        <v/>
      </c>
      <c r="G87" s="52" t="str">
        <f aca="false">IF($V$4=0,IF($O87="","",$O87),IFERROR(IF([1]入库吨位汇总!$L$86=0,"",[1]入库吨位汇总!$L$86),""))</f>
        <v/>
      </c>
      <c r="H87" s="41" t="str">
        <f aca="false">IF($V$4=0,IF($P87="","",$P87),IFERROR(IF([1]入库吨位汇总!$H$86=0,"",[1]入库吨位汇总!$H$86),""))</f>
        <v/>
      </c>
      <c r="I87" s="41" t="str">
        <f aca="false">IF($V$4=0,IF($Q87="","",$Q87),IFERROR(IF([1]入库吨位汇总!$I$86=0,"",[1]入库吨位汇总!$I$86),""))</f>
        <v/>
      </c>
      <c r="J87" s="10"/>
      <c r="K87" s="10"/>
      <c r="L87" s="53"/>
      <c r="M87" s="53"/>
      <c r="N87" s="54"/>
      <c r="O87" s="54"/>
      <c r="P87" s="54"/>
      <c r="Q87" s="54"/>
      <c r="R87" s="55" t="n">
        <f aca="false">IF(AND($B87&lt;&gt;"",$C87&lt;&gt;""),1,0)</f>
        <v>0</v>
      </c>
      <c r="S87" s="55" t="n">
        <f aca="false">N(S86)+$R87</f>
        <v>22</v>
      </c>
    </row>
    <row r="88" customFormat="false" ht="13.5" hidden="false" customHeight="false" outlineLevel="0" collapsed="false">
      <c r="A88" s="9" t="n">
        <v>87</v>
      </c>
      <c r="B88" s="39" t="str">
        <f aca="false">IF($V$4=0,IF($J88="","",$J88),IFERROR(IF([1]入库吨位汇总!$B$87=0,"",[1]入库吨位汇总!$B$87),""))</f>
        <v/>
      </c>
      <c r="C88" s="39" t="str">
        <f aca="false">IF($V$4=0,IF($K88="","",$K88),IFERROR(IF([1]入库吨位汇总!$C$87=0,"",[1]入库吨位汇总!$C$87),""))</f>
        <v/>
      </c>
      <c r="D88" s="51" t="str">
        <f aca="false">IF($V$4=0,IF($L88="","",$L88),IFERROR(IF([1]入库吨位汇总!$D$87=0,"",[1]入库吨位汇总!$D$87),""))</f>
        <v/>
      </c>
      <c r="E88" s="51" t="str">
        <f aca="false">IF($V$4=0,IF($M88="","",$M88),IFERROR(IF([1]入库吨位汇总!$E$87=0,"",[1]入库吨位汇总!$E$87),""))</f>
        <v/>
      </c>
      <c r="F88" s="41" t="str">
        <f aca="false">IF($V$4=0,IF($N88="","",$N88),IFERROR(IF([1]入库吨位汇总!$K$87=0,"",[1]入库吨位汇总!$K$87),""))</f>
        <v/>
      </c>
      <c r="G88" s="52" t="str">
        <f aca="false">IF($V$4=0,IF($O88="","",$O88),IFERROR(IF([1]入库吨位汇总!$L$87=0,"",[1]入库吨位汇总!$L$87),""))</f>
        <v/>
      </c>
      <c r="H88" s="41" t="str">
        <f aca="false">IF($V$4=0,IF($P88="","",$P88),IFERROR(IF([1]入库吨位汇总!$H$87=0,"",[1]入库吨位汇总!$H$87),""))</f>
        <v/>
      </c>
      <c r="I88" s="41" t="str">
        <f aca="false">IF($V$4=0,IF($Q88="","",$Q88),IFERROR(IF([1]入库吨位汇总!$I$87=0,"",[1]入库吨位汇总!$I$87),""))</f>
        <v/>
      </c>
      <c r="J88" s="10"/>
      <c r="K88" s="10"/>
      <c r="L88" s="53"/>
      <c r="M88" s="53"/>
      <c r="N88" s="54"/>
      <c r="O88" s="54"/>
      <c r="P88" s="54"/>
      <c r="Q88" s="54"/>
      <c r="R88" s="55" t="n">
        <f aca="false">IF(AND($B88&lt;&gt;"",$C88&lt;&gt;""),1,0)</f>
        <v>0</v>
      </c>
      <c r="S88" s="55" t="n">
        <f aca="false">N(S87)+$R88</f>
        <v>22</v>
      </c>
    </row>
    <row r="89" customFormat="false" ht="13.5" hidden="false" customHeight="false" outlineLevel="0" collapsed="false">
      <c r="A89" s="9" t="n">
        <v>88</v>
      </c>
      <c r="B89" s="39" t="str">
        <f aca="false">IF($V$4=0,IF($J89="","",$J89),IFERROR(IF([1]入库吨位汇总!$B$88=0,"",[1]入库吨位汇总!$B$88),""))</f>
        <v/>
      </c>
      <c r="C89" s="39" t="str">
        <f aca="false">IF($V$4=0,IF($K89="","",$K89),IFERROR(IF([1]入库吨位汇总!$C$88=0,"",[1]入库吨位汇总!$C$88),""))</f>
        <v/>
      </c>
      <c r="D89" s="51" t="str">
        <f aca="false">IF($V$4=0,IF($L89="","",$L89),IFERROR(IF([1]入库吨位汇总!$D$88=0,"",[1]入库吨位汇总!$D$88),""))</f>
        <v/>
      </c>
      <c r="E89" s="51" t="str">
        <f aca="false">IF($V$4=0,IF($M89="","",$M89),IFERROR(IF([1]入库吨位汇总!$E$88=0,"",[1]入库吨位汇总!$E$88),""))</f>
        <v/>
      </c>
      <c r="F89" s="41" t="str">
        <f aca="false">IF($V$4=0,IF($N89="","",$N89),IFERROR(IF([1]入库吨位汇总!$K$88=0,"",[1]入库吨位汇总!$K$88),""))</f>
        <v/>
      </c>
      <c r="G89" s="52" t="str">
        <f aca="false">IF($V$4=0,IF($O89="","",$O89),IFERROR(IF([1]入库吨位汇总!$L$88=0,"",[1]入库吨位汇总!$L$88),""))</f>
        <v/>
      </c>
      <c r="H89" s="41" t="str">
        <f aca="false">IF($V$4=0,IF($P89="","",$P89),IFERROR(IF([1]入库吨位汇总!$H$88=0,"",[1]入库吨位汇总!$H$88),""))</f>
        <v/>
      </c>
      <c r="I89" s="41" t="str">
        <f aca="false">IF($V$4=0,IF($Q89="","",$Q89),IFERROR(IF([1]入库吨位汇总!$I$88=0,"",[1]入库吨位汇总!$I$88),""))</f>
        <v/>
      </c>
      <c r="J89" s="10"/>
      <c r="K89" s="10"/>
      <c r="L89" s="53"/>
      <c r="M89" s="53"/>
      <c r="N89" s="54"/>
      <c r="O89" s="54"/>
      <c r="P89" s="54"/>
      <c r="Q89" s="54"/>
      <c r="R89" s="55" t="n">
        <f aca="false">IF(AND($B89&lt;&gt;"",$C89&lt;&gt;""),1,0)</f>
        <v>0</v>
      </c>
      <c r="S89" s="55" t="n">
        <f aca="false">N(S88)+$R89</f>
        <v>22</v>
      </c>
    </row>
    <row r="90" customFormat="false" ht="13.5" hidden="false" customHeight="false" outlineLevel="0" collapsed="false">
      <c r="A90" s="9" t="n">
        <v>89</v>
      </c>
      <c r="B90" s="39" t="str">
        <f aca="false">IF($V$4=0,IF($J90="","",$J90),IFERROR(IF([1]入库吨位汇总!$B$89=0,"",[1]入库吨位汇总!$B$89),""))</f>
        <v/>
      </c>
      <c r="C90" s="39" t="str">
        <f aca="false">IF($V$4=0,IF($K90="","",$K90),IFERROR(IF([1]入库吨位汇总!$C$89=0,"",[1]入库吨位汇总!$C$89),""))</f>
        <v/>
      </c>
      <c r="D90" s="51" t="str">
        <f aca="false">IF($V$4=0,IF($L90="","",$L90),IFERROR(IF([1]入库吨位汇总!$D$89=0,"",[1]入库吨位汇总!$D$89),""))</f>
        <v/>
      </c>
      <c r="E90" s="51" t="str">
        <f aca="false">IF($V$4=0,IF($M90="","",$M90),IFERROR(IF([1]入库吨位汇总!$E$89=0,"",[1]入库吨位汇总!$E$89),""))</f>
        <v/>
      </c>
      <c r="F90" s="41" t="str">
        <f aca="false">IF($V$4=0,IF($N90="","",$N90),IFERROR(IF([1]入库吨位汇总!$K$89=0,"",[1]入库吨位汇总!$K$89),""))</f>
        <v/>
      </c>
      <c r="G90" s="52" t="str">
        <f aca="false">IF($V$4=0,IF($O90="","",$O90),IFERROR(IF([1]入库吨位汇总!$L$89=0,"",[1]入库吨位汇总!$L$89),""))</f>
        <v/>
      </c>
      <c r="H90" s="41" t="str">
        <f aca="false">IF($V$4=0,IF($P90="","",$P90),IFERROR(IF([1]入库吨位汇总!$H$89=0,"",[1]入库吨位汇总!$H$89),""))</f>
        <v/>
      </c>
      <c r="I90" s="41" t="str">
        <f aca="false">IF($V$4=0,IF($Q90="","",$Q90),IFERROR(IF([1]入库吨位汇总!$I$89=0,"",[1]入库吨位汇总!$I$89),""))</f>
        <v/>
      </c>
      <c r="J90" s="10"/>
      <c r="K90" s="10"/>
      <c r="L90" s="53"/>
      <c r="M90" s="53"/>
      <c r="N90" s="54"/>
      <c r="O90" s="54"/>
      <c r="P90" s="54"/>
      <c r="Q90" s="54"/>
      <c r="R90" s="55" t="n">
        <f aca="false">IF(AND($B90&lt;&gt;"",$C90&lt;&gt;""),1,0)</f>
        <v>0</v>
      </c>
      <c r="S90" s="55" t="n">
        <f aca="false">N(S89)+$R90</f>
        <v>22</v>
      </c>
    </row>
    <row r="91" customFormat="false" ht="13.5" hidden="false" customHeight="false" outlineLevel="0" collapsed="false">
      <c r="A91" s="9" t="n">
        <v>90</v>
      </c>
      <c r="B91" s="39" t="str">
        <f aca="false">IF($V$4=0,IF($J91="","",$J91),IFERROR(IF([1]入库吨位汇总!$B$90=0,"",[1]入库吨位汇总!$B$90),""))</f>
        <v/>
      </c>
      <c r="C91" s="39" t="str">
        <f aca="false">IF($V$4=0,IF($K91="","",$K91),IFERROR(IF([1]入库吨位汇总!$C$90=0,"",[1]入库吨位汇总!$C$90),""))</f>
        <v/>
      </c>
      <c r="D91" s="51" t="str">
        <f aca="false">IF($V$4=0,IF($L91="","",$L91),IFERROR(IF([1]入库吨位汇总!$D$90=0,"",[1]入库吨位汇总!$D$90),""))</f>
        <v/>
      </c>
      <c r="E91" s="51" t="str">
        <f aca="false">IF($V$4=0,IF($M91="","",$M91),IFERROR(IF([1]入库吨位汇总!$E$90=0,"",[1]入库吨位汇总!$E$90),""))</f>
        <v/>
      </c>
      <c r="F91" s="41" t="str">
        <f aca="false">IF($V$4=0,IF($N91="","",$N91),IFERROR(IF([1]入库吨位汇总!$K$90=0,"",[1]入库吨位汇总!$K$90),""))</f>
        <v/>
      </c>
      <c r="G91" s="52" t="str">
        <f aca="false">IF($V$4=0,IF($O91="","",$O91),IFERROR(IF([1]入库吨位汇总!$L$90=0,"",[1]入库吨位汇总!$L$90),""))</f>
        <v/>
      </c>
      <c r="H91" s="41" t="str">
        <f aca="false">IF($V$4=0,IF($P91="","",$P91),IFERROR(IF([1]入库吨位汇总!$H$90=0,"",[1]入库吨位汇总!$H$90),""))</f>
        <v/>
      </c>
      <c r="I91" s="41" t="str">
        <f aca="false">IF($V$4=0,IF($Q91="","",$Q91),IFERROR(IF([1]入库吨位汇总!$I$90=0,"",[1]入库吨位汇总!$I$90),""))</f>
        <v/>
      </c>
      <c r="J91" s="10"/>
      <c r="K91" s="10"/>
      <c r="L91" s="53"/>
      <c r="M91" s="53"/>
      <c r="N91" s="54"/>
      <c r="O91" s="54"/>
      <c r="P91" s="54"/>
      <c r="Q91" s="54"/>
      <c r="R91" s="55" t="n">
        <f aca="false">IF(AND($B91&lt;&gt;"",$C91&lt;&gt;""),1,0)</f>
        <v>0</v>
      </c>
      <c r="S91" s="55" t="n">
        <f aca="false">N(S90)+$R91</f>
        <v>22</v>
      </c>
    </row>
    <row r="92" customFormat="false" ht="13.5" hidden="false" customHeight="false" outlineLevel="0" collapsed="false">
      <c r="A92" s="9" t="n">
        <v>91</v>
      </c>
      <c r="B92" s="39" t="str">
        <f aca="false">IF($V$4=0,IF($J92="","",$J92),IFERROR(IF([1]入库吨位汇总!$B$91=0,"",[1]入库吨位汇总!$B$91),""))</f>
        <v/>
      </c>
      <c r="C92" s="39" t="str">
        <f aca="false">IF($V$4=0,IF($K92="","",$K92),IFERROR(IF([1]入库吨位汇总!$C$91=0,"",[1]入库吨位汇总!$C$91),""))</f>
        <v/>
      </c>
      <c r="D92" s="51" t="str">
        <f aca="false">IF($V$4=0,IF($L92="","",$L92),IFERROR(IF([1]入库吨位汇总!$D$91=0,"",[1]入库吨位汇总!$D$91),""))</f>
        <v/>
      </c>
      <c r="E92" s="51" t="str">
        <f aca="false">IF($V$4=0,IF($M92="","",$M92),IFERROR(IF([1]入库吨位汇总!$E$91=0,"",[1]入库吨位汇总!$E$91),""))</f>
        <v/>
      </c>
      <c r="F92" s="41" t="str">
        <f aca="false">IF($V$4=0,IF($N92="","",$N92),IFERROR(IF([1]入库吨位汇总!$K$91=0,"",[1]入库吨位汇总!$K$91),""))</f>
        <v/>
      </c>
      <c r="G92" s="52" t="str">
        <f aca="false">IF($V$4=0,IF($O92="","",$O92),IFERROR(IF([1]入库吨位汇总!$L$91=0,"",[1]入库吨位汇总!$L$91),""))</f>
        <v/>
      </c>
      <c r="H92" s="41" t="str">
        <f aca="false">IF($V$4=0,IF($P92="","",$P92),IFERROR(IF([1]入库吨位汇总!$H$91=0,"",[1]入库吨位汇总!$H$91),""))</f>
        <v/>
      </c>
      <c r="I92" s="41" t="str">
        <f aca="false">IF($V$4=0,IF($Q92="","",$Q92),IFERROR(IF([1]入库吨位汇总!$I$91=0,"",[1]入库吨位汇总!$I$91),""))</f>
        <v/>
      </c>
      <c r="J92" s="10"/>
      <c r="K92" s="10"/>
      <c r="L92" s="53"/>
      <c r="M92" s="53"/>
      <c r="N92" s="54"/>
      <c r="O92" s="54"/>
      <c r="P92" s="54"/>
      <c r="Q92" s="54"/>
      <c r="R92" s="55" t="n">
        <f aca="false">IF(AND($B92&lt;&gt;"",$C92&lt;&gt;""),1,0)</f>
        <v>0</v>
      </c>
      <c r="S92" s="55" t="n">
        <f aca="false">N(S91)+$R92</f>
        <v>22</v>
      </c>
    </row>
    <row r="93" customFormat="false" ht="13.5" hidden="false" customHeight="false" outlineLevel="0" collapsed="false">
      <c r="A93" s="9" t="n">
        <v>92</v>
      </c>
      <c r="B93" s="39" t="str">
        <f aca="false">IF($V$4=0,IF($J93="","",$J93),IFERROR(IF([1]入库吨位汇总!$B$92=0,"",[1]入库吨位汇总!$B$92),""))</f>
        <v/>
      </c>
      <c r="C93" s="39" t="str">
        <f aca="false">IF($V$4=0,IF($K93="","",$K93),IFERROR(IF([1]入库吨位汇总!$C$92=0,"",[1]入库吨位汇总!$C$92),""))</f>
        <v/>
      </c>
      <c r="D93" s="51" t="str">
        <f aca="false">IF($V$4=0,IF($L93="","",$L93),IFERROR(IF([1]入库吨位汇总!$D$92=0,"",[1]入库吨位汇总!$D$92),""))</f>
        <v/>
      </c>
      <c r="E93" s="51" t="str">
        <f aca="false">IF($V$4=0,IF($M93="","",$M93),IFERROR(IF([1]入库吨位汇总!$E$92=0,"",[1]入库吨位汇总!$E$92),""))</f>
        <v/>
      </c>
      <c r="F93" s="41" t="str">
        <f aca="false">IF($V$4=0,IF($N93="","",$N93),IFERROR(IF([1]入库吨位汇总!$K$92=0,"",[1]入库吨位汇总!$K$92),""))</f>
        <v/>
      </c>
      <c r="G93" s="52" t="str">
        <f aca="false">IF($V$4=0,IF($O93="","",$O93),IFERROR(IF([1]入库吨位汇总!$L$92=0,"",[1]入库吨位汇总!$L$92),""))</f>
        <v/>
      </c>
      <c r="H93" s="41" t="str">
        <f aca="false">IF($V$4=0,IF($P93="","",$P93),IFERROR(IF([1]入库吨位汇总!$H$92=0,"",[1]入库吨位汇总!$H$92),""))</f>
        <v/>
      </c>
      <c r="I93" s="41" t="str">
        <f aca="false">IF($V$4=0,IF($Q93="","",$Q93),IFERROR(IF([1]入库吨位汇总!$I$92=0,"",[1]入库吨位汇总!$I$92),""))</f>
        <v/>
      </c>
      <c r="J93" s="10"/>
      <c r="K93" s="10"/>
      <c r="L93" s="53"/>
      <c r="M93" s="53"/>
      <c r="N93" s="54"/>
      <c r="O93" s="54"/>
      <c r="P93" s="54"/>
      <c r="Q93" s="54"/>
      <c r="R93" s="55" t="n">
        <f aca="false">IF(AND($B93&lt;&gt;"",$C93&lt;&gt;""),1,0)</f>
        <v>0</v>
      </c>
      <c r="S93" s="55" t="n">
        <f aca="false">N(S92)+$R93</f>
        <v>22</v>
      </c>
    </row>
    <row r="94" customFormat="false" ht="13.5" hidden="false" customHeight="false" outlineLevel="0" collapsed="false">
      <c r="A94" s="9" t="n">
        <v>93</v>
      </c>
      <c r="B94" s="39" t="str">
        <f aca="false">IF($V$4=0,IF($J94="","",$J94),IFERROR(IF([1]入库吨位汇总!$B$93=0,"",[1]入库吨位汇总!$B$93),""))</f>
        <v/>
      </c>
      <c r="C94" s="39" t="str">
        <f aca="false">IF($V$4=0,IF($K94="","",$K94),IFERROR(IF([1]入库吨位汇总!$C$93=0,"",[1]入库吨位汇总!$C$93),""))</f>
        <v/>
      </c>
      <c r="D94" s="51" t="str">
        <f aca="false">IF($V$4=0,IF($L94="","",$L94),IFERROR(IF([1]入库吨位汇总!$D$93=0,"",[1]入库吨位汇总!$D$93),""))</f>
        <v/>
      </c>
      <c r="E94" s="51" t="str">
        <f aca="false">IF($V$4=0,IF($M94="","",$M94),IFERROR(IF([1]入库吨位汇总!$E$93=0,"",[1]入库吨位汇总!$E$93),""))</f>
        <v/>
      </c>
      <c r="F94" s="41" t="str">
        <f aca="false">IF($V$4=0,IF($N94="","",$N94),IFERROR(IF([1]入库吨位汇总!$K$93=0,"",[1]入库吨位汇总!$K$93),""))</f>
        <v/>
      </c>
      <c r="G94" s="52" t="str">
        <f aca="false">IF($V$4=0,IF($O94="","",$O94),IFERROR(IF([1]入库吨位汇总!$L$93=0,"",[1]入库吨位汇总!$L$93),""))</f>
        <v/>
      </c>
      <c r="H94" s="41" t="str">
        <f aca="false">IF($V$4=0,IF($P94="","",$P94),IFERROR(IF([1]入库吨位汇总!$H$93=0,"",[1]入库吨位汇总!$H$93),""))</f>
        <v/>
      </c>
      <c r="I94" s="41" t="str">
        <f aca="false">IF($V$4=0,IF($Q94="","",$Q94),IFERROR(IF([1]入库吨位汇总!$I$93=0,"",[1]入库吨位汇总!$I$93),""))</f>
        <v/>
      </c>
      <c r="J94" s="10"/>
      <c r="K94" s="10"/>
      <c r="L94" s="53"/>
      <c r="M94" s="53"/>
      <c r="N94" s="54"/>
      <c r="O94" s="54"/>
      <c r="P94" s="54"/>
      <c r="Q94" s="54"/>
      <c r="R94" s="55" t="n">
        <f aca="false">IF(AND($B94&lt;&gt;"",$C94&lt;&gt;""),1,0)</f>
        <v>0</v>
      </c>
      <c r="S94" s="55" t="n">
        <f aca="false">N(S93)+$R94</f>
        <v>22</v>
      </c>
    </row>
    <row r="95" customFormat="false" ht="13.5" hidden="false" customHeight="false" outlineLevel="0" collapsed="false">
      <c r="A95" s="9" t="n">
        <v>94</v>
      </c>
      <c r="B95" s="39" t="str">
        <f aca="false">IF($V$4=0,IF($J95="","",$J95),IFERROR(IF([1]入库吨位汇总!$B$94=0,"",[1]入库吨位汇总!$B$94),""))</f>
        <v/>
      </c>
      <c r="C95" s="39" t="str">
        <f aca="false">IF($V$4=0,IF($K95="","",$K95),IFERROR(IF([1]入库吨位汇总!$C$94=0,"",[1]入库吨位汇总!$C$94),""))</f>
        <v/>
      </c>
      <c r="D95" s="51" t="str">
        <f aca="false">IF($V$4=0,IF($L95="","",$L95),IFERROR(IF([1]入库吨位汇总!$D$94=0,"",[1]入库吨位汇总!$D$94),""))</f>
        <v/>
      </c>
      <c r="E95" s="51" t="str">
        <f aca="false">IF($V$4=0,IF($M95="","",$M95),IFERROR(IF([1]入库吨位汇总!$E$94=0,"",[1]入库吨位汇总!$E$94),""))</f>
        <v/>
      </c>
      <c r="F95" s="41" t="str">
        <f aca="false">IF($V$4=0,IF($N95="","",$N95),IFERROR(IF([1]入库吨位汇总!$K$94=0,"",[1]入库吨位汇总!$K$94),""))</f>
        <v/>
      </c>
      <c r="G95" s="52" t="str">
        <f aca="false">IF($V$4=0,IF($O95="","",$O95),IFERROR(IF([1]入库吨位汇总!$L$94=0,"",[1]入库吨位汇总!$L$94),""))</f>
        <v/>
      </c>
      <c r="H95" s="41" t="str">
        <f aca="false">IF($V$4=0,IF($P95="","",$P95),IFERROR(IF([1]入库吨位汇总!$H$94=0,"",[1]入库吨位汇总!$H$94),""))</f>
        <v/>
      </c>
      <c r="I95" s="41" t="str">
        <f aca="false">IF($V$4=0,IF($Q95="","",$Q95),IFERROR(IF([1]入库吨位汇总!$I$94=0,"",[1]入库吨位汇总!$I$94),""))</f>
        <v/>
      </c>
      <c r="J95" s="10"/>
      <c r="K95" s="10"/>
      <c r="L95" s="53"/>
      <c r="M95" s="53"/>
      <c r="N95" s="54"/>
      <c r="O95" s="54"/>
      <c r="P95" s="54"/>
      <c r="Q95" s="54"/>
      <c r="R95" s="55" t="n">
        <f aca="false">IF(AND($B95&lt;&gt;"",$C95&lt;&gt;""),1,0)</f>
        <v>0</v>
      </c>
      <c r="S95" s="55" t="n">
        <f aca="false">N(S94)+$R95</f>
        <v>22</v>
      </c>
    </row>
    <row r="96" customFormat="false" ht="13.5" hidden="false" customHeight="false" outlineLevel="0" collapsed="false">
      <c r="A96" s="9" t="n">
        <v>95</v>
      </c>
      <c r="B96" s="39" t="str">
        <f aca="false">IF($V$4=0,IF($J96="","",$J96),IFERROR(IF([1]入库吨位汇总!$B$95=0,"",[1]入库吨位汇总!$B$95),""))</f>
        <v/>
      </c>
      <c r="C96" s="39" t="str">
        <f aca="false">IF($V$4=0,IF($K96="","",$K96),IFERROR(IF([1]入库吨位汇总!$C$95=0,"",[1]入库吨位汇总!$C$95),""))</f>
        <v/>
      </c>
      <c r="D96" s="51" t="str">
        <f aca="false">IF($V$4=0,IF($L96="","",$L96),IFERROR(IF([1]入库吨位汇总!$D$95=0,"",[1]入库吨位汇总!$D$95),""))</f>
        <v/>
      </c>
      <c r="E96" s="51" t="str">
        <f aca="false">IF($V$4=0,IF($M96="","",$M96),IFERROR(IF([1]入库吨位汇总!$E$95=0,"",[1]入库吨位汇总!$E$95),""))</f>
        <v/>
      </c>
      <c r="F96" s="41" t="str">
        <f aca="false">IF($V$4=0,IF($N96="","",$N96),IFERROR(IF([1]入库吨位汇总!$K$95=0,"",[1]入库吨位汇总!$K$95),""))</f>
        <v/>
      </c>
      <c r="G96" s="52" t="str">
        <f aca="false">IF($V$4=0,IF($O96="","",$O96),IFERROR(IF([1]入库吨位汇总!$L$95=0,"",[1]入库吨位汇总!$L$95),""))</f>
        <v/>
      </c>
      <c r="H96" s="41" t="str">
        <f aca="false">IF($V$4=0,IF($P96="","",$P96),IFERROR(IF([1]入库吨位汇总!$H$95=0,"",[1]入库吨位汇总!$H$95),""))</f>
        <v/>
      </c>
      <c r="I96" s="41" t="str">
        <f aca="false">IF($V$4=0,IF($Q96="","",$Q96),IFERROR(IF([1]入库吨位汇总!$I$95=0,"",[1]入库吨位汇总!$I$95),""))</f>
        <v/>
      </c>
      <c r="J96" s="10"/>
      <c r="K96" s="10"/>
      <c r="L96" s="53"/>
      <c r="M96" s="53"/>
      <c r="N96" s="54"/>
      <c r="O96" s="54"/>
      <c r="P96" s="54"/>
      <c r="Q96" s="54"/>
      <c r="R96" s="55" t="n">
        <f aca="false">IF(AND($B96&lt;&gt;"",$C96&lt;&gt;""),1,0)</f>
        <v>0</v>
      </c>
      <c r="S96" s="55" t="n">
        <f aca="false">N(S95)+$R96</f>
        <v>22</v>
      </c>
    </row>
    <row r="97" customFormat="false" ht="13.5" hidden="false" customHeight="false" outlineLevel="0" collapsed="false">
      <c r="A97" s="9" t="n">
        <v>96</v>
      </c>
      <c r="B97" s="39" t="str">
        <f aca="false">IF($V$4=0,IF($J97="","",$J97),IFERROR(IF([1]入库吨位汇总!$B$96=0,"",[1]入库吨位汇总!$B$96),""))</f>
        <v/>
      </c>
      <c r="C97" s="39" t="str">
        <f aca="false">IF($V$4=0,IF($K97="","",$K97),IFERROR(IF([1]入库吨位汇总!$C$96=0,"",[1]入库吨位汇总!$C$96),""))</f>
        <v/>
      </c>
      <c r="D97" s="51" t="str">
        <f aca="false">IF($V$4=0,IF($L97="","",$L97),IFERROR(IF([1]入库吨位汇总!$D$96=0,"",[1]入库吨位汇总!$D$96),""))</f>
        <v/>
      </c>
      <c r="E97" s="51" t="str">
        <f aca="false">IF($V$4=0,IF($M97="","",$M97),IFERROR(IF([1]入库吨位汇总!$E$96=0,"",[1]入库吨位汇总!$E$96),""))</f>
        <v/>
      </c>
      <c r="F97" s="41" t="str">
        <f aca="false">IF($V$4=0,IF($N97="","",$N97),IFERROR(IF([1]入库吨位汇总!$K$96=0,"",[1]入库吨位汇总!$K$96),""))</f>
        <v/>
      </c>
      <c r="G97" s="52" t="str">
        <f aca="false">IF($V$4=0,IF($O97="","",$O97),IFERROR(IF([1]入库吨位汇总!$L$96=0,"",[1]入库吨位汇总!$L$96),""))</f>
        <v/>
      </c>
      <c r="H97" s="41" t="str">
        <f aca="false">IF($V$4=0,IF($P97="","",$P97),IFERROR(IF([1]入库吨位汇总!$H$96=0,"",[1]入库吨位汇总!$H$96),""))</f>
        <v/>
      </c>
      <c r="I97" s="41" t="str">
        <f aca="false">IF($V$4=0,IF($Q97="","",$Q97),IFERROR(IF([1]入库吨位汇总!$I$96=0,"",[1]入库吨位汇总!$I$96),""))</f>
        <v/>
      </c>
      <c r="J97" s="10"/>
      <c r="K97" s="10"/>
      <c r="L97" s="53"/>
      <c r="M97" s="53"/>
      <c r="N97" s="54"/>
      <c r="O97" s="54"/>
      <c r="P97" s="54"/>
      <c r="Q97" s="54"/>
      <c r="R97" s="55" t="n">
        <f aca="false">IF(AND($B97&lt;&gt;"",$C97&lt;&gt;""),1,0)</f>
        <v>0</v>
      </c>
      <c r="S97" s="55" t="n">
        <f aca="false">N(S96)+$R97</f>
        <v>22</v>
      </c>
    </row>
    <row r="98" customFormat="false" ht="13.5" hidden="false" customHeight="false" outlineLevel="0" collapsed="false">
      <c r="A98" s="9" t="n">
        <v>97</v>
      </c>
      <c r="B98" s="39" t="str">
        <f aca="false">IF($V$4=0,IF($J98="","",$J98),IFERROR(IF([1]入库吨位汇总!$B$97=0,"",[1]入库吨位汇总!$B$97),""))</f>
        <v/>
      </c>
      <c r="C98" s="39" t="str">
        <f aca="false">IF($V$4=0,IF($K98="","",$K98),IFERROR(IF([1]入库吨位汇总!$C$97=0,"",[1]入库吨位汇总!$C$97),""))</f>
        <v/>
      </c>
      <c r="D98" s="51" t="str">
        <f aca="false">IF($V$4=0,IF($L98="","",$L98),IFERROR(IF([1]入库吨位汇总!$D$97=0,"",[1]入库吨位汇总!$D$97),""))</f>
        <v/>
      </c>
      <c r="E98" s="51" t="str">
        <f aca="false">IF($V$4=0,IF($M98="","",$M98),IFERROR(IF([1]入库吨位汇总!$E$97=0,"",[1]入库吨位汇总!$E$97),""))</f>
        <v/>
      </c>
      <c r="F98" s="41" t="str">
        <f aca="false">IF($V$4=0,IF($N98="","",$N98),IFERROR(IF([1]入库吨位汇总!$K$97=0,"",[1]入库吨位汇总!$K$97),""))</f>
        <v/>
      </c>
      <c r="G98" s="52" t="str">
        <f aca="false">IF($V$4=0,IF($O98="","",$O98),IFERROR(IF([1]入库吨位汇总!$L$97=0,"",[1]入库吨位汇总!$L$97),""))</f>
        <v/>
      </c>
      <c r="H98" s="41" t="str">
        <f aca="false">IF($V$4=0,IF($P98="","",$P98),IFERROR(IF([1]入库吨位汇总!$H$97=0,"",[1]入库吨位汇总!$H$97),""))</f>
        <v/>
      </c>
      <c r="I98" s="41" t="str">
        <f aca="false">IF($V$4=0,IF($Q98="","",$Q98),IFERROR(IF([1]入库吨位汇总!$I$97=0,"",[1]入库吨位汇总!$I$97),""))</f>
        <v/>
      </c>
      <c r="J98" s="10"/>
      <c r="K98" s="10"/>
      <c r="L98" s="53"/>
      <c r="M98" s="53"/>
      <c r="N98" s="54"/>
      <c r="O98" s="54"/>
      <c r="P98" s="54"/>
      <c r="Q98" s="54"/>
      <c r="R98" s="55" t="n">
        <f aca="false">IF(AND($B98&lt;&gt;"",$C98&lt;&gt;""),1,0)</f>
        <v>0</v>
      </c>
      <c r="S98" s="55" t="n">
        <f aca="false">N(S97)+$R98</f>
        <v>22</v>
      </c>
    </row>
    <row r="99" customFormat="false" ht="13.5" hidden="false" customHeight="false" outlineLevel="0" collapsed="false">
      <c r="A99" s="9" t="n">
        <v>98</v>
      </c>
      <c r="B99" s="39" t="str">
        <f aca="false">IF($V$4=0,IF($J99="","",$J99),IFERROR(IF([1]入库吨位汇总!$B$98=0,"",[1]入库吨位汇总!$B$98),""))</f>
        <v/>
      </c>
      <c r="C99" s="39" t="str">
        <f aca="false">IF($V$4=0,IF($K99="","",$K99),IFERROR(IF([1]入库吨位汇总!$C$98=0,"",[1]入库吨位汇总!$C$98),""))</f>
        <v/>
      </c>
      <c r="D99" s="51" t="str">
        <f aca="false">IF($V$4=0,IF($L99="","",$L99),IFERROR(IF([1]入库吨位汇总!$D$98=0,"",[1]入库吨位汇总!$D$98),""))</f>
        <v/>
      </c>
      <c r="E99" s="51" t="str">
        <f aca="false">IF($V$4=0,IF($M99="","",$M99),IFERROR(IF([1]入库吨位汇总!$E$98=0,"",[1]入库吨位汇总!$E$98),""))</f>
        <v/>
      </c>
      <c r="F99" s="41" t="str">
        <f aca="false">IF($V$4=0,IF($N99="","",$N99),IFERROR(IF([1]入库吨位汇总!$K$98=0,"",[1]入库吨位汇总!$K$98),""))</f>
        <v/>
      </c>
      <c r="G99" s="52" t="str">
        <f aca="false">IF($V$4=0,IF($O99="","",$O99),IFERROR(IF([1]入库吨位汇总!$L$98=0,"",[1]入库吨位汇总!$L$98),""))</f>
        <v/>
      </c>
      <c r="H99" s="41" t="str">
        <f aca="false">IF($V$4=0,IF($P99="","",$P99),IFERROR(IF([1]入库吨位汇总!$H$98=0,"",[1]入库吨位汇总!$H$98),""))</f>
        <v/>
      </c>
      <c r="I99" s="41" t="str">
        <f aca="false">IF($V$4=0,IF($Q99="","",$Q99),IFERROR(IF([1]入库吨位汇总!$I$98=0,"",[1]入库吨位汇总!$I$98),""))</f>
        <v/>
      </c>
      <c r="J99" s="10"/>
      <c r="K99" s="10"/>
      <c r="L99" s="53"/>
      <c r="M99" s="53"/>
      <c r="N99" s="54"/>
      <c r="O99" s="54"/>
      <c r="P99" s="54"/>
      <c r="Q99" s="54"/>
      <c r="R99" s="55" t="n">
        <f aca="false">IF(AND($B99&lt;&gt;"",$C99&lt;&gt;""),1,0)</f>
        <v>0</v>
      </c>
      <c r="S99" s="55" t="n">
        <f aca="false">N(S98)+$R99</f>
        <v>22</v>
      </c>
    </row>
    <row r="100" customFormat="false" ht="13.5" hidden="false" customHeight="false" outlineLevel="0" collapsed="false">
      <c r="A100" s="9" t="n">
        <v>99</v>
      </c>
      <c r="B100" s="39" t="str">
        <f aca="false">IF($V$4=0,IF($J100="","",$J100),IFERROR(IF([1]入库吨位汇总!$B$99=0,"",[1]入库吨位汇总!$B$99),""))</f>
        <v/>
      </c>
      <c r="C100" s="39" t="str">
        <f aca="false">IF($V$4=0,IF($K100="","",$K100),IFERROR(IF([1]入库吨位汇总!$C$99=0,"",[1]入库吨位汇总!$C$99),""))</f>
        <v/>
      </c>
      <c r="D100" s="51" t="str">
        <f aca="false">IF($V$4=0,IF($L100="","",$L100),IFERROR(IF([1]入库吨位汇总!$D$99=0,"",[1]入库吨位汇总!$D$99),""))</f>
        <v/>
      </c>
      <c r="E100" s="51" t="str">
        <f aca="false">IF($V$4=0,IF($M100="","",$M100),IFERROR(IF([1]入库吨位汇总!$E$99=0,"",[1]入库吨位汇总!$E$99),""))</f>
        <v/>
      </c>
      <c r="F100" s="41" t="str">
        <f aca="false">IF($V$4=0,IF($N100="","",$N100),IFERROR(IF([1]入库吨位汇总!$K$99=0,"",[1]入库吨位汇总!$K$99),""))</f>
        <v/>
      </c>
      <c r="G100" s="52" t="str">
        <f aca="false">IF($V$4=0,IF($O100="","",$O100),IFERROR(IF([1]入库吨位汇总!$L$99=0,"",[1]入库吨位汇总!$L$99),""))</f>
        <v/>
      </c>
      <c r="H100" s="41" t="str">
        <f aca="false">IF($V$4=0,IF($P100="","",$P100),IFERROR(IF([1]入库吨位汇总!$H$99=0,"",[1]入库吨位汇总!$H$99),""))</f>
        <v/>
      </c>
      <c r="I100" s="41" t="str">
        <f aca="false">IF($V$4=0,IF($Q100="","",$Q100),IFERROR(IF([1]入库吨位汇总!$I$99=0,"",[1]入库吨位汇总!$I$99),""))</f>
        <v/>
      </c>
      <c r="J100" s="10"/>
      <c r="K100" s="10"/>
      <c r="L100" s="53"/>
      <c r="M100" s="53"/>
      <c r="N100" s="54"/>
      <c r="O100" s="54"/>
      <c r="P100" s="54"/>
      <c r="Q100" s="54"/>
      <c r="R100" s="55" t="n">
        <f aca="false">IF(AND($B100&lt;&gt;"",$C100&lt;&gt;""),1,0)</f>
        <v>0</v>
      </c>
      <c r="S100" s="55" t="n">
        <f aca="false">N(S99)+$R100</f>
        <v>22</v>
      </c>
    </row>
    <row r="101" customFormat="false" ht="13.5" hidden="false" customHeight="false" outlineLevel="0" collapsed="false">
      <c r="A101" s="9" t="n">
        <v>100</v>
      </c>
      <c r="B101" s="39" t="str">
        <f aca="false">IF($V$4=0,IF($J101="","",$J101),IFERROR(IF([1]入库吨位汇总!$B$100=0,"",[1]入库吨位汇总!$B$100),""))</f>
        <v/>
      </c>
      <c r="C101" s="39" t="str">
        <f aca="false">IF($V$4=0,IF($K101="","",$K101),IFERROR(IF([1]入库吨位汇总!$C$100=0,"",[1]入库吨位汇总!$C$100),""))</f>
        <v/>
      </c>
      <c r="D101" s="51" t="str">
        <f aca="false">IF($V$4=0,IF($L101="","",$L101),IFERROR(IF([1]入库吨位汇总!$D$100=0,"",[1]入库吨位汇总!$D$100),""))</f>
        <v/>
      </c>
      <c r="E101" s="51" t="str">
        <f aca="false">IF($V$4=0,IF($M101="","",$M101),IFERROR(IF([1]入库吨位汇总!$E$100=0,"",[1]入库吨位汇总!$E$100),""))</f>
        <v/>
      </c>
      <c r="F101" s="41" t="str">
        <f aca="false">IF($V$4=0,IF($N101="","",$N101),IFERROR(IF([1]入库吨位汇总!$K$100=0,"",[1]入库吨位汇总!$K$100),""))</f>
        <v/>
      </c>
      <c r="G101" s="52" t="str">
        <f aca="false">IF($V$4=0,IF($O101="","",$O101),IFERROR(IF([1]入库吨位汇总!$L$100=0,"",[1]入库吨位汇总!$L$100),""))</f>
        <v/>
      </c>
      <c r="H101" s="41" t="str">
        <f aca="false">IF($V$4=0,IF($P101="","",$P101),IFERROR(IF([1]入库吨位汇总!$H$100=0,"",[1]入库吨位汇总!$H$100),""))</f>
        <v/>
      </c>
      <c r="I101" s="41" t="str">
        <f aca="false">IF($V$4=0,IF($Q101="","",$Q101),IFERROR(IF([1]入库吨位汇总!$I$100=0,"",[1]入库吨位汇总!$I$100),""))</f>
        <v/>
      </c>
      <c r="J101" s="10"/>
      <c r="K101" s="10"/>
      <c r="L101" s="53"/>
      <c r="M101" s="53"/>
      <c r="N101" s="54"/>
      <c r="O101" s="54"/>
      <c r="P101" s="54"/>
      <c r="Q101" s="54"/>
      <c r="R101" s="55" t="n">
        <f aca="false">IF(AND($B101&lt;&gt;"",$C101&lt;&gt;""),1,0)</f>
        <v>0</v>
      </c>
      <c r="S101" s="55" t="n">
        <f aca="false">N(S100)+$R101</f>
        <v>22</v>
      </c>
    </row>
    <row r="102" customFormat="false" ht="13.5" hidden="false" customHeight="false" outlineLevel="0" collapsed="false">
      <c r="A102" s="9" t="n">
        <v>101</v>
      </c>
      <c r="B102" s="39" t="str">
        <f aca="false">IF($V$4=0,IF($J102="","",$J102),IFERROR(IF([1]入库吨位汇总!$B$101=0,"",[1]入库吨位汇总!$B$101),""))</f>
        <v/>
      </c>
      <c r="C102" s="39" t="str">
        <f aca="false">IF($V$4=0,IF($K102="","",$K102),IFERROR(IF([1]入库吨位汇总!$C$101=0,"",[1]入库吨位汇总!$C$101),""))</f>
        <v/>
      </c>
      <c r="D102" s="51" t="str">
        <f aca="false">IF($V$4=0,IF($L102="","",$L102),IFERROR(IF([1]入库吨位汇总!$D$101=0,"",[1]入库吨位汇总!$D$101),""))</f>
        <v/>
      </c>
      <c r="E102" s="51" t="str">
        <f aca="false">IF($V$4=0,IF($M102="","",$M102),IFERROR(IF([1]入库吨位汇总!$E$101=0,"",[1]入库吨位汇总!$E$101),""))</f>
        <v/>
      </c>
      <c r="F102" s="41" t="str">
        <f aca="false">IF($V$4=0,IF($N102="","",$N102),IFERROR(IF([1]入库吨位汇总!$K$101=0,"",[1]入库吨位汇总!$K$101),""))</f>
        <v/>
      </c>
      <c r="G102" s="52" t="str">
        <f aca="false">IF($V$4=0,IF($O102="","",$O102),IFERROR(IF([1]入库吨位汇总!$L$101=0,"",[1]入库吨位汇总!$L$101),""))</f>
        <v/>
      </c>
      <c r="H102" s="41" t="str">
        <f aca="false">IF($V$4=0,IF($P102="","",$P102),IFERROR(IF([1]入库吨位汇总!$H$101=0,"",[1]入库吨位汇总!$H$101),""))</f>
        <v/>
      </c>
      <c r="I102" s="41" t="str">
        <f aca="false">IF($V$4=0,IF($Q102="","",$Q102),IFERROR(IF([1]入库吨位汇总!$I$101=0,"",[1]入库吨位汇总!$I$101),""))</f>
        <v/>
      </c>
      <c r="J102" s="10"/>
      <c r="K102" s="10"/>
      <c r="L102" s="53"/>
      <c r="M102" s="53"/>
      <c r="N102" s="54"/>
      <c r="O102" s="54"/>
      <c r="P102" s="54"/>
      <c r="Q102" s="54"/>
      <c r="R102" s="55" t="n">
        <f aca="false">IF(AND($B102&lt;&gt;"",$C102&lt;&gt;""),1,0)</f>
        <v>0</v>
      </c>
      <c r="S102" s="55" t="n">
        <f aca="false">N(S101)+$R102</f>
        <v>22</v>
      </c>
    </row>
    <row r="103" customFormat="false" ht="13.5" hidden="false" customHeight="false" outlineLevel="0" collapsed="false">
      <c r="A103" s="9" t="n">
        <v>102</v>
      </c>
      <c r="B103" s="39" t="str">
        <f aca="false">IF($V$4=0,IF($J103="","",$J103),IFERROR(IF([1]入库吨位汇总!$B$102=0,"",[1]入库吨位汇总!$B$102),""))</f>
        <v/>
      </c>
      <c r="C103" s="39" t="str">
        <f aca="false">IF($V$4=0,IF($K103="","",$K103),IFERROR(IF([1]入库吨位汇总!$C$102=0,"",[1]入库吨位汇总!$C$102),""))</f>
        <v/>
      </c>
      <c r="D103" s="51" t="str">
        <f aca="false">IF($V$4=0,IF($L103="","",$L103),IFERROR(IF([1]入库吨位汇总!$D$102=0,"",[1]入库吨位汇总!$D$102),""))</f>
        <v/>
      </c>
      <c r="E103" s="51" t="str">
        <f aca="false">IF($V$4=0,IF($M103="","",$M103),IFERROR(IF([1]入库吨位汇总!$E$102=0,"",[1]入库吨位汇总!$E$102),""))</f>
        <v/>
      </c>
      <c r="F103" s="41" t="str">
        <f aca="false">IF($V$4=0,IF($N103="","",$N103),IFERROR(IF([1]入库吨位汇总!$K$102=0,"",[1]入库吨位汇总!$K$102),""))</f>
        <v/>
      </c>
      <c r="G103" s="52" t="str">
        <f aca="false">IF($V$4=0,IF($O103="","",$O103),IFERROR(IF([1]入库吨位汇总!$L$102=0,"",[1]入库吨位汇总!$L$102),""))</f>
        <v/>
      </c>
      <c r="H103" s="41" t="str">
        <f aca="false">IF($V$4=0,IF($P103="","",$P103),IFERROR(IF([1]入库吨位汇总!$H$102=0,"",[1]入库吨位汇总!$H$102),""))</f>
        <v/>
      </c>
      <c r="I103" s="41" t="str">
        <f aca="false">IF($V$4=0,IF($Q103="","",$Q103),IFERROR(IF([1]入库吨位汇总!$I$102=0,"",[1]入库吨位汇总!$I$102),""))</f>
        <v/>
      </c>
      <c r="J103" s="10"/>
      <c r="K103" s="10"/>
      <c r="L103" s="53"/>
      <c r="M103" s="53"/>
      <c r="N103" s="54"/>
      <c r="O103" s="54"/>
      <c r="P103" s="54"/>
      <c r="Q103" s="54"/>
      <c r="R103" s="55" t="n">
        <f aca="false">IF(AND($B103&lt;&gt;"",$C103&lt;&gt;""),1,0)</f>
        <v>0</v>
      </c>
      <c r="S103" s="55" t="n">
        <f aca="false">N(S102)+$R103</f>
        <v>22</v>
      </c>
    </row>
    <row r="104" customFormat="false" ht="13.5" hidden="false" customHeight="false" outlineLevel="0" collapsed="false">
      <c r="A104" s="9" t="n">
        <v>103</v>
      </c>
      <c r="B104" s="39" t="str">
        <f aca="false">IF($V$4=0,IF($J104="","",$J104),IFERROR(IF([1]入库吨位汇总!$B$103=0,"",[1]入库吨位汇总!$B$103),""))</f>
        <v/>
      </c>
      <c r="C104" s="39" t="str">
        <f aca="false">IF($V$4=0,IF($K104="","",$K104),IFERROR(IF([1]入库吨位汇总!$C$103=0,"",[1]入库吨位汇总!$C$103),""))</f>
        <v/>
      </c>
      <c r="D104" s="51" t="str">
        <f aca="false">IF($V$4=0,IF($L104="","",$L104),IFERROR(IF([1]入库吨位汇总!$D$103=0,"",[1]入库吨位汇总!$D$103),""))</f>
        <v/>
      </c>
      <c r="E104" s="51" t="str">
        <f aca="false">IF($V$4=0,IF($M104="","",$M104),IFERROR(IF([1]入库吨位汇总!$E$103=0,"",[1]入库吨位汇总!$E$103),""))</f>
        <v/>
      </c>
      <c r="F104" s="41" t="str">
        <f aca="false">IF($V$4=0,IF($N104="","",$N104),IFERROR(IF([1]入库吨位汇总!$K$103=0,"",[1]入库吨位汇总!$K$103),""))</f>
        <v/>
      </c>
      <c r="G104" s="52" t="str">
        <f aca="false">IF($V$4=0,IF($O104="","",$O104),IFERROR(IF([1]入库吨位汇总!$L$103=0,"",[1]入库吨位汇总!$L$103),""))</f>
        <v/>
      </c>
      <c r="H104" s="41" t="str">
        <f aca="false">IF($V$4=0,IF($P104="","",$P104),IFERROR(IF([1]入库吨位汇总!$H$103=0,"",[1]入库吨位汇总!$H$103),""))</f>
        <v/>
      </c>
      <c r="I104" s="41" t="str">
        <f aca="false">IF($V$4=0,IF($Q104="","",$Q104),IFERROR(IF([1]入库吨位汇总!$I$103=0,"",[1]入库吨位汇总!$I$103),""))</f>
        <v/>
      </c>
      <c r="J104" s="10"/>
      <c r="K104" s="10"/>
      <c r="L104" s="53"/>
      <c r="M104" s="53"/>
      <c r="N104" s="54"/>
      <c r="O104" s="54"/>
      <c r="P104" s="54"/>
      <c r="Q104" s="54"/>
      <c r="R104" s="55" t="n">
        <f aca="false">IF(AND($B104&lt;&gt;"",$C104&lt;&gt;""),1,0)</f>
        <v>0</v>
      </c>
      <c r="S104" s="55" t="n">
        <f aca="false">N(S103)+$R104</f>
        <v>22</v>
      </c>
    </row>
    <row r="105" customFormat="false" ht="13.5" hidden="false" customHeight="false" outlineLevel="0" collapsed="false">
      <c r="A105" s="9" t="n">
        <v>104</v>
      </c>
      <c r="B105" s="39" t="str">
        <f aca="false">IF($V$4=0,IF($J105="","",$J105),IFERROR(IF([1]入库吨位汇总!$B$104=0,"",[1]入库吨位汇总!$B$104),""))</f>
        <v/>
      </c>
      <c r="C105" s="39" t="str">
        <f aca="false">IF($V$4=0,IF($K105="","",$K105),IFERROR(IF([1]入库吨位汇总!$C$104=0,"",[1]入库吨位汇总!$C$104),""))</f>
        <v/>
      </c>
      <c r="D105" s="51" t="str">
        <f aca="false">IF($V$4=0,IF($L105="","",$L105),IFERROR(IF([1]入库吨位汇总!$D$104=0,"",[1]入库吨位汇总!$D$104),""))</f>
        <v/>
      </c>
      <c r="E105" s="51" t="str">
        <f aca="false">IF($V$4=0,IF($M105="","",$M105),IFERROR(IF([1]入库吨位汇总!$E$104=0,"",[1]入库吨位汇总!$E$104),""))</f>
        <v/>
      </c>
      <c r="F105" s="41" t="str">
        <f aca="false">IF($V$4=0,IF($N105="","",$N105),IFERROR(IF([1]入库吨位汇总!$K$104=0,"",[1]入库吨位汇总!$K$104),""))</f>
        <v/>
      </c>
      <c r="G105" s="52" t="str">
        <f aca="false">IF($V$4=0,IF($O105="","",$O105),IFERROR(IF([1]入库吨位汇总!$L$104=0,"",[1]入库吨位汇总!$L$104),""))</f>
        <v/>
      </c>
      <c r="H105" s="41" t="str">
        <f aca="false">IF($V$4=0,IF($P105="","",$P105),IFERROR(IF([1]入库吨位汇总!$H$104=0,"",[1]入库吨位汇总!$H$104),""))</f>
        <v/>
      </c>
      <c r="I105" s="41" t="str">
        <f aca="false">IF($V$4=0,IF($Q105="","",$Q105),IFERROR(IF([1]入库吨位汇总!$I$104=0,"",[1]入库吨位汇总!$I$104),""))</f>
        <v/>
      </c>
      <c r="J105" s="10"/>
      <c r="K105" s="10"/>
      <c r="L105" s="53"/>
      <c r="M105" s="53"/>
      <c r="N105" s="54"/>
      <c r="O105" s="54"/>
      <c r="P105" s="54"/>
      <c r="Q105" s="54"/>
      <c r="R105" s="55" t="n">
        <f aca="false">IF(AND($B105&lt;&gt;"",$C105&lt;&gt;""),1,0)</f>
        <v>0</v>
      </c>
      <c r="S105" s="55" t="n">
        <f aca="false">N(S104)+$R105</f>
        <v>22</v>
      </c>
    </row>
    <row r="106" customFormat="false" ht="13.5" hidden="false" customHeight="false" outlineLevel="0" collapsed="false">
      <c r="A106" s="9" t="n">
        <v>105</v>
      </c>
      <c r="B106" s="39" t="str">
        <f aca="false">IF($V$4=0,IF($J106="","",$J106),IFERROR(IF([1]入库吨位汇总!$B$105=0,"",[1]入库吨位汇总!$B$105),""))</f>
        <v/>
      </c>
      <c r="C106" s="39" t="str">
        <f aca="false">IF($V$4=0,IF($K106="","",$K106),IFERROR(IF([1]入库吨位汇总!$C$105=0,"",[1]入库吨位汇总!$C$105),""))</f>
        <v/>
      </c>
      <c r="D106" s="51" t="str">
        <f aca="false">IF($V$4=0,IF($L106="","",$L106),IFERROR(IF([1]入库吨位汇总!$D$105=0,"",[1]入库吨位汇总!$D$105),""))</f>
        <v/>
      </c>
      <c r="E106" s="51" t="str">
        <f aca="false">IF($V$4=0,IF($M106="","",$M106),IFERROR(IF([1]入库吨位汇总!$E$105=0,"",[1]入库吨位汇总!$E$105),""))</f>
        <v/>
      </c>
      <c r="F106" s="41" t="str">
        <f aca="false">IF($V$4=0,IF($N106="","",$N106),IFERROR(IF([1]入库吨位汇总!$K$105=0,"",[1]入库吨位汇总!$K$105),""))</f>
        <v/>
      </c>
      <c r="G106" s="52" t="str">
        <f aca="false">IF($V$4=0,IF($O106="","",$O106),IFERROR(IF([1]入库吨位汇总!$L$105=0,"",[1]入库吨位汇总!$L$105),""))</f>
        <v/>
      </c>
      <c r="H106" s="41" t="str">
        <f aca="false">IF($V$4=0,IF($P106="","",$P106),IFERROR(IF([1]入库吨位汇总!$H$105=0,"",[1]入库吨位汇总!$H$105),""))</f>
        <v/>
      </c>
      <c r="I106" s="41" t="str">
        <f aca="false">IF($V$4=0,IF($Q106="","",$Q106),IFERROR(IF([1]入库吨位汇总!$I$105=0,"",[1]入库吨位汇总!$I$105),""))</f>
        <v/>
      </c>
      <c r="J106" s="10"/>
      <c r="K106" s="10"/>
      <c r="L106" s="53"/>
      <c r="M106" s="53"/>
      <c r="N106" s="54"/>
      <c r="O106" s="54"/>
      <c r="P106" s="54"/>
      <c r="Q106" s="54"/>
      <c r="R106" s="55" t="n">
        <f aca="false">IF(AND($B106&lt;&gt;"",$C106&lt;&gt;""),1,0)</f>
        <v>0</v>
      </c>
      <c r="S106" s="55" t="n">
        <f aca="false">N(S105)+$R106</f>
        <v>22</v>
      </c>
    </row>
    <row r="107" customFormat="false" ht="13.5" hidden="false" customHeight="false" outlineLevel="0" collapsed="false">
      <c r="A107" s="9" t="n">
        <v>106</v>
      </c>
      <c r="B107" s="39" t="str">
        <f aca="false">IF($V$4=0,IF($J107="","",$J107),IFERROR(IF([1]入库吨位汇总!$B$106=0,"",[1]入库吨位汇总!$B$106),""))</f>
        <v/>
      </c>
      <c r="C107" s="39" t="str">
        <f aca="false">IF($V$4=0,IF($K107="","",$K107),IFERROR(IF([1]入库吨位汇总!$C$106=0,"",[1]入库吨位汇总!$C$106),""))</f>
        <v/>
      </c>
      <c r="D107" s="51" t="str">
        <f aca="false">IF($V$4=0,IF($L107="","",$L107),IFERROR(IF([1]入库吨位汇总!$D$106=0,"",[1]入库吨位汇总!$D$106),""))</f>
        <v/>
      </c>
      <c r="E107" s="51" t="str">
        <f aca="false">IF($V$4=0,IF($M107="","",$M107),IFERROR(IF([1]入库吨位汇总!$E$106=0,"",[1]入库吨位汇总!$E$106),""))</f>
        <v/>
      </c>
      <c r="F107" s="41" t="str">
        <f aca="false">IF($V$4=0,IF($N107="","",$N107),IFERROR(IF([1]入库吨位汇总!$K$106=0,"",[1]入库吨位汇总!$K$106),""))</f>
        <v/>
      </c>
      <c r="G107" s="52" t="str">
        <f aca="false">IF($V$4=0,IF($O107="","",$O107),IFERROR(IF([1]入库吨位汇总!$L$106=0,"",[1]入库吨位汇总!$L$106),""))</f>
        <v/>
      </c>
      <c r="H107" s="41" t="str">
        <f aca="false">IF($V$4=0,IF($P107="","",$P107),IFERROR(IF([1]入库吨位汇总!$H$106=0,"",[1]入库吨位汇总!$H$106),""))</f>
        <v/>
      </c>
      <c r="I107" s="41" t="str">
        <f aca="false">IF($V$4=0,IF($Q107="","",$Q107),IFERROR(IF([1]入库吨位汇总!$I$106=0,"",[1]入库吨位汇总!$I$106),""))</f>
        <v/>
      </c>
      <c r="J107" s="10"/>
      <c r="K107" s="10"/>
      <c r="L107" s="53"/>
      <c r="M107" s="53"/>
      <c r="N107" s="54"/>
      <c r="O107" s="54"/>
      <c r="P107" s="54"/>
      <c r="Q107" s="54"/>
      <c r="R107" s="55" t="n">
        <f aca="false">IF(AND($B107&lt;&gt;"",$C107&lt;&gt;""),1,0)</f>
        <v>0</v>
      </c>
      <c r="S107" s="55" t="n">
        <f aca="false">N(S106)+$R107</f>
        <v>22</v>
      </c>
    </row>
    <row r="108" customFormat="false" ht="13.5" hidden="false" customHeight="false" outlineLevel="0" collapsed="false">
      <c r="A108" s="9" t="n">
        <v>107</v>
      </c>
      <c r="B108" s="39" t="str">
        <f aca="false">IF($V$4=0,IF($J108="","",$J108),IFERROR(IF([1]入库吨位汇总!$B$107=0,"",[1]入库吨位汇总!$B$107),""))</f>
        <v/>
      </c>
      <c r="C108" s="39" t="str">
        <f aca="false">IF($V$4=0,IF($K108="","",$K108),IFERROR(IF([1]入库吨位汇总!$C$107=0,"",[1]入库吨位汇总!$C$107),""))</f>
        <v/>
      </c>
      <c r="D108" s="51" t="str">
        <f aca="false">IF($V$4=0,IF($L108="","",$L108),IFERROR(IF([1]入库吨位汇总!$D$107=0,"",[1]入库吨位汇总!$D$107),""))</f>
        <v/>
      </c>
      <c r="E108" s="51" t="str">
        <f aca="false">IF($V$4=0,IF($M108="","",$M108),IFERROR(IF([1]入库吨位汇总!$E$107=0,"",[1]入库吨位汇总!$E$107),""))</f>
        <v/>
      </c>
      <c r="F108" s="41" t="str">
        <f aca="false">IF($V$4=0,IF($N108="","",$N108),IFERROR(IF([1]入库吨位汇总!$K$107=0,"",[1]入库吨位汇总!$K$107),""))</f>
        <v/>
      </c>
      <c r="G108" s="52" t="str">
        <f aca="false">IF($V$4=0,IF($O108="","",$O108),IFERROR(IF([1]入库吨位汇总!$L$107=0,"",[1]入库吨位汇总!$L$107),""))</f>
        <v/>
      </c>
      <c r="H108" s="41" t="str">
        <f aca="false">IF($V$4=0,IF($P108="","",$P108),IFERROR(IF([1]入库吨位汇总!$H$107=0,"",[1]入库吨位汇总!$H$107),""))</f>
        <v/>
      </c>
      <c r="I108" s="41" t="str">
        <f aca="false">IF($V$4=0,IF($Q108="","",$Q108),IFERROR(IF([1]入库吨位汇总!$I$107=0,"",[1]入库吨位汇总!$I$107),""))</f>
        <v/>
      </c>
      <c r="J108" s="10"/>
      <c r="K108" s="10"/>
      <c r="L108" s="53"/>
      <c r="M108" s="53"/>
      <c r="N108" s="54"/>
      <c r="O108" s="54"/>
      <c r="P108" s="54"/>
      <c r="Q108" s="54"/>
      <c r="R108" s="55" t="n">
        <f aca="false">IF(AND($B108&lt;&gt;"",$C108&lt;&gt;""),1,0)</f>
        <v>0</v>
      </c>
      <c r="S108" s="55" t="n">
        <f aca="false">N(S107)+$R108</f>
        <v>22</v>
      </c>
    </row>
    <row r="109" customFormat="false" ht="13.5" hidden="false" customHeight="false" outlineLevel="0" collapsed="false">
      <c r="A109" s="9" t="n">
        <v>108</v>
      </c>
      <c r="B109" s="39" t="str">
        <f aca="false">IF($V$4=0,IF($J109="","",$J109),IFERROR(IF([1]入库吨位汇总!$B$108=0,"",[1]入库吨位汇总!$B$108),""))</f>
        <v/>
      </c>
      <c r="C109" s="39" t="str">
        <f aca="false">IF($V$4=0,IF($K109="","",$K109),IFERROR(IF([1]入库吨位汇总!$C$108=0,"",[1]入库吨位汇总!$C$108),""))</f>
        <v/>
      </c>
      <c r="D109" s="51" t="str">
        <f aca="false">IF($V$4=0,IF($L109="","",$L109),IFERROR(IF([1]入库吨位汇总!$D$108=0,"",[1]入库吨位汇总!$D$108),""))</f>
        <v/>
      </c>
      <c r="E109" s="51" t="str">
        <f aca="false">IF($V$4=0,IF($M109="","",$M109),IFERROR(IF([1]入库吨位汇总!$E$108=0,"",[1]入库吨位汇总!$E$108),""))</f>
        <v/>
      </c>
      <c r="F109" s="41" t="str">
        <f aca="false">IF($V$4=0,IF($N109="","",$N109),IFERROR(IF([1]入库吨位汇总!$K$108=0,"",[1]入库吨位汇总!$K$108),""))</f>
        <v/>
      </c>
      <c r="G109" s="52" t="str">
        <f aca="false">IF($V$4=0,IF($O109="","",$O109),IFERROR(IF([1]入库吨位汇总!$L$108=0,"",[1]入库吨位汇总!$L$108),""))</f>
        <v/>
      </c>
      <c r="H109" s="41" t="str">
        <f aca="false">IF($V$4=0,IF($P109="","",$P109),IFERROR(IF([1]入库吨位汇总!$H$108=0,"",[1]入库吨位汇总!$H$108),""))</f>
        <v/>
      </c>
      <c r="I109" s="41" t="str">
        <f aca="false">IF($V$4=0,IF($Q109="","",$Q109),IFERROR(IF([1]入库吨位汇总!$I$108=0,"",[1]入库吨位汇总!$I$108),""))</f>
        <v/>
      </c>
      <c r="J109" s="10"/>
      <c r="K109" s="10"/>
      <c r="L109" s="53"/>
      <c r="M109" s="53"/>
      <c r="N109" s="54"/>
      <c r="O109" s="54"/>
      <c r="P109" s="54"/>
      <c r="Q109" s="54"/>
      <c r="R109" s="55" t="n">
        <f aca="false">IF(AND($B109&lt;&gt;"",$C109&lt;&gt;""),1,0)</f>
        <v>0</v>
      </c>
      <c r="S109" s="55" t="n">
        <f aca="false">N(S108)+$R109</f>
        <v>22</v>
      </c>
    </row>
    <row r="110" customFormat="false" ht="13.5" hidden="false" customHeight="false" outlineLevel="0" collapsed="false">
      <c r="A110" s="9" t="n">
        <v>109</v>
      </c>
      <c r="B110" s="39" t="str">
        <f aca="false">IF($V$4=0,IF($J110="","",$J110),IFERROR(IF([1]入库吨位汇总!$B$109=0,"",[1]入库吨位汇总!$B$109),""))</f>
        <v/>
      </c>
      <c r="C110" s="39" t="str">
        <f aca="false">IF($V$4=0,IF($K110="","",$K110),IFERROR(IF([1]入库吨位汇总!$C$109=0,"",[1]入库吨位汇总!$C$109),""))</f>
        <v/>
      </c>
      <c r="D110" s="51" t="str">
        <f aca="false">IF($V$4=0,IF($L110="","",$L110),IFERROR(IF([1]入库吨位汇总!$D$109=0,"",[1]入库吨位汇总!$D$109),""))</f>
        <v/>
      </c>
      <c r="E110" s="51" t="str">
        <f aca="false">IF($V$4=0,IF($M110="","",$M110),IFERROR(IF([1]入库吨位汇总!$E$109=0,"",[1]入库吨位汇总!$E$109),""))</f>
        <v/>
      </c>
      <c r="F110" s="41" t="str">
        <f aca="false">IF($V$4=0,IF($N110="","",$N110),IFERROR(IF([1]入库吨位汇总!$K$109=0,"",[1]入库吨位汇总!$K$109),""))</f>
        <v/>
      </c>
      <c r="G110" s="52" t="str">
        <f aca="false">IF($V$4=0,IF($O110="","",$O110),IFERROR(IF([1]入库吨位汇总!$L$109=0,"",[1]入库吨位汇总!$L$109),""))</f>
        <v/>
      </c>
      <c r="H110" s="41" t="str">
        <f aca="false">IF($V$4=0,IF($P110="","",$P110),IFERROR(IF([1]入库吨位汇总!$H$109=0,"",[1]入库吨位汇总!$H$109),""))</f>
        <v/>
      </c>
      <c r="I110" s="41" t="str">
        <f aca="false">IF($V$4=0,IF($Q110="","",$Q110),IFERROR(IF([1]入库吨位汇总!$I$109=0,"",[1]入库吨位汇总!$I$109),""))</f>
        <v/>
      </c>
      <c r="J110" s="10"/>
      <c r="K110" s="10"/>
      <c r="L110" s="53"/>
      <c r="M110" s="53"/>
      <c r="N110" s="54"/>
      <c r="O110" s="54"/>
      <c r="P110" s="54"/>
      <c r="Q110" s="54"/>
      <c r="R110" s="55" t="n">
        <f aca="false">IF(AND($B110&lt;&gt;"",$C110&lt;&gt;""),1,0)</f>
        <v>0</v>
      </c>
      <c r="S110" s="55" t="n">
        <f aca="false">N(S109)+$R110</f>
        <v>22</v>
      </c>
    </row>
    <row r="111" customFormat="false" ht="13.5" hidden="false" customHeight="false" outlineLevel="0" collapsed="false">
      <c r="A111" s="9" t="n">
        <v>110</v>
      </c>
      <c r="B111" s="39" t="str">
        <f aca="false">IF($V$4=0,IF($J111="","",$J111),IFERROR(IF([1]入库吨位汇总!$B$110=0,"",[1]入库吨位汇总!$B$110),""))</f>
        <v/>
      </c>
      <c r="C111" s="39" t="str">
        <f aca="false">IF($V$4=0,IF($K111="","",$K111),IFERROR(IF([1]入库吨位汇总!$C$110=0,"",[1]入库吨位汇总!$C$110),""))</f>
        <v/>
      </c>
      <c r="D111" s="51" t="str">
        <f aca="false">IF($V$4=0,IF($L111="","",$L111),IFERROR(IF([1]入库吨位汇总!$D$110=0,"",[1]入库吨位汇总!$D$110),""))</f>
        <v/>
      </c>
      <c r="E111" s="51" t="str">
        <f aca="false">IF($V$4=0,IF($M111="","",$M111),IFERROR(IF([1]入库吨位汇总!$E$110=0,"",[1]入库吨位汇总!$E$110),""))</f>
        <v/>
      </c>
      <c r="F111" s="41" t="str">
        <f aca="false">IF($V$4=0,IF($N111="","",$N111),IFERROR(IF([1]入库吨位汇总!$K$110=0,"",[1]入库吨位汇总!$K$110),""))</f>
        <v/>
      </c>
      <c r="G111" s="52" t="str">
        <f aca="false">IF($V$4=0,IF($O111="","",$O111),IFERROR(IF([1]入库吨位汇总!$L$110=0,"",[1]入库吨位汇总!$L$110),""))</f>
        <v/>
      </c>
      <c r="H111" s="41" t="str">
        <f aca="false">IF($V$4=0,IF($P111="","",$P111),IFERROR(IF([1]入库吨位汇总!$H$110=0,"",[1]入库吨位汇总!$H$110),""))</f>
        <v/>
      </c>
      <c r="I111" s="41" t="str">
        <f aca="false">IF($V$4=0,IF($Q111="","",$Q111),IFERROR(IF([1]入库吨位汇总!$I$110=0,"",[1]入库吨位汇总!$I$110),""))</f>
        <v/>
      </c>
      <c r="J111" s="10"/>
      <c r="K111" s="10"/>
      <c r="L111" s="53"/>
      <c r="M111" s="53"/>
      <c r="N111" s="54"/>
      <c r="O111" s="54"/>
      <c r="P111" s="54"/>
      <c r="Q111" s="54"/>
      <c r="R111" s="55" t="n">
        <f aca="false">IF(AND($B111&lt;&gt;"",$C111&lt;&gt;""),1,0)</f>
        <v>0</v>
      </c>
      <c r="S111" s="55" t="n">
        <f aca="false">N(S110)+$R111</f>
        <v>22</v>
      </c>
    </row>
    <row r="112" customFormat="false" ht="13.5" hidden="false" customHeight="false" outlineLevel="0" collapsed="false">
      <c r="A112" s="9" t="n">
        <v>111</v>
      </c>
      <c r="B112" s="39" t="str">
        <f aca="false">IF($V$4=0,IF($J112="","",$J112),IFERROR(IF([1]入库吨位汇总!$B$111=0,"",[1]入库吨位汇总!$B$111),""))</f>
        <v/>
      </c>
      <c r="C112" s="39" t="str">
        <f aca="false">IF($V$4=0,IF($K112="","",$K112),IFERROR(IF([1]入库吨位汇总!$C$111=0,"",[1]入库吨位汇总!$C$111),""))</f>
        <v/>
      </c>
      <c r="D112" s="51" t="str">
        <f aca="false">IF($V$4=0,IF($L112="","",$L112),IFERROR(IF([1]入库吨位汇总!$D$111=0,"",[1]入库吨位汇总!$D$111),""))</f>
        <v/>
      </c>
      <c r="E112" s="51" t="str">
        <f aca="false">IF($V$4=0,IF($M112="","",$M112),IFERROR(IF([1]入库吨位汇总!$E$111=0,"",[1]入库吨位汇总!$E$111),""))</f>
        <v/>
      </c>
      <c r="F112" s="41" t="str">
        <f aca="false">IF($V$4=0,IF($N112="","",$N112),IFERROR(IF([1]入库吨位汇总!$K$111=0,"",[1]入库吨位汇总!$K$111),""))</f>
        <v/>
      </c>
      <c r="G112" s="52" t="str">
        <f aca="false">IF($V$4=0,IF($O112="","",$O112),IFERROR(IF([1]入库吨位汇总!$L$111=0,"",[1]入库吨位汇总!$L$111),""))</f>
        <v/>
      </c>
      <c r="H112" s="41" t="str">
        <f aca="false">IF($V$4=0,IF($P112="","",$P112),IFERROR(IF([1]入库吨位汇总!$H$111=0,"",[1]入库吨位汇总!$H$111),""))</f>
        <v/>
      </c>
      <c r="I112" s="41" t="str">
        <f aca="false">IF($V$4=0,IF($Q112="","",$Q112),IFERROR(IF([1]入库吨位汇总!$I$111=0,"",[1]入库吨位汇总!$I$111),""))</f>
        <v/>
      </c>
      <c r="J112" s="10"/>
      <c r="K112" s="10"/>
      <c r="L112" s="53"/>
      <c r="M112" s="53"/>
      <c r="N112" s="54"/>
      <c r="O112" s="54"/>
      <c r="P112" s="54"/>
      <c r="Q112" s="54"/>
      <c r="R112" s="55" t="n">
        <f aca="false">IF(AND($B112&lt;&gt;"",$C112&lt;&gt;""),1,0)</f>
        <v>0</v>
      </c>
      <c r="S112" s="55" t="n">
        <f aca="false">N(S111)+$R112</f>
        <v>22</v>
      </c>
    </row>
    <row r="113" customFormat="false" ht="13.5" hidden="false" customHeight="false" outlineLevel="0" collapsed="false">
      <c r="A113" s="9" t="n">
        <v>112</v>
      </c>
      <c r="B113" s="39" t="str">
        <f aca="false">IF($V$4=0,IF($J113="","",$J113),IFERROR(IF([1]入库吨位汇总!$B$112=0,"",[1]入库吨位汇总!$B$112),""))</f>
        <v/>
      </c>
      <c r="C113" s="39" t="str">
        <f aca="false">IF($V$4=0,IF($K113="","",$K113),IFERROR(IF([1]入库吨位汇总!$C$112=0,"",[1]入库吨位汇总!$C$112),""))</f>
        <v/>
      </c>
      <c r="D113" s="51" t="str">
        <f aca="false">IF($V$4=0,IF($L113="","",$L113),IFERROR(IF([1]入库吨位汇总!$D$112=0,"",[1]入库吨位汇总!$D$112),""))</f>
        <v/>
      </c>
      <c r="E113" s="51" t="str">
        <f aca="false">IF($V$4=0,IF($M113="","",$M113),IFERROR(IF([1]入库吨位汇总!$E$112=0,"",[1]入库吨位汇总!$E$112),""))</f>
        <v/>
      </c>
      <c r="F113" s="41" t="str">
        <f aca="false">IF($V$4=0,IF($N113="","",$N113),IFERROR(IF([1]入库吨位汇总!$K$112=0,"",[1]入库吨位汇总!$K$112),""))</f>
        <v/>
      </c>
      <c r="G113" s="52" t="str">
        <f aca="false">IF($V$4=0,IF($O113="","",$O113),IFERROR(IF([1]入库吨位汇总!$L$112=0,"",[1]入库吨位汇总!$L$112),""))</f>
        <v/>
      </c>
      <c r="H113" s="41" t="str">
        <f aca="false">IF($V$4=0,IF($P113="","",$P113),IFERROR(IF([1]入库吨位汇总!$H$112=0,"",[1]入库吨位汇总!$H$112),""))</f>
        <v/>
      </c>
      <c r="I113" s="41" t="str">
        <f aca="false">IF($V$4=0,IF($Q113="","",$Q113),IFERROR(IF([1]入库吨位汇总!$I$112=0,"",[1]入库吨位汇总!$I$112),""))</f>
        <v/>
      </c>
      <c r="J113" s="10"/>
      <c r="K113" s="10"/>
      <c r="L113" s="53"/>
      <c r="M113" s="53"/>
      <c r="N113" s="54"/>
      <c r="O113" s="54"/>
      <c r="P113" s="54"/>
      <c r="Q113" s="54"/>
      <c r="R113" s="55" t="n">
        <f aca="false">IF(AND($B113&lt;&gt;"",$C113&lt;&gt;""),1,0)</f>
        <v>0</v>
      </c>
      <c r="S113" s="55" t="n">
        <f aca="false">N(S112)+$R113</f>
        <v>22</v>
      </c>
    </row>
    <row r="114" customFormat="false" ht="13.5" hidden="false" customHeight="false" outlineLevel="0" collapsed="false">
      <c r="A114" s="9" t="n">
        <v>113</v>
      </c>
      <c r="B114" s="39" t="str">
        <f aca="false">IF($V$4=0,IF($J114="","",$J114),IFERROR(IF([1]入库吨位汇总!$B$113=0,"",[1]入库吨位汇总!$B$113),""))</f>
        <v/>
      </c>
      <c r="C114" s="39" t="str">
        <f aca="false">IF($V$4=0,IF($K114="","",$K114),IFERROR(IF([1]入库吨位汇总!$C$113=0,"",[1]入库吨位汇总!$C$113),""))</f>
        <v/>
      </c>
      <c r="D114" s="51" t="str">
        <f aca="false">IF($V$4=0,IF($L114="","",$L114),IFERROR(IF([1]入库吨位汇总!$D$113=0,"",[1]入库吨位汇总!$D$113),""))</f>
        <v/>
      </c>
      <c r="E114" s="51" t="str">
        <f aca="false">IF($V$4=0,IF($M114="","",$M114),IFERROR(IF([1]入库吨位汇总!$E$113=0,"",[1]入库吨位汇总!$E$113),""))</f>
        <v/>
      </c>
      <c r="F114" s="41" t="str">
        <f aca="false">IF($V$4=0,IF($N114="","",$N114),IFERROR(IF([1]入库吨位汇总!$K$113=0,"",[1]入库吨位汇总!$K$113),""))</f>
        <v/>
      </c>
      <c r="G114" s="52" t="str">
        <f aca="false">IF($V$4=0,IF($O114="","",$O114),IFERROR(IF([1]入库吨位汇总!$L$113=0,"",[1]入库吨位汇总!$L$113),""))</f>
        <v/>
      </c>
      <c r="H114" s="41" t="str">
        <f aca="false">IF($V$4=0,IF($P114="","",$P114),IFERROR(IF([1]入库吨位汇总!$H$113=0,"",[1]入库吨位汇总!$H$113),""))</f>
        <v/>
      </c>
      <c r="I114" s="41" t="str">
        <f aca="false">IF($V$4=0,IF($Q114="","",$Q114),IFERROR(IF([1]入库吨位汇总!$I$113=0,"",[1]入库吨位汇总!$I$113),""))</f>
        <v/>
      </c>
      <c r="J114" s="10"/>
      <c r="K114" s="10"/>
      <c r="L114" s="53"/>
      <c r="M114" s="53"/>
      <c r="N114" s="54"/>
      <c r="O114" s="54"/>
      <c r="P114" s="54"/>
      <c r="Q114" s="54"/>
      <c r="R114" s="55" t="n">
        <f aca="false">IF(AND($B114&lt;&gt;"",$C114&lt;&gt;""),1,0)</f>
        <v>0</v>
      </c>
      <c r="S114" s="55" t="n">
        <f aca="false">N(S113)+$R114</f>
        <v>22</v>
      </c>
    </row>
    <row r="115" customFormat="false" ht="13.5" hidden="false" customHeight="false" outlineLevel="0" collapsed="false">
      <c r="A115" s="9" t="n">
        <v>114</v>
      </c>
      <c r="B115" s="39" t="str">
        <f aca="false">IF($V$4=0,IF($J115="","",$J115),IFERROR(IF([1]入库吨位汇总!$B$114=0,"",[1]入库吨位汇总!$B$114),""))</f>
        <v/>
      </c>
      <c r="C115" s="39" t="str">
        <f aca="false">IF($V$4=0,IF($K115="","",$K115),IFERROR(IF([1]入库吨位汇总!$C$114=0,"",[1]入库吨位汇总!$C$114),""))</f>
        <v/>
      </c>
      <c r="D115" s="51" t="str">
        <f aca="false">IF($V$4=0,IF($L115="","",$L115),IFERROR(IF([1]入库吨位汇总!$D$114=0,"",[1]入库吨位汇总!$D$114),""))</f>
        <v/>
      </c>
      <c r="E115" s="51" t="str">
        <f aca="false">IF($V$4=0,IF($M115="","",$M115),IFERROR(IF([1]入库吨位汇总!$E$114=0,"",[1]入库吨位汇总!$E$114),""))</f>
        <v/>
      </c>
      <c r="F115" s="41" t="str">
        <f aca="false">IF($V$4=0,IF($N115="","",$N115),IFERROR(IF([1]入库吨位汇总!$K$114=0,"",[1]入库吨位汇总!$K$114),""))</f>
        <v/>
      </c>
      <c r="G115" s="52" t="str">
        <f aca="false">IF($V$4=0,IF($O115="","",$O115),IFERROR(IF([1]入库吨位汇总!$L$114=0,"",[1]入库吨位汇总!$L$114),""))</f>
        <v/>
      </c>
      <c r="H115" s="41" t="str">
        <f aca="false">IF($V$4=0,IF($P115="","",$P115),IFERROR(IF([1]入库吨位汇总!$H$114=0,"",[1]入库吨位汇总!$H$114),""))</f>
        <v/>
      </c>
      <c r="I115" s="41" t="str">
        <f aca="false">IF($V$4=0,IF($Q115="","",$Q115),IFERROR(IF([1]入库吨位汇总!$I$114=0,"",[1]入库吨位汇总!$I$114),""))</f>
        <v/>
      </c>
      <c r="J115" s="10"/>
      <c r="K115" s="10"/>
      <c r="L115" s="53"/>
      <c r="M115" s="53"/>
      <c r="N115" s="54"/>
      <c r="O115" s="54"/>
      <c r="P115" s="54"/>
      <c r="Q115" s="54"/>
      <c r="R115" s="55" t="n">
        <f aca="false">IF(AND($B115&lt;&gt;"",$C115&lt;&gt;""),1,0)</f>
        <v>0</v>
      </c>
      <c r="S115" s="55" t="n">
        <f aca="false">N(S114)+$R115</f>
        <v>22</v>
      </c>
    </row>
    <row r="116" customFormat="false" ht="13.5" hidden="false" customHeight="false" outlineLevel="0" collapsed="false">
      <c r="A116" s="9" t="n">
        <v>115</v>
      </c>
      <c r="B116" s="39" t="str">
        <f aca="false">IF($V$4=0,IF($J116="","",$J116),IFERROR(IF([1]入库吨位汇总!$B$115=0,"",[1]入库吨位汇总!$B$115),""))</f>
        <v/>
      </c>
      <c r="C116" s="39" t="str">
        <f aca="false">IF($V$4=0,IF($K116="","",$K116),IFERROR(IF([1]入库吨位汇总!$C$115=0,"",[1]入库吨位汇总!$C$115),""))</f>
        <v/>
      </c>
      <c r="D116" s="51" t="str">
        <f aca="false">IF($V$4=0,IF($L116="","",$L116),IFERROR(IF([1]入库吨位汇总!$D$115=0,"",[1]入库吨位汇总!$D$115),""))</f>
        <v/>
      </c>
      <c r="E116" s="51" t="str">
        <f aca="false">IF($V$4=0,IF($M116="","",$M116),IFERROR(IF([1]入库吨位汇总!$E$115=0,"",[1]入库吨位汇总!$E$115),""))</f>
        <v/>
      </c>
      <c r="F116" s="41" t="str">
        <f aca="false">IF($V$4=0,IF($N116="","",$N116),IFERROR(IF([1]入库吨位汇总!$K$115=0,"",[1]入库吨位汇总!$K$115),""))</f>
        <v/>
      </c>
      <c r="G116" s="52" t="str">
        <f aca="false">IF($V$4=0,IF($O116="","",$O116),IFERROR(IF([1]入库吨位汇总!$L$115=0,"",[1]入库吨位汇总!$L$115),""))</f>
        <v/>
      </c>
      <c r="H116" s="41" t="str">
        <f aca="false">IF($V$4=0,IF($P116="","",$P116),IFERROR(IF([1]入库吨位汇总!$H$115=0,"",[1]入库吨位汇总!$H$115),""))</f>
        <v/>
      </c>
      <c r="I116" s="41" t="str">
        <f aca="false">IF($V$4=0,IF($Q116="","",$Q116),IFERROR(IF([1]入库吨位汇总!$I$115=0,"",[1]入库吨位汇总!$I$115),""))</f>
        <v/>
      </c>
      <c r="J116" s="10"/>
      <c r="K116" s="10"/>
      <c r="L116" s="53"/>
      <c r="M116" s="53"/>
      <c r="N116" s="54"/>
      <c r="O116" s="54"/>
      <c r="P116" s="54"/>
      <c r="Q116" s="54"/>
      <c r="R116" s="55" t="n">
        <f aca="false">IF(AND($B116&lt;&gt;"",$C116&lt;&gt;""),1,0)</f>
        <v>0</v>
      </c>
      <c r="S116" s="55" t="n">
        <f aca="false">N(S115)+$R116</f>
        <v>22</v>
      </c>
    </row>
    <row r="117" customFormat="false" ht="13.5" hidden="false" customHeight="false" outlineLevel="0" collapsed="false">
      <c r="A117" s="9" t="n">
        <v>116</v>
      </c>
      <c r="B117" s="39" t="str">
        <f aca="false">IF($V$4=0,IF($J117="","",$J117),IFERROR(IF([1]入库吨位汇总!$B$116=0,"",[1]入库吨位汇总!$B$116),""))</f>
        <v/>
      </c>
      <c r="C117" s="39" t="str">
        <f aca="false">IF($V$4=0,IF($K117="","",$K117),IFERROR(IF([1]入库吨位汇总!$C$116=0,"",[1]入库吨位汇总!$C$116),""))</f>
        <v/>
      </c>
      <c r="D117" s="51" t="str">
        <f aca="false">IF($V$4=0,IF($L117="","",$L117),IFERROR(IF([1]入库吨位汇总!$D$116=0,"",[1]入库吨位汇总!$D$116),""))</f>
        <v/>
      </c>
      <c r="E117" s="51" t="str">
        <f aca="false">IF($V$4=0,IF($M117="","",$M117),IFERROR(IF([1]入库吨位汇总!$E$116=0,"",[1]入库吨位汇总!$E$116),""))</f>
        <v/>
      </c>
      <c r="F117" s="41" t="str">
        <f aca="false">IF($V$4=0,IF($N117="","",$N117),IFERROR(IF([1]入库吨位汇总!$K$116=0,"",[1]入库吨位汇总!$K$116),""))</f>
        <v/>
      </c>
      <c r="G117" s="52" t="str">
        <f aca="false">IF($V$4=0,IF($O117="","",$O117),IFERROR(IF([1]入库吨位汇总!$L$116=0,"",[1]入库吨位汇总!$L$116),""))</f>
        <v/>
      </c>
      <c r="H117" s="41" t="str">
        <f aca="false">IF($V$4=0,IF($P117="","",$P117),IFERROR(IF([1]入库吨位汇总!$H$116=0,"",[1]入库吨位汇总!$H$116),""))</f>
        <v/>
      </c>
      <c r="I117" s="41" t="str">
        <f aca="false">IF($V$4=0,IF($Q117="","",$Q117),IFERROR(IF([1]入库吨位汇总!$I$116=0,"",[1]入库吨位汇总!$I$116),""))</f>
        <v/>
      </c>
      <c r="J117" s="10"/>
      <c r="K117" s="10"/>
      <c r="L117" s="53"/>
      <c r="M117" s="53"/>
      <c r="N117" s="54"/>
      <c r="O117" s="54"/>
      <c r="P117" s="54"/>
      <c r="Q117" s="54"/>
      <c r="R117" s="55" t="n">
        <f aca="false">IF(AND($B117&lt;&gt;"",$C117&lt;&gt;""),1,0)</f>
        <v>0</v>
      </c>
      <c r="S117" s="55" t="n">
        <f aca="false">N(S116)+$R117</f>
        <v>22</v>
      </c>
    </row>
    <row r="118" customFormat="false" ht="13.5" hidden="false" customHeight="false" outlineLevel="0" collapsed="false">
      <c r="A118" s="9" t="n">
        <v>117</v>
      </c>
      <c r="B118" s="39" t="str">
        <f aca="false">IF($V$4=0,IF($J118="","",$J118),IFERROR(IF([1]入库吨位汇总!$B$117=0,"",[1]入库吨位汇总!$B$117),""))</f>
        <v/>
      </c>
      <c r="C118" s="39" t="str">
        <f aca="false">IF($V$4=0,IF($K118="","",$K118),IFERROR(IF([1]入库吨位汇总!$C$117=0,"",[1]入库吨位汇总!$C$117),""))</f>
        <v/>
      </c>
      <c r="D118" s="51" t="str">
        <f aca="false">IF($V$4=0,IF($L118="","",$L118),IFERROR(IF([1]入库吨位汇总!$D$117=0,"",[1]入库吨位汇总!$D$117),""))</f>
        <v/>
      </c>
      <c r="E118" s="51" t="str">
        <f aca="false">IF($V$4=0,IF($M118="","",$M118),IFERROR(IF([1]入库吨位汇总!$E$117=0,"",[1]入库吨位汇总!$E$117),""))</f>
        <v/>
      </c>
      <c r="F118" s="41" t="str">
        <f aca="false">IF($V$4=0,IF($N118="","",$N118),IFERROR(IF([1]入库吨位汇总!$K$117=0,"",[1]入库吨位汇总!$K$117),""))</f>
        <v/>
      </c>
      <c r="G118" s="52" t="str">
        <f aca="false">IF($V$4=0,IF($O118="","",$O118),IFERROR(IF([1]入库吨位汇总!$L$117=0,"",[1]入库吨位汇总!$L$117),""))</f>
        <v/>
      </c>
      <c r="H118" s="41" t="str">
        <f aca="false">IF($V$4=0,IF($P118="","",$P118),IFERROR(IF([1]入库吨位汇总!$H$117=0,"",[1]入库吨位汇总!$H$117),""))</f>
        <v/>
      </c>
      <c r="I118" s="41" t="str">
        <f aca="false">IF($V$4=0,IF($Q118="","",$Q118),IFERROR(IF([1]入库吨位汇总!$I$117=0,"",[1]入库吨位汇总!$I$117),""))</f>
        <v/>
      </c>
      <c r="J118" s="10"/>
      <c r="K118" s="10"/>
      <c r="L118" s="53"/>
      <c r="M118" s="53"/>
      <c r="N118" s="54"/>
      <c r="O118" s="54"/>
      <c r="P118" s="54"/>
      <c r="Q118" s="54"/>
      <c r="R118" s="55" t="n">
        <f aca="false">IF(AND($B118&lt;&gt;"",$C118&lt;&gt;""),1,0)</f>
        <v>0</v>
      </c>
      <c r="S118" s="55" t="n">
        <f aca="false">N(S117)+$R118</f>
        <v>22</v>
      </c>
    </row>
    <row r="119" customFormat="false" ht="13.5" hidden="false" customHeight="false" outlineLevel="0" collapsed="false">
      <c r="A119" s="9" t="n">
        <v>118</v>
      </c>
      <c r="B119" s="39" t="str">
        <f aca="false">IF($V$4=0,IF($J119="","",$J119),IFERROR(IF([1]入库吨位汇总!$B$118=0,"",[1]入库吨位汇总!$B$118),""))</f>
        <v/>
      </c>
      <c r="C119" s="39" t="str">
        <f aca="false">IF($V$4=0,IF($K119="","",$K119),IFERROR(IF([1]入库吨位汇总!$C$118=0,"",[1]入库吨位汇总!$C$118),""))</f>
        <v/>
      </c>
      <c r="D119" s="51" t="str">
        <f aca="false">IF($V$4=0,IF($L119="","",$L119),IFERROR(IF([1]入库吨位汇总!$D$118=0,"",[1]入库吨位汇总!$D$118),""))</f>
        <v/>
      </c>
      <c r="E119" s="51" t="str">
        <f aca="false">IF($V$4=0,IF($M119="","",$M119),IFERROR(IF([1]入库吨位汇总!$E$118=0,"",[1]入库吨位汇总!$E$118),""))</f>
        <v/>
      </c>
      <c r="F119" s="41" t="str">
        <f aca="false">IF($V$4=0,IF($N119="","",$N119),IFERROR(IF([1]入库吨位汇总!$K$118=0,"",[1]入库吨位汇总!$K$118),""))</f>
        <v/>
      </c>
      <c r="G119" s="52" t="str">
        <f aca="false">IF($V$4=0,IF($O119="","",$O119),IFERROR(IF([1]入库吨位汇总!$L$118=0,"",[1]入库吨位汇总!$L$118),""))</f>
        <v/>
      </c>
      <c r="H119" s="41" t="str">
        <f aca="false">IF($V$4=0,IF($P119="","",$P119),IFERROR(IF([1]入库吨位汇总!$H$118=0,"",[1]入库吨位汇总!$H$118),""))</f>
        <v/>
      </c>
      <c r="I119" s="41" t="str">
        <f aca="false">IF($V$4=0,IF($Q119="","",$Q119),IFERROR(IF([1]入库吨位汇总!$I$118=0,"",[1]入库吨位汇总!$I$118),""))</f>
        <v/>
      </c>
      <c r="J119" s="10"/>
      <c r="K119" s="10"/>
      <c r="L119" s="53"/>
      <c r="M119" s="53"/>
      <c r="N119" s="54"/>
      <c r="O119" s="54"/>
      <c r="P119" s="54"/>
      <c r="Q119" s="54"/>
      <c r="R119" s="55" t="n">
        <f aca="false">IF(AND($B119&lt;&gt;"",$C119&lt;&gt;""),1,0)</f>
        <v>0</v>
      </c>
      <c r="S119" s="55" t="n">
        <f aca="false">N(S118)+$R119</f>
        <v>22</v>
      </c>
    </row>
    <row r="120" customFormat="false" ht="13.5" hidden="false" customHeight="false" outlineLevel="0" collapsed="false">
      <c r="A120" s="9" t="n">
        <v>119</v>
      </c>
      <c r="B120" s="39" t="str">
        <f aca="false">IF($V$4=0,IF($J120="","",$J120),IFERROR(IF([1]入库吨位汇总!$B$119=0,"",[1]入库吨位汇总!$B$119),""))</f>
        <v/>
      </c>
      <c r="C120" s="39" t="str">
        <f aca="false">IF($V$4=0,IF($K120="","",$K120),IFERROR(IF([1]入库吨位汇总!$C$119=0,"",[1]入库吨位汇总!$C$119),""))</f>
        <v/>
      </c>
      <c r="D120" s="51" t="str">
        <f aca="false">IF($V$4=0,IF($L120="","",$L120),IFERROR(IF([1]入库吨位汇总!$D$119=0,"",[1]入库吨位汇总!$D$119),""))</f>
        <v/>
      </c>
      <c r="E120" s="51" t="str">
        <f aca="false">IF($V$4=0,IF($M120="","",$M120),IFERROR(IF([1]入库吨位汇总!$E$119=0,"",[1]入库吨位汇总!$E$119),""))</f>
        <v/>
      </c>
      <c r="F120" s="41" t="str">
        <f aca="false">IF($V$4=0,IF($N120="","",$N120),IFERROR(IF([1]入库吨位汇总!$K$119=0,"",[1]入库吨位汇总!$K$119),""))</f>
        <v/>
      </c>
      <c r="G120" s="52" t="str">
        <f aca="false">IF($V$4=0,IF($O120="","",$O120),IFERROR(IF([1]入库吨位汇总!$L$119=0,"",[1]入库吨位汇总!$L$119),""))</f>
        <v/>
      </c>
      <c r="H120" s="41" t="str">
        <f aca="false">IF($V$4=0,IF($P120="","",$P120),IFERROR(IF([1]入库吨位汇总!$H$119=0,"",[1]入库吨位汇总!$H$119),""))</f>
        <v/>
      </c>
      <c r="I120" s="41" t="str">
        <f aca="false">IF($V$4=0,IF($Q120="","",$Q120),IFERROR(IF([1]入库吨位汇总!$I$119=0,"",[1]入库吨位汇总!$I$119),""))</f>
        <v/>
      </c>
      <c r="J120" s="10"/>
      <c r="K120" s="10"/>
      <c r="L120" s="53"/>
      <c r="M120" s="53"/>
      <c r="N120" s="54"/>
      <c r="O120" s="54"/>
      <c r="P120" s="54"/>
      <c r="Q120" s="54"/>
      <c r="R120" s="55" t="n">
        <f aca="false">IF(AND($B120&lt;&gt;"",$C120&lt;&gt;""),1,0)</f>
        <v>0</v>
      </c>
      <c r="S120" s="55" t="n">
        <f aca="false">N(S119)+$R120</f>
        <v>22</v>
      </c>
    </row>
    <row r="121" customFormat="false" ht="13.5" hidden="false" customHeight="false" outlineLevel="0" collapsed="false">
      <c r="A121" s="9" t="n">
        <v>120</v>
      </c>
      <c r="B121" s="39" t="str">
        <f aca="false">IF($V$4=0,IF($J121="","",$J121),IFERROR(IF([1]入库吨位汇总!$B$120=0,"",[1]入库吨位汇总!$B$120),""))</f>
        <v/>
      </c>
      <c r="C121" s="39" t="str">
        <f aca="false">IF($V$4=0,IF($K121="","",$K121),IFERROR(IF([1]入库吨位汇总!$C$120=0,"",[1]入库吨位汇总!$C$120),""))</f>
        <v/>
      </c>
      <c r="D121" s="51" t="str">
        <f aca="false">IF($V$4=0,IF($L121="","",$L121),IFERROR(IF([1]入库吨位汇总!$D$120=0,"",[1]入库吨位汇总!$D$120),""))</f>
        <v/>
      </c>
      <c r="E121" s="51" t="str">
        <f aca="false">IF($V$4=0,IF($M121="","",$M121),IFERROR(IF([1]入库吨位汇总!$E$120=0,"",[1]入库吨位汇总!$E$120),""))</f>
        <v/>
      </c>
      <c r="F121" s="41" t="str">
        <f aca="false">IF($V$4=0,IF($N121="","",$N121),IFERROR(IF([1]入库吨位汇总!$K$120=0,"",[1]入库吨位汇总!$K$120),""))</f>
        <v/>
      </c>
      <c r="G121" s="52" t="str">
        <f aca="false">IF($V$4=0,IF($O121="","",$O121),IFERROR(IF([1]入库吨位汇总!$L$120=0,"",[1]入库吨位汇总!$L$120),""))</f>
        <v/>
      </c>
      <c r="H121" s="41" t="str">
        <f aca="false">IF($V$4=0,IF($P121="","",$P121),IFERROR(IF([1]入库吨位汇总!$H$120=0,"",[1]入库吨位汇总!$H$120),""))</f>
        <v/>
      </c>
      <c r="I121" s="41" t="str">
        <f aca="false">IF($V$4=0,IF($Q121="","",$Q121),IFERROR(IF([1]入库吨位汇总!$I$120=0,"",[1]入库吨位汇总!$I$120),""))</f>
        <v/>
      </c>
      <c r="J121" s="10"/>
      <c r="K121" s="10"/>
      <c r="L121" s="53"/>
      <c r="M121" s="53"/>
      <c r="N121" s="54"/>
      <c r="O121" s="54"/>
      <c r="P121" s="54"/>
      <c r="Q121" s="54"/>
      <c r="R121" s="55" t="n">
        <f aca="false">IF(AND($B121&lt;&gt;"",$C121&lt;&gt;""),1,0)</f>
        <v>0</v>
      </c>
      <c r="S121" s="55" t="n">
        <f aca="false">N(S120)+$R121</f>
        <v>22</v>
      </c>
    </row>
    <row r="122" customFormat="false" ht="13.5" hidden="false" customHeight="false" outlineLevel="0" collapsed="false">
      <c r="A122" s="9" t="n">
        <v>121</v>
      </c>
      <c r="B122" s="39" t="str">
        <f aca="false">IF($V$4=0,IF($J122="","",$J122),IFERROR(IF([1]入库吨位汇总!$B$121=0,"",[1]入库吨位汇总!$B$121),""))</f>
        <v/>
      </c>
      <c r="C122" s="39" t="str">
        <f aca="false">IF($V$4=0,IF($K122="","",$K122),IFERROR(IF([1]入库吨位汇总!$C$121=0,"",[1]入库吨位汇总!$C$121),""))</f>
        <v/>
      </c>
      <c r="D122" s="51" t="str">
        <f aca="false">IF($V$4=0,IF($L122="","",$L122),IFERROR(IF([1]入库吨位汇总!$D$121=0,"",[1]入库吨位汇总!$D$121),""))</f>
        <v/>
      </c>
      <c r="E122" s="51" t="str">
        <f aca="false">IF($V$4=0,IF($M122="","",$M122),IFERROR(IF([1]入库吨位汇总!$E$121=0,"",[1]入库吨位汇总!$E$121),""))</f>
        <v/>
      </c>
      <c r="F122" s="41" t="str">
        <f aca="false">IF($V$4=0,IF($N122="","",$N122),IFERROR(IF([1]入库吨位汇总!$K$121=0,"",[1]入库吨位汇总!$K$121),""))</f>
        <v/>
      </c>
      <c r="G122" s="52" t="str">
        <f aca="false">IF($V$4=0,IF($O122="","",$O122),IFERROR(IF([1]入库吨位汇总!$L$121=0,"",[1]入库吨位汇总!$L$121),""))</f>
        <v/>
      </c>
      <c r="H122" s="41" t="str">
        <f aca="false">IF($V$4=0,IF($P122="","",$P122),IFERROR(IF([1]入库吨位汇总!$H$121=0,"",[1]入库吨位汇总!$H$121),""))</f>
        <v/>
      </c>
      <c r="I122" s="41" t="str">
        <f aca="false">IF($V$4=0,IF($Q122="","",$Q122),IFERROR(IF([1]入库吨位汇总!$I$121=0,"",[1]入库吨位汇总!$I$121),""))</f>
        <v/>
      </c>
      <c r="J122" s="10"/>
      <c r="K122" s="10"/>
      <c r="L122" s="53"/>
      <c r="M122" s="53"/>
      <c r="N122" s="54"/>
      <c r="O122" s="54"/>
      <c r="P122" s="54"/>
      <c r="Q122" s="54"/>
      <c r="R122" s="55" t="n">
        <f aca="false">IF(AND($B122&lt;&gt;"",$C122&lt;&gt;""),1,0)</f>
        <v>0</v>
      </c>
      <c r="S122" s="55" t="n">
        <f aca="false">N(S121)+$R122</f>
        <v>22</v>
      </c>
    </row>
    <row r="123" customFormat="false" ht="13.5" hidden="false" customHeight="false" outlineLevel="0" collapsed="false">
      <c r="A123" s="9" t="n">
        <v>122</v>
      </c>
      <c r="B123" s="39" t="str">
        <f aca="false">IF($V$4=0,IF($J123="","",$J123),IFERROR(IF([1]入库吨位汇总!$B$122=0,"",[1]入库吨位汇总!$B$122),""))</f>
        <v/>
      </c>
      <c r="C123" s="39" t="str">
        <f aca="false">IF($V$4=0,IF($K123="","",$K123),IFERROR(IF([1]入库吨位汇总!$C$122=0,"",[1]入库吨位汇总!$C$122),""))</f>
        <v/>
      </c>
      <c r="D123" s="51" t="str">
        <f aca="false">IF($V$4=0,IF($L123="","",$L123),IFERROR(IF([1]入库吨位汇总!$D$122=0,"",[1]入库吨位汇总!$D$122),""))</f>
        <v/>
      </c>
      <c r="E123" s="51" t="str">
        <f aca="false">IF($V$4=0,IF($M123="","",$M123),IFERROR(IF([1]入库吨位汇总!$E$122=0,"",[1]入库吨位汇总!$E$122),""))</f>
        <v/>
      </c>
      <c r="F123" s="41" t="str">
        <f aca="false">IF($V$4=0,IF($N123="","",$N123),IFERROR(IF([1]入库吨位汇总!$K$122=0,"",[1]入库吨位汇总!$K$122),""))</f>
        <v/>
      </c>
      <c r="G123" s="52" t="str">
        <f aca="false">IF($V$4=0,IF($O123="","",$O123),IFERROR(IF([1]入库吨位汇总!$L$122=0,"",[1]入库吨位汇总!$L$122),""))</f>
        <v/>
      </c>
      <c r="H123" s="41" t="str">
        <f aca="false">IF($V$4=0,IF($P123="","",$P123),IFERROR(IF([1]入库吨位汇总!$H$122=0,"",[1]入库吨位汇总!$H$122),""))</f>
        <v/>
      </c>
      <c r="I123" s="41" t="str">
        <f aca="false">IF($V$4=0,IF($Q123="","",$Q123),IFERROR(IF([1]入库吨位汇总!$I$122=0,"",[1]入库吨位汇总!$I$122),""))</f>
        <v/>
      </c>
      <c r="J123" s="10"/>
      <c r="K123" s="10"/>
      <c r="L123" s="53"/>
      <c r="M123" s="53"/>
      <c r="N123" s="54"/>
      <c r="O123" s="54"/>
      <c r="P123" s="54"/>
      <c r="Q123" s="54"/>
      <c r="R123" s="55" t="n">
        <f aca="false">IF(AND($B123&lt;&gt;"",$C123&lt;&gt;""),1,0)</f>
        <v>0</v>
      </c>
      <c r="S123" s="55" t="n">
        <f aca="false">N(S122)+$R123</f>
        <v>22</v>
      </c>
    </row>
    <row r="124" customFormat="false" ht="13.5" hidden="false" customHeight="false" outlineLevel="0" collapsed="false">
      <c r="A124" s="9" t="n">
        <v>123</v>
      </c>
      <c r="B124" s="39" t="str">
        <f aca="false">IF($V$4=0,IF($J124="","",$J124),IFERROR(IF([1]入库吨位汇总!$B$123=0,"",[1]入库吨位汇总!$B$123),""))</f>
        <v/>
      </c>
      <c r="C124" s="39" t="str">
        <f aca="false">IF($V$4=0,IF($K124="","",$K124),IFERROR(IF([1]入库吨位汇总!$C$123=0,"",[1]入库吨位汇总!$C$123),""))</f>
        <v/>
      </c>
      <c r="D124" s="51" t="str">
        <f aca="false">IF($V$4=0,IF($L124="","",$L124),IFERROR(IF([1]入库吨位汇总!$D$123=0,"",[1]入库吨位汇总!$D$123),""))</f>
        <v/>
      </c>
      <c r="E124" s="51" t="str">
        <f aca="false">IF($V$4=0,IF($M124="","",$M124),IFERROR(IF([1]入库吨位汇总!$E$123=0,"",[1]入库吨位汇总!$E$123),""))</f>
        <v/>
      </c>
      <c r="F124" s="41" t="str">
        <f aca="false">IF($V$4=0,IF($N124="","",$N124),IFERROR(IF([1]入库吨位汇总!$K$123=0,"",[1]入库吨位汇总!$K$123),""))</f>
        <v/>
      </c>
      <c r="G124" s="52" t="str">
        <f aca="false">IF($V$4=0,IF($O124="","",$O124),IFERROR(IF([1]入库吨位汇总!$L$123=0,"",[1]入库吨位汇总!$L$123),""))</f>
        <v/>
      </c>
      <c r="H124" s="41" t="str">
        <f aca="false">IF($V$4=0,IF($P124="","",$P124),IFERROR(IF([1]入库吨位汇总!$H$123=0,"",[1]入库吨位汇总!$H$123),""))</f>
        <v/>
      </c>
      <c r="I124" s="41" t="str">
        <f aca="false">IF($V$4=0,IF($Q124="","",$Q124),IFERROR(IF([1]入库吨位汇总!$I$123=0,"",[1]入库吨位汇总!$I$123),""))</f>
        <v/>
      </c>
      <c r="J124" s="10"/>
      <c r="K124" s="10"/>
      <c r="L124" s="53"/>
      <c r="M124" s="53"/>
      <c r="N124" s="54"/>
      <c r="O124" s="54"/>
      <c r="P124" s="54"/>
      <c r="Q124" s="54"/>
      <c r="R124" s="55" t="n">
        <f aca="false">IF(AND($B124&lt;&gt;"",$C124&lt;&gt;""),1,0)</f>
        <v>0</v>
      </c>
      <c r="S124" s="55" t="n">
        <f aca="false">N(S123)+$R124</f>
        <v>22</v>
      </c>
    </row>
    <row r="125" customFormat="false" ht="13.5" hidden="false" customHeight="false" outlineLevel="0" collapsed="false">
      <c r="A125" s="9" t="n">
        <v>124</v>
      </c>
      <c r="B125" s="39" t="str">
        <f aca="false">IF($V$4=0,IF($J125="","",$J125),IFERROR(IF([1]入库吨位汇总!$B$124=0,"",[1]入库吨位汇总!$B$124),""))</f>
        <v/>
      </c>
      <c r="C125" s="39" t="str">
        <f aca="false">IF($V$4=0,IF($K125="","",$K125),IFERROR(IF([1]入库吨位汇总!$C$124=0,"",[1]入库吨位汇总!$C$124),""))</f>
        <v/>
      </c>
      <c r="D125" s="51" t="str">
        <f aca="false">IF($V$4=0,IF($L125="","",$L125),IFERROR(IF([1]入库吨位汇总!$D$124=0,"",[1]入库吨位汇总!$D$124),""))</f>
        <v/>
      </c>
      <c r="E125" s="51" t="str">
        <f aca="false">IF($V$4=0,IF($M125="","",$M125),IFERROR(IF([1]入库吨位汇总!$E$124=0,"",[1]入库吨位汇总!$E$124),""))</f>
        <v/>
      </c>
      <c r="F125" s="41" t="str">
        <f aca="false">IF($V$4=0,IF($N125="","",$N125),IFERROR(IF([1]入库吨位汇总!$K$124=0,"",[1]入库吨位汇总!$K$124),""))</f>
        <v/>
      </c>
      <c r="G125" s="52" t="str">
        <f aca="false">IF($V$4=0,IF($O125="","",$O125),IFERROR(IF([1]入库吨位汇总!$L$124=0,"",[1]入库吨位汇总!$L$124),""))</f>
        <v/>
      </c>
      <c r="H125" s="41" t="str">
        <f aca="false">IF($V$4=0,IF($P125="","",$P125),IFERROR(IF([1]入库吨位汇总!$H$124=0,"",[1]入库吨位汇总!$H$124),""))</f>
        <v/>
      </c>
      <c r="I125" s="41" t="str">
        <f aca="false">IF($V$4=0,IF($Q125="","",$Q125),IFERROR(IF([1]入库吨位汇总!$I$124=0,"",[1]入库吨位汇总!$I$124),""))</f>
        <v/>
      </c>
      <c r="J125" s="10"/>
      <c r="K125" s="10"/>
      <c r="L125" s="53"/>
      <c r="M125" s="53"/>
      <c r="N125" s="54"/>
      <c r="O125" s="54"/>
      <c r="P125" s="54"/>
      <c r="Q125" s="54"/>
      <c r="R125" s="55" t="n">
        <f aca="false">IF(AND($B125&lt;&gt;"",$C125&lt;&gt;""),1,0)</f>
        <v>0</v>
      </c>
      <c r="S125" s="55" t="n">
        <f aca="false">N(S124)+$R125</f>
        <v>22</v>
      </c>
    </row>
    <row r="126" customFormat="false" ht="13.5" hidden="false" customHeight="false" outlineLevel="0" collapsed="false">
      <c r="A126" s="9" t="n">
        <v>125</v>
      </c>
      <c r="B126" s="39" t="str">
        <f aca="false">IF($V$4=0,IF($J126="","",$J126),IFERROR(IF([1]入库吨位汇总!$B$125=0,"",[1]入库吨位汇总!$B$125),""))</f>
        <v/>
      </c>
      <c r="C126" s="39" t="str">
        <f aca="false">IF($V$4=0,IF($K126="","",$K126),IFERROR(IF([1]入库吨位汇总!$C$125=0,"",[1]入库吨位汇总!$C$125),""))</f>
        <v/>
      </c>
      <c r="D126" s="51" t="str">
        <f aca="false">IF($V$4=0,IF($L126="","",$L126),IFERROR(IF([1]入库吨位汇总!$D$125=0,"",[1]入库吨位汇总!$D$125),""))</f>
        <v/>
      </c>
      <c r="E126" s="51" t="str">
        <f aca="false">IF($V$4=0,IF($M126="","",$M126),IFERROR(IF([1]入库吨位汇总!$E$125=0,"",[1]入库吨位汇总!$E$125),""))</f>
        <v/>
      </c>
      <c r="F126" s="41" t="str">
        <f aca="false">IF($V$4=0,IF($N126="","",$N126),IFERROR(IF([1]入库吨位汇总!$K$125=0,"",[1]入库吨位汇总!$K$125),""))</f>
        <v/>
      </c>
      <c r="G126" s="52" t="str">
        <f aca="false">IF($V$4=0,IF($O126="","",$O126),IFERROR(IF([1]入库吨位汇总!$L$125=0,"",[1]入库吨位汇总!$L$125),""))</f>
        <v/>
      </c>
      <c r="H126" s="41" t="str">
        <f aca="false">IF($V$4=0,IF($P126="","",$P126),IFERROR(IF([1]入库吨位汇总!$H$125=0,"",[1]入库吨位汇总!$H$125),""))</f>
        <v/>
      </c>
      <c r="I126" s="41" t="str">
        <f aca="false">IF($V$4=0,IF($Q126="","",$Q126),IFERROR(IF([1]入库吨位汇总!$I$125=0,"",[1]入库吨位汇总!$I$125),""))</f>
        <v/>
      </c>
      <c r="J126" s="10"/>
      <c r="K126" s="10"/>
      <c r="L126" s="53"/>
      <c r="M126" s="53"/>
      <c r="N126" s="54"/>
      <c r="O126" s="54"/>
      <c r="P126" s="54"/>
      <c r="Q126" s="54"/>
      <c r="R126" s="55" t="n">
        <f aca="false">IF(AND($B126&lt;&gt;"",$C126&lt;&gt;""),1,0)</f>
        <v>0</v>
      </c>
      <c r="S126" s="55" t="n">
        <f aca="false">N(S125)+$R126</f>
        <v>22</v>
      </c>
    </row>
    <row r="127" customFormat="false" ht="13.5" hidden="false" customHeight="false" outlineLevel="0" collapsed="false">
      <c r="A127" s="9" t="n">
        <v>126</v>
      </c>
      <c r="B127" s="39" t="str">
        <f aca="false">IF($V$4=0,IF($J127="","",$J127),IFERROR(IF([1]入库吨位汇总!$B$126=0,"",[1]入库吨位汇总!$B$126),""))</f>
        <v/>
      </c>
      <c r="C127" s="39" t="str">
        <f aca="false">IF($V$4=0,IF($K127="","",$K127),IFERROR(IF([1]入库吨位汇总!$C$126=0,"",[1]入库吨位汇总!$C$126),""))</f>
        <v/>
      </c>
      <c r="D127" s="51" t="str">
        <f aca="false">IF($V$4=0,IF($L127="","",$L127),IFERROR(IF([1]入库吨位汇总!$D$126=0,"",[1]入库吨位汇总!$D$126),""))</f>
        <v/>
      </c>
      <c r="E127" s="51" t="str">
        <f aca="false">IF($V$4=0,IF($M127="","",$M127),IFERROR(IF([1]入库吨位汇总!$E$126=0,"",[1]入库吨位汇总!$E$126),""))</f>
        <v/>
      </c>
      <c r="F127" s="41" t="str">
        <f aca="false">IF($V$4=0,IF($N127="","",$N127),IFERROR(IF([1]入库吨位汇总!$K$126=0,"",[1]入库吨位汇总!$K$126),""))</f>
        <v/>
      </c>
      <c r="G127" s="52" t="str">
        <f aca="false">IF($V$4=0,IF($O127="","",$O127),IFERROR(IF([1]入库吨位汇总!$L$126=0,"",[1]入库吨位汇总!$L$126),""))</f>
        <v/>
      </c>
      <c r="H127" s="41" t="str">
        <f aca="false">IF($V$4=0,IF($P127="","",$P127),IFERROR(IF([1]入库吨位汇总!$H$126=0,"",[1]入库吨位汇总!$H$126),""))</f>
        <v/>
      </c>
      <c r="I127" s="41" t="str">
        <f aca="false">IF($V$4=0,IF($Q127="","",$Q127),IFERROR(IF([1]入库吨位汇总!$I$126=0,"",[1]入库吨位汇总!$I$126),""))</f>
        <v/>
      </c>
      <c r="J127" s="10"/>
      <c r="K127" s="10"/>
      <c r="L127" s="53"/>
      <c r="M127" s="53"/>
      <c r="N127" s="54"/>
      <c r="O127" s="54"/>
      <c r="P127" s="54"/>
      <c r="Q127" s="54"/>
      <c r="R127" s="55" t="n">
        <f aca="false">IF(AND($B127&lt;&gt;"",$C127&lt;&gt;""),1,0)</f>
        <v>0</v>
      </c>
      <c r="S127" s="55" t="n">
        <f aca="false">N(S126)+$R127</f>
        <v>22</v>
      </c>
    </row>
    <row r="128" customFormat="false" ht="13.5" hidden="false" customHeight="false" outlineLevel="0" collapsed="false">
      <c r="A128" s="9" t="n">
        <v>127</v>
      </c>
      <c r="B128" s="39" t="str">
        <f aca="false">IF($V$4=0,IF($J128="","",$J128),IFERROR(IF([1]入库吨位汇总!$B$127=0,"",[1]入库吨位汇总!$B$127),""))</f>
        <v/>
      </c>
      <c r="C128" s="39" t="str">
        <f aca="false">IF($V$4=0,IF($K128="","",$K128),IFERROR(IF([1]入库吨位汇总!$C$127=0,"",[1]入库吨位汇总!$C$127),""))</f>
        <v/>
      </c>
      <c r="D128" s="51" t="str">
        <f aca="false">IF($V$4=0,IF($L128="","",$L128),IFERROR(IF([1]入库吨位汇总!$D$127=0,"",[1]入库吨位汇总!$D$127),""))</f>
        <v/>
      </c>
      <c r="E128" s="51" t="str">
        <f aca="false">IF($V$4=0,IF($M128="","",$M128),IFERROR(IF([1]入库吨位汇总!$E$127=0,"",[1]入库吨位汇总!$E$127),""))</f>
        <v/>
      </c>
      <c r="F128" s="41" t="str">
        <f aca="false">IF($V$4=0,IF($N128="","",$N128),IFERROR(IF([1]入库吨位汇总!$K$127=0,"",[1]入库吨位汇总!$K$127),""))</f>
        <v/>
      </c>
      <c r="G128" s="52" t="str">
        <f aca="false">IF($V$4=0,IF($O128="","",$O128),IFERROR(IF([1]入库吨位汇总!$L$127=0,"",[1]入库吨位汇总!$L$127),""))</f>
        <v/>
      </c>
      <c r="H128" s="41" t="str">
        <f aca="false">IF($V$4=0,IF($P128="","",$P128),IFERROR(IF([1]入库吨位汇总!$H$127=0,"",[1]入库吨位汇总!$H$127),""))</f>
        <v/>
      </c>
      <c r="I128" s="41" t="str">
        <f aca="false">IF($V$4=0,IF($Q128="","",$Q128),IFERROR(IF([1]入库吨位汇总!$I$127=0,"",[1]入库吨位汇总!$I$127),""))</f>
        <v/>
      </c>
      <c r="J128" s="10"/>
      <c r="K128" s="10"/>
      <c r="L128" s="53"/>
      <c r="M128" s="53"/>
      <c r="N128" s="54"/>
      <c r="O128" s="54"/>
      <c r="P128" s="54"/>
      <c r="Q128" s="54"/>
      <c r="R128" s="55" t="n">
        <f aca="false">IF(AND($B128&lt;&gt;"",$C128&lt;&gt;""),1,0)</f>
        <v>0</v>
      </c>
      <c r="S128" s="55" t="n">
        <f aca="false">N(S127)+$R128</f>
        <v>22</v>
      </c>
    </row>
    <row r="129" customFormat="false" ht="13.5" hidden="false" customHeight="false" outlineLevel="0" collapsed="false">
      <c r="A129" s="9" t="n">
        <v>128</v>
      </c>
      <c r="B129" s="39" t="str">
        <f aca="false">IF($V$4=0,IF($J129="","",$J129),IFERROR(IF([1]入库吨位汇总!$B$128=0,"",[1]入库吨位汇总!$B$128),""))</f>
        <v/>
      </c>
      <c r="C129" s="39" t="str">
        <f aca="false">IF($V$4=0,IF($K129="","",$K129),IFERROR(IF([1]入库吨位汇总!$C$128=0,"",[1]入库吨位汇总!$C$128),""))</f>
        <v/>
      </c>
      <c r="D129" s="51" t="str">
        <f aca="false">IF($V$4=0,IF($L129="","",$L129),IFERROR(IF([1]入库吨位汇总!$D$128=0,"",[1]入库吨位汇总!$D$128),""))</f>
        <v/>
      </c>
      <c r="E129" s="51" t="str">
        <f aca="false">IF($V$4=0,IF($M129="","",$M129),IFERROR(IF([1]入库吨位汇总!$E$128=0,"",[1]入库吨位汇总!$E$128),""))</f>
        <v/>
      </c>
      <c r="F129" s="41" t="str">
        <f aca="false">IF($V$4=0,IF($N129="","",$N129),IFERROR(IF([1]入库吨位汇总!$K$128=0,"",[1]入库吨位汇总!$K$128),""))</f>
        <v/>
      </c>
      <c r="G129" s="52" t="str">
        <f aca="false">IF($V$4=0,IF($O129="","",$O129),IFERROR(IF([1]入库吨位汇总!$L$128=0,"",[1]入库吨位汇总!$L$128),""))</f>
        <v/>
      </c>
      <c r="H129" s="41" t="str">
        <f aca="false">IF($V$4=0,IF($P129="","",$P129),IFERROR(IF([1]入库吨位汇总!$H$128=0,"",[1]入库吨位汇总!$H$128),""))</f>
        <v/>
      </c>
      <c r="I129" s="41" t="str">
        <f aca="false">IF($V$4=0,IF($Q129="","",$Q129),IFERROR(IF([1]入库吨位汇总!$I$128=0,"",[1]入库吨位汇总!$I$128),""))</f>
        <v/>
      </c>
      <c r="J129" s="10"/>
      <c r="K129" s="10"/>
      <c r="L129" s="53"/>
      <c r="M129" s="53"/>
      <c r="N129" s="54"/>
      <c r="O129" s="54"/>
      <c r="P129" s="54"/>
      <c r="Q129" s="54"/>
      <c r="R129" s="55" t="n">
        <f aca="false">IF(AND($B129&lt;&gt;"",$C129&lt;&gt;""),1,0)</f>
        <v>0</v>
      </c>
      <c r="S129" s="55" t="n">
        <f aca="false">N(S128)+$R129</f>
        <v>22</v>
      </c>
    </row>
    <row r="130" customFormat="false" ht="13.5" hidden="false" customHeight="false" outlineLevel="0" collapsed="false">
      <c r="A130" s="9" t="n">
        <v>129</v>
      </c>
      <c r="B130" s="39" t="str">
        <f aca="false">IF($V$4=0,IF($J130="","",$J130),IFERROR(IF([1]入库吨位汇总!$B$129=0,"",[1]入库吨位汇总!$B$129),""))</f>
        <v/>
      </c>
      <c r="C130" s="39" t="str">
        <f aca="false">IF($V$4=0,IF($K130="","",$K130),IFERROR(IF([1]入库吨位汇总!$C$129=0,"",[1]入库吨位汇总!$C$129),""))</f>
        <v/>
      </c>
      <c r="D130" s="51" t="str">
        <f aca="false">IF($V$4=0,IF($L130="","",$L130),IFERROR(IF([1]入库吨位汇总!$D$129=0,"",[1]入库吨位汇总!$D$129),""))</f>
        <v/>
      </c>
      <c r="E130" s="51" t="str">
        <f aca="false">IF($V$4=0,IF($M130="","",$M130),IFERROR(IF([1]入库吨位汇总!$E$129=0,"",[1]入库吨位汇总!$E$129),""))</f>
        <v/>
      </c>
      <c r="F130" s="41" t="str">
        <f aca="false">IF($V$4=0,IF($N130="","",$N130),IFERROR(IF([1]入库吨位汇总!$K$129=0,"",[1]入库吨位汇总!$K$129),""))</f>
        <v/>
      </c>
      <c r="G130" s="52" t="str">
        <f aca="false">IF($V$4=0,IF($O130="","",$O130),IFERROR(IF([1]入库吨位汇总!$L$129=0,"",[1]入库吨位汇总!$L$129),""))</f>
        <v/>
      </c>
      <c r="H130" s="41" t="str">
        <f aca="false">IF($V$4=0,IF($P130="","",$P130),IFERROR(IF([1]入库吨位汇总!$H$129=0,"",[1]入库吨位汇总!$H$129),""))</f>
        <v/>
      </c>
      <c r="I130" s="41" t="str">
        <f aca="false">IF($V$4=0,IF($Q130="","",$Q130),IFERROR(IF([1]入库吨位汇总!$I$129=0,"",[1]入库吨位汇总!$I$129),""))</f>
        <v/>
      </c>
      <c r="J130" s="10"/>
      <c r="K130" s="10"/>
      <c r="L130" s="53"/>
      <c r="M130" s="53"/>
      <c r="N130" s="54"/>
      <c r="O130" s="54"/>
      <c r="P130" s="54"/>
      <c r="Q130" s="54"/>
      <c r="R130" s="55" t="n">
        <f aca="false">IF(AND($B130&lt;&gt;"",$C130&lt;&gt;""),1,0)</f>
        <v>0</v>
      </c>
      <c r="S130" s="55" t="n">
        <f aca="false">N(S129)+$R130</f>
        <v>22</v>
      </c>
    </row>
    <row r="131" customFormat="false" ht="13.5" hidden="false" customHeight="false" outlineLevel="0" collapsed="false">
      <c r="A131" s="9" t="n">
        <v>130</v>
      </c>
      <c r="B131" s="39" t="str">
        <f aca="false">IF($V$4=0,IF($J131="","",$J131),IFERROR(IF([1]入库吨位汇总!$B$130=0,"",[1]入库吨位汇总!$B$130),""))</f>
        <v/>
      </c>
      <c r="C131" s="39" t="str">
        <f aca="false">IF($V$4=0,IF($K131="","",$K131),IFERROR(IF([1]入库吨位汇总!$C$130=0,"",[1]入库吨位汇总!$C$130),""))</f>
        <v/>
      </c>
      <c r="D131" s="51" t="str">
        <f aca="false">IF($V$4=0,IF($L131="","",$L131),IFERROR(IF([1]入库吨位汇总!$D$130=0,"",[1]入库吨位汇总!$D$130),""))</f>
        <v/>
      </c>
      <c r="E131" s="51" t="str">
        <f aca="false">IF($V$4=0,IF($M131="","",$M131),IFERROR(IF([1]入库吨位汇总!$E$130=0,"",[1]入库吨位汇总!$E$130),""))</f>
        <v/>
      </c>
      <c r="F131" s="41" t="str">
        <f aca="false">IF($V$4=0,IF($N131="","",$N131),IFERROR(IF([1]入库吨位汇总!$K$130=0,"",[1]入库吨位汇总!$K$130),""))</f>
        <v/>
      </c>
      <c r="G131" s="52" t="str">
        <f aca="false">IF($V$4=0,IF($O131="","",$O131),IFERROR(IF([1]入库吨位汇总!$L$130=0,"",[1]入库吨位汇总!$L$130),""))</f>
        <v/>
      </c>
      <c r="H131" s="41" t="str">
        <f aca="false">IF($V$4=0,IF($P131="","",$P131),IFERROR(IF([1]入库吨位汇总!$H$130=0,"",[1]入库吨位汇总!$H$130),""))</f>
        <v/>
      </c>
      <c r="I131" s="41" t="str">
        <f aca="false">IF($V$4=0,IF($Q131="","",$Q131),IFERROR(IF([1]入库吨位汇总!$I$130=0,"",[1]入库吨位汇总!$I$130),""))</f>
        <v/>
      </c>
      <c r="J131" s="10"/>
      <c r="K131" s="10"/>
      <c r="L131" s="53"/>
      <c r="M131" s="53"/>
      <c r="N131" s="54"/>
      <c r="O131" s="54"/>
      <c r="P131" s="54"/>
      <c r="Q131" s="54"/>
      <c r="R131" s="55" t="n">
        <f aca="false">IF(AND($B131&lt;&gt;"",$C131&lt;&gt;""),1,0)</f>
        <v>0</v>
      </c>
      <c r="S131" s="55" t="n">
        <f aca="false">N(S130)+$R131</f>
        <v>22</v>
      </c>
    </row>
    <row r="132" customFormat="false" ht="13.5" hidden="false" customHeight="false" outlineLevel="0" collapsed="false">
      <c r="A132" s="9" t="n">
        <v>131</v>
      </c>
      <c r="B132" s="39" t="str">
        <f aca="false">IF($V$4=0,IF($J132="","",$J132),IFERROR(IF([1]入库吨位汇总!$B$131=0,"",[1]入库吨位汇总!$B$131),""))</f>
        <v/>
      </c>
      <c r="C132" s="39" t="str">
        <f aca="false">IF($V$4=0,IF($K132="","",$K132),IFERROR(IF([1]入库吨位汇总!$C$131=0,"",[1]入库吨位汇总!$C$131),""))</f>
        <v/>
      </c>
      <c r="D132" s="51" t="str">
        <f aca="false">IF($V$4=0,IF($L132="","",$L132),IFERROR(IF([1]入库吨位汇总!$D$131=0,"",[1]入库吨位汇总!$D$131),""))</f>
        <v/>
      </c>
      <c r="E132" s="51" t="str">
        <f aca="false">IF($V$4=0,IF($M132="","",$M132),IFERROR(IF([1]入库吨位汇总!$E$131=0,"",[1]入库吨位汇总!$E$131),""))</f>
        <v/>
      </c>
      <c r="F132" s="41" t="str">
        <f aca="false">IF($V$4=0,IF($N132="","",$N132),IFERROR(IF([1]入库吨位汇总!$K$131=0,"",[1]入库吨位汇总!$K$131),""))</f>
        <v/>
      </c>
      <c r="G132" s="52" t="str">
        <f aca="false">IF($V$4=0,IF($O132="","",$O132),IFERROR(IF([1]入库吨位汇总!$L$131=0,"",[1]入库吨位汇总!$L$131),""))</f>
        <v/>
      </c>
      <c r="H132" s="41" t="str">
        <f aca="false">IF($V$4=0,IF($P132="","",$P132),IFERROR(IF([1]入库吨位汇总!$H$131=0,"",[1]入库吨位汇总!$H$131),""))</f>
        <v/>
      </c>
      <c r="I132" s="41" t="str">
        <f aca="false">IF($V$4=0,IF($Q132="","",$Q132),IFERROR(IF([1]入库吨位汇总!$I$131=0,"",[1]入库吨位汇总!$I$131),""))</f>
        <v/>
      </c>
      <c r="J132" s="10"/>
      <c r="K132" s="10"/>
      <c r="L132" s="53"/>
      <c r="M132" s="53"/>
      <c r="N132" s="54"/>
      <c r="O132" s="54"/>
      <c r="P132" s="54"/>
      <c r="Q132" s="54"/>
      <c r="R132" s="55" t="n">
        <f aca="false">IF(AND($B132&lt;&gt;"",$C132&lt;&gt;""),1,0)</f>
        <v>0</v>
      </c>
      <c r="S132" s="55" t="n">
        <f aca="false">N(S131)+$R132</f>
        <v>22</v>
      </c>
    </row>
    <row r="133" customFormat="false" ht="13.5" hidden="false" customHeight="false" outlineLevel="0" collapsed="false">
      <c r="A133" s="9" t="n">
        <v>132</v>
      </c>
      <c r="B133" s="39" t="str">
        <f aca="false">IF($V$4=0,IF($J133="","",$J133),IFERROR(IF([1]入库吨位汇总!$B$132=0,"",[1]入库吨位汇总!$B$132),""))</f>
        <v/>
      </c>
      <c r="C133" s="39" t="str">
        <f aca="false">IF($V$4=0,IF($K133="","",$K133),IFERROR(IF([1]入库吨位汇总!$C$132=0,"",[1]入库吨位汇总!$C$132),""))</f>
        <v/>
      </c>
      <c r="D133" s="51" t="str">
        <f aca="false">IF($V$4=0,IF($L133="","",$L133),IFERROR(IF([1]入库吨位汇总!$D$132=0,"",[1]入库吨位汇总!$D$132),""))</f>
        <v/>
      </c>
      <c r="E133" s="51" t="str">
        <f aca="false">IF($V$4=0,IF($M133="","",$M133),IFERROR(IF([1]入库吨位汇总!$E$132=0,"",[1]入库吨位汇总!$E$132),""))</f>
        <v/>
      </c>
      <c r="F133" s="41" t="str">
        <f aca="false">IF($V$4=0,IF($N133="","",$N133),IFERROR(IF([1]入库吨位汇总!$K$132=0,"",[1]入库吨位汇总!$K$132),""))</f>
        <v/>
      </c>
      <c r="G133" s="52" t="str">
        <f aca="false">IF($V$4=0,IF($O133="","",$O133),IFERROR(IF([1]入库吨位汇总!$L$132=0,"",[1]入库吨位汇总!$L$132),""))</f>
        <v/>
      </c>
      <c r="H133" s="41" t="str">
        <f aca="false">IF($V$4=0,IF($P133="","",$P133),IFERROR(IF([1]入库吨位汇总!$H$132=0,"",[1]入库吨位汇总!$H$132),""))</f>
        <v/>
      </c>
      <c r="I133" s="41" t="str">
        <f aca="false">IF($V$4=0,IF($Q133="","",$Q133),IFERROR(IF([1]入库吨位汇总!$I$132=0,"",[1]入库吨位汇总!$I$132),""))</f>
        <v/>
      </c>
      <c r="J133" s="10"/>
      <c r="K133" s="10"/>
      <c r="L133" s="53"/>
      <c r="M133" s="53"/>
      <c r="N133" s="54"/>
      <c r="O133" s="54"/>
      <c r="P133" s="54"/>
      <c r="Q133" s="54"/>
      <c r="R133" s="55" t="n">
        <f aca="false">IF(AND($B133&lt;&gt;"",$C133&lt;&gt;""),1,0)</f>
        <v>0</v>
      </c>
      <c r="S133" s="55" t="n">
        <f aca="false">N(S132)+$R133</f>
        <v>22</v>
      </c>
    </row>
    <row r="134" customFormat="false" ht="13.5" hidden="false" customHeight="false" outlineLevel="0" collapsed="false">
      <c r="A134" s="9" t="n">
        <v>133</v>
      </c>
      <c r="B134" s="39" t="str">
        <f aca="false">IF($V$4=0,IF($J134="","",$J134),IFERROR(IF([1]入库吨位汇总!$B$133=0,"",[1]入库吨位汇总!$B$133),""))</f>
        <v/>
      </c>
      <c r="C134" s="39" t="str">
        <f aca="false">IF($V$4=0,IF($K134="","",$K134),IFERROR(IF([1]入库吨位汇总!$C$133=0,"",[1]入库吨位汇总!$C$133),""))</f>
        <v/>
      </c>
      <c r="D134" s="51" t="str">
        <f aca="false">IF($V$4=0,IF($L134="","",$L134),IFERROR(IF([1]入库吨位汇总!$D$133=0,"",[1]入库吨位汇总!$D$133),""))</f>
        <v/>
      </c>
      <c r="E134" s="51" t="str">
        <f aca="false">IF($V$4=0,IF($M134="","",$M134),IFERROR(IF([1]入库吨位汇总!$E$133=0,"",[1]入库吨位汇总!$E$133),""))</f>
        <v/>
      </c>
      <c r="F134" s="41" t="str">
        <f aca="false">IF($V$4=0,IF($N134="","",$N134),IFERROR(IF([1]入库吨位汇总!$K$133=0,"",[1]入库吨位汇总!$K$133),""))</f>
        <v/>
      </c>
      <c r="G134" s="52" t="str">
        <f aca="false">IF($V$4=0,IF($O134="","",$O134),IFERROR(IF([1]入库吨位汇总!$L$133=0,"",[1]入库吨位汇总!$L$133),""))</f>
        <v/>
      </c>
      <c r="H134" s="41" t="str">
        <f aca="false">IF($V$4=0,IF($P134="","",$P134),IFERROR(IF([1]入库吨位汇总!$H$133=0,"",[1]入库吨位汇总!$H$133),""))</f>
        <v/>
      </c>
      <c r="I134" s="41" t="str">
        <f aca="false">IF($V$4=0,IF($Q134="","",$Q134),IFERROR(IF([1]入库吨位汇总!$I$133=0,"",[1]入库吨位汇总!$I$133),""))</f>
        <v/>
      </c>
      <c r="J134" s="10"/>
      <c r="K134" s="10"/>
      <c r="L134" s="53"/>
      <c r="M134" s="53"/>
      <c r="N134" s="54"/>
      <c r="O134" s="54"/>
      <c r="P134" s="54"/>
      <c r="Q134" s="54"/>
      <c r="R134" s="55" t="n">
        <f aca="false">IF(AND($B134&lt;&gt;"",$C134&lt;&gt;""),1,0)</f>
        <v>0</v>
      </c>
      <c r="S134" s="55" t="n">
        <f aca="false">N(S133)+$R134</f>
        <v>22</v>
      </c>
    </row>
    <row r="135" customFormat="false" ht="13.5" hidden="false" customHeight="false" outlineLevel="0" collapsed="false">
      <c r="A135" s="9" t="n">
        <v>134</v>
      </c>
      <c r="B135" s="39" t="str">
        <f aca="false">IF($V$4=0,IF($J135="","",$J135),IFERROR(IF([1]入库吨位汇总!$B$134=0,"",[1]入库吨位汇总!$B$134),""))</f>
        <v/>
      </c>
      <c r="C135" s="39" t="str">
        <f aca="false">IF($V$4=0,IF($K135="","",$K135),IFERROR(IF([1]入库吨位汇总!$C$134=0,"",[1]入库吨位汇总!$C$134),""))</f>
        <v/>
      </c>
      <c r="D135" s="51" t="str">
        <f aca="false">IF($V$4=0,IF($L135="","",$L135),IFERROR(IF([1]入库吨位汇总!$D$134=0,"",[1]入库吨位汇总!$D$134),""))</f>
        <v/>
      </c>
      <c r="E135" s="51" t="str">
        <f aca="false">IF($V$4=0,IF($M135="","",$M135),IFERROR(IF([1]入库吨位汇总!$E$134=0,"",[1]入库吨位汇总!$E$134),""))</f>
        <v/>
      </c>
      <c r="F135" s="41" t="str">
        <f aca="false">IF($V$4=0,IF($N135="","",$N135),IFERROR(IF([1]入库吨位汇总!$K$134=0,"",[1]入库吨位汇总!$K$134),""))</f>
        <v/>
      </c>
      <c r="G135" s="52" t="str">
        <f aca="false">IF($V$4=0,IF($O135="","",$O135),IFERROR(IF([1]入库吨位汇总!$L$134=0,"",[1]入库吨位汇总!$L$134),""))</f>
        <v/>
      </c>
      <c r="H135" s="41" t="str">
        <f aca="false">IF($V$4=0,IF($P135="","",$P135),IFERROR(IF([1]入库吨位汇总!$H$134=0,"",[1]入库吨位汇总!$H$134),""))</f>
        <v/>
      </c>
      <c r="I135" s="41" t="str">
        <f aca="false">IF($V$4=0,IF($Q135="","",$Q135),IFERROR(IF([1]入库吨位汇总!$I$134=0,"",[1]入库吨位汇总!$I$134),""))</f>
        <v/>
      </c>
      <c r="J135" s="10"/>
      <c r="K135" s="10"/>
      <c r="L135" s="53"/>
      <c r="M135" s="53"/>
      <c r="N135" s="54"/>
      <c r="O135" s="54"/>
      <c r="P135" s="54"/>
      <c r="Q135" s="54"/>
      <c r="R135" s="55" t="n">
        <f aca="false">IF(AND($B135&lt;&gt;"",$C135&lt;&gt;""),1,0)</f>
        <v>0</v>
      </c>
      <c r="S135" s="55" t="n">
        <f aca="false">N(S134)+$R135</f>
        <v>22</v>
      </c>
    </row>
    <row r="136" customFormat="false" ht="13.5" hidden="false" customHeight="false" outlineLevel="0" collapsed="false">
      <c r="A136" s="9" t="n">
        <v>135</v>
      </c>
      <c r="B136" s="39" t="str">
        <f aca="false">IF($V$4=0,IF($J136="","",$J136),IFERROR(IF([1]入库吨位汇总!$B$135=0,"",[1]入库吨位汇总!$B$135),""))</f>
        <v/>
      </c>
      <c r="C136" s="39" t="str">
        <f aca="false">IF($V$4=0,IF($K136="","",$K136),IFERROR(IF([1]入库吨位汇总!$C$135=0,"",[1]入库吨位汇总!$C$135),""))</f>
        <v/>
      </c>
      <c r="D136" s="51" t="str">
        <f aca="false">IF($V$4=0,IF($L136="","",$L136),IFERROR(IF([1]入库吨位汇总!$D$135=0,"",[1]入库吨位汇总!$D$135),""))</f>
        <v/>
      </c>
      <c r="E136" s="51" t="str">
        <f aca="false">IF($V$4=0,IF($M136="","",$M136),IFERROR(IF([1]入库吨位汇总!$E$135=0,"",[1]入库吨位汇总!$E$135),""))</f>
        <v/>
      </c>
      <c r="F136" s="41" t="str">
        <f aca="false">IF($V$4=0,IF($N136="","",$N136),IFERROR(IF([1]入库吨位汇总!$K$135=0,"",[1]入库吨位汇总!$K$135),""))</f>
        <v/>
      </c>
      <c r="G136" s="52" t="str">
        <f aca="false">IF($V$4=0,IF($O136="","",$O136),IFERROR(IF([1]入库吨位汇总!$L$135=0,"",[1]入库吨位汇总!$L$135),""))</f>
        <v/>
      </c>
      <c r="H136" s="41" t="str">
        <f aca="false">IF($V$4=0,IF($P136="","",$P136),IFERROR(IF([1]入库吨位汇总!$H$135=0,"",[1]入库吨位汇总!$H$135),""))</f>
        <v/>
      </c>
      <c r="I136" s="41" t="str">
        <f aca="false">IF($V$4=0,IF($Q136="","",$Q136),IFERROR(IF([1]入库吨位汇总!$I$135=0,"",[1]入库吨位汇总!$I$135),""))</f>
        <v/>
      </c>
      <c r="J136" s="10"/>
      <c r="K136" s="10"/>
      <c r="L136" s="53"/>
      <c r="M136" s="53"/>
      <c r="N136" s="54"/>
      <c r="O136" s="54"/>
      <c r="P136" s="54"/>
      <c r="Q136" s="54"/>
      <c r="R136" s="55" t="n">
        <f aca="false">IF(AND($B136&lt;&gt;"",$C136&lt;&gt;""),1,0)</f>
        <v>0</v>
      </c>
      <c r="S136" s="55" t="n">
        <f aca="false">N(S135)+$R136</f>
        <v>22</v>
      </c>
    </row>
    <row r="137" customFormat="false" ht="13.5" hidden="false" customHeight="false" outlineLevel="0" collapsed="false">
      <c r="A137" s="9" t="n">
        <v>136</v>
      </c>
      <c r="B137" s="39" t="str">
        <f aca="false">IF($V$4=0,IF($J137="","",$J137),IFERROR(IF([1]入库吨位汇总!$B$136=0,"",[1]入库吨位汇总!$B$136),""))</f>
        <v/>
      </c>
      <c r="C137" s="39" t="str">
        <f aca="false">IF($V$4=0,IF($K137="","",$K137),IFERROR(IF([1]入库吨位汇总!$C$136=0,"",[1]入库吨位汇总!$C$136),""))</f>
        <v/>
      </c>
      <c r="D137" s="51" t="str">
        <f aca="false">IF($V$4=0,IF($L137="","",$L137),IFERROR(IF([1]入库吨位汇总!$D$136=0,"",[1]入库吨位汇总!$D$136),""))</f>
        <v/>
      </c>
      <c r="E137" s="51" t="str">
        <f aca="false">IF($V$4=0,IF($M137="","",$M137),IFERROR(IF([1]入库吨位汇总!$E$136=0,"",[1]入库吨位汇总!$E$136),""))</f>
        <v/>
      </c>
      <c r="F137" s="41" t="str">
        <f aca="false">IF($V$4=0,IF($N137="","",$N137),IFERROR(IF([1]入库吨位汇总!$K$136=0,"",[1]入库吨位汇总!$K$136),""))</f>
        <v/>
      </c>
      <c r="G137" s="52" t="str">
        <f aca="false">IF($V$4=0,IF($O137="","",$O137),IFERROR(IF([1]入库吨位汇总!$L$136=0,"",[1]入库吨位汇总!$L$136),""))</f>
        <v/>
      </c>
      <c r="H137" s="41" t="str">
        <f aca="false">IF($V$4=0,IF($P137="","",$P137),IFERROR(IF([1]入库吨位汇总!$H$136=0,"",[1]入库吨位汇总!$H$136),""))</f>
        <v/>
      </c>
      <c r="I137" s="41" t="str">
        <f aca="false">IF($V$4=0,IF($Q137="","",$Q137),IFERROR(IF([1]入库吨位汇总!$I$136=0,"",[1]入库吨位汇总!$I$136),""))</f>
        <v/>
      </c>
      <c r="J137" s="10"/>
      <c r="K137" s="10"/>
      <c r="L137" s="53"/>
      <c r="M137" s="53"/>
      <c r="N137" s="54"/>
      <c r="O137" s="54"/>
      <c r="P137" s="54"/>
      <c r="Q137" s="54"/>
      <c r="R137" s="55" t="n">
        <f aca="false">IF(AND($B137&lt;&gt;"",$C137&lt;&gt;""),1,0)</f>
        <v>0</v>
      </c>
      <c r="S137" s="55" t="n">
        <f aca="false">N(S136)+$R137</f>
        <v>22</v>
      </c>
    </row>
    <row r="138" customFormat="false" ht="13.5" hidden="false" customHeight="false" outlineLevel="0" collapsed="false">
      <c r="A138" s="9" t="n">
        <v>137</v>
      </c>
      <c r="B138" s="39" t="str">
        <f aca="false">IF($V$4=0,IF($J138="","",$J138),IFERROR(IF([1]入库吨位汇总!$B$137=0,"",[1]入库吨位汇总!$B$137),""))</f>
        <v/>
      </c>
      <c r="C138" s="39" t="str">
        <f aca="false">IF($V$4=0,IF($K138="","",$K138),IFERROR(IF([1]入库吨位汇总!$C$137=0,"",[1]入库吨位汇总!$C$137),""))</f>
        <v/>
      </c>
      <c r="D138" s="51" t="str">
        <f aca="false">IF($V$4=0,IF($L138="","",$L138),IFERROR(IF([1]入库吨位汇总!$D$137=0,"",[1]入库吨位汇总!$D$137),""))</f>
        <v/>
      </c>
      <c r="E138" s="51" t="str">
        <f aca="false">IF($V$4=0,IF($M138="","",$M138),IFERROR(IF([1]入库吨位汇总!$E$137=0,"",[1]入库吨位汇总!$E$137),""))</f>
        <v/>
      </c>
      <c r="F138" s="41" t="str">
        <f aca="false">IF($V$4=0,IF($N138="","",$N138),IFERROR(IF([1]入库吨位汇总!$K$137=0,"",[1]入库吨位汇总!$K$137),""))</f>
        <v/>
      </c>
      <c r="G138" s="52" t="str">
        <f aca="false">IF($V$4=0,IF($O138="","",$O138),IFERROR(IF([1]入库吨位汇总!$L$137=0,"",[1]入库吨位汇总!$L$137),""))</f>
        <v/>
      </c>
      <c r="H138" s="41" t="str">
        <f aca="false">IF($V$4=0,IF($P138="","",$P138),IFERROR(IF([1]入库吨位汇总!$H$137=0,"",[1]入库吨位汇总!$H$137),""))</f>
        <v/>
      </c>
      <c r="I138" s="41" t="str">
        <f aca="false">IF($V$4=0,IF($Q138="","",$Q138),IFERROR(IF([1]入库吨位汇总!$I$137=0,"",[1]入库吨位汇总!$I$137),""))</f>
        <v/>
      </c>
      <c r="J138" s="10"/>
      <c r="K138" s="10"/>
      <c r="L138" s="53"/>
      <c r="M138" s="53"/>
      <c r="N138" s="54"/>
      <c r="O138" s="54"/>
      <c r="P138" s="54"/>
      <c r="Q138" s="54"/>
      <c r="R138" s="55" t="n">
        <f aca="false">IF(AND($B138&lt;&gt;"",$C138&lt;&gt;""),1,0)</f>
        <v>0</v>
      </c>
      <c r="S138" s="55" t="n">
        <f aca="false">N(S137)+$R138</f>
        <v>22</v>
      </c>
    </row>
    <row r="139" customFormat="false" ht="13.5" hidden="false" customHeight="false" outlineLevel="0" collapsed="false">
      <c r="A139" s="9" t="n">
        <v>138</v>
      </c>
      <c r="B139" s="39" t="str">
        <f aca="false">IF($V$4=0,IF($J139="","",$J139),IFERROR(IF([1]入库吨位汇总!$B$138=0,"",[1]入库吨位汇总!$B$138),""))</f>
        <v/>
      </c>
      <c r="C139" s="39" t="str">
        <f aca="false">IF($V$4=0,IF($K139="","",$K139),IFERROR(IF([1]入库吨位汇总!$C$138=0,"",[1]入库吨位汇总!$C$138),""))</f>
        <v/>
      </c>
      <c r="D139" s="51" t="str">
        <f aca="false">IF($V$4=0,IF($L139="","",$L139),IFERROR(IF([1]入库吨位汇总!$D$138=0,"",[1]入库吨位汇总!$D$138),""))</f>
        <v/>
      </c>
      <c r="E139" s="51" t="str">
        <f aca="false">IF($V$4=0,IF($M139="","",$M139),IFERROR(IF([1]入库吨位汇总!$E$138=0,"",[1]入库吨位汇总!$E$138),""))</f>
        <v/>
      </c>
      <c r="F139" s="41" t="str">
        <f aca="false">IF($V$4=0,IF($N139="","",$N139),IFERROR(IF([1]入库吨位汇总!$K$138=0,"",[1]入库吨位汇总!$K$138),""))</f>
        <v/>
      </c>
      <c r="G139" s="52" t="str">
        <f aca="false">IF($V$4=0,IF($O139="","",$O139),IFERROR(IF([1]入库吨位汇总!$L$138=0,"",[1]入库吨位汇总!$L$138),""))</f>
        <v/>
      </c>
      <c r="H139" s="41" t="str">
        <f aca="false">IF($V$4=0,IF($P139="","",$P139),IFERROR(IF([1]入库吨位汇总!$H$138=0,"",[1]入库吨位汇总!$H$138),""))</f>
        <v/>
      </c>
      <c r="I139" s="41" t="str">
        <f aca="false">IF($V$4=0,IF($Q139="","",$Q139),IFERROR(IF([1]入库吨位汇总!$I$138=0,"",[1]入库吨位汇总!$I$138),""))</f>
        <v/>
      </c>
      <c r="J139" s="10"/>
      <c r="K139" s="10"/>
      <c r="L139" s="53"/>
      <c r="M139" s="53"/>
      <c r="N139" s="54"/>
      <c r="O139" s="54"/>
      <c r="P139" s="54"/>
      <c r="Q139" s="54"/>
      <c r="R139" s="55" t="n">
        <f aca="false">IF(AND($B139&lt;&gt;"",$C139&lt;&gt;""),1,0)</f>
        <v>0</v>
      </c>
      <c r="S139" s="55" t="n">
        <f aca="false">N(S138)+$R139</f>
        <v>22</v>
      </c>
    </row>
    <row r="140" customFormat="false" ht="13.5" hidden="false" customHeight="false" outlineLevel="0" collapsed="false">
      <c r="A140" s="9" t="n">
        <v>139</v>
      </c>
      <c r="B140" s="39" t="str">
        <f aca="false">IF($V$4=0,IF($J140="","",$J140),IFERROR(IF([1]入库吨位汇总!$B$139=0,"",[1]入库吨位汇总!$B$139),""))</f>
        <v/>
      </c>
      <c r="C140" s="39" t="str">
        <f aca="false">IF($V$4=0,IF($K140="","",$K140),IFERROR(IF([1]入库吨位汇总!$C$139=0,"",[1]入库吨位汇总!$C$139),""))</f>
        <v/>
      </c>
      <c r="D140" s="51" t="str">
        <f aca="false">IF($V$4=0,IF($L140="","",$L140),IFERROR(IF([1]入库吨位汇总!$D$139=0,"",[1]入库吨位汇总!$D$139),""))</f>
        <v/>
      </c>
      <c r="E140" s="51" t="str">
        <f aca="false">IF($V$4=0,IF($M140="","",$M140),IFERROR(IF([1]入库吨位汇总!$E$139=0,"",[1]入库吨位汇总!$E$139),""))</f>
        <v/>
      </c>
      <c r="F140" s="41" t="str">
        <f aca="false">IF($V$4=0,IF($N140="","",$N140),IFERROR(IF([1]入库吨位汇总!$K$139=0,"",[1]入库吨位汇总!$K$139),""))</f>
        <v/>
      </c>
      <c r="G140" s="52" t="str">
        <f aca="false">IF($V$4=0,IF($O140="","",$O140),IFERROR(IF([1]入库吨位汇总!$L$139=0,"",[1]入库吨位汇总!$L$139),""))</f>
        <v/>
      </c>
      <c r="H140" s="41" t="str">
        <f aca="false">IF($V$4=0,IF($P140="","",$P140),IFERROR(IF([1]入库吨位汇总!$H$139=0,"",[1]入库吨位汇总!$H$139),""))</f>
        <v/>
      </c>
      <c r="I140" s="41" t="str">
        <f aca="false">IF($V$4=0,IF($Q140="","",$Q140),IFERROR(IF([1]入库吨位汇总!$I$139=0,"",[1]入库吨位汇总!$I$139),""))</f>
        <v/>
      </c>
      <c r="J140" s="10"/>
      <c r="K140" s="10"/>
      <c r="L140" s="53"/>
      <c r="M140" s="53"/>
      <c r="N140" s="54"/>
      <c r="O140" s="54"/>
      <c r="P140" s="54"/>
      <c r="Q140" s="54"/>
      <c r="R140" s="55" t="n">
        <f aca="false">IF(AND($B140&lt;&gt;"",$C140&lt;&gt;""),1,0)</f>
        <v>0</v>
      </c>
      <c r="S140" s="55" t="n">
        <f aca="false">N(S139)+$R140</f>
        <v>22</v>
      </c>
    </row>
    <row r="141" customFormat="false" ht="13.5" hidden="false" customHeight="false" outlineLevel="0" collapsed="false">
      <c r="A141" s="9" t="n">
        <v>140</v>
      </c>
      <c r="B141" s="39" t="str">
        <f aca="false">IF($V$4=0,IF($J141="","",$J141),IFERROR(IF([1]入库吨位汇总!$B$140=0,"",[1]入库吨位汇总!$B$140),""))</f>
        <v/>
      </c>
      <c r="C141" s="39" t="str">
        <f aca="false">IF($V$4=0,IF($K141="","",$K141),IFERROR(IF([1]入库吨位汇总!$C$140=0,"",[1]入库吨位汇总!$C$140),""))</f>
        <v/>
      </c>
      <c r="D141" s="51" t="str">
        <f aca="false">IF($V$4=0,IF($L141="","",$L141),IFERROR(IF([1]入库吨位汇总!$D$140=0,"",[1]入库吨位汇总!$D$140),""))</f>
        <v/>
      </c>
      <c r="E141" s="51" t="str">
        <f aca="false">IF($V$4=0,IF($M141="","",$M141),IFERROR(IF([1]入库吨位汇总!$E$140=0,"",[1]入库吨位汇总!$E$140),""))</f>
        <v/>
      </c>
      <c r="F141" s="41" t="str">
        <f aca="false">IF($V$4=0,IF($N141="","",$N141),IFERROR(IF([1]入库吨位汇总!$K$140=0,"",[1]入库吨位汇总!$K$140),""))</f>
        <v/>
      </c>
      <c r="G141" s="52" t="str">
        <f aca="false">IF($V$4=0,IF($O141="","",$O141),IFERROR(IF([1]入库吨位汇总!$L$140=0,"",[1]入库吨位汇总!$L$140),""))</f>
        <v/>
      </c>
      <c r="H141" s="41" t="str">
        <f aca="false">IF($V$4=0,IF($P141="","",$P141),IFERROR(IF([1]入库吨位汇总!$H$140=0,"",[1]入库吨位汇总!$H$140),""))</f>
        <v/>
      </c>
      <c r="I141" s="41" t="str">
        <f aca="false">IF($V$4=0,IF($Q141="","",$Q141),IFERROR(IF([1]入库吨位汇总!$I$140=0,"",[1]入库吨位汇总!$I$140),""))</f>
        <v/>
      </c>
      <c r="J141" s="10"/>
      <c r="K141" s="10"/>
      <c r="L141" s="53"/>
      <c r="M141" s="53"/>
      <c r="N141" s="54"/>
      <c r="O141" s="54"/>
      <c r="P141" s="54"/>
      <c r="Q141" s="54"/>
      <c r="R141" s="55" t="n">
        <f aca="false">IF(AND($B141&lt;&gt;"",$C141&lt;&gt;""),1,0)</f>
        <v>0</v>
      </c>
      <c r="S141" s="55" t="n">
        <f aca="false">N(S140)+$R141</f>
        <v>22</v>
      </c>
    </row>
    <row r="142" customFormat="false" ht="13.5" hidden="false" customHeight="false" outlineLevel="0" collapsed="false">
      <c r="A142" s="9" t="n">
        <v>141</v>
      </c>
      <c r="B142" s="39" t="str">
        <f aca="false">IF($V$4=0,IF($J142="","",$J142),IFERROR(IF([1]入库吨位汇总!$B$141=0,"",[1]入库吨位汇总!$B$141),""))</f>
        <v/>
      </c>
      <c r="C142" s="39" t="str">
        <f aca="false">IF($V$4=0,IF($K142="","",$K142),IFERROR(IF([1]入库吨位汇总!$C$141=0,"",[1]入库吨位汇总!$C$141),""))</f>
        <v/>
      </c>
      <c r="D142" s="51" t="str">
        <f aca="false">IF($V$4=0,IF($L142="","",$L142),IFERROR(IF([1]入库吨位汇总!$D$141=0,"",[1]入库吨位汇总!$D$141),""))</f>
        <v/>
      </c>
      <c r="E142" s="51" t="str">
        <f aca="false">IF($V$4=0,IF($M142="","",$M142),IFERROR(IF([1]入库吨位汇总!$E$141=0,"",[1]入库吨位汇总!$E$141),""))</f>
        <v/>
      </c>
      <c r="F142" s="41" t="str">
        <f aca="false">IF($V$4=0,IF($N142="","",$N142),IFERROR(IF([1]入库吨位汇总!$K$141=0,"",[1]入库吨位汇总!$K$141),""))</f>
        <v/>
      </c>
      <c r="G142" s="52" t="str">
        <f aca="false">IF($V$4=0,IF($O142="","",$O142),IFERROR(IF([1]入库吨位汇总!$L$141=0,"",[1]入库吨位汇总!$L$141),""))</f>
        <v/>
      </c>
      <c r="H142" s="41" t="str">
        <f aca="false">IF($V$4=0,IF($P142="","",$P142),IFERROR(IF([1]入库吨位汇总!$H$141=0,"",[1]入库吨位汇总!$H$141),""))</f>
        <v/>
      </c>
      <c r="I142" s="41" t="str">
        <f aca="false">IF($V$4=0,IF($Q142="","",$Q142),IFERROR(IF([1]入库吨位汇总!$I$141=0,"",[1]入库吨位汇总!$I$141),""))</f>
        <v/>
      </c>
      <c r="J142" s="10"/>
      <c r="K142" s="10"/>
      <c r="L142" s="53"/>
      <c r="M142" s="53"/>
      <c r="N142" s="54"/>
      <c r="O142" s="54"/>
      <c r="P142" s="54"/>
      <c r="Q142" s="54"/>
      <c r="R142" s="55" t="n">
        <f aca="false">IF(AND($B142&lt;&gt;"",$C142&lt;&gt;""),1,0)</f>
        <v>0</v>
      </c>
      <c r="S142" s="55" t="n">
        <f aca="false">N(S141)+$R142</f>
        <v>22</v>
      </c>
    </row>
    <row r="143" customFormat="false" ht="13.5" hidden="false" customHeight="false" outlineLevel="0" collapsed="false">
      <c r="A143" s="9" t="n">
        <v>142</v>
      </c>
      <c r="B143" s="39" t="str">
        <f aca="false">IF($V$4=0,IF($J143="","",$J143),IFERROR(IF([1]入库吨位汇总!$B$142=0,"",[1]入库吨位汇总!$B$142),""))</f>
        <v/>
      </c>
      <c r="C143" s="39" t="str">
        <f aca="false">IF($V$4=0,IF($K143="","",$K143),IFERROR(IF([1]入库吨位汇总!$C$142=0,"",[1]入库吨位汇总!$C$142),""))</f>
        <v/>
      </c>
      <c r="D143" s="51" t="str">
        <f aca="false">IF($V$4=0,IF($L143="","",$L143),IFERROR(IF([1]入库吨位汇总!$D$142=0,"",[1]入库吨位汇总!$D$142),""))</f>
        <v/>
      </c>
      <c r="E143" s="51" t="str">
        <f aca="false">IF($V$4=0,IF($M143="","",$M143),IFERROR(IF([1]入库吨位汇总!$E$142=0,"",[1]入库吨位汇总!$E$142),""))</f>
        <v/>
      </c>
      <c r="F143" s="41" t="str">
        <f aca="false">IF($V$4=0,IF($N143="","",$N143),IFERROR(IF([1]入库吨位汇总!$K$142=0,"",[1]入库吨位汇总!$K$142),""))</f>
        <v/>
      </c>
      <c r="G143" s="52" t="str">
        <f aca="false">IF($V$4=0,IF($O143="","",$O143),IFERROR(IF([1]入库吨位汇总!$L$142=0,"",[1]入库吨位汇总!$L$142),""))</f>
        <v/>
      </c>
      <c r="H143" s="41" t="str">
        <f aca="false">IF($V$4=0,IF($P143="","",$P143),IFERROR(IF([1]入库吨位汇总!$H$142=0,"",[1]入库吨位汇总!$H$142),""))</f>
        <v/>
      </c>
      <c r="I143" s="41" t="str">
        <f aca="false">IF($V$4=0,IF($Q143="","",$Q143),IFERROR(IF([1]入库吨位汇总!$I$142=0,"",[1]入库吨位汇总!$I$142),""))</f>
        <v/>
      </c>
      <c r="J143" s="10"/>
      <c r="K143" s="10"/>
      <c r="L143" s="53"/>
      <c r="M143" s="53"/>
      <c r="N143" s="54"/>
      <c r="O143" s="54"/>
      <c r="P143" s="54"/>
      <c r="Q143" s="54"/>
      <c r="R143" s="55" t="n">
        <f aca="false">IF(AND($B143&lt;&gt;"",$C143&lt;&gt;""),1,0)</f>
        <v>0</v>
      </c>
      <c r="S143" s="55" t="n">
        <f aca="false">N(S142)+$R143</f>
        <v>22</v>
      </c>
    </row>
    <row r="144" customFormat="false" ht="13.5" hidden="false" customHeight="false" outlineLevel="0" collapsed="false">
      <c r="A144" s="9" t="n">
        <v>143</v>
      </c>
      <c r="B144" s="39" t="str">
        <f aca="false">IF($V$4=0,IF($J144="","",$J144),IFERROR(IF([1]入库吨位汇总!$B$143=0,"",[1]入库吨位汇总!$B$143),""))</f>
        <v/>
      </c>
      <c r="C144" s="39" t="str">
        <f aca="false">IF($V$4=0,IF($K144="","",$K144),IFERROR(IF([1]入库吨位汇总!$C$143=0,"",[1]入库吨位汇总!$C$143),""))</f>
        <v/>
      </c>
      <c r="D144" s="51" t="str">
        <f aca="false">IF($V$4=0,IF($L144="","",$L144),IFERROR(IF([1]入库吨位汇总!$D$143=0,"",[1]入库吨位汇总!$D$143),""))</f>
        <v/>
      </c>
      <c r="E144" s="51" t="str">
        <f aca="false">IF($V$4=0,IF($M144="","",$M144),IFERROR(IF([1]入库吨位汇总!$E$143=0,"",[1]入库吨位汇总!$E$143),""))</f>
        <v/>
      </c>
      <c r="F144" s="41" t="str">
        <f aca="false">IF($V$4=0,IF($N144="","",$N144),IFERROR(IF([1]入库吨位汇总!$K$143=0,"",[1]入库吨位汇总!$K$143),""))</f>
        <v/>
      </c>
      <c r="G144" s="52" t="str">
        <f aca="false">IF($V$4=0,IF($O144="","",$O144),IFERROR(IF([1]入库吨位汇总!$L$143=0,"",[1]入库吨位汇总!$L$143),""))</f>
        <v/>
      </c>
      <c r="H144" s="41" t="str">
        <f aca="false">IF($V$4=0,IF($P144="","",$P144),IFERROR(IF([1]入库吨位汇总!$H$143=0,"",[1]入库吨位汇总!$H$143),""))</f>
        <v/>
      </c>
      <c r="I144" s="41" t="str">
        <f aca="false">IF($V$4=0,IF($Q144="","",$Q144),IFERROR(IF([1]入库吨位汇总!$I$143=0,"",[1]入库吨位汇总!$I$143),""))</f>
        <v/>
      </c>
      <c r="J144" s="10"/>
      <c r="K144" s="10"/>
      <c r="L144" s="53"/>
      <c r="M144" s="53"/>
      <c r="N144" s="54"/>
      <c r="O144" s="54"/>
      <c r="P144" s="54"/>
      <c r="Q144" s="54"/>
      <c r="R144" s="55" t="n">
        <f aca="false">IF(AND($B144&lt;&gt;"",$C144&lt;&gt;""),1,0)</f>
        <v>0</v>
      </c>
      <c r="S144" s="55" t="n">
        <f aca="false">N(S143)+$R144</f>
        <v>22</v>
      </c>
    </row>
    <row r="145" customFormat="false" ht="13.5" hidden="false" customHeight="false" outlineLevel="0" collapsed="false">
      <c r="A145" s="9" t="n">
        <v>144</v>
      </c>
      <c r="B145" s="39" t="str">
        <f aca="false">IF($V$4=0,IF($J145="","",$J145),IFERROR(IF([1]入库吨位汇总!$B$144=0,"",[1]入库吨位汇总!$B$144),""))</f>
        <v/>
      </c>
      <c r="C145" s="39" t="str">
        <f aca="false">IF($V$4=0,IF($K145="","",$K145),IFERROR(IF([1]入库吨位汇总!$C$144=0,"",[1]入库吨位汇总!$C$144),""))</f>
        <v/>
      </c>
      <c r="D145" s="51" t="str">
        <f aca="false">IF($V$4=0,IF($L145="","",$L145),IFERROR(IF([1]入库吨位汇总!$D$144=0,"",[1]入库吨位汇总!$D$144),""))</f>
        <v/>
      </c>
      <c r="E145" s="51" t="str">
        <f aca="false">IF($V$4=0,IF($M145="","",$M145),IFERROR(IF([1]入库吨位汇总!$E$144=0,"",[1]入库吨位汇总!$E$144),""))</f>
        <v/>
      </c>
      <c r="F145" s="41" t="str">
        <f aca="false">IF($V$4=0,IF($N145="","",$N145),IFERROR(IF([1]入库吨位汇总!$K$144=0,"",[1]入库吨位汇总!$K$144),""))</f>
        <v/>
      </c>
      <c r="G145" s="52" t="str">
        <f aca="false">IF($V$4=0,IF($O145="","",$O145),IFERROR(IF([1]入库吨位汇总!$L$144=0,"",[1]入库吨位汇总!$L$144),""))</f>
        <v/>
      </c>
      <c r="H145" s="41" t="str">
        <f aca="false">IF($V$4=0,IF($P145="","",$P145),IFERROR(IF([1]入库吨位汇总!$H$144=0,"",[1]入库吨位汇总!$H$144),""))</f>
        <v/>
      </c>
      <c r="I145" s="41" t="str">
        <f aca="false">IF($V$4=0,IF($Q145="","",$Q145),IFERROR(IF([1]入库吨位汇总!$I$144=0,"",[1]入库吨位汇总!$I$144),""))</f>
        <v/>
      </c>
      <c r="J145" s="10"/>
      <c r="K145" s="10"/>
      <c r="L145" s="53"/>
      <c r="M145" s="53"/>
      <c r="N145" s="54"/>
      <c r="O145" s="54"/>
      <c r="P145" s="54"/>
      <c r="Q145" s="54"/>
      <c r="R145" s="55" t="n">
        <f aca="false">IF(AND($B145&lt;&gt;"",$C145&lt;&gt;""),1,0)</f>
        <v>0</v>
      </c>
      <c r="S145" s="55" t="n">
        <f aca="false">N(S144)+$R145</f>
        <v>22</v>
      </c>
    </row>
    <row r="146" customFormat="false" ht="13.5" hidden="false" customHeight="false" outlineLevel="0" collapsed="false">
      <c r="A146" s="9" t="n">
        <v>145</v>
      </c>
      <c r="B146" s="39" t="str">
        <f aca="false">IF($V$4=0,IF($J146="","",$J146),IFERROR(IF([1]入库吨位汇总!$B$145=0,"",[1]入库吨位汇总!$B$145),""))</f>
        <v/>
      </c>
      <c r="C146" s="39" t="str">
        <f aca="false">IF($V$4=0,IF($K146="","",$K146),IFERROR(IF([1]入库吨位汇总!$C$145=0,"",[1]入库吨位汇总!$C$145),""))</f>
        <v/>
      </c>
      <c r="D146" s="51" t="str">
        <f aca="false">IF($V$4=0,IF($L146="","",$L146),IFERROR(IF([1]入库吨位汇总!$D$145=0,"",[1]入库吨位汇总!$D$145),""))</f>
        <v/>
      </c>
      <c r="E146" s="51" t="str">
        <f aca="false">IF($V$4=0,IF($M146="","",$M146),IFERROR(IF([1]入库吨位汇总!$E$145=0,"",[1]入库吨位汇总!$E$145),""))</f>
        <v/>
      </c>
      <c r="F146" s="41" t="str">
        <f aca="false">IF($V$4=0,IF($N146="","",$N146),IFERROR(IF([1]入库吨位汇总!$K$145=0,"",[1]入库吨位汇总!$K$145),""))</f>
        <v/>
      </c>
      <c r="G146" s="52" t="str">
        <f aca="false">IF($V$4=0,IF($O146="","",$O146),IFERROR(IF([1]入库吨位汇总!$L$145=0,"",[1]入库吨位汇总!$L$145),""))</f>
        <v/>
      </c>
      <c r="H146" s="41" t="str">
        <f aca="false">IF($V$4=0,IF($P146="","",$P146),IFERROR(IF([1]入库吨位汇总!$H$145=0,"",[1]入库吨位汇总!$H$145),""))</f>
        <v/>
      </c>
      <c r="I146" s="41" t="str">
        <f aca="false">IF($V$4=0,IF($Q146="","",$Q146),IFERROR(IF([1]入库吨位汇总!$I$145=0,"",[1]入库吨位汇总!$I$145),""))</f>
        <v/>
      </c>
      <c r="J146" s="10"/>
      <c r="K146" s="10"/>
      <c r="L146" s="53"/>
      <c r="M146" s="53"/>
      <c r="N146" s="54"/>
      <c r="O146" s="54"/>
      <c r="P146" s="54"/>
      <c r="Q146" s="54"/>
      <c r="R146" s="55" t="n">
        <f aca="false">IF(AND($B146&lt;&gt;"",$C146&lt;&gt;""),1,0)</f>
        <v>0</v>
      </c>
      <c r="S146" s="55" t="n">
        <f aca="false">N(S145)+$R146</f>
        <v>22</v>
      </c>
    </row>
    <row r="147" customFormat="false" ht="13.5" hidden="false" customHeight="false" outlineLevel="0" collapsed="false">
      <c r="A147" s="9" t="n">
        <v>146</v>
      </c>
      <c r="B147" s="39" t="str">
        <f aca="false">IF($V$4=0,IF($J147="","",$J147),IFERROR(IF([1]入库吨位汇总!$B$146=0,"",[1]入库吨位汇总!$B$146),""))</f>
        <v/>
      </c>
      <c r="C147" s="39" t="str">
        <f aca="false">IF($V$4=0,IF($K147="","",$K147),IFERROR(IF([1]入库吨位汇总!$C$146=0,"",[1]入库吨位汇总!$C$146),""))</f>
        <v/>
      </c>
      <c r="D147" s="51" t="str">
        <f aca="false">IF($V$4=0,IF($L147="","",$L147),IFERROR(IF([1]入库吨位汇总!$D$146=0,"",[1]入库吨位汇总!$D$146),""))</f>
        <v/>
      </c>
      <c r="E147" s="51" t="str">
        <f aca="false">IF($V$4=0,IF($M147="","",$M147),IFERROR(IF([1]入库吨位汇总!$E$146=0,"",[1]入库吨位汇总!$E$146),""))</f>
        <v/>
      </c>
      <c r="F147" s="41" t="str">
        <f aca="false">IF($V$4=0,IF($N147="","",$N147),IFERROR(IF([1]入库吨位汇总!$K$146=0,"",[1]入库吨位汇总!$K$146),""))</f>
        <v/>
      </c>
      <c r="G147" s="52" t="str">
        <f aca="false">IF($V$4=0,IF($O147="","",$O147),IFERROR(IF([1]入库吨位汇总!$L$146=0,"",[1]入库吨位汇总!$L$146),""))</f>
        <v/>
      </c>
      <c r="H147" s="41" t="str">
        <f aca="false">IF($V$4=0,IF($P147="","",$P147),IFERROR(IF([1]入库吨位汇总!$H$146=0,"",[1]入库吨位汇总!$H$146),""))</f>
        <v/>
      </c>
      <c r="I147" s="41" t="str">
        <f aca="false">IF($V$4=0,IF($Q147="","",$Q147),IFERROR(IF([1]入库吨位汇总!$I$146=0,"",[1]入库吨位汇总!$I$146),""))</f>
        <v/>
      </c>
      <c r="J147" s="10"/>
      <c r="K147" s="10"/>
      <c r="L147" s="53"/>
      <c r="M147" s="53"/>
      <c r="N147" s="54"/>
      <c r="O147" s="54"/>
      <c r="P147" s="54"/>
      <c r="Q147" s="54"/>
      <c r="R147" s="55" t="n">
        <f aca="false">IF(AND($B147&lt;&gt;"",$C147&lt;&gt;""),1,0)</f>
        <v>0</v>
      </c>
      <c r="S147" s="55" t="n">
        <f aca="false">N(S146)+$R147</f>
        <v>22</v>
      </c>
    </row>
    <row r="148" customFormat="false" ht="13.5" hidden="false" customHeight="false" outlineLevel="0" collapsed="false">
      <c r="A148" s="9" t="n">
        <v>147</v>
      </c>
      <c r="B148" s="39" t="str">
        <f aca="false">IF($V$4=0,IF($J148="","",$J148),IFERROR(IF([1]入库吨位汇总!$B$147=0,"",[1]入库吨位汇总!$B$147),""))</f>
        <v/>
      </c>
      <c r="C148" s="39" t="str">
        <f aca="false">IF($V$4=0,IF($K148="","",$K148),IFERROR(IF([1]入库吨位汇总!$C$147=0,"",[1]入库吨位汇总!$C$147),""))</f>
        <v/>
      </c>
      <c r="D148" s="51" t="str">
        <f aca="false">IF($V$4=0,IF($L148="","",$L148),IFERROR(IF([1]入库吨位汇总!$D$147=0,"",[1]入库吨位汇总!$D$147),""))</f>
        <v/>
      </c>
      <c r="E148" s="51" t="str">
        <f aca="false">IF($V$4=0,IF($M148="","",$M148),IFERROR(IF([1]入库吨位汇总!$E$147=0,"",[1]入库吨位汇总!$E$147),""))</f>
        <v/>
      </c>
      <c r="F148" s="41" t="str">
        <f aca="false">IF($V$4=0,IF($N148="","",$N148),IFERROR(IF([1]入库吨位汇总!$K$147=0,"",[1]入库吨位汇总!$K$147),""))</f>
        <v/>
      </c>
      <c r="G148" s="52" t="str">
        <f aca="false">IF($V$4=0,IF($O148="","",$O148),IFERROR(IF([1]入库吨位汇总!$L$147=0,"",[1]入库吨位汇总!$L$147),""))</f>
        <v/>
      </c>
      <c r="H148" s="41" t="str">
        <f aca="false">IF($V$4=0,IF($P148="","",$P148),IFERROR(IF([1]入库吨位汇总!$H$147=0,"",[1]入库吨位汇总!$H$147),""))</f>
        <v/>
      </c>
      <c r="I148" s="41" t="str">
        <f aca="false">IF($V$4=0,IF($Q148="","",$Q148),IFERROR(IF([1]入库吨位汇总!$I$147=0,"",[1]入库吨位汇总!$I$147),""))</f>
        <v/>
      </c>
      <c r="J148" s="10"/>
      <c r="K148" s="10"/>
      <c r="L148" s="53"/>
      <c r="M148" s="53"/>
      <c r="N148" s="54"/>
      <c r="O148" s="54"/>
      <c r="P148" s="54"/>
      <c r="Q148" s="54"/>
      <c r="R148" s="55" t="n">
        <f aca="false">IF(AND($B148&lt;&gt;"",$C148&lt;&gt;""),1,0)</f>
        <v>0</v>
      </c>
      <c r="S148" s="55" t="n">
        <f aca="false">N(S147)+$R148</f>
        <v>22</v>
      </c>
    </row>
    <row r="149" customFormat="false" ht="13.5" hidden="false" customHeight="false" outlineLevel="0" collapsed="false">
      <c r="A149" s="9" t="n">
        <v>148</v>
      </c>
      <c r="B149" s="39" t="str">
        <f aca="false">IF($V$4=0,IF($J149="","",$J149),IFERROR(IF([1]入库吨位汇总!$B$148=0,"",[1]入库吨位汇总!$B$148),""))</f>
        <v/>
      </c>
      <c r="C149" s="39" t="str">
        <f aca="false">IF($V$4=0,IF($K149="","",$K149),IFERROR(IF([1]入库吨位汇总!$C$148=0,"",[1]入库吨位汇总!$C$148),""))</f>
        <v/>
      </c>
      <c r="D149" s="51" t="str">
        <f aca="false">IF($V$4=0,IF($L149="","",$L149),IFERROR(IF([1]入库吨位汇总!$D$148=0,"",[1]入库吨位汇总!$D$148),""))</f>
        <v/>
      </c>
      <c r="E149" s="51" t="str">
        <f aca="false">IF($V$4=0,IF($M149="","",$M149),IFERROR(IF([1]入库吨位汇总!$E$148=0,"",[1]入库吨位汇总!$E$148),""))</f>
        <v/>
      </c>
      <c r="F149" s="41" t="str">
        <f aca="false">IF($V$4=0,IF($N149="","",$N149),IFERROR(IF([1]入库吨位汇总!$K$148=0,"",[1]入库吨位汇总!$K$148),""))</f>
        <v/>
      </c>
      <c r="G149" s="52" t="str">
        <f aca="false">IF($V$4=0,IF($O149="","",$O149),IFERROR(IF([1]入库吨位汇总!$L$148=0,"",[1]入库吨位汇总!$L$148),""))</f>
        <v/>
      </c>
      <c r="H149" s="41" t="str">
        <f aca="false">IF($V$4=0,IF($P149="","",$P149),IFERROR(IF([1]入库吨位汇总!$H$148=0,"",[1]入库吨位汇总!$H$148),""))</f>
        <v/>
      </c>
      <c r="I149" s="41" t="str">
        <f aca="false">IF($V$4=0,IF($Q149="","",$Q149),IFERROR(IF([1]入库吨位汇总!$I$148=0,"",[1]入库吨位汇总!$I$148),""))</f>
        <v/>
      </c>
      <c r="J149" s="10"/>
      <c r="K149" s="10"/>
      <c r="L149" s="53"/>
      <c r="M149" s="53"/>
      <c r="N149" s="54"/>
      <c r="O149" s="54"/>
      <c r="P149" s="54"/>
      <c r="Q149" s="54"/>
      <c r="R149" s="55" t="n">
        <f aca="false">IF(AND($B149&lt;&gt;"",$C149&lt;&gt;""),1,0)</f>
        <v>0</v>
      </c>
      <c r="S149" s="55" t="n">
        <f aca="false">N(S148)+$R149</f>
        <v>22</v>
      </c>
    </row>
    <row r="150" customFormat="false" ht="13.5" hidden="false" customHeight="false" outlineLevel="0" collapsed="false">
      <c r="A150" s="9" t="n">
        <v>149</v>
      </c>
      <c r="B150" s="39" t="str">
        <f aca="false">IF($V$4=0,IF($J150="","",$J150),IFERROR(IF([1]入库吨位汇总!$B$149=0,"",[1]入库吨位汇总!$B$149),""))</f>
        <v/>
      </c>
      <c r="C150" s="39" t="str">
        <f aca="false">IF($V$4=0,IF($K150="","",$K150),IFERROR(IF([1]入库吨位汇总!$C$149=0,"",[1]入库吨位汇总!$C$149),""))</f>
        <v/>
      </c>
      <c r="D150" s="51" t="str">
        <f aca="false">IF($V$4=0,IF($L150="","",$L150),IFERROR(IF([1]入库吨位汇总!$D$149=0,"",[1]入库吨位汇总!$D$149),""))</f>
        <v/>
      </c>
      <c r="E150" s="51" t="str">
        <f aca="false">IF($V$4=0,IF($M150="","",$M150),IFERROR(IF([1]入库吨位汇总!$E$149=0,"",[1]入库吨位汇总!$E$149),""))</f>
        <v/>
      </c>
      <c r="F150" s="41" t="str">
        <f aca="false">IF($V$4=0,IF($N150="","",$N150),IFERROR(IF([1]入库吨位汇总!$K$149=0,"",[1]入库吨位汇总!$K$149),""))</f>
        <v/>
      </c>
      <c r="G150" s="52" t="str">
        <f aca="false">IF($V$4=0,IF($O150="","",$O150),IFERROR(IF([1]入库吨位汇总!$L$149=0,"",[1]入库吨位汇总!$L$149),""))</f>
        <v/>
      </c>
      <c r="H150" s="41" t="str">
        <f aca="false">IF($V$4=0,IF($P150="","",$P150),IFERROR(IF([1]入库吨位汇总!$H$149=0,"",[1]入库吨位汇总!$H$149),""))</f>
        <v/>
      </c>
      <c r="I150" s="41" t="str">
        <f aca="false">IF($V$4=0,IF($Q150="","",$Q150),IFERROR(IF([1]入库吨位汇总!$I$149=0,"",[1]入库吨位汇总!$I$149),""))</f>
        <v/>
      </c>
      <c r="J150" s="10"/>
      <c r="K150" s="10"/>
      <c r="L150" s="53"/>
      <c r="M150" s="53"/>
      <c r="N150" s="54"/>
      <c r="O150" s="54"/>
      <c r="P150" s="54"/>
      <c r="Q150" s="54"/>
      <c r="R150" s="55" t="n">
        <f aca="false">IF(AND($B150&lt;&gt;"",$C150&lt;&gt;""),1,0)</f>
        <v>0</v>
      </c>
      <c r="S150" s="55" t="n">
        <f aca="false">N(S149)+$R150</f>
        <v>22</v>
      </c>
    </row>
    <row r="151" customFormat="false" ht="13.5" hidden="false" customHeight="false" outlineLevel="0" collapsed="false">
      <c r="A151" s="9" t="n">
        <v>150</v>
      </c>
      <c r="B151" s="39" t="str">
        <f aca="false">IF($V$4=0,IF($J151="","",$J151),IFERROR(IF([1]入库吨位汇总!$B$150=0,"",[1]入库吨位汇总!$B$150),""))</f>
        <v/>
      </c>
      <c r="C151" s="39" t="str">
        <f aca="false">IF($V$4=0,IF($K151="","",$K151),IFERROR(IF([1]入库吨位汇总!$C$150=0,"",[1]入库吨位汇总!$C$150),""))</f>
        <v/>
      </c>
      <c r="D151" s="51" t="str">
        <f aca="false">IF($V$4=0,IF($L151="","",$L151),IFERROR(IF([1]入库吨位汇总!$D$150=0,"",[1]入库吨位汇总!$D$150),""))</f>
        <v/>
      </c>
      <c r="E151" s="51" t="str">
        <f aca="false">IF($V$4=0,IF($M151="","",$M151),IFERROR(IF([1]入库吨位汇总!$E$150=0,"",[1]入库吨位汇总!$E$150),""))</f>
        <v/>
      </c>
      <c r="F151" s="41" t="str">
        <f aca="false">IF($V$4=0,IF($N151="","",$N151),IFERROR(IF([1]入库吨位汇总!$K$150=0,"",[1]入库吨位汇总!$K$150),""))</f>
        <v/>
      </c>
      <c r="G151" s="52" t="str">
        <f aca="false">IF($V$4=0,IF($O151="","",$O151),IFERROR(IF([1]入库吨位汇总!$L$150=0,"",[1]入库吨位汇总!$L$150),""))</f>
        <v/>
      </c>
      <c r="H151" s="41" t="str">
        <f aca="false">IF($V$4=0,IF($P151="","",$P151),IFERROR(IF([1]入库吨位汇总!$H$150=0,"",[1]入库吨位汇总!$H$150),""))</f>
        <v/>
      </c>
      <c r="I151" s="41" t="str">
        <f aca="false">IF($V$4=0,IF($Q151="","",$Q151),IFERROR(IF([1]入库吨位汇总!$I$150=0,"",[1]入库吨位汇总!$I$150),""))</f>
        <v/>
      </c>
      <c r="J151" s="10"/>
      <c r="K151" s="10"/>
      <c r="L151" s="53"/>
      <c r="M151" s="53"/>
      <c r="N151" s="54"/>
      <c r="O151" s="54"/>
      <c r="P151" s="54"/>
      <c r="Q151" s="54"/>
      <c r="R151" s="55" t="n">
        <f aca="false">IF(AND($B151&lt;&gt;"",$C151&lt;&gt;""),1,0)</f>
        <v>0</v>
      </c>
      <c r="S151" s="55" t="n">
        <f aca="false">N(S150)+$R151</f>
        <v>22</v>
      </c>
    </row>
    <row r="152" customFormat="false" ht="13.5" hidden="false" customHeight="false" outlineLevel="0" collapsed="false">
      <c r="A152" s="9" t="n">
        <v>151</v>
      </c>
      <c r="B152" s="39" t="str">
        <f aca="false">IF($V$4=0,IF($J152="","",$J152),IFERROR(IF([1]入库吨位汇总!$B$151=0,"",[1]入库吨位汇总!$B$151),""))</f>
        <v/>
      </c>
      <c r="C152" s="39" t="str">
        <f aca="false">IF($V$4=0,IF($K152="","",$K152),IFERROR(IF([1]入库吨位汇总!$C$151=0,"",[1]入库吨位汇总!$C$151),""))</f>
        <v/>
      </c>
      <c r="D152" s="51" t="str">
        <f aca="false">IF($V$4=0,IF($L152="","",$L152),IFERROR(IF([1]入库吨位汇总!$D$151=0,"",[1]入库吨位汇总!$D$151),""))</f>
        <v/>
      </c>
      <c r="E152" s="51" t="str">
        <f aca="false">IF($V$4=0,IF($M152="","",$M152),IFERROR(IF([1]入库吨位汇总!$E$151=0,"",[1]入库吨位汇总!$E$151),""))</f>
        <v/>
      </c>
      <c r="F152" s="41" t="str">
        <f aca="false">IF($V$4=0,IF($N152="","",$N152),IFERROR(IF([1]入库吨位汇总!$K$151=0,"",[1]入库吨位汇总!$K$151),""))</f>
        <v/>
      </c>
      <c r="G152" s="52" t="str">
        <f aca="false">IF($V$4=0,IF($O152="","",$O152),IFERROR(IF([1]入库吨位汇总!$L$151=0,"",[1]入库吨位汇总!$L$151),""))</f>
        <v/>
      </c>
      <c r="H152" s="41" t="str">
        <f aca="false">IF($V$4=0,IF($P152="","",$P152),IFERROR(IF([1]入库吨位汇总!$H$151=0,"",[1]入库吨位汇总!$H$151),""))</f>
        <v/>
      </c>
      <c r="I152" s="41" t="str">
        <f aca="false">IF($V$4=0,IF($Q152="","",$Q152),IFERROR(IF([1]入库吨位汇总!$I$151=0,"",[1]入库吨位汇总!$I$151),""))</f>
        <v/>
      </c>
      <c r="J152" s="10"/>
      <c r="K152" s="10"/>
      <c r="L152" s="53"/>
      <c r="M152" s="53"/>
      <c r="N152" s="54"/>
      <c r="O152" s="54"/>
      <c r="P152" s="54"/>
      <c r="Q152" s="54"/>
      <c r="R152" s="55" t="n">
        <f aca="false">IF(AND($B152&lt;&gt;"",$C152&lt;&gt;""),1,0)</f>
        <v>0</v>
      </c>
      <c r="S152" s="55" t="n">
        <f aca="false">N(S151)+$R152</f>
        <v>22</v>
      </c>
    </row>
    <row r="153" customFormat="false" ht="13.5" hidden="false" customHeight="false" outlineLevel="0" collapsed="false">
      <c r="A153" s="9" t="n">
        <v>152</v>
      </c>
      <c r="B153" s="39" t="str">
        <f aca="false">IF($V$4=0,IF($J153="","",$J153),IFERROR(IF([1]入库吨位汇总!$B$152=0,"",[1]入库吨位汇总!$B$152),""))</f>
        <v/>
      </c>
      <c r="C153" s="39" t="str">
        <f aca="false">IF($V$4=0,IF($K153="","",$K153),IFERROR(IF([1]入库吨位汇总!$C$152=0,"",[1]入库吨位汇总!$C$152),""))</f>
        <v/>
      </c>
      <c r="D153" s="51" t="str">
        <f aca="false">IF($V$4=0,IF($L153="","",$L153),IFERROR(IF([1]入库吨位汇总!$D$152=0,"",[1]入库吨位汇总!$D$152),""))</f>
        <v/>
      </c>
      <c r="E153" s="51" t="str">
        <f aca="false">IF($V$4=0,IF($M153="","",$M153),IFERROR(IF([1]入库吨位汇总!$E$152=0,"",[1]入库吨位汇总!$E$152),""))</f>
        <v/>
      </c>
      <c r="F153" s="41" t="str">
        <f aca="false">IF($V$4=0,IF($N153="","",$N153),IFERROR(IF([1]入库吨位汇总!$K$152=0,"",[1]入库吨位汇总!$K$152),""))</f>
        <v/>
      </c>
      <c r="G153" s="52" t="str">
        <f aca="false">IF($V$4=0,IF($O153="","",$O153),IFERROR(IF([1]入库吨位汇总!$L$152=0,"",[1]入库吨位汇总!$L$152),""))</f>
        <v/>
      </c>
      <c r="H153" s="41" t="str">
        <f aca="false">IF($V$4=0,IF($P153="","",$P153),IFERROR(IF([1]入库吨位汇总!$H$152=0,"",[1]入库吨位汇总!$H$152),""))</f>
        <v/>
      </c>
      <c r="I153" s="41" t="str">
        <f aca="false">IF($V$4=0,IF($Q153="","",$Q153),IFERROR(IF([1]入库吨位汇总!$I$152=0,"",[1]入库吨位汇总!$I$152),""))</f>
        <v/>
      </c>
      <c r="J153" s="10"/>
      <c r="K153" s="10"/>
      <c r="L153" s="53"/>
      <c r="M153" s="53"/>
      <c r="N153" s="54"/>
      <c r="O153" s="54"/>
      <c r="P153" s="54"/>
      <c r="Q153" s="54"/>
      <c r="R153" s="55" t="n">
        <f aca="false">IF(AND($B153&lt;&gt;"",$C153&lt;&gt;""),1,0)</f>
        <v>0</v>
      </c>
      <c r="S153" s="55" t="n">
        <f aca="false">N(S152)+$R153</f>
        <v>22</v>
      </c>
    </row>
    <row r="154" customFormat="false" ht="13.5" hidden="false" customHeight="false" outlineLevel="0" collapsed="false">
      <c r="A154" s="9" t="n">
        <v>153</v>
      </c>
      <c r="B154" s="39" t="str">
        <f aca="false">IF($V$4=0,IF($J154="","",$J154),IFERROR(IF([1]入库吨位汇总!$B$153=0,"",[1]入库吨位汇总!$B$153),""))</f>
        <v/>
      </c>
      <c r="C154" s="39" t="str">
        <f aca="false">IF($V$4=0,IF($K154="","",$K154),IFERROR(IF([1]入库吨位汇总!$C$153=0,"",[1]入库吨位汇总!$C$153),""))</f>
        <v/>
      </c>
      <c r="D154" s="51" t="str">
        <f aca="false">IF($V$4=0,IF($L154="","",$L154),IFERROR(IF([1]入库吨位汇总!$D$153=0,"",[1]入库吨位汇总!$D$153),""))</f>
        <v/>
      </c>
      <c r="E154" s="51" t="str">
        <f aca="false">IF($V$4=0,IF($M154="","",$M154),IFERROR(IF([1]入库吨位汇总!$E$153=0,"",[1]入库吨位汇总!$E$153),""))</f>
        <v/>
      </c>
      <c r="F154" s="41" t="str">
        <f aca="false">IF($V$4=0,IF($N154="","",$N154),IFERROR(IF([1]入库吨位汇总!$K$153=0,"",[1]入库吨位汇总!$K$153),""))</f>
        <v/>
      </c>
      <c r="G154" s="52" t="str">
        <f aca="false">IF($V$4=0,IF($O154="","",$O154),IFERROR(IF([1]入库吨位汇总!$L$153=0,"",[1]入库吨位汇总!$L$153),""))</f>
        <v/>
      </c>
      <c r="H154" s="41" t="str">
        <f aca="false">IF($V$4=0,IF($P154="","",$P154),IFERROR(IF([1]入库吨位汇总!$H$153=0,"",[1]入库吨位汇总!$H$153),""))</f>
        <v/>
      </c>
      <c r="I154" s="41" t="str">
        <f aca="false">IF($V$4=0,IF($Q154="","",$Q154),IFERROR(IF([1]入库吨位汇总!$I$153=0,"",[1]入库吨位汇总!$I$153),""))</f>
        <v/>
      </c>
      <c r="J154" s="10"/>
      <c r="K154" s="10"/>
      <c r="L154" s="53"/>
      <c r="M154" s="53"/>
      <c r="N154" s="54"/>
      <c r="O154" s="54"/>
      <c r="P154" s="54"/>
      <c r="Q154" s="54"/>
      <c r="R154" s="55" t="n">
        <f aca="false">IF(AND($B154&lt;&gt;"",$C154&lt;&gt;""),1,0)</f>
        <v>0</v>
      </c>
      <c r="S154" s="55" t="n">
        <f aca="false">N(S153)+$R154</f>
        <v>22</v>
      </c>
    </row>
    <row r="155" customFormat="false" ht="13.5" hidden="false" customHeight="false" outlineLevel="0" collapsed="false">
      <c r="A155" s="9" t="n">
        <v>154</v>
      </c>
      <c r="B155" s="39" t="str">
        <f aca="false">IF($V$4=0,IF($J155="","",$J155),IFERROR(IF([1]入库吨位汇总!$B$154=0,"",[1]入库吨位汇总!$B$154),""))</f>
        <v/>
      </c>
      <c r="C155" s="39" t="str">
        <f aca="false">IF($V$4=0,IF($K155="","",$K155),IFERROR(IF([1]入库吨位汇总!$C$154=0,"",[1]入库吨位汇总!$C$154),""))</f>
        <v/>
      </c>
      <c r="D155" s="51" t="str">
        <f aca="false">IF($V$4=0,IF($L155="","",$L155),IFERROR(IF([1]入库吨位汇总!$D$154=0,"",[1]入库吨位汇总!$D$154),""))</f>
        <v/>
      </c>
      <c r="E155" s="51" t="str">
        <f aca="false">IF($V$4=0,IF($M155="","",$M155),IFERROR(IF([1]入库吨位汇总!$E$154=0,"",[1]入库吨位汇总!$E$154),""))</f>
        <v/>
      </c>
      <c r="F155" s="41" t="str">
        <f aca="false">IF($V$4=0,IF($N155="","",$N155),IFERROR(IF([1]入库吨位汇总!$K$154=0,"",[1]入库吨位汇总!$K$154),""))</f>
        <v/>
      </c>
      <c r="G155" s="52" t="str">
        <f aca="false">IF($V$4=0,IF($O155="","",$O155),IFERROR(IF([1]入库吨位汇总!$L$154=0,"",[1]入库吨位汇总!$L$154),""))</f>
        <v/>
      </c>
      <c r="H155" s="41" t="str">
        <f aca="false">IF($V$4=0,IF($P155="","",$P155),IFERROR(IF([1]入库吨位汇总!$H$154=0,"",[1]入库吨位汇总!$H$154),""))</f>
        <v/>
      </c>
      <c r="I155" s="41" t="str">
        <f aca="false">IF($V$4=0,IF($Q155="","",$Q155),IFERROR(IF([1]入库吨位汇总!$I$154=0,"",[1]入库吨位汇总!$I$154),""))</f>
        <v/>
      </c>
      <c r="J155" s="10"/>
      <c r="K155" s="10"/>
      <c r="L155" s="53"/>
      <c r="M155" s="53"/>
      <c r="N155" s="54"/>
      <c r="O155" s="54"/>
      <c r="P155" s="54"/>
      <c r="Q155" s="54"/>
      <c r="R155" s="55" t="n">
        <f aca="false">IF(AND($B155&lt;&gt;"",$C155&lt;&gt;""),1,0)</f>
        <v>0</v>
      </c>
      <c r="S155" s="55" t="n">
        <f aca="false">N(S154)+$R155</f>
        <v>22</v>
      </c>
    </row>
    <row r="156" customFormat="false" ht="13.5" hidden="false" customHeight="false" outlineLevel="0" collapsed="false">
      <c r="A156" s="9" t="n">
        <v>155</v>
      </c>
      <c r="B156" s="39" t="str">
        <f aca="false">IF($V$4=0,IF($J156="","",$J156),IFERROR(IF([1]入库吨位汇总!$B$155=0,"",[1]入库吨位汇总!$B$155),""))</f>
        <v/>
      </c>
      <c r="C156" s="39" t="str">
        <f aca="false">IF($V$4=0,IF($K156="","",$K156),IFERROR(IF([1]入库吨位汇总!$C$155=0,"",[1]入库吨位汇总!$C$155),""))</f>
        <v/>
      </c>
      <c r="D156" s="51" t="str">
        <f aca="false">IF($V$4=0,IF($L156="","",$L156),IFERROR(IF([1]入库吨位汇总!$D$155=0,"",[1]入库吨位汇总!$D$155),""))</f>
        <v/>
      </c>
      <c r="E156" s="51" t="str">
        <f aca="false">IF($V$4=0,IF($M156="","",$M156),IFERROR(IF([1]入库吨位汇总!$E$155=0,"",[1]入库吨位汇总!$E$155),""))</f>
        <v/>
      </c>
      <c r="F156" s="41" t="str">
        <f aca="false">IF($V$4=0,IF($N156="","",$N156),IFERROR(IF([1]入库吨位汇总!$K$155=0,"",[1]入库吨位汇总!$K$155),""))</f>
        <v/>
      </c>
      <c r="G156" s="52" t="str">
        <f aca="false">IF($V$4=0,IF($O156="","",$O156),IFERROR(IF([1]入库吨位汇总!$L$155=0,"",[1]入库吨位汇总!$L$155),""))</f>
        <v/>
      </c>
      <c r="H156" s="41" t="str">
        <f aca="false">IF($V$4=0,IF($P156="","",$P156),IFERROR(IF([1]入库吨位汇总!$H$155=0,"",[1]入库吨位汇总!$H$155),""))</f>
        <v/>
      </c>
      <c r="I156" s="41" t="str">
        <f aca="false">IF($V$4=0,IF($Q156="","",$Q156),IFERROR(IF([1]入库吨位汇总!$I$155=0,"",[1]入库吨位汇总!$I$155),""))</f>
        <v/>
      </c>
      <c r="J156" s="10"/>
      <c r="K156" s="10"/>
      <c r="L156" s="53"/>
      <c r="M156" s="53"/>
      <c r="N156" s="54"/>
      <c r="O156" s="54"/>
      <c r="P156" s="54"/>
      <c r="Q156" s="54"/>
      <c r="R156" s="55" t="n">
        <f aca="false">IF(AND($B156&lt;&gt;"",$C156&lt;&gt;""),1,0)</f>
        <v>0</v>
      </c>
      <c r="S156" s="55" t="n">
        <f aca="false">N(S155)+$R156</f>
        <v>22</v>
      </c>
    </row>
    <row r="157" customFormat="false" ht="13.5" hidden="false" customHeight="false" outlineLevel="0" collapsed="false">
      <c r="A157" s="9" t="n">
        <v>156</v>
      </c>
      <c r="B157" s="39" t="str">
        <f aca="false">IF($V$4=0,IF($J157="","",$J157),IFERROR(IF([1]入库吨位汇总!$B$156=0,"",[1]入库吨位汇总!$B$156),""))</f>
        <v/>
      </c>
      <c r="C157" s="39" t="str">
        <f aca="false">IF($V$4=0,IF($K157="","",$K157),IFERROR(IF([1]入库吨位汇总!$C$156=0,"",[1]入库吨位汇总!$C$156),""))</f>
        <v/>
      </c>
      <c r="D157" s="51" t="str">
        <f aca="false">IF($V$4=0,IF($L157="","",$L157),IFERROR(IF([1]入库吨位汇总!$D$156=0,"",[1]入库吨位汇总!$D$156),""))</f>
        <v/>
      </c>
      <c r="E157" s="51" t="str">
        <f aca="false">IF($V$4=0,IF($M157="","",$M157),IFERROR(IF([1]入库吨位汇总!$E$156=0,"",[1]入库吨位汇总!$E$156),""))</f>
        <v/>
      </c>
      <c r="F157" s="41" t="str">
        <f aca="false">IF($V$4=0,IF($N157="","",$N157),IFERROR(IF([1]入库吨位汇总!$K$156=0,"",[1]入库吨位汇总!$K$156),""))</f>
        <v/>
      </c>
      <c r="G157" s="52" t="str">
        <f aca="false">IF($V$4=0,IF($O157="","",$O157),IFERROR(IF([1]入库吨位汇总!$L$156=0,"",[1]入库吨位汇总!$L$156),""))</f>
        <v/>
      </c>
      <c r="H157" s="41" t="str">
        <f aca="false">IF($V$4=0,IF($P157="","",$P157),IFERROR(IF([1]入库吨位汇总!$H$156=0,"",[1]入库吨位汇总!$H$156),""))</f>
        <v/>
      </c>
      <c r="I157" s="41" t="str">
        <f aca="false">IF($V$4=0,IF($Q157="","",$Q157),IFERROR(IF([1]入库吨位汇总!$I$156=0,"",[1]入库吨位汇总!$I$156),""))</f>
        <v/>
      </c>
      <c r="J157" s="10"/>
      <c r="K157" s="10"/>
      <c r="L157" s="53"/>
      <c r="M157" s="53"/>
      <c r="N157" s="54"/>
      <c r="O157" s="54"/>
      <c r="P157" s="54"/>
      <c r="Q157" s="54"/>
      <c r="R157" s="55" t="n">
        <f aca="false">IF(AND($B157&lt;&gt;"",$C157&lt;&gt;""),1,0)</f>
        <v>0</v>
      </c>
      <c r="S157" s="55" t="n">
        <f aca="false">N(S156)+$R157</f>
        <v>22</v>
      </c>
    </row>
    <row r="158" customFormat="false" ht="13.5" hidden="false" customHeight="false" outlineLevel="0" collapsed="false">
      <c r="A158" s="9" t="n">
        <v>157</v>
      </c>
      <c r="B158" s="39" t="str">
        <f aca="false">IF($V$4=0,IF($J158="","",$J158),IFERROR(IF([1]入库吨位汇总!$B$157=0,"",[1]入库吨位汇总!$B$157),""))</f>
        <v/>
      </c>
      <c r="C158" s="39" t="str">
        <f aca="false">IF($V$4=0,IF($K158="","",$K158),IFERROR(IF([1]入库吨位汇总!$C$157=0,"",[1]入库吨位汇总!$C$157),""))</f>
        <v/>
      </c>
      <c r="D158" s="51" t="str">
        <f aca="false">IF($V$4=0,IF($L158="","",$L158),IFERROR(IF([1]入库吨位汇总!$D$157=0,"",[1]入库吨位汇总!$D$157),""))</f>
        <v/>
      </c>
      <c r="E158" s="51" t="str">
        <f aca="false">IF($V$4=0,IF($M158="","",$M158),IFERROR(IF([1]入库吨位汇总!$E$157=0,"",[1]入库吨位汇总!$E$157),""))</f>
        <v/>
      </c>
      <c r="F158" s="41" t="str">
        <f aca="false">IF($V$4=0,IF($N158="","",$N158),IFERROR(IF([1]入库吨位汇总!$K$157=0,"",[1]入库吨位汇总!$K$157),""))</f>
        <v/>
      </c>
      <c r="G158" s="52" t="str">
        <f aca="false">IF($V$4=0,IF($O158="","",$O158),IFERROR(IF([1]入库吨位汇总!$L$157=0,"",[1]入库吨位汇总!$L$157),""))</f>
        <v/>
      </c>
      <c r="H158" s="41" t="str">
        <f aca="false">IF($V$4=0,IF($P158="","",$P158),IFERROR(IF([1]入库吨位汇总!$H$157=0,"",[1]入库吨位汇总!$H$157),""))</f>
        <v/>
      </c>
      <c r="I158" s="41" t="str">
        <f aca="false">IF($V$4=0,IF($Q158="","",$Q158),IFERROR(IF([1]入库吨位汇总!$I$157=0,"",[1]入库吨位汇总!$I$157),""))</f>
        <v/>
      </c>
      <c r="J158" s="10"/>
      <c r="K158" s="10"/>
      <c r="L158" s="53"/>
      <c r="M158" s="53"/>
      <c r="N158" s="54"/>
      <c r="O158" s="54"/>
      <c r="P158" s="54"/>
      <c r="Q158" s="54"/>
      <c r="R158" s="55" t="n">
        <f aca="false">IF(AND($B158&lt;&gt;"",$C158&lt;&gt;""),1,0)</f>
        <v>0</v>
      </c>
      <c r="S158" s="55" t="n">
        <f aca="false">N(S157)+$R158</f>
        <v>22</v>
      </c>
    </row>
    <row r="159" customFormat="false" ht="13.5" hidden="false" customHeight="false" outlineLevel="0" collapsed="false">
      <c r="A159" s="9" t="n">
        <v>158</v>
      </c>
      <c r="B159" s="39" t="str">
        <f aca="false">IF($V$4=0,IF($J159="","",$J159),IFERROR(IF([1]入库吨位汇总!$B$158=0,"",[1]入库吨位汇总!$B$158),""))</f>
        <v/>
      </c>
      <c r="C159" s="39" t="str">
        <f aca="false">IF($V$4=0,IF($K159="","",$K159),IFERROR(IF([1]入库吨位汇总!$C$158=0,"",[1]入库吨位汇总!$C$158),""))</f>
        <v/>
      </c>
      <c r="D159" s="51" t="str">
        <f aca="false">IF($V$4=0,IF($L159="","",$L159),IFERROR(IF([1]入库吨位汇总!$D$158=0,"",[1]入库吨位汇总!$D$158),""))</f>
        <v/>
      </c>
      <c r="E159" s="51" t="str">
        <f aca="false">IF($V$4=0,IF($M159="","",$M159),IFERROR(IF([1]入库吨位汇总!$E$158=0,"",[1]入库吨位汇总!$E$158),""))</f>
        <v/>
      </c>
      <c r="F159" s="41" t="str">
        <f aca="false">IF($V$4=0,IF($N159="","",$N159),IFERROR(IF([1]入库吨位汇总!$K$158=0,"",[1]入库吨位汇总!$K$158),""))</f>
        <v/>
      </c>
      <c r="G159" s="52" t="str">
        <f aca="false">IF($V$4=0,IF($O159="","",$O159),IFERROR(IF([1]入库吨位汇总!$L$158=0,"",[1]入库吨位汇总!$L$158),""))</f>
        <v/>
      </c>
      <c r="H159" s="41" t="str">
        <f aca="false">IF($V$4=0,IF($P159="","",$P159),IFERROR(IF([1]入库吨位汇总!$H$158=0,"",[1]入库吨位汇总!$H$158),""))</f>
        <v/>
      </c>
      <c r="I159" s="41" t="str">
        <f aca="false">IF($V$4=0,IF($Q159="","",$Q159),IFERROR(IF([1]入库吨位汇总!$I$158=0,"",[1]入库吨位汇总!$I$158),""))</f>
        <v/>
      </c>
      <c r="J159" s="10"/>
      <c r="K159" s="10"/>
      <c r="L159" s="53"/>
      <c r="M159" s="53"/>
      <c r="N159" s="54"/>
      <c r="O159" s="54"/>
      <c r="P159" s="54"/>
      <c r="Q159" s="54"/>
      <c r="R159" s="55" t="n">
        <f aca="false">IF(AND($B159&lt;&gt;"",$C159&lt;&gt;""),1,0)</f>
        <v>0</v>
      </c>
      <c r="S159" s="55" t="n">
        <f aca="false">N(S158)+$R159</f>
        <v>22</v>
      </c>
    </row>
    <row r="160" customFormat="false" ht="13.5" hidden="false" customHeight="false" outlineLevel="0" collapsed="false">
      <c r="A160" s="9" t="n">
        <v>159</v>
      </c>
      <c r="B160" s="39" t="str">
        <f aca="false">IF($V$4=0,IF($J160="","",$J160),IFERROR(IF([1]入库吨位汇总!$B$159=0,"",[1]入库吨位汇总!$B$159),""))</f>
        <v/>
      </c>
      <c r="C160" s="39" t="str">
        <f aca="false">IF($V$4=0,IF($K160="","",$K160),IFERROR(IF([1]入库吨位汇总!$C$159=0,"",[1]入库吨位汇总!$C$159),""))</f>
        <v/>
      </c>
      <c r="D160" s="51" t="str">
        <f aca="false">IF($V$4=0,IF($L160="","",$L160),IFERROR(IF([1]入库吨位汇总!$D$159=0,"",[1]入库吨位汇总!$D$159),""))</f>
        <v/>
      </c>
      <c r="E160" s="51" t="str">
        <f aca="false">IF($V$4=0,IF($M160="","",$M160),IFERROR(IF([1]入库吨位汇总!$E$159=0,"",[1]入库吨位汇总!$E$159),""))</f>
        <v/>
      </c>
      <c r="F160" s="41" t="str">
        <f aca="false">IF($V$4=0,IF($N160="","",$N160),IFERROR(IF([1]入库吨位汇总!$K$159=0,"",[1]入库吨位汇总!$K$159),""))</f>
        <v/>
      </c>
      <c r="G160" s="52" t="str">
        <f aca="false">IF($V$4=0,IF($O160="","",$O160),IFERROR(IF([1]入库吨位汇总!$L$159=0,"",[1]入库吨位汇总!$L$159),""))</f>
        <v/>
      </c>
      <c r="H160" s="41" t="str">
        <f aca="false">IF($V$4=0,IF($P160="","",$P160),IFERROR(IF([1]入库吨位汇总!$H$159=0,"",[1]入库吨位汇总!$H$159),""))</f>
        <v/>
      </c>
      <c r="I160" s="41" t="str">
        <f aca="false">IF($V$4=0,IF($Q160="","",$Q160),IFERROR(IF([1]入库吨位汇总!$I$159=0,"",[1]入库吨位汇总!$I$159),""))</f>
        <v/>
      </c>
      <c r="J160" s="10"/>
      <c r="K160" s="10"/>
      <c r="L160" s="53"/>
      <c r="M160" s="53"/>
      <c r="N160" s="54"/>
      <c r="O160" s="54"/>
      <c r="P160" s="54"/>
      <c r="Q160" s="54"/>
      <c r="R160" s="55" t="n">
        <f aca="false">IF(AND($B160&lt;&gt;"",$C160&lt;&gt;""),1,0)</f>
        <v>0</v>
      </c>
      <c r="S160" s="55" t="n">
        <f aca="false">N(S159)+$R160</f>
        <v>22</v>
      </c>
    </row>
    <row r="161" customFormat="false" ht="13.5" hidden="false" customHeight="false" outlineLevel="0" collapsed="false">
      <c r="A161" s="9" t="n">
        <v>160</v>
      </c>
      <c r="B161" s="39" t="str">
        <f aca="false">IF($V$4=0,IF($J161="","",$J161),IFERROR(IF([1]入库吨位汇总!$B$160=0,"",[1]入库吨位汇总!$B$160),""))</f>
        <v/>
      </c>
      <c r="C161" s="39" t="str">
        <f aca="false">IF($V$4=0,IF($K161="","",$K161),IFERROR(IF([1]入库吨位汇总!$C$160=0,"",[1]入库吨位汇总!$C$160),""))</f>
        <v/>
      </c>
      <c r="D161" s="51" t="str">
        <f aca="false">IF($V$4=0,IF($L161="","",$L161),IFERROR(IF([1]入库吨位汇总!$D$160=0,"",[1]入库吨位汇总!$D$160),""))</f>
        <v/>
      </c>
      <c r="E161" s="51" t="str">
        <f aca="false">IF($V$4=0,IF($M161="","",$M161),IFERROR(IF([1]入库吨位汇总!$E$160=0,"",[1]入库吨位汇总!$E$160),""))</f>
        <v/>
      </c>
      <c r="F161" s="41" t="str">
        <f aca="false">IF($V$4=0,IF($N161="","",$N161),IFERROR(IF([1]入库吨位汇总!$K$160=0,"",[1]入库吨位汇总!$K$160),""))</f>
        <v/>
      </c>
      <c r="G161" s="52" t="str">
        <f aca="false">IF($V$4=0,IF($O161="","",$O161),IFERROR(IF([1]入库吨位汇总!$L$160=0,"",[1]入库吨位汇总!$L$160),""))</f>
        <v/>
      </c>
      <c r="H161" s="41" t="str">
        <f aca="false">IF($V$4=0,IF($P161="","",$P161),IFERROR(IF([1]入库吨位汇总!$H$160=0,"",[1]入库吨位汇总!$H$160),""))</f>
        <v/>
      </c>
      <c r="I161" s="41" t="str">
        <f aca="false">IF($V$4=0,IF($Q161="","",$Q161),IFERROR(IF([1]入库吨位汇总!$I$160=0,"",[1]入库吨位汇总!$I$160),""))</f>
        <v/>
      </c>
      <c r="J161" s="10"/>
      <c r="K161" s="10"/>
      <c r="L161" s="53"/>
      <c r="M161" s="53"/>
      <c r="N161" s="54"/>
      <c r="O161" s="54"/>
      <c r="P161" s="54"/>
      <c r="Q161" s="54"/>
      <c r="R161" s="55" t="n">
        <f aca="false">IF(AND($B161&lt;&gt;"",$C161&lt;&gt;""),1,0)</f>
        <v>0</v>
      </c>
      <c r="S161" s="55" t="n">
        <f aca="false">N(S160)+$R161</f>
        <v>22</v>
      </c>
    </row>
    <row r="162" customFormat="false" ht="13.5" hidden="false" customHeight="false" outlineLevel="0" collapsed="false">
      <c r="A162" s="9" t="n">
        <v>161</v>
      </c>
      <c r="B162" s="39" t="str">
        <f aca="false">IF($V$4=0,IF($J162="","",$J162),IFERROR(IF([1]入库吨位汇总!$B$161=0,"",[1]入库吨位汇总!$B$161),""))</f>
        <v/>
      </c>
      <c r="C162" s="39" t="str">
        <f aca="false">IF($V$4=0,IF($K162="","",$K162),IFERROR(IF([1]入库吨位汇总!$C$161=0,"",[1]入库吨位汇总!$C$161),""))</f>
        <v/>
      </c>
      <c r="D162" s="51" t="str">
        <f aca="false">IF($V$4=0,IF($L162="","",$L162),IFERROR(IF([1]入库吨位汇总!$D$161=0,"",[1]入库吨位汇总!$D$161),""))</f>
        <v/>
      </c>
      <c r="E162" s="51" t="str">
        <f aca="false">IF($V$4=0,IF($M162="","",$M162),IFERROR(IF([1]入库吨位汇总!$E$161=0,"",[1]入库吨位汇总!$E$161),""))</f>
        <v/>
      </c>
      <c r="F162" s="41" t="str">
        <f aca="false">IF($V$4=0,IF($N162="","",$N162),IFERROR(IF([1]入库吨位汇总!$K$161=0,"",[1]入库吨位汇总!$K$161),""))</f>
        <v/>
      </c>
      <c r="G162" s="52" t="str">
        <f aca="false">IF($V$4=0,IF($O162="","",$O162),IFERROR(IF([1]入库吨位汇总!$L$161=0,"",[1]入库吨位汇总!$L$161),""))</f>
        <v/>
      </c>
      <c r="H162" s="41" t="str">
        <f aca="false">IF($V$4=0,IF($P162="","",$P162),IFERROR(IF([1]入库吨位汇总!$H$161=0,"",[1]入库吨位汇总!$H$161),""))</f>
        <v/>
      </c>
      <c r="I162" s="41" t="str">
        <f aca="false">IF($V$4=0,IF($Q162="","",$Q162),IFERROR(IF([1]入库吨位汇总!$I$161=0,"",[1]入库吨位汇总!$I$161),""))</f>
        <v/>
      </c>
      <c r="J162" s="10"/>
      <c r="K162" s="10"/>
      <c r="L162" s="53"/>
      <c r="M162" s="53"/>
      <c r="N162" s="54"/>
      <c r="O162" s="54"/>
      <c r="P162" s="54"/>
      <c r="Q162" s="54"/>
      <c r="R162" s="55" t="n">
        <f aca="false">IF(AND($B162&lt;&gt;"",$C162&lt;&gt;""),1,0)</f>
        <v>0</v>
      </c>
      <c r="S162" s="55" t="n">
        <f aca="false">N(S161)+$R162</f>
        <v>22</v>
      </c>
    </row>
    <row r="163" customFormat="false" ht="13.5" hidden="false" customHeight="false" outlineLevel="0" collapsed="false">
      <c r="A163" s="9" t="n">
        <v>162</v>
      </c>
      <c r="B163" s="39" t="str">
        <f aca="false">IF($V$4=0,IF($J163="","",$J163),IFERROR(IF([1]入库吨位汇总!$B$162=0,"",[1]入库吨位汇总!$B$162),""))</f>
        <v/>
      </c>
      <c r="C163" s="39" t="str">
        <f aca="false">IF($V$4=0,IF($K163="","",$K163),IFERROR(IF([1]入库吨位汇总!$C$162=0,"",[1]入库吨位汇总!$C$162),""))</f>
        <v/>
      </c>
      <c r="D163" s="51" t="str">
        <f aca="false">IF($V$4=0,IF($L163="","",$L163),IFERROR(IF([1]入库吨位汇总!$D$162=0,"",[1]入库吨位汇总!$D$162),""))</f>
        <v/>
      </c>
      <c r="E163" s="51" t="str">
        <f aca="false">IF($V$4=0,IF($M163="","",$M163),IFERROR(IF([1]入库吨位汇总!$E$162=0,"",[1]入库吨位汇总!$E$162),""))</f>
        <v/>
      </c>
      <c r="F163" s="41" t="str">
        <f aca="false">IF($V$4=0,IF($N163="","",$N163),IFERROR(IF([1]入库吨位汇总!$K$162=0,"",[1]入库吨位汇总!$K$162),""))</f>
        <v/>
      </c>
      <c r="G163" s="52" t="str">
        <f aca="false">IF($V$4=0,IF($O163="","",$O163),IFERROR(IF([1]入库吨位汇总!$L$162=0,"",[1]入库吨位汇总!$L$162),""))</f>
        <v/>
      </c>
      <c r="H163" s="41" t="str">
        <f aca="false">IF($V$4=0,IF($P163="","",$P163),IFERROR(IF([1]入库吨位汇总!$H$162=0,"",[1]入库吨位汇总!$H$162),""))</f>
        <v/>
      </c>
      <c r="I163" s="41" t="str">
        <f aca="false">IF($V$4=0,IF($Q163="","",$Q163),IFERROR(IF([1]入库吨位汇总!$I$162=0,"",[1]入库吨位汇总!$I$162),""))</f>
        <v/>
      </c>
      <c r="J163" s="10"/>
      <c r="K163" s="10"/>
      <c r="L163" s="53"/>
      <c r="M163" s="53"/>
      <c r="N163" s="54"/>
      <c r="O163" s="54"/>
      <c r="P163" s="54"/>
      <c r="Q163" s="54"/>
      <c r="R163" s="55" t="n">
        <f aca="false">IF(AND($B163&lt;&gt;"",$C163&lt;&gt;""),1,0)</f>
        <v>0</v>
      </c>
      <c r="S163" s="55" t="n">
        <f aca="false">N(S162)+$R163</f>
        <v>22</v>
      </c>
    </row>
    <row r="164" customFormat="false" ht="13.5" hidden="false" customHeight="false" outlineLevel="0" collapsed="false">
      <c r="A164" s="9" t="n">
        <v>163</v>
      </c>
      <c r="B164" s="39" t="str">
        <f aca="false">IF($V$4=0,IF($J164="","",$J164),IFERROR(IF([1]入库吨位汇总!$B$163=0,"",[1]入库吨位汇总!$B$163),""))</f>
        <v/>
      </c>
      <c r="C164" s="39" t="str">
        <f aca="false">IF($V$4=0,IF($K164="","",$K164),IFERROR(IF([1]入库吨位汇总!$C$163=0,"",[1]入库吨位汇总!$C$163),""))</f>
        <v/>
      </c>
      <c r="D164" s="51" t="str">
        <f aca="false">IF($V$4=0,IF($L164="","",$L164),IFERROR(IF([1]入库吨位汇总!$D$163=0,"",[1]入库吨位汇总!$D$163),""))</f>
        <v/>
      </c>
      <c r="E164" s="51" t="str">
        <f aca="false">IF($V$4=0,IF($M164="","",$M164),IFERROR(IF([1]入库吨位汇总!$E$163=0,"",[1]入库吨位汇总!$E$163),""))</f>
        <v/>
      </c>
      <c r="F164" s="41" t="str">
        <f aca="false">IF($V$4=0,IF($N164="","",$N164),IFERROR(IF([1]入库吨位汇总!$K$163=0,"",[1]入库吨位汇总!$K$163),""))</f>
        <v/>
      </c>
      <c r="G164" s="52" t="str">
        <f aca="false">IF($V$4=0,IF($O164="","",$O164),IFERROR(IF([1]入库吨位汇总!$L$163=0,"",[1]入库吨位汇总!$L$163),""))</f>
        <v/>
      </c>
      <c r="H164" s="41" t="str">
        <f aca="false">IF($V$4=0,IF($P164="","",$P164),IFERROR(IF([1]入库吨位汇总!$H$163=0,"",[1]入库吨位汇总!$H$163),""))</f>
        <v/>
      </c>
      <c r="I164" s="41" t="str">
        <f aca="false">IF($V$4=0,IF($Q164="","",$Q164),IFERROR(IF([1]入库吨位汇总!$I$163=0,"",[1]入库吨位汇总!$I$163),""))</f>
        <v/>
      </c>
      <c r="J164" s="10"/>
      <c r="K164" s="10"/>
      <c r="L164" s="53"/>
      <c r="M164" s="53"/>
      <c r="N164" s="54"/>
      <c r="O164" s="54"/>
      <c r="P164" s="54"/>
      <c r="Q164" s="54"/>
      <c r="R164" s="55" t="n">
        <f aca="false">IF(AND($B164&lt;&gt;"",$C164&lt;&gt;""),1,0)</f>
        <v>0</v>
      </c>
      <c r="S164" s="55" t="n">
        <f aca="false">N(S163)+$R164</f>
        <v>22</v>
      </c>
    </row>
    <row r="165" customFormat="false" ht="13.5" hidden="false" customHeight="false" outlineLevel="0" collapsed="false">
      <c r="A165" s="9" t="n">
        <v>164</v>
      </c>
      <c r="B165" s="39" t="str">
        <f aca="false">IF($V$4=0,IF($J165="","",$J165),IFERROR(IF([1]入库吨位汇总!$B$164=0,"",[1]入库吨位汇总!$B$164),""))</f>
        <v/>
      </c>
      <c r="C165" s="39" t="str">
        <f aca="false">IF($V$4=0,IF($K165="","",$K165),IFERROR(IF([1]入库吨位汇总!$C$164=0,"",[1]入库吨位汇总!$C$164),""))</f>
        <v/>
      </c>
      <c r="D165" s="51" t="str">
        <f aca="false">IF($V$4=0,IF($L165="","",$L165),IFERROR(IF([1]入库吨位汇总!$D$164=0,"",[1]入库吨位汇总!$D$164),""))</f>
        <v/>
      </c>
      <c r="E165" s="51" t="str">
        <f aca="false">IF($V$4=0,IF($M165="","",$M165),IFERROR(IF([1]入库吨位汇总!$E$164=0,"",[1]入库吨位汇总!$E$164),""))</f>
        <v/>
      </c>
      <c r="F165" s="41" t="str">
        <f aca="false">IF($V$4=0,IF($N165="","",$N165),IFERROR(IF([1]入库吨位汇总!$K$164=0,"",[1]入库吨位汇总!$K$164),""))</f>
        <v/>
      </c>
      <c r="G165" s="52" t="str">
        <f aca="false">IF($V$4=0,IF($O165="","",$O165),IFERROR(IF([1]入库吨位汇总!$L$164=0,"",[1]入库吨位汇总!$L$164),""))</f>
        <v/>
      </c>
      <c r="H165" s="41" t="str">
        <f aca="false">IF($V$4=0,IF($P165="","",$P165),IFERROR(IF([1]入库吨位汇总!$H$164=0,"",[1]入库吨位汇总!$H$164),""))</f>
        <v/>
      </c>
      <c r="I165" s="41" t="str">
        <f aca="false">IF($V$4=0,IF($Q165="","",$Q165),IFERROR(IF([1]入库吨位汇总!$I$164=0,"",[1]入库吨位汇总!$I$164),""))</f>
        <v/>
      </c>
      <c r="J165" s="10"/>
      <c r="K165" s="10"/>
      <c r="L165" s="53"/>
      <c r="M165" s="53"/>
      <c r="N165" s="54"/>
      <c r="O165" s="54"/>
      <c r="P165" s="54"/>
      <c r="Q165" s="54"/>
      <c r="R165" s="55" t="n">
        <f aca="false">IF(AND($B165&lt;&gt;"",$C165&lt;&gt;""),1,0)</f>
        <v>0</v>
      </c>
      <c r="S165" s="55" t="n">
        <f aca="false">N(S164)+$R165</f>
        <v>22</v>
      </c>
    </row>
    <row r="166" customFormat="false" ht="13.5" hidden="false" customHeight="false" outlineLevel="0" collapsed="false">
      <c r="A166" s="9" t="n">
        <v>165</v>
      </c>
      <c r="B166" s="39" t="str">
        <f aca="false">IF($V$4=0,IF($J166="","",$J166),IFERROR(IF([1]入库吨位汇总!$B$165=0,"",[1]入库吨位汇总!$B$165),""))</f>
        <v/>
      </c>
      <c r="C166" s="39" t="str">
        <f aca="false">IF($V$4=0,IF($K166="","",$K166),IFERROR(IF([1]入库吨位汇总!$C$165=0,"",[1]入库吨位汇总!$C$165),""))</f>
        <v/>
      </c>
      <c r="D166" s="51" t="str">
        <f aca="false">IF($V$4=0,IF($L166="","",$L166),IFERROR(IF([1]入库吨位汇总!$D$165=0,"",[1]入库吨位汇总!$D$165),""))</f>
        <v/>
      </c>
      <c r="E166" s="51" t="str">
        <f aca="false">IF($V$4=0,IF($M166="","",$M166),IFERROR(IF([1]入库吨位汇总!$E$165=0,"",[1]入库吨位汇总!$E$165),""))</f>
        <v/>
      </c>
      <c r="F166" s="41" t="str">
        <f aca="false">IF($V$4=0,IF($N166="","",$N166),IFERROR(IF([1]入库吨位汇总!$K$165=0,"",[1]入库吨位汇总!$K$165),""))</f>
        <v/>
      </c>
      <c r="G166" s="52" t="str">
        <f aca="false">IF($V$4=0,IF($O166="","",$O166),IFERROR(IF([1]入库吨位汇总!$L$165=0,"",[1]入库吨位汇总!$L$165),""))</f>
        <v/>
      </c>
      <c r="H166" s="41" t="str">
        <f aca="false">IF($V$4=0,IF($P166="","",$P166),IFERROR(IF([1]入库吨位汇总!$H$165=0,"",[1]入库吨位汇总!$H$165),""))</f>
        <v/>
      </c>
      <c r="I166" s="41" t="str">
        <f aca="false">IF($V$4=0,IF($Q166="","",$Q166),IFERROR(IF([1]入库吨位汇总!$I$165=0,"",[1]入库吨位汇总!$I$165),""))</f>
        <v/>
      </c>
      <c r="J166" s="10"/>
      <c r="K166" s="10"/>
      <c r="L166" s="53"/>
      <c r="M166" s="53"/>
      <c r="N166" s="54"/>
      <c r="O166" s="54"/>
      <c r="P166" s="54"/>
      <c r="Q166" s="54"/>
      <c r="R166" s="55" t="n">
        <f aca="false">IF(AND($B166&lt;&gt;"",$C166&lt;&gt;""),1,0)</f>
        <v>0</v>
      </c>
      <c r="S166" s="55" t="n">
        <f aca="false">N(S165)+$R166</f>
        <v>22</v>
      </c>
    </row>
    <row r="167" customFormat="false" ht="13.5" hidden="false" customHeight="false" outlineLevel="0" collapsed="false">
      <c r="A167" s="9" t="n">
        <v>166</v>
      </c>
      <c r="B167" s="39" t="str">
        <f aca="false">IF($V$4=0,IF($J167="","",$J167),IFERROR(IF([1]入库吨位汇总!$B$166=0,"",[1]入库吨位汇总!$B$166),""))</f>
        <v/>
      </c>
      <c r="C167" s="39" t="str">
        <f aca="false">IF($V$4=0,IF($K167="","",$K167),IFERROR(IF([1]入库吨位汇总!$C$166=0,"",[1]入库吨位汇总!$C$166),""))</f>
        <v/>
      </c>
      <c r="D167" s="51" t="str">
        <f aca="false">IF($V$4=0,IF($L167="","",$L167),IFERROR(IF([1]入库吨位汇总!$D$166=0,"",[1]入库吨位汇总!$D$166),""))</f>
        <v/>
      </c>
      <c r="E167" s="51" t="str">
        <f aca="false">IF($V$4=0,IF($M167="","",$M167),IFERROR(IF([1]入库吨位汇总!$E$166=0,"",[1]入库吨位汇总!$E$166),""))</f>
        <v/>
      </c>
      <c r="F167" s="41" t="str">
        <f aca="false">IF($V$4=0,IF($N167="","",$N167),IFERROR(IF([1]入库吨位汇总!$K$166=0,"",[1]入库吨位汇总!$K$166),""))</f>
        <v/>
      </c>
      <c r="G167" s="52" t="str">
        <f aca="false">IF($V$4=0,IF($O167="","",$O167),IFERROR(IF([1]入库吨位汇总!$L$166=0,"",[1]入库吨位汇总!$L$166),""))</f>
        <v/>
      </c>
      <c r="H167" s="41" t="str">
        <f aca="false">IF($V$4=0,IF($P167="","",$P167),IFERROR(IF([1]入库吨位汇总!$H$166=0,"",[1]入库吨位汇总!$H$166),""))</f>
        <v/>
      </c>
      <c r="I167" s="41" t="str">
        <f aca="false">IF($V$4=0,IF($Q167="","",$Q167),IFERROR(IF([1]入库吨位汇总!$I$166=0,"",[1]入库吨位汇总!$I$166),""))</f>
        <v/>
      </c>
      <c r="J167" s="10"/>
      <c r="K167" s="10"/>
      <c r="L167" s="53"/>
      <c r="M167" s="53"/>
      <c r="N167" s="54"/>
      <c r="O167" s="54"/>
      <c r="P167" s="54"/>
      <c r="Q167" s="54"/>
      <c r="R167" s="55" t="n">
        <f aca="false">IF(AND($B167&lt;&gt;"",$C167&lt;&gt;""),1,0)</f>
        <v>0</v>
      </c>
      <c r="S167" s="55" t="n">
        <f aca="false">N(S166)+$R167</f>
        <v>22</v>
      </c>
    </row>
    <row r="168" customFormat="false" ht="13.5" hidden="false" customHeight="false" outlineLevel="0" collapsed="false">
      <c r="A168" s="9" t="n">
        <v>167</v>
      </c>
      <c r="B168" s="39" t="str">
        <f aca="false">IF($V$4=0,IF($J168="","",$J168),IFERROR(IF([1]入库吨位汇总!$B$167=0,"",[1]入库吨位汇总!$B$167),""))</f>
        <v/>
      </c>
      <c r="C168" s="39" t="str">
        <f aca="false">IF($V$4=0,IF($K168="","",$K168),IFERROR(IF([1]入库吨位汇总!$C$167=0,"",[1]入库吨位汇总!$C$167),""))</f>
        <v/>
      </c>
      <c r="D168" s="51" t="str">
        <f aca="false">IF($V$4=0,IF($L168="","",$L168),IFERROR(IF([1]入库吨位汇总!$D$167=0,"",[1]入库吨位汇总!$D$167),""))</f>
        <v/>
      </c>
      <c r="E168" s="51" t="str">
        <f aca="false">IF($V$4=0,IF($M168="","",$M168),IFERROR(IF([1]入库吨位汇总!$E$167=0,"",[1]入库吨位汇总!$E$167),""))</f>
        <v/>
      </c>
      <c r="F168" s="41" t="str">
        <f aca="false">IF($V$4=0,IF($N168="","",$N168),IFERROR(IF([1]入库吨位汇总!$K$167=0,"",[1]入库吨位汇总!$K$167),""))</f>
        <v/>
      </c>
      <c r="G168" s="52" t="str">
        <f aca="false">IF($V$4=0,IF($O168="","",$O168),IFERROR(IF([1]入库吨位汇总!$L$167=0,"",[1]入库吨位汇总!$L$167),""))</f>
        <v/>
      </c>
      <c r="H168" s="41" t="str">
        <f aca="false">IF($V$4=0,IF($P168="","",$P168),IFERROR(IF([1]入库吨位汇总!$H$167=0,"",[1]入库吨位汇总!$H$167),""))</f>
        <v/>
      </c>
      <c r="I168" s="41" t="str">
        <f aca="false">IF($V$4=0,IF($Q168="","",$Q168),IFERROR(IF([1]入库吨位汇总!$I$167=0,"",[1]入库吨位汇总!$I$167),""))</f>
        <v/>
      </c>
      <c r="J168" s="10"/>
      <c r="K168" s="10"/>
      <c r="L168" s="53"/>
      <c r="M168" s="53"/>
      <c r="N168" s="54"/>
      <c r="O168" s="54"/>
      <c r="P168" s="54"/>
      <c r="Q168" s="54"/>
      <c r="R168" s="55" t="n">
        <f aca="false">IF(AND($B168&lt;&gt;"",$C168&lt;&gt;""),1,0)</f>
        <v>0</v>
      </c>
      <c r="S168" s="55" t="n">
        <f aca="false">N(S167)+$R168</f>
        <v>22</v>
      </c>
    </row>
    <row r="169" customFormat="false" ht="13.5" hidden="false" customHeight="false" outlineLevel="0" collapsed="false">
      <c r="A169" s="9" t="n">
        <v>168</v>
      </c>
      <c r="B169" s="39" t="str">
        <f aca="false">IF($V$4=0,IF($J169="","",$J169),IFERROR(IF([1]入库吨位汇总!$B$168=0,"",[1]入库吨位汇总!$B$168),""))</f>
        <v/>
      </c>
      <c r="C169" s="39" t="str">
        <f aca="false">IF($V$4=0,IF($K169="","",$K169),IFERROR(IF([1]入库吨位汇总!$C$168=0,"",[1]入库吨位汇总!$C$168),""))</f>
        <v/>
      </c>
      <c r="D169" s="51" t="str">
        <f aca="false">IF($V$4=0,IF($L169="","",$L169),IFERROR(IF([1]入库吨位汇总!$D$168=0,"",[1]入库吨位汇总!$D$168),""))</f>
        <v/>
      </c>
      <c r="E169" s="51" t="str">
        <f aca="false">IF($V$4=0,IF($M169="","",$M169),IFERROR(IF([1]入库吨位汇总!$E$168=0,"",[1]入库吨位汇总!$E$168),""))</f>
        <v/>
      </c>
      <c r="F169" s="41" t="str">
        <f aca="false">IF($V$4=0,IF($N169="","",$N169),IFERROR(IF([1]入库吨位汇总!$K$168=0,"",[1]入库吨位汇总!$K$168),""))</f>
        <v/>
      </c>
      <c r="G169" s="52" t="str">
        <f aca="false">IF($V$4=0,IF($O169="","",$O169),IFERROR(IF([1]入库吨位汇总!$L$168=0,"",[1]入库吨位汇总!$L$168),""))</f>
        <v/>
      </c>
      <c r="H169" s="41" t="str">
        <f aca="false">IF($V$4=0,IF($P169="","",$P169),IFERROR(IF([1]入库吨位汇总!$H$168=0,"",[1]入库吨位汇总!$H$168),""))</f>
        <v/>
      </c>
      <c r="I169" s="41" t="str">
        <f aca="false">IF($V$4=0,IF($Q169="","",$Q169),IFERROR(IF([1]入库吨位汇总!$I$168=0,"",[1]入库吨位汇总!$I$168),""))</f>
        <v/>
      </c>
      <c r="J169" s="10"/>
      <c r="K169" s="10"/>
      <c r="L169" s="53"/>
      <c r="M169" s="53"/>
      <c r="N169" s="54"/>
      <c r="O169" s="54"/>
      <c r="P169" s="54"/>
      <c r="Q169" s="54"/>
      <c r="R169" s="55" t="n">
        <f aca="false">IF(AND($B169&lt;&gt;"",$C169&lt;&gt;""),1,0)</f>
        <v>0</v>
      </c>
      <c r="S169" s="55" t="n">
        <f aca="false">N(S168)+$R169</f>
        <v>22</v>
      </c>
    </row>
    <row r="170" customFormat="false" ht="13.5" hidden="false" customHeight="false" outlineLevel="0" collapsed="false">
      <c r="A170" s="9" t="n">
        <v>169</v>
      </c>
      <c r="B170" s="39" t="str">
        <f aca="false">IF($V$4=0,IF($J170="","",$J170),IFERROR(IF([1]入库吨位汇总!$B$169=0,"",[1]入库吨位汇总!$B$169),""))</f>
        <v/>
      </c>
      <c r="C170" s="39" t="str">
        <f aca="false">IF($V$4=0,IF($K170="","",$K170),IFERROR(IF([1]入库吨位汇总!$C$169=0,"",[1]入库吨位汇总!$C$169),""))</f>
        <v/>
      </c>
      <c r="D170" s="51" t="str">
        <f aca="false">IF($V$4=0,IF($L170="","",$L170),IFERROR(IF([1]入库吨位汇总!$D$169=0,"",[1]入库吨位汇总!$D$169),""))</f>
        <v/>
      </c>
      <c r="E170" s="51" t="str">
        <f aca="false">IF($V$4=0,IF($M170="","",$M170),IFERROR(IF([1]入库吨位汇总!$E$169=0,"",[1]入库吨位汇总!$E$169),""))</f>
        <v/>
      </c>
      <c r="F170" s="41" t="str">
        <f aca="false">IF($V$4=0,IF($N170="","",$N170),IFERROR(IF([1]入库吨位汇总!$K$169=0,"",[1]入库吨位汇总!$K$169),""))</f>
        <v/>
      </c>
      <c r="G170" s="52" t="str">
        <f aca="false">IF($V$4=0,IF($O170="","",$O170),IFERROR(IF([1]入库吨位汇总!$L$169=0,"",[1]入库吨位汇总!$L$169),""))</f>
        <v/>
      </c>
      <c r="H170" s="41" t="str">
        <f aca="false">IF($V$4=0,IF($P170="","",$P170),IFERROR(IF([1]入库吨位汇总!$H$169=0,"",[1]入库吨位汇总!$H$169),""))</f>
        <v/>
      </c>
      <c r="I170" s="41" t="str">
        <f aca="false">IF($V$4=0,IF($Q170="","",$Q170),IFERROR(IF([1]入库吨位汇总!$I$169=0,"",[1]入库吨位汇总!$I$169),""))</f>
        <v/>
      </c>
      <c r="J170" s="10"/>
      <c r="K170" s="10"/>
      <c r="L170" s="53"/>
      <c r="M170" s="53"/>
      <c r="N170" s="54"/>
      <c r="O170" s="54"/>
      <c r="P170" s="54"/>
      <c r="Q170" s="54"/>
      <c r="R170" s="55" t="n">
        <f aca="false">IF(AND($B170&lt;&gt;"",$C170&lt;&gt;""),1,0)</f>
        <v>0</v>
      </c>
      <c r="S170" s="55" t="n">
        <f aca="false">N(S169)+$R170</f>
        <v>22</v>
      </c>
    </row>
    <row r="171" customFormat="false" ht="13.5" hidden="false" customHeight="false" outlineLevel="0" collapsed="false">
      <c r="A171" s="9" t="n">
        <v>170</v>
      </c>
      <c r="B171" s="39" t="str">
        <f aca="false">IF($V$4=0,IF($J171="","",$J171),IFERROR(IF([1]入库吨位汇总!$B$170=0,"",[1]入库吨位汇总!$B$170),""))</f>
        <v/>
      </c>
      <c r="C171" s="39" t="str">
        <f aca="false">IF($V$4=0,IF($K171="","",$K171),IFERROR(IF([1]入库吨位汇总!$C$170=0,"",[1]入库吨位汇总!$C$170),""))</f>
        <v/>
      </c>
      <c r="D171" s="51" t="str">
        <f aca="false">IF($V$4=0,IF($L171="","",$L171),IFERROR(IF([1]入库吨位汇总!$D$170=0,"",[1]入库吨位汇总!$D$170),""))</f>
        <v/>
      </c>
      <c r="E171" s="51" t="str">
        <f aca="false">IF($V$4=0,IF($M171="","",$M171),IFERROR(IF([1]入库吨位汇总!$E$170=0,"",[1]入库吨位汇总!$E$170),""))</f>
        <v/>
      </c>
      <c r="F171" s="41" t="str">
        <f aca="false">IF($V$4=0,IF($N171="","",$N171),IFERROR(IF([1]入库吨位汇总!$K$170=0,"",[1]入库吨位汇总!$K$170),""))</f>
        <v/>
      </c>
      <c r="G171" s="52" t="str">
        <f aca="false">IF($V$4=0,IF($O171="","",$O171),IFERROR(IF([1]入库吨位汇总!$L$170=0,"",[1]入库吨位汇总!$L$170),""))</f>
        <v/>
      </c>
      <c r="H171" s="41" t="str">
        <f aca="false">IF($V$4=0,IF($P171="","",$P171),IFERROR(IF([1]入库吨位汇总!$H$170=0,"",[1]入库吨位汇总!$H$170),""))</f>
        <v/>
      </c>
      <c r="I171" s="41" t="str">
        <f aca="false">IF($V$4=0,IF($Q171="","",$Q171),IFERROR(IF([1]入库吨位汇总!$I$170=0,"",[1]入库吨位汇总!$I$170),""))</f>
        <v/>
      </c>
      <c r="J171" s="10"/>
      <c r="K171" s="10"/>
      <c r="L171" s="53"/>
      <c r="M171" s="53"/>
      <c r="N171" s="54"/>
      <c r="O171" s="54"/>
      <c r="P171" s="54"/>
      <c r="Q171" s="54"/>
      <c r="R171" s="55" t="n">
        <f aca="false">IF(AND($B171&lt;&gt;"",$C171&lt;&gt;""),1,0)</f>
        <v>0</v>
      </c>
      <c r="S171" s="55" t="n">
        <f aca="false">N(S170)+$R171</f>
        <v>22</v>
      </c>
    </row>
    <row r="172" customFormat="false" ht="13.5" hidden="false" customHeight="false" outlineLevel="0" collapsed="false">
      <c r="A172" s="9" t="n">
        <v>171</v>
      </c>
      <c r="B172" s="39" t="str">
        <f aca="false">IF($V$4=0,IF($J172="","",$J172),IFERROR(IF([1]入库吨位汇总!$B$171=0,"",[1]入库吨位汇总!$B$171),""))</f>
        <v/>
      </c>
      <c r="C172" s="39" t="str">
        <f aca="false">IF($V$4=0,IF($K172="","",$K172),IFERROR(IF([1]入库吨位汇总!$C$171=0,"",[1]入库吨位汇总!$C$171),""))</f>
        <v/>
      </c>
      <c r="D172" s="51" t="str">
        <f aca="false">IF($V$4=0,IF($L172="","",$L172),IFERROR(IF([1]入库吨位汇总!$D$171=0,"",[1]入库吨位汇总!$D$171),""))</f>
        <v/>
      </c>
      <c r="E172" s="51" t="str">
        <f aca="false">IF($V$4=0,IF($M172="","",$M172),IFERROR(IF([1]入库吨位汇总!$E$171=0,"",[1]入库吨位汇总!$E$171),""))</f>
        <v/>
      </c>
      <c r="F172" s="41" t="str">
        <f aca="false">IF($V$4=0,IF($N172="","",$N172),IFERROR(IF([1]入库吨位汇总!$K$171=0,"",[1]入库吨位汇总!$K$171),""))</f>
        <v/>
      </c>
      <c r="G172" s="52" t="str">
        <f aca="false">IF($V$4=0,IF($O172="","",$O172),IFERROR(IF([1]入库吨位汇总!$L$171=0,"",[1]入库吨位汇总!$L$171),""))</f>
        <v/>
      </c>
      <c r="H172" s="41" t="str">
        <f aca="false">IF($V$4=0,IF($P172="","",$P172),IFERROR(IF([1]入库吨位汇总!$H$171=0,"",[1]入库吨位汇总!$H$171),""))</f>
        <v/>
      </c>
      <c r="I172" s="41" t="str">
        <f aca="false">IF($V$4=0,IF($Q172="","",$Q172),IFERROR(IF([1]入库吨位汇总!$I$171=0,"",[1]入库吨位汇总!$I$171),""))</f>
        <v/>
      </c>
      <c r="J172" s="10"/>
      <c r="K172" s="10"/>
      <c r="L172" s="53"/>
      <c r="M172" s="53"/>
      <c r="N172" s="54"/>
      <c r="O172" s="54"/>
      <c r="P172" s="54"/>
      <c r="Q172" s="54"/>
      <c r="R172" s="55" t="n">
        <f aca="false">IF(AND($B172&lt;&gt;"",$C172&lt;&gt;""),1,0)</f>
        <v>0</v>
      </c>
      <c r="S172" s="55" t="n">
        <f aca="false">N(S171)+$R172</f>
        <v>22</v>
      </c>
    </row>
    <row r="173" customFormat="false" ht="13.5" hidden="false" customHeight="false" outlineLevel="0" collapsed="false">
      <c r="A173" s="9" t="n">
        <v>172</v>
      </c>
      <c r="B173" s="39" t="str">
        <f aca="false">IF($V$4=0,IF($J173="","",$J173),IFERROR(IF([1]入库吨位汇总!$B$172=0,"",[1]入库吨位汇总!$B$172),""))</f>
        <v/>
      </c>
      <c r="C173" s="39" t="str">
        <f aca="false">IF($V$4=0,IF($K173="","",$K173),IFERROR(IF([1]入库吨位汇总!$C$172=0,"",[1]入库吨位汇总!$C$172),""))</f>
        <v/>
      </c>
      <c r="D173" s="51" t="str">
        <f aca="false">IF($V$4=0,IF($L173="","",$L173),IFERROR(IF([1]入库吨位汇总!$D$172=0,"",[1]入库吨位汇总!$D$172),""))</f>
        <v/>
      </c>
      <c r="E173" s="51" t="str">
        <f aca="false">IF($V$4=0,IF($M173="","",$M173),IFERROR(IF([1]入库吨位汇总!$E$172=0,"",[1]入库吨位汇总!$E$172),""))</f>
        <v/>
      </c>
      <c r="F173" s="41" t="str">
        <f aca="false">IF($V$4=0,IF($N173="","",$N173),IFERROR(IF([1]入库吨位汇总!$K$172=0,"",[1]入库吨位汇总!$K$172),""))</f>
        <v/>
      </c>
      <c r="G173" s="52" t="str">
        <f aca="false">IF($V$4=0,IF($O173="","",$O173),IFERROR(IF([1]入库吨位汇总!$L$172=0,"",[1]入库吨位汇总!$L$172),""))</f>
        <v/>
      </c>
      <c r="H173" s="41" t="str">
        <f aca="false">IF($V$4=0,IF($P173="","",$P173),IFERROR(IF([1]入库吨位汇总!$H$172=0,"",[1]入库吨位汇总!$H$172),""))</f>
        <v/>
      </c>
      <c r="I173" s="41" t="str">
        <f aca="false">IF($V$4=0,IF($Q173="","",$Q173),IFERROR(IF([1]入库吨位汇总!$I$172=0,"",[1]入库吨位汇总!$I$172),""))</f>
        <v/>
      </c>
      <c r="J173" s="10"/>
      <c r="K173" s="10"/>
      <c r="L173" s="53"/>
      <c r="M173" s="53"/>
      <c r="N173" s="54"/>
      <c r="O173" s="54"/>
      <c r="P173" s="54"/>
      <c r="Q173" s="54"/>
      <c r="R173" s="55" t="n">
        <f aca="false">IF(AND($B173&lt;&gt;"",$C173&lt;&gt;""),1,0)</f>
        <v>0</v>
      </c>
      <c r="S173" s="55" t="n">
        <f aca="false">N(S172)+$R173</f>
        <v>22</v>
      </c>
    </row>
    <row r="174" customFormat="false" ht="13.5" hidden="false" customHeight="false" outlineLevel="0" collapsed="false">
      <c r="A174" s="9" t="n">
        <v>173</v>
      </c>
      <c r="B174" s="39" t="str">
        <f aca="false">IF($V$4=0,IF($J174="","",$J174),IFERROR(IF([1]入库吨位汇总!$B$173=0,"",[1]入库吨位汇总!$B$173),""))</f>
        <v/>
      </c>
      <c r="C174" s="39" t="str">
        <f aca="false">IF($V$4=0,IF($K174="","",$K174),IFERROR(IF([1]入库吨位汇总!$C$173=0,"",[1]入库吨位汇总!$C$173),""))</f>
        <v/>
      </c>
      <c r="D174" s="51" t="str">
        <f aca="false">IF($V$4=0,IF($L174="","",$L174),IFERROR(IF([1]入库吨位汇总!$D$173=0,"",[1]入库吨位汇总!$D$173),""))</f>
        <v/>
      </c>
      <c r="E174" s="51" t="str">
        <f aca="false">IF($V$4=0,IF($M174="","",$M174),IFERROR(IF([1]入库吨位汇总!$E$173=0,"",[1]入库吨位汇总!$E$173),""))</f>
        <v/>
      </c>
      <c r="F174" s="41" t="str">
        <f aca="false">IF($V$4=0,IF($N174="","",$N174),IFERROR(IF([1]入库吨位汇总!$K$173=0,"",[1]入库吨位汇总!$K$173),""))</f>
        <v/>
      </c>
      <c r="G174" s="52" t="str">
        <f aca="false">IF($V$4=0,IF($O174="","",$O174),IFERROR(IF([1]入库吨位汇总!$L$173=0,"",[1]入库吨位汇总!$L$173),""))</f>
        <v/>
      </c>
      <c r="H174" s="41" t="str">
        <f aca="false">IF($V$4=0,IF($P174="","",$P174),IFERROR(IF([1]入库吨位汇总!$H$173=0,"",[1]入库吨位汇总!$H$173),""))</f>
        <v/>
      </c>
      <c r="I174" s="41" t="str">
        <f aca="false">IF($V$4=0,IF($Q174="","",$Q174),IFERROR(IF([1]入库吨位汇总!$I$173=0,"",[1]入库吨位汇总!$I$173),""))</f>
        <v/>
      </c>
      <c r="J174" s="10"/>
      <c r="K174" s="10"/>
      <c r="L174" s="53"/>
      <c r="M174" s="53"/>
      <c r="N174" s="54"/>
      <c r="O174" s="54"/>
      <c r="P174" s="54"/>
      <c r="Q174" s="54"/>
      <c r="R174" s="55" t="n">
        <f aca="false">IF(AND($B174&lt;&gt;"",$C174&lt;&gt;""),1,0)</f>
        <v>0</v>
      </c>
      <c r="S174" s="55" t="n">
        <f aca="false">N(S173)+$R174</f>
        <v>22</v>
      </c>
    </row>
    <row r="175" customFormat="false" ht="13.5" hidden="false" customHeight="false" outlineLevel="0" collapsed="false">
      <c r="A175" s="9" t="n">
        <v>174</v>
      </c>
      <c r="B175" s="39" t="str">
        <f aca="false">IF($V$4=0,IF($J175="","",$J175),IFERROR(IF([1]入库吨位汇总!$B$174=0,"",[1]入库吨位汇总!$B$174),""))</f>
        <v/>
      </c>
      <c r="C175" s="39" t="str">
        <f aca="false">IF($V$4=0,IF($K175="","",$K175),IFERROR(IF([1]入库吨位汇总!$C$174=0,"",[1]入库吨位汇总!$C$174),""))</f>
        <v/>
      </c>
      <c r="D175" s="51" t="str">
        <f aca="false">IF($V$4=0,IF($L175="","",$L175),IFERROR(IF([1]入库吨位汇总!$D$174=0,"",[1]入库吨位汇总!$D$174),""))</f>
        <v/>
      </c>
      <c r="E175" s="51" t="str">
        <f aca="false">IF($V$4=0,IF($M175="","",$M175),IFERROR(IF([1]入库吨位汇总!$E$174=0,"",[1]入库吨位汇总!$E$174),""))</f>
        <v/>
      </c>
      <c r="F175" s="41" t="str">
        <f aca="false">IF($V$4=0,IF($N175="","",$N175),IFERROR(IF([1]入库吨位汇总!$K$174=0,"",[1]入库吨位汇总!$K$174),""))</f>
        <v/>
      </c>
      <c r="G175" s="52" t="str">
        <f aca="false">IF($V$4=0,IF($O175="","",$O175),IFERROR(IF([1]入库吨位汇总!$L$174=0,"",[1]入库吨位汇总!$L$174),""))</f>
        <v/>
      </c>
      <c r="H175" s="41" t="str">
        <f aca="false">IF($V$4=0,IF($P175="","",$P175),IFERROR(IF([1]入库吨位汇总!$H$174=0,"",[1]入库吨位汇总!$H$174),""))</f>
        <v/>
      </c>
      <c r="I175" s="41" t="str">
        <f aca="false">IF($V$4=0,IF($Q175="","",$Q175),IFERROR(IF([1]入库吨位汇总!$I$174=0,"",[1]入库吨位汇总!$I$174),""))</f>
        <v/>
      </c>
      <c r="J175" s="10"/>
      <c r="K175" s="10"/>
      <c r="L175" s="53"/>
      <c r="M175" s="53"/>
      <c r="N175" s="54"/>
      <c r="O175" s="54"/>
      <c r="P175" s="54"/>
      <c r="Q175" s="54"/>
      <c r="R175" s="55" t="n">
        <f aca="false">IF(AND($B175&lt;&gt;"",$C175&lt;&gt;""),1,0)</f>
        <v>0</v>
      </c>
      <c r="S175" s="55" t="n">
        <f aca="false">N(S174)+$R175</f>
        <v>22</v>
      </c>
    </row>
    <row r="176" customFormat="false" ht="13.5" hidden="false" customHeight="false" outlineLevel="0" collapsed="false">
      <c r="A176" s="9" t="n">
        <v>175</v>
      </c>
      <c r="B176" s="39" t="str">
        <f aca="false">IF($V$4=0,IF($J176="","",$J176),IFERROR(IF([1]入库吨位汇总!$B$175=0,"",[1]入库吨位汇总!$B$175),""))</f>
        <v/>
      </c>
      <c r="C176" s="39" t="str">
        <f aca="false">IF($V$4=0,IF($K176="","",$K176),IFERROR(IF([1]入库吨位汇总!$C$175=0,"",[1]入库吨位汇总!$C$175),""))</f>
        <v/>
      </c>
      <c r="D176" s="51" t="str">
        <f aca="false">IF($V$4=0,IF($L176="","",$L176),IFERROR(IF([1]入库吨位汇总!$D$175=0,"",[1]入库吨位汇总!$D$175),""))</f>
        <v/>
      </c>
      <c r="E176" s="51" t="str">
        <f aca="false">IF($V$4=0,IF($M176="","",$M176),IFERROR(IF([1]入库吨位汇总!$E$175=0,"",[1]入库吨位汇总!$E$175),""))</f>
        <v/>
      </c>
      <c r="F176" s="41" t="str">
        <f aca="false">IF($V$4=0,IF($N176="","",$N176),IFERROR(IF([1]入库吨位汇总!$K$175=0,"",[1]入库吨位汇总!$K$175),""))</f>
        <v/>
      </c>
      <c r="G176" s="52" t="str">
        <f aca="false">IF($V$4=0,IF($O176="","",$O176),IFERROR(IF([1]入库吨位汇总!$L$175=0,"",[1]入库吨位汇总!$L$175),""))</f>
        <v/>
      </c>
      <c r="H176" s="41" t="str">
        <f aca="false">IF($V$4=0,IF($P176="","",$P176),IFERROR(IF([1]入库吨位汇总!$H$175=0,"",[1]入库吨位汇总!$H$175),""))</f>
        <v/>
      </c>
      <c r="I176" s="41" t="str">
        <f aca="false">IF($V$4=0,IF($Q176="","",$Q176),IFERROR(IF([1]入库吨位汇总!$I$175=0,"",[1]入库吨位汇总!$I$175),""))</f>
        <v/>
      </c>
      <c r="J176" s="10"/>
      <c r="K176" s="10"/>
      <c r="L176" s="53"/>
      <c r="M176" s="53"/>
      <c r="N176" s="54"/>
      <c r="O176" s="54"/>
      <c r="P176" s="54"/>
      <c r="Q176" s="54"/>
      <c r="R176" s="55" t="n">
        <f aca="false">IF(AND($B176&lt;&gt;"",$C176&lt;&gt;""),1,0)</f>
        <v>0</v>
      </c>
      <c r="S176" s="55" t="n">
        <f aca="false">N(S175)+$R176</f>
        <v>22</v>
      </c>
    </row>
    <row r="177" customFormat="false" ht="13.5" hidden="false" customHeight="false" outlineLevel="0" collapsed="false">
      <c r="A177" s="9" t="n">
        <v>176</v>
      </c>
      <c r="B177" s="39" t="str">
        <f aca="false">IF($V$4=0,IF($J177="","",$J177),IFERROR(IF([1]入库吨位汇总!$B$176=0,"",[1]入库吨位汇总!$B$176),""))</f>
        <v/>
      </c>
      <c r="C177" s="39" t="str">
        <f aca="false">IF($V$4=0,IF($K177="","",$K177),IFERROR(IF([1]入库吨位汇总!$C$176=0,"",[1]入库吨位汇总!$C$176),""))</f>
        <v/>
      </c>
      <c r="D177" s="51" t="str">
        <f aca="false">IF($V$4=0,IF($L177="","",$L177),IFERROR(IF([1]入库吨位汇总!$D$176=0,"",[1]入库吨位汇总!$D$176),""))</f>
        <v/>
      </c>
      <c r="E177" s="51" t="str">
        <f aca="false">IF($V$4=0,IF($M177="","",$M177),IFERROR(IF([1]入库吨位汇总!$E$176=0,"",[1]入库吨位汇总!$E$176),""))</f>
        <v/>
      </c>
      <c r="F177" s="41" t="str">
        <f aca="false">IF($V$4=0,IF($N177="","",$N177),IFERROR(IF([1]入库吨位汇总!$K$176=0,"",[1]入库吨位汇总!$K$176),""))</f>
        <v/>
      </c>
      <c r="G177" s="52" t="str">
        <f aca="false">IF($V$4=0,IF($O177="","",$O177),IFERROR(IF([1]入库吨位汇总!$L$176=0,"",[1]入库吨位汇总!$L$176),""))</f>
        <v/>
      </c>
      <c r="H177" s="41" t="str">
        <f aca="false">IF($V$4=0,IF($P177="","",$P177),IFERROR(IF([1]入库吨位汇总!$H$176=0,"",[1]入库吨位汇总!$H$176),""))</f>
        <v/>
      </c>
      <c r="I177" s="41" t="str">
        <f aca="false">IF($V$4=0,IF($Q177="","",$Q177),IFERROR(IF([1]入库吨位汇总!$I$176=0,"",[1]入库吨位汇总!$I$176),""))</f>
        <v/>
      </c>
      <c r="J177" s="10"/>
      <c r="K177" s="10"/>
      <c r="L177" s="53"/>
      <c r="M177" s="53"/>
      <c r="N177" s="54"/>
      <c r="O177" s="54"/>
      <c r="P177" s="54"/>
      <c r="Q177" s="54"/>
      <c r="R177" s="55" t="n">
        <f aca="false">IF(AND($B177&lt;&gt;"",$C177&lt;&gt;""),1,0)</f>
        <v>0</v>
      </c>
      <c r="S177" s="55" t="n">
        <f aca="false">N(S176)+$R177</f>
        <v>22</v>
      </c>
    </row>
    <row r="178" customFormat="false" ht="13.5" hidden="false" customHeight="false" outlineLevel="0" collapsed="false">
      <c r="A178" s="9" t="n">
        <v>177</v>
      </c>
      <c r="B178" s="39" t="str">
        <f aca="false">IF($V$4=0,IF($J178="","",$J178),IFERROR(IF([1]入库吨位汇总!$B$177=0,"",[1]入库吨位汇总!$B$177),""))</f>
        <v/>
      </c>
      <c r="C178" s="39" t="str">
        <f aca="false">IF($V$4=0,IF($K178="","",$K178),IFERROR(IF([1]入库吨位汇总!$C$177=0,"",[1]入库吨位汇总!$C$177),""))</f>
        <v/>
      </c>
      <c r="D178" s="51" t="str">
        <f aca="false">IF($V$4=0,IF($L178="","",$L178),IFERROR(IF([1]入库吨位汇总!$D$177=0,"",[1]入库吨位汇总!$D$177),""))</f>
        <v/>
      </c>
      <c r="E178" s="51" t="str">
        <f aca="false">IF($V$4=0,IF($M178="","",$M178),IFERROR(IF([1]入库吨位汇总!$E$177=0,"",[1]入库吨位汇总!$E$177),""))</f>
        <v/>
      </c>
      <c r="F178" s="41" t="str">
        <f aca="false">IF($V$4=0,IF($N178="","",$N178),IFERROR(IF([1]入库吨位汇总!$K$177=0,"",[1]入库吨位汇总!$K$177),""))</f>
        <v/>
      </c>
      <c r="G178" s="52" t="str">
        <f aca="false">IF($V$4=0,IF($O178="","",$O178),IFERROR(IF([1]入库吨位汇总!$L$177=0,"",[1]入库吨位汇总!$L$177),""))</f>
        <v/>
      </c>
      <c r="H178" s="41" t="str">
        <f aca="false">IF($V$4=0,IF($P178="","",$P178),IFERROR(IF([1]入库吨位汇总!$H$177=0,"",[1]入库吨位汇总!$H$177),""))</f>
        <v/>
      </c>
      <c r="I178" s="41" t="str">
        <f aca="false">IF($V$4=0,IF($Q178="","",$Q178),IFERROR(IF([1]入库吨位汇总!$I$177=0,"",[1]入库吨位汇总!$I$177),""))</f>
        <v/>
      </c>
      <c r="J178" s="10"/>
      <c r="K178" s="10"/>
      <c r="L178" s="53"/>
      <c r="M178" s="53"/>
      <c r="N178" s="54"/>
      <c r="O178" s="54"/>
      <c r="P178" s="54"/>
      <c r="Q178" s="54"/>
      <c r="R178" s="55" t="n">
        <f aca="false">IF(AND($B178&lt;&gt;"",$C178&lt;&gt;""),1,0)</f>
        <v>0</v>
      </c>
      <c r="S178" s="55" t="n">
        <f aca="false">N(S177)+$R178</f>
        <v>22</v>
      </c>
    </row>
    <row r="179" customFormat="false" ht="13.5" hidden="false" customHeight="false" outlineLevel="0" collapsed="false">
      <c r="A179" s="9" t="n">
        <v>178</v>
      </c>
      <c r="B179" s="39" t="str">
        <f aca="false">IF($V$4=0,IF($J179="","",$J179),IFERROR(IF([1]入库吨位汇总!$B$178=0,"",[1]入库吨位汇总!$B$178),""))</f>
        <v/>
      </c>
      <c r="C179" s="39" t="str">
        <f aca="false">IF($V$4=0,IF($K179="","",$K179),IFERROR(IF([1]入库吨位汇总!$C$178=0,"",[1]入库吨位汇总!$C$178),""))</f>
        <v/>
      </c>
      <c r="D179" s="51" t="str">
        <f aca="false">IF($V$4=0,IF($L179="","",$L179),IFERROR(IF([1]入库吨位汇总!$D$178=0,"",[1]入库吨位汇总!$D$178),""))</f>
        <v/>
      </c>
      <c r="E179" s="51" t="str">
        <f aca="false">IF($V$4=0,IF($M179="","",$M179),IFERROR(IF([1]入库吨位汇总!$E$178=0,"",[1]入库吨位汇总!$E$178),""))</f>
        <v/>
      </c>
      <c r="F179" s="41" t="str">
        <f aca="false">IF($V$4=0,IF($N179="","",$N179),IFERROR(IF([1]入库吨位汇总!$K$178=0,"",[1]入库吨位汇总!$K$178),""))</f>
        <v/>
      </c>
      <c r="G179" s="52" t="str">
        <f aca="false">IF($V$4=0,IF($O179="","",$O179),IFERROR(IF([1]入库吨位汇总!$L$178=0,"",[1]入库吨位汇总!$L$178),""))</f>
        <v/>
      </c>
      <c r="H179" s="41" t="str">
        <f aca="false">IF($V$4=0,IF($P179="","",$P179),IFERROR(IF([1]入库吨位汇总!$H$178=0,"",[1]入库吨位汇总!$H$178),""))</f>
        <v/>
      </c>
      <c r="I179" s="41" t="str">
        <f aca="false">IF($V$4=0,IF($Q179="","",$Q179),IFERROR(IF([1]入库吨位汇总!$I$178=0,"",[1]入库吨位汇总!$I$178),""))</f>
        <v/>
      </c>
      <c r="J179" s="10"/>
      <c r="K179" s="10"/>
      <c r="L179" s="53"/>
      <c r="M179" s="53"/>
      <c r="N179" s="54"/>
      <c r="O179" s="54"/>
      <c r="P179" s="54"/>
      <c r="Q179" s="54"/>
      <c r="R179" s="55" t="n">
        <f aca="false">IF(AND($B179&lt;&gt;"",$C179&lt;&gt;""),1,0)</f>
        <v>0</v>
      </c>
      <c r="S179" s="55" t="n">
        <f aca="false">N(S178)+$R179</f>
        <v>22</v>
      </c>
    </row>
    <row r="180" customFormat="false" ht="13.5" hidden="false" customHeight="false" outlineLevel="0" collapsed="false">
      <c r="A180" s="9" t="n">
        <v>179</v>
      </c>
      <c r="B180" s="39" t="str">
        <f aca="false">IF($V$4=0,IF($J180="","",$J180),IFERROR(IF([1]入库吨位汇总!$B$179=0,"",[1]入库吨位汇总!$B$179),""))</f>
        <v/>
      </c>
      <c r="C180" s="39" t="str">
        <f aca="false">IF($V$4=0,IF($K180="","",$K180),IFERROR(IF([1]入库吨位汇总!$C$179=0,"",[1]入库吨位汇总!$C$179),""))</f>
        <v/>
      </c>
      <c r="D180" s="51" t="str">
        <f aca="false">IF($V$4=0,IF($L180="","",$L180),IFERROR(IF([1]入库吨位汇总!$D$179=0,"",[1]入库吨位汇总!$D$179),""))</f>
        <v/>
      </c>
      <c r="E180" s="51" t="str">
        <f aca="false">IF($V$4=0,IF($M180="","",$M180),IFERROR(IF([1]入库吨位汇总!$E$179=0,"",[1]入库吨位汇总!$E$179),""))</f>
        <v/>
      </c>
      <c r="F180" s="41" t="str">
        <f aca="false">IF($V$4=0,IF($N180="","",$N180),IFERROR(IF([1]入库吨位汇总!$K$179=0,"",[1]入库吨位汇总!$K$179),""))</f>
        <v/>
      </c>
      <c r="G180" s="52" t="str">
        <f aca="false">IF($V$4=0,IF($O180="","",$O180),IFERROR(IF([1]入库吨位汇总!$L$179=0,"",[1]入库吨位汇总!$L$179),""))</f>
        <v/>
      </c>
      <c r="H180" s="41" t="str">
        <f aca="false">IF($V$4=0,IF($P180="","",$P180),IFERROR(IF([1]入库吨位汇总!$H$179=0,"",[1]入库吨位汇总!$H$179),""))</f>
        <v/>
      </c>
      <c r="I180" s="41" t="str">
        <f aca="false">IF($V$4=0,IF($Q180="","",$Q180),IFERROR(IF([1]入库吨位汇总!$I$179=0,"",[1]入库吨位汇总!$I$179),""))</f>
        <v/>
      </c>
      <c r="J180" s="10"/>
      <c r="K180" s="10"/>
      <c r="L180" s="53"/>
      <c r="M180" s="53"/>
      <c r="N180" s="54"/>
      <c r="O180" s="54"/>
      <c r="P180" s="54"/>
      <c r="Q180" s="54"/>
      <c r="R180" s="55" t="n">
        <f aca="false">IF(AND($B180&lt;&gt;"",$C180&lt;&gt;""),1,0)</f>
        <v>0</v>
      </c>
      <c r="S180" s="55" t="n">
        <f aca="false">N(S179)+$R180</f>
        <v>22</v>
      </c>
    </row>
    <row r="181" customFormat="false" ht="13.5" hidden="false" customHeight="false" outlineLevel="0" collapsed="false">
      <c r="A181" s="9" t="n">
        <v>180</v>
      </c>
      <c r="B181" s="39" t="str">
        <f aca="false">IF($V$4=0,IF($J181="","",$J181),IFERROR(IF([1]入库吨位汇总!$B$180=0,"",[1]入库吨位汇总!$B$180),""))</f>
        <v/>
      </c>
      <c r="C181" s="39" t="str">
        <f aca="false">IF($V$4=0,IF($K181="","",$K181),IFERROR(IF([1]入库吨位汇总!$C$180=0,"",[1]入库吨位汇总!$C$180),""))</f>
        <v/>
      </c>
      <c r="D181" s="51" t="str">
        <f aca="false">IF($V$4=0,IF($L181="","",$L181),IFERROR(IF([1]入库吨位汇总!$D$180=0,"",[1]入库吨位汇总!$D$180),""))</f>
        <v/>
      </c>
      <c r="E181" s="51" t="str">
        <f aca="false">IF($V$4=0,IF($M181="","",$M181),IFERROR(IF([1]入库吨位汇总!$E$180=0,"",[1]入库吨位汇总!$E$180),""))</f>
        <v/>
      </c>
      <c r="F181" s="41" t="str">
        <f aca="false">IF($V$4=0,IF($N181="","",$N181),IFERROR(IF([1]入库吨位汇总!$K$180=0,"",[1]入库吨位汇总!$K$180),""))</f>
        <v/>
      </c>
      <c r="G181" s="52" t="str">
        <f aca="false">IF($V$4=0,IF($O181="","",$O181),IFERROR(IF([1]入库吨位汇总!$L$180=0,"",[1]入库吨位汇总!$L$180),""))</f>
        <v/>
      </c>
      <c r="H181" s="41" t="str">
        <f aca="false">IF($V$4=0,IF($P181="","",$P181),IFERROR(IF([1]入库吨位汇总!$H$180=0,"",[1]入库吨位汇总!$H$180),""))</f>
        <v/>
      </c>
      <c r="I181" s="41" t="str">
        <f aca="false">IF($V$4=0,IF($Q181="","",$Q181),IFERROR(IF([1]入库吨位汇总!$I$180=0,"",[1]入库吨位汇总!$I$180),""))</f>
        <v/>
      </c>
      <c r="J181" s="10"/>
      <c r="K181" s="10"/>
      <c r="L181" s="53"/>
      <c r="M181" s="53"/>
      <c r="N181" s="54"/>
      <c r="O181" s="54"/>
      <c r="P181" s="54"/>
      <c r="Q181" s="54"/>
      <c r="R181" s="55" t="n">
        <f aca="false">IF(AND($B181&lt;&gt;"",$C181&lt;&gt;""),1,0)</f>
        <v>0</v>
      </c>
      <c r="S181" s="55" t="n">
        <f aca="false">N(S180)+$R181</f>
        <v>22</v>
      </c>
    </row>
    <row r="182" customFormat="false" ht="13.5" hidden="false" customHeight="false" outlineLevel="0" collapsed="false">
      <c r="A182" s="9" t="n">
        <v>181</v>
      </c>
      <c r="B182" s="39" t="str">
        <f aca="false">IF($V$4=0,IF($J182="","",$J182),IFERROR(IF([1]入库吨位汇总!$B$181=0,"",[1]入库吨位汇总!$B$181),""))</f>
        <v/>
      </c>
      <c r="C182" s="39" t="str">
        <f aca="false">IF($V$4=0,IF($K182="","",$K182),IFERROR(IF([1]入库吨位汇总!$C$181=0,"",[1]入库吨位汇总!$C$181),""))</f>
        <v/>
      </c>
      <c r="D182" s="51" t="str">
        <f aca="false">IF($V$4=0,IF($L182="","",$L182),IFERROR(IF([1]入库吨位汇总!$D$181=0,"",[1]入库吨位汇总!$D$181),""))</f>
        <v/>
      </c>
      <c r="E182" s="51" t="str">
        <f aca="false">IF($V$4=0,IF($M182="","",$M182),IFERROR(IF([1]入库吨位汇总!$E$181=0,"",[1]入库吨位汇总!$E$181),""))</f>
        <v/>
      </c>
      <c r="F182" s="41" t="str">
        <f aca="false">IF($V$4=0,IF($N182="","",$N182),IFERROR(IF([1]入库吨位汇总!$K$181=0,"",[1]入库吨位汇总!$K$181),""))</f>
        <v/>
      </c>
      <c r="G182" s="52" t="str">
        <f aca="false">IF($V$4=0,IF($O182="","",$O182),IFERROR(IF([1]入库吨位汇总!$L$181=0,"",[1]入库吨位汇总!$L$181),""))</f>
        <v/>
      </c>
      <c r="H182" s="41" t="str">
        <f aca="false">IF($V$4=0,IF($P182="","",$P182),IFERROR(IF([1]入库吨位汇总!$H$181=0,"",[1]入库吨位汇总!$H$181),""))</f>
        <v/>
      </c>
      <c r="I182" s="41" t="str">
        <f aca="false">IF($V$4=0,IF($Q182="","",$Q182),IFERROR(IF([1]入库吨位汇总!$I$181=0,"",[1]入库吨位汇总!$I$181),""))</f>
        <v/>
      </c>
      <c r="J182" s="10"/>
      <c r="K182" s="10"/>
      <c r="L182" s="53"/>
      <c r="M182" s="53"/>
      <c r="N182" s="54"/>
      <c r="O182" s="54"/>
      <c r="P182" s="54"/>
      <c r="Q182" s="54"/>
      <c r="R182" s="55" t="n">
        <f aca="false">IF(AND($B182&lt;&gt;"",$C182&lt;&gt;""),1,0)</f>
        <v>0</v>
      </c>
      <c r="S182" s="55" t="n">
        <f aca="false">N(S181)+$R182</f>
        <v>22</v>
      </c>
    </row>
    <row r="183" customFormat="false" ht="13.5" hidden="false" customHeight="false" outlineLevel="0" collapsed="false">
      <c r="A183" s="9" t="n">
        <v>182</v>
      </c>
      <c r="B183" s="39" t="str">
        <f aca="false">IF($V$4=0,IF($J183="","",$J183),IFERROR(IF([1]入库吨位汇总!$B$182=0,"",[1]入库吨位汇总!$B$182),""))</f>
        <v/>
      </c>
      <c r="C183" s="39" t="str">
        <f aca="false">IF($V$4=0,IF($K183="","",$K183),IFERROR(IF([1]入库吨位汇总!$C$182=0,"",[1]入库吨位汇总!$C$182),""))</f>
        <v/>
      </c>
      <c r="D183" s="51" t="str">
        <f aca="false">IF($V$4=0,IF($L183="","",$L183),IFERROR(IF([1]入库吨位汇总!$D$182=0,"",[1]入库吨位汇总!$D$182),""))</f>
        <v/>
      </c>
      <c r="E183" s="51" t="str">
        <f aca="false">IF($V$4=0,IF($M183="","",$M183),IFERROR(IF([1]入库吨位汇总!$E$182=0,"",[1]入库吨位汇总!$E$182),""))</f>
        <v/>
      </c>
      <c r="F183" s="41" t="str">
        <f aca="false">IF($V$4=0,IF($N183="","",$N183),IFERROR(IF([1]入库吨位汇总!$K$182=0,"",[1]入库吨位汇总!$K$182),""))</f>
        <v/>
      </c>
      <c r="G183" s="52" t="str">
        <f aca="false">IF($V$4=0,IF($O183="","",$O183),IFERROR(IF([1]入库吨位汇总!$L$182=0,"",[1]入库吨位汇总!$L$182),""))</f>
        <v/>
      </c>
      <c r="H183" s="41" t="str">
        <f aca="false">IF($V$4=0,IF($P183="","",$P183),IFERROR(IF([1]入库吨位汇总!$H$182=0,"",[1]入库吨位汇总!$H$182),""))</f>
        <v/>
      </c>
      <c r="I183" s="41" t="str">
        <f aca="false">IF($V$4=0,IF($Q183="","",$Q183),IFERROR(IF([1]入库吨位汇总!$I$182=0,"",[1]入库吨位汇总!$I$182),""))</f>
        <v/>
      </c>
      <c r="J183" s="10"/>
      <c r="K183" s="10"/>
      <c r="L183" s="53"/>
      <c r="M183" s="53"/>
      <c r="N183" s="54"/>
      <c r="O183" s="54"/>
      <c r="P183" s="54"/>
      <c r="Q183" s="54"/>
      <c r="R183" s="55" t="n">
        <f aca="false">IF(AND($B183&lt;&gt;"",$C183&lt;&gt;""),1,0)</f>
        <v>0</v>
      </c>
      <c r="S183" s="55" t="n">
        <f aca="false">N(S182)+$R183</f>
        <v>22</v>
      </c>
    </row>
    <row r="184" customFormat="false" ht="13.5" hidden="false" customHeight="false" outlineLevel="0" collapsed="false">
      <c r="A184" s="9" t="n">
        <v>183</v>
      </c>
      <c r="B184" s="39" t="str">
        <f aca="false">IF($V$4=0,IF($J184="","",$J184),IFERROR(IF([1]入库吨位汇总!$B$183=0,"",[1]入库吨位汇总!$B$183),""))</f>
        <v/>
      </c>
      <c r="C184" s="39" t="str">
        <f aca="false">IF($V$4=0,IF($K184="","",$K184),IFERROR(IF([1]入库吨位汇总!$C$183=0,"",[1]入库吨位汇总!$C$183),""))</f>
        <v/>
      </c>
      <c r="D184" s="51" t="str">
        <f aca="false">IF($V$4=0,IF($L184="","",$L184),IFERROR(IF([1]入库吨位汇总!$D$183=0,"",[1]入库吨位汇总!$D$183),""))</f>
        <v/>
      </c>
      <c r="E184" s="51" t="str">
        <f aca="false">IF($V$4=0,IF($M184="","",$M184),IFERROR(IF([1]入库吨位汇总!$E$183=0,"",[1]入库吨位汇总!$E$183),""))</f>
        <v/>
      </c>
      <c r="F184" s="41" t="str">
        <f aca="false">IF($V$4=0,IF($N184="","",$N184),IFERROR(IF([1]入库吨位汇总!$K$183=0,"",[1]入库吨位汇总!$K$183),""))</f>
        <v/>
      </c>
      <c r="G184" s="52" t="str">
        <f aca="false">IF($V$4=0,IF($O184="","",$O184),IFERROR(IF([1]入库吨位汇总!$L$183=0,"",[1]入库吨位汇总!$L$183),""))</f>
        <v/>
      </c>
      <c r="H184" s="41" t="str">
        <f aca="false">IF($V$4=0,IF($P184="","",$P184),IFERROR(IF([1]入库吨位汇总!$H$183=0,"",[1]入库吨位汇总!$H$183),""))</f>
        <v/>
      </c>
      <c r="I184" s="41" t="str">
        <f aca="false">IF($V$4=0,IF($Q184="","",$Q184),IFERROR(IF([1]入库吨位汇总!$I$183=0,"",[1]入库吨位汇总!$I$183),""))</f>
        <v/>
      </c>
      <c r="J184" s="10"/>
      <c r="K184" s="10"/>
      <c r="L184" s="53"/>
      <c r="M184" s="53"/>
      <c r="N184" s="54"/>
      <c r="O184" s="54"/>
      <c r="P184" s="54"/>
      <c r="Q184" s="54"/>
      <c r="R184" s="55" t="n">
        <f aca="false">IF(AND($B184&lt;&gt;"",$C184&lt;&gt;""),1,0)</f>
        <v>0</v>
      </c>
      <c r="S184" s="55" t="n">
        <f aca="false">N(S183)+$R184</f>
        <v>22</v>
      </c>
    </row>
    <row r="185" customFormat="false" ht="13.5" hidden="false" customHeight="false" outlineLevel="0" collapsed="false">
      <c r="A185" s="9" t="n">
        <v>184</v>
      </c>
      <c r="B185" s="39" t="str">
        <f aca="false">IF($V$4=0,IF($J185="","",$J185),IFERROR(IF([1]入库吨位汇总!$B$184=0,"",[1]入库吨位汇总!$B$184),""))</f>
        <v/>
      </c>
      <c r="C185" s="39" t="str">
        <f aca="false">IF($V$4=0,IF($K185="","",$K185),IFERROR(IF([1]入库吨位汇总!$C$184=0,"",[1]入库吨位汇总!$C$184),""))</f>
        <v/>
      </c>
      <c r="D185" s="51" t="str">
        <f aca="false">IF($V$4=0,IF($L185="","",$L185),IFERROR(IF([1]入库吨位汇总!$D$184=0,"",[1]入库吨位汇总!$D$184),""))</f>
        <v/>
      </c>
      <c r="E185" s="51" t="str">
        <f aca="false">IF($V$4=0,IF($M185="","",$M185),IFERROR(IF([1]入库吨位汇总!$E$184=0,"",[1]入库吨位汇总!$E$184),""))</f>
        <v/>
      </c>
      <c r="F185" s="41" t="str">
        <f aca="false">IF($V$4=0,IF($N185="","",$N185),IFERROR(IF([1]入库吨位汇总!$K$184=0,"",[1]入库吨位汇总!$K$184),""))</f>
        <v/>
      </c>
      <c r="G185" s="52" t="str">
        <f aca="false">IF($V$4=0,IF($O185="","",$O185),IFERROR(IF([1]入库吨位汇总!$L$184=0,"",[1]入库吨位汇总!$L$184),""))</f>
        <v/>
      </c>
      <c r="H185" s="41" t="str">
        <f aca="false">IF($V$4=0,IF($P185="","",$P185),IFERROR(IF([1]入库吨位汇总!$H$184=0,"",[1]入库吨位汇总!$H$184),""))</f>
        <v/>
      </c>
      <c r="I185" s="41" t="str">
        <f aca="false">IF($V$4=0,IF($Q185="","",$Q185),IFERROR(IF([1]入库吨位汇总!$I$184=0,"",[1]入库吨位汇总!$I$184),""))</f>
        <v/>
      </c>
      <c r="J185" s="10"/>
      <c r="K185" s="10"/>
      <c r="L185" s="53"/>
      <c r="M185" s="53"/>
      <c r="N185" s="54"/>
      <c r="O185" s="54"/>
      <c r="P185" s="54"/>
      <c r="Q185" s="54"/>
      <c r="R185" s="55" t="n">
        <f aca="false">IF(AND($B185&lt;&gt;"",$C185&lt;&gt;""),1,0)</f>
        <v>0</v>
      </c>
      <c r="S185" s="55" t="n">
        <f aca="false">N(S184)+$R185</f>
        <v>22</v>
      </c>
    </row>
    <row r="186" customFormat="false" ht="13.5" hidden="false" customHeight="false" outlineLevel="0" collapsed="false">
      <c r="A186" s="9" t="n">
        <v>185</v>
      </c>
      <c r="B186" s="39" t="str">
        <f aca="false">IF($V$4=0,IF($J186="","",$J186),IFERROR(IF([1]入库吨位汇总!$B$185=0,"",[1]入库吨位汇总!$B$185),""))</f>
        <v/>
      </c>
      <c r="C186" s="39" t="str">
        <f aca="false">IF($V$4=0,IF($K186="","",$K186),IFERROR(IF([1]入库吨位汇总!$C$185=0,"",[1]入库吨位汇总!$C$185),""))</f>
        <v/>
      </c>
      <c r="D186" s="51" t="str">
        <f aca="false">IF($V$4=0,IF($L186="","",$L186),IFERROR(IF([1]入库吨位汇总!$D$185=0,"",[1]入库吨位汇总!$D$185),""))</f>
        <v/>
      </c>
      <c r="E186" s="51" t="str">
        <f aca="false">IF($V$4=0,IF($M186="","",$M186),IFERROR(IF([1]入库吨位汇总!$E$185=0,"",[1]入库吨位汇总!$E$185),""))</f>
        <v/>
      </c>
      <c r="F186" s="41" t="str">
        <f aca="false">IF($V$4=0,IF($N186="","",$N186),IFERROR(IF([1]入库吨位汇总!$K$185=0,"",[1]入库吨位汇总!$K$185),""))</f>
        <v/>
      </c>
      <c r="G186" s="52" t="str">
        <f aca="false">IF($V$4=0,IF($O186="","",$O186),IFERROR(IF([1]入库吨位汇总!$L$185=0,"",[1]入库吨位汇总!$L$185),""))</f>
        <v/>
      </c>
      <c r="H186" s="41" t="str">
        <f aca="false">IF($V$4=0,IF($P186="","",$P186),IFERROR(IF([1]入库吨位汇总!$H$185=0,"",[1]入库吨位汇总!$H$185),""))</f>
        <v/>
      </c>
      <c r="I186" s="41" t="str">
        <f aca="false">IF($V$4=0,IF($Q186="","",$Q186),IFERROR(IF([1]入库吨位汇总!$I$185=0,"",[1]入库吨位汇总!$I$185),""))</f>
        <v/>
      </c>
      <c r="J186" s="10"/>
      <c r="K186" s="10"/>
      <c r="L186" s="53"/>
      <c r="M186" s="53"/>
      <c r="N186" s="54"/>
      <c r="O186" s="54"/>
      <c r="P186" s="54"/>
      <c r="Q186" s="54"/>
      <c r="R186" s="55" t="n">
        <f aca="false">IF(AND($B186&lt;&gt;"",$C186&lt;&gt;""),1,0)</f>
        <v>0</v>
      </c>
      <c r="S186" s="55" t="n">
        <f aca="false">N(S185)+$R186</f>
        <v>22</v>
      </c>
    </row>
    <row r="187" customFormat="false" ht="13.5" hidden="false" customHeight="false" outlineLevel="0" collapsed="false">
      <c r="A187" s="9" t="n">
        <v>186</v>
      </c>
      <c r="B187" s="39" t="str">
        <f aca="false">IF($V$4=0,IF($J187="","",$J187),IFERROR(IF([1]入库吨位汇总!$B$186=0,"",[1]入库吨位汇总!$B$186),""))</f>
        <v/>
      </c>
      <c r="C187" s="39" t="str">
        <f aca="false">IF($V$4=0,IF($K187="","",$K187),IFERROR(IF([1]入库吨位汇总!$C$186=0,"",[1]入库吨位汇总!$C$186),""))</f>
        <v/>
      </c>
      <c r="D187" s="51" t="str">
        <f aca="false">IF($V$4=0,IF($L187="","",$L187),IFERROR(IF([1]入库吨位汇总!$D$186=0,"",[1]入库吨位汇总!$D$186),""))</f>
        <v/>
      </c>
      <c r="E187" s="51" t="str">
        <f aca="false">IF($V$4=0,IF($M187="","",$M187),IFERROR(IF([1]入库吨位汇总!$E$186=0,"",[1]入库吨位汇总!$E$186),""))</f>
        <v/>
      </c>
      <c r="F187" s="41" t="str">
        <f aca="false">IF($V$4=0,IF($N187="","",$N187),IFERROR(IF([1]入库吨位汇总!$K$186=0,"",[1]入库吨位汇总!$K$186),""))</f>
        <v/>
      </c>
      <c r="G187" s="52" t="str">
        <f aca="false">IF($V$4=0,IF($O187="","",$O187),IFERROR(IF([1]入库吨位汇总!$L$186=0,"",[1]入库吨位汇总!$L$186),""))</f>
        <v/>
      </c>
      <c r="H187" s="41" t="str">
        <f aca="false">IF($V$4=0,IF($P187="","",$P187),IFERROR(IF([1]入库吨位汇总!$H$186=0,"",[1]入库吨位汇总!$H$186),""))</f>
        <v/>
      </c>
      <c r="I187" s="41" t="str">
        <f aca="false">IF($V$4=0,IF($Q187="","",$Q187),IFERROR(IF([1]入库吨位汇总!$I$186=0,"",[1]入库吨位汇总!$I$186),""))</f>
        <v/>
      </c>
      <c r="J187" s="10"/>
      <c r="K187" s="10"/>
      <c r="L187" s="53"/>
      <c r="M187" s="53"/>
      <c r="N187" s="54"/>
      <c r="O187" s="54"/>
      <c r="P187" s="54"/>
      <c r="Q187" s="54"/>
      <c r="R187" s="55" t="n">
        <f aca="false">IF(AND($B187&lt;&gt;"",$C187&lt;&gt;""),1,0)</f>
        <v>0</v>
      </c>
      <c r="S187" s="55" t="n">
        <f aca="false">N(S186)+$R187</f>
        <v>22</v>
      </c>
    </row>
    <row r="188" customFormat="false" ht="13.5" hidden="false" customHeight="false" outlineLevel="0" collapsed="false">
      <c r="A188" s="9" t="n">
        <v>187</v>
      </c>
      <c r="B188" s="39" t="str">
        <f aca="false">IF($V$4=0,IF($J188="","",$J188),IFERROR(IF([1]入库吨位汇总!$B$187=0,"",[1]入库吨位汇总!$B$187),""))</f>
        <v/>
      </c>
      <c r="C188" s="39" t="str">
        <f aca="false">IF($V$4=0,IF($K188="","",$K188),IFERROR(IF([1]入库吨位汇总!$C$187=0,"",[1]入库吨位汇总!$C$187),""))</f>
        <v/>
      </c>
      <c r="D188" s="51" t="str">
        <f aca="false">IF($V$4=0,IF($L188="","",$L188),IFERROR(IF([1]入库吨位汇总!$D$187=0,"",[1]入库吨位汇总!$D$187),""))</f>
        <v/>
      </c>
      <c r="E188" s="51" t="str">
        <f aca="false">IF($V$4=0,IF($M188="","",$M188),IFERROR(IF([1]入库吨位汇总!$E$187=0,"",[1]入库吨位汇总!$E$187),""))</f>
        <v/>
      </c>
      <c r="F188" s="41" t="str">
        <f aca="false">IF($V$4=0,IF($N188="","",$N188),IFERROR(IF([1]入库吨位汇总!$K$187=0,"",[1]入库吨位汇总!$K$187),""))</f>
        <v/>
      </c>
      <c r="G188" s="52" t="str">
        <f aca="false">IF($V$4=0,IF($O188="","",$O188),IFERROR(IF([1]入库吨位汇总!$L$187=0,"",[1]入库吨位汇总!$L$187),""))</f>
        <v/>
      </c>
      <c r="H188" s="41" t="str">
        <f aca="false">IF($V$4=0,IF($P188="","",$P188),IFERROR(IF([1]入库吨位汇总!$H$187=0,"",[1]入库吨位汇总!$H$187),""))</f>
        <v/>
      </c>
      <c r="I188" s="41" t="str">
        <f aca="false">IF($V$4=0,IF($Q188="","",$Q188),IFERROR(IF([1]入库吨位汇总!$I$187=0,"",[1]入库吨位汇总!$I$187),""))</f>
        <v/>
      </c>
      <c r="J188" s="10"/>
      <c r="K188" s="10"/>
      <c r="L188" s="53"/>
      <c r="M188" s="53"/>
      <c r="N188" s="54"/>
      <c r="O188" s="54"/>
      <c r="P188" s="54"/>
      <c r="Q188" s="54"/>
      <c r="R188" s="55" t="n">
        <f aca="false">IF(AND($B188&lt;&gt;"",$C188&lt;&gt;""),1,0)</f>
        <v>0</v>
      </c>
      <c r="S188" s="55" t="n">
        <f aca="false">N(S187)+$R188</f>
        <v>22</v>
      </c>
    </row>
    <row r="189" customFormat="false" ht="13.5" hidden="false" customHeight="false" outlineLevel="0" collapsed="false">
      <c r="A189" s="9" t="n">
        <v>188</v>
      </c>
      <c r="B189" s="39" t="str">
        <f aca="false">IF($V$4=0,IF($J189="","",$J189),IFERROR(IF([1]入库吨位汇总!$B$188=0,"",[1]入库吨位汇总!$B$188),""))</f>
        <v/>
      </c>
      <c r="C189" s="39" t="str">
        <f aca="false">IF($V$4=0,IF($K189="","",$K189),IFERROR(IF([1]入库吨位汇总!$C$188=0,"",[1]入库吨位汇总!$C$188),""))</f>
        <v/>
      </c>
      <c r="D189" s="51" t="str">
        <f aca="false">IF($V$4=0,IF($L189="","",$L189),IFERROR(IF([1]入库吨位汇总!$D$188=0,"",[1]入库吨位汇总!$D$188),""))</f>
        <v/>
      </c>
      <c r="E189" s="51" t="str">
        <f aca="false">IF($V$4=0,IF($M189="","",$M189),IFERROR(IF([1]入库吨位汇总!$E$188=0,"",[1]入库吨位汇总!$E$188),""))</f>
        <v/>
      </c>
      <c r="F189" s="41" t="str">
        <f aca="false">IF($V$4=0,IF($N189="","",$N189),IFERROR(IF([1]入库吨位汇总!$K$188=0,"",[1]入库吨位汇总!$K$188),""))</f>
        <v/>
      </c>
      <c r="G189" s="52" t="str">
        <f aca="false">IF($V$4=0,IF($O189="","",$O189),IFERROR(IF([1]入库吨位汇总!$L$188=0,"",[1]入库吨位汇总!$L$188),""))</f>
        <v/>
      </c>
      <c r="H189" s="41" t="str">
        <f aca="false">IF($V$4=0,IF($P189="","",$P189),IFERROR(IF([1]入库吨位汇总!$H$188=0,"",[1]入库吨位汇总!$H$188),""))</f>
        <v/>
      </c>
      <c r="I189" s="41" t="str">
        <f aca="false">IF($V$4=0,IF($Q189="","",$Q189),IFERROR(IF([1]入库吨位汇总!$I$188=0,"",[1]入库吨位汇总!$I$188),""))</f>
        <v/>
      </c>
      <c r="J189" s="10"/>
      <c r="K189" s="10"/>
      <c r="L189" s="53"/>
      <c r="M189" s="53"/>
      <c r="N189" s="54"/>
      <c r="O189" s="54"/>
      <c r="P189" s="54"/>
      <c r="Q189" s="54"/>
      <c r="R189" s="55" t="n">
        <f aca="false">IF(AND($B189&lt;&gt;"",$C189&lt;&gt;""),1,0)</f>
        <v>0</v>
      </c>
      <c r="S189" s="55" t="n">
        <f aca="false">N(S188)+$R189</f>
        <v>22</v>
      </c>
    </row>
    <row r="190" customFormat="false" ht="13.5" hidden="false" customHeight="false" outlineLevel="0" collapsed="false">
      <c r="A190" s="9" t="n">
        <v>189</v>
      </c>
      <c r="B190" s="39" t="str">
        <f aca="false">IF($V$4=0,IF($J190="","",$J190),IFERROR(IF([1]入库吨位汇总!$B$189=0,"",[1]入库吨位汇总!$B$189),""))</f>
        <v/>
      </c>
      <c r="C190" s="39" t="str">
        <f aca="false">IF($V$4=0,IF($K190="","",$K190),IFERROR(IF([1]入库吨位汇总!$C$189=0,"",[1]入库吨位汇总!$C$189),""))</f>
        <v/>
      </c>
      <c r="D190" s="51" t="str">
        <f aca="false">IF($V$4=0,IF($L190="","",$L190),IFERROR(IF([1]入库吨位汇总!$D$189=0,"",[1]入库吨位汇总!$D$189),""))</f>
        <v/>
      </c>
      <c r="E190" s="51" t="str">
        <f aca="false">IF($V$4=0,IF($M190="","",$M190),IFERROR(IF([1]入库吨位汇总!$E$189=0,"",[1]入库吨位汇总!$E$189),""))</f>
        <v/>
      </c>
      <c r="F190" s="41" t="str">
        <f aca="false">IF($V$4=0,IF($N190="","",$N190),IFERROR(IF([1]入库吨位汇总!$K$189=0,"",[1]入库吨位汇总!$K$189),""))</f>
        <v/>
      </c>
      <c r="G190" s="52" t="str">
        <f aca="false">IF($V$4=0,IF($O190="","",$O190),IFERROR(IF([1]入库吨位汇总!$L$189=0,"",[1]入库吨位汇总!$L$189),""))</f>
        <v/>
      </c>
      <c r="H190" s="41" t="str">
        <f aca="false">IF($V$4=0,IF($P190="","",$P190),IFERROR(IF([1]入库吨位汇总!$H$189=0,"",[1]入库吨位汇总!$H$189),""))</f>
        <v/>
      </c>
      <c r="I190" s="41" t="str">
        <f aca="false">IF($V$4=0,IF($Q190="","",$Q190),IFERROR(IF([1]入库吨位汇总!$I$189=0,"",[1]入库吨位汇总!$I$189),""))</f>
        <v/>
      </c>
      <c r="J190" s="10"/>
      <c r="K190" s="10"/>
      <c r="L190" s="53"/>
      <c r="M190" s="53"/>
      <c r="N190" s="54"/>
      <c r="O190" s="54"/>
      <c r="P190" s="54"/>
      <c r="Q190" s="54"/>
      <c r="R190" s="55" t="n">
        <f aca="false">IF(AND($B190&lt;&gt;"",$C190&lt;&gt;""),1,0)</f>
        <v>0</v>
      </c>
      <c r="S190" s="55" t="n">
        <f aca="false">N(S189)+$R190</f>
        <v>22</v>
      </c>
    </row>
    <row r="191" customFormat="false" ht="13.5" hidden="false" customHeight="false" outlineLevel="0" collapsed="false">
      <c r="A191" s="9" t="n">
        <v>190</v>
      </c>
      <c r="B191" s="39" t="str">
        <f aca="false">IF($V$4=0,IF($J191="","",$J191),IFERROR(IF([1]入库吨位汇总!$B$190=0,"",[1]入库吨位汇总!$B$190),""))</f>
        <v/>
      </c>
      <c r="C191" s="39" t="str">
        <f aca="false">IF($V$4=0,IF($K191="","",$K191),IFERROR(IF([1]入库吨位汇总!$C$190=0,"",[1]入库吨位汇总!$C$190),""))</f>
        <v/>
      </c>
      <c r="D191" s="51" t="str">
        <f aca="false">IF($V$4=0,IF($L191="","",$L191),IFERROR(IF([1]入库吨位汇总!$D$190=0,"",[1]入库吨位汇总!$D$190),""))</f>
        <v/>
      </c>
      <c r="E191" s="51" t="str">
        <f aca="false">IF($V$4=0,IF($M191="","",$M191),IFERROR(IF([1]入库吨位汇总!$E$190=0,"",[1]入库吨位汇总!$E$190),""))</f>
        <v/>
      </c>
      <c r="F191" s="41" t="str">
        <f aca="false">IF($V$4=0,IF($N191="","",$N191),IFERROR(IF([1]入库吨位汇总!$K$190=0,"",[1]入库吨位汇总!$K$190),""))</f>
        <v/>
      </c>
      <c r="G191" s="52" t="str">
        <f aca="false">IF($V$4=0,IF($O191="","",$O191),IFERROR(IF([1]入库吨位汇总!$L$190=0,"",[1]入库吨位汇总!$L$190),""))</f>
        <v/>
      </c>
      <c r="H191" s="41" t="str">
        <f aca="false">IF($V$4=0,IF($P191="","",$P191),IFERROR(IF([1]入库吨位汇总!$H$190=0,"",[1]入库吨位汇总!$H$190),""))</f>
        <v/>
      </c>
      <c r="I191" s="41" t="str">
        <f aca="false">IF($V$4=0,IF($Q191="","",$Q191),IFERROR(IF([1]入库吨位汇总!$I$190=0,"",[1]入库吨位汇总!$I$190),""))</f>
        <v/>
      </c>
      <c r="J191" s="10"/>
      <c r="K191" s="10"/>
      <c r="L191" s="53"/>
      <c r="M191" s="53"/>
      <c r="N191" s="54"/>
      <c r="O191" s="54"/>
      <c r="P191" s="54"/>
      <c r="Q191" s="54"/>
      <c r="R191" s="55" t="n">
        <f aca="false">IF(AND($B191&lt;&gt;"",$C191&lt;&gt;""),1,0)</f>
        <v>0</v>
      </c>
      <c r="S191" s="55" t="n">
        <f aca="false">N(S190)+$R191</f>
        <v>22</v>
      </c>
    </row>
    <row r="192" customFormat="false" ht="13.5" hidden="false" customHeight="false" outlineLevel="0" collapsed="false">
      <c r="A192" s="9" t="n">
        <v>191</v>
      </c>
      <c r="B192" s="39" t="str">
        <f aca="false">IF($V$4=0,IF($J192="","",$J192),IFERROR(IF([1]入库吨位汇总!$B$191=0,"",[1]入库吨位汇总!$B$191),""))</f>
        <v/>
      </c>
      <c r="C192" s="39" t="str">
        <f aca="false">IF($V$4=0,IF($K192="","",$K192),IFERROR(IF([1]入库吨位汇总!$C$191=0,"",[1]入库吨位汇总!$C$191),""))</f>
        <v/>
      </c>
      <c r="D192" s="51" t="str">
        <f aca="false">IF($V$4=0,IF($L192="","",$L192),IFERROR(IF([1]入库吨位汇总!$D$191=0,"",[1]入库吨位汇总!$D$191),""))</f>
        <v/>
      </c>
      <c r="E192" s="51" t="str">
        <f aca="false">IF($V$4=0,IF($M192="","",$M192),IFERROR(IF([1]入库吨位汇总!$E$191=0,"",[1]入库吨位汇总!$E$191),""))</f>
        <v/>
      </c>
      <c r="F192" s="41" t="str">
        <f aca="false">IF($V$4=0,IF($N192="","",$N192),IFERROR(IF([1]入库吨位汇总!$K$191=0,"",[1]入库吨位汇总!$K$191),""))</f>
        <v/>
      </c>
      <c r="G192" s="52" t="str">
        <f aca="false">IF($V$4=0,IF($O192="","",$O192),IFERROR(IF([1]入库吨位汇总!$L$191=0,"",[1]入库吨位汇总!$L$191),""))</f>
        <v/>
      </c>
      <c r="H192" s="41" t="str">
        <f aca="false">IF($V$4=0,IF($P192="","",$P192),IFERROR(IF([1]入库吨位汇总!$H$191=0,"",[1]入库吨位汇总!$H$191),""))</f>
        <v/>
      </c>
      <c r="I192" s="41" t="str">
        <f aca="false">IF($V$4=0,IF($Q192="","",$Q192),IFERROR(IF([1]入库吨位汇总!$I$191=0,"",[1]入库吨位汇总!$I$191),""))</f>
        <v/>
      </c>
      <c r="J192" s="10"/>
      <c r="K192" s="10"/>
      <c r="L192" s="53"/>
      <c r="M192" s="53"/>
      <c r="N192" s="54"/>
      <c r="O192" s="54"/>
      <c r="P192" s="54"/>
      <c r="Q192" s="54"/>
      <c r="R192" s="55" t="n">
        <f aca="false">IF(AND($B192&lt;&gt;"",$C192&lt;&gt;""),1,0)</f>
        <v>0</v>
      </c>
      <c r="S192" s="55" t="n">
        <f aca="false">N(S191)+$R192</f>
        <v>22</v>
      </c>
    </row>
    <row r="193" customFormat="false" ht="13.5" hidden="false" customHeight="false" outlineLevel="0" collapsed="false">
      <c r="A193" s="9" t="n">
        <v>192</v>
      </c>
      <c r="B193" s="39" t="str">
        <f aca="false">IF($V$4=0,IF($J193="","",$J193),IFERROR(IF([1]入库吨位汇总!$B$192=0,"",[1]入库吨位汇总!$B$192),""))</f>
        <v/>
      </c>
      <c r="C193" s="39" t="str">
        <f aca="false">IF($V$4=0,IF($K193="","",$K193),IFERROR(IF([1]入库吨位汇总!$C$192=0,"",[1]入库吨位汇总!$C$192),""))</f>
        <v/>
      </c>
      <c r="D193" s="51" t="str">
        <f aca="false">IF($V$4=0,IF($L193="","",$L193),IFERROR(IF([1]入库吨位汇总!$D$192=0,"",[1]入库吨位汇总!$D$192),""))</f>
        <v/>
      </c>
      <c r="E193" s="51" t="str">
        <f aca="false">IF($V$4=0,IF($M193="","",$M193),IFERROR(IF([1]入库吨位汇总!$E$192=0,"",[1]入库吨位汇总!$E$192),""))</f>
        <v/>
      </c>
      <c r="F193" s="41" t="str">
        <f aca="false">IF($V$4=0,IF($N193="","",$N193),IFERROR(IF([1]入库吨位汇总!$K$192=0,"",[1]入库吨位汇总!$K$192),""))</f>
        <v/>
      </c>
      <c r="G193" s="52" t="str">
        <f aca="false">IF($V$4=0,IF($O193="","",$O193),IFERROR(IF([1]入库吨位汇总!$L$192=0,"",[1]入库吨位汇总!$L$192),""))</f>
        <v/>
      </c>
      <c r="H193" s="41" t="str">
        <f aca="false">IF($V$4=0,IF($P193="","",$P193),IFERROR(IF([1]入库吨位汇总!$H$192=0,"",[1]入库吨位汇总!$H$192),""))</f>
        <v/>
      </c>
      <c r="I193" s="41" t="str">
        <f aca="false">IF($V$4=0,IF($Q193="","",$Q193),IFERROR(IF([1]入库吨位汇总!$I$192=0,"",[1]入库吨位汇总!$I$192),""))</f>
        <v/>
      </c>
      <c r="J193" s="10"/>
      <c r="K193" s="10"/>
      <c r="L193" s="53"/>
      <c r="M193" s="53"/>
      <c r="N193" s="54"/>
      <c r="O193" s="54"/>
      <c r="P193" s="54"/>
      <c r="Q193" s="54"/>
      <c r="R193" s="55" t="n">
        <f aca="false">IF(AND($B193&lt;&gt;"",$C193&lt;&gt;""),1,0)</f>
        <v>0</v>
      </c>
      <c r="S193" s="55" t="n">
        <f aca="false">N(S192)+$R193</f>
        <v>22</v>
      </c>
    </row>
    <row r="194" customFormat="false" ht="13.5" hidden="false" customHeight="false" outlineLevel="0" collapsed="false">
      <c r="A194" s="9" t="n">
        <v>193</v>
      </c>
      <c r="B194" s="39" t="str">
        <f aca="false">IF($V$4=0,IF($J194="","",$J194),IFERROR(IF([1]入库吨位汇总!$B$193=0,"",[1]入库吨位汇总!$B$193),""))</f>
        <v/>
      </c>
      <c r="C194" s="39" t="str">
        <f aca="false">IF($V$4=0,IF($K194="","",$K194),IFERROR(IF([1]入库吨位汇总!$C$193=0,"",[1]入库吨位汇总!$C$193),""))</f>
        <v/>
      </c>
      <c r="D194" s="51" t="str">
        <f aca="false">IF($V$4=0,IF($L194="","",$L194),IFERROR(IF([1]入库吨位汇总!$D$193=0,"",[1]入库吨位汇总!$D$193),""))</f>
        <v/>
      </c>
      <c r="E194" s="51" t="str">
        <f aca="false">IF($V$4=0,IF($M194="","",$M194),IFERROR(IF([1]入库吨位汇总!$E$193=0,"",[1]入库吨位汇总!$E$193),""))</f>
        <v/>
      </c>
      <c r="F194" s="41" t="str">
        <f aca="false">IF($V$4=0,IF($N194="","",$N194),IFERROR(IF([1]入库吨位汇总!$K$193=0,"",[1]入库吨位汇总!$K$193),""))</f>
        <v/>
      </c>
      <c r="G194" s="52" t="str">
        <f aca="false">IF($V$4=0,IF($O194="","",$O194),IFERROR(IF([1]入库吨位汇总!$L$193=0,"",[1]入库吨位汇总!$L$193),""))</f>
        <v/>
      </c>
      <c r="H194" s="41" t="str">
        <f aca="false">IF($V$4=0,IF($P194="","",$P194),IFERROR(IF([1]入库吨位汇总!$H$193=0,"",[1]入库吨位汇总!$H$193),""))</f>
        <v/>
      </c>
      <c r="I194" s="41" t="str">
        <f aca="false">IF($V$4=0,IF($Q194="","",$Q194),IFERROR(IF([1]入库吨位汇总!$I$193=0,"",[1]入库吨位汇总!$I$193),""))</f>
        <v/>
      </c>
      <c r="J194" s="10"/>
      <c r="K194" s="10"/>
      <c r="L194" s="53"/>
      <c r="M194" s="53"/>
      <c r="N194" s="54"/>
      <c r="O194" s="54"/>
      <c r="P194" s="54"/>
      <c r="Q194" s="54"/>
      <c r="R194" s="55" t="n">
        <f aca="false">IF(AND($B194&lt;&gt;"",$C194&lt;&gt;""),1,0)</f>
        <v>0</v>
      </c>
      <c r="S194" s="55" t="n">
        <f aca="false">N(S193)+$R194</f>
        <v>22</v>
      </c>
    </row>
    <row r="195" customFormat="false" ht="13.5" hidden="false" customHeight="false" outlineLevel="0" collapsed="false">
      <c r="A195" s="9" t="n">
        <v>194</v>
      </c>
      <c r="B195" s="39" t="str">
        <f aca="false">IF($V$4=0,IF($J195="","",$J195),IFERROR(IF([1]入库吨位汇总!$B$194=0,"",[1]入库吨位汇总!$B$194),""))</f>
        <v/>
      </c>
      <c r="C195" s="39" t="str">
        <f aca="false">IF($V$4=0,IF($K195="","",$K195),IFERROR(IF([1]入库吨位汇总!$C$194=0,"",[1]入库吨位汇总!$C$194),""))</f>
        <v/>
      </c>
      <c r="D195" s="51" t="str">
        <f aca="false">IF($V$4=0,IF($L195="","",$L195),IFERROR(IF([1]入库吨位汇总!$D$194=0,"",[1]入库吨位汇总!$D$194),""))</f>
        <v/>
      </c>
      <c r="E195" s="51" t="str">
        <f aca="false">IF($V$4=0,IF($M195="","",$M195),IFERROR(IF([1]入库吨位汇总!$E$194=0,"",[1]入库吨位汇总!$E$194),""))</f>
        <v/>
      </c>
      <c r="F195" s="41" t="str">
        <f aca="false">IF($V$4=0,IF($N195="","",$N195),IFERROR(IF([1]入库吨位汇总!$K$194=0,"",[1]入库吨位汇总!$K$194),""))</f>
        <v/>
      </c>
      <c r="G195" s="52" t="str">
        <f aca="false">IF($V$4=0,IF($O195="","",$O195),IFERROR(IF([1]入库吨位汇总!$L$194=0,"",[1]入库吨位汇总!$L$194),""))</f>
        <v/>
      </c>
      <c r="H195" s="41" t="str">
        <f aca="false">IF($V$4=0,IF($P195="","",$P195),IFERROR(IF([1]入库吨位汇总!$H$194=0,"",[1]入库吨位汇总!$H$194),""))</f>
        <v/>
      </c>
      <c r="I195" s="41" t="str">
        <f aca="false">IF($V$4=0,IF($Q195="","",$Q195),IFERROR(IF([1]入库吨位汇总!$I$194=0,"",[1]入库吨位汇总!$I$194),""))</f>
        <v/>
      </c>
      <c r="J195" s="10"/>
      <c r="K195" s="10"/>
      <c r="L195" s="53"/>
      <c r="M195" s="53"/>
      <c r="N195" s="54"/>
      <c r="O195" s="54"/>
      <c r="P195" s="54"/>
      <c r="Q195" s="54"/>
      <c r="R195" s="55" t="n">
        <f aca="false">IF(AND($B195&lt;&gt;"",$C195&lt;&gt;""),1,0)</f>
        <v>0</v>
      </c>
      <c r="S195" s="55" t="n">
        <f aca="false">N(S194)+$R195</f>
        <v>22</v>
      </c>
    </row>
    <row r="196" customFormat="false" ht="13.5" hidden="false" customHeight="false" outlineLevel="0" collapsed="false">
      <c r="A196" s="9" t="n">
        <v>195</v>
      </c>
      <c r="B196" s="39" t="str">
        <f aca="false">IF($V$4=0,IF($J196="","",$J196),IFERROR(IF([1]入库吨位汇总!$B$195=0,"",[1]入库吨位汇总!$B$195),""))</f>
        <v/>
      </c>
      <c r="C196" s="39" t="str">
        <f aca="false">IF($V$4=0,IF($K196="","",$K196),IFERROR(IF([1]入库吨位汇总!$C$195=0,"",[1]入库吨位汇总!$C$195),""))</f>
        <v/>
      </c>
      <c r="D196" s="51" t="str">
        <f aca="false">IF($V$4=0,IF($L196="","",$L196),IFERROR(IF([1]入库吨位汇总!$D$195=0,"",[1]入库吨位汇总!$D$195),""))</f>
        <v/>
      </c>
      <c r="E196" s="51" t="str">
        <f aca="false">IF($V$4=0,IF($M196="","",$M196),IFERROR(IF([1]入库吨位汇总!$E$195=0,"",[1]入库吨位汇总!$E$195),""))</f>
        <v/>
      </c>
      <c r="F196" s="41" t="str">
        <f aca="false">IF($V$4=0,IF($N196="","",$N196),IFERROR(IF([1]入库吨位汇总!$K$195=0,"",[1]入库吨位汇总!$K$195),""))</f>
        <v/>
      </c>
      <c r="G196" s="52" t="str">
        <f aca="false">IF($V$4=0,IF($O196="","",$O196),IFERROR(IF([1]入库吨位汇总!$L$195=0,"",[1]入库吨位汇总!$L$195),""))</f>
        <v/>
      </c>
      <c r="H196" s="41" t="str">
        <f aca="false">IF($V$4=0,IF($P196="","",$P196),IFERROR(IF([1]入库吨位汇总!$H$195=0,"",[1]入库吨位汇总!$H$195),""))</f>
        <v/>
      </c>
      <c r="I196" s="41" t="str">
        <f aca="false">IF($V$4=0,IF($Q196="","",$Q196),IFERROR(IF([1]入库吨位汇总!$I$195=0,"",[1]入库吨位汇总!$I$195),""))</f>
        <v/>
      </c>
      <c r="J196" s="10"/>
      <c r="K196" s="10"/>
      <c r="L196" s="53"/>
      <c r="M196" s="53"/>
      <c r="N196" s="54"/>
      <c r="O196" s="54"/>
      <c r="P196" s="54"/>
      <c r="Q196" s="54"/>
      <c r="R196" s="55" t="n">
        <f aca="false">IF(AND($B196&lt;&gt;"",$C196&lt;&gt;""),1,0)</f>
        <v>0</v>
      </c>
      <c r="S196" s="55" t="n">
        <f aca="false">N(S195)+$R196</f>
        <v>22</v>
      </c>
    </row>
    <row r="197" customFormat="false" ht="13.5" hidden="false" customHeight="false" outlineLevel="0" collapsed="false">
      <c r="A197" s="9" t="n">
        <v>196</v>
      </c>
      <c r="B197" s="39" t="str">
        <f aca="false">IF($V$4=0,IF($J197="","",$J197),IFERROR(IF([1]入库吨位汇总!$B$196=0,"",[1]入库吨位汇总!$B$196),""))</f>
        <v/>
      </c>
      <c r="C197" s="39" t="str">
        <f aca="false">IF($V$4=0,IF($K197="","",$K197),IFERROR(IF([1]入库吨位汇总!$C$196=0,"",[1]入库吨位汇总!$C$196),""))</f>
        <v/>
      </c>
      <c r="D197" s="51" t="str">
        <f aca="false">IF($V$4=0,IF($L197="","",$L197),IFERROR(IF([1]入库吨位汇总!$D$196=0,"",[1]入库吨位汇总!$D$196),""))</f>
        <v/>
      </c>
      <c r="E197" s="51" t="str">
        <f aca="false">IF($V$4=0,IF($M197="","",$M197),IFERROR(IF([1]入库吨位汇总!$E$196=0,"",[1]入库吨位汇总!$E$196),""))</f>
        <v/>
      </c>
      <c r="F197" s="41" t="str">
        <f aca="false">IF($V$4=0,IF($N197="","",$N197),IFERROR(IF([1]入库吨位汇总!$K$196=0,"",[1]入库吨位汇总!$K$196),""))</f>
        <v/>
      </c>
      <c r="G197" s="52" t="str">
        <f aca="false">IF($V$4=0,IF($O197="","",$O197),IFERROR(IF([1]入库吨位汇总!$L$196=0,"",[1]入库吨位汇总!$L$196),""))</f>
        <v/>
      </c>
      <c r="H197" s="41" t="str">
        <f aca="false">IF($V$4=0,IF($P197="","",$P197),IFERROR(IF([1]入库吨位汇总!$H$196=0,"",[1]入库吨位汇总!$H$196),""))</f>
        <v/>
      </c>
      <c r="I197" s="41" t="str">
        <f aca="false">IF($V$4=0,IF($Q197="","",$Q197),IFERROR(IF([1]入库吨位汇总!$I$196=0,"",[1]入库吨位汇总!$I$196),""))</f>
        <v/>
      </c>
      <c r="J197" s="10"/>
      <c r="K197" s="10"/>
      <c r="L197" s="53"/>
      <c r="M197" s="53"/>
      <c r="N197" s="54"/>
      <c r="O197" s="54"/>
      <c r="P197" s="54"/>
      <c r="Q197" s="54"/>
      <c r="R197" s="55" t="n">
        <f aca="false">IF(AND($B197&lt;&gt;"",$C197&lt;&gt;""),1,0)</f>
        <v>0</v>
      </c>
      <c r="S197" s="55" t="n">
        <f aca="false">N(S196)+$R197</f>
        <v>22</v>
      </c>
    </row>
    <row r="198" customFormat="false" ht="13.5" hidden="false" customHeight="false" outlineLevel="0" collapsed="false">
      <c r="A198" s="9" t="n">
        <v>197</v>
      </c>
      <c r="B198" s="39" t="str">
        <f aca="false">IF($V$4=0,IF($J198="","",$J198),IFERROR(IF([1]入库吨位汇总!$B$197=0,"",[1]入库吨位汇总!$B$197),""))</f>
        <v/>
      </c>
      <c r="C198" s="39" t="str">
        <f aca="false">IF($V$4=0,IF($K198="","",$K198),IFERROR(IF([1]入库吨位汇总!$C$197=0,"",[1]入库吨位汇总!$C$197),""))</f>
        <v/>
      </c>
      <c r="D198" s="51" t="str">
        <f aca="false">IF($V$4=0,IF($L198="","",$L198),IFERROR(IF([1]入库吨位汇总!$D$197=0,"",[1]入库吨位汇总!$D$197),""))</f>
        <v/>
      </c>
      <c r="E198" s="51" t="str">
        <f aca="false">IF($V$4=0,IF($M198="","",$M198),IFERROR(IF([1]入库吨位汇总!$E$197=0,"",[1]入库吨位汇总!$E$197),""))</f>
        <v/>
      </c>
      <c r="F198" s="41" t="str">
        <f aca="false">IF($V$4=0,IF($N198="","",$N198),IFERROR(IF([1]入库吨位汇总!$K$197=0,"",[1]入库吨位汇总!$K$197),""))</f>
        <v/>
      </c>
      <c r="G198" s="52" t="str">
        <f aca="false">IF($V$4=0,IF($O198="","",$O198),IFERROR(IF([1]入库吨位汇总!$L$197=0,"",[1]入库吨位汇总!$L$197),""))</f>
        <v/>
      </c>
      <c r="H198" s="41" t="str">
        <f aca="false">IF($V$4=0,IF($P198="","",$P198),IFERROR(IF([1]入库吨位汇总!$H$197=0,"",[1]入库吨位汇总!$H$197),""))</f>
        <v/>
      </c>
      <c r="I198" s="41" t="str">
        <f aca="false">IF($V$4=0,IF($Q198="","",$Q198),IFERROR(IF([1]入库吨位汇总!$I$197=0,"",[1]入库吨位汇总!$I$197),""))</f>
        <v/>
      </c>
      <c r="J198" s="10"/>
      <c r="K198" s="10"/>
      <c r="L198" s="53"/>
      <c r="M198" s="53"/>
      <c r="N198" s="54"/>
      <c r="O198" s="54"/>
      <c r="P198" s="54"/>
      <c r="Q198" s="54"/>
      <c r="R198" s="55" t="n">
        <f aca="false">IF(AND($B198&lt;&gt;"",$C198&lt;&gt;""),1,0)</f>
        <v>0</v>
      </c>
      <c r="S198" s="55" t="n">
        <f aca="false">N(S197)+$R198</f>
        <v>22</v>
      </c>
    </row>
    <row r="199" customFormat="false" ht="13.5" hidden="false" customHeight="false" outlineLevel="0" collapsed="false">
      <c r="A199" s="9" t="n">
        <v>198</v>
      </c>
      <c r="B199" s="39" t="str">
        <f aca="false">IF($V$4=0,IF($J199="","",$J199),IFERROR(IF([1]入库吨位汇总!$B$198=0,"",[1]入库吨位汇总!$B$198),""))</f>
        <v/>
      </c>
      <c r="C199" s="39" t="str">
        <f aca="false">IF($V$4=0,IF($K199="","",$K199),IFERROR(IF([1]入库吨位汇总!$C$198=0,"",[1]入库吨位汇总!$C$198),""))</f>
        <v/>
      </c>
      <c r="D199" s="51" t="str">
        <f aca="false">IF($V$4=0,IF($L199="","",$L199),IFERROR(IF([1]入库吨位汇总!$D$198=0,"",[1]入库吨位汇总!$D$198),""))</f>
        <v/>
      </c>
      <c r="E199" s="51" t="str">
        <f aca="false">IF($V$4=0,IF($M199="","",$M199),IFERROR(IF([1]入库吨位汇总!$E$198=0,"",[1]入库吨位汇总!$E$198),""))</f>
        <v/>
      </c>
      <c r="F199" s="41" t="str">
        <f aca="false">IF($V$4=0,IF($N199="","",$N199),IFERROR(IF([1]入库吨位汇总!$K$198=0,"",[1]入库吨位汇总!$K$198),""))</f>
        <v/>
      </c>
      <c r="G199" s="52" t="str">
        <f aca="false">IF($V$4=0,IF($O199="","",$O199),IFERROR(IF([1]入库吨位汇总!$L$198=0,"",[1]入库吨位汇总!$L$198),""))</f>
        <v/>
      </c>
      <c r="H199" s="41" t="str">
        <f aca="false">IF($V$4=0,IF($P199="","",$P199),IFERROR(IF([1]入库吨位汇总!$H$198=0,"",[1]入库吨位汇总!$H$198),""))</f>
        <v/>
      </c>
      <c r="I199" s="41" t="str">
        <f aca="false">IF($V$4=0,IF($Q199="","",$Q199),IFERROR(IF([1]入库吨位汇总!$I$198=0,"",[1]入库吨位汇总!$I$198),""))</f>
        <v/>
      </c>
      <c r="J199" s="10"/>
      <c r="K199" s="10"/>
      <c r="L199" s="53"/>
      <c r="M199" s="53"/>
      <c r="N199" s="54"/>
      <c r="O199" s="54"/>
      <c r="P199" s="54"/>
      <c r="Q199" s="54"/>
      <c r="R199" s="55" t="n">
        <f aca="false">IF(AND($B199&lt;&gt;"",$C199&lt;&gt;""),1,0)</f>
        <v>0</v>
      </c>
      <c r="S199" s="55" t="n">
        <f aca="false">N(S198)+$R199</f>
        <v>22</v>
      </c>
    </row>
    <row r="200" customFormat="false" ht="13.5" hidden="false" customHeight="false" outlineLevel="0" collapsed="false">
      <c r="A200" s="9" t="n">
        <v>199</v>
      </c>
      <c r="B200" s="39" t="str">
        <f aca="false">IF($V$4=0,IF($J200="","",$J200),IFERROR(IF([1]入库吨位汇总!$B$199=0,"",[1]入库吨位汇总!$B$199),""))</f>
        <v/>
      </c>
      <c r="C200" s="39" t="str">
        <f aca="false">IF($V$4=0,IF($K200="","",$K200),IFERROR(IF([1]入库吨位汇总!$C$199=0,"",[1]入库吨位汇总!$C$199),""))</f>
        <v/>
      </c>
      <c r="D200" s="51" t="str">
        <f aca="false">IF($V$4=0,IF($L200="","",$L200),IFERROR(IF([1]入库吨位汇总!$D$199=0,"",[1]入库吨位汇总!$D$199),""))</f>
        <v/>
      </c>
      <c r="E200" s="51" t="str">
        <f aca="false">IF($V$4=0,IF($M200="","",$M200),IFERROR(IF([1]入库吨位汇总!$E$199=0,"",[1]入库吨位汇总!$E$199),""))</f>
        <v/>
      </c>
      <c r="F200" s="41" t="str">
        <f aca="false">IF($V$4=0,IF($N200="","",$N200),IFERROR(IF([1]入库吨位汇总!$K$199=0,"",[1]入库吨位汇总!$K$199),""))</f>
        <v/>
      </c>
      <c r="G200" s="52" t="str">
        <f aca="false">IF($V$4=0,IF($O200="","",$O200),IFERROR(IF([1]入库吨位汇总!$L$199=0,"",[1]入库吨位汇总!$L$199),""))</f>
        <v/>
      </c>
      <c r="H200" s="41" t="str">
        <f aca="false">IF($V$4=0,IF($P200="","",$P200),IFERROR(IF([1]入库吨位汇总!$H$199=0,"",[1]入库吨位汇总!$H$199),""))</f>
        <v/>
      </c>
      <c r="I200" s="41" t="str">
        <f aca="false">IF($V$4=0,IF($Q200="","",$Q200),IFERROR(IF([1]入库吨位汇总!$I$199=0,"",[1]入库吨位汇总!$I$199),""))</f>
        <v/>
      </c>
      <c r="J200" s="10"/>
      <c r="K200" s="10"/>
      <c r="L200" s="53"/>
      <c r="M200" s="53"/>
      <c r="N200" s="54"/>
      <c r="O200" s="54"/>
      <c r="P200" s="54"/>
      <c r="Q200" s="54"/>
      <c r="R200" s="55" t="n">
        <f aca="false">IF(AND($B200&lt;&gt;"",$C200&lt;&gt;""),1,0)</f>
        <v>0</v>
      </c>
      <c r="S200" s="55" t="n">
        <f aca="false">N(S199)+$R200</f>
        <v>22</v>
      </c>
    </row>
    <row r="201" customFormat="false" ht="13.5" hidden="false" customHeight="false" outlineLevel="0" collapsed="false">
      <c r="A201" s="9" t="n">
        <v>200</v>
      </c>
      <c r="B201" s="39" t="str">
        <f aca="false">IF($V$4=0,IF($J201="","",$J201),IFERROR(IF([1]入库吨位汇总!$B$200=0,"",[1]入库吨位汇总!$B$200),""))</f>
        <v/>
      </c>
      <c r="C201" s="39" t="str">
        <f aca="false">IF($V$4=0,IF($K201="","",$K201),IFERROR(IF([1]入库吨位汇总!$C$200=0,"",[1]入库吨位汇总!$C$200),""))</f>
        <v/>
      </c>
      <c r="D201" s="51" t="str">
        <f aca="false">IF($V$4=0,IF($L201="","",$L201),IFERROR(IF([1]入库吨位汇总!$D$200=0,"",[1]入库吨位汇总!$D$200),""))</f>
        <v/>
      </c>
      <c r="E201" s="51" t="str">
        <f aca="false">IF($V$4=0,IF($M201="","",$M201),IFERROR(IF([1]入库吨位汇总!$E$200=0,"",[1]入库吨位汇总!$E$200),""))</f>
        <v/>
      </c>
      <c r="F201" s="41" t="str">
        <f aca="false">IF($V$4=0,IF($N201="","",$N201),IFERROR(IF([1]入库吨位汇总!$K$200=0,"",[1]入库吨位汇总!$K$200),""))</f>
        <v/>
      </c>
      <c r="G201" s="52" t="str">
        <f aca="false">IF($V$4=0,IF($O201="","",$O201),IFERROR(IF([1]入库吨位汇总!$L$200=0,"",[1]入库吨位汇总!$L$200),""))</f>
        <v/>
      </c>
      <c r="H201" s="41" t="str">
        <f aca="false">IF($V$4=0,IF($P201="","",$P201),IFERROR(IF([1]入库吨位汇总!$H$200=0,"",[1]入库吨位汇总!$H$200),""))</f>
        <v/>
      </c>
      <c r="I201" s="41" t="str">
        <f aca="false">IF($V$4=0,IF($Q201="","",$Q201),IFERROR(IF([1]入库吨位汇总!$I$200=0,"",[1]入库吨位汇总!$I$200),""))</f>
        <v/>
      </c>
      <c r="J201" s="10"/>
      <c r="K201" s="10"/>
      <c r="L201" s="53"/>
      <c r="M201" s="53"/>
      <c r="N201" s="54"/>
      <c r="O201" s="54"/>
      <c r="P201" s="54"/>
      <c r="Q201" s="54"/>
      <c r="R201" s="55" t="n">
        <f aca="false">IF(AND($B201&lt;&gt;"",$C201&lt;&gt;""),1,0)</f>
        <v>0</v>
      </c>
      <c r="S201" s="55" t="n">
        <f aca="false">N(S200)+$R201</f>
        <v>22</v>
      </c>
    </row>
    <row r="202" customFormat="false" ht="13.5" hidden="false" customHeight="false" outlineLevel="0" collapsed="false">
      <c r="A202" s="9" t="n">
        <v>201</v>
      </c>
      <c r="B202" s="39" t="str">
        <f aca="false">IF($V$4=0,IF($J202="","",$J202),IFERROR(IF([1]入库吨位汇总!$B$201=0,"",[1]入库吨位汇总!$B$201),""))</f>
        <v/>
      </c>
      <c r="C202" s="39" t="str">
        <f aca="false">IF($V$4=0,IF($K202="","",$K202),IFERROR(IF([1]入库吨位汇总!$C$201=0,"",[1]入库吨位汇总!$C$201),""))</f>
        <v/>
      </c>
      <c r="D202" s="51" t="str">
        <f aca="false">IF($V$4=0,IF($L202="","",$L202),IFERROR(IF([1]入库吨位汇总!$D$201=0,"",[1]入库吨位汇总!$D$201),""))</f>
        <v/>
      </c>
      <c r="E202" s="51" t="str">
        <f aca="false">IF($V$4=0,IF($M202="","",$M202),IFERROR(IF([1]入库吨位汇总!$E$201=0,"",[1]入库吨位汇总!$E$201),""))</f>
        <v/>
      </c>
      <c r="F202" s="41" t="str">
        <f aca="false">IF($V$4=0,IF($N202="","",$N202),IFERROR(IF([1]入库吨位汇总!$K$201=0,"",[1]入库吨位汇总!$K$201),""))</f>
        <v/>
      </c>
      <c r="G202" s="52" t="str">
        <f aca="false">IF($V$4=0,IF($O202="","",$O202),IFERROR(IF([1]入库吨位汇总!$L$201=0,"",[1]入库吨位汇总!$L$201),""))</f>
        <v/>
      </c>
      <c r="H202" s="41" t="str">
        <f aca="false">IF($V$4=0,IF($P202="","",$P202),IFERROR(IF([1]入库吨位汇总!$H$201=0,"",[1]入库吨位汇总!$H$201),""))</f>
        <v/>
      </c>
      <c r="I202" s="41" t="str">
        <f aca="false">IF($V$4=0,IF($Q202="","",$Q202),IFERROR(IF([1]入库吨位汇总!$I$201=0,"",[1]入库吨位汇总!$I$201),""))</f>
        <v/>
      </c>
      <c r="J202" s="10"/>
      <c r="K202" s="10"/>
      <c r="L202" s="53"/>
      <c r="M202" s="53"/>
      <c r="N202" s="54"/>
      <c r="O202" s="54"/>
      <c r="P202" s="54"/>
      <c r="Q202" s="54"/>
      <c r="R202" s="55" t="n">
        <f aca="false">IF(AND($B202&lt;&gt;"",$C202&lt;&gt;""),1,0)</f>
        <v>0</v>
      </c>
      <c r="S202" s="55" t="n">
        <f aca="false">N(S201)+$R202</f>
        <v>22</v>
      </c>
    </row>
    <row r="203" customFormat="false" ht="13.5" hidden="false" customHeight="false" outlineLevel="0" collapsed="false">
      <c r="A203" s="9" t="n">
        <v>202</v>
      </c>
      <c r="B203" s="39" t="str">
        <f aca="false">IF($V$4=0,IF($J203="","",$J203),IFERROR(IF([1]入库吨位汇总!$B$202=0,"",[1]入库吨位汇总!$B$202),""))</f>
        <v/>
      </c>
      <c r="C203" s="39" t="str">
        <f aca="false">IF($V$4=0,IF($K203="","",$K203),IFERROR(IF([1]入库吨位汇总!$C$202=0,"",[1]入库吨位汇总!$C$202),""))</f>
        <v/>
      </c>
      <c r="D203" s="51" t="str">
        <f aca="false">IF($V$4=0,IF($L203="","",$L203),IFERROR(IF([1]入库吨位汇总!$D$202=0,"",[1]入库吨位汇总!$D$202),""))</f>
        <v/>
      </c>
      <c r="E203" s="51" t="str">
        <f aca="false">IF($V$4=0,IF($M203="","",$M203),IFERROR(IF([1]入库吨位汇总!$E$202=0,"",[1]入库吨位汇总!$E$202),""))</f>
        <v/>
      </c>
      <c r="F203" s="41" t="str">
        <f aca="false">IF($V$4=0,IF($N203="","",$N203),IFERROR(IF([1]入库吨位汇总!$K$202=0,"",[1]入库吨位汇总!$K$202),""))</f>
        <v/>
      </c>
      <c r="G203" s="52" t="str">
        <f aca="false">IF($V$4=0,IF($O203="","",$O203),IFERROR(IF([1]入库吨位汇总!$L$202=0,"",[1]入库吨位汇总!$L$202),""))</f>
        <v/>
      </c>
      <c r="H203" s="41" t="str">
        <f aca="false">IF($V$4=0,IF($P203="","",$P203),IFERROR(IF([1]入库吨位汇总!$H$202=0,"",[1]入库吨位汇总!$H$202),""))</f>
        <v/>
      </c>
      <c r="I203" s="41" t="str">
        <f aca="false">IF($V$4=0,IF($Q203="","",$Q203),IFERROR(IF([1]入库吨位汇总!$I$202=0,"",[1]入库吨位汇总!$I$202),""))</f>
        <v/>
      </c>
      <c r="J203" s="10"/>
      <c r="K203" s="10"/>
      <c r="L203" s="53"/>
      <c r="M203" s="53"/>
      <c r="N203" s="54"/>
      <c r="O203" s="54"/>
      <c r="P203" s="54"/>
      <c r="Q203" s="54"/>
      <c r="R203" s="55" t="n">
        <f aca="false">IF(AND($B203&lt;&gt;"",$C203&lt;&gt;""),1,0)</f>
        <v>0</v>
      </c>
      <c r="S203" s="55" t="n">
        <f aca="false">N(S202)+$R203</f>
        <v>22</v>
      </c>
    </row>
    <row r="204" customFormat="false" ht="13.5" hidden="false" customHeight="false" outlineLevel="0" collapsed="false">
      <c r="A204" s="9" t="n">
        <v>203</v>
      </c>
      <c r="B204" s="39" t="str">
        <f aca="false">IF($V$4=0,IF($J204="","",$J204),IFERROR(IF([1]入库吨位汇总!$B$203=0,"",[1]入库吨位汇总!$B$203),""))</f>
        <v/>
      </c>
      <c r="C204" s="39" t="str">
        <f aca="false">IF($V$4=0,IF($K204="","",$K204),IFERROR(IF([1]入库吨位汇总!$C$203=0,"",[1]入库吨位汇总!$C$203),""))</f>
        <v/>
      </c>
      <c r="D204" s="51" t="str">
        <f aca="false">IF($V$4=0,IF($L204="","",$L204),IFERROR(IF([1]入库吨位汇总!$D$203=0,"",[1]入库吨位汇总!$D$203),""))</f>
        <v/>
      </c>
      <c r="E204" s="51" t="str">
        <f aca="false">IF($V$4=0,IF($M204="","",$M204),IFERROR(IF([1]入库吨位汇总!$E$203=0,"",[1]入库吨位汇总!$E$203),""))</f>
        <v/>
      </c>
      <c r="F204" s="41" t="str">
        <f aca="false">IF($V$4=0,IF($N204="","",$N204),IFERROR(IF([1]入库吨位汇总!$K$203=0,"",[1]入库吨位汇总!$K$203),""))</f>
        <v/>
      </c>
      <c r="G204" s="52" t="str">
        <f aca="false">IF($V$4=0,IF($O204="","",$O204),IFERROR(IF([1]入库吨位汇总!$L$203=0,"",[1]入库吨位汇总!$L$203),""))</f>
        <v/>
      </c>
      <c r="H204" s="41" t="str">
        <f aca="false">IF($V$4=0,IF($P204="","",$P204),IFERROR(IF([1]入库吨位汇总!$H$203=0,"",[1]入库吨位汇总!$H$203),""))</f>
        <v/>
      </c>
      <c r="I204" s="41" t="str">
        <f aca="false">IF($V$4=0,IF($Q204="","",$Q204),IFERROR(IF([1]入库吨位汇总!$I$203=0,"",[1]入库吨位汇总!$I$203),""))</f>
        <v/>
      </c>
      <c r="J204" s="10"/>
      <c r="K204" s="10"/>
      <c r="L204" s="53"/>
      <c r="M204" s="53"/>
      <c r="N204" s="54"/>
      <c r="O204" s="54"/>
      <c r="P204" s="54"/>
      <c r="Q204" s="54"/>
      <c r="R204" s="55" t="n">
        <f aca="false">IF(AND($B204&lt;&gt;"",$C204&lt;&gt;""),1,0)</f>
        <v>0</v>
      </c>
      <c r="S204" s="55" t="n">
        <f aca="false">N(S203)+$R204</f>
        <v>22</v>
      </c>
    </row>
    <row r="205" customFormat="false" ht="13.5" hidden="false" customHeight="false" outlineLevel="0" collapsed="false">
      <c r="A205" s="9" t="n">
        <v>204</v>
      </c>
      <c r="B205" s="39" t="str">
        <f aca="false">IF($V$4=0,IF($J205="","",$J205),IFERROR(IF([1]入库吨位汇总!$B$204=0,"",[1]入库吨位汇总!$B$204),""))</f>
        <v/>
      </c>
      <c r="C205" s="39" t="str">
        <f aca="false">IF($V$4=0,IF($K205="","",$K205),IFERROR(IF([1]入库吨位汇总!$C$204=0,"",[1]入库吨位汇总!$C$204),""))</f>
        <v/>
      </c>
      <c r="D205" s="51" t="str">
        <f aca="false">IF($V$4=0,IF($L205="","",$L205),IFERROR(IF([1]入库吨位汇总!$D$204=0,"",[1]入库吨位汇总!$D$204),""))</f>
        <v/>
      </c>
      <c r="E205" s="51" t="str">
        <f aca="false">IF($V$4=0,IF($M205="","",$M205),IFERROR(IF([1]入库吨位汇总!$E$204=0,"",[1]入库吨位汇总!$E$204),""))</f>
        <v/>
      </c>
      <c r="F205" s="41" t="str">
        <f aca="false">IF($V$4=0,IF($N205="","",$N205),IFERROR(IF([1]入库吨位汇总!$K$204=0,"",[1]入库吨位汇总!$K$204),""))</f>
        <v/>
      </c>
      <c r="G205" s="52" t="str">
        <f aca="false">IF($V$4=0,IF($O205="","",$O205),IFERROR(IF([1]入库吨位汇总!$L$204=0,"",[1]入库吨位汇总!$L$204),""))</f>
        <v/>
      </c>
      <c r="H205" s="41" t="str">
        <f aca="false">IF($V$4=0,IF($P205="","",$P205),IFERROR(IF([1]入库吨位汇总!$H$204=0,"",[1]入库吨位汇总!$H$204),""))</f>
        <v/>
      </c>
      <c r="I205" s="41" t="str">
        <f aca="false">IF($V$4=0,IF($Q205="","",$Q205),IFERROR(IF([1]入库吨位汇总!$I$204=0,"",[1]入库吨位汇总!$I$204),""))</f>
        <v/>
      </c>
      <c r="J205" s="10"/>
      <c r="K205" s="10"/>
      <c r="L205" s="53"/>
      <c r="M205" s="53"/>
      <c r="N205" s="54"/>
      <c r="O205" s="54"/>
      <c r="P205" s="54"/>
      <c r="Q205" s="54"/>
      <c r="R205" s="55" t="n">
        <f aca="false">IF(AND($B205&lt;&gt;"",$C205&lt;&gt;""),1,0)</f>
        <v>0</v>
      </c>
      <c r="S205" s="55" t="n">
        <f aca="false">N(S204)+$R205</f>
        <v>22</v>
      </c>
    </row>
    <row r="206" customFormat="false" ht="13.5" hidden="false" customHeight="false" outlineLevel="0" collapsed="false">
      <c r="A206" s="9" t="n">
        <v>205</v>
      </c>
      <c r="B206" s="39" t="str">
        <f aca="false">IF($V$4=0,IF($J206="","",$J206),IFERROR(IF([1]入库吨位汇总!$B$205=0,"",[1]入库吨位汇总!$B$205),""))</f>
        <v/>
      </c>
      <c r="C206" s="39" t="str">
        <f aca="false">IF($V$4=0,IF($K206="","",$K206),IFERROR(IF([1]入库吨位汇总!$C$205=0,"",[1]入库吨位汇总!$C$205),""))</f>
        <v/>
      </c>
      <c r="D206" s="51" t="str">
        <f aca="false">IF($V$4=0,IF($L206="","",$L206),IFERROR(IF([1]入库吨位汇总!$D$205=0,"",[1]入库吨位汇总!$D$205),""))</f>
        <v/>
      </c>
      <c r="E206" s="51" t="str">
        <f aca="false">IF($V$4=0,IF($M206="","",$M206),IFERROR(IF([1]入库吨位汇总!$E$205=0,"",[1]入库吨位汇总!$E$205),""))</f>
        <v/>
      </c>
      <c r="F206" s="41" t="str">
        <f aca="false">IF($V$4=0,IF($N206="","",$N206),IFERROR(IF([1]入库吨位汇总!$K$205=0,"",[1]入库吨位汇总!$K$205),""))</f>
        <v/>
      </c>
      <c r="G206" s="52" t="str">
        <f aca="false">IF($V$4=0,IF($O206="","",$O206),IFERROR(IF([1]入库吨位汇总!$L$205=0,"",[1]入库吨位汇总!$L$205),""))</f>
        <v/>
      </c>
      <c r="H206" s="41" t="str">
        <f aca="false">IF($V$4=0,IF($P206="","",$P206),IFERROR(IF([1]入库吨位汇总!$H$205=0,"",[1]入库吨位汇总!$H$205),""))</f>
        <v/>
      </c>
      <c r="I206" s="41" t="str">
        <f aca="false">IF($V$4=0,IF($Q206="","",$Q206),IFERROR(IF([1]入库吨位汇总!$I$205=0,"",[1]入库吨位汇总!$I$205),""))</f>
        <v/>
      </c>
      <c r="J206" s="10"/>
      <c r="K206" s="10"/>
      <c r="L206" s="53"/>
      <c r="M206" s="53"/>
      <c r="N206" s="54"/>
      <c r="O206" s="54"/>
      <c r="P206" s="54"/>
      <c r="Q206" s="54"/>
      <c r="R206" s="55" t="n">
        <f aca="false">IF(AND($B206&lt;&gt;"",$C206&lt;&gt;""),1,0)</f>
        <v>0</v>
      </c>
      <c r="S206" s="55" t="n">
        <f aca="false">N(S205)+$R206</f>
        <v>22</v>
      </c>
    </row>
    <row r="207" customFormat="false" ht="13.5" hidden="false" customHeight="false" outlineLevel="0" collapsed="false">
      <c r="A207" s="9" t="n">
        <v>206</v>
      </c>
      <c r="B207" s="39" t="str">
        <f aca="false">IF($V$4=0,IF($J207="","",$J207),IFERROR(IF([1]入库吨位汇总!$B$206=0,"",[1]入库吨位汇总!$B$206),""))</f>
        <v/>
      </c>
      <c r="C207" s="39" t="str">
        <f aca="false">IF($V$4=0,IF($K207="","",$K207),IFERROR(IF([1]入库吨位汇总!$C$206=0,"",[1]入库吨位汇总!$C$206),""))</f>
        <v/>
      </c>
      <c r="D207" s="51" t="str">
        <f aca="false">IF($V$4=0,IF($L207="","",$L207),IFERROR(IF([1]入库吨位汇总!$D$206=0,"",[1]入库吨位汇总!$D$206),""))</f>
        <v/>
      </c>
      <c r="E207" s="51" t="str">
        <f aca="false">IF($V$4=0,IF($M207="","",$M207),IFERROR(IF([1]入库吨位汇总!$E$206=0,"",[1]入库吨位汇总!$E$206),""))</f>
        <v/>
      </c>
      <c r="F207" s="41" t="str">
        <f aca="false">IF($V$4=0,IF($N207="","",$N207),IFERROR(IF([1]入库吨位汇总!$K$206=0,"",[1]入库吨位汇总!$K$206),""))</f>
        <v/>
      </c>
      <c r="G207" s="52" t="str">
        <f aca="false">IF($V$4=0,IF($O207="","",$O207),IFERROR(IF([1]入库吨位汇总!$L$206=0,"",[1]入库吨位汇总!$L$206),""))</f>
        <v/>
      </c>
      <c r="H207" s="41" t="str">
        <f aca="false">IF($V$4=0,IF($P207="","",$P207),IFERROR(IF([1]入库吨位汇总!$H$206=0,"",[1]入库吨位汇总!$H$206),""))</f>
        <v/>
      </c>
      <c r="I207" s="41" t="str">
        <f aca="false">IF($V$4=0,IF($Q207="","",$Q207),IFERROR(IF([1]入库吨位汇总!$I$206=0,"",[1]入库吨位汇总!$I$206),""))</f>
        <v/>
      </c>
      <c r="J207" s="10"/>
      <c r="K207" s="10"/>
      <c r="L207" s="53"/>
      <c r="M207" s="53"/>
      <c r="N207" s="54"/>
      <c r="O207" s="54"/>
      <c r="P207" s="54"/>
      <c r="Q207" s="54"/>
      <c r="R207" s="55" t="n">
        <f aca="false">IF(AND($B207&lt;&gt;"",$C207&lt;&gt;""),1,0)</f>
        <v>0</v>
      </c>
      <c r="S207" s="55" t="n">
        <f aca="false">N(S206)+$R207</f>
        <v>22</v>
      </c>
    </row>
    <row r="208" customFormat="false" ht="13.5" hidden="false" customHeight="false" outlineLevel="0" collapsed="false">
      <c r="A208" s="9" t="n">
        <v>207</v>
      </c>
      <c r="B208" s="39" t="str">
        <f aca="false">IF($V$4=0,IF($J208="","",$J208),IFERROR(IF([1]入库吨位汇总!$B$207=0,"",[1]入库吨位汇总!$B$207),""))</f>
        <v/>
      </c>
      <c r="C208" s="39" t="str">
        <f aca="false">IF($V$4=0,IF($K208="","",$K208),IFERROR(IF([1]入库吨位汇总!$C$207=0,"",[1]入库吨位汇总!$C$207),""))</f>
        <v/>
      </c>
      <c r="D208" s="51" t="str">
        <f aca="false">IF($V$4=0,IF($L208="","",$L208),IFERROR(IF([1]入库吨位汇总!$D$207=0,"",[1]入库吨位汇总!$D$207),""))</f>
        <v/>
      </c>
      <c r="E208" s="51" t="str">
        <f aca="false">IF($V$4=0,IF($M208="","",$M208),IFERROR(IF([1]入库吨位汇总!$E$207=0,"",[1]入库吨位汇总!$E$207),""))</f>
        <v/>
      </c>
      <c r="F208" s="41" t="str">
        <f aca="false">IF($V$4=0,IF($N208="","",$N208),IFERROR(IF([1]入库吨位汇总!$K$207=0,"",[1]入库吨位汇总!$K$207),""))</f>
        <v/>
      </c>
      <c r="G208" s="52" t="str">
        <f aca="false">IF($V$4=0,IF($O208="","",$O208),IFERROR(IF([1]入库吨位汇总!$L$207=0,"",[1]入库吨位汇总!$L$207),""))</f>
        <v/>
      </c>
      <c r="H208" s="41" t="str">
        <f aca="false">IF($V$4=0,IF($P208="","",$P208),IFERROR(IF([1]入库吨位汇总!$H$207=0,"",[1]入库吨位汇总!$H$207),""))</f>
        <v/>
      </c>
      <c r="I208" s="41" t="str">
        <f aca="false">IF($V$4=0,IF($Q208="","",$Q208),IFERROR(IF([1]入库吨位汇总!$I$207=0,"",[1]入库吨位汇总!$I$207),""))</f>
        <v/>
      </c>
      <c r="J208" s="10"/>
      <c r="K208" s="10"/>
      <c r="L208" s="53"/>
      <c r="M208" s="53"/>
      <c r="N208" s="54"/>
      <c r="O208" s="54"/>
      <c r="P208" s="54"/>
      <c r="Q208" s="54"/>
      <c r="R208" s="55" t="n">
        <f aca="false">IF(AND($B208&lt;&gt;"",$C208&lt;&gt;""),1,0)</f>
        <v>0</v>
      </c>
      <c r="S208" s="55" t="n">
        <f aca="false">N(S207)+$R208</f>
        <v>22</v>
      </c>
    </row>
    <row r="209" customFormat="false" ht="13.5" hidden="false" customHeight="false" outlineLevel="0" collapsed="false">
      <c r="A209" s="9" t="n">
        <v>208</v>
      </c>
      <c r="B209" s="39" t="str">
        <f aca="false">IF($V$4=0,IF($J209="","",$J209),IFERROR(IF([1]入库吨位汇总!$B$208=0,"",[1]入库吨位汇总!$B$208),""))</f>
        <v/>
      </c>
      <c r="C209" s="39" t="str">
        <f aca="false">IF($V$4=0,IF($K209="","",$K209),IFERROR(IF([1]入库吨位汇总!$C$208=0,"",[1]入库吨位汇总!$C$208),""))</f>
        <v/>
      </c>
      <c r="D209" s="51" t="str">
        <f aca="false">IF($V$4=0,IF($L209="","",$L209),IFERROR(IF([1]入库吨位汇总!$D$208=0,"",[1]入库吨位汇总!$D$208),""))</f>
        <v/>
      </c>
      <c r="E209" s="51" t="str">
        <f aca="false">IF($V$4=0,IF($M209="","",$M209),IFERROR(IF([1]入库吨位汇总!$E$208=0,"",[1]入库吨位汇总!$E$208),""))</f>
        <v/>
      </c>
      <c r="F209" s="41" t="str">
        <f aca="false">IF($V$4=0,IF($N209="","",$N209),IFERROR(IF([1]入库吨位汇总!$K$208=0,"",[1]入库吨位汇总!$K$208),""))</f>
        <v/>
      </c>
      <c r="G209" s="52" t="str">
        <f aca="false">IF($V$4=0,IF($O209="","",$O209),IFERROR(IF([1]入库吨位汇总!$L$208=0,"",[1]入库吨位汇总!$L$208),""))</f>
        <v/>
      </c>
      <c r="H209" s="41" t="str">
        <f aca="false">IF($V$4=0,IF($P209="","",$P209),IFERROR(IF([1]入库吨位汇总!$H$208=0,"",[1]入库吨位汇总!$H$208),""))</f>
        <v/>
      </c>
      <c r="I209" s="41" t="str">
        <f aca="false">IF($V$4=0,IF($Q209="","",$Q209),IFERROR(IF([1]入库吨位汇总!$I$208=0,"",[1]入库吨位汇总!$I$208),""))</f>
        <v/>
      </c>
      <c r="J209" s="10"/>
      <c r="K209" s="10"/>
      <c r="L209" s="53"/>
      <c r="M209" s="53"/>
      <c r="N209" s="54"/>
      <c r="O209" s="54"/>
      <c r="P209" s="54"/>
      <c r="Q209" s="54"/>
      <c r="R209" s="55" t="n">
        <f aca="false">IF(AND($B209&lt;&gt;"",$C209&lt;&gt;""),1,0)</f>
        <v>0</v>
      </c>
      <c r="S209" s="55" t="n">
        <f aca="false">N(S208)+$R209</f>
        <v>22</v>
      </c>
    </row>
    <row r="210" customFormat="false" ht="13.5" hidden="false" customHeight="false" outlineLevel="0" collapsed="false">
      <c r="A210" s="9" t="n">
        <v>209</v>
      </c>
      <c r="B210" s="39" t="str">
        <f aca="false">IF($V$4=0,IF($J210="","",$J210),IFERROR(IF([1]入库吨位汇总!$B$209=0,"",[1]入库吨位汇总!$B$209),""))</f>
        <v/>
      </c>
      <c r="C210" s="39" t="str">
        <f aca="false">IF($V$4=0,IF($K210="","",$K210),IFERROR(IF([1]入库吨位汇总!$C$209=0,"",[1]入库吨位汇总!$C$209),""))</f>
        <v/>
      </c>
      <c r="D210" s="51" t="str">
        <f aca="false">IF($V$4=0,IF($L210="","",$L210),IFERROR(IF([1]入库吨位汇总!$D$209=0,"",[1]入库吨位汇总!$D$209),""))</f>
        <v/>
      </c>
      <c r="E210" s="51" t="str">
        <f aca="false">IF($V$4=0,IF($M210="","",$M210),IFERROR(IF([1]入库吨位汇总!$E$209=0,"",[1]入库吨位汇总!$E$209),""))</f>
        <v/>
      </c>
      <c r="F210" s="41" t="str">
        <f aca="false">IF($V$4=0,IF($N210="","",$N210),IFERROR(IF([1]入库吨位汇总!$K$209=0,"",[1]入库吨位汇总!$K$209),""))</f>
        <v/>
      </c>
      <c r="G210" s="52" t="str">
        <f aca="false">IF($V$4=0,IF($O210="","",$O210),IFERROR(IF([1]入库吨位汇总!$L$209=0,"",[1]入库吨位汇总!$L$209),""))</f>
        <v/>
      </c>
      <c r="H210" s="41" t="str">
        <f aca="false">IF($V$4=0,IF($P210="","",$P210),IFERROR(IF([1]入库吨位汇总!$H$209=0,"",[1]入库吨位汇总!$H$209),""))</f>
        <v/>
      </c>
      <c r="I210" s="41" t="str">
        <f aca="false">IF($V$4=0,IF($Q210="","",$Q210),IFERROR(IF([1]入库吨位汇总!$I$209=0,"",[1]入库吨位汇总!$I$209),""))</f>
        <v/>
      </c>
      <c r="J210" s="10"/>
      <c r="K210" s="10"/>
      <c r="L210" s="53"/>
      <c r="M210" s="53"/>
      <c r="N210" s="54"/>
      <c r="O210" s="54"/>
      <c r="P210" s="54"/>
      <c r="Q210" s="54"/>
      <c r="R210" s="55" t="n">
        <f aca="false">IF(AND($B210&lt;&gt;"",$C210&lt;&gt;""),1,0)</f>
        <v>0</v>
      </c>
      <c r="S210" s="55" t="n">
        <f aca="false">N(S209)+$R210</f>
        <v>22</v>
      </c>
    </row>
    <row r="211" customFormat="false" ht="13.5" hidden="false" customHeight="false" outlineLevel="0" collapsed="false">
      <c r="A211" s="9" t="n">
        <v>210</v>
      </c>
      <c r="B211" s="39" t="str">
        <f aca="false">IF($V$4=0,IF($J211="","",$J211),IFERROR(IF([1]入库吨位汇总!$B$210=0,"",[1]入库吨位汇总!$B$210),""))</f>
        <v/>
      </c>
      <c r="C211" s="39" t="str">
        <f aca="false">IF($V$4=0,IF($K211="","",$K211),IFERROR(IF([1]入库吨位汇总!$C$210=0,"",[1]入库吨位汇总!$C$210),""))</f>
        <v/>
      </c>
      <c r="D211" s="51" t="str">
        <f aca="false">IF($V$4=0,IF($L211="","",$L211),IFERROR(IF([1]入库吨位汇总!$D$210=0,"",[1]入库吨位汇总!$D$210),""))</f>
        <v/>
      </c>
      <c r="E211" s="51" t="str">
        <f aca="false">IF($V$4=0,IF($M211="","",$M211),IFERROR(IF([1]入库吨位汇总!$E$210=0,"",[1]入库吨位汇总!$E$210),""))</f>
        <v/>
      </c>
      <c r="F211" s="41" t="str">
        <f aca="false">IF($V$4=0,IF($N211="","",$N211),IFERROR(IF([1]入库吨位汇总!$K$210=0,"",[1]入库吨位汇总!$K$210),""))</f>
        <v/>
      </c>
      <c r="G211" s="52" t="str">
        <f aca="false">IF($V$4=0,IF($O211="","",$O211),IFERROR(IF([1]入库吨位汇总!$L$210=0,"",[1]入库吨位汇总!$L$210),""))</f>
        <v/>
      </c>
      <c r="H211" s="41" t="str">
        <f aca="false">IF($V$4=0,IF($P211="","",$P211),IFERROR(IF([1]入库吨位汇总!$H$210=0,"",[1]入库吨位汇总!$H$210),""))</f>
        <v/>
      </c>
      <c r="I211" s="41" t="str">
        <f aca="false">IF($V$4=0,IF($Q211="","",$Q211),IFERROR(IF([1]入库吨位汇总!$I$210=0,"",[1]入库吨位汇总!$I$210),""))</f>
        <v/>
      </c>
      <c r="J211" s="10"/>
      <c r="K211" s="10"/>
      <c r="L211" s="53"/>
      <c r="M211" s="53"/>
      <c r="N211" s="54"/>
      <c r="O211" s="54"/>
      <c r="P211" s="54"/>
      <c r="Q211" s="54"/>
      <c r="R211" s="55" t="n">
        <f aca="false">IF(AND($B211&lt;&gt;"",$C211&lt;&gt;""),1,0)</f>
        <v>0</v>
      </c>
      <c r="S211" s="55" t="n">
        <f aca="false">N(S210)+$R211</f>
        <v>22</v>
      </c>
    </row>
    <row r="212" customFormat="false" ht="13.5" hidden="false" customHeight="false" outlineLevel="0" collapsed="false">
      <c r="A212" s="9" t="n">
        <v>211</v>
      </c>
      <c r="B212" s="39" t="str">
        <f aca="false">IF($V$4=0,IF($J212="","",$J212),IFERROR(IF([1]入库吨位汇总!$B$211=0,"",[1]入库吨位汇总!$B$211),""))</f>
        <v/>
      </c>
      <c r="C212" s="39" t="str">
        <f aca="false">IF($V$4=0,IF($K212="","",$K212),IFERROR(IF([1]入库吨位汇总!$C$211=0,"",[1]入库吨位汇总!$C$211),""))</f>
        <v/>
      </c>
      <c r="D212" s="51" t="str">
        <f aca="false">IF($V$4=0,IF($L212="","",$L212),IFERROR(IF([1]入库吨位汇总!$D$211=0,"",[1]入库吨位汇总!$D$211),""))</f>
        <v/>
      </c>
      <c r="E212" s="51" t="str">
        <f aca="false">IF($V$4=0,IF($M212="","",$M212),IFERROR(IF([1]入库吨位汇总!$E$211=0,"",[1]入库吨位汇总!$E$211),""))</f>
        <v/>
      </c>
      <c r="F212" s="41" t="str">
        <f aca="false">IF($V$4=0,IF($N212="","",$N212),IFERROR(IF([1]入库吨位汇总!$K$211=0,"",[1]入库吨位汇总!$K$211),""))</f>
        <v/>
      </c>
      <c r="G212" s="52" t="str">
        <f aca="false">IF($V$4=0,IF($O212="","",$O212),IFERROR(IF([1]入库吨位汇总!$L$211=0,"",[1]入库吨位汇总!$L$211),""))</f>
        <v/>
      </c>
      <c r="H212" s="41" t="str">
        <f aca="false">IF($V$4=0,IF($P212="","",$P212),IFERROR(IF([1]入库吨位汇总!$H$211=0,"",[1]入库吨位汇总!$H$211),""))</f>
        <v/>
      </c>
      <c r="I212" s="41" t="str">
        <f aca="false">IF($V$4=0,IF($Q212="","",$Q212),IFERROR(IF([1]入库吨位汇总!$I$211=0,"",[1]入库吨位汇总!$I$211),""))</f>
        <v/>
      </c>
      <c r="J212" s="10"/>
      <c r="K212" s="10"/>
      <c r="L212" s="53"/>
      <c r="M212" s="53"/>
      <c r="N212" s="54"/>
      <c r="O212" s="54"/>
      <c r="P212" s="54"/>
      <c r="Q212" s="54"/>
      <c r="R212" s="55" t="n">
        <f aca="false">IF(AND($B212&lt;&gt;"",$C212&lt;&gt;""),1,0)</f>
        <v>0</v>
      </c>
      <c r="S212" s="55" t="n">
        <f aca="false">N(S211)+$R212</f>
        <v>22</v>
      </c>
    </row>
    <row r="213" customFormat="false" ht="13.5" hidden="false" customHeight="false" outlineLevel="0" collapsed="false">
      <c r="A213" s="9" t="n">
        <v>212</v>
      </c>
      <c r="B213" s="39" t="str">
        <f aca="false">IF($V$4=0,IF($J213="","",$J213),IFERROR(IF([1]入库吨位汇总!$B$212=0,"",[1]入库吨位汇总!$B$212),""))</f>
        <v/>
      </c>
      <c r="C213" s="39" t="str">
        <f aca="false">IF($V$4=0,IF($K213="","",$K213),IFERROR(IF([1]入库吨位汇总!$C$212=0,"",[1]入库吨位汇总!$C$212),""))</f>
        <v/>
      </c>
      <c r="D213" s="51" t="str">
        <f aca="false">IF($V$4=0,IF($L213="","",$L213),IFERROR(IF([1]入库吨位汇总!$D$212=0,"",[1]入库吨位汇总!$D$212),""))</f>
        <v/>
      </c>
      <c r="E213" s="51" t="str">
        <f aca="false">IF($V$4=0,IF($M213="","",$M213),IFERROR(IF([1]入库吨位汇总!$E$212=0,"",[1]入库吨位汇总!$E$212),""))</f>
        <v/>
      </c>
      <c r="F213" s="41" t="str">
        <f aca="false">IF($V$4=0,IF($N213="","",$N213),IFERROR(IF([1]入库吨位汇总!$K$212=0,"",[1]入库吨位汇总!$K$212),""))</f>
        <v/>
      </c>
      <c r="G213" s="52" t="str">
        <f aca="false">IF($V$4=0,IF($O213="","",$O213),IFERROR(IF([1]入库吨位汇总!$L$212=0,"",[1]入库吨位汇总!$L$212),""))</f>
        <v/>
      </c>
      <c r="H213" s="41" t="str">
        <f aca="false">IF($V$4=0,IF($P213="","",$P213),IFERROR(IF([1]入库吨位汇总!$H$212=0,"",[1]入库吨位汇总!$H$212),""))</f>
        <v/>
      </c>
      <c r="I213" s="41" t="str">
        <f aca="false">IF($V$4=0,IF($Q213="","",$Q213),IFERROR(IF([1]入库吨位汇总!$I$212=0,"",[1]入库吨位汇总!$I$212),""))</f>
        <v/>
      </c>
      <c r="J213" s="10"/>
      <c r="K213" s="10"/>
      <c r="L213" s="53"/>
      <c r="M213" s="53"/>
      <c r="N213" s="54"/>
      <c r="O213" s="54"/>
      <c r="P213" s="54"/>
      <c r="Q213" s="54"/>
      <c r="R213" s="55" t="n">
        <f aca="false">IF(AND($B213&lt;&gt;"",$C213&lt;&gt;""),1,0)</f>
        <v>0</v>
      </c>
      <c r="S213" s="55" t="n">
        <f aca="false">N(S212)+$R213</f>
        <v>22</v>
      </c>
    </row>
    <row r="214" customFormat="false" ht="13.5" hidden="false" customHeight="false" outlineLevel="0" collapsed="false">
      <c r="A214" s="9" t="n">
        <v>213</v>
      </c>
      <c r="B214" s="39" t="str">
        <f aca="false">IF($V$4=0,IF($J214="","",$J214),IFERROR(IF([1]入库吨位汇总!$B$213=0,"",[1]入库吨位汇总!$B$213),""))</f>
        <v/>
      </c>
      <c r="C214" s="39" t="str">
        <f aca="false">IF($V$4=0,IF($K214="","",$K214),IFERROR(IF([1]入库吨位汇总!$C$213=0,"",[1]入库吨位汇总!$C$213),""))</f>
        <v/>
      </c>
      <c r="D214" s="51" t="str">
        <f aca="false">IF($V$4=0,IF($L214="","",$L214),IFERROR(IF([1]入库吨位汇总!$D$213=0,"",[1]入库吨位汇总!$D$213),""))</f>
        <v/>
      </c>
      <c r="E214" s="51" t="str">
        <f aca="false">IF($V$4=0,IF($M214="","",$M214),IFERROR(IF([1]入库吨位汇总!$E$213=0,"",[1]入库吨位汇总!$E$213),""))</f>
        <v/>
      </c>
      <c r="F214" s="41" t="str">
        <f aca="false">IF($V$4=0,IF($N214="","",$N214),IFERROR(IF([1]入库吨位汇总!$K$213=0,"",[1]入库吨位汇总!$K$213),""))</f>
        <v/>
      </c>
      <c r="G214" s="52" t="str">
        <f aca="false">IF($V$4=0,IF($O214="","",$O214),IFERROR(IF([1]入库吨位汇总!$L$213=0,"",[1]入库吨位汇总!$L$213),""))</f>
        <v/>
      </c>
      <c r="H214" s="41" t="str">
        <f aca="false">IF($V$4=0,IF($P214="","",$P214),IFERROR(IF([1]入库吨位汇总!$H$213=0,"",[1]入库吨位汇总!$H$213),""))</f>
        <v/>
      </c>
      <c r="I214" s="41" t="str">
        <f aca="false">IF($V$4=0,IF($Q214="","",$Q214),IFERROR(IF([1]入库吨位汇总!$I$213=0,"",[1]入库吨位汇总!$I$213),""))</f>
        <v/>
      </c>
      <c r="J214" s="10"/>
      <c r="K214" s="10"/>
      <c r="L214" s="53"/>
      <c r="M214" s="53"/>
      <c r="N214" s="54"/>
      <c r="O214" s="54"/>
      <c r="P214" s="54"/>
      <c r="Q214" s="54"/>
      <c r="R214" s="55" t="n">
        <f aca="false">IF(AND($B214&lt;&gt;"",$C214&lt;&gt;""),1,0)</f>
        <v>0</v>
      </c>
      <c r="S214" s="55" t="n">
        <f aca="false">N(S213)+$R214</f>
        <v>22</v>
      </c>
    </row>
    <row r="215" customFormat="false" ht="13.5" hidden="false" customHeight="false" outlineLevel="0" collapsed="false">
      <c r="A215" s="9" t="n">
        <v>214</v>
      </c>
      <c r="B215" s="39" t="str">
        <f aca="false">IF($V$4=0,IF($J215="","",$J215),IFERROR(IF([1]入库吨位汇总!$B$214=0,"",[1]入库吨位汇总!$B$214),""))</f>
        <v/>
      </c>
      <c r="C215" s="39" t="str">
        <f aca="false">IF($V$4=0,IF($K215="","",$K215),IFERROR(IF([1]入库吨位汇总!$C$214=0,"",[1]入库吨位汇总!$C$214),""))</f>
        <v/>
      </c>
      <c r="D215" s="51" t="str">
        <f aca="false">IF($V$4=0,IF($L215="","",$L215),IFERROR(IF([1]入库吨位汇总!$D$214=0,"",[1]入库吨位汇总!$D$214),""))</f>
        <v/>
      </c>
      <c r="E215" s="51" t="str">
        <f aca="false">IF($V$4=0,IF($M215="","",$M215),IFERROR(IF([1]入库吨位汇总!$E$214=0,"",[1]入库吨位汇总!$E$214),""))</f>
        <v/>
      </c>
      <c r="F215" s="41" t="str">
        <f aca="false">IF($V$4=0,IF($N215="","",$N215),IFERROR(IF([1]入库吨位汇总!$K$214=0,"",[1]入库吨位汇总!$K$214),""))</f>
        <v/>
      </c>
      <c r="G215" s="52" t="str">
        <f aca="false">IF($V$4=0,IF($O215="","",$O215),IFERROR(IF([1]入库吨位汇总!$L$214=0,"",[1]入库吨位汇总!$L$214),""))</f>
        <v/>
      </c>
      <c r="H215" s="41" t="str">
        <f aca="false">IF($V$4=0,IF($P215="","",$P215),IFERROR(IF([1]入库吨位汇总!$H$214=0,"",[1]入库吨位汇总!$H$214),""))</f>
        <v/>
      </c>
      <c r="I215" s="41" t="str">
        <f aca="false">IF($V$4=0,IF($Q215="","",$Q215),IFERROR(IF([1]入库吨位汇总!$I$214=0,"",[1]入库吨位汇总!$I$214),""))</f>
        <v/>
      </c>
      <c r="J215" s="10"/>
      <c r="K215" s="10"/>
      <c r="L215" s="53"/>
      <c r="M215" s="53"/>
      <c r="N215" s="54"/>
      <c r="O215" s="54"/>
      <c r="P215" s="54"/>
      <c r="Q215" s="54"/>
      <c r="R215" s="55" t="n">
        <f aca="false">IF(AND($B215&lt;&gt;"",$C215&lt;&gt;""),1,0)</f>
        <v>0</v>
      </c>
      <c r="S215" s="55" t="n">
        <f aca="false">N(S214)+$R215</f>
        <v>22</v>
      </c>
    </row>
    <row r="216" customFormat="false" ht="13.5" hidden="false" customHeight="false" outlineLevel="0" collapsed="false">
      <c r="A216" s="9" t="n">
        <v>215</v>
      </c>
      <c r="B216" s="39" t="str">
        <f aca="false">IF($V$4=0,IF($J216="","",$J216),IFERROR(IF([1]入库吨位汇总!$B$215=0,"",[1]入库吨位汇总!$B$215),""))</f>
        <v/>
      </c>
      <c r="C216" s="39" t="str">
        <f aca="false">IF($V$4=0,IF($K216="","",$K216),IFERROR(IF([1]入库吨位汇总!$C$215=0,"",[1]入库吨位汇总!$C$215),""))</f>
        <v/>
      </c>
      <c r="D216" s="51" t="str">
        <f aca="false">IF($V$4=0,IF($L216="","",$L216),IFERROR(IF([1]入库吨位汇总!$D$215=0,"",[1]入库吨位汇总!$D$215),""))</f>
        <v/>
      </c>
      <c r="E216" s="51" t="str">
        <f aca="false">IF($V$4=0,IF($M216="","",$M216),IFERROR(IF([1]入库吨位汇总!$E$215=0,"",[1]入库吨位汇总!$E$215),""))</f>
        <v/>
      </c>
      <c r="F216" s="41" t="str">
        <f aca="false">IF($V$4=0,IF($N216="","",$N216),IFERROR(IF([1]入库吨位汇总!$K$215=0,"",[1]入库吨位汇总!$K$215),""))</f>
        <v/>
      </c>
      <c r="G216" s="52" t="str">
        <f aca="false">IF($V$4=0,IF($O216="","",$O216),IFERROR(IF([1]入库吨位汇总!$L$215=0,"",[1]入库吨位汇总!$L$215),""))</f>
        <v/>
      </c>
      <c r="H216" s="41" t="str">
        <f aca="false">IF($V$4=0,IF($P216="","",$P216),IFERROR(IF([1]入库吨位汇总!$H$215=0,"",[1]入库吨位汇总!$H$215),""))</f>
        <v/>
      </c>
      <c r="I216" s="41" t="str">
        <f aca="false">IF($V$4=0,IF($Q216="","",$Q216),IFERROR(IF([1]入库吨位汇总!$I$215=0,"",[1]入库吨位汇总!$I$215),""))</f>
        <v/>
      </c>
      <c r="J216" s="10"/>
      <c r="K216" s="10"/>
      <c r="L216" s="53"/>
      <c r="M216" s="53"/>
      <c r="N216" s="54"/>
      <c r="O216" s="54"/>
      <c r="P216" s="54"/>
      <c r="Q216" s="54"/>
      <c r="R216" s="55" t="n">
        <f aca="false">IF(AND($B216&lt;&gt;"",$C216&lt;&gt;""),1,0)</f>
        <v>0</v>
      </c>
      <c r="S216" s="55" t="n">
        <f aca="false">N(S215)+$R216</f>
        <v>22</v>
      </c>
    </row>
    <row r="217" customFormat="false" ht="13.5" hidden="false" customHeight="false" outlineLevel="0" collapsed="false">
      <c r="A217" s="9" t="n">
        <v>216</v>
      </c>
      <c r="B217" s="39" t="str">
        <f aca="false">IF($V$4=0,IF($J217="","",$J217),IFERROR(IF([1]入库吨位汇总!$B$216=0,"",[1]入库吨位汇总!$B$216),""))</f>
        <v/>
      </c>
      <c r="C217" s="39" t="str">
        <f aca="false">IF($V$4=0,IF($K217="","",$K217),IFERROR(IF([1]入库吨位汇总!$C$216=0,"",[1]入库吨位汇总!$C$216),""))</f>
        <v/>
      </c>
      <c r="D217" s="51" t="str">
        <f aca="false">IF($V$4=0,IF($L217="","",$L217),IFERROR(IF([1]入库吨位汇总!$D$216=0,"",[1]入库吨位汇总!$D$216),""))</f>
        <v/>
      </c>
      <c r="E217" s="51" t="str">
        <f aca="false">IF($V$4=0,IF($M217="","",$M217),IFERROR(IF([1]入库吨位汇总!$E$216=0,"",[1]入库吨位汇总!$E$216),""))</f>
        <v/>
      </c>
      <c r="F217" s="41" t="str">
        <f aca="false">IF($V$4=0,IF($N217="","",$N217),IFERROR(IF([1]入库吨位汇总!$K$216=0,"",[1]入库吨位汇总!$K$216),""))</f>
        <v/>
      </c>
      <c r="G217" s="52" t="str">
        <f aca="false">IF($V$4=0,IF($O217="","",$O217),IFERROR(IF([1]入库吨位汇总!$L$216=0,"",[1]入库吨位汇总!$L$216),""))</f>
        <v/>
      </c>
      <c r="H217" s="41" t="str">
        <f aca="false">IF($V$4=0,IF($P217="","",$P217),IFERROR(IF([1]入库吨位汇总!$H$216=0,"",[1]入库吨位汇总!$H$216),""))</f>
        <v/>
      </c>
      <c r="I217" s="41" t="str">
        <f aca="false">IF($V$4=0,IF($Q217="","",$Q217),IFERROR(IF([1]入库吨位汇总!$I$216=0,"",[1]入库吨位汇总!$I$216),""))</f>
        <v/>
      </c>
      <c r="J217" s="10"/>
      <c r="K217" s="10"/>
      <c r="L217" s="53"/>
      <c r="M217" s="53"/>
      <c r="N217" s="54"/>
      <c r="O217" s="54"/>
      <c r="P217" s="54"/>
      <c r="Q217" s="54"/>
      <c r="R217" s="55" t="n">
        <f aca="false">IF(AND($B217&lt;&gt;"",$C217&lt;&gt;""),1,0)</f>
        <v>0</v>
      </c>
      <c r="S217" s="55" t="n">
        <f aca="false">N(S216)+$R217</f>
        <v>22</v>
      </c>
    </row>
    <row r="218" customFormat="false" ht="13.5" hidden="false" customHeight="false" outlineLevel="0" collapsed="false">
      <c r="A218" s="9" t="n">
        <v>217</v>
      </c>
      <c r="B218" s="39" t="str">
        <f aca="false">IF($V$4=0,IF($J218="","",$J218),IFERROR(IF([1]入库吨位汇总!$B$217=0,"",[1]入库吨位汇总!$B$217),""))</f>
        <v/>
      </c>
      <c r="C218" s="39" t="str">
        <f aca="false">IF($V$4=0,IF($K218="","",$K218),IFERROR(IF([1]入库吨位汇总!$C$217=0,"",[1]入库吨位汇总!$C$217),""))</f>
        <v/>
      </c>
      <c r="D218" s="51" t="str">
        <f aca="false">IF($V$4=0,IF($L218="","",$L218),IFERROR(IF([1]入库吨位汇总!$D$217=0,"",[1]入库吨位汇总!$D$217),""))</f>
        <v/>
      </c>
      <c r="E218" s="51" t="str">
        <f aca="false">IF($V$4=0,IF($M218="","",$M218),IFERROR(IF([1]入库吨位汇总!$E$217=0,"",[1]入库吨位汇总!$E$217),""))</f>
        <v/>
      </c>
      <c r="F218" s="41" t="str">
        <f aca="false">IF($V$4=0,IF($N218="","",$N218),IFERROR(IF([1]入库吨位汇总!$K$217=0,"",[1]入库吨位汇总!$K$217),""))</f>
        <v/>
      </c>
      <c r="G218" s="52" t="str">
        <f aca="false">IF($V$4=0,IF($O218="","",$O218),IFERROR(IF([1]入库吨位汇总!$L$217=0,"",[1]入库吨位汇总!$L$217),""))</f>
        <v/>
      </c>
      <c r="H218" s="41" t="str">
        <f aca="false">IF($V$4=0,IF($P218="","",$P218),IFERROR(IF([1]入库吨位汇总!$H$217=0,"",[1]入库吨位汇总!$H$217),""))</f>
        <v/>
      </c>
      <c r="I218" s="41" t="str">
        <f aca="false">IF($V$4=0,IF($Q218="","",$Q218),IFERROR(IF([1]入库吨位汇总!$I$217=0,"",[1]入库吨位汇总!$I$217),""))</f>
        <v/>
      </c>
      <c r="J218" s="10"/>
      <c r="K218" s="10"/>
      <c r="L218" s="53"/>
      <c r="M218" s="53"/>
      <c r="N218" s="54"/>
      <c r="O218" s="54"/>
      <c r="P218" s="54"/>
      <c r="Q218" s="54"/>
      <c r="R218" s="55" t="n">
        <f aca="false">IF(AND($B218&lt;&gt;"",$C218&lt;&gt;""),1,0)</f>
        <v>0</v>
      </c>
      <c r="S218" s="55" t="n">
        <f aca="false">N(S217)+$R218</f>
        <v>22</v>
      </c>
    </row>
    <row r="219" customFormat="false" ht="13.5" hidden="false" customHeight="false" outlineLevel="0" collapsed="false">
      <c r="A219" s="9" t="n">
        <v>218</v>
      </c>
      <c r="B219" s="39" t="str">
        <f aca="false">IF($V$4=0,IF($J219="","",$J219),IFERROR(IF([1]入库吨位汇总!$B$218=0,"",[1]入库吨位汇总!$B$218),""))</f>
        <v/>
      </c>
      <c r="C219" s="39" t="str">
        <f aca="false">IF($V$4=0,IF($K219="","",$K219),IFERROR(IF([1]入库吨位汇总!$C$218=0,"",[1]入库吨位汇总!$C$218),""))</f>
        <v/>
      </c>
      <c r="D219" s="51" t="str">
        <f aca="false">IF($V$4=0,IF($L219="","",$L219),IFERROR(IF([1]入库吨位汇总!$D$218=0,"",[1]入库吨位汇总!$D$218),""))</f>
        <v/>
      </c>
      <c r="E219" s="51" t="str">
        <f aca="false">IF($V$4=0,IF($M219="","",$M219),IFERROR(IF([1]入库吨位汇总!$E$218=0,"",[1]入库吨位汇总!$E$218),""))</f>
        <v/>
      </c>
      <c r="F219" s="41" t="str">
        <f aca="false">IF($V$4=0,IF($N219="","",$N219),IFERROR(IF([1]入库吨位汇总!$K$218=0,"",[1]入库吨位汇总!$K$218),""))</f>
        <v/>
      </c>
      <c r="G219" s="52" t="str">
        <f aca="false">IF($V$4=0,IF($O219="","",$O219),IFERROR(IF([1]入库吨位汇总!$L$218=0,"",[1]入库吨位汇总!$L$218),""))</f>
        <v/>
      </c>
      <c r="H219" s="41" t="str">
        <f aca="false">IF($V$4=0,IF($P219="","",$P219),IFERROR(IF([1]入库吨位汇总!$H$218=0,"",[1]入库吨位汇总!$H$218),""))</f>
        <v/>
      </c>
      <c r="I219" s="41" t="str">
        <f aca="false">IF($V$4=0,IF($Q219="","",$Q219),IFERROR(IF([1]入库吨位汇总!$I$218=0,"",[1]入库吨位汇总!$I$218),""))</f>
        <v/>
      </c>
      <c r="J219" s="10"/>
      <c r="K219" s="10"/>
      <c r="L219" s="53"/>
      <c r="M219" s="53"/>
      <c r="N219" s="54"/>
      <c r="O219" s="54"/>
      <c r="P219" s="54"/>
      <c r="Q219" s="54"/>
      <c r="R219" s="55" t="n">
        <f aca="false">IF(AND($B219&lt;&gt;"",$C219&lt;&gt;""),1,0)</f>
        <v>0</v>
      </c>
      <c r="S219" s="55" t="n">
        <f aca="false">N(S218)+$R219</f>
        <v>22</v>
      </c>
    </row>
    <row r="220" customFormat="false" ht="13.5" hidden="false" customHeight="false" outlineLevel="0" collapsed="false">
      <c r="A220" s="9" t="n">
        <v>219</v>
      </c>
      <c r="B220" s="39" t="str">
        <f aca="false">IF($V$4=0,IF($J220="","",$J220),IFERROR(IF([1]入库吨位汇总!$B$219=0,"",[1]入库吨位汇总!$B$219),""))</f>
        <v/>
      </c>
      <c r="C220" s="39" t="str">
        <f aca="false">IF($V$4=0,IF($K220="","",$K220),IFERROR(IF([1]入库吨位汇总!$C$219=0,"",[1]入库吨位汇总!$C$219),""))</f>
        <v/>
      </c>
      <c r="D220" s="51" t="str">
        <f aca="false">IF($V$4=0,IF($L220="","",$L220),IFERROR(IF([1]入库吨位汇总!$D$219=0,"",[1]入库吨位汇总!$D$219),""))</f>
        <v/>
      </c>
      <c r="E220" s="51" t="str">
        <f aca="false">IF($V$4=0,IF($M220="","",$M220),IFERROR(IF([1]入库吨位汇总!$E$219=0,"",[1]入库吨位汇总!$E$219),""))</f>
        <v/>
      </c>
      <c r="F220" s="41" t="str">
        <f aca="false">IF($V$4=0,IF($N220="","",$N220),IFERROR(IF([1]入库吨位汇总!$K$219=0,"",[1]入库吨位汇总!$K$219),""))</f>
        <v/>
      </c>
      <c r="G220" s="52" t="str">
        <f aca="false">IF($V$4=0,IF($O220="","",$O220),IFERROR(IF([1]入库吨位汇总!$L$219=0,"",[1]入库吨位汇总!$L$219),""))</f>
        <v/>
      </c>
      <c r="H220" s="41" t="str">
        <f aca="false">IF($V$4=0,IF($P220="","",$P220),IFERROR(IF([1]入库吨位汇总!$H$219=0,"",[1]入库吨位汇总!$H$219),""))</f>
        <v/>
      </c>
      <c r="I220" s="41" t="str">
        <f aca="false">IF($V$4=0,IF($Q220="","",$Q220),IFERROR(IF([1]入库吨位汇总!$I$219=0,"",[1]入库吨位汇总!$I$219),""))</f>
        <v/>
      </c>
      <c r="J220" s="10"/>
      <c r="K220" s="10"/>
      <c r="L220" s="53"/>
      <c r="M220" s="53"/>
      <c r="N220" s="54"/>
      <c r="O220" s="54"/>
      <c r="P220" s="54"/>
      <c r="Q220" s="54"/>
      <c r="R220" s="55" t="n">
        <f aca="false">IF(AND($B220&lt;&gt;"",$C220&lt;&gt;""),1,0)</f>
        <v>0</v>
      </c>
      <c r="S220" s="55" t="n">
        <f aca="false">N(S219)+$R220</f>
        <v>22</v>
      </c>
    </row>
    <row r="221" customFormat="false" ht="13.5" hidden="false" customHeight="false" outlineLevel="0" collapsed="false">
      <c r="A221" s="9" t="n">
        <v>220</v>
      </c>
      <c r="B221" s="39" t="str">
        <f aca="false">IF($V$4=0,IF($J221="","",$J221),IFERROR(IF([1]入库吨位汇总!$B$220=0,"",[1]入库吨位汇总!$B$220),""))</f>
        <v/>
      </c>
      <c r="C221" s="39" t="str">
        <f aca="false">IF($V$4=0,IF($K221="","",$K221),IFERROR(IF([1]入库吨位汇总!$C$220=0,"",[1]入库吨位汇总!$C$220),""))</f>
        <v/>
      </c>
      <c r="D221" s="51" t="str">
        <f aca="false">IF($V$4=0,IF($L221="","",$L221),IFERROR(IF([1]入库吨位汇总!$D$220=0,"",[1]入库吨位汇总!$D$220),""))</f>
        <v/>
      </c>
      <c r="E221" s="51" t="str">
        <f aca="false">IF($V$4=0,IF($M221="","",$M221),IFERROR(IF([1]入库吨位汇总!$E$220=0,"",[1]入库吨位汇总!$E$220),""))</f>
        <v/>
      </c>
      <c r="F221" s="41" t="str">
        <f aca="false">IF($V$4=0,IF($N221="","",$N221),IFERROR(IF([1]入库吨位汇总!$K$220=0,"",[1]入库吨位汇总!$K$220),""))</f>
        <v/>
      </c>
      <c r="G221" s="52" t="str">
        <f aca="false">IF($V$4=0,IF($O221="","",$O221),IFERROR(IF([1]入库吨位汇总!$L$220=0,"",[1]入库吨位汇总!$L$220),""))</f>
        <v/>
      </c>
      <c r="H221" s="41" t="str">
        <f aca="false">IF($V$4=0,IF($P221="","",$P221),IFERROR(IF([1]入库吨位汇总!$H$220=0,"",[1]入库吨位汇总!$H$220),""))</f>
        <v/>
      </c>
      <c r="I221" s="41" t="str">
        <f aca="false">IF($V$4=0,IF($Q221="","",$Q221),IFERROR(IF([1]入库吨位汇总!$I$220=0,"",[1]入库吨位汇总!$I$220),""))</f>
        <v/>
      </c>
      <c r="J221" s="10"/>
      <c r="K221" s="10"/>
      <c r="L221" s="53"/>
      <c r="M221" s="53"/>
      <c r="N221" s="54"/>
      <c r="O221" s="54"/>
      <c r="P221" s="54"/>
      <c r="Q221" s="54"/>
      <c r="R221" s="55" t="n">
        <f aca="false">IF(AND($B221&lt;&gt;"",$C221&lt;&gt;""),1,0)</f>
        <v>0</v>
      </c>
      <c r="S221" s="55" t="n">
        <f aca="false">N(S220)+$R221</f>
        <v>22</v>
      </c>
    </row>
    <row r="222" customFormat="false" ht="13.5" hidden="false" customHeight="false" outlineLevel="0" collapsed="false">
      <c r="A222" s="9" t="n">
        <v>221</v>
      </c>
      <c r="B222" s="39" t="str">
        <f aca="false">IF($V$4=0,IF($J222="","",$J222),IFERROR(IF([1]入库吨位汇总!$B$221=0,"",[1]入库吨位汇总!$B$221),""))</f>
        <v/>
      </c>
      <c r="C222" s="39" t="str">
        <f aca="false">IF($V$4=0,IF($K222="","",$K222),IFERROR(IF([1]入库吨位汇总!$C$221=0,"",[1]入库吨位汇总!$C$221),""))</f>
        <v/>
      </c>
      <c r="D222" s="51" t="str">
        <f aca="false">IF($V$4=0,IF($L222="","",$L222),IFERROR(IF([1]入库吨位汇总!$D$221=0,"",[1]入库吨位汇总!$D$221),""))</f>
        <v/>
      </c>
      <c r="E222" s="51" t="str">
        <f aca="false">IF($V$4=0,IF($M222="","",$M222),IFERROR(IF([1]入库吨位汇总!$E$221=0,"",[1]入库吨位汇总!$E$221),""))</f>
        <v/>
      </c>
      <c r="F222" s="41" t="str">
        <f aca="false">IF($V$4=0,IF($N222="","",$N222),IFERROR(IF([1]入库吨位汇总!$K$221=0,"",[1]入库吨位汇总!$K$221),""))</f>
        <v/>
      </c>
      <c r="G222" s="52" t="str">
        <f aca="false">IF($V$4=0,IF($O222="","",$O222),IFERROR(IF([1]入库吨位汇总!$L$221=0,"",[1]入库吨位汇总!$L$221),""))</f>
        <v/>
      </c>
      <c r="H222" s="41" t="str">
        <f aca="false">IF($V$4=0,IF($P222="","",$P222),IFERROR(IF([1]入库吨位汇总!$H$221=0,"",[1]入库吨位汇总!$H$221),""))</f>
        <v/>
      </c>
      <c r="I222" s="41" t="str">
        <f aca="false">IF($V$4=0,IF($Q222="","",$Q222),IFERROR(IF([1]入库吨位汇总!$I$221=0,"",[1]入库吨位汇总!$I$221),""))</f>
        <v/>
      </c>
      <c r="J222" s="10"/>
      <c r="K222" s="10"/>
      <c r="L222" s="53"/>
      <c r="M222" s="53"/>
      <c r="N222" s="54"/>
      <c r="O222" s="54"/>
      <c r="P222" s="54"/>
      <c r="Q222" s="54"/>
      <c r="R222" s="55" t="n">
        <f aca="false">IF(AND($B222&lt;&gt;"",$C222&lt;&gt;""),1,0)</f>
        <v>0</v>
      </c>
      <c r="S222" s="55" t="n">
        <f aca="false">N(S221)+$R222</f>
        <v>22</v>
      </c>
    </row>
    <row r="223" customFormat="false" ht="13.5" hidden="false" customHeight="false" outlineLevel="0" collapsed="false">
      <c r="A223" s="9" t="n">
        <v>222</v>
      </c>
      <c r="B223" s="39" t="str">
        <f aca="false">IF($V$4=0,IF($J223="","",$J223),IFERROR(IF([1]入库吨位汇总!$B$222=0,"",[1]入库吨位汇总!$B$222),""))</f>
        <v/>
      </c>
      <c r="C223" s="39" t="str">
        <f aca="false">IF($V$4=0,IF($K223="","",$K223),IFERROR(IF([1]入库吨位汇总!$C$222=0,"",[1]入库吨位汇总!$C$222),""))</f>
        <v/>
      </c>
      <c r="D223" s="51" t="str">
        <f aca="false">IF($V$4=0,IF($L223="","",$L223),IFERROR(IF([1]入库吨位汇总!$D$222=0,"",[1]入库吨位汇总!$D$222),""))</f>
        <v/>
      </c>
      <c r="E223" s="51" t="str">
        <f aca="false">IF($V$4=0,IF($M223="","",$M223),IFERROR(IF([1]入库吨位汇总!$E$222=0,"",[1]入库吨位汇总!$E$222),""))</f>
        <v/>
      </c>
      <c r="F223" s="41" t="str">
        <f aca="false">IF($V$4=0,IF($N223="","",$N223),IFERROR(IF([1]入库吨位汇总!$K$222=0,"",[1]入库吨位汇总!$K$222),""))</f>
        <v/>
      </c>
      <c r="G223" s="52" t="str">
        <f aca="false">IF($V$4=0,IF($O223="","",$O223),IFERROR(IF([1]入库吨位汇总!$L$222=0,"",[1]入库吨位汇总!$L$222),""))</f>
        <v/>
      </c>
      <c r="H223" s="41" t="str">
        <f aca="false">IF($V$4=0,IF($P223="","",$P223),IFERROR(IF([1]入库吨位汇总!$H$222=0,"",[1]入库吨位汇总!$H$222),""))</f>
        <v/>
      </c>
      <c r="I223" s="41" t="str">
        <f aca="false">IF($V$4=0,IF($Q223="","",$Q223),IFERROR(IF([1]入库吨位汇总!$I$222=0,"",[1]入库吨位汇总!$I$222),""))</f>
        <v/>
      </c>
      <c r="J223" s="10"/>
      <c r="K223" s="10"/>
      <c r="L223" s="53"/>
      <c r="M223" s="53"/>
      <c r="N223" s="54"/>
      <c r="O223" s="54"/>
      <c r="P223" s="54"/>
      <c r="Q223" s="54"/>
      <c r="R223" s="55" t="n">
        <f aca="false">IF(AND($B223&lt;&gt;"",$C223&lt;&gt;""),1,0)</f>
        <v>0</v>
      </c>
      <c r="S223" s="55" t="n">
        <f aca="false">N(S222)+$R223</f>
        <v>22</v>
      </c>
    </row>
    <row r="224" customFormat="false" ht="13.5" hidden="false" customHeight="false" outlineLevel="0" collapsed="false">
      <c r="A224" s="9" t="n">
        <v>223</v>
      </c>
      <c r="B224" s="39" t="str">
        <f aca="false">IF($V$4=0,IF($J224="","",$J224),IFERROR(IF([1]入库吨位汇总!$B$223=0,"",[1]入库吨位汇总!$B$223),""))</f>
        <v/>
      </c>
      <c r="C224" s="39" t="str">
        <f aca="false">IF($V$4=0,IF($K224="","",$K224),IFERROR(IF([1]入库吨位汇总!$C$223=0,"",[1]入库吨位汇总!$C$223),""))</f>
        <v/>
      </c>
      <c r="D224" s="51" t="str">
        <f aca="false">IF($V$4=0,IF($L224="","",$L224),IFERROR(IF([1]入库吨位汇总!$D$223=0,"",[1]入库吨位汇总!$D$223),""))</f>
        <v/>
      </c>
      <c r="E224" s="51" t="str">
        <f aca="false">IF($V$4=0,IF($M224="","",$M224),IFERROR(IF([1]入库吨位汇总!$E$223=0,"",[1]入库吨位汇总!$E$223),""))</f>
        <v/>
      </c>
      <c r="F224" s="41" t="str">
        <f aca="false">IF($V$4=0,IF($N224="","",$N224),IFERROR(IF([1]入库吨位汇总!$K$223=0,"",[1]入库吨位汇总!$K$223),""))</f>
        <v/>
      </c>
      <c r="G224" s="52" t="str">
        <f aca="false">IF($V$4=0,IF($O224="","",$O224),IFERROR(IF([1]入库吨位汇总!$L$223=0,"",[1]入库吨位汇总!$L$223),""))</f>
        <v/>
      </c>
      <c r="H224" s="41" t="str">
        <f aca="false">IF($V$4=0,IF($P224="","",$P224),IFERROR(IF([1]入库吨位汇总!$H$223=0,"",[1]入库吨位汇总!$H$223),""))</f>
        <v/>
      </c>
      <c r="I224" s="41" t="str">
        <f aca="false">IF($V$4=0,IF($Q224="","",$Q224),IFERROR(IF([1]入库吨位汇总!$I$223=0,"",[1]入库吨位汇总!$I$223),""))</f>
        <v/>
      </c>
      <c r="J224" s="10"/>
      <c r="K224" s="10"/>
      <c r="L224" s="53"/>
      <c r="M224" s="53"/>
      <c r="N224" s="54"/>
      <c r="O224" s="54"/>
      <c r="P224" s="54"/>
      <c r="Q224" s="54"/>
      <c r="R224" s="55" t="n">
        <f aca="false">IF(AND($B224&lt;&gt;"",$C224&lt;&gt;""),1,0)</f>
        <v>0</v>
      </c>
      <c r="S224" s="55" t="n">
        <f aca="false">N(S223)+$R224</f>
        <v>22</v>
      </c>
    </row>
    <row r="225" customFormat="false" ht="13.5" hidden="false" customHeight="false" outlineLevel="0" collapsed="false">
      <c r="A225" s="9" t="n">
        <v>224</v>
      </c>
      <c r="B225" s="39" t="str">
        <f aca="false">IF($V$4=0,IF($J225="","",$J225),IFERROR(IF([1]入库吨位汇总!$B$224=0,"",[1]入库吨位汇总!$B$224),""))</f>
        <v/>
      </c>
      <c r="C225" s="39" t="str">
        <f aca="false">IF($V$4=0,IF($K225="","",$K225),IFERROR(IF([1]入库吨位汇总!$C$224=0,"",[1]入库吨位汇总!$C$224),""))</f>
        <v/>
      </c>
      <c r="D225" s="51" t="str">
        <f aca="false">IF($V$4=0,IF($L225="","",$L225),IFERROR(IF([1]入库吨位汇总!$D$224=0,"",[1]入库吨位汇总!$D$224),""))</f>
        <v/>
      </c>
      <c r="E225" s="51" t="str">
        <f aca="false">IF($V$4=0,IF($M225="","",$M225),IFERROR(IF([1]入库吨位汇总!$E$224=0,"",[1]入库吨位汇总!$E$224),""))</f>
        <v/>
      </c>
      <c r="F225" s="41" t="str">
        <f aca="false">IF($V$4=0,IF($N225="","",$N225),IFERROR(IF([1]入库吨位汇总!$K$224=0,"",[1]入库吨位汇总!$K$224),""))</f>
        <v/>
      </c>
      <c r="G225" s="52" t="str">
        <f aca="false">IF($V$4=0,IF($O225="","",$O225),IFERROR(IF([1]入库吨位汇总!$L$224=0,"",[1]入库吨位汇总!$L$224),""))</f>
        <v/>
      </c>
      <c r="H225" s="41" t="str">
        <f aca="false">IF($V$4=0,IF($P225="","",$P225),IFERROR(IF([1]入库吨位汇总!$H$224=0,"",[1]入库吨位汇总!$H$224),""))</f>
        <v/>
      </c>
      <c r="I225" s="41" t="str">
        <f aca="false">IF($V$4=0,IF($Q225="","",$Q225),IFERROR(IF([1]入库吨位汇总!$I$224=0,"",[1]入库吨位汇总!$I$224),""))</f>
        <v/>
      </c>
      <c r="J225" s="10"/>
      <c r="K225" s="10"/>
      <c r="L225" s="53"/>
      <c r="M225" s="53"/>
      <c r="N225" s="54"/>
      <c r="O225" s="54"/>
      <c r="P225" s="54"/>
      <c r="Q225" s="54"/>
      <c r="R225" s="55" t="n">
        <f aca="false">IF(AND($B225&lt;&gt;"",$C225&lt;&gt;""),1,0)</f>
        <v>0</v>
      </c>
      <c r="S225" s="55" t="n">
        <f aca="false">N(S224)+$R225</f>
        <v>22</v>
      </c>
    </row>
    <row r="226" customFormat="false" ht="13.5" hidden="false" customHeight="false" outlineLevel="0" collapsed="false">
      <c r="A226" s="9" t="n">
        <v>225</v>
      </c>
      <c r="B226" s="39" t="str">
        <f aca="false">IF($V$4=0,IF($J226="","",$J226),IFERROR(IF([1]入库吨位汇总!$B$225=0,"",[1]入库吨位汇总!$B$225),""))</f>
        <v/>
      </c>
      <c r="C226" s="39" t="str">
        <f aca="false">IF($V$4=0,IF($K226="","",$K226),IFERROR(IF([1]入库吨位汇总!$C$225=0,"",[1]入库吨位汇总!$C$225),""))</f>
        <v/>
      </c>
      <c r="D226" s="51" t="str">
        <f aca="false">IF($V$4=0,IF($L226="","",$L226),IFERROR(IF([1]入库吨位汇总!$D$225=0,"",[1]入库吨位汇总!$D$225),""))</f>
        <v/>
      </c>
      <c r="E226" s="51" t="str">
        <f aca="false">IF($V$4=0,IF($M226="","",$M226),IFERROR(IF([1]入库吨位汇总!$E$225=0,"",[1]入库吨位汇总!$E$225),""))</f>
        <v/>
      </c>
      <c r="F226" s="41" t="str">
        <f aca="false">IF($V$4=0,IF($N226="","",$N226),IFERROR(IF([1]入库吨位汇总!$K$225=0,"",[1]入库吨位汇总!$K$225),""))</f>
        <v/>
      </c>
      <c r="G226" s="52" t="str">
        <f aca="false">IF($V$4=0,IF($O226="","",$O226),IFERROR(IF([1]入库吨位汇总!$L$225=0,"",[1]入库吨位汇总!$L$225),""))</f>
        <v/>
      </c>
      <c r="H226" s="41" t="str">
        <f aca="false">IF($V$4=0,IF($P226="","",$P226),IFERROR(IF([1]入库吨位汇总!$H$225=0,"",[1]入库吨位汇总!$H$225),""))</f>
        <v/>
      </c>
      <c r="I226" s="41" t="str">
        <f aca="false">IF($V$4=0,IF($Q226="","",$Q226),IFERROR(IF([1]入库吨位汇总!$I$225=0,"",[1]入库吨位汇总!$I$225),""))</f>
        <v/>
      </c>
      <c r="J226" s="10"/>
      <c r="K226" s="10"/>
      <c r="L226" s="53"/>
      <c r="M226" s="53"/>
      <c r="N226" s="54"/>
      <c r="O226" s="54"/>
      <c r="P226" s="54"/>
      <c r="Q226" s="54"/>
      <c r="R226" s="55" t="n">
        <f aca="false">IF(AND($B226&lt;&gt;"",$C226&lt;&gt;""),1,0)</f>
        <v>0</v>
      </c>
      <c r="S226" s="55" t="n">
        <f aca="false">N(S225)+$R226</f>
        <v>22</v>
      </c>
    </row>
    <row r="227" customFormat="false" ht="13.5" hidden="false" customHeight="false" outlineLevel="0" collapsed="false">
      <c r="A227" s="9" t="n">
        <v>226</v>
      </c>
      <c r="B227" s="39" t="str">
        <f aca="false">IF($V$4=0,IF($J227="","",$J227),IFERROR(IF([1]入库吨位汇总!$B$226=0,"",[1]入库吨位汇总!$B$226),""))</f>
        <v/>
      </c>
      <c r="C227" s="39" t="str">
        <f aca="false">IF($V$4=0,IF($K227="","",$K227),IFERROR(IF([1]入库吨位汇总!$C$226=0,"",[1]入库吨位汇总!$C$226),""))</f>
        <v/>
      </c>
      <c r="D227" s="51" t="str">
        <f aca="false">IF($V$4=0,IF($L227="","",$L227),IFERROR(IF([1]入库吨位汇总!$D$226=0,"",[1]入库吨位汇总!$D$226),""))</f>
        <v/>
      </c>
      <c r="E227" s="51" t="str">
        <f aca="false">IF($V$4=0,IF($M227="","",$M227),IFERROR(IF([1]入库吨位汇总!$E$226=0,"",[1]入库吨位汇总!$E$226),""))</f>
        <v/>
      </c>
      <c r="F227" s="41" t="str">
        <f aca="false">IF($V$4=0,IF($N227="","",$N227),IFERROR(IF([1]入库吨位汇总!$K$226=0,"",[1]入库吨位汇总!$K$226),""))</f>
        <v/>
      </c>
      <c r="G227" s="52" t="str">
        <f aca="false">IF($V$4=0,IF($O227="","",$O227),IFERROR(IF([1]入库吨位汇总!$L$226=0,"",[1]入库吨位汇总!$L$226),""))</f>
        <v/>
      </c>
      <c r="H227" s="41" t="str">
        <f aca="false">IF($V$4=0,IF($P227="","",$P227),IFERROR(IF([1]入库吨位汇总!$H$226=0,"",[1]入库吨位汇总!$H$226),""))</f>
        <v/>
      </c>
      <c r="I227" s="41" t="str">
        <f aca="false">IF($V$4=0,IF($Q227="","",$Q227),IFERROR(IF([1]入库吨位汇总!$I$226=0,"",[1]入库吨位汇总!$I$226),""))</f>
        <v/>
      </c>
      <c r="J227" s="10"/>
      <c r="K227" s="10"/>
      <c r="L227" s="53"/>
      <c r="M227" s="53"/>
      <c r="N227" s="54"/>
      <c r="O227" s="54"/>
      <c r="P227" s="54"/>
      <c r="Q227" s="54"/>
      <c r="R227" s="55" t="n">
        <f aca="false">IF(AND($B227&lt;&gt;"",$C227&lt;&gt;""),1,0)</f>
        <v>0</v>
      </c>
      <c r="S227" s="55" t="n">
        <f aca="false">N(S226)+$R227</f>
        <v>22</v>
      </c>
    </row>
    <row r="228" customFormat="false" ht="13.5" hidden="false" customHeight="false" outlineLevel="0" collapsed="false">
      <c r="A228" s="9" t="n">
        <v>227</v>
      </c>
      <c r="B228" s="39" t="str">
        <f aca="false">IF($V$4=0,IF($J228="","",$J228),IFERROR(IF([1]入库吨位汇总!$B$227=0,"",[1]入库吨位汇总!$B$227),""))</f>
        <v/>
      </c>
      <c r="C228" s="39" t="str">
        <f aca="false">IF($V$4=0,IF($K228="","",$K228),IFERROR(IF([1]入库吨位汇总!$C$227=0,"",[1]入库吨位汇总!$C$227),""))</f>
        <v/>
      </c>
      <c r="D228" s="51" t="str">
        <f aca="false">IF($V$4=0,IF($L228="","",$L228),IFERROR(IF([1]入库吨位汇总!$D$227=0,"",[1]入库吨位汇总!$D$227),""))</f>
        <v/>
      </c>
      <c r="E228" s="51" t="str">
        <f aca="false">IF($V$4=0,IF($M228="","",$M228),IFERROR(IF([1]入库吨位汇总!$E$227=0,"",[1]入库吨位汇总!$E$227),""))</f>
        <v/>
      </c>
      <c r="F228" s="41" t="str">
        <f aca="false">IF($V$4=0,IF($N228="","",$N228),IFERROR(IF([1]入库吨位汇总!$K$227=0,"",[1]入库吨位汇总!$K$227),""))</f>
        <v/>
      </c>
      <c r="G228" s="52" t="str">
        <f aca="false">IF($V$4=0,IF($O228="","",$O228),IFERROR(IF([1]入库吨位汇总!$L$227=0,"",[1]入库吨位汇总!$L$227),""))</f>
        <v/>
      </c>
      <c r="H228" s="41" t="str">
        <f aca="false">IF($V$4=0,IF($P228="","",$P228),IFERROR(IF([1]入库吨位汇总!$H$227=0,"",[1]入库吨位汇总!$H$227),""))</f>
        <v/>
      </c>
      <c r="I228" s="41" t="str">
        <f aca="false">IF($V$4=0,IF($Q228="","",$Q228),IFERROR(IF([1]入库吨位汇总!$I$227=0,"",[1]入库吨位汇总!$I$227),""))</f>
        <v/>
      </c>
      <c r="J228" s="10"/>
      <c r="K228" s="10"/>
      <c r="L228" s="53"/>
      <c r="M228" s="53"/>
      <c r="N228" s="54"/>
      <c r="O228" s="54"/>
      <c r="P228" s="54"/>
      <c r="Q228" s="54"/>
      <c r="R228" s="55" t="n">
        <f aca="false">IF(AND($B228&lt;&gt;"",$C228&lt;&gt;""),1,0)</f>
        <v>0</v>
      </c>
      <c r="S228" s="55" t="n">
        <f aca="false">N(S227)+$R228</f>
        <v>22</v>
      </c>
    </row>
    <row r="229" customFormat="false" ht="13.5" hidden="false" customHeight="false" outlineLevel="0" collapsed="false">
      <c r="A229" s="9" t="n">
        <v>228</v>
      </c>
      <c r="B229" s="39" t="str">
        <f aca="false">IF($V$4=0,IF($J229="","",$J229),IFERROR(IF([1]入库吨位汇总!$B$228=0,"",[1]入库吨位汇总!$B$228),""))</f>
        <v/>
      </c>
      <c r="C229" s="39" t="str">
        <f aca="false">IF($V$4=0,IF($K229="","",$K229),IFERROR(IF([1]入库吨位汇总!$C$228=0,"",[1]入库吨位汇总!$C$228),""))</f>
        <v/>
      </c>
      <c r="D229" s="51" t="str">
        <f aca="false">IF($V$4=0,IF($L229="","",$L229),IFERROR(IF([1]入库吨位汇总!$D$228=0,"",[1]入库吨位汇总!$D$228),""))</f>
        <v/>
      </c>
      <c r="E229" s="51" t="str">
        <f aca="false">IF($V$4=0,IF($M229="","",$M229),IFERROR(IF([1]入库吨位汇总!$E$228=0,"",[1]入库吨位汇总!$E$228),""))</f>
        <v/>
      </c>
      <c r="F229" s="41" t="str">
        <f aca="false">IF($V$4=0,IF($N229="","",$N229),IFERROR(IF([1]入库吨位汇总!$K$228=0,"",[1]入库吨位汇总!$K$228),""))</f>
        <v/>
      </c>
      <c r="G229" s="52" t="str">
        <f aca="false">IF($V$4=0,IF($O229="","",$O229),IFERROR(IF([1]入库吨位汇总!$L$228=0,"",[1]入库吨位汇总!$L$228),""))</f>
        <v/>
      </c>
      <c r="H229" s="41" t="str">
        <f aca="false">IF($V$4=0,IF($P229="","",$P229),IFERROR(IF([1]入库吨位汇总!$H$228=0,"",[1]入库吨位汇总!$H$228),""))</f>
        <v/>
      </c>
      <c r="I229" s="41" t="str">
        <f aca="false">IF($V$4=0,IF($Q229="","",$Q229),IFERROR(IF([1]入库吨位汇总!$I$228=0,"",[1]入库吨位汇总!$I$228),""))</f>
        <v/>
      </c>
      <c r="J229" s="10"/>
      <c r="K229" s="10"/>
      <c r="L229" s="53"/>
      <c r="M229" s="53"/>
      <c r="N229" s="54"/>
      <c r="O229" s="54"/>
      <c r="P229" s="54"/>
      <c r="Q229" s="54"/>
      <c r="R229" s="55" t="n">
        <f aca="false">IF(AND($B229&lt;&gt;"",$C229&lt;&gt;""),1,0)</f>
        <v>0</v>
      </c>
      <c r="S229" s="55" t="n">
        <f aca="false">N(S228)+$R229</f>
        <v>22</v>
      </c>
    </row>
    <row r="230" customFormat="false" ht="13.5" hidden="false" customHeight="false" outlineLevel="0" collapsed="false">
      <c r="A230" s="9" t="n">
        <v>229</v>
      </c>
      <c r="B230" s="39" t="str">
        <f aca="false">IF($V$4=0,IF($J230="","",$J230),IFERROR(IF([1]入库吨位汇总!$B$229=0,"",[1]入库吨位汇总!$B$229),""))</f>
        <v/>
      </c>
      <c r="C230" s="39" t="str">
        <f aca="false">IF($V$4=0,IF($K230="","",$K230),IFERROR(IF([1]入库吨位汇总!$C$229=0,"",[1]入库吨位汇总!$C$229),""))</f>
        <v/>
      </c>
      <c r="D230" s="51" t="str">
        <f aca="false">IF($V$4=0,IF($L230="","",$L230),IFERROR(IF([1]入库吨位汇总!$D$229=0,"",[1]入库吨位汇总!$D$229),""))</f>
        <v/>
      </c>
      <c r="E230" s="51" t="str">
        <f aca="false">IF($V$4=0,IF($M230="","",$M230),IFERROR(IF([1]入库吨位汇总!$E$229=0,"",[1]入库吨位汇总!$E$229),""))</f>
        <v/>
      </c>
      <c r="F230" s="41" t="str">
        <f aca="false">IF($V$4=0,IF($N230="","",$N230),IFERROR(IF([1]入库吨位汇总!$K$229=0,"",[1]入库吨位汇总!$K$229),""))</f>
        <v/>
      </c>
      <c r="G230" s="52" t="str">
        <f aca="false">IF($V$4=0,IF($O230="","",$O230),IFERROR(IF([1]入库吨位汇总!$L$229=0,"",[1]入库吨位汇总!$L$229),""))</f>
        <v/>
      </c>
      <c r="H230" s="41" t="str">
        <f aca="false">IF($V$4=0,IF($P230="","",$P230),IFERROR(IF([1]入库吨位汇总!$H$229=0,"",[1]入库吨位汇总!$H$229),""))</f>
        <v/>
      </c>
      <c r="I230" s="41" t="str">
        <f aca="false">IF($V$4=0,IF($Q230="","",$Q230),IFERROR(IF([1]入库吨位汇总!$I$229=0,"",[1]入库吨位汇总!$I$229),""))</f>
        <v/>
      </c>
      <c r="J230" s="10"/>
      <c r="K230" s="10"/>
      <c r="L230" s="53"/>
      <c r="M230" s="53"/>
      <c r="N230" s="54"/>
      <c r="O230" s="54"/>
      <c r="P230" s="54"/>
      <c r="Q230" s="54"/>
      <c r="R230" s="55" t="n">
        <f aca="false">IF(AND($B230&lt;&gt;"",$C230&lt;&gt;""),1,0)</f>
        <v>0</v>
      </c>
      <c r="S230" s="55" t="n">
        <f aca="false">N(S229)+$R230</f>
        <v>22</v>
      </c>
    </row>
    <row r="231" customFormat="false" ht="13.5" hidden="false" customHeight="false" outlineLevel="0" collapsed="false">
      <c r="A231" s="9" t="n">
        <v>230</v>
      </c>
      <c r="B231" s="39" t="str">
        <f aca="false">IF($V$4=0,IF($J231="","",$J231),IFERROR(IF([1]入库吨位汇总!$B$230=0,"",[1]入库吨位汇总!$B$230),""))</f>
        <v/>
      </c>
      <c r="C231" s="39" t="str">
        <f aca="false">IF($V$4=0,IF($K231="","",$K231),IFERROR(IF([1]入库吨位汇总!$C$230=0,"",[1]入库吨位汇总!$C$230),""))</f>
        <v/>
      </c>
      <c r="D231" s="51" t="str">
        <f aca="false">IF($V$4=0,IF($L231="","",$L231),IFERROR(IF([1]入库吨位汇总!$D$230=0,"",[1]入库吨位汇总!$D$230),""))</f>
        <v/>
      </c>
      <c r="E231" s="51" t="str">
        <f aca="false">IF($V$4=0,IF($M231="","",$M231),IFERROR(IF([1]入库吨位汇总!$E$230=0,"",[1]入库吨位汇总!$E$230),""))</f>
        <v/>
      </c>
      <c r="F231" s="41" t="str">
        <f aca="false">IF($V$4=0,IF($N231="","",$N231),IFERROR(IF([1]入库吨位汇总!$K$230=0,"",[1]入库吨位汇总!$K$230),""))</f>
        <v/>
      </c>
      <c r="G231" s="52" t="str">
        <f aca="false">IF($V$4=0,IF($O231="","",$O231),IFERROR(IF([1]入库吨位汇总!$L$230=0,"",[1]入库吨位汇总!$L$230),""))</f>
        <v/>
      </c>
      <c r="H231" s="41" t="str">
        <f aca="false">IF($V$4=0,IF($P231="","",$P231),IFERROR(IF([1]入库吨位汇总!$H$230=0,"",[1]入库吨位汇总!$H$230),""))</f>
        <v/>
      </c>
      <c r="I231" s="41" t="str">
        <f aca="false">IF($V$4=0,IF($Q231="","",$Q231),IFERROR(IF([1]入库吨位汇总!$I$230=0,"",[1]入库吨位汇总!$I$230),""))</f>
        <v/>
      </c>
      <c r="J231" s="10"/>
      <c r="K231" s="10"/>
      <c r="L231" s="53"/>
      <c r="M231" s="53"/>
      <c r="N231" s="54"/>
      <c r="O231" s="54"/>
      <c r="P231" s="54"/>
      <c r="Q231" s="54"/>
      <c r="R231" s="55" t="n">
        <f aca="false">IF(AND($B231&lt;&gt;"",$C231&lt;&gt;""),1,0)</f>
        <v>0</v>
      </c>
      <c r="S231" s="55" t="n">
        <f aca="false">N(S230)+$R231</f>
        <v>22</v>
      </c>
    </row>
    <row r="232" customFormat="false" ht="13.5" hidden="false" customHeight="false" outlineLevel="0" collapsed="false">
      <c r="A232" s="9" t="n">
        <v>231</v>
      </c>
      <c r="B232" s="39" t="str">
        <f aca="false">IF($V$4=0,IF($J232="","",$J232),IFERROR(IF([1]入库吨位汇总!$B$231=0,"",[1]入库吨位汇总!$B$231),""))</f>
        <v/>
      </c>
      <c r="C232" s="39" t="str">
        <f aca="false">IF($V$4=0,IF($K232="","",$K232),IFERROR(IF([1]入库吨位汇总!$C$231=0,"",[1]入库吨位汇总!$C$231),""))</f>
        <v/>
      </c>
      <c r="D232" s="51" t="str">
        <f aca="false">IF($V$4=0,IF($L232="","",$L232),IFERROR(IF([1]入库吨位汇总!$D$231=0,"",[1]入库吨位汇总!$D$231),""))</f>
        <v/>
      </c>
      <c r="E232" s="51" t="str">
        <f aca="false">IF($V$4=0,IF($M232="","",$M232),IFERROR(IF([1]入库吨位汇总!$E$231=0,"",[1]入库吨位汇总!$E$231),""))</f>
        <v/>
      </c>
      <c r="F232" s="41" t="str">
        <f aca="false">IF($V$4=0,IF($N232="","",$N232),IFERROR(IF([1]入库吨位汇总!$K$231=0,"",[1]入库吨位汇总!$K$231),""))</f>
        <v/>
      </c>
      <c r="G232" s="52" t="str">
        <f aca="false">IF($V$4=0,IF($O232="","",$O232),IFERROR(IF([1]入库吨位汇总!$L$231=0,"",[1]入库吨位汇总!$L$231),""))</f>
        <v/>
      </c>
      <c r="H232" s="41" t="str">
        <f aca="false">IF($V$4=0,IF($P232="","",$P232),IFERROR(IF([1]入库吨位汇总!$H$231=0,"",[1]入库吨位汇总!$H$231),""))</f>
        <v/>
      </c>
      <c r="I232" s="41" t="str">
        <f aca="false">IF($V$4=0,IF($Q232="","",$Q232),IFERROR(IF([1]入库吨位汇总!$I$231=0,"",[1]入库吨位汇总!$I$231),""))</f>
        <v/>
      </c>
      <c r="J232" s="10"/>
      <c r="K232" s="10"/>
      <c r="L232" s="53"/>
      <c r="M232" s="53"/>
      <c r="N232" s="54"/>
      <c r="O232" s="54"/>
      <c r="P232" s="54"/>
      <c r="Q232" s="54"/>
      <c r="R232" s="55" t="n">
        <f aca="false">IF(AND($B232&lt;&gt;"",$C232&lt;&gt;""),1,0)</f>
        <v>0</v>
      </c>
      <c r="S232" s="55" t="n">
        <f aca="false">N(S231)+$R232</f>
        <v>22</v>
      </c>
    </row>
    <row r="233" customFormat="false" ht="13.5" hidden="false" customHeight="false" outlineLevel="0" collapsed="false">
      <c r="A233" s="9" t="n">
        <v>232</v>
      </c>
      <c r="B233" s="39" t="str">
        <f aca="false">IF($V$4=0,IF($J233="","",$J233),IFERROR(IF([1]入库吨位汇总!$B$232=0,"",[1]入库吨位汇总!$B$232),""))</f>
        <v/>
      </c>
      <c r="C233" s="39" t="str">
        <f aca="false">IF($V$4=0,IF($K233="","",$K233),IFERROR(IF([1]入库吨位汇总!$C$232=0,"",[1]入库吨位汇总!$C$232),""))</f>
        <v/>
      </c>
      <c r="D233" s="51" t="str">
        <f aca="false">IF($V$4=0,IF($L233="","",$L233),IFERROR(IF([1]入库吨位汇总!$D$232=0,"",[1]入库吨位汇总!$D$232),""))</f>
        <v/>
      </c>
      <c r="E233" s="51" t="str">
        <f aca="false">IF($V$4=0,IF($M233="","",$M233),IFERROR(IF([1]入库吨位汇总!$E$232=0,"",[1]入库吨位汇总!$E$232),""))</f>
        <v/>
      </c>
      <c r="F233" s="41" t="str">
        <f aca="false">IF($V$4=0,IF($N233="","",$N233),IFERROR(IF([1]入库吨位汇总!$K$232=0,"",[1]入库吨位汇总!$K$232),""))</f>
        <v/>
      </c>
      <c r="G233" s="52" t="str">
        <f aca="false">IF($V$4=0,IF($O233="","",$O233),IFERROR(IF([1]入库吨位汇总!$L$232=0,"",[1]入库吨位汇总!$L$232),""))</f>
        <v/>
      </c>
      <c r="H233" s="41" t="str">
        <f aca="false">IF($V$4=0,IF($P233="","",$P233),IFERROR(IF([1]入库吨位汇总!$H$232=0,"",[1]入库吨位汇总!$H$232),""))</f>
        <v/>
      </c>
      <c r="I233" s="41" t="str">
        <f aca="false">IF($V$4=0,IF($Q233="","",$Q233),IFERROR(IF([1]入库吨位汇总!$I$232=0,"",[1]入库吨位汇总!$I$232),""))</f>
        <v/>
      </c>
      <c r="J233" s="10"/>
      <c r="K233" s="10"/>
      <c r="L233" s="53"/>
      <c r="M233" s="53"/>
      <c r="N233" s="54"/>
      <c r="O233" s="54"/>
      <c r="P233" s="54"/>
      <c r="Q233" s="54"/>
      <c r="R233" s="55" t="n">
        <f aca="false">IF(AND($B233&lt;&gt;"",$C233&lt;&gt;""),1,0)</f>
        <v>0</v>
      </c>
      <c r="S233" s="55" t="n">
        <f aca="false">N(S232)+$R233</f>
        <v>22</v>
      </c>
    </row>
    <row r="234" customFormat="false" ht="13.5" hidden="false" customHeight="false" outlineLevel="0" collapsed="false">
      <c r="A234" s="9" t="n">
        <v>233</v>
      </c>
      <c r="B234" s="39" t="str">
        <f aca="false">IF($V$4=0,IF($J234="","",$J234),IFERROR(IF([1]入库吨位汇总!$B$233=0,"",[1]入库吨位汇总!$B$233),""))</f>
        <v/>
      </c>
      <c r="C234" s="39" t="str">
        <f aca="false">IF($V$4=0,IF($K234="","",$K234),IFERROR(IF([1]入库吨位汇总!$C$233=0,"",[1]入库吨位汇总!$C$233),""))</f>
        <v/>
      </c>
      <c r="D234" s="51" t="str">
        <f aca="false">IF($V$4=0,IF($L234="","",$L234),IFERROR(IF([1]入库吨位汇总!$D$233=0,"",[1]入库吨位汇总!$D$233),""))</f>
        <v/>
      </c>
      <c r="E234" s="51" t="str">
        <f aca="false">IF($V$4=0,IF($M234="","",$M234),IFERROR(IF([1]入库吨位汇总!$E$233=0,"",[1]入库吨位汇总!$E$233),""))</f>
        <v/>
      </c>
      <c r="F234" s="41" t="str">
        <f aca="false">IF($V$4=0,IF($N234="","",$N234),IFERROR(IF([1]入库吨位汇总!$K$233=0,"",[1]入库吨位汇总!$K$233),""))</f>
        <v/>
      </c>
      <c r="G234" s="52" t="str">
        <f aca="false">IF($V$4=0,IF($O234="","",$O234),IFERROR(IF([1]入库吨位汇总!$L$233=0,"",[1]入库吨位汇总!$L$233),""))</f>
        <v/>
      </c>
      <c r="H234" s="41" t="str">
        <f aca="false">IF($V$4=0,IF($P234="","",$P234),IFERROR(IF([1]入库吨位汇总!$H$233=0,"",[1]入库吨位汇总!$H$233),""))</f>
        <v/>
      </c>
      <c r="I234" s="41" t="str">
        <f aca="false">IF($V$4=0,IF($Q234="","",$Q234),IFERROR(IF([1]入库吨位汇总!$I$233=0,"",[1]入库吨位汇总!$I$233),""))</f>
        <v/>
      </c>
      <c r="J234" s="10"/>
      <c r="K234" s="10"/>
      <c r="L234" s="53"/>
      <c r="M234" s="53"/>
      <c r="N234" s="54"/>
      <c r="O234" s="54"/>
      <c r="P234" s="54"/>
      <c r="Q234" s="54"/>
      <c r="R234" s="55" t="n">
        <f aca="false">IF(AND($B234&lt;&gt;"",$C234&lt;&gt;""),1,0)</f>
        <v>0</v>
      </c>
      <c r="S234" s="55" t="n">
        <f aca="false">N(S233)+$R234</f>
        <v>22</v>
      </c>
    </row>
    <row r="235" customFormat="false" ht="13.5" hidden="false" customHeight="false" outlineLevel="0" collapsed="false">
      <c r="A235" s="9" t="n">
        <v>234</v>
      </c>
      <c r="B235" s="39" t="str">
        <f aca="false">IF($V$4=0,IF($J235="","",$J235),IFERROR(IF([1]入库吨位汇总!$B$234=0,"",[1]入库吨位汇总!$B$234),""))</f>
        <v/>
      </c>
      <c r="C235" s="39" t="str">
        <f aca="false">IF($V$4=0,IF($K235="","",$K235),IFERROR(IF([1]入库吨位汇总!$C$234=0,"",[1]入库吨位汇总!$C$234),""))</f>
        <v/>
      </c>
      <c r="D235" s="51" t="str">
        <f aca="false">IF($V$4=0,IF($L235="","",$L235),IFERROR(IF([1]入库吨位汇总!$D$234=0,"",[1]入库吨位汇总!$D$234),""))</f>
        <v/>
      </c>
      <c r="E235" s="51" t="str">
        <f aca="false">IF($V$4=0,IF($M235="","",$M235),IFERROR(IF([1]入库吨位汇总!$E$234=0,"",[1]入库吨位汇总!$E$234),""))</f>
        <v/>
      </c>
      <c r="F235" s="41" t="str">
        <f aca="false">IF($V$4=0,IF($N235="","",$N235),IFERROR(IF([1]入库吨位汇总!$K$234=0,"",[1]入库吨位汇总!$K$234),""))</f>
        <v/>
      </c>
      <c r="G235" s="52" t="str">
        <f aca="false">IF($V$4=0,IF($O235="","",$O235),IFERROR(IF([1]入库吨位汇总!$L$234=0,"",[1]入库吨位汇总!$L$234),""))</f>
        <v/>
      </c>
      <c r="H235" s="41" t="str">
        <f aca="false">IF($V$4=0,IF($P235="","",$P235),IFERROR(IF([1]入库吨位汇总!$H$234=0,"",[1]入库吨位汇总!$H$234),""))</f>
        <v/>
      </c>
      <c r="I235" s="41" t="str">
        <f aca="false">IF($V$4=0,IF($Q235="","",$Q235),IFERROR(IF([1]入库吨位汇总!$I$234=0,"",[1]入库吨位汇总!$I$234),""))</f>
        <v/>
      </c>
      <c r="J235" s="10"/>
      <c r="K235" s="10"/>
      <c r="L235" s="53"/>
      <c r="M235" s="53"/>
      <c r="N235" s="54"/>
      <c r="O235" s="54"/>
      <c r="P235" s="54"/>
      <c r="Q235" s="54"/>
      <c r="R235" s="55" t="n">
        <f aca="false">IF(AND($B235&lt;&gt;"",$C235&lt;&gt;""),1,0)</f>
        <v>0</v>
      </c>
      <c r="S235" s="55" t="n">
        <f aca="false">N(S234)+$R235</f>
        <v>22</v>
      </c>
    </row>
    <row r="236" customFormat="false" ht="13.5" hidden="false" customHeight="false" outlineLevel="0" collapsed="false">
      <c r="A236" s="9" t="n">
        <v>235</v>
      </c>
      <c r="B236" s="39" t="str">
        <f aca="false">IF($V$4=0,IF($J236="","",$J236),IFERROR(IF([1]入库吨位汇总!$B$235=0,"",[1]入库吨位汇总!$B$235),""))</f>
        <v/>
      </c>
      <c r="C236" s="39" t="str">
        <f aca="false">IF($V$4=0,IF($K236="","",$K236),IFERROR(IF([1]入库吨位汇总!$C$235=0,"",[1]入库吨位汇总!$C$235),""))</f>
        <v/>
      </c>
      <c r="D236" s="51" t="str">
        <f aca="false">IF($V$4=0,IF($L236="","",$L236),IFERROR(IF([1]入库吨位汇总!$D$235=0,"",[1]入库吨位汇总!$D$235),""))</f>
        <v/>
      </c>
      <c r="E236" s="51" t="str">
        <f aca="false">IF($V$4=0,IF($M236="","",$M236),IFERROR(IF([1]入库吨位汇总!$E$235=0,"",[1]入库吨位汇总!$E$235),""))</f>
        <v/>
      </c>
      <c r="F236" s="41" t="str">
        <f aca="false">IF($V$4=0,IF($N236="","",$N236),IFERROR(IF([1]入库吨位汇总!$K$235=0,"",[1]入库吨位汇总!$K$235),""))</f>
        <v/>
      </c>
      <c r="G236" s="52" t="str">
        <f aca="false">IF($V$4=0,IF($O236="","",$O236),IFERROR(IF([1]入库吨位汇总!$L$235=0,"",[1]入库吨位汇总!$L$235),""))</f>
        <v/>
      </c>
      <c r="H236" s="41" t="str">
        <f aca="false">IF($V$4=0,IF($P236="","",$P236),IFERROR(IF([1]入库吨位汇总!$H$235=0,"",[1]入库吨位汇总!$H$235),""))</f>
        <v/>
      </c>
      <c r="I236" s="41" t="str">
        <f aca="false">IF($V$4=0,IF($Q236="","",$Q236),IFERROR(IF([1]入库吨位汇总!$I$235=0,"",[1]入库吨位汇总!$I$235),""))</f>
        <v/>
      </c>
      <c r="J236" s="10"/>
      <c r="K236" s="10"/>
      <c r="L236" s="53"/>
      <c r="M236" s="53"/>
      <c r="N236" s="54"/>
      <c r="O236" s="54"/>
      <c r="P236" s="54"/>
      <c r="Q236" s="54"/>
      <c r="R236" s="55" t="n">
        <f aca="false">IF(AND($B236&lt;&gt;"",$C236&lt;&gt;""),1,0)</f>
        <v>0</v>
      </c>
      <c r="S236" s="55" t="n">
        <f aca="false">N(S235)+$R236</f>
        <v>22</v>
      </c>
    </row>
    <row r="237" customFormat="false" ht="13.5" hidden="false" customHeight="false" outlineLevel="0" collapsed="false">
      <c r="A237" s="9" t="n">
        <v>236</v>
      </c>
      <c r="B237" s="39" t="str">
        <f aca="false">IF($V$4=0,IF($J237="","",$J237),IFERROR(IF([1]入库吨位汇总!$B$236=0,"",[1]入库吨位汇总!$B$236),""))</f>
        <v/>
      </c>
      <c r="C237" s="39" t="str">
        <f aca="false">IF($V$4=0,IF($K237="","",$K237),IFERROR(IF([1]入库吨位汇总!$C$236=0,"",[1]入库吨位汇总!$C$236),""))</f>
        <v/>
      </c>
      <c r="D237" s="51" t="str">
        <f aca="false">IF($V$4=0,IF($L237="","",$L237),IFERROR(IF([1]入库吨位汇总!$D$236=0,"",[1]入库吨位汇总!$D$236),""))</f>
        <v/>
      </c>
      <c r="E237" s="51" t="str">
        <f aca="false">IF($V$4=0,IF($M237="","",$M237),IFERROR(IF([1]入库吨位汇总!$E$236=0,"",[1]入库吨位汇总!$E$236),""))</f>
        <v/>
      </c>
      <c r="F237" s="41" t="str">
        <f aca="false">IF($V$4=0,IF($N237="","",$N237),IFERROR(IF([1]入库吨位汇总!$K$236=0,"",[1]入库吨位汇总!$K$236),""))</f>
        <v/>
      </c>
      <c r="G237" s="52" t="str">
        <f aca="false">IF($V$4=0,IF($O237="","",$O237),IFERROR(IF([1]入库吨位汇总!$L$236=0,"",[1]入库吨位汇总!$L$236),""))</f>
        <v/>
      </c>
      <c r="H237" s="41" t="str">
        <f aca="false">IF($V$4=0,IF($P237="","",$P237),IFERROR(IF([1]入库吨位汇总!$H$236=0,"",[1]入库吨位汇总!$H$236),""))</f>
        <v/>
      </c>
      <c r="I237" s="41" t="str">
        <f aca="false">IF($V$4=0,IF($Q237="","",$Q237),IFERROR(IF([1]入库吨位汇总!$I$236=0,"",[1]入库吨位汇总!$I$236),""))</f>
        <v/>
      </c>
      <c r="J237" s="10"/>
      <c r="K237" s="10"/>
      <c r="L237" s="53"/>
      <c r="M237" s="53"/>
      <c r="N237" s="54"/>
      <c r="O237" s="54"/>
      <c r="P237" s="54"/>
      <c r="Q237" s="54"/>
      <c r="R237" s="55" t="n">
        <f aca="false">IF(AND($B237&lt;&gt;"",$C237&lt;&gt;""),1,0)</f>
        <v>0</v>
      </c>
      <c r="S237" s="55" t="n">
        <f aca="false">N(S236)+$R237</f>
        <v>22</v>
      </c>
    </row>
    <row r="238" customFormat="false" ht="13.5" hidden="false" customHeight="false" outlineLevel="0" collapsed="false">
      <c r="A238" s="9" t="n">
        <v>237</v>
      </c>
      <c r="B238" s="39" t="str">
        <f aca="false">IF($V$4=0,IF($J238="","",$J238),IFERROR(IF([1]入库吨位汇总!$B$237=0,"",[1]入库吨位汇总!$B$237),""))</f>
        <v/>
      </c>
      <c r="C238" s="39" t="str">
        <f aca="false">IF($V$4=0,IF($K238="","",$K238),IFERROR(IF([1]入库吨位汇总!$C$237=0,"",[1]入库吨位汇总!$C$237),""))</f>
        <v/>
      </c>
      <c r="D238" s="51" t="str">
        <f aca="false">IF($V$4=0,IF($L238="","",$L238),IFERROR(IF([1]入库吨位汇总!$D$237=0,"",[1]入库吨位汇总!$D$237),""))</f>
        <v/>
      </c>
      <c r="E238" s="51" t="str">
        <f aca="false">IF($V$4=0,IF($M238="","",$M238),IFERROR(IF([1]入库吨位汇总!$E$237=0,"",[1]入库吨位汇总!$E$237),""))</f>
        <v/>
      </c>
      <c r="F238" s="41" t="str">
        <f aca="false">IF($V$4=0,IF($N238="","",$N238),IFERROR(IF([1]入库吨位汇总!$K$237=0,"",[1]入库吨位汇总!$K$237),""))</f>
        <v/>
      </c>
      <c r="G238" s="52" t="str">
        <f aca="false">IF($V$4=0,IF($O238="","",$O238),IFERROR(IF([1]入库吨位汇总!$L$237=0,"",[1]入库吨位汇总!$L$237),""))</f>
        <v/>
      </c>
      <c r="H238" s="41" t="str">
        <f aca="false">IF($V$4=0,IF($P238="","",$P238),IFERROR(IF([1]入库吨位汇总!$H$237=0,"",[1]入库吨位汇总!$H$237),""))</f>
        <v/>
      </c>
      <c r="I238" s="41" t="str">
        <f aca="false">IF($V$4=0,IF($Q238="","",$Q238),IFERROR(IF([1]入库吨位汇总!$I$237=0,"",[1]入库吨位汇总!$I$237),""))</f>
        <v/>
      </c>
      <c r="J238" s="10"/>
      <c r="K238" s="10"/>
      <c r="L238" s="53"/>
      <c r="M238" s="53"/>
      <c r="N238" s="54"/>
      <c r="O238" s="54"/>
      <c r="P238" s="54"/>
      <c r="Q238" s="54"/>
      <c r="R238" s="55" t="n">
        <f aca="false">IF(AND($B238&lt;&gt;"",$C238&lt;&gt;""),1,0)</f>
        <v>0</v>
      </c>
      <c r="S238" s="55" t="n">
        <f aca="false">N(S237)+$R238</f>
        <v>22</v>
      </c>
    </row>
    <row r="239" customFormat="false" ht="13.5" hidden="false" customHeight="false" outlineLevel="0" collapsed="false">
      <c r="A239" s="9" t="n">
        <v>238</v>
      </c>
      <c r="B239" s="39" t="str">
        <f aca="false">IF($V$4=0,IF($J239="","",$J239),IFERROR(IF([1]入库吨位汇总!$B$238=0,"",[1]入库吨位汇总!$B$238),""))</f>
        <v/>
      </c>
      <c r="C239" s="39" t="str">
        <f aca="false">IF($V$4=0,IF($K239="","",$K239),IFERROR(IF([1]入库吨位汇总!$C$238=0,"",[1]入库吨位汇总!$C$238),""))</f>
        <v/>
      </c>
      <c r="D239" s="51" t="str">
        <f aca="false">IF($V$4=0,IF($L239="","",$L239),IFERROR(IF([1]入库吨位汇总!$D$238=0,"",[1]入库吨位汇总!$D$238),""))</f>
        <v/>
      </c>
      <c r="E239" s="51" t="str">
        <f aca="false">IF($V$4=0,IF($M239="","",$M239),IFERROR(IF([1]入库吨位汇总!$E$238=0,"",[1]入库吨位汇总!$E$238),""))</f>
        <v/>
      </c>
      <c r="F239" s="41" t="str">
        <f aca="false">IF($V$4=0,IF($N239="","",$N239),IFERROR(IF([1]入库吨位汇总!$K$238=0,"",[1]入库吨位汇总!$K$238),""))</f>
        <v/>
      </c>
      <c r="G239" s="52" t="str">
        <f aca="false">IF($V$4=0,IF($O239="","",$O239),IFERROR(IF([1]入库吨位汇总!$L$238=0,"",[1]入库吨位汇总!$L$238),""))</f>
        <v/>
      </c>
      <c r="H239" s="41" t="str">
        <f aca="false">IF($V$4=0,IF($P239="","",$P239),IFERROR(IF([1]入库吨位汇总!$H$238=0,"",[1]入库吨位汇总!$H$238),""))</f>
        <v/>
      </c>
      <c r="I239" s="41" t="str">
        <f aca="false">IF($V$4=0,IF($Q239="","",$Q239),IFERROR(IF([1]入库吨位汇总!$I$238=0,"",[1]入库吨位汇总!$I$238),""))</f>
        <v/>
      </c>
      <c r="J239" s="10"/>
      <c r="K239" s="10"/>
      <c r="L239" s="53"/>
      <c r="M239" s="53"/>
      <c r="N239" s="54"/>
      <c r="O239" s="54"/>
      <c r="P239" s="54"/>
      <c r="Q239" s="54"/>
      <c r="R239" s="55" t="n">
        <f aca="false">IF(AND($B239&lt;&gt;"",$C239&lt;&gt;""),1,0)</f>
        <v>0</v>
      </c>
      <c r="S239" s="55" t="n">
        <f aca="false">N(S238)+$R239</f>
        <v>22</v>
      </c>
    </row>
    <row r="240" customFormat="false" ht="13.5" hidden="false" customHeight="false" outlineLevel="0" collapsed="false">
      <c r="A240" s="9" t="n">
        <v>239</v>
      </c>
      <c r="B240" s="39" t="str">
        <f aca="false">IF($V$4=0,IF($J240="","",$J240),IFERROR(IF([1]入库吨位汇总!$B$239=0,"",[1]入库吨位汇总!$B$239),""))</f>
        <v/>
      </c>
      <c r="C240" s="39" t="str">
        <f aca="false">IF($V$4=0,IF($K240="","",$K240),IFERROR(IF([1]入库吨位汇总!$C$239=0,"",[1]入库吨位汇总!$C$239),""))</f>
        <v/>
      </c>
      <c r="D240" s="51" t="str">
        <f aca="false">IF($V$4=0,IF($L240="","",$L240),IFERROR(IF([1]入库吨位汇总!$D$239=0,"",[1]入库吨位汇总!$D$239),""))</f>
        <v/>
      </c>
      <c r="E240" s="51" t="str">
        <f aca="false">IF($V$4=0,IF($M240="","",$M240),IFERROR(IF([1]入库吨位汇总!$E$239=0,"",[1]入库吨位汇总!$E$239),""))</f>
        <v/>
      </c>
      <c r="F240" s="41" t="str">
        <f aca="false">IF($V$4=0,IF($N240="","",$N240),IFERROR(IF([1]入库吨位汇总!$K$239=0,"",[1]入库吨位汇总!$K$239),""))</f>
        <v/>
      </c>
      <c r="G240" s="52" t="str">
        <f aca="false">IF($V$4=0,IF($O240="","",$O240),IFERROR(IF([1]入库吨位汇总!$L$239=0,"",[1]入库吨位汇总!$L$239),""))</f>
        <v/>
      </c>
      <c r="H240" s="41" t="str">
        <f aca="false">IF($V$4=0,IF($P240="","",$P240),IFERROR(IF([1]入库吨位汇总!$H$239=0,"",[1]入库吨位汇总!$H$239),""))</f>
        <v/>
      </c>
      <c r="I240" s="41" t="str">
        <f aca="false">IF($V$4=0,IF($Q240="","",$Q240),IFERROR(IF([1]入库吨位汇总!$I$239=0,"",[1]入库吨位汇总!$I$239),""))</f>
        <v/>
      </c>
      <c r="J240" s="10"/>
      <c r="K240" s="10"/>
      <c r="L240" s="53"/>
      <c r="M240" s="53"/>
      <c r="N240" s="54"/>
      <c r="O240" s="54"/>
      <c r="P240" s="54"/>
      <c r="Q240" s="54"/>
      <c r="R240" s="55" t="n">
        <f aca="false">IF(AND($B240&lt;&gt;"",$C240&lt;&gt;""),1,0)</f>
        <v>0</v>
      </c>
      <c r="S240" s="55" t="n">
        <f aca="false">N(S239)+$R240</f>
        <v>22</v>
      </c>
    </row>
    <row r="241" customFormat="false" ht="13.5" hidden="false" customHeight="false" outlineLevel="0" collapsed="false">
      <c r="A241" s="9" t="n">
        <v>240</v>
      </c>
      <c r="B241" s="39" t="str">
        <f aca="false">IF($V$4=0,IF($J241="","",$J241),IFERROR(IF([1]入库吨位汇总!$B$240=0,"",[1]入库吨位汇总!$B$240),""))</f>
        <v/>
      </c>
      <c r="C241" s="39" t="str">
        <f aca="false">IF($V$4=0,IF($K241="","",$K241),IFERROR(IF([1]入库吨位汇总!$C$240=0,"",[1]入库吨位汇总!$C$240),""))</f>
        <v/>
      </c>
      <c r="D241" s="51" t="str">
        <f aca="false">IF($V$4=0,IF($L241="","",$L241),IFERROR(IF([1]入库吨位汇总!$D$240=0,"",[1]入库吨位汇总!$D$240),""))</f>
        <v/>
      </c>
      <c r="E241" s="51" t="str">
        <f aca="false">IF($V$4=0,IF($M241="","",$M241),IFERROR(IF([1]入库吨位汇总!$E$240=0,"",[1]入库吨位汇总!$E$240),""))</f>
        <v/>
      </c>
      <c r="F241" s="41" t="str">
        <f aca="false">IF($V$4=0,IF($N241="","",$N241),IFERROR(IF([1]入库吨位汇总!$K$240=0,"",[1]入库吨位汇总!$K$240),""))</f>
        <v/>
      </c>
      <c r="G241" s="52" t="str">
        <f aca="false">IF($V$4=0,IF($O241="","",$O241),IFERROR(IF([1]入库吨位汇总!$L$240=0,"",[1]入库吨位汇总!$L$240),""))</f>
        <v/>
      </c>
      <c r="H241" s="41" t="str">
        <f aca="false">IF($V$4=0,IF($P241="","",$P241),IFERROR(IF([1]入库吨位汇总!$H$240=0,"",[1]入库吨位汇总!$H$240),""))</f>
        <v/>
      </c>
      <c r="I241" s="41" t="str">
        <f aca="false">IF($V$4=0,IF($Q241="","",$Q241),IFERROR(IF([1]入库吨位汇总!$I$240=0,"",[1]入库吨位汇总!$I$240),""))</f>
        <v/>
      </c>
      <c r="J241" s="10"/>
      <c r="K241" s="10"/>
      <c r="L241" s="53"/>
      <c r="M241" s="53"/>
      <c r="N241" s="54"/>
      <c r="O241" s="54"/>
      <c r="P241" s="54"/>
      <c r="Q241" s="54"/>
      <c r="R241" s="55" t="n">
        <f aca="false">IF(AND($B241&lt;&gt;"",$C241&lt;&gt;""),1,0)</f>
        <v>0</v>
      </c>
      <c r="S241" s="55" t="n">
        <f aca="false">N(S240)+$R241</f>
        <v>22</v>
      </c>
    </row>
    <row r="242" customFormat="false" ht="13.5" hidden="false" customHeight="false" outlineLevel="0" collapsed="false">
      <c r="A242" s="9" t="n">
        <v>241</v>
      </c>
      <c r="B242" s="39" t="str">
        <f aca="false">IF($V$4=0,IF($J242="","",$J242),IFERROR(IF([1]入库吨位汇总!$B$241=0,"",[1]入库吨位汇总!$B$241),""))</f>
        <v/>
      </c>
      <c r="C242" s="39" t="str">
        <f aca="false">IF($V$4=0,IF($K242="","",$K242),IFERROR(IF([1]入库吨位汇总!$C$241=0,"",[1]入库吨位汇总!$C$241),""))</f>
        <v/>
      </c>
      <c r="D242" s="51" t="str">
        <f aca="false">IF($V$4=0,IF($L242="","",$L242),IFERROR(IF([1]入库吨位汇总!$D$241=0,"",[1]入库吨位汇总!$D$241),""))</f>
        <v/>
      </c>
      <c r="E242" s="51" t="str">
        <f aca="false">IF($V$4=0,IF($M242="","",$M242),IFERROR(IF([1]入库吨位汇总!$E$241=0,"",[1]入库吨位汇总!$E$241),""))</f>
        <v/>
      </c>
      <c r="F242" s="41" t="str">
        <f aca="false">IF($V$4=0,IF($N242="","",$N242),IFERROR(IF([1]入库吨位汇总!$K$241=0,"",[1]入库吨位汇总!$K$241),""))</f>
        <v/>
      </c>
      <c r="G242" s="52" t="str">
        <f aca="false">IF($V$4=0,IF($O242="","",$O242),IFERROR(IF([1]入库吨位汇总!$L$241=0,"",[1]入库吨位汇总!$L$241),""))</f>
        <v/>
      </c>
      <c r="H242" s="41" t="str">
        <f aca="false">IF($V$4=0,IF($P242="","",$P242),IFERROR(IF([1]入库吨位汇总!$H$241=0,"",[1]入库吨位汇总!$H$241),""))</f>
        <v/>
      </c>
      <c r="I242" s="41" t="str">
        <f aca="false">IF($V$4=0,IF($Q242="","",$Q242),IFERROR(IF([1]入库吨位汇总!$I$241=0,"",[1]入库吨位汇总!$I$241),""))</f>
        <v/>
      </c>
      <c r="J242" s="10"/>
      <c r="K242" s="10"/>
      <c r="L242" s="53"/>
      <c r="M242" s="53"/>
      <c r="N242" s="54"/>
      <c r="O242" s="54"/>
      <c r="P242" s="54"/>
      <c r="Q242" s="54"/>
      <c r="R242" s="55" t="n">
        <f aca="false">IF(AND($B242&lt;&gt;"",$C242&lt;&gt;""),1,0)</f>
        <v>0</v>
      </c>
      <c r="S242" s="55" t="n">
        <f aca="false">N(S241)+$R242</f>
        <v>22</v>
      </c>
    </row>
    <row r="243" customFormat="false" ht="13.5" hidden="false" customHeight="false" outlineLevel="0" collapsed="false">
      <c r="A243" s="9" t="n">
        <v>242</v>
      </c>
      <c r="B243" s="39" t="str">
        <f aca="false">IF($V$4=0,IF($J243="","",$J243),IFERROR(IF([1]入库吨位汇总!$B$242=0,"",[1]入库吨位汇总!$B$242),""))</f>
        <v/>
      </c>
      <c r="C243" s="39" t="str">
        <f aca="false">IF($V$4=0,IF($K243="","",$K243),IFERROR(IF([1]入库吨位汇总!$C$242=0,"",[1]入库吨位汇总!$C$242),""))</f>
        <v/>
      </c>
      <c r="D243" s="51" t="str">
        <f aca="false">IF($V$4=0,IF($L243="","",$L243),IFERROR(IF([1]入库吨位汇总!$D$242=0,"",[1]入库吨位汇总!$D$242),""))</f>
        <v/>
      </c>
      <c r="E243" s="51" t="str">
        <f aca="false">IF($V$4=0,IF($M243="","",$M243),IFERROR(IF([1]入库吨位汇总!$E$242=0,"",[1]入库吨位汇总!$E$242),""))</f>
        <v/>
      </c>
      <c r="F243" s="41" t="str">
        <f aca="false">IF($V$4=0,IF($N243="","",$N243),IFERROR(IF([1]入库吨位汇总!$K$242=0,"",[1]入库吨位汇总!$K$242),""))</f>
        <v/>
      </c>
      <c r="G243" s="52" t="str">
        <f aca="false">IF($V$4=0,IF($O243="","",$O243),IFERROR(IF([1]入库吨位汇总!$L$242=0,"",[1]入库吨位汇总!$L$242),""))</f>
        <v/>
      </c>
      <c r="H243" s="41" t="str">
        <f aca="false">IF($V$4=0,IF($P243="","",$P243),IFERROR(IF([1]入库吨位汇总!$H$242=0,"",[1]入库吨位汇总!$H$242),""))</f>
        <v/>
      </c>
      <c r="I243" s="41" t="str">
        <f aca="false">IF($V$4=0,IF($Q243="","",$Q243),IFERROR(IF([1]入库吨位汇总!$I$242=0,"",[1]入库吨位汇总!$I$242),""))</f>
        <v/>
      </c>
      <c r="J243" s="10"/>
      <c r="K243" s="10"/>
      <c r="L243" s="53"/>
      <c r="M243" s="53"/>
      <c r="N243" s="54"/>
      <c r="O243" s="54"/>
      <c r="P243" s="54"/>
      <c r="Q243" s="54"/>
      <c r="R243" s="55" t="n">
        <f aca="false">IF(AND($B243&lt;&gt;"",$C243&lt;&gt;""),1,0)</f>
        <v>0</v>
      </c>
      <c r="S243" s="55" t="n">
        <f aca="false">N(S242)+$R243</f>
        <v>22</v>
      </c>
    </row>
    <row r="244" customFormat="false" ht="13.5" hidden="false" customHeight="false" outlineLevel="0" collapsed="false">
      <c r="A244" s="9" t="n">
        <v>243</v>
      </c>
      <c r="B244" s="39" t="str">
        <f aca="false">IF($V$4=0,IF($J244="","",$J244),IFERROR(IF([1]入库吨位汇总!$B$243=0,"",[1]入库吨位汇总!$B$243),""))</f>
        <v/>
      </c>
      <c r="C244" s="39" t="str">
        <f aca="false">IF($V$4=0,IF($K244="","",$K244),IFERROR(IF([1]入库吨位汇总!$C$243=0,"",[1]入库吨位汇总!$C$243),""))</f>
        <v/>
      </c>
      <c r="D244" s="51" t="str">
        <f aca="false">IF($V$4=0,IF($L244="","",$L244),IFERROR(IF([1]入库吨位汇总!$D$243=0,"",[1]入库吨位汇总!$D$243),""))</f>
        <v/>
      </c>
      <c r="E244" s="51" t="str">
        <f aca="false">IF($V$4=0,IF($M244="","",$M244),IFERROR(IF([1]入库吨位汇总!$E$243=0,"",[1]入库吨位汇总!$E$243),""))</f>
        <v/>
      </c>
      <c r="F244" s="41" t="str">
        <f aca="false">IF($V$4=0,IF($N244="","",$N244),IFERROR(IF([1]入库吨位汇总!$K$243=0,"",[1]入库吨位汇总!$K$243),""))</f>
        <v/>
      </c>
      <c r="G244" s="52" t="str">
        <f aca="false">IF($V$4=0,IF($O244="","",$O244),IFERROR(IF([1]入库吨位汇总!$L$243=0,"",[1]入库吨位汇总!$L$243),""))</f>
        <v/>
      </c>
      <c r="H244" s="41" t="str">
        <f aca="false">IF($V$4=0,IF($P244="","",$P244),IFERROR(IF([1]入库吨位汇总!$H$243=0,"",[1]入库吨位汇总!$H$243),""))</f>
        <v/>
      </c>
      <c r="I244" s="41" t="str">
        <f aca="false">IF($V$4=0,IF($Q244="","",$Q244),IFERROR(IF([1]入库吨位汇总!$I$243=0,"",[1]入库吨位汇总!$I$243),""))</f>
        <v/>
      </c>
      <c r="J244" s="10"/>
      <c r="K244" s="10"/>
      <c r="L244" s="53"/>
      <c r="M244" s="53"/>
      <c r="N244" s="54"/>
      <c r="O244" s="54"/>
      <c r="P244" s="54"/>
      <c r="Q244" s="54"/>
      <c r="R244" s="55" t="n">
        <f aca="false">IF(AND($B244&lt;&gt;"",$C244&lt;&gt;""),1,0)</f>
        <v>0</v>
      </c>
      <c r="S244" s="55" t="n">
        <f aca="false">N(S243)+$R244</f>
        <v>22</v>
      </c>
    </row>
    <row r="245" customFormat="false" ht="13.5" hidden="false" customHeight="false" outlineLevel="0" collapsed="false">
      <c r="A245" s="9" t="n">
        <v>244</v>
      </c>
      <c r="B245" s="39" t="str">
        <f aca="false">IF($V$4=0,IF($J245="","",$J245),IFERROR(IF([1]入库吨位汇总!$B$244=0,"",[1]入库吨位汇总!$B$244),""))</f>
        <v/>
      </c>
      <c r="C245" s="39" t="str">
        <f aca="false">IF($V$4=0,IF($K245="","",$K245),IFERROR(IF([1]入库吨位汇总!$C$244=0,"",[1]入库吨位汇总!$C$244),""))</f>
        <v/>
      </c>
      <c r="D245" s="51" t="str">
        <f aca="false">IF($V$4=0,IF($L245="","",$L245),IFERROR(IF([1]入库吨位汇总!$D$244=0,"",[1]入库吨位汇总!$D$244),""))</f>
        <v/>
      </c>
      <c r="E245" s="51" t="str">
        <f aca="false">IF($V$4=0,IF($M245="","",$M245),IFERROR(IF([1]入库吨位汇总!$E$244=0,"",[1]入库吨位汇总!$E$244),""))</f>
        <v/>
      </c>
      <c r="F245" s="41" t="str">
        <f aca="false">IF($V$4=0,IF($N245="","",$N245),IFERROR(IF([1]入库吨位汇总!$K$244=0,"",[1]入库吨位汇总!$K$244),""))</f>
        <v/>
      </c>
      <c r="G245" s="52" t="str">
        <f aca="false">IF($V$4=0,IF($O245="","",$O245),IFERROR(IF([1]入库吨位汇总!$L$244=0,"",[1]入库吨位汇总!$L$244),""))</f>
        <v/>
      </c>
      <c r="H245" s="41" t="str">
        <f aca="false">IF($V$4=0,IF($P245="","",$P245),IFERROR(IF([1]入库吨位汇总!$H$244=0,"",[1]入库吨位汇总!$H$244),""))</f>
        <v/>
      </c>
      <c r="I245" s="41" t="str">
        <f aca="false">IF($V$4=0,IF($Q245="","",$Q245),IFERROR(IF([1]入库吨位汇总!$I$244=0,"",[1]入库吨位汇总!$I$244),""))</f>
        <v/>
      </c>
      <c r="J245" s="10"/>
      <c r="K245" s="10"/>
      <c r="L245" s="53"/>
      <c r="M245" s="53"/>
      <c r="N245" s="54"/>
      <c r="O245" s="54"/>
      <c r="P245" s="54"/>
      <c r="Q245" s="54"/>
      <c r="R245" s="55" t="n">
        <f aca="false">IF(AND($B245&lt;&gt;"",$C245&lt;&gt;""),1,0)</f>
        <v>0</v>
      </c>
      <c r="S245" s="55" t="n">
        <f aca="false">N(S244)+$R245</f>
        <v>22</v>
      </c>
    </row>
    <row r="246" customFormat="false" ht="13.5" hidden="false" customHeight="false" outlineLevel="0" collapsed="false">
      <c r="A246" s="9" t="n">
        <v>245</v>
      </c>
      <c r="B246" s="39" t="str">
        <f aca="false">IF($V$4=0,IF($J246="","",$J246),IFERROR(IF([1]入库吨位汇总!$B$245=0,"",[1]入库吨位汇总!$B$245),""))</f>
        <v/>
      </c>
      <c r="C246" s="39" t="str">
        <f aca="false">IF($V$4=0,IF($K246="","",$K246),IFERROR(IF([1]入库吨位汇总!$C$245=0,"",[1]入库吨位汇总!$C$245),""))</f>
        <v/>
      </c>
      <c r="D246" s="51" t="str">
        <f aca="false">IF($V$4=0,IF($L246="","",$L246),IFERROR(IF([1]入库吨位汇总!$D$245=0,"",[1]入库吨位汇总!$D$245),""))</f>
        <v/>
      </c>
      <c r="E246" s="51" t="str">
        <f aca="false">IF($V$4=0,IF($M246="","",$M246),IFERROR(IF([1]入库吨位汇总!$E$245=0,"",[1]入库吨位汇总!$E$245),""))</f>
        <v/>
      </c>
      <c r="F246" s="41" t="str">
        <f aca="false">IF($V$4=0,IF($N246="","",$N246),IFERROR(IF([1]入库吨位汇总!$K$245=0,"",[1]入库吨位汇总!$K$245),""))</f>
        <v/>
      </c>
      <c r="G246" s="52" t="str">
        <f aca="false">IF($V$4=0,IF($O246="","",$O246),IFERROR(IF([1]入库吨位汇总!$L$245=0,"",[1]入库吨位汇总!$L$245),""))</f>
        <v/>
      </c>
      <c r="H246" s="41" t="str">
        <f aca="false">IF($V$4=0,IF($P246="","",$P246),IFERROR(IF([1]入库吨位汇总!$H$245=0,"",[1]入库吨位汇总!$H$245),""))</f>
        <v/>
      </c>
      <c r="I246" s="41" t="str">
        <f aca="false">IF($V$4=0,IF($Q246="","",$Q246),IFERROR(IF([1]入库吨位汇总!$I$245=0,"",[1]入库吨位汇总!$I$245),""))</f>
        <v/>
      </c>
      <c r="J246" s="10"/>
      <c r="K246" s="10"/>
      <c r="L246" s="53"/>
      <c r="M246" s="53"/>
      <c r="N246" s="54"/>
      <c r="O246" s="54"/>
      <c r="P246" s="54"/>
      <c r="Q246" s="54"/>
      <c r="R246" s="55" t="n">
        <f aca="false">IF(AND($B246&lt;&gt;"",$C246&lt;&gt;""),1,0)</f>
        <v>0</v>
      </c>
      <c r="S246" s="55" t="n">
        <f aca="false">N(S245)+$R246</f>
        <v>22</v>
      </c>
    </row>
    <row r="247" customFormat="false" ht="13.5" hidden="false" customHeight="false" outlineLevel="0" collapsed="false">
      <c r="A247" s="9" t="n">
        <v>246</v>
      </c>
      <c r="B247" s="39" t="str">
        <f aca="false">IF($V$4=0,IF($J247="","",$J247),IFERROR(IF([1]入库吨位汇总!$B$246=0,"",[1]入库吨位汇总!$B$246),""))</f>
        <v/>
      </c>
      <c r="C247" s="39" t="str">
        <f aca="false">IF($V$4=0,IF($K247="","",$K247),IFERROR(IF([1]入库吨位汇总!$C$246=0,"",[1]入库吨位汇总!$C$246),""))</f>
        <v/>
      </c>
      <c r="D247" s="51" t="str">
        <f aca="false">IF($V$4=0,IF($L247="","",$L247),IFERROR(IF([1]入库吨位汇总!$D$246=0,"",[1]入库吨位汇总!$D$246),""))</f>
        <v/>
      </c>
      <c r="E247" s="51" t="str">
        <f aca="false">IF($V$4=0,IF($M247="","",$M247),IFERROR(IF([1]入库吨位汇总!$E$246=0,"",[1]入库吨位汇总!$E$246),""))</f>
        <v/>
      </c>
      <c r="F247" s="41" t="str">
        <f aca="false">IF($V$4=0,IF($N247="","",$N247),IFERROR(IF([1]入库吨位汇总!$K$246=0,"",[1]入库吨位汇总!$K$246),""))</f>
        <v/>
      </c>
      <c r="G247" s="52" t="str">
        <f aca="false">IF($V$4=0,IF($O247="","",$O247),IFERROR(IF([1]入库吨位汇总!$L$246=0,"",[1]入库吨位汇总!$L$246),""))</f>
        <v/>
      </c>
      <c r="H247" s="41" t="str">
        <f aca="false">IF($V$4=0,IF($P247="","",$P247),IFERROR(IF([1]入库吨位汇总!$H$246=0,"",[1]入库吨位汇总!$H$246),""))</f>
        <v/>
      </c>
      <c r="I247" s="41" t="str">
        <f aca="false">IF($V$4=0,IF($Q247="","",$Q247),IFERROR(IF([1]入库吨位汇总!$I$246=0,"",[1]入库吨位汇总!$I$246),""))</f>
        <v/>
      </c>
      <c r="J247" s="10"/>
      <c r="K247" s="10"/>
      <c r="L247" s="53"/>
      <c r="M247" s="53"/>
      <c r="N247" s="54"/>
      <c r="O247" s="54"/>
      <c r="P247" s="54"/>
      <c r="Q247" s="54"/>
      <c r="R247" s="55" t="n">
        <f aca="false">IF(AND($B247&lt;&gt;"",$C247&lt;&gt;""),1,0)</f>
        <v>0</v>
      </c>
      <c r="S247" s="55" t="n">
        <f aca="false">N(S246)+$R247</f>
        <v>22</v>
      </c>
    </row>
    <row r="248" customFormat="false" ht="13.5" hidden="false" customHeight="false" outlineLevel="0" collapsed="false">
      <c r="A248" s="9" t="n">
        <v>247</v>
      </c>
      <c r="B248" s="39" t="str">
        <f aca="false">IF($V$4=0,IF($J248="","",$J248),IFERROR(IF([1]入库吨位汇总!$B$247=0,"",[1]入库吨位汇总!$B$247),""))</f>
        <v/>
      </c>
      <c r="C248" s="39" t="str">
        <f aca="false">IF($V$4=0,IF($K248="","",$K248),IFERROR(IF([1]入库吨位汇总!$C$247=0,"",[1]入库吨位汇总!$C$247),""))</f>
        <v/>
      </c>
      <c r="D248" s="51" t="str">
        <f aca="false">IF($V$4=0,IF($L248="","",$L248),IFERROR(IF([1]入库吨位汇总!$D$247=0,"",[1]入库吨位汇总!$D$247),""))</f>
        <v/>
      </c>
      <c r="E248" s="51" t="str">
        <f aca="false">IF($V$4=0,IF($M248="","",$M248),IFERROR(IF([1]入库吨位汇总!$E$247=0,"",[1]入库吨位汇总!$E$247),""))</f>
        <v/>
      </c>
      <c r="F248" s="41" t="str">
        <f aca="false">IF($V$4=0,IF($N248="","",$N248),IFERROR(IF([1]入库吨位汇总!$K$247=0,"",[1]入库吨位汇总!$K$247),""))</f>
        <v/>
      </c>
      <c r="G248" s="52" t="str">
        <f aca="false">IF($V$4=0,IF($O248="","",$O248),IFERROR(IF([1]入库吨位汇总!$L$247=0,"",[1]入库吨位汇总!$L$247),""))</f>
        <v/>
      </c>
      <c r="H248" s="41" t="str">
        <f aca="false">IF($V$4=0,IF($P248="","",$P248),IFERROR(IF([1]入库吨位汇总!$H$247=0,"",[1]入库吨位汇总!$H$247),""))</f>
        <v/>
      </c>
      <c r="I248" s="41" t="str">
        <f aca="false">IF($V$4=0,IF($Q248="","",$Q248),IFERROR(IF([1]入库吨位汇总!$I$247=0,"",[1]入库吨位汇总!$I$247),""))</f>
        <v/>
      </c>
      <c r="J248" s="10"/>
      <c r="K248" s="10"/>
      <c r="L248" s="53"/>
      <c r="M248" s="53"/>
      <c r="N248" s="54"/>
      <c r="O248" s="54"/>
      <c r="P248" s="54"/>
      <c r="Q248" s="54"/>
      <c r="R248" s="55" t="n">
        <f aca="false">IF(AND($B248&lt;&gt;"",$C248&lt;&gt;""),1,0)</f>
        <v>0</v>
      </c>
      <c r="S248" s="55" t="n">
        <f aca="false">N(S247)+$R248</f>
        <v>22</v>
      </c>
    </row>
    <row r="249" customFormat="false" ht="13.5" hidden="false" customHeight="false" outlineLevel="0" collapsed="false">
      <c r="A249" s="9" t="n">
        <v>248</v>
      </c>
      <c r="B249" s="39" t="str">
        <f aca="false">IF($V$4=0,IF($J249="","",$J249),IFERROR(IF([1]入库吨位汇总!$B$248=0,"",[1]入库吨位汇总!$B$248),""))</f>
        <v/>
      </c>
      <c r="C249" s="39" t="str">
        <f aca="false">IF($V$4=0,IF($K249="","",$K249),IFERROR(IF([1]入库吨位汇总!$C$248=0,"",[1]入库吨位汇总!$C$248),""))</f>
        <v/>
      </c>
      <c r="D249" s="51" t="str">
        <f aca="false">IF($V$4=0,IF($L249="","",$L249),IFERROR(IF([1]入库吨位汇总!$D$248=0,"",[1]入库吨位汇总!$D$248),""))</f>
        <v/>
      </c>
      <c r="E249" s="51" t="str">
        <f aca="false">IF($V$4=0,IF($M249="","",$M249),IFERROR(IF([1]入库吨位汇总!$E$248=0,"",[1]入库吨位汇总!$E$248),""))</f>
        <v/>
      </c>
      <c r="F249" s="41" t="str">
        <f aca="false">IF($V$4=0,IF($N249="","",$N249),IFERROR(IF([1]入库吨位汇总!$K$248=0,"",[1]入库吨位汇总!$K$248),""))</f>
        <v/>
      </c>
      <c r="G249" s="52" t="str">
        <f aca="false">IF($V$4=0,IF($O249="","",$O249),IFERROR(IF([1]入库吨位汇总!$L$248=0,"",[1]入库吨位汇总!$L$248),""))</f>
        <v/>
      </c>
      <c r="H249" s="41" t="str">
        <f aca="false">IF($V$4=0,IF($P249="","",$P249),IFERROR(IF([1]入库吨位汇总!$H$248=0,"",[1]入库吨位汇总!$H$248),""))</f>
        <v/>
      </c>
      <c r="I249" s="41" t="str">
        <f aca="false">IF($V$4=0,IF($Q249="","",$Q249),IFERROR(IF([1]入库吨位汇总!$I$248=0,"",[1]入库吨位汇总!$I$248),""))</f>
        <v/>
      </c>
      <c r="J249" s="10"/>
      <c r="K249" s="10"/>
      <c r="L249" s="53"/>
      <c r="M249" s="53"/>
      <c r="N249" s="54"/>
      <c r="O249" s="54"/>
      <c r="P249" s="54"/>
      <c r="Q249" s="54"/>
      <c r="R249" s="55" t="n">
        <f aca="false">IF(AND($B249&lt;&gt;"",$C249&lt;&gt;""),1,0)</f>
        <v>0</v>
      </c>
      <c r="S249" s="55" t="n">
        <f aca="false">N(S248)+$R249</f>
        <v>22</v>
      </c>
    </row>
    <row r="250" customFormat="false" ht="13.5" hidden="false" customHeight="false" outlineLevel="0" collapsed="false">
      <c r="A250" s="9" t="n">
        <v>249</v>
      </c>
      <c r="B250" s="39" t="str">
        <f aca="false">IF($V$4=0,IF($J250="","",$J250),IFERROR(IF([1]入库吨位汇总!$B$249=0,"",[1]入库吨位汇总!$B$249),""))</f>
        <v/>
      </c>
      <c r="C250" s="39" t="str">
        <f aca="false">IF($V$4=0,IF($K250="","",$K250),IFERROR(IF([1]入库吨位汇总!$C$249=0,"",[1]入库吨位汇总!$C$249),""))</f>
        <v/>
      </c>
      <c r="D250" s="51" t="str">
        <f aca="false">IF($V$4=0,IF($L250="","",$L250),IFERROR(IF([1]入库吨位汇总!$D$249=0,"",[1]入库吨位汇总!$D$249),""))</f>
        <v/>
      </c>
      <c r="E250" s="51" t="str">
        <f aca="false">IF($V$4=0,IF($M250="","",$M250),IFERROR(IF([1]入库吨位汇总!$E$249=0,"",[1]入库吨位汇总!$E$249),""))</f>
        <v/>
      </c>
      <c r="F250" s="41" t="str">
        <f aca="false">IF($V$4=0,IF($N250="","",$N250),IFERROR(IF([1]入库吨位汇总!$K$249=0,"",[1]入库吨位汇总!$K$249),""))</f>
        <v/>
      </c>
      <c r="G250" s="52" t="str">
        <f aca="false">IF($V$4=0,IF($O250="","",$O250),IFERROR(IF([1]入库吨位汇总!$L$249=0,"",[1]入库吨位汇总!$L$249),""))</f>
        <v/>
      </c>
      <c r="H250" s="41" t="str">
        <f aca="false">IF($V$4=0,IF($P250="","",$P250),IFERROR(IF([1]入库吨位汇总!$H$249=0,"",[1]入库吨位汇总!$H$249),""))</f>
        <v/>
      </c>
      <c r="I250" s="41" t="str">
        <f aca="false">IF($V$4=0,IF($Q250="","",$Q250),IFERROR(IF([1]入库吨位汇总!$I$249=0,"",[1]入库吨位汇总!$I$249),""))</f>
        <v/>
      </c>
      <c r="J250" s="10"/>
      <c r="K250" s="10"/>
      <c r="L250" s="53"/>
      <c r="M250" s="53"/>
      <c r="N250" s="54"/>
      <c r="O250" s="54"/>
      <c r="P250" s="54"/>
      <c r="Q250" s="54"/>
      <c r="R250" s="55" t="n">
        <f aca="false">IF(AND($B250&lt;&gt;"",$C250&lt;&gt;""),1,0)</f>
        <v>0</v>
      </c>
      <c r="S250" s="55" t="n">
        <f aca="false">N(S249)+$R250</f>
        <v>22</v>
      </c>
    </row>
    <row r="251" customFormat="false" ht="13.5" hidden="false" customHeight="false" outlineLevel="0" collapsed="false">
      <c r="A251" s="9" t="n">
        <v>250</v>
      </c>
      <c r="B251" s="39" t="str">
        <f aca="false">IF($V$4=0,IF($J251="","",$J251),IFERROR(IF([1]入库吨位汇总!$B$250=0,"",[1]入库吨位汇总!$B$250),""))</f>
        <v/>
      </c>
      <c r="C251" s="39" t="str">
        <f aca="false">IF($V$4=0,IF($K251="","",$K251),IFERROR(IF([1]入库吨位汇总!$C$250=0,"",[1]入库吨位汇总!$C$250),""))</f>
        <v/>
      </c>
      <c r="D251" s="51" t="str">
        <f aca="false">IF($V$4=0,IF($L251="","",$L251),IFERROR(IF([1]入库吨位汇总!$D$250=0,"",[1]入库吨位汇总!$D$250),""))</f>
        <v/>
      </c>
      <c r="E251" s="51" t="str">
        <f aca="false">IF($V$4=0,IF($M251="","",$M251),IFERROR(IF([1]入库吨位汇总!$E$250=0,"",[1]入库吨位汇总!$E$250),""))</f>
        <v/>
      </c>
      <c r="F251" s="41" t="str">
        <f aca="false">IF($V$4=0,IF($N251="","",$N251),IFERROR(IF([1]入库吨位汇总!$K$250=0,"",[1]入库吨位汇总!$K$250),""))</f>
        <v/>
      </c>
      <c r="G251" s="52" t="str">
        <f aca="false">IF($V$4=0,IF($O251="","",$O251),IFERROR(IF([1]入库吨位汇总!$L$250=0,"",[1]入库吨位汇总!$L$250),""))</f>
        <v/>
      </c>
      <c r="H251" s="41" t="str">
        <f aca="false">IF($V$4=0,IF($P251="","",$P251),IFERROR(IF([1]入库吨位汇总!$H$250=0,"",[1]入库吨位汇总!$H$250),""))</f>
        <v/>
      </c>
      <c r="I251" s="41" t="str">
        <f aca="false">IF($V$4=0,IF($Q251="","",$Q251),IFERROR(IF([1]入库吨位汇总!$I$250=0,"",[1]入库吨位汇总!$I$250),""))</f>
        <v/>
      </c>
      <c r="J251" s="10"/>
      <c r="K251" s="10"/>
      <c r="L251" s="53"/>
      <c r="M251" s="53"/>
      <c r="N251" s="54"/>
      <c r="O251" s="54"/>
      <c r="P251" s="54"/>
      <c r="Q251" s="54"/>
      <c r="R251" s="55" t="n">
        <f aca="false">IF(AND($B251&lt;&gt;"",$C251&lt;&gt;""),1,0)</f>
        <v>0</v>
      </c>
      <c r="S251" s="55" t="n">
        <f aca="false">N(S250)+$R251</f>
        <v>22</v>
      </c>
    </row>
    <row r="252" customFormat="false" ht="13.5" hidden="false" customHeight="false" outlineLevel="0" collapsed="false">
      <c r="A252" s="9" t="n">
        <v>251</v>
      </c>
      <c r="B252" s="39" t="str">
        <f aca="false">IF($V$4=0,IF($J252="","",$J252),IFERROR(IF([1]入库吨位汇总!$B$251=0,"",[1]入库吨位汇总!$B$251),""))</f>
        <v/>
      </c>
      <c r="C252" s="39" t="str">
        <f aca="false">IF($V$4=0,IF($K252="","",$K252),IFERROR(IF([1]入库吨位汇总!$C$251=0,"",[1]入库吨位汇总!$C$251),""))</f>
        <v/>
      </c>
      <c r="D252" s="51" t="str">
        <f aca="false">IF($V$4=0,IF($L252="","",$L252),IFERROR(IF([1]入库吨位汇总!$D$251=0,"",[1]入库吨位汇总!$D$251),""))</f>
        <v/>
      </c>
      <c r="E252" s="51" t="str">
        <f aca="false">IF($V$4=0,IF($M252="","",$M252),IFERROR(IF([1]入库吨位汇总!$E$251=0,"",[1]入库吨位汇总!$E$251),""))</f>
        <v/>
      </c>
      <c r="F252" s="41" t="str">
        <f aca="false">IF($V$4=0,IF($N252="","",$N252),IFERROR(IF([1]入库吨位汇总!$K$251=0,"",[1]入库吨位汇总!$K$251),""))</f>
        <v/>
      </c>
      <c r="G252" s="52" t="str">
        <f aca="false">IF($V$4=0,IF($O252="","",$O252),IFERROR(IF([1]入库吨位汇总!$L$251=0,"",[1]入库吨位汇总!$L$251),""))</f>
        <v/>
      </c>
      <c r="H252" s="41" t="str">
        <f aca="false">IF($V$4=0,IF($P252="","",$P252),IFERROR(IF([1]入库吨位汇总!$H$251=0,"",[1]入库吨位汇总!$H$251),""))</f>
        <v/>
      </c>
      <c r="I252" s="41" t="str">
        <f aca="false">IF($V$4=0,IF($Q252="","",$Q252),IFERROR(IF([1]入库吨位汇总!$I$251=0,"",[1]入库吨位汇总!$I$251),""))</f>
        <v/>
      </c>
      <c r="J252" s="10"/>
      <c r="K252" s="10"/>
      <c r="L252" s="53"/>
      <c r="M252" s="53"/>
      <c r="N252" s="54"/>
      <c r="O252" s="54"/>
      <c r="P252" s="54"/>
      <c r="Q252" s="54"/>
      <c r="R252" s="55" t="n">
        <f aca="false">IF(AND($B252&lt;&gt;"",$C252&lt;&gt;""),1,0)</f>
        <v>0</v>
      </c>
      <c r="S252" s="55" t="n">
        <f aca="false">N(S251)+$R252</f>
        <v>22</v>
      </c>
    </row>
    <row r="253" customFormat="false" ht="13.5" hidden="false" customHeight="false" outlineLevel="0" collapsed="false">
      <c r="A253" s="9" t="n">
        <v>252</v>
      </c>
      <c r="B253" s="39" t="str">
        <f aca="false">IF($V$4=0,IF($J253="","",$J253),IFERROR(IF([1]入库吨位汇总!$B$252=0,"",[1]入库吨位汇总!$B$252),""))</f>
        <v/>
      </c>
      <c r="C253" s="39" t="str">
        <f aca="false">IF($V$4=0,IF($K253="","",$K253),IFERROR(IF([1]入库吨位汇总!$C$252=0,"",[1]入库吨位汇总!$C$252),""))</f>
        <v/>
      </c>
      <c r="D253" s="51" t="str">
        <f aca="false">IF($V$4=0,IF($L253="","",$L253),IFERROR(IF([1]入库吨位汇总!$D$252=0,"",[1]入库吨位汇总!$D$252),""))</f>
        <v/>
      </c>
      <c r="E253" s="51" t="str">
        <f aca="false">IF($V$4=0,IF($M253="","",$M253),IFERROR(IF([1]入库吨位汇总!$E$252=0,"",[1]入库吨位汇总!$E$252),""))</f>
        <v/>
      </c>
      <c r="F253" s="41" t="str">
        <f aca="false">IF($V$4=0,IF($N253="","",$N253),IFERROR(IF([1]入库吨位汇总!$K$252=0,"",[1]入库吨位汇总!$K$252),""))</f>
        <v/>
      </c>
      <c r="G253" s="52" t="str">
        <f aca="false">IF($V$4=0,IF($O253="","",$O253),IFERROR(IF([1]入库吨位汇总!$L$252=0,"",[1]入库吨位汇总!$L$252),""))</f>
        <v/>
      </c>
      <c r="H253" s="41" t="str">
        <f aca="false">IF($V$4=0,IF($P253="","",$P253),IFERROR(IF([1]入库吨位汇总!$H$252=0,"",[1]入库吨位汇总!$H$252),""))</f>
        <v/>
      </c>
      <c r="I253" s="41" t="str">
        <f aca="false">IF($V$4=0,IF($Q253="","",$Q253),IFERROR(IF([1]入库吨位汇总!$I$252=0,"",[1]入库吨位汇总!$I$252),""))</f>
        <v/>
      </c>
      <c r="J253" s="10"/>
      <c r="K253" s="10"/>
      <c r="L253" s="53"/>
      <c r="M253" s="53"/>
      <c r="N253" s="54"/>
      <c r="O253" s="54"/>
      <c r="P253" s="54"/>
      <c r="Q253" s="54"/>
      <c r="R253" s="55" t="n">
        <f aca="false">IF(AND($B253&lt;&gt;"",$C253&lt;&gt;""),1,0)</f>
        <v>0</v>
      </c>
      <c r="S253" s="55" t="n">
        <f aca="false">N(S252)+$R253</f>
        <v>22</v>
      </c>
    </row>
    <row r="254" customFormat="false" ht="13.5" hidden="false" customHeight="false" outlineLevel="0" collapsed="false">
      <c r="A254" s="9" t="n">
        <v>253</v>
      </c>
      <c r="B254" s="39" t="str">
        <f aca="false">IF($V$4=0,IF($J254="","",$J254),IFERROR(IF([1]入库吨位汇总!$B$253=0,"",[1]入库吨位汇总!$B$253),""))</f>
        <v/>
      </c>
      <c r="C254" s="39" t="str">
        <f aca="false">IF($V$4=0,IF($K254="","",$K254),IFERROR(IF([1]入库吨位汇总!$C$253=0,"",[1]入库吨位汇总!$C$253),""))</f>
        <v/>
      </c>
      <c r="D254" s="51" t="str">
        <f aca="false">IF($V$4=0,IF($L254="","",$L254),IFERROR(IF([1]入库吨位汇总!$D$253=0,"",[1]入库吨位汇总!$D$253),""))</f>
        <v/>
      </c>
      <c r="E254" s="51" t="str">
        <f aca="false">IF($V$4=0,IF($M254="","",$M254),IFERROR(IF([1]入库吨位汇总!$E$253=0,"",[1]入库吨位汇总!$E$253),""))</f>
        <v/>
      </c>
      <c r="F254" s="41" t="str">
        <f aca="false">IF($V$4=0,IF($N254="","",$N254),IFERROR(IF([1]入库吨位汇总!$K$253=0,"",[1]入库吨位汇总!$K$253),""))</f>
        <v/>
      </c>
      <c r="G254" s="52" t="str">
        <f aca="false">IF($V$4=0,IF($O254="","",$O254),IFERROR(IF([1]入库吨位汇总!$L$253=0,"",[1]入库吨位汇总!$L$253),""))</f>
        <v/>
      </c>
      <c r="H254" s="41" t="str">
        <f aca="false">IF($V$4=0,IF($P254="","",$P254),IFERROR(IF([1]入库吨位汇总!$H$253=0,"",[1]入库吨位汇总!$H$253),""))</f>
        <v/>
      </c>
      <c r="I254" s="41" t="str">
        <f aca="false">IF($V$4=0,IF($Q254="","",$Q254),IFERROR(IF([1]入库吨位汇总!$I$253=0,"",[1]入库吨位汇总!$I$253),""))</f>
        <v/>
      </c>
      <c r="J254" s="10"/>
      <c r="K254" s="10"/>
      <c r="L254" s="53"/>
      <c r="M254" s="53"/>
      <c r="N254" s="54"/>
      <c r="O254" s="54"/>
      <c r="P254" s="54"/>
      <c r="Q254" s="54"/>
      <c r="R254" s="55" t="n">
        <f aca="false">IF(AND($B254&lt;&gt;"",$C254&lt;&gt;""),1,0)</f>
        <v>0</v>
      </c>
      <c r="S254" s="55" t="n">
        <f aca="false">N(S253)+$R254</f>
        <v>22</v>
      </c>
    </row>
    <row r="255" customFormat="false" ht="13.5" hidden="false" customHeight="false" outlineLevel="0" collapsed="false">
      <c r="A255" s="9" t="n">
        <v>254</v>
      </c>
      <c r="B255" s="39" t="str">
        <f aca="false">IF($V$4=0,IF($J255="","",$J255),IFERROR(IF([1]入库吨位汇总!$B$254=0,"",[1]入库吨位汇总!$B$254),""))</f>
        <v/>
      </c>
      <c r="C255" s="39" t="str">
        <f aca="false">IF($V$4=0,IF($K255="","",$K255),IFERROR(IF([1]入库吨位汇总!$C$254=0,"",[1]入库吨位汇总!$C$254),""))</f>
        <v/>
      </c>
      <c r="D255" s="51" t="str">
        <f aca="false">IF($V$4=0,IF($L255="","",$L255),IFERROR(IF([1]入库吨位汇总!$D$254=0,"",[1]入库吨位汇总!$D$254),""))</f>
        <v/>
      </c>
      <c r="E255" s="51" t="str">
        <f aca="false">IF($V$4=0,IF($M255="","",$M255),IFERROR(IF([1]入库吨位汇总!$E$254=0,"",[1]入库吨位汇总!$E$254),""))</f>
        <v/>
      </c>
      <c r="F255" s="41" t="str">
        <f aca="false">IF($V$4=0,IF($N255="","",$N255),IFERROR(IF([1]入库吨位汇总!$K$254=0,"",[1]入库吨位汇总!$K$254),""))</f>
        <v/>
      </c>
      <c r="G255" s="52" t="str">
        <f aca="false">IF($V$4=0,IF($O255="","",$O255),IFERROR(IF([1]入库吨位汇总!$L$254=0,"",[1]入库吨位汇总!$L$254),""))</f>
        <v/>
      </c>
      <c r="H255" s="41" t="str">
        <f aca="false">IF($V$4=0,IF($P255="","",$P255),IFERROR(IF([1]入库吨位汇总!$H$254=0,"",[1]入库吨位汇总!$H$254),""))</f>
        <v/>
      </c>
      <c r="I255" s="41" t="str">
        <f aca="false">IF($V$4=0,IF($Q255="","",$Q255),IFERROR(IF([1]入库吨位汇总!$I$254=0,"",[1]入库吨位汇总!$I$254),""))</f>
        <v/>
      </c>
      <c r="J255" s="10"/>
      <c r="K255" s="10"/>
      <c r="L255" s="53"/>
      <c r="M255" s="53"/>
      <c r="N255" s="54"/>
      <c r="O255" s="54"/>
      <c r="P255" s="54"/>
      <c r="Q255" s="54"/>
      <c r="R255" s="55" t="n">
        <f aca="false">IF(AND($B255&lt;&gt;"",$C255&lt;&gt;""),1,0)</f>
        <v>0</v>
      </c>
      <c r="S255" s="55" t="n">
        <f aca="false">N(S254)+$R255</f>
        <v>22</v>
      </c>
    </row>
    <row r="256" customFormat="false" ht="13.5" hidden="false" customHeight="false" outlineLevel="0" collapsed="false">
      <c r="A256" s="9" t="n">
        <v>255</v>
      </c>
      <c r="B256" s="39" t="str">
        <f aca="false">IF($V$4=0,IF($J256="","",$J256),IFERROR(IF([1]入库吨位汇总!$B$255=0,"",[1]入库吨位汇总!$B$255),""))</f>
        <v/>
      </c>
      <c r="C256" s="39" t="str">
        <f aca="false">IF($V$4=0,IF($K256="","",$K256),IFERROR(IF([1]入库吨位汇总!$C$255=0,"",[1]入库吨位汇总!$C$255),""))</f>
        <v/>
      </c>
      <c r="D256" s="51" t="str">
        <f aca="false">IF($V$4=0,IF($L256="","",$L256),IFERROR(IF([1]入库吨位汇总!$D$255=0,"",[1]入库吨位汇总!$D$255),""))</f>
        <v/>
      </c>
      <c r="E256" s="51" t="str">
        <f aca="false">IF($V$4=0,IF($M256="","",$M256),IFERROR(IF([1]入库吨位汇总!$E$255=0,"",[1]入库吨位汇总!$E$255),""))</f>
        <v/>
      </c>
      <c r="F256" s="41" t="str">
        <f aca="false">IF($V$4=0,IF($N256="","",$N256),IFERROR(IF([1]入库吨位汇总!$K$255=0,"",[1]入库吨位汇总!$K$255),""))</f>
        <v/>
      </c>
      <c r="G256" s="52" t="str">
        <f aca="false">IF($V$4=0,IF($O256="","",$O256),IFERROR(IF([1]入库吨位汇总!$L$255=0,"",[1]入库吨位汇总!$L$255),""))</f>
        <v/>
      </c>
      <c r="H256" s="41" t="str">
        <f aca="false">IF($V$4=0,IF($P256="","",$P256),IFERROR(IF([1]入库吨位汇总!$H$255=0,"",[1]入库吨位汇总!$H$255),""))</f>
        <v/>
      </c>
      <c r="I256" s="41" t="str">
        <f aca="false">IF($V$4=0,IF($Q256="","",$Q256),IFERROR(IF([1]入库吨位汇总!$I$255=0,"",[1]入库吨位汇总!$I$255),""))</f>
        <v/>
      </c>
      <c r="J256" s="10"/>
      <c r="K256" s="10"/>
      <c r="L256" s="53"/>
      <c r="M256" s="53"/>
      <c r="N256" s="54"/>
      <c r="O256" s="54"/>
      <c r="P256" s="54"/>
      <c r="Q256" s="54"/>
      <c r="R256" s="55" t="n">
        <f aca="false">IF(AND($B256&lt;&gt;"",$C256&lt;&gt;""),1,0)</f>
        <v>0</v>
      </c>
      <c r="S256" s="55" t="n">
        <f aca="false">N(S255)+$R256</f>
        <v>22</v>
      </c>
    </row>
    <row r="257" customFormat="false" ht="13.5" hidden="false" customHeight="false" outlineLevel="0" collapsed="false">
      <c r="A257" s="9" t="n">
        <v>256</v>
      </c>
      <c r="B257" s="39" t="str">
        <f aca="false">IF($V$4=0,IF($J257="","",$J257),IFERROR(IF([1]入库吨位汇总!$B$256=0,"",[1]入库吨位汇总!$B$256),""))</f>
        <v/>
      </c>
      <c r="C257" s="39" t="str">
        <f aca="false">IF($V$4=0,IF($K257="","",$K257),IFERROR(IF([1]入库吨位汇总!$C$256=0,"",[1]入库吨位汇总!$C$256),""))</f>
        <v/>
      </c>
      <c r="D257" s="51" t="str">
        <f aca="false">IF($V$4=0,IF($L257="","",$L257),IFERROR(IF([1]入库吨位汇总!$D$256=0,"",[1]入库吨位汇总!$D$256),""))</f>
        <v/>
      </c>
      <c r="E257" s="51" t="str">
        <f aca="false">IF($V$4=0,IF($M257="","",$M257),IFERROR(IF([1]入库吨位汇总!$E$256=0,"",[1]入库吨位汇总!$E$256),""))</f>
        <v/>
      </c>
      <c r="F257" s="41" t="str">
        <f aca="false">IF($V$4=0,IF($N257="","",$N257),IFERROR(IF([1]入库吨位汇总!$K$256=0,"",[1]入库吨位汇总!$K$256),""))</f>
        <v/>
      </c>
      <c r="G257" s="52" t="str">
        <f aca="false">IF($V$4=0,IF($O257="","",$O257),IFERROR(IF([1]入库吨位汇总!$L$256=0,"",[1]入库吨位汇总!$L$256),""))</f>
        <v/>
      </c>
      <c r="H257" s="41" t="str">
        <f aca="false">IF($V$4=0,IF($P257="","",$P257),IFERROR(IF([1]入库吨位汇总!$H$256=0,"",[1]入库吨位汇总!$H$256),""))</f>
        <v/>
      </c>
      <c r="I257" s="41" t="str">
        <f aca="false">IF($V$4=0,IF($Q257="","",$Q257),IFERROR(IF([1]入库吨位汇总!$I$256=0,"",[1]入库吨位汇总!$I$256),""))</f>
        <v/>
      </c>
      <c r="J257" s="10"/>
      <c r="K257" s="10"/>
      <c r="L257" s="53"/>
      <c r="M257" s="53"/>
      <c r="N257" s="54"/>
      <c r="O257" s="54"/>
      <c r="P257" s="54"/>
      <c r="Q257" s="54"/>
      <c r="R257" s="55" t="n">
        <f aca="false">IF(AND($B257&lt;&gt;"",$C257&lt;&gt;""),1,0)</f>
        <v>0</v>
      </c>
      <c r="S257" s="55" t="n">
        <f aca="false">N(S256)+$R257</f>
        <v>22</v>
      </c>
    </row>
    <row r="258" customFormat="false" ht="13.5" hidden="false" customHeight="false" outlineLevel="0" collapsed="false">
      <c r="A258" s="9" t="n">
        <v>257</v>
      </c>
      <c r="B258" s="39" t="str">
        <f aca="false">IF($V$4=0,IF($J258="","",$J258),IFERROR(IF([1]入库吨位汇总!$B$257=0,"",[1]入库吨位汇总!$B$257),""))</f>
        <v/>
      </c>
      <c r="C258" s="39" t="str">
        <f aca="false">IF($V$4=0,IF($K258="","",$K258),IFERROR(IF([1]入库吨位汇总!$C$257=0,"",[1]入库吨位汇总!$C$257),""))</f>
        <v/>
      </c>
      <c r="D258" s="51" t="str">
        <f aca="false">IF($V$4=0,IF($L258="","",$L258),IFERROR(IF([1]入库吨位汇总!$D$257=0,"",[1]入库吨位汇总!$D$257),""))</f>
        <v/>
      </c>
      <c r="E258" s="51" t="str">
        <f aca="false">IF($V$4=0,IF($M258="","",$M258),IFERROR(IF([1]入库吨位汇总!$E$257=0,"",[1]入库吨位汇总!$E$257),""))</f>
        <v/>
      </c>
      <c r="F258" s="41" t="str">
        <f aca="false">IF($V$4=0,IF($N258="","",$N258),IFERROR(IF([1]入库吨位汇总!$K$257=0,"",[1]入库吨位汇总!$K$257),""))</f>
        <v/>
      </c>
      <c r="G258" s="52" t="str">
        <f aca="false">IF($V$4=0,IF($O258="","",$O258),IFERROR(IF([1]入库吨位汇总!$L$257=0,"",[1]入库吨位汇总!$L$257),""))</f>
        <v/>
      </c>
      <c r="H258" s="41" t="str">
        <f aca="false">IF($V$4=0,IF($P258="","",$P258),IFERROR(IF([1]入库吨位汇总!$H$257=0,"",[1]入库吨位汇总!$H$257),""))</f>
        <v/>
      </c>
      <c r="I258" s="41" t="str">
        <f aca="false">IF($V$4=0,IF($Q258="","",$Q258),IFERROR(IF([1]入库吨位汇总!$I$257=0,"",[1]入库吨位汇总!$I$257),""))</f>
        <v/>
      </c>
      <c r="J258" s="10"/>
      <c r="K258" s="10"/>
      <c r="L258" s="53"/>
      <c r="M258" s="53"/>
      <c r="N258" s="54"/>
      <c r="O258" s="54"/>
      <c r="P258" s="54"/>
      <c r="Q258" s="54"/>
      <c r="R258" s="55" t="n">
        <f aca="false">IF(AND($B258&lt;&gt;"",$C258&lt;&gt;""),1,0)</f>
        <v>0</v>
      </c>
      <c r="S258" s="55" t="n">
        <f aca="false">N(S257)+$R258</f>
        <v>22</v>
      </c>
    </row>
    <row r="259" customFormat="false" ht="13.5" hidden="false" customHeight="false" outlineLevel="0" collapsed="false">
      <c r="A259" s="9" t="n">
        <v>258</v>
      </c>
      <c r="B259" s="39" t="str">
        <f aca="false">IF($V$4=0,IF($J259="","",$J259),IFERROR(IF([1]入库吨位汇总!$B$258=0,"",[1]入库吨位汇总!$B$258),""))</f>
        <v/>
      </c>
      <c r="C259" s="39" t="str">
        <f aca="false">IF($V$4=0,IF($K259="","",$K259),IFERROR(IF([1]入库吨位汇总!$C$258=0,"",[1]入库吨位汇总!$C$258),""))</f>
        <v/>
      </c>
      <c r="D259" s="51" t="str">
        <f aca="false">IF($V$4=0,IF($L259="","",$L259),IFERROR(IF([1]入库吨位汇总!$D$258=0,"",[1]入库吨位汇总!$D$258),""))</f>
        <v/>
      </c>
      <c r="E259" s="51" t="str">
        <f aca="false">IF($V$4=0,IF($M259="","",$M259),IFERROR(IF([1]入库吨位汇总!$E$258=0,"",[1]入库吨位汇总!$E$258),""))</f>
        <v/>
      </c>
      <c r="F259" s="41" t="str">
        <f aca="false">IF($V$4=0,IF($N259="","",$N259),IFERROR(IF([1]入库吨位汇总!$K$258=0,"",[1]入库吨位汇总!$K$258),""))</f>
        <v/>
      </c>
      <c r="G259" s="52" t="str">
        <f aca="false">IF($V$4=0,IF($O259="","",$O259),IFERROR(IF([1]入库吨位汇总!$L$258=0,"",[1]入库吨位汇总!$L$258),""))</f>
        <v/>
      </c>
      <c r="H259" s="41" t="str">
        <f aca="false">IF($V$4=0,IF($P259="","",$P259),IFERROR(IF([1]入库吨位汇总!$H$258=0,"",[1]入库吨位汇总!$H$258),""))</f>
        <v/>
      </c>
      <c r="I259" s="41" t="str">
        <f aca="false">IF($V$4=0,IF($Q259="","",$Q259),IFERROR(IF([1]入库吨位汇总!$I$258=0,"",[1]入库吨位汇总!$I$258),""))</f>
        <v/>
      </c>
      <c r="J259" s="10"/>
      <c r="K259" s="10"/>
      <c r="L259" s="53"/>
      <c r="M259" s="53"/>
      <c r="N259" s="54"/>
      <c r="O259" s="54"/>
      <c r="P259" s="54"/>
      <c r="Q259" s="54"/>
      <c r="R259" s="55" t="n">
        <f aca="false">IF(AND($B259&lt;&gt;"",$C259&lt;&gt;""),1,0)</f>
        <v>0</v>
      </c>
      <c r="S259" s="55" t="n">
        <f aca="false">N(S258)+$R259</f>
        <v>22</v>
      </c>
    </row>
    <row r="260" customFormat="false" ht="13.5" hidden="false" customHeight="false" outlineLevel="0" collapsed="false">
      <c r="A260" s="9" t="n">
        <v>259</v>
      </c>
      <c r="B260" s="39" t="str">
        <f aca="false">IF($V$4=0,IF($J260="","",$J260),IFERROR(IF([1]入库吨位汇总!$B$259=0,"",[1]入库吨位汇总!$B$259),""))</f>
        <v/>
      </c>
      <c r="C260" s="39" t="str">
        <f aca="false">IF($V$4=0,IF($K260="","",$K260),IFERROR(IF([1]入库吨位汇总!$C$259=0,"",[1]入库吨位汇总!$C$259),""))</f>
        <v/>
      </c>
      <c r="D260" s="51" t="str">
        <f aca="false">IF($V$4=0,IF($L260="","",$L260),IFERROR(IF([1]入库吨位汇总!$D$259=0,"",[1]入库吨位汇总!$D$259),""))</f>
        <v/>
      </c>
      <c r="E260" s="51" t="str">
        <f aca="false">IF($V$4=0,IF($M260="","",$M260),IFERROR(IF([1]入库吨位汇总!$E$259=0,"",[1]入库吨位汇总!$E$259),""))</f>
        <v/>
      </c>
      <c r="F260" s="41" t="str">
        <f aca="false">IF($V$4=0,IF($N260="","",$N260),IFERROR(IF([1]入库吨位汇总!$K$259=0,"",[1]入库吨位汇总!$K$259),""))</f>
        <v/>
      </c>
      <c r="G260" s="52" t="str">
        <f aca="false">IF($V$4=0,IF($O260="","",$O260),IFERROR(IF([1]入库吨位汇总!$L$259=0,"",[1]入库吨位汇总!$L$259),""))</f>
        <v/>
      </c>
      <c r="H260" s="41" t="str">
        <f aca="false">IF($V$4=0,IF($P260="","",$P260),IFERROR(IF([1]入库吨位汇总!$H$259=0,"",[1]入库吨位汇总!$H$259),""))</f>
        <v/>
      </c>
      <c r="I260" s="41" t="str">
        <f aca="false">IF($V$4=0,IF($Q260="","",$Q260),IFERROR(IF([1]入库吨位汇总!$I$259=0,"",[1]入库吨位汇总!$I$259),""))</f>
        <v/>
      </c>
      <c r="J260" s="10"/>
      <c r="K260" s="10"/>
      <c r="L260" s="53"/>
      <c r="M260" s="53"/>
      <c r="N260" s="54"/>
      <c r="O260" s="54"/>
      <c r="P260" s="54"/>
      <c r="Q260" s="54"/>
      <c r="R260" s="55" t="n">
        <f aca="false">IF(AND($B260&lt;&gt;"",$C260&lt;&gt;""),1,0)</f>
        <v>0</v>
      </c>
      <c r="S260" s="55" t="n">
        <f aca="false">N(S259)+$R260</f>
        <v>22</v>
      </c>
    </row>
    <row r="261" customFormat="false" ht="13.5" hidden="false" customHeight="false" outlineLevel="0" collapsed="false">
      <c r="A261" s="9" t="n">
        <v>260</v>
      </c>
      <c r="B261" s="39" t="str">
        <f aca="false">IF($V$4=0,IF($J261="","",$J261),IFERROR(IF([1]入库吨位汇总!$B$260=0,"",[1]入库吨位汇总!$B$260),""))</f>
        <v/>
      </c>
      <c r="C261" s="39" t="str">
        <f aca="false">IF($V$4=0,IF($K261="","",$K261),IFERROR(IF([1]入库吨位汇总!$C$260=0,"",[1]入库吨位汇总!$C$260),""))</f>
        <v/>
      </c>
      <c r="D261" s="51" t="str">
        <f aca="false">IF($V$4=0,IF($L261="","",$L261),IFERROR(IF([1]入库吨位汇总!$D$260=0,"",[1]入库吨位汇总!$D$260),""))</f>
        <v/>
      </c>
      <c r="E261" s="51" t="str">
        <f aca="false">IF($V$4=0,IF($M261="","",$M261),IFERROR(IF([1]入库吨位汇总!$E$260=0,"",[1]入库吨位汇总!$E$260),""))</f>
        <v/>
      </c>
      <c r="F261" s="41" t="str">
        <f aca="false">IF($V$4=0,IF($N261="","",$N261),IFERROR(IF([1]入库吨位汇总!$K$260=0,"",[1]入库吨位汇总!$K$260),""))</f>
        <v/>
      </c>
      <c r="G261" s="52" t="str">
        <f aca="false">IF($V$4=0,IF($O261="","",$O261),IFERROR(IF([1]入库吨位汇总!$L$260=0,"",[1]入库吨位汇总!$L$260),""))</f>
        <v/>
      </c>
      <c r="H261" s="41" t="str">
        <f aca="false">IF($V$4=0,IF($P261="","",$P261),IFERROR(IF([1]入库吨位汇总!$H$260=0,"",[1]入库吨位汇总!$H$260),""))</f>
        <v/>
      </c>
      <c r="I261" s="41" t="str">
        <f aca="false">IF($V$4=0,IF($Q261="","",$Q261),IFERROR(IF([1]入库吨位汇总!$I$260=0,"",[1]入库吨位汇总!$I$260),""))</f>
        <v/>
      </c>
      <c r="J261" s="10"/>
      <c r="K261" s="10"/>
      <c r="L261" s="53"/>
      <c r="M261" s="53"/>
      <c r="N261" s="54"/>
      <c r="O261" s="54"/>
      <c r="P261" s="54"/>
      <c r="Q261" s="54"/>
      <c r="R261" s="55" t="n">
        <f aca="false">IF(AND($B261&lt;&gt;"",$C261&lt;&gt;""),1,0)</f>
        <v>0</v>
      </c>
      <c r="S261" s="55" t="n">
        <f aca="false">N(S260)+$R261</f>
        <v>22</v>
      </c>
    </row>
    <row r="262" customFormat="false" ht="13.5" hidden="false" customHeight="false" outlineLevel="0" collapsed="false">
      <c r="A262" s="9" t="n">
        <v>261</v>
      </c>
      <c r="B262" s="39" t="str">
        <f aca="false">IF($V$4=0,IF($J262="","",$J262),IFERROR(IF([1]入库吨位汇总!$B$261=0,"",[1]入库吨位汇总!$B$261),""))</f>
        <v/>
      </c>
      <c r="C262" s="39" t="str">
        <f aca="false">IF($V$4=0,IF($K262="","",$K262),IFERROR(IF([1]入库吨位汇总!$C$261=0,"",[1]入库吨位汇总!$C$261),""))</f>
        <v/>
      </c>
      <c r="D262" s="51" t="str">
        <f aca="false">IF($V$4=0,IF($L262="","",$L262),IFERROR(IF([1]入库吨位汇总!$D$261=0,"",[1]入库吨位汇总!$D$261),""))</f>
        <v/>
      </c>
      <c r="E262" s="51" t="str">
        <f aca="false">IF($V$4=0,IF($M262="","",$M262),IFERROR(IF([1]入库吨位汇总!$E$261=0,"",[1]入库吨位汇总!$E$261),""))</f>
        <v/>
      </c>
      <c r="F262" s="41" t="str">
        <f aca="false">IF($V$4=0,IF($N262="","",$N262),IFERROR(IF([1]入库吨位汇总!$K$261=0,"",[1]入库吨位汇总!$K$261),""))</f>
        <v/>
      </c>
      <c r="G262" s="52" t="str">
        <f aca="false">IF($V$4=0,IF($O262="","",$O262),IFERROR(IF([1]入库吨位汇总!$L$261=0,"",[1]入库吨位汇总!$L$261),""))</f>
        <v/>
      </c>
      <c r="H262" s="41" t="str">
        <f aca="false">IF($V$4=0,IF($P262="","",$P262),IFERROR(IF([1]入库吨位汇总!$H$261=0,"",[1]入库吨位汇总!$H$261),""))</f>
        <v/>
      </c>
      <c r="I262" s="41" t="str">
        <f aca="false">IF($V$4=0,IF($Q262="","",$Q262),IFERROR(IF([1]入库吨位汇总!$I$261=0,"",[1]入库吨位汇总!$I$261),""))</f>
        <v/>
      </c>
      <c r="J262" s="10"/>
      <c r="K262" s="10"/>
      <c r="L262" s="53"/>
      <c r="M262" s="53"/>
      <c r="N262" s="54"/>
      <c r="O262" s="54"/>
      <c r="P262" s="54"/>
      <c r="Q262" s="54"/>
      <c r="R262" s="55" t="n">
        <f aca="false">IF(AND($B262&lt;&gt;"",$C262&lt;&gt;""),1,0)</f>
        <v>0</v>
      </c>
      <c r="S262" s="55" t="n">
        <f aca="false">N(S261)+$R262</f>
        <v>22</v>
      </c>
    </row>
    <row r="263" customFormat="false" ht="13.5" hidden="false" customHeight="false" outlineLevel="0" collapsed="false">
      <c r="A263" s="9" t="n">
        <v>262</v>
      </c>
      <c r="B263" s="39" t="str">
        <f aca="false">IF($V$4=0,IF($J263="","",$J263),IFERROR(IF([1]入库吨位汇总!$B$262=0,"",[1]入库吨位汇总!$B$262),""))</f>
        <v/>
      </c>
      <c r="C263" s="39" t="str">
        <f aca="false">IF($V$4=0,IF($K263="","",$K263),IFERROR(IF([1]入库吨位汇总!$C$262=0,"",[1]入库吨位汇总!$C$262),""))</f>
        <v/>
      </c>
      <c r="D263" s="51" t="str">
        <f aca="false">IF($V$4=0,IF($L263="","",$L263),IFERROR(IF([1]入库吨位汇总!$D$262=0,"",[1]入库吨位汇总!$D$262),""))</f>
        <v/>
      </c>
      <c r="E263" s="51" t="str">
        <f aca="false">IF($V$4=0,IF($M263="","",$M263),IFERROR(IF([1]入库吨位汇总!$E$262=0,"",[1]入库吨位汇总!$E$262),""))</f>
        <v/>
      </c>
      <c r="F263" s="41" t="str">
        <f aca="false">IF($V$4=0,IF($N263="","",$N263),IFERROR(IF([1]入库吨位汇总!$K$262=0,"",[1]入库吨位汇总!$K$262),""))</f>
        <v/>
      </c>
      <c r="G263" s="52" t="str">
        <f aca="false">IF($V$4=0,IF($O263="","",$O263),IFERROR(IF([1]入库吨位汇总!$L$262=0,"",[1]入库吨位汇总!$L$262),""))</f>
        <v/>
      </c>
      <c r="H263" s="41" t="str">
        <f aca="false">IF($V$4=0,IF($P263="","",$P263),IFERROR(IF([1]入库吨位汇总!$H$262=0,"",[1]入库吨位汇总!$H$262),""))</f>
        <v/>
      </c>
      <c r="I263" s="41" t="str">
        <f aca="false">IF($V$4=0,IF($Q263="","",$Q263),IFERROR(IF([1]入库吨位汇总!$I$262=0,"",[1]入库吨位汇总!$I$262),""))</f>
        <v/>
      </c>
      <c r="J263" s="10"/>
      <c r="K263" s="10"/>
      <c r="L263" s="53"/>
      <c r="M263" s="53"/>
      <c r="N263" s="54"/>
      <c r="O263" s="54"/>
      <c r="P263" s="54"/>
      <c r="Q263" s="54"/>
      <c r="R263" s="55" t="n">
        <f aca="false">IF(AND($B263&lt;&gt;"",$C263&lt;&gt;""),1,0)</f>
        <v>0</v>
      </c>
      <c r="S263" s="55" t="n">
        <f aca="false">N(S262)+$R263</f>
        <v>22</v>
      </c>
    </row>
    <row r="264" customFormat="false" ht="13.5" hidden="false" customHeight="false" outlineLevel="0" collapsed="false">
      <c r="A264" s="9" t="n">
        <v>263</v>
      </c>
      <c r="B264" s="39" t="str">
        <f aca="false">IF($V$4=0,IF($J264="","",$J264),IFERROR(IF([1]入库吨位汇总!$B$263=0,"",[1]入库吨位汇总!$B$263),""))</f>
        <v/>
      </c>
      <c r="C264" s="39" t="str">
        <f aca="false">IF($V$4=0,IF($K264="","",$K264),IFERROR(IF([1]入库吨位汇总!$C$263=0,"",[1]入库吨位汇总!$C$263),""))</f>
        <v/>
      </c>
      <c r="D264" s="51" t="str">
        <f aca="false">IF($V$4=0,IF($L264="","",$L264),IFERROR(IF([1]入库吨位汇总!$D$263=0,"",[1]入库吨位汇总!$D$263),""))</f>
        <v/>
      </c>
      <c r="E264" s="51" t="str">
        <f aca="false">IF($V$4=0,IF($M264="","",$M264),IFERROR(IF([1]入库吨位汇总!$E$263=0,"",[1]入库吨位汇总!$E$263),""))</f>
        <v/>
      </c>
      <c r="F264" s="41" t="str">
        <f aca="false">IF($V$4=0,IF($N264="","",$N264),IFERROR(IF([1]入库吨位汇总!$K$263=0,"",[1]入库吨位汇总!$K$263),""))</f>
        <v/>
      </c>
      <c r="G264" s="52" t="str">
        <f aca="false">IF($V$4=0,IF($O264="","",$O264),IFERROR(IF([1]入库吨位汇总!$L$263=0,"",[1]入库吨位汇总!$L$263),""))</f>
        <v/>
      </c>
      <c r="H264" s="41" t="str">
        <f aca="false">IF($V$4=0,IF($P264="","",$P264),IFERROR(IF([1]入库吨位汇总!$H$263=0,"",[1]入库吨位汇总!$H$263),""))</f>
        <v/>
      </c>
      <c r="I264" s="41" t="str">
        <f aca="false">IF($V$4=0,IF($Q264="","",$Q264),IFERROR(IF([1]入库吨位汇总!$I$263=0,"",[1]入库吨位汇总!$I$263),""))</f>
        <v/>
      </c>
      <c r="J264" s="10"/>
      <c r="K264" s="10"/>
      <c r="L264" s="53"/>
      <c r="M264" s="53"/>
      <c r="N264" s="54"/>
      <c r="O264" s="54"/>
      <c r="P264" s="54"/>
      <c r="Q264" s="54"/>
      <c r="R264" s="55" t="n">
        <f aca="false">IF(AND($B264&lt;&gt;"",$C264&lt;&gt;""),1,0)</f>
        <v>0</v>
      </c>
      <c r="S264" s="55" t="n">
        <f aca="false">N(S263)+$R264</f>
        <v>22</v>
      </c>
    </row>
    <row r="265" customFormat="false" ht="13.5" hidden="false" customHeight="false" outlineLevel="0" collapsed="false">
      <c r="A265" s="9" t="n">
        <v>264</v>
      </c>
      <c r="B265" s="39" t="str">
        <f aca="false">IF($V$4=0,IF($J265="","",$J265),IFERROR(IF([1]入库吨位汇总!$B$264=0,"",[1]入库吨位汇总!$B$264),""))</f>
        <v/>
      </c>
      <c r="C265" s="39" t="str">
        <f aca="false">IF($V$4=0,IF($K265="","",$K265),IFERROR(IF([1]入库吨位汇总!$C$264=0,"",[1]入库吨位汇总!$C$264),""))</f>
        <v/>
      </c>
      <c r="D265" s="51" t="str">
        <f aca="false">IF($V$4=0,IF($L265="","",$L265),IFERROR(IF([1]入库吨位汇总!$D$264=0,"",[1]入库吨位汇总!$D$264),""))</f>
        <v/>
      </c>
      <c r="E265" s="51" t="str">
        <f aca="false">IF($V$4=0,IF($M265="","",$M265),IFERROR(IF([1]入库吨位汇总!$E$264=0,"",[1]入库吨位汇总!$E$264),""))</f>
        <v/>
      </c>
      <c r="F265" s="41" t="str">
        <f aca="false">IF($V$4=0,IF($N265="","",$N265),IFERROR(IF([1]入库吨位汇总!$K$264=0,"",[1]入库吨位汇总!$K$264),""))</f>
        <v/>
      </c>
      <c r="G265" s="52" t="str">
        <f aca="false">IF($V$4=0,IF($O265="","",$O265),IFERROR(IF([1]入库吨位汇总!$L$264=0,"",[1]入库吨位汇总!$L$264),""))</f>
        <v/>
      </c>
      <c r="H265" s="41" t="str">
        <f aca="false">IF($V$4=0,IF($P265="","",$P265),IFERROR(IF([1]入库吨位汇总!$H$264=0,"",[1]入库吨位汇总!$H$264),""))</f>
        <v/>
      </c>
      <c r="I265" s="41" t="str">
        <f aca="false">IF($V$4=0,IF($Q265="","",$Q265),IFERROR(IF([1]入库吨位汇总!$I$264=0,"",[1]入库吨位汇总!$I$264),""))</f>
        <v/>
      </c>
      <c r="J265" s="10"/>
      <c r="K265" s="10"/>
      <c r="L265" s="53"/>
      <c r="M265" s="53"/>
      <c r="N265" s="54"/>
      <c r="O265" s="54"/>
      <c r="P265" s="54"/>
      <c r="Q265" s="54"/>
      <c r="R265" s="55" t="n">
        <f aca="false">IF(AND($B265&lt;&gt;"",$C265&lt;&gt;""),1,0)</f>
        <v>0</v>
      </c>
      <c r="S265" s="55" t="n">
        <f aca="false">N(S264)+$R265</f>
        <v>22</v>
      </c>
    </row>
    <row r="266" customFormat="false" ht="13.5" hidden="false" customHeight="false" outlineLevel="0" collapsed="false">
      <c r="A266" s="9" t="n">
        <v>265</v>
      </c>
      <c r="B266" s="39" t="str">
        <f aca="false">IF($V$4=0,IF($J266="","",$J266),IFERROR(IF([1]入库吨位汇总!$B$265=0,"",[1]入库吨位汇总!$B$265),""))</f>
        <v/>
      </c>
      <c r="C266" s="39" t="str">
        <f aca="false">IF($V$4=0,IF($K266="","",$K266),IFERROR(IF([1]入库吨位汇总!$C$265=0,"",[1]入库吨位汇总!$C$265),""))</f>
        <v/>
      </c>
      <c r="D266" s="51" t="str">
        <f aca="false">IF($V$4=0,IF($L266="","",$L266),IFERROR(IF([1]入库吨位汇总!$D$265=0,"",[1]入库吨位汇总!$D$265),""))</f>
        <v/>
      </c>
      <c r="E266" s="51" t="str">
        <f aca="false">IF($V$4=0,IF($M266="","",$M266),IFERROR(IF([1]入库吨位汇总!$E$265=0,"",[1]入库吨位汇总!$E$265),""))</f>
        <v/>
      </c>
      <c r="F266" s="41" t="str">
        <f aca="false">IF($V$4=0,IF($N266="","",$N266),IFERROR(IF([1]入库吨位汇总!$K$265=0,"",[1]入库吨位汇总!$K$265),""))</f>
        <v/>
      </c>
      <c r="G266" s="52" t="str">
        <f aca="false">IF($V$4=0,IF($O266="","",$O266),IFERROR(IF([1]入库吨位汇总!$L$265=0,"",[1]入库吨位汇总!$L$265),""))</f>
        <v/>
      </c>
      <c r="H266" s="41" t="str">
        <f aca="false">IF($V$4=0,IF($P266="","",$P266),IFERROR(IF([1]入库吨位汇总!$H$265=0,"",[1]入库吨位汇总!$H$265),""))</f>
        <v/>
      </c>
      <c r="I266" s="41" t="str">
        <f aca="false">IF($V$4=0,IF($Q266="","",$Q266),IFERROR(IF([1]入库吨位汇总!$I$265=0,"",[1]入库吨位汇总!$I$265),""))</f>
        <v/>
      </c>
      <c r="J266" s="10"/>
      <c r="K266" s="10"/>
      <c r="L266" s="53"/>
      <c r="M266" s="53"/>
      <c r="N266" s="54"/>
      <c r="O266" s="54"/>
      <c r="P266" s="54"/>
      <c r="Q266" s="54"/>
      <c r="R266" s="55" t="n">
        <f aca="false">IF(AND($B266&lt;&gt;"",$C266&lt;&gt;""),1,0)</f>
        <v>0</v>
      </c>
      <c r="S266" s="55" t="n">
        <f aca="false">N(S265)+$R266</f>
        <v>22</v>
      </c>
    </row>
    <row r="267" customFormat="false" ht="13.5" hidden="false" customHeight="false" outlineLevel="0" collapsed="false">
      <c r="A267" s="9" t="n">
        <v>266</v>
      </c>
      <c r="B267" s="39" t="str">
        <f aca="false">IF($V$4=0,IF($J267="","",$J267),IFERROR(IF([1]入库吨位汇总!$B$266=0,"",[1]入库吨位汇总!$B$266),""))</f>
        <v/>
      </c>
      <c r="C267" s="39" t="str">
        <f aca="false">IF($V$4=0,IF($K267="","",$K267),IFERROR(IF([1]入库吨位汇总!$C$266=0,"",[1]入库吨位汇总!$C$266),""))</f>
        <v/>
      </c>
      <c r="D267" s="51" t="str">
        <f aca="false">IF($V$4=0,IF($L267="","",$L267),IFERROR(IF([1]入库吨位汇总!$D$266=0,"",[1]入库吨位汇总!$D$266),""))</f>
        <v/>
      </c>
      <c r="E267" s="51" t="str">
        <f aca="false">IF($V$4=0,IF($M267="","",$M267),IFERROR(IF([1]入库吨位汇总!$E$266=0,"",[1]入库吨位汇总!$E$266),""))</f>
        <v/>
      </c>
      <c r="F267" s="41" t="str">
        <f aca="false">IF($V$4=0,IF($N267="","",$N267),IFERROR(IF([1]入库吨位汇总!$K$266=0,"",[1]入库吨位汇总!$K$266),""))</f>
        <v/>
      </c>
      <c r="G267" s="52" t="str">
        <f aca="false">IF($V$4=0,IF($O267="","",$O267),IFERROR(IF([1]入库吨位汇总!$L$266=0,"",[1]入库吨位汇总!$L$266),""))</f>
        <v/>
      </c>
      <c r="H267" s="41" t="str">
        <f aca="false">IF($V$4=0,IF($P267="","",$P267),IFERROR(IF([1]入库吨位汇总!$H$266=0,"",[1]入库吨位汇总!$H$266),""))</f>
        <v/>
      </c>
      <c r="I267" s="41" t="str">
        <f aca="false">IF($V$4=0,IF($Q267="","",$Q267),IFERROR(IF([1]入库吨位汇总!$I$266=0,"",[1]入库吨位汇总!$I$266),""))</f>
        <v/>
      </c>
      <c r="J267" s="10"/>
      <c r="K267" s="10"/>
      <c r="L267" s="53"/>
      <c r="M267" s="53"/>
      <c r="N267" s="54"/>
      <c r="O267" s="54"/>
      <c r="P267" s="54"/>
      <c r="Q267" s="54"/>
      <c r="R267" s="55" t="n">
        <f aca="false">IF(AND($B267&lt;&gt;"",$C267&lt;&gt;""),1,0)</f>
        <v>0</v>
      </c>
      <c r="S267" s="55" t="n">
        <f aca="false">N(S266)+$R267</f>
        <v>22</v>
      </c>
    </row>
    <row r="268" customFormat="false" ht="13.5" hidden="false" customHeight="false" outlineLevel="0" collapsed="false">
      <c r="A268" s="9" t="n">
        <v>267</v>
      </c>
      <c r="B268" s="39" t="str">
        <f aca="false">IF($V$4=0,IF($J268="","",$J268),IFERROR(IF([1]入库吨位汇总!$B$267=0,"",[1]入库吨位汇总!$B$267),""))</f>
        <v/>
      </c>
      <c r="C268" s="39" t="str">
        <f aca="false">IF($V$4=0,IF($K268="","",$K268),IFERROR(IF([1]入库吨位汇总!$C$267=0,"",[1]入库吨位汇总!$C$267),""))</f>
        <v/>
      </c>
      <c r="D268" s="51" t="str">
        <f aca="false">IF($V$4=0,IF($L268="","",$L268),IFERROR(IF([1]入库吨位汇总!$D$267=0,"",[1]入库吨位汇总!$D$267),""))</f>
        <v/>
      </c>
      <c r="E268" s="51" t="str">
        <f aca="false">IF($V$4=0,IF($M268="","",$M268),IFERROR(IF([1]入库吨位汇总!$E$267=0,"",[1]入库吨位汇总!$E$267),""))</f>
        <v/>
      </c>
      <c r="F268" s="41" t="str">
        <f aca="false">IF($V$4=0,IF($N268="","",$N268),IFERROR(IF([1]入库吨位汇总!$K$267=0,"",[1]入库吨位汇总!$K$267),""))</f>
        <v/>
      </c>
      <c r="G268" s="52" t="str">
        <f aca="false">IF($V$4=0,IF($O268="","",$O268),IFERROR(IF([1]入库吨位汇总!$L$267=0,"",[1]入库吨位汇总!$L$267),""))</f>
        <v/>
      </c>
      <c r="H268" s="41" t="str">
        <f aca="false">IF($V$4=0,IF($P268="","",$P268),IFERROR(IF([1]入库吨位汇总!$H$267=0,"",[1]入库吨位汇总!$H$267),""))</f>
        <v/>
      </c>
      <c r="I268" s="41" t="str">
        <f aca="false">IF($V$4=0,IF($Q268="","",$Q268),IFERROR(IF([1]入库吨位汇总!$I$267=0,"",[1]入库吨位汇总!$I$267),""))</f>
        <v/>
      </c>
      <c r="J268" s="10"/>
      <c r="K268" s="10"/>
      <c r="L268" s="53"/>
      <c r="M268" s="53"/>
      <c r="N268" s="54"/>
      <c r="O268" s="54"/>
      <c r="P268" s="54"/>
      <c r="Q268" s="54"/>
      <c r="R268" s="55" t="n">
        <f aca="false">IF(AND($B268&lt;&gt;"",$C268&lt;&gt;""),1,0)</f>
        <v>0</v>
      </c>
      <c r="S268" s="55" t="n">
        <f aca="false">N(S267)+$R268</f>
        <v>22</v>
      </c>
    </row>
    <row r="269" customFormat="false" ht="13.5" hidden="false" customHeight="false" outlineLevel="0" collapsed="false">
      <c r="A269" s="9" t="n">
        <v>268</v>
      </c>
      <c r="B269" s="39" t="str">
        <f aca="false">IF($V$4=0,IF($J269="","",$J269),IFERROR(IF([1]入库吨位汇总!$B$268=0,"",[1]入库吨位汇总!$B$268),""))</f>
        <v/>
      </c>
      <c r="C269" s="39" t="str">
        <f aca="false">IF($V$4=0,IF($K269="","",$K269),IFERROR(IF([1]入库吨位汇总!$C$268=0,"",[1]入库吨位汇总!$C$268),""))</f>
        <v/>
      </c>
      <c r="D269" s="51" t="str">
        <f aca="false">IF($V$4=0,IF($L269="","",$L269),IFERROR(IF([1]入库吨位汇总!$D$268=0,"",[1]入库吨位汇总!$D$268),""))</f>
        <v/>
      </c>
      <c r="E269" s="51" t="str">
        <f aca="false">IF($V$4=0,IF($M269="","",$M269),IFERROR(IF([1]入库吨位汇总!$E$268=0,"",[1]入库吨位汇总!$E$268),""))</f>
        <v/>
      </c>
      <c r="F269" s="41" t="str">
        <f aca="false">IF($V$4=0,IF($N269="","",$N269),IFERROR(IF([1]入库吨位汇总!$K$268=0,"",[1]入库吨位汇总!$K$268),""))</f>
        <v/>
      </c>
      <c r="G269" s="52" t="str">
        <f aca="false">IF($V$4=0,IF($O269="","",$O269),IFERROR(IF([1]入库吨位汇总!$L$268=0,"",[1]入库吨位汇总!$L$268),""))</f>
        <v/>
      </c>
      <c r="H269" s="41" t="str">
        <f aca="false">IF($V$4=0,IF($P269="","",$P269),IFERROR(IF([1]入库吨位汇总!$H$268=0,"",[1]入库吨位汇总!$H$268),""))</f>
        <v/>
      </c>
      <c r="I269" s="41" t="str">
        <f aca="false">IF($V$4=0,IF($Q269="","",$Q269),IFERROR(IF([1]入库吨位汇总!$I$268=0,"",[1]入库吨位汇总!$I$268),""))</f>
        <v/>
      </c>
      <c r="J269" s="10"/>
      <c r="K269" s="10"/>
      <c r="L269" s="53"/>
      <c r="M269" s="53"/>
      <c r="N269" s="54"/>
      <c r="O269" s="54"/>
      <c r="P269" s="54"/>
      <c r="Q269" s="54"/>
      <c r="R269" s="55" t="n">
        <f aca="false">IF(AND($B269&lt;&gt;"",$C269&lt;&gt;""),1,0)</f>
        <v>0</v>
      </c>
      <c r="S269" s="55" t="n">
        <f aca="false">N(S268)+$R269</f>
        <v>22</v>
      </c>
    </row>
    <row r="270" customFormat="false" ht="13.5" hidden="false" customHeight="false" outlineLevel="0" collapsed="false">
      <c r="A270" s="9" t="n">
        <v>269</v>
      </c>
      <c r="B270" s="39" t="str">
        <f aca="false">IF($V$4=0,IF($J270="","",$J270),IFERROR(IF([1]入库吨位汇总!$B$269=0,"",[1]入库吨位汇总!$B$269),""))</f>
        <v/>
      </c>
      <c r="C270" s="39" t="str">
        <f aca="false">IF($V$4=0,IF($K270="","",$K270),IFERROR(IF([1]入库吨位汇总!$C$269=0,"",[1]入库吨位汇总!$C$269),""))</f>
        <v/>
      </c>
      <c r="D270" s="51" t="str">
        <f aca="false">IF($V$4=0,IF($L270="","",$L270),IFERROR(IF([1]入库吨位汇总!$D$269=0,"",[1]入库吨位汇总!$D$269),""))</f>
        <v/>
      </c>
      <c r="E270" s="51" t="str">
        <f aca="false">IF($V$4=0,IF($M270="","",$M270),IFERROR(IF([1]入库吨位汇总!$E$269=0,"",[1]入库吨位汇总!$E$269),""))</f>
        <v/>
      </c>
      <c r="F270" s="41" t="str">
        <f aca="false">IF($V$4=0,IF($N270="","",$N270),IFERROR(IF([1]入库吨位汇总!$K$269=0,"",[1]入库吨位汇总!$K$269),""))</f>
        <v/>
      </c>
      <c r="G270" s="52" t="str">
        <f aca="false">IF($V$4=0,IF($O270="","",$O270),IFERROR(IF([1]入库吨位汇总!$L$269=0,"",[1]入库吨位汇总!$L$269),""))</f>
        <v/>
      </c>
      <c r="H270" s="41" t="str">
        <f aca="false">IF($V$4=0,IF($P270="","",$P270),IFERROR(IF([1]入库吨位汇总!$H$269=0,"",[1]入库吨位汇总!$H$269),""))</f>
        <v/>
      </c>
      <c r="I270" s="41" t="str">
        <f aca="false">IF($V$4=0,IF($Q270="","",$Q270),IFERROR(IF([1]入库吨位汇总!$I$269=0,"",[1]入库吨位汇总!$I$269),""))</f>
        <v/>
      </c>
      <c r="J270" s="10"/>
      <c r="K270" s="10"/>
      <c r="L270" s="53"/>
      <c r="M270" s="53"/>
      <c r="N270" s="54"/>
      <c r="O270" s="54"/>
      <c r="P270" s="54"/>
      <c r="Q270" s="54"/>
      <c r="R270" s="55" t="n">
        <f aca="false">IF(AND($B270&lt;&gt;"",$C270&lt;&gt;""),1,0)</f>
        <v>0</v>
      </c>
      <c r="S270" s="55" t="n">
        <f aca="false">N(S269)+$R270</f>
        <v>22</v>
      </c>
    </row>
    <row r="271" customFormat="false" ht="13.5" hidden="false" customHeight="false" outlineLevel="0" collapsed="false">
      <c r="A271" s="9" t="n">
        <v>270</v>
      </c>
      <c r="B271" s="39" t="str">
        <f aca="false">IF($V$4=0,IF($J271="","",$J271),IFERROR(IF([1]入库吨位汇总!$B$270=0,"",[1]入库吨位汇总!$B$270),""))</f>
        <v/>
      </c>
      <c r="C271" s="39" t="str">
        <f aca="false">IF($V$4=0,IF($K271="","",$K271),IFERROR(IF([1]入库吨位汇总!$C$270=0,"",[1]入库吨位汇总!$C$270),""))</f>
        <v/>
      </c>
      <c r="D271" s="51" t="str">
        <f aca="false">IF($V$4=0,IF($L271="","",$L271),IFERROR(IF([1]入库吨位汇总!$D$270=0,"",[1]入库吨位汇总!$D$270),""))</f>
        <v/>
      </c>
      <c r="E271" s="51" t="str">
        <f aca="false">IF($V$4=0,IF($M271="","",$M271),IFERROR(IF([1]入库吨位汇总!$E$270=0,"",[1]入库吨位汇总!$E$270),""))</f>
        <v/>
      </c>
      <c r="F271" s="41" t="str">
        <f aca="false">IF($V$4=0,IF($N271="","",$N271),IFERROR(IF([1]入库吨位汇总!$K$270=0,"",[1]入库吨位汇总!$K$270),""))</f>
        <v/>
      </c>
      <c r="G271" s="52" t="str">
        <f aca="false">IF($V$4=0,IF($O271="","",$O271),IFERROR(IF([1]入库吨位汇总!$L$270=0,"",[1]入库吨位汇总!$L$270),""))</f>
        <v/>
      </c>
      <c r="H271" s="41" t="str">
        <f aca="false">IF($V$4=0,IF($P271="","",$P271),IFERROR(IF([1]入库吨位汇总!$H$270=0,"",[1]入库吨位汇总!$H$270),""))</f>
        <v/>
      </c>
      <c r="I271" s="41" t="str">
        <f aca="false">IF($V$4=0,IF($Q271="","",$Q271),IFERROR(IF([1]入库吨位汇总!$I$270=0,"",[1]入库吨位汇总!$I$270),""))</f>
        <v/>
      </c>
      <c r="J271" s="10"/>
      <c r="K271" s="10"/>
      <c r="L271" s="53"/>
      <c r="M271" s="53"/>
      <c r="N271" s="54"/>
      <c r="O271" s="54"/>
      <c r="P271" s="54"/>
      <c r="Q271" s="54"/>
      <c r="R271" s="55" t="n">
        <f aca="false">IF(AND($B271&lt;&gt;"",$C271&lt;&gt;""),1,0)</f>
        <v>0</v>
      </c>
      <c r="S271" s="55" t="n">
        <f aca="false">N(S270)+$R271</f>
        <v>22</v>
      </c>
    </row>
    <row r="272" customFormat="false" ht="13.5" hidden="false" customHeight="false" outlineLevel="0" collapsed="false">
      <c r="A272" s="9" t="n">
        <v>271</v>
      </c>
      <c r="B272" s="39" t="str">
        <f aca="false">IF($V$4=0,IF($J272="","",$J272),IFERROR(IF([1]入库吨位汇总!$B$271=0,"",[1]入库吨位汇总!$B$271),""))</f>
        <v/>
      </c>
      <c r="C272" s="39" t="str">
        <f aca="false">IF($V$4=0,IF($K272="","",$K272),IFERROR(IF([1]入库吨位汇总!$C$271=0,"",[1]入库吨位汇总!$C$271),""))</f>
        <v/>
      </c>
      <c r="D272" s="51" t="str">
        <f aca="false">IF($V$4=0,IF($L272="","",$L272),IFERROR(IF([1]入库吨位汇总!$D$271=0,"",[1]入库吨位汇总!$D$271),""))</f>
        <v/>
      </c>
      <c r="E272" s="51" t="str">
        <f aca="false">IF($V$4=0,IF($M272="","",$M272),IFERROR(IF([1]入库吨位汇总!$E$271=0,"",[1]入库吨位汇总!$E$271),""))</f>
        <v/>
      </c>
      <c r="F272" s="41" t="str">
        <f aca="false">IF($V$4=0,IF($N272="","",$N272),IFERROR(IF([1]入库吨位汇总!$K$271=0,"",[1]入库吨位汇总!$K$271),""))</f>
        <v/>
      </c>
      <c r="G272" s="52" t="str">
        <f aca="false">IF($V$4=0,IF($O272="","",$O272),IFERROR(IF([1]入库吨位汇总!$L$271=0,"",[1]入库吨位汇总!$L$271),""))</f>
        <v/>
      </c>
      <c r="H272" s="41" t="str">
        <f aca="false">IF($V$4=0,IF($P272="","",$P272),IFERROR(IF([1]入库吨位汇总!$H$271=0,"",[1]入库吨位汇总!$H$271),""))</f>
        <v/>
      </c>
      <c r="I272" s="41" t="str">
        <f aca="false">IF($V$4=0,IF($Q272="","",$Q272),IFERROR(IF([1]入库吨位汇总!$I$271=0,"",[1]入库吨位汇总!$I$271),""))</f>
        <v/>
      </c>
      <c r="J272" s="10"/>
      <c r="K272" s="10"/>
      <c r="L272" s="53"/>
      <c r="M272" s="53"/>
      <c r="N272" s="54"/>
      <c r="O272" s="54"/>
      <c r="P272" s="54"/>
      <c r="Q272" s="54"/>
      <c r="R272" s="55" t="n">
        <f aca="false">IF(AND($B272&lt;&gt;"",$C272&lt;&gt;""),1,0)</f>
        <v>0</v>
      </c>
      <c r="S272" s="55" t="n">
        <f aca="false">N(S271)+$R272</f>
        <v>22</v>
      </c>
    </row>
    <row r="273" customFormat="false" ht="13.5" hidden="false" customHeight="false" outlineLevel="0" collapsed="false">
      <c r="A273" s="9" t="n">
        <v>272</v>
      </c>
      <c r="B273" s="39" t="str">
        <f aca="false">IF($V$4=0,IF($J273="","",$J273),IFERROR(IF([1]入库吨位汇总!$B$272=0,"",[1]入库吨位汇总!$B$272),""))</f>
        <v/>
      </c>
      <c r="C273" s="39" t="str">
        <f aca="false">IF($V$4=0,IF($K273="","",$K273),IFERROR(IF([1]入库吨位汇总!$C$272=0,"",[1]入库吨位汇总!$C$272),""))</f>
        <v/>
      </c>
      <c r="D273" s="51" t="str">
        <f aca="false">IF($V$4=0,IF($L273="","",$L273),IFERROR(IF([1]入库吨位汇总!$D$272=0,"",[1]入库吨位汇总!$D$272),""))</f>
        <v/>
      </c>
      <c r="E273" s="51" t="str">
        <f aca="false">IF($V$4=0,IF($M273="","",$M273),IFERROR(IF([1]入库吨位汇总!$E$272=0,"",[1]入库吨位汇总!$E$272),""))</f>
        <v/>
      </c>
      <c r="F273" s="41" t="str">
        <f aca="false">IF($V$4=0,IF($N273="","",$N273),IFERROR(IF([1]入库吨位汇总!$K$272=0,"",[1]入库吨位汇总!$K$272),""))</f>
        <v/>
      </c>
      <c r="G273" s="52" t="str">
        <f aca="false">IF($V$4=0,IF($O273="","",$O273),IFERROR(IF([1]入库吨位汇总!$L$272=0,"",[1]入库吨位汇总!$L$272),""))</f>
        <v/>
      </c>
      <c r="H273" s="41" t="str">
        <f aca="false">IF($V$4=0,IF($P273="","",$P273),IFERROR(IF([1]入库吨位汇总!$H$272=0,"",[1]入库吨位汇总!$H$272),""))</f>
        <v/>
      </c>
      <c r="I273" s="41" t="str">
        <f aca="false">IF($V$4=0,IF($Q273="","",$Q273),IFERROR(IF([1]入库吨位汇总!$I$272=0,"",[1]入库吨位汇总!$I$272),""))</f>
        <v/>
      </c>
      <c r="J273" s="10"/>
      <c r="K273" s="10"/>
      <c r="L273" s="53"/>
      <c r="M273" s="53"/>
      <c r="N273" s="54"/>
      <c r="O273" s="54"/>
      <c r="P273" s="54"/>
      <c r="Q273" s="54"/>
      <c r="R273" s="55" t="n">
        <f aca="false">IF(AND($B273&lt;&gt;"",$C273&lt;&gt;""),1,0)</f>
        <v>0</v>
      </c>
      <c r="S273" s="55" t="n">
        <f aca="false">N(S272)+$R273</f>
        <v>22</v>
      </c>
    </row>
    <row r="274" customFormat="false" ht="13.5" hidden="false" customHeight="false" outlineLevel="0" collapsed="false">
      <c r="A274" s="9" t="n">
        <v>273</v>
      </c>
      <c r="B274" s="39" t="str">
        <f aca="false">IF($V$4=0,IF($J274="","",$J274),IFERROR(IF([1]入库吨位汇总!$B$273=0,"",[1]入库吨位汇总!$B$273),""))</f>
        <v/>
      </c>
      <c r="C274" s="39" t="str">
        <f aca="false">IF($V$4=0,IF($K274="","",$K274),IFERROR(IF([1]入库吨位汇总!$C$273=0,"",[1]入库吨位汇总!$C$273),""))</f>
        <v/>
      </c>
      <c r="D274" s="51" t="str">
        <f aca="false">IF($V$4=0,IF($L274="","",$L274),IFERROR(IF([1]入库吨位汇总!$D$273=0,"",[1]入库吨位汇总!$D$273),""))</f>
        <v/>
      </c>
      <c r="E274" s="51" t="str">
        <f aca="false">IF($V$4=0,IF($M274="","",$M274),IFERROR(IF([1]入库吨位汇总!$E$273=0,"",[1]入库吨位汇总!$E$273),""))</f>
        <v/>
      </c>
      <c r="F274" s="41" t="str">
        <f aca="false">IF($V$4=0,IF($N274="","",$N274),IFERROR(IF([1]入库吨位汇总!$K$273=0,"",[1]入库吨位汇总!$K$273),""))</f>
        <v/>
      </c>
      <c r="G274" s="52" t="str">
        <f aca="false">IF($V$4=0,IF($O274="","",$O274),IFERROR(IF([1]入库吨位汇总!$L$273=0,"",[1]入库吨位汇总!$L$273),""))</f>
        <v/>
      </c>
      <c r="H274" s="41" t="str">
        <f aca="false">IF($V$4=0,IF($P274="","",$P274),IFERROR(IF([1]入库吨位汇总!$H$273=0,"",[1]入库吨位汇总!$H$273),""))</f>
        <v/>
      </c>
      <c r="I274" s="41" t="str">
        <f aca="false">IF($V$4=0,IF($Q274="","",$Q274),IFERROR(IF([1]入库吨位汇总!$I$273=0,"",[1]入库吨位汇总!$I$273),""))</f>
        <v/>
      </c>
      <c r="J274" s="10"/>
      <c r="K274" s="10"/>
      <c r="L274" s="53"/>
      <c r="M274" s="53"/>
      <c r="N274" s="54"/>
      <c r="O274" s="54"/>
      <c r="P274" s="54"/>
      <c r="Q274" s="54"/>
      <c r="R274" s="55" t="n">
        <f aca="false">IF(AND($B274&lt;&gt;"",$C274&lt;&gt;""),1,0)</f>
        <v>0</v>
      </c>
      <c r="S274" s="55" t="n">
        <f aca="false">N(S273)+$R274</f>
        <v>22</v>
      </c>
    </row>
    <row r="275" customFormat="false" ht="13.5" hidden="false" customHeight="false" outlineLevel="0" collapsed="false">
      <c r="A275" s="9" t="n">
        <v>274</v>
      </c>
      <c r="B275" s="39" t="str">
        <f aca="false">IF($V$4=0,IF($J275="","",$J275),IFERROR(IF([1]入库吨位汇总!$B$274=0,"",[1]入库吨位汇总!$B$274),""))</f>
        <v/>
      </c>
      <c r="C275" s="39" t="str">
        <f aca="false">IF($V$4=0,IF($K275="","",$K275),IFERROR(IF([1]入库吨位汇总!$C$274=0,"",[1]入库吨位汇总!$C$274),""))</f>
        <v/>
      </c>
      <c r="D275" s="51" t="str">
        <f aca="false">IF($V$4=0,IF($L275="","",$L275),IFERROR(IF([1]入库吨位汇总!$D$274=0,"",[1]入库吨位汇总!$D$274),""))</f>
        <v/>
      </c>
      <c r="E275" s="51" t="str">
        <f aca="false">IF($V$4=0,IF($M275="","",$M275),IFERROR(IF([1]入库吨位汇总!$E$274=0,"",[1]入库吨位汇总!$E$274),""))</f>
        <v/>
      </c>
      <c r="F275" s="41" t="str">
        <f aca="false">IF($V$4=0,IF($N275="","",$N275),IFERROR(IF([1]入库吨位汇总!$K$274=0,"",[1]入库吨位汇总!$K$274),""))</f>
        <v/>
      </c>
      <c r="G275" s="52" t="str">
        <f aca="false">IF($V$4=0,IF($O275="","",$O275),IFERROR(IF([1]入库吨位汇总!$L$274=0,"",[1]入库吨位汇总!$L$274),""))</f>
        <v/>
      </c>
      <c r="H275" s="41" t="str">
        <f aca="false">IF($V$4=0,IF($P275="","",$P275),IFERROR(IF([1]入库吨位汇总!$H$274=0,"",[1]入库吨位汇总!$H$274),""))</f>
        <v/>
      </c>
      <c r="I275" s="41" t="str">
        <f aca="false">IF($V$4=0,IF($Q275="","",$Q275),IFERROR(IF([1]入库吨位汇总!$I$274=0,"",[1]入库吨位汇总!$I$274),""))</f>
        <v/>
      </c>
      <c r="J275" s="10"/>
      <c r="K275" s="10"/>
      <c r="L275" s="53"/>
      <c r="M275" s="53"/>
      <c r="N275" s="54"/>
      <c r="O275" s="54"/>
      <c r="P275" s="54"/>
      <c r="Q275" s="54"/>
      <c r="R275" s="55" t="n">
        <f aca="false">IF(AND($B275&lt;&gt;"",$C275&lt;&gt;""),1,0)</f>
        <v>0</v>
      </c>
      <c r="S275" s="55" t="n">
        <f aca="false">N(S274)+$R275</f>
        <v>22</v>
      </c>
    </row>
    <row r="276" customFormat="false" ht="13.5" hidden="false" customHeight="false" outlineLevel="0" collapsed="false">
      <c r="A276" s="9" t="n">
        <v>275</v>
      </c>
      <c r="B276" s="39" t="str">
        <f aca="false">IF($V$4=0,IF($J276="","",$J276),IFERROR(IF([1]入库吨位汇总!$B$275=0,"",[1]入库吨位汇总!$B$275),""))</f>
        <v/>
      </c>
      <c r="C276" s="39" t="str">
        <f aca="false">IF($V$4=0,IF($K276="","",$K276),IFERROR(IF([1]入库吨位汇总!$C$275=0,"",[1]入库吨位汇总!$C$275),""))</f>
        <v/>
      </c>
      <c r="D276" s="51" t="str">
        <f aca="false">IF($V$4=0,IF($L276="","",$L276),IFERROR(IF([1]入库吨位汇总!$D$275=0,"",[1]入库吨位汇总!$D$275),""))</f>
        <v/>
      </c>
      <c r="E276" s="51" t="str">
        <f aca="false">IF($V$4=0,IF($M276="","",$M276),IFERROR(IF([1]入库吨位汇总!$E$275=0,"",[1]入库吨位汇总!$E$275),""))</f>
        <v/>
      </c>
      <c r="F276" s="41" t="str">
        <f aca="false">IF($V$4=0,IF($N276="","",$N276),IFERROR(IF([1]入库吨位汇总!$K$275=0,"",[1]入库吨位汇总!$K$275),""))</f>
        <v/>
      </c>
      <c r="G276" s="52" t="str">
        <f aca="false">IF($V$4=0,IF($O276="","",$O276),IFERROR(IF([1]入库吨位汇总!$L$275=0,"",[1]入库吨位汇总!$L$275),""))</f>
        <v/>
      </c>
      <c r="H276" s="41" t="str">
        <f aca="false">IF($V$4=0,IF($P276="","",$P276),IFERROR(IF([1]入库吨位汇总!$H$275=0,"",[1]入库吨位汇总!$H$275),""))</f>
        <v/>
      </c>
      <c r="I276" s="41" t="str">
        <f aca="false">IF($V$4=0,IF($Q276="","",$Q276),IFERROR(IF([1]入库吨位汇总!$I$275=0,"",[1]入库吨位汇总!$I$275),""))</f>
        <v/>
      </c>
      <c r="J276" s="10"/>
      <c r="K276" s="10"/>
      <c r="L276" s="53"/>
      <c r="M276" s="53"/>
      <c r="N276" s="54"/>
      <c r="O276" s="54"/>
      <c r="P276" s="54"/>
      <c r="Q276" s="54"/>
      <c r="R276" s="55" t="n">
        <f aca="false">IF(AND($B276&lt;&gt;"",$C276&lt;&gt;""),1,0)</f>
        <v>0</v>
      </c>
      <c r="S276" s="55" t="n">
        <f aca="false">N(S275)+$R276</f>
        <v>22</v>
      </c>
    </row>
    <row r="277" customFormat="false" ht="13.5" hidden="false" customHeight="false" outlineLevel="0" collapsed="false">
      <c r="A277" s="9" t="n">
        <v>276</v>
      </c>
      <c r="B277" s="39" t="str">
        <f aca="false">IF($V$4=0,IF($J277="","",$J277),IFERROR(IF([1]入库吨位汇总!$B$276=0,"",[1]入库吨位汇总!$B$276),""))</f>
        <v/>
      </c>
      <c r="C277" s="39" t="str">
        <f aca="false">IF($V$4=0,IF($K277="","",$K277),IFERROR(IF([1]入库吨位汇总!$C$276=0,"",[1]入库吨位汇总!$C$276),""))</f>
        <v/>
      </c>
      <c r="D277" s="51" t="str">
        <f aca="false">IF($V$4=0,IF($L277="","",$L277),IFERROR(IF([1]入库吨位汇总!$D$276=0,"",[1]入库吨位汇总!$D$276),""))</f>
        <v/>
      </c>
      <c r="E277" s="51" t="str">
        <f aca="false">IF($V$4=0,IF($M277="","",$M277),IFERROR(IF([1]入库吨位汇总!$E$276=0,"",[1]入库吨位汇总!$E$276),""))</f>
        <v/>
      </c>
      <c r="F277" s="41" t="str">
        <f aca="false">IF($V$4=0,IF($N277="","",$N277),IFERROR(IF([1]入库吨位汇总!$K$276=0,"",[1]入库吨位汇总!$K$276),""))</f>
        <v/>
      </c>
      <c r="G277" s="52" t="str">
        <f aca="false">IF($V$4=0,IF($O277="","",$O277),IFERROR(IF([1]入库吨位汇总!$L$276=0,"",[1]入库吨位汇总!$L$276),""))</f>
        <v/>
      </c>
      <c r="H277" s="41" t="str">
        <f aca="false">IF($V$4=0,IF($P277="","",$P277),IFERROR(IF([1]入库吨位汇总!$H$276=0,"",[1]入库吨位汇总!$H$276),""))</f>
        <v/>
      </c>
      <c r="I277" s="41" t="str">
        <f aca="false">IF($V$4=0,IF($Q277="","",$Q277),IFERROR(IF([1]入库吨位汇总!$I$276=0,"",[1]入库吨位汇总!$I$276),""))</f>
        <v/>
      </c>
      <c r="J277" s="10"/>
      <c r="K277" s="10"/>
      <c r="L277" s="53"/>
      <c r="M277" s="53"/>
      <c r="N277" s="54"/>
      <c r="O277" s="54"/>
      <c r="P277" s="54"/>
      <c r="Q277" s="54"/>
      <c r="R277" s="55" t="n">
        <f aca="false">IF(AND($B277&lt;&gt;"",$C277&lt;&gt;""),1,0)</f>
        <v>0</v>
      </c>
      <c r="S277" s="55" t="n">
        <f aca="false">N(S276)+$R277</f>
        <v>22</v>
      </c>
    </row>
    <row r="278" customFormat="false" ht="13.5" hidden="false" customHeight="false" outlineLevel="0" collapsed="false">
      <c r="A278" s="9" t="n">
        <v>277</v>
      </c>
      <c r="B278" s="39" t="str">
        <f aca="false">IF($V$4=0,IF($J278="","",$J278),IFERROR(IF([1]入库吨位汇总!$B$277=0,"",[1]入库吨位汇总!$B$277),""))</f>
        <v/>
      </c>
      <c r="C278" s="39" t="str">
        <f aca="false">IF($V$4=0,IF($K278="","",$K278),IFERROR(IF([1]入库吨位汇总!$C$277=0,"",[1]入库吨位汇总!$C$277),""))</f>
        <v/>
      </c>
      <c r="D278" s="51" t="str">
        <f aca="false">IF($V$4=0,IF($L278="","",$L278),IFERROR(IF([1]入库吨位汇总!$D$277=0,"",[1]入库吨位汇总!$D$277),""))</f>
        <v/>
      </c>
      <c r="E278" s="51" t="str">
        <f aca="false">IF($V$4=0,IF($M278="","",$M278),IFERROR(IF([1]入库吨位汇总!$E$277=0,"",[1]入库吨位汇总!$E$277),""))</f>
        <v/>
      </c>
      <c r="F278" s="41" t="str">
        <f aca="false">IF($V$4=0,IF($N278="","",$N278),IFERROR(IF([1]入库吨位汇总!$K$277=0,"",[1]入库吨位汇总!$K$277),""))</f>
        <v/>
      </c>
      <c r="G278" s="52" t="str">
        <f aca="false">IF($V$4=0,IF($O278="","",$O278),IFERROR(IF([1]入库吨位汇总!$L$277=0,"",[1]入库吨位汇总!$L$277),""))</f>
        <v/>
      </c>
      <c r="H278" s="41" t="str">
        <f aca="false">IF($V$4=0,IF($P278="","",$P278),IFERROR(IF([1]入库吨位汇总!$H$277=0,"",[1]入库吨位汇总!$H$277),""))</f>
        <v/>
      </c>
      <c r="I278" s="41" t="str">
        <f aca="false">IF($V$4=0,IF($Q278="","",$Q278),IFERROR(IF([1]入库吨位汇总!$I$277=0,"",[1]入库吨位汇总!$I$277),""))</f>
        <v/>
      </c>
      <c r="J278" s="10"/>
      <c r="K278" s="10"/>
      <c r="L278" s="53"/>
      <c r="M278" s="53"/>
      <c r="N278" s="54"/>
      <c r="O278" s="54"/>
      <c r="P278" s="54"/>
      <c r="Q278" s="54"/>
      <c r="R278" s="55" t="n">
        <f aca="false">IF(AND($B278&lt;&gt;"",$C278&lt;&gt;""),1,0)</f>
        <v>0</v>
      </c>
      <c r="S278" s="55" t="n">
        <f aca="false">N(S277)+$R278</f>
        <v>22</v>
      </c>
    </row>
    <row r="279" customFormat="false" ht="13.5" hidden="false" customHeight="false" outlineLevel="0" collapsed="false">
      <c r="A279" s="9" t="n">
        <v>278</v>
      </c>
      <c r="B279" s="39" t="str">
        <f aca="false">IF($V$4=0,IF($J279="","",$J279),IFERROR(IF([1]入库吨位汇总!$B$278=0,"",[1]入库吨位汇总!$B$278),""))</f>
        <v/>
      </c>
      <c r="C279" s="39" t="str">
        <f aca="false">IF($V$4=0,IF($K279="","",$K279),IFERROR(IF([1]入库吨位汇总!$C$278=0,"",[1]入库吨位汇总!$C$278),""))</f>
        <v/>
      </c>
      <c r="D279" s="51" t="str">
        <f aca="false">IF($V$4=0,IF($L279="","",$L279),IFERROR(IF([1]入库吨位汇总!$D$278=0,"",[1]入库吨位汇总!$D$278),""))</f>
        <v/>
      </c>
      <c r="E279" s="51" t="str">
        <f aca="false">IF($V$4=0,IF($M279="","",$M279),IFERROR(IF([1]入库吨位汇总!$E$278=0,"",[1]入库吨位汇总!$E$278),""))</f>
        <v/>
      </c>
      <c r="F279" s="41" t="str">
        <f aca="false">IF($V$4=0,IF($N279="","",$N279),IFERROR(IF([1]入库吨位汇总!$K$278=0,"",[1]入库吨位汇总!$K$278),""))</f>
        <v/>
      </c>
      <c r="G279" s="52" t="str">
        <f aca="false">IF($V$4=0,IF($O279="","",$O279),IFERROR(IF([1]入库吨位汇总!$L$278=0,"",[1]入库吨位汇总!$L$278),""))</f>
        <v/>
      </c>
      <c r="H279" s="41" t="str">
        <f aca="false">IF($V$4=0,IF($P279="","",$P279),IFERROR(IF([1]入库吨位汇总!$H$278=0,"",[1]入库吨位汇总!$H$278),""))</f>
        <v/>
      </c>
      <c r="I279" s="41" t="str">
        <f aca="false">IF($V$4=0,IF($Q279="","",$Q279),IFERROR(IF([1]入库吨位汇总!$I$278=0,"",[1]入库吨位汇总!$I$278),""))</f>
        <v/>
      </c>
      <c r="J279" s="10"/>
      <c r="K279" s="10"/>
      <c r="L279" s="53"/>
      <c r="M279" s="53"/>
      <c r="N279" s="54"/>
      <c r="O279" s="54"/>
      <c r="P279" s="54"/>
      <c r="Q279" s="54"/>
      <c r="R279" s="55" t="n">
        <f aca="false">IF(AND($B279&lt;&gt;"",$C279&lt;&gt;""),1,0)</f>
        <v>0</v>
      </c>
      <c r="S279" s="55" t="n">
        <f aca="false">N(S278)+$R279</f>
        <v>22</v>
      </c>
    </row>
    <row r="280" customFormat="false" ht="13.5" hidden="false" customHeight="false" outlineLevel="0" collapsed="false">
      <c r="A280" s="9" t="n">
        <v>279</v>
      </c>
      <c r="B280" s="39" t="str">
        <f aca="false">IF($V$4=0,IF($J280="","",$J280),IFERROR(IF([1]入库吨位汇总!$B$279=0,"",[1]入库吨位汇总!$B$279),""))</f>
        <v/>
      </c>
      <c r="C280" s="39" t="str">
        <f aca="false">IF($V$4=0,IF($K280="","",$K280),IFERROR(IF([1]入库吨位汇总!$C$279=0,"",[1]入库吨位汇总!$C$279),""))</f>
        <v/>
      </c>
      <c r="D280" s="51" t="str">
        <f aca="false">IF($V$4=0,IF($L280="","",$L280),IFERROR(IF([1]入库吨位汇总!$D$279=0,"",[1]入库吨位汇总!$D$279),""))</f>
        <v/>
      </c>
      <c r="E280" s="51" t="str">
        <f aca="false">IF($V$4=0,IF($M280="","",$M280),IFERROR(IF([1]入库吨位汇总!$E$279=0,"",[1]入库吨位汇总!$E$279),""))</f>
        <v/>
      </c>
      <c r="F280" s="41" t="str">
        <f aca="false">IF($V$4=0,IF($N280="","",$N280),IFERROR(IF([1]入库吨位汇总!$K$279=0,"",[1]入库吨位汇总!$K$279),""))</f>
        <v/>
      </c>
      <c r="G280" s="52" t="str">
        <f aca="false">IF($V$4=0,IF($O280="","",$O280),IFERROR(IF([1]入库吨位汇总!$L$279=0,"",[1]入库吨位汇总!$L$279),""))</f>
        <v/>
      </c>
      <c r="H280" s="41" t="str">
        <f aca="false">IF($V$4=0,IF($P280="","",$P280),IFERROR(IF([1]入库吨位汇总!$H$279=0,"",[1]入库吨位汇总!$H$279),""))</f>
        <v/>
      </c>
      <c r="I280" s="41" t="str">
        <f aca="false">IF($V$4=0,IF($Q280="","",$Q280),IFERROR(IF([1]入库吨位汇总!$I$279=0,"",[1]入库吨位汇总!$I$279),""))</f>
        <v/>
      </c>
      <c r="J280" s="10"/>
      <c r="K280" s="10"/>
      <c r="L280" s="53"/>
      <c r="M280" s="53"/>
      <c r="N280" s="54"/>
      <c r="O280" s="54"/>
      <c r="P280" s="54"/>
      <c r="Q280" s="54"/>
      <c r="R280" s="55" t="n">
        <f aca="false">IF(AND($B280&lt;&gt;"",$C280&lt;&gt;""),1,0)</f>
        <v>0</v>
      </c>
      <c r="S280" s="55" t="n">
        <f aca="false">N(S279)+$R280</f>
        <v>22</v>
      </c>
    </row>
    <row r="281" customFormat="false" ht="13.5" hidden="false" customHeight="false" outlineLevel="0" collapsed="false">
      <c r="A281" s="9" t="n">
        <v>280</v>
      </c>
      <c r="B281" s="39" t="str">
        <f aca="false">IF($V$4=0,IF($J281="","",$J281),IFERROR(IF([1]入库吨位汇总!$B$280=0,"",[1]入库吨位汇总!$B$280),""))</f>
        <v/>
      </c>
      <c r="C281" s="39" t="str">
        <f aca="false">IF($V$4=0,IF($K281="","",$K281),IFERROR(IF([1]入库吨位汇总!$C$280=0,"",[1]入库吨位汇总!$C$280),""))</f>
        <v/>
      </c>
      <c r="D281" s="51" t="str">
        <f aca="false">IF($V$4=0,IF($L281="","",$L281),IFERROR(IF([1]入库吨位汇总!$D$280=0,"",[1]入库吨位汇总!$D$280),""))</f>
        <v/>
      </c>
      <c r="E281" s="51" t="str">
        <f aca="false">IF($V$4=0,IF($M281="","",$M281),IFERROR(IF([1]入库吨位汇总!$E$280=0,"",[1]入库吨位汇总!$E$280),""))</f>
        <v/>
      </c>
      <c r="F281" s="41" t="str">
        <f aca="false">IF($V$4=0,IF($N281="","",$N281),IFERROR(IF([1]入库吨位汇总!$K$280=0,"",[1]入库吨位汇总!$K$280),""))</f>
        <v/>
      </c>
      <c r="G281" s="52" t="str">
        <f aca="false">IF($V$4=0,IF($O281="","",$O281),IFERROR(IF([1]入库吨位汇总!$L$280=0,"",[1]入库吨位汇总!$L$280),""))</f>
        <v/>
      </c>
      <c r="H281" s="41" t="str">
        <f aca="false">IF($V$4=0,IF($P281="","",$P281),IFERROR(IF([1]入库吨位汇总!$H$280=0,"",[1]入库吨位汇总!$H$280),""))</f>
        <v/>
      </c>
      <c r="I281" s="41" t="str">
        <f aca="false">IF($V$4=0,IF($Q281="","",$Q281),IFERROR(IF([1]入库吨位汇总!$I$280=0,"",[1]入库吨位汇总!$I$280),""))</f>
        <v/>
      </c>
      <c r="J281" s="10"/>
      <c r="K281" s="10"/>
      <c r="L281" s="53"/>
      <c r="M281" s="53"/>
      <c r="N281" s="54"/>
      <c r="O281" s="54"/>
      <c r="P281" s="54"/>
      <c r="Q281" s="54"/>
      <c r="R281" s="55" t="n">
        <f aca="false">IF(AND($B281&lt;&gt;"",$C281&lt;&gt;""),1,0)</f>
        <v>0</v>
      </c>
      <c r="S281" s="55" t="n">
        <f aca="false">N(S280)+$R281</f>
        <v>22</v>
      </c>
    </row>
    <row r="282" customFormat="false" ht="13.5" hidden="false" customHeight="false" outlineLevel="0" collapsed="false">
      <c r="A282" s="9" t="n">
        <v>281</v>
      </c>
      <c r="B282" s="39" t="str">
        <f aca="false">IF($V$4=0,IF($J282="","",$J282),IFERROR(IF([1]入库吨位汇总!$B$281=0,"",[1]入库吨位汇总!$B$281),""))</f>
        <v/>
      </c>
      <c r="C282" s="39" t="str">
        <f aca="false">IF($V$4=0,IF($K282="","",$K282),IFERROR(IF([1]入库吨位汇总!$C$281=0,"",[1]入库吨位汇总!$C$281),""))</f>
        <v/>
      </c>
      <c r="D282" s="51" t="str">
        <f aca="false">IF($V$4=0,IF($L282="","",$L282),IFERROR(IF([1]入库吨位汇总!$D$281=0,"",[1]入库吨位汇总!$D$281),""))</f>
        <v/>
      </c>
      <c r="E282" s="51" t="str">
        <f aca="false">IF($V$4=0,IF($M282="","",$M282),IFERROR(IF([1]入库吨位汇总!$E$281=0,"",[1]入库吨位汇总!$E$281),""))</f>
        <v/>
      </c>
      <c r="F282" s="41" t="str">
        <f aca="false">IF($V$4=0,IF($N282="","",$N282),IFERROR(IF([1]入库吨位汇总!$K$281=0,"",[1]入库吨位汇总!$K$281),""))</f>
        <v/>
      </c>
      <c r="G282" s="52" t="str">
        <f aca="false">IF($V$4=0,IF($O282="","",$O282),IFERROR(IF([1]入库吨位汇总!$L$281=0,"",[1]入库吨位汇总!$L$281),""))</f>
        <v/>
      </c>
      <c r="H282" s="41" t="str">
        <f aca="false">IF($V$4=0,IF($P282="","",$P282),IFERROR(IF([1]入库吨位汇总!$H$281=0,"",[1]入库吨位汇总!$H$281),""))</f>
        <v/>
      </c>
      <c r="I282" s="41" t="str">
        <f aca="false">IF($V$4=0,IF($Q282="","",$Q282),IFERROR(IF([1]入库吨位汇总!$I$281=0,"",[1]入库吨位汇总!$I$281),""))</f>
        <v/>
      </c>
      <c r="J282" s="10"/>
      <c r="K282" s="10"/>
      <c r="L282" s="53"/>
      <c r="M282" s="53"/>
      <c r="N282" s="54"/>
      <c r="O282" s="54"/>
      <c r="P282" s="54"/>
      <c r="Q282" s="54"/>
      <c r="R282" s="55" t="n">
        <f aca="false">IF(AND($B282&lt;&gt;"",$C282&lt;&gt;""),1,0)</f>
        <v>0</v>
      </c>
      <c r="S282" s="55" t="n">
        <f aca="false">N(S281)+$R282</f>
        <v>22</v>
      </c>
    </row>
    <row r="283" customFormat="false" ht="13.5" hidden="false" customHeight="false" outlineLevel="0" collapsed="false">
      <c r="A283" s="9" t="n">
        <v>282</v>
      </c>
      <c r="B283" s="39" t="str">
        <f aca="false">IF($V$4=0,IF($J283="","",$J283),IFERROR(IF([1]入库吨位汇总!$B$282=0,"",[1]入库吨位汇总!$B$282),""))</f>
        <v/>
      </c>
      <c r="C283" s="39" t="str">
        <f aca="false">IF($V$4=0,IF($K283="","",$K283),IFERROR(IF([1]入库吨位汇总!$C$282=0,"",[1]入库吨位汇总!$C$282),""))</f>
        <v/>
      </c>
      <c r="D283" s="51" t="str">
        <f aca="false">IF($V$4=0,IF($L283="","",$L283),IFERROR(IF([1]入库吨位汇总!$D$282=0,"",[1]入库吨位汇总!$D$282),""))</f>
        <v/>
      </c>
      <c r="E283" s="51" t="str">
        <f aca="false">IF($V$4=0,IF($M283="","",$M283),IFERROR(IF([1]入库吨位汇总!$E$282=0,"",[1]入库吨位汇总!$E$282),""))</f>
        <v/>
      </c>
      <c r="F283" s="41" t="str">
        <f aca="false">IF($V$4=0,IF($N283="","",$N283),IFERROR(IF([1]入库吨位汇总!$K$282=0,"",[1]入库吨位汇总!$K$282),""))</f>
        <v/>
      </c>
      <c r="G283" s="52" t="str">
        <f aca="false">IF($V$4=0,IF($O283="","",$O283),IFERROR(IF([1]入库吨位汇总!$L$282=0,"",[1]入库吨位汇总!$L$282),""))</f>
        <v/>
      </c>
      <c r="H283" s="41" t="str">
        <f aca="false">IF($V$4=0,IF($P283="","",$P283),IFERROR(IF([1]入库吨位汇总!$H$282=0,"",[1]入库吨位汇总!$H$282),""))</f>
        <v/>
      </c>
      <c r="I283" s="41" t="str">
        <f aca="false">IF($V$4=0,IF($Q283="","",$Q283),IFERROR(IF([1]入库吨位汇总!$I$282=0,"",[1]入库吨位汇总!$I$282),""))</f>
        <v/>
      </c>
      <c r="J283" s="10"/>
      <c r="K283" s="10"/>
      <c r="L283" s="53"/>
      <c r="M283" s="53"/>
      <c r="N283" s="54"/>
      <c r="O283" s="54"/>
      <c r="P283" s="54"/>
      <c r="Q283" s="54"/>
      <c r="R283" s="55" t="n">
        <f aca="false">IF(AND($B283&lt;&gt;"",$C283&lt;&gt;""),1,0)</f>
        <v>0</v>
      </c>
      <c r="S283" s="55" t="n">
        <f aca="false">N(S282)+$R283</f>
        <v>22</v>
      </c>
    </row>
    <row r="284" customFormat="false" ht="13.5" hidden="false" customHeight="false" outlineLevel="0" collapsed="false">
      <c r="A284" s="9" t="n">
        <v>283</v>
      </c>
      <c r="B284" s="39" t="str">
        <f aca="false">IF($V$4=0,IF($J284="","",$J284),IFERROR(IF([1]入库吨位汇总!$B$283=0,"",[1]入库吨位汇总!$B$283),""))</f>
        <v/>
      </c>
      <c r="C284" s="39" t="str">
        <f aca="false">IF($V$4=0,IF($K284="","",$K284),IFERROR(IF([1]入库吨位汇总!$C$283=0,"",[1]入库吨位汇总!$C$283),""))</f>
        <v/>
      </c>
      <c r="D284" s="51" t="str">
        <f aca="false">IF($V$4=0,IF($L284="","",$L284),IFERROR(IF([1]入库吨位汇总!$D$283=0,"",[1]入库吨位汇总!$D$283),""))</f>
        <v/>
      </c>
      <c r="E284" s="51" t="str">
        <f aca="false">IF($V$4=0,IF($M284="","",$M284),IFERROR(IF([1]入库吨位汇总!$E$283=0,"",[1]入库吨位汇总!$E$283),""))</f>
        <v/>
      </c>
      <c r="F284" s="41" t="str">
        <f aca="false">IF($V$4=0,IF($N284="","",$N284),IFERROR(IF([1]入库吨位汇总!$K$283=0,"",[1]入库吨位汇总!$K$283),""))</f>
        <v/>
      </c>
      <c r="G284" s="52" t="str">
        <f aca="false">IF($V$4=0,IF($O284="","",$O284),IFERROR(IF([1]入库吨位汇总!$L$283=0,"",[1]入库吨位汇总!$L$283),""))</f>
        <v/>
      </c>
      <c r="H284" s="41" t="str">
        <f aca="false">IF($V$4=0,IF($P284="","",$P284),IFERROR(IF([1]入库吨位汇总!$H$283=0,"",[1]入库吨位汇总!$H$283),""))</f>
        <v/>
      </c>
      <c r="I284" s="41" t="str">
        <f aca="false">IF($V$4=0,IF($Q284="","",$Q284),IFERROR(IF([1]入库吨位汇总!$I$283=0,"",[1]入库吨位汇总!$I$283),""))</f>
        <v/>
      </c>
      <c r="J284" s="10"/>
      <c r="K284" s="10"/>
      <c r="L284" s="53"/>
      <c r="M284" s="53"/>
      <c r="N284" s="54"/>
      <c r="O284" s="54"/>
      <c r="P284" s="54"/>
      <c r="Q284" s="54"/>
      <c r="R284" s="55" t="n">
        <f aca="false">IF(AND($B284&lt;&gt;"",$C284&lt;&gt;""),1,0)</f>
        <v>0</v>
      </c>
      <c r="S284" s="55" t="n">
        <f aca="false">N(S283)+$R284</f>
        <v>22</v>
      </c>
    </row>
    <row r="285" customFormat="false" ht="13.5" hidden="false" customHeight="false" outlineLevel="0" collapsed="false">
      <c r="A285" s="9" t="n">
        <v>284</v>
      </c>
      <c r="B285" s="39" t="str">
        <f aca="false">IF($V$4=0,IF($J285="","",$J285),IFERROR(IF([1]入库吨位汇总!$B$284=0,"",[1]入库吨位汇总!$B$284),""))</f>
        <v/>
      </c>
      <c r="C285" s="39" t="str">
        <f aca="false">IF($V$4=0,IF($K285="","",$K285),IFERROR(IF([1]入库吨位汇总!$C$284=0,"",[1]入库吨位汇总!$C$284),""))</f>
        <v/>
      </c>
      <c r="D285" s="51" t="str">
        <f aca="false">IF($V$4=0,IF($L285="","",$L285),IFERROR(IF([1]入库吨位汇总!$D$284=0,"",[1]入库吨位汇总!$D$284),""))</f>
        <v/>
      </c>
      <c r="E285" s="51" t="str">
        <f aca="false">IF($V$4=0,IF($M285="","",$M285),IFERROR(IF([1]入库吨位汇总!$E$284=0,"",[1]入库吨位汇总!$E$284),""))</f>
        <v/>
      </c>
      <c r="F285" s="41" t="str">
        <f aca="false">IF($V$4=0,IF($N285="","",$N285),IFERROR(IF([1]入库吨位汇总!$K$284=0,"",[1]入库吨位汇总!$K$284),""))</f>
        <v/>
      </c>
      <c r="G285" s="52" t="str">
        <f aca="false">IF($V$4=0,IF($O285="","",$O285),IFERROR(IF([1]入库吨位汇总!$L$284=0,"",[1]入库吨位汇总!$L$284),""))</f>
        <v/>
      </c>
      <c r="H285" s="41" t="str">
        <f aca="false">IF($V$4=0,IF($P285="","",$P285),IFERROR(IF([1]入库吨位汇总!$H$284=0,"",[1]入库吨位汇总!$H$284),""))</f>
        <v/>
      </c>
      <c r="I285" s="41" t="str">
        <f aca="false">IF($V$4=0,IF($Q285="","",$Q285),IFERROR(IF([1]入库吨位汇总!$I$284=0,"",[1]入库吨位汇总!$I$284),""))</f>
        <v/>
      </c>
      <c r="J285" s="10"/>
      <c r="K285" s="10"/>
      <c r="L285" s="53"/>
      <c r="M285" s="53"/>
      <c r="N285" s="54"/>
      <c r="O285" s="54"/>
      <c r="P285" s="54"/>
      <c r="Q285" s="54"/>
      <c r="R285" s="55" t="n">
        <f aca="false">IF(AND($B285&lt;&gt;"",$C285&lt;&gt;""),1,0)</f>
        <v>0</v>
      </c>
      <c r="S285" s="55" t="n">
        <f aca="false">N(S284)+$R285</f>
        <v>22</v>
      </c>
    </row>
    <row r="286" customFormat="false" ht="13.5" hidden="false" customHeight="false" outlineLevel="0" collapsed="false">
      <c r="A286" s="9" t="n">
        <v>285</v>
      </c>
      <c r="B286" s="39" t="str">
        <f aca="false">IF($V$4=0,IF($J286="","",$J286),IFERROR(IF([1]入库吨位汇总!$B$285=0,"",[1]入库吨位汇总!$B$285),""))</f>
        <v/>
      </c>
      <c r="C286" s="39" t="str">
        <f aca="false">IF($V$4=0,IF($K286="","",$K286),IFERROR(IF([1]入库吨位汇总!$C$285=0,"",[1]入库吨位汇总!$C$285),""))</f>
        <v/>
      </c>
      <c r="D286" s="51" t="str">
        <f aca="false">IF($V$4=0,IF($L286="","",$L286),IFERROR(IF([1]入库吨位汇总!$D$285=0,"",[1]入库吨位汇总!$D$285),""))</f>
        <v/>
      </c>
      <c r="E286" s="51" t="str">
        <f aca="false">IF($V$4=0,IF($M286="","",$M286),IFERROR(IF([1]入库吨位汇总!$E$285=0,"",[1]入库吨位汇总!$E$285),""))</f>
        <v/>
      </c>
      <c r="F286" s="41" t="str">
        <f aca="false">IF($V$4=0,IF($N286="","",$N286),IFERROR(IF([1]入库吨位汇总!$K$285=0,"",[1]入库吨位汇总!$K$285),""))</f>
        <v/>
      </c>
      <c r="G286" s="52" t="str">
        <f aca="false">IF($V$4=0,IF($O286="","",$O286),IFERROR(IF([1]入库吨位汇总!$L$285=0,"",[1]入库吨位汇总!$L$285),""))</f>
        <v/>
      </c>
      <c r="H286" s="41" t="str">
        <f aca="false">IF($V$4=0,IF($P286="","",$P286),IFERROR(IF([1]入库吨位汇总!$H$285=0,"",[1]入库吨位汇总!$H$285),""))</f>
        <v/>
      </c>
      <c r="I286" s="41" t="str">
        <f aca="false">IF($V$4=0,IF($Q286="","",$Q286),IFERROR(IF([1]入库吨位汇总!$I$285=0,"",[1]入库吨位汇总!$I$285),""))</f>
        <v/>
      </c>
      <c r="J286" s="10"/>
      <c r="K286" s="10"/>
      <c r="L286" s="53"/>
      <c r="M286" s="53"/>
      <c r="N286" s="54"/>
      <c r="O286" s="54"/>
      <c r="P286" s="54"/>
      <c r="Q286" s="54"/>
      <c r="R286" s="55" t="n">
        <f aca="false">IF(AND($B286&lt;&gt;"",$C286&lt;&gt;""),1,0)</f>
        <v>0</v>
      </c>
      <c r="S286" s="55" t="n">
        <f aca="false">N(S285)+$R286</f>
        <v>22</v>
      </c>
    </row>
    <row r="287" customFormat="false" ht="13.5" hidden="false" customHeight="false" outlineLevel="0" collapsed="false">
      <c r="A287" s="9" t="n">
        <v>286</v>
      </c>
      <c r="B287" s="39" t="str">
        <f aca="false">IF($V$4=0,IF($J287="","",$J287),IFERROR(IF([1]入库吨位汇总!$B$286=0,"",[1]入库吨位汇总!$B$286),""))</f>
        <v/>
      </c>
      <c r="C287" s="39" t="str">
        <f aca="false">IF($V$4=0,IF($K287="","",$K287),IFERROR(IF([1]入库吨位汇总!$C$286=0,"",[1]入库吨位汇总!$C$286),""))</f>
        <v/>
      </c>
      <c r="D287" s="51" t="str">
        <f aca="false">IF($V$4=0,IF($L287="","",$L287),IFERROR(IF([1]入库吨位汇总!$D$286=0,"",[1]入库吨位汇总!$D$286),""))</f>
        <v/>
      </c>
      <c r="E287" s="51" t="str">
        <f aca="false">IF($V$4=0,IF($M287="","",$M287),IFERROR(IF([1]入库吨位汇总!$E$286=0,"",[1]入库吨位汇总!$E$286),""))</f>
        <v/>
      </c>
      <c r="F287" s="41" t="str">
        <f aca="false">IF($V$4=0,IF($N287="","",$N287),IFERROR(IF([1]入库吨位汇总!$K$286=0,"",[1]入库吨位汇总!$K$286),""))</f>
        <v/>
      </c>
      <c r="G287" s="52" t="str">
        <f aca="false">IF($V$4=0,IF($O287="","",$O287),IFERROR(IF([1]入库吨位汇总!$L$286=0,"",[1]入库吨位汇总!$L$286),""))</f>
        <v/>
      </c>
      <c r="H287" s="41" t="str">
        <f aca="false">IF($V$4=0,IF($P287="","",$P287),IFERROR(IF([1]入库吨位汇总!$H$286=0,"",[1]入库吨位汇总!$H$286),""))</f>
        <v/>
      </c>
      <c r="I287" s="41" t="str">
        <f aca="false">IF($V$4=0,IF($Q287="","",$Q287),IFERROR(IF([1]入库吨位汇总!$I$286=0,"",[1]入库吨位汇总!$I$286),""))</f>
        <v/>
      </c>
      <c r="J287" s="10"/>
      <c r="K287" s="10"/>
      <c r="L287" s="53"/>
      <c r="M287" s="53"/>
      <c r="N287" s="54"/>
      <c r="O287" s="54"/>
      <c r="P287" s="54"/>
      <c r="Q287" s="54"/>
      <c r="R287" s="55" t="n">
        <f aca="false">IF(AND($B287&lt;&gt;"",$C287&lt;&gt;""),1,0)</f>
        <v>0</v>
      </c>
      <c r="S287" s="55" t="n">
        <f aca="false">N(S286)+$R287</f>
        <v>22</v>
      </c>
    </row>
    <row r="288" customFormat="false" ht="13.5" hidden="false" customHeight="false" outlineLevel="0" collapsed="false">
      <c r="A288" s="9" t="n">
        <v>287</v>
      </c>
      <c r="B288" s="39" t="str">
        <f aca="false">IF($V$4=0,IF($J288="","",$J288),IFERROR(IF([1]入库吨位汇总!$B$287=0,"",[1]入库吨位汇总!$B$287),""))</f>
        <v/>
      </c>
      <c r="C288" s="39" t="str">
        <f aca="false">IF($V$4=0,IF($K288="","",$K288),IFERROR(IF([1]入库吨位汇总!$C$287=0,"",[1]入库吨位汇总!$C$287),""))</f>
        <v/>
      </c>
      <c r="D288" s="51" t="str">
        <f aca="false">IF($V$4=0,IF($L288="","",$L288),IFERROR(IF([1]入库吨位汇总!$D$287=0,"",[1]入库吨位汇总!$D$287),""))</f>
        <v/>
      </c>
      <c r="E288" s="51" t="str">
        <f aca="false">IF($V$4=0,IF($M288="","",$M288),IFERROR(IF([1]入库吨位汇总!$E$287=0,"",[1]入库吨位汇总!$E$287),""))</f>
        <v/>
      </c>
      <c r="F288" s="41" t="str">
        <f aca="false">IF($V$4=0,IF($N288="","",$N288),IFERROR(IF([1]入库吨位汇总!$K$287=0,"",[1]入库吨位汇总!$K$287),""))</f>
        <v/>
      </c>
      <c r="G288" s="52" t="str">
        <f aca="false">IF($V$4=0,IF($O288="","",$O288),IFERROR(IF([1]入库吨位汇总!$L$287=0,"",[1]入库吨位汇总!$L$287),""))</f>
        <v/>
      </c>
      <c r="H288" s="41" t="str">
        <f aca="false">IF($V$4=0,IF($P288="","",$P288),IFERROR(IF([1]入库吨位汇总!$H$287=0,"",[1]入库吨位汇总!$H$287),""))</f>
        <v/>
      </c>
      <c r="I288" s="41" t="str">
        <f aca="false">IF($V$4=0,IF($Q288="","",$Q288),IFERROR(IF([1]入库吨位汇总!$I$287=0,"",[1]入库吨位汇总!$I$287),""))</f>
        <v/>
      </c>
      <c r="J288" s="10"/>
      <c r="K288" s="10"/>
      <c r="L288" s="53"/>
      <c r="M288" s="53"/>
      <c r="N288" s="54"/>
      <c r="O288" s="54"/>
      <c r="P288" s="54"/>
      <c r="Q288" s="54"/>
      <c r="R288" s="55" t="n">
        <f aca="false">IF(AND($B288&lt;&gt;"",$C288&lt;&gt;""),1,0)</f>
        <v>0</v>
      </c>
      <c r="S288" s="55" t="n">
        <f aca="false">N(S287)+$R288</f>
        <v>22</v>
      </c>
    </row>
    <row r="289" customFormat="false" ht="13.5" hidden="false" customHeight="false" outlineLevel="0" collapsed="false">
      <c r="A289" s="9" t="n">
        <v>288</v>
      </c>
      <c r="B289" s="39" t="str">
        <f aca="false">IF($V$4=0,IF($J289="","",$J289),IFERROR(IF([1]入库吨位汇总!$B$288=0,"",[1]入库吨位汇总!$B$288),""))</f>
        <v/>
      </c>
      <c r="C289" s="39" t="str">
        <f aca="false">IF($V$4=0,IF($K289="","",$K289),IFERROR(IF([1]入库吨位汇总!$C$288=0,"",[1]入库吨位汇总!$C$288),""))</f>
        <v/>
      </c>
      <c r="D289" s="51" t="str">
        <f aca="false">IF($V$4=0,IF($L289="","",$L289),IFERROR(IF([1]入库吨位汇总!$D$288=0,"",[1]入库吨位汇总!$D$288),""))</f>
        <v/>
      </c>
      <c r="E289" s="51" t="str">
        <f aca="false">IF($V$4=0,IF($M289="","",$M289),IFERROR(IF([1]入库吨位汇总!$E$288=0,"",[1]入库吨位汇总!$E$288),""))</f>
        <v/>
      </c>
      <c r="F289" s="41" t="str">
        <f aca="false">IF($V$4=0,IF($N289="","",$N289),IFERROR(IF([1]入库吨位汇总!$K$288=0,"",[1]入库吨位汇总!$K$288),""))</f>
        <v/>
      </c>
      <c r="G289" s="52" t="str">
        <f aca="false">IF($V$4=0,IF($O289="","",$O289),IFERROR(IF([1]入库吨位汇总!$L$288=0,"",[1]入库吨位汇总!$L$288),""))</f>
        <v/>
      </c>
      <c r="H289" s="41" t="str">
        <f aca="false">IF($V$4=0,IF($P289="","",$P289),IFERROR(IF([1]入库吨位汇总!$H$288=0,"",[1]入库吨位汇总!$H$288),""))</f>
        <v/>
      </c>
      <c r="I289" s="41" t="str">
        <f aca="false">IF($V$4=0,IF($Q289="","",$Q289),IFERROR(IF([1]入库吨位汇总!$I$288=0,"",[1]入库吨位汇总!$I$288),""))</f>
        <v/>
      </c>
      <c r="J289" s="10"/>
      <c r="K289" s="10"/>
      <c r="L289" s="53"/>
      <c r="M289" s="53"/>
      <c r="N289" s="54"/>
      <c r="O289" s="54"/>
      <c r="P289" s="54"/>
      <c r="Q289" s="54"/>
      <c r="R289" s="55" t="n">
        <f aca="false">IF(AND($B289&lt;&gt;"",$C289&lt;&gt;""),1,0)</f>
        <v>0</v>
      </c>
      <c r="S289" s="55" t="n">
        <f aca="false">N(S288)+$R289</f>
        <v>22</v>
      </c>
    </row>
    <row r="290" customFormat="false" ht="13.5" hidden="false" customHeight="false" outlineLevel="0" collapsed="false">
      <c r="A290" s="9" t="n">
        <v>289</v>
      </c>
      <c r="B290" s="39" t="str">
        <f aca="false">IF($V$4=0,IF($J290="","",$J290),IFERROR(IF([1]入库吨位汇总!$B$289=0,"",[1]入库吨位汇总!$B$289),""))</f>
        <v/>
      </c>
      <c r="C290" s="39" t="str">
        <f aca="false">IF($V$4=0,IF($K290="","",$K290),IFERROR(IF([1]入库吨位汇总!$C$289=0,"",[1]入库吨位汇总!$C$289),""))</f>
        <v/>
      </c>
      <c r="D290" s="51" t="str">
        <f aca="false">IF($V$4=0,IF($L290="","",$L290),IFERROR(IF([1]入库吨位汇总!$D$289=0,"",[1]入库吨位汇总!$D$289),""))</f>
        <v/>
      </c>
      <c r="E290" s="51" t="str">
        <f aca="false">IF($V$4=0,IF($M290="","",$M290),IFERROR(IF([1]入库吨位汇总!$E$289=0,"",[1]入库吨位汇总!$E$289),""))</f>
        <v/>
      </c>
      <c r="F290" s="41" t="str">
        <f aca="false">IF($V$4=0,IF($N290="","",$N290),IFERROR(IF([1]入库吨位汇总!$K$289=0,"",[1]入库吨位汇总!$K$289),""))</f>
        <v/>
      </c>
      <c r="G290" s="52" t="str">
        <f aca="false">IF($V$4=0,IF($O290="","",$O290),IFERROR(IF([1]入库吨位汇总!$L$289=0,"",[1]入库吨位汇总!$L$289),""))</f>
        <v/>
      </c>
      <c r="H290" s="41" t="str">
        <f aca="false">IF($V$4=0,IF($P290="","",$P290),IFERROR(IF([1]入库吨位汇总!$H$289=0,"",[1]入库吨位汇总!$H$289),""))</f>
        <v/>
      </c>
      <c r="I290" s="41" t="str">
        <f aca="false">IF($V$4=0,IF($Q290="","",$Q290),IFERROR(IF([1]入库吨位汇总!$I$289=0,"",[1]入库吨位汇总!$I$289),""))</f>
        <v/>
      </c>
      <c r="J290" s="10"/>
      <c r="K290" s="10"/>
      <c r="L290" s="53"/>
      <c r="M290" s="53"/>
      <c r="N290" s="54"/>
      <c r="O290" s="54"/>
      <c r="P290" s="54"/>
      <c r="Q290" s="54"/>
      <c r="R290" s="55" t="n">
        <f aca="false">IF(AND($B290&lt;&gt;"",$C290&lt;&gt;""),1,0)</f>
        <v>0</v>
      </c>
      <c r="S290" s="55" t="n">
        <f aca="false">N(S289)+$R290</f>
        <v>22</v>
      </c>
    </row>
    <row r="291" customFormat="false" ht="13.5" hidden="false" customHeight="false" outlineLevel="0" collapsed="false">
      <c r="A291" s="9" t="n">
        <v>290</v>
      </c>
      <c r="B291" s="39" t="str">
        <f aca="false">IF($V$4=0,IF($J291="","",$J291),IFERROR(IF([1]入库吨位汇总!$B$290=0,"",[1]入库吨位汇总!$B$290),""))</f>
        <v/>
      </c>
      <c r="C291" s="39" t="str">
        <f aca="false">IF($V$4=0,IF($K291="","",$K291),IFERROR(IF([1]入库吨位汇总!$C$290=0,"",[1]入库吨位汇总!$C$290),""))</f>
        <v/>
      </c>
      <c r="D291" s="51" t="str">
        <f aca="false">IF($V$4=0,IF($L291="","",$L291),IFERROR(IF([1]入库吨位汇总!$D$290=0,"",[1]入库吨位汇总!$D$290),""))</f>
        <v/>
      </c>
      <c r="E291" s="51" t="str">
        <f aca="false">IF($V$4=0,IF($M291="","",$M291),IFERROR(IF([1]入库吨位汇总!$E$290=0,"",[1]入库吨位汇总!$E$290),""))</f>
        <v/>
      </c>
      <c r="F291" s="41" t="str">
        <f aca="false">IF($V$4=0,IF($N291="","",$N291),IFERROR(IF([1]入库吨位汇总!$K$290=0,"",[1]入库吨位汇总!$K$290),""))</f>
        <v/>
      </c>
      <c r="G291" s="52" t="str">
        <f aca="false">IF($V$4=0,IF($O291="","",$O291),IFERROR(IF([1]入库吨位汇总!$L$290=0,"",[1]入库吨位汇总!$L$290),""))</f>
        <v/>
      </c>
      <c r="H291" s="41" t="str">
        <f aca="false">IF($V$4=0,IF($P291="","",$P291),IFERROR(IF([1]入库吨位汇总!$H$290=0,"",[1]入库吨位汇总!$H$290),""))</f>
        <v/>
      </c>
      <c r="I291" s="41" t="str">
        <f aca="false">IF($V$4=0,IF($Q291="","",$Q291),IFERROR(IF([1]入库吨位汇总!$I$290=0,"",[1]入库吨位汇总!$I$290),""))</f>
        <v/>
      </c>
      <c r="J291" s="10"/>
      <c r="K291" s="10"/>
      <c r="L291" s="53"/>
      <c r="M291" s="53"/>
      <c r="N291" s="54"/>
      <c r="O291" s="54"/>
      <c r="P291" s="54"/>
      <c r="Q291" s="54"/>
      <c r="R291" s="55" t="n">
        <f aca="false">IF(AND($B291&lt;&gt;"",$C291&lt;&gt;""),1,0)</f>
        <v>0</v>
      </c>
      <c r="S291" s="55" t="n">
        <f aca="false">N(S290)+$R291</f>
        <v>22</v>
      </c>
    </row>
    <row r="292" customFormat="false" ht="13.5" hidden="false" customHeight="false" outlineLevel="0" collapsed="false">
      <c r="A292" s="9" t="n">
        <v>291</v>
      </c>
      <c r="B292" s="39" t="str">
        <f aca="false">IF($V$4=0,IF($J292="","",$J292),IFERROR(IF([1]入库吨位汇总!$B$291=0,"",[1]入库吨位汇总!$B$291),""))</f>
        <v/>
      </c>
      <c r="C292" s="39" t="str">
        <f aca="false">IF($V$4=0,IF($K292="","",$K292),IFERROR(IF([1]入库吨位汇总!$C$291=0,"",[1]入库吨位汇总!$C$291),""))</f>
        <v/>
      </c>
      <c r="D292" s="51" t="str">
        <f aca="false">IF($V$4=0,IF($L292="","",$L292),IFERROR(IF([1]入库吨位汇总!$D$291=0,"",[1]入库吨位汇总!$D$291),""))</f>
        <v/>
      </c>
      <c r="E292" s="51" t="str">
        <f aca="false">IF($V$4=0,IF($M292="","",$M292),IFERROR(IF([1]入库吨位汇总!$E$291=0,"",[1]入库吨位汇总!$E$291),""))</f>
        <v/>
      </c>
      <c r="F292" s="41" t="str">
        <f aca="false">IF($V$4=0,IF($N292="","",$N292),IFERROR(IF([1]入库吨位汇总!$K$291=0,"",[1]入库吨位汇总!$K$291),""))</f>
        <v/>
      </c>
      <c r="G292" s="52" t="str">
        <f aca="false">IF($V$4=0,IF($O292="","",$O292),IFERROR(IF([1]入库吨位汇总!$L$291=0,"",[1]入库吨位汇总!$L$291),""))</f>
        <v/>
      </c>
      <c r="H292" s="41" t="str">
        <f aca="false">IF($V$4=0,IF($P292="","",$P292),IFERROR(IF([1]入库吨位汇总!$H$291=0,"",[1]入库吨位汇总!$H$291),""))</f>
        <v/>
      </c>
      <c r="I292" s="41" t="str">
        <f aca="false">IF($V$4=0,IF($Q292="","",$Q292),IFERROR(IF([1]入库吨位汇总!$I$291=0,"",[1]入库吨位汇总!$I$291),""))</f>
        <v/>
      </c>
      <c r="J292" s="10"/>
      <c r="K292" s="10"/>
      <c r="L292" s="53"/>
      <c r="M292" s="53"/>
      <c r="N292" s="54"/>
      <c r="O292" s="54"/>
      <c r="P292" s="54"/>
      <c r="Q292" s="54"/>
      <c r="R292" s="55" t="n">
        <f aca="false">IF(AND($B292&lt;&gt;"",$C292&lt;&gt;""),1,0)</f>
        <v>0</v>
      </c>
      <c r="S292" s="55" t="n">
        <f aca="false">N(S291)+$R292</f>
        <v>22</v>
      </c>
    </row>
    <row r="293" customFormat="false" ht="13.5" hidden="false" customHeight="false" outlineLevel="0" collapsed="false">
      <c r="A293" s="9" t="n">
        <v>292</v>
      </c>
      <c r="B293" s="39" t="str">
        <f aca="false">IF($V$4=0,IF($J293="","",$J293),IFERROR(IF([1]入库吨位汇总!$B$292=0,"",[1]入库吨位汇总!$B$292),""))</f>
        <v/>
      </c>
      <c r="C293" s="39" t="str">
        <f aca="false">IF($V$4=0,IF($K293="","",$K293),IFERROR(IF([1]入库吨位汇总!$C$292=0,"",[1]入库吨位汇总!$C$292),""))</f>
        <v/>
      </c>
      <c r="D293" s="51" t="str">
        <f aca="false">IF($V$4=0,IF($L293="","",$L293),IFERROR(IF([1]入库吨位汇总!$D$292=0,"",[1]入库吨位汇总!$D$292),""))</f>
        <v/>
      </c>
      <c r="E293" s="51" t="str">
        <f aca="false">IF($V$4=0,IF($M293="","",$M293),IFERROR(IF([1]入库吨位汇总!$E$292=0,"",[1]入库吨位汇总!$E$292),""))</f>
        <v/>
      </c>
      <c r="F293" s="41" t="str">
        <f aca="false">IF($V$4=0,IF($N293="","",$N293),IFERROR(IF([1]入库吨位汇总!$K$292=0,"",[1]入库吨位汇总!$K$292),""))</f>
        <v/>
      </c>
      <c r="G293" s="52" t="str">
        <f aca="false">IF($V$4=0,IF($O293="","",$O293),IFERROR(IF([1]入库吨位汇总!$L$292=0,"",[1]入库吨位汇总!$L$292),""))</f>
        <v/>
      </c>
      <c r="H293" s="41" t="str">
        <f aca="false">IF($V$4=0,IF($P293="","",$P293),IFERROR(IF([1]入库吨位汇总!$H$292=0,"",[1]入库吨位汇总!$H$292),""))</f>
        <v/>
      </c>
      <c r="I293" s="41" t="str">
        <f aca="false">IF($V$4=0,IF($Q293="","",$Q293),IFERROR(IF([1]入库吨位汇总!$I$292=0,"",[1]入库吨位汇总!$I$292),""))</f>
        <v/>
      </c>
      <c r="J293" s="10"/>
      <c r="K293" s="10"/>
      <c r="L293" s="53"/>
      <c r="M293" s="53"/>
      <c r="N293" s="54"/>
      <c r="O293" s="54"/>
      <c r="P293" s="54"/>
      <c r="Q293" s="54"/>
      <c r="R293" s="55" t="n">
        <f aca="false">IF(AND($B293&lt;&gt;"",$C293&lt;&gt;""),1,0)</f>
        <v>0</v>
      </c>
      <c r="S293" s="55" t="n">
        <f aca="false">N(S292)+$R293</f>
        <v>22</v>
      </c>
    </row>
    <row r="294" customFormat="false" ht="13.5" hidden="false" customHeight="false" outlineLevel="0" collapsed="false">
      <c r="A294" s="9" t="n">
        <v>293</v>
      </c>
      <c r="B294" s="39" t="str">
        <f aca="false">IF($V$4=0,IF($J294="","",$J294),IFERROR(IF([1]入库吨位汇总!$B$293=0,"",[1]入库吨位汇总!$B$293),""))</f>
        <v/>
      </c>
      <c r="C294" s="39" t="str">
        <f aca="false">IF($V$4=0,IF($K294="","",$K294),IFERROR(IF([1]入库吨位汇总!$C$293=0,"",[1]入库吨位汇总!$C$293),""))</f>
        <v/>
      </c>
      <c r="D294" s="51" t="str">
        <f aca="false">IF($V$4=0,IF($L294="","",$L294),IFERROR(IF([1]入库吨位汇总!$D$293=0,"",[1]入库吨位汇总!$D$293),""))</f>
        <v/>
      </c>
      <c r="E294" s="51" t="str">
        <f aca="false">IF($V$4=0,IF($M294="","",$M294),IFERROR(IF([1]入库吨位汇总!$E$293=0,"",[1]入库吨位汇总!$E$293),""))</f>
        <v/>
      </c>
      <c r="F294" s="41" t="str">
        <f aca="false">IF($V$4=0,IF($N294="","",$N294),IFERROR(IF([1]入库吨位汇总!$K$293=0,"",[1]入库吨位汇总!$K$293),""))</f>
        <v/>
      </c>
      <c r="G294" s="52" t="str">
        <f aca="false">IF($V$4=0,IF($O294="","",$O294),IFERROR(IF([1]入库吨位汇总!$L$293=0,"",[1]入库吨位汇总!$L$293),""))</f>
        <v/>
      </c>
      <c r="H294" s="41" t="str">
        <f aca="false">IF($V$4=0,IF($P294="","",$P294),IFERROR(IF([1]入库吨位汇总!$H$293=0,"",[1]入库吨位汇总!$H$293),""))</f>
        <v/>
      </c>
      <c r="I294" s="41" t="str">
        <f aca="false">IF($V$4=0,IF($Q294="","",$Q294),IFERROR(IF([1]入库吨位汇总!$I$293=0,"",[1]入库吨位汇总!$I$293),""))</f>
        <v/>
      </c>
      <c r="J294" s="10"/>
      <c r="K294" s="10"/>
      <c r="L294" s="53"/>
      <c r="M294" s="53"/>
      <c r="N294" s="54"/>
      <c r="O294" s="54"/>
      <c r="P294" s="54"/>
      <c r="Q294" s="54"/>
      <c r="R294" s="55" t="n">
        <f aca="false">IF(AND($B294&lt;&gt;"",$C294&lt;&gt;""),1,0)</f>
        <v>0</v>
      </c>
      <c r="S294" s="55" t="n">
        <f aca="false">N(S293)+$R294</f>
        <v>22</v>
      </c>
    </row>
    <row r="295" customFormat="false" ht="13.5" hidden="false" customHeight="false" outlineLevel="0" collapsed="false">
      <c r="A295" s="9" t="n">
        <v>294</v>
      </c>
      <c r="B295" s="39" t="str">
        <f aca="false">IF($V$4=0,IF($J295="","",$J295),IFERROR(IF([1]入库吨位汇总!$B$294=0,"",[1]入库吨位汇总!$B$294),""))</f>
        <v/>
      </c>
      <c r="C295" s="39" t="str">
        <f aca="false">IF($V$4=0,IF($K295="","",$K295),IFERROR(IF([1]入库吨位汇总!$C$294=0,"",[1]入库吨位汇总!$C$294),""))</f>
        <v/>
      </c>
      <c r="D295" s="51" t="str">
        <f aca="false">IF($V$4=0,IF($L295="","",$L295),IFERROR(IF([1]入库吨位汇总!$D$294=0,"",[1]入库吨位汇总!$D$294),""))</f>
        <v/>
      </c>
      <c r="E295" s="51" t="str">
        <f aca="false">IF($V$4=0,IF($M295="","",$M295),IFERROR(IF([1]入库吨位汇总!$E$294=0,"",[1]入库吨位汇总!$E$294),""))</f>
        <v/>
      </c>
      <c r="F295" s="41" t="str">
        <f aca="false">IF($V$4=0,IF($N295="","",$N295),IFERROR(IF([1]入库吨位汇总!$K$294=0,"",[1]入库吨位汇总!$K$294),""))</f>
        <v/>
      </c>
      <c r="G295" s="52" t="str">
        <f aca="false">IF($V$4=0,IF($O295="","",$O295),IFERROR(IF([1]入库吨位汇总!$L$294=0,"",[1]入库吨位汇总!$L$294),""))</f>
        <v/>
      </c>
      <c r="H295" s="41" t="str">
        <f aca="false">IF($V$4=0,IF($P295="","",$P295),IFERROR(IF([1]入库吨位汇总!$H$294=0,"",[1]入库吨位汇总!$H$294),""))</f>
        <v/>
      </c>
      <c r="I295" s="41" t="str">
        <f aca="false">IF($V$4=0,IF($Q295="","",$Q295),IFERROR(IF([1]入库吨位汇总!$I$294=0,"",[1]入库吨位汇总!$I$294),""))</f>
        <v/>
      </c>
      <c r="J295" s="10"/>
      <c r="K295" s="10"/>
      <c r="L295" s="53"/>
      <c r="M295" s="53"/>
      <c r="N295" s="54"/>
      <c r="O295" s="54"/>
      <c r="P295" s="54"/>
      <c r="Q295" s="54"/>
      <c r="R295" s="55" t="n">
        <f aca="false">IF(AND($B295&lt;&gt;"",$C295&lt;&gt;""),1,0)</f>
        <v>0</v>
      </c>
      <c r="S295" s="55" t="n">
        <f aca="false">N(S294)+$R295</f>
        <v>22</v>
      </c>
    </row>
    <row r="296" customFormat="false" ht="13.5" hidden="false" customHeight="false" outlineLevel="0" collapsed="false">
      <c r="A296" s="9" t="n">
        <v>295</v>
      </c>
      <c r="B296" s="39" t="str">
        <f aca="false">IF($V$4=0,IF($J296="","",$J296),IFERROR(IF([1]入库吨位汇总!$B$295=0,"",[1]入库吨位汇总!$B$295),""))</f>
        <v/>
      </c>
      <c r="C296" s="39" t="str">
        <f aca="false">IF($V$4=0,IF($K296="","",$K296),IFERROR(IF([1]入库吨位汇总!$C$295=0,"",[1]入库吨位汇总!$C$295),""))</f>
        <v/>
      </c>
      <c r="D296" s="51" t="str">
        <f aca="false">IF($V$4=0,IF($L296="","",$L296),IFERROR(IF([1]入库吨位汇总!$D$295=0,"",[1]入库吨位汇总!$D$295),""))</f>
        <v/>
      </c>
      <c r="E296" s="51" t="str">
        <f aca="false">IF($V$4=0,IF($M296="","",$M296),IFERROR(IF([1]入库吨位汇总!$E$295=0,"",[1]入库吨位汇总!$E$295),""))</f>
        <v/>
      </c>
      <c r="F296" s="41" t="str">
        <f aca="false">IF($V$4=0,IF($N296="","",$N296),IFERROR(IF([1]入库吨位汇总!$K$295=0,"",[1]入库吨位汇总!$K$295),""))</f>
        <v/>
      </c>
      <c r="G296" s="52" t="str">
        <f aca="false">IF($V$4=0,IF($O296="","",$O296),IFERROR(IF([1]入库吨位汇总!$L$295=0,"",[1]入库吨位汇总!$L$295),""))</f>
        <v/>
      </c>
      <c r="H296" s="41" t="str">
        <f aca="false">IF($V$4=0,IF($P296="","",$P296),IFERROR(IF([1]入库吨位汇总!$H$295=0,"",[1]入库吨位汇总!$H$295),""))</f>
        <v/>
      </c>
      <c r="I296" s="41" t="str">
        <f aca="false">IF($V$4=0,IF($Q296="","",$Q296),IFERROR(IF([1]入库吨位汇总!$I$295=0,"",[1]入库吨位汇总!$I$295),""))</f>
        <v/>
      </c>
      <c r="J296" s="10"/>
      <c r="K296" s="10"/>
      <c r="L296" s="53"/>
      <c r="M296" s="53"/>
      <c r="N296" s="54"/>
      <c r="O296" s="54"/>
      <c r="P296" s="54"/>
      <c r="Q296" s="54"/>
      <c r="R296" s="55" t="n">
        <f aca="false">IF(AND($B296&lt;&gt;"",$C296&lt;&gt;""),1,0)</f>
        <v>0</v>
      </c>
      <c r="S296" s="55" t="n">
        <f aca="false">N(S295)+$R296</f>
        <v>22</v>
      </c>
    </row>
    <row r="297" customFormat="false" ht="13.5" hidden="false" customHeight="false" outlineLevel="0" collapsed="false">
      <c r="A297" s="9" t="n">
        <v>296</v>
      </c>
      <c r="B297" s="39" t="str">
        <f aca="false">IF($V$4=0,IF($J297="","",$J297),IFERROR(IF([1]入库吨位汇总!$B$296=0,"",[1]入库吨位汇总!$B$296),""))</f>
        <v/>
      </c>
      <c r="C297" s="39" t="str">
        <f aca="false">IF($V$4=0,IF($K297="","",$K297),IFERROR(IF([1]入库吨位汇总!$C$296=0,"",[1]入库吨位汇总!$C$296),""))</f>
        <v/>
      </c>
      <c r="D297" s="51" t="str">
        <f aca="false">IF($V$4=0,IF($L297="","",$L297),IFERROR(IF([1]入库吨位汇总!$D$296=0,"",[1]入库吨位汇总!$D$296),""))</f>
        <v/>
      </c>
      <c r="E297" s="51" t="str">
        <f aca="false">IF($V$4=0,IF($M297="","",$M297),IFERROR(IF([1]入库吨位汇总!$E$296=0,"",[1]入库吨位汇总!$E$296),""))</f>
        <v/>
      </c>
      <c r="F297" s="41" t="str">
        <f aca="false">IF($V$4=0,IF($N297="","",$N297),IFERROR(IF([1]入库吨位汇总!$K$296=0,"",[1]入库吨位汇总!$K$296),""))</f>
        <v/>
      </c>
      <c r="G297" s="52" t="str">
        <f aca="false">IF($V$4=0,IF($O297="","",$O297),IFERROR(IF([1]入库吨位汇总!$L$296=0,"",[1]入库吨位汇总!$L$296),""))</f>
        <v/>
      </c>
      <c r="H297" s="41" t="str">
        <f aca="false">IF($V$4=0,IF($P297="","",$P297),IFERROR(IF([1]入库吨位汇总!$H$296=0,"",[1]入库吨位汇总!$H$296),""))</f>
        <v/>
      </c>
      <c r="I297" s="41" t="str">
        <f aca="false">IF($V$4=0,IF($Q297="","",$Q297),IFERROR(IF([1]入库吨位汇总!$I$296=0,"",[1]入库吨位汇总!$I$296),""))</f>
        <v/>
      </c>
      <c r="J297" s="10"/>
      <c r="K297" s="10"/>
      <c r="L297" s="53"/>
      <c r="M297" s="53"/>
      <c r="N297" s="54"/>
      <c r="O297" s="54"/>
      <c r="P297" s="54"/>
      <c r="Q297" s="54"/>
      <c r="R297" s="55" t="n">
        <f aca="false">IF(AND($B297&lt;&gt;"",$C297&lt;&gt;""),1,0)</f>
        <v>0</v>
      </c>
      <c r="S297" s="55" t="n">
        <f aca="false">N(S296)+$R297</f>
        <v>22</v>
      </c>
    </row>
    <row r="298" customFormat="false" ht="13.5" hidden="false" customHeight="false" outlineLevel="0" collapsed="false">
      <c r="A298" s="9" t="n">
        <v>297</v>
      </c>
      <c r="B298" s="39" t="str">
        <f aca="false">IF($V$4=0,IF($J298="","",$J298),IFERROR(IF([1]入库吨位汇总!$B$297=0,"",[1]入库吨位汇总!$B$297),""))</f>
        <v/>
      </c>
      <c r="C298" s="39" t="str">
        <f aca="false">IF($V$4=0,IF($K298="","",$K298),IFERROR(IF([1]入库吨位汇总!$C$297=0,"",[1]入库吨位汇总!$C$297),""))</f>
        <v/>
      </c>
      <c r="D298" s="51" t="str">
        <f aca="false">IF($V$4=0,IF($L298="","",$L298),IFERROR(IF([1]入库吨位汇总!$D$297=0,"",[1]入库吨位汇总!$D$297),""))</f>
        <v/>
      </c>
      <c r="E298" s="51" t="str">
        <f aca="false">IF($V$4=0,IF($M298="","",$M298),IFERROR(IF([1]入库吨位汇总!$E$297=0,"",[1]入库吨位汇总!$E$297),""))</f>
        <v/>
      </c>
      <c r="F298" s="41" t="str">
        <f aca="false">IF($V$4=0,IF($N298="","",$N298),IFERROR(IF([1]入库吨位汇总!$K$297=0,"",[1]入库吨位汇总!$K$297),""))</f>
        <v/>
      </c>
      <c r="G298" s="52" t="str">
        <f aca="false">IF($V$4=0,IF($O298="","",$O298),IFERROR(IF([1]入库吨位汇总!$L$297=0,"",[1]入库吨位汇总!$L$297),""))</f>
        <v/>
      </c>
      <c r="H298" s="41" t="str">
        <f aca="false">IF($V$4=0,IF($P298="","",$P298),IFERROR(IF([1]入库吨位汇总!$H$297=0,"",[1]入库吨位汇总!$H$297),""))</f>
        <v/>
      </c>
      <c r="I298" s="41" t="str">
        <f aca="false">IF($V$4=0,IF($Q298="","",$Q298),IFERROR(IF([1]入库吨位汇总!$I$297=0,"",[1]入库吨位汇总!$I$297),""))</f>
        <v/>
      </c>
      <c r="J298" s="10"/>
      <c r="K298" s="10"/>
      <c r="L298" s="53"/>
      <c r="M298" s="53"/>
      <c r="N298" s="54"/>
      <c r="O298" s="54"/>
      <c r="P298" s="54"/>
      <c r="Q298" s="54"/>
      <c r="R298" s="55" t="n">
        <f aca="false">IF(AND($B298&lt;&gt;"",$C298&lt;&gt;""),1,0)</f>
        <v>0</v>
      </c>
      <c r="S298" s="55" t="n">
        <f aca="false">N(S297)+$R298</f>
        <v>22</v>
      </c>
    </row>
    <row r="299" customFormat="false" ht="13.5" hidden="false" customHeight="false" outlineLevel="0" collapsed="false">
      <c r="A299" s="9" t="n">
        <v>298</v>
      </c>
      <c r="B299" s="39" t="str">
        <f aca="false">IF($V$4=0,IF($J299="","",$J299),IFERROR(IF([1]入库吨位汇总!$B$298=0,"",[1]入库吨位汇总!$B$298),""))</f>
        <v/>
      </c>
      <c r="C299" s="39" t="str">
        <f aca="false">IF($V$4=0,IF($K299="","",$K299),IFERROR(IF([1]入库吨位汇总!$C$298=0,"",[1]入库吨位汇总!$C$298),""))</f>
        <v/>
      </c>
      <c r="D299" s="51" t="str">
        <f aca="false">IF($V$4=0,IF($L299="","",$L299),IFERROR(IF([1]入库吨位汇总!$D$298=0,"",[1]入库吨位汇总!$D$298),""))</f>
        <v/>
      </c>
      <c r="E299" s="51" t="str">
        <f aca="false">IF($V$4=0,IF($M299="","",$M299),IFERROR(IF([1]入库吨位汇总!$E$298=0,"",[1]入库吨位汇总!$E$298),""))</f>
        <v/>
      </c>
      <c r="F299" s="41" t="str">
        <f aca="false">IF($V$4=0,IF($N299="","",$N299),IFERROR(IF([1]入库吨位汇总!$K$298=0,"",[1]入库吨位汇总!$K$298),""))</f>
        <v/>
      </c>
      <c r="G299" s="52" t="str">
        <f aca="false">IF($V$4=0,IF($O299="","",$O299),IFERROR(IF([1]入库吨位汇总!$L$298=0,"",[1]入库吨位汇总!$L$298),""))</f>
        <v/>
      </c>
      <c r="H299" s="41" t="str">
        <f aca="false">IF($V$4=0,IF($P299="","",$P299),IFERROR(IF([1]入库吨位汇总!$H$298=0,"",[1]入库吨位汇总!$H$298),""))</f>
        <v/>
      </c>
      <c r="I299" s="41" t="str">
        <f aca="false">IF($V$4=0,IF($Q299="","",$Q299),IFERROR(IF([1]入库吨位汇总!$I$298=0,"",[1]入库吨位汇总!$I$298),""))</f>
        <v/>
      </c>
      <c r="J299" s="10"/>
      <c r="K299" s="10"/>
      <c r="L299" s="53"/>
      <c r="M299" s="53"/>
      <c r="N299" s="54"/>
      <c r="O299" s="54"/>
      <c r="P299" s="54"/>
      <c r="Q299" s="54"/>
      <c r="R299" s="55" t="n">
        <f aca="false">IF(AND($B299&lt;&gt;"",$C299&lt;&gt;""),1,0)</f>
        <v>0</v>
      </c>
      <c r="S299" s="55" t="n">
        <f aca="false">N(S298)+$R299</f>
        <v>22</v>
      </c>
    </row>
    <row r="300" customFormat="false" ht="13.5" hidden="false" customHeight="false" outlineLevel="0" collapsed="false">
      <c r="A300" s="9" t="n">
        <v>299</v>
      </c>
      <c r="B300" s="39" t="str">
        <f aca="false">IF($V$4=0,IF($J300="","",$J300),IFERROR(IF([1]入库吨位汇总!$B$299=0,"",[1]入库吨位汇总!$B$299),""))</f>
        <v/>
      </c>
      <c r="C300" s="39" t="str">
        <f aca="false">IF($V$4=0,IF($K300="","",$K300),IFERROR(IF([1]入库吨位汇总!$C$299=0,"",[1]入库吨位汇总!$C$299),""))</f>
        <v/>
      </c>
      <c r="D300" s="51" t="str">
        <f aca="false">IF($V$4=0,IF($L300="","",$L300),IFERROR(IF([1]入库吨位汇总!$D$299=0,"",[1]入库吨位汇总!$D$299),""))</f>
        <v/>
      </c>
      <c r="E300" s="51" t="str">
        <f aca="false">IF($V$4=0,IF($M300="","",$M300),IFERROR(IF([1]入库吨位汇总!$E$299=0,"",[1]入库吨位汇总!$E$299),""))</f>
        <v/>
      </c>
      <c r="F300" s="41" t="str">
        <f aca="false">IF($V$4=0,IF($N300="","",$N300),IFERROR(IF([1]入库吨位汇总!$K$299=0,"",[1]入库吨位汇总!$K$299),""))</f>
        <v/>
      </c>
      <c r="G300" s="52" t="str">
        <f aca="false">IF($V$4=0,IF($O300="","",$O300),IFERROR(IF([1]入库吨位汇总!$L$299=0,"",[1]入库吨位汇总!$L$299),""))</f>
        <v/>
      </c>
      <c r="H300" s="41" t="str">
        <f aca="false">IF($V$4=0,IF($P300="","",$P300),IFERROR(IF([1]入库吨位汇总!$H$299=0,"",[1]入库吨位汇总!$H$299),""))</f>
        <v/>
      </c>
      <c r="I300" s="41" t="str">
        <f aca="false">IF($V$4=0,IF($Q300="","",$Q300),IFERROR(IF([1]入库吨位汇总!$I$299=0,"",[1]入库吨位汇总!$I$299),""))</f>
        <v/>
      </c>
      <c r="J300" s="10"/>
      <c r="K300" s="10"/>
      <c r="L300" s="53"/>
      <c r="M300" s="53"/>
      <c r="N300" s="54"/>
      <c r="O300" s="54"/>
      <c r="P300" s="54"/>
      <c r="Q300" s="54"/>
      <c r="R300" s="55" t="n">
        <f aca="false">IF(AND($B300&lt;&gt;"",$C300&lt;&gt;""),1,0)</f>
        <v>0</v>
      </c>
      <c r="S300" s="55" t="n">
        <f aca="false">N(S299)+$R300</f>
        <v>22</v>
      </c>
    </row>
    <row r="301" customFormat="false" ht="13.5" hidden="false" customHeight="false" outlineLevel="0" collapsed="false">
      <c r="A301" s="9" t="n">
        <v>300</v>
      </c>
      <c r="B301" s="39" t="str">
        <f aca="false">IF($V$4=0,IF($J301="","",$J301),IFERROR(IF([1]入库吨位汇总!$B$300=0,"",[1]入库吨位汇总!$B$300),""))</f>
        <v/>
      </c>
      <c r="C301" s="39" t="str">
        <f aca="false">IF($V$4=0,IF($K301="","",$K301),IFERROR(IF([1]入库吨位汇总!$C$300=0,"",[1]入库吨位汇总!$C$300),""))</f>
        <v/>
      </c>
      <c r="D301" s="51" t="str">
        <f aca="false">IF($V$4=0,IF($L301="","",$L301),IFERROR(IF([1]入库吨位汇总!$D$300=0,"",[1]入库吨位汇总!$D$300),""))</f>
        <v/>
      </c>
      <c r="E301" s="51" t="str">
        <f aca="false">IF($V$4=0,IF($M301="","",$M301),IFERROR(IF([1]入库吨位汇总!$E$300=0,"",[1]入库吨位汇总!$E$300),""))</f>
        <v/>
      </c>
      <c r="F301" s="41" t="str">
        <f aca="false">IF($V$4=0,IF($N301="","",$N301),IFERROR(IF([1]入库吨位汇总!$K$300=0,"",[1]入库吨位汇总!$K$300),""))</f>
        <v/>
      </c>
      <c r="G301" s="52" t="str">
        <f aca="false">IF($V$4=0,IF($O301="","",$O301),IFERROR(IF([1]入库吨位汇总!$L$300=0,"",[1]入库吨位汇总!$L$300),""))</f>
        <v/>
      </c>
      <c r="H301" s="41" t="str">
        <f aca="false">IF($V$4=0,IF($P301="","",$P301),IFERROR(IF([1]入库吨位汇总!$H$300=0,"",[1]入库吨位汇总!$H$300),""))</f>
        <v/>
      </c>
      <c r="I301" s="41" t="str">
        <f aca="false">IF($V$4=0,IF($Q301="","",$Q301),IFERROR(IF([1]入库吨位汇总!$I$300=0,"",[1]入库吨位汇总!$I$300),""))</f>
        <v/>
      </c>
      <c r="J301" s="10"/>
      <c r="K301" s="10"/>
      <c r="L301" s="53"/>
      <c r="M301" s="53"/>
      <c r="N301" s="54"/>
      <c r="O301" s="54"/>
      <c r="P301" s="54"/>
      <c r="Q301" s="54"/>
      <c r="R301" s="55" t="n">
        <f aca="false">IF(AND($B301&lt;&gt;"",$C301&lt;&gt;""),1,0)</f>
        <v>0</v>
      </c>
      <c r="S301" s="55" t="n">
        <f aca="false">N(S300)+$R301</f>
        <v>22</v>
      </c>
    </row>
    <row r="302" customFormat="false" ht="13.5" hidden="false" customHeight="false" outlineLevel="0" collapsed="false">
      <c r="A302" s="9" t="n">
        <v>301</v>
      </c>
      <c r="B302" s="39" t="str">
        <f aca="false">IF($V$4=0,IF($J302="","",$J302),IFERROR(IF([1]入库吨位汇总!$B$301=0,"",[1]入库吨位汇总!$B$301),""))</f>
        <v/>
      </c>
      <c r="C302" s="39" t="str">
        <f aca="false">IF($V$4=0,IF($K302="","",$K302),IFERROR(IF([1]入库吨位汇总!$C$301=0,"",[1]入库吨位汇总!$C$301),""))</f>
        <v/>
      </c>
      <c r="D302" s="51" t="str">
        <f aca="false">IF($V$4=0,IF($L302="","",$L302),IFERROR(IF([1]入库吨位汇总!$D$301=0,"",[1]入库吨位汇总!$D$301),""))</f>
        <v/>
      </c>
      <c r="E302" s="51" t="str">
        <f aca="false">IF($V$4=0,IF($M302="","",$M302),IFERROR(IF([1]入库吨位汇总!$E$301=0,"",[1]入库吨位汇总!$E$301),""))</f>
        <v/>
      </c>
      <c r="F302" s="41" t="str">
        <f aca="false">IF($V$4=0,IF($N302="","",$N302),IFERROR(IF([1]入库吨位汇总!$K$301=0,"",[1]入库吨位汇总!$K$301),""))</f>
        <v/>
      </c>
      <c r="G302" s="52" t="str">
        <f aca="false">IF($V$4=0,IF($O302="","",$O302),IFERROR(IF([1]入库吨位汇总!$L$301=0,"",[1]入库吨位汇总!$L$301),""))</f>
        <v/>
      </c>
      <c r="H302" s="41" t="str">
        <f aca="false">IF($V$4=0,IF($P302="","",$P302),IFERROR(IF([1]入库吨位汇总!$H$301=0,"",[1]入库吨位汇总!$H$301),""))</f>
        <v/>
      </c>
      <c r="I302" s="41" t="str">
        <f aca="false">IF($V$4=0,IF($Q302="","",$Q302),IFERROR(IF([1]入库吨位汇总!$I$301=0,"",[1]入库吨位汇总!$I$301),""))</f>
        <v/>
      </c>
      <c r="J302" s="10"/>
      <c r="K302" s="10"/>
      <c r="L302" s="53"/>
      <c r="M302" s="53"/>
      <c r="N302" s="54"/>
      <c r="O302" s="54"/>
      <c r="P302" s="54"/>
      <c r="Q302" s="54"/>
      <c r="R302" s="55" t="n">
        <f aca="false">IF(AND($B302&lt;&gt;"",$C302&lt;&gt;""),1,0)</f>
        <v>0</v>
      </c>
      <c r="S302" s="55" t="n">
        <f aca="false">N(S301)+$R302</f>
        <v>22</v>
      </c>
    </row>
    <row r="303" customFormat="false" ht="13.5" hidden="false" customHeight="false" outlineLevel="0" collapsed="false">
      <c r="A303" s="9" t="n">
        <v>302</v>
      </c>
      <c r="B303" s="39" t="str">
        <f aca="false">IF($V$4=0,IF($J303="","",$J303),IFERROR(IF([1]入库吨位汇总!$B$302=0,"",[1]入库吨位汇总!$B$302),""))</f>
        <v/>
      </c>
      <c r="C303" s="39" t="str">
        <f aca="false">IF($V$4=0,IF($K303="","",$K303),IFERROR(IF([1]入库吨位汇总!$C$302=0,"",[1]入库吨位汇总!$C$302),""))</f>
        <v/>
      </c>
      <c r="D303" s="51" t="str">
        <f aca="false">IF($V$4=0,IF($L303="","",$L303),IFERROR(IF([1]入库吨位汇总!$D$302=0,"",[1]入库吨位汇总!$D$302),""))</f>
        <v/>
      </c>
      <c r="E303" s="51" t="str">
        <f aca="false">IF($V$4=0,IF($M303="","",$M303),IFERROR(IF([1]入库吨位汇总!$E$302=0,"",[1]入库吨位汇总!$E$302),""))</f>
        <v/>
      </c>
      <c r="F303" s="41" t="str">
        <f aca="false">IF($V$4=0,IF($N303="","",$N303),IFERROR(IF([1]入库吨位汇总!$K$302=0,"",[1]入库吨位汇总!$K$302),""))</f>
        <v/>
      </c>
      <c r="G303" s="52" t="str">
        <f aca="false">IF($V$4=0,IF($O303="","",$O303),IFERROR(IF([1]入库吨位汇总!$L$302=0,"",[1]入库吨位汇总!$L$302),""))</f>
        <v/>
      </c>
      <c r="H303" s="41" t="str">
        <f aca="false">IF($V$4=0,IF($P303="","",$P303),IFERROR(IF([1]入库吨位汇总!$H$302=0,"",[1]入库吨位汇总!$H$302),""))</f>
        <v/>
      </c>
      <c r="I303" s="41" t="str">
        <f aca="false">IF($V$4=0,IF($Q303="","",$Q303),IFERROR(IF([1]入库吨位汇总!$I$302=0,"",[1]入库吨位汇总!$I$302),""))</f>
        <v/>
      </c>
      <c r="J303" s="10"/>
      <c r="K303" s="10"/>
      <c r="L303" s="53"/>
      <c r="M303" s="53"/>
      <c r="N303" s="54"/>
      <c r="O303" s="54"/>
      <c r="P303" s="54"/>
      <c r="Q303" s="54"/>
      <c r="R303" s="55" t="n">
        <f aca="false">IF(AND($B303&lt;&gt;"",$C303&lt;&gt;""),1,0)</f>
        <v>0</v>
      </c>
      <c r="S303" s="55" t="n">
        <f aca="false">N(S302)+$R303</f>
        <v>22</v>
      </c>
    </row>
    <row r="304" customFormat="false" ht="13.5" hidden="false" customHeight="false" outlineLevel="0" collapsed="false">
      <c r="A304" s="9" t="n">
        <v>303</v>
      </c>
      <c r="B304" s="39" t="str">
        <f aca="false">IF($V$4=0,IF($J304="","",$J304),IFERROR(IF([1]入库吨位汇总!$B$303=0,"",[1]入库吨位汇总!$B$303),""))</f>
        <v/>
      </c>
      <c r="C304" s="39" t="str">
        <f aca="false">IF($V$4=0,IF($K304="","",$K304),IFERROR(IF([1]入库吨位汇总!$C$303=0,"",[1]入库吨位汇总!$C$303),""))</f>
        <v/>
      </c>
      <c r="D304" s="51" t="str">
        <f aca="false">IF($V$4=0,IF($L304="","",$L304),IFERROR(IF([1]入库吨位汇总!$D$303=0,"",[1]入库吨位汇总!$D$303),""))</f>
        <v/>
      </c>
      <c r="E304" s="51" t="str">
        <f aca="false">IF($V$4=0,IF($M304="","",$M304),IFERROR(IF([1]入库吨位汇总!$E$303=0,"",[1]入库吨位汇总!$E$303),""))</f>
        <v/>
      </c>
      <c r="F304" s="41" t="str">
        <f aca="false">IF($V$4=0,IF($N304="","",$N304),IFERROR(IF([1]入库吨位汇总!$K$303=0,"",[1]入库吨位汇总!$K$303),""))</f>
        <v/>
      </c>
      <c r="G304" s="52" t="str">
        <f aca="false">IF($V$4=0,IF($O304="","",$O304),IFERROR(IF([1]入库吨位汇总!$L$303=0,"",[1]入库吨位汇总!$L$303),""))</f>
        <v/>
      </c>
      <c r="H304" s="41" t="str">
        <f aca="false">IF($V$4=0,IF($P304="","",$P304),IFERROR(IF([1]入库吨位汇总!$H$303=0,"",[1]入库吨位汇总!$H$303),""))</f>
        <v/>
      </c>
      <c r="I304" s="41" t="str">
        <f aca="false">IF($V$4=0,IF($Q304="","",$Q304),IFERROR(IF([1]入库吨位汇总!$I$303=0,"",[1]入库吨位汇总!$I$303),""))</f>
        <v/>
      </c>
      <c r="J304" s="10"/>
      <c r="K304" s="10"/>
      <c r="L304" s="53"/>
      <c r="M304" s="53"/>
      <c r="N304" s="54"/>
      <c r="O304" s="54"/>
      <c r="P304" s="54"/>
      <c r="Q304" s="54"/>
      <c r="R304" s="55" t="n">
        <f aca="false">IF(AND($B304&lt;&gt;"",$C304&lt;&gt;""),1,0)</f>
        <v>0</v>
      </c>
      <c r="S304" s="55" t="n">
        <f aca="false">N(S303)+$R304</f>
        <v>22</v>
      </c>
    </row>
  </sheetData>
  <mergeCells count="5">
    <mergeCell ref="A1:S1"/>
    <mergeCell ref="A2:S2"/>
    <mergeCell ref="A3:I3"/>
    <mergeCell ref="J3:Q3"/>
    <mergeCell ref="R3:S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03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3" topLeftCell="C22" activePane="bottomRight" state="frozen"/>
      <selection pane="topLeft" activeCell="A1" activeCellId="0" sqref="A1"/>
      <selection pane="topRight" activeCell="C1" activeCellId="0" sqref="C1"/>
      <selection pane="bottomLeft" activeCell="A22" activeCellId="0" sqref="A22"/>
      <selection pane="bottomRight" activeCell="A1" activeCellId="0" sqref="A1"/>
    </sheetView>
  </sheetViews>
  <sheetFormatPr defaultColWidth="8.54296875" defaultRowHeight="13.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0" min="9" style="0" width="7"/>
  </cols>
  <sheetData>
    <row r="1" customFormat="false" ht="25.5" hidden="false" customHeight="true" outlineLevel="0" collapsed="false">
      <c r="A1" s="57" t="s">
        <v>206</v>
      </c>
      <c r="B1" s="57"/>
      <c r="C1" s="57"/>
      <c r="D1" s="57"/>
      <c r="E1" s="57"/>
      <c r="F1" s="57"/>
      <c r="G1" s="57"/>
      <c r="H1" s="57"/>
      <c r="I1" s="57"/>
      <c r="J1" s="57"/>
      <c r="L1" s="58" t="s">
        <v>161</v>
      </c>
      <c r="M1" s="59" t="n">
        <f aca="false">MAX($J$4:$J$403)</f>
        <v>56</v>
      </c>
    </row>
    <row r="2" customFormat="false" ht="15.75" hidden="false" customHeight="true" outlineLevel="0" collapsed="false">
      <c r="A2" s="60" t="s">
        <v>207</v>
      </c>
      <c r="B2" s="60"/>
      <c r="C2" s="60"/>
      <c r="D2" s="60"/>
      <c r="E2" s="60"/>
      <c r="F2" s="60"/>
      <c r="G2" s="60"/>
      <c r="H2" s="60"/>
      <c r="I2" s="60"/>
      <c r="J2" s="60"/>
    </row>
    <row r="3" customFormat="false" ht="30" hidden="false" customHeight="true" outlineLevel="0" collapsed="false">
      <c r="A3" s="15" t="s">
        <v>167</v>
      </c>
      <c r="B3" s="15" t="s">
        <v>208</v>
      </c>
      <c r="C3" s="15" t="s">
        <v>190</v>
      </c>
      <c r="D3" s="15" t="s">
        <v>209</v>
      </c>
      <c r="E3" s="15" t="s">
        <v>210</v>
      </c>
      <c r="F3" s="15" t="s">
        <v>211</v>
      </c>
      <c r="G3" s="15" t="s">
        <v>212</v>
      </c>
      <c r="H3" s="15" t="s">
        <v>174</v>
      </c>
      <c r="I3" s="15" t="s">
        <v>182</v>
      </c>
      <c r="J3" s="15" t="s">
        <v>183</v>
      </c>
    </row>
    <row r="4" customFormat="false" ht="15" hidden="false" customHeight="true" outlineLevel="0" collapsed="false">
      <c r="A4" s="61" t="n">
        <v>1</v>
      </c>
      <c r="B4" s="62" t="str">
        <f aca="false">IFERROR(IF([1]库存等级接口!$B$4=0,"",[1]库存等级接口!$B$4),"")</f>
        <v>聂新平</v>
      </c>
      <c r="C4" s="63" t="str">
        <f aca="false">IFERROR(IF([1]库存等级接口!$C$4=0,"",[1]库存等级接口!$C$4),"")</f>
        <v>苹果</v>
      </c>
      <c r="D4" s="63" t="str">
        <f aca="false">IFERROR(IF([1]库存等级接口!$D$4=0,"",[1]库存等级接口!$D$4),"")</f>
        <v>嘎啦85#</v>
      </c>
      <c r="E4" s="63" t="str">
        <f aca="false">IFERROR(IF([1]库存等级接口!$E$4=0,"",[1]库存等级接口!$E$4),"")</f>
        <v>筐</v>
      </c>
      <c r="F4" s="64" t="str">
        <f aca="false">IFERROR(IF([1]库存等级接口!$F$4=0,"",[1]库存等级接口!$F$4),"")</f>
        <v/>
      </c>
      <c r="G4" s="65" t="n">
        <f aca="false">IFERROR(IF([1]库存等级接口!$G$4=0,"",[1]库存等级接口!$G$4),"")</f>
        <v>9156</v>
      </c>
      <c r="H4" s="62" t="str">
        <f aca="false">IFERROR(IF([1]库存等级接口!$H$4=0,"",[1]库存等级接口!$H$4),"")</f>
        <v>无库存</v>
      </c>
      <c r="I4" s="61" t="n">
        <f aca="false">IF($B4="",0,1)</f>
        <v>1</v>
      </c>
      <c r="J4" s="61" t="n">
        <f aca="false">N(J3)+$I4</f>
        <v>1</v>
      </c>
    </row>
    <row r="5" customFormat="false" ht="15" hidden="false" customHeight="true" outlineLevel="0" collapsed="false">
      <c r="A5" s="61" t="n">
        <v>2</v>
      </c>
      <c r="B5" s="62" t="str">
        <f aca="false">IFERROR(IF([1]库存等级接口!$B$5=0,"",[1]库存等级接口!$B$5),"")</f>
        <v>聂新平</v>
      </c>
      <c r="C5" s="63" t="str">
        <f aca="false">IFERROR(IF([1]库存等级接口!$C$5=0,"",[1]库存等级接口!$C$5),"")</f>
        <v>苹果</v>
      </c>
      <c r="D5" s="63" t="str">
        <f aca="false">IFERROR(IF([1]库存等级接口!$D$5=0,"",[1]库存等级接口!$D$5),"")</f>
        <v>嘎啦100#</v>
      </c>
      <c r="E5" s="63" t="str">
        <f aca="false">IFERROR(IF([1]库存等级接口!$E$5=0,"",[1]库存等级接口!$E$5),"")</f>
        <v>筐</v>
      </c>
      <c r="F5" s="64" t="str">
        <f aca="false">IFERROR(IF([1]库存等级接口!$F$5=0,"",[1]库存等级接口!$F$5),"")</f>
        <v/>
      </c>
      <c r="G5" s="65" t="n">
        <f aca="false">IFERROR(IF([1]库存等级接口!$G$5=0,"",[1]库存等级接口!$G$5),"")</f>
        <v>18682.6</v>
      </c>
      <c r="H5" s="62" t="str">
        <f aca="false">IFERROR(IF([1]库存等级接口!$H$5=0,"",[1]库存等级接口!$H$5),"")</f>
        <v>无库存</v>
      </c>
      <c r="I5" s="61" t="n">
        <f aca="false">IF($B5="",0,1)</f>
        <v>1</v>
      </c>
      <c r="J5" s="61" t="n">
        <f aca="false">N(J4)+$I5</f>
        <v>2</v>
      </c>
    </row>
    <row r="6" customFormat="false" ht="15" hidden="false" customHeight="true" outlineLevel="0" collapsed="false">
      <c r="A6" s="61" t="n">
        <v>3</v>
      </c>
      <c r="B6" s="62" t="str">
        <f aca="false">IFERROR(IF([1]库存等级接口!$B$6=0,"",[1]库存等级接口!$B$6),"")</f>
        <v>王照雪</v>
      </c>
      <c r="C6" s="63" t="str">
        <f aca="false">IFERROR(IF([1]库存等级接口!$C$6=0,"",[1]库存等级接口!$C$6),"")</f>
        <v>苹果</v>
      </c>
      <c r="D6" s="63" t="str">
        <f aca="false">IFERROR(IF([1]库存等级接口!$D$6=0,"",[1]库存等级接口!$D$6),"")</f>
        <v>华硕一级</v>
      </c>
      <c r="E6" s="63" t="str">
        <f aca="false">IFERROR(IF([1]库存等级接口!$E$6=0,"",[1]库存等级接口!$E$6),"")</f>
        <v>筐</v>
      </c>
      <c r="F6" s="64" t="str">
        <f aca="false">IFERROR(IF([1]库存等级接口!$F$6=0,"",[1]库存等级接口!$F$6),"")</f>
        <v/>
      </c>
      <c r="G6" s="65" t="n">
        <f aca="false">IFERROR(IF([1]库存等级接口!$G$6=0,"",[1]库存等级接口!$G$6),"")</f>
        <v>11591</v>
      </c>
      <c r="H6" s="62" t="str">
        <f aca="false">IFERROR(IF([1]库存等级接口!$H$6=0,"",[1]库存等级接口!$H$6),"")</f>
        <v>无库存</v>
      </c>
      <c r="I6" s="61" t="n">
        <f aca="false">IF($B6="",0,1)</f>
        <v>1</v>
      </c>
      <c r="J6" s="61" t="n">
        <f aca="false">N(J5)+$I6</f>
        <v>3</v>
      </c>
    </row>
    <row r="7" customFormat="false" ht="15" hidden="false" customHeight="true" outlineLevel="0" collapsed="false">
      <c r="A7" s="61" t="n">
        <v>4</v>
      </c>
      <c r="B7" s="62" t="str">
        <f aca="false">IFERROR(IF([1]库存等级接口!$B$7=0,"",[1]库存等级接口!$B$7),"")</f>
        <v>王照雪</v>
      </c>
      <c r="C7" s="63" t="str">
        <f aca="false">IFERROR(IF([1]库存等级接口!$C$7=0,"",[1]库存等级接口!$C$7),"")</f>
        <v>苹果</v>
      </c>
      <c r="D7" s="63" t="str">
        <f aca="false">IFERROR(IF([1]库存等级接口!$D$7=0,"",[1]库存等级接口!$D$7),"")</f>
        <v>华硕二级</v>
      </c>
      <c r="E7" s="63" t="str">
        <f aca="false">IFERROR(IF([1]库存等级接口!$E$7=0,"",[1]库存等级接口!$E$7),"")</f>
        <v>筐</v>
      </c>
      <c r="F7" s="64" t="str">
        <f aca="false">IFERROR(IF([1]库存等级接口!$F$7=0,"",[1]库存等级接口!$F$7),"")</f>
        <v/>
      </c>
      <c r="G7" s="65" t="n">
        <f aca="false">IFERROR(IF([1]库存等级接口!$G$7=0,"",[1]库存等级接口!$G$7),"")</f>
        <v>5362.7</v>
      </c>
      <c r="H7" s="62" t="str">
        <f aca="false">IFERROR(IF([1]库存等级接口!$H$7=0,"",[1]库存等级接口!$H$7),"")</f>
        <v>无库存</v>
      </c>
      <c r="I7" s="61" t="n">
        <f aca="false">IF($B7="",0,1)</f>
        <v>1</v>
      </c>
      <c r="J7" s="61" t="n">
        <f aca="false">N(J6)+$I7</f>
        <v>4</v>
      </c>
    </row>
    <row r="8" customFormat="false" ht="15" hidden="false" customHeight="true" outlineLevel="0" collapsed="false">
      <c r="A8" s="61" t="n">
        <v>5</v>
      </c>
      <c r="B8" s="62" t="str">
        <f aca="false">IFERROR(IF([1]库存等级接口!$B$8=0,"",[1]库存等级接口!$B$8),"")</f>
        <v>王照雪</v>
      </c>
      <c r="C8" s="63" t="str">
        <f aca="false">IFERROR(IF([1]库存等级接口!$C$8=0,"",[1]库存等级接口!$C$8),"")</f>
        <v>苹果</v>
      </c>
      <c r="D8" s="63" t="str">
        <f aca="false">IFERROR(IF([1]库存等级接口!$D$8=0,"",[1]库存等级接口!$D$8),"")</f>
        <v>华硕高次</v>
      </c>
      <c r="E8" s="63" t="str">
        <f aca="false">IFERROR(IF([1]库存等级接口!$E$8=0,"",[1]库存等级接口!$E$8),"")</f>
        <v>筐</v>
      </c>
      <c r="F8" s="64" t="str">
        <f aca="false">IFERROR(IF([1]库存等级接口!$F$8=0,"",[1]库存等级接口!$F$8),"")</f>
        <v/>
      </c>
      <c r="G8" s="65" t="n">
        <f aca="false">IFERROR(IF([1]库存等级接口!$G$8=0,"",[1]库存等级接口!$G$8),"")</f>
        <v>2992.9</v>
      </c>
      <c r="H8" s="62" t="str">
        <f aca="false">IFERROR(IF([1]库存等级接口!$H$8=0,"",[1]库存等级接口!$H$8),"")</f>
        <v>无库存</v>
      </c>
      <c r="I8" s="61" t="n">
        <f aca="false">IF($B8="",0,1)</f>
        <v>1</v>
      </c>
      <c r="J8" s="61" t="n">
        <f aca="false">N(J7)+$I8</f>
        <v>5</v>
      </c>
    </row>
    <row r="9" customFormat="false" ht="15" hidden="false" customHeight="true" outlineLevel="0" collapsed="false">
      <c r="A9" s="61" t="n">
        <v>6</v>
      </c>
      <c r="B9" s="62" t="str">
        <f aca="false">IFERROR(IF([1]库存等级接口!$B$9=0,"",[1]库存等级接口!$B$9),"")</f>
        <v>伍元虎</v>
      </c>
      <c r="C9" s="63" t="str">
        <f aca="false">IFERROR(IF([1]库存等级接口!$C$9=0,"",[1]库存等级接口!$C$9),"")</f>
        <v>苹果</v>
      </c>
      <c r="D9" s="63" t="str">
        <f aca="false">IFERROR(IF([1]库存等级接口!$D$9=0,"",[1]库存等级接口!$D$9),"")</f>
        <v>海棠果</v>
      </c>
      <c r="E9" s="63" t="str">
        <f aca="false">IFERROR(IF([1]库存等级接口!$E$9=0,"",[1]库存等级接口!$E$9),"")</f>
        <v>筐</v>
      </c>
      <c r="F9" s="64" t="str">
        <f aca="false">IFERROR(IF([1]库存等级接口!$F$9=0,"",[1]库存等级接口!$F$9),"")</f>
        <v/>
      </c>
      <c r="G9" s="65" t="str">
        <f aca="false">IFERROR(IF([1]库存等级接口!$G$9=0,"",[1]库存等级接口!$G$9),"")</f>
        <v/>
      </c>
      <c r="H9" s="62" t="str">
        <f aca="false">IFERROR(IF([1]库存等级接口!$H$9=0,"",[1]库存等级接口!$H$9),"")</f>
        <v>无库存</v>
      </c>
      <c r="I9" s="61" t="n">
        <f aca="false">IF($B9="",0,1)</f>
        <v>1</v>
      </c>
      <c r="J9" s="61" t="n">
        <f aca="false">N(J8)+$I9</f>
        <v>6</v>
      </c>
    </row>
    <row r="10" customFormat="false" ht="15" hidden="false" customHeight="true" outlineLevel="0" collapsed="false">
      <c r="A10" s="61" t="n">
        <v>7</v>
      </c>
      <c r="B10" s="62" t="str">
        <f aca="false">IFERROR(IF([1]库存等级接口!$B$10=0,"",[1]库存等级接口!$B$10),"")</f>
        <v>王照雪</v>
      </c>
      <c r="C10" s="63" t="str">
        <f aca="false">IFERROR(IF([1]库存等级接口!$C$10=0,"",[1]库存等级接口!$C$10),"")</f>
        <v>李子</v>
      </c>
      <c r="D10" s="63" t="str">
        <f aca="false">IFERROR(IF([1]库存等级接口!$D$10=0,"",[1]库存等级接口!$D$10),"")</f>
        <v>樱桃李</v>
      </c>
      <c r="E10" s="63" t="str">
        <f aca="false">IFERROR(IF([1]库存等级接口!$E$10=0,"",[1]库存等级接口!$E$10),"")</f>
        <v>筐</v>
      </c>
      <c r="F10" s="64" t="str">
        <f aca="false">IFERROR(IF([1]库存等级接口!$F$10=0,"",[1]库存等级接口!$F$10),"")</f>
        <v/>
      </c>
      <c r="G10" s="65" t="str">
        <f aca="false">IFERROR(IF([1]库存等级接口!$G$10=0,"",[1]库存等级接口!$G$10),"")</f>
        <v/>
      </c>
      <c r="H10" s="62" t="str">
        <f aca="false">IFERROR(IF([1]库存等级接口!$H$10=0,"",[1]库存等级接口!$H$10),"")</f>
        <v>无库存</v>
      </c>
      <c r="I10" s="61" t="n">
        <f aca="false">IF($B10="",0,1)</f>
        <v>1</v>
      </c>
      <c r="J10" s="61" t="n">
        <f aca="false">N(J9)+$I10</f>
        <v>7</v>
      </c>
    </row>
    <row r="11" customFormat="false" ht="15" hidden="false" customHeight="true" outlineLevel="0" collapsed="false">
      <c r="A11" s="61" t="n">
        <v>8</v>
      </c>
      <c r="B11" s="62" t="str">
        <f aca="false">IFERROR(IF([1]库存等级接口!$B$11=0,"",[1]库存等级接口!$B$11),"")</f>
        <v>马锦祥</v>
      </c>
      <c r="C11" s="63" t="str">
        <f aca="false">IFERROR(IF([1]库存等级接口!$C$11=0,"",[1]库存等级接口!$C$11),"")</f>
        <v>苹果</v>
      </c>
      <c r="D11" s="63" t="str">
        <f aca="false">IFERROR(IF([1]库存等级接口!$D$11=0,"",[1]库存等级接口!$D$11),"")</f>
        <v>海棠果</v>
      </c>
      <c r="E11" s="63" t="str">
        <f aca="false">IFERROR(IF([1]库存等级接口!$E$11=0,"",[1]库存等级接口!$E$11),"")</f>
        <v>筐</v>
      </c>
      <c r="F11" s="64" t="n">
        <f aca="false">IFERROR(IF([1]库存等级接口!$F$11=0,"",[1]库存等级接口!$F$11),"")</f>
        <v>66</v>
      </c>
      <c r="G11" s="65" t="n">
        <f aca="false">IFERROR(IF([1]库存等级接口!$G$11=0,"",[1]库存等级接口!$G$11),"")</f>
        <v>198</v>
      </c>
      <c r="H11" s="62" t="str">
        <f aca="false">IFERROR(IF([1]库存等级接口!$H$11=0,"",[1]库存等级接口!$H$11),"")</f>
        <v>偏低</v>
      </c>
      <c r="I11" s="61" t="n">
        <f aca="false">IF($B11="",0,1)</f>
        <v>1</v>
      </c>
      <c r="J11" s="61" t="n">
        <f aca="false">N(J10)+$I11</f>
        <v>8</v>
      </c>
    </row>
    <row r="12" customFormat="false" ht="15" hidden="false" customHeight="true" outlineLevel="0" collapsed="false">
      <c r="A12" s="61" t="n">
        <v>9</v>
      </c>
      <c r="B12" s="62" t="str">
        <f aca="false">IFERROR(IF([1]库存等级接口!$B$12=0,"",[1]库存等级接口!$B$12),"")</f>
        <v>聂新平</v>
      </c>
      <c r="C12" s="63" t="str">
        <f aca="false">IFERROR(IF([1]库存等级接口!$C$12=0,"",[1]库存等级接口!$C$12),"")</f>
        <v>西梅</v>
      </c>
      <c r="D12" s="63" t="str">
        <f aca="false">IFERROR(IF([1]库存等级接口!$D$12=0,"",[1]库存等级接口!$D$12),"")</f>
        <v>西梅二级</v>
      </c>
      <c r="E12" s="63" t="str">
        <f aca="false">IFERROR(IF([1]库存等级接口!$E$12=0,"",[1]库存等级接口!$E$12),"")</f>
        <v>筐</v>
      </c>
      <c r="F12" s="64" t="n">
        <f aca="false">IFERROR(IF([1]库存等级接口!$F$12=0,"",[1]库存等级接口!$F$12),"")</f>
        <v>1</v>
      </c>
      <c r="G12" s="65" t="n">
        <f aca="false">IFERROR(IF([1]库存等级接口!$G$12=0,"",[1]库存等级接口!$G$12),"")</f>
        <v>2</v>
      </c>
      <c r="H12" s="62" t="str">
        <f aca="false">IFERROR(IF([1]库存等级接口!$H$12=0,"",[1]库存等级接口!$H$12),"")</f>
        <v>偏低</v>
      </c>
      <c r="I12" s="61" t="n">
        <f aca="false">IF($B12="",0,1)</f>
        <v>1</v>
      </c>
      <c r="J12" s="61" t="n">
        <f aca="false">N(J11)+$I12</f>
        <v>9</v>
      </c>
    </row>
    <row r="13" customFormat="false" ht="15" hidden="false" customHeight="true" outlineLevel="0" collapsed="false">
      <c r="A13" s="61" t="n">
        <v>10</v>
      </c>
      <c r="B13" s="62" t="str">
        <f aca="false">IFERROR(IF([1]库存等级接口!$B$13=0,"",[1]库存等级接口!$B$13),"")</f>
        <v>聂新平</v>
      </c>
      <c r="C13" s="63" t="str">
        <f aca="false">IFERROR(IF([1]库存等级接口!$C$13=0,"",[1]库存等级接口!$C$13),"")</f>
        <v>西梅</v>
      </c>
      <c r="D13" s="63" t="str">
        <f aca="false">IFERROR(IF([1]库存等级接口!$D$13=0,"",[1]库存等级接口!$D$13),"")</f>
        <v>西梅三级</v>
      </c>
      <c r="E13" s="63" t="str">
        <f aca="false">IFERROR(IF([1]库存等级接口!$E$13=0,"",[1]库存等级接口!$E$13),"")</f>
        <v>筐</v>
      </c>
      <c r="F13" s="64" t="str">
        <f aca="false">IFERROR(IF([1]库存等级接口!$F$13=0,"",[1]库存等级接口!$F$13),"")</f>
        <v/>
      </c>
      <c r="G13" s="65" t="str">
        <f aca="false">IFERROR(IF([1]库存等级接口!$G$13=0,"",[1]库存等级接口!$G$13),"")</f>
        <v/>
      </c>
      <c r="H13" s="62" t="str">
        <f aca="false">IFERROR(IF([1]库存等级接口!$H$13=0,"",[1]库存等级接口!$H$13),"")</f>
        <v>无库存</v>
      </c>
      <c r="I13" s="61" t="n">
        <f aca="false">IF($B13="",0,1)</f>
        <v>1</v>
      </c>
      <c r="J13" s="61" t="n">
        <f aca="false">N(J12)+$I13</f>
        <v>10</v>
      </c>
    </row>
    <row r="14" customFormat="false" ht="15" hidden="false" customHeight="true" outlineLevel="0" collapsed="false">
      <c r="A14" s="61" t="n">
        <v>11</v>
      </c>
      <c r="B14" s="62" t="str">
        <f aca="false">IFERROR(IF([1]库存等级接口!$B$14=0,"",[1]库存等级接口!$B$14),"")</f>
        <v>聂新平</v>
      </c>
      <c r="C14" s="63" t="str">
        <f aca="false">IFERROR(IF([1]库存等级接口!$C$14=0,"",[1]库存等级接口!$C$14),"")</f>
        <v>西梅</v>
      </c>
      <c r="D14" s="63" t="str">
        <f aca="false">IFERROR(IF([1]库存等级接口!$D$14=0,"",[1]库存等级接口!$D$14),"")</f>
        <v>西梅一级</v>
      </c>
      <c r="E14" s="63" t="str">
        <f aca="false">IFERROR(IF([1]库存等级接口!$E$14=0,"",[1]库存等级接口!$E$14),"")</f>
        <v>筐</v>
      </c>
      <c r="F14" s="64" t="str">
        <f aca="false">IFERROR(IF([1]库存等级接口!$F$14=0,"",[1]库存等级接口!$F$14),"")</f>
        <v/>
      </c>
      <c r="G14" s="65" t="str">
        <f aca="false">IFERROR(IF([1]库存等级接口!$G$14=0,"",[1]库存等级接口!$G$14),"")</f>
        <v/>
      </c>
      <c r="H14" s="62" t="str">
        <f aca="false">IFERROR(IF([1]库存等级接口!$H$14=0,"",[1]库存等级接口!$H$14),"")</f>
        <v>无库存</v>
      </c>
      <c r="I14" s="61" t="n">
        <f aca="false">IF($B14="",0,1)</f>
        <v>1</v>
      </c>
      <c r="J14" s="61" t="n">
        <f aca="false">N(J13)+$I14</f>
        <v>11</v>
      </c>
    </row>
    <row r="15" customFormat="false" ht="15" hidden="false" customHeight="true" outlineLevel="0" collapsed="false">
      <c r="A15" s="61" t="n">
        <v>12</v>
      </c>
      <c r="B15" s="62" t="str">
        <f aca="false">IFERROR(IF([1]库存等级接口!$B$15=0,"",[1]库存等级接口!$B$15),"")</f>
        <v>马锦祥</v>
      </c>
      <c r="C15" s="63" t="str">
        <f aca="false">IFERROR(IF([1]库存等级接口!$C$15=0,"",[1]库存等级接口!$C$15),"")</f>
        <v>香梨</v>
      </c>
      <c r="D15" s="63" t="str">
        <f aca="false">IFERROR(IF([1]库存等级接口!$D$15=0,"",[1]库存等级接口!$D$15),"")</f>
        <v>香梨一级</v>
      </c>
      <c r="E15" s="63" t="str">
        <f aca="false">IFERROR(IF([1]库存等级接口!$E$15=0,"",[1]库存等级接口!$E$15),"")</f>
        <v>筐</v>
      </c>
      <c r="F15" s="64" t="n">
        <f aca="false">IFERROR(IF([1]库存等级接口!$F$15=0,"",[1]库存等级接口!$F$15),"")</f>
        <v>1953</v>
      </c>
      <c r="G15" s="65" t="n">
        <f aca="false">IFERROR(IF([1]库存等级接口!$G$15=0,"",[1]库存等级接口!$G$15),"")</f>
        <v>35739.9</v>
      </c>
      <c r="H15" s="62" t="str">
        <f aca="false">IFERROR(IF([1]库存等级接口!$H$15=0,"",[1]库存等级接口!$H$15),"")</f>
        <v>偏低</v>
      </c>
      <c r="I15" s="61" t="n">
        <f aca="false">IF($B15="",0,1)</f>
        <v>1</v>
      </c>
      <c r="J15" s="61" t="n">
        <f aca="false">N(J14)+$I15</f>
        <v>12</v>
      </c>
    </row>
    <row r="16" customFormat="false" ht="15" hidden="false" customHeight="true" outlineLevel="0" collapsed="false">
      <c r="A16" s="61" t="n">
        <v>13</v>
      </c>
      <c r="B16" s="62" t="str">
        <f aca="false">IFERROR(IF([1]库存等级接口!$B$16=0,"",[1]库存等级接口!$B$16),"")</f>
        <v>马锦祥</v>
      </c>
      <c r="C16" s="63" t="str">
        <f aca="false">IFERROR(IF([1]库存等级接口!$C$16=0,"",[1]库存等级接口!$C$16),"")</f>
        <v>香梨</v>
      </c>
      <c r="D16" s="63" t="str">
        <f aca="false">IFERROR(IF([1]库存等级接口!$D$16=0,"",[1]库存等级接口!$D$16),"")</f>
        <v>香梨二级</v>
      </c>
      <c r="E16" s="63" t="str">
        <f aca="false">IFERROR(IF([1]库存等级接口!$E$16=0,"",[1]库存等级接口!$E$16),"")</f>
        <v>筐</v>
      </c>
      <c r="F16" s="64" t="n">
        <f aca="false">IFERROR(IF([1]库存等级接口!$F$16=0,"",[1]库存等级接口!$F$16),"")</f>
        <v>386</v>
      </c>
      <c r="G16" s="65" t="n">
        <f aca="false">IFERROR(IF([1]库存等级接口!$G$16=0,"",[1]库存等级接口!$G$16),"")</f>
        <v>8607.8</v>
      </c>
      <c r="H16" s="62" t="str">
        <f aca="false">IFERROR(IF([1]库存等级接口!$H$16=0,"",[1]库存等级接口!$H$16),"")</f>
        <v>偏低</v>
      </c>
      <c r="I16" s="61" t="n">
        <f aca="false">IF($B16="",0,1)</f>
        <v>1</v>
      </c>
      <c r="J16" s="61" t="n">
        <f aca="false">N(J15)+$I16</f>
        <v>13</v>
      </c>
    </row>
    <row r="17" customFormat="false" ht="15" hidden="false" customHeight="true" outlineLevel="0" collapsed="false">
      <c r="A17" s="61" t="n">
        <v>14</v>
      </c>
      <c r="B17" s="62" t="str">
        <f aca="false">IFERROR(IF([1]库存等级接口!$B$17=0,"",[1]库存等级接口!$B$17),"")</f>
        <v>马锦祥</v>
      </c>
      <c r="C17" s="63" t="str">
        <f aca="false">IFERROR(IF([1]库存等级接口!$C$17=0,"",[1]库存等级接口!$C$17),"")</f>
        <v>香梨</v>
      </c>
      <c r="D17" s="63" t="str">
        <f aca="false">IFERROR(IF([1]库存等级接口!$D$17=0,"",[1]库存等级接口!$D$17),"")</f>
        <v>香梨副特</v>
      </c>
      <c r="E17" s="63" t="str">
        <f aca="false">IFERROR(IF([1]库存等级接口!$E$17=0,"",[1]库存等级接口!$E$17),"")</f>
        <v>筐</v>
      </c>
      <c r="F17" s="64" t="n">
        <f aca="false">IFERROR(IF([1]库存等级接口!$F$17=0,"",[1]库存等级接口!$F$17),"")</f>
        <v>152</v>
      </c>
      <c r="G17" s="65" t="n">
        <f aca="false">IFERROR(IF([1]库存等级接口!$G$17=0,"",[1]库存等级接口!$G$17),"")</f>
        <v>2781.6</v>
      </c>
      <c r="H17" s="62" t="str">
        <f aca="false">IFERROR(IF([1]库存等级接口!$H$17=0,"",[1]库存等级接口!$H$17),"")</f>
        <v>偏低</v>
      </c>
      <c r="I17" s="61" t="n">
        <f aca="false">IF($B17="",0,1)</f>
        <v>1</v>
      </c>
      <c r="J17" s="61" t="n">
        <f aca="false">N(J16)+$I17</f>
        <v>14</v>
      </c>
    </row>
    <row r="18" customFormat="false" ht="15" hidden="false" customHeight="true" outlineLevel="0" collapsed="false">
      <c r="A18" s="61" t="n">
        <v>15</v>
      </c>
      <c r="B18" s="62" t="str">
        <f aca="false">IFERROR(IF([1]库存等级接口!$B$18=0,"",[1]库存等级接口!$B$18),"")</f>
        <v>麦麦提</v>
      </c>
      <c r="C18" s="63" t="str">
        <f aca="false">IFERROR(IF([1]库存等级接口!$C$18=0,"",[1]库存等级接口!$C$18),"")</f>
        <v>香梨</v>
      </c>
      <c r="D18" s="63" t="str">
        <f aca="false">IFERROR(IF([1]库存等级接口!$D$18=0,"",[1]库存等级接口!$D$18),"")</f>
        <v>香梨特级</v>
      </c>
      <c r="E18" s="63" t="str">
        <f aca="false">IFERROR(IF([1]库存等级接口!$E$18=0,"",[1]库存等级接口!$E$18),"")</f>
        <v>筐</v>
      </c>
      <c r="F18" s="64" t="n">
        <f aca="false">IFERROR(IF([1]库存等级接口!$F$18=0,"",[1]库存等级接口!$F$18),"")</f>
        <v>1667</v>
      </c>
      <c r="G18" s="65" t="n">
        <f aca="false">IFERROR(IF([1]库存等级接口!$G$18=0,"",[1]库存等级接口!$G$18),"")</f>
        <v>30542.7</v>
      </c>
      <c r="H18" s="62" t="str">
        <f aca="false">IFERROR(IF([1]库存等级接口!$H$18=0,"",[1]库存等级接口!$H$18),"")</f>
        <v>偏低</v>
      </c>
      <c r="I18" s="61" t="n">
        <f aca="false">IF($B18="",0,1)</f>
        <v>1</v>
      </c>
      <c r="J18" s="61" t="n">
        <f aca="false">N(J17)+$I18</f>
        <v>15</v>
      </c>
    </row>
    <row r="19" customFormat="false" ht="15" hidden="false" customHeight="true" outlineLevel="0" collapsed="false">
      <c r="A19" s="61" t="n">
        <v>16</v>
      </c>
      <c r="B19" s="62" t="str">
        <f aca="false">IFERROR(IF([1]库存等级接口!$B$19=0,"",[1]库存等级接口!$B$19),"")</f>
        <v>麦麦提</v>
      </c>
      <c r="C19" s="63" t="str">
        <f aca="false">IFERROR(IF([1]库存等级接口!$C$19=0,"",[1]库存等级接口!$C$19),"")</f>
        <v>香梨</v>
      </c>
      <c r="D19" s="63" t="str">
        <f aca="false">IFERROR(IF([1]库存等级接口!$D$19=0,"",[1]库存等级接口!$D$19),"")</f>
        <v>香梨一级</v>
      </c>
      <c r="E19" s="63" t="str">
        <f aca="false">IFERROR(IF([1]库存等级接口!$E$19=0,"",[1]库存等级接口!$E$19),"")</f>
        <v>筐</v>
      </c>
      <c r="F19" s="64" t="n">
        <f aca="false">IFERROR(IF([1]库存等级接口!$F$19=0,"",[1]库存等级接口!$F$19),"")</f>
        <v>489</v>
      </c>
      <c r="G19" s="65" t="n">
        <f aca="false">IFERROR(IF([1]库存等级接口!$G$19=0,"",[1]库存等级接口!$G$19),"")</f>
        <v>20075.1</v>
      </c>
      <c r="H19" s="62" t="str">
        <f aca="false">IFERROR(IF([1]库存等级接口!$H$19=0,"",[1]库存等级接口!$H$19),"")</f>
        <v>偏低</v>
      </c>
      <c r="I19" s="61" t="n">
        <f aca="false">IF($B19="",0,1)</f>
        <v>1</v>
      </c>
      <c r="J19" s="61" t="n">
        <f aca="false">N(J18)+$I19</f>
        <v>16</v>
      </c>
    </row>
    <row r="20" customFormat="false" ht="15" hidden="false" customHeight="true" outlineLevel="0" collapsed="false">
      <c r="A20" s="61" t="n">
        <v>17</v>
      </c>
      <c r="B20" s="62" t="str">
        <f aca="false">IFERROR(IF([1]库存等级接口!$B$20=0,"",[1]库存等级接口!$B$20),"")</f>
        <v>麦麦提</v>
      </c>
      <c r="C20" s="63" t="str">
        <f aca="false">IFERROR(IF([1]库存等级接口!$C$20=0,"",[1]库存等级接口!$C$20),"")</f>
        <v>香梨</v>
      </c>
      <c r="D20" s="63" t="str">
        <f aca="false">IFERROR(IF([1]库存等级接口!$D$20=0,"",[1]库存等级接口!$D$20),"")</f>
        <v>香梨二级</v>
      </c>
      <c r="E20" s="63" t="str">
        <f aca="false">IFERROR(IF([1]库存等级接口!$E$20=0,"",[1]库存等级接口!$E$20),"")</f>
        <v>筐</v>
      </c>
      <c r="F20" s="64" t="n">
        <f aca="false">IFERROR(IF([1]库存等级接口!$F$20=0,"",[1]库存等级接口!$F$20),"")</f>
        <v>1024</v>
      </c>
      <c r="G20" s="65" t="n">
        <f aca="false">IFERROR(IF([1]库存等级接口!$G$20=0,"",[1]库存等级接口!$G$20),"")</f>
        <v>22835.2</v>
      </c>
      <c r="H20" s="62" t="str">
        <f aca="false">IFERROR(IF([1]库存等级接口!$H$20=0,"",[1]库存等级接口!$H$20),"")</f>
        <v>偏低</v>
      </c>
      <c r="I20" s="61" t="n">
        <f aca="false">IF($B20="",0,1)</f>
        <v>1</v>
      </c>
      <c r="J20" s="61" t="n">
        <f aca="false">N(J19)+$I20</f>
        <v>17</v>
      </c>
    </row>
    <row r="21" customFormat="false" ht="15" hidden="false" customHeight="true" outlineLevel="0" collapsed="false">
      <c r="A21" s="61" t="n">
        <v>18</v>
      </c>
      <c r="B21" s="62" t="str">
        <f aca="false">IFERROR(IF([1]库存等级接口!$B$21=0,"",[1]库存等级接口!$B$21),"")</f>
        <v>吐尔洪</v>
      </c>
      <c r="C21" s="63" t="str">
        <f aca="false">IFERROR(IF([1]库存等级接口!$C$21=0,"",[1]库存等级接口!$C$21),"")</f>
        <v>香梨</v>
      </c>
      <c r="D21" s="63" t="str">
        <f aca="false">IFERROR(IF([1]库存等级接口!$D$21=0,"",[1]库存等级接口!$D$21),"")</f>
        <v>香梨特级</v>
      </c>
      <c r="E21" s="63" t="str">
        <f aca="false">IFERROR(IF([1]库存等级接口!$E$21=0,"",[1]库存等级接口!$E$21),"")</f>
        <v>筐</v>
      </c>
      <c r="F21" s="64" t="n">
        <f aca="false">IFERROR(IF([1]库存等级接口!$F$21=0,"",[1]库存等级接口!$F$21),"")</f>
        <v>868</v>
      </c>
      <c r="G21" s="65" t="n">
        <f aca="false">IFERROR(IF([1]库存等级接口!$G$21=0,"",[1]库存等级接口!$G$21),"")</f>
        <v>15884.4</v>
      </c>
      <c r="H21" s="62" t="str">
        <f aca="false">IFERROR(IF([1]库存等级接口!$H$21=0,"",[1]库存等级接口!$H$21),"")</f>
        <v>偏低</v>
      </c>
      <c r="I21" s="61" t="n">
        <f aca="false">IF($B21="",0,1)</f>
        <v>1</v>
      </c>
      <c r="J21" s="61" t="n">
        <f aca="false">N(J20)+$I21</f>
        <v>18</v>
      </c>
    </row>
    <row r="22" customFormat="false" ht="15" hidden="false" customHeight="true" outlineLevel="0" collapsed="false">
      <c r="A22" s="61" t="n">
        <v>19</v>
      </c>
      <c r="B22" s="62" t="str">
        <f aca="false">IFERROR(IF([1]库存等级接口!$B$22=0,"",[1]库存等级接口!$B$22),"")</f>
        <v>吐尔洪</v>
      </c>
      <c r="C22" s="63" t="str">
        <f aca="false">IFERROR(IF([1]库存等级接口!$C$22=0,"",[1]库存等级接口!$C$22),"")</f>
        <v>香梨</v>
      </c>
      <c r="D22" s="63" t="str">
        <f aca="false">IFERROR(IF([1]库存等级接口!$D$22=0,"",[1]库存等级接口!$D$22),"")</f>
        <v>香梨二级</v>
      </c>
      <c r="E22" s="63" t="str">
        <f aca="false">IFERROR(IF([1]库存等级接口!$E$22=0,"",[1]库存等级接口!$E$22),"")</f>
        <v>筐</v>
      </c>
      <c r="F22" s="64" t="n">
        <f aca="false">IFERROR(IF([1]库存等级接口!$F$22=0,"",[1]库存等级接口!$F$22),"")</f>
        <v>676</v>
      </c>
      <c r="G22" s="65" t="n">
        <f aca="false">IFERROR(IF([1]库存等级接口!$G$22=0,"",[1]库存等级接口!$G$22),"")</f>
        <v>14990.8</v>
      </c>
      <c r="H22" s="62" t="str">
        <f aca="false">IFERROR(IF([1]库存等级接口!$H$22=0,"",[1]库存等级接口!$H$22),"")</f>
        <v>偏低</v>
      </c>
      <c r="I22" s="61" t="n">
        <f aca="false">IF($B22="",0,1)</f>
        <v>1</v>
      </c>
      <c r="J22" s="61" t="n">
        <f aca="false">N(J21)+$I22</f>
        <v>19</v>
      </c>
    </row>
    <row r="23" customFormat="false" ht="15" hidden="false" customHeight="true" outlineLevel="0" collapsed="false">
      <c r="A23" s="61" t="n">
        <v>20</v>
      </c>
      <c r="B23" s="62" t="str">
        <f aca="false">IFERROR(IF([1]库存等级接口!$B$23=0,"",[1]库存等级接口!$B$23),"")</f>
        <v>热合曼</v>
      </c>
      <c r="C23" s="63" t="str">
        <f aca="false">IFERROR(IF([1]库存等级接口!$C$23=0,"",[1]库存等级接口!$C$23),"")</f>
        <v>香梨</v>
      </c>
      <c r="D23" s="63" t="str">
        <f aca="false">IFERROR(IF([1]库存等级接口!$D$23=0,"",[1]库存等级接口!$D$23),"")</f>
        <v>香梨一级</v>
      </c>
      <c r="E23" s="63" t="str">
        <f aca="false">IFERROR(IF([1]库存等级接口!$E$23=0,"",[1]库存等级接口!$E$23),"")</f>
        <v>筐</v>
      </c>
      <c r="F23" s="64" t="n">
        <f aca="false">IFERROR(IF([1]库存等级接口!$F$23=0,"",[1]库存等级接口!$F$23),"")</f>
        <v>519</v>
      </c>
      <c r="G23" s="65" t="n">
        <f aca="false">IFERROR(IF([1]库存等级接口!$G$23=0,"",[1]库存等级接口!$G$23),"")</f>
        <v>9497.7</v>
      </c>
      <c r="H23" s="62" t="str">
        <f aca="false">IFERROR(IF([1]库存等级接口!$H$23=0,"",[1]库存等级接口!$H$23),"")</f>
        <v>偏低</v>
      </c>
      <c r="I23" s="61" t="n">
        <f aca="false">IF($B23="",0,1)</f>
        <v>1</v>
      </c>
      <c r="J23" s="61" t="n">
        <f aca="false">N(J22)+$I23</f>
        <v>20</v>
      </c>
    </row>
    <row r="24" customFormat="false" ht="15" hidden="false" customHeight="true" outlineLevel="0" collapsed="false">
      <c r="A24" s="61" t="n">
        <v>21</v>
      </c>
      <c r="B24" s="62" t="str">
        <f aca="false">IFERROR(IF([1]库存等级接口!$B$24=0,"",[1]库存等级接口!$B$24),"")</f>
        <v>热合曼</v>
      </c>
      <c r="C24" s="63" t="str">
        <f aca="false">IFERROR(IF([1]库存等级接口!$C$24=0,"",[1]库存等级接口!$C$24),"")</f>
        <v>香梨</v>
      </c>
      <c r="D24" s="63" t="str">
        <f aca="false">IFERROR(IF([1]库存等级接口!$D$24=0,"",[1]库存等级接口!$D$24),"")</f>
        <v>香梨二级</v>
      </c>
      <c r="E24" s="63" t="str">
        <f aca="false">IFERROR(IF([1]库存等级接口!$E$24=0,"",[1]库存等级接口!$E$24),"")</f>
        <v>筐</v>
      </c>
      <c r="F24" s="64" t="n">
        <f aca="false">IFERROR(IF([1]库存等级接口!$F$24=0,"",[1]库存等级接口!$F$24),"")</f>
        <v>203</v>
      </c>
      <c r="G24" s="65" t="n">
        <f aca="false">IFERROR(IF([1]库存等级接口!$G$24=0,"",[1]库存等级接口!$G$24),"")</f>
        <v>4526.9</v>
      </c>
      <c r="H24" s="62" t="str">
        <f aca="false">IFERROR(IF([1]库存等级接口!$H$24=0,"",[1]库存等级接口!$H$24),"")</f>
        <v>偏低</v>
      </c>
      <c r="I24" s="61" t="n">
        <f aca="false">IF($B24="",0,1)</f>
        <v>1</v>
      </c>
      <c r="J24" s="61" t="n">
        <f aca="false">N(J23)+$I24</f>
        <v>21</v>
      </c>
    </row>
    <row r="25" customFormat="false" ht="15" hidden="false" customHeight="true" outlineLevel="0" collapsed="false">
      <c r="A25" s="61" t="n">
        <v>22</v>
      </c>
      <c r="B25" s="62" t="str">
        <f aca="false">IFERROR(IF([1]库存等级接口!$B$25=0,"",[1]库存等级接口!$B$25),"")</f>
        <v>热合曼</v>
      </c>
      <c r="C25" s="63" t="str">
        <f aca="false">IFERROR(IF([1]库存等级接口!$C$25=0,"",[1]库存等级接口!$C$25),"")</f>
        <v>香梨</v>
      </c>
      <c r="D25" s="63" t="str">
        <f aca="false">IFERROR(IF([1]库存等级接口!$D$25=0,"",[1]库存等级接口!$D$25),"")</f>
        <v>香梨副特</v>
      </c>
      <c r="E25" s="63" t="str">
        <f aca="false">IFERROR(IF([1]库存等级接口!$E$25=0,"",[1]库存等级接口!$E$25),"")</f>
        <v>筐</v>
      </c>
      <c r="F25" s="64" t="n">
        <f aca="false">IFERROR(IF([1]库存等级接口!$F$25=0,"",[1]库存等级接口!$F$25),"")</f>
        <v>799</v>
      </c>
      <c r="G25" s="65" t="n">
        <f aca="false">IFERROR(IF([1]库存等级接口!$G$25=0,"",[1]库存等级接口!$G$25),"")</f>
        <v>15420.7</v>
      </c>
      <c r="H25" s="62" t="str">
        <f aca="false">IFERROR(IF([1]库存等级接口!$H$25=0,"",[1]库存等级接口!$H$25),"")</f>
        <v>偏低</v>
      </c>
      <c r="I25" s="61" t="n">
        <f aca="false">IF($B25="",0,1)</f>
        <v>1</v>
      </c>
      <c r="J25" s="61" t="n">
        <f aca="false">N(J24)+$I25</f>
        <v>22</v>
      </c>
    </row>
    <row r="26" customFormat="false" ht="15" hidden="false" customHeight="true" outlineLevel="0" collapsed="false">
      <c r="A26" s="61" t="n">
        <v>23</v>
      </c>
      <c r="B26" s="62" t="str">
        <f aca="false">IFERROR(IF([1]库存等级接口!$B$26=0,"",[1]库存等级接口!$B$26),"")</f>
        <v>贾建国</v>
      </c>
      <c r="C26" s="63" t="str">
        <f aca="false">IFERROR(IF([1]库存等级接口!$C$26=0,"",[1]库存等级接口!$C$26),"")</f>
        <v>香梨</v>
      </c>
      <c r="D26" s="63" t="str">
        <f aca="false">IFERROR(IF([1]库存等级接口!$D$26=0,"",[1]库存等级接口!$D$26),"")</f>
        <v>香梨副特</v>
      </c>
      <c r="E26" s="63" t="str">
        <f aca="false">IFERROR(IF([1]库存等级接口!$E$26=0,"",[1]库存等级接口!$E$26),"")</f>
        <v>筐</v>
      </c>
      <c r="F26" s="64" t="n">
        <f aca="false">IFERROR(IF([1]库存等级接口!$F$26=0,"",[1]库存等级接口!$F$26),"")</f>
        <v>911</v>
      </c>
      <c r="G26" s="65" t="n">
        <f aca="false">IFERROR(IF([1]库存等级接口!$G$26=0,"",[1]库存等级接口!$G$26),"")</f>
        <v>17819.1</v>
      </c>
      <c r="H26" s="62" t="str">
        <f aca="false">IFERROR(IF([1]库存等级接口!$H$26=0,"",[1]库存等级接口!$H$26),"")</f>
        <v>偏低</v>
      </c>
      <c r="I26" s="61" t="n">
        <f aca="false">IF($B26="",0,1)</f>
        <v>1</v>
      </c>
      <c r="J26" s="61" t="n">
        <f aca="false">N(J25)+$I26</f>
        <v>23</v>
      </c>
    </row>
    <row r="27" customFormat="false" ht="15" hidden="false" customHeight="true" outlineLevel="0" collapsed="false">
      <c r="A27" s="61" t="n">
        <v>24</v>
      </c>
      <c r="B27" s="62" t="str">
        <f aca="false">IFERROR(IF([1]库存等级接口!$B$27=0,"",[1]库存等级接口!$B$27),"")</f>
        <v>贾建国</v>
      </c>
      <c r="C27" s="63" t="str">
        <f aca="false">IFERROR(IF([1]库存等级接口!$C$27=0,"",[1]库存等级接口!$C$27),"")</f>
        <v>香梨</v>
      </c>
      <c r="D27" s="63" t="str">
        <f aca="false">IFERROR(IF([1]库存等级接口!$D$27=0,"",[1]库存等级接口!$D$27),"")</f>
        <v>香梨二级</v>
      </c>
      <c r="E27" s="63" t="str">
        <f aca="false">IFERROR(IF([1]库存等级接口!$E$27=0,"",[1]库存等级接口!$E$27),"")</f>
        <v>筐</v>
      </c>
      <c r="F27" s="64" t="n">
        <f aca="false">IFERROR(IF([1]库存等级接口!$F$27=0,"",[1]库存等级接口!$F$27),"")</f>
        <v>479</v>
      </c>
      <c r="G27" s="65" t="n">
        <f aca="false">IFERROR(IF([1]库存等级接口!$G$27=0,"",[1]库存等级接口!$G$27),"")</f>
        <v>10777.5</v>
      </c>
      <c r="H27" s="62" t="str">
        <f aca="false">IFERROR(IF([1]库存等级接口!$H$27=0,"",[1]库存等级接口!$H$27),"")</f>
        <v>偏低</v>
      </c>
      <c r="I27" s="61" t="n">
        <f aca="false">IF($B27="",0,1)</f>
        <v>1</v>
      </c>
      <c r="J27" s="61" t="n">
        <f aca="false">N(J26)+$I27</f>
        <v>24</v>
      </c>
    </row>
    <row r="28" customFormat="false" ht="15" hidden="false" customHeight="true" outlineLevel="0" collapsed="false">
      <c r="A28" s="61" t="n">
        <v>25</v>
      </c>
      <c r="B28" s="62" t="str">
        <f aca="false">IFERROR(IF([1]库存等级接口!$B$28=0,"",[1]库存等级接口!$B$28),"")</f>
        <v>吐尔洪</v>
      </c>
      <c r="C28" s="63" t="str">
        <f aca="false">IFERROR(IF([1]库存等级接口!$C$28=0,"",[1]库存等级接口!$C$28),"")</f>
        <v>香梨</v>
      </c>
      <c r="D28" s="63" t="str">
        <f aca="false">IFERROR(IF([1]库存等级接口!$D$28=0,"",[1]库存等级接口!$D$28),"")</f>
        <v>香梨一级</v>
      </c>
      <c r="E28" s="63" t="str">
        <f aca="false">IFERROR(IF([1]库存等级接口!$E$28=0,"",[1]库存等级接口!$E$28),"")</f>
        <v>筐</v>
      </c>
      <c r="F28" s="64" t="n">
        <f aca="false">IFERROR(IF([1]库存等级接口!$F$28=0,"",[1]库存等级接口!$F$28),"")</f>
        <v>288</v>
      </c>
      <c r="G28" s="65" t="n">
        <f aca="false">IFERROR(IF([1]库存等级接口!$G$28=0,"",[1]库存等级接口!$G$28),"")</f>
        <v>5270.4</v>
      </c>
      <c r="H28" s="62" t="str">
        <f aca="false">IFERROR(IF([1]库存等级接口!$H$28=0,"",[1]库存等级接口!$H$28),"")</f>
        <v>偏低</v>
      </c>
      <c r="I28" s="61" t="n">
        <f aca="false">IF($B28="",0,1)</f>
        <v>1</v>
      </c>
      <c r="J28" s="61" t="n">
        <f aca="false">N(J27)+$I28</f>
        <v>25</v>
      </c>
    </row>
    <row r="29" customFormat="false" ht="15" hidden="false" customHeight="true" outlineLevel="0" collapsed="false">
      <c r="A29" s="61" t="n">
        <v>26</v>
      </c>
      <c r="B29" s="62" t="str">
        <f aca="false">IFERROR(IF([1]库存等级接口!$B$29=0,"",[1]库存等级接口!$B$29),"")</f>
        <v>王灵云</v>
      </c>
      <c r="C29" s="63" t="str">
        <f aca="false">IFERROR(IF([1]库存等级接口!$C$29=0,"",[1]库存等级接口!$C$29),"")</f>
        <v>香梨</v>
      </c>
      <c r="D29" s="63" t="str">
        <f aca="false">IFERROR(IF([1]库存等级接口!$D$29=0,"",[1]库存等级接口!$D$29),"")</f>
        <v>香梨一级</v>
      </c>
      <c r="E29" s="63" t="str">
        <f aca="false">IFERROR(IF([1]库存等级接口!$E$29=0,"",[1]库存等级接口!$E$29),"")</f>
        <v>筐</v>
      </c>
      <c r="F29" s="64" t="n">
        <f aca="false">IFERROR(IF([1]库存等级接口!$F$29=0,"",[1]库存等级接口!$F$29),"")</f>
        <v>2663</v>
      </c>
      <c r="G29" s="65" t="n">
        <f aca="false">IFERROR(IF([1]库存等级接口!$G$29=0,"",[1]库存等级接口!$G$29),"")</f>
        <v>55760.1</v>
      </c>
      <c r="H29" s="62" t="str">
        <f aca="false">IFERROR(IF([1]库存等级接口!$H$29=0,"",[1]库存等级接口!$H$29),"")</f>
        <v>偏低</v>
      </c>
      <c r="I29" s="61" t="n">
        <f aca="false">IF($B29="",0,1)</f>
        <v>1</v>
      </c>
      <c r="J29" s="61" t="n">
        <f aca="false">N(J28)+$I29</f>
        <v>26</v>
      </c>
    </row>
    <row r="30" customFormat="false" ht="15" hidden="false" customHeight="true" outlineLevel="0" collapsed="false">
      <c r="A30" s="61" t="n">
        <v>27</v>
      </c>
      <c r="B30" s="62" t="str">
        <f aca="false">IFERROR(IF([1]库存等级接口!$B$30=0,"",[1]库存等级接口!$B$30),"")</f>
        <v>王灵云</v>
      </c>
      <c r="C30" s="63" t="str">
        <f aca="false">IFERROR(IF([1]库存等级接口!$C$30=0,"",[1]库存等级接口!$C$30),"")</f>
        <v>香梨</v>
      </c>
      <c r="D30" s="63" t="str">
        <f aca="false">IFERROR(IF([1]库存等级接口!$D$30=0,"",[1]库存等级接口!$D$30),"")</f>
        <v>香梨副特</v>
      </c>
      <c r="E30" s="63" t="str">
        <f aca="false">IFERROR(IF([1]库存等级接口!$E$30=0,"",[1]库存等级接口!$E$30),"")</f>
        <v>筐</v>
      </c>
      <c r="F30" s="64" t="n">
        <f aca="false">IFERROR(IF([1]库存等级接口!$F$30=0,"",[1]库存等级接口!$F$30),"")</f>
        <v>592</v>
      </c>
      <c r="G30" s="65" t="n">
        <f aca="false">IFERROR(IF([1]库存等级接口!$G$30=0,"",[1]库存等级接口!$G$30),"")</f>
        <v>12012</v>
      </c>
      <c r="H30" s="62" t="str">
        <f aca="false">IFERROR(IF([1]库存等级接口!$H$30=0,"",[1]库存等级接口!$H$30),"")</f>
        <v>偏低</v>
      </c>
      <c r="I30" s="61" t="n">
        <f aca="false">IF($B30="",0,1)</f>
        <v>1</v>
      </c>
      <c r="J30" s="61" t="n">
        <f aca="false">N(J29)+$I30</f>
        <v>27</v>
      </c>
    </row>
    <row r="31" customFormat="false" ht="15" hidden="false" customHeight="true" outlineLevel="0" collapsed="false">
      <c r="A31" s="61" t="n">
        <v>28</v>
      </c>
      <c r="B31" s="62" t="str">
        <f aca="false">IFERROR(IF([1]库存等级接口!$B$31=0,"",[1]库存等级接口!$B$31),"")</f>
        <v>王灵云</v>
      </c>
      <c r="C31" s="63" t="str">
        <f aca="false">IFERROR(IF([1]库存等级接口!$C$31=0,"",[1]库存等级接口!$C$31),"")</f>
        <v>香梨</v>
      </c>
      <c r="D31" s="63" t="str">
        <f aca="false">IFERROR(IF([1]库存等级接口!$D$31=0,"",[1]库存等级接口!$D$31),"")</f>
        <v>香梨二级</v>
      </c>
      <c r="E31" s="63" t="str">
        <f aca="false">IFERROR(IF([1]库存等级接口!$E$31=0,"",[1]库存等级接口!$E$31),"")</f>
        <v>筐</v>
      </c>
      <c r="F31" s="64" t="n">
        <f aca="false">IFERROR(IF([1]库存等级接口!$F$31=0,"",[1]库存等级接口!$F$31),"")</f>
        <v>527</v>
      </c>
      <c r="G31" s="65" t="n">
        <f aca="false">IFERROR(IF([1]库存等级接口!$G$31=0,"",[1]库存等级接口!$G$31),"")</f>
        <v>11459.1</v>
      </c>
      <c r="H31" s="62" t="str">
        <f aca="false">IFERROR(IF([1]库存等级接口!$H$31=0,"",[1]库存等级接口!$H$31),"")</f>
        <v>偏低</v>
      </c>
      <c r="I31" s="61" t="n">
        <f aca="false">IF($B31="",0,1)</f>
        <v>1</v>
      </c>
      <c r="J31" s="61" t="n">
        <f aca="false">N(J30)+$I31</f>
        <v>28</v>
      </c>
    </row>
    <row r="32" customFormat="false" ht="15" hidden="false" customHeight="true" outlineLevel="0" collapsed="false">
      <c r="A32" s="61" t="n">
        <v>29</v>
      </c>
      <c r="B32" s="62" t="str">
        <f aca="false">IFERROR(IF([1]库存等级接口!$B$32=0,"",[1]库存等级接口!$B$32),"")</f>
        <v>杨艳玲</v>
      </c>
      <c r="C32" s="63" t="str">
        <f aca="false">IFERROR(IF([1]库存等级接口!$C$32=0,"",[1]库存等级接口!$C$32),"")</f>
        <v>香梨</v>
      </c>
      <c r="D32" s="63" t="str">
        <f aca="false">IFERROR(IF([1]库存等级接口!$D$32=0,"",[1]库存等级接口!$D$32),"")</f>
        <v>香梨玉露</v>
      </c>
      <c r="E32" s="63" t="str">
        <f aca="false">IFERROR(IF([1]库存等级接口!$E$32=0,"",[1]库存等级接口!$E$32),"")</f>
        <v>筐</v>
      </c>
      <c r="F32" s="64" t="n">
        <f aca="false">IFERROR(IF([1]库存等级接口!$F$32=0,"",[1]库存等级接口!$F$32),"")</f>
        <v>104</v>
      </c>
      <c r="G32" s="65" t="n">
        <f aca="false">IFERROR(IF([1]库存等级接口!$G$32=0,"",[1]库存等级接口!$G$32),"")</f>
        <v>1799.2</v>
      </c>
      <c r="H32" s="62" t="str">
        <f aca="false">IFERROR(IF([1]库存等级接口!$H$32=0,"",[1]库存等级接口!$H$32),"")</f>
        <v>偏低</v>
      </c>
      <c r="I32" s="61" t="n">
        <f aca="false">IF($B32="",0,1)</f>
        <v>1</v>
      </c>
      <c r="J32" s="61" t="n">
        <f aca="false">N(J31)+$I32</f>
        <v>29</v>
      </c>
    </row>
    <row r="33" customFormat="false" ht="15" hidden="false" customHeight="true" outlineLevel="0" collapsed="false">
      <c r="A33" s="61" t="n">
        <v>30</v>
      </c>
      <c r="B33" s="62" t="str">
        <f aca="false">IFERROR(IF([1]库存等级接口!$B$33=0,"",[1]库存等级接口!$B$33),"")</f>
        <v>荆建君</v>
      </c>
      <c r="C33" s="63" t="str">
        <f aca="false">IFERROR(IF([1]库存等级接口!$C$33=0,"",[1]库存等级接口!$C$33),"")</f>
        <v>香梨</v>
      </c>
      <c r="D33" s="63" t="str">
        <f aca="false">IFERROR(IF([1]库存等级接口!$D$33=0,"",[1]库存等级接口!$D$33),"")</f>
        <v>香梨一级</v>
      </c>
      <c r="E33" s="63" t="str">
        <f aca="false">IFERROR(IF([1]库存等级接口!$E$33=0,"",[1]库存等级接口!$E$33),"")</f>
        <v>筐</v>
      </c>
      <c r="F33" s="64" t="n">
        <f aca="false">IFERROR(IF([1]库存等级接口!$F$33=0,"",[1]库存等级接口!$F$33),"")</f>
        <v>1062</v>
      </c>
      <c r="G33" s="65" t="n">
        <f aca="false">IFERROR(IF([1]库存等级接口!$G$33=0,"",[1]库存等级接口!$G$33),"")</f>
        <v>19434.6</v>
      </c>
      <c r="H33" s="62" t="str">
        <f aca="false">IFERROR(IF([1]库存等级接口!$H$33=0,"",[1]库存等级接口!$H$33),"")</f>
        <v>偏低</v>
      </c>
      <c r="I33" s="61" t="n">
        <f aca="false">IF($B33="",0,1)</f>
        <v>1</v>
      </c>
      <c r="J33" s="61" t="n">
        <f aca="false">N(J32)+$I33</f>
        <v>30</v>
      </c>
    </row>
    <row r="34" customFormat="false" ht="15" hidden="false" customHeight="true" outlineLevel="0" collapsed="false">
      <c r="A34" s="61" t="n">
        <v>31</v>
      </c>
      <c r="B34" s="62" t="str">
        <f aca="false">IFERROR(IF([1]库存等级接口!$B$34=0,"",[1]库存等级接口!$B$34),"")</f>
        <v>荆建君</v>
      </c>
      <c r="C34" s="63" t="str">
        <f aca="false">IFERROR(IF([1]库存等级接口!$C$34=0,"",[1]库存等级接口!$C$34),"")</f>
        <v>香梨</v>
      </c>
      <c r="D34" s="63" t="str">
        <f aca="false">IFERROR(IF([1]库存等级接口!$D$34=0,"",[1]库存等级接口!$D$34),"")</f>
        <v>香梨二级</v>
      </c>
      <c r="E34" s="63" t="str">
        <f aca="false">IFERROR(IF([1]库存等级接口!$E$34=0,"",[1]库存等级接口!$E$34),"")</f>
        <v>筐</v>
      </c>
      <c r="F34" s="64" t="n">
        <f aca="false">IFERROR(IF([1]库存等级接口!$F$34=0,"",[1]库存等级接口!$F$34),"")</f>
        <v>802</v>
      </c>
      <c r="G34" s="65" t="n">
        <f aca="false">IFERROR(IF([1]库存等级接口!$G$34=0,"",[1]库存等级接口!$G$34),"")</f>
        <v>14676.6</v>
      </c>
      <c r="H34" s="62" t="str">
        <f aca="false">IFERROR(IF([1]库存等级接口!$H$34=0,"",[1]库存等级接口!$H$34),"")</f>
        <v>偏低</v>
      </c>
      <c r="I34" s="61" t="n">
        <f aca="false">IF($B34="",0,1)</f>
        <v>1</v>
      </c>
      <c r="J34" s="61" t="n">
        <f aca="false">N(J33)+$I34</f>
        <v>31</v>
      </c>
    </row>
    <row r="35" customFormat="false" ht="15" hidden="false" customHeight="true" outlineLevel="0" collapsed="false">
      <c r="A35" s="61" t="n">
        <v>32</v>
      </c>
      <c r="B35" s="62" t="str">
        <f aca="false">IFERROR(IF([1]库存等级接口!$B$35=0,"",[1]库存等级接口!$B$35),"")</f>
        <v>王照雪</v>
      </c>
      <c r="C35" s="63" t="str">
        <f aca="false">IFERROR(IF([1]库存等级接口!$C$35=0,"",[1]库存等级接口!$C$35),"")</f>
        <v>香梨</v>
      </c>
      <c r="D35" s="63" t="str">
        <f aca="false">IFERROR(IF([1]库存等级接口!$D$35=0,"",[1]库存等级接口!$D$35),"")</f>
        <v>香梨一级</v>
      </c>
      <c r="E35" s="63" t="str">
        <f aca="false">IFERROR(IF([1]库存等级接口!$E$35=0,"",[1]库存等级接口!$E$35),"")</f>
        <v>筐</v>
      </c>
      <c r="F35" s="64" t="n">
        <f aca="false">IFERROR(IF([1]库存等级接口!$F$35=0,"",[1]库存等级接口!$F$35),"")</f>
        <v>401</v>
      </c>
      <c r="G35" s="65" t="n">
        <f aca="false">IFERROR(IF([1]库存等级接口!$G$35=0,"",[1]库存等级接口!$G$35),"")</f>
        <v>7778</v>
      </c>
      <c r="H35" s="62" t="str">
        <f aca="false">IFERROR(IF([1]库存等级接口!$H$35=0,"",[1]库存等级接口!$H$35),"")</f>
        <v>偏低</v>
      </c>
      <c r="I35" s="61" t="n">
        <f aca="false">IF($B35="",0,1)</f>
        <v>1</v>
      </c>
      <c r="J35" s="61" t="n">
        <f aca="false">N(J34)+$I35</f>
        <v>32</v>
      </c>
    </row>
    <row r="36" customFormat="false" ht="15" hidden="false" customHeight="true" outlineLevel="0" collapsed="false">
      <c r="A36" s="61" t="n">
        <v>33</v>
      </c>
      <c r="B36" s="62" t="str">
        <f aca="false">IFERROR(IF([1]库存等级接口!$B$36=0,"",[1]库存等级接口!$B$36),"")</f>
        <v>王照雪</v>
      </c>
      <c r="C36" s="63" t="str">
        <f aca="false">IFERROR(IF([1]库存等级接口!$C$36=0,"",[1]库存等级接口!$C$36),"")</f>
        <v>香梨</v>
      </c>
      <c r="D36" s="63" t="str">
        <f aca="false">IFERROR(IF([1]库存等级接口!$D$36=0,"",[1]库存等级接口!$D$36),"")</f>
        <v>香梨副特</v>
      </c>
      <c r="E36" s="63" t="str">
        <f aca="false">IFERROR(IF([1]库存等级接口!$E$36=0,"",[1]库存等级接口!$E$36),"")</f>
        <v>筐</v>
      </c>
      <c r="F36" s="64" t="n">
        <f aca="false">IFERROR(IF([1]库存等级接口!$F$36=0,"",[1]库存等级接口!$F$36),"")</f>
        <v>388</v>
      </c>
      <c r="G36" s="65" t="n">
        <f aca="false">IFERROR(IF([1]库存等级接口!$G$36=0,"",[1]库存等级接口!$G$36),"")</f>
        <v>7344</v>
      </c>
      <c r="H36" s="62" t="str">
        <f aca="false">IFERROR(IF([1]库存等级接口!$H$36=0,"",[1]库存等级接口!$H$36),"")</f>
        <v>偏低</v>
      </c>
      <c r="I36" s="61" t="n">
        <f aca="false">IF($B36="",0,1)</f>
        <v>1</v>
      </c>
      <c r="J36" s="61" t="n">
        <f aca="false">N(J35)+$I36</f>
        <v>33</v>
      </c>
    </row>
    <row r="37" customFormat="false" ht="15" hidden="false" customHeight="true" outlineLevel="0" collapsed="false">
      <c r="A37" s="61" t="n">
        <v>34</v>
      </c>
      <c r="B37" s="62" t="str">
        <f aca="false">IFERROR(IF([1]库存等级接口!$B$37=0,"",[1]库存等级接口!$B$37),"")</f>
        <v>努尔敦</v>
      </c>
      <c r="C37" s="63" t="str">
        <f aca="false">IFERROR(IF([1]库存等级接口!$C$37=0,"",[1]库存等级接口!$C$37),"")</f>
        <v>香梨</v>
      </c>
      <c r="D37" s="63" t="str">
        <f aca="false">IFERROR(IF([1]库存等级接口!$D$37=0,"",[1]库存等级接口!$D$37),"")</f>
        <v>香梨特级</v>
      </c>
      <c r="E37" s="63" t="str">
        <f aca="false">IFERROR(IF([1]库存等级接口!$E$37=0,"",[1]库存等级接口!$E$37),"")</f>
        <v>筐</v>
      </c>
      <c r="F37" s="64" t="n">
        <f aca="false">IFERROR(IF([1]库存等级接口!$F$37=0,"",[1]库存等级接口!$F$37),"")</f>
        <v>1194</v>
      </c>
      <c r="G37" s="65" t="n">
        <f aca="false">IFERROR(IF([1]库存等级接口!$G$37=0,"",[1]库存等级接口!$G$37),"")</f>
        <v>21850.2</v>
      </c>
      <c r="H37" s="62" t="str">
        <f aca="false">IFERROR(IF([1]库存等级接口!$H$37=0,"",[1]库存等级接口!$H$37),"")</f>
        <v>偏低</v>
      </c>
      <c r="I37" s="61" t="n">
        <f aca="false">IF($B37="",0,1)</f>
        <v>1</v>
      </c>
      <c r="J37" s="61" t="n">
        <f aca="false">N(J36)+$I37</f>
        <v>34</v>
      </c>
    </row>
    <row r="38" customFormat="false" ht="15" hidden="false" customHeight="true" outlineLevel="0" collapsed="false">
      <c r="A38" s="61" t="n">
        <v>35</v>
      </c>
      <c r="B38" s="62" t="str">
        <f aca="false">IFERROR(IF([1]库存等级接口!$B$38=0,"",[1]库存等级接口!$B$38),"")</f>
        <v>努尔敦</v>
      </c>
      <c r="C38" s="63" t="str">
        <f aca="false">IFERROR(IF([1]库存等级接口!$C$38=0,"",[1]库存等级接口!$C$38),"")</f>
        <v>香梨</v>
      </c>
      <c r="D38" s="63" t="str">
        <f aca="false">IFERROR(IF([1]库存等级接口!$D$38=0,"",[1]库存等级接口!$D$38),"")</f>
        <v>香梨一级</v>
      </c>
      <c r="E38" s="63" t="str">
        <f aca="false">IFERROR(IF([1]库存等级接口!$E$38=0,"",[1]库存等级接口!$E$38),"")</f>
        <v>筐</v>
      </c>
      <c r="F38" s="64" t="n">
        <f aca="false">IFERROR(IF([1]库存等级接口!$F$38=0,"",[1]库存等级接口!$F$38),"")</f>
        <v>1177</v>
      </c>
      <c r="G38" s="65" t="n">
        <f aca="false">IFERROR(IF([1]库存等级接口!$G$38=0,"",[1]库存等级接口!$G$38),"")</f>
        <v>21539.1</v>
      </c>
      <c r="H38" s="62" t="str">
        <f aca="false">IFERROR(IF([1]库存等级接口!$H$38=0,"",[1]库存等级接口!$H$38),"")</f>
        <v>偏低</v>
      </c>
      <c r="I38" s="61" t="n">
        <f aca="false">IF($B38="",0,1)</f>
        <v>1</v>
      </c>
      <c r="J38" s="61" t="n">
        <f aca="false">N(J37)+$I38</f>
        <v>35</v>
      </c>
    </row>
    <row r="39" customFormat="false" ht="15" hidden="false" customHeight="true" outlineLevel="0" collapsed="false">
      <c r="A39" s="61" t="n">
        <v>36</v>
      </c>
      <c r="B39" s="62" t="str">
        <f aca="false">IFERROR(IF([1]库存等级接口!$B$39=0,"",[1]库存等级接口!$B$39),"")</f>
        <v>努尔敦</v>
      </c>
      <c r="C39" s="63" t="str">
        <f aca="false">IFERROR(IF([1]库存等级接口!$C$39=0,"",[1]库存等级接口!$C$39),"")</f>
        <v>香梨</v>
      </c>
      <c r="D39" s="63" t="str">
        <f aca="false">IFERROR(IF([1]库存等级接口!$D$39=0,"",[1]库存等级接口!$D$39),"")</f>
        <v>香梨二级</v>
      </c>
      <c r="E39" s="63" t="str">
        <f aca="false">IFERROR(IF([1]库存等级接口!$E$39=0,"",[1]库存等级接口!$E$39),"")</f>
        <v>筐</v>
      </c>
      <c r="F39" s="64" t="n">
        <f aca="false">IFERROR(IF([1]库存等级接口!$F$39=0,"",[1]库存等级接口!$F$39),"")</f>
        <v>852</v>
      </c>
      <c r="G39" s="65" t="n">
        <f aca="false">IFERROR(IF([1]库存等级接口!$G$39=0,"",[1]库存等级接口!$G$39),"")</f>
        <v>18999.6</v>
      </c>
      <c r="H39" s="62" t="str">
        <f aca="false">IFERROR(IF([1]库存等级接口!$H$39=0,"",[1]库存等级接口!$H$39),"")</f>
        <v>偏低</v>
      </c>
      <c r="I39" s="61" t="n">
        <f aca="false">IF($B39="",0,1)</f>
        <v>1</v>
      </c>
      <c r="J39" s="61" t="n">
        <f aca="false">N(J38)+$I39</f>
        <v>36</v>
      </c>
    </row>
    <row r="40" customFormat="false" ht="15" hidden="false" customHeight="true" outlineLevel="0" collapsed="false">
      <c r="A40" s="61" t="n">
        <v>37</v>
      </c>
      <c r="B40" s="62" t="str">
        <f aca="false">IFERROR(IF([1]库存等级接口!$B$40=0,"",[1]库存等级接口!$B$40),"")</f>
        <v>王浩</v>
      </c>
      <c r="C40" s="63" t="str">
        <f aca="false">IFERROR(IF([1]库存等级接口!$C$40=0,"",[1]库存等级接口!$C$40),"")</f>
        <v>香梨</v>
      </c>
      <c r="D40" s="63" t="str">
        <f aca="false">IFERROR(IF([1]库存等级接口!$D$40=0,"",[1]库存等级接口!$D$40),"")</f>
        <v>香梨一级</v>
      </c>
      <c r="E40" s="63" t="str">
        <f aca="false">IFERROR(IF([1]库存等级接口!$E$40=0,"",[1]库存等级接口!$E$40),"")</f>
        <v>筐</v>
      </c>
      <c r="F40" s="64" t="n">
        <f aca="false">IFERROR(IF([1]库存等级接口!$F$40=0,"",[1]库存等级接口!$F$40),"")</f>
        <v>1177</v>
      </c>
      <c r="G40" s="65" t="n">
        <f aca="false">IFERROR(IF([1]库存等级接口!$G$40=0,"",[1]库存等级接口!$G$40),"")</f>
        <v>21667.2</v>
      </c>
      <c r="H40" s="62" t="str">
        <f aca="false">IFERROR(IF([1]库存等级接口!$H$40=0,"",[1]库存等级接口!$H$40),"")</f>
        <v>偏低</v>
      </c>
      <c r="I40" s="61" t="n">
        <f aca="false">IF($B40="",0,1)</f>
        <v>1</v>
      </c>
      <c r="J40" s="61" t="n">
        <f aca="false">N(J39)+$I40</f>
        <v>37</v>
      </c>
    </row>
    <row r="41" customFormat="false" ht="15" hidden="false" customHeight="true" outlineLevel="0" collapsed="false">
      <c r="A41" s="61" t="n">
        <v>38</v>
      </c>
      <c r="B41" s="62" t="str">
        <f aca="false">IFERROR(IF([1]库存等级接口!$B$41=0,"",[1]库存等级接口!$B$41),"")</f>
        <v>王照雪</v>
      </c>
      <c r="C41" s="63" t="str">
        <f aca="false">IFERROR(IF([1]库存等级接口!$C$41=0,"",[1]库存等级接口!$C$41),"")</f>
        <v>香梨</v>
      </c>
      <c r="D41" s="63" t="str">
        <f aca="false">IFERROR(IF([1]库存等级接口!$D$41=0,"",[1]库存等级接口!$D$41),"")</f>
        <v>香梨二级</v>
      </c>
      <c r="E41" s="63" t="str">
        <f aca="false">IFERROR(IF([1]库存等级接口!$E$41=0,"",[1]库存等级接口!$E$41),"")</f>
        <v>筐</v>
      </c>
      <c r="F41" s="64" t="n">
        <f aca="false">IFERROR(IF([1]库存等级接口!$F$41=0,"",[1]库存等级接口!$F$41),"")</f>
        <v>50</v>
      </c>
      <c r="G41" s="65" t="n">
        <f aca="false">IFERROR(IF([1]库存等级接口!$G$41=0,"",[1]库存等级接口!$G$41),"")</f>
        <v>1125</v>
      </c>
      <c r="H41" s="62" t="str">
        <f aca="false">IFERROR(IF([1]库存等级接口!$H$41=0,"",[1]库存等级接口!$H$41),"")</f>
        <v>偏低</v>
      </c>
      <c r="I41" s="61" t="n">
        <f aca="false">IF($B41="",0,1)</f>
        <v>1</v>
      </c>
      <c r="J41" s="61" t="n">
        <f aca="false">N(J40)+$I41</f>
        <v>38</v>
      </c>
    </row>
    <row r="42" customFormat="false" ht="15" hidden="false" customHeight="true" outlineLevel="0" collapsed="false">
      <c r="A42" s="61" t="n">
        <v>39</v>
      </c>
      <c r="B42" s="62" t="str">
        <f aca="false">IFERROR(IF([1]库存等级接口!$B$42=0,"",[1]库存等级接口!$B$42),"")</f>
        <v>王照雪</v>
      </c>
      <c r="C42" s="63" t="str">
        <f aca="false">IFERROR(IF([1]库存等级接口!$C$42=0,"",[1]库存等级接口!$C$42),"")</f>
        <v>苹果</v>
      </c>
      <c r="D42" s="63" t="str">
        <f aca="false">IFERROR(IF([1]库存等级接口!$D$42=0,"",[1]库存等级接口!$D$42),"")</f>
        <v>新世纪一级</v>
      </c>
      <c r="E42" s="63" t="str">
        <f aca="false">IFERROR(IF([1]库存等级接口!$E$42=0,"",[1]库存等级接口!$E$42),"")</f>
        <v>筐</v>
      </c>
      <c r="F42" s="64" t="n">
        <f aca="false">IFERROR(IF([1]库存等级接口!$F$42=0,"",[1]库存等级接口!$F$42),"")</f>
        <v>182</v>
      </c>
      <c r="G42" s="65" t="n">
        <f aca="false">IFERROR(IF([1]库存等级接口!$G$42=0,"",[1]库存等级接口!$G$42),"")</f>
        <v>15102.9</v>
      </c>
      <c r="H42" s="62" t="str">
        <f aca="false">IFERROR(IF([1]库存等级接口!$H$42=0,"",[1]库存等级接口!$H$42),"")</f>
        <v>偏低</v>
      </c>
      <c r="I42" s="61" t="n">
        <f aca="false">IF($B42="",0,1)</f>
        <v>1</v>
      </c>
      <c r="J42" s="61" t="n">
        <f aca="false">N(J41)+$I42</f>
        <v>39</v>
      </c>
    </row>
    <row r="43" customFormat="false" ht="15" hidden="false" customHeight="true" outlineLevel="0" collapsed="false">
      <c r="A43" s="61" t="n">
        <v>40</v>
      </c>
      <c r="B43" s="62" t="str">
        <f aca="false">IFERROR(IF([1]库存等级接口!$B$43=0,"",[1]库存等级接口!$B$43),"")</f>
        <v>王照雪</v>
      </c>
      <c r="C43" s="63" t="str">
        <f aca="false">IFERROR(IF([1]库存等级接口!$C$43=0,"",[1]库存等级接口!$C$43),"")</f>
        <v>苹果</v>
      </c>
      <c r="D43" s="63" t="str">
        <f aca="false">IFERROR(IF([1]库存等级接口!$D$43=0,"",[1]库存等级接口!$D$43),"")</f>
        <v>新世纪二级</v>
      </c>
      <c r="E43" s="63" t="str">
        <f aca="false">IFERROR(IF([1]库存等级接口!$E$43=0,"",[1]库存等级接口!$E$43),"")</f>
        <v>筐</v>
      </c>
      <c r="F43" s="64" t="n">
        <f aca="false">IFERROR(IF([1]库存等级接口!$F$43=0,"",[1]库存等级接口!$F$43),"")</f>
        <v>52</v>
      </c>
      <c r="G43" s="65" t="n">
        <f aca="false">IFERROR(IF([1]库存等级接口!$G$43=0,"",[1]库存等级接口!$G$43),"")</f>
        <v>5084.6</v>
      </c>
      <c r="H43" s="62" t="str">
        <f aca="false">IFERROR(IF([1]库存等级接口!$H$43=0,"",[1]库存等级接口!$H$43),"")</f>
        <v>偏低</v>
      </c>
      <c r="I43" s="61" t="n">
        <f aca="false">IF($B43="",0,1)</f>
        <v>1</v>
      </c>
      <c r="J43" s="61" t="n">
        <f aca="false">N(J42)+$I43</f>
        <v>40</v>
      </c>
    </row>
    <row r="44" customFormat="false" ht="15" hidden="false" customHeight="true" outlineLevel="0" collapsed="false">
      <c r="A44" s="61" t="n">
        <v>41</v>
      </c>
      <c r="B44" s="62" t="str">
        <f aca="false">IFERROR(IF([1]库存等级接口!$B$44=0,"",[1]库存等级接口!$B$44),"")</f>
        <v>王照雪</v>
      </c>
      <c r="C44" s="63" t="str">
        <f aca="false">IFERROR(IF([1]库存等级接口!$C$44=0,"",[1]库存等级接口!$C$44),"")</f>
        <v>苹果</v>
      </c>
      <c r="D44" s="63" t="str">
        <f aca="false">IFERROR(IF([1]库存等级接口!$D$44=0,"",[1]库存等级接口!$D$44),"")</f>
        <v>新世纪特级</v>
      </c>
      <c r="E44" s="63" t="str">
        <f aca="false">IFERROR(IF([1]库存等级接口!$E$44=0,"",[1]库存等级接口!$E$44),"")</f>
        <v>筐</v>
      </c>
      <c r="F44" s="64" t="str">
        <f aca="false">IFERROR(IF([1]库存等级接口!$F$44=0,"",[1]库存等级接口!$F$44),"")</f>
        <v/>
      </c>
      <c r="G44" s="65" t="n">
        <f aca="false">IFERROR(IF([1]库存等级接口!$G$44=0,"",[1]库存等级接口!$G$44),"")</f>
        <v>1262.9</v>
      </c>
      <c r="H44" s="62" t="str">
        <f aca="false">IFERROR(IF([1]库存等级接口!$H$44=0,"",[1]库存等级接口!$H$44),"")</f>
        <v>无库存</v>
      </c>
      <c r="I44" s="61" t="n">
        <f aca="false">IF($B44="",0,1)</f>
        <v>1</v>
      </c>
      <c r="J44" s="61" t="n">
        <f aca="false">N(J43)+$I44</f>
        <v>41</v>
      </c>
    </row>
    <row r="45" customFormat="false" ht="15" hidden="false" customHeight="true" outlineLevel="0" collapsed="false">
      <c r="A45" s="61" t="n">
        <v>42</v>
      </c>
      <c r="B45" s="62" t="str">
        <f aca="false">IFERROR(IF([1]库存等级接口!$B$45=0,"",[1]库存等级接口!$B$45),"")</f>
        <v>热合曼+艾则孜</v>
      </c>
      <c r="C45" s="63" t="str">
        <f aca="false">IFERROR(IF([1]库存等级接口!$C$45=0,"",[1]库存等级接口!$C$45),"")</f>
        <v>香梨</v>
      </c>
      <c r="D45" s="63" t="str">
        <f aca="false">IFERROR(IF([1]库存等级接口!$D$45=0,"",[1]库存等级接口!$D$45),"")</f>
        <v>香梨一级</v>
      </c>
      <c r="E45" s="63" t="str">
        <f aca="false">IFERROR(IF([1]库存等级接口!$E$45=0,"",[1]库存等级接口!$E$45),"")</f>
        <v>筐</v>
      </c>
      <c r="F45" s="64" t="n">
        <f aca="false">IFERROR(IF([1]库存等级接口!$F$45=0,"",[1]库存等级接口!$F$45),"")</f>
        <v>329</v>
      </c>
      <c r="G45" s="65" t="n">
        <f aca="false">IFERROR(IF([1]库存等级接口!$G$45=0,"",[1]库存等级接口!$G$45),"")</f>
        <v>6020.7</v>
      </c>
      <c r="H45" s="62" t="str">
        <f aca="false">IFERROR(IF([1]库存等级接口!$H$45=0,"",[1]库存等级接口!$H$45),"")</f>
        <v>偏低</v>
      </c>
      <c r="I45" s="61" t="n">
        <f aca="false">IF($B45="",0,1)</f>
        <v>1</v>
      </c>
      <c r="J45" s="61" t="n">
        <f aca="false">N(J44)+$I45</f>
        <v>42</v>
      </c>
    </row>
    <row r="46" customFormat="false" ht="15" hidden="false" customHeight="true" outlineLevel="0" collapsed="false">
      <c r="A46" s="61" t="n">
        <v>43</v>
      </c>
      <c r="B46" s="62" t="str">
        <f aca="false">IFERROR(IF([1]库存等级接口!$B$46=0,"",[1]库存等级接口!$B$46),"")</f>
        <v>热合曼+艾则孜</v>
      </c>
      <c r="C46" s="63" t="str">
        <f aca="false">IFERROR(IF([1]库存等级接口!$C$46=0,"",[1]库存等级接口!$C$46),"")</f>
        <v>香梨</v>
      </c>
      <c r="D46" s="63" t="str">
        <f aca="false">IFERROR(IF([1]库存等级接口!$D$46=0,"",[1]库存等级接口!$D$46),"")</f>
        <v>香梨二级</v>
      </c>
      <c r="E46" s="63" t="str">
        <f aca="false">IFERROR(IF([1]库存等级接口!$E$46=0,"",[1]库存等级接口!$E$46),"")</f>
        <v>筐</v>
      </c>
      <c r="F46" s="64" t="n">
        <f aca="false">IFERROR(IF([1]库存等级接口!$F$46=0,"",[1]库存等级接口!$F$46),"")</f>
        <v>131</v>
      </c>
      <c r="G46" s="65" t="n">
        <f aca="false">IFERROR(IF([1]库存等级接口!$G$46=0,"",[1]库存等级接口!$G$46),"")</f>
        <v>2921.3</v>
      </c>
      <c r="H46" s="62" t="str">
        <f aca="false">IFERROR(IF([1]库存等级接口!$H$46=0,"",[1]库存等级接口!$H$46),"")</f>
        <v>偏低</v>
      </c>
      <c r="I46" s="61" t="n">
        <f aca="false">IF($B46="",0,1)</f>
        <v>1</v>
      </c>
      <c r="J46" s="61" t="n">
        <f aca="false">N(J45)+$I46</f>
        <v>43</v>
      </c>
    </row>
    <row r="47" customFormat="false" ht="15" hidden="false" customHeight="true" outlineLevel="0" collapsed="false">
      <c r="A47" s="61" t="n">
        <v>44</v>
      </c>
      <c r="B47" s="62" t="str">
        <f aca="false">IFERROR(IF([1]库存等级接口!$B$47=0,"",[1]库存等级接口!$B$47),"")</f>
        <v>热合曼+艾则孜</v>
      </c>
      <c r="C47" s="63" t="str">
        <f aca="false">IFERROR(IF([1]库存等级接口!$C$47=0,"",[1]库存等级接口!$C$47),"")</f>
        <v>香梨</v>
      </c>
      <c r="D47" s="63" t="str">
        <f aca="false">IFERROR(IF([1]库存等级接口!$D$47=0,"",[1]库存等级接口!$D$47),"")</f>
        <v>香梨副特</v>
      </c>
      <c r="E47" s="63" t="str">
        <f aca="false">IFERROR(IF([1]库存等级接口!$E$47=0,"",[1]库存等级接口!$E$47),"")</f>
        <v>筐</v>
      </c>
      <c r="F47" s="64" t="n">
        <f aca="false">IFERROR(IF([1]库存等级接口!$F$47=0,"",[1]库存等级接口!$F$47),"")</f>
        <v>40</v>
      </c>
      <c r="G47" s="65" t="n">
        <f aca="false">IFERROR(IF([1]库存等级接口!$G$47=0,"",[1]库存等级接口!$G$47),"")</f>
        <v>732</v>
      </c>
      <c r="H47" s="62" t="str">
        <f aca="false">IFERROR(IF([1]库存等级接口!$H$47=0,"",[1]库存等级接口!$H$47),"")</f>
        <v>偏低</v>
      </c>
      <c r="I47" s="61" t="n">
        <f aca="false">IF($B47="",0,1)</f>
        <v>1</v>
      </c>
      <c r="J47" s="61" t="n">
        <f aca="false">N(J46)+$I47</f>
        <v>44</v>
      </c>
    </row>
    <row r="48" customFormat="false" ht="15" hidden="false" customHeight="true" outlineLevel="0" collapsed="false">
      <c r="A48" s="61" t="n">
        <v>45</v>
      </c>
      <c r="B48" s="62" t="str">
        <f aca="false">IFERROR(IF([1]库存等级接口!$B$48=0,"",[1]库存等级接口!$B$48),"")</f>
        <v>李现东</v>
      </c>
      <c r="C48" s="63" t="str">
        <f aca="false">IFERROR(IF([1]库存等级接口!$C$48=0,"",[1]库存等级接口!$C$48),"")</f>
        <v>香梨</v>
      </c>
      <c r="D48" s="63" t="str">
        <f aca="false">IFERROR(IF([1]库存等级接口!$D$48=0,"",[1]库存等级接口!$D$48),"")</f>
        <v>香梨一级</v>
      </c>
      <c r="E48" s="63" t="str">
        <f aca="false">IFERROR(IF([1]库存等级接口!$E$48=0,"",[1]库存等级接口!$E$48),"")</f>
        <v>筐</v>
      </c>
      <c r="F48" s="64" t="n">
        <f aca="false">IFERROR(IF([1]库存等级接口!$F$48=0,"",[1]库存等级接口!$F$48),"")</f>
        <v>310</v>
      </c>
      <c r="G48" s="65" t="n">
        <f aca="false">IFERROR(IF([1]库存等级接口!$G$48=0,"",[1]库存等级接口!$G$48),"")</f>
        <v>5673</v>
      </c>
      <c r="H48" s="62" t="str">
        <f aca="false">IFERROR(IF([1]库存等级接口!$H$48=0,"",[1]库存等级接口!$H$48),"")</f>
        <v>偏低</v>
      </c>
      <c r="I48" s="61" t="n">
        <f aca="false">IF($B48="",0,1)</f>
        <v>1</v>
      </c>
      <c r="J48" s="61" t="n">
        <f aca="false">N(J47)+$I48</f>
        <v>45</v>
      </c>
    </row>
    <row r="49" customFormat="false" ht="15" hidden="false" customHeight="true" outlineLevel="0" collapsed="false">
      <c r="A49" s="61" t="n">
        <v>46</v>
      </c>
      <c r="B49" s="62" t="str">
        <f aca="false">IFERROR(IF([1]库存等级接口!$B$49=0,"",[1]库存等级接口!$B$49),"")</f>
        <v>李现东</v>
      </c>
      <c r="C49" s="63" t="str">
        <f aca="false">IFERROR(IF([1]库存等级接口!$C$49=0,"",[1]库存等级接口!$C$49),"")</f>
        <v>香梨</v>
      </c>
      <c r="D49" s="63" t="str">
        <f aca="false">IFERROR(IF([1]库存等级接口!$D$49=0,"",[1]库存等级接口!$D$49),"")</f>
        <v>香梨二级</v>
      </c>
      <c r="E49" s="63" t="str">
        <f aca="false">IFERROR(IF([1]库存等级接口!$E$49=0,"",[1]库存等级接口!$E$49),"")</f>
        <v>筐</v>
      </c>
      <c r="F49" s="64" t="n">
        <f aca="false">IFERROR(IF([1]库存等级接口!$F$49=0,"",[1]库存等级接口!$F$49),"")</f>
        <v>103</v>
      </c>
      <c r="G49" s="65" t="n">
        <f aca="false">IFERROR(IF([1]库存等级接口!$G$49=0,"",[1]库存等级接口!$G$49),"")</f>
        <v>2296.9</v>
      </c>
      <c r="H49" s="62" t="str">
        <f aca="false">IFERROR(IF([1]库存等级接口!$H$49=0,"",[1]库存等级接口!$H$49),"")</f>
        <v>偏低</v>
      </c>
      <c r="I49" s="61" t="n">
        <f aca="false">IF($B49="",0,1)</f>
        <v>1</v>
      </c>
      <c r="J49" s="61" t="n">
        <f aca="false">N(J48)+$I49</f>
        <v>46</v>
      </c>
    </row>
    <row r="50" customFormat="false" ht="15" hidden="false" customHeight="true" outlineLevel="0" collapsed="false">
      <c r="A50" s="61" t="n">
        <v>47</v>
      </c>
      <c r="B50" s="62" t="str">
        <f aca="false">IFERROR(IF([1]库存等级接口!$B$50=0,"",[1]库存等级接口!$B$50),"")</f>
        <v>李现东</v>
      </c>
      <c r="C50" s="63" t="str">
        <f aca="false">IFERROR(IF([1]库存等级接口!$C$50=0,"",[1]库存等级接口!$C$50),"")</f>
        <v>香梨</v>
      </c>
      <c r="D50" s="63" t="str">
        <f aca="false">IFERROR(IF([1]库存等级接口!$D$50=0,"",[1]库存等级接口!$D$50),"")</f>
        <v>香梨副特</v>
      </c>
      <c r="E50" s="63" t="str">
        <f aca="false">IFERROR(IF([1]库存等级接口!$E$50=0,"",[1]库存等级接口!$E$50),"")</f>
        <v>筐</v>
      </c>
      <c r="F50" s="64" t="n">
        <f aca="false">IFERROR(IF([1]库存等级接口!$F$50=0,"",[1]库存等级接口!$F$50),"")</f>
        <v>56</v>
      </c>
      <c r="G50" s="65" t="n">
        <f aca="false">IFERROR(IF([1]库存等级接口!$G$50=0,"",[1]库存等级接口!$G$50),"")</f>
        <v>1024.8</v>
      </c>
      <c r="H50" s="62" t="str">
        <f aca="false">IFERROR(IF([1]库存等级接口!$H$50=0,"",[1]库存等级接口!$H$50),"")</f>
        <v>偏低</v>
      </c>
      <c r="I50" s="61" t="n">
        <f aca="false">IF($B50="",0,1)</f>
        <v>1</v>
      </c>
      <c r="J50" s="61" t="n">
        <f aca="false">N(J49)+$I50</f>
        <v>47</v>
      </c>
    </row>
    <row r="51" customFormat="false" ht="15" hidden="false" customHeight="true" outlineLevel="0" collapsed="false">
      <c r="A51" s="61" t="n">
        <v>48</v>
      </c>
      <c r="B51" s="62" t="str">
        <f aca="false">IFERROR(IF([1]库存等级接口!$B$51=0,"",[1]库存等级接口!$B$51),"")</f>
        <v>吐尔逊</v>
      </c>
      <c r="C51" s="63" t="str">
        <f aca="false">IFERROR(IF([1]库存等级接口!$C$51=0,"",[1]库存等级接口!$C$51),"")</f>
        <v>香梨</v>
      </c>
      <c r="D51" s="63" t="str">
        <f aca="false">IFERROR(IF([1]库存等级接口!$D$51=0,"",[1]库存等级接口!$D$51),"")</f>
        <v>香梨一级</v>
      </c>
      <c r="E51" s="63" t="str">
        <f aca="false">IFERROR(IF([1]库存等级接口!$E$51=0,"",[1]库存等级接口!$E$51),"")</f>
        <v>筐</v>
      </c>
      <c r="F51" s="64" t="n">
        <f aca="false">IFERROR(IF([1]库存等级接口!$F$51=0,"",[1]库存等级接口!$F$51),"")</f>
        <v>100</v>
      </c>
      <c r="G51" s="65" t="n">
        <f aca="false">IFERROR(IF([1]库存等级接口!$G$51=0,"",[1]库存等级接口!$G$51),"")</f>
        <v>1750</v>
      </c>
      <c r="H51" s="62" t="str">
        <f aca="false">IFERROR(IF([1]库存等级接口!$H$51=0,"",[1]库存等级接口!$H$51),"")</f>
        <v>偏低</v>
      </c>
      <c r="I51" s="61" t="n">
        <f aca="false">IF($B51="",0,1)</f>
        <v>1</v>
      </c>
      <c r="J51" s="61" t="n">
        <f aca="false">N(J50)+$I51</f>
        <v>48</v>
      </c>
    </row>
    <row r="52" customFormat="false" ht="15" hidden="false" customHeight="true" outlineLevel="0" collapsed="false">
      <c r="A52" s="61" t="n">
        <v>49</v>
      </c>
      <c r="B52" s="62" t="str">
        <f aca="false">IFERROR(IF([1]库存等级接口!$B$52=0,"",[1]库存等级接口!$B$52),"")</f>
        <v>吐尔逊</v>
      </c>
      <c r="C52" s="63" t="str">
        <f aca="false">IFERROR(IF([1]库存等级接口!$C$52=0,"",[1]库存等级接口!$C$52),"")</f>
        <v>香梨</v>
      </c>
      <c r="D52" s="63" t="str">
        <f aca="false">IFERROR(IF([1]库存等级接口!$D$52=0,"",[1]库存等级接口!$D$52),"")</f>
        <v>香梨二级</v>
      </c>
      <c r="E52" s="63" t="str">
        <f aca="false">IFERROR(IF([1]库存等级接口!$E$52=0,"",[1]库存等级接口!$E$52),"")</f>
        <v>筐</v>
      </c>
      <c r="F52" s="64" t="n">
        <f aca="false">IFERROR(IF([1]库存等级接口!$F$52=0,"",[1]库存等级接口!$F$52),"")</f>
        <v>100</v>
      </c>
      <c r="G52" s="65" t="n">
        <f aca="false">IFERROR(IF([1]库存等级接口!$G$52=0,"",[1]库存等级接口!$G$52),"")</f>
        <v>2450</v>
      </c>
      <c r="H52" s="62" t="str">
        <f aca="false">IFERROR(IF([1]库存等级接口!$H$52=0,"",[1]库存等级接口!$H$52),"")</f>
        <v>偏低</v>
      </c>
      <c r="I52" s="61" t="n">
        <f aca="false">IF($B52="",0,1)</f>
        <v>1</v>
      </c>
      <c r="J52" s="61" t="n">
        <f aca="false">N(J51)+$I52</f>
        <v>49</v>
      </c>
    </row>
    <row r="53" customFormat="false" ht="15" hidden="false" customHeight="true" outlineLevel="0" collapsed="false">
      <c r="A53" s="61" t="n">
        <v>50</v>
      </c>
      <c r="B53" s="62" t="str">
        <f aca="false">IFERROR(IF([1]库存等级接口!$B$53=0,"",[1]库存等级接口!$B$53),"")</f>
        <v>王照雪</v>
      </c>
      <c r="C53" s="63" t="str">
        <f aca="false">IFERROR(IF([1]库存等级接口!$C$53=0,"",[1]库存等级接口!$C$53),"")</f>
        <v>苹果</v>
      </c>
      <c r="D53" s="63" t="str">
        <f aca="false">IFERROR(IF([1]库存等级接口!$D$53=0,"",[1]库存等级接口!$D$53),"")</f>
        <v>玫瑰红一级</v>
      </c>
      <c r="E53" s="63" t="str">
        <f aca="false">IFERROR(IF([1]库存等级接口!$E$53=0,"",[1]库存等级接口!$E$53),"")</f>
        <v>筐</v>
      </c>
      <c r="F53" s="64" t="str">
        <f aca="false">IFERROR(IF([1]库存等级接口!$F$53=0,"",[1]库存等级接口!$F$53),"")</f>
        <v/>
      </c>
      <c r="G53" s="65" t="n">
        <f aca="false">IFERROR(IF([1]库存等级接口!$G$53=0,"",[1]库存等级接口!$G$53),"")</f>
        <v>415.2</v>
      </c>
      <c r="H53" s="62" t="str">
        <f aca="false">IFERROR(IF([1]库存等级接口!$H$53=0,"",[1]库存等级接口!$H$53),"")</f>
        <v>无库存</v>
      </c>
      <c r="I53" s="61" t="n">
        <f aca="false">IF($B53="",0,1)</f>
        <v>1</v>
      </c>
      <c r="J53" s="61" t="n">
        <f aca="false">N(J52)+$I53</f>
        <v>50</v>
      </c>
    </row>
    <row r="54" customFormat="false" ht="15" hidden="false" customHeight="true" outlineLevel="0" collapsed="false">
      <c r="A54" s="61" t="n">
        <v>51</v>
      </c>
      <c r="B54" s="62" t="str">
        <f aca="false">IFERROR(IF([1]库存等级接口!$B$54=0,"",[1]库存等级接口!$B$54),"")</f>
        <v>阿布都</v>
      </c>
      <c r="C54" s="63" t="str">
        <f aca="false">IFERROR(IF([1]库存等级接口!$C$54=0,"",[1]库存等级接口!$C$54),"")</f>
        <v>香梨</v>
      </c>
      <c r="D54" s="63" t="str">
        <f aca="false">IFERROR(IF([1]库存等级接口!$D$54=0,"",[1]库存等级接口!$D$54),"")</f>
        <v>香梨特级</v>
      </c>
      <c r="E54" s="63" t="str">
        <f aca="false">IFERROR(IF([1]库存等级接口!$E$54=0,"",[1]库存等级接口!$E$54),"")</f>
        <v>筐</v>
      </c>
      <c r="F54" s="64" t="n">
        <f aca="false">IFERROR(IF([1]库存等级接口!$F$54=0,"",[1]库存等级接口!$F$54),"")</f>
        <v>118</v>
      </c>
      <c r="G54" s="65" t="n">
        <f aca="false">IFERROR(IF([1]库存等级接口!$G$54=0,"",[1]库存等级接口!$G$54),"")</f>
        <v>2159.4</v>
      </c>
      <c r="H54" s="62" t="str">
        <f aca="false">IFERROR(IF([1]库存等级接口!$H$54=0,"",[1]库存等级接口!$H$54),"")</f>
        <v>偏低</v>
      </c>
      <c r="I54" s="61" t="n">
        <f aca="false">IF($B54="",0,1)</f>
        <v>1</v>
      </c>
      <c r="J54" s="61" t="n">
        <f aca="false">N(J53)+$I54</f>
        <v>51</v>
      </c>
    </row>
    <row r="55" customFormat="false" ht="15" hidden="false" customHeight="true" outlineLevel="0" collapsed="false">
      <c r="A55" s="61" t="n">
        <v>52</v>
      </c>
      <c r="B55" s="62" t="str">
        <f aca="false">IFERROR(IF([1]库存等级接口!$B$55=0,"",[1]库存等级接口!$B$55),"")</f>
        <v>阿布都</v>
      </c>
      <c r="C55" s="63" t="str">
        <f aca="false">IFERROR(IF([1]库存等级接口!$C$55=0,"",[1]库存等级接口!$C$55),"")</f>
        <v>香梨</v>
      </c>
      <c r="D55" s="63" t="str">
        <f aca="false">IFERROR(IF([1]库存等级接口!$D$55=0,"",[1]库存等级接口!$D$55),"")</f>
        <v>香梨一级</v>
      </c>
      <c r="E55" s="63" t="str">
        <f aca="false">IFERROR(IF([1]库存等级接口!$E$55=0,"",[1]库存等级接口!$E$55),"")</f>
        <v>筐</v>
      </c>
      <c r="F55" s="64" t="n">
        <f aca="false">IFERROR(IF([1]库存等级接口!$F$55=0,"",[1]库存等级接口!$F$55),"")</f>
        <v>43</v>
      </c>
      <c r="G55" s="65" t="n">
        <f aca="false">IFERROR(IF([1]库存等级接口!$G$55=0,"",[1]库存等级接口!$G$55),"")</f>
        <v>786.9</v>
      </c>
      <c r="H55" s="62" t="str">
        <f aca="false">IFERROR(IF([1]库存等级接口!$H$55=0,"",[1]库存等级接口!$H$55),"")</f>
        <v>偏低</v>
      </c>
      <c r="I55" s="61" t="n">
        <f aca="false">IF($B55="",0,1)</f>
        <v>1</v>
      </c>
      <c r="J55" s="61" t="n">
        <f aca="false">N(J54)+$I55</f>
        <v>52</v>
      </c>
    </row>
    <row r="56" customFormat="false" ht="15" hidden="false" customHeight="true" outlineLevel="0" collapsed="false">
      <c r="A56" s="61" t="n">
        <v>53</v>
      </c>
      <c r="B56" s="62" t="str">
        <f aca="false">IFERROR(IF([1]库存等级接口!$B$56=0,"",[1]库存等级接口!$B$56),"")</f>
        <v>阿布都</v>
      </c>
      <c r="C56" s="63" t="str">
        <f aca="false">IFERROR(IF([1]库存等级接口!$C$56=0,"",[1]库存等级接口!$C$56),"")</f>
        <v>香梨</v>
      </c>
      <c r="D56" s="63" t="str">
        <f aca="false">IFERROR(IF([1]库存等级接口!$D$56=0,"",[1]库存等级接口!$D$56),"")</f>
        <v>香梨副特</v>
      </c>
      <c r="E56" s="63" t="str">
        <f aca="false">IFERROR(IF([1]库存等级接口!$E$56=0,"",[1]库存等级接口!$E$56),"")</f>
        <v>筐</v>
      </c>
      <c r="F56" s="64" t="n">
        <f aca="false">IFERROR(IF([1]库存等级接口!$F$56=0,"",[1]库存等级接口!$F$56),"")</f>
        <v>154</v>
      </c>
      <c r="G56" s="65" t="n">
        <f aca="false">IFERROR(IF([1]库存等级接口!$G$56=0,"",[1]库存等级接口!$G$56),"")</f>
        <v>3026.2</v>
      </c>
      <c r="H56" s="62" t="str">
        <f aca="false">IFERROR(IF([1]库存等级接口!$H$56=0,"",[1]库存等级接口!$H$56),"")</f>
        <v>偏低</v>
      </c>
      <c r="I56" s="61" t="n">
        <f aca="false">IF($B56="",0,1)</f>
        <v>1</v>
      </c>
      <c r="J56" s="61" t="n">
        <f aca="false">N(J55)+$I56</f>
        <v>53</v>
      </c>
    </row>
    <row r="57" customFormat="false" ht="15" hidden="false" customHeight="true" outlineLevel="0" collapsed="false">
      <c r="A57" s="61" t="n">
        <v>54</v>
      </c>
      <c r="B57" s="62" t="str">
        <f aca="false">IFERROR(IF([1]库存等级接口!$B$57=0,"",[1]库存等级接口!$B$57),"")</f>
        <v>艾则孜</v>
      </c>
      <c r="C57" s="63" t="str">
        <f aca="false">IFERROR(IF([1]库存等级接口!$C$57=0,"",[1]库存等级接口!$C$57),"")</f>
        <v>香梨</v>
      </c>
      <c r="D57" s="63" t="str">
        <f aca="false">IFERROR(IF([1]库存等级接口!$D$57=0,"",[1]库存等级接口!$D$57),"")</f>
        <v>香梨一级</v>
      </c>
      <c r="E57" s="63" t="str">
        <f aca="false">IFERROR(IF([1]库存等级接口!$E$57=0,"",[1]库存等级接口!$E$57),"")</f>
        <v>筐</v>
      </c>
      <c r="F57" s="64" t="n">
        <f aca="false">IFERROR(IF([1]库存等级接口!$F$57=0,"",[1]库存等级接口!$F$57),"")</f>
        <v>280</v>
      </c>
      <c r="G57" s="65" t="n">
        <f aca="false">IFERROR(IF([1]库存等级接口!$G$57=0,"",[1]库存等级接口!$G$57),"")</f>
        <v>5404</v>
      </c>
      <c r="H57" s="62" t="str">
        <f aca="false">IFERROR(IF([1]库存等级接口!$H$57=0,"",[1]库存等级接口!$H$57),"")</f>
        <v>偏低</v>
      </c>
      <c r="I57" s="61" t="n">
        <f aca="false">IF($B57="",0,1)</f>
        <v>1</v>
      </c>
      <c r="J57" s="61" t="n">
        <f aca="false">N(J56)+$I57</f>
        <v>54</v>
      </c>
    </row>
    <row r="58" customFormat="false" ht="15" hidden="false" customHeight="true" outlineLevel="0" collapsed="false">
      <c r="A58" s="61" t="n">
        <v>55</v>
      </c>
      <c r="B58" s="62" t="str">
        <f aca="false">IFERROR(IF([1]库存等级接口!$B$58=0,"",[1]库存等级接口!$B$58),"")</f>
        <v>艾则孜</v>
      </c>
      <c r="C58" s="63" t="str">
        <f aca="false">IFERROR(IF([1]库存等级接口!$C$58=0,"",[1]库存等级接口!$C$58),"")</f>
        <v>香梨</v>
      </c>
      <c r="D58" s="63" t="str">
        <f aca="false">IFERROR(IF([1]库存等级接口!$D$58=0,"",[1]库存等级接口!$D$58),"")</f>
        <v>香梨二级</v>
      </c>
      <c r="E58" s="63" t="str">
        <f aca="false">IFERROR(IF([1]库存等级接口!$E$58=0,"",[1]库存等级接口!$E$58),"")</f>
        <v>筐</v>
      </c>
      <c r="F58" s="64" t="n">
        <f aca="false">IFERROR(IF([1]库存等级接口!$F$58=0,"",[1]库存等级接口!$F$58),"")</f>
        <v>88</v>
      </c>
      <c r="G58" s="65" t="n">
        <f aca="false">IFERROR(IF([1]库存等级接口!$G$58=0,"",[1]库存等级接口!$G$58),"")</f>
        <v>1962.4</v>
      </c>
      <c r="H58" s="62" t="str">
        <f aca="false">IFERROR(IF([1]库存等级接口!$H$58=0,"",[1]库存等级接口!$H$58),"")</f>
        <v>偏低</v>
      </c>
      <c r="I58" s="61" t="n">
        <f aca="false">IF($B58="",0,1)</f>
        <v>1</v>
      </c>
      <c r="J58" s="61" t="n">
        <f aca="false">N(J57)+$I58</f>
        <v>55</v>
      </c>
    </row>
    <row r="59" customFormat="false" ht="15" hidden="false" customHeight="true" outlineLevel="0" collapsed="false">
      <c r="A59" s="61" t="n">
        <v>56</v>
      </c>
      <c r="B59" s="62" t="str">
        <f aca="false">IFERROR(IF([1]库存等级接口!$B$59=0,"",[1]库存等级接口!$B$59),"")</f>
        <v>艾则孜</v>
      </c>
      <c r="C59" s="63" t="str">
        <f aca="false">IFERROR(IF([1]库存等级接口!$C$59=0,"",[1]库存等级接口!$C$59),"")</f>
        <v>香梨</v>
      </c>
      <c r="D59" s="63" t="str">
        <f aca="false">IFERROR(IF([1]库存等级接口!$D$59=0,"",[1]库存等级接口!$D$59),"")</f>
        <v>香梨副特</v>
      </c>
      <c r="E59" s="63" t="str">
        <f aca="false">IFERROR(IF([1]库存等级接口!$E$59=0,"",[1]库存等级接口!$E$59),"")</f>
        <v>筐</v>
      </c>
      <c r="F59" s="64" t="n">
        <f aca="false">IFERROR(IF([1]库存等级接口!$F$59=0,"",[1]库存等级接口!$F$59),"")</f>
        <v>170</v>
      </c>
      <c r="G59" s="65" t="n">
        <f aca="false">IFERROR(IF([1]库存等级接口!$G$59=0,"",[1]库存等级接口!$G$59),"")</f>
        <v>3281</v>
      </c>
      <c r="H59" s="62" t="str">
        <f aca="false">IFERROR(IF([1]库存等级接口!$H$59=0,"",[1]库存等级接口!$H$59),"")</f>
        <v>偏低</v>
      </c>
      <c r="I59" s="61" t="n">
        <f aca="false">IF($B59="",0,1)</f>
        <v>1</v>
      </c>
      <c r="J59" s="61" t="n">
        <f aca="false">N(J58)+$I59</f>
        <v>56</v>
      </c>
    </row>
    <row r="60" customFormat="false" ht="15" hidden="false" customHeight="true" outlineLevel="0" collapsed="false">
      <c r="A60" s="61" t="n">
        <v>57</v>
      </c>
      <c r="B60" s="62" t="str">
        <f aca="false">IFERROR(IF([1]库存等级接口!$B$60=0,"",[1]库存等级接口!$B$60),"")</f>
        <v/>
      </c>
      <c r="C60" s="63" t="str">
        <f aca="false">IFERROR(IF([1]库存等级接口!$C$60=0,"",[1]库存等级接口!$C$60),"")</f>
        <v/>
      </c>
      <c r="D60" s="63" t="str">
        <f aca="false">IFERROR(IF([1]库存等级接口!$D$60=0,"",[1]库存等级接口!$D$60),"")</f>
        <v/>
      </c>
      <c r="E60" s="63" t="str">
        <f aca="false">IFERROR(IF([1]库存等级接口!$E$60=0,"",[1]库存等级接口!$E$60),"")</f>
        <v/>
      </c>
      <c r="F60" s="64" t="str">
        <f aca="false">IFERROR(IF([1]库存等级接口!$F$60=0,"",[1]库存等级接口!$F$60),"")</f>
        <v/>
      </c>
      <c r="G60" s="65" t="str">
        <f aca="false">IFERROR(IF([1]库存等级接口!$G$60=0,"",[1]库存等级接口!$G$60),"")</f>
        <v/>
      </c>
      <c r="H60" s="62" t="str">
        <f aca="false">IFERROR(IF([1]库存等级接口!$H$60=0,"",[1]库存等级接口!$H$60),"")</f>
        <v/>
      </c>
      <c r="I60" s="61" t="n">
        <f aca="false">IF($B60="",0,1)</f>
        <v>0</v>
      </c>
      <c r="J60" s="61" t="n">
        <f aca="false">N(J59)+$I60</f>
        <v>56</v>
      </c>
    </row>
    <row r="61" customFormat="false" ht="15" hidden="false" customHeight="true" outlineLevel="0" collapsed="false">
      <c r="A61" s="61" t="n">
        <v>58</v>
      </c>
      <c r="B61" s="62" t="str">
        <f aca="false">IFERROR(IF([1]库存等级接口!$B$61=0,"",[1]库存等级接口!$B$61),"")</f>
        <v/>
      </c>
      <c r="C61" s="63" t="str">
        <f aca="false">IFERROR(IF([1]库存等级接口!$C$61=0,"",[1]库存等级接口!$C$61),"")</f>
        <v/>
      </c>
      <c r="D61" s="63" t="str">
        <f aca="false">IFERROR(IF([1]库存等级接口!$D$61=0,"",[1]库存等级接口!$D$61),"")</f>
        <v/>
      </c>
      <c r="E61" s="63" t="str">
        <f aca="false">IFERROR(IF([1]库存等级接口!$E$61=0,"",[1]库存等级接口!$E$61),"")</f>
        <v/>
      </c>
      <c r="F61" s="64" t="str">
        <f aca="false">IFERROR(IF([1]库存等级接口!$F$61=0,"",[1]库存等级接口!$F$61),"")</f>
        <v/>
      </c>
      <c r="G61" s="65" t="str">
        <f aca="false">IFERROR(IF([1]库存等级接口!$G$61=0,"",[1]库存等级接口!$G$61),"")</f>
        <v/>
      </c>
      <c r="H61" s="62" t="str">
        <f aca="false">IFERROR(IF([1]库存等级接口!$H$61=0,"",[1]库存等级接口!$H$61),"")</f>
        <v/>
      </c>
      <c r="I61" s="61" t="n">
        <f aca="false">IF($B61="",0,1)</f>
        <v>0</v>
      </c>
      <c r="J61" s="61" t="n">
        <f aca="false">N(J60)+$I61</f>
        <v>56</v>
      </c>
    </row>
    <row r="62" customFormat="false" ht="15" hidden="false" customHeight="true" outlineLevel="0" collapsed="false">
      <c r="A62" s="61" t="n">
        <v>59</v>
      </c>
      <c r="B62" s="62" t="str">
        <f aca="false">IFERROR(IF([1]库存等级接口!$B$62=0,"",[1]库存等级接口!$B$62),"")</f>
        <v/>
      </c>
      <c r="C62" s="63" t="str">
        <f aca="false">IFERROR(IF([1]库存等级接口!$C$62=0,"",[1]库存等级接口!$C$62),"")</f>
        <v/>
      </c>
      <c r="D62" s="63" t="str">
        <f aca="false">IFERROR(IF([1]库存等级接口!$D$62=0,"",[1]库存等级接口!$D$62),"")</f>
        <v/>
      </c>
      <c r="E62" s="63" t="str">
        <f aca="false">IFERROR(IF([1]库存等级接口!$E$62=0,"",[1]库存等级接口!$E$62),"")</f>
        <v/>
      </c>
      <c r="F62" s="64" t="str">
        <f aca="false">IFERROR(IF([1]库存等级接口!$F$62=0,"",[1]库存等级接口!$F$62),"")</f>
        <v/>
      </c>
      <c r="G62" s="65" t="str">
        <f aca="false">IFERROR(IF([1]库存等级接口!$G$62=0,"",[1]库存等级接口!$G$62),"")</f>
        <v/>
      </c>
      <c r="H62" s="62" t="str">
        <f aca="false">IFERROR(IF([1]库存等级接口!$H$62=0,"",[1]库存等级接口!$H$62),"")</f>
        <v/>
      </c>
      <c r="I62" s="61" t="n">
        <f aca="false">IF($B62="",0,1)</f>
        <v>0</v>
      </c>
      <c r="J62" s="61" t="n">
        <f aca="false">N(J61)+$I62</f>
        <v>56</v>
      </c>
    </row>
    <row r="63" customFormat="false" ht="15" hidden="false" customHeight="true" outlineLevel="0" collapsed="false">
      <c r="A63" s="61" t="n">
        <v>60</v>
      </c>
      <c r="B63" s="62" t="str">
        <f aca="false">IFERROR(IF([1]库存等级接口!$B$63=0,"",[1]库存等级接口!$B$63),"")</f>
        <v/>
      </c>
      <c r="C63" s="63" t="str">
        <f aca="false">IFERROR(IF([1]库存等级接口!$C$63=0,"",[1]库存等级接口!$C$63),"")</f>
        <v/>
      </c>
      <c r="D63" s="63" t="str">
        <f aca="false">IFERROR(IF([1]库存等级接口!$D$63=0,"",[1]库存等级接口!$D$63),"")</f>
        <v/>
      </c>
      <c r="E63" s="63" t="str">
        <f aca="false">IFERROR(IF([1]库存等级接口!$E$63=0,"",[1]库存等级接口!$E$63),"")</f>
        <v/>
      </c>
      <c r="F63" s="64" t="str">
        <f aca="false">IFERROR(IF([1]库存等级接口!$F$63=0,"",[1]库存等级接口!$F$63),"")</f>
        <v/>
      </c>
      <c r="G63" s="65" t="str">
        <f aca="false">IFERROR(IF([1]库存等级接口!$G$63=0,"",[1]库存等级接口!$G$63),"")</f>
        <v/>
      </c>
      <c r="H63" s="62" t="str">
        <f aca="false">IFERROR(IF([1]库存等级接口!$H$63=0,"",[1]库存等级接口!$H$63),"")</f>
        <v/>
      </c>
      <c r="I63" s="61" t="n">
        <f aca="false">IF($B63="",0,1)</f>
        <v>0</v>
      </c>
      <c r="J63" s="61" t="n">
        <f aca="false">N(J62)+$I63</f>
        <v>56</v>
      </c>
    </row>
    <row r="64" customFormat="false" ht="15" hidden="false" customHeight="true" outlineLevel="0" collapsed="false">
      <c r="A64" s="61" t="n">
        <v>61</v>
      </c>
      <c r="B64" s="62" t="str">
        <f aca="false">IFERROR(IF([1]库存等级接口!$B$64=0,"",[1]库存等级接口!$B$64),"")</f>
        <v/>
      </c>
      <c r="C64" s="63" t="str">
        <f aca="false">IFERROR(IF([1]库存等级接口!$C$64=0,"",[1]库存等级接口!$C$64),"")</f>
        <v/>
      </c>
      <c r="D64" s="63" t="str">
        <f aca="false">IFERROR(IF([1]库存等级接口!$D$64=0,"",[1]库存等级接口!$D$64),"")</f>
        <v/>
      </c>
      <c r="E64" s="63" t="str">
        <f aca="false">IFERROR(IF([1]库存等级接口!$E$64=0,"",[1]库存等级接口!$E$64),"")</f>
        <v/>
      </c>
      <c r="F64" s="64" t="str">
        <f aca="false">IFERROR(IF([1]库存等级接口!$F$64=0,"",[1]库存等级接口!$F$64),"")</f>
        <v/>
      </c>
      <c r="G64" s="65" t="str">
        <f aca="false">IFERROR(IF([1]库存等级接口!$G$64=0,"",[1]库存等级接口!$G$64),"")</f>
        <v/>
      </c>
      <c r="H64" s="62" t="str">
        <f aca="false">IFERROR(IF([1]库存等级接口!$H$64=0,"",[1]库存等级接口!$H$64),"")</f>
        <v/>
      </c>
      <c r="I64" s="61" t="n">
        <f aca="false">IF($B64="",0,1)</f>
        <v>0</v>
      </c>
      <c r="J64" s="61" t="n">
        <f aca="false">N(J63)+$I64</f>
        <v>56</v>
      </c>
    </row>
    <row r="65" customFormat="false" ht="15" hidden="false" customHeight="true" outlineLevel="0" collapsed="false">
      <c r="A65" s="61" t="n">
        <v>62</v>
      </c>
      <c r="B65" s="62" t="str">
        <f aca="false">IFERROR(IF([1]库存等级接口!$B$65=0,"",[1]库存等级接口!$B$65),"")</f>
        <v/>
      </c>
      <c r="C65" s="63" t="str">
        <f aca="false">IFERROR(IF([1]库存等级接口!$C$65=0,"",[1]库存等级接口!$C$65),"")</f>
        <v/>
      </c>
      <c r="D65" s="63" t="str">
        <f aca="false">IFERROR(IF([1]库存等级接口!$D$65=0,"",[1]库存等级接口!$D$65),"")</f>
        <v/>
      </c>
      <c r="E65" s="63" t="str">
        <f aca="false">IFERROR(IF([1]库存等级接口!$E$65=0,"",[1]库存等级接口!$E$65),"")</f>
        <v/>
      </c>
      <c r="F65" s="64" t="str">
        <f aca="false">IFERROR(IF([1]库存等级接口!$F$65=0,"",[1]库存等级接口!$F$65),"")</f>
        <v/>
      </c>
      <c r="G65" s="65" t="str">
        <f aca="false">IFERROR(IF([1]库存等级接口!$G$65=0,"",[1]库存等级接口!$G$65),"")</f>
        <v/>
      </c>
      <c r="H65" s="62" t="str">
        <f aca="false">IFERROR(IF([1]库存等级接口!$H$65=0,"",[1]库存等级接口!$H$65),"")</f>
        <v/>
      </c>
      <c r="I65" s="61" t="n">
        <f aca="false">IF($B65="",0,1)</f>
        <v>0</v>
      </c>
      <c r="J65" s="61" t="n">
        <f aca="false">N(J64)+$I65</f>
        <v>56</v>
      </c>
    </row>
    <row r="66" customFormat="false" ht="15" hidden="false" customHeight="true" outlineLevel="0" collapsed="false">
      <c r="A66" s="61" t="n">
        <v>63</v>
      </c>
      <c r="B66" s="62" t="str">
        <f aca="false">IFERROR(IF([1]库存等级接口!$B$66=0,"",[1]库存等级接口!$B$66),"")</f>
        <v/>
      </c>
      <c r="C66" s="63" t="str">
        <f aca="false">IFERROR(IF([1]库存等级接口!$C$66=0,"",[1]库存等级接口!$C$66),"")</f>
        <v/>
      </c>
      <c r="D66" s="63" t="str">
        <f aca="false">IFERROR(IF([1]库存等级接口!$D$66=0,"",[1]库存等级接口!$D$66),"")</f>
        <v/>
      </c>
      <c r="E66" s="63" t="str">
        <f aca="false">IFERROR(IF([1]库存等级接口!$E$66=0,"",[1]库存等级接口!$E$66),"")</f>
        <v/>
      </c>
      <c r="F66" s="64" t="str">
        <f aca="false">IFERROR(IF([1]库存等级接口!$F$66=0,"",[1]库存等级接口!$F$66),"")</f>
        <v/>
      </c>
      <c r="G66" s="65" t="str">
        <f aca="false">IFERROR(IF([1]库存等级接口!$G$66=0,"",[1]库存等级接口!$G$66),"")</f>
        <v/>
      </c>
      <c r="H66" s="62" t="str">
        <f aca="false">IFERROR(IF([1]库存等级接口!$H$66=0,"",[1]库存等级接口!$H$66),"")</f>
        <v/>
      </c>
      <c r="I66" s="61" t="n">
        <f aca="false">IF($B66="",0,1)</f>
        <v>0</v>
      </c>
      <c r="J66" s="61" t="n">
        <f aca="false">N(J65)+$I66</f>
        <v>56</v>
      </c>
    </row>
    <row r="67" customFormat="false" ht="15" hidden="false" customHeight="true" outlineLevel="0" collapsed="false">
      <c r="A67" s="61" t="n">
        <v>64</v>
      </c>
      <c r="B67" s="62" t="str">
        <f aca="false">IFERROR(IF([1]库存等级接口!$B$67=0,"",[1]库存等级接口!$B$67),"")</f>
        <v/>
      </c>
      <c r="C67" s="63" t="str">
        <f aca="false">IFERROR(IF([1]库存等级接口!$C$67=0,"",[1]库存等级接口!$C$67),"")</f>
        <v/>
      </c>
      <c r="D67" s="63" t="str">
        <f aca="false">IFERROR(IF([1]库存等级接口!$D$67=0,"",[1]库存等级接口!$D$67),"")</f>
        <v/>
      </c>
      <c r="E67" s="63" t="str">
        <f aca="false">IFERROR(IF([1]库存等级接口!$E$67=0,"",[1]库存等级接口!$E$67),"")</f>
        <v/>
      </c>
      <c r="F67" s="64" t="str">
        <f aca="false">IFERROR(IF([1]库存等级接口!$F$67=0,"",[1]库存等级接口!$F$67),"")</f>
        <v/>
      </c>
      <c r="G67" s="65" t="str">
        <f aca="false">IFERROR(IF([1]库存等级接口!$G$67=0,"",[1]库存等级接口!$G$67),"")</f>
        <v/>
      </c>
      <c r="H67" s="62" t="str">
        <f aca="false">IFERROR(IF([1]库存等级接口!$H$67=0,"",[1]库存等级接口!$H$67),"")</f>
        <v/>
      </c>
      <c r="I67" s="61" t="n">
        <f aca="false">IF($B67="",0,1)</f>
        <v>0</v>
      </c>
      <c r="J67" s="61" t="n">
        <f aca="false">N(J66)+$I67</f>
        <v>56</v>
      </c>
    </row>
    <row r="68" customFormat="false" ht="15" hidden="false" customHeight="true" outlineLevel="0" collapsed="false">
      <c r="A68" s="61" t="n">
        <v>65</v>
      </c>
      <c r="B68" s="62" t="str">
        <f aca="false">IFERROR(IF([1]库存等级接口!$B$68=0,"",[1]库存等级接口!$B$68),"")</f>
        <v/>
      </c>
      <c r="C68" s="63" t="str">
        <f aca="false">IFERROR(IF([1]库存等级接口!$C$68=0,"",[1]库存等级接口!$C$68),"")</f>
        <v/>
      </c>
      <c r="D68" s="63" t="str">
        <f aca="false">IFERROR(IF([1]库存等级接口!$D$68=0,"",[1]库存等级接口!$D$68),"")</f>
        <v/>
      </c>
      <c r="E68" s="63" t="str">
        <f aca="false">IFERROR(IF([1]库存等级接口!$E$68=0,"",[1]库存等级接口!$E$68),"")</f>
        <v/>
      </c>
      <c r="F68" s="64" t="str">
        <f aca="false">IFERROR(IF([1]库存等级接口!$F$68=0,"",[1]库存等级接口!$F$68),"")</f>
        <v/>
      </c>
      <c r="G68" s="65" t="str">
        <f aca="false">IFERROR(IF([1]库存等级接口!$G$68=0,"",[1]库存等级接口!$G$68),"")</f>
        <v/>
      </c>
      <c r="H68" s="62" t="str">
        <f aca="false">IFERROR(IF([1]库存等级接口!$H$68=0,"",[1]库存等级接口!$H$68),"")</f>
        <v/>
      </c>
      <c r="I68" s="61" t="n">
        <f aca="false">IF($B68="",0,1)</f>
        <v>0</v>
      </c>
      <c r="J68" s="61" t="n">
        <f aca="false">N(J67)+$I68</f>
        <v>56</v>
      </c>
    </row>
    <row r="69" customFormat="false" ht="15" hidden="false" customHeight="true" outlineLevel="0" collapsed="false">
      <c r="A69" s="61" t="n">
        <v>66</v>
      </c>
      <c r="B69" s="62" t="str">
        <f aca="false">IFERROR(IF([1]库存等级接口!$B$69=0,"",[1]库存等级接口!$B$69),"")</f>
        <v/>
      </c>
      <c r="C69" s="63" t="str">
        <f aca="false">IFERROR(IF([1]库存等级接口!$C$69=0,"",[1]库存等级接口!$C$69),"")</f>
        <v/>
      </c>
      <c r="D69" s="63" t="str">
        <f aca="false">IFERROR(IF([1]库存等级接口!$D$69=0,"",[1]库存等级接口!$D$69),"")</f>
        <v/>
      </c>
      <c r="E69" s="63" t="str">
        <f aca="false">IFERROR(IF([1]库存等级接口!$E$69=0,"",[1]库存等级接口!$E$69),"")</f>
        <v/>
      </c>
      <c r="F69" s="64" t="str">
        <f aca="false">IFERROR(IF([1]库存等级接口!$F$69=0,"",[1]库存等级接口!$F$69),"")</f>
        <v/>
      </c>
      <c r="G69" s="65" t="str">
        <f aca="false">IFERROR(IF([1]库存等级接口!$G$69=0,"",[1]库存等级接口!$G$69),"")</f>
        <v/>
      </c>
      <c r="H69" s="62" t="str">
        <f aca="false">IFERROR(IF([1]库存等级接口!$H$69=0,"",[1]库存等级接口!$H$69),"")</f>
        <v/>
      </c>
      <c r="I69" s="61" t="n">
        <f aca="false">IF($B69="",0,1)</f>
        <v>0</v>
      </c>
      <c r="J69" s="61" t="n">
        <f aca="false">N(J68)+$I69</f>
        <v>56</v>
      </c>
    </row>
    <row r="70" customFormat="false" ht="15" hidden="false" customHeight="true" outlineLevel="0" collapsed="false">
      <c r="A70" s="61" t="n">
        <v>67</v>
      </c>
      <c r="B70" s="62" t="str">
        <f aca="false">IFERROR(IF([1]库存等级接口!$B$70=0,"",[1]库存等级接口!$B$70),"")</f>
        <v/>
      </c>
      <c r="C70" s="63" t="str">
        <f aca="false">IFERROR(IF([1]库存等级接口!$C$70=0,"",[1]库存等级接口!$C$70),"")</f>
        <v/>
      </c>
      <c r="D70" s="63" t="str">
        <f aca="false">IFERROR(IF([1]库存等级接口!$D$70=0,"",[1]库存等级接口!$D$70),"")</f>
        <v/>
      </c>
      <c r="E70" s="63" t="str">
        <f aca="false">IFERROR(IF([1]库存等级接口!$E$70=0,"",[1]库存等级接口!$E$70),"")</f>
        <v/>
      </c>
      <c r="F70" s="64" t="str">
        <f aca="false">IFERROR(IF([1]库存等级接口!$F$70=0,"",[1]库存等级接口!$F$70),"")</f>
        <v/>
      </c>
      <c r="G70" s="65" t="str">
        <f aca="false">IFERROR(IF([1]库存等级接口!$G$70=0,"",[1]库存等级接口!$G$70),"")</f>
        <v/>
      </c>
      <c r="H70" s="62" t="str">
        <f aca="false">IFERROR(IF([1]库存等级接口!$H$70=0,"",[1]库存等级接口!$H$70),"")</f>
        <v/>
      </c>
      <c r="I70" s="61" t="n">
        <f aca="false">IF($B70="",0,1)</f>
        <v>0</v>
      </c>
      <c r="J70" s="61" t="n">
        <f aca="false">N(J69)+$I70</f>
        <v>56</v>
      </c>
    </row>
    <row r="71" customFormat="false" ht="15" hidden="false" customHeight="true" outlineLevel="0" collapsed="false">
      <c r="A71" s="61" t="n">
        <v>68</v>
      </c>
      <c r="B71" s="62" t="str">
        <f aca="false">IFERROR(IF([1]库存等级接口!$B$71=0,"",[1]库存等级接口!$B$71),"")</f>
        <v/>
      </c>
      <c r="C71" s="63" t="str">
        <f aca="false">IFERROR(IF([1]库存等级接口!$C$71=0,"",[1]库存等级接口!$C$71),"")</f>
        <v/>
      </c>
      <c r="D71" s="63" t="str">
        <f aca="false">IFERROR(IF([1]库存等级接口!$D$71=0,"",[1]库存等级接口!$D$71),"")</f>
        <v/>
      </c>
      <c r="E71" s="63" t="str">
        <f aca="false">IFERROR(IF([1]库存等级接口!$E$71=0,"",[1]库存等级接口!$E$71),"")</f>
        <v/>
      </c>
      <c r="F71" s="64" t="str">
        <f aca="false">IFERROR(IF([1]库存等级接口!$F$71=0,"",[1]库存等级接口!$F$71),"")</f>
        <v/>
      </c>
      <c r="G71" s="65" t="str">
        <f aca="false">IFERROR(IF([1]库存等级接口!$G$71=0,"",[1]库存等级接口!$G$71),"")</f>
        <v/>
      </c>
      <c r="H71" s="62" t="str">
        <f aca="false">IFERROR(IF([1]库存等级接口!$H$71=0,"",[1]库存等级接口!$H$71),"")</f>
        <v/>
      </c>
      <c r="I71" s="61" t="n">
        <f aca="false">IF($B71="",0,1)</f>
        <v>0</v>
      </c>
      <c r="J71" s="61" t="n">
        <f aca="false">N(J70)+$I71</f>
        <v>56</v>
      </c>
    </row>
    <row r="72" customFormat="false" ht="15" hidden="false" customHeight="true" outlineLevel="0" collapsed="false">
      <c r="A72" s="61" t="n">
        <v>69</v>
      </c>
      <c r="B72" s="62" t="str">
        <f aca="false">IFERROR(IF([1]库存等级接口!$B$72=0,"",[1]库存等级接口!$B$72),"")</f>
        <v/>
      </c>
      <c r="C72" s="63" t="str">
        <f aca="false">IFERROR(IF([1]库存等级接口!$C$72=0,"",[1]库存等级接口!$C$72),"")</f>
        <v/>
      </c>
      <c r="D72" s="63" t="str">
        <f aca="false">IFERROR(IF([1]库存等级接口!$D$72=0,"",[1]库存等级接口!$D$72),"")</f>
        <v/>
      </c>
      <c r="E72" s="63" t="str">
        <f aca="false">IFERROR(IF([1]库存等级接口!$E$72=0,"",[1]库存等级接口!$E$72),"")</f>
        <v/>
      </c>
      <c r="F72" s="64" t="str">
        <f aca="false">IFERROR(IF([1]库存等级接口!$F$72=0,"",[1]库存等级接口!$F$72),"")</f>
        <v/>
      </c>
      <c r="G72" s="65" t="str">
        <f aca="false">IFERROR(IF([1]库存等级接口!$G$72=0,"",[1]库存等级接口!$G$72),"")</f>
        <v/>
      </c>
      <c r="H72" s="62" t="str">
        <f aca="false">IFERROR(IF([1]库存等级接口!$H$72=0,"",[1]库存等级接口!$H$72),"")</f>
        <v/>
      </c>
      <c r="I72" s="61" t="n">
        <f aca="false">IF($B72="",0,1)</f>
        <v>0</v>
      </c>
      <c r="J72" s="61" t="n">
        <f aca="false">N(J71)+$I72</f>
        <v>56</v>
      </c>
    </row>
    <row r="73" customFormat="false" ht="15" hidden="false" customHeight="true" outlineLevel="0" collapsed="false">
      <c r="A73" s="61" t="n">
        <v>70</v>
      </c>
      <c r="B73" s="62" t="str">
        <f aca="false">IFERROR(IF([1]库存等级接口!$B$73=0,"",[1]库存等级接口!$B$73),"")</f>
        <v/>
      </c>
      <c r="C73" s="63" t="str">
        <f aca="false">IFERROR(IF([1]库存等级接口!$C$73=0,"",[1]库存等级接口!$C$73),"")</f>
        <v/>
      </c>
      <c r="D73" s="63" t="str">
        <f aca="false">IFERROR(IF([1]库存等级接口!$D$73=0,"",[1]库存等级接口!$D$73),"")</f>
        <v/>
      </c>
      <c r="E73" s="63" t="str">
        <f aca="false">IFERROR(IF([1]库存等级接口!$E$73=0,"",[1]库存等级接口!$E$73),"")</f>
        <v/>
      </c>
      <c r="F73" s="64" t="str">
        <f aca="false">IFERROR(IF([1]库存等级接口!$F$73=0,"",[1]库存等级接口!$F$73),"")</f>
        <v/>
      </c>
      <c r="G73" s="65" t="str">
        <f aca="false">IFERROR(IF([1]库存等级接口!$G$73=0,"",[1]库存等级接口!$G$73),"")</f>
        <v/>
      </c>
      <c r="H73" s="62" t="str">
        <f aca="false">IFERROR(IF([1]库存等级接口!$H$73=0,"",[1]库存等级接口!$H$73),"")</f>
        <v/>
      </c>
      <c r="I73" s="61" t="n">
        <f aca="false">IF($B73="",0,1)</f>
        <v>0</v>
      </c>
      <c r="J73" s="61" t="n">
        <f aca="false">N(J72)+$I73</f>
        <v>56</v>
      </c>
    </row>
    <row r="74" customFormat="false" ht="15" hidden="false" customHeight="true" outlineLevel="0" collapsed="false">
      <c r="A74" s="61" t="n">
        <v>71</v>
      </c>
      <c r="B74" s="62" t="str">
        <f aca="false">IFERROR(IF([1]库存等级接口!$B$74=0,"",[1]库存等级接口!$B$74),"")</f>
        <v/>
      </c>
      <c r="C74" s="63" t="str">
        <f aca="false">IFERROR(IF([1]库存等级接口!$C$74=0,"",[1]库存等级接口!$C$74),"")</f>
        <v/>
      </c>
      <c r="D74" s="63" t="str">
        <f aca="false">IFERROR(IF([1]库存等级接口!$D$74=0,"",[1]库存等级接口!$D$74),"")</f>
        <v/>
      </c>
      <c r="E74" s="63" t="str">
        <f aca="false">IFERROR(IF([1]库存等级接口!$E$74=0,"",[1]库存等级接口!$E$74),"")</f>
        <v/>
      </c>
      <c r="F74" s="64" t="str">
        <f aca="false">IFERROR(IF([1]库存等级接口!$F$74=0,"",[1]库存等级接口!$F$74),"")</f>
        <v/>
      </c>
      <c r="G74" s="65" t="str">
        <f aca="false">IFERROR(IF([1]库存等级接口!$G$74=0,"",[1]库存等级接口!$G$74),"")</f>
        <v/>
      </c>
      <c r="H74" s="62" t="str">
        <f aca="false">IFERROR(IF([1]库存等级接口!$H$74=0,"",[1]库存等级接口!$H$74),"")</f>
        <v/>
      </c>
      <c r="I74" s="61" t="n">
        <f aca="false">IF($B74="",0,1)</f>
        <v>0</v>
      </c>
      <c r="J74" s="61" t="n">
        <f aca="false">N(J73)+$I74</f>
        <v>56</v>
      </c>
    </row>
    <row r="75" customFormat="false" ht="15" hidden="false" customHeight="true" outlineLevel="0" collapsed="false">
      <c r="A75" s="61" t="n">
        <v>72</v>
      </c>
      <c r="B75" s="62" t="str">
        <f aca="false">IFERROR(IF([1]库存等级接口!$B$75=0,"",[1]库存等级接口!$B$75),"")</f>
        <v/>
      </c>
      <c r="C75" s="63" t="str">
        <f aca="false">IFERROR(IF([1]库存等级接口!$C$75=0,"",[1]库存等级接口!$C$75),"")</f>
        <v/>
      </c>
      <c r="D75" s="63" t="str">
        <f aca="false">IFERROR(IF([1]库存等级接口!$D$75=0,"",[1]库存等级接口!$D$75),"")</f>
        <v/>
      </c>
      <c r="E75" s="63" t="str">
        <f aca="false">IFERROR(IF([1]库存等级接口!$E$75=0,"",[1]库存等级接口!$E$75),"")</f>
        <v/>
      </c>
      <c r="F75" s="64" t="str">
        <f aca="false">IFERROR(IF([1]库存等级接口!$F$75=0,"",[1]库存等级接口!$F$75),"")</f>
        <v/>
      </c>
      <c r="G75" s="65" t="str">
        <f aca="false">IFERROR(IF([1]库存等级接口!$G$75=0,"",[1]库存等级接口!$G$75),"")</f>
        <v/>
      </c>
      <c r="H75" s="62" t="str">
        <f aca="false">IFERROR(IF([1]库存等级接口!$H$75=0,"",[1]库存等级接口!$H$75),"")</f>
        <v/>
      </c>
      <c r="I75" s="61" t="n">
        <f aca="false">IF($B75="",0,1)</f>
        <v>0</v>
      </c>
      <c r="J75" s="61" t="n">
        <f aca="false">N(J74)+$I75</f>
        <v>56</v>
      </c>
    </row>
    <row r="76" customFormat="false" ht="15" hidden="false" customHeight="true" outlineLevel="0" collapsed="false">
      <c r="A76" s="61" t="n">
        <v>73</v>
      </c>
      <c r="B76" s="62" t="str">
        <f aca="false">IFERROR(IF([1]库存等级接口!$B$76=0,"",[1]库存等级接口!$B$76),"")</f>
        <v/>
      </c>
      <c r="C76" s="63" t="str">
        <f aca="false">IFERROR(IF([1]库存等级接口!$C$76=0,"",[1]库存等级接口!$C$76),"")</f>
        <v/>
      </c>
      <c r="D76" s="63" t="str">
        <f aca="false">IFERROR(IF([1]库存等级接口!$D$76=0,"",[1]库存等级接口!$D$76),"")</f>
        <v/>
      </c>
      <c r="E76" s="63" t="str">
        <f aca="false">IFERROR(IF([1]库存等级接口!$E$76=0,"",[1]库存等级接口!$E$76),"")</f>
        <v/>
      </c>
      <c r="F76" s="64" t="str">
        <f aca="false">IFERROR(IF([1]库存等级接口!$F$76=0,"",[1]库存等级接口!$F$76),"")</f>
        <v/>
      </c>
      <c r="G76" s="65" t="str">
        <f aca="false">IFERROR(IF([1]库存等级接口!$G$76=0,"",[1]库存等级接口!$G$76),"")</f>
        <v/>
      </c>
      <c r="H76" s="62" t="str">
        <f aca="false">IFERROR(IF([1]库存等级接口!$H$76=0,"",[1]库存等级接口!$H$76),"")</f>
        <v/>
      </c>
      <c r="I76" s="61" t="n">
        <f aca="false">IF($B76="",0,1)</f>
        <v>0</v>
      </c>
      <c r="J76" s="61" t="n">
        <f aca="false">N(J75)+$I76</f>
        <v>56</v>
      </c>
    </row>
    <row r="77" customFormat="false" ht="15" hidden="false" customHeight="true" outlineLevel="0" collapsed="false">
      <c r="A77" s="61" t="n">
        <v>74</v>
      </c>
      <c r="B77" s="62" t="str">
        <f aca="false">IFERROR(IF([1]库存等级接口!$B$77=0,"",[1]库存等级接口!$B$77),"")</f>
        <v/>
      </c>
      <c r="C77" s="63" t="str">
        <f aca="false">IFERROR(IF([1]库存等级接口!$C$77=0,"",[1]库存等级接口!$C$77),"")</f>
        <v/>
      </c>
      <c r="D77" s="63" t="str">
        <f aca="false">IFERROR(IF([1]库存等级接口!$D$77=0,"",[1]库存等级接口!$D$77),"")</f>
        <v/>
      </c>
      <c r="E77" s="63" t="str">
        <f aca="false">IFERROR(IF([1]库存等级接口!$E$77=0,"",[1]库存等级接口!$E$77),"")</f>
        <v/>
      </c>
      <c r="F77" s="64" t="str">
        <f aca="false">IFERROR(IF([1]库存等级接口!$F$77=0,"",[1]库存等级接口!$F$77),"")</f>
        <v/>
      </c>
      <c r="G77" s="65" t="str">
        <f aca="false">IFERROR(IF([1]库存等级接口!$G$77=0,"",[1]库存等级接口!$G$77),"")</f>
        <v/>
      </c>
      <c r="H77" s="62" t="str">
        <f aca="false">IFERROR(IF([1]库存等级接口!$H$77=0,"",[1]库存等级接口!$H$77),"")</f>
        <v/>
      </c>
      <c r="I77" s="61" t="n">
        <f aca="false">IF($B77="",0,1)</f>
        <v>0</v>
      </c>
      <c r="J77" s="61" t="n">
        <f aca="false">N(J76)+$I77</f>
        <v>56</v>
      </c>
    </row>
    <row r="78" customFormat="false" ht="15" hidden="false" customHeight="true" outlineLevel="0" collapsed="false">
      <c r="A78" s="61" t="n">
        <v>75</v>
      </c>
      <c r="B78" s="62" t="str">
        <f aca="false">IFERROR(IF([1]库存等级接口!$B$78=0,"",[1]库存等级接口!$B$78),"")</f>
        <v/>
      </c>
      <c r="C78" s="63" t="str">
        <f aca="false">IFERROR(IF([1]库存等级接口!$C$78=0,"",[1]库存等级接口!$C$78),"")</f>
        <v/>
      </c>
      <c r="D78" s="63" t="str">
        <f aca="false">IFERROR(IF([1]库存等级接口!$D$78=0,"",[1]库存等级接口!$D$78),"")</f>
        <v/>
      </c>
      <c r="E78" s="63" t="str">
        <f aca="false">IFERROR(IF([1]库存等级接口!$E$78=0,"",[1]库存等级接口!$E$78),"")</f>
        <v/>
      </c>
      <c r="F78" s="64" t="str">
        <f aca="false">IFERROR(IF([1]库存等级接口!$F$78=0,"",[1]库存等级接口!$F$78),"")</f>
        <v/>
      </c>
      <c r="G78" s="65" t="str">
        <f aca="false">IFERROR(IF([1]库存等级接口!$G$78=0,"",[1]库存等级接口!$G$78),"")</f>
        <v/>
      </c>
      <c r="H78" s="62" t="str">
        <f aca="false">IFERROR(IF([1]库存等级接口!$H$78=0,"",[1]库存等级接口!$H$78),"")</f>
        <v/>
      </c>
      <c r="I78" s="61" t="n">
        <f aca="false">IF($B78="",0,1)</f>
        <v>0</v>
      </c>
      <c r="J78" s="61" t="n">
        <f aca="false">N(J77)+$I78</f>
        <v>56</v>
      </c>
    </row>
    <row r="79" customFormat="false" ht="15" hidden="false" customHeight="true" outlineLevel="0" collapsed="false">
      <c r="A79" s="61" t="n">
        <v>76</v>
      </c>
      <c r="B79" s="62" t="str">
        <f aca="false">IFERROR(IF([1]库存等级接口!$B$79=0,"",[1]库存等级接口!$B$79),"")</f>
        <v/>
      </c>
      <c r="C79" s="63" t="str">
        <f aca="false">IFERROR(IF([1]库存等级接口!$C$79=0,"",[1]库存等级接口!$C$79),"")</f>
        <v/>
      </c>
      <c r="D79" s="63" t="str">
        <f aca="false">IFERROR(IF([1]库存等级接口!$D$79=0,"",[1]库存等级接口!$D$79),"")</f>
        <v/>
      </c>
      <c r="E79" s="63" t="str">
        <f aca="false">IFERROR(IF([1]库存等级接口!$E$79=0,"",[1]库存等级接口!$E$79),"")</f>
        <v/>
      </c>
      <c r="F79" s="64" t="str">
        <f aca="false">IFERROR(IF([1]库存等级接口!$F$79=0,"",[1]库存等级接口!$F$79),"")</f>
        <v/>
      </c>
      <c r="G79" s="65" t="str">
        <f aca="false">IFERROR(IF([1]库存等级接口!$G$79=0,"",[1]库存等级接口!$G$79),"")</f>
        <v/>
      </c>
      <c r="H79" s="62" t="str">
        <f aca="false">IFERROR(IF([1]库存等级接口!$H$79=0,"",[1]库存等级接口!$H$79),"")</f>
        <v/>
      </c>
      <c r="I79" s="61" t="n">
        <f aca="false">IF($B79="",0,1)</f>
        <v>0</v>
      </c>
      <c r="J79" s="61" t="n">
        <f aca="false">N(J78)+$I79</f>
        <v>56</v>
      </c>
    </row>
    <row r="80" customFormat="false" ht="15" hidden="false" customHeight="true" outlineLevel="0" collapsed="false">
      <c r="A80" s="61" t="n">
        <v>77</v>
      </c>
      <c r="B80" s="62" t="str">
        <f aca="false">IFERROR(IF([1]库存等级接口!$B$80=0,"",[1]库存等级接口!$B$80),"")</f>
        <v/>
      </c>
      <c r="C80" s="63" t="str">
        <f aca="false">IFERROR(IF([1]库存等级接口!$C$80=0,"",[1]库存等级接口!$C$80),"")</f>
        <v/>
      </c>
      <c r="D80" s="63" t="str">
        <f aca="false">IFERROR(IF([1]库存等级接口!$D$80=0,"",[1]库存等级接口!$D$80),"")</f>
        <v/>
      </c>
      <c r="E80" s="63" t="str">
        <f aca="false">IFERROR(IF([1]库存等级接口!$E$80=0,"",[1]库存等级接口!$E$80),"")</f>
        <v/>
      </c>
      <c r="F80" s="64" t="str">
        <f aca="false">IFERROR(IF([1]库存等级接口!$F$80=0,"",[1]库存等级接口!$F$80),"")</f>
        <v/>
      </c>
      <c r="G80" s="65" t="str">
        <f aca="false">IFERROR(IF([1]库存等级接口!$G$80=0,"",[1]库存等级接口!$G$80),"")</f>
        <v/>
      </c>
      <c r="H80" s="62" t="str">
        <f aca="false">IFERROR(IF([1]库存等级接口!$H$80=0,"",[1]库存等级接口!$H$80),"")</f>
        <v/>
      </c>
      <c r="I80" s="61" t="n">
        <f aca="false">IF($B80="",0,1)</f>
        <v>0</v>
      </c>
      <c r="J80" s="61" t="n">
        <f aca="false">N(J79)+$I80</f>
        <v>56</v>
      </c>
    </row>
    <row r="81" customFormat="false" ht="15" hidden="false" customHeight="true" outlineLevel="0" collapsed="false">
      <c r="A81" s="61" t="n">
        <v>78</v>
      </c>
      <c r="B81" s="62" t="str">
        <f aca="false">IFERROR(IF([1]库存等级接口!$B$81=0,"",[1]库存等级接口!$B$81),"")</f>
        <v/>
      </c>
      <c r="C81" s="63" t="str">
        <f aca="false">IFERROR(IF([1]库存等级接口!$C$81=0,"",[1]库存等级接口!$C$81),"")</f>
        <v/>
      </c>
      <c r="D81" s="63" t="str">
        <f aca="false">IFERROR(IF([1]库存等级接口!$D$81=0,"",[1]库存等级接口!$D$81),"")</f>
        <v/>
      </c>
      <c r="E81" s="63" t="str">
        <f aca="false">IFERROR(IF([1]库存等级接口!$E$81=0,"",[1]库存等级接口!$E$81),"")</f>
        <v/>
      </c>
      <c r="F81" s="64" t="str">
        <f aca="false">IFERROR(IF([1]库存等级接口!$F$81=0,"",[1]库存等级接口!$F$81),"")</f>
        <v/>
      </c>
      <c r="G81" s="65" t="str">
        <f aca="false">IFERROR(IF([1]库存等级接口!$G$81=0,"",[1]库存等级接口!$G$81),"")</f>
        <v/>
      </c>
      <c r="H81" s="62" t="str">
        <f aca="false">IFERROR(IF([1]库存等级接口!$H$81=0,"",[1]库存等级接口!$H$81),"")</f>
        <v/>
      </c>
      <c r="I81" s="61" t="n">
        <f aca="false">IF($B81="",0,1)</f>
        <v>0</v>
      </c>
      <c r="J81" s="61" t="n">
        <f aca="false">N(J80)+$I81</f>
        <v>56</v>
      </c>
    </row>
    <row r="82" customFormat="false" ht="15" hidden="false" customHeight="true" outlineLevel="0" collapsed="false">
      <c r="A82" s="61" t="n">
        <v>79</v>
      </c>
      <c r="B82" s="62" t="str">
        <f aca="false">IFERROR(IF([1]库存等级接口!$B$82=0,"",[1]库存等级接口!$B$82),"")</f>
        <v/>
      </c>
      <c r="C82" s="63" t="str">
        <f aca="false">IFERROR(IF([1]库存等级接口!$C$82=0,"",[1]库存等级接口!$C$82),"")</f>
        <v/>
      </c>
      <c r="D82" s="63" t="str">
        <f aca="false">IFERROR(IF([1]库存等级接口!$D$82=0,"",[1]库存等级接口!$D$82),"")</f>
        <v/>
      </c>
      <c r="E82" s="63" t="str">
        <f aca="false">IFERROR(IF([1]库存等级接口!$E$82=0,"",[1]库存等级接口!$E$82),"")</f>
        <v/>
      </c>
      <c r="F82" s="64" t="str">
        <f aca="false">IFERROR(IF([1]库存等级接口!$F$82=0,"",[1]库存等级接口!$F$82),"")</f>
        <v/>
      </c>
      <c r="G82" s="65" t="str">
        <f aca="false">IFERROR(IF([1]库存等级接口!$G$82=0,"",[1]库存等级接口!$G$82),"")</f>
        <v/>
      </c>
      <c r="H82" s="62" t="str">
        <f aca="false">IFERROR(IF([1]库存等级接口!$H$82=0,"",[1]库存等级接口!$H$82),"")</f>
        <v/>
      </c>
      <c r="I82" s="61" t="n">
        <f aca="false">IF($B82="",0,1)</f>
        <v>0</v>
      </c>
      <c r="J82" s="61" t="n">
        <f aca="false">N(J81)+$I82</f>
        <v>56</v>
      </c>
    </row>
    <row r="83" customFormat="false" ht="15" hidden="false" customHeight="true" outlineLevel="0" collapsed="false">
      <c r="A83" s="61" t="n">
        <v>80</v>
      </c>
      <c r="B83" s="62" t="str">
        <f aca="false">IFERROR(IF([1]库存等级接口!$B$83=0,"",[1]库存等级接口!$B$83),"")</f>
        <v/>
      </c>
      <c r="C83" s="63" t="str">
        <f aca="false">IFERROR(IF([1]库存等级接口!$C$83=0,"",[1]库存等级接口!$C$83),"")</f>
        <v/>
      </c>
      <c r="D83" s="63" t="str">
        <f aca="false">IFERROR(IF([1]库存等级接口!$D$83=0,"",[1]库存等级接口!$D$83),"")</f>
        <v/>
      </c>
      <c r="E83" s="63" t="str">
        <f aca="false">IFERROR(IF([1]库存等级接口!$E$83=0,"",[1]库存等级接口!$E$83),"")</f>
        <v/>
      </c>
      <c r="F83" s="64" t="str">
        <f aca="false">IFERROR(IF([1]库存等级接口!$F$83=0,"",[1]库存等级接口!$F$83),"")</f>
        <v/>
      </c>
      <c r="G83" s="65" t="str">
        <f aca="false">IFERROR(IF([1]库存等级接口!$G$83=0,"",[1]库存等级接口!$G$83),"")</f>
        <v/>
      </c>
      <c r="H83" s="62" t="str">
        <f aca="false">IFERROR(IF([1]库存等级接口!$H$83=0,"",[1]库存等级接口!$H$83),"")</f>
        <v/>
      </c>
      <c r="I83" s="61" t="n">
        <f aca="false">IF($B83="",0,1)</f>
        <v>0</v>
      </c>
      <c r="J83" s="61" t="n">
        <f aca="false">N(J82)+$I83</f>
        <v>56</v>
      </c>
    </row>
    <row r="84" customFormat="false" ht="15" hidden="false" customHeight="true" outlineLevel="0" collapsed="false">
      <c r="A84" s="61" t="n">
        <v>81</v>
      </c>
      <c r="B84" s="62" t="str">
        <f aca="false">IFERROR(IF([1]库存等级接口!$B$84=0,"",[1]库存等级接口!$B$84),"")</f>
        <v/>
      </c>
      <c r="C84" s="63" t="str">
        <f aca="false">IFERROR(IF([1]库存等级接口!$C$84=0,"",[1]库存等级接口!$C$84),"")</f>
        <v/>
      </c>
      <c r="D84" s="63" t="str">
        <f aca="false">IFERROR(IF([1]库存等级接口!$D$84=0,"",[1]库存等级接口!$D$84),"")</f>
        <v/>
      </c>
      <c r="E84" s="63" t="str">
        <f aca="false">IFERROR(IF([1]库存等级接口!$E$84=0,"",[1]库存等级接口!$E$84),"")</f>
        <v/>
      </c>
      <c r="F84" s="64" t="str">
        <f aca="false">IFERROR(IF([1]库存等级接口!$F$84=0,"",[1]库存等级接口!$F$84),"")</f>
        <v/>
      </c>
      <c r="G84" s="65" t="str">
        <f aca="false">IFERROR(IF([1]库存等级接口!$G$84=0,"",[1]库存等级接口!$G$84),"")</f>
        <v/>
      </c>
      <c r="H84" s="62" t="str">
        <f aca="false">IFERROR(IF([1]库存等级接口!$H$84=0,"",[1]库存等级接口!$H$84),"")</f>
        <v/>
      </c>
      <c r="I84" s="61" t="n">
        <f aca="false">IF($B84="",0,1)</f>
        <v>0</v>
      </c>
      <c r="J84" s="61" t="n">
        <f aca="false">N(J83)+$I84</f>
        <v>56</v>
      </c>
    </row>
    <row r="85" customFormat="false" ht="15" hidden="false" customHeight="true" outlineLevel="0" collapsed="false">
      <c r="A85" s="61" t="n">
        <v>82</v>
      </c>
      <c r="B85" s="62" t="str">
        <f aca="false">IFERROR(IF([1]库存等级接口!$B$85=0,"",[1]库存等级接口!$B$85),"")</f>
        <v/>
      </c>
      <c r="C85" s="63" t="str">
        <f aca="false">IFERROR(IF([1]库存等级接口!$C$85=0,"",[1]库存等级接口!$C$85),"")</f>
        <v/>
      </c>
      <c r="D85" s="63" t="str">
        <f aca="false">IFERROR(IF([1]库存等级接口!$D$85=0,"",[1]库存等级接口!$D$85),"")</f>
        <v/>
      </c>
      <c r="E85" s="63" t="str">
        <f aca="false">IFERROR(IF([1]库存等级接口!$E$85=0,"",[1]库存等级接口!$E$85),"")</f>
        <v/>
      </c>
      <c r="F85" s="64" t="str">
        <f aca="false">IFERROR(IF([1]库存等级接口!$F$85=0,"",[1]库存等级接口!$F$85),"")</f>
        <v/>
      </c>
      <c r="G85" s="65" t="str">
        <f aca="false">IFERROR(IF([1]库存等级接口!$G$85=0,"",[1]库存等级接口!$G$85),"")</f>
        <v/>
      </c>
      <c r="H85" s="62" t="str">
        <f aca="false">IFERROR(IF([1]库存等级接口!$H$85=0,"",[1]库存等级接口!$H$85),"")</f>
        <v/>
      </c>
      <c r="I85" s="61" t="n">
        <f aca="false">IF($B85="",0,1)</f>
        <v>0</v>
      </c>
      <c r="J85" s="61" t="n">
        <f aca="false">N(J84)+$I85</f>
        <v>56</v>
      </c>
    </row>
    <row r="86" customFormat="false" ht="15" hidden="false" customHeight="true" outlineLevel="0" collapsed="false">
      <c r="A86" s="61" t="n">
        <v>83</v>
      </c>
      <c r="B86" s="62" t="str">
        <f aca="false">IFERROR(IF([1]库存等级接口!$B$86=0,"",[1]库存等级接口!$B$86),"")</f>
        <v/>
      </c>
      <c r="C86" s="63" t="str">
        <f aca="false">IFERROR(IF([1]库存等级接口!$C$86=0,"",[1]库存等级接口!$C$86),"")</f>
        <v/>
      </c>
      <c r="D86" s="63" t="str">
        <f aca="false">IFERROR(IF([1]库存等级接口!$D$86=0,"",[1]库存等级接口!$D$86),"")</f>
        <v/>
      </c>
      <c r="E86" s="63" t="str">
        <f aca="false">IFERROR(IF([1]库存等级接口!$E$86=0,"",[1]库存等级接口!$E$86),"")</f>
        <v/>
      </c>
      <c r="F86" s="64" t="str">
        <f aca="false">IFERROR(IF([1]库存等级接口!$F$86=0,"",[1]库存等级接口!$F$86),"")</f>
        <v/>
      </c>
      <c r="G86" s="65" t="str">
        <f aca="false">IFERROR(IF([1]库存等级接口!$G$86=0,"",[1]库存等级接口!$G$86),"")</f>
        <v/>
      </c>
      <c r="H86" s="62" t="str">
        <f aca="false">IFERROR(IF([1]库存等级接口!$H$86=0,"",[1]库存等级接口!$H$86),"")</f>
        <v/>
      </c>
      <c r="I86" s="61" t="n">
        <f aca="false">IF($B86="",0,1)</f>
        <v>0</v>
      </c>
      <c r="J86" s="61" t="n">
        <f aca="false">N(J85)+$I86</f>
        <v>56</v>
      </c>
    </row>
    <row r="87" customFormat="false" ht="15" hidden="false" customHeight="true" outlineLevel="0" collapsed="false">
      <c r="A87" s="61" t="n">
        <v>84</v>
      </c>
      <c r="B87" s="62" t="str">
        <f aca="false">IFERROR(IF([1]库存等级接口!$B$87=0,"",[1]库存等级接口!$B$87),"")</f>
        <v/>
      </c>
      <c r="C87" s="63" t="str">
        <f aca="false">IFERROR(IF([1]库存等级接口!$C$87=0,"",[1]库存等级接口!$C$87),"")</f>
        <v/>
      </c>
      <c r="D87" s="63" t="str">
        <f aca="false">IFERROR(IF([1]库存等级接口!$D$87=0,"",[1]库存等级接口!$D$87),"")</f>
        <v/>
      </c>
      <c r="E87" s="63" t="str">
        <f aca="false">IFERROR(IF([1]库存等级接口!$E$87=0,"",[1]库存等级接口!$E$87),"")</f>
        <v/>
      </c>
      <c r="F87" s="64" t="str">
        <f aca="false">IFERROR(IF([1]库存等级接口!$F$87=0,"",[1]库存等级接口!$F$87),"")</f>
        <v/>
      </c>
      <c r="G87" s="65" t="str">
        <f aca="false">IFERROR(IF([1]库存等级接口!$G$87=0,"",[1]库存等级接口!$G$87),"")</f>
        <v/>
      </c>
      <c r="H87" s="62" t="str">
        <f aca="false">IFERROR(IF([1]库存等级接口!$H$87=0,"",[1]库存等级接口!$H$87),"")</f>
        <v/>
      </c>
      <c r="I87" s="61" t="n">
        <f aca="false">IF($B87="",0,1)</f>
        <v>0</v>
      </c>
      <c r="J87" s="61" t="n">
        <f aca="false">N(J86)+$I87</f>
        <v>56</v>
      </c>
    </row>
    <row r="88" customFormat="false" ht="15" hidden="false" customHeight="true" outlineLevel="0" collapsed="false">
      <c r="A88" s="61" t="n">
        <v>85</v>
      </c>
      <c r="B88" s="62" t="str">
        <f aca="false">IFERROR(IF([1]库存等级接口!$B$88=0,"",[1]库存等级接口!$B$88),"")</f>
        <v/>
      </c>
      <c r="C88" s="63" t="str">
        <f aca="false">IFERROR(IF([1]库存等级接口!$C$88=0,"",[1]库存等级接口!$C$88),"")</f>
        <v/>
      </c>
      <c r="D88" s="63" t="str">
        <f aca="false">IFERROR(IF([1]库存等级接口!$D$88=0,"",[1]库存等级接口!$D$88),"")</f>
        <v/>
      </c>
      <c r="E88" s="63" t="str">
        <f aca="false">IFERROR(IF([1]库存等级接口!$E$88=0,"",[1]库存等级接口!$E$88),"")</f>
        <v/>
      </c>
      <c r="F88" s="64" t="str">
        <f aca="false">IFERROR(IF([1]库存等级接口!$F$88=0,"",[1]库存等级接口!$F$88),"")</f>
        <v/>
      </c>
      <c r="G88" s="65" t="str">
        <f aca="false">IFERROR(IF([1]库存等级接口!$G$88=0,"",[1]库存等级接口!$G$88),"")</f>
        <v/>
      </c>
      <c r="H88" s="62" t="str">
        <f aca="false">IFERROR(IF([1]库存等级接口!$H$88=0,"",[1]库存等级接口!$H$88),"")</f>
        <v/>
      </c>
      <c r="I88" s="61" t="n">
        <f aca="false">IF($B88="",0,1)</f>
        <v>0</v>
      </c>
      <c r="J88" s="61" t="n">
        <f aca="false">N(J87)+$I88</f>
        <v>56</v>
      </c>
    </row>
    <row r="89" customFormat="false" ht="15" hidden="false" customHeight="true" outlineLevel="0" collapsed="false">
      <c r="A89" s="61" t="n">
        <v>86</v>
      </c>
      <c r="B89" s="62" t="str">
        <f aca="false">IFERROR(IF([1]库存等级接口!$B$89=0,"",[1]库存等级接口!$B$89),"")</f>
        <v/>
      </c>
      <c r="C89" s="63" t="str">
        <f aca="false">IFERROR(IF([1]库存等级接口!$C$89=0,"",[1]库存等级接口!$C$89),"")</f>
        <v/>
      </c>
      <c r="D89" s="63" t="str">
        <f aca="false">IFERROR(IF([1]库存等级接口!$D$89=0,"",[1]库存等级接口!$D$89),"")</f>
        <v/>
      </c>
      <c r="E89" s="63" t="str">
        <f aca="false">IFERROR(IF([1]库存等级接口!$E$89=0,"",[1]库存等级接口!$E$89),"")</f>
        <v/>
      </c>
      <c r="F89" s="64" t="str">
        <f aca="false">IFERROR(IF([1]库存等级接口!$F$89=0,"",[1]库存等级接口!$F$89),"")</f>
        <v/>
      </c>
      <c r="G89" s="65" t="str">
        <f aca="false">IFERROR(IF([1]库存等级接口!$G$89=0,"",[1]库存等级接口!$G$89),"")</f>
        <v/>
      </c>
      <c r="H89" s="62" t="str">
        <f aca="false">IFERROR(IF([1]库存等级接口!$H$89=0,"",[1]库存等级接口!$H$89),"")</f>
        <v/>
      </c>
      <c r="I89" s="61" t="n">
        <f aca="false">IF($B89="",0,1)</f>
        <v>0</v>
      </c>
      <c r="J89" s="61" t="n">
        <f aca="false">N(J88)+$I89</f>
        <v>56</v>
      </c>
    </row>
    <row r="90" customFormat="false" ht="15" hidden="false" customHeight="true" outlineLevel="0" collapsed="false">
      <c r="A90" s="61" t="n">
        <v>87</v>
      </c>
      <c r="B90" s="62" t="str">
        <f aca="false">IFERROR(IF([1]库存等级接口!$B$90=0,"",[1]库存等级接口!$B$90),"")</f>
        <v/>
      </c>
      <c r="C90" s="63" t="str">
        <f aca="false">IFERROR(IF([1]库存等级接口!$C$90=0,"",[1]库存等级接口!$C$90),"")</f>
        <v/>
      </c>
      <c r="D90" s="63" t="str">
        <f aca="false">IFERROR(IF([1]库存等级接口!$D$90=0,"",[1]库存等级接口!$D$90),"")</f>
        <v/>
      </c>
      <c r="E90" s="63" t="str">
        <f aca="false">IFERROR(IF([1]库存等级接口!$E$90=0,"",[1]库存等级接口!$E$90),"")</f>
        <v/>
      </c>
      <c r="F90" s="64" t="str">
        <f aca="false">IFERROR(IF([1]库存等级接口!$F$90=0,"",[1]库存等级接口!$F$90),"")</f>
        <v/>
      </c>
      <c r="G90" s="65" t="str">
        <f aca="false">IFERROR(IF([1]库存等级接口!$G$90=0,"",[1]库存等级接口!$G$90),"")</f>
        <v/>
      </c>
      <c r="H90" s="62" t="str">
        <f aca="false">IFERROR(IF([1]库存等级接口!$H$90=0,"",[1]库存等级接口!$H$90),"")</f>
        <v/>
      </c>
      <c r="I90" s="61" t="n">
        <f aca="false">IF($B90="",0,1)</f>
        <v>0</v>
      </c>
      <c r="J90" s="61" t="n">
        <f aca="false">N(J89)+$I90</f>
        <v>56</v>
      </c>
    </row>
    <row r="91" customFormat="false" ht="15" hidden="false" customHeight="true" outlineLevel="0" collapsed="false">
      <c r="A91" s="61" t="n">
        <v>88</v>
      </c>
      <c r="B91" s="62" t="str">
        <f aca="false">IFERROR(IF([1]库存等级接口!$B$91=0,"",[1]库存等级接口!$B$91),"")</f>
        <v/>
      </c>
      <c r="C91" s="63" t="str">
        <f aca="false">IFERROR(IF([1]库存等级接口!$C$91=0,"",[1]库存等级接口!$C$91),"")</f>
        <v/>
      </c>
      <c r="D91" s="63" t="str">
        <f aca="false">IFERROR(IF([1]库存等级接口!$D$91=0,"",[1]库存等级接口!$D$91),"")</f>
        <v/>
      </c>
      <c r="E91" s="63" t="str">
        <f aca="false">IFERROR(IF([1]库存等级接口!$E$91=0,"",[1]库存等级接口!$E$91),"")</f>
        <v/>
      </c>
      <c r="F91" s="64" t="str">
        <f aca="false">IFERROR(IF([1]库存等级接口!$F$91=0,"",[1]库存等级接口!$F$91),"")</f>
        <v/>
      </c>
      <c r="G91" s="65" t="str">
        <f aca="false">IFERROR(IF([1]库存等级接口!$G$91=0,"",[1]库存等级接口!$G$91),"")</f>
        <v/>
      </c>
      <c r="H91" s="62" t="str">
        <f aca="false">IFERROR(IF([1]库存等级接口!$H$91=0,"",[1]库存等级接口!$H$91),"")</f>
        <v/>
      </c>
      <c r="I91" s="61" t="n">
        <f aca="false">IF($B91="",0,1)</f>
        <v>0</v>
      </c>
      <c r="J91" s="61" t="n">
        <f aca="false">N(J90)+$I91</f>
        <v>56</v>
      </c>
    </row>
    <row r="92" customFormat="false" ht="15" hidden="false" customHeight="true" outlineLevel="0" collapsed="false">
      <c r="A92" s="61" t="n">
        <v>89</v>
      </c>
      <c r="B92" s="62" t="str">
        <f aca="false">IFERROR(IF([1]库存等级接口!$B$92=0,"",[1]库存等级接口!$B$92),"")</f>
        <v/>
      </c>
      <c r="C92" s="63" t="str">
        <f aca="false">IFERROR(IF([1]库存等级接口!$C$92=0,"",[1]库存等级接口!$C$92),"")</f>
        <v/>
      </c>
      <c r="D92" s="63" t="str">
        <f aca="false">IFERROR(IF([1]库存等级接口!$D$92=0,"",[1]库存等级接口!$D$92),"")</f>
        <v/>
      </c>
      <c r="E92" s="63" t="str">
        <f aca="false">IFERROR(IF([1]库存等级接口!$E$92=0,"",[1]库存等级接口!$E$92),"")</f>
        <v/>
      </c>
      <c r="F92" s="64" t="str">
        <f aca="false">IFERROR(IF([1]库存等级接口!$F$92=0,"",[1]库存等级接口!$F$92),"")</f>
        <v/>
      </c>
      <c r="G92" s="65" t="str">
        <f aca="false">IFERROR(IF([1]库存等级接口!$G$92=0,"",[1]库存等级接口!$G$92),"")</f>
        <v/>
      </c>
      <c r="H92" s="62" t="str">
        <f aca="false">IFERROR(IF([1]库存等级接口!$H$92=0,"",[1]库存等级接口!$H$92),"")</f>
        <v/>
      </c>
      <c r="I92" s="61" t="n">
        <f aca="false">IF($B92="",0,1)</f>
        <v>0</v>
      </c>
      <c r="J92" s="61" t="n">
        <f aca="false">N(J91)+$I92</f>
        <v>56</v>
      </c>
    </row>
    <row r="93" customFormat="false" ht="15" hidden="false" customHeight="true" outlineLevel="0" collapsed="false">
      <c r="A93" s="61" t="n">
        <v>90</v>
      </c>
      <c r="B93" s="62" t="str">
        <f aca="false">IFERROR(IF([1]库存等级接口!$B$93=0,"",[1]库存等级接口!$B$93),"")</f>
        <v/>
      </c>
      <c r="C93" s="63" t="str">
        <f aca="false">IFERROR(IF([1]库存等级接口!$C$93=0,"",[1]库存等级接口!$C$93),"")</f>
        <v/>
      </c>
      <c r="D93" s="63" t="str">
        <f aca="false">IFERROR(IF([1]库存等级接口!$D$93=0,"",[1]库存等级接口!$D$93),"")</f>
        <v/>
      </c>
      <c r="E93" s="63" t="str">
        <f aca="false">IFERROR(IF([1]库存等级接口!$E$93=0,"",[1]库存等级接口!$E$93),"")</f>
        <v/>
      </c>
      <c r="F93" s="64" t="str">
        <f aca="false">IFERROR(IF([1]库存等级接口!$F$93=0,"",[1]库存等级接口!$F$93),"")</f>
        <v/>
      </c>
      <c r="G93" s="65" t="str">
        <f aca="false">IFERROR(IF([1]库存等级接口!$G$93=0,"",[1]库存等级接口!$G$93),"")</f>
        <v/>
      </c>
      <c r="H93" s="62" t="str">
        <f aca="false">IFERROR(IF([1]库存等级接口!$H$93=0,"",[1]库存等级接口!$H$93),"")</f>
        <v/>
      </c>
      <c r="I93" s="61" t="n">
        <f aca="false">IF($B93="",0,1)</f>
        <v>0</v>
      </c>
      <c r="J93" s="61" t="n">
        <f aca="false">N(J92)+$I93</f>
        <v>56</v>
      </c>
    </row>
    <row r="94" customFormat="false" ht="15" hidden="false" customHeight="true" outlineLevel="0" collapsed="false">
      <c r="A94" s="61" t="n">
        <v>91</v>
      </c>
      <c r="B94" s="62" t="str">
        <f aca="false">IFERROR(IF([1]库存等级接口!$B$94=0,"",[1]库存等级接口!$B$94),"")</f>
        <v/>
      </c>
      <c r="C94" s="63" t="str">
        <f aca="false">IFERROR(IF([1]库存等级接口!$C$94=0,"",[1]库存等级接口!$C$94),"")</f>
        <v/>
      </c>
      <c r="D94" s="63" t="str">
        <f aca="false">IFERROR(IF([1]库存等级接口!$D$94=0,"",[1]库存等级接口!$D$94),"")</f>
        <v/>
      </c>
      <c r="E94" s="63" t="str">
        <f aca="false">IFERROR(IF([1]库存等级接口!$E$94=0,"",[1]库存等级接口!$E$94),"")</f>
        <v/>
      </c>
      <c r="F94" s="64" t="str">
        <f aca="false">IFERROR(IF([1]库存等级接口!$F$94=0,"",[1]库存等级接口!$F$94),"")</f>
        <v/>
      </c>
      <c r="G94" s="65" t="str">
        <f aca="false">IFERROR(IF([1]库存等级接口!$G$94=0,"",[1]库存等级接口!$G$94),"")</f>
        <v/>
      </c>
      <c r="H94" s="62" t="str">
        <f aca="false">IFERROR(IF([1]库存等级接口!$H$94=0,"",[1]库存等级接口!$H$94),"")</f>
        <v/>
      </c>
      <c r="I94" s="61" t="n">
        <f aca="false">IF($B94="",0,1)</f>
        <v>0</v>
      </c>
      <c r="J94" s="61" t="n">
        <f aca="false">N(J93)+$I94</f>
        <v>56</v>
      </c>
    </row>
    <row r="95" customFormat="false" ht="15" hidden="false" customHeight="true" outlineLevel="0" collapsed="false">
      <c r="A95" s="61" t="n">
        <v>92</v>
      </c>
      <c r="B95" s="62" t="str">
        <f aca="false">IFERROR(IF([1]库存等级接口!$B$95=0,"",[1]库存等级接口!$B$95),"")</f>
        <v/>
      </c>
      <c r="C95" s="63" t="str">
        <f aca="false">IFERROR(IF([1]库存等级接口!$C$95=0,"",[1]库存等级接口!$C$95),"")</f>
        <v/>
      </c>
      <c r="D95" s="63" t="str">
        <f aca="false">IFERROR(IF([1]库存等级接口!$D$95=0,"",[1]库存等级接口!$D$95),"")</f>
        <v/>
      </c>
      <c r="E95" s="63" t="str">
        <f aca="false">IFERROR(IF([1]库存等级接口!$E$95=0,"",[1]库存等级接口!$E$95),"")</f>
        <v/>
      </c>
      <c r="F95" s="64" t="str">
        <f aca="false">IFERROR(IF([1]库存等级接口!$F$95=0,"",[1]库存等级接口!$F$95),"")</f>
        <v/>
      </c>
      <c r="G95" s="65" t="str">
        <f aca="false">IFERROR(IF([1]库存等级接口!$G$95=0,"",[1]库存等级接口!$G$95),"")</f>
        <v/>
      </c>
      <c r="H95" s="62" t="str">
        <f aca="false">IFERROR(IF([1]库存等级接口!$H$95=0,"",[1]库存等级接口!$H$95),"")</f>
        <v/>
      </c>
      <c r="I95" s="61" t="n">
        <f aca="false">IF($B95="",0,1)</f>
        <v>0</v>
      </c>
      <c r="J95" s="61" t="n">
        <f aca="false">N(J94)+$I95</f>
        <v>56</v>
      </c>
    </row>
    <row r="96" customFormat="false" ht="15" hidden="false" customHeight="true" outlineLevel="0" collapsed="false">
      <c r="A96" s="61" t="n">
        <v>93</v>
      </c>
      <c r="B96" s="62" t="str">
        <f aca="false">IFERROR(IF([1]库存等级接口!$B$96=0,"",[1]库存等级接口!$B$96),"")</f>
        <v/>
      </c>
      <c r="C96" s="63" t="str">
        <f aca="false">IFERROR(IF([1]库存等级接口!$C$96=0,"",[1]库存等级接口!$C$96),"")</f>
        <v/>
      </c>
      <c r="D96" s="63" t="str">
        <f aca="false">IFERROR(IF([1]库存等级接口!$D$96=0,"",[1]库存等级接口!$D$96),"")</f>
        <v/>
      </c>
      <c r="E96" s="63" t="str">
        <f aca="false">IFERROR(IF([1]库存等级接口!$E$96=0,"",[1]库存等级接口!$E$96),"")</f>
        <v/>
      </c>
      <c r="F96" s="64" t="str">
        <f aca="false">IFERROR(IF([1]库存等级接口!$F$96=0,"",[1]库存等级接口!$F$96),"")</f>
        <v/>
      </c>
      <c r="G96" s="65" t="str">
        <f aca="false">IFERROR(IF([1]库存等级接口!$G$96=0,"",[1]库存等级接口!$G$96),"")</f>
        <v/>
      </c>
      <c r="H96" s="62" t="str">
        <f aca="false">IFERROR(IF([1]库存等级接口!$H$96=0,"",[1]库存等级接口!$H$96),"")</f>
        <v/>
      </c>
      <c r="I96" s="61" t="n">
        <f aca="false">IF($B96="",0,1)</f>
        <v>0</v>
      </c>
      <c r="J96" s="61" t="n">
        <f aca="false">N(J95)+$I96</f>
        <v>56</v>
      </c>
    </row>
    <row r="97" customFormat="false" ht="15" hidden="false" customHeight="true" outlineLevel="0" collapsed="false">
      <c r="A97" s="61" t="n">
        <v>94</v>
      </c>
      <c r="B97" s="62" t="str">
        <f aca="false">IFERROR(IF([1]库存等级接口!$B$97=0,"",[1]库存等级接口!$B$97),"")</f>
        <v/>
      </c>
      <c r="C97" s="63" t="str">
        <f aca="false">IFERROR(IF([1]库存等级接口!$C$97=0,"",[1]库存等级接口!$C$97),"")</f>
        <v/>
      </c>
      <c r="D97" s="63" t="str">
        <f aca="false">IFERROR(IF([1]库存等级接口!$D$97=0,"",[1]库存等级接口!$D$97),"")</f>
        <v/>
      </c>
      <c r="E97" s="63" t="str">
        <f aca="false">IFERROR(IF([1]库存等级接口!$E$97=0,"",[1]库存等级接口!$E$97),"")</f>
        <v/>
      </c>
      <c r="F97" s="64" t="str">
        <f aca="false">IFERROR(IF([1]库存等级接口!$F$97=0,"",[1]库存等级接口!$F$97),"")</f>
        <v/>
      </c>
      <c r="G97" s="65" t="str">
        <f aca="false">IFERROR(IF([1]库存等级接口!$G$97=0,"",[1]库存等级接口!$G$97),"")</f>
        <v/>
      </c>
      <c r="H97" s="62" t="str">
        <f aca="false">IFERROR(IF([1]库存等级接口!$H$97=0,"",[1]库存等级接口!$H$97),"")</f>
        <v/>
      </c>
      <c r="I97" s="61" t="n">
        <f aca="false">IF($B97="",0,1)</f>
        <v>0</v>
      </c>
      <c r="J97" s="61" t="n">
        <f aca="false">N(J96)+$I97</f>
        <v>56</v>
      </c>
    </row>
    <row r="98" customFormat="false" ht="15" hidden="false" customHeight="true" outlineLevel="0" collapsed="false">
      <c r="A98" s="61" t="n">
        <v>95</v>
      </c>
      <c r="B98" s="62" t="str">
        <f aca="false">IFERROR(IF([1]库存等级接口!$B$98=0,"",[1]库存等级接口!$B$98),"")</f>
        <v/>
      </c>
      <c r="C98" s="63" t="str">
        <f aca="false">IFERROR(IF([1]库存等级接口!$C$98=0,"",[1]库存等级接口!$C$98),"")</f>
        <v/>
      </c>
      <c r="D98" s="63" t="str">
        <f aca="false">IFERROR(IF([1]库存等级接口!$D$98=0,"",[1]库存等级接口!$D$98),"")</f>
        <v/>
      </c>
      <c r="E98" s="63" t="str">
        <f aca="false">IFERROR(IF([1]库存等级接口!$E$98=0,"",[1]库存等级接口!$E$98),"")</f>
        <v/>
      </c>
      <c r="F98" s="64" t="str">
        <f aca="false">IFERROR(IF([1]库存等级接口!$F$98=0,"",[1]库存等级接口!$F$98),"")</f>
        <v/>
      </c>
      <c r="G98" s="65" t="str">
        <f aca="false">IFERROR(IF([1]库存等级接口!$G$98=0,"",[1]库存等级接口!$G$98),"")</f>
        <v/>
      </c>
      <c r="H98" s="62" t="str">
        <f aca="false">IFERROR(IF([1]库存等级接口!$H$98=0,"",[1]库存等级接口!$H$98),"")</f>
        <v/>
      </c>
      <c r="I98" s="61" t="n">
        <f aca="false">IF($B98="",0,1)</f>
        <v>0</v>
      </c>
      <c r="J98" s="61" t="n">
        <f aca="false">N(J97)+$I98</f>
        <v>56</v>
      </c>
    </row>
    <row r="99" customFormat="false" ht="15" hidden="false" customHeight="true" outlineLevel="0" collapsed="false">
      <c r="A99" s="61" t="n">
        <v>96</v>
      </c>
      <c r="B99" s="62" t="str">
        <f aca="false">IFERROR(IF([1]库存等级接口!$B$99=0,"",[1]库存等级接口!$B$99),"")</f>
        <v/>
      </c>
      <c r="C99" s="63" t="str">
        <f aca="false">IFERROR(IF([1]库存等级接口!$C$99=0,"",[1]库存等级接口!$C$99),"")</f>
        <v/>
      </c>
      <c r="D99" s="63" t="str">
        <f aca="false">IFERROR(IF([1]库存等级接口!$D$99=0,"",[1]库存等级接口!$D$99),"")</f>
        <v/>
      </c>
      <c r="E99" s="63" t="str">
        <f aca="false">IFERROR(IF([1]库存等级接口!$E$99=0,"",[1]库存等级接口!$E$99),"")</f>
        <v/>
      </c>
      <c r="F99" s="64" t="str">
        <f aca="false">IFERROR(IF([1]库存等级接口!$F$99=0,"",[1]库存等级接口!$F$99),"")</f>
        <v/>
      </c>
      <c r="G99" s="65" t="str">
        <f aca="false">IFERROR(IF([1]库存等级接口!$G$99=0,"",[1]库存等级接口!$G$99),"")</f>
        <v/>
      </c>
      <c r="H99" s="62" t="str">
        <f aca="false">IFERROR(IF([1]库存等级接口!$H$99=0,"",[1]库存等级接口!$H$99),"")</f>
        <v/>
      </c>
      <c r="I99" s="61" t="n">
        <f aca="false">IF($B99="",0,1)</f>
        <v>0</v>
      </c>
      <c r="J99" s="61" t="n">
        <f aca="false">N(J98)+$I99</f>
        <v>56</v>
      </c>
    </row>
    <row r="100" customFormat="false" ht="15" hidden="false" customHeight="true" outlineLevel="0" collapsed="false">
      <c r="A100" s="61" t="n">
        <v>97</v>
      </c>
      <c r="B100" s="62" t="str">
        <f aca="false">IFERROR(IF([1]库存等级接口!$B$100=0,"",[1]库存等级接口!$B$100),"")</f>
        <v/>
      </c>
      <c r="C100" s="63" t="str">
        <f aca="false">IFERROR(IF([1]库存等级接口!$C$100=0,"",[1]库存等级接口!$C$100),"")</f>
        <v/>
      </c>
      <c r="D100" s="63" t="str">
        <f aca="false">IFERROR(IF([1]库存等级接口!$D$100=0,"",[1]库存等级接口!$D$100),"")</f>
        <v/>
      </c>
      <c r="E100" s="63" t="str">
        <f aca="false">IFERROR(IF([1]库存等级接口!$E$100=0,"",[1]库存等级接口!$E$100),"")</f>
        <v/>
      </c>
      <c r="F100" s="64" t="str">
        <f aca="false">IFERROR(IF([1]库存等级接口!$F$100=0,"",[1]库存等级接口!$F$100),"")</f>
        <v/>
      </c>
      <c r="G100" s="65" t="str">
        <f aca="false">IFERROR(IF([1]库存等级接口!$G$100=0,"",[1]库存等级接口!$G$100),"")</f>
        <v/>
      </c>
      <c r="H100" s="62" t="str">
        <f aca="false">IFERROR(IF([1]库存等级接口!$H$100=0,"",[1]库存等级接口!$H$100),"")</f>
        <v/>
      </c>
      <c r="I100" s="61" t="n">
        <f aca="false">IF($B100="",0,1)</f>
        <v>0</v>
      </c>
      <c r="J100" s="61" t="n">
        <f aca="false">N(J99)+$I100</f>
        <v>56</v>
      </c>
    </row>
    <row r="101" customFormat="false" ht="15" hidden="false" customHeight="true" outlineLevel="0" collapsed="false">
      <c r="A101" s="61" t="n">
        <v>98</v>
      </c>
      <c r="B101" s="62" t="str">
        <f aca="false">IFERROR(IF([1]库存等级接口!$B$101=0,"",[1]库存等级接口!$B$101),"")</f>
        <v/>
      </c>
      <c r="C101" s="63" t="str">
        <f aca="false">IFERROR(IF([1]库存等级接口!$C$101=0,"",[1]库存等级接口!$C$101),"")</f>
        <v/>
      </c>
      <c r="D101" s="63" t="str">
        <f aca="false">IFERROR(IF([1]库存等级接口!$D$101=0,"",[1]库存等级接口!$D$101),"")</f>
        <v/>
      </c>
      <c r="E101" s="63" t="str">
        <f aca="false">IFERROR(IF([1]库存等级接口!$E$101=0,"",[1]库存等级接口!$E$101),"")</f>
        <v/>
      </c>
      <c r="F101" s="64" t="str">
        <f aca="false">IFERROR(IF([1]库存等级接口!$F$101=0,"",[1]库存等级接口!$F$101),"")</f>
        <v/>
      </c>
      <c r="G101" s="65" t="str">
        <f aca="false">IFERROR(IF([1]库存等级接口!$G$101=0,"",[1]库存等级接口!$G$101),"")</f>
        <v/>
      </c>
      <c r="H101" s="62" t="str">
        <f aca="false">IFERROR(IF([1]库存等级接口!$H$101=0,"",[1]库存等级接口!$H$101),"")</f>
        <v/>
      </c>
      <c r="I101" s="61" t="n">
        <f aca="false">IF($B101="",0,1)</f>
        <v>0</v>
      </c>
      <c r="J101" s="61" t="n">
        <f aca="false">N(J100)+$I101</f>
        <v>56</v>
      </c>
    </row>
    <row r="102" customFormat="false" ht="15" hidden="false" customHeight="true" outlineLevel="0" collapsed="false">
      <c r="A102" s="61" t="n">
        <v>99</v>
      </c>
      <c r="B102" s="62" t="str">
        <f aca="false">IFERROR(IF([1]库存等级接口!$B$102=0,"",[1]库存等级接口!$B$102),"")</f>
        <v/>
      </c>
      <c r="C102" s="63" t="str">
        <f aca="false">IFERROR(IF([1]库存等级接口!$C$102=0,"",[1]库存等级接口!$C$102),"")</f>
        <v/>
      </c>
      <c r="D102" s="63" t="str">
        <f aca="false">IFERROR(IF([1]库存等级接口!$D$102=0,"",[1]库存等级接口!$D$102),"")</f>
        <v/>
      </c>
      <c r="E102" s="63" t="str">
        <f aca="false">IFERROR(IF([1]库存等级接口!$E$102=0,"",[1]库存等级接口!$E$102),"")</f>
        <v/>
      </c>
      <c r="F102" s="64" t="str">
        <f aca="false">IFERROR(IF([1]库存等级接口!$F$102=0,"",[1]库存等级接口!$F$102),"")</f>
        <v/>
      </c>
      <c r="G102" s="65" t="str">
        <f aca="false">IFERROR(IF([1]库存等级接口!$G$102=0,"",[1]库存等级接口!$G$102),"")</f>
        <v/>
      </c>
      <c r="H102" s="62" t="str">
        <f aca="false">IFERROR(IF([1]库存等级接口!$H$102=0,"",[1]库存等级接口!$H$102),"")</f>
        <v/>
      </c>
      <c r="I102" s="61" t="n">
        <f aca="false">IF($B102="",0,1)</f>
        <v>0</v>
      </c>
      <c r="J102" s="61" t="n">
        <f aca="false">N(J101)+$I102</f>
        <v>56</v>
      </c>
    </row>
    <row r="103" customFormat="false" ht="15" hidden="false" customHeight="true" outlineLevel="0" collapsed="false">
      <c r="A103" s="61" t="n">
        <v>100</v>
      </c>
      <c r="B103" s="62" t="str">
        <f aca="false">IFERROR(IF([1]库存等级接口!$B$103=0,"",[1]库存等级接口!$B$103),"")</f>
        <v/>
      </c>
      <c r="C103" s="63" t="str">
        <f aca="false">IFERROR(IF([1]库存等级接口!$C$103=0,"",[1]库存等级接口!$C$103),"")</f>
        <v/>
      </c>
      <c r="D103" s="63" t="str">
        <f aca="false">IFERROR(IF([1]库存等级接口!$D$103=0,"",[1]库存等级接口!$D$103),"")</f>
        <v/>
      </c>
      <c r="E103" s="63" t="str">
        <f aca="false">IFERROR(IF([1]库存等级接口!$E$103=0,"",[1]库存等级接口!$E$103),"")</f>
        <v/>
      </c>
      <c r="F103" s="64" t="str">
        <f aca="false">IFERROR(IF([1]库存等级接口!$F$103=0,"",[1]库存等级接口!$F$103),"")</f>
        <v/>
      </c>
      <c r="G103" s="65" t="str">
        <f aca="false">IFERROR(IF([1]库存等级接口!$G$103=0,"",[1]库存等级接口!$G$103),"")</f>
        <v/>
      </c>
      <c r="H103" s="62" t="str">
        <f aca="false">IFERROR(IF([1]库存等级接口!$H$103=0,"",[1]库存等级接口!$H$103),"")</f>
        <v/>
      </c>
      <c r="I103" s="61" t="n">
        <f aca="false">IF($B103="",0,1)</f>
        <v>0</v>
      </c>
      <c r="J103" s="61" t="n">
        <f aca="false">N(J102)+$I103</f>
        <v>56</v>
      </c>
    </row>
    <row r="104" customFormat="false" ht="15" hidden="false" customHeight="true" outlineLevel="0" collapsed="false">
      <c r="A104" s="61" t="n">
        <v>101</v>
      </c>
      <c r="B104" s="62" t="str">
        <f aca="false">IFERROR(IF([1]库存等级接口!$B$104=0,"",[1]库存等级接口!$B$104),"")</f>
        <v/>
      </c>
      <c r="C104" s="63" t="str">
        <f aca="false">IFERROR(IF([1]库存等级接口!$C$104=0,"",[1]库存等级接口!$C$104),"")</f>
        <v/>
      </c>
      <c r="D104" s="63" t="str">
        <f aca="false">IFERROR(IF([1]库存等级接口!$D$104=0,"",[1]库存等级接口!$D$104),"")</f>
        <v/>
      </c>
      <c r="E104" s="63" t="str">
        <f aca="false">IFERROR(IF([1]库存等级接口!$E$104=0,"",[1]库存等级接口!$E$104),"")</f>
        <v/>
      </c>
      <c r="F104" s="64" t="str">
        <f aca="false">IFERROR(IF([1]库存等级接口!$F$104=0,"",[1]库存等级接口!$F$104),"")</f>
        <v/>
      </c>
      <c r="G104" s="65" t="str">
        <f aca="false">IFERROR(IF([1]库存等级接口!$G$104=0,"",[1]库存等级接口!$G$104),"")</f>
        <v/>
      </c>
      <c r="H104" s="62" t="str">
        <f aca="false">IFERROR(IF([1]库存等级接口!$H$104=0,"",[1]库存等级接口!$H$104),"")</f>
        <v/>
      </c>
      <c r="I104" s="61" t="n">
        <f aca="false">IF($B104="",0,1)</f>
        <v>0</v>
      </c>
      <c r="J104" s="61" t="n">
        <f aca="false">N(J103)+$I104</f>
        <v>56</v>
      </c>
    </row>
    <row r="105" customFormat="false" ht="15" hidden="false" customHeight="true" outlineLevel="0" collapsed="false">
      <c r="A105" s="61" t="n">
        <v>102</v>
      </c>
      <c r="B105" s="62" t="str">
        <f aca="false">IFERROR(IF([1]库存等级接口!$B$105=0,"",[1]库存等级接口!$B$105),"")</f>
        <v/>
      </c>
      <c r="C105" s="63" t="str">
        <f aca="false">IFERROR(IF([1]库存等级接口!$C$105=0,"",[1]库存等级接口!$C$105),"")</f>
        <v/>
      </c>
      <c r="D105" s="63" t="str">
        <f aca="false">IFERROR(IF([1]库存等级接口!$D$105=0,"",[1]库存等级接口!$D$105),"")</f>
        <v/>
      </c>
      <c r="E105" s="63" t="str">
        <f aca="false">IFERROR(IF([1]库存等级接口!$E$105=0,"",[1]库存等级接口!$E$105),"")</f>
        <v/>
      </c>
      <c r="F105" s="64" t="str">
        <f aca="false">IFERROR(IF([1]库存等级接口!$F$105=0,"",[1]库存等级接口!$F$105),"")</f>
        <v/>
      </c>
      <c r="G105" s="65" t="str">
        <f aca="false">IFERROR(IF([1]库存等级接口!$G$105=0,"",[1]库存等级接口!$G$105),"")</f>
        <v/>
      </c>
      <c r="H105" s="62" t="str">
        <f aca="false">IFERROR(IF([1]库存等级接口!$H$105=0,"",[1]库存等级接口!$H$105),"")</f>
        <v/>
      </c>
      <c r="I105" s="61" t="n">
        <f aca="false">IF($B105="",0,1)</f>
        <v>0</v>
      </c>
      <c r="J105" s="61" t="n">
        <f aca="false">N(J104)+$I105</f>
        <v>56</v>
      </c>
    </row>
    <row r="106" customFormat="false" ht="15" hidden="false" customHeight="true" outlineLevel="0" collapsed="false">
      <c r="A106" s="61" t="n">
        <v>103</v>
      </c>
      <c r="B106" s="62" t="str">
        <f aca="false">IFERROR(IF([1]库存等级接口!$B$106=0,"",[1]库存等级接口!$B$106),"")</f>
        <v/>
      </c>
      <c r="C106" s="63" t="str">
        <f aca="false">IFERROR(IF([1]库存等级接口!$C$106=0,"",[1]库存等级接口!$C$106),"")</f>
        <v/>
      </c>
      <c r="D106" s="63" t="str">
        <f aca="false">IFERROR(IF([1]库存等级接口!$D$106=0,"",[1]库存等级接口!$D$106),"")</f>
        <v/>
      </c>
      <c r="E106" s="63" t="str">
        <f aca="false">IFERROR(IF([1]库存等级接口!$E$106=0,"",[1]库存等级接口!$E$106),"")</f>
        <v/>
      </c>
      <c r="F106" s="64" t="str">
        <f aca="false">IFERROR(IF([1]库存等级接口!$F$106=0,"",[1]库存等级接口!$F$106),"")</f>
        <v/>
      </c>
      <c r="G106" s="65" t="str">
        <f aca="false">IFERROR(IF([1]库存等级接口!$G$106=0,"",[1]库存等级接口!$G$106),"")</f>
        <v/>
      </c>
      <c r="H106" s="62" t="str">
        <f aca="false">IFERROR(IF([1]库存等级接口!$H$106=0,"",[1]库存等级接口!$H$106),"")</f>
        <v/>
      </c>
      <c r="I106" s="61" t="n">
        <f aca="false">IF($B106="",0,1)</f>
        <v>0</v>
      </c>
      <c r="J106" s="61" t="n">
        <f aca="false">N(J105)+$I106</f>
        <v>56</v>
      </c>
    </row>
    <row r="107" customFormat="false" ht="15" hidden="false" customHeight="true" outlineLevel="0" collapsed="false">
      <c r="A107" s="61" t="n">
        <v>104</v>
      </c>
      <c r="B107" s="62" t="str">
        <f aca="false">IFERROR(IF([1]库存等级接口!$B$107=0,"",[1]库存等级接口!$B$107),"")</f>
        <v/>
      </c>
      <c r="C107" s="63" t="str">
        <f aca="false">IFERROR(IF([1]库存等级接口!$C$107=0,"",[1]库存等级接口!$C$107),"")</f>
        <v/>
      </c>
      <c r="D107" s="63" t="str">
        <f aca="false">IFERROR(IF([1]库存等级接口!$D$107=0,"",[1]库存等级接口!$D$107),"")</f>
        <v/>
      </c>
      <c r="E107" s="63" t="str">
        <f aca="false">IFERROR(IF([1]库存等级接口!$E$107=0,"",[1]库存等级接口!$E$107),"")</f>
        <v/>
      </c>
      <c r="F107" s="64" t="str">
        <f aca="false">IFERROR(IF([1]库存等级接口!$F$107=0,"",[1]库存等级接口!$F$107),"")</f>
        <v/>
      </c>
      <c r="G107" s="65" t="str">
        <f aca="false">IFERROR(IF([1]库存等级接口!$G$107=0,"",[1]库存等级接口!$G$107),"")</f>
        <v/>
      </c>
      <c r="H107" s="62" t="str">
        <f aca="false">IFERROR(IF([1]库存等级接口!$H$107=0,"",[1]库存等级接口!$H$107),"")</f>
        <v/>
      </c>
      <c r="I107" s="61" t="n">
        <f aca="false">IF($B107="",0,1)</f>
        <v>0</v>
      </c>
      <c r="J107" s="61" t="n">
        <f aca="false">N(J106)+$I107</f>
        <v>56</v>
      </c>
    </row>
    <row r="108" customFormat="false" ht="15" hidden="false" customHeight="true" outlineLevel="0" collapsed="false">
      <c r="A108" s="61" t="n">
        <v>105</v>
      </c>
      <c r="B108" s="62" t="str">
        <f aca="false">IFERROR(IF([1]库存等级接口!$B$108=0,"",[1]库存等级接口!$B$108),"")</f>
        <v/>
      </c>
      <c r="C108" s="63" t="str">
        <f aca="false">IFERROR(IF([1]库存等级接口!$C$108=0,"",[1]库存等级接口!$C$108),"")</f>
        <v/>
      </c>
      <c r="D108" s="63" t="str">
        <f aca="false">IFERROR(IF([1]库存等级接口!$D$108=0,"",[1]库存等级接口!$D$108),"")</f>
        <v/>
      </c>
      <c r="E108" s="63" t="str">
        <f aca="false">IFERROR(IF([1]库存等级接口!$E$108=0,"",[1]库存等级接口!$E$108),"")</f>
        <v/>
      </c>
      <c r="F108" s="64" t="str">
        <f aca="false">IFERROR(IF([1]库存等级接口!$F$108=0,"",[1]库存等级接口!$F$108),"")</f>
        <v/>
      </c>
      <c r="G108" s="65" t="str">
        <f aca="false">IFERROR(IF([1]库存等级接口!$G$108=0,"",[1]库存等级接口!$G$108),"")</f>
        <v/>
      </c>
      <c r="H108" s="62" t="str">
        <f aca="false">IFERROR(IF([1]库存等级接口!$H$108=0,"",[1]库存等级接口!$H$108),"")</f>
        <v/>
      </c>
      <c r="I108" s="61" t="n">
        <f aca="false">IF($B108="",0,1)</f>
        <v>0</v>
      </c>
      <c r="J108" s="61" t="n">
        <f aca="false">N(J107)+$I108</f>
        <v>56</v>
      </c>
    </row>
    <row r="109" customFormat="false" ht="15" hidden="false" customHeight="true" outlineLevel="0" collapsed="false">
      <c r="A109" s="61" t="n">
        <v>106</v>
      </c>
      <c r="B109" s="62" t="str">
        <f aca="false">IFERROR(IF([1]库存等级接口!$B$109=0,"",[1]库存等级接口!$B$109),"")</f>
        <v/>
      </c>
      <c r="C109" s="63" t="str">
        <f aca="false">IFERROR(IF([1]库存等级接口!$C$109=0,"",[1]库存等级接口!$C$109),"")</f>
        <v/>
      </c>
      <c r="D109" s="63" t="str">
        <f aca="false">IFERROR(IF([1]库存等级接口!$D$109=0,"",[1]库存等级接口!$D$109),"")</f>
        <v/>
      </c>
      <c r="E109" s="63" t="str">
        <f aca="false">IFERROR(IF([1]库存等级接口!$E$109=0,"",[1]库存等级接口!$E$109),"")</f>
        <v/>
      </c>
      <c r="F109" s="64" t="str">
        <f aca="false">IFERROR(IF([1]库存等级接口!$F$109=0,"",[1]库存等级接口!$F$109),"")</f>
        <v/>
      </c>
      <c r="G109" s="65" t="str">
        <f aca="false">IFERROR(IF([1]库存等级接口!$G$109=0,"",[1]库存等级接口!$G$109),"")</f>
        <v/>
      </c>
      <c r="H109" s="62" t="str">
        <f aca="false">IFERROR(IF([1]库存等级接口!$H$109=0,"",[1]库存等级接口!$H$109),"")</f>
        <v/>
      </c>
      <c r="I109" s="61" t="n">
        <f aca="false">IF($B109="",0,1)</f>
        <v>0</v>
      </c>
      <c r="J109" s="61" t="n">
        <f aca="false">N(J108)+$I109</f>
        <v>56</v>
      </c>
    </row>
    <row r="110" customFormat="false" ht="15" hidden="false" customHeight="true" outlineLevel="0" collapsed="false">
      <c r="A110" s="61" t="n">
        <v>107</v>
      </c>
      <c r="B110" s="62" t="str">
        <f aca="false">IFERROR(IF([1]库存等级接口!$B$110=0,"",[1]库存等级接口!$B$110),"")</f>
        <v/>
      </c>
      <c r="C110" s="63" t="str">
        <f aca="false">IFERROR(IF([1]库存等级接口!$C$110=0,"",[1]库存等级接口!$C$110),"")</f>
        <v/>
      </c>
      <c r="D110" s="63" t="str">
        <f aca="false">IFERROR(IF([1]库存等级接口!$D$110=0,"",[1]库存等级接口!$D$110),"")</f>
        <v/>
      </c>
      <c r="E110" s="63" t="str">
        <f aca="false">IFERROR(IF([1]库存等级接口!$E$110=0,"",[1]库存等级接口!$E$110),"")</f>
        <v/>
      </c>
      <c r="F110" s="64" t="str">
        <f aca="false">IFERROR(IF([1]库存等级接口!$F$110=0,"",[1]库存等级接口!$F$110),"")</f>
        <v/>
      </c>
      <c r="G110" s="65" t="str">
        <f aca="false">IFERROR(IF([1]库存等级接口!$G$110=0,"",[1]库存等级接口!$G$110),"")</f>
        <v/>
      </c>
      <c r="H110" s="62" t="str">
        <f aca="false">IFERROR(IF([1]库存等级接口!$H$110=0,"",[1]库存等级接口!$H$110),"")</f>
        <v/>
      </c>
      <c r="I110" s="61" t="n">
        <f aca="false">IF($B110="",0,1)</f>
        <v>0</v>
      </c>
      <c r="J110" s="61" t="n">
        <f aca="false">N(J109)+$I110</f>
        <v>56</v>
      </c>
    </row>
    <row r="111" customFormat="false" ht="15" hidden="false" customHeight="true" outlineLevel="0" collapsed="false">
      <c r="A111" s="61" t="n">
        <v>108</v>
      </c>
      <c r="B111" s="62" t="str">
        <f aca="false">IFERROR(IF([1]库存等级接口!$B$111=0,"",[1]库存等级接口!$B$111),"")</f>
        <v/>
      </c>
      <c r="C111" s="63" t="str">
        <f aca="false">IFERROR(IF([1]库存等级接口!$C$111=0,"",[1]库存等级接口!$C$111),"")</f>
        <v/>
      </c>
      <c r="D111" s="63" t="str">
        <f aca="false">IFERROR(IF([1]库存等级接口!$D$111=0,"",[1]库存等级接口!$D$111),"")</f>
        <v/>
      </c>
      <c r="E111" s="63" t="str">
        <f aca="false">IFERROR(IF([1]库存等级接口!$E$111=0,"",[1]库存等级接口!$E$111),"")</f>
        <v/>
      </c>
      <c r="F111" s="64" t="str">
        <f aca="false">IFERROR(IF([1]库存等级接口!$F$111=0,"",[1]库存等级接口!$F$111),"")</f>
        <v/>
      </c>
      <c r="G111" s="65" t="str">
        <f aca="false">IFERROR(IF([1]库存等级接口!$G$111=0,"",[1]库存等级接口!$G$111),"")</f>
        <v/>
      </c>
      <c r="H111" s="62" t="str">
        <f aca="false">IFERROR(IF([1]库存等级接口!$H$111=0,"",[1]库存等级接口!$H$111),"")</f>
        <v/>
      </c>
      <c r="I111" s="61" t="n">
        <f aca="false">IF($B111="",0,1)</f>
        <v>0</v>
      </c>
      <c r="J111" s="61" t="n">
        <f aca="false">N(J110)+$I111</f>
        <v>56</v>
      </c>
    </row>
    <row r="112" customFormat="false" ht="15" hidden="false" customHeight="true" outlineLevel="0" collapsed="false">
      <c r="A112" s="61" t="n">
        <v>109</v>
      </c>
      <c r="B112" s="62" t="str">
        <f aca="false">IFERROR(IF([1]库存等级接口!$B$112=0,"",[1]库存等级接口!$B$112),"")</f>
        <v/>
      </c>
      <c r="C112" s="63" t="str">
        <f aca="false">IFERROR(IF([1]库存等级接口!$C$112=0,"",[1]库存等级接口!$C$112),"")</f>
        <v/>
      </c>
      <c r="D112" s="63" t="str">
        <f aca="false">IFERROR(IF([1]库存等级接口!$D$112=0,"",[1]库存等级接口!$D$112),"")</f>
        <v/>
      </c>
      <c r="E112" s="63" t="str">
        <f aca="false">IFERROR(IF([1]库存等级接口!$E$112=0,"",[1]库存等级接口!$E$112),"")</f>
        <v/>
      </c>
      <c r="F112" s="64" t="str">
        <f aca="false">IFERROR(IF([1]库存等级接口!$F$112=0,"",[1]库存等级接口!$F$112),"")</f>
        <v/>
      </c>
      <c r="G112" s="65" t="str">
        <f aca="false">IFERROR(IF([1]库存等级接口!$G$112=0,"",[1]库存等级接口!$G$112),"")</f>
        <v/>
      </c>
      <c r="H112" s="62" t="str">
        <f aca="false">IFERROR(IF([1]库存等级接口!$H$112=0,"",[1]库存等级接口!$H$112),"")</f>
        <v/>
      </c>
      <c r="I112" s="61" t="n">
        <f aca="false">IF($B112="",0,1)</f>
        <v>0</v>
      </c>
      <c r="J112" s="61" t="n">
        <f aca="false">N(J111)+$I112</f>
        <v>56</v>
      </c>
    </row>
    <row r="113" customFormat="false" ht="15" hidden="false" customHeight="true" outlineLevel="0" collapsed="false">
      <c r="A113" s="61" t="n">
        <v>110</v>
      </c>
      <c r="B113" s="62" t="str">
        <f aca="false">IFERROR(IF([1]库存等级接口!$B$113=0,"",[1]库存等级接口!$B$113),"")</f>
        <v/>
      </c>
      <c r="C113" s="63" t="str">
        <f aca="false">IFERROR(IF([1]库存等级接口!$C$113=0,"",[1]库存等级接口!$C$113),"")</f>
        <v/>
      </c>
      <c r="D113" s="63" t="str">
        <f aca="false">IFERROR(IF([1]库存等级接口!$D$113=0,"",[1]库存等级接口!$D$113),"")</f>
        <v/>
      </c>
      <c r="E113" s="63" t="str">
        <f aca="false">IFERROR(IF([1]库存等级接口!$E$113=0,"",[1]库存等级接口!$E$113),"")</f>
        <v/>
      </c>
      <c r="F113" s="64" t="str">
        <f aca="false">IFERROR(IF([1]库存等级接口!$F$113=0,"",[1]库存等级接口!$F$113),"")</f>
        <v/>
      </c>
      <c r="G113" s="65" t="str">
        <f aca="false">IFERROR(IF([1]库存等级接口!$G$113=0,"",[1]库存等级接口!$G$113),"")</f>
        <v/>
      </c>
      <c r="H113" s="62" t="str">
        <f aca="false">IFERROR(IF([1]库存等级接口!$H$113=0,"",[1]库存等级接口!$H$113),"")</f>
        <v/>
      </c>
      <c r="I113" s="61" t="n">
        <f aca="false">IF($B113="",0,1)</f>
        <v>0</v>
      </c>
      <c r="J113" s="61" t="n">
        <f aca="false">N(J112)+$I113</f>
        <v>56</v>
      </c>
    </row>
    <row r="114" customFormat="false" ht="15" hidden="false" customHeight="true" outlineLevel="0" collapsed="false">
      <c r="A114" s="61" t="n">
        <v>111</v>
      </c>
      <c r="B114" s="62" t="str">
        <f aca="false">IFERROR(IF([1]库存等级接口!$B$114=0,"",[1]库存等级接口!$B$114),"")</f>
        <v/>
      </c>
      <c r="C114" s="63" t="str">
        <f aca="false">IFERROR(IF([1]库存等级接口!$C$114=0,"",[1]库存等级接口!$C$114),"")</f>
        <v/>
      </c>
      <c r="D114" s="63" t="str">
        <f aca="false">IFERROR(IF([1]库存等级接口!$D$114=0,"",[1]库存等级接口!$D$114),"")</f>
        <v/>
      </c>
      <c r="E114" s="63" t="str">
        <f aca="false">IFERROR(IF([1]库存等级接口!$E$114=0,"",[1]库存等级接口!$E$114),"")</f>
        <v/>
      </c>
      <c r="F114" s="64" t="str">
        <f aca="false">IFERROR(IF([1]库存等级接口!$F$114=0,"",[1]库存等级接口!$F$114),"")</f>
        <v/>
      </c>
      <c r="G114" s="65" t="str">
        <f aca="false">IFERROR(IF([1]库存等级接口!$G$114=0,"",[1]库存等级接口!$G$114),"")</f>
        <v/>
      </c>
      <c r="H114" s="62" t="str">
        <f aca="false">IFERROR(IF([1]库存等级接口!$H$114=0,"",[1]库存等级接口!$H$114),"")</f>
        <v/>
      </c>
      <c r="I114" s="61" t="n">
        <f aca="false">IF($B114="",0,1)</f>
        <v>0</v>
      </c>
      <c r="J114" s="61" t="n">
        <f aca="false">N(J113)+$I114</f>
        <v>56</v>
      </c>
    </row>
    <row r="115" customFormat="false" ht="15" hidden="false" customHeight="true" outlineLevel="0" collapsed="false">
      <c r="A115" s="61" t="n">
        <v>112</v>
      </c>
      <c r="B115" s="62" t="str">
        <f aca="false">IFERROR(IF([1]库存等级接口!$B$115=0,"",[1]库存等级接口!$B$115),"")</f>
        <v/>
      </c>
      <c r="C115" s="63" t="str">
        <f aca="false">IFERROR(IF([1]库存等级接口!$C$115=0,"",[1]库存等级接口!$C$115),"")</f>
        <v/>
      </c>
      <c r="D115" s="63" t="str">
        <f aca="false">IFERROR(IF([1]库存等级接口!$D$115=0,"",[1]库存等级接口!$D$115),"")</f>
        <v/>
      </c>
      <c r="E115" s="63" t="str">
        <f aca="false">IFERROR(IF([1]库存等级接口!$E$115=0,"",[1]库存等级接口!$E$115),"")</f>
        <v/>
      </c>
      <c r="F115" s="64" t="str">
        <f aca="false">IFERROR(IF([1]库存等级接口!$F$115=0,"",[1]库存等级接口!$F$115),"")</f>
        <v/>
      </c>
      <c r="G115" s="65" t="str">
        <f aca="false">IFERROR(IF([1]库存等级接口!$G$115=0,"",[1]库存等级接口!$G$115),"")</f>
        <v/>
      </c>
      <c r="H115" s="62" t="str">
        <f aca="false">IFERROR(IF([1]库存等级接口!$H$115=0,"",[1]库存等级接口!$H$115),"")</f>
        <v/>
      </c>
      <c r="I115" s="61" t="n">
        <f aca="false">IF($B115="",0,1)</f>
        <v>0</v>
      </c>
      <c r="J115" s="61" t="n">
        <f aca="false">N(J114)+$I115</f>
        <v>56</v>
      </c>
    </row>
    <row r="116" customFormat="false" ht="15" hidden="false" customHeight="true" outlineLevel="0" collapsed="false">
      <c r="A116" s="61" t="n">
        <v>113</v>
      </c>
      <c r="B116" s="62" t="str">
        <f aca="false">IFERROR(IF([1]库存等级接口!$B$116=0,"",[1]库存等级接口!$B$116),"")</f>
        <v/>
      </c>
      <c r="C116" s="63" t="str">
        <f aca="false">IFERROR(IF([1]库存等级接口!$C$116=0,"",[1]库存等级接口!$C$116),"")</f>
        <v/>
      </c>
      <c r="D116" s="63" t="str">
        <f aca="false">IFERROR(IF([1]库存等级接口!$D$116=0,"",[1]库存等级接口!$D$116),"")</f>
        <v/>
      </c>
      <c r="E116" s="63" t="str">
        <f aca="false">IFERROR(IF([1]库存等级接口!$E$116=0,"",[1]库存等级接口!$E$116),"")</f>
        <v/>
      </c>
      <c r="F116" s="64" t="str">
        <f aca="false">IFERROR(IF([1]库存等级接口!$F$116=0,"",[1]库存等级接口!$F$116),"")</f>
        <v/>
      </c>
      <c r="G116" s="65" t="str">
        <f aca="false">IFERROR(IF([1]库存等级接口!$G$116=0,"",[1]库存等级接口!$G$116),"")</f>
        <v/>
      </c>
      <c r="H116" s="62" t="str">
        <f aca="false">IFERROR(IF([1]库存等级接口!$H$116=0,"",[1]库存等级接口!$H$116),"")</f>
        <v/>
      </c>
      <c r="I116" s="61" t="n">
        <f aca="false">IF($B116="",0,1)</f>
        <v>0</v>
      </c>
      <c r="J116" s="61" t="n">
        <f aca="false">N(J115)+$I116</f>
        <v>56</v>
      </c>
    </row>
    <row r="117" customFormat="false" ht="15" hidden="false" customHeight="true" outlineLevel="0" collapsed="false">
      <c r="A117" s="61" t="n">
        <v>114</v>
      </c>
      <c r="B117" s="62" t="str">
        <f aca="false">IFERROR(IF([1]库存等级接口!$B$117=0,"",[1]库存等级接口!$B$117),"")</f>
        <v/>
      </c>
      <c r="C117" s="63" t="str">
        <f aca="false">IFERROR(IF([1]库存等级接口!$C$117=0,"",[1]库存等级接口!$C$117),"")</f>
        <v/>
      </c>
      <c r="D117" s="63" t="str">
        <f aca="false">IFERROR(IF([1]库存等级接口!$D$117=0,"",[1]库存等级接口!$D$117),"")</f>
        <v/>
      </c>
      <c r="E117" s="63" t="str">
        <f aca="false">IFERROR(IF([1]库存等级接口!$E$117=0,"",[1]库存等级接口!$E$117),"")</f>
        <v/>
      </c>
      <c r="F117" s="64" t="str">
        <f aca="false">IFERROR(IF([1]库存等级接口!$F$117=0,"",[1]库存等级接口!$F$117),"")</f>
        <v/>
      </c>
      <c r="G117" s="65" t="str">
        <f aca="false">IFERROR(IF([1]库存等级接口!$G$117=0,"",[1]库存等级接口!$G$117),"")</f>
        <v/>
      </c>
      <c r="H117" s="62" t="str">
        <f aca="false">IFERROR(IF([1]库存等级接口!$H$117=0,"",[1]库存等级接口!$H$117),"")</f>
        <v/>
      </c>
      <c r="I117" s="61" t="n">
        <f aca="false">IF($B117="",0,1)</f>
        <v>0</v>
      </c>
      <c r="J117" s="61" t="n">
        <f aca="false">N(J116)+$I117</f>
        <v>56</v>
      </c>
    </row>
    <row r="118" customFormat="false" ht="15" hidden="false" customHeight="true" outlineLevel="0" collapsed="false">
      <c r="A118" s="61" t="n">
        <v>115</v>
      </c>
      <c r="B118" s="62" t="str">
        <f aca="false">IFERROR(IF([1]库存等级接口!$B$118=0,"",[1]库存等级接口!$B$118),"")</f>
        <v/>
      </c>
      <c r="C118" s="63" t="str">
        <f aca="false">IFERROR(IF([1]库存等级接口!$C$118=0,"",[1]库存等级接口!$C$118),"")</f>
        <v/>
      </c>
      <c r="D118" s="63" t="str">
        <f aca="false">IFERROR(IF([1]库存等级接口!$D$118=0,"",[1]库存等级接口!$D$118),"")</f>
        <v/>
      </c>
      <c r="E118" s="63" t="str">
        <f aca="false">IFERROR(IF([1]库存等级接口!$E$118=0,"",[1]库存等级接口!$E$118),"")</f>
        <v/>
      </c>
      <c r="F118" s="64" t="str">
        <f aca="false">IFERROR(IF([1]库存等级接口!$F$118=0,"",[1]库存等级接口!$F$118),"")</f>
        <v/>
      </c>
      <c r="G118" s="65" t="str">
        <f aca="false">IFERROR(IF([1]库存等级接口!$G$118=0,"",[1]库存等级接口!$G$118),"")</f>
        <v/>
      </c>
      <c r="H118" s="62" t="str">
        <f aca="false">IFERROR(IF([1]库存等级接口!$H$118=0,"",[1]库存等级接口!$H$118),"")</f>
        <v/>
      </c>
      <c r="I118" s="61" t="n">
        <f aca="false">IF($B118="",0,1)</f>
        <v>0</v>
      </c>
      <c r="J118" s="61" t="n">
        <f aca="false">N(J117)+$I118</f>
        <v>56</v>
      </c>
    </row>
    <row r="119" customFormat="false" ht="15" hidden="false" customHeight="true" outlineLevel="0" collapsed="false">
      <c r="A119" s="61" t="n">
        <v>116</v>
      </c>
      <c r="B119" s="62" t="str">
        <f aca="false">IFERROR(IF([1]库存等级接口!$B$119=0,"",[1]库存等级接口!$B$119),"")</f>
        <v/>
      </c>
      <c r="C119" s="63" t="str">
        <f aca="false">IFERROR(IF([1]库存等级接口!$C$119=0,"",[1]库存等级接口!$C$119),"")</f>
        <v/>
      </c>
      <c r="D119" s="63" t="str">
        <f aca="false">IFERROR(IF([1]库存等级接口!$D$119=0,"",[1]库存等级接口!$D$119),"")</f>
        <v/>
      </c>
      <c r="E119" s="63" t="str">
        <f aca="false">IFERROR(IF([1]库存等级接口!$E$119=0,"",[1]库存等级接口!$E$119),"")</f>
        <v/>
      </c>
      <c r="F119" s="64" t="str">
        <f aca="false">IFERROR(IF([1]库存等级接口!$F$119=0,"",[1]库存等级接口!$F$119),"")</f>
        <v/>
      </c>
      <c r="G119" s="65" t="str">
        <f aca="false">IFERROR(IF([1]库存等级接口!$G$119=0,"",[1]库存等级接口!$G$119),"")</f>
        <v/>
      </c>
      <c r="H119" s="62" t="str">
        <f aca="false">IFERROR(IF([1]库存等级接口!$H$119=0,"",[1]库存等级接口!$H$119),"")</f>
        <v/>
      </c>
      <c r="I119" s="61" t="n">
        <f aca="false">IF($B119="",0,1)</f>
        <v>0</v>
      </c>
      <c r="J119" s="61" t="n">
        <f aca="false">N(J118)+$I119</f>
        <v>56</v>
      </c>
    </row>
    <row r="120" customFormat="false" ht="15" hidden="false" customHeight="true" outlineLevel="0" collapsed="false">
      <c r="A120" s="61" t="n">
        <v>117</v>
      </c>
      <c r="B120" s="62" t="str">
        <f aca="false">IFERROR(IF([1]库存等级接口!$B$120=0,"",[1]库存等级接口!$B$120),"")</f>
        <v/>
      </c>
      <c r="C120" s="63" t="str">
        <f aca="false">IFERROR(IF([1]库存等级接口!$C$120=0,"",[1]库存等级接口!$C$120),"")</f>
        <v/>
      </c>
      <c r="D120" s="63" t="str">
        <f aca="false">IFERROR(IF([1]库存等级接口!$D$120=0,"",[1]库存等级接口!$D$120),"")</f>
        <v/>
      </c>
      <c r="E120" s="63" t="str">
        <f aca="false">IFERROR(IF([1]库存等级接口!$E$120=0,"",[1]库存等级接口!$E$120),"")</f>
        <v/>
      </c>
      <c r="F120" s="64" t="str">
        <f aca="false">IFERROR(IF([1]库存等级接口!$F$120=0,"",[1]库存等级接口!$F$120),"")</f>
        <v/>
      </c>
      <c r="G120" s="65" t="str">
        <f aca="false">IFERROR(IF([1]库存等级接口!$G$120=0,"",[1]库存等级接口!$G$120),"")</f>
        <v/>
      </c>
      <c r="H120" s="62" t="str">
        <f aca="false">IFERROR(IF([1]库存等级接口!$H$120=0,"",[1]库存等级接口!$H$120),"")</f>
        <v/>
      </c>
      <c r="I120" s="61" t="n">
        <f aca="false">IF($B120="",0,1)</f>
        <v>0</v>
      </c>
      <c r="J120" s="61" t="n">
        <f aca="false">N(J119)+$I120</f>
        <v>56</v>
      </c>
    </row>
    <row r="121" customFormat="false" ht="15" hidden="false" customHeight="true" outlineLevel="0" collapsed="false">
      <c r="A121" s="61" t="n">
        <v>118</v>
      </c>
      <c r="B121" s="62" t="str">
        <f aca="false">IFERROR(IF([1]库存等级接口!$B$121=0,"",[1]库存等级接口!$B$121),"")</f>
        <v/>
      </c>
      <c r="C121" s="63" t="str">
        <f aca="false">IFERROR(IF([1]库存等级接口!$C$121=0,"",[1]库存等级接口!$C$121),"")</f>
        <v/>
      </c>
      <c r="D121" s="63" t="str">
        <f aca="false">IFERROR(IF([1]库存等级接口!$D$121=0,"",[1]库存等级接口!$D$121),"")</f>
        <v/>
      </c>
      <c r="E121" s="63" t="str">
        <f aca="false">IFERROR(IF([1]库存等级接口!$E$121=0,"",[1]库存等级接口!$E$121),"")</f>
        <v/>
      </c>
      <c r="F121" s="64" t="str">
        <f aca="false">IFERROR(IF([1]库存等级接口!$F$121=0,"",[1]库存等级接口!$F$121),"")</f>
        <v/>
      </c>
      <c r="G121" s="65" t="str">
        <f aca="false">IFERROR(IF([1]库存等级接口!$G$121=0,"",[1]库存等级接口!$G$121),"")</f>
        <v/>
      </c>
      <c r="H121" s="62" t="str">
        <f aca="false">IFERROR(IF([1]库存等级接口!$H$121=0,"",[1]库存等级接口!$H$121),"")</f>
        <v/>
      </c>
      <c r="I121" s="61" t="n">
        <f aca="false">IF($B121="",0,1)</f>
        <v>0</v>
      </c>
      <c r="J121" s="61" t="n">
        <f aca="false">N(J120)+$I121</f>
        <v>56</v>
      </c>
    </row>
    <row r="122" customFormat="false" ht="15" hidden="false" customHeight="true" outlineLevel="0" collapsed="false">
      <c r="A122" s="61" t="n">
        <v>119</v>
      </c>
      <c r="B122" s="62" t="str">
        <f aca="false">IFERROR(IF([1]库存等级接口!$B$122=0,"",[1]库存等级接口!$B$122),"")</f>
        <v/>
      </c>
      <c r="C122" s="63" t="str">
        <f aca="false">IFERROR(IF([1]库存等级接口!$C$122=0,"",[1]库存等级接口!$C$122),"")</f>
        <v/>
      </c>
      <c r="D122" s="63" t="str">
        <f aca="false">IFERROR(IF([1]库存等级接口!$D$122=0,"",[1]库存等级接口!$D$122),"")</f>
        <v/>
      </c>
      <c r="E122" s="63" t="str">
        <f aca="false">IFERROR(IF([1]库存等级接口!$E$122=0,"",[1]库存等级接口!$E$122),"")</f>
        <v/>
      </c>
      <c r="F122" s="64" t="str">
        <f aca="false">IFERROR(IF([1]库存等级接口!$F$122=0,"",[1]库存等级接口!$F$122),"")</f>
        <v/>
      </c>
      <c r="G122" s="65" t="str">
        <f aca="false">IFERROR(IF([1]库存等级接口!$G$122=0,"",[1]库存等级接口!$G$122),"")</f>
        <v/>
      </c>
      <c r="H122" s="62" t="str">
        <f aca="false">IFERROR(IF([1]库存等级接口!$H$122=0,"",[1]库存等级接口!$H$122),"")</f>
        <v/>
      </c>
      <c r="I122" s="61" t="n">
        <f aca="false">IF($B122="",0,1)</f>
        <v>0</v>
      </c>
      <c r="J122" s="61" t="n">
        <f aca="false">N(J121)+$I122</f>
        <v>56</v>
      </c>
    </row>
    <row r="123" customFormat="false" ht="15" hidden="false" customHeight="true" outlineLevel="0" collapsed="false">
      <c r="A123" s="61" t="n">
        <v>120</v>
      </c>
      <c r="B123" s="62" t="str">
        <f aca="false">IFERROR(IF([1]库存等级接口!$B$123=0,"",[1]库存等级接口!$B$123),"")</f>
        <v/>
      </c>
      <c r="C123" s="63" t="str">
        <f aca="false">IFERROR(IF([1]库存等级接口!$C$123=0,"",[1]库存等级接口!$C$123),"")</f>
        <v/>
      </c>
      <c r="D123" s="63" t="str">
        <f aca="false">IFERROR(IF([1]库存等级接口!$D$123=0,"",[1]库存等级接口!$D$123),"")</f>
        <v/>
      </c>
      <c r="E123" s="63" t="str">
        <f aca="false">IFERROR(IF([1]库存等级接口!$E$123=0,"",[1]库存等级接口!$E$123),"")</f>
        <v/>
      </c>
      <c r="F123" s="64" t="str">
        <f aca="false">IFERROR(IF([1]库存等级接口!$F$123=0,"",[1]库存等级接口!$F$123),"")</f>
        <v/>
      </c>
      <c r="G123" s="65" t="str">
        <f aca="false">IFERROR(IF([1]库存等级接口!$G$123=0,"",[1]库存等级接口!$G$123),"")</f>
        <v/>
      </c>
      <c r="H123" s="62" t="str">
        <f aca="false">IFERROR(IF([1]库存等级接口!$H$123=0,"",[1]库存等级接口!$H$123),"")</f>
        <v/>
      </c>
      <c r="I123" s="61" t="n">
        <f aca="false">IF($B123="",0,1)</f>
        <v>0</v>
      </c>
      <c r="J123" s="61" t="n">
        <f aca="false">N(J122)+$I123</f>
        <v>56</v>
      </c>
    </row>
    <row r="124" customFormat="false" ht="15" hidden="false" customHeight="true" outlineLevel="0" collapsed="false">
      <c r="A124" s="61" t="n">
        <v>121</v>
      </c>
      <c r="B124" s="62" t="str">
        <f aca="false">IFERROR(IF([1]库存等级接口!$B$124=0,"",[1]库存等级接口!$B$124),"")</f>
        <v/>
      </c>
      <c r="C124" s="63" t="str">
        <f aca="false">IFERROR(IF([1]库存等级接口!$C$124=0,"",[1]库存等级接口!$C$124),"")</f>
        <v/>
      </c>
      <c r="D124" s="63" t="str">
        <f aca="false">IFERROR(IF([1]库存等级接口!$D$124=0,"",[1]库存等级接口!$D$124),"")</f>
        <v/>
      </c>
      <c r="E124" s="63" t="str">
        <f aca="false">IFERROR(IF([1]库存等级接口!$E$124=0,"",[1]库存等级接口!$E$124),"")</f>
        <v/>
      </c>
      <c r="F124" s="64" t="str">
        <f aca="false">IFERROR(IF([1]库存等级接口!$F$124=0,"",[1]库存等级接口!$F$124),"")</f>
        <v/>
      </c>
      <c r="G124" s="65" t="str">
        <f aca="false">IFERROR(IF([1]库存等级接口!$G$124=0,"",[1]库存等级接口!$G$124),"")</f>
        <v/>
      </c>
      <c r="H124" s="62" t="str">
        <f aca="false">IFERROR(IF([1]库存等级接口!$H$124=0,"",[1]库存等级接口!$H$124),"")</f>
        <v/>
      </c>
      <c r="I124" s="61" t="n">
        <f aca="false">IF($B124="",0,1)</f>
        <v>0</v>
      </c>
      <c r="J124" s="61" t="n">
        <f aca="false">N(J123)+$I124</f>
        <v>56</v>
      </c>
    </row>
    <row r="125" customFormat="false" ht="15" hidden="false" customHeight="true" outlineLevel="0" collapsed="false">
      <c r="A125" s="61" t="n">
        <v>122</v>
      </c>
      <c r="B125" s="62" t="str">
        <f aca="false">IFERROR(IF([1]库存等级接口!$B$125=0,"",[1]库存等级接口!$B$125),"")</f>
        <v/>
      </c>
      <c r="C125" s="63" t="str">
        <f aca="false">IFERROR(IF([1]库存等级接口!$C$125=0,"",[1]库存等级接口!$C$125),"")</f>
        <v/>
      </c>
      <c r="D125" s="63" t="str">
        <f aca="false">IFERROR(IF([1]库存等级接口!$D$125=0,"",[1]库存等级接口!$D$125),"")</f>
        <v/>
      </c>
      <c r="E125" s="63" t="str">
        <f aca="false">IFERROR(IF([1]库存等级接口!$E$125=0,"",[1]库存等级接口!$E$125),"")</f>
        <v/>
      </c>
      <c r="F125" s="64" t="str">
        <f aca="false">IFERROR(IF([1]库存等级接口!$F$125=0,"",[1]库存等级接口!$F$125),"")</f>
        <v/>
      </c>
      <c r="G125" s="65" t="str">
        <f aca="false">IFERROR(IF([1]库存等级接口!$G$125=0,"",[1]库存等级接口!$G$125),"")</f>
        <v/>
      </c>
      <c r="H125" s="62" t="str">
        <f aca="false">IFERROR(IF([1]库存等级接口!$H$125=0,"",[1]库存等级接口!$H$125),"")</f>
        <v/>
      </c>
      <c r="I125" s="61" t="n">
        <f aca="false">IF($B125="",0,1)</f>
        <v>0</v>
      </c>
      <c r="J125" s="61" t="n">
        <f aca="false">N(J124)+$I125</f>
        <v>56</v>
      </c>
    </row>
    <row r="126" customFormat="false" ht="15" hidden="false" customHeight="true" outlineLevel="0" collapsed="false">
      <c r="A126" s="61" t="n">
        <v>123</v>
      </c>
      <c r="B126" s="62" t="str">
        <f aca="false">IFERROR(IF([1]库存等级接口!$B$126=0,"",[1]库存等级接口!$B$126),"")</f>
        <v/>
      </c>
      <c r="C126" s="63" t="str">
        <f aca="false">IFERROR(IF([1]库存等级接口!$C$126=0,"",[1]库存等级接口!$C$126),"")</f>
        <v/>
      </c>
      <c r="D126" s="63" t="str">
        <f aca="false">IFERROR(IF([1]库存等级接口!$D$126=0,"",[1]库存等级接口!$D$126),"")</f>
        <v/>
      </c>
      <c r="E126" s="63" t="str">
        <f aca="false">IFERROR(IF([1]库存等级接口!$E$126=0,"",[1]库存等级接口!$E$126),"")</f>
        <v/>
      </c>
      <c r="F126" s="64" t="str">
        <f aca="false">IFERROR(IF([1]库存等级接口!$F$126=0,"",[1]库存等级接口!$F$126),"")</f>
        <v/>
      </c>
      <c r="G126" s="65" t="str">
        <f aca="false">IFERROR(IF([1]库存等级接口!$G$126=0,"",[1]库存等级接口!$G$126),"")</f>
        <v/>
      </c>
      <c r="H126" s="62" t="str">
        <f aca="false">IFERROR(IF([1]库存等级接口!$H$126=0,"",[1]库存等级接口!$H$126),"")</f>
        <v/>
      </c>
      <c r="I126" s="61" t="n">
        <f aca="false">IF($B126="",0,1)</f>
        <v>0</v>
      </c>
      <c r="J126" s="61" t="n">
        <f aca="false">N(J125)+$I126</f>
        <v>56</v>
      </c>
    </row>
    <row r="127" customFormat="false" ht="15" hidden="false" customHeight="true" outlineLevel="0" collapsed="false">
      <c r="A127" s="61" t="n">
        <v>124</v>
      </c>
      <c r="B127" s="62" t="str">
        <f aca="false">IFERROR(IF([1]库存等级接口!$B$127=0,"",[1]库存等级接口!$B$127),"")</f>
        <v/>
      </c>
      <c r="C127" s="63" t="str">
        <f aca="false">IFERROR(IF([1]库存等级接口!$C$127=0,"",[1]库存等级接口!$C$127),"")</f>
        <v/>
      </c>
      <c r="D127" s="63" t="str">
        <f aca="false">IFERROR(IF([1]库存等级接口!$D$127=0,"",[1]库存等级接口!$D$127),"")</f>
        <v/>
      </c>
      <c r="E127" s="63" t="str">
        <f aca="false">IFERROR(IF([1]库存等级接口!$E$127=0,"",[1]库存等级接口!$E$127),"")</f>
        <v/>
      </c>
      <c r="F127" s="64" t="str">
        <f aca="false">IFERROR(IF([1]库存等级接口!$F$127=0,"",[1]库存等级接口!$F$127),"")</f>
        <v/>
      </c>
      <c r="G127" s="65" t="str">
        <f aca="false">IFERROR(IF([1]库存等级接口!$G$127=0,"",[1]库存等级接口!$G$127),"")</f>
        <v/>
      </c>
      <c r="H127" s="62" t="str">
        <f aca="false">IFERROR(IF([1]库存等级接口!$H$127=0,"",[1]库存等级接口!$H$127),"")</f>
        <v/>
      </c>
      <c r="I127" s="61" t="n">
        <f aca="false">IF($B127="",0,1)</f>
        <v>0</v>
      </c>
      <c r="J127" s="61" t="n">
        <f aca="false">N(J126)+$I127</f>
        <v>56</v>
      </c>
    </row>
    <row r="128" customFormat="false" ht="15" hidden="false" customHeight="true" outlineLevel="0" collapsed="false">
      <c r="A128" s="61" t="n">
        <v>125</v>
      </c>
      <c r="B128" s="62" t="str">
        <f aca="false">IFERROR(IF([1]库存等级接口!$B$128=0,"",[1]库存等级接口!$B$128),"")</f>
        <v/>
      </c>
      <c r="C128" s="63" t="str">
        <f aca="false">IFERROR(IF([1]库存等级接口!$C$128=0,"",[1]库存等级接口!$C$128),"")</f>
        <v/>
      </c>
      <c r="D128" s="63" t="str">
        <f aca="false">IFERROR(IF([1]库存等级接口!$D$128=0,"",[1]库存等级接口!$D$128),"")</f>
        <v/>
      </c>
      <c r="E128" s="63" t="str">
        <f aca="false">IFERROR(IF([1]库存等级接口!$E$128=0,"",[1]库存等级接口!$E$128),"")</f>
        <v/>
      </c>
      <c r="F128" s="64" t="str">
        <f aca="false">IFERROR(IF([1]库存等级接口!$F$128=0,"",[1]库存等级接口!$F$128),"")</f>
        <v/>
      </c>
      <c r="G128" s="65" t="str">
        <f aca="false">IFERROR(IF([1]库存等级接口!$G$128=0,"",[1]库存等级接口!$G$128),"")</f>
        <v/>
      </c>
      <c r="H128" s="62" t="str">
        <f aca="false">IFERROR(IF([1]库存等级接口!$H$128=0,"",[1]库存等级接口!$H$128),"")</f>
        <v/>
      </c>
      <c r="I128" s="61" t="n">
        <f aca="false">IF($B128="",0,1)</f>
        <v>0</v>
      </c>
      <c r="J128" s="61" t="n">
        <f aca="false">N(J127)+$I128</f>
        <v>56</v>
      </c>
    </row>
    <row r="129" customFormat="false" ht="15" hidden="false" customHeight="true" outlineLevel="0" collapsed="false">
      <c r="A129" s="61" t="n">
        <v>126</v>
      </c>
      <c r="B129" s="62" t="str">
        <f aca="false">IFERROR(IF([1]库存等级接口!$B$129=0,"",[1]库存等级接口!$B$129),"")</f>
        <v/>
      </c>
      <c r="C129" s="63" t="str">
        <f aca="false">IFERROR(IF([1]库存等级接口!$C$129=0,"",[1]库存等级接口!$C$129),"")</f>
        <v/>
      </c>
      <c r="D129" s="63" t="str">
        <f aca="false">IFERROR(IF([1]库存等级接口!$D$129=0,"",[1]库存等级接口!$D$129),"")</f>
        <v/>
      </c>
      <c r="E129" s="63" t="str">
        <f aca="false">IFERROR(IF([1]库存等级接口!$E$129=0,"",[1]库存等级接口!$E$129),"")</f>
        <v/>
      </c>
      <c r="F129" s="64" t="str">
        <f aca="false">IFERROR(IF([1]库存等级接口!$F$129=0,"",[1]库存等级接口!$F$129),"")</f>
        <v/>
      </c>
      <c r="G129" s="65" t="str">
        <f aca="false">IFERROR(IF([1]库存等级接口!$G$129=0,"",[1]库存等级接口!$G$129),"")</f>
        <v/>
      </c>
      <c r="H129" s="62" t="str">
        <f aca="false">IFERROR(IF([1]库存等级接口!$H$129=0,"",[1]库存等级接口!$H$129),"")</f>
        <v/>
      </c>
      <c r="I129" s="61" t="n">
        <f aca="false">IF($B129="",0,1)</f>
        <v>0</v>
      </c>
      <c r="J129" s="61" t="n">
        <f aca="false">N(J128)+$I129</f>
        <v>56</v>
      </c>
    </row>
    <row r="130" customFormat="false" ht="15" hidden="false" customHeight="true" outlineLevel="0" collapsed="false">
      <c r="A130" s="61" t="n">
        <v>127</v>
      </c>
      <c r="B130" s="62" t="str">
        <f aca="false">IFERROR(IF([1]库存等级接口!$B$130=0,"",[1]库存等级接口!$B$130),"")</f>
        <v/>
      </c>
      <c r="C130" s="63" t="str">
        <f aca="false">IFERROR(IF([1]库存等级接口!$C$130=0,"",[1]库存等级接口!$C$130),"")</f>
        <v/>
      </c>
      <c r="D130" s="63" t="str">
        <f aca="false">IFERROR(IF([1]库存等级接口!$D$130=0,"",[1]库存等级接口!$D$130),"")</f>
        <v/>
      </c>
      <c r="E130" s="63" t="str">
        <f aca="false">IFERROR(IF([1]库存等级接口!$E$130=0,"",[1]库存等级接口!$E$130),"")</f>
        <v/>
      </c>
      <c r="F130" s="64" t="str">
        <f aca="false">IFERROR(IF([1]库存等级接口!$F$130=0,"",[1]库存等级接口!$F$130),"")</f>
        <v/>
      </c>
      <c r="G130" s="65" t="str">
        <f aca="false">IFERROR(IF([1]库存等级接口!$G$130=0,"",[1]库存等级接口!$G$130),"")</f>
        <v/>
      </c>
      <c r="H130" s="62" t="str">
        <f aca="false">IFERROR(IF([1]库存等级接口!$H$130=0,"",[1]库存等级接口!$H$130),"")</f>
        <v/>
      </c>
      <c r="I130" s="61" t="n">
        <f aca="false">IF($B130="",0,1)</f>
        <v>0</v>
      </c>
      <c r="J130" s="61" t="n">
        <f aca="false">N(J129)+$I130</f>
        <v>56</v>
      </c>
    </row>
    <row r="131" customFormat="false" ht="15" hidden="false" customHeight="true" outlineLevel="0" collapsed="false">
      <c r="A131" s="61" t="n">
        <v>128</v>
      </c>
      <c r="B131" s="62" t="str">
        <f aca="false">IFERROR(IF([1]库存等级接口!$B$131=0,"",[1]库存等级接口!$B$131),"")</f>
        <v/>
      </c>
      <c r="C131" s="63" t="str">
        <f aca="false">IFERROR(IF([1]库存等级接口!$C$131=0,"",[1]库存等级接口!$C$131),"")</f>
        <v/>
      </c>
      <c r="D131" s="63" t="str">
        <f aca="false">IFERROR(IF([1]库存等级接口!$D$131=0,"",[1]库存等级接口!$D$131),"")</f>
        <v/>
      </c>
      <c r="E131" s="63" t="str">
        <f aca="false">IFERROR(IF([1]库存等级接口!$E$131=0,"",[1]库存等级接口!$E$131),"")</f>
        <v/>
      </c>
      <c r="F131" s="64" t="str">
        <f aca="false">IFERROR(IF([1]库存等级接口!$F$131=0,"",[1]库存等级接口!$F$131),"")</f>
        <v/>
      </c>
      <c r="G131" s="65" t="str">
        <f aca="false">IFERROR(IF([1]库存等级接口!$G$131=0,"",[1]库存等级接口!$G$131),"")</f>
        <v/>
      </c>
      <c r="H131" s="62" t="str">
        <f aca="false">IFERROR(IF([1]库存等级接口!$H$131=0,"",[1]库存等级接口!$H$131),"")</f>
        <v/>
      </c>
      <c r="I131" s="61" t="n">
        <f aca="false">IF($B131="",0,1)</f>
        <v>0</v>
      </c>
      <c r="J131" s="61" t="n">
        <f aca="false">N(J130)+$I131</f>
        <v>56</v>
      </c>
    </row>
    <row r="132" customFormat="false" ht="15" hidden="false" customHeight="true" outlineLevel="0" collapsed="false">
      <c r="A132" s="61" t="n">
        <v>129</v>
      </c>
      <c r="B132" s="62" t="str">
        <f aca="false">IFERROR(IF([1]库存等级接口!$B$132=0,"",[1]库存等级接口!$B$132),"")</f>
        <v/>
      </c>
      <c r="C132" s="63" t="str">
        <f aca="false">IFERROR(IF([1]库存等级接口!$C$132=0,"",[1]库存等级接口!$C$132),"")</f>
        <v/>
      </c>
      <c r="D132" s="63" t="str">
        <f aca="false">IFERROR(IF([1]库存等级接口!$D$132=0,"",[1]库存等级接口!$D$132),"")</f>
        <v/>
      </c>
      <c r="E132" s="63" t="str">
        <f aca="false">IFERROR(IF([1]库存等级接口!$E$132=0,"",[1]库存等级接口!$E$132),"")</f>
        <v/>
      </c>
      <c r="F132" s="64" t="str">
        <f aca="false">IFERROR(IF([1]库存等级接口!$F$132=0,"",[1]库存等级接口!$F$132),"")</f>
        <v/>
      </c>
      <c r="G132" s="65" t="str">
        <f aca="false">IFERROR(IF([1]库存等级接口!$G$132=0,"",[1]库存等级接口!$G$132),"")</f>
        <v/>
      </c>
      <c r="H132" s="62" t="str">
        <f aca="false">IFERROR(IF([1]库存等级接口!$H$132=0,"",[1]库存等级接口!$H$132),"")</f>
        <v/>
      </c>
      <c r="I132" s="61" t="n">
        <f aca="false">IF($B132="",0,1)</f>
        <v>0</v>
      </c>
      <c r="J132" s="61" t="n">
        <f aca="false">N(J131)+$I132</f>
        <v>56</v>
      </c>
    </row>
    <row r="133" customFormat="false" ht="15" hidden="false" customHeight="true" outlineLevel="0" collapsed="false">
      <c r="A133" s="61" t="n">
        <v>130</v>
      </c>
      <c r="B133" s="62" t="str">
        <f aca="false">IFERROR(IF([1]库存等级接口!$B$133=0,"",[1]库存等级接口!$B$133),"")</f>
        <v/>
      </c>
      <c r="C133" s="63" t="str">
        <f aca="false">IFERROR(IF([1]库存等级接口!$C$133=0,"",[1]库存等级接口!$C$133),"")</f>
        <v/>
      </c>
      <c r="D133" s="63" t="str">
        <f aca="false">IFERROR(IF([1]库存等级接口!$D$133=0,"",[1]库存等级接口!$D$133),"")</f>
        <v/>
      </c>
      <c r="E133" s="63" t="str">
        <f aca="false">IFERROR(IF([1]库存等级接口!$E$133=0,"",[1]库存等级接口!$E$133),"")</f>
        <v/>
      </c>
      <c r="F133" s="64" t="str">
        <f aca="false">IFERROR(IF([1]库存等级接口!$F$133=0,"",[1]库存等级接口!$F$133),"")</f>
        <v/>
      </c>
      <c r="G133" s="65" t="str">
        <f aca="false">IFERROR(IF([1]库存等级接口!$G$133=0,"",[1]库存等级接口!$G$133),"")</f>
        <v/>
      </c>
      <c r="H133" s="62" t="str">
        <f aca="false">IFERROR(IF([1]库存等级接口!$H$133=0,"",[1]库存等级接口!$H$133),"")</f>
        <v/>
      </c>
      <c r="I133" s="61" t="n">
        <f aca="false">IF($B133="",0,1)</f>
        <v>0</v>
      </c>
      <c r="J133" s="61" t="n">
        <f aca="false">N(J132)+$I133</f>
        <v>56</v>
      </c>
    </row>
    <row r="134" customFormat="false" ht="15" hidden="false" customHeight="true" outlineLevel="0" collapsed="false">
      <c r="A134" s="61" t="n">
        <v>131</v>
      </c>
      <c r="B134" s="62" t="str">
        <f aca="false">IFERROR(IF([1]库存等级接口!$B$134=0,"",[1]库存等级接口!$B$134),"")</f>
        <v/>
      </c>
      <c r="C134" s="63" t="str">
        <f aca="false">IFERROR(IF([1]库存等级接口!$C$134=0,"",[1]库存等级接口!$C$134),"")</f>
        <v/>
      </c>
      <c r="D134" s="63" t="str">
        <f aca="false">IFERROR(IF([1]库存等级接口!$D$134=0,"",[1]库存等级接口!$D$134),"")</f>
        <v/>
      </c>
      <c r="E134" s="63" t="str">
        <f aca="false">IFERROR(IF([1]库存等级接口!$E$134=0,"",[1]库存等级接口!$E$134),"")</f>
        <v/>
      </c>
      <c r="F134" s="64" t="str">
        <f aca="false">IFERROR(IF([1]库存等级接口!$F$134=0,"",[1]库存等级接口!$F$134),"")</f>
        <v/>
      </c>
      <c r="G134" s="65" t="str">
        <f aca="false">IFERROR(IF([1]库存等级接口!$G$134=0,"",[1]库存等级接口!$G$134),"")</f>
        <v/>
      </c>
      <c r="H134" s="62" t="str">
        <f aca="false">IFERROR(IF([1]库存等级接口!$H$134=0,"",[1]库存等级接口!$H$134),"")</f>
        <v/>
      </c>
      <c r="I134" s="61" t="n">
        <f aca="false">IF($B134="",0,1)</f>
        <v>0</v>
      </c>
      <c r="J134" s="61" t="n">
        <f aca="false">N(J133)+$I134</f>
        <v>56</v>
      </c>
    </row>
    <row r="135" customFormat="false" ht="15" hidden="false" customHeight="true" outlineLevel="0" collapsed="false">
      <c r="A135" s="61" t="n">
        <v>132</v>
      </c>
      <c r="B135" s="62" t="str">
        <f aca="false">IFERROR(IF([1]库存等级接口!$B$135=0,"",[1]库存等级接口!$B$135),"")</f>
        <v/>
      </c>
      <c r="C135" s="63" t="str">
        <f aca="false">IFERROR(IF([1]库存等级接口!$C$135=0,"",[1]库存等级接口!$C$135),"")</f>
        <v/>
      </c>
      <c r="D135" s="63" t="str">
        <f aca="false">IFERROR(IF([1]库存等级接口!$D$135=0,"",[1]库存等级接口!$D$135),"")</f>
        <v/>
      </c>
      <c r="E135" s="63" t="str">
        <f aca="false">IFERROR(IF([1]库存等级接口!$E$135=0,"",[1]库存等级接口!$E$135),"")</f>
        <v/>
      </c>
      <c r="F135" s="64" t="str">
        <f aca="false">IFERROR(IF([1]库存等级接口!$F$135=0,"",[1]库存等级接口!$F$135),"")</f>
        <v/>
      </c>
      <c r="G135" s="65" t="str">
        <f aca="false">IFERROR(IF([1]库存等级接口!$G$135=0,"",[1]库存等级接口!$G$135),"")</f>
        <v/>
      </c>
      <c r="H135" s="62" t="str">
        <f aca="false">IFERROR(IF([1]库存等级接口!$H$135=0,"",[1]库存等级接口!$H$135),"")</f>
        <v/>
      </c>
      <c r="I135" s="61" t="n">
        <f aca="false">IF($B135="",0,1)</f>
        <v>0</v>
      </c>
      <c r="J135" s="61" t="n">
        <f aca="false">N(J134)+$I135</f>
        <v>56</v>
      </c>
    </row>
    <row r="136" customFormat="false" ht="15" hidden="false" customHeight="true" outlineLevel="0" collapsed="false">
      <c r="A136" s="61" t="n">
        <v>133</v>
      </c>
      <c r="B136" s="62" t="str">
        <f aca="false">IFERROR(IF([1]库存等级接口!$B$136=0,"",[1]库存等级接口!$B$136),"")</f>
        <v/>
      </c>
      <c r="C136" s="63" t="str">
        <f aca="false">IFERROR(IF([1]库存等级接口!$C$136=0,"",[1]库存等级接口!$C$136),"")</f>
        <v/>
      </c>
      <c r="D136" s="63" t="str">
        <f aca="false">IFERROR(IF([1]库存等级接口!$D$136=0,"",[1]库存等级接口!$D$136),"")</f>
        <v/>
      </c>
      <c r="E136" s="63" t="str">
        <f aca="false">IFERROR(IF([1]库存等级接口!$E$136=0,"",[1]库存等级接口!$E$136),"")</f>
        <v/>
      </c>
      <c r="F136" s="64" t="str">
        <f aca="false">IFERROR(IF([1]库存等级接口!$F$136=0,"",[1]库存等级接口!$F$136),"")</f>
        <v/>
      </c>
      <c r="G136" s="65" t="str">
        <f aca="false">IFERROR(IF([1]库存等级接口!$G$136=0,"",[1]库存等级接口!$G$136),"")</f>
        <v/>
      </c>
      <c r="H136" s="62" t="str">
        <f aca="false">IFERROR(IF([1]库存等级接口!$H$136=0,"",[1]库存等级接口!$H$136),"")</f>
        <v/>
      </c>
      <c r="I136" s="61" t="n">
        <f aca="false">IF($B136="",0,1)</f>
        <v>0</v>
      </c>
      <c r="J136" s="61" t="n">
        <f aca="false">N(J135)+$I136</f>
        <v>56</v>
      </c>
    </row>
    <row r="137" customFormat="false" ht="15" hidden="false" customHeight="true" outlineLevel="0" collapsed="false">
      <c r="A137" s="61" t="n">
        <v>134</v>
      </c>
      <c r="B137" s="62" t="str">
        <f aca="false">IFERROR(IF([1]库存等级接口!$B$137=0,"",[1]库存等级接口!$B$137),"")</f>
        <v/>
      </c>
      <c r="C137" s="63" t="str">
        <f aca="false">IFERROR(IF([1]库存等级接口!$C$137=0,"",[1]库存等级接口!$C$137),"")</f>
        <v/>
      </c>
      <c r="D137" s="63" t="str">
        <f aca="false">IFERROR(IF([1]库存等级接口!$D$137=0,"",[1]库存等级接口!$D$137),"")</f>
        <v/>
      </c>
      <c r="E137" s="63" t="str">
        <f aca="false">IFERROR(IF([1]库存等级接口!$E$137=0,"",[1]库存等级接口!$E$137),"")</f>
        <v/>
      </c>
      <c r="F137" s="64" t="str">
        <f aca="false">IFERROR(IF([1]库存等级接口!$F$137=0,"",[1]库存等级接口!$F$137),"")</f>
        <v/>
      </c>
      <c r="G137" s="65" t="str">
        <f aca="false">IFERROR(IF([1]库存等级接口!$G$137=0,"",[1]库存等级接口!$G$137),"")</f>
        <v/>
      </c>
      <c r="H137" s="62" t="str">
        <f aca="false">IFERROR(IF([1]库存等级接口!$H$137=0,"",[1]库存等级接口!$H$137),"")</f>
        <v/>
      </c>
      <c r="I137" s="61" t="n">
        <f aca="false">IF($B137="",0,1)</f>
        <v>0</v>
      </c>
      <c r="J137" s="61" t="n">
        <f aca="false">N(J136)+$I137</f>
        <v>56</v>
      </c>
    </row>
    <row r="138" customFormat="false" ht="15" hidden="false" customHeight="true" outlineLevel="0" collapsed="false">
      <c r="A138" s="61" t="n">
        <v>135</v>
      </c>
      <c r="B138" s="62" t="str">
        <f aca="false">IFERROR(IF([1]库存等级接口!$B$138=0,"",[1]库存等级接口!$B$138),"")</f>
        <v/>
      </c>
      <c r="C138" s="63" t="str">
        <f aca="false">IFERROR(IF([1]库存等级接口!$C$138=0,"",[1]库存等级接口!$C$138),"")</f>
        <v/>
      </c>
      <c r="D138" s="63" t="str">
        <f aca="false">IFERROR(IF([1]库存等级接口!$D$138=0,"",[1]库存等级接口!$D$138),"")</f>
        <v/>
      </c>
      <c r="E138" s="63" t="str">
        <f aca="false">IFERROR(IF([1]库存等级接口!$E$138=0,"",[1]库存等级接口!$E$138),"")</f>
        <v/>
      </c>
      <c r="F138" s="64" t="str">
        <f aca="false">IFERROR(IF([1]库存等级接口!$F$138=0,"",[1]库存等级接口!$F$138),"")</f>
        <v/>
      </c>
      <c r="G138" s="65" t="str">
        <f aca="false">IFERROR(IF([1]库存等级接口!$G$138=0,"",[1]库存等级接口!$G$138),"")</f>
        <v/>
      </c>
      <c r="H138" s="62" t="str">
        <f aca="false">IFERROR(IF([1]库存等级接口!$H$138=0,"",[1]库存等级接口!$H$138),"")</f>
        <v/>
      </c>
      <c r="I138" s="61" t="n">
        <f aca="false">IF($B138="",0,1)</f>
        <v>0</v>
      </c>
      <c r="J138" s="61" t="n">
        <f aca="false">N(J137)+$I138</f>
        <v>56</v>
      </c>
    </row>
    <row r="139" customFormat="false" ht="15" hidden="false" customHeight="true" outlineLevel="0" collapsed="false">
      <c r="A139" s="61" t="n">
        <v>136</v>
      </c>
      <c r="B139" s="62" t="str">
        <f aca="false">IFERROR(IF([1]库存等级接口!$B$139=0,"",[1]库存等级接口!$B$139),"")</f>
        <v/>
      </c>
      <c r="C139" s="63" t="str">
        <f aca="false">IFERROR(IF([1]库存等级接口!$C$139=0,"",[1]库存等级接口!$C$139),"")</f>
        <v/>
      </c>
      <c r="D139" s="63" t="str">
        <f aca="false">IFERROR(IF([1]库存等级接口!$D$139=0,"",[1]库存等级接口!$D$139),"")</f>
        <v/>
      </c>
      <c r="E139" s="63" t="str">
        <f aca="false">IFERROR(IF([1]库存等级接口!$E$139=0,"",[1]库存等级接口!$E$139),"")</f>
        <v/>
      </c>
      <c r="F139" s="64" t="str">
        <f aca="false">IFERROR(IF([1]库存等级接口!$F$139=0,"",[1]库存等级接口!$F$139),"")</f>
        <v/>
      </c>
      <c r="G139" s="65" t="str">
        <f aca="false">IFERROR(IF([1]库存等级接口!$G$139=0,"",[1]库存等级接口!$G$139),"")</f>
        <v/>
      </c>
      <c r="H139" s="62" t="str">
        <f aca="false">IFERROR(IF([1]库存等级接口!$H$139=0,"",[1]库存等级接口!$H$139),"")</f>
        <v/>
      </c>
      <c r="I139" s="61" t="n">
        <f aca="false">IF($B139="",0,1)</f>
        <v>0</v>
      </c>
      <c r="J139" s="61" t="n">
        <f aca="false">N(J138)+$I139</f>
        <v>56</v>
      </c>
    </row>
    <row r="140" customFormat="false" ht="15" hidden="false" customHeight="true" outlineLevel="0" collapsed="false">
      <c r="A140" s="61" t="n">
        <v>137</v>
      </c>
      <c r="B140" s="62" t="str">
        <f aca="false">IFERROR(IF([1]库存等级接口!$B$140=0,"",[1]库存等级接口!$B$140),"")</f>
        <v/>
      </c>
      <c r="C140" s="63" t="str">
        <f aca="false">IFERROR(IF([1]库存等级接口!$C$140=0,"",[1]库存等级接口!$C$140),"")</f>
        <v/>
      </c>
      <c r="D140" s="63" t="str">
        <f aca="false">IFERROR(IF([1]库存等级接口!$D$140=0,"",[1]库存等级接口!$D$140),"")</f>
        <v/>
      </c>
      <c r="E140" s="63" t="str">
        <f aca="false">IFERROR(IF([1]库存等级接口!$E$140=0,"",[1]库存等级接口!$E$140),"")</f>
        <v/>
      </c>
      <c r="F140" s="64" t="str">
        <f aca="false">IFERROR(IF([1]库存等级接口!$F$140=0,"",[1]库存等级接口!$F$140),"")</f>
        <v/>
      </c>
      <c r="G140" s="65" t="str">
        <f aca="false">IFERROR(IF([1]库存等级接口!$G$140=0,"",[1]库存等级接口!$G$140),"")</f>
        <v/>
      </c>
      <c r="H140" s="62" t="str">
        <f aca="false">IFERROR(IF([1]库存等级接口!$H$140=0,"",[1]库存等级接口!$H$140),"")</f>
        <v/>
      </c>
      <c r="I140" s="61" t="n">
        <f aca="false">IF($B140="",0,1)</f>
        <v>0</v>
      </c>
      <c r="J140" s="61" t="n">
        <f aca="false">N(J139)+$I140</f>
        <v>56</v>
      </c>
    </row>
    <row r="141" customFormat="false" ht="15" hidden="false" customHeight="true" outlineLevel="0" collapsed="false">
      <c r="A141" s="61" t="n">
        <v>138</v>
      </c>
      <c r="B141" s="62" t="str">
        <f aca="false">IFERROR(IF([1]库存等级接口!$B$141=0,"",[1]库存等级接口!$B$141),"")</f>
        <v/>
      </c>
      <c r="C141" s="63" t="str">
        <f aca="false">IFERROR(IF([1]库存等级接口!$C$141=0,"",[1]库存等级接口!$C$141),"")</f>
        <v/>
      </c>
      <c r="D141" s="63" t="str">
        <f aca="false">IFERROR(IF([1]库存等级接口!$D$141=0,"",[1]库存等级接口!$D$141),"")</f>
        <v/>
      </c>
      <c r="E141" s="63" t="str">
        <f aca="false">IFERROR(IF([1]库存等级接口!$E$141=0,"",[1]库存等级接口!$E$141),"")</f>
        <v/>
      </c>
      <c r="F141" s="64" t="str">
        <f aca="false">IFERROR(IF([1]库存等级接口!$F$141=0,"",[1]库存等级接口!$F$141),"")</f>
        <v/>
      </c>
      <c r="G141" s="65" t="str">
        <f aca="false">IFERROR(IF([1]库存等级接口!$G$141=0,"",[1]库存等级接口!$G$141),"")</f>
        <v/>
      </c>
      <c r="H141" s="62" t="str">
        <f aca="false">IFERROR(IF([1]库存等级接口!$H$141=0,"",[1]库存等级接口!$H$141),"")</f>
        <v/>
      </c>
      <c r="I141" s="61" t="n">
        <f aca="false">IF($B141="",0,1)</f>
        <v>0</v>
      </c>
      <c r="J141" s="61" t="n">
        <f aca="false">N(J140)+$I141</f>
        <v>56</v>
      </c>
    </row>
    <row r="142" customFormat="false" ht="15" hidden="false" customHeight="true" outlineLevel="0" collapsed="false">
      <c r="A142" s="61" t="n">
        <v>139</v>
      </c>
      <c r="B142" s="62" t="str">
        <f aca="false">IFERROR(IF([1]库存等级接口!$B$142=0,"",[1]库存等级接口!$B$142),"")</f>
        <v/>
      </c>
      <c r="C142" s="63" t="str">
        <f aca="false">IFERROR(IF([1]库存等级接口!$C$142=0,"",[1]库存等级接口!$C$142),"")</f>
        <v/>
      </c>
      <c r="D142" s="63" t="str">
        <f aca="false">IFERROR(IF([1]库存等级接口!$D$142=0,"",[1]库存等级接口!$D$142),"")</f>
        <v/>
      </c>
      <c r="E142" s="63" t="str">
        <f aca="false">IFERROR(IF([1]库存等级接口!$E$142=0,"",[1]库存等级接口!$E$142),"")</f>
        <v/>
      </c>
      <c r="F142" s="64" t="str">
        <f aca="false">IFERROR(IF([1]库存等级接口!$F$142=0,"",[1]库存等级接口!$F$142),"")</f>
        <v/>
      </c>
      <c r="G142" s="65" t="str">
        <f aca="false">IFERROR(IF([1]库存等级接口!$G$142=0,"",[1]库存等级接口!$G$142),"")</f>
        <v/>
      </c>
      <c r="H142" s="62" t="str">
        <f aca="false">IFERROR(IF([1]库存等级接口!$H$142=0,"",[1]库存等级接口!$H$142),"")</f>
        <v/>
      </c>
      <c r="I142" s="61" t="n">
        <f aca="false">IF($B142="",0,1)</f>
        <v>0</v>
      </c>
      <c r="J142" s="61" t="n">
        <f aca="false">N(J141)+$I142</f>
        <v>56</v>
      </c>
    </row>
    <row r="143" customFormat="false" ht="15" hidden="false" customHeight="true" outlineLevel="0" collapsed="false">
      <c r="A143" s="61" t="n">
        <v>140</v>
      </c>
      <c r="B143" s="62" t="str">
        <f aca="false">IFERROR(IF([1]库存等级接口!$B$143=0,"",[1]库存等级接口!$B$143),"")</f>
        <v/>
      </c>
      <c r="C143" s="63" t="str">
        <f aca="false">IFERROR(IF([1]库存等级接口!$C$143=0,"",[1]库存等级接口!$C$143),"")</f>
        <v/>
      </c>
      <c r="D143" s="63" t="str">
        <f aca="false">IFERROR(IF([1]库存等级接口!$D$143=0,"",[1]库存等级接口!$D$143),"")</f>
        <v/>
      </c>
      <c r="E143" s="63" t="str">
        <f aca="false">IFERROR(IF([1]库存等级接口!$E$143=0,"",[1]库存等级接口!$E$143),"")</f>
        <v/>
      </c>
      <c r="F143" s="64" t="str">
        <f aca="false">IFERROR(IF([1]库存等级接口!$F$143=0,"",[1]库存等级接口!$F$143),"")</f>
        <v/>
      </c>
      <c r="G143" s="65" t="str">
        <f aca="false">IFERROR(IF([1]库存等级接口!$G$143=0,"",[1]库存等级接口!$G$143),"")</f>
        <v/>
      </c>
      <c r="H143" s="62" t="str">
        <f aca="false">IFERROR(IF([1]库存等级接口!$H$143=0,"",[1]库存等级接口!$H$143),"")</f>
        <v/>
      </c>
      <c r="I143" s="61" t="n">
        <f aca="false">IF($B143="",0,1)</f>
        <v>0</v>
      </c>
      <c r="J143" s="61" t="n">
        <f aca="false">N(J142)+$I143</f>
        <v>56</v>
      </c>
    </row>
    <row r="144" customFormat="false" ht="15" hidden="false" customHeight="true" outlineLevel="0" collapsed="false">
      <c r="A144" s="61" t="n">
        <v>141</v>
      </c>
      <c r="B144" s="62" t="str">
        <f aca="false">IFERROR(IF([1]库存等级接口!$B$144=0,"",[1]库存等级接口!$B$144),"")</f>
        <v/>
      </c>
      <c r="C144" s="63" t="str">
        <f aca="false">IFERROR(IF([1]库存等级接口!$C$144=0,"",[1]库存等级接口!$C$144),"")</f>
        <v/>
      </c>
      <c r="D144" s="63" t="str">
        <f aca="false">IFERROR(IF([1]库存等级接口!$D$144=0,"",[1]库存等级接口!$D$144),"")</f>
        <v/>
      </c>
      <c r="E144" s="63" t="str">
        <f aca="false">IFERROR(IF([1]库存等级接口!$E$144=0,"",[1]库存等级接口!$E$144),"")</f>
        <v/>
      </c>
      <c r="F144" s="64" t="str">
        <f aca="false">IFERROR(IF([1]库存等级接口!$F$144=0,"",[1]库存等级接口!$F$144),"")</f>
        <v/>
      </c>
      <c r="G144" s="65" t="str">
        <f aca="false">IFERROR(IF([1]库存等级接口!$G$144=0,"",[1]库存等级接口!$G$144),"")</f>
        <v/>
      </c>
      <c r="H144" s="62" t="str">
        <f aca="false">IFERROR(IF([1]库存等级接口!$H$144=0,"",[1]库存等级接口!$H$144),"")</f>
        <v/>
      </c>
      <c r="I144" s="61" t="n">
        <f aca="false">IF($B144="",0,1)</f>
        <v>0</v>
      </c>
      <c r="J144" s="61" t="n">
        <f aca="false">N(J143)+$I144</f>
        <v>56</v>
      </c>
    </row>
    <row r="145" customFormat="false" ht="15" hidden="false" customHeight="true" outlineLevel="0" collapsed="false">
      <c r="A145" s="61" t="n">
        <v>142</v>
      </c>
      <c r="B145" s="62" t="str">
        <f aca="false">IFERROR(IF([1]库存等级接口!$B$145=0,"",[1]库存等级接口!$B$145),"")</f>
        <v/>
      </c>
      <c r="C145" s="63" t="str">
        <f aca="false">IFERROR(IF([1]库存等级接口!$C$145=0,"",[1]库存等级接口!$C$145),"")</f>
        <v/>
      </c>
      <c r="D145" s="63" t="str">
        <f aca="false">IFERROR(IF([1]库存等级接口!$D$145=0,"",[1]库存等级接口!$D$145),"")</f>
        <v/>
      </c>
      <c r="E145" s="63" t="str">
        <f aca="false">IFERROR(IF([1]库存等级接口!$E$145=0,"",[1]库存等级接口!$E$145),"")</f>
        <v/>
      </c>
      <c r="F145" s="64" t="str">
        <f aca="false">IFERROR(IF([1]库存等级接口!$F$145=0,"",[1]库存等级接口!$F$145),"")</f>
        <v/>
      </c>
      <c r="G145" s="65" t="str">
        <f aca="false">IFERROR(IF([1]库存等级接口!$G$145=0,"",[1]库存等级接口!$G$145),"")</f>
        <v/>
      </c>
      <c r="H145" s="62" t="str">
        <f aca="false">IFERROR(IF([1]库存等级接口!$H$145=0,"",[1]库存等级接口!$H$145),"")</f>
        <v/>
      </c>
      <c r="I145" s="61" t="n">
        <f aca="false">IF($B145="",0,1)</f>
        <v>0</v>
      </c>
      <c r="J145" s="61" t="n">
        <f aca="false">N(J144)+$I145</f>
        <v>56</v>
      </c>
    </row>
    <row r="146" customFormat="false" ht="15" hidden="false" customHeight="true" outlineLevel="0" collapsed="false">
      <c r="A146" s="61" t="n">
        <v>143</v>
      </c>
      <c r="B146" s="62" t="str">
        <f aca="false">IFERROR(IF([1]库存等级接口!$B$146=0,"",[1]库存等级接口!$B$146),"")</f>
        <v/>
      </c>
      <c r="C146" s="63" t="str">
        <f aca="false">IFERROR(IF([1]库存等级接口!$C$146=0,"",[1]库存等级接口!$C$146),"")</f>
        <v/>
      </c>
      <c r="D146" s="63" t="str">
        <f aca="false">IFERROR(IF([1]库存等级接口!$D$146=0,"",[1]库存等级接口!$D$146),"")</f>
        <v/>
      </c>
      <c r="E146" s="63" t="str">
        <f aca="false">IFERROR(IF([1]库存等级接口!$E$146=0,"",[1]库存等级接口!$E$146),"")</f>
        <v/>
      </c>
      <c r="F146" s="64" t="str">
        <f aca="false">IFERROR(IF([1]库存等级接口!$F$146=0,"",[1]库存等级接口!$F$146),"")</f>
        <v/>
      </c>
      <c r="G146" s="65" t="str">
        <f aca="false">IFERROR(IF([1]库存等级接口!$G$146=0,"",[1]库存等级接口!$G$146),"")</f>
        <v/>
      </c>
      <c r="H146" s="62" t="str">
        <f aca="false">IFERROR(IF([1]库存等级接口!$H$146=0,"",[1]库存等级接口!$H$146),"")</f>
        <v/>
      </c>
      <c r="I146" s="61" t="n">
        <f aca="false">IF($B146="",0,1)</f>
        <v>0</v>
      </c>
      <c r="J146" s="61" t="n">
        <f aca="false">N(J145)+$I146</f>
        <v>56</v>
      </c>
    </row>
    <row r="147" customFormat="false" ht="15" hidden="false" customHeight="true" outlineLevel="0" collapsed="false">
      <c r="A147" s="61" t="n">
        <v>144</v>
      </c>
      <c r="B147" s="62" t="str">
        <f aca="false">IFERROR(IF([1]库存等级接口!$B$147=0,"",[1]库存等级接口!$B$147),"")</f>
        <v/>
      </c>
      <c r="C147" s="63" t="str">
        <f aca="false">IFERROR(IF([1]库存等级接口!$C$147=0,"",[1]库存等级接口!$C$147),"")</f>
        <v/>
      </c>
      <c r="D147" s="63" t="str">
        <f aca="false">IFERROR(IF([1]库存等级接口!$D$147=0,"",[1]库存等级接口!$D$147),"")</f>
        <v/>
      </c>
      <c r="E147" s="63" t="str">
        <f aca="false">IFERROR(IF([1]库存等级接口!$E$147=0,"",[1]库存等级接口!$E$147),"")</f>
        <v/>
      </c>
      <c r="F147" s="64" t="str">
        <f aca="false">IFERROR(IF([1]库存等级接口!$F$147=0,"",[1]库存等级接口!$F$147),"")</f>
        <v/>
      </c>
      <c r="G147" s="65" t="str">
        <f aca="false">IFERROR(IF([1]库存等级接口!$G$147=0,"",[1]库存等级接口!$G$147),"")</f>
        <v/>
      </c>
      <c r="H147" s="62" t="str">
        <f aca="false">IFERROR(IF([1]库存等级接口!$H$147=0,"",[1]库存等级接口!$H$147),"")</f>
        <v/>
      </c>
      <c r="I147" s="61" t="n">
        <f aca="false">IF($B147="",0,1)</f>
        <v>0</v>
      </c>
      <c r="J147" s="61" t="n">
        <f aca="false">N(J146)+$I147</f>
        <v>56</v>
      </c>
    </row>
    <row r="148" customFormat="false" ht="15" hidden="false" customHeight="true" outlineLevel="0" collapsed="false">
      <c r="A148" s="61" t="n">
        <v>145</v>
      </c>
      <c r="B148" s="62" t="str">
        <f aca="false">IFERROR(IF([1]库存等级接口!$B$148=0,"",[1]库存等级接口!$B$148),"")</f>
        <v/>
      </c>
      <c r="C148" s="63" t="str">
        <f aca="false">IFERROR(IF([1]库存等级接口!$C$148=0,"",[1]库存等级接口!$C$148),"")</f>
        <v/>
      </c>
      <c r="D148" s="63" t="str">
        <f aca="false">IFERROR(IF([1]库存等级接口!$D$148=0,"",[1]库存等级接口!$D$148),"")</f>
        <v/>
      </c>
      <c r="E148" s="63" t="str">
        <f aca="false">IFERROR(IF([1]库存等级接口!$E$148=0,"",[1]库存等级接口!$E$148),"")</f>
        <v/>
      </c>
      <c r="F148" s="64" t="str">
        <f aca="false">IFERROR(IF([1]库存等级接口!$F$148=0,"",[1]库存等级接口!$F$148),"")</f>
        <v/>
      </c>
      <c r="G148" s="65" t="str">
        <f aca="false">IFERROR(IF([1]库存等级接口!$G$148=0,"",[1]库存等级接口!$G$148),"")</f>
        <v/>
      </c>
      <c r="H148" s="62" t="str">
        <f aca="false">IFERROR(IF([1]库存等级接口!$H$148=0,"",[1]库存等级接口!$H$148),"")</f>
        <v/>
      </c>
      <c r="I148" s="61" t="n">
        <f aca="false">IF($B148="",0,1)</f>
        <v>0</v>
      </c>
      <c r="J148" s="61" t="n">
        <f aca="false">N(J147)+$I148</f>
        <v>56</v>
      </c>
    </row>
    <row r="149" customFormat="false" ht="15" hidden="false" customHeight="true" outlineLevel="0" collapsed="false">
      <c r="A149" s="61" t="n">
        <v>146</v>
      </c>
      <c r="B149" s="62" t="str">
        <f aca="false">IFERROR(IF([1]库存等级接口!$B$149=0,"",[1]库存等级接口!$B$149),"")</f>
        <v/>
      </c>
      <c r="C149" s="63" t="str">
        <f aca="false">IFERROR(IF([1]库存等级接口!$C$149=0,"",[1]库存等级接口!$C$149),"")</f>
        <v/>
      </c>
      <c r="D149" s="63" t="str">
        <f aca="false">IFERROR(IF([1]库存等级接口!$D$149=0,"",[1]库存等级接口!$D$149),"")</f>
        <v/>
      </c>
      <c r="E149" s="63" t="str">
        <f aca="false">IFERROR(IF([1]库存等级接口!$E$149=0,"",[1]库存等级接口!$E$149),"")</f>
        <v/>
      </c>
      <c r="F149" s="64" t="str">
        <f aca="false">IFERROR(IF([1]库存等级接口!$F$149=0,"",[1]库存等级接口!$F$149),"")</f>
        <v/>
      </c>
      <c r="G149" s="65" t="str">
        <f aca="false">IFERROR(IF([1]库存等级接口!$G$149=0,"",[1]库存等级接口!$G$149),"")</f>
        <v/>
      </c>
      <c r="H149" s="62" t="str">
        <f aca="false">IFERROR(IF([1]库存等级接口!$H$149=0,"",[1]库存等级接口!$H$149),"")</f>
        <v/>
      </c>
      <c r="I149" s="61" t="n">
        <f aca="false">IF($B149="",0,1)</f>
        <v>0</v>
      </c>
      <c r="J149" s="61" t="n">
        <f aca="false">N(J148)+$I149</f>
        <v>56</v>
      </c>
    </row>
    <row r="150" customFormat="false" ht="15" hidden="false" customHeight="true" outlineLevel="0" collapsed="false">
      <c r="A150" s="61" t="n">
        <v>147</v>
      </c>
      <c r="B150" s="62" t="str">
        <f aca="false">IFERROR(IF([1]库存等级接口!$B$150=0,"",[1]库存等级接口!$B$150),"")</f>
        <v/>
      </c>
      <c r="C150" s="63" t="str">
        <f aca="false">IFERROR(IF([1]库存等级接口!$C$150=0,"",[1]库存等级接口!$C$150),"")</f>
        <v/>
      </c>
      <c r="D150" s="63" t="str">
        <f aca="false">IFERROR(IF([1]库存等级接口!$D$150=0,"",[1]库存等级接口!$D$150),"")</f>
        <v/>
      </c>
      <c r="E150" s="63" t="str">
        <f aca="false">IFERROR(IF([1]库存等级接口!$E$150=0,"",[1]库存等级接口!$E$150),"")</f>
        <v/>
      </c>
      <c r="F150" s="64" t="str">
        <f aca="false">IFERROR(IF([1]库存等级接口!$F$150=0,"",[1]库存等级接口!$F$150),"")</f>
        <v/>
      </c>
      <c r="G150" s="65" t="str">
        <f aca="false">IFERROR(IF([1]库存等级接口!$G$150=0,"",[1]库存等级接口!$G$150),"")</f>
        <v/>
      </c>
      <c r="H150" s="62" t="str">
        <f aca="false">IFERROR(IF([1]库存等级接口!$H$150=0,"",[1]库存等级接口!$H$150),"")</f>
        <v/>
      </c>
      <c r="I150" s="61" t="n">
        <f aca="false">IF($B150="",0,1)</f>
        <v>0</v>
      </c>
      <c r="J150" s="61" t="n">
        <f aca="false">N(J149)+$I150</f>
        <v>56</v>
      </c>
    </row>
    <row r="151" customFormat="false" ht="15" hidden="false" customHeight="true" outlineLevel="0" collapsed="false">
      <c r="A151" s="61" t="n">
        <v>148</v>
      </c>
      <c r="B151" s="62" t="str">
        <f aca="false">IFERROR(IF([1]库存等级接口!$B$151=0,"",[1]库存等级接口!$B$151),"")</f>
        <v/>
      </c>
      <c r="C151" s="63" t="str">
        <f aca="false">IFERROR(IF([1]库存等级接口!$C$151=0,"",[1]库存等级接口!$C$151),"")</f>
        <v/>
      </c>
      <c r="D151" s="63" t="str">
        <f aca="false">IFERROR(IF([1]库存等级接口!$D$151=0,"",[1]库存等级接口!$D$151),"")</f>
        <v/>
      </c>
      <c r="E151" s="63" t="str">
        <f aca="false">IFERROR(IF([1]库存等级接口!$E$151=0,"",[1]库存等级接口!$E$151),"")</f>
        <v/>
      </c>
      <c r="F151" s="64" t="str">
        <f aca="false">IFERROR(IF([1]库存等级接口!$F$151=0,"",[1]库存等级接口!$F$151),"")</f>
        <v/>
      </c>
      <c r="G151" s="65" t="str">
        <f aca="false">IFERROR(IF([1]库存等级接口!$G$151=0,"",[1]库存等级接口!$G$151),"")</f>
        <v/>
      </c>
      <c r="H151" s="62" t="str">
        <f aca="false">IFERROR(IF([1]库存等级接口!$H$151=0,"",[1]库存等级接口!$H$151),"")</f>
        <v/>
      </c>
      <c r="I151" s="61" t="n">
        <f aca="false">IF($B151="",0,1)</f>
        <v>0</v>
      </c>
      <c r="J151" s="61" t="n">
        <f aca="false">N(J150)+$I151</f>
        <v>56</v>
      </c>
    </row>
    <row r="152" customFormat="false" ht="15" hidden="false" customHeight="true" outlineLevel="0" collapsed="false">
      <c r="A152" s="61" t="n">
        <v>149</v>
      </c>
      <c r="B152" s="62" t="str">
        <f aca="false">IFERROR(IF([1]库存等级接口!$B$152=0,"",[1]库存等级接口!$B$152),"")</f>
        <v/>
      </c>
      <c r="C152" s="63" t="str">
        <f aca="false">IFERROR(IF([1]库存等级接口!$C$152=0,"",[1]库存等级接口!$C$152),"")</f>
        <v/>
      </c>
      <c r="D152" s="63" t="str">
        <f aca="false">IFERROR(IF([1]库存等级接口!$D$152=0,"",[1]库存等级接口!$D$152),"")</f>
        <v/>
      </c>
      <c r="E152" s="63" t="str">
        <f aca="false">IFERROR(IF([1]库存等级接口!$E$152=0,"",[1]库存等级接口!$E$152),"")</f>
        <v/>
      </c>
      <c r="F152" s="64" t="str">
        <f aca="false">IFERROR(IF([1]库存等级接口!$F$152=0,"",[1]库存等级接口!$F$152),"")</f>
        <v/>
      </c>
      <c r="G152" s="65" t="str">
        <f aca="false">IFERROR(IF([1]库存等级接口!$G$152=0,"",[1]库存等级接口!$G$152),"")</f>
        <v/>
      </c>
      <c r="H152" s="62" t="str">
        <f aca="false">IFERROR(IF([1]库存等级接口!$H$152=0,"",[1]库存等级接口!$H$152),"")</f>
        <v/>
      </c>
      <c r="I152" s="61" t="n">
        <f aca="false">IF($B152="",0,1)</f>
        <v>0</v>
      </c>
      <c r="J152" s="61" t="n">
        <f aca="false">N(J151)+$I152</f>
        <v>56</v>
      </c>
    </row>
    <row r="153" customFormat="false" ht="15" hidden="false" customHeight="true" outlineLevel="0" collapsed="false">
      <c r="A153" s="61" t="n">
        <v>150</v>
      </c>
      <c r="B153" s="62" t="str">
        <f aca="false">IFERROR(IF([1]库存等级接口!$B$153=0,"",[1]库存等级接口!$B$153),"")</f>
        <v/>
      </c>
      <c r="C153" s="63" t="str">
        <f aca="false">IFERROR(IF([1]库存等级接口!$C$153=0,"",[1]库存等级接口!$C$153),"")</f>
        <v/>
      </c>
      <c r="D153" s="63" t="str">
        <f aca="false">IFERROR(IF([1]库存等级接口!$D$153=0,"",[1]库存等级接口!$D$153),"")</f>
        <v/>
      </c>
      <c r="E153" s="63" t="str">
        <f aca="false">IFERROR(IF([1]库存等级接口!$E$153=0,"",[1]库存等级接口!$E$153),"")</f>
        <v/>
      </c>
      <c r="F153" s="64" t="str">
        <f aca="false">IFERROR(IF([1]库存等级接口!$F$153=0,"",[1]库存等级接口!$F$153),"")</f>
        <v/>
      </c>
      <c r="G153" s="65" t="str">
        <f aca="false">IFERROR(IF([1]库存等级接口!$G$153=0,"",[1]库存等级接口!$G$153),"")</f>
        <v/>
      </c>
      <c r="H153" s="62" t="str">
        <f aca="false">IFERROR(IF([1]库存等级接口!$H$153=0,"",[1]库存等级接口!$H$153),"")</f>
        <v/>
      </c>
      <c r="I153" s="61" t="n">
        <f aca="false">IF($B153="",0,1)</f>
        <v>0</v>
      </c>
      <c r="J153" s="61" t="n">
        <f aca="false">N(J152)+$I153</f>
        <v>56</v>
      </c>
    </row>
    <row r="154" customFormat="false" ht="15" hidden="false" customHeight="true" outlineLevel="0" collapsed="false">
      <c r="A154" s="61" t="n">
        <v>151</v>
      </c>
      <c r="B154" s="62" t="str">
        <f aca="false">IFERROR(IF([1]库存等级接口!$B$154=0,"",[1]库存等级接口!$B$154),"")</f>
        <v/>
      </c>
      <c r="C154" s="63" t="str">
        <f aca="false">IFERROR(IF([1]库存等级接口!$C$154=0,"",[1]库存等级接口!$C$154),"")</f>
        <v/>
      </c>
      <c r="D154" s="63" t="str">
        <f aca="false">IFERROR(IF([1]库存等级接口!$D$154=0,"",[1]库存等级接口!$D$154),"")</f>
        <v/>
      </c>
      <c r="E154" s="63" t="str">
        <f aca="false">IFERROR(IF([1]库存等级接口!$E$154=0,"",[1]库存等级接口!$E$154),"")</f>
        <v/>
      </c>
      <c r="F154" s="64" t="str">
        <f aca="false">IFERROR(IF([1]库存等级接口!$F$154=0,"",[1]库存等级接口!$F$154),"")</f>
        <v/>
      </c>
      <c r="G154" s="65" t="str">
        <f aca="false">IFERROR(IF([1]库存等级接口!$G$154=0,"",[1]库存等级接口!$G$154),"")</f>
        <v/>
      </c>
      <c r="H154" s="62" t="str">
        <f aca="false">IFERROR(IF([1]库存等级接口!$H$154=0,"",[1]库存等级接口!$H$154),"")</f>
        <v/>
      </c>
      <c r="I154" s="61" t="n">
        <f aca="false">IF($B154="",0,1)</f>
        <v>0</v>
      </c>
      <c r="J154" s="61" t="n">
        <f aca="false">N(J153)+$I154</f>
        <v>56</v>
      </c>
    </row>
    <row r="155" customFormat="false" ht="15" hidden="false" customHeight="true" outlineLevel="0" collapsed="false">
      <c r="A155" s="61" t="n">
        <v>152</v>
      </c>
      <c r="B155" s="62" t="str">
        <f aca="false">IFERROR(IF([1]库存等级接口!$B$155=0,"",[1]库存等级接口!$B$155),"")</f>
        <v/>
      </c>
      <c r="C155" s="63" t="str">
        <f aca="false">IFERROR(IF([1]库存等级接口!$C$155=0,"",[1]库存等级接口!$C$155),"")</f>
        <v/>
      </c>
      <c r="D155" s="63" t="str">
        <f aca="false">IFERROR(IF([1]库存等级接口!$D$155=0,"",[1]库存等级接口!$D$155),"")</f>
        <v/>
      </c>
      <c r="E155" s="63" t="str">
        <f aca="false">IFERROR(IF([1]库存等级接口!$E$155=0,"",[1]库存等级接口!$E$155),"")</f>
        <v/>
      </c>
      <c r="F155" s="64" t="str">
        <f aca="false">IFERROR(IF([1]库存等级接口!$F$155=0,"",[1]库存等级接口!$F$155),"")</f>
        <v/>
      </c>
      <c r="G155" s="65" t="str">
        <f aca="false">IFERROR(IF([1]库存等级接口!$G$155=0,"",[1]库存等级接口!$G$155),"")</f>
        <v/>
      </c>
      <c r="H155" s="62" t="str">
        <f aca="false">IFERROR(IF([1]库存等级接口!$H$155=0,"",[1]库存等级接口!$H$155),"")</f>
        <v/>
      </c>
      <c r="I155" s="61" t="n">
        <f aca="false">IF($B155="",0,1)</f>
        <v>0</v>
      </c>
      <c r="J155" s="61" t="n">
        <f aca="false">N(J154)+$I155</f>
        <v>56</v>
      </c>
    </row>
    <row r="156" customFormat="false" ht="15" hidden="false" customHeight="true" outlineLevel="0" collapsed="false">
      <c r="A156" s="61" t="n">
        <v>153</v>
      </c>
      <c r="B156" s="62" t="str">
        <f aca="false">IFERROR(IF([1]库存等级接口!$B$156=0,"",[1]库存等级接口!$B$156),"")</f>
        <v/>
      </c>
      <c r="C156" s="63" t="str">
        <f aca="false">IFERROR(IF([1]库存等级接口!$C$156=0,"",[1]库存等级接口!$C$156),"")</f>
        <v/>
      </c>
      <c r="D156" s="63" t="str">
        <f aca="false">IFERROR(IF([1]库存等级接口!$D$156=0,"",[1]库存等级接口!$D$156),"")</f>
        <v/>
      </c>
      <c r="E156" s="63" t="str">
        <f aca="false">IFERROR(IF([1]库存等级接口!$E$156=0,"",[1]库存等级接口!$E$156),"")</f>
        <v/>
      </c>
      <c r="F156" s="64" t="str">
        <f aca="false">IFERROR(IF([1]库存等级接口!$F$156=0,"",[1]库存等级接口!$F$156),"")</f>
        <v/>
      </c>
      <c r="G156" s="65" t="str">
        <f aca="false">IFERROR(IF([1]库存等级接口!$G$156=0,"",[1]库存等级接口!$G$156),"")</f>
        <v/>
      </c>
      <c r="H156" s="62" t="str">
        <f aca="false">IFERROR(IF([1]库存等级接口!$H$156=0,"",[1]库存等级接口!$H$156),"")</f>
        <v/>
      </c>
      <c r="I156" s="61" t="n">
        <f aca="false">IF($B156="",0,1)</f>
        <v>0</v>
      </c>
      <c r="J156" s="61" t="n">
        <f aca="false">N(J155)+$I156</f>
        <v>56</v>
      </c>
    </row>
    <row r="157" customFormat="false" ht="15" hidden="false" customHeight="true" outlineLevel="0" collapsed="false">
      <c r="A157" s="61" t="n">
        <v>154</v>
      </c>
      <c r="B157" s="62" t="str">
        <f aca="false">IFERROR(IF([1]库存等级接口!$B$157=0,"",[1]库存等级接口!$B$157),"")</f>
        <v/>
      </c>
      <c r="C157" s="63" t="str">
        <f aca="false">IFERROR(IF([1]库存等级接口!$C$157=0,"",[1]库存等级接口!$C$157),"")</f>
        <v/>
      </c>
      <c r="D157" s="63" t="str">
        <f aca="false">IFERROR(IF([1]库存等级接口!$D$157=0,"",[1]库存等级接口!$D$157),"")</f>
        <v/>
      </c>
      <c r="E157" s="63" t="str">
        <f aca="false">IFERROR(IF([1]库存等级接口!$E$157=0,"",[1]库存等级接口!$E$157),"")</f>
        <v/>
      </c>
      <c r="F157" s="64" t="str">
        <f aca="false">IFERROR(IF([1]库存等级接口!$F$157=0,"",[1]库存等级接口!$F$157),"")</f>
        <v/>
      </c>
      <c r="G157" s="65" t="str">
        <f aca="false">IFERROR(IF([1]库存等级接口!$G$157=0,"",[1]库存等级接口!$G$157),"")</f>
        <v/>
      </c>
      <c r="H157" s="62" t="str">
        <f aca="false">IFERROR(IF([1]库存等级接口!$H$157=0,"",[1]库存等级接口!$H$157),"")</f>
        <v/>
      </c>
      <c r="I157" s="61" t="n">
        <f aca="false">IF($B157="",0,1)</f>
        <v>0</v>
      </c>
      <c r="J157" s="61" t="n">
        <f aca="false">N(J156)+$I157</f>
        <v>56</v>
      </c>
    </row>
    <row r="158" customFormat="false" ht="15" hidden="false" customHeight="true" outlineLevel="0" collapsed="false">
      <c r="A158" s="61" t="n">
        <v>155</v>
      </c>
      <c r="B158" s="62" t="str">
        <f aca="false">IFERROR(IF([1]库存等级接口!$B$158=0,"",[1]库存等级接口!$B$158),"")</f>
        <v/>
      </c>
      <c r="C158" s="63" t="str">
        <f aca="false">IFERROR(IF([1]库存等级接口!$C$158=0,"",[1]库存等级接口!$C$158),"")</f>
        <v/>
      </c>
      <c r="D158" s="63" t="str">
        <f aca="false">IFERROR(IF([1]库存等级接口!$D$158=0,"",[1]库存等级接口!$D$158),"")</f>
        <v/>
      </c>
      <c r="E158" s="63" t="str">
        <f aca="false">IFERROR(IF([1]库存等级接口!$E$158=0,"",[1]库存等级接口!$E$158),"")</f>
        <v/>
      </c>
      <c r="F158" s="64" t="str">
        <f aca="false">IFERROR(IF([1]库存等级接口!$F$158=0,"",[1]库存等级接口!$F$158),"")</f>
        <v/>
      </c>
      <c r="G158" s="65" t="str">
        <f aca="false">IFERROR(IF([1]库存等级接口!$G$158=0,"",[1]库存等级接口!$G$158),"")</f>
        <v/>
      </c>
      <c r="H158" s="62" t="str">
        <f aca="false">IFERROR(IF([1]库存等级接口!$H$158=0,"",[1]库存等级接口!$H$158),"")</f>
        <v/>
      </c>
      <c r="I158" s="61" t="n">
        <f aca="false">IF($B158="",0,1)</f>
        <v>0</v>
      </c>
      <c r="J158" s="61" t="n">
        <f aca="false">N(J157)+$I158</f>
        <v>56</v>
      </c>
    </row>
    <row r="159" customFormat="false" ht="15" hidden="false" customHeight="true" outlineLevel="0" collapsed="false">
      <c r="A159" s="61" t="n">
        <v>156</v>
      </c>
      <c r="B159" s="62" t="str">
        <f aca="false">IFERROR(IF([1]库存等级接口!$B$159=0,"",[1]库存等级接口!$B$159),"")</f>
        <v/>
      </c>
      <c r="C159" s="63" t="str">
        <f aca="false">IFERROR(IF([1]库存等级接口!$C$159=0,"",[1]库存等级接口!$C$159),"")</f>
        <v/>
      </c>
      <c r="D159" s="63" t="str">
        <f aca="false">IFERROR(IF([1]库存等级接口!$D$159=0,"",[1]库存等级接口!$D$159),"")</f>
        <v/>
      </c>
      <c r="E159" s="63" t="str">
        <f aca="false">IFERROR(IF([1]库存等级接口!$E$159=0,"",[1]库存等级接口!$E$159),"")</f>
        <v/>
      </c>
      <c r="F159" s="64" t="str">
        <f aca="false">IFERROR(IF([1]库存等级接口!$F$159=0,"",[1]库存等级接口!$F$159),"")</f>
        <v/>
      </c>
      <c r="G159" s="65" t="str">
        <f aca="false">IFERROR(IF([1]库存等级接口!$G$159=0,"",[1]库存等级接口!$G$159),"")</f>
        <v/>
      </c>
      <c r="H159" s="62" t="str">
        <f aca="false">IFERROR(IF([1]库存等级接口!$H$159=0,"",[1]库存等级接口!$H$159),"")</f>
        <v/>
      </c>
      <c r="I159" s="61" t="n">
        <f aca="false">IF($B159="",0,1)</f>
        <v>0</v>
      </c>
      <c r="J159" s="61" t="n">
        <f aca="false">N(J158)+$I159</f>
        <v>56</v>
      </c>
    </row>
    <row r="160" customFormat="false" ht="15" hidden="false" customHeight="true" outlineLevel="0" collapsed="false">
      <c r="A160" s="61" t="n">
        <v>157</v>
      </c>
      <c r="B160" s="62" t="str">
        <f aca="false">IFERROR(IF([1]库存等级接口!$B$160=0,"",[1]库存等级接口!$B$160),"")</f>
        <v/>
      </c>
      <c r="C160" s="63" t="str">
        <f aca="false">IFERROR(IF([1]库存等级接口!$C$160=0,"",[1]库存等级接口!$C$160),"")</f>
        <v/>
      </c>
      <c r="D160" s="63" t="str">
        <f aca="false">IFERROR(IF([1]库存等级接口!$D$160=0,"",[1]库存等级接口!$D$160),"")</f>
        <v/>
      </c>
      <c r="E160" s="63" t="str">
        <f aca="false">IFERROR(IF([1]库存等级接口!$E$160=0,"",[1]库存等级接口!$E$160),"")</f>
        <v/>
      </c>
      <c r="F160" s="64" t="str">
        <f aca="false">IFERROR(IF([1]库存等级接口!$F$160=0,"",[1]库存等级接口!$F$160),"")</f>
        <v/>
      </c>
      <c r="G160" s="65" t="str">
        <f aca="false">IFERROR(IF([1]库存等级接口!$G$160=0,"",[1]库存等级接口!$G$160),"")</f>
        <v/>
      </c>
      <c r="H160" s="62" t="str">
        <f aca="false">IFERROR(IF([1]库存等级接口!$H$160=0,"",[1]库存等级接口!$H$160),"")</f>
        <v/>
      </c>
      <c r="I160" s="61" t="n">
        <f aca="false">IF($B160="",0,1)</f>
        <v>0</v>
      </c>
      <c r="J160" s="61" t="n">
        <f aca="false">N(J159)+$I160</f>
        <v>56</v>
      </c>
    </row>
    <row r="161" customFormat="false" ht="15" hidden="false" customHeight="true" outlineLevel="0" collapsed="false">
      <c r="A161" s="61" t="n">
        <v>158</v>
      </c>
      <c r="B161" s="62" t="str">
        <f aca="false">IFERROR(IF([1]库存等级接口!$B$161=0,"",[1]库存等级接口!$B$161),"")</f>
        <v/>
      </c>
      <c r="C161" s="63" t="str">
        <f aca="false">IFERROR(IF([1]库存等级接口!$C$161=0,"",[1]库存等级接口!$C$161),"")</f>
        <v/>
      </c>
      <c r="D161" s="63" t="str">
        <f aca="false">IFERROR(IF([1]库存等级接口!$D$161=0,"",[1]库存等级接口!$D$161),"")</f>
        <v/>
      </c>
      <c r="E161" s="63" t="str">
        <f aca="false">IFERROR(IF([1]库存等级接口!$E$161=0,"",[1]库存等级接口!$E$161),"")</f>
        <v/>
      </c>
      <c r="F161" s="64" t="str">
        <f aca="false">IFERROR(IF([1]库存等级接口!$F$161=0,"",[1]库存等级接口!$F$161),"")</f>
        <v/>
      </c>
      <c r="G161" s="65" t="str">
        <f aca="false">IFERROR(IF([1]库存等级接口!$G$161=0,"",[1]库存等级接口!$G$161),"")</f>
        <v/>
      </c>
      <c r="H161" s="62" t="str">
        <f aca="false">IFERROR(IF([1]库存等级接口!$H$161=0,"",[1]库存等级接口!$H$161),"")</f>
        <v/>
      </c>
      <c r="I161" s="61" t="n">
        <f aca="false">IF($B161="",0,1)</f>
        <v>0</v>
      </c>
      <c r="J161" s="61" t="n">
        <f aca="false">N(J160)+$I161</f>
        <v>56</v>
      </c>
    </row>
    <row r="162" customFormat="false" ht="15" hidden="false" customHeight="true" outlineLevel="0" collapsed="false">
      <c r="A162" s="61" t="n">
        <v>159</v>
      </c>
      <c r="B162" s="62" t="str">
        <f aca="false">IFERROR(IF([1]库存等级接口!$B$162=0,"",[1]库存等级接口!$B$162),"")</f>
        <v/>
      </c>
      <c r="C162" s="63" t="str">
        <f aca="false">IFERROR(IF([1]库存等级接口!$C$162=0,"",[1]库存等级接口!$C$162),"")</f>
        <v/>
      </c>
      <c r="D162" s="63" t="str">
        <f aca="false">IFERROR(IF([1]库存等级接口!$D$162=0,"",[1]库存等级接口!$D$162),"")</f>
        <v/>
      </c>
      <c r="E162" s="63" t="str">
        <f aca="false">IFERROR(IF([1]库存等级接口!$E$162=0,"",[1]库存等级接口!$E$162),"")</f>
        <v/>
      </c>
      <c r="F162" s="64" t="str">
        <f aca="false">IFERROR(IF([1]库存等级接口!$F$162=0,"",[1]库存等级接口!$F$162),"")</f>
        <v/>
      </c>
      <c r="G162" s="65" t="str">
        <f aca="false">IFERROR(IF([1]库存等级接口!$G$162=0,"",[1]库存等级接口!$G$162),"")</f>
        <v/>
      </c>
      <c r="H162" s="62" t="str">
        <f aca="false">IFERROR(IF([1]库存等级接口!$H$162=0,"",[1]库存等级接口!$H$162),"")</f>
        <v/>
      </c>
      <c r="I162" s="61" t="n">
        <f aca="false">IF($B162="",0,1)</f>
        <v>0</v>
      </c>
      <c r="J162" s="61" t="n">
        <f aca="false">N(J161)+$I162</f>
        <v>56</v>
      </c>
    </row>
    <row r="163" customFormat="false" ht="15" hidden="false" customHeight="true" outlineLevel="0" collapsed="false">
      <c r="A163" s="61" t="n">
        <v>160</v>
      </c>
      <c r="B163" s="62" t="str">
        <f aca="false">IFERROR(IF([1]库存等级接口!$B$163=0,"",[1]库存等级接口!$B$163),"")</f>
        <v/>
      </c>
      <c r="C163" s="63" t="str">
        <f aca="false">IFERROR(IF([1]库存等级接口!$C$163=0,"",[1]库存等级接口!$C$163),"")</f>
        <v/>
      </c>
      <c r="D163" s="63" t="str">
        <f aca="false">IFERROR(IF([1]库存等级接口!$D$163=0,"",[1]库存等级接口!$D$163),"")</f>
        <v/>
      </c>
      <c r="E163" s="63" t="str">
        <f aca="false">IFERROR(IF([1]库存等级接口!$E$163=0,"",[1]库存等级接口!$E$163),"")</f>
        <v/>
      </c>
      <c r="F163" s="64" t="str">
        <f aca="false">IFERROR(IF([1]库存等级接口!$F$163=0,"",[1]库存等级接口!$F$163),"")</f>
        <v/>
      </c>
      <c r="G163" s="65" t="str">
        <f aca="false">IFERROR(IF([1]库存等级接口!$G$163=0,"",[1]库存等级接口!$G$163),"")</f>
        <v/>
      </c>
      <c r="H163" s="62" t="str">
        <f aca="false">IFERROR(IF([1]库存等级接口!$H$163=0,"",[1]库存等级接口!$H$163),"")</f>
        <v/>
      </c>
      <c r="I163" s="61" t="n">
        <f aca="false">IF($B163="",0,1)</f>
        <v>0</v>
      </c>
      <c r="J163" s="61" t="n">
        <f aca="false">N(J162)+$I163</f>
        <v>56</v>
      </c>
    </row>
    <row r="164" customFormat="false" ht="15" hidden="false" customHeight="true" outlineLevel="0" collapsed="false">
      <c r="A164" s="61" t="n">
        <v>161</v>
      </c>
      <c r="B164" s="62" t="str">
        <f aca="false">IFERROR(IF([1]库存等级接口!$B$164=0,"",[1]库存等级接口!$B$164),"")</f>
        <v/>
      </c>
      <c r="C164" s="63" t="str">
        <f aca="false">IFERROR(IF([1]库存等级接口!$C$164=0,"",[1]库存等级接口!$C$164),"")</f>
        <v/>
      </c>
      <c r="D164" s="63" t="str">
        <f aca="false">IFERROR(IF([1]库存等级接口!$D$164=0,"",[1]库存等级接口!$D$164),"")</f>
        <v/>
      </c>
      <c r="E164" s="63" t="str">
        <f aca="false">IFERROR(IF([1]库存等级接口!$E$164=0,"",[1]库存等级接口!$E$164),"")</f>
        <v/>
      </c>
      <c r="F164" s="64" t="str">
        <f aca="false">IFERROR(IF([1]库存等级接口!$F$164=0,"",[1]库存等级接口!$F$164),"")</f>
        <v/>
      </c>
      <c r="G164" s="65" t="str">
        <f aca="false">IFERROR(IF([1]库存等级接口!$G$164=0,"",[1]库存等级接口!$G$164),"")</f>
        <v/>
      </c>
      <c r="H164" s="62" t="str">
        <f aca="false">IFERROR(IF([1]库存等级接口!$H$164=0,"",[1]库存等级接口!$H$164),"")</f>
        <v/>
      </c>
      <c r="I164" s="61" t="n">
        <f aca="false">IF($B164="",0,1)</f>
        <v>0</v>
      </c>
      <c r="J164" s="61" t="n">
        <f aca="false">N(J163)+$I164</f>
        <v>56</v>
      </c>
    </row>
    <row r="165" customFormat="false" ht="15" hidden="false" customHeight="true" outlineLevel="0" collapsed="false">
      <c r="A165" s="61" t="n">
        <v>162</v>
      </c>
      <c r="B165" s="62" t="str">
        <f aca="false">IFERROR(IF([1]库存等级接口!$B$165=0,"",[1]库存等级接口!$B$165),"")</f>
        <v/>
      </c>
      <c r="C165" s="63" t="str">
        <f aca="false">IFERROR(IF([1]库存等级接口!$C$165=0,"",[1]库存等级接口!$C$165),"")</f>
        <v/>
      </c>
      <c r="D165" s="63" t="str">
        <f aca="false">IFERROR(IF([1]库存等级接口!$D$165=0,"",[1]库存等级接口!$D$165),"")</f>
        <v/>
      </c>
      <c r="E165" s="63" t="str">
        <f aca="false">IFERROR(IF([1]库存等级接口!$E$165=0,"",[1]库存等级接口!$E$165),"")</f>
        <v/>
      </c>
      <c r="F165" s="64" t="str">
        <f aca="false">IFERROR(IF([1]库存等级接口!$F$165=0,"",[1]库存等级接口!$F$165),"")</f>
        <v/>
      </c>
      <c r="G165" s="65" t="str">
        <f aca="false">IFERROR(IF([1]库存等级接口!$G$165=0,"",[1]库存等级接口!$G$165),"")</f>
        <v/>
      </c>
      <c r="H165" s="62" t="str">
        <f aca="false">IFERROR(IF([1]库存等级接口!$H$165=0,"",[1]库存等级接口!$H$165),"")</f>
        <v/>
      </c>
      <c r="I165" s="61" t="n">
        <f aca="false">IF($B165="",0,1)</f>
        <v>0</v>
      </c>
      <c r="J165" s="61" t="n">
        <f aca="false">N(J164)+$I165</f>
        <v>56</v>
      </c>
    </row>
    <row r="166" customFormat="false" ht="15" hidden="false" customHeight="true" outlineLevel="0" collapsed="false">
      <c r="A166" s="61" t="n">
        <v>163</v>
      </c>
      <c r="B166" s="62" t="str">
        <f aca="false">IFERROR(IF([1]库存等级接口!$B$166=0,"",[1]库存等级接口!$B$166),"")</f>
        <v/>
      </c>
      <c r="C166" s="63" t="str">
        <f aca="false">IFERROR(IF([1]库存等级接口!$C$166=0,"",[1]库存等级接口!$C$166),"")</f>
        <v/>
      </c>
      <c r="D166" s="63" t="str">
        <f aca="false">IFERROR(IF([1]库存等级接口!$D$166=0,"",[1]库存等级接口!$D$166),"")</f>
        <v/>
      </c>
      <c r="E166" s="63" t="str">
        <f aca="false">IFERROR(IF([1]库存等级接口!$E$166=0,"",[1]库存等级接口!$E$166),"")</f>
        <v/>
      </c>
      <c r="F166" s="64" t="str">
        <f aca="false">IFERROR(IF([1]库存等级接口!$F$166=0,"",[1]库存等级接口!$F$166),"")</f>
        <v/>
      </c>
      <c r="G166" s="65" t="str">
        <f aca="false">IFERROR(IF([1]库存等级接口!$G$166=0,"",[1]库存等级接口!$G$166),"")</f>
        <v/>
      </c>
      <c r="H166" s="62" t="str">
        <f aca="false">IFERROR(IF([1]库存等级接口!$H$166=0,"",[1]库存等级接口!$H$166),"")</f>
        <v/>
      </c>
      <c r="I166" s="61" t="n">
        <f aca="false">IF($B166="",0,1)</f>
        <v>0</v>
      </c>
      <c r="J166" s="61" t="n">
        <f aca="false">N(J165)+$I166</f>
        <v>56</v>
      </c>
    </row>
    <row r="167" customFormat="false" ht="15" hidden="false" customHeight="true" outlineLevel="0" collapsed="false">
      <c r="A167" s="61" t="n">
        <v>164</v>
      </c>
      <c r="B167" s="62" t="str">
        <f aca="false">IFERROR(IF([1]库存等级接口!$B$167=0,"",[1]库存等级接口!$B$167),"")</f>
        <v/>
      </c>
      <c r="C167" s="63" t="str">
        <f aca="false">IFERROR(IF([1]库存等级接口!$C$167=0,"",[1]库存等级接口!$C$167),"")</f>
        <v/>
      </c>
      <c r="D167" s="63" t="str">
        <f aca="false">IFERROR(IF([1]库存等级接口!$D$167=0,"",[1]库存等级接口!$D$167),"")</f>
        <v/>
      </c>
      <c r="E167" s="63" t="str">
        <f aca="false">IFERROR(IF([1]库存等级接口!$E$167=0,"",[1]库存等级接口!$E$167),"")</f>
        <v/>
      </c>
      <c r="F167" s="64" t="str">
        <f aca="false">IFERROR(IF([1]库存等级接口!$F$167=0,"",[1]库存等级接口!$F$167),"")</f>
        <v/>
      </c>
      <c r="G167" s="65" t="str">
        <f aca="false">IFERROR(IF([1]库存等级接口!$G$167=0,"",[1]库存等级接口!$G$167),"")</f>
        <v/>
      </c>
      <c r="H167" s="62" t="str">
        <f aca="false">IFERROR(IF([1]库存等级接口!$H$167=0,"",[1]库存等级接口!$H$167),"")</f>
        <v/>
      </c>
      <c r="I167" s="61" t="n">
        <f aca="false">IF($B167="",0,1)</f>
        <v>0</v>
      </c>
      <c r="J167" s="61" t="n">
        <f aca="false">N(J166)+$I167</f>
        <v>56</v>
      </c>
    </row>
    <row r="168" customFormat="false" ht="15" hidden="false" customHeight="true" outlineLevel="0" collapsed="false">
      <c r="A168" s="61" t="n">
        <v>165</v>
      </c>
      <c r="B168" s="62" t="str">
        <f aca="false">IFERROR(IF([1]库存等级接口!$B$168=0,"",[1]库存等级接口!$B$168),"")</f>
        <v/>
      </c>
      <c r="C168" s="63" t="str">
        <f aca="false">IFERROR(IF([1]库存等级接口!$C$168=0,"",[1]库存等级接口!$C$168),"")</f>
        <v/>
      </c>
      <c r="D168" s="63" t="str">
        <f aca="false">IFERROR(IF([1]库存等级接口!$D$168=0,"",[1]库存等级接口!$D$168),"")</f>
        <v/>
      </c>
      <c r="E168" s="63" t="str">
        <f aca="false">IFERROR(IF([1]库存等级接口!$E$168=0,"",[1]库存等级接口!$E$168),"")</f>
        <v/>
      </c>
      <c r="F168" s="64" t="str">
        <f aca="false">IFERROR(IF([1]库存等级接口!$F$168=0,"",[1]库存等级接口!$F$168),"")</f>
        <v/>
      </c>
      <c r="G168" s="65" t="str">
        <f aca="false">IFERROR(IF([1]库存等级接口!$G$168=0,"",[1]库存等级接口!$G$168),"")</f>
        <v/>
      </c>
      <c r="H168" s="62" t="str">
        <f aca="false">IFERROR(IF([1]库存等级接口!$H$168=0,"",[1]库存等级接口!$H$168),"")</f>
        <v/>
      </c>
      <c r="I168" s="61" t="n">
        <f aca="false">IF($B168="",0,1)</f>
        <v>0</v>
      </c>
      <c r="J168" s="61" t="n">
        <f aca="false">N(J167)+$I168</f>
        <v>56</v>
      </c>
    </row>
    <row r="169" customFormat="false" ht="15" hidden="false" customHeight="true" outlineLevel="0" collapsed="false">
      <c r="A169" s="61" t="n">
        <v>166</v>
      </c>
      <c r="B169" s="62" t="str">
        <f aca="false">IFERROR(IF([1]库存等级接口!$B$169=0,"",[1]库存等级接口!$B$169),"")</f>
        <v/>
      </c>
      <c r="C169" s="63" t="str">
        <f aca="false">IFERROR(IF([1]库存等级接口!$C$169=0,"",[1]库存等级接口!$C$169),"")</f>
        <v/>
      </c>
      <c r="D169" s="63" t="str">
        <f aca="false">IFERROR(IF([1]库存等级接口!$D$169=0,"",[1]库存等级接口!$D$169),"")</f>
        <v/>
      </c>
      <c r="E169" s="63" t="str">
        <f aca="false">IFERROR(IF([1]库存等级接口!$E$169=0,"",[1]库存等级接口!$E$169),"")</f>
        <v/>
      </c>
      <c r="F169" s="64" t="str">
        <f aca="false">IFERROR(IF([1]库存等级接口!$F$169=0,"",[1]库存等级接口!$F$169),"")</f>
        <v/>
      </c>
      <c r="G169" s="65" t="str">
        <f aca="false">IFERROR(IF([1]库存等级接口!$G$169=0,"",[1]库存等级接口!$G$169),"")</f>
        <v/>
      </c>
      <c r="H169" s="62" t="str">
        <f aca="false">IFERROR(IF([1]库存等级接口!$H$169=0,"",[1]库存等级接口!$H$169),"")</f>
        <v/>
      </c>
      <c r="I169" s="61" t="n">
        <f aca="false">IF($B169="",0,1)</f>
        <v>0</v>
      </c>
      <c r="J169" s="61" t="n">
        <f aca="false">N(J168)+$I169</f>
        <v>56</v>
      </c>
    </row>
    <row r="170" customFormat="false" ht="15" hidden="false" customHeight="true" outlineLevel="0" collapsed="false">
      <c r="A170" s="61" t="n">
        <v>167</v>
      </c>
      <c r="B170" s="62" t="str">
        <f aca="false">IFERROR(IF([1]库存等级接口!$B$170=0,"",[1]库存等级接口!$B$170),"")</f>
        <v/>
      </c>
      <c r="C170" s="63" t="str">
        <f aca="false">IFERROR(IF([1]库存等级接口!$C$170=0,"",[1]库存等级接口!$C$170),"")</f>
        <v/>
      </c>
      <c r="D170" s="63" t="str">
        <f aca="false">IFERROR(IF([1]库存等级接口!$D$170=0,"",[1]库存等级接口!$D$170),"")</f>
        <v/>
      </c>
      <c r="E170" s="63" t="str">
        <f aca="false">IFERROR(IF([1]库存等级接口!$E$170=0,"",[1]库存等级接口!$E$170),"")</f>
        <v/>
      </c>
      <c r="F170" s="64" t="str">
        <f aca="false">IFERROR(IF([1]库存等级接口!$F$170=0,"",[1]库存等级接口!$F$170),"")</f>
        <v/>
      </c>
      <c r="G170" s="65" t="str">
        <f aca="false">IFERROR(IF([1]库存等级接口!$G$170=0,"",[1]库存等级接口!$G$170),"")</f>
        <v/>
      </c>
      <c r="H170" s="62" t="str">
        <f aca="false">IFERROR(IF([1]库存等级接口!$H$170=0,"",[1]库存等级接口!$H$170),"")</f>
        <v/>
      </c>
      <c r="I170" s="61" t="n">
        <f aca="false">IF($B170="",0,1)</f>
        <v>0</v>
      </c>
      <c r="J170" s="61" t="n">
        <f aca="false">N(J169)+$I170</f>
        <v>56</v>
      </c>
    </row>
    <row r="171" customFormat="false" ht="15" hidden="false" customHeight="true" outlineLevel="0" collapsed="false">
      <c r="A171" s="61" t="n">
        <v>168</v>
      </c>
      <c r="B171" s="62" t="str">
        <f aca="false">IFERROR(IF([1]库存等级接口!$B$171=0,"",[1]库存等级接口!$B$171),"")</f>
        <v/>
      </c>
      <c r="C171" s="63" t="str">
        <f aca="false">IFERROR(IF([1]库存等级接口!$C$171=0,"",[1]库存等级接口!$C$171),"")</f>
        <v/>
      </c>
      <c r="D171" s="63" t="str">
        <f aca="false">IFERROR(IF([1]库存等级接口!$D$171=0,"",[1]库存等级接口!$D$171),"")</f>
        <v/>
      </c>
      <c r="E171" s="63" t="str">
        <f aca="false">IFERROR(IF([1]库存等级接口!$E$171=0,"",[1]库存等级接口!$E$171),"")</f>
        <v/>
      </c>
      <c r="F171" s="64" t="str">
        <f aca="false">IFERROR(IF([1]库存等级接口!$F$171=0,"",[1]库存等级接口!$F$171),"")</f>
        <v/>
      </c>
      <c r="G171" s="65" t="str">
        <f aca="false">IFERROR(IF([1]库存等级接口!$G$171=0,"",[1]库存等级接口!$G$171),"")</f>
        <v/>
      </c>
      <c r="H171" s="62" t="str">
        <f aca="false">IFERROR(IF([1]库存等级接口!$H$171=0,"",[1]库存等级接口!$H$171),"")</f>
        <v/>
      </c>
      <c r="I171" s="61" t="n">
        <f aca="false">IF($B171="",0,1)</f>
        <v>0</v>
      </c>
      <c r="J171" s="61" t="n">
        <f aca="false">N(J170)+$I171</f>
        <v>56</v>
      </c>
    </row>
    <row r="172" customFormat="false" ht="15" hidden="false" customHeight="true" outlineLevel="0" collapsed="false">
      <c r="A172" s="61" t="n">
        <v>169</v>
      </c>
      <c r="B172" s="62" t="str">
        <f aca="false">IFERROR(IF([1]库存等级接口!$B$172=0,"",[1]库存等级接口!$B$172),"")</f>
        <v/>
      </c>
      <c r="C172" s="63" t="str">
        <f aca="false">IFERROR(IF([1]库存等级接口!$C$172=0,"",[1]库存等级接口!$C$172),"")</f>
        <v/>
      </c>
      <c r="D172" s="63" t="str">
        <f aca="false">IFERROR(IF([1]库存等级接口!$D$172=0,"",[1]库存等级接口!$D$172),"")</f>
        <v/>
      </c>
      <c r="E172" s="63" t="str">
        <f aca="false">IFERROR(IF([1]库存等级接口!$E$172=0,"",[1]库存等级接口!$E$172),"")</f>
        <v/>
      </c>
      <c r="F172" s="64" t="str">
        <f aca="false">IFERROR(IF([1]库存等级接口!$F$172=0,"",[1]库存等级接口!$F$172),"")</f>
        <v/>
      </c>
      <c r="G172" s="65" t="str">
        <f aca="false">IFERROR(IF([1]库存等级接口!$G$172=0,"",[1]库存等级接口!$G$172),"")</f>
        <v/>
      </c>
      <c r="H172" s="62" t="str">
        <f aca="false">IFERROR(IF([1]库存等级接口!$H$172=0,"",[1]库存等级接口!$H$172),"")</f>
        <v/>
      </c>
      <c r="I172" s="61" t="n">
        <f aca="false">IF($B172="",0,1)</f>
        <v>0</v>
      </c>
      <c r="J172" s="61" t="n">
        <f aca="false">N(J171)+$I172</f>
        <v>56</v>
      </c>
    </row>
    <row r="173" customFormat="false" ht="15" hidden="false" customHeight="true" outlineLevel="0" collapsed="false">
      <c r="A173" s="61" t="n">
        <v>170</v>
      </c>
      <c r="B173" s="62" t="str">
        <f aca="false">IFERROR(IF([1]库存等级接口!$B$173=0,"",[1]库存等级接口!$B$173),"")</f>
        <v/>
      </c>
      <c r="C173" s="63" t="str">
        <f aca="false">IFERROR(IF([1]库存等级接口!$C$173=0,"",[1]库存等级接口!$C$173),"")</f>
        <v/>
      </c>
      <c r="D173" s="63" t="str">
        <f aca="false">IFERROR(IF([1]库存等级接口!$D$173=0,"",[1]库存等级接口!$D$173),"")</f>
        <v/>
      </c>
      <c r="E173" s="63" t="str">
        <f aca="false">IFERROR(IF([1]库存等级接口!$E$173=0,"",[1]库存等级接口!$E$173),"")</f>
        <v/>
      </c>
      <c r="F173" s="64" t="str">
        <f aca="false">IFERROR(IF([1]库存等级接口!$F$173=0,"",[1]库存等级接口!$F$173),"")</f>
        <v/>
      </c>
      <c r="G173" s="65" t="str">
        <f aca="false">IFERROR(IF([1]库存等级接口!$G$173=0,"",[1]库存等级接口!$G$173),"")</f>
        <v/>
      </c>
      <c r="H173" s="62" t="str">
        <f aca="false">IFERROR(IF([1]库存等级接口!$H$173=0,"",[1]库存等级接口!$H$173),"")</f>
        <v/>
      </c>
      <c r="I173" s="61" t="n">
        <f aca="false">IF($B173="",0,1)</f>
        <v>0</v>
      </c>
      <c r="J173" s="61" t="n">
        <f aca="false">N(J172)+$I173</f>
        <v>56</v>
      </c>
    </row>
    <row r="174" customFormat="false" ht="15" hidden="false" customHeight="true" outlineLevel="0" collapsed="false">
      <c r="A174" s="61" t="n">
        <v>171</v>
      </c>
      <c r="B174" s="62" t="str">
        <f aca="false">IFERROR(IF([1]库存等级接口!$B$174=0,"",[1]库存等级接口!$B$174),"")</f>
        <v/>
      </c>
      <c r="C174" s="63" t="str">
        <f aca="false">IFERROR(IF([1]库存等级接口!$C$174=0,"",[1]库存等级接口!$C$174),"")</f>
        <v/>
      </c>
      <c r="D174" s="63" t="str">
        <f aca="false">IFERROR(IF([1]库存等级接口!$D$174=0,"",[1]库存等级接口!$D$174),"")</f>
        <v/>
      </c>
      <c r="E174" s="63" t="str">
        <f aca="false">IFERROR(IF([1]库存等级接口!$E$174=0,"",[1]库存等级接口!$E$174),"")</f>
        <v/>
      </c>
      <c r="F174" s="64" t="str">
        <f aca="false">IFERROR(IF([1]库存等级接口!$F$174=0,"",[1]库存等级接口!$F$174),"")</f>
        <v/>
      </c>
      <c r="G174" s="65" t="str">
        <f aca="false">IFERROR(IF([1]库存等级接口!$G$174=0,"",[1]库存等级接口!$G$174),"")</f>
        <v/>
      </c>
      <c r="H174" s="62" t="str">
        <f aca="false">IFERROR(IF([1]库存等级接口!$H$174=0,"",[1]库存等级接口!$H$174),"")</f>
        <v/>
      </c>
      <c r="I174" s="61" t="n">
        <f aca="false">IF($B174="",0,1)</f>
        <v>0</v>
      </c>
      <c r="J174" s="61" t="n">
        <f aca="false">N(J173)+$I174</f>
        <v>56</v>
      </c>
    </row>
    <row r="175" customFormat="false" ht="15" hidden="false" customHeight="true" outlineLevel="0" collapsed="false">
      <c r="A175" s="61" t="n">
        <v>172</v>
      </c>
      <c r="B175" s="62" t="str">
        <f aca="false">IFERROR(IF([1]库存等级接口!$B$175=0,"",[1]库存等级接口!$B$175),"")</f>
        <v/>
      </c>
      <c r="C175" s="63" t="str">
        <f aca="false">IFERROR(IF([1]库存等级接口!$C$175=0,"",[1]库存等级接口!$C$175),"")</f>
        <v/>
      </c>
      <c r="D175" s="63" t="str">
        <f aca="false">IFERROR(IF([1]库存等级接口!$D$175=0,"",[1]库存等级接口!$D$175),"")</f>
        <v/>
      </c>
      <c r="E175" s="63" t="str">
        <f aca="false">IFERROR(IF([1]库存等级接口!$E$175=0,"",[1]库存等级接口!$E$175),"")</f>
        <v/>
      </c>
      <c r="F175" s="64" t="str">
        <f aca="false">IFERROR(IF([1]库存等级接口!$F$175=0,"",[1]库存等级接口!$F$175),"")</f>
        <v/>
      </c>
      <c r="G175" s="65" t="str">
        <f aca="false">IFERROR(IF([1]库存等级接口!$G$175=0,"",[1]库存等级接口!$G$175),"")</f>
        <v/>
      </c>
      <c r="H175" s="62" t="str">
        <f aca="false">IFERROR(IF([1]库存等级接口!$H$175=0,"",[1]库存等级接口!$H$175),"")</f>
        <v/>
      </c>
      <c r="I175" s="61" t="n">
        <f aca="false">IF($B175="",0,1)</f>
        <v>0</v>
      </c>
      <c r="J175" s="61" t="n">
        <f aca="false">N(J174)+$I175</f>
        <v>56</v>
      </c>
    </row>
    <row r="176" customFormat="false" ht="15" hidden="false" customHeight="true" outlineLevel="0" collapsed="false">
      <c r="A176" s="61" t="n">
        <v>173</v>
      </c>
      <c r="B176" s="62" t="str">
        <f aca="false">IFERROR(IF([1]库存等级接口!$B$176=0,"",[1]库存等级接口!$B$176),"")</f>
        <v/>
      </c>
      <c r="C176" s="63" t="str">
        <f aca="false">IFERROR(IF([1]库存等级接口!$C$176=0,"",[1]库存等级接口!$C$176),"")</f>
        <v/>
      </c>
      <c r="D176" s="63" t="str">
        <f aca="false">IFERROR(IF([1]库存等级接口!$D$176=0,"",[1]库存等级接口!$D$176),"")</f>
        <v/>
      </c>
      <c r="E176" s="63" t="str">
        <f aca="false">IFERROR(IF([1]库存等级接口!$E$176=0,"",[1]库存等级接口!$E$176),"")</f>
        <v/>
      </c>
      <c r="F176" s="64" t="str">
        <f aca="false">IFERROR(IF([1]库存等级接口!$F$176=0,"",[1]库存等级接口!$F$176),"")</f>
        <v/>
      </c>
      <c r="G176" s="65" t="str">
        <f aca="false">IFERROR(IF([1]库存等级接口!$G$176=0,"",[1]库存等级接口!$G$176),"")</f>
        <v/>
      </c>
      <c r="H176" s="62" t="str">
        <f aca="false">IFERROR(IF([1]库存等级接口!$H$176=0,"",[1]库存等级接口!$H$176),"")</f>
        <v/>
      </c>
      <c r="I176" s="61" t="n">
        <f aca="false">IF($B176="",0,1)</f>
        <v>0</v>
      </c>
      <c r="J176" s="61" t="n">
        <f aca="false">N(J175)+$I176</f>
        <v>56</v>
      </c>
    </row>
    <row r="177" customFormat="false" ht="15" hidden="false" customHeight="true" outlineLevel="0" collapsed="false">
      <c r="A177" s="61" t="n">
        <v>174</v>
      </c>
      <c r="B177" s="62" t="str">
        <f aca="false">IFERROR(IF([1]库存等级接口!$B$177=0,"",[1]库存等级接口!$B$177),"")</f>
        <v/>
      </c>
      <c r="C177" s="63" t="str">
        <f aca="false">IFERROR(IF([1]库存等级接口!$C$177=0,"",[1]库存等级接口!$C$177),"")</f>
        <v/>
      </c>
      <c r="D177" s="63" t="str">
        <f aca="false">IFERROR(IF([1]库存等级接口!$D$177=0,"",[1]库存等级接口!$D$177),"")</f>
        <v/>
      </c>
      <c r="E177" s="63" t="str">
        <f aca="false">IFERROR(IF([1]库存等级接口!$E$177=0,"",[1]库存等级接口!$E$177),"")</f>
        <v/>
      </c>
      <c r="F177" s="64" t="str">
        <f aca="false">IFERROR(IF([1]库存等级接口!$F$177=0,"",[1]库存等级接口!$F$177),"")</f>
        <v/>
      </c>
      <c r="G177" s="65" t="str">
        <f aca="false">IFERROR(IF([1]库存等级接口!$G$177=0,"",[1]库存等级接口!$G$177),"")</f>
        <v/>
      </c>
      <c r="H177" s="62" t="str">
        <f aca="false">IFERROR(IF([1]库存等级接口!$H$177=0,"",[1]库存等级接口!$H$177),"")</f>
        <v/>
      </c>
      <c r="I177" s="61" t="n">
        <f aca="false">IF($B177="",0,1)</f>
        <v>0</v>
      </c>
      <c r="J177" s="61" t="n">
        <f aca="false">N(J176)+$I177</f>
        <v>56</v>
      </c>
    </row>
    <row r="178" customFormat="false" ht="15" hidden="false" customHeight="true" outlineLevel="0" collapsed="false">
      <c r="A178" s="61" t="n">
        <v>175</v>
      </c>
      <c r="B178" s="62" t="str">
        <f aca="false">IFERROR(IF([1]库存等级接口!$B$178=0,"",[1]库存等级接口!$B$178),"")</f>
        <v/>
      </c>
      <c r="C178" s="63" t="str">
        <f aca="false">IFERROR(IF([1]库存等级接口!$C$178=0,"",[1]库存等级接口!$C$178),"")</f>
        <v/>
      </c>
      <c r="D178" s="63" t="str">
        <f aca="false">IFERROR(IF([1]库存等级接口!$D$178=0,"",[1]库存等级接口!$D$178),"")</f>
        <v/>
      </c>
      <c r="E178" s="63" t="str">
        <f aca="false">IFERROR(IF([1]库存等级接口!$E$178=0,"",[1]库存等级接口!$E$178),"")</f>
        <v/>
      </c>
      <c r="F178" s="64" t="str">
        <f aca="false">IFERROR(IF([1]库存等级接口!$F$178=0,"",[1]库存等级接口!$F$178),"")</f>
        <v/>
      </c>
      <c r="G178" s="65" t="str">
        <f aca="false">IFERROR(IF([1]库存等级接口!$G$178=0,"",[1]库存等级接口!$G$178),"")</f>
        <v/>
      </c>
      <c r="H178" s="62" t="str">
        <f aca="false">IFERROR(IF([1]库存等级接口!$H$178=0,"",[1]库存等级接口!$H$178),"")</f>
        <v/>
      </c>
      <c r="I178" s="61" t="n">
        <f aca="false">IF($B178="",0,1)</f>
        <v>0</v>
      </c>
      <c r="J178" s="61" t="n">
        <f aca="false">N(J177)+$I178</f>
        <v>56</v>
      </c>
    </row>
    <row r="179" customFormat="false" ht="15" hidden="false" customHeight="true" outlineLevel="0" collapsed="false">
      <c r="A179" s="61" t="n">
        <v>176</v>
      </c>
      <c r="B179" s="62" t="str">
        <f aca="false">IFERROR(IF([1]库存等级接口!$B$179=0,"",[1]库存等级接口!$B$179),"")</f>
        <v/>
      </c>
      <c r="C179" s="63" t="str">
        <f aca="false">IFERROR(IF([1]库存等级接口!$C$179=0,"",[1]库存等级接口!$C$179),"")</f>
        <v/>
      </c>
      <c r="D179" s="63" t="str">
        <f aca="false">IFERROR(IF([1]库存等级接口!$D$179=0,"",[1]库存等级接口!$D$179),"")</f>
        <v/>
      </c>
      <c r="E179" s="63" t="str">
        <f aca="false">IFERROR(IF([1]库存等级接口!$E$179=0,"",[1]库存等级接口!$E$179),"")</f>
        <v/>
      </c>
      <c r="F179" s="64" t="str">
        <f aca="false">IFERROR(IF([1]库存等级接口!$F$179=0,"",[1]库存等级接口!$F$179),"")</f>
        <v/>
      </c>
      <c r="G179" s="65" t="str">
        <f aca="false">IFERROR(IF([1]库存等级接口!$G$179=0,"",[1]库存等级接口!$G$179),"")</f>
        <v/>
      </c>
      <c r="H179" s="62" t="str">
        <f aca="false">IFERROR(IF([1]库存等级接口!$H$179=0,"",[1]库存等级接口!$H$179),"")</f>
        <v/>
      </c>
      <c r="I179" s="61" t="n">
        <f aca="false">IF($B179="",0,1)</f>
        <v>0</v>
      </c>
      <c r="J179" s="61" t="n">
        <f aca="false">N(J178)+$I179</f>
        <v>56</v>
      </c>
    </row>
    <row r="180" customFormat="false" ht="15" hidden="false" customHeight="true" outlineLevel="0" collapsed="false">
      <c r="A180" s="61" t="n">
        <v>177</v>
      </c>
      <c r="B180" s="62" t="str">
        <f aca="false">IFERROR(IF([1]库存等级接口!$B$180=0,"",[1]库存等级接口!$B$180),"")</f>
        <v/>
      </c>
      <c r="C180" s="63" t="str">
        <f aca="false">IFERROR(IF([1]库存等级接口!$C$180=0,"",[1]库存等级接口!$C$180),"")</f>
        <v/>
      </c>
      <c r="D180" s="63" t="str">
        <f aca="false">IFERROR(IF([1]库存等级接口!$D$180=0,"",[1]库存等级接口!$D$180),"")</f>
        <v/>
      </c>
      <c r="E180" s="63" t="str">
        <f aca="false">IFERROR(IF([1]库存等级接口!$E$180=0,"",[1]库存等级接口!$E$180),"")</f>
        <v/>
      </c>
      <c r="F180" s="64" t="str">
        <f aca="false">IFERROR(IF([1]库存等级接口!$F$180=0,"",[1]库存等级接口!$F$180),"")</f>
        <v/>
      </c>
      <c r="G180" s="65" t="str">
        <f aca="false">IFERROR(IF([1]库存等级接口!$G$180=0,"",[1]库存等级接口!$G$180),"")</f>
        <v/>
      </c>
      <c r="H180" s="62" t="str">
        <f aca="false">IFERROR(IF([1]库存等级接口!$H$180=0,"",[1]库存等级接口!$H$180),"")</f>
        <v/>
      </c>
      <c r="I180" s="61" t="n">
        <f aca="false">IF($B180="",0,1)</f>
        <v>0</v>
      </c>
      <c r="J180" s="61" t="n">
        <f aca="false">N(J179)+$I180</f>
        <v>56</v>
      </c>
    </row>
    <row r="181" customFormat="false" ht="15" hidden="false" customHeight="true" outlineLevel="0" collapsed="false">
      <c r="A181" s="61" t="n">
        <v>178</v>
      </c>
      <c r="B181" s="62" t="str">
        <f aca="false">IFERROR(IF([1]库存等级接口!$B$181=0,"",[1]库存等级接口!$B$181),"")</f>
        <v/>
      </c>
      <c r="C181" s="63" t="str">
        <f aca="false">IFERROR(IF([1]库存等级接口!$C$181=0,"",[1]库存等级接口!$C$181),"")</f>
        <v/>
      </c>
      <c r="D181" s="63" t="str">
        <f aca="false">IFERROR(IF([1]库存等级接口!$D$181=0,"",[1]库存等级接口!$D$181),"")</f>
        <v/>
      </c>
      <c r="E181" s="63" t="str">
        <f aca="false">IFERROR(IF([1]库存等级接口!$E$181=0,"",[1]库存等级接口!$E$181),"")</f>
        <v/>
      </c>
      <c r="F181" s="64" t="str">
        <f aca="false">IFERROR(IF([1]库存等级接口!$F$181=0,"",[1]库存等级接口!$F$181),"")</f>
        <v/>
      </c>
      <c r="G181" s="65" t="str">
        <f aca="false">IFERROR(IF([1]库存等级接口!$G$181=0,"",[1]库存等级接口!$G$181),"")</f>
        <v/>
      </c>
      <c r="H181" s="62" t="str">
        <f aca="false">IFERROR(IF([1]库存等级接口!$H$181=0,"",[1]库存等级接口!$H$181),"")</f>
        <v/>
      </c>
      <c r="I181" s="61" t="n">
        <f aca="false">IF($B181="",0,1)</f>
        <v>0</v>
      </c>
      <c r="J181" s="61" t="n">
        <f aca="false">N(J180)+$I181</f>
        <v>56</v>
      </c>
    </row>
    <row r="182" customFormat="false" ht="15" hidden="false" customHeight="true" outlineLevel="0" collapsed="false">
      <c r="A182" s="61" t="n">
        <v>179</v>
      </c>
      <c r="B182" s="62" t="str">
        <f aca="false">IFERROR(IF([1]库存等级接口!$B$182=0,"",[1]库存等级接口!$B$182),"")</f>
        <v/>
      </c>
      <c r="C182" s="63" t="str">
        <f aca="false">IFERROR(IF([1]库存等级接口!$C$182=0,"",[1]库存等级接口!$C$182),"")</f>
        <v/>
      </c>
      <c r="D182" s="63" t="str">
        <f aca="false">IFERROR(IF([1]库存等级接口!$D$182=0,"",[1]库存等级接口!$D$182),"")</f>
        <v/>
      </c>
      <c r="E182" s="63" t="str">
        <f aca="false">IFERROR(IF([1]库存等级接口!$E$182=0,"",[1]库存等级接口!$E$182),"")</f>
        <v/>
      </c>
      <c r="F182" s="64" t="str">
        <f aca="false">IFERROR(IF([1]库存等级接口!$F$182=0,"",[1]库存等级接口!$F$182),"")</f>
        <v/>
      </c>
      <c r="G182" s="65" t="str">
        <f aca="false">IFERROR(IF([1]库存等级接口!$G$182=0,"",[1]库存等级接口!$G$182),"")</f>
        <v/>
      </c>
      <c r="H182" s="62" t="str">
        <f aca="false">IFERROR(IF([1]库存等级接口!$H$182=0,"",[1]库存等级接口!$H$182),"")</f>
        <v/>
      </c>
      <c r="I182" s="61" t="n">
        <f aca="false">IF($B182="",0,1)</f>
        <v>0</v>
      </c>
      <c r="J182" s="61" t="n">
        <f aca="false">N(J181)+$I182</f>
        <v>56</v>
      </c>
    </row>
    <row r="183" customFormat="false" ht="15" hidden="false" customHeight="true" outlineLevel="0" collapsed="false">
      <c r="A183" s="61" t="n">
        <v>180</v>
      </c>
      <c r="B183" s="62" t="str">
        <f aca="false">IFERROR(IF([1]库存等级接口!$B$183=0,"",[1]库存等级接口!$B$183),"")</f>
        <v/>
      </c>
      <c r="C183" s="63" t="str">
        <f aca="false">IFERROR(IF([1]库存等级接口!$C$183=0,"",[1]库存等级接口!$C$183),"")</f>
        <v/>
      </c>
      <c r="D183" s="63" t="str">
        <f aca="false">IFERROR(IF([1]库存等级接口!$D$183=0,"",[1]库存等级接口!$D$183),"")</f>
        <v/>
      </c>
      <c r="E183" s="63" t="str">
        <f aca="false">IFERROR(IF([1]库存等级接口!$E$183=0,"",[1]库存等级接口!$E$183),"")</f>
        <v/>
      </c>
      <c r="F183" s="64" t="str">
        <f aca="false">IFERROR(IF([1]库存等级接口!$F$183=0,"",[1]库存等级接口!$F$183),"")</f>
        <v/>
      </c>
      <c r="G183" s="65" t="str">
        <f aca="false">IFERROR(IF([1]库存等级接口!$G$183=0,"",[1]库存等级接口!$G$183),"")</f>
        <v/>
      </c>
      <c r="H183" s="62" t="str">
        <f aca="false">IFERROR(IF([1]库存等级接口!$H$183=0,"",[1]库存等级接口!$H$183),"")</f>
        <v/>
      </c>
      <c r="I183" s="61" t="n">
        <f aca="false">IF($B183="",0,1)</f>
        <v>0</v>
      </c>
      <c r="J183" s="61" t="n">
        <f aca="false">N(J182)+$I183</f>
        <v>56</v>
      </c>
    </row>
    <row r="184" customFormat="false" ht="15" hidden="false" customHeight="true" outlineLevel="0" collapsed="false">
      <c r="A184" s="61" t="n">
        <v>181</v>
      </c>
      <c r="B184" s="62" t="str">
        <f aca="false">IFERROR(IF([1]库存等级接口!$B$184=0,"",[1]库存等级接口!$B$184),"")</f>
        <v/>
      </c>
      <c r="C184" s="63" t="str">
        <f aca="false">IFERROR(IF([1]库存等级接口!$C$184=0,"",[1]库存等级接口!$C$184),"")</f>
        <v/>
      </c>
      <c r="D184" s="63" t="str">
        <f aca="false">IFERROR(IF([1]库存等级接口!$D$184=0,"",[1]库存等级接口!$D$184),"")</f>
        <v/>
      </c>
      <c r="E184" s="63" t="str">
        <f aca="false">IFERROR(IF([1]库存等级接口!$E$184=0,"",[1]库存等级接口!$E$184),"")</f>
        <v/>
      </c>
      <c r="F184" s="64" t="str">
        <f aca="false">IFERROR(IF([1]库存等级接口!$F$184=0,"",[1]库存等级接口!$F$184),"")</f>
        <v/>
      </c>
      <c r="G184" s="65" t="str">
        <f aca="false">IFERROR(IF([1]库存等级接口!$G$184=0,"",[1]库存等级接口!$G$184),"")</f>
        <v/>
      </c>
      <c r="H184" s="62" t="str">
        <f aca="false">IFERROR(IF([1]库存等级接口!$H$184=0,"",[1]库存等级接口!$H$184),"")</f>
        <v/>
      </c>
      <c r="I184" s="61" t="n">
        <f aca="false">IF($B184="",0,1)</f>
        <v>0</v>
      </c>
      <c r="J184" s="61" t="n">
        <f aca="false">N(J183)+$I184</f>
        <v>56</v>
      </c>
    </row>
    <row r="185" customFormat="false" ht="15" hidden="false" customHeight="true" outlineLevel="0" collapsed="false">
      <c r="A185" s="61" t="n">
        <v>182</v>
      </c>
      <c r="B185" s="62" t="str">
        <f aca="false">IFERROR(IF([1]库存等级接口!$B$185=0,"",[1]库存等级接口!$B$185),"")</f>
        <v/>
      </c>
      <c r="C185" s="63" t="str">
        <f aca="false">IFERROR(IF([1]库存等级接口!$C$185=0,"",[1]库存等级接口!$C$185),"")</f>
        <v/>
      </c>
      <c r="D185" s="63" t="str">
        <f aca="false">IFERROR(IF([1]库存等级接口!$D$185=0,"",[1]库存等级接口!$D$185),"")</f>
        <v/>
      </c>
      <c r="E185" s="63" t="str">
        <f aca="false">IFERROR(IF([1]库存等级接口!$E$185=0,"",[1]库存等级接口!$E$185),"")</f>
        <v/>
      </c>
      <c r="F185" s="64" t="str">
        <f aca="false">IFERROR(IF([1]库存等级接口!$F$185=0,"",[1]库存等级接口!$F$185),"")</f>
        <v/>
      </c>
      <c r="G185" s="65" t="str">
        <f aca="false">IFERROR(IF([1]库存等级接口!$G$185=0,"",[1]库存等级接口!$G$185),"")</f>
        <v/>
      </c>
      <c r="H185" s="62" t="str">
        <f aca="false">IFERROR(IF([1]库存等级接口!$H$185=0,"",[1]库存等级接口!$H$185),"")</f>
        <v/>
      </c>
      <c r="I185" s="61" t="n">
        <f aca="false">IF($B185="",0,1)</f>
        <v>0</v>
      </c>
      <c r="J185" s="61" t="n">
        <f aca="false">N(J184)+$I185</f>
        <v>56</v>
      </c>
    </row>
    <row r="186" customFormat="false" ht="15" hidden="false" customHeight="true" outlineLevel="0" collapsed="false">
      <c r="A186" s="61" t="n">
        <v>183</v>
      </c>
      <c r="B186" s="62" t="str">
        <f aca="false">IFERROR(IF([1]库存等级接口!$B$186=0,"",[1]库存等级接口!$B$186),"")</f>
        <v/>
      </c>
      <c r="C186" s="63" t="str">
        <f aca="false">IFERROR(IF([1]库存等级接口!$C$186=0,"",[1]库存等级接口!$C$186),"")</f>
        <v/>
      </c>
      <c r="D186" s="63" t="str">
        <f aca="false">IFERROR(IF([1]库存等级接口!$D$186=0,"",[1]库存等级接口!$D$186),"")</f>
        <v/>
      </c>
      <c r="E186" s="63" t="str">
        <f aca="false">IFERROR(IF([1]库存等级接口!$E$186=0,"",[1]库存等级接口!$E$186),"")</f>
        <v/>
      </c>
      <c r="F186" s="64" t="str">
        <f aca="false">IFERROR(IF([1]库存等级接口!$F$186=0,"",[1]库存等级接口!$F$186),"")</f>
        <v/>
      </c>
      <c r="G186" s="65" t="str">
        <f aca="false">IFERROR(IF([1]库存等级接口!$G$186=0,"",[1]库存等级接口!$G$186),"")</f>
        <v/>
      </c>
      <c r="H186" s="62" t="str">
        <f aca="false">IFERROR(IF([1]库存等级接口!$H$186=0,"",[1]库存等级接口!$H$186),"")</f>
        <v/>
      </c>
      <c r="I186" s="61" t="n">
        <f aca="false">IF($B186="",0,1)</f>
        <v>0</v>
      </c>
      <c r="J186" s="61" t="n">
        <f aca="false">N(J185)+$I186</f>
        <v>56</v>
      </c>
    </row>
    <row r="187" customFormat="false" ht="15" hidden="false" customHeight="true" outlineLevel="0" collapsed="false">
      <c r="A187" s="61" t="n">
        <v>184</v>
      </c>
      <c r="B187" s="62" t="str">
        <f aca="false">IFERROR(IF([1]库存等级接口!$B$187=0,"",[1]库存等级接口!$B$187),"")</f>
        <v/>
      </c>
      <c r="C187" s="63" t="str">
        <f aca="false">IFERROR(IF([1]库存等级接口!$C$187=0,"",[1]库存等级接口!$C$187),"")</f>
        <v/>
      </c>
      <c r="D187" s="63" t="str">
        <f aca="false">IFERROR(IF([1]库存等级接口!$D$187=0,"",[1]库存等级接口!$D$187),"")</f>
        <v/>
      </c>
      <c r="E187" s="63" t="str">
        <f aca="false">IFERROR(IF([1]库存等级接口!$E$187=0,"",[1]库存等级接口!$E$187),"")</f>
        <v/>
      </c>
      <c r="F187" s="64" t="str">
        <f aca="false">IFERROR(IF([1]库存等级接口!$F$187=0,"",[1]库存等级接口!$F$187),"")</f>
        <v/>
      </c>
      <c r="G187" s="65" t="str">
        <f aca="false">IFERROR(IF([1]库存等级接口!$G$187=0,"",[1]库存等级接口!$G$187),"")</f>
        <v/>
      </c>
      <c r="H187" s="62" t="str">
        <f aca="false">IFERROR(IF([1]库存等级接口!$H$187=0,"",[1]库存等级接口!$H$187),"")</f>
        <v/>
      </c>
      <c r="I187" s="61" t="n">
        <f aca="false">IF($B187="",0,1)</f>
        <v>0</v>
      </c>
      <c r="J187" s="61" t="n">
        <f aca="false">N(J186)+$I187</f>
        <v>56</v>
      </c>
    </row>
    <row r="188" customFormat="false" ht="15" hidden="false" customHeight="true" outlineLevel="0" collapsed="false">
      <c r="A188" s="61" t="n">
        <v>185</v>
      </c>
      <c r="B188" s="62" t="str">
        <f aca="false">IFERROR(IF([1]库存等级接口!$B$188=0,"",[1]库存等级接口!$B$188),"")</f>
        <v/>
      </c>
      <c r="C188" s="63" t="str">
        <f aca="false">IFERROR(IF([1]库存等级接口!$C$188=0,"",[1]库存等级接口!$C$188),"")</f>
        <v/>
      </c>
      <c r="D188" s="63" t="str">
        <f aca="false">IFERROR(IF([1]库存等级接口!$D$188=0,"",[1]库存等级接口!$D$188),"")</f>
        <v/>
      </c>
      <c r="E188" s="63" t="str">
        <f aca="false">IFERROR(IF([1]库存等级接口!$E$188=0,"",[1]库存等级接口!$E$188),"")</f>
        <v/>
      </c>
      <c r="F188" s="64" t="str">
        <f aca="false">IFERROR(IF([1]库存等级接口!$F$188=0,"",[1]库存等级接口!$F$188),"")</f>
        <v/>
      </c>
      <c r="G188" s="65" t="str">
        <f aca="false">IFERROR(IF([1]库存等级接口!$G$188=0,"",[1]库存等级接口!$G$188),"")</f>
        <v/>
      </c>
      <c r="H188" s="62" t="str">
        <f aca="false">IFERROR(IF([1]库存等级接口!$H$188=0,"",[1]库存等级接口!$H$188),"")</f>
        <v/>
      </c>
      <c r="I188" s="61" t="n">
        <f aca="false">IF($B188="",0,1)</f>
        <v>0</v>
      </c>
      <c r="J188" s="61" t="n">
        <f aca="false">N(J187)+$I188</f>
        <v>56</v>
      </c>
    </row>
    <row r="189" customFormat="false" ht="15" hidden="false" customHeight="true" outlineLevel="0" collapsed="false">
      <c r="A189" s="61" t="n">
        <v>186</v>
      </c>
      <c r="B189" s="62" t="str">
        <f aca="false">IFERROR(IF([1]库存等级接口!$B$189=0,"",[1]库存等级接口!$B$189),"")</f>
        <v/>
      </c>
      <c r="C189" s="63" t="str">
        <f aca="false">IFERROR(IF([1]库存等级接口!$C$189=0,"",[1]库存等级接口!$C$189),"")</f>
        <v/>
      </c>
      <c r="D189" s="63" t="str">
        <f aca="false">IFERROR(IF([1]库存等级接口!$D$189=0,"",[1]库存等级接口!$D$189),"")</f>
        <v/>
      </c>
      <c r="E189" s="63" t="str">
        <f aca="false">IFERROR(IF([1]库存等级接口!$E$189=0,"",[1]库存等级接口!$E$189),"")</f>
        <v/>
      </c>
      <c r="F189" s="64" t="str">
        <f aca="false">IFERROR(IF([1]库存等级接口!$F$189=0,"",[1]库存等级接口!$F$189),"")</f>
        <v/>
      </c>
      <c r="G189" s="65" t="str">
        <f aca="false">IFERROR(IF([1]库存等级接口!$G$189=0,"",[1]库存等级接口!$G$189),"")</f>
        <v/>
      </c>
      <c r="H189" s="62" t="str">
        <f aca="false">IFERROR(IF([1]库存等级接口!$H$189=0,"",[1]库存等级接口!$H$189),"")</f>
        <v/>
      </c>
      <c r="I189" s="61" t="n">
        <f aca="false">IF($B189="",0,1)</f>
        <v>0</v>
      </c>
      <c r="J189" s="61" t="n">
        <f aca="false">N(J188)+$I189</f>
        <v>56</v>
      </c>
    </row>
    <row r="190" customFormat="false" ht="15" hidden="false" customHeight="true" outlineLevel="0" collapsed="false">
      <c r="A190" s="61" t="n">
        <v>187</v>
      </c>
      <c r="B190" s="62" t="str">
        <f aca="false">IFERROR(IF([1]库存等级接口!$B$190=0,"",[1]库存等级接口!$B$190),"")</f>
        <v/>
      </c>
      <c r="C190" s="63" t="str">
        <f aca="false">IFERROR(IF([1]库存等级接口!$C$190=0,"",[1]库存等级接口!$C$190),"")</f>
        <v/>
      </c>
      <c r="D190" s="63" t="str">
        <f aca="false">IFERROR(IF([1]库存等级接口!$D$190=0,"",[1]库存等级接口!$D$190),"")</f>
        <v/>
      </c>
      <c r="E190" s="63" t="str">
        <f aca="false">IFERROR(IF([1]库存等级接口!$E$190=0,"",[1]库存等级接口!$E$190),"")</f>
        <v/>
      </c>
      <c r="F190" s="64" t="str">
        <f aca="false">IFERROR(IF([1]库存等级接口!$F$190=0,"",[1]库存等级接口!$F$190),"")</f>
        <v/>
      </c>
      <c r="G190" s="65" t="str">
        <f aca="false">IFERROR(IF([1]库存等级接口!$G$190=0,"",[1]库存等级接口!$G$190),"")</f>
        <v/>
      </c>
      <c r="H190" s="62" t="str">
        <f aca="false">IFERROR(IF([1]库存等级接口!$H$190=0,"",[1]库存等级接口!$H$190),"")</f>
        <v/>
      </c>
      <c r="I190" s="61" t="n">
        <f aca="false">IF($B190="",0,1)</f>
        <v>0</v>
      </c>
      <c r="J190" s="61" t="n">
        <f aca="false">N(J189)+$I190</f>
        <v>56</v>
      </c>
    </row>
    <row r="191" customFormat="false" ht="15" hidden="false" customHeight="true" outlineLevel="0" collapsed="false">
      <c r="A191" s="61" t="n">
        <v>188</v>
      </c>
      <c r="B191" s="62" t="str">
        <f aca="false">IFERROR(IF([1]库存等级接口!$B$191=0,"",[1]库存等级接口!$B$191),"")</f>
        <v/>
      </c>
      <c r="C191" s="63" t="str">
        <f aca="false">IFERROR(IF([1]库存等级接口!$C$191=0,"",[1]库存等级接口!$C$191),"")</f>
        <v/>
      </c>
      <c r="D191" s="63" t="str">
        <f aca="false">IFERROR(IF([1]库存等级接口!$D$191=0,"",[1]库存等级接口!$D$191),"")</f>
        <v/>
      </c>
      <c r="E191" s="63" t="str">
        <f aca="false">IFERROR(IF([1]库存等级接口!$E$191=0,"",[1]库存等级接口!$E$191),"")</f>
        <v/>
      </c>
      <c r="F191" s="64" t="str">
        <f aca="false">IFERROR(IF([1]库存等级接口!$F$191=0,"",[1]库存等级接口!$F$191),"")</f>
        <v/>
      </c>
      <c r="G191" s="65" t="str">
        <f aca="false">IFERROR(IF([1]库存等级接口!$G$191=0,"",[1]库存等级接口!$G$191),"")</f>
        <v/>
      </c>
      <c r="H191" s="62" t="str">
        <f aca="false">IFERROR(IF([1]库存等级接口!$H$191=0,"",[1]库存等级接口!$H$191),"")</f>
        <v/>
      </c>
      <c r="I191" s="61" t="n">
        <f aca="false">IF($B191="",0,1)</f>
        <v>0</v>
      </c>
      <c r="J191" s="61" t="n">
        <f aca="false">N(J190)+$I191</f>
        <v>56</v>
      </c>
    </row>
    <row r="192" customFormat="false" ht="15" hidden="false" customHeight="true" outlineLevel="0" collapsed="false">
      <c r="A192" s="61" t="n">
        <v>189</v>
      </c>
      <c r="B192" s="62" t="str">
        <f aca="false">IFERROR(IF([1]库存等级接口!$B$192=0,"",[1]库存等级接口!$B$192),"")</f>
        <v/>
      </c>
      <c r="C192" s="63" t="str">
        <f aca="false">IFERROR(IF([1]库存等级接口!$C$192=0,"",[1]库存等级接口!$C$192),"")</f>
        <v/>
      </c>
      <c r="D192" s="63" t="str">
        <f aca="false">IFERROR(IF([1]库存等级接口!$D$192=0,"",[1]库存等级接口!$D$192),"")</f>
        <v/>
      </c>
      <c r="E192" s="63" t="str">
        <f aca="false">IFERROR(IF([1]库存等级接口!$E$192=0,"",[1]库存等级接口!$E$192),"")</f>
        <v/>
      </c>
      <c r="F192" s="64" t="str">
        <f aca="false">IFERROR(IF([1]库存等级接口!$F$192=0,"",[1]库存等级接口!$F$192),"")</f>
        <v/>
      </c>
      <c r="G192" s="65" t="str">
        <f aca="false">IFERROR(IF([1]库存等级接口!$G$192=0,"",[1]库存等级接口!$G$192),"")</f>
        <v/>
      </c>
      <c r="H192" s="62" t="str">
        <f aca="false">IFERROR(IF([1]库存等级接口!$H$192=0,"",[1]库存等级接口!$H$192),"")</f>
        <v/>
      </c>
      <c r="I192" s="61" t="n">
        <f aca="false">IF($B192="",0,1)</f>
        <v>0</v>
      </c>
      <c r="J192" s="61" t="n">
        <f aca="false">N(J191)+$I192</f>
        <v>56</v>
      </c>
    </row>
    <row r="193" customFormat="false" ht="15" hidden="false" customHeight="true" outlineLevel="0" collapsed="false">
      <c r="A193" s="61" t="n">
        <v>190</v>
      </c>
      <c r="B193" s="62" t="str">
        <f aca="false">IFERROR(IF([1]库存等级接口!$B$193=0,"",[1]库存等级接口!$B$193),"")</f>
        <v/>
      </c>
      <c r="C193" s="63" t="str">
        <f aca="false">IFERROR(IF([1]库存等级接口!$C$193=0,"",[1]库存等级接口!$C$193),"")</f>
        <v/>
      </c>
      <c r="D193" s="63" t="str">
        <f aca="false">IFERROR(IF([1]库存等级接口!$D$193=0,"",[1]库存等级接口!$D$193),"")</f>
        <v/>
      </c>
      <c r="E193" s="63" t="str">
        <f aca="false">IFERROR(IF([1]库存等级接口!$E$193=0,"",[1]库存等级接口!$E$193),"")</f>
        <v/>
      </c>
      <c r="F193" s="64" t="str">
        <f aca="false">IFERROR(IF([1]库存等级接口!$F$193=0,"",[1]库存等级接口!$F$193),"")</f>
        <v/>
      </c>
      <c r="G193" s="65" t="str">
        <f aca="false">IFERROR(IF([1]库存等级接口!$G$193=0,"",[1]库存等级接口!$G$193),"")</f>
        <v/>
      </c>
      <c r="H193" s="62" t="str">
        <f aca="false">IFERROR(IF([1]库存等级接口!$H$193=0,"",[1]库存等级接口!$H$193),"")</f>
        <v/>
      </c>
      <c r="I193" s="61" t="n">
        <f aca="false">IF($B193="",0,1)</f>
        <v>0</v>
      </c>
      <c r="J193" s="61" t="n">
        <f aca="false">N(J192)+$I193</f>
        <v>56</v>
      </c>
    </row>
    <row r="194" customFormat="false" ht="15" hidden="false" customHeight="true" outlineLevel="0" collapsed="false">
      <c r="A194" s="61" t="n">
        <v>191</v>
      </c>
      <c r="B194" s="62" t="str">
        <f aca="false">IFERROR(IF([1]库存等级接口!$B$194=0,"",[1]库存等级接口!$B$194),"")</f>
        <v/>
      </c>
      <c r="C194" s="63" t="str">
        <f aca="false">IFERROR(IF([1]库存等级接口!$C$194=0,"",[1]库存等级接口!$C$194),"")</f>
        <v/>
      </c>
      <c r="D194" s="63" t="str">
        <f aca="false">IFERROR(IF([1]库存等级接口!$D$194=0,"",[1]库存等级接口!$D$194),"")</f>
        <v/>
      </c>
      <c r="E194" s="63" t="str">
        <f aca="false">IFERROR(IF([1]库存等级接口!$E$194=0,"",[1]库存等级接口!$E$194),"")</f>
        <v/>
      </c>
      <c r="F194" s="64" t="str">
        <f aca="false">IFERROR(IF([1]库存等级接口!$F$194=0,"",[1]库存等级接口!$F$194),"")</f>
        <v/>
      </c>
      <c r="G194" s="65" t="str">
        <f aca="false">IFERROR(IF([1]库存等级接口!$G$194=0,"",[1]库存等级接口!$G$194),"")</f>
        <v/>
      </c>
      <c r="H194" s="62" t="str">
        <f aca="false">IFERROR(IF([1]库存等级接口!$H$194=0,"",[1]库存等级接口!$H$194),"")</f>
        <v/>
      </c>
      <c r="I194" s="61" t="n">
        <f aca="false">IF($B194="",0,1)</f>
        <v>0</v>
      </c>
      <c r="J194" s="61" t="n">
        <f aca="false">N(J193)+$I194</f>
        <v>56</v>
      </c>
    </row>
    <row r="195" customFormat="false" ht="15" hidden="false" customHeight="true" outlineLevel="0" collapsed="false">
      <c r="A195" s="61" t="n">
        <v>192</v>
      </c>
      <c r="B195" s="62" t="str">
        <f aca="false">IFERROR(IF([1]库存等级接口!$B$195=0,"",[1]库存等级接口!$B$195),"")</f>
        <v/>
      </c>
      <c r="C195" s="63" t="str">
        <f aca="false">IFERROR(IF([1]库存等级接口!$C$195=0,"",[1]库存等级接口!$C$195),"")</f>
        <v/>
      </c>
      <c r="D195" s="63" t="str">
        <f aca="false">IFERROR(IF([1]库存等级接口!$D$195=0,"",[1]库存等级接口!$D$195),"")</f>
        <v/>
      </c>
      <c r="E195" s="63" t="str">
        <f aca="false">IFERROR(IF([1]库存等级接口!$E$195=0,"",[1]库存等级接口!$E$195),"")</f>
        <v/>
      </c>
      <c r="F195" s="64" t="str">
        <f aca="false">IFERROR(IF([1]库存等级接口!$F$195=0,"",[1]库存等级接口!$F$195),"")</f>
        <v/>
      </c>
      <c r="G195" s="65" t="str">
        <f aca="false">IFERROR(IF([1]库存等级接口!$G$195=0,"",[1]库存等级接口!$G$195),"")</f>
        <v/>
      </c>
      <c r="H195" s="62" t="str">
        <f aca="false">IFERROR(IF([1]库存等级接口!$H$195=0,"",[1]库存等级接口!$H$195),"")</f>
        <v/>
      </c>
      <c r="I195" s="61" t="n">
        <f aca="false">IF($B195="",0,1)</f>
        <v>0</v>
      </c>
      <c r="J195" s="61" t="n">
        <f aca="false">N(J194)+$I195</f>
        <v>56</v>
      </c>
    </row>
    <row r="196" customFormat="false" ht="15" hidden="false" customHeight="true" outlineLevel="0" collapsed="false">
      <c r="A196" s="61" t="n">
        <v>193</v>
      </c>
      <c r="B196" s="62" t="str">
        <f aca="false">IFERROR(IF([1]库存等级接口!$B$196=0,"",[1]库存等级接口!$B$196),"")</f>
        <v/>
      </c>
      <c r="C196" s="63" t="str">
        <f aca="false">IFERROR(IF([1]库存等级接口!$C$196=0,"",[1]库存等级接口!$C$196),"")</f>
        <v/>
      </c>
      <c r="D196" s="63" t="str">
        <f aca="false">IFERROR(IF([1]库存等级接口!$D$196=0,"",[1]库存等级接口!$D$196),"")</f>
        <v/>
      </c>
      <c r="E196" s="63" t="str">
        <f aca="false">IFERROR(IF([1]库存等级接口!$E$196=0,"",[1]库存等级接口!$E$196),"")</f>
        <v/>
      </c>
      <c r="F196" s="64" t="str">
        <f aca="false">IFERROR(IF([1]库存等级接口!$F$196=0,"",[1]库存等级接口!$F$196),"")</f>
        <v/>
      </c>
      <c r="G196" s="65" t="str">
        <f aca="false">IFERROR(IF([1]库存等级接口!$G$196=0,"",[1]库存等级接口!$G$196),"")</f>
        <v/>
      </c>
      <c r="H196" s="62" t="str">
        <f aca="false">IFERROR(IF([1]库存等级接口!$H$196=0,"",[1]库存等级接口!$H$196),"")</f>
        <v/>
      </c>
      <c r="I196" s="61" t="n">
        <f aca="false">IF($B196="",0,1)</f>
        <v>0</v>
      </c>
      <c r="J196" s="61" t="n">
        <f aca="false">N(J195)+$I196</f>
        <v>56</v>
      </c>
    </row>
    <row r="197" customFormat="false" ht="15" hidden="false" customHeight="true" outlineLevel="0" collapsed="false">
      <c r="A197" s="61" t="n">
        <v>194</v>
      </c>
      <c r="B197" s="62" t="str">
        <f aca="false">IFERROR(IF([1]库存等级接口!$B$197=0,"",[1]库存等级接口!$B$197),"")</f>
        <v/>
      </c>
      <c r="C197" s="63" t="str">
        <f aca="false">IFERROR(IF([1]库存等级接口!$C$197=0,"",[1]库存等级接口!$C$197),"")</f>
        <v/>
      </c>
      <c r="D197" s="63" t="str">
        <f aca="false">IFERROR(IF([1]库存等级接口!$D$197=0,"",[1]库存等级接口!$D$197),"")</f>
        <v/>
      </c>
      <c r="E197" s="63" t="str">
        <f aca="false">IFERROR(IF([1]库存等级接口!$E$197=0,"",[1]库存等级接口!$E$197),"")</f>
        <v/>
      </c>
      <c r="F197" s="64" t="str">
        <f aca="false">IFERROR(IF([1]库存等级接口!$F$197=0,"",[1]库存等级接口!$F$197),"")</f>
        <v/>
      </c>
      <c r="G197" s="65" t="str">
        <f aca="false">IFERROR(IF([1]库存等级接口!$G$197=0,"",[1]库存等级接口!$G$197),"")</f>
        <v/>
      </c>
      <c r="H197" s="62" t="str">
        <f aca="false">IFERROR(IF([1]库存等级接口!$H$197=0,"",[1]库存等级接口!$H$197),"")</f>
        <v/>
      </c>
      <c r="I197" s="61" t="n">
        <f aca="false">IF($B197="",0,1)</f>
        <v>0</v>
      </c>
      <c r="J197" s="61" t="n">
        <f aca="false">N(J196)+$I197</f>
        <v>56</v>
      </c>
    </row>
    <row r="198" customFormat="false" ht="15" hidden="false" customHeight="true" outlineLevel="0" collapsed="false">
      <c r="A198" s="61" t="n">
        <v>195</v>
      </c>
      <c r="B198" s="62" t="str">
        <f aca="false">IFERROR(IF([1]库存等级接口!$B$198=0,"",[1]库存等级接口!$B$198),"")</f>
        <v/>
      </c>
      <c r="C198" s="63" t="str">
        <f aca="false">IFERROR(IF([1]库存等级接口!$C$198=0,"",[1]库存等级接口!$C$198),"")</f>
        <v/>
      </c>
      <c r="D198" s="63" t="str">
        <f aca="false">IFERROR(IF([1]库存等级接口!$D$198=0,"",[1]库存等级接口!$D$198),"")</f>
        <v/>
      </c>
      <c r="E198" s="63" t="str">
        <f aca="false">IFERROR(IF([1]库存等级接口!$E$198=0,"",[1]库存等级接口!$E$198),"")</f>
        <v/>
      </c>
      <c r="F198" s="64" t="str">
        <f aca="false">IFERROR(IF([1]库存等级接口!$F$198=0,"",[1]库存等级接口!$F$198),"")</f>
        <v/>
      </c>
      <c r="G198" s="65" t="str">
        <f aca="false">IFERROR(IF([1]库存等级接口!$G$198=0,"",[1]库存等级接口!$G$198),"")</f>
        <v/>
      </c>
      <c r="H198" s="62" t="str">
        <f aca="false">IFERROR(IF([1]库存等级接口!$H$198=0,"",[1]库存等级接口!$H$198),"")</f>
        <v/>
      </c>
      <c r="I198" s="61" t="n">
        <f aca="false">IF($B198="",0,1)</f>
        <v>0</v>
      </c>
      <c r="J198" s="61" t="n">
        <f aca="false">N(J197)+$I198</f>
        <v>56</v>
      </c>
    </row>
    <row r="199" customFormat="false" ht="15" hidden="false" customHeight="true" outlineLevel="0" collapsed="false">
      <c r="A199" s="61" t="n">
        <v>196</v>
      </c>
      <c r="B199" s="62" t="str">
        <f aca="false">IFERROR(IF([1]库存等级接口!$B$199=0,"",[1]库存等级接口!$B$199),"")</f>
        <v/>
      </c>
      <c r="C199" s="63" t="str">
        <f aca="false">IFERROR(IF([1]库存等级接口!$C$199=0,"",[1]库存等级接口!$C$199),"")</f>
        <v/>
      </c>
      <c r="D199" s="63" t="str">
        <f aca="false">IFERROR(IF([1]库存等级接口!$D$199=0,"",[1]库存等级接口!$D$199),"")</f>
        <v/>
      </c>
      <c r="E199" s="63" t="str">
        <f aca="false">IFERROR(IF([1]库存等级接口!$E$199=0,"",[1]库存等级接口!$E$199),"")</f>
        <v/>
      </c>
      <c r="F199" s="64" t="str">
        <f aca="false">IFERROR(IF([1]库存等级接口!$F$199=0,"",[1]库存等级接口!$F$199),"")</f>
        <v/>
      </c>
      <c r="G199" s="65" t="str">
        <f aca="false">IFERROR(IF([1]库存等级接口!$G$199=0,"",[1]库存等级接口!$G$199),"")</f>
        <v/>
      </c>
      <c r="H199" s="62" t="str">
        <f aca="false">IFERROR(IF([1]库存等级接口!$H$199=0,"",[1]库存等级接口!$H$199),"")</f>
        <v/>
      </c>
      <c r="I199" s="61" t="n">
        <f aca="false">IF($B199="",0,1)</f>
        <v>0</v>
      </c>
      <c r="J199" s="61" t="n">
        <f aca="false">N(J198)+$I199</f>
        <v>56</v>
      </c>
    </row>
    <row r="200" customFormat="false" ht="15" hidden="false" customHeight="true" outlineLevel="0" collapsed="false">
      <c r="A200" s="61" t="n">
        <v>197</v>
      </c>
      <c r="B200" s="62" t="str">
        <f aca="false">IFERROR(IF([1]库存等级接口!$B$200=0,"",[1]库存等级接口!$B$200),"")</f>
        <v/>
      </c>
      <c r="C200" s="63" t="str">
        <f aca="false">IFERROR(IF([1]库存等级接口!$C$200=0,"",[1]库存等级接口!$C$200),"")</f>
        <v/>
      </c>
      <c r="D200" s="63" t="str">
        <f aca="false">IFERROR(IF([1]库存等级接口!$D$200=0,"",[1]库存等级接口!$D$200),"")</f>
        <v/>
      </c>
      <c r="E200" s="63" t="str">
        <f aca="false">IFERROR(IF([1]库存等级接口!$E$200=0,"",[1]库存等级接口!$E$200),"")</f>
        <v/>
      </c>
      <c r="F200" s="64" t="str">
        <f aca="false">IFERROR(IF([1]库存等级接口!$F$200=0,"",[1]库存等级接口!$F$200),"")</f>
        <v/>
      </c>
      <c r="G200" s="65" t="str">
        <f aca="false">IFERROR(IF([1]库存等级接口!$G$200=0,"",[1]库存等级接口!$G$200),"")</f>
        <v/>
      </c>
      <c r="H200" s="62" t="str">
        <f aca="false">IFERROR(IF([1]库存等级接口!$H$200=0,"",[1]库存等级接口!$H$200),"")</f>
        <v/>
      </c>
      <c r="I200" s="61" t="n">
        <f aca="false">IF($B200="",0,1)</f>
        <v>0</v>
      </c>
      <c r="J200" s="61" t="n">
        <f aca="false">N(J199)+$I200</f>
        <v>56</v>
      </c>
    </row>
    <row r="201" customFormat="false" ht="15" hidden="false" customHeight="true" outlineLevel="0" collapsed="false">
      <c r="A201" s="61" t="n">
        <v>198</v>
      </c>
      <c r="B201" s="62" t="str">
        <f aca="false">IFERROR(IF([1]库存等级接口!$B$201=0,"",[1]库存等级接口!$B$201),"")</f>
        <v/>
      </c>
      <c r="C201" s="63" t="str">
        <f aca="false">IFERROR(IF([1]库存等级接口!$C$201=0,"",[1]库存等级接口!$C$201),"")</f>
        <v/>
      </c>
      <c r="D201" s="63" t="str">
        <f aca="false">IFERROR(IF([1]库存等级接口!$D$201=0,"",[1]库存等级接口!$D$201),"")</f>
        <v/>
      </c>
      <c r="E201" s="63" t="str">
        <f aca="false">IFERROR(IF([1]库存等级接口!$E$201=0,"",[1]库存等级接口!$E$201),"")</f>
        <v/>
      </c>
      <c r="F201" s="64" t="str">
        <f aca="false">IFERROR(IF([1]库存等级接口!$F$201=0,"",[1]库存等级接口!$F$201),"")</f>
        <v/>
      </c>
      <c r="G201" s="65" t="str">
        <f aca="false">IFERROR(IF([1]库存等级接口!$G$201=0,"",[1]库存等级接口!$G$201),"")</f>
        <v/>
      </c>
      <c r="H201" s="62" t="str">
        <f aca="false">IFERROR(IF([1]库存等级接口!$H$201=0,"",[1]库存等级接口!$H$201),"")</f>
        <v/>
      </c>
      <c r="I201" s="61" t="n">
        <f aca="false">IF($B201="",0,1)</f>
        <v>0</v>
      </c>
      <c r="J201" s="61" t="n">
        <f aca="false">N(J200)+$I201</f>
        <v>56</v>
      </c>
    </row>
    <row r="202" customFormat="false" ht="15" hidden="false" customHeight="true" outlineLevel="0" collapsed="false">
      <c r="A202" s="61" t="n">
        <v>199</v>
      </c>
      <c r="B202" s="62" t="str">
        <f aca="false">IFERROR(IF([1]库存等级接口!$B$202=0,"",[1]库存等级接口!$B$202),"")</f>
        <v/>
      </c>
      <c r="C202" s="63" t="str">
        <f aca="false">IFERROR(IF([1]库存等级接口!$C$202=0,"",[1]库存等级接口!$C$202),"")</f>
        <v/>
      </c>
      <c r="D202" s="63" t="str">
        <f aca="false">IFERROR(IF([1]库存等级接口!$D$202=0,"",[1]库存等级接口!$D$202),"")</f>
        <v/>
      </c>
      <c r="E202" s="63" t="str">
        <f aca="false">IFERROR(IF([1]库存等级接口!$E$202=0,"",[1]库存等级接口!$E$202),"")</f>
        <v/>
      </c>
      <c r="F202" s="64" t="str">
        <f aca="false">IFERROR(IF([1]库存等级接口!$F$202=0,"",[1]库存等级接口!$F$202),"")</f>
        <v/>
      </c>
      <c r="G202" s="65" t="str">
        <f aca="false">IFERROR(IF([1]库存等级接口!$G$202=0,"",[1]库存等级接口!$G$202),"")</f>
        <v/>
      </c>
      <c r="H202" s="62" t="str">
        <f aca="false">IFERROR(IF([1]库存等级接口!$H$202=0,"",[1]库存等级接口!$H$202),"")</f>
        <v/>
      </c>
      <c r="I202" s="61" t="n">
        <f aca="false">IF($B202="",0,1)</f>
        <v>0</v>
      </c>
      <c r="J202" s="61" t="n">
        <f aca="false">N(J201)+$I202</f>
        <v>56</v>
      </c>
    </row>
    <row r="203" customFormat="false" ht="15" hidden="false" customHeight="true" outlineLevel="0" collapsed="false">
      <c r="A203" s="61" t="n">
        <v>200</v>
      </c>
      <c r="B203" s="62" t="str">
        <f aca="false">IFERROR(IF([1]库存等级接口!$B$203=0,"",[1]库存等级接口!$B$203),"")</f>
        <v/>
      </c>
      <c r="C203" s="63" t="str">
        <f aca="false">IFERROR(IF([1]库存等级接口!$C$203=0,"",[1]库存等级接口!$C$203),"")</f>
        <v/>
      </c>
      <c r="D203" s="63" t="str">
        <f aca="false">IFERROR(IF([1]库存等级接口!$D$203=0,"",[1]库存等级接口!$D$203),"")</f>
        <v/>
      </c>
      <c r="E203" s="63" t="str">
        <f aca="false">IFERROR(IF([1]库存等级接口!$E$203=0,"",[1]库存等级接口!$E$203),"")</f>
        <v/>
      </c>
      <c r="F203" s="64" t="str">
        <f aca="false">IFERROR(IF([1]库存等级接口!$F$203=0,"",[1]库存等级接口!$F$203),"")</f>
        <v/>
      </c>
      <c r="G203" s="65" t="str">
        <f aca="false">IFERROR(IF([1]库存等级接口!$G$203=0,"",[1]库存等级接口!$G$203),"")</f>
        <v/>
      </c>
      <c r="H203" s="62" t="str">
        <f aca="false">IFERROR(IF([1]库存等级接口!$H$203=0,"",[1]库存等级接口!$H$203),"")</f>
        <v/>
      </c>
      <c r="I203" s="61" t="n">
        <f aca="false">IF($B203="",0,1)</f>
        <v>0</v>
      </c>
      <c r="J203" s="61" t="n">
        <f aca="false">N(J202)+$I203</f>
        <v>56</v>
      </c>
    </row>
    <row r="204" customFormat="false" ht="15" hidden="false" customHeight="true" outlineLevel="0" collapsed="false">
      <c r="A204" s="61" t="n">
        <v>201</v>
      </c>
      <c r="B204" s="62" t="str">
        <f aca="false">IFERROR(IF([1]库存等级接口!$B$204=0,"",[1]库存等级接口!$B$204),"")</f>
        <v/>
      </c>
      <c r="C204" s="63" t="str">
        <f aca="false">IFERROR(IF([1]库存等级接口!$C$204=0,"",[1]库存等级接口!$C$204),"")</f>
        <v/>
      </c>
      <c r="D204" s="63" t="str">
        <f aca="false">IFERROR(IF([1]库存等级接口!$D$204=0,"",[1]库存等级接口!$D$204),"")</f>
        <v/>
      </c>
      <c r="E204" s="63" t="str">
        <f aca="false">IFERROR(IF([1]库存等级接口!$E$204=0,"",[1]库存等级接口!$E$204),"")</f>
        <v/>
      </c>
      <c r="F204" s="64" t="str">
        <f aca="false">IFERROR(IF([1]库存等级接口!$F$204=0,"",[1]库存等级接口!$F$204),"")</f>
        <v/>
      </c>
      <c r="G204" s="65" t="str">
        <f aca="false">IFERROR(IF([1]库存等级接口!$G$204=0,"",[1]库存等级接口!$G$204),"")</f>
        <v/>
      </c>
      <c r="H204" s="62" t="str">
        <f aca="false">IFERROR(IF([1]库存等级接口!$H$204=0,"",[1]库存等级接口!$H$204),"")</f>
        <v/>
      </c>
      <c r="I204" s="61" t="n">
        <f aca="false">IF($B204="",0,1)</f>
        <v>0</v>
      </c>
      <c r="J204" s="61" t="n">
        <f aca="false">N(J203)+$I204</f>
        <v>56</v>
      </c>
    </row>
    <row r="205" customFormat="false" ht="15" hidden="false" customHeight="true" outlineLevel="0" collapsed="false">
      <c r="A205" s="61" t="n">
        <v>202</v>
      </c>
      <c r="B205" s="62" t="str">
        <f aca="false">IFERROR(IF([1]库存等级接口!$B$205=0,"",[1]库存等级接口!$B$205),"")</f>
        <v/>
      </c>
      <c r="C205" s="63" t="str">
        <f aca="false">IFERROR(IF([1]库存等级接口!$C$205=0,"",[1]库存等级接口!$C$205),"")</f>
        <v/>
      </c>
      <c r="D205" s="63" t="str">
        <f aca="false">IFERROR(IF([1]库存等级接口!$D$205=0,"",[1]库存等级接口!$D$205),"")</f>
        <v/>
      </c>
      <c r="E205" s="63" t="str">
        <f aca="false">IFERROR(IF([1]库存等级接口!$E$205=0,"",[1]库存等级接口!$E$205),"")</f>
        <v/>
      </c>
      <c r="F205" s="64" t="str">
        <f aca="false">IFERROR(IF([1]库存等级接口!$F$205=0,"",[1]库存等级接口!$F$205),"")</f>
        <v/>
      </c>
      <c r="G205" s="65" t="str">
        <f aca="false">IFERROR(IF([1]库存等级接口!$G$205=0,"",[1]库存等级接口!$G$205),"")</f>
        <v/>
      </c>
      <c r="H205" s="62" t="str">
        <f aca="false">IFERROR(IF([1]库存等级接口!$H$205=0,"",[1]库存等级接口!$H$205),"")</f>
        <v/>
      </c>
      <c r="I205" s="61" t="n">
        <f aca="false">IF($B205="",0,1)</f>
        <v>0</v>
      </c>
      <c r="J205" s="61" t="n">
        <f aca="false">N(J204)+$I205</f>
        <v>56</v>
      </c>
    </row>
    <row r="206" customFormat="false" ht="15" hidden="false" customHeight="true" outlineLevel="0" collapsed="false">
      <c r="A206" s="61" t="n">
        <v>203</v>
      </c>
      <c r="B206" s="62" t="str">
        <f aca="false">IFERROR(IF([1]库存等级接口!$B$206=0,"",[1]库存等级接口!$B$206),"")</f>
        <v/>
      </c>
      <c r="C206" s="63" t="str">
        <f aca="false">IFERROR(IF([1]库存等级接口!$C$206=0,"",[1]库存等级接口!$C$206),"")</f>
        <v/>
      </c>
      <c r="D206" s="63" t="str">
        <f aca="false">IFERROR(IF([1]库存等级接口!$D$206=0,"",[1]库存等级接口!$D$206),"")</f>
        <v/>
      </c>
      <c r="E206" s="63" t="str">
        <f aca="false">IFERROR(IF([1]库存等级接口!$E$206=0,"",[1]库存等级接口!$E$206),"")</f>
        <v/>
      </c>
      <c r="F206" s="64" t="str">
        <f aca="false">IFERROR(IF([1]库存等级接口!$F$206=0,"",[1]库存等级接口!$F$206),"")</f>
        <v/>
      </c>
      <c r="G206" s="65" t="str">
        <f aca="false">IFERROR(IF([1]库存等级接口!$G$206=0,"",[1]库存等级接口!$G$206),"")</f>
        <v/>
      </c>
      <c r="H206" s="62" t="str">
        <f aca="false">IFERROR(IF([1]库存等级接口!$H$206=0,"",[1]库存等级接口!$H$206),"")</f>
        <v/>
      </c>
      <c r="I206" s="61" t="n">
        <f aca="false">IF($B206="",0,1)</f>
        <v>0</v>
      </c>
      <c r="J206" s="61" t="n">
        <f aca="false">N(J205)+$I206</f>
        <v>56</v>
      </c>
    </row>
    <row r="207" customFormat="false" ht="15" hidden="false" customHeight="true" outlineLevel="0" collapsed="false">
      <c r="A207" s="61" t="n">
        <v>204</v>
      </c>
      <c r="B207" s="62" t="str">
        <f aca="false">IFERROR(IF([1]库存等级接口!$B$207=0,"",[1]库存等级接口!$B$207),"")</f>
        <v/>
      </c>
      <c r="C207" s="63" t="str">
        <f aca="false">IFERROR(IF([1]库存等级接口!$C$207=0,"",[1]库存等级接口!$C$207),"")</f>
        <v/>
      </c>
      <c r="D207" s="63" t="str">
        <f aca="false">IFERROR(IF([1]库存等级接口!$D$207=0,"",[1]库存等级接口!$D$207),"")</f>
        <v/>
      </c>
      <c r="E207" s="63" t="str">
        <f aca="false">IFERROR(IF([1]库存等级接口!$E$207=0,"",[1]库存等级接口!$E$207),"")</f>
        <v/>
      </c>
      <c r="F207" s="64" t="str">
        <f aca="false">IFERROR(IF([1]库存等级接口!$F$207=0,"",[1]库存等级接口!$F$207),"")</f>
        <v/>
      </c>
      <c r="G207" s="65" t="str">
        <f aca="false">IFERROR(IF([1]库存等级接口!$G$207=0,"",[1]库存等级接口!$G$207),"")</f>
        <v/>
      </c>
      <c r="H207" s="62" t="str">
        <f aca="false">IFERROR(IF([1]库存等级接口!$H$207=0,"",[1]库存等级接口!$H$207),"")</f>
        <v/>
      </c>
      <c r="I207" s="61" t="n">
        <f aca="false">IF($B207="",0,1)</f>
        <v>0</v>
      </c>
      <c r="J207" s="61" t="n">
        <f aca="false">N(J206)+$I207</f>
        <v>56</v>
      </c>
    </row>
    <row r="208" customFormat="false" ht="15" hidden="false" customHeight="true" outlineLevel="0" collapsed="false">
      <c r="A208" s="61" t="n">
        <v>205</v>
      </c>
      <c r="B208" s="62" t="str">
        <f aca="false">IFERROR(IF([1]库存等级接口!$B$208=0,"",[1]库存等级接口!$B$208),"")</f>
        <v/>
      </c>
      <c r="C208" s="63" t="str">
        <f aca="false">IFERROR(IF([1]库存等级接口!$C$208=0,"",[1]库存等级接口!$C$208),"")</f>
        <v/>
      </c>
      <c r="D208" s="63" t="str">
        <f aca="false">IFERROR(IF([1]库存等级接口!$D$208=0,"",[1]库存等级接口!$D$208),"")</f>
        <v/>
      </c>
      <c r="E208" s="63" t="str">
        <f aca="false">IFERROR(IF([1]库存等级接口!$E$208=0,"",[1]库存等级接口!$E$208),"")</f>
        <v/>
      </c>
      <c r="F208" s="64" t="str">
        <f aca="false">IFERROR(IF([1]库存等级接口!$F$208=0,"",[1]库存等级接口!$F$208),"")</f>
        <v/>
      </c>
      <c r="G208" s="65" t="str">
        <f aca="false">IFERROR(IF([1]库存等级接口!$G$208=0,"",[1]库存等级接口!$G$208),"")</f>
        <v/>
      </c>
      <c r="H208" s="62" t="str">
        <f aca="false">IFERROR(IF([1]库存等级接口!$H$208=0,"",[1]库存等级接口!$H$208),"")</f>
        <v/>
      </c>
      <c r="I208" s="61" t="n">
        <f aca="false">IF($B208="",0,1)</f>
        <v>0</v>
      </c>
      <c r="J208" s="61" t="n">
        <f aca="false">N(J207)+$I208</f>
        <v>56</v>
      </c>
    </row>
    <row r="209" customFormat="false" ht="15" hidden="false" customHeight="true" outlineLevel="0" collapsed="false">
      <c r="A209" s="61" t="n">
        <v>206</v>
      </c>
      <c r="B209" s="62" t="str">
        <f aca="false">IFERROR(IF([1]库存等级接口!$B$209=0,"",[1]库存等级接口!$B$209),"")</f>
        <v/>
      </c>
      <c r="C209" s="63" t="str">
        <f aca="false">IFERROR(IF([1]库存等级接口!$C$209=0,"",[1]库存等级接口!$C$209),"")</f>
        <v/>
      </c>
      <c r="D209" s="63" t="str">
        <f aca="false">IFERROR(IF([1]库存等级接口!$D$209=0,"",[1]库存等级接口!$D$209),"")</f>
        <v/>
      </c>
      <c r="E209" s="63" t="str">
        <f aca="false">IFERROR(IF([1]库存等级接口!$E$209=0,"",[1]库存等级接口!$E$209),"")</f>
        <v/>
      </c>
      <c r="F209" s="64" t="str">
        <f aca="false">IFERROR(IF([1]库存等级接口!$F$209=0,"",[1]库存等级接口!$F$209),"")</f>
        <v/>
      </c>
      <c r="G209" s="65" t="str">
        <f aca="false">IFERROR(IF([1]库存等级接口!$G$209=0,"",[1]库存等级接口!$G$209),"")</f>
        <v/>
      </c>
      <c r="H209" s="62" t="str">
        <f aca="false">IFERROR(IF([1]库存等级接口!$H$209=0,"",[1]库存等级接口!$H$209),"")</f>
        <v/>
      </c>
      <c r="I209" s="61" t="n">
        <f aca="false">IF($B209="",0,1)</f>
        <v>0</v>
      </c>
      <c r="J209" s="61" t="n">
        <f aca="false">N(J208)+$I209</f>
        <v>56</v>
      </c>
    </row>
    <row r="210" customFormat="false" ht="15" hidden="false" customHeight="true" outlineLevel="0" collapsed="false">
      <c r="A210" s="61" t="n">
        <v>207</v>
      </c>
      <c r="B210" s="62" t="str">
        <f aca="false">IFERROR(IF([1]库存等级接口!$B$210=0,"",[1]库存等级接口!$B$210),"")</f>
        <v/>
      </c>
      <c r="C210" s="63" t="str">
        <f aca="false">IFERROR(IF([1]库存等级接口!$C$210=0,"",[1]库存等级接口!$C$210),"")</f>
        <v/>
      </c>
      <c r="D210" s="63" t="str">
        <f aca="false">IFERROR(IF([1]库存等级接口!$D$210=0,"",[1]库存等级接口!$D$210),"")</f>
        <v/>
      </c>
      <c r="E210" s="63" t="str">
        <f aca="false">IFERROR(IF([1]库存等级接口!$E$210=0,"",[1]库存等级接口!$E$210),"")</f>
        <v/>
      </c>
      <c r="F210" s="64" t="str">
        <f aca="false">IFERROR(IF([1]库存等级接口!$F$210=0,"",[1]库存等级接口!$F$210),"")</f>
        <v/>
      </c>
      <c r="G210" s="65" t="str">
        <f aca="false">IFERROR(IF([1]库存等级接口!$G$210=0,"",[1]库存等级接口!$G$210),"")</f>
        <v/>
      </c>
      <c r="H210" s="62" t="str">
        <f aca="false">IFERROR(IF([1]库存等级接口!$H$210=0,"",[1]库存等级接口!$H$210),"")</f>
        <v/>
      </c>
      <c r="I210" s="61" t="n">
        <f aca="false">IF($B210="",0,1)</f>
        <v>0</v>
      </c>
      <c r="J210" s="61" t="n">
        <f aca="false">N(J209)+$I210</f>
        <v>56</v>
      </c>
    </row>
    <row r="211" customFormat="false" ht="15" hidden="false" customHeight="true" outlineLevel="0" collapsed="false">
      <c r="A211" s="61" t="n">
        <v>208</v>
      </c>
      <c r="B211" s="62" t="str">
        <f aca="false">IFERROR(IF([1]库存等级接口!$B$211=0,"",[1]库存等级接口!$B$211),"")</f>
        <v/>
      </c>
      <c r="C211" s="63" t="str">
        <f aca="false">IFERROR(IF([1]库存等级接口!$C$211=0,"",[1]库存等级接口!$C$211),"")</f>
        <v/>
      </c>
      <c r="D211" s="63" t="str">
        <f aca="false">IFERROR(IF([1]库存等级接口!$D$211=0,"",[1]库存等级接口!$D$211),"")</f>
        <v/>
      </c>
      <c r="E211" s="63" t="str">
        <f aca="false">IFERROR(IF([1]库存等级接口!$E$211=0,"",[1]库存等级接口!$E$211),"")</f>
        <v/>
      </c>
      <c r="F211" s="64" t="str">
        <f aca="false">IFERROR(IF([1]库存等级接口!$F$211=0,"",[1]库存等级接口!$F$211),"")</f>
        <v/>
      </c>
      <c r="G211" s="65" t="str">
        <f aca="false">IFERROR(IF([1]库存等级接口!$G$211=0,"",[1]库存等级接口!$G$211),"")</f>
        <v/>
      </c>
      <c r="H211" s="62" t="str">
        <f aca="false">IFERROR(IF([1]库存等级接口!$H$211=0,"",[1]库存等级接口!$H$211),"")</f>
        <v/>
      </c>
      <c r="I211" s="61" t="n">
        <f aca="false">IF($B211="",0,1)</f>
        <v>0</v>
      </c>
      <c r="J211" s="61" t="n">
        <f aca="false">N(J210)+$I211</f>
        <v>56</v>
      </c>
    </row>
    <row r="212" customFormat="false" ht="15" hidden="false" customHeight="true" outlineLevel="0" collapsed="false">
      <c r="A212" s="61" t="n">
        <v>209</v>
      </c>
      <c r="B212" s="62" t="str">
        <f aca="false">IFERROR(IF([1]库存等级接口!$B$212=0,"",[1]库存等级接口!$B$212),"")</f>
        <v/>
      </c>
      <c r="C212" s="63" t="str">
        <f aca="false">IFERROR(IF([1]库存等级接口!$C$212=0,"",[1]库存等级接口!$C$212),"")</f>
        <v/>
      </c>
      <c r="D212" s="63" t="str">
        <f aca="false">IFERROR(IF([1]库存等级接口!$D$212=0,"",[1]库存等级接口!$D$212),"")</f>
        <v/>
      </c>
      <c r="E212" s="63" t="str">
        <f aca="false">IFERROR(IF([1]库存等级接口!$E$212=0,"",[1]库存等级接口!$E$212),"")</f>
        <v/>
      </c>
      <c r="F212" s="64" t="str">
        <f aca="false">IFERROR(IF([1]库存等级接口!$F$212=0,"",[1]库存等级接口!$F$212),"")</f>
        <v/>
      </c>
      <c r="G212" s="65" t="str">
        <f aca="false">IFERROR(IF([1]库存等级接口!$G$212=0,"",[1]库存等级接口!$G$212),"")</f>
        <v/>
      </c>
      <c r="H212" s="62" t="str">
        <f aca="false">IFERROR(IF([1]库存等级接口!$H$212=0,"",[1]库存等级接口!$H$212),"")</f>
        <v/>
      </c>
      <c r="I212" s="61" t="n">
        <f aca="false">IF($B212="",0,1)</f>
        <v>0</v>
      </c>
      <c r="J212" s="61" t="n">
        <f aca="false">N(J211)+$I212</f>
        <v>56</v>
      </c>
    </row>
    <row r="213" customFormat="false" ht="15" hidden="false" customHeight="true" outlineLevel="0" collapsed="false">
      <c r="A213" s="61" t="n">
        <v>210</v>
      </c>
      <c r="B213" s="62" t="str">
        <f aca="false">IFERROR(IF([1]库存等级接口!$B$213=0,"",[1]库存等级接口!$B$213),"")</f>
        <v/>
      </c>
      <c r="C213" s="63" t="str">
        <f aca="false">IFERROR(IF([1]库存等级接口!$C$213=0,"",[1]库存等级接口!$C$213),"")</f>
        <v/>
      </c>
      <c r="D213" s="63" t="str">
        <f aca="false">IFERROR(IF([1]库存等级接口!$D$213=0,"",[1]库存等级接口!$D$213),"")</f>
        <v/>
      </c>
      <c r="E213" s="63" t="str">
        <f aca="false">IFERROR(IF([1]库存等级接口!$E$213=0,"",[1]库存等级接口!$E$213),"")</f>
        <v/>
      </c>
      <c r="F213" s="64" t="str">
        <f aca="false">IFERROR(IF([1]库存等级接口!$F$213=0,"",[1]库存等级接口!$F$213),"")</f>
        <v/>
      </c>
      <c r="G213" s="65" t="str">
        <f aca="false">IFERROR(IF([1]库存等级接口!$G$213=0,"",[1]库存等级接口!$G$213),"")</f>
        <v/>
      </c>
      <c r="H213" s="62" t="str">
        <f aca="false">IFERROR(IF([1]库存等级接口!$H$213=0,"",[1]库存等级接口!$H$213),"")</f>
        <v/>
      </c>
      <c r="I213" s="61" t="n">
        <f aca="false">IF($B213="",0,1)</f>
        <v>0</v>
      </c>
      <c r="J213" s="61" t="n">
        <f aca="false">N(J212)+$I213</f>
        <v>56</v>
      </c>
    </row>
    <row r="214" customFormat="false" ht="15" hidden="false" customHeight="true" outlineLevel="0" collapsed="false">
      <c r="A214" s="61" t="n">
        <v>211</v>
      </c>
      <c r="B214" s="62" t="str">
        <f aca="false">IFERROR(IF([1]库存等级接口!$B$214=0,"",[1]库存等级接口!$B$214),"")</f>
        <v/>
      </c>
      <c r="C214" s="63" t="str">
        <f aca="false">IFERROR(IF([1]库存等级接口!$C$214=0,"",[1]库存等级接口!$C$214),"")</f>
        <v/>
      </c>
      <c r="D214" s="63" t="str">
        <f aca="false">IFERROR(IF([1]库存等级接口!$D$214=0,"",[1]库存等级接口!$D$214),"")</f>
        <v/>
      </c>
      <c r="E214" s="63" t="str">
        <f aca="false">IFERROR(IF([1]库存等级接口!$E$214=0,"",[1]库存等级接口!$E$214),"")</f>
        <v/>
      </c>
      <c r="F214" s="64" t="str">
        <f aca="false">IFERROR(IF([1]库存等级接口!$F$214=0,"",[1]库存等级接口!$F$214),"")</f>
        <v/>
      </c>
      <c r="G214" s="65" t="str">
        <f aca="false">IFERROR(IF([1]库存等级接口!$G$214=0,"",[1]库存等级接口!$G$214),"")</f>
        <v/>
      </c>
      <c r="H214" s="62" t="str">
        <f aca="false">IFERROR(IF([1]库存等级接口!$H$214=0,"",[1]库存等级接口!$H$214),"")</f>
        <v/>
      </c>
      <c r="I214" s="61" t="n">
        <f aca="false">IF($B214="",0,1)</f>
        <v>0</v>
      </c>
      <c r="J214" s="61" t="n">
        <f aca="false">N(J213)+$I214</f>
        <v>56</v>
      </c>
    </row>
    <row r="215" customFormat="false" ht="15" hidden="false" customHeight="true" outlineLevel="0" collapsed="false">
      <c r="A215" s="61" t="n">
        <v>212</v>
      </c>
      <c r="B215" s="62" t="str">
        <f aca="false">IFERROR(IF([1]库存等级接口!$B$215=0,"",[1]库存等级接口!$B$215),"")</f>
        <v/>
      </c>
      <c r="C215" s="63" t="str">
        <f aca="false">IFERROR(IF([1]库存等级接口!$C$215=0,"",[1]库存等级接口!$C$215),"")</f>
        <v/>
      </c>
      <c r="D215" s="63" t="str">
        <f aca="false">IFERROR(IF([1]库存等级接口!$D$215=0,"",[1]库存等级接口!$D$215),"")</f>
        <v/>
      </c>
      <c r="E215" s="63" t="str">
        <f aca="false">IFERROR(IF([1]库存等级接口!$E$215=0,"",[1]库存等级接口!$E$215),"")</f>
        <v/>
      </c>
      <c r="F215" s="64" t="str">
        <f aca="false">IFERROR(IF([1]库存等级接口!$F$215=0,"",[1]库存等级接口!$F$215),"")</f>
        <v/>
      </c>
      <c r="G215" s="65" t="str">
        <f aca="false">IFERROR(IF([1]库存等级接口!$G$215=0,"",[1]库存等级接口!$G$215),"")</f>
        <v/>
      </c>
      <c r="H215" s="62" t="str">
        <f aca="false">IFERROR(IF([1]库存等级接口!$H$215=0,"",[1]库存等级接口!$H$215),"")</f>
        <v/>
      </c>
      <c r="I215" s="61" t="n">
        <f aca="false">IF($B215="",0,1)</f>
        <v>0</v>
      </c>
      <c r="J215" s="61" t="n">
        <f aca="false">N(J214)+$I215</f>
        <v>56</v>
      </c>
    </row>
    <row r="216" customFormat="false" ht="15" hidden="false" customHeight="true" outlineLevel="0" collapsed="false">
      <c r="A216" s="61" t="n">
        <v>213</v>
      </c>
      <c r="B216" s="62" t="str">
        <f aca="false">IFERROR(IF([1]库存等级接口!$B$216=0,"",[1]库存等级接口!$B$216),"")</f>
        <v/>
      </c>
      <c r="C216" s="63" t="str">
        <f aca="false">IFERROR(IF([1]库存等级接口!$C$216=0,"",[1]库存等级接口!$C$216),"")</f>
        <v/>
      </c>
      <c r="D216" s="63" t="str">
        <f aca="false">IFERROR(IF([1]库存等级接口!$D$216=0,"",[1]库存等级接口!$D$216),"")</f>
        <v/>
      </c>
      <c r="E216" s="63" t="str">
        <f aca="false">IFERROR(IF([1]库存等级接口!$E$216=0,"",[1]库存等级接口!$E$216),"")</f>
        <v/>
      </c>
      <c r="F216" s="64" t="str">
        <f aca="false">IFERROR(IF([1]库存等级接口!$F$216=0,"",[1]库存等级接口!$F$216),"")</f>
        <v/>
      </c>
      <c r="G216" s="65" t="str">
        <f aca="false">IFERROR(IF([1]库存等级接口!$G$216=0,"",[1]库存等级接口!$G$216),"")</f>
        <v/>
      </c>
      <c r="H216" s="62" t="str">
        <f aca="false">IFERROR(IF([1]库存等级接口!$H$216=0,"",[1]库存等级接口!$H$216),"")</f>
        <v/>
      </c>
      <c r="I216" s="61" t="n">
        <f aca="false">IF($B216="",0,1)</f>
        <v>0</v>
      </c>
      <c r="J216" s="61" t="n">
        <f aca="false">N(J215)+$I216</f>
        <v>56</v>
      </c>
    </row>
    <row r="217" customFormat="false" ht="15" hidden="false" customHeight="true" outlineLevel="0" collapsed="false">
      <c r="A217" s="61" t="n">
        <v>214</v>
      </c>
      <c r="B217" s="62" t="str">
        <f aca="false">IFERROR(IF([1]库存等级接口!$B$217=0,"",[1]库存等级接口!$B$217),"")</f>
        <v/>
      </c>
      <c r="C217" s="63" t="str">
        <f aca="false">IFERROR(IF([1]库存等级接口!$C$217=0,"",[1]库存等级接口!$C$217),"")</f>
        <v/>
      </c>
      <c r="D217" s="63" t="str">
        <f aca="false">IFERROR(IF([1]库存等级接口!$D$217=0,"",[1]库存等级接口!$D$217),"")</f>
        <v/>
      </c>
      <c r="E217" s="63" t="str">
        <f aca="false">IFERROR(IF([1]库存等级接口!$E$217=0,"",[1]库存等级接口!$E$217),"")</f>
        <v/>
      </c>
      <c r="F217" s="64" t="str">
        <f aca="false">IFERROR(IF([1]库存等级接口!$F$217=0,"",[1]库存等级接口!$F$217),"")</f>
        <v/>
      </c>
      <c r="G217" s="65" t="str">
        <f aca="false">IFERROR(IF([1]库存等级接口!$G$217=0,"",[1]库存等级接口!$G$217),"")</f>
        <v/>
      </c>
      <c r="H217" s="62" t="str">
        <f aca="false">IFERROR(IF([1]库存等级接口!$H$217=0,"",[1]库存等级接口!$H$217),"")</f>
        <v/>
      </c>
      <c r="I217" s="61" t="n">
        <f aca="false">IF($B217="",0,1)</f>
        <v>0</v>
      </c>
      <c r="J217" s="61" t="n">
        <f aca="false">N(J216)+$I217</f>
        <v>56</v>
      </c>
    </row>
    <row r="218" customFormat="false" ht="15" hidden="false" customHeight="true" outlineLevel="0" collapsed="false">
      <c r="A218" s="61" t="n">
        <v>215</v>
      </c>
      <c r="B218" s="62" t="str">
        <f aca="false">IFERROR(IF([1]库存等级接口!$B$218=0,"",[1]库存等级接口!$B$218),"")</f>
        <v/>
      </c>
      <c r="C218" s="63" t="str">
        <f aca="false">IFERROR(IF([1]库存等级接口!$C$218=0,"",[1]库存等级接口!$C$218),"")</f>
        <v/>
      </c>
      <c r="D218" s="63" t="str">
        <f aca="false">IFERROR(IF([1]库存等级接口!$D$218=0,"",[1]库存等级接口!$D$218),"")</f>
        <v/>
      </c>
      <c r="E218" s="63" t="str">
        <f aca="false">IFERROR(IF([1]库存等级接口!$E$218=0,"",[1]库存等级接口!$E$218),"")</f>
        <v/>
      </c>
      <c r="F218" s="64" t="str">
        <f aca="false">IFERROR(IF([1]库存等级接口!$F$218=0,"",[1]库存等级接口!$F$218),"")</f>
        <v/>
      </c>
      <c r="G218" s="65" t="str">
        <f aca="false">IFERROR(IF([1]库存等级接口!$G$218=0,"",[1]库存等级接口!$G$218),"")</f>
        <v/>
      </c>
      <c r="H218" s="62" t="str">
        <f aca="false">IFERROR(IF([1]库存等级接口!$H$218=0,"",[1]库存等级接口!$H$218),"")</f>
        <v/>
      </c>
      <c r="I218" s="61" t="n">
        <f aca="false">IF($B218="",0,1)</f>
        <v>0</v>
      </c>
      <c r="J218" s="61" t="n">
        <f aca="false">N(J217)+$I218</f>
        <v>56</v>
      </c>
    </row>
    <row r="219" customFormat="false" ht="15" hidden="false" customHeight="true" outlineLevel="0" collapsed="false">
      <c r="A219" s="61" t="n">
        <v>216</v>
      </c>
      <c r="B219" s="62" t="str">
        <f aca="false">IFERROR(IF([1]库存等级接口!$B$219=0,"",[1]库存等级接口!$B$219),"")</f>
        <v/>
      </c>
      <c r="C219" s="63" t="str">
        <f aca="false">IFERROR(IF([1]库存等级接口!$C$219=0,"",[1]库存等级接口!$C$219),"")</f>
        <v/>
      </c>
      <c r="D219" s="63" t="str">
        <f aca="false">IFERROR(IF([1]库存等级接口!$D$219=0,"",[1]库存等级接口!$D$219),"")</f>
        <v/>
      </c>
      <c r="E219" s="63" t="str">
        <f aca="false">IFERROR(IF([1]库存等级接口!$E$219=0,"",[1]库存等级接口!$E$219),"")</f>
        <v/>
      </c>
      <c r="F219" s="64" t="str">
        <f aca="false">IFERROR(IF([1]库存等级接口!$F$219=0,"",[1]库存等级接口!$F$219),"")</f>
        <v/>
      </c>
      <c r="G219" s="65" t="str">
        <f aca="false">IFERROR(IF([1]库存等级接口!$G$219=0,"",[1]库存等级接口!$G$219),"")</f>
        <v/>
      </c>
      <c r="H219" s="62" t="str">
        <f aca="false">IFERROR(IF([1]库存等级接口!$H$219=0,"",[1]库存等级接口!$H$219),"")</f>
        <v/>
      </c>
      <c r="I219" s="61" t="n">
        <f aca="false">IF($B219="",0,1)</f>
        <v>0</v>
      </c>
      <c r="J219" s="61" t="n">
        <f aca="false">N(J218)+$I219</f>
        <v>56</v>
      </c>
    </row>
    <row r="220" customFormat="false" ht="15" hidden="false" customHeight="true" outlineLevel="0" collapsed="false">
      <c r="A220" s="61" t="n">
        <v>217</v>
      </c>
      <c r="B220" s="62" t="str">
        <f aca="false">IFERROR(IF([1]库存等级接口!$B$220=0,"",[1]库存等级接口!$B$220),"")</f>
        <v/>
      </c>
      <c r="C220" s="63" t="str">
        <f aca="false">IFERROR(IF([1]库存等级接口!$C$220=0,"",[1]库存等级接口!$C$220),"")</f>
        <v/>
      </c>
      <c r="D220" s="63" t="str">
        <f aca="false">IFERROR(IF([1]库存等级接口!$D$220=0,"",[1]库存等级接口!$D$220),"")</f>
        <v/>
      </c>
      <c r="E220" s="63" t="str">
        <f aca="false">IFERROR(IF([1]库存等级接口!$E$220=0,"",[1]库存等级接口!$E$220),"")</f>
        <v/>
      </c>
      <c r="F220" s="64" t="str">
        <f aca="false">IFERROR(IF([1]库存等级接口!$F$220=0,"",[1]库存等级接口!$F$220),"")</f>
        <v/>
      </c>
      <c r="G220" s="65" t="str">
        <f aca="false">IFERROR(IF([1]库存等级接口!$G$220=0,"",[1]库存等级接口!$G$220),"")</f>
        <v/>
      </c>
      <c r="H220" s="62" t="str">
        <f aca="false">IFERROR(IF([1]库存等级接口!$H$220=0,"",[1]库存等级接口!$H$220),"")</f>
        <v/>
      </c>
      <c r="I220" s="61" t="n">
        <f aca="false">IF($B220="",0,1)</f>
        <v>0</v>
      </c>
      <c r="J220" s="61" t="n">
        <f aca="false">N(J219)+$I220</f>
        <v>56</v>
      </c>
    </row>
    <row r="221" customFormat="false" ht="15" hidden="false" customHeight="true" outlineLevel="0" collapsed="false">
      <c r="A221" s="61" t="n">
        <v>218</v>
      </c>
      <c r="B221" s="62" t="str">
        <f aca="false">IFERROR(IF([1]库存等级接口!$B$221=0,"",[1]库存等级接口!$B$221),"")</f>
        <v/>
      </c>
      <c r="C221" s="63" t="str">
        <f aca="false">IFERROR(IF([1]库存等级接口!$C$221=0,"",[1]库存等级接口!$C$221),"")</f>
        <v/>
      </c>
      <c r="D221" s="63" t="str">
        <f aca="false">IFERROR(IF([1]库存等级接口!$D$221=0,"",[1]库存等级接口!$D$221),"")</f>
        <v/>
      </c>
      <c r="E221" s="63" t="str">
        <f aca="false">IFERROR(IF([1]库存等级接口!$E$221=0,"",[1]库存等级接口!$E$221),"")</f>
        <v/>
      </c>
      <c r="F221" s="64" t="str">
        <f aca="false">IFERROR(IF([1]库存等级接口!$F$221=0,"",[1]库存等级接口!$F$221),"")</f>
        <v/>
      </c>
      <c r="G221" s="65" t="str">
        <f aca="false">IFERROR(IF([1]库存等级接口!$G$221=0,"",[1]库存等级接口!$G$221),"")</f>
        <v/>
      </c>
      <c r="H221" s="62" t="str">
        <f aca="false">IFERROR(IF([1]库存等级接口!$H$221=0,"",[1]库存等级接口!$H$221),"")</f>
        <v/>
      </c>
      <c r="I221" s="61" t="n">
        <f aca="false">IF($B221="",0,1)</f>
        <v>0</v>
      </c>
      <c r="J221" s="61" t="n">
        <f aca="false">N(J220)+$I221</f>
        <v>56</v>
      </c>
    </row>
    <row r="222" customFormat="false" ht="15" hidden="false" customHeight="true" outlineLevel="0" collapsed="false">
      <c r="A222" s="61" t="n">
        <v>219</v>
      </c>
      <c r="B222" s="62" t="str">
        <f aca="false">IFERROR(IF([1]库存等级接口!$B$222=0,"",[1]库存等级接口!$B$222),"")</f>
        <v/>
      </c>
      <c r="C222" s="63" t="str">
        <f aca="false">IFERROR(IF([1]库存等级接口!$C$222=0,"",[1]库存等级接口!$C$222),"")</f>
        <v/>
      </c>
      <c r="D222" s="63" t="str">
        <f aca="false">IFERROR(IF([1]库存等级接口!$D$222=0,"",[1]库存等级接口!$D$222),"")</f>
        <v/>
      </c>
      <c r="E222" s="63" t="str">
        <f aca="false">IFERROR(IF([1]库存等级接口!$E$222=0,"",[1]库存等级接口!$E$222),"")</f>
        <v/>
      </c>
      <c r="F222" s="64" t="str">
        <f aca="false">IFERROR(IF([1]库存等级接口!$F$222=0,"",[1]库存等级接口!$F$222),"")</f>
        <v/>
      </c>
      <c r="G222" s="65" t="str">
        <f aca="false">IFERROR(IF([1]库存等级接口!$G$222=0,"",[1]库存等级接口!$G$222),"")</f>
        <v/>
      </c>
      <c r="H222" s="62" t="str">
        <f aca="false">IFERROR(IF([1]库存等级接口!$H$222=0,"",[1]库存等级接口!$H$222),"")</f>
        <v/>
      </c>
      <c r="I222" s="61" t="n">
        <f aca="false">IF($B222="",0,1)</f>
        <v>0</v>
      </c>
      <c r="J222" s="61" t="n">
        <f aca="false">N(J221)+$I222</f>
        <v>56</v>
      </c>
    </row>
    <row r="223" customFormat="false" ht="15" hidden="false" customHeight="true" outlineLevel="0" collapsed="false">
      <c r="A223" s="61" t="n">
        <v>220</v>
      </c>
      <c r="B223" s="62" t="str">
        <f aca="false">IFERROR(IF([1]库存等级接口!$B$223=0,"",[1]库存等级接口!$B$223),"")</f>
        <v/>
      </c>
      <c r="C223" s="63" t="str">
        <f aca="false">IFERROR(IF([1]库存等级接口!$C$223=0,"",[1]库存等级接口!$C$223),"")</f>
        <v/>
      </c>
      <c r="D223" s="63" t="str">
        <f aca="false">IFERROR(IF([1]库存等级接口!$D$223=0,"",[1]库存等级接口!$D$223),"")</f>
        <v/>
      </c>
      <c r="E223" s="63" t="str">
        <f aca="false">IFERROR(IF([1]库存等级接口!$E$223=0,"",[1]库存等级接口!$E$223),"")</f>
        <v/>
      </c>
      <c r="F223" s="64" t="str">
        <f aca="false">IFERROR(IF([1]库存等级接口!$F$223=0,"",[1]库存等级接口!$F$223),"")</f>
        <v/>
      </c>
      <c r="G223" s="65" t="str">
        <f aca="false">IFERROR(IF([1]库存等级接口!$G$223=0,"",[1]库存等级接口!$G$223),"")</f>
        <v/>
      </c>
      <c r="H223" s="62" t="str">
        <f aca="false">IFERROR(IF([1]库存等级接口!$H$223=0,"",[1]库存等级接口!$H$223),"")</f>
        <v/>
      </c>
      <c r="I223" s="61" t="n">
        <f aca="false">IF($B223="",0,1)</f>
        <v>0</v>
      </c>
      <c r="J223" s="61" t="n">
        <f aca="false">N(J222)+$I223</f>
        <v>56</v>
      </c>
    </row>
    <row r="224" customFormat="false" ht="15" hidden="false" customHeight="true" outlineLevel="0" collapsed="false">
      <c r="A224" s="61" t="n">
        <v>221</v>
      </c>
      <c r="B224" s="62" t="str">
        <f aca="false">IFERROR(IF([1]库存等级接口!$B$224=0,"",[1]库存等级接口!$B$224),"")</f>
        <v/>
      </c>
      <c r="C224" s="63" t="str">
        <f aca="false">IFERROR(IF([1]库存等级接口!$C$224=0,"",[1]库存等级接口!$C$224),"")</f>
        <v/>
      </c>
      <c r="D224" s="63" t="str">
        <f aca="false">IFERROR(IF([1]库存等级接口!$D$224=0,"",[1]库存等级接口!$D$224),"")</f>
        <v/>
      </c>
      <c r="E224" s="63" t="str">
        <f aca="false">IFERROR(IF([1]库存等级接口!$E$224=0,"",[1]库存等级接口!$E$224),"")</f>
        <v/>
      </c>
      <c r="F224" s="64" t="str">
        <f aca="false">IFERROR(IF([1]库存等级接口!$F$224=0,"",[1]库存等级接口!$F$224),"")</f>
        <v/>
      </c>
      <c r="G224" s="65" t="str">
        <f aca="false">IFERROR(IF([1]库存等级接口!$G$224=0,"",[1]库存等级接口!$G$224),"")</f>
        <v/>
      </c>
      <c r="H224" s="62" t="str">
        <f aca="false">IFERROR(IF([1]库存等级接口!$H$224=0,"",[1]库存等级接口!$H$224),"")</f>
        <v/>
      </c>
      <c r="I224" s="61" t="n">
        <f aca="false">IF($B224="",0,1)</f>
        <v>0</v>
      </c>
      <c r="J224" s="61" t="n">
        <f aca="false">N(J223)+$I224</f>
        <v>56</v>
      </c>
    </row>
    <row r="225" customFormat="false" ht="15" hidden="false" customHeight="true" outlineLevel="0" collapsed="false">
      <c r="A225" s="61" t="n">
        <v>222</v>
      </c>
      <c r="B225" s="62" t="str">
        <f aca="false">IFERROR(IF([1]库存等级接口!$B$225=0,"",[1]库存等级接口!$B$225),"")</f>
        <v/>
      </c>
      <c r="C225" s="63" t="str">
        <f aca="false">IFERROR(IF([1]库存等级接口!$C$225=0,"",[1]库存等级接口!$C$225),"")</f>
        <v/>
      </c>
      <c r="D225" s="63" t="str">
        <f aca="false">IFERROR(IF([1]库存等级接口!$D$225=0,"",[1]库存等级接口!$D$225),"")</f>
        <v/>
      </c>
      <c r="E225" s="63" t="str">
        <f aca="false">IFERROR(IF([1]库存等级接口!$E$225=0,"",[1]库存等级接口!$E$225),"")</f>
        <v/>
      </c>
      <c r="F225" s="64" t="str">
        <f aca="false">IFERROR(IF([1]库存等级接口!$F$225=0,"",[1]库存等级接口!$F$225),"")</f>
        <v/>
      </c>
      <c r="G225" s="65" t="str">
        <f aca="false">IFERROR(IF([1]库存等级接口!$G$225=0,"",[1]库存等级接口!$G$225),"")</f>
        <v/>
      </c>
      <c r="H225" s="62" t="str">
        <f aca="false">IFERROR(IF([1]库存等级接口!$H$225=0,"",[1]库存等级接口!$H$225),"")</f>
        <v/>
      </c>
      <c r="I225" s="61" t="n">
        <f aca="false">IF($B225="",0,1)</f>
        <v>0</v>
      </c>
      <c r="J225" s="61" t="n">
        <f aca="false">N(J224)+$I225</f>
        <v>56</v>
      </c>
    </row>
    <row r="226" customFormat="false" ht="15" hidden="false" customHeight="true" outlineLevel="0" collapsed="false">
      <c r="A226" s="61" t="n">
        <v>223</v>
      </c>
      <c r="B226" s="62" t="str">
        <f aca="false">IFERROR(IF([1]库存等级接口!$B$226=0,"",[1]库存等级接口!$B$226),"")</f>
        <v/>
      </c>
      <c r="C226" s="63" t="str">
        <f aca="false">IFERROR(IF([1]库存等级接口!$C$226=0,"",[1]库存等级接口!$C$226),"")</f>
        <v/>
      </c>
      <c r="D226" s="63" t="str">
        <f aca="false">IFERROR(IF([1]库存等级接口!$D$226=0,"",[1]库存等级接口!$D$226),"")</f>
        <v/>
      </c>
      <c r="E226" s="63" t="str">
        <f aca="false">IFERROR(IF([1]库存等级接口!$E$226=0,"",[1]库存等级接口!$E$226),"")</f>
        <v/>
      </c>
      <c r="F226" s="64" t="str">
        <f aca="false">IFERROR(IF([1]库存等级接口!$F$226=0,"",[1]库存等级接口!$F$226),"")</f>
        <v/>
      </c>
      <c r="G226" s="65" t="str">
        <f aca="false">IFERROR(IF([1]库存等级接口!$G$226=0,"",[1]库存等级接口!$G$226),"")</f>
        <v/>
      </c>
      <c r="H226" s="62" t="str">
        <f aca="false">IFERROR(IF([1]库存等级接口!$H$226=0,"",[1]库存等级接口!$H$226),"")</f>
        <v/>
      </c>
      <c r="I226" s="61" t="n">
        <f aca="false">IF($B226="",0,1)</f>
        <v>0</v>
      </c>
      <c r="J226" s="61" t="n">
        <f aca="false">N(J225)+$I226</f>
        <v>56</v>
      </c>
    </row>
    <row r="227" customFormat="false" ht="15" hidden="false" customHeight="true" outlineLevel="0" collapsed="false">
      <c r="A227" s="61" t="n">
        <v>224</v>
      </c>
      <c r="B227" s="62" t="str">
        <f aca="false">IFERROR(IF([1]库存等级接口!$B$227=0,"",[1]库存等级接口!$B$227),"")</f>
        <v/>
      </c>
      <c r="C227" s="63" t="str">
        <f aca="false">IFERROR(IF([1]库存等级接口!$C$227=0,"",[1]库存等级接口!$C$227),"")</f>
        <v/>
      </c>
      <c r="D227" s="63" t="str">
        <f aca="false">IFERROR(IF([1]库存等级接口!$D$227=0,"",[1]库存等级接口!$D$227),"")</f>
        <v/>
      </c>
      <c r="E227" s="63" t="str">
        <f aca="false">IFERROR(IF([1]库存等级接口!$E$227=0,"",[1]库存等级接口!$E$227),"")</f>
        <v/>
      </c>
      <c r="F227" s="64" t="str">
        <f aca="false">IFERROR(IF([1]库存等级接口!$F$227=0,"",[1]库存等级接口!$F$227),"")</f>
        <v/>
      </c>
      <c r="G227" s="65" t="str">
        <f aca="false">IFERROR(IF([1]库存等级接口!$G$227=0,"",[1]库存等级接口!$G$227),"")</f>
        <v/>
      </c>
      <c r="H227" s="62" t="str">
        <f aca="false">IFERROR(IF([1]库存等级接口!$H$227=0,"",[1]库存等级接口!$H$227),"")</f>
        <v/>
      </c>
      <c r="I227" s="61" t="n">
        <f aca="false">IF($B227="",0,1)</f>
        <v>0</v>
      </c>
      <c r="J227" s="61" t="n">
        <f aca="false">N(J226)+$I227</f>
        <v>56</v>
      </c>
    </row>
    <row r="228" customFormat="false" ht="15" hidden="false" customHeight="true" outlineLevel="0" collapsed="false">
      <c r="A228" s="61" t="n">
        <v>225</v>
      </c>
      <c r="B228" s="62" t="str">
        <f aca="false">IFERROR(IF([1]库存等级接口!$B$228=0,"",[1]库存等级接口!$B$228),"")</f>
        <v/>
      </c>
      <c r="C228" s="63" t="str">
        <f aca="false">IFERROR(IF([1]库存等级接口!$C$228=0,"",[1]库存等级接口!$C$228),"")</f>
        <v/>
      </c>
      <c r="D228" s="63" t="str">
        <f aca="false">IFERROR(IF([1]库存等级接口!$D$228=0,"",[1]库存等级接口!$D$228),"")</f>
        <v/>
      </c>
      <c r="E228" s="63" t="str">
        <f aca="false">IFERROR(IF([1]库存等级接口!$E$228=0,"",[1]库存等级接口!$E$228),"")</f>
        <v/>
      </c>
      <c r="F228" s="64" t="str">
        <f aca="false">IFERROR(IF([1]库存等级接口!$F$228=0,"",[1]库存等级接口!$F$228),"")</f>
        <v/>
      </c>
      <c r="G228" s="65" t="str">
        <f aca="false">IFERROR(IF([1]库存等级接口!$G$228=0,"",[1]库存等级接口!$G$228),"")</f>
        <v/>
      </c>
      <c r="H228" s="62" t="str">
        <f aca="false">IFERROR(IF([1]库存等级接口!$H$228=0,"",[1]库存等级接口!$H$228),"")</f>
        <v/>
      </c>
      <c r="I228" s="61" t="n">
        <f aca="false">IF($B228="",0,1)</f>
        <v>0</v>
      </c>
      <c r="J228" s="61" t="n">
        <f aca="false">N(J227)+$I228</f>
        <v>56</v>
      </c>
    </row>
    <row r="229" customFormat="false" ht="15" hidden="false" customHeight="true" outlineLevel="0" collapsed="false">
      <c r="A229" s="61" t="n">
        <v>226</v>
      </c>
      <c r="B229" s="62" t="str">
        <f aca="false">IFERROR(IF([1]库存等级接口!$B$229=0,"",[1]库存等级接口!$B$229),"")</f>
        <v/>
      </c>
      <c r="C229" s="63" t="str">
        <f aca="false">IFERROR(IF([1]库存等级接口!$C$229=0,"",[1]库存等级接口!$C$229),"")</f>
        <v/>
      </c>
      <c r="D229" s="63" t="str">
        <f aca="false">IFERROR(IF([1]库存等级接口!$D$229=0,"",[1]库存等级接口!$D$229),"")</f>
        <v/>
      </c>
      <c r="E229" s="63" t="str">
        <f aca="false">IFERROR(IF([1]库存等级接口!$E$229=0,"",[1]库存等级接口!$E$229),"")</f>
        <v/>
      </c>
      <c r="F229" s="64" t="str">
        <f aca="false">IFERROR(IF([1]库存等级接口!$F$229=0,"",[1]库存等级接口!$F$229),"")</f>
        <v/>
      </c>
      <c r="G229" s="65" t="str">
        <f aca="false">IFERROR(IF([1]库存等级接口!$G$229=0,"",[1]库存等级接口!$G$229),"")</f>
        <v/>
      </c>
      <c r="H229" s="62" t="str">
        <f aca="false">IFERROR(IF([1]库存等级接口!$H$229=0,"",[1]库存等级接口!$H$229),"")</f>
        <v/>
      </c>
      <c r="I229" s="61" t="n">
        <f aca="false">IF($B229="",0,1)</f>
        <v>0</v>
      </c>
      <c r="J229" s="61" t="n">
        <f aca="false">N(J228)+$I229</f>
        <v>56</v>
      </c>
    </row>
    <row r="230" customFormat="false" ht="15" hidden="false" customHeight="true" outlineLevel="0" collapsed="false">
      <c r="A230" s="61" t="n">
        <v>227</v>
      </c>
      <c r="B230" s="62" t="str">
        <f aca="false">IFERROR(IF([1]库存等级接口!$B$230=0,"",[1]库存等级接口!$B$230),"")</f>
        <v/>
      </c>
      <c r="C230" s="63" t="str">
        <f aca="false">IFERROR(IF([1]库存等级接口!$C$230=0,"",[1]库存等级接口!$C$230),"")</f>
        <v/>
      </c>
      <c r="D230" s="63" t="str">
        <f aca="false">IFERROR(IF([1]库存等级接口!$D$230=0,"",[1]库存等级接口!$D$230),"")</f>
        <v/>
      </c>
      <c r="E230" s="63" t="str">
        <f aca="false">IFERROR(IF([1]库存等级接口!$E$230=0,"",[1]库存等级接口!$E$230),"")</f>
        <v/>
      </c>
      <c r="F230" s="64" t="str">
        <f aca="false">IFERROR(IF([1]库存等级接口!$F$230=0,"",[1]库存等级接口!$F$230),"")</f>
        <v/>
      </c>
      <c r="G230" s="65" t="str">
        <f aca="false">IFERROR(IF([1]库存等级接口!$G$230=0,"",[1]库存等级接口!$G$230),"")</f>
        <v/>
      </c>
      <c r="H230" s="62" t="str">
        <f aca="false">IFERROR(IF([1]库存等级接口!$H$230=0,"",[1]库存等级接口!$H$230),"")</f>
        <v/>
      </c>
      <c r="I230" s="61" t="n">
        <f aca="false">IF($B230="",0,1)</f>
        <v>0</v>
      </c>
      <c r="J230" s="61" t="n">
        <f aca="false">N(J229)+$I230</f>
        <v>56</v>
      </c>
    </row>
    <row r="231" customFormat="false" ht="15" hidden="false" customHeight="true" outlineLevel="0" collapsed="false">
      <c r="A231" s="61" t="n">
        <v>228</v>
      </c>
      <c r="B231" s="62" t="str">
        <f aca="false">IFERROR(IF([1]库存等级接口!$B$231=0,"",[1]库存等级接口!$B$231),"")</f>
        <v/>
      </c>
      <c r="C231" s="63" t="str">
        <f aca="false">IFERROR(IF([1]库存等级接口!$C$231=0,"",[1]库存等级接口!$C$231),"")</f>
        <v/>
      </c>
      <c r="D231" s="63" t="str">
        <f aca="false">IFERROR(IF([1]库存等级接口!$D$231=0,"",[1]库存等级接口!$D$231),"")</f>
        <v/>
      </c>
      <c r="E231" s="63" t="str">
        <f aca="false">IFERROR(IF([1]库存等级接口!$E$231=0,"",[1]库存等级接口!$E$231),"")</f>
        <v/>
      </c>
      <c r="F231" s="64" t="str">
        <f aca="false">IFERROR(IF([1]库存等级接口!$F$231=0,"",[1]库存等级接口!$F$231),"")</f>
        <v/>
      </c>
      <c r="G231" s="65" t="str">
        <f aca="false">IFERROR(IF([1]库存等级接口!$G$231=0,"",[1]库存等级接口!$G$231),"")</f>
        <v/>
      </c>
      <c r="H231" s="62" t="str">
        <f aca="false">IFERROR(IF([1]库存等级接口!$H$231=0,"",[1]库存等级接口!$H$231),"")</f>
        <v/>
      </c>
      <c r="I231" s="61" t="n">
        <f aca="false">IF($B231="",0,1)</f>
        <v>0</v>
      </c>
      <c r="J231" s="61" t="n">
        <f aca="false">N(J230)+$I231</f>
        <v>56</v>
      </c>
    </row>
    <row r="232" customFormat="false" ht="15" hidden="false" customHeight="true" outlineLevel="0" collapsed="false">
      <c r="A232" s="61" t="n">
        <v>229</v>
      </c>
      <c r="B232" s="62" t="str">
        <f aca="false">IFERROR(IF([1]库存等级接口!$B$232=0,"",[1]库存等级接口!$B$232),"")</f>
        <v/>
      </c>
      <c r="C232" s="63" t="str">
        <f aca="false">IFERROR(IF([1]库存等级接口!$C$232=0,"",[1]库存等级接口!$C$232),"")</f>
        <v/>
      </c>
      <c r="D232" s="63" t="str">
        <f aca="false">IFERROR(IF([1]库存等级接口!$D$232=0,"",[1]库存等级接口!$D$232),"")</f>
        <v/>
      </c>
      <c r="E232" s="63" t="str">
        <f aca="false">IFERROR(IF([1]库存等级接口!$E$232=0,"",[1]库存等级接口!$E$232),"")</f>
        <v/>
      </c>
      <c r="F232" s="64" t="str">
        <f aca="false">IFERROR(IF([1]库存等级接口!$F$232=0,"",[1]库存等级接口!$F$232),"")</f>
        <v/>
      </c>
      <c r="G232" s="65" t="str">
        <f aca="false">IFERROR(IF([1]库存等级接口!$G$232=0,"",[1]库存等级接口!$G$232),"")</f>
        <v/>
      </c>
      <c r="H232" s="62" t="str">
        <f aca="false">IFERROR(IF([1]库存等级接口!$H$232=0,"",[1]库存等级接口!$H$232),"")</f>
        <v/>
      </c>
      <c r="I232" s="61" t="n">
        <f aca="false">IF($B232="",0,1)</f>
        <v>0</v>
      </c>
      <c r="J232" s="61" t="n">
        <f aca="false">N(J231)+$I232</f>
        <v>56</v>
      </c>
    </row>
    <row r="233" customFormat="false" ht="15" hidden="false" customHeight="true" outlineLevel="0" collapsed="false">
      <c r="A233" s="61" t="n">
        <v>230</v>
      </c>
      <c r="B233" s="62" t="str">
        <f aca="false">IFERROR(IF([1]库存等级接口!$B$233=0,"",[1]库存等级接口!$B$233),"")</f>
        <v/>
      </c>
      <c r="C233" s="63" t="str">
        <f aca="false">IFERROR(IF([1]库存等级接口!$C$233=0,"",[1]库存等级接口!$C$233),"")</f>
        <v/>
      </c>
      <c r="D233" s="63" t="str">
        <f aca="false">IFERROR(IF([1]库存等级接口!$D$233=0,"",[1]库存等级接口!$D$233),"")</f>
        <v/>
      </c>
      <c r="E233" s="63" t="str">
        <f aca="false">IFERROR(IF([1]库存等级接口!$E$233=0,"",[1]库存等级接口!$E$233),"")</f>
        <v/>
      </c>
      <c r="F233" s="64" t="str">
        <f aca="false">IFERROR(IF([1]库存等级接口!$F$233=0,"",[1]库存等级接口!$F$233),"")</f>
        <v/>
      </c>
      <c r="G233" s="65" t="str">
        <f aca="false">IFERROR(IF([1]库存等级接口!$G$233=0,"",[1]库存等级接口!$G$233),"")</f>
        <v/>
      </c>
      <c r="H233" s="62" t="str">
        <f aca="false">IFERROR(IF([1]库存等级接口!$H$233=0,"",[1]库存等级接口!$H$233),"")</f>
        <v/>
      </c>
      <c r="I233" s="61" t="n">
        <f aca="false">IF($B233="",0,1)</f>
        <v>0</v>
      </c>
      <c r="J233" s="61" t="n">
        <f aca="false">N(J232)+$I233</f>
        <v>56</v>
      </c>
    </row>
    <row r="234" customFormat="false" ht="15" hidden="false" customHeight="true" outlineLevel="0" collapsed="false">
      <c r="A234" s="61" t="n">
        <v>231</v>
      </c>
      <c r="B234" s="62" t="str">
        <f aca="false">IFERROR(IF([1]库存等级接口!$B$234=0,"",[1]库存等级接口!$B$234),"")</f>
        <v/>
      </c>
      <c r="C234" s="63" t="str">
        <f aca="false">IFERROR(IF([1]库存等级接口!$C$234=0,"",[1]库存等级接口!$C$234),"")</f>
        <v/>
      </c>
      <c r="D234" s="63" t="str">
        <f aca="false">IFERROR(IF([1]库存等级接口!$D$234=0,"",[1]库存等级接口!$D$234),"")</f>
        <v/>
      </c>
      <c r="E234" s="63" t="str">
        <f aca="false">IFERROR(IF([1]库存等级接口!$E$234=0,"",[1]库存等级接口!$E$234),"")</f>
        <v/>
      </c>
      <c r="F234" s="64" t="str">
        <f aca="false">IFERROR(IF([1]库存等级接口!$F$234=0,"",[1]库存等级接口!$F$234),"")</f>
        <v/>
      </c>
      <c r="G234" s="65" t="str">
        <f aca="false">IFERROR(IF([1]库存等级接口!$G$234=0,"",[1]库存等级接口!$G$234),"")</f>
        <v/>
      </c>
      <c r="H234" s="62" t="str">
        <f aca="false">IFERROR(IF([1]库存等级接口!$H$234=0,"",[1]库存等级接口!$H$234),"")</f>
        <v/>
      </c>
      <c r="I234" s="61" t="n">
        <f aca="false">IF($B234="",0,1)</f>
        <v>0</v>
      </c>
      <c r="J234" s="61" t="n">
        <f aca="false">N(J233)+$I234</f>
        <v>56</v>
      </c>
    </row>
    <row r="235" customFormat="false" ht="15" hidden="false" customHeight="true" outlineLevel="0" collapsed="false">
      <c r="A235" s="61" t="n">
        <v>232</v>
      </c>
      <c r="B235" s="62" t="str">
        <f aca="false">IFERROR(IF([1]库存等级接口!$B$235=0,"",[1]库存等级接口!$B$235),"")</f>
        <v/>
      </c>
      <c r="C235" s="63" t="str">
        <f aca="false">IFERROR(IF([1]库存等级接口!$C$235=0,"",[1]库存等级接口!$C$235),"")</f>
        <v/>
      </c>
      <c r="D235" s="63" t="str">
        <f aca="false">IFERROR(IF([1]库存等级接口!$D$235=0,"",[1]库存等级接口!$D$235),"")</f>
        <v/>
      </c>
      <c r="E235" s="63" t="str">
        <f aca="false">IFERROR(IF([1]库存等级接口!$E$235=0,"",[1]库存等级接口!$E$235),"")</f>
        <v/>
      </c>
      <c r="F235" s="64" t="str">
        <f aca="false">IFERROR(IF([1]库存等级接口!$F$235=0,"",[1]库存等级接口!$F$235),"")</f>
        <v/>
      </c>
      <c r="G235" s="65" t="str">
        <f aca="false">IFERROR(IF([1]库存等级接口!$G$235=0,"",[1]库存等级接口!$G$235),"")</f>
        <v/>
      </c>
      <c r="H235" s="62" t="str">
        <f aca="false">IFERROR(IF([1]库存等级接口!$H$235=0,"",[1]库存等级接口!$H$235),"")</f>
        <v/>
      </c>
      <c r="I235" s="61" t="n">
        <f aca="false">IF($B235="",0,1)</f>
        <v>0</v>
      </c>
      <c r="J235" s="61" t="n">
        <f aca="false">N(J234)+$I235</f>
        <v>56</v>
      </c>
    </row>
    <row r="236" customFormat="false" ht="15" hidden="false" customHeight="true" outlineLevel="0" collapsed="false">
      <c r="A236" s="61" t="n">
        <v>233</v>
      </c>
      <c r="B236" s="62" t="str">
        <f aca="false">IFERROR(IF([1]库存等级接口!$B$236=0,"",[1]库存等级接口!$B$236),"")</f>
        <v/>
      </c>
      <c r="C236" s="63" t="str">
        <f aca="false">IFERROR(IF([1]库存等级接口!$C$236=0,"",[1]库存等级接口!$C$236),"")</f>
        <v/>
      </c>
      <c r="D236" s="63" t="str">
        <f aca="false">IFERROR(IF([1]库存等级接口!$D$236=0,"",[1]库存等级接口!$D$236),"")</f>
        <v/>
      </c>
      <c r="E236" s="63" t="str">
        <f aca="false">IFERROR(IF([1]库存等级接口!$E$236=0,"",[1]库存等级接口!$E$236),"")</f>
        <v/>
      </c>
      <c r="F236" s="64" t="str">
        <f aca="false">IFERROR(IF([1]库存等级接口!$F$236=0,"",[1]库存等级接口!$F$236),"")</f>
        <v/>
      </c>
      <c r="G236" s="65" t="str">
        <f aca="false">IFERROR(IF([1]库存等级接口!$G$236=0,"",[1]库存等级接口!$G$236),"")</f>
        <v/>
      </c>
      <c r="H236" s="62" t="str">
        <f aca="false">IFERROR(IF([1]库存等级接口!$H$236=0,"",[1]库存等级接口!$H$236),"")</f>
        <v/>
      </c>
      <c r="I236" s="61" t="n">
        <f aca="false">IF($B236="",0,1)</f>
        <v>0</v>
      </c>
      <c r="J236" s="61" t="n">
        <f aca="false">N(J235)+$I236</f>
        <v>56</v>
      </c>
    </row>
    <row r="237" customFormat="false" ht="15" hidden="false" customHeight="true" outlineLevel="0" collapsed="false">
      <c r="A237" s="61" t="n">
        <v>234</v>
      </c>
      <c r="B237" s="62" t="str">
        <f aca="false">IFERROR(IF([1]库存等级接口!$B$237=0,"",[1]库存等级接口!$B$237),"")</f>
        <v/>
      </c>
      <c r="C237" s="63" t="str">
        <f aca="false">IFERROR(IF([1]库存等级接口!$C$237=0,"",[1]库存等级接口!$C$237),"")</f>
        <v/>
      </c>
      <c r="D237" s="63" t="str">
        <f aca="false">IFERROR(IF([1]库存等级接口!$D$237=0,"",[1]库存等级接口!$D$237),"")</f>
        <v/>
      </c>
      <c r="E237" s="63" t="str">
        <f aca="false">IFERROR(IF([1]库存等级接口!$E$237=0,"",[1]库存等级接口!$E$237),"")</f>
        <v/>
      </c>
      <c r="F237" s="64" t="str">
        <f aca="false">IFERROR(IF([1]库存等级接口!$F$237=0,"",[1]库存等级接口!$F$237),"")</f>
        <v/>
      </c>
      <c r="G237" s="65" t="str">
        <f aca="false">IFERROR(IF([1]库存等级接口!$G$237=0,"",[1]库存等级接口!$G$237),"")</f>
        <v/>
      </c>
      <c r="H237" s="62" t="str">
        <f aca="false">IFERROR(IF([1]库存等级接口!$H$237=0,"",[1]库存等级接口!$H$237),"")</f>
        <v/>
      </c>
      <c r="I237" s="61" t="n">
        <f aca="false">IF($B237="",0,1)</f>
        <v>0</v>
      </c>
      <c r="J237" s="61" t="n">
        <f aca="false">N(J236)+$I237</f>
        <v>56</v>
      </c>
    </row>
    <row r="238" customFormat="false" ht="15" hidden="false" customHeight="true" outlineLevel="0" collapsed="false">
      <c r="A238" s="61" t="n">
        <v>235</v>
      </c>
      <c r="B238" s="62" t="str">
        <f aca="false">IFERROR(IF([1]库存等级接口!$B$238=0,"",[1]库存等级接口!$B$238),"")</f>
        <v/>
      </c>
      <c r="C238" s="63" t="str">
        <f aca="false">IFERROR(IF([1]库存等级接口!$C$238=0,"",[1]库存等级接口!$C$238),"")</f>
        <v/>
      </c>
      <c r="D238" s="63" t="str">
        <f aca="false">IFERROR(IF([1]库存等级接口!$D$238=0,"",[1]库存等级接口!$D$238),"")</f>
        <v/>
      </c>
      <c r="E238" s="63" t="str">
        <f aca="false">IFERROR(IF([1]库存等级接口!$E$238=0,"",[1]库存等级接口!$E$238),"")</f>
        <v/>
      </c>
      <c r="F238" s="64" t="str">
        <f aca="false">IFERROR(IF([1]库存等级接口!$F$238=0,"",[1]库存等级接口!$F$238),"")</f>
        <v/>
      </c>
      <c r="G238" s="65" t="str">
        <f aca="false">IFERROR(IF([1]库存等级接口!$G$238=0,"",[1]库存等级接口!$G$238),"")</f>
        <v/>
      </c>
      <c r="H238" s="62" t="str">
        <f aca="false">IFERROR(IF([1]库存等级接口!$H$238=0,"",[1]库存等级接口!$H$238),"")</f>
        <v/>
      </c>
      <c r="I238" s="61" t="n">
        <f aca="false">IF($B238="",0,1)</f>
        <v>0</v>
      </c>
      <c r="J238" s="61" t="n">
        <f aca="false">N(J237)+$I238</f>
        <v>56</v>
      </c>
    </row>
    <row r="239" customFormat="false" ht="15" hidden="false" customHeight="true" outlineLevel="0" collapsed="false">
      <c r="A239" s="61" t="n">
        <v>236</v>
      </c>
      <c r="B239" s="62" t="str">
        <f aca="false">IFERROR(IF([1]库存等级接口!$B$239=0,"",[1]库存等级接口!$B$239),"")</f>
        <v/>
      </c>
      <c r="C239" s="63" t="str">
        <f aca="false">IFERROR(IF([1]库存等级接口!$C$239=0,"",[1]库存等级接口!$C$239),"")</f>
        <v/>
      </c>
      <c r="D239" s="63" t="str">
        <f aca="false">IFERROR(IF([1]库存等级接口!$D$239=0,"",[1]库存等级接口!$D$239),"")</f>
        <v/>
      </c>
      <c r="E239" s="63" t="str">
        <f aca="false">IFERROR(IF([1]库存等级接口!$E$239=0,"",[1]库存等级接口!$E$239),"")</f>
        <v/>
      </c>
      <c r="F239" s="64" t="str">
        <f aca="false">IFERROR(IF([1]库存等级接口!$F$239=0,"",[1]库存等级接口!$F$239),"")</f>
        <v/>
      </c>
      <c r="G239" s="65" t="str">
        <f aca="false">IFERROR(IF([1]库存等级接口!$G$239=0,"",[1]库存等级接口!$G$239),"")</f>
        <v/>
      </c>
      <c r="H239" s="62" t="str">
        <f aca="false">IFERROR(IF([1]库存等级接口!$H$239=0,"",[1]库存等级接口!$H$239),"")</f>
        <v/>
      </c>
      <c r="I239" s="61" t="n">
        <f aca="false">IF($B239="",0,1)</f>
        <v>0</v>
      </c>
      <c r="J239" s="61" t="n">
        <f aca="false">N(J238)+$I239</f>
        <v>56</v>
      </c>
    </row>
    <row r="240" customFormat="false" ht="15" hidden="false" customHeight="true" outlineLevel="0" collapsed="false">
      <c r="A240" s="61" t="n">
        <v>237</v>
      </c>
      <c r="B240" s="62" t="str">
        <f aca="false">IFERROR(IF([1]库存等级接口!$B$240=0,"",[1]库存等级接口!$B$240),"")</f>
        <v/>
      </c>
      <c r="C240" s="63" t="str">
        <f aca="false">IFERROR(IF([1]库存等级接口!$C$240=0,"",[1]库存等级接口!$C$240),"")</f>
        <v/>
      </c>
      <c r="D240" s="63" t="str">
        <f aca="false">IFERROR(IF([1]库存等级接口!$D$240=0,"",[1]库存等级接口!$D$240),"")</f>
        <v/>
      </c>
      <c r="E240" s="63" t="str">
        <f aca="false">IFERROR(IF([1]库存等级接口!$E$240=0,"",[1]库存等级接口!$E$240),"")</f>
        <v/>
      </c>
      <c r="F240" s="64" t="str">
        <f aca="false">IFERROR(IF([1]库存等级接口!$F$240=0,"",[1]库存等级接口!$F$240),"")</f>
        <v/>
      </c>
      <c r="G240" s="65" t="str">
        <f aca="false">IFERROR(IF([1]库存等级接口!$G$240=0,"",[1]库存等级接口!$G$240),"")</f>
        <v/>
      </c>
      <c r="H240" s="62" t="str">
        <f aca="false">IFERROR(IF([1]库存等级接口!$H$240=0,"",[1]库存等级接口!$H$240),"")</f>
        <v/>
      </c>
      <c r="I240" s="61" t="n">
        <f aca="false">IF($B240="",0,1)</f>
        <v>0</v>
      </c>
      <c r="J240" s="61" t="n">
        <f aca="false">N(J239)+$I240</f>
        <v>56</v>
      </c>
    </row>
    <row r="241" customFormat="false" ht="15" hidden="false" customHeight="true" outlineLevel="0" collapsed="false">
      <c r="A241" s="61" t="n">
        <v>238</v>
      </c>
      <c r="B241" s="62" t="str">
        <f aca="false">IFERROR(IF([1]库存等级接口!$B$241=0,"",[1]库存等级接口!$B$241),"")</f>
        <v/>
      </c>
      <c r="C241" s="63" t="str">
        <f aca="false">IFERROR(IF([1]库存等级接口!$C$241=0,"",[1]库存等级接口!$C$241),"")</f>
        <v/>
      </c>
      <c r="D241" s="63" t="str">
        <f aca="false">IFERROR(IF([1]库存等级接口!$D$241=0,"",[1]库存等级接口!$D$241),"")</f>
        <v/>
      </c>
      <c r="E241" s="63" t="str">
        <f aca="false">IFERROR(IF([1]库存等级接口!$E$241=0,"",[1]库存等级接口!$E$241),"")</f>
        <v/>
      </c>
      <c r="F241" s="64" t="str">
        <f aca="false">IFERROR(IF([1]库存等级接口!$F$241=0,"",[1]库存等级接口!$F$241),"")</f>
        <v/>
      </c>
      <c r="G241" s="65" t="str">
        <f aca="false">IFERROR(IF([1]库存等级接口!$G$241=0,"",[1]库存等级接口!$G$241),"")</f>
        <v/>
      </c>
      <c r="H241" s="62" t="str">
        <f aca="false">IFERROR(IF([1]库存等级接口!$H$241=0,"",[1]库存等级接口!$H$241),"")</f>
        <v/>
      </c>
      <c r="I241" s="61" t="n">
        <f aca="false">IF($B241="",0,1)</f>
        <v>0</v>
      </c>
      <c r="J241" s="61" t="n">
        <f aca="false">N(J240)+$I241</f>
        <v>56</v>
      </c>
    </row>
    <row r="242" customFormat="false" ht="15" hidden="false" customHeight="true" outlineLevel="0" collapsed="false">
      <c r="A242" s="61" t="n">
        <v>239</v>
      </c>
      <c r="B242" s="62" t="str">
        <f aca="false">IFERROR(IF([1]库存等级接口!$B$242=0,"",[1]库存等级接口!$B$242),"")</f>
        <v/>
      </c>
      <c r="C242" s="63" t="str">
        <f aca="false">IFERROR(IF([1]库存等级接口!$C$242=0,"",[1]库存等级接口!$C$242),"")</f>
        <v/>
      </c>
      <c r="D242" s="63" t="str">
        <f aca="false">IFERROR(IF([1]库存等级接口!$D$242=0,"",[1]库存等级接口!$D$242),"")</f>
        <v/>
      </c>
      <c r="E242" s="63" t="str">
        <f aca="false">IFERROR(IF([1]库存等级接口!$E$242=0,"",[1]库存等级接口!$E$242),"")</f>
        <v/>
      </c>
      <c r="F242" s="64" t="str">
        <f aca="false">IFERROR(IF([1]库存等级接口!$F$242=0,"",[1]库存等级接口!$F$242),"")</f>
        <v/>
      </c>
      <c r="G242" s="65" t="str">
        <f aca="false">IFERROR(IF([1]库存等级接口!$G$242=0,"",[1]库存等级接口!$G$242),"")</f>
        <v/>
      </c>
      <c r="H242" s="62" t="str">
        <f aca="false">IFERROR(IF([1]库存等级接口!$H$242=0,"",[1]库存等级接口!$H$242),"")</f>
        <v/>
      </c>
      <c r="I242" s="61" t="n">
        <f aca="false">IF($B242="",0,1)</f>
        <v>0</v>
      </c>
      <c r="J242" s="61" t="n">
        <f aca="false">N(J241)+$I242</f>
        <v>56</v>
      </c>
    </row>
    <row r="243" customFormat="false" ht="15" hidden="false" customHeight="true" outlineLevel="0" collapsed="false">
      <c r="A243" s="61" t="n">
        <v>240</v>
      </c>
      <c r="B243" s="62" t="str">
        <f aca="false">IFERROR(IF([1]库存等级接口!$B$243=0,"",[1]库存等级接口!$B$243),"")</f>
        <v/>
      </c>
      <c r="C243" s="63" t="str">
        <f aca="false">IFERROR(IF([1]库存等级接口!$C$243=0,"",[1]库存等级接口!$C$243),"")</f>
        <v/>
      </c>
      <c r="D243" s="63" t="str">
        <f aca="false">IFERROR(IF([1]库存等级接口!$D$243=0,"",[1]库存等级接口!$D$243),"")</f>
        <v/>
      </c>
      <c r="E243" s="63" t="str">
        <f aca="false">IFERROR(IF([1]库存等级接口!$E$243=0,"",[1]库存等级接口!$E$243),"")</f>
        <v/>
      </c>
      <c r="F243" s="64" t="str">
        <f aca="false">IFERROR(IF([1]库存等级接口!$F$243=0,"",[1]库存等级接口!$F$243),"")</f>
        <v/>
      </c>
      <c r="G243" s="65" t="str">
        <f aca="false">IFERROR(IF([1]库存等级接口!$G$243=0,"",[1]库存等级接口!$G$243),"")</f>
        <v/>
      </c>
      <c r="H243" s="62" t="str">
        <f aca="false">IFERROR(IF([1]库存等级接口!$H$243=0,"",[1]库存等级接口!$H$243),"")</f>
        <v/>
      </c>
      <c r="I243" s="61" t="n">
        <f aca="false">IF($B243="",0,1)</f>
        <v>0</v>
      </c>
      <c r="J243" s="61" t="n">
        <f aca="false">N(J242)+$I243</f>
        <v>56</v>
      </c>
    </row>
    <row r="244" customFormat="false" ht="15" hidden="false" customHeight="true" outlineLevel="0" collapsed="false">
      <c r="A244" s="61" t="n">
        <v>241</v>
      </c>
      <c r="B244" s="62" t="str">
        <f aca="false">IFERROR(IF([1]库存等级接口!$B$244=0,"",[1]库存等级接口!$B$244),"")</f>
        <v/>
      </c>
      <c r="C244" s="63" t="str">
        <f aca="false">IFERROR(IF([1]库存等级接口!$C$244=0,"",[1]库存等级接口!$C$244),"")</f>
        <v/>
      </c>
      <c r="D244" s="63" t="str">
        <f aca="false">IFERROR(IF([1]库存等级接口!$D$244=0,"",[1]库存等级接口!$D$244),"")</f>
        <v/>
      </c>
      <c r="E244" s="63" t="str">
        <f aca="false">IFERROR(IF([1]库存等级接口!$E$244=0,"",[1]库存等级接口!$E$244),"")</f>
        <v/>
      </c>
      <c r="F244" s="64" t="str">
        <f aca="false">IFERROR(IF([1]库存等级接口!$F$244=0,"",[1]库存等级接口!$F$244),"")</f>
        <v/>
      </c>
      <c r="G244" s="65" t="str">
        <f aca="false">IFERROR(IF([1]库存等级接口!$G$244=0,"",[1]库存等级接口!$G$244),"")</f>
        <v/>
      </c>
      <c r="H244" s="62" t="str">
        <f aca="false">IFERROR(IF([1]库存等级接口!$H$244=0,"",[1]库存等级接口!$H$244),"")</f>
        <v/>
      </c>
      <c r="I244" s="61" t="n">
        <f aca="false">IF($B244="",0,1)</f>
        <v>0</v>
      </c>
      <c r="J244" s="61" t="n">
        <f aca="false">N(J243)+$I244</f>
        <v>56</v>
      </c>
    </row>
    <row r="245" customFormat="false" ht="15" hidden="false" customHeight="true" outlineLevel="0" collapsed="false">
      <c r="A245" s="61" t="n">
        <v>242</v>
      </c>
      <c r="B245" s="62" t="str">
        <f aca="false">IFERROR(IF([1]库存等级接口!$B$245=0,"",[1]库存等级接口!$B$245),"")</f>
        <v/>
      </c>
      <c r="C245" s="63" t="str">
        <f aca="false">IFERROR(IF([1]库存等级接口!$C$245=0,"",[1]库存等级接口!$C$245),"")</f>
        <v/>
      </c>
      <c r="D245" s="63" t="str">
        <f aca="false">IFERROR(IF([1]库存等级接口!$D$245=0,"",[1]库存等级接口!$D$245),"")</f>
        <v/>
      </c>
      <c r="E245" s="63" t="str">
        <f aca="false">IFERROR(IF([1]库存等级接口!$E$245=0,"",[1]库存等级接口!$E$245),"")</f>
        <v/>
      </c>
      <c r="F245" s="64" t="str">
        <f aca="false">IFERROR(IF([1]库存等级接口!$F$245=0,"",[1]库存等级接口!$F$245),"")</f>
        <v/>
      </c>
      <c r="G245" s="65" t="str">
        <f aca="false">IFERROR(IF([1]库存等级接口!$G$245=0,"",[1]库存等级接口!$G$245),"")</f>
        <v/>
      </c>
      <c r="H245" s="62" t="str">
        <f aca="false">IFERROR(IF([1]库存等级接口!$H$245=0,"",[1]库存等级接口!$H$245),"")</f>
        <v/>
      </c>
      <c r="I245" s="61" t="n">
        <f aca="false">IF($B245="",0,1)</f>
        <v>0</v>
      </c>
      <c r="J245" s="61" t="n">
        <f aca="false">N(J244)+$I245</f>
        <v>56</v>
      </c>
    </row>
    <row r="246" customFormat="false" ht="15" hidden="false" customHeight="true" outlineLevel="0" collapsed="false">
      <c r="A246" s="61" t="n">
        <v>243</v>
      </c>
      <c r="B246" s="62" t="str">
        <f aca="false">IFERROR(IF([1]库存等级接口!$B$246=0,"",[1]库存等级接口!$B$246),"")</f>
        <v/>
      </c>
      <c r="C246" s="63" t="str">
        <f aca="false">IFERROR(IF([1]库存等级接口!$C$246=0,"",[1]库存等级接口!$C$246),"")</f>
        <v/>
      </c>
      <c r="D246" s="63" t="str">
        <f aca="false">IFERROR(IF([1]库存等级接口!$D$246=0,"",[1]库存等级接口!$D$246),"")</f>
        <v/>
      </c>
      <c r="E246" s="63" t="str">
        <f aca="false">IFERROR(IF([1]库存等级接口!$E$246=0,"",[1]库存等级接口!$E$246),"")</f>
        <v/>
      </c>
      <c r="F246" s="64" t="str">
        <f aca="false">IFERROR(IF([1]库存等级接口!$F$246=0,"",[1]库存等级接口!$F$246),"")</f>
        <v/>
      </c>
      <c r="G246" s="65" t="str">
        <f aca="false">IFERROR(IF([1]库存等级接口!$G$246=0,"",[1]库存等级接口!$G$246),"")</f>
        <v/>
      </c>
      <c r="H246" s="62" t="str">
        <f aca="false">IFERROR(IF([1]库存等级接口!$H$246=0,"",[1]库存等级接口!$H$246),"")</f>
        <v/>
      </c>
      <c r="I246" s="61" t="n">
        <f aca="false">IF($B246="",0,1)</f>
        <v>0</v>
      </c>
      <c r="J246" s="61" t="n">
        <f aca="false">N(J245)+$I246</f>
        <v>56</v>
      </c>
    </row>
    <row r="247" customFormat="false" ht="15" hidden="false" customHeight="true" outlineLevel="0" collapsed="false">
      <c r="A247" s="61" t="n">
        <v>244</v>
      </c>
      <c r="B247" s="62" t="str">
        <f aca="false">IFERROR(IF([1]库存等级接口!$B$247=0,"",[1]库存等级接口!$B$247),"")</f>
        <v/>
      </c>
      <c r="C247" s="63" t="str">
        <f aca="false">IFERROR(IF([1]库存等级接口!$C$247=0,"",[1]库存等级接口!$C$247),"")</f>
        <v/>
      </c>
      <c r="D247" s="63" t="str">
        <f aca="false">IFERROR(IF([1]库存等级接口!$D$247=0,"",[1]库存等级接口!$D$247),"")</f>
        <v/>
      </c>
      <c r="E247" s="63" t="str">
        <f aca="false">IFERROR(IF([1]库存等级接口!$E$247=0,"",[1]库存等级接口!$E$247),"")</f>
        <v/>
      </c>
      <c r="F247" s="64" t="str">
        <f aca="false">IFERROR(IF([1]库存等级接口!$F$247=0,"",[1]库存等级接口!$F$247),"")</f>
        <v/>
      </c>
      <c r="G247" s="65" t="str">
        <f aca="false">IFERROR(IF([1]库存等级接口!$G$247=0,"",[1]库存等级接口!$G$247),"")</f>
        <v/>
      </c>
      <c r="H247" s="62" t="str">
        <f aca="false">IFERROR(IF([1]库存等级接口!$H$247=0,"",[1]库存等级接口!$H$247),"")</f>
        <v/>
      </c>
      <c r="I247" s="61" t="n">
        <f aca="false">IF($B247="",0,1)</f>
        <v>0</v>
      </c>
      <c r="J247" s="61" t="n">
        <f aca="false">N(J246)+$I247</f>
        <v>56</v>
      </c>
    </row>
    <row r="248" customFormat="false" ht="15" hidden="false" customHeight="true" outlineLevel="0" collapsed="false">
      <c r="A248" s="61" t="n">
        <v>245</v>
      </c>
      <c r="B248" s="62" t="str">
        <f aca="false">IFERROR(IF([1]库存等级接口!$B$248=0,"",[1]库存等级接口!$B$248),"")</f>
        <v/>
      </c>
      <c r="C248" s="63" t="str">
        <f aca="false">IFERROR(IF([1]库存等级接口!$C$248=0,"",[1]库存等级接口!$C$248),"")</f>
        <v/>
      </c>
      <c r="D248" s="63" t="str">
        <f aca="false">IFERROR(IF([1]库存等级接口!$D$248=0,"",[1]库存等级接口!$D$248),"")</f>
        <v/>
      </c>
      <c r="E248" s="63" t="str">
        <f aca="false">IFERROR(IF([1]库存等级接口!$E$248=0,"",[1]库存等级接口!$E$248),"")</f>
        <v/>
      </c>
      <c r="F248" s="64" t="str">
        <f aca="false">IFERROR(IF([1]库存等级接口!$F$248=0,"",[1]库存等级接口!$F$248),"")</f>
        <v/>
      </c>
      <c r="G248" s="65" t="str">
        <f aca="false">IFERROR(IF([1]库存等级接口!$G$248=0,"",[1]库存等级接口!$G$248),"")</f>
        <v/>
      </c>
      <c r="H248" s="62" t="str">
        <f aca="false">IFERROR(IF([1]库存等级接口!$H$248=0,"",[1]库存等级接口!$H$248),"")</f>
        <v/>
      </c>
      <c r="I248" s="61" t="n">
        <f aca="false">IF($B248="",0,1)</f>
        <v>0</v>
      </c>
      <c r="J248" s="61" t="n">
        <f aca="false">N(J247)+$I248</f>
        <v>56</v>
      </c>
    </row>
    <row r="249" customFormat="false" ht="15" hidden="false" customHeight="true" outlineLevel="0" collapsed="false">
      <c r="A249" s="61" t="n">
        <v>246</v>
      </c>
      <c r="B249" s="62" t="str">
        <f aca="false">IFERROR(IF([1]库存等级接口!$B$249=0,"",[1]库存等级接口!$B$249),"")</f>
        <v/>
      </c>
      <c r="C249" s="63" t="str">
        <f aca="false">IFERROR(IF([1]库存等级接口!$C$249=0,"",[1]库存等级接口!$C$249),"")</f>
        <v/>
      </c>
      <c r="D249" s="63" t="str">
        <f aca="false">IFERROR(IF([1]库存等级接口!$D$249=0,"",[1]库存等级接口!$D$249),"")</f>
        <v/>
      </c>
      <c r="E249" s="63" t="str">
        <f aca="false">IFERROR(IF([1]库存等级接口!$E$249=0,"",[1]库存等级接口!$E$249),"")</f>
        <v/>
      </c>
      <c r="F249" s="64" t="str">
        <f aca="false">IFERROR(IF([1]库存等级接口!$F$249=0,"",[1]库存等级接口!$F$249),"")</f>
        <v/>
      </c>
      <c r="G249" s="65" t="str">
        <f aca="false">IFERROR(IF([1]库存等级接口!$G$249=0,"",[1]库存等级接口!$G$249),"")</f>
        <v/>
      </c>
      <c r="H249" s="62" t="str">
        <f aca="false">IFERROR(IF([1]库存等级接口!$H$249=0,"",[1]库存等级接口!$H$249),"")</f>
        <v/>
      </c>
      <c r="I249" s="61" t="n">
        <f aca="false">IF($B249="",0,1)</f>
        <v>0</v>
      </c>
      <c r="J249" s="61" t="n">
        <f aca="false">N(J248)+$I249</f>
        <v>56</v>
      </c>
    </row>
    <row r="250" customFormat="false" ht="15" hidden="false" customHeight="true" outlineLevel="0" collapsed="false">
      <c r="A250" s="61" t="n">
        <v>247</v>
      </c>
      <c r="B250" s="62" t="str">
        <f aca="false">IFERROR(IF([1]库存等级接口!$B$250=0,"",[1]库存等级接口!$B$250),"")</f>
        <v/>
      </c>
      <c r="C250" s="63" t="str">
        <f aca="false">IFERROR(IF([1]库存等级接口!$C$250=0,"",[1]库存等级接口!$C$250),"")</f>
        <v/>
      </c>
      <c r="D250" s="63" t="str">
        <f aca="false">IFERROR(IF([1]库存等级接口!$D$250=0,"",[1]库存等级接口!$D$250),"")</f>
        <v/>
      </c>
      <c r="E250" s="63" t="str">
        <f aca="false">IFERROR(IF([1]库存等级接口!$E$250=0,"",[1]库存等级接口!$E$250),"")</f>
        <v/>
      </c>
      <c r="F250" s="64" t="str">
        <f aca="false">IFERROR(IF([1]库存等级接口!$F$250=0,"",[1]库存等级接口!$F$250),"")</f>
        <v/>
      </c>
      <c r="G250" s="65" t="str">
        <f aca="false">IFERROR(IF([1]库存等级接口!$G$250=0,"",[1]库存等级接口!$G$250),"")</f>
        <v/>
      </c>
      <c r="H250" s="62" t="str">
        <f aca="false">IFERROR(IF([1]库存等级接口!$H$250=0,"",[1]库存等级接口!$H$250),"")</f>
        <v/>
      </c>
      <c r="I250" s="61" t="n">
        <f aca="false">IF($B250="",0,1)</f>
        <v>0</v>
      </c>
      <c r="J250" s="61" t="n">
        <f aca="false">N(J249)+$I250</f>
        <v>56</v>
      </c>
    </row>
    <row r="251" customFormat="false" ht="15" hidden="false" customHeight="true" outlineLevel="0" collapsed="false">
      <c r="A251" s="61" t="n">
        <v>248</v>
      </c>
      <c r="B251" s="62" t="str">
        <f aca="false">IFERROR(IF([1]库存等级接口!$B$251=0,"",[1]库存等级接口!$B$251),"")</f>
        <v/>
      </c>
      <c r="C251" s="63" t="str">
        <f aca="false">IFERROR(IF([1]库存等级接口!$C$251=0,"",[1]库存等级接口!$C$251),"")</f>
        <v/>
      </c>
      <c r="D251" s="63" t="str">
        <f aca="false">IFERROR(IF([1]库存等级接口!$D$251=0,"",[1]库存等级接口!$D$251),"")</f>
        <v/>
      </c>
      <c r="E251" s="63" t="str">
        <f aca="false">IFERROR(IF([1]库存等级接口!$E$251=0,"",[1]库存等级接口!$E$251),"")</f>
        <v/>
      </c>
      <c r="F251" s="64" t="str">
        <f aca="false">IFERROR(IF([1]库存等级接口!$F$251=0,"",[1]库存等级接口!$F$251),"")</f>
        <v/>
      </c>
      <c r="G251" s="65" t="str">
        <f aca="false">IFERROR(IF([1]库存等级接口!$G$251=0,"",[1]库存等级接口!$G$251),"")</f>
        <v/>
      </c>
      <c r="H251" s="62" t="str">
        <f aca="false">IFERROR(IF([1]库存等级接口!$H$251=0,"",[1]库存等级接口!$H$251),"")</f>
        <v/>
      </c>
      <c r="I251" s="61" t="n">
        <f aca="false">IF($B251="",0,1)</f>
        <v>0</v>
      </c>
      <c r="J251" s="61" t="n">
        <f aca="false">N(J250)+$I251</f>
        <v>56</v>
      </c>
    </row>
    <row r="252" customFormat="false" ht="15" hidden="false" customHeight="true" outlineLevel="0" collapsed="false">
      <c r="A252" s="61" t="n">
        <v>249</v>
      </c>
      <c r="B252" s="62" t="str">
        <f aca="false">IFERROR(IF([1]库存等级接口!$B$252=0,"",[1]库存等级接口!$B$252),"")</f>
        <v/>
      </c>
      <c r="C252" s="63" t="str">
        <f aca="false">IFERROR(IF([1]库存等级接口!$C$252=0,"",[1]库存等级接口!$C$252),"")</f>
        <v/>
      </c>
      <c r="D252" s="63" t="str">
        <f aca="false">IFERROR(IF([1]库存等级接口!$D$252=0,"",[1]库存等级接口!$D$252),"")</f>
        <v/>
      </c>
      <c r="E252" s="63" t="str">
        <f aca="false">IFERROR(IF([1]库存等级接口!$E$252=0,"",[1]库存等级接口!$E$252),"")</f>
        <v/>
      </c>
      <c r="F252" s="64" t="str">
        <f aca="false">IFERROR(IF([1]库存等级接口!$F$252=0,"",[1]库存等级接口!$F$252),"")</f>
        <v/>
      </c>
      <c r="G252" s="65" t="str">
        <f aca="false">IFERROR(IF([1]库存等级接口!$G$252=0,"",[1]库存等级接口!$G$252),"")</f>
        <v/>
      </c>
      <c r="H252" s="62" t="str">
        <f aca="false">IFERROR(IF([1]库存等级接口!$H$252=0,"",[1]库存等级接口!$H$252),"")</f>
        <v/>
      </c>
      <c r="I252" s="61" t="n">
        <f aca="false">IF($B252="",0,1)</f>
        <v>0</v>
      </c>
      <c r="J252" s="61" t="n">
        <f aca="false">N(J251)+$I252</f>
        <v>56</v>
      </c>
    </row>
    <row r="253" customFormat="false" ht="15" hidden="false" customHeight="true" outlineLevel="0" collapsed="false">
      <c r="A253" s="61" t="n">
        <v>250</v>
      </c>
      <c r="B253" s="62" t="str">
        <f aca="false">IFERROR(IF([1]库存等级接口!$B$253=0,"",[1]库存等级接口!$B$253),"")</f>
        <v/>
      </c>
      <c r="C253" s="63" t="str">
        <f aca="false">IFERROR(IF([1]库存等级接口!$C$253=0,"",[1]库存等级接口!$C$253),"")</f>
        <v/>
      </c>
      <c r="D253" s="63" t="str">
        <f aca="false">IFERROR(IF([1]库存等级接口!$D$253=0,"",[1]库存等级接口!$D$253),"")</f>
        <v/>
      </c>
      <c r="E253" s="63" t="str">
        <f aca="false">IFERROR(IF([1]库存等级接口!$E$253=0,"",[1]库存等级接口!$E$253),"")</f>
        <v/>
      </c>
      <c r="F253" s="64" t="str">
        <f aca="false">IFERROR(IF([1]库存等级接口!$F$253=0,"",[1]库存等级接口!$F$253),"")</f>
        <v/>
      </c>
      <c r="G253" s="65" t="str">
        <f aca="false">IFERROR(IF([1]库存等级接口!$G$253=0,"",[1]库存等级接口!$G$253),"")</f>
        <v/>
      </c>
      <c r="H253" s="62" t="str">
        <f aca="false">IFERROR(IF([1]库存等级接口!$H$253=0,"",[1]库存等级接口!$H$253),"")</f>
        <v/>
      </c>
      <c r="I253" s="61" t="n">
        <f aca="false">IF($B253="",0,1)</f>
        <v>0</v>
      </c>
      <c r="J253" s="61" t="n">
        <f aca="false">N(J252)+$I253</f>
        <v>56</v>
      </c>
    </row>
    <row r="254" customFormat="false" ht="15" hidden="false" customHeight="true" outlineLevel="0" collapsed="false">
      <c r="A254" s="61" t="n">
        <v>251</v>
      </c>
      <c r="B254" s="62" t="str">
        <f aca="false">IFERROR(IF([1]库存等级接口!$B$254=0,"",[1]库存等级接口!$B$254),"")</f>
        <v/>
      </c>
      <c r="C254" s="63" t="str">
        <f aca="false">IFERROR(IF([1]库存等级接口!$C$254=0,"",[1]库存等级接口!$C$254),"")</f>
        <v/>
      </c>
      <c r="D254" s="63" t="str">
        <f aca="false">IFERROR(IF([1]库存等级接口!$D$254=0,"",[1]库存等级接口!$D$254),"")</f>
        <v/>
      </c>
      <c r="E254" s="63" t="str">
        <f aca="false">IFERROR(IF([1]库存等级接口!$E$254=0,"",[1]库存等级接口!$E$254),"")</f>
        <v/>
      </c>
      <c r="F254" s="64" t="str">
        <f aca="false">IFERROR(IF([1]库存等级接口!$F$254=0,"",[1]库存等级接口!$F$254),"")</f>
        <v/>
      </c>
      <c r="G254" s="65" t="str">
        <f aca="false">IFERROR(IF([1]库存等级接口!$G$254=0,"",[1]库存等级接口!$G$254),"")</f>
        <v/>
      </c>
      <c r="H254" s="62" t="str">
        <f aca="false">IFERROR(IF([1]库存等级接口!$H$254=0,"",[1]库存等级接口!$H$254),"")</f>
        <v/>
      </c>
      <c r="I254" s="61" t="n">
        <f aca="false">IF($B254="",0,1)</f>
        <v>0</v>
      </c>
      <c r="J254" s="61" t="n">
        <f aca="false">N(J253)+$I254</f>
        <v>56</v>
      </c>
    </row>
    <row r="255" customFormat="false" ht="15" hidden="false" customHeight="true" outlineLevel="0" collapsed="false">
      <c r="A255" s="61" t="n">
        <v>252</v>
      </c>
      <c r="B255" s="62" t="str">
        <f aca="false">IFERROR(IF([1]库存等级接口!$B$255=0,"",[1]库存等级接口!$B$255),"")</f>
        <v/>
      </c>
      <c r="C255" s="63" t="str">
        <f aca="false">IFERROR(IF([1]库存等级接口!$C$255=0,"",[1]库存等级接口!$C$255),"")</f>
        <v/>
      </c>
      <c r="D255" s="63" t="str">
        <f aca="false">IFERROR(IF([1]库存等级接口!$D$255=0,"",[1]库存等级接口!$D$255),"")</f>
        <v/>
      </c>
      <c r="E255" s="63" t="str">
        <f aca="false">IFERROR(IF([1]库存等级接口!$E$255=0,"",[1]库存等级接口!$E$255),"")</f>
        <v/>
      </c>
      <c r="F255" s="64" t="str">
        <f aca="false">IFERROR(IF([1]库存等级接口!$F$255=0,"",[1]库存等级接口!$F$255),"")</f>
        <v/>
      </c>
      <c r="G255" s="65" t="str">
        <f aca="false">IFERROR(IF([1]库存等级接口!$G$255=0,"",[1]库存等级接口!$G$255),"")</f>
        <v/>
      </c>
      <c r="H255" s="62" t="str">
        <f aca="false">IFERROR(IF([1]库存等级接口!$H$255=0,"",[1]库存等级接口!$H$255),"")</f>
        <v/>
      </c>
      <c r="I255" s="61" t="n">
        <f aca="false">IF($B255="",0,1)</f>
        <v>0</v>
      </c>
      <c r="J255" s="61" t="n">
        <f aca="false">N(J254)+$I255</f>
        <v>56</v>
      </c>
    </row>
    <row r="256" customFormat="false" ht="15" hidden="false" customHeight="true" outlineLevel="0" collapsed="false">
      <c r="A256" s="61" t="n">
        <v>253</v>
      </c>
      <c r="B256" s="62" t="str">
        <f aca="false">IFERROR(IF([1]库存等级接口!$B$256=0,"",[1]库存等级接口!$B$256),"")</f>
        <v/>
      </c>
      <c r="C256" s="63" t="str">
        <f aca="false">IFERROR(IF([1]库存等级接口!$C$256=0,"",[1]库存等级接口!$C$256),"")</f>
        <v/>
      </c>
      <c r="D256" s="63" t="str">
        <f aca="false">IFERROR(IF([1]库存等级接口!$D$256=0,"",[1]库存等级接口!$D$256),"")</f>
        <v/>
      </c>
      <c r="E256" s="63" t="str">
        <f aca="false">IFERROR(IF([1]库存等级接口!$E$256=0,"",[1]库存等级接口!$E$256),"")</f>
        <v/>
      </c>
      <c r="F256" s="64" t="str">
        <f aca="false">IFERROR(IF([1]库存等级接口!$F$256=0,"",[1]库存等级接口!$F$256),"")</f>
        <v/>
      </c>
      <c r="G256" s="65" t="str">
        <f aca="false">IFERROR(IF([1]库存等级接口!$G$256=0,"",[1]库存等级接口!$G$256),"")</f>
        <v/>
      </c>
      <c r="H256" s="62" t="str">
        <f aca="false">IFERROR(IF([1]库存等级接口!$H$256=0,"",[1]库存等级接口!$H$256),"")</f>
        <v/>
      </c>
      <c r="I256" s="61" t="n">
        <f aca="false">IF($B256="",0,1)</f>
        <v>0</v>
      </c>
      <c r="J256" s="61" t="n">
        <f aca="false">N(J255)+$I256</f>
        <v>56</v>
      </c>
    </row>
    <row r="257" customFormat="false" ht="15" hidden="false" customHeight="true" outlineLevel="0" collapsed="false">
      <c r="A257" s="61" t="n">
        <v>254</v>
      </c>
      <c r="B257" s="62" t="str">
        <f aca="false">IFERROR(IF([1]库存等级接口!$B$257=0,"",[1]库存等级接口!$B$257),"")</f>
        <v/>
      </c>
      <c r="C257" s="63" t="str">
        <f aca="false">IFERROR(IF([1]库存等级接口!$C$257=0,"",[1]库存等级接口!$C$257),"")</f>
        <v/>
      </c>
      <c r="D257" s="63" t="str">
        <f aca="false">IFERROR(IF([1]库存等级接口!$D$257=0,"",[1]库存等级接口!$D$257),"")</f>
        <v/>
      </c>
      <c r="E257" s="63" t="str">
        <f aca="false">IFERROR(IF([1]库存等级接口!$E$257=0,"",[1]库存等级接口!$E$257),"")</f>
        <v/>
      </c>
      <c r="F257" s="64" t="str">
        <f aca="false">IFERROR(IF([1]库存等级接口!$F$257=0,"",[1]库存等级接口!$F$257),"")</f>
        <v/>
      </c>
      <c r="G257" s="65" t="str">
        <f aca="false">IFERROR(IF([1]库存等级接口!$G$257=0,"",[1]库存等级接口!$G$257),"")</f>
        <v/>
      </c>
      <c r="H257" s="62" t="str">
        <f aca="false">IFERROR(IF([1]库存等级接口!$H$257=0,"",[1]库存等级接口!$H$257),"")</f>
        <v/>
      </c>
      <c r="I257" s="61" t="n">
        <f aca="false">IF($B257="",0,1)</f>
        <v>0</v>
      </c>
      <c r="J257" s="61" t="n">
        <f aca="false">N(J256)+$I257</f>
        <v>56</v>
      </c>
    </row>
    <row r="258" customFormat="false" ht="15" hidden="false" customHeight="true" outlineLevel="0" collapsed="false">
      <c r="A258" s="61" t="n">
        <v>255</v>
      </c>
      <c r="B258" s="62" t="str">
        <f aca="false">IFERROR(IF([1]库存等级接口!$B$258=0,"",[1]库存等级接口!$B$258),"")</f>
        <v/>
      </c>
      <c r="C258" s="63" t="str">
        <f aca="false">IFERROR(IF([1]库存等级接口!$C$258=0,"",[1]库存等级接口!$C$258),"")</f>
        <v/>
      </c>
      <c r="D258" s="63" t="str">
        <f aca="false">IFERROR(IF([1]库存等级接口!$D$258=0,"",[1]库存等级接口!$D$258),"")</f>
        <v/>
      </c>
      <c r="E258" s="63" t="str">
        <f aca="false">IFERROR(IF([1]库存等级接口!$E$258=0,"",[1]库存等级接口!$E$258),"")</f>
        <v/>
      </c>
      <c r="F258" s="64" t="str">
        <f aca="false">IFERROR(IF([1]库存等级接口!$F$258=0,"",[1]库存等级接口!$F$258),"")</f>
        <v/>
      </c>
      <c r="G258" s="65" t="str">
        <f aca="false">IFERROR(IF([1]库存等级接口!$G$258=0,"",[1]库存等级接口!$G$258),"")</f>
        <v/>
      </c>
      <c r="H258" s="62" t="str">
        <f aca="false">IFERROR(IF([1]库存等级接口!$H$258=0,"",[1]库存等级接口!$H$258),"")</f>
        <v/>
      </c>
      <c r="I258" s="61" t="n">
        <f aca="false">IF($B258="",0,1)</f>
        <v>0</v>
      </c>
      <c r="J258" s="61" t="n">
        <f aca="false">N(J257)+$I258</f>
        <v>56</v>
      </c>
    </row>
    <row r="259" customFormat="false" ht="15" hidden="false" customHeight="true" outlineLevel="0" collapsed="false">
      <c r="A259" s="61" t="n">
        <v>256</v>
      </c>
      <c r="B259" s="62" t="str">
        <f aca="false">IFERROR(IF([1]库存等级接口!$B$259=0,"",[1]库存等级接口!$B$259),"")</f>
        <v/>
      </c>
      <c r="C259" s="63" t="str">
        <f aca="false">IFERROR(IF([1]库存等级接口!$C$259=0,"",[1]库存等级接口!$C$259),"")</f>
        <v/>
      </c>
      <c r="D259" s="63" t="str">
        <f aca="false">IFERROR(IF([1]库存等级接口!$D$259=0,"",[1]库存等级接口!$D$259),"")</f>
        <v/>
      </c>
      <c r="E259" s="63" t="str">
        <f aca="false">IFERROR(IF([1]库存等级接口!$E$259=0,"",[1]库存等级接口!$E$259),"")</f>
        <v/>
      </c>
      <c r="F259" s="64" t="str">
        <f aca="false">IFERROR(IF([1]库存等级接口!$F$259=0,"",[1]库存等级接口!$F$259),"")</f>
        <v/>
      </c>
      <c r="G259" s="65" t="str">
        <f aca="false">IFERROR(IF([1]库存等级接口!$G$259=0,"",[1]库存等级接口!$G$259),"")</f>
        <v/>
      </c>
      <c r="H259" s="62" t="str">
        <f aca="false">IFERROR(IF([1]库存等级接口!$H$259=0,"",[1]库存等级接口!$H$259),"")</f>
        <v/>
      </c>
      <c r="I259" s="61" t="n">
        <f aca="false">IF($B259="",0,1)</f>
        <v>0</v>
      </c>
      <c r="J259" s="61" t="n">
        <f aca="false">N(J258)+$I259</f>
        <v>56</v>
      </c>
    </row>
    <row r="260" customFormat="false" ht="15" hidden="false" customHeight="true" outlineLevel="0" collapsed="false">
      <c r="A260" s="61" t="n">
        <v>257</v>
      </c>
      <c r="B260" s="62" t="str">
        <f aca="false">IFERROR(IF([1]库存等级接口!$B$260=0,"",[1]库存等级接口!$B$260),"")</f>
        <v/>
      </c>
      <c r="C260" s="63" t="str">
        <f aca="false">IFERROR(IF([1]库存等级接口!$C$260=0,"",[1]库存等级接口!$C$260),"")</f>
        <v/>
      </c>
      <c r="D260" s="63" t="str">
        <f aca="false">IFERROR(IF([1]库存等级接口!$D$260=0,"",[1]库存等级接口!$D$260),"")</f>
        <v/>
      </c>
      <c r="E260" s="63" t="str">
        <f aca="false">IFERROR(IF([1]库存等级接口!$E$260=0,"",[1]库存等级接口!$E$260),"")</f>
        <v/>
      </c>
      <c r="F260" s="64" t="str">
        <f aca="false">IFERROR(IF([1]库存等级接口!$F$260=0,"",[1]库存等级接口!$F$260),"")</f>
        <v/>
      </c>
      <c r="G260" s="65" t="str">
        <f aca="false">IFERROR(IF([1]库存等级接口!$G$260=0,"",[1]库存等级接口!$G$260),"")</f>
        <v/>
      </c>
      <c r="H260" s="62" t="str">
        <f aca="false">IFERROR(IF([1]库存等级接口!$H$260=0,"",[1]库存等级接口!$H$260),"")</f>
        <v/>
      </c>
      <c r="I260" s="61" t="n">
        <f aca="false">IF($B260="",0,1)</f>
        <v>0</v>
      </c>
      <c r="J260" s="61" t="n">
        <f aca="false">N(J259)+$I260</f>
        <v>56</v>
      </c>
    </row>
    <row r="261" customFormat="false" ht="15" hidden="false" customHeight="true" outlineLevel="0" collapsed="false">
      <c r="A261" s="61" t="n">
        <v>258</v>
      </c>
      <c r="B261" s="62" t="str">
        <f aca="false">IFERROR(IF([1]库存等级接口!$B$261=0,"",[1]库存等级接口!$B$261),"")</f>
        <v/>
      </c>
      <c r="C261" s="63" t="str">
        <f aca="false">IFERROR(IF([1]库存等级接口!$C$261=0,"",[1]库存等级接口!$C$261),"")</f>
        <v/>
      </c>
      <c r="D261" s="63" t="str">
        <f aca="false">IFERROR(IF([1]库存等级接口!$D$261=0,"",[1]库存等级接口!$D$261),"")</f>
        <v/>
      </c>
      <c r="E261" s="63" t="str">
        <f aca="false">IFERROR(IF([1]库存等级接口!$E$261=0,"",[1]库存等级接口!$E$261),"")</f>
        <v/>
      </c>
      <c r="F261" s="64" t="str">
        <f aca="false">IFERROR(IF([1]库存等级接口!$F$261=0,"",[1]库存等级接口!$F$261),"")</f>
        <v/>
      </c>
      <c r="G261" s="65" t="str">
        <f aca="false">IFERROR(IF([1]库存等级接口!$G$261=0,"",[1]库存等级接口!$G$261),"")</f>
        <v/>
      </c>
      <c r="H261" s="62" t="str">
        <f aca="false">IFERROR(IF([1]库存等级接口!$H$261=0,"",[1]库存等级接口!$H$261),"")</f>
        <v/>
      </c>
      <c r="I261" s="61" t="n">
        <f aca="false">IF($B261="",0,1)</f>
        <v>0</v>
      </c>
      <c r="J261" s="61" t="n">
        <f aca="false">N(J260)+$I261</f>
        <v>56</v>
      </c>
    </row>
    <row r="262" customFormat="false" ht="15" hidden="false" customHeight="true" outlineLevel="0" collapsed="false">
      <c r="A262" s="61" t="n">
        <v>259</v>
      </c>
      <c r="B262" s="62" t="str">
        <f aca="false">IFERROR(IF([1]库存等级接口!$B$262=0,"",[1]库存等级接口!$B$262),"")</f>
        <v/>
      </c>
      <c r="C262" s="63" t="str">
        <f aca="false">IFERROR(IF([1]库存等级接口!$C$262=0,"",[1]库存等级接口!$C$262),"")</f>
        <v/>
      </c>
      <c r="D262" s="63" t="str">
        <f aca="false">IFERROR(IF([1]库存等级接口!$D$262=0,"",[1]库存等级接口!$D$262),"")</f>
        <v/>
      </c>
      <c r="E262" s="63" t="str">
        <f aca="false">IFERROR(IF([1]库存等级接口!$E$262=0,"",[1]库存等级接口!$E$262),"")</f>
        <v/>
      </c>
      <c r="F262" s="64" t="str">
        <f aca="false">IFERROR(IF([1]库存等级接口!$F$262=0,"",[1]库存等级接口!$F$262),"")</f>
        <v/>
      </c>
      <c r="G262" s="65" t="str">
        <f aca="false">IFERROR(IF([1]库存等级接口!$G$262=0,"",[1]库存等级接口!$G$262),"")</f>
        <v/>
      </c>
      <c r="H262" s="62" t="str">
        <f aca="false">IFERROR(IF([1]库存等级接口!$H$262=0,"",[1]库存等级接口!$H$262),"")</f>
        <v/>
      </c>
      <c r="I262" s="61" t="n">
        <f aca="false">IF($B262="",0,1)</f>
        <v>0</v>
      </c>
      <c r="J262" s="61" t="n">
        <f aca="false">N(J261)+$I262</f>
        <v>56</v>
      </c>
    </row>
    <row r="263" customFormat="false" ht="15" hidden="false" customHeight="true" outlineLevel="0" collapsed="false">
      <c r="A263" s="61" t="n">
        <v>260</v>
      </c>
      <c r="B263" s="62" t="str">
        <f aca="false">IFERROR(IF([1]库存等级接口!$B$263=0,"",[1]库存等级接口!$B$263),"")</f>
        <v/>
      </c>
      <c r="C263" s="63" t="str">
        <f aca="false">IFERROR(IF([1]库存等级接口!$C$263=0,"",[1]库存等级接口!$C$263),"")</f>
        <v/>
      </c>
      <c r="D263" s="63" t="str">
        <f aca="false">IFERROR(IF([1]库存等级接口!$D$263=0,"",[1]库存等级接口!$D$263),"")</f>
        <v/>
      </c>
      <c r="E263" s="63" t="str">
        <f aca="false">IFERROR(IF([1]库存等级接口!$E$263=0,"",[1]库存等级接口!$E$263),"")</f>
        <v/>
      </c>
      <c r="F263" s="64" t="str">
        <f aca="false">IFERROR(IF([1]库存等级接口!$F$263=0,"",[1]库存等级接口!$F$263),"")</f>
        <v/>
      </c>
      <c r="G263" s="65" t="str">
        <f aca="false">IFERROR(IF([1]库存等级接口!$G$263=0,"",[1]库存等级接口!$G$263),"")</f>
        <v/>
      </c>
      <c r="H263" s="62" t="str">
        <f aca="false">IFERROR(IF([1]库存等级接口!$H$263=0,"",[1]库存等级接口!$H$263),"")</f>
        <v/>
      </c>
      <c r="I263" s="61" t="n">
        <f aca="false">IF($B263="",0,1)</f>
        <v>0</v>
      </c>
      <c r="J263" s="61" t="n">
        <f aca="false">N(J262)+$I263</f>
        <v>56</v>
      </c>
    </row>
    <row r="264" customFormat="false" ht="15" hidden="false" customHeight="true" outlineLevel="0" collapsed="false">
      <c r="A264" s="61" t="n">
        <v>261</v>
      </c>
      <c r="B264" s="62" t="str">
        <f aca="false">IFERROR(IF([1]库存等级接口!$B$264=0,"",[1]库存等级接口!$B$264),"")</f>
        <v/>
      </c>
      <c r="C264" s="63" t="str">
        <f aca="false">IFERROR(IF([1]库存等级接口!$C$264=0,"",[1]库存等级接口!$C$264),"")</f>
        <v/>
      </c>
      <c r="D264" s="63" t="str">
        <f aca="false">IFERROR(IF([1]库存等级接口!$D$264=0,"",[1]库存等级接口!$D$264),"")</f>
        <v/>
      </c>
      <c r="E264" s="63" t="str">
        <f aca="false">IFERROR(IF([1]库存等级接口!$E$264=0,"",[1]库存等级接口!$E$264),"")</f>
        <v/>
      </c>
      <c r="F264" s="64" t="str">
        <f aca="false">IFERROR(IF([1]库存等级接口!$F$264=0,"",[1]库存等级接口!$F$264),"")</f>
        <v/>
      </c>
      <c r="G264" s="65" t="str">
        <f aca="false">IFERROR(IF([1]库存等级接口!$G$264=0,"",[1]库存等级接口!$G$264),"")</f>
        <v/>
      </c>
      <c r="H264" s="62" t="str">
        <f aca="false">IFERROR(IF([1]库存等级接口!$H$264=0,"",[1]库存等级接口!$H$264),"")</f>
        <v/>
      </c>
      <c r="I264" s="61" t="n">
        <f aca="false">IF($B264="",0,1)</f>
        <v>0</v>
      </c>
      <c r="J264" s="61" t="n">
        <f aca="false">N(J263)+$I264</f>
        <v>56</v>
      </c>
    </row>
    <row r="265" customFormat="false" ht="15" hidden="false" customHeight="true" outlineLevel="0" collapsed="false">
      <c r="A265" s="61" t="n">
        <v>262</v>
      </c>
      <c r="B265" s="62" t="str">
        <f aca="false">IFERROR(IF([1]库存等级接口!$B$265=0,"",[1]库存等级接口!$B$265),"")</f>
        <v/>
      </c>
      <c r="C265" s="63" t="str">
        <f aca="false">IFERROR(IF([1]库存等级接口!$C$265=0,"",[1]库存等级接口!$C$265),"")</f>
        <v/>
      </c>
      <c r="D265" s="63" t="str">
        <f aca="false">IFERROR(IF([1]库存等级接口!$D$265=0,"",[1]库存等级接口!$D$265),"")</f>
        <v/>
      </c>
      <c r="E265" s="63" t="str">
        <f aca="false">IFERROR(IF([1]库存等级接口!$E$265=0,"",[1]库存等级接口!$E$265),"")</f>
        <v/>
      </c>
      <c r="F265" s="64" t="str">
        <f aca="false">IFERROR(IF([1]库存等级接口!$F$265=0,"",[1]库存等级接口!$F$265),"")</f>
        <v/>
      </c>
      <c r="G265" s="65" t="str">
        <f aca="false">IFERROR(IF([1]库存等级接口!$G$265=0,"",[1]库存等级接口!$G$265),"")</f>
        <v/>
      </c>
      <c r="H265" s="62" t="str">
        <f aca="false">IFERROR(IF([1]库存等级接口!$H$265=0,"",[1]库存等级接口!$H$265),"")</f>
        <v/>
      </c>
      <c r="I265" s="61" t="n">
        <f aca="false">IF($B265="",0,1)</f>
        <v>0</v>
      </c>
      <c r="J265" s="61" t="n">
        <f aca="false">N(J264)+$I265</f>
        <v>56</v>
      </c>
    </row>
    <row r="266" customFormat="false" ht="15" hidden="false" customHeight="true" outlineLevel="0" collapsed="false">
      <c r="A266" s="61" t="n">
        <v>263</v>
      </c>
      <c r="B266" s="62" t="str">
        <f aca="false">IFERROR(IF([1]库存等级接口!$B$266=0,"",[1]库存等级接口!$B$266),"")</f>
        <v/>
      </c>
      <c r="C266" s="63" t="str">
        <f aca="false">IFERROR(IF([1]库存等级接口!$C$266=0,"",[1]库存等级接口!$C$266),"")</f>
        <v/>
      </c>
      <c r="D266" s="63" t="str">
        <f aca="false">IFERROR(IF([1]库存等级接口!$D$266=0,"",[1]库存等级接口!$D$266),"")</f>
        <v/>
      </c>
      <c r="E266" s="63" t="str">
        <f aca="false">IFERROR(IF([1]库存等级接口!$E$266=0,"",[1]库存等级接口!$E$266),"")</f>
        <v/>
      </c>
      <c r="F266" s="64" t="str">
        <f aca="false">IFERROR(IF([1]库存等级接口!$F$266=0,"",[1]库存等级接口!$F$266),"")</f>
        <v/>
      </c>
      <c r="G266" s="65" t="str">
        <f aca="false">IFERROR(IF([1]库存等级接口!$G$266=0,"",[1]库存等级接口!$G$266),"")</f>
        <v/>
      </c>
      <c r="H266" s="62" t="str">
        <f aca="false">IFERROR(IF([1]库存等级接口!$H$266=0,"",[1]库存等级接口!$H$266),"")</f>
        <v/>
      </c>
      <c r="I266" s="61" t="n">
        <f aca="false">IF($B266="",0,1)</f>
        <v>0</v>
      </c>
      <c r="J266" s="61" t="n">
        <f aca="false">N(J265)+$I266</f>
        <v>56</v>
      </c>
    </row>
    <row r="267" customFormat="false" ht="15" hidden="false" customHeight="true" outlineLevel="0" collapsed="false">
      <c r="A267" s="61" t="n">
        <v>264</v>
      </c>
      <c r="B267" s="62" t="str">
        <f aca="false">IFERROR(IF([1]库存等级接口!$B$267=0,"",[1]库存等级接口!$B$267),"")</f>
        <v/>
      </c>
      <c r="C267" s="63" t="str">
        <f aca="false">IFERROR(IF([1]库存等级接口!$C$267=0,"",[1]库存等级接口!$C$267),"")</f>
        <v/>
      </c>
      <c r="D267" s="63" t="str">
        <f aca="false">IFERROR(IF([1]库存等级接口!$D$267=0,"",[1]库存等级接口!$D$267),"")</f>
        <v/>
      </c>
      <c r="E267" s="63" t="str">
        <f aca="false">IFERROR(IF([1]库存等级接口!$E$267=0,"",[1]库存等级接口!$E$267),"")</f>
        <v/>
      </c>
      <c r="F267" s="64" t="str">
        <f aca="false">IFERROR(IF([1]库存等级接口!$F$267=0,"",[1]库存等级接口!$F$267),"")</f>
        <v/>
      </c>
      <c r="G267" s="65" t="str">
        <f aca="false">IFERROR(IF([1]库存等级接口!$G$267=0,"",[1]库存等级接口!$G$267),"")</f>
        <v/>
      </c>
      <c r="H267" s="62" t="str">
        <f aca="false">IFERROR(IF([1]库存等级接口!$H$267=0,"",[1]库存等级接口!$H$267),"")</f>
        <v/>
      </c>
      <c r="I267" s="61" t="n">
        <f aca="false">IF($B267="",0,1)</f>
        <v>0</v>
      </c>
      <c r="J267" s="61" t="n">
        <f aca="false">N(J266)+$I267</f>
        <v>56</v>
      </c>
    </row>
    <row r="268" customFormat="false" ht="15" hidden="false" customHeight="true" outlineLevel="0" collapsed="false">
      <c r="A268" s="61" t="n">
        <v>265</v>
      </c>
      <c r="B268" s="62" t="str">
        <f aca="false">IFERROR(IF([1]库存等级接口!$B$268=0,"",[1]库存等级接口!$B$268),"")</f>
        <v/>
      </c>
      <c r="C268" s="63" t="str">
        <f aca="false">IFERROR(IF([1]库存等级接口!$C$268=0,"",[1]库存等级接口!$C$268),"")</f>
        <v/>
      </c>
      <c r="D268" s="63" t="str">
        <f aca="false">IFERROR(IF([1]库存等级接口!$D$268=0,"",[1]库存等级接口!$D$268),"")</f>
        <v/>
      </c>
      <c r="E268" s="63" t="str">
        <f aca="false">IFERROR(IF([1]库存等级接口!$E$268=0,"",[1]库存等级接口!$E$268),"")</f>
        <v/>
      </c>
      <c r="F268" s="64" t="str">
        <f aca="false">IFERROR(IF([1]库存等级接口!$F$268=0,"",[1]库存等级接口!$F$268),"")</f>
        <v/>
      </c>
      <c r="G268" s="65" t="str">
        <f aca="false">IFERROR(IF([1]库存等级接口!$G$268=0,"",[1]库存等级接口!$G$268),"")</f>
        <v/>
      </c>
      <c r="H268" s="62" t="str">
        <f aca="false">IFERROR(IF([1]库存等级接口!$H$268=0,"",[1]库存等级接口!$H$268),"")</f>
        <v/>
      </c>
      <c r="I268" s="61" t="n">
        <f aca="false">IF($B268="",0,1)</f>
        <v>0</v>
      </c>
      <c r="J268" s="61" t="n">
        <f aca="false">N(J267)+$I268</f>
        <v>56</v>
      </c>
    </row>
    <row r="269" customFormat="false" ht="15" hidden="false" customHeight="true" outlineLevel="0" collapsed="false">
      <c r="A269" s="61" t="n">
        <v>266</v>
      </c>
      <c r="B269" s="62" t="str">
        <f aca="false">IFERROR(IF([1]库存等级接口!$B$269=0,"",[1]库存等级接口!$B$269),"")</f>
        <v/>
      </c>
      <c r="C269" s="63" t="str">
        <f aca="false">IFERROR(IF([1]库存等级接口!$C$269=0,"",[1]库存等级接口!$C$269),"")</f>
        <v/>
      </c>
      <c r="D269" s="63" t="str">
        <f aca="false">IFERROR(IF([1]库存等级接口!$D$269=0,"",[1]库存等级接口!$D$269),"")</f>
        <v/>
      </c>
      <c r="E269" s="63" t="str">
        <f aca="false">IFERROR(IF([1]库存等级接口!$E$269=0,"",[1]库存等级接口!$E$269),"")</f>
        <v/>
      </c>
      <c r="F269" s="64" t="str">
        <f aca="false">IFERROR(IF([1]库存等级接口!$F$269=0,"",[1]库存等级接口!$F$269),"")</f>
        <v/>
      </c>
      <c r="G269" s="65" t="str">
        <f aca="false">IFERROR(IF([1]库存等级接口!$G$269=0,"",[1]库存等级接口!$G$269),"")</f>
        <v/>
      </c>
      <c r="H269" s="62" t="str">
        <f aca="false">IFERROR(IF([1]库存等级接口!$H$269=0,"",[1]库存等级接口!$H$269),"")</f>
        <v/>
      </c>
      <c r="I269" s="61" t="n">
        <f aca="false">IF($B269="",0,1)</f>
        <v>0</v>
      </c>
      <c r="J269" s="61" t="n">
        <f aca="false">N(J268)+$I269</f>
        <v>56</v>
      </c>
    </row>
    <row r="270" customFormat="false" ht="15" hidden="false" customHeight="true" outlineLevel="0" collapsed="false">
      <c r="A270" s="61" t="n">
        <v>267</v>
      </c>
      <c r="B270" s="62" t="str">
        <f aca="false">IFERROR(IF([1]库存等级接口!$B$270=0,"",[1]库存等级接口!$B$270),"")</f>
        <v/>
      </c>
      <c r="C270" s="63" t="str">
        <f aca="false">IFERROR(IF([1]库存等级接口!$C$270=0,"",[1]库存等级接口!$C$270),"")</f>
        <v/>
      </c>
      <c r="D270" s="63" t="str">
        <f aca="false">IFERROR(IF([1]库存等级接口!$D$270=0,"",[1]库存等级接口!$D$270),"")</f>
        <v/>
      </c>
      <c r="E270" s="63" t="str">
        <f aca="false">IFERROR(IF([1]库存等级接口!$E$270=0,"",[1]库存等级接口!$E$270),"")</f>
        <v/>
      </c>
      <c r="F270" s="64" t="str">
        <f aca="false">IFERROR(IF([1]库存等级接口!$F$270=0,"",[1]库存等级接口!$F$270),"")</f>
        <v/>
      </c>
      <c r="G270" s="65" t="str">
        <f aca="false">IFERROR(IF([1]库存等级接口!$G$270=0,"",[1]库存等级接口!$G$270),"")</f>
        <v/>
      </c>
      <c r="H270" s="62" t="str">
        <f aca="false">IFERROR(IF([1]库存等级接口!$H$270=0,"",[1]库存等级接口!$H$270),"")</f>
        <v/>
      </c>
      <c r="I270" s="61" t="n">
        <f aca="false">IF($B270="",0,1)</f>
        <v>0</v>
      </c>
      <c r="J270" s="61" t="n">
        <f aca="false">N(J269)+$I270</f>
        <v>56</v>
      </c>
    </row>
    <row r="271" customFormat="false" ht="15" hidden="false" customHeight="true" outlineLevel="0" collapsed="false">
      <c r="A271" s="61" t="n">
        <v>268</v>
      </c>
      <c r="B271" s="62" t="str">
        <f aca="false">IFERROR(IF([1]库存等级接口!$B$271=0,"",[1]库存等级接口!$B$271),"")</f>
        <v/>
      </c>
      <c r="C271" s="63" t="str">
        <f aca="false">IFERROR(IF([1]库存等级接口!$C$271=0,"",[1]库存等级接口!$C$271),"")</f>
        <v/>
      </c>
      <c r="D271" s="63" t="str">
        <f aca="false">IFERROR(IF([1]库存等级接口!$D$271=0,"",[1]库存等级接口!$D$271),"")</f>
        <v/>
      </c>
      <c r="E271" s="63" t="str">
        <f aca="false">IFERROR(IF([1]库存等级接口!$E$271=0,"",[1]库存等级接口!$E$271),"")</f>
        <v/>
      </c>
      <c r="F271" s="64" t="str">
        <f aca="false">IFERROR(IF([1]库存等级接口!$F$271=0,"",[1]库存等级接口!$F$271),"")</f>
        <v/>
      </c>
      <c r="G271" s="65" t="str">
        <f aca="false">IFERROR(IF([1]库存等级接口!$G$271=0,"",[1]库存等级接口!$G$271),"")</f>
        <v/>
      </c>
      <c r="H271" s="62" t="str">
        <f aca="false">IFERROR(IF([1]库存等级接口!$H$271=0,"",[1]库存等级接口!$H$271),"")</f>
        <v/>
      </c>
      <c r="I271" s="61" t="n">
        <f aca="false">IF($B271="",0,1)</f>
        <v>0</v>
      </c>
      <c r="J271" s="61" t="n">
        <f aca="false">N(J270)+$I271</f>
        <v>56</v>
      </c>
    </row>
    <row r="272" customFormat="false" ht="15" hidden="false" customHeight="true" outlineLevel="0" collapsed="false">
      <c r="A272" s="61" t="n">
        <v>269</v>
      </c>
      <c r="B272" s="62" t="str">
        <f aca="false">IFERROR(IF([1]库存等级接口!$B$272=0,"",[1]库存等级接口!$B$272),"")</f>
        <v/>
      </c>
      <c r="C272" s="63" t="str">
        <f aca="false">IFERROR(IF([1]库存等级接口!$C$272=0,"",[1]库存等级接口!$C$272),"")</f>
        <v/>
      </c>
      <c r="D272" s="63" t="str">
        <f aca="false">IFERROR(IF([1]库存等级接口!$D$272=0,"",[1]库存等级接口!$D$272),"")</f>
        <v/>
      </c>
      <c r="E272" s="63" t="str">
        <f aca="false">IFERROR(IF([1]库存等级接口!$E$272=0,"",[1]库存等级接口!$E$272),"")</f>
        <v/>
      </c>
      <c r="F272" s="64" t="str">
        <f aca="false">IFERROR(IF([1]库存等级接口!$F$272=0,"",[1]库存等级接口!$F$272),"")</f>
        <v/>
      </c>
      <c r="G272" s="65" t="str">
        <f aca="false">IFERROR(IF([1]库存等级接口!$G$272=0,"",[1]库存等级接口!$G$272),"")</f>
        <v/>
      </c>
      <c r="H272" s="62" t="str">
        <f aca="false">IFERROR(IF([1]库存等级接口!$H$272=0,"",[1]库存等级接口!$H$272),"")</f>
        <v/>
      </c>
      <c r="I272" s="61" t="n">
        <f aca="false">IF($B272="",0,1)</f>
        <v>0</v>
      </c>
      <c r="J272" s="61" t="n">
        <f aca="false">N(J271)+$I272</f>
        <v>56</v>
      </c>
    </row>
    <row r="273" customFormat="false" ht="15" hidden="false" customHeight="true" outlineLevel="0" collapsed="false">
      <c r="A273" s="61" t="n">
        <v>270</v>
      </c>
      <c r="B273" s="62" t="str">
        <f aca="false">IFERROR(IF([1]库存等级接口!$B$273=0,"",[1]库存等级接口!$B$273),"")</f>
        <v/>
      </c>
      <c r="C273" s="63" t="str">
        <f aca="false">IFERROR(IF([1]库存等级接口!$C$273=0,"",[1]库存等级接口!$C$273),"")</f>
        <v/>
      </c>
      <c r="D273" s="63" t="str">
        <f aca="false">IFERROR(IF([1]库存等级接口!$D$273=0,"",[1]库存等级接口!$D$273),"")</f>
        <v/>
      </c>
      <c r="E273" s="63" t="str">
        <f aca="false">IFERROR(IF([1]库存等级接口!$E$273=0,"",[1]库存等级接口!$E$273),"")</f>
        <v/>
      </c>
      <c r="F273" s="64" t="str">
        <f aca="false">IFERROR(IF([1]库存等级接口!$F$273=0,"",[1]库存等级接口!$F$273),"")</f>
        <v/>
      </c>
      <c r="G273" s="65" t="str">
        <f aca="false">IFERROR(IF([1]库存等级接口!$G$273=0,"",[1]库存等级接口!$G$273),"")</f>
        <v/>
      </c>
      <c r="H273" s="62" t="str">
        <f aca="false">IFERROR(IF([1]库存等级接口!$H$273=0,"",[1]库存等级接口!$H$273),"")</f>
        <v/>
      </c>
      <c r="I273" s="61" t="n">
        <f aca="false">IF($B273="",0,1)</f>
        <v>0</v>
      </c>
      <c r="J273" s="61" t="n">
        <f aca="false">N(J272)+$I273</f>
        <v>56</v>
      </c>
    </row>
    <row r="274" customFormat="false" ht="15" hidden="false" customHeight="true" outlineLevel="0" collapsed="false">
      <c r="A274" s="61" t="n">
        <v>271</v>
      </c>
      <c r="B274" s="62" t="str">
        <f aca="false">IFERROR(IF([1]库存等级接口!$B$274=0,"",[1]库存等级接口!$B$274),"")</f>
        <v/>
      </c>
      <c r="C274" s="63" t="str">
        <f aca="false">IFERROR(IF([1]库存等级接口!$C$274=0,"",[1]库存等级接口!$C$274),"")</f>
        <v/>
      </c>
      <c r="D274" s="63" t="str">
        <f aca="false">IFERROR(IF([1]库存等级接口!$D$274=0,"",[1]库存等级接口!$D$274),"")</f>
        <v/>
      </c>
      <c r="E274" s="63" t="str">
        <f aca="false">IFERROR(IF([1]库存等级接口!$E$274=0,"",[1]库存等级接口!$E$274),"")</f>
        <v/>
      </c>
      <c r="F274" s="64" t="str">
        <f aca="false">IFERROR(IF([1]库存等级接口!$F$274=0,"",[1]库存等级接口!$F$274),"")</f>
        <v/>
      </c>
      <c r="G274" s="65" t="str">
        <f aca="false">IFERROR(IF([1]库存等级接口!$G$274=0,"",[1]库存等级接口!$G$274),"")</f>
        <v/>
      </c>
      <c r="H274" s="62" t="str">
        <f aca="false">IFERROR(IF([1]库存等级接口!$H$274=0,"",[1]库存等级接口!$H$274),"")</f>
        <v/>
      </c>
      <c r="I274" s="61" t="n">
        <f aca="false">IF($B274="",0,1)</f>
        <v>0</v>
      </c>
      <c r="J274" s="61" t="n">
        <f aca="false">N(J273)+$I274</f>
        <v>56</v>
      </c>
    </row>
    <row r="275" customFormat="false" ht="15" hidden="false" customHeight="true" outlineLevel="0" collapsed="false">
      <c r="A275" s="61" t="n">
        <v>272</v>
      </c>
      <c r="B275" s="62" t="str">
        <f aca="false">IFERROR(IF([1]库存等级接口!$B$275=0,"",[1]库存等级接口!$B$275),"")</f>
        <v/>
      </c>
      <c r="C275" s="63" t="str">
        <f aca="false">IFERROR(IF([1]库存等级接口!$C$275=0,"",[1]库存等级接口!$C$275),"")</f>
        <v/>
      </c>
      <c r="D275" s="63" t="str">
        <f aca="false">IFERROR(IF([1]库存等级接口!$D$275=0,"",[1]库存等级接口!$D$275),"")</f>
        <v/>
      </c>
      <c r="E275" s="63" t="str">
        <f aca="false">IFERROR(IF([1]库存等级接口!$E$275=0,"",[1]库存等级接口!$E$275),"")</f>
        <v/>
      </c>
      <c r="F275" s="64" t="str">
        <f aca="false">IFERROR(IF([1]库存等级接口!$F$275=0,"",[1]库存等级接口!$F$275),"")</f>
        <v/>
      </c>
      <c r="G275" s="65" t="str">
        <f aca="false">IFERROR(IF([1]库存等级接口!$G$275=0,"",[1]库存等级接口!$G$275),"")</f>
        <v/>
      </c>
      <c r="H275" s="62" t="str">
        <f aca="false">IFERROR(IF([1]库存等级接口!$H$275=0,"",[1]库存等级接口!$H$275),"")</f>
        <v/>
      </c>
      <c r="I275" s="61" t="n">
        <f aca="false">IF($B275="",0,1)</f>
        <v>0</v>
      </c>
      <c r="J275" s="61" t="n">
        <f aca="false">N(J274)+$I275</f>
        <v>56</v>
      </c>
    </row>
    <row r="276" customFormat="false" ht="15" hidden="false" customHeight="true" outlineLevel="0" collapsed="false">
      <c r="A276" s="61" t="n">
        <v>273</v>
      </c>
      <c r="B276" s="62" t="str">
        <f aca="false">IFERROR(IF([1]库存等级接口!$B$276=0,"",[1]库存等级接口!$B$276),"")</f>
        <v/>
      </c>
      <c r="C276" s="63" t="str">
        <f aca="false">IFERROR(IF([1]库存等级接口!$C$276=0,"",[1]库存等级接口!$C$276),"")</f>
        <v/>
      </c>
      <c r="D276" s="63" t="str">
        <f aca="false">IFERROR(IF([1]库存等级接口!$D$276=0,"",[1]库存等级接口!$D$276),"")</f>
        <v/>
      </c>
      <c r="E276" s="63" t="str">
        <f aca="false">IFERROR(IF([1]库存等级接口!$E$276=0,"",[1]库存等级接口!$E$276),"")</f>
        <v/>
      </c>
      <c r="F276" s="64" t="str">
        <f aca="false">IFERROR(IF([1]库存等级接口!$F$276=0,"",[1]库存等级接口!$F$276),"")</f>
        <v/>
      </c>
      <c r="G276" s="65" t="str">
        <f aca="false">IFERROR(IF([1]库存等级接口!$G$276=0,"",[1]库存等级接口!$G$276),"")</f>
        <v/>
      </c>
      <c r="H276" s="62" t="str">
        <f aca="false">IFERROR(IF([1]库存等级接口!$H$276=0,"",[1]库存等级接口!$H$276),"")</f>
        <v/>
      </c>
      <c r="I276" s="61" t="n">
        <f aca="false">IF($B276="",0,1)</f>
        <v>0</v>
      </c>
      <c r="J276" s="61" t="n">
        <f aca="false">N(J275)+$I276</f>
        <v>56</v>
      </c>
    </row>
    <row r="277" customFormat="false" ht="15" hidden="false" customHeight="true" outlineLevel="0" collapsed="false">
      <c r="A277" s="61" t="n">
        <v>274</v>
      </c>
      <c r="B277" s="62" t="str">
        <f aca="false">IFERROR(IF([1]库存等级接口!$B$277=0,"",[1]库存等级接口!$B$277),"")</f>
        <v/>
      </c>
      <c r="C277" s="63" t="str">
        <f aca="false">IFERROR(IF([1]库存等级接口!$C$277=0,"",[1]库存等级接口!$C$277),"")</f>
        <v/>
      </c>
      <c r="D277" s="63" t="str">
        <f aca="false">IFERROR(IF([1]库存等级接口!$D$277=0,"",[1]库存等级接口!$D$277),"")</f>
        <v/>
      </c>
      <c r="E277" s="63" t="str">
        <f aca="false">IFERROR(IF([1]库存等级接口!$E$277=0,"",[1]库存等级接口!$E$277),"")</f>
        <v/>
      </c>
      <c r="F277" s="64" t="str">
        <f aca="false">IFERROR(IF([1]库存等级接口!$F$277=0,"",[1]库存等级接口!$F$277),"")</f>
        <v/>
      </c>
      <c r="G277" s="65" t="str">
        <f aca="false">IFERROR(IF([1]库存等级接口!$G$277=0,"",[1]库存等级接口!$G$277),"")</f>
        <v/>
      </c>
      <c r="H277" s="62" t="str">
        <f aca="false">IFERROR(IF([1]库存等级接口!$H$277=0,"",[1]库存等级接口!$H$277),"")</f>
        <v/>
      </c>
      <c r="I277" s="61" t="n">
        <f aca="false">IF($B277="",0,1)</f>
        <v>0</v>
      </c>
      <c r="J277" s="61" t="n">
        <f aca="false">N(J276)+$I277</f>
        <v>56</v>
      </c>
    </row>
    <row r="278" customFormat="false" ht="15" hidden="false" customHeight="true" outlineLevel="0" collapsed="false">
      <c r="A278" s="61" t="n">
        <v>275</v>
      </c>
      <c r="B278" s="62" t="str">
        <f aca="false">IFERROR(IF([1]库存等级接口!$B$278=0,"",[1]库存等级接口!$B$278),"")</f>
        <v/>
      </c>
      <c r="C278" s="63" t="str">
        <f aca="false">IFERROR(IF([1]库存等级接口!$C$278=0,"",[1]库存等级接口!$C$278),"")</f>
        <v/>
      </c>
      <c r="D278" s="63" t="str">
        <f aca="false">IFERROR(IF([1]库存等级接口!$D$278=0,"",[1]库存等级接口!$D$278),"")</f>
        <v/>
      </c>
      <c r="E278" s="63" t="str">
        <f aca="false">IFERROR(IF([1]库存等级接口!$E$278=0,"",[1]库存等级接口!$E$278),"")</f>
        <v/>
      </c>
      <c r="F278" s="64" t="str">
        <f aca="false">IFERROR(IF([1]库存等级接口!$F$278=0,"",[1]库存等级接口!$F$278),"")</f>
        <v/>
      </c>
      <c r="G278" s="65" t="str">
        <f aca="false">IFERROR(IF([1]库存等级接口!$G$278=0,"",[1]库存等级接口!$G$278),"")</f>
        <v/>
      </c>
      <c r="H278" s="62" t="str">
        <f aca="false">IFERROR(IF([1]库存等级接口!$H$278=0,"",[1]库存等级接口!$H$278),"")</f>
        <v/>
      </c>
      <c r="I278" s="61" t="n">
        <f aca="false">IF($B278="",0,1)</f>
        <v>0</v>
      </c>
      <c r="J278" s="61" t="n">
        <f aca="false">N(J277)+$I278</f>
        <v>56</v>
      </c>
    </row>
    <row r="279" customFormat="false" ht="15" hidden="false" customHeight="true" outlineLevel="0" collapsed="false">
      <c r="A279" s="61" t="n">
        <v>276</v>
      </c>
      <c r="B279" s="62" t="str">
        <f aca="false">IFERROR(IF([1]库存等级接口!$B$279=0,"",[1]库存等级接口!$B$279),"")</f>
        <v/>
      </c>
      <c r="C279" s="63" t="str">
        <f aca="false">IFERROR(IF([1]库存等级接口!$C$279=0,"",[1]库存等级接口!$C$279),"")</f>
        <v/>
      </c>
      <c r="D279" s="63" t="str">
        <f aca="false">IFERROR(IF([1]库存等级接口!$D$279=0,"",[1]库存等级接口!$D$279),"")</f>
        <v/>
      </c>
      <c r="E279" s="63" t="str">
        <f aca="false">IFERROR(IF([1]库存等级接口!$E$279=0,"",[1]库存等级接口!$E$279),"")</f>
        <v/>
      </c>
      <c r="F279" s="64" t="str">
        <f aca="false">IFERROR(IF([1]库存等级接口!$F$279=0,"",[1]库存等级接口!$F$279),"")</f>
        <v/>
      </c>
      <c r="G279" s="65" t="str">
        <f aca="false">IFERROR(IF([1]库存等级接口!$G$279=0,"",[1]库存等级接口!$G$279),"")</f>
        <v/>
      </c>
      <c r="H279" s="62" t="str">
        <f aca="false">IFERROR(IF([1]库存等级接口!$H$279=0,"",[1]库存等级接口!$H$279),"")</f>
        <v/>
      </c>
      <c r="I279" s="61" t="n">
        <f aca="false">IF($B279="",0,1)</f>
        <v>0</v>
      </c>
      <c r="J279" s="61" t="n">
        <f aca="false">N(J278)+$I279</f>
        <v>56</v>
      </c>
    </row>
    <row r="280" customFormat="false" ht="15" hidden="false" customHeight="true" outlineLevel="0" collapsed="false">
      <c r="A280" s="61" t="n">
        <v>277</v>
      </c>
      <c r="B280" s="62" t="str">
        <f aca="false">IFERROR(IF([1]库存等级接口!$B$280=0,"",[1]库存等级接口!$B$280),"")</f>
        <v/>
      </c>
      <c r="C280" s="63" t="str">
        <f aca="false">IFERROR(IF([1]库存等级接口!$C$280=0,"",[1]库存等级接口!$C$280),"")</f>
        <v/>
      </c>
      <c r="D280" s="63" t="str">
        <f aca="false">IFERROR(IF([1]库存等级接口!$D$280=0,"",[1]库存等级接口!$D$280),"")</f>
        <v/>
      </c>
      <c r="E280" s="63" t="str">
        <f aca="false">IFERROR(IF([1]库存等级接口!$E$280=0,"",[1]库存等级接口!$E$280),"")</f>
        <v/>
      </c>
      <c r="F280" s="64" t="str">
        <f aca="false">IFERROR(IF([1]库存等级接口!$F$280=0,"",[1]库存等级接口!$F$280),"")</f>
        <v/>
      </c>
      <c r="G280" s="65" t="str">
        <f aca="false">IFERROR(IF([1]库存等级接口!$G$280=0,"",[1]库存等级接口!$G$280),"")</f>
        <v/>
      </c>
      <c r="H280" s="62" t="str">
        <f aca="false">IFERROR(IF([1]库存等级接口!$H$280=0,"",[1]库存等级接口!$H$280),"")</f>
        <v/>
      </c>
      <c r="I280" s="61" t="n">
        <f aca="false">IF($B280="",0,1)</f>
        <v>0</v>
      </c>
      <c r="J280" s="61" t="n">
        <f aca="false">N(J279)+$I280</f>
        <v>56</v>
      </c>
    </row>
    <row r="281" customFormat="false" ht="15" hidden="false" customHeight="true" outlineLevel="0" collapsed="false">
      <c r="A281" s="61" t="n">
        <v>278</v>
      </c>
      <c r="B281" s="62" t="str">
        <f aca="false">IFERROR(IF([1]库存等级接口!$B$281=0,"",[1]库存等级接口!$B$281),"")</f>
        <v/>
      </c>
      <c r="C281" s="63" t="str">
        <f aca="false">IFERROR(IF([1]库存等级接口!$C$281=0,"",[1]库存等级接口!$C$281),"")</f>
        <v/>
      </c>
      <c r="D281" s="63" t="str">
        <f aca="false">IFERROR(IF([1]库存等级接口!$D$281=0,"",[1]库存等级接口!$D$281),"")</f>
        <v/>
      </c>
      <c r="E281" s="63" t="str">
        <f aca="false">IFERROR(IF([1]库存等级接口!$E$281=0,"",[1]库存等级接口!$E$281),"")</f>
        <v/>
      </c>
      <c r="F281" s="64" t="str">
        <f aca="false">IFERROR(IF([1]库存等级接口!$F$281=0,"",[1]库存等级接口!$F$281),"")</f>
        <v/>
      </c>
      <c r="G281" s="65" t="str">
        <f aca="false">IFERROR(IF([1]库存等级接口!$G$281=0,"",[1]库存等级接口!$G$281),"")</f>
        <v/>
      </c>
      <c r="H281" s="62" t="str">
        <f aca="false">IFERROR(IF([1]库存等级接口!$H$281=0,"",[1]库存等级接口!$H$281),"")</f>
        <v/>
      </c>
      <c r="I281" s="61" t="n">
        <f aca="false">IF($B281="",0,1)</f>
        <v>0</v>
      </c>
      <c r="J281" s="61" t="n">
        <f aca="false">N(J280)+$I281</f>
        <v>56</v>
      </c>
    </row>
    <row r="282" customFormat="false" ht="15" hidden="false" customHeight="true" outlineLevel="0" collapsed="false">
      <c r="A282" s="61" t="n">
        <v>279</v>
      </c>
      <c r="B282" s="62" t="str">
        <f aca="false">IFERROR(IF([1]库存等级接口!$B$282=0,"",[1]库存等级接口!$B$282),"")</f>
        <v/>
      </c>
      <c r="C282" s="63" t="str">
        <f aca="false">IFERROR(IF([1]库存等级接口!$C$282=0,"",[1]库存等级接口!$C$282),"")</f>
        <v/>
      </c>
      <c r="D282" s="63" t="str">
        <f aca="false">IFERROR(IF([1]库存等级接口!$D$282=0,"",[1]库存等级接口!$D$282),"")</f>
        <v/>
      </c>
      <c r="E282" s="63" t="str">
        <f aca="false">IFERROR(IF([1]库存等级接口!$E$282=0,"",[1]库存等级接口!$E$282),"")</f>
        <v/>
      </c>
      <c r="F282" s="64" t="str">
        <f aca="false">IFERROR(IF([1]库存等级接口!$F$282=0,"",[1]库存等级接口!$F$282),"")</f>
        <v/>
      </c>
      <c r="G282" s="65" t="str">
        <f aca="false">IFERROR(IF([1]库存等级接口!$G$282=0,"",[1]库存等级接口!$G$282),"")</f>
        <v/>
      </c>
      <c r="H282" s="62" t="str">
        <f aca="false">IFERROR(IF([1]库存等级接口!$H$282=0,"",[1]库存等级接口!$H$282),"")</f>
        <v/>
      </c>
      <c r="I282" s="61" t="n">
        <f aca="false">IF($B282="",0,1)</f>
        <v>0</v>
      </c>
      <c r="J282" s="61" t="n">
        <f aca="false">N(J281)+$I282</f>
        <v>56</v>
      </c>
    </row>
    <row r="283" customFormat="false" ht="15" hidden="false" customHeight="true" outlineLevel="0" collapsed="false">
      <c r="A283" s="61" t="n">
        <v>280</v>
      </c>
      <c r="B283" s="62" t="str">
        <f aca="false">IFERROR(IF([1]库存等级接口!$B$283=0,"",[1]库存等级接口!$B$283),"")</f>
        <v/>
      </c>
      <c r="C283" s="63" t="str">
        <f aca="false">IFERROR(IF([1]库存等级接口!$C$283=0,"",[1]库存等级接口!$C$283),"")</f>
        <v/>
      </c>
      <c r="D283" s="63" t="str">
        <f aca="false">IFERROR(IF([1]库存等级接口!$D$283=0,"",[1]库存等级接口!$D$283),"")</f>
        <v/>
      </c>
      <c r="E283" s="63" t="str">
        <f aca="false">IFERROR(IF([1]库存等级接口!$E$283=0,"",[1]库存等级接口!$E$283),"")</f>
        <v/>
      </c>
      <c r="F283" s="64" t="str">
        <f aca="false">IFERROR(IF([1]库存等级接口!$F$283=0,"",[1]库存等级接口!$F$283),"")</f>
        <v/>
      </c>
      <c r="G283" s="65" t="str">
        <f aca="false">IFERROR(IF([1]库存等级接口!$G$283=0,"",[1]库存等级接口!$G$283),"")</f>
        <v/>
      </c>
      <c r="H283" s="62" t="str">
        <f aca="false">IFERROR(IF([1]库存等级接口!$H$283=0,"",[1]库存等级接口!$H$283),"")</f>
        <v/>
      </c>
      <c r="I283" s="61" t="n">
        <f aca="false">IF($B283="",0,1)</f>
        <v>0</v>
      </c>
      <c r="J283" s="61" t="n">
        <f aca="false">N(J282)+$I283</f>
        <v>56</v>
      </c>
    </row>
    <row r="284" customFormat="false" ht="15" hidden="false" customHeight="true" outlineLevel="0" collapsed="false">
      <c r="A284" s="61" t="n">
        <v>281</v>
      </c>
      <c r="B284" s="62" t="str">
        <f aca="false">IFERROR(IF([1]库存等级接口!$B$284=0,"",[1]库存等级接口!$B$284),"")</f>
        <v/>
      </c>
      <c r="C284" s="63" t="str">
        <f aca="false">IFERROR(IF([1]库存等级接口!$C$284=0,"",[1]库存等级接口!$C$284),"")</f>
        <v/>
      </c>
      <c r="D284" s="63" t="str">
        <f aca="false">IFERROR(IF([1]库存等级接口!$D$284=0,"",[1]库存等级接口!$D$284),"")</f>
        <v/>
      </c>
      <c r="E284" s="63" t="str">
        <f aca="false">IFERROR(IF([1]库存等级接口!$E$284=0,"",[1]库存等级接口!$E$284),"")</f>
        <v/>
      </c>
      <c r="F284" s="64" t="str">
        <f aca="false">IFERROR(IF([1]库存等级接口!$F$284=0,"",[1]库存等级接口!$F$284),"")</f>
        <v/>
      </c>
      <c r="G284" s="65" t="str">
        <f aca="false">IFERROR(IF([1]库存等级接口!$G$284=0,"",[1]库存等级接口!$G$284),"")</f>
        <v/>
      </c>
      <c r="H284" s="62" t="str">
        <f aca="false">IFERROR(IF([1]库存等级接口!$H$284=0,"",[1]库存等级接口!$H$284),"")</f>
        <v/>
      </c>
      <c r="I284" s="61" t="n">
        <f aca="false">IF($B284="",0,1)</f>
        <v>0</v>
      </c>
      <c r="J284" s="61" t="n">
        <f aca="false">N(J283)+$I284</f>
        <v>56</v>
      </c>
    </row>
    <row r="285" customFormat="false" ht="15" hidden="false" customHeight="true" outlineLevel="0" collapsed="false">
      <c r="A285" s="61" t="n">
        <v>282</v>
      </c>
      <c r="B285" s="62" t="str">
        <f aca="false">IFERROR(IF([1]库存等级接口!$B$285=0,"",[1]库存等级接口!$B$285),"")</f>
        <v/>
      </c>
      <c r="C285" s="63" t="str">
        <f aca="false">IFERROR(IF([1]库存等级接口!$C$285=0,"",[1]库存等级接口!$C$285),"")</f>
        <v/>
      </c>
      <c r="D285" s="63" t="str">
        <f aca="false">IFERROR(IF([1]库存等级接口!$D$285=0,"",[1]库存等级接口!$D$285),"")</f>
        <v/>
      </c>
      <c r="E285" s="63" t="str">
        <f aca="false">IFERROR(IF([1]库存等级接口!$E$285=0,"",[1]库存等级接口!$E$285),"")</f>
        <v/>
      </c>
      <c r="F285" s="64" t="str">
        <f aca="false">IFERROR(IF([1]库存等级接口!$F$285=0,"",[1]库存等级接口!$F$285),"")</f>
        <v/>
      </c>
      <c r="G285" s="65" t="str">
        <f aca="false">IFERROR(IF([1]库存等级接口!$G$285=0,"",[1]库存等级接口!$G$285),"")</f>
        <v/>
      </c>
      <c r="H285" s="62" t="str">
        <f aca="false">IFERROR(IF([1]库存等级接口!$H$285=0,"",[1]库存等级接口!$H$285),"")</f>
        <v/>
      </c>
      <c r="I285" s="61" t="n">
        <f aca="false">IF($B285="",0,1)</f>
        <v>0</v>
      </c>
      <c r="J285" s="61" t="n">
        <f aca="false">N(J284)+$I285</f>
        <v>56</v>
      </c>
    </row>
    <row r="286" customFormat="false" ht="15" hidden="false" customHeight="true" outlineLevel="0" collapsed="false">
      <c r="A286" s="61" t="n">
        <v>283</v>
      </c>
      <c r="B286" s="62" t="str">
        <f aca="false">IFERROR(IF([1]库存等级接口!$B$286=0,"",[1]库存等级接口!$B$286),"")</f>
        <v/>
      </c>
      <c r="C286" s="63" t="str">
        <f aca="false">IFERROR(IF([1]库存等级接口!$C$286=0,"",[1]库存等级接口!$C$286),"")</f>
        <v/>
      </c>
      <c r="D286" s="63" t="str">
        <f aca="false">IFERROR(IF([1]库存等级接口!$D$286=0,"",[1]库存等级接口!$D$286),"")</f>
        <v/>
      </c>
      <c r="E286" s="63" t="str">
        <f aca="false">IFERROR(IF([1]库存等级接口!$E$286=0,"",[1]库存等级接口!$E$286),"")</f>
        <v/>
      </c>
      <c r="F286" s="64" t="str">
        <f aca="false">IFERROR(IF([1]库存等级接口!$F$286=0,"",[1]库存等级接口!$F$286),"")</f>
        <v/>
      </c>
      <c r="G286" s="65" t="str">
        <f aca="false">IFERROR(IF([1]库存等级接口!$G$286=0,"",[1]库存等级接口!$G$286),"")</f>
        <v/>
      </c>
      <c r="H286" s="62" t="str">
        <f aca="false">IFERROR(IF([1]库存等级接口!$H$286=0,"",[1]库存等级接口!$H$286),"")</f>
        <v/>
      </c>
      <c r="I286" s="61" t="n">
        <f aca="false">IF($B286="",0,1)</f>
        <v>0</v>
      </c>
      <c r="J286" s="61" t="n">
        <f aca="false">N(J285)+$I286</f>
        <v>56</v>
      </c>
    </row>
    <row r="287" customFormat="false" ht="15" hidden="false" customHeight="true" outlineLevel="0" collapsed="false">
      <c r="A287" s="61" t="n">
        <v>284</v>
      </c>
      <c r="B287" s="62" t="str">
        <f aca="false">IFERROR(IF([1]库存等级接口!$B$287=0,"",[1]库存等级接口!$B$287),"")</f>
        <v/>
      </c>
      <c r="C287" s="63" t="str">
        <f aca="false">IFERROR(IF([1]库存等级接口!$C$287=0,"",[1]库存等级接口!$C$287),"")</f>
        <v/>
      </c>
      <c r="D287" s="63" t="str">
        <f aca="false">IFERROR(IF([1]库存等级接口!$D$287=0,"",[1]库存等级接口!$D$287),"")</f>
        <v/>
      </c>
      <c r="E287" s="63" t="str">
        <f aca="false">IFERROR(IF([1]库存等级接口!$E$287=0,"",[1]库存等级接口!$E$287),"")</f>
        <v/>
      </c>
      <c r="F287" s="64" t="str">
        <f aca="false">IFERROR(IF([1]库存等级接口!$F$287=0,"",[1]库存等级接口!$F$287),"")</f>
        <v/>
      </c>
      <c r="G287" s="65" t="str">
        <f aca="false">IFERROR(IF([1]库存等级接口!$G$287=0,"",[1]库存等级接口!$G$287),"")</f>
        <v/>
      </c>
      <c r="H287" s="62" t="str">
        <f aca="false">IFERROR(IF([1]库存等级接口!$H$287=0,"",[1]库存等级接口!$H$287),"")</f>
        <v/>
      </c>
      <c r="I287" s="61" t="n">
        <f aca="false">IF($B287="",0,1)</f>
        <v>0</v>
      </c>
      <c r="J287" s="61" t="n">
        <f aca="false">N(J286)+$I287</f>
        <v>56</v>
      </c>
    </row>
    <row r="288" customFormat="false" ht="15" hidden="false" customHeight="true" outlineLevel="0" collapsed="false">
      <c r="A288" s="61" t="n">
        <v>285</v>
      </c>
      <c r="B288" s="62" t="str">
        <f aca="false">IFERROR(IF([1]库存等级接口!$B$288=0,"",[1]库存等级接口!$B$288),"")</f>
        <v/>
      </c>
      <c r="C288" s="63" t="str">
        <f aca="false">IFERROR(IF([1]库存等级接口!$C$288=0,"",[1]库存等级接口!$C$288),"")</f>
        <v/>
      </c>
      <c r="D288" s="63" t="str">
        <f aca="false">IFERROR(IF([1]库存等级接口!$D$288=0,"",[1]库存等级接口!$D$288),"")</f>
        <v/>
      </c>
      <c r="E288" s="63" t="str">
        <f aca="false">IFERROR(IF([1]库存等级接口!$E$288=0,"",[1]库存等级接口!$E$288),"")</f>
        <v/>
      </c>
      <c r="F288" s="64" t="str">
        <f aca="false">IFERROR(IF([1]库存等级接口!$F$288=0,"",[1]库存等级接口!$F$288),"")</f>
        <v/>
      </c>
      <c r="G288" s="65" t="str">
        <f aca="false">IFERROR(IF([1]库存等级接口!$G$288=0,"",[1]库存等级接口!$G$288),"")</f>
        <v/>
      </c>
      <c r="H288" s="62" t="str">
        <f aca="false">IFERROR(IF([1]库存等级接口!$H$288=0,"",[1]库存等级接口!$H$288),"")</f>
        <v/>
      </c>
      <c r="I288" s="61" t="n">
        <f aca="false">IF($B288="",0,1)</f>
        <v>0</v>
      </c>
      <c r="J288" s="61" t="n">
        <f aca="false">N(J287)+$I288</f>
        <v>56</v>
      </c>
    </row>
    <row r="289" customFormat="false" ht="15" hidden="false" customHeight="true" outlineLevel="0" collapsed="false">
      <c r="A289" s="61" t="n">
        <v>286</v>
      </c>
      <c r="B289" s="62" t="str">
        <f aca="false">IFERROR(IF([1]库存等级接口!$B$289=0,"",[1]库存等级接口!$B$289),"")</f>
        <v/>
      </c>
      <c r="C289" s="63" t="str">
        <f aca="false">IFERROR(IF([1]库存等级接口!$C$289=0,"",[1]库存等级接口!$C$289),"")</f>
        <v/>
      </c>
      <c r="D289" s="63" t="str">
        <f aca="false">IFERROR(IF([1]库存等级接口!$D$289=0,"",[1]库存等级接口!$D$289),"")</f>
        <v/>
      </c>
      <c r="E289" s="63" t="str">
        <f aca="false">IFERROR(IF([1]库存等级接口!$E$289=0,"",[1]库存等级接口!$E$289),"")</f>
        <v/>
      </c>
      <c r="F289" s="64" t="str">
        <f aca="false">IFERROR(IF([1]库存等级接口!$F$289=0,"",[1]库存等级接口!$F$289),"")</f>
        <v/>
      </c>
      <c r="G289" s="65" t="str">
        <f aca="false">IFERROR(IF([1]库存等级接口!$G$289=0,"",[1]库存等级接口!$G$289),"")</f>
        <v/>
      </c>
      <c r="H289" s="62" t="str">
        <f aca="false">IFERROR(IF([1]库存等级接口!$H$289=0,"",[1]库存等级接口!$H$289),"")</f>
        <v/>
      </c>
      <c r="I289" s="61" t="n">
        <f aca="false">IF($B289="",0,1)</f>
        <v>0</v>
      </c>
      <c r="J289" s="61" t="n">
        <f aca="false">N(J288)+$I289</f>
        <v>56</v>
      </c>
    </row>
    <row r="290" customFormat="false" ht="15" hidden="false" customHeight="true" outlineLevel="0" collapsed="false">
      <c r="A290" s="61" t="n">
        <v>287</v>
      </c>
      <c r="B290" s="62" t="str">
        <f aca="false">IFERROR(IF([1]库存等级接口!$B$290=0,"",[1]库存等级接口!$B$290),"")</f>
        <v/>
      </c>
      <c r="C290" s="63" t="str">
        <f aca="false">IFERROR(IF([1]库存等级接口!$C$290=0,"",[1]库存等级接口!$C$290),"")</f>
        <v/>
      </c>
      <c r="D290" s="63" t="str">
        <f aca="false">IFERROR(IF([1]库存等级接口!$D$290=0,"",[1]库存等级接口!$D$290),"")</f>
        <v/>
      </c>
      <c r="E290" s="63" t="str">
        <f aca="false">IFERROR(IF([1]库存等级接口!$E$290=0,"",[1]库存等级接口!$E$290),"")</f>
        <v/>
      </c>
      <c r="F290" s="64" t="str">
        <f aca="false">IFERROR(IF([1]库存等级接口!$F$290=0,"",[1]库存等级接口!$F$290),"")</f>
        <v/>
      </c>
      <c r="G290" s="65" t="str">
        <f aca="false">IFERROR(IF([1]库存等级接口!$G$290=0,"",[1]库存等级接口!$G$290),"")</f>
        <v/>
      </c>
      <c r="H290" s="62" t="str">
        <f aca="false">IFERROR(IF([1]库存等级接口!$H$290=0,"",[1]库存等级接口!$H$290),"")</f>
        <v/>
      </c>
      <c r="I290" s="61" t="n">
        <f aca="false">IF($B290="",0,1)</f>
        <v>0</v>
      </c>
      <c r="J290" s="61" t="n">
        <f aca="false">N(J289)+$I290</f>
        <v>56</v>
      </c>
    </row>
    <row r="291" customFormat="false" ht="15" hidden="false" customHeight="true" outlineLevel="0" collapsed="false">
      <c r="A291" s="61" t="n">
        <v>288</v>
      </c>
      <c r="B291" s="62" t="str">
        <f aca="false">IFERROR(IF([1]库存等级接口!$B$291=0,"",[1]库存等级接口!$B$291),"")</f>
        <v/>
      </c>
      <c r="C291" s="63" t="str">
        <f aca="false">IFERROR(IF([1]库存等级接口!$C$291=0,"",[1]库存等级接口!$C$291),"")</f>
        <v/>
      </c>
      <c r="D291" s="63" t="str">
        <f aca="false">IFERROR(IF([1]库存等级接口!$D$291=0,"",[1]库存等级接口!$D$291),"")</f>
        <v/>
      </c>
      <c r="E291" s="63" t="str">
        <f aca="false">IFERROR(IF([1]库存等级接口!$E$291=0,"",[1]库存等级接口!$E$291),"")</f>
        <v/>
      </c>
      <c r="F291" s="64" t="str">
        <f aca="false">IFERROR(IF([1]库存等级接口!$F$291=0,"",[1]库存等级接口!$F$291),"")</f>
        <v/>
      </c>
      <c r="G291" s="65" t="str">
        <f aca="false">IFERROR(IF([1]库存等级接口!$G$291=0,"",[1]库存等级接口!$G$291),"")</f>
        <v/>
      </c>
      <c r="H291" s="62" t="str">
        <f aca="false">IFERROR(IF([1]库存等级接口!$H$291=0,"",[1]库存等级接口!$H$291),"")</f>
        <v/>
      </c>
      <c r="I291" s="61" t="n">
        <f aca="false">IF($B291="",0,1)</f>
        <v>0</v>
      </c>
      <c r="J291" s="61" t="n">
        <f aca="false">N(J290)+$I291</f>
        <v>56</v>
      </c>
    </row>
    <row r="292" customFormat="false" ht="15" hidden="false" customHeight="true" outlineLevel="0" collapsed="false">
      <c r="A292" s="61" t="n">
        <v>289</v>
      </c>
      <c r="B292" s="62" t="str">
        <f aca="false">IFERROR(IF([1]库存等级接口!$B$292=0,"",[1]库存等级接口!$B$292),"")</f>
        <v/>
      </c>
      <c r="C292" s="63" t="str">
        <f aca="false">IFERROR(IF([1]库存等级接口!$C$292=0,"",[1]库存等级接口!$C$292),"")</f>
        <v/>
      </c>
      <c r="D292" s="63" t="str">
        <f aca="false">IFERROR(IF([1]库存等级接口!$D$292=0,"",[1]库存等级接口!$D$292),"")</f>
        <v/>
      </c>
      <c r="E292" s="63" t="str">
        <f aca="false">IFERROR(IF([1]库存等级接口!$E$292=0,"",[1]库存等级接口!$E$292),"")</f>
        <v/>
      </c>
      <c r="F292" s="64" t="str">
        <f aca="false">IFERROR(IF([1]库存等级接口!$F$292=0,"",[1]库存等级接口!$F$292),"")</f>
        <v/>
      </c>
      <c r="G292" s="65" t="str">
        <f aca="false">IFERROR(IF([1]库存等级接口!$G$292=0,"",[1]库存等级接口!$G$292),"")</f>
        <v/>
      </c>
      <c r="H292" s="62" t="str">
        <f aca="false">IFERROR(IF([1]库存等级接口!$H$292=0,"",[1]库存等级接口!$H$292),"")</f>
        <v/>
      </c>
      <c r="I292" s="61" t="n">
        <f aca="false">IF($B292="",0,1)</f>
        <v>0</v>
      </c>
      <c r="J292" s="61" t="n">
        <f aca="false">N(J291)+$I292</f>
        <v>56</v>
      </c>
    </row>
    <row r="293" customFormat="false" ht="15" hidden="false" customHeight="true" outlineLevel="0" collapsed="false">
      <c r="A293" s="61" t="n">
        <v>290</v>
      </c>
      <c r="B293" s="62" t="str">
        <f aca="false">IFERROR(IF([1]库存等级接口!$B$293=0,"",[1]库存等级接口!$B$293),"")</f>
        <v/>
      </c>
      <c r="C293" s="63" t="str">
        <f aca="false">IFERROR(IF([1]库存等级接口!$C$293=0,"",[1]库存等级接口!$C$293),"")</f>
        <v/>
      </c>
      <c r="D293" s="63" t="str">
        <f aca="false">IFERROR(IF([1]库存等级接口!$D$293=0,"",[1]库存等级接口!$D$293),"")</f>
        <v/>
      </c>
      <c r="E293" s="63" t="str">
        <f aca="false">IFERROR(IF([1]库存等级接口!$E$293=0,"",[1]库存等级接口!$E$293),"")</f>
        <v/>
      </c>
      <c r="F293" s="64" t="str">
        <f aca="false">IFERROR(IF([1]库存等级接口!$F$293=0,"",[1]库存等级接口!$F$293),"")</f>
        <v/>
      </c>
      <c r="G293" s="65" t="str">
        <f aca="false">IFERROR(IF([1]库存等级接口!$G$293=0,"",[1]库存等级接口!$G$293),"")</f>
        <v/>
      </c>
      <c r="H293" s="62" t="str">
        <f aca="false">IFERROR(IF([1]库存等级接口!$H$293=0,"",[1]库存等级接口!$H$293),"")</f>
        <v/>
      </c>
      <c r="I293" s="61" t="n">
        <f aca="false">IF($B293="",0,1)</f>
        <v>0</v>
      </c>
      <c r="J293" s="61" t="n">
        <f aca="false">N(J292)+$I293</f>
        <v>56</v>
      </c>
    </row>
    <row r="294" customFormat="false" ht="15" hidden="false" customHeight="true" outlineLevel="0" collapsed="false">
      <c r="A294" s="61" t="n">
        <v>291</v>
      </c>
      <c r="B294" s="62" t="str">
        <f aca="false">IFERROR(IF([1]库存等级接口!$B$294=0,"",[1]库存等级接口!$B$294),"")</f>
        <v/>
      </c>
      <c r="C294" s="63" t="str">
        <f aca="false">IFERROR(IF([1]库存等级接口!$C$294=0,"",[1]库存等级接口!$C$294),"")</f>
        <v/>
      </c>
      <c r="D294" s="63" t="str">
        <f aca="false">IFERROR(IF([1]库存等级接口!$D$294=0,"",[1]库存等级接口!$D$294),"")</f>
        <v/>
      </c>
      <c r="E294" s="63" t="str">
        <f aca="false">IFERROR(IF([1]库存等级接口!$E$294=0,"",[1]库存等级接口!$E$294),"")</f>
        <v/>
      </c>
      <c r="F294" s="64" t="str">
        <f aca="false">IFERROR(IF([1]库存等级接口!$F$294=0,"",[1]库存等级接口!$F$294),"")</f>
        <v/>
      </c>
      <c r="G294" s="65" t="str">
        <f aca="false">IFERROR(IF([1]库存等级接口!$G$294=0,"",[1]库存等级接口!$G$294),"")</f>
        <v/>
      </c>
      <c r="H294" s="62" t="str">
        <f aca="false">IFERROR(IF([1]库存等级接口!$H$294=0,"",[1]库存等级接口!$H$294),"")</f>
        <v/>
      </c>
      <c r="I294" s="61" t="n">
        <f aca="false">IF($B294="",0,1)</f>
        <v>0</v>
      </c>
      <c r="J294" s="61" t="n">
        <f aca="false">N(J293)+$I294</f>
        <v>56</v>
      </c>
    </row>
    <row r="295" customFormat="false" ht="15" hidden="false" customHeight="true" outlineLevel="0" collapsed="false">
      <c r="A295" s="61" t="n">
        <v>292</v>
      </c>
      <c r="B295" s="62" t="str">
        <f aca="false">IFERROR(IF([1]库存等级接口!$B$295=0,"",[1]库存等级接口!$B$295),"")</f>
        <v/>
      </c>
      <c r="C295" s="63" t="str">
        <f aca="false">IFERROR(IF([1]库存等级接口!$C$295=0,"",[1]库存等级接口!$C$295),"")</f>
        <v/>
      </c>
      <c r="D295" s="63" t="str">
        <f aca="false">IFERROR(IF([1]库存等级接口!$D$295=0,"",[1]库存等级接口!$D$295),"")</f>
        <v/>
      </c>
      <c r="E295" s="63" t="str">
        <f aca="false">IFERROR(IF([1]库存等级接口!$E$295=0,"",[1]库存等级接口!$E$295),"")</f>
        <v/>
      </c>
      <c r="F295" s="64" t="str">
        <f aca="false">IFERROR(IF([1]库存等级接口!$F$295=0,"",[1]库存等级接口!$F$295),"")</f>
        <v/>
      </c>
      <c r="G295" s="65" t="str">
        <f aca="false">IFERROR(IF([1]库存等级接口!$G$295=0,"",[1]库存等级接口!$G$295),"")</f>
        <v/>
      </c>
      <c r="H295" s="62" t="str">
        <f aca="false">IFERROR(IF([1]库存等级接口!$H$295=0,"",[1]库存等级接口!$H$295),"")</f>
        <v/>
      </c>
      <c r="I295" s="61" t="n">
        <f aca="false">IF($B295="",0,1)</f>
        <v>0</v>
      </c>
      <c r="J295" s="61" t="n">
        <f aca="false">N(J294)+$I295</f>
        <v>56</v>
      </c>
    </row>
    <row r="296" customFormat="false" ht="15" hidden="false" customHeight="true" outlineLevel="0" collapsed="false">
      <c r="A296" s="61" t="n">
        <v>293</v>
      </c>
      <c r="B296" s="62" t="str">
        <f aca="false">IFERROR(IF([1]库存等级接口!$B$296=0,"",[1]库存等级接口!$B$296),"")</f>
        <v/>
      </c>
      <c r="C296" s="63" t="str">
        <f aca="false">IFERROR(IF([1]库存等级接口!$C$296=0,"",[1]库存等级接口!$C$296),"")</f>
        <v/>
      </c>
      <c r="D296" s="63" t="str">
        <f aca="false">IFERROR(IF([1]库存等级接口!$D$296=0,"",[1]库存等级接口!$D$296),"")</f>
        <v/>
      </c>
      <c r="E296" s="63" t="str">
        <f aca="false">IFERROR(IF([1]库存等级接口!$E$296=0,"",[1]库存等级接口!$E$296),"")</f>
        <v/>
      </c>
      <c r="F296" s="64" t="str">
        <f aca="false">IFERROR(IF([1]库存等级接口!$F$296=0,"",[1]库存等级接口!$F$296),"")</f>
        <v/>
      </c>
      <c r="G296" s="65" t="str">
        <f aca="false">IFERROR(IF([1]库存等级接口!$G$296=0,"",[1]库存等级接口!$G$296),"")</f>
        <v/>
      </c>
      <c r="H296" s="62" t="str">
        <f aca="false">IFERROR(IF([1]库存等级接口!$H$296=0,"",[1]库存等级接口!$H$296),"")</f>
        <v/>
      </c>
      <c r="I296" s="61" t="n">
        <f aca="false">IF($B296="",0,1)</f>
        <v>0</v>
      </c>
      <c r="J296" s="61" t="n">
        <f aca="false">N(J295)+$I296</f>
        <v>56</v>
      </c>
    </row>
    <row r="297" customFormat="false" ht="15" hidden="false" customHeight="true" outlineLevel="0" collapsed="false">
      <c r="A297" s="61" t="n">
        <v>294</v>
      </c>
      <c r="B297" s="62" t="str">
        <f aca="false">IFERROR(IF([1]库存等级接口!$B$297=0,"",[1]库存等级接口!$B$297),"")</f>
        <v/>
      </c>
      <c r="C297" s="63" t="str">
        <f aca="false">IFERROR(IF([1]库存等级接口!$C$297=0,"",[1]库存等级接口!$C$297),"")</f>
        <v/>
      </c>
      <c r="D297" s="63" t="str">
        <f aca="false">IFERROR(IF([1]库存等级接口!$D$297=0,"",[1]库存等级接口!$D$297),"")</f>
        <v/>
      </c>
      <c r="E297" s="63" t="str">
        <f aca="false">IFERROR(IF([1]库存等级接口!$E$297=0,"",[1]库存等级接口!$E$297),"")</f>
        <v/>
      </c>
      <c r="F297" s="64" t="str">
        <f aca="false">IFERROR(IF([1]库存等级接口!$F$297=0,"",[1]库存等级接口!$F$297),"")</f>
        <v/>
      </c>
      <c r="G297" s="65" t="str">
        <f aca="false">IFERROR(IF([1]库存等级接口!$G$297=0,"",[1]库存等级接口!$G$297),"")</f>
        <v/>
      </c>
      <c r="H297" s="62" t="str">
        <f aca="false">IFERROR(IF([1]库存等级接口!$H$297=0,"",[1]库存等级接口!$H$297),"")</f>
        <v/>
      </c>
      <c r="I297" s="61" t="n">
        <f aca="false">IF($B297="",0,1)</f>
        <v>0</v>
      </c>
      <c r="J297" s="61" t="n">
        <f aca="false">N(J296)+$I297</f>
        <v>56</v>
      </c>
    </row>
    <row r="298" customFormat="false" ht="15" hidden="false" customHeight="true" outlineLevel="0" collapsed="false">
      <c r="A298" s="61" t="n">
        <v>295</v>
      </c>
      <c r="B298" s="62" t="str">
        <f aca="false">IFERROR(IF([1]库存等级接口!$B$298=0,"",[1]库存等级接口!$B$298),"")</f>
        <v/>
      </c>
      <c r="C298" s="63" t="str">
        <f aca="false">IFERROR(IF([1]库存等级接口!$C$298=0,"",[1]库存等级接口!$C$298),"")</f>
        <v/>
      </c>
      <c r="D298" s="63" t="str">
        <f aca="false">IFERROR(IF([1]库存等级接口!$D$298=0,"",[1]库存等级接口!$D$298),"")</f>
        <v/>
      </c>
      <c r="E298" s="63" t="str">
        <f aca="false">IFERROR(IF([1]库存等级接口!$E$298=0,"",[1]库存等级接口!$E$298),"")</f>
        <v/>
      </c>
      <c r="F298" s="64" t="str">
        <f aca="false">IFERROR(IF([1]库存等级接口!$F$298=0,"",[1]库存等级接口!$F$298),"")</f>
        <v/>
      </c>
      <c r="G298" s="65" t="str">
        <f aca="false">IFERROR(IF([1]库存等级接口!$G$298=0,"",[1]库存等级接口!$G$298),"")</f>
        <v/>
      </c>
      <c r="H298" s="62" t="str">
        <f aca="false">IFERROR(IF([1]库存等级接口!$H$298=0,"",[1]库存等级接口!$H$298),"")</f>
        <v/>
      </c>
      <c r="I298" s="61" t="n">
        <f aca="false">IF($B298="",0,1)</f>
        <v>0</v>
      </c>
      <c r="J298" s="61" t="n">
        <f aca="false">N(J297)+$I298</f>
        <v>56</v>
      </c>
    </row>
    <row r="299" customFormat="false" ht="15" hidden="false" customHeight="true" outlineLevel="0" collapsed="false">
      <c r="A299" s="61" t="n">
        <v>296</v>
      </c>
      <c r="B299" s="62" t="str">
        <f aca="false">IFERROR(IF([1]库存等级接口!$B$299=0,"",[1]库存等级接口!$B$299),"")</f>
        <v/>
      </c>
      <c r="C299" s="63" t="str">
        <f aca="false">IFERROR(IF([1]库存等级接口!$C$299=0,"",[1]库存等级接口!$C$299),"")</f>
        <v/>
      </c>
      <c r="D299" s="63" t="str">
        <f aca="false">IFERROR(IF([1]库存等级接口!$D$299=0,"",[1]库存等级接口!$D$299),"")</f>
        <v/>
      </c>
      <c r="E299" s="63" t="str">
        <f aca="false">IFERROR(IF([1]库存等级接口!$E$299=0,"",[1]库存等级接口!$E$299),"")</f>
        <v/>
      </c>
      <c r="F299" s="64" t="str">
        <f aca="false">IFERROR(IF([1]库存等级接口!$F$299=0,"",[1]库存等级接口!$F$299),"")</f>
        <v/>
      </c>
      <c r="G299" s="65" t="str">
        <f aca="false">IFERROR(IF([1]库存等级接口!$G$299=0,"",[1]库存等级接口!$G$299),"")</f>
        <v/>
      </c>
      <c r="H299" s="62" t="str">
        <f aca="false">IFERROR(IF([1]库存等级接口!$H$299=0,"",[1]库存等级接口!$H$299),"")</f>
        <v/>
      </c>
      <c r="I299" s="61" t="n">
        <f aca="false">IF($B299="",0,1)</f>
        <v>0</v>
      </c>
      <c r="J299" s="61" t="n">
        <f aca="false">N(J298)+$I299</f>
        <v>56</v>
      </c>
    </row>
    <row r="300" customFormat="false" ht="15" hidden="false" customHeight="true" outlineLevel="0" collapsed="false">
      <c r="A300" s="61" t="n">
        <v>297</v>
      </c>
      <c r="B300" s="62" t="str">
        <f aca="false">IFERROR(IF([1]库存等级接口!$B$300=0,"",[1]库存等级接口!$B$300),"")</f>
        <v/>
      </c>
      <c r="C300" s="63" t="str">
        <f aca="false">IFERROR(IF([1]库存等级接口!$C$300=0,"",[1]库存等级接口!$C$300),"")</f>
        <v/>
      </c>
      <c r="D300" s="63" t="str">
        <f aca="false">IFERROR(IF([1]库存等级接口!$D$300=0,"",[1]库存等级接口!$D$300),"")</f>
        <v/>
      </c>
      <c r="E300" s="63" t="str">
        <f aca="false">IFERROR(IF([1]库存等级接口!$E$300=0,"",[1]库存等级接口!$E$300),"")</f>
        <v/>
      </c>
      <c r="F300" s="64" t="str">
        <f aca="false">IFERROR(IF([1]库存等级接口!$F$300=0,"",[1]库存等级接口!$F$300),"")</f>
        <v/>
      </c>
      <c r="G300" s="65" t="str">
        <f aca="false">IFERROR(IF([1]库存等级接口!$G$300=0,"",[1]库存等级接口!$G$300),"")</f>
        <v/>
      </c>
      <c r="H300" s="62" t="str">
        <f aca="false">IFERROR(IF([1]库存等级接口!$H$300=0,"",[1]库存等级接口!$H$300),"")</f>
        <v/>
      </c>
      <c r="I300" s="61" t="n">
        <f aca="false">IF($B300="",0,1)</f>
        <v>0</v>
      </c>
      <c r="J300" s="61" t="n">
        <f aca="false">N(J299)+$I300</f>
        <v>56</v>
      </c>
    </row>
    <row r="301" customFormat="false" ht="15" hidden="false" customHeight="true" outlineLevel="0" collapsed="false">
      <c r="A301" s="61" t="n">
        <v>298</v>
      </c>
      <c r="B301" s="62" t="str">
        <f aca="false">IFERROR(IF([1]库存等级接口!$B$301=0,"",[1]库存等级接口!$B$301),"")</f>
        <v/>
      </c>
      <c r="C301" s="63" t="str">
        <f aca="false">IFERROR(IF([1]库存等级接口!$C$301=0,"",[1]库存等级接口!$C$301),"")</f>
        <v/>
      </c>
      <c r="D301" s="63" t="str">
        <f aca="false">IFERROR(IF([1]库存等级接口!$D$301=0,"",[1]库存等级接口!$D$301),"")</f>
        <v/>
      </c>
      <c r="E301" s="63" t="str">
        <f aca="false">IFERROR(IF([1]库存等级接口!$E$301=0,"",[1]库存等级接口!$E$301),"")</f>
        <v/>
      </c>
      <c r="F301" s="64" t="str">
        <f aca="false">IFERROR(IF([1]库存等级接口!$F$301=0,"",[1]库存等级接口!$F$301),"")</f>
        <v/>
      </c>
      <c r="G301" s="65" t="str">
        <f aca="false">IFERROR(IF([1]库存等级接口!$G$301=0,"",[1]库存等级接口!$G$301),"")</f>
        <v/>
      </c>
      <c r="H301" s="62" t="str">
        <f aca="false">IFERROR(IF([1]库存等级接口!$H$301=0,"",[1]库存等级接口!$H$301),"")</f>
        <v/>
      </c>
      <c r="I301" s="61" t="n">
        <f aca="false">IF($B301="",0,1)</f>
        <v>0</v>
      </c>
      <c r="J301" s="61" t="n">
        <f aca="false">N(J300)+$I301</f>
        <v>56</v>
      </c>
    </row>
    <row r="302" customFormat="false" ht="15" hidden="false" customHeight="true" outlineLevel="0" collapsed="false">
      <c r="A302" s="61" t="n">
        <v>299</v>
      </c>
      <c r="B302" s="62" t="str">
        <f aca="false">IFERROR(IF([1]库存等级接口!$B$302=0,"",[1]库存等级接口!$B$302),"")</f>
        <v/>
      </c>
      <c r="C302" s="63" t="str">
        <f aca="false">IFERROR(IF([1]库存等级接口!$C$302=0,"",[1]库存等级接口!$C$302),"")</f>
        <v/>
      </c>
      <c r="D302" s="63" t="str">
        <f aca="false">IFERROR(IF([1]库存等级接口!$D$302=0,"",[1]库存等级接口!$D$302),"")</f>
        <v/>
      </c>
      <c r="E302" s="63" t="str">
        <f aca="false">IFERROR(IF([1]库存等级接口!$E$302=0,"",[1]库存等级接口!$E$302),"")</f>
        <v/>
      </c>
      <c r="F302" s="64" t="str">
        <f aca="false">IFERROR(IF([1]库存等级接口!$F$302=0,"",[1]库存等级接口!$F$302),"")</f>
        <v/>
      </c>
      <c r="G302" s="65" t="str">
        <f aca="false">IFERROR(IF([1]库存等级接口!$G$302=0,"",[1]库存等级接口!$G$302),"")</f>
        <v/>
      </c>
      <c r="H302" s="62" t="str">
        <f aca="false">IFERROR(IF([1]库存等级接口!$H$302=0,"",[1]库存等级接口!$H$302),"")</f>
        <v/>
      </c>
      <c r="I302" s="61" t="n">
        <f aca="false">IF($B302="",0,1)</f>
        <v>0</v>
      </c>
      <c r="J302" s="61" t="n">
        <f aca="false">N(J301)+$I302</f>
        <v>56</v>
      </c>
    </row>
    <row r="303" customFormat="false" ht="15" hidden="false" customHeight="true" outlineLevel="0" collapsed="false">
      <c r="A303" s="61" t="n">
        <v>300</v>
      </c>
      <c r="B303" s="62" t="str">
        <f aca="false">IFERROR(IF([1]库存等级接口!$B$303=0,"",[1]库存等级接口!$B$303),"")</f>
        <v/>
      </c>
      <c r="C303" s="63" t="str">
        <f aca="false">IFERROR(IF([1]库存等级接口!$C$303=0,"",[1]库存等级接口!$C$303),"")</f>
        <v/>
      </c>
      <c r="D303" s="63" t="str">
        <f aca="false">IFERROR(IF([1]库存等级接口!$D$303=0,"",[1]库存等级接口!$D$303),"")</f>
        <v/>
      </c>
      <c r="E303" s="63" t="str">
        <f aca="false">IFERROR(IF([1]库存等级接口!$E$303=0,"",[1]库存等级接口!$E$303),"")</f>
        <v/>
      </c>
      <c r="F303" s="64" t="str">
        <f aca="false">IFERROR(IF([1]库存等级接口!$F$303=0,"",[1]库存等级接口!$F$303),"")</f>
        <v/>
      </c>
      <c r="G303" s="65" t="str">
        <f aca="false">IFERROR(IF([1]库存等级接口!$G$303=0,"",[1]库存等级接口!$G$303),"")</f>
        <v/>
      </c>
      <c r="H303" s="62" t="str">
        <f aca="false">IFERROR(IF([1]库存等级接口!$H$303=0,"",[1]库存等级接口!$H$303),"")</f>
        <v/>
      </c>
      <c r="I303" s="61" t="n">
        <f aca="false">IF($B303="",0,1)</f>
        <v>0</v>
      </c>
      <c r="J303" s="61" t="n">
        <f aca="false">N(J302)+$I303</f>
        <v>56</v>
      </c>
    </row>
    <row r="304" customFormat="false" ht="15" hidden="false" customHeight="true" outlineLevel="0" collapsed="false">
      <c r="A304" s="61" t="n">
        <v>301</v>
      </c>
      <c r="B304" s="62" t="str">
        <f aca="false">IFERROR(IF([1]库存等级接口!$B$304=0,"",[1]库存等级接口!$B$304),"")</f>
        <v/>
      </c>
      <c r="C304" s="63" t="str">
        <f aca="false">IFERROR(IF([1]库存等级接口!$C$304=0,"",[1]库存等级接口!$C$304),"")</f>
        <v/>
      </c>
      <c r="D304" s="63" t="str">
        <f aca="false">IFERROR(IF([1]库存等级接口!$D$304=0,"",[1]库存等级接口!$D$304),"")</f>
        <v/>
      </c>
      <c r="E304" s="63" t="str">
        <f aca="false">IFERROR(IF([1]库存等级接口!$E$304=0,"",[1]库存等级接口!$E$304),"")</f>
        <v/>
      </c>
      <c r="F304" s="64" t="str">
        <f aca="false">IFERROR(IF([1]库存等级接口!$F$304=0,"",[1]库存等级接口!$F$304),"")</f>
        <v/>
      </c>
      <c r="G304" s="65" t="str">
        <f aca="false">IFERROR(IF([1]库存等级接口!$G$304=0,"",[1]库存等级接口!$G$304),"")</f>
        <v/>
      </c>
      <c r="H304" s="62" t="str">
        <f aca="false">IFERROR(IF([1]库存等级接口!$H$304=0,"",[1]库存等级接口!$H$304),"")</f>
        <v/>
      </c>
      <c r="I304" s="61" t="n">
        <f aca="false">IF($B304="",0,1)</f>
        <v>0</v>
      </c>
      <c r="J304" s="61" t="n">
        <f aca="false">N(J303)+$I304</f>
        <v>56</v>
      </c>
    </row>
    <row r="305" customFormat="false" ht="15" hidden="false" customHeight="true" outlineLevel="0" collapsed="false">
      <c r="A305" s="61" t="n">
        <v>302</v>
      </c>
      <c r="B305" s="62" t="str">
        <f aca="false">IFERROR(IF([1]库存等级接口!$B$305=0,"",[1]库存等级接口!$B$305),"")</f>
        <v/>
      </c>
      <c r="C305" s="63" t="str">
        <f aca="false">IFERROR(IF([1]库存等级接口!$C$305=0,"",[1]库存等级接口!$C$305),"")</f>
        <v/>
      </c>
      <c r="D305" s="63" t="str">
        <f aca="false">IFERROR(IF([1]库存等级接口!$D$305=0,"",[1]库存等级接口!$D$305),"")</f>
        <v/>
      </c>
      <c r="E305" s="63" t="str">
        <f aca="false">IFERROR(IF([1]库存等级接口!$E$305=0,"",[1]库存等级接口!$E$305),"")</f>
        <v/>
      </c>
      <c r="F305" s="64" t="str">
        <f aca="false">IFERROR(IF([1]库存等级接口!$F$305=0,"",[1]库存等级接口!$F$305),"")</f>
        <v/>
      </c>
      <c r="G305" s="65" t="str">
        <f aca="false">IFERROR(IF([1]库存等级接口!$G$305=0,"",[1]库存等级接口!$G$305),"")</f>
        <v/>
      </c>
      <c r="H305" s="62" t="str">
        <f aca="false">IFERROR(IF([1]库存等级接口!$H$305=0,"",[1]库存等级接口!$H$305),"")</f>
        <v/>
      </c>
      <c r="I305" s="61" t="n">
        <f aca="false">IF($B305="",0,1)</f>
        <v>0</v>
      </c>
      <c r="J305" s="61" t="n">
        <f aca="false">N(J304)+$I305</f>
        <v>56</v>
      </c>
    </row>
    <row r="306" customFormat="false" ht="15" hidden="false" customHeight="true" outlineLevel="0" collapsed="false">
      <c r="A306" s="61" t="n">
        <v>303</v>
      </c>
      <c r="B306" s="62" t="str">
        <f aca="false">IFERROR(IF([1]库存等级接口!$B$306=0,"",[1]库存等级接口!$B$306),"")</f>
        <v/>
      </c>
      <c r="C306" s="63" t="str">
        <f aca="false">IFERROR(IF([1]库存等级接口!$C$306=0,"",[1]库存等级接口!$C$306),"")</f>
        <v/>
      </c>
      <c r="D306" s="63" t="str">
        <f aca="false">IFERROR(IF([1]库存等级接口!$D$306=0,"",[1]库存等级接口!$D$306),"")</f>
        <v/>
      </c>
      <c r="E306" s="63" t="str">
        <f aca="false">IFERROR(IF([1]库存等级接口!$E$306=0,"",[1]库存等级接口!$E$306),"")</f>
        <v/>
      </c>
      <c r="F306" s="64" t="str">
        <f aca="false">IFERROR(IF([1]库存等级接口!$F$306=0,"",[1]库存等级接口!$F$306),"")</f>
        <v/>
      </c>
      <c r="G306" s="65" t="str">
        <f aca="false">IFERROR(IF([1]库存等级接口!$G$306=0,"",[1]库存等级接口!$G$306),"")</f>
        <v/>
      </c>
      <c r="H306" s="62" t="str">
        <f aca="false">IFERROR(IF([1]库存等级接口!$H$306=0,"",[1]库存等级接口!$H$306),"")</f>
        <v/>
      </c>
      <c r="I306" s="61" t="n">
        <f aca="false">IF($B306="",0,1)</f>
        <v>0</v>
      </c>
      <c r="J306" s="61" t="n">
        <f aca="false">N(J305)+$I306</f>
        <v>56</v>
      </c>
    </row>
    <row r="307" customFormat="false" ht="15" hidden="false" customHeight="true" outlineLevel="0" collapsed="false">
      <c r="A307" s="61" t="n">
        <v>304</v>
      </c>
      <c r="B307" s="62" t="str">
        <f aca="false">IFERROR(IF([1]库存等级接口!$B$307=0,"",[1]库存等级接口!$B$307),"")</f>
        <v/>
      </c>
      <c r="C307" s="63" t="str">
        <f aca="false">IFERROR(IF([1]库存等级接口!$C$307=0,"",[1]库存等级接口!$C$307),"")</f>
        <v/>
      </c>
      <c r="D307" s="63" t="str">
        <f aca="false">IFERROR(IF([1]库存等级接口!$D$307=0,"",[1]库存等级接口!$D$307),"")</f>
        <v/>
      </c>
      <c r="E307" s="63" t="str">
        <f aca="false">IFERROR(IF([1]库存等级接口!$E$307=0,"",[1]库存等级接口!$E$307),"")</f>
        <v/>
      </c>
      <c r="F307" s="64" t="str">
        <f aca="false">IFERROR(IF([1]库存等级接口!$F$307=0,"",[1]库存等级接口!$F$307),"")</f>
        <v/>
      </c>
      <c r="G307" s="65" t="str">
        <f aca="false">IFERROR(IF([1]库存等级接口!$G$307=0,"",[1]库存等级接口!$G$307),"")</f>
        <v/>
      </c>
      <c r="H307" s="62" t="str">
        <f aca="false">IFERROR(IF([1]库存等级接口!$H$307=0,"",[1]库存等级接口!$H$307),"")</f>
        <v/>
      </c>
      <c r="I307" s="61" t="n">
        <f aca="false">IF($B307="",0,1)</f>
        <v>0</v>
      </c>
      <c r="J307" s="61" t="n">
        <f aca="false">N(J306)+$I307</f>
        <v>56</v>
      </c>
    </row>
    <row r="308" customFormat="false" ht="15" hidden="false" customHeight="true" outlineLevel="0" collapsed="false">
      <c r="A308" s="61" t="n">
        <v>305</v>
      </c>
      <c r="B308" s="62" t="str">
        <f aca="false">IFERROR(IF([1]库存等级接口!$B$308=0,"",[1]库存等级接口!$B$308),"")</f>
        <v/>
      </c>
      <c r="C308" s="63" t="str">
        <f aca="false">IFERROR(IF([1]库存等级接口!$C$308=0,"",[1]库存等级接口!$C$308),"")</f>
        <v/>
      </c>
      <c r="D308" s="63" t="str">
        <f aca="false">IFERROR(IF([1]库存等级接口!$D$308=0,"",[1]库存等级接口!$D$308),"")</f>
        <v/>
      </c>
      <c r="E308" s="63" t="str">
        <f aca="false">IFERROR(IF([1]库存等级接口!$E$308=0,"",[1]库存等级接口!$E$308),"")</f>
        <v/>
      </c>
      <c r="F308" s="64" t="str">
        <f aca="false">IFERROR(IF([1]库存等级接口!$F$308=0,"",[1]库存等级接口!$F$308),"")</f>
        <v/>
      </c>
      <c r="G308" s="65" t="str">
        <f aca="false">IFERROR(IF([1]库存等级接口!$G$308=0,"",[1]库存等级接口!$G$308),"")</f>
        <v/>
      </c>
      <c r="H308" s="62" t="str">
        <f aca="false">IFERROR(IF([1]库存等级接口!$H$308=0,"",[1]库存等级接口!$H$308),"")</f>
        <v/>
      </c>
      <c r="I308" s="61" t="n">
        <f aca="false">IF($B308="",0,1)</f>
        <v>0</v>
      </c>
      <c r="J308" s="61" t="n">
        <f aca="false">N(J307)+$I308</f>
        <v>56</v>
      </c>
    </row>
    <row r="309" customFormat="false" ht="15" hidden="false" customHeight="true" outlineLevel="0" collapsed="false">
      <c r="A309" s="61" t="n">
        <v>306</v>
      </c>
      <c r="B309" s="62" t="str">
        <f aca="false">IFERROR(IF([1]库存等级接口!$B$309=0,"",[1]库存等级接口!$B$309),"")</f>
        <v/>
      </c>
      <c r="C309" s="63" t="str">
        <f aca="false">IFERROR(IF([1]库存等级接口!$C$309=0,"",[1]库存等级接口!$C$309),"")</f>
        <v/>
      </c>
      <c r="D309" s="63" t="str">
        <f aca="false">IFERROR(IF([1]库存等级接口!$D$309=0,"",[1]库存等级接口!$D$309),"")</f>
        <v/>
      </c>
      <c r="E309" s="63" t="str">
        <f aca="false">IFERROR(IF([1]库存等级接口!$E$309=0,"",[1]库存等级接口!$E$309),"")</f>
        <v/>
      </c>
      <c r="F309" s="64" t="str">
        <f aca="false">IFERROR(IF([1]库存等级接口!$F$309=0,"",[1]库存等级接口!$F$309),"")</f>
        <v/>
      </c>
      <c r="G309" s="65" t="str">
        <f aca="false">IFERROR(IF([1]库存等级接口!$G$309=0,"",[1]库存等级接口!$G$309),"")</f>
        <v/>
      </c>
      <c r="H309" s="62" t="str">
        <f aca="false">IFERROR(IF([1]库存等级接口!$H$309=0,"",[1]库存等级接口!$H$309),"")</f>
        <v/>
      </c>
      <c r="I309" s="61" t="n">
        <f aca="false">IF($B309="",0,1)</f>
        <v>0</v>
      </c>
      <c r="J309" s="61" t="n">
        <f aca="false">N(J308)+$I309</f>
        <v>56</v>
      </c>
    </row>
    <row r="310" customFormat="false" ht="15" hidden="false" customHeight="true" outlineLevel="0" collapsed="false">
      <c r="A310" s="61" t="n">
        <v>307</v>
      </c>
      <c r="B310" s="62" t="str">
        <f aca="false">IFERROR(IF([1]库存等级接口!$B$310=0,"",[1]库存等级接口!$B$310),"")</f>
        <v/>
      </c>
      <c r="C310" s="63" t="str">
        <f aca="false">IFERROR(IF([1]库存等级接口!$C$310=0,"",[1]库存等级接口!$C$310),"")</f>
        <v/>
      </c>
      <c r="D310" s="63" t="str">
        <f aca="false">IFERROR(IF([1]库存等级接口!$D$310=0,"",[1]库存等级接口!$D$310),"")</f>
        <v/>
      </c>
      <c r="E310" s="63" t="str">
        <f aca="false">IFERROR(IF([1]库存等级接口!$E$310=0,"",[1]库存等级接口!$E$310),"")</f>
        <v/>
      </c>
      <c r="F310" s="64" t="str">
        <f aca="false">IFERROR(IF([1]库存等级接口!$F$310=0,"",[1]库存等级接口!$F$310),"")</f>
        <v/>
      </c>
      <c r="G310" s="65" t="str">
        <f aca="false">IFERROR(IF([1]库存等级接口!$G$310=0,"",[1]库存等级接口!$G$310),"")</f>
        <v/>
      </c>
      <c r="H310" s="62" t="str">
        <f aca="false">IFERROR(IF([1]库存等级接口!$H$310=0,"",[1]库存等级接口!$H$310),"")</f>
        <v/>
      </c>
      <c r="I310" s="61" t="n">
        <f aca="false">IF($B310="",0,1)</f>
        <v>0</v>
      </c>
      <c r="J310" s="61" t="n">
        <f aca="false">N(J309)+$I310</f>
        <v>56</v>
      </c>
    </row>
    <row r="311" customFormat="false" ht="15" hidden="false" customHeight="true" outlineLevel="0" collapsed="false">
      <c r="A311" s="61" t="n">
        <v>308</v>
      </c>
      <c r="B311" s="62" t="str">
        <f aca="false">IFERROR(IF([1]库存等级接口!$B$311=0,"",[1]库存等级接口!$B$311),"")</f>
        <v/>
      </c>
      <c r="C311" s="63" t="str">
        <f aca="false">IFERROR(IF([1]库存等级接口!$C$311=0,"",[1]库存等级接口!$C$311),"")</f>
        <v/>
      </c>
      <c r="D311" s="63" t="str">
        <f aca="false">IFERROR(IF([1]库存等级接口!$D$311=0,"",[1]库存等级接口!$D$311),"")</f>
        <v/>
      </c>
      <c r="E311" s="63" t="str">
        <f aca="false">IFERROR(IF([1]库存等级接口!$E$311=0,"",[1]库存等级接口!$E$311),"")</f>
        <v/>
      </c>
      <c r="F311" s="64" t="str">
        <f aca="false">IFERROR(IF([1]库存等级接口!$F$311=0,"",[1]库存等级接口!$F$311),"")</f>
        <v/>
      </c>
      <c r="G311" s="65" t="str">
        <f aca="false">IFERROR(IF([1]库存等级接口!$G$311=0,"",[1]库存等级接口!$G$311),"")</f>
        <v/>
      </c>
      <c r="H311" s="62" t="str">
        <f aca="false">IFERROR(IF([1]库存等级接口!$H$311=0,"",[1]库存等级接口!$H$311),"")</f>
        <v/>
      </c>
      <c r="I311" s="61" t="n">
        <f aca="false">IF($B311="",0,1)</f>
        <v>0</v>
      </c>
      <c r="J311" s="61" t="n">
        <f aca="false">N(J310)+$I311</f>
        <v>56</v>
      </c>
    </row>
    <row r="312" customFormat="false" ht="15" hidden="false" customHeight="true" outlineLevel="0" collapsed="false">
      <c r="A312" s="61" t="n">
        <v>309</v>
      </c>
      <c r="B312" s="62" t="str">
        <f aca="false">IFERROR(IF([1]库存等级接口!$B$312=0,"",[1]库存等级接口!$B$312),"")</f>
        <v/>
      </c>
      <c r="C312" s="63" t="str">
        <f aca="false">IFERROR(IF([1]库存等级接口!$C$312=0,"",[1]库存等级接口!$C$312),"")</f>
        <v/>
      </c>
      <c r="D312" s="63" t="str">
        <f aca="false">IFERROR(IF([1]库存等级接口!$D$312=0,"",[1]库存等级接口!$D$312),"")</f>
        <v/>
      </c>
      <c r="E312" s="63" t="str">
        <f aca="false">IFERROR(IF([1]库存等级接口!$E$312=0,"",[1]库存等级接口!$E$312),"")</f>
        <v/>
      </c>
      <c r="F312" s="64" t="str">
        <f aca="false">IFERROR(IF([1]库存等级接口!$F$312=0,"",[1]库存等级接口!$F$312),"")</f>
        <v/>
      </c>
      <c r="G312" s="65" t="str">
        <f aca="false">IFERROR(IF([1]库存等级接口!$G$312=0,"",[1]库存等级接口!$G$312),"")</f>
        <v/>
      </c>
      <c r="H312" s="62" t="str">
        <f aca="false">IFERROR(IF([1]库存等级接口!$H$312=0,"",[1]库存等级接口!$H$312),"")</f>
        <v/>
      </c>
      <c r="I312" s="61" t="n">
        <f aca="false">IF($B312="",0,1)</f>
        <v>0</v>
      </c>
      <c r="J312" s="61" t="n">
        <f aca="false">N(J311)+$I312</f>
        <v>56</v>
      </c>
    </row>
    <row r="313" customFormat="false" ht="15" hidden="false" customHeight="true" outlineLevel="0" collapsed="false">
      <c r="A313" s="61" t="n">
        <v>310</v>
      </c>
      <c r="B313" s="62" t="str">
        <f aca="false">IFERROR(IF([1]库存等级接口!$B$313=0,"",[1]库存等级接口!$B$313),"")</f>
        <v/>
      </c>
      <c r="C313" s="63" t="str">
        <f aca="false">IFERROR(IF([1]库存等级接口!$C$313=0,"",[1]库存等级接口!$C$313),"")</f>
        <v/>
      </c>
      <c r="D313" s="63" t="str">
        <f aca="false">IFERROR(IF([1]库存等级接口!$D$313=0,"",[1]库存等级接口!$D$313),"")</f>
        <v/>
      </c>
      <c r="E313" s="63" t="str">
        <f aca="false">IFERROR(IF([1]库存等级接口!$E$313=0,"",[1]库存等级接口!$E$313),"")</f>
        <v/>
      </c>
      <c r="F313" s="64" t="str">
        <f aca="false">IFERROR(IF([1]库存等级接口!$F$313=0,"",[1]库存等级接口!$F$313),"")</f>
        <v/>
      </c>
      <c r="G313" s="65" t="str">
        <f aca="false">IFERROR(IF([1]库存等级接口!$G$313=0,"",[1]库存等级接口!$G$313),"")</f>
        <v/>
      </c>
      <c r="H313" s="62" t="str">
        <f aca="false">IFERROR(IF([1]库存等级接口!$H$313=0,"",[1]库存等级接口!$H$313),"")</f>
        <v/>
      </c>
      <c r="I313" s="61" t="n">
        <f aca="false">IF($B313="",0,1)</f>
        <v>0</v>
      </c>
      <c r="J313" s="61" t="n">
        <f aca="false">N(J312)+$I313</f>
        <v>56</v>
      </c>
    </row>
    <row r="314" customFormat="false" ht="15" hidden="false" customHeight="true" outlineLevel="0" collapsed="false">
      <c r="A314" s="61" t="n">
        <v>311</v>
      </c>
      <c r="B314" s="62" t="str">
        <f aca="false">IFERROR(IF([1]库存等级接口!$B$314=0,"",[1]库存等级接口!$B$314),"")</f>
        <v/>
      </c>
      <c r="C314" s="63" t="str">
        <f aca="false">IFERROR(IF([1]库存等级接口!$C$314=0,"",[1]库存等级接口!$C$314),"")</f>
        <v/>
      </c>
      <c r="D314" s="63" t="str">
        <f aca="false">IFERROR(IF([1]库存等级接口!$D$314=0,"",[1]库存等级接口!$D$314),"")</f>
        <v/>
      </c>
      <c r="E314" s="63" t="str">
        <f aca="false">IFERROR(IF([1]库存等级接口!$E$314=0,"",[1]库存等级接口!$E$314),"")</f>
        <v/>
      </c>
      <c r="F314" s="64" t="str">
        <f aca="false">IFERROR(IF([1]库存等级接口!$F$314=0,"",[1]库存等级接口!$F$314),"")</f>
        <v/>
      </c>
      <c r="G314" s="65" t="str">
        <f aca="false">IFERROR(IF([1]库存等级接口!$G$314=0,"",[1]库存等级接口!$G$314),"")</f>
        <v/>
      </c>
      <c r="H314" s="62" t="str">
        <f aca="false">IFERROR(IF([1]库存等级接口!$H$314=0,"",[1]库存等级接口!$H$314),"")</f>
        <v/>
      </c>
      <c r="I314" s="61" t="n">
        <f aca="false">IF($B314="",0,1)</f>
        <v>0</v>
      </c>
      <c r="J314" s="61" t="n">
        <f aca="false">N(J313)+$I314</f>
        <v>56</v>
      </c>
    </row>
    <row r="315" customFormat="false" ht="15" hidden="false" customHeight="true" outlineLevel="0" collapsed="false">
      <c r="A315" s="61" t="n">
        <v>312</v>
      </c>
      <c r="B315" s="62" t="str">
        <f aca="false">IFERROR(IF([1]库存等级接口!$B$315=0,"",[1]库存等级接口!$B$315),"")</f>
        <v/>
      </c>
      <c r="C315" s="63" t="str">
        <f aca="false">IFERROR(IF([1]库存等级接口!$C$315=0,"",[1]库存等级接口!$C$315),"")</f>
        <v/>
      </c>
      <c r="D315" s="63" t="str">
        <f aca="false">IFERROR(IF([1]库存等级接口!$D$315=0,"",[1]库存等级接口!$D$315),"")</f>
        <v/>
      </c>
      <c r="E315" s="63" t="str">
        <f aca="false">IFERROR(IF([1]库存等级接口!$E$315=0,"",[1]库存等级接口!$E$315),"")</f>
        <v/>
      </c>
      <c r="F315" s="64" t="str">
        <f aca="false">IFERROR(IF([1]库存等级接口!$F$315=0,"",[1]库存等级接口!$F$315),"")</f>
        <v/>
      </c>
      <c r="G315" s="65" t="str">
        <f aca="false">IFERROR(IF([1]库存等级接口!$G$315=0,"",[1]库存等级接口!$G$315),"")</f>
        <v/>
      </c>
      <c r="H315" s="62" t="str">
        <f aca="false">IFERROR(IF([1]库存等级接口!$H$315=0,"",[1]库存等级接口!$H$315),"")</f>
        <v/>
      </c>
      <c r="I315" s="61" t="n">
        <f aca="false">IF($B315="",0,1)</f>
        <v>0</v>
      </c>
      <c r="J315" s="61" t="n">
        <f aca="false">N(J314)+$I315</f>
        <v>56</v>
      </c>
    </row>
    <row r="316" customFormat="false" ht="15" hidden="false" customHeight="true" outlineLevel="0" collapsed="false">
      <c r="A316" s="61" t="n">
        <v>313</v>
      </c>
      <c r="B316" s="62" t="str">
        <f aca="false">IFERROR(IF([1]库存等级接口!$B$316=0,"",[1]库存等级接口!$B$316),"")</f>
        <v/>
      </c>
      <c r="C316" s="63" t="str">
        <f aca="false">IFERROR(IF([1]库存等级接口!$C$316=0,"",[1]库存等级接口!$C$316),"")</f>
        <v/>
      </c>
      <c r="D316" s="63" t="str">
        <f aca="false">IFERROR(IF([1]库存等级接口!$D$316=0,"",[1]库存等级接口!$D$316),"")</f>
        <v/>
      </c>
      <c r="E316" s="63" t="str">
        <f aca="false">IFERROR(IF([1]库存等级接口!$E$316=0,"",[1]库存等级接口!$E$316),"")</f>
        <v/>
      </c>
      <c r="F316" s="64" t="str">
        <f aca="false">IFERROR(IF([1]库存等级接口!$F$316=0,"",[1]库存等级接口!$F$316),"")</f>
        <v/>
      </c>
      <c r="G316" s="65" t="str">
        <f aca="false">IFERROR(IF([1]库存等级接口!$G$316=0,"",[1]库存等级接口!$G$316),"")</f>
        <v/>
      </c>
      <c r="H316" s="62" t="str">
        <f aca="false">IFERROR(IF([1]库存等级接口!$H$316=0,"",[1]库存等级接口!$H$316),"")</f>
        <v/>
      </c>
      <c r="I316" s="61" t="n">
        <f aca="false">IF($B316="",0,1)</f>
        <v>0</v>
      </c>
      <c r="J316" s="61" t="n">
        <f aca="false">N(J315)+$I316</f>
        <v>56</v>
      </c>
    </row>
    <row r="317" customFormat="false" ht="15" hidden="false" customHeight="true" outlineLevel="0" collapsed="false">
      <c r="A317" s="61" t="n">
        <v>314</v>
      </c>
      <c r="B317" s="62" t="str">
        <f aca="false">IFERROR(IF([1]库存等级接口!$B$317=0,"",[1]库存等级接口!$B$317),"")</f>
        <v/>
      </c>
      <c r="C317" s="63" t="str">
        <f aca="false">IFERROR(IF([1]库存等级接口!$C$317=0,"",[1]库存等级接口!$C$317),"")</f>
        <v/>
      </c>
      <c r="D317" s="63" t="str">
        <f aca="false">IFERROR(IF([1]库存等级接口!$D$317=0,"",[1]库存等级接口!$D$317),"")</f>
        <v/>
      </c>
      <c r="E317" s="63" t="str">
        <f aca="false">IFERROR(IF([1]库存等级接口!$E$317=0,"",[1]库存等级接口!$E$317),"")</f>
        <v/>
      </c>
      <c r="F317" s="64" t="str">
        <f aca="false">IFERROR(IF([1]库存等级接口!$F$317=0,"",[1]库存等级接口!$F$317),"")</f>
        <v/>
      </c>
      <c r="G317" s="65" t="str">
        <f aca="false">IFERROR(IF([1]库存等级接口!$G$317=0,"",[1]库存等级接口!$G$317),"")</f>
        <v/>
      </c>
      <c r="H317" s="62" t="str">
        <f aca="false">IFERROR(IF([1]库存等级接口!$H$317=0,"",[1]库存等级接口!$H$317),"")</f>
        <v/>
      </c>
      <c r="I317" s="61" t="n">
        <f aca="false">IF($B317="",0,1)</f>
        <v>0</v>
      </c>
      <c r="J317" s="61" t="n">
        <f aca="false">N(J316)+$I317</f>
        <v>56</v>
      </c>
    </row>
    <row r="318" customFormat="false" ht="15" hidden="false" customHeight="true" outlineLevel="0" collapsed="false">
      <c r="A318" s="61" t="n">
        <v>315</v>
      </c>
      <c r="B318" s="62" t="str">
        <f aca="false">IFERROR(IF([1]库存等级接口!$B$318=0,"",[1]库存等级接口!$B$318),"")</f>
        <v/>
      </c>
      <c r="C318" s="63" t="str">
        <f aca="false">IFERROR(IF([1]库存等级接口!$C$318=0,"",[1]库存等级接口!$C$318),"")</f>
        <v/>
      </c>
      <c r="D318" s="63" t="str">
        <f aca="false">IFERROR(IF([1]库存等级接口!$D$318=0,"",[1]库存等级接口!$D$318),"")</f>
        <v/>
      </c>
      <c r="E318" s="63" t="str">
        <f aca="false">IFERROR(IF([1]库存等级接口!$E$318=0,"",[1]库存等级接口!$E$318),"")</f>
        <v/>
      </c>
      <c r="F318" s="64" t="str">
        <f aca="false">IFERROR(IF([1]库存等级接口!$F$318=0,"",[1]库存等级接口!$F$318),"")</f>
        <v/>
      </c>
      <c r="G318" s="65" t="str">
        <f aca="false">IFERROR(IF([1]库存等级接口!$G$318=0,"",[1]库存等级接口!$G$318),"")</f>
        <v/>
      </c>
      <c r="H318" s="62" t="str">
        <f aca="false">IFERROR(IF([1]库存等级接口!$H$318=0,"",[1]库存等级接口!$H$318),"")</f>
        <v/>
      </c>
      <c r="I318" s="61" t="n">
        <f aca="false">IF($B318="",0,1)</f>
        <v>0</v>
      </c>
      <c r="J318" s="61" t="n">
        <f aca="false">N(J317)+$I318</f>
        <v>56</v>
      </c>
    </row>
    <row r="319" customFormat="false" ht="15" hidden="false" customHeight="true" outlineLevel="0" collapsed="false">
      <c r="A319" s="61" t="n">
        <v>316</v>
      </c>
      <c r="B319" s="62" t="str">
        <f aca="false">IFERROR(IF([1]库存等级接口!$B$319=0,"",[1]库存等级接口!$B$319),"")</f>
        <v/>
      </c>
      <c r="C319" s="63" t="str">
        <f aca="false">IFERROR(IF([1]库存等级接口!$C$319=0,"",[1]库存等级接口!$C$319),"")</f>
        <v/>
      </c>
      <c r="D319" s="63" t="str">
        <f aca="false">IFERROR(IF([1]库存等级接口!$D$319=0,"",[1]库存等级接口!$D$319),"")</f>
        <v/>
      </c>
      <c r="E319" s="63" t="str">
        <f aca="false">IFERROR(IF([1]库存等级接口!$E$319=0,"",[1]库存等级接口!$E$319),"")</f>
        <v/>
      </c>
      <c r="F319" s="64" t="str">
        <f aca="false">IFERROR(IF([1]库存等级接口!$F$319=0,"",[1]库存等级接口!$F$319),"")</f>
        <v/>
      </c>
      <c r="G319" s="65" t="str">
        <f aca="false">IFERROR(IF([1]库存等级接口!$G$319=0,"",[1]库存等级接口!$G$319),"")</f>
        <v/>
      </c>
      <c r="H319" s="62" t="str">
        <f aca="false">IFERROR(IF([1]库存等级接口!$H$319=0,"",[1]库存等级接口!$H$319),"")</f>
        <v/>
      </c>
      <c r="I319" s="61" t="n">
        <f aca="false">IF($B319="",0,1)</f>
        <v>0</v>
      </c>
      <c r="J319" s="61" t="n">
        <f aca="false">N(J318)+$I319</f>
        <v>56</v>
      </c>
    </row>
    <row r="320" customFormat="false" ht="15" hidden="false" customHeight="true" outlineLevel="0" collapsed="false">
      <c r="A320" s="61" t="n">
        <v>317</v>
      </c>
      <c r="B320" s="62" t="str">
        <f aca="false">IFERROR(IF([1]库存等级接口!$B$320=0,"",[1]库存等级接口!$B$320),"")</f>
        <v/>
      </c>
      <c r="C320" s="63" t="str">
        <f aca="false">IFERROR(IF([1]库存等级接口!$C$320=0,"",[1]库存等级接口!$C$320),"")</f>
        <v/>
      </c>
      <c r="D320" s="63" t="str">
        <f aca="false">IFERROR(IF([1]库存等级接口!$D$320=0,"",[1]库存等级接口!$D$320),"")</f>
        <v/>
      </c>
      <c r="E320" s="63" t="str">
        <f aca="false">IFERROR(IF([1]库存等级接口!$E$320=0,"",[1]库存等级接口!$E$320),"")</f>
        <v/>
      </c>
      <c r="F320" s="64" t="str">
        <f aca="false">IFERROR(IF([1]库存等级接口!$F$320=0,"",[1]库存等级接口!$F$320),"")</f>
        <v/>
      </c>
      <c r="G320" s="65" t="str">
        <f aca="false">IFERROR(IF([1]库存等级接口!$G$320=0,"",[1]库存等级接口!$G$320),"")</f>
        <v/>
      </c>
      <c r="H320" s="62" t="str">
        <f aca="false">IFERROR(IF([1]库存等级接口!$H$320=0,"",[1]库存等级接口!$H$320),"")</f>
        <v/>
      </c>
      <c r="I320" s="61" t="n">
        <f aca="false">IF($B320="",0,1)</f>
        <v>0</v>
      </c>
      <c r="J320" s="61" t="n">
        <f aca="false">N(J319)+$I320</f>
        <v>56</v>
      </c>
    </row>
    <row r="321" customFormat="false" ht="15" hidden="false" customHeight="true" outlineLevel="0" collapsed="false">
      <c r="A321" s="61" t="n">
        <v>318</v>
      </c>
      <c r="B321" s="62" t="str">
        <f aca="false">IFERROR(IF([1]库存等级接口!$B$321=0,"",[1]库存等级接口!$B$321),"")</f>
        <v/>
      </c>
      <c r="C321" s="63" t="str">
        <f aca="false">IFERROR(IF([1]库存等级接口!$C$321=0,"",[1]库存等级接口!$C$321),"")</f>
        <v/>
      </c>
      <c r="D321" s="63" t="str">
        <f aca="false">IFERROR(IF([1]库存等级接口!$D$321=0,"",[1]库存等级接口!$D$321),"")</f>
        <v/>
      </c>
      <c r="E321" s="63" t="str">
        <f aca="false">IFERROR(IF([1]库存等级接口!$E$321=0,"",[1]库存等级接口!$E$321),"")</f>
        <v/>
      </c>
      <c r="F321" s="64" t="str">
        <f aca="false">IFERROR(IF([1]库存等级接口!$F$321=0,"",[1]库存等级接口!$F$321),"")</f>
        <v/>
      </c>
      <c r="G321" s="65" t="str">
        <f aca="false">IFERROR(IF([1]库存等级接口!$G$321=0,"",[1]库存等级接口!$G$321),"")</f>
        <v/>
      </c>
      <c r="H321" s="62" t="str">
        <f aca="false">IFERROR(IF([1]库存等级接口!$H$321=0,"",[1]库存等级接口!$H$321),"")</f>
        <v/>
      </c>
      <c r="I321" s="61" t="n">
        <f aca="false">IF($B321="",0,1)</f>
        <v>0</v>
      </c>
      <c r="J321" s="61" t="n">
        <f aca="false">N(J320)+$I321</f>
        <v>56</v>
      </c>
    </row>
    <row r="322" customFormat="false" ht="15" hidden="false" customHeight="true" outlineLevel="0" collapsed="false">
      <c r="A322" s="61" t="n">
        <v>319</v>
      </c>
      <c r="B322" s="62" t="str">
        <f aca="false">IFERROR(IF([1]库存等级接口!$B$322=0,"",[1]库存等级接口!$B$322),"")</f>
        <v/>
      </c>
      <c r="C322" s="63" t="str">
        <f aca="false">IFERROR(IF([1]库存等级接口!$C$322=0,"",[1]库存等级接口!$C$322),"")</f>
        <v/>
      </c>
      <c r="D322" s="63" t="str">
        <f aca="false">IFERROR(IF([1]库存等级接口!$D$322=0,"",[1]库存等级接口!$D$322),"")</f>
        <v/>
      </c>
      <c r="E322" s="63" t="str">
        <f aca="false">IFERROR(IF([1]库存等级接口!$E$322=0,"",[1]库存等级接口!$E$322),"")</f>
        <v/>
      </c>
      <c r="F322" s="64" t="str">
        <f aca="false">IFERROR(IF([1]库存等级接口!$F$322=0,"",[1]库存等级接口!$F$322),"")</f>
        <v/>
      </c>
      <c r="G322" s="65" t="str">
        <f aca="false">IFERROR(IF([1]库存等级接口!$G$322=0,"",[1]库存等级接口!$G$322),"")</f>
        <v/>
      </c>
      <c r="H322" s="62" t="str">
        <f aca="false">IFERROR(IF([1]库存等级接口!$H$322=0,"",[1]库存等级接口!$H$322),"")</f>
        <v/>
      </c>
      <c r="I322" s="61" t="n">
        <f aca="false">IF($B322="",0,1)</f>
        <v>0</v>
      </c>
      <c r="J322" s="61" t="n">
        <f aca="false">N(J321)+$I322</f>
        <v>56</v>
      </c>
    </row>
    <row r="323" customFormat="false" ht="15" hidden="false" customHeight="true" outlineLevel="0" collapsed="false">
      <c r="A323" s="61" t="n">
        <v>320</v>
      </c>
      <c r="B323" s="62" t="str">
        <f aca="false">IFERROR(IF([1]库存等级接口!$B$323=0,"",[1]库存等级接口!$B$323),"")</f>
        <v/>
      </c>
      <c r="C323" s="63" t="str">
        <f aca="false">IFERROR(IF([1]库存等级接口!$C$323=0,"",[1]库存等级接口!$C$323),"")</f>
        <v/>
      </c>
      <c r="D323" s="63" t="str">
        <f aca="false">IFERROR(IF([1]库存等级接口!$D$323=0,"",[1]库存等级接口!$D$323),"")</f>
        <v/>
      </c>
      <c r="E323" s="63" t="str">
        <f aca="false">IFERROR(IF([1]库存等级接口!$E$323=0,"",[1]库存等级接口!$E$323),"")</f>
        <v/>
      </c>
      <c r="F323" s="64" t="str">
        <f aca="false">IFERROR(IF([1]库存等级接口!$F$323=0,"",[1]库存等级接口!$F$323),"")</f>
        <v/>
      </c>
      <c r="G323" s="65" t="str">
        <f aca="false">IFERROR(IF([1]库存等级接口!$G$323=0,"",[1]库存等级接口!$G$323),"")</f>
        <v/>
      </c>
      <c r="H323" s="62" t="str">
        <f aca="false">IFERROR(IF([1]库存等级接口!$H$323=0,"",[1]库存等级接口!$H$323),"")</f>
        <v/>
      </c>
      <c r="I323" s="61" t="n">
        <f aca="false">IF($B323="",0,1)</f>
        <v>0</v>
      </c>
      <c r="J323" s="61" t="n">
        <f aca="false">N(J322)+$I323</f>
        <v>56</v>
      </c>
    </row>
    <row r="324" customFormat="false" ht="15" hidden="false" customHeight="true" outlineLevel="0" collapsed="false">
      <c r="A324" s="61" t="n">
        <v>321</v>
      </c>
      <c r="B324" s="62" t="str">
        <f aca="false">IFERROR(IF([1]库存等级接口!$B$324=0,"",[1]库存等级接口!$B$324),"")</f>
        <v/>
      </c>
      <c r="C324" s="63" t="str">
        <f aca="false">IFERROR(IF([1]库存等级接口!$C$324=0,"",[1]库存等级接口!$C$324),"")</f>
        <v/>
      </c>
      <c r="D324" s="63" t="str">
        <f aca="false">IFERROR(IF([1]库存等级接口!$D$324=0,"",[1]库存等级接口!$D$324),"")</f>
        <v/>
      </c>
      <c r="E324" s="63" t="str">
        <f aca="false">IFERROR(IF([1]库存等级接口!$E$324=0,"",[1]库存等级接口!$E$324),"")</f>
        <v/>
      </c>
      <c r="F324" s="64" t="str">
        <f aca="false">IFERROR(IF([1]库存等级接口!$F$324=0,"",[1]库存等级接口!$F$324),"")</f>
        <v/>
      </c>
      <c r="G324" s="65" t="str">
        <f aca="false">IFERROR(IF([1]库存等级接口!$G$324=0,"",[1]库存等级接口!$G$324),"")</f>
        <v/>
      </c>
      <c r="H324" s="62" t="str">
        <f aca="false">IFERROR(IF([1]库存等级接口!$H$324=0,"",[1]库存等级接口!$H$324),"")</f>
        <v/>
      </c>
      <c r="I324" s="61" t="n">
        <f aca="false">IF($B324="",0,1)</f>
        <v>0</v>
      </c>
      <c r="J324" s="61" t="n">
        <f aca="false">N(J323)+$I324</f>
        <v>56</v>
      </c>
    </row>
    <row r="325" customFormat="false" ht="15" hidden="false" customHeight="true" outlineLevel="0" collapsed="false">
      <c r="A325" s="61" t="n">
        <v>322</v>
      </c>
      <c r="B325" s="62" t="str">
        <f aca="false">IFERROR(IF([1]库存等级接口!$B$325=0,"",[1]库存等级接口!$B$325),"")</f>
        <v/>
      </c>
      <c r="C325" s="63" t="str">
        <f aca="false">IFERROR(IF([1]库存等级接口!$C$325=0,"",[1]库存等级接口!$C$325),"")</f>
        <v/>
      </c>
      <c r="D325" s="63" t="str">
        <f aca="false">IFERROR(IF([1]库存等级接口!$D$325=0,"",[1]库存等级接口!$D$325),"")</f>
        <v/>
      </c>
      <c r="E325" s="63" t="str">
        <f aca="false">IFERROR(IF([1]库存等级接口!$E$325=0,"",[1]库存等级接口!$E$325),"")</f>
        <v/>
      </c>
      <c r="F325" s="64" t="str">
        <f aca="false">IFERROR(IF([1]库存等级接口!$F$325=0,"",[1]库存等级接口!$F$325),"")</f>
        <v/>
      </c>
      <c r="G325" s="65" t="str">
        <f aca="false">IFERROR(IF([1]库存等级接口!$G$325=0,"",[1]库存等级接口!$G$325),"")</f>
        <v/>
      </c>
      <c r="H325" s="62" t="str">
        <f aca="false">IFERROR(IF([1]库存等级接口!$H$325=0,"",[1]库存等级接口!$H$325),"")</f>
        <v/>
      </c>
      <c r="I325" s="61" t="n">
        <f aca="false">IF($B325="",0,1)</f>
        <v>0</v>
      </c>
      <c r="J325" s="61" t="n">
        <f aca="false">N(J324)+$I325</f>
        <v>56</v>
      </c>
    </row>
    <row r="326" customFormat="false" ht="15" hidden="false" customHeight="true" outlineLevel="0" collapsed="false">
      <c r="A326" s="61" t="n">
        <v>323</v>
      </c>
      <c r="B326" s="62" t="str">
        <f aca="false">IFERROR(IF([1]库存等级接口!$B$326=0,"",[1]库存等级接口!$B$326),"")</f>
        <v/>
      </c>
      <c r="C326" s="63" t="str">
        <f aca="false">IFERROR(IF([1]库存等级接口!$C$326=0,"",[1]库存等级接口!$C$326),"")</f>
        <v/>
      </c>
      <c r="D326" s="63" t="str">
        <f aca="false">IFERROR(IF([1]库存等级接口!$D$326=0,"",[1]库存等级接口!$D$326),"")</f>
        <v/>
      </c>
      <c r="E326" s="63" t="str">
        <f aca="false">IFERROR(IF([1]库存等级接口!$E$326=0,"",[1]库存等级接口!$E$326),"")</f>
        <v/>
      </c>
      <c r="F326" s="64" t="str">
        <f aca="false">IFERROR(IF([1]库存等级接口!$F$326=0,"",[1]库存等级接口!$F$326),"")</f>
        <v/>
      </c>
      <c r="G326" s="65" t="str">
        <f aca="false">IFERROR(IF([1]库存等级接口!$G$326=0,"",[1]库存等级接口!$G$326),"")</f>
        <v/>
      </c>
      <c r="H326" s="62" t="str">
        <f aca="false">IFERROR(IF([1]库存等级接口!$H$326=0,"",[1]库存等级接口!$H$326),"")</f>
        <v/>
      </c>
      <c r="I326" s="61" t="n">
        <f aca="false">IF($B326="",0,1)</f>
        <v>0</v>
      </c>
      <c r="J326" s="61" t="n">
        <f aca="false">N(J325)+$I326</f>
        <v>56</v>
      </c>
    </row>
    <row r="327" customFormat="false" ht="15" hidden="false" customHeight="true" outlineLevel="0" collapsed="false">
      <c r="A327" s="61" t="n">
        <v>324</v>
      </c>
      <c r="B327" s="62" t="str">
        <f aca="false">IFERROR(IF([1]库存等级接口!$B$327=0,"",[1]库存等级接口!$B$327),"")</f>
        <v/>
      </c>
      <c r="C327" s="63" t="str">
        <f aca="false">IFERROR(IF([1]库存等级接口!$C$327=0,"",[1]库存等级接口!$C$327),"")</f>
        <v/>
      </c>
      <c r="D327" s="63" t="str">
        <f aca="false">IFERROR(IF([1]库存等级接口!$D$327=0,"",[1]库存等级接口!$D$327),"")</f>
        <v/>
      </c>
      <c r="E327" s="63" t="str">
        <f aca="false">IFERROR(IF([1]库存等级接口!$E$327=0,"",[1]库存等级接口!$E$327),"")</f>
        <v/>
      </c>
      <c r="F327" s="64" t="str">
        <f aca="false">IFERROR(IF([1]库存等级接口!$F$327=0,"",[1]库存等级接口!$F$327),"")</f>
        <v/>
      </c>
      <c r="G327" s="65" t="str">
        <f aca="false">IFERROR(IF([1]库存等级接口!$G$327=0,"",[1]库存等级接口!$G$327),"")</f>
        <v/>
      </c>
      <c r="H327" s="62" t="str">
        <f aca="false">IFERROR(IF([1]库存等级接口!$H$327=0,"",[1]库存等级接口!$H$327),"")</f>
        <v/>
      </c>
      <c r="I327" s="61" t="n">
        <f aca="false">IF($B327="",0,1)</f>
        <v>0</v>
      </c>
      <c r="J327" s="61" t="n">
        <f aca="false">N(J326)+$I327</f>
        <v>56</v>
      </c>
    </row>
    <row r="328" customFormat="false" ht="15" hidden="false" customHeight="true" outlineLevel="0" collapsed="false">
      <c r="A328" s="61" t="n">
        <v>325</v>
      </c>
      <c r="B328" s="62" t="str">
        <f aca="false">IFERROR(IF([1]库存等级接口!$B$328=0,"",[1]库存等级接口!$B$328),"")</f>
        <v/>
      </c>
      <c r="C328" s="63" t="str">
        <f aca="false">IFERROR(IF([1]库存等级接口!$C$328=0,"",[1]库存等级接口!$C$328),"")</f>
        <v/>
      </c>
      <c r="D328" s="63" t="str">
        <f aca="false">IFERROR(IF([1]库存等级接口!$D$328=0,"",[1]库存等级接口!$D$328),"")</f>
        <v/>
      </c>
      <c r="E328" s="63" t="str">
        <f aca="false">IFERROR(IF([1]库存等级接口!$E$328=0,"",[1]库存等级接口!$E$328),"")</f>
        <v/>
      </c>
      <c r="F328" s="64" t="str">
        <f aca="false">IFERROR(IF([1]库存等级接口!$F$328=0,"",[1]库存等级接口!$F$328),"")</f>
        <v/>
      </c>
      <c r="G328" s="65" t="str">
        <f aca="false">IFERROR(IF([1]库存等级接口!$G$328=0,"",[1]库存等级接口!$G$328),"")</f>
        <v/>
      </c>
      <c r="H328" s="62" t="str">
        <f aca="false">IFERROR(IF([1]库存等级接口!$H$328=0,"",[1]库存等级接口!$H$328),"")</f>
        <v/>
      </c>
      <c r="I328" s="61" t="n">
        <f aca="false">IF($B328="",0,1)</f>
        <v>0</v>
      </c>
      <c r="J328" s="61" t="n">
        <f aca="false">N(J327)+$I328</f>
        <v>56</v>
      </c>
    </row>
    <row r="329" customFormat="false" ht="15" hidden="false" customHeight="true" outlineLevel="0" collapsed="false">
      <c r="A329" s="61" t="n">
        <v>326</v>
      </c>
      <c r="B329" s="62" t="str">
        <f aca="false">IFERROR(IF([1]库存等级接口!$B$329=0,"",[1]库存等级接口!$B$329),"")</f>
        <v/>
      </c>
      <c r="C329" s="63" t="str">
        <f aca="false">IFERROR(IF([1]库存等级接口!$C$329=0,"",[1]库存等级接口!$C$329),"")</f>
        <v/>
      </c>
      <c r="D329" s="63" t="str">
        <f aca="false">IFERROR(IF([1]库存等级接口!$D$329=0,"",[1]库存等级接口!$D$329),"")</f>
        <v/>
      </c>
      <c r="E329" s="63" t="str">
        <f aca="false">IFERROR(IF([1]库存等级接口!$E$329=0,"",[1]库存等级接口!$E$329),"")</f>
        <v/>
      </c>
      <c r="F329" s="64" t="str">
        <f aca="false">IFERROR(IF([1]库存等级接口!$F$329=0,"",[1]库存等级接口!$F$329),"")</f>
        <v/>
      </c>
      <c r="G329" s="65" t="str">
        <f aca="false">IFERROR(IF([1]库存等级接口!$G$329=0,"",[1]库存等级接口!$G$329),"")</f>
        <v/>
      </c>
      <c r="H329" s="62" t="str">
        <f aca="false">IFERROR(IF([1]库存等级接口!$H$329=0,"",[1]库存等级接口!$H$329),"")</f>
        <v/>
      </c>
      <c r="I329" s="61" t="n">
        <f aca="false">IF($B329="",0,1)</f>
        <v>0</v>
      </c>
      <c r="J329" s="61" t="n">
        <f aca="false">N(J328)+$I329</f>
        <v>56</v>
      </c>
    </row>
    <row r="330" customFormat="false" ht="15" hidden="false" customHeight="true" outlineLevel="0" collapsed="false">
      <c r="A330" s="61" t="n">
        <v>327</v>
      </c>
      <c r="B330" s="62" t="str">
        <f aca="false">IFERROR(IF([1]库存等级接口!$B$330=0,"",[1]库存等级接口!$B$330),"")</f>
        <v/>
      </c>
      <c r="C330" s="63" t="str">
        <f aca="false">IFERROR(IF([1]库存等级接口!$C$330=0,"",[1]库存等级接口!$C$330),"")</f>
        <v/>
      </c>
      <c r="D330" s="63" t="str">
        <f aca="false">IFERROR(IF([1]库存等级接口!$D$330=0,"",[1]库存等级接口!$D$330),"")</f>
        <v/>
      </c>
      <c r="E330" s="63" t="str">
        <f aca="false">IFERROR(IF([1]库存等级接口!$E$330=0,"",[1]库存等级接口!$E$330),"")</f>
        <v/>
      </c>
      <c r="F330" s="64" t="str">
        <f aca="false">IFERROR(IF([1]库存等级接口!$F$330=0,"",[1]库存等级接口!$F$330),"")</f>
        <v/>
      </c>
      <c r="G330" s="65" t="str">
        <f aca="false">IFERROR(IF([1]库存等级接口!$G$330=0,"",[1]库存等级接口!$G$330),"")</f>
        <v/>
      </c>
      <c r="H330" s="62" t="str">
        <f aca="false">IFERROR(IF([1]库存等级接口!$H$330=0,"",[1]库存等级接口!$H$330),"")</f>
        <v/>
      </c>
      <c r="I330" s="61" t="n">
        <f aca="false">IF($B330="",0,1)</f>
        <v>0</v>
      </c>
      <c r="J330" s="61" t="n">
        <f aca="false">N(J329)+$I330</f>
        <v>56</v>
      </c>
    </row>
    <row r="331" customFormat="false" ht="15" hidden="false" customHeight="true" outlineLevel="0" collapsed="false">
      <c r="A331" s="61" t="n">
        <v>328</v>
      </c>
      <c r="B331" s="62" t="str">
        <f aca="false">IFERROR(IF([1]库存等级接口!$B$331=0,"",[1]库存等级接口!$B$331),"")</f>
        <v/>
      </c>
      <c r="C331" s="63" t="str">
        <f aca="false">IFERROR(IF([1]库存等级接口!$C$331=0,"",[1]库存等级接口!$C$331),"")</f>
        <v/>
      </c>
      <c r="D331" s="63" t="str">
        <f aca="false">IFERROR(IF([1]库存等级接口!$D$331=0,"",[1]库存等级接口!$D$331),"")</f>
        <v/>
      </c>
      <c r="E331" s="63" t="str">
        <f aca="false">IFERROR(IF([1]库存等级接口!$E$331=0,"",[1]库存等级接口!$E$331),"")</f>
        <v/>
      </c>
      <c r="F331" s="64" t="str">
        <f aca="false">IFERROR(IF([1]库存等级接口!$F$331=0,"",[1]库存等级接口!$F$331),"")</f>
        <v/>
      </c>
      <c r="G331" s="65" t="str">
        <f aca="false">IFERROR(IF([1]库存等级接口!$G$331=0,"",[1]库存等级接口!$G$331),"")</f>
        <v/>
      </c>
      <c r="H331" s="62" t="str">
        <f aca="false">IFERROR(IF([1]库存等级接口!$H$331=0,"",[1]库存等级接口!$H$331),"")</f>
        <v/>
      </c>
      <c r="I331" s="61" t="n">
        <f aca="false">IF($B331="",0,1)</f>
        <v>0</v>
      </c>
      <c r="J331" s="61" t="n">
        <f aca="false">N(J330)+$I331</f>
        <v>56</v>
      </c>
    </row>
    <row r="332" customFormat="false" ht="15" hidden="false" customHeight="true" outlineLevel="0" collapsed="false">
      <c r="A332" s="61" t="n">
        <v>329</v>
      </c>
      <c r="B332" s="62" t="str">
        <f aca="false">IFERROR(IF([1]库存等级接口!$B$332=0,"",[1]库存等级接口!$B$332),"")</f>
        <v/>
      </c>
      <c r="C332" s="63" t="str">
        <f aca="false">IFERROR(IF([1]库存等级接口!$C$332=0,"",[1]库存等级接口!$C$332),"")</f>
        <v/>
      </c>
      <c r="D332" s="63" t="str">
        <f aca="false">IFERROR(IF([1]库存等级接口!$D$332=0,"",[1]库存等级接口!$D$332),"")</f>
        <v/>
      </c>
      <c r="E332" s="63" t="str">
        <f aca="false">IFERROR(IF([1]库存等级接口!$E$332=0,"",[1]库存等级接口!$E$332),"")</f>
        <v/>
      </c>
      <c r="F332" s="64" t="str">
        <f aca="false">IFERROR(IF([1]库存等级接口!$F$332=0,"",[1]库存等级接口!$F$332),"")</f>
        <v/>
      </c>
      <c r="G332" s="65" t="str">
        <f aca="false">IFERROR(IF([1]库存等级接口!$G$332=0,"",[1]库存等级接口!$G$332),"")</f>
        <v/>
      </c>
      <c r="H332" s="62" t="str">
        <f aca="false">IFERROR(IF([1]库存等级接口!$H$332=0,"",[1]库存等级接口!$H$332),"")</f>
        <v/>
      </c>
      <c r="I332" s="61" t="n">
        <f aca="false">IF($B332="",0,1)</f>
        <v>0</v>
      </c>
      <c r="J332" s="61" t="n">
        <f aca="false">N(J331)+$I332</f>
        <v>56</v>
      </c>
    </row>
    <row r="333" customFormat="false" ht="15" hidden="false" customHeight="true" outlineLevel="0" collapsed="false">
      <c r="A333" s="61" t="n">
        <v>330</v>
      </c>
      <c r="B333" s="62" t="str">
        <f aca="false">IFERROR(IF([1]库存等级接口!$B$333=0,"",[1]库存等级接口!$B$333),"")</f>
        <v/>
      </c>
      <c r="C333" s="63" t="str">
        <f aca="false">IFERROR(IF([1]库存等级接口!$C$333=0,"",[1]库存等级接口!$C$333),"")</f>
        <v/>
      </c>
      <c r="D333" s="63" t="str">
        <f aca="false">IFERROR(IF([1]库存等级接口!$D$333=0,"",[1]库存等级接口!$D$333),"")</f>
        <v/>
      </c>
      <c r="E333" s="63" t="str">
        <f aca="false">IFERROR(IF([1]库存等级接口!$E$333=0,"",[1]库存等级接口!$E$333),"")</f>
        <v/>
      </c>
      <c r="F333" s="64" t="str">
        <f aca="false">IFERROR(IF([1]库存等级接口!$F$333=0,"",[1]库存等级接口!$F$333),"")</f>
        <v/>
      </c>
      <c r="G333" s="65" t="str">
        <f aca="false">IFERROR(IF([1]库存等级接口!$G$333=0,"",[1]库存等级接口!$G$333),"")</f>
        <v/>
      </c>
      <c r="H333" s="62" t="str">
        <f aca="false">IFERROR(IF([1]库存等级接口!$H$333=0,"",[1]库存等级接口!$H$333),"")</f>
        <v/>
      </c>
      <c r="I333" s="61" t="n">
        <f aca="false">IF($B333="",0,1)</f>
        <v>0</v>
      </c>
      <c r="J333" s="61" t="n">
        <f aca="false">N(J332)+$I333</f>
        <v>56</v>
      </c>
    </row>
    <row r="334" customFormat="false" ht="15" hidden="false" customHeight="true" outlineLevel="0" collapsed="false">
      <c r="A334" s="61" t="n">
        <v>331</v>
      </c>
      <c r="B334" s="62" t="str">
        <f aca="false">IFERROR(IF([1]库存等级接口!$B$334=0,"",[1]库存等级接口!$B$334),"")</f>
        <v/>
      </c>
      <c r="C334" s="63" t="str">
        <f aca="false">IFERROR(IF([1]库存等级接口!$C$334=0,"",[1]库存等级接口!$C$334),"")</f>
        <v/>
      </c>
      <c r="D334" s="63" t="str">
        <f aca="false">IFERROR(IF([1]库存等级接口!$D$334=0,"",[1]库存等级接口!$D$334),"")</f>
        <v/>
      </c>
      <c r="E334" s="63" t="str">
        <f aca="false">IFERROR(IF([1]库存等级接口!$E$334=0,"",[1]库存等级接口!$E$334),"")</f>
        <v/>
      </c>
      <c r="F334" s="64" t="str">
        <f aca="false">IFERROR(IF([1]库存等级接口!$F$334=0,"",[1]库存等级接口!$F$334),"")</f>
        <v/>
      </c>
      <c r="G334" s="65" t="str">
        <f aca="false">IFERROR(IF([1]库存等级接口!$G$334=0,"",[1]库存等级接口!$G$334),"")</f>
        <v/>
      </c>
      <c r="H334" s="62" t="str">
        <f aca="false">IFERROR(IF([1]库存等级接口!$H$334=0,"",[1]库存等级接口!$H$334),"")</f>
        <v/>
      </c>
      <c r="I334" s="61" t="n">
        <f aca="false">IF($B334="",0,1)</f>
        <v>0</v>
      </c>
      <c r="J334" s="61" t="n">
        <f aca="false">N(J333)+$I334</f>
        <v>56</v>
      </c>
    </row>
    <row r="335" customFormat="false" ht="15" hidden="false" customHeight="true" outlineLevel="0" collapsed="false">
      <c r="A335" s="61" t="n">
        <v>332</v>
      </c>
      <c r="B335" s="62" t="str">
        <f aca="false">IFERROR(IF([1]库存等级接口!$B$335=0,"",[1]库存等级接口!$B$335),"")</f>
        <v/>
      </c>
      <c r="C335" s="63" t="str">
        <f aca="false">IFERROR(IF([1]库存等级接口!$C$335=0,"",[1]库存等级接口!$C$335),"")</f>
        <v/>
      </c>
      <c r="D335" s="63" t="str">
        <f aca="false">IFERROR(IF([1]库存等级接口!$D$335=0,"",[1]库存等级接口!$D$335),"")</f>
        <v/>
      </c>
      <c r="E335" s="63" t="str">
        <f aca="false">IFERROR(IF([1]库存等级接口!$E$335=0,"",[1]库存等级接口!$E$335),"")</f>
        <v/>
      </c>
      <c r="F335" s="64" t="str">
        <f aca="false">IFERROR(IF([1]库存等级接口!$F$335=0,"",[1]库存等级接口!$F$335),"")</f>
        <v/>
      </c>
      <c r="G335" s="65" t="str">
        <f aca="false">IFERROR(IF([1]库存等级接口!$G$335=0,"",[1]库存等级接口!$G$335),"")</f>
        <v/>
      </c>
      <c r="H335" s="62" t="str">
        <f aca="false">IFERROR(IF([1]库存等级接口!$H$335=0,"",[1]库存等级接口!$H$335),"")</f>
        <v/>
      </c>
      <c r="I335" s="61" t="n">
        <f aca="false">IF($B335="",0,1)</f>
        <v>0</v>
      </c>
      <c r="J335" s="61" t="n">
        <f aca="false">N(J334)+$I335</f>
        <v>56</v>
      </c>
    </row>
    <row r="336" customFormat="false" ht="15" hidden="false" customHeight="true" outlineLevel="0" collapsed="false">
      <c r="A336" s="61" t="n">
        <v>333</v>
      </c>
      <c r="B336" s="62" t="str">
        <f aca="false">IFERROR(IF([1]库存等级接口!$B$336=0,"",[1]库存等级接口!$B$336),"")</f>
        <v/>
      </c>
      <c r="C336" s="63" t="str">
        <f aca="false">IFERROR(IF([1]库存等级接口!$C$336=0,"",[1]库存等级接口!$C$336),"")</f>
        <v/>
      </c>
      <c r="D336" s="63" t="str">
        <f aca="false">IFERROR(IF([1]库存等级接口!$D$336=0,"",[1]库存等级接口!$D$336),"")</f>
        <v/>
      </c>
      <c r="E336" s="63" t="str">
        <f aca="false">IFERROR(IF([1]库存等级接口!$E$336=0,"",[1]库存等级接口!$E$336),"")</f>
        <v/>
      </c>
      <c r="F336" s="64" t="str">
        <f aca="false">IFERROR(IF([1]库存等级接口!$F$336=0,"",[1]库存等级接口!$F$336),"")</f>
        <v/>
      </c>
      <c r="G336" s="65" t="str">
        <f aca="false">IFERROR(IF([1]库存等级接口!$G$336=0,"",[1]库存等级接口!$G$336),"")</f>
        <v/>
      </c>
      <c r="H336" s="62" t="str">
        <f aca="false">IFERROR(IF([1]库存等级接口!$H$336=0,"",[1]库存等级接口!$H$336),"")</f>
        <v/>
      </c>
      <c r="I336" s="61" t="n">
        <f aca="false">IF($B336="",0,1)</f>
        <v>0</v>
      </c>
      <c r="J336" s="61" t="n">
        <f aca="false">N(J335)+$I336</f>
        <v>56</v>
      </c>
    </row>
    <row r="337" customFormat="false" ht="15" hidden="false" customHeight="true" outlineLevel="0" collapsed="false">
      <c r="A337" s="61" t="n">
        <v>334</v>
      </c>
      <c r="B337" s="62" t="str">
        <f aca="false">IFERROR(IF([1]库存等级接口!$B$337=0,"",[1]库存等级接口!$B$337),"")</f>
        <v/>
      </c>
      <c r="C337" s="63" t="str">
        <f aca="false">IFERROR(IF([1]库存等级接口!$C$337=0,"",[1]库存等级接口!$C$337),"")</f>
        <v/>
      </c>
      <c r="D337" s="63" t="str">
        <f aca="false">IFERROR(IF([1]库存等级接口!$D$337=0,"",[1]库存等级接口!$D$337),"")</f>
        <v/>
      </c>
      <c r="E337" s="63" t="str">
        <f aca="false">IFERROR(IF([1]库存等级接口!$E$337=0,"",[1]库存等级接口!$E$337),"")</f>
        <v/>
      </c>
      <c r="F337" s="64" t="str">
        <f aca="false">IFERROR(IF([1]库存等级接口!$F$337=0,"",[1]库存等级接口!$F$337),"")</f>
        <v/>
      </c>
      <c r="G337" s="65" t="str">
        <f aca="false">IFERROR(IF([1]库存等级接口!$G$337=0,"",[1]库存等级接口!$G$337),"")</f>
        <v/>
      </c>
      <c r="H337" s="62" t="str">
        <f aca="false">IFERROR(IF([1]库存等级接口!$H$337=0,"",[1]库存等级接口!$H$337),"")</f>
        <v/>
      </c>
      <c r="I337" s="61" t="n">
        <f aca="false">IF($B337="",0,1)</f>
        <v>0</v>
      </c>
      <c r="J337" s="61" t="n">
        <f aca="false">N(J336)+$I337</f>
        <v>56</v>
      </c>
    </row>
    <row r="338" customFormat="false" ht="15" hidden="false" customHeight="true" outlineLevel="0" collapsed="false">
      <c r="A338" s="61" t="n">
        <v>335</v>
      </c>
      <c r="B338" s="62" t="str">
        <f aca="false">IFERROR(IF([1]库存等级接口!$B$338=0,"",[1]库存等级接口!$B$338),"")</f>
        <v/>
      </c>
      <c r="C338" s="63" t="str">
        <f aca="false">IFERROR(IF([1]库存等级接口!$C$338=0,"",[1]库存等级接口!$C$338),"")</f>
        <v/>
      </c>
      <c r="D338" s="63" t="str">
        <f aca="false">IFERROR(IF([1]库存等级接口!$D$338=0,"",[1]库存等级接口!$D$338),"")</f>
        <v/>
      </c>
      <c r="E338" s="63" t="str">
        <f aca="false">IFERROR(IF([1]库存等级接口!$E$338=0,"",[1]库存等级接口!$E$338),"")</f>
        <v/>
      </c>
      <c r="F338" s="64" t="str">
        <f aca="false">IFERROR(IF([1]库存等级接口!$F$338=0,"",[1]库存等级接口!$F$338),"")</f>
        <v/>
      </c>
      <c r="G338" s="65" t="str">
        <f aca="false">IFERROR(IF([1]库存等级接口!$G$338=0,"",[1]库存等级接口!$G$338),"")</f>
        <v/>
      </c>
      <c r="H338" s="62" t="str">
        <f aca="false">IFERROR(IF([1]库存等级接口!$H$338=0,"",[1]库存等级接口!$H$338),"")</f>
        <v/>
      </c>
      <c r="I338" s="61" t="n">
        <f aca="false">IF($B338="",0,1)</f>
        <v>0</v>
      </c>
      <c r="J338" s="61" t="n">
        <f aca="false">N(J337)+$I338</f>
        <v>56</v>
      </c>
    </row>
    <row r="339" customFormat="false" ht="15" hidden="false" customHeight="true" outlineLevel="0" collapsed="false">
      <c r="A339" s="61" t="n">
        <v>336</v>
      </c>
      <c r="B339" s="62" t="str">
        <f aca="false">IFERROR(IF([1]库存等级接口!$B$339=0,"",[1]库存等级接口!$B$339),"")</f>
        <v/>
      </c>
      <c r="C339" s="63" t="str">
        <f aca="false">IFERROR(IF([1]库存等级接口!$C$339=0,"",[1]库存等级接口!$C$339),"")</f>
        <v/>
      </c>
      <c r="D339" s="63" t="str">
        <f aca="false">IFERROR(IF([1]库存等级接口!$D$339=0,"",[1]库存等级接口!$D$339),"")</f>
        <v/>
      </c>
      <c r="E339" s="63" t="str">
        <f aca="false">IFERROR(IF([1]库存等级接口!$E$339=0,"",[1]库存等级接口!$E$339),"")</f>
        <v/>
      </c>
      <c r="F339" s="64" t="str">
        <f aca="false">IFERROR(IF([1]库存等级接口!$F$339=0,"",[1]库存等级接口!$F$339),"")</f>
        <v/>
      </c>
      <c r="G339" s="65" t="str">
        <f aca="false">IFERROR(IF([1]库存等级接口!$G$339=0,"",[1]库存等级接口!$G$339),"")</f>
        <v/>
      </c>
      <c r="H339" s="62" t="str">
        <f aca="false">IFERROR(IF([1]库存等级接口!$H$339=0,"",[1]库存等级接口!$H$339),"")</f>
        <v/>
      </c>
      <c r="I339" s="61" t="n">
        <f aca="false">IF($B339="",0,1)</f>
        <v>0</v>
      </c>
      <c r="J339" s="61" t="n">
        <f aca="false">N(J338)+$I339</f>
        <v>56</v>
      </c>
    </row>
    <row r="340" customFormat="false" ht="15" hidden="false" customHeight="true" outlineLevel="0" collapsed="false">
      <c r="A340" s="61" t="n">
        <v>337</v>
      </c>
      <c r="B340" s="62" t="str">
        <f aca="false">IFERROR(IF([1]库存等级接口!$B$340=0,"",[1]库存等级接口!$B$340),"")</f>
        <v/>
      </c>
      <c r="C340" s="63" t="str">
        <f aca="false">IFERROR(IF([1]库存等级接口!$C$340=0,"",[1]库存等级接口!$C$340),"")</f>
        <v/>
      </c>
      <c r="D340" s="63" t="str">
        <f aca="false">IFERROR(IF([1]库存等级接口!$D$340=0,"",[1]库存等级接口!$D$340),"")</f>
        <v/>
      </c>
      <c r="E340" s="63" t="str">
        <f aca="false">IFERROR(IF([1]库存等级接口!$E$340=0,"",[1]库存等级接口!$E$340),"")</f>
        <v/>
      </c>
      <c r="F340" s="64" t="str">
        <f aca="false">IFERROR(IF([1]库存等级接口!$F$340=0,"",[1]库存等级接口!$F$340),"")</f>
        <v/>
      </c>
      <c r="G340" s="65" t="str">
        <f aca="false">IFERROR(IF([1]库存等级接口!$G$340=0,"",[1]库存等级接口!$G$340),"")</f>
        <v/>
      </c>
      <c r="H340" s="62" t="str">
        <f aca="false">IFERROR(IF([1]库存等级接口!$H$340=0,"",[1]库存等级接口!$H$340),"")</f>
        <v/>
      </c>
      <c r="I340" s="61" t="n">
        <f aca="false">IF($B340="",0,1)</f>
        <v>0</v>
      </c>
      <c r="J340" s="61" t="n">
        <f aca="false">N(J339)+$I340</f>
        <v>56</v>
      </c>
    </row>
    <row r="341" customFormat="false" ht="15" hidden="false" customHeight="true" outlineLevel="0" collapsed="false">
      <c r="A341" s="61" t="n">
        <v>338</v>
      </c>
      <c r="B341" s="62" t="str">
        <f aca="false">IFERROR(IF([1]库存等级接口!$B$341=0,"",[1]库存等级接口!$B$341),"")</f>
        <v/>
      </c>
      <c r="C341" s="63" t="str">
        <f aca="false">IFERROR(IF([1]库存等级接口!$C$341=0,"",[1]库存等级接口!$C$341),"")</f>
        <v/>
      </c>
      <c r="D341" s="63" t="str">
        <f aca="false">IFERROR(IF([1]库存等级接口!$D$341=0,"",[1]库存等级接口!$D$341),"")</f>
        <v/>
      </c>
      <c r="E341" s="63" t="str">
        <f aca="false">IFERROR(IF([1]库存等级接口!$E$341=0,"",[1]库存等级接口!$E$341),"")</f>
        <v/>
      </c>
      <c r="F341" s="64" t="str">
        <f aca="false">IFERROR(IF([1]库存等级接口!$F$341=0,"",[1]库存等级接口!$F$341),"")</f>
        <v/>
      </c>
      <c r="G341" s="65" t="str">
        <f aca="false">IFERROR(IF([1]库存等级接口!$G$341=0,"",[1]库存等级接口!$G$341),"")</f>
        <v/>
      </c>
      <c r="H341" s="62" t="str">
        <f aca="false">IFERROR(IF([1]库存等级接口!$H$341=0,"",[1]库存等级接口!$H$341),"")</f>
        <v/>
      </c>
      <c r="I341" s="61" t="n">
        <f aca="false">IF($B341="",0,1)</f>
        <v>0</v>
      </c>
      <c r="J341" s="61" t="n">
        <f aca="false">N(J340)+$I341</f>
        <v>56</v>
      </c>
    </row>
    <row r="342" customFormat="false" ht="15" hidden="false" customHeight="true" outlineLevel="0" collapsed="false">
      <c r="A342" s="61" t="n">
        <v>339</v>
      </c>
      <c r="B342" s="62" t="str">
        <f aca="false">IFERROR(IF([1]库存等级接口!$B$342=0,"",[1]库存等级接口!$B$342),"")</f>
        <v/>
      </c>
      <c r="C342" s="63" t="str">
        <f aca="false">IFERROR(IF([1]库存等级接口!$C$342=0,"",[1]库存等级接口!$C$342),"")</f>
        <v/>
      </c>
      <c r="D342" s="63" t="str">
        <f aca="false">IFERROR(IF([1]库存等级接口!$D$342=0,"",[1]库存等级接口!$D$342),"")</f>
        <v/>
      </c>
      <c r="E342" s="63" t="str">
        <f aca="false">IFERROR(IF([1]库存等级接口!$E$342=0,"",[1]库存等级接口!$E$342),"")</f>
        <v/>
      </c>
      <c r="F342" s="64" t="str">
        <f aca="false">IFERROR(IF([1]库存等级接口!$F$342=0,"",[1]库存等级接口!$F$342),"")</f>
        <v/>
      </c>
      <c r="G342" s="65" t="str">
        <f aca="false">IFERROR(IF([1]库存等级接口!$G$342=0,"",[1]库存等级接口!$G$342),"")</f>
        <v/>
      </c>
      <c r="H342" s="62" t="str">
        <f aca="false">IFERROR(IF([1]库存等级接口!$H$342=0,"",[1]库存等级接口!$H$342),"")</f>
        <v/>
      </c>
      <c r="I342" s="61" t="n">
        <f aca="false">IF($B342="",0,1)</f>
        <v>0</v>
      </c>
      <c r="J342" s="61" t="n">
        <f aca="false">N(J341)+$I342</f>
        <v>56</v>
      </c>
    </row>
    <row r="343" customFormat="false" ht="15" hidden="false" customHeight="true" outlineLevel="0" collapsed="false">
      <c r="A343" s="61" t="n">
        <v>340</v>
      </c>
      <c r="B343" s="62" t="str">
        <f aca="false">IFERROR(IF([1]库存等级接口!$B$343=0,"",[1]库存等级接口!$B$343),"")</f>
        <v/>
      </c>
      <c r="C343" s="63" t="str">
        <f aca="false">IFERROR(IF([1]库存等级接口!$C$343=0,"",[1]库存等级接口!$C$343),"")</f>
        <v/>
      </c>
      <c r="D343" s="63" t="str">
        <f aca="false">IFERROR(IF([1]库存等级接口!$D$343=0,"",[1]库存等级接口!$D$343),"")</f>
        <v/>
      </c>
      <c r="E343" s="63" t="str">
        <f aca="false">IFERROR(IF([1]库存等级接口!$E$343=0,"",[1]库存等级接口!$E$343),"")</f>
        <v/>
      </c>
      <c r="F343" s="64" t="str">
        <f aca="false">IFERROR(IF([1]库存等级接口!$F$343=0,"",[1]库存等级接口!$F$343),"")</f>
        <v/>
      </c>
      <c r="G343" s="65" t="str">
        <f aca="false">IFERROR(IF([1]库存等级接口!$G$343=0,"",[1]库存等级接口!$G$343),"")</f>
        <v/>
      </c>
      <c r="H343" s="62" t="str">
        <f aca="false">IFERROR(IF([1]库存等级接口!$H$343=0,"",[1]库存等级接口!$H$343),"")</f>
        <v/>
      </c>
      <c r="I343" s="61" t="n">
        <f aca="false">IF($B343="",0,1)</f>
        <v>0</v>
      </c>
      <c r="J343" s="61" t="n">
        <f aca="false">N(J342)+$I343</f>
        <v>56</v>
      </c>
    </row>
    <row r="344" customFormat="false" ht="15" hidden="false" customHeight="true" outlineLevel="0" collapsed="false">
      <c r="A344" s="61" t="n">
        <v>341</v>
      </c>
      <c r="B344" s="62" t="str">
        <f aca="false">IFERROR(IF([1]库存等级接口!$B$344=0,"",[1]库存等级接口!$B$344),"")</f>
        <v/>
      </c>
      <c r="C344" s="63" t="str">
        <f aca="false">IFERROR(IF([1]库存等级接口!$C$344=0,"",[1]库存等级接口!$C$344),"")</f>
        <v/>
      </c>
      <c r="D344" s="63" t="str">
        <f aca="false">IFERROR(IF([1]库存等级接口!$D$344=0,"",[1]库存等级接口!$D$344),"")</f>
        <v/>
      </c>
      <c r="E344" s="63" t="str">
        <f aca="false">IFERROR(IF([1]库存等级接口!$E$344=0,"",[1]库存等级接口!$E$344),"")</f>
        <v/>
      </c>
      <c r="F344" s="64" t="str">
        <f aca="false">IFERROR(IF([1]库存等级接口!$F$344=0,"",[1]库存等级接口!$F$344),"")</f>
        <v/>
      </c>
      <c r="G344" s="65" t="str">
        <f aca="false">IFERROR(IF([1]库存等级接口!$G$344=0,"",[1]库存等级接口!$G$344),"")</f>
        <v/>
      </c>
      <c r="H344" s="62" t="str">
        <f aca="false">IFERROR(IF([1]库存等级接口!$H$344=0,"",[1]库存等级接口!$H$344),"")</f>
        <v/>
      </c>
      <c r="I344" s="61" t="n">
        <f aca="false">IF($B344="",0,1)</f>
        <v>0</v>
      </c>
      <c r="J344" s="61" t="n">
        <f aca="false">N(J343)+$I344</f>
        <v>56</v>
      </c>
    </row>
    <row r="345" customFormat="false" ht="15" hidden="false" customHeight="true" outlineLevel="0" collapsed="false">
      <c r="A345" s="61" t="n">
        <v>342</v>
      </c>
      <c r="B345" s="62" t="str">
        <f aca="false">IFERROR(IF([1]库存等级接口!$B$345=0,"",[1]库存等级接口!$B$345),"")</f>
        <v/>
      </c>
      <c r="C345" s="63" t="str">
        <f aca="false">IFERROR(IF([1]库存等级接口!$C$345=0,"",[1]库存等级接口!$C$345),"")</f>
        <v/>
      </c>
      <c r="D345" s="63" t="str">
        <f aca="false">IFERROR(IF([1]库存等级接口!$D$345=0,"",[1]库存等级接口!$D$345),"")</f>
        <v/>
      </c>
      <c r="E345" s="63" t="str">
        <f aca="false">IFERROR(IF([1]库存等级接口!$E$345=0,"",[1]库存等级接口!$E$345),"")</f>
        <v/>
      </c>
      <c r="F345" s="64" t="str">
        <f aca="false">IFERROR(IF([1]库存等级接口!$F$345=0,"",[1]库存等级接口!$F$345),"")</f>
        <v/>
      </c>
      <c r="G345" s="65" t="str">
        <f aca="false">IFERROR(IF([1]库存等级接口!$G$345=0,"",[1]库存等级接口!$G$345),"")</f>
        <v/>
      </c>
      <c r="H345" s="62" t="str">
        <f aca="false">IFERROR(IF([1]库存等级接口!$H$345=0,"",[1]库存等级接口!$H$345),"")</f>
        <v/>
      </c>
      <c r="I345" s="61" t="n">
        <f aca="false">IF($B345="",0,1)</f>
        <v>0</v>
      </c>
      <c r="J345" s="61" t="n">
        <f aca="false">N(J344)+$I345</f>
        <v>56</v>
      </c>
    </row>
    <row r="346" customFormat="false" ht="15" hidden="false" customHeight="true" outlineLevel="0" collapsed="false">
      <c r="A346" s="61" t="n">
        <v>343</v>
      </c>
      <c r="B346" s="62" t="str">
        <f aca="false">IFERROR(IF([1]库存等级接口!$B$346=0,"",[1]库存等级接口!$B$346),"")</f>
        <v/>
      </c>
      <c r="C346" s="63" t="str">
        <f aca="false">IFERROR(IF([1]库存等级接口!$C$346=0,"",[1]库存等级接口!$C$346),"")</f>
        <v/>
      </c>
      <c r="D346" s="63" t="str">
        <f aca="false">IFERROR(IF([1]库存等级接口!$D$346=0,"",[1]库存等级接口!$D$346),"")</f>
        <v/>
      </c>
      <c r="E346" s="63" t="str">
        <f aca="false">IFERROR(IF([1]库存等级接口!$E$346=0,"",[1]库存等级接口!$E$346),"")</f>
        <v/>
      </c>
      <c r="F346" s="64" t="str">
        <f aca="false">IFERROR(IF([1]库存等级接口!$F$346=0,"",[1]库存等级接口!$F$346),"")</f>
        <v/>
      </c>
      <c r="G346" s="65" t="str">
        <f aca="false">IFERROR(IF([1]库存等级接口!$G$346=0,"",[1]库存等级接口!$G$346),"")</f>
        <v/>
      </c>
      <c r="H346" s="62" t="str">
        <f aca="false">IFERROR(IF([1]库存等级接口!$H$346=0,"",[1]库存等级接口!$H$346),"")</f>
        <v/>
      </c>
      <c r="I346" s="61" t="n">
        <f aca="false">IF($B346="",0,1)</f>
        <v>0</v>
      </c>
      <c r="J346" s="61" t="n">
        <f aca="false">N(J345)+$I346</f>
        <v>56</v>
      </c>
    </row>
    <row r="347" customFormat="false" ht="15" hidden="false" customHeight="true" outlineLevel="0" collapsed="false">
      <c r="A347" s="61" t="n">
        <v>344</v>
      </c>
      <c r="B347" s="62" t="str">
        <f aca="false">IFERROR(IF([1]库存等级接口!$B$347=0,"",[1]库存等级接口!$B$347),"")</f>
        <v/>
      </c>
      <c r="C347" s="63" t="str">
        <f aca="false">IFERROR(IF([1]库存等级接口!$C$347=0,"",[1]库存等级接口!$C$347),"")</f>
        <v/>
      </c>
      <c r="D347" s="63" t="str">
        <f aca="false">IFERROR(IF([1]库存等级接口!$D$347=0,"",[1]库存等级接口!$D$347),"")</f>
        <v/>
      </c>
      <c r="E347" s="63" t="str">
        <f aca="false">IFERROR(IF([1]库存等级接口!$E$347=0,"",[1]库存等级接口!$E$347),"")</f>
        <v/>
      </c>
      <c r="F347" s="64" t="str">
        <f aca="false">IFERROR(IF([1]库存等级接口!$F$347=0,"",[1]库存等级接口!$F$347),"")</f>
        <v/>
      </c>
      <c r="G347" s="65" t="str">
        <f aca="false">IFERROR(IF([1]库存等级接口!$G$347=0,"",[1]库存等级接口!$G$347),"")</f>
        <v/>
      </c>
      <c r="H347" s="62" t="str">
        <f aca="false">IFERROR(IF([1]库存等级接口!$H$347=0,"",[1]库存等级接口!$H$347),"")</f>
        <v/>
      </c>
      <c r="I347" s="61" t="n">
        <f aca="false">IF($B347="",0,1)</f>
        <v>0</v>
      </c>
      <c r="J347" s="61" t="n">
        <f aca="false">N(J346)+$I347</f>
        <v>56</v>
      </c>
    </row>
    <row r="348" customFormat="false" ht="15" hidden="false" customHeight="true" outlineLevel="0" collapsed="false">
      <c r="A348" s="61" t="n">
        <v>345</v>
      </c>
      <c r="B348" s="62" t="str">
        <f aca="false">IFERROR(IF([1]库存等级接口!$B$348=0,"",[1]库存等级接口!$B$348),"")</f>
        <v/>
      </c>
      <c r="C348" s="63" t="str">
        <f aca="false">IFERROR(IF([1]库存等级接口!$C$348=0,"",[1]库存等级接口!$C$348),"")</f>
        <v/>
      </c>
      <c r="D348" s="63" t="str">
        <f aca="false">IFERROR(IF([1]库存等级接口!$D$348=0,"",[1]库存等级接口!$D$348),"")</f>
        <v/>
      </c>
      <c r="E348" s="63" t="str">
        <f aca="false">IFERROR(IF([1]库存等级接口!$E$348=0,"",[1]库存等级接口!$E$348),"")</f>
        <v/>
      </c>
      <c r="F348" s="64" t="str">
        <f aca="false">IFERROR(IF([1]库存等级接口!$F$348=0,"",[1]库存等级接口!$F$348),"")</f>
        <v/>
      </c>
      <c r="G348" s="65" t="str">
        <f aca="false">IFERROR(IF([1]库存等级接口!$G$348=0,"",[1]库存等级接口!$G$348),"")</f>
        <v/>
      </c>
      <c r="H348" s="62" t="str">
        <f aca="false">IFERROR(IF([1]库存等级接口!$H$348=0,"",[1]库存等级接口!$H$348),"")</f>
        <v/>
      </c>
      <c r="I348" s="61" t="n">
        <f aca="false">IF($B348="",0,1)</f>
        <v>0</v>
      </c>
      <c r="J348" s="61" t="n">
        <f aca="false">N(J347)+$I348</f>
        <v>56</v>
      </c>
    </row>
    <row r="349" customFormat="false" ht="15" hidden="false" customHeight="true" outlineLevel="0" collapsed="false">
      <c r="A349" s="61" t="n">
        <v>346</v>
      </c>
      <c r="B349" s="62" t="str">
        <f aca="false">IFERROR(IF([1]库存等级接口!$B$349=0,"",[1]库存等级接口!$B$349),"")</f>
        <v/>
      </c>
      <c r="C349" s="63" t="str">
        <f aca="false">IFERROR(IF([1]库存等级接口!$C$349=0,"",[1]库存等级接口!$C$349),"")</f>
        <v/>
      </c>
      <c r="D349" s="63" t="str">
        <f aca="false">IFERROR(IF([1]库存等级接口!$D$349=0,"",[1]库存等级接口!$D$349),"")</f>
        <v/>
      </c>
      <c r="E349" s="63" t="str">
        <f aca="false">IFERROR(IF([1]库存等级接口!$E$349=0,"",[1]库存等级接口!$E$349),"")</f>
        <v/>
      </c>
      <c r="F349" s="64" t="str">
        <f aca="false">IFERROR(IF([1]库存等级接口!$F$349=0,"",[1]库存等级接口!$F$349),"")</f>
        <v/>
      </c>
      <c r="G349" s="65" t="str">
        <f aca="false">IFERROR(IF([1]库存等级接口!$G$349=0,"",[1]库存等级接口!$G$349),"")</f>
        <v/>
      </c>
      <c r="H349" s="62" t="str">
        <f aca="false">IFERROR(IF([1]库存等级接口!$H$349=0,"",[1]库存等级接口!$H$349),"")</f>
        <v/>
      </c>
      <c r="I349" s="61" t="n">
        <f aca="false">IF($B349="",0,1)</f>
        <v>0</v>
      </c>
      <c r="J349" s="61" t="n">
        <f aca="false">N(J348)+$I349</f>
        <v>56</v>
      </c>
    </row>
    <row r="350" customFormat="false" ht="15" hidden="false" customHeight="true" outlineLevel="0" collapsed="false">
      <c r="A350" s="61" t="n">
        <v>347</v>
      </c>
      <c r="B350" s="62" t="str">
        <f aca="false">IFERROR(IF([1]库存等级接口!$B$350=0,"",[1]库存等级接口!$B$350),"")</f>
        <v/>
      </c>
      <c r="C350" s="63" t="str">
        <f aca="false">IFERROR(IF([1]库存等级接口!$C$350=0,"",[1]库存等级接口!$C$350),"")</f>
        <v/>
      </c>
      <c r="D350" s="63" t="str">
        <f aca="false">IFERROR(IF([1]库存等级接口!$D$350=0,"",[1]库存等级接口!$D$350),"")</f>
        <v/>
      </c>
      <c r="E350" s="63" t="str">
        <f aca="false">IFERROR(IF([1]库存等级接口!$E$350=0,"",[1]库存等级接口!$E$350),"")</f>
        <v/>
      </c>
      <c r="F350" s="64" t="str">
        <f aca="false">IFERROR(IF([1]库存等级接口!$F$350=0,"",[1]库存等级接口!$F$350),"")</f>
        <v/>
      </c>
      <c r="G350" s="65" t="str">
        <f aca="false">IFERROR(IF([1]库存等级接口!$G$350=0,"",[1]库存等级接口!$G$350),"")</f>
        <v/>
      </c>
      <c r="H350" s="62" t="str">
        <f aca="false">IFERROR(IF([1]库存等级接口!$H$350=0,"",[1]库存等级接口!$H$350),"")</f>
        <v/>
      </c>
      <c r="I350" s="61" t="n">
        <f aca="false">IF($B350="",0,1)</f>
        <v>0</v>
      </c>
      <c r="J350" s="61" t="n">
        <f aca="false">N(J349)+$I350</f>
        <v>56</v>
      </c>
    </row>
    <row r="351" customFormat="false" ht="15" hidden="false" customHeight="true" outlineLevel="0" collapsed="false">
      <c r="A351" s="61" t="n">
        <v>348</v>
      </c>
      <c r="B351" s="62" t="str">
        <f aca="false">IFERROR(IF([1]库存等级接口!$B$351=0,"",[1]库存等级接口!$B$351),"")</f>
        <v/>
      </c>
      <c r="C351" s="63" t="str">
        <f aca="false">IFERROR(IF([1]库存等级接口!$C$351=0,"",[1]库存等级接口!$C$351),"")</f>
        <v/>
      </c>
      <c r="D351" s="63" t="str">
        <f aca="false">IFERROR(IF([1]库存等级接口!$D$351=0,"",[1]库存等级接口!$D$351),"")</f>
        <v/>
      </c>
      <c r="E351" s="63" t="str">
        <f aca="false">IFERROR(IF([1]库存等级接口!$E$351=0,"",[1]库存等级接口!$E$351),"")</f>
        <v/>
      </c>
      <c r="F351" s="64" t="str">
        <f aca="false">IFERROR(IF([1]库存等级接口!$F$351=0,"",[1]库存等级接口!$F$351),"")</f>
        <v/>
      </c>
      <c r="G351" s="65" t="str">
        <f aca="false">IFERROR(IF([1]库存等级接口!$G$351=0,"",[1]库存等级接口!$G$351),"")</f>
        <v/>
      </c>
      <c r="H351" s="62" t="str">
        <f aca="false">IFERROR(IF([1]库存等级接口!$H$351=0,"",[1]库存等级接口!$H$351),"")</f>
        <v/>
      </c>
      <c r="I351" s="61" t="n">
        <f aca="false">IF($B351="",0,1)</f>
        <v>0</v>
      </c>
      <c r="J351" s="61" t="n">
        <f aca="false">N(J350)+$I351</f>
        <v>56</v>
      </c>
    </row>
    <row r="352" customFormat="false" ht="15" hidden="false" customHeight="true" outlineLevel="0" collapsed="false">
      <c r="A352" s="61" t="n">
        <v>349</v>
      </c>
      <c r="B352" s="62" t="str">
        <f aca="false">IFERROR(IF([1]库存等级接口!$B$352=0,"",[1]库存等级接口!$B$352),"")</f>
        <v/>
      </c>
      <c r="C352" s="63" t="str">
        <f aca="false">IFERROR(IF([1]库存等级接口!$C$352=0,"",[1]库存等级接口!$C$352),"")</f>
        <v/>
      </c>
      <c r="D352" s="63" t="str">
        <f aca="false">IFERROR(IF([1]库存等级接口!$D$352=0,"",[1]库存等级接口!$D$352),"")</f>
        <v/>
      </c>
      <c r="E352" s="63" t="str">
        <f aca="false">IFERROR(IF([1]库存等级接口!$E$352=0,"",[1]库存等级接口!$E$352),"")</f>
        <v/>
      </c>
      <c r="F352" s="64" t="str">
        <f aca="false">IFERROR(IF([1]库存等级接口!$F$352=0,"",[1]库存等级接口!$F$352),"")</f>
        <v/>
      </c>
      <c r="G352" s="65" t="str">
        <f aca="false">IFERROR(IF([1]库存等级接口!$G$352=0,"",[1]库存等级接口!$G$352),"")</f>
        <v/>
      </c>
      <c r="H352" s="62" t="str">
        <f aca="false">IFERROR(IF([1]库存等级接口!$H$352=0,"",[1]库存等级接口!$H$352),"")</f>
        <v/>
      </c>
      <c r="I352" s="61" t="n">
        <f aca="false">IF($B352="",0,1)</f>
        <v>0</v>
      </c>
      <c r="J352" s="61" t="n">
        <f aca="false">N(J351)+$I352</f>
        <v>56</v>
      </c>
    </row>
    <row r="353" customFormat="false" ht="15" hidden="false" customHeight="true" outlineLevel="0" collapsed="false">
      <c r="A353" s="61" t="n">
        <v>350</v>
      </c>
      <c r="B353" s="62" t="str">
        <f aca="false">IFERROR(IF([1]库存等级接口!$B$353=0,"",[1]库存等级接口!$B$353),"")</f>
        <v/>
      </c>
      <c r="C353" s="63" t="str">
        <f aca="false">IFERROR(IF([1]库存等级接口!$C$353=0,"",[1]库存等级接口!$C$353),"")</f>
        <v/>
      </c>
      <c r="D353" s="63" t="str">
        <f aca="false">IFERROR(IF([1]库存等级接口!$D$353=0,"",[1]库存等级接口!$D$353),"")</f>
        <v/>
      </c>
      <c r="E353" s="63" t="str">
        <f aca="false">IFERROR(IF([1]库存等级接口!$E$353=0,"",[1]库存等级接口!$E$353),"")</f>
        <v/>
      </c>
      <c r="F353" s="64" t="str">
        <f aca="false">IFERROR(IF([1]库存等级接口!$F$353=0,"",[1]库存等级接口!$F$353),"")</f>
        <v/>
      </c>
      <c r="G353" s="65" t="str">
        <f aca="false">IFERROR(IF([1]库存等级接口!$G$353=0,"",[1]库存等级接口!$G$353),"")</f>
        <v/>
      </c>
      <c r="H353" s="62" t="str">
        <f aca="false">IFERROR(IF([1]库存等级接口!$H$353=0,"",[1]库存等级接口!$H$353),"")</f>
        <v/>
      </c>
      <c r="I353" s="61" t="n">
        <f aca="false">IF($B353="",0,1)</f>
        <v>0</v>
      </c>
      <c r="J353" s="61" t="n">
        <f aca="false">N(J352)+$I353</f>
        <v>56</v>
      </c>
    </row>
    <row r="354" customFormat="false" ht="15" hidden="false" customHeight="true" outlineLevel="0" collapsed="false">
      <c r="A354" s="61" t="n">
        <v>351</v>
      </c>
      <c r="B354" s="62" t="str">
        <f aca="false">IFERROR(IF([1]库存等级接口!$B$354=0,"",[1]库存等级接口!$B$354),"")</f>
        <v/>
      </c>
      <c r="C354" s="63" t="str">
        <f aca="false">IFERROR(IF([1]库存等级接口!$C$354=0,"",[1]库存等级接口!$C$354),"")</f>
        <v/>
      </c>
      <c r="D354" s="63" t="str">
        <f aca="false">IFERROR(IF([1]库存等级接口!$D$354=0,"",[1]库存等级接口!$D$354),"")</f>
        <v/>
      </c>
      <c r="E354" s="63" t="str">
        <f aca="false">IFERROR(IF([1]库存等级接口!$E$354=0,"",[1]库存等级接口!$E$354),"")</f>
        <v/>
      </c>
      <c r="F354" s="64" t="str">
        <f aca="false">IFERROR(IF([1]库存等级接口!$F$354=0,"",[1]库存等级接口!$F$354),"")</f>
        <v/>
      </c>
      <c r="G354" s="65" t="str">
        <f aca="false">IFERROR(IF([1]库存等级接口!$G$354=0,"",[1]库存等级接口!$G$354),"")</f>
        <v/>
      </c>
      <c r="H354" s="62" t="str">
        <f aca="false">IFERROR(IF([1]库存等级接口!$H$354=0,"",[1]库存等级接口!$H$354),"")</f>
        <v/>
      </c>
      <c r="I354" s="61" t="n">
        <f aca="false">IF($B354="",0,1)</f>
        <v>0</v>
      </c>
      <c r="J354" s="61" t="n">
        <f aca="false">N(J353)+$I354</f>
        <v>56</v>
      </c>
    </row>
    <row r="355" customFormat="false" ht="15" hidden="false" customHeight="true" outlineLevel="0" collapsed="false">
      <c r="A355" s="61" t="n">
        <v>352</v>
      </c>
      <c r="B355" s="62" t="str">
        <f aca="false">IFERROR(IF([1]库存等级接口!$B$355=0,"",[1]库存等级接口!$B$355),"")</f>
        <v/>
      </c>
      <c r="C355" s="63" t="str">
        <f aca="false">IFERROR(IF([1]库存等级接口!$C$355=0,"",[1]库存等级接口!$C$355),"")</f>
        <v/>
      </c>
      <c r="D355" s="63" t="str">
        <f aca="false">IFERROR(IF([1]库存等级接口!$D$355=0,"",[1]库存等级接口!$D$355),"")</f>
        <v/>
      </c>
      <c r="E355" s="63" t="str">
        <f aca="false">IFERROR(IF([1]库存等级接口!$E$355=0,"",[1]库存等级接口!$E$355),"")</f>
        <v/>
      </c>
      <c r="F355" s="64" t="str">
        <f aca="false">IFERROR(IF([1]库存等级接口!$F$355=0,"",[1]库存等级接口!$F$355),"")</f>
        <v/>
      </c>
      <c r="G355" s="65" t="str">
        <f aca="false">IFERROR(IF([1]库存等级接口!$G$355=0,"",[1]库存等级接口!$G$355),"")</f>
        <v/>
      </c>
      <c r="H355" s="62" t="str">
        <f aca="false">IFERROR(IF([1]库存等级接口!$H$355=0,"",[1]库存等级接口!$H$355),"")</f>
        <v/>
      </c>
      <c r="I355" s="61" t="n">
        <f aca="false">IF($B355="",0,1)</f>
        <v>0</v>
      </c>
      <c r="J355" s="61" t="n">
        <f aca="false">N(J354)+$I355</f>
        <v>56</v>
      </c>
    </row>
    <row r="356" customFormat="false" ht="15" hidden="false" customHeight="true" outlineLevel="0" collapsed="false">
      <c r="A356" s="61" t="n">
        <v>353</v>
      </c>
      <c r="B356" s="62" t="str">
        <f aca="false">IFERROR(IF([1]库存等级接口!$B$356=0,"",[1]库存等级接口!$B$356),"")</f>
        <v/>
      </c>
      <c r="C356" s="63" t="str">
        <f aca="false">IFERROR(IF([1]库存等级接口!$C$356=0,"",[1]库存等级接口!$C$356),"")</f>
        <v/>
      </c>
      <c r="D356" s="63" t="str">
        <f aca="false">IFERROR(IF([1]库存等级接口!$D$356=0,"",[1]库存等级接口!$D$356),"")</f>
        <v/>
      </c>
      <c r="E356" s="63" t="str">
        <f aca="false">IFERROR(IF([1]库存等级接口!$E$356=0,"",[1]库存等级接口!$E$356),"")</f>
        <v/>
      </c>
      <c r="F356" s="64" t="str">
        <f aca="false">IFERROR(IF([1]库存等级接口!$F$356=0,"",[1]库存等级接口!$F$356),"")</f>
        <v/>
      </c>
      <c r="G356" s="65" t="str">
        <f aca="false">IFERROR(IF([1]库存等级接口!$G$356=0,"",[1]库存等级接口!$G$356),"")</f>
        <v/>
      </c>
      <c r="H356" s="62" t="str">
        <f aca="false">IFERROR(IF([1]库存等级接口!$H$356=0,"",[1]库存等级接口!$H$356),"")</f>
        <v/>
      </c>
      <c r="I356" s="61" t="n">
        <f aca="false">IF($B356="",0,1)</f>
        <v>0</v>
      </c>
      <c r="J356" s="61" t="n">
        <f aca="false">N(J355)+$I356</f>
        <v>56</v>
      </c>
    </row>
    <row r="357" customFormat="false" ht="15" hidden="false" customHeight="true" outlineLevel="0" collapsed="false">
      <c r="A357" s="61" t="n">
        <v>354</v>
      </c>
      <c r="B357" s="62" t="str">
        <f aca="false">IFERROR(IF([1]库存等级接口!$B$357=0,"",[1]库存等级接口!$B$357),"")</f>
        <v/>
      </c>
      <c r="C357" s="63" t="str">
        <f aca="false">IFERROR(IF([1]库存等级接口!$C$357=0,"",[1]库存等级接口!$C$357),"")</f>
        <v/>
      </c>
      <c r="D357" s="63" t="str">
        <f aca="false">IFERROR(IF([1]库存等级接口!$D$357=0,"",[1]库存等级接口!$D$357),"")</f>
        <v/>
      </c>
      <c r="E357" s="63" t="str">
        <f aca="false">IFERROR(IF([1]库存等级接口!$E$357=0,"",[1]库存等级接口!$E$357),"")</f>
        <v/>
      </c>
      <c r="F357" s="64" t="str">
        <f aca="false">IFERROR(IF([1]库存等级接口!$F$357=0,"",[1]库存等级接口!$F$357),"")</f>
        <v/>
      </c>
      <c r="G357" s="65" t="str">
        <f aca="false">IFERROR(IF([1]库存等级接口!$G$357=0,"",[1]库存等级接口!$G$357),"")</f>
        <v/>
      </c>
      <c r="H357" s="62" t="str">
        <f aca="false">IFERROR(IF([1]库存等级接口!$H$357=0,"",[1]库存等级接口!$H$357),"")</f>
        <v/>
      </c>
      <c r="I357" s="61" t="n">
        <f aca="false">IF($B357="",0,1)</f>
        <v>0</v>
      </c>
      <c r="J357" s="61" t="n">
        <f aca="false">N(J356)+$I357</f>
        <v>56</v>
      </c>
    </row>
    <row r="358" customFormat="false" ht="15" hidden="false" customHeight="true" outlineLevel="0" collapsed="false">
      <c r="A358" s="61" t="n">
        <v>355</v>
      </c>
      <c r="B358" s="62" t="str">
        <f aca="false">IFERROR(IF([1]库存等级接口!$B$358=0,"",[1]库存等级接口!$B$358),"")</f>
        <v/>
      </c>
      <c r="C358" s="63" t="str">
        <f aca="false">IFERROR(IF([1]库存等级接口!$C$358=0,"",[1]库存等级接口!$C$358),"")</f>
        <v/>
      </c>
      <c r="D358" s="63" t="str">
        <f aca="false">IFERROR(IF([1]库存等级接口!$D$358=0,"",[1]库存等级接口!$D$358),"")</f>
        <v/>
      </c>
      <c r="E358" s="63" t="str">
        <f aca="false">IFERROR(IF([1]库存等级接口!$E$358=0,"",[1]库存等级接口!$E$358),"")</f>
        <v/>
      </c>
      <c r="F358" s="64" t="str">
        <f aca="false">IFERROR(IF([1]库存等级接口!$F$358=0,"",[1]库存等级接口!$F$358),"")</f>
        <v/>
      </c>
      <c r="G358" s="65" t="str">
        <f aca="false">IFERROR(IF([1]库存等级接口!$G$358=0,"",[1]库存等级接口!$G$358),"")</f>
        <v/>
      </c>
      <c r="H358" s="62" t="str">
        <f aca="false">IFERROR(IF([1]库存等级接口!$H$358=0,"",[1]库存等级接口!$H$358),"")</f>
        <v/>
      </c>
      <c r="I358" s="61" t="n">
        <f aca="false">IF($B358="",0,1)</f>
        <v>0</v>
      </c>
      <c r="J358" s="61" t="n">
        <f aca="false">N(J357)+$I358</f>
        <v>56</v>
      </c>
    </row>
    <row r="359" customFormat="false" ht="15" hidden="false" customHeight="true" outlineLevel="0" collapsed="false">
      <c r="A359" s="61" t="n">
        <v>356</v>
      </c>
      <c r="B359" s="62" t="str">
        <f aca="false">IFERROR(IF([1]库存等级接口!$B$359=0,"",[1]库存等级接口!$B$359),"")</f>
        <v/>
      </c>
      <c r="C359" s="63" t="str">
        <f aca="false">IFERROR(IF([1]库存等级接口!$C$359=0,"",[1]库存等级接口!$C$359),"")</f>
        <v/>
      </c>
      <c r="D359" s="63" t="str">
        <f aca="false">IFERROR(IF([1]库存等级接口!$D$359=0,"",[1]库存等级接口!$D$359),"")</f>
        <v/>
      </c>
      <c r="E359" s="63" t="str">
        <f aca="false">IFERROR(IF([1]库存等级接口!$E$359=0,"",[1]库存等级接口!$E$359),"")</f>
        <v/>
      </c>
      <c r="F359" s="64" t="str">
        <f aca="false">IFERROR(IF([1]库存等级接口!$F$359=0,"",[1]库存等级接口!$F$359),"")</f>
        <v/>
      </c>
      <c r="G359" s="65" t="str">
        <f aca="false">IFERROR(IF([1]库存等级接口!$G$359=0,"",[1]库存等级接口!$G$359),"")</f>
        <v/>
      </c>
      <c r="H359" s="62" t="str">
        <f aca="false">IFERROR(IF([1]库存等级接口!$H$359=0,"",[1]库存等级接口!$H$359),"")</f>
        <v/>
      </c>
      <c r="I359" s="61" t="n">
        <f aca="false">IF($B359="",0,1)</f>
        <v>0</v>
      </c>
      <c r="J359" s="61" t="n">
        <f aca="false">N(J358)+$I359</f>
        <v>56</v>
      </c>
    </row>
    <row r="360" customFormat="false" ht="15" hidden="false" customHeight="true" outlineLevel="0" collapsed="false">
      <c r="A360" s="61" t="n">
        <v>357</v>
      </c>
      <c r="B360" s="62" t="str">
        <f aca="false">IFERROR(IF([1]库存等级接口!$B$360=0,"",[1]库存等级接口!$B$360),"")</f>
        <v/>
      </c>
      <c r="C360" s="63" t="str">
        <f aca="false">IFERROR(IF([1]库存等级接口!$C$360=0,"",[1]库存等级接口!$C$360),"")</f>
        <v/>
      </c>
      <c r="D360" s="63" t="str">
        <f aca="false">IFERROR(IF([1]库存等级接口!$D$360=0,"",[1]库存等级接口!$D$360),"")</f>
        <v/>
      </c>
      <c r="E360" s="63" t="str">
        <f aca="false">IFERROR(IF([1]库存等级接口!$E$360=0,"",[1]库存等级接口!$E$360),"")</f>
        <v/>
      </c>
      <c r="F360" s="64" t="str">
        <f aca="false">IFERROR(IF([1]库存等级接口!$F$360=0,"",[1]库存等级接口!$F$360),"")</f>
        <v/>
      </c>
      <c r="G360" s="65" t="str">
        <f aca="false">IFERROR(IF([1]库存等级接口!$G$360=0,"",[1]库存等级接口!$G$360),"")</f>
        <v/>
      </c>
      <c r="H360" s="62" t="str">
        <f aca="false">IFERROR(IF([1]库存等级接口!$H$360=0,"",[1]库存等级接口!$H$360),"")</f>
        <v/>
      </c>
      <c r="I360" s="61" t="n">
        <f aca="false">IF($B360="",0,1)</f>
        <v>0</v>
      </c>
      <c r="J360" s="61" t="n">
        <f aca="false">N(J359)+$I360</f>
        <v>56</v>
      </c>
    </row>
    <row r="361" customFormat="false" ht="15" hidden="false" customHeight="true" outlineLevel="0" collapsed="false">
      <c r="A361" s="61" t="n">
        <v>358</v>
      </c>
      <c r="B361" s="62" t="str">
        <f aca="false">IFERROR(IF([1]库存等级接口!$B$361=0,"",[1]库存等级接口!$B$361),"")</f>
        <v/>
      </c>
      <c r="C361" s="63" t="str">
        <f aca="false">IFERROR(IF([1]库存等级接口!$C$361=0,"",[1]库存等级接口!$C$361),"")</f>
        <v/>
      </c>
      <c r="D361" s="63" t="str">
        <f aca="false">IFERROR(IF([1]库存等级接口!$D$361=0,"",[1]库存等级接口!$D$361),"")</f>
        <v/>
      </c>
      <c r="E361" s="63" t="str">
        <f aca="false">IFERROR(IF([1]库存等级接口!$E$361=0,"",[1]库存等级接口!$E$361),"")</f>
        <v/>
      </c>
      <c r="F361" s="64" t="str">
        <f aca="false">IFERROR(IF([1]库存等级接口!$F$361=0,"",[1]库存等级接口!$F$361),"")</f>
        <v/>
      </c>
      <c r="G361" s="65" t="str">
        <f aca="false">IFERROR(IF([1]库存等级接口!$G$361=0,"",[1]库存等级接口!$G$361),"")</f>
        <v/>
      </c>
      <c r="H361" s="62" t="str">
        <f aca="false">IFERROR(IF([1]库存等级接口!$H$361=0,"",[1]库存等级接口!$H$361),"")</f>
        <v/>
      </c>
      <c r="I361" s="61" t="n">
        <f aca="false">IF($B361="",0,1)</f>
        <v>0</v>
      </c>
      <c r="J361" s="61" t="n">
        <f aca="false">N(J360)+$I361</f>
        <v>56</v>
      </c>
    </row>
    <row r="362" customFormat="false" ht="15" hidden="false" customHeight="true" outlineLevel="0" collapsed="false">
      <c r="A362" s="61" t="n">
        <v>359</v>
      </c>
      <c r="B362" s="62" t="str">
        <f aca="false">IFERROR(IF([1]库存等级接口!$B$362=0,"",[1]库存等级接口!$B$362),"")</f>
        <v/>
      </c>
      <c r="C362" s="63" t="str">
        <f aca="false">IFERROR(IF([1]库存等级接口!$C$362=0,"",[1]库存等级接口!$C$362),"")</f>
        <v/>
      </c>
      <c r="D362" s="63" t="str">
        <f aca="false">IFERROR(IF([1]库存等级接口!$D$362=0,"",[1]库存等级接口!$D$362),"")</f>
        <v/>
      </c>
      <c r="E362" s="63" t="str">
        <f aca="false">IFERROR(IF([1]库存等级接口!$E$362=0,"",[1]库存等级接口!$E$362),"")</f>
        <v/>
      </c>
      <c r="F362" s="64" t="str">
        <f aca="false">IFERROR(IF([1]库存等级接口!$F$362=0,"",[1]库存等级接口!$F$362),"")</f>
        <v/>
      </c>
      <c r="G362" s="65" t="str">
        <f aca="false">IFERROR(IF([1]库存等级接口!$G$362=0,"",[1]库存等级接口!$G$362),"")</f>
        <v/>
      </c>
      <c r="H362" s="62" t="str">
        <f aca="false">IFERROR(IF([1]库存等级接口!$H$362=0,"",[1]库存等级接口!$H$362),"")</f>
        <v/>
      </c>
      <c r="I362" s="61" t="n">
        <f aca="false">IF($B362="",0,1)</f>
        <v>0</v>
      </c>
      <c r="J362" s="61" t="n">
        <f aca="false">N(J361)+$I362</f>
        <v>56</v>
      </c>
    </row>
    <row r="363" customFormat="false" ht="15" hidden="false" customHeight="true" outlineLevel="0" collapsed="false">
      <c r="A363" s="61" t="n">
        <v>360</v>
      </c>
      <c r="B363" s="62" t="str">
        <f aca="false">IFERROR(IF([1]库存等级接口!$B$363=0,"",[1]库存等级接口!$B$363),"")</f>
        <v/>
      </c>
      <c r="C363" s="63" t="str">
        <f aca="false">IFERROR(IF([1]库存等级接口!$C$363=0,"",[1]库存等级接口!$C$363),"")</f>
        <v/>
      </c>
      <c r="D363" s="63" t="str">
        <f aca="false">IFERROR(IF([1]库存等级接口!$D$363=0,"",[1]库存等级接口!$D$363),"")</f>
        <v/>
      </c>
      <c r="E363" s="63" t="str">
        <f aca="false">IFERROR(IF([1]库存等级接口!$E$363=0,"",[1]库存等级接口!$E$363),"")</f>
        <v/>
      </c>
      <c r="F363" s="64" t="str">
        <f aca="false">IFERROR(IF([1]库存等级接口!$F$363=0,"",[1]库存等级接口!$F$363),"")</f>
        <v/>
      </c>
      <c r="G363" s="65" t="str">
        <f aca="false">IFERROR(IF([1]库存等级接口!$G$363=0,"",[1]库存等级接口!$G$363),"")</f>
        <v/>
      </c>
      <c r="H363" s="62" t="str">
        <f aca="false">IFERROR(IF([1]库存等级接口!$H$363=0,"",[1]库存等级接口!$H$363),"")</f>
        <v/>
      </c>
      <c r="I363" s="61" t="n">
        <f aca="false">IF($B363="",0,1)</f>
        <v>0</v>
      </c>
      <c r="J363" s="61" t="n">
        <f aca="false">N(J362)+$I363</f>
        <v>56</v>
      </c>
    </row>
    <row r="364" customFormat="false" ht="15" hidden="false" customHeight="true" outlineLevel="0" collapsed="false">
      <c r="A364" s="61" t="n">
        <v>361</v>
      </c>
      <c r="B364" s="62" t="str">
        <f aca="false">IFERROR(IF([1]库存等级接口!$B$364=0,"",[1]库存等级接口!$B$364),"")</f>
        <v/>
      </c>
      <c r="C364" s="63" t="str">
        <f aca="false">IFERROR(IF([1]库存等级接口!$C$364=0,"",[1]库存等级接口!$C$364),"")</f>
        <v/>
      </c>
      <c r="D364" s="63" t="str">
        <f aca="false">IFERROR(IF([1]库存等级接口!$D$364=0,"",[1]库存等级接口!$D$364),"")</f>
        <v/>
      </c>
      <c r="E364" s="63" t="str">
        <f aca="false">IFERROR(IF([1]库存等级接口!$E$364=0,"",[1]库存等级接口!$E$364),"")</f>
        <v/>
      </c>
      <c r="F364" s="64" t="str">
        <f aca="false">IFERROR(IF([1]库存等级接口!$F$364=0,"",[1]库存等级接口!$F$364),"")</f>
        <v/>
      </c>
      <c r="G364" s="65" t="str">
        <f aca="false">IFERROR(IF([1]库存等级接口!$G$364=0,"",[1]库存等级接口!$G$364),"")</f>
        <v/>
      </c>
      <c r="H364" s="62" t="str">
        <f aca="false">IFERROR(IF([1]库存等级接口!$H$364=0,"",[1]库存等级接口!$H$364),"")</f>
        <v/>
      </c>
      <c r="I364" s="61" t="n">
        <f aca="false">IF($B364="",0,1)</f>
        <v>0</v>
      </c>
      <c r="J364" s="61" t="n">
        <f aca="false">N(J363)+$I364</f>
        <v>56</v>
      </c>
    </row>
    <row r="365" customFormat="false" ht="15" hidden="false" customHeight="true" outlineLevel="0" collapsed="false">
      <c r="A365" s="61" t="n">
        <v>362</v>
      </c>
      <c r="B365" s="62" t="str">
        <f aca="false">IFERROR(IF([1]库存等级接口!$B$365=0,"",[1]库存等级接口!$B$365),"")</f>
        <v/>
      </c>
      <c r="C365" s="63" t="str">
        <f aca="false">IFERROR(IF([1]库存等级接口!$C$365=0,"",[1]库存等级接口!$C$365),"")</f>
        <v/>
      </c>
      <c r="D365" s="63" t="str">
        <f aca="false">IFERROR(IF([1]库存等级接口!$D$365=0,"",[1]库存等级接口!$D$365),"")</f>
        <v/>
      </c>
      <c r="E365" s="63" t="str">
        <f aca="false">IFERROR(IF([1]库存等级接口!$E$365=0,"",[1]库存等级接口!$E$365),"")</f>
        <v/>
      </c>
      <c r="F365" s="64" t="str">
        <f aca="false">IFERROR(IF([1]库存等级接口!$F$365=0,"",[1]库存等级接口!$F$365),"")</f>
        <v/>
      </c>
      <c r="G365" s="65" t="str">
        <f aca="false">IFERROR(IF([1]库存等级接口!$G$365=0,"",[1]库存等级接口!$G$365),"")</f>
        <v/>
      </c>
      <c r="H365" s="62" t="str">
        <f aca="false">IFERROR(IF([1]库存等级接口!$H$365=0,"",[1]库存等级接口!$H$365),"")</f>
        <v/>
      </c>
      <c r="I365" s="61" t="n">
        <f aca="false">IF($B365="",0,1)</f>
        <v>0</v>
      </c>
      <c r="J365" s="61" t="n">
        <f aca="false">N(J364)+$I365</f>
        <v>56</v>
      </c>
    </row>
    <row r="366" customFormat="false" ht="15" hidden="false" customHeight="true" outlineLevel="0" collapsed="false">
      <c r="A366" s="61" t="n">
        <v>363</v>
      </c>
      <c r="B366" s="62" t="str">
        <f aca="false">IFERROR(IF([1]库存等级接口!$B$366=0,"",[1]库存等级接口!$B$366),"")</f>
        <v/>
      </c>
      <c r="C366" s="63" t="str">
        <f aca="false">IFERROR(IF([1]库存等级接口!$C$366=0,"",[1]库存等级接口!$C$366),"")</f>
        <v/>
      </c>
      <c r="D366" s="63" t="str">
        <f aca="false">IFERROR(IF([1]库存等级接口!$D$366=0,"",[1]库存等级接口!$D$366),"")</f>
        <v/>
      </c>
      <c r="E366" s="63" t="str">
        <f aca="false">IFERROR(IF([1]库存等级接口!$E$366=0,"",[1]库存等级接口!$E$366),"")</f>
        <v/>
      </c>
      <c r="F366" s="64" t="str">
        <f aca="false">IFERROR(IF([1]库存等级接口!$F$366=0,"",[1]库存等级接口!$F$366),"")</f>
        <v/>
      </c>
      <c r="G366" s="65" t="str">
        <f aca="false">IFERROR(IF([1]库存等级接口!$G$366=0,"",[1]库存等级接口!$G$366),"")</f>
        <v/>
      </c>
      <c r="H366" s="62" t="str">
        <f aca="false">IFERROR(IF([1]库存等级接口!$H$366=0,"",[1]库存等级接口!$H$366),"")</f>
        <v/>
      </c>
      <c r="I366" s="61" t="n">
        <f aca="false">IF($B366="",0,1)</f>
        <v>0</v>
      </c>
      <c r="J366" s="61" t="n">
        <f aca="false">N(J365)+$I366</f>
        <v>56</v>
      </c>
    </row>
    <row r="367" customFormat="false" ht="15" hidden="false" customHeight="true" outlineLevel="0" collapsed="false">
      <c r="A367" s="61" t="n">
        <v>364</v>
      </c>
      <c r="B367" s="62" t="str">
        <f aca="false">IFERROR(IF([1]库存等级接口!$B$367=0,"",[1]库存等级接口!$B$367),"")</f>
        <v/>
      </c>
      <c r="C367" s="63" t="str">
        <f aca="false">IFERROR(IF([1]库存等级接口!$C$367=0,"",[1]库存等级接口!$C$367),"")</f>
        <v/>
      </c>
      <c r="D367" s="63" t="str">
        <f aca="false">IFERROR(IF([1]库存等级接口!$D$367=0,"",[1]库存等级接口!$D$367),"")</f>
        <v/>
      </c>
      <c r="E367" s="63" t="str">
        <f aca="false">IFERROR(IF([1]库存等级接口!$E$367=0,"",[1]库存等级接口!$E$367),"")</f>
        <v/>
      </c>
      <c r="F367" s="64" t="str">
        <f aca="false">IFERROR(IF([1]库存等级接口!$F$367=0,"",[1]库存等级接口!$F$367),"")</f>
        <v/>
      </c>
      <c r="G367" s="65" t="str">
        <f aca="false">IFERROR(IF([1]库存等级接口!$G$367=0,"",[1]库存等级接口!$G$367),"")</f>
        <v/>
      </c>
      <c r="H367" s="62" t="str">
        <f aca="false">IFERROR(IF([1]库存等级接口!$H$367=0,"",[1]库存等级接口!$H$367),"")</f>
        <v/>
      </c>
      <c r="I367" s="61" t="n">
        <f aca="false">IF($B367="",0,1)</f>
        <v>0</v>
      </c>
      <c r="J367" s="61" t="n">
        <f aca="false">N(J366)+$I367</f>
        <v>56</v>
      </c>
    </row>
    <row r="368" customFormat="false" ht="15" hidden="false" customHeight="true" outlineLevel="0" collapsed="false">
      <c r="A368" s="61" t="n">
        <v>365</v>
      </c>
      <c r="B368" s="62" t="str">
        <f aca="false">IFERROR(IF([1]库存等级接口!$B$368=0,"",[1]库存等级接口!$B$368),"")</f>
        <v/>
      </c>
      <c r="C368" s="63" t="str">
        <f aca="false">IFERROR(IF([1]库存等级接口!$C$368=0,"",[1]库存等级接口!$C$368),"")</f>
        <v/>
      </c>
      <c r="D368" s="63" t="str">
        <f aca="false">IFERROR(IF([1]库存等级接口!$D$368=0,"",[1]库存等级接口!$D$368),"")</f>
        <v/>
      </c>
      <c r="E368" s="63" t="str">
        <f aca="false">IFERROR(IF([1]库存等级接口!$E$368=0,"",[1]库存等级接口!$E$368),"")</f>
        <v/>
      </c>
      <c r="F368" s="64" t="str">
        <f aca="false">IFERROR(IF([1]库存等级接口!$F$368=0,"",[1]库存等级接口!$F$368),"")</f>
        <v/>
      </c>
      <c r="G368" s="65" t="str">
        <f aca="false">IFERROR(IF([1]库存等级接口!$G$368=0,"",[1]库存等级接口!$G$368),"")</f>
        <v/>
      </c>
      <c r="H368" s="62" t="str">
        <f aca="false">IFERROR(IF([1]库存等级接口!$H$368=0,"",[1]库存等级接口!$H$368),"")</f>
        <v/>
      </c>
      <c r="I368" s="61" t="n">
        <f aca="false">IF($B368="",0,1)</f>
        <v>0</v>
      </c>
      <c r="J368" s="61" t="n">
        <f aca="false">N(J367)+$I368</f>
        <v>56</v>
      </c>
    </row>
    <row r="369" customFormat="false" ht="15" hidden="false" customHeight="true" outlineLevel="0" collapsed="false">
      <c r="A369" s="61" t="n">
        <v>366</v>
      </c>
      <c r="B369" s="62" t="str">
        <f aca="false">IFERROR(IF([1]库存等级接口!$B$369=0,"",[1]库存等级接口!$B$369),"")</f>
        <v/>
      </c>
      <c r="C369" s="63" t="str">
        <f aca="false">IFERROR(IF([1]库存等级接口!$C$369=0,"",[1]库存等级接口!$C$369),"")</f>
        <v/>
      </c>
      <c r="D369" s="63" t="str">
        <f aca="false">IFERROR(IF([1]库存等级接口!$D$369=0,"",[1]库存等级接口!$D$369),"")</f>
        <v/>
      </c>
      <c r="E369" s="63" t="str">
        <f aca="false">IFERROR(IF([1]库存等级接口!$E$369=0,"",[1]库存等级接口!$E$369),"")</f>
        <v/>
      </c>
      <c r="F369" s="64" t="str">
        <f aca="false">IFERROR(IF([1]库存等级接口!$F$369=0,"",[1]库存等级接口!$F$369),"")</f>
        <v/>
      </c>
      <c r="G369" s="65" t="str">
        <f aca="false">IFERROR(IF([1]库存等级接口!$G$369=0,"",[1]库存等级接口!$G$369),"")</f>
        <v/>
      </c>
      <c r="H369" s="62" t="str">
        <f aca="false">IFERROR(IF([1]库存等级接口!$H$369=0,"",[1]库存等级接口!$H$369),"")</f>
        <v/>
      </c>
      <c r="I369" s="61" t="n">
        <f aca="false">IF($B369="",0,1)</f>
        <v>0</v>
      </c>
      <c r="J369" s="61" t="n">
        <f aca="false">N(J368)+$I369</f>
        <v>56</v>
      </c>
    </row>
    <row r="370" customFormat="false" ht="15" hidden="false" customHeight="true" outlineLevel="0" collapsed="false">
      <c r="A370" s="61" t="n">
        <v>367</v>
      </c>
      <c r="B370" s="62" t="str">
        <f aca="false">IFERROR(IF([1]库存等级接口!$B$370=0,"",[1]库存等级接口!$B$370),"")</f>
        <v/>
      </c>
      <c r="C370" s="63" t="str">
        <f aca="false">IFERROR(IF([1]库存等级接口!$C$370=0,"",[1]库存等级接口!$C$370),"")</f>
        <v/>
      </c>
      <c r="D370" s="63" t="str">
        <f aca="false">IFERROR(IF([1]库存等级接口!$D$370=0,"",[1]库存等级接口!$D$370),"")</f>
        <v/>
      </c>
      <c r="E370" s="63" t="str">
        <f aca="false">IFERROR(IF([1]库存等级接口!$E$370=0,"",[1]库存等级接口!$E$370),"")</f>
        <v/>
      </c>
      <c r="F370" s="64" t="str">
        <f aca="false">IFERROR(IF([1]库存等级接口!$F$370=0,"",[1]库存等级接口!$F$370),"")</f>
        <v/>
      </c>
      <c r="G370" s="65" t="str">
        <f aca="false">IFERROR(IF([1]库存等级接口!$G$370=0,"",[1]库存等级接口!$G$370),"")</f>
        <v/>
      </c>
      <c r="H370" s="62" t="str">
        <f aca="false">IFERROR(IF([1]库存等级接口!$H$370=0,"",[1]库存等级接口!$H$370),"")</f>
        <v/>
      </c>
      <c r="I370" s="61" t="n">
        <f aca="false">IF($B370="",0,1)</f>
        <v>0</v>
      </c>
      <c r="J370" s="61" t="n">
        <f aca="false">N(J369)+$I370</f>
        <v>56</v>
      </c>
    </row>
    <row r="371" customFormat="false" ht="15" hidden="false" customHeight="true" outlineLevel="0" collapsed="false">
      <c r="A371" s="61" t="n">
        <v>368</v>
      </c>
      <c r="B371" s="62" t="str">
        <f aca="false">IFERROR(IF([1]库存等级接口!$B$371=0,"",[1]库存等级接口!$B$371),"")</f>
        <v/>
      </c>
      <c r="C371" s="63" t="str">
        <f aca="false">IFERROR(IF([1]库存等级接口!$C$371=0,"",[1]库存等级接口!$C$371),"")</f>
        <v/>
      </c>
      <c r="D371" s="63" t="str">
        <f aca="false">IFERROR(IF([1]库存等级接口!$D$371=0,"",[1]库存等级接口!$D$371),"")</f>
        <v/>
      </c>
      <c r="E371" s="63" t="str">
        <f aca="false">IFERROR(IF([1]库存等级接口!$E$371=0,"",[1]库存等级接口!$E$371),"")</f>
        <v/>
      </c>
      <c r="F371" s="64" t="str">
        <f aca="false">IFERROR(IF([1]库存等级接口!$F$371=0,"",[1]库存等级接口!$F$371),"")</f>
        <v/>
      </c>
      <c r="G371" s="65" t="str">
        <f aca="false">IFERROR(IF([1]库存等级接口!$G$371=0,"",[1]库存等级接口!$G$371),"")</f>
        <v/>
      </c>
      <c r="H371" s="62" t="str">
        <f aca="false">IFERROR(IF([1]库存等级接口!$H$371=0,"",[1]库存等级接口!$H$371),"")</f>
        <v/>
      </c>
      <c r="I371" s="61" t="n">
        <f aca="false">IF($B371="",0,1)</f>
        <v>0</v>
      </c>
      <c r="J371" s="61" t="n">
        <f aca="false">N(J370)+$I371</f>
        <v>56</v>
      </c>
    </row>
    <row r="372" customFormat="false" ht="15" hidden="false" customHeight="true" outlineLevel="0" collapsed="false">
      <c r="A372" s="61" t="n">
        <v>369</v>
      </c>
      <c r="B372" s="62" t="str">
        <f aca="false">IFERROR(IF([1]库存等级接口!$B$372=0,"",[1]库存等级接口!$B$372),"")</f>
        <v/>
      </c>
      <c r="C372" s="63" t="str">
        <f aca="false">IFERROR(IF([1]库存等级接口!$C$372=0,"",[1]库存等级接口!$C$372),"")</f>
        <v/>
      </c>
      <c r="D372" s="63" t="str">
        <f aca="false">IFERROR(IF([1]库存等级接口!$D$372=0,"",[1]库存等级接口!$D$372),"")</f>
        <v/>
      </c>
      <c r="E372" s="63" t="str">
        <f aca="false">IFERROR(IF([1]库存等级接口!$E$372=0,"",[1]库存等级接口!$E$372),"")</f>
        <v/>
      </c>
      <c r="F372" s="64" t="str">
        <f aca="false">IFERROR(IF([1]库存等级接口!$F$372=0,"",[1]库存等级接口!$F$372),"")</f>
        <v/>
      </c>
      <c r="G372" s="65" t="str">
        <f aca="false">IFERROR(IF([1]库存等级接口!$G$372=0,"",[1]库存等级接口!$G$372),"")</f>
        <v/>
      </c>
      <c r="H372" s="62" t="str">
        <f aca="false">IFERROR(IF([1]库存等级接口!$H$372=0,"",[1]库存等级接口!$H$372),"")</f>
        <v/>
      </c>
      <c r="I372" s="61" t="n">
        <f aca="false">IF($B372="",0,1)</f>
        <v>0</v>
      </c>
      <c r="J372" s="61" t="n">
        <f aca="false">N(J371)+$I372</f>
        <v>56</v>
      </c>
    </row>
    <row r="373" customFormat="false" ht="15" hidden="false" customHeight="true" outlineLevel="0" collapsed="false">
      <c r="A373" s="61" t="n">
        <v>370</v>
      </c>
      <c r="B373" s="62" t="str">
        <f aca="false">IFERROR(IF([1]库存等级接口!$B$373=0,"",[1]库存等级接口!$B$373),"")</f>
        <v/>
      </c>
      <c r="C373" s="63" t="str">
        <f aca="false">IFERROR(IF([1]库存等级接口!$C$373=0,"",[1]库存等级接口!$C$373),"")</f>
        <v/>
      </c>
      <c r="D373" s="63" t="str">
        <f aca="false">IFERROR(IF([1]库存等级接口!$D$373=0,"",[1]库存等级接口!$D$373),"")</f>
        <v/>
      </c>
      <c r="E373" s="63" t="str">
        <f aca="false">IFERROR(IF([1]库存等级接口!$E$373=0,"",[1]库存等级接口!$E$373),"")</f>
        <v/>
      </c>
      <c r="F373" s="64" t="str">
        <f aca="false">IFERROR(IF([1]库存等级接口!$F$373=0,"",[1]库存等级接口!$F$373),"")</f>
        <v/>
      </c>
      <c r="G373" s="65" t="str">
        <f aca="false">IFERROR(IF([1]库存等级接口!$G$373=0,"",[1]库存等级接口!$G$373),"")</f>
        <v/>
      </c>
      <c r="H373" s="62" t="str">
        <f aca="false">IFERROR(IF([1]库存等级接口!$H$373=0,"",[1]库存等级接口!$H$373),"")</f>
        <v/>
      </c>
      <c r="I373" s="61" t="n">
        <f aca="false">IF($B373="",0,1)</f>
        <v>0</v>
      </c>
      <c r="J373" s="61" t="n">
        <f aca="false">N(J372)+$I373</f>
        <v>56</v>
      </c>
    </row>
    <row r="374" customFormat="false" ht="15" hidden="false" customHeight="true" outlineLevel="0" collapsed="false">
      <c r="A374" s="61" t="n">
        <v>371</v>
      </c>
      <c r="B374" s="62" t="str">
        <f aca="false">IFERROR(IF([1]库存等级接口!$B$374=0,"",[1]库存等级接口!$B$374),"")</f>
        <v/>
      </c>
      <c r="C374" s="63" t="str">
        <f aca="false">IFERROR(IF([1]库存等级接口!$C$374=0,"",[1]库存等级接口!$C$374),"")</f>
        <v/>
      </c>
      <c r="D374" s="63" t="str">
        <f aca="false">IFERROR(IF([1]库存等级接口!$D$374=0,"",[1]库存等级接口!$D$374),"")</f>
        <v/>
      </c>
      <c r="E374" s="63" t="str">
        <f aca="false">IFERROR(IF([1]库存等级接口!$E$374=0,"",[1]库存等级接口!$E$374),"")</f>
        <v/>
      </c>
      <c r="F374" s="64" t="str">
        <f aca="false">IFERROR(IF([1]库存等级接口!$F$374=0,"",[1]库存等级接口!$F$374),"")</f>
        <v/>
      </c>
      <c r="G374" s="65" t="str">
        <f aca="false">IFERROR(IF([1]库存等级接口!$G$374=0,"",[1]库存等级接口!$G$374),"")</f>
        <v/>
      </c>
      <c r="H374" s="62" t="str">
        <f aca="false">IFERROR(IF([1]库存等级接口!$H$374=0,"",[1]库存等级接口!$H$374),"")</f>
        <v/>
      </c>
      <c r="I374" s="61" t="n">
        <f aca="false">IF($B374="",0,1)</f>
        <v>0</v>
      </c>
      <c r="J374" s="61" t="n">
        <f aca="false">N(J373)+$I374</f>
        <v>56</v>
      </c>
    </row>
    <row r="375" customFormat="false" ht="15" hidden="false" customHeight="true" outlineLevel="0" collapsed="false">
      <c r="A375" s="61" t="n">
        <v>372</v>
      </c>
      <c r="B375" s="62" t="str">
        <f aca="false">IFERROR(IF([1]库存等级接口!$B$375=0,"",[1]库存等级接口!$B$375),"")</f>
        <v/>
      </c>
      <c r="C375" s="63" t="str">
        <f aca="false">IFERROR(IF([1]库存等级接口!$C$375=0,"",[1]库存等级接口!$C$375),"")</f>
        <v/>
      </c>
      <c r="D375" s="63" t="str">
        <f aca="false">IFERROR(IF([1]库存等级接口!$D$375=0,"",[1]库存等级接口!$D$375),"")</f>
        <v/>
      </c>
      <c r="E375" s="63" t="str">
        <f aca="false">IFERROR(IF([1]库存等级接口!$E$375=0,"",[1]库存等级接口!$E$375),"")</f>
        <v/>
      </c>
      <c r="F375" s="64" t="str">
        <f aca="false">IFERROR(IF([1]库存等级接口!$F$375=0,"",[1]库存等级接口!$F$375),"")</f>
        <v/>
      </c>
      <c r="G375" s="65" t="str">
        <f aca="false">IFERROR(IF([1]库存等级接口!$G$375=0,"",[1]库存等级接口!$G$375),"")</f>
        <v/>
      </c>
      <c r="H375" s="62" t="str">
        <f aca="false">IFERROR(IF([1]库存等级接口!$H$375=0,"",[1]库存等级接口!$H$375),"")</f>
        <v/>
      </c>
      <c r="I375" s="61" t="n">
        <f aca="false">IF($B375="",0,1)</f>
        <v>0</v>
      </c>
      <c r="J375" s="61" t="n">
        <f aca="false">N(J374)+$I375</f>
        <v>56</v>
      </c>
    </row>
    <row r="376" customFormat="false" ht="15" hidden="false" customHeight="true" outlineLevel="0" collapsed="false">
      <c r="A376" s="61" t="n">
        <v>373</v>
      </c>
      <c r="B376" s="62" t="str">
        <f aca="false">IFERROR(IF([1]库存等级接口!$B$376=0,"",[1]库存等级接口!$B$376),"")</f>
        <v/>
      </c>
      <c r="C376" s="63" t="str">
        <f aca="false">IFERROR(IF([1]库存等级接口!$C$376=0,"",[1]库存等级接口!$C$376),"")</f>
        <v/>
      </c>
      <c r="D376" s="63" t="str">
        <f aca="false">IFERROR(IF([1]库存等级接口!$D$376=0,"",[1]库存等级接口!$D$376),"")</f>
        <v/>
      </c>
      <c r="E376" s="63" t="str">
        <f aca="false">IFERROR(IF([1]库存等级接口!$E$376=0,"",[1]库存等级接口!$E$376),"")</f>
        <v/>
      </c>
      <c r="F376" s="64" t="str">
        <f aca="false">IFERROR(IF([1]库存等级接口!$F$376=0,"",[1]库存等级接口!$F$376),"")</f>
        <v/>
      </c>
      <c r="G376" s="65" t="str">
        <f aca="false">IFERROR(IF([1]库存等级接口!$G$376=0,"",[1]库存等级接口!$G$376),"")</f>
        <v/>
      </c>
      <c r="H376" s="62" t="str">
        <f aca="false">IFERROR(IF([1]库存等级接口!$H$376=0,"",[1]库存等级接口!$H$376),"")</f>
        <v/>
      </c>
      <c r="I376" s="61" t="n">
        <f aca="false">IF($B376="",0,1)</f>
        <v>0</v>
      </c>
      <c r="J376" s="61" t="n">
        <f aca="false">N(J375)+$I376</f>
        <v>56</v>
      </c>
    </row>
    <row r="377" customFormat="false" ht="15" hidden="false" customHeight="true" outlineLevel="0" collapsed="false">
      <c r="A377" s="61" t="n">
        <v>374</v>
      </c>
      <c r="B377" s="62" t="str">
        <f aca="false">IFERROR(IF([1]库存等级接口!$B$377=0,"",[1]库存等级接口!$B$377),"")</f>
        <v/>
      </c>
      <c r="C377" s="63" t="str">
        <f aca="false">IFERROR(IF([1]库存等级接口!$C$377=0,"",[1]库存等级接口!$C$377),"")</f>
        <v/>
      </c>
      <c r="D377" s="63" t="str">
        <f aca="false">IFERROR(IF([1]库存等级接口!$D$377=0,"",[1]库存等级接口!$D$377),"")</f>
        <v/>
      </c>
      <c r="E377" s="63" t="str">
        <f aca="false">IFERROR(IF([1]库存等级接口!$E$377=0,"",[1]库存等级接口!$E$377),"")</f>
        <v/>
      </c>
      <c r="F377" s="64" t="str">
        <f aca="false">IFERROR(IF([1]库存等级接口!$F$377=0,"",[1]库存等级接口!$F$377),"")</f>
        <v/>
      </c>
      <c r="G377" s="65" t="str">
        <f aca="false">IFERROR(IF([1]库存等级接口!$G$377=0,"",[1]库存等级接口!$G$377),"")</f>
        <v/>
      </c>
      <c r="H377" s="62" t="str">
        <f aca="false">IFERROR(IF([1]库存等级接口!$H$377=0,"",[1]库存等级接口!$H$377),"")</f>
        <v/>
      </c>
      <c r="I377" s="61" t="n">
        <f aca="false">IF($B377="",0,1)</f>
        <v>0</v>
      </c>
      <c r="J377" s="61" t="n">
        <f aca="false">N(J376)+$I377</f>
        <v>56</v>
      </c>
    </row>
    <row r="378" customFormat="false" ht="15" hidden="false" customHeight="true" outlineLevel="0" collapsed="false">
      <c r="A378" s="61" t="n">
        <v>375</v>
      </c>
      <c r="B378" s="62" t="str">
        <f aca="false">IFERROR(IF([1]库存等级接口!$B$378=0,"",[1]库存等级接口!$B$378),"")</f>
        <v/>
      </c>
      <c r="C378" s="63" t="str">
        <f aca="false">IFERROR(IF([1]库存等级接口!$C$378=0,"",[1]库存等级接口!$C$378),"")</f>
        <v/>
      </c>
      <c r="D378" s="63" t="str">
        <f aca="false">IFERROR(IF([1]库存等级接口!$D$378=0,"",[1]库存等级接口!$D$378),"")</f>
        <v/>
      </c>
      <c r="E378" s="63" t="str">
        <f aca="false">IFERROR(IF([1]库存等级接口!$E$378=0,"",[1]库存等级接口!$E$378),"")</f>
        <v/>
      </c>
      <c r="F378" s="64" t="str">
        <f aca="false">IFERROR(IF([1]库存等级接口!$F$378=0,"",[1]库存等级接口!$F$378),"")</f>
        <v/>
      </c>
      <c r="G378" s="65" t="str">
        <f aca="false">IFERROR(IF([1]库存等级接口!$G$378=0,"",[1]库存等级接口!$G$378),"")</f>
        <v/>
      </c>
      <c r="H378" s="62" t="str">
        <f aca="false">IFERROR(IF([1]库存等级接口!$H$378=0,"",[1]库存等级接口!$H$378),"")</f>
        <v/>
      </c>
      <c r="I378" s="61" t="n">
        <f aca="false">IF($B378="",0,1)</f>
        <v>0</v>
      </c>
      <c r="J378" s="61" t="n">
        <f aca="false">N(J377)+$I378</f>
        <v>56</v>
      </c>
    </row>
    <row r="379" customFormat="false" ht="15" hidden="false" customHeight="true" outlineLevel="0" collapsed="false">
      <c r="A379" s="61" t="n">
        <v>376</v>
      </c>
      <c r="B379" s="62" t="str">
        <f aca="false">IFERROR(IF([1]库存等级接口!$B$379=0,"",[1]库存等级接口!$B$379),"")</f>
        <v/>
      </c>
      <c r="C379" s="63" t="str">
        <f aca="false">IFERROR(IF([1]库存等级接口!$C$379=0,"",[1]库存等级接口!$C$379),"")</f>
        <v/>
      </c>
      <c r="D379" s="63" t="str">
        <f aca="false">IFERROR(IF([1]库存等级接口!$D$379=0,"",[1]库存等级接口!$D$379),"")</f>
        <v/>
      </c>
      <c r="E379" s="63" t="str">
        <f aca="false">IFERROR(IF([1]库存等级接口!$E$379=0,"",[1]库存等级接口!$E$379),"")</f>
        <v/>
      </c>
      <c r="F379" s="64" t="str">
        <f aca="false">IFERROR(IF([1]库存等级接口!$F$379=0,"",[1]库存等级接口!$F$379),"")</f>
        <v/>
      </c>
      <c r="G379" s="65" t="str">
        <f aca="false">IFERROR(IF([1]库存等级接口!$G$379=0,"",[1]库存等级接口!$G$379),"")</f>
        <v/>
      </c>
      <c r="H379" s="62" t="str">
        <f aca="false">IFERROR(IF([1]库存等级接口!$H$379=0,"",[1]库存等级接口!$H$379),"")</f>
        <v/>
      </c>
      <c r="I379" s="61" t="n">
        <f aca="false">IF($B379="",0,1)</f>
        <v>0</v>
      </c>
      <c r="J379" s="61" t="n">
        <f aca="false">N(J378)+$I379</f>
        <v>56</v>
      </c>
    </row>
    <row r="380" customFormat="false" ht="15" hidden="false" customHeight="true" outlineLevel="0" collapsed="false">
      <c r="A380" s="61" t="n">
        <v>377</v>
      </c>
      <c r="B380" s="62" t="str">
        <f aca="false">IFERROR(IF([1]库存等级接口!$B$380=0,"",[1]库存等级接口!$B$380),"")</f>
        <v/>
      </c>
      <c r="C380" s="63" t="str">
        <f aca="false">IFERROR(IF([1]库存等级接口!$C$380=0,"",[1]库存等级接口!$C$380),"")</f>
        <v/>
      </c>
      <c r="D380" s="63" t="str">
        <f aca="false">IFERROR(IF([1]库存等级接口!$D$380=0,"",[1]库存等级接口!$D$380),"")</f>
        <v/>
      </c>
      <c r="E380" s="63" t="str">
        <f aca="false">IFERROR(IF([1]库存等级接口!$E$380=0,"",[1]库存等级接口!$E$380),"")</f>
        <v/>
      </c>
      <c r="F380" s="64" t="str">
        <f aca="false">IFERROR(IF([1]库存等级接口!$F$380=0,"",[1]库存等级接口!$F$380),"")</f>
        <v/>
      </c>
      <c r="G380" s="65" t="str">
        <f aca="false">IFERROR(IF([1]库存等级接口!$G$380=0,"",[1]库存等级接口!$G$380),"")</f>
        <v/>
      </c>
      <c r="H380" s="62" t="str">
        <f aca="false">IFERROR(IF([1]库存等级接口!$H$380=0,"",[1]库存等级接口!$H$380),"")</f>
        <v/>
      </c>
      <c r="I380" s="61" t="n">
        <f aca="false">IF($B380="",0,1)</f>
        <v>0</v>
      </c>
      <c r="J380" s="61" t="n">
        <f aca="false">N(J379)+$I380</f>
        <v>56</v>
      </c>
    </row>
    <row r="381" customFormat="false" ht="15" hidden="false" customHeight="true" outlineLevel="0" collapsed="false">
      <c r="A381" s="61" t="n">
        <v>378</v>
      </c>
      <c r="B381" s="62" t="str">
        <f aca="false">IFERROR(IF([1]库存等级接口!$B$381=0,"",[1]库存等级接口!$B$381),"")</f>
        <v/>
      </c>
      <c r="C381" s="63" t="str">
        <f aca="false">IFERROR(IF([1]库存等级接口!$C$381=0,"",[1]库存等级接口!$C$381),"")</f>
        <v/>
      </c>
      <c r="D381" s="63" t="str">
        <f aca="false">IFERROR(IF([1]库存等级接口!$D$381=0,"",[1]库存等级接口!$D$381),"")</f>
        <v/>
      </c>
      <c r="E381" s="63" t="str">
        <f aca="false">IFERROR(IF([1]库存等级接口!$E$381=0,"",[1]库存等级接口!$E$381),"")</f>
        <v/>
      </c>
      <c r="F381" s="64" t="str">
        <f aca="false">IFERROR(IF([1]库存等级接口!$F$381=0,"",[1]库存等级接口!$F$381),"")</f>
        <v/>
      </c>
      <c r="G381" s="65" t="str">
        <f aca="false">IFERROR(IF([1]库存等级接口!$G$381=0,"",[1]库存等级接口!$G$381),"")</f>
        <v/>
      </c>
      <c r="H381" s="62" t="str">
        <f aca="false">IFERROR(IF([1]库存等级接口!$H$381=0,"",[1]库存等级接口!$H$381),"")</f>
        <v/>
      </c>
      <c r="I381" s="61" t="n">
        <f aca="false">IF($B381="",0,1)</f>
        <v>0</v>
      </c>
      <c r="J381" s="61" t="n">
        <f aca="false">N(J380)+$I381</f>
        <v>56</v>
      </c>
    </row>
    <row r="382" customFormat="false" ht="15" hidden="false" customHeight="true" outlineLevel="0" collapsed="false">
      <c r="A382" s="61" t="n">
        <v>379</v>
      </c>
      <c r="B382" s="62" t="str">
        <f aca="false">IFERROR(IF([1]库存等级接口!$B$382=0,"",[1]库存等级接口!$B$382),"")</f>
        <v/>
      </c>
      <c r="C382" s="63" t="str">
        <f aca="false">IFERROR(IF([1]库存等级接口!$C$382=0,"",[1]库存等级接口!$C$382),"")</f>
        <v/>
      </c>
      <c r="D382" s="63" t="str">
        <f aca="false">IFERROR(IF([1]库存等级接口!$D$382=0,"",[1]库存等级接口!$D$382),"")</f>
        <v/>
      </c>
      <c r="E382" s="63" t="str">
        <f aca="false">IFERROR(IF([1]库存等级接口!$E$382=0,"",[1]库存等级接口!$E$382),"")</f>
        <v/>
      </c>
      <c r="F382" s="64" t="str">
        <f aca="false">IFERROR(IF([1]库存等级接口!$F$382=0,"",[1]库存等级接口!$F$382),"")</f>
        <v/>
      </c>
      <c r="G382" s="65" t="str">
        <f aca="false">IFERROR(IF([1]库存等级接口!$G$382=0,"",[1]库存等级接口!$G$382),"")</f>
        <v/>
      </c>
      <c r="H382" s="62" t="str">
        <f aca="false">IFERROR(IF([1]库存等级接口!$H$382=0,"",[1]库存等级接口!$H$382),"")</f>
        <v/>
      </c>
      <c r="I382" s="61" t="n">
        <f aca="false">IF($B382="",0,1)</f>
        <v>0</v>
      </c>
      <c r="J382" s="61" t="n">
        <f aca="false">N(J381)+$I382</f>
        <v>56</v>
      </c>
    </row>
    <row r="383" customFormat="false" ht="15" hidden="false" customHeight="true" outlineLevel="0" collapsed="false">
      <c r="A383" s="61" t="n">
        <v>380</v>
      </c>
      <c r="B383" s="62" t="str">
        <f aca="false">IFERROR(IF([1]库存等级接口!$B$383=0,"",[1]库存等级接口!$B$383),"")</f>
        <v/>
      </c>
      <c r="C383" s="63" t="str">
        <f aca="false">IFERROR(IF([1]库存等级接口!$C$383=0,"",[1]库存等级接口!$C$383),"")</f>
        <v/>
      </c>
      <c r="D383" s="63" t="str">
        <f aca="false">IFERROR(IF([1]库存等级接口!$D$383=0,"",[1]库存等级接口!$D$383),"")</f>
        <v/>
      </c>
      <c r="E383" s="63" t="str">
        <f aca="false">IFERROR(IF([1]库存等级接口!$E$383=0,"",[1]库存等级接口!$E$383),"")</f>
        <v/>
      </c>
      <c r="F383" s="64" t="str">
        <f aca="false">IFERROR(IF([1]库存等级接口!$F$383=0,"",[1]库存等级接口!$F$383),"")</f>
        <v/>
      </c>
      <c r="G383" s="65" t="str">
        <f aca="false">IFERROR(IF([1]库存等级接口!$G$383=0,"",[1]库存等级接口!$G$383),"")</f>
        <v/>
      </c>
      <c r="H383" s="62" t="str">
        <f aca="false">IFERROR(IF([1]库存等级接口!$H$383=0,"",[1]库存等级接口!$H$383),"")</f>
        <v/>
      </c>
      <c r="I383" s="61" t="n">
        <f aca="false">IF($B383="",0,1)</f>
        <v>0</v>
      </c>
      <c r="J383" s="61" t="n">
        <f aca="false">N(J382)+$I383</f>
        <v>56</v>
      </c>
    </row>
    <row r="384" customFormat="false" ht="15" hidden="false" customHeight="true" outlineLevel="0" collapsed="false">
      <c r="A384" s="61" t="n">
        <v>381</v>
      </c>
      <c r="B384" s="62" t="str">
        <f aca="false">IFERROR(IF([1]库存等级接口!$B$384=0,"",[1]库存等级接口!$B$384),"")</f>
        <v/>
      </c>
      <c r="C384" s="63" t="str">
        <f aca="false">IFERROR(IF([1]库存等级接口!$C$384=0,"",[1]库存等级接口!$C$384),"")</f>
        <v/>
      </c>
      <c r="D384" s="63" t="str">
        <f aca="false">IFERROR(IF([1]库存等级接口!$D$384=0,"",[1]库存等级接口!$D$384),"")</f>
        <v/>
      </c>
      <c r="E384" s="63" t="str">
        <f aca="false">IFERROR(IF([1]库存等级接口!$E$384=0,"",[1]库存等级接口!$E$384),"")</f>
        <v/>
      </c>
      <c r="F384" s="64" t="str">
        <f aca="false">IFERROR(IF([1]库存等级接口!$F$384=0,"",[1]库存等级接口!$F$384),"")</f>
        <v/>
      </c>
      <c r="G384" s="65" t="str">
        <f aca="false">IFERROR(IF([1]库存等级接口!$G$384=0,"",[1]库存等级接口!$G$384),"")</f>
        <v/>
      </c>
      <c r="H384" s="62" t="str">
        <f aca="false">IFERROR(IF([1]库存等级接口!$H$384=0,"",[1]库存等级接口!$H$384),"")</f>
        <v/>
      </c>
      <c r="I384" s="61" t="n">
        <f aca="false">IF($B384="",0,1)</f>
        <v>0</v>
      </c>
      <c r="J384" s="61" t="n">
        <f aca="false">N(J383)+$I384</f>
        <v>56</v>
      </c>
    </row>
    <row r="385" customFormat="false" ht="15" hidden="false" customHeight="true" outlineLevel="0" collapsed="false">
      <c r="A385" s="61" t="n">
        <v>382</v>
      </c>
      <c r="B385" s="62" t="str">
        <f aca="false">IFERROR(IF([1]库存等级接口!$B$385=0,"",[1]库存等级接口!$B$385),"")</f>
        <v/>
      </c>
      <c r="C385" s="63" t="str">
        <f aca="false">IFERROR(IF([1]库存等级接口!$C$385=0,"",[1]库存等级接口!$C$385),"")</f>
        <v/>
      </c>
      <c r="D385" s="63" t="str">
        <f aca="false">IFERROR(IF([1]库存等级接口!$D$385=0,"",[1]库存等级接口!$D$385),"")</f>
        <v/>
      </c>
      <c r="E385" s="63" t="str">
        <f aca="false">IFERROR(IF([1]库存等级接口!$E$385=0,"",[1]库存等级接口!$E$385),"")</f>
        <v/>
      </c>
      <c r="F385" s="64" t="str">
        <f aca="false">IFERROR(IF([1]库存等级接口!$F$385=0,"",[1]库存等级接口!$F$385),"")</f>
        <v/>
      </c>
      <c r="G385" s="65" t="str">
        <f aca="false">IFERROR(IF([1]库存等级接口!$G$385=0,"",[1]库存等级接口!$G$385),"")</f>
        <v/>
      </c>
      <c r="H385" s="62" t="str">
        <f aca="false">IFERROR(IF([1]库存等级接口!$H$385=0,"",[1]库存等级接口!$H$385),"")</f>
        <v/>
      </c>
      <c r="I385" s="61" t="n">
        <f aca="false">IF($B385="",0,1)</f>
        <v>0</v>
      </c>
      <c r="J385" s="61" t="n">
        <f aca="false">N(J384)+$I385</f>
        <v>56</v>
      </c>
    </row>
    <row r="386" customFormat="false" ht="15" hidden="false" customHeight="true" outlineLevel="0" collapsed="false">
      <c r="A386" s="61" t="n">
        <v>383</v>
      </c>
      <c r="B386" s="62" t="str">
        <f aca="false">IFERROR(IF([1]库存等级接口!$B$386=0,"",[1]库存等级接口!$B$386),"")</f>
        <v/>
      </c>
      <c r="C386" s="63" t="str">
        <f aca="false">IFERROR(IF([1]库存等级接口!$C$386=0,"",[1]库存等级接口!$C$386),"")</f>
        <v/>
      </c>
      <c r="D386" s="63" t="str">
        <f aca="false">IFERROR(IF([1]库存等级接口!$D$386=0,"",[1]库存等级接口!$D$386),"")</f>
        <v/>
      </c>
      <c r="E386" s="63" t="str">
        <f aca="false">IFERROR(IF([1]库存等级接口!$E$386=0,"",[1]库存等级接口!$E$386),"")</f>
        <v/>
      </c>
      <c r="F386" s="64" t="str">
        <f aca="false">IFERROR(IF([1]库存等级接口!$F$386=0,"",[1]库存等级接口!$F$386),"")</f>
        <v/>
      </c>
      <c r="G386" s="65" t="str">
        <f aca="false">IFERROR(IF([1]库存等级接口!$G$386=0,"",[1]库存等级接口!$G$386),"")</f>
        <v/>
      </c>
      <c r="H386" s="62" t="str">
        <f aca="false">IFERROR(IF([1]库存等级接口!$H$386=0,"",[1]库存等级接口!$H$386),"")</f>
        <v/>
      </c>
      <c r="I386" s="61" t="n">
        <f aca="false">IF($B386="",0,1)</f>
        <v>0</v>
      </c>
      <c r="J386" s="61" t="n">
        <f aca="false">N(J385)+$I386</f>
        <v>56</v>
      </c>
    </row>
    <row r="387" customFormat="false" ht="15" hidden="false" customHeight="true" outlineLevel="0" collapsed="false">
      <c r="A387" s="61" t="n">
        <v>384</v>
      </c>
      <c r="B387" s="62" t="str">
        <f aca="false">IFERROR(IF([1]库存等级接口!$B$387=0,"",[1]库存等级接口!$B$387),"")</f>
        <v/>
      </c>
      <c r="C387" s="63" t="str">
        <f aca="false">IFERROR(IF([1]库存等级接口!$C$387=0,"",[1]库存等级接口!$C$387),"")</f>
        <v/>
      </c>
      <c r="D387" s="63" t="str">
        <f aca="false">IFERROR(IF([1]库存等级接口!$D$387=0,"",[1]库存等级接口!$D$387),"")</f>
        <v/>
      </c>
      <c r="E387" s="63" t="str">
        <f aca="false">IFERROR(IF([1]库存等级接口!$E$387=0,"",[1]库存等级接口!$E$387),"")</f>
        <v/>
      </c>
      <c r="F387" s="64" t="str">
        <f aca="false">IFERROR(IF([1]库存等级接口!$F$387=0,"",[1]库存等级接口!$F$387),"")</f>
        <v/>
      </c>
      <c r="G387" s="65" t="str">
        <f aca="false">IFERROR(IF([1]库存等级接口!$G$387=0,"",[1]库存等级接口!$G$387),"")</f>
        <v/>
      </c>
      <c r="H387" s="62" t="str">
        <f aca="false">IFERROR(IF([1]库存等级接口!$H$387=0,"",[1]库存等级接口!$H$387),"")</f>
        <v/>
      </c>
      <c r="I387" s="61" t="n">
        <f aca="false">IF($B387="",0,1)</f>
        <v>0</v>
      </c>
      <c r="J387" s="61" t="n">
        <f aca="false">N(J386)+$I387</f>
        <v>56</v>
      </c>
    </row>
    <row r="388" customFormat="false" ht="15" hidden="false" customHeight="true" outlineLevel="0" collapsed="false">
      <c r="A388" s="61" t="n">
        <v>385</v>
      </c>
      <c r="B388" s="62" t="str">
        <f aca="false">IFERROR(IF([1]库存等级接口!$B$388=0,"",[1]库存等级接口!$B$388),"")</f>
        <v/>
      </c>
      <c r="C388" s="63" t="str">
        <f aca="false">IFERROR(IF([1]库存等级接口!$C$388=0,"",[1]库存等级接口!$C$388),"")</f>
        <v/>
      </c>
      <c r="D388" s="63" t="str">
        <f aca="false">IFERROR(IF([1]库存等级接口!$D$388=0,"",[1]库存等级接口!$D$388),"")</f>
        <v/>
      </c>
      <c r="E388" s="63" t="str">
        <f aca="false">IFERROR(IF([1]库存等级接口!$E$388=0,"",[1]库存等级接口!$E$388),"")</f>
        <v/>
      </c>
      <c r="F388" s="64" t="str">
        <f aca="false">IFERROR(IF([1]库存等级接口!$F$388=0,"",[1]库存等级接口!$F$388),"")</f>
        <v/>
      </c>
      <c r="G388" s="65" t="str">
        <f aca="false">IFERROR(IF([1]库存等级接口!$G$388=0,"",[1]库存等级接口!$G$388),"")</f>
        <v/>
      </c>
      <c r="H388" s="62" t="str">
        <f aca="false">IFERROR(IF([1]库存等级接口!$H$388=0,"",[1]库存等级接口!$H$388),"")</f>
        <v/>
      </c>
      <c r="I388" s="61" t="n">
        <f aca="false">IF($B388="",0,1)</f>
        <v>0</v>
      </c>
      <c r="J388" s="61" t="n">
        <f aca="false">N(J387)+$I388</f>
        <v>56</v>
      </c>
    </row>
    <row r="389" customFormat="false" ht="15" hidden="false" customHeight="true" outlineLevel="0" collapsed="false">
      <c r="A389" s="61" t="n">
        <v>386</v>
      </c>
      <c r="B389" s="62" t="str">
        <f aca="false">IFERROR(IF([1]库存等级接口!$B$389=0,"",[1]库存等级接口!$B$389),"")</f>
        <v/>
      </c>
      <c r="C389" s="63" t="str">
        <f aca="false">IFERROR(IF([1]库存等级接口!$C$389=0,"",[1]库存等级接口!$C$389),"")</f>
        <v/>
      </c>
      <c r="D389" s="63" t="str">
        <f aca="false">IFERROR(IF([1]库存等级接口!$D$389=0,"",[1]库存等级接口!$D$389),"")</f>
        <v/>
      </c>
      <c r="E389" s="63" t="str">
        <f aca="false">IFERROR(IF([1]库存等级接口!$E$389=0,"",[1]库存等级接口!$E$389),"")</f>
        <v/>
      </c>
      <c r="F389" s="64" t="str">
        <f aca="false">IFERROR(IF([1]库存等级接口!$F$389=0,"",[1]库存等级接口!$F$389),"")</f>
        <v/>
      </c>
      <c r="G389" s="65" t="str">
        <f aca="false">IFERROR(IF([1]库存等级接口!$G$389=0,"",[1]库存等级接口!$G$389),"")</f>
        <v/>
      </c>
      <c r="H389" s="62" t="str">
        <f aca="false">IFERROR(IF([1]库存等级接口!$H$389=0,"",[1]库存等级接口!$H$389),"")</f>
        <v/>
      </c>
      <c r="I389" s="61" t="n">
        <f aca="false">IF($B389="",0,1)</f>
        <v>0</v>
      </c>
      <c r="J389" s="61" t="n">
        <f aca="false">N(J388)+$I389</f>
        <v>56</v>
      </c>
    </row>
    <row r="390" customFormat="false" ht="15" hidden="false" customHeight="true" outlineLevel="0" collapsed="false">
      <c r="A390" s="61" t="n">
        <v>387</v>
      </c>
      <c r="B390" s="62" t="str">
        <f aca="false">IFERROR(IF([1]库存等级接口!$B$390=0,"",[1]库存等级接口!$B$390),"")</f>
        <v/>
      </c>
      <c r="C390" s="63" t="str">
        <f aca="false">IFERROR(IF([1]库存等级接口!$C$390=0,"",[1]库存等级接口!$C$390),"")</f>
        <v/>
      </c>
      <c r="D390" s="63" t="str">
        <f aca="false">IFERROR(IF([1]库存等级接口!$D$390=0,"",[1]库存等级接口!$D$390),"")</f>
        <v/>
      </c>
      <c r="E390" s="63" t="str">
        <f aca="false">IFERROR(IF([1]库存等级接口!$E$390=0,"",[1]库存等级接口!$E$390),"")</f>
        <v/>
      </c>
      <c r="F390" s="64" t="str">
        <f aca="false">IFERROR(IF([1]库存等级接口!$F$390=0,"",[1]库存等级接口!$F$390),"")</f>
        <v/>
      </c>
      <c r="G390" s="65" t="str">
        <f aca="false">IFERROR(IF([1]库存等级接口!$G$390=0,"",[1]库存等级接口!$G$390),"")</f>
        <v/>
      </c>
      <c r="H390" s="62" t="str">
        <f aca="false">IFERROR(IF([1]库存等级接口!$H$390=0,"",[1]库存等级接口!$H$390),"")</f>
        <v/>
      </c>
      <c r="I390" s="61" t="n">
        <f aca="false">IF($B390="",0,1)</f>
        <v>0</v>
      </c>
      <c r="J390" s="61" t="n">
        <f aca="false">N(J389)+$I390</f>
        <v>56</v>
      </c>
    </row>
    <row r="391" customFormat="false" ht="15" hidden="false" customHeight="true" outlineLevel="0" collapsed="false">
      <c r="A391" s="61" t="n">
        <v>388</v>
      </c>
      <c r="B391" s="62" t="str">
        <f aca="false">IFERROR(IF([1]库存等级接口!$B$391=0,"",[1]库存等级接口!$B$391),"")</f>
        <v/>
      </c>
      <c r="C391" s="63" t="str">
        <f aca="false">IFERROR(IF([1]库存等级接口!$C$391=0,"",[1]库存等级接口!$C$391),"")</f>
        <v/>
      </c>
      <c r="D391" s="63" t="str">
        <f aca="false">IFERROR(IF([1]库存等级接口!$D$391=0,"",[1]库存等级接口!$D$391),"")</f>
        <v/>
      </c>
      <c r="E391" s="63" t="str">
        <f aca="false">IFERROR(IF([1]库存等级接口!$E$391=0,"",[1]库存等级接口!$E$391),"")</f>
        <v/>
      </c>
      <c r="F391" s="64" t="str">
        <f aca="false">IFERROR(IF([1]库存等级接口!$F$391=0,"",[1]库存等级接口!$F$391),"")</f>
        <v/>
      </c>
      <c r="G391" s="65" t="str">
        <f aca="false">IFERROR(IF([1]库存等级接口!$G$391=0,"",[1]库存等级接口!$G$391),"")</f>
        <v/>
      </c>
      <c r="H391" s="62" t="str">
        <f aca="false">IFERROR(IF([1]库存等级接口!$H$391=0,"",[1]库存等级接口!$H$391),"")</f>
        <v/>
      </c>
      <c r="I391" s="61" t="n">
        <f aca="false">IF($B391="",0,1)</f>
        <v>0</v>
      </c>
      <c r="J391" s="61" t="n">
        <f aca="false">N(J390)+$I391</f>
        <v>56</v>
      </c>
    </row>
    <row r="392" customFormat="false" ht="15" hidden="false" customHeight="true" outlineLevel="0" collapsed="false">
      <c r="A392" s="61" t="n">
        <v>389</v>
      </c>
      <c r="B392" s="62" t="str">
        <f aca="false">IFERROR(IF([1]库存等级接口!$B$392=0,"",[1]库存等级接口!$B$392),"")</f>
        <v/>
      </c>
      <c r="C392" s="63" t="str">
        <f aca="false">IFERROR(IF([1]库存等级接口!$C$392=0,"",[1]库存等级接口!$C$392),"")</f>
        <v/>
      </c>
      <c r="D392" s="63" t="str">
        <f aca="false">IFERROR(IF([1]库存等级接口!$D$392=0,"",[1]库存等级接口!$D$392),"")</f>
        <v/>
      </c>
      <c r="E392" s="63" t="str">
        <f aca="false">IFERROR(IF([1]库存等级接口!$E$392=0,"",[1]库存等级接口!$E$392),"")</f>
        <v/>
      </c>
      <c r="F392" s="64" t="str">
        <f aca="false">IFERROR(IF([1]库存等级接口!$F$392=0,"",[1]库存等级接口!$F$392),"")</f>
        <v/>
      </c>
      <c r="G392" s="65" t="str">
        <f aca="false">IFERROR(IF([1]库存等级接口!$G$392=0,"",[1]库存等级接口!$G$392),"")</f>
        <v/>
      </c>
      <c r="H392" s="62" t="str">
        <f aca="false">IFERROR(IF([1]库存等级接口!$H$392=0,"",[1]库存等级接口!$H$392),"")</f>
        <v/>
      </c>
      <c r="I392" s="61" t="n">
        <f aca="false">IF($B392="",0,1)</f>
        <v>0</v>
      </c>
      <c r="J392" s="61" t="n">
        <f aca="false">N(J391)+$I392</f>
        <v>56</v>
      </c>
    </row>
    <row r="393" customFormat="false" ht="15" hidden="false" customHeight="true" outlineLevel="0" collapsed="false">
      <c r="A393" s="61" t="n">
        <v>390</v>
      </c>
      <c r="B393" s="62" t="str">
        <f aca="false">IFERROR(IF([1]库存等级接口!$B$393=0,"",[1]库存等级接口!$B$393),"")</f>
        <v/>
      </c>
      <c r="C393" s="63" t="str">
        <f aca="false">IFERROR(IF([1]库存等级接口!$C$393=0,"",[1]库存等级接口!$C$393),"")</f>
        <v/>
      </c>
      <c r="D393" s="63" t="str">
        <f aca="false">IFERROR(IF([1]库存等级接口!$D$393=0,"",[1]库存等级接口!$D$393),"")</f>
        <v/>
      </c>
      <c r="E393" s="63" t="str">
        <f aca="false">IFERROR(IF([1]库存等级接口!$E$393=0,"",[1]库存等级接口!$E$393),"")</f>
        <v/>
      </c>
      <c r="F393" s="64" t="str">
        <f aca="false">IFERROR(IF([1]库存等级接口!$F$393=0,"",[1]库存等级接口!$F$393),"")</f>
        <v/>
      </c>
      <c r="G393" s="65" t="str">
        <f aca="false">IFERROR(IF([1]库存等级接口!$G$393=0,"",[1]库存等级接口!$G$393),"")</f>
        <v/>
      </c>
      <c r="H393" s="62" t="str">
        <f aca="false">IFERROR(IF([1]库存等级接口!$H$393=0,"",[1]库存等级接口!$H$393),"")</f>
        <v/>
      </c>
      <c r="I393" s="61" t="n">
        <f aca="false">IF($B393="",0,1)</f>
        <v>0</v>
      </c>
      <c r="J393" s="61" t="n">
        <f aca="false">N(J392)+$I393</f>
        <v>56</v>
      </c>
    </row>
    <row r="394" customFormat="false" ht="15" hidden="false" customHeight="true" outlineLevel="0" collapsed="false">
      <c r="A394" s="61" t="n">
        <v>391</v>
      </c>
      <c r="B394" s="62" t="str">
        <f aca="false">IFERROR(IF([1]库存等级接口!$B$394=0,"",[1]库存等级接口!$B$394),"")</f>
        <v/>
      </c>
      <c r="C394" s="63" t="str">
        <f aca="false">IFERROR(IF([1]库存等级接口!$C$394=0,"",[1]库存等级接口!$C$394),"")</f>
        <v/>
      </c>
      <c r="D394" s="63" t="str">
        <f aca="false">IFERROR(IF([1]库存等级接口!$D$394=0,"",[1]库存等级接口!$D$394),"")</f>
        <v/>
      </c>
      <c r="E394" s="63" t="str">
        <f aca="false">IFERROR(IF([1]库存等级接口!$E$394=0,"",[1]库存等级接口!$E$394),"")</f>
        <v/>
      </c>
      <c r="F394" s="64" t="str">
        <f aca="false">IFERROR(IF([1]库存等级接口!$F$394=0,"",[1]库存等级接口!$F$394),"")</f>
        <v/>
      </c>
      <c r="G394" s="65" t="str">
        <f aca="false">IFERROR(IF([1]库存等级接口!$G$394=0,"",[1]库存等级接口!$G$394),"")</f>
        <v/>
      </c>
      <c r="H394" s="62" t="str">
        <f aca="false">IFERROR(IF([1]库存等级接口!$H$394=0,"",[1]库存等级接口!$H$394),"")</f>
        <v/>
      </c>
      <c r="I394" s="61" t="n">
        <f aca="false">IF($B394="",0,1)</f>
        <v>0</v>
      </c>
      <c r="J394" s="61" t="n">
        <f aca="false">N(J393)+$I394</f>
        <v>56</v>
      </c>
    </row>
    <row r="395" customFormat="false" ht="15" hidden="false" customHeight="true" outlineLevel="0" collapsed="false">
      <c r="A395" s="61" t="n">
        <v>392</v>
      </c>
      <c r="B395" s="62" t="str">
        <f aca="false">IFERROR(IF([1]库存等级接口!$B$395=0,"",[1]库存等级接口!$B$395),"")</f>
        <v/>
      </c>
      <c r="C395" s="63" t="str">
        <f aca="false">IFERROR(IF([1]库存等级接口!$C$395=0,"",[1]库存等级接口!$C$395),"")</f>
        <v/>
      </c>
      <c r="D395" s="63" t="str">
        <f aca="false">IFERROR(IF([1]库存等级接口!$D$395=0,"",[1]库存等级接口!$D$395),"")</f>
        <v/>
      </c>
      <c r="E395" s="63" t="str">
        <f aca="false">IFERROR(IF([1]库存等级接口!$E$395=0,"",[1]库存等级接口!$E$395),"")</f>
        <v/>
      </c>
      <c r="F395" s="64" t="str">
        <f aca="false">IFERROR(IF([1]库存等级接口!$F$395=0,"",[1]库存等级接口!$F$395),"")</f>
        <v/>
      </c>
      <c r="G395" s="65" t="str">
        <f aca="false">IFERROR(IF([1]库存等级接口!$G$395=0,"",[1]库存等级接口!$G$395),"")</f>
        <v/>
      </c>
      <c r="H395" s="62" t="str">
        <f aca="false">IFERROR(IF([1]库存等级接口!$H$395=0,"",[1]库存等级接口!$H$395),"")</f>
        <v/>
      </c>
      <c r="I395" s="61" t="n">
        <f aca="false">IF($B395="",0,1)</f>
        <v>0</v>
      </c>
      <c r="J395" s="61" t="n">
        <f aca="false">N(J394)+$I395</f>
        <v>56</v>
      </c>
    </row>
    <row r="396" customFormat="false" ht="15" hidden="false" customHeight="true" outlineLevel="0" collapsed="false">
      <c r="A396" s="61" t="n">
        <v>393</v>
      </c>
      <c r="B396" s="62" t="str">
        <f aca="false">IFERROR(IF([1]库存等级接口!$B$396=0,"",[1]库存等级接口!$B$396),"")</f>
        <v/>
      </c>
      <c r="C396" s="63" t="str">
        <f aca="false">IFERROR(IF([1]库存等级接口!$C$396=0,"",[1]库存等级接口!$C$396),"")</f>
        <v/>
      </c>
      <c r="D396" s="63" t="str">
        <f aca="false">IFERROR(IF([1]库存等级接口!$D$396=0,"",[1]库存等级接口!$D$396),"")</f>
        <v/>
      </c>
      <c r="E396" s="63" t="str">
        <f aca="false">IFERROR(IF([1]库存等级接口!$E$396=0,"",[1]库存等级接口!$E$396),"")</f>
        <v/>
      </c>
      <c r="F396" s="64" t="str">
        <f aca="false">IFERROR(IF([1]库存等级接口!$F$396=0,"",[1]库存等级接口!$F$396),"")</f>
        <v/>
      </c>
      <c r="G396" s="65" t="str">
        <f aca="false">IFERROR(IF([1]库存等级接口!$G$396=0,"",[1]库存等级接口!$G$396),"")</f>
        <v/>
      </c>
      <c r="H396" s="62" t="str">
        <f aca="false">IFERROR(IF([1]库存等级接口!$H$396=0,"",[1]库存等级接口!$H$396),"")</f>
        <v/>
      </c>
      <c r="I396" s="61" t="n">
        <f aca="false">IF($B396="",0,1)</f>
        <v>0</v>
      </c>
      <c r="J396" s="61" t="n">
        <f aca="false">N(J395)+$I396</f>
        <v>56</v>
      </c>
    </row>
    <row r="397" customFormat="false" ht="15" hidden="false" customHeight="true" outlineLevel="0" collapsed="false">
      <c r="A397" s="61" t="n">
        <v>394</v>
      </c>
      <c r="B397" s="62" t="str">
        <f aca="false">IFERROR(IF([1]库存等级接口!$B$397=0,"",[1]库存等级接口!$B$397),"")</f>
        <v/>
      </c>
      <c r="C397" s="63" t="str">
        <f aca="false">IFERROR(IF([1]库存等级接口!$C$397=0,"",[1]库存等级接口!$C$397),"")</f>
        <v/>
      </c>
      <c r="D397" s="63" t="str">
        <f aca="false">IFERROR(IF([1]库存等级接口!$D$397=0,"",[1]库存等级接口!$D$397),"")</f>
        <v/>
      </c>
      <c r="E397" s="63" t="str">
        <f aca="false">IFERROR(IF([1]库存等级接口!$E$397=0,"",[1]库存等级接口!$E$397),"")</f>
        <v/>
      </c>
      <c r="F397" s="64" t="str">
        <f aca="false">IFERROR(IF([1]库存等级接口!$F$397=0,"",[1]库存等级接口!$F$397),"")</f>
        <v/>
      </c>
      <c r="G397" s="65" t="str">
        <f aca="false">IFERROR(IF([1]库存等级接口!$G$397=0,"",[1]库存等级接口!$G$397),"")</f>
        <v/>
      </c>
      <c r="H397" s="62" t="str">
        <f aca="false">IFERROR(IF([1]库存等级接口!$H$397=0,"",[1]库存等级接口!$H$397),"")</f>
        <v/>
      </c>
      <c r="I397" s="61" t="n">
        <f aca="false">IF($B397="",0,1)</f>
        <v>0</v>
      </c>
      <c r="J397" s="61" t="n">
        <f aca="false">N(J396)+$I397</f>
        <v>56</v>
      </c>
    </row>
    <row r="398" customFormat="false" ht="15" hidden="false" customHeight="true" outlineLevel="0" collapsed="false">
      <c r="A398" s="61" t="n">
        <v>395</v>
      </c>
      <c r="B398" s="62" t="str">
        <f aca="false">IFERROR(IF([1]库存等级接口!$B$398=0,"",[1]库存等级接口!$B$398),"")</f>
        <v/>
      </c>
      <c r="C398" s="63" t="str">
        <f aca="false">IFERROR(IF([1]库存等级接口!$C$398=0,"",[1]库存等级接口!$C$398),"")</f>
        <v/>
      </c>
      <c r="D398" s="63" t="str">
        <f aca="false">IFERROR(IF([1]库存等级接口!$D$398=0,"",[1]库存等级接口!$D$398),"")</f>
        <v/>
      </c>
      <c r="E398" s="63" t="str">
        <f aca="false">IFERROR(IF([1]库存等级接口!$E$398=0,"",[1]库存等级接口!$E$398),"")</f>
        <v/>
      </c>
      <c r="F398" s="64" t="str">
        <f aca="false">IFERROR(IF([1]库存等级接口!$F$398=0,"",[1]库存等级接口!$F$398),"")</f>
        <v/>
      </c>
      <c r="G398" s="65" t="str">
        <f aca="false">IFERROR(IF([1]库存等级接口!$G$398=0,"",[1]库存等级接口!$G$398),"")</f>
        <v/>
      </c>
      <c r="H398" s="62" t="str">
        <f aca="false">IFERROR(IF([1]库存等级接口!$H$398=0,"",[1]库存等级接口!$H$398),"")</f>
        <v/>
      </c>
      <c r="I398" s="61" t="n">
        <f aca="false">IF($B398="",0,1)</f>
        <v>0</v>
      </c>
      <c r="J398" s="61" t="n">
        <f aca="false">N(J397)+$I398</f>
        <v>56</v>
      </c>
    </row>
    <row r="399" customFormat="false" ht="15" hidden="false" customHeight="true" outlineLevel="0" collapsed="false">
      <c r="A399" s="61" t="n">
        <v>396</v>
      </c>
      <c r="B399" s="62" t="str">
        <f aca="false">IFERROR(IF([1]库存等级接口!$B$399=0,"",[1]库存等级接口!$B$399),"")</f>
        <v/>
      </c>
      <c r="C399" s="63" t="str">
        <f aca="false">IFERROR(IF([1]库存等级接口!$C$399=0,"",[1]库存等级接口!$C$399),"")</f>
        <v/>
      </c>
      <c r="D399" s="63" t="str">
        <f aca="false">IFERROR(IF([1]库存等级接口!$D$399=0,"",[1]库存等级接口!$D$399),"")</f>
        <v/>
      </c>
      <c r="E399" s="63" t="str">
        <f aca="false">IFERROR(IF([1]库存等级接口!$E$399=0,"",[1]库存等级接口!$E$399),"")</f>
        <v/>
      </c>
      <c r="F399" s="64" t="str">
        <f aca="false">IFERROR(IF([1]库存等级接口!$F$399=0,"",[1]库存等级接口!$F$399),"")</f>
        <v/>
      </c>
      <c r="G399" s="65" t="str">
        <f aca="false">IFERROR(IF([1]库存等级接口!$G$399=0,"",[1]库存等级接口!$G$399),"")</f>
        <v/>
      </c>
      <c r="H399" s="62" t="str">
        <f aca="false">IFERROR(IF([1]库存等级接口!$H$399=0,"",[1]库存等级接口!$H$399),"")</f>
        <v/>
      </c>
      <c r="I399" s="61" t="n">
        <f aca="false">IF($B399="",0,1)</f>
        <v>0</v>
      </c>
      <c r="J399" s="61" t="n">
        <f aca="false">N(J398)+$I399</f>
        <v>56</v>
      </c>
    </row>
    <row r="400" customFormat="false" ht="15" hidden="false" customHeight="true" outlineLevel="0" collapsed="false">
      <c r="A400" s="61" t="n">
        <v>397</v>
      </c>
      <c r="B400" s="62" t="str">
        <f aca="false">IFERROR(IF([1]库存等级接口!$B$400=0,"",[1]库存等级接口!$B$400),"")</f>
        <v/>
      </c>
      <c r="C400" s="63" t="str">
        <f aca="false">IFERROR(IF([1]库存等级接口!$C$400=0,"",[1]库存等级接口!$C$400),"")</f>
        <v/>
      </c>
      <c r="D400" s="63" t="str">
        <f aca="false">IFERROR(IF([1]库存等级接口!$D$400=0,"",[1]库存等级接口!$D$400),"")</f>
        <v/>
      </c>
      <c r="E400" s="63" t="str">
        <f aca="false">IFERROR(IF([1]库存等级接口!$E$400=0,"",[1]库存等级接口!$E$400),"")</f>
        <v/>
      </c>
      <c r="F400" s="64" t="str">
        <f aca="false">IFERROR(IF([1]库存等级接口!$F$400=0,"",[1]库存等级接口!$F$400),"")</f>
        <v/>
      </c>
      <c r="G400" s="65" t="str">
        <f aca="false">IFERROR(IF([1]库存等级接口!$G$400=0,"",[1]库存等级接口!$G$400),"")</f>
        <v/>
      </c>
      <c r="H400" s="62" t="str">
        <f aca="false">IFERROR(IF([1]库存等级接口!$H$400=0,"",[1]库存等级接口!$H$400),"")</f>
        <v/>
      </c>
      <c r="I400" s="61" t="n">
        <f aca="false">IF($B400="",0,1)</f>
        <v>0</v>
      </c>
      <c r="J400" s="61" t="n">
        <f aca="false">N(J399)+$I400</f>
        <v>56</v>
      </c>
    </row>
    <row r="401" customFormat="false" ht="15" hidden="false" customHeight="true" outlineLevel="0" collapsed="false">
      <c r="A401" s="61" t="n">
        <v>398</v>
      </c>
      <c r="B401" s="62" t="str">
        <f aca="false">IFERROR(IF([1]库存等级接口!$B$401=0,"",[1]库存等级接口!$B$401),"")</f>
        <v/>
      </c>
      <c r="C401" s="63" t="str">
        <f aca="false">IFERROR(IF([1]库存等级接口!$C$401=0,"",[1]库存等级接口!$C$401),"")</f>
        <v/>
      </c>
      <c r="D401" s="63" t="str">
        <f aca="false">IFERROR(IF([1]库存等级接口!$D$401=0,"",[1]库存等级接口!$D$401),"")</f>
        <v/>
      </c>
      <c r="E401" s="63" t="str">
        <f aca="false">IFERROR(IF([1]库存等级接口!$E$401=0,"",[1]库存等级接口!$E$401),"")</f>
        <v/>
      </c>
      <c r="F401" s="64" t="str">
        <f aca="false">IFERROR(IF([1]库存等级接口!$F$401=0,"",[1]库存等级接口!$F$401),"")</f>
        <v/>
      </c>
      <c r="G401" s="65" t="str">
        <f aca="false">IFERROR(IF([1]库存等级接口!$G$401=0,"",[1]库存等级接口!$G$401),"")</f>
        <v/>
      </c>
      <c r="H401" s="62" t="str">
        <f aca="false">IFERROR(IF([1]库存等级接口!$H$401=0,"",[1]库存等级接口!$H$401),"")</f>
        <v/>
      </c>
      <c r="I401" s="61" t="n">
        <f aca="false">IF($B401="",0,1)</f>
        <v>0</v>
      </c>
      <c r="J401" s="61" t="n">
        <f aca="false">N(J400)+$I401</f>
        <v>56</v>
      </c>
    </row>
    <row r="402" customFormat="false" ht="15" hidden="false" customHeight="true" outlineLevel="0" collapsed="false">
      <c r="A402" s="61" t="n">
        <v>399</v>
      </c>
      <c r="B402" s="62" t="str">
        <f aca="false">IFERROR(IF([1]库存等级接口!$B$402=0,"",[1]库存等级接口!$B$402),"")</f>
        <v/>
      </c>
      <c r="C402" s="63" t="str">
        <f aca="false">IFERROR(IF([1]库存等级接口!$C$402=0,"",[1]库存等级接口!$C$402),"")</f>
        <v/>
      </c>
      <c r="D402" s="63" t="str">
        <f aca="false">IFERROR(IF([1]库存等级接口!$D$402=0,"",[1]库存等级接口!$D$402),"")</f>
        <v/>
      </c>
      <c r="E402" s="63" t="str">
        <f aca="false">IFERROR(IF([1]库存等级接口!$E$402=0,"",[1]库存等级接口!$E$402),"")</f>
        <v/>
      </c>
      <c r="F402" s="64" t="str">
        <f aca="false">IFERROR(IF([1]库存等级接口!$F$402=0,"",[1]库存等级接口!$F$402),"")</f>
        <v/>
      </c>
      <c r="G402" s="65" t="str">
        <f aca="false">IFERROR(IF([1]库存等级接口!$G$402=0,"",[1]库存等级接口!$G$402),"")</f>
        <v/>
      </c>
      <c r="H402" s="62" t="str">
        <f aca="false">IFERROR(IF([1]库存等级接口!$H$402=0,"",[1]库存等级接口!$H$402),"")</f>
        <v/>
      </c>
      <c r="I402" s="61" t="n">
        <f aca="false">IF($B402="",0,1)</f>
        <v>0</v>
      </c>
      <c r="J402" s="61" t="n">
        <f aca="false">N(J401)+$I402</f>
        <v>56</v>
      </c>
    </row>
    <row r="403" customFormat="false" ht="15" hidden="false" customHeight="true" outlineLevel="0" collapsed="false">
      <c r="A403" s="61" t="n">
        <v>400</v>
      </c>
      <c r="B403" s="62" t="str">
        <f aca="false">IFERROR(IF([1]库存等级接口!$B$403=0,"",[1]库存等级接口!$B$403),"")</f>
        <v/>
      </c>
      <c r="C403" s="63" t="str">
        <f aca="false">IFERROR(IF([1]库存等级接口!$C$403=0,"",[1]库存等级接口!$C$403),"")</f>
        <v/>
      </c>
      <c r="D403" s="63" t="str">
        <f aca="false">IFERROR(IF([1]库存等级接口!$D$403=0,"",[1]库存等级接口!$D$403),"")</f>
        <v/>
      </c>
      <c r="E403" s="63" t="str">
        <f aca="false">IFERROR(IF([1]库存等级接口!$E$403=0,"",[1]库存等级接口!$E$403),"")</f>
        <v/>
      </c>
      <c r="F403" s="64" t="str">
        <f aca="false">IFERROR(IF([1]库存等级接口!$F$403=0,"",[1]库存等级接口!$F$403),"")</f>
        <v/>
      </c>
      <c r="G403" s="65" t="str">
        <f aca="false">IFERROR(IF([1]库存等级接口!$G$403=0,"",[1]库存等级接口!$G$403),"")</f>
        <v/>
      </c>
      <c r="H403" s="62" t="str">
        <f aca="false">IFERROR(IF([1]库存等级接口!$H$403=0,"",[1]库存等级接口!$H$403),"")</f>
        <v/>
      </c>
      <c r="I403" s="61" t="n">
        <f aca="false">IF($B403="",0,1)</f>
        <v>0</v>
      </c>
      <c r="J403" s="61" t="n">
        <f aca="false">N(J402)+$I403</f>
        <v>56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0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4" ySplit="3" topLeftCell="N4" activePane="bottomRight" state="frozen"/>
      <selection pane="topLeft" activeCell="A1" activeCellId="0" sqref="A1"/>
      <selection pane="topRight" activeCell="N1" activeCellId="0" sqref="N1"/>
      <selection pane="bottomLeft" activeCell="A4" activeCellId="0" sqref="A4"/>
      <selection pane="bottomRight" activeCell="N14" activeCellId="0" sqref="N14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2" min="11" style="0" width="14"/>
    <col collapsed="false" customWidth="true" hidden="false" outlineLevel="0" max="13" min="13" style="0" width="24"/>
    <col collapsed="false" customWidth="true" hidden="false" outlineLevel="0" max="15" min="14" style="0" width="13"/>
    <col collapsed="false" customWidth="true" hidden="false" outlineLevel="0" max="16" min="16" style="0" width="24"/>
    <col collapsed="false" customWidth="true" hidden="false" outlineLevel="0" max="18" min="17" style="0" width="13"/>
    <col collapsed="false" customWidth="true" hidden="false" outlineLevel="0" max="19" min="19" style="0" width="24"/>
    <col collapsed="false" customWidth="true" hidden="false" outlineLevel="0" max="21" min="20" style="0" width="13"/>
    <col collapsed="false" customWidth="true" hidden="false" outlineLevel="0" max="22" min="22" style="0" width="22"/>
  </cols>
  <sheetData>
    <row r="1" customFormat="false" ht="30" hidden="false" customHeight="true" outlineLevel="0" collapsed="false">
      <c r="A1" s="20" t="s">
        <v>213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customFormat="false" ht="18" hidden="false" customHeight="true" outlineLevel="0" collapsed="false">
      <c r="A2" s="21" t="s">
        <v>214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customFormat="false" ht="33.75" hidden="false" customHeight="true" outlineLevel="0" collapsed="false">
      <c r="A3" s="37" t="s">
        <v>3</v>
      </c>
      <c r="B3" s="37" t="s">
        <v>215</v>
      </c>
      <c r="C3" s="37" t="s">
        <v>168</v>
      </c>
      <c r="D3" s="37" t="s">
        <v>169</v>
      </c>
      <c r="E3" s="37" t="s">
        <v>170</v>
      </c>
      <c r="F3" s="37" t="s">
        <v>171</v>
      </c>
      <c r="G3" s="37" t="s">
        <v>172</v>
      </c>
      <c r="H3" s="37" t="s">
        <v>173</v>
      </c>
      <c r="I3" s="37" t="s">
        <v>216</v>
      </c>
      <c r="J3" s="37" t="s">
        <v>217</v>
      </c>
      <c r="K3" s="37" t="s">
        <v>218</v>
      </c>
      <c r="L3" s="37" t="s">
        <v>219</v>
      </c>
      <c r="M3" s="37" t="s">
        <v>220</v>
      </c>
      <c r="N3" s="37" t="s">
        <v>221</v>
      </c>
      <c r="O3" s="37" t="s">
        <v>222</v>
      </c>
      <c r="P3" s="37" t="s">
        <v>223</v>
      </c>
      <c r="Q3" s="37" t="s">
        <v>224</v>
      </c>
      <c r="R3" s="37" t="s">
        <v>225</v>
      </c>
      <c r="S3" s="37" t="s">
        <v>226</v>
      </c>
      <c r="T3" s="37" t="s">
        <v>227</v>
      </c>
      <c r="U3" s="37" t="s">
        <v>228</v>
      </c>
      <c r="V3" s="37" t="s">
        <v>174</v>
      </c>
    </row>
    <row r="4" customFormat="false" ht="18" hidden="false" customHeight="true" outlineLevel="0" collapsed="false">
      <c r="A4" s="66" t="n">
        <v>1</v>
      </c>
      <c r="B4" s="67" t="str">
        <f aca="false">IF(ROW()-3&lt;=N(对接源_01水果!$T$1),"01水果",IF(ROW()-3&lt;=N(对接源_01水果!$T$1)+N(对接源_02物料!$T$1),"02物料",""))</f>
        <v>01水果</v>
      </c>
      <c r="C4" s="68" t="n">
        <f aca="false">IF($B4="","",IF($B4="01水果",IFERROR(INDEX(对接源_01水果!$B$5:$B$507,MATCH(ROW()-3,对接源_01水果!$Q$5:$Q$507,0)),""),IFERROR(INDEX(对接源_02物料!$B$5:$B$460,MATCH(ROW()-3-N(对接源_01水果!$T$1),对接源_02物料!$Q$5:$Q$460,0)),"")))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4" s="67" t="str">
        <f aca="false">IF($B4="","",IF($B4="01水果",IFERROR(INDEX(对接源_01水果!$C$5:$C$507,MATCH(ROW()-3,对接源_01水果!$Q$5:$Q$507,0)),""),IFERROR(INDEX(对接源_02物料!$C$5:$C$460,MATCH(ROW()-3-N(对接源_01水果!$T$1),对接源_02物料!$Q$5:$Q$460,0)),"")))</f>
        <v>仓储费</v>
      </c>
      <c r="E4" s="69" t="n">
        <f aca="false">IF($B4="","",IF($B4="01水果",IFERROR(INDEX(对接源_01水果!$D$5:$D$507,MATCH(ROW()-3,对接源_01水果!$Q$5:$Q$507,0)),""),IFERROR(INDEX(对接源_02物料!$D$5:$D$460,MATCH(ROW()-3-N(对接源_01水果!$T$1),对接源_02物料!$Q$5:$Q$460,0)),"")))</f>
        <v>20169</v>
      </c>
      <c r="F4" s="67" t="str">
        <f aca="false">IF($B4="","",IF($B4="01水果",IFERROR(INDEX(对接源_01水果!$E$5:$E$507,MATCH(ROW()-3,对接源_01水果!$Q$5:$Q$507,0)),""),IFERROR(INDEX(对接源_02物料!$E$5:$E$460,MATCH(ROW()-3-N(对接源_01水果!$T$1),对接源_02物料!$Q$5:$Q$460,0)),"")))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4" s="70" t="str">
        <f aca="false">IF($B4="","",IF($B4="01水果",IFERROR(INDEX(对接源_01水果!$F$5:$F$507,MATCH(ROW()-3,对接源_01水果!$Q$5:$Q$507,0)),""),IFERROR(INDEX(对接源_02物料!$F$5:$F$460,MATCH(ROW()-3-N(对接源_01水果!$T$1),对接源_02物料!$Q$5:$Q$460,0)),"")))</f>
        <v/>
      </c>
      <c r="H4" s="70" t="str">
        <f aca="false">IF($B4="","",IF($B4="01水果",IFERROR(INDEX(对接源_01水果!$G$5:$G$507,MATCH(ROW()-3,对接源_01水果!$Q$5:$Q$507,0)),""),IFERROR(INDEX(对接源_02物料!$G$5:$G$460,MATCH(ROW()-3-N(对接源_01水果!$T$1),对接源_02物料!$Q$5:$Q$460,0)),"")))</f>
        <v/>
      </c>
      <c r="I4" s="67" t="str">
        <f aca="false">IF(OR($D4="客户应收",$D4="成品销售款",$D4="公司购买果品款",$D4="筐子销售款",$D4="物料销售款"),"客户往来",IFERROR(INDEX(收入成本映射!$C$4:$C$34,MATCH($D4,收入成本映射!$B$4:$B$34,0)),"不记账"))</f>
        <v>收入型</v>
      </c>
      <c r="J4" s="67" t="str">
        <f aca="false">IF($B4="","","0%")</f>
        <v>0%</v>
      </c>
      <c r="K4" s="70" t="n">
        <f aca="false">IF($I4="不记账",0,ROUND(N($G4),2))</f>
        <v>0</v>
      </c>
      <c r="L4" s="70" t="n">
        <v>0</v>
      </c>
      <c r="M4" s="67" t="str">
        <f aca="false">IF(OR($I4="不记账",ROUND(N($G4),2)=0),"",IFERROR(INDEX(收入成本映射!$E$4:$E$34,MATCH($D4,收入成本映射!$B$4:$B$34,0)),""))</f>
        <v/>
      </c>
      <c r="N4" s="70" t="str">
        <f aca="false">IF($M4="","",ROUND(N($G4),2))</f>
        <v/>
      </c>
      <c r="O4" s="70" t="str">
        <f aca="false">IF($M4="","",0)</f>
        <v/>
      </c>
      <c r="P4" s="67" t="str">
        <f aca="false">IF($M4="","",IFERROR(INDEX(收入成本映射!$F$4:$F$34,MATCH($D4,收入成本映射!$B$4:$B$34,0)),""))</f>
        <v/>
      </c>
      <c r="Q4" s="70" t="str">
        <f aca="false">IF($P4="","",0)</f>
        <v/>
      </c>
      <c r="R4" s="70" t="str">
        <f aca="false">IF($P4="","",ROUND(N($G4),2))</f>
        <v/>
      </c>
      <c r="S4" s="67" t="str">
        <f aca="false">""</f>
        <v/>
      </c>
      <c r="T4" s="70" t="str">
        <f aca="false">IF($S4="","",0)</f>
        <v/>
      </c>
      <c r="U4" s="70" t="str">
        <f aca="false">IF($S4="","",0)</f>
        <v/>
      </c>
      <c r="V4" s="66" t="str">
        <f aca="false">IF($B4="","",IF($B4="01水果",IFERROR(INDEX(对接源_01水果!$H$5:$H$507,MATCH(ROW()-3,对接源_01水果!$Q$5:$Q$507,0)),""),IFERROR(INDEX(对接源_02物料!$H$5:$H$460,MATCH(ROW()-3-N(对接源_01水果!$T$1),对接源_02物料!$Q$5:$Q$460,0)),"")))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" customFormat="false" ht="18" hidden="false" customHeight="true" outlineLevel="0" collapsed="false">
      <c r="A5" s="66" t="n">
        <v>2</v>
      </c>
      <c r="B5" s="67" t="str">
        <f aca="false">IF(ROW()-3&lt;=N(对接源_01水果!$T$1),"01水果",IF(ROW()-3&lt;=N(对接源_01水果!$T$1)+N(对接源_02物料!$T$1),"02物料",""))</f>
        <v>01水果</v>
      </c>
      <c r="C5" s="68" t="n">
        <f aca="false">IF($B5="","",IF($B5="01水果",IFERROR(INDEX(对接源_01水果!$B$5:$B$507,MATCH(ROW()-3,对接源_01水果!$Q$5:$Q$507,0)),""),IFERROR(INDEX(对接源_02物料!$B$5:$B$460,MATCH(ROW()-3-N(对接源_01水果!$T$1),对接源_02物料!$Q$5:$Q$460,0)),"")))</f>
        <v>46235</v>
      </c>
      <c r="D5" s="67" t="str">
        <f aca="false">IF($B5="","",IF($B5="01水果",IFERROR(INDEX(对接源_01水果!$C$5:$C$507,MATCH(ROW()-3,对接源_01水果!$Q$5:$Q$507,0)),""),IFERROR(INDEX(对接源_02物料!$C$5:$C$460,MATCH(ROW()-3-N(对接源_01水果!$T$1),对接源_02物料!$Q$5:$Q$460,0)),"")))</f>
        <v>周转费</v>
      </c>
      <c r="E5" s="69" t="n">
        <f aca="false">IF($B5="","",IF($B5="01水果",IFERROR(INDEX(对接源_01水果!$D$5:$D$507,MATCH(ROW()-3,对接源_01水果!$Q$5:$Q$507,0)),""),IFERROR(INDEX(对接源_02物料!$D$5:$D$460,MATCH(ROW()-3-N(对接源_01水果!$T$1),对接源_02物料!$Q$5:$Q$460,0)),"")))</f>
        <v>13104</v>
      </c>
      <c r="F5" s="67" t="str">
        <f aca="false">IF($B5="","",IF($B5="01水果",IFERROR(INDEX(对接源_01水果!$E$5:$E$507,MATCH(ROW()-3,对接源_01水果!$Q$5:$Q$507,0)),""),IFERROR(INDEX(对接源_02物料!$E$5:$E$460,MATCH(ROW()-3-N(对接源_01水果!$T$1),对接源_02物料!$Q$5:$Q$460,0)),"")))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5" s="70" t="str">
        <f aca="false">IF($B5="","",IF($B5="01水果",IFERROR(INDEX(对接源_01水果!$F$5:$F$507,MATCH(ROW()-3,对接源_01水果!$Q$5:$Q$507,0)),""),IFERROR(INDEX(对接源_02物料!$F$5:$F$460,MATCH(ROW()-3-N(对接源_01水果!$T$1),对接源_02物料!$Q$5:$Q$460,0)),"")))</f>
        <v/>
      </c>
      <c r="H5" s="70" t="str">
        <f aca="false">IF($B5="","",IF($B5="01水果",IFERROR(INDEX(对接源_01水果!$G$5:$G$507,MATCH(ROW()-3,对接源_01水果!$Q$5:$Q$507,0)),""),IFERROR(INDEX(对接源_02物料!$G$5:$G$460,MATCH(ROW()-3-N(对接源_01水果!$T$1),对接源_02物料!$Q$5:$Q$460,0)),"")))</f>
        <v/>
      </c>
      <c r="I5" s="67" t="str">
        <f aca="false">IF(OR($D5="客户应收",$D5="成品销售款",$D5="公司购买果品款",$D5="筐子销售款",$D5="物料销售款"),"客户往来",IFERROR(INDEX(收入成本映射!$C$4:$C$34,MATCH($D5,收入成本映射!$B$4:$B$34,0)),"不记账"))</f>
        <v>收入型</v>
      </c>
      <c r="J5" s="67" t="str">
        <f aca="false">IF($B5="","","0%")</f>
        <v>0%</v>
      </c>
      <c r="K5" s="70" t="n">
        <f aca="false">IF($I5="不记账",0,ROUND(N($G5),2))</f>
        <v>0</v>
      </c>
      <c r="L5" s="70" t="n">
        <v>0</v>
      </c>
      <c r="M5" s="67" t="str">
        <f aca="false">IF(OR($I5="不记账",ROUND(N($G5),2)=0),"",IFERROR(INDEX(收入成本映射!$E$4:$E$34,MATCH($D5,收入成本映射!$B$4:$B$34,0)),""))</f>
        <v/>
      </c>
      <c r="N5" s="70" t="str">
        <f aca="false">IF($M5="","",ROUND(N($G5),2))</f>
        <v/>
      </c>
      <c r="O5" s="70" t="str">
        <f aca="false">IF($M5="","",0)</f>
        <v/>
      </c>
      <c r="P5" s="67" t="str">
        <f aca="false">IF($M5="","",IFERROR(INDEX(收入成本映射!$F$4:$F$34,MATCH($D5,收入成本映射!$B$4:$B$34,0)),""))</f>
        <v/>
      </c>
      <c r="Q5" s="70" t="str">
        <f aca="false">IF($P5="","",0)</f>
        <v/>
      </c>
      <c r="R5" s="70" t="str">
        <f aca="false">IF($P5="","",ROUND(N($G5),2))</f>
        <v/>
      </c>
      <c r="S5" s="67" t="str">
        <f aca="false">""</f>
        <v/>
      </c>
      <c r="T5" s="70" t="str">
        <f aca="false">IF($S5="","",0)</f>
        <v/>
      </c>
      <c r="U5" s="70" t="str">
        <f aca="false">IF($S5="","",0)</f>
        <v/>
      </c>
      <c r="V5" s="66" t="str">
        <f aca="false">IF($B5="","",IF($B5="01水果",IFERROR(INDEX(对接源_01水果!$H$5:$H$507,MATCH(ROW()-3,对接源_01水果!$Q$5:$Q$507,0)),""),IFERROR(INDEX(对接源_02物料!$H$5:$H$460,MATCH(ROW()-3-N(对接源_01水果!$T$1),对接源_02物料!$Q$5:$Q$460,0)),"")))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" customFormat="false" ht="18" hidden="false" customHeight="true" outlineLevel="0" collapsed="false">
      <c r="A6" s="66" t="n">
        <v>3</v>
      </c>
      <c r="B6" s="67" t="str">
        <f aca="false">IF(ROW()-3&lt;=N(对接源_01水果!$T$1),"01水果",IF(ROW()-3&lt;=N(对接源_01水果!$T$1)+N(对接源_02物料!$T$1),"02物料",""))</f>
        <v>01水果</v>
      </c>
      <c r="C6" s="68" t="n">
        <f aca="false">IF($B6="","",IF($B6="01水果",IFERROR(INDEX(对接源_01水果!$B$5:$B$507,MATCH(ROW()-3,对接源_01水果!$Q$5:$Q$507,0)),""),IFERROR(INDEX(对接源_02物料!$B$5:$B$460,MATCH(ROW()-3-N(对接源_01水果!$T$1),对接源_02物料!$Q$5:$Q$460,0)),"")))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6" s="67" t="str">
        <f aca="false">IF($B6="","",IF($B6="01水果",IFERROR(INDEX(对接源_01水果!$C$5:$C$507,MATCH(ROW()-3,对接源_01水果!$Q$5:$Q$507,0)),""),IFERROR(INDEX(对接源_02物料!$C$5:$C$460,MATCH(ROW()-3-N(对接源_01水果!$T$1),对接源_02物料!$Q$5:$Q$460,0)),"")))</f>
        <v>周转费</v>
      </c>
      <c r="E6" s="69" t="n">
        <f aca="false">IF($B6="","",IF($B6="01水果",IFERROR(INDEX(对接源_01水果!$D$5:$D$507,MATCH(ROW()-3,对接源_01水果!$Q$5:$Q$507,0)),""),IFERROR(INDEX(对接源_02物料!$D$5:$D$460,MATCH(ROW()-3-N(对接源_01水果!$T$1),对接源_02物料!$Q$5:$Q$460,0)),"")))</f>
        <v>5597</v>
      </c>
      <c r="F6" s="67" t="str">
        <f aca="false">IF($B6="","",IF($B6="01水果",IFERROR(INDEX(对接源_01水果!$E$5:$E$507,MATCH(ROW()-3,对接源_01水果!$Q$5:$Q$507,0)),""),IFERROR(INDEX(对接源_02物料!$E$5:$E$460,MATCH(ROW()-3-N(对接源_01水果!$T$1),对接源_02物料!$Q$5:$Q$460,0)),"")))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6" s="70" t="str">
        <f aca="false">IF($B6="","",IF($B6="01水果",IFERROR(INDEX(对接源_01水果!$F$5:$F$507,MATCH(ROW()-3,对接源_01水果!$Q$5:$Q$507,0)),""),IFERROR(INDEX(对接源_02物料!$F$5:$F$460,MATCH(ROW()-3-N(对接源_01水果!$T$1),对接源_02物料!$Q$5:$Q$460,0)),"")))</f>
        <v/>
      </c>
      <c r="H6" s="70" t="str">
        <f aca="false">IF($B6="","",IF($B6="01水果",IFERROR(INDEX(对接源_01水果!$G$5:$G$507,MATCH(ROW()-3,对接源_01水果!$Q$5:$Q$507,0)),""),IFERROR(INDEX(对接源_02物料!$G$5:$G$460,MATCH(ROW()-3-N(对接源_01水果!$T$1),对接源_02物料!$Q$5:$Q$460,0)),"")))</f>
        <v/>
      </c>
      <c r="I6" s="67" t="str">
        <f aca="false">IF(OR($D6="客户应收",$D6="成品销售款",$D6="公司购买果品款",$D6="筐子销售款",$D6="物料销售款"),"客户往来",IFERROR(INDEX(收入成本映射!$C$4:$C$34,MATCH($D6,收入成本映射!$B$4:$B$34,0)),"不记账"))</f>
        <v>收入型</v>
      </c>
      <c r="J6" s="67" t="str">
        <f aca="false">IF($B6="","","0%")</f>
        <v>0%</v>
      </c>
      <c r="K6" s="70" t="n">
        <f aca="false">IF($I6="不记账",0,ROUND(N($G6),2))</f>
        <v>0</v>
      </c>
      <c r="L6" s="70" t="n">
        <v>0</v>
      </c>
      <c r="M6" s="67" t="str">
        <f aca="false">IF(OR($I6="不记账",ROUND(N($G6),2)=0),"",IFERROR(INDEX(收入成本映射!$E$4:$E$34,MATCH($D6,收入成本映射!$B$4:$B$34,0)),""))</f>
        <v/>
      </c>
      <c r="N6" s="70" t="str">
        <f aca="false">IF($M6="","",ROUND(N($G6),2))</f>
        <v/>
      </c>
      <c r="O6" s="70" t="str">
        <f aca="false">IF($M6="","",0)</f>
        <v/>
      </c>
      <c r="P6" s="67" t="str">
        <f aca="false">IF($M6="","",IFERROR(INDEX(收入成本映射!$F$4:$F$34,MATCH($D6,收入成本映射!$B$4:$B$34,0)),""))</f>
        <v/>
      </c>
      <c r="Q6" s="70" t="str">
        <f aca="false">IF($P6="","",0)</f>
        <v/>
      </c>
      <c r="R6" s="70" t="str">
        <f aca="false">IF($P6="","",ROUND(N($G6),2))</f>
        <v/>
      </c>
      <c r="S6" s="67" t="str">
        <f aca="false">""</f>
        <v/>
      </c>
      <c r="T6" s="70" t="str">
        <f aca="false">IF($S6="","",0)</f>
        <v/>
      </c>
      <c r="U6" s="70" t="str">
        <f aca="false">IF($S6="","",0)</f>
        <v/>
      </c>
      <c r="V6" s="66" t="str">
        <f aca="false">IF($B6="","",IF($B6="01水果",IFERROR(INDEX(对接源_01水果!$H$5:$H$507,MATCH(ROW()-3,对接源_01水果!$Q$5:$Q$507,0)),""),IFERROR(INDEX(对接源_02物料!$H$5:$H$460,MATCH(ROW()-3-N(对接源_01水果!$T$1),对接源_02物料!$Q$5:$Q$460,0)),"")))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" customFormat="false" ht="18" hidden="false" customHeight="true" outlineLevel="0" collapsed="false">
      <c r="A7" s="66" t="n">
        <v>4</v>
      </c>
      <c r="B7" s="67" t="str">
        <f aca="false">IF(ROW()-3&lt;=N(对接源_01水果!$T$1),"01水果",IF(ROW()-3&lt;=N(对接源_01水果!$T$1)+N(对接源_02物料!$T$1),"02物料",""))</f>
        <v>01水果</v>
      </c>
      <c r="C7" s="68" t="n">
        <f aca="false">IF($B7="","",IF($B7="01水果",IFERROR(INDEX(对接源_01水果!$B$5:$B$507,MATCH(ROW()-3,对接源_01水果!$Q$5:$Q$507,0)),""),IFERROR(INDEX(对接源_02物料!$B$5:$B$460,MATCH(ROW()-3-N(对接源_01水果!$T$1),对接源_02物料!$Q$5:$Q$460,0)),"")))</f>
        <v>46235</v>
      </c>
      <c r="D7" s="67" t="str">
        <f aca="false">IF($B7="","",IF($B7="01水果",IFERROR(INDEX(对接源_01水果!$C$5:$C$507,MATCH(ROW()-3,对接源_01水果!$Q$5:$Q$507,0)),""),IFERROR(INDEX(对接源_02物料!$C$5:$C$460,MATCH(ROW()-3-N(对接源_01水果!$T$1),对接源_02物料!$Q$5:$Q$460,0)),"")))</f>
        <v>装卸费</v>
      </c>
      <c r="E7" s="69" t="n">
        <f aca="false">IF($B7="","",IF($B7="01水果",IFERROR(INDEX(对接源_01水果!$D$5:$D$507,MATCH(ROW()-3,对接源_01水果!$Q$5:$Q$507,0)),""),IFERROR(INDEX(对接源_02物料!$D$5:$D$460,MATCH(ROW()-3-N(对接源_01水果!$T$1),对接源_02物料!$Q$5:$Q$460,0)),"")))</f>
        <v>14523</v>
      </c>
      <c r="F7" s="67" t="str">
        <f aca="false">IF($B7="","",IF($B7="01水果",IFERROR(INDEX(对接源_01水果!$E$5:$E$507,MATCH(ROW()-3,对接源_01水果!$Q$5:$Q$507,0)),""),IFERROR(INDEX(对接源_02物料!$E$5:$E$460,MATCH(ROW()-3-N(对接源_01水果!$T$1),对接源_02物料!$Q$5:$Q$460,0)),"")))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7" s="70" t="str">
        <f aca="false">IF($B7="","",IF($B7="01水果",IFERROR(INDEX(对接源_01水果!$F$5:$F$507,MATCH(ROW()-3,对接源_01水果!$Q$5:$Q$507,0)),""),IFERROR(INDEX(对接源_02物料!$F$5:$F$460,MATCH(ROW()-3-N(对接源_01水果!$T$1),对接源_02物料!$Q$5:$Q$460,0)),"")))</f>
        <v/>
      </c>
      <c r="H7" s="70" t="str">
        <f aca="false">IF($B7="","",IF($B7="01水果",IFERROR(INDEX(对接源_01水果!$G$5:$G$507,MATCH(ROW()-3,对接源_01水果!$Q$5:$Q$507,0)),""),IFERROR(INDEX(对接源_02物料!$G$5:$G$460,MATCH(ROW()-3-N(对接源_01水果!$T$1),对接源_02物料!$Q$5:$Q$460,0)),"")))</f>
        <v/>
      </c>
      <c r="I7" s="67" t="str">
        <f aca="false">IF(OR($D7="客户应收",$D7="成品销售款",$D7="公司购买果品款",$D7="筐子销售款",$D7="物料销售款"),"客户往来",IFERROR(INDEX(收入成本映射!$C$4:$C$34,MATCH($D7,收入成本映射!$B$4:$B$34,0)),"不记账"))</f>
        <v>收入型</v>
      </c>
      <c r="J7" s="67" t="str">
        <f aca="false">IF($B7="","","0%")</f>
        <v>0%</v>
      </c>
      <c r="K7" s="70" t="n">
        <f aca="false">IF($I7="不记账",0,ROUND(N($G7),2))</f>
        <v>0</v>
      </c>
      <c r="L7" s="70" t="n">
        <v>0</v>
      </c>
      <c r="M7" s="67" t="str">
        <f aca="false">IF(OR($I7="不记账",ROUND(N($G7),2)=0),"",IFERROR(INDEX(收入成本映射!$E$4:$E$34,MATCH($D7,收入成本映射!$B$4:$B$34,0)),""))</f>
        <v/>
      </c>
      <c r="N7" s="70" t="str">
        <f aca="false">IF($M7="","",ROUND(N($G7),2))</f>
        <v/>
      </c>
      <c r="O7" s="70" t="str">
        <f aca="false">IF($M7="","",0)</f>
        <v/>
      </c>
      <c r="P7" s="67" t="str">
        <f aca="false">IF($M7="","",IFERROR(INDEX(收入成本映射!$F$4:$F$34,MATCH($D7,收入成本映射!$B$4:$B$34,0)),""))</f>
        <v/>
      </c>
      <c r="Q7" s="70" t="str">
        <f aca="false">IF($P7="","",0)</f>
        <v/>
      </c>
      <c r="R7" s="70" t="str">
        <f aca="false">IF($P7="","",ROUND(N($G7),2))</f>
        <v/>
      </c>
      <c r="S7" s="67" t="str">
        <f aca="false">""</f>
        <v/>
      </c>
      <c r="T7" s="70" t="str">
        <f aca="false">IF($S7="","",0)</f>
        <v/>
      </c>
      <c r="U7" s="70" t="str">
        <f aca="false">IF($S7="","",0)</f>
        <v/>
      </c>
      <c r="V7" s="66" t="str">
        <f aca="false">IF($B7="","",IF($B7="01水果",IFERROR(INDEX(对接源_01水果!$H$5:$H$507,MATCH(ROW()-3,对接源_01水果!$Q$5:$Q$507,0)),""),IFERROR(INDEX(对接源_02物料!$H$5:$H$460,MATCH(ROW()-3-N(对接源_01水果!$T$1),对接源_02物料!$Q$5:$Q$460,0)),"")))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" customFormat="false" ht="18" hidden="false" customHeight="true" outlineLevel="0" collapsed="false">
      <c r="A8" s="66" t="n">
        <v>5</v>
      </c>
      <c r="B8" s="67" t="str">
        <f aca="false">IF(ROW()-3&lt;=N(对接源_01水果!$T$1),"01水果",IF(ROW()-3&lt;=N(对接源_01水果!$T$1)+N(对接源_02物料!$T$1),"02物料",""))</f>
        <v>01水果</v>
      </c>
      <c r="C8" s="68" t="n">
        <f aca="false">IF($B8="","",IF($B8="01水果",IFERROR(INDEX(对接源_01水果!$B$5:$B$507,MATCH(ROW()-3,对接源_01水果!$Q$5:$Q$507,0)),""),IFERROR(INDEX(对接源_02物料!$B$5:$B$460,MATCH(ROW()-3-N(对接源_01水果!$T$1),对接源_02物料!$Q$5:$Q$460,0)),"")))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8" s="67" t="str">
        <f aca="false">IF($B8="","",IF($B8="01水果",IFERROR(INDEX(对接源_01水果!$C$5:$C$507,MATCH(ROW()-3,对接源_01水果!$Q$5:$Q$507,0)),""),IFERROR(INDEX(对接源_02物料!$C$5:$C$460,MATCH(ROW()-3-N(对接源_01水果!$T$1),对接源_02物料!$Q$5:$Q$460,0)),"")))</f>
        <v>装卸费</v>
      </c>
      <c r="E8" s="69" t="n">
        <f aca="false">IF($B8="","",IF($B8="01水果",IFERROR(INDEX(对接源_01水果!$D$5:$D$507,MATCH(ROW()-3,对接源_01水果!$Q$5:$Q$507,0)),""),IFERROR(INDEX(对接源_02物料!$D$5:$D$460,MATCH(ROW()-3-N(对接源_01水果!$T$1),对接源_02物料!$Q$5:$Q$460,0)),"")))</f>
        <v>31420</v>
      </c>
      <c r="F8" s="67" t="str">
        <f aca="false">IF($B8="","",IF($B8="01水果",IFERROR(INDEX(对接源_01水果!$E$5:$E$507,MATCH(ROW()-3,对接源_01水果!$Q$5:$Q$507,0)),""),IFERROR(INDEX(对接源_02物料!$E$5:$E$460,MATCH(ROW()-3-N(对接源_01水果!$T$1),对接源_02物料!$Q$5:$Q$460,0)),"")))</f>
        <v>筐</v>
      </c>
      <c r="G8" s="70" t="str">
        <f aca="false">IF($B8="","",IF($B8="01水果",IFERROR(INDEX(对接源_01水果!$F$5:$F$507,MATCH(ROW()-3,对接源_01水果!$Q$5:$Q$507,0)),""),IFERROR(INDEX(对接源_02物料!$F$5:$F$460,MATCH(ROW()-3-N(对接源_01水果!$T$1),对接源_02物料!$Q$5:$Q$460,0)),"")))</f>
        <v/>
      </c>
      <c r="H8" s="70" t="str">
        <f aca="false">IF($B8="","",IF($B8="01水果",IFERROR(INDEX(对接源_01水果!$G$5:$G$507,MATCH(ROW()-3,对接源_01水果!$Q$5:$Q$507,0)),""),IFERROR(INDEX(对接源_02物料!$G$5:$G$460,MATCH(ROW()-3-N(对接源_01水果!$T$1),对接源_02物料!$Q$5:$Q$460,0)),"")))</f>
        <v/>
      </c>
      <c r="I8" s="67" t="str">
        <f aca="false">IF(OR($D8="客户应收",$D8="成品销售款",$D8="公司购买果品款",$D8="筐子销售款",$D8="物料销售款"),"客户往来",IFERROR(INDEX(收入成本映射!$C$4:$C$34,MATCH($D8,收入成本映射!$B$4:$B$34,0)),"不记账"))</f>
        <v>收入型</v>
      </c>
      <c r="J8" s="67" t="str">
        <f aca="false">IF($B8="","","0%")</f>
        <v>0%</v>
      </c>
      <c r="K8" s="70" t="n">
        <f aca="false">IF($I8="不记账",0,ROUND(N($G8),2))</f>
        <v>0</v>
      </c>
      <c r="L8" s="70" t="n">
        <v>0</v>
      </c>
      <c r="M8" s="67" t="str">
        <f aca="false">IF(OR($I8="不记账",ROUND(N($G8),2)=0),"",IFERROR(INDEX(收入成本映射!$E$4:$E$34,MATCH($D8,收入成本映射!$B$4:$B$34,0)),""))</f>
        <v/>
      </c>
      <c r="N8" s="70" t="str">
        <f aca="false">IF($M8="","",ROUND(N($G8),2))</f>
        <v/>
      </c>
      <c r="O8" s="70" t="str">
        <f aca="false">IF($M8="","",0)</f>
        <v/>
      </c>
      <c r="P8" s="67" t="str">
        <f aca="false">IF($M8="","",IFERROR(INDEX(收入成本映射!$F$4:$F$34,MATCH($D8,收入成本映射!$B$4:$B$34,0)),""))</f>
        <v/>
      </c>
      <c r="Q8" s="70" t="str">
        <f aca="false">IF($P8="","",0)</f>
        <v/>
      </c>
      <c r="R8" s="70" t="str">
        <f aca="false">IF($P8="","",ROUND(N($G8),2))</f>
        <v/>
      </c>
      <c r="S8" s="67" t="str">
        <f aca="false">""</f>
        <v/>
      </c>
      <c r="T8" s="70" t="str">
        <f aca="false">IF($S8="","",0)</f>
        <v/>
      </c>
      <c r="U8" s="70" t="str">
        <f aca="false">IF($S8="","",0)</f>
        <v/>
      </c>
      <c r="V8" s="66" t="str">
        <f aca="false">IF($B8="","",IF($B8="01水果",IFERROR(INDEX(对接源_01水果!$H$5:$H$507,MATCH(ROW()-3,对接源_01水果!$Q$5:$Q$507,0)),""),IFERROR(INDEX(对接源_02物料!$H$5:$H$460,MATCH(ROW()-3-N(对接源_01水果!$T$1),对接源_02物料!$Q$5:$Q$460,0)),"")))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" customFormat="false" ht="18" hidden="false" customHeight="true" outlineLevel="0" collapsed="false">
      <c r="A9" s="66" t="n">
        <v>6</v>
      </c>
      <c r="B9" s="67" t="str">
        <f aca="false">IF(ROW()-3&lt;=N(对接源_01水果!$T$1),"01水果",IF(ROW()-3&lt;=N(对接源_01水果!$T$1)+N(对接源_02物料!$T$1),"02物料",""))</f>
        <v>01水果</v>
      </c>
      <c r="C9" s="68" t="n">
        <f aca="false">IF($B9="","",IF($B9="01水果",IFERROR(INDEX(对接源_01水果!$B$5:$B$507,MATCH(ROW()-3,对接源_01水果!$Q$5:$Q$507,0)),""),IFERROR(INDEX(对接源_02物料!$B$5:$B$460,MATCH(ROW()-3-N(对接源_01水果!$T$1),对接源_02物料!$Q$5:$Q$460,0)),"")))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9" s="67" t="str">
        <f aca="false">IF($B9="","",IF($B9="01水果",IFERROR(INDEX(对接源_01水果!$C$5:$C$507,MATCH(ROW()-3,对接源_01水果!$Q$5:$Q$507,0)),""),IFERROR(INDEX(对接源_02物料!$C$5:$C$460,MATCH(ROW()-3-N(对接源_01水果!$T$1),对接源_02物料!$Q$5:$Q$460,0)),"")))</f>
        <v>水果销售</v>
      </c>
      <c r="E9" s="69" t="n">
        <f aca="false">IF($B9="","",IF($B9="01水果",IFERROR(INDEX(对接源_01水果!$D$5:$D$507,MATCH(ROW()-3,对接源_01水果!$Q$5:$Q$507,0)),""),IFERROR(INDEX(对接源_02物料!$D$5:$D$460,MATCH(ROW()-3-N(对接源_01水果!$T$1),对接源_02物料!$Q$5:$Q$460,0)),"")))</f>
        <v>1</v>
      </c>
      <c r="F9" s="67" t="str">
        <f aca="false">IF($B9="","",IF($B9="01水果",IFERROR(INDEX(对接源_01水果!$E$5:$E$507,MATCH(ROW()-3,对接源_01水果!$Q$5:$Q$507,0)),""),IFERROR(INDEX(对接源_02物料!$E$5:$E$460,MATCH(ROW()-3-N(对接源_01水果!$T$1),对接源_02物料!$Q$5:$Q$460,0)),"")))</f>
        <v>箱</v>
      </c>
      <c r="G9" s="70" t="n">
        <f aca="false">IF($B9="","",IF($B9="01水果",IFERROR(INDEX(对接源_01水果!$F$5:$F$507,MATCH(ROW()-3,对接源_01水果!$Q$5:$Q$507,0)),""),IFERROR(INDEX(对接源_02物料!$F$5:$F$460,MATCH(ROW()-3-N(对接源_01水果!$T$1),对接源_02物料!$Q$5:$Q$460,0)),"")))</f>
        <v>40</v>
      </c>
      <c r="H9" s="70" t="n">
        <f aca="false">IF($B9="","",IF($B9="01水果",IFERROR(INDEX(对接源_01水果!$G$5:$G$507,MATCH(ROW()-3,对接源_01水果!$Q$5:$Q$507,0)),""),IFERROR(INDEX(对接源_02物料!$G$5:$G$460,MATCH(ROW()-3-N(对接源_01水果!$T$1),对接源_02物料!$Q$5:$Q$460,0)),"")))</f>
        <v>300</v>
      </c>
      <c r="I9" s="67" t="str">
        <f aca="false">IF(OR($D9="客户应收",$D9="成品销售款",$D9="公司购买果品款",$D9="筐子销售款",$D9="物料销售款"),"客户往来",IFERROR(INDEX(收入成本映射!$C$4:$C$34,MATCH($D9,收入成本映射!$B$4:$B$34,0)),"不记账"))</f>
        <v>收入型</v>
      </c>
      <c r="J9" s="67" t="str">
        <f aca="false">IF($B9="","","0%")</f>
        <v>0%</v>
      </c>
      <c r="K9" s="70" t="n">
        <f aca="false">IF($I9="不记账",0,ROUND(N($G9),2))</f>
        <v>40</v>
      </c>
      <c r="L9" s="70" t="n">
        <v>0</v>
      </c>
      <c r="M9" s="67" t="str">
        <f aca="false">IF(OR($I9="不记账",ROUND(N($G9),2)=0),"",IFERROR(INDEX(收入成本映射!$E$4:$E$34,MATCH($D9,收入成本映射!$B$4:$B$34,0)),""))</f>
        <v>应收账款</v>
      </c>
      <c r="N9" s="70" t="n">
        <f aca="false">IF($M9="","",ROUND(N($G9),2))</f>
        <v>40</v>
      </c>
      <c r="O9" s="70" t="n">
        <f aca="false">IF($M9="","",0)</f>
        <v>0</v>
      </c>
      <c r="P9" s="67" t="str">
        <f aca="false">IF($M9="","",IFERROR(INDEX(收入成本映射!$F$4:$F$34,MATCH($D9,收入成本映射!$B$4:$B$34,0)),""))</f>
        <v>主营业务收入—水果销售</v>
      </c>
      <c r="Q9" s="70" t="n">
        <f aca="false">IF($P9="","",0)</f>
        <v>0</v>
      </c>
      <c r="R9" s="70" t="n">
        <f aca="false">IF($P9="","",ROUND(N($G9),2))</f>
        <v>40</v>
      </c>
      <c r="S9" s="67" t="str">
        <f aca="false">""</f>
        <v/>
      </c>
      <c r="T9" s="70" t="str">
        <f aca="false">IF($S9="","",0)</f>
        <v/>
      </c>
      <c r="U9" s="70" t="str">
        <f aca="false">IF($S9="","",0)</f>
        <v/>
      </c>
      <c r="V9" s="66" t="str">
        <f aca="false">IF($B9="","",IF($B9="01水果",IFERROR(INDEX(对接源_01水果!$H$5:$H$507,MATCH(ROW()-3,对接源_01水果!$Q$5:$Q$507,0)),""),IFERROR(INDEX(对接源_02物料!$H$5:$H$460,MATCH(ROW()-3-N(对接源_01水果!$T$1),对接源_02物料!$Q$5:$Q$460,0)),"")))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" customFormat="false" ht="18" hidden="false" customHeight="true" outlineLevel="0" collapsed="false">
      <c r="A10" s="66" t="n">
        <v>7</v>
      </c>
      <c r="B10" s="67" t="str">
        <f aca="false">IF(ROW()-3&lt;=N(对接源_01水果!$T$1),"01水果",IF(ROW()-3&lt;=N(对接源_01水果!$T$1)+N(对接源_02物料!$T$1),"02物料",""))</f>
        <v>01水果</v>
      </c>
      <c r="C10" s="68" t="n">
        <f aca="false">IF($B10="","",IF($B10="01水果",IFERROR(INDEX(对接源_01水果!$B$5:$B$507,MATCH(ROW()-3,对接源_01水果!$Q$5:$Q$507,0)),""),IFERROR(INDEX(对接源_02物料!$B$5:$B$460,MATCH(ROW()-3-N(对接源_01水果!$T$1),对接源_02物料!$Q$5:$Q$460,0)),"")))</f>
        <v>46266</v>
      </c>
      <c r="D10" s="67" t="str">
        <f aca="false">IF($B10="","",IF($B10="01水果",IFERROR(INDEX(对接源_01水果!$C$5:$C$507,MATCH(ROW()-3,对接源_01水果!$Q$5:$Q$507,0)),""),IFERROR(INDEX(对接源_02物料!$C$5:$C$460,MATCH(ROW()-3-N(对接源_01水果!$T$1),对接源_02物料!$Q$5:$Q$460,0)),"")))</f>
        <v>运费</v>
      </c>
      <c r="E10" s="69" t="str">
        <f aca="false">IF($B10="","",IF($B10="01水果",IFERROR(INDEX(对接源_01水果!$D$5:$D$507,MATCH(ROW()-3,对接源_01水果!$Q$5:$Q$507,0)),""),IFERROR(INDEX(对接源_02物料!$D$5:$D$460,MATCH(ROW()-3-N(对接源_01水果!$T$1),对接源_02物料!$Q$5:$Q$460,0)),"")))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" s="67" t="str">
        <f aca="false">IF($B10="","",IF($B10="01水果",IFERROR(INDEX(对接源_01水果!$E$5:$E$507,MATCH(ROW()-3,对接源_01水果!$Q$5:$Q$507,0)),""),IFERROR(INDEX(对接源_02物料!$E$5:$E$460,MATCH(ROW()-3-N(对接源_01水果!$T$1),对接源_02物料!$Q$5:$Q$460,0)),"")))</f>
        <v>元</v>
      </c>
      <c r="G10" s="70" t="n">
        <f aca="false">IF($B10="","",IF($B10="01水果",IFERROR(INDEX(对接源_01水果!$F$5:$F$507,MATCH(ROW()-3,对接源_01水果!$Q$5:$Q$507,0)),""),IFERROR(INDEX(对接源_02物料!$F$5:$F$460,MATCH(ROW()-3-N(对接源_01水果!$T$1),对接源_02物料!$Q$5:$Q$460,0)),"")))</f>
        <v>352</v>
      </c>
      <c r="H10" s="70" t="str">
        <f aca="false">IF($B10="","",IF($B10="01水果",IFERROR(INDEX(对接源_01水果!$G$5:$G$507,MATCH(ROW()-3,对接源_01水果!$Q$5:$Q$507,0)),""),IFERROR(INDEX(对接源_02物料!$G$5:$G$460,MATCH(ROW()-3-N(对接源_01水果!$T$1),对接源_02物料!$Q$5:$Q$460,0)),"")))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" s="67" t="str">
        <f aca="false">IF(OR($D10="客户应收",$D10="成品销售款",$D10="公司购买果品款",$D10="筐子销售款",$D10="物料销售款"),"客户往来",IFERROR(INDEX(收入成本映射!$C$4:$C$34,MATCH($D10,收入成本映射!$B$4:$B$34,0)),"不记账"))</f>
        <v>收入型</v>
      </c>
      <c r="J10" s="67" t="str">
        <f aca="false">IF($B10="","","0%")</f>
        <v>0%</v>
      </c>
      <c r="K10" s="70" t="n">
        <f aca="false">IF($I10="不记账",0,ROUND(N($G10),2))</f>
        <v>352</v>
      </c>
      <c r="L10" s="70" t="n">
        <v>0</v>
      </c>
      <c r="M10" s="67" t="str">
        <f aca="false">IF(OR($I10="不记账",ROUND(N($G10),2)=0),"",IFERROR(INDEX(收入成本映射!$E$4:$E$34,MATCH($D10,收入成本映射!$B$4:$B$34,0)),""))</f>
        <v>应收账款</v>
      </c>
      <c r="N10" s="70" t="n">
        <f aca="false">IF($M10="","",ROUND(N($G10),2))</f>
        <v>352</v>
      </c>
      <c r="O10" s="70" t="n">
        <f aca="false">IF($M10="","",0)</f>
        <v>0</v>
      </c>
      <c r="P10" s="67" t="str">
        <f aca="false">IF($M10="","",IFERROR(INDEX(收入成本映射!$F$4:$F$34,MATCH($D10,收入成本映射!$B$4:$B$34,0)),""))</f>
        <v>其他业务收入—运费</v>
      </c>
      <c r="Q10" s="70" t="n">
        <f aca="false">IF($P10="","",0)</f>
        <v>0</v>
      </c>
      <c r="R10" s="70" t="n">
        <f aca="false">IF($P10="","",ROUND(N($G10),2))</f>
        <v>352</v>
      </c>
      <c r="S10" s="67" t="str">
        <f aca="false">""</f>
        <v/>
      </c>
      <c r="T10" s="70" t="str">
        <f aca="false">IF($S10="","",0)</f>
        <v/>
      </c>
      <c r="U10" s="70" t="str">
        <f aca="false">IF($S10="","",0)</f>
        <v/>
      </c>
      <c r="V10" s="66" t="str">
        <f aca="false">IF($B10="","",IF($B10="01水果",IFERROR(INDEX(对接源_01水果!$H$5:$H$507,MATCH(ROW()-3,对接源_01水果!$Q$5:$Q$507,0)),""),IFERROR(INDEX(对接源_02物料!$H$5:$H$460,MATCH(ROW()-3-N(对接源_01水果!$T$1),对接源_02物料!$Q$5:$Q$460,0)),"")))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" customFormat="false" ht="18" hidden="false" customHeight="true" outlineLevel="0" collapsed="false">
      <c r="A11" s="66" t="n">
        <v>8</v>
      </c>
      <c r="B11" s="67" t="str">
        <f aca="false">IF(ROW()-3&lt;=N(对接源_01水果!$T$1),"01水果",IF(ROW()-3&lt;=N(对接源_01水果!$T$1)+N(对接源_02物料!$T$1),"02物料",""))</f>
        <v>01水果</v>
      </c>
      <c r="C11" s="68" t="str">
        <f aca="false">IF($B11="","",IF($B11="01水果",IFERROR(INDEX(对接源_01水果!$B$5:$B$507,MATCH(ROW()-3,对接源_01水果!$Q$5:$Q$507,0)),""),IFERROR(INDEX(对接源_02物料!$B$5:$B$460,MATCH(ROW()-3-N(对接源_01水果!$T$1),对接源_02物料!$Q$5:$Q$460,0)),"")))</f>
        <v>王照雪</v>
      </c>
      <c r="D11" s="67" t="str">
        <f aca="false">IF($B11="","",IF($B11="01水果",IFERROR(INDEX(对接源_01水果!$C$5:$C$507,MATCH(ROW()-3,对接源_01水果!$Q$5:$Q$507,0)),""),IFERROR(INDEX(对接源_02物料!$C$5:$C$460,MATCH(ROW()-3-N(对接源_01水果!$T$1),对接源_02物料!$Q$5:$Q$460,0)),"")))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1" s="69" t="str">
        <f aca="false">IF($B11="","",IF($B11="01水果",IFERROR(INDEX(对接源_01水果!$D$5:$D$507,MATCH(ROW()-3,对接源_01水果!$Q$5:$Q$507,0)),""),IFERROR(INDEX(对接源_02物料!$D$5:$D$460,MATCH(ROW()-3-N(对接源_01水果!$T$1),对接源_02物料!$Q$5:$Q$460,0)),"")))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" s="67" t="n">
        <f aca="false">IF($B11="","",IF($B11="01水果",IFERROR(INDEX(对接源_01水果!$E$5:$E$507,MATCH(ROW()-3,对接源_01水果!$Q$5:$Q$507,0)),""),IFERROR(INDEX(对接源_02物料!$E$5:$E$460,MATCH(ROW()-3-N(对接源_01水果!$T$1),对接源_02物料!$Q$5:$Q$460,0)),"")))</f>
        <v>40</v>
      </c>
      <c r="G11" s="70" t="n">
        <f aca="false">IF($B11="","",IF($B11="01水果",IFERROR(INDEX(对接源_01水果!$F$5:$F$507,MATCH(ROW()-3,对接源_01水果!$Q$5:$Q$507,0)),""),IFERROR(INDEX(对接源_02物料!$F$5:$F$460,MATCH(ROW()-3-N(对接源_01水果!$T$1),对接源_02物料!$Q$5:$Q$460,0)),"")))</f>
        <v>-40</v>
      </c>
      <c r="H11" s="70" t="n">
        <f aca="false">IF($B11="","",IF($B11="01水果",IFERROR(INDEX(对接源_01水果!$G$5:$G$507,MATCH(ROW()-3,对接源_01水果!$Q$5:$Q$507,0)),""),IFERROR(INDEX(对接源_02物料!$G$5:$G$460,MATCH(ROW()-3-N(对接源_01水果!$T$1),对接源_02物料!$Q$5:$Q$460,0)),"")))</f>
        <v>40</v>
      </c>
      <c r="I11" s="67" t="str">
        <f aca="false">IF(OR($D11="客户应收",$D11="成品销售款",$D11="公司购买果品款",$D11="筐子销售款",$D11="物料销售款"),"客户往来",IFERROR(INDEX(收入成本映射!$C$4:$C$34,MATCH($D11,收入成本映射!$B$4:$B$34,0)),"不记账"))</f>
        <v>客户往来</v>
      </c>
      <c r="J11" s="67" t="str">
        <f aca="false">IF($B11="","","0%")</f>
        <v>0%</v>
      </c>
      <c r="K11" s="70" t="n">
        <f aca="false">IF($I11="不记账",0,ROUND(N($G11),2))</f>
        <v>-40</v>
      </c>
      <c r="L11" s="70" t="n">
        <v>0</v>
      </c>
      <c r="M11" s="67" t="str">
        <f aca="false">IF(OR($I11="不记账",ROUND(N($G11),2)=0),"",IFERROR(INDEX(收入成本映射!$E$4:$E$34,MATCH($D11,收入成本映射!$B$4:$B$34,0)),""))</f>
        <v/>
      </c>
      <c r="N11" s="70" t="str">
        <f aca="false">IF($M11="","",ROUND(N($G11),2))</f>
        <v/>
      </c>
      <c r="O11" s="70" t="str">
        <f aca="false">IF($M11="","",0)</f>
        <v/>
      </c>
      <c r="P11" s="67" t="str">
        <f aca="false">IF($M11="","",IFERROR(INDEX(收入成本映射!$F$4:$F$34,MATCH($D11,收入成本映射!$B$4:$B$34,0)),""))</f>
        <v/>
      </c>
      <c r="Q11" s="70" t="str">
        <f aca="false">IF($P11="","",0)</f>
        <v/>
      </c>
      <c r="R11" s="70" t="str">
        <f aca="false">IF($P11="","",ROUND(N($G11),2))</f>
        <v/>
      </c>
      <c r="S11" s="67" t="str">
        <f aca="false">""</f>
        <v/>
      </c>
      <c r="T11" s="70" t="str">
        <f aca="false">IF($S11="","",0)</f>
        <v/>
      </c>
      <c r="U11" s="70" t="str">
        <f aca="false">IF($S11="","",0)</f>
        <v/>
      </c>
      <c r="V11" s="66" t="str">
        <f aca="false">IF($B11="","",IF($B11="01水果",IFERROR(INDEX(对接源_01水果!$H$5:$H$507,MATCH(ROW()-3,对接源_01水果!$Q$5:$Q$507,0)),""),IFERROR(INDEX(对接源_02物料!$H$5:$H$460,MATCH(ROW()-3-N(对接源_01水果!$T$1),对接源_02物料!$Q$5:$Q$460,0)),"")))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" customFormat="false" ht="18" hidden="false" customHeight="true" outlineLevel="0" collapsed="false">
      <c r="A12" s="66" t="n">
        <v>9</v>
      </c>
      <c r="B12" s="67" t="str">
        <f aca="false">IF(ROW()-3&lt;=N(对接源_01水果!$T$1),"01水果",IF(ROW()-3&lt;=N(对接源_01水果!$T$1)+N(对接源_02物料!$T$1),"02物料",""))</f>
        <v>01水果</v>
      </c>
      <c r="C12" s="68" t="str">
        <f aca="false">IF($B12="","",IF($B12="01水果",IFERROR(INDEX(对接源_01水果!$B$5:$B$507,MATCH(ROW()-3,对接源_01水果!$Q$5:$Q$507,0)),""),IFERROR(INDEX(对接源_02物料!$B$5:$B$460,MATCH(ROW()-3-N(对接源_01水果!$T$1),对接源_02物料!$Q$5:$Q$460,0)),"")))</f>
        <v>麦麦提</v>
      </c>
      <c r="D12" s="67" t="str">
        <f aca="false">IF($B12="","",IF($B12="01水果",IFERROR(INDEX(对接源_01水果!$C$5:$C$507,MATCH(ROW()-3,对接源_01水果!$Q$5:$Q$507,0)),""),IFERROR(INDEX(对接源_02物料!$C$5:$C$460,MATCH(ROW()-3-N(对接源_01水果!$T$1),对接源_02物料!$Q$5:$Q$460,0)),"")))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2" s="69" t="str">
        <f aca="false">IF($B12="","",IF($B12="01水果",IFERROR(INDEX(对接源_01水果!$D$5:$D$507,MATCH(ROW()-3,对接源_01水果!$Q$5:$Q$507,0)),""),IFERROR(INDEX(对接源_02物料!$D$5:$D$460,MATCH(ROW()-3-N(对接源_01水果!$T$1),对接源_02物料!$Q$5:$Q$460,0)),"")))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" s="67" t="n">
        <f aca="false">IF($B12="","",IF($B12="01水果",IFERROR(INDEX(对接源_01水果!$E$5:$E$507,MATCH(ROW()-3,对接源_01水果!$Q$5:$Q$507,0)),""),IFERROR(INDEX(对接源_02物料!$E$5:$E$460,MATCH(ROW()-3-N(对接源_01水果!$T$1),对接源_02物料!$Q$5:$Q$460,0)),"")))</f>
        <v>60</v>
      </c>
      <c r="G12" s="70" t="n">
        <f aca="false">IF($B12="","",IF($B12="01水果",IFERROR(INDEX(对接源_01水果!$F$5:$F$507,MATCH(ROW()-3,对接源_01水果!$Q$5:$Q$507,0)),""),IFERROR(INDEX(对接源_02物料!$F$5:$F$460,MATCH(ROW()-3-N(对接源_01水果!$T$1),对接源_02物料!$Q$5:$Q$460,0)),"")))</f>
        <v>-60</v>
      </c>
      <c r="H12" s="70" t="str">
        <f aca="false">IF($B12="","",IF($B12="01水果",IFERROR(INDEX(对接源_01水果!$G$5:$G$507,MATCH(ROW()-3,对接源_01水果!$Q$5:$Q$507,0)),""),IFERROR(INDEX(对接源_02物料!$G$5:$G$460,MATCH(ROW()-3-N(对接源_01水果!$T$1),对接源_02物料!$Q$5:$Q$460,0)),"")))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" s="67" t="str">
        <f aca="false">IF(OR($D12="客户应收",$D12="成品销售款",$D12="公司购买果品款",$D12="筐子销售款",$D12="物料销售款"),"客户往来",IFERROR(INDEX(收入成本映射!$C$4:$C$34,MATCH($D12,收入成本映射!$B$4:$B$34,0)),"不记账"))</f>
        <v>客户往来</v>
      </c>
      <c r="J12" s="67" t="str">
        <f aca="false">IF($B12="","","0%")</f>
        <v>0%</v>
      </c>
      <c r="K12" s="70" t="n">
        <f aca="false">IF($I12="不记账",0,ROUND(N($G12),2))</f>
        <v>-60</v>
      </c>
      <c r="L12" s="70" t="n">
        <v>0</v>
      </c>
      <c r="M12" s="67" t="str">
        <f aca="false">IF(OR($I12="不记账",ROUND(N($G12),2)=0),"",IFERROR(INDEX(收入成本映射!$E$4:$E$34,MATCH($D12,收入成本映射!$B$4:$B$34,0)),""))</f>
        <v/>
      </c>
      <c r="N12" s="70" t="str">
        <f aca="false">IF($M12="","",ROUND(N($G12),2))</f>
        <v/>
      </c>
      <c r="O12" s="70" t="str">
        <f aca="false">IF($M12="","",0)</f>
        <v/>
      </c>
      <c r="P12" s="67" t="str">
        <f aca="false">IF($M12="","",IFERROR(INDEX(收入成本映射!$F$4:$F$34,MATCH($D12,收入成本映射!$B$4:$B$34,0)),""))</f>
        <v/>
      </c>
      <c r="Q12" s="70" t="str">
        <f aca="false">IF($P12="","",0)</f>
        <v/>
      </c>
      <c r="R12" s="70" t="str">
        <f aca="false">IF($P12="","",ROUND(N($G12),2))</f>
        <v/>
      </c>
      <c r="S12" s="67" t="str">
        <f aca="false">""</f>
        <v/>
      </c>
      <c r="T12" s="70" t="str">
        <f aca="false">IF($S12="","",0)</f>
        <v/>
      </c>
      <c r="U12" s="70" t="str">
        <f aca="false">IF($S12="","",0)</f>
        <v/>
      </c>
      <c r="V12" s="66" t="str">
        <f aca="false">IF($B12="","",IF($B12="01水果",IFERROR(INDEX(对接源_01水果!$H$5:$H$507,MATCH(ROW()-3,对接源_01水果!$Q$5:$Q$507,0)),""),IFERROR(INDEX(对接源_02物料!$H$5:$H$460,MATCH(ROW()-3-N(对接源_01水果!$T$1),对接源_02物料!$Q$5:$Q$460,0)),"")))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" customFormat="false" ht="18" hidden="false" customHeight="true" outlineLevel="0" collapsed="false">
      <c r="A13" s="66" t="n">
        <v>10</v>
      </c>
      <c r="B13" s="67" t="str">
        <f aca="false">IF(ROW()-3&lt;=N(对接源_01水果!$T$1),"01水果",IF(ROW()-3&lt;=N(对接源_01水果!$T$1)+N(对接源_02物料!$T$1),"02物料",""))</f>
        <v>01水果</v>
      </c>
      <c r="C13" s="68" t="str">
        <f aca="false">IF($B13="","",IF($B13="01水果",IFERROR(INDEX(对接源_01水果!$B$5:$B$507,MATCH(ROW()-3,对接源_01水果!$Q$5:$Q$507,0)),""),IFERROR(INDEX(对接源_02物料!$B$5:$B$460,MATCH(ROW()-3-N(对接源_01水果!$T$1),对接源_02物料!$Q$5:$Q$460,0)),"")))</f>
        <v>热合曼</v>
      </c>
      <c r="D13" s="67" t="str">
        <f aca="false">IF($B13="","",IF($B13="01水果",IFERROR(INDEX(对接源_01水果!$C$5:$C$507,MATCH(ROW()-3,对接源_01水果!$Q$5:$Q$507,0)),""),IFERROR(INDEX(对接源_02物料!$C$5:$C$460,MATCH(ROW()-3-N(对接源_01水果!$T$1),对接源_02物料!$Q$5:$Q$460,0)),"")))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3" s="69" t="str">
        <f aca="false">IF($B13="","",IF($B13="01水果",IFERROR(INDEX(对接源_01水果!$D$5:$D$507,MATCH(ROW()-3,对接源_01水果!$Q$5:$Q$507,0)),""),IFERROR(INDEX(对接源_02物料!$D$5:$D$460,MATCH(ROW()-3-N(对接源_01水果!$T$1),对接源_02物料!$Q$5:$Q$460,0)),"")))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" s="67" t="n">
        <f aca="false">IF($B13="","",IF($B13="01水果",IFERROR(INDEX(对接源_01水果!$E$5:$E$507,MATCH(ROW()-3,对接源_01水果!$Q$5:$Q$507,0)),""),IFERROR(INDEX(对接源_02物料!$E$5:$E$460,MATCH(ROW()-3-N(对接源_01水果!$T$1),对接源_02物料!$Q$5:$Q$460,0)),"")))</f>
        <v>90</v>
      </c>
      <c r="G13" s="70" t="n">
        <f aca="false">IF($B13="","",IF($B13="01水果",IFERROR(INDEX(对接源_01水果!$F$5:$F$507,MATCH(ROW()-3,对接源_01水果!$Q$5:$Q$507,0)),""),IFERROR(INDEX(对接源_02物料!$F$5:$F$460,MATCH(ROW()-3-N(对接源_01水果!$T$1),对接源_02物料!$Q$5:$Q$460,0)),"")))</f>
        <v>-90</v>
      </c>
      <c r="H13" s="70" t="n">
        <f aca="false">IF($B13="","",IF($B13="01水果",IFERROR(INDEX(对接源_01水果!$G$5:$G$507,MATCH(ROW()-3,对接源_01水果!$Q$5:$Q$507,0)),""),IFERROR(INDEX(对接源_02物料!$G$5:$G$460,MATCH(ROW()-3-N(对接源_01水果!$T$1),对接源_02物料!$Q$5:$Q$460,0)),"")))</f>
        <v>90</v>
      </c>
      <c r="I13" s="67" t="str">
        <f aca="false">IF(OR($D13="客户应收",$D13="成品销售款",$D13="公司购买果品款",$D13="筐子销售款",$D13="物料销售款"),"客户往来",IFERROR(INDEX(收入成本映射!$C$4:$C$34,MATCH($D13,收入成本映射!$B$4:$B$34,0)),"不记账"))</f>
        <v>客户往来</v>
      </c>
      <c r="J13" s="67" t="str">
        <f aca="false">IF($B13="","","0%")</f>
        <v>0%</v>
      </c>
      <c r="K13" s="70" t="n">
        <f aca="false">IF($I13="不记账",0,ROUND(N($G13),2))</f>
        <v>-90</v>
      </c>
      <c r="L13" s="70" t="n">
        <v>0</v>
      </c>
      <c r="M13" s="67" t="str">
        <f aca="false">IF(OR($I13="不记账",ROUND(N($G13),2)=0),"",IFERROR(INDEX(收入成本映射!$E$4:$E$34,MATCH($D13,收入成本映射!$B$4:$B$34,0)),""))</f>
        <v/>
      </c>
      <c r="N13" s="70" t="str">
        <f aca="false">IF($M13="","",ROUND(N($G13),2))</f>
        <v/>
      </c>
      <c r="O13" s="70" t="str">
        <f aca="false">IF($M13="","",0)</f>
        <v/>
      </c>
      <c r="P13" s="67" t="str">
        <f aca="false">IF($M13="","",IFERROR(INDEX(收入成本映射!$F$4:$F$34,MATCH($D13,收入成本映射!$B$4:$B$34,0)),""))</f>
        <v/>
      </c>
      <c r="Q13" s="70" t="str">
        <f aca="false">IF($P13="","",0)</f>
        <v/>
      </c>
      <c r="R13" s="70" t="str">
        <f aca="false">IF($P13="","",ROUND(N($G13),2))</f>
        <v/>
      </c>
      <c r="S13" s="67" t="str">
        <f aca="false">""</f>
        <v/>
      </c>
      <c r="T13" s="70" t="str">
        <f aca="false">IF($S13="","",0)</f>
        <v/>
      </c>
      <c r="U13" s="70" t="str">
        <f aca="false">IF($S13="","",0)</f>
        <v/>
      </c>
      <c r="V13" s="66" t="str">
        <f aca="false">IF($B13="","",IF($B13="01水果",IFERROR(INDEX(对接源_01水果!$H$5:$H$507,MATCH(ROW()-3,对接源_01水果!$Q$5:$Q$507,0)),""),IFERROR(INDEX(对接源_02物料!$H$5:$H$460,MATCH(ROW()-3-N(对接源_01水果!$T$1),对接源_02物料!$Q$5:$Q$460,0)),"")))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" customFormat="false" ht="18" hidden="false" customHeight="true" outlineLevel="0" collapsed="false">
      <c r="A14" s="66" t="n">
        <v>11</v>
      </c>
      <c r="B14" s="67" t="str">
        <f aca="false">IF(ROW()-3&lt;=N(对接源_01水果!$T$1),"01水果",IF(ROW()-3&lt;=N(对接源_01水果!$T$1)+N(对接源_02物料!$T$1),"02物料",""))</f>
        <v>01水果</v>
      </c>
      <c r="C14" s="68" t="str">
        <f aca="false">IF($B14="","",IF($B14="01水果",IFERROR(INDEX(对接源_01水果!$B$5:$B$507,MATCH(ROW()-3,对接源_01水果!$Q$5:$Q$507,0)),""),IFERROR(INDEX(对接源_02物料!$B$5:$B$460,MATCH(ROW()-3-N(对接源_01水果!$T$1),对接源_02物料!$Q$5:$Q$460,0)),"")))</f>
        <v>王灵云</v>
      </c>
      <c r="D14" s="67" t="str">
        <f aca="false">IF($B14="","",IF($B14="01水果",IFERROR(INDEX(对接源_01水果!$C$5:$C$507,MATCH(ROW()-3,对接源_01水果!$Q$5:$Q$507,0)),""),IFERROR(INDEX(对接源_02物料!$C$5:$C$460,MATCH(ROW()-3-N(对接源_01水果!$T$1),对接源_02物料!$Q$5:$Q$460,0)),"")))</f>
        <v>公司购买果品款</v>
      </c>
      <c r="E14" s="69" t="str">
        <f aca="false">IF($B14="","",IF($B14="01水果",IFERROR(INDEX(对接源_01水果!$D$5:$D$507,MATCH(ROW()-3,对接源_01水果!$Q$5:$Q$507,0)),""),IFERROR(INDEX(对接源_02物料!$D$5:$D$460,MATCH(ROW()-3-N(对接源_01水果!$T$1),对接源_02物料!$Q$5:$Q$460,0)),"")))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" s="67" t="n">
        <f aca="false">IF($B14="","",IF($B14="01水果",IFERROR(INDEX(对接源_01水果!$E$5:$E$507,MATCH(ROW()-3,对接源_01水果!$Q$5:$Q$507,0)),""),IFERROR(INDEX(对接源_02物料!$E$5:$E$460,MATCH(ROW()-3-N(对接源_01水果!$T$1),对接源_02物料!$Q$5:$Q$460,0)),"")))</f>
        <v>132</v>
      </c>
      <c r="G14" s="70" t="n">
        <f aca="false">IF($B14="","",IF($B14="01水果",IFERROR(INDEX(对接源_01水果!$F$5:$F$507,MATCH(ROW()-3,对接源_01水果!$Q$5:$Q$507,0)),""),IFERROR(INDEX(对接源_02物料!$F$5:$F$460,MATCH(ROW()-3-N(对接源_01水果!$T$1),对接源_02物料!$Q$5:$Q$460,0)),"")))</f>
        <v>-132</v>
      </c>
      <c r="H14" s="70" t="str">
        <f aca="false">IF($B14="","",IF($B14="01水果",IFERROR(INDEX(对接源_01水果!$G$5:$G$507,MATCH(ROW()-3,对接源_01水果!$Q$5:$Q$507,0)),""),IFERROR(INDEX(对接源_02物料!$G$5:$G$460,MATCH(ROW()-3-N(对接源_01水果!$T$1),对接源_02物料!$Q$5:$Q$460,0)),"")))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" s="67" t="str">
        <f aca="false">IF(OR($D14="客户应收",$D14="成品销售款",$D14="公司购买果品款",$D14="筐子销售款",$D14="物料销售款"),"客户往来",IFERROR(INDEX(收入成本映射!$C$4:$C$34,MATCH($D14,收入成本映射!$B$4:$B$34,0)),"不记账"))</f>
        <v>客户往来</v>
      </c>
      <c r="J14" s="67" t="str">
        <f aca="false">IF($B14="","","0%")</f>
        <v>0%</v>
      </c>
      <c r="K14" s="70" t="n">
        <f aca="false">IF($I14="不记账",0,ROUND(N($G14),2))</f>
        <v>-132</v>
      </c>
      <c r="L14" s="70" t="n">
        <v>0</v>
      </c>
      <c r="M14" s="67" t="str">
        <f aca="false">IF(OR($I14="不记账",ROUND(N($G14),2)=0),"",IFERROR(INDEX(收入成本映射!$E$4:$E$34,MATCH($D14,收入成本映射!$B$4:$B$34,0)),""))</f>
        <v/>
      </c>
      <c r="N14" s="70" t="str">
        <f aca="false">IF($M14="","",ROUND(N($G14),2))</f>
        <v/>
      </c>
      <c r="O14" s="70" t="str">
        <f aca="false">IF($M14="","",0)</f>
        <v/>
      </c>
      <c r="P14" s="67" t="str">
        <f aca="false">IF($M14="","",IFERROR(INDEX(收入成本映射!$F$4:$F$34,MATCH($D14,收入成本映射!$B$4:$B$34,0)),""))</f>
        <v/>
      </c>
      <c r="Q14" s="70" t="str">
        <f aca="false">IF($P14="","",0)</f>
        <v/>
      </c>
      <c r="R14" s="70" t="str">
        <f aca="false">IF($P14="","",ROUND(N($G14),2))</f>
        <v/>
      </c>
      <c r="S14" s="67" t="str">
        <f aca="false">""</f>
        <v/>
      </c>
      <c r="T14" s="70" t="str">
        <f aca="false">IF($S14="","",0)</f>
        <v/>
      </c>
      <c r="U14" s="70" t="str">
        <f aca="false">IF($S14="","",0)</f>
        <v/>
      </c>
      <c r="V14" s="66" t="str">
        <f aca="false">IF($B14="","",IF($B14="01水果",IFERROR(INDEX(对接源_01水果!$H$5:$H$507,MATCH(ROW()-3,对接源_01水果!$Q$5:$Q$507,0)),""),IFERROR(INDEX(对接源_02物料!$H$5:$H$460,MATCH(ROW()-3-N(对接源_01水果!$T$1),对接源_02物料!$Q$5:$Q$460,0)),"")))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" customFormat="false" ht="18" hidden="false" customHeight="true" outlineLevel="0" collapsed="false">
      <c r="A15" s="66" t="n">
        <v>12</v>
      </c>
      <c r="B15" s="67" t="str">
        <f aca="false">IF(ROW()-3&lt;=N(对接源_01水果!$T$1),"01水果",IF(ROW()-3&lt;=N(对接源_01水果!$T$1)+N(对接源_02物料!$T$1),"02物料",""))</f>
        <v>02物料</v>
      </c>
      <c r="C15" s="68" t="str">
        <f aca="false">IF($B15="","",IF($B15="01水果",IFERROR(INDEX(对接源_01水果!$B$5:$B$507,MATCH(ROW()-3,对接源_01水果!$Q$5:$Q$507,0)),""),IFERROR(INDEX(对接源_02物料!$B$5:$B$460,MATCH(ROW()-3-N(对接源_01水果!$T$1),对接源_02物料!$Q$5:$Q$460,0)),"")))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" s="67" t="str">
        <f aca="false">IF($B15="","",IF($B15="01水果",IFERROR(INDEX(对接源_01水果!$C$5:$C$507,MATCH(ROW()-3,对接源_01水果!$Q$5:$Q$507,0)),""),IFERROR(INDEX(对接源_02物料!$C$5:$C$460,MATCH(ROW()-3-N(对接源_01水果!$T$1),对接源_02物料!$Q$5:$Q$460,0)),"")))</f>
        <v>包装物料期末库存</v>
      </c>
      <c r="E15" s="69" t="n">
        <f aca="false">IF($B15="","",IF($B15="01水果",IFERROR(INDEX(对接源_01水果!$D$5:$D$507,MATCH(ROW()-3,对接源_01水果!$Q$5:$Q$507,0)),""),IFERROR(INDEX(对接源_02物料!$D$5:$D$460,MATCH(ROW()-3-N(对接源_01水果!$T$1),对接源_02物料!$Q$5:$Q$460,0)),"")))</f>
        <v>23497</v>
      </c>
      <c r="F15" s="67" t="str">
        <f aca="false">IF($B15="","",IF($B15="01水果",IFERROR(INDEX(对接源_01水果!$E$5:$E$507,MATCH(ROW()-3,对接源_01水果!$Q$5:$Q$507,0)),""),IFERROR(INDEX(对接源_02物料!$E$5:$E$460,MATCH(ROW()-3-N(对接源_01水果!$T$1),对接源_02物料!$Q$5:$Q$460,0)),"")))</f>
        <v>包</v>
      </c>
      <c r="G15" s="70" t="str">
        <f aca="false">IF($B15="","",IF($B15="01水果",IFERROR(INDEX(对接源_01水果!$F$5:$F$507,MATCH(ROW()-3,对接源_01水果!$Q$5:$Q$507,0)),""),IFERROR(INDEX(对接源_02物料!$F$5:$F$460,MATCH(ROW()-3-N(对接源_01水果!$T$1),对接源_02物料!$Q$5:$Q$460,0)),"")))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" s="70" t="str">
        <f aca="false">IF($B15="","",IF($B15="01水果",IFERROR(INDEX(对接源_01水果!$G$5:$G$507,MATCH(ROW()-3,对接源_01水果!$Q$5:$Q$507,0)),""),IFERROR(INDEX(对接源_02物料!$G$5:$G$460,MATCH(ROW()-3-N(对接源_01水果!$T$1),对接源_02物料!$Q$5:$Q$460,0)),"")))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" s="67" t="str">
        <f aca="false">IF(OR($D15="客户应收",$D15="成品销售款",$D15="公司购买果品款",$D15="筐子销售款",$D15="物料销售款"),"客户往来",IFERROR(INDEX(收入成本映射!$C$4:$C$34,MATCH($D15,收入成本映射!$B$4:$B$34,0)),"不记账"))</f>
        <v>不记账</v>
      </c>
      <c r="J15" s="67" t="str">
        <f aca="false">IF($B15="","","0%")</f>
        <v>0%</v>
      </c>
      <c r="K15" s="70" t="n">
        <f aca="false">IF($I15="不记账",0,ROUND(N($G15),2))</f>
        <v>0</v>
      </c>
      <c r="L15" s="70" t="n">
        <v>0</v>
      </c>
      <c r="M15" s="67" t="str">
        <f aca="false">IF(OR($I15="不记账",ROUND(N($G15),2)=0),"",IFERROR(INDEX(收入成本映射!$E$4:$E$34,MATCH($D15,收入成本映射!$B$4:$B$34,0)),""))</f>
        <v/>
      </c>
      <c r="N15" s="70" t="str">
        <f aca="false">IF($M15="","",ROUND(N($G15),2))</f>
        <v/>
      </c>
      <c r="O15" s="70" t="str">
        <f aca="false">IF($M15="","",0)</f>
        <v/>
      </c>
      <c r="P15" s="67" t="str">
        <f aca="false">IF($M15="","",IFERROR(INDEX(收入成本映射!$F$4:$F$34,MATCH($D15,收入成本映射!$B$4:$B$34,0)),""))</f>
        <v/>
      </c>
      <c r="Q15" s="70" t="str">
        <f aca="false">IF($P15="","",0)</f>
        <v/>
      </c>
      <c r="R15" s="70" t="str">
        <f aca="false">IF($P15="","",ROUND(N($G15),2))</f>
        <v/>
      </c>
      <c r="S15" s="67" t="str">
        <f aca="false">""</f>
        <v/>
      </c>
      <c r="T15" s="70" t="str">
        <f aca="false">IF($S15="","",0)</f>
        <v/>
      </c>
      <c r="U15" s="70" t="str">
        <f aca="false">IF($S15="","",0)</f>
        <v/>
      </c>
      <c r="V15" s="66" t="str">
        <f aca="false">IF($B15="","",IF($B15="01水果",IFERROR(INDEX(对接源_01水果!$H$5:$H$507,MATCH(ROW()-3,对接源_01水果!$Q$5:$Q$507,0)),""),IFERROR(INDEX(对接源_02物料!$H$5:$H$460,MATCH(ROW()-3-N(对接源_01水果!$T$1),对接源_02物料!$Q$5:$Q$460,0)),"")))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" customFormat="false" ht="18" hidden="false" customHeight="true" outlineLevel="0" collapsed="false">
      <c r="A16" s="66" t="n">
        <v>13</v>
      </c>
      <c r="B16" s="67" t="str">
        <f aca="false">IF(ROW()-3&lt;=N(对接源_01水果!$T$1),"01水果",IF(ROW()-3&lt;=N(对接源_01水果!$T$1)+N(对接源_02物料!$T$1),"02物料",""))</f>
        <v>02物料</v>
      </c>
      <c r="C16" s="68" t="str">
        <f aca="false">IF($B16="","",IF($B16="01水果",IFERROR(INDEX(对接源_01水果!$B$5:$B$507,MATCH(ROW()-3,对接源_01水果!$Q$5:$Q$507,0)),""),IFERROR(INDEX(对接源_02物料!$B$5:$B$460,MATCH(ROW()-3-N(对接源_01水果!$T$1),对接源_02物料!$Q$5:$Q$460,0)),"")))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" s="67" t="str">
        <f aca="false">IF($B16="","",IF($B16="01水果",IFERROR(INDEX(对接源_01水果!$C$5:$C$507,MATCH(ROW()-3,对接源_01水果!$Q$5:$Q$507,0)),""),IFERROR(INDEX(对接源_02物料!$C$5:$C$460,MATCH(ROW()-3-N(对接源_01水果!$T$1),对接源_02物料!$Q$5:$Q$460,0)),"")))</f>
        <v>公司筐子期末总量</v>
      </c>
      <c r="E16" s="69" t="n">
        <f aca="false">IF($B16="","",IF($B16="01水果",IFERROR(INDEX(对接源_01水果!$D$5:$D$507,MATCH(ROW()-3,对接源_01水果!$Q$5:$Q$507,0)),""),IFERROR(INDEX(对接源_02物料!$D$5:$D$460,MATCH(ROW()-3-N(对接源_01水果!$T$1),对接源_02物料!$Q$5:$Q$460,0)),"")))</f>
        <v>180630</v>
      </c>
      <c r="F16" s="67" t="str">
        <f aca="false">IF($B16="","",IF($B16="01水果",IFERROR(INDEX(对接源_01水果!$E$5:$E$507,MATCH(ROW()-3,对接源_01水果!$Q$5:$Q$507,0)),""),IFERROR(INDEX(对接源_02物料!$E$5:$E$460,MATCH(ROW()-3-N(对接源_01水果!$T$1),对接源_02物料!$Q$5:$Q$460,0)),"")))</f>
        <v>个</v>
      </c>
      <c r="G16" s="70" t="str">
        <f aca="false">IF($B16="","",IF($B16="01水果",IFERROR(INDEX(对接源_01水果!$F$5:$F$507,MATCH(ROW()-3,对接源_01水果!$Q$5:$Q$507,0)),""),IFERROR(INDEX(对接源_02物料!$F$5:$F$460,MATCH(ROW()-3-N(对接源_01水果!$T$1),对接源_02物料!$Q$5:$Q$460,0)),"")))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" s="70" t="str">
        <f aca="false">IF($B16="","",IF($B16="01水果",IFERROR(INDEX(对接源_01水果!$G$5:$G$507,MATCH(ROW()-3,对接源_01水果!$Q$5:$Q$507,0)),""),IFERROR(INDEX(对接源_02物料!$G$5:$G$460,MATCH(ROW()-3-N(对接源_01水果!$T$1),对接源_02物料!$Q$5:$Q$460,0)),"")))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" s="67" t="str">
        <f aca="false">IF(OR($D16="客户应收",$D16="成品销售款",$D16="公司购买果品款",$D16="筐子销售款",$D16="物料销售款"),"客户往来",IFERROR(INDEX(收入成本映射!$C$4:$C$34,MATCH($D16,收入成本映射!$B$4:$B$34,0)),"不记账"))</f>
        <v>不记账</v>
      </c>
      <c r="J16" s="67" t="str">
        <f aca="false">IF($B16="","","0%")</f>
        <v>0%</v>
      </c>
      <c r="K16" s="70" t="n">
        <f aca="false">IF($I16="不记账",0,ROUND(N($G16),2))</f>
        <v>0</v>
      </c>
      <c r="L16" s="70" t="n">
        <v>0</v>
      </c>
      <c r="M16" s="67" t="str">
        <f aca="false">IF(OR($I16="不记账",ROUND(N($G16),2)=0),"",IFERROR(INDEX(收入成本映射!$E$4:$E$34,MATCH($D16,收入成本映射!$B$4:$B$34,0)),""))</f>
        <v/>
      </c>
      <c r="N16" s="70" t="str">
        <f aca="false">IF($M16="","",ROUND(N($G16),2))</f>
        <v/>
      </c>
      <c r="O16" s="70" t="str">
        <f aca="false">IF($M16="","",0)</f>
        <v/>
      </c>
      <c r="P16" s="67" t="str">
        <f aca="false">IF($M16="","",IFERROR(INDEX(收入成本映射!$F$4:$F$34,MATCH($D16,收入成本映射!$B$4:$B$34,0)),""))</f>
        <v/>
      </c>
      <c r="Q16" s="70" t="str">
        <f aca="false">IF($P16="","",0)</f>
        <v/>
      </c>
      <c r="R16" s="70" t="str">
        <f aca="false">IF($P16="","",ROUND(N($G16),2))</f>
        <v/>
      </c>
      <c r="S16" s="67" t="str">
        <f aca="false">""</f>
        <v/>
      </c>
      <c r="T16" s="70" t="str">
        <f aca="false">IF($S16="","",0)</f>
        <v/>
      </c>
      <c r="U16" s="70" t="str">
        <f aca="false">IF($S16="","",0)</f>
        <v/>
      </c>
      <c r="V16" s="66" t="str">
        <f aca="false">IF($B16="","",IF($B16="01水果",IFERROR(INDEX(对接源_01水果!$H$5:$H$507,MATCH(ROW()-3,对接源_01水果!$Q$5:$Q$507,0)),""),IFERROR(INDEX(对接源_02物料!$H$5:$H$460,MATCH(ROW()-3-N(对接源_01水果!$T$1),对接源_02物料!$Q$5:$Q$460,0)),"")))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" customFormat="false" ht="18" hidden="false" customHeight="true" outlineLevel="0" collapsed="false">
      <c r="A17" s="66" t="n">
        <v>14</v>
      </c>
      <c r="B17" s="67" t="str">
        <f aca="false">IF(ROW()-3&lt;=N(对接源_01水果!$T$1),"01水果",IF(ROW()-3&lt;=N(对接源_01水果!$T$1)+N(对接源_02物料!$T$1),"02物料",""))</f>
        <v>02物料</v>
      </c>
      <c r="C17" s="68" t="str">
        <f aca="false">IF($B17="","",IF($B17="01水果",IFERROR(INDEX(对接源_01水果!$B$5:$B$507,MATCH(ROW()-3,对接源_01水果!$Q$5:$Q$507,0)),""),IFERROR(INDEX(对接源_02物料!$B$5:$B$460,MATCH(ROW()-3-N(对接源_01水果!$T$1),对接源_02物料!$Q$5:$Q$460,0)),"")))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" s="67" t="str">
        <f aca="false">IF($B17="","",IF($B17="01水果",IFERROR(INDEX(对接源_01水果!$C$5:$C$507,MATCH(ROW()-3,对接源_01水果!$Q$5:$Q$507,0)),""),IFERROR(INDEX(对接源_02物料!$C$5:$C$460,MATCH(ROW()-3-N(对接源_01水果!$T$1),对接源_02物料!$Q$5:$Q$460,0)),"")))</f>
        <v>客户自备筐结存（表外备查）</v>
      </c>
      <c r="E17" s="69" t="n">
        <f aca="false">IF($B17="","",IF($B17="01水果",IFERROR(INDEX(对接源_01水果!$D$5:$D$507,MATCH(ROW()-3,对接源_01水果!$Q$5:$Q$507,0)),""),IFERROR(INDEX(对接源_02物料!$D$5:$D$460,MATCH(ROW()-3-N(对接源_01水果!$T$1),对接源_02物料!$Q$5:$Q$460,0)),"")))</f>
        <v>4093</v>
      </c>
      <c r="F17" s="67" t="str">
        <f aca="false">IF($B17="","",IF($B17="01水果",IFERROR(INDEX(对接源_01水果!$E$5:$E$507,MATCH(ROW()-3,对接源_01水果!$Q$5:$Q$507,0)),""),IFERROR(INDEX(对接源_02物料!$E$5:$E$460,MATCH(ROW()-3-N(对接源_01水果!$T$1),对接源_02物料!$Q$5:$Q$460,0)),"")))</f>
        <v>个</v>
      </c>
      <c r="G17" s="70" t="str">
        <f aca="false">IF($B17="","",IF($B17="01水果",IFERROR(INDEX(对接源_01水果!$F$5:$F$507,MATCH(ROW()-3,对接源_01水果!$Q$5:$Q$507,0)),""),IFERROR(INDEX(对接源_02物料!$F$5:$F$460,MATCH(ROW()-3-N(对接源_01水果!$T$1),对接源_02物料!$Q$5:$Q$460,0)),"")))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" s="70" t="str">
        <f aca="false">IF($B17="","",IF($B17="01水果",IFERROR(INDEX(对接源_01水果!$G$5:$G$507,MATCH(ROW()-3,对接源_01水果!$Q$5:$Q$507,0)),""),IFERROR(INDEX(对接源_02物料!$G$5:$G$460,MATCH(ROW()-3-N(对接源_01水果!$T$1),对接源_02物料!$Q$5:$Q$460,0)),"")))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" s="67" t="str">
        <f aca="false">IF(OR($D17="客户应收",$D17="成品销售款",$D17="公司购买果品款",$D17="筐子销售款",$D17="物料销售款"),"客户往来",IFERROR(INDEX(收入成本映射!$C$4:$C$34,MATCH($D17,收入成本映射!$B$4:$B$34,0)),"不记账"))</f>
        <v>不记账</v>
      </c>
      <c r="J17" s="67" t="str">
        <f aca="false">IF($B17="","","0%")</f>
        <v>0%</v>
      </c>
      <c r="K17" s="70" t="n">
        <f aca="false">IF($I17="不记账",0,ROUND(N($G17),2))</f>
        <v>0</v>
      </c>
      <c r="L17" s="70" t="n">
        <v>0</v>
      </c>
      <c r="M17" s="67" t="str">
        <f aca="false">IF(OR($I17="不记账",ROUND(N($G17),2)=0),"",IFERROR(INDEX(收入成本映射!$E$4:$E$34,MATCH($D17,收入成本映射!$B$4:$B$34,0)),""))</f>
        <v/>
      </c>
      <c r="N17" s="70" t="str">
        <f aca="false">IF($M17="","",ROUND(N($G17),2))</f>
        <v/>
      </c>
      <c r="O17" s="70" t="str">
        <f aca="false">IF($M17="","",0)</f>
        <v/>
      </c>
      <c r="P17" s="67" t="str">
        <f aca="false">IF($M17="","",IFERROR(INDEX(收入成本映射!$F$4:$F$34,MATCH($D17,收入成本映射!$B$4:$B$34,0)),""))</f>
        <v/>
      </c>
      <c r="Q17" s="70" t="str">
        <f aca="false">IF($P17="","",0)</f>
        <v/>
      </c>
      <c r="R17" s="70" t="str">
        <f aca="false">IF($P17="","",ROUND(N($G17),2))</f>
        <v/>
      </c>
      <c r="S17" s="67" t="str">
        <f aca="false">""</f>
        <v/>
      </c>
      <c r="T17" s="70" t="str">
        <f aca="false">IF($S17="","",0)</f>
        <v/>
      </c>
      <c r="U17" s="70" t="str">
        <f aca="false">IF($S17="","",0)</f>
        <v/>
      </c>
      <c r="V17" s="66" t="str">
        <f aca="false">IF($B17="","",IF($B17="01水果",IFERROR(INDEX(对接源_01水果!$H$5:$H$507,MATCH(ROW()-3,对接源_01水果!$Q$5:$Q$507,0)),""),IFERROR(INDEX(对接源_02物料!$H$5:$H$460,MATCH(ROW()-3-N(对接源_01水果!$T$1),对接源_02物料!$Q$5:$Q$460,0)),"")))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" customFormat="false" ht="18" hidden="false" customHeight="true" outlineLevel="0" collapsed="false">
      <c r="A18" s="66" t="n">
        <v>15</v>
      </c>
      <c r="B18" s="67" t="str">
        <f aca="false">IF(ROW()-3&lt;=N(对接源_01水果!$T$1),"01水果",IF(ROW()-3&lt;=N(对接源_01水果!$T$1)+N(对接源_02物料!$T$1),"02物料",""))</f>
        <v>02物料</v>
      </c>
      <c r="C18" s="68" t="str">
        <f aca="false">IF($B18="","",IF($B18="01水果",IFERROR(INDEX(对接源_01水果!$B$5:$B$507,MATCH(ROW()-3,对接源_01水果!$Q$5:$Q$507,0)),""),IFERROR(INDEX(对接源_02物料!$B$5:$B$460,MATCH(ROW()-3-N(对接源_01水果!$T$1),对接源_02物料!$Q$5:$Q$460,0)),"")))</f>
        <v>全修塑业</v>
      </c>
      <c r="D18" s="67" t="str">
        <f aca="false">IF($B18="","",IF($B18="01水果",IFERROR(INDEX(对接源_01水果!$C$5:$C$507,MATCH(ROW()-3,对接源_01水果!$Q$5:$Q$507,0)),""),IFERROR(INDEX(对接源_02物料!$C$5:$C$460,MATCH(ROW()-3-N(对接源_01水果!$T$1),对接源_02物料!$Q$5:$Q$460,0)),"")))</f>
        <v>筐子销售款</v>
      </c>
      <c r="E18" s="69" t="str">
        <f aca="false">IF($B18="","",IF($B18="01水果",IFERROR(INDEX(对接源_01水果!$D$5:$D$507,MATCH(ROW()-3,对接源_01水果!$Q$5:$Q$507,0)),""),IFERROR(INDEX(对接源_02物料!$D$5:$D$460,MATCH(ROW()-3-N(对接源_01水果!$T$1),对接源_02物料!$Q$5:$Q$460,0)),"")))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" s="67" t="n">
        <f aca="false">IF($B18="","",IF($B18="01水果",IFERROR(INDEX(对接源_01水果!$E$5:$E$507,MATCH(ROW()-3,对接源_01水果!$Q$5:$Q$507,0)),""),IFERROR(INDEX(对接源_02物料!$E$5:$E$460,MATCH(ROW()-3-N(对接源_01水果!$T$1),对接源_02物料!$Q$5:$Q$460,0)),"")))</f>
        <v>281760</v>
      </c>
      <c r="G18" s="70" t="str">
        <f aca="false">IF($B18="","",IF($B18="01水果",IFERROR(INDEX(对接源_01水果!$F$5:$F$507,MATCH(ROW()-3,对接源_01水果!$Q$5:$Q$507,0)),""),IFERROR(INDEX(对接源_02物料!$F$5:$F$460,MATCH(ROW()-3-N(对接源_01水果!$T$1),对接源_02物料!$Q$5:$Q$460,0)),"")))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" s="70" t="str">
        <f aca="false">IF($B18="","",IF($B18="01水果",IFERROR(INDEX(对接源_01水果!$G$5:$G$507,MATCH(ROW()-3,对接源_01水果!$Q$5:$Q$507,0)),""),IFERROR(INDEX(对接源_02物料!$G$5:$G$460,MATCH(ROW()-3-N(对接源_01水果!$T$1),对接源_02物料!$Q$5:$Q$460,0)),"")))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" s="67" t="str">
        <f aca="false">IF(OR($D18="客户应收",$D18="成品销售款",$D18="公司购买果品款",$D18="筐子销售款",$D18="物料销售款"),"客户往来",IFERROR(INDEX(收入成本映射!$C$4:$C$34,MATCH($D18,收入成本映射!$B$4:$B$34,0)),"不记账"))</f>
        <v>客户往来</v>
      </c>
      <c r="J18" s="67" t="str">
        <f aca="false">IF($B18="","","0%")</f>
        <v>0%</v>
      </c>
      <c r="K18" s="70" t="n">
        <f aca="false">IF($I18="不记账",0,ROUND(N($G18),2))</f>
        <v>0</v>
      </c>
      <c r="L18" s="70" t="n">
        <v>0</v>
      </c>
      <c r="M18" s="67" t="str">
        <f aca="false">IF(OR($I18="不记账",ROUND(N($G18),2)=0),"",IFERROR(INDEX(收入成本映射!$E$4:$E$34,MATCH($D18,收入成本映射!$B$4:$B$34,0)),""))</f>
        <v/>
      </c>
      <c r="N18" s="70" t="str">
        <f aca="false">IF($M18="","",ROUND(N($G18),2))</f>
        <v/>
      </c>
      <c r="O18" s="70" t="str">
        <f aca="false">IF($M18="","",0)</f>
        <v/>
      </c>
      <c r="P18" s="67" t="str">
        <f aca="false">IF($M18="","",IFERROR(INDEX(收入成本映射!$F$4:$F$34,MATCH($D18,收入成本映射!$B$4:$B$34,0)),""))</f>
        <v/>
      </c>
      <c r="Q18" s="70" t="str">
        <f aca="false">IF($P18="","",0)</f>
        <v/>
      </c>
      <c r="R18" s="70" t="str">
        <f aca="false">IF($P18="","",ROUND(N($G18),2))</f>
        <v/>
      </c>
      <c r="S18" s="67" t="str">
        <f aca="false">""</f>
        <v/>
      </c>
      <c r="T18" s="70" t="str">
        <f aca="false">IF($S18="","",0)</f>
        <v/>
      </c>
      <c r="U18" s="70" t="str">
        <f aca="false">IF($S18="","",0)</f>
        <v/>
      </c>
      <c r="V18" s="66" t="str">
        <f aca="false">IF($B18="","",IF($B18="01水果",IFERROR(INDEX(对接源_01水果!$H$5:$H$507,MATCH(ROW()-3,对接源_01水果!$Q$5:$Q$507,0)),""),IFERROR(INDEX(对接源_02物料!$H$5:$H$460,MATCH(ROW()-3-N(对接源_01水果!$T$1),对接源_02物料!$Q$5:$Q$460,0)),"")))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" customFormat="false" ht="18" hidden="false" customHeight="true" outlineLevel="0" collapsed="false">
      <c r="A19" s="66" t="n">
        <v>16</v>
      </c>
      <c r="B19" s="67" t="str">
        <f aca="false">IF(ROW()-3&lt;=N(对接源_01水果!$T$1),"01水果",IF(ROW()-3&lt;=N(对接源_01水果!$T$1)+N(对接源_02物料!$T$1),"02物料",""))</f>
        <v>02物料</v>
      </c>
      <c r="C19" s="68" t="str">
        <f aca="false">IF($B19="","",IF($B19="01水果",IFERROR(INDEX(对接源_01水果!$B$5:$B$507,MATCH(ROW()-3,对接源_01水果!$Q$5:$Q$507,0)),""),IFERROR(INDEX(对接源_02物料!$B$5:$B$460,MATCH(ROW()-3-N(对接源_01水果!$T$1),对接源_02物料!$Q$5:$Q$460,0)),"")))</f>
        <v>新顺发泡网</v>
      </c>
      <c r="D19" s="67" t="str">
        <f aca="false">IF($B19="","",IF($B19="01水果",IFERROR(INDEX(对接源_01水果!$C$5:$C$507,MATCH(ROW()-3,对接源_01水果!$Q$5:$Q$507,0)),""),IFERROR(INDEX(对接源_02物料!$C$5:$C$460,MATCH(ROW()-3-N(对接源_01水果!$T$1),对接源_02物料!$Q$5:$Q$460,0)),"")))</f>
        <v>物料销售款</v>
      </c>
      <c r="E19" s="69" t="str">
        <f aca="false">IF($B19="","",IF($B19="01水果",IFERROR(INDEX(对接源_01水果!$D$5:$D$507,MATCH(ROW()-3,对接源_01水果!$Q$5:$Q$507,0)),""),IFERROR(INDEX(对接源_02物料!$D$5:$D$460,MATCH(ROW()-3-N(对接源_01水果!$T$1),对接源_02物料!$Q$5:$Q$460,0)),"")))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" s="67" t="n">
        <f aca="false">IF($B19="","",IF($B19="01水果",IFERROR(INDEX(对接源_01水果!$E$5:$E$507,MATCH(ROW()-3,对接源_01水果!$Q$5:$Q$507,0)),""),IFERROR(INDEX(对接源_02物料!$E$5:$E$460,MATCH(ROW()-3-N(对接源_01水果!$T$1),对接源_02物料!$Q$5:$Q$460,0)),"")))</f>
        <v>49728</v>
      </c>
      <c r="G19" s="70" t="str">
        <f aca="false">IF($B19="","",IF($B19="01水果",IFERROR(INDEX(对接源_01水果!$F$5:$F$507,MATCH(ROW()-3,对接源_01水果!$Q$5:$Q$507,0)),""),IFERROR(INDEX(对接源_02物料!$F$5:$F$460,MATCH(ROW()-3-N(对接源_01水果!$T$1),对接源_02物料!$Q$5:$Q$460,0)),"")))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" s="70" t="str">
        <f aca="false">IF($B19="","",IF($B19="01水果",IFERROR(INDEX(对接源_01水果!$G$5:$G$507,MATCH(ROW()-3,对接源_01水果!$Q$5:$Q$507,0)),""),IFERROR(INDEX(对接源_02物料!$G$5:$G$460,MATCH(ROW()-3-N(对接源_01水果!$T$1),对接源_02物料!$Q$5:$Q$460,0)),"")))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" s="67" t="str">
        <f aca="false">IF(OR($D19="客户应收",$D19="成品销售款",$D19="公司购买果品款",$D19="筐子销售款",$D19="物料销售款"),"客户往来",IFERROR(INDEX(收入成本映射!$C$4:$C$34,MATCH($D19,收入成本映射!$B$4:$B$34,0)),"不记账"))</f>
        <v>客户往来</v>
      </c>
      <c r="J19" s="67" t="str">
        <f aca="false">IF($B19="","","0%")</f>
        <v>0%</v>
      </c>
      <c r="K19" s="70" t="n">
        <f aca="false">IF($I19="不记账",0,ROUND(N($G19),2))</f>
        <v>0</v>
      </c>
      <c r="L19" s="70" t="n">
        <v>0</v>
      </c>
      <c r="M19" s="67" t="str">
        <f aca="false">IF(OR($I19="不记账",ROUND(N($G19),2)=0),"",IFERROR(INDEX(收入成本映射!$E$4:$E$34,MATCH($D19,收入成本映射!$B$4:$B$34,0)),""))</f>
        <v/>
      </c>
      <c r="N19" s="70" t="str">
        <f aca="false">IF($M19="","",ROUND(N($G19),2))</f>
        <v/>
      </c>
      <c r="O19" s="70" t="str">
        <f aca="false">IF($M19="","",0)</f>
        <v/>
      </c>
      <c r="P19" s="67" t="str">
        <f aca="false">IF($M19="","",IFERROR(INDEX(收入成本映射!$F$4:$F$34,MATCH($D19,收入成本映射!$B$4:$B$34,0)),""))</f>
        <v/>
      </c>
      <c r="Q19" s="70" t="str">
        <f aca="false">IF($P19="","",0)</f>
        <v/>
      </c>
      <c r="R19" s="70" t="str">
        <f aca="false">IF($P19="","",ROUND(N($G19),2))</f>
        <v/>
      </c>
      <c r="S19" s="67" t="str">
        <f aca="false">""</f>
        <v/>
      </c>
      <c r="T19" s="70" t="str">
        <f aca="false">IF($S19="","",0)</f>
        <v/>
      </c>
      <c r="U19" s="70" t="str">
        <f aca="false">IF($S19="","",0)</f>
        <v/>
      </c>
      <c r="V19" s="66" t="str">
        <f aca="false">IF($B19="","",IF($B19="01水果",IFERROR(INDEX(对接源_01水果!$H$5:$H$507,MATCH(ROW()-3,对接源_01水果!$Q$5:$Q$507,0)),""),IFERROR(INDEX(对接源_02物料!$H$5:$H$460,MATCH(ROW()-3-N(对接源_01水果!$T$1),对接源_02物料!$Q$5:$Q$460,0)),"")))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" customFormat="false" ht="18" hidden="false" customHeight="true" outlineLevel="0" collapsed="false">
      <c r="A20" s="66" t="n">
        <v>17</v>
      </c>
      <c r="B20" s="67" t="str">
        <f aca="false">IF(ROW()-3&lt;=N(对接源_01水果!$T$1),"01水果",IF(ROW()-3&lt;=N(对接源_01水果!$T$1)+N(对接源_02物料!$T$1),"02物料",""))</f>
        <v/>
      </c>
      <c r="C20" s="68" t="str">
        <f aca="false">IF($B20="","",IF($B20="01水果",IFERROR(INDEX(对接源_01水果!$B$5:$B$507,MATCH(ROW()-3,对接源_01水果!$Q$5:$Q$507,0)),""),IFERROR(INDEX(对接源_02物料!$B$5:$B$460,MATCH(ROW()-3-N(对接源_01水果!$T$1),对接源_02物料!$Q$5:$Q$460,0)),"")))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" s="67" t="str">
        <f aca="false">IF($B20="","",IF($B20="01水果",IFERROR(INDEX(对接源_01水果!$C$5:$C$507,MATCH(ROW()-3,对接源_01水果!$Q$5:$Q$507,0)),""),IFERROR(INDEX(对接源_02物料!$C$5:$C$460,MATCH(ROW()-3-N(对接源_01水果!$T$1),对接源_02物料!$Q$5:$Q$460,0)),"")))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" s="69" t="str">
        <f aca="false">IF($B20="","",IF($B20="01水果",IFERROR(INDEX(对接源_01水果!$D$5:$D$507,MATCH(ROW()-3,对接源_01水果!$Q$5:$Q$507,0)),""),IFERROR(INDEX(对接源_02物料!$D$5:$D$460,MATCH(ROW()-3-N(对接源_01水果!$T$1),对接源_02物料!$Q$5:$Q$460,0)),"")))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" s="67" t="str">
        <f aca="false">IF($B20="","",IF($B20="01水果",IFERROR(INDEX(对接源_01水果!$E$5:$E$507,MATCH(ROW()-3,对接源_01水果!$Q$5:$Q$507,0)),""),IFERROR(INDEX(对接源_02物料!$E$5:$E$460,MATCH(ROW()-3-N(对接源_01水果!$T$1),对接源_02物料!$Q$5:$Q$460,0)),"")))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" s="70" t="str">
        <f aca="false">IF($B20="","",IF($B20="01水果",IFERROR(INDEX(对接源_01水果!$F$5:$F$507,MATCH(ROW()-3,对接源_01水果!$Q$5:$Q$507,0)),""),IFERROR(INDEX(对接源_02物料!$F$5:$F$460,MATCH(ROW()-3-N(对接源_01水果!$T$1),对接源_02物料!$Q$5:$Q$460,0)),"")))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" s="70" t="str">
        <f aca="false">IF($B20="","",IF($B20="01水果",IFERROR(INDEX(对接源_01水果!$G$5:$G$507,MATCH(ROW()-3,对接源_01水果!$Q$5:$Q$507,0)),""),IFERROR(INDEX(对接源_02物料!$G$5:$G$460,MATCH(ROW()-3-N(对接源_01水果!$T$1),对接源_02物料!$Q$5:$Q$460,0)),"")))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" s="67" t="str">
        <f aca="false">IF(OR($D20="客户应收",$D20="成品销售款",$D20="公司购买果品款",$D20="筐子销售款",$D20="物料销售款"),"客户往来",IFERROR(INDEX(收入成本映射!$C$4:$C$34,MATCH($D20,收入成本映射!$B$4:$B$34,0)),"不记账"))</f>
        <v>不记账</v>
      </c>
      <c r="J20" s="67" t="str">
        <f aca="false">IF($B20="","","0%")</f>
        <v/>
      </c>
      <c r="K20" s="70" t="n">
        <f aca="false">IF($I20="不记账",0,ROUND(N($G20),2))</f>
        <v>0</v>
      </c>
      <c r="L20" s="70" t="n">
        <v>0</v>
      </c>
      <c r="M20" s="67" t="str">
        <f aca="false">IF(OR($I20="不记账",ROUND(N($G20),2)=0),"",IFERROR(INDEX(收入成本映射!$E$4:$E$34,MATCH($D20,收入成本映射!$B$4:$B$34,0)),""))</f>
        <v/>
      </c>
      <c r="N20" s="70" t="str">
        <f aca="false">IF($M20="","",ROUND(N($G20),2))</f>
        <v/>
      </c>
      <c r="O20" s="70" t="str">
        <f aca="false">IF($M20="","",0)</f>
        <v/>
      </c>
      <c r="P20" s="67" t="str">
        <f aca="false">IF($M20="","",IFERROR(INDEX(收入成本映射!$F$4:$F$34,MATCH($D20,收入成本映射!$B$4:$B$34,0)),""))</f>
        <v/>
      </c>
      <c r="Q20" s="70" t="str">
        <f aca="false">IF($P20="","",0)</f>
        <v/>
      </c>
      <c r="R20" s="70" t="str">
        <f aca="false">IF($P20="","",ROUND(N($G20),2))</f>
        <v/>
      </c>
      <c r="S20" s="67" t="str">
        <f aca="false">""</f>
        <v/>
      </c>
      <c r="T20" s="70" t="str">
        <f aca="false">IF($S20="","",0)</f>
        <v/>
      </c>
      <c r="U20" s="70" t="str">
        <f aca="false">IF($S20="","",0)</f>
        <v/>
      </c>
      <c r="V20" s="66" t="str">
        <f aca="false">IF($B20="","",IF($B20="01水果",IFERROR(INDEX(对接源_01水果!$H$5:$H$507,MATCH(ROW()-3,对接源_01水果!$Q$5:$Q$507,0)),""),IFERROR(INDEX(对接源_02物料!$H$5:$H$460,MATCH(ROW()-3-N(对接源_01水果!$T$1),对接源_02物料!$Q$5:$Q$460,0)),"")))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" customFormat="false" ht="18" hidden="false" customHeight="true" outlineLevel="0" collapsed="false">
      <c r="A21" s="66" t="n">
        <v>18</v>
      </c>
      <c r="B21" s="67" t="str">
        <f aca="false">IF(ROW()-3&lt;=N(对接源_01水果!$T$1),"01水果",IF(ROW()-3&lt;=N(对接源_01水果!$T$1)+N(对接源_02物料!$T$1),"02物料",""))</f>
        <v/>
      </c>
      <c r="C21" s="68" t="str">
        <f aca="false">IF($B21="","",IF($B21="01水果",IFERROR(INDEX(对接源_01水果!$B$5:$B$507,MATCH(ROW()-3,对接源_01水果!$Q$5:$Q$507,0)),""),IFERROR(INDEX(对接源_02物料!$B$5:$B$460,MATCH(ROW()-3-N(对接源_01水果!$T$1),对接源_02物料!$Q$5:$Q$460,0)),"")))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" s="67" t="str">
        <f aca="false">IF($B21="","",IF($B21="01水果",IFERROR(INDEX(对接源_01水果!$C$5:$C$507,MATCH(ROW()-3,对接源_01水果!$Q$5:$Q$507,0)),""),IFERROR(INDEX(对接源_02物料!$C$5:$C$460,MATCH(ROW()-3-N(对接源_01水果!$T$1),对接源_02物料!$Q$5:$Q$460,0)),"")))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" s="69" t="str">
        <f aca="false">IF($B21="","",IF($B21="01水果",IFERROR(INDEX(对接源_01水果!$D$5:$D$507,MATCH(ROW()-3,对接源_01水果!$Q$5:$Q$507,0)),""),IFERROR(INDEX(对接源_02物料!$D$5:$D$460,MATCH(ROW()-3-N(对接源_01水果!$T$1),对接源_02物料!$Q$5:$Q$460,0)),"")))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" s="67" t="str">
        <f aca="false">IF($B21="","",IF($B21="01水果",IFERROR(INDEX(对接源_01水果!$E$5:$E$507,MATCH(ROW()-3,对接源_01水果!$Q$5:$Q$507,0)),""),IFERROR(INDEX(对接源_02物料!$E$5:$E$460,MATCH(ROW()-3-N(对接源_01水果!$T$1),对接源_02物料!$Q$5:$Q$460,0)),"")))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" s="70" t="str">
        <f aca="false">IF($B21="","",IF($B21="01水果",IFERROR(INDEX(对接源_01水果!$F$5:$F$507,MATCH(ROW()-3,对接源_01水果!$Q$5:$Q$507,0)),""),IFERROR(INDEX(对接源_02物料!$F$5:$F$460,MATCH(ROW()-3-N(对接源_01水果!$T$1),对接源_02物料!$Q$5:$Q$460,0)),"")))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" s="70" t="str">
        <f aca="false">IF($B21="","",IF($B21="01水果",IFERROR(INDEX(对接源_01水果!$G$5:$G$507,MATCH(ROW()-3,对接源_01水果!$Q$5:$Q$507,0)),""),IFERROR(INDEX(对接源_02物料!$G$5:$G$460,MATCH(ROW()-3-N(对接源_01水果!$T$1),对接源_02物料!$Q$5:$Q$460,0)),"")))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" s="67" t="str">
        <f aca="false">IF(OR($D21="客户应收",$D21="成品销售款",$D21="公司购买果品款",$D21="筐子销售款",$D21="物料销售款"),"客户往来",IFERROR(INDEX(收入成本映射!$C$4:$C$34,MATCH($D21,收入成本映射!$B$4:$B$34,0)),"不记账"))</f>
        <v>不记账</v>
      </c>
      <c r="J21" s="67" t="str">
        <f aca="false">IF($B21="","","0%")</f>
        <v/>
      </c>
      <c r="K21" s="70" t="n">
        <f aca="false">IF($I21="不记账",0,ROUND(N($G21),2))</f>
        <v>0</v>
      </c>
      <c r="L21" s="70" t="n">
        <v>0</v>
      </c>
      <c r="M21" s="67" t="str">
        <f aca="false">IF(OR($I21="不记账",ROUND(N($G21),2)=0),"",IFERROR(INDEX(收入成本映射!$E$4:$E$34,MATCH($D21,收入成本映射!$B$4:$B$34,0)),""))</f>
        <v/>
      </c>
      <c r="N21" s="70" t="str">
        <f aca="false">IF($M21="","",ROUND(N($G21),2))</f>
        <v/>
      </c>
      <c r="O21" s="70" t="str">
        <f aca="false">IF($M21="","",0)</f>
        <v/>
      </c>
      <c r="P21" s="67" t="str">
        <f aca="false">IF($M21="","",IFERROR(INDEX(收入成本映射!$F$4:$F$34,MATCH($D21,收入成本映射!$B$4:$B$34,0)),""))</f>
        <v/>
      </c>
      <c r="Q21" s="70" t="str">
        <f aca="false">IF($P21="","",0)</f>
        <v/>
      </c>
      <c r="R21" s="70" t="str">
        <f aca="false">IF($P21="","",ROUND(N($G21),2))</f>
        <v/>
      </c>
      <c r="S21" s="67" t="str">
        <f aca="false">""</f>
        <v/>
      </c>
      <c r="T21" s="70" t="str">
        <f aca="false">IF($S21="","",0)</f>
        <v/>
      </c>
      <c r="U21" s="70" t="str">
        <f aca="false">IF($S21="","",0)</f>
        <v/>
      </c>
      <c r="V21" s="66" t="str">
        <f aca="false">IF($B21="","",IF($B21="01水果",IFERROR(INDEX(对接源_01水果!$H$5:$H$507,MATCH(ROW()-3,对接源_01水果!$Q$5:$Q$507,0)),""),IFERROR(INDEX(对接源_02物料!$H$5:$H$460,MATCH(ROW()-3-N(对接源_01水果!$T$1),对接源_02物料!$Q$5:$Q$460,0)),"")))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" customFormat="false" ht="18" hidden="false" customHeight="true" outlineLevel="0" collapsed="false">
      <c r="A22" s="66" t="n">
        <v>19</v>
      </c>
      <c r="B22" s="67" t="str">
        <f aca="false">IF(ROW()-3&lt;=N(对接源_01水果!$T$1),"01水果",IF(ROW()-3&lt;=N(对接源_01水果!$T$1)+N(对接源_02物料!$T$1),"02物料",""))</f>
        <v/>
      </c>
      <c r="C22" s="68" t="str">
        <f aca="false">IF($B22="","",IF($B22="01水果",IFERROR(INDEX(对接源_01水果!$B$5:$B$507,MATCH(ROW()-3,对接源_01水果!$Q$5:$Q$507,0)),""),IFERROR(INDEX(对接源_02物料!$B$5:$B$460,MATCH(ROW()-3-N(对接源_01水果!$T$1),对接源_02物料!$Q$5:$Q$460,0)),"")))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" s="67" t="str">
        <f aca="false">IF($B22="","",IF($B22="01水果",IFERROR(INDEX(对接源_01水果!$C$5:$C$507,MATCH(ROW()-3,对接源_01水果!$Q$5:$Q$507,0)),""),IFERROR(INDEX(对接源_02物料!$C$5:$C$460,MATCH(ROW()-3-N(对接源_01水果!$T$1),对接源_02物料!$Q$5:$Q$460,0)),"")))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" s="69" t="str">
        <f aca="false">IF($B22="","",IF($B22="01水果",IFERROR(INDEX(对接源_01水果!$D$5:$D$507,MATCH(ROW()-3,对接源_01水果!$Q$5:$Q$507,0)),""),IFERROR(INDEX(对接源_02物料!$D$5:$D$460,MATCH(ROW()-3-N(对接源_01水果!$T$1),对接源_02物料!$Q$5:$Q$460,0)),"")))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" s="67" t="str">
        <f aca="false">IF($B22="","",IF($B22="01水果",IFERROR(INDEX(对接源_01水果!$E$5:$E$507,MATCH(ROW()-3,对接源_01水果!$Q$5:$Q$507,0)),""),IFERROR(INDEX(对接源_02物料!$E$5:$E$460,MATCH(ROW()-3-N(对接源_01水果!$T$1),对接源_02物料!$Q$5:$Q$460,0)),"")))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" s="70" t="str">
        <f aca="false">IF($B22="","",IF($B22="01水果",IFERROR(INDEX(对接源_01水果!$F$5:$F$507,MATCH(ROW()-3,对接源_01水果!$Q$5:$Q$507,0)),""),IFERROR(INDEX(对接源_02物料!$F$5:$F$460,MATCH(ROW()-3-N(对接源_01水果!$T$1),对接源_02物料!$Q$5:$Q$460,0)),"")))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" s="70" t="str">
        <f aca="false">IF($B22="","",IF($B22="01水果",IFERROR(INDEX(对接源_01水果!$G$5:$G$507,MATCH(ROW()-3,对接源_01水果!$Q$5:$Q$507,0)),""),IFERROR(INDEX(对接源_02物料!$G$5:$G$460,MATCH(ROW()-3-N(对接源_01水果!$T$1),对接源_02物料!$Q$5:$Q$460,0)),"")))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" s="67" t="str">
        <f aca="false">IF(OR($D22="客户应收",$D22="成品销售款",$D22="公司购买果品款",$D22="筐子销售款",$D22="物料销售款"),"客户往来",IFERROR(INDEX(收入成本映射!$C$4:$C$34,MATCH($D22,收入成本映射!$B$4:$B$34,0)),"不记账"))</f>
        <v>不记账</v>
      </c>
      <c r="J22" s="67" t="str">
        <f aca="false">IF($B22="","","0%")</f>
        <v/>
      </c>
      <c r="K22" s="70" t="n">
        <f aca="false">IF($I22="不记账",0,ROUND(N($G22),2))</f>
        <v>0</v>
      </c>
      <c r="L22" s="70" t="n">
        <v>0</v>
      </c>
      <c r="M22" s="67" t="str">
        <f aca="false">IF(OR($I22="不记账",ROUND(N($G22),2)=0),"",IFERROR(INDEX(收入成本映射!$E$4:$E$34,MATCH($D22,收入成本映射!$B$4:$B$34,0)),""))</f>
        <v/>
      </c>
      <c r="N22" s="70" t="str">
        <f aca="false">IF($M22="","",ROUND(N($G22),2))</f>
        <v/>
      </c>
      <c r="O22" s="70" t="str">
        <f aca="false">IF($M22="","",0)</f>
        <v/>
      </c>
      <c r="P22" s="67" t="str">
        <f aca="false">IF($M22="","",IFERROR(INDEX(收入成本映射!$F$4:$F$34,MATCH($D22,收入成本映射!$B$4:$B$34,0)),""))</f>
        <v/>
      </c>
      <c r="Q22" s="70" t="str">
        <f aca="false">IF($P22="","",0)</f>
        <v/>
      </c>
      <c r="R22" s="70" t="str">
        <f aca="false">IF($P22="","",ROUND(N($G22),2))</f>
        <v/>
      </c>
      <c r="S22" s="67" t="str">
        <f aca="false">""</f>
        <v/>
      </c>
      <c r="T22" s="70" t="str">
        <f aca="false">IF($S22="","",0)</f>
        <v/>
      </c>
      <c r="U22" s="70" t="str">
        <f aca="false">IF($S22="","",0)</f>
        <v/>
      </c>
      <c r="V22" s="66" t="str">
        <f aca="false">IF($B22="","",IF($B22="01水果",IFERROR(INDEX(对接源_01水果!$H$5:$H$507,MATCH(ROW()-3,对接源_01水果!$Q$5:$Q$507,0)),""),IFERROR(INDEX(对接源_02物料!$H$5:$H$460,MATCH(ROW()-3-N(对接源_01水果!$T$1),对接源_02物料!$Q$5:$Q$460,0)),"")))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" customFormat="false" ht="18" hidden="false" customHeight="true" outlineLevel="0" collapsed="false">
      <c r="A23" s="66" t="n">
        <v>20</v>
      </c>
      <c r="B23" s="67" t="str">
        <f aca="false">IF(ROW()-3&lt;=N(对接源_01水果!$T$1),"01水果",IF(ROW()-3&lt;=N(对接源_01水果!$T$1)+N(对接源_02物料!$T$1),"02物料",""))</f>
        <v/>
      </c>
      <c r="C23" s="68" t="str">
        <f aca="false">IF($B23="","",IF($B23="01水果",IFERROR(INDEX(对接源_01水果!$B$5:$B$507,MATCH(ROW()-3,对接源_01水果!$Q$5:$Q$507,0)),""),IFERROR(INDEX(对接源_02物料!$B$5:$B$460,MATCH(ROW()-3-N(对接源_01水果!$T$1),对接源_02物料!$Q$5:$Q$460,0)),"")))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" s="67" t="str">
        <f aca="false">IF($B23="","",IF($B23="01水果",IFERROR(INDEX(对接源_01水果!$C$5:$C$507,MATCH(ROW()-3,对接源_01水果!$Q$5:$Q$507,0)),""),IFERROR(INDEX(对接源_02物料!$C$5:$C$460,MATCH(ROW()-3-N(对接源_01水果!$T$1),对接源_02物料!$Q$5:$Q$460,0)),"")))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" s="69" t="str">
        <f aca="false">IF($B23="","",IF($B23="01水果",IFERROR(INDEX(对接源_01水果!$D$5:$D$507,MATCH(ROW()-3,对接源_01水果!$Q$5:$Q$507,0)),""),IFERROR(INDEX(对接源_02物料!$D$5:$D$460,MATCH(ROW()-3-N(对接源_01水果!$T$1),对接源_02物料!$Q$5:$Q$460,0)),"")))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" s="67" t="str">
        <f aca="false">IF($B23="","",IF($B23="01水果",IFERROR(INDEX(对接源_01水果!$E$5:$E$507,MATCH(ROW()-3,对接源_01水果!$Q$5:$Q$507,0)),""),IFERROR(INDEX(对接源_02物料!$E$5:$E$460,MATCH(ROW()-3-N(对接源_01水果!$T$1),对接源_02物料!$Q$5:$Q$460,0)),"")))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" s="70" t="str">
        <f aca="false">IF($B23="","",IF($B23="01水果",IFERROR(INDEX(对接源_01水果!$F$5:$F$507,MATCH(ROW()-3,对接源_01水果!$Q$5:$Q$507,0)),""),IFERROR(INDEX(对接源_02物料!$F$5:$F$460,MATCH(ROW()-3-N(对接源_01水果!$T$1),对接源_02物料!$Q$5:$Q$460,0)),"")))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" s="70" t="str">
        <f aca="false">IF($B23="","",IF($B23="01水果",IFERROR(INDEX(对接源_01水果!$G$5:$G$507,MATCH(ROW()-3,对接源_01水果!$Q$5:$Q$507,0)),""),IFERROR(INDEX(对接源_02物料!$G$5:$G$460,MATCH(ROW()-3-N(对接源_01水果!$T$1),对接源_02物料!$Q$5:$Q$460,0)),"")))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" s="67" t="str">
        <f aca="false">IF(OR($D23="客户应收",$D23="成品销售款",$D23="公司购买果品款",$D23="筐子销售款",$D23="物料销售款"),"客户往来",IFERROR(INDEX(收入成本映射!$C$4:$C$34,MATCH($D23,收入成本映射!$B$4:$B$34,0)),"不记账"))</f>
        <v>不记账</v>
      </c>
      <c r="J23" s="67" t="str">
        <f aca="false">IF($B23="","","0%")</f>
        <v/>
      </c>
      <c r="K23" s="70" t="n">
        <f aca="false">IF($I23="不记账",0,ROUND(N($G23),2))</f>
        <v>0</v>
      </c>
      <c r="L23" s="70" t="n">
        <v>0</v>
      </c>
      <c r="M23" s="67" t="str">
        <f aca="false">IF(OR($I23="不记账",ROUND(N($G23),2)=0),"",IFERROR(INDEX(收入成本映射!$E$4:$E$34,MATCH($D23,收入成本映射!$B$4:$B$34,0)),""))</f>
        <v/>
      </c>
      <c r="N23" s="70" t="str">
        <f aca="false">IF($M23="","",ROUND(N($G23),2))</f>
        <v/>
      </c>
      <c r="O23" s="70" t="str">
        <f aca="false">IF($M23="","",0)</f>
        <v/>
      </c>
      <c r="P23" s="67" t="str">
        <f aca="false">IF($M23="","",IFERROR(INDEX(收入成本映射!$F$4:$F$34,MATCH($D23,收入成本映射!$B$4:$B$34,0)),""))</f>
        <v/>
      </c>
      <c r="Q23" s="70" t="str">
        <f aca="false">IF($P23="","",0)</f>
        <v/>
      </c>
      <c r="R23" s="70" t="str">
        <f aca="false">IF($P23="","",ROUND(N($G23),2))</f>
        <v/>
      </c>
      <c r="S23" s="67" t="str">
        <f aca="false">""</f>
        <v/>
      </c>
      <c r="T23" s="70" t="str">
        <f aca="false">IF($S23="","",0)</f>
        <v/>
      </c>
      <c r="U23" s="70" t="str">
        <f aca="false">IF($S23="","",0)</f>
        <v/>
      </c>
      <c r="V23" s="66" t="str">
        <f aca="false">IF($B23="","",IF($B23="01水果",IFERROR(INDEX(对接源_01水果!$H$5:$H$507,MATCH(ROW()-3,对接源_01水果!$Q$5:$Q$507,0)),""),IFERROR(INDEX(对接源_02物料!$H$5:$H$460,MATCH(ROW()-3-N(对接源_01水果!$T$1),对接源_02物料!$Q$5:$Q$460,0)),"")))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" customFormat="false" ht="18" hidden="false" customHeight="true" outlineLevel="0" collapsed="false">
      <c r="A24" s="66" t="n">
        <v>21</v>
      </c>
      <c r="B24" s="67" t="str">
        <f aca="false">IF(ROW()-3&lt;=N(对接源_01水果!$T$1),"01水果",IF(ROW()-3&lt;=N(对接源_01水果!$T$1)+N(对接源_02物料!$T$1),"02物料",""))</f>
        <v/>
      </c>
      <c r="C24" s="68" t="str">
        <f aca="false">IF($B24="","",IF($B24="01水果",IFERROR(INDEX(对接源_01水果!$B$5:$B$507,MATCH(ROW()-3,对接源_01水果!$Q$5:$Q$507,0)),""),IFERROR(INDEX(对接源_02物料!$B$5:$B$460,MATCH(ROW()-3-N(对接源_01水果!$T$1),对接源_02物料!$Q$5:$Q$460,0)),"")))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" s="67" t="str">
        <f aca="false">IF($B24="","",IF($B24="01水果",IFERROR(INDEX(对接源_01水果!$C$5:$C$507,MATCH(ROW()-3,对接源_01水果!$Q$5:$Q$507,0)),""),IFERROR(INDEX(对接源_02物料!$C$5:$C$460,MATCH(ROW()-3-N(对接源_01水果!$T$1),对接源_02物料!$Q$5:$Q$460,0)),"")))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" s="69" t="str">
        <f aca="false">IF($B24="","",IF($B24="01水果",IFERROR(INDEX(对接源_01水果!$D$5:$D$507,MATCH(ROW()-3,对接源_01水果!$Q$5:$Q$507,0)),""),IFERROR(INDEX(对接源_02物料!$D$5:$D$460,MATCH(ROW()-3-N(对接源_01水果!$T$1),对接源_02物料!$Q$5:$Q$460,0)),"")))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" s="67" t="str">
        <f aca="false">IF($B24="","",IF($B24="01水果",IFERROR(INDEX(对接源_01水果!$E$5:$E$507,MATCH(ROW()-3,对接源_01水果!$Q$5:$Q$507,0)),""),IFERROR(INDEX(对接源_02物料!$E$5:$E$460,MATCH(ROW()-3-N(对接源_01水果!$T$1),对接源_02物料!$Q$5:$Q$460,0)),"")))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" s="70" t="str">
        <f aca="false">IF($B24="","",IF($B24="01水果",IFERROR(INDEX(对接源_01水果!$F$5:$F$507,MATCH(ROW()-3,对接源_01水果!$Q$5:$Q$507,0)),""),IFERROR(INDEX(对接源_02物料!$F$5:$F$460,MATCH(ROW()-3-N(对接源_01水果!$T$1),对接源_02物料!$Q$5:$Q$460,0)),"")))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" s="70" t="str">
        <f aca="false">IF($B24="","",IF($B24="01水果",IFERROR(INDEX(对接源_01水果!$G$5:$G$507,MATCH(ROW()-3,对接源_01水果!$Q$5:$Q$507,0)),""),IFERROR(INDEX(对接源_02物料!$G$5:$G$460,MATCH(ROW()-3-N(对接源_01水果!$T$1),对接源_02物料!$Q$5:$Q$460,0)),"")))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" s="67" t="str">
        <f aca="false">IF(OR($D24="客户应收",$D24="成品销售款",$D24="公司购买果品款",$D24="筐子销售款",$D24="物料销售款"),"客户往来",IFERROR(INDEX(收入成本映射!$C$4:$C$34,MATCH($D24,收入成本映射!$B$4:$B$34,0)),"不记账"))</f>
        <v>不记账</v>
      </c>
      <c r="J24" s="67" t="str">
        <f aca="false">IF($B24="","","0%")</f>
        <v/>
      </c>
      <c r="K24" s="70" t="n">
        <f aca="false">IF($I24="不记账",0,ROUND(N($G24),2))</f>
        <v>0</v>
      </c>
      <c r="L24" s="70" t="n">
        <v>0</v>
      </c>
      <c r="M24" s="67" t="str">
        <f aca="false">IF(OR($I24="不记账",ROUND(N($G24),2)=0),"",IFERROR(INDEX(收入成本映射!$E$4:$E$34,MATCH($D24,收入成本映射!$B$4:$B$34,0)),""))</f>
        <v/>
      </c>
      <c r="N24" s="70" t="str">
        <f aca="false">IF($M24="","",ROUND(N($G24),2))</f>
        <v/>
      </c>
      <c r="O24" s="70" t="str">
        <f aca="false">IF($M24="","",0)</f>
        <v/>
      </c>
      <c r="P24" s="67" t="str">
        <f aca="false">IF($M24="","",IFERROR(INDEX(收入成本映射!$F$4:$F$34,MATCH($D24,收入成本映射!$B$4:$B$34,0)),""))</f>
        <v/>
      </c>
      <c r="Q24" s="70" t="str">
        <f aca="false">IF($P24="","",0)</f>
        <v/>
      </c>
      <c r="R24" s="70" t="str">
        <f aca="false">IF($P24="","",ROUND(N($G24),2))</f>
        <v/>
      </c>
      <c r="S24" s="67" t="str">
        <f aca="false">""</f>
        <v/>
      </c>
      <c r="T24" s="70" t="str">
        <f aca="false">IF($S24="","",0)</f>
        <v/>
      </c>
      <c r="U24" s="70" t="str">
        <f aca="false">IF($S24="","",0)</f>
        <v/>
      </c>
      <c r="V24" s="66" t="str">
        <f aca="false">IF($B24="","",IF($B24="01水果",IFERROR(INDEX(对接源_01水果!$H$5:$H$507,MATCH(ROW()-3,对接源_01水果!$Q$5:$Q$507,0)),""),IFERROR(INDEX(对接源_02物料!$H$5:$H$460,MATCH(ROW()-3-N(对接源_01水果!$T$1),对接源_02物料!$Q$5:$Q$460,0)),"")))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" customFormat="false" ht="18" hidden="false" customHeight="true" outlineLevel="0" collapsed="false">
      <c r="A25" s="66" t="n">
        <v>22</v>
      </c>
      <c r="B25" s="67" t="str">
        <f aca="false">IF(ROW()-3&lt;=N(对接源_01水果!$T$1),"01水果",IF(ROW()-3&lt;=N(对接源_01水果!$T$1)+N(对接源_02物料!$T$1),"02物料",""))</f>
        <v/>
      </c>
      <c r="C25" s="68" t="str">
        <f aca="false">IF($B25="","",IF($B25="01水果",IFERROR(INDEX(对接源_01水果!$B$5:$B$507,MATCH(ROW()-3,对接源_01水果!$Q$5:$Q$507,0)),""),IFERROR(INDEX(对接源_02物料!$B$5:$B$460,MATCH(ROW()-3-N(对接源_01水果!$T$1),对接源_02物料!$Q$5:$Q$460,0)),"")))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" s="67" t="str">
        <f aca="false">IF($B25="","",IF($B25="01水果",IFERROR(INDEX(对接源_01水果!$C$5:$C$507,MATCH(ROW()-3,对接源_01水果!$Q$5:$Q$507,0)),""),IFERROR(INDEX(对接源_02物料!$C$5:$C$460,MATCH(ROW()-3-N(对接源_01水果!$T$1),对接源_02物料!$Q$5:$Q$460,0)),"")))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" s="69" t="str">
        <f aca="false">IF($B25="","",IF($B25="01水果",IFERROR(INDEX(对接源_01水果!$D$5:$D$507,MATCH(ROW()-3,对接源_01水果!$Q$5:$Q$507,0)),""),IFERROR(INDEX(对接源_02物料!$D$5:$D$460,MATCH(ROW()-3-N(对接源_01水果!$T$1),对接源_02物料!$Q$5:$Q$460,0)),"")))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" s="67" t="str">
        <f aca="false">IF($B25="","",IF($B25="01水果",IFERROR(INDEX(对接源_01水果!$E$5:$E$507,MATCH(ROW()-3,对接源_01水果!$Q$5:$Q$507,0)),""),IFERROR(INDEX(对接源_02物料!$E$5:$E$460,MATCH(ROW()-3-N(对接源_01水果!$T$1),对接源_02物料!$Q$5:$Q$460,0)),"")))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" s="70" t="str">
        <f aca="false">IF($B25="","",IF($B25="01水果",IFERROR(INDEX(对接源_01水果!$F$5:$F$507,MATCH(ROW()-3,对接源_01水果!$Q$5:$Q$507,0)),""),IFERROR(INDEX(对接源_02物料!$F$5:$F$460,MATCH(ROW()-3-N(对接源_01水果!$T$1),对接源_02物料!$Q$5:$Q$460,0)),"")))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" s="70" t="str">
        <f aca="false">IF($B25="","",IF($B25="01水果",IFERROR(INDEX(对接源_01水果!$G$5:$G$507,MATCH(ROW()-3,对接源_01水果!$Q$5:$Q$507,0)),""),IFERROR(INDEX(对接源_02物料!$G$5:$G$460,MATCH(ROW()-3-N(对接源_01水果!$T$1),对接源_02物料!$Q$5:$Q$460,0)),"")))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" s="67" t="str">
        <f aca="false">IF(OR($D25="客户应收",$D25="成品销售款",$D25="公司购买果品款",$D25="筐子销售款",$D25="物料销售款"),"客户往来",IFERROR(INDEX(收入成本映射!$C$4:$C$34,MATCH($D25,收入成本映射!$B$4:$B$34,0)),"不记账"))</f>
        <v>不记账</v>
      </c>
      <c r="J25" s="67" t="str">
        <f aca="false">IF($B25="","","0%")</f>
        <v/>
      </c>
      <c r="K25" s="70" t="n">
        <f aca="false">IF($I25="不记账",0,ROUND(N($G25),2))</f>
        <v>0</v>
      </c>
      <c r="L25" s="70" t="n">
        <v>0</v>
      </c>
      <c r="M25" s="67" t="str">
        <f aca="false">IF(OR($I25="不记账",ROUND(N($G25),2)=0),"",IFERROR(INDEX(收入成本映射!$E$4:$E$34,MATCH($D25,收入成本映射!$B$4:$B$34,0)),""))</f>
        <v/>
      </c>
      <c r="N25" s="70" t="str">
        <f aca="false">IF($M25="","",ROUND(N($G25),2))</f>
        <v/>
      </c>
      <c r="O25" s="70" t="str">
        <f aca="false">IF($M25="","",0)</f>
        <v/>
      </c>
      <c r="P25" s="67" t="str">
        <f aca="false">IF($M25="","",IFERROR(INDEX(收入成本映射!$F$4:$F$34,MATCH($D25,收入成本映射!$B$4:$B$34,0)),""))</f>
        <v/>
      </c>
      <c r="Q25" s="70" t="str">
        <f aca="false">IF($P25="","",0)</f>
        <v/>
      </c>
      <c r="R25" s="70" t="str">
        <f aca="false">IF($P25="","",ROUND(N($G25),2))</f>
        <v/>
      </c>
      <c r="S25" s="67" t="str">
        <f aca="false">""</f>
        <v/>
      </c>
      <c r="T25" s="70" t="str">
        <f aca="false">IF($S25="","",0)</f>
        <v/>
      </c>
      <c r="U25" s="70" t="str">
        <f aca="false">IF($S25="","",0)</f>
        <v/>
      </c>
      <c r="V25" s="66" t="str">
        <f aca="false">IF($B25="","",IF($B25="01水果",IFERROR(INDEX(对接源_01水果!$H$5:$H$507,MATCH(ROW()-3,对接源_01水果!$Q$5:$Q$507,0)),""),IFERROR(INDEX(对接源_02物料!$H$5:$H$460,MATCH(ROW()-3-N(对接源_01水果!$T$1),对接源_02物料!$Q$5:$Q$460,0)),"")))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" customFormat="false" ht="18" hidden="false" customHeight="true" outlineLevel="0" collapsed="false">
      <c r="A26" s="66" t="n">
        <v>23</v>
      </c>
      <c r="B26" s="67" t="str">
        <f aca="false">IF(ROW()-3&lt;=N(对接源_01水果!$T$1),"01水果",IF(ROW()-3&lt;=N(对接源_01水果!$T$1)+N(对接源_02物料!$T$1),"02物料",""))</f>
        <v/>
      </c>
      <c r="C26" s="68" t="str">
        <f aca="false">IF($B26="","",IF($B26="01水果",IFERROR(INDEX(对接源_01水果!$B$5:$B$507,MATCH(ROW()-3,对接源_01水果!$Q$5:$Q$507,0)),""),IFERROR(INDEX(对接源_02物料!$B$5:$B$460,MATCH(ROW()-3-N(对接源_01水果!$T$1),对接源_02物料!$Q$5:$Q$460,0)),"")))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" s="67" t="str">
        <f aca="false">IF($B26="","",IF($B26="01水果",IFERROR(INDEX(对接源_01水果!$C$5:$C$507,MATCH(ROW()-3,对接源_01水果!$Q$5:$Q$507,0)),""),IFERROR(INDEX(对接源_02物料!$C$5:$C$460,MATCH(ROW()-3-N(对接源_01水果!$T$1),对接源_02物料!$Q$5:$Q$460,0)),"")))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" s="69" t="str">
        <f aca="false">IF($B26="","",IF($B26="01水果",IFERROR(INDEX(对接源_01水果!$D$5:$D$507,MATCH(ROW()-3,对接源_01水果!$Q$5:$Q$507,0)),""),IFERROR(INDEX(对接源_02物料!$D$5:$D$460,MATCH(ROW()-3-N(对接源_01水果!$T$1),对接源_02物料!$Q$5:$Q$460,0)),"")))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" s="67" t="str">
        <f aca="false">IF($B26="","",IF($B26="01水果",IFERROR(INDEX(对接源_01水果!$E$5:$E$507,MATCH(ROW()-3,对接源_01水果!$Q$5:$Q$507,0)),""),IFERROR(INDEX(对接源_02物料!$E$5:$E$460,MATCH(ROW()-3-N(对接源_01水果!$T$1),对接源_02物料!$Q$5:$Q$460,0)),"")))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" s="70" t="str">
        <f aca="false">IF($B26="","",IF($B26="01水果",IFERROR(INDEX(对接源_01水果!$F$5:$F$507,MATCH(ROW()-3,对接源_01水果!$Q$5:$Q$507,0)),""),IFERROR(INDEX(对接源_02物料!$F$5:$F$460,MATCH(ROW()-3-N(对接源_01水果!$T$1),对接源_02物料!$Q$5:$Q$460,0)),"")))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" s="70" t="str">
        <f aca="false">IF($B26="","",IF($B26="01水果",IFERROR(INDEX(对接源_01水果!$G$5:$G$507,MATCH(ROW()-3,对接源_01水果!$Q$5:$Q$507,0)),""),IFERROR(INDEX(对接源_02物料!$G$5:$G$460,MATCH(ROW()-3-N(对接源_01水果!$T$1),对接源_02物料!$Q$5:$Q$460,0)),"")))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" s="67" t="str">
        <f aca="false">IF(OR($D26="客户应收",$D26="成品销售款",$D26="公司购买果品款",$D26="筐子销售款",$D26="物料销售款"),"客户往来",IFERROR(INDEX(收入成本映射!$C$4:$C$34,MATCH($D26,收入成本映射!$B$4:$B$34,0)),"不记账"))</f>
        <v>不记账</v>
      </c>
      <c r="J26" s="67" t="str">
        <f aca="false">IF($B26="","","0%")</f>
        <v/>
      </c>
      <c r="K26" s="70" t="n">
        <f aca="false">IF($I26="不记账",0,ROUND(N($G26),2))</f>
        <v>0</v>
      </c>
      <c r="L26" s="70" t="n">
        <v>0</v>
      </c>
      <c r="M26" s="67" t="str">
        <f aca="false">IF(OR($I26="不记账",ROUND(N($G26),2)=0),"",IFERROR(INDEX(收入成本映射!$E$4:$E$34,MATCH($D26,收入成本映射!$B$4:$B$34,0)),""))</f>
        <v/>
      </c>
      <c r="N26" s="70" t="str">
        <f aca="false">IF($M26="","",ROUND(N($G26),2))</f>
        <v/>
      </c>
      <c r="O26" s="70" t="str">
        <f aca="false">IF($M26="","",0)</f>
        <v/>
      </c>
      <c r="P26" s="67" t="str">
        <f aca="false">IF($M26="","",IFERROR(INDEX(收入成本映射!$F$4:$F$34,MATCH($D26,收入成本映射!$B$4:$B$34,0)),""))</f>
        <v/>
      </c>
      <c r="Q26" s="70" t="str">
        <f aca="false">IF($P26="","",0)</f>
        <v/>
      </c>
      <c r="R26" s="70" t="str">
        <f aca="false">IF($P26="","",ROUND(N($G26),2))</f>
        <v/>
      </c>
      <c r="S26" s="67" t="str">
        <f aca="false">""</f>
        <v/>
      </c>
      <c r="T26" s="70" t="str">
        <f aca="false">IF($S26="","",0)</f>
        <v/>
      </c>
      <c r="U26" s="70" t="str">
        <f aca="false">IF($S26="","",0)</f>
        <v/>
      </c>
      <c r="V26" s="66" t="str">
        <f aca="false">IF($B26="","",IF($B26="01水果",IFERROR(INDEX(对接源_01水果!$H$5:$H$507,MATCH(ROW()-3,对接源_01水果!$Q$5:$Q$507,0)),""),IFERROR(INDEX(对接源_02物料!$H$5:$H$460,MATCH(ROW()-3-N(对接源_01水果!$T$1),对接源_02物料!$Q$5:$Q$460,0)),"")))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" customFormat="false" ht="18" hidden="false" customHeight="true" outlineLevel="0" collapsed="false">
      <c r="A27" s="66" t="n">
        <v>24</v>
      </c>
      <c r="B27" s="67" t="str">
        <f aca="false">IF(ROW()-3&lt;=N(对接源_01水果!$T$1),"01水果",IF(ROW()-3&lt;=N(对接源_01水果!$T$1)+N(对接源_02物料!$T$1),"02物料",""))</f>
        <v/>
      </c>
      <c r="C27" s="68" t="str">
        <f aca="false">IF($B27="","",IF($B27="01水果",IFERROR(INDEX(对接源_01水果!$B$5:$B$507,MATCH(ROW()-3,对接源_01水果!$Q$5:$Q$507,0)),""),IFERROR(INDEX(对接源_02物料!$B$5:$B$460,MATCH(ROW()-3-N(对接源_01水果!$T$1),对接源_02物料!$Q$5:$Q$460,0)),"")))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" s="67" t="str">
        <f aca="false">IF($B27="","",IF($B27="01水果",IFERROR(INDEX(对接源_01水果!$C$5:$C$507,MATCH(ROW()-3,对接源_01水果!$Q$5:$Q$507,0)),""),IFERROR(INDEX(对接源_02物料!$C$5:$C$460,MATCH(ROW()-3-N(对接源_01水果!$T$1),对接源_02物料!$Q$5:$Q$460,0)),"")))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" s="69" t="str">
        <f aca="false">IF($B27="","",IF($B27="01水果",IFERROR(INDEX(对接源_01水果!$D$5:$D$507,MATCH(ROW()-3,对接源_01水果!$Q$5:$Q$507,0)),""),IFERROR(INDEX(对接源_02物料!$D$5:$D$460,MATCH(ROW()-3-N(对接源_01水果!$T$1),对接源_02物料!$Q$5:$Q$460,0)),"")))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" s="67" t="str">
        <f aca="false">IF($B27="","",IF($B27="01水果",IFERROR(INDEX(对接源_01水果!$E$5:$E$507,MATCH(ROW()-3,对接源_01水果!$Q$5:$Q$507,0)),""),IFERROR(INDEX(对接源_02物料!$E$5:$E$460,MATCH(ROW()-3-N(对接源_01水果!$T$1),对接源_02物料!$Q$5:$Q$460,0)),"")))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" s="70" t="str">
        <f aca="false">IF($B27="","",IF($B27="01水果",IFERROR(INDEX(对接源_01水果!$F$5:$F$507,MATCH(ROW()-3,对接源_01水果!$Q$5:$Q$507,0)),""),IFERROR(INDEX(对接源_02物料!$F$5:$F$460,MATCH(ROW()-3-N(对接源_01水果!$T$1),对接源_02物料!$Q$5:$Q$460,0)),"")))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" s="70" t="str">
        <f aca="false">IF($B27="","",IF($B27="01水果",IFERROR(INDEX(对接源_01水果!$G$5:$G$507,MATCH(ROW()-3,对接源_01水果!$Q$5:$Q$507,0)),""),IFERROR(INDEX(对接源_02物料!$G$5:$G$460,MATCH(ROW()-3-N(对接源_01水果!$T$1),对接源_02物料!$Q$5:$Q$460,0)),"")))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" s="67" t="str">
        <f aca="false">IF(OR($D27="客户应收",$D27="成品销售款",$D27="公司购买果品款",$D27="筐子销售款",$D27="物料销售款"),"客户往来",IFERROR(INDEX(收入成本映射!$C$4:$C$34,MATCH($D27,收入成本映射!$B$4:$B$34,0)),"不记账"))</f>
        <v>不记账</v>
      </c>
      <c r="J27" s="67" t="str">
        <f aca="false">IF($B27="","","0%")</f>
        <v/>
      </c>
      <c r="K27" s="70" t="n">
        <f aca="false">IF($I27="不记账",0,ROUND(N($G27),2))</f>
        <v>0</v>
      </c>
      <c r="L27" s="70" t="n">
        <v>0</v>
      </c>
      <c r="M27" s="67" t="str">
        <f aca="false">IF(OR($I27="不记账",ROUND(N($G27),2)=0),"",IFERROR(INDEX(收入成本映射!$E$4:$E$34,MATCH($D27,收入成本映射!$B$4:$B$34,0)),""))</f>
        <v/>
      </c>
      <c r="N27" s="70" t="str">
        <f aca="false">IF($M27="","",ROUND(N($G27),2))</f>
        <v/>
      </c>
      <c r="O27" s="70" t="str">
        <f aca="false">IF($M27="","",0)</f>
        <v/>
      </c>
      <c r="P27" s="67" t="str">
        <f aca="false">IF($M27="","",IFERROR(INDEX(收入成本映射!$F$4:$F$34,MATCH($D27,收入成本映射!$B$4:$B$34,0)),""))</f>
        <v/>
      </c>
      <c r="Q27" s="70" t="str">
        <f aca="false">IF($P27="","",0)</f>
        <v/>
      </c>
      <c r="R27" s="70" t="str">
        <f aca="false">IF($P27="","",ROUND(N($G27),2))</f>
        <v/>
      </c>
      <c r="S27" s="67" t="str">
        <f aca="false">""</f>
        <v/>
      </c>
      <c r="T27" s="70" t="str">
        <f aca="false">IF($S27="","",0)</f>
        <v/>
      </c>
      <c r="U27" s="70" t="str">
        <f aca="false">IF($S27="","",0)</f>
        <v/>
      </c>
      <c r="V27" s="66" t="str">
        <f aca="false">IF($B27="","",IF($B27="01水果",IFERROR(INDEX(对接源_01水果!$H$5:$H$507,MATCH(ROW()-3,对接源_01水果!$Q$5:$Q$507,0)),""),IFERROR(INDEX(对接源_02物料!$H$5:$H$460,MATCH(ROW()-3-N(对接源_01水果!$T$1),对接源_02物料!$Q$5:$Q$460,0)),"")))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" customFormat="false" ht="18" hidden="false" customHeight="true" outlineLevel="0" collapsed="false">
      <c r="A28" s="66" t="n">
        <v>25</v>
      </c>
      <c r="B28" s="67" t="str">
        <f aca="false">IF(ROW()-3&lt;=N(对接源_01水果!$T$1),"01水果",IF(ROW()-3&lt;=N(对接源_01水果!$T$1)+N(对接源_02物料!$T$1),"02物料",""))</f>
        <v/>
      </c>
      <c r="C28" s="68" t="str">
        <f aca="false">IF($B28="","",IF($B28="01水果",IFERROR(INDEX(对接源_01水果!$B$5:$B$507,MATCH(ROW()-3,对接源_01水果!$Q$5:$Q$507,0)),""),IFERROR(INDEX(对接源_02物料!$B$5:$B$460,MATCH(ROW()-3-N(对接源_01水果!$T$1),对接源_02物料!$Q$5:$Q$460,0)),"")))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" s="67" t="str">
        <f aca="false">IF($B28="","",IF($B28="01水果",IFERROR(INDEX(对接源_01水果!$C$5:$C$507,MATCH(ROW()-3,对接源_01水果!$Q$5:$Q$507,0)),""),IFERROR(INDEX(对接源_02物料!$C$5:$C$460,MATCH(ROW()-3-N(对接源_01水果!$T$1),对接源_02物料!$Q$5:$Q$460,0)),"")))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" s="69" t="str">
        <f aca="false">IF($B28="","",IF($B28="01水果",IFERROR(INDEX(对接源_01水果!$D$5:$D$507,MATCH(ROW()-3,对接源_01水果!$Q$5:$Q$507,0)),""),IFERROR(INDEX(对接源_02物料!$D$5:$D$460,MATCH(ROW()-3-N(对接源_01水果!$T$1),对接源_02物料!$Q$5:$Q$460,0)),"")))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" s="67" t="str">
        <f aca="false">IF($B28="","",IF($B28="01水果",IFERROR(INDEX(对接源_01水果!$E$5:$E$507,MATCH(ROW()-3,对接源_01水果!$Q$5:$Q$507,0)),""),IFERROR(INDEX(对接源_02物料!$E$5:$E$460,MATCH(ROW()-3-N(对接源_01水果!$T$1),对接源_02物料!$Q$5:$Q$460,0)),"")))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" s="70" t="str">
        <f aca="false">IF($B28="","",IF($B28="01水果",IFERROR(INDEX(对接源_01水果!$F$5:$F$507,MATCH(ROW()-3,对接源_01水果!$Q$5:$Q$507,0)),""),IFERROR(INDEX(对接源_02物料!$F$5:$F$460,MATCH(ROW()-3-N(对接源_01水果!$T$1),对接源_02物料!$Q$5:$Q$460,0)),"")))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" s="70" t="str">
        <f aca="false">IF($B28="","",IF($B28="01水果",IFERROR(INDEX(对接源_01水果!$G$5:$G$507,MATCH(ROW()-3,对接源_01水果!$Q$5:$Q$507,0)),""),IFERROR(INDEX(对接源_02物料!$G$5:$G$460,MATCH(ROW()-3-N(对接源_01水果!$T$1),对接源_02物料!$Q$5:$Q$460,0)),"")))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" s="67" t="str">
        <f aca="false">IF(OR($D28="客户应收",$D28="成品销售款",$D28="公司购买果品款",$D28="筐子销售款",$D28="物料销售款"),"客户往来",IFERROR(INDEX(收入成本映射!$C$4:$C$34,MATCH($D28,收入成本映射!$B$4:$B$34,0)),"不记账"))</f>
        <v>不记账</v>
      </c>
      <c r="J28" s="67" t="str">
        <f aca="false">IF($B28="","","0%")</f>
        <v/>
      </c>
      <c r="K28" s="70" t="n">
        <f aca="false">IF($I28="不记账",0,ROUND(N($G28),2))</f>
        <v>0</v>
      </c>
      <c r="L28" s="70" t="n">
        <v>0</v>
      </c>
      <c r="M28" s="67" t="str">
        <f aca="false">IF(OR($I28="不记账",ROUND(N($G28),2)=0),"",IFERROR(INDEX(收入成本映射!$E$4:$E$34,MATCH($D28,收入成本映射!$B$4:$B$34,0)),""))</f>
        <v/>
      </c>
      <c r="N28" s="70" t="str">
        <f aca="false">IF($M28="","",ROUND(N($G28),2))</f>
        <v/>
      </c>
      <c r="O28" s="70" t="str">
        <f aca="false">IF($M28="","",0)</f>
        <v/>
      </c>
      <c r="P28" s="67" t="str">
        <f aca="false">IF($M28="","",IFERROR(INDEX(收入成本映射!$F$4:$F$34,MATCH($D28,收入成本映射!$B$4:$B$34,0)),""))</f>
        <v/>
      </c>
      <c r="Q28" s="70" t="str">
        <f aca="false">IF($P28="","",0)</f>
        <v/>
      </c>
      <c r="R28" s="70" t="str">
        <f aca="false">IF($P28="","",ROUND(N($G28),2))</f>
        <v/>
      </c>
      <c r="S28" s="67" t="str">
        <f aca="false">""</f>
        <v/>
      </c>
      <c r="T28" s="70" t="str">
        <f aca="false">IF($S28="","",0)</f>
        <v/>
      </c>
      <c r="U28" s="70" t="str">
        <f aca="false">IF($S28="","",0)</f>
        <v/>
      </c>
      <c r="V28" s="66" t="str">
        <f aca="false">IF($B28="","",IF($B28="01水果",IFERROR(INDEX(对接源_01水果!$H$5:$H$507,MATCH(ROW()-3,对接源_01水果!$Q$5:$Q$507,0)),""),IFERROR(INDEX(对接源_02物料!$H$5:$H$460,MATCH(ROW()-3-N(对接源_01水果!$T$1),对接源_02物料!$Q$5:$Q$460,0)),"")))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" customFormat="false" ht="18" hidden="false" customHeight="true" outlineLevel="0" collapsed="false">
      <c r="A29" s="66" t="n">
        <v>26</v>
      </c>
      <c r="B29" s="67" t="str">
        <f aca="false">IF(ROW()-3&lt;=N(对接源_01水果!$T$1),"01水果",IF(ROW()-3&lt;=N(对接源_01水果!$T$1)+N(对接源_02物料!$T$1),"02物料",""))</f>
        <v/>
      </c>
      <c r="C29" s="68" t="str">
        <f aca="false">IF($B29="","",IF($B29="01水果",IFERROR(INDEX(对接源_01水果!$B$5:$B$507,MATCH(ROW()-3,对接源_01水果!$Q$5:$Q$507,0)),""),IFERROR(INDEX(对接源_02物料!$B$5:$B$460,MATCH(ROW()-3-N(对接源_01水果!$T$1),对接源_02物料!$Q$5:$Q$460,0)),"")))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" s="67" t="str">
        <f aca="false">IF($B29="","",IF($B29="01水果",IFERROR(INDEX(对接源_01水果!$C$5:$C$507,MATCH(ROW()-3,对接源_01水果!$Q$5:$Q$507,0)),""),IFERROR(INDEX(对接源_02物料!$C$5:$C$460,MATCH(ROW()-3-N(对接源_01水果!$T$1),对接源_02物料!$Q$5:$Q$460,0)),"")))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" s="69" t="str">
        <f aca="false">IF($B29="","",IF($B29="01水果",IFERROR(INDEX(对接源_01水果!$D$5:$D$507,MATCH(ROW()-3,对接源_01水果!$Q$5:$Q$507,0)),""),IFERROR(INDEX(对接源_02物料!$D$5:$D$460,MATCH(ROW()-3-N(对接源_01水果!$T$1),对接源_02物料!$Q$5:$Q$460,0)),"")))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" s="67" t="str">
        <f aca="false">IF($B29="","",IF($B29="01水果",IFERROR(INDEX(对接源_01水果!$E$5:$E$507,MATCH(ROW()-3,对接源_01水果!$Q$5:$Q$507,0)),""),IFERROR(INDEX(对接源_02物料!$E$5:$E$460,MATCH(ROW()-3-N(对接源_01水果!$T$1),对接源_02物料!$Q$5:$Q$460,0)),"")))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" s="70" t="str">
        <f aca="false">IF($B29="","",IF($B29="01水果",IFERROR(INDEX(对接源_01水果!$F$5:$F$507,MATCH(ROW()-3,对接源_01水果!$Q$5:$Q$507,0)),""),IFERROR(INDEX(对接源_02物料!$F$5:$F$460,MATCH(ROW()-3-N(对接源_01水果!$T$1),对接源_02物料!$Q$5:$Q$460,0)),"")))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" s="70" t="str">
        <f aca="false">IF($B29="","",IF($B29="01水果",IFERROR(INDEX(对接源_01水果!$G$5:$G$507,MATCH(ROW()-3,对接源_01水果!$Q$5:$Q$507,0)),""),IFERROR(INDEX(对接源_02物料!$G$5:$G$460,MATCH(ROW()-3-N(对接源_01水果!$T$1),对接源_02物料!$Q$5:$Q$460,0)),"")))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" s="67" t="str">
        <f aca="false">IF(OR($D29="客户应收",$D29="成品销售款",$D29="公司购买果品款",$D29="筐子销售款",$D29="物料销售款"),"客户往来",IFERROR(INDEX(收入成本映射!$C$4:$C$34,MATCH($D29,收入成本映射!$B$4:$B$34,0)),"不记账"))</f>
        <v>不记账</v>
      </c>
      <c r="J29" s="67" t="str">
        <f aca="false">IF($B29="","","0%")</f>
        <v/>
      </c>
      <c r="K29" s="70" t="n">
        <f aca="false">IF($I29="不记账",0,ROUND(N($G29),2))</f>
        <v>0</v>
      </c>
      <c r="L29" s="70" t="n">
        <v>0</v>
      </c>
      <c r="M29" s="67" t="str">
        <f aca="false">IF(OR($I29="不记账",ROUND(N($G29),2)=0),"",IFERROR(INDEX(收入成本映射!$E$4:$E$34,MATCH($D29,收入成本映射!$B$4:$B$34,0)),""))</f>
        <v/>
      </c>
      <c r="N29" s="70" t="str">
        <f aca="false">IF($M29="","",ROUND(N($G29),2))</f>
        <v/>
      </c>
      <c r="O29" s="70" t="str">
        <f aca="false">IF($M29="","",0)</f>
        <v/>
      </c>
      <c r="P29" s="67" t="str">
        <f aca="false">IF($M29="","",IFERROR(INDEX(收入成本映射!$F$4:$F$34,MATCH($D29,收入成本映射!$B$4:$B$34,0)),""))</f>
        <v/>
      </c>
      <c r="Q29" s="70" t="str">
        <f aca="false">IF($P29="","",0)</f>
        <v/>
      </c>
      <c r="R29" s="70" t="str">
        <f aca="false">IF($P29="","",ROUND(N($G29),2))</f>
        <v/>
      </c>
      <c r="S29" s="67" t="str">
        <f aca="false">""</f>
        <v/>
      </c>
      <c r="T29" s="70" t="str">
        <f aca="false">IF($S29="","",0)</f>
        <v/>
      </c>
      <c r="U29" s="70" t="str">
        <f aca="false">IF($S29="","",0)</f>
        <v/>
      </c>
      <c r="V29" s="66" t="str">
        <f aca="false">IF($B29="","",IF($B29="01水果",IFERROR(INDEX(对接源_01水果!$H$5:$H$507,MATCH(ROW()-3,对接源_01水果!$Q$5:$Q$507,0)),""),IFERROR(INDEX(对接源_02物料!$H$5:$H$460,MATCH(ROW()-3-N(对接源_01水果!$T$1),对接源_02物料!$Q$5:$Q$460,0)),"")))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" customFormat="false" ht="18" hidden="false" customHeight="true" outlineLevel="0" collapsed="false">
      <c r="A30" s="66" t="n">
        <v>27</v>
      </c>
      <c r="B30" s="67" t="str">
        <f aca="false">IF(ROW()-3&lt;=N(对接源_01水果!$T$1),"01水果",IF(ROW()-3&lt;=N(对接源_01水果!$T$1)+N(对接源_02物料!$T$1),"02物料",""))</f>
        <v/>
      </c>
      <c r="C30" s="68" t="str">
        <f aca="false">IF($B30="","",IF($B30="01水果",IFERROR(INDEX(对接源_01水果!$B$5:$B$507,MATCH(ROW()-3,对接源_01水果!$Q$5:$Q$507,0)),""),IFERROR(INDEX(对接源_02物料!$B$5:$B$460,MATCH(ROW()-3-N(对接源_01水果!$T$1),对接源_02物料!$Q$5:$Q$460,0)),"")))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" s="67" t="str">
        <f aca="false">IF($B30="","",IF($B30="01水果",IFERROR(INDEX(对接源_01水果!$C$5:$C$507,MATCH(ROW()-3,对接源_01水果!$Q$5:$Q$507,0)),""),IFERROR(INDEX(对接源_02物料!$C$5:$C$460,MATCH(ROW()-3-N(对接源_01水果!$T$1),对接源_02物料!$Q$5:$Q$460,0)),"")))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" s="69" t="str">
        <f aca="false">IF($B30="","",IF($B30="01水果",IFERROR(INDEX(对接源_01水果!$D$5:$D$507,MATCH(ROW()-3,对接源_01水果!$Q$5:$Q$507,0)),""),IFERROR(INDEX(对接源_02物料!$D$5:$D$460,MATCH(ROW()-3-N(对接源_01水果!$T$1),对接源_02物料!$Q$5:$Q$460,0)),"")))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" s="67" t="str">
        <f aca="false">IF($B30="","",IF($B30="01水果",IFERROR(INDEX(对接源_01水果!$E$5:$E$507,MATCH(ROW()-3,对接源_01水果!$Q$5:$Q$507,0)),""),IFERROR(INDEX(对接源_02物料!$E$5:$E$460,MATCH(ROW()-3-N(对接源_01水果!$T$1),对接源_02物料!$Q$5:$Q$460,0)),"")))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" s="70" t="str">
        <f aca="false">IF($B30="","",IF($B30="01水果",IFERROR(INDEX(对接源_01水果!$F$5:$F$507,MATCH(ROW()-3,对接源_01水果!$Q$5:$Q$507,0)),""),IFERROR(INDEX(对接源_02物料!$F$5:$F$460,MATCH(ROW()-3-N(对接源_01水果!$T$1),对接源_02物料!$Q$5:$Q$460,0)),"")))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" s="70" t="str">
        <f aca="false">IF($B30="","",IF($B30="01水果",IFERROR(INDEX(对接源_01水果!$G$5:$G$507,MATCH(ROW()-3,对接源_01水果!$Q$5:$Q$507,0)),""),IFERROR(INDEX(对接源_02物料!$G$5:$G$460,MATCH(ROW()-3-N(对接源_01水果!$T$1),对接源_02物料!$Q$5:$Q$460,0)),"")))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" s="67" t="str">
        <f aca="false">IF(OR($D30="客户应收",$D30="成品销售款",$D30="公司购买果品款",$D30="筐子销售款",$D30="物料销售款"),"客户往来",IFERROR(INDEX(收入成本映射!$C$4:$C$34,MATCH($D30,收入成本映射!$B$4:$B$34,0)),"不记账"))</f>
        <v>不记账</v>
      </c>
      <c r="J30" s="67" t="str">
        <f aca="false">IF($B30="","","0%")</f>
        <v/>
      </c>
      <c r="K30" s="70" t="n">
        <f aca="false">IF($I30="不记账",0,ROUND(N($G30),2))</f>
        <v>0</v>
      </c>
      <c r="L30" s="70" t="n">
        <v>0</v>
      </c>
      <c r="M30" s="67" t="str">
        <f aca="false">IF(OR($I30="不记账",ROUND(N($G30),2)=0),"",IFERROR(INDEX(收入成本映射!$E$4:$E$34,MATCH($D30,收入成本映射!$B$4:$B$34,0)),""))</f>
        <v/>
      </c>
      <c r="N30" s="70" t="str">
        <f aca="false">IF($M30="","",ROUND(N($G30),2))</f>
        <v/>
      </c>
      <c r="O30" s="70" t="str">
        <f aca="false">IF($M30="","",0)</f>
        <v/>
      </c>
      <c r="P30" s="67" t="str">
        <f aca="false">IF($M30="","",IFERROR(INDEX(收入成本映射!$F$4:$F$34,MATCH($D30,收入成本映射!$B$4:$B$34,0)),""))</f>
        <v/>
      </c>
      <c r="Q30" s="70" t="str">
        <f aca="false">IF($P30="","",0)</f>
        <v/>
      </c>
      <c r="R30" s="70" t="str">
        <f aca="false">IF($P30="","",ROUND(N($G30),2))</f>
        <v/>
      </c>
      <c r="S30" s="67" t="str">
        <f aca="false">""</f>
        <v/>
      </c>
      <c r="T30" s="70" t="str">
        <f aca="false">IF($S30="","",0)</f>
        <v/>
      </c>
      <c r="U30" s="70" t="str">
        <f aca="false">IF($S30="","",0)</f>
        <v/>
      </c>
      <c r="V30" s="66" t="str">
        <f aca="false">IF($B30="","",IF($B30="01水果",IFERROR(INDEX(对接源_01水果!$H$5:$H$507,MATCH(ROW()-3,对接源_01水果!$Q$5:$Q$507,0)),""),IFERROR(INDEX(对接源_02物料!$H$5:$H$460,MATCH(ROW()-3-N(对接源_01水果!$T$1),对接源_02物料!$Q$5:$Q$460,0)),"")))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1" customFormat="false" ht="18" hidden="false" customHeight="true" outlineLevel="0" collapsed="false">
      <c r="A31" s="66" t="n">
        <v>28</v>
      </c>
      <c r="B31" s="67" t="str">
        <f aca="false">IF(ROW()-3&lt;=N(对接源_01水果!$T$1),"01水果",IF(ROW()-3&lt;=N(对接源_01水果!$T$1)+N(对接源_02物料!$T$1),"02物料",""))</f>
        <v/>
      </c>
      <c r="C31" s="68" t="str">
        <f aca="false">IF($B31="","",IF($B31="01水果",IFERROR(INDEX(对接源_01水果!$B$5:$B$507,MATCH(ROW()-3,对接源_01水果!$Q$5:$Q$507,0)),""),IFERROR(INDEX(对接源_02物料!$B$5:$B$460,MATCH(ROW()-3-N(对接源_01水果!$T$1),对接源_02物料!$Q$5:$Q$460,0)),"")))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31" s="67" t="str">
        <f aca="false">IF($B31="","",IF($B31="01水果",IFERROR(INDEX(对接源_01水果!$C$5:$C$507,MATCH(ROW()-3,对接源_01水果!$Q$5:$Q$507,0)),""),IFERROR(INDEX(对接源_02物料!$C$5:$C$460,MATCH(ROW()-3-N(对接源_01水果!$T$1),对接源_02物料!$Q$5:$Q$460,0)),"")))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31" s="69" t="str">
        <f aca="false">IF($B31="","",IF($B31="01水果",IFERROR(INDEX(对接源_01水果!$D$5:$D$507,MATCH(ROW()-3,对接源_01水果!$Q$5:$Q$507,0)),""),IFERROR(INDEX(对接源_02物料!$D$5:$D$460,MATCH(ROW()-3-N(对接源_01水果!$T$1),对接源_02物料!$Q$5:$Q$460,0)),"")))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31" s="67" t="str">
        <f aca="false">IF($B31="","",IF($B31="01水果",IFERROR(INDEX(对接源_01水果!$E$5:$E$507,MATCH(ROW()-3,对接源_01水果!$Q$5:$Q$507,0)),""),IFERROR(INDEX(对接源_02物料!$E$5:$E$460,MATCH(ROW()-3-N(对接源_01水果!$T$1),对接源_02物料!$Q$5:$Q$460,0)),"")))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31" s="70" t="str">
        <f aca="false">IF($B31="","",IF($B31="01水果",IFERROR(INDEX(对接源_01水果!$F$5:$F$507,MATCH(ROW()-3,对接源_01水果!$Q$5:$Q$507,0)),""),IFERROR(INDEX(对接源_02物料!$F$5:$F$460,MATCH(ROW()-3-N(对接源_01水果!$T$1),对接源_02物料!$Q$5:$Q$460,0)),"")))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31" s="70" t="str">
        <f aca="false">IF($B31="","",IF($B31="01水果",IFERROR(INDEX(对接源_01水果!$G$5:$G$507,MATCH(ROW()-3,对接源_01水果!$Q$5:$Q$507,0)),""),IFERROR(INDEX(对接源_02物料!$G$5:$G$460,MATCH(ROW()-3-N(对接源_01水果!$T$1),对接源_02物料!$Q$5:$Q$460,0)),"")))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31" s="67" t="str">
        <f aca="false">IF(OR($D31="客户应收",$D31="成品销售款",$D31="公司购买果品款",$D31="筐子销售款",$D31="物料销售款"),"客户往来",IFERROR(INDEX(收入成本映射!$C$4:$C$34,MATCH($D31,收入成本映射!$B$4:$B$34,0)),"不记账"))</f>
        <v>不记账</v>
      </c>
      <c r="J31" s="67" t="str">
        <f aca="false">IF($B31="","","0%")</f>
        <v/>
      </c>
      <c r="K31" s="70" t="n">
        <f aca="false">IF($I31="不记账",0,ROUND(N($G31),2))</f>
        <v>0</v>
      </c>
      <c r="L31" s="70" t="n">
        <v>0</v>
      </c>
      <c r="M31" s="67" t="str">
        <f aca="false">IF(OR($I31="不记账",ROUND(N($G31),2)=0),"",IFERROR(INDEX(收入成本映射!$E$4:$E$34,MATCH($D31,收入成本映射!$B$4:$B$34,0)),""))</f>
        <v/>
      </c>
      <c r="N31" s="70" t="str">
        <f aca="false">IF($M31="","",ROUND(N($G31),2))</f>
        <v/>
      </c>
      <c r="O31" s="70" t="str">
        <f aca="false">IF($M31="","",0)</f>
        <v/>
      </c>
      <c r="P31" s="67" t="str">
        <f aca="false">IF($M31="","",IFERROR(INDEX(收入成本映射!$F$4:$F$34,MATCH($D31,收入成本映射!$B$4:$B$34,0)),""))</f>
        <v/>
      </c>
      <c r="Q31" s="70" t="str">
        <f aca="false">IF($P31="","",0)</f>
        <v/>
      </c>
      <c r="R31" s="70" t="str">
        <f aca="false">IF($P31="","",ROUND(N($G31),2))</f>
        <v/>
      </c>
      <c r="S31" s="67" t="str">
        <f aca="false">""</f>
        <v/>
      </c>
      <c r="T31" s="70" t="str">
        <f aca="false">IF($S31="","",0)</f>
        <v/>
      </c>
      <c r="U31" s="70" t="str">
        <f aca="false">IF($S31="","",0)</f>
        <v/>
      </c>
      <c r="V31" s="66" t="str">
        <f aca="false">IF($B31="","",IF($B31="01水果",IFERROR(INDEX(对接源_01水果!$H$5:$H$507,MATCH(ROW()-3,对接源_01水果!$Q$5:$Q$507,0)),""),IFERROR(INDEX(对接源_02物料!$H$5:$H$460,MATCH(ROW()-3-N(对接源_01水果!$T$1),对接源_02物料!$Q$5:$Q$460,0)),"")))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2" customFormat="false" ht="18" hidden="false" customHeight="true" outlineLevel="0" collapsed="false">
      <c r="A32" s="66" t="n">
        <v>29</v>
      </c>
      <c r="B32" s="67" t="str">
        <f aca="false">IF(ROW()-3&lt;=N(对接源_01水果!$T$1),"01水果",IF(ROW()-3&lt;=N(对接源_01水果!$T$1)+N(对接源_02物料!$T$1),"02物料",""))</f>
        <v/>
      </c>
      <c r="C32" s="68" t="str">
        <f aca="false">IF($B32="","",IF($B32="01水果",IFERROR(INDEX(对接源_01水果!$B$5:$B$507,MATCH(ROW()-3,对接源_01水果!$Q$5:$Q$507,0)),""),IFERROR(INDEX(对接源_02物料!$B$5:$B$460,MATCH(ROW()-3-N(对接源_01水果!$T$1),对接源_02物料!$Q$5:$Q$460,0)),"")))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32" s="67" t="str">
        <f aca="false">IF($B32="","",IF($B32="01水果",IFERROR(INDEX(对接源_01水果!$C$5:$C$507,MATCH(ROW()-3,对接源_01水果!$Q$5:$Q$507,0)),""),IFERROR(INDEX(对接源_02物料!$C$5:$C$460,MATCH(ROW()-3-N(对接源_01水果!$T$1),对接源_02物料!$Q$5:$Q$460,0)),"")))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32" s="69" t="str">
        <f aca="false">IF($B32="","",IF($B32="01水果",IFERROR(INDEX(对接源_01水果!$D$5:$D$507,MATCH(ROW()-3,对接源_01水果!$Q$5:$Q$507,0)),""),IFERROR(INDEX(对接源_02物料!$D$5:$D$460,MATCH(ROW()-3-N(对接源_01水果!$T$1),对接源_02物料!$Q$5:$Q$460,0)),"")))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32" s="67" t="str">
        <f aca="false">IF($B32="","",IF($B32="01水果",IFERROR(INDEX(对接源_01水果!$E$5:$E$507,MATCH(ROW()-3,对接源_01水果!$Q$5:$Q$507,0)),""),IFERROR(INDEX(对接源_02物料!$E$5:$E$460,MATCH(ROW()-3-N(对接源_01水果!$T$1),对接源_02物料!$Q$5:$Q$460,0)),"")))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32" s="70" t="str">
        <f aca="false">IF($B32="","",IF($B32="01水果",IFERROR(INDEX(对接源_01水果!$F$5:$F$507,MATCH(ROW()-3,对接源_01水果!$Q$5:$Q$507,0)),""),IFERROR(INDEX(对接源_02物料!$F$5:$F$460,MATCH(ROW()-3-N(对接源_01水果!$T$1),对接源_02物料!$Q$5:$Q$460,0)),"")))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32" s="70" t="str">
        <f aca="false">IF($B32="","",IF($B32="01水果",IFERROR(INDEX(对接源_01水果!$G$5:$G$507,MATCH(ROW()-3,对接源_01水果!$Q$5:$Q$507,0)),""),IFERROR(INDEX(对接源_02物料!$G$5:$G$460,MATCH(ROW()-3-N(对接源_01水果!$T$1),对接源_02物料!$Q$5:$Q$460,0)),"")))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32" s="67" t="str">
        <f aca="false">IF(OR($D32="客户应收",$D32="成品销售款",$D32="公司购买果品款",$D32="筐子销售款",$D32="物料销售款"),"客户往来",IFERROR(INDEX(收入成本映射!$C$4:$C$34,MATCH($D32,收入成本映射!$B$4:$B$34,0)),"不记账"))</f>
        <v>不记账</v>
      </c>
      <c r="J32" s="67" t="str">
        <f aca="false">IF($B32="","","0%")</f>
        <v/>
      </c>
      <c r="K32" s="70" t="n">
        <f aca="false">IF($I32="不记账",0,ROUND(N($G32),2))</f>
        <v>0</v>
      </c>
      <c r="L32" s="70" t="n">
        <v>0</v>
      </c>
      <c r="M32" s="67" t="str">
        <f aca="false">IF(OR($I32="不记账",ROUND(N($G32),2)=0),"",IFERROR(INDEX(收入成本映射!$E$4:$E$34,MATCH($D32,收入成本映射!$B$4:$B$34,0)),""))</f>
        <v/>
      </c>
      <c r="N32" s="70" t="str">
        <f aca="false">IF($M32="","",ROUND(N($G32),2))</f>
        <v/>
      </c>
      <c r="O32" s="70" t="str">
        <f aca="false">IF($M32="","",0)</f>
        <v/>
      </c>
      <c r="P32" s="67" t="str">
        <f aca="false">IF($M32="","",IFERROR(INDEX(收入成本映射!$F$4:$F$34,MATCH($D32,收入成本映射!$B$4:$B$34,0)),""))</f>
        <v/>
      </c>
      <c r="Q32" s="70" t="str">
        <f aca="false">IF($P32="","",0)</f>
        <v/>
      </c>
      <c r="R32" s="70" t="str">
        <f aca="false">IF($P32="","",ROUND(N($G32),2))</f>
        <v/>
      </c>
      <c r="S32" s="67" t="str">
        <f aca="false">""</f>
        <v/>
      </c>
      <c r="T32" s="70" t="str">
        <f aca="false">IF($S32="","",0)</f>
        <v/>
      </c>
      <c r="U32" s="70" t="str">
        <f aca="false">IF($S32="","",0)</f>
        <v/>
      </c>
      <c r="V32" s="66" t="str">
        <f aca="false">IF($B32="","",IF($B32="01水果",IFERROR(INDEX(对接源_01水果!$H$5:$H$507,MATCH(ROW()-3,对接源_01水果!$Q$5:$Q$507,0)),""),IFERROR(INDEX(对接源_02物料!$H$5:$H$460,MATCH(ROW()-3-N(对接源_01水果!$T$1),对接源_02物料!$Q$5:$Q$460,0)),"")))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3" customFormat="false" ht="18" hidden="false" customHeight="true" outlineLevel="0" collapsed="false">
      <c r="A33" s="66" t="n">
        <v>30</v>
      </c>
      <c r="B33" s="67" t="str">
        <f aca="false">IF(ROW()-3&lt;=N(对接源_01水果!$T$1),"01水果",IF(ROW()-3&lt;=N(对接源_01水果!$T$1)+N(对接源_02物料!$T$1),"02物料",""))</f>
        <v/>
      </c>
      <c r="C33" s="68" t="str">
        <f aca="false">IF($B33="","",IF($B33="01水果",IFERROR(INDEX(对接源_01水果!$B$5:$B$507,MATCH(ROW()-3,对接源_01水果!$Q$5:$Q$507,0)),""),IFERROR(INDEX(对接源_02物料!$B$5:$B$460,MATCH(ROW()-3-N(对接源_01水果!$T$1),对接源_02物料!$Q$5:$Q$460,0)),"")))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33" s="67" t="str">
        <f aca="false">IF($B33="","",IF($B33="01水果",IFERROR(INDEX(对接源_01水果!$C$5:$C$507,MATCH(ROW()-3,对接源_01水果!$Q$5:$Q$507,0)),""),IFERROR(INDEX(对接源_02物料!$C$5:$C$460,MATCH(ROW()-3-N(对接源_01水果!$T$1),对接源_02物料!$Q$5:$Q$460,0)),"")))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33" s="69" t="str">
        <f aca="false">IF($B33="","",IF($B33="01水果",IFERROR(INDEX(对接源_01水果!$D$5:$D$507,MATCH(ROW()-3,对接源_01水果!$Q$5:$Q$507,0)),""),IFERROR(INDEX(对接源_02物料!$D$5:$D$460,MATCH(ROW()-3-N(对接源_01水果!$T$1),对接源_02物料!$Q$5:$Q$460,0)),"")))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33" s="67" t="str">
        <f aca="false">IF($B33="","",IF($B33="01水果",IFERROR(INDEX(对接源_01水果!$E$5:$E$507,MATCH(ROW()-3,对接源_01水果!$Q$5:$Q$507,0)),""),IFERROR(INDEX(对接源_02物料!$E$5:$E$460,MATCH(ROW()-3-N(对接源_01水果!$T$1),对接源_02物料!$Q$5:$Q$460,0)),"")))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33" s="70" t="str">
        <f aca="false">IF($B33="","",IF($B33="01水果",IFERROR(INDEX(对接源_01水果!$F$5:$F$507,MATCH(ROW()-3,对接源_01水果!$Q$5:$Q$507,0)),""),IFERROR(INDEX(对接源_02物料!$F$5:$F$460,MATCH(ROW()-3-N(对接源_01水果!$T$1),对接源_02物料!$Q$5:$Q$460,0)),"")))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33" s="70" t="str">
        <f aca="false">IF($B33="","",IF($B33="01水果",IFERROR(INDEX(对接源_01水果!$G$5:$G$507,MATCH(ROW()-3,对接源_01水果!$Q$5:$Q$507,0)),""),IFERROR(INDEX(对接源_02物料!$G$5:$G$460,MATCH(ROW()-3-N(对接源_01水果!$T$1),对接源_02物料!$Q$5:$Q$460,0)),"")))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33" s="67" t="str">
        <f aca="false">IF(OR($D33="客户应收",$D33="成品销售款",$D33="公司购买果品款",$D33="筐子销售款",$D33="物料销售款"),"客户往来",IFERROR(INDEX(收入成本映射!$C$4:$C$34,MATCH($D33,收入成本映射!$B$4:$B$34,0)),"不记账"))</f>
        <v>不记账</v>
      </c>
      <c r="J33" s="67" t="str">
        <f aca="false">IF($B33="","","0%")</f>
        <v/>
      </c>
      <c r="K33" s="70" t="n">
        <f aca="false">IF($I33="不记账",0,ROUND(N($G33),2))</f>
        <v>0</v>
      </c>
      <c r="L33" s="70" t="n">
        <v>0</v>
      </c>
      <c r="M33" s="67" t="str">
        <f aca="false">IF(OR($I33="不记账",ROUND(N($G33),2)=0),"",IFERROR(INDEX(收入成本映射!$E$4:$E$34,MATCH($D33,收入成本映射!$B$4:$B$34,0)),""))</f>
        <v/>
      </c>
      <c r="N33" s="70" t="str">
        <f aca="false">IF($M33="","",ROUND(N($G33),2))</f>
        <v/>
      </c>
      <c r="O33" s="70" t="str">
        <f aca="false">IF($M33="","",0)</f>
        <v/>
      </c>
      <c r="P33" s="67" t="str">
        <f aca="false">IF($M33="","",IFERROR(INDEX(收入成本映射!$F$4:$F$34,MATCH($D33,收入成本映射!$B$4:$B$34,0)),""))</f>
        <v/>
      </c>
      <c r="Q33" s="70" t="str">
        <f aca="false">IF($P33="","",0)</f>
        <v/>
      </c>
      <c r="R33" s="70" t="str">
        <f aca="false">IF($P33="","",ROUND(N($G33),2))</f>
        <v/>
      </c>
      <c r="S33" s="67" t="str">
        <f aca="false">""</f>
        <v/>
      </c>
      <c r="T33" s="70" t="str">
        <f aca="false">IF($S33="","",0)</f>
        <v/>
      </c>
      <c r="U33" s="70" t="str">
        <f aca="false">IF($S33="","",0)</f>
        <v/>
      </c>
      <c r="V33" s="66" t="str">
        <f aca="false">IF($B33="","",IF($B33="01水果",IFERROR(INDEX(对接源_01水果!$H$5:$H$507,MATCH(ROW()-3,对接源_01水果!$Q$5:$Q$507,0)),""),IFERROR(INDEX(对接源_02物料!$H$5:$H$460,MATCH(ROW()-3-N(对接源_01水果!$T$1),对接源_02物料!$Q$5:$Q$460,0)),"")))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4" customFormat="false" ht="18" hidden="false" customHeight="true" outlineLevel="0" collapsed="false">
      <c r="A34" s="66" t="n">
        <v>31</v>
      </c>
      <c r="B34" s="67" t="str">
        <f aca="false">IF(ROW()-3&lt;=N(对接源_01水果!$T$1),"01水果",IF(ROW()-3&lt;=N(对接源_01水果!$T$1)+N(对接源_02物料!$T$1),"02物料",""))</f>
        <v/>
      </c>
      <c r="C34" s="68" t="str">
        <f aca="false">IF($B34="","",IF($B34="01水果",IFERROR(INDEX(对接源_01水果!$B$5:$B$507,MATCH(ROW()-3,对接源_01水果!$Q$5:$Q$507,0)),""),IFERROR(INDEX(对接源_02物料!$B$5:$B$460,MATCH(ROW()-3-N(对接源_01水果!$T$1),对接源_02物料!$Q$5:$Q$460,0)),"")))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34" s="67" t="str">
        <f aca="false">IF($B34="","",IF($B34="01水果",IFERROR(INDEX(对接源_01水果!$C$5:$C$507,MATCH(ROW()-3,对接源_01水果!$Q$5:$Q$507,0)),""),IFERROR(INDEX(对接源_02物料!$C$5:$C$460,MATCH(ROW()-3-N(对接源_01水果!$T$1),对接源_02物料!$Q$5:$Q$460,0)),"")))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34" s="69" t="str">
        <f aca="false">IF($B34="","",IF($B34="01水果",IFERROR(INDEX(对接源_01水果!$D$5:$D$507,MATCH(ROW()-3,对接源_01水果!$Q$5:$Q$507,0)),""),IFERROR(INDEX(对接源_02物料!$D$5:$D$460,MATCH(ROW()-3-N(对接源_01水果!$T$1),对接源_02物料!$Q$5:$Q$460,0)),"")))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34" s="67" t="str">
        <f aca="false">IF($B34="","",IF($B34="01水果",IFERROR(INDEX(对接源_01水果!$E$5:$E$507,MATCH(ROW()-3,对接源_01水果!$Q$5:$Q$507,0)),""),IFERROR(INDEX(对接源_02物料!$E$5:$E$460,MATCH(ROW()-3-N(对接源_01水果!$T$1),对接源_02物料!$Q$5:$Q$460,0)),"")))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34" s="70" t="str">
        <f aca="false">IF($B34="","",IF($B34="01水果",IFERROR(INDEX(对接源_01水果!$F$5:$F$507,MATCH(ROW()-3,对接源_01水果!$Q$5:$Q$507,0)),""),IFERROR(INDEX(对接源_02物料!$F$5:$F$460,MATCH(ROW()-3-N(对接源_01水果!$T$1),对接源_02物料!$Q$5:$Q$460,0)),"")))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34" s="70" t="str">
        <f aca="false">IF($B34="","",IF($B34="01水果",IFERROR(INDEX(对接源_01水果!$G$5:$G$507,MATCH(ROW()-3,对接源_01水果!$Q$5:$Q$507,0)),""),IFERROR(INDEX(对接源_02物料!$G$5:$G$460,MATCH(ROW()-3-N(对接源_01水果!$T$1),对接源_02物料!$Q$5:$Q$460,0)),"")))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34" s="67" t="str">
        <f aca="false">IF(OR($D34="客户应收",$D34="成品销售款",$D34="公司购买果品款",$D34="筐子销售款",$D34="物料销售款"),"客户往来",IFERROR(INDEX(收入成本映射!$C$4:$C$34,MATCH($D34,收入成本映射!$B$4:$B$34,0)),"不记账"))</f>
        <v>不记账</v>
      </c>
      <c r="J34" s="67" t="str">
        <f aca="false">IF($B34="","","0%")</f>
        <v/>
      </c>
      <c r="K34" s="70" t="n">
        <f aca="false">IF($I34="不记账",0,ROUND(N($G34),2))</f>
        <v>0</v>
      </c>
      <c r="L34" s="70" t="n">
        <v>0</v>
      </c>
      <c r="M34" s="67" t="str">
        <f aca="false">IF(OR($I34="不记账",ROUND(N($G34),2)=0),"",IFERROR(INDEX(收入成本映射!$E$4:$E$34,MATCH($D34,收入成本映射!$B$4:$B$34,0)),""))</f>
        <v/>
      </c>
      <c r="N34" s="70" t="str">
        <f aca="false">IF($M34="","",ROUND(N($G34),2))</f>
        <v/>
      </c>
      <c r="O34" s="70" t="str">
        <f aca="false">IF($M34="","",0)</f>
        <v/>
      </c>
      <c r="P34" s="67" t="str">
        <f aca="false">IF($M34="","",IFERROR(INDEX(收入成本映射!$F$4:$F$34,MATCH($D34,收入成本映射!$B$4:$B$34,0)),""))</f>
        <v/>
      </c>
      <c r="Q34" s="70" t="str">
        <f aca="false">IF($P34="","",0)</f>
        <v/>
      </c>
      <c r="R34" s="70" t="str">
        <f aca="false">IF($P34="","",ROUND(N($G34),2))</f>
        <v/>
      </c>
      <c r="S34" s="67" t="str">
        <f aca="false">""</f>
        <v/>
      </c>
      <c r="T34" s="70" t="str">
        <f aca="false">IF($S34="","",0)</f>
        <v/>
      </c>
      <c r="U34" s="70" t="str">
        <f aca="false">IF($S34="","",0)</f>
        <v/>
      </c>
      <c r="V34" s="66" t="str">
        <f aca="false">IF($B34="","",IF($B34="01水果",IFERROR(INDEX(对接源_01水果!$H$5:$H$507,MATCH(ROW()-3,对接源_01水果!$Q$5:$Q$507,0)),""),IFERROR(INDEX(对接源_02物料!$H$5:$H$460,MATCH(ROW()-3-N(对接源_01水果!$T$1),对接源_02物料!$Q$5:$Q$460,0)),"")))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5" customFormat="false" ht="18" hidden="false" customHeight="true" outlineLevel="0" collapsed="false">
      <c r="A35" s="66" t="n">
        <v>32</v>
      </c>
      <c r="B35" s="67" t="str">
        <f aca="false">IF(ROW()-3&lt;=N(对接源_01水果!$T$1),"01水果",IF(ROW()-3&lt;=N(对接源_01水果!$T$1)+N(对接源_02物料!$T$1),"02物料",""))</f>
        <v/>
      </c>
      <c r="C35" s="68" t="str">
        <f aca="false">IF($B35="","",IF($B35="01水果",IFERROR(INDEX(对接源_01水果!$B$5:$B$507,MATCH(ROW()-3,对接源_01水果!$Q$5:$Q$507,0)),""),IFERROR(INDEX(对接源_02物料!$B$5:$B$460,MATCH(ROW()-3-N(对接源_01水果!$T$1),对接源_02物料!$Q$5:$Q$460,0)),"")))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35" s="67" t="str">
        <f aca="false">IF($B35="","",IF($B35="01水果",IFERROR(INDEX(对接源_01水果!$C$5:$C$507,MATCH(ROW()-3,对接源_01水果!$Q$5:$Q$507,0)),""),IFERROR(INDEX(对接源_02物料!$C$5:$C$460,MATCH(ROW()-3-N(对接源_01水果!$T$1),对接源_02物料!$Q$5:$Q$460,0)),"")))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35" s="69" t="str">
        <f aca="false">IF($B35="","",IF($B35="01水果",IFERROR(INDEX(对接源_01水果!$D$5:$D$507,MATCH(ROW()-3,对接源_01水果!$Q$5:$Q$507,0)),""),IFERROR(INDEX(对接源_02物料!$D$5:$D$460,MATCH(ROW()-3-N(对接源_01水果!$T$1),对接源_02物料!$Q$5:$Q$460,0)),"")))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35" s="67" t="str">
        <f aca="false">IF($B35="","",IF($B35="01水果",IFERROR(INDEX(对接源_01水果!$E$5:$E$507,MATCH(ROW()-3,对接源_01水果!$Q$5:$Q$507,0)),""),IFERROR(INDEX(对接源_02物料!$E$5:$E$460,MATCH(ROW()-3-N(对接源_01水果!$T$1),对接源_02物料!$Q$5:$Q$460,0)),"")))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35" s="70" t="str">
        <f aca="false">IF($B35="","",IF($B35="01水果",IFERROR(INDEX(对接源_01水果!$F$5:$F$507,MATCH(ROW()-3,对接源_01水果!$Q$5:$Q$507,0)),""),IFERROR(INDEX(对接源_02物料!$F$5:$F$460,MATCH(ROW()-3-N(对接源_01水果!$T$1),对接源_02物料!$Q$5:$Q$460,0)),"")))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35" s="70" t="str">
        <f aca="false">IF($B35="","",IF($B35="01水果",IFERROR(INDEX(对接源_01水果!$G$5:$G$507,MATCH(ROW()-3,对接源_01水果!$Q$5:$Q$507,0)),""),IFERROR(INDEX(对接源_02物料!$G$5:$G$460,MATCH(ROW()-3-N(对接源_01水果!$T$1),对接源_02物料!$Q$5:$Q$460,0)),"")))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35" s="67" t="str">
        <f aca="false">IF(OR($D35="客户应收",$D35="成品销售款",$D35="公司购买果品款",$D35="筐子销售款",$D35="物料销售款"),"客户往来",IFERROR(INDEX(收入成本映射!$C$4:$C$34,MATCH($D35,收入成本映射!$B$4:$B$34,0)),"不记账"))</f>
        <v>不记账</v>
      </c>
      <c r="J35" s="67" t="str">
        <f aca="false">IF($B35="","","0%")</f>
        <v/>
      </c>
      <c r="K35" s="70" t="n">
        <f aca="false">IF($I35="不记账",0,ROUND(N($G35),2))</f>
        <v>0</v>
      </c>
      <c r="L35" s="70" t="n">
        <v>0</v>
      </c>
      <c r="M35" s="67" t="str">
        <f aca="false">IF(OR($I35="不记账",ROUND(N($G35),2)=0),"",IFERROR(INDEX(收入成本映射!$E$4:$E$34,MATCH($D35,收入成本映射!$B$4:$B$34,0)),""))</f>
        <v/>
      </c>
      <c r="N35" s="70" t="str">
        <f aca="false">IF($M35="","",ROUND(N($G35),2))</f>
        <v/>
      </c>
      <c r="O35" s="70" t="str">
        <f aca="false">IF($M35="","",0)</f>
        <v/>
      </c>
      <c r="P35" s="67" t="str">
        <f aca="false">IF($M35="","",IFERROR(INDEX(收入成本映射!$F$4:$F$34,MATCH($D35,收入成本映射!$B$4:$B$34,0)),""))</f>
        <v/>
      </c>
      <c r="Q35" s="70" t="str">
        <f aca="false">IF($P35="","",0)</f>
        <v/>
      </c>
      <c r="R35" s="70" t="str">
        <f aca="false">IF($P35="","",ROUND(N($G35),2))</f>
        <v/>
      </c>
      <c r="S35" s="67" t="str">
        <f aca="false">""</f>
        <v/>
      </c>
      <c r="T35" s="70" t="str">
        <f aca="false">IF($S35="","",0)</f>
        <v/>
      </c>
      <c r="U35" s="70" t="str">
        <f aca="false">IF($S35="","",0)</f>
        <v/>
      </c>
      <c r="V35" s="66" t="str">
        <f aca="false">IF($B35="","",IF($B35="01水果",IFERROR(INDEX(对接源_01水果!$H$5:$H$507,MATCH(ROW()-3,对接源_01水果!$Q$5:$Q$507,0)),""),IFERROR(INDEX(对接源_02物料!$H$5:$H$460,MATCH(ROW()-3-N(对接源_01水果!$T$1),对接源_02物料!$Q$5:$Q$460,0)),"")))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6" customFormat="false" ht="18" hidden="false" customHeight="true" outlineLevel="0" collapsed="false">
      <c r="A36" s="66" t="n">
        <v>33</v>
      </c>
      <c r="B36" s="67" t="str">
        <f aca="false">IF(ROW()-3&lt;=N(对接源_01水果!$T$1),"01水果",IF(ROW()-3&lt;=N(对接源_01水果!$T$1)+N(对接源_02物料!$T$1),"02物料",""))</f>
        <v/>
      </c>
      <c r="C36" s="68" t="str">
        <f aca="false">IF($B36="","",IF($B36="01水果",IFERROR(INDEX(对接源_01水果!$B$5:$B$507,MATCH(ROW()-3,对接源_01水果!$Q$5:$Q$507,0)),""),IFERROR(INDEX(对接源_02物料!$B$5:$B$460,MATCH(ROW()-3-N(对接源_01水果!$T$1),对接源_02物料!$Q$5:$Q$460,0)),"")))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36" s="67" t="str">
        <f aca="false">IF($B36="","",IF($B36="01水果",IFERROR(INDEX(对接源_01水果!$C$5:$C$507,MATCH(ROW()-3,对接源_01水果!$Q$5:$Q$507,0)),""),IFERROR(INDEX(对接源_02物料!$C$5:$C$460,MATCH(ROW()-3-N(对接源_01水果!$T$1),对接源_02物料!$Q$5:$Q$460,0)),"")))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36" s="69" t="str">
        <f aca="false">IF($B36="","",IF($B36="01水果",IFERROR(INDEX(对接源_01水果!$D$5:$D$507,MATCH(ROW()-3,对接源_01水果!$Q$5:$Q$507,0)),""),IFERROR(INDEX(对接源_02物料!$D$5:$D$460,MATCH(ROW()-3-N(对接源_01水果!$T$1),对接源_02物料!$Q$5:$Q$460,0)),"")))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36" s="67" t="str">
        <f aca="false">IF($B36="","",IF($B36="01水果",IFERROR(INDEX(对接源_01水果!$E$5:$E$507,MATCH(ROW()-3,对接源_01水果!$Q$5:$Q$507,0)),""),IFERROR(INDEX(对接源_02物料!$E$5:$E$460,MATCH(ROW()-3-N(对接源_01水果!$T$1),对接源_02物料!$Q$5:$Q$460,0)),"")))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36" s="70" t="str">
        <f aca="false">IF($B36="","",IF($B36="01水果",IFERROR(INDEX(对接源_01水果!$F$5:$F$507,MATCH(ROW()-3,对接源_01水果!$Q$5:$Q$507,0)),""),IFERROR(INDEX(对接源_02物料!$F$5:$F$460,MATCH(ROW()-3-N(对接源_01水果!$T$1),对接源_02物料!$Q$5:$Q$460,0)),"")))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36" s="70" t="str">
        <f aca="false">IF($B36="","",IF($B36="01水果",IFERROR(INDEX(对接源_01水果!$G$5:$G$507,MATCH(ROW()-3,对接源_01水果!$Q$5:$Q$507,0)),""),IFERROR(INDEX(对接源_02物料!$G$5:$G$460,MATCH(ROW()-3-N(对接源_01水果!$T$1),对接源_02物料!$Q$5:$Q$460,0)),"")))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36" s="67" t="str">
        <f aca="false">IF(OR($D36="客户应收",$D36="成品销售款",$D36="公司购买果品款",$D36="筐子销售款",$D36="物料销售款"),"客户往来",IFERROR(INDEX(收入成本映射!$C$4:$C$34,MATCH($D36,收入成本映射!$B$4:$B$34,0)),"不记账"))</f>
        <v>不记账</v>
      </c>
      <c r="J36" s="67" t="str">
        <f aca="false">IF($B36="","","0%")</f>
        <v/>
      </c>
      <c r="K36" s="70" t="n">
        <f aca="false">IF($I36="不记账",0,ROUND(N($G36),2))</f>
        <v>0</v>
      </c>
      <c r="L36" s="70" t="n">
        <v>0</v>
      </c>
      <c r="M36" s="67" t="str">
        <f aca="false">IF(OR($I36="不记账",ROUND(N($G36),2)=0),"",IFERROR(INDEX(收入成本映射!$E$4:$E$34,MATCH($D36,收入成本映射!$B$4:$B$34,0)),""))</f>
        <v/>
      </c>
      <c r="N36" s="70" t="str">
        <f aca="false">IF($M36="","",ROUND(N($G36),2))</f>
        <v/>
      </c>
      <c r="O36" s="70" t="str">
        <f aca="false">IF($M36="","",0)</f>
        <v/>
      </c>
      <c r="P36" s="67" t="str">
        <f aca="false">IF($M36="","",IFERROR(INDEX(收入成本映射!$F$4:$F$34,MATCH($D36,收入成本映射!$B$4:$B$34,0)),""))</f>
        <v/>
      </c>
      <c r="Q36" s="70" t="str">
        <f aca="false">IF($P36="","",0)</f>
        <v/>
      </c>
      <c r="R36" s="70" t="str">
        <f aca="false">IF($P36="","",ROUND(N($G36),2))</f>
        <v/>
      </c>
      <c r="S36" s="67" t="str">
        <f aca="false">""</f>
        <v/>
      </c>
      <c r="T36" s="70" t="str">
        <f aca="false">IF($S36="","",0)</f>
        <v/>
      </c>
      <c r="U36" s="70" t="str">
        <f aca="false">IF($S36="","",0)</f>
        <v/>
      </c>
      <c r="V36" s="66" t="str">
        <f aca="false">IF($B36="","",IF($B36="01水果",IFERROR(INDEX(对接源_01水果!$H$5:$H$507,MATCH(ROW()-3,对接源_01水果!$Q$5:$Q$507,0)),""),IFERROR(INDEX(对接源_02物料!$H$5:$H$460,MATCH(ROW()-3-N(对接源_01水果!$T$1),对接源_02物料!$Q$5:$Q$460,0)),"")))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7" customFormat="false" ht="18" hidden="false" customHeight="true" outlineLevel="0" collapsed="false">
      <c r="A37" s="66" t="n">
        <v>34</v>
      </c>
      <c r="B37" s="67" t="str">
        <f aca="false">IF(ROW()-3&lt;=N(对接源_01水果!$T$1),"01水果",IF(ROW()-3&lt;=N(对接源_01水果!$T$1)+N(对接源_02物料!$T$1),"02物料",""))</f>
        <v/>
      </c>
      <c r="C37" s="68" t="str">
        <f aca="false">IF($B37="","",IF($B37="01水果",IFERROR(INDEX(对接源_01水果!$B$5:$B$507,MATCH(ROW()-3,对接源_01水果!$Q$5:$Q$507,0)),""),IFERROR(INDEX(对接源_02物料!$B$5:$B$460,MATCH(ROW()-3-N(对接源_01水果!$T$1),对接源_02物料!$Q$5:$Q$460,0)),"")))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37" s="67" t="str">
        <f aca="false">IF($B37="","",IF($B37="01水果",IFERROR(INDEX(对接源_01水果!$C$5:$C$507,MATCH(ROW()-3,对接源_01水果!$Q$5:$Q$507,0)),""),IFERROR(INDEX(对接源_02物料!$C$5:$C$460,MATCH(ROW()-3-N(对接源_01水果!$T$1),对接源_02物料!$Q$5:$Q$460,0)),"")))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37" s="69" t="str">
        <f aca="false">IF($B37="","",IF($B37="01水果",IFERROR(INDEX(对接源_01水果!$D$5:$D$507,MATCH(ROW()-3,对接源_01水果!$Q$5:$Q$507,0)),""),IFERROR(INDEX(对接源_02物料!$D$5:$D$460,MATCH(ROW()-3-N(对接源_01水果!$T$1),对接源_02物料!$Q$5:$Q$460,0)),"")))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37" s="67" t="str">
        <f aca="false">IF($B37="","",IF($B37="01水果",IFERROR(INDEX(对接源_01水果!$E$5:$E$507,MATCH(ROW()-3,对接源_01水果!$Q$5:$Q$507,0)),""),IFERROR(INDEX(对接源_02物料!$E$5:$E$460,MATCH(ROW()-3-N(对接源_01水果!$T$1),对接源_02物料!$Q$5:$Q$460,0)),"")))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37" s="70" t="str">
        <f aca="false">IF($B37="","",IF($B37="01水果",IFERROR(INDEX(对接源_01水果!$F$5:$F$507,MATCH(ROW()-3,对接源_01水果!$Q$5:$Q$507,0)),""),IFERROR(INDEX(对接源_02物料!$F$5:$F$460,MATCH(ROW()-3-N(对接源_01水果!$T$1),对接源_02物料!$Q$5:$Q$460,0)),"")))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37" s="70" t="str">
        <f aca="false">IF($B37="","",IF($B37="01水果",IFERROR(INDEX(对接源_01水果!$G$5:$G$507,MATCH(ROW()-3,对接源_01水果!$Q$5:$Q$507,0)),""),IFERROR(INDEX(对接源_02物料!$G$5:$G$460,MATCH(ROW()-3-N(对接源_01水果!$T$1),对接源_02物料!$Q$5:$Q$460,0)),"")))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37" s="67" t="str">
        <f aca="false">IF(OR($D37="客户应收",$D37="成品销售款",$D37="公司购买果品款",$D37="筐子销售款",$D37="物料销售款"),"客户往来",IFERROR(INDEX(收入成本映射!$C$4:$C$34,MATCH($D37,收入成本映射!$B$4:$B$34,0)),"不记账"))</f>
        <v>不记账</v>
      </c>
      <c r="J37" s="67" t="str">
        <f aca="false">IF($B37="","","0%")</f>
        <v/>
      </c>
      <c r="K37" s="70" t="n">
        <f aca="false">IF($I37="不记账",0,ROUND(N($G37),2))</f>
        <v>0</v>
      </c>
      <c r="L37" s="70" t="n">
        <v>0</v>
      </c>
      <c r="M37" s="67" t="str">
        <f aca="false">IF(OR($I37="不记账",ROUND(N($G37),2)=0),"",IFERROR(INDEX(收入成本映射!$E$4:$E$34,MATCH($D37,收入成本映射!$B$4:$B$34,0)),""))</f>
        <v/>
      </c>
      <c r="N37" s="70" t="str">
        <f aca="false">IF($M37="","",ROUND(N($G37),2))</f>
        <v/>
      </c>
      <c r="O37" s="70" t="str">
        <f aca="false">IF($M37="","",0)</f>
        <v/>
      </c>
      <c r="P37" s="67" t="str">
        <f aca="false">IF($M37="","",IFERROR(INDEX(收入成本映射!$F$4:$F$34,MATCH($D37,收入成本映射!$B$4:$B$34,0)),""))</f>
        <v/>
      </c>
      <c r="Q37" s="70" t="str">
        <f aca="false">IF($P37="","",0)</f>
        <v/>
      </c>
      <c r="R37" s="70" t="str">
        <f aca="false">IF($P37="","",ROUND(N($G37),2))</f>
        <v/>
      </c>
      <c r="S37" s="67" t="str">
        <f aca="false">""</f>
        <v/>
      </c>
      <c r="T37" s="70" t="str">
        <f aca="false">IF($S37="","",0)</f>
        <v/>
      </c>
      <c r="U37" s="70" t="str">
        <f aca="false">IF($S37="","",0)</f>
        <v/>
      </c>
      <c r="V37" s="66" t="str">
        <f aca="false">IF($B37="","",IF($B37="01水果",IFERROR(INDEX(对接源_01水果!$H$5:$H$507,MATCH(ROW()-3,对接源_01水果!$Q$5:$Q$507,0)),""),IFERROR(INDEX(对接源_02物料!$H$5:$H$460,MATCH(ROW()-3-N(对接源_01水果!$T$1),对接源_02物料!$Q$5:$Q$460,0)),"")))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8" customFormat="false" ht="18" hidden="false" customHeight="true" outlineLevel="0" collapsed="false">
      <c r="A38" s="66" t="n">
        <v>35</v>
      </c>
      <c r="B38" s="67" t="str">
        <f aca="false">IF(ROW()-3&lt;=N(对接源_01水果!$T$1),"01水果",IF(ROW()-3&lt;=N(对接源_01水果!$T$1)+N(对接源_02物料!$T$1),"02物料",""))</f>
        <v/>
      </c>
      <c r="C38" s="68" t="str">
        <f aca="false">IF($B38="","",IF($B38="01水果",IFERROR(INDEX(对接源_01水果!$B$5:$B$507,MATCH(ROW()-3,对接源_01水果!$Q$5:$Q$507,0)),""),IFERROR(INDEX(对接源_02物料!$B$5:$B$460,MATCH(ROW()-3-N(对接源_01水果!$T$1),对接源_02物料!$Q$5:$Q$460,0)),"")))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38" s="67" t="str">
        <f aca="false">IF($B38="","",IF($B38="01水果",IFERROR(INDEX(对接源_01水果!$C$5:$C$507,MATCH(ROW()-3,对接源_01水果!$Q$5:$Q$507,0)),""),IFERROR(INDEX(对接源_02物料!$C$5:$C$460,MATCH(ROW()-3-N(对接源_01水果!$T$1),对接源_02物料!$Q$5:$Q$460,0)),"")))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38" s="69" t="str">
        <f aca="false">IF($B38="","",IF($B38="01水果",IFERROR(INDEX(对接源_01水果!$D$5:$D$507,MATCH(ROW()-3,对接源_01水果!$Q$5:$Q$507,0)),""),IFERROR(INDEX(对接源_02物料!$D$5:$D$460,MATCH(ROW()-3-N(对接源_01水果!$T$1),对接源_02物料!$Q$5:$Q$460,0)),"")))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38" s="67" t="str">
        <f aca="false">IF($B38="","",IF($B38="01水果",IFERROR(INDEX(对接源_01水果!$E$5:$E$507,MATCH(ROW()-3,对接源_01水果!$Q$5:$Q$507,0)),""),IFERROR(INDEX(对接源_02物料!$E$5:$E$460,MATCH(ROW()-3-N(对接源_01水果!$T$1),对接源_02物料!$Q$5:$Q$460,0)),"")))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38" s="70" t="str">
        <f aca="false">IF($B38="","",IF($B38="01水果",IFERROR(INDEX(对接源_01水果!$F$5:$F$507,MATCH(ROW()-3,对接源_01水果!$Q$5:$Q$507,0)),""),IFERROR(INDEX(对接源_02物料!$F$5:$F$460,MATCH(ROW()-3-N(对接源_01水果!$T$1),对接源_02物料!$Q$5:$Q$460,0)),"")))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38" s="70" t="str">
        <f aca="false">IF($B38="","",IF($B38="01水果",IFERROR(INDEX(对接源_01水果!$G$5:$G$507,MATCH(ROW()-3,对接源_01水果!$Q$5:$Q$507,0)),""),IFERROR(INDEX(对接源_02物料!$G$5:$G$460,MATCH(ROW()-3-N(对接源_01水果!$T$1),对接源_02物料!$Q$5:$Q$460,0)),"")))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38" s="67" t="str">
        <f aca="false">IF(OR($D38="客户应收",$D38="成品销售款",$D38="公司购买果品款",$D38="筐子销售款",$D38="物料销售款"),"客户往来",IFERROR(INDEX(收入成本映射!$C$4:$C$34,MATCH($D38,收入成本映射!$B$4:$B$34,0)),"不记账"))</f>
        <v>不记账</v>
      </c>
      <c r="J38" s="67" t="str">
        <f aca="false">IF($B38="","","0%")</f>
        <v/>
      </c>
      <c r="K38" s="70" t="n">
        <f aca="false">IF($I38="不记账",0,ROUND(N($G38),2))</f>
        <v>0</v>
      </c>
      <c r="L38" s="70" t="n">
        <v>0</v>
      </c>
      <c r="M38" s="67" t="str">
        <f aca="false">IF(OR($I38="不记账",ROUND(N($G38),2)=0),"",IFERROR(INDEX(收入成本映射!$E$4:$E$34,MATCH($D38,收入成本映射!$B$4:$B$34,0)),""))</f>
        <v/>
      </c>
      <c r="N38" s="70" t="str">
        <f aca="false">IF($M38="","",ROUND(N($G38),2))</f>
        <v/>
      </c>
      <c r="O38" s="70" t="str">
        <f aca="false">IF($M38="","",0)</f>
        <v/>
      </c>
      <c r="P38" s="67" t="str">
        <f aca="false">IF($M38="","",IFERROR(INDEX(收入成本映射!$F$4:$F$34,MATCH($D38,收入成本映射!$B$4:$B$34,0)),""))</f>
        <v/>
      </c>
      <c r="Q38" s="70" t="str">
        <f aca="false">IF($P38="","",0)</f>
        <v/>
      </c>
      <c r="R38" s="70" t="str">
        <f aca="false">IF($P38="","",ROUND(N($G38),2))</f>
        <v/>
      </c>
      <c r="S38" s="67" t="str">
        <f aca="false">""</f>
        <v/>
      </c>
      <c r="T38" s="70" t="str">
        <f aca="false">IF($S38="","",0)</f>
        <v/>
      </c>
      <c r="U38" s="70" t="str">
        <f aca="false">IF($S38="","",0)</f>
        <v/>
      </c>
      <c r="V38" s="66" t="str">
        <f aca="false">IF($B38="","",IF($B38="01水果",IFERROR(INDEX(对接源_01水果!$H$5:$H$507,MATCH(ROW()-3,对接源_01水果!$Q$5:$Q$507,0)),""),IFERROR(INDEX(对接源_02物料!$H$5:$H$460,MATCH(ROW()-3-N(对接源_01水果!$T$1),对接源_02物料!$Q$5:$Q$460,0)),"")))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9" customFormat="false" ht="18" hidden="false" customHeight="true" outlineLevel="0" collapsed="false">
      <c r="A39" s="66" t="n">
        <v>36</v>
      </c>
      <c r="B39" s="67" t="str">
        <f aca="false">IF(ROW()-3&lt;=N(对接源_01水果!$T$1),"01水果",IF(ROW()-3&lt;=N(对接源_01水果!$T$1)+N(对接源_02物料!$T$1),"02物料",""))</f>
        <v/>
      </c>
      <c r="C39" s="68" t="str">
        <f aca="false">IF($B39="","",IF($B39="01水果",IFERROR(INDEX(对接源_01水果!$B$5:$B$507,MATCH(ROW()-3,对接源_01水果!$Q$5:$Q$507,0)),""),IFERROR(INDEX(对接源_02物料!$B$5:$B$460,MATCH(ROW()-3-N(对接源_01水果!$T$1),对接源_02物料!$Q$5:$Q$460,0)),"")))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39" s="67" t="str">
        <f aca="false">IF($B39="","",IF($B39="01水果",IFERROR(INDEX(对接源_01水果!$C$5:$C$507,MATCH(ROW()-3,对接源_01水果!$Q$5:$Q$507,0)),""),IFERROR(INDEX(对接源_02物料!$C$5:$C$460,MATCH(ROW()-3-N(对接源_01水果!$T$1),对接源_02物料!$Q$5:$Q$460,0)),"")))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39" s="69" t="str">
        <f aca="false">IF($B39="","",IF($B39="01水果",IFERROR(INDEX(对接源_01水果!$D$5:$D$507,MATCH(ROW()-3,对接源_01水果!$Q$5:$Q$507,0)),""),IFERROR(INDEX(对接源_02物料!$D$5:$D$460,MATCH(ROW()-3-N(对接源_01水果!$T$1),对接源_02物料!$Q$5:$Q$460,0)),"")))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39" s="67" t="str">
        <f aca="false">IF($B39="","",IF($B39="01水果",IFERROR(INDEX(对接源_01水果!$E$5:$E$507,MATCH(ROW()-3,对接源_01水果!$Q$5:$Q$507,0)),""),IFERROR(INDEX(对接源_02物料!$E$5:$E$460,MATCH(ROW()-3-N(对接源_01水果!$T$1),对接源_02物料!$Q$5:$Q$460,0)),"")))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39" s="70" t="str">
        <f aca="false">IF($B39="","",IF($B39="01水果",IFERROR(INDEX(对接源_01水果!$F$5:$F$507,MATCH(ROW()-3,对接源_01水果!$Q$5:$Q$507,0)),""),IFERROR(INDEX(对接源_02物料!$F$5:$F$460,MATCH(ROW()-3-N(对接源_01水果!$T$1),对接源_02物料!$Q$5:$Q$460,0)),"")))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39" s="70" t="str">
        <f aca="false">IF($B39="","",IF($B39="01水果",IFERROR(INDEX(对接源_01水果!$G$5:$G$507,MATCH(ROW()-3,对接源_01水果!$Q$5:$Q$507,0)),""),IFERROR(INDEX(对接源_02物料!$G$5:$G$460,MATCH(ROW()-3-N(对接源_01水果!$T$1),对接源_02物料!$Q$5:$Q$460,0)),"")))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39" s="67" t="str">
        <f aca="false">IF(OR($D39="客户应收",$D39="成品销售款",$D39="公司购买果品款",$D39="筐子销售款",$D39="物料销售款"),"客户往来",IFERROR(INDEX(收入成本映射!$C$4:$C$34,MATCH($D39,收入成本映射!$B$4:$B$34,0)),"不记账"))</f>
        <v>不记账</v>
      </c>
      <c r="J39" s="67" t="str">
        <f aca="false">IF($B39="","","0%")</f>
        <v/>
      </c>
      <c r="K39" s="70" t="n">
        <f aca="false">IF($I39="不记账",0,ROUND(N($G39),2))</f>
        <v>0</v>
      </c>
      <c r="L39" s="70" t="n">
        <v>0</v>
      </c>
      <c r="M39" s="67" t="str">
        <f aca="false">IF(OR($I39="不记账",ROUND(N($G39),2)=0),"",IFERROR(INDEX(收入成本映射!$E$4:$E$34,MATCH($D39,收入成本映射!$B$4:$B$34,0)),""))</f>
        <v/>
      </c>
      <c r="N39" s="70" t="str">
        <f aca="false">IF($M39="","",ROUND(N($G39),2))</f>
        <v/>
      </c>
      <c r="O39" s="70" t="str">
        <f aca="false">IF($M39="","",0)</f>
        <v/>
      </c>
      <c r="P39" s="67" t="str">
        <f aca="false">IF($M39="","",IFERROR(INDEX(收入成本映射!$F$4:$F$34,MATCH($D39,收入成本映射!$B$4:$B$34,0)),""))</f>
        <v/>
      </c>
      <c r="Q39" s="70" t="str">
        <f aca="false">IF($P39="","",0)</f>
        <v/>
      </c>
      <c r="R39" s="70" t="str">
        <f aca="false">IF($P39="","",ROUND(N($G39),2))</f>
        <v/>
      </c>
      <c r="S39" s="67" t="str">
        <f aca="false">""</f>
        <v/>
      </c>
      <c r="T39" s="70" t="str">
        <f aca="false">IF($S39="","",0)</f>
        <v/>
      </c>
      <c r="U39" s="70" t="str">
        <f aca="false">IF($S39="","",0)</f>
        <v/>
      </c>
      <c r="V39" s="66" t="str">
        <f aca="false">IF($B39="","",IF($B39="01水果",IFERROR(INDEX(对接源_01水果!$H$5:$H$507,MATCH(ROW()-3,对接源_01水果!$Q$5:$Q$507,0)),""),IFERROR(INDEX(对接源_02物料!$H$5:$H$460,MATCH(ROW()-3-N(对接源_01水果!$T$1),对接源_02物料!$Q$5:$Q$460,0)),"")))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0" customFormat="false" ht="18" hidden="false" customHeight="true" outlineLevel="0" collapsed="false">
      <c r="A40" s="66" t="n">
        <v>37</v>
      </c>
      <c r="B40" s="67" t="str">
        <f aca="false">IF(ROW()-3&lt;=N(对接源_01水果!$T$1),"01水果",IF(ROW()-3&lt;=N(对接源_01水果!$T$1)+N(对接源_02物料!$T$1),"02物料",""))</f>
        <v/>
      </c>
      <c r="C40" s="68" t="str">
        <f aca="false">IF($B40="","",IF($B40="01水果",IFERROR(INDEX(对接源_01水果!$B$5:$B$507,MATCH(ROW()-3,对接源_01水果!$Q$5:$Q$507,0)),""),IFERROR(INDEX(对接源_02物料!$B$5:$B$460,MATCH(ROW()-3-N(对接源_01水果!$T$1),对接源_02物料!$Q$5:$Q$460,0)),"")))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40" s="67" t="str">
        <f aca="false">IF($B40="","",IF($B40="01水果",IFERROR(INDEX(对接源_01水果!$C$5:$C$507,MATCH(ROW()-3,对接源_01水果!$Q$5:$Q$507,0)),""),IFERROR(INDEX(对接源_02物料!$C$5:$C$460,MATCH(ROW()-3-N(对接源_01水果!$T$1),对接源_02物料!$Q$5:$Q$460,0)),"")))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40" s="69" t="str">
        <f aca="false">IF($B40="","",IF($B40="01水果",IFERROR(INDEX(对接源_01水果!$D$5:$D$507,MATCH(ROW()-3,对接源_01水果!$Q$5:$Q$507,0)),""),IFERROR(INDEX(对接源_02物料!$D$5:$D$460,MATCH(ROW()-3-N(对接源_01水果!$T$1),对接源_02物料!$Q$5:$Q$460,0)),"")))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40" s="67" t="str">
        <f aca="false">IF($B40="","",IF($B40="01水果",IFERROR(INDEX(对接源_01水果!$E$5:$E$507,MATCH(ROW()-3,对接源_01水果!$Q$5:$Q$507,0)),""),IFERROR(INDEX(对接源_02物料!$E$5:$E$460,MATCH(ROW()-3-N(对接源_01水果!$T$1),对接源_02物料!$Q$5:$Q$460,0)),"")))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40" s="70" t="str">
        <f aca="false">IF($B40="","",IF($B40="01水果",IFERROR(INDEX(对接源_01水果!$F$5:$F$507,MATCH(ROW()-3,对接源_01水果!$Q$5:$Q$507,0)),""),IFERROR(INDEX(对接源_02物料!$F$5:$F$460,MATCH(ROW()-3-N(对接源_01水果!$T$1),对接源_02物料!$Q$5:$Q$460,0)),"")))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40" s="70" t="str">
        <f aca="false">IF($B40="","",IF($B40="01水果",IFERROR(INDEX(对接源_01水果!$G$5:$G$507,MATCH(ROW()-3,对接源_01水果!$Q$5:$Q$507,0)),""),IFERROR(INDEX(对接源_02物料!$G$5:$G$460,MATCH(ROW()-3-N(对接源_01水果!$T$1),对接源_02物料!$Q$5:$Q$460,0)),"")))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40" s="67" t="str">
        <f aca="false">IF(OR($D40="客户应收",$D40="成品销售款",$D40="公司购买果品款",$D40="筐子销售款",$D40="物料销售款"),"客户往来",IFERROR(INDEX(收入成本映射!$C$4:$C$34,MATCH($D40,收入成本映射!$B$4:$B$34,0)),"不记账"))</f>
        <v>不记账</v>
      </c>
      <c r="J40" s="67" t="str">
        <f aca="false">IF($B40="","","0%")</f>
        <v/>
      </c>
      <c r="K40" s="70" t="n">
        <f aca="false">IF($I40="不记账",0,ROUND(N($G40),2))</f>
        <v>0</v>
      </c>
      <c r="L40" s="70" t="n">
        <v>0</v>
      </c>
      <c r="M40" s="67" t="str">
        <f aca="false">IF(OR($I40="不记账",ROUND(N($G40),2)=0),"",IFERROR(INDEX(收入成本映射!$E$4:$E$34,MATCH($D40,收入成本映射!$B$4:$B$34,0)),""))</f>
        <v/>
      </c>
      <c r="N40" s="70" t="str">
        <f aca="false">IF($M40="","",ROUND(N($G40),2))</f>
        <v/>
      </c>
      <c r="O40" s="70" t="str">
        <f aca="false">IF($M40="","",0)</f>
        <v/>
      </c>
      <c r="P40" s="67" t="str">
        <f aca="false">IF($M40="","",IFERROR(INDEX(收入成本映射!$F$4:$F$34,MATCH($D40,收入成本映射!$B$4:$B$34,0)),""))</f>
        <v/>
      </c>
      <c r="Q40" s="70" t="str">
        <f aca="false">IF($P40="","",0)</f>
        <v/>
      </c>
      <c r="R40" s="70" t="str">
        <f aca="false">IF($P40="","",ROUND(N($G40),2))</f>
        <v/>
      </c>
      <c r="S40" s="67" t="str">
        <f aca="false">""</f>
        <v/>
      </c>
      <c r="T40" s="70" t="str">
        <f aca="false">IF($S40="","",0)</f>
        <v/>
      </c>
      <c r="U40" s="70" t="str">
        <f aca="false">IF($S40="","",0)</f>
        <v/>
      </c>
      <c r="V40" s="66" t="str">
        <f aca="false">IF($B40="","",IF($B40="01水果",IFERROR(INDEX(对接源_01水果!$H$5:$H$507,MATCH(ROW()-3,对接源_01水果!$Q$5:$Q$507,0)),""),IFERROR(INDEX(对接源_02物料!$H$5:$H$460,MATCH(ROW()-3-N(对接源_01水果!$T$1),对接源_02物料!$Q$5:$Q$460,0)),"")))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1" customFormat="false" ht="18" hidden="false" customHeight="true" outlineLevel="0" collapsed="false">
      <c r="A41" s="66" t="n">
        <v>38</v>
      </c>
      <c r="B41" s="67" t="str">
        <f aca="false">IF(ROW()-3&lt;=N(对接源_01水果!$T$1),"01水果",IF(ROW()-3&lt;=N(对接源_01水果!$T$1)+N(对接源_02物料!$T$1),"02物料",""))</f>
        <v/>
      </c>
      <c r="C41" s="68" t="str">
        <f aca="false">IF($B41="","",IF($B41="01水果",IFERROR(INDEX(对接源_01水果!$B$5:$B$507,MATCH(ROW()-3,对接源_01水果!$Q$5:$Q$507,0)),""),IFERROR(INDEX(对接源_02物料!$B$5:$B$460,MATCH(ROW()-3-N(对接源_01水果!$T$1),对接源_02物料!$Q$5:$Q$460,0)),"")))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41" s="67" t="str">
        <f aca="false">IF($B41="","",IF($B41="01水果",IFERROR(INDEX(对接源_01水果!$C$5:$C$507,MATCH(ROW()-3,对接源_01水果!$Q$5:$Q$507,0)),""),IFERROR(INDEX(对接源_02物料!$C$5:$C$460,MATCH(ROW()-3-N(对接源_01水果!$T$1),对接源_02物料!$Q$5:$Q$460,0)),"")))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41" s="69" t="str">
        <f aca="false">IF($B41="","",IF($B41="01水果",IFERROR(INDEX(对接源_01水果!$D$5:$D$507,MATCH(ROW()-3,对接源_01水果!$Q$5:$Q$507,0)),""),IFERROR(INDEX(对接源_02物料!$D$5:$D$460,MATCH(ROW()-3-N(对接源_01水果!$T$1),对接源_02物料!$Q$5:$Q$460,0)),"")))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41" s="67" t="str">
        <f aca="false">IF($B41="","",IF($B41="01水果",IFERROR(INDEX(对接源_01水果!$E$5:$E$507,MATCH(ROW()-3,对接源_01水果!$Q$5:$Q$507,0)),""),IFERROR(INDEX(对接源_02物料!$E$5:$E$460,MATCH(ROW()-3-N(对接源_01水果!$T$1),对接源_02物料!$Q$5:$Q$460,0)),"")))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41" s="70" t="str">
        <f aca="false">IF($B41="","",IF($B41="01水果",IFERROR(INDEX(对接源_01水果!$F$5:$F$507,MATCH(ROW()-3,对接源_01水果!$Q$5:$Q$507,0)),""),IFERROR(INDEX(对接源_02物料!$F$5:$F$460,MATCH(ROW()-3-N(对接源_01水果!$T$1),对接源_02物料!$Q$5:$Q$460,0)),"")))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41" s="70" t="str">
        <f aca="false">IF($B41="","",IF($B41="01水果",IFERROR(INDEX(对接源_01水果!$G$5:$G$507,MATCH(ROW()-3,对接源_01水果!$Q$5:$Q$507,0)),""),IFERROR(INDEX(对接源_02物料!$G$5:$G$460,MATCH(ROW()-3-N(对接源_01水果!$T$1),对接源_02物料!$Q$5:$Q$460,0)),"")))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41" s="67" t="str">
        <f aca="false">IF(OR($D41="客户应收",$D41="成品销售款",$D41="公司购买果品款",$D41="筐子销售款",$D41="物料销售款"),"客户往来",IFERROR(INDEX(收入成本映射!$C$4:$C$34,MATCH($D41,收入成本映射!$B$4:$B$34,0)),"不记账"))</f>
        <v>不记账</v>
      </c>
      <c r="J41" s="67" t="str">
        <f aca="false">IF($B41="","","0%")</f>
        <v/>
      </c>
      <c r="K41" s="70" t="n">
        <f aca="false">IF($I41="不记账",0,ROUND(N($G41),2))</f>
        <v>0</v>
      </c>
      <c r="L41" s="70" t="n">
        <v>0</v>
      </c>
      <c r="M41" s="67" t="str">
        <f aca="false">IF(OR($I41="不记账",ROUND(N($G41),2)=0),"",IFERROR(INDEX(收入成本映射!$E$4:$E$34,MATCH($D41,收入成本映射!$B$4:$B$34,0)),""))</f>
        <v/>
      </c>
      <c r="N41" s="70" t="str">
        <f aca="false">IF($M41="","",ROUND(N($G41),2))</f>
        <v/>
      </c>
      <c r="O41" s="70" t="str">
        <f aca="false">IF($M41="","",0)</f>
        <v/>
      </c>
      <c r="P41" s="67" t="str">
        <f aca="false">IF($M41="","",IFERROR(INDEX(收入成本映射!$F$4:$F$34,MATCH($D41,收入成本映射!$B$4:$B$34,0)),""))</f>
        <v/>
      </c>
      <c r="Q41" s="70" t="str">
        <f aca="false">IF($P41="","",0)</f>
        <v/>
      </c>
      <c r="R41" s="70" t="str">
        <f aca="false">IF($P41="","",ROUND(N($G41),2))</f>
        <v/>
      </c>
      <c r="S41" s="67" t="str">
        <f aca="false">""</f>
        <v/>
      </c>
      <c r="T41" s="70" t="str">
        <f aca="false">IF($S41="","",0)</f>
        <v/>
      </c>
      <c r="U41" s="70" t="str">
        <f aca="false">IF($S41="","",0)</f>
        <v/>
      </c>
      <c r="V41" s="66" t="str">
        <f aca="false">IF($B41="","",IF($B41="01水果",IFERROR(INDEX(对接源_01水果!$H$5:$H$507,MATCH(ROW()-3,对接源_01水果!$Q$5:$Q$507,0)),""),IFERROR(INDEX(对接源_02物料!$H$5:$H$460,MATCH(ROW()-3-N(对接源_01水果!$T$1),对接源_02物料!$Q$5:$Q$460,0)),"")))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2" customFormat="false" ht="18" hidden="false" customHeight="true" outlineLevel="0" collapsed="false">
      <c r="A42" s="66" t="n">
        <v>39</v>
      </c>
      <c r="B42" s="67" t="str">
        <f aca="false">IF(ROW()-3&lt;=N(对接源_01水果!$T$1),"01水果",IF(ROW()-3&lt;=N(对接源_01水果!$T$1)+N(对接源_02物料!$T$1),"02物料",""))</f>
        <v/>
      </c>
      <c r="C42" s="68" t="str">
        <f aca="false">IF($B42="","",IF($B42="01水果",IFERROR(INDEX(对接源_01水果!$B$5:$B$507,MATCH(ROW()-3,对接源_01水果!$Q$5:$Q$507,0)),""),IFERROR(INDEX(对接源_02物料!$B$5:$B$460,MATCH(ROW()-3-N(对接源_01水果!$T$1),对接源_02物料!$Q$5:$Q$460,0)),"")))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42" s="67" t="str">
        <f aca="false">IF($B42="","",IF($B42="01水果",IFERROR(INDEX(对接源_01水果!$C$5:$C$507,MATCH(ROW()-3,对接源_01水果!$Q$5:$Q$507,0)),""),IFERROR(INDEX(对接源_02物料!$C$5:$C$460,MATCH(ROW()-3-N(对接源_01水果!$T$1),对接源_02物料!$Q$5:$Q$460,0)),"")))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42" s="69" t="str">
        <f aca="false">IF($B42="","",IF($B42="01水果",IFERROR(INDEX(对接源_01水果!$D$5:$D$507,MATCH(ROW()-3,对接源_01水果!$Q$5:$Q$507,0)),""),IFERROR(INDEX(对接源_02物料!$D$5:$D$460,MATCH(ROW()-3-N(对接源_01水果!$T$1),对接源_02物料!$Q$5:$Q$460,0)),"")))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42" s="67" t="str">
        <f aca="false">IF($B42="","",IF($B42="01水果",IFERROR(INDEX(对接源_01水果!$E$5:$E$507,MATCH(ROW()-3,对接源_01水果!$Q$5:$Q$507,0)),""),IFERROR(INDEX(对接源_02物料!$E$5:$E$460,MATCH(ROW()-3-N(对接源_01水果!$T$1),对接源_02物料!$Q$5:$Q$460,0)),"")))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42" s="70" t="str">
        <f aca="false">IF($B42="","",IF($B42="01水果",IFERROR(INDEX(对接源_01水果!$F$5:$F$507,MATCH(ROW()-3,对接源_01水果!$Q$5:$Q$507,0)),""),IFERROR(INDEX(对接源_02物料!$F$5:$F$460,MATCH(ROW()-3-N(对接源_01水果!$T$1),对接源_02物料!$Q$5:$Q$460,0)),"")))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42" s="70" t="str">
        <f aca="false">IF($B42="","",IF($B42="01水果",IFERROR(INDEX(对接源_01水果!$G$5:$G$507,MATCH(ROW()-3,对接源_01水果!$Q$5:$Q$507,0)),""),IFERROR(INDEX(对接源_02物料!$G$5:$G$460,MATCH(ROW()-3-N(对接源_01水果!$T$1),对接源_02物料!$Q$5:$Q$460,0)),"")))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42" s="67" t="str">
        <f aca="false">IF(OR($D42="客户应收",$D42="成品销售款",$D42="公司购买果品款",$D42="筐子销售款",$D42="物料销售款"),"客户往来",IFERROR(INDEX(收入成本映射!$C$4:$C$34,MATCH($D42,收入成本映射!$B$4:$B$34,0)),"不记账"))</f>
        <v>不记账</v>
      </c>
      <c r="J42" s="67" t="str">
        <f aca="false">IF($B42="","","0%")</f>
        <v/>
      </c>
      <c r="K42" s="70" t="n">
        <f aca="false">IF($I42="不记账",0,ROUND(N($G42),2))</f>
        <v>0</v>
      </c>
      <c r="L42" s="70" t="n">
        <v>0</v>
      </c>
      <c r="M42" s="67" t="str">
        <f aca="false">IF(OR($I42="不记账",ROUND(N($G42),2)=0),"",IFERROR(INDEX(收入成本映射!$E$4:$E$34,MATCH($D42,收入成本映射!$B$4:$B$34,0)),""))</f>
        <v/>
      </c>
      <c r="N42" s="70" t="str">
        <f aca="false">IF($M42="","",ROUND(N($G42),2))</f>
        <v/>
      </c>
      <c r="O42" s="70" t="str">
        <f aca="false">IF($M42="","",0)</f>
        <v/>
      </c>
      <c r="P42" s="67" t="str">
        <f aca="false">IF($M42="","",IFERROR(INDEX(收入成本映射!$F$4:$F$34,MATCH($D42,收入成本映射!$B$4:$B$34,0)),""))</f>
        <v/>
      </c>
      <c r="Q42" s="70" t="str">
        <f aca="false">IF($P42="","",0)</f>
        <v/>
      </c>
      <c r="R42" s="70" t="str">
        <f aca="false">IF($P42="","",ROUND(N($G42),2))</f>
        <v/>
      </c>
      <c r="S42" s="67" t="str">
        <f aca="false">""</f>
        <v/>
      </c>
      <c r="T42" s="70" t="str">
        <f aca="false">IF($S42="","",0)</f>
        <v/>
      </c>
      <c r="U42" s="70" t="str">
        <f aca="false">IF($S42="","",0)</f>
        <v/>
      </c>
      <c r="V42" s="66" t="str">
        <f aca="false">IF($B42="","",IF($B42="01水果",IFERROR(INDEX(对接源_01水果!$H$5:$H$507,MATCH(ROW()-3,对接源_01水果!$Q$5:$Q$507,0)),""),IFERROR(INDEX(对接源_02物料!$H$5:$H$460,MATCH(ROW()-3-N(对接源_01水果!$T$1),对接源_02物料!$Q$5:$Q$460,0)),"")))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3" customFormat="false" ht="18" hidden="false" customHeight="true" outlineLevel="0" collapsed="false">
      <c r="A43" s="66" t="n">
        <v>40</v>
      </c>
      <c r="B43" s="67" t="str">
        <f aca="false">IF(ROW()-3&lt;=N(对接源_01水果!$T$1),"01水果",IF(ROW()-3&lt;=N(对接源_01水果!$T$1)+N(对接源_02物料!$T$1),"02物料",""))</f>
        <v/>
      </c>
      <c r="C43" s="68" t="str">
        <f aca="false">IF($B43="","",IF($B43="01水果",IFERROR(INDEX(对接源_01水果!$B$5:$B$507,MATCH(ROW()-3,对接源_01水果!$Q$5:$Q$507,0)),""),IFERROR(INDEX(对接源_02物料!$B$5:$B$460,MATCH(ROW()-3-N(对接源_01水果!$T$1),对接源_02物料!$Q$5:$Q$460,0)),"")))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43" s="67" t="str">
        <f aca="false">IF($B43="","",IF($B43="01水果",IFERROR(INDEX(对接源_01水果!$C$5:$C$507,MATCH(ROW()-3,对接源_01水果!$Q$5:$Q$507,0)),""),IFERROR(INDEX(对接源_02物料!$C$5:$C$460,MATCH(ROW()-3-N(对接源_01水果!$T$1),对接源_02物料!$Q$5:$Q$460,0)),"")))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43" s="69" t="str">
        <f aca="false">IF($B43="","",IF($B43="01水果",IFERROR(INDEX(对接源_01水果!$D$5:$D$507,MATCH(ROW()-3,对接源_01水果!$Q$5:$Q$507,0)),""),IFERROR(INDEX(对接源_02物料!$D$5:$D$460,MATCH(ROW()-3-N(对接源_01水果!$T$1),对接源_02物料!$Q$5:$Q$460,0)),"")))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43" s="67" t="str">
        <f aca="false">IF($B43="","",IF($B43="01水果",IFERROR(INDEX(对接源_01水果!$E$5:$E$507,MATCH(ROW()-3,对接源_01水果!$Q$5:$Q$507,0)),""),IFERROR(INDEX(对接源_02物料!$E$5:$E$460,MATCH(ROW()-3-N(对接源_01水果!$T$1),对接源_02物料!$Q$5:$Q$460,0)),"")))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43" s="70" t="str">
        <f aca="false">IF($B43="","",IF($B43="01水果",IFERROR(INDEX(对接源_01水果!$F$5:$F$507,MATCH(ROW()-3,对接源_01水果!$Q$5:$Q$507,0)),""),IFERROR(INDEX(对接源_02物料!$F$5:$F$460,MATCH(ROW()-3-N(对接源_01水果!$T$1),对接源_02物料!$Q$5:$Q$460,0)),"")))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43" s="70" t="str">
        <f aca="false">IF($B43="","",IF($B43="01水果",IFERROR(INDEX(对接源_01水果!$G$5:$G$507,MATCH(ROW()-3,对接源_01水果!$Q$5:$Q$507,0)),""),IFERROR(INDEX(对接源_02物料!$G$5:$G$460,MATCH(ROW()-3-N(对接源_01水果!$T$1),对接源_02物料!$Q$5:$Q$460,0)),"")))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43" s="67" t="str">
        <f aca="false">IF(OR($D43="客户应收",$D43="成品销售款",$D43="公司购买果品款",$D43="筐子销售款",$D43="物料销售款"),"客户往来",IFERROR(INDEX(收入成本映射!$C$4:$C$34,MATCH($D43,收入成本映射!$B$4:$B$34,0)),"不记账"))</f>
        <v>不记账</v>
      </c>
      <c r="J43" s="67" t="str">
        <f aca="false">IF($B43="","","0%")</f>
        <v/>
      </c>
      <c r="K43" s="70" t="n">
        <f aca="false">IF($I43="不记账",0,ROUND(N($G43),2))</f>
        <v>0</v>
      </c>
      <c r="L43" s="70" t="n">
        <v>0</v>
      </c>
      <c r="M43" s="67" t="str">
        <f aca="false">IF(OR($I43="不记账",ROUND(N($G43),2)=0),"",IFERROR(INDEX(收入成本映射!$E$4:$E$34,MATCH($D43,收入成本映射!$B$4:$B$34,0)),""))</f>
        <v/>
      </c>
      <c r="N43" s="70" t="str">
        <f aca="false">IF($M43="","",ROUND(N($G43),2))</f>
        <v/>
      </c>
      <c r="O43" s="70" t="str">
        <f aca="false">IF($M43="","",0)</f>
        <v/>
      </c>
      <c r="P43" s="67" t="str">
        <f aca="false">IF($M43="","",IFERROR(INDEX(收入成本映射!$F$4:$F$34,MATCH($D43,收入成本映射!$B$4:$B$34,0)),""))</f>
        <v/>
      </c>
      <c r="Q43" s="70" t="str">
        <f aca="false">IF($P43="","",0)</f>
        <v/>
      </c>
      <c r="R43" s="70" t="str">
        <f aca="false">IF($P43="","",ROUND(N($G43),2))</f>
        <v/>
      </c>
      <c r="S43" s="67" t="str">
        <f aca="false">""</f>
        <v/>
      </c>
      <c r="T43" s="70" t="str">
        <f aca="false">IF($S43="","",0)</f>
        <v/>
      </c>
      <c r="U43" s="70" t="str">
        <f aca="false">IF($S43="","",0)</f>
        <v/>
      </c>
      <c r="V43" s="66" t="str">
        <f aca="false">IF($B43="","",IF($B43="01水果",IFERROR(INDEX(对接源_01水果!$H$5:$H$507,MATCH(ROW()-3,对接源_01水果!$Q$5:$Q$507,0)),""),IFERROR(INDEX(对接源_02物料!$H$5:$H$460,MATCH(ROW()-3-N(对接源_01水果!$T$1),对接源_02物料!$Q$5:$Q$460,0)),"")))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4" customFormat="false" ht="18" hidden="false" customHeight="true" outlineLevel="0" collapsed="false">
      <c r="A44" s="66" t="n">
        <v>41</v>
      </c>
      <c r="B44" s="67" t="str">
        <f aca="false">IF(ROW()-3&lt;=N(对接源_01水果!$T$1),"01水果",IF(ROW()-3&lt;=N(对接源_01水果!$T$1)+N(对接源_02物料!$T$1),"02物料",""))</f>
        <v/>
      </c>
      <c r="C44" s="68" t="str">
        <f aca="false">IF($B44="","",IF($B44="01水果",IFERROR(INDEX(对接源_01水果!$B$5:$B$507,MATCH(ROW()-3,对接源_01水果!$Q$5:$Q$507,0)),""),IFERROR(INDEX(对接源_02物料!$B$5:$B$460,MATCH(ROW()-3-N(对接源_01水果!$T$1),对接源_02物料!$Q$5:$Q$460,0)),"")))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44" s="67" t="str">
        <f aca="false">IF($B44="","",IF($B44="01水果",IFERROR(INDEX(对接源_01水果!$C$5:$C$507,MATCH(ROW()-3,对接源_01水果!$Q$5:$Q$507,0)),""),IFERROR(INDEX(对接源_02物料!$C$5:$C$460,MATCH(ROW()-3-N(对接源_01水果!$T$1),对接源_02物料!$Q$5:$Q$460,0)),"")))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44" s="69" t="str">
        <f aca="false">IF($B44="","",IF($B44="01水果",IFERROR(INDEX(对接源_01水果!$D$5:$D$507,MATCH(ROW()-3,对接源_01水果!$Q$5:$Q$507,0)),""),IFERROR(INDEX(对接源_02物料!$D$5:$D$460,MATCH(ROW()-3-N(对接源_01水果!$T$1),对接源_02物料!$Q$5:$Q$460,0)),"")))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44" s="67" t="str">
        <f aca="false">IF($B44="","",IF($B44="01水果",IFERROR(INDEX(对接源_01水果!$E$5:$E$507,MATCH(ROW()-3,对接源_01水果!$Q$5:$Q$507,0)),""),IFERROR(INDEX(对接源_02物料!$E$5:$E$460,MATCH(ROW()-3-N(对接源_01水果!$T$1),对接源_02物料!$Q$5:$Q$460,0)),"")))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44" s="70" t="str">
        <f aca="false">IF($B44="","",IF($B44="01水果",IFERROR(INDEX(对接源_01水果!$F$5:$F$507,MATCH(ROW()-3,对接源_01水果!$Q$5:$Q$507,0)),""),IFERROR(INDEX(对接源_02物料!$F$5:$F$460,MATCH(ROW()-3-N(对接源_01水果!$T$1),对接源_02物料!$Q$5:$Q$460,0)),"")))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44" s="70" t="str">
        <f aca="false">IF($B44="","",IF($B44="01水果",IFERROR(INDEX(对接源_01水果!$G$5:$G$507,MATCH(ROW()-3,对接源_01水果!$Q$5:$Q$507,0)),""),IFERROR(INDEX(对接源_02物料!$G$5:$G$460,MATCH(ROW()-3-N(对接源_01水果!$T$1),对接源_02物料!$Q$5:$Q$460,0)),"")))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44" s="67" t="str">
        <f aca="false">IF(OR($D44="客户应收",$D44="成品销售款",$D44="公司购买果品款",$D44="筐子销售款",$D44="物料销售款"),"客户往来",IFERROR(INDEX(收入成本映射!$C$4:$C$34,MATCH($D44,收入成本映射!$B$4:$B$34,0)),"不记账"))</f>
        <v>不记账</v>
      </c>
      <c r="J44" s="67" t="str">
        <f aca="false">IF($B44="","","0%")</f>
        <v/>
      </c>
      <c r="K44" s="70" t="n">
        <f aca="false">IF($I44="不记账",0,ROUND(N($G44),2))</f>
        <v>0</v>
      </c>
      <c r="L44" s="70" t="n">
        <v>0</v>
      </c>
      <c r="M44" s="67" t="str">
        <f aca="false">IF(OR($I44="不记账",ROUND(N($G44),2)=0),"",IFERROR(INDEX(收入成本映射!$E$4:$E$34,MATCH($D44,收入成本映射!$B$4:$B$34,0)),""))</f>
        <v/>
      </c>
      <c r="N44" s="70" t="str">
        <f aca="false">IF($M44="","",ROUND(N($G44),2))</f>
        <v/>
      </c>
      <c r="O44" s="70" t="str">
        <f aca="false">IF($M44="","",0)</f>
        <v/>
      </c>
      <c r="P44" s="67" t="str">
        <f aca="false">IF($M44="","",IFERROR(INDEX(收入成本映射!$F$4:$F$34,MATCH($D44,收入成本映射!$B$4:$B$34,0)),""))</f>
        <v/>
      </c>
      <c r="Q44" s="70" t="str">
        <f aca="false">IF($P44="","",0)</f>
        <v/>
      </c>
      <c r="R44" s="70" t="str">
        <f aca="false">IF($P44="","",ROUND(N($G44),2))</f>
        <v/>
      </c>
      <c r="S44" s="67" t="str">
        <f aca="false">""</f>
        <v/>
      </c>
      <c r="T44" s="70" t="str">
        <f aca="false">IF($S44="","",0)</f>
        <v/>
      </c>
      <c r="U44" s="70" t="str">
        <f aca="false">IF($S44="","",0)</f>
        <v/>
      </c>
      <c r="V44" s="66" t="str">
        <f aca="false">IF($B44="","",IF($B44="01水果",IFERROR(INDEX(对接源_01水果!$H$5:$H$507,MATCH(ROW()-3,对接源_01水果!$Q$5:$Q$507,0)),""),IFERROR(INDEX(对接源_02物料!$H$5:$H$460,MATCH(ROW()-3-N(对接源_01水果!$T$1),对接源_02物料!$Q$5:$Q$460,0)),"")))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5" customFormat="false" ht="18" hidden="false" customHeight="true" outlineLevel="0" collapsed="false">
      <c r="A45" s="66" t="n">
        <v>42</v>
      </c>
      <c r="B45" s="67" t="str">
        <f aca="false">IF(ROW()-3&lt;=N(对接源_01水果!$T$1),"01水果",IF(ROW()-3&lt;=N(对接源_01水果!$T$1)+N(对接源_02物料!$T$1),"02物料",""))</f>
        <v/>
      </c>
      <c r="C45" s="68" t="str">
        <f aca="false">IF($B45="","",IF($B45="01水果",IFERROR(INDEX(对接源_01水果!$B$5:$B$507,MATCH(ROW()-3,对接源_01水果!$Q$5:$Q$507,0)),""),IFERROR(INDEX(对接源_02物料!$B$5:$B$460,MATCH(ROW()-3-N(对接源_01水果!$T$1),对接源_02物料!$Q$5:$Q$460,0)),"")))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45" s="67" t="str">
        <f aca="false">IF($B45="","",IF($B45="01水果",IFERROR(INDEX(对接源_01水果!$C$5:$C$507,MATCH(ROW()-3,对接源_01水果!$Q$5:$Q$507,0)),""),IFERROR(INDEX(对接源_02物料!$C$5:$C$460,MATCH(ROW()-3-N(对接源_01水果!$T$1),对接源_02物料!$Q$5:$Q$460,0)),"")))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45" s="69" t="str">
        <f aca="false">IF($B45="","",IF($B45="01水果",IFERROR(INDEX(对接源_01水果!$D$5:$D$507,MATCH(ROW()-3,对接源_01水果!$Q$5:$Q$507,0)),""),IFERROR(INDEX(对接源_02物料!$D$5:$D$460,MATCH(ROW()-3-N(对接源_01水果!$T$1),对接源_02物料!$Q$5:$Q$460,0)),"")))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45" s="67" t="str">
        <f aca="false">IF($B45="","",IF($B45="01水果",IFERROR(INDEX(对接源_01水果!$E$5:$E$507,MATCH(ROW()-3,对接源_01水果!$Q$5:$Q$507,0)),""),IFERROR(INDEX(对接源_02物料!$E$5:$E$460,MATCH(ROW()-3-N(对接源_01水果!$T$1),对接源_02物料!$Q$5:$Q$460,0)),"")))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45" s="70" t="str">
        <f aca="false">IF($B45="","",IF($B45="01水果",IFERROR(INDEX(对接源_01水果!$F$5:$F$507,MATCH(ROW()-3,对接源_01水果!$Q$5:$Q$507,0)),""),IFERROR(INDEX(对接源_02物料!$F$5:$F$460,MATCH(ROW()-3-N(对接源_01水果!$T$1),对接源_02物料!$Q$5:$Q$460,0)),"")))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45" s="70" t="str">
        <f aca="false">IF($B45="","",IF($B45="01水果",IFERROR(INDEX(对接源_01水果!$G$5:$G$507,MATCH(ROW()-3,对接源_01水果!$Q$5:$Q$507,0)),""),IFERROR(INDEX(对接源_02物料!$G$5:$G$460,MATCH(ROW()-3-N(对接源_01水果!$T$1),对接源_02物料!$Q$5:$Q$460,0)),"")))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45" s="67" t="str">
        <f aca="false">IF(OR($D45="客户应收",$D45="成品销售款",$D45="公司购买果品款",$D45="筐子销售款",$D45="物料销售款"),"客户往来",IFERROR(INDEX(收入成本映射!$C$4:$C$34,MATCH($D45,收入成本映射!$B$4:$B$34,0)),"不记账"))</f>
        <v>不记账</v>
      </c>
      <c r="J45" s="67" t="str">
        <f aca="false">IF($B45="","","0%")</f>
        <v/>
      </c>
      <c r="K45" s="70" t="n">
        <f aca="false">IF($I45="不记账",0,ROUND(N($G45),2))</f>
        <v>0</v>
      </c>
      <c r="L45" s="70" t="n">
        <v>0</v>
      </c>
      <c r="M45" s="67" t="str">
        <f aca="false">IF(OR($I45="不记账",ROUND(N($G45),2)=0),"",IFERROR(INDEX(收入成本映射!$E$4:$E$34,MATCH($D45,收入成本映射!$B$4:$B$34,0)),""))</f>
        <v/>
      </c>
      <c r="N45" s="70" t="str">
        <f aca="false">IF($M45="","",ROUND(N($G45),2))</f>
        <v/>
      </c>
      <c r="O45" s="70" t="str">
        <f aca="false">IF($M45="","",0)</f>
        <v/>
      </c>
      <c r="P45" s="67" t="str">
        <f aca="false">IF($M45="","",IFERROR(INDEX(收入成本映射!$F$4:$F$34,MATCH($D45,收入成本映射!$B$4:$B$34,0)),""))</f>
        <v/>
      </c>
      <c r="Q45" s="70" t="str">
        <f aca="false">IF($P45="","",0)</f>
        <v/>
      </c>
      <c r="R45" s="70" t="str">
        <f aca="false">IF($P45="","",ROUND(N($G45),2))</f>
        <v/>
      </c>
      <c r="S45" s="67" t="str">
        <f aca="false">""</f>
        <v/>
      </c>
      <c r="T45" s="70" t="str">
        <f aca="false">IF($S45="","",0)</f>
        <v/>
      </c>
      <c r="U45" s="70" t="str">
        <f aca="false">IF($S45="","",0)</f>
        <v/>
      </c>
      <c r="V45" s="66" t="str">
        <f aca="false">IF($B45="","",IF($B45="01水果",IFERROR(INDEX(对接源_01水果!$H$5:$H$507,MATCH(ROW()-3,对接源_01水果!$Q$5:$Q$507,0)),""),IFERROR(INDEX(对接源_02物料!$H$5:$H$460,MATCH(ROW()-3-N(对接源_01水果!$T$1),对接源_02物料!$Q$5:$Q$460,0)),"")))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6" customFormat="false" ht="18" hidden="false" customHeight="true" outlineLevel="0" collapsed="false">
      <c r="A46" s="66" t="n">
        <v>43</v>
      </c>
      <c r="B46" s="67" t="str">
        <f aca="false">IF(ROW()-3&lt;=N(对接源_01水果!$T$1),"01水果",IF(ROW()-3&lt;=N(对接源_01水果!$T$1)+N(对接源_02物料!$T$1),"02物料",""))</f>
        <v/>
      </c>
      <c r="C46" s="68" t="str">
        <f aca="false">IF($B46="","",IF($B46="01水果",IFERROR(INDEX(对接源_01水果!$B$5:$B$507,MATCH(ROW()-3,对接源_01水果!$Q$5:$Q$507,0)),""),IFERROR(INDEX(对接源_02物料!$B$5:$B$460,MATCH(ROW()-3-N(对接源_01水果!$T$1),对接源_02物料!$Q$5:$Q$460,0)),"")))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46" s="67" t="str">
        <f aca="false">IF($B46="","",IF($B46="01水果",IFERROR(INDEX(对接源_01水果!$C$5:$C$507,MATCH(ROW()-3,对接源_01水果!$Q$5:$Q$507,0)),""),IFERROR(INDEX(对接源_02物料!$C$5:$C$460,MATCH(ROW()-3-N(对接源_01水果!$T$1),对接源_02物料!$Q$5:$Q$460,0)),"")))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46" s="69" t="str">
        <f aca="false">IF($B46="","",IF($B46="01水果",IFERROR(INDEX(对接源_01水果!$D$5:$D$507,MATCH(ROW()-3,对接源_01水果!$Q$5:$Q$507,0)),""),IFERROR(INDEX(对接源_02物料!$D$5:$D$460,MATCH(ROW()-3-N(对接源_01水果!$T$1),对接源_02物料!$Q$5:$Q$460,0)),"")))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46" s="67" t="str">
        <f aca="false">IF($B46="","",IF($B46="01水果",IFERROR(INDEX(对接源_01水果!$E$5:$E$507,MATCH(ROW()-3,对接源_01水果!$Q$5:$Q$507,0)),""),IFERROR(INDEX(对接源_02物料!$E$5:$E$460,MATCH(ROW()-3-N(对接源_01水果!$T$1),对接源_02物料!$Q$5:$Q$460,0)),"")))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46" s="70" t="str">
        <f aca="false">IF($B46="","",IF($B46="01水果",IFERROR(INDEX(对接源_01水果!$F$5:$F$507,MATCH(ROW()-3,对接源_01水果!$Q$5:$Q$507,0)),""),IFERROR(INDEX(对接源_02物料!$F$5:$F$460,MATCH(ROW()-3-N(对接源_01水果!$T$1),对接源_02物料!$Q$5:$Q$460,0)),"")))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46" s="70" t="str">
        <f aca="false">IF($B46="","",IF($B46="01水果",IFERROR(INDEX(对接源_01水果!$G$5:$G$507,MATCH(ROW()-3,对接源_01水果!$Q$5:$Q$507,0)),""),IFERROR(INDEX(对接源_02物料!$G$5:$G$460,MATCH(ROW()-3-N(对接源_01水果!$T$1),对接源_02物料!$Q$5:$Q$460,0)),"")))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46" s="67" t="str">
        <f aca="false">IF(OR($D46="客户应收",$D46="成品销售款",$D46="公司购买果品款",$D46="筐子销售款",$D46="物料销售款"),"客户往来",IFERROR(INDEX(收入成本映射!$C$4:$C$34,MATCH($D46,收入成本映射!$B$4:$B$34,0)),"不记账"))</f>
        <v>不记账</v>
      </c>
      <c r="J46" s="67" t="str">
        <f aca="false">IF($B46="","","0%")</f>
        <v/>
      </c>
      <c r="K46" s="70" t="n">
        <f aca="false">IF($I46="不记账",0,ROUND(N($G46),2))</f>
        <v>0</v>
      </c>
      <c r="L46" s="70" t="n">
        <v>0</v>
      </c>
      <c r="M46" s="67" t="str">
        <f aca="false">IF(OR($I46="不记账",ROUND(N($G46),2)=0),"",IFERROR(INDEX(收入成本映射!$E$4:$E$34,MATCH($D46,收入成本映射!$B$4:$B$34,0)),""))</f>
        <v/>
      </c>
      <c r="N46" s="70" t="str">
        <f aca="false">IF($M46="","",ROUND(N($G46),2))</f>
        <v/>
      </c>
      <c r="O46" s="70" t="str">
        <f aca="false">IF($M46="","",0)</f>
        <v/>
      </c>
      <c r="P46" s="67" t="str">
        <f aca="false">IF($M46="","",IFERROR(INDEX(收入成本映射!$F$4:$F$34,MATCH($D46,收入成本映射!$B$4:$B$34,0)),""))</f>
        <v/>
      </c>
      <c r="Q46" s="70" t="str">
        <f aca="false">IF($P46="","",0)</f>
        <v/>
      </c>
      <c r="R46" s="70" t="str">
        <f aca="false">IF($P46="","",ROUND(N($G46),2))</f>
        <v/>
      </c>
      <c r="S46" s="67" t="str">
        <f aca="false">""</f>
        <v/>
      </c>
      <c r="T46" s="70" t="str">
        <f aca="false">IF($S46="","",0)</f>
        <v/>
      </c>
      <c r="U46" s="70" t="str">
        <f aca="false">IF($S46="","",0)</f>
        <v/>
      </c>
      <c r="V46" s="66" t="str">
        <f aca="false">IF($B46="","",IF($B46="01水果",IFERROR(INDEX(对接源_01水果!$H$5:$H$507,MATCH(ROW()-3,对接源_01水果!$Q$5:$Q$507,0)),""),IFERROR(INDEX(对接源_02物料!$H$5:$H$460,MATCH(ROW()-3-N(对接源_01水果!$T$1),对接源_02物料!$Q$5:$Q$460,0)),"")))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7" customFormat="false" ht="18" hidden="false" customHeight="true" outlineLevel="0" collapsed="false">
      <c r="A47" s="66" t="n">
        <v>44</v>
      </c>
      <c r="B47" s="67" t="str">
        <f aca="false">IF(ROW()-3&lt;=N(对接源_01水果!$T$1),"01水果",IF(ROW()-3&lt;=N(对接源_01水果!$T$1)+N(对接源_02物料!$T$1),"02物料",""))</f>
        <v/>
      </c>
      <c r="C47" s="68" t="str">
        <f aca="false">IF($B47="","",IF($B47="01水果",IFERROR(INDEX(对接源_01水果!$B$5:$B$507,MATCH(ROW()-3,对接源_01水果!$Q$5:$Q$507,0)),""),IFERROR(INDEX(对接源_02物料!$B$5:$B$460,MATCH(ROW()-3-N(对接源_01水果!$T$1),对接源_02物料!$Q$5:$Q$460,0)),"")))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47" s="67" t="str">
        <f aca="false">IF($B47="","",IF($B47="01水果",IFERROR(INDEX(对接源_01水果!$C$5:$C$507,MATCH(ROW()-3,对接源_01水果!$Q$5:$Q$507,0)),""),IFERROR(INDEX(对接源_02物料!$C$5:$C$460,MATCH(ROW()-3-N(对接源_01水果!$T$1),对接源_02物料!$Q$5:$Q$460,0)),"")))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47" s="69" t="str">
        <f aca="false">IF($B47="","",IF($B47="01水果",IFERROR(INDEX(对接源_01水果!$D$5:$D$507,MATCH(ROW()-3,对接源_01水果!$Q$5:$Q$507,0)),""),IFERROR(INDEX(对接源_02物料!$D$5:$D$460,MATCH(ROW()-3-N(对接源_01水果!$T$1),对接源_02物料!$Q$5:$Q$460,0)),"")))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47" s="67" t="str">
        <f aca="false">IF($B47="","",IF($B47="01水果",IFERROR(INDEX(对接源_01水果!$E$5:$E$507,MATCH(ROW()-3,对接源_01水果!$Q$5:$Q$507,0)),""),IFERROR(INDEX(对接源_02物料!$E$5:$E$460,MATCH(ROW()-3-N(对接源_01水果!$T$1),对接源_02物料!$Q$5:$Q$460,0)),"")))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47" s="70" t="str">
        <f aca="false">IF($B47="","",IF($B47="01水果",IFERROR(INDEX(对接源_01水果!$F$5:$F$507,MATCH(ROW()-3,对接源_01水果!$Q$5:$Q$507,0)),""),IFERROR(INDEX(对接源_02物料!$F$5:$F$460,MATCH(ROW()-3-N(对接源_01水果!$T$1),对接源_02物料!$Q$5:$Q$460,0)),"")))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47" s="70" t="str">
        <f aca="false">IF($B47="","",IF($B47="01水果",IFERROR(INDEX(对接源_01水果!$G$5:$G$507,MATCH(ROW()-3,对接源_01水果!$Q$5:$Q$507,0)),""),IFERROR(INDEX(对接源_02物料!$G$5:$G$460,MATCH(ROW()-3-N(对接源_01水果!$T$1),对接源_02物料!$Q$5:$Q$460,0)),"")))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47" s="67" t="str">
        <f aca="false">IF(OR($D47="客户应收",$D47="成品销售款",$D47="公司购买果品款",$D47="筐子销售款",$D47="物料销售款"),"客户往来",IFERROR(INDEX(收入成本映射!$C$4:$C$34,MATCH($D47,收入成本映射!$B$4:$B$34,0)),"不记账"))</f>
        <v>不记账</v>
      </c>
      <c r="J47" s="67" t="str">
        <f aca="false">IF($B47="","","0%")</f>
        <v/>
      </c>
      <c r="K47" s="70" t="n">
        <f aca="false">IF($I47="不记账",0,ROUND(N($G47),2))</f>
        <v>0</v>
      </c>
      <c r="L47" s="70" t="n">
        <v>0</v>
      </c>
      <c r="M47" s="67" t="str">
        <f aca="false">IF(OR($I47="不记账",ROUND(N($G47),2)=0),"",IFERROR(INDEX(收入成本映射!$E$4:$E$34,MATCH($D47,收入成本映射!$B$4:$B$34,0)),""))</f>
        <v/>
      </c>
      <c r="N47" s="70" t="str">
        <f aca="false">IF($M47="","",ROUND(N($G47),2))</f>
        <v/>
      </c>
      <c r="O47" s="70" t="str">
        <f aca="false">IF($M47="","",0)</f>
        <v/>
      </c>
      <c r="P47" s="67" t="str">
        <f aca="false">IF($M47="","",IFERROR(INDEX(收入成本映射!$F$4:$F$34,MATCH($D47,收入成本映射!$B$4:$B$34,0)),""))</f>
        <v/>
      </c>
      <c r="Q47" s="70" t="str">
        <f aca="false">IF($P47="","",0)</f>
        <v/>
      </c>
      <c r="R47" s="70" t="str">
        <f aca="false">IF($P47="","",ROUND(N($G47),2))</f>
        <v/>
      </c>
      <c r="S47" s="67" t="str">
        <f aca="false">""</f>
        <v/>
      </c>
      <c r="T47" s="70" t="str">
        <f aca="false">IF($S47="","",0)</f>
        <v/>
      </c>
      <c r="U47" s="70" t="str">
        <f aca="false">IF($S47="","",0)</f>
        <v/>
      </c>
      <c r="V47" s="66" t="str">
        <f aca="false">IF($B47="","",IF($B47="01水果",IFERROR(INDEX(对接源_01水果!$H$5:$H$507,MATCH(ROW()-3,对接源_01水果!$Q$5:$Q$507,0)),""),IFERROR(INDEX(对接源_02物料!$H$5:$H$460,MATCH(ROW()-3-N(对接源_01水果!$T$1),对接源_02物料!$Q$5:$Q$460,0)),"")))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8" customFormat="false" ht="18" hidden="false" customHeight="true" outlineLevel="0" collapsed="false">
      <c r="A48" s="66" t="n">
        <v>45</v>
      </c>
      <c r="B48" s="67" t="str">
        <f aca="false">IF(ROW()-3&lt;=N(对接源_01水果!$T$1),"01水果",IF(ROW()-3&lt;=N(对接源_01水果!$T$1)+N(对接源_02物料!$T$1),"02物料",""))</f>
        <v/>
      </c>
      <c r="C48" s="68" t="str">
        <f aca="false">IF($B48="","",IF($B48="01水果",IFERROR(INDEX(对接源_01水果!$B$5:$B$507,MATCH(ROW()-3,对接源_01水果!$Q$5:$Q$507,0)),""),IFERROR(INDEX(对接源_02物料!$B$5:$B$460,MATCH(ROW()-3-N(对接源_01水果!$T$1),对接源_02物料!$Q$5:$Q$460,0)),"")))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48" s="67" t="str">
        <f aca="false">IF($B48="","",IF($B48="01水果",IFERROR(INDEX(对接源_01水果!$C$5:$C$507,MATCH(ROW()-3,对接源_01水果!$Q$5:$Q$507,0)),""),IFERROR(INDEX(对接源_02物料!$C$5:$C$460,MATCH(ROW()-3-N(对接源_01水果!$T$1),对接源_02物料!$Q$5:$Q$460,0)),"")))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48" s="69" t="str">
        <f aca="false">IF($B48="","",IF($B48="01水果",IFERROR(INDEX(对接源_01水果!$D$5:$D$507,MATCH(ROW()-3,对接源_01水果!$Q$5:$Q$507,0)),""),IFERROR(INDEX(对接源_02物料!$D$5:$D$460,MATCH(ROW()-3-N(对接源_01水果!$T$1),对接源_02物料!$Q$5:$Q$460,0)),"")))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48" s="67" t="str">
        <f aca="false">IF($B48="","",IF($B48="01水果",IFERROR(INDEX(对接源_01水果!$E$5:$E$507,MATCH(ROW()-3,对接源_01水果!$Q$5:$Q$507,0)),""),IFERROR(INDEX(对接源_02物料!$E$5:$E$460,MATCH(ROW()-3-N(对接源_01水果!$T$1),对接源_02物料!$Q$5:$Q$460,0)),"")))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48" s="70" t="str">
        <f aca="false">IF($B48="","",IF($B48="01水果",IFERROR(INDEX(对接源_01水果!$F$5:$F$507,MATCH(ROW()-3,对接源_01水果!$Q$5:$Q$507,0)),""),IFERROR(INDEX(对接源_02物料!$F$5:$F$460,MATCH(ROW()-3-N(对接源_01水果!$T$1),对接源_02物料!$Q$5:$Q$460,0)),"")))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48" s="70" t="str">
        <f aca="false">IF($B48="","",IF($B48="01水果",IFERROR(INDEX(对接源_01水果!$G$5:$G$507,MATCH(ROW()-3,对接源_01水果!$Q$5:$Q$507,0)),""),IFERROR(INDEX(对接源_02物料!$G$5:$G$460,MATCH(ROW()-3-N(对接源_01水果!$T$1),对接源_02物料!$Q$5:$Q$460,0)),"")))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48" s="67" t="str">
        <f aca="false">IF(OR($D48="客户应收",$D48="成品销售款",$D48="公司购买果品款",$D48="筐子销售款",$D48="物料销售款"),"客户往来",IFERROR(INDEX(收入成本映射!$C$4:$C$34,MATCH($D48,收入成本映射!$B$4:$B$34,0)),"不记账"))</f>
        <v>不记账</v>
      </c>
      <c r="J48" s="67" t="str">
        <f aca="false">IF($B48="","","0%")</f>
        <v/>
      </c>
      <c r="K48" s="70" t="n">
        <f aca="false">IF($I48="不记账",0,ROUND(N($G48),2))</f>
        <v>0</v>
      </c>
      <c r="L48" s="70" t="n">
        <v>0</v>
      </c>
      <c r="M48" s="67" t="str">
        <f aca="false">IF(OR($I48="不记账",ROUND(N($G48),2)=0),"",IFERROR(INDEX(收入成本映射!$E$4:$E$34,MATCH($D48,收入成本映射!$B$4:$B$34,0)),""))</f>
        <v/>
      </c>
      <c r="N48" s="70" t="str">
        <f aca="false">IF($M48="","",ROUND(N($G48),2))</f>
        <v/>
      </c>
      <c r="O48" s="70" t="str">
        <f aca="false">IF($M48="","",0)</f>
        <v/>
      </c>
      <c r="P48" s="67" t="str">
        <f aca="false">IF($M48="","",IFERROR(INDEX(收入成本映射!$F$4:$F$34,MATCH($D48,收入成本映射!$B$4:$B$34,0)),""))</f>
        <v/>
      </c>
      <c r="Q48" s="70" t="str">
        <f aca="false">IF($P48="","",0)</f>
        <v/>
      </c>
      <c r="R48" s="70" t="str">
        <f aca="false">IF($P48="","",ROUND(N($G48),2))</f>
        <v/>
      </c>
      <c r="S48" s="67" t="str">
        <f aca="false">""</f>
        <v/>
      </c>
      <c r="T48" s="70" t="str">
        <f aca="false">IF($S48="","",0)</f>
        <v/>
      </c>
      <c r="U48" s="70" t="str">
        <f aca="false">IF($S48="","",0)</f>
        <v/>
      </c>
      <c r="V48" s="66" t="str">
        <f aca="false">IF($B48="","",IF($B48="01水果",IFERROR(INDEX(对接源_01水果!$H$5:$H$507,MATCH(ROW()-3,对接源_01水果!$Q$5:$Q$507,0)),""),IFERROR(INDEX(对接源_02物料!$H$5:$H$460,MATCH(ROW()-3-N(对接源_01水果!$T$1),对接源_02物料!$Q$5:$Q$460,0)),"")))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49" customFormat="false" ht="18" hidden="false" customHeight="true" outlineLevel="0" collapsed="false">
      <c r="A49" s="66" t="n">
        <v>46</v>
      </c>
      <c r="B49" s="67" t="str">
        <f aca="false">IF(ROW()-3&lt;=N(对接源_01水果!$T$1),"01水果",IF(ROW()-3&lt;=N(对接源_01水果!$T$1)+N(对接源_02物料!$T$1),"02物料",""))</f>
        <v/>
      </c>
      <c r="C49" s="68" t="str">
        <f aca="false">IF($B49="","",IF($B49="01水果",IFERROR(INDEX(对接源_01水果!$B$5:$B$507,MATCH(ROW()-3,对接源_01水果!$Q$5:$Q$507,0)),""),IFERROR(INDEX(对接源_02物料!$B$5:$B$460,MATCH(ROW()-3-N(对接源_01水果!$T$1),对接源_02物料!$Q$5:$Q$460,0)),"")))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49" s="67" t="str">
        <f aca="false">IF($B49="","",IF($B49="01水果",IFERROR(INDEX(对接源_01水果!$C$5:$C$507,MATCH(ROW()-3,对接源_01水果!$Q$5:$Q$507,0)),""),IFERROR(INDEX(对接源_02物料!$C$5:$C$460,MATCH(ROW()-3-N(对接源_01水果!$T$1),对接源_02物料!$Q$5:$Q$460,0)),"")))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49" s="69" t="str">
        <f aca="false">IF($B49="","",IF($B49="01水果",IFERROR(INDEX(对接源_01水果!$D$5:$D$507,MATCH(ROW()-3,对接源_01水果!$Q$5:$Q$507,0)),""),IFERROR(INDEX(对接源_02物料!$D$5:$D$460,MATCH(ROW()-3-N(对接源_01水果!$T$1),对接源_02物料!$Q$5:$Q$460,0)),"")))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49" s="67" t="str">
        <f aca="false">IF($B49="","",IF($B49="01水果",IFERROR(INDEX(对接源_01水果!$E$5:$E$507,MATCH(ROW()-3,对接源_01水果!$Q$5:$Q$507,0)),""),IFERROR(INDEX(对接源_02物料!$E$5:$E$460,MATCH(ROW()-3-N(对接源_01水果!$T$1),对接源_02物料!$Q$5:$Q$460,0)),"")))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49" s="70" t="str">
        <f aca="false">IF($B49="","",IF($B49="01水果",IFERROR(INDEX(对接源_01水果!$F$5:$F$507,MATCH(ROW()-3,对接源_01水果!$Q$5:$Q$507,0)),""),IFERROR(INDEX(对接源_02物料!$F$5:$F$460,MATCH(ROW()-3-N(对接源_01水果!$T$1),对接源_02物料!$Q$5:$Q$460,0)),"")))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49" s="70" t="str">
        <f aca="false">IF($B49="","",IF($B49="01水果",IFERROR(INDEX(对接源_01水果!$G$5:$G$507,MATCH(ROW()-3,对接源_01水果!$Q$5:$Q$507,0)),""),IFERROR(INDEX(对接源_02物料!$G$5:$G$460,MATCH(ROW()-3-N(对接源_01水果!$T$1),对接源_02物料!$Q$5:$Q$460,0)),"")))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49" s="67" t="str">
        <f aca="false">IF(OR($D49="客户应收",$D49="成品销售款",$D49="公司购买果品款",$D49="筐子销售款",$D49="物料销售款"),"客户往来",IFERROR(INDEX(收入成本映射!$C$4:$C$34,MATCH($D49,收入成本映射!$B$4:$B$34,0)),"不记账"))</f>
        <v>不记账</v>
      </c>
      <c r="J49" s="67" t="str">
        <f aca="false">IF($B49="","","0%")</f>
        <v/>
      </c>
      <c r="K49" s="70" t="n">
        <f aca="false">IF($I49="不记账",0,ROUND(N($G49),2))</f>
        <v>0</v>
      </c>
      <c r="L49" s="70" t="n">
        <v>0</v>
      </c>
      <c r="M49" s="67" t="str">
        <f aca="false">IF(OR($I49="不记账",ROUND(N($G49),2)=0),"",IFERROR(INDEX(收入成本映射!$E$4:$E$34,MATCH($D49,收入成本映射!$B$4:$B$34,0)),""))</f>
        <v/>
      </c>
      <c r="N49" s="70" t="str">
        <f aca="false">IF($M49="","",ROUND(N($G49),2))</f>
        <v/>
      </c>
      <c r="O49" s="70" t="str">
        <f aca="false">IF($M49="","",0)</f>
        <v/>
      </c>
      <c r="P49" s="67" t="str">
        <f aca="false">IF($M49="","",IFERROR(INDEX(收入成本映射!$F$4:$F$34,MATCH($D49,收入成本映射!$B$4:$B$34,0)),""))</f>
        <v/>
      </c>
      <c r="Q49" s="70" t="str">
        <f aca="false">IF($P49="","",0)</f>
        <v/>
      </c>
      <c r="R49" s="70" t="str">
        <f aca="false">IF($P49="","",ROUND(N($G49),2))</f>
        <v/>
      </c>
      <c r="S49" s="67" t="str">
        <f aca="false">""</f>
        <v/>
      </c>
      <c r="T49" s="70" t="str">
        <f aca="false">IF($S49="","",0)</f>
        <v/>
      </c>
      <c r="U49" s="70" t="str">
        <f aca="false">IF($S49="","",0)</f>
        <v/>
      </c>
      <c r="V49" s="66" t="str">
        <f aca="false">IF($B49="","",IF($B49="01水果",IFERROR(INDEX(对接源_01水果!$H$5:$H$507,MATCH(ROW()-3,对接源_01水果!$Q$5:$Q$507,0)),""),IFERROR(INDEX(对接源_02物料!$H$5:$H$460,MATCH(ROW()-3-N(对接源_01水果!$T$1),对接源_02物料!$Q$5:$Q$460,0)),"")))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0" customFormat="false" ht="18" hidden="false" customHeight="true" outlineLevel="0" collapsed="false">
      <c r="A50" s="66" t="n">
        <v>47</v>
      </c>
      <c r="B50" s="67" t="str">
        <f aca="false">IF(ROW()-3&lt;=N(对接源_01水果!$T$1),"01水果",IF(ROW()-3&lt;=N(对接源_01水果!$T$1)+N(对接源_02物料!$T$1),"02物料",""))</f>
        <v/>
      </c>
      <c r="C50" s="68" t="str">
        <f aca="false">IF($B50="","",IF($B50="01水果",IFERROR(INDEX(对接源_01水果!$B$5:$B$507,MATCH(ROW()-3,对接源_01水果!$Q$5:$Q$507,0)),""),IFERROR(INDEX(对接源_02物料!$B$5:$B$460,MATCH(ROW()-3-N(对接源_01水果!$T$1),对接源_02物料!$Q$5:$Q$460,0)),"")))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50" s="67" t="str">
        <f aca="false">IF($B50="","",IF($B50="01水果",IFERROR(INDEX(对接源_01水果!$C$5:$C$507,MATCH(ROW()-3,对接源_01水果!$Q$5:$Q$507,0)),""),IFERROR(INDEX(对接源_02物料!$C$5:$C$460,MATCH(ROW()-3-N(对接源_01水果!$T$1),对接源_02物料!$Q$5:$Q$460,0)),"")))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50" s="69" t="str">
        <f aca="false">IF($B50="","",IF($B50="01水果",IFERROR(INDEX(对接源_01水果!$D$5:$D$507,MATCH(ROW()-3,对接源_01水果!$Q$5:$Q$507,0)),""),IFERROR(INDEX(对接源_02物料!$D$5:$D$460,MATCH(ROW()-3-N(对接源_01水果!$T$1),对接源_02物料!$Q$5:$Q$460,0)),"")))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50" s="67" t="str">
        <f aca="false">IF($B50="","",IF($B50="01水果",IFERROR(INDEX(对接源_01水果!$E$5:$E$507,MATCH(ROW()-3,对接源_01水果!$Q$5:$Q$507,0)),""),IFERROR(INDEX(对接源_02物料!$E$5:$E$460,MATCH(ROW()-3-N(对接源_01水果!$T$1),对接源_02物料!$Q$5:$Q$460,0)),"")))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50" s="70" t="str">
        <f aca="false">IF($B50="","",IF($B50="01水果",IFERROR(INDEX(对接源_01水果!$F$5:$F$507,MATCH(ROW()-3,对接源_01水果!$Q$5:$Q$507,0)),""),IFERROR(INDEX(对接源_02物料!$F$5:$F$460,MATCH(ROW()-3-N(对接源_01水果!$T$1),对接源_02物料!$Q$5:$Q$460,0)),"")))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50" s="70" t="str">
        <f aca="false">IF($B50="","",IF($B50="01水果",IFERROR(INDEX(对接源_01水果!$G$5:$G$507,MATCH(ROW()-3,对接源_01水果!$Q$5:$Q$507,0)),""),IFERROR(INDEX(对接源_02物料!$G$5:$G$460,MATCH(ROW()-3-N(对接源_01水果!$T$1),对接源_02物料!$Q$5:$Q$460,0)),"")))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50" s="67" t="str">
        <f aca="false">IF(OR($D50="客户应收",$D50="成品销售款",$D50="公司购买果品款",$D50="筐子销售款",$D50="物料销售款"),"客户往来",IFERROR(INDEX(收入成本映射!$C$4:$C$34,MATCH($D50,收入成本映射!$B$4:$B$34,0)),"不记账"))</f>
        <v>不记账</v>
      </c>
      <c r="J50" s="67" t="str">
        <f aca="false">IF($B50="","","0%")</f>
        <v/>
      </c>
      <c r="K50" s="70" t="n">
        <f aca="false">IF($I50="不记账",0,ROUND(N($G50),2))</f>
        <v>0</v>
      </c>
      <c r="L50" s="70" t="n">
        <v>0</v>
      </c>
      <c r="M50" s="67" t="str">
        <f aca="false">IF(OR($I50="不记账",ROUND(N($G50),2)=0),"",IFERROR(INDEX(收入成本映射!$E$4:$E$34,MATCH($D50,收入成本映射!$B$4:$B$34,0)),""))</f>
        <v/>
      </c>
      <c r="N50" s="70" t="str">
        <f aca="false">IF($M50="","",ROUND(N($G50),2))</f>
        <v/>
      </c>
      <c r="O50" s="70" t="str">
        <f aca="false">IF($M50="","",0)</f>
        <v/>
      </c>
      <c r="P50" s="67" t="str">
        <f aca="false">IF($M50="","",IFERROR(INDEX(收入成本映射!$F$4:$F$34,MATCH($D50,收入成本映射!$B$4:$B$34,0)),""))</f>
        <v/>
      </c>
      <c r="Q50" s="70" t="str">
        <f aca="false">IF($P50="","",0)</f>
        <v/>
      </c>
      <c r="R50" s="70" t="str">
        <f aca="false">IF($P50="","",ROUND(N($G50),2))</f>
        <v/>
      </c>
      <c r="S50" s="67" t="str">
        <f aca="false">""</f>
        <v/>
      </c>
      <c r="T50" s="70" t="str">
        <f aca="false">IF($S50="","",0)</f>
        <v/>
      </c>
      <c r="U50" s="70" t="str">
        <f aca="false">IF($S50="","",0)</f>
        <v/>
      </c>
      <c r="V50" s="66" t="str">
        <f aca="false">IF($B50="","",IF($B50="01水果",IFERROR(INDEX(对接源_01水果!$H$5:$H$507,MATCH(ROW()-3,对接源_01水果!$Q$5:$Q$507,0)),""),IFERROR(INDEX(对接源_02物料!$H$5:$H$460,MATCH(ROW()-3-N(对接源_01水果!$T$1),对接源_02物料!$Q$5:$Q$460,0)),"")))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1" customFormat="false" ht="18" hidden="false" customHeight="true" outlineLevel="0" collapsed="false">
      <c r="A51" s="66" t="n">
        <v>48</v>
      </c>
      <c r="B51" s="67" t="str">
        <f aca="false">IF(ROW()-3&lt;=N(对接源_01水果!$T$1),"01水果",IF(ROW()-3&lt;=N(对接源_01水果!$T$1)+N(对接源_02物料!$T$1),"02物料",""))</f>
        <v/>
      </c>
      <c r="C51" s="68" t="str">
        <f aca="false">IF($B51="","",IF($B51="01水果",IFERROR(INDEX(对接源_01水果!$B$5:$B$507,MATCH(ROW()-3,对接源_01水果!$Q$5:$Q$507,0)),""),IFERROR(INDEX(对接源_02物料!$B$5:$B$460,MATCH(ROW()-3-N(对接源_01水果!$T$1),对接源_02物料!$Q$5:$Q$460,0)),"")))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51" s="67" t="str">
        <f aca="false">IF($B51="","",IF($B51="01水果",IFERROR(INDEX(对接源_01水果!$C$5:$C$507,MATCH(ROW()-3,对接源_01水果!$Q$5:$Q$507,0)),""),IFERROR(INDEX(对接源_02物料!$C$5:$C$460,MATCH(ROW()-3-N(对接源_01水果!$T$1),对接源_02物料!$Q$5:$Q$460,0)),"")))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51" s="69" t="str">
        <f aca="false">IF($B51="","",IF($B51="01水果",IFERROR(INDEX(对接源_01水果!$D$5:$D$507,MATCH(ROW()-3,对接源_01水果!$Q$5:$Q$507,0)),""),IFERROR(INDEX(对接源_02物料!$D$5:$D$460,MATCH(ROW()-3-N(对接源_01水果!$T$1),对接源_02物料!$Q$5:$Q$460,0)),"")))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51" s="67" t="str">
        <f aca="false">IF($B51="","",IF($B51="01水果",IFERROR(INDEX(对接源_01水果!$E$5:$E$507,MATCH(ROW()-3,对接源_01水果!$Q$5:$Q$507,0)),""),IFERROR(INDEX(对接源_02物料!$E$5:$E$460,MATCH(ROW()-3-N(对接源_01水果!$T$1),对接源_02物料!$Q$5:$Q$460,0)),"")))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51" s="70" t="str">
        <f aca="false">IF($B51="","",IF($B51="01水果",IFERROR(INDEX(对接源_01水果!$F$5:$F$507,MATCH(ROW()-3,对接源_01水果!$Q$5:$Q$507,0)),""),IFERROR(INDEX(对接源_02物料!$F$5:$F$460,MATCH(ROW()-3-N(对接源_01水果!$T$1),对接源_02物料!$Q$5:$Q$460,0)),"")))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51" s="70" t="str">
        <f aca="false">IF($B51="","",IF($B51="01水果",IFERROR(INDEX(对接源_01水果!$G$5:$G$507,MATCH(ROW()-3,对接源_01水果!$Q$5:$Q$507,0)),""),IFERROR(INDEX(对接源_02物料!$G$5:$G$460,MATCH(ROW()-3-N(对接源_01水果!$T$1),对接源_02物料!$Q$5:$Q$460,0)),"")))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51" s="67" t="str">
        <f aca="false">IF(OR($D51="客户应收",$D51="成品销售款",$D51="公司购买果品款",$D51="筐子销售款",$D51="物料销售款"),"客户往来",IFERROR(INDEX(收入成本映射!$C$4:$C$34,MATCH($D51,收入成本映射!$B$4:$B$34,0)),"不记账"))</f>
        <v>不记账</v>
      </c>
      <c r="J51" s="67" t="str">
        <f aca="false">IF($B51="","","0%")</f>
        <v/>
      </c>
      <c r="K51" s="70" t="n">
        <f aca="false">IF($I51="不记账",0,ROUND(N($G51),2))</f>
        <v>0</v>
      </c>
      <c r="L51" s="70" t="n">
        <v>0</v>
      </c>
      <c r="M51" s="67" t="str">
        <f aca="false">IF(OR($I51="不记账",ROUND(N($G51),2)=0),"",IFERROR(INDEX(收入成本映射!$E$4:$E$34,MATCH($D51,收入成本映射!$B$4:$B$34,0)),""))</f>
        <v/>
      </c>
      <c r="N51" s="70" t="str">
        <f aca="false">IF($M51="","",ROUND(N($G51),2))</f>
        <v/>
      </c>
      <c r="O51" s="70" t="str">
        <f aca="false">IF($M51="","",0)</f>
        <v/>
      </c>
      <c r="P51" s="67" t="str">
        <f aca="false">IF($M51="","",IFERROR(INDEX(收入成本映射!$F$4:$F$34,MATCH($D51,收入成本映射!$B$4:$B$34,0)),""))</f>
        <v/>
      </c>
      <c r="Q51" s="70" t="str">
        <f aca="false">IF($P51="","",0)</f>
        <v/>
      </c>
      <c r="R51" s="70" t="str">
        <f aca="false">IF($P51="","",ROUND(N($G51),2))</f>
        <v/>
      </c>
      <c r="S51" s="67" t="str">
        <f aca="false">""</f>
        <v/>
      </c>
      <c r="T51" s="70" t="str">
        <f aca="false">IF($S51="","",0)</f>
        <v/>
      </c>
      <c r="U51" s="70" t="str">
        <f aca="false">IF($S51="","",0)</f>
        <v/>
      </c>
      <c r="V51" s="66" t="str">
        <f aca="false">IF($B51="","",IF($B51="01水果",IFERROR(INDEX(对接源_01水果!$H$5:$H$507,MATCH(ROW()-3,对接源_01水果!$Q$5:$Q$507,0)),""),IFERROR(INDEX(对接源_02物料!$H$5:$H$460,MATCH(ROW()-3-N(对接源_01水果!$T$1),对接源_02物料!$Q$5:$Q$460,0)),"")))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2" customFormat="false" ht="18" hidden="false" customHeight="true" outlineLevel="0" collapsed="false">
      <c r="A52" s="66" t="n">
        <v>49</v>
      </c>
      <c r="B52" s="67" t="str">
        <f aca="false">IF(ROW()-3&lt;=N(对接源_01水果!$T$1),"01水果",IF(ROW()-3&lt;=N(对接源_01水果!$T$1)+N(对接源_02物料!$T$1),"02物料",""))</f>
        <v/>
      </c>
      <c r="C52" s="68" t="str">
        <f aca="false">IF($B52="","",IF($B52="01水果",IFERROR(INDEX(对接源_01水果!$B$5:$B$507,MATCH(ROW()-3,对接源_01水果!$Q$5:$Q$507,0)),""),IFERROR(INDEX(对接源_02物料!$B$5:$B$460,MATCH(ROW()-3-N(对接源_01水果!$T$1),对接源_02物料!$Q$5:$Q$460,0)),"")))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52" s="67" t="str">
        <f aca="false">IF($B52="","",IF($B52="01水果",IFERROR(INDEX(对接源_01水果!$C$5:$C$507,MATCH(ROW()-3,对接源_01水果!$Q$5:$Q$507,0)),""),IFERROR(INDEX(对接源_02物料!$C$5:$C$460,MATCH(ROW()-3-N(对接源_01水果!$T$1),对接源_02物料!$Q$5:$Q$460,0)),"")))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52" s="69" t="str">
        <f aca="false">IF($B52="","",IF($B52="01水果",IFERROR(INDEX(对接源_01水果!$D$5:$D$507,MATCH(ROW()-3,对接源_01水果!$Q$5:$Q$507,0)),""),IFERROR(INDEX(对接源_02物料!$D$5:$D$460,MATCH(ROW()-3-N(对接源_01水果!$T$1),对接源_02物料!$Q$5:$Q$460,0)),"")))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52" s="67" t="str">
        <f aca="false">IF($B52="","",IF($B52="01水果",IFERROR(INDEX(对接源_01水果!$E$5:$E$507,MATCH(ROW()-3,对接源_01水果!$Q$5:$Q$507,0)),""),IFERROR(INDEX(对接源_02物料!$E$5:$E$460,MATCH(ROW()-3-N(对接源_01水果!$T$1),对接源_02物料!$Q$5:$Q$460,0)),"")))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52" s="70" t="str">
        <f aca="false">IF($B52="","",IF($B52="01水果",IFERROR(INDEX(对接源_01水果!$F$5:$F$507,MATCH(ROW()-3,对接源_01水果!$Q$5:$Q$507,0)),""),IFERROR(INDEX(对接源_02物料!$F$5:$F$460,MATCH(ROW()-3-N(对接源_01水果!$T$1),对接源_02物料!$Q$5:$Q$460,0)),"")))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52" s="70" t="str">
        <f aca="false">IF($B52="","",IF($B52="01水果",IFERROR(INDEX(对接源_01水果!$G$5:$G$507,MATCH(ROW()-3,对接源_01水果!$Q$5:$Q$507,0)),""),IFERROR(INDEX(对接源_02物料!$G$5:$G$460,MATCH(ROW()-3-N(对接源_01水果!$T$1),对接源_02物料!$Q$5:$Q$460,0)),"")))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52" s="67" t="str">
        <f aca="false">IF(OR($D52="客户应收",$D52="成品销售款",$D52="公司购买果品款",$D52="筐子销售款",$D52="物料销售款"),"客户往来",IFERROR(INDEX(收入成本映射!$C$4:$C$34,MATCH($D52,收入成本映射!$B$4:$B$34,0)),"不记账"))</f>
        <v>不记账</v>
      </c>
      <c r="J52" s="67" t="str">
        <f aca="false">IF($B52="","","0%")</f>
        <v/>
      </c>
      <c r="K52" s="70" t="n">
        <f aca="false">IF($I52="不记账",0,ROUND(N($G52),2))</f>
        <v>0</v>
      </c>
      <c r="L52" s="70" t="n">
        <v>0</v>
      </c>
      <c r="M52" s="67" t="str">
        <f aca="false">IF(OR($I52="不记账",ROUND(N($G52),2)=0),"",IFERROR(INDEX(收入成本映射!$E$4:$E$34,MATCH($D52,收入成本映射!$B$4:$B$34,0)),""))</f>
        <v/>
      </c>
      <c r="N52" s="70" t="str">
        <f aca="false">IF($M52="","",ROUND(N($G52),2))</f>
        <v/>
      </c>
      <c r="O52" s="70" t="str">
        <f aca="false">IF($M52="","",0)</f>
        <v/>
      </c>
      <c r="P52" s="67" t="str">
        <f aca="false">IF($M52="","",IFERROR(INDEX(收入成本映射!$F$4:$F$34,MATCH($D52,收入成本映射!$B$4:$B$34,0)),""))</f>
        <v/>
      </c>
      <c r="Q52" s="70" t="str">
        <f aca="false">IF($P52="","",0)</f>
        <v/>
      </c>
      <c r="R52" s="70" t="str">
        <f aca="false">IF($P52="","",ROUND(N($G52),2))</f>
        <v/>
      </c>
      <c r="S52" s="67" t="str">
        <f aca="false">""</f>
        <v/>
      </c>
      <c r="T52" s="70" t="str">
        <f aca="false">IF($S52="","",0)</f>
        <v/>
      </c>
      <c r="U52" s="70" t="str">
        <f aca="false">IF($S52="","",0)</f>
        <v/>
      </c>
      <c r="V52" s="66" t="str">
        <f aca="false">IF($B52="","",IF($B52="01水果",IFERROR(INDEX(对接源_01水果!$H$5:$H$507,MATCH(ROW()-3,对接源_01水果!$Q$5:$Q$507,0)),""),IFERROR(INDEX(对接源_02物料!$H$5:$H$460,MATCH(ROW()-3-N(对接源_01水果!$T$1),对接源_02物料!$Q$5:$Q$460,0)),"")))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3" customFormat="false" ht="18" hidden="false" customHeight="true" outlineLevel="0" collapsed="false">
      <c r="A53" s="66" t="n">
        <v>50</v>
      </c>
      <c r="B53" s="67" t="str">
        <f aca="false">IF(ROW()-3&lt;=N(对接源_01水果!$T$1),"01水果",IF(ROW()-3&lt;=N(对接源_01水果!$T$1)+N(对接源_02物料!$T$1),"02物料",""))</f>
        <v/>
      </c>
      <c r="C53" s="68" t="str">
        <f aca="false">IF($B53="","",IF($B53="01水果",IFERROR(INDEX(对接源_01水果!$B$5:$B$507,MATCH(ROW()-3,对接源_01水果!$Q$5:$Q$507,0)),""),IFERROR(INDEX(对接源_02物料!$B$5:$B$460,MATCH(ROW()-3-N(对接源_01水果!$T$1),对接源_02物料!$Q$5:$Q$460,0)),"")))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53" s="67" t="str">
        <f aca="false">IF($B53="","",IF($B53="01水果",IFERROR(INDEX(对接源_01水果!$C$5:$C$507,MATCH(ROW()-3,对接源_01水果!$Q$5:$Q$507,0)),""),IFERROR(INDEX(对接源_02物料!$C$5:$C$460,MATCH(ROW()-3-N(对接源_01水果!$T$1),对接源_02物料!$Q$5:$Q$460,0)),"")))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53" s="69" t="str">
        <f aca="false">IF($B53="","",IF($B53="01水果",IFERROR(INDEX(对接源_01水果!$D$5:$D$507,MATCH(ROW()-3,对接源_01水果!$Q$5:$Q$507,0)),""),IFERROR(INDEX(对接源_02物料!$D$5:$D$460,MATCH(ROW()-3-N(对接源_01水果!$T$1),对接源_02物料!$Q$5:$Q$460,0)),"")))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53" s="67" t="str">
        <f aca="false">IF($B53="","",IF($B53="01水果",IFERROR(INDEX(对接源_01水果!$E$5:$E$507,MATCH(ROW()-3,对接源_01水果!$Q$5:$Q$507,0)),""),IFERROR(INDEX(对接源_02物料!$E$5:$E$460,MATCH(ROW()-3-N(对接源_01水果!$T$1),对接源_02物料!$Q$5:$Q$460,0)),"")))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53" s="70" t="str">
        <f aca="false">IF($B53="","",IF($B53="01水果",IFERROR(INDEX(对接源_01水果!$F$5:$F$507,MATCH(ROW()-3,对接源_01水果!$Q$5:$Q$507,0)),""),IFERROR(INDEX(对接源_02物料!$F$5:$F$460,MATCH(ROW()-3-N(对接源_01水果!$T$1),对接源_02物料!$Q$5:$Q$460,0)),"")))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53" s="70" t="str">
        <f aca="false">IF($B53="","",IF($B53="01水果",IFERROR(INDEX(对接源_01水果!$G$5:$G$507,MATCH(ROW()-3,对接源_01水果!$Q$5:$Q$507,0)),""),IFERROR(INDEX(对接源_02物料!$G$5:$G$460,MATCH(ROW()-3-N(对接源_01水果!$T$1),对接源_02物料!$Q$5:$Q$460,0)),"")))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53" s="67" t="str">
        <f aca="false">IF(OR($D53="客户应收",$D53="成品销售款",$D53="公司购买果品款",$D53="筐子销售款",$D53="物料销售款"),"客户往来",IFERROR(INDEX(收入成本映射!$C$4:$C$34,MATCH($D53,收入成本映射!$B$4:$B$34,0)),"不记账"))</f>
        <v>不记账</v>
      </c>
      <c r="J53" s="67" t="str">
        <f aca="false">IF($B53="","","0%")</f>
        <v/>
      </c>
      <c r="K53" s="70" t="n">
        <f aca="false">IF($I53="不记账",0,ROUND(N($G53),2))</f>
        <v>0</v>
      </c>
      <c r="L53" s="70" t="n">
        <v>0</v>
      </c>
      <c r="M53" s="67" t="str">
        <f aca="false">IF(OR($I53="不记账",ROUND(N($G53),2)=0),"",IFERROR(INDEX(收入成本映射!$E$4:$E$34,MATCH($D53,收入成本映射!$B$4:$B$34,0)),""))</f>
        <v/>
      </c>
      <c r="N53" s="70" t="str">
        <f aca="false">IF($M53="","",ROUND(N($G53),2))</f>
        <v/>
      </c>
      <c r="O53" s="70" t="str">
        <f aca="false">IF($M53="","",0)</f>
        <v/>
      </c>
      <c r="P53" s="67" t="str">
        <f aca="false">IF($M53="","",IFERROR(INDEX(收入成本映射!$F$4:$F$34,MATCH($D53,收入成本映射!$B$4:$B$34,0)),""))</f>
        <v/>
      </c>
      <c r="Q53" s="70" t="str">
        <f aca="false">IF($P53="","",0)</f>
        <v/>
      </c>
      <c r="R53" s="70" t="str">
        <f aca="false">IF($P53="","",ROUND(N($G53),2))</f>
        <v/>
      </c>
      <c r="S53" s="67" t="str">
        <f aca="false">""</f>
        <v/>
      </c>
      <c r="T53" s="70" t="str">
        <f aca="false">IF($S53="","",0)</f>
        <v/>
      </c>
      <c r="U53" s="70" t="str">
        <f aca="false">IF($S53="","",0)</f>
        <v/>
      </c>
      <c r="V53" s="66" t="str">
        <f aca="false">IF($B53="","",IF($B53="01水果",IFERROR(INDEX(对接源_01水果!$H$5:$H$507,MATCH(ROW()-3,对接源_01水果!$Q$5:$Q$507,0)),""),IFERROR(INDEX(对接源_02物料!$H$5:$H$460,MATCH(ROW()-3-N(对接源_01水果!$T$1),对接源_02物料!$Q$5:$Q$460,0)),"")))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4" customFormat="false" ht="18" hidden="false" customHeight="true" outlineLevel="0" collapsed="false">
      <c r="A54" s="66" t="n">
        <v>51</v>
      </c>
      <c r="B54" s="67" t="str">
        <f aca="false">IF(ROW()-3&lt;=N(对接源_01水果!$T$1),"01水果",IF(ROW()-3&lt;=N(对接源_01水果!$T$1)+N(对接源_02物料!$T$1),"02物料",""))</f>
        <v/>
      </c>
      <c r="C54" s="68" t="str">
        <f aca="false">IF($B54="","",IF($B54="01水果",IFERROR(INDEX(对接源_01水果!$B$5:$B$507,MATCH(ROW()-3,对接源_01水果!$Q$5:$Q$507,0)),""),IFERROR(INDEX(对接源_02物料!$B$5:$B$460,MATCH(ROW()-3-N(对接源_01水果!$T$1),对接源_02物料!$Q$5:$Q$460,0)),"")))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54" s="67" t="str">
        <f aca="false">IF($B54="","",IF($B54="01水果",IFERROR(INDEX(对接源_01水果!$C$5:$C$507,MATCH(ROW()-3,对接源_01水果!$Q$5:$Q$507,0)),""),IFERROR(INDEX(对接源_02物料!$C$5:$C$460,MATCH(ROW()-3-N(对接源_01水果!$T$1),对接源_02物料!$Q$5:$Q$460,0)),"")))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54" s="69" t="str">
        <f aca="false">IF($B54="","",IF($B54="01水果",IFERROR(INDEX(对接源_01水果!$D$5:$D$507,MATCH(ROW()-3,对接源_01水果!$Q$5:$Q$507,0)),""),IFERROR(INDEX(对接源_02物料!$D$5:$D$460,MATCH(ROW()-3-N(对接源_01水果!$T$1),对接源_02物料!$Q$5:$Q$460,0)),"")))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54" s="67" t="str">
        <f aca="false">IF($B54="","",IF($B54="01水果",IFERROR(INDEX(对接源_01水果!$E$5:$E$507,MATCH(ROW()-3,对接源_01水果!$Q$5:$Q$507,0)),""),IFERROR(INDEX(对接源_02物料!$E$5:$E$460,MATCH(ROW()-3-N(对接源_01水果!$T$1),对接源_02物料!$Q$5:$Q$460,0)),"")))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54" s="70" t="str">
        <f aca="false">IF($B54="","",IF($B54="01水果",IFERROR(INDEX(对接源_01水果!$F$5:$F$507,MATCH(ROW()-3,对接源_01水果!$Q$5:$Q$507,0)),""),IFERROR(INDEX(对接源_02物料!$F$5:$F$460,MATCH(ROW()-3-N(对接源_01水果!$T$1),对接源_02物料!$Q$5:$Q$460,0)),"")))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54" s="70" t="str">
        <f aca="false">IF($B54="","",IF($B54="01水果",IFERROR(INDEX(对接源_01水果!$G$5:$G$507,MATCH(ROW()-3,对接源_01水果!$Q$5:$Q$507,0)),""),IFERROR(INDEX(对接源_02物料!$G$5:$G$460,MATCH(ROW()-3-N(对接源_01水果!$T$1),对接源_02物料!$Q$5:$Q$460,0)),"")))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54" s="67" t="str">
        <f aca="false">IF(OR($D54="客户应收",$D54="成品销售款",$D54="公司购买果品款",$D54="筐子销售款",$D54="物料销售款"),"客户往来",IFERROR(INDEX(收入成本映射!$C$4:$C$34,MATCH($D54,收入成本映射!$B$4:$B$34,0)),"不记账"))</f>
        <v>不记账</v>
      </c>
      <c r="J54" s="67" t="str">
        <f aca="false">IF($B54="","","0%")</f>
        <v/>
      </c>
      <c r="K54" s="70" t="n">
        <f aca="false">IF($I54="不记账",0,ROUND(N($G54),2))</f>
        <v>0</v>
      </c>
      <c r="L54" s="70" t="n">
        <v>0</v>
      </c>
      <c r="M54" s="67" t="str">
        <f aca="false">IF(OR($I54="不记账",ROUND(N($G54),2)=0),"",IFERROR(INDEX(收入成本映射!$E$4:$E$34,MATCH($D54,收入成本映射!$B$4:$B$34,0)),""))</f>
        <v/>
      </c>
      <c r="N54" s="70" t="str">
        <f aca="false">IF($M54="","",ROUND(N($G54),2))</f>
        <v/>
      </c>
      <c r="O54" s="70" t="str">
        <f aca="false">IF($M54="","",0)</f>
        <v/>
      </c>
      <c r="P54" s="67" t="str">
        <f aca="false">IF($M54="","",IFERROR(INDEX(收入成本映射!$F$4:$F$34,MATCH($D54,收入成本映射!$B$4:$B$34,0)),""))</f>
        <v/>
      </c>
      <c r="Q54" s="70" t="str">
        <f aca="false">IF($P54="","",0)</f>
        <v/>
      </c>
      <c r="R54" s="70" t="str">
        <f aca="false">IF($P54="","",ROUND(N($G54),2))</f>
        <v/>
      </c>
      <c r="S54" s="67" t="str">
        <f aca="false">""</f>
        <v/>
      </c>
      <c r="T54" s="70" t="str">
        <f aca="false">IF($S54="","",0)</f>
        <v/>
      </c>
      <c r="U54" s="70" t="str">
        <f aca="false">IF($S54="","",0)</f>
        <v/>
      </c>
      <c r="V54" s="66" t="str">
        <f aca="false">IF($B54="","",IF($B54="01水果",IFERROR(INDEX(对接源_01水果!$H$5:$H$507,MATCH(ROW()-3,对接源_01水果!$Q$5:$Q$507,0)),""),IFERROR(INDEX(对接源_02物料!$H$5:$H$460,MATCH(ROW()-3-N(对接源_01水果!$T$1),对接源_02物料!$Q$5:$Q$460,0)),"")))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5" customFormat="false" ht="18" hidden="false" customHeight="true" outlineLevel="0" collapsed="false">
      <c r="A55" s="66" t="n">
        <v>52</v>
      </c>
      <c r="B55" s="67" t="str">
        <f aca="false">IF(ROW()-3&lt;=N(对接源_01水果!$T$1),"01水果",IF(ROW()-3&lt;=N(对接源_01水果!$T$1)+N(对接源_02物料!$T$1),"02物料",""))</f>
        <v/>
      </c>
      <c r="C55" s="68" t="str">
        <f aca="false">IF($B55="","",IF($B55="01水果",IFERROR(INDEX(对接源_01水果!$B$5:$B$507,MATCH(ROW()-3,对接源_01水果!$Q$5:$Q$507,0)),""),IFERROR(INDEX(对接源_02物料!$B$5:$B$460,MATCH(ROW()-3-N(对接源_01水果!$T$1),对接源_02物料!$Q$5:$Q$460,0)),"")))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55" s="67" t="str">
        <f aca="false">IF($B55="","",IF($B55="01水果",IFERROR(INDEX(对接源_01水果!$C$5:$C$507,MATCH(ROW()-3,对接源_01水果!$Q$5:$Q$507,0)),""),IFERROR(INDEX(对接源_02物料!$C$5:$C$460,MATCH(ROW()-3-N(对接源_01水果!$T$1),对接源_02物料!$Q$5:$Q$460,0)),"")))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55" s="69" t="str">
        <f aca="false">IF($B55="","",IF($B55="01水果",IFERROR(INDEX(对接源_01水果!$D$5:$D$507,MATCH(ROW()-3,对接源_01水果!$Q$5:$Q$507,0)),""),IFERROR(INDEX(对接源_02物料!$D$5:$D$460,MATCH(ROW()-3-N(对接源_01水果!$T$1),对接源_02物料!$Q$5:$Q$460,0)),"")))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55" s="67" t="str">
        <f aca="false">IF($B55="","",IF($B55="01水果",IFERROR(INDEX(对接源_01水果!$E$5:$E$507,MATCH(ROW()-3,对接源_01水果!$Q$5:$Q$507,0)),""),IFERROR(INDEX(对接源_02物料!$E$5:$E$460,MATCH(ROW()-3-N(对接源_01水果!$T$1),对接源_02物料!$Q$5:$Q$460,0)),"")))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55" s="70" t="str">
        <f aca="false">IF($B55="","",IF($B55="01水果",IFERROR(INDEX(对接源_01水果!$F$5:$F$507,MATCH(ROW()-3,对接源_01水果!$Q$5:$Q$507,0)),""),IFERROR(INDEX(对接源_02物料!$F$5:$F$460,MATCH(ROW()-3-N(对接源_01水果!$T$1),对接源_02物料!$Q$5:$Q$460,0)),"")))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55" s="70" t="str">
        <f aca="false">IF($B55="","",IF($B55="01水果",IFERROR(INDEX(对接源_01水果!$G$5:$G$507,MATCH(ROW()-3,对接源_01水果!$Q$5:$Q$507,0)),""),IFERROR(INDEX(对接源_02物料!$G$5:$G$460,MATCH(ROW()-3-N(对接源_01水果!$T$1),对接源_02物料!$Q$5:$Q$460,0)),"")))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55" s="67" t="str">
        <f aca="false">IF(OR($D55="客户应收",$D55="成品销售款",$D55="公司购买果品款",$D55="筐子销售款",$D55="物料销售款"),"客户往来",IFERROR(INDEX(收入成本映射!$C$4:$C$34,MATCH($D55,收入成本映射!$B$4:$B$34,0)),"不记账"))</f>
        <v>不记账</v>
      </c>
      <c r="J55" s="67" t="str">
        <f aca="false">IF($B55="","","0%")</f>
        <v/>
      </c>
      <c r="K55" s="70" t="n">
        <f aca="false">IF($I55="不记账",0,ROUND(N($G55),2))</f>
        <v>0</v>
      </c>
      <c r="L55" s="70" t="n">
        <v>0</v>
      </c>
      <c r="M55" s="67" t="str">
        <f aca="false">IF(OR($I55="不记账",ROUND(N($G55),2)=0),"",IFERROR(INDEX(收入成本映射!$E$4:$E$34,MATCH($D55,收入成本映射!$B$4:$B$34,0)),""))</f>
        <v/>
      </c>
      <c r="N55" s="70" t="str">
        <f aca="false">IF($M55="","",ROUND(N($G55),2))</f>
        <v/>
      </c>
      <c r="O55" s="70" t="str">
        <f aca="false">IF($M55="","",0)</f>
        <v/>
      </c>
      <c r="P55" s="67" t="str">
        <f aca="false">IF($M55="","",IFERROR(INDEX(收入成本映射!$F$4:$F$34,MATCH($D55,收入成本映射!$B$4:$B$34,0)),""))</f>
        <v/>
      </c>
      <c r="Q55" s="70" t="str">
        <f aca="false">IF($P55="","",0)</f>
        <v/>
      </c>
      <c r="R55" s="70" t="str">
        <f aca="false">IF($P55="","",ROUND(N($G55),2))</f>
        <v/>
      </c>
      <c r="S55" s="67" t="str">
        <f aca="false">""</f>
        <v/>
      </c>
      <c r="T55" s="70" t="str">
        <f aca="false">IF($S55="","",0)</f>
        <v/>
      </c>
      <c r="U55" s="70" t="str">
        <f aca="false">IF($S55="","",0)</f>
        <v/>
      </c>
      <c r="V55" s="66" t="str">
        <f aca="false">IF($B55="","",IF($B55="01水果",IFERROR(INDEX(对接源_01水果!$H$5:$H$507,MATCH(ROW()-3,对接源_01水果!$Q$5:$Q$507,0)),""),IFERROR(INDEX(对接源_02物料!$H$5:$H$460,MATCH(ROW()-3-N(对接源_01水果!$T$1),对接源_02物料!$Q$5:$Q$460,0)),"")))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6" customFormat="false" ht="18" hidden="false" customHeight="true" outlineLevel="0" collapsed="false">
      <c r="A56" s="66" t="n">
        <v>53</v>
      </c>
      <c r="B56" s="67" t="str">
        <f aca="false">IF(ROW()-3&lt;=N(对接源_01水果!$T$1),"01水果",IF(ROW()-3&lt;=N(对接源_01水果!$T$1)+N(对接源_02物料!$T$1),"02物料",""))</f>
        <v/>
      </c>
      <c r="C56" s="68" t="str">
        <f aca="false">IF($B56="","",IF($B56="01水果",IFERROR(INDEX(对接源_01水果!$B$5:$B$507,MATCH(ROW()-3,对接源_01水果!$Q$5:$Q$507,0)),""),IFERROR(INDEX(对接源_02物料!$B$5:$B$460,MATCH(ROW()-3-N(对接源_01水果!$T$1),对接源_02物料!$Q$5:$Q$460,0)),"")))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56" s="67" t="str">
        <f aca="false">IF($B56="","",IF($B56="01水果",IFERROR(INDEX(对接源_01水果!$C$5:$C$507,MATCH(ROW()-3,对接源_01水果!$Q$5:$Q$507,0)),""),IFERROR(INDEX(对接源_02物料!$C$5:$C$460,MATCH(ROW()-3-N(对接源_01水果!$T$1),对接源_02物料!$Q$5:$Q$460,0)),"")))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56" s="69" t="str">
        <f aca="false">IF($B56="","",IF($B56="01水果",IFERROR(INDEX(对接源_01水果!$D$5:$D$507,MATCH(ROW()-3,对接源_01水果!$Q$5:$Q$507,0)),""),IFERROR(INDEX(对接源_02物料!$D$5:$D$460,MATCH(ROW()-3-N(对接源_01水果!$T$1),对接源_02物料!$Q$5:$Q$460,0)),"")))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56" s="67" t="str">
        <f aca="false">IF($B56="","",IF($B56="01水果",IFERROR(INDEX(对接源_01水果!$E$5:$E$507,MATCH(ROW()-3,对接源_01水果!$Q$5:$Q$507,0)),""),IFERROR(INDEX(对接源_02物料!$E$5:$E$460,MATCH(ROW()-3-N(对接源_01水果!$T$1),对接源_02物料!$Q$5:$Q$460,0)),"")))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56" s="70" t="str">
        <f aca="false">IF($B56="","",IF($B56="01水果",IFERROR(INDEX(对接源_01水果!$F$5:$F$507,MATCH(ROW()-3,对接源_01水果!$Q$5:$Q$507,0)),""),IFERROR(INDEX(对接源_02物料!$F$5:$F$460,MATCH(ROW()-3-N(对接源_01水果!$T$1),对接源_02物料!$Q$5:$Q$460,0)),"")))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56" s="70" t="str">
        <f aca="false">IF($B56="","",IF($B56="01水果",IFERROR(INDEX(对接源_01水果!$G$5:$G$507,MATCH(ROW()-3,对接源_01水果!$Q$5:$Q$507,0)),""),IFERROR(INDEX(对接源_02物料!$G$5:$G$460,MATCH(ROW()-3-N(对接源_01水果!$T$1),对接源_02物料!$Q$5:$Q$460,0)),"")))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56" s="67" t="str">
        <f aca="false">IF(OR($D56="客户应收",$D56="成品销售款",$D56="公司购买果品款",$D56="筐子销售款",$D56="物料销售款"),"客户往来",IFERROR(INDEX(收入成本映射!$C$4:$C$34,MATCH($D56,收入成本映射!$B$4:$B$34,0)),"不记账"))</f>
        <v>不记账</v>
      </c>
      <c r="J56" s="67" t="str">
        <f aca="false">IF($B56="","","0%")</f>
        <v/>
      </c>
      <c r="K56" s="70" t="n">
        <f aca="false">IF($I56="不记账",0,ROUND(N($G56),2))</f>
        <v>0</v>
      </c>
      <c r="L56" s="70" t="n">
        <v>0</v>
      </c>
      <c r="M56" s="67" t="str">
        <f aca="false">IF(OR($I56="不记账",ROUND(N($G56),2)=0),"",IFERROR(INDEX(收入成本映射!$E$4:$E$34,MATCH($D56,收入成本映射!$B$4:$B$34,0)),""))</f>
        <v/>
      </c>
      <c r="N56" s="70" t="str">
        <f aca="false">IF($M56="","",ROUND(N($G56),2))</f>
        <v/>
      </c>
      <c r="O56" s="70" t="str">
        <f aca="false">IF($M56="","",0)</f>
        <v/>
      </c>
      <c r="P56" s="67" t="str">
        <f aca="false">IF($M56="","",IFERROR(INDEX(收入成本映射!$F$4:$F$34,MATCH($D56,收入成本映射!$B$4:$B$34,0)),""))</f>
        <v/>
      </c>
      <c r="Q56" s="70" t="str">
        <f aca="false">IF($P56="","",0)</f>
        <v/>
      </c>
      <c r="R56" s="70" t="str">
        <f aca="false">IF($P56="","",ROUND(N($G56),2))</f>
        <v/>
      </c>
      <c r="S56" s="67" t="str">
        <f aca="false">""</f>
        <v/>
      </c>
      <c r="T56" s="70" t="str">
        <f aca="false">IF($S56="","",0)</f>
        <v/>
      </c>
      <c r="U56" s="70" t="str">
        <f aca="false">IF($S56="","",0)</f>
        <v/>
      </c>
      <c r="V56" s="66" t="str">
        <f aca="false">IF($B56="","",IF($B56="01水果",IFERROR(INDEX(对接源_01水果!$H$5:$H$507,MATCH(ROW()-3,对接源_01水果!$Q$5:$Q$507,0)),""),IFERROR(INDEX(对接源_02物料!$H$5:$H$460,MATCH(ROW()-3-N(对接源_01水果!$T$1),对接源_02物料!$Q$5:$Q$460,0)),"")))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7" customFormat="false" ht="18" hidden="false" customHeight="true" outlineLevel="0" collapsed="false">
      <c r="A57" s="66" t="n">
        <v>54</v>
      </c>
      <c r="B57" s="67" t="str">
        <f aca="false">IF(ROW()-3&lt;=N(对接源_01水果!$T$1),"01水果",IF(ROW()-3&lt;=N(对接源_01水果!$T$1)+N(对接源_02物料!$T$1),"02物料",""))</f>
        <v/>
      </c>
      <c r="C57" s="68" t="str">
        <f aca="false">IF($B57="","",IF($B57="01水果",IFERROR(INDEX(对接源_01水果!$B$5:$B$507,MATCH(ROW()-3,对接源_01水果!$Q$5:$Q$507,0)),""),IFERROR(INDEX(对接源_02物料!$B$5:$B$460,MATCH(ROW()-3-N(对接源_01水果!$T$1),对接源_02物料!$Q$5:$Q$460,0)),"")))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57" s="67" t="str">
        <f aca="false">IF($B57="","",IF($B57="01水果",IFERROR(INDEX(对接源_01水果!$C$5:$C$507,MATCH(ROW()-3,对接源_01水果!$Q$5:$Q$507,0)),""),IFERROR(INDEX(对接源_02物料!$C$5:$C$460,MATCH(ROW()-3-N(对接源_01水果!$T$1),对接源_02物料!$Q$5:$Q$460,0)),"")))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57" s="69" t="str">
        <f aca="false">IF($B57="","",IF($B57="01水果",IFERROR(INDEX(对接源_01水果!$D$5:$D$507,MATCH(ROW()-3,对接源_01水果!$Q$5:$Q$507,0)),""),IFERROR(INDEX(对接源_02物料!$D$5:$D$460,MATCH(ROW()-3-N(对接源_01水果!$T$1),对接源_02物料!$Q$5:$Q$460,0)),"")))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57" s="67" t="str">
        <f aca="false">IF($B57="","",IF($B57="01水果",IFERROR(INDEX(对接源_01水果!$E$5:$E$507,MATCH(ROW()-3,对接源_01水果!$Q$5:$Q$507,0)),""),IFERROR(INDEX(对接源_02物料!$E$5:$E$460,MATCH(ROW()-3-N(对接源_01水果!$T$1),对接源_02物料!$Q$5:$Q$460,0)),"")))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57" s="70" t="str">
        <f aca="false">IF($B57="","",IF($B57="01水果",IFERROR(INDEX(对接源_01水果!$F$5:$F$507,MATCH(ROW()-3,对接源_01水果!$Q$5:$Q$507,0)),""),IFERROR(INDEX(对接源_02物料!$F$5:$F$460,MATCH(ROW()-3-N(对接源_01水果!$T$1),对接源_02物料!$Q$5:$Q$460,0)),"")))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57" s="70" t="str">
        <f aca="false">IF($B57="","",IF($B57="01水果",IFERROR(INDEX(对接源_01水果!$G$5:$G$507,MATCH(ROW()-3,对接源_01水果!$Q$5:$Q$507,0)),""),IFERROR(INDEX(对接源_02物料!$G$5:$G$460,MATCH(ROW()-3-N(对接源_01水果!$T$1),对接源_02物料!$Q$5:$Q$460,0)),"")))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57" s="67" t="str">
        <f aca="false">IF(OR($D57="客户应收",$D57="成品销售款",$D57="公司购买果品款",$D57="筐子销售款",$D57="物料销售款"),"客户往来",IFERROR(INDEX(收入成本映射!$C$4:$C$34,MATCH($D57,收入成本映射!$B$4:$B$34,0)),"不记账"))</f>
        <v>不记账</v>
      </c>
      <c r="J57" s="67" t="str">
        <f aca="false">IF($B57="","","0%")</f>
        <v/>
      </c>
      <c r="K57" s="70" t="n">
        <f aca="false">IF($I57="不记账",0,ROUND(N($G57),2))</f>
        <v>0</v>
      </c>
      <c r="L57" s="70" t="n">
        <v>0</v>
      </c>
      <c r="M57" s="67" t="str">
        <f aca="false">IF(OR($I57="不记账",ROUND(N($G57),2)=0),"",IFERROR(INDEX(收入成本映射!$E$4:$E$34,MATCH($D57,收入成本映射!$B$4:$B$34,0)),""))</f>
        <v/>
      </c>
      <c r="N57" s="70" t="str">
        <f aca="false">IF($M57="","",ROUND(N($G57),2))</f>
        <v/>
      </c>
      <c r="O57" s="70" t="str">
        <f aca="false">IF($M57="","",0)</f>
        <v/>
      </c>
      <c r="P57" s="67" t="str">
        <f aca="false">IF($M57="","",IFERROR(INDEX(收入成本映射!$F$4:$F$34,MATCH($D57,收入成本映射!$B$4:$B$34,0)),""))</f>
        <v/>
      </c>
      <c r="Q57" s="70" t="str">
        <f aca="false">IF($P57="","",0)</f>
        <v/>
      </c>
      <c r="R57" s="70" t="str">
        <f aca="false">IF($P57="","",ROUND(N($G57),2))</f>
        <v/>
      </c>
      <c r="S57" s="67" t="str">
        <f aca="false">""</f>
        <v/>
      </c>
      <c r="T57" s="70" t="str">
        <f aca="false">IF($S57="","",0)</f>
        <v/>
      </c>
      <c r="U57" s="70" t="str">
        <f aca="false">IF($S57="","",0)</f>
        <v/>
      </c>
      <c r="V57" s="66" t="str">
        <f aca="false">IF($B57="","",IF($B57="01水果",IFERROR(INDEX(对接源_01水果!$H$5:$H$507,MATCH(ROW()-3,对接源_01水果!$Q$5:$Q$507,0)),""),IFERROR(INDEX(对接源_02物料!$H$5:$H$460,MATCH(ROW()-3-N(对接源_01水果!$T$1),对接源_02物料!$Q$5:$Q$460,0)),"")))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8" customFormat="false" ht="18" hidden="false" customHeight="true" outlineLevel="0" collapsed="false">
      <c r="A58" s="66" t="n">
        <v>55</v>
      </c>
      <c r="B58" s="67" t="str">
        <f aca="false">IF(ROW()-3&lt;=N(对接源_01水果!$T$1),"01水果",IF(ROW()-3&lt;=N(对接源_01水果!$T$1)+N(对接源_02物料!$T$1),"02物料",""))</f>
        <v/>
      </c>
      <c r="C58" s="68" t="str">
        <f aca="false">IF($B58="","",IF($B58="01水果",IFERROR(INDEX(对接源_01水果!$B$5:$B$507,MATCH(ROW()-3,对接源_01水果!$Q$5:$Q$507,0)),""),IFERROR(INDEX(对接源_02物料!$B$5:$B$460,MATCH(ROW()-3-N(对接源_01水果!$T$1),对接源_02物料!$Q$5:$Q$460,0)),"")))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58" s="67" t="str">
        <f aca="false">IF($B58="","",IF($B58="01水果",IFERROR(INDEX(对接源_01水果!$C$5:$C$507,MATCH(ROW()-3,对接源_01水果!$Q$5:$Q$507,0)),""),IFERROR(INDEX(对接源_02物料!$C$5:$C$460,MATCH(ROW()-3-N(对接源_01水果!$T$1),对接源_02物料!$Q$5:$Q$460,0)),"")))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58" s="69" t="str">
        <f aca="false">IF($B58="","",IF($B58="01水果",IFERROR(INDEX(对接源_01水果!$D$5:$D$507,MATCH(ROW()-3,对接源_01水果!$Q$5:$Q$507,0)),""),IFERROR(INDEX(对接源_02物料!$D$5:$D$460,MATCH(ROW()-3-N(对接源_01水果!$T$1),对接源_02物料!$Q$5:$Q$460,0)),"")))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58" s="67" t="str">
        <f aca="false">IF($B58="","",IF($B58="01水果",IFERROR(INDEX(对接源_01水果!$E$5:$E$507,MATCH(ROW()-3,对接源_01水果!$Q$5:$Q$507,0)),""),IFERROR(INDEX(对接源_02物料!$E$5:$E$460,MATCH(ROW()-3-N(对接源_01水果!$T$1),对接源_02物料!$Q$5:$Q$460,0)),"")))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58" s="70" t="str">
        <f aca="false">IF($B58="","",IF($B58="01水果",IFERROR(INDEX(对接源_01水果!$F$5:$F$507,MATCH(ROW()-3,对接源_01水果!$Q$5:$Q$507,0)),""),IFERROR(INDEX(对接源_02物料!$F$5:$F$460,MATCH(ROW()-3-N(对接源_01水果!$T$1),对接源_02物料!$Q$5:$Q$460,0)),"")))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58" s="70" t="str">
        <f aca="false">IF($B58="","",IF($B58="01水果",IFERROR(INDEX(对接源_01水果!$G$5:$G$507,MATCH(ROW()-3,对接源_01水果!$Q$5:$Q$507,0)),""),IFERROR(INDEX(对接源_02物料!$G$5:$G$460,MATCH(ROW()-3-N(对接源_01水果!$T$1),对接源_02物料!$Q$5:$Q$460,0)),"")))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58" s="67" t="str">
        <f aca="false">IF(OR($D58="客户应收",$D58="成品销售款",$D58="公司购买果品款",$D58="筐子销售款",$D58="物料销售款"),"客户往来",IFERROR(INDEX(收入成本映射!$C$4:$C$34,MATCH($D58,收入成本映射!$B$4:$B$34,0)),"不记账"))</f>
        <v>不记账</v>
      </c>
      <c r="J58" s="67" t="str">
        <f aca="false">IF($B58="","","0%")</f>
        <v/>
      </c>
      <c r="K58" s="70" t="n">
        <f aca="false">IF($I58="不记账",0,ROUND(N($G58),2))</f>
        <v>0</v>
      </c>
      <c r="L58" s="70" t="n">
        <v>0</v>
      </c>
      <c r="M58" s="67" t="str">
        <f aca="false">IF(OR($I58="不记账",ROUND(N($G58),2)=0),"",IFERROR(INDEX(收入成本映射!$E$4:$E$34,MATCH($D58,收入成本映射!$B$4:$B$34,0)),""))</f>
        <v/>
      </c>
      <c r="N58" s="70" t="str">
        <f aca="false">IF($M58="","",ROUND(N($G58),2))</f>
        <v/>
      </c>
      <c r="O58" s="70" t="str">
        <f aca="false">IF($M58="","",0)</f>
        <v/>
      </c>
      <c r="P58" s="67" t="str">
        <f aca="false">IF($M58="","",IFERROR(INDEX(收入成本映射!$F$4:$F$34,MATCH($D58,收入成本映射!$B$4:$B$34,0)),""))</f>
        <v/>
      </c>
      <c r="Q58" s="70" t="str">
        <f aca="false">IF($P58="","",0)</f>
        <v/>
      </c>
      <c r="R58" s="70" t="str">
        <f aca="false">IF($P58="","",ROUND(N($G58),2))</f>
        <v/>
      </c>
      <c r="S58" s="67" t="str">
        <f aca="false">""</f>
        <v/>
      </c>
      <c r="T58" s="70" t="str">
        <f aca="false">IF($S58="","",0)</f>
        <v/>
      </c>
      <c r="U58" s="70" t="str">
        <f aca="false">IF($S58="","",0)</f>
        <v/>
      </c>
      <c r="V58" s="66" t="str">
        <f aca="false">IF($B58="","",IF($B58="01水果",IFERROR(INDEX(对接源_01水果!$H$5:$H$507,MATCH(ROW()-3,对接源_01水果!$Q$5:$Q$507,0)),""),IFERROR(INDEX(对接源_02物料!$H$5:$H$460,MATCH(ROW()-3-N(对接源_01水果!$T$1),对接源_02物料!$Q$5:$Q$460,0)),"")))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59" customFormat="false" ht="18" hidden="false" customHeight="true" outlineLevel="0" collapsed="false">
      <c r="A59" s="66" t="n">
        <v>56</v>
      </c>
      <c r="B59" s="67" t="str">
        <f aca="false">IF(ROW()-3&lt;=N(对接源_01水果!$T$1),"01水果",IF(ROW()-3&lt;=N(对接源_01水果!$T$1)+N(对接源_02物料!$T$1),"02物料",""))</f>
        <v/>
      </c>
      <c r="C59" s="68" t="str">
        <f aca="false">IF($B59="","",IF($B59="01水果",IFERROR(INDEX(对接源_01水果!$B$5:$B$507,MATCH(ROW()-3,对接源_01水果!$Q$5:$Q$507,0)),""),IFERROR(INDEX(对接源_02物料!$B$5:$B$460,MATCH(ROW()-3-N(对接源_01水果!$T$1),对接源_02物料!$Q$5:$Q$460,0)),"")))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59" s="67" t="str">
        <f aca="false">IF($B59="","",IF($B59="01水果",IFERROR(INDEX(对接源_01水果!$C$5:$C$507,MATCH(ROW()-3,对接源_01水果!$Q$5:$Q$507,0)),""),IFERROR(INDEX(对接源_02物料!$C$5:$C$460,MATCH(ROW()-3-N(对接源_01水果!$T$1),对接源_02物料!$Q$5:$Q$460,0)),"")))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59" s="69" t="str">
        <f aca="false">IF($B59="","",IF($B59="01水果",IFERROR(INDEX(对接源_01水果!$D$5:$D$507,MATCH(ROW()-3,对接源_01水果!$Q$5:$Q$507,0)),""),IFERROR(INDEX(对接源_02物料!$D$5:$D$460,MATCH(ROW()-3-N(对接源_01水果!$T$1),对接源_02物料!$Q$5:$Q$460,0)),"")))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59" s="67" t="str">
        <f aca="false">IF($B59="","",IF($B59="01水果",IFERROR(INDEX(对接源_01水果!$E$5:$E$507,MATCH(ROW()-3,对接源_01水果!$Q$5:$Q$507,0)),""),IFERROR(INDEX(对接源_02物料!$E$5:$E$460,MATCH(ROW()-3-N(对接源_01水果!$T$1),对接源_02物料!$Q$5:$Q$460,0)),"")))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59" s="70" t="str">
        <f aca="false">IF($B59="","",IF($B59="01水果",IFERROR(INDEX(对接源_01水果!$F$5:$F$507,MATCH(ROW()-3,对接源_01水果!$Q$5:$Q$507,0)),""),IFERROR(INDEX(对接源_02物料!$F$5:$F$460,MATCH(ROW()-3-N(对接源_01水果!$T$1),对接源_02物料!$Q$5:$Q$460,0)),"")))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59" s="70" t="str">
        <f aca="false">IF($B59="","",IF($B59="01水果",IFERROR(INDEX(对接源_01水果!$G$5:$G$507,MATCH(ROW()-3,对接源_01水果!$Q$5:$Q$507,0)),""),IFERROR(INDEX(对接源_02物料!$G$5:$G$460,MATCH(ROW()-3-N(对接源_01水果!$T$1),对接源_02物料!$Q$5:$Q$460,0)),"")))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59" s="67" t="str">
        <f aca="false">IF(OR($D59="客户应收",$D59="成品销售款",$D59="公司购买果品款",$D59="筐子销售款",$D59="物料销售款"),"客户往来",IFERROR(INDEX(收入成本映射!$C$4:$C$34,MATCH($D59,收入成本映射!$B$4:$B$34,0)),"不记账"))</f>
        <v>不记账</v>
      </c>
      <c r="J59" s="67" t="str">
        <f aca="false">IF($B59="","","0%")</f>
        <v/>
      </c>
      <c r="K59" s="70" t="n">
        <f aca="false">IF($I59="不记账",0,ROUND(N($G59),2))</f>
        <v>0</v>
      </c>
      <c r="L59" s="70" t="n">
        <v>0</v>
      </c>
      <c r="M59" s="67" t="str">
        <f aca="false">IF(OR($I59="不记账",ROUND(N($G59),2)=0),"",IFERROR(INDEX(收入成本映射!$E$4:$E$34,MATCH($D59,收入成本映射!$B$4:$B$34,0)),""))</f>
        <v/>
      </c>
      <c r="N59" s="70" t="str">
        <f aca="false">IF($M59="","",ROUND(N($G59),2))</f>
        <v/>
      </c>
      <c r="O59" s="70" t="str">
        <f aca="false">IF($M59="","",0)</f>
        <v/>
      </c>
      <c r="P59" s="67" t="str">
        <f aca="false">IF($M59="","",IFERROR(INDEX(收入成本映射!$F$4:$F$34,MATCH($D59,收入成本映射!$B$4:$B$34,0)),""))</f>
        <v/>
      </c>
      <c r="Q59" s="70" t="str">
        <f aca="false">IF($P59="","",0)</f>
        <v/>
      </c>
      <c r="R59" s="70" t="str">
        <f aca="false">IF($P59="","",ROUND(N($G59),2))</f>
        <v/>
      </c>
      <c r="S59" s="67" t="str">
        <f aca="false">""</f>
        <v/>
      </c>
      <c r="T59" s="70" t="str">
        <f aca="false">IF($S59="","",0)</f>
        <v/>
      </c>
      <c r="U59" s="70" t="str">
        <f aca="false">IF($S59="","",0)</f>
        <v/>
      </c>
      <c r="V59" s="66" t="str">
        <f aca="false">IF($B59="","",IF($B59="01水果",IFERROR(INDEX(对接源_01水果!$H$5:$H$507,MATCH(ROW()-3,对接源_01水果!$Q$5:$Q$507,0)),""),IFERROR(INDEX(对接源_02物料!$H$5:$H$460,MATCH(ROW()-3-N(对接源_01水果!$T$1),对接源_02物料!$Q$5:$Q$460,0)),"")))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0" customFormat="false" ht="18" hidden="false" customHeight="true" outlineLevel="0" collapsed="false">
      <c r="A60" s="66" t="n">
        <v>57</v>
      </c>
      <c r="B60" s="67" t="str">
        <f aca="false">IF(ROW()-3&lt;=N(对接源_01水果!$T$1),"01水果",IF(ROW()-3&lt;=N(对接源_01水果!$T$1)+N(对接源_02物料!$T$1),"02物料",""))</f>
        <v/>
      </c>
      <c r="C60" s="68" t="str">
        <f aca="false">IF($B60="","",IF($B60="01水果",IFERROR(INDEX(对接源_01水果!$B$5:$B$507,MATCH(ROW()-3,对接源_01水果!$Q$5:$Q$507,0)),""),IFERROR(INDEX(对接源_02物料!$B$5:$B$460,MATCH(ROW()-3-N(对接源_01水果!$T$1),对接源_02物料!$Q$5:$Q$460,0)),"")))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60" s="67" t="str">
        <f aca="false">IF($B60="","",IF($B60="01水果",IFERROR(INDEX(对接源_01水果!$C$5:$C$507,MATCH(ROW()-3,对接源_01水果!$Q$5:$Q$507,0)),""),IFERROR(INDEX(对接源_02物料!$C$5:$C$460,MATCH(ROW()-3-N(对接源_01水果!$T$1),对接源_02物料!$Q$5:$Q$460,0)),"")))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60" s="69" t="str">
        <f aca="false">IF($B60="","",IF($B60="01水果",IFERROR(INDEX(对接源_01水果!$D$5:$D$507,MATCH(ROW()-3,对接源_01水果!$Q$5:$Q$507,0)),""),IFERROR(INDEX(对接源_02物料!$D$5:$D$460,MATCH(ROW()-3-N(对接源_01水果!$T$1),对接源_02物料!$Q$5:$Q$460,0)),"")))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60" s="67" t="str">
        <f aca="false">IF($B60="","",IF($B60="01水果",IFERROR(INDEX(对接源_01水果!$E$5:$E$507,MATCH(ROW()-3,对接源_01水果!$Q$5:$Q$507,0)),""),IFERROR(INDEX(对接源_02物料!$E$5:$E$460,MATCH(ROW()-3-N(对接源_01水果!$T$1),对接源_02物料!$Q$5:$Q$460,0)),"")))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60" s="70" t="str">
        <f aca="false">IF($B60="","",IF($B60="01水果",IFERROR(INDEX(对接源_01水果!$F$5:$F$507,MATCH(ROW()-3,对接源_01水果!$Q$5:$Q$507,0)),""),IFERROR(INDEX(对接源_02物料!$F$5:$F$460,MATCH(ROW()-3-N(对接源_01水果!$T$1),对接源_02物料!$Q$5:$Q$460,0)),"")))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60" s="70" t="str">
        <f aca="false">IF($B60="","",IF($B60="01水果",IFERROR(INDEX(对接源_01水果!$G$5:$G$507,MATCH(ROW()-3,对接源_01水果!$Q$5:$Q$507,0)),""),IFERROR(INDEX(对接源_02物料!$G$5:$G$460,MATCH(ROW()-3-N(对接源_01水果!$T$1),对接源_02物料!$Q$5:$Q$460,0)),"")))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60" s="67" t="str">
        <f aca="false">IF(OR($D60="客户应收",$D60="成品销售款",$D60="公司购买果品款",$D60="筐子销售款",$D60="物料销售款"),"客户往来",IFERROR(INDEX(收入成本映射!$C$4:$C$34,MATCH($D60,收入成本映射!$B$4:$B$34,0)),"不记账"))</f>
        <v>不记账</v>
      </c>
      <c r="J60" s="67" t="str">
        <f aca="false">IF($B60="","","0%")</f>
        <v/>
      </c>
      <c r="K60" s="70" t="n">
        <f aca="false">IF($I60="不记账",0,ROUND(N($G60),2))</f>
        <v>0</v>
      </c>
      <c r="L60" s="70" t="n">
        <v>0</v>
      </c>
      <c r="M60" s="67" t="str">
        <f aca="false">IF(OR($I60="不记账",ROUND(N($G60),2)=0),"",IFERROR(INDEX(收入成本映射!$E$4:$E$34,MATCH($D60,收入成本映射!$B$4:$B$34,0)),""))</f>
        <v/>
      </c>
      <c r="N60" s="70" t="str">
        <f aca="false">IF($M60="","",ROUND(N($G60),2))</f>
        <v/>
      </c>
      <c r="O60" s="70" t="str">
        <f aca="false">IF($M60="","",0)</f>
        <v/>
      </c>
      <c r="P60" s="67" t="str">
        <f aca="false">IF($M60="","",IFERROR(INDEX(收入成本映射!$F$4:$F$34,MATCH($D60,收入成本映射!$B$4:$B$34,0)),""))</f>
        <v/>
      </c>
      <c r="Q60" s="70" t="str">
        <f aca="false">IF($P60="","",0)</f>
        <v/>
      </c>
      <c r="R60" s="70" t="str">
        <f aca="false">IF($P60="","",ROUND(N($G60),2))</f>
        <v/>
      </c>
      <c r="S60" s="67" t="str">
        <f aca="false">""</f>
        <v/>
      </c>
      <c r="T60" s="70" t="str">
        <f aca="false">IF($S60="","",0)</f>
        <v/>
      </c>
      <c r="U60" s="70" t="str">
        <f aca="false">IF($S60="","",0)</f>
        <v/>
      </c>
      <c r="V60" s="66" t="str">
        <f aca="false">IF($B60="","",IF($B60="01水果",IFERROR(INDEX(对接源_01水果!$H$5:$H$507,MATCH(ROW()-3,对接源_01水果!$Q$5:$Q$507,0)),""),IFERROR(INDEX(对接源_02物料!$H$5:$H$460,MATCH(ROW()-3-N(对接源_01水果!$T$1),对接源_02物料!$Q$5:$Q$460,0)),"")))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1" customFormat="false" ht="18" hidden="false" customHeight="true" outlineLevel="0" collapsed="false">
      <c r="A61" s="66" t="n">
        <v>58</v>
      </c>
      <c r="B61" s="67" t="str">
        <f aca="false">IF(ROW()-3&lt;=N(对接源_01水果!$T$1),"01水果",IF(ROW()-3&lt;=N(对接源_01水果!$T$1)+N(对接源_02物料!$T$1),"02物料",""))</f>
        <v/>
      </c>
      <c r="C61" s="68" t="str">
        <f aca="false">IF($B61="","",IF($B61="01水果",IFERROR(INDEX(对接源_01水果!$B$5:$B$507,MATCH(ROW()-3,对接源_01水果!$Q$5:$Q$507,0)),""),IFERROR(INDEX(对接源_02物料!$B$5:$B$460,MATCH(ROW()-3-N(对接源_01水果!$T$1),对接源_02物料!$Q$5:$Q$460,0)),"")))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61" s="67" t="str">
        <f aca="false">IF($B61="","",IF($B61="01水果",IFERROR(INDEX(对接源_01水果!$C$5:$C$507,MATCH(ROW()-3,对接源_01水果!$Q$5:$Q$507,0)),""),IFERROR(INDEX(对接源_02物料!$C$5:$C$460,MATCH(ROW()-3-N(对接源_01水果!$T$1),对接源_02物料!$Q$5:$Q$460,0)),"")))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61" s="69" t="str">
        <f aca="false">IF($B61="","",IF($B61="01水果",IFERROR(INDEX(对接源_01水果!$D$5:$D$507,MATCH(ROW()-3,对接源_01水果!$Q$5:$Q$507,0)),""),IFERROR(INDEX(对接源_02物料!$D$5:$D$460,MATCH(ROW()-3-N(对接源_01水果!$T$1),对接源_02物料!$Q$5:$Q$460,0)),"")))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61" s="67" t="str">
        <f aca="false">IF($B61="","",IF($B61="01水果",IFERROR(INDEX(对接源_01水果!$E$5:$E$507,MATCH(ROW()-3,对接源_01水果!$Q$5:$Q$507,0)),""),IFERROR(INDEX(对接源_02物料!$E$5:$E$460,MATCH(ROW()-3-N(对接源_01水果!$T$1),对接源_02物料!$Q$5:$Q$460,0)),"")))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61" s="70" t="str">
        <f aca="false">IF($B61="","",IF($B61="01水果",IFERROR(INDEX(对接源_01水果!$F$5:$F$507,MATCH(ROW()-3,对接源_01水果!$Q$5:$Q$507,0)),""),IFERROR(INDEX(对接源_02物料!$F$5:$F$460,MATCH(ROW()-3-N(对接源_01水果!$T$1),对接源_02物料!$Q$5:$Q$460,0)),"")))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61" s="70" t="str">
        <f aca="false">IF($B61="","",IF($B61="01水果",IFERROR(INDEX(对接源_01水果!$G$5:$G$507,MATCH(ROW()-3,对接源_01水果!$Q$5:$Q$507,0)),""),IFERROR(INDEX(对接源_02物料!$G$5:$G$460,MATCH(ROW()-3-N(对接源_01水果!$T$1),对接源_02物料!$Q$5:$Q$460,0)),"")))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61" s="67" t="str">
        <f aca="false">IF(OR($D61="客户应收",$D61="成品销售款",$D61="公司购买果品款",$D61="筐子销售款",$D61="物料销售款"),"客户往来",IFERROR(INDEX(收入成本映射!$C$4:$C$34,MATCH($D61,收入成本映射!$B$4:$B$34,0)),"不记账"))</f>
        <v>不记账</v>
      </c>
      <c r="J61" s="67" t="str">
        <f aca="false">IF($B61="","","0%")</f>
        <v/>
      </c>
      <c r="K61" s="70" t="n">
        <f aca="false">IF($I61="不记账",0,ROUND(N($G61),2))</f>
        <v>0</v>
      </c>
      <c r="L61" s="70" t="n">
        <v>0</v>
      </c>
      <c r="M61" s="67" t="str">
        <f aca="false">IF(OR($I61="不记账",ROUND(N($G61),2)=0),"",IFERROR(INDEX(收入成本映射!$E$4:$E$34,MATCH($D61,收入成本映射!$B$4:$B$34,0)),""))</f>
        <v/>
      </c>
      <c r="N61" s="70" t="str">
        <f aca="false">IF($M61="","",ROUND(N($G61),2))</f>
        <v/>
      </c>
      <c r="O61" s="70" t="str">
        <f aca="false">IF($M61="","",0)</f>
        <v/>
      </c>
      <c r="P61" s="67" t="str">
        <f aca="false">IF($M61="","",IFERROR(INDEX(收入成本映射!$F$4:$F$34,MATCH($D61,收入成本映射!$B$4:$B$34,0)),""))</f>
        <v/>
      </c>
      <c r="Q61" s="70" t="str">
        <f aca="false">IF($P61="","",0)</f>
        <v/>
      </c>
      <c r="R61" s="70" t="str">
        <f aca="false">IF($P61="","",ROUND(N($G61),2))</f>
        <v/>
      </c>
      <c r="S61" s="67" t="str">
        <f aca="false">""</f>
        <v/>
      </c>
      <c r="T61" s="70" t="str">
        <f aca="false">IF($S61="","",0)</f>
        <v/>
      </c>
      <c r="U61" s="70" t="str">
        <f aca="false">IF($S61="","",0)</f>
        <v/>
      </c>
      <c r="V61" s="66" t="str">
        <f aca="false">IF($B61="","",IF($B61="01水果",IFERROR(INDEX(对接源_01水果!$H$5:$H$507,MATCH(ROW()-3,对接源_01水果!$Q$5:$Q$507,0)),""),IFERROR(INDEX(对接源_02物料!$H$5:$H$460,MATCH(ROW()-3-N(对接源_01水果!$T$1),对接源_02物料!$Q$5:$Q$460,0)),"")))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2" customFormat="false" ht="18" hidden="false" customHeight="true" outlineLevel="0" collapsed="false">
      <c r="A62" s="66" t="n">
        <v>59</v>
      </c>
      <c r="B62" s="67" t="str">
        <f aca="false">IF(ROW()-3&lt;=N(对接源_01水果!$T$1),"01水果",IF(ROW()-3&lt;=N(对接源_01水果!$T$1)+N(对接源_02物料!$T$1),"02物料",""))</f>
        <v/>
      </c>
      <c r="C62" s="68" t="str">
        <f aca="false">IF($B62="","",IF($B62="01水果",IFERROR(INDEX(对接源_01水果!$B$5:$B$507,MATCH(ROW()-3,对接源_01水果!$Q$5:$Q$507,0)),""),IFERROR(INDEX(对接源_02物料!$B$5:$B$460,MATCH(ROW()-3-N(对接源_01水果!$T$1),对接源_02物料!$Q$5:$Q$460,0)),"")))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62" s="67" t="str">
        <f aca="false">IF($B62="","",IF($B62="01水果",IFERROR(INDEX(对接源_01水果!$C$5:$C$507,MATCH(ROW()-3,对接源_01水果!$Q$5:$Q$507,0)),""),IFERROR(INDEX(对接源_02物料!$C$5:$C$460,MATCH(ROW()-3-N(对接源_01水果!$T$1),对接源_02物料!$Q$5:$Q$460,0)),"")))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62" s="69" t="str">
        <f aca="false">IF($B62="","",IF($B62="01水果",IFERROR(INDEX(对接源_01水果!$D$5:$D$507,MATCH(ROW()-3,对接源_01水果!$Q$5:$Q$507,0)),""),IFERROR(INDEX(对接源_02物料!$D$5:$D$460,MATCH(ROW()-3-N(对接源_01水果!$T$1),对接源_02物料!$Q$5:$Q$460,0)),"")))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62" s="67" t="str">
        <f aca="false">IF($B62="","",IF($B62="01水果",IFERROR(INDEX(对接源_01水果!$E$5:$E$507,MATCH(ROW()-3,对接源_01水果!$Q$5:$Q$507,0)),""),IFERROR(INDEX(对接源_02物料!$E$5:$E$460,MATCH(ROW()-3-N(对接源_01水果!$T$1),对接源_02物料!$Q$5:$Q$460,0)),"")))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62" s="70" t="str">
        <f aca="false">IF($B62="","",IF($B62="01水果",IFERROR(INDEX(对接源_01水果!$F$5:$F$507,MATCH(ROW()-3,对接源_01水果!$Q$5:$Q$507,0)),""),IFERROR(INDEX(对接源_02物料!$F$5:$F$460,MATCH(ROW()-3-N(对接源_01水果!$T$1),对接源_02物料!$Q$5:$Q$460,0)),"")))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62" s="70" t="str">
        <f aca="false">IF($B62="","",IF($B62="01水果",IFERROR(INDEX(对接源_01水果!$G$5:$G$507,MATCH(ROW()-3,对接源_01水果!$Q$5:$Q$507,0)),""),IFERROR(INDEX(对接源_02物料!$G$5:$G$460,MATCH(ROW()-3-N(对接源_01水果!$T$1),对接源_02物料!$Q$5:$Q$460,0)),"")))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62" s="67" t="str">
        <f aca="false">IF(OR($D62="客户应收",$D62="成品销售款",$D62="公司购买果品款",$D62="筐子销售款",$D62="物料销售款"),"客户往来",IFERROR(INDEX(收入成本映射!$C$4:$C$34,MATCH($D62,收入成本映射!$B$4:$B$34,0)),"不记账"))</f>
        <v>不记账</v>
      </c>
      <c r="J62" s="67" t="str">
        <f aca="false">IF($B62="","","0%")</f>
        <v/>
      </c>
      <c r="K62" s="70" t="n">
        <f aca="false">IF($I62="不记账",0,ROUND(N($G62),2))</f>
        <v>0</v>
      </c>
      <c r="L62" s="70" t="n">
        <v>0</v>
      </c>
      <c r="M62" s="67" t="str">
        <f aca="false">IF(OR($I62="不记账",ROUND(N($G62),2)=0),"",IFERROR(INDEX(收入成本映射!$E$4:$E$34,MATCH($D62,收入成本映射!$B$4:$B$34,0)),""))</f>
        <v/>
      </c>
      <c r="N62" s="70" t="str">
        <f aca="false">IF($M62="","",ROUND(N($G62),2))</f>
        <v/>
      </c>
      <c r="O62" s="70" t="str">
        <f aca="false">IF($M62="","",0)</f>
        <v/>
      </c>
      <c r="P62" s="67" t="str">
        <f aca="false">IF($M62="","",IFERROR(INDEX(收入成本映射!$F$4:$F$34,MATCH($D62,收入成本映射!$B$4:$B$34,0)),""))</f>
        <v/>
      </c>
      <c r="Q62" s="70" t="str">
        <f aca="false">IF($P62="","",0)</f>
        <v/>
      </c>
      <c r="R62" s="70" t="str">
        <f aca="false">IF($P62="","",ROUND(N($G62),2))</f>
        <v/>
      </c>
      <c r="S62" s="67" t="str">
        <f aca="false">""</f>
        <v/>
      </c>
      <c r="T62" s="70" t="str">
        <f aca="false">IF($S62="","",0)</f>
        <v/>
      </c>
      <c r="U62" s="70" t="str">
        <f aca="false">IF($S62="","",0)</f>
        <v/>
      </c>
      <c r="V62" s="66" t="str">
        <f aca="false">IF($B62="","",IF($B62="01水果",IFERROR(INDEX(对接源_01水果!$H$5:$H$507,MATCH(ROW()-3,对接源_01水果!$Q$5:$Q$507,0)),""),IFERROR(INDEX(对接源_02物料!$H$5:$H$460,MATCH(ROW()-3-N(对接源_01水果!$T$1),对接源_02物料!$Q$5:$Q$460,0)),"")))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3" customFormat="false" ht="18" hidden="false" customHeight="true" outlineLevel="0" collapsed="false">
      <c r="A63" s="66" t="n">
        <v>60</v>
      </c>
      <c r="B63" s="67" t="str">
        <f aca="false">IF(ROW()-3&lt;=N(对接源_01水果!$T$1),"01水果",IF(ROW()-3&lt;=N(对接源_01水果!$T$1)+N(对接源_02物料!$T$1),"02物料",""))</f>
        <v/>
      </c>
      <c r="C63" s="68" t="str">
        <f aca="false">IF($B63="","",IF($B63="01水果",IFERROR(INDEX(对接源_01水果!$B$5:$B$507,MATCH(ROW()-3,对接源_01水果!$Q$5:$Q$507,0)),""),IFERROR(INDEX(对接源_02物料!$B$5:$B$460,MATCH(ROW()-3-N(对接源_01水果!$T$1),对接源_02物料!$Q$5:$Q$460,0)),"")))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63" s="67" t="str">
        <f aca="false">IF($B63="","",IF($B63="01水果",IFERROR(INDEX(对接源_01水果!$C$5:$C$507,MATCH(ROW()-3,对接源_01水果!$Q$5:$Q$507,0)),""),IFERROR(INDEX(对接源_02物料!$C$5:$C$460,MATCH(ROW()-3-N(对接源_01水果!$T$1),对接源_02物料!$Q$5:$Q$460,0)),"")))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63" s="69" t="str">
        <f aca="false">IF($B63="","",IF($B63="01水果",IFERROR(INDEX(对接源_01水果!$D$5:$D$507,MATCH(ROW()-3,对接源_01水果!$Q$5:$Q$507,0)),""),IFERROR(INDEX(对接源_02物料!$D$5:$D$460,MATCH(ROW()-3-N(对接源_01水果!$T$1),对接源_02物料!$Q$5:$Q$460,0)),"")))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63" s="67" t="str">
        <f aca="false">IF($B63="","",IF($B63="01水果",IFERROR(INDEX(对接源_01水果!$E$5:$E$507,MATCH(ROW()-3,对接源_01水果!$Q$5:$Q$507,0)),""),IFERROR(INDEX(对接源_02物料!$E$5:$E$460,MATCH(ROW()-3-N(对接源_01水果!$T$1),对接源_02物料!$Q$5:$Q$460,0)),"")))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63" s="70" t="str">
        <f aca="false">IF($B63="","",IF($B63="01水果",IFERROR(INDEX(对接源_01水果!$F$5:$F$507,MATCH(ROW()-3,对接源_01水果!$Q$5:$Q$507,0)),""),IFERROR(INDEX(对接源_02物料!$F$5:$F$460,MATCH(ROW()-3-N(对接源_01水果!$T$1),对接源_02物料!$Q$5:$Q$460,0)),"")))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63" s="70" t="str">
        <f aca="false">IF($B63="","",IF($B63="01水果",IFERROR(INDEX(对接源_01水果!$G$5:$G$507,MATCH(ROW()-3,对接源_01水果!$Q$5:$Q$507,0)),""),IFERROR(INDEX(对接源_02物料!$G$5:$G$460,MATCH(ROW()-3-N(对接源_01水果!$T$1),对接源_02物料!$Q$5:$Q$460,0)),"")))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63" s="67" t="str">
        <f aca="false">IF(OR($D63="客户应收",$D63="成品销售款",$D63="公司购买果品款",$D63="筐子销售款",$D63="物料销售款"),"客户往来",IFERROR(INDEX(收入成本映射!$C$4:$C$34,MATCH($D63,收入成本映射!$B$4:$B$34,0)),"不记账"))</f>
        <v>不记账</v>
      </c>
      <c r="J63" s="67" t="str">
        <f aca="false">IF($B63="","","0%")</f>
        <v/>
      </c>
      <c r="K63" s="70" t="n">
        <f aca="false">IF($I63="不记账",0,ROUND(N($G63),2))</f>
        <v>0</v>
      </c>
      <c r="L63" s="70" t="n">
        <v>0</v>
      </c>
      <c r="M63" s="67" t="str">
        <f aca="false">IF(OR($I63="不记账",ROUND(N($G63),2)=0),"",IFERROR(INDEX(收入成本映射!$E$4:$E$34,MATCH($D63,收入成本映射!$B$4:$B$34,0)),""))</f>
        <v/>
      </c>
      <c r="N63" s="70" t="str">
        <f aca="false">IF($M63="","",ROUND(N($G63),2))</f>
        <v/>
      </c>
      <c r="O63" s="70" t="str">
        <f aca="false">IF($M63="","",0)</f>
        <v/>
      </c>
      <c r="P63" s="67" t="str">
        <f aca="false">IF($M63="","",IFERROR(INDEX(收入成本映射!$F$4:$F$34,MATCH($D63,收入成本映射!$B$4:$B$34,0)),""))</f>
        <v/>
      </c>
      <c r="Q63" s="70" t="str">
        <f aca="false">IF($P63="","",0)</f>
        <v/>
      </c>
      <c r="R63" s="70" t="str">
        <f aca="false">IF($P63="","",ROUND(N($G63),2))</f>
        <v/>
      </c>
      <c r="S63" s="67" t="str">
        <f aca="false">""</f>
        <v/>
      </c>
      <c r="T63" s="70" t="str">
        <f aca="false">IF($S63="","",0)</f>
        <v/>
      </c>
      <c r="U63" s="70" t="str">
        <f aca="false">IF($S63="","",0)</f>
        <v/>
      </c>
      <c r="V63" s="66" t="str">
        <f aca="false">IF($B63="","",IF($B63="01水果",IFERROR(INDEX(对接源_01水果!$H$5:$H$507,MATCH(ROW()-3,对接源_01水果!$Q$5:$Q$507,0)),""),IFERROR(INDEX(对接源_02物料!$H$5:$H$460,MATCH(ROW()-3-N(对接源_01水果!$T$1),对接源_02物料!$Q$5:$Q$460,0)),"")))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4" customFormat="false" ht="18" hidden="false" customHeight="true" outlineLevel="0" collapsed="false">
      <c r="A64" s="66" t="n">
        <v>61</v>
      </c>
      <c r="B64" s="67" t="str">
        <f aca="false">IF(ROW()-3&lt;=N(对接源_01水果!$T$1),"01水果",IF(ROW()-3&lt;=N(对接源_01水果!$T$1)+N(对接源_02物料!$T$1),"02物料",""))</f>
        <v/>
      </c>
      <c r="C64" s="68" t="str">
        <f aca="false">IF($B64="","",IF($B64="01水果",IFERROR(INDEX(对接源_01水果!$B$5:$B$507,MATCH(ROW()-3,对接源_01水果!$Q$5:$Q$507,0)),""),IFERROR(INDEX(对接源_02物料!$B$5:$B$460,MATCH(ROW()-3-N(对接源_01水果!$T$1),对接源_02物料!$Q$5:$Q$460,0)),"")))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64" s="67" t="str">
        <f aca="false">IF($B64="","",IF($B64="01水果",IFERROR(INDEX(对接源_01水果!$C$5:$C$507,MATCH(ROW()-3,对接源_01水果!$Q$5:$Q$507,0)),""),IFERROR(INDEX(对接源_02物料!$C$5:$C$460,MATCH(ROW()-3-N(对接源_01水果!$T$1),对接源_02物料!$Q$5:$Q$460,0)),"")))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64" s="69" t="str">
        <f aca="false">IF($B64="","",IF($B64="01水果",IFERROR(INDEX(对接源_01水果!$D$5:$D$507,MATCH(ROW()-3,对接源_01水果!$Q$5:$Q$507,0)),""),IFERROR(INDEX(对接源_02物料!$D$5:$D$460,MATCH(ROW()-3-N(对接源_01水果!$T$1),对接源_02物料!$Q$5:$Q$460,0)),"")))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64" s="67" t="str">
        <f aca="false">IF($B64="","",IF($B64="01水果",IFERROR(INDEX(对接源_01水果!$E$5:$E$507,MATCH(ROW()-3,对接源_01水果!$Q$5:$Q$507,0)),""),IFERROR(INDEX(对接源_02物料!$E$5:$E$460,MATCH(ROW()-3-N(对接源_01水果!$T$1),对接源_02物料!$Q$5:$Q$460,0)),"")))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64" s="70" t="str">
        <f aca="false">IF($B64="","",IF($B64="01水果",IFERROR(INDEX(对接源_01水果!$F$5:$F$507,MATCH(ROW()-3,对接源_01水果!$Q$5:$Q$507,0)),""),IFERROR(INDEX(对接源_02物料!$F$5:$F$460,MATCH(ROW()-3-N(对接源_01水果!$T$1),对接源_02物料!$Q$5:$Q$460,0)),"")))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64" s="70" t="str">
        <f aca="false">IF($B64="","",IF($B64="01水果",IFERROR(INDEX(对接源_01水果!$G$5:$G$507,MATCH(ROW()-3,对接源_01水果!$Q$5:$Q$507,0)),""),IFERROR(INDEX(对接源_02物料!$G$5:$G$460,MATCH(ROW()-3-N(对接源_01水果!$T$1),对接源_02物料!$Q$5:$Q$460,0)),"")))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64" s="67" t="str">
        <f aca="false">IF(OR($D64="客户应收",$D64="成品销售款",$D64="公司购买果品款",$D64="筐子销售款",$D64="物料销售款"),"客户往来",IFERROR(INDEX(收入成本映射!$C$4:$C$34,MATCH($D64,收入成本映射!$B$4:$B$34,0)),"不记账"))</f>
        <v>不记账</v>
      </c>
      <c r="J64" s="67" t="str">
        <f aca="false">IF($B64="","","0%")</f>
        <v/>
      </c>
      <c r="K64" s="70" t="n">
        <f aca="false">IF($I64="不记账",0,ROUND(N($G64),2))</f>
        <v>0</v>
      </c>
      <c r="L64" s="70" t="n">
        <v>0</v>
      </c>
      <c r="M64" s="67" t="str">
        <f aca="false">IF(OR($I64="不记账",ROUND(N($G64),2)=0),"",IFERROR(INDEX(收入成本映射!$E$4:$E$34,MATCH($D64,收入成本映射!$B$4:$B$34,0)),""))</f>
        <v/>
      </c>
      <c r="N64" s="70" t="str">
        <f aca="false">IF($M64="","",ROUND(N($G64),2))</f>
        <v/>
      </c>
      <c r="O64" s="70" t="str">
        <f aca="false">IF($M64="","",0)</f>
        <v/>
      </c>
      <c r="P64" s="67" t="str">
        <f aca="false">IF($M64="","",IFERROR(INDEX(收入成本映射!$F$4:$F$34,MATCH($D64,收入成本映射!$B$4:$B$34,0)),""))</f>
        <v/>
      </c>
      <c r="Q64" s="70" t="str">
        <f aca="false">IF($P64="","",0)</f>
        <v/>
      </c>
      <c r="R64" s="70" t="str">
        <f aca="false">IF($P64="","",ROUND(N($G64),2))</f>
        <v/>
      </c>
      <c r="S64" s="67" t="str">
        <f aca="false">""</f>
        <v/>
      </c>
      <c r="T64" s="70" t="str">
        <f aca="false">IF($S64="","",0)</f>
        <v/>
      </c>
      <c r="U64" s="70" t="str">
        <f aca="false">IF($S64="","",0)</f>
        <v/>
      </c>
      <c r="V64" s="66" t="str">
        <f aca="false">IF($B64="","",IF($B64="01水果",IFERROR(INDEX(对接源_01水果!$H$5:$H$507,MATCH(ROW()-3,对接源_01水果!$Q$5:$Q$507,0)),""),IFERROR(INDEX(对接源_02物料!$H$5:$H$460,MATCH(ROW()-3-N(对接源_01水果!$T$1),对接源_02物料!$Q$5:$Q$460,0)),"")))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5" customFormat="false" ht="18" hidden="false" customHeight="true" outlineLevel="0" collapsed="false">
      <c r="A65" s="66" t="n">
        <v>62</v>
      </c>
      <c r="B65" s="67" t="str">
        <f aca="false">IF(ROW()-3&lt;=N(对接源_01水果!$T$1),"01水果",IF(ROW()-3&lt;=N(对接源_01水果!$T$1)+N(对接源_02物料!$T$1),"02物料",""))</f>
        <v/>
      </c>
      <c r="C65" s="68" t="str">
        <f aca="false">IF($B65="","",IF($B65="01水果",IFERROR(INDEX(对接源_01水果!$B$5:$B$507,MATCH(ROW()-3,对接源_01水果!$Q$5:$Q$507,0)),""),IFERROR(INDEX(对接源_02物料!$B$5:$B$460,MATCH(ROW()-3-N(对接源_01水果!$T$1),对接源_02物料!$Q$5:$Q$460,0)),"")))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65" s="67" t="str">
        <f aca="false">IF($B65="","",IF($B65="01水果",IFERROR(INDEX(对接源_01水果!$C$5:$C$507,MATCH(ROW()-3,对接源_01水果!$Q$5:$Q$507,0)),""),IFERROR(INDEX(对接源_02物料!$C$5:$C$460,MATCH(ROW()-3-N(对接源_01水果!$T$1),对接源_02物料!$Q$5:$Q$460,0)),"")))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65" s="69" t="str">
        <f aca="false">IF($B65="","",IF($B65="01水果",IFERROR(INDEX(对接源_01水果!$D$5:$D$507,MATCH(ROW()-3,对接源_01水果!$Q$5:$Q$507,0)),""),IFERROR(INDEX(对接源_02物料!$D$5:$D$460,MATCH(ROW()-3-N(对接源_01水果!$T$1),对接源_02物料!$Q$5:$Q$460,0)),"")))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65" s="67" t="str">
        <f aca="false">IF($B65="","",IF($B65="01水果",IFERROR(INDEX(对接源_01水果!$E$5:$E$507,MATCH(ROW()-3,对接源_01水果!$Q$5:$Q$507,0)),""),IFERROR(INDEX(对接源_02物料!$E$5:$E$460,MATCH(ROW()-3-N(对接源_01水果!$T$1),对接源_02物料!$Q$5:$Q$460,0)),"")))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65" s="70" t="str">
        <f aca="false">IF($B65="","",IF($B65="01水果",IFERROR(INDEX(对接源_01水果!$F$5:$F$507,MATCH(ROW()-3,对接源_01水果!$Q$5:$Q$507,0)),""),IFERROR(INDEX(对接源_02物料!$F$5:$F$460,MATCH(ROW()-3-N(对接源_01水果!$T$1),对接源_02物料!$Q$5:$Q$460,0)),"")))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65" s="70" t="str">
        <f aca="false">IF($B65="","",IF($B65="01水果",IFERROR(INDEX(对接源_01水果!$G$5:$G$507,MATCH(ROW()-3,对接源_01水果!$Q$5:$Q$507,0)),""),IFERROR(INDEX(对接源_02物料!$G$5:$G$460,MATCH(ROW()-3-N(对接源_01水果!$T$1),对接源_02物料!$Q$5:$Q$460,0)),"")))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65" s="67" t="str">
        <f aca="false">IF(OR($D65="客户应收",$D65="成品销售款",$D65="公司购买果品款",$D65="筐子销售款",$D65="物料销售款"),"客户往来",IFERROR(INDEX(收入成本映射!$C$4:$C$34,MATCH($D65,收入成本映射!$B$4:$B$34,0)),"不记账"))</f>
        <v>不记账</v>
      </c>
      <c r="J65" s="67" t="str">
        <f aca="false">IF($B65="","","0%")</f>
        <v/>
      </c>
      <c r="K65" s="70" t="n">
        <f aca="false">IF($I65="不记账",0,ROUND(N($G65),2))</f>
        <v>0</v>
      </c>
      <c r="L65" s="70" t="n">
        <v>0</v>
      </c>
      <c r="M65" s="67" t="str">
        <f aca="false">IF(OR($I65="不记账",ROUND(N($G65),2)=0),"",IFERROR(INDEX(收入成本映射!$E$4:$E$34,MATCH($D65,收入成本映射!$B$4:$B$34,0)),""))</f>
        <v/>
      </c>
      <c r="N65" s="70" t="str">
        <f aca="false">IF($M65="","",ROUND(N($G65),2))</f>
        <v/>
      </c>
      <c r="O65" s="70" t="str">
        <f aca="false">IF($M65="","",0)</f>
        <v/>
      </c>
      <c r="P65" s="67" t="str">
        <f aca="false">IF($M65="","",IFERROR(INDEX(收入成本映射!$F$4:$F$34,MATCH($D65,收入成本映射!$B$4:$B$34,0)),""))</f>
        <v/>
      </c>
      <c r="Q65" s="70" t="str">
        <f aca="false">IF($P65="","",0)</f>
        <v/>
      </c>
      <c r="R65" s="70" t="str">
        <f aca="false">IF($P65="","",ROUND(N($G65),2))</f>
        <v/>
      </c>
      <c r="S65" s="67" t="str">
        <f aca="false">""</f>
        <v/>
      </c>
      <c r="T65" s="70" t="str">
        <f aca="false">IF($S65="","",0)</f>
        <v/>
      </c>
      <c r="U65" s="70" t="str">
        <f aca="false">IF($S65="","",0)</f>
        <v/>
      </c>
      <c r="V65" s="66" t="str">
        <f aca="false">IF($B65="","",IF($B65="01水果",IFERROR(INDEX(对接源_01水果!$H$5:$H$507,MATCH(ROW()-3,对接源_01水果!$Q$5:$Q$507,0)),""),IFERROR(INDEX(对接源_02物料!$H$5:$H$460,MATCH(ROW()-3-N(对接源_01水果!$T$1),对接源_02物料!$Q$5:$Q$460,0)),"")))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6" customFormat="false" ht="18" hidden="false" customHeight="true" outlineLevel="0" collapsed="false">
      <c r="A66" s="66" t="n">
        <v>63</v>
      </c>
      <c r="B66" s="67" t="str">
        <f aca="false">IF(ROW()-3&lt;=N(对接源_01水果!$T$1),"01水果",IF(ROW()-3&lt;=N(对接源_01水果!$T$1)+N(对接源_02物料!$T$1),"02物料",""))</f>
        <v/>
      </c>
      <c r="C66" s="68" t="str">
        <f aca="false">IF($B66="","",IF($B66="01水果",IFERROR(INDEX(对接源_01水果!$B$5:$B$507,MATCH(ROW()-3,对接源_01水果!$Q$5:$Q$507,0)),""),IFERROR(INDEX(对接源_02物料!$B$5:$B$460,MATCH(ROW()-3-N(对接源_01水果!$T$1),对接源_02物料!$Q$5:$Q$460,0)),"")))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66" s="67" t="str">
        <f aca="false">IF($B66="","",IF($B66="01水果",IFERROR(INDEX(对接源_01水果!$C$5:$C$507,MATCH(ROW()-3,对接源_01水果!$Q$5:$Q$507,0)),""),IFERROR(INDEX(对接源_02物料!$C$5:$C$460,MATCH(ROW()-3-N(对接源_01水果!$T$1),对接源_02物料!$Q$5:$Q$460,0)),"")))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66" s="69" t="str">
        <f aca="false">IF($B66="","",IF($B66="01水果",IFERROR(INDEX(对接源_01水果!$D$5:$D$507,MATCH(ROW()-3,对接源_01水果!$Q$5:$Q$507,0)),""),IFERROR(INDEX(对接源_02物料!$D$5:$D$460,MATCH(ROW()-3-N(对接源_01水果!$T$1),对接源_02物料!$Q$5:$Q$460,0)),"")))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66" s="67" t="str">
        <f aca="false">IF($B66="","",IF($B66="01水果",IFERROR(INDEX(对接源_01水果!$E$5:$E$507,MATCH(ROW()-3,对接源_01水果!$Q$5:$Q$507,0)),""),IFERROR(INDEX(对接源_02物料!$E$5:$E$460,MATCH(ROW()-3-N(对接源_01水果!$T$1),对接源_02物料!$Q$5:$Q$460,0)),"")))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66" s="70" t="str">
        <f aca="false">IF($B66="","",IF($B66="01水果",IFERROR(INDEX(对接源_01水果!$F$5:$F$507,MATCH(ROW()-3,对接源_01水果!$Q$5:$Q$507,0)),""),IFERROR(INDEX(对接源_02物料!$F$5:$F$460,MATCH(ROW()-3-N(对接源_01水果!$T$1),对接源_02物料!$Q$5:$Q$460,0)),"")))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66" s="70" t="str">
        <f aca="false">IF($B66="","",IF($B66="01水果",IFERROR(INDEX(对接源_01水果!$G$5:$G$507,MATCH(ROW()-3,对接源_01水果!$Q$5:$Q$507,0)),""),IFERROR(INDEX(对接源_02物料!$G$5:$G$460,MATCH(ROW()-3-N(对接源_01水果!$T$1),对接源_02物料!$Q$5:$Q$460,0)),"")))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66" s="67" t="str">
        <f aca="false">IF(OR($D66="客户应收",$D66="成品销售款",$D66="公司购买果品款",$D66="筐子销售款",$D66="物料销售款"),"客户往来",IFERROR(INDEX(收入成本映射!$C$4:$C$34,MATCH($D66,收入成本映射!$B$4:$B$34,0)),"不记账"))</f>
        <v>不记账</v>
      </c>
      <c r="J66" s="67" t="str">
        <f aca="false">IF($B66="","","0%")</f>
        <v/>
      </c>
      <c r="K66" s="70" t="n">
        <f aca="false">IF($I66="不记账",0,ROUND(N($G66),2))</f>
        <v>0</v>
      </c>
      <c r="L66" s="70" t="n">
        <v>0</v>
      </c>
      <c r="M66" s="67" t="str">
        <f aca="false">IF(OR($I66="不记账",ROUND(N($G66),2)=0),"",IFERROR(INDEX(收入成本映射!$E$4:$E$34,MATCH($D66,收入成本映射!$B$4:$B$34,0)),""))</f>
        <v/>
      </c>
      <c r="N66" s="70" t="str">
        <f aca="false">IF($M66="","",ROUND(N($G66),2))</f>
        <v/>
      </c>
      <c r="O66" s="70" t="str">
        <f aca="false">IF($M66="","",0)</f>
        <v/>
      </c>
      <c r="P66" s="67" t="str">
        <f aca="false">IF($M66="","",IFERROR(INDEX(收入成本映射!$F$4:$F$34,MATCH($D66,收入成本映射!$B$4:$B$34,0)),""))</f>
        <v/>
      </c>
      <c r="Q66" s="70" t="str">
        <f aca="false">IF($P66="","",0)</f>
        <v/>
      </c>
      <c r="R66" s="70" t="str">
        <f aca="false">IF($P66="","",ROUND(N($G66),2))</f>
        <v/>
      </c>
      <c r="S66" s="67" t="str">
        <f aca="false">""</f>
        <v/>
      </c>
      <c r="T66" s="70" t="str">
        <f aca="false">IF($S66="","",0)</f>
        <v/>
      </c>
      <c r="U66" s="70" t="str">
        <f aca="false">IF($S66="","",0)</f>
        <v/>
      </c>
      <c r="V66" s="66" t="str">
        <f aca="false">IF($B66="","",IF($B66="01水果",IFERROR(INDEX(对接源_01水果!$H$5:$H$507,MATCH(ROW()-3,对接源_01水果!$Q$5:$Q$507,0)),""),IFERROR(INDEX(对接源_02物料!$H$5:$H$460,MATCH(ROW()-3-N(对接源_01水果!$T$1),对接源_02物料!$Q$5:$Q$460,0)),"")))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7" customFormat="false" ht="18" hidden="false" customHeight="true" outlineLevel="0" collapsed="false">
      <c r="A67" s="66" t="n">
        <v>64</v>
      </c>
      <c r="B67" s="67" t="str">
        <f aca="false">IF(ROW()-3&lt;=N(对接源_01水果!$T$1),"01水果",IF(ROW()-3&lt;=N(对接源_01水果!$T$1)+N(对接源_02物料!$T$1),"02物料",""))</f>
        <v/>
      </c>
      <c r="C67" s="68" t="str">
        <f aca="false">IF($B67="","",IF($B67="01水果",IFERROR(INDEX(对接源_01水果!$B$5:$B$507,MATCH(ROW()-3,对接源_01水果!$Q$5:$Q$507,0)),""),IFERROR(INDEX(对接源_02物料!$B$5:$B$460,MATCH(ROW()-3-N(对接源_01水果!$T$1),对接源_02物料!$Q$5:$Q$460,0)),"")))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67" s="67" t="str">
        <f aca="false">IF($B67="","",IF($B67="01水果",IFERROR(INDEX(对接源_01水果!$C$5:$C$507,MATCH(ROW()-3,对接源_01水果!$Q$5:$Q$507,0)),""),IFERROR(INDEX(对接源_02物料!$C$5:$C$460,MATCH(ROW()-3-N(对接源_01水果!$T$1),对接源_02物料!$Q$5:$Q$460,0)),"")))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67" s="69" t="str">
        <f aca="false">IF($B67="","",IF($B67="01水果",IFERROR(INDEX(对接源_01水果!$D$5:$D$507,MATCH(ROW()-3,对接源_01水果!$Q$5:$Q$507,0)),""),IFERROR(INDEX(对接源_02物料!$D$5:$D$460,MATCH(ROW()-3-N(对接源_01水果!$T$1),对接源_02物料!$Q$5:$Q$460,0)),"")))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67" s="67" t="str">
        <f aca="false">IF($B67="","",IF($B67="01水果",IFERROR(INDEX(对接源_01水果!$E$5:$E$507,MATCH(ROW()-3,对接源_01水果!$Q$5:$Q$507,0)),""),IFERROR(INDEX(对接源_02物料!$E$5:$E$460,MATCH(ROW()-3-N(对接源_01水果!$T$1),对接源_02物料!$Q$5:$Q$460,0)),"")))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67" s="70" t="str">
        <f aca="false">IF($B67="","",IF($B67="01水果",IFERROR(INDEX(对接源_01水果!$F$5:$F$507,MATCH(ROW()-3,对接源_01水果!$Q$5:$Q$507,0)),""),IFERROR(INDEX(对接源_02物料!$F$5:$F$460,MATCH(ROW()-3-N(对接源_01水果!$T$1),对接源_02物料!$Q$5:$Q$460,0)),"")))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67" s="70" t="str">
        <f aca="false">IF($B67="","",IF($B67="01水果",IFERROR(INDEX(对接源_01水果!$G$5:$G$507,MATCH(ROW()-3,对接源_01水果!$Q$5:$Q$507,0)),""),IFERROR(INDEX(对接源_02物料!$G$5:$G$460,MATCH(ROW()-3-N(对接源_01水果!$T$1),对接源_02物料!$Q$5:$Q$460,0)),"")))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67" s="67" t="str">
        <f aca="false">IF(OR($D67="客户应收",$D67="成品销售款",$D67="公司购买果品款",$D67="筐子销售款",$D67="物料销售款"),"客户往来",IFERROR(INDEX(收入成本映射!$C$4:$C$34,MATCH($D67,收入成本映射!$B$4:$B$34,0)),"不记账"))</f>
        <v>不记账</v>
      </c>
      <c r="J67" s="67" t="str">
        <f aca="false">IF($B67="","","0%")</f>
        <v/>
      </c>
      <c r="K67" s="70" t="n">
        <f aca="false">IF($I67="不记账",0,ROUND(N($G67),2))</f>
        <v>0</v>
      </c>
      <c r="L67" s="70" t="n">
        <v>0</v>
      </c>
      <c r="M67" s="67" t="str">
        <f aca="false">IF(OR($I67="不记账",ROUND(N($G67),2)=0),"",IFERROR(INDEX(收入成本映射!$E$4:$E$34,MATCH($D67,收入成本映射!$B$4:$B$34,0)),""))</f>
        <v/>
      </c>
      <c r="N67" s="70" t="str">
        <f aca="false">IF($M67="","",ROUND(N($G67),2))</f>
        <v/>
      </c>
      <c r="O67" s="70" t="str">
        <f aca="false">IF($M67="","",0)</f>
        <v/>
      </c>
      <c r="P67" s="67" t="str">
        <f aca="false">IF($M67="","",IFERROR(INDEX(收入成本映射!$F$4:$F$34,MATCH($D67,收入成本映射!$B$4:$B$34,0)),""))</f>
        <v/>
      </c>
      <c r="Q67" s="70" t="str">
        <f aca="false">IF($P67="","",0)</f>
        <v/>
      </c>
      <c r="R67" s="70" t="str">
        <f aca="false">IF($P67="","",ROUND(N($G67),2))</f>
        <v/>
      </c>
      <c r="S67" s="67" t="str">
        <f aca="false">""</f>
        <v/>
      </c>
      <c r="T67" s="70" t="str">
        <f aca="false">IF($S67="","",0)</f>
        <v/>
      </c>
      <c r="U67" s="70" t="str">
        <f aca="false">IF($S67="","",0)</f>
        <v/>
      </c>
      <c r="V67" s="66" t="str">
        <f aca="false">IF($B67="","",IF($B67="01水果",IFERROR(INDEX(对接源_01水果!$H$5:$H$507,MATCH(ROW()-3,对接源_01水果!$Q$5:$Q$507,0)),""),IFERROR(INDEX(对接源_02物料!$H$5:$H$460,MATCH(ROW()-3-N(对接源_01水果!$T$1),对接源_02物料!$Q$5:$Q$460,0)),"")))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8" customFormat="false" ht="18" hidden="false" customHeight="true" outlineLevel="0" collapsed="false">
      <c r="A68" s="66" t="n">
        <v>65</v>
      </c>
      <c r="B68" s="67" t="str">
        <f aca="false">IF(ROW()-3&lt;=N(对接源_01水果!$T$1),"01水果",IF(ROW()-3&lt;=N(对接源_01水果!$T$1)+N(对接源_02物料!$T$1),"02物料",""))</f>
        <v/>
      </c>
      <c r="C68" s="68" t="str">
        <f aca="false">IF($B68="","",IF($B68="01水果",IFERROR(INDEX(对接源_01水果!$B$5:$B$507,MATCH(ROW()-3,对接源_01水果!$Q$5:$Q$507,0)),""),IFERROR(INDEX(对接源_02物料!$B$5:$B$460,MATCH(ROW()-3-N(对接源_01水果!$T$1),对接源_02物料!$Q$5:$Q$460,0)),"")))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68" s="67" t="str">
        <f aca="false">IF($B68="","",IF($B68="01水果",IFERROR(INDEX(对接源_01水果!$C$5:$C$507,MATCH(ROW()-3,对接源_01水果!$Q$5:$Q$507,0)),""),IFERROR(INDEX(对接源_02物料!$C$5:$C$460,MATCH(ROW()-3-N(对接源_01水果!$T$1),对接源_02物料!$Q$5:$Q$460,0)),"")))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68" s="69" t="str">
        <f aca="false">IF($B68="","",IF($B68="01水果",IFERROR(INDEX(对接源_01水果!$D$5:$D$507,MATCH(ROW()-3,对接源_01水果!$Q$5:$Q$507,0)),""),IFERROR(INDEX(对接源_02物料!$D$5:$D$460,MATCH(ROW()-3-N(对接源_01水果!$T$1),对接源_02物料!$Q$5:$Q$460,0)),"")))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68" s="67" t="str">
        <f aca="false">IF($B68="","",IF($B68="01水果",IFERROR(INDEX(对接源_01水果!$E$5:$E$507,MATCH(ROW()-3,对接源_01水果!$Q$5:$Q$507,0)),""),IFERROR(INDEX(对接源_02物料!$E$5:$E$460,MATCH(ROW()-3-N(对接源_01水果!$T$1),对接源_02物料!$Q$5:$Q$460,0)),"")))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68" s="70" t="str">
        <f aca="false">IF($B68="","",IF($B68="01水果",IFERROR(INDEX(对接源_01水果!$F$5:$F$507,MATCH(ROW()-3,对接源_01水果!$Q$5:$Q$507,0)),""),IFERROR(INDEX(对接源_02物料!$F$5:$F$460,MATCH(ROW()-3-N(对接源_01水果!$T$1),对接源_02物料!$Q$5:$Q$460,0)),"")))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68" s="70" t="str">
        <f aca="false">IF($B68="","",IF($B68="01水果",IFERROR(INDEX(对接源_01水果!$G$5:$G$507,MATCH(ROW()-3,对接源_01水果!$Q$5:$Q$507,0)),""),IFERROR(INDEX(对接源_02物料!$G$5:$G$460,MATCH(ROW()-3-N(对接源_01水果!$T$1),对接源_02物料!$Q$5:$Q$460,0)),"")))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68" s="67" t="str">
        <f aca="false">IF(OR($D68="客户应收",$D68="成品销售款",$D68="公司购买果品款",$D68="筐子销售款",$D68="物料销售款"),"客户往来",IFERROR(INDEX(收入成本映射!$C$4:$C$34,MATCH($D68,收入成本映射!$B$4:$B$34,0)),"不记账"))</f>
        <v>不记账</v>
      </c>
      <c r="J68" s="67" t="str">
        <f aca="false">IF($B68="","","0%")</f>
        <v/>
      </c>
      <c r="K68" s="70" t="n">
        <f aca="false">IF($I68="不记账",0,ROUND(N($G68),2))</f>
        <v>0</v>
      </c>
      <c r="L68" s="70" t="n">
        <v>0</v>
      </c>
      <c r="M68" s="67" t="str">
        <f aca="false">IF(OR($I68="不记账",ROUND(N($G68),2)=0),"",IFERROR(INDEX(收入成本映射!$E$4:$E$34,MATCH($D68,收入成本映射!$B$4:$B$34,0)),""))</f>
        <v/>
      </c>
      <c r="N68" s="70" t="str">
        <f aca="false">IF($M68="","",ROUND(N($G68),2))</f>
        <v/>
      </c>
      <c r="O68" s="70" t="str">
        <f aca="false">IF($M68="","",0)</f>
        <v/>
      </c>
      <c r="P68" s="67" t="str">
        <f aca="false">IF($M68="","",IFERROR(INDEX(收入成本映射!$F$4:$F$34,MATCH($D68,收入成本映射!$B$4:$B$34,0)),""))</f>
        <v/>
      </c>
      <c r="Q68" s="70" t="str">
        <f aca="false">IF($P68="","",0)</f>
        <v/>
      </c>
      <c r="R68" s="70" t="str">
        <f aca="false">IF($P68="","",ROUND(N($G68),2))</f>
        <v/>
      </c>
      <c r="S68" s="67" t="str">
        <f aca="false">""</f>
        <v/>
      </c>
      <c r="T68" s="70" t="str">
        <f aca="false">IF($S68="","",0)</f>
        <v/>
      </c>
      <c r="U68" s="70" t="str">
        <f aca="false">IF($S68="","",0)</f>
        <v/>
      </c>
      <c r="V68" s="66" t="str">
        <f aca="false">IF($B68="","",IF($B68="01水果",IFERROR(INDEX(对接源_01水果!$H$5:$H$507,MATCH(ROW()-3,对接源_01水果!$Q$5:$Q$507,0)),""),IFERROR(INDEX(对接源_02物料!$H$5:$H$460,MATCH(ROW()-3-N(对接源_01水果!$T$1),对接源_02物料!$Q$5:$Q$460,0)),"")))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69" customFormat="false" ht="18" hidden="false" customHeight="true" outlineLevel="0" collapsed="false">
      <c r="A69" s="66" t="n">
        <v>66</v>
      </c>
      <c r="B69" s="67" t="str">
        <f aca="false">IF(ROW()-3&lt;=N(对接源_01水果!$T$1),"01水果",IF(ROW()-3&lt;=N(对接源_01水果!$T$1)+N(对接源_02物料!$T$1),"02物料",""))</f>
        <v/>
      </c>
      <c r="C69" s="68" t="str">
        <f aca="false">IF($B69="","",IF($B69="01水果",IFERROR(INDEX(对接源_01水果!$B$5:$B$507,MATCH(ROW()-3,对接源_01水果!$Q$5:$Q$507,0)),""),IFERROR(INDEX(对接源_02物料!$B$5:$B$460,MATCH(ROW()-3-N(对接源_01水果!$T$1),对接源_02物料!$Q$5:$Q$460,0)),"")))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69" s="67" t="str">
        <f aca="false">IF($B69="","",IF($B69="01水果",IFERROR(INDEX(对接源_01水果!$C$5:$C$507,MATCH(ROW()-3,对接源_01水果!$Q$5:$Q$507,0)),""),IFERROR(INDEX(对接源_02物料!$C$5:$C$460,MATCH(ROW()-3-N(对接源_01水果!$T$1),对接源_02物料!$Q$5:$Q$460,0)),"")))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69" s="69" t="str">
        <f aca="false">IF($B69="","",IF($B69="01水果",IFERROR(INDEX(对接源_01水果!$D$5:$D$507,MATCH(ROW()-3,对接源_01水果!$Q$5:$Q$507,0)),""),IFERROR(INDEX(对接源_02物料!$D$5:$D$460,MATCH(ROW()-3-N(对接源_01水果!$T$1),对接源_02物料!$Q$5:$Q$460,0)),"")))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69" s="67" t="str">
        <f aca="false">IF($B69="","",IF($B69="01水果",IFERROR(INDEX(对接源_01水果!$E$5:$E$507,MATCH(ROW()-3,对接源_01水果!$Q$5:$Q$507,0)),""),IFERROR(INDEX(对接源_02物料!$E$5:$E$460,MATCH(ROW()-3-N(对接源_01水果!$T$1),对接源_02物料!$Q$5:$Q$460,0)),"")))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69" s="70" t="str">
        <f aca="false">IF($B69="","",IF($B69="01水果",IFERROR(INDEX(对接源_01水果!$F$5:$F$507,MATCH(ROW()-3,对接源_01水果!$Q$5:$Q$507,0)),""),IFERROR(INDEX(对接源_02物料!$F$5:$F$460,MATCH(ROW()-3-N(对接源_01水果!$T$1),对接源_02物料!$Q$5:$Q$460,0)),"")))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69" s="70" t="str">
        <f aca="false">IF($B69="","",IF($B69="01水果",IFERROR(INDEX(对接源_01水果!$G$5:$G$507,MATCH(ROW()-3,对接源_01水果!$Q$5:$Q$507,0)),""),IFERROR(INDEX(对接源_02物料!$G$5:$G$460,MATCH(ROW()-3-N(对接源_01水果!$T$1),对接源_02物料!$Q$5:$Q$460,0)),"")))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69" s="67" t="str">
        <f aca="false">IF(OR($D69="客户应收",$D69="成品销售款",$D69="公司购买果品款",$D69="筐子销售款",$D69="物料销售款"),"客户往来",IFERROR(INDEX(收入成本映射!$C$4:$C$34,MATCH($D69,收入成本映射!$B$4:$B$34,0)),"不记账"))</f>
        <v>不记账</v>
      </c>
      <c r="J69" s="67" t="str">
        <f aca="false">IF($B69="","","0%")</f>
        <v/>
      </c>
      <c r="K69" s="70" t="n">
        <f aca="false">IF($I69="不记账",0,ROUND(N($G69),2))</f>
        <v>0</v>
      </c>
      <c r="L69" s="70" t="n">
        <v>0</v>
      </c>
      <c r="M69" s="67" t="str">
        <f aca="false">IF(OR($I69="不记账",ROUND(N($G69),2)=0),"",IFERROR(INDEX(收入成本映射!$E$4:$E$34,MATCH($D69,收入成本映射!$B$4:$B$34,0)),""))</f>
        <v/>
      </c>
      <c r="N69" s="70" t="str">
        <f aca="false">IF($M69="","",ROUND(N($G69),2))</f>
        <v/>
      </c>
      <c r="O69" s="70" t="str">
        <f aca="false">IF($M69="","",0)</f>
        <v/>
      </c>
      <c r="P69" s="67" t="str">
        <f aca="false">IF($M69="","",IFERROR(INDEX(收入成本映射!$F$4:$F$34,MATCH($D69,收入成本映射!$B$4:$B$34,0)),""))</f>
        <v/>
      </c>
      <c r="Q69" s="70" t="str">
        <f aca="false">IF($P69="","",0)</f>
        <v/>
      </c>
      <c r="R69" s="70" t="str">
        <f aca="false">IF($P69="","",ROUND(N($G69),2))</f>
        <v/>
      </c>
      <c r="S69" s="67" t="str">
        <f aca="false">""</f>
        <v/>
      </c>
      <c r="T69" s="70" t="str">
        <f aca="false">IF($S69="","",0)</f>
        <v/>
      </c>
      <c r="U69" s="70" t="str">
        <f aca="false">IF($S69="","",0)</f>
        <v/>
      </c>
      <c r="V69" s="66" t="str">
        <f aca="false">IF($B69="","",IF($B69="01水果",IFERROR(INDEX(对接源_01水果!$H$5:$H$507,MATCH(ROW()-3,对接源_01水果!$Q$5:$Q$507,0)),""),IFERROR(INDEX(对接源_02物料!$H$5:$H$460,MATCH(ROW()-3-N(对接源_01水果!$T$1),对接源_02物料!$Q$5:$Q$460,0)),"")))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0" customFormat="false" ht="18" hidden="false" customHeight="true" outlineLevel="0" collapsed="false">
      <c r="A70" s="66" t="n">
        <v>67</v>
      </c>
      <c r="B70" s="67" t="str">
        <f aca="false">IF(ROW()-3&lt;=N(对接源_01水果!$T$1),"01水果",IF(ROW()-3&lt;=N(对接源_01水果!$T$1)+N(对接源_02物料!$T$1),"02物料",""))</f>
        <v/>
      </c>
      <c r="C70" s="68" t="str">
        <f aca="false">IF($B70="","",IF($B70="01水果",IFERROR(INDEX(对接源_01水果!$B$5:$B$507,MATCH(ROW()-3,对接源_01水果!$Q$5:$Q$507,0)),""),IFERROR(INDEX(对接源_02物料!$B$5:$B$460,MATCH(ROW()-3-N(对接源_01水果!$T$1),对接源_02物料!$Q$5:$Q$460,0)),"")))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70" s="67" t="str">
        <f aca="false">IF($B70="","",IF($B70="01水果",IFERROR(INDEX(对接源_01水果!$C$5:$C$507,MATCH(ROW()-3,对接源_01水果!$Q$5:$Q$507,0)),""),IFERROR(INDEX(对接源_02物料!$C$5:$C$460,MATCH(ROW()-3-N(对接源_01水果!$T$1),对接源_02物料!$Q$5:$Q$460,0)),"")))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70" s="69" t="str">
        <f aca="false">IF($B70="","",IF($B70="01水果",IFERROR(INDEX(对接源_01水果!$D$5:$D$507,MATCH(ROW()-3,对接源_01水果!$Q$5:$Q$507,0)),""),IFERROR(INDEX(对接源_02物料!$D$5:$D$460,MATCH(ROW()-3-N(对接源_01水果!$T$1),对接源_02物料!$Q$5:$Q$460,0)),"")))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70" s="67" t="str">
        <f aca="false">IF($B70="","",IF($B70="01水果",IFERROR(INDEX(对接源_01水果!$E$5:$E$507,MATCH(ROW()-3,对接源_01水果!$Q$5:$Q$507,0)),""),IFERROR(INDEX(对接源_02物料!$E$5:$E$460,MATCH(ROW()-3-N(对接源_01水果!$T$1),对接源_02物料!$Q$5:$Q$460,0)),"")))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70" s="70" t="str">
        <f aca="false">IF($B70="","",IF($B70="01水果",IFERROR(INDEX(对接源_01水果!$F$5:$F$507,MATCH(ROW()-3,对接源_01水果!$Q$5:$Q$507,0)),""),IFERROR(INDEX(对接源_02物料!$F$5:$F$460,MATCH(ROW()-3-N(对接源_01水果!$T$1),对接源_02物料!$Q$5:$Q$460,0)),"")))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70" s="70" t="str">
        <f aca="false">IF($B70="","",IF($B70="01水果",IFERROR(INDEX(对接源_01水果!$G$5:$G$507,MATCH(ROW()-3,对接源_01水果!$Q$5:$Q$507,0)),""),IFERROR(INDEX(对接源_02物料!$G$5:$G$460,MATCH(ROW()-3-N(对接源_01水果!$T$1),对接源_02物料!$Q$5:$Q$460,0)),"")))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70" s="67" t="str">
        <f aca="false">IF(OR($D70="客户应收",$D70="成品销售款",$D70="公司购买果品款",$D70="筐子销售款",$D70="物料销售款"),"客户往来",IFERROR(INDEX(收入成本映射!$C$4:$C$34,MATCH($D70,收入成本映射!$B$4:$B$34,0)),"不记账"))</f>
        <v>不记账</v>
      </c>
      <c r="J70" s="67" t="str">
        <f aca="false">IF($B70="","","0%")</f>
        <v/>
      </c>
      <c r="K70" s="70" t="n">
        <f aca="false">IF($I70="不记账",0,ROUND(N($G70),2))</f>
        <v>0</v>
      </c>
      <c r="L70" s="70" t="n">
        <v>0</v>
      </c>
      <c r="M70" s="67" t="str">
        <f aca="false">IF(OR($I70="不记账",ROUND(N($G70),2)=0),"",IFERROR(INDEX(收入成本映射!$E$4:$E$34,MATCH($D70,收入成本映射!$B$4:$B$34,0)),""))</f>
        <v/>
      </c>
      <c r="N70" s="70" t="str">
        <f aca="false">IF($M70="","",ROUND(N($G70),2))</f>
        <v/>
      </c>
      <c r="O70" s="70" t="str">
        <f aca="false">IF($M70="","",0)</f>
        <v/>
      </c>
      <c r="P70" s="67" t="str">
        <f aca="false">IF($M70="","",IFERROR(INDEX(收入成本映射!$F$4:$F$34,MATCH($D70,收入成本映射!$B$4:$B$34,0)),""))</f>
        <v/>
      </c>
      <c r="Q70" s="70" t="str">
        <f aca="false">IF($P70="","",0)</f>
        <v/>
      </c>
      <c r="R70" s="70" t="str">
        <f aca="false">IF($P70="","",ROUND(N($G70),2))</f>
        <v/>
      </c>
      <c r="S70" s="67" t="str">
        <f aca="false">""</f>
        <v/>
      </c>
      <c r="T70" s="70" t="str">
        <f aca="false">IF($S70="","",0)</f>
        <v/>
      </c>
      <c r="U70" s="70" t="str">
        <f aca="false">IF($S70="","",0)</f>
        <v/>
      </c>
      <c r="V70" s="66" t="str">
        <f aca="false">IF($B70="","",IF($B70="01水果",IFERROR(INDEX(对接源_01水果!$H$5:$H$507,MATCH(ROW()-3,对接源_01水果!$Q$5:$Q$507,0)),""),IFERROR(INDEX(对接源_02物料!$H$5:$H$460,MATCH(ROW()-3-N(对接源_01水果!$T$1),对接源_02物料!$Q$5:$Q$460,0)),"")))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1" customFormat="false" ht="18" hidden="false" customHeight="true" outlineLevel="0" collapsed="false">
      <c r="A71" s="66" t="n">
        <v>68</v>
      </c>
      <c r="B71" s="67" t="str">
        <f aca="false">IF(ROW()-3&lt;=N(对接源_01水果!$T$1),"01水果",IF(ROW()-3&lt;=N(对接源_01水果!$T$1)+N(对接源_02物料!$T$1),"02物料",""))</f>
        <v/>
      </c>
      <c r="C71" s="68" t="str">
        <f aca="false">IF($B71="","",IF($B71="01水果",IFERROR(INDEX(对接源_01水果!$B$5:$B$507,MATCH(ROW()-3,对接源_01水果!$Q$5:$Q$507,0)),""),IFERROR(INDEX(对接源_02物料!$B$5:$B$460,MATCH(ROW()-3-N(对接源_01水果!$T$1),对接源_02物料!$Q$5:$Q$460,0)),"")))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71" s="67" t="str">
        <f aca="false">IF($B71="","",IF($B71="01水果",IFERROR(INDEX(对接源_01水果!$C$5:$C$507,MATCH(ROW()-3,对接源_01水果!$Q$5:$Q$507,0)),""),IFERROR(INDEX(对接源_02物料!$C$5:$C$460,MATCH(ROW()-3-N(对接源_01水果!$T$1),对接源_02物料!$Q$5:$Q$460,0)),"")))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71" s="69" t="str">
        <f aca="false">IF($B71="","",IF($B71="01水果",IFERROR(INDEX(对接源_01水果!$D$5:$D$507,MATCH(ROW()-3,对接源_01水果!$Q$5:$Q$507,0)),""),IFERROR(INDEX(对接源_02物料!$D$5:$D$460,MATCH(ROW()-3-N(对接源_01水果!$T$1),对接源_02物料!$Q$5:$Q$460,0)),"")))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71" s="67" t="str">
        <f aca="false">IF($B71="","",IF($B71="01水果",IFERROR(INDEX(对接源_01水果!$E$5:$E$507,MATCH(ROW()-3,对接源_01水果!$Q$5:$Q$507,0)),""),IFERROR(INDEX(对接源_02物料!$E$5:$E$460,MATCH(ROW()-3-N(对接源_01水果!$T$1),对接源_02物料!$Q$5:$Q$460,0)),"")))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71" s="70" t="str">
        <f aca="false">IF($B71="","",IF($B71="01水果",IFERROR(INDEX(对接源_01水果!$F$5:$F$507,MATCH(ROW()-3,对接源_01水果!$Q$5:$Q$507,0)),""),IFERROR(INDEX(对接源_02物料!$F$5:$F$460,MATCH(ROW()-3-N(对接源_01水果!$T$1),对接源_02物料!$Q$5:$Q$460,0)),"")))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71" s="70" t="str">
        <f aca="false">IF($B71="","",IF($B71="01水果",IFERROR(INDEX(对接源_01水果!$G$5:$G$507,MATCH(ROW()-3,对接源_01水果!$Q$5:$Q$507,0)),""),IFERROR(INDEX(对接源_02物料!$G$5:$G$460,MATCH(ROW()-3-N(对接源_01水果!$T$1),对接源_02物料!$Q$5:$Q$460,0)),"")))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71" s="67" t="str">
        <f aca="false">IF(OR($D71="客户应收",$D71="成品销售款",$D71="公司购买果品款",$D71="筐子销售款",$D71="物料销售款"),"客户往来",IFERROR(INDEX(收入成本映射!$C$4:$C$34,MATCH($D71,收入成本映射!$B$4:$B$34,0)),"不记账"))</f>
        <v>不记账</v>
      </c>
      <c r="J71" s="67" t="str">
        <f aca="false">IF($B71="","","0%")</f>
        <v/>
      </c>
      <c r="K71" s="70" t="n">
        <f aca="false">IF($I71="不记账",0,ROUND(N($G71),2))</f>
        <v>0</v>
      </c>
      <c r="L71" s="70" t="n">
        <v>0</v>
      </c>
      <c r="M71" s="67" t="str">
        <f aca="false">IF(OR($I71="不记账",ROUND(N($G71),2)=0),"",IFERROR(INDEX(收入成本映射!$E$4:$E$34,MATCH($D71,收入成本映射!$B$4:$B$34,0)),""))</f>
        <v/>
      </c>
      <c r="N71" s="70" t="str">
        <f aca="false">IF($M71="","",ROUND(N($G71),2))</f>
        <v/>
      </c>
      <c r="O71" s="70" t="str">
        <f aca="false">IF($M71="","",0)</f>
        <v/>
      </c>
      <c r="P71" s="67" t="str">
        <f aca="false">IF($M71="","",IFERROR(INDEX(收入成本映射!$F$4:$F$34,MATCH($D71,收入成本映射!$B$4:$B$34,0)),""))</f>
        <v/>
      </c>
      <c r="Q71" s="70" t="str">
        <f aca="false">IF($P71="","",0)</f>
        <v/>
      </c>
      <c r="R71" s="70" t="str">
        <f aca="false">IF($P71="","",ROUND(N($G71),2))</f>
        <v/>
      </c>
      <c r="S71" s="67" t="str">
        <f aca="false">""</f>
        <v/>
      </c>
      <c r="T71" s="70" t="str">
        <f aca="false">IF($S71="","",0)</f>
        <v/>
      </c>
      <c r="U71" s="70" t="str">
        <f aca="false">IF($S71="","",0)</f>
        <v/>
      </c>
      <c r="V71" s="66" t="str">
        <f aca="false">IF($B71="","",IF($B71="01水果",IFERROR(INDEX(对接源_01水果!$H$5:$H$507,MATCH(ROW()-3,对接源_01水果!$Q$5:$Q$507,0)),""),IFERROR(INDEX(对接源_02物料!$H$5:$H$460,MATCH(ROW()-3-N(对接源_01水果!$T$1),对接源_02物料!$Q$5:$Q$460,0)),"")))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2" customFormat="false" ht="18" hidden="false" customHeight="true" outlineLevel="0" collapsed="false">
      <c r="A72" s="66" t="n">
        <v>69</v>
      </c>
      <c r="B72" s="67" t="str">
        <f aca="false">IF(ROW()-3&lt;=N(对接源_01水果!$T$1),"01水果",IF(ROW()-3&lt;=N(对接源_01水果!$T$1)+N(对接源_02物料!$T$1),"02物料",""))</f>
        <v/>
      </c>
      <c r="C72" s="68" t="str">
        <f aca="false">IF($B72="","",IF($B72="01水果",IFERROR(INDEX(对接源_01水果!$B$5:$B$507,MATCH(ROW()-3,对接源_01水果!$Q$5:$Q$507,0)),""),IFERROR(INDEX(对接源_02物料!$B$5:$B$460,MATCH(ROW()-3-N(对接源_01水果!$T$1),对接源_02物料!$Q$5:$Q$460,0)),"")))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72" s="67" t="str">
        <f aca="false">IF($B72="","",IF($B72="01水果",IFERROR(INDEX(对接源_01水果!$C$5:$C$507,MATCH(ROW()-3,对接源_01水果!$Q$5:$Q$507,0)),""),IFERROR(INDEX(对接源_02物料!$C$5:$C$460,MATCH(ROW()-3-N(对接源_01水果!$T$1),对接源_02物料!$Q$5:$Q$460,0)),"")))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72" s="69" t="str">
        <f aca="false">IF($B72="","",IF($B72="01水果",IFERROR(INDEX(对接源_01水果!$D$5:$D$507,MATCH(ROW()-3,对接源_01水果!$Q$5:$Q$507,0)),""),IFERROR(INDEX(对接源_02物料!$D$5:$D$460,MATCH(ROW()-3-N(对接源_01水果!$T$1),对接源_02物料!$Q$5:$Q$460,0)),"")))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72" s="67" t="str">
        <f aca="false">IF($B72="","",IF($B72="01水果",IFERROR(INDEX(对接源_01水果!$E$5:$E$507,MATCH(ROW()-3,对接源_01水果!$Q$5:$Q$507,0)),""),IFERROR(INDEX(对接源_02物料!$E$5:$E$460,MATCH(ROW()-3-N(对接源_01水果!$T$1),对接源_02物料!$Q$5:$Q$460,0)),"")))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72" s="70" t="str">
        <f aca="false">IF($B72="","",IF($B72="01水果",IFERROR(INDEX(对接源_01水果!$F$5:$F$507,MATCH(ROW()-3,对接源_01水果!$Q$5:$Q$507,0)),""),IFERROR(INDEX(对接源_02物料!$F$5:$F$460,MATCH(ROW()-3-N(对接源_01水果!$T$1),对接源_02物料!$Q$5:$Q$460,0)),"")))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72" s="70" t="str">
        <f aca="false">IF($B72="","",IF($B72="01水果",IFERROR(INDEX(对接源_01水果!$G$5:$G$507,MATCH(ROW()-3,对接源_01水果!$Q$5:$Q$507,0)),""),IFERROR(INDEX(对接源_02物料!$G$5:$G$460,MATCH(ROW()-3-N(对接源_01水果!$T$1),对接源_02物料!$Q$5:$Q$460,0)),"")))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72" s="67" t="str">
        <f aca="false">IF(OR($D72="客户应收",$D72="成品销售款",$D72="公司购买果品款",$D72="筐子销售款",$D72="物料销售款"),"客户往来",IFERROR(INDEX(收入成本映射!$C$4:$C$34,MATCH($D72,收入成本映射!$B$4:$B$34,0)),"不记账"))</f>
        <v>不记账</v>
      </c>
      <c r="J72" s="67" t="str">
        <f aca="false">IF($B72="","","0%")</f>
        <v/>
      </c>
      <c r="K72" s="70" t="n">
        <f aca="false">IF($I72="不记账",0,ROUND(N($G72),2))</f>
        <v>0</v>
      </c>
      <c r="L72" s="70" t="n">
        <v>0</v>
      </c>
      <c r="M72" s="67" t="str">
        <f aca="false">IF(OR($I72="不记账",ROUND(N($G72),2)=0),"",IFERROR(INDEX(收入成本映射!$E$4:$E$34,MATCH($D72,收入成本映射!$B$4:$B$34,0)),""))</f>
        <v/>
      </c>
      <c r="N72" s="70" t="str">
        <f aca="false">IF($M72="","",ROUND(N($G72),2))</f>
        <v/>
      </c>
      <c r="O72" s="70" t="str">
        <f aca="false">IF($M72="","",0)</f>
        <v/>
      </c>
      <c r="P72" s="67" t="str">
        <f aca="false">IF($M72="","",IFERROR(INDEX(收入成本映射!$F$4:$F$34,MATCH($D72,收入成本映射!$B$4:$B$34,0)),""))</f>
        <v/>
      </c>
      <c r="Q72" s="70" t="str">
        <f aca="false">IF($P72="","",0)</f>
        <v/>
      </c>
      <c r="R72" s="70" t="str">
        <f aca="false">IF($P72="","",ROUND(N($G72),2))</f>
        <v/>
      </c>
      <c r="S72" s="67" t="str">
        <f aca="false">""</f>
        <v/>
      </c>
      <c r="T72" s="70" t="str">
        <f aca="false">IF($S72="","",0)</f>
        <v/>
      </c>
      <c r="U72" s="70" t="str">
        <f aca="false">IF($S72="","",0)</f>
        <v/>
      </c>
      <c r="V72" s="66" t="str">
        <f aca="false">IF($B72="","",IF($B72="01水果",IFERROR(INDEX(对接源_01水果!$H$5:$H$507,MATCH(ROW()-3,对接源_01水果!$Q$5:$Q$507,0)),""),IFERROR(INDEX(对接源_02物料!$H$5:$H$460,MATCH(ROW()-3-N(对接源_01水果!$T$1),对接源_02物料!$Q$5:$Q$460,0)),"")))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3" customFormat="false" ht="18" hidden="false" customHeight="true" outlineLevel="0" collapsed="false">
      <c r="A73" s="66" t="n">
        <v>70</v>
      </c>
      <c r="B73" s="67" t="str">
        <f aca="false">IF(ROW()-3&lt;=N(对接源_01水果!$T$1),"01水果",IF(ROW()-3&lt;=N(对接源_01水果!$T$1)+N(对接源_02物料!$T$1),"02物料",""))</f>
        <v/>
      </c>
      <c r="C73" s="68" t="str">
        <f aca="false">IF($B73="","",IF($B73="01水果",IFERROR(INDEX(对接源_01水果!$B$5:$B$507,MATCH(ROW()-3,对接源_01水果!$Q$5:$Q$507,0)),""),IFERROR(INDEX(对接源_02物料!$B$5:$B$460,MATCH(ROW()-3-N(对接源_01水果!$T$1),对接源_02物料!$Q$5:$Q$460,0)),"")))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73" s="67" t="str">
        <f aca="false">IF($B73="","",IF($B73="01水果",IFERROR(INDEX(对接源_01水果!$C$5:$C$507,MATCH(ROW()-3,对接源_01水果!$Q$5:$Q$507,0)),""),IFERROR(INDEX(对接源_02物料!$C$5:$C$460,MATCH(ROW()-3-N(对接源_01水果!$T$1),对接源_02物料!$Q$5:$Q$460,0)),"")))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73" s="69" t="str">
        <f aca="false">IF($B73="","",IF($B73="01水果",IFERROR(INDEX(对接源_01水果!$D$5:$D$507,MATCH(ROW()-3,对接源_01水果!$Q$5:$Q$507,0)),""),IFERROR(INDEX(对接源_02物料!$D$5:$D$460,MATCH(ROW()-3-N(对接源_01水果!$T$1),对接源_02物料!$Q$5:$Q$460,0)),"")))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73" s="67" t="str">
        <f aca="false">IF($B73="","",IF($B73="01水果",IFERROR(INDEX(对接源_01水果!$E$5:$E$507,MATCH(ROW()-3,对接源_01水果!$Q$5:$Q$507,0)),""),IFERROR(INDEX(对接源_02物料!$E$5:$E$460,MATCH(ROW()-3-N(对接源_01水果!$T$1),对接源_02物料!$Q$5:$Q$460,0)),"")))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73" s="70" t="str">
        <f aca="false">IF($B73="","",IF($B73="01水果",IFERROR(INDEX(对接源_01水果!$F$5:$F$507,MATCH(ROW()-3,对接源_01水果!$Q$5:$Q$507,0)),""),IFERROR(INDEX(对接源_02物料!$F$5:$F$460,MATCH(ROW()-3-N(对接源_01水果!$T$1),对接源_02物料!$Q$5:$Q$460,0)),"")))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73" s="70" t="str">
        <f aca="false">IF($B73="","",IF($B73="01水果",IFERROR(INDEX(对接源_01水果!$G$5:$G$507,MATCH(ROW()-3,对接源_01水果!$Q$5:$Q$507,0)),""),IFERROR(INDEX(对接源_02物料!$G$5:$G$460,MATCH(ROW()-3-N(对接源_01水果!$T$1),对接源_02物料!$Q$5:$Q$460,0)),"")))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73" s="67" t="str">
        <f aca="false">IF(OR($D73="客户应收",$D73="成品销售款",$D73="公司购买果品款",$D73="筐子销售款",$D73="物料销售款"),"客户往来",IFERROR(INDEX(收入成本映射!$C$4:$C$34,MATCH($D73,收入成本映射!$B$4:$B$34,0)),"不记账"))</f>
        <v>不记账</v>
      </c>
      <c r="J73" s="67" t="str">
        <f aca="false">IF($B73="","","0%")</f>
        <v/>
      </c>
      <c r="K73" s="70" t="n">
        <f aca="false">IF($I73="不记账",0,ROUND(N($G73),2))</f>
        <v>0</v>
      </c>
      <c r="L73" s="70" t="n">
        <v>0</v>
      </c>
      <c r="M73" s="67" t="str">
        <f aca="false">IF(OR($I73="不记账",ROUND(N($G73),2)=0),"",IFERROR(INDEX(收入成本映射!$E$4:$E$34,MATCH($D73,收入成本映射!$B$4:$B$34,0)),""))</f>
        <v/>
      </c>
      <c r="N73" s="70" t="str">
        <f aca="false">IF($M73="","",ROUND(N($G73),2))</f>
        <v/>
      </c>
      <c r="O73" s="70" t="str">
        <f aca="false">IF($M73="","",0)</f>
        <v/>
      </c>
      <c r="P73" s="67" t="str">
        <f aca="false">IF($M73="","",IFERROR(INDEX(收入成本映射!$F$4:$F$34,MATCH($D73,收入成本映射!$B$4:$B$34,0)),""))</f>
        <v/>
      </c>
      <c r="Q73" s="70" t="str">
        <f aca="false">IF($P73="","",0)</f>
        <v/>
      </c>
      <c r="R73" s="70" t="str">
        <f aca="false">IF($P73="","",ROUND(N($G73),2))</f>
        <v/>
      </c>
      <c r="S73" s="67" t="str">
        <f aca="false">""</f>
        <v/>
      </c>
      <c r="T73" s="70" t="str">
        <f aca="false">IF($S73="","",0)</f>
        <v/>
      </c>
      <c r="U73" s="70" t="str">
        <f aca="false">IF($S73="","",0)</f>
        <v/>
      </c>
      <c r="V73" s="66" t="str">
        <f aca="false">IF($B73="","",IF($B73="01水果",IFERROR(INDEX(对接源_01水果!$H$5:$H$507,MATCH(ROW()-3,对接源_01水果!$Q$5:$Q$507,0)),""),IFERROR(INDEX(对接源_02物料!$H$5:$H$460,MATCH(ROW()-3-N(对接源_01水果!$T$1),对接源_02物料!$Q$5:$Q$460,0)),"")))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4" customFormat="false" ht="18" hidden="false" customHeight="true" outlineLevel="0" collapsed="false">
      <c r="A74" s="66" t="n">
        <v>71</v>
      </c>
      <c r="B74" s="67" t="str">
        <f aca="false">IF(ROW()-3&lt;=N(对接源_01水果!$T$1),"01水果",IF(ROW()-3&lt;=N(对接源_01水果!$T$1)+N(对接源_02物料!$T$1),"02物料",""))</f>
        <v/>
      </c>
      <c r="C74" s="68" t="str">
        <f aca="false">IF($B74="","",IF($B74="01水果",IFERROR(INDEX(对接源_01水果!$B$5:$B$507,MATCH(ROW()-3,对接源_01水果!$Q$5:$Q$507,0)),""),IFERROR(INDEX(对接源_02物料!$B$5:$B$460,MATCH(ROW()-3-N(对接源_01水果!$T$1),对接源_02物料!$Q$5:$Q$460,0)),"")))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74" s="67" t="str">
        <f aca="false">IF($B74="","",IF($B74="01水果",IFERROR(INDEX(对接源_01水果!$C$5:$C$507,MATCH(ROW()-3,对接源_01水果!$Q$5:$Q$507,0)),""),IFERROR(INDEX(对接源_02物料!$C$5:$C$460,MATCH(ROW()-3-N(对接源_01水果!$T$1),对接源_02物料!$Q$5:$Q$460,0)),"")))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74" s="69" t="str">
        <f aca="false">IF($B74="","",IF($B74="01水果",IFERROR(INDEX(对接源_01水果!$D$5:$D$507,MATCH(ROW()-3,对接源_01水果!$Q$5:$Q$507,0)),""),IFERROR(INDEX(对接源_02物料!$D$5:$D$460,MATCH(ROW()-3-N(对接源_01水果!$T$1),对接源_02物料!$Q$5:$Q$460,0)),"")))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74" s="67" t="str">
        <f aca="false">IF($B74="","",IF($B74="01水果",IFERROR(INDEX(对接源_01水果!$E$5:$E$507,MATCH(ROW()-3,对接源_01水果!$Q$5:$Q$507,0)),""),IFERROR(INDEX(对接源_02物料!$E$5:$E$460,MATCH(ROW()-3-N(对接源_01水果!$T$1),对接源_02物料!$Q$5:$Q$460,0)),"")))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74" s="70" t="str">
        <f aca="false">IF($B74="","",IF($B74="01水果",IFERROR(INDEX(对接源_01水果!$F$5:$F$507,MATCH(ROW()-3,对接源_01水果!$Q$5:$Q$507,0)),""),IFERROR(INDEX(对接源_02物料!$F$5:$F$460,MATCH(ROW()-3-N(对接源_01水果!$T$1),对接源_02物料!$Q$5:$Q$460,0)),"")))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74" s="70" t="str">
        <f aca="false">IF($B74="","",IF($B74="01水果",IFERROR(INDEX(对接源_01水果!$G$5:$G$507,MATCH(ROW()-3,对接源_01水果!$Q$5:$Q$507,0)),""),IFERROR(INDEX(对接源_02物料!$G$5:$G$460,MATCH(ROW()-3-N(对接源_01水果!$T$1),对接源_02物料!$Q$5:$Q$460,0)),"")))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74" s="67" t="str">
        <f aca="false">IF(OR($D74="客户应收",$D74="成品销售款",$D74="公司购买果品款",$D74="筐子销售款",$D74="物料销售款"),"客户往来",IFERROR(INDEX(收入成本映射!$C$4:$C$34,MATCH($D74,收入成本映射!$B$4:$B$34,0)),"不记账"))</f>
        <v>不记账</v>
      </c>
      <c r="J74" s="67" t="str">
        <f aca="false">IF($B74="","","0%")</f>
        <v/>
      </c>
      <c r="K74" s="70" t="n">
        <f aca="false">IF($I74="不记账",0,ROUND(N($G74),2))</f>
        <v>0</v>
      </c>
      <c r="L74" s="70" t="n">
        <v>0</v>
      </c>
      <c r="M74" s="67" t="str">
        <f aca="false">IF(OR($I74="不记账",ROUND(N($G74),2)=0),"",IFERROR(INDEX(收入成本映射!$E$4:$E$34,MATCH($D74,收入成本映射!$B$4:$B$34,0)),""))</f>
        <v/>
      </c>
      <c r="N74" s="70" t="str">
        <f aca="false">IF($M74="","",ROUND(N($G74),2))</f>
        <v/>
      </c>
      <c r="O74" s="70" t="str">
        <f aca="false">IF($M74="","",0)</f>
        <v/>
      </c>
      <c r="P74" s="67" t="str">
        <f aca="false">IF($M74="","",IFERROR(INDEX(收入成本映射!$F$4:$F$34,MATCH($D74,收入成本映射!$B$4:$B$34,0)),""))</f>
        <v/>
      </c>
      <c r="Q74" s="70" t="str">
        <f aca="false">IF($P74="","",0)</f>
        <v/>
      </c>
      <c r="R74" s="70" t="str">
        <f aca="false">IF($P74="","",ROUND(N($G74),2))</f>
        <v/>
      </c>
      <c r="S74" s="67" t="str">
        <f aca="false">""</f>
        <v/>
      </c>
      <c r="T74" s="70" t="str">
        <f aca="false">IF($S74="","",0)</f>
        <v/>
      </c>
      <c r="U74" s="70" t="str">
        <f aca="false">IF($S74="","",0)</f>
        <v/>
      </c>
      <c r="V74" s="66" t="str">
        <f aca="false">IF($B74="","",IF($B74="01水果",IFERROR(INDEX(对接源_01水果!$H$5:$H$507,MATCH(ROW()-3,对接源_01水果!$Q$5:$Q$507,0)),""),IFERROR(INDEX(对接源_02物料!$H$5:$H$460,MATCH(ROW()-3-N(对接源_01水果!$T$1),对接源_02物料!$Q$5:$Q$460,0)),"")))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5" customFormat="false" ht="18" hidden="false" customHeight="true" outlineLevel="0" collapsed="false">
      <c r="A75" s="66" t="n">
        <v>72</v>
      </c>
      <c r="B75" s="67" t="str">
        <f aca="false">IF(ROW()-3&lt;=N(对接源_01水果!$T$1),"01水果",IF(ROW()-3&lt;=N(对接源_01水果!$T$1)+N(对接源_02物料!$T$1),"02物料",""))</f>
        <v/>
      </c>
      <c r="C75" s="68" t="str">
        <f aca="false">IF($B75="","",IF($B75="01水果",IFERROR(INDEX(对接源_01水果!$B$5:$B$507,MATCH(ROW()-3,对接源_01水果!$Q$5:$Q$507,0)),""),IFERROR(INDEX(对接源_02物料!$B$5:$B$460,MATCH(ROW()-3-N(对接源_01水果!$T$1),对接源_02物料!$Q$5:$Q$460,0)),"")))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75" s="67" t="str">
        <f aca="false">IF($B75="","",IF($B75="01水果",IFERROR(INDEX(对接源_01水果!$C$5:$C$507,MATCH(ROW()-3,对接源_01水果!$Q$5:$Q$507,0)),""),IFERROR(INDEX(对接源_02物料!$C$5:$C$460,MATCH(ROW()-3-N(对接源_01水果!$T$1),对接源_02物料!$Q$5:$Q$460,0)),"")))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75" s="69" t="str">
        <f aca="false">IF($B75="","",IF($B75="01水果",IFERROR(INDEX(对接源_01水果!$D$5:$D$507,MATCH(ROW()-3,对接源_01水果!$Q$5:$Q$507,0)),""),IFERROR(INDEX(对接源_02物料!$D$5:$D$460,MATCH(ROW()-3-N(对接源_01水果!$T$1),对接源_02物料!$Q$5:$Q$460,0)),"")))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75" s="67" t="str">
        <f aca="false">IF($B75="","",IF($B75="01水果",IFERROR(INDEX(对接源_01水果!$E$5:$E$507,MATCH(ROW()-3,对接源_01水果!$Q$5:$Q$507,0)),""),IFERROR(INDEX(对接源_02物料!$E$5:$E$460,MATCH(ROW()-3-N(对接源_01水果!$T$1),对接源_02物料!$Q$5:$Q$460,0)),"")))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75" s="70" t="str">
        <f aca="false">IF($B75="","",IF($B75="01水果",IFERROR(INDEX(对接源_01水果!$F$5:$F$507,MATCH(ROW()-3,对接源_01水果!$Q$5:$Q$507,0)),""),IFERROR(INDEX(对接源_02物料!$F$5:$F$460,MATCH(ROW()-3-N(对接源_01水果!$T$1),对接源_02物料!$Q$5:$Q$460,0)),"")))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75" s="70" t="str">
        <f aca="false">IF($B75="","",IF($B75="01水果",IFERROR(INDEX(对接源_01水果!$G$5:$G$507,MATCH(ROW()-3,对接源_01水果!$Q$5:$Q$507,0)),""),IFERROR(INDEX(对接源_02物料!$G$5:$G$460,MATCH(ROW()-3-N(对接源_01水果!$T$1),对接源_02物料!$Q$5:$Q$460,0)),"")))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75" s="67" t="str">
        <f aca="false">IF(OR($D75="客户应收",$D75="成品销售款",$D75="公司购买果品款",$D75="筐子销售款",$D75="物料销售款"),"客户往来",IFERROR(INDEX(收入成本映射!$C$4:$C$34,MATCH($D75,收入成本映射!$B$4:$B$34,0)),"不记账"))</f>
        <v>不记账</v>
      </c>
      <c r="J75" s="67" t="str">
        <f aca="false">IF($B75="","","0%")</f>
        <v/>
      </c>
      <c r="K75" s="70" t="n">
        <f aca="false">IF($I75="不记账",0,ROUND(N($G75),2))</f>
        <v>0</v>
      </c>
      <c r="L75" s="70" t="n">
        <v>0</v>
      </c>
      <c r="M75" s="67" t="str">
        <f aca="false">IF(OR($I75="不记账",ROUND(N($G75),2)=0),"",IFERROR(INDEX(收入成本映射!$E$4:$E$34,MATCH($D75,收入成本映射!$B$4:$B$34,0)),""))</f>
        <v/>
      </c>
      <c r="N75" s="70" t="str">
        <f aca="false">IF($M75="","",ROUND(N($G75),2))</f>
        <v/>
      </c>
      <c r="O75" s="70" t="str">
        <f aca="false">IF($M75="","",0)</f>
        <v/>
      </c>
      <c r="P75" s="67" t="str">
        <f aca="false">IF($M75="","",IFERROR(INDEX(收入成本映射!$F$4:$F$34,MATCH($D75,收入成本映射!$B$4:$B$34,0)),""))</f>
        <v/>
      </c>
      <c r="Q75" s="70" t="str">
        <f aca="false">IF($P75="","",0)</f>
        <v/>
      </c>
      <c r="R75" s="70" t="str">
        <f aca="false">IF($P75="","",ROUND(N($G75),2))</f>
        <v/>
      </c>
      <c r="S75" s="67" t="str">
        <f aca="false">""</f>
        <v/>
      </c>
      <c r="T75" s="70" t="str">
        <f aca="false">IF($S75="","",0)</f>
        <v/>
      </c>
      <c r="U75" s="70" t="str">
        <f aca="false">IF($S75="","",0)</f>
        <v/>
      </c>
      <c r="V75" s="66" t="str">
        <f aca="false">IF($B75="","",IF($B75="01水果",IFERROR(INDEX(对接源_01水果!$H$5:$H$507,MATCH(ROW()-3,对接源_01水果!$Q$5:$Q$507,0)),""),IFERROR(INDEX(对接源_02物料!$H$5:$H$460,MATCH(ROW()-3-N(对接源_01水果!$T$1),对接源_02物料!$Q$5:$Q$460,0)),"")))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6" customFormat="false" ht="18" hidden="false" customHeight="true" outlineLevel="0" collapsed="false">
      <c r="A76" s="66" t="n">
        <v>73</v>
      </c>
      <c r="B76" s="67" t="str">
        <f aca="false">IF(ROW()-3&lt;=N(对接源_01水果!$T$1),"01水果",IF(ROW()-3&lt;=N(对接源_01水果!$T$1)+N(对接源_02物料!$T$1),"02物料",""))</f>
        <v/>
      </c>
      <c r="C76" s="68" t="str">
        <f aca="false">IF($B76="","",IF($B76="01水果",IFERROR(INDEX(对接源_01水果!$B$5:$B$507,MATCH(ROW()-3,对接源_01水果!$Q$5:$Q$507,0)),""),IFERROR(INDEX(对接源_02物料!$B$5:$B$460,MATCH(ROW()-3-N(对接源_01水果!$T$1),对接源_02物料!$Q$5:$Q$460,0)),"")))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76" s="67" t="str">
        <f aca="false">IF($B76="","",IF($B76="01水果",IFERROR(INDEX(对接源_01水果!$C$5:$C$507,MATCH(ROW()-3,对接源_01水果!$Q$5:$Q$507,0)),""),IFERROR(INDEX(对接源_02物料!$C$5:$C$460,MATCH(ROW()-3-N(对接源_01水果!$T$1),对接源_02物料!$Q$5:$Q$460,0)),"")))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76" s="69" t="str">
        <f aca="false">IF($B76="","",IF($B76="01水果",IFERROR(INDEX(对接源_01水果!$D$5:$D$507,MATCH(ROW()-3,对接源_01水果!$Q$5:$Q$507,0)),""),IFERROR(INDEX(对接源_02物料!$D$5:$D$460,MATCH(ROW()-3-N(对接源_01水果!$T$1),对接源_02物料!$Q$5:$Q$460,0)),"")))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76" s="67" t="str">
        <f aca="false">IF($B76="","",IF($B76="01水果",IFERROR(INDEX(对接源_01水果!$E$5:$E$507,MATCH(ROW()-3,对接源_01水果!$Q$5:$Q$507,0)),""),IFERROR(INDEX(对接源_02物料!$E$5:$E$460,MATCH(ROW()-3-N(对接源_01水果!$T$1),对接源_02物料!$Q$5:$Q$460,0)),"")))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76" s="70" t="str">
        <f aca="false">IF($B76="","",IF($B76="01水果",IFERROR(INDEX(对接源_01水果!$F$5:$F$507,MATCH(ROW()-3,对接源_01水果!$Q$5:$Q$507,0)),""),IFERROR(INDEX(对接源_02物料!$F$5:$F$460,MATCH(ROW()-3-N(对接源_01水果!$T$1),对接源_02物料!$Q$5:$Q$460,0)),"")))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76" s="70" t="str">
        <f aca="false">IF($B76="","",IF($B76="01水果",IFERROR(INDEX(对接源_01水果!$G$5:$G$507,MATCH(ROW()-3,对接源_01水果!$Q$5:$Q$507,0)),""),IFERROR(INDEX(对接源_02物料!$G$5:$G$460,MATCH(ROW()-3-N(对接源_01水果!$T$1),对接源_02物料!$Q$5:$Q$460,0)),"")))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76" s="67" t="str">
        <f aca="false">IF(OR($D76="客户应收",$D76="成品销售款",$D76="公司购买果品款",$D76="筐子销售款",$D76="物料销售款"),"客户往来",IFERROR(INDEX(收入成本映射!$C$4:$C$34,MATCH($D76,收入成本映射!$B$4:$B$34,0)),"不记账"))</f>
        <v>不记账</v>
      </c>
      <c r="J76" s="67" t="str">
        <f aca="false">IF($B76="","","0%")</f>
        <v/>
      </c>
      <c r="K76" s="70" t="n">
        <f aca="false">IF($I76="不记账",0,ROUND(N($G76),2))</f>
        <v>0</v>
      </c>
      <c r="L76" s="70" t="n">
        <v>0</v>
      </c>
      <c r="M76" s="67" t="str">
        <f aca="false">IF(OR($I76="不记账",ROUND(N($G76),2)=0),"",IFERROR(INDEX(收入成本映射!$E$4:$E$34,MATCH($D76,收入成本映射!$B$4:$B$34,0)),""))</f>
        <v/>
      </c>
      <c r="N76" s="70" t="str">
        <f aca="false">IF($M76="","",ROUND(N($G76),2))</f>
        <v/>
      </c>
      <c r="O76" s="70" t="str">
        <f aca="false">IF($M76="","",0)</f>
        <v/>
      </c>
      <c r="P76" s="67" t="str">
        <f aca="false">IF($M76="","",IFERROR(INDEX(收入成本映射!$F$4:$F$34,MATCH($D76,收入成本映射!$B$4:$B$34,0)),""))</f>
        <v/>
      </c>
      <c r="Q76" s="70" t="str">
        <f aca="false">IF($P76="","",0)</f>
        <v/>
      </c>
      <c r="R76" s="70" t="str">
        <f aca="false">IF($P76="","",ROUND(N($G76),2))</f>
        <v/>
      </c>
      <c r="S76" s="67" t="str">
        <f aca="false">""</f>
        <v/>
      </c>
      <c r="T76" s="70" t="str">
        <f aca="false">IF($S76="","",0)</f>
        <v/>
      </c>
      <c r="U76" s="70" t="str">
        <f aca="false">IF($S76="","",0)</f>
        <v/>
      </c>
      <c r="V76" s="66" t="str">
        <f aca="false">IF($B76="","",IF($B76="01水果",IFERROR(INDEX(对接源_01水果!$H$5:$H$507,MATCH(ROW()-3,对接源_01水果!$Q$5:$Q$507,0)),""),IFERROR(INDEX(对接源_02物料!$H$5:$H$460,MATCH(ROW()-3-N(对接源_01水果!$T$1),对接源_02物料!$Q$5:$Q$460,0)),"")))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7" customFormat="false" ht="18" hidden="false" customHeight="true" outlineLevel="0" collapsed="false">
      <c r="A77" s="66" t="n">
        <v>74</v>
      </c>
      <c r="B77" s="67" t="str">
        <f aca="false">IF(ROW()-3&lt;=N(对接源_01水果!$T$1),"01水果",IF(ROW()-3&lt;=N(对接源_01水果!$T$1)+N(对接源_02物料!$T$1),"02物料",""))</f>
        <v/>
      </c>
      <c r="C77" s="68" t="str">
        <f aca="false">IF($B77="","",IF($B77="01水果",IFERROR(INDEX(对接源_01水果!$B$5:$B$507,MATCH(ROW()-3,对接源_01水果!$Q$5:$Q$507,0)),""),IFERROR(INDEX(对接源_02物料!$B$5:$B$460,MATCH(ROW()-3-N(对接源_01水果!$T$1),对接源_02物料!$Q$5:$Q$460,0)),"")))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77" s="67" t="str">
        <f aca="false">IF($B77="","",IF($B77="01水果",IFERROR(INDEX(对接源_01水果!$C$5:$C$507,MATCH(ROW()-3,对接源_01水果!$Q$5:$Q$507,0)),""),IFERROR(INDEX(对接源_02物料!$C$5:$C$460,MATCH(ROW()-3-N(对接源_01水果!$T$1),对接源_02物料!$Q$5:$Q$460,0)),"")))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77" s="69" t="str">
        <f aca="false">IF($B77="","",IF($B77="01水果",IFERROR(INDEX(对接源_01水果!$D$5:$D$507,MATCH(ROW()-3,对接源_01水果!$Q$5:$Q$507,0)),""),IFERROR(INDEX(对接源_02物料!$D$5:$D$460,MATCH(ROW()-3-N(对接源_01水果!$T$1),对接源_02物料!$Q$5:$Q$460,0)),"")))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77" s="67" t="str">
        <f aca="false">IF($B77="","",IF($B77="01水果",IFERROR(INDEX(对接源_01水果!$E$5:$E$507,MATCH(ROW()-3,对接源_01水果!$Q$5:$Q$507,0)),""),IFERROR(INDEX(对接源_02物料!$E$5:$E$460,MATCH(ROW()-3-N(对接源_01水果!$T$1),对接源_02物料!$Q$5:$Q$460,0)),"")))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77" s="70" t="str">
        <f aca="false">IF($B77="","",IF($B77="01水果",IFERROR(INDEX(对接源_01水果!$F$5:$F$507,MATCH(ROW()-3,对接源_01水果!$Q$5:$Q$507,0)),""),IFERROR(INDEX(对接源_02物料!$F$5:$F$460,MATCH(ROW()-3-N(对接源_01水果!$T$1),对接源_02物料!$Q$5:$Q$460,0)),"")))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77" s="70" t="str">
        <f aca="false">IF($B77="","",IF($B77="01水果",IFERROR(INDEX(对接源_01水果!$G$5:$G$507,MATCH(ROW()-3,对接源_01水果!$Q$5:$Q$507,0)),""),IFERROR(INDEX(对接源_02物料!$G$5:$G$460,MATCH(ROW()-3-N(对接源_01水果!$T$1),对接源_02物料!$Q$5:$Q$460,0)),"")))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77" s="67" t="str">
        <f aca="false">IF(OR($D77="客户应收",$D77="成品销售款",$D77="公司购买果品款",$D77="筐子销售款",$D77="物料销售款"),"客户往来",IFERROR(INDEX(收入成本映射!$C$4:$C$34,MATCH($D77,收入成本映射!$B$4:$B$34,0)),"不记账"))</f>
        <v>不记账</v>
      </c>
      <c r="J77" s="67" t="str">
        <f aca="false">IF($B77="","","0%")</f>
        <v/>
      </c>
      <c r="K77" s="70" t="n">
        <f aca="false">IF($I77="不记账",0,ROUND(N($G77),2))</f>
        <v>0</v>
      </c>
      <c r="L77" s="70" t="n">
        <v>0</v>
      </c>
      <c r="M77" s="67" t="str">
        <f aca="false">IF(OR($I77="不记账",ROUND(N($G77),2)=0),"",IFERROR(INDEX(收入成本映射!$E$4:$E$34,MATCH($D77,收入成本映射!$B$4:$B$34,0)),""))</f>
        <v/>
      </c>
      <c r="N77" s="70" t="str">
        <f aca="false">IF($M77="","",ROUND(N($G77),2))</f>
        <v/>
      </c>
      <c r="O77" s="70" t="str">
        <f aca="false">IF($M77="","",0)</f>
        <v/>
      </c>
      <c r="P77" s="67" t="str">
        <f aca="false">IF($M77="","",IFERROR(INDEX(收入成本映射!$F$4:$F$34,MATCH($D77,收入成本映射!$B$4:$B$34,0)),""))</f>
        <v/>
      </c>
      <c r="Q77" s="70" t="str">
        <f aca="false">IF($P77="","",0)</f>
        <v/>
      </c>
      <c r="R77" s="70" t="str">
        <f aca="false">IF($P77="","",ROUND(N($G77),2))</f>
        <v/>
      </c>
      <c r="S77" s="67" t="str">
        <f aca="false">""</f>
        <v/>
      </c>
      <c r="T77" s="70" t="str">
        <f aca="false">IF($S77="","",0)</f>
        <v/>
      </c>
      <c r="U77" s="70" t="str">
        <f aca="false">IF($S77="","",0)</f>
        <v/>
      </c>
      <c r="V77" s="66" t="str">
        <f aca="false">IF($B77="","",IF($B77="01水果",IFERROR(INDEX(对接源_01水果!$H$5:$H$507,MATCH(ROW()-3,对接源_01水果!$Q$5:$Q$507,0)),""),IFERROR(INDEX(对接源_02物料!$H$5:$H$460,MATCH(ROW()-3-N(对接源_01水果!$T$1),对接源_02物料!$Q$5:$Q$460,0)),"")))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8" customFormat="false" ht="18" hidden="false" customHeight="true" outlineLevel="0" collapsed="false">
      <c r="A78" s="66" t="n">
        <v>75</v>
      </c>
      <c r="B78" s="67" t="str">
        <f aca="false">IF(ROW()-3&lt;=N(对接源_01水果!$T$1),"01水果",IF(ROW()-3&lt;=N(对接源_01水果!$T$1)+N(对接源_02物料!$T$1),"02物料",""))</f>
        <v/>
      </c>
      <c r="C78" s="68" t="str">
        <f aca="false">IF($B78="","",IF($B78="01水果",IFERROR(INDEX(对接源_01水果!$B$5:$B$507,MATCH(ROW()-3,对接源_01水果!$Q$5:$Q$507,0)),""),IFERROR(INDEX(对接源_02物料!$B$5:$B$460,MATCH(ROW()-3-N(对接源_01水果!$T$1),对接源_02物料!$Q$5:$Q$460,0)),"")))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78" s="67" t="str">
        <f aca="false">IF($B78="","",IF($B78="01水果",IFERROR(INDEX(对接源_01水果!$C$5:$C$507,MATCH(ROW()-3,对接源_01水果!$Q$5:$Q$507,0)),""),IFERROR(INDEX(对接源_02物料!$C$5:$C$460,MATCH(ROW()-3-N(对接源_01水果!$T$1),对接源_02物料!$Q$5:$Q$460,0)),"")))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78" s="69" t="str">
        <f aca="false">IF($B78="","",IF($B78="01水果",IFERROR(INDEX(对接源_01水果!$D$5:$D$507,MATCH(ROW()-3,对接源_01水果!$Q$5:$Q$507,0)),""),IFERROR(INDEX(对接源_02物料!$D$5:$D$460,MATCH(ROW()-3-N(对接源_01水果!$T$1),对接源_02物料!$Q$5:$Q$460,0)),"")))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78" s="67" t="str">
        <f aca="false">IF($B78="","",IF($B78="01水果",IFERROR(INDEX(对接源_01水果!$E$5:$E$507,MATCH(ROW()-3,对接源_01水果!$Q$5:$Q$507,0)),""),IFERROR(INDEX(对接源_02物料!$E$5:$E$460,MATCH(ROW()-3-N(对接源_01水果!$T$1),对接源_02物料!$Q$5:$Q$460,0)),"")))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78" s="70" t="str">
        <f aca="false">IF($B78="","",IF($B78="01水果",IFERROR(INDEX(对接源_01水果!$F$5:$F$507,MATCH(ROW()-3,对接源_01水果!$Q$5:$Q$507,0)),""),IFERROR(INDEX(对接源_02物料!$F$5:$F$460,MATCH(ROW()-3-N(对接源_01水果!$T$1),对接源_02物料!$Q$5:$Q$460,0)),"")))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78" s="70" t="str">
        <f aca="false">IF($B78="","",IF($B78="01水果",IFERROR(INDEX(对接源_01水果!$G$5:$G$507,MATCH(ROW()-3,对接源_01水果!$Q$5:$Q$507,0)),""),IFERROR(INDEX(对接源_02物料!$G$5:$G$460,MATCH(ROW()-3-N(对接源_01水果!$T$1),对接源_02物料!$Q$5:$Q$460,0)),"")))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78" s="67" t="str">
        <f aca="false">IF(OR($D78="客户应收",$D78="成品销售款",$D78="公司购买果品款",$D78="筐子销售款",$D78="物料销售款"),"客户往来",IFERROR(INDEX(收入成本映射!$C$4:$C$34,MATCH($D78,收入成本映射!$B$4:$B$34,0)),"不记账"))</f>
        <v>不记账</v>
      </c>
      <c r="J78" s="67" t="str">
        <f aca="false">IF($B78="","","0%")</f>
        <v/>
      </c>
      <c r="K78" s="70" t="n">
        <f aca="false">IF($I78="不记账",0,ROUND(N($G78),2))</f>
        <v>0</v>
      </c>
      <c r="L78" s="70" t="n">
        <v>0</v>
      </c>
      <c r="M78" s="67" t="str">
        <f aca="false">IF(OR($I78="不记账",ROUND(N($G78),2)=0),"",IFERROR(INDEX(收入成本映射!$E$4:$E$34,MATCH($D78,收入成本映射!$B$4:$B$34,0)),""))</f>
        <v/>
      </c>
      <c r="N78" s="70" t="str">
        <f aca="false">IF($M78="","",ROUND(N($G78),2))</f>
        <v/>
      </c>
      <c r="O78" s="70" t="str">
        <f aca="false">IF($M78="","",0)</f>
        <v/>
      </c>
      <c r="P78" s="67" t="str">
        <f aca="false">IF($M78="","",IFERROR(INDEX(收入成本映射!$F$4:$F$34,MATCH($D78,收入成本映射!$B$4:$B$34,0)),""))</f>
        <v/>
      </c>
      <c r="Q78" s="70" t="str">
        <f aca="false">IF($P78="","",0)</f>
        <v/>
      </c>
      <c r="R78" s="70" t="str">
        <f aca="false">IF($P78="","",ROUND(N($G78),2))</f>
        <v/>
      </c>
      <c r="S78" s="67" t="str">
        <f aca="false">""</f>
        <v/>
      </c>
      <c r="T78" s="70" t="str">
        <f aca="false">IF($S78="","",0)</f>
        <v/>
      </c>
      <c r="U78" s="70" t="str">
        <f aca="false">IF($S78="","",0)</f>
        <v/>
      </c>
      <c r="V78" s="66" t="str">
        <f aca="false">IF($B78="","",IF($B78="01水果",IFERROR(INDEX(对接源_01水果!$H$5:$H$507,MATCH(ROW()-3,对接源_01水果!$Q$5:$Q$507,0)),""),IFERROR(INDEX(对接源_02物料!$H$5:$H$460,MATCH(ROW()-3-N(对接源_01水果!$T$1),对接源_02物料!$Q$5:$Q$460,0)),"")))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79" customFormat="false" ht="18" hidden="false" customHeight="true" outlineLevel="0" collapsed="false">
      <c r="A79" s="66" t="n">
        <v>76</v>
      </c>
      <c r="B79" s="67" t="str">
        <f aca="false">IF(ROW()-3&lt;=N(对接源_01水果!$T$1),"01水果",IF(ROW()-3&lt;=N(对接源_01水果!$T$1)+N(对接源_02物料!$T$1),"02物料",""))</f>
        <v/>
      </c>
      <c r="C79" s="68" t="str">
        <f aca="false">IF($B79="","",IF($B79="01水果",IFERROR(INDEX(对接源_01水果!$B$5:$B$507,MATCH(ROW()-3,对接源_01水果!$Q$5:$Q$507,0)),""),IFERROR(INDEX(对接源_02物料!$B$5:$B$460,MATCH(ROW()-3-N(对接源_01水果!$T$1),对接源_02物料!$Q$5:$Q$460,0)),"")))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79" s="67" t="str">
        <f aca="false">IF($B79="","",IF($B79="01水果",IFERROR(INDEX(对接源_01水果!$C$5:$C$507,MATCH(ROW()-3,对接源_01水果!$Q$5:$Q$507,0)),""),IFERROR(INDEX(对接源_02物料!$C$5:$C$460,MATCH(ROW()-3-N(对接源_01水果!$T$1),对接源_02物料!$Q$5:$Q$460,0)),"")))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79" s="69" t="str">
        <f aca="false">IF($B79="","",IF($B79="01水果",IFERROR(INDEX(对接源_01水果!$D$5:$D$507,MATCH(ROW()-3,对接源_01水果!$Q$5:$Q$507,0)),""),IFERROR(INDEX(对接源_02物料!$D$5:$D$460,MATCH(ROW()-3-N(对接源_01水果!$T$1),对接源_02物料!$Q$5:$Q$460,0)),"")))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79" s="67" t="str">
        <f aca="false">IF($B79="","",IF($B79="01水果",IFERROR(INDEX(对接源_01水果!$E$5:$E$507,MATCH(ROW()-3,对接源_01水果!$Q$5:$Q$507,0)),""),IFERROR(INDEX(对接源_02物料!$E$5:$E$460,MATCH(ROW()-3-N(对接源_01水果!$T$1),对接源_02物料!$Q$5:$Q$460,0)),"")))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79" s="70" t="str">
        <f aca="false">IF($B79="","",IF($B79="01水果",IFERROR(INDEX(对接源_01水果!$F$5:$F$507,MATCH(ROW()-3,对接源_01水果!$Q$5:$Q$507,0)),""),IFERROR(INDEX(对接源_02物料!$F$5:$F$460,MATCH(ROW()-3-N(对接源_01水果!$T$1),对接源_02物料!$Q$5:$Q$460,0)),"")))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79" s="70" t="str">
        <f aca="false">IF($B79="","",IF($B79="01水果",IFERROR(INDEX(对接源_01水果!$G$5:$G$507,MATCH(ROW()-3,对接源_01水果!$Q$5:$Q$507,0)),""),IFERROR(INDEX(对接源_02物料!$G$5:$G$460,MATCH(ROW()-3-N(对接源_01水果!$T$1),对接源_02物料!$Q$5:$Q$460,0)),"")))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79" s="67" t="str">
        <f aca="false">IF(OR($D79="客户应收",$D79="成品销售款",$D79="公司购买果品款",$D79="筐子销售款",$D79="物料销售款"),"客户往来",IFERROR(INDEX(收入成本映射!$C$4:$C$34,MATCH($D79,收入成本映射!$B$4:$B$34,0)),"不记账"))</f>
        <v>不记账</v>
      </c>
      <c r="J79" s="67" t="str">
        <f aca="false">IF($B79="","","0%")</f>
        <v/>
      </c>
      <c r="K79" s="70" t="n">
        <f aca="false">IF($I79="不记账",0,ROUND(N($G79),2))</f>
        <v>0</v>
      </c>
      <c r="L79" s="70" t="n">
        <v>0</v>
      </c>
      <c r="M79" s="67" t="str">
        <f aca="false">IF(OR($I79="不记账",ROUND(N($G79),2)=0),"",IFERROR(INDEX(收入成本映射!$E$4:$E$34,MATCH($D79,收入成本映射!$B$4:$B$34,0)),""))</f>
        <v/>
      </c>
      <c r="N79" s="70" t="str">
        <f aca="false">IF($M79="","",ROUND(N($G79),2))</f>
        <v/>
      </c>
      <c r="O79" s="70" t="str">
        <f aca="false">IF($M79="","",0)</f>
        <v/>
      </c>
      <c r="P79" s="67" t="str">
        <f aca="false">IF($M79="","",IFERROR(INDEX(收入成本映射!$F$4:$F$34,MATCH($D79,收入成本映射!$B$4:$B$34,0)),""))</f>
        <v/>
      </c>
      <c r="Q79" s="70" t="str">
        <f aca="false">IF($P79="","",0)</f>
        <v/>
      </c>
      <c r="R79" s="70" t="str">
        <f aca="false">IF($P79="","",ROUND(N($G79),2))</f>
        <v/>
      </c>
      <c r="S79" s="67" t="str">
        <f aca="false">""</f>
        <v/>
      </c>
      <c r="T79" s="70" t="str">
        <f aca="false">IF($S79="","",0)</f>
        <v/>
      </c>
      <c r="U79" s="70" t="str">
        <f aca="false">IF($S79="","",0)</f>
        <v/>
      </c>
      <c r="V79" s="66" t="str">
        <f aca="false">IF($B79="","",IF($B79="01水果",IFERROR(INDEX(对接源_01水果!$H$5:$H$507,MATCH(ROW()-3,对接源_01水果!$Q$5:$Q$507,0)),""),IFERROR(INDEX(对接源_02物料!$H$5:$H$460,MATCH(ROW()-3-N(对接源_01水果!$T$1),对接源_02物料!$Q$5:$Q$460,0)),"")))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0" customFormat="false" ht="18" hidden="false" customHeight="true" outlineLevel="0" collapsed="false">
      <c r="A80" s="66" t="n">
        <v>77</v>
      </c>
      <c r="B80" s="67" t="str">
        <f aca="false">IF(ROW()-3&lt;=N(对接源_01水果!$T$1),"01水果",IF(ROW()-3&lt;=N(对接源_01水果!$T$1)+N(对接源_02物料!$T$1),"02物料",""))</f>
        <v/>
      </c>
      <c r="C80" s="68" t="str">
        <f aca="false">IF($B80="","",IF($B80="01水果",IFERROR(INDEX(对接源_01水果!$B$5:$B$507,MATCH(ROW()-3,对接源_01水果!$Q$5:$Q$507,0)),""),IFERROR(INDEX(对接源_02物料!$B$5:$B$460,MATCH(ROW()-3-N(对接源_01水果!$T$1),对接源_02物料!$Q$5:$Q$460,0)),"")))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80" s="67" t="str">
        <f aca="false">IF($B80="","",IF($B80="01水果",IFERROR(INDEX(对接源_01水果!$C$5:$C$507,MATCH(ROW()-3,对接源_01水果!$Q$5:$Q$507,0)),""),IFERROR(INDEX(对接源_02物料!$C$5:$C$460,MATCH(ROW()-3-N(对接源_01水果!$T$1),对接源_02物料!$Q$5:$Q$460,0)),"")))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80" s="69" t="str">
        <f aca="false">IF($B80="","",IF($B80="01水果",IFERROR(INDEX(对接源_01水果!$D$5:$D$507,MATCH(ROW()-3,对接源_01水果!$Q$5:$Q$507,0)),""),IFERROR(INDEX(对接源_02物料!$D$5:$D$460,MATCH(ROW()-3-N(对接源_01水果!$T$1),对接源_02物料!$Q$5:$Q$460,0)),"")))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80" s="67" t="str">
        <f aca="false">IF($B80="","",IF($B80="01水果",IFERROR(INDEX(对接源_01水果!$E$5:$E$507,MATCH(ROW()-3,对接源_01水果!$Q$5:$Q$507,0)),""),IFERROR(INDEX(对接源_02物料!$E$5:$E$460,MATCH(ROW()-3-N(对接源_01水果!$T$1),对接源_02物料!$Q$5:$Q$460,0)),"")))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80" s="70" t="str">
        <f aca="false">IF($B80="","",IF($B80="01水果",IFERROR(INDEX(对接源_01水果!$F$5:$F$507,MATCH(ROW()-3,对接源_01水果!$Q$5:$Q$507,0)),""),IFERROR(INDEX(对接源_02物料!$F$5:$F$460,MATCH(ROW()-3-N(对接源_01水果!$T$1),对接源_02物料!$Q$5:$Q$460,0)),"")))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80" s="70" t="str">
        <f aca="false">IF($B80="","",IF($B80="01水果",IFERROR(INDEX(对接源_01水果!$G$5:$G$507,MATCH(ROW()-3,对接源_01水果!$Q$5:$Q$507,0)),""),IFERROR(INDEX(对接源_02物料!$G$5:$G$460,MATCH(ROW()-3-N(对接源_01水果!$T$1),对接源_02物料!$Q$5:$Q$460,0)),"")))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80" s="67" t="str">
        <f aca="false">IF(OR($D80="客户应收",$D80="成品销售款",$D80="公司购买果品款",$D80="筐子销售款",$D80="物料销售款"),"客户往来",IFERROR(INDEX(收入成本映射!$C$4:$C$34,MATCH($D80,收入成本映射!$B$4:$B$34,0)),"不记账"))</f>
        <v>不记账</v>
      </c>
      <c r="J80" s="67" t="str">
        <f aca="false">IF($B80="","","0%")</f>
        <v/>
      </c>
      <c r="K80" s="70" t="n">
        <f aca="false">IF($I80="不记账",0,ROUND(N($G80),2))</f>
        <v>0</v>
      </c>
      <c r="L80" s="70" t="n">
        <v>0</v>
      </c>
      <c r="M80" s="67" t="str">
        <f aca="false">IF(OR($I80="不记账",ROUND(N($G80),2)=0),"",IFERROR(INDEX(收入成本映射!$E$4:$E$34,MATCH($D80,收入成本映射!$B$4:$B$34,0)),""))</f>
        <v/>
      </c>
      <c r="N80" s="70" t="str">
        <f aca="false">IF($M80="","",ROUND(N($G80),2))</f>
        <v/>
      </c>
      <c r="O80" s="70" t="str">
        <f aca="false">IF($M80="","",0)</f>
        <v/>
      </c>
      <c r="P80" s="67" t="str">
        <f aca="false">IF($M80="","",IFERROR(INDEX(收入成本映射!$F$4:$F$34,MATCH($D80,收入成本映射!$B$4:$B$34,0)),""))</f>
        <v/>
      </c>
      <c r="Q80" s="70" t="str">
        <f aca="false">IF($P80="","",0)</f>
        <v/>
      </c>
      <c r="R80" s="70" t="str">
        <f aca="false">IF($P80="","",ROUND(N($G80),2))</f>
        <v/>
      </c>
      <c r="S80" s="67" t="str">
        <f aca="false">""</f>
        <v/>
      </c>
      <c r="T80" s="70" t="str">
        <f aca="false">IF($S80="","",0)</f>
        <v/>
      </c>
      <c r="U80" s="70" t="str">
        <f aca="false">IF($S80="","",0)</f>
        <v/>
      </c>
      <c r="V80" s="66" t="str">
        <f aca="false">IF($B80="","",IF($B80="01水果",IFERROR(INDEX(对接源_01水果!$H$5:$H$507,MATCH(ROW()-3,对接源_01水果!$Q$5:$Q$507,0)),""),IFERROR(INDEX(对接源_02物料!$H$5:$H$460,MATCH(ROW()-3-N(对接源_01水果!$T$1),对接源_02物料!$Q$5:$Q$460,0)),"")))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1" customFormat="false" ht="18" hidden="false" customHeight="true" outlineLevel="0" collapsed="false">
      <c r="A81" s="66" t="n">
        <v>78</v>
      </c>
      <c r="B81" s="67" t="str">
        <f aca="false">IF(ROW()-3&lt;=N(对接源_01水果!$T$1),"01水果",IF(ROW()-3&lt;=N(对接源_01水果!$T$1)+N(对接源_02物料!$T$1),"02物料",""))</f>
        <v/>
      </c>
      <c r="C81" s="68" t="str">
        <f aca="false">IF($B81="","",IF($B81="01水果",IFERROR(INDEX(对接源_01水果!$B$5:$B$507,MATCH(ROW()-3,对接源_01水果!$Q$5:$Q$507,0)),""),IFERROR(INDEX(对接源_02物料!$B$5:$B$460,MATCH(ROW()-3-N(对接源_01水果!$T$1),对接源_02物料!$Q$5:$Q$460,0)),"")))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81" s="67" t="str">
        <f aca="false">IF($B81="","",IF($B81="01水果",IFERROR(INDEX(对接源_01水果!$C$5:$C$507,MATCH(ROW()-3,对接源_01水果!$Q$5:$Q$507,0)),""),IFERROR(INDEX(对接源_02物料!$C$5:$C$460,MATCH(ROW()-3-N(对接源_01水果!$T$1),对接源_02物料!$Q$5:$Q$460,0)),"")))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81" s="69" t="str">
        <f aca="false">IF($B81="","",IF($B81="01水果",IFERROR(INDEX(对接源_01水果!$D$5:$D$507,MATCH(ROW()-3,对接源_01水果!$Q$5:$Q$507,0)),""),IFERROR(INDEX(对接源_02物料!$D$5:$D$460,MATCH(ROW()-3-N(对接源_01水果!$T$1),对接源_02物料!$Q$5:$Q$460,0)),"")))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81" s="67" t="str">
        <f aca="false">IF($B81="","",IF($B81="01水果",IFERROR(INDEX(对接源_01水果!$E$5:$E$507,MATCH(ROW()-3,对接源_01水果!$Q$5:$Q$507,0)),""),IFERROR(INDEX(对接源_02物料!$E$5:$E$460,MATCH(ROW()-3-N(对接源_01水果!$T$1),对接源_02物料!$Q$5:$Q$460,0)),"")))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81" s="70" t="str">
        <f aca="false">IF($B81="","",IF($B81="01水果",IFERROR(INDEX(对接源_01水果!$F$5:$F$507,MATCH(ROW()-3,对接源_01水果!$Q$5:$Q$507,0)),""),IFERROR(INDEX(对接源_02物料!$F$5:$F$460,MATCH(ROW()-3-N(对接源_01水果!$T$1),对接源_02物料!$Q$5:$Q$460,0)),"")))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81" s="70" t="str">
        <f aca="false">IF($B81="","",IF($B81="01水果",IFERROR(INDEX(对接源_01水果!$G$5:$G$507,MATCH(ROW()-3,对接源_01水果!$Q$5:$Q$507,0)),""),IFERROR(INDEX(对接源_02物料!$G$5:$G$460,MATCH(ROW()-3-N(对接源_01水果!$T$1),对接源_02物料!$Q$5:$Q$460,0)),"")))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81" s="67" t="str">
        <f aca="false">IF(OR($D81="客户应收",$D81="成品销售款",$D81="公司购买果品款",$D81="筐子销售款",$D81="物料销售款"),"客户往来",IFERROR(INDEX(收入成本映射!$C$4:$C$34,MATCH($D81,收入成本映射!$B$4:$B$34,0)),"不记账"))</f>
        <v>不记账</v>
      </c>
      <c r="J81" s="67" t="str">
        <f aca="false">IF($B81="","","0%")</f>
        <v/>
      </c>
      <c r="K81" s="70" t="n">
        <f aca="false">IF($I81="不记账",0,ROUND(N($G81),2))</f>
        <v>0</v>
      </c>
      <c r="L81" s="70" t="n">
        <v>0</v>
      </c>
      <c r="M81" s="67" t="str">
        <f aca="false">IF(OR($I81="不记账",ROUND(N($G81),2)=0),"",IFERROR(INDEX(收入成本映射!$E$4:$E$34,MATCH($D81,收入成本映射!$B$4:$B$34,0)),""))</f>
        <v/>
      </c>
      <c r="N81" s="70" t="str">
        <f aca="false">IF($M81="","",ROUND(N($G81),2))</f>
        <v/>
      </c>
      <c r="O81" s="70" t="str">
        <f aca="false">IF($M81="","",0)</f>
        <v/>
      </c>
      <c r="P81" s="67" t="str">
        <f aca="false">IF($M81="","",IFERROR(INDEX(收入成本映射!$F$4:$F$34,MATCH($D81,收入成本映射!$B$4:$B$34,0)),""))</f>
        <v/>
      </c>
      <c r="Q81" s="70" t="str">
        <f aca="false">IF($P81="","",0)</f>
        <v/>
      </c>
      <c r="R81" s="70" t="str">
        <f aca="false">IF($P81="","",ROUND(N($G81),2))</f>
        <v/>
      </c>
      <c r="S81" s="67" t="str">
        <f aca="false">""</f>
        <v/>
      </c>
      <c r="T81" s="70" t="str">
        <f aca="false">IF($S81="","",0)</f>
        <v/>
      </c>
      <c r="U81" s="70" t="str">
        <f aca="false">IF($S81="","",0)</f>
        <v/>
      </c>
      <c r="V81" s="66" t="str">
        <f aca="false">IF($B81="","",IF($B81="01水果",IFERROR(INDEX(对接源_01水果!$H$5:$H$507,MATCH(ROW()-3,对接源_01水果!$Q$5:$Q$507,0)),""),IFERROR(INDEX(对接源_02物料!$H$5:$H$460,MATCH(ROW()-3-N(对接源_01水果!$T$1),对接源_02物料!$Q$5:$Q$460,0)),"")))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2" customFormat="false" ht="18" hidden="false" customHeight="true" outlineLevel="0" collapsed="false">
      <c r="A82" s="66" t="n">
        <v>79</v>
      </c>
      <c r="B82" s="67" t="str">
        <f aca="false">IF(ROW()-3&lt;=N(对接源_01水果!$T$1),"01水果",IF(ROW()-3&lt;=N(对接源_01水果!$T$1)+N(对接源_02物料!$T$1),"02物料",""))</f>
        <v/>
      </c>
      <c r="C82" s="68" t="str">
        <f aca="false">IF($B82="","",IF($B82="01水果",IFERROR(INDEX(对接源_01水果!$B$5:$B$507,MATCH(ROW()-3,对接源_01水果!$Q$5:$Q$507,0)),""),IFERROR(INDEX(对接源_02物料!$B$5:$B$460,MATCH(ROW()-3-N(对接源_01水果!$T$1),对接源_02物料!$Q$5:$Q$460,0)),"")))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82" s="67" t="str">
        <f aca="false">IF($B82="","",IF($B82="01水果",IFERROR(INDEX(对接源_01水果!$C$5:$C$507,MATCH(ROW()-3,对接源_01水果!$Q$5:$Q$507,0)),""),IFERROR(INDEX(对接源_02物料!$C$5:$C$460,MATCH(ROW()-3-N(对接源_01水果!$T$1),对接源_02物料!$Q$5:$Q$460,0)),"")))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82" s="69" t="str">
        <f aca="false">IF($B82="","",IF($B82="01水果",IFERROR(INDEX(对接源_01水果!$D$5:$D$507,MATCH(ROW()-3,对接源_01水果!$Q$5:$Q$507,0)),""),IFERROR(INDEX(对接源_02物料!$D$5:$D$460,MATCH(ROW()-3-N(对接源_01水果!$T$1),对接源_02物料!$Q$5:$Q$460,0)),"")))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82" s="67" t="str">
        <f aca="false">IF($B82="","",IF($B82="01水果",IFERROR(INDEX(对接源_01水果!$E$5:$E$507,MATCH(ROW()-3,对接源_01水果!$Q$5:$Q$507,0)),""),IFERROR(INDEX(对接源_02物料!$E$5:$E$460,MATCH(ROW()-3-N(对接源_01水果!$T$1),对接源_02物料!$Q$5:$Q$460,0)),"")))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82" s="70" t="str">
        <f aca="false">IF($B82="","",IF($B82="01水果",IFERROR(INDEX(对接源_01水果!$F$5:$F$507,MATCH(ROW()-3,对接源_01水果!$Q$5:$Q$507,0)),""),IFERROR(INDEX(对接源_02物料!$F$5:$F$460,MATCH(ROW()-3-N(对接源_01水果!$T$1),对接源_02物料!$Q$5:$Q$460,0)),"")))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82" s="70" t="str">
        <f aca="false">IF($B82="","",IF($B82="01水果",IFERROR(INDEX(对接源_01水果!$G$5:$G$507,MATCH(ROW()-3,对接源_01水果!$Q$5:$Q$507,0)),""),IFERROR(INDEX(对接源_02物料!$G$5:$G$460,MATCH(ROW()-3-N(对接源_01水果!$T$1),对接源_02物料!$Q$5:$Q$460,0)),"")))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82" s="67" t="str">
        <f aca="false">IF(OR($D82="客户应收",$D82="成品销售款",$D82="公司购买果品款",$D82="筐子销售款",$D82="物料销售款"),"客户往来",IFERROR(INDEX(收入成本映射!$C$4:$C$34,MATCH($D82,收入成本映射!$B$4:$B$34,0)),"不记账"))</f>
        <v>不记账</v>
      </c>
      <c r="J82" s="67" t="str">
        <f aca="false">IF($B82="","","0%")</f>
        <v/>
      </c>
      <c r="K82" s="70" t="n">
        <f aca="false">IF($I82="不记账",0,ROUND(N($G82),2))</f>
        <v>0</v>
      </c>
      <c r="L82" s="70" t="n">
        <v>0</v>
      </c>
      <c r="M82" s="67" t="str">
        <f aca="false">IF(OR($I82="不记账",ROUND(N($G82),2)=0),"",IFERROR(INDEX(收入成本映射!$E$4:$E$34,MATCH($D82,收入成本映射!$B$4:$B$34,0)),""))</f>
        <v/>
      </c>
      <c r="N82" s="70" t="str">
        <f aca="false">IF($M82="","",ROUND(N($G82),2))</f>
        <v/>
      </c>
      <c r="O82" s="70" t="str">
        <f aca="false">IF($M82="","",0)</f>
        <v/>
      </c>
      <c r="P82" s="67" t="str">
        <f aca="false">IF($M82="","",IFERROR(INDEX(收入成本映射!$F$4:$F$34,MATCH($D82,收入成本映射!$B$4:$B$34,0)),""))</f>
        <v/>
      </c>
      <c r="Q82" s="70" t="str">
        <f aca="false">IF($P82="","",0)</f>
        <v/>
      </c>
      <c r="R82" s="70" t="str">
        <f aca="false">IF($P82="","",ROUND(N($G82),2))</f>
        <v/>
      </c>
      <c r="S82" s="67" t="str">
        <f aca="false">""</f>
        <v/>
      </c>
      <c r="T82" s="70" t="str">
        <f aca="false">IF($S82="","",0)</f>
        <v/>
      </c>
      <c r="U82" s="70" t="str">
        <f aca="false">IF($S82="","",0)</f>
        <v/>
      </c>
      <c r="V82" s="66" t="str">
        <f aca="false">IF($B82="","",IF($B82="01水果",IFERROR(INDEX(对接源_01水果!$H$5:$H$507,MATCH(ROW()-3,对接源_01水果!$Q$5:$Q$507,0)),""),IFERROR(INDEX(对接源_02物料!$H$5:$H$460,MATCH(ROW()-3-N(对接源_01水果!$T$1),对接源_02物料!$Q$5:$Q$460,0)),"")))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3" customFormat="false" ht="18" hidden="false" customHeight="true" outlineLevel="0" collapsed="false">
      <c r="A83" s="66" t="n">
        <v>80</v>
      </c>
      <c r="B83" s="67" t="str">
        <f aca="false">IF(ROW()-3&lt;=N(对接源_01水果!$T$1),"01水果",IF(ROW()-3&lt;=N(对接源_01水果!$T$1)+N(对接源_02物料!$T$1),"02物料",""))</f>
        <v/>
      </c>
      <c r="C83" s="68" t="str">
        <f aca="false">IF($B83="","",IF($B83="01水果",IFERROR(INDEX(对接源_01水果!$B$5:$B$507,MATCH(ROW()-3,对接源_01水果!$Q$5:$Q$507,0)),""),IFERROR(INDEX(对接源_02物料!$B$5:$B$460,MATCH(ROW()-3-N(对接源_01水果!$T$1),对接源_02物料!$Q$5:$Q$460,0)),"")))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83" s="67" t="str">
        <f aca="false">IF($B83="","",IF($B83="01水果",IFERROR(INDEX(对接源_01水果!$C$5:$C$507,MATCH(ROW()-3,对接源_01水果!$Q$5:$Q$507,0)),""),IFERROR(INDEX(对接源_02物料!$C$5:$C$460,MATCH(ROW()-3-N(对接源_01水果!$T$1),对接源_02物料!$Q$5:$Q$460,0)),"")))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83" s="69" t="str">
        <f aca="false">IF($B83="","",IF($B83="01水果",IFERROR(INDEX(对接源_01水果!$D$5:$D$507,MATCH(ROW()-3,对接源_01水果!$Q$5:$Q$507,0)),""),IFERROR(INDEX(对接源_02物料!$D$5:$D$460,MATCH(ROW()-3-N(对接源_01水果!$T$1),对接源_02物料!$Q$5:$Q$460,0)),"")))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83" s="67" t="str">
        <f aca="false">IF($B83="","",IF($B83="01水果",IFERROR(INDEX(对接源_01水果!$E$5:$E$507,MATCH(ROW()-3,对接源_01水果!$Q$5:$Q$507,0)),""),IFERROR(INDEX(对接源_02物料!$E$5:$E$460,MATCH(ROW()-3-N(对接源_01水果!$T$1),对接源_02物料!$Q$5:$Q$460,0)),"")))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83" s="70" t="str">
        <f aca="false">IF($B83="","",IF($B83="01水果",IFERROR(INDEX(对接源_01水果!$F$5:$F$507,MATCH(ROW()-3,对接源_01水果!$Q$5:$Q$507,0)),""),IFERROR(INDEX(对接源_02物料!$F$5:$F$460,MATCH(ROW()-3-N(对接源_01水果!$T$1),对接源_02物料!$Q$5:$Q$460,0)),"")))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83" s="70" t="str">
        <f aca="false">IF($B83="","",IF($B83="01水果",IFERROR(INDEX(对接源_01水果!$G$5:$G$507,MATCH(ROW()-3,对接源_01水果!$Q$5:$Q$507,0)),""),IFERROR(INDEX(对接源_02物料!$G$5:$G$460,MATCH(ROW()-3-N(对接源_01水果!$T$1),对接源_02物料!$Q$5:$Q$460,0)),"")))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83" s="67" t="str">
        <f aca="false">IF(OR($D83="客户应收",$D83="成品销售款",$D83="公司购买果品款",$D83="筐子销售款",$D83="物料销售款"),"客户往来",IFERROR(INDEX(收入成本映射!$C$4:$C$34,MATCH($D83,收入成本映射!$B$4:$B$34,0)),"不记账"))</f>
        <v>不记账</v>
      </c>
      <c r="J83" s="67" t="str">
        <f aca="false">IF($B83="","","0%")</f>
        <v/>
      </c>
      <c r="K83" s="70" t="n">
        <f aca="false">IF($I83="不记账",0,ROUND(N($G83),2))</f>
        <v>0</v>
      </c>
      <c r="L83" s="70" t="n">
        <v>0</v>
      </c>
      <c r="M83" s="67" t="str">
        <f aca="false">IF(OR($I83="不记账",ROUND(N($G83),2)=0),"",IFERROR(INDEX(收入成本映射!$E$4:$E$34,MATCH($D83,收入成本映射!$B$4:$B$34,0)),""))</f>
        <v/>
      </c>
      <c r="N83" s="70" t="str">
        <f aca="false">IF($M83="","",ROUND(N($G83),2))</f>
        <v/>
      </c>
      <c r="O83" s="70" t="str">
        <f aca="false">IF($M83="","",0)</f>
        <v/>
      </c>
      <c r="P83" s="67" t="str">
        <f aca="false">IF($M83="","",IFERROR(INDEX(收入成本映射!$F$4:$F$34,MATCH($D83,收入成本映射!$B$4:$B$34,0)),""))</f>
        <v/>
      </c>
      <c r="Q83" s="70" t="str">
        <f aca="false">IF($P83="","",0)</f>
        <v/>
      </c>
      <c r="R83" s="70" t="str">
        <f aca="false">IF($P83="","",ROUND(N($G83),2))</f>
        <v/>
      </c>
      <c r="S83" s="67" t="str">
        <f aca="false">""</f>
        <v/>
      </c>
      <c r="T83" s="70" t="str">
        <f aca="false">IF($S83="","",0)</f>
        <v/>
      </c>
      <c r="U83" s="70" t="str">
        <f aca="false">IF($S83="","",0)</f>
        <v/>
      </c>
      <c r="V83" s="66" t="str">
        <f aca="false">IF($B83="","",IF($B83="01水果",IFERROR(INDEX(对接源_01水果!$H$5:$H$507,MATCH(ROW()-3,对接源_01水果!$Q$5:$Q$507,0)),""),IFERROR(INDEX(对接源_02物料!$H$5:$H$460,MATCH(ROW()-3-N(对接源_01水果!$T$1),对接源_02物料!$Q$5:$Q$460,0)),"")))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4" customFormat="false" ht="18" hidden="false" customHeight="true" outlineLevel="0" collapsed="false">
      <c r="A84" s="66" t="n">
        <v>81</v>
      </c>
      <c r="B84" s="67" t="str">
        <f aca="false">IF(ROW()-3&lt;=N(对接源_01水果!$T$1),"01水果",IF(ROW()-3&lt;=N(对接源_01水果!$T$1)+N(对接源_02物料!$T$1),"02物料",""))</f>
        <v/>
      </c>
      <c r="C84" s="68" t="str">
        <f aca="false">IF($B84="","",IF($B84="01水果",IFERROR(INDEX(对接源_01水果!$B$5:$B$507,MATCH(ROW()-3,对接源_01水果!$Q$5:$Q$507,0)),""),IFERROR(INDEX(对接源_02物料!$B$5:$B$460,MATCH(ROW()-3-N(对接源_01水果!$T$1),对接源_02物料!$Q$5:$Q$460,0)),"")))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84" s="67" t="str">
        <f aca="false">IF($B84="","",IF($B84="01水果",IFERROR(INDEX(对接源_01水果!$C$5:$C$507,MATCH(ROW()-3,对接源_01水果!$Q$5:$Q$507,0)),""),IFERROR(INDEX(对接源_02物料!$C$5:$C$460,MATCH(ROW()-3-N(对接源_01水果!$T$1),对接源_02物料!$Q$5:$Q$460,0)),"")))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84" s="69" t="str">
        <f aca="false">IF($B84="","",IF($B84="01水果",IFERROR(INDEX(对接源_01水果!$D$5:$D$507,MATCH(ROW()-3,对接源_01水果!$Q$5:$Q$507,0)),""),IFERROR(INDEX(对接源_02物料!$D$5:$D$460,MATCH(ROW()-3-N(对接源_01水果!$T$1),对接源_02物料!$Q$5:$Q$460,0)),"")))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84" s="67" t="str">
        <f aca="false">IF($B84="","",IF($B84="01水果",IFERROR(INDEX(对接源_01水果!$E$5:$E$507,MATCH(ROW()-3,对接源_01水果!$Q$5:$Q$507,0)),""),IFERROR(INDEX(对接源_02物料!$E$5:$E$460,MATCH(ROW()-3-N(对接源_01水果!$T$1),对接源_02物料!$Q$5:$Q$460,0)),"")))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84" s="70" t="str">
        <f aca="false">IF($B84="","",IF($B84="01水果",IFERROR(INDEX(对接源_01水果!$F$5:$F$507,MATCH(ROW()-3,对接源_01水果!$Q$5:$Q$507,0)),""),IFERROR(INDEX(对接源_02物料!$F$5:$F$460,MATCH(ROW()-3-N(对接源_01水果!$T$1),对接源_02物料!$Q$5:$Q$460,0)),"")))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84" s="70" t="str">
        <f aca="false">IF($B84="","",IF($B84="01水果",IFERROR(INDEX(对接源_01水果!$G$5:$G$507,MATCH(ROW()-3,对接源_01水果!$Q$5:$Q$507,0)),""),IFERROR(INDEX(对接源_02物料!$G$5:$G$460,MATCH(ROW()-3-N(对接源_01水果!$T$1),对接源_02物料!$Q$5:$Q$460,0)),"")))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84" s="67" t="str">
        <f aca="false">IF(OR($D84="客户应收",$D84="成品销售款",$D84="公司购买果品款",$D84="筐子销售款",$D84="物料销售款"),"客户往来",IFERROR(INDEX(收入成本映射!$C$4:$C$34,MATCH($D84,收入成本映射!$B$4:$B$34,0)),"不记账"))</f>
        <v>不记账</v>
      </c>
      <c r="J84" s="67" t="str">
        <f aca="false">IF($B84="","","0%")</f>
        <v/>
      </c>
      <c r="K84" s="70" t="n">
        <f aca="false">IF($I84="不记账",0,ROUND(N($G84),2))</f>
        <v>0</v>
      </c>
      <c r="L84" s="70" t="n">
        <v>0</v>
      </c>
      <c r="M84" s="67" t="str">
        <f aca="false">IF(OR($I84="不记账",ROUND(N($G84),2)=0),"",IFERROR(INDEX(收入成本映射!$E$4:$E$34,MATCH($D84,收入成本映射!$B$4:$B$34,0)),""))</f>
        <v/>
      </c>
      <c r="N84" s="70" t="str">
        <f aca="false">IF($M84="","",ROUND(N($G84),2))</f>
        <v/>
      </c>
      <c r="O84" s="70" t="str">
        <f aca="false">IF($M84="","",0)</f>
        <v/>
      </c>
      <c r="P84" s="67" t="str">
        <f aca="false">IF($M84="","",IFERROR(INDEX(收入成本映射!$F$4:$F$34,MATCH($D84,收入成本映射!$B$4:$B$34,0)),""))</f>
        <v/>
      </c>
      <c r="Q84" s="70" t="str">
        <f aca="false">IF($P84="","",0)</f>
        <v/>
      </c>
      <c r="R84" s="70" t="str">
        <f aca="false">IF($P84="","",ROUND(N($G84),2))</f>
        <v/>
      </c>
      <c r="S84" s="67" t="str">
        <f aca="false">""</f>
        <v/>
      </c>
      <c r="T84" s="70" t="str">
        <f aca="false">IF($S84="","",0)</f>
        <v/>
      </c>
      <c r="U84" s="70" t="str">
        <f aca="false">IF($S84="","",0)</f>
        <v/>
      </c>
      <c r="V84" s="66" t="str">
        <f aca="false">IF($B84="","",IF($B84="01水果",IFERROR(INDEX(对接源_01水果!$H$5:$H$507,MATCH(ROW()-3,对接源_01水果!$Q$5:$Q$507,0)),""),IFERROR(INDEX(对接源_02物料!$H$5:$H$460,MATCH(ROW()-3-N(对接源_01水果!$T$1),对接源_02物料!$Q$5:$Q$460,0)),"")))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5" customFormat="false" ht="18" hidden="false" customHeight="true" outlineLevel="0" collapsed="false">
      <c r="A85" s="66" t="n">
        <v>82</v>
      </c>
      <c r="B85" s="67" t="str">
        <f aca="false">IF(ROW()-3&lt;=N(对接源_01水果!$T$1),"01水果",IF(ROW()-3&lt;=N(对接源_01水果!$T$1)+N(对接源_02物料!$T$1),"02物料",""))</f>
        <v/>
      </c>
      <c r="C85" s="68" t="str">
        <f aca="false">IF($B85="","",IF($B85="01水果",IFERROR(INDEX(对接源_01水果!$B$5:$B$507,MATCH(ROW()-3,对接源_01水果!$Q$5:$Q$507,0)),""),IFERROR(INDEX(对接源_02物料!$B$5:$B$460,MATCH(ROW()-3-N(对接源_01水果!$T$1),对接源_02物料!$Q$5:$Q$460,0)),"")))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85" s="67" t="str">
        <f aca="false">IF($B85="","",IF($B85="01水果",IFERROR(INDEX(对接源_01水果!$C$5:$C$507,MATCH(ROW()-3,对接源_01水果!$Q$5:$Q$507,0)),""),IFERROR(INDEX(对接源_02物料!$C$5:$C$460,MATCH(ROW()-3-N(对接源_01水果!$T$1),对接源_02物料!$Q$5:$Q$460,0)),"")))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85" s="69" t="str">
        <f aca="false">IF($B85="","",IF($B85="01水果",IFERROR(INDEX(对接源_01水果!$D$5:$D$507,MATCH(ROW()-3,对接源_01水果!$Q$5:$Q$507,0)),""),IFERROR(INDEX(对接源_02物料!$D$5:$D$460,MATCH(ROW()-3-N(对接源_01水果!$T$1),对接源_02物料!$Q$5:$Q$460,0)),"")))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85" s="67" t="str">
        <f aca="false">IF($B85="","",IF($B85="01水果",IFERROR(INDEX(对接源_01水果!$E$5:$E$507,MATCH(ROW()-3,对接源_01水果!$Q$5:$Q$507,0)),""),IFERROR(INDEX(对接源_02物料!$E$5:$E$460,MATCH(ROW()-3-N(对接源_01水果!$T$1),对接源_02物料!$Q$5:$Q$460,0)),"")))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85" s="70" t="str">
        <f aca="false">IF($B85="","",IF($B85="01水果",IFERROR(INDEX(对接源_01水果!$F$5:$F$507,MATCH(ROW()-3,对接源_01水果!$Q$5:$Q$507,0)),""),IFERROR(INDEX(对接源_02物料!$F$5:$F$460,MATCH(ROW()-3-N(对接源_01水果!$T$1),对接源_02物料!$Q$5:$Q$460,0)),"")))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85" s="70" t="str">
        <f aca="false">IF($B85="","",IF($B85="01水果",IFERROR(INDEX(对接源_01水果!$G$5:$G$507,MATCH(ROW()-3,对接源_01水果!$Q$5:$Q$507,0)),""),IFERROR(INDEX(对接源_02物料!$G$5:$G$460,MATCH(ROW()-3-N(对接源_01水果!$T$1),对接源_02物料!$Q$5:$Q$460,0)),"")))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85" s="67" t="str">
        <f aca="false">IF(OR($D85="客户应收",$D85="成品销售款",$D85="公司购买果品款",$D85="筐子销售款",$D85="物料销售款"),"客户往来",IFERROR(INDEX(收入成本映射!$C$4:$C$34,MATCH($D85,收入成本映射!$B$4:$B$34,0)),"不记账"))</f>
        <v>不记账</v>
      </c>
      <c r="J85" s="67" t="str">
        <f aca="false">IF($B85="","","0%")</f>
        <v/>
      </c>
      <c r="K85" s="70" t="n">
        <f aca="false">IF($I85="不记账",0,ROUND(N($G85),2))</f>
        <v>0</v>
      </c>
      <c r="L85" s="70" t="n">
        <v>0</v>
      </c>
      <c r="M85" s="67" t="str">
        <f aca="false">IF(OR($I85="不记账",ROUND(N($G85),2)=0),"",IFERROR(INDEX(收入成本映射!$E$4:$E$34,MATCH($D85,收入成本映射!$B$4:$B$34,0)),""))</f>
        <v/>
      </c>
      <c r="N85" s="70" t="str">
        <f aca="false">IF($M85="","",ROUND(N($G85),2))</f>
        <v/>
      </c>
      <c r="O85" s="70" t="str">
        <f aca="false">IF($M85="","",0)</f>
        <v/>
      </c>
      <c r="P85" s="67" t="str">
        <f aca="false">IF($M85="","",IFERROR(INDEX(收入成本映射!$F$4:$F$34,MATCH($D85,收入成本映射!$B$4:$B$34,0)),""))</f>
        <v/>
      </c>
      <c r="Q85" s="70" t="str">
        <f aca="false">IF($P85="","",0)</f>
        <v/>
      </c>
      <c r="R85" s="70" t="str">
        <f aca="false">IF($P85="","",ROUND(N($G85),2))</f>
        <v/>
      </c>
      <c r="S85" s="67" t="str">
        <f aca="false">""</f>
        <v/>
      </c>
      <c r="T85" s="70" t="str">
        <f aca="false">IF($S85="","",0)</f>
        <v/>
      </c>
      <c r="U85" s="70" t="str">
        <f aca="false">IF($S85="","",0)</f>
        <v/>
      </c>
      <c r="V85" s="66" t="str">
        <f aca="false">IF($B85="","",IF($B85="01水果",IFERROR(INDEX(对接源_01水果!$H$5:$H$507,MATCH(ROW()-3,对接源_01水果!$Q$5:$Q$507,0)),""),IFERROR(INDEX(对接源_02物料!$H$5:$H$460,MATCH(ROW()-3-N(对接源_01水果!$T$1),对接源_02物料!$Q$5:$Q$460,0)),"")))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6" customFormat="false" ht="18" hidden="false" customHeight="true" outlineLevel="0" collapsed="false">
      <c r="A86" s="66" t="n">
        <v>83</v>
      </c>
      <c r="B86" s="67" t="str">
        <f aca="false">IF(ROW()-3&lt;=N(对接源_01水果!$T$1),"01水果",IF(ROW()-3&lt;=N(对接源_01水果!$T$1)+N(对接源_02物料!$T$1),"02物料",""))</f>
        <v/>
      </c>
      <c r="C86" s="68" t="str">
        <f aca="false">IF($B86="","",IF($B86="01水果",IFERROR(INDEX(对接源_01水果!$B$5:$B$507,MATCH(ROW()-3,对接源_01水果!$Q$5:$Q$507,0)),""),IFERROR(INDEX(对接源_02物料!$B$5:$B$460,MATCH(ROW()-3-N(对接源_01水果!$T$1),对接源_02物料!$Q$5:$Q$460,0)),"")))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86" s="67" t="str">
        <f aca="false">IF($B86="","",IF($B86="01水果",IFERROR(INDEX(对接源_01水果!$C$5:$C$507,MATCH(ROW()-3,对接源_01水果!$Q$5:$Q$507,0)),""),IFERROR(INDEX(对接源_02物料!$C$5:$C$460,MATCH(ROW()-3-N(对接源_01水果!$T$1),对接源_02物料!$Q$5:$Q$460,0)),"")))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86" s="69" t="str">
        <f aca="false">IF($B86="","",IF($B86="01水果",IFERROR(INDEX(对接源_01水果!$D$5:$D$507,MATCH(ROW()-3,对接源_01水果!$Q$5:$Q$507,0)),""),IFERROR(INDEX(对接源_02物料!$D$5:$D$460,MATCH(ROW()-3-N(对接源_01水果!$T$1),对接源_02物料!$Q$5:$Q$460,0)),"")))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86" s="67" t="str">
        <f aca="false">IF($B86="","",IF($B86="01水果",IFERROR(INDEX(对接源_01水果!$E$5:$E$507,MATCH(ROW()-3,对接源_01水果!$Q$5:$Q$507,0)),""),IFERROR(INDEX(对接源_02物料!$E$5:$E$460,MATCH(ROW()-3-N(对接源_01水果!$T$1),对接源_02物料!$Q$5:$Q$460,0)),"")))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86" s="70" t="str">
        <f aca="false">IF($B86="","",IF($B86="01水果",IFERROR(INDEX(对接源_01水果!$F$5:$F$507,MATCH(ROW()-3,对接源_01水果!$Q$5:$Q$507,0)),""),IFERROR(INDEX(对接源_02物料!$F$5:$F$460,MATCH(ROW()-3-N(对接源_01水果!$T$1),对接源_02物料!$Q$5:$Q$460,0)),"")))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86" s="70" t="str">
        <f aca="false">IF($B86="","",IF($B86="01水果",IFERROR(INDEX(对接源_01水果!$G$5:$G$507,MATCH(ROW()-3,对接源_01水果!$Q$5:$Q$507,0)),""),IFERROR(INDEX(对接源_02物料!$G$5:$G$460,MATCH(ROW()-3-N(对接源_01水果!$T$1),对接源_02物料!$Q$5:$Q$460,0)),"")))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86" s="67" t="str">
        <f aca="false">IF(OR($D86="客户应收",$D86="成品销售款",$D86="公司购买果品款",$D86="筐子销售款",$D86="物料销售款"),"客户往来",IFERROR(INDEX(收入成本映射!$C$4:$C$34,MATCH($D86,收入成本映射!$B$4:$B$34,0)),"不记账"))</f>
        <v>不记账</v>
      </c>
      <c r="J86" s="67" t="str">
        <f aca="false">IF($B86="","","0%")</f>
        <v/>
      </c>
      <c r="K86" s="70" t="n">
        <f aca="false">IF($I86="不记账",0,ROUND(N($G86),2))</f>
        <v>0</v>
      </c>
      <c r="L86" s="70" t="n">
        <v>0</v>
      </c>
      <c r="M86" s="67" t="str">
        <f aca="false">IF(OR($I86="不记账",ROUND(N($G86),2)=0),"",IFERROR(INDEX(收入成本映射!$E$4:$E$34,MATCH($D86,收入成本映射!$B$4:$B$34,0)),""))</f>
        <v/>
      </c>
      <c r="N86" s="70" t="str">
        <f aca="false">IF($M86="","",ROUND(N($G86),2))</f>
        <v/>
      </c>
      <c r="O86" s="70" t="str">
        <f aca="false">IF($M86="","",0)</f>
        <v/>
      </c>
      <c r="P86" s="67" t="str">
        <f aca="false">IF($M86="","",IFERROR(INDEX(收入成本映射!$F$4:$F$34,MATCH($D86,收入成本映射!$B$4:$B$34,0)),""))</f>
        <v/>
      </c>
      <c r="Q86" s="70" t="str">
        <f aca="false">IF($P86="","",0)</f>
        <v/>
      </c>
      <c r="R86" s="70" t="str">
        <f aca="false">IF($P86="","",ROUND(N($G86),2))</f>
        <v/>
      </c>
      <c r="S86" s="67" t="str">
        <f aca="false">""</f>
        <v/>
      </c>
      <c r="T86" s="70" t="str">
        <f aca="false">IF($S86="","",0)</f>
        <v/>
      </c>
      <c r="U86" s="70" t="str">
        <f aca="false">IF($S86="","",0)</f>
        <v/>
      </c>
      <c r="V86" s="66" t="str">
        <f aca="false">IF($B86="","",IF($B86="01水果",IFERROR(INDEX(对接源_01水果!$H$5:$H$507,MATCH(ROW()-3,对接源_01水果!$Q$5:$Q$507,0)),""),IFERROR(INDEX(对接源_02物料!$H$5:$H$460,MATCH(ROW()-3-N(对接源_01水果!$T$1),对接源_02物料!$Q$5:$Q$460,0)),"")))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7" customFormat="false" ht="18" hidden="false" customHeight="true" outlineLevel="0" collapsed="false">
      <c r="A87" s="66" t="n">
        <v>84</v>
      </c>
      <c r="B87" s="67" t="str">
        <f aca="false">IF(ROW()-3&lt;=N(对接源_01水果!$T$1),"01水果",IF(ROW()-3&lt;=N(对接源_01水果!$T$1)+N(对接源_02物料!$T$1),"02物料",""))</f>
        <v/>
      </c>
      <c r="C87" s="68" t="str">
        <f aca="false">IF($B87="","",IF($B87="01水果",IFERROR(INDEX(对接源_01水果!$B$5:$B$507,MATCH(ROW()-3,对接源_01水果!$Q$5:$Q$507,0)),""),IFERROR(INDEX(对接源_02物料!$B$5:$B$460,MATCH(ROW()-3-N(对接源_01水果!$T$1),对接源_02物料!$Q$5:$Q$460,0)),"")))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87" s="67" t="str">
        <f aca="false">IF($B87="","",IF($B87="01水果",IFERROR(INDEX(对接源_01水果!$C$5:$C$507,MATCH(ROW()-3,对接源_01水果!$Q$5:$Q$507,0)),""),IFERROR(INDEX(对接源_02物料!$C$5:$C$460,MATCH(ROW()-3-N(对接源_01水果!$T$1),对接源_02物料!$Q$5:$Q$460,0)),"")))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87" s="69" t="str">
        <f aca="false">IF($B87="","",IF($B87="01水果",IFERROR(INDEX(对接源_01水果!$D$5:$D$507,MATCH(ROW()-3,对接源_01水果!$Q$5:$Q$507,0)),""),IFERROR(INDEX(对接源_02物料!$D$5:$D$460,MATCH(ROW()-3-N(对接源_01水果!$T$1),对接源_02物料!$Q$5:$Q$460,0)),"")))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87" s="67" t="str">
        <f aca="false">IF($B87="","",IF($B87="01水果",IFERROR(INDEX(对接源_01水果!$E$5:$E$507,MATCH(ROW()-3,对接源_01水果!$Q$5:$Q$507,0)),""),IFERROR(INDEX(对接源_02物料!$E$5:$E$460,MATCH(ROW()-3-N(对接源_01水果!$T$1),对接源_02物料!$Q$5:$Q$460,0)),"")))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87" s="70" t="str">
        <f aca="false">IF($B87="","",IF($B87="01水果",IFERROR(INDEX(对接源_01水果!$F$5:$F$507,MATCH(ROW()-3,对接源_01水果!$Q$5:$Q$507,0)),""),IFERROR(INDEX(对接源_02物料!$F$5:$F$460,MATCH(ROW()-3-N(对接源_01水果!$T$1),对接源_02物料!$Q$5:$Q$460,0)),"")))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87" s="70" t="str">
        <f aca="false">IF($B87="","",IF($B87="01水果",IFERROR(INDEX(对接源_01水果!$G$5:$G$507,MATCH(ROW()-3,对接源_01水果!$Q$5:$Q$507,0)),""),IFERROR(INDEX(对接源_02物料!$G$5:$G$460,MATCH(ROW()-3-N(对接源_01水果!$T$1),对接源_02物料!$Q$5:$Q$460,0)),"")))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87" s="67" t="str">
        <f aca="false">IF(OR($D87="客户应收",$D87="成品销售款",$D87="公司购买果品款",$D87="筐子销售款",$D87="物料销售款"),"客户往来",IFERROR(INDEX(收入成本映射!$C$4:$C$34,MATCH($D87,收入成本映射!$B$4:$B$34,0)),"不记账"))</f>
        <v>不记账</v>
      </c>
      <c r="J87" s="67" t="str">
        <f aca="false">IF($B87="","","0%")</f>
        <v/>
      </c>
      <c r="K87" s="70" t="n">
        <f aca="false">IF($I87="不记账",0,ROUND(N($G87),2))</f>
        <v>0</v>
      </c>
      <c r="L87" s="70" t="n">
        <v>0</v>
      </c>
      <c r="M87" s="67" t="str">
        <f aca="false">IF(OR($I87="不记账",ROUND(N($G87),2)=0),"",IFERROR(INDEX(收入成本映射!$E$4:$E$34,MATCH($D87,收入成本映射!$B$4:$B$34,0)),""))</f>
        <v/>
      </c>
      <c r="N87" s="70" t="str">
        <f aca="false">IF($M87="","",ROUND(N($G87),2))</f>
        <v/>
      </c>
      <c r="O87" s="70" t="str">
        <f aca="false">IF($M87="","",0)</f>
        <v/>
      </c>
      <c r="P87" s="67" t="str">
        <f aca="false">IF($M87="","",IFERROR(INDEX(收入成本映射!$F$4:$F$34,MATCH($D87,收入成本映射!$B$4:$B$34,0)),""))</f>
        <v/>
      </c>
      <c r="Q87" s="70" t="str">
        <f aca="false">IF($P87="","",0)</f>
        <v/>
      </c>
      <c r="R87" s="70" t="str">
        <f aca="false">IF($P87="","",ROUND(N($G87),2))</f>
        <v/>
      </c>
      <c r="S87" s="67" t="str">
        <f aca="false">""</f>
        <v/>
      </c>
      <c r="T87" s="70" t="str">
        <f aca="false">IF($S87="","",0)</f>
        <v/>
      </c>
      <c r="U87" s="70" t="str">
        <f aca="false">IF($S87="","",0)</f>
        <v/>
      </c>
      <c r="V87" s="66" t="str">
        <f aca="false">IF($B87="","",IF($B87="01水果",IFERROR(INDEX(对接源_01水果!$H$5:$H$507,MATCH(ROW()-3,对接源_01水果!$Q$5:$Q$507,0)),""),IFERROR(INDEX(对接源_02物料!$H$5:$H$460,MATCH(ROW()-3-N(对接源_01水果!$T$1),对接源_02物料!$Q$5:$Q$460,0)),"")))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8" customFormat="false" ht="18" hidden="false" customHeight="true" outlineLevel="0" collapsed="false">
      <c r="A88" s="66" t="n">
        <v>85</v>
      </c>
      <c r="B88" s="67" t="str">
        <f aca="false">IF(ROW()-3&lt;=N(对接源_01水果!$T$1),"01水果",IF(ROW()-3&lt;=N(对接源_01水果!$T$1)+N(对接源_02物料!$T$1),"02物料",""))</f>
        <v/>
      </c>
      <c r="C88" s="68" t="str">
        <f aca="false">IF($B88="","",IF($B88="01水果",IFERROR(INDEX(对接源_01水果!$B$5:$B$507,MATCH(ROW()-3,对接源_01水果!$Q$5:$Q$507,0)),""),IFERROR(INDEX(对接源_02物料!$B$5:$B$460,MATCH(ROW()-3-N(对接源_01水果!$T$1),对接源_02物料!$Q$5:$Q$460,0)),"")))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88" s="67" t="str">
        <f aca="false">IF($B88="","",IF($B88="01水果",IFERROR(INDEX(对接源_01水果!$C$5:$C$507,MATCH(ROW()-3,对接源_01水果!$Q$5:$Q$507,0)),""),IFERROR(INDEX(对接源_02物料!$C$5:$C$460,MATCH(ROW()-3-N(对接源_01水果!$T$1),对接源_02物料!$Q$5:$Q$460,0)),"")))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88" s="69" t="str">
        <f aca="false">IF($B88="","",IF($B88="01水果",IFERROR(INDEX(对接源_01水果!$D$5:$D$507,MATCH(ROW()-3,对接源_01水果!$Q$5:$Q$507,0)),""),IFERROR(INDEX(对接源_02物料!$D$5:$D$460,MATCH(ROW()-3-N(对接源_01水果!$T$1),对接源_02物料!$Q$5:$Q$460,0)),"")))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88" s="67" t="str">
        <f aca="false">IF($B88="","",IF($B88="01水果",IFERROR(INDEX(对接源_01水果!$E$5:$E$507,MATCH(ROW()-3,对接源_01水果!$Q$5:$Q$507,0)),""),IFERROR(INDEX(对接源_02物料!$E$5:$E$460,MATCH(ROW()-3-N(对接源_01水果!$T$1),对接源_02物料!$Q$5:$Q$460,0)),"")))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88" s="70" t="str">
        <f aca="false">IF($B88="","",IF($B88="01水果",IFERROR(INDEX(对接源_01水果!$F$5:$F$507,MATCH(ROW()-3,对接源_01水果!$Q$5:$Q$507,0)),""),IFERROR(INDEX(对接源_02物料!$F$5:$F$460,MATCH(ROW()-3-N(对接源_01水果!$T$1),对接源_02物料!$Q$5:$Q$460,0)),"")))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88" s="70" t="str">
        <f aca="false">IF($B88="","",IF($B88="01水果",IFERROR(INDEX(对接源_01水果!$G$5:$G$507,MATCH(ROW()-3,对接源_01水果!$Q$5:$Q$507,0)),""),IFERROR(INDEX(对接源_02物料!$G$5:$G$460,MATCH(ROW()-3-N(对接源_01水果!$T$1),对接源_02物料!$Q$5:$Q$460,0)),"")))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88" s="67" t="str">
        <f aca="false">IF(OR($D88="客户应收",$D88="成品销售款",$D88="公司购买果品款",$D88="筐子销售款",$D88="物料销售款"),"客户往来",IFERROR(INDEX(收入成本映射!$C$4:$C$34,MATCH($D88,收入成本映射!$B$4:$B$34,0)),"不记账"))</f>
        <v>不记账</v>
      </c>
      <c r="J88" s="67" t="str">
        <f aca="false">IF($B88="","","0%")</f>
        <v/>
      </c>
      <c r="K88" s="70" t="n">
        <f aca="false">IF($I88="不记账",0,ROUND(N($G88),2))</f>
        <v>0</v>
      </c>
      <c r="L88" s="70" t="n">
        <v>0</v>
      </c>
      <c r="M88" s="67" t="str">
        <f aca="false">IF(OR($I88="不记账",ROUND(N($G88),2)=0),"",IFERROR(INDEX(收入成本映射!$E$4:$E$34,MATCH($D88,收入成本映射!$B$4:$B$34,0)),""))</f>
        <v/>
      </c>
      <c r="N88" s="70" t="str">
        <f aca="false">IF($M88="","",ROUND(N($G88),2))</f>
        <v/>
      </c>
      <c r="O88" s="70" t="str">
        <f aca="false">IF($M88="","",0)</f>
        <v/>
      </c>
      <c r="P88" s="67" t="str">
        <f aca="false">IF($M88="","",IFERROR(INDEX(收入成本映射!$F$4:$F$34,MATCH($D88,收入成本映射!$B$4:$B$34,0)),""))</f>
        <v/>
      </c>
      <c r="Q88" s="70" t="str">
        <f aca="false">IF($P88="","",0)</f>
        <v/>
      </c>
      <c r="R88" s="70" t="str">
        <f aca="false">IF($P88="","",ROUND(N($G88),2))</f>
        <v/>
      </c>
      <c r="S88" s="67" t="str">
        <f aca="false">""</f>
        <v/>
      </c>
      <c r="T88" s="70" t="str">
        <f aca="false">IF($S88="","",0)</f>
        <v/>
      </c>
      <c r="U88" s="70" t="str">
        <f aca="false">IF($S88="","",0)</f>
        <v/>
      </c>
      <c r="V88" s="66" t="str">
        <f aca="false">IF($B88="","",IF($B88="01水果",IFERROR(INDEX(对接源_01水果!$H$5:$H$507,MATCH(ROW()-3,对接源_01水果!$Q$5:$Q$507,0)),""),IFERROR(INDEX(对接源_02物料!$H$5:$H$460,MATCH(ROW()-3-N(对接源_01水果!$T$1),对接源_02物料!$Q$5:$Q$460,0)),"")))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89" customFormat="false" ht="18" hidden="false" customHeight="true" outlineLevel="0" collapsed="false">
      <c r="A89" s="66" t="n">
        <v>86</v>
      </c>
      <c r="B89" s="67" t="str">
        <f aca="false">IF(ROW()-3&lt;=N(对接源_01水果!$T$1),"01水果",IF(ROW()-3&lt;=N(对接源_01水果!$T$1)+N(对接源_02物料!$T$1),"02物料",""))</f>
        <v/>
      </c>
      <c r="C89" s="68" t="str">
        <f aca="false">IF($B89="","",IF($B89="01水果",IFERROR(INDEX(对接源_01水果!$B$5:$B$507,MATCH(ROW()-3,对接源_01水果!$Q$5:$Q$507,0)),""),IFERROR(INDEX(对接源_02物料!$B$5:$B$460,MATCH(ROW()-3-N(对接源_01水果!$T$1),对接源_02物料!$Q$5:$Q$460,0)),"")))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89" s="67" t="str">
        <f aca="false">IF($B89="","",IF($B89="01水果",IFERROR(INDEX(对接源_01水果!$C$5:$C$507,MATCH(ROW()-3,对接源_01水果!$Q$5:$Q$507,0)),""),IFERROR(INDEX(对接源_02物料!$C$5:$C$460,MATCH(ROW()-3-N(对接源_01水果!$T$1),对接源_02物料!$Q$5:$Q$460,0)),"")))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89" s="69" t="str">
        <f aca="false">IF($B89="","",IF($B89="01水果",IFERROR(INDEX(对接源_01水果!$D$5:$D$507,MATCH(ROW()-3,对接源_01水果!$Q$5:$Q$507,0)),""),IFERROR(INDEX(对接源_02物料!$D$5:$D$460,MATCH(ROW()-3-N(对接源_01水果!$T$1),对接源_02物料!$Q$5:$Q$460,0)),"")))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89" s="67" t="str">
        <f aca="false">IF($B89="","",IF($B89="01水果",IFERROR(INDEX(对接源_01水果!$E$5:$E$507,MATCH(ROW()-3,对接源_01水果!$Q$5:$Q$507,0)),""),IFERROR(INDEX(对接源_02物料!$E$5:$E$460,MATCH(ROW()-3-N(对接源_01水果!$T$1),对接源_02物料!$Q$5:$Q$460,0)),"")))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89" s="70" t="str">
        <f aca="false">IF($B89="","",IF($B89="01水果",IFERROR(INDEX(对接源_01水果!$F$5:$F$507,MATCH(ROW()-3,对接源_01水果!$Q$5:$Q$507,0)),""),IFERROR(INDEX(对接源_02物料!$F$5:$F$460,MATCH(ROW()-3-N(对接源_01水果!$T$1),对接源_02物料!$Q$5:$Q$460,0)),"")))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89" s="70" t="str">
        <f aca="false">IF($B89="","",IF($B89="01水果",IFERROR(INDEX(对接源_01水果!$G$5:$G$507,MATCH(ROW()-3,对接源_01水果!$Q$5:$Q$507,0)),""),IFERROR(INDEX(对接源_02物料!$G$5:$G$460,MATCH(ROW()-3-N(对接源_01水果!$T$1),对接源_02物料!$Q$5:$Q$460,0)),"")))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89" s="67" t="str">
        <f aca="false">IF(OR($D89="客户应收",$D89="成品销售款",$D89="公司购买果品款",$D89="筐子销售款",$D89="物料销售款"),"客户往来",IFERROR(INDEX(收入成本映射!$C$4:$C$34,MATCH($D89,收入成本映射!$B$4:$B$34,0)),"不记账"))</f>
        <v>不记账</v>
      </c>
      <c r="J89" s="67" t="str">
        <f aca="false">IF($B89="","","0%")</f>
        <v/>
      </c>
      <c r="K89" s="70" t="n">
        <f aca="false">IF($I89="不记账",0,ROUND(N($G89),2))</f>
        <v>0</v>
      </c>
      <c r="L89" s="70" t="n">
        <v>0</v>
      </c>
      <c r="M89" s="67" t="str">
        <f aca="false">IF(OR($I89="不记账",ROUND(N($G89),2)=0),"",IFERROR(INDEX(收入成本映射!$E$4:$E$34,MATCH($D89,收入成本映射!$B$4:$B$34,0)),""))</f>
        <v/>
      </c>
      <c r="N89" s="70" t="str">
        <f aca="false">IF($M89="","",ROUND(N($G89),2))</f>
        <v/>
      </c>
      <c r="O89" s="70" t="str">
        <f aca="false">IF($M89="","",0)</f>
        <v/>
      </c>
      <c r="P89" s="67" t="str">
        <f aca="false">IF($M89="","",IFERROR(INDEX(收入成本映射!$F$4:$F$34,MATCH($D89,收入成本映射!$B$4:$B$34,0)),""))</f>
        <v/>
      </c>
      <c r="Q89" s="70" t="str">
        <f aca="false">IF($P89="","",0)</f>
        <v/>
      </c>
      <c r="R89" s="70" t="str">
        <f aca="false">IF($P89="","",ROUND(N($G89),2))</f>
        <v/>
      </c>
      <c r="S89" s="67" t="str">
        <f aca="false">""</f>
        <v/>
      </c>
      <c r="T89" s="70" t="str">
        <f aca="false">IF($S89="","",0)</f>
        <v/>
      </c>
      <c r="U89" s="70" t="str">
        <f aca="false">IF($S89="","",0)</f>
        <v/>
      </c>
      <c r="V89" s="66" t="str">
        <f aca="false">IF($B89="","",IF($B89="01水果",IFERROR(INDEX(对接源_01水果!$H$5:$H$507,MATCH(ROW()-3,对接源_01水果!$Q$5:$Q$507,0)),""),IFERROR(INDEX(对接源_02物料!$H$5:$H$460,MATCH(ROW()-3-N(对接源_01水果!$T$1),对接源_02物料!$Q$5:$Q$460,0)),"")))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0" customFormat="false" ht="18" hidden="false" customHeight="true" outlineLevel="0" collapsed="false">
      <c r="A90" s="66" t="n">
        <v>87</v>
      </c>
      <c r="B90" s="67" t="str">
        <f aca="false">IF(ROW()-3&lt;=N(对接源_01水果!$T$1),"01水果",IF(ROW()-3&lt;=N(对接源_01水果!$T$1)+N(对接源_02物料!$T$1),"02物料",""))</f>
        <v/>
      </c>
      <c r="C90" s="68" t="str">
        <f aca="false">IF($B90="","",IF($B90="01水果",IFERROR(INDEX(对接源_01水果!$B$5:$B$507,MATCH(ROW()-3,对接源_01水果!$Q$5:$Q$507,0)),""),IFERROR(INDEX(对接源_02物料!$B$5:$B$460,MATCH(ROW()-3-N(对接源_01水果!$T$1),对接源_02物料!$Q$5:$Q$460,0)),"")))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90" s="67" t="str">
        <f aca="false">IF($B90="","",IF($B90="01水果",IFERROR(INDEX(对接源_01水果!$C$5:$C$507,MATCH(ROW()-3,对接源_01水果!$Q$5:$Q$507,0)),""),IFERROR(INDEX(对接源_02物料!$C$5:$C$460,MATCH(ROW()-3-N(对接源_01水果!$T$1),对接源_02物料!$Q$5:$Q$460,0)),"")))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90" s="69" t="str">
        <f aca="false">IF($B90="","",IF($B90="01水果",IFERROR(INDEX(对接源_01水果!$D$5:$D$507,MATCH(ROW()-3,对接源_01水果!$Q$5:$Q$507,0)),""),IFERROR(INDEX(对接源_02物料!$D$5:$D$460,MATCH(ROW()-3-N(对接源_01水果!$T$1),对接源_02物料!$Q$5:$Q$460,0)),"")))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90" s="67" t="str">
        <f aca="false">IF($B90="","",IF($B90="01水果",IFERROR(INDEX(对接源_01水果!$E$5:$E$507,MATCH(ROW()-3,对接源_01水果!$Q$5:$Q$507,0)),""),IFERROR(INDEX(对接源_02物料!$E$5:$E$460,MATCH(ROW()-3-N(对接源_01水果!$T$1),对接源_02物料!$Q$5:$Q$460,0)),"")))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90" s="70" t="str">
        <f aca="false">IF($B90="","",IF($B90="01水果",IFERROR(INDEX(对接源_01水果!$F$5:$F$507,MATCH(ROW()-3,对接源_01水果!$Q$5:$Q$507,0)),""),IFERROR(INDEX(对接源_02物料!$F$5:$F$460,MATCH(ROW()-3-N(对接源_01水果!$T$1),对接源_02物料!$Q$5:$Q$460,0)),"")))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90" s="70" t="str">
        <f aca="false">IF($B90="","",IF($B90="01水果",IFERROR(INDEX(对接源_01水果!$G$5:$G$507,MATCH(ROW()-3,对接源_01水果!$Q$5:$Q$507,0)),""),IFERROR(INDEX(对接源_02物料!$G$5:$G$460,MATCH(ROW()-3-N(对接源_01水果!$T$1),对接源_02物料!$Q$5:$Q$460,0)),"")))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90" s="67" t="str">
        <f aca="false">IF(OR($D90="客户应收",$D90="成品销售款",$D90="公司购买果品款",$D90="筐子销售款",$D90="物料销售款"),"客户往来",IFERROR(INDEX(收入成本映射!$C$4:$C$34,MATCH($D90,收入成本映射!$B$4:$B$34,0)),"不记账"))</f>
        <v>不记账</v>
      </c>
      <c r="J90" s="67" t="str">
        <f aca="false">IF($B90="","","0%")</f>
        <v/>
      </c>
      <c r="K90" s="70" t="n">
        <f aca="false">IF($I90="不记账",0,ROUND(N($G90),2))</f>
        <v>0</v>
      </c>
      <c r="L90" s="70" t="n">
        <v>0</v>
      </c>
      <c r="M90" s="67" t="str">
        <f aca="false">IF(OR($I90="不记账",ROUND(N($G90),2)=0),"",IFERROR(INDEX(收入成本映射!$E$4:$E$34,MATCH($D90,收入成本映射!$B$4:$B$34,0)),""))</f>
        <v/>
      </c>
      <c r="N90" s="70" t="str">
        <f aca="false">IF($M90="","",ROUND(N($G90),2))</f>
        <v/>
      </c>
      <c r="O90" s="70" t="str">
        <f aca="false">IF($M90="","",0)</f>
        <v/>
      </c>
      <c r="P90" s="67" t="str">
        <f aca="false">IF($M90="","",IFERROR(INDEX(收入成本映射!$F$4:$F$34,MATCH($D90,收入成本映射!$B$4:$B$34,0)),""))</f>
        <v/>
      </c>
      <c r="Q90" s="70" t="str">
        <f aca="false">IF($P90="","",0)</f>
        <v/>
      </c>
      <c r="R90" s="70" t="str">
        <f aca="false">IF($P90="","",ROUND(N($G90),2))</f>
        <v/>
      </c>
      <c r="S90" s="67" t="str">
        <f aca="false">""</f>
        <v/>
      </c>
      <c r="T90" s="70" t="str">
        <f aca="false">IF($S90="","",0)</f>
        <v/>
      </c>
      <c r="U90" s="70" t="str">
        <f aca="false">IF($S90="","",0)</f>
        <v/>
      </c>
      <c r="V90" s="66" t="str">
        <f aca="false">IF($B90="","",IF($B90="01水果",IFERROR(INDEX(对接源_01水果!$H$5:$H$507,MATCH(ROW()-3,对接源_01水果!$Q$5:$Q$507,0)),""),IFERROR(INDEX(对接源_02物料!$H$5:$H$460,MATCH(ROW()-3-N(对接源_01水果!$T$1),对接源_02物料!$Q$5:$Q$460,0)),"")))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1" customFormat="false" ht="18" hidden="false" customHeight="true" outlineLevel="0" collapsed="false">
      <c r="A91" s="66" t="n">
        <v>88</v>
      </c>
      <c r="B91" s="67" t="str">
        <f aca="false">IF(ROW()-3&lt;=N(对接源_01水果!$T$1),"01水果",IF(ROW()-3&lt;=N(对接源_01水果!$T$1)+N(对接源_02物料!$T$1),"02物料",""))</f>
        <v/>
      </c>
      <c r="C91" s="68" t="str">
        <f aca="false">IF($B91="","",IF($B91="01水果",IFERROR(INDEX(对接源_01水果!$B$5:$B$507,MATCH(ROW()-3,对接源_01水果!$Q$5:$Q$507,0)),""),IFERROR(INDEX(对接源_02物料!$B$5:$B$460,MATCH(ROW()-3-N(对接源_01水果!$T$1),对接源_02物料!$Q$5:$Q$460,0)),"")))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91" s="67" t="str">
        <f aca="false">IF($B91="","",IF($B91="01水果",IFERROR(INDEX(对接源_01水果!$C$5:$C$507,MATCH(ROW()-3,对接源_01水果!$Q$5:$Q$507,0)),""),IFERROR(INDEX(对接源_02物料!$C$5:$C$460,MATCH(ROW()-3-N(对接源_01水果!$T$1),对接源_02物料!$Q$5:$Q$460,0)),"")))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91" s="69" t="str">
        <f aca="false">IF($B91="","",IF($B91="01水果",IFERROR(INDEX(对接源_01水果!$D$5:$D$507,MATCH(ROW()-3,对接源_01水果!$Q$5:$Q$507,0)),""),IFERROR(INDEX(对接源_02物料!$D$5:$D$460,MATCH(ROW()-3-N(对接源_01水果!$T$1),对接源_02物料!$Q$5:$Q$460,0)),"")))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91" s="67" t="str">
        <f aca="false">IF($B91="","",IF($B91="01水果",IFERROR(INDEX(对接源_01水果!$E$5:$E$507,MATCH(ROW()-3,对接源_01水果!$Q$5:$Q$507,0)),""),IFERROR(INDEX(对接源_02物料!$E$5:$E$460,MATCH(ROW()-3-N(对接源_01水果!$T$1),对接源_02物料!$Q$5:$Q$460,0)),"")))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91" s="70" t="str">
        <f aca="false">IF($B91="","",IF($B91="01水果",IFERROR(INDEX(对接源_01水果!$F$5:$F$507,MATCH(ROW()-3,对接源_01水果!$Q$5:$Q$507,0)),""),IFERROR(INDEX(对接源_02物料!$F$5:$F$460,MATCH(ROW()-3-N(对接源_01水果!$T$1),对接源_02物料!$Q$5:$Q$460,0)),"")))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91" s="70" t="str">
        <f aca="false">IF($B91="","",IF($B91="01水果",IFERROR(INDEX(对接源_01水果!$G$5:$G$507,MATCH(ROW()-3,对接源_01水果!$Q$5:$Q$507,0)),""),IFERROR(INDEX(对接源_02物料!$G$5:$G$460,MATCH(ROW()-3-N(对接源_01水果!$T$1),对接源_02物料!$Q$5:$Q$460,0)),"")))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91" s="67" t="str">
        <f aca="false">IF(OR($D91="客户应收",$D91="成品销售款",$D91="公司购买果品款",$D91="筐子销售款",$D91="物料销售款"),"客户往来",IFERROR(INDEX(收入成本映射!$C$4:$C$34,MATCH($D91,收入成本映射!$B$4:$B$34,0)),"不记账"))</f>
        <v>不记账</v>
      </c>
      <c r="J91" s="67" t="str">
        <f aca="false">IF($B91="","","0%")</f>
        <v/>
      </c>
      <c r="K91" s="70" t="n">
        <f aca="false">IF($I91="不记账",0,ROUND(N($G91),2))</f>
        <v>0</v>
      </c>
      <c r="L91" s="70" t="n">
        <v>0</v>
      </c>
      <c r="M91" s="67" t="str">
        <f aca="false">IF(OR($I91="不记账",ROUND(N($G91),2)=0),"",IFERROR(INDEX(收入成本映射!$E$4:$E$34,MATCH($D91,收入成本映射!$B$4:$B$34,0)),""))</f>
        <v/>
      </c>
      <c r="N91" s="70" t="str">
        <f aca="false">IF($M91="","",ROUND(N($G91),2))</f>
        <v/>
      </c>
      <c r="O91" s="70" t="str">
        <f aca="false">IF($M91="","",0)</f>
        <v/>
      </c>
      <c r="P91" s="67" t="str">
        <f aca="false">IF($M91="","",IFERROR(INDEX(收入成本映射!$F$4:$F$34,MATCH($D91,收入成本映射!$B$4:$B$34,0)),""))</f>
        <v/>
      </c>
      <c r="Q91" s="70" t="str">
        <f aca="false">IF($P91="","",0)</f>
        <v/>
      </c>
      <c r="R91" s="70" t="str">
        <f aca="false">IF($P91="","",ROUND(N($G91),2))</f>
        <v/>
      </c>
      <c r="S91" s="67" t="str">
        <f aca="false">""</f>
        <v/>
      </c>
      <c r="T91" s="70" t="str">
        <f aca="false">IF($S91="","",0)</f>
        <v/>
      </c>
      <c r="U91" s="70" t="str">
        <f aca="false">IF($S91="","",0)</f>
        <v/>
      </c>
      <c r="V91" s="66" t="str">
        <f aca="false">IF($B91="","",IF($B91="01水果",IFERROR(INDEX(对接源_01水果!$H$5:$H$507,MATCH(ROW()-3,对接源_01水果!$Q$5:$Q$507,0)),""),IFERROR(INDEX(对接源_02物料!$H$5:$H$460,MATCH(ROW()-3-N(对接源_01水果!$T$1),对接源_02物料!$Q$5:$Q$460,0)),"")))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2" customFormat="false" ht="18" hidden="false" customHeight="true" outlineLevel="0" collapsed="false">
      <c r="A92" s="66" t="n">
        <v>89</v>
      </c>
      <c r="B92" s="67" t="str">
        <f aca="false">IF(ROW()-3&lt;=N(对接源_01水果!$T$1),"01水果",IF(ROW()-3&lt;=N(对接源_01水果!$T$1)+N(对接源_02物料!$T$1),"02物料",""))</f>
        <v/>
      </c>
      <c r="C92" s="68" t="str">
        <f aca="false">IF($B92="","",IF($B92="01水果",IFERROR(INDEX(对接源_01水果!$B$5:$B$507,MATCH(ROW()-3,对接源_01水果!$Q$5:$Q$507,0)),""),IFERROR(INDEX(对接源_02物料!$B$5:$B$460,MATCH(ROW()-3-N(对接源_01水果!$T$1),对接源_02物料!$Q$5:$Q$460,0)),"")))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92" s="67" t="str">
        <f aca="false">IF($B92="","",IF($B92="01水果",IFERROR(INDEX(对接源_01水果!$C$5:$C$507,MATCH(ROW()-3,对接源_01水果!$Q$5:$Q$507,0)),""),IFERROR(INDEX(对接源_02物料!$C$5:$C$460,MATCH(ROW()-3-N(对接源_01水果!$T$1),对接源_02物料!$Q$5:$Q$460,0)),"")))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92" s="69" t="str">
        <f aca="false">IF($B92="","",IF($B92="01水果",IFERROR(INDEX(对接源_01水果!$D$5:$D$507,MATCH(ROW()-3,对接源_01水果!$Q$5:$Q$507,0)),""),IFERROR(INDEX(对接源_02物料!$D$5:$D$460,MATCH(ROW()-3-N(对接源_01水果!$T$1),对接源_02物料!$Q$5:$Q$460,0)),"")))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92" s="67" t="str">
        <f aca="false">IF($B92="","",IF($B92="01水果",IFERROR(INDEX(对接源_01水果!$E$5:$E$507,MATCH(ROW()-3,对接源_01水果!$Q$5:$Q$507,0)),""),IFERROR(INDEX(对接源_02物料!$E$5:$E$460,MATCH(ROW()-3-N(对接源_01水果!$T$1),对接源_02物料!$Q$5:$Q$460,0)),"")))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92" s="70" t="str">
        <f aca="false">IF($B92="","",IF($B92="01水果",IFERROR(INDEX(对接源_01水果!$F$5:$F$507,MATCH(ROW()-3,对接源_01水果!$Q$5:$Q$507,0)),""),IFERROR(INDEX(对接源_02物料!$F$5:$F$460,MATCH(ROW()-3-N(对接源_01水果!$T$1),对接源_02物料!$Q$5:$Q$460,0)),"")))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92" s="70" t="str">
        <f aca="false">IF($B92="","",IF($B92="01水果",IFERROR(INDEX(对接源_01水果!$G$5:$G$507,MATCH(ROW()-3,对接源_01水果!$Q$5:$Q$507,0)),""),IFERROR(INDEX(对接源_02物料!$G$5:$G$460,MATCH(ROW()-3-N(对接源_01水果!$T$1),对接源_02物料!$Q$5:$Q$460,0)),"")))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92" s="67" t="str">
        <f aca="false">IF(OR($D92="客户应收",$D92="成品销售款",$D92="公司购买果品款",$D92="筐子销售款",$D92="物料销售款"),"客户往来",IFERROR(INDEX(收入成本映射!$C$4:$C$34,MATCH($D92,收入成本映射!$B$4:$B$34,0)),"不记账"))</f>
        <v>不记账</v>
      </c>
      <c r="J92" s="67" t="str">
        <f aca="false">IF($B92="","","0%")</f>
        <v/>
      </c>
      <c r="K92" s="70" t="n">
        <f aca="false">IF($I92="不记账",0,ROUND(N($G92),2))</f>
        <v>0</v>
      </c>
      <c r="L92" s="70" t="n">
        <v>0</v>
      </c>
      <c r="M92" s="67" t="str">
        <f aca="false">IF(OR($I92="不记账",ROUND(N($G92),2)=0),"",IFERROR(INDEX(收入成本映射!$E$4:$E$34,MATCH($D92,收入成本映射!$B$4:$B$34,0)),""))</f>
        <v/>
      </c>
      <c r="N92" s="70" t="str">
        <f aca="false">IF($M92="","",ROUND(N($G92),2))</f>
        <v/>
      </c>
      <c r="O92" s="70" t="str">
        <f aca="false">IF($M92="","",0)</f>
        <v/>
      </c>
      <c r="P92" s="67" t="str">
        <f aca="false">IF($M92="","",IFERROR(INDEX(收入成本映射!$F$4:$F$34,MATCH($D92,收入成本映射!$B$4:$B$34,0)),""))</f>
        <v/>
      </c>
      <c r="Q92" s="70" t="str">
        <f aca="false">IF($P92="","",0)</f>
        <v/>
      </c>
      <c r="R92" s="70" t="str">
        <f aca="false">IF($P92="","",ROUND(N($G92),2))</f>
        <v/>
      </c>
      <c r="S92" s="67" t="str">
        <f aca="false">""</f>
        <v/>
      </c>
      <c r="T92" s="70" t="str">
        <f aca="false">IF($S92="","",0)</f>
        <v/>
      </c>
      <c r="U92" s="70" t="str">
        <f aca="false">IF($S92="","",0)</f>
        <v/>
      </c>
      <c r="V92" s="66" t="str">
        <f aca="false">IF($B92="","",IF($B92="01水果",IFERROR(INDEX(对接源_01水果!$H$5:$H$507,MATCH(ROW()-3,对接源_01水果!$Q$5:$Q$507,0)),""),IFERROR(INDEX(对接源_02物料!$H$5:$H$460,MATCH(ROW()-3-N(对接源_01水果!$T$1),对接源_02物料!$Q$5:$Q$460,0)),"")))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3" customFormat="false" ht="18" hidden="false" customHeight="true" outlineLevel="0" collapsed="false">
      <c r="A93" s="66" t="n">
        <v>90</v>
      </c>
      <c r="B93" s="67" t="str">
        <f aca="false">IF(ROW()-3&lt;=N(对接源_01水果!$T$1),"01水果",IF(ROW()-3&lt;=N(对接源_01水果!$T$1)+N(对接源_02物料!$T$1),"02物料",""))</f>
        <v/>
      </c>
      <c r="C93" s="68" t="str">
        <f aca="false">IF($B93="","",IF($B93="01水果",IFERROR(INDEX(对接源_01水果!$B$5:$B$507,MATCH(ROW()-3,对接源_01水果!$Q$5:$Q$507,0)),""),IFERROR(INDEX(对接源_02物料!$B$5:$B$460,MATCH(ROW()-3-N(对接源_01水果!$T$1),对接源_02物料!$Q$5:$Q$460,0)),"")))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93" s="67" t="str">
        <f aca="false">IF($B93="","",IF($B93="01水果",IFERROR(INDEX(对接源_01水果!$C$5:$C$507,MATCH(ROW()-3,对接源_01水果!$Q$5:$Q$507,0)),""),IFERROR(INDEX(对接源_02物料!$C$5:$C$460,MATCH(ROW()-3-N(对接源_01水果!$T$1),对接源_02物料!$Q$5:$Q$460,0)),"")))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93" s="69" t="str">
        <f aca="false">IF($B93="","",IF($B93="01水果",IFERROR(INDEX(对接源_01水果!$D$5:$D$507,MATCH(ROW()-3,对接源_01水果!$Q$5:$Q$507,0)),""),IFERROR(INDEX(对接源_02物料!$D$5:$D$460,MATCH(ROW()-3-N(对接源_01水果!$T$1),对接源_02物料!$Q$5:$Q$460,0)),"")))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93" s="67" t="str">
        <f aca="false">IF($B93="","",IF($B93="01水果",IFERROR(INDEX(对接源_01水果!$E$5:$E$507,MATCH(ROW()-3,对接源_01水果!$Q$5:$Q$507,0)),""),IFERROR(INDEX(对接源_02物料!$E$5:$E$460,MATCH(ROW()-3-N(对接源_01水果!$T$1),对接源_02物料!$Q$5:$Q$460,0)),"")))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93" s="70" t="str">
        <f aca="false">IF($B93="","",IF($B93="01水果",IFERROR(INDEX(对接源_01水果!$F$5:$F$507,MATCH(ROW()-3,对接源_01水果!$Q$5:$Q$507,0)),""),IFERROR(INDEX(对接源_02物料!$F$5:$F$460,MATCH(ROW()-3-N(对接源_01水果!$T$1),对接源_02物料!$Q$5:$Q$460,0)),"")))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93" s="70" t="str">
        <f aca="false">IF($B93="","",IF($B93="01水果",IFERROR(INDEX(对接源_01水果!$G$5:$G$507,MATCH(ROW()-3,对接源_01水果!$Q$5:$Q$507,0)),""),IFERROR(INDEX(对接源_02物料!$G$5:$G$460,MATCH(ROW()-3-N(对接源_01水果!$T$1),对接源_02物料!$Q$5:$Q$460,0)),"")))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93" s="67" t="str">
        <f aca="false">IF(OR($D93="客户应收",$D93="成品销售款",$D93="公司购买果品款",$D93="筐子销售款",$D93="物料销售款"),"客户往来",IFERROR(INDEX(收入成本映射!$C$4:$C$34,MATCH($D93,收入成本映射!$B$4:$B$34,0)),"不记账"))</f>
        <v>不记账</v>
      </c>
      <c r="J93" s="67" t="str">
        <f aca="false">IF($B93="","","0%")</f>
        <v/>
      </c>
      <c r="K93" s="70" t="n">
        <f aca="false">IF($I93="不记账",0,ROUND(N($G93),2))</f>
        <v>0</v>
      </c>
      <c r="L93" s="70" t="n">
        <v>0</v>
      </c>
      <c r="M93" s="67" t="str">
        <f aca="false">IF(OR($I93="不记账",ROUND(N($G93),2)=0),"",IFERROR(INDEX(收入成本映射!$E$4:$E$34,MATCH($D93,收入成本映射!$B$4:$B$34,0)),""))</f>
        <v/>
      </c>
      <c r="N93" s="70" t="str">
        <f aca="false">IF($M93="","",ROUND(N($G93),2))</f>
        <v/>
      </c>
      <c r="O93" s="70" t="str">
        <f aca="false">IF($M93="","",0)</f>
        <v/>
      </c>
      <c r="P93" s="67" t="str">
        <f aca="false">IF($M93="","",IFERROR(INDEX(收入成本映射!$F$4:$F$34,MATCH($D93,收入成本映射!$B$4:$B$34,0)),""))</f>
        <v/>
      </c>
      <c r="Q93" s="70" t="str">
        <f aca="false">IF($P93="","",0)</f>
        <v/>
      </c>
      <c r="R93" s="70" t="str">
        <f aca="false">IF($P93="","",ROUND(N($G93),2))</f>
        <v/>
      </c>
      <c r="S93" s="67" t="str">
        <f aca="false">""</f>
        <v/>
      </c>
      <c r="T93" s="70" t="str">
        <f aca="false">IF($S93="","",0)</f>
        <v/>
      </c>
      <c r="U93" s="70" t="str">
        <f aca="false">IF($S93="","",0)</f>
        <v/>
      </c>
      <c r="V93" s="66" t="str">
        <f aca="false">IF($B93="","",IF($B93="01水果",IFERROR(INDEX(对接源_01水果!$H$5:$H$507,MATCH(ROW()-3,对接源_01水果!$Q$5:$Q$507,0)),""),IFERROR(INDEX(对接源_02物料!$H$5:$H$460,MATCH(ROW()-3-N(对接源_01水果!$T$1),对接源_02物料!$Q$5:$Q$460,0)),"")))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4" customFormat="false" ht="18" hidden="false" customHeight="true" outlineLevel="0" collapsed="false">
      <c r="A94" s="66" t="n">
        <v>91</v>
      </c>
      <c r="B94" s="67" t="str">
        <f aca="false">IF(ROW()-3&lt;=N(对接源_01水果!$T$1),"01水果",IF(ROW()-3&lt;=N(对接源_01水果!$T$1)+N(对接源_02物料!$T$1),"02物料",""))</f>
        <v/>
      </c>
      <c r="C94" s="68" t="str">
        <f aca="false">IF($B94="","",IF($B94="01水果",IFERROR(INDEX(对接源_01水果!$B$5:$B$507,MATCH(ROW()-3,对接源_01水果!$Q$5:$Q$507,0)),""),IFERROR(INDEX(对接源_02物料!$B$5:$B$460,MATCH(ROW()-3-N(对接源_01水果!$T$1),对接源_02物料!$Q$5:$Q$460,0)),"")))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94" s="67" t="str">
        <f aca="false">IF($B94="","",IF($B94="01水果",IFERROR(INDEX(对接源_01水果!$C$5:$C$507,MATCH(ROW()-3,对接源_01水果!$Q$5:$Q$507,0)),""),IFERROR(INDEX(对接源_02物料!$C$5:$C$460,MATCH(ROW()-3-N(对接源_01水果!$T$1),对接源_02物料!$Q$5:$Q$460,0)),"")))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94" s="69" t="str">
        <f aca="false">IF($B94="","",IF($B94="01水果",IFERROR(INDEX(对接源_01水果!$D$5:$D$507,MATCH(ROW()-3,对接源_01水果!$Q$5:$Q$507,0)),""),IFERROR(INDEX(对接源_02物料!$D$5:$D$460,MATCH(ROW()-3-N(对接源_01水果!$T$1),对接源_02物料!$Q$5:$Q$460,0)),"")))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94" s="67" t="str">
        <f aca="false">IF($B94="","",IF($B94="01水果",IFERROR(INDEX(对接源_01水果!$E$5:$E$507,MATCH(ROW()-3,对接源_01水果!$Q$5:$Q$507,0)),""),IFERROR(INDEX(对接源_02物料!$E$5:$E$460,MATCH(ROW()-3-N(对接源_01水果!$T$1),对接源_02物料!$Q$5:$Q$460,0)),"")))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94" s="70" t="str">
        <f aca="false">IF($B94="","",IF($B94="01水果",IFERROR(INDEX(对接源_01水果!$F$5:$F$507,MATCH(ROW()-3,对接源_01水果!$Q$5:$Q$507,0)),""),IFERROR(INDEX(对接源_02物料!$F$5:$F$460,MATCH(ROW()-3-N(对接源_01水果!$T$1),对接源_02物料!$Q$5:$Q$460,0)),"")))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94" s="70" t="str">
        <f aca="false">IF($B94="","",IF($B94="01水果",IFERROR(INDEX(对接源_01水果!$G$5:$G$507,MATCH(ROW()-3,对接源_01水果!$Q$5:$Q$507,0)),""),IFERROR(INDEX(对接源_02物料!$G$5:$G$460,MATCH(ROW()-3-N(对接源_01水果!$T$1),对接源_02物料!$Q$5:$Q$460,0)),"")))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94" s="67" t="str">
        <f aca="false">IF(OR($D94="客户应收",$D94="成品销售款",$D94="公司购买果品款",$D94="筐子销售款",$D94="物料销售款"),"客户往来",IFERROR(INDEX(收入成本映射!$C$4:$C$34,MATCH($D94,收入成本映射!$B$4:$B$34,0)),"不记账"))</f>
        <v>不记账</v>
      </c>
      <c r="J94" s="67" t="str">
        <f aca="false">IF($B94="","","0%")</f>
        <v/>
      </c>
      <c r="K94" s="70" t="n">
        <f aca="false">IF($I94="不记账",0,ROUND(N($G94),2))</f>
        <v>0</v>
      </c>
      <c r="L94" s="70" t="n">
        <v>0</v>
      </c>
      <c r="M94" s="67" t="str">
        <f aca="false">IF(OR($I94="不记账",ROUND(N($G94),2)=0),"",IFERROR(INDEX(收入成本映射!$E$4:$E$34,MATCH($D94,收入成本映射!$B$4:$B$34,0)),""))</f>
        <v/>
      </c>
      <c r="N94" s="70" t="str">
        <f aca="false">IF($M94="","",ROUND(N($G94),2))</f>
        <v/>
      </c>
      <c r="O94" s="70" t="str">
        <f aca="false">IF($M94="","",0)</f>
        <v/>
      </c>
      <c r="P94" s="67" t="str">
        <f aca="false">IF($M94="","",IFERROR(INDEX(收入成本映射!$F$4:$F$34,MATCH($D94,收入成本映射!$B$4:$B$34,0)),""))</f>
        <v/>
      </c>
      <c r="Q94" s="70" t="str">
        <f aca="false">IF($P94="","",0)</f>
        <v/>
      </c>
      <c r="R94" s="70" t="str">
        <f aca="false">IF($P94="","",ROUND(N($G94),2))</f>
        <v/>
      </c>
      <c r="S94" s="67" t="str">
        <f aca="false">""</f>
        <v/>
      </c>
      <c r="T94" s="70" t="str">
        <f aca="false">IF($S94="","",0)</f>
        <v/>
      </c>
      <c r="U94" s="70" t="str">
        <f aca="false">IF($S94="","",0)</f>
        <v/>
      </c>
      <c r="V94" s="66" t="str">
        <f aca="false">IF($B94="","",IF($B94="01水果",IFERROR(INDEX(对接源_01水果!$H$5:$H$507,MATCH(ROW()-3,对接源_01水果!$Q$5:$Q$507,0)),""),IFERROR(INDEX(对接源_02物料!$H$5:$H$460,MATCH(ROW()-3-N(对接源_01水果!$T$1),对接源_02物料!$Q$5:$Q$460,0)),"")))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5" customFormat="false" ht="18" hidden="false" customHeight="true" outlineLevel="0" collapsed="false">
      <c r="A95" s="66" t="n">
        <v>92</v>
      </c>
      <c r="B95" s="67" t="str">
        <f aca="false">IF(ROW()-3&lt;=N(对接源_01水果!$T$1),"01水果",IF(ROW()-3&lt;=N(对接源_01水果!$T$1)+N(对接源_02物料!$T$1),"02物料",""))</f>
        <v/>
      </c>
      <c r="C95" s="68" t="str">
        <f aca="false">IF($B95="","",IF($B95="01水果",IFERROR(INDEX(对接源_01水果!$B$5:$B$507,MATCH(ROW()-3,对接源_01水果!$Q$5:$Q$507,0)),""),IFERROR(INDEX(对接源_02物料!$B$5:$B$460,MATCH(ROW()-3-N(对接源_01水果!$T$1),对接源_02物料!$Q$5:$Q$460,0)),"")))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95" s="67" t="str">
        <f aca="false">IF($B95="","",IF($B95="01水果",IFERROR(INDEX(对接源_01水果!$C$5:$C$507,MATCH(ROW()-3,对接源_01水果!$Q$5:$Q$507,0)),""),IFERROR(INDEX(对接源_02物料!$C$5:$C$460,MATCH(ROW()-3-N(对接源_01水果!$T$1),对接源_02物料!$Q$5:$Q$460,0)),"")))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95" s="69" t="str">
        <f aca="false">IF($B95="","",IF($B95="01水果",IFERROR(INDEX(对接源_01水果!$D$5:$D$507,MATCH(ROW()-3,对接源_01水果!$Q$5:$Q$507,0)),""),IFERROR(INDEX(对接源_02物料!$D$5:$D$460,MATCH(ROW()-3-N(对接源_01水果!$T$1),对接源_02物料!$Q$5:$Q$460,0)),"")))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95" s="67" t="str">
        <f aca="false">IF($B95="","",IF($B95="01水果",IFERROR(INDEX(对接源_01水果!$E$5:$E$507,MATCH(ROW()-3,对接源_01水果!$Q$5:$Q$507,0)),""),IFERROR(INDEX(对接源_02物料!$E$5:$E$460,MATCH(ROW()-3-N(对接源_01水果!$T$1),对接源_02物料!$Q$5:$Q$460,0)),"")))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95" s="70" t="str">
        <f aca="false">IF($B95="","",IF($B95="01水果",IFERROR(INDEX(对接源_01水果!$F$5:$F$507,MATCH(ROW()-3,对接源_01水果!$Q$5:$Q$507,0)),""),IFERROR(INDEX(对接源_02物料!$F$5:$F$460,MATCH(ROW()-3-N(对接源_01水果!$T$1),对接源_02物料!$Q$5:$Q$460,0)),"")))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95" s="70" t="str">
        <f aca="false">IF($B95="","",IF($B95="01水果",IFERROR(INDEX(对接源_01水果!$G$5:$G$507,MATCH(ROW()-3,对接源_01水果!$Q$5:$Q$507,0)),""),IFERROR(INDEX(对接源_02物料!$G$5:$G$460,MATCH(ROW()-3-N(对接源_01水果!$T$1),对接源_02物料!$Q$5:$Q$460,0)),"")))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95" s="67" t="str">
        <f aca="false">IF(OR($D95="客户应收",$D95="成品销售款",$D95="公司购买果品款",$D95="筐子销售款",$D95="物料销售款"),"客户往来",IFERROR(INDEX(收入成本映射!$C$4:$C$34,MATCH($D95,收入成本映射!$B$4:$B$34,0)),"不记账"))</f>
        <v>不记账</v>
      </c>
      <c r="J95" s="67" t="str">
        <f aca="false">IF($B95="","","0%")</f>
        <v/>
      </c>
      <c r="K95" s="70" t="n">
        <f aca="false">IF($I95="不记账",0,ROUND(N($G95),2))</f>
        <v>0</v>
      </c>
      <c r="L95" s="70" t="n">
        <v>0</v>
      </c>
      <c r="M95" s="67" t="str">
        <f aca="false">IF(OR($I95="不记账",ROUND(N($G95),2)=0),"",IFERROR(INDEX(收入成本映射!$E$4:$E$34,MATCH($D95,收入成本映射!$B$4:$B$34,0)),""))</f>
        <v/>
      </c>
      <c r="N95" s="70" t="str">
        <f aca="false">IF($M95="","",ROUND(N($G95),2))</f>
        <v/>
      </c>
      <c r="O95" s="70" t="str">
        <f aca="false">IF($M95="","",0)</f>
        <v/>
      </c>
      <c r="P95" s="67" t="str">
        <f aca="false">IF($M95="","",IFERROR(INDEX(收入成本映射!$F$4:$F$34,MATCH($D95,收入成本映射!$B$4:$B$34,0)),""))</f>
        <v/>
      </c>
      <c r="Q95" s="70" t="str">
        <f aca="false">IF($P95="","",0)</f>
        <v/>
      </c>
      <c r="R95" s="70" t="str">
        <f aca="false">IF($P95="","",ROUND(N($G95),2))</f>
        <v/>
      </c>
      <c r="S95" s="67" t="str">
        <f aca="false">""</f>
        <v/>
      </c>
      <c r="T95" s="70" t="str">
        <f aca="false">IF($S95="","",0)</f>
        <v/>
      </c>
      <c r="U95" s="70" t="str">
        <f aca="false">IF($S95="","",0)</f>
        <v/>
      </c>
      <c r="V95" s="66" t="str">
        <f aca="false">IF($B95="","",IF($B95="01水果",IFERROR(INDEX(对接源_01水果!$H$5:$H$507,MATCH(ROW()-3,对接源_01水果!$Q$5:$Q$507,0)),""),IFERROR(INDEX(对接源_02物料!$H$5:$H$460,MATCH(ROW()-3-N(对接源_01水果!$T$1),对接源_02物料!$Q$5:$Q$460,0)),"")))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6" customFormat="false" ht="18" hidden="false" customHeight="true" outlineLevel="0" collapsed="false">
      <c r="A96" s="66" t="n">
        <v>93</v>
      </c>
      <c r="B96" s="67" t="str">
        <f aca="false">IF(ROW()-3&lt;=N(对接源_01水果!$T$1),"01水果",IF(ROW()-3&lt;=N(对接源_01水果!$T$1)+N(对接源_02物料!$T$1),"02物料",""))</f>
        <v/>
      </c>
      <c r="C96" s="68" t="str">
        <f aca="false">IF($B96="","",IF($B96="01水果",IFERROR(INDEX(对接源_01水果!$B$5:$B$507,MATCH(ROW()-3,对接源_01水果!$Q$5:$Q$507,0)),""),IFERROR(INDEX(对接源_02物料!$B$5:$B$460,MATCH(ROW()-3-N(对接源_01水果!$T$1),对接源_02物料!$Q$5:$Q$460,0)),"")))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96" s="67" t="str">
        <f aca="false">IF($B96="","",IF($B96="01水果",IFERROR(INDEX(对接源_01水果!$C$5:$C$507,MATCH(ROW()-3,对接源_01水果!$Q$5:$Q$507,0)),""),IFERROR(INDEX(对接源_02物料!$C$5:$C$460,MATCH(ROW()-3-N(对接源_01水果!$T$1),对接源_02物料!$Q$5:$Q$460,0)),"")))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96" s="69" t="str">
        <f aca="false">IF($B96="","",IF($B96="01水果",IFERROR(INDEX(对接源_01水果!$D$5:$D$507,MATCH(ROW()-3,对接源_01水果!$Q$5:$Q$507,0)),""),IFERROR(INDEX(对接源_02物料!$D$5:$D$460,MATCH(ROW()-3-N(对接源_01水果!$T$1),对接源_02物料!$Q$5:$Q$460,0)),"")))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96" s="67" t="str">
        <f aca="false">IF($B96="","",IF($B96="01水果",IFERROR(INDEX(对接源_01水果!$E$5:$E$507,MATCH(ROW()-3,对接源_01水果!$Q$5:$Q$507,0)),""),IFERROR(INDEX(对接源_02物料!$E$5:$E$460,MATCH(ROW()-3-N(对接源_01水果!$T$1),对接源_02物料!$Q$5:$Q$460,0)),"")))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96" s="70" t="str">
        <f aca="false">IF($B96="","",IF($B96="01水果",IFERROR(INDEX(对接源_01水果!$F$5:$F$507,MATCH(ROW()-3,对接源_01水果!$Q$5:$Q$507,0)),""),IFERROR(INDEX(对接源_02物料!$F$5:$F$460,MATCH(ROW()-3-N(对接源_01水果!$T$1),对接源_02物料!$Q$5:$Q$460,0)),"")))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96" s="70" t="str">
        <f aca="false">IF($B96="","",IF($B96="01水果",IFERROR(INDEX(对接源_01水果!$G$5:$G$507,MATCH(ROW()-3,对接源_01水果!$Q$5:$Q$507,0)),""),IFERROR(INDEX(对接源_02物料!$G$5:$G$460,MATCH(ROW()-3-N(对接源_01水果!$T$1),对接源_02物料!$Q$5:$Q$460,0)),"")))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96" s="67" t="str">
        <f aca="false">IF(OR($D96="客户应收",$D96="成品销售款",$D96="公司购买果品款",$D96="筐子销售款",$D96="物料销售款"),"客户往来",IFERROR(INDEX(收入成本映射!$C$4:$C$34,MATCH($D96,收入成本映射!$B$4:$B$34,0)),"不记账"))</f>
        <v>不记账</v>
      </c>
      <c r="J96" s="67" t="str">
        <f aca="false">IF($B96="","","0%")</f>
        <v/>
      </c>
      <c r="K96" s="70" t="n">
        <f aca="false">IF($I96="不记账",0,ROUND(N($G96),2))</f>
        <v>0</v>
      </c>
      <c r="L96" s="70" t="n">
        <v>0</v>
      </c>
      <c r="M96" s="67" t="str">
        <f aca="false">IF(OR($I96="不记账",ROUND(N($G96),2)=0),"",IFERROR(INDEX(收入成本映射!$E$4:$E$34,MATCH($D96,收入成本映射!$B$4:$B$34,0)),""))</f>
        <v/>
      </c>
      <c r="N96" s="70" t="str">
        <f aca="false">IF($M96="","",ROUND(N($G96),2))</f>
        <v/>
      </c>
      <c r="O96" s="70" t="str">
        <f aca="false">IF($M96="","",0)</f>
        <v/>
      </c>
      <c r="P96" s="67" t="str">
        <f aca="false">IF($M96="","",IFERROR(INDEX(收入成本映射!$F$4:$F$34,MATCH($D96,收入成本映射!$B$4:$B$34,0)),""))</f>
        <v/>
      </c>
      <c r="Q96" s="70" t="str">
        <f aca="false">IF($P96="","",0)</f>
        <v/>
      </c>
      <c r="R96" s="70" t="str">
        <f aca="false">IF($P96="","",ROUND(N($G96),2))</f>
        <v/>
      </c>
      <c r="S96" s="67" t="str">
        <f aca="false">""</f>
        <v/>
      </c>
      <c r="T96" s="70" t="str">
        <f aca="false">IF($S96="","",0)</f>
        <v/>
      </c>
      <c r="U96" s="70" t="str">
        <f aca="false">IF($S96="","",0)</f>
        <v/>
      </c>
      <c r="V96" s="66" t="str">
        <f aca="false">IF($B96="","",IF($B96="01水果",IFERROR(INDEX(对接源_01水果!$H$5:$H$507,MATCH(ROW()-3,对接源_01水果!$Q$5:$Q$507,0)),""),IFERROR(INDEX(对接源_02物料!$H$5:$H$460,MATCH(ROW()-3-N(对接源_01水果!$T$1),对接源_02物料!$Q$5:$Q$460,0)),"")))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7" customFormat="false" ht="18" hidden="false" customHeight="true" outlineLevel="0" collapsed="false">
      <c r="A97" s="66" t="n">
        <v>94</v>
      </c>
      <c r="B97" s="67" t="str">
        <f aca="false">IF(ROW()-3&lt;=N(对接源_01水果!$T$1),"01水果",IF(ROW()-3&lt;=N(对接源_01水果!$T$1)+N(对接源_02物料!$T$1),"02物料",""))</f>
        <v/>
      </c>
      <c r="C97" s="68" t="str">
        <f aca="false">IF($B97="","",IF($B97="01水果",IFERROR(INDEX(对接源_01水果!$B$5:$B$507,MATCH(ROW()-3,对接源_01水果!$Q$5:$Q$507,0)),""),IFERROR(INDEX(对接源_02物料!$B$5:$B$460,MATCH(ROW()-3-N(对接源_01水果!$T$1),对接源_02物料!$Q$5:$Q$460,0)),"")))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97" s="67" t="str">
        <f aca="false">IF($B97="","",IF($B97="01水果",IFERROR(INDEX(对接源_01水果!$C$5:$C$507,MATCH(ROW()-3,对接源_01水果!$Q$5:$Q$507,0)),""),IFERROR(INDEX(对接源_02物料!$C$5:$C$460,MATCH(ROW()-3-N(对接源_01水果!$T$1),对接源_02物料!$Q$5:$Q$460,0)),"")))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97" s="69" t="str">
        <f aca="false">IF($B97="","",IF($B97="01水果",IFERROR(INDEX(对接源_01水果!$D$5:$D$507,MATCH(ROW()-3,对接源_01水果!$Q$5:$Q$507,0)),""),IFERROR(INDEX(对接源_02物料!$D$5:$D$460,MATCH(ROW()-3-N(对接源_01水果!$T$1),对接源_02物料!$Q$5:$Q$460,0)),"")))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97" s="67" t="str">
        <f aca="false">IF($B97="","",IF($B97="01水果",IFERROR(INDEX(对接源_01水果!$E$5:$E$507,MATCH(ROW()-3,对接源_01水果!$Q$5:$Q$507,0)),""),IFERROR(INDEX(对接源_02物料!$E$5:$E$460,MATCH(ROW()-3-N(对接源_01水果!$T$1),对接源_02物料!$Q$5:$Q$460,0)),"")))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97" s="70" t="str">
        <f aca="false">IF($B97="","",IF($B97="01水果",IFERROR(INDEX(对接源_01水果!$F$5:$F$507,MATCH(ROW()-3,对接源_01水果!$Q$5:$Q$507,0)),""),IFERROR(INDEX(对接源_02物料!$F$5:$F$460,MATCH(ROW()-3-N(对接源_01水果!$T$1),对接源_02物料!$Q$5:$Q$460,0)),"")))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97" s="70" t="str">
        <f aca="false">IF($B97="","",IF($B97="01水果",IFERROR(INDEX(对接源_01水果!$G$5:$G$507,MATCH(ROW()-3,对接源_01水果!$Q$5:$Q$507,0)),""),IFERROR(INDEX(对接源_02物料!$G$5:$G$460,MATCH(ROW()-3-N(对接源_01水果!$T$1),对接源_02物料!$Q$5:$Q$460,0)),"")))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97" s="67" t="str">
        <f aca="false">IF(OR($D97="客户应收",$D97="成品销售款",$D97="公司购买果品款",$D97="筐子销售款",$D97="物料销售款"),"客户往来",IFERROR(INDEX(收入成本映射!$C$4:$C$34,MATCH($D97,收入成本映射!$B$4:$B$34,0)),"不记账"))</f>
        <v>不记账</v>
      </c>
      <c r="J97" s="67" t="str">
        <f aca="false">IF($B97="","","0%")</f>
        <v/>
      </c>
      <c r="K97" s="70" t="n">
        <f aca="false">IF($I97="不记账",0,ROUND(N($G97),2))</f>
        <v>0</v>
      </c>
      <c r="L97" s="70" t="n">
        <v>0</v>
      </c>
      <c r="M97" s="67" t="str">
        <f aca="false">IF(OR($I97="不记账",ROUND(N($G97),2)=0),"",IFERROR(INDEX(收入成本映射!$E$4:$E$34,MATCH($D97,收入成本映射!$B$4:$B$34,0)),""))</f>
        <v/>
      </c>
      <c r="N97" s="70" t="str">
        <f aca="false">IF($M97="","",ROUND(N($G97),2))</f>
        <v/>
      </c>
      <c r="O97" s="70" t="str">
        <f aca="false">IF($M97="","",0)</f>
        <v/>
      </c>
      <c r="P97" s="67" t="str">
        <f aca="false">IF($M97="","",IFERROR(INDEX(收入成本映射!$F$4:$F$34,MATCH($D97,收入成本映射!$B$4:$B$34,0)),""))</f>
        <v/>
      </c>
      <c r="Q97" s="70" t="str">
        <f aca="false">IF($P97="","",0)</f>
        <v/>
      </c>
      <c r="R97" s="70" t="str">
        <f aca="false">IF($P97="","",ROUND(N($G97),2))</f>
        <v/>
      </c>
      <c r="S97" s="67" t="str">
        <f aca="false">""</f>
        <v/>
      </c>
      <c r="T97" s="70" t="str">
        <f aca="false">IF($S97="","",0)</f>
        <v/>
      </c>
      <c r="U97" s="70" t="str">
        <f aca="false">IF($S97="","",0)</f>
        <v/>
      </c>
      <c r="V97" s="66" t="str">
        <f aca="false">IF($B97="","",IF($B97="01水果",IFERROR(INDEX(对接源_01水果!$H$5:$H$507,MATCH(ROW()-3,对接源_01水果!$Q$5:$Q$507,0)),""),IFERROR(INDEX(对接源_02物料!$H$5:$H$460,MATCH(ROW()-3-N(对接源_01水果!$T$1),对接源_02物料!$Q$5:$Q$460,0)),"")))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8" customFormat="false" ht="18" hidden="false" customHeight="true" outlineLevel="0" collapsed="false">
      <c r="A98" s="66" t="n">
        <v>95</v>
      </c>
      <c r="B98" s="67" t="str">
        <f aca="false">IF(ROW()-3&lt;=N(对接源_01水果!$T$1),"01水果",IF(ROW()-3&lt;=N(对接源_01水果!$T$1)+N(对接源_02物料!$T$1),"02物料",""))</f>
        <v/>
      </c>
      <c r="C98" s="68" t="str">
        <f aca="false">IF($B98="","",IF($B98="01水果",IFERROR(INDEX(对接源_01水果!$B$5:$B$507,MATCH(ROW()-3,对接源_01水果!$Q$5:$Q$507,0)),""),IFERROR(INDEX(对接源_02物料!$B$5:$B$460,MATCH(ROW()-3-N(对接源_01水果!$T$1),对接源_02物料!$Q$5:$Q$460,0)),"")))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98" s="67" t="str">
        <f aca="false">IF($B98="","",IF($B98="01水果",IFERROR(INDEX(对接源_01水果!$C$5:$C$507,MATCH(ROW()-3,对接源_01水果!$Q$5:$Q$507,0)),""),IFERROR(INDEX(对接源_02物料!$C$5:$C$460,MATCH(ROW()-3-N(对接源_01水果!$T$1),对接源_02物料!$Q$5:$Q$460,0)),"")))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98" s="69" t="str">
        <f aca="false">IF($B98="","",IF($B98="01水果",IFERROR(INDEX(对接源_01水果!$D$5:$D$507,MATCH(ROW()-3,对接源_01水果!$Q$5:$Q$507,0)),""),IFERROR(INDEX(对接源_02物料!$D$5:$D$460,MATCH(ROW()-3-N(对接源_01水果!$T$1),对接源_02物料!$Q$5:$Q$460,0)),"")))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98" s="67" t="str">
        <f aca="false">IF($B98="","",IF($B98="01水果",IFERROR(INDEX(对接源_01水果!$E$5:$E$507,MATCH(ROW()-3,对接源_01水果!$Q$5:$Q$507,0)),""),IFERROR(INDEX(对接源_02物料!$E$5:$E$460,MATCH(ROW()-3-N(对接源_01水果!$T$1),对接源_02物料!$Q$5:$Q$460,0)),"")))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98" s="70" t="str">
        <f aca="false">IF($B98="","",IF($B98="01水果",IFERROR(INDEX(对接源_01水果!$F$5:$F$507,MATCH(ROW()-3,对接源_01水果!$Q$5:$Q$507,0)),""),IFERROR(INDEX(对接源_02物料!$F$5:$F$460,MATCH(ROW()-3-N(对接源_01水果!$T$1),对接源_02物料!$Q$5:$Q$460,0)),"")))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98" s="70" t="str">
        <f aca="false">IF($B98="","",IF($B98="01水果",IFERROR(INDEX(对接源_01水果!$G$5:$G$507,MATCH(ROW()-3,对接源_01水果!$Q$5:$Q$507,0)),""),IFERROR(INDEX(对接源_02物料!$G$5:$G$460,MATCH(ROW()-3-N(对接源_01水果!$T$1),对接源_02物料!$Q$5:$Q$460,0)),"")))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98" s="67" t="str">
        <f aca="false">IF(OR($D98="客户应收",$D98="成品销售款",$D98="公司购买果品款",$D98="筐子销售款",$D98="物料销售款"),"客户往来",IFERROR(INDEX(收入成本映射!$C$4:$C$34,MATCH($D98,收入成本映射!$B$4:$B$34,0)),"不记账"))</f>
        <v>不记账</v>
      </c>
      <c r="J98" s="67" t="str">
        <f aca="false">IF($B98="","","0%")</f>
        <v/>
      </c>
      <c r="K98" s="70" t="n">
        <f aca="false">IF($I98="不记账",0,ROUND(N($G98),2))</f>
        <v>0</v>
      </c>
      <c r="L98" s="70" t="n">
        <v>0</v>
      </c>
      <c r="M98" s="67" t="str">
        <f aca="false">IF(OR($I98="不记账",ROUND(N($G98),2)=0),"",IFERROR(INDEX(收入成本映射!$E$4:$E$34,MATCH($D98,收入成本映射!$B$4:$B$34,0)),""))</f>
        <v/>
      </c>
      <c r="N98" s="70" t="str">
        <f aca="false">IF($M98="","",ROUND(N($G98),2))</f>
        <v/>
      </c>
      <c r="O98" s="70" t="str">
        <f aca="false">IF($M98="","",0)</f>
        <v/>
      </c>
      <c r="P98" s="67" t="str">
        <f aca="false">IF($M98="","",IFERROR(INDEX(收入成本映射!$F$4:$F$34,MATCH($D98,收入成本映射!$B$4:$B$34,0)),""))</f>
        <v/>
      </c>
      <c r="Q98" s="70" t="str">
        <f aca="false">IF($P98="","",0)</f>
        <v/>
      </c>
      <c r="R98" s="70" t="str">
        <f aca="false">IF($P98="","",ROUND(N($G98),2))</f>
        <v/>
      </c>
      <c r="S98" s="67" t="str">
        <f aca="false">""</f>
        <v/>
      </c>
      <c r="T98" s="70" t="str">
        <f aca="false">IF($S98="","",0)</f>
        <v/>
      </c>
      <c r="U98" s="70" t="str">
        <f aca="false">IF($S98="","",0)</f>
        <v/>
      </c>
      <c r="V98" s="66" t="str">
        <f aca="false">IF($B98="","",IF($B98="01水果",IFERROR(INDEX(对接源_01水果!$H$5:$H$507,MATCH(ROW()-3,对接源_01水果!$Q$5:$Q$507,0)),""),IFERROR(INDEX(对接源_02物料!$H$5:$H$460,MATCH(ROW()-3-N(对接源_01水果!$T$1),对接源_02物料!$Q$5:$Q$460,0)),"")))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99" customFormat="false" ht="18" hidden="false" customHeight="true" outlineLevel="0" collapsed="false">
      <c r="A99" s="66" t="n">
        <v>96</v>
      </c>
      <c r="B99" s="67" t="str">
        <f aca="false">IF(ROW()-3&lt;=N(对接源_01水果!$T$1),"01水果",IF(ROW()-3&lt;=N(对接源_01水果!$T$1)+N(对接源_02物料!$T$1),"02物料",""))</f>
        <v/>
      </c>
      <c r="C99" s="68" t="str">
        <f aca="false">IF($B99="","",IF($B99="01水果",IFERROR(INDEX(对接源_01水果!$B$5:$B$507,MATCH(ROW()-3,对接源_01水果!$Q$5:$Q$507,0)),""),IFERROR(INDEX(对接源_02物料!$B$5:$B$460,MATCH(ROW()-3-N(对接源_01水果!$T$1),对接源_02物料!$Q$5:$Q$460,0)),"")))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99" s="67" t="str">
        <f aca="false">IF($B99="","",IF($B99="01水果",IFERROR(INDEX(对接源_01水果!$C$5:$C$507,MATCH(ROW()-3,对接源_01水果!$Q$5:$Q$507,0)),""),IFERROR(INDEX(对接源_02物料!$C$5:$C$460,MATCH(ROW()-3-N(对接源_01水果!$T$1),对接源_02物料!$Q$5:$Q$460,0)),"")))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99" s="69" t="str">
        <f aca="false">IF($B99="","",IF($B99="01水果",IFERROR(INDEX(对接源_01水果!$D$5:$D$507,MATCH(ROW()-3,对接源_01水果!$Q$5:$Q$507,0)),""),IFERROR(INDEX(对接源_02物料!$D$5:$D$460,MATCH(ROW()-3-N(对接源_01水果!$T$1),对接源_02物料!$Q$5:$Q$460,0)),"")))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99" s="67" t="str">
        <f aca="false">IF($B99="","",IF($B99="01水果",IFERROR(INDEX(对接源_01水果!$E$5:$E$507,MATCH(ROW()-3,对接源_01水果!$Q$5:$Q$507,0)),""),IFERROR(INDEX(对接源_02物料!$E$5:$E$460,MATCH(ROW()-3-N(对接源_01水果!$T$1),对接源_02物料!$Q$5:$Q$460,0)),"")))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99" s="70" t="str">
        <f aca="false">IF($B99="","",IF($B99="01水果",IFERROR(INDEX(对接源_01水果!$F$5:$F$507,MATCH(ROW()-3,对接源_01水果!$Q$5:$Q$507,0)),""),IFERROR(INDEX(对接源_02物料!$F$5:$F$460,MATCH(ROW()-3-N(对接源_01水果!$T$1),对接源_02物料!$Q$5:$Q$460,0)),"")))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99" s="70" t="str">
        <f aca="false">IF($B99="","",IF($B99="01水果",IFERROR(INDEX(对接源_01水果!$G$5:$G$507,MATCH(ROW()-3,对接源_01水果!$Q$5:$Q$507,0)),""),IFERROR(INDEX(对接源_02物料!$G$5:$G$460,MATCH(ROW()-3-N(对接源_01水果!$T$1),对接源_02物料!$Q$5:$Q$460,0)),"")))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99" s="67" t="str">
        <f aca="false">IF(OR($D99="客户应收",$D99="成品销售款",$D99="公司购买果品款",$D99="筐子销售款",$D99="物料销售款"),"客户往来",IFERROR(INDEX(收入成本映射!$C$4:$C$34,MATCH($D99,收入成本映射!$B$4:$B$34,0)),"不记账"))</f>
        <v>不记账</v>
      </c>
      <c r="J99" s="67" t="str">
        <f aca="false">IF($B99="","","0%")</f>
        <v/>
      </c>
      <c r="K99" s="70" t="n">
        <f aca="false">IF($I99="不记账",0,ROUND(N($G99),2))</f>
        <v>0</v>
      </c>
      <c r="L99" s="70" t="n">
        <v>0</v>
      </c>
      <c r="M99" s="67" t="str">
        <f aca="false">IF(OR($I99="不记账",ROUND(N($G99),2)=0),"",IFERROR(INDEX(收入成本映射!$E$4:$E$34,MATCH($D99,收入成本映射!$B$4:$B$34,0)),""))</f>
        <v/>
      </c>
      <c r="N99" s="70" t="str">
        <f aca="false">IF($M99="","",ROUND(N($G99),2))</f>
        <v/>
      </c>
      <c r="O99" s="70" t="str">
        <f aca="false">IF($M99="","",0)</f>
        <v/>
      </c>
      <c r="P99" s="67" t="str">
        <f aca="false">IF($M99="","",IFERROR(INDEX(收入成本映射!$F$4:$F$34,MATCH($D99,收入成本映射!$B$4:$B$34,0)),""))</f>
        <v/>
      </c>
      <c r="Q99" s="70" t="str">
        <f aca="false">IF($P99="","",0)</f>
        <v/>
      </c>
      <c r="R99" s="70" t="str">
        <f aca="false">IF($P99="","",ROUND(N($G99),2))</f>
        <v/>
      </c>
      <c r="S99" s="67" t="str">
        <f aca="false">""</f>
        <v/>
      </c>
      <c r="T99" s="70" t="str">
        <f aca="false">IF($S99="","",0)</f>
        <v/>
      </c>
      <c r="U99" s="70" t="str">
        <f aca="false">IF($S99="","",0)</f>
        <v/>
      </c>
      <c r="V99" s="66" t="str">
        <f aca="false">IF($B99="","",IF($B99="01水果",IFERROR(INDEX(对接源_01水果!$H$5:$H$507,MATCH(ROW()-3,对接源_01水果!$Q$5:$Q$507,0)),""),IFERROR(INDEX(对接源_02物料!$H$5:$H$460,MATCH(ROW()-3-N(对接源_01水果!$T$1),对接源_02物料!$Q$5:$Q$460,0)),"")))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0" customFormat="false" ht="18" hidden="false" customHeight="true" outlineLevel="0" collapsed="false">
      <c r="A100" s="66" t="n">
        <v>97</v>
      </c>
      <c r="B100" s="67" t="str">
        <f aca="false">IF(ROW()-3&lt;=N(对接源_01水果!$T$1),"01水果",IF(ROW()-3&lt;=N(对接源_01水果!$T$1)+N(对接源_02物料!$T$1),"02物料",""))</f>
        <v/>
      </c>
      <c r="C100" s="68" t="str">
        <f aca="false">IF($B100="","",IF($B100="01水果",IFERROR(INDEX(对接源_01水果!$B$5:$B$507,MATCH(ROW()-3,对接源_01水果!$Q$5:$Q$507,0)),""),IFERROR(INDEX(对接源_02物料!$B$5:$B$460,MATCH(ROW()-3-N(对接源_01水果!$T$1),对接源_02物料!$Q$5:$Q$460,0)),"")))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0" s="67" t="str">
        <f aca="false">IF($B100="","",IF($B100="01水果",IFERROR(INDEX(对接源_01水果!$C$5:$C$507,MATCH(ROW()-3,对接源_01水果!$Q$5:$Q$507,0)),""),IFERROR(INDEX(对接源_02物料!$C$5:$C$460,MATCH(ROW()-3-N(对接源_01水果!$T$1),对接源_02物料!$Q$5:$Q$460,0)),"")))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0" s="69" t="str">
        <f aca="false">IF($B100="","",IF($B100="01水果",IFERROR(INDEX(对接源_01水果!$D$5:$D$507,MATCH(ROW()-3,对接源_01水果!$Q$5:$Q$507,0)),""),IFERROR(INDEX(对接源_02物料!$D$5:$D$460,MATCH(ROW()-3-N(对接源_01水果!$T$1),对接源_02物料!$Q$5:$Q$460,0)),"")))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0" s="67" t="str">
        <f aca="false">IF($B100="","",IF($B100="01水果",IFERROR(INDEX(对接源_01水果!$E$5:$E$507,MATCH(ROW()-3,对接源_01水果!$Q$5:$Q$507,0)),""),IFERROR(INDEX(对接源_02物料!$E$5:$E$460,MATCH(ROW()-3-N(对接源_01水果!$T$1),对接源_02物料!$Q$5:$Q$460,0)),"")))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0" s="70" t="str">
        <f aca="false">IF($B100="","",IF($B100="01水果",IFERROR(INDEX(对接源_01水果!$F$5:$F$507,MATCH(ROW()-3,对接源_01水果!$Q$5:$Q$507,0)),""),IFERROR(INDEX(对接源_02物料!$F$5:$F$460,MATCH(ROW()-3-N(对接源_01水果!$T$1),对接源_02物料!$Q$5:$Q$460,0)),"")))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0" s="70" t="str">
        <f aca="false">IF($B100="","",IF($B100="01水果",IFERROR(INDEX(对接源_01水果!$G$5:$G$507,MATCH(ROW()-3,对接源_01水果!$Q$5:$Q$507,0)),""),IFERROR(INDEX(对接源_02物料!$G$5:$G$460,MATCH(ROW()-3-N(对接源_01水果!$T$1),对接源_02物料!$Q$5:$Q$460,0)),"")))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0" s="67" t="str">
        <f aca="false">IF(OR($D100="客户应收",$D100="成品销售款",$D100="公司购买果品款",$D100="筐子销售款",$D100="物料销售款"),"客户往来",IFERROR(INDEX(收入成本映射!$C$4:$C$34,MATCH($D100,收入成本映射!$B$4:$B$34,0)),"不记账"))</f>
        <v>不记账</v>
      </c>
      <c r="J100" s="67" t="str">
        <f aca="false">IF($B100="","","0%")</f>
        <v/>
      </c>
      <c r="K100" s="70" t="n">
        <f aca="false">IF($I100="不记账",0,ROUND(N($G100),2))</f>
        <v>0</v>
      </c>
      <c r="L100" s="70" t="n">
        <v>0</v>
      </c>
      <c r="M100" s="67" t="str">
        <f aca="false">IF(OR($I100="不记账",ROUND(N($G100),2)=0),"",IFERROR(INDEX(收入成本映射!$E$4:$E$34,MATCH($D100,收入成本映射!$B$4:$B$34,0)),""))</f>
        <v/>
      </c>
      <c r="N100" s="70" t="str">
        <f aca="false">IF($M100="","",ROUND(N($G100),2))</f>
        <v/>
      </c>
      <c r="O100" s="70" t="str">
        <f aca="false">IF($M100="","",0)</f>
        <v/>
      </c>
      <c r="P100" s="67" t="str">
        <f aca="false">IF($M100="","",IFERROR(INDEX(收入成本映射!$F$4:$F$34,MATCH($D100,收入成本映射!$B$4:$B$34,0)),""))</f>
        <v/>
      </c>
      <c r="Q100" s="70" t="str">
        <f aca="false">IF($P100="","",0)</f>
        <v/>
      </c>
      <c r="R100" s="70" t="str">
        <f aca="false">IF($P100="","",ROUND(N($G100),2))</f>
        <v/>
      </c>
      <c r="S100" s="67" t="str">
        <f aca="false">""</f>
        <v/>
      </c>
      <c r="T100" s="70" t="str">
        <f aca="false">IF($S100="","",0)</f>
        <v/>
      </c>
      <c r="U100" s="70" t="str">
        <f aca="false">IF($S100="","",0)</f>
        <v/>
      </c>
      <c r="V100" s="66" t="str">
        <f aca="false">IF($B100="","",IF($B100="01水果",IFERROR(INDEX(对接源_01水果!$H$5:$H$507,MATCH(ROW()-3,对接源_01水果!$Q$5:$Q$507,0)),""),IFERROR(INDEX(对接源_02物料!$H$5:$H$460,MATCH(ROW()-3-N(对接源_01水果!$T$1),对接源_02物料!$Q$5:$Q$460,0)),"")))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1" customFormat="false" ht="18" hidden="false" customHeight="true" outlineLevel="0" collapsed="false">
      <c r="A101" s="66" t="n">
        <v>98</v>
      </c>
      <c r="B101" s="67" t="str">
        <f aca="false">IF(ROW()-3&lt;=N(对接源_01水果!$T$1),"01水果",IF(ROW()-3&lt;=N(对接源_01水果!$T$1)+N(对接源_02物料!$T$1),"02物料",""))</f>
        <v/>
      </c>
      <c r="C101" s="68" t="str">
        <f aca="false">IF($B101="","",IF($B101="01水果",IFERROR(INDEX(对接源_01水果!$B$5:$B$507,MATCH(ROW()-3,对接源_01水果!$Q$5:$Q$507,0)),""),IFERROR(INDEX(对接源_02物料!$B$5:$B$460,MATCH(ROW()-3-N(对接源_01水果!$T$1),对接源_02物料!$Q$5:$Q$460,0)),"")))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1" s="67" t="str">
        <f aca="false">IF($B101="","",IF($B101="01水果",IFERROR(INDEX(对接源_01水果!$C$5:$C$507,MATCH(ROW()-3,对接源_01水果!$Q$5:$Q$507,0)),""),IFERROR(INDEX(对接源_02物料!$C$5:$C$460,MATCH(ROW()-3-N(对接源_01水果!$T$1),对接源_02物料!$Q$5:$Q$460,0)),"")))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1" s="69" t="str">
        <f aca="false">IF($B101="","",IF($B101="01水果",IFERROR(INDEX(对接源_01水果!$D$5:$D$507,MATCH(ROW()-3,对接源_01水果!$Q$5:$Q$507,0)),""),IFERROR(INDEX(对接源_02物料!$D$5:$D$460,MATCH(ROW()-3-N(对接源_01水果!$T$1),对接源_02物料!$Q$5:$Q$460,0)),"")))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1" s="67" t="str">
        <f aca="false">IF($B101="","",IF($B101="01水果",IFERROR(INDEX(对接源_01水果!$E$5:$E$507,MATCH(ROW()-3,对接源_01水果!$Q$5:$Q$507,0)),""),IFERROR(INDEX(对接源_02物料!$E$5:$E$460,MATCH(ROW()-3-N(对接源_01水果!$T$1),对接源_02物料!$Q$5:$Q$460,0)),"")))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1" s="70" t="str">
        <f aca="false">IF($B101="","",IF($B101="01水果",IFERROR(INDEX(对接源_01水果!$F$5:$F$507,MATCH(ROW()-3,对接源_01水果!$Q$5:$Q$507,0)),""),IFERROR(INDEX(对接源_02物料!$F$5:$F$460,MATCH(ROW()-3-N(对接源_01水果!$T$1),对接源_02物料!$Q$5:$Q$460,0)),"")))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1" s="70" t="str">
        <f aca="false">IF($B101="","",IF($B101="01水果",IFERROR(INDEX(对接源_01水果!$G$5:$G$507,MATCH(ROW()-3,对接源_01水果!$Q$5:$Q$507,0)),""),IFERROR(INDEX(对接源_02物料!$G$5:$G$460,MATCH(ROW()-3-N(对接源_01水果!$T$1),对接源_02物料!$Q$5:$Q$460,0)),"")))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1" s="67" t="str">
        <f aca="false">IF(OR($D101="客户应收",$D101="成品销售款",$D101="公司购买果品款",$D101="筐子销售款",$D101="物料销售款"),"客户往来",IFERROR(INDEX(收入成本映射!$C$4:$C$34,MATCH($D101,收入成本映射!$B$4:$B$34,0)),"不记账"))</f>
        <v>不记账</v>
      </c>
      <c r="J101" s="67" t="str">
        <f aca="false">IF($B101="","","0%")</f>
        <v/>
      </c>
      <c r="K101" s="70" t="n">
        <f aca="false">IF($I101="不记账",0,ROUND(N($G101),2))</f>
        <v>0</v>
      </c>
      <c r="L101" s="70" t="n">
        <v>0</v>
      </c>
      <c r="M101" s="67" t="str">
        <f aca="false">IF(OR($I101="不记账",ROUND(N($G101),2)=0),"",IFERROR(INDEX(收入成本映射!$E$4:$E$34,MATCH($D101,收入成本映射!$B$4:$B$34,0)),""))</f>
        <v/>
      </c>
      <c r="N101" s="70" t="str">
        <f aca="false">IF($M101="","",ROUND(N($G101),2))</f>
        <v/>
      </c>
      <c r="O101" s="70" t="str">
        <f aca="false">IF($M101="","",0)</f>
        <v/>
      </c>
      <c r="P101" s="67" t="str">
        <f aca="false">IF($M101="","",IFERROR(INDEX(收入成本映射!$F$4:$F$34,MATCH($D101,收入成本映射!$B$4:$B$34,0)),""))</f>
        <v/>
      </c>
      <c r="Q101" s="70" t="str">
        <f aca="false">IF($P101="","",0)</f>
        <v/>
      </c>
      <c r="R101" s="70" t="str">
        <f aca="false">IF($P101="","",ROUND(N($G101),2))</f>
        <v/>
      </c>
      <c r="S101" s="67" t="str">
        <f aca="false">""</f>
        <v/>
      </c>
      <c r="T101" s="70" t="str">
        <f aca="false">IF($S101="","",0)</f>
        <v/>
      </c>
      <c r="U101" s="70" t="str">
        <f aca="false">IF($S101="","",0)</f>
        <v/>
      </c>
      <c r="V101" s="66" t="str">
        <f aca="false">IF($B101="","",IF($B101="01水果",IFERROR(INDEX(对接源_01水果!$H$5:$H$507,MATCH(ROW()-3,对接源_01水果!$Q$5:$Q$507,0)),""),IFERROR(INDEX(对接源_02物料!$H$5:$H$460,MATCH(ROW()-3-N(对接源_01水果!$T$1),对接源_02物料!$Q$5:$Q$460,0)),"")))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2" customFormat="false" ht="18" hidden="false" customHeight="true" outlineLevel="0" collapsed="false">
      <c r="A102" s="66" t="n">
        <v>99</v>
      </c>
      <c r="B102" s="67" t="str">
        <f aca="false">IF(ROW()-3&lt;=N(对接源_01水果!$T$1),"01水果",IF(ROW()-3&lt;=N(对接源_01水果!$T$1)+N(对接源_02物料!$T$1),"02物料",""))</f>
        <v/>
      </c>
      <c r="C102" s="68" t="str">
        <f aca="false">IF($B102="","",IF($B102="01水果",IFERROR(INDEX(对接源_01水果!$B$5:$B$507,MATCH(ROW()-3,对接源_01水果!$Q$5:$Q$507,0)),""),IFERROR(INDEX(对接源_02物料!$B$5:$B$460,MATCH(ROW()-3-N(对接源_01水果!$T$1),对接源_02物料!$Q$5:$Q$460,0)),"")))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2" s="67" t="str">
        <f aca="false">IF($B102="","",IF($B102="01水果",IFERROR(INDEX(对接源_01水果!$C$5:$C$507,MATCH(ROW()-3,对接源_01水果!$Q$5:$Q$507,0)),""),IFERROR(INDEX(对接源_02物料!$C$5:$C$460,MATCH(ROW()-3-N(对接源_01水果!$T$1),对接源_02物料!$Q$5:$Q$460,0)),"")))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2" s="69" t="str">
        <f aca="false">IF($B102="","",IF($B102="01水果",IFERROR(INDEX(对接源_01水果!$D$5:$D$507,MATCH(ROW()-3,对接源_01水果!$Q$5:$Q$507,0)),""),IFERROR(INDEX(对接源_02物料!$D$5:$D$460,MATCH(ROW()-3-N(对接源_01水果!$T$1),对接源_02物料!$Q$5:$Q$460,0)),"")))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2" s="67" t="str">
        <f aca="false">IF($B102="","",IF($B102="01水果",IFERROR(INDEX(对接源_01水果!$E$5:$E$507,MATCH(ROW()-3,对接源_01水果!$Q$5:$Q$507,0)),""),IFERROR(INDEX(对接源_02物料!$E$5:$E$460,MATCH(ROW()-3-N(对接源_01水果!$T$1),对接源_02物料!$Q$5:$Q$460,0)),"")))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2" s="70" t="str">
        <f aca="false">IF($B102="","",IF($B102="01水果",IFERROR(INDEX(对接源_01水果!$F$5:$F$507,MATCH(ROW()-3,对接源_01水果!$Q$5:$Q$507,0)),""),IFERROR(INDEX(对接源_02物料!$F$5:$F$460,MATCH(ROW()-3-N(对接源_01水果!$T$1),对接源_02物料!$Q$5:$Q$460,0)),"")))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2" s="70" t="str">
        <f aca="false">IF($B102="","",IF($B102="01水果",IFERROR(INDEX(对接源_01水果!$G$5:$G$507,MATCH(ROW()-3,对接源_01水果!$Q$5:$Q$507,0)),""),IFERROR(INDEX(对接源_02物料!$G$5:$G$460,MATCH(ROW()-3-N(对接源_01水果!$T$1),对接源_02物料!$Q$5:$Q$460,0)),"")))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2" s="67" t="str">
        <f aca="false">IF(OR($D102="客户应收",$D102="成品销售款",$D102="公司购买果品款",$D102="筐子销售款",$D102="物料销售款"),"客户往来",IFERROR(INDEX(收入成本映射!$C$4:$C$34,MATCH($D102,收入成本映射!$B$4:$B$34,0)),"不记账"))</f>
        <v>不记账</v>
      </c>
      <c r="J102" s="67" t="str">
        <f aca="false">IF($B102="","","0%")</f>
        <v/>
      </c>
      <c r="K102" s="70" t="n">
        <f aca="false">IF($I102="不记账",0,ROUND(N($G102),2))</f>
        <v>0</v>
      </c>
      <c r="L102" s="70" t="n">
        <v>0</v>
      </c>
      <c r="M102" s="67" t="str">
        <f aca="false">IF(OR($I102="不记账",ROUND(N($G102),2)=0),"",IFERROR(INDEX(收入成本映射!$E$4:$E$34,MATCH($D102,收入成本映射!$B$4:$B$34,0)),""))</f>
        <v/>
      </c>
      <c r="N102" s="70" t="str">
        <f aca="false">IF($M102="","",ROUND(N($G102),2))</f>
        <v/>
      </c>
      <c r="O102" s="70" t="str">
        <f aca="false">IF($M102="","",0)</f>
        <v/>
      </c>
      <c r="P102" s="67" t="str">
        <f aca="false">IF($M102="","",IFERROR(INDEX(收入成本映射!$F$4:$F$34,MATCH($D102,收入成本映射!$B$4:$B$34,0)),""))</f>
        <v/>
      </c>
      <c r="Q102" s="70" t="str">
        <f aca="false">IF($P102="","",0)</f>
        <v/>
      </c>
      <c r="R102" s="70" t="str">
        <f aca="false">IF($P102="","",ROUND(N($G102),2))</f>
        <v/>
      </c>
      <c r="S102" s="67" t="str">
        <f aca="false">""</f>
        <v/>
      </c>
      <c r="T102" s="70" t="str">
        <f aca="false">IF($S102="","",0)</f>
        <v/>
      </c>
      <c r="U102" s="70" t="str">
        <f aca="false">IF($S102="","",0)</f>
        <v/>
      </c>
      <c r="V102" s="66" t="str">
        <f aca="false">IF($B102="","",IF($B102="01水果",IFERROR(INDEX(对接源_01水果!$H$5:$H$507,MATCH(ROW()-3,对接源_01水果!$Q$5:$Q$507,0)),""),IFERROR(INDEX(对接源_02物料!$H$5:$H$460,MATCH(ROW()-3-N(对接源_01水果!$T$1),对接源_02物料!$Q$5:$Q$460,0)),"")))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3" customFormat="false" ht="18" hidden="false" customHeight="true" outlineLevel="0" collapsed="false">
      <c r="A103" s="66" t="n">
        <v>100</v>
      </c>
      <c r="B103" s="67" t="str">
        <f aca="false">IF(ROW()-3&lt;=N(对接源_01水果!$T$1),"01水果",IF(ROW()-3&lt;=N(对接源_01水果!$T$1)+N(对接源_02物料!$T$1),"02物料",""))</f>
        <v/>
      </c>
      <c r="C103" s="68" t="str">
        <f aca="false">IF($B103="","",IF($B103="01水果",IFERROR(INDEX(对接源_01水果!$B$5:$B$507,MATCH(ROW()-3,对接源_01水果!$Q$5:$Q$507,0)),""),IFERROR(INDEX(对接源_02物料!$B$5:$B$460,MATCH(ROW()-3-N(对接源_01水果!$T$1),对接源_02物料!$Q$5:$Q$460,0)),"")))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3" s="67" t="str">
        <f aca="false">IF($B103="","",IF($B103="01水果",IFERROR(INDEX(对接源_01水果!$C$5:$C$507,MATCH(ROW()-3,对接源_01水果!$Q$5:$Q$507,0)),""),IFERROR(INDEX(对接源_02物料!$C$5:$C$460,MATCH(ROW()-3-N(对接源_01水果!$T$1),对接源_02物料!$Q$5:$Q$460,0)),"")))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3" s="69" t="str">
        <f aca="false">IF($B103="","",IF($B103="01水果",IFERROR(INDEX(对接源_01水果!$D$5:$D$507,MATCH(ROW()-3,对接源_01水果!$Q$5:$Q$507,0)),""),IFERROR(INDEX(对接源_02物料!$D$5:$D$460,MATCH(ROW()-3-N(对接源_01水果!$T$1),对接源_02物料!$Q$5:$Q$460,0)),"")))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3" s="67" t="str">
        <f aca="false">IF($B103="","",IF($B103="01水果",IFERROR(INDEX(对接源_01水果!$E$5:$E$507,MATCH(ROW()-3,对接源_01水果!$Q$5:$Q$507,0)),""),IFERROR(INDEX(对接源_02物料!$E$5:$E$460,MATCH(ROW()-3-N(对接源_01水果!$T$1),对接源_02物料!$Q$5:$Q$460,0)),"")))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3" s="70" t="str">
        <f aca="false">IF($B103="","",IF($B103="01水果",IFERROR(INDEX(对接源_01水果!$F$5:$F$507,MATCH(ROW()-3,对接源_01水果!$Q$5:$Q$507,0)),""),IFERROR(INDEX(对接源_02物料!$F$5:$F$460,MATCH(ROW()-3-N(对接源_01水果!$T$1),对接源_02物料!$Q$5:$Q$460,0)),"")))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3" s="70" t="str">
        <f aca="false">IF($B103="","",IF($B103="01水果",IFERROR(INDEX(对接源_01水果!$G$5:$G$507,MATCH(ROW()-3,对接源_01水果!$Q$5:$Q$507,0)),""),IFERROR(INDEX(对接源_02物料!$G$5:$G$460,MATCH(ROW()-3-N(对接源_01水果!$T$1),对接源_02物料!$Q$5:$Q$460,0)),"")))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3" s="67" t="str">
        <f aca="false">IF(OR($D103="客户应收",$D103="成品销售款",$D103="公司购买果品款",$D103="筐子销售款",$D103="物料销售款"),"客户往来",IFERROR(INDEX(收入成本映射!$C$4:$C$34,MATCH($D103,收入成本映射!$B$4:$B$34,0)),"不记账"))</f>
        <v>不记账</v>
      </c>
      <c r="J103" s="67" t="str">
        <f aca="false">IF($B103="","","0%")</f>
        <v/>
      </c>
      <c r="K103" s="70" t="n">
        <f aca="false">IF($I103="不记账",0,ROUND(N($G103),2))</f>
        <v>0</v>
      </c>
      <c r="L103" s="70" t="n">
        <v>0</v>
      </c>
      <c r="M103" s="67" t="str">
        <f aca="false">IF(OR($I103="不记账",ROUND(N($G103),2)=0),"",IFERROR(INDEX(收入成本映射!$E$4:$E$34,MATCH($D103,收入成本映射!$B$4:$B$34,0)),""))</f>
        <v/>
      </c>
      <c r="N103" s="70" t="str">
        <f aca="false">IF($M103="","",ROUND(N($G103),2))</f>
        <v/>
      </c>
      <c r="O103" s="70" t="str">
        <f aca="false">IF($M103="","",0)</f>
        <v/>
      </c>
      <c r="P103" s="67" t="str">
        <f aca="false">IF($M103="","",IFERROR(INDEX(收入成本映射!$F$4:$F$34,MATCH($D103,收入成本映射!$B$4:$B$34,0)),""))</f>
        <v/>
      </c>
      <c r="Q103" s="70" t="str">
        <f aca="false">IF($P103="","",0)</f>
        <v/>
      </c>
      <c r="R103" s="70" t="str">
        <f aca="false">IF($P103="","",ROUND(N($G103),2))</f>
        <v/>
      </c>
      <c r="S103" s="67" t="str">
        <f aca="false">""</f>
        <v/>
      </c>
      <c r="T103" s="70" t="str">
        <f aca="false">IF($S103="","",0)</f>
        <v/>
      </c>
      <c r="U103" s="70" t="str">
        <f aca="false">IF($S103="","",0)</f>
        <v/>
      </c>
      <c r="V103" s="66" t="str">
        <f aca="false">IF($B103="","",IF($B103="01水果",IFERROR(INDEX(对接源_01水果!$H$5:$H$507,MATCH(ROW()-3,对接源_01水果!$Q$5:$Q$507,0)),""),IFERROR(INDEX(对接源_02物料!$H$5:$H$460,MATCH(ROW()-3-N(对接源_01水果!$T$1),对接源_02物料!$Q$5:$Q$460,0)),"")))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4" customFormat="false" ht="18" hidden="false" customHeight="true" outlineLevel="0" collapsed="false">
      <c r="A104" s="66" t="n">
        <v>101</v>
      </c>
      <c r="B104" s="67" t="str">
        <f aca="false">IF(ROW()-3&lt;=N(对接源_01水果!$T$1),"01水果",IF(ROW()-3&lt;=N(对接源_01水果!$T$1)+N(对接源_02物料!$T$1),"02物料",""))</f>
        <v/>
      </c>
      <c r="C104" s="68" t="str">
        <f aca="false">IF($B104="","",IF($B104="01水果",IFERROR(INDEX(对接源_01水果!$B$5:$B$507,MATCH(ROW()-3,对接源_01水果!$Q$5:$Q$507,0)),""),IFERROR(INDEX(对接源_02物料!$B$5:$B$460,MATCH(ROW()-3-N(对接源_01水果!$T$1),对接源_02物料!$Q$5:$Q$460,0)),"")))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4" s="67" t="str">
        <f aca="false">IF($B104="","",IF($B104="01水果",IFERROR(INDEX(对接源_01水果!$C$5:$C$507,MATCH(ROW()-3,对接源_01水果!$Q$5:$Q$507,0)),""),IFERROR(INDEX(对接源_02物料!$C$5:$C$460,MATCH(ROW()-3-N(对接源_01水果!$T$1),对接源_02物料!$Q$5:$Q$460,0)),"")))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4" s="69" t="str">
        <f aca="false">IF($B104="","",IF($B104="01水果",IFERROR(INDEX(对接源_01水果!$D$5:$D$507,MATCH(ROW()-3,对接源_01水果!$Q$5:$Q$507,0)),""),IFERROR(INDEX(对接源_02物料!$D$5:$D$460,MATCH(ROW()-3-N(对接源_01水果!$T$1),对接源_02物料!$Q$5:$Q$460,0)),"")))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4" s="67" t="str">
        <f aca="false">IF($B104="","",IF($B104="01水果",IFERROR(INDEX(对接源_01水果!$E$5:$E$507,MATCH(ROW()-3,对接源_01水果!$Q$5:$Q$507,0)),""),IFERROR(INDEX(对接源_02物料!$E$5:$E$460,MATCH(ROW()-3-N(对接源_01水果!$T$1),对接源_02物料!$Q$5:$Q$460,0)),"")))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4" s="70" t="str">
        <f aca="false">IF($B104="","",IF($B104="01水果",IFERROR(INDEX(对接源_01水果!$F$5:$F$507,MATCH(ROW()-3,对接源_01水果!$Q$5:$Q$507,0)),""),IFERROR(INDEX(对接源_02物料!$F$5:$F$460,MATCH(ROW()-3-N(对接源_01水果!$T$1),对接源_02物料!$Q$5:$Q$460,0)),"")))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4" s="70" t="str">
        <f aca="false">IF($B104="","",IF($B104="01水果",IFERROR(INDEX(对接源_01水果!$G$5:$G$507,MATCH(ROW()-3,对接源_01水果!$Q$5:$Q$507,0)),""),IFERROR(INDEX(对接源_02物料!$G$5:$G$460,MATCH(ROW()-3-N(对接源_01水果!$T$1),对接源_02物料!$Q$5:$Q$460,0)),"")))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4" s="67" t="str">
        <f aca="false">IF(OR($D104="客户应收",$D104="成品销售款",$D104="公司购买果品款",$D104="筐子销售款",$D104="物料销售款"),"客户往来",IFERROR(INDEX(收入成本映射!$C$4:$C$34,MATCH($D104,收入成本映射!$B$4:$B$34,0)),"不记账"))</f>
        <v>不记账</v>
      </c>
      <c r="J104" s="67" t="str">
        <f aca="false">IF($B104="","","0%")</f>
        <v/>
      </c>
      <c r="K104" s="70" t="n">
        <f aca="false">IF($I104="不记账",0,ROUND(N($G104),2))</f>
        <v>0</v>
      </c>
      <c r="L104" s="70" t="n">
        <v>0</v>
      </c>
      <c r="M104" s="67" t="str">
        <f aca="false">IF(OR($I104="不记账",ROUND(N($G104),2)=0),"",IFERROR(INDEX(收入成本映射!$E$4:$E$34,MATCH($D104,收入成本映射!$B$4:$B$34,0)),""))</f>
        <v/>
      </c>
      <c r="N104" s="70" t="str">
        <f aca="false">IF($M104="","",ROUND(N($G104),2))</f>
        <v/>
      </c>
      <c r="O104" s="70" t="str">
        <f aca="false">IF($M104="","",0)</f>
        <v/>
      </c>
      <c r="P104" s="67" t="str">
        <f aca="false">IF($M104="","",IFERROR(INDEX(收入成本映射!$F$4:$F$34,MATCH($D104,收入成本映射!$B$4:$B$34,0)),""))</f>
        <v/>
      </c>
      <c r="Q104" s="70" t="str">
        <f aca="false">IF($P104="","",0)</f>
        <v/>
      </c>
      <c r="R104" s="70" t="str">
        <f aca="false">IF($P104="","",ROUND(N($G104),2))</f>
        <v/>
      </c>
      <c r="S104" s="67" t="str">
        <f aca="false">""</f>
        <v/>
      </c>
      <c r="T104" s="70" t="str">
        <f aca="false">IF($S104="","",0)</f>
        <v/>
      </c>
      <c r="U104" s="70" t="str">
        <f aca="false">IF($S104="","",0)</f>
        <v/>
      </c>
      <c r="V104" s="66" t="str">
        <f aca="false">IF($B104="","",IF($B104="01水果",IFERROR(INDEX(对接源_01水果!$H$5:$H$507,MATCH(ROW()-3,对接源_01水果!$Q$5:$Q$507,0)),""),IFERROR(INDEX(对接源_02物料!$H$5:$H$460,MATCH(ROW()-3-N(对接源_01水果!$T$1),对接源_02物料!$Q$5:$Q$460,0)),"")))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5" customFormat="false" ht="18" hidden="false" customHeight="true" outlineLevel="0" collapsed="false">
      <c r="A105" s="66" t="n">
        <v>102</v>
      </c>
      <c r="B105" s="67" t="str">
        <f aca="false">IF(ROW()-3&lt;=N(对接源_01水果!$T$1),"01水果",IF(ROW()-3&lt;=N(对接源_01水果!$T$1)+N(对接源_02物料!$T$1),"02物料",""))</f>
        <v/>
      </c>
      <c r="C105" s="68" t="str">
        <f aca="false">IF($B105="","",IF($B105="01水果",IFERROR(INDEX(对接源_01水果!$B$5:$B$507,MATCH(ROW()-3,对接源_01水果!$Q$5:$Q$507,0)),""),IFERROR(INDEX(对接源_02物料!$B$5:$B$460,MATCH(ROW()-3-N(对接源_01水果!$T$1),对接源_02物料!$Q$5:$Q$460,0)),"")))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5" s="67" t="str">
        <f aca="false">IF($B105="","",IF($B105="01水果",IFERROR(INDEX(对接源_01水果!$C$5:$C$507,MATCH(ROW()-3,对接源_01水果!$Q$5:$Q$507,0)),""),IFERROR(INDEX(对接源_02物料!$C$5:$C$460,MATCH(ROW()-3-N(对接源_01水果!$T$1),对接源_02物料!$Q$5:$Q$460,0)),"")))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5" s="69" t="str">
        <f aca="false">IF($B105="","",IF($B105="01水果",IFERROR(INDEX(对接源_01水果!$D$5:$D$507,MATCH(ROW()-3,对接源_01水果!$Q$5:$Q$507,0)),""),IFERROR(INDEX(对接源_02物料!$D$5:$D$460,MATCH(ROW()-3-N(对接源_01水果!$T$1),对接源_02物料!$Q$5:$Q$460,0)),"")))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5" s="67" t="str">
        <f aca="false">IF($B105="","",IF($B105="01水果",IFERROR(INDEX(对接源_01水果!$E$5:$E$507,MATCH(ROW()-3,对接源_01水果!$Q$5:$Q$507,0)),""),IFERROR(INDEX(对接源_02物料!$E$5:$E$460,MATCH(ROW()-3-N(对接源_01水果!$T$1),对接源_02物料!$Q$5:$Q$460,0)),"")))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5" s="70" t="str">
        <f aca="false">IF($B105="","",IF($B105="01水果",IFERROR(INDEX(对接源_01水果!$F$5:$F$507,MATCH(ROW()-3,对接源_01水果!$Q$5:$Q$507,0)),""),IFERROR(INDEX(对接源_02物料!$F$5:$F$460,MATCH(ROW()-3-N(对接源_01水果!$T$1),对接源_02物料!$Q$5:$Q$460,0)),"")))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5" s="70" t="str">
        <f aca="false">IF($B105="","",IF($B105="01水果",IFERROR(INDEX(对接源_01水果!$G$5:$G$507,MATCH(ROW()-3,对接源_01水果!$Q$5:$Q$507,0)),""),IFERROR(INDEX(对接源_02物料!$G$5:$G$460,MATCH(ROW()-3-N(对接源_01水果!$T$1),对接源_02物料!$Q$5:$Q$460,0)),"")))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5" s="67" t="str">
        <f aca="false">IF(OR($D105="客户应收",$D105="成品销售款",$D105="公司购买果品款",$D105="筐子销售款",$D105="物料销售款"),"客户往来",IFERROR(INDEX(收入成本映射!$C$4:$C$34,MATCH($D105,收入成本映射!$B$4:$B$34,0)),"不记账"))</f>
        <v>不记账</v>
      </c>
      <c r="J105" s="67" t="str">
        <f aca="false">IF($B105="","","0%")</f>
        <v/>
      </c>
      <c r="K105" s="70" t="n">
        <f aca="false">IF($I105="不记账",0,ROUND(N($G105),2))</f>
        <v>0</v>
      </c>
      <c r="L105" s="70" t="n">
        <v>0</v>
      </c>
      <c r="M105" s="67" t="str">
        <f aca="false">IF(OR($I105="不记账",ROUND(N($G105),2)=0),"",IFERROR(INDEX(收入成本映射!$E$4:$E$34,MATCH($D105,收入成本映射!$B$4:$B$34,0)),""))</f>
        <v/>
      </c>
      <c r="N105" s="70" t="str">
        <f aca="false">IF($M105="","",ROUND(N($G105),2))</f>
        <v/>
      </c>
      <c r="O105" s="70" t="str">
        <f aca="false">IF($M105="","",0)</f>
        <v/>
      </c>
      <c r="P105" s="67" t="str">
        <f aca="false">IF($M105="","",IFERROR(INDEX(收入成本映射!$F$4:$F$34,MATCH($D105,收入成本映射!$B$4:$B$34,0)),""))</f>
        <v/>
      </c>
      <c r="Q105" s="70" t="str">
        <f aca="false">IF($P105="","",0)</f>
        <v/>
      </c>
      <c r="R105" s="70" t="str">
        <f aca="false">IF($P105="","",ROUND(N($G105),2))</f>
        <v/>
      </c>
      <c r="S105" s="67" t="str">
        <f aca="false">""</f>
        <v/>
      </c>
      <c r="T105" s="70" t="str">
        <f aca="false">IF($S105="","",0)</f>
        <v/>
      </c>
      <c r="U105" s="70" t="str">
        <f aca="false">IF($S105="","",0)</f>
        <v/>
      </c>
      <c r="V105" s="66" t="str">
        <f aca="false">IF($B105="","",IF($B105="01水果",IFERROR(INDEX(对接源_01水果!$H$5:$H$507,MATCH(ROW()-3,对接源_01水果!$Q$5:$Q$507,0)),""),IFERROR(INDEX(对接源_02物料!$H$5:$H$460,MATCH(ROW()-3-N(对接源_01水果!$T$1),对接源_02物料!$Q$5:$Q$460,0)),"")))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6" customFormat="false" ht="18" hidden="false" customHeight="true" outlineLevel="0" collapsed="false">
      <c r="A106" s="66" t="n">
        <v>103</v>
      </c>
      <c r="B106" s="67" t="str">
        <f aca="false">IF(ROW()-3&lt;=N(对接源_01水果!$T$1),"01水果",IF(ROW()-3&lt;=N(对接源_01水果!$T$1)+N(对接源_02物料!$T$1),"02物料",""))</f>
        <v/>
      </c>
      <c r="C106" s="68" t="str">
        <f aca="false">IF($B106="","",IF($B106="01水果",IFERROR(INDEX(对接源_01水果!$B$5:$B$507,MATCH(ROW()-3,对接源_01水果!$Q$5:$Q$507,0)),""),IFERROR(INDEX(对接源_02物料!$B$5:$B$460,MATCH(ROW()-3-N(对接源_01水果!$T$1),对接源_02物料!$Q$5:$Q$460,0)),"")))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6" s="67" t="str">
        <f aca="false">IF($B106="","",IF($B106="01水果",IFERROR(INDEX(对接源_01水果!$C$5:$C$507,MATCH(ROW()-3,对接源_01水果!$Q$5:$Q$507,0)),""),IFERROR(INDEX(对接源_02物料!$C$5:$C$460,MATCH(ROW()-3-N(对接源_01水果!$T$1),对接源_02物料!$Q$5:$Q$460,0)),"")))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6" s="69" t="str">
        <f aca="false">IF($B106="","",IF($B106="01水果",IFERROR(INDEX(对接源_01水果!$D$5:$D$507,MATCH(ROW()-3,对接源_01水果!$Q$5:$Q$507,0)),""),IFERROR(INDEX(对接源_02物料!$D$5:$D$460,MATCH(ROW()-3-N(对接源_01水果!$T$1),对接源_02物料!$Q$5:$Q$460,0)),"")))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6" s="67" t="str">
        <f aca="false">IF($B106="","",IF($B106="01水果",IFERROR(INDEX(对接源_01水果!$E$5:$E$507,MATCH(ROW()-3,对接源_01水果!$Q$5:$Q$507,0)),""),IFERROR(INDEX(对接源_02物料!$E$5:$E$460,MATCH(ROW()-3-N(对接源_01水果!$T$1),对接源_02物料!$Q$5:$Q$460,0)),"")))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6" s="70" t="str">
        <f aca="false">IF($B106="","",IF($B106="01水果",IFERROR(INDEX(对接源_01水果!$F$5:$F$507,MATCH(ROW()-3,对接源_01水果!$Q$5:$Q$507,0)),""),IFERROR(INDEX(对接源_02物料!$F$5:$F$460,MATCH(ROW()-3-N(对接源_01水果!$T$1),对接源_02物料!$Q$5:$Q$460,0)),"")))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6" s="70" t="str">
        <f aca="false">IF($B106="","",IF($B106="01水果",IFERROR(INDEX(对接源_01水果!$G$5:$G$507,MATCH(ROW()-3,对接源_01水果!$Q$5:$Q$507,0)),""),IFERROR(INDEX(对接源_02物料!$G$5:$G$460,MATCH(ROW()-3-N(对接源_01水果!$T$1),对接源_02物料!$Q$5:$Q$460,0)),"")))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6" s="67" t="str">
        <f aca="false">IF(OR($D106="客户应收",$D106="成品销售款",$D106="公司购买果品款",$D106="筐子销售款",$D106="物料销售款"),"客户往来",IFERROR(INDEX(收入成本映射!$C$4:$C$34,MATCH($D106,收入成本映射!$B$4:$B$34,0)),"不记账"))</f>
        <v>不记账</v>
      </c>
      <c r="J106" s="67" t="str">
        <f aca="false">IF($B106="","","0%")</f>
        <v/>
      </c>
      <c r="K106" s="70" t="n">
        <f aca="false">IF($I106="不记账",0,ROUND(N($G106),2))</f>
        <v>0</v>
      </c>
      <c r="L106" s="70" t="n">
        <v>0</v>
      </c>
      <c r="M106" s="67" t="str">
        <f aca="false">IF(OR($I106="不记账",ROUND(N($G106),2)=0),"",IFERROR(INDEX(收入成本映射!$E$4:$E$34,MATCH($D106,收入成本映射!$B$4:$B$34,0)),""))</f>
        <v/>
      </c>
      <c r="N106" s="70" t="str">
        <f aca="false">IF($M106="","",ROUND(N($G106),2))</f>
        <v/>
      </c>
      <c r="O106" s="70" t="str">
        <f aca="false">IF($M106="","",0)</f>
        <v/>
      </c>
      <c r="P106" s="67" t="str">
        <f aca="false">IF($M106="","",IFERROR(INDEX(收入成本映射!$F$4:$F$34,MATCH($D106,收入成本映射!$B$4:$B$34,0)),""))</f>
        <v/>
      </c>
      <c r="Q106" s="70" t="str">
        <f aca="false">IF($P106="","",0)</f>
        <v/>
      </c>
      <c r="R106" s="70" t="str">
        <f aca="false">IF($P106="","",ROUND(N($G106),2))</f>
        <v/>
      </c>
      <c r="S106" s="67" t="str">
        <f aca="false">""</f>
        <v/>
      </c>
      <c r="T106" s="70" t="str">
        <f aca="false">IF($S106="","",0)</f>
        <v/>
      </c>
      <c r="U106" s="70" t="str">
        <f aca="false">IF($S106="","",0)</f>
        <v/>
      </c>
      <c r="V106" s="66" t="str">
        <f aca="false">IF($B106="","",IF($B106="01水果",IFERROR(INDEX(对接源_01水果!$H$5:$H$507,MATCH(ROW()-3,对接源_01水果!$Q$5:$Q$507,0)),""),IFERROR(INDEX(对接源_02物料!$H$5:$H$460,MATCH(ROW()-3-N(对接源_01水果!$T$1),对接源_02物料!$Q$5:$Q$460,0)),"")))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7" customFormat="false" ht="18" hidden="false" customHeight="true" outlineLevel="0" collapsed="false">
      <c r="A107" s="66" t="n">
        <v>104</v>
      </c>
      <c r="B107" s="67" t="str">
        <f aca="false">IF(ROW()-3&lt;=N(对接源_01水果!$T$1),"01水果",IF(ROW()-3&lt;=N(对接源_01水果!$T$1)+N(对接源_02物料!$T$1),"02物料",""))</f>
        <v/>
      </c>
      <c r="C107" s="68" t="str">
        <f aca="false">IF($B107="","",IF($B107="01水果",IFERROR(INDEX(对接源_01水果!$B$5:$B$507,MATCH(ROW()-3,对接源_01水果!$Q$5:$Q$507,0)),""),IFERROR(INDEX(对接源_02物料!$B$5:$B$460,MATCH(ROW()-3-N(对接源_01水果!$T$1),对接源_02物料!$Q$5:$Q$460,0)),"")))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7" s="67" t="str">
        <f aca="false">IF($B107="","",IF($B107="01水果",IFERROR(INDEX(对接源_01水果!$C$5:$C$507,MATCH(ROW()-3,对接源_01水果!$Q$5:$Q$507,0)),""),IFERROR(INDEX(对接源_02物料!$C$5:$C$460,MATCH(ROW()-3-N(对接源_01水果!$T$1),对接源_02物料!$Q$5:$Q$460,0)),"")))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7" s="69" t="str">
        <f aca="false">IF($B107="","",IF($B107="01水果",IFERROR(INDEX(对接源_01水果!$D$5:$D$507,MATCH(ROW()-3,对接源_01水果!$Q$5:$Q$507,0)),""),IFERROR(INDEX(对接源_02物料!$D$5:$D$460,MATCH(ROW()-3-N(对接源_01水果!$T$1),对接源_02物料!$Q$5:$Q$460,0)),"")))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7" s="67" t="str">
        <f aca="false">IF($B107="","",IF($B107="01水果",IFERROR(INDEX(对接源_01水果!$E$5:$E$507,MATCH(ROW()-3,对接源_01水果!$Q$5:$Q$507,0)),""),IFERROR(INDEX(对接源_02物料!$E$5:$E$460,MATCH(ROW()-3-N(对接源_01水果!$T$1),对接源_02物料!$Q$5:$Q$460,0)),"")))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7" s="70" t="str">
        <f aca="false">IF($B107="","",IF($B107="01水果",IFERROR(INDEX(对接源_01水果!$F$5:$F$507,MATCH(ROW()-3,对接源_01水果!$Q$5:$Q$507,0)),""),IFERROR(INDEX(对接源_02物料!$F$5:$F$460,MATCH(ROW()-3-N(对接源_01水果!$T$1),对接源_02物料!$Q$5:$Q$460,0)),"")))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7" s="70" t="str">
        <f aca="false">IF($B107="","",IF($B107="01水果",IFERROR(INDEX(对接源_01水果!$G$5:$G$507,MATCH(ROW()-3,对接源_01水果!$Q$5:$Q$507,0)),""),IFERROR(INDEX(对接源_02物料!$G$5:$G$460,MATCH(ROW()-3-N(对接源_01水果!$T$1),对接源_02物料!$Q$5:$Q$460,0)),"")))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7" s="67" t="str">
        <f aca="false">IF(OR($D107="客户应收",$D107="成品销售款",$D107="公司购买果品款",$D107="筐子销售款",$D107="物料销售款"),"客户往来",IFERROR(INDEX(收入成本映射!$C$4:$C$34,MATCH($D107,收入成本映射!$B$4:$B$34,0)),"不记账"))</f>
        <v>不记账</v>
      </c>
      <c r="J107" s="67" t="str">
        <f aca="false">IF($B107="","","0%")</f>
        <v/>
      </c>
      <c r="K107" s="70" t="n">
        <f aca="false">IF($I107="不记账",0,ROUND(N($G107),2))</f>
        <v>0</v>
      </c>
      <c r="L107" s="70" t="n">
        <v>0</v>
      </c>
      <c r="M107" s="67" t="str">
        <f aca="false">IF(OR($I107="不记账",ROUND(N($G107),2)=0),"",IFERROR(INDEX(收入成本映射!$E$4:$E$34,MATCH($D107,收入成本映射!$B$4:$B$34,0)),""))</f>
        <v/>
      </c>
      <c r="N107" s="70" t="str">
        <f aca="false">IF($M107="","",ROUND(N($G107),2))</f>
        <v/>
      </c>
      <c r="O107" s="70" t="str">
        <f aca="false">IF($M107="","",0)</f>
        <v/>
      </c>
      <c r="P107" s="67" t="str">
        <f aca="false">IF($M107="","",IFERROR(INDEX(收入成本映射!$F$4:$F$34,MATCH($D107,收入成本映射!$B$4:$B$34,0)),""))</f>
        <v/>
      </c>
      <c r="Q107" s="70" t="str">
        <f aca="false">IF($P107="","",0)</f>
        <v/>
      </c>
      <c r="R107" s="70" t="str">
        <f aca="false">IF($P107="","",ROUND(N($G107),2))</f>
        <v/>
      </c>
      <c r="S107" s="67" t="str">
        <f aca="false">""</f>
        <v/>
      </c>
      <c r="T107" s="70" t="str">
        <f aca="false">IF($S107="","",0)</f>
        <v/>
      </c>
      <c r="U107" s="70" t="str">
        <f aca="false">IF($S107="","",0)</f>
        <v/>
      </c>
      <c r="V107" s="66" t="str">
        <f aca="false">IF($B107="","",IF($B107="01水果",IFERROR(INDEX(对接源_01水果!$H$5:$H$507,MATCH(ROW()-3,对接源_01水果!$Q$5:$Q$507,0)),""),IFERROR(INDEX(对接源_02物料!$H$5:$H$460,MATCH(ROW()-3-N(对接源_01水果!$T$1),对接源_02物料!$Q$5:$Q$460,0)),"")))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8" customFormat="false" ht="18" hidden="false" customHeight="true" outlineLevel="0" collapsed="false">
      <c r="A108" s="66" t="n">
        <v>105</v>
      </c>
      <c r="B108" s="67" t="str">
        <f aca="false">IF(ROW()-3&lt;=N(对接源_01水果!$T$1),"01水果",IF(ROW()-3&lt;=N(对接源_01水果!$T$1)+N(对接源_02物料!$T$1),"02物料",""))</f>
        <v/>
      </c>
      <c r="C108" s="68" t="str">
        <f aca="false">IF($B108="","",IF($B108="01水果",IFERROR(INDEX(对接源_01水果!$B$5:$B$507,MATCH(ROW()-3,对接源_01水果!$Q$5:$Q$507,0)),""),IFERROR(INDEX(对接源_02物料!$B$5:$B$460,MATCH(ROW()-3-N(对接源_01水果!$T$1),对接源_02物料!$Q$5:$Q$460,0)),"")))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8" s="67" t="str">
        <f aca="false">IF($B108="","",IF($B108="01水果",IFERROR(INDEX(对接源_01水果!$C$5:$C$507,MATCH(ROW()-3,对接源_01水果!$Q$5:$Q$507,0)),""),IFERROR(INDEX(对接源_02物料!$C$5:$C$460,MATCH(ROW()-3-N(对接源_01水果!$T$1),对接源_02物料!$Q$5:$Q$460,0)),"")))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8" s="69" t="str">
        <f aca="false">IF($B108="","",IF($B108="01水果",IFERROR(INDEX(对接源_01水果!$D$5:$D$507,MATCH(ROW()-3,对接源_01水果!$Q$5:$Q$507,0)),""),IFERROR(INDEX(对接源_02物料!$D$5:$D$460,MATCH(ROW()-3-N(对接源_01水果!$T$1),对接源_02物料!$Q$5:$Q$460,0)),"")))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8" s="67" t="str">
        <f aca="false">IF($B108="","",IF($B108="01水果",IFERROR(INDEX(对接源_01水果!$E$5:$E$507,MATCH(ROW()-3,对接源_01水果!$Q$5:$Q$507,0)),""),IFERROR(INDEX(对接源_02物料!$E$5:$E$460,MATCH(ROW()-3-N(对接源_01水果!$T$1),对接源_02物料!$Q$5:$Q$460,0)),"")))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8" s="70" t="str">
        <f aca="false">IF($B108="","",IF($B108="01水果",IFERROR(INDEX(对接源_01水果!$F$5:$F$507,MATCH(ROW()-3,对接源_01水果!$Q$5:$Q$507,0)),""),IFERROR(INDEX(对接源_02物料!$F$5:$F$460,MATCH(ROW()-3-N(对接源_01水果!$T$1),对接源_02物料!$Q$5:$Q$460,0)),"")))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8" s="70" t="str">
        <f aca="false">IF($B108="","",IF($B108="01水果",IFERROR(INDEX(对接源_01水果!$G$5:$G$507,MATCH(ROW()-3,对接源_01水果!$Q$5:$Q$507,0)),""),IFERROR(INDEX(对接源_02物料!$G$5:$G$460,MATCH(ROW()-3-N(对接源_01水果!$T$1),对接源_02物料!$Q$5:$Q$460,0)),"")))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8" s="67" t="str">
        <f aca="false">IF(OR($D108="客户应收",$D108="成品销售款",$D108="公司购买果品款",$D108="筐子销售款",$D108="物料销售款"),"客户往来",IFERROR(INDEX(收入成本映射!$C$4:$C$34,MATCH($D108,收入成本映射!$B$4:$B$34,0)),"不记账"))</f>
        <v>不记账</v>
      </c>
      <c r="J108" s="67" t="str">
        <f aca="false">IF($B108="","","0%")</f>
        <v/>
      </c>
      <c r="K108" s="70" t="n">
        <f aca="false">IF($I108="不记账",0,ROUND(N($G108),2))</f>
        <v>0</v>
      </c>
      <c r="L108" s="70" t="n">
        <v>0</v>
      </c>
      <c r="M108" s="67" t="str">
        <f aca="false">IF(OR($I108="不记账",ROUND(N($G108),2)=0),"",IFERROR(INDEX(收入成本映射!$E$4:$E$34,MATCH($D108,收入成本映射!$B$4:$B$34,0)),""))</f>
        <v/>
      </c>
      <c r="N108" s="70" t="str">
        <f aca="false">IF($M108="","",ROUND(N($G108),2))</f>
        <v/>
      </c>
      <c r="O108" s="70" t="str">
        <f aca="false">IF($M108="","",0)</f>
        <v/>
      </c>
      <c r="P108" s="67" t="str">
        <f aca="false">IF($M108="","",IFERROR(INDEX(收入成本映射!$F$4:$F$34,MATCH($D108,收入成本映射!$B$4:$B$34,0)),""))</f>
        <v/>
      </c>
      <c r="Q108" s="70" t="str">
        <f aca="false">IF($P108="","",0)</f>
        <v/>
      </c>
      <c r="R108" s="70" t="str">
        <f aca="false">IF($P108="","",ROUND(N($G108),2))</f>
        <v/>
      </c>
      <c r="S108" s="67" t="str">
        <f aca="false">""</f>
        <v/>
      </c>
      <c r="T108" s="70" t="str">
        <f aca="false">IF($S108="","",0)</f>
        <v/>
      </c>
      <c r="U108" s="70" t="str">
        <f aca="false">IF($S108="","",0)</f>
        <v/>
      </c>
      <c r="V108" s="66" t="str">
        <f aca="false">IF($B108="","",IF($B108="01水果",IFERROR(INDEX(对接源_01水果!$H$5:$H$507,MATCH(ROW()-3,对接源_01水果!$Q$5:$Q$507,0)),""),IFERROR(INDEX(对接源_02物料!$H$5:$H$460,MATCH(ROW()-3-N(对接源_01水果!$T$1),对接源_02物料!$Q$5:$Q$460,0)),"")))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09" customFormat="false" ht="18" hidden="false" customHeight="true" outlineLevel="0" collapsed="false">
      <c r="A109" s="66" t="n">
        <v>106</v>
      </c>
      <c r="B109" s="67" t="str">
        <f aca="false">IF(ROW()-3&lt;=N(对接源_01水果!$T$1),"01水果",IF(ROW()-3&lt;=N(对接源_01水果!$T$1)+N(对接源_02物料!$T$1),"02物料",""))</f>
        <v/>
      </c>
      <c r="C109" s="68" t="str">
        <f aca="false">IF($B109="","",IF($B109="01水果",IFERROR(INDEX(对接源_01水果!$B$5:$B$507,MATCH(ROW()-3,对接源_01水果!$Q$5:$Q$507,0)),""),IFERROR(INDEX(对接源_02物料!$B$5:$B$460,MATCH(ROW()-3-N(对接源_01水果!$T$1),对接源_02物料!$Q$5:$Q$460,0)),"")))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09" s="67" t="str">
        <f aca="false">IF($B109="","",IF($B109="01水果",IFERROR(INDEX(对接源_01水果!$C$5:$C$507,MATCH(ROW()-3,对接源_01水果!$Q$5:$Q$507,0)),""),IFERROR(INDEX(对接源_02物料!$C$5:$C$460,MATCH(ROW()-3-N(对接源_01水果!$T$1),对接源_02物料!$Q$5:$Q$460,0)),"")))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09" s="69" t="str">
        <f aca="false">IF($B109="","",IF($B109="01水果",IFERROR(INDEX(对接源_01水果!$D$5:$D$507,MATCH(ROW()-3,对接源_01水果!$Q$5:$Q$507,0)),""),IFERROR(INDEX(对接源_02物料!$D$5:$D$460,MATCH(ROW()-3-N(对接源_01水果!$T$1),对接源_02物料!$Q$5:$Q$460,0)),"")))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09" s="67" t="str">
        <f aca="false">IF($B109="","",IF($B109="01水果",IFERROR(INDEX(对接源_01水果!$E$5:$E$507,MATCH(ROW()-3,对接源_01水果!$Q$5:$Q$507,0)),""),IFERROR(INDEX(对接源_02物料!$E$5:$E$460,MATCH(ROW()-3-N(对接源_01水果!$T$1),对接源_02物料!$Q$5:$Q$460,0)),"")))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09" s="70" t="str">
        <f aca="false">IF($B109="","",IF($B109="01水果",IFERROR(INDEX(对接源_01水果!$F$5:$F$507,MATCH(ROW()-3,对接源_01水果!$Q$5:$Q$507,0)),""),IFERROR(INDEX(对接源_02物料!$F$5:$F$460,MATCH(ROW()-3-N(对接源_01水果!$T$1),对接源_02物料!$Q$5:$Q$460,0)),"")))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09" s="70" t="str">
        <f aca="false">IF($B109="","",IF($B109="01水果",IFERROR(INDEX(对接源_01水果!$G$5:$G$507,MATCH(ROW()-3,对接源_01水果!$Q$5:$Q$507,0)),""),IFERROR(INDEX(对接源_02物料!$G$5:$G$460,MATCH(ROW()-3-N(对接源_01水果!$T$1),对接源_02物料!$Q$5:$Q$460,0)),"")))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09" s="67" t="str">
        <f aca="false">IF(OR($D109="客户应收",$D109="成品销售款",$D109="公司购买果品款",$D109="筐子销售款",$D109="物料销售款"),"客户往来",IFERROR(INDEX(收入成本映射!$C$4:$C$34,MATCH($D109,收入成本映射!$B$4:$B$34,0)),"不记账"))</f>
        <v>不记账</v>
      </c>
      <c r="J109" s="67" t="str">
        <f aca="false">IF($B109="","","0%")</f>
        <v/>
      </c>
      <c r="K109" s="70" t="n">
        <f aca="false">IF($I109="不记账",0,ROUND(N($G109),2))</f>
        <v>0</v>
      </c>
      <c r="L109" s="70" t="n">
        <v>0</v>
      </c>
      <c r="M109" s="67" t="str">
        <f aca="false">IF(OR($I109="不记账",ROUND(N($G109),2)=0),"",IFERROR(INDEX(收入成本映射!$E$4:$E$34,MATCH($D109,收入成本映射!$B$4:$B$34,0)),""))</f>
        <v/>
      </c>
      <c r="N109" s="70" t="str">
        <f aca="false">IF($M109="","",ROUND(N($G109),2))</f>
        <v/>
      </c>
      <c r="O109" s="70" t="str">
        <f aca="false">IF($M109="","",0)</f>
        <v/>
      </c>
      <c r="P109" s="67" t="str">
        <f aca="false">IF($M109="","",IFERROR(INDEX(收入成本映射!$F$4:$F$34,MATCH($D109,收入成本映射!$B$4:$B$34,0)),""))</f>
        <v/>
      </c>
      <c r="Q109" s="70" t="str">
        <f aca="false">IF($P109="","",0)</f>
        <v/>
      </c>
      <c r="R109" s="70" t="str">
        <f aca="false">IF($P109="","",ROUND(N($G109),2))</f>
        <v/>
      </c>
      <c r="S109" s="67" t="str">
        <f aca="false">""</f>
        <v/>
      </c>
      <c r="T109" s="70" t="str">
        <f aca="false">IF($S109="","",0)</f>
        <v/>
      </c>
      <c r="U109" s="70" t="str">
        <f aca="false">IF($S109="","",0)</f>
        <v/>
      </c>
      <c r="V109" s="66" t="str">
        <f aca="false">IF($B109="","",IF($B109="01水果",IFERROR(INDEX(对接源_01水果!$H$5:$H$507,MATCH(ROW()-3,对接源_01水果!$Q$5:$Q$507,0)),""),IFERROR(INDEX(对接源_02物料!$H$5:$H$460,MATCH(ROW()-3-N(对接源_01水果!$T$1),对接源_02物料!$Q$5:$Q$460,0)),"")))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0" customFormat="false" ht="18" hidden="false" customHeight="true" outlineLevel="0" collapsed="false">
      <c r="A110" s="66" t="n">
        <v>107</v>
      </c>
      <c r="B110" s="67" t="str">
        <f aca="false">IF(ROW()-3&lt;=N(对接源_01水果!$T$1),"01水果",IF(ROW()-3&lt;=N(对接源_01水果!$T$1)+N(对接源_02物料!$T$1),"02物料",""))</f>
        <v/>
      </c>
      <c r="C110" s="68" t="str">
        <f aca="false">IF($B110="","",IF($B110="01水果",IFERROR(INDEX(对接源_01水果!$B$5:$B$507,MATCH(ROW()-3,对接源_01水果!$Q$5:$Q$507,0)),""),IFERROR(INDEX(对接源_02物料!$B$5:$B$460,MATCH(ROW()-3-N(对接源_01水果!$T$1),对接源_02物料!$Q$5:$Q$460,0)),"")))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0" s="67" t="str">
        <f aca="false">IF($B110="","",IF($B110="01水果",IFERROR(INDEX(对接源_01水果!$C$5:$C$507,MATCH(ROW()-3,对接源_01水果!$Q$5:$Q$507,0)),""),IFERROR(INDEX(对接源_02物料!$C$5:$C$460,MATCH(ROW()-3-N(对接源_01水果!$T$1),对接源_02物料!$Q$5:$Q$460,0)),"")))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0" s="69" t="str">
        <f aca="false">IF($B110="","",IF($B110="01水果",IFERROR(INDEX(对接源_01水果!$D$5:$D$507,MATCH(ROW()-3,对接源_01水果!$Q$5:$Q$507,0)),""),IFERROR(INDEX(对接源_02物料!$D$5:$D$460,MATCH(ROW()-3-N(对接源_01水果!$T$1),对接源_02物料!$Q$5:$Q$460,0)),"")))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0" s="67" t="str">
        <f aca="false">IF($B110="","",IF($B110="01水果",IFERROR(INDEX(对接源_01水果!$E$5:$E$507,MATCH(ROW()-3,对接源_01水果!$Q$5:$Q$507,0)),""),IFERROR(INDEX(对接源_02物料!$E$5:$E$460,MATCH(ROW()-3-N(对接源_01水果!$T$1),对接源_02物料!$Q$5:$Q$460,0)),"")))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0" s="70" t="str">
        <f aca="false">IF($B110="","",IF($B110="01水果",IFERROR(INDEX(对接源_01水果!$F$5:$F$507,MATCH(ROW()-3,对接源_01水果!$Q$5:$Q$507,0)),""),IFERROR(INDEX(对接源_02物料!$F$5:$F$460,MATCH(ROW()-3-N(对接源_01水果!$T$1),对接源_02物料!$Q$5:$Q$460,0)),"")))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0" s="70" t="str">
        <f aca="false">IF($B110="","",IF($B110="01水果",IFERROR(INDEX(对接源_01水果!$G$5:$G$507,MATCH(ROW()-3,对接源_01水果!$Q$5:$Q$507,0)),""),IFERROR(INDEX(对接源_02物料!$G$5:$G$460,MATCH(ROW()-3-N(对接源_01水果!$T$1),对接源_02物料!$Q$5:$Q$460,0)),"")))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0" s="67" t="str">
        <f aca="false">IF(OR($D110="客户应收",$D110="成品销售款",$D110="公司购买果品款",$D110="筐子销售款",$D110="物料销售款"),"客户往来",IFERROR(INDEX(收入成本映射!$C$4:$C$34,MATCH($D110,收入成本映射!$B$4:$B$34,0)),"不记账"))</f>
        <v>不记账</v>
      </c>
      <c r="J110" s="67" t="str">
        <f aca="false">IF($B110="","","0%")</f>
        <v/>
      </c>
      <c r="K110" s="70" t="n">
        <f aca="false">IF($I110="不记账",0,ROUND(N($G110),2))</f>
        <v>0</v>
      </c>
      <c r="L110" s="70" t="n">
        <v>0</v>
      </c>
      <c r="M110" s="67" t="str">
        <f aca="false">IF(OR($I110="不记账",ROUND(N($G110),2)=0),"",IFERROR(INDEX(收入成本映射!$E$4:$E$34,MATCH($D110,收入成本映射!$B$4:$B$34,0)),""))</f>
        <v/>
      </c>
      <c r="N110" s="70" t="str">
        <f aca="false">IF($M110="","",ROUND(N($G110),2))</f>
        <v/>
      </c>
      <c r="O110" s="70" t="str">
        <f aca="false">IF($M110="","",0)</f>
        <v/>
      </c>
      <c r="P110" s="67" t="str">
        <f aca="false">IF($M110="","",IFERROR(INDEX(收入成本映射!$F$4:$F$34,MATCH($D110,收入成本映射!$B$4:$B$34,0)),""))</f>
        <v/>
      </c>
      <c r="Q110" s="70" t="str">
        <f aca="false">IF($P110="","",0)</f>
        <v/>
      </c>
      <c r="R110" s="70" t="str">
        <f aca="false">IF($P110="","",ROUND(N($G110),2))</f>
        <v/>
      </c>
      <c r="S110" s="67" t="str">
        <f aca="false">""</f>
        <v/>
      </c>
      <c r="T110" s="70" t="str">
        <f aca="false">IF($S110="","",0)</f>
        <v/>
      </c>
      <c r="U110" s="70" t="str">
        <f aca="false">IF($S110="","",0)</f>
        <v/>
      </c>
      <c r="V110" s="66" t="str">
        <f aca="false">IF($B110="","",IF($B110="01水果",IFERROR(INDEX(对接源_01水果!$H$5:$H$507,MATCH(ROW()-3,对接源_01水果!$Q$5:$Q$507,0)),""),IFERROR(INDEX(对接源_02物料!$H$5:$H$460,MATCH(ROW()-3-N(对接源_01水果!$T$1),对接源_02物料!$Q$5:$Q$460,0)),"")))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1" customFormat="false" ht="18" hidden="false" customHeight="true" outlineLevel="0" collapsed="false">
      <c r="A111" s="66" t="n">
        <v>108</v>
      </c>
      <c r="B111" s="67" t="str">
        <f aca="false">IF(ROW()-3&lt;=N(对接源_01水果!$T$1),"01水果",IF(ROW()-3&lt;=N(对接源_01水果!$T$1)+N(对接源_02物料!$T$1),"02物料",""))</f>
        <v/>
      </c>
      <c r="C111" s="68" t="str">
        <f aca="false">IF($B111="","",IF($B111="01水果",IFERROR(INDEX(对接源_01水果!$B$5:$B$507,MATCH(ROW()-3,对接源_01水果!$Q$5:$Q$507,0)),""),IFERROR(INDEX(对接源_02物料!$B$5:$B$460,MATCH(ROW()-3-N(对接源_01水果!$T$1),对接源_02物料!$Q$5:$Q$460,0)),"")))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1" s="67" t="str">
        <f aca="false">IF($B111="","",IF($B111="01水果",IFERROR(INDEX(对接源_01水果!$C$5:$C$507,MATCH(ROW()-3,对接源_01水果!$Q$5:$Q$507,0)),""),IFERROR(INDEX(对接源_02物料!$C$5:$C$460,MATCH(ROW()-3-N(对接源_01水果!$T$1),对接源_02物料!$Q$5:$Q$460,0)),"")))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1" s="69" t="str">
        <f aca="false">IF($B111="","",IF($B111="01水果",IFERROR(INDEX(对接源_01水果!$D$5:$D$507,MATCH(ROW()-3,对接源_01水果!$Q$5:$Q$507,0)),""),IFERROR(INDEX(对接源_02物料!$D$5:$D$460,MATCH(ROW()-3-N(对接源_01水果!$T$1),对接源_02物料!$Q$5:$Q$460,0)),"")))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1" s="67" t="str">
        <f aca="false">IF($B111="","",IF($B111="01水果",IFERROR(INDEX(对接源_01水果!$E$5:$E$507,MATCH(ROW()-3,对接源_01水果!$Q$5:$Q$507,0)),""),IFERROR(INDEX(对接源_02物料!$E$5:$E$460,MATCH(ROW()-3-N(对接源_01水果!$T$1),对接源_02物料!$Q$5:$Q$460,0)),"")))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1" s="70" t="str">
        <f aca="false">IF($B111="","",IF($B111="01水果",IFERROR(INDEX(对接源_01水果!$F$5:$F$507,MATCH(ROW()-3,对接源_01水果!$Q$5:$Q$507,0)),""),IFERROR(INDEX(对接源_02物料!$F$5:$F$460,MATCH(ROW()-3-N(对接源_01水果!$T$1),对接源_02物料!$Q$5:$Q$460,0)),"")))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1" s="70" t="str">
        <f aca="false">IF($B111="","",IF($B111="01水果",IFERROR(INDEX(对接源_01水果!$G$5:$G$507,MATCH(ROW()-3,对接源_01水果!$Q$5:$Q$507,0)),""),IFERROR(INDEX(对接源_02物料!$G$5:$G$460,MATCH(ROW()-3-N(对接源_01水果!$T$1),对接源_02物料!$Q$5:$Q$460,0)),"")))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1" s="67" t="str">
        <f aca="false">IF(OR($D111="客户应收",$D111="成品销售款",$D111="公司购买果品款",$D111="筐子销售款",$D111="物料销售款"),"客户往来",IFERROR(INDEX(收入成本映射!$C$4:$C$34,MATCH($D111,收入成本映射!$B$4:$B$34,0)),"不记账"))</f>
        <v>不记账</v>
      </c>
      <c r="J111" s="67" t="str">
        <f aca="false">IF($B111="","","0%")</f>
        <v/>
      </c>
      <c r="K111" s="70" t="n">
        <f aca="false">IF($I111="不记账",0,ROUND(N($G111),2))</f>
        <v>0</v>
      </c>
      <c r="L111" s="70" t="n">
        <v>0</v>
      </c>
      <c r="M111" s="67" t="str">
        <f aca="false">IF(OR($I111="不记账",ROUND(N($G111),2)=0),"",IFERROR(INDEX(收入成本映射!$E$4:$E$34,MATCH($D111,收入成本映射!$B$4:$B$34,0)),""))</f>
        <v/>
      </c>
      <c r="N111" s="70" t="str">
        <f aca="false">IF($M111="","",ROUND(N($G111),2))</f>
        <v/>
      </c>
      <c r="O111" s="70" t="str">
        <f aca="false">IF($M111="","",0)</f>
        <v/>
      </c>
      <c r="P111" s="67" t="str">
        <f aca="false">IF($M111="","",IFERROR(INDEX(收入成本映射!$F$4:$F$34,MATCH($D111,收入成本映射!$B$4:$B$34,0)),""))</f>
        <v/>
      </c>
      <c r="Q111" s="70" t="str">
        <f aca="false">IF($P111="","",0)</f>
        <v/>
      </c>
      <c r="R111" s="70" t="str">
        <f aca="false">IF($P111="","",ROUND(N($G111),2))</f>
        <v/>
      </c>
      <c r="S111" s="67" t="str">
        <f aca="false">""</f>
        <v/>
      </c>
      <c r="T111" s="70" t="str">
        <f aca="false">IF($S111="","",0)</f>
        <v/>
      </c>
      <c r="U111" s="70" t="str">
        <f aca="false">IF($S111="","",0)</f>
        <v/>
      </c>
      <c r="V111" s="66" t="str">
        <f aca="false">IF($B111="","",IF($B111="01水果",IFERROR(INDEX(对接源_01水果!$H$5:$H$507,MATCH(ROW()-3,对接源_01水果!$Q$5:$Q$507,0)),""),IFERROR(INDEX(对接源_02物料!$H$5:$H$460,MATCH(ROW()-3-N(对接源_01水果!$T$1),对接源_02物料!$Q$5:$Q$460,0)),"")))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2" customFormat="false" ht="18" hidden="false" customHeight="true" outlineLevel="0" collapsed="false">
      <c r="A112" s="66" t="n">
        <v>109</v>
      </c>
      <c r="B112" s="67" t="str">
        <f aca="false">IF(ROW()-3&lt;=N(对接源_01水果!$T$1),"01水果",IF(ROW()-3&lt;=N(对接源_01水果!$T$1)+N(对接源_02物料!$T$1),"02物料",""))</f>
        <v/>
      </c>
      <c r="C112" s="68" t="str">
        <f aca="false">IF($B112="","",IF($B112="01水果",IFERROR(INDEX(对接源_01水果!$B$5:$B$507,MATCH(ROW()-3,对接源_01水果!$Q$5:$Q$507,0)),""),IFERROR(INDEX(对接源_02物料!$B$5:$B$460,MATCH(ROW()-3-N(对接源_01水果!$T$1),对接源_02物料!$Q$5:$Q$460,0)),"")))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2" s="67" t="str">
        <f aca="false">IF($B112="","",IF($B112="01水果",IFERROR(INDEX(对接源_01水果!$C$5:$C$507,MATCH(ROW()-3,对接源_01水果!$Q$5:$Q$507,0)),""),IFERROR(INDEX(对接源_02物料!$C$5:$C$460,MATCH(ROW()-3-N(对接源_01水果!$T$1),对接源_02物料!$Q$5:$Q$460,0)),"")))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2" s="69" t="str">
        <f aca="false">IF($B112="","",IF($B112="01水果",IFERROR(INDEX(对接源_01水果!$D$5:$D$507,MATCH(ROW()-3,对接源_01水果!$Q$5:$Q$507,0)),""),IFERROR(INDEX(对接源_02物料!$D$5:$D$460,MATCH(ROW()-3-N(对接源_01水果!$T$1),对接源_02物料!$Q$5:$Q$460,0)),"")))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2" s="67" t="str">
        <f aca="false">IF($B112="","",IF($B112="01水果",IFERROR(INDEX(对接源_01水果!$E$5:$E$507,MATCH(ROW()-3,对接源_01水果!$Q$5:$Q$507,0)),""),IFERROR(INDEX(对接源_02物料!$E$5:$E$460,MATCH(ROW()-3-N(对接源_01水果!$T$1),对接源_02物料!$Q$5:$Q$460,0)),"")))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2" s="70" t="str">
        <f aca="false">IF($B112="","",IF($B112="01水果",IFERROR(INDEX(对接源_01水果!$F$5:$F$507,MATCH(ROW()-3,对接源_01水果!$Q$5:$Q$507,0)),""),IFERROR(INDEX(对接源_02物料!$F$5:$F$460,MATCH(ROW()-3-N(对接源_01水果!$T$1),对接源_02物料!$Q$5:$Q$460,0)),"")))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2" s="70" t="str">
        <f aca="false">IF($B112="","",IF($B112="01水果",IFERROR(INDEX(对接源_01水果!$G$5:$G$507,MATCH(ROW()-3,对接源_01水果!$Q$5:$Q$507,0)),""),IFERROR(INDEX(对接源_02物料!$G$5:$G$460,MATCH(ROW()-3-N(对接源_01水果!$T$1),对接源_02物料!$Q$5:$Q$460,0)),"")))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2" s="67" t="str">
        <f aca="false">IF(OR($D112="客户应收",$D112="成品销售款",$D112="公司购买果品款",$D112="筐子销售款",$D112="物料销售款"),"客户往来",IFERROR(INDEX(收入成本映射!$C$4:$C$34,MATCH($D112,收入成本映射!$B$4:$B$34,0)),"不记账"))</f>
        <v>不记账</v>
      </c>
      <c r="J112" s="67" t="str">
        <f aca="false">IF($B112="","","0%")</f>
        <v/>
      </c>
      <c r="K112" s="70" t="n">
        <f aca="false">IF($I112="不记账",0,ROUND(N($G112),2))</f>
        <v>0</v>
      </c>
      <c r="L112" s="70" t="n">
        <v>0</v>
      </c>
      <c r="M112" s="67" t="str">
        <f aca="false">IF(OR($I112="不记账",ROUND(N($G112),2)=0),"",IFERROR(INDEX(收入成本映射!$E$4:$E$34,MATCH($D112,收入成本映射!$B$4:$B$34,0)),""))</f>
        <v/>
      </c>
      <c r="N112" s="70" t="str">
        <f aca="false">IF($M112="","",ROUND(N($G112),2))</f>
        <v/>
      </c>
      <c r="O112" s="70" t="str">
        <f aca="false">IF($M112="","",0)</f>
        <v/>
      </c>
      <c r="P112" s="67" t="str">
        <f aca="false">IF($M112="","",IFERROR(INDEX(收入成本映射!$F$4:$F$34,MATCH($D112,收入成本映射!$B$4:$B$34,0)),""))</f>
        <v/>
      </c>
      <c r="Q112" s="70" t="str">
        <f aca="false">IF($P112="","",0)</f>
        <v/>
      </c>
      <c r="R112" s="70" t="str">
        <f aca="false">IF($P112="","",ROUND(N($G112),2))</f>
        <v/>
      </c>
      <c r="S112" s="67" t="str">
        <f aca="false">""</f>
        <v/>
      </c>
      <c r="T112" s="70" t="str">
        <f aca="false">IF($S112="","",0)</f>
        <v/>
      </c>
      <c r="U112" s="70" t="str">
        <f aca="false">IF($S112="","",0)</f>
        <v/>
      </c>
      <c r="V112" s="66" t="str">
        <f aca="false">IF($B112="","",IF($B112="01水果",IFERROR(INDEX(对接源_01水果!$H$5:$H$507,MATCH(ROW()-3,对接源_01水果!$Q$5:$Q$507,0)),""),IFERROR(INDEX(对接源_02物料!$H$5:$H$460,MATCH(ROW()-3-N(对接源_01水果!$T$1),对接源_02物料!$Q$5:$Q$460,0)),"")))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3" customFormat="false" ht="18" hidden="false" customHeight="true" outlineLevel="0" collapsed="false">
      <c r="A113" s="66" t="n">
        <v>110</v>
      </c>
      <c r="B113" s="67" t="str">
        <f aca="false">IF(ROW()-3&lt;=N(对接源_01水果!$T$1),"01水果",IF(ROW()-3&lt;=N(对接源_01水果!$T$1)+N(对接源_02物料!$T$1),"02物料",""))</f>
        <v/>
      </c>
      <c r="C113" s="68" t="str">
        <f aca="false">IF($B113="","",IF($B113="01水果",IFERROR(INDEX(对接源_01水果!$B$5:$B$507,MATCH(ROW()-3,对接源_01水果!$Q$5:$Q$507,0)),""),IFERROR(INDEX(对接源_02物料!$B$5:$B$460,MATCH(ROW()-3-N(对接源_01水果!$T$1),对接源_02物料!$Q$5:$Q$460,0)),"")))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3" s="67" t="str">
        <f aca="false">IF($B113="","",IF($B113="01水果",IFERROR(INDEX(对接源_01水果!$C$5:$C$507,MATCH(ROW()-3,对接源_01水果!$Q$5:$Q$507,0)),""),IFERROR(INDEX(对接源_02物料!$C$5:$C$460,MATCH(ROW()-3-N(对接源_01水果!$T$1),对接源_02物料!$Q$5:$Q$460,0)),"")))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3" s="69" t="str">
        <f aca="false">IF($B113="","",IF($B113="01水果",IFERROR(INDEX(对接源_01水果!$D$5:$D$507,MATCH(ROW()-3,对接源_01水果!$Q$5:$Q$507,0)),""),IFERROR(INDEX(对接源_02物料!$D$5:$D$460,MATCH(ROW()-3-N(对接源_01水果!$T$1),对接源_02物料!$Q$5:$Q$460,0)),"")))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3" s="67" t="str">
        <f aca="false">IF($B113="","",IF($B113="01水果",IFERROR(INDEX(对接源_01水果!$E$5:$E$507,MATCH(ROW()-3,对接源_01水果!$Q$5:$Q$507,0)),""),IFERROR(INDEX(对接源_02物料!$E$5:$E$460,MATCH(ROW()-3-N(对接源_01水果!$T$1),对接源_02物料!$Q$5:$Q$460,0)),"")))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3" s="70" t="str">
        <f aca="false">IF($B113="","",IF($B113="01水果",IFERROR(INDEX(对接源_01水果!$F$5:$F$507,MATCH(ROW()-3,对接源_01水果!$Q$5:$Q$507,0)),""),IFERROR(INDEX(对接源_02物料!$F$5:$F$460,MATCH(ROW()-3-N(对接源_01水果!$T$1),对接源_02物料!$Q$5:$Q$460,0)),"")))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3" s="70" t="str">
        <f aca="false">IF($B113="","",IF($B113="01水果",IFERROR(INDEX(对接源_01水果!$G$5:$G$507,MATCH(ROW()-3,对接源_01水果!$Q$5:$Q$507,0)),""),IFERROR(INDEX(对接源_02物料!$G$5:$G$460,MATCH(ROW()-3-N(对接源_01水果!$T$1),对接源_02物料!$Q$5:$Q$460,0)),"")))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3" s="67" t="str">
        <f aca="false">IF(OR($D113="客户应收",$D113="成品销售款",$D113="公司购买果品款",$D113="筐子销售款",$D113="物料销售款"),"客户往来",IFERROR(INDEX(收入成本映射!$C$4:$C$34,MATCH($D113,收入成本映射!$B$4:$B$34,0)),"不记账"))</f>
        <v>不记账</v>
      </c>
      <c r="J113" s="67" t="str">
        <f aca="false">IF($B113="","","0%")</f>
        <v/>
      </c>
      <c r="K113" s="70" t="n">
        <f aca="false">IF($I113="不记账",0,ROUND(N($G113),2))</f>
        <v>0</v>
      </c>
      <c r="L113" s="70" t="n">
        <v>0</v>
      </c>
      <c r="M113" s="67" t="str">
        <f aca="false">IF(OR($I113="不记账",ROUND(N($G113),2)=0),"",IFERROR(INDEX(收入成本映射!$E$4:$E$34,MATCH($D113,收入成本映射!$B$4:$B$34,0)),""))</f>
        <v/>
      </c>
      <c r="N113" s="70" t="str">
        <f aca="false">IF($M113="","",ROUND(N($G113),2))</f>
        <v/>
      </c>
      <c r="O113" s="70" t="str">
        <f aca="false">IF($M113="","",0)</f>
        <v/>
      </c>
      <c r="P113" s="67" t="str">
        <f aca="false">IF($M113="","",IFERROR(INDEX(收入成本映射!$F$4:$F$34,MATCH($D113,收入成本映射!$B$4:$B$34,0)),""))</f>
        <v/>
      </c>
      <c r="Q113" s="70" t="str">
        <f aca="false">IF($P113="","",0)</f>
        <v/>
      </c>
      <c r="R113" s="70" t="str">
        <f aca="false">IF($P113="","",ROUND(N($G113),2))</f>
        <v/>
      </c>
      <c r="S113" s="67" t="str">
        <f aca="false">""</f>
        <v/>
      </c>
      <c r="T113" s="70" t="str">
        <f aca="false">IF($S113="","",0)</f>
        <v/>
      </c>
      <c r="U113" s="70" t="str">
        <f aca="false">IF($S113="","",0)</f>
        <v/>
      </c>
      <c r="V113" s="66" t="str">
        <f aca="false">IF($B113="","",IF($B113="01水果",IFERROR(INDEX(对接源_01水果!$H$5:$H$507,MATCH(ROW()-3,对接源_01水果!$Q$5:$Q$507,0)),""),IFERROR(INDEX(对接源_02物料!$H$5:$H$460,MATCH(ROW()-3-N(对接源_01水果!$T$1),对接源_02物料!$Q$5:$Q$460,0)),"")))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4" customFormat="false" ht="18" hidden="false" customHeight="true" outlineLevel="0" collapsed="false">
      <c r="A114" s="66" t="n">
        <v>111</v>
      </c>
      <c r="B114" s="67" t="str">
        <f aca="false">IF(ROW()-3&lt;=N(对接源_01水果!$T$1),"01水果",IF(ROW()-3&lt;=N(对接源_01水果!$T$1)+N(对接源_02物料!$T$1),"02物料",""))</f>
        <v/>
      </c>
      <c r="C114" s="68" t="str">
        <f aca="false">IF($B114="","",IF($B114="01水果",IFERROR(INDEX(对接源_01水果!$B$5:$B$507,MATCH(ROW()-3,对接源_01水果!$Q$5:$Q$507,0)),""),IFERROR(INDEX(对接源_02物料!$B$5:$B$460,MATCH(ROW()-3-N(对接源_01水果!$T$1),对接源_02物料!$Q$5:$Q$460,0)),"")))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4" s="67" t="str">
        <f aca="false">IF($B114="","",IF($B114="01水果",IFERROR(INDEX(对接源_01水果!$C$5:$C$507,MATCH(ROW()-3,对接源_01水果!$Q$5:$Q$507,0)),""),IFERROR(INDEX(对接源_02物料!$C$5:$C$460,MATCH(ROW()-3-N(对接源_01水果!$T$1),对接源_02物料!$Q$5:$Q$460,0)),"")))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4" s="69" t="str">
        <f aca="false">IF($B114="","",IF($B114="01水果",IFERROR(INDEX(对接源_01水果!$D$5:$D$507,MATCH(ROW()-3,对接源_01水果!$Q$5:$Q$507,0)),""),IFERROR(INDEX(对接源_02物料!$D$5:$D$460,MATCH(ROW()-3-N(对接源_01水果!$T$1),对接源_02物料!$Q$5:$Q$460,0)),"")))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4" s="67" t="str">
        <f aca="false">IF($B114="","",IF($B114="01水果",IFERROR(INDEX(对接源_01水果!$E$5:$E$507,MATCH(ROW()-3,对接源_01水果!$Q$5:$Q$507,0)),""),IFERROR(INDEX(对接源_02物料!$E$5:$E$460,MATCH(ROW()-3-N(对接源_01水果!$T$1),对接源_02物料!$Q$5:$Q$460,0)),"")))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4" s="70" t="str">
        <f aca="false">IF($B114="","",IF($B114="01水果",IFERROR(INDEX(对接源_01水果!$F$5:$F$507,MATCH(ROW()-3,对接源_01水果!$Q$5:$Q$507,0)),""),IFERROR(INDEX(对接源_02物料!$F$5:$F$460,MATCH(ROW()-3-N(对接源_01水果!$T$1),对接源_02物料!$Q$5:$Q$460,0)),"")))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4" s="70" t="str">
        <f aca="false">IF($B114="","",IF($B114="01水果",IFERROR(INDEX(对接源_01水果!$G$5:$G$507,MATCH(ROW()-3,对接源_01水果!$Q$5:$Q$507,0)),""),IFERROR(INDEX(对接源_02物料!$G$5:$G$460,MATCH(ROW()-3-N(对接源_01水果!$T$1),对接源_02物料!$Q$5:$Q$460,0)),"")))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4" s="67" t="str">
        <f aca="false">IF(OR($D114="客户应收",$D114="成品销售款",$D114="公司购买果品款",$D114="筐子销售款",$D114="物料销售款"),"客户往来",IFERROR(INDEX(收入成本映射!$C$4:$C$34,MATCH($D114,收入成本映射!$B$4:$B$34,0)),"不记账"))</f>
        <v>不记账</v>
      </c>
      <c r="J114" s="67" t="str">
        <f aca="false">IF($B114="","","0%")</f>
        <v/>
      </c>
      <c r="K114" s="70" t="n">
        <f aca="false">IF($I114="不记账",0,ROUND(N($G114),2))</f>
        <v>0</v>
      </c>
      <c r="L114" s="70" t="n">
        <v>0</v>
      </c>
      <c r="M114" s="67" t="str">
        <f aca="false">IF(OR($I114="不记账",ROUND(N($G114),2)=0),"",IFERROR(INDEX(收入成本映射!$E$4:$E$34,MATCH($D114,收入成本映射!$B$4:$B$34,0)),""))</f>
        <v/>
      </c>
      <c r="N114" s="70" t="str">
        <f aca="false">IF($M114="","",ROUND(N($G114),2))</f>
        <v/>
      </c>
      <c r="O114" s="70" t="str">
        <f aca="false">IF($M114="","",0)</f>
        <v/>
      </c>
      <c r="P114" s="67" t="str">
        <f aca="false">IF($M114="","",IFERROR(INDEX(收入成本映射!$F$4:$F$34,MATCH($D114,收入成本映射!$B$4:$B$34,0)),""))</f>
        <v/>
      </c>
      <c r="Q114" s="70" t="str">
        <f aca="false">IF($P114="","",0)</f>
        <v/>
      </c>
      <c r="R114" s="70" t="str">
        <f aca="false">IF($P114="","",ROUND(N($G114),2))</f>
        <v/>
      </c>
      <c r="S114" s="67" t="str">
        <f aca="false">""</f>
        <v/>
      </c>
      <c r="T114" s="70" t="str">
        <f aca="false">IF($S114="","",0)</f>
        <v/>
      </c>
      <c r="U114" s="70" t="str">
        <f aca="false">IF($S114="","",0)</f>
        <v/>
      </c>
      <c r="V114" s="66" t="str">
        <f aca="false">IF($B114="","",IF($B114="01水果",IFERROR(INDEX(对接源_01水果!$H$5:$H$507,MATCH(ROW()-3,对接源_01水果!$Q$5:$Q$507,0)),""),IFERROR(INDEX(对接源_02物料!$H$5:$H$460,MATCH(ROW()-3-N(对接源_01水果!$T$1),对接源_02物料!$Q$5:$Q$460,0)),"")))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5" customFormat="false" ht="18" hidden="false" customHeight="true" outlineLevel="0" collapsed="false">
      <c r="A115" s="66" t="n">
        <v>112</v>
      </c>
      <c r="B115" s="67" t="str">
        <f aca="false">IF(ROW()-3&lt;=N(对接源_01水果!$T$1),"01水果",IF(ROW()-3&lt;=N(对接源_01水果!$T$1)+N(对接源_02物料!$T$1),"02物料",""))</f>
        <v/>
      </c>
      <c r="C115" s="68" t="str">
        <f aca="false">IF($B115="","",IF($B115="01水果",IFERROR(INDEX(对接源_01水果!$B$5:$B$507,MATCH(ROW()-3,对接源_01水果!$Q$5:$Q$507,0)),""),IFERROR(INDEX(对接源_02物料!$B$5:$B$460,MATCH(ROW()-3-N(对接源_01水果!$T$1),对接源_02物料!$Q$5:$Q$460,0)),"")))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5" s="67" t="str">
        <f aca="false">IF($B115="","",IF($B115="01水果",IFERROR(INDEX(对接源_01水果!$C$5:$C$507,MATCH(ROW()-3,对接源_01水果!$Q$5:$Q$507,0)),""),IFERROR(INDEX(对接源_02物料!$C$5:$C$460,MATCH(ROW()-3-N(对接源_01水果!$T$1),对接源_02物料!$Q$5:$Q$460,0)),"")))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5" s="69" t="str">
        <f aca="false">IF($B115="","",IF($B115="01水果",IFERROR(INDEX(对接源_01水果!$D$5:$D$507,MATCH(ROW()-3,对接源_01水果!$Q$5:$Q$507,0)),""),IFERROR(INDEX(对接源_02物料!$D$5:$D$460,MATCH(ROW()-3-N(对接源_01水果!$T$1),对接源_02物料!$Q$5:$Q$460,0)),"")))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5" s="67" t="str">
        <f aca="false">IF($B115="","",IF($B115="01水果",IFERROR(INDEX(对接源_01水果!$E$5:$E$507,MATCH(ROW()-3,对接源_01水果!$Q$5:$Q$507,0)),""),IFERROR(INDEX(对接源_02物料!$E$5:$E$460,MATCH(ROW()-3-N(对接源_01水果!$T$1),对接源_02物料!$Q$5:$Q$460,0)),"")))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5" s="70" t="str">
        <f aca="false">IF($B115="","",IF($B115="01水果",IFERROR(INDEX(对接源_01水果!$F$5:$F$507,MATCH(ROW()-3,对接源_01水果!$Q$5:$Q$507,0)),""),IFERROR(INDEX(对接源_02物料!$F$5:$F$460,MATCH(ROW()-3-N(对接源_01水果!$T$1),对接源_02物料!$Q$5:$Q$460,0)),"")))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5" s="70" t="str">
        <f aca="false">IF($B115="","",IF($B115="01水果",IFERROR(INDEX(对接源_01水果!$G$5:$G$507,MATCH(ROW()-3,对接源_01水果!$Q$5:$Q$507,0)),""),IFERROR(INDEX(对接源_02物料!$G$5:$G$460,MATCH(ROW()-3-N(对接源_01水果!$T$1),对接源_02物料!$Q$5:$Q$460,0)),"")))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5" s="67" t="str">
        <f aca="false">IF(OR($D115="客户应收",$D115="成品销售款",$D115="公司购买果品款",$D115="筐子销售款",$D115="物料销售款"),"客户往来",IFERROR(INDEX(收入成本映射!$C$4:$C$34,MATCH($D115,收入成本映射!$B$4:$B$34,0)),"不记账"))</f>
        <v>不记账</v>
      </c>
      <c r="J115" s="67" t="str">
        <f aca="false">IF($B115="","","0%")</f>
        <v/>
      </c>
      <c r="K115" s="70" t="n">
        <f aca="false">IF($I115="不记账",0,ROUND(N($G115),2))</f>
        <v>0</v>
      </c>
      <c r="L115" s="70" t="n">
        <v>0</v>
      </c>
      <c r="M115" s="67" t="str">
        <f aca="false">IF(OR($I115="不记账",ROUND(N($G115),2)=0),"",IFERROR(INDEX(收入成本映射!$E$4:$E$34,MATCH($D115,收入成本映射!$B$4:$B$34,0)),""))</f>
        <v/>
      </c>
      <c r="N115" s="70" t="str">
        <f aca="false">IF($M115="","",ROUND(N($G115),2))</f>
        <v/>
      </c>
      <c r="O115" s="70" t="str">
        <f aca="false">IF($M115="","",0)</f>
        <v/>
      </c>
      <c r="P115" s="67" t="str">
        <f aca="false">IF($M115="","",IFERROR(INDEX(收入成本映射!$F$4:$F$34,MATCH($D115,收入成本映射!$B$4:$B$34,0)),""))</f>
        <v/>
      </c>
      <c r="Q115" s="70" t="str">
        <f aca="false">IF($P115="","",0)</f>
        <v/>
      </c>
      <c r="R115" s="70" t="str">
        <f aca="false">IF($P115="","",ROUND(N($G115),2))</f>
        <v/>
      </c>
      <c r="S115" s="67" t="str">
        <f aca="false">""</f>
        <v/>
      </c>
      <c r="T115" s="70" t="str">
        <f aca="false">IF($S115="","",0)</f>
        <v/>
      </c>
      <c r="U115" s="70" t="str">
        <f aca="false">IF($S115="","",0)</f>
        <v/>
      </c>
      <c r="V115" s="66" t="str">
        <f aca="false">IF($B115="","",IF($B115="01水果",IFERROR(INDEX(对接源_01水果!$H$5:$H$507,MATCH(ROW()-3,对接源_01水果!$Q$5:$Q$507,0)),""),IFERROR(INDEX(对接源_02物料!$H$5:$H$460,MATCH(ROW()-3-N(对接源_01水果!$T$1),对接源_02物料!$Q$5:$Q$460,0)),"")))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6" customFormat="false" ht="18" hidden="false" customHeight="true" outlineLevel="0" collapsed="false">
      <c r="A116" s="66" t="n">
        <v>113</v>
      </c>
      <c r="B116" s="67" t="str">
        <f aca="false">IF(ROW()-3&lt;=N(对接源_01水果!$T$1),"01水果",IF(ROW()-3&lt;=N(对接源_01水果!$T$1)+N(对接源_02物料!$T$1),"02物料",""))</f>
        <v/>
      </c>
      <c r="C116" s="68" t="str">
        <f aca="false">IF($B116="","",IF($B116="01水果",IFERROR(INDEX(对接源_01水果!$B$5:$B$507,MATCH(ROW()-3,对接源_01水果!$Q$5:$Q$507,0)),""),IFERROR(INDEX(对接源_02物料!$B$5:$B$460,MATCH(ROW()-3-N(对接源_01水果!$T$1),对接源_02物料!$Q$5:$Q$460,0)),"")))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6" s="67" t="str">
        <f aca="false">IF($B116="","",IF($B116="01水果",IFERROR(INDEX(对接源_01水果!$C$5:$C$507,MATCH(ROW()-3,对接源_01水果!$Q$5:$Q$507,0)),""),IFERROR(INDEX(对接源_02物料!$C$5:$C$460,MATCH(ROW()-3-N(对接源_01水果!$T$1),对接源_02物料!$Q$5:$Q$460,0)),"")))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6" s="69" t="str">
        <f aca="false">IF($B116="","",IF($B116="01水果",IFERROR(INDEX(对接源_01水果!$D$5:$D$507,MATCH(ROW()-3,对接源_01水果!$Q$5:$Q$507,0)),""),IFERROR(INDEX(对接源_02物料!$D$5:$D$460,MATCH(ROW()-3-N(对接源_01水果!$T$1),对接源_02物料!$Q$5:$Q$460,0)),"")))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6" s="67" t="str">
        <f aca="false">IF($B116="","",IF($B116="01水果",IFERROR(INDEX(对接源_01水果!$E$5:$E$507,MATCH(ROW()-3,对接源_01水果!$Q$5:$Q$507,0)),""),IFERROR(INDEX(对接源_02物料!$E$5:$E$460,MATCH(ROW()-3-N(对接源_01水果!$T$1),对接源_02物料!$Q$5:$Q$460,0)),"")))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6" s="70" t="str">
        <f aca="false">IF($B116="","",IF($B116="01水果",IFERROR(INDEX(对接源_01水果!$F$5:$F$507,MATCH(ROW()-3,对接源_01水果!$Q$5:$Q$507,0)),""),IFERROR(INDEX(对接源_02物料!$F$5:$F$460,MATCH(ROW()-3-N(对接源_01水果!$T$1),对接源_02物料!$Q$5:$Q$460,0)),"")))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6" s="70" t="str">
        <f aca="false">IF($B116="","",IF($B116="01水果",IFERROR(INDEX(对接源_01水果!$G$5:$G$507,MATCH(ROW()-3,对接源_01水果!$Q$5:$Q$507,0)),""),IFERROR(INDEX(对接源_02物料!$G$5:$G$460,MATCH(ROW()-3-N(对接源_01水果!$T$1),对接源_02物料!$Q$5:$Q$460,0)),"")))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6" s="67" t="str">
        <f aca="false">IF(OR($D116="客户应收",$D116="成品销售款",$D116="公司购买果品款",$D116="筐子销售款",$D116="物料销售款"),"客户往来",IFERROR(INDEX(收入成本映射!$C$4:$C$34,MATCH($D116,收入成本映射!$B$4:$B$34,0)),"不记账"))</f>
        <v>不记账</v>
      </c>
      <c r="J116" s="67" t="str">
        <f aca="false">IF($B116="","","0%")</f>
        <v/>
      </c>
      <c r="K116" s="70" t="n">
        <f aca="false">IF($I116="不记账",0,ROUND(N($G116),2))</f>
        <v>0</v>
      </c>
      <c r="L116" s="70" t="n">
        <v>0</v>
      </c>
      <c r="M116" s="67" t="str">
        <f aca="false">IF(OR($I116="不记账",ROUND(N($G116),2)=0),"",IFERROR(INDEX(收入成本映射!$E$4:$E$34,MATCH($D116,收入成本映射!$B$4:$B$34,0)),""))</f>
        <v/>
      </c>
      <c r="N116" s="70" t="str">
        <f aca="false">IF($M116="","",ROUND(N($G116),2))</f>
        <v/>
      </c>
      <c r="O116" s="70" t="str">
        <f aca="false">IF($M116="","",0)</f>
        <v/>
      </c>
      <c r="P116" s="67" t="str">
        <f aca="false">IF($M116="","",IFERROR(INDEX(收入成本映射!$F$4:$F$34,MATCH($D116,收入成本映射!$B$4:$B$34,0)),""))</f>
        <v/>
      </c>
      <c r="Q116" s="70" t="str">
        <f aca="false">IF($P116="","",0)</f>
        <v/>
      </c>
      <c r="R116" s="70" t="str">
        <f aca="false">IF($P116="","",ROUND(N($G116),2))</f>
        <v/>
      </c>
      <c r="S116" s="67" t="str">
        <f aca="false">""</f>
        <v/>
      </c>
      <c r="T116" s="70" t="str">
        <f aca="false">IF($S116="","",0)</f>
        <v/>
      </c>
      <c r="U116" s="70" t="str">
        <f aca="false">IF($S116="","",0)</f>
        <v/>
      </c>
      <c r="V116" s="66" t="str">
        <f aca="false">IF($B116="","",IF($B116="01水果",IFERROR(INDEX(对接源_01水果!$H$5:$H$507,MATCH(ROW()-3,对接源_01水果!$Q$5:$Q$507,0)),""),IFERROR(INDEX(对接源_02物料!$H$5:$H$460,MATCH(ROW()-3-N(对接源_01水果!$T$1),对接源_02物料!$Q$5:$Q$460,0)),"")))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7" customFormat="false" ht="18" hidden="false" customHeight="true" outlineLevel="0" collapsed="false">
      <c r="A117" s="66" t="n">
        <v>114</v>
      </c>
      <c r="B117" s="67" t="str">
        <f aca="false">IF(ROW()-3&lt;=N(对接源_01水果!$T$1),"01水果",IF(ROW()-3&lt;=N(对接源_01水果!$T$1)+N(对接源_02物料!$T$1),"02物料",""))</f>
        <v/>
      </c>
      <c r="C117" s="68" t="str">
        <f aca="false">IF($B117="","",IF($B117="01水果",IFERROR(INDEX(对接源_01水果!$B$5:$B$507,MATCH(ROW()-3,对接源_01水果!$Q$5:$Q$507,0)),""),IFERROR(INDEX(对接源_02物料!$B$5:$B$460,MATCH(ROW()-3-N(对接源_01水果!$T$1),对接源_02物料!$Q$5:$Q$460,0)),"")))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7" s="67" t="str">
        <f aca="false">IF($B117="","",IF($B117="01水果",IFERROR(INDEX(对接源_01水果!$C$5:$C$507,MATCH(ROW()-3,对接源_01水果!$Q$5:$Q$507,0)),""),IFERROR(INDEX(对接源_02物料!$C$5:$C$460,MATCH(ROW()-3-N(对接源_01水果!$T$1),对接源_02物料!$Q$5:$Q$460,0)),"")))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7" s="69" t="str">
        <f aca="false">IF($B117="","",IF($B117="01水果",IFERROR(INDEX(对接源_01水果!$D$5:$D$507,MATCH(ROW()-3,对接源_01水果!$Q$5:$Q$507,0)),""),IFERROR(INDEX(对接源_02物料!$D$5:$D$460,MATCH(ROW()-3-N(对接源_01水果!$T$1),对接源_02物料!$Q$5:$Q$460,0)),"")))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7" s="67" t="str">
        <f aca="false">IF($B117="","",IF($B117="01水果",IFERROR(INDEX(对接源_01水果!$E$5:$E$507,MATCH(ROW()-3,对接源_01水果!$Q$5:$Q$507,0)),""),IFERROR(INDEX(对接源_02物料!$E$5:$E$460,MATCH(ROW()-3-N(对接源_01水果!$T$1),对接源_02物料!$Q$5:$Q$460,0)),"")))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7" s="70" t="str">
        <f aca="false">IF($B117="","",IF($B117="01水果",IFERROR(INDEX(对接源_01水果!$F$5:$F$507,MATCH(ROW()-3,对接源_01水果!$Q$5:$Q$507,0)),""),IFERROR(INDEX(对接源_02物料!$F$5:$F$460,MATCH(ROW()-3-N(对接源_01水果!$T$1),对接源_02物料!$Q$5:$Q$460,0)),"")))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7" s="70" t="str">
        <f aca="false">IF($B117="","",IF($B117="01水果",IFERROR(INDEX(对接源_01水果!$G$5:$G$507,MATCH(ROW()-3,对接源_01水果!$Q$5:$Q$507,0)),""),IFERROR(INDEX(对接源_02物料!$G$5:$G$460,MATCH(ROW()-3-N(对接源_01水果!$T$1),对接源_02物料!$Q$5:$Q$460,0)),"")))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7" s="67" t="str">
        <f aca="false">IF(OR($D117="客户应收",$D117="成品销售款",$D117="公司购买果品款",$D117="筐子销售款",$D117="物料销售款"),"客户往来",IFERROR(INDEX(收入成本映射!$C$4:$C$34,MATCH($D117,收入成本映射!$B$4:$B$34,0)),"不记账"))</f>
        <v>不记账</v>
      </c>
      <c r="J117" s="67" t="str">
        <f aca="false">IF($B117="","","0%")</f>
        <v/>
      </c>
      <c r="K117" s="70" t="n">
        <f aca="false">IF($I117="不记账",0,ROUND(N($G117),2))</f>
        <v>0</v>
      </c>
      <c r="L117" s="70" t="n">
        <v>0</v>
      </c>
      <c r="M117" s="67" t="str">
        <f aca="false">IF(OR($I117="不记账",ROUND(N($G117),2)=0),"",IFERROR(INDEX(收入成本映射!$E$4:$E$34,MATCH($D117,收入成本映射!$B$4:$B$34,0)),""))</f>
        <v/>
      </c>
      <c r="N117" s="70" t="str">
        <f aca="false">IF($M117="","",ROUND(N($G117),2))</f>
        <v/>
      </c>
      <c r="O117" s="70" t="str">
        <f aca="false">IF($M117="","",0)</f>
        <v/>
      </c>
      <c r="P117" s="67" t="str">
        <f aca="false">IF($M117="","",IFERROR(INDEX(收入成本映射!$F$4:$F$34,MATCH($D117,收入成本映射!$B$4:$B$34,0)),""))</f>
        <v/>
      </c>
      <c r="Q117" s="70" t="str">
        <f aca="false">IF($P117="","",0)</f>
        <v/>
      </c>
      <c r="R117" s="70" t="str">
        <f aca="false">IF($P117="","",ROUND(N($G117),2))</f>
        <v/>
      </c>
      <c r="S117" s="67" t="str">
        <f aca="false">""</f>
        <v/>
      </c>
      <c r="T117" s="70" t="str">
        <f aca="false">IF($S117="","",0)</f>
        <v/>
      </c>
      <c r="U117" s="70" t="str">
        <f aca="false">IF($S117="","",0)</f>
        <v/>
      </c>
      <c r="V117" s="66" t="str">
        <f aca="false">IF($B117="","",IF($B117="01水果",IFERROR(INDEX(对接源_01水果!$H$5:$H$507,MATCH(ROW()-3,对接源_01水果!$Q$5:$Q$507,0)),""),IFERROR(INDEX(对接源_02物料!$H$5:$H$460,MATCH(ROW()-3-N(对接源_01水果!$T$1),对接源_02物料!$Q$5:$Q$460,0)),"")))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8" customFormat="false" ht="18" hidden="false" customHeight="true" outlineLevel="0" collapsed="false">
      <c r="A118" s="66" t="n">
        <v>115</v>
      </c>
      <c r="B118" s="67" t="str">
        <f aca="false">IF(ROW()-3&lt;=N(对接源_01水果!$T$1),"01水果",IF(ROW()-3&lt;=N(对接源_01水果!$T$1)+N(对接源_02物料!$T$1),"02物料",""))</f>
        <v/>
      </c>
      <c r="C118" s="68" t="str">
        <f aca="false">IF($B118="","",IF($B118="01水果",IFERROR(INDEX(对接源_01水果!$B$5:$B$507,MATCH(ROW()-3,对接源_01水果!$Q$5:$Q$507,0)),""),IFERROR(INDEX(对接源_02物料!$B$5:$B$460,MATCH(ROW()-3-N(对接源_01水果!$T$1),对接源_02物料!$Q$5:$Q$460,0)),"")))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8" s="67" t="str">
        <f aca="false">IF($B118="","",IF($B118="01水果",IFERROR(INDEX(对接源_01水果!$C$5:$C$507,MATCH(ROW()-3,对接源_01水果!$Q$5:$Q$507,0)),""),IFERROR(INDEX(对接源_02物料!$C$5:$C$460,MATCH(ROW()-3-N(对接源_01水果!$T$1),对接源_02物料!$Q$5:$Q$460,0)),"")))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8" s="69" t="str">
        <f aca="false">IF($B118="","",IF($B118="01水果",IFERROR(INDEX(对接源_01水果!$D$5:$D$507,MATCH(ROW()-3,对接源_01水果!$Q$5:$Q$507,0)),""),IFERROR(INDEX(对接源_02物料!$D$5:$D$460,MATCH(ROW()-3-N(对接源_01水果!$T$1),对接源_02物料!$Q$5:$Q$460,0)),"")))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8" s="67" t="str">
        <f aca="false">IF($B118="","",IF($B118="01水果",IFERROR(INDEX(对接源_01水果!$E$5:$E$507,MATCH(ROW()-3,对接源_01水果!$Q$5:$Q$507,0)),""),IFERROR(INDEX(对接源_02物料!$E$5:$E$460,MATCH(ROW()-3-N(对接源_01水果!$T$1),对接源_02物料!$Q$5:$Q$460,0)),"")))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8" s="70" t="str">
        <f aca="false">IF($B118="","",IF($B118="01水果",IFERROR(INDEX(对接源_01水果!$F$5:$F$507,MATCH(ROW()-3,对接源_01水果!$Q$5:$Q$507,0)),""),IFERROR(INDEX(对接源_02物料!$F$5:$F$460,MATCH(ROW()-3-N(对接源_01水果!$T$1),对接源_02物料!$Q$5:$Q$460,0)),"")))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8" s="70" t="str">
        <f aca="false">IF($B118="","",IF($B118="01水果",IFERROR(INDEX(对接源_01水果!$G$5:$G$507,MATCH(ROW()-3,对接源_01水果!$Q$5:$Q$507,0)),""),IFERROR(INDEX(对接源_02物料!$G$5:$G$460,MATCH(ROW()-3-N(对接源_01水果!$T$1),对接源_02物料!$Q$5:$Q$460,0)),"")))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8" s="67" t="str">
        <f aca="false">IF(OR($D118="客户应收",$D118="成品销售款",$D118="公司购买果品款",$D118="筐子销售款",$D118="物料销售款"),"客户往来",IFERROR(INDEX(收入成本映射!$C$4:$C$34,MATCH($D118,收入成本映射!$B$4:$B$34,0)),"不记账"))</f>
        <v>不记账</v>
      </c>
      <c r="J118" s="67" t="str">
        <f aca="false">IF($B118="","","0%")</f>
        <v/>
      </c>
      <c r="K118" s="70" t="n">
        <f aca="false">IF($I118="不记账",0,ROUND(N($G118),2))</f>
        <v>0</v>
      </c>
      <c r="L118" s="70" t="n">
        <v>0</v>
      </c>
      <c r="M118" s="67" t="str">
        <f aca="false">IF(OR($I118="不记账",ROUND(N($G118),2)=0),"",IFERROR(INDEX(收入成本映射!$E$4:$E$34,MATCH($D118,收入成本映射!$B$4:$B$34,0)),""))</f>
        <v/>
      </c>
      <c r="N118" s="70" t="str">
        <f aca="false">IF($M118="","",ROUND(N($G118),2))</f>
        <v/>
      </c>
      <c r="O118" s="70" t="str">
        <f aca="false">IF($M118="","",0)</f>
        <v/>
      </c>
      <c r="P118" s="67" t="str">
        <f aca="false">IF($M118="","",IFERROR(INDEX(收入成本映射!$F$4:$F$34,MATCH($D118,收入成本映射!$B$4:$B$34,0)),""))</f>
        <v/>
      </c>
      <c r="Q118" s="70" t="str">
        <f aca="false">IF($P118="","",0)</f>
        <v/>
      </c>
      <c r="R118" s="70" t="str">
        <f aca="false">IF($P118="","",ROUND(N($G118),2))</f>
        <v/>
      </c>
      <c r="S118" s="67" t="str">
        <f aca="false">""</f>
        <v/>
      </c>
      <c r="T118" s="70" t="str">
        <f aca="false">IF($S118="","",0)</f>
        <v/>
      </c>
      <c r="U118" s="70" t="str">
        <f aca="false">IF($S118="","",0)</f>
        <v/>
      </c>
      <c r="V118" s="66" t="str">
        <f aca="false">IF($B118="","",IF($B118="01水果",IFERROR(INDEX(对接源_01水果!$H$5:$H$507,MATCH(ROW()-3,对接源_01水果!$Q$5:$Q$507,0)),""),IFERROR(INDEX(对接源_02物料!$H$5:$H$460,MATCH(ROW()-3-N(对接源_01水果!$T$1),对接源_02物料!$Q$5:$Q$460,0)),"")))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19" customFormat="false" ht="18" hidden="false" customHeight="true" outlineLevel="0" collapsed="false">
      <c r="A119" s="66" t="n">
        <v>116</v>
      </c>
      <c r="B119" s="67" t="str">
        <f aca="false">IF(ROW()-3&lt;=N(对接源_01水果!$T$1),"01水果",IF(ROW()-3&lt;=N(对接源_01水果!$T$1)+N(对接源_02物料!$T$1),"02物料",""))</f>
        <v/>
      </c>
      <c r="C119" s="68" t="str">
        <f aca="false">IF($B119="","",IF($B119="01水果",IFERROR(INDEX(对接源_01水果!$B$5:$B$507,MATCH(ROW()-3,对接源_01水果!$Q$5:$Q$507,0)),""),IFERROR(INDEX(对接源_02物料!$B$5:$B$460,MATCH(ROW()-3-N(对接源_01水果!$T$1),对接源_02物料!$Q$5:$Q$460,0)),"")))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19" s="67" t="str">
        <f aca="false">IF($B119="","",IF($B119="01水果",IFERROR(INDEX(对接源_01水果!$C$5:$C$507,MATCH(ROW()-3,对接源_01水果!$Q$5:$Q$507,0)),""),IFERROR(INDEX(对接源_02物料!$C$5:$C$460,MATCH(ROW()-3-N(对接源_01水果!$T$1),对接源_02物料!$Q$5:$Q$460,0)),"")))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19" s="69" t="str">
        <f aca="false">IF($B119="","",IF($B119="01水果",IFERROR(INDEX(对接源_01水果!$D$5:$D$507,MATCH(ROW()-3,对接源_01水果!$Q$5:$Q$507,0)),""),IFERROR(INDEX(对接源_02物料!$D$5:$D$460,MATCH(ROW()-3-N(对接源_01水果!$T$1),对接源_02物料!$Q$5:$Q$460,0)),"")))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19" s="67" t="str">
        <f aca="false">IF($B119="","",IF($B119="01水果",IFERROR(INDEX(对接源_01水果!$E$5:$E$507,MATCH(ROW()-3,对接源_01水果!$Q$5:$Q$507,0)),""),IFERROR(INDEX(对接源_02物料!$E$5:$E$460,MATCH(ROW()-3-N(对接源_01水果!$T$1),对接源_02物料!$Q$5:$Q$460,0)),"")))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19" s="70" t="str">
        <f aca="false">IF($B119="","",IF($B119="01水果",IFERROR(INDEX(对接源_01水果!$F$5:$F$507,MATCH(ROW()-3,对接源_01水果!$Q$5:$Q$507,0)),""),IFERROR(INDEX(对接源_02物料!$F$5:$F$460,MATCH(ROW()-3-N(对接源_01水果!$T$1),对接源_02物料!$Q$5:$Q$460,0)),"")))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19" s="70" t="str">
        <f aca="false">IF($B119="","",IF($B119="01水果",IFERROR(INDEX(对接源_01水果!$G$5:$G$507,MATCH(ROW()-3,对接源_01水果!$Q$5:$Q$507,0)),""),IFERROR(INDEX(对接源_02物料!$G$5:$G$460,MATCH(ROW()-3-N(对接源_01水果!$T$1),对接源_02物料!$Q$5:$Q$460,0)),"")))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19" s="67" t="str">
        <f aca="false">IF(OR($D119="客户应收",$D119="成品销售款",$D119="公司购买果品款",$D119="筐子销售款",$D119="物料销售款"),"客户往来",IFERROR(INDEX(收入成本映射!$C$4:$C$34,MATCH($D119,收入成本映射!$B$4:$B$34,0)),"不记账"))</f>
        <v>不记账</v>
      </c>
      <c r="J119" s="67" t="str">
        <f aca="false">IF($B119="","","0%")</f>
        <v/>
      </c>
      <c r="K119" s="70" t="n">
        <f aca="false">IF($I119="不记账",0,ROUND(N($G119),2))</f>
        <v>0</v>
      </c>
      <c r="L119" s="70" t="n">
        <v>0</v>
      </c>
      <c r="M119" s="67" t="str">
        <f aca="false">IF(OR($I119="不记账",ROUND(N($G119),2)=0),"",IFERROR(INDEX(收入成本映射!$E$4:$E$34,MATCH($D119,收入成本映射!$B$4:$B$34,0)),""))</f>
        <v/>
      </c>
      <c r="N119" s="70" t="str">
        <f aca="false">IF($M119="","",ROUND(N($G119),2))</f>
        <v/>
      </c>
      <c r="O119" s="70" t="str">
        <f aca="false">IF($M119="","",0)</f>
        <v/>
      </c>
      <c r="P119" s="67" t="str">
        <f aca="false">IF($M119="","",IFERROR(INDEX(收入成本映射!$F$4:$F$34,MATCH($D119,收入成本映射!$B$4:$B$34,0)),""))</f>
        <v/>
      </c>
      <c r="Q119" s="70" t="str">
        <f aca="false">IF($P119="","",0)</f>
        <v/>
      </c>
      <c r="R119" s="70" t="str">
        <f aca="false">IF($P119="","",ROUND(N($G119),2))</f>
        <v/>
      </c>
      <c r="S119" s="67" t="str">
        <f aca="false">""</f>
        <v/>
      </c>
      <c r="T119" s="70" t="str">
        <f aca="false">IF($S119="","",0)</f>
        <v/>
      </c>
      <c r="U119" s="70" t="str">
        <f aca="false">IF($S119="","",0)</f>
        <v/>
      </c>
      <c r="V119" s="66" t="str">
        <f aca="false">IF($B119="","",IF($B119="01水果",IFERROR(INDEX(对接源_01水果!$H$5:$H$507,MATCH(ROW()-3,对接源_01水果!$Q$5:$Q$507,0)),""),IFERROR(INDEX(对接源_02物料!$H$5:$H$460,MATCH(ROW()-3-N(对接源_01水果!$T$1),对接源_02物料!$Q$5:$Q$460,0)),"")))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0" customFormat="false" ht="18" hidden="false" customHeight="true" outlineLevel="0" collapsed="false">
      <c r="A120" s="66" t="n">
        <v>117</v>
      </c>
      <c r="B120" s="67" t="str">
        <f aca="false">IF(ROW()-3&lt;=N(对接源_01水果!$T$1),"01水果",IF(ROW()-3&lt;=N(对接源_01水果!$T$1)+N(对接源_02物料!$T$1),"02物料",""))</f>
        <v/>
      </c>
      <c r="C120" s="68" t="str">
        <f aca="false">IF($B120="","",IF($B120="01水果",IFERROR(INDEX(对接源_01水果!$B$5:$B$507,MATCH(ROW()-3,对接源_01水果!$Q$5:$Q$507,0)),""),IFERROR(INDEX(对接源_02物料!$B$5:$B$460,MATCH(ROW()-3-N(对接源_01水果!$T$1),对接源_02物料!$Q$5:$Q$460,0)),"")))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0" s="67" t="str">
        <f aca="false">IF($B120="","",IF($B120="01水果",IFERROR(INDEX(对接源_01水果!$C$5:$C$507,MATCH(ROW()-3,对接源_01水果!$Q$5:$Q$507,0)),""),IFERROR(INDEX(对接源_02物料!$C$5:$C$460,MATCH(ROW()-3-N(对接源_01水果!$T$1),对接源_02物料!$Q$5:$Q$460,0)),"")))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0" s="69" t="str">
        <f aca="false">IF($B120="","",IF($B120="01水果",IFERROR(INDEX(对接源_01水果!$D$5:$D$507,MATCH(ROW()-3,对接源_01水果!$Q$5:$Q$507,0)),""),IFERROR(INDEX(对接源_02物料!$D$5:$D$460,MATCH(ROW()-3-N(对接源_01水果!$T$1),对接源_02物料!$Q$5:$Q$460,0)),"")))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0" s="67" t="str">
        <f aca="false">IF($B120="","",IF($B120="01水果",IFERROR(INDEX(对接源_01水果!$E$5:$E$507,MATCH(ROW()-3,对接源_01水果!$Q$5:$Q$507,0)),""),IFERROR(INDEX(对接源_02物料!$E$5:$E$460,MATCH(ROW()-3-N(对接源_01水果!$T$1),对接源_02物料!$Q$5:$Q$460,0)),"")))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0" s="70" t="str">
        <f aca="false">IF($B120="","",IF($B120="01水果",IFERROR(INDEX(对接源_01水果!$F$5:$F$507,MATCH(ROW()-3,对接源_01水果!$Q$5:$Q$507,0)),""),IFERROR(INDEX(对接源_02物料!$F$5:$F$460,MATCH(ROW()-3-N(对接源_01水果!$T$1),对接源_02物料!$Q$5:$Q$460,0)),"")))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0" s="70" t="str">
        <f aca="false">IF($B120="","",IF($B120="01水果",IFERROR(INDEX(对接源_01水果!$G$5:$G$507,MATCH(ROW()-3,对接源_01水果!$Q$5:$Q$507,0)),""),IFERROR(INDEX(对接源_02物料!$G$5:$G$460,MATCH(ROW()-3-N(对接源_01水果!$T$1),对接源_02物料!$Q$5:$Q$460,0)),"")))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0" s="67" t="str">
        <f aca="false">IF(OR($D120="客户应收",$D120="成品销售款",$D120="公司购买果品款",$D120="筐子销售款",$D120="物料销售款"),"客户往来",IFERROR(INDEX(收入成本映射!$C$4:$C$34,MATCH($D120,收入成本映射!$B$4:$B$34,0)),"不记账"))</f>
        <v>不记账</v>
      </c>
      <c r="J120" s="67" t="str">
        <f aca="false">IF($B120="","","0%")</f>
        <v/>
      </c>
      <c r="K120" s="70" t="n">
        <f aca="false">IF($I120="不记账",0,ROUND(N($G120),2))</f>
        <v>0</v>
      </c>
      <c r="L120" s="70" t="n">
        <v>0</v>
      </c>
      <c r="M120" s="67" t="str">
        <f aca="false">IF(OR($I120="不记账",ROUND(N($G120),2)=0),"",IFERROR(INDEX(收入成本映射!$E$4:$E$34,MATCH($D120,收入成本映射!$B$4:$B$34,0)),""))</f>
        <v/>
      </c>
      <c r="N120" s="70" t="str">
        <f aca="false">IF($M120="","",ROUND(N($G120),2))</f>
        <v/>
      </c>
      <c r="O120" s="70" t="str">
        <f aca="false">IF($M120="","",0)</f>
        <v/>
      </c>
      <c r="P120" s="67" t="str">
        <f aca="false">IF($M120="","",IFERROR(INDEX(收入成本映射!$F$4:$F$34,MATCH($D120,收入成本映射!$B$4:$B$34,0)),""))</f>
        <v/>
      </c>
      <c r="Q120" s="70" t="str">
        <f aca="false">IF($P120="","",0)</f>
        <v/>
      </c>
      <c r="R120" s="70" t="str">
        <f aca="false">IF($P120="","",ROUND(N($G120),2))</f>
        <v/>
      </c>
      <c r="S120" s="67" t="str">
        <f aca="false">""</f>
        <v/>
      </c>
      <c r="T120" s="70" t="str">
        <f aca="false">IF($S120="","",0)</f>
        <v/>
      </c>
      <c r="U120" s="70" t="str">
        <f aca="false">IF($S120="","",0)</f>
        <v/>
      </c>
      <c r="V120" s="66" t="str">
        <f aca="false">IF($B120="","",IF($B120="01水果",IFERROR(INDEX(对接源_01水果!$H$5:$H$507,MATCH(ROW()-3,对接源_01水果!$Q$5:$Q$507,0)),""),IFERROR(INDEX(对接源_02物料!$H$5:$H$460,MATCH(ROW()-3-N(对接源_01水果!$T$1),对接源_02物料!$Q$5:$Q$460,0)),"")))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1" customFormat="false" ht="18" hidden="false" customHeight="true" outlineLevel="0" collapsed="false">
      <c r="A121" s="66" t="n">
        <v>118</v>
      </c>
      <c r="B121" s="67" t="str">
        <f aca="false">IF(ROW()-3&lt;=N(对接源_01水果!$T$1),"01水果",IF(ROW()-3&lt;=N(对接源_01水果!$T$1)+N(对接源_02物料!$T$1),"02物料",""))</f>
        <v/>
      </c>
      <c r="C121" s="68" t="str">
        <f aca="false">IF($B121="","",IF($B121="01水果",IFERROR(INDEX(对接源_01水果!$B$5:$B$507,MATCH(ROW()-3,对接源_01水果!$Q$5:$Q$507,0)),""),IFERROR(INDEX(对接源_02物料!$B$5:$B$460,MATCH(ROW()-3-N(对接源_01水果!$T$1),对接源_02物料!$Q$5:$Q$460,0)),"")))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1" s="67" t="str">
        <f aca="false">IF($B121="","",IF($B121="01水果",IFERROR(INDEX(对接源_01水果!$C$5:$C$507,MATCH(ROW()-3,对接源_01水果!$Q$5:$Q$507,0)),""),IFERROR(INDEX(对接源_02物料!$C$5:$C$460,MATCH(ROW()-3-N(对接源_01水果!$T$1),对接源_02物料!$Q$5:$Q$460,0)),"")))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1" s="69" t="str">
        <f aca="false">IF($B121="","",IF($B121="01水果",IFERROR(INDEX(对接源_01水果!$D$5:$D$507,MATCH(ROW()-3,对接源_01水果!$Q$5:$Q$507,0)),""),IFERROR(INDEX(对接源_02物料!$D$5:$D$460,MATCH(ROW()-3-N(对接源_01水果!$T$1),对接源_02物料!$Q$5:$Q$460,0)),"")))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1" s="67" t="str">
        <f aca="false">IF($B121="","",IF($B121="01水果",IFERROR(INDEX(对接源_01水果!$E$5:$E$507,MATCH(ROW()-3,对接源_01水果!$Q$5:$Q$507,0)),""),IFERROR(INDEX(对接源_02物料!$E$5:$E$460,MATCH(ROW()-3-N(对接源_01水果!$T$1),对接源_02物料!$Q$5:$Q$460,0)),"")))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1" s="70" t="str">
        <f aca="false">IF($B121="","",IF($B121="01水果",IFERROR(INDEX(对接源_01水果!$F$5:$F$507,MATCH(ROW()-3,对接源_01水果!$Q$5:$Q$507,0)),""),IFERROR(INDEX(对接源_02物料!$F$5:$F$460,MATCH(ROW()-3-N(对接源_01水果!$T$1),对接源_02物料!$Q$5:$Q$460,0)),"")))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1" s="70" t="str">
        <f aca="false">IF($B121="","",IF($B121="01水果",IFERROR(INDEX(对接源_01水果!$G$5:$G$507,MATCH(ROW()-3,对接源_01水果!$Q$5:$Q$507,0)),""),IFERROR(INDEX(对接源_02物料!$G$5:$G$460,MATCH(ROW()-3-N(对接源_01水果!$T$1),对接源_02物料!$Q$5:$Q$460,0)),"")))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1" s="67" t="str">
        <f aca="false">IF(OR($D121="客户应收",$D121="成品销售款",$D121="公司购买果品款",$D121="筐子销售款",$D121="物料销售款"),"客户往来",IFERROR(INDEX(收入成本映射!$C$4:$C$34,MATCH($D121,收入成本映射!$B$4:$B$34,0)),"不记账"))</f>
        <v>不记账</v>
      </c>
      <c r="J121" s="67" t="str">
        <f aca="false">IF($B121="","","0%")</f>
        <v/>
      </c>
      <c r="K121" s="70" t="n">
        <f aca="false">IF($I121="不记账",0,ROUND(N($G121),2))</f>
        <v>0</v>
      </c>
      <c r="L121" s="70" t="n">
        <v>0</v>
      </c>
      <c r="M121" s="67" t="str">
        <f aca="false">IF(OR($I121="不记账",ROUND(N($G121),2)=0),"",IFERROR(INDEX(收入成本映射!$E$4:$E$34,MATCH($D121,收入成本映射!$B$4:$B$34,0)),""))</f>
        <v/>
      </c>
      <c r="N121" s="70" t="str">
        <f aca="false">IF($M121="","",ROUND(N($G121),2))</f>
        <v/>
      </c>
      <c r="O121" s="70" t="str">
        <f aca="false">IF($M121="","",0)</f>
        <v/>
      </c>
      <c r="P121" s="67" t="str">
        <f aca="false">IF($M121="","",IFERROR(INDEX(收入成本映射!$F$4:$F$34,MATCH($D121,收入成本映射!$B$4:$B$34,0)),""))</f>
        <v/>
      </c>
      <c r="Q121" s="70" t="str">
        <f aca="false">IF($P121="","",0)</f>
        <v/>
      </c>
      <c r="R121" s="70" t="str">
        <f aca="false">IF($P121="","",ROUND(N($G121),2))</f>
        <v/>
      </c>
      <c r="S121" s="67" t="str">
        <f aca="false">""</f>
        <v/>
      </c>
      <c r="T121" s="70" t="str">
        <f aca="false">IF($S121="","",0)</f>
        <v/>
      </c>
      <c r="U121" s="70" t="str">
        <f aca="false">IF($S121="","",0)</f>
        <v/>
      </c>
      <c r="V121" s="66" t="str">
        <f aca="false">IF($B121="","",IF($B121="01水果",IFERROR(INDEX(对接源_01水果!$H$5:$H$507,MATCH(ROW()-3,对接源_01水果!$Q$5:$Q$507,0)),""),IFERROR(INDEX(对接源_02物料!$H$5:$H$460,MATCH(ROW()-3-N(对接源_01水果!$T$1),对接源_02物料!$Q$5:$Q$460,0)),"")))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2" customFormat="false" ht="18" hidden="false" customHeight="true" outlineLevel="0" collapsed="false">
      <c r="A122" s="66" t="n">
        <v>119</v>
      </c>
      <c r="B122" s="67" t="str">
        <f aca="false">IF(ROW()-3&lt;=N(对接源_01水果!$T$1),"01水果",IF(ROW()-3&lt;=N(对接源_01水果!$T$1)+N(对接源_02物料!$T$1),"02物料",""))</f>
        <v/>
      </c>
      <c r="C122" s="68" t="str">
        <f aca="false">IF($B122="","",IF($B122="01水果",IFERROR(INDEX(对接源_01水果!$B$5:$B$507,MATCH(ROW()-3,对接源_01水果!$Q$5:$Q$507,0)),""),IFERROR(INDEX(对接源_02物料!$B$5:$B$460,MATCH(ROW()-3-N(对接源_01水果!$T$1),对接源_02物料!$Q$5:$Q$460,0)),"")))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2" s="67" t="str">
        <f aca="false">IF($B122="","",IF($B122="01水果",IFERROR(INDEX(对接源_01水果!$C$5:$C$507,MATCH(ROW()-3,对接源_01水果!$Q$5:$Q$507,0)),""),IFERROR(INDEX(对接源_02物料!$C$5:$C$460,MATCH(ROW()-3-N(对接源_01水果!$T$1),对接源_02物料!$Q$5:$Q$460,0)),"")))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2" s="69" t="str">
        <f aca="false">IF($B122="","",IF($B122="01水果",IFERROR(INDEX(对接源_01水果!$D$5:$D$507,MATCH(ROW()-3,对接源_01水果!$Q$5:$Q$507,0)),""),IFERROR(INDEX(对接源_02物料!$D$5:$D$460,MATCH(ROW()-3-N(对接源_01水果!$T$1),对接源_02物料!$Q$5:$Q$460,0)),"")))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2" s="67" t="str">
        <f aca="false">IF($B122="","",IF($B122="01水果",IFERROR(INDEX(对接源_01水果!$E$5:$E$507,MATCH(ROW()-3,对接源_01水果!$Q$5:$Q$507,0)),""),IFERROR(INDEX(对接源_02物料!$E$5:$E$460,MATCH(ROW()-3-N(对接源_01水果!$T$1),对接源_02物料!$Q$5:$Q$460,0)),"")))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2" s="70" t="str">
        <f aca="false">IF($B122="","",IF($B122="01水果",IFERROR(INDEX(对接源_01水果!$F$5:$F$507,MATCH(ROW()-3,对接源_01水果!$Q$5:$Q$507,0)),""),IFERROR(INDEX(对接源_02物料!$F$5:$F$460,MATCH(ROW()-3-N(对接源_01水果!$T$1),对接源_02物料!$Q$5:$Q$460,0)),"")))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2" s="70" t="str">
        <f aca="false">IF($B122="","",IF($B122="01水果",IFERROR(INDEX(对接源_01水果!$G$5:$G$507,MATCH(ROW()-3,对接源_01水果!$Q$5:$Q$507,0)),""),IFERROR(INDEX(对接源_02物料!$G$5:$G$460,MATCH(ROW()-3-N(对接源_01水果!$T$1),对接源_02物料!$Q$5:$Q$460,0)),"")))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2" s="67" t="str">
        <f aca="false">IF(OR($D122="客户应收",$D122="成品销售款",$D122="公司购买果品款",$D122="筐子销售款",$D122="物料销售款"),"客户往来",IFERROR(INDEX(收入成本映射!$C$4:$C$34,MATCH($D122,收入成本映射!$B$4:$B$34,0)),"不记账"))</f>
        <v>不记账</v>
      </c>
      <c r="J122" s="67" t="str">
        <f aca="false">IF($B122="","","0%")</f>
        <v/>
      </c>
      <c r="K122" s="70" t="n">
        <f aca="false">IF($I122="不记账",0,ROUND(N($G122),2))</f>
        <v>0</v>
      </c>
      <c r="L122" s="70" t="n">
        <v>0</v>
      </c>
      <c r="M122" s="67" t="str">
        <f aca="false">IF(OR($I122="不记账",ROUND(N($G122),2)=0),"",IFERROR(INDEX(收入成本映射!$E$4:$E$34,MATCH($D122,收入成本映射!$B$4:$B$34,0)),""))</f>
        <v/>
      </c>
      <c r="N122" s="70" t="str">
        <f aca="false">IF($M122="","",ROUND(N($G122),2))</f>
        <v/>
      </c>
      <c r="O122" s="70" t="str">
        <f aca="false">IF($M122="","",0)</f>
        <v/>
      </c>
      <c r="P122" s="67" t="str">
        <f aca="false">IF($M122="","",IFERROR(INDEX(收入成本映射!$F$4:$F$34,MATCH($D122,收入成本映射!$B$4:$B$34,0)),""))</f>
        <v/>
      </c>
      <c r="Q122" s="70" t="str">
        <f aca="false">IF($P122="","",0)</f>
        <v/>
      </c>
      <c r="R122" s="70" t="str">
        <f aca="false">IF($P122="","",ROUND(N($G122),2))</f>
        <v/>
      </c>
      <c r="S122" s="67" t="str">
        <f aca="false">""</f>
        <v/>
      </c>
      <c r="T122" s="70" t="str">
        <f aca="false">IF($S122="","",0)</f>
        <v/>
      </c>
      <c r="U122" s="70" t="str">
        <f aca="false">IF($S122="","",0)</f>
        <v/>
      </c>
      <c r="V122" s="66" t="str">
        <f aca="false">IF($B122="","",IF($B122="01水果",IFERROR(INDEX(对接源_01水果!$H$5:$H$507,MATCH(ROW()-3,对接源_01水果!$Q$5:$Q$507,0)),""),IFERROR(INDEX(对接源_02物料!$H$5:$H$460,MATCH(ROW()-3-N(对接源_01水果!$T$1),对接源_02物料!$Q$5:$Q$460,0)),"")))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3" customFormat="false" ht="18" hidden="false" customHeight="true" outlineLevel="0" collapsed="false">
      <c r="A123" s="66" t="n">
        <v>120</v>
      </c>
      <c r="B123" s="67" t="str">
        <f aca="false">IF(ROW()-3&lt;=N(对接源_01水果!$T$1),"01水果",IF(ROW()-3&lt;=N(对接源_01水果!$T$1)+N(对接源_02物料!$T$1),"02物料",""))</f>
        <v/>
      </c>
      <c r="C123" s="68" t="str">
        <f aca="false">IF($B123="","",IF($B123="01水果",IFERROR(INDEX(对接源_01水果!$B$5:$B$507,MATCH(ROW()-3,对接源_01水果!$Q$5:$Q$507,0)),""),IFERROR(INDEX(对接源_02物料!$B$5:$B$460,MATCH(ROW()-3-N(对接源_01水果!$T$1),对接源_02物料!$Q$5:$Q$460,0)),"")))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3" s="67" t="str">
        <f aca="false">IF($B123="","",IF($B123="01水果",IFERROR(INDEX(对接源_01水果!$C$5:$C$507,MATCH(ROW()-3,对接源_01水果!$Q$5:$Q$507,0)),""),IFERROR(INDEX(对接源_02物料!$C$5:$C$460,MATCH(ROW()-3-N(对接源_01水果!$T$1),对接源_02物料!$Q$5:$Q$460,0)),"")))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3" s="69" t="str">
        <f aca="false">IF($B123="","",IF($B123="01水果",IFERROR(INDEX(对接源_01水果!$D$5:$D$507,MATCH(ROW()-3,对接源_01水果!$Q$5:$Q$507,0)),""),IFERROR(INDEX(对接源_02物料!$D$5:$D$460,MATCH(ROW()-3-N(对接源_01水果!$T$1),对接源_02物料!$Q$5:$Q$460,0)),"")))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3" s="67" t="str">
        <f aca="false">IF($B123="","",IF($B123="01水果",IFERROR(INDEX(对接源_01水果!$E$5:$E$507,MATCH(ROW()-3,对接源_01水果!$Q$5:$Q$507,0)),""),IFERROR(INDEX(对接源_02物料!$E$5:$E$460,MATCH(ROW()-3-N(对接源_01水果!$T$1),对接源_02物料!$Q$5:$Q$460,0)),"")))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3" s="70" t="str">
        <f aca="false">IF($B123="","",IF($B123="01水果",IFERROR(INDEX(对接源_01水果!$F$5:$F$507,MATCH(ROW()-3,对接源_01水果!$Q$5:$Q$507,0)),""),IFERROR(INDEX(对接源_02物料!$F$5:$F$460,MATCH(ROW()-3-N(对接源_01水果!$T$1),对接源_02物料!$Q$5:$Q$460,0)),"")))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3" s="70" t="str">
        <f aca="false">IF($B123="","",IF($B123="01水果",IFERROR(INDEX(对接源_01水果!$G$5:$G$507,MATCH(ROW()-3,对接源_01水果!$Q$5:$Q$507,0)),""),IFERROR(INDEX(对接源_02物料!$G$5:$G$460,MATCH(ROW()-3-N(对接源_01水果!$T$1),对接源_02物料!$Q$5:$Q$460,0)),"")))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3" s="67" t="str">
        <f aca="false">IF(OR($D123="客户应收",$D123="成品销售款",$D123="公司购买果品款",$D123="筐子销售款",$D123="物料销售款"),"客户往来",IFERROR(INDEX(收入成本映射!$C$4:$C$34,MATCH($D123,收入成本映射!$B$4:$B$34,0)),"不记账"))</f>
        <v>不记账</v>
      </c>
      <c r="J123" s="67" t="str">
        <f aca="false">IF($B123="","","0%")</f>
        <v/>
      </c>
      <c r="K123" s="70" t="n">
        <f aca="false">IF($I123="不记账",0,ROUND(N($G123),2))</f>
        <v>0</v>
      </c>
      <c r="L123" s="70" t="n">
        <v>0</v>
      </c>
      <c r="M123" s="67" t="str">
        <f aca="false">IF(OR($I123="不记账",ROUND(N($G123),2)=0),"",IFERROR(INDEX(收入成本映射!$E$4:$E$34,MATCH($D123,收入成本映射!$B$4:$B$34,0)),""))</f>
        <v/>
      </c>
      <c r="N123" s="70" t="str">
        <f aca="false">IF($M123="","",ROUND(N($G123),2))</f>
        <v/>
      </c>
      <c r="O123" s="70" t="str">
        <f aca="false">IF($M123="","",0)</f>
        <v/>
      </c>
      <c r="P123" s="67" t="str">
        <f aca="false">IF($M123="","",IFERROR(INDEX(收入成本映射!$F$4:$F$34,MATCH($D123,收入成本映射!$B$4:$B$34,0)),""))</f>
        <v/>
      </c>
      <c r="Q123" s="70" t="str">
        <f aca="false">IF($P123="","",0)</f>
        <v/>
      </c>
      <c r="R123" s="70" t="str">
        <f aca="false">IF($P123="","",ROUND(N($G123),2))</f>
        <v/>
      </c>
      <c r="S123" s="67" t="str">
        <f aca="false">""</f>
        <v/>
      </c>
      <c r="T123" s="70" t="str">
        <f aca="false">IF($S123="","",0)</f>
        <v/>
      </c>
      <c r="U123" s="70" t="str">
        <f aca="false">IF($S123="","",0)</f>
        <v/>
      </c>
      <c r="V123" s="66" t="str">
        <f aca="false">IF($B123="","",IF($B123="01水果",IFERROR(INDEX(对接源_01水果!$H$5:$H$507,MATCH(ROW()-3,对接源_01水果!$Q$5:$Q$507,0)),""),IFERROR(INDEX(对接源_02物料!$H$5:$H$460,MATCH(ROW()-3-N(对接源_01水果!$T$1),对接源_02物料!$Q$5:$Q$460,0)),"")))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4" customFormat="false" ht="18" hidden="false" customHeight="true" outlineLevel="0" collapsed="false">
      <c r="A124" s="66" t="n">
        <v>121</v>
      </c>
      <c r="B124" s="67" t="str">
        <f aca="false">IF(ROW()-3&lt;=N(对接源_01水果!$T$1),"01水果",IF(ROW()-3&lt;=N(对接源_01水果!$T$1)+N(对接源_02物料!$T$1),"02物料",""))</f>
        <v/>
      </c>
      <c r="C124" s="68" t="str">
        <f aca="false">IF($B124="","",IF($B124="01水果",IFERROR(INDEX(对接源_01水果!$B$5:$B$507,MATCH(ROW()-3,对接源_01水果!$Q$5:$Q$507,0)),""),IFERROR(INDEX(对接源_02物料!$B$5:$B$460,MATCH(ROW()-3-N(对接源_01水果!$T$1),对接源_02物料!$Q$5:$Q$460,0)),"")))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4" s="67" t="str">
        <f aca="false">IF($B124="","",IF($B124="01水果",IFERROR(INDEX(对接源_01水果!$C$5:$C$507,MATCH(ROW()-3,对接源_01水果!$Q$5:$Q$507,0)),""),IFERROR(INDEX(对接源_02物料!$C$5:$C$460,MATCH(ROW()-3-N(对接源_01水果!$T$1),对接源_02物料!$Q$5:$Q$460,0)),"")))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4" s="69" t="str">
        <f aca="false">IF($B124="","",IF($B124="01水果",IFERROR(INDEX(对接源_01水果!$D$5:$D$507,MATCH(ROW()-3,对接源_01水果!$Q$5:$Q$507,0)),""),IFERROR(INDEX(对接源_02物料!$D$5:$D$460,MATCH(ROW()-3-N(对接源_01水果!$T$1),对接源_02物料!$Q$5:$Q$460,0)),"")))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4" s="67" t="str">
        <f aca="false">IF($B124="","",IF($B124="01水果",IFERROR(INDEX(对接源_01水果!$E$5:$E$507,MATCH(ROW()-3,对接源_01水果!$Q$5:$Q$507,0)),""),IFERROR(INDEX(对接源_02物料!$E$5:$E$460,MATCH(ROW()-3-N(对接源_01水果!$T$1),对接源_02物料!$Q$5:$Q$460,0)),"")))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4" s="70" t="str">
        <f aca="false">IF($B124="","",IF($B124="01水果",IFERROR(INDEX(对接源_01水果!$F$5:$F$507,MATCH(ROW()-3,对接源_01水果!$Q$5:$Q$507,0)),""),IFERROR(INDEX(对接源_02物料!$F$5:$F$460,MATCH(ROW()-3-N(对接源_01水果!$T$1),对接源_02物料!$Q$5:$Q$460,0)),"")))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4" s="70" t="str">
        <f aca="false">IF($B124="","",IF($B124="01水果",IFERROR(INDEX(对接源_01水果!$G$5:$G$507,MATCH(ROW()-3,对接源_01水果!$Q$5:$Q$507,0)),""),IFERROR(INDEX(对接源_02物料!$G$5:$G$460,MATCH(ROW()-3-N(对接源_01水果!$T$1),对接源_02物料!$Q$5:$Q$460,0)),"")))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4" s="67" t="str">
        <f aca="false">IF(OR($D124="客户应收",$D124="成品销售款",$D124="公司购买果品款",$D124="筐子销售款",$D124="物料销售款"),"客户往来",IFERROR(INDEX(收入成本映射!$C$4:$C$34,MATCH($D124,收入成本映射!$B$4:$B$34,0)),"不记账"))</f>
        <v>不记账</v>
      </c>
      <c r="J124" s="67" t="str">
        <f aca="false">IF($B124="","","0%")</f>
        <v/>
      </c>
      <c r="K124" s="70" t="n">
        <f aca="false">IF($I124="不记账",0,ROUND(N($G124),2))</f>
        <v>0</v>
      </c>
      <c r="L124" s="70" t="n">
        <v>0</v>
      </c>
      <c r="M124" s="67" t="str">
        <f aca="false">IF(OR($I124="不记账",ROUND(N($G124),2)=0),"",IFERROR(INDEX(收入成本映射!$E$4:$E$34,MATCH($D124,收入成本映射!$B$4:$B$34,0)),""))</f>
        <v/>
      </c>
      <c r="N124" s="70" t="str">
        <f aca="false">IF($M124="","",ROUND(N($G124),2))</f>
        <v/>
      </c>
      <c r="O124" s="70" t="str">
        <f aca="false">IF($M124="","",0)</f>
        <v/>
      </c>
      <c r="P124" s="67" t="str">
        <f aca="false">IF($M124="","",IFERROR(INDEX(收入成本映射!$F$4:$F$34,MATCH($D124,收入成本映射!$B$4:$B$34,0)),""))</f>
        <v/>
      </c>
      <c r="Q124" s="70" t="str">
        <f aca="false">IF($P124="","",0)</f>
        <v/>
      </c>
      <c r="R124" s="70" t="str">
        <f aca="false">IF($P124="","",ROUND(N($G124),2))</f>
        <v/>
      </c>
      <c r="S124" s="67" t="str">
        <f aca="false">""</f>
        <v/>
      </c>
      <c r="T124" s="70" t="str">
        <f aca="false">IF($S124="","",0)</f>
        <v/>
      </c>
      <c r="U124" s="70" t="str">
        <f aca="false">IF($S124="","",0)</f>
        <v/>
      </c>
      <c r="V124" s="66" t="str">
        <f aca="false">IF($B124="","",IF($B124="01水果",IFERROR(INDEX(对接源_01水果!$H$5:$H$507,MATCH(ROW()-3,对接源_01水果!$Q$5:$Q$507,0)),""),IFERROR(INDEX(对接源_02物料!$H$5:$H$460,MATCH(ROW()-3-N(对接源_01水果!$T$1),对接源_02物料!$Q$5:$Q$460,0)),"")))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5" customFormat="false" ht="18" hidden="false" customHeight="true" outlineLevel="0" collapsed="false">
      <c r="A125" s="66" t="n">
        <v>122</v>
      </c>
      <c r="B125" s="67" t="str">
        <f aca="false">IF(ROW()-3&lt;=N(对接源_01水果!$T$1),"01水果",IF(ROW()-3&lt;=N(对接源_01水果!$T$1)+N(对接源_02物料!$T$1),"02物料",""))</f>
        <v/>
      </c>
      <c r="C125" s="68" t="str">
        <f aca="false">IF($B125="","",IF($B125="01水果",IFERROR(INDEX(对接源_01水果!$B$5:$B$507,MATCH(ROW()-3,对接源_01水果!$Q$5:$Q$507,0)),""),IFERROR(INDEX(对接源_02物料!$B$5:$B$460,MATCH(ROW()-3-N(对接源_01水果!$T$1),对接源_02物料!$Q$5:$Q$460,0)),"")))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5" s="67" t="str">
        <f aca="false">IF($B125="","",IF($B125="01水果",IFERROR(INDEX(对接源_01水果!$C$5:$C$507,MATCH(ROW()-3,对接源_01水果!$Q$5:$Q$507,0)),""),IFERROR(INDEX(对接源_02物料!$C$5:$C$460,MATCH(ROW()-3-N(对接源_01水果!$T$1),对接源_02物料!$Q$5:$Q$460,0)),"")))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5" s="69" t="str">
        <f aca="false">IF($B125="","",IF($B125="01水果",IFERROR(INDEX(对接源_01水果!$D$5:$D$507,MATCH(ROW()-3,对接源_01水果!$Q$5:$Q$507,0)),""),IFERROR(INDEX(对接源_02物料!$D$5:$D$460,MATCH(ROW()-3-N(对接源_01水果!$T$1),对接源_02物料!$Q$5:$Q$460,0)),"")))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5" s="67" t="str">
        <f aca="false">IF($B125="","",IF($B125="01水果",IFERROR(INDEX(对接源_01水果!$E$5:$E$507,MATCH(ROW()-3,对接源_01水果!$Q$5:$Q$507,0)),""),IFERROR(INDEX(对接源_02物料!$E$5:$E$460,MATCH(ROW()-3-N(对接源_01水果!$T$1),对接源_02物料!$Q$5:$Q$460,0)),"")))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5" s="70" t="str">
        <f aca="false">IF($B125="","",IF($B125="01水果",IFERROR(INDEX(对接源_01水果!$F$5:$F$507,MATCH(ROW()-3,对接源_01水果!$Q$5:$Q$507,0)),""),IFERROR(INDEX(对接源_02物料!$F$5:$F$460,MATCH(ROW()-3-N(对接源_01水果!$T$1),对接源_02物料!$Q$5:$Q$460,0)),"")))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5" s="70" t="str">
        <f aca="false">IF($B125="","",IF($B125="01水果",IFERROR(INDEX(对接源_01水果!$G$5:$G$507,MATCH(ROW()-3,对接源_01水果!$Q$5:$Q$507,0)),""),IFERROR(INDEX(对接源_02物料!$G$5:$G$460,MATCH(ROW()-3-N(对接源_01水果!$T$1),对接源_02物料!$Q$5:$Q$460,0)),"")))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5" s="67" t="str">
        <f aca="false">IF(OR($D125="客户应收",$D125="成品销售款",$D125="公司购买果品款",$D125="筐子销售款",$D125="物料销售款"),"客户往来",IFERROR(INDEX(收入成本映射!$C$4:$C$34,MATCH($D125,收入成本映射!$B$4:$B$34,0)),"不记账"))</f>
        <v>不记账</v>
      </c>
      <c r="J125" s="67" t="str">
        <f aca="false">IF($B125="","","0%")</f>
        <v/>
      </c>
      <c r="K125" s="70" t="n">
        <f aca="false">IF($I125="不记账",0,ROUND(N($G125),2))</f>
        <v>0</v>
      </c>
      <c r="L125" s="70" t="n">
        <v>0</v>
      </c>
      <c r="M125" s="67" t="str">
        <f aca="false">IF(OR($I125="不记账",ROUND(N($G125),2)=0),"",IFERROR(INDEX(收入成本映射!$E$4:$E$34,MATCH($D125,收入成本映射!$B$4:$B$34,0)),""))</f>
        <v/>
      </c>
      <c r="N125" s="70" t="str">
        <f aca="false">IF($M125="","",ROUND(N($G125),2))</f>
        <v/>
      </c>
      <c r="O125" s="70" t="str">
        <f aca="false">IF($M125="","",0)</f>
        <v/>
      </c>
      <c r="P125" s="67" t="str">
        <f aca="false">IF($M125="","",IFERROR(INDEX(收入成本映射!$F$4:$F$34,MATCH($D125,收入成本映射!$B$4:$B$34,0)),""))</f>
        <v/>
      </c>
      <c r="Q125" s="70" t="str">
        <f aca="false">IF($P125="","",0)</f>
        <v/>
      </c>
      <c r="R125" s="70" t="str">
        <f aca="false">IF($P125="","",ROUND(N($G125),2))</f>
        <v/>
      </c>
      <c r="S125" s="67" t="str">
        <f aca="false">""</f>
        <v/>
      </c>
      <c r="T125" s="70" t="str">
        <f aca="false">IF($S125="","",0)</f>
        <v/>
      </c>
      <c r="U125" s="70" t="str">
        <f aca="false">IF($S125="","",0)</f>
        <v/>
      </c>
      <c r="V125" s="66" t="str">
        <f aca="false">IF($B125="","",IF($B125="01水果",IFERROR(INDEX(对接源_01水果!$H$5:$H$507,MATCH(ROW()-3,对接源_01水果!$Q$5:$Q$507,0)),""),IFERROR(INDEX(对接源_02物料!$H$5:$H$460,MATCH(ROW()-3-N(对接源_01水果!$T$1),对接源_02物料!$Q$5:$Q$460,0)),"")))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6" customFormat="false" ht="18" hidden="false" customHeight="true" outlineLevel="0" collapsed="false">
      <c r="A126" s="66" t="n">
        <v>123</v>
      </c>
      <c r="B126" s="67" t="str">
        <f aca="false">IF(ROW()-3&lt;=N(对接源_01水果!$T$1),"01水果",IF(ROW()-3&lt;=N(对接源_01水果!$T$1)+N(对接源_02物料!$T$1),"02物料",""))</f>
        <v/>
      </c>
      <c r="C126" s="68" t="str">
        <f aca="false">IF($B126="","",IF($B126="01水果",IFERROR(INDEX(对接源_01水果!$B$5:$B$507,MATCH(ROW()-3,对接源_01水果!$Q$5:$Q$507,0)),""),IFERROR(INDEX(对接源_02物料!$B$5:$B$460,MATCH(ROW()-3-N(对接源_01水果!$T$1),对接源_02物料!$Q$5:$Q$460,0)),"")))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6" s="67" t="str">
        <f aca="false">IF($B126="","",IF($B126="01水果",IFERROR(INDEX(对接源_01水果!$C$5:$C$507,MATCH(ROW()-3,对接源_01水果!$Q$5:$Q$507,0)),""),IFERROR(INDEX(对接源_02物料!$C$5:$C$460,MATCH(ROW()-3-N(对接源_01水果!$T$1),对接源_02物料!$Q$5:$Q$460,0)),"")))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6" s="69" t="str">
        <f aca="false">IF($B126="","",IF($B126="01水果",IFERROR(INDEX(对接源_01水果!$D$5:$D$507,MATCH(ROW()-3,对接源_01水果!$Q$5:$Q$507,0)),""),IFERROR(INDEX(对接源_02物料!$D$5:$D$460,MATCH(ROW()-3-N(对接源_01水果!$T$1),对接源_02物料!$Q$5:$Q$460,0)),"")))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6" s="67" t="str">
        <f aca="false">IF($B126="","",IF($B126="01水果",IFERROR(INDEX(对接源_01水果!$E$5:$E$507,MATCH(ROW()-3,对接源_01水果!$Q$5:$Q$507,0)),""),IFERROR(INDEX(对接源_02物料!$E$5:$E$460,MATCH(ROW()-3-N(对接源_01水果!$T$1),对接源_02物料!$Q$5:$Q$460,0)),"")))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6" s="70" t="str">
        <f aca="false">IF($B126="","",IF($B126="01水果",IFERROR(INDEX(对接源_01水果!$F$5:$F$507,MATCH(ROW()-3,对接源_01水果!$Q$5:$Q$507,0)),""),IFERROR(INDEX(对接源_02物料!$F$5:$F$460,MATCH(ROW()-3-N(对接源_01水果!$T$1),对接源_02物料!$Q$5:$Q$460,0)),"")))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6" s="70" t="str">
        <f aca="false">IF($B126="","",IF($B126="01水果",IFERROR(INDEX(对接源_01水果!$G$5:$G$507,MATCH(ROW()-3,对接源_01水果!$Q$5:$Q$507,0)),""),IFERROR(INDEX(对接源_02物料!$G$5:$G$460,MATCH(ROW()-3-N(对接源_01水果!$T$1),对接源_02物料!$Q$5:$Q$460,0)),"")))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6" s="67" t="str">
        <f aca="false">IF(OR($D126="客户应收",$D126="成品销售款",$D126="公司购买果品款",$D126="筐子销售款",$D126="物料销售款"),"客户往来",IFERROR(INDEX(收入成本映射!$C$4:$C$34,MATCH($D126,收入成本映射!$B$4:$B$34,0)),"不记账"))</f>
        <v>不记账</v>
      </c>
      <c r="J126" s="67" t="str">
        <f aca="false">IF($B126="","","0%")</f>
        <v/>
      </c>
      <c r="K126" s="70" t="n">
        <f aca="false">IF($I126="不记账",0,ROUND(N($G126),2))</f>
        <v>0</v>
      </c>
      <c r="L126" s="70" t="n">
        <v>0</v>
      </c>
      <c r="M126" s="67" t="str">
        <f aca="false">IF(OR($I126="不记账",ROUND(N($G126),2)=0),"",IFERROR(INDEX(收入成本映射!$E$4:$E$34,MATCH($D126,收入成本映射!$B$4:$B$34,0)),""))</f>
        <v/>
      </c>
      <c r="N126" s="70" t="str">
        <f aca="false">IF($M126="","",ROUND(N($G126),2))</f>
        <v/>
      </c>
      <c r="O126" s="70" t="str">
        <f aca="false">IF($M126="","",0)</f>
        <v/>
      </c>
      <c r="P126" s="67" t="str">
        <f aca="false">IF($M126="","",IFERROR(INDEX(收入成本映射!$F$4:$F$34,MATCH($D126,收入成本映射!$B$4:$B$34,0)),""))</f>
        <v/>
      </c>
      <c r="Q126" s="70" t="str">
        <f aca="false">IF($P126="","",0)</f>
        <v/>
      </c>
      <c r="R126" s="70" t="str">
        <f aca="false">IF($P126="","",ROUND(N($G126),2))</f>
        <v/>
      </c>
      <c r="S126" s="67" t="str">
        <f aca="false">""</f>
        <v/>
      </c>
      <c r="T126" s="70" t="str">
        <f aca="false">IF($S126="","",0)</f>
        <v/>
      </c>
      <c r="U126" s="70" t="str">
        <f aca="false">IF($S126="","",0)</f>
        <v/>
      </c>
      <c r="V126" s="66" t="str">
        <f aca="false">IF($B126="","",IF($B126="01水果",IFERROR(INDEX(对接源_01水果!$H$5:$H$507,MATCH(ROW()-3,对接源_01水果!$Q$5:$Q$507,0)),""),IFERROR(INDEX(对接源_02物料!$H$5:$H$460,MATCH(ROW()-3-N(对接源_01水果!$T$1),对接源_02物料!$Q$5:$Q$460,0)),"")))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7" customFormat="false" ht="18" hidden="false" customHeight="true" outlineLevel="0" collapsed="false">
      <c r="A127" s="66" t="n">
        <v>124</v>
      </c>
      <c r="B127" s="67" t="str">
        <f aca="false">IF(ROW()-3&lt;=N(对接源_01水果!$T$1),"01水果",IF(ROW()-3&lt;=N(对接源_01水果!$T$1)+N(对接源_02物料!$T$1),"02物料",""))</f>
        <v/>
      </c>
      <c r="C127" s="68" t="str">
        <f aca="false">IF($B127="","",IF($B127="01水果",IFERROR(INDEX(对接源_01水果!$B$5:$B$507,MATCH(ROW()-3,对接源_01水果!$Q$5:$Q$507,0)),""),IFERROR(INDEX(对接源_02物料!$B$5:$B$460,MATCH(ROW()-3-N(对接源_01水果!$T$1),对接源_02物料!$Q$5:$Q$460,0)),"")))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7" s="67" t="str">
        <f aca="false">IF($B127="","",IF($B127="01水果",IFERROR(INDEX(对接源_01水果!$C$5:$C$507,MATCH(ROW()-3,对接源_01水果!$Q$5:$Q$507,0)),""),IFERROR(INDEX(对接源_02物料!$C$5:$C$460,MATCH(ROW()-3-N(对接源_01水果!$T$1),对接源_02物料!$Q$5:$Q$460,0)),"")))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7" s="69" t="str">
        <f aca="false">IF($B127="","",IF($B127="01水果",IFERROR(INDEX(对接源_01水果!$D$5:$D$507,MATCH(ROW()-3,对接源_01水果!$Q$5:$Q$507,0)),""),IFERROR(INDEX(对接源_02物料!$D$5:$D$460,MATCH(ROW()-3-N(对接源_01水果!$T$1),对接源_02物料!$Q$5:$Q$460,0)),"")))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7" s="67" t="str">
        <f aca="false">IF($B127="","",IF($B127="01水果",IFERROR(INDEX(对接源_01水果!$E$5:$E$507,MATCH(ROW()-3,对接源_01水果!$Q$5:$Q$507,0)),""),IFERROR(INDEX(对接源_02物料!$E$5:$E$460,MATCH(ROW()-3-N(对接源_01水果!$T$1),对接源_02物料!$Q$5:$Q$460,0)),"")))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7" s="70" t="str">
        <f aca="false">IF($B127="","",IF($B127="01水果",IFERROR(INDEX(对接源_01水果!$F$5:$F$507,MATCH(ROW()-3,对接源_01水果!$Q$5:$Q$507,0)),""),IFERROR(INDEX(对接源_02物料!$F$5:$F$460,MATCH(ROW()-3-N(对接源_01水果!$T$1),对接源_02物料!$Q$5:$Q$460,0)),"")))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7" s="70" t="str">
        <f aca="false">IF($B127="","",IF($B127="01水果",IFERROR(INDEX(对接源_01水果!$G$5:$G$507,MATCH(ROW()-3,对接源_01水果!$Q$5:$Q$507,0)),""),IFERROR(INDEX(对接源_02物料!$G$5:$G$460,MATCH(ROW()-3-N(对接源_01水果!$T$1),对接源_02物料!$Q$5:$Q$460,0)),"")))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7" s="67" t="str">
        <f aca="false">IF(OR($D127="客户应收",$D127="成品销售款",$D127="公司购买果品款",$D127="筐子销售款",$D127="物料销售款"),"客户往来",IFERROR(INDEX(收入成本映射!$C$4:$C$34,MATCH($D127,收入成本映射!$B$4:$B$34,0)),"不记账"))</f>
        <v>不记账</v>
      </c>
      <c r="J127" s="67" t="str">
        <f aca="false">IF($B127="","","0%")</f>
        <v/>
      </c>
      <c r="K127" s="70" t="n">
        <f aca="false">IF($I127="不记账",0,ROUND(N($G127),2))</f>
        <v>0</v>
      </c>
      <c r="L127" s="70" t="n">
        <v>0</v>
      </c>
      <c r="M127" s="67" t="str">
        <f aca="false">IF(OR($I127="不记账",ROUND(N($G127),2)=0),"",IFERROR(INDEX(收入成本映射!$E$4:$E$34,MATCH($D127,收入成本映射!$B$4:$B$34,0)),""))</f>
        <v/>
      </c>
      <c r="N127" s="70" t="str">
        <f aca="false">IF($M127="","",ROUND(N($G127),2))</f>
        <v/>
      </c>
      <c r="O127" s="70" t="str">
        <f aca="false">IF($M127="","",0)</f>
        <v/>
      </c>
      <c r="P127" s="67" t="str">
        <f aca="false">IF($M127="","",IFERROR(INDEX(收入成本映射!$F$4:$F$34,MATCH($D127,收入成本映射!$B$4:$B$34,0)),""))</f>
        <v/>
      </c>
      <c r="Q127" s="70" t="str">
        <f aca="false">IF($P127="","",0)</f>
        <v/>
      </c>
      <c r="R127" s="70" t="str">
        <f aca="false">IF($P127="","",ROUND(N($G127),2))</f>
        <v/>
      </c>
      <c r="S127" s="67" t="str">
        <f aca="false">""</f>
        <v/>
      </c>
      <c r="T127" s="70" t="str">
        <f aca="false">IF($S127="","",0)</f>
        <v/>
      </c>
      <c r="U127" s="70" t="str">
        <f aca="false">IF($S127="","",0)</f>
        <v/>
      </c>
      <c r="V127" s="66" t="str">
        <f aca="false">IF($B127="","",IF($B127="01水果",IFERROR(INDEX(对接源_01水果!$H$5:$H$507,MATCH(ROW()-3,对接源_01水果!$Q$5:$Q$507,0)),""),IFERROR(INDEX(对接源_02物料!$H$5:$H$460,MATCH(ROW()-3-N(对接源_01水果!$T$1),对接源_02物料!$Q$5:$Q$460,0)),"")))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8" customFormat="false" ht="18" hidden="false" customHeight="true" outlineLevel="0" collapsed="false">
      <c r="A128" s="66" t="n">
        <v>125</v>
      </c>
      <c r="B128" s="67" t="str">
        <f aca="false">IF(ROW()-3&lt;=N(对接源_01水果!$T$1),"01水果",IF(ROW()-3&lt;=N(对接源_01水果!$T$1)+N(对接源_02物料!$T$1),"02物料",""))</f>
        <v/>
      </c>
      <c r="C128" s="68" t="str">
        <f aca="false">IF($B128="","",IF($B128="01水果",IFERROR(INDEX(对接源_01水果!$B$5:$B$507,MATCH(ROW()-3,对接源_01水果!$Q$5:$Q$507,0)),""),IFERROR(INDEX(对接源_02物料!$B$5:$B$460,MATCH(ROW()-3-N(对接源_01水果!$T$1),对接源_02物料!$Q$5:$Q$460,0)),"")))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8" s="67" t="str">
        <f aca="false">IF($B128="","",IF($B128="01水果",IFERROR(INDEX(对接源_01水果!$C$5:$C$507,MATCH(ROW()-3,对接源_01水果!$Q$5:$Q$507,0)),""),IFERROR(INDEX(对接源_02物料!$C$5:$C$460,MATCH(ROW()-3-N(对接源_01水果!$T$1),对接源_02物料!$Q$5:$Q$460,0)),"")))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8" s="69" t="str">
        <f aca="false">IF($B128="","",IF($B128="01水果",IFERROR(INDEX(对接源_01水果!$D$5:$D$507,MATCH(ROW()-3,对接源_01水果!$Q$5:$Q$507,0)),""),IFERROR(INDEX(对接源_02物料!$D$5:$D$460,MATCH(ROW()-3-N(对接源_01水果!$T$1),对接源_02物料!$Q$5:$Q$460,0)),"")))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8" s="67" t="str">
        <f aca="false">IF($B128="","",IF($B128="01水果",IFERROR(INDEX(对接源_01水果!$E$5:$E$507,MATCH(ROW()-3,对接源_01水果!$Q$5:$Q$507,0)),""),IFERROR(INDEX(对接源_02物料!$E$5:$E$460,MATCH(ROW()-3-N(对接源_01水果!$T$1),对接源_02物料!$Q$5:$Q$460,0)),"")))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8" s="70" t="str">
        <f aca="false">IF($B128="","",IF($B128="01水果",IFERROR(INDEX(对接源_01水果!$F$5:$F$507,MATCH(ROW()-3,对接源_01水果!$Q$5:$Q$507,0)),""),IFERROR(INDEX(对接源_02物料!$F$5:$F$460,MATCH(ROW()-3-N(对接源_01水果!$T$1),对接源_02物料!$Q$5:$Q$460,0)),"")))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8" s="70" t="str">
        <f aca="false">IF($B128="","",IF($B128="01水果",IFERROR(INDEX(对接源_01水果!$G$5:$G$507,MATCH(ROW()-3,对接源_01水果!$Q$5:$Q$507,0)),""),IFERROR(INDEX(对接源_02物料!$G$5:$G$460,MATCH(ROW()-3-N(对接源_01水果!$T$1),对接源_02物料!$Q$5:$Q$460,0)),"")))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8" s="67" t="str">
        <f aca="false">IF(OR($D128="客户应收",$D128="成品销售款",$D128="公司购买果品款",$D128="筐子销售款",$D128="物料销售款"),"客户往来",IFERROR(INDEX(收入成本映射!$C$4:$C$34,MATCH($D128,收入成本映射!$B$4:$B$34,0)),"不记账"))</f>
        <v>不记账</v>
      </c>
      <c r="J128" s="67" t="str">
        <f aca="false">IF($B128="","","0%")</f>
        <v/>
      </c>
      <c r="K128" s="70" t="n">
        <f aca="false">IF($I128="不记账",0,ROUND(N($G128),2))</f>
        <v>0</v>
      </c>
      <c r="L128" s="70" t="n">
        <v>0</v>
      </c>
      <c r="M128" s="67" t="str">
        <f aca="false">IF(OR($I128="不记账",ROUND(N($G128),2)=0),"",IFERROR(INDEX(收入成本映射!$E$4:$E$34,MATCH($D128,收入成本映射!$B$4:$B$34,0)),""))</f>
        <v/>
      </c>
      <c r="N128" s="70" t="str">
        <f aca="false">IF($M128="","",ROUND(N($G128),2))</f>
        <v/>
      </c>
      <c r="O128" s="70" t="str">
        <f aca="false">IF($M128="","",0)</f>
        <v/>
      </c>
      <c r="P128" s="67" t="str">
        <f aca="false">IF($M128="","",IFERROR(INDEX(收入成本映射!$F$4:$F$34,MATCH($D128,收入成本映射!$B$4:$B$34,0)),""))</f>
        <v/>
      </c>
      <c r="Q128" s="70" t="str">
        <f aca="false">IF($P128="","",0)</f>
        <v/>
      </c>
      <c r="R128" s="70" t="str">
        <f aca="false">IF($P128="","",ROUND(N($G128),2))</f>
        <v/>
      </c>
      <c r="S128" s="67" t="str">
        <f aca="false">""</f>
        <v/>
      </c>
      <c r="T128" s="70" t="str">
        <f aca="false">IF($S128="","",0)</f>
        <v/>
      </c>
      <c r="U128" s="70" t="str">
        <f aca="false">IF($S128="","",0)</f>
        <v/>
      </c>
      <c r="V128" s="66" t="str">
        <f aca="false">IF($B128="","",IF($B128="01水果",IFERROR(INDEX(对接源_01水果!$H$5:$H$507,MATCH(ROW()-3,对接源_01水果!$Q$5:$Q$507,0)),""),IFERROR(INDEX(对接源_02物料!$H$5:$H$460,MATCH(ROW()-3-N(对接源_01水果!$T$1),对接源_02物料!$Q$5:$Q$460,0)),"")))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29" customFormat="false" ht="18" hidden="false" customHeight="true" outlineLevel="0" collapsed="false">
      <c r="A129" s="66" t="n">
        <v>126</v>
      </c>
      <c r="B129" s="67" t="str">
        <f aca="false">IF(ROW()-3&lt;=N(对接源_01水果!$T$1),"01水果",IF(ROW()-3&lt;=N(对接源_01水果!$T$1)+N(对接源_02物料!$T$1),"02物料",""))</f>
        <v/>
      </c>
      <c r="C129" s="68" t="str">
        <f aca="false">IF($B129="","",IF($B129="01水果",IFERROR(INDEX(对接源_01水果!$B$5:$B$507,MATCH(ROW()-3,对接源_01水果!$Q$5:$Q$507,0)),""),IFERROR(INDEX(对接源_02物料!$B$5:$B$460,MATCH(ROW()-3-N(对接源_01水果!$T$1),对接源_02物料!$Q$5:$Q$460,0)),"")))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29" s="67" t="str">
        <f aca="false">IF($B129="","",IF($B129="01水果",IFERROR(INDEX(对接源_01水果!$C$5:$C$507,MATCH(ROW()-3,对接源_01水果!$Q$5:$Q$507,0)),""),IFERROR(INDEX(对接源_02物料!$C$5:$C$460,MATCH(ROW()-3-N(对接源_01水果!$T$1),对接源_02物料!$Q$5:$Q$460,0)),"")))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29" s="69" t="str">
        <f aca="false">IF($B129="","",IF($B129="01水果",IFERROR(INDEX(对接源_01水果!$D$5:$D$507,MATCH(ROW()-3,对接源_01水果!$Q$5:$Q$507,0)),""),IFERROR(INDEX(对接源_02物料!$D$5:$D$460,MATCH(ROW()-3-N(对接源_01水果!$T$1),对接源_02物料!$Q$5:$Q$460,0)),"")))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29" s="67" t="str">
        <f aca="false">IF($B129="","",IF($B129="01水果",IFERROR(INDEX(对接源_01水果!$E$5:$E$507,MATCH(ROW()-3,对接源_01水果!$Q$5:$Q$507,0)),""),IFERROR(INDEX(对接源_02物料!$E$5:$E$460,MATCH(ROW()-3-N(对接源_01水果!$T$1),对接源_02物料!$Q$5:$Q$460,0)),"")))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29" s="70" t="str">
        <f aca="false">IF($B129="","",IF($B129="01水果",IFERROR(INDEX(对接源_01水果!$F$5:$F$507,MATCH(ROW()-3,对接源_01水果!$Q$5:$Q$507,0)),""),IFERROR(INDEX(对接源_02物料!$F$5:$F$460,MATCH(ROW()-3-N(对接源_01水果!$T$1),对接源_02物料!$Q$5:$Q$460,0)),"")))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29" s="70" t="str">
        <f aca="false">IF($B129="","",IF($B129="01水果",IFERROR(INDEX(对接源_01水果!$G$5:$G$507,MATCH(ROW()-3,对接源_01水果!$Q$5:$Q$507,0)),""),IFERROR(INDEX(对接源_02物料!$G$5:$G$460,MATCH(ROW()-3-N(对接源_01水果!$T$1),对接源_02物料!$Q$5:$Q$460,0)),"")))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29" s="67" t="str">
        <f aca="false">IF(OR($D129="客户应收",$D129="成品销售款",$D129="公司购买果品款",$D129="筐子销售款",$D129="物料销售款"),"客户往来",IFERROR(INDEX(收入成本映射!$C$4:$C$34,MATCH($D129,收入成本映射!$B$4:$B$34,0)),"不记账"))</f>
        <v>不记账</v>
      </c>
      <c r="J129" s="67" t="str">
        <f aca="false">IF($B129="","","0%")</f>
        <v/>
      </c>
      <c r="K129" s="70" t="n">
        <f aca="false">IF($I129="不记账",0,ROUND(N($G129),2))</f>
        <v>0</v>
      </c>
      <c r="L129" s="70" t="n">
        <v>0</v>
      </c>
      <c r="M129" s="67" t="str">
        <f aca="false">IF(OR($I129="不记账",ROUND(N($G129),2)=0),"",IFERROR(INDEX(收入成本映射!$E$4:$E$34,MATCH($D129,收入成本映射!$B$4:$B$34,0)),""))</f>
        <v/>
      </c>
      <c r="N129" s="70" t="str">
        <f aca="false">IF($M129="","",ROUND(N($G129),2))</f>
        <v/>
      </c>
      <c r="O129" s="70" t="str">
        <f aca="false">IF($M129="","",0)</f>
        <v/>
      </c>
      <c r="P129" s="67" t="str">
        <f aca="false">IF($M129="","",IFERROR(INDEX(收入成本映射!$F$4:$F$34,MATCH($D129,收入成本映射!$B$4:$B$34,0)),""))</f>
        <v/>
      </c>
      <c r="Q129" s="70" t="str">
        <f aca="false">IF($P129="","",0)</f>
        <v/>
      </c>
      <c r="R129" s="70" t="str">
        <f aca="false">IF($P129="","",ROUND(N($G129),2))</f>
        <v/>
      </c>
      <c r="S129" s="67" t="str">
        <f aca="false">""</f>
        <v/>
      </c>
      <c r="T129" s="70" t="str">
        <f aca="false">IF($S129="","",0)</f>
        <v/>
      </c>
      <c r="U129" s="70" t="str">
        <f aca="false">IF($S129="","",0)</f>
        <v/>
      </c>
      <c r="V129" s="66" t="str">
        <f aca="false">IF($B129="","",IF($B129="01水果",IFERROR(INDEX(对接源_01水果!$H$5:$H$507,MATCH(ROW()-3,对接源_01水果!$Q$5:$Q$507,0)),""),IFERROR(INDEX(对接源_02物料!$H$5:$H$460,MATCH(ROW()-3-N(对接源_01水果!$T$1),对接源_02物料!$Q$5:$Q$460,0)),"")))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0" customFormat="false" ht="18" hidden="false" customHeight="true" outlineLevel="0" collapsed="false">
      <c r="A130" s="66" t="n">
        <v>127</v>
      </c>
      <c r="B130" s="67" t="str">
        <f aca="false">IF(ROW()-3&lt;=N(对接源_01水果!$T$1),"01水果",IF(ROW()-3&lt;=N(对接源_01水果!$T$1)+N(对接源_02物料!$T$1),"02物料",""))</f>
        <v/>
      </c>
      <c r="C130" s="68" t="str">
        <f aca="false">IF($B130="","",IF($B130="01水果",IFERROR(INDEX(对接源_01水果!$B$5:$B$507,MATCH(ROW()-3,对接源_01水果!$Q$5:$Q$507,0)),""),IFERROR(INDEX(对接源_02物料!$B$5:$B$460,MATCH(ROW()-3-N(对接源_01水果!$T$1),对接源_02物料!$Q$5:$Q$460,0)),"")))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0" s="67" t="str">
        <f aca="false">IF($B130="","",IF($B130="01水果",IFERROR(INDEX(对接源_01水果!$C$5:$C$507,MATCH(ROW()-3,对接源_01水果!$Q$5:$Q$507,0)),""),IFERROR(INDEX(对接源_02物料!$C$5:$C$460,MATCH(ROW()-3-N(对接源_01水果!$T$1),对接源_02物料!$Q$5:$Q$460,0)),"")))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0" s="69" t="str">
        <f aca="false">IF($B130="","",IF($B130="01水果",IFERROR(INDEX(对接源_01水果!$D$5:$D$507,MATCH(ROW()-3,对接源_01水果!$Q$5:$Q$507,0)),""),IFERROR(INDEX(对接源_02物料!$D$5:$D$460,MATCH(ROW()-3-N(对接源_01水果!$T$1),对接源_02物料!$Q$5:$Q$460,0)),"")))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0" s="67" t="str">
        <f aca="false">IF($B130="","",IF($B130="01水果",IFERROR(INDEX(对接源_01水果!$E$5:$E$507,MATCH(ROW()-3,对接源_01水果!$Q$5:$Q$507,0)),""),IFERROR(INDEX(对接源_02物料!$E$5:$E$460,MATCH(ROW()-3-N(对接源_01水果!$T$1),对接源_02物料!$Q$5:$Q$460,0)),"")))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0" s="70" t="str">
        <f aca="false">IF($B130="","",IF($B130="01水果",IFERROR(INDEX(对接源_01水果!$F$5:$F$507,MATCH(ROW()-3,对接源_01水果!$Q$5:$Q$507,0)),""),IFERROR(INDEX(对接源_02物料!$F$5:$F$460,MATCH(ROW()-3-N(对接源_01水果!$T$1),对接源_02物料!$Q$5:$Q$460,0)),"")))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0" s="70" t="str">
        <f aca="false">IF($B130="","",IF($B130="01水果",IFERROR(INDEX(对接源_01水果!$G$5:$G$507,MATCH(ROW()-3,对接源_01水果!$Q$5:$Q$507,0)),""),IFERROR(INDEX(对接源_02物料!$G$5:$G$460,MATCH(ROW()-3-N(对接源_01水果!$T$1),对接源_02物料!$Q$5:$Q$460,0)),"")))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0" s="67" t="str">
        <f aca="false">IF(OR($D130="客户应收",$D130="成品销售款",$D130="公司购买果品款",$D130="筐子销售款",$D130="物料销售款"),"客户往来",IFERROR(INDEX(收入成本映射!$C$4:$C$34,MATCH($D130,收入成本映射!$B$4:$B$34,0)),"不记账"))</f>
        <v>不记账</v>
      </c>
      <c r="J130" s="67" t="str">
        <f aca="false">IF($B130="","","0%")</f>
        <v/>
      </c>
      <c r="K130" s="70" t="n">
        <f aca="false">IF($I130="不记账",0,ROUND(N($G130),2))</f>
        <v>0</v>
      </c>
      <c r="L130" s="70" t="n">
        <v>0</v>
      </c>
      <c r="M130" s="67" t="str">
        <f aca="false">IF(OR($I130="不记账",ROUND(N($G130),2)=0),"",IFERROR(INDEX(收入成本映射!$E$4:$E$34,MATCH($D130,收入成本映射!$B$4:$B$34,0)),""))</f>
        <v/>
      </c>
      <c r="N130" s="70" t="str">
        <f aca="false">IF($M130="","",ROUND(N($G130),2))</f>
        <v/>
      </c>
      <c r="O130" s="70" t="str">
        <f aca="false">IF($M130="","",0)</f>
        <v/>
      </c>
      <c r="P130" s="67" t="str">
        <f aca="false">IF($M130="","",IFERROR(INDEX(收入成本映射!$F$4:$F$34,MATCH($D130,收入成本映射!$B$4:$B$34,0)),""))</f>
        <v/>
      </c>
      <c r="Q130" s="70" t="str">
        <f aca="false">IF($P130="","",0)</f>
        <v/>
      </c>
      <c r="R130" s="70" t="str">
        <f aca="false">IF($P130="","",ROUND(N($G130),2))</f>
        <v/>
      </c>
      <c r="S130" s="67" t="str">
        <f aca="false">""</f>
        <v/>
      </c>
      <c r="T130" s="70" t="str">
        <f aca="false">IF($S130="","",0)</f>
        <v/>
      </c>
      <c r="U130" s="70" t="str">
        <f aca="false">IF($S130="","",0)</f>
        <v/>
      </c>
      <c r="V130" s="66" t="str">
        <f aca="false">IF($B130="","",IF($B130="01水果",IFERROR(INDEX(对接源_01水果!$H$5:$H$507,MATCH(ROW()-3,对接源_01水果!$Q$5:$Q$507,0)),""),IFERROR(INDEX(对接源_02物料!$H$5:$H$460,MATCH(ROW()-3-N(对接源_01水果!$T$1),对接源_02物料!$Q$5:$Q$460,0)),"")))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1" customFormat="false" ht="18" hidden="false" customHeight="true" outlineLevel="0" collapsed="false">
      <c r="A131" s="66" t="n">
        <v>128</v>
      </c>
      <c r="B131" s="67" t="str">
        <f aca="false">IF(ROW()-3&lt;=N(对接源_01水果!$T$1),"01水果",IF(ROW()-3&lt;=N(对接源_01水果!$T$1)+N(对接源_02物料!$T$1),"02物料",""))</f>
        <v/>
      </c>
      <c r="C131" s="68" t="str">
        <f aca="false">IF($B131="","",IF($B131="01水果",IFERROR(INDEX(对接源_01水果!$B$5:$B$507,MATCH(ROW()-3,对接源_01水果!$Q$5:$Q$507,0)),""),IFERROR(INDEX(对接源_02物料!$B$5:$B$460,MATCH(ROW()-3-N(对接源_01水果!$T$1),对接源_02物料!$Q$5:$Q$460,0)),"")))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1" s="67" t="str">
        <f aca="false">IF($B131="","",IF($B131="01水果",IFERROR(INDEX(对接源_01水果!$C$5:$C$507,MATCH(ROW()-3,对接源_01水果!$Q$5:$Q$507,0)),""),IFERROR(INDEX(对接源_02物料!$C$5:$C$460,MATCH(ROW()-3-N(对接源_01水果!$T$1),对接源_02物料!$Q$5:$Q$460,0)),"")))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1" s="69" t="str">
        <f aca="false">IF($B131="","",IF($B131="01水果",IFERROR(INDEX(对接源_01水果!$D$5:$D$507,MATCH(ROW()-3,对接源_01水果!$Q$5:$Q$507,0)),""),IFERROR(INDEX(对接源_02物料!$D$5:$D$460,MATCH(ROW()-3-N(对接源_01水果!$T$1),对接源_02物料!$Q$5:$Q$460,0)),"")))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1" s="67" t="str">
        <f aca="false">IF($B131="","",IF($B131="01水果",IFERROR(INDEX(对接源_01水果!$E$5:$E$507,MATCH(ROW()-3,对接源_01水果!$Q$5:$Q$507,0)),""),IFERROR(INDEX(对接源_02物料!$E$5:$E$460,MATCH(ROW()-3-N(对接源_01水果!$T$1),对接源_02物料!$Q$5:$Q$460,0)),"")))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1" s="70" t="str">
        <f aca="false">IF($B131="","",IF($B131="01水果",IFERROR(INDEX(对接源_01水果!$F$5:$F$507,MATCH(ROW()-3,对接源_01水果!$Q$5:$Q$507,0)),""),IFERROR(INDEX(对接源_02物料!$F$5:$F$460,MATCH(ROW()-3-N(对接源_01水果!$T$1),对接源_02物料!$Q$5:$Q$460,0)),"")))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1" s="70" t="str">
        <f aca="false">IF($B131="","",IF($B131="01水果",IFERROR(INDEX(对接源_01水果!$G$5:$G$507,MATCH(ROW()-3,对接源_01水果!$Q$5:$Q$507,0)),""),IFERROR(INDEX(对接源_02物料!$G$5:$G$460,MATCH(ROW()-3-N(对接源_01水果!$T$1),对接源_02物料!$Q$5:$Q$460,0)),"")))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1" s="67" t="str">
        <f aca="false">IF(OR($D131="客户应收",$D131="成品销售款",$D131="公司购买果品款",$D131="筐子销售款",$D131="物料销售款"),"客户往来",IFERROR(INDEX(收入成本映射!$C$4:$C$34,MATCH($D131,收入成本映射!$B$4:$B$34,0)),"不记账"))</f>
        <v>不记账</v>
      </c>
      <c r="J131" s="67" t="str">
        <f aca="false">IF($B131="","","0%")</f>
        <v/>
      </c>
      <c r="K131" s="70" t="n">
        <f aca="false">IF($I131="不记账",0,ROUND(N($G131),2))</f>
        <v>0</v>
      </c>
      <c r="L131" s="70" t="n">
        <v>0</v>
      </c>
      <c r="M131" s="67" t="str">
        <f aca="false">IF(OR($I131="不记账",ROUND(N($G131),2)=0),"",IFERROR(INDEX(收入成本映射!$E$4:$E$34,MATCH($D131,收入成本映射!$B$4:$B$34,0)),""))</f>
        <v/>
      </c>
      <c r="N131" s="70" t="str">
        <f aca="false">IF($M131="","",ROUND(N($G131),2))</f>
        <v/>
      </c>
      <c r="O131" s="70" t="str">
        <f aca="false">IF($M131="","",0)</f>
        <v/>
      </c>
      <c r="P131" s="67" t="str">
        <f aca="false">IF($M131="","",IFERROR(INDEX(收入成本映射!$F$4:$F$34,MATCH($D131,收入成本映射!$B$4:$B$34,0)),""))</f>
        <v/>
      </c>
      <c r="Q131" s="70" t="str">
        <f aca="false">IF($P131="","",0)</f>
        <v/>
      </c>
      <c r="R131" s="70" t="str">
        <f aca="false">IF($P131="","",ROUND(N($G131),2))</f>
        <v/>
      </c>
      <c r="S131" s="67" t="str">
        <f aca="false">""</f>
        <v/>
      </c>
      <c r="T131" s="70" t="str">
        <f aca="false">IF($S131="","",0)</f>
        <v/>
      </c>
      <c r="U131" s="70" t="str">
        <f aca="false">IF($S131="","",0)</f>
        <v/>
      </c>
      <c r="V131" s="66" t="str">
        <f aca="false">IF($B131="","",IF($B131="01水果",IFERROR(INDEX(对接源_01水果!$H$5:$H$507,MATCH(ROW()-3,对接源_01水果!$Q$5:$Q$507,0)),""),IFERROR(INDEX(对接源_02物料!$H$5:$H$460,MATCH(ROW()-3-N(对接源_01水果!$T$1),对接源_02物料!$Q$5:$Q$460,0)),"")))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2" customFormat="false" ht="18" hidden="false" customHeight="true" outlineLevel="0" collapsed="false">
      <c r="A132" s="66" t="n">
        <v>129</v>
      </c>
      <c r="B132" s="67" t="str">
        <f aca="false">IF(ROW()-3&lt;=N(对接源_01水果!$T$1),"01水果",IF(ROW()-3&lt;=N(对接源_01水果!$T$1)+N(对接源_02物料!$T$1),"02物料",""))</f>
        <v/>
      </c>
      <c r="C132" s="68" t="str">
        <f aca="false">IF($B132="","",IF($B132="01水果",IFERROR(INDEX(对接源_01水果!$B$5:$B$507,MATCH(ROW()-3,对接源_01水果!$Q$5:$Q$507,0)),""),IFERROR(INDEX(对接源_02物料!$B$5:$B$460,MATCH(ROW()-3-N(对接源_01水果!$T$1),对接源_02物料!$Q$5:$Q$460,0)),"")))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2" s="67" t="str">
        <f aca="false">IF($B132="","",IF($B132="01水果",IFERROR(INDEX(对接源_01水果!$C$5:$C$507,MATCH(ROW()-3,对接源_01水果!$Q$5:$Q$507,0)),""),IFERROR(INDEX(对接源_02物料!$C$5:$C$460,MATCH(ROW()-3-N(对接源_01水果!$T$1),对接源_02物料!$Q$5:$Q$460,0)),"")))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2" s="69" t="str">
        <f aca="false">IF($B132="","",IF($B132="01水果",IFERROR(INDEX(对接源_01水果!$D$5:$D$507,MATCH(ROW()-3,对接源_01水果!$Q$5:$Q$507,0)),""),IFERROR(INDEX(对接源_02物料!$D$5:$D$460,MATCH(ROW()-3-N(对接源_01水果!$T$1),对接源_02物料!$Q$5:$Q$460,0)),"")))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2" s="67" t="str">
        <f aca="false">IF($B132="","",IF($B132="01水果",IFERROR(INDEX(对接源_01水果!$E$5:$E$507,MATCH(ROW()-3,对接源_01水果!$Q$5:$Q$507,0)),""),IFERROR(INDEX(对接源_02物料!$E$5:$E$460,MATCH(ROW()-3-N(对接源_01水果!$T$1),对接源_02物料!$Q$5:$Q$460,0)),"")))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2" s="70" t="str">
        <f aca="false">IF($B132="","",IF($B132="01水果",IFERROR(INDEX(对接源_01水果!$F$5:$F$507,MATCH(ROW()-3,对接源_01水果!$Q$5:$Q$507,0)),""),IFERROR(INDEX(对接源_02物料!$F$5:$F$460,MATCH(ROW()-3-N(对接源_01水果!$T$1),对接源_02物料!$Q$5:$Q$460,0)),"")))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2" s="70" t="str">
        <f aca="false">IF($B132="","",IF($B132="01水果",IFERROR(INDEX(对接源_01水果!$G$5:$G$507,MATCH(ROW()-3,对接源_01水果!$Q$5:$Q$507,0)),""),IFERROR(INDEX(对接源_02物料!$G$5:$G$460,MATCH(ROW()-3-N(对接源_01水果!$T$1),对接源_02物料!$Q$5:$Q$460,0)),"")))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2" s="67" t="str">
        <f aca="false">IF(OR($D132="客户应收",$D132="成品销售款",$D132="公司购买果品款",$D132="筐子销售款",$D132="物料销售款"),"客户往来",IFERROR(INDEX(收入成本映射!$C$4:$C$34,MATCH($D132,收入成本映射!$B$4:$B$34,0)),"不记账"))</f>
        <v>不记账</v>
      </c>
      <c r="J132" s="67" t="str">
        <f aca="false">IF($B132="","","0%")</f>
        <v/>
      </c>
      <c r="K132" s="70" t="n">
        <f aca="false">IF($I132="不记账",0,ROUND(N($G132),2))</f>
        <v>0</v>
      </c>
      <c r="L132" s="70" t="n">
        <v>0</v>
      </c>
      <c r="M132" s="67" t="str">
        <f aca="false">IF(OR($I132="不记账",ROUND(N($G132),2)=0),"",IFERROR(INDEX(收入成本映射!$E$4:$E$34,MATCH($D132,收入成本映射!$B$4:$B$34,0)),""))</f>
        <v/>
      </c>
      <c r="N132" s="70" t="str">
        <f aca="false">IF($M132="","",ROUND(N($G132),2))</f>
        <v/>
      </c>
      <c r="O132" s="70" t="str">
        <f aca="false">IF($M132="","",0)</f>
        <v/>
      </c>
      <c r="P132" s="67" t="str">
        <f aca="false">IF($M132="","",IFERROR(INDEX(收入成本映射!$F$4:$F$34,MATCH($D132,收入成本映射!$B$4:$B$34,0)),""))</f>
        <v/>
      </c>
      <c r="Q132" s="70" t="str">
        <f aca="false">IF($P132="","",0)</f>
        <v/>
      </c>
      <c r="R132" s="70" t="str">
        <f aca="false">IF($P132="","",ROUND(N($G132),2))</f>
        <v/>
      </c>
      <c r="S132" s="67" t="str">
        <f aca="false">""</f>
        <v/>
      </c>
      <c r="T132" s="70" t="str">
        <f aca="false">IF($S132="","",0)</f>
        <v/>
      </c>
      <c r="U132" s="70" t="str">
        <f aca="false">IF($S132="","",0)</f>
        <v/>
      </c>
      <c r="V132" s="66" t="str">
        <f aca="false">IF($B132="","",IF($B132="01水果",IFERROR(INDEX(对接源_01水果!$H$5:$H$507,MATCH(ROW()-3,对接源_01水果!$Q$5:$Q$507,0)),""),IFERROR(INDEX(对接源_02物料!$H$5:$H$460,MATCH(ROW()-3-N(对接源_01水果!$T$1),对接源_02物料!$Q$5:$Q$460,0)),"")))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3" customFormat="false" ht="18" hidden="false" customHeight="true" outlineLevel="0" collapsed="false">
      <c r="A133" s="66" t="n">
        <v>130</v>
      </c>
      <c r="B133" s="67" t="str">
        <f aca="false">IF(ROW()-3&lt;=N(对接源_01水果!$T$1),"01水果",IF(ROW()-3&lt;=N(对接源_01水果!$T$1)+N(对接源_02物料!$T$1),"02物料",""))</f>
        <v/>
      </c>
      <c r="C133" s="68" t="str">
        <f aca="false">IF($B133="","",IF($B133="01水果",IFERROR(INDEX(对接源_01水果!$B$5:$B$507,MATCH(ROW()-3,对接源_01水果!$Q$5:$Q$507,0)),""),IFERROR(INDEX(对接源_02物料!$B$5:$B$460,MATCH(ROW()-3-N(对接源_01水果!$T$1),对接源_02物料!$Q$5:$Q$460,0)),"")))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3" s="67" t="str">
        <f aca="false">IF($B133="","",IF($B133="01水果",IFERROR(INDEX(对接源_01水果!$C$5:$C$507,MATCH(ROW()-3,对接源_01水果!$Q$5:$Q$507,0)),""),IFERROR(INDEX(对接源_02物料!$C$5:$C$460,MATCH(ROW()-3-N(对接源_01水果!$T$1),对接源_02物料!$Q$5:$Q$460,0)),"")))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3" s="69" t="str">
        <f aca="false">IF($B133="","",IF($B133="01水果",IFERROR(INDEX(对接源_01水果!$D$5:$D$507,MATCH(ROW()-3,对接源_01水果!$Q$5:$Q$507,0)),""),IFERROR(INDEX(对接源_02物料!$D$5:$D$460,MATCH(ROW()-3-N(对接源_01水果!$T$1),对接源_02物料!$Q$5:$Q$460,0)),"")))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3" s="67" t="str">
        <f aca="false">IF($B133="","",IF($B133="01水果",IFERROR(INDEX(对接源_01水果!$E$5:$E$507,MATCH(ROW()-3,对接源_01水果!$Q$5:$Q$507,0)),""),IFERROR(INDEX(对接源_02物料!$E$5:$E$460,MATCH(ROW()-3-N(对接源_01水果!$T$1),对接源_02物料!$Q$5:$Q$460,0)),"")))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3" s="70" t="str">
        <f aca="false">IF($B133="","",IF($B133="01水果",IFERROR(INDEX(对接源_01水果!$F$5:$F$507,MATCH(ROW()-3,对接源_01水果!$Q$5:$Q$507,0)),""),IFERROR(INDEX(对接源_02物料!$F$5:$F$460,MATCH(ROW()-3-N(对接源_01水果!$T$1),对接源_02物料!$Q$5:$Q$460,0)),"")))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3" s="70" t="str">
        <f aca="false">IF($B133="","",IF($B133="01水果",IFERROR(INDEX(对接源_01水果!$G$5:$G$507,MATCH(ROW()-3,对接源_01水果!$Q$5:$Q$507,0)),""),IFERROR(INDEX(对接源_02物料!$G$5:$G$460,MATCH(ROW()-3-N(对接源_01水果!$T$1),对接源_02物料!$Q$5:$Q$460,0)),"")))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3" s="67" t="str">
        <f aca="false">IF(OR($D133="客户应收",$D133="成品销售款",$D133="公司购买果品款",$D133="筐子销售款",$D133="物料销售款"),"客户往来",IFERROR(INDEX(收入成本映射!$C$4:$C$34,MATCH($D133,收入成本映射!$B$4:$B$34,0)),"不记账"))</f>
        <v>不记账</v>
      </c>
      <c r="J133" s="67" t="str">
        <f aca="false">IF($B133="","","0%")</f>
        <v/>
      </c>
      <c r="K133" s="70" t="n">
        <f aca="false">IF($I133="不记账",0,ROUND(N($G133),2))</f>
        <v>0</v>
      </c>
      <c r="L133" s="70" t="n">
        <v>0</v>
      </c>
      <c r="M133" s="67" t="str">
        <f aca="false">IF(OR($I133="不记账",ROUND(N($G133),2)=0),"",IFERROR(INDEX(收入成本映射!$E$4:$E$34,MATCH($D133,收入成本映射!$B$4:$B$34,0)),""))</f>
        <v/>
      </c>
      <c r="N133" s="70" t="str">
        <f aca="false">IF($M133="","",ROUND(N($G133),2))</f>
        <v/>
      </c>
      <c r="O133" s="70" t="str">
        <f aca="false">IF($M133="","",0)</f>
        <v/>
      </c>
      <c r="P133" s="67" t="str">
        <f aca="false">IF($M133="","",IFERROR(INDEX(收入成本映射!$F$4:$F$34,MATCH($D133,收入成本映射!$B$4:$B$34,0)),""))</f>
        <v/>
      </c>
      <c r="Q133" s="70" t="str">
        <f aca="false">IF($P133="","",0)</f>
        <v/>
      </c>
      <c r="R133" s="70" t="str">
        <f aca="false">IF($P133="","",ROUND(N($G133),2))</f>
        <v/>
      </c>
      <c r="S133" s="67" t="str">
        <f aca="false">""</f>
        <v/>
      </c>
      <c r="T133" s="70" t="str">
        <f aca="false">IF($S133="","",0)</f>
        <v/>
      </c>
      <c r="U133" s="70" t="str">
        <f aca="false">IF($S133="","",0)</f>
        <v/>
      </c>
      <c r="V133" s="66" t="str">
        <f aca="false">IF($B133="","",IF($B133="01水果",IFERROR(INDEX(对接源_01水果!$H$5:$H$507,MATCH(ROW()-3,对接源_01水果!$Q$5:$Q$507,0)),""),IFERROR(INDEX(对接源_02物料!$H$5:$H$460,MATCH(ROW()-3-N(对接源_01水果!$T$1),对接源_02物料!$Q$5:$Q$460,0)),"")))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4" customFormat="false" ht="18" hidden="false" customHeight="true" outlineLevel="0" collapsed="false">
      <c r="A134" s="66" t="n">
        <v>131</v>
      </c>
      <c r="B134" s="67" t="str">
        <f aca="false">IF(ROW()-3&lt;=N(对接源_01水果!$T$1),"01水果",IF(ROW()-3&lt;=N(对接源_01水果!$T$1)+N(对接源_02物料!$T$1),"02物料",""))</f>
        <v/>
      </c>
      <c r="C134" s="68" t="str">
        <f aca="false">IF($B134="","",IF($B134="01水果",IFERROR(INDEX(对接源_01水果!$B$5:$B$507,MATCH(ROW()-3,对接源_01水果!$Q$5:$Q$507,0)),""),IFERROR(INDEX(对接源_02物料!$B$5:$B$460,MATCH(ROW()-3-N(对接源_01水果!$T$1),对接源_02物料!$Q$5:$Q$460,0)),"")))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4" s="67" t="str">
        <f aca="false">IF($B134="","",IF($B134="01水果",IFERROR(INDEX(对接源_01水果!$C$5:$C$507,MATCH(ROW()-3,对接源_01水果!$Q$5:$Q$507,0)),""),IFERROR(INDEX(对接源_02物料!$C$5:$C$460,MATCH(ROW()-3-N(对接源_01水果!$T$1),对接源_02物料!$Q$5:$Q$460,0)),"")))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4" s="69" t="str">
        <f aca="false">IF($B134="","",IF($B134="01水果",IFERROR(INDEX(对接源_01水果!$D$5:$D$507,MATCH(ROW()-3,对接源_01水果!$Q$5:$Q$507,0)),""),IFERROR(INDEX(对接源_02物料!$D$5:$D$460,MATCH(ROW()-3-N(对接源_01水果!$T$1),对接源_02物料!$Q$5:$Q$460,0)),"")))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4" s="67" t="str">
        <f aca="false">IF($B134="","",IF($B134="01水果",IFERROR(INDEX(对接源_01水果!$E$5:$E$507,MATCH(ROW()-3,对接源_01水果!$Q$5:$Q$507,0)),""),IFERROR(INDEX(对接源_02物料!$E$5:$E$460,MATCH(ROW()-3-N(对接源_01水果!$T$1),对接源_02物料!$Q$5:$Q$460,0)),"")))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4" s="70" t="str">
        <f aca="false">IF($B134="","",IF($B134="01水果",IFERROR(INDEX(对接源_01水果!$F$5:$F$507,MATCH(ROW()-3,对接源_01水果!$Q$5:$Q$507,0)),""),IFERROR(INDEX(对接源_02物料!$F$5:$F$460,MATCH(ROW()-3-N(对接源_01水果!$T$1),对接源_02物料!$Q$5:$Q$460,0)),"")))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4" s="70" t="str">
        <f aca="false">IF($B134="","",IF($B134="01水果",IFERROR(INDEX(对接源_01水果!$G$5:$G$507,MATCH(ROW()-3,对接源_01水果!$Q$5:$Q$507,0)),""),IFERROR(INDEX(对接源_02物料!$G$5:$G$460,MATCH(ROW()-3-N(对接源_01水果!$T$1),对接源_02物料!$Q$5:$Q$460,0)),"")))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4" s="67" t="str">
        <f aca="false">IF(OR($D134="客户应收",$D134="成品销售款",$D134="公司购买果品款",$D134="筐子销售款",$D134="物料销售款"),"客户往来",IFERROR(INDEX(收入成本映射!$C$4:$C$34,MATCH($D134,收入成本映射!$B$4:$B$34,0)),"不记账"))</f>
        <v>不记账</v>
      </c>
      <c r="J134" s="67" t="str">
        <f aca="false">IF($B134="","","0%")</f>
        <v/>
      </c>
      <c r="K134" s="70" t="n">
        <f aca="false">IF($I134="不记账",0,ROUND(N($G134),2))</f>
        <v>0</v>
      </c>
      <c r="L134" s="70" t="n">
        <v>0</v>
      </c>
      <c r="M134" s="67" t="str">
        <f aca="false">IF(OR($I134="不记账",ROUND(N($G134),2)=0),"",IFERROR(INDEX(收入成本映射!$E$4:$E$34,MATCH($D134,收入成本映射!$B$4:$B$34,0)),""))</f>
        <v/>
      </c>
      <c r="N134" s="70" t="str">
        <f aca="false">IF($M134="","",ROUND(N($G134),2))</f>
        <v/>
      </c>
      <c r="O134" s="70" t="str">
        <f aca="false">IF($M134="","",0)</f>
        <v/>
      </c>
      <c r="P134" s="67" t="str">
        <f aca="false">IF($M134="","",IFERROR(INDEX(收入成本映射!$F$4:$F$34,MATCH($D134,收入成本映射!$B$4:$B$34,0)),""))</f>
        <v/>
      </c>
      <c r="Q134" s="70" t="str">
        <f aca="false">IF($P134="","",0)</f>
        <v/>
      </c>
      <c r="R134" s="70" t="str">
        <f aca="false">IF($P134="","",ROUND(N($G134),2))</f>
        <v/>
      </c>
      <c r="S134" s="67" t="str">
        <f aca="false">""</f>
        <v/>
      </c>
      <c r="T134" s="70" t="str">
        <f aca="false">IF($S134="","",0)</f>
        <v/>
      </c>
      <c r="U134" s="70" t="str">
        <f aca="false">IF($S134="","",0)</f>
        <v/>
      </c>
      <c r="V134" s="66" t="str">
        <f aca="false">IF($B134="","",IF($B134="01水果",IFERROR(INDEX(对接源_01水果!$H$5:$H$507,MATCH(ROW()-3,对接源_01水果!$Q$5:$Q$507,0)),""),IFERROR(INDEX(对接源_02物料!$H$5:$H$460,MATCH(ROW()-3-N(对接源_01水果!$T$1),对接源_02物料!$Q$5:$Q$460,0)),"")))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5" customFormat="false" ht="18" hidden="false" customHeight="true" outlineLevel="0" collapsed="false">
      <c r="A135" s="66" t="n">
        <v>132</v>
      </c>
      <c r="B135" s="67" t="str">
        <f aca="false">IF(ROW()-3&lt;=N(对接源_01水果!$T$1),"01水果",IF(ROW()-3&lt;=N(对接源_01水果!$T$1)+N(对接源_02物料!$T$1),"02物料",""))</f>
        <v/>
      </c>
      <c r="C135" s="68" t="str">
        <f aca="false">IF($B135="","",IF($B135="01水果",IFERROR(INDEX(对接源_01水果!$B$5:$B$507,MATCH(ROW()-3,对接源_01水果!$Q$5:$Q$507,0)),""),IFERROR(INDEX(对接源_02物料!$B$5:$B$460,MATCH(ROW()-3-N(对接源_01水果!$T$1),对接源_02物料!$Q$5:$Q$460,0)),"")))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5" s="67" t="str">
        <f aca="false">IF($B135="","",IF($B135="01水果",IFERROR(INDEX(对接源_01水果!$C$5:$C$507,MATCH(ROW()-3,对接源_01水果!$Q$5:$Q$507,0)),""),IFERROR(INDEX(对接源_02物料!$C$5:$C$460,MATCH(ROW()-3-N(对接源_01水果!$T$1),对接源_02物料!$Q$5:$Q$460,0)),"")))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5" s="69" t="str">
        <f aca="false">IF($B135="","",IF($B135="01水果",IFERROR(INDEX(对接源_01水果!$D$5:$D$507,MATCH(ROW()-3,对接源_01水果!$Q$5:$Q$507,0)),""),IFERROR(INDEX(对接源_02物料!$D$5:$D$460,MATCH(ROW()-3-N(对接源_01水果!$T$1),对接源_02物料!$Q$5:$Q$460,0)),"")))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5" s="67" t="str">
        <f aca="false">IF($B135="","",IF($B135="01水果",IFERROR(INDEX(对接源_01水果!$E$5:$E$507,MATCH(ROW()-3,对接源_01水果!$Q$5:$Q$507,0)),""),IFERROR(INDEX(对接源_02物料!$E$5:$E$460,MATCH(ROW()-3-N(对接源_01水果!$T$1),对接源_02物料!$Q$5:$Q$460,0)),"")))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5" s="70" t="str">
        <f aca="false">IF($B135="","",IF($B135="01水果",IFERROR(INDEX(对接源_01水果!$F$5:$F$507,MATCH(ROW()-3,对接源_01水果!$Q$5:$Q$507,0)),""),IFERROR(INDEX(对接源_02物料!$F$5:$F$460,MATCH(ROW()-3-N(对接源_01水果!$T$1),对接源_02物料!$Q$5:$Q$460,0)),"")))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5" s="70" t="str">
        <f aca="false">IF($B135="","",IF($B135="01水果",IFERROR(INDEX(对接源_01水果!$G$5:$G$507,MATCH(ROW()-3,对接源_01水果!$Q$5:$Q$507,0)),""),IFERROR(INDEX(对接源_02物料!$G$5:$G$460,MATCH(ROW()-3-N(对接源_01水果!$T$1),对接源_02物料!$Q$5:$Q$460,0)),"")))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5" s="67" t="str">
        <f aca="false">IF(OR($D135="客户应收",$D135="成品销售款",$D135="公司购买果品款",$D135="筐子销售款",$D135="物料销售款"),"客户往来",IFERROR(INDEX(收入成本映射!$C$4:$C$34,MATCH($D135,收入成本映射!$B$4:$B$34,0)),"不记账"))</f>
        <v>不记账</v>
      </c>
      <c r="J135" s="67" t="str">
        <f aca="false">IF($B135="","","0%")</f>
        <v/>
      </c>
      <c r="K135" s="70" t="n">
        <f aca="false">IF($I135="不记账",0,ROUND(N($G135),2))</f>
        <v>0</v>
      </c>
      <c r="L135" s="70" t="n">
        <v>0</v>
      </c>
      <c r="M135" s="67" t="str">
        <f aca="false">IF(OR($I135="不记账",ROUND(N($G135),2)=0),"",IFERROR(INDEX(收入成本映射!$E$4:$E$34,MATCH($D135,收入成本映射!$B$4:$B$34,0)),""))</f>
        <v/>
      </c>
      <c r="N135" s="70" t="str">
        <f aca="false">IF($M135="","",ROUND(N($G135),2))</f>
        <v/>
      </c>
      <c r="O135" s="70" t="str">
        <f aca="false">IF($M135="","",0)</f>
        <v/>
      </c>
      <c r="P135" s="67" t="str">
        <f aca="false">IF($M135="","",IFERROR(INDEX(收入成本映射!$F$4:$F$34,MATCH($D135,收入成本映射!$B$4:$B$34,0)),""))</f>
        <v/>
      </c>
      <c r="Q135" s="70" t="str">
        <f aca="false">IF($P135="","",0)</f>
        <v/>
      </c>
      <c r="R135" s="70" t="str">
        <f aca="false">IF($P135="","",ROUND(N($G135),2))</f>
        <v/>
      </c>
      <c r="S135" s="67" t="str">
        <f aca="false">""</f>
        <v/>
      </c>
      <c r="T135" s="70" t="str">
        <f aca="false">IF($S135="","",0)</f>
        <v/>
      </c>
      <c r="U135" s="70" t="str">
        <f aca="false">IF($S135="","",0)</f>
        <v/>
      </c>
      <c r="V135" s="66" t="str">
        <f aca="false">IF($B135="","",IF($B135="01水果",IFERROR(INDEX(对接源_01水果!$H$5:$H$507,MATCH(ROW()-3,对接源_01水果!$Q$5:$Q$507,0)),""),IFERROR(INDEX(对接源_02物料!$H$5:$H$460,MATCH(ROW()-3-N(对接源_01水果!$T$1),对接源_02物料!$Q$5:$Q$460,0)),"")))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6" customFormat="false" ht="18" hidden="false" customHeight="true" outlineLevel="0" collapsed="false">
      <c r="A136" s="66" t="n">
        <v>133</v>
      </c>
      <c r="B136" s="67" t="str">
        <f aca="false">IF(ROW()-3&lt;=N(对接源_01水果!$T$1),"01水果",IF(ROW()-3&lt;=N(对接源_01水果!$T$1)+N(对接源_02物料!$T$1),"02物料",""))</f>
        <v/>
      </c>
      <c r="C136" s="68" t="str">
        <f aca="false">IF($B136="","",IF($B136="01水果",IFERROR(INDEX(对接源_01水果!$B$5:$B$507,MATCH(ROW()-3,对接源_01水果!$Q$5:$Q$507,0)),""),IFERROR(INDEX(对接源_02物料!$B$5:$B$460,MATCH(ROW()-3-N(对接源_01水果!$T$1),对接源_02物料!$Q$5:$Q$460,0)),"")))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6" s="67" t="str">
        <f aca="false">IF($B136="","",IF($B136="01水果",IFERROR(INDEX(对接源_01水果!$C$5:$C$507,MATCH(ROW()-3,对接源_01水果!$Q$5:$Q$507,0)),""),IFERROR(INDEX(对接源_02物料!$C$5:$C$460,MATCH(ROW()-3-N(对接源_01水果!$T$1),对接源_02物料!$Q$5:$Q$460,0)),"")))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6" s="69" t="str">
        <f aca="false">IF($B136="","",IF($B136="01水果",IFERROR(INDEX(对接源_01水果!$D$5:$D$507,MATCH(ROW()-3,对接源_01水果!$Q$5:$Q$507,0)),""),IFERROR(INDEX(对接源_02物料!$D$5:$D$460,MATCH(ROW()-3-N(对接源_01水果!$T$1),对接源_02物料!$Q$5:$Q$460,0)),"")))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6" s="67" t="str">
        <f aca="false">IF($B136="","",IF($B136="01水果",IFERROR(INDEX(对接源_01水果!$E$5:$E$507,MATCH(ROW()-3,对接源_01水果!$Q$5:$Q$507,0)),""),IFERROR(INDEX(对接源_02物料!$E$5:$E$460,MATCH(ROW()-3-N(对接源_01水果!$T$1),对接源_02物料!$Q$5:$Q$460,0)),"")))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6" s="70" t="str">
        <f aca="false">IF($B136="","",IF($B136="01水果",IFERROR(INDEX(对接源_01水果!$F$5:$F$507,MATCH(ROW()-3,对接源_01水果!$Q$5:$Q$507,0)),""),IFERROR(INDEX(对接源_02物料!$F$5:$F$460,MATCH(ROW()-3-N(对接源_01水果!$T$1),对接源_02物料!$Q$5:$Q$460,0)),"")))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6" s="70" t="str">
        <f aca="false">IF($B136="","",IF($B136="01水果",IFERROR(INDEX(对接源_01水果!$G$5:$G$507,MATCH(ROW()-3,对接源_01水果!$Q$5:$Q$507,0)),""),IFERROR(INDEX(对接源_02物料!$G$5:$G$460,MATCH(ROW()-3-N(对接源_01水果!$T$1),对接源_02物料!$Q$5:$Q$460,0)),"")))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6" s="67" t="str">
        <f aca="false">IF(OR($D136="客户应收",$D136="成品销售款",$D136="公司购买果品款",$D136="筐子销售款",$D136="物料销售款"),"客户往来",IFERROR(INDEX(收入成本映射!$C$4:$C$34,MATCH($D136,收入成本映射!$B$4:$B$34,0)),"不记账"))</f>
        <v>不记账</v>
      </c>
      <c r="J136" s="67" t="str">
        <f aca="false">IF($B136="","","0%")</f>
        <v/>
      </c>
      <c r="K136" s="70" t="n">
        <f aca="false">IF($I136="不记账",0,ROUND(N($G136),2))</f>
        <v>0</v>
      </c>
      <c r="L136" s="70" t="n">
        <v>0</v>
      </c>
      <c r="M136" s="67" t="str">
        <f aca="false">IF(OR($I136="不记账",ROUND(N($G136),2)=0),"",IFERROR(INDEX(收入成本映射!$E$4:$E$34,MATCH($D136,收入成本映射!$B$4:$B$34,0)),""))</f>
        <v/>
      </c>
      <c r="N136" s="70" t="str">
        <f aca="false">IF($M136="","",ROUND(N($G136),2))</f>
        <v/>
      </c>
      <c r="O136" s="70" t="str">
        <f aca="false">IF($M136="","",0)</f>
        <v/>
      </c>
      <c r="P136" s="67" t="str">
        <f aca="false">IF($M136="","",IFERROR(INDEX(收入成本映射!$F$4:$F$34,MATCH($D136,收入成本映射!$B$4:$B$34,0)),""))</f>
        <v/>
      </c>
      <c r="Q136" s="70" t="str">
        <f aca="false">IF($P136="","",0)</f>
        <v/>
      </c>
      <c r="R136" s="70" t="str">
        <f aca="false">IF($P136="","",ROUND(N($G136),2))</f>
        <v/>
      </c>
      <c r="S136" s="67" t="str">
        <f aca="false">""</f>
        <v/>
      </c>
      <c r="T136" s="70" t="str">
        <f aca="false">IF($S136="","",0)</f>
        <v/>
      </c>
      <c r="U136" s="70" t="str">
        <f aca="false">IF($S136="","",0)</f>
        <v/>
      </c>
      <c r="V136" s="66" t="str">
        <f aca="false">IF($B136="","",IF($B136="01水果",IFERROR(INDEX(对接源_01水果!$H$5:$H$507,MATCH(ROW()-3,对接源_01水果!$Q$5:$Q$507,0)),""),IFERROR(INDEX(对接源_02物料!$H$5:$H$460,MATCH(ROW()-3-N(对接源_01水果!$T$1),对接源_02物料!$Q$5:$Q$460,0)),"")))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7" customFormat="false" ht="18" hidden="false" customHeight="true" outlineLevel="0" collapsed="false">
      <c r="A137" s="66" t="n">
        <v>134</v>
      </c>
      <c r="B137" s="67" t="str">
        <f aca="false">IF(ROW()-3&lt;=N(对接源_01水果!$T$1),"01水果",IF(ROW()-3&lt;=N(对接源_01水果!$T$1)+N(对接源_02物料!$T$1),"02物料",""))</f>
        <v/>
      </c>
      <c r="C137" s="68" t="str">
        <f aca="false">IF($B137="","",IF($B137="01水果",IFERROR(INDEX(对接源_01水果!$B$5:$B$507,MATCH(ROW()-3,对接源_01水果!$Q$5:$Q$507,0)),""),IFERROR(INDEX(对接源_02物料!$B$5:$B$460,MATCH(ROW()-3-N(对接源_01水果!$T$1),对接源_02物料!$Q$5:$Q$460,0)),"")))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7" s="67" t="str">
        <f aca="false">IF($B137="","",IF($B137="01水果",IFERROR(INDEX(对接源_01水果!$C$5:$C$507,MATCH(ROW()-3,对接源_01水果!$Q$5:$Q$507,0)),""),IFERROR(INDEX(对接源_02物料!$C$5:$C$460,MATCH(ROW()-3-N(对接源_01水果!$T$1),对接源_02物料!$Q$5:$Q$460,0)),"")))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7" s="69" t="str">
        <f aca="false">IF($B137="","",IF($B137="01水果",IFERROR(INDEX(对接源_01水果!$D$5:$D$507,MATCH(ROW()-3,对接源_01水果!$Q$5:$Q$507,0)),""),IFERROR(INDEX(对接源_02物料!$D$5:$D$460,MATCH(ROW()-3-N(对接源_01水果!$T$1),对接源_02物料!$Q$5:$Q$460,0)),"")))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7" s="67" t="str">
        <f aca="false">IF($B137="","",IF($B137="01水果",IFERROR(INDEX(对接源_01水果!$E$5:$E$507,MATCH(ROW()-3,对接源_01水果!$Q$5:$Q$507,0)),""),IFERROR(INDEX(对接源_02物料!$E$5:$E$460,MATCH(ROW()-3-N(对接源_01水果!$T$1),对接源_02物料!$Q$5:$Q$460,0)),"")))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7" s="70" t="str">
        <f aca="false">IF($B137="","",IF($B137="01水果",IFERROR(INDEX(对接源_01水果!$F$5:$F$507,MATCH(ROW()-3,对接源_01水果!$Q$5:$Q$507,0)),""),IFERROR(INDEX(对接源_02物料!$F$5:$F$460,MATCH(ROW()-3-N(对接源_01水果!$T$1),对接源_02物料!$Q$5:$Q$460,0)),"")))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7" s="70" t="str">
        <f aca="false">IF($B137="","",IF($B137="01水果",IFERROR(INDEX(对接源_01水果!$G$5:$G$507,MATCH(ROW()-3,对接源_01水果!$Q$5:$Q$507,0)),""),IFERROR(INDEX(对接源_02物料!$G$5:$G$460,MATCH(ROW()-3-N(对接源_01水果!$T$1),对接源_02物料!$Q$5:$Q$460,0)),"")))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7" s="67" t="str">
        <f aca="false">IF(OR($D137="客户应收",$D137="成品销售款",$D137="公司购买果品款",$D137="筐子销售款",$D137="物料销售款"),"客户往来",IFERROR(INDEX(收入成本映射!$C$4:$C$34,MATCH($D137,收入成本映射!$B$4:$B$34,0)),"不记账"))</f>
        <v>不记账</v>
      </c>
      <c r="J137" s="67" t="str">
        <f aca="false">IF($B137="","","0%")</f>
        <v/>
      </c>
      <c r="K137" s="70" t="n">
        <f aca="false">IF($I137="不记账",0,ROUND(N($G137),2))</f>
        <v>0</v>
      </c>
      <c r="L137" s="70" t="n">
        <v>0</v>
      </c>
      <c r="M137" s="67" t="str">
        <f aca="false">IF(OR($I137="不记账",ROUND(N($G137),2)=0),"",IFERROR(INDEX(收入成本映射!$E$4:$E$34,MATCH($D137,收入成本映射!$B$4:$B$34,0)),""))</f>
        <v/>
      </c>
      <c r="N137" s="70" t="str">
        <f aca="false">IF($M137="","",ROUND(N($G137),2))</f>
        <v/>
      </c>
      <c r="O137" s="70" t="str">
        <f aca="false">IF($M137="","",0)</f>
        <v/>
      </c>
      <c r="P137" s="67" t="str">
        <f aca="false">IF($M137="","",IFERROR(INDEX(收入成本映射!$F$4:$F$34,MATCH($D137,收入成本映射!$B$4:$B$34,0)),""))</f>
        <v/>
      </c>
      <c r="Q137" s="70" t="str">
        <f aca="false">IF($P137="","",0)</f>
        <v/>
      </c>
      <c r="R137" s="70" t="str">
        <f aca="false">IF($P137="","",ROUND(N($G137),2))</f>
        <v/>
      </c>
      <c r="S137" s="67" t="str">
        <f aca="false">""</f>
        <v/>
      </c>
      <c r="T137" s="70" t="str">
        <f aca="false">IF($S137="","",0)</f>
        <v/>
      </c>
      <c r="U137" s="70" t="str">
        <f aca="false">IF($S137="","",0)</f>
        <v/>
      </c>
      <c r="V137" s="66" t="str">
        <f aca="false">IF($B137="","",IF($B137="01水果",IFERROR(INDEX(对接源_01水果!$H$5:$H$507,MATCH(ROW()-3,对接源_01水果!$Q$5:$Q$507,0)),""),IFERROR(INDEX(对接源_02物料!$H$5:$H$460,MATCH(ROW()-3-N(对接源_01水果!$T$1),对接源_02物料!$Q$5:$Q$460,0)),"")))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8" customFormat="false" ht="18" hidden="false" customHeight="true" outlineLevel="0" collapsed="false">
      <c r="A138" s="66" t="n">
        <v>135</v>
      </c>
      <c r="B138" s="67" t="str">
        <f aca="false">IF(ROW()-3&lt;=N(对接源_01水果!$T$1),"01水果",IF(ROW()-3&lt;=N(对接源_01水果!$T$1)+N(对接源_02物料!$T$1),"02物料",""))</f>
        <v/>
      </c>
      <c r="C138" s="68" t="str">
        <f aca="false">IF($B138="","",IF($B138="01水果",IFERROR(INDEX(对接源_01水果!$B$5:$B$507,MATCH(ROW()-3,对接源_01水果!$Q$5:$Q$507,0)),""),IFERROR(INDEX(对接源_02物料!$B$5:$B$460,MATCH(ROW()-3-N(对接源_01水果!$T$1),对接源_02物料!$Q$5:$Q$460,0)),"")))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8" s="67" t="str">
        <f aca="false">IF($B138="","",IF($B138="01水果",IFERROR(INDEX(对接源_01水果!$C$5:$C$507,MATCH(ROW()-3,对接源_01水果!$Q$5:$Q$507,0)),""),IFERROR(INDEX(对接源_02物料!$C$5:$C$460,MATCH(ROW()-3-N(对接源_01水果!$T$1),对接源_02物料!$Q$5:$Q$460,0)),"")))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8" s="69" t="str">
        <f aca="false">IF($B138="","",IF($B138="01水果",IFERROR(INDEX(对接源_01水果!$D$5:$D$507,MATCH(ROW()-3,对接源_01水果!$Q$5:$Q$507,0)),""),IFERROR(INDEX(对接源_02物料!$D$5:$D$460,MATCH(ROW()-3-N(对接源_01水果!$T$1),对接源_02物料!$Q$5:$Q$460,0)),"")))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8" s="67" t="str">
        <f aca="false">IF($B138="","",IF($B138="01水果",IFERROR(INDEX(对接源_01水果!$E$5:$E$507,MATCH(ROW()-3,对接源_01水果!$Q$5:$Q$507,0)),""),IFERROR(INDEX(对接源_02物料!$E$5:$E$460,MATCH(ROW()-3-N(对接源_01水果!$T$1),对接源_02物料!$Q$5:$Q$460,0)),"")))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8" s="70" t="str">
        <f aca="false">IF($B138="","",IF($B138="01水果",IFERROR(INDEX(对接源_01水果!$F$5:$F$507,MATCH(ROW()-3,对接源_01水果!$Q$5:$Q$507,0)),""),IFERROR(INDEX(对接源_02物料!$F$5:$F$460,MATCH(ROW()-3-N(对接源_01水果!$T$1),对接源_02物料!$Q$5:$Q$460,0)),"")))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8" s="70" t="str">
        <f aca="false">IF($B138="","",IF($B138="01水果",IFERROR(INDEX(对接源_01水果!$G$5:$G$507,MATCH(ROW()-3,对接源_01水果!$Q$5:$Q$507,0)),""),IFERROR(INDEX(对接源_02物料!$G$5:$G$460,MATCH(ROW()-3-N(对接源_01水果!$T$1),对接源_02物料!$Q$5:$Q$460,0)),"")))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8" s="67" t="str">
        <f aca="false">IF(OR($D138="客户应收",$D138="成品销售款",$D138="公司购买果品款",$D138="筐子销售款",$D138="物料销售款"),"客户往来",IFERROR(INDEX(收入成本映射!$C$4:$C$34,MATCH($D138,收入成本映射!$B$4:$B$34,0)),"不记账"))</f>
        <v>不记账</v>
      </c>
      <c r="J138" s="67" t="str">
        <f aca="false">IF($B138="","","0%")</f>
        <v/>
      </c>
      <c r="K138" s="70" t="n">
        <f aca="false">IF($I138="不记账",0,ROUND(N($G138),2))</f>
        <v>0</v>
      </c>
      <c r="L138" s="70" t="n">
        <v>0</v>
      </c>
      <c r="M138" s="67" t="str">
        <f aca="false">IF(OR($I138="不记账",ROUND(N($G138),2)=0),"",IFERROR(INDEX(收入成本映射!$E$4:$E$34,MATCH($D138,收入成本映射!$B$4:$B$34,0)),""))</f>
        <v/>
      </c>
      <c r="N138" s="70" t="str">
        <f aca="false">IF($M138="","",ROUND(N($G138),2))</f>
        <v/>
      </c>
      <c r="O138" s="70" t="str">
        <f aca="false">IF($M138="","",0)</f>
        <v/>
      </c>
      <c r="P138" s="67" t="str">
        <f aca="false">IF($M138="","",IFERROR(INDEX(收入成本映射!$F$4:$F$34,MATCH($D138,收入成本映射!$B$4:$B$34,0)),""))</f>
        <v/>
      </c>
      <c r="Q138" s="70" t="str">
        <f aca="false">IF($P138="","",0)</f>
        <v/>
      </c>
      <c r="R138" s="70" t="str">
        <f aca="false">IF($P138="","",ROUND(N($G138),2))</f>
        <v/>
      </c>
      <c r="S138" s="67" t="str">
        <f aca="false">""</f>
        <v/>
      </c>
      <c r="T138" s="70" t="str">
        <f aca="false">IF($S138="","",0)</f>
        <v/>
      </c>
      <c r="U138" s="70" t="str">
        <f aca="false">IF($S138="","",0)</f>
        <v/>
      </c>
      <c r="V138" s="66" t="str">
        <f aca="false">IF($B138="","",IF($B138="01水果",IFERROR(INDEX(对接源_01水果!$H$5:$H$507,MATCH(ROW()-3,对接源_01水果!$Q$5:$Q$507,0)),""),IFERROR(INDEX(对接源_02物料!$H$5:$H$460,MATCH(ROW()-3-N(对接源_01水果!$T$1),对接源_02物料!$Q$5:$Q$460,0)),"")))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39" customFormat="false" ht="18" hidden="false" customHeight="true" outlineLevel="0" collapsed="false">
      <c r="A139" s="66" t="n">
        <v>136</v>
      </c>
      <c r="B139" s="67" t="str">
        <f aca="false">IF(ROW()-3&lt;=N(对接源_01水果!$T$1),"01水果",IF(ROW()-3&lt;=N(对接源_01水果!$T$1)+N(对接源_02物料!$T$1),"02物料",""))</f>
        <v/>
      </c>
      <c r="C139" s="68" t="str">
        <f aca="false">IF($B139="","",IF($B139="01水果",IFERROR(INDEX(对接源_01水果!$B$5:$B$507,MATCH(ROW()-3,对接源_01水果!$Q$5:$Q$507,0)),""),IFERROR(INDEX(对接源_02物料!$B$5:$B$460,MATCH(ROW()-3-N(对接源_01水果!$T$1),对接源_02物料!$Q$5:$Q$460,0)),"")))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39" s="67" t="str">
        <f aca="false">IF($B139="","",IF($B139="01水果",IFERROR(INDEX(对接源_01水果!$C$5:$C$507,MATCH(ROW()-3,对接源_01水果!$Q$5:$Q$507,0)),""),IFERROR(INDEX(对接源_02物料!$C$5:$C$460,MATCH(ROW()-3-N(对接源_01水果!$T$1),对接源_02物料!$Q$5:$Q$460,0)),"")))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39" s="69" t="str">
        <f aca="false">IF($B139="","",IF($B139="01水果",IFERROR(INDEX(对接源_01水果!$D$5:$D$507,MATCH(ROW()-3,对接源_01水果!$Q$5:$Q$507,0)),""),IFERROR(INDEX(对接源_02物料!$D$5:$D$460,MATCH(ROW()-3-N(对接源_01水果!$T$1),对接源_02物料!$Q$5:$Q$460,0)),"")))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39" s="67" t="str">
        <f aca="false">IF($B139="","",IF($B139="01水果",IFERROR(INDEX(对接源_01水果!$E$5:$E$507,MATCH(ROW()-3,对接源_01水果!$Q$5:$Q$507,0)),""),IFERROR(INDEX(对接源_02物料!$E$5:$E$460,MATCH(ROW()-3-N(对接源_01水果!$T$1),对接源_02物料!$Q$5:$Q$460,0)),"")))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39" s="70" t="str">
        <f aca="false">IF($B139="","",IF($B139="01水果",IFERROR(INDEX(对接源_01水果!$F$5:$F$507,MATCH(ROW()-3,对接源_01水果!$Q$5:$Q$507,0)),""),IFERROR(INDEX(对接源_02物料!$F$5:$F$460,MATCH(ROW()-3-N(对接源_01水果!$T$1),对接源_02物料!$Q$5:$Q$460,0)),"")))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39" s="70" t="str">
        <f aca="false">IF($B139="","",IF($B139="01水果",IFERROR(INDEX(对接源_01水果!$G$5:$G$507,MATCH(ROW()-3,对接源_01水果!$Q$5:$Q$507,0)),""),IFERROR(INDEX(对接源_02物料!$G$5:$G$460,MATCH(ROW()-3-N(对接源_01水果!$T$1),对接源_02物料!$Q$5:$Q$460,0)),"")))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39" s="67" t="str">
        <f aca="false">IF(OR($D139="客户应收",$D139="成品销售款",$D139="公司购买果品款",$D139="筐子销售款",$D139="物料销售款"),"客户往来",IFERROR(INDEX(收入成本映射!$C$4:$C$34,MATCH($D139,收入成本映射!$B$4:$B$34,0)),"不记账"))</f>
        <v>不记账</v>
      </c>
      <c r="J139" s="67" t="str">
        <f aca="false">IF($B139="","","0%")</f>
        <v/>
      </c>
      <c r="K139" s="70" t="n">
        <f aca="false">IF($I139="不记账",0,ROUND(N($G139),2))</f>
        <v>0</v>
      </c>
      <c r="L139" s="70" t="n">
        <v>0</v>
      </c>
      <c r="M139" s="67" t="str">
        <f aca="false">IF(OR($I139="不记账",ROUND(N($G139),2)=0),"",IFERROR(INDEX(收入成本映射!$E$4:$E$34,MATCH($D139,收入成本映射!$B$4:$B$34,0)),""))</f>
        <v/>
      </c>
      <c r="N139" s="70" t="str">
        <f aca="false">IF($M139="","",ROUND(N($G139),2))</f>
        <v/>
      </c>
      <c r="O139" s="70" t="str">
        <f aca="false">IF($M139="","",0)</f>
        <v/>
      </c>
      <c r="P139" s="67" t="str">
        <f aca="false">IF($M139="","",IFERROR(INDEX(收入成本映射!$F$4:$F$34,MATCH($D139,收入成本映射!$B$4:$B$34,0)),""))</f>
        <v/>
      </c>
      <c r="Q139" s="70" t="str">
        <f aca="false">IF($P139="","",0)</f>
        <v/>
      </c>
      <c r="R139" s="70" t="str">
        <f aca="false">IF($P139="","",ROUND(N($G139),2))</f>
        <v/>
      </c>
      <c r="S139" s="67" t="str">
        <f aca="false">""</f>
        <v/>
      </c>
      <c r="T139" s="70" t="str">
        <f aca="false">IF($S139="","",0)</f>
        <v/>
      </c>
      <c r="U139" s="70" t="str">
        <f aca="false">IF($S139="","",0)</f>
        <v/>
      </c>
      <c r="V139" s="66" t="str">
        <f aca="false">IF($B139="","",IF($B139="01水果",IFERROR(INDEX(对接源_01水果!$H$5:$H$507,MATCH(ROW()-3,对接源_01水果!$Q$5:$Q$507,0)),""),IFERROR(INDEX(对接源_02物料!$H$5:$H$460,MATCH(ROW()-3-N(对接源_01水果!$T$1),对接源_02物料!$Q$5:$Q$460,0)),"")))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0" customFormat="false" ht="18" hidden="false" customHeight="true" outlineLevel="0" collapsed="false">
      <c r="A140" s="66" t="n">
        <v>137</v>
      </c>
      <c r="B140" s="67" t="str">
        <f aca="false">IF(ROW()-3&lt;=N(对接源_01水果!$T$1),"01水果",IF(ROW()-3&lt;=N(对接源_01水果!$T$1)+N(对接源_02物料!$T$1),"02物料",""))</f>
        <v/>
      </c>
      <c r="C140" s="68" t="str">
        <f aca="false">IF($B140="","",IF($B140="01水果",IFERROR(INDEX(对接源_01水果!$B$5:$B$507,MATCH(ROW()-3,对接源_01水果!$Q$5:$Q$507,0)),""),IFERROR(INDEX(对接源_02物料!$B$5:$B$460,MATCH(ROW()-3-N(对接源_01水果!$T$1),对接源_02物料!$Q$5:$Q$460,0)),"")))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0" s="67" t="str">
        <f aca="false">IF($B140="","",IF($B140="01水果",IFERROR(INDEX(对接源_01水果!$C$5:$C$507,MATCH(ROW()-3,对接源_01水果!$Q$5:$Q$507,0)),""),IFERROR(INDEX(对接源_02物料!$C$5:$C$460,MATCH(ROW()-3-N(对接源_01水果!$T$1),对接源_02物料!$Q$5:$Q$460,0)),"")))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0" s="69" t="str">
        <f aca="false">IF($B140="","",IF($B140="01水果",IFERROR(INDEX(对接源_01水果!$D$5:$D$507,MATCH(ROW()-3,对接源_01水果!$Q$5:$Q$507,0)),""),IFERROR(INDEX(对接源_02物料!$D$5:$D$460,MATCH(ROW()-3-N(对接源_01水果!$T$1),对接源_02物料!$Q$5:$Q$460,0)),"")))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0" s="67" t="str">
        <f aca="false">IF($B140="","",IF($B140="01水果",IFERROR(INDEX(对接源_01水果!$E$5:$E$507,MATCH(ROW()-3,对接源_01水果!$Q$5:$Q$507,0)),""),IFERROR(INDEX(对接源_02物料!$E$5:$E$460,MATCH(ROW()-3-N(对接源_01水果!$T$1),对接源_02物料!$Q$5:$Q$460,0)),"")))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0" s="70" t="str">
        <f aca="false">IF($B140="","",IF($B140="01水果",IFERROR(INDEX(对接源_01水果!$F$5:$F$507,MATCH(ROW()-3,对接源_01水果!$Q$5:$Q$507,0)),""),IFERROR(INDEX(对接源_02物料!$F$5:$F$460,MATCH(ROW()-3-N(对接源_01水果!$T$1),对接源_02物料!$Q$5:$Q$460,0)),"")))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0" s="70" t="str">
        <f aca="false">IF($B140="","",IF($B140="01水果",IFERROR(INDEX(对接源_01水果!$G$5:$G$507,MATCH(ROW()-3,对接源_01水果!$Q$5:$Q$507,0)),""),IFERROR(INDEX(对接源_02物料!$G$5:$G$460,MATCH(ROW()-3-N(对接源_01水果!$T$1),对接源_02物料!$Q$5:$Q$460,0)),"")))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0" s="67" t="str">
        <f aca="false">IF(OR($D140="客户应收",$D140="成品销售款",$D140="公司购买果品款",$D140="筐子销售款",$D140="物料销售款"),"客户往来",IFERROR(INDEX(收入成本映射!$C$4:$C$34,MATCH($D140,收入成本映射!$B$4:$B$34,0)),"不记账"))</f>
        <v>不记账</v>
      </c>
      <c r="J140" s="67" t="str">
        <f aca="false">IF($B140="","","0%")</f>
        <v/>
      </c>
      <c r="K140" s="70" t="n">
        <f aca="false">IF($I140="不记账",0,ROUND(N($G140),2))</f>
        <v>0</v>
      </c>
      <c r="L140" s="70" t="n">
        <v>0</v>
      </c>
      <c r="M140" s="67" t="str">
        <f aca="false">IF(OR($I140="不记账",ROUND(N($G140),2)=0),"",IFERROR(INDEX(收入成本映射!$E$4:$E$34,MATCH($D140,收入成本映射!$B$4:$B$34,0)),""))</f>
        <v/>
      </c>
      <c r="N140" s="70" t="str">
        <f aca="false">IF($M140="","",ROUND(N($G140),2))</f>
        <v/>
      </c>
      <c r="O140" s="70" t="str">
        <f aca="false">IF($M140="","",0)</f>
        <v/>
      </c>
      <c r="P140" s="67" t="str">
        <f aca="false">IF($M140="","",IFERROR(INDEX(收入成本映射!$F$4:$F$34,MATCH($D140,收入成本映射!$B$4:$B$34,0)),""))</f>
        <v/>
      </c>
      <c r="Q140" s="70" t="str">
        <f aca="false">IF($P140="","",0)</f>
        <v/>
      </c>
      <c r="R140" s="70" t="str">
        <f aca="false">IF($P140="","",ROUND(N($G140),2))</f>
        <v/>
      </c>
      <c r="S140" s="67" t="str">
        <f aca="false">""</f>
        <v/>
      </c>
      <c r="T140" s="70" t="str">
        <f aca="false">IF($S140="","",0)</f>
        <v/>
      </c>
      <c r="U140" s="70" t="str">
        <f aca="false">IF($S140="","",0)</f>
        <v/>
      </c>
      <c r="V140" s="66" t="str">
        <f aca="false">IF($B140="","",IF($B140="01水果",IFERROR(INDEX(对接源_01水果!$H$5:$H$507,MATCH(ROW()-3,对接源_01水果!$Q$5:$Q$507,0)),""),IFERROR(INDEX(对接源_02物料!$H$5:$H$460,MATCH(ROW()-3-N(对接源_01水果!$T$1),对接源_02物料!$Q$5:$Q$460,0)),"")))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1" customFormat="false" ht="18" hidden="false" customHeight="true" outlineLevel="0" collapsed="false">
      <c r="A141" s="66" t="n">
        <v>138</v>
      </c>
      <c r="B141" s="67" t="str">
        <f aca="false">IF(ROW()-3&lt;=N(对接源_01水果!$T$1),"01水果",IF(ROW()-3&lt;=N(对接源_01水果!$T$1)+N(对接源_02物料!$T$1),"02物料",""))</f>
        <v/>
      </c>
      <c r="C141" s="68" t="str">
        <f aca="false">IF($B141="","",IF($B141="01水果",IFERROR(INDEX(对接源_01水果!$B$5:$B$507,MATCH(ROW()-3,对接源_01水果!$Q$5:$Q$507,0)),""),IFERROR(INDEX(对接源_02物料!$B$5:$B$460,MATCH(ROW()-3-N(对接源_01水果!$T$1),对接源_02物料!$Q$5:$Q$460,0)),"")))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1" s="67" t="str">
        <f aca="false">IF($B141="","",IF($B141="01水果",IFERROR(INDEX(对接源_01水果!$C$5:$C$507,MATCH(ROW()-3,对接源_01水果!$Q$5:$Q$507,0)),""),IFERROR(INDEX(对接源_02物料!$C$5:$C$460,MATCH(ROW()-3-N(对接源_01水果!$T$1),对接源_02物料!$Q$5:$Q$460,0)),"")))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1" s="69" t="str">
        <f aca="false">IF($B141="","",IF($B141="01水果",IFERROR(INDEX(对接源_01水果!$D$5:$D$507,MATCH(ROW()-3,对接源_01水果!$Q$5:$Q$507,0)),""),IFERROR(INDEX(对接源_02物料!$D$5:$D$460,MATCH(ROW()-3-N(对接源_01水果!$T$1),对接源_02物料!$Q$5:$Q$460,0)),"")))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1" s="67" t="str">
        <f aca="false">IF($B141="","",IF($B141="01水果",IFERROR(INDEX(对接源_01水果!$E$5:$E$507,MATCH(ROW()-3,对接源_01水果!$Q$5:$Q$507,0)),""),IFERROR(INDEX(对接源_02物料!$E$5:$E$460,MATCH(ROW()-3-N(对接源_01水果!$T$1),对接源_02物料!$Q$5:$Q$460,0)),"")))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1" s="70" t="str">
        <f aca="false">IF($B141="","",IF($B141="01水果",IFERROR(INDEX(对接源_01水果!$F$5:$F$507,MATCH(ROW()-3,对接源_01水果!$Q$5:$Q$507,0)),""),IFERROR(INDEX(对接源_02物料!$F$5:$F$460,MATCH(ROW()-3-N(对接源_01水果!$T$1),对接源_02物料!$Q$5:$Q$460,0)),"")))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1" s="70" t="str">
        <f aca="false">IF($B141="","",IF($B141="01水果",IFERROR(INDEX(对接源_01水果!$G$5:$G$507,MATCH(ROW()-3,对接源_01水果!$Q$5:$Q$507,0)),""),IFERROR(INDEX(对接源_02物料!$G$5:$G$460,MATCH(ROW()-3-N(对接源_01水果!$T$1),对接源_02物料!$Q$5:$Q$460,0)),"")))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1" s="67" t="str">
        <f aca="false">IF(OR($D141="客户应收",$D141="成品销售款",$D141="公司购买果品款",$D141="筐子销售款",$D141="物料销售款"),"客户往来",IFERROR(INDEX(收入成本映射!$C$4:$C$34,MATCH($D141,收入成本映射!$B$4:$B$34,0)),"不记账"))</f>
        <v>不记账</v>
      </c>
      <c r="J141" s="67" t="str">
        <f aca="false">IF($B141="","","0%")</f>
        <v/>
      </c>
      <c r="K141" s="70" t="n">
        <f aca="false">IF($I141="不记账",0,ROUND(N($G141),2))</f>
        <v>0</v>
      </c>
      <c r="L141" s="70" t="n">
        <v>0</v>
      </c>
      <c r="M141" s="67" t="str">
        <f aca="false">IF(OR($I141="不记账",ROUND(N($G141),2)=0),"",IFERROR(INDEX(收入成本映射!$E$4:$E$34,MATCH($D141,收入成本映射!$B$4:$B$34,0)),""))</f>
        <v/>
      </c>
      <c r="N141" s="70" t="str">
        <f aca="false">IF($M141="","",ROUND(N($G141),2))</f>
        <v/>
      </c>
      <c r="O141" s="70" t="str">
        <f aca="false">IF($M141="","",0)</f>
        <v/>
      </c>
      <c r="P141" s="67" t="str">
        <f aca="false">IF($M141="","",IFERROR(INDEX(收入成本映射!$F$4:$F$34,MATCH($D141,收入成本映射!$B$4:$B$34,0)),""))</f>
        <v/>
      </c>
      <c r="Q141" s="70" t="str">
        <f aca="false">IF($P141="","",0)</f>
        <v/>
      </c>
      <c r="R141" s="70" t="str">
        <f aca="false">IF($P141="","",ROUND(N($G141),2))</f>
        <v/>
      </c>
      <c r="S141" s="67" t="str">
        <f aca="false">""</f>
        <v/>
      </c>
      <c r="T141" s="70" t="str">
        <f aca="false">IF($S141="","",0)</f>
        <v/>
      </c>
      <c r="U141" s="70" t="str">
        <f aca="false">IF($S141="","",0)</f>
        <v/>
      </c>
      <c r="V141" s="66" t="str">
        <f aca="false">IF($B141="","",IF($B141="01水果",IFERROR(INDEX(对接源_01水果!$H$5:$H$507,MATCH(ROW()-3,对接源_01水果!$Q$5:$Q$507,0)),""),IFERROR(INDEX(对接源_02物料!$H$5:$H$460,MATCH(ROW()-3-N(对接源_01水果!$T$1),对接源_02物料!$Q$5:$Q$460,0)),"")))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2" customFormat="false" ht="18" hidden="false" customHeight="true" outlineLevel="0" collapsed="false">
      <c r="A142" s="66" t="n">
        <v>139</v>
      </c>
      <c r="B142" s="67" t="str">
        <f aca="false">IF(ROW()-3&lt;=N(对接源_01水果!$T$1),"01水果",IF(ROW()-3&lt;=N(对接源_01水果!$T$1)+N(对接源_02物料!$T$1),"02物料",""))</f>
        <v/>
      </c>
      <c r="C142" s="68" t="str">
        <f aca="false">IF($B142="","",IF($B142="01水果",IFERROR(INDEX(对接源_01水果!$B$5:$B$507,MATCH(ROW()-3,对接源_01水果!$Q$5:$Q$507,0)),""),IFERROR(INDEX(对接源_02物料!$B$5:$B$460,MATCH(ROW()-3-N(对接源_01水果!$T$1),对接源_02物料!$Q$5:$Q$460,0)),"")))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2" s="67" t="str">
        <f aca="false">IF($B142="","",IF($B142="01水果",IFERROR(INDEX(对接源_01水果!$C$5:$C$507,MATCH(ROW()-3,对接源_01水果!$Q$5:$Q$507,0)),""),IFERROR(INDEX(对接源_02物料!$C$5:$C$460,MATCH(ROW()-3-N(对接源_01水果!$T$1),对接源_02物料!$Q$5:$Q$460,0)),"")))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2" s="69" t="str">
        <f aca="false">IF($B142="","",IF($B142="01水果",IFERROR(INDEX(对接源_01水果!$D$5:$D$507,MATCH(ROW()-3,对接源_01水果!$Q$5:$Q$507,0)),""),IFERROR(INDEX(对接源_02物料!$D$5:$D$460,MATCH(ROW()-3-N(对接源_01水果!$T$1),对接源_02物料!$Q$5:$Q$460,0)),"")))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2" s="67" t="str">
        <f aca="false">IF($B142="","",IF($B142="01水果",IFERROR(INDEX(对接源_01水果!$E$5:$E$507,MATCH(ROW()-3,对接源_01水果!$Q$5:$Q$507,0)),""),IFERROR(INDEX(对接源_02物料!$E$5:$E$460,MATCH(ROW()-3-N(对接源_01水果!$T$1),对接源_02物料!$Q$5:$Q$460,0)),"")))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2" s="70" t="str">
        <f aca="false">IF($B142="","",IF($B142="01水果",IFERROR(INDEX(对接源_01水果!$F$5:$F$507,MATCH(ROW()-3,对接源_01水果!$Q$5:$Q$507,0)),""),IFERROR(INDEX(对接源_02物料!$F$5:$F$460,MATCH(ROW()-3-N(对接源_01水果!$T$1),对接源_02物料!$Q$5:$Q$460,0)),"")))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2" s="70" t="str">
        <f aca="false">IF($B142="","",IF($B142="01水果",IFERROR(INDEX(对接源_01水果!$G$5:$G$507,MATCH(ROW()-3,对接源_01水果!$Q$5:$Q$507,0)),""),IFERROR(INDEX(对接源_02物料!$G$5:$G$460,MATCH(ROW()-3-N(对接源_01水果!$T$1),对接源_02物料!$Q$5:$Q$460,0)),"")))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2" s="67" t="str">
        <f aca="false">IF(OR($D142="客户应收",$D142="成品销售款",$D142="公司购买果品款",$D142="筐子销售款",$D142="物料销售款"),"客户往来",IFERROR(INDEX(收入成本映射!$C$4:$C$34,MATCH($D142,收入成本映射!$B$4:$B$34,0)),"不记账"))</f>
        <v>不记账</v>
      </c>
      <c r="J142" s="67" t="str">
        <f aca="false">IF($B142="","","0%")</f>
        <v/>
      </c>
      <c r="K142" s="70" t="n">
        <f aca="false">IF($I142="不记账",0,ROUND(N($G142),2))</f>
        <v>0</v>
      </c>
      <c r="L142" s="70" t="n">
        <v>0</v>
      </c>
      <c r="M142" s="67" t="str">
        <f aca="false">IF(OR($I142="不记账",ROUND(N($G142),2)=0),"",IFERROR(INDEX(收入成本映射!$E$4:$E$34,MATCH($D142,收入成本映射!$B$4:$B$34,0)),""))</f>
        <v/>
      </c>
      <c r="N142" s="70" t="str">
        <f aca="false">IF($M142="","",ROUND(N($G142),2))</f>
        <v/>
      </c>
      <c r="O142" s="70" t="str">
        <f aca="false">IF($M142="","",0)</f>
        <v/>
      </c>
      <c r="P142" s="67" t="str">
        <f aca="false">IF($M142="","",IFERROR(INDEX(收入成本映射!$F$4:$F$34,MATCH($D142,收入成本映射!$B$4:$B$34,0)),""))</f>
        <v/>
      </c>
      <c r="Q142" s="70" t="str">
        <f aca="false">IF($P142="","",0)</f>
        <v/>
      </c>
      <c r="R142" s="70" t="str">
        <f aca="false">IF($P142="","",ROUND(N($G142),2))</f>
        <v/>
      </c>
      <c r="S142" s="67" t="str">
        <f aca="false">""</f>
        <v/>
      </c>
      <c r="T142" s="70" t="str">
        <f aca="false">IF($S142="","",0)</f>
        <v/>
      </c>
      <c r="U142" s="70" t="str">
        <f aca="false">IF($S142="","",0)</f>
        <v/>
      </c>
      <c r="V142" s="66" t="str">
        <f aca="false">IF($B142="","",IF($B142="01水果",IFERROR(INDEX(对接源_01水果!$H$5:$H$507,MATCH(ROW()-3,对接源_01水果!$Q$5:$Q$507,0)),""),IFERROR(INDEX(对接源_02物料!$H$5:$H$460,MATCH(ROW()-3-N(对接源_01水果!$T$1),对接源_02物料!$Q$5:$Q$460,0)),"")))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3" customFormat="false" ht="18" hidden="false" customHeight="true" outlineLevel="0" collapsed="false">
      <c r="A143" s="66" t="n">
        <v>140</v>
      </c>
      <c r="B143" s="67" t="str">
        <f aca="false">IF(ROW()-3&lt;=N(对接源_01水果!$T$1),"01水果",IF(ROW()-3&lt;=N(对接源_01水果!$T$1)+N(对接源_02物料!$T$1),"02物料",""))</f>
        <v/>
      </c>
      <c r="C143" s="68" t="str">
        <f aca="false">IF($B143="","",IF($B143="01水果",IFERROR(INDEX(对接源_01水果!$B$5:$B$507,MATCH(ROW()-3,对接源_01水果!$Q$5:$Q$507,0)),""),IFERROR(INDEX(对接源_02物料!$B$5:$B$460,MATCH(ROW()-3-N(对接源_01水果!$T$1),对接源_02物料!$Q$5:$Q$460,0)),"")))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3" s="67" t="str">
        <f aca="false">IF($B143="","",IF($B143="01水果",IFERROR(INDEX(对接源_01水果!$C$5:$C$507,MATCH(ROW()-3,对接源_01水果!$Q$5:$Q$507,0)),""),IFERROR(INDEX(对接源_02物料!$C$5:$C$460,MATCH(ROW()-3-N(对接源_01水果!$T$1),对接源_02物料!$Q$5:$Q$460,0)),"")))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3" s="69" t="str">
        <f aca="false">IF($B143="","",IF($B143="01水果",IFERROR(INDEX(对接源_01水果!$D$5:$D$507,MATCH(ROW()-3,对接源_01水果!$Q$5:$Q$507,0)),""),IFERROR(INDEX(对接源_02物料!$D$5:$D$460,MATCH(ROW()-3-N(对接源_01水果!$T$1),对接源_02物料!$Q$5:$Q$460,0)),"")))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3" s="67" t="str">
        <f aca="false">IF($B143="","",IF($B143="01水果",IFERROR(INDEX(对接源_01水果!$E$5:$E$507,MATCH(ROW()-3,对接源_01水果!$Q$5:$Q$507,0)),""),IFERROR(INDEX(对接源_02物料!$E$5:$E$460,MATCH(ROW()-3-N(对接源_01水果!$T$1),对接源_02物料!$Q$5:$Q$460,0)),"")))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3" s="70" t="str">
        <f aca="false">IF($B143="","",IF($B143="01水果",IFERROR(INDEX(对接源_01水果!$F$5:$F$507,MATCH(ROW()-3,对接源_01水果!$Q$5:$Q$507,0)),""),IFERROR(INDEX(对接源_02物料!$F$5:$F$460,MATCH(ROW()-3-N(对接源_01水果!$T$1),对接源_02物料!$Q$5:$Q$460,0)),"")))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3" s="70" t="str">
        <f aca="false">IF($B143="","",IF($B143="01水果",IFERROR(INDEX(对接源_01水果!$G$5:$G$507,MATCH(ROW()-3,对接源_01水果!$Q$5:$Q$507,0)),""),IFERROR(INDEX(对接源_02物料!$G$5:$G$460,MATCH(ROW()-3-N(对接源_01水果!$T$1),对接源_02物料!$Q$5:$Q$460,0)),"")))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3" s="67" t="str">
        <f aca="false">IF(OR($D143="客户应收",$D143="成品销售款",$D143="公司购买果品款",$D143="筐子销售款",$D143="物料销售款"),"客户往来",IFERROR(INDEX(收入成本映射!$C$4:$C$34,MATCH($D143,收入成本映射!$B$4:$B$34,0)),"不记账"))</f>
        <v>不记账</v>
      </c>
      <c r="J143" s="67" t="str">
        <f aca="false">IF($B143="","","0%")</f>
        <v/>
      </c>
      <c r="K143" s="70" t="n">
        <f aca="false">IF($I143="不记账",0,ROUND(N($G143),2))</f>
        <v>0</v>
      </c>
      <c r="L143" s="70" t="n">
        <v>0</v>
      </c>
      <c r="M143" s="67" t="str">
        <f aca="false">IF(OR($I143="不记账",ROUND(N($G143),2)=0),"",IFERROR(INDEX(收入成本映射!$E$4:$E$34,MATCH($D143,收入成本映射!$B$4:$B$34,0)),""))</f>
        <v/>
      </c>
      <c r="N143" s="70" t="str">
        <f aca="false">IF($M143="","",ROUND(N($G143),2))</f>
        <v/>
      </c>
      <c r="O143" s="70" t="str">
        <f aca="false">IF($M143="","",0)</f>
        <v/>
      </c>
      <c r="P143" s="67" t="str">
        <f aca="false">IF($M143="","",IFERROR(INDEX(收入成本映射!$F$4:$F$34,MATCH($D143,收入成本映射!$B$4:$B$34,0)),""))</f>
        <v/>
      </c>
      <c r="Q143" s="70" t="str">
        <f aca="false">IF($P143="","",0)</f>
        <v/>
      </c>
      <c r="R143" s="70" t="str">
        <f aca="false">IF($P143="","",ROUND(N($G143),2))</f>
        <v/>
      </c>
      <c r="S143" s="67" t="str">
        <f aca="false">""</f>
        <v/>
      </c>
      <c r="T143" s="70" t="str">
        <f aca="false">IF($S143="","",0)</f>
        <v/>
      </c>
      <c r="U143" s="70" t="str">
        <f aca="false">IF($S143="","",0)</f>
        <v/>
      </c>
      <c r="V143" s="66" t="str">
        <f aca="false">IF($B143="","",IF($B143="01水果",IFERROR(INDEX(对接源_01水果!$H$5:$H$507,MATCH(ROW()-3,对接源_01水果!$Q$5:$Q$507,0)),""),IFERROR(INDEX(对接源_02物料!$H$5:$H$460,MATCH(ROW()-3-N(对接源_01水果!$T$1),对接源_02物料!$Q$5:$Q$460,0)),"")))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4" customFormat="false" ht="18" hidden="false" customHeight="true" outlineLevel="0" collapsed="false">
      <c r="A144" s="66" t="n">
        <v>141</v>
      </c>
      <c r="B144" s="67" t="str">
        <f aca="false">IF(ROW()-3&lt;=N(对接源_01水果!$T$1),"01水果",IF(ROW()-3&lt;=N(对接源_01水果!$T$1)+N(对接源_02物料!$T$1),"02物料",""))</f>
        <v/>
      </c>
      <c r="C144" s="68" t="str">
        <f aca="false">IF($B144="","",IF($B144="01水果",IFERROR(INDEX(对接源_01水果!$B$5:$B$507,MATCH(ROW()-3,对接源_01水果!$Q$5:$Q$507,0)),""),IFERROR(INDEX(对接源_02物料!$B$5:$B$460,MATCH(ROW()-3-N(对接源_01水果!$T$1),对接源_02物料!$Q$5:$Q$460,0)),"")))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4" s="67" t="str">
        <f aca="false">IF($B144="","",IF($B144="01水果",IFERROR(INDEX(对接源_01水果!$C$5:$C$507,MATCH(ROW()-3,对接源_01水果!$Q$5:$Q$507,0)),""),IFERROR(INDEX(对接源_02物料!$C$5:$C$460,MATCH(ROW()-3-N(对接源_01水果!$T$1),对接源_02物料!$Q$5:$Q$460,0)),"")))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4" s="69" t="str">
        <f aca="false">IF($B144="","",IF($B144="01水果",IFERROR(INDEX(对接源_01水果!$D$5:$D$507,MATCH(ROW()-3,对接源_01水果!$Q$5:$Q$507,0)),""),IFERROR(INDEX(对接源_02物料!$D$5:$D$460,MATCH(ROW()-3-N(对接源_01水果!$T$1),对接源_02物料!$Q$5:$Q$460,0)),"")))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4" s="67" t="str">
        <f aca="false">IF($B144="","",IF($B144="01水果",IFERROR(INDEX(对接源_01水果!$E$5:$E$507,MATCH(ROW()-3,对接源_01水果!$Q$5:$Q$507,0)),""),IFERROR(INDEX(对接源_02物料!$E$5:$E$460,MATCH(ROW()-3-N(对接源_01水果!$T$1),对接源_02物料!$Q$5:$Q$460,0)),"")))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4" s="70" t="str">
        <f aca="false">IF($B144="","",IF($B144="01水果",IFERROR(INDEX(对接源_01水果!$F$5:$F$507,MATCH(ROW()-3,对接源_01水果!$Q$5:$Q$507,0)),""),IFERROR(INDEX(对接源_02物料!$F$5:$F$460,MATCH(ROW()-3-N(对接源_01水果!$T$1),对接源_02物料!$Q$5:$Q$460,0)),"")))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4" s="70" t="str">
        <f aca="false">IF($B144="","",IF($B144="01水果",IFERROR(INDEX(对接源_01水果!$G$5:$G$507,MATCH(ROW()-3,对接源_01水果!$Q$5:$Q$507,0)),""),IFERROR(INDEX(对接源_02物料!$G$5:$G$460,MATCH(ROW()-3-N(对接源_01水果!$T$1),对接源_02物料!$Q$5:$Q$460,0)),"")))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4" s="67" t="str">
        <f aca="false">IF(OR($D144="客户应收",$D144="成品销售款",$D144="公司购买果品款",$D144="筐子销售款",$D144="物料销售款"),"客户往来",IFERROR(INDEX(收入成本映射!$C$4:$C$34,MATCH($D144,收入成本映射!$B$4:$B$34,0)),"不记账"))</f>
        <v>不记账</v>
      </c>
      <c r="J144" s="67" t="str">
        <f aca="false">IF($B144="","","0%")</f>
        <v/>
      </c>
      <c r="K144" s="70" t="n">
        <f aca="false">IF($I144="不记账",0,ROUND(N($G144),2))</f>
        <v>0</v>
      </c>
      <c r="L144" s="70" t="n">
        <v>0</v>
      </c>
      <c r="M144" s="67" t="str">
        <f aca="false">IF(OR($I144="不记账",ROUND(N($G144),2)=0),"",IFERROR(INDEX(收入成本映射!$E$4:$E$34,MATCH($D144,收入成本映射!$B$4:$B$34,0)),""))</f>
        <v/>
      </c>
      <c r="N144" s="70" t="str">
        <f aca="false">IF($M144="","",ROUND(N($G144),2))</f>
        <v/>
      </c>
      <c r="O144" s="70" t="str">
        <f aca="false">IF($M144="","",0)</f>
        <v/>
      </c>
      <c r="P144" s="67" t="str">
        <f aca="false">IF($M144="","",IFERROR(INDEX(收入成本映射!$F$4:$F$34,MATCH($D144,收入成本映射!$B$4:$B$34,0)),""))</f>
        <v/>
      </c>
      <c r="Q144" s="70" t="str">
        <f aca="false">IF($P144="","",0)</f>
        <v/>
      </c>
      <c r="R144" s="70" t="str">
        <f aca="false">IF($P144="","",ROUND(N($G144),2))</f>
        <v/>
      </c>
      <c r="S144" s="67" t="str">
        <f aca="false">""</f>
        <v/>
      </c>
      <c r="T144" s="70" t="str">
        <f aca="false">IF($S144="","",0)</f>
        <v/>
      </c>
      <c r="U144" s="70" t="str">
        <f aca="false">IF($S144="","",0)</f>
        <v/>
      </c>
      <c r="V144" s="66" t="str">
        <f aca="false">IF($B144="","",IF($B144="01水果",IFERROR(INDEX(对接源_01水果!$H$5:$H$507,MATCH(ROW()-3,对接源_01水果!$Q$5:$Q$507,0)),""),IFERROR(INDEX(对接源_02物料!$H$5:$H$460,MATCH(ROW()-3-N(对接源_01水果!$T$1),对接源_02物料!$Q$5:$Q$460,0)),"")))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5" customFormat="false" ht="18" hidden="false" customHeight="true" outlineLevel="0" collapsed="false">
      <c r="A145" s="66" t="n">
        <v>142</v>
      </c>
      <c r="B145" s="67" t="str">
        <f aca="false">IF(ROW()-3&lt;=N(对接源_01水果!$T$1),"01水果",IF(ROW()-3&lt;=N(对接源_01水果!$T$1)+N(对接源_02物料!$T$1),"02物料",""))</f>
        <v/>
      </c>
      <c r="C145" s="68" t="str">
        <f aca="false">IF($B145="","",IF($B145="01水果",IFERROR(INDEX(对接源_01水果!$B$5:$B$507,MATCH(ROW()-3,对接源_01水果!$Q$5:$Q$507,0)),""),IFERROR(INDEX(对接源_02物料!$B$5:$B$460,MATCH(ROW()-3-N(对接源_01水果!$T$1),对接源_02物料!$Q$5:$Q$460,0)),"")))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5" s="67" t="str">
        <f aca="false">IF($B145="","",IF($B145="01水果",IFERROR(INDEX(对接源_01水果!$C$5:$C$507,MATCH(ROW()-3,对接源_01水果!$Q$5:$Q$507,0)),""),IFERROR(INDEX(对接源_02物料!$C$5:$C$460,MATCH(ROW()-3-N(对接源_01水果!$T$1),对接源_02物料!$Q$5:$Q$460,0)),"")))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5" s="69" t="str">
        <f aca="false">IF($B145="","",IF($B145="01水果",IFERROR(INDEX(对接源_01水果!$D$5:$D$507,MATCH(ROW()-3,对接源_01水果!$Q$5:$Q$507,0)),""),IFERROR(INDEX(对接源_02物料!$D$5:$D$460,MATCH(ROW()-3-N(对接源_01水果!$T$1),对接源_02物料!$Q$5:$Q$460,0)),"")))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5" s="67" t="str">
        <f aca="false">IF($B145="","",IF($B145="01水果",IFERROR(INDEX(对接源_01水果!$E$5:$E$507,MATCH(ROW()-3,对接源_01水果!$Q$5:$Q$507,0)),""),IFERROR(INDEX(对接源_02物料!$E$5:$E$460,MATCH(ROW()-3-N(对接源_01水果!$T$1),对接源_02物料!$Q$5:$Q$460,0)),"")))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5" s="70" t="str">
        <f aca="false">IF($B145="","",IF($B145="01水果",IFERROR(INDEX(对接源_01水果!$F$5:$F$507,MATCH(ROW()-3,对接源_01水果!$Q$5:$Q$507,0)),""),IFERROR(INDEX(对接源_02物料!$F$5:$F$460,MATCH(ROW()-3-N(对接源_01水果!$T$1),对接源_02物料!$Q$5:$Q$460,0)),"")))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5" s="70" t="str">
        <f aca="false">IF($B145="","",IF($B145="01水果",IFERROR(INDEX(对接源_01水果!$G$5:$G$507,MATCH(ROW()-3,对接源_01水果!$Q$5:$Q$507,0)),""),IFERROR(INDEX(对接源_02物料!$G$5:$G$460,MATCH(ROW()-3-N(对接源_01水果!$T$1),对接源_02物料!$Q$5:$Q$460,0)),"")))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5" s="67" t="str">
        <f aca="false">IF(OR($D145="客户应收",$D145="成品销售款",$D145="公司购买果品款",$D145="筐子销售款",$D145="物料销售款"),"客户往来",IFERROR(INDEX(收入成本映射!$C$4:$C$34,MATCH($D145,收入成本映射!$B$4:$B$34,0)),"不记账"))</f>
        <v>不记账</v>
      </c>
      <c r="J145" s="67" t="str">
        <f aca="false">IF($B145="","","0%")</f>
        <v/>
      </c>
      <c r="K145" s="70" t="n">
        <f aca="false">IF($I145="不记账",0,ROUND(N($G145),2))</f>
        <v>0</v>
      </c>
      <c r="L145" s="70" t="n">
        <v>0</v>
      </c>
      <c r="M145" s="67" t="str">
        <f aca="false">IF(OR($I145="不记账",ROUND(N($G145),2)=0),"",IFERROR(INDEX(收入成本映射!$E$4:$E$34,MATCH($D145,收入成本映射!$B$4:$B$34,0)),""))</f>
        <v/>
      </c>
      <c r="N145" s="70" t="str">
        <f aca="false">IF($M145="","",ROUND(N($G145),2))</f>
        <v/>
      </c>
      <c r="O145" s="70" t="str">
        <f aca="false">IF($M145="","",0)</f>
        <v/>
      </c>
      <c r="P145" s="67" t="str">
        <f aca="false">IF($M145="","",IFERROR(INDEX(收入成本映射!$F$4:$F$34,MATCH($D145,收入成本映射!$B$4:$B$34,0)),""))</f>
        <v/>
      </c>
      <c r="Q145" s="70" t="str">
        <f aca="false">IF($P145="","",0)</f>
        <v/>
      </c>
      <c r="R145" s="70" t="str">
        <f aca="false">IF($P145="","",ROUND(N($G145),2))</f>
        <v/>
      </c>
      <c r="S145" s="67" t="str">
        <f aca="false">""</f>
        <v/>
      </c>
      <c r="T145" s="70" t="str">
        <f aca="false">IF($S145="","",0)</f>
        <v/>
      </c>
      <c r="U145" s="70" t="str">
        <f aca="false">IF($S145="","",0)</f>
        <v/>
      </c>
      <c r="V145" s="66" t="str">
        <f aca="false">IF($B145="","",IF($B145="01水果",IFERROR(INDEX(对接源_01水果!$H$5:$H$507,MATCH(ROW()-3,对接源_01水果!$Q$5:$Q$507,0)),""),IFERROR(INDEX(对接源_02物料!$H$5:$H$460,MATCH(ROW()-3-N(对接源_01水果!$T$1),对接源_02物料!$Q$5:$Q$460,0)),"")))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6" customFormat="false" ht="18" hidden="false" customHeight="true" outlineLevel="0" collapsed="false">
      <c r="A146" s="66" t="n">
        <v>143</v>
      </c>
      <c r="B146" s="67" t="str">
        <f aca="false">IF(ROW()-3&lt;=N(对接源_01水果!$T$1),"01水果",IF(ROW()-3&lt;=N(对接源_01水果!$T$1)+N(对接源_02物料!$T$1),"02物料",""))</f>
        <v/>
      </c>
      <c r="C146" s="68" t="str">
        <f aca="false">IF($B146="","",IF($B146="01水果",IFERROR(INDEX(对接源_01水果!$B$5:$B$507,MATCH(ROW()-3,对接源_01水果!$Q$5:$Q$507,0)),""),IFERROR(INDEX(对接源_02物料!$B$5:$B$460,MATCH(ROW()-3-N(对接源_01水果!$T$1),对接源_02物料!$Q$5:$Q$460,0)),"")))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6" s="67" t="str">
        <f aca="false">IF($B146="","",IF($B146="01水果",IFERROR(INDEX(对接源_01水果!$C$5:$C$507,MATCH(ROW()-3,对接源_01水果!$Q$5:$Q$507,0)),""),IFERROR(INDEX(对接源_02物料!$C$5:$C$460,MATCH(ROW()-3-N(对接源_01水果!$T$1),对接源_02物料!$Q$5:$Q$460,0)),"")))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6" s="69" t="str">
        <f aca="false">IF($B146="","",IF($B146="01水果",IFERROR(INDEX(对接源_01水果!$D$5:$D$507,MATCH(ROW()-3,对接源_01水果!$Q$5:$Q$507,0)),""),IFERROR(INDEX(对接源_02物料!$D$5:$D$460,MATCH(ROW()-3-N(对接源_01水果!$T$1),对接源_02物料!$Q$5:$Q$460,0)),"")))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6" s="67" t="str">
        <f aca="false">IF($B146="","",IF($B146="01水果",IFERROR(INDEX(对接源_01水果!$E$5:$E$507,MATCH(ROW()-3,对接源_01水果!$Q$5:$Q$507,0)),""),IFERROR(INDEX(对接源_02物料!$E$5:$E$460,MATCH(ROW()-3-N(对接源_01水果!$T$1),对接源_02物料!$Q$5:$Q$460,0)),"")))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6" s="70" t="str">
        <f aca="false">IF($B146="","",IF($B146="01水果",IFERROR(INDEX(对接源_01水果!$F$5:$F$507,MATCH(ROW()-3,对接源_01水果!$Q$5:$Q$507,0)),""),IFERROR(INDEX(对接源_02物料!$F$5:$F$460,MATCH(ROW()-3-N(对接源_01水果!$T$1),对接源_02物料!$Q$5:$Q$460,0)),"")))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6" s="70" t="str">
        <f aca="false">IF($B146="","",IF($B146="01水果",IFERROR(INDEX(对接源_01水果!$G$5:$G$507,MATCH(ROW()-3,对接源_01水果!$Q$5:$Q$507,0)),""),IFERROR(INDEX(对接源_02物料!$G$5:$G$460,MATCH(ROW()-3-N(对接源_01水果!$T$1),对接源_02物料!$Q$5:$Q$460,0)),"")))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6" s="67" t="str">
        <f aca="false">IF(OR($D146="客户应收",$D146="成品销售款",$D146="公司购买果品款",$D146="筐子销售款",$D146="物料销售款"),"客户往来",IFERROR(INDEX(收入成本映射!$C$4:$C$34,MATCH($D146,收入成本映射!$B$4:$B$34,0)),"不记账"))</f>
        <v>不记账</v>
      </c>
      <c r="J146" s="67" t="str">
        <f aca="false">IF($B146="","","0%")</f>
        <v/>
      </c>
      <c r="K146" s="70" t="n">
        <f aca="false">IF($I146="不记账",0,ROUND(N($G146),2))</f>
        <v>0</v>
      </c>
      <c r="L146" s="70" t="n">
        <v>0</v>
      </c>
      <c r="M146" s="67" t="str">
        <f aca="false">IF(OR($I146="不记账",ROUND(N($G146),2)=0),"",IFERROR(INDEX(收入成本映射!$E$4:$E$34,MATCH($D146,收入成本映射!$B$4:$B$34,0)),""))</f>
        <v/>
      </c>
      <c r="N146" s="70" t="str">
        <f aca="false">IF($M146="","",ROUND(N($G146),2))</f>
        <v/>
      </c>
      <c r="O146" s="70" t="str">
        <f aca="false">IF($M146="","",0)</f>
        <v/>
      </c>
      <c r="P146" s="67" t="str">
        <f aca="false">IF($M146="","",IFERROR(INDEX(收入成本映射!$F$4:$F$34,MATCH($D146,收入成本映射!$B$4:$B$34,0)),""))</f>
        <v/>
      </c>
      <c r="Q146" s="70" t="str">
        <f aca="false">IF($P146="","",0)</f>
        <v/>
      </c>
      <c r="R146" s="70" t="str">
        <f aca="false">IF($P146="","",ROUND(N($G146),2))</f>
        <v/>
      </c>
      <c r="S146" s="67" t="str">
        <f aca="false">""</f>
        <v/>
      </c>
      <c r="T146" s="70" t="str">
        <f aca="false">IF($S146="","",0)</f>
        <v/>
      </c>
      <c r="U146" s="70" t="str">
        <f aca="false">IF($S146="","",0)</f>
        <v/>
      </c>
      <c r="V146" s="66" t="str">
        <f aca="false">IF($B146="","",IF($B146="01水果",IFERROR(INDEX(对接源_01水果!$H$5:$H$507,MATCH(ROW()-3,对接源_01水果!$Q$5:$Q$507,0)),""),IFERROR(INDEX(对接源_02物料!$H$5:$H$460,MATCH(ROW()-3-N(对接源_01水果!$T$1),对接源_02物料!$Q$5:$Q$460,0)),"")))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7" customFormat="false" ht="18" hidden="false" customHeight="true" outlineLevel="0" collapsed="false">
      <c r="A147" s="66" t="n">
        <v>144</v>
      </c>
      <c r="B147" s="67" t="str">
        <f aca="false">IF(ROW()-3&lt;=N(对接源_01水果!$T$1),"01水果",IF(ROW()-3&lt;=N(对接源_01水果!$T$1)+N(对接源_02物料!$T$1),"02物料",""))</f>
        <v/>
      </c>
      <c r="C147" s="68" t="str">
        <f aca="false">IF($B147="","",IF($B147="01水果",IFERROR(INDEX(对接源_01水果!$B$5:$B$507,MATCH(ROW()-3,对接源_01水果!$Q$5:$Q$507,0)),""),IFERROR(INDEX(对接源_02物料!$B$5:$B$460,MATCH(ROW()-3-N(对接源_01水果!$T$1),对接源_02物料!$Q$5:$Q$460,0)),"")))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7" s="67" t="str">
        <f aca="false">IF($B147="","",IF($B147="01水果",IFERROR(INDEX(对接源_01水果!$C$5:$C$507,MATCH(ROW()-3,对接源_01水果!$Q$5:$Q$507,0)),""),IFERROR(INDEX(对接源_02物料!$C$5:$C$460,MATCH(ROW()-3-N(对接源_01水果!$T$1),对接源_02物料!$Q$5:$Q$460,0)),"")))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7" s="69" t="str">
        <f aca="false">IF($B147="","",IF($B147="01水果",IFERROR(INDEX(对接源_01水果!$D$5:$D$507,MATCH(ROW()-3,对接源_01水果!$Q$5:$Q$507,0)),""),IFERROR(INDEX(对接源_02物料!$D$5:$D$460,MATCH(ROW()-3-N(对接源_01水果!$T$1),对接源_02物料!$Q$5:$Q$460,0)),"")))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7" s="67" t="str">
        <f aca="false">IF($B147="","",IF($B147="01水果",IFERROR(INDEX(对接源_01水果!$E$5:$E$507,MATCH(ROW()-3,对接源_01水果!$Q$5:$Q$507,0)),""),IFERROR(INDEX(对接源_02物料!$E$5:$E$460,MATCH(ROW()-3-N(对接源_01水果!$T$1),对接源_02物料!$Q$5:$Q$460,0)),"")))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7" s="70" t="str">
        <f aca="false">IF($B147="","",IF($B147="01水果",IFERROR(INDEX(对接源_01水果!$F$5:$F$507,MATCH(ROW()-3,对接源_01水果!$Q$5:$Q$507,0)),""),IFERROR(INDEX(对接源_02物料!$F$5:$F$460,MATCH(ROW()-3-N(对接源_01水果!$T$1),对接源_02物料!$Q$5:$Q$460,0)),"")))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7" s="70" t="str">
        <f aca="false">IF($B147="","",IF($B147="01水果",IFERROR(INDEX(对接源_01水果!$G$5:$G$507,MATCH(ROW()-3,对接源_01水果!$Q$5:$Q$507,0)),""),IFERROR(INDEX(对接源_02物料!$G$5:$G$460,MATCH(ROW()-3-N(对接源_01水果!$T$1),对接源_02物料!$Q$5:$Q$460,0)),"")))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7" s="67" t="str">
        <f aca="false">IF(OR($D147="客户应收",$D147="成品销售款",$D147="公司购买果品款",$D147="筐子销售款",$D147="物料销售款"),"客户往来",IFERROR(INDEX(收入成本映射!$C$4:$C$34,MATCH($D147,收入成本映射!$B$4:$B$34,0)),"不记账"))</f>
        <v>不记账</v>
      </c>
      <c r="J147" s="67" t="str">
        <f aca="false">IF($B147="","","0%")</f>
        <v/>
      </c>
      <c r="K147" s="70" t="n">
        <f aca="false">IF($I147="不记账",0,ROUND(N($G147),2))</f>
        <v>0</v>
      </c>
      <c r="L147" s="70" t="n">
        <v>0</v>
      </c>
      <c r="M147" s="67" t="str">
        <f aca="false">IF(OR($I147="不记账",ROUND(N($G147),2)=0),"",IFERROR(INDEX(收入成本映射!$E$4:$E$34,MATCH($D147,收入成本映射!$B$4:$B$34,0)),""))</f>
        <v/>
      </c>
      <c r="N147" s="70" t="str">
        <f aca="false">IF($M147="","",ROUND(N($G147),2))</f>
        <v/>
      </c>
      <c r="O147" s="70" t="str">
        <f aca="false">IF($M147="","",0)</f>
        <v/>
      </c>
      <c r="P147" s="67" t="str">
        <f aca="false">IF($M147="","",IFERROR(INDEX(收入成本映射!$F$4:$F$34,MATCH($D147,收入成本映射!$B$4:$B$34,0)),""))</f>
        <v/>
      </c>
      <c r="Q147" s="70" t="str">
        <f aca="false">IF($P147="","",0)</f>
        <v/>
      </c>
      <c r="R147" s="70" t="str">
        <f aca="false">IF($P147="","",ROUND(N($G147),2))</f>
        <v/>
      </c>
      <c r="S147" s="67" t="str">
        <f aca="false">""</f>
        <v/>
      </c>
      <c r="T147" s="70" t="str">
        <f aca="false">IF($S147="","",0)</f>
        <v/>
      </c>
      <c r="U147" s="70" t="str">
        <f aca="false">IF($S147="","",0)</f>
        <v/>
      </c>
      <c r="V147" s="66" t="str">
        <f aca="false">IF($B147="","",IF($B147="01水果",IFERROR(INDEX(对接源_01水果!$H$5:$H$507,MATCH(ROW()-3,对接源_01水果!$Q$5:$Q$507,0)),""),IFERROR(INDEX(对接源_02物料!$H$5:$H$460,MATCH(ROW()-3-N(对接源_01水果!$T$1),对接源_02物料!$Q$5:$Q$460,0)),"")))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8" customFormat="false" ht="18" hidden="false" customHeight="true" outlineLevel="0" collapsed="false">
      <c r="A148" s="66" t="n">
        <v>145</v>
      </c>
      <c r="B148" s="67" t="str">
        <f aca="false">IF(ROW()-3&lt;=N(对接源_01水果!$T$1),"01水果",IF(ROW()-3&lt;=N(对接源_01水果!$T$1)+N(对接源_02物料!$T$1),"02物料",""))</f>
        <v/>
      </c>
      <c r="C148" s="68" t="str">
        <f aca="false">IF($B148="","",IF($B148="01水果",IFERROR(INDEX(对接源_01水果!$B$5:$B$507,MATCH(ROW()-3,对接源_01水果!$Q$5:$Q$507,0)),""),IFERROR(INDEX(对接源_02物料!$B$5:$B$460,MATCH(ROW()-3-N(对接源_01水果!$T$1),对接源_02物料!$Q$5:$Q$460,0)),"")))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8" s="67" t="str">
        <f aca="false">IF($B148="","",IF($B148="01水果",IFERROR(INDEX(对接源_01水果!$C$5:$C$507,MATCH(ROW()-3,对接源_01水果!$Q$5:$Q$507,0)),""),IFERROR(INDEX(对接源_02物料!$C$5:$C$460,MATCH(ROW()-3-N(对接源_01水果!$T$1),对接源_02物料!$Q$5:$Q$460,0)),"")))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8" s="69" t="str">
        <f aca="false">IF($B148="","",IF($B148="01水果",IFERROR(INDEX(对接源_01水果!$D$5:$D$507,MATCH(ROW()-3,对接源_01水果!$Q$5:$Q$507,0)),""),IFERROR(INDEX(对接源_02物料!$D$5:$D$460,MATCH(ROW()-3-N(对接源_01水果!$T$1),对接源_02物料!$Q$5:$Q$460,0)),"")))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8" s="67" t="str">
        <f aca="false">IF($B148="","",IF($B148="01水果",IFERROR(INDEX(对接源_01水果!$E$5:$E$507,MATCH(ROW()-3,对接源_01水果!$Q$5:$Q$507,0)),""),IFERROR(INDEX(对接源_02物料!$E$5:$E$460,MATCH(ROW()-3-N(对接源_01水果!$T$1),对接源_02物料!$Q$5:$Q$460,0)),"")))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8" s="70" t="str">
        <f aca="false">IF($B148="","",IF($B148="01水果",IFERROR(INDEX(对接源_01水果!$F$5:$F$507,MATCH(ROW()-3,对接源_01水果!$Q$5:$Q$507,0)),""),IFERROR(INDEX(对接源_02物料!$F$5:$F$460,MATCH(ROW()-3-N(对接源_01水果!$T$1),对接源_02物料!$Q$5:$Q$460,0)),"")))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8" s="70" t="str">
        <f aca="false">IF($B148="","",IF($B148="01水果",IFERROR(INDEX(对接源_01水果!$G$5:$G$507,MATCH(ROW()-3,对接源_01水果!$Q$5:$Q$507,0)),""),IFERROR(INDEX(对接源_02物料!$G$5:$G$460,MATCH(ROW()-3-N(对接源_01水果!$T$1),对接源_02物料!$Q$5:$Q$460,0)),"")))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8" s="67" t="str">
        <f aca="false">IF(OR($D148="客户应收",$D148="成品销售款",$D148="公司购买果品款",$D148="筐子销售款",$D148="物料销售款"),"客户往来",IFERROR(INDEX(收入成本映射!$C$4:$C$34,MATCH($D148,收入成本映射!$B$4:$B$34,0)),"不记账"))</f>
        <v>不记账</v>
      </c>
      <c r="J148" s="67" t="str">
        <f aca="false">IF($B148="","","0%")</f>
        <v/>
      </c>
      <c r="K148" s="70" t="n">
        <f aca="false">IF($I148="不记账",0,ROUND(N($G148),2))</f>
        <v>0</v>
      </c>
      <c r="L148" s="70" t="n">
        <v>0</v>
      </c>
      <c r="M148" s="67" t="str">
        <f aca="false">IF(OR($I148="不记账",ROUND(N($G148),2)=0),"",IFERROR(INDEX(收入成本映射!$E$4:$E$34,MATCH($D148,收入成本映射!$B$4:$B$34,0)),""))</f>
        <v/>
      </c>
      <c r="N148" s="70" t="str">
        <f aca="false">IF($M148="","",ROUND(N($G148),2))</f>
        <v/>
      </c>
      <c r="O148" s="70" t="str">
        <f aca="false">IF($M148="","",0)</f>
        <v/>
      </c>
      <c r="P148" s="67" t="str">
        <f aca="false">IF($M148="","",IFERROR(INDEX(收入成本映射!$F$4:$F$34,MATCH($D148,收入成本映射!$B$4:$B$34,0)),""))</f>
        <v/>
      </c>
      <c r="Q148" s="70" t="str">
        <f aca="false">IF($P148="","",0)</f>
        <v/>
      </c>
      <c r="R148" s="70" t="str">
        <f aca="false">IF($P148="","",ROUND(N($G148),2))</f>
        <v/>
      </c>
      <c r="S148" s="67" t="str">
        <f aca="false">""</f>
        <v/>
      </c>
      <c r="T148" s="70" t="str">
        <f aca="false">IF($S148="","",0)</f>
        <v/>
      </c>
      <c r="U148" s="70" t="str">
        <f aca="false">IF($S148="","",0)</f>
        <v/>
      </c>
      <c r="V148" s="66" t="str">
        <f aca="false">IF($B148="","",IF($B148="01水果",IFERROR(INDEX(对接源_01水果!$H$5:$H$507,MATCH(ROW()-3,对接源_01水果!$Q$5:$Q$507,0)),""),IFERROR(INDEX(对接源_02物料!$H$5:$H$460,MATCH(ROW()-3-N(对接源_01水果!$T$1),对接源_02物料!$Q$5:$Q$460,0)),"")))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49" customFormat="false" ht="18" hidden="false" customHeight="true" outlineLevel="0" collapsed="false">
      <c r="A149" s="66" t="n">
        <v>146</v>
      </c>
      <c r="B149" s="67" t="str">
        <f aca="false">IF(ROW()-3&lt;=N(对接源_01水果!$T$1),"01水果",IF(ROW()-3&lt;=N(对接源_01水果!$T$1)+N(对接源_02物料!$T$1),"02物料",""))</f>
        <v/>
      </c>
      <c r="C149" s="68" t="str">
        <f aca="false">IF($B149="","",IF($B149="01水果",IFERROR(INDEX(对接源_01水果!$B$5:$B$507,MATCH(ROW()-3,对接源_01水果!$Q$5:$Q$507,0)),""),IFERROR(INDEX(对接源_02物料!$B$5:$B$460,MATCH(ROW()-3-N(对接源_01水果!$T$1),对接源_02物料!$Q$5:$Q$460,0)),"")))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49" s="67" t="str">
        <f aca="false">IF($B149="","",IF($B149="01水果",IFERROR(INDEX(对接源_01水果!$C$5:$C$507,MATCH(ROW()-3,对接源_01水果!$Q$5:$Q$507,0)),""),IFERROR(INDEX(对接源_02物料!$C$5:$C$460,MATCH(ROW()-3-N(对接源_01水果!$T$1),对接源_02物料!$Q$5:$Q$460,0)),"")))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49" s="69" t="str">
        <f aca="false">IF($B149="","",IF($B149="01水果",IFERROR(INDEX(对接源_01水果!$D$5:$D$507,MATCH(ROW()-3,对接源_01水果!$Q$5:$Q$507,0)),""),IFERROR(INDEX(对接源_02物料!$D$5:$D$460,MATCH(ROW()-3-N(对接源_01水果!$T$1),对接源_02物料!$Q$5:$Q$460,0)),"")))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49" s="67" t="str">
        <f aca="false">IF($B149="","",IF($B149="01水果",IFERROR(INDEX(对接源_01水果!$E$5:$E$507,MATCH(ROW()-3,对接源_01水果!$Q$5:$Q$507,0)),""),IFERROR(INDEX(对接源_02物料!$E$5:$E$460,MATCH(ROW()-3-N(对接源_01水果!$T$1),对接源_02物料!$Q$5:$Q$460,0)),"")))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49" s="70" t="str">
        <f aca="false">IF($B149="","",IF($B149="01水果",IFERROR(INDEX(对接源_01水果!$F$5:$F$507,MATCH(ROW()-3,对接源_01水果!$Q$5:$Q$507,0)),""),IFERROR(INDEX(对接源_02物料!$F$5:$F$460,MATCH(ROW()-3-N(对接源_01水果!$T$1),对接源_02物料!$Q$5:$Q$460,0)),"")))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49" s="70" t="str">
        <f aca="false">IF($B149="","",IF($B149="01水果",IFERROR(INDEX(对接源_01水果!$G$5:$G$507,MATCH(ROW()-3,对接源_01水果!$Q$5:$Q$507,0)),""),IFERROR(INDEX(对接源_02物料!$G$5:$G$460,MATCH(ROW()-3-N(对接源_01水果!$T$1),对接源_02物料!$Q$5:$Q$460,0)),"")))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49" s="67" t="str">
        <f aca="false">IF(OR($D149="客户应收",$D149="成品销售款",$D149="公司购买果品款",$D149="筐子销售款",$D149="物料销售款"),"客户往来",IFERROR(INDEX(收入成本映射!$C$4:$C$34,MATCH($D149,收入成本映射!$B$4:$B$34,0)),"不记账"))</f>
        <v>不记账</v>
      </c>
      <c r="J149" s="67" t="str">
        <f aca="false">IF($B149="","","0%")</f>
        <v/>
      </c>
      <c r="K149" s="70" t="n">
        <f aca="false">IF($I149="不记账",0,ROUND(N($G149),2))</f>
        <v>0</v>
      </c>
      <c r="L149" s="70" t="n">
        <v>0</v>
      </c>
      <c r="M149" s="67" t="str">
        <f aca="false">IF(OR($I149="不记账",ROUND(N($G149),2)=0),"",IFERROR(INDEX(收入成本映射!$E$4:$E$34,MATCH($D149,收入成本映射!$B$4:$B$34,0)),""))</f>
        <v/>
      </c>
      <c r="N149" s="70" t="str">
        <f aca="false">IF($M149="","",ROUND(N($G149),2))</f>
        <v/>
      </c>
      <c r="O149" s="70" t="str">
        <f aca="false">IF($M149="","",0)</f>
        <v/>
      </c>
      <c r="P149" s="67" t="str">
        <f aca="false">IF($M149="","",IFERROR(INDEX(收入成本映射!$F$4:$F$34,MATCH($D149,收入成本映射!$B$4:$B$34,0)),""))</f>
        <v/>
      </c>
      <c r="Q149" s="70" t="str">
        <f aca="false">IF($P149="","",0)</f>
        <v/>
      </c>
      <c r="R149" s="70" t="str">
        <f aca="false">IF($P149="","",ROUND(N($G149),2))</f>
        <v/>
      </c>
      <c r="S149" s="67" t="str">
        <f aca="false">""</f>
        <v/>
      </c>
      <c r="T149" s="70" t="str">
        <f aca="false">IF($S149="","",0)</f>
        <v/>
      </c>
      <c r="U149" s="70" t="str">
        <f aca="false">IF($S149="","",0)</f>
        <v/>
      </c>
      <c r="V149" s="66" t="str">
        <f aca="false">IF($B149="","",IF($B149="01水果",IFERROR(INDEX(对接源_01水果!$H$5:$H$507,MATCH(ROW()-3,对接源_01水果!$Q$5:$Q$507,0)),""),IFERROR(INDEX(对接源_02物料!$H$5:$H$460,MATCH(ROW()-3-N(对接源_01水果!$T$1),对接源_02物料!$Q$5:$Q$460,0)),"")))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0" customFormat="false" ht="18" hidden="false" customHeight="true" outlineLevel="0" collapsed="false">
      <c r="A150" s="66" t="n">
        <v>147</v>
      </c>
      <c r="B150" s="67" t="str">
        <f aca="false">IF(ROW()-3&lt;=N(对接源_01水果!$T$1),"01水果",IF(ROW()-3&lt;=N(对接源_01水果!$T$1)+N(对接源_02物料!$T$1),"02物料",""))</f>
        <v/>
      </c>
      <c r="C150" s="68" t="str">
        <f aca="false">IF($B150="","",IF($B150="01水果",IFERROR(INDEX(对接源_01水果!$B$5:$B$507,MATCH(ROW()-3,对接源_01水果!$Q$5:$Q$507,0)),""),IFERROR(INDEX(对接源_02物料!$B$5:$B$460,MATCH(ROW()-3-N(对接源_01水果!$T$1),对接源_02物料!$Q$5:$Q$460,0)),"")))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0" s="67" t="str">
        <f aca="false">IF($B150="","",IF($B150="01水果",IFERROR(INDEX(对接源_01水果!$C$5:$C$507,MATCH(ROW()-3,对接源_01水果!$Q$5:$Q$507,0)),""),IFERROR(INDEX(对接源_02物料!$C$5:$C$460,MATCH(ROW()-3-N(对接源_01水果!$T$1),对接源_02物料!$Q$5:$Q$460,0)),"")))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0" s="69" t="str">
        <f aca="false">IF($B150="","",IF($B150="01水果",IFERROR(INDEX(对接源_01水果!$D$5:$D$507,MATCH(ROW()-3,对接源_01水果!$Q$5:$Q$507,0)),""),IFERROR(INDEX(对接源_02物料!$D$5:$D$460,MATCH(ROW()-3-N(对接源_01水果!$T$1),对接源_02物料!$Q$5:$Q$460,0)),"")))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0" s="67" t="str">
        <f aca="false">IF($B150="","",IF($B150="01水果",IFERROR(INDEX(对接源_01水果!$E$5:$E$507,MATCH(ROW()-3,对接源_01水果!$Q$5:$Q$507,0)),""),IFERROR(INDEX(对接源_02物料!$E$5:$E$460,MATCH(ROW()-3-N(对接源_01水果!$T$1),对接源_02物料!$Q$5:$Q$460,0)),"")))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0" s="70" t="str">
        <f aca="false">IF($B150="","",IF($B150="01水果",IFERROR(INDEX(对接源_01水果!$F$5:$F$507,MATCH(ROW()-3,对接源_01水果!$Q$5:$Q$507,0)),""),IFERROR(INDEX(对接源_02物料!$F$5:$F$460,MATCH(ROW()-3-N(对接源_01水果!$T$1),对接源_02物料!$Q$5:$Q$460,0)),"")))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0" s="70" t="str">
        <f aca="false">IF($B150="","",IF($B150="01水果",IFERROR(INDEX(对接源_01水果!$G$5:$G$507,MATCH(ROW()-3,对接源_01水果!$Q$5:$Q$507,0)),""),IFERROR(INDEX(对接源_02物料!$G$5:$G$460,MATCH(ROW()-3-N(对接源_01水果!$T$1),对接源_02物料!$Q$5:$Q$460,0)),"")))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0" s="67" t="str">
        <f aca="false">IF(OR($D150="客户应收",$D150="成品销售款",$D150="公司购买果品款",$D150="筐子销售款",$D150="物料销售款"),"客户往来",IFERROR(INDEX(收入成本映射!$C$4:$C$34,MATCH($D150,收入成本映射!$B$4:$B$34,0)),"不记账"))</f>
        <v>不记账</v>
      </c>
      <c r="J150" s="67" t="str">
        <f aca="false">IF($B150="","","0%")</f>
        <v/>
      </c>
      <c r="K150" s="70" t="n">
        <f aca="false">IF($I150="不记账",0,ROUND(N($G150),2))</f>
        <v>0</v>
      </c>
      <c r="L150" s="70" t="n">
        <v>0</v>
      </c>
      <c r="M150" s="67" t="str">
        <f aca="false">IF(OR($I150="不记账",ROUND(N($G150),2)=0),"",IFERROR(INDEX(收入成本映射!$E$4:$E$34,MATCH($D150,收入成本映射!$B$4:$B$34,0)),""))</f>
        <v/>
      </c>
      <c r="N150" s="70" t="str">
        <f aca="false">IF($M150="","",ROUND(N($G150),2))</f>
        <v/>
      </c>
      <c r="O150" s="70" t="str">
        <f aca="false">IF($M150="","",0)</f>
        <v/>
      </c>
      <c r="P150" s="67" t="str">
        <f aca="false">IF($M150="","",IFERROR(INDEX(收入成本映射!$F$4:$F$34,MATCH($D150,收入成本映射!$B$4:$B$34,0)),""))</f>
        <v/>
      </c>
      <c r="Q150" s="70" t="str">
        <f aca="false">IF($P150="","",0)</f>
        <v/>
      </c>
      <c r="R150" s="70" t="str">
        <f aca="false">IF($P150="","",ROUND(N($G150),2))</f>
        <v/>
      </c>
      <c r="S150" s="67" t="str">
        <f aca="false">""</f>
        <v/>
      </c>
      <c r="T150" s="70" t="str">
        <f aca="false">IF($S150="","",0)</f>
        <v/>
      </c>
      <c r="U150" s="70" t="str">
        <f aca="false">IF($S150="","",0)</f>
        <v/>
      </c>
      <c r="V150" s="66" t="str">
        <f aca="false">IF($B150="","",IF($B150="01水果",IFERROR(INDEX(对接源_01水果!$H$5:$H$507,MATCH(ROW()-3,对接源_01水果!$Q$5:$Q$507,0)),""),IFERROR(INDEX(对接源_02物料!$H$5:$H$460,MATCH(ROW()-3-N(对接源_01水果!$T$1),对接源_02物料!$Q$5:$Q$460,0)),"")))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1" customFormat="false" ht="18" hidden="false" customHeight="true" outlineLevel="0" collapsed="false">
      <c r="A151" s="66" t="n">
        <v>148</v>
      </c>
      <c r="B151" s="67" t="str">
        <f aca="false">IF(ROW()-3&lt;=N(对接源_01水果!$T$1),"01水果",IF(ROW()-3&lt;=N(对接源_01水果!$T$1)+N(对接源_02物料!$T$1),"02物料",""))</f>
        <v/>
      </c>
      <c r="C151" s="68" t="str">
        <f aca="false">IF($B151="","",IF($B151="01水果",IFERROR(INDEX(对接源_01水果!$B$5:$B$507,MATCH(ROW()-3,对接源_01水果!$Q$5:$Q$507,0)),""),IFERROR(INDEX(对接源_02物料!$B$5:$B$460,MATCH(ROW()-3-N(对接源_01水果!$T$1),对接源_02物料!$Q$5:$Q$460,0)),"")))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1" s="67" t="str">
        <f aca="false">IF($B151="","",IF($B151="01水果",IFERROR(INDEX(对接源_01水果!$C$5:$C$507,MATCH(ROW()-3,对接源_01水果!$Q$5:$Q$507,0)),""),IFERROR(INDEX(对接源_02物料!$C$5:$C$460,MATCH(ROW()-3-N(对接源_01水果!$T$1),对接源_02物料!$Q$5:$Q$460,0)),"")))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1" s="69" t="str">
        <f aca="false">IF($B151="","",IF($B151="01水果",IFERROR(INDEX(对接源_01水果!$D$5:$D$507,MATCH(ROW()-3,对接源_01水果!$Q$5:$Q$507,0)),""),IFERROR(INDEX(对接源_02物料!$D$5:$D$460,MATCH(ROW()-3-N(对接源_01水果!$T$1),对接源_02物料!$Q$5:$Q$460,0)),"")))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1" s="67" t="str">
        <f aca="false">IF($B151="","",IF($B151="01水果",IFERROR(INDEX(对接源_01水果!$E$5:$E$507,MATCH(ROW()-3,对接源_01水果!$Q$5:$Q$507,0)),""),IFERROR(INDEX(对接源_02物料!$E$5:$E$460,MATCH(ROW()-3-N(对接源_01水果!$T$1),对接源_02物料!$Q$5:$Q$460,0)),"")))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1" s="70" t="str">
        <f aca="false">IF($B151="","",IF($B151="01水果",IFERROR(INDEX(对接源_01水果!$F$5:$F$507,MATCH(ROW()-3,对接源_01水果!$Q$5:$Q$507,0)),""),IFERROR(INDEX(对接源_02物料!$F$5:$F$460,MATCH(ROW()-3-N(对接源_01水果!$T$1),对接源_02物料!$Q$5:$Q$460,0)),"")))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1" s="70" t="str">
        <f aca="false">IF($B151="","",IF($B151="01水果",IFERROR(INDEX(对接源_01水果!$G$5:$G$507,MATCH(ROW()-3,对接源_01水果!$Q$5:$Q$507,0)),""),IFERROR(INDEX(对接源_02物料!$G$5:$G$460,MATCH(ROW()-3-N(对接源_01水果!$T$1),对接源_02物料!$Q$5:$Q$460,0)),"")))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1" s="67" t="str">
        <f aca="false">IF(OR($D151="客户应收",$D151="成品销售款",$D151="公司购买果品款",$D151="筐子销售款",$D151="物料销售款"),"客户往来",IFERROR(INDEX(收入成本映射!$C$4:$C$34,MATCH($D151,收入成本映射!$B$4:$B$34,0)),"不记账"))</f>
        <v>不记账</v>
      </c>
      <c r="J151" s="67" t="str">
        <f aca="false">IF($B151="","","0%")</f>
        <v/>
      </c>
      <c r="K151" s="70" t="n">
        <f aca="false">IF($I151="不记账",0,ROUND(N($G151),2))</f>
        <v>0</v>
      </c>
      <c r="L151" s="70" t="n">
        <v>0</v>
      </c>
      <c r="M151" s="67" t="str">
        <f aca="false">IF(OR($I151="不记账",ROUND(N($G151),2)=0),"",IFERROR(INDEX(收入成本映射!$E$4:$E$34,MATCH($D151,收入成本映射!$B$4:$B$34,0)),""))</f>
        <v/>
      </c>
      <c r="N151" s="70" t="str">
        <f aca="false">IF($M151="","",ROUND(N($G151),2))</f>
        <v/>
      </c>
      <c r="O151" s="70" t="str">
        <f aca="false">IF($M151="","",0)</f>
        <v/>
      </c>
      <c r="P151" s="67" t="str">
        <f aca="false">IF($M151="","",IFERROR(INDEX(收入成本映射!$F$4:$F$34,MATCH($D151,收入成本映射!$B$4:$B$34,0)),""))</f>
        <v/>
      </c>
      <c r="Q151" s="70" t="str">
        <f aca="false">IF($P151="","",0)</f>
        <v/>
      </c>
      <c r="R151" s="70" t="str">
        <f aca="false">IF($P151="","",ROUND(N($G151),2))</f>
        <v/>
      </c>
      <c r="S151" s="67" t="str">
        <f aca="false">""</f>
        <v/>
      </c>
      <c r="T151" s="70" t="str">
        <f aca="false">IF($S151="","",0)</f>
        <v/>
      </c>
      <c r="U151" s="70" t="str">
        <f aca="false">IF($S151="","",0)</f>
        <v/>
      </c>
      <c r="V151" s="66" t="str">
        <f aca="false">IF($B151="","",IF($B151="01水果",IFERROR(INDEX(对接源_01水果!$H$5:$H$507,MATCH(ROW()-3,对接源_01水果!$Q$5:$Q$507,0)),""),IFERROR(INDEX(对接源_02物料!$H$5:$H$460,MATCH(ROW()-3-N(对接源_01水果!$T$1),对接源_02物料!$Q$5:$Q$460,0)),"")))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2" customFormat="false" ht="18" hidden="false" customHeight="true" outlineLevel="0" collapsed="false">
      <c r="A152" s="66" t="n">
        <v>149</v>
      </c>
      <c r="B152" s="67" t="str">
        <f aca="false">IF(ROW()-3&lt;=N(对接源_01水果!$T$1),"01水果",IF(ROW()-3&lt;=N(对接源_01水果!$T$1)+N(对接源_02物料!$T$1),"02物料",""))</f>
        <v/>
      </c>
      <c r="C152" s="68" t="str">
        <f aca="false">IF($B152="","",IF($B152="01水果",IFERROR(INDEX(对接源_01水果!$B$5:$B$507,MATCH(ROW()-3,对接源_01水果!$Q$5:$Q$507,0)),""),IFERROR(INDEX(对接源_02物料!$B$5:$B$460,MATCH(ROW()-3-N(对接源_01水果!$T$1),对接源_02物料!$Q$5:$Q$460,0)),"")))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2" s="67" t="str">
        <f aca="false">IF($B152="","",IF($B152="01水果",IFERROR(INDEX(对接源_01水果!$C$5:$C$507,MATCH(ROW()-3,对接源_01水果!$Q$5:$Q$507,0)),""),IFERROR(INDEX(对接源_02物料!$C$5:$C$460,MATCH(ROW()-3-N(对接源_01水果!$T$1),对接源_02物料!$Q$5:$Q$460,0)),"")))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2" s="69" t="str">
        <f aca="false">IF($B152="","",IF($B152="01水果",IFERROR(INDEX(对接源_01水果!$D$5:$D$507,MATCH(ROW()-3,对接源_01水果!$Q$5:$Q$507,0)),""),IFERROR(INDEX(对接源_02物料!$D$5:$D$460,MATCH(ROW()-3-N(对接源_01水果!$T$1),对接源_02物料!$Q$5:$Q$460,0)),"")))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2" s="67" t="str">
        <f aca="false">IF($B152="","",IF($B152="01水果",IFERROR(INDEX(对接源_01水果!$E$5:$E$507,MATCH(ROW()-3,对接源_01水果!$Q$5:$Q$507,0)),""),IFERROR(INDEX(对接源_02物料!$E$5:$E$460,MATCH(ROW()-3-N(对接源_01水果!$T$1),对接源_02物料!$Q$5:$Q$460,0)),"")))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2" s="70" t="str">
        <f aca="false">IF($B152="","",IF($B152="01水果",IFERROR(INDEX(对接源_01水果!$F$5:$F$507,MATCH(ROW()-3,对接源_01水果!$Q$5:$Q$507,0)),""),IFERROR(INDEX(对接源_02物料!$F$5:$F$460,MATCH(ROW()-3-N(对接源_01水果!$T$1),对接源_02物料!$Q$5:$Q$460,0)),"")))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2" s="70" t="str">
        <f aca="false">IF($B152="","",IF($B152="01水果",IFERROR(INDEX(对接源_01水果!$G$5:$G$507,MATCH(ROW()-3,对接源_01水果!$Q$5:$Q$507,0)),""),IFERROR(INDEX(对接源_02物料!$G$5:$G$460,MATCH(ROW()-3-N(对接源_01水果!$T$1),对接源_02物料!$Q$5:$Q$460,0)),"")))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2" s="67" t="str">
        <f aca="false">IF(OR($D152="客户应收",$D152="成品销售款",$D152="公司购买果品款",$D152="筐子销售款",$D152="物料销售款"),"客户往来",IFERROR(INDEX(收入成本映射!$C$4:$C$34,MATCH($D152,收入成本映射!$B$4:$B$34,0)),"不记账"))</f>
        <v>不记账</v>
      </c>
      <c r="J152" s="67" t="str">
        <f aca="false">IF($B152="","","0%")</f>
        <v/>
      </c>
      <c r="K152" s="70" t="n">
        <f aca="false">IF($I152="不记账",0,ROUND(N($G152),2))</f>
        <v>0</v>
      </c>
      <c r="L152" s="70" t="n">
        <v>0</v>
      </c>
      <c r="M152" s="67" t="str">
        <f aca="false">IF(OR($I152="不记账",ROUND(N($G152),2)=0),"",IFERROR(INDEX(收入成本映射!$E$4:$E$34,MATCH($D152,收入成本映射!$B$4:$B$34,0)),""))</f>
        <v/>
      </c>
      <c r="N152" s="70" t="str">
        <f aca="false">IF($M152="","",ROUND(N($G152),2))</f>
        <v/>
      </c>
      <c r="O152" s="70" t="str">
        <f aca="false">IF($M152="","",0)</f>
        <v/>
      </c>
      <c r="P152" s="67" t="str">
        <f aca="false">IF($M152="","",IFERROR(INDEX(收入成本映射!$F$4:$F$34,MATCH($D152,收入成本映射!$B$4:$B$34,0)),""))</f>
        <v/>
      </c>
      <c r="Q152" s="70" t="str">
        <f aca="false">IF($P152="","",0)</f>
        <v/>
      </c>
      <c r="R152" s="70" t="str">
        <f aca="false">IF($P152="","",ROUND(N($G152),2))</f>
        <v/>
      </c>
      <c r="S152" s="67" t="str">
        <f aca="false">""</f>
        <v/>
      </c>
      <c r="T152" s="70" t="str">
        <f aca="false">IF($S152="","",0)</f>
        <v/>
      </c>
      <c r="U152" s="70" t="str">
        <f aca="false">IF($S152="","",0)</f>
        <v/>
      </c>
      <c r="V152" s="66" t="str">
        <f aca="false">IF($B152="","",IF($B152="01水果",IFERROR(INDEX(对接源_01水果!$H$5:$H$507,MATCH(ROW()-3,对接源_01水果!$Q$5:$Q$507,0)),""),IFERROR(INDEX(对接源_02物料!$H$5:$H$460,MATCH(ROW()-3-N(对接源_01水果!$T$1),对接源_02物料!$Q$5:$Q$460,0)),"")))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3" customFormat="false" ht="18" hidden="false" customHeight="true" outlineLevel="0" collapsed="false">
      <c r="A153" s="66" t="n">
        <v>150</v>
      </c>
      <c r="B153" s="67" t="str">
        <f aca="false">IF(ROW()-3&lt;=N(对接源_01水果!$T$1),"01水果",IF(ROW()-3&lt;=N(对接源_01水果!$T$1)+N(对接源_02物料!$T$1),"02物料",""))</f>
        <v/>
      </c>
      <c r="C153" s="68" t="str">
        <f aca="false">IF($B153="","",IF($B153="01水果",IFERROR(INDEX(对接源_01水果!$B$5:$B$507,MATCH(ROW()-3,对接源_01水果!$Q$5:$Q$507,0)),""),IFERROR(INDEX(对接源_02物料!$B$5:$B$460,MATCH(ROW()-3-N(对接源_01水果!$T$1),对接源_02物料!$Q$5:$Q$460,0)),"")))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3" s="67" t="str">
        <f aca="false">IF($B153="","",IF($B153="01水果",IFERROR(INDEX(对接源_01水果!$C$5:$C$507,MATCH(ROW()-3,对接源_01水果!$Q$5:$Q$507,0)),""),IFERROR(INDEX(对接源_02物料!$C$5:$C$460,MATCH(ROW()-3-N(对接源_01水果!$T$1),对接源_02物料!$Q$5:$Q$460,0)),"")))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3" s="69" t="str">
        <f aca="false">IF($B153="","",IF($B153="01水果",IFERROR(INDEX(对接源_01水果!$D$5:$D$507,MATCH(ROW()-3,对接源_01水果!$Q$5:$Q$507,0)),""),IFERROR(INDEX(对接源_02物料!$D$5:$D$460,MATCH(ROW()-3-N(对接源_01水果!$T$1),对接源_02物料!$Q$5:$Q$460,0)),"")))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3" s="67" t="str">
        <f aca="false">IF($B153="","",IF($B153="01水果",IFERROR(INDEX(对接源_01水果!$E$5:$E$507,MATCH(ROW()-3,对接源_01水果!$Q$5:$Q$507,0)),""),IFERROR(INDEX(对接源_02物料!$E$5:$E$460,MATCH(ROW()-3-N(对接源_01水果!$T$1),对接源_02物料!$Q$5:$Q$460,0)),"")))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3" s="70" t="str">
        <f aca="false">IF($B153="","",IF($B153="01水果",IFERROR(INDEX(对接源_01水果!$F$5:$F$507,MATCH(ROW()-3,对接源_01水果!$Q$5:$Q$507,0)),""),IFERROR(INDEX(对接源_02物料!$F$5:$F$460,MATCH(ROW()-3-N(对接源_01水果!$T$1),对接源_02物料!$Q$5:$Q$460,0)),"")))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3" s="70" t="str">
        <f aca="false">IF($B153="","",IF($B153="01水果",IFERROR(INDEX(对接源_01水果!$G$5:$G$507,MATCH(ROW()-3,对接源_01水果!$Q$5:$Q$507,0)),""),IFERROR(INDEX(对接源_02物料!$G$5:$G$460,MATCH(ROW()-3-N(对接源_01水果!$T$1),对接源_02物料!$Q$5:$Q$460,0)),"")))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3" s="67" t="str">
        <f aca="false">IF(OR($D153="客户应收",$D153="成品销售款",$D153="公司购买果品款",$D153="筐子销售款",$D153="物料销售款"),"客户往来",IFERROR(INDEX(收入成本映射!$C$4:$C$34,MATCH($D153,收入成本映射!$B$4:$B$34,0)),"不记账"))</f>
        <v>不记账</v>
      </c>
      <c r="J153" s="67" t="str">
        <f aca="false">IF($B153="","","0%")</f>
        <v/>
      </c>
      <c r="K153" s="70" t="n">
        <f aca="false">IF($I153="不记账",0,ROUND(N($G153),2))</f>
        <v>0</v>
      </c>
      <c r="L153" s="70" t="n">
        <v>0</v>
      </c>
      <c r="M153" s="67" t="str">
        <f aca="false">IF(OR($I153="不记账",ROUND(N($G153),2)=0),"",IFERROR(INDEX(收入成本映射!$E$4:$E$34,MATCH($D153,收入成本映射!$B$4:$B$34,0)),""))</f>
        <v/>
      </c>
      <c r="N153" s="70" t="str">
        <f aca="false">IF($M153="","",ROUND(N($G153),2))</f>
        <v/>
      </c>
      <c r="O153" s="70" t="str">
        <f aca="false">IF($M153="","",0)</f>
        <v/>
      </c>
      <c r="P153" s="67" t="str">
        <f aca="false">IF($M153="","",IFERROR(INDEX(收入成本映射!$F$4:$F$34,MATCH($D153,收入成本映射!$B$4:$B$34,0)),""))</f>
        <v/>
      </c>
      <c r="Q153" s="70" t="str">
        <f aca="false">IF($P153="","",0)</f>
        <v/>
      </c>
      <c r="R153" s="70" t="str">
        <f aca="false">IF($P153="","",ROUND(N($G153),2))</f>
        <v/>
      </c>
      <c r="S153" s="67" t="str">
        <f aca="false">""</f>
        <v/>
      </c>
      <c r="T153" s="70" t="str">
        <f aca="false">IF($S153="","",0)</f>
        <v/>
      </c>
      <c r="U153" s="70" t="str">
        <f aca="false">IF($S153="","",0)</f>
        <v/>
      </c>
      <c r="V153" s="66" t="str">
        <f aca="false">IF($B153="","",IF($B153="01水果",IFERROR(INDEX(对接源_01水果!$H$5:$H$507,MATCH(ROW()-3,对接源_01水果!$Q$5:$Q$507,0)),""),IFERROR(INDEX(对接源_02物料!$H$5:$H$460,MATCH(ROW()-3-N(对接源_01水果!$T$1),对接源_02物料!$Q$5:$Q$460,0)),"")))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4" customFormat="false" ht="18" hidden="false" customHeight="true" outlineLevel="0" collapsed="false">
      <c r="A154" s="66" t="n">
        <v>151</v>
      </c>
      <c r="B154" s="67" t="str">
        <f aca="false">IF(ROW()-3&lt;=N(对接源_01水果!$T$1),"01水果",IF(ROW()-3&lt;=N(对接源_01水果!$T$1)+N(对接源_02物料!$T$1),"02物料",""))</f>
        <v/>
      </c>
      <c r="C154" s="68" t="str">
        <f aca="false">IF($B154="","",IF($B154="01水果",IFERROR(INDEX(对接源_01水果!$B$5:$B$507,MATCH(ROW()-3,对接源_01水果!$Q$5:$Q$507,0)),""),IFERROR(INDEX(对接源_02物料!$B$5:$B$460,MATCH(ROW()-3-N(对接源_01水果!$T$1),对接源_02物料!$Q$5:$Q$460,0)),"")))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4" s="67" t="str">
        <f aca="false">IF($B154="","",IF($B154="01水果",IFERROR(INDEX(对接源_01水果!$C$5:$C$507,MATCH(ROW()-3,对接源_01水果!$Q$5:$Q$507,0)),""),IFERROR(INDEX(对接源_02物料!$C$5:$C$460,MATCH(ROW()-3-N(对接源_01水果!$T$1),对接源_02物料!$Q$5:$Q$460,0)),"")))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4" s="69" t="str">
        <f aca="false">IF($B154="","",IF($B154="01水果",IFERROR(INDEX(对接源_01水果!$D$5:$D$507,MATCH(ROW()-3,对接源_01水果!$Q$5:$Q$507,0)),""),IFERROR(INDEX(对接源_02物料!$D$5:$D$460,MATCH(ROW()-3-N(对接源_01水果!$T$1),对接源_02物料!$Q$5:$Q$460,0)),"")))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4" s="67" t="str">
        <f aca="false">IF($B154="","",IF($B154="01水果",IFERROR(INDEX(对接源_01水果!$E$5:$E$507,MATCH(ROW()-3,对接源_01水果!$Q$5:$Q$507,0)),""),IFERROR(INDEX(对接源_02物料!$E$5:$E$460,MATCH(ROW()-3-N(对接源_01水果!$T$1),对接源_02物料!$Q$5:$Q$460,0)),"")))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4" s="70" t="str">
        <f aca="false">IF($B154="","",IF($B154="01水果",IFERROR(INDEX(对接源_01水果!$F$5:$F$507,MATCH(ROW()-3,对接源_01水果!$Q$5:$Q$507,0)),""),IFERROR(INDEX(对接源_02物料!$F$5:$F$460,MATCH(ROW()-3-N(对接源_01水果!$T$1),对接源_02物料!$Q$5:$Q$460,0)),"")))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4" s="70" t="str">
        <f aca="false">IF($B154="","",IF($B154="01水果",IFERROR(INDEX(对接源_01水果!$G$5:$G$507,MATCH(ROW()-3,对接源_01水果!$Q$5:$Q$507,0)),""),IFERROR(INDEX(对接源_02物料!$G$5:$G$460,MATCH(ROW()-3-N(对接源_01水果!$T$1),对接源_02物料!$Q$5:$Q$460,0)),"")))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4" s="67" t="str">
        <f aca="false">IF(OR($D154="客户应收",$D154="成品销售款",$D154="公司购买果品款",$D154="筐子销售款",$D154="物料销售款"),"客户往来",IFERROR(INDEX(收入成本映射!$C$4:$C$34,MATCH($D154,收入成本映射!$B$4:$B$34,0)),"不记账"))</f>
        <v>不记账</v>
      </c>
      <c r="J154" s="67" t="str">
        <f aca="false">IF($B154="","","0%")</f>
        <v/>
      </c>
      <c r="K154" s="70" t="n">
        <f aca="false">IF($I154="不记账",0,ROUND(N($G154),2))</f>
        <v>0</v>
      </c>
      <c r="L154" s="70" t="n">
        <v>0</v>
      </c>
      <c r="M154" s="67" t="str">
        <f aca="false">IF(OR($I154="不记账",ROUND(N($G154),2)=0),"",IFERROR(INDEX(收入成本映射!$E$4:$E$34,MATCH($D154,收入成本映射!$B$4:$B$34,0)),""))</f>
        <v/>
      </c>
      <c r="N154" s="70" t="str">
        <f aca="false">IF($M154="","",ROUND(N($G154),2))</f>
        <v/>
      </c>
      <c r="O154" s="70" t="str">
        <f aca="false">IF($M154="","",0)</f>
        <v/>
      </c>
      <c r="P154" s="67" t="str">
        <f aca="false">IF($M154="","",IFERROR(INDEX(收入成本映射!$F$4:$F$34,MATCH($D154,收入成本映射!$B$4:$B$34,0)),""))</f>
        <v/>
      </c>
      <c r="Q154" s="70" t="str">
        <f aca="false">IF($P154="","",0)</f>
        <v/>
      </c>
      <c r="R154" s="70" t="str">
        <f aca="false">IF($P154="","",ROUND(N($G154),2))</f>
        <v/>
      </c>
      <c r="S154" s="67" t="str">
        <f aca="false">""</f>
        <v/>
      </c>
      <c r="T154" s="70" t="str">
        <f aca="false">IF($S154="","",0)</f>
        <v/>
      </c>
      <c r="U154" s="70" t="str">
        <f aca="false">IF($S154="","",0)</f>
        <v/>
      </c>
      <c r="V154" s="66" t="str">
        <f aca="false">IF($B154="","",IF($B154="01水果",IFERROR(INDEX(对接源_01水果!$H$5:$H$507,MATCH(ROW()-3,对接源_01水果!$Q$5:$Q$507,0)),""),IFERROR(INDEX(对接源_02物料!$H$5:$H$460,MATCH(ROW()-3-N(对接源_01水果!$T$1),对接源_02物料!$Q$5:$Q$460,0)),"")))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5" customFormat="false" ht="18" hidden="false" customHeight="true" outlineLevel="0" collapsed="false">
      <c r="A155" s="66" t="n">
        <v>152</v>
      </c>
      <c r="B155" s="67" t="str">
        <f aca="false">IF(ROW()-3&lt;=N(对接源_01水果!$T$1),"01水果",IF(ROW()-3&lt;=N(对接源_01水果!$T$1)+N(对接源_02物料!$T$1),"02物料",""))</f>
        <v/>
      </c>
      <c r="C155" s="68" t="str">
        <f aca="false">IF($B155="","",IF($B155="01水果",IFERROR(INDEX(对接源_01水果!$B$5:$B$507,MATCH(ROW()-3,对接源_01水果!$Q$5:$Q$507,0)),""),IFERROR(INDEX(对接源_02物料!$B$5:$B$460,MATCH(ROW()-3-N(对接源_01水果!$T$1),对接源_02物料!$Q$5:$Q$460,0)),"")))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5" s="67" t="str">
        <f aca="false">IF($B155="","",IF($B155="01水果",IFERROR(INDEX(对接源_01水果!$C$5:$C$507,MATCH(ROW()-3,对接源_01水果!$Q$5:$Q$507,0)),""),IFERROR(INDEX(对接源_02物料!$C$5:$C$460,MATCH(ROW()-3-N(对接源_01水果!$T$1),对接源_02物料!$Q$5:$Q$460,0)),"")))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5" s="69" t="str">
        <f aca="false">IF($B155="","",IF($B155="01水果",IFERROR(INDEX(对接源_01水果!$D$5:$D$507,MATCH(ROW()-3,对接源_01水果!$Q$5:$Q$507,0)),""),IFERROR(INDEX(对接源_02物料!$D$5:$D$460,MATCH(ROW()-3-N(对接源_01水果!$T$1),对接源_02物料!$Q$5:$Q$460,0)),"")))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5" s="67" t="str">
        <f aca="false">IF($B155="","",IF($B155="01水果",IFERROR(INDEX(对接源_01水果!$E$5:$E$507,MATCH(ROW()-3,对接源_01水果!$Q$5:$Q$507,0)),""),IFERROR(INDEX(对接源_02物料!$E$5:$E$460,MATCH(ROW()-3-N(对接源_01水果!$T$1),对接源_02物料!$Q$5:$Q$460,0)),"")))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5" s="70" t="str">
        <f aca="false">IF($B155="","",IF($B155="01水果",IFERROR(INDEX(对接源_01水果!$F$5:$F$507,MATCH(ROW()-3,对接源_01水果!$Q$5:$Q$507,0)),""),IFERROR(INDEX(对接源_02物料!$F$5:$F$460,MATCH(ROW()-3-N(对接源_01水果!$T$1),对接源_02物料!$Q$5:$Q$460,0)),"")))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5" s="70" t="str">
        <f aca="false">IF($B155="","",IF($B155="01水果",IFERROR(INDEX(对接源_01水果!$G$5:$G$507,MATCH(ROW()-3,对接源_01水果!$Q$5:$Q$507,0)),""),IFERROR(INDEX(对接源_02物料!$G$5:$G$460,MATCH(ROW()-3-N(对接源_01水果!$T$1),对接源_02物料!$Q$5:$Q$460,0)),"")))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5" s="67" t="str">
        <f aca="false">IF(OR($D155="客户应收",$D155="成品销售款",$D155="公司购买果品款",$D155="筐子销售款",$D155="物料销售款"),"客户往来",IFERROR(INDEX(收入成本映射!$C$4:$C$34,MATCH($D155,收入成本映射!$B$4:$B$34,0)),"不记账"))</f>
        <v>不记账</v>
      </c>
      <c r="J155" s="67" t="str">
        <f aca="false">IF($B155="","","0%")</f>
        <v/>
      </c>
      <c r="K155" s="70" t="n">
        <f aca="false">IF($I155="不记账",0,ROUND(N($G155),2))</f>
        <v>0</v>
      </c>
      <c r="L155" s="70" t="n">
        <v>0</v>
      </c>
      <c r="M155" s="67" t="str">
        <f aca="false">IF(OR($I155="不记账",ROUND(N($G155),2)=0),"",IFERROR(INDEX(收入成本映射!$E$4:$E$34,MATCH($D155,收入成本映射!$B$4:$B$34,0)),""))</f>
        <v/>
      </c>
      <c r="N155" s="70" t="str">
        <f aca="false">IF($M155="","",ROUND(N($G155),2))</f>
        <v/>
      </c>
      <c r="O155" s="70" t="str">
        <f aca="false">IF($M155="","",0)</f>
        <v/>
      </c>
      <c r="P155" s="67" t="str">
        <f aca="false">IF($M155="","",IFERROR(INDEX(收入成本映射!$F$4:$F$34,MATCH($D155,收入成本映射!$B$4:$B$34,0)),""))</f>
        <v/>
      </c>
      <c r="Q155" s="70" t="str">
        <f aca="false">IF($P155="","",0)</f>
        <v/>
      </c>
      <c r="R155" s="70" t="str">
        <f aca="false">IF($P155="","",ROUND(N($G155),2))</f>
        <v/>
      </c>
      <c r="S155" s="67" t="str">
        <f aca="false">""</f>
        <v/>
      </c>
      <c r="T155" s="70" t="str">
        <f aca="false">IF($S155="","",0)</f>
        <v/>
      </c>
      <c r="U155" s="70" t="str">
        <f aca="false">IF($S155="","",0)</f>
        <v/>
      </c>
      <c r="V155" s="66" t="str">
        <f aca="false">IF($B155="","",IF($B155="01水果",IFERROR(INDEX(对接源_01水果!$H$5:$H$507,MATCH(ROW()-3,对接源_01水果!$Q$5:$Q$507,0)),""),IFERROR(INDEX(对接源_02物料!$H$5:$H$460,MATCH(ROW()-3-N(对接源_01水果!$T$1),对接源_02物料!$Q$5:$Q$460,0)),"")))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6" customFormat="false" ht="18" hidden="false" customHeight="true" outlineLevel="0" collapsed="false">
      <c r="A156" s="66" t="n">
        <v>153</v>
      </c>
      <c r="B156" s="67" t="str">
        <f aca="false">IF(ROW()-3&lt;=N(对接源_01水果!$T$1),"01水果",IF(ROW()-3&lt;=N(对接源_01水果!$T$1)+N(对接源_02物料!$T$1),"02物料",""))</f>
        <v/>
      </c>
      <c r="C156" s="68" t="str">
        <f aca="false">IF($B156="","",IF($B156="01水果",IFERROR(INDEX(对接源_01水果!$B$5:$B$507,MATCH(ROW()-3,对接源_01水果!$Q$5:$Q$507,0)),""),IFERROR(INDEX(对接源_02物料!$B$5:$B$460,MATCH(ROW()-3-N(对接源_01水果!$T$1),对接源_02物料!$Q$5:$Q$460,0)),"")))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6" s="67" t="str">
        <f aca="false">IF($B156="","",IF($B156="01水果",IFERROR(INDEX(对接源_01水果!$C$5:$C$507,MATCH(ROW()-3,对接源_01水果!$Q$5:$Q$507,0)),""),IFERROR(INDEX(对接源_02物料!$C$5:$C$460,MATCH(ROW()-3-N(对接源_01水果!$T$1),对接源_02物料!$Q$5:$Q$460,0)),"")))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6" s="69" t="str">
        <f aca="false">IF($B156="","",IF($B156="01水果",IFERROR(INDEX(对接源_01水果!$D$5:$D$507,MATCH(ROW()-3,对接源_01水果!$Q$5:$Q$507,0)),""),IFERROR(INDEX(对接源_02物料!$D$5:$D$460,MATCH(ROW()-3-N(对接源_01水果!$T$1),对接源_02物料!$Q$5:$Q$460,0)),"")))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6" s="67" t="str">
        <f aca="false">IF($B156="","",IF($B156="01水果",IFERROR(INDEX(对接源_01水果!$E$5:$E$507,MATCH(ROW()-3,对接源_01水果!$Q$5:$Q$507,0)),""),IFERROR(INDEX(对接源_02物料!$E$5:$E$460,MATCH(ROW()-3-N(对接源_01水果!$T$1),对接源_02物料!$Q$5:$Q$460,0)),"")))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6" s="70" t="str">
        <f aca="false">IF($B156="","",IF($B156="01水果",IFERROR(INDEX(对接源_01水果!$F$5:$F$507,MATCH(ROW()-3,对接源_01水果!$Q$5:$Q$507,0)),""),IFERROR(INDEX(对接源_02物料!$F$5:$F$460,MATCH(ROW()-3-N(对接源_01水果!$T$1),对接源_02物料!$Q$5:$Q$460,0)),"")))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6" s="70" t="str">
        <f aca="false">IF($B156="","",IF($B156="01水果",IFERROR(INDEX(对接源_01水果!$G$5:$G$507,MATCH(ROW()-3,对接源_01水果!$Q$5:$Q$507,0)),""),IFERROR(INDEX(对接源_02物料!$G$5:$G$460,MATCH(ROW()-3-N(对接源_01水果!$T$1),对接源_02物料!$Q$5:$Q$460,0)),"")))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6" s="67" t="str">
        <f aca="false">IF(OR($D156="客户应收",$D156="成品销售款",$D156="公司购买果品款",$D156="筐子销售款",$D156="物料销售款"),"客户往来",IFERROR(INDEX(收入成本映射!$C$4:$C$34,MATCH($D156,收入成本映射!$B$4:$B$34,0)),"不记账"))</f>
        <v>不记账</v>
      </c>
      <c r="J156" s="67" t="str">
        <f aca="false">IF($B156="","","0%")</f>
        <v/>
      </c>
      <c r="K156" s="70" t="n">
        <f aca="false">IF($I156="不记账",0,ROUND(N($G156),2))</f>
        <v>0</v>
      </c>
      <c r="L156" s="70" t="n">
        <v>0</v>
      </c>
      <c r="M156" s="67" t="str">
        <f aca="false">IF(OR($I156="不记账",ROUND(N($G156),2)=0),"",IFERROR(INDEX(收入成本映射!$E$4:$E$34,MATCH($D156,收入成本映射!$B$4:$B$34,0)),""))</f>
        <v/>
      </c>
      <c r="N156" s="70" t="str">
        <f aca="false">IF($M156="","",ROUND(N($G156),2))</f>
        <v/>
      </c>
      <c r="O156" s="70" t="str">
        <f aca="false">IF($M156="","",0)</f>
        <v/>
      </c>
      <c r="P156" s="67" t="str">
        <f aca="false">IF($M156="","",IFERROR(INDEX(收入成本映射!$F$4:$F$34,MATCH($D156,收入成本映射!$B$4:$B$34,0)),""))</f>
        <v/>
      </c>
      <c r="Q156" s="70" t="str">
        <f aca="false">IF($P156="","",0)</f>
        <v/>
      </c>
      <c r="R156" s="70" t="str">
        <f aca="false">IF($P156="","",ROUND(N($G156),2))</f>
        <v/>
      </c>
      <c r="S156" s="67" t="str">
        <f aca="false">""</f>
        <v/>
      </c>
      <c r="T156" s="70" t="str">
        <f aca="false">IF($S156="","",0)</f>
        <v/>
      </c>
      <c r="U156" s="70" t="str">
        <f aca="false">IF($S156="","",0)</f>
        <v/>
      </c>
      <c r="V156" s="66" t="str">
        <f aca="false">IF($B156="","",IF($B156="01水果",IFERROR(INDEX(对接源_01水果!$H$5:$H$507,MATCH(ROW()-3,对接源_01水果!$Q$5:$Q$507,0)),""),IFERROR(INDEX(对接源_02物料!$H$5:$H$460,MATCH(ROW()-3-N(对接源_01水果!$T$1),对接源_02物料!$Q$5:$Q$460,0)),"")))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7" customFormat="false" ht="18" hidden="false" customHeight="true" outlineLevel="0" collapsed="false">
      <c r="A157" s="66" t="n">
        <v>154</v>
      </c>
      <c r="B157" s="67" t="str">
        <f aca="false">IF(ROW()-3&lt;=N(对接源_01水果!$T$1),"01水果",IF(ROW()-3&lt;=N(对接源_01水果!$T$1)+N(对接源_02物料!$T$1),"02物料",""))</f>
        <v/>
      </c>
      <c r="C157" s="68" t="str">
        <f aca="false">IF($B157="","",IF($B157="01水果",IFERROR(INDEX(对接源_01水果!$B$5:$B$507,MATCH(ROW()-3,对接源_01水果!$Q$5:$Q$507,0)),""),IFERROR(INDEX(对接源_02物料!$B$5:$B$460,MATCH(ROW()-3-N(对接源_01水果!$T$1),对接源_02物料!$Q$5:$Q$460,0)),"")))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7" s="67" t="str">
        <f aca="false">IF($B157="","",IF($B157="01水果",IFERROR(INDEX(对接源_01水果!$C$5:$C$507,MATCH(ROW()-3,对接源_01水果!$Q$5:$Q$507,0)),""),IFERROR(INDEX(对接源_02物料!$C$5:$C$460,MATCH(ROW()-3-N(对接源_01水果!$T$1),对接源_02物料!$Q$5:$Q$460,0)),"")))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7" s="69" t="str">
        <f aca="false">IF($B157="","",IF($B157="01水果",IFERROR(INDEX(对接源_01水果!$D$5:$D$507,MATCH(ROW()-3,对接源_01水果!$Q$5:$Q$507,0)),""),IFERROR(INDEX(对接源_02物料!$D$5:$D$460,MATCH(ROW()-3-N(对接源_01水果!$T$1),对接源_02物料!$Q$5:$Q$460,0)),"")))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7" s="67" t="str">
        <f aca="false">IF($B157="","",IF($B157="01水果",IFERROR(INDEX(对接源_01水果!$E$5:$E$507,MATCH(ROW()-3,对接源_01水果!$Q$5:$Q$507,0)),""),IFERROR(INDEX(对接源_02物料!$E$5:$E$460,MATCH(ROW()-3-N(对接源_01水果!$T$1),对接源_02物料!$Q$5:$Q$460,0)),"")))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7" s="70" t="str">
        <f aca="false">IF($B157="","",IF($B157="01水果",IFERROR(INDEX(对接源_01水果!$F$5:$F$507,MATCH(ROW()-3,对接源_01水果!$Q$5:$Q$507,0)),""),IFERROR(INDEX(对接源_02物料!$F$5:$F$460,MATCH(ROW()-3-N(对接源_01水果!$T$1),对接源_02物料!$Q$5:$Q$460,0)),"")))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7" s="70" t="str">
        <f aca="false">IF($B157="","",IF($B157="01水果",IFERROR(INDEX(对接源_01水果!$G$5:$G$507,MATCH(ROW()-3,对接源_01水果!$Q$5:$Q$507,0)),""),IFERROR(INDEX(对接源_02物料!$G$5:$G$460,MATCH(ROW()-3-N(对接源_01水果!$T$1),对接源_02物料!$Q$5:$Q$460,0)),"")))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7" s="67" t="str">
        <f aca="false">IF(OR($D157="客户应收",$D157="成品销售款",$D157="公司购买果品款",$D157="筐子销售款",$D157="物料销售款"),"客户往来",IFERROR(INDEX(收入成本映射!$C$4:$C$34,MATCH($D157,收入成本映射!$B$4:$B$34,0)),"不记账"))</f>
        <v>不记账</v>
      </c>
      <c r="J157" s="67" t="str">
        <f aca="false">IF($B157="","","0%")</f>
        <v/>
      </c>
      <c r="K157" s="70" t="n">
        <f aca="false">IF($I157="不记账",0,ROUND(N($G157),2))</f>
        <v>0</v>
      </c>
      <c r="L157" s="70" t="n">
        <v>0</v>
      </c>
      <c r="M157" s="67" t="str">
        <f aca="false">IF(OR($I157="不记账",ROUND(N($G157),2)=0),"",IFERROR(INDEX(收入成本映射!$E$4:$E$34,MATCH($D157,收入成本映射!$B$4:$B$34,0)),""))</f>
        <v/>
      </c>
      <c r="N157" s="70" t="str">
        <f aca="false">IF($M157="","",ROUND(N($G157),2))</f>
        <v/>
      </c>
      <c r="O157" s="70" t="str">
        <f aca="false">IF($M157="","",0)</f>
        <v/>
      </c>
      <c r="P157" s="67" t="str">
        <f aca="false">IF($M157="","",IFERROR(INDEX(收入成本映射!$F$4:$F$34,MATCH($D157,收入成本映射!$B$4:$B$34,0)),""))</f>
        <v/>
      </c>
      <c r="Q157" s="70" t="str">
        <f aca="false">IF($P157="","",0)</f>
        <v/>
      </c>
      <c r="R157" s="70" t="str">
        <f aca="false">IF($P157="","",ROUND(N($G157),2))</f>
        <v/>
      </c>
      <c r="S157" s="67" t="str">
        <f aca="false">""</f>
        <v/>
      </c>
      <c r="T157" s="70" t="str">
        <f aca="false">IF($S157="","",0)</f>
        <v/>
      </c>
      <c r="U157" s="70" t="str">
        <f aca="false">IF($S157="","",0)</f>
        <v/>
      </c>
      <c r="V157" s="66" t="str">
        <f aca="false">IF($B157="","",IF($B157="01水果",IFERROR(INDEX(对接源_01水果!$H$5:$H$507,MATCH(ROW()-3,对接源_01水果!$Q$5:$Q$507,0)),""),IFERROR(INDEX(对接源_02物料!$H$5:$H$460,MATCH(ROW()-3-N(对接源_01水果!$T$1),对接源_02物料!$Q$5:$Q$460,0)),"")))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8" customFormat="false" ht="18" hidden="false" customHeight="true" outlineLevel="0" collapsed="false">
      <c r="A158" s="66" t="n">
        <v>155</v>
      </c>
      <c r="B158" s="67" t="str">
        <f aca="false">IF(ROW()-3&lt;=N(对接源_01水果!$T$1),"01水果",IF(ROW()-3&lt;=N(对接源_01水果!$T$1)+N(对接源_02物料!$T$1),"02物料",""))</f>
        <v/>
      </c>
      <c r="C158" s="68" t="str">
        <f aca="false">IF($B158="","",IF($B158="01水果",IFERROR(INDEX(对接源_01水果!$B$5:$B$507,MATCH(ROW()-3,对接源_01水果!$Q$5:$Q$507,0)),""),IFERROR(INDEX(对接源_02物料!$B$5:$B$460,MATCH(ROW()-3-N(对接源_01水果!$T$1),对接源_02物料!$Q$5:$Q$460,0)),"")))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8" s="67" t="str">
        <f aca="false">IF($B158="","",IF($B158="01水果",IFERROR(INDEX(对接源_01水果!$C$5:$C$507,MATCH(ROW()-3,对接源_01水果!$Q$5:$Q$507,0)),""),IFERROR(INDEX(对接源_02物料!$C$5:$C$460,MATCH(ROW()-3-N(对接源_01水果!$T$1),对接源_02物料!$Q$5:$Q$460,0)),"")))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8" s="69" t="str">
        <f aca="false">IF($B158="","",IF($B158="01水果",IFERROR(INDEX(对接源_01水果!$D$5:$D$507,MATCH(ROW()-3,对接源_01水果!$Q$5:$Q$507,0)),""),IFERROR(INDEX(对接源_02物料!$D$5:$D$460,MATCH(ROW()-3-N(对接源_01水果!$T$1),对接源_02物料!$Q$5:$Q$460,0)),"")))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8" s="67" t="str">
        <f aca="false">IF($B158="","",IF($B158="01水果",IFERROR(INDEX(对接源_01水果!$E$5:$E$507,MATCH(ROW()-3,对接源_01水果!$Q$5:$Q$507,0)),""),IFERROR(INDEX(对接源_02物料!$E$5:$E$460,MATCH(ROW()-3-N(对接源_01水果!$T$1),对接源_02物料!$Q$5:$Q$460,0)),"")))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8" s="70" t="str">
        <f aca="false">IF($B158="","",IF($B158="01水果",IFERROR(INDEX(对接源_01水果!$F$5:$F$507,MATCH(ROW()-3,对接源_01水果!$Q$5:$Q$507,0)),""),IFERROR(INDEX(对接源_02物料!$F$5:$F$460,MATCH(ROW()-3-N(对接源_01水果!$T$1),对接源_02物料!$Q$5:$Q$460,0)),"")))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8" s="70" t="str">
        <f aca="false">IF($B158="","",IF($B158="01水果",IFERROR(INDEX(对接源_01水果!$G$5:$G$507,MATCH(ROW()-3,对接源_01水果!$Q$5:$Q$507,0)),""),IFERROR(INDEX(对接源_02物料!$G$5:$G$460,MATCH(ROW()-3-N(对接源_01水果!$T$1),对接源_02物料!$Q$5:$Q$460,0)),"")))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8" s="67" t="str">
        <f aca="false">IF(OR($D158="客户应收",$D158="成品销售款",$D158="公司购买果品款",$D158="筐子销售款",$D158="物料销售款"),"客户往来",IFERROR(INDEX(收入成本映射!$C$4:$C$34,MATCH($D158,收入成本映射!$B$4:$B$34,0)),"不记账"))</f>
        <v>不记账</v>
      </c>
      <c r="J158" s="67" t="str">
        <f aca="false">IF($B158="","","0%")</f>
        <v/>
      </c>
      <c r="K158" s="70" t="n">
        <f aca="false">IF($I158="不记账",0,ROUND(N($G158),2))</f>
        <v>0</v>
      </c>
      <c r="L158" s="70" t="n">
        <v>0</v>
      </c>
      <c r="M158" s="67" t="str">
        <f aca="false">IF(OR($I158="不记账",ROUND(N($G158),2)=0),"",IFERROR(INDEX(收入成本映射!$E$4:$E$34,MATCH($D158,收入成本映射!$B$4:$B$34,0)),""))</f>
        <v/>
      </c>
      <c r="N158" s="70" t="str">
        <f aca="false">IF($M158="","",ROUND(N($G158),2))</f>
        <v/>
      </c>
      <c r="O158" s="70" t="str">
        <f aca="false">IF($M158="","",0)</f>
        <v/>
      </c>
      <c r="P158" s="67" t="str">
        <f aca="false">IF($M158="","",IFERROR(INDEX(收入成本映射!$F$4:$F$34,MATCH($D158,收入成本映射!$B$4:$B$34,0)),""))</f>
        <v/>
      </c>
      <c r="Q158" s="70" t="str">
        <f aca="false">IF($P158="","",0)</f>
        <v/>
      </c>
      <c r="R158" s="70" t="str">
        <f aca="false">IF($P158="","",ROUND(N($G158),2))</f>
        <v/>
      </c>
      <c r="S158" s="67" t="str">
        <f aca="false">""</f>
        <v/>
      </c>
      <c r="T158" s="70" t="str">
        <f aca="false">IF($S158="","",0)</f>
        <v/>
      </c>
      <c r="U158" s="70" t="str">
        <f aca="false">IF($S158="","",0)</f>
        <v/>
      </c>
      <c r="V158" s="66" t="str">
        <f aca="false">IF($B158="","",IF($B158="01水果",IFERROR(INDEX(对接源_01水果!$H$5:$H$507,MATCH(ROW()-3,对接源_01水果!$Q$5:$Q$507,0)),""),IFERROR(INDEX(对接源_02物料!$H$5:$H$460,MATCH(ROW()-3-N(对接源_01水果!$T$1),对接源_02物料!$Q$5:$Q$460,0)),"")))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59" customFormat="false" ht="18" hidden="false" customHeight="true" outlineLevel="0" collapsed="false">
      <c r="A159" s="66" t="n">
        <v>156</v>
      </c>
      <c r="B159" s="67" t="str">
        <f aca="false">IF(ROW()-3&lt;=N(对接源_01水果!$T$1),"01水果",IF(ROW()-3&lt;=N(对接源_01水果!$T$1)+N(对接源_02物料!$T$1),"02物料",""))</f>
        <v/>
      </c>
      <c r="C159" s="68" t="str">
        <f aca="false">IF($B159="","",IF($B159="01水果",IFERROR(INDEX(对接源_01水果!$B$5:$B$507,MATCH(ROW()-3,对接源_01水果!$Q$5:$Q$507,0)),""),IFERROR(INDEX(对接源_02物料!$B$5:$B$460,MATCH(ROW()-3-N(对接源_01水果!$T$1),对接源_02物料!$Q$5:$Q$460,0)),"")))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59" s="67" t="str">
        <f aca="false">IF($B159="","",IF($B159="01水果",IFERROR(INDEX(对接源_01水果!$C$5:$C$507,MATCH(ROW()-3,对接源_01水果!$Q$5:$Q$507,0)),""),IFERROR(INDEX(对接源_02物料!$C$5:$C$460,MATCH(ROW()-3-N(对接源_01水果!$T$1),对接源_02物料!$Q$5:$Q$460,0)),"")))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59" s="69" t="str">
        <f aca="false">IF($B159="","",IF($B159="01水果",IFERROR(INDEX(对接源_01水果!$D$5:$D$507,MATCH(ROW()-3,对接源_01水果!$Q$5:$Q$507,0)),""),IFERROR(INDEX(对接源_02物料!$D$5:$D$460,MATCH(ROW()-3-N(对接源_01水果!$T$1),对接源_02物料!$Q$5:$Q$460,0)),"")))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59" s="67" t="str">
        <f aca="false">IF($B159="","",IF($B159="01水果",IFERROR(INDEX(对接源_01水果!$E$5:$E$507,MATCH(ROW()-3,对接源_01水果!$Q$5:$Q$507,0)),""),IFERROR(INDEX(对接源_02物料!$E$5:$E$460,MATCH(ROW()-3-N(对接源_01水果!$T$1),对接源_02物料!$Q$5:$Q$460,0)),"")))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59" s="70" t="str">
        <f aca="false">IF($B159="","",IF($B159="01水果",IFERROR(INDEX(对接源_01水果!$F$5:$F$507,MATCH(ROW()-3,对接源_01水果!$Q$5:$Q$507,0)),""),IFERROR(INDEX(对接源_02物料!$F$5:$F$460,MATCH(ROW()-3-N(对接源_01水果!$T$1),对接源_02物料!$Q$5:$Q$460,0)),"")))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59" s="70" t="str">
        <f aca="false">IF($B159="","",IF($B159="01水果",IFERROR(INDEX(对接源_01水果!$G$5:$G$507,MATCH(ROW()-3,对接源_01水果!$Q$5:$Q$507,0)),""),IFERROR(INDEX(对接源_02物料!$G$5:$G$460,MATCH(ROW()-3-N(对接源_01水果!$T$1),对接源_02物料!$Q$5:$Q$460,0)),"")))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59" s="67" t="str">
        <f aca="false">IF(OR($D159="客户应收",$D159="成品销售款",$D159="公司购买果品款",$D159="筐子销售款",$D159="物料销售款"),"客户往来",IFERROR(INDEX(收入成本映射!$C$4:$C$34,MATCH($D159,收入成本映射!$B$4:$B$34,0)),"不记账"))</f>
        <v>不记账</v>
      </c>
      <c r="J159" s="67" t="str">
        <f aca="false">IF($B159="","","0%")</f>
        <v/>
      </c>
      <c r="K159" s="70" t="n">
        <f aca="false">IF($I159="不记账",0,ROUND(N($G159),2))</f>
        <v>0</v>
      </c>
      <c r="L159" s="70" t="n">
        <v>0</v>
      </c>
      <c r="M159" s="67" t="str">
        <f aca="false">IF(OR($I159="不记账",ROUND(N($G159),2)=0),"",IFERROR(INDEX(收入成本映射!$E$4:$E$34,MATCH($D159,收入成本映射!$B$4:$B$34,0)),""))</f>
        <v/>
      </c>
      <c r="N159" s="70" t="str">
        <f aca="false">IF($M159="","",ROUND(N($G159),2))</f>
        <v/>
      </c>
      <c r="O159" s="70" t="str">
        <f aca="false">IF($M159="","",0)</f>
        <v/>
      </c>
      <c r="P159" s="67" t="str">
        <f aca="false">IF($M159="","",IFERROR(INDEX(收入成本映射!$F$4:$F$34,MATCH($D159,收入成本映射!$B$4:$B$34,0)),""))</f>
        <v/>
      </c>
      <c r="Q159" s="70" t="str">
        <f aca="false">IF($P159="","",0)</f>
        <v/>
      </c>
      <c r="R159" s="70" t="str">
        <f aca="false">IF($P159="","",ROUND(N($G159),2))</f>
        <v/>
      </c>
      <c r="S159" s="67" t="str">
        <f aca="false">""</f>
        <v/>
      </c>
      <c r="T159" s="70" t="str">
        <f aca="false">IF($S159="","",0)</f>
        <v/>
      </c>
      <c r="U159" s="70" t="str">
        <f aca="false">IF($S159="","",0)</f>
        <v/>
      </c>
      <c r="V159" s="66" t="str">
        <f aca="false">IF($B159="","",IF($B159="01水果",IFERROR(INDEX(对接源_01水果!$H$5:$H$507,MATCH(ROW()-3,对接源_01水果!$Q$5:$Q$507,0)),""),IFERROR(INDEX(对接源_02物料!$H$5:$H$460,MATCH(ROW()-3-N(对接源_01水果!$T$1),对接源_02物料!$Q$5:$Q$460,0)),"")))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0" customFormat="false" ht="18" hidden="false" customHeight="true" outlineLevel="0" collapsed="false">
      <c r="A160" s="66" t="n">
        <v>157</v>
      </c>
      <c r="B160" s="67" t="str">
        <f aca="false">IF(ROW()-3&lt;=N(对接源_01水果!$T$1),"01水果",IF(ROW()-3&lt;=N(对接源_01水果!$T$1)+N(对接源_02物料!$T$1),"02物料",""))</f>
        <v/>
      </c>
      <c r="C160" s="68" t="str">
        <f aca="false">IF($B160="","",IF($B160="01水果",IFERROR(INDEX(对接源_01水果!$B$5:$B$507,MATCH(ROW()-3,对接源_01水果!$Q$5:$Q$507,0)),""),IFERROR(INDEX(对接源_02物料!$B$5:$B$460,MATCH(ROW()-3-N(对接源_01水果!$T$1),对接源_02物料!$Q$5:$Q$460,0)),"")))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0" s="67" t="str">
        <f aca="false">IF($B160="","",IF($B160="01水果",IFERROR(INDEX(对接源_01水果!$C$5:$C$507,MATCH(ROW()-3,对接源_01水果!$Q$5:$Q$507,0)),""),IFERROR(INDEX(对接源_02物料!$C$5:$C$460,MATCH(ROW()-3-N(对接源_01水果!$T$1),对接源_02物料!$Q$5:$Q$460,0)),"")))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0" s="69" t="str">
        <f aca="false">IF($B160="","",IF($B160="01水果",IFERROR(INDEX(对接源_01水果!$D$5:$D$507,MATCH(ROW()-3,对接源_01水果!$Q$5:$Q$507,0)),""),IFERROR(INDEX(对接源_02物料!$D$5:$D$460,MATCH(ROW()-3-N(对接源_01水果!$T$1),对接源_02物料!$Q$5:$Q$460,0)),"")))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0" s="67" t="str">
        <f aca="false">IF($B160="","",IF($B160="01水果",IFERROR(INDEX(对接源_01水果!$E$5:$E$507,MATCH(ROW()-3,对接源_01水果!$Q$5:$Q$507,0)),""),IFERROR(INDEX(对接源_02物料!$E$5:$E$460,MATCH(ROW()-3-N(对接源_01水果!$T$1),对接源_02物料!$Q$5:$Q$460,0)),"")))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0" s="70" t="str">
        <f aca="false">IF($B160="","",IF($B160="01水果",IFERROR(INDEX(对接源_01水果!$F$5:$F$507,MATCH(ROW()-3,对接源_01水果!$Q$5:$Q$507,0)),""),IFERROR(INDEX(对接源_02物料!$F$5:$F$460,MATCH(ROW()-3-N(对接源_01水果!$T$1),对接源_02物料!$Q$5:$Q$460,0)),"")))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0" s="70" t="str">
        <f aca="false">IF($B160="","",IF($B160="01水果",IFERROR(INDEX(对接源_01水果!$G$5:$G$507,MATCH(ROW()-3,对接源_01水果!$Q$5:$Q$507,0)),""),IFERROR(INDEX(对接源_02物料!$G$5:$G$460,MATCH(ROW()-3-N(对接源_01水果!$T$1),对接源_02物料!$Q$5:$Q$460,0)),"")))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0" s="67" t="str">
        <f aca="false">IF(OR($D160="客户应收",$D160="成品销售款",$D160="公司购买果品款",$D160="筐子销售款",$D160="物料销售款"),"客户往来",IFERROR(INDEX(收入成本映射!$C$4:$C$34,MATCH($D160,收入成本映射!$B$4:$B$34,0)),"不记账"))</f>
        <v>不记账</v>
      </c>
      <c r="J160" s="67" t="str">
        <f aca="false">IF($B160="","","0%")</f>
        <v/>
      </c>
      <c r="K160" s="70" t="n">
        <f aca="false">IF($I160="不记账",0,ROUND(N($G160),2))</f>
        <v>0</v>
      </c>
      <c r="L160" s="70" t="n">
        <v>0</v>
      </c>
      <c r="M160" s="67" t="str">
        <f aca="false">IF(OR($I160="不记账",ROUND(N($G160),2)=0),"",IFERROR(INDEX(收入成本映射!$E$4:$E$34,MATCH($D160,收入成本映射!$B$4:$B$34,0)),""))</f>
        <v/>
      </c>
      <c r="N160" s="70" t="str">
        <f aca="false">IF($M160="","",ROUND(N($G160),2))</f>
        <v/>
      </c>
      <c r="O160" s="70" t="str">
        <f aca="false">IF($M160="","",0)</f>
        <v/>
      </c>
      <c r="P160" s="67" t="str">
        <f aca="false">IF($M160="","",IFERROR(INDEX(收入成本映射!$F$4:$F$34,MATCH($D160,收入成本映射!$B$4:$B$34,0)),""))</f>
        <v/>
      </c>
      <c r="Q160" s="70" t="str">
        <f aca="false">IF($P160="","",0)</f>
        <v/>
      </c>
      <c r="R160" s="70" t="str">
        <f aca="false">IF($P160="","",ROUND(N($G160),2))</f>
        <v/>
      </c>
      <c r="S160" s="67" t="str">
        <f aca="false">""</f>
        <v/>
      </c>
      <c r="T160" s="70" t="str">
        <f aca="false">IF($S160="","",0)</f>
        <v/>
      </c>
      <c r="U160" s="70" t="str">
        <f aca="false">IF($S160="","",0)</f>
        <v/>
      </c>
      <c r="V160" s="66" t="str">
        <f aca="false">IF($B160="","",IF($B160="01水果",IFERROR(INDEX(对接源_01水果!$H$5:$H$507,MATCH(ROW()-3,对接源_01水果!$Q$5:$Q$507,0)),""),IFERROR(INDEX(对接源_02物料!$H$5:$H$460,MATCH(ROW()-3-N(对接源_01水果!$T$1),对接源_02物料!$Q$5:$Q$460,0)),"")))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1" customFormat="false" ht="18" hidden="false" customHeight="true" outlineLevel="0" collapsed="false">
      <c r="A161" s="66" t="n">
        <v>158</v>
      </c>
      <c r="B161" s="67" t="str">
        <f aca="false">IF(ROW()-3&lt;=N(对接源_01水果!$T$1),"01水果",IF(ROW()-3&lt;=N(对接源_01水果!$T$1)+N(对接源_02物料!$T$1),"02物料",""))</f>
        <v/>
      </c>
      <c r="C161" s="68" t="str">
        <f aca="false">IF($B161="","",IF($B161="01水果",IFERROR(INDEX(对接源_01水果!$B$5:$B$507,MATCH(ROW()-3,对接源_01水果!$Q$5:$Q$507,0)),""),IFERROR(INDEX(对接源_02物料!$B$5:$B$460,MATCH(ROW()-3-N(对接源_01水果!$T$1),对接源_02物料!$Q$5:$Q$460,0)),"")))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1" s="67" t="str">
        <f aca="false">IF($B161="","",IF($B161="01水果",IFERROR(INDEX(对接源_01水果!$C$5:$C$507,MATCH(ROW()-3,对接源_01水果!$Q$5:$Q$507,0)),""),IFERROR(INDEX(对接源_02物料!$C$5:$C$460,MATCH(ROW()-3-N(对接源_01水果!$T$1),对接源_02物料!$Q$5:$Q$460,0)),"")))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1" s="69" t="str">
        <f aca="false">IF($B161="","",IF($B161="01水果",IFERROR(INDEX(对接源_01水果!$D$5:$D$507,MATCH(ROW()-3,对接源_01水果!$Q$5:$Q$507,0)),""),IFERROR(INDEX(对接源_02物料!$D$5:$D$460,MATCH(ROW()-3-N(对接源_01水果!$T$1),对接源_02物料!$Q$5:$Q$460,0)),"")))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1" s="67" t="str">
        <f aca="false">IF($B161="","",IF($B161="01水果",IFERROR(INDEX(对接源_01水果!$E$5:$E$507,MATCH(ROW()-3,对接源_01水果!$Q$5:$Q$507,0)),""),IFERROR(INDEX(对接源_02物料!$E$5:$E$460,MATCH(ROW()-3-N(对接源_01水果!$T$1),对接源_02物料!$Q$5:$Q$460,0)),"")))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1" s="70" t="str">
        <f aca="false">IF($B161="","",IF($B161="01水果",IFERROR(INDEX(对接源_01水果!$F$5:$F$507,MATCH(ROW()-3,对接源_01水果!$Q$5:$Q$507,0)),""),IFERROR(INDEX(对接源_02物料!$F$5:$F$460,MATCH(ROW()-3-N(对接源_01水果!$T$1),对接源_02物料!$Q$5:$Q$460,0)),"")))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1" s="70" t="str">
        <f aca="false">IF($B161="","",IF($B161="01水果",IFERROR(INDEX(对接源_01水果!$G$5:$G$507,MATCH(ROW()-3,对接源_01水果!$Q$5:$Q$507,0)),""),IFERROR(INDEX(对接源_02物料!$G$5:$G$460,MATCH(ROW()-3-N(对接源_01水果!$T$1),对接源_02物料!$Q$5:$Q$460,0)),"")))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1" s="67" t="str">
        <f aca="false">IF(OR($D161="客户应收",$D161="成品销售款",$D161="公司购买果品款",$D161="筐子销售款",$D161="物料销售款"),"客户往来",IFERROR(INDEX(收入成本映射!$C$4:$C$34,MATCH($D161,收入成本映射!$B$4:$B$34,0)),"不记账"))</f>
        <v>不记账</v>
      </c>
      <c r="J161" s="67" t="str">
        <f aca="false">IF($B161="","","0%")</f>
        <v/>
      </c>
      <c r="K161" s="70" t="n">
        <f aca="false">IF($I161="不记账",0,ROUND(N($G161),2))</f>
        <v>0</v>
      </c>
      <c r="L161" s="70" t="n">
        <v>0</v>
      </c>
      <c r="M161" s="67" t="str">
        <f aca="false">IF(OR($I161="不记账",ROUND(N($G161),2)=0),"",IFERROR(INDEX(收入成本映射!$E$4:$E$34,MATCH($D161,收入成本映射!$B$4:$B$34,0)),""))</f>
        <v/>
      </c>
      <c r="N161" s="70" t="str">
        <f aca="false">IF($M161="","",ROUND(N($G161),2))</f>
        <v/>
      </c>
      <c r="O161" s="70" t="str">
        <f aca="false">IF($M161="","",0)</f>
        <v/>
      </c>
      <c r="P161" s="67" t="str">
        <f aca="false">IF($M161="","",IFERROR(INDEX(收入成本映射!$F$4:$F$34,MATCH($D161,收入成本映射!$B$4:$B$34,0)),""))</f>
        <v/>
      </c>
      <c r="Q161" s="70" t="str">
        <f aca="false">IF($P161="","",0)</f>
        <v/>
      </c>
      <c r="R161" s="70" t="str">
        <f aca="false">IF($P161="","",ROUND(N($G161),2))</f>
        <v/>
      </c>
      <c r="S161" s="67" t="str">
        <f aca="false">""</f>
        <v/>
      </c>
      <c r="T161" s="70" t="str">
        <f aca="false">IF($S161="","",0)</f>
        <v/>
      </c>
      <c r="U161" s="70" t="str">
        <f aca="false">IF($S161="","",0)</f>
        <v/>
      </c>
      <c r="V161" s="66" t="str">
        <f aca="false">IF($B161="","",IF($B161="01水果",IFERROR(INDEX(对接源_01水果!$H$5:$H$507,MATCH(ROW()-3,对接源_01水果!$Q$5:$Q$507,0)),""),IFERROR(INDEX(对接源_02物料!$H$5:$H$460,MATCH(ROW()-3-N(对接源_01水果!$T$1),对接源_02物料!$Q$5:$Q$460,0)),"")))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2" customFormat="false" ht="18" hidden="false" customHeight="true" outlineLevel="0" collapsed="false">
      <c r="A162" s="66" t="n">
        <v>159</v>
      </c>
      <c r="B162" s="67" t="str">
        <f aca="false">IF(ROW()-3&lt;=N(对接源_01水果!$T$1),"01水果",IF(ROW()-3&lt;=N(对接源_01水果!$T$1)+N(对接源_02物料!$T$1),"02物料",""))</f>
        <v/>
      </c>
      <c r="C162" s="68" t="str">
        <f aca="false">IF($B162="","",IF($B162="01水果",IFERROR(INDEX(对接源_01水果!$B$5:$B$507,MATCH(ROW()-3,对接源_01水果!$Q$5:$Q$507,0)),""),IFERROR(INDEX(对接源_02物料!$B$5:$B$460,MATCH(ROW()-3-N(对接源_01水果!$T$1),对接源_02物料!$Q$5:$Q$460,0)),"")))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2" s="67" t="str">
        <f aca="false">IF($B162="","",IF($B162="01水果",IFERROR(INDEX(对接源_01水果!$C$5:$C$507,MATCH(ROW()-3,对接源_01水果!$Q$5:$Q$507,0)),""),IFERROR(INDEX(对接源_02物料!$C$5:$C$460,MATCH(ROW()-3-N(对接源_01水果!$T$1),对接源_02物料!$Q$5:$Q$460,0)),"")))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2" s="69" t="str">
        <f aca="false">IF($B162="","",IF($B162="01水果",IFERROR(INDEX(对接源_01水果!$D$5:$D$507,MATCH(ROW()-3,对接源_01水果!$Q$5:$Q$507,0)),""),IFERROR(INDEX(对接源_02物料!$D$5:$D$460,MATCH(ROW()-3-N(对接源_01水果!$T$1),对接源_02物料!$Q$5:$Q$460,0)),"")))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2" s="67" t="str">
        <f aca="false">IF($B162="","",IF($B162="01水果",IFERROR(INDEX(对接源_01水果!$E$5:$E$507,MATCH(ROW()-3,对接源_01水果!$Q$5:$Q$507,0)),""),IFERROR(INDEX(对接源_02物料!$E$5:$E$460,MATCH(ROW()-3-N(对接源_01水果!$T$1),对接源_02物料!$Q$5:$Q$460,0)),"")))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2" s="70" t="str">
        <f aca="false">IF($B162="","",IF($B162="01水果",IFERROR(INDEX(对接源_01水果!$F$5:$F$507,MATCH(ROW()-3,对接源_01水果!$Q$5:$Q$507,0)),""),IFERROR(INDEX(对接源_02物料!$F$5:$F$460,MATCH(ROW()-3-N(对接源_01水果!$T$1),对接源_02物料!$Q$5:$Q$460,0)),"")))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2" s="70" t="str">
        <f aca="false">IF($B162="","",IF($B162="01水果",IFERROR(INDEX(对接源_01水果!$G$5:$G$507,MATCH(ROW()-3,对接源_01水果!$Q$5:$Q$507,0)),""),IFERROR(INDEX(对接源_02物料!$G$5:$G$460,MATCH(ROW()-3-N(对接源_01水果!$T$1),对接源_02物料!$Q$5:$Q$460,0)),"")))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2" s="67" t="str">
        <f aca="false">IF(OR($D162="客户应收",$D162="成品销售款",$D162="公司购买果品款",$D162="筐子销售款",$D162="物料销售款"),"客户往来",IFERROR(INDEX(收入成本映射!$C$4:$C$34,MATCH($D162,收入成本映射!$B$4:$B$34,0)),"不记账"))</f>
        <v>不记账</v>
      </c>
      <c r="J162" s="67" t="str">
        <f aca="false">IF($B162="","","0%")</f>
        <v/>
      </c>
      <c r="K162" s="70" t="n">
        <f aca="false">IF($I162="不记账",0,ROUND(N($G162),2))</f>
        <v>0</v>
      </c>
      <c r="L162" s="70" t="n">
        <v>0</v>
      </c>
      <c r="M162" s="67" t="str">
        <f aca="false">IF(OR($I162="不记账",ROUND(N($G162),2)=0),"",IFERROR(INDEX(收入成本映射!$E$4:$E$34,MATCH($D162,收入成本映射!$B$4:$B$34,0)),""))</f>
        <v/>
      </c>
      <c r="N162" s="70" t="str">
        <f aca="false">IF($M162="","",ROUND(N($G162),2))</f>
        <v/>
      </c>
      <c r="O162" s="70" t="str">
        <f aca="false">IF($M162="","",0)</f>
        <v/>
      </c>
      <c r="P162" s="67" t="str">
        <f aca="false">IF($M162="","",IFERROR(INDEX(收入成本映射!$F$4:$F$34,MATCH($D162,收入成本映射!$B$4:$B$34,0)),""))</f>
        <v/>
      </c>
      <c r="Q162" s="70" t="str">
        <f aca="false">IF($P162="","",0)</f>
        <v/>
      </c>
      <c r="R162" s="70" t="str">
        <f aca="false">IF($P162="","",ROUND(N($G162),2))</f>
        <v/>
      </c>
      <c r="S162" s="67" t="str">
        <f aca="false">""</f>
        <v/>
      </c>
      <c r="T162" s="70" t="str">
        <f aca="false">IF($S162="","",0)</f>
        <v/>
      </c>
      <c r="U162" s="70" t="str">
        <f aca="false">IF($S162="","",0)</f>
        <v/>
      </c>
      <c r="V162" s="66" t="str">
        <f aca="false">IF($B162="","",IF($B162="01水果",IFERROR(INDEX(对接源_01水果!$H$5:$H$507,MATCH(ROW()-3,对接源_01水果!$Q$5:$Q$507,0)),""),IFERROR(INDEX(对接源_02物料!$H$5:$H$460,MATCH(ROW()-3-N(对接源_01水果!$T$1),对接源_02物料!$Q$5:$Q$460,0)),"")))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3" customFormat="false" ht="18" hidden="false" customHeight="true" outlineLevel="0" collapsed="false">
      <c r="A163" s="66" t="n">
        <v>160</v>
      </c>
      <c r="B163" s="67" t="str">
        <f aca="false">IF(ROW()-3&lt;=N(对接源_01水果!$T$1),"01水果",IF(ROW()-3&lt;=N(对接源_01水果!$T$1)+N(对接源_02物料!$T$1),"02物料",""))</f>
        <v/>
      </c>
      <c r="C163" s="68" t="str">
        <f aca="false">IF($B163="","",IF($B163="01水果",IFERROR(INDEX(对接源_01水果!$B$5:$B$507,MATCH(ROW()-3,对接源_01水果!$Q$5:$Q$507,0)),""),IFERROR(INDEX(对接源_02物料!$B$5:$B$460,MATCH(ROW()-3-N(对接源_01水果!$T$1),对接源_02物料!$Q$5:$Q$460,0)),"")))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3" s="67" t="str">
        <f aca="false">IF($B163="","",IF($B163="01水果",IFERROR(INDEX(对接源_01水果!$C$5:$C$507,MATCH(ROW()-3,对接源_01水果!$Q$5:$Q$507,0)),""),IFERROR(INDEX(对接源_02物料!$C$5:$C$460,MATCH(ROW()-3-N(对接源_01水果!$T$1),对接源_02物料!$Q$5:$Q$460,0)),"")))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3" s="69" t="str">
        <f aca="false">IF($B163="","",IF($B163="01水果",IFERROR(INDEX(对接源_01水果!$D$5:$D$507,MATCH(ROW()-3,对接源_01水果!$Q$5:$Q$507,0)),""),IFERROR(INDEX(对接源_02物料!$D$5:$D$460,MATCH(ROW()-3-N(对接源_01水果!$T$1),对接源_02物料!$Q$5:$Q$460,0)),"")))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3" s="67" t="str">
        <f aca="false">IF($B163="","",IF($B163="01水果",IFERROR(INDEX(对接源_01水果!$E$5:$E$507,MATCH(ROW()-3,对接源_01水果!$Q$5:$Q$507,0)),""),IFERROR(INDEX(对接源_02物料!$E$5:$E$460,MATCH(ROW()-3-N(对接源_01水果!$T$1),对接源_02物料!$Q$5:$Q$460,0)),"")))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3" s="70" t="str">
        <f aca="false">IF($B163="","",IF($B163="01水果",IFERROR(INDEX(对接源_01水果!$F$5:$F$507,MATCH(ROW()-3,对接源_01水果!$Q$5:$Q$507,0)),""),IFERROR(INDEX(对接源_02物料!$F$5:$F$460,MATCH(ROW()-3-N(对接源_01水果!$T$1),对接源_02物料!$Q$5:$Q$460,0)),"")))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3" s="70" t="str">
        <f aca="false">IF($B163="","",IF($B163="01水果",IFERROR(INDEX(对接源_01水果!$G$5:$G$507,MATCH(ROW()-3,对接源_01水果!$Q$5:$Q$507,0)),""),IFERROR(INDEX(对接源_02物料!$G$5:$G$460,MATCH(ROW()-3-N(对接源_01水果!$T$1),对接源_02物料!$Q$5:$Q$460,0)),"")))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3" s="67" t="str">
        <f aca="false">IF(OR($D163="客户应收",$D163="成品销售款",$D163="公司购买果品款",$D163="筐子销售款",$D163="物料销售款"),"客户往来",IFERROR(INDEX(收入成本映射!$C$4:$C$34,MATCH($D163,收入成本映射!$B$4:$B$34,0)),"不记账"))</f>
        <v>不记账</v>
      </c>
      <c r="J163" s="67" t="str">
        <f aca="false">IF($B163="","","0%")</f>
        <v/>
      </c>
      <c r="K163" s="70" t="n">
        <f aca="false">IF($I163="不记账",0,ROUND(N($G163),2))</f>
        <v>0</v>
      </c>
      <c r="L163" s="70" t="n">
        <v>0</v>
      </c>
      <c r="M163" s="67" t="str">
        <f aca="false">IF(OR($I163="不记账",ROUND(N($G163),2)=0),"",IFERROR(INDEX(收入成本映射!$E$4:$E$34,MATCH($D163,收入成本映射!$B$4:$B$34,0)),""))</f>
        <v/>
      </c>
      <c r="N163" s="70" t="str">
        <f aca="false">IF($M163="","",ROUND(N($G163),2))</f>
        <v/>
      </c>
      <c r="O163" s="70" t="str">
        <f aca="false">IF($M163="","",0)</f>
        <v/>
      </c>
      <c r="P163" s="67" t="str">
        <f aca="false">IF($M163="","",IFERROR(INDEX(收入成本映射!$F$4:$F$34,MATCH($D163,收入成本映射!$B$4:$B$34,0)),""))</f>
        <v/>
      </c>
      <c r="Q163" s="70" t="str">
        <f aca="false">IF($P163="","",0)</f>
        <v/>
      </c>
      <c r="R163" s="70" t="str">
        <f aca="false">IF($P163="","",ROUND(N($G163),2))</f>
        <v/>
      </c>
      <c r="S163" s="67" t="str">
        <f aca="false">""</f>
        <v/>
      </c>
      <c r="T163" s="70" t="str">
        <f aca="false">IF($S163="","",0)</f>
        <v/>
      </c>
      <c r="U163" s="70" t="str">
        <f aca="false">IF($S163="","",0)</f>
        <v/>
      </c>
      <c r="V163" s="66" t="str">
        <f aca="false">IF($B163="","",IF($B163="01水果",IFERROR(INDEX(对接源_01水果!$H$5:$H$507,MATCH(ROW()-3,对接源_01水果!$Q$5:$Q$507,0)),""),IFERROR(INDEX(对接源_02物料!$H$5:$H$460,MATCH(ROW()-3-N(对接源_01水果!$T$1),对接源_02物料!$Q$5:$Q$460,0)),"")))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4" customFormat="false" ht="18" hidden="false" customHeight="true" outlineLevel="0" collapsed="false">
      <c r="A164" s="66" t="n">
        <v>161</v>
      </c>
      <c r="B164" s="67" t="str">
        <f aca="false">IF(ROW()-3&lt;=N(对接源_01水果!$T$1),"01水果",IF(ROW()-3&lt;=N(对接源_01水果!$T$1)+N(对接源_02物料!$T$1),"02物料",""))</f>
        <v/>
      </c>
      <c r="C164" s="68" t="str">
        <f aca="false">IF($B164="","",IF($B164="01水果",IFERROR(INDEX(对接源_01水果!$B$5:$B$507,MATCH(ROW()-3,对接源_01水果!$Q$5:$Q$507,0)),""),IFERROR(INDEX(对接源_02物料!$B$5:$B$460,MATCH(ROW()-3-N(对接源_01水果!$T$1),对接源_02物料!$Q$5:$Q$460,0)),"")))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4" s="67" t="str">
        <f aca="false">IF($B164="","",IF($B164="01水果",IFERROR(INDEX(对接源_01水果!$C$5:$C$507,MATCH(ROW()-3,对接源_01水果!$Q$5:$Q$507,0)),""),IFERROR(INDEX(对接源_02物料!$C$5:$C$460,MATCH(ROW()-3-N(对接源_01水果!$T$1),对接源_02物料!$Q$5:$Q$460,0)),"")))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4" s="69" t="str">
        <f aca="false">IF($B164="","",IF($B164="01水果",IFERROR(INDEX(对接源_01水果!$D$5:$D$507,MATCH(ROW()-3,对接源_01水果!$Q$5:$Q$507,0)),""),IFERROR(INDEX(对接源_02物料!$D$5:$D$460,MATCH(ROW()-3-N(对接源_01水果!$T$1),对接源_02物料!$Q$5:$Q$460,0)),"")))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4" s="67" t="str">
        <f aca="false">IF($B164="","",IF($B164="01水果",IFERROR(INDEX(对接源_01水果!$E$5:$E$507,MATCH(ROW()-3,对接源_01水果!$Q$5:$Q$507,0)),""),IFERROR(INDEX(对接源_02物料!$E$5:$E$460,MATCH(ROW()-3-N(对接源_01水果!$T$1),对接源_02物料!$Q$5:$Q$460,0)),"")))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4" s="70" t="str">
        <f aca="false">IF($B164="","",IF($B164="01水果",IFERROR(INDEX(对接源_01水果!$F$5:$F$507,MATCH(ROW()-3,对接源_01水果!$Q$5:$Q$507,0)),""),IFERROR(INDEX(对接源_02物料!$F$5:$F$460,MATCH(ROW()-3-N(对接源_01水果!$T$1),对接源_02物料!$Q$5:$Q$460,0)),"")))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4" s="70" t="str">
        <f aca="false">IF($B164="","",IF($B164="01水果",IFERROR(INDEX(对接源_01水果!$G$5:$G$507,MATCH(ROW()-3,对接源_01水果!$Q$5:$Q$507,0)),""),IFERROR(INDEX(对接源_02物料!$G$5:$G$460,MATCH(ROW()-3-N(对接源_01水果!$T$1),对接源_02物料!$Q$5:$Q$460,0)),"")))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4" s="67" t="str">
        <f aca="false">IF(OR($D164="客户应收",$D164="成品销售款",$D164="公司购买果品款",$D164="筐子销售款",$D164="物料销售款"),"客户往来",IFERROR(INDEX(收入成本映射!$C$4:$C$34,MATCH($D164,收入成本映射!$B$4:$B$34,0)),"不记账"))</f>
        <v>不记账</v>
      </c>
      <c r="J164" s="67" t="str">
        <f aca="false">IF($B164="","","0%")</f>
        <v/>
      </c>
      <c r="K164" s="70" t="n">
        <f aca="false">IF($I164="不记账",0,ROUND(N($G164),2))</f>
        <v>0</v>
      </c>
      <c r="L164" s="70" t="n">
        <v>0</v>
      </c>
      <c r="M164" s="67" t="str">
        <f aca="false">IF(OR($I164="不记账",ROUND(N($G164),2)=0),"",IFERROR(INDEX(收入成本映射!$E$4:$E$34,MATCH($D164,收入成本映射!$B$4:$B$34,0)),""))</f>
        <v/>
      </c>
      <c r="N164" s="70" t="str">
        <f aca="false">IF($M164="","",ROUND(N($G164),2))</f>
        <v/>
      </c>
      <c r="O164" s="70" t="str">
        <f aca="false">IF($M164="","",0)</f>
        <v/>
      </c>
      <c r="P164" s="67" t="str">
        <f aca="false">IF($M164="","",IFERROR(INDEX(收入成本映射!$F$4:$F$34,MATCH($D164,收入成本映射!$B$4:$B$34,0)),""))</f>
        <v/>
      </c>
      <c r="Q164" s="70" t="str">
        <f aca="false">IF($P164="","",0)</f>
        <v/>
      </c>
      <c r="R164" s="70" t="str">
        <f aca="false">IF($P164="","",ROUND(N($G164),2))</f>
        <v/>
      </c>
      <c r="S164" s="67" t="str">
        <f aca="false">""</f>
        <v/>
      </c>
      <c r="T164" s="70" t="str">
        <f aca="false">IF($S164="","",0)</f>
        <v/>
      </c>
      <c r="U164" s="70" t="str">
        <f aca="false">IF($S164="","",0)</f>
        <v/>
      </c>
      <c r="V164" s="66" t="str">
        <f aca="false">IF($B164="","",IF($B164="01水果",IFERROR(INDEX(对接源_01水果!$H$5:$H$507,MATCH(ROW()-3,对接源_01水果!$Q$5:$Q$507,0)),""),IFERROR(INDEX(对接源_02物料!$H$5:$H$460,MATCH(ROW()-3-N(对接源_01水果!$T$1),对接源_02物料!$Q$5:$Q$460,0)),"")))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5" customFormat="false" ht="18" hidden="false" customHeight="true" outlineLevel="0" collapsed="false">
      <c r="A165" s="66" t="n">
        <v>162</v>
      </c>
      <c r="B165" s="67" t="str">
        <f aca="false">IF(ROW()-3&lt;=N(对接源_01水果!$T$1),"01水果",IF(ROW()-3&lt;=N(对接源_01水果!$T$1)+N(对接源_02物料!$T$1),"02物料",""))</f>
        <v/>
      </c>
      <c r="C165" s="68" t="str">
        <f aca="false">IF($B165="","",IF($B165="01水果",IFERROR(INDEX(对接源_01水果!$B$5:$B$507,MATCH(ROW()-3,对接源_01水果!$Q$5:$Q$507,0)),""),IFERROR(INDEX(对接源_02物料!$B$5:$B$460,MATCH(ROW()-3-N(对接源_01水果!$T$1),对接源_02物料!$Q$5:$Q$460,0)),"")))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5" s="67" t="str">
        <f aca="false">IF($B165="","",IF($B165="01水果",IFERROR(INDEX(对接源_01水果!$C$5:$C$507,MATCH(ROW()-3,对接源_01水果!$Q$5:$Q$507,0)),""),IFERROR(INDEX(对接源_02物料!$C$5:$C$460,MATCH(ROW()-3-N(对接源_01水果!$T$1),对接源_02物料!$Q$5:$Q$460,0)),"")))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5" s="69" t="str">
        <f aca="false">IF($B165="","",IF($B165="01水果",IFERROR(INDEX(对接源_01水果!$D$5:$D$507,MATCH(ROW()-3,对接源_01水果!$Q$5:$Q$507,0)),""),IFERROR(INDEX(对接源_02物料!$D$5:$D$460,MATCH(ROW()-3-N(对接源_01水果!$T$1),对接源_02物料!$Q$5:$Q$460,0)),"")))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5" s="67" t="str">
        <f aca="false">IF($B165="","",IF($B165="01水果",IFERROR(INDEX(对接源_01水果!$E$5:$E$507,MATCH(ROW()-3,对接源_01水果!$Q$5:$Q$507,0)),""),IFERROR(INDEX(对接源_02物料!$E$5:$E$460,MATCH(ROW()-3-N(对接源_01水果!$T$1),对接源_02物料!$Q$5:$Q$460,0)),"")))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5" s="70" t="str">
        <f aca="false">IF($B165="","",IF($B165="01水果",IFERROR(INDEX(对接源_01水果!$F$5:$F$507,MATCH(ROW()-3,对接源_01水果!$Q$5:$Q$507,0)),""),IFERROR(INDEX(对接源_02物料!$F$5:$F$460,MATCH(ROW()-3-N(对接源_01水果!$T$1),对接源_02物料!$Q$5:$Q$460,0)),"")))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5" s="70" t="str">
        <f aca="false">IF($B165="","",IF($B165="01水果",IFERROR(INDEX(对接源_01水果!$G$5:$G$507,MATCH(ROW()-3,对接源_01水果!$Q$5:$Q$507,0)),""),IFERROR(INDEX(对接源_02物料!$G$5:$G$460,MATCH(ROW()-3-N(对接源_01水果!$T$1),对接源_02物料!$Q$5:$Q$460,0)),"")))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5" s="67" t="str">
        <f aca="false">IF(OR($D165="客户应收",$D165="成品销售款",$D165="公司购买果品款",$D165="筐子销售款",$D165="物料销售款"),"客户往来",IFERROR(INDEX(收入成本映射!$C$4:$C$34,MATCH($D165,收入成本映射!$B$4:$B$34,0)),"不记账"))</f>
        <v>不记账</v>
      </c>
      <c r="J165" s="67" t="str">
        <f aca="false">IF($B165="","","0%")</f>
        <v/>
      </c>
      <c r="K165" s="70" t="n">
        <f aca="false">IF($I165="不记账",0,ROUND(N($G165),2))</f>
        <v>0</v>
      </c>
      <c r="L165" s="70" t="n">
        <v>0</v>
      </c>
      <c r="M165" s="67" t="str">
        <f aca="false">IF(OR($I165="不记账",ROUND(N($G165),2)=0),"",IFERROR(INDEX(收入成本映射!$E$4:$E$34,MATCH($D165,收入成本映射!$B$4:$B$34,0)),""))</f>
        <v/>
      </c>
      <c r="N165" s="70" t="str">
        <f aca="false">IF($M165="","",ROUND(N($G165),2))</f>
        <v/>
      </c>
      <c r="O165" s="70" t="str">
        <f aca="false">IF($M165="","",0)</f>
        <v/>
      </c>
      <c r="P165" s="67" t="str">
        <f aca="false">IF($M165="","",IFERROR(INDEX(收入成本映射!$F$4:$F$34,MATCH($D165,收入成本映射!$B$4:$B$34,0)),""))</f>
        <v/>
      </c>
      <c r="Q165" s="70" t="str">
        <f aca="false">IF($P165="","",0)</f>
        <v/>
      </c>
      <c r="R165" s="70" t="str">
        <f aca="false">IF($P165="","",ROUND(N($G165),2))</f>
        <v/>
      </c>
      <c r="S165" s="67" t="str">
        <f aca="false">""</f>
        <v/>
      </c>
      <c r="T165" s="70" t="str">
        <f aca="false">IF($S165="","",0)</f>
        <v/>
      </c>
      <c r="U165" s="70" t="str">
        <f aca="false">IF($S165="","",0)</f>
        <v/>
      </c>
      <c r="V165" s="66" t="str">
        <f aca="false">IF($B165="","",IF($B165="01水果",IFERROR(INDEX(对接源_01水果!$H$5:$H$507,MATCH(ROW()-3,对接源_01水果!$Q$5:$Q$507,0)),""),IFERROR(INDEX(对接源_02物料!$H$5:$H$460,MATCH(ROW()-3-N(对接源_01水果!$T$1),对接源_02物料!$Q$5:$Q$460,0)),"")))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6" customFormat="false" ht="18" hidden="false" customHeight="true" outlineLevel="0" collapsed="false">
      <c r="A166" s="66" t="n">
        <v>163</v>
      </c>
      <c r="B166" s="67" t="str">
        <f aca="false">IF(ROW()-3&lt;=N(对接源_01水果!$T$1),"01水果",IF(ROW()-3&lt;=N(对接源_01水果!$T$1)+N(对接源_02物料!$T$1),"02物料",""))</f>
        <v/>
      </c>
      <c r="C166" s="68" t="str">
        <f aca="false">IF($B166="","",IF($B166="01水果",IFERROR(INDEX(对接源_01水果!$B$5:$B$507,MATCH(ROW()-3,对接源_01水果!$Q$5:$Q$507,0)),""),IFERROR(INDEX(对接源_02物料!$B$5:$B$460,MATCH(ROW()-3-N(对接源_01水果!$T$1),对接源_02物料!$Q$5:$Q$460,0)),"")))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6" s="67" t="str">
        <f aca="false">IF($B166="","",IF($B166="01水果",IFERROR(INDEX(对接源_01水果!$C$5:$C$507,MATCH(ROW()-3,对接源_01水果!$Q$5:$Q$507,0)),""),IFERROR(INDEX(对接源_02物料!$C$5:$C$460,MATCH(ROW()-3-N(对接源_01水果!$T$1),对接源_02物料!$Q$5:$Q$460,0)),"")))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6" s="69" t="str">
        <f aca="false">IF($B166="","",IF($B166="01水果",IFERROR(INDEX(对接源_01水果!$D$5:$D$507,MATCH(ROW()-3,对接源_01水果!$Q$5:$Q$507,0)),""),IFERROR(INDEX(对接源_02物料!$D$5:$D$460,MATCH(ROW()-3-N(对接源_01水果!$T$1),对接源_02物料!$Q$5:$Q$460,0)),"")))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6" s="67" t="str">
        <f aca="false">IF($B166="","",IF($B166="01水果",IFERROR(INDEX(对接源_01水果!$E$5:$E$507,MATCH(ROW()-3,对接源_01水果!$Q$5:$Q$507,0)),""),IFERROR(INDEX(对接源_02物料!$E$5:$E$460,MATCH(ROW()-3-N(对接源_01水果!$T$1),对接源_02物料!$Q$5:$Q$460,0)),"")))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6" s="70" t="str">
        <f aca="false">IF($B166="","",IF($B166="01水果",IFERROR(INDEX(对接源_01水果!$F$5:$F$507,MATCH(ROW()-3,对接源_01水果!$Q$5:$Q$507,0)),""),IFERROR(INDEX(对接源_02物料!$F$5:$F$460,MATCH(ROW()-3-N(对接源_01水果!$T$1),对接源_02物料!$Q$5:$Q$460,0)),"")))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6" s="70" t="str">
        <f aca="false">IF($B166="","",IF($B166="01水果",IFERROR(INDEX(对接源_01水果!$G$5:$G$507,MATCH(ROW()-3,对接源_01水果!$Q$5:$Q$507,0)),""),IFERROR(INDEX(对接源_02物料!$G$5:$G$460,MATCH(ROW()-3-N(对接源_01水果!$T$1),对接源_02物料!$Q$5:$Q$460,0)),"")))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6" s="67" t="str">
        <f aca="false">IF(OR($D166="客户应收",$D166="成品销售款",$D166="公司购买果品款",$D166="筐子销售款",$D166="物料销售款"),"客户往来",IFERROR(INDEX(收入成本映射!$C$4:$C$34,MATCH($D166,收入成本映射!$B$4:$B$34,0)),"不记账"))</f>
        <v>不记账</v>
      </c>
      <c r="J166" s="67" t="str">
        <f aca="false">IF($B166="","","0%")</f>
        <v/>
      </c>
      <c r="K166" s="70" t="n">
        <f aca="false">IF($I166="不记账",0,ROUND(N($G166),2))</f>
        <v>0</v>
      </c>
      <c r="L166" s="70" t="n">
        <v>0</v>
      </c>
      <c r="M166" s="67" t="str">
        <f aca="false">IF(OR($I166="不记账",ROUND(N($G166),2)=0),"",IFERROR(INDEX(收入成本映射!$E$4:$E$34,MATCH($D166,收入成本映射!$B$4:$B$34,0)),""))</f>
        <v/>
      </c>
      <c r="N166" s="70" t="str">
        <f aca="false">IF($M166="","",ROUND(N($G166),2))</f>
        <v/>
      </c>
      <c r="O166" s="70" t="str">
        <f aca="false">IF($M166="","",0)</f>
        <v/>
      </c>
      <c r="P166" s="67" t="str">
        <f aca="false">IF($M166="","",IFERROR(INDEX(收入成本映射!$F$4:$F$34,MATCH($D166,收入成本映射!$B$4:$B$34,0)),""))</f>
        <v/>
      </c>
      <c r="Q166" s="70" t="str">
        <f aca="false">IF($P166="","",0)</f>
        <v/>
      </c>
      <c r="R166" s="70" t="str">
        <f aca="false">IF($P166="","",ROUND(N($G166),2))</f>
        <v/>
      </c>
      <c r="S166" s="67" t="str">
        <f aca="false">""</f>
        <v/>
      </c>
      <c r="T166" s="70" t="str">
        <f aca="false">IF($S166="","",0)</f>
        <v/>
      </c>
      <c r="U166" s="70" t="str">
        <f aca="false">IF($S166="","",0)</f>
        <v/>
      </c>
      <c r="V166" s="66" t="str">
        <f aca="false">IF($B166="","",IF($B166="01水果",IFERROR(INDEX(对接源_01水果!$H$5:$H$507,MATCH(ROW()-3,对接源_01水果!$Q$5:$Q$507,0)),""),IFERROR(INDEX(对接源_02物料!$H$5:$H$460,MATCH(ROW()-3-N(对接源_01水果!$T$1),对接源_02物料!$Q$5:$Q$460,0)),"")))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7" customFormat="false" ht="18" hidden="false" customHeight="true" outlineLevel="0" collapsed="false">
      <c r="A167" s="66" t="n">
        <v>164</v>
      </c>
      <c r="B167" s="67" t="str">
        <f aca="false">IF(ROW()-3&lt;=N(对接源_01水果!$T$1),"01水果",IF(ROW()-3&lt;=N(对接源_01水果!$T$1)+N(对接源_02物料!$T$1),"02物料",""))</f>
        <v/>
      </c>
      <c r="C167" s="68" t="str">
        <f aca="false">IF($B167="","",IF($B167="01水果",IFERROR(INDEX(对接源_01水果!$B$5:$B$507,MATCH(ROW()-3,对接源_01水果!$Q$5:$Q$507,0)),""),IFERROR(INDEX(对接源_02物料!$B$5:$B$460,MATCH(ROW()-3-N(对接源_01水果!$T$1),对接源_02物料!$Q$5:$Q$460,0)),"")))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7" s="67" t="str">
        <f aca="false">IF($B167="","",IF($B167="01水果",IFERROR(INDEX(对接源_01水果!$C$5:$C$507,MATCH(ROW()-3,对接源_01水果!$Q$5:$Q$507,0)),""),IFERROR(INDEX(对接源_02物料!$C$5:$C$460,MATCH(ROW()-3-N(对接源_01水果!$T$1),对接源_02物料!$Q$5:$Q$460,0)),"")))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7" s="69" t="str">
        <f aca="false">IF($B167="","",IF($B167="01水果",IFERROR(INDEX(对接源_01水果!$D$5:$D$507,MATCH(ROW()-3,对接源_01水果!$Q$5:$Q$507,0)),""),IFERROR(INDEX(对接源_02物料!$D$5:$D$460,MATCH(ROW()-3-N(对接源_01水果!$T$1),对接源_02物料!$Q$5:$Q$460,0)),"")))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7" s="67" t="str">
        <f aca="false">IF($B167="","",IF($B167="01水果",IFERROR(INDEX(对接源_01水果!$E$5:$E$507,MATCH(ROW()-3,对接源_01水果!$Q$5:$Q$507,0)),""),IFERROR(INDEX(对接源_02物料!$E$5:$E$460,MATCH(ROW()-3-N(对接源_01水果!$T$1),对接源_02物料!$Q$5:$Q$460,0)),"")))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7" s="70" t="str">
        <f aca="false">IF($B167="","",IF($B167="01水果",IFERROR(INDEX(对接源_01水果!$F$5:$F$507,MATCH(ROW()-3,对接源_01水果!$Q$5:$Q$507,0)),""),IFERROR(INDEX(对接源_02物料!$F$5:$F$460,MATCH(ROW()-3-N(对接源_01水果!$T$1),对接源_02物料!$Q$5:$Q$460,0)),"")))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7" s="70" t="str">
        <f aca="false">IF($B167="","",IF($B167="01水果",IFERROR(INDEX(对接源_01水果!$G$5:$G$507,MATCH(ROW()-3,对接源_01水果!$Q$5:$Q$507,0)),""),IFERROR(INDEX(对接源_02物料!$G$5:$G$460,MATCH(ROW()-3-N(对接源_01水果!$T$1),对接源_02物料!$Q$5:$Q$460,0)),"")))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7" s="67" t="str">
        <f aca="false">IF(OR($D167="客户应收",$D167="成品销售款",$D167="公司购买果品款",$D167="筐子销售款",$D167="物料销售款"),"客户往来",IFERROR(INDEX(收入成本映射!$C$4:$C$34,MATCH($D167,收入成本映射!$B$4:$B$34,0)),"不记账"))</f>
        <v>不记账</v>
      </c>
      <c r="J167" s="67" t="str">
        <f aca="false">IF($B167="","","0%")</f>
        <v/>
      </c>
      <c r="K167" s="70" t="n">
        <f aca="false">IF($I167="不记账",0,ROUND(N($G167),2))</f>
        <v>0</v>
      </c>
      <c r="L167" s="70" t="n">
        <v>0</v>
      </c>
      <c r="M167" s="67" t="str">
        <f aca="false">IF(OR($I167="不记账",ROUND(N($G167),2)=0),"",IFERROR(INDEX(收入成本映射!$E$4:$E$34,MATCH($D167,收入成本映射!$B$4:$B$34,0)),""))</f>
        <v/>
      </c>
      <c r="N167" s="70" t="str">
        <f aca="false">IF($M167="","",ROUND(N($G167),2))</f>
        <v/>
      </c>
      <c r="O167" s="70" t="str">
        <f aca="false">IF($M167="","",0)</f>
        <v/>
      </c>
      <c r="P167" s="67" t="str">
        <f aca="false">IF($M167="","",IFERROR(INDEX(收入成本映射!$F$4:$F$34,MATCH($D167,收入成本映射!$B$4:$B$34,0)),""))</f>
        <v/>
      </c>
      <c r="Q167" s="70" t="str">
        <f aca="false">IF($P167="","",0)</f>
        <v/>
      </c>
      <c r="R167" s="70" t="str">
        <f aca="false">IF($P167="","",ROUND(N($G167),2))</f>
        <v/>
      </c>
      <c r="S167" s="67" t="str">
        <f aca="false">""</f>
        <v/>
      </c>
      <c r="T167" s="70" t="str">
        <f aca="false">IF($S167="","",0)</f>
        <v/>
      </c>
      <c r="U167" s="70" t="str">
        <f aca="false">IF($S167="","",0)</f>
        <v/>
      </c>
      <c r="V167" s="66" t="str">
        <f aca="false">IF($B167="","",IF($B167="01水果",IFERROR(INDEX(对接源_01水果!$H$5:$H$507,MATCH(ROW()-3,对接源_01水果!$Q$5:$Q$507,0)),""),IFERROR(INDEX(对接源_02物料!$H$5:$H$460,MATCH(ROW()-3-N(对接源_01水果!$T$1),对接源_02物料!$Q$5:$Q$460,0)),"")))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8" customFormat="false" ht="18" hidden="false" customHeight="true" outlineLevel="0" collapsed="false">
      <c r="A168" s="66" t="n">
        <v>165</v>
      </c>
      <c r="B168" s="67" t="str">
        <f aca="false">IF(ROW()-3&lt;=N(对接源_01水果!$T$1),"01水果",IF(ROW()-3&lt;=N(对接源_01水果!$T$1)+N(对接源_02物料!$T$1),"02物料",""))</f>
        <v/>
      </c>
      <c r="C168" s="68" t="str">
        <f aca="false">IF($B168="","",IF($B168="01水果",IFERROR(INDEX(对接源_01水果!$B$5:$B$507,MATCH(ROW()-3,对接源_01水果!$Q$5:$Q$507,0)),""),IFERROR(INDEX(对接源_02物料!$B$5:$B$460,MATCH(ROW()-3-N(对接源_01水果!$T$1),对接源_02物料!$Q$5:$Q$460,0)),"")))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8" s="67" t="str">
        <f aca="false">IF($B168="","",IF($B168="01水果",IFERROR(INDEX(对接源_01水果!$C$5:$C$507,MATCH(ROW()-3,对接源_01水果!$Q$5:$Q$507,0)),""),IFERROR(INDEX(对接源_02物料!$C$5:$C$460,MATCH(ROW()-3-N(对接源_01水果!$T$1),对接源_02物料!$Q$5:$Q$460,0)),"")))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8" s="69" t="str">
        <f aca="false">IF($B168="","",IF($B168="01水果",IFERROR(INDEX(对接源_01水果!$D$5:$D$507,MATCH(ROW()-3,对接源_01水果!$Q$5:$Q$507,0)),""),IFERROR(INDEX(对接源_02物料!$D$5:$D$460,MATCH(ROW()-3-N(对接源_01水果!$T$1),对接源_02物料!$Q$5:$Q$460,0)),"")))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8" s="67" t="str">
        <f aca="false">IF($B168="","",IF($B168="01水果",IFERROR(INDEX(对接源_01水果!$E$5:$E$507,MATCH(ROW()-3,对接源_01水果!$Q$5:$Q$507,0)),""),IFERROR(INDEX(对接源_02物料!$E$5:$E$460,MATCH(ROW()-3-N(对接源_01水果!$T$1),对接源_02物料!$Q$5:$Q$460,0)),"")))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8" s="70" t="str">
        <f aca="false">IF($B168="","",IF($B168="01水果",IFERROR(INDEX(对接源_01水果!$F$5:$F$507,MATCH(ROW()-3,对接源_01水果!$Q$5:$Q$507,0)),""),IFERROR(INDEX(对接源_02物料!$F$5:$F$460,MATCH(ROW()-3-N(对接源_01水果!$T$1),对接源_02物料!$Q$5:$Q$460,0)),"")))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8" s="70" t="str">
        <f aca="false">IF($B168="","",IF($B168="01水果",IFERROR(INDEX(对接源_01水果!$G$5:$G$507,MATCH(ROW()-3,对接源_01水果!$Q$5:$Q$507,0)),""),IFERROR(INDEX(对接源_02物料!$G$5:$G$460,MATCH(ROW()-3-N(对接源_01水果!$T$1),对接源_02物料!$Q$5:$Q$460,0)),"")))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8" s="67" t="str">
        <f aca="false">IF(OR($D168="客户应收",$D168="成品销售款",$D168="公司购买果品款",$D168="筐子销售款",$D168="物料销售款"),"客户往来",IFERROR(INDEX(收入成本映射!$C$4:$C$34,MATCH($D168,收入成本映射!$B$4:$B$34,0)),"不记账"))</f>
        <v>不记账</v>
      </c>
      <c r="J168" s="67" t="str">
        <f aca="false">IF($B168="","","0%")</f>
        <v/>
      </c>
      <c r="K168" s="70" t="n">
        <f aca="false">IF($I168="不记账",0,ROUND(N($G168),2))</f>
        <v>0</v>
      </c>
      <c r="L168" s="70" t="n">
        <v>0</v>
      </c>
      <c r="M168" s="67" t="str">
        <f aca="false">IF(OR($I168="不记账",ROUND(N($G168),2)=0),"",IFERROR(INDEX(收入成本映射!$E$4:$E$34,MATCH($D168,收入成本映射!$B$4:$B$34,0)),""))</f>
        <v/>
      </c>
      <c r="N168" s="70" t="str">
        <f aca="false">IF($M168="","",ROUND(N($G168),2))</f>
        <v/>
      </c>
      <c r="O168" s="70" t="str">
        <f aca="false">IF($M168="","",0)</f>
        <v/>
      </c>
      <c r="P168" s="67" t="str">
        <f aca="false">IF($M168="","",IFERROR(INDEX(收入成本映射!$F$4:$F$34,MATCH($D168,收入成本映射!$B$4:$B$34,0)),""))</f>
        <v/>
      </c>
      <c r="Q168" s="70" t="str">
        <f aca="false">IF($P168="","",0)</f>
        <v/>
      </c>
      <c r="R168" s="70" t="str">
        <f aca="false">IF($P168="","",ROUND(N($G168),2))</f>
        <v/>
      </c>
      <c r="S168" s="67" t="str">
        <f aca="false">""</f>
        <v/>
      </c>
      <c r="T168" s="70" t="str">
        <f aca="false">IF($S168="","",0)</f>
        <v/>
      </c>
      <c r="U168" s="70" t="str">
        <f aca="false">IF($S168="","",0)</f>
        <v/>
      </c>
      <c r="V168" s="66" t="str">
        <f aca="false">IF($B168="","",IF($B168="01水果",IFERROR(INDEX(对接源_01水果!$H$5:$H$507,MATCH(ROW()-3,对接源_01水果!$Q$5:$Q$507,0)),""),IFERROR(INDEX(对接源_02物料!$H$5:$H$460,MATCH(ROW()-3-N(对接源_01水果!$T$1),对接源_02物料!$Q$5:$Q$460,0)),"")))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69" customFormat="false" ht="18" hidden="false" customHeight="true" outlineLevel="0" collapsed="false">
      <c r="A169" s="66" t="n">
        <v>166</v>
      </c>
      <c r="B169" s="67" t="str">
        <f aca="false">IF(ROW()-3&lt;=N(对接源_01水果!$T$1),"01水果",IF(ROW()-3&lt;=N(对接源_01水果!$T$1)+N(对接源_02物料!$T$1),"02物料",""))</f>
        <v/>
      </c>
      <c r="C169" s="68" t="str">
        <f aca="false">IF($B169="","",IF($B169="01水果",IFERROR(INDEX(对接源_01水果!$B$5:$B$507,MATCH(ROW()-3,对接源_01水果!$Q$5:$Q$507,0)),""),IFERROR(INDEX(对接源_02物料!$B$5:$B$460,MATCH(ROW()-3-N(对接源_01水果!$T$1),对接源_02物料!$Q$5:$Q$460,0)),"")))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69" s="67" t="str">
        <f aca="false">IF($B169="","",IF($B169="01水果",IFERROR(INDEX(对接源_01水果!$C$5:$C$507,MATCH(ROW()-3,对接源_01水果!$Q$5:$Q$507,0)),""),IFERROR(INDEX(对接源_02物料!$C$5:$C$460,MATCH(ROW()-3-N(对接源_01水果!$T$1),对接源_02物料!$Q$5:$Q$460,0)),"")))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69" s="69" t="str">
        <f aca="false">IF($B169="","",IF($B169="01水果",IFERROR(INDEX(对接源_01水果!$D$5:$D$507,MATCH(ROW()-3,对接源_01水果!$Q$5:$Q$507,0)),""),IFERROR(INDEX(对接源_02物料!$D$5:$D$460,MATCH(ROW()-3-N(对接源_01水果!$T$1),对接源_02物料!$Q$5:$Q$460,0)),"")))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69" s="67" t="str">
        <f aca="false">IF($B169="","",IF($B169="01水果",IFERROR(INDEX(对接源_01水果!$E$5:$E$507,MATCH(ROW()-3,对接源_01水果!$Q$5:$Q$507,0)),""),IFERROR(INDEX(对接源_02物料!$E$5:$E$460,MATCH(ROW()-3-N(对接源_01水果!$T$1),对接源_02物料!$Q$5:$Q$460,0)),"")))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69" s="70" t="str">
        <f aca="false">IF($B169="","",IF($B169="01水果",IFERROR(INDEX(对接源_01水果!$F$5:$F$507,MATCH(ROW()-3,对接源_01水果!$Q$5:$Q$507,0)),""),IFERROR(INDEX(对接源_02物料!$F$5:$F$460,MATCH(ROW()-3-N(对接源_01水果!$T$1),对接源_02物料!$Q$5:$Q$460,0)),"")))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69" s="70" t="str">
        <f aca="false">IF($B169="","",IF($B169="01水果",IFERROR(INDEX(对接源_01水果!$G$5:$G$507,MATCH(ROW()-3,对接源_01水果!$Q$5:$Q$507,0)),""),IFERROR(INDEX(对接源_02物料!$G$5:$G$460,MATCH(ROW()-3-N(对接源_01水果!$T$1),对接源_02物料!$Q$5:$Q$460,0)),"")))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69" s="67" t="str">
        <f aca="false">IF(OR($D169="客户应收",$D169="成品销售款",$D169="公司购买果品款",$D169="筐子销售款",$D169="物料销售款"),"客户往来",IFERROR(INDEX(收入成本映射!$C$4:$C$34,MATCH($D169,收入成本映射!$B$4:$B$34,0)),"不记账"))</f>
        <v>不记账</v>
      </c>
      <c r="J169" s="67" t="str">
        <f aca="false">IF($B169="","","0%")</f>
        <v/>
      </c>
      <c r="K169" s="70" t="n">
        <f aca="false">IF($I169="不记账",0,ROUND(N($G169),2))</f>
        <v>0</v>
      </c>
      <c r="L169" s="70" t="n">
        <v>0</v>
      </c>
      <c r="M169" s="67" t="str">
        <f aca="false">IF(OR($I169="不记账",ROUND(N($G169),2)=0),"",IFERROR(INDEX(收入成本映射!$E$4:$E$34,MATCH($D169,收入成本映射!$B$4:$B$34,0)),""))</f>
        <v/>
      </c>
      <c r="N169" s="70" t="str">
        <f aca="false">IF($M169="","",ROUND(N($G169),2))</f>
        <v/>
      </c>
      <c r="O169" s="70" t="str">
        <f aca="false">IF($M169="","",0)</f>
        <v/>
      </c>
      <c r="P169" s="67" t="str">
        <f aca="false">IF($M169="","",IFERROR(INDEX(收入成本映射!$F$4:$F$34,MATCH($D169,收入成本映射!$B$4:$B$34,0)),""))</f>
        <v/>
      </c>
      <c r="Q169" s="70" t="str">
        <f aca="false">IF($P169="","",0)</f>
        <v/>
      </c>
      <c r="R169" s="70" t="str">
        <f aca="false">IF($P169="","",ROUND(N($G169),2))</f>
        <v/>
      </c>
      <c r="S169" s="67" t="str">
        <f aca="false">""</f>
        <v/>
      </c>
      <c r="T169" s="70" t="str">
        <f aca="false">IF($S169="","",0)</f>
        <v/>
      </c>
      <c r="U169" s="70" t="str">
        <f aca="false">IF($S169="","",0)</f>
        <v/>
      </c>
      <c r="V169" s="66" t="str">
        <f aca="false">IF($B169="","",IF($B169="01水果",IFERROR(INDEX(对接源_01水果!$H$5:$H$507,MATCH(ROW()-3,对接源_01水果!$Q$5:$Q$507,0)),""),IFERROR(INDEX(对接源_02物料!$H$5:$H$460,MATCH(ROW()-3-N(对接源_01水果!$T$1),对接源_02物料!$Q$5:$Q$460,0)),"")))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0" customFormat="false" ht="18" hidden="false" customHeight="true" outlineLevel="0" collapsed="false">
      <c r="A170" s="66" t="n">
        <v>167</v>
      </c>
      <c r="B170" s="67" t="str">
        <f aca="false">IF(ROW()-3&lt;=N(对接源_01水果!$T$1),"01水果",IF(ROW()-3&lt;=N(对接源_01水果!$T$1)+N(对接源_02物料!$T$1),"02物料",""))</f>
        <v/>
      </c>
      <c r="C170" s="68" t="str">
        <f aca="false">IF($B170="","",IF($B170="01水果",IFERROR(INDEX(对接源_01水果!$B$5:$B$507,MATCH(ROW()-3,对接源_01水果!$Q$5:$Q$507,0)),""),IFERROR(INDEX(对接源_02物料!$B$5:$B$460,MATCH(ROW()-3-N(对接源_01水果!$T$1),对接源_02物料!$Q$5:$Q$460,0)),"")))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0" s="67" t="str">
        <f aca="false">IF($B170="","",IF($B170="01水果",IFERROR(INDEX(对接源_01水果!$C$5:$C$507,MATCH(ROW()-3,对接源_01水果!$Q$5:$Q$507,0)),""),IFERROR(INDEX(对接源_02物料!$C$5:$C$460,MATCH(ROW()-3-N(对接源_01水果!$T$1),对接源_02物料!$Q$5:$Q$460,0)),"")))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0" s="69" t="str">
        <f aca="false">IF($B170="","",IF($B170="01水果",IFERROR(INDEX(对接源_01水果!$D$5:$D$507,MATCH(ROW()-3,对接源_01水果!$Q$5:$Q$507,0)),""),IFERROR(INDEX(对接源_02物料!$D$5:$D$460,MATCH(ROW()-3-N(对接源_01水果!$T$1),对接源_02物料!$Q$5:$Q$460,0)),"")))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0" s="67" t="str">
        <f aca="false">IF($B170="","",IF($B170="01水果",IFERROR(INDEX(对接源_01水果!$E$5:$E$507,MATCH(ROW()-3,对接源_01水果!$Q$5:$Q$507,0)),""),IFERROR(INDEX(对接源_02物料!$E$5:$E$460,MATCH(ROW()-3-N(对接源_01水果!$T$1),对接源_02物料!$Q$5:$Q$460,0)),"")))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0" s="70" t="str">
        <f aca="false">IF($B170="","",IF($B170="01水果",IFERROR(INDEX(对接源_01水果!$F$5:$F$507,MATCH(ROW()-3,对接源_01水果!$Q$5:$Q$507,0)),""),IFERROR(INDEX(对接源_02物料!$F$5:$F$460,MATCH(ROW()-3-N(对接源_01水果!$T$1),对接源_02物料!$Q$5:$Q$460,0)),"")))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0" s="70" t="str">
        <f aca="false">IF($B170="","",IF($B170="01水果",IFERROR(INDEX(对接源_01水果!$G$5:$G$507,MATCH(ROW()-3,对接源_01水果!$Q$5:$Q$507,0)),""),IFERROR(INDEX(对接源_02物料!$G$5:$G$460,MATCH(ROW()-3-N(对接源_01水果!$T$1),对接源_02物料!$Q$5:$Q$460,0)),"")))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0" s="67" t="str">
        <f aca="false">IF(OR($D170="客户应收",$D170="成品销售款",$D170="公司购买果品款",$D170="筐子销售款",$D170="物料销售款"),"客户往来",IFERROR(INDEX(收入成本映射!$C$4:$C$34,MATCH($D170,收入成本映射!$B$4:$B$34,0)),"不记账"))</f>
        <v>不记账</v>
      </c>
      <c r="J170" s="67" t="str">
        <f aca="false">IF($B170="","","0%")</f>
        <v/>
      </c>
      <c r="K170" s="70" t="n">
        <f aca="false">IF($I170="不记账",0,ROUND(N($G170),2))</f>
        <v>0</v>
      </c>
      <c r="L170" s="70" t="n">
        <v>0</v>
      </c>
      <c r="M170" s="67" t="str">
        <f aca="false">IF(OR($I170="不记账",ROUND(N($G170),2)=0),"",IFERROR(INDEX(收入成本映射!$E$4:$E$34,MATCH($D170,收入成本映射!$B$4:$B$34,0)),""))</f>
        <v/>
      </c>
      <c r="N170" s="70" t="str">
        <f aca="false">IF($M170="","",ROUND(N($G170),2))</f>
        <v/>
      </c>
      <c r="O170" s="70" t="str">
        <f aca="false">IF($M170="","",0)</f>
        <v/>
      </c>
      <c r="P170" s="67" t="str">
        <f aca="false">IF($M170="","",IFERROR(INDEX(收入成本映射!$F$4:$F$34,MATCH($D170,收入成本映射!$B$4:$B$34,0)),""))</f>
        <v/>
      </c>
      <c r="Q170" s="70" t="str">
        <f aca="false">IF($P170="","",0)</f>
        <v/>
      </c>
      <c r="R170" s="70" t="str">
        <f aca="false">IF($P170="","",ROUND(N($G170),2))</f>
        <v/>
      </c>
      <c r="S170" s="67" t="str">
        <f aca="false">""</f>
        <v/>
      </c>
      <c r="T170" s="70" t="str">
        <f aca="false">IF($S170="","",0)</f>
        <v/>
      </c>
      <c r="U170" s="70" t="str">
        <f aca="false">IF($S170="","",0)</f>
        <v/>
      </c>
      <c r="V170" s="66" t="str">
        <f aca="false">IF($B170="","",IF($B170="01水果",IFERROR(INDEX(对接源_01水果!$H$5:$H$507,MATCH(ROW()-3,对接源_01水果!$Q$5:$Q$507,0)),""),IFERROR(INDEX(对接源_02物料!$H$5:$H$460,MATCH(ROW()-3-N(对接源_01水果!$T$1),对接源_02物料!$Q$5:$Q$460,0)),"")))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1" customFormat="false" ht="18" hidden="false" customHeight="true" outlineLevel="0" collapsed="false">
      <c r="A171" s="66" t="n">
        <v>168</v>
      </c>
      <c r="B171" s="67" t="str">
        <f aca="false">IF(ROW()-3&lt;=N(对接源_01水果!$T$1),"01水果",IF(ROW()-3&lt;=N(对接源_01水果!$T$1)+N(对接源_02物料!$T$1),"02物料",""))</f>
        <v/>
      </c>
      <c r="C171" s="68" t="str">
        <f aca="false">IF($B171="","",IF($B171="01水果",IFERROR(INDEX(对接源_01水果!$B$5:$B$507,MATCH(ROW()-3,对接源_01水果!$Q$5:$Q$507,0)),""),IFERROR(INDEX(对接源_02物料!$B$5:$B$460,MATCH(ROW()-3-N(对接源_01水果!$T$1),对接源_02物料!$Q$5:$Q$460,0)),"")))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1" s="67" t="str">
        <f aca="false">IF($B171="","",IF($B171="01水果",IFERROR(INDEX(对接源_01水果!$C$5:$C$507,MATCH(ROW()-3,对接源_01水果!$Q$5:$Q$507,0)),""),IFERROR(INDEX(对接源_02物料!$C$5:$C$460,MATCH(ROW()-3-N(对接源_01水果!$T$1),对接源_02物料!$Q$5:$Q$460,0)),"")))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1" s="69" t="str">
        <f aca="false">IF($B171="","",IF($B171="01水果",IFERROR(INDEX(对接源_01水果!$D$5:$D$507,MATCH(ROW()-3,对接源_01水果!$Q$5:$Q$507,0)),""),IFERROR(INDEX(对接源_02物料!$D$5:$D$460,MATCH(ROW()-3-N(对接源_01水果!$T$1),对接源_02物料!$Q$5:$Q$460,0)),"")))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1" s="67" t="str">
        <f aca="false">IF($B171="","",IF($B171="01水果",IFERROR(INDEX(对接源_01水果!$E$5:$E$507,MATCH(ROW()-3,对接源_01水果!$Q$5:$Q$507,0)),""),IFERROR(INDEX(对接源_02物料!$E$5:$E$460,MATCH(ROW()-3-N(对接源_01水果!$T$1),对接源_02物料!$Q$5:$Q$460,0)),"")))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1" s="70" t="str">
        <f aca="false">IF($B171="","",IF($B171="01水果",IFERROR(INDEX(对接源_01水果!$F$5:$F$507,MATCH(ROW()-3,对接源_01水果!$Q$5:$Q$507,0)),""),IFERROR(INDEX(对接源_02物料!$F$5:$F$460,MATCH(ROW()-3-N(对接源_01水果!$T$1),对接源_02物料!$Q$5:$Q$460,0)),"")))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1" s="70" t="str">
        <f aca="false">IF($B171="","",IF($B171="01水果",IFERROR(INDEX(对接源_01水果!$G$5:$G$507,MATCH(ROW()-3,对接源_01水果!$Q$5:$Q$507,0)),""),IFERROR(INDEX(对接源_02物料!$G$5:$G$460,MATCH(ROW()-3-N(对接源_01水果!$T$1),对接源_02物料!$Q$5:$Q$460,0)),"")))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1" s="67" t="str">
        <f aca="false">IF(OR($D171="客户应收",$D171="成品销售款",$D171="公司购买果品款",$D171="筐子销售款",$D171="物料销售款"),"客户往来",IFERROR(INDEX(收入成本映射!$C$4:$C$34,MATCH($D171,收入成本映射!$B$4:$B$34,0)),"不记账"))</f>
        <v>不记账</v>
      </c>
      <c r="J171" s="67" t="str">
        <f aca="false">IF($B171="","","0%")</f>
        <v/>
      </c>
      <c r="K171" s="70" t="n">
        <f aca="false">IF($I171="不记账",0,ROUND(N($G171),2))</f>
        <v>0</v>
      </c>
      <c r="L171" s="70" t="n">
        <v>0</v>
      </c>
      <c r="M171" s="67" t="str">
        <f aca="false">IF(OR($I171="不记账",ROUND(N($G171),2)=0),"",IFERROR(INDEX(收入成本映射!$E$4:$E$34,MATCH($D171,收入成本映射!$B$4:$B$34,0)),""))</f>
        <v/>
      </c>
      <c r="N171" s="70" t="str">
        <f aca="false">IF($M171="","",ROUND(N($G171),2))</f>
        <v/>
      </c>
      <c r="O171" s="70" t="str">
        <f aca="false">IF($M171="","",0)</f>
        <v/>
      </c>
      <c r="P171" s="67" t="str">
        <f aca="false">IF($M171="","",IFERROR(INDEX(收入成本映射!$F$4:$F$34,MATCH($D171,收入成本映射!$B$4:$B$34,0)),""))</f>
        <v/>
      </c>
      <c r="Q171" s="70" t="str">
        <f aca="false">IF($P171="","",0)</f>
        <v/>
      </c>
      <c r="R171" s="70" t="str">
        <f aca="false">IF($P171="","",ROUND(N($G171),2))</f>
        <v/>
      </c>
      <c r="S171" s="67" t="str">
        <f aca="false">""</f>
        <v/>
      </c>
      <c r="T171" s="70" t="str">
        <f aca="false">IF($S171="","",0)</f>
        <v/>
      </c>
      <c r="U171" s="70" t="str">
        <f aca="false">IF($S171="","",0)</f>
        <v/>
      </c>
      <c r="V171" s="66" t="str">
        <f aca="false">IF($B171="","",IF($B171="01水果",IFERROR(INDEX(对接源_01水果!$H$5:$H$507,MATCH(ROW()-3,对接源_01水果!$Q$5:$Q$507,0)),""),IFERROR(INDEX(对接源_02物料!$H$5:$H$460,MATCH(ROW()-3-N(对接源_01水果!$T$1),对接源_02物料!$Q$5:$Q$460,0)),"")))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2" customFormat="false" ht="18" hidden="false" customHeight="true" outlineLevel="0" collapsed="false">
      <c r="A172" s="66" t="n">
        <v>169</v>
      </c>
      <c r="B172" s="67" t="str">
        <f aca="false">IF(ROW()-3&lt;=N(对接源_01水果!$T$1),"01水果",IF(ROW()-3&lt;=N(对接源_01水果!$T$1)+N(对接源_02物料!$T$1),"02物料",""))</f>
        <v/>
      </c>
      <c r="C172" s="68" t="str">
        <f aca="false">IF($B172="","",IF($B172="01水果",IFERROR(INDEX(对接源_01水果!$B$5:$B$507,MATCH(ROW()-3,对接源_01水果!$Q$5:$Q$507,0)),""),IFERROR(INDEX(对接源_02物料!$B$5:$B$460,MATCH(ROW()-3-N(对接源_01水果!$T$1),对接源_02物料!$Q$5:$Q$460,0)),"")))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2" s="67" t="str">
        <f aca="false">IF($B172="","",IF($B172="01水果",IFERROR(INDEX(对接源_01水果!$C$5:$C$507,MATCH(ROW()-3,对接源_01水果!$Q$5:$Q$507,0)),""),IFERROR(INDEX(对接源_02物料!$C$5:$C$460,MATCH(ROW()-3-N(对接源_01水果!$T$1),对接源_02物料!$Q$5:$Q$460,0)),"")))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2" s="69" t="str">
        <f aca="false">IF($B172="","",IF($B172="01水果",IFERROR(INDEX(对接源_01水果!$D$5:$D$507,MATCH(ROW()-3,对接源_01水果!$Q$5:$Q$507,0)),""),IFERROR(INDEX(对接源_02物料!$D$5:$D$460,MATCH(ROW()-3-N(对接源_01水果!$T$1),对接源_02物料!$Q$5:$Q$460,0)),"")))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2" s="67" t="str">
        <f aca="false">IF($B172="","",IF($B172="01水果",IFERROR(INDEX(对接源_01水果!$E$5:$E$507,MATCH(ROW()-3,对接源_01水果!$Q$5:$Q$507,0)),""),IFERROR(INDEX(对接源_02物料!$E$5:$E$460,MATCH(ROW()-3-N(对接源_01水果!$T$1),对接源_02物料!$Q$5:$Q$460,0)),"")))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2" s="70" t="str">
        <f aca="false">IF($B172="","",IF($B172="01水果",IFERROR(INDEX(对接源_01水果!$F$5:$F$507,MATCH(ROW()-3,对接源_01水果!$Q$5:$Q$507,0)),""),IFERROR(INDEX(对接源_02物料!$F$5:$F$460,MATCH(ROW()-3-N(对接源_01水果!$T$1),对接源_02物料!$Q$5:$Q$460,0)),"")))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2" s="70" t="str">
        <f aca="false">IF($B172="","",IF($B172="01水果",IFERROR(INDEX(对接源_01水果!$G$5:$G$507,MATCH(ROW()-3,对接源_01水果!$Q$5:$Q$507,0)),""),IFERROR(INDEX(对接源_02物料!$G$5:$G$460,MATCH(ROW()-3-N(对接源_01水果!$T$1),对接源_02物料!$Q$5:$Q$460,0)),"")))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2" s="67" t="str">
        <f aca="false">IF(OR($D172="客户应收",$D172="成品销售款",$D172="公司购买果品款",$D172="筐子销售款",$D172="物料销售款"),"客户往来",IFERROR(INDEX(收入成本映射!$C$4:$C$34,MATCH($D172,收入成本映射!$B$4:$B$34,0)),"不记账"))</f>
        <v>不记账</v>
      </c>
      <c r="J172" s="67" t="str">
        <f aca="false">IF($B172="","","0%")</f>
        <v/>
      </c>
      <c r="K172" s="70" t="n">
        <f aca="false">IF($I172="不记账",0,ROUND(N($G172),2))</f>
        <v>0</v>
      </c>
      <c r="L172" s="70" t="n">
        <v>0</v>
      </c>
      <c r="M172" s="67" t="str">
        <f aca="false">IF(OR($I172="不记账",ROUND(N($G172),2)=0),"",IFERROR(INDEX(收入成本映射!$E$4:$E$34,MATCH($D172,收入成本映射!$B$4:$B$34,0)),""))</f>
        <v/>
      </c>
      <c r="N172" s="70" t="str">
        <f aca="false">IF($M172="","",ROUND(N($G172),2))</f>
        <v/>
      </c>
      <c r="O172" s="70" t="str">
        <f aca="false">IF($M172="","",0)</f>
        <v/>
      </c>
      <c r="P172" s="67" t="str">
        <f aca="false">IF($M172="","",IFERROR(INDEX(收入成本映射!$F$4:$F$34,MATCH($D172,收入成本映射!$B$4:$B$34,0)),""))</f>
        <v/>
      </c>
      <c r="Q172" s="70" t="str">
        <f aca="false">IF($P172="","",0)</f>
        <v/>
      </c>
      <c r="R172" s="70" t="str">
        <f aca="false">IF($P172="","",ROUND(N($G172),2))</f>
        <v/>
      </c>
      <c r="S172" s="67" t="str">
        <f aca="false">""</f>
        <v/>
      </c>
      <c r="T172" s="70" t="str">
        <f aca="false">IF($S172="","",0)</f>
        <v/>
      </c>
      <c r="U172" s="70" t="str">
        <f aca="false">IF($S172="","",0)</f>
        <v/>
      </c>
      <c r="V172" s="66" t="str">
        <f aca="false">IF($B172="","",IF($B172="01水果",IFERROR(INDEX(对接源_01水果!$H$5:$H$507,MATCH(ROW()-3,对接源_01水果!$Q$5:$Q$507,0)),""),IFERROR(INDEX(对接源_02物料!$H$5:$H$460,MATCH(ROW()-3-N(对接源_01水果!$T$1),对接源_02物料!$Q$5:$Q$460,0)),"")))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3" customFormat="false" ht="18" hidden="false" customHeight="true" outlineLevel="0" collapsed="false">
      <c r="A173" s="66" t="n">
        <v>170</v>
      </c>
      <c r="B173" s="67" t="str">
        <f aca="false">IF(ROW()-3&lt;=N(对接源_01水果!$T$1),"01水果",IF(ROW()-3&lt;=N(对接源_01水果!$T$1)+N(对接源_02物料!$T$1),"02物料",""))</f>
        <v/>
      </c>
      <c r="C173" s="68" t="str">
        <f aca="false">IF($B173="","",IF($B173="01水果",IFERROR(INDEX(对接源_01水果!$B$5:$B$507,MATCH(ROW()-3,对接源_01水果!$Q$5:$Q$507,0)),""),IFERROR(INDEX(对接源_02物料!$B$5:$B$460,MATCH(ROW()-3-N(对接源_01水果!$T$1),对接源_02物料!$Q$5:$Q$460,0)),"")))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3" s="67" t="str">
        <f aca="false">IF($B173="","",IF($B173="01水果",IFERROR(INDEX(对接源_01水果!$C$5:$C$507,MATCH(ROW()-3,对接源_01水果!$Q$5:$Q$507,0)),""),IFERROR(INDEX(对接源_02物料!$C$5:$C$460,MATCH(ROW()-3-N(对接源_01水果!$T$1),对接源_02物料!$Q$5:$Q$460,0)),"")))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3" s="69" t="str">
        <f aca="false">IF($B173="","",IF($B173="01水果",IFERROR(INDEX(对接源_01水果!$D$5:$D$507,MATCH(ROW()-3,对接源_01水果!$Q$5:$Q$507,0)),""),IFERROR(INDEX(对接源_02物料!$D$5:$D$460,MATCH(ROW()-3-N(对接源_01水果!$T$1),对接源_02物料!$Q$5:$Q$460,0)),"")))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3" s="67" t="str">
        <f aca="false">IF($B173="","",IF($B173="01水果",IFERROR(INDEX(对接源_01水果!$E$5:$E$507,MATCH(ROW()-3,对接源_01水果!$Q$5:$Q$507,0)),""),IFERROR(INDEX(对接源_02物料!$E$5:$E$460,MATCH(ROW()-3-N(对接源_01水果!$T$1),对接源_02物料!$Q$5:$Q$460,0)),"")))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3" s="70" t="str">
        <f aca="false">IF($B173="","",IF($B173="01水果",IFERROR(INDEX(对接源_01水果!$F$5:$F$507,MATCH(ROW()-3,对接源_01水果!$Q$5:$Q$507,0)),""),IFERROR(INDEX(对接源_02物料!$F$5:$F$460,MATCH(ROW()-3-N(对接源_01水果!$T$1),对接源_02物料!$Q$5:$Q$460,0)),"")))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3" s="70" t="str">
        <f aca="false">IF($B173="","",IF($B173="01水果",IFERROR(INDEX(对接源_01水果!$G$5:$G$507,MATCH(ROW()-3,对接源_01水果!$Q$5:$Q$507,0)),""),IFERROR(INDEX(对接源_02物料!$G$5:$G$460,MATCH(ROW()-3-N(对接源_01水果!$T$1),对接源_02物料!$Q$5:$Q$460,0)),"")))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3" s="67" t="str">
        <f aca="false">IF(OR($D173="客户应收",$D173="成品销售款",$D173="公司购买果品款",$D173="筐子销售款",$D173="物料销售款"),"客户往来",IFERROR(INDEX(收入成本映射!$C$4:$C$34,MATCH($D173,收入成本映射!$B$4:$B$34,0)),"不记账"))</f>
        <v>不记账</v>
      </c>
      <c r="J173" s="67" t="str">
        <f aca="false">IF($B173="","","0%")</f>
        <v/>
      </c>
      <c r="K173" s="70" t="n">
        <f aca="false">IF($I173="不记账",0,ROUND(N($G173),2))</f>
        <v>0</v>
      </c>
      <c r="L173" s="70" t="n">
        <v>0</v>
      </c>
      <c r="M173" s="67" t="str">
        <f aca="false">IF(OR($I173="不记账",ROUND(N($G173),2)=0),"",IFERROR(INDEX(收入成本映射!$E$4:$E$34,MATCH($D173,收入成本映射!$B$4:$B$34,0)),""))</f>
        <v/>
      </c>
      <c r="N173" s="70" t="str">
        <f aca="false">IF($M173="","",ROUND(N($G173),2))</f>
        <v/>
      </c>
      <c r="O173" s="70" t="str">
        <f aca="false">IF($M173="","",0)</f>
        <v/>
      </c>
      <c r="P173" s="67" t="str">
        <f aca="false">IF($M173="","",IFERROR(INDEX(收入成本映射!$F$4:$F$34,MATCH($D173,收入成本映射!$B$4:$B$34,0)),""))</f>
        <v/>
      </c>
      <c r="Q173" s="70" t="str">
        <f aca="false">IF($P173="","",0)</f>
        <v/>
      </c>
      <c r="R173" s="70" t="str">
        <f aca="false">IF($P173="","",ROUND(N($G173),2))</f>
        <v/>
      </c>
      <c r="S173" s="67" t="str">
        <f aca="false">""</f>
        <v/>
      </c>
      <c r="T173" s="70" t="str">
        <f aca="false">IF($S173="","",0)</f>
        <v/>
      </c>
      <c r="U173" s="70" t="str">
        <f aca="false">IF($S173="","",0)</f>
        <v/>
      </c>
      <c r="V173" s="66" t="str">
        <f aca="false">IF($B173="","",IF($B173="01水果",IFERROR(INDEX(对接源_01水果!$H$5:$H$507,MATCH(ROW()-3,对接源_01水果!$Q$5:$Q$507,0)),""),IFERROR(INDEX(对接源_02物料!$H$5:$H$460,MATCH(ROW()-3-N(对接源_01水果!$T$1),对接源_02物料!$Q$5:$Q$460,0)),"")))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4" customFormat="false" ht="18" hidden="false" customHeight="true" outlineLevel="0" collapsed="false">
      <c r="A174" s="66" t="n">
        <v>171</v>
      </c>
      <c r="B174" s="67" t="str">
        <f aca="false">IF(ROW()-3&lt;=N(对接源_01水果!$T$1),"01水果",IF(ROW()-3&lt;=N(对接源_01水果!$T$1)+N(对接源_02物料!$T$1),"02物料",""))</f>
        <v/>
      </c>
      <c r="C174" s="68" t="str">
        <f aca="false">IF($B174="","",IF($B174="01水果",IFERROR(INDEX(对接源_01水果!$B$5:$B$507,MATCH(ROW()-3,对接源_01水果!$Q$5:$Q$507,0)),""),IFERROR(INDEX(对接源_02物料!$B$5:$B$460,MATCH(ROW()-3-N(对接源_01水果!$T$1),对接源_02物料!$Q$5:$Q$460,0)),"")))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4" s="67" t="str">
        <f aca="false">IF($B174="","",IF($B174="01水果",IFERROR(INDEX(对接源_01水果!$C$5:$C$507,MATCH(ROW()-3,对接源_01水果!$Q$5:$Q$507,0)),""),IFERROR(INDEX(对接源_02物料!$C$5:$C$460,MATCH(ROW()-3-N(对接源_01水果!$T$1),对接源_02物料!$Q$5:$Q$460,0)),"")))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4" s="69" t="str">
        <f aca="false">IF($B174="","",IF($B174="01水果",IFERROR(INDEX(对接源_01水果!$D$5:$D$507,MATCH(ROW()-3,对接源_01水果!$Q$5:$Q$507,0)),""),IFERROR(INDEX(对接源_02物料!$D$5:$D$460,MATCH(ROW()-3-N(对接源_01水果!$T$1),对接源_02物料!$Q$5:$Q$460,0)),"")))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4" s="67" t="str">
        <f aca="false">IF($B174="","",IF($B174="01水果",IFERROR(INDEX(对接源_01水果!$E$5:$E$507,MATCH(ROW()-3,对接源_01水果!$Q$5:$Q$507,0)),""),IFERROR(INDEX(对接源_02物料!$E$5:$E$460,MATCH(ROW()-3-N(对接源_01水果!$T$1),对接源_02物料!$Q$5:$Q$460,0)),"")))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4" s="70" t="str">
        <f aca="false">IF($B174="","",IF($B174="01水果",IFERROR(INDEX(对接源_01水果!$F$5:$F$507,MATCH(ROW()-3,对接源_01水果!$Q$5:$Q$507,0)),""),IFERROR(INDEX(对接源_02物料!$F$5:$F$460,MATCH(ROW()-3-N(对接源_01水果!$T$1),对接源_02物料!$Q$5:$Q$460,0)),"")))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4" s="70" t="str">
        <f aca="false">IF($B174="","",IF($B174="01水果",IFERROR(INDEX(对接源_01水果!$G$5:$G$507,MATCH(ROW()-3,对接源_01水果!$Q$5:$Q$507,0)),""),IFERROR(INDEX(对接源_02物料!$G$5:$G$460,MATCH(ROW()-3-N(对接源_01水果!$T$1),对接源_02物料!$Q$5:$Q$460,0)),"")))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4" s="67" t="str">
        <f aca="false">IF(OR($D174="客户应收",$D174="成品销售款",$D174="公司购买果品款",$D174="筐子销售款",$D174="物料销售款"),"客户往来",IFERROR(INDEX(收入成本映射!$C$4:$C$34,MATCH($D174,收入成本映射!$B$4:$B$34,0)),"不记账"))</f>
        <v>不记账</v>
      </c>
      <c r="J174" s="67" t="str">
        <f aca="false">IF($B174="","","0%")</f>
        <v/>
      </c>
      <c r="K174" s="70" t="n">
        <f aca="false">IF($I174="不记账",0,ROUND(N($G174),2))</f>
        <v>0</v>
      </c>
      <c r="L174" s="70" t="n">
        <v>0</v>
      </c>
      <c r="M174" s="67" t="str">
        <f aca="false">IF(OR($I174="不记账",ROUND(N($G174),2)=0),"",IFERROR(INDEX(收入成本映射!$E$4:$E$34,MATCH($D174,收入成本映射!$B$4:$B$34,0)),""))</f>
        <v/>
      </c>
      <c r="N174" s="70" t="str">
        <f aca="false">IF($M174="","",ROUND(N($G174),2))</f>
        <v/>
      </c>
      <c r="O174" s="70" t="str">
        <f aca="false">IF($M174="","",0)</f>
        <v/>
      </c>
      <c r="P174" s="67" t="str">
        <f aca="false">IF($M174="","",IFERROR(INDEX(收入成本映射!$F$4:$F$34,MATCH($D174,收入成本映射!$B$4:$B$34,0)),""))</f>
        <v/>
      </c>
      <c r="Q174" s="70" t="str">
        <f aca="false">IF($P174="","",0)</f>
        <v/>
      </c>
      <c r="R174" s="70" t="str">
        <f aca="false">IF($P174="","",ROUND(N($G174),2))</f>
        <v/>
      </c>
      <c r="S174" s="67" t="str">
        <f aca="false">""</f>
        <v/>
      </c>
      <c r="T174" s="70" t="str">
        <f aca="false">IF($S174="","",0)</f>
        <v/>
      </c>
      <c r="U174" s="70" t="str">
        <f aca="false">IF($S174="","",0)</f>
        <v/>
      </c>
      <c r="V174" s="66" t="str">
        <f aca="false">IF($B174="","",IF($B174="01水果",IFERROR(INDEX(对接源_01水果!$H$5:$H$507,MATCH(ROW()-3,对接源_01水果!$Q$5:$Q$507,0)),""),IFERROR(INDEX(对接源_02物料!$H$5:$H$460,MATCH(ROW()-3-N(对接源_01水果!$T$1),对接源_02物料!$Q$5:$Q$460,0)),"")))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5" customFormat="false" ht="18" hidden="false" customHeight="true" outlineLevel="0" collapsed="false">
      <c r="A175" s="66" t="n">
        <v>172</v>
      </c>
      <c r="B175" s="67" t="str">
        <f aca="false">IF(ROW()-3&lt;=N(对接源_01水果!$T$1),"01水果",IF(ROW()-3&lt;=N(对接源_01水果!$T$1)+N(对接源_02物料!$T$1),"02物料",""))</f>
        <v/>
      </c>
      <c r="C175" s="68" t="str">
        <f aca="false">IF($B175="","",IF($B175="01水果",IFERROR(INDEX(对接源_01水果!$B$5:$B$507,MATCH(ROW()-3,对接源_01水果!$Q$5:$Q$507,0)),""),IFERROR(INDEX(对接源_02物料!$B$5:$B$460,MATCH(ROW()-3-N(对接源_01水果!$T$1),对接源_02物料!$Q$5:$Q$460,0)),"")))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5" s="67" t="str">
        <f aca="false">IF($B175="","",IF($B175="01水果",IFERROR(INDEX(对接源_01水果!$C$5:$C$507,MATCH(ROW()-3,对接源_01水果!$Q$5:$Q$507,0)),""),IFERROR(INDEX(对接源_02物料!$C$5:$C$460,MATCH(ROW()-3-N(对接源_01水果!$T$1),对接源_02物料!$Q$5:$Q$460,0)),"")))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5" s="69" t="str">
        <f aca="false">IF($B175="","",IF($B175="01水果",IFERROR(INDEX(对接源_01水果!$D$5:$D$507,MATCH(ROW()-3,对接源_01水果!$Q$5:$Q$507,0)),""),IFERROR(INDEX(对接源_02物料!$D$5:$D$460,MATCH(ROW()-3-N(对接源_01水果!$T$1),对接源_02物料!$Q$5:$Q$460,0)),"")))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5" s="67" t="str">
        <f aca="false">IF($B175="","",IF($B175="01水果",IFERROR(INDEX(对接源_01水果!$E$5:$E$507,MATCH(ROW()-3,对接源_01水果!$Q$5:$Q$507,0)),""),IFERROR(INDEX(对接源_02物料!$E$5:$E$460,MATCH(ROW()-3-N(对接源_01水果!$T$1),对接源_02物料!$Q$5:$Q$460,0)),"")))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5" s="70" t="str">
        <f aca="false">IF($B175="","",IF($B175="01水果",IFERROR(INDEX(对接源_01水果!$F$5:$F$507,MATCH(ROW()-3,对接源_01水果!$Q$5:$Q$507,0)),""),IFERROR(INDEX(对接源_02物料!$F$5:$F$460,MATCH(ROW()-3-N(对接源_01水果!$T$1),对接源_02物料!$Q$5:$Q$460,0)),"")))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5" s="70" t="str">
        <f aca="false">IF($B175="","",IF($B175="01水果",IFERROR(INDEX(对接源_01水果!$G$5:$G$507,MATCH(ROW()-3,对接源_01水果!$Q$5:$Q$507,0)),""),IFERROR(INDEX(对接源_02物料!$G$5:$G$460,MATCH(ROW()-3-N(对接源_01水果!$T$1),对接源_02物料!$Q$5:$Q$460,0)),"")))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5" s="67" t="str">
        <f aca="false">IF(OR($D175="客户应收",$D175="成品销售款",$D175="公司购买果品款",$D175="筐子销售款",$D175="物料销售款"),"客户往来",IFERROR(INDEX(收入成本映射!$C$4:$C$34,MATCH($D175,收入成本映射!$B$4:$B$34,0)),"不记账"))</f>
        <v>不记账</v>
      </c>
      <c r="J175" s="67" t="str">
        <f aca="false">IF($B175="","","0%")</f>
        <v/>
      </c>
      <c r="K175" s="70" t="n">
        <f aca="false">IF($I175="不记账",0,ROUND(N($G175),2))</f>
        <v>0</v>
      </c>
      <c r="L175" s="70" t="n">
        <v>0</v>
      </c>
      <c r="M175" s="67" t="str">
        <f aca="false">IF(OR($I175="不记账",ROUND(N($G175),2)=0),"",IFERROR(INDEX(收入成本映射!$E$4:$E$34,MATCH($D175,收入成本映射!$B$4:$B$34,0)),""))</f>
        <v/>
      </c>
      <c r="N175" s="70" t="str">
        <f aca="false">IF($M175="","",ROUND(N($G175),2))</f>
        <v/>
      </c>
      <c r="O175" s="70" t="str">
        <f aca="false">IF($M175="","",0)</f>
        <v/>
      </c>
      <c r="P175" s="67" t="str">
        <f aca="false">IF($M175="","",IFERROR(INDEX(收入成本映射!$F$4:$F$34,MATCH($D175,收入成本映射!$B$4:$B$34,0)),""))</f>
        <v/>
      </c>
      <c r="Q175" s="70" t="str">
        <f aca="false">IF($P175="","",0)</f>
        <v/>
      </c>
      <c r="R175" s="70" t="str">
        <f aca="false">IF($P175="","",ROUND(N($G175),2))</f>
        <v/>
      </c>
      <c r="S175" s="67" t="str">
        <f aca="false">""</f>
        <v/>
      </c>
      <c r="T175" s="70" t="str">
        <f aca="false">IF($S175="","",0)</f>
        <v/>
      </c>
      <c r="U175" s="70" t="str">
        <f aca="false">IF($S175="","",0)</f>
        <v/>
      </c>
      <c r="V175" s="66" t="str">
        <f aca="false">IF($B175="","",IF($B175="01水果",IFERROR(INDEX(对接源_01水果!$H$5:$H$507,MATCH(ROW()-3,对接源_01水果!$Q$5:$Q$507,0)),""),IFERROR(INDEX(对接源_02物料!$H$5:$H$460,MATCH(ROW()-3-N(对接源_01水果!$T$1),对接源_02物料!$Q$5:$Q$460,0)),"")))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6" customFormat="false" ht="18" hidden="false" customHeight="true" outlineLevel="0" collapsed="false">
      <c r="A176" s="66" t="n">
        <v>173</v>
      </c>
      <c r="B176" s="67" t="str">
        <f aca="false">IF(ROW()-3&lt;=N(对接源_01水果!$T$1),"01水果",IF(ROW()-3&lt;=N(对接源_01水果!$T$1)+N(对接源_02物料!$T$1),"02物料",""))</f>
        <v/>
      </c>
      <c r="C176" s="68" t="str">
        <f aca="false">IF($B176="","",IF($B176="01水果",IFERROR(INDEX(对接源_01水果!$B$5:$B$507,MATCH(ROW()-3,对接源_01水果!$Q$5:$Q$507,0)),""),IFERROR(INDEX(对接源_02物料!$B$5:$B$460,MATCH(ROW()-3-N(对接源_01水果!$T$1),对接源_02物料!$Q$5:$Q$460,0)),"")))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6" s="67" t="str">
        <f aca="false">IF($B176="","",IF($B176="01水果",IFERROR(INDEX(对接源_01水果!$C$5:$C$507,MATCH(ROW()-3,对接源_01水果!$Q$5:$Q$507,0)),""),IFERROR(INDEX(对接源_02物料!$C$5:$C$460,MATCH(ROW()-3-N(对接源_01水果!$T$1),对接源_02物料!$Q$5:$Q$460,0)),"")))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6" s="69" t="str">
        <f aca="false">IF($B176="","",IF($B176="01水果",IFERROR(INDEX(对接源_01水果!$D$5:$D$507,MATCH(ROW()-3,对接源_01水果!$Q$5:$Q$507,0)),""),IFERROR(INDEX(对接源_02物料!$D$5:$D$460,MATCH(ROW()-3-N(对接源_01水果!$T$1),对接源_02物料!$Q$5:$Q$460,0)),"")))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6" s="67" t="str">
        <f aca="false">IF($B176="","",IF($B176="01水果",IFERROR(INDEX(对接源_01水果!$E$5:$E$507,MATCH(ROW()-3,对接源_01水果!$Q$5:$Q$507,0)),""),IFERROR(INDEX(对接源_02物料!$E$5:$E$460,MATCH(ROW()-3-N(对接源_01水果!$T$1),对接源_02物料!$Q$5:$Q$460,0)),"")))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6" s="70" t="str">
        <f aca="false">IF($B176="","",IF($B176="01水果",IFERROR(INDEX(对接源_01水果!$F$5:$F$507,MATCH(ROW()-3,对接源_01水果!$Q$5:$Q$507,0)),""),IFERROR(INDEX(对接源_02物料!$F$5:$F$460,MATCH(ROW()-3-N(对接源_01水果!$T$1),对接源_02物料!$Q$5:$Q$460,0)),"")))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6" s="70" t="str">
        <f aca="false">IF($B176="","",IF($B176="01水果",IFERROR(INDEX(对接源_01水果!$G$5:$G$507,MATCH(ROW()-3,对接源_01水果!$Q$5:$Q$507,0)),""),IFERROR(INDEX(对接源_02物料!$G$5:$G$460,MATCH(ROW()-3-N(对接源_01水果!$T$1),对接源_02物料!$Q$5:$Q$460,0)),"")))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6" s="67" t="str">
        <f aca="false">IF(OR($D176="客户应收",$D176="成品销售款",$D176="公司购买果品款",$D176="筐子销售款",$D176="物料销售款"),"客户往来",IFERROR(INDEX(收入成本映射!$C$4:$C$34,MATCH($D176,收入成本映射!$B$4:$B$34,0)),"不记账"))</f>
        <v>不记账</v>
      </c>
      <c r="J176" s="67" t="str">
        <f aca="false">IF($B176="","","0%")</f>
        <v/>
      </c>
      <c r="K176" s="70" t="n">
        <f aca="false">IF($I176="不记账",0,ROUND(N($G176),2))</f>
        <v>0</v>
      </c>
      <c r="L176" s="70" t="n">
        <v>0</v>
      </c>
      <c r="M176" s="67" t="str">
        <f aca="false">IF(OR($I176="不记账",ROUND(N($G176),2)=0),"",IFERROR(INDEX(收入成本映射!$E$4:$E$34,MATCH($D176,收入成本映射!$B$4:$B$34,0)),""))</f>
        <v/>
      </c>
      <c r="N176" s="70" t="str">
        <f aca="false">IF($M176="","",ROUND(N($G176),2))</f>
        <v/>
      </c>
      <c r="O176" s="70" t="str">
        <f aca="false">IF($M176="","",0)</f>
        <v/>
      </c>
      <c r="P176" s="67" t="str">
        <f aca="false">IF($M176="","",IFERROR(INDEX(收入成本映射!$F$4:$F$34,MATCH($D176,收入成本映射!$B$4:$B$34,0)),""))</f>
        <v/>
      </c>
      <c r="Q176" s="70" t="str">
        <f aca="false">IF($P176="","",0)</f>
        <v/>
      </c>
      <c r="R176" s="70" t="str">
        <f aca="false">IF($P176="","",ROUND(N($G176),2))</f>
        <v/>
      </c>
      <c r="S176" s="67" t="str">
        <f aca="false">""</f>
        <v/>
      </c>
      <c r="T176" s="70" t="str">
        <f aca="false">IF($S176="","",0)</f>
        <v/>
      </c>
      <c r="U176" s="70" t="str">
        <f aca="false">IF($S176="","",0)</f>
        <v/>
      </c>
      <c r="V176" s="66" t="str">
        <f aca="false">IF($B176="","",IF($B176="01水果",IFERROR(INDEX(对接源_01水果!$H$5:$H$507,MATCH(ROW()-3,对接源_01水果!$Q$5:$Q$507,0)),""),IFERROR(INDEX(对接源_02物料!$H$5:$H$460,MATCH(ROW()-3-N(对接源_01水果!$T$1),对接源_02物料!$Q$5:$Q$460,0)),"")))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7" customFormat="false" ht="18" hidden="false" customHeight="true" outlineLevel="0" collapsed="false">
      <c r="A177" s="66" t="n">
        <v>174</v>
      </c>
      <c r="B177" s="67" t="str">
        <f aca="false">IF(ROW()-3&lt;=N(对接源_01水果!$T$1),"01水果",IF(ROW()-3&lt;=N(对接源_01水果!$T$1)+N(对接源_02物料!$T$1),"02物料",""))</f>
        <v/>
      </c>
      <c r="C177" s="68" t="str">
        <f aca="false">IF($B177="","",IF($B177="01水果",IFERROR(INDEX(对接源_01水果!$B$5:$B$507,MATCH(ROW()-3,对接源_01水果!$Q$5:$Q$507,0)),""),IFERROR(INDEX(对接源_02物料!$B$5:$B$460,MATCH(ROW()-3-N(对接源_01水果!$T$1),对接源_02物料!$Q$5:$Q$460,0)),"")))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7" s="67" t="str">
        <f aca="false">IF($B177="","",IF($B177="01水果",IFERROR(INDEX(对接源_01水果!$C$5:$C$507,MATCH(ROW()-3,对接源_01水果!$Q$5:$Q$507,0)),""),IFERROR(INDEX(对接源_02物料!$C$5:$C$460,MATCH(ROW()-3-N(对接源_01水果!$T$1),对接源_02物料!$Q$5:$Q$460,0)),"")))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7" s="69" t="str">
        <f aca="false">IF($B177="","",IF($B177="01水果",IFERROR(INDEX(对接源_01水果!$D$5:$D$507,MATCH(ROW()-3,对接源_01水果!$Q$5:$Q$507,0)),""),IFERROR(INDEX(对接源_02物料!$D$5:$D$460,MATCH(ROW()-3-N(对接源_01水果!$T$1),对接源_02物料!$Q$5:$Q$460,0)),"")))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7" s="67" t="str">
        <f aca="false">IF($B177="","",IF($B177="01水果",IFERROR(INDEX(对接源_01水果!$E$5:$E$507,MATCH(ROW()-3,对接源_01水果!$Q$5:$Q$507,0)),""),IFERROR(INDEX(对接源_02物料!$E$5:$E$460,MATCH(ROW()-3-N(对接源_01水果!$T$1),对接源_02物料!$Q$5:$Q$460,0)),"")))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7" s="70" t="str">
        <f aca="false">IF($B177="","",IF($B177="01水果",IFERROR(INDEX(对接源_01水果!$F$5:$F$507,MATCH(ROW()-3,对接源_01水果!$Q$5:$Q$507,0)),""),IFERROR(INDEX(对接源_02物料!$F$5:$F$460,MATCH(ROW()-3-N(对接源_01水果!$T$1),对接源_02物料!$Q$5:$Q$460,0)),"")))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7" s="70" t="str">
        <f aca="false">IF($B177="","",IF($B177="01水果",IFERROR(INDEX(对接源_01水果!$G$5:$G$507,MATCH(ROW()-3,对接源_01水果!$Q$5:$Q$507,0)),""),IFERROR(INDEX(对接源_02物料!$G$5:$G$460,MATCH(ROW()-3-N(对接源_01水果!$T$1),对接源_02物料!$Q$5:$Q$460,0)),"")))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7" s="67" t="str">
        <f aca="false">IF(OR($D177="客户应收",$D177="成品销售款",$D177="公司购买果品款",$D177="筐子销售款",$D177="物料销售款"),"客户往来",IFERROR(INDEX(收入成本映射!$C$4:$C$34,MATCH($D177,收入成本映射!$B$4:$B$34,0)),"不记账"))</f>
        <v>不记账</v>
      </c>
      <c r="J177" s="67" t="str">
        <f aca="false">IF($B177="","","0%")</f>
        <v/>
      </c>
      <c r="K177" s="70" t="n">
        <f aca="false">IF($I177="不记账",0,ROUND(N($G177),2))</f>
        <v>0</v>
      </c>
      <c r="L177" s="70" t="n">
        <v>0</v>
      </c>
      <c r="M177" s="67" t="str">
        <f aca="false">IF(OR($I177="不记账",ROUND(N($G177),2)=0),"",IFERROR(INDEX(收入成本映射!$E$4:$E$34,MATCH($D177,收入成本映射!$B$4:$B$34,0)),""))</f>
        <v/>
      </c>
      <c r="N177" s="70" t="str">
        <f aca="false">IF($M177="","",ROUND(N($G177),2))</f>
        <v/>
      </c>
      <c r="O177" s="70" t="str">
        <f aca="false">IF($M177="","",0)</f>
        <v/>
      </c>
      <c r="P177" s="67" t="str">
        <f aca="false">IF($M177="","",IFERROR(INDEX(收入成本映射!$F$4:$F$34,MATCH($D177,收入成本映射!$B$4:$B$34,0)),""))</f>
        <v/>
      </c>
      <c r="Q177" s="70" t="str">
        <f aca="false">IF($P177="","",0)</f>
        <v/>
      </c>
      <c r="R177" s="70" t="str">
        <f aca="false">IF($P177="","",ROUND(N($G177),2))</f>
        <v/>
      </c>
      <c r="S177" s="67" t="str">
        <f aca="false">""</f>
        <v/>
      </c>
      <c r="T177" s="70" t="str">
        <f aca="false">IF($S177="","",0)</f>
        <v/>
      </c>
      <c r="U177" s="70" t="str">
        <f aca="false">IF($S177="","",0)</f>
        <v/>
      </c>
      <c r="V177" s="66" t="str">
        <f aca="false">IF($B177="","",IF($B177="01水果",IFERROR(INDEX(对接源_01水果!$H$5:$H$507,MATCH(ROW()-3,对接源_01水果!$Q$5:$Q$507,0)),""),IFERROR(INDEX(对接源_02物料!$H$5:$H$460,MATCH(ROW()-3-N(对接源_01水果!$T$1),对接源_02物料!$Q$5:$Q$460,0)),"")))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8" customFormat="false" ht="18" hidden="false" customHeight="true" outlineLevel="0" collapsed="false">
      <c r="A178" s="66" t="n">
        <v>175</v>
      </c>
      <c r="B178" s="67" t="str">
        <f aca="false">IF(ROW()-3&lt;=N(对接源_01水果!$T$1),"01水果",IF(ROW()-3&lt;=N(对接源_01水果!$T$1)+N(对接源_02物料!$T$1),"02物料",""))</f>
        <v/>
      </c>
      <c r="C178" s="68" t="str">
        <f aca="false">IF($B178="","",IF($B178="01水果",IFERROR(INDEX(对接源_01水果!$B$5:$B$507,MATCH(ROW()-3,对接源_01水果!$Q$5:$Q$507,0)),""),IFERROR(INDEX(对接源_02物料!$B$5:$B$460,MATCH(ROW()-3-N(对接源_01水果!$T$1),对接源_02物料!$Q$5:$Q$460,0)),"")))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8" s="67" t="str">
        <f aca="false">IF($B178="","",IF($B178="01水果",IFERROR(INDEX(对接源_01水果!$C$5:$C$507,MATCH(ROW()-3,对接源_01水果!$Q$5:$Q$507,0)),""),IFERROR(INDEX(对接源_02物料!$C$5:$C$460,MATCH(ROW()-3-N(对接源_01水果!$T$1),对接源_02物料!$Q$5:$Q$460,0)),"")))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8" s="69" t="str">
        <f aca="false">IF($B178="","",IF($B178="01水果",IFERROR(INDEX(对接源_01水果!$D$5:$D$507,MATCH(ROW()-3,对接源_01水果!$Q$5:$Q$507,0)),""),IFERROR(INDEX(对接源_02物料!$D$5:$D$460,MATCH(ROW()-3-N(对接源_01水果!$T$1),对接源_02物料!$Q$5:$Q$460,0)),"")))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8" s="67" t="str">
        <f aca="false">IF($B178="","",IF($B178="01水果",IFERROR(INDEX(对接源_01水果!$E$5:$E$507,MATCH(ROW()-3,对接源_01水果!$Q$5:$Q$507,0)),""),IFERROR(INDEX(对接源_02物料!$E$5:$E$460,MATCH(ROW()-3-N(对接源_01水果!$T$1),对接源_02物料!$Q$5:$Q$460,0)),"")))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8" s="70" t="str">
        <f aca="false">IF($B178="","",IF($B178="01水果",IFERROR(INDEX(对接源_01水果!$F$5:$F$507,MATCH(ROW()-3,对接源_01水果!$Q$5:$Q$507,0)),""),IFERROR(INDEX(对接源_02物料!$F$5:$F$460,MATCH(ROW()-3-N(对接源_01水果!$T$1),对接源_02物料!$Q$5:$Q$460,0)),"")))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8" s="70" t="str">
        <f aca="false">IF($B178="","",IF($B178="01水果",IFERROR(INDEX(对接源_01水果!$G$5:$G$507,MATCH(ROW()-3,对接源_01水果!$Q$5:$Q$507,0)),""),IFERROR(INDEX(对接源_02物料!$G$5:$G$460,MATCH(ROW()-3-N(对接源_01水果!$T$1),对接源_02物料!$Q$5:$Q$460,0)),"")))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8" s="67" t="str">
        <f aca="false">IF(OR($D178="客户应收",$D178="成品销售款",$D178="公司购买果品款",$D178="筐子销售款",$D178="物料销售款"),"客户往来",IFERROR(INDEX(收入成本映射!$C$4:$C$34,MATCH($D178,收入成本映射!$B$4:$B$34,0)),"不记账"))</f>
        <v>不记账</v>
      </c>
      <c r="J178" s="67" t="str">
        <f aca="false">IF($B178="","","0%")</f>
        <v/>
      </c>
      <c r="K178" s="70" t="n">
        <f aca="false">IF($I178="不记账",0,ROUND(N($G178),2))</f>
        <v>0</v>
      </c>
      <c r="L178" s="70" t="n">
        <v>0</v>
      </c>
      <c r="M178" s="67" t="str">
        <f aca="false">IF(OR($I178="不记账",ROUND(N($G178),2)=0),"",IFERROR(INDEX(收入成本映射!$E$4:$E$34,MATCH($D178,收入成本映射!$B$4:$B$34,0)),""))</f>
        <v/>
      </c>
      <c r="N178" s="70" t="str">
        <f aca="false">IF($M178="","",ROUND(N($G178),2))</f>
        <v/>
      </c>
      <c r="O178" s="70" t="str">
        <f aca="false">IF($M178="","",0)</f>
        <v/>
      </c>
      <c r="P178" s="67" t="str">
        <f aca="false">IF($M178="","",IFERROR(INDEX(收入成本映射!$F$4:$F$34,MATCH($D178,收入成本映射!$B$4:$B$34,0)),""))</f>
        <v/>
      </c>
      <c r="Q178" s="70" t="str">
        <f aca="false">IF($P178="","",0)</f>
        <v/>
      </c>
      <c r="R178" s="70" t="str">
        <f aca="false">IF($P178="","",ROUND(N($G178),2))</f>
        <v/>
      </c>
      <c r="S178" s="67" t="str">
        <f aca="false">""</f>
        <v/>
      </c>
      <c r="T178" s="70" t="str">
        <f aca="false">IF($S178="","",0)</f>
        <v/>
      </c>
      <c r="U178" s="70" t="str">
        <f aca="false">IF($S178="","",0)</f>
        <v/>
      </c>
      <c r="V178" s="66" t="str">
        <f aca="false">IF($B178="","",IF($B178="01水果",IFERROR(INDEX(对接源_01水果!$H$5:$H$507,MATCH(ROW()-3,对接源_01水果!$Q$5:$Q$507,0)),""),IFERROR(INDEX(对接源_02物料!$H$5:$H$460,MATCH(ROW()-3-N(对接源_01水果!$T$1),对接源_02物料!$Q$5:$Q$460,0)),"")))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79" customFormat="false" ht="18" hidden="false" customHeight="true" outlineLevel="0" collapsed="false">
      <c r="A179" s="66" t="n">
        <v>176</v>
      </c>
      <c r="B179" s="67" t="str">
        <f aca="false">IF(ROW()-3&lt;=N(对接源_01水果!$T$1),"01水果",IF(ROW()-3&lt;=N(对接源_01水果!$T$1)+N(对接源_02物料!$T$1),"02物料",""))</f>
        <v/>
      </c>
      <c r="C179" s="68" t="str">
        <f aca="false">IF($B179="","",IF($B179="01水果",IFERROR(INDEX(对接源_01水果!$B$5:$B$507,MATCH(ROW()-3,对接源_01水果!$Q$5:$Q$507,0)),""),IFERROR(INDEX(对接源_02物料!$B$5:$B$460,MATCH(ROW()-3-N(对接源_01水果!$T$1),对接源_02物料!$Q$5:$Q$460,0)),"")))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79" s="67" t="str">
        <f aca="false">IF($B179="","",IF($B179="01水果",IFERROR(INDEX(对接源_01水果!$C$5:$C$507,MATCH(ROW()-3,对接源_01水果!$Q$5:$Q$507,0)),""),IFERROR(INDEX(对接源_02物料!$C$5:$C$460,MATCH(ROW()-3-N(对接源_01水果!$T$1),对接源_02物料!$Q$5:$Q$460,0)),"")))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79" s="69" t="str">
        <f aca="false">IF($B179="","",IF($B179="01水果",IFERROR(INDEX(对接源_01水果!$D$5:$D$507,MATCH(ROW()-3,对接源_01水果!$Q$5:$Q$507,0)),""),IFERROR(INDEX(对接源_02物料!$D$5:$D$460,MATCH(ROW()-3-N(对接源_01水果!$T$1),对接源_02物料!$Q$5:$Q$460,0)),"")))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79" s="67" t="str">
        <f aca="false">IF($B179="","",IF($B179="01水果",IFERROR(INDEX(对接源_01水果!$E$5:$E$507,MATCH(ROW()-3,对接源_01水果!$Q$5:$Q$507,0)),""),IFERROR(INDEX(对接源_02物料!$E$5:$E$460,MATCH(ROW()-3-N(对接源_01水果!$T$1),对接源_02物料!$Q$5:$Q$460,0)),"")))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79" s="70" t="str">
        <f aca="false">IF($B179="","",IF($B179="01水果",IFERROR(INDEX(对接源_01水果!$F$5:$F$507,MATCH(ROW()-3,对接源_01水果!$Q$5:$Q$507,0)),""),IFERROR(INDEX(对接源_02物料!$F$5:$F$460,MATCH(ROW()-3-N(对接源_01水果!$T$1),对接源_02物料!$Q$5:$Q$460,0)),"")))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79" s="70" t="str">
        <f aca="false">IF($B179="","",IF($B179="01水果",IFERROR(INDEX(对接源_01水果!$G$5:$G$507,MATCH(ROW()-3,对接源_01水果!$Q$5:$Q$507,0)),""),IFERROR(INDEX(对接源_02物料!$G$5:$G$460,MATCH(ROW()-3-N(对接源_01水果!$T$1),对接源_02物料!$Q$5:$Q$460,0)),"")))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79" s="67" t="str">
        <f aca="false">IF(OR($D179="客户应收",$D179="成品销售款",$D179="公司购买果品款",$D179="筐子销售款",$D179="物料销售款"),"客户往来",IFERROR(INDEX(收入成本映射!$C$4:$C$34,MATCH($D179,收入成本映射!$B$4:$B$34,0)),"不记账"))</f>
        <v>不记账</v>
      </c>
      <c r="J179" s="67" t="str">
        <f aca="false">IF($B179="","","0%")</f>
        <v/>
      </c>
      <c r="K179" s="70" t="n">
        <f aca="false">IF($I179="不记账",0,ROUND(N($G179),2))</f>
        <v>0</v>
      </c>
      <c r="L179" s="70" t="n">
        <v>0</v>
      </c>
      <c r="M179" s="67" t="str">
        <f aca="false">IF(OR($I179="不记账",ROUND(N($G179),2)=0),"",IFERROR(INDEX(收入成本映射!$E$4:$E$34,MATCH($D179,收入成本映射!$B$4:$B$34,0)),""))</f>
        <v/>
      </c>
      <c r="N179" s="70" t="str">
        <f aca="false">IF($M179="","",ROUND(N($G179),2))</f>
        <v/>
      </c>
      <c r="O179" s="70" t="str">
        <f aca="false">IF($M179="","",0)</f>
        <v/>
      </c>
      <c r="P179" s="67" t="str">
        <f aca="false">IF($M179="","",IFERROR(INDEX(收入成本映射!$F$4:$F$34,MATCH($D179,收入成本映射!$B$4:$B$34,0)),""))</f>
        <v/>
      </c>
      <c r="Q179" s="70" t="str">
        <f aca="false">IF($P179="","",0)</f>
        <v/>
      </c>
      <c r="R179" s="70" t="str">
        <f aca="false">IF($P179="","",ROUND(N($G179),2))</f>
        <v/>
      </c>
      <c r="S179" s="67" t="str">
        <f aca="false">""</f>
        <v/>
      </c>
      <c r="T179" s="70" t="str">
        <f aca="false">IF($S179="","",0)</f>
        <v/>
      </c>
      <c r="U179" s="70" t="str">
        <f aca="false">IF($S179="","",0)</f>
        <v/>
      </c>
      <c r="V179" s="66" t="str">
        <f aca="false">IF($B179="","",IF($B179="01水果",IFERROR(INDEX(对接源_01水果!$H$5:$H$507,MATCH(ROW()-3,对接源_01水果!$Q$5:$Q$507,0)),""),IFERROR(INDEX(对接源_02物料!$H$5:$H$460,MATCH(ROW()-3-N(对接源_01水果!$T$1),对接源_02物料!$Q$5:$Q$460,0)),"")))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0" customFormat="false" ht="18" hidden="false" customHeight="true" outlineLevel="0" collapsed="false">
      <c r="A180" s="66" t="n">
        <v>177</v>
      </c>
      <c r="B180" s="67" t="str">
        <f aca="false">IF(ROW()-3&lt;=N(对接源_01水果!$T$1),"01水果",IF(ROW()-3&lt;=N(对接源_01水果!$T$1)+N(对接源_02物料!$T$1),"02物料",""))</f>
        <v/>
      </c>
      <c r="C180" s="68" t="str">
        <f aca="false">IF($B180="","",IF($B180="01水果",IFERROR(INDEX(对接源_01水果!$B$5:$B$507,MATCH(ROW()-3,对接源_01水果!$Q$5:$Q$507,0)),""),IFERROR(INDEX(对接源_02物料!$B$5:$B$460,MATCH(ROW()-3-N(对接源_01水果!$T$1),对接源_02物料!$Q$5:$Q$460,0)),"")))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0" s="67" t="str">
        <f aca="false">IF($B180="","",IF($B180="01水果",IFERROR(INDEX(对接源_01水果!$C$5:$C$507,MATCH(ROW()-3,对接源_01水果!$Q$5:$Q$507,0)),""),IFERROR(INDEX(对接源_02物料!$C$5:$C$460,MATCH(ROW()-3-N(对接源_01水果!$T$1),对接源_02物料!$Q$5:$Q$460,0)),"")))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0" s="69" t="str">
        <f aca="false">IF($B180="","",IF($B180="01水果",IFERROR(INDEX(对接源_01水果!$D$5:$D$507,MATCH(ROW()-3,对接源_01水果!$Q$5:$Q$507,0)),""),IFERROR(INDEX(对接源_02物料!$D$5:$D$460,MATCH(ROW()-3-N(对接源_01水果!$T$1),对接源_02物料!$Q$5:$Q$460,0)),"")))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0" s="67" t="str">
        <f aca="false">IF($B180="","",IF($B180="01水果",IFERROR(INDEX(对接源_01水果!$E$5:$E$507,MATCH(ROW()-3,对接源_01水果!$Q$5:$Q$507,0)),""),IFERROR(INDEX(对接源_02物料!$E$5:$E$460,MATCH(ROW()-3-N(对接源_01水果!$T$1),对接源_02物料!$Q$5:$Q$460,0)),"")))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0" s="70" t="str">
        <f aca="false">IF($B180="","",IF($B180="01水果",IFERROR(INDEX(对接源_01水果!$F$5:$F$507,MATCH(ROW()-3,对接源_01水果!$Q$5:$Q$507,0)),""),IFERROR(INDEX(对接源_02物料!$F$5:$F$460,MATCH(ROW()-3-N(对接源_01水果!$T$1),对接源_02物料!$Q$5:$Q$460,0)),"")))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0" s="70" t="str">
        <f aca="false">IF($B180="","",IF($B180="01水果",IFERROR(INDEX(对接源_01水果!$G$5:$G$507,MATCH(ROW()-3,对接源_01水果!$Q$5:$Q$507,0)),""),IFERROR(INDEX(对接源_02物料!$G$5:$G$460,MATCH(ROW()-3-N(对接源_01水果!$T$1),对接源_02物料!$Q$5:$Q$460,0)),"")))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0" s="67" t="str">
        <f aca="false">IF(OR($D180="客户应收",$D180="成品销售款",$D180="公司购买果品款",$D180="筐子销售款",$D180="物料销售款"),"客户往来",IFERROR(INDEX(收入成本映射!$C$4:$C$34,MATCH($D180,收入成本映射!$B$4:$B$34,0)),"不记账"))</f>
        <v>不记账</v>
      </c>
      <c r="J180" s="67" t="str">
        <f aca="false">IF($B180="","","0%")</f>
        <v/>
      </c>
      <c r="K180" s="70" t="n">
        <f aca="false">IF($I180="不记账",0,ROUND(N($G180),2))</f>
        <v>0</v>
      </c>
      <c r="L180" s="70" t="n">
        <v>0</v>
      </c>
      <c r="M180" s="67" t="str">
        <f aca="false">IF(OR($I180="不记账",ROUND(N($G180),2)=0),"",IFERROR(INDEX(收入成本映射!$E$4:$E$34,MATCH($D180,收入成本映射!$B$4:$B$34,0)),""))</f>
        <v/>
      </c>
      <c r="N180" s="70" t="str">
        <f aca="false">IF($M180="","",ROUND(N($G180),2))</f>
        <v/>
      </c>
      <c r="O180" s="70" t="str">
        <f aca="false">IF($M180="","",0)</f>
        <v/>
      </c>
      <c r="P180" s="67" t="str">
        <f aca="false">IF($M180="","",IFERROR(INDEX(收入成本映射!$F$4:$F$34,MATCH($D180,收入成本映射!$B$4:$B$34,0)),""))</f>
        <v/>
      </c>
      <c r="Q180" s="70" t="str">
        <f aca="false">IF($P180="","",0)</f>
        <v/>
      </c>
      <c r="R180" s="70" t="str">
        <f aca="false">IF($P180="","",ROUND(N($G180),2))</f>
        <v/>
      </c>
      <c r="S180" s="67" t="str">
        <f aca="false">""</f>
        <v/>
      </c>
      <c r="T180" s="70" t="str">
        <f aca="false">IF($S180="","",0)</f>
        <v/>
      </c>
      <c r="U180" s="70" t="str">
        <f aca="false">IF($S180="","",0)</f>
        <v/>
      </c>
      <c r="V180" s="66" t="str">
        <f aca="false">IF($B180="","",IF($B180="01水果",IFERROR(INDEX(对接源_01水果!$H$5:$H$507,MATCH(ROW()-3,对接源_01水果!$Q$5:$Q$507,0)),""),IFERROR(INDEX(对接源_02物料!$H$5:$H$460,MATCH(ROW()-3-N(对接源_01水果!$T$1),对接源_02物料!$Q$5:$Q$460,0)),"")))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1" customFormat="false" ht="18" hidden="false" customHeight="true" outlineLevel="0" collapsed="false">
      <c r="A181" s="66" t="n">
        <v>178</v>
      </c>
      <c r="B181" s="67" t="str">
        <f aca="false">IF(ROW()-3&lt;=N(对接源_01水果!$T$1),"01水果",IF(ROW()-3&lt;=N(对接源_01水果!$T$1)+N(对接源_02物料!$T$1),"02物料",""))</f>
        <v/>
      </c>
      <c r="C181" s="68" t="str">
        <f aca="false">IF($B181="","",IF($B181="01水果",IFERROR(INDEX(对接源_01水果!$B$5:$B$507,MATCH(ROW()-3,对接源_01水果!$Q$5:$Q$507,0)),""),IFERROR(INDEX(对接源_02物料!$B$5:$B$460,MATCH(ROW()-3-N(对接源_01水果!$T$1),对接源_02物料!$Q$5:$Q$460,0)),"")))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1" s="67" t="str">
        <f aca="false">IF($B181="","",IF($B181="01水果",IFERROR(INDEX(对接源_01水果!$C$5:$C$507,MATCH(ROW()-3,对接源_01水果!$Q$5:$Q$507,0)),""),IFERROR(INDEX(对接源_02物料!$C$5:$C$460,MATCH(ROW()-3-N(对接源_01水果!$T$1),对接源_02物料!$Q$5:$Q$460,0)),"")))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1" s="69" t="str">
        <f aca="false">IF($B181="","",IF($B181="01水果",IFERROR(INDEX(对接源_01水果!$D$5:$D$507,MATCH(ROW()-3,对接源_01水果!$Q$5:$Q$507,0)),""),IFERROR(INDEX(对接源_02物料!$D$5:$D$460,MATCH(ROW()-3-N(对接源_01水果!$T$1),对接源_02物料!$Q$5:$Q$460,0)),"")))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1" s="67" t="str">
        <f aca="false">IF($B181="","",IF($B181="01水果",IFERROR(INDEX(对接源_01水果!$E$5:$E$507,MATCH(ROW()-3,对接源_01水果!$Q$5:$Q$507,0)),""),IFERROR(INDEX(对接源_02物料!$E$5:$E$460,MATCH(ROW()-3-N(对接源_01水果!$T$1),对接源_02物料!$Q$5:$Q$460,0)),"")))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1" s="70" t="str">
        <f aca="false">IF($B181="","",IF($B181="01水果",IFERROR(INDEX(对接源_01水果!$F$5:$F$507,MATCH(ROW()-3,对接源_01水果!$Q$5:$Q$507,0)),""),IFERROR(INDEX(对接源_02物料!$F$5:$F$460,MATCH(ROW()-3-N(对接源_01水果!$T$1),对接源_02物料!$Q$5:$Q$460,0)),"")))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1" s="70" t="str">
        <f aca="false">IF($B181="","",IF($B181="01水果",IFERROR(INDEX(对接源_01水果!$G$5:$G$507,MATCH(ROW()-3,对接源_01水果!$Q$5:$Q$507,0)),""),IFERROR(INDEX(对接源_02物料!$G$5:$G$460,MATCH(ROW()-3-N(对接源_01水果!$T$1),对接源_02物料!$Q$5:$Q$460,0)),"")))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1" s="67" t="str">
        <f aca="false">IF(OR($D181="客户应收",$D181="成品销售款",$D181="公司购买果品款",$D181="筐子销售款",$D181="物料销售款"),"客户往来",IFERROR(INDEX(收入成本映射!$C$4:$C$34,MATCH($D181,收入成本映射!$B$4:$B$34,0)),"不记账"))</f>
        <v>不记账</v>
      </c>
      <c r="J181" s="67" t="str">
        <f aca="false">IF($B181="","","0%")</f>
        <v/>
      </c>
      <c r="K181" s="70" t="n">
        <f aca="false">IF($I181="不记账",0,ROUND(N($G181),2))</f>
        <v>0</v>
      </c>
      <c r="L181" s="70" t="n">
        <v>0</v>
      </c>
      <c r="M181" s="67" t="str">
        <f aca="false">IF(OR($I181="不记账",ROUND(N($G181),2)=0),"",IFERROR(INDEX(收入成本映射!$E$4:$E$34,MATCH($D181,收入成本映射!$B$4:$B$34,0)),""))</f>
        <v/>
      </c>
      <c r="N181" s="70" t="str">
        <f aca="false">IF($M181="","",ROUND(N($G181),2))</f>
        <v/>
      </c>
      <c r="O181" s="70" t="str">
        <f aca="false">IF($M181="","",0)</f>
        <v/>
      </c>
      <c r="P181" s="67" t="str">
        <f aca="false">IF($M181="","",IFERROR(INDEX(收入成本映射!$F$4:$F$34,MATCH($D181,收入成本映射!$B$4:$B$34,0)),""))</f>
        <v/>
      </c>
      <c r="Q181" s="70" t="str">
        <f aca="false">IF($P181="","",0)</f>
        <v/>
      </c>
      <c r="R181" s="70" t="str">
        <f aca="false">IF($P181="","",ROUND(N($G181),2))</f>
        <v/>
      </c>
      <c r="S181" s="67" t="str">
        <f aca="false">""</f>
        <v/>
      </c>
      <c r="T181" s="70" t="str">
        <f aca="false">IF($S181="","",0)</f>
        <v/>
      </c>
      <c r="U181" s="70" t="str">
        <f aca="false">IF($S181="","",0)</f>
        <v/>
      </c>
      <c r="V181" s="66" t="str">
        <f aca="false">IF($B181="","",IF($B181="01水果",IFERROR(INDEX(对接源_01水果!$H$5:$H$507,MATCH(ROW()-3,对接源_01水果!$Q$5:$Q$507,0)),""),IFERROR(INDEX(对接源_02物料!$H$5:$H$460,MATCH(ROW()-3-N(对接源_01水果!$T$1),对接源_02物料!$Q$5:$Q$460,0)),"")))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2" customFormat="false" ht="18" hidden="false" customHeight="true" outlineLevel="0" collapsed="false">
      <c r="A182" s="66" t="n">
        <v>179</v>
      </c>
      <c r="B182" s="67" t="str">
        <f aca="false">IF(ROW()-3&lt;=N(对接源_01水果!$T$1),"01水果",IF(ROW()-3&lt;=N(对接源_01水果!$T$1)+N(对接源_02物料!$T$1),"02物料",""))</f>
        <v/>
      </c>
      <c r="C182" s="68" t="str">
        <f aca="false">IF($B182="","",IF($B182="01水果",IFERROR(INDEX(对接源_01水果!$B$5:$B$507,MATCH(ROW()-3,对接源_01水果!$Q$5:$Q$507,0)),""),IFERROR(INDEX(对接源_02物料!$B$5:$B$460,MATCH(ROW()-3-N(对接源_01水果!$T$1),对接源_02物料!$Q$5:$Q$460,0)),"")))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2" s="67" t="str">
        <f aca="false">IF($B182="","",IF($B182="01水果",IFERROR(INDEX(对接源_01水果!$C$5:$C$507,MATCH(ROW()-3,对接源_01水果!$Q$5:$Q$507,0)),""),IFERROR(INDEX(对接源_02物料!$C$5:$C$460,MATCH(ROW()-3-N(对接源_01水果!$T$1),对接源_02物料!$Q$5:$Q$460,0)),"")))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2" s="69" t="str">
        <f aca="false">IF($B182="","",IF($B182="01水果",IFERROR(INDEX(对接源_01水果!$D$5:$D$507,MATCH(ROW()-3,对接源_01水果!$Q$5:$Q$507,0)),""),IFERROR(INDEX(对接源_02物料!$D$5:$D$460,MATCH(ROW()-3-N(对接源_01水果!$T$1),对接源_02物料!$Q$5:$Q$460,0)),"")))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2" s="67" t="str">
        <f aca="false">IF($B182="","",IF($B182="01水果",IFERROR(INDEX(对接源_01水果!$E$5:$E$507,MATCH(ROW()-3,对接源_01水果!$Q$5:$Q$507,0)),""),IFERROR(INDEX(对接源_02物料!$E$5:$E$460,MATCH(ROW()-3-N(对接源_01水果!$T$1),对接源_02物料!$Q$5:$Q$460,0)),"")))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2" s="70" t="str">
        <f aca="false">IF($B182="","",IF($B182="01水果",IFERROR(INDEX(对接源_01水果!$F$5:$F$507,MATCH(ROW()-3,对接源_01水果!$Q$5:$Q$507,0)),""),IFERROR(INDEX(对接源_02物料!$F$5:$F$460,MATCH(ROW()-3-N(对接源_01水果!$T$1),对接源_02物料!$Q$5:$Q$460,0)),"")))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2" s="70" t="str">
        <f aca="false">IF($B182="","",IF($B182="01水果",IFERROR(INDEX(对接源_01水果!$G$5:$G$507,MATCH(ROW()-3,对接源_01水果!$Q$5:$Q$507,0)),""),IFERROR(INDEX(对接源_02物料!$G$5:$G$460,MATCH(ROW()-3-N(对接源_01水果!$T$1),对接源_02物料!$Q$5:$Q$460,0)),"")))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2" s="67" t="str">
        <f aca="false">IF(OR($D182="客户应收",$D182="成品销售款",$D182="公司购买果品款",$D182="筐子销售款",$D182="物料销售款"),"客户往来",IFERROR(INDEX(收入成本映射!$C$4:$C$34,MATCH($D182,收入成本映射!$B$4:$B$34,0)),"不记账"))</f>
        <v>不记账</v>
      </c>
      <c r="J182" s="67" t="str">
        <f aca="false">IF($B182="","","0%")</f>
        <v/>
      </c>
      <c r="K182" s="70" t="n">
        <f aca="false">IF($I182="不记账",0,ROUND(N($G182),2))</f>
        <v>0</v>
      </c>
      <c r="L182" s="70" t="n">
        <v>0</v>
      </c>
      <c r="M182" s="67" t="str">
        <f aca="false">IF(OR($I182="不记账",ROUND(N($G182),2)=0),"",IFERROR(INDEX(收入成本映射!$E$4:$E$34,MATCH($D182,收入成本映射!$B$4:$B$34,0)),""))</f>
        <v/>
      </c>
      <c r="N182" s="70" t="str">
        <f aca="false">IF($M182="","",ROUND(N($G182),2))</f>
        <v/>
      </c>
      <c r="O182" s="70" t="str">
        <f aca="false">IF($M182="","",0)</f>
        <v/>
      </c>
      <c r="P182" s="67" t="str">
        <f aca="false">IF($M182="","",IFERROR(INDEX(收入成本映射!$F$4:$F$34,MATCH($D182,收入成本映射!$B$4:$B$34,0)),""))</f>
        <v/>
      </c>
      <c r="Q182" s="70" t="str">
        <f aca="false">IF($P182="","",0)</f>
        <v/>
      </c>
      <c r="R182" s="70" t="str">
        <f aca="false">IF($P182="","",ROUND(N($G182),2))</f>
        <v/>
      </c>
      <c r="S182" s="67" t="str">
        <f aca="false">""</f>
        <v/>
      </c>
      <c r="T182" s="70" t="str">
        <f aca="false">IF($S182="","",0)</f>
        <v/>
      </c>
      <c r="U182" s="70" t="str">
        <f aca="false">IF($S182="","",0)</f>
        <v/>
      </c>
      <c r="V182" s="66" t="str">
        <f aca="false">IF($B182="","",IF($B182="01水果",IFERROR(INDEX(对接源_01水果!$H$5:$H$507,MATCH(ROW()-3,对接源_01水果!$Q$5:$Q$507,0)),""),IFERROR(INDEX(对接源_02物料!$H$5:$H$460,MATCH(ROW()-3-N(对接源_01水果!$T$1),对接源_02物料!$Q$5:$Q$460,0)),"")))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3" customFormat="false" ht="18" hidden="false" customHeight="true" outlineLevel="0" collapsed="false">
      <c r="A183" s="66" t="n">
        <v>180</v>
      </c>
      <c r="B183" s="67" t="str">
        <f aca="false">IF(ROW()-3&lt;=N(对接源_01水果!$T$1),"01水果",IF(ROW()-3&lt;=N(对接源_01水果!$T$1)+N(对接源_02物料!$T$1),"02物料",""))</f>
        <v/>
      </c>
      <c r="C183" s="68" t="str">
        <f aca="false">IF($B183="","",IF($B183="01水果",IFERROR(INDEX(对接源_01水果!$B$5:$B$507,MATCH(ROW()-3,对接源_01水果!$Q$5:$Q$507,0)),""),IFERROR(INDEX(对接源_02物料!$B$5:$B$460,MATCH(ROW()-3-N(对接源_01水果!$T$1),对接源_02物料!$Q$5:$Q$460,0)),"")))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3" s="67" t="str">
        <f aca="false">IF($B183="","",IF($B183="01水果",IFERROR(INDEX(对接源_01水果!$C$5:$C$507,MATCH(ROW()-3,对接源_01水果!$Q$5:$Q$507,0)),""),IFERROR(INDEX(对接源_02物料!$C$5:$C$460,MATCH(ROW()-3-N(对接源_01水果!$T$1),对接源_02物料!$Q$5:$Q$460,0)),"")))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3" s="69" t="str">
        <f aca="false">IF($B183="","",IF($B183="01水果",IFERROR(INDEX(对接源_01水果!$D$5:$D$507,MATCH(ROW()-3,对接源_01水果!$Q$5:$Q$507,0)),""),IFERROR(INDEX(对接源_02物料!$D$5:$D$460,MATCH(ROW()-3-N(对接源_01水果!$T$1),对接源_02物料!$Q$5:$Q$460,0)),"")))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3" s="67" t="str">
        <f aca="false">IF($B183="","",IF($B183="01水果",IFERROR(INDEX(对接源_01水果!$E$5:$E$507,MATCH(ROW()-3,对接源_01水果!$Q$5:$Q$507,0)),""),IFERROR(INDEX(对接源_02物料!$E$5:$E$460,MATCH(ROW()-3-N(对接源_01水果!$T$1),对接源_02物料!$Q$5:$Q$460,0)),"")))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3" s="70" t="str">
        <f aca="false">IF($B183="","",IF($B183="01水果",IFERROR(INDEX(对接源_01水果!$F$5:$F$507,MATCH(ROW()-3,对接源_01水果!$Q$5:$Q$507,0)),""),IFERROR(INDEX(对接源_02物料!$F$5:$F$460,MATCH(ROW()-3-N(对接源_01水果!$T$1),对接源_02物料!$Q$5:$Q$460,0)),"")))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3" s="70" t="str">
        <f aca="false">IF($B183="","",IF($B183="01水果",IFERROR(INDEX(对接源_01水果!$G$5:$G$507,MATCH(ROW()-3,对接源_01水果!$Q$5:$Q$507,0)),""),IFERROR(INDEX(对接源_02物料!$G$5:$G$460,MATCH(ROW()-3-N(对接源_01水果!$T$1),对接源_02物料!$Q$5:$Q$460,0)),"")))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3" s="67" t="str">
        <f aca="false">IF(OR($D183="客户应收",$D183="成品销售款",$D183="公司购买果品款",$D183="筐子销售款",$D183="物料销售款"),"客户往来",IFERROR(INDEX(收入成本映射!$C$4:$C$34,MATCH($D183,收入成本映射!$B$4:$B$34,0)),"不记账"))</f>
        <v>不记账</v>
      </c>
      <c r="J183" s="67" t="str">
        <f aca="false">IF($B183="","","0%")</f>
        <v/>
      </c>
      <c r="K183" s="70" t="n">
        <f aca="false">IF($I183="不记账",0,ROUND(N($G183),2))</f>
        <v>0</v>
      </c>
      <c r="L183" s="70" t="n">
        <v>0</v>
      </c>
      <c r="M183" s="67" t="str">
        <f aca="false">IF(OR($I183="不记账",ROUND(N($G183),2)=0),"",IFERROR(INDEX(收入成本映射!$E$4:$E$34,MATCH($D183,收入成本映射!$B$4:$B$34,0)),""))</f>
        <v/>
      </c>
      <c r="N183" s="70" t="str">
        <f aca="false">IF($M183="","",ROUND(N($G183),2))</f>
        <v/>
      </c>
      <c r="O183" s="70" t="str">
        <f aca="false">IF($M183="","",0)</f>
        <v/>
      </c>
      <c r="P183" s="67" t="str">
        <f aca="false">IF($M183="","",IFERROR(INDEX(收入成本映射!$F$4:$F$34,MATCH($D183,收入成本映射!$B$4:$B$34,0)),""))</f>
        <v/>
      </c>
      <c r="Q183" s="70" t="str">
        <f aca="false">IF($P183="","",0)</f>
        <v/>
      </c>
      <c r="R183" s="70" t="str">
        <f aca="false">IF($P183="","",ROUND(N($G183),2))</f>
        <v/>
      </c>
      <c r="S183" s="67" t="str">
        <f aca="false">""</f>
        <v/>
      </c>
      <c r="T183" s="70" t="str">
        <f aca="false">IF($S183="","",0)</f>
        <v/>
      </c>
      <c r="U183" s="70" t="str">
        <f aca="false">IF($S183="","",0)</f>
        <v/>
      </c>
      <c r="V183" s="66" t="str">
        <f aca="false">IF($B183="","",IF($B183="01水果",IFERROR(INDEX(对接源_01水果!$H$5:$H$507,MATCH(ROW()-3,对接源_01水果!$Q$5:$Q$507,0)),""),IFERROR(INDEX(对接源_02物料!$H$5:$H$460,MATCH(ROW()-3-N(对接源_01水果!$T$1),对接源_02物料!$Q$5:$Q$460,0)),"")))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4" customFormat="false" ht="18" hidden="false" customHeight="true" outlineLevel="0" collapsed="false">
      <c r="A184" s="66" t="n">
        <v>181</v>
      </c>
      <c r="B184" s="67" t="str">
        <f aca="false">IF(ROW()-3&lt;=N(对接源_01水果!$T$1),"01水果",IF(ROW()-3&lt;=N(对接源_01水果!$T$1)+N(对接源_02物料!$T$1),"02物料",""))</f>
        <v/>
      </c>
      <c r="C184" s="68" t="str">
        <f aca="false">IF($B184="","",IF($B184="01水果",IFERROR(INDEX(对接源_01水果!$B$5:$B$507,MATCH(ROW()-3,对接源_01水果!$Q$5:$Q$507,0)),""),IFERROR(INDEX(对接源_02物料!$B$5:$B$460,MATCH(ROW()-3-N(对接源_01水果!$T$1),对接源_02物料!$Q$5:$Q$460,0)),"")))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4" s="67" t="str">
        <f aca="false">IF($B184="","",IF($B184="01水果",IFERROR(INDEX(对接源_01水果!$C$5:$C$507,MATCH(ROW()-3,对接源_01水果!$Q$5:$Q$507,0)),""),IFERROR(INDEX(对接源_02物料!$C$5:$C$460,MATCH(ROW()-3-N(对接源_01水果!$T$1),对接源_02物料!$Q$5:$Q$460,0)),"")))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4" s="69" t="str">
        <f aca="false">IF($B184="","",IF($B184="01水果",IFERROR(INDEX(对接源_01水果!$D$5:$D$507,MATCH(ROW()-3,对接源_01水果!$Q$5:$Q$507,0)),""),IFERROR(INDEX(对接源_02物料!$D$5:$D$460,MATCH(ROW()-3-N(对接源_01水果!$T$1),对接源_02物料!$Q$5:$Q$460,0)),"")))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4" s="67" t="str">
        <f aca="false">IF($B184="","",IF($B184="01水果",IFERROR(INDEX(对接源_01水果!$E$5:$E$507,MATCH(ROW()-3,对接源_01水果!$Q$5:$Q$507,0)),""),IFERROR(INDEX(对接源_02物料!$E$5:$E$460,MATCH(ROW()-3-N(对接源_01水果!$T$1),对接源_02物料!$Q$5:$Q$460,0)),"")))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4" s="70" t="str">
        <f aca="false">IF($B184="","",IF($B184="01水果",IFERROR(INDEX(对接源_01水果!$F$5:$F$507,MATCH(ROW()-3,对接源_01水果!$Q$5:$Q$507,0)),""),IFERROR(INDEX(对接源_02物料!$F$5:$F$460,MATCH(ROW()-3-N(对接源_01水果!$T$1),对接源_02物料!$Q$5:$Q$460,0)),"")))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4" s="70" t="str">
        <f aca="false">IF($B184="","",IF($B184="01水果",IFERROR(INDEX(对接源_01水果!$G$5:$G$507,MATCH(ROW()-3,对接源_01水果!$Q$5:$Q$507,0)),""),IFERROR(INDEX(对接源_02物料!$G$5:$G$460,MATCH(ROW()-3-N(对接源_01水果!$T$1),对接源_02物料!$Q$5:$Q$460,0)),"")))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4" s="67" t="str">
        <f aca="false">IF(OR($D184="客户应收",$D184="成品销售款",$D184="公司购买果品款",$D184="筐子销售款",$D184="物料销售款"),"客户往来",IFERROR(INDEX(收入成本映射!$C$4:$C$34,MATCH($D184,收入成本映射!$B$4:$B$34,0)),"不记账"))</f>
        <v>不记账</v>
      </c>
      <c r="J184" s="67" t="str">
        <f aca="false">IF($B184="","","0%")</f>
        <v/>
      </c>
      <c r="K184" s="70" t="n">
        <f aca="false">IF($I184="不记账",0,ROUND(N($G184),2))</f>
        <v>0</v>
      </c>
      <c r="L184" s="70" t="n">
        <v>0</v>
      </c>
      <c r="M184" s="67" t="str">
        <f aca="false">IF(OR($I184="不记账",ROUND(N($G184),2)=0),"",IFERROR(INDEX(收入成本映射!$E$4:$E$34,MATCH($D184,收入成本映射!$B$4:$B$34,0)),""))</f>
        <v/>
      </c>
      <c r="N184" s="70" t="str">
        <f aca="false">IF($M184="","",ROUND(N($G184),2))</f>
        <v/>
      </c>
      <c r="O184" s="70" t="str">
        <f aca="false">IF($M184="","",0)</f>
        <v/>
      </c>
      <c r="P184" s="67" t="str">
        <f aca="false">IF($M184="","",IFERROR(INDEX(收入成本映射!$F$4:$F$34,MATCH($D184,收入成本映射!$B$4:$B$34,0)),""))</f>
        <v/>
      </c>
      <c r="Q184" s="70" t="str">
        <f aca="false">IF($P184="","",0)</f>
        <v/>
      </c>
      <c r="R184" s="70" t="str">
        <f aca="false">IF($P184="","",ROUND(N($G184),2))</f>
        <v/>
      </c>
      <c r="S184" s="67" t="str">
        <f aca="false">""</f>
        <v/>
      </c>
      <c r="T184" s="70" t="str">
        <f aca="false">IF($S184="","",0)</f>
        <v/>
      </c>
      <c r="U184" s="70" t="str">
        <f aca="false">IF($S184="","",0)</f>
        <v/>
      </c>
      <c r="V184" s="66" t="str">
        <f aca="false">IF($B184="","",IF($B184="01水果",IFERROR(INDEX(对接源_01水果!$H$5:$H$507,MATCH(ROW()-3,对接源_01水果!$Q$5:$Q$507,0)),""),IFERROR(INDEX(对接源_02物料!$H$5:$H$460,MATCH(ROW()-3-N(对接源_01水果!$T$1),对接源_02物料!$Q$5:$Q$460,0)),"")))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5" customFormat="false" ht="18" hidden="false" customHeight="true" outlineLevel="0" collapsed="false">
      <c r="A185" s="66" t="n">
        <v>182</v>
      </c>
      <c r="B185" s="67" t="str">
        <f aca="false">IF(ROW()-3&lt;=N(对接源_01水果!$T$1),"01水果",IF(ROW()-3&lt;=N(对接源_01水果!$T$1)+N(对接源_02物料!$T$1),"02物料",""))</f>
        <v/>
      </c>
      <c r="C185" s="68" t="str">
        <f aca="false">IF($B185="","",IF($B185="01水果",IFERROR(INDEX(对接源_01水果!$B$5:$B$507,MATCH(ROW()-3,对接源_01水果!$Q$5:$Q$507,0)),""),IFERROR(INDEX(对接源_02物料!$B$5:$B$460,MATCH(ROW()-3-N(对接源_01水果!$T$1),对接源_02物料!$Q$5:$Q$460,0)),"")))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5" s="67" t="str">
        <f aca="false">IF($B185="","",IF($B185="01水果",IFERROR(INDEX(对接源_01水果!$C$5:$C$507,MATCH(ROW()-3,对接源_01水果!$Q$5:$Q$507,0)),""),IFERROR(INDEX(对接源_02物料!$C$5:$C$460,MATCH(ROW()-3-N(对接源_01水果!$T$1),对接源_02物料!$Q$5:$Q$460,0)),"")))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5" s="69" t="str">
        <f aca="false">IF($B185="","",IF($B185="01水果",IFERROR(INDEX(对接源_01水果!$D$5:$D$507,MATCH(ROW()-3,对接源_01水果!$Q$5:$Q$507,0)),""),IFERROR(INDEX(对接源_02物料!$D$5:$D$460,MATCH(ROW()-3-N(对接源_01水果!$T$1),对接源_02物料!$Q$5:$Q$460,0)),"")))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5" s="67" t="str">
        <f aca="false">IF($B185="","",IF($B185="01水果",IFERROR(INDEX(对接源_01水果!$E$5:$E$507,MATCH(ROW()-3,对接源_01水果!$Q$5:$Q$507,0)),""),IFERROR(INDEX(对接源_02物料!$E$5:$E$460,MATCH(ROW()-3-N(对接源_01水果!$T$1),对接源_02物料!$Q$5:$Q$460,0)),"")))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5" s="70" t="str">
        <f aca="false">IF($B185="","",IF($B185="01水果",IFERROR(INDEX(对接源_01水果!$F$5:$F$507,MATCH(ROW()-3,对接源_01水果!$Q$5:$Q$507,0)),""),IFERROR(INDEX(对接源_02物料!$F$5:$F$460,MATCH(ROW()-3-N(对接源_01水果!$T$1),对接源_02物料!$Q$5:$Q$460,0)),"")))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5" s="70" t="str">
        <f aca="false">IF($B185="","",IF($B185="01水果",IFERROR(INDEX(对接源_01水果!$G$5:$G$507,MATCH(ROW()-3,对接源_01水果!$Q$5:$Q$507,0)),""),IFERROR(INDEX(对接源_02物料!$G$5:$G$460,MATCH(ROW()-3-N(对接源_01水果!$T$1),对接源_02物料!$Q$5:$Q$460,0)),"")))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5" s="67" t="str">
        <f aca="false">IF(OR($D185="客户应收",$D185="成品销售款",$D185="公司购买果品款",$D185="筐子销售款",$D185="物料销售款"),"客户往来",IFERROR(INDEX(收入成本映射!$C$4:$C$34,MATCH($D185,收入成本映射!$B$4:$B$34,0)),"不记账"))</f>
        <v>不记账</v>
      </c>
      <c r="J185" s="67" t="str">
        <f aca="false">IF($B185="","","0%")</f>
        <v/>
      </c>
      <c r="K185" s="70" t="n">
        <f aca="false">IF($I185="不记账",0,ROUND(N($G185),2))</f>
        <v>0</v>
      </c>
      <c r="L185" s="70" t="n">
        <v>0</v>
      </c>
      <c r="M185" s="67" t="str">
        <f aca="false">IF(OR($I185="不记账",ROUND(N($G185),2)=0),"",IFERROR(INDEX(收入成本映射!$E$4:$E$34,MATCH($D185,收入成本映射!$B$4:$B$34,0)),""))</f>
        <v/>
      </c>
      <c r="N185" s="70" t="str">
        <f aca="false">IF($M185="","",ROUND(N($G185),2))</f>
        <v/>
      </c>
      <c r="O185" s="70" t="str">
        <f aca="false">IF($M185="","",0)</f>
        <v/>
      </c>
      <c r="P185" s="67" t="str">
        <f aca="false">IF($M185="","",IFERROR(INDEX(收入成本映射!$F$4:$F$34,MATCH($D185,收入成本映射!$B$4:$B$34,0)),""))</f>
        <v/>
      </c>
      <c r="Q185" s="70" t="str">
        <f aca="false">IF($P185="","",0)</f>
        <v/>
      </c>
      <c r="R185" s="70" t="str">
        <f aca="false">IF($P185="","",ROUND(N($G185),2))</f>
        <v/>
      </c>
      <c r="S185" s="67" t="str">
        <f aca="false">""</f>
        <v/>
      </c>
      <c r="T185" s="70" t="str">
        <f aca="false">IF($S185="","",0)</f>
        <v/>
      </c>
      <c r="U185" s="70" t="str">
        <f aca="false">IF($S185="","",0)</f>
        <v/>
      </c>
      <c r="V185" s="66" t="str">
        <f aca="false">IF($B185="","",IF($B185="01水果",IFERROR(INDEX(对接源_01水果!$H$5:$H$507,MATCH(ROW()-3,对接源_01水果!$Q$5:$Q$507,0)),""),IFERROR(INDEX(对接源_02物料!$H$5:$H$460,MATCH(ROW()-3-N(对接源_01水果!$T$1),对接源_02物料!$Q$5:$Q$460,0)),"")))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6" customFormat="false" ht="18" hidden="false" customHeight="true" outlineLevel="0" collapsed="false">
      <c r="A186" s="66" t="n">
        <v>183</v>
      </c>
      <c r="B186" s="67" t="str">
        <f aca="false">IF(ROW()-3&lt;=N(对接源_01水果!$T$1),"01水果",IF(ROW()-3&lt;=N(对接源_01水果!$T$1)+N(对接源_02物料!$T$1),"02物料",""))</f>
        <v/>
      </c>
      <c r="C186" s="68" t="str">
        <f aca="false">IF($B186="","",IF($B186="01水果",IFERROR(INDEX(对接源_01水果!$B$5:$B$507,MATCH(ROW()-3,对接源_01水果!$Q$5:$Q$507,0)),""),IFERROR(INDEX(对接源_02物料!$B$5:$B$460,MATCH(ROW()-3-N(对接源_01水果!$T$1),对接源_02物料!$Q$5:$Q$460,0)),"")))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6" s="67" t="str">
        <f aca="false">IF($B186="","",IF($B186="01水果",IFERROR(INDEX(对接源_01水果!$C$5:$C$507,MATCH(ROW()-3,对接源_01水果!$Q$5:$Q$507,0)),""),IFERROR(INDEX(对接源_02物料!$C$5:$C$460,MATCH(ROW()-3-N(对接源_01水果!$T$1),对接源_02物料!$Q$5:$Q$460,0)),"")))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6" s="69" t="str">
        <f aca="false">IF($B186="","",IF($B186="01水果",IFERROR(INDEX(对接源_01水果!$D$5:$D$507,MATCH(ROW()-3,对接源_01水果!$Q$5:$Q$507,0)),""),IFERROR(INDEX(对接源_02物料!$D$5:$D$460,MATCH(ROW()-3-N(对接源_01水果!$T$1),对接源_02物料!$Q$5:$Q$460,0)),"")))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6" s="67" t="str">
        <f aca="false">IF($B186="","",IF($B186="01水果",IFERROR(INDEX(对接源_01水果!$E$5:$E$507,MATCH(ROW()-3,对接源_01水果!$Q$5:$Q$507,0)),""),IFERROR(INDEX(对接源_02物料!$E$5:$E$460,MATCH(ROW()-3-N(对接源_01水果!$T$1),对接源_02物料!$Q$5:$Q$460,0)),"")))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6" s="70" t="str">
        <f aca="false">IF($B186="","",IF($B186="01水果",IFERROR(INDEX(对接源_01水果!$F$5:$F$507,MATCH(ROW()-3,对接源_01水果!$Q$5:$Q$507,0)),""),IFERROR(INDEX(对接源_02物料!$F$5:$F$460,MATCH(ROW()-3-N(对接源_01水果!$T$1),对接源_02物料!$Q$5:$Q$460,0)),"")))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6" s="70" t="str">
        <f aca="false">IF($B186="","",IF($B186="01水果",IFERROR(INDEX(对接源_01水果!$G$5:$G$507,MATCH(ROW()-3,对接源_01水果!$Q$5:$Q$507,0)),""),IFERROR(INDEX(对接源_02物料!$G$5:$G$460,MATCH(ROW()-3-N(对接源_01水果!$T$1),对接源_02物料!$Q$5:$Q$460,0)),"")))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6" s="67" t="str">
        <f aca="false">IF(OR($D186="客户应收",$D186="成品销售款",$D186="公司购买果品款",$D186="筐子销售款",$D186="物料销售款"),"客户往来",IFERROR(INDEX(收入成本映射!$C$4:$C$34,MATCH($D186,收入成本映射!$B$4:$B$34,0)),"不记账"))</f>
        <v>不记账</v>
      </c>
      <c r="J186" s="67" t="str">
        <f aca="false">IF($B186="","","0%")</f>
        <v/>
      </c>
      <c r="K186" s="70" t="n">
        <f aca="false">IF($I186="不记账",0,ROUND(N($G186),2))</f>
        <v>0</v>
      </c>
      <c r="L186" s="70" t="n">
        <v>0</v>
      </c>
      <c r="M186" s="67" t="str">
        <f aca="false">IF(OR($I186="不记账",ROUND(N($G186),2)=0),"",IFERROR(INDEX(收入成本映射!$E$4:$E$34,MATCH($D186,收入成本映射!$B$4:$B$34,0)),""))</f>
        <v/>
      </c>
      <c r="N186" s="70" t="str">
        <f aca="false">IF($M186="","",ROUND(N($G186),2))</f>
        <v/>
      </c>
      <c r="O186" s="70" t="str">
        <f aca="false">IF($M186="","",0)</f>
        <v/>
      </c>
      <c r="P186" s="67" t="str">
        <f aca="false">IF($M186="","",IFERROR(INDEX(收入成本映射!$F$4:$F$34,MATCH($D186,收入成本映射!$B$4:$B$34,0)),""))</f>
        <v/>
      </c>
      <c r="Q186" s="70" t="str">
        <f aca="false">IF($P186="","",0)</f>
        <v/>
      </c>
      <c r="R186" s="70" t="str">
        <f aca="false">IF($P186="","",ROUND(N($G186),2))</f>
        <v/>
      </c>
      <c r="S186" s="67" t="str">
        <f aca="false">""</f>
        <v/>
      </c>
      <c r="T186" s="70" t="str">
        <f aca="false">IF($S186="","",0)</f>
        <v/>
      </c>
      <c r="U186" s="70" t="str">
        <f aca="false">IF($S186="","",0)</f>
        <v/>
      </c>
      <c r="V186" s="66" t="str">
        <f aca="false">IF($B186="","",IF($B186="01水果",IFERROR(INDEX(对接源_01水果!$H$5:$H$507,MATCH(ROW()-3,对接源_01水果!$Q$5:$Q$507,0)),""),IFERROR(INDEX(对接源_02物料!$H$5:$H$460,MATCH(ROW()-3-N(对接源_01水果!$T$1),对接源_02物料!$Q$5:$Q$460,0)),"")))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7" customFormat="false" ht="18" hidden="false" customHeight="true" outlineLevel="0" collapsed="false">
      <c r="A187" s="66" t="n">
        <v>184</v>
      </c>
      <c r="B187" s="67" t="str">
        <f aca="false">IF(ROW()-3&lt;=N(对接源_01水果!$T$1),"01水果",IF(ROW()-3&lt;=N(对接源_01水果!$T$1)+N(对接源_02物料!$T$1),"02物料",""))</f>
        <v/>
      </c>
      <c r="C187" s="68" t="str">
        <f aca="false">IF($B187="","",IF($B187="01水果",IFERROR(INDEX(对接源_01水果!$B$5:$B$507,MATCH(ROW()-3,对接源_01水果!$Q$5:$Q$507,0)),""),IFERROR(INDEX(对接源_02物料!$B$5:$B$460,MATCH(ROW()-3-N(对接源_01水果!$T$1),对接源_02物料!$Q$5:$Q$460,0)),"")))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7" s="67" t="str">
        <f aca="false">IF($B187="","",IF($B187="01水果",IFERROR(INDEX(对接源_01水果!$C$5:$C$507,MATCH(ROW()-3,对接源_01水果!$Q$5:$Q$507,0)),""),IFERROR(INDEX(对接源_02物料!$C$5:$C$460,MATCH(ROW()-3-N(对接源_01水果!$T$1),对接源_02物料!$Q$5:$Q$460,0)),"")))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7" s="69" t="str">
        <f aca="false">IF($B187="","",IF($B187="01水果",IFERROR(INDEX(对接源_01水果!$D$5:$D$507,MATCH(ROW()-3,对接源_01水果!$Q$5:$Q$507,0)),""),IFERROR(INDEX(对接源_02物料!$D$5:$D$460,MATCH(ROW()-3-N(对接源_01水果!$T$1),对接源_02物料!$Q$5:$Q$460,0)),"")))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7" s="67" t="str">
        <f aca="false">IF($B187="","",IF($B187="01水果",IFERROR(INDEX(对接源_01水果!$E$5:$E$507,MATCH(ROW()-3,对接源_01水果!$Q$5:$Q$507,0)),""),IFERROR(INDEX(对接源_02物料!$E$5:$E$460,MATCH(ROW()-3-N(对接源_01水果!$T$1),对接源_02物料!$Q$5:$Q$460,0)),"")))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7" s="70" t="str">
        <f aca="false">IF($B187="","",IF($B187="01水果",IFERROR(INDEX(对接源_01水果!$F$5:$F$507,MATCH(ROW()-3,对接源_01水果!$Q$5:$Q$507,0)),""),IFERROR(INDEX(对接源_02物料!$F$5:$F$460,MATCH(ROW()-3-N(对接源_01水果!$T$1),对接源_02物料!$Q$5:$Q$460,0)),"")))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7" s="70" t="str">
        <f aca="false">IF($B187="","",IF($B187="01水果",IFERROR(INDEX(对接源_01水果!$G$5:$G$507,MATCH(ROW()-3,对接源_01水果!$Q$5:$Q$507,0)),""),IFERROR(INDEX(对接源_02物料!$G$5:$G$460,MATCH(ROW()-3-N(对接源_01水果!$T$1),对接源_02物料!$Q$5:$Q$460,0)),"")))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7" s="67" t="str">
        <f aca="false">IF(OR($D187="客户应收",$D187="成品销售款",$D187="公司购买果品款",$D187="筐子销售款",$D187="物料销售款"),"客户往来",IFERROR(INDEX(收入成本映射!$C$4:$C$34,MATCH($D187,收入成本映射!$B$4:$B$34,0)),"不记账"))</f>
        <v>不记账</v>
      </c>
      <c r="J187" s="67" t="str">
        <f aca="false">IF($B187="","","0%")</f>
        <v/>
      </c>
      <c r="K187" s="70" t="n">
        <f aca="false">IF($I187="不记账",0,ROUND(N($G187),2))</f>
        <v>0</v>
      </c>
      <c r="L187" s="70" t="n">
        <v>0</v>
      </c>
      <c r="M187" s="67" t="str">
        <f aca="false">IF(OR($I187="不记账",ROUND(N($G187),2)=0),"",IFERROR(INDEX(收入成本映射!$E$4:$E$34,MATCH($D187,收入成本映射!$B$4:$B$34,0)),""))</f>
        <v/>
      </c>
      <c r="N187" s="70" t="str">
        <f aca="false">IF($M187="","",ROUND(N($G187),2))</f>
        <v/>
      </c>
      <c r="O187" s="70" t="str">
        <f aca="false">IF($M187="","",0)</f>
        <v/>
      </c>
      <c r="P187" s="67" t="str">
        <f aca="false">IF($M187="","",IFERROR(INDEX(收入成本映射!$F$4:$F$34,MATCH($D187,收入成本映射!$B$4:$B$34,0)),""))</f>
        <v/>
      </c>
      <c r="Q187" s="70" t="str">
        <f aca="false">IF($P187="","",0)</f>
        <v/>
      </c>
      <c r="R187" s="70" t="str">
        <f aca="false">IF($P187="","",ROUND(N($G187),2))</f>
        <v/>
      </c>
      <c r="S187" s="67" t="str">
        <f aca="false">""</f>
        <v/>
      </c>
      <c r="T187" s="70" t="str">
        <f aca="false">IF($S187="","",0)</f>
        <v/>
      </c>
      <c r="U187" s="70" t="str">
        <f aca="false">IF($S187="","",0)</f>
        <v/>
      </c>
      <c r="V187" s="66" t="str">
        <f aca="false">IF($B187="","",IF($B187="01水果",IFERROR(INDEX(对接源_01水果!$H$5:$H$507,MATCH(ROW()-3,对接源_01水果!$Q$5:$Q$507,0)),""),IFERROR(INDEX(对接源_02物料!$H$5:$H$460,MATCH(ROW()-3-N(对接源_01水果!$T$1),对接源_02物料!$Q$5:$Q$460,0)),"")))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8" customFormat="false" ht="18" hidden="false" customHeight="true" outlineLevel="0" collapsed="false">
      <c r="A188" s="66" t="n">
        <v>185</v>
      </c>
      <c r="B188" s="67" t="str">
        <f aca="false">IF(ROW()-3&lt;=N(对接源_01水果!$T$1),"01水果",IF(ROW()-3&lt;=N(对接源_01水果!$T$1)+N(对接源_02物料!$T$1),"02物料",""))</f>
        <v/>
      </c>
      <c r="C188" s="68" t="str">
        <f aca="false">IF($B188="","",IF($B188="01水果",IFERROR(INDEX(对接源_01水果!$B$5:$B$507,MATCH(ROW()-3,对接源_01水果!$Q$5:$Q$507,0)),""),IFERROR(INDEX(对接源_02物料!$B$5:$B$460,MATCH(ROW()-3-N(对接源_01水果!$T$1),对接源_02物料!$Q$5:$Q$460,0)),"")))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8" s="67" t="str">
        <f aca="false">IF($B188="","",IF($B188="01水果",IFERROR(INDEX(对接源_01水果!$C$5:$C$507,MATCH(ROW()-3,对接源_01水果!$Q$5:$Q$507,0)),""),IFERROR(INDEX(对接源_02物料!$C$5:$C$460,MATCH(ROW()-3-N(对接源_01水果!$T$1),对接源_02物料!$Q$5:$Q$460,0)),"")))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8" s="69" t="str">
        <f aca="false">IF($B188="","",IF($B188="01水果",IFERROR(INDEX(对接源_01水果!$D$5:$D$507,MATCH(ROW()-3,对接源_01水果!$Q$5:$Q$507,0)),""),IFERROR(INDEX(对接源_02物料!$D$5:$D$460,MATCH(ROW()-3-N(对接源_01水果!$T$1),对接源_02物料!$Q$5:$Q$460,0)),"")))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8" s="67" t="str">
        <f aca="false">IF($B188="","",IF($B188="01水果",IFERROR(INDEX(对接源_01水果!$E$5:$E$507,MATCH(ROW()-3,对接源_01水果!$Q$5:$Q$507,0)),""),IFERROR(INDEX(对接源_02物料!$E$5:$E$460,MATCH(ROW()-3-N(对接源_01水果!$T$1),对接源_02物料!$Q$5:$Q$460,0)),"")))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8" s="70" t="str">
        <f aca="false">IF($B188="","",IF($B188="01水果",IFERROR(INDEX(对接源_01水果!$F$5:$F$507,MATCH(ROW()-3,对接源_01水果!$Q$5:$Q$507,0)),""),IFERROR(INDEX(对接源_02物料!$F$5:$F$460,MATCH(ROW()-3-N(对接源_01水果!$T$1),对接源_02物料!$Q$5:$Q$460,0)),"")))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8" s="70" t="str">
        <f aca="false">IF($B188="","",IF($B188="01水果",IFERROR(INDEX(对接源_01水果!$G$5:$G$507,MATCH(ROW()-3,对接源_01水果!$Q$5:$Q$507,0)),""),IFERROR(INDEX(对接源_02物料!$G$5:$G$460,MATCH(ROW()-3-N(对接源_01水果!$T$1),对接源_02物料!$Q$5:$Q$460,0)),"")))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8" s="67" t="str">
        <f aca="false">IF(OR($D188="客户应收",$D188="成品销售款",$D188="公司购买果品款",$D188="筐子销售款",$D188="物料销售款"),"客户往来",IFERROR(INDEX(收入成本映射!$C$4:$C$34,MATCH($D188,收入成本映射!$B$4:$B$34,0)),"不记账"))</f>
        <v>不记账</v>
      </c>
      <c r="J188" s="67" t="str">
        <f aca="false">IF($B188="","","0%")</f>
        <v/>
      </c>
      <c r="K188" s="70" t="n">
        <f aca="false">IF($I188="不记账",0,ROUND(N($G188),2))</f>
        <v>0</v>
      </c>
      <c r="L188" s="70" t="n">
        <v>0</v>
      </c>
      <c r="M188" s="67" t="str">
        <f aca="false">IF(OR($I188="不记账",ROUND(N($G188),2)=0),"",IFERROR(INDEX(收入成本映射!$E$4:$E$34,MATCH($D188,收入成本映射!$B$4:$B$34,0)),""))</f>
        <v/>
      </c>
      <c r="N188" s="70" t="str">
        <f aca="false">IF($M188="","",ROUND(N($G188),2))</f>
        <v/>
      </c>
      <c r="O188" s="70" t="str">
        <f aca="false">IF($M188="","",0)</f>
        <v/>
      </c>
      <c r="P188" s="67" t="str">
        <f aca="false">IF($M188="","",IFERROR(INDEX(收入成本映射!$F$4:$F$34,MATCH($D188,收入成本映射!$B$4:$B$34,0)),""))</f>
        <v/>
      </c>
      <c r="Q188" s="70" t="str">
        <f aca="false">IF($P188="","",0)</f>
        <v/>
      </c>
      <c r="R188" s="70" t="str">
        <f aca="false">IF($P188="","",ROUND(N($G188),2))</f>
        <v/>
      </c>
      <c r="S188" s="67" t="str">
        <f aca="false">""</f>
        <v/>
      </c>
      <c r="T188" s="70" t="str">
        <f aca="false">IF($S188="","",0)</f>
        <v/>
      </c>
      <c r="U188" s="70" t="str">
        <f aca="false">IF($S188="","",0)</f>
        <v/>
      </c>
      <c r="V188" s="66" t="str">
        <f aca="false">IF($B188="","",IF($B188="01水果",IFERROR(INDEX(对接源_01水果!$H$5:$H$507,MATCH(ROW()-3,对接源_01水果!$Q$5:$Q$507,0)),""),IFERROR(INDEX(对接源_02物料!$H$5:$H$460,MATCH(ROW()-3-N(对接源_01水果!$T$1),对接源_02物料!$Q$5:$Q$460,0)),"")))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89" customFormat="false" ht="18" hidden="false" customHeight="true" outlineLevel="0" collapsed="false">
      <c r="A189" s="66" t="n">
        <v>186</v>
      </c>
      <c r="B189" s="67" t="str">
        <f aca="false">IF(ROW()-3&lt;=N(对接源_01水果!$T$1),"01水果",IF(ROW()-3&lt;=N(对接源_01水果!$T$1)+N(对接源_02物料!$T$1),"02物料",""))</f>
        <v/>
      </c>
      <c r="C189" s="68" t="str">
        <f aca="false">IF($B189="","",IF($B189="01水果",IFERROR(INDEX(对接源_01水果!$B$5:$B$507,MATCH(ROW()-3,对接源_01水果!$Q$5:$Q$507,0)),""),IFERROR(INDEX(对接源_02物料!$B$5:$B$460,MATCH(ROW()-3-N(对接源_01水果!$T$1),对接源_02物料!$Q$5:$Q$460,0)),"")))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89" s="67" t="str">
        <f aca="false">IF($B189="","",IF($B189="01水果",IFERROR(INDEX(对接源_01水果!$C$5:$C$507,MATCH(ROW()-3,对接源_01水果!$Q$5:$Q$507,0)),""),IFERROR(INDEX(对接源_02物料!$C$5:$C$460,MATCH(ROW()-3-N(对接源_01水果!$T$1),对接源_02物料!$Q$5:$Q$460,0)),"")))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89" s="69" t="str">
        <f aca="false">IF($B189="","",IF($B189="01水果",IFERROR(INDEX(对接源_01水果!$D$5:$D$507,MATCH(ROW()-3,对接源_01水果!$Q$5:$Q$507,0)),""),IFERROR(INDEX(对接源_02物料!$D$5:$D$460,MATCH(ROW()-3-N(对接源_01水果!$T$1),对接源_02物料!$Q$5:$Q$460,0)),"")))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89" s="67" t="str">
        <f aca="false">IF($B189="","",IF($B189="01水果",IFERROR(INDEX(对接源_01水果!$E$5:$E$507,MATCH(ROW()-3,对接源_01水果!$Q$5:$Q$507,0)),""),IFERROR(INDEX(对接源_02物料!$E$5:$E$460,MATCH(ROW()-3-N(对接源_01水果!$T$1),对接源_02物料!$Q$5:$Q$460,0)),"")))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89" s="70" t="str">
        <f aca="false">IF($B189="","",IF($B189="01水果",IFERROR(INDEX(对接源_01水果!$F$5:$F$507,MATCH(ROW()-3,对接源_01水果!$Q$5:$Q$507,0)),""),IFERROR(INDEX(对接源_02物料!$F$5:$F$460,MATCH(ROW()-3-N(对接源_01水果!$T$1),对接源_02物料!$Q$5:$Q$460,0)),"")))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89" s="70" t="str">
        <f aca="false">IF($B189="","",IF($B189="01水果",IFERROR(INDEX(对接源_01水果!$G$5:$G$507,MATCH(ROW()-3,对接源_01水果!$Q$5:$Q$507,0)),""),IFERROR(INDEX(对接源_02物料!$G$5:$G$460,MATCH(ROW()-3-N(对接源_01水果!$T$1),对接源_02物料!$Q$5:$Q$460,0)),"")))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89" s="67" t="str">
        <f aca="false">IF(OR($D189="客户应收",$D189="成品销售款",$D189="公司购买果品款",$D189="筐子销售款",$D189="物料销售款"),"客户往来",IFERROR(INDEX(收入成本映射!$C$4:$C$34,MATCH($D189,收入成本映射!$B$4:$B$34,0)),"不记账"))</f>
        <v>不记账</v>
      </c>
      <c r="J189" s="67" t="str">
        <f aca="false">IF($B189="","","0%")</f>
        <v/>
      </c>
      <c r="K189" s="70" t="n">
        <f aca="false">IF($I189="不记账",0,ROUND(N($G189),2))</f>
        <v>0</v>
      </c>
      <c r="L189" s="70" t="n">
        <v>0</v>
      </c>
      <c r="M189" s="67" t="str">
        <f aca="false">IF(OR($I189="不记账",ROUND(N($G189),2)=0),"",IFERROR(INDEX(收入成本映射!$E$4:$E$34,MATCH($D189,收入成本映射!$B$4:$B$34,0)),""))</f>
        <v/>
      </c>
      <c r="N189" s="70" t="str">
        <f aca="false">IF($M189="","",ROUND(N($G189),2))</f>
        <v/>
      </c>
      <c r="O189" s="70" t="str">
        <f aca="false">IF($M189="","",0)</f>
        <v/>
      </c>
      <c r="P189" s="67" t="str">
        <f aca="false">IF($M189="","",IFERROR(INDEX(收入成本映射!$F$4:$F$34,MATCH($D189,收入成本映射!$B$4:$B$34,0)),""))</f>
        <v/>
      </c>
      <c r="Q189" s="70" t="str">
        <f aca="false">IF($P189="","",0)</f>
        <v/>
      </c>
      <c r="R189" s="70" t="str">
        <f aca="false">IF($P189="","",ROUND(N($G189),2))</f>
        <v/>
      </c>
      <c r="S189" s="67" t="str">
        <f aca="false">""</f>
        <v/>
      </c>
      <c r="T189" s="70" t="str">
        <f aca="false">IF($S189="","",0)</f>
        <v/>
      </c>
      <c r="U189" s="70" t="str">
        <f aca="false">IF($S189="","",0)</f>
        <v/>
      </c>
      <c r="V189" s="66" t="str">
        <f aca="false">IF($B189="","",IF($B189="01水果",IFERROR(INDEX(对接源_01水果!$H$5:$H$507,MATCH(ROW()-3,对接源_01水果!$Q$5:$Q$507,0)),""),IFERROR(INDEX(对接源_02物料!$H$5:$H$460,MATCH(ROW()-3-N(对接源_01水果!$T$1),对接源_02物料!$Q$5:$Q$460,0)),"")))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0" customFormat="false" ht="18" hidden="false" customHeight="true" outlineLevel="0" collapsed="false">
      <c r="A190" s="66" t="n">
        <v>187</v>
      </c>
      <c r="B190" s="67" t="str">
        <f aca="false">IF(ROW()-3&lt;=N(对接源_01水果!$T$1),"01水果",IF(ROW()-3&lt;=N(对接源_01水果!$T$1)+N(对接源_02物料!$T$1),"02物料",""))</f>
        <v/>
      </c>
      <c r="C190" s="68" t="str">
        <f aca="false">IF($B190="","",IF($B190="01水果",IFERROR(INDEX(对接源_01水果!$B$5:$B$507,MATCH(ROW()-3,对接源_01水果!$Q$5:$Q$507,0)),""),IFERROR(INDEX(对接源_02物料!$B$5:$B$460,MATCH(ROW()-3-N(对接源_01水果!$T$1),对接源_02物料!$Q$5:$Q$460,0)),"")))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0" s="67" t="str">
        <f aca="false">IF($B190="","",IF($B190="01水果",IFERROR(INDEX(对接源_01水果!$C$5:$C$507,MATCH(ROW()-3,对接源_01水果!$Q$5:$Q$507,0)),""),IFERROR(INDEX(对接源_02物料!$C$5:$C$460,MATCH(ROW()-3-N(对接源_01水果!$T$1),对接源_02物料!$Q$5:$Q$460,0)),"")))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0" s="69" t="str">
        <f aca="false">IF($B190="","",IF($B190="01水果",IFERROR(INDEX(对接源_01水果!$D$5:$D$507,MATCH(ROW()-3,对接源_01水果!$Q$5:$Q$507,0)),""),IFERROR(INDEX(对接源_02物料!$D$5:$D$460,MATCH(ROW()-3-N(对接源_01水果!$T$1),对接源_02物料!$Q$5:$Q$460,0)),"")))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0" s="67" t="str">
        <f aca="false">IF($B190="","",IF($B190="01水果",IFERROR(INDEX(对接源_01水果!$E$5:$E$507,MATCH(ROW()-3,对接源_01水果!$Q$5:$Q$507,0)),""),IFERROR(INDEX(对接源_02物料!$E$5:$E$460,MATCH(ROW()-3-N(对接源_01水果!$T$1),对接源_02物料!$Q$5:$Q$460,0)),"")))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0" s="70" t="str">
        <f aca="false">IF($B190="","",IF($B190="01水果",IFERROR(INDEX(对接源_01水果!$F$5:$F$507,MATCH(ROW()-3,对接源_01水果!$Q$5:$Q$507,0)),""),IFERROR(INDEX(对接源_02物料!$F$5:$F$460,MATCH(ROW()-3-N(对接源_01水果!$T$1),对接源_02物料!$Q$5:$Q$460,0)),"")))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0" s="70" t="str">
        <f aca="false">IF($B190="","",IF($B190="01水果",IFERROR(INDEX(对接源_01水果!$G$5:$G$507,MATCH(ROW()-3,对接源_01水果!$Q$5:$Q$507,0)),""),IFERROR(INDEX(对接源_02物料!$G$5:$G$460,MATCH(ROW()-3-N(对接源_01水果!$T$1),对接源_02物料!$Q$5:$Q$460,0)),"")))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0" s="67" t="str">
        <f aca="false">IF(OR($D190="客户应收",$D190="成品销售款",$D190="公司购买果品款",$D190="筐子销售款",$D190="物料销售款"),"客户往来",IFERROR(INDEX(收入成本映射!$C$4:$C$34,MATCH($D190,收入成本映射!$B$4:$B$34,0)),"不记账"))</f>
        <v>不记账</v>
      </c>
      <c r="J190" s="67" t="str">
        <f aca="false">IF($B190="","","0%")</f>
        <v/>
      </c>
      <c r="K190" s="70" t="n">
        <f aca="false">IF($I190="不记账",0,ROUND(N($G190),2))</f>
        <v>0</v>
      </c>
      <c r="L190" s="70" t="n">
        <v>0</v>
      </c>
      <c r="M190" s="67" t="str">
        <f aca="false">IF(OR($I190="不记账",ROUND(N($G190),2)=0),"",IFERROR(INDEX(收入成本映射!$E$4:$E$34,MATCH($D190,收入成本映射!$B$4:$B$34,0)),""))</f>
        <v/>
      </c>
      <c r="N190" s="70" t="str">
        <f aca="false">IF($M190="","",ROUND(N($G190),2))</f>
        <v/>
      </c>
      <c r="O190" s="70" t="str">
        <f aca="false">IF($M190="","",0)</f>
        <v/>
      </c>
      <c r="P190" s="67" t="str">
        <f aca="false">IF($M190="","",IFERROR(INDEX(收入成本映射!$F$4:$F$34,MATCH($D190,收入成本映射!$B$4:$B$34,0)),""))</f>
        <v/>
      </c>
      <c r="Q190" s="70" t="str">
        <f aca="false">IF($P190="","",0)</f>
        <v/>
      </c>
      <c r="R190" s="70" t="str">
        <f aca="false">IF($P190="","",ROUND(N($G190),2))</f>
        <v/>
      </c>
      <c r="S190" s="67" t="str">
        <f aca="false">""</f>
        <v/>
      </c>
      <c r="T190" s="70" t="str">
        <f aca="false">IF($S190="","",0)</f>
        <v/>
      </c>
      <c r="U190" s="70" t="str">
        <f aca="false">IF($S190="","",0)</f>
        <v/>
      </c>
      <c r="V190" s="66" t="str">
        <f aca="false">IF($B190="","",IF($B190="01水果",IFERROR(INDEX(对接源_01水果!$H$5:$H$507,MATCH(ROW()-3,对接源_01水果!$Q$5:$Q$507,0)),""),IFERROR(INDEX(对接源_02物料!$H$5:$H$460,MATCH(ROW()-3-N(对接源_01水果!$T$1),对接源_02物料!$Q$5:$Q$460,0)),"")))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1" customFormat="false" ht="18" hidden="false" customHeight="true" outlineLevel="0" collapsed="false">
      <c r="A191" s="66" t="n">
        <v>188</v>
      </c>
      <c r="B191" s="67" t="str">
        <f aca="false">IF(ROW()-3&lt;=N(对接源_01水果!$T$1),"01水果",IF(ROW()-3&lt;=N(对接源_01水果!$T$1)+N(对接源_02物料!$T$1),"02物料",""))</f>
        <v/>
      </c>
      <c r="C191" s="68" t="str">
        <f aca="false">IF($B191="","",IF($B191="01水果",IFERROR(INDEX(对接源_01水果!$B$5:$B$507,MATCH(ROW()-3,对接源_01水果!$Q$5:$Q$507,0)),""),IFERROR(INDEX(对接源_02物料!$B$5:$B$460,MATCH(ROW()-3-N(对接源_01水果!$T$1),对接源_02物料!$Q$5:$Q$460,0)),"")))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1" s="67" t="str">
        <f aca="false">IF($B191="","",IF($B191="01水果",IFERROR(INDEX(对接源_01水果!$C$5:$C$507,MATCH(ROW()-3,对接源_01水果!$Q$5:$Q$507,0)),""),IFERROR(INDEX(对接源_02物料!$C$5:$C$460,MATCH(ROW()-3-N(对接源_01水果!$T$1),对接源_02物料!$Q$5:$Q$460,0)),"")))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1" s="69" t="str">
        <f aca="false">IF($B191="","",IF($B191="01水果",IFERROR(INDEX(对接源_01水果!$D$5:$D$507,MATCH(ROW()-3,对接源_01水果!$Q$5:$Q$507,0)),""),IFERROR(INDEX(对接源_02物料!$D$5:$D$460,MATCH(ROW()-3-N(对接源_01水果!$T$1),对接源_02物料!$Q$5:$Q$460,0)),"")))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1" s="67" t="str">
        <f aca="false">IF($B191="","",IF($B191="01水果",IFERROR(INDEX(对接源_01水果!$E$5:$E$507,MATCH(ROW()-3,对接源_01水果!$Q$5:$Q$507,0)),""),IFERROR(INDEX(对接源_02物料!$E$5:$E$460,MATCH(ROW()-3-N(对接源_01水果!$T$1),对接源_02物料!$Q$5:$Q$460,0)),"")))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1" s="70" t="str">
        <f aca="false">IF($B191="","",IF($B191="01水果",IFERROR(INDEX(对接源_01水果!$F$5:$F$507,MATCH(ROW()-3,对接源_01水果!$Q$5:$Q$507,0)),""),IFERROR(INDEX(对接源_02物料!$F$5:$F$460,MATCH(ROW()-3-N(对接源_01水果!$T$1),对接源_02物料!$Q$5:$Q$460,0)),"")))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1" s="70" t="str">
        <f aca="false">IF($B191="","",IF($B191="01水果",IFERROR(INDEX(对接源_01水果!$G$5:$G$507,MATCH(ROW()-3,对接源_01水果!$Q$5:$Q$507,0)),""),IFERROR(INDEX(对接源_02物料!$G$5:$G$460,MATCH(ROW()-3-N(对接源_01水果!$T$1),对接源_02物料!$Q$5:$Q$460,0)),"")))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1" s="67" t="str">
        <f aca="false">IF(OR($D191="客户应收",$D191="成品销售款",$D191="公司购买果品款",$D191="筐子销售款",$D191="物料销售款"),"客户往来",IFERROR(INDEX(收入成本映射!$C$4:$C$34,MATCH($D191,收入成本映射!$B$4:$B$34,0)),"不记账"))</f>
        <v>不记账</v>
      </c>
      <c r="J191" s="67" t="str">
        <f aca="false">IF($B191="","","0%")</f>
        <v/>
      </c>
      <c r="K191" s="70" t="n">
        <f aca="false">IF($I191="不记账",0,ROUND(N($G191),2))</f>
        <v>0</v>
      </c>
      <c r="L191" s="70" t="n">
        <v>0</v>
      </c>
      <c r="M191" s="67" t="str">
        <f aca="false">IF(OR($I191="不记账",ROUND(N($G191),2)=0),"",IFERROR(INDEX(收入成本映射!$E$4:$E$34,MATCH($D191,收入成本映射!$B$4:$B$34,0)),""))</f>
        <v/>
      </c>
      <c r="N191" s="70" t="str">
        <f aca="false">IF($M191="","",ROUND(N($G191),2))</f>
        <v/>
      </c>
      <c r="O191" s="70" t="str">
        <f aca="false">IF($M191="","",0)</f>
        <v/>
      </c>
      <c r="P191" s="67" t="str">
        <f aca="false">IF($M191="","",IFERROR(INDEX(收入成本映射!$F$4:$F$34,MATCH($D191,收入成本映射!$B$4:$B$34,0)),""))</f>
        <v/>
      </c>
      <c r="Q191" s="70" t="str">
        <f aca="false">IF($P191="","",0)</f>
        <v/>
      </c>
      <c r="R191" s="70" t="str">
        <f aca="false">IF($P191="","",ROUND(N($G191),2))</f>
        <v/>
      </c>
      <c r="S191" s="67" t="str">
        <f aca="false">""</f>
        <v/>
      </c>
      <c r="T191" s="70" t="str">
        <f aca="false">IF($S191="","",0)</f>
        <v/>
      </c>
      <c r="U191" s="70" t="str">
        <f aca="false">IF($S191="","",0)</f>
        <v/>
      </c>
      <c r="V191" s="66" t="str">
        <f aca="false">IF($B191="","",IF($B191="01水果",IFERROR(INDEX(对接源_01水果!$H$5:$H$507,MATCH(ROW()-3,对接源_01水果!$Q$5:$Q$507,0)),""),IFERROR(INDEX(对接源_02物料!$H$5:$H$460,MATCH(ROW()-3-N(对接源_01水果!$T$1),对接源_02物料!$Q$5:$Q$460,0)),"")))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2" customFormat="false" ht="18" hidden="false" customHeight="true" outlineLevel="0" collapsed="false">
      <c r="A192" s="66" t="n">
        <v>189</v>
      </c>
      <c r="B192" s="67" t="str">
        <f aca="false">IF(ROW()-3&lt;=N(对接源_01水果!$T$1),"01水果",IF(ROW()-3&lt;=N(对接源_01水果!$T$1)+N(对接源_02物料!$T$1),"02物料",""))</f>
        <v/>
      </c>
      <c r="C192" s="68" t="str">
        <f aca="false">IF($B192="","",IF($B192="01水果",IFERROR(INDEX(对接源_01水果!$B$5:$B$507,MATCH(ROW()-3,对接源_01水果!$Q$5:$Q$507,0)),""),IFERROR(INDEX(对接源_02物料!$B$5:$B$460,MATCH(ROW()-3-N(对接源_01水果!$T$1),对接源_02物料!$Q$5:$Q$460,0)),"")))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2" s="67" t="str">
        <f aca="false">IF($B192="","",IF($B192="01水果",IFERROR(INDEX(对接源_01水果!$C$5:$C$507,MATCH(ROW()-3,对接源_01水果!$Q$5:$Q$507,0)),""),IFERROR(INDEX(对接源_02物料!$C$5:$C$460,MATCH(ROW()-3-N(对接源_01水果!$T$1),对接源_02物料!$Q$5:$Q$460,0)),"")))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2" s="69" t="str">
        <f aca="false">IF($B192="","",IF($B192="01水果",IFERROR(INDEX(对接源_01水果!$D$5:$D$507,MATCH(ROW()-3,对接源_01水果!$Q$5:$Q$507,0)),""),IFERROR(INDEX(对接源_02物料!$D$5:$D$460,MATCH(ROW()-3-N(对接源_01水果!$T$1),对接源_02物料!$Q$5:$Q$460,0)),"")))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2" s="67" t="str">
        <f aca="false">IF($B192="","",IF($B192="01水果",IFERROR(INDEX(对接源_01水果!$E$5:$E$507,MATCH(ROW()-3,对接源_01水果!$Q$5:$Q$507,0)),""),IFERROR(INDEX(对接源_02物料!$E$5:$E$460,MATCH(ROW()-3-N(对接源_01水果!$T$1),对接源_02物料!$Q$5:$Q$460,0)),"")))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2" s="70" t="str">
        <f aca="false">IF($B192="","",IF($B192="01水果",IFERROR(INDEX(对接源_01水果!$F$5:$F$507,MATCH(ROW()-3,对接源_01水果!$Q$5:$Q$507,0)),""),IFERROR(INDEX(对接源_02物料!$F$5:$F$460,MATCH(ROW()-3-N(对接源_01水果!$T$1),对接源_02物料!$Q$5:$Q$460,0)),"")))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2" s="70" t="str">
        <f aca="false">IF($B192="","",IF($B192="01水果",IFERROR(INDEX(对接源_01水果!$G$5:$G$507,MATCH(ROW()-3,对接源_01水果!$Q$5:$Q$507,0)),""),IFERROR(INDEX(对接源_02物料!$G$5:$G$460,MATCH(ROW()-3-N(对接源_01水果!$T$1),对接源_02物料!$Q$5:$Q$460,0)),"")))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2" s="67" t="str">
        <f aca="false">IF(OR($D192="客户应收",$D192="成品销售款",$D192="公司购买果品款",$D192="筐子销售款",$D192="物料销售款"),"客户往来",IFERROR(INDEX(收入成本映射!$C$4:$C$34,MATCH($D192,收入成本映射!$B$4:$B$34,0)),"不记账"))</f>
        <v>不记账</v>
      </c>
      <c r="J192" s="67" t="str">
        <f aca="false">IF($B192="","","0%")</f>
        <v/>
      </c>
      <c r="K192" s="70" t="n">
        <f aca="false">IF($I192="不记账",0,ROUND(N($G192),2))</f>
        <v>0</v>
      </c>
      <c r="L192" s="70" t="n">
        <v>0</v>
      </c>
      <c r="M192" s="67" t="str">
        <f aca="false">IF(OR($I192="不记账",ROUND(N($G192),2)=0),"",IFERROR(INDEX(收入成本映射!$E$4:$E$34,MATCH($D192,收入成本映射!$B$4:$B$34,0)),""))</f>
        <v/>
      </c>
      <c r="N192" s="70" t="str">
        <f aca="false">IF($M192="","",ROUND(N($G192),2))</f>
        <v/>
      </c>
      <c r="O192" s="70" t="str">
        <f aca="false">IF($M192="","",0)</f>
        <v/>
      </c>
      <c r="P192" s="67" t="str">
        <f aca="false">IF($M192="","",IFERROR(INDEX(收入成本映射!$F$4:$F$34,MATCH($D192,收入成本映射!$B$4:$B$34,0)),""))</f>
        <v/>
      </c>
      <c r="Q192" s="70" t="str">
        <f aca="false">IF($P192="","",0)</f>
        <v/>
      </c>
      <c r="R192" s="70" t="str">
        <f aca="false">IF($P192="","",ROUND(N($G192),2))</f>
        <v/>
      </c>
      <c r="S192" s="67" t="str">
        <f aca="false">""</f>
        <v/>
      </c>
      <c r="T192" s="70" t="str">
        <f aca="false">IF($S192="","",0)</f>
        <v/>
      </c>
      <c r="U192" s="70" t="str">
        <f aca="false">IF($S192="","",0)</f>
        <v/>
      </c>
      <c r="V192" s="66" t="str">
        <f aca="false">IF($B192="","",IF($B192="01水果",IFERROR(INDEX(对接源_01水果!$H$5:$H$507,MATCH(ROW()-3,对接源_01水果!$Q$5:$Q$507,0)),""),IFERROR(INDEX(对接源_02物料!$H$5:$H$460,MATCH(ROW()-3-N(对接源_01水果!$T$1),对接源_02物料!$Q$5:$Q$460,0)),"")))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3" customFormat="false" ht="18" hidden="false" customHeight="true" outlineLevel="0" collapsed="false">
      <c r="A193" s="66" t="n">
        <v>190</v>
      </c>
      <c r="B193" s="67" t="str">
        <f aca="false">IF(ROW()-3&lt;=N(对接源_01水果!$T$1),"01水果",IF(ROW()-3&lt;=N(对接源_01水果!$T$1)+N(对接源_02物料!$T$1),"02物料",""))</f>
        <v/>
      </c>
      <c r="C193" s="68" t="str">
        <f aca="false">IF($B193="","",IF($B193="01水果",IFERROR(INDEX(对接源_01水果!$B$5:$B$507,MATCH(ROW()-3,对接源_01水果!$Q$5:$Q$507,0)),""),IFERROR(INDEX(对接源_02物料!$B$5:$B$460,MATCH(ROW()-3-N(对接源_01水果!$T$1),对接源_02物料!$Q$5:$Q$460,0)),"")))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3" s="67" t="str">
        <f aca="false">IF($B193="","",IF($B193="01水果",IFERROR(INDEX(对接源_01水果!$C$5:$C$507,MATCH(ROW()-3,对接源_01水果!$Q$5:$Q$507,0)),""),IFERROR(INDEX(对接源_02物料!$C$5:$C$460,MATCH(ROW()-3-N(对接源_01水果!$T$1),对接源_02物料!$Q$5:$Q$460,0)),"")))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3" s="69" t="str">
        <f aca="false">IF($B193="","",IF($B193="01水果",IFERROR(INDEX(对接源_01水果!$D$5:$D$507,MATCH(ROW()-3,对接源_01水果!$Q$5:$Q$507,0)),""),IFERROR(INDEX(对接源_02物料!$D$5:$D$460,MATCH(ROW()-3-N(对接源_01水果!$T$1),对接源_02物料!$Q$5:$Q$460,0)),"")))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3" s="67" t="str">
        <f aca="false">IF($B193="","",IF($B193="01水果",IFERROR(INDEX(对接源_01水果!$E$5:$E$507,MATCH(ROW()-3,对接源_01水果!$Q$5:$Q$507,0)),""),IFERROR(INDEX(对接源_02物料!$E$5:$E$460,MATCH(ROW()-3-N(对接源_01水果!$T$1),对接源_02物料!$Q$5:$Q$460,0)),"")))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3" s="70" t="str">
        <f aca="false">IF($B193="","",IF($B193="01水果",IFERROR(INDEX(对接源_01水果!$F$5:$F$507,MATCH(ROW()-3,对接源_01水果!$Q$5:$Q$507,0)),""),IFERROR(INDEX(对接源_02物料!$F$5:$F$460,MATCH(ROW()-3-N(对接源_01水果!$T$1),对接源_02物料!$Q$5:$Q$460,0)),"")))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3" s="70" t="str">
        <f aca="false">IF($B193="","",IF($B193="01水果",IFERROR(INDEX(对接源_01水果!$G$5:$G$507,MATCH(ROW()-3,对接源_01水果!$Q$5:$Q$507,0)),""),IFERROR(INDEX(对接源_02物料!$G$5:$G$460,MATCH(ROW()-3-N(对接源_01水果!$T$1),对接源_02物料!$Q$5:$Q$460,0)),"")))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3" s="67" t="str">
        <f aca="false">IF(OR($D193="客户应收",$D193="成品销售款",$D193="公司购买果品款",$D193="筐子销售款",$D193="物料销售款"),"客户往来",IFERROR(INDEX(收入成本映射!$C$4:$C$34,MATCH($D193,收入成本映射!$B$4:$B$34,0)),"不记账"))</f>
        <v>不记账</v>
      </c>
      <c r="J193" s="67" t="str">
        <f aca="false">IF($B193="","","0%")</f>
        <v/>
      </c>
      <c r="K193" s="70" t="n">
        <f aca="false">IF($I193="不记账",0,ROUND(N($G193),2))</f>
        <v>0</v>
      </c>
      <c r="L193" s="70" t="n">
        <v>0</v>
      </c>
      <c r="M193" s="67" t="str">
        <f aca="false">IF(OR($I193="不记账",ROUND(N($G193),2)=0),"",IFERROR(INDEX(收入成本映射!$E$4:$E$34,MATCH($D193,收入成本映射!$B$4:$B$34,0)),""))</f>
        <v/>
      </c>
      <c r="N193" s="70" t="str">
        <f aca="false">IF($M193="","",ROUND(N($G193),2))</f>
        <v/>
      </c>
      <c r="O193" s="70" t="str">
        <f aca="false">IF($M193="","",0)</f>
        <v/>
      </c>
      <c r="P193" s="67" t="str">
        <f aca="false">IF($M193="","",IFERROR(INDEX(收入成本映射!$F$4:$F$34,MATCH($D193,收入成本映射!$B$4:$B$34,0)),""))</f>
        <v/>
      </c>
      <c r="Q193" s="70" t="str">
        <f aca="false">IF($P193="","",0)</f>
        <v/>
      </c>
      <c r="R193" s="70" t="str">
        <f aca="false">IF($P193="","",ROUND(N($G193),2))</f>
        <v/>
      </c>
      <c r="S193" s="67" t="str">
        <f aca="false">""</f>
        <v/>
      </c>
      <c r="T193" s="70" t="str">
        <f aca="false">IF($S193="","",0)</f>
        <v/>
      </c>
      <c r="U193" s="70" t="str">
        <f aca="false">IF($S193="","",0)</f>
        <v/>
      </c>
      <c r="V193" s="66" t="str">
        <f aca="false">IF($B193="","",IF($B193="01水果",IFERROR(INDEX(对接源_01水果!$H$5:$H$507,MATCH(ROW()-3,对接源_01水果!$Q$5:$Q$507,0)),""),IFERROR(INDEX(对接源_02物料!$H$5:$H$460,MATCH(ROW()-3-N(对接源_01水果!$T$1),对接源_02物料!$Q$5:$Q$460,0)),"")))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4" customFormat="false" ht="18" hidden="false" customHeight="true" outlineLevel="0" collapsed="false">
      <c r="A194" s="66" t="n">
        <v>191</v>
      </c>
      <c r="B194" s="67" t="str">
        <f aca="false">IF(ROW()-3&lt;=N(对接源_01水果!$T$1),"01水果",IF(ROW()-3&lt;=N(对接源_01水果!$T$1)+N(对接源_02物料!$T$1),"02物料",""))</f>
        <v/>
      </c>
      <c r="C194" s="68" t="str">
        <f aca="false">IF($B194="","",IF($B194="01水果",IFERROR(INDEX(对接源_01水果!$B$5:$B$507,MATCH(ROW()-3,对接源_01水果!$Q$5:$Q$507,0)),""),IFERROR(INDEX(对接源_02物料!$B$5:$B$460,MATCH(ROW()-3-N(对接源_01水果!$T$1),对接源_02物料!$Q$5:$Q$460,0)),"")))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4" s="67" t="str">
        <f aca="false">IF($B194="","",IF($B194="01水果",IFERROR(INDEX(对接源_01水果!$C$5:$C$507,MATCH(ROW()-3,对接源_01水果!$Q$5:$Q$507,0)),""),IFERROR(INDEX(对接源_02物料!$C$5:$C$460,MATCH(ROW()-3-N(对接源_01水果!$T$1),对接源_02物料!$Q$5:$Q$460,0)),"")))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4" s="69" t="str">
        <f aca="false">IF($B194="","",IF($B194="01水果",IFERROR(INDEX(对接源_01水果!$D$5:$D$507,MATCH(ROW()-3,对接源_01水果!$Q$5:$Q$507,0)),""),IFERROR(INDEX(对接源_02物料!$D$5:$D$460,MATCH(ROW()-3-N(对接源_01水果!$T$1),对接源_02物料!$Q$5:$Q$460,0)),"")))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4" s="67" t="str">
        <f aca="false">IF($B194="","",IF($B194="01水果",IFERROR(INDEX(对接源_01水果!$E$5:$E$507,MATCH(ROW()-3,对接源_01水果!$Q$5:$Q$507,0)),""),IFERROR(INDEX(对接源_02物料!$E$5:$E$460,MATCH(ROW()-3-N(对接源_01水果!$T$1),对接源_02物料!$Q$5:$Q$460,0)),"")))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4" s="70" t="str">
        <f aca="false">IF($B194="","",IF($B194="01水果",IFERROR(INDEX(对接源_01水果!$F$5:$F$507,MATCH(ROW()-3,对接源_01水果!$Q$5:$Q$507,0)),""),IFERROR(INDEX(对接源_02物料!$F$5:$F$460,MATCH(ROW()-3-N(对接源_01水果!$T$1),对接源_02物料!$Q$5:$Q$460,0)),"")))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4" s="70" t="str">
        <f aca="false">IF($B194="","",IF($B194="01水果",IFERROR(INDEX(对接源_01水果!$G$5:$G$507,MATCH(ROW()-3,对接源_01水果!$Q$5:$Q$507,0)),""),IFERROR(INDEX(对接源_02物料!$G$5:$G$460,MATCH(ROW()-3-N(对接源_01水果!$T$1),对接源_02物料!$Q$5:$Q$460,0)),"")))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4" s="67" t="str">
        <f aca="false">IF(OR($D194="客户应收",$D194="成品销售款",$D194="公司购买果品款",$D194="筐子销售款",$D194="物料销售款"),"客户往来",IFERROR(INDEX(收入成本映射!$C$4:$C$34,MATCH($D194,收入成本映射!$B$4:$B$34,0)),"不记账"))</f>
        <v>不记账</v>
      </c>
      <c r="J194" s="67" t="str">
        <f aca="false">IF($B194="","","0%")</f>
        <v/>
      </c>
      <c r="K194" s="70" t="n">
        <f aca="false">IF($I194="不记账",0,ROUND(N($G194),2))</f>
        <v>0</v>
      </c>
      <c r="L194" s="70" t="n">
        <v>0</v>
      </c>
      <c r="M194" s="67" t="str">
        <f aca="false">IF(OR($I194="不记账",ROUND(N($G194),2)=0),"",IFERROR(INDEX(收入成本映射!$E$4:$E$34,MATCH($D194,收入成本映射!$B$4:$B$34,0)),""))</f>
        <v/>
      </c>
      <c r="N194" s="70" t="str">
        <f aca="false">IF($M194="","",ROUND(N($G194),2))</f>
        <v/>
      </c>
      <c r="O194" s="70" t="str">
        <f aca="false">IF($M194="","",0)</f>
        <v/>
      </c>
      <c r="P194" s="67" t="str">
        <f aca="false">IF($M194="","",IFERROR(INDEX(收入成本映射!$F$4:$F$34,MATCH($D194,收入成本映射!$B$4:$B$34,0)),""))</f>
        <v/>
      </c>
      <c r="Q194" s="70" t="str">
        <f aca="false">IF($P194="","",0)</f>
        <v/>
      </c>
      <c r="R194" s="70" t="str">
        <f aca="false">IF($P194="","",ROUND(N($G194),2))</f>
        <v/>
      </c>
      <c r="S194" s="67" t="str">
        <f aca="false">""</f>
        <v/>
      </c>
      <c r="T194" s="70" t="str">
        <f aca="false">IF($S194="","",0)</f>
        <v/>
      </c>
      <c r="U194" s="70" t="str">
        <f aca="false">IF($S194="","",0)</f>
        <v/>
      </c>
      <c r="V194" s="66" t="str">
        <f aca="false">IF($B194="","",IF($B194="01水果",IFERROR(INDEX(对接源_01水果!$H$5:$H$507,MATCH(ROW()-3,对接源_01水果!$Q$5:$Q$507,0)),""),IFERROR(INDEX(对接源_02物料!$H$5:$H$460,MATCH(ROW()-3-N(对接源_01水果!$T$1),对接源_02物料!$Q$5:$Q$460,0)),"")))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5" customFormat="false" ht="18" hidden="false" customHeight="true" outlineLevel="0" collapsed="false">
      <c r="A195" s="66" t="n">
        <v>192</v>
      </c>
      <c r="B195" s="67" t="str">
        <f aca="false">IF(ROW()-3&lt;=N(对接源_01水果!$T$1),"01水果",IF(ROW()-3&lt;=N(对接源_01水果!$T$1)+N(对接源_02物料!$T$1),"02物料",""))</f>
        <v/>
      </c>
      <c r="C195" s="68" t="str">
        <f aca="false">IF($B195="","",IF($B195="01水果",IFERROR(INDEX(对接源_01水果!$B$5:$B$507,MATCH(ROW()-3,对接源_01水果!$Q$5:$Q$507,0)),""),IFERROR(INDEX(对接源_02物料!$B$5:$B$460,MATCH(ROW()-3-N(对接源_01水果!$T$1),对接源_02物料!$Q$5:$Q$460,0)),"")))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5" s="67" t="str">
        <f aca="false">IF($B195="","",IF($B195="01水果",IFERROR(INDEX(对接源_01水果!$C$5:$C$507,MATCH(ROW()-3,对接源_01水果!$Q$5:$Q$507,0)),""),IFERROR(INDEX(对接源_02物料!$C$5:$C$460,MATCH(ROW()-3-N(对接源_01水果!$T$1),对接源_02物料!$Q$5:$Q$460,0)),"")))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5" s="69" t="str">
        <f aca="false">IF($B195="","",IF($B195="01水果",IFERROR(INDEX(对接源_01水果!$D$5:$D$507,MATCH(ROW()-3,对接源_01水果!$Q$5:$Q$507,0)),""),IFERROR(INDEX(对接源_02物料!$D$5:$D$460,MATCH(ROW()-3-N(对接源_01水果!$T$1),对接源_02物料!$Q$5:$Q$460,0)),"")))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5" s="67" t="str">
        <f aca="false">IF($B195="","",IF($B195="01水果",IFERROR(INDEX(对接源_01水果!$E$5:$E$507,MATCH(ROW()-3,对接源_01水果!$Q$5:$Q$507,0)),""),IFERROR(INDEX(对接源_02物料!$E$5:$E$460,MATCH(ROW()-3-N(对接源_01水果!$T$1),对接源_02物料!$Q$5:$Q$460,0)),"")))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5" s="70" t="str">
        <f aca="false">IF($B195="","",IF($B195="01水果",IFERROR(INDEX(对接源_01水果!$F$5:$F$507,MATCH(ROW()-3,对接源_01水果!$Q$5:$Q$507,0)),""),IFERROR(INDEX(对接源_02物料!$F$5:$F$460,MATCH(ROW()-3-N(对接源_01水果!$T$1),对接源_02物料!$Q$5:$Q$460,0)),"")))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5" s="70" t="str">
        <f aca="false">IF($B195="","",IF($B195="01水果",IFERROR(INDEX(对接源_01水果!$G$5:$G$507,MATCH(ROW()-3,对接源_01水果!$Q$5:$Q$507,0)),""),IFERROR(INDEX(对接源_02物料!$G$5:$G$460,MATCH(ROW()-3-N(对接源_01水果!$T$1),对接源_02物料!$Q$5:$Q$460,0)),"")))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5" s="67" t="str">
        <f aca="false">IF(OR($D195="客户应收",$D195="成品销售款",$D195="公司购买果品款",$D195="筐子销售款",$D195="物料销售款"),"客户往来",IFERROR(INDEX(收入成本映射!$C$4:$C$34,MATCH($D195,收入成本映射!$B$4:$B$34,0)),"不记账"))</f>
        <v>不记账</v>
      </c>
      <c r="J195" s="67" t="str">
        <f aca="false">IF($B195="","","0%")</f>
        <v/>
      </c>
      <c r="K195" s="70" t="n">
        <f aca="false">IF($I195="不记账",0,ROUND(N($G195),2))</f>
        <v>0</v>
      </c>
      <c r="L195" s="70" t="n">
        <v>0</v>
      </c>
      <c r="M195" s="67" t="str">
        <f aca="false">IF(OR($I195="不记账",ROUND(N($G195),2)=0),"",IFERROR(INDEX(收入成本映射!$E$4:$E$34,MATCH($D195,收入成本映射!$B$4:$B$34,0)),""))</f>
        <v/>
      </c>
      <c r="N195" s="70" t="str">
        <f aca="false">IF($M195="","",ROUND(N($G195),2))</f>
        <v/>
      </c>
      <c r="O195" s="70" t="str">
        <f aca="false">IF($M195="","",0)</f>
        <v/>
      </c>
      <c r="P195" s="67" t="str">
        <f aca="false">IF($M195="","",IFERROR(INDEX(收入成本映射!$F$4:$F$34,MATCH($D195,收入成本映射!$B$4:$B$34,0)),""))</f>
        <v/>
      </c>
      <c r="Q195" s="70" t="str">
        <f aca="false">IF($P195="","",0)</f>
        <v/>
      </c>
      <c r="R195" s="70" t="str">
        <f aca="false">IF($P195="","",ROUND(N($G195),2))</f>
        <v/>
      </c>
      <c r="S195" s="67" t="str">
        <f aca="false">""</f>
        <v/>
      </c>
      <c r="T195" s="70" t="str">
        <f aca="false">IF($S195="","",0)</f>
        <v/>
      </c>
      <c r="U195" s="70" t="str">
        <f aca="false">IF($S195="","",0)</f>
        <v/>
      </c>
      <c r="V195" s="66" t="str">
        <f aca="false">IF($B195="","",IF($B195="01水果",IFERROR(INDEX(对接源_01水果!$H$5:$H$507,MATCH(ROW()-3,对接源_01水果!$Q$5:$Q$507,0)),""),IFERROR(INDEX(对接源_02物料!$H$5:$H$460,MATCH(ROW()-3-N(对接源_01水果!$T$1),对接源_02物料!$Q$5:$Q$460,0)),"")))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6" customFormat="false" ht="18" hidden="false" customHeight="true" outlineLevel="0" collapsed="false">
      <c r="A196" s="66" t="n">
        <v>193</v>
      </c>
      <c r="B196" s="67" t="str">
        <f aca="false">IF(ROW()-3&lt;=N(对接源_01水果!$T$1),"01水果",IF(ROW()-3&lt;=N(对接源_01水果!$T$1)+N(对接源_02物料!$T$1),"02物料",""))</f>
        <v/>
      </c>
      <c r="C196" s="68" t="str">
        <f aca="false">IF($B196="","",IF($B196="01水果",IFERROR(INDEX(对接源_01水果!$B$5:$B$507,MATCH(ROW()-3,对接源_01水果!$Q$5:$Q$507,0)),""),IFERROR(INDEX(对接源_02物料!$B$5:$B$460,MATCH(ROW()-3-N(对接源_01水果!$T$1),对接源_02物料!$Q$5:$Q$460,0)),"")))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6" s="67" t="str">
        <f aca="false">IF($B196="","",IF($B196="01水果",IFERROR(INDEX(对接源_01水果!$C$5:$C$507,MATCH(ROW()-3,对接源_01水果!$Q$5:$Q$507,0)),""),IFERROR(INDEX(对接源_02物料!$C$5:$C$460,MATCH(ROW()-3-N(对接源_01水果!$T$1),对接源_02物料!$Q$5:$Q$460,0)),"")))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6" s="69" t="str">
        <f aca="false">IF($B196="","",IF($B196="01水果",IFERROR(INDEX(对接源_01水果!$D$5:$D$507,MATCH(ROW()-3,对接源_01水果!$Q$5:$Q$507,0)),""),IFERROR(INDEX(对接源_02物料!$D$5:$D$460,MATCH(ROW()-3-N(对接源_01水果!$T$1),对接源_02物料!$Q$5:$Q$460,0)),"")))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6" s="67" t="str">
        <f aca="false">IF($B196="","",IF($B196="01水果",IFERROR(INDEX(对接源_01水果!$E$5:$E$507,MATCH(ROW()-3,对接源_01水果!$Q$5:$Q$507,0)),""),IFERROR(INDEX(对接源_02物料!$E$5:$E$460,MATCH(ROW()-3-N(对接源_01水果!$T$1),对接源_02物料!$Q$5:$Q$460,0)),"")))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6" s="70" t="str">
        <f aca="false">IF($B196="","",IF($B196="01水果",IFERROR(INDEX(对接源_01水果!$F$5:$F$507,MATCH(ROW()-3,对接源_01水果!$Q$5:$Q$507,0)),""),IFERROR(INDEX(对接源_02物料!$F$5:$F$460,MATCH(ROW()-3-N(对接源_01水果!$T$1),对接源_02物料!$Q$5:$Q$460,0)),"")))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6" s="70" t="str">
        <f aca="false">IF($B196="","",IF($B196="01水果",IFERROR(INDEX(对接源_01水果!$G$5:$G$507,MATCH(ROW()-3,对接源_01水果!$Q$5:$Q$507,0)),""),IFERROR(INDEX(对接源_02物料!$G$5:$G$460,MATCH(ROW()-3-N(对接源_01水果!$T$1),对接源_02物料!$Q$5:$Q$460,0)),"")))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6" s="67" t="str">
        <f aca="false">IF(OR($D196="客户应收",$D196="成品销售款",$D196="公司购买果品款",$D196="筐子销售款",$D196="物料销售款"),"客户往来",IFERROR(INDEX(收入成本映射!$C$4:$C$34,MATCH($D196,收入成本映射!$B$4:$B$34,0)),"不记账"))</f>
        <v>不记账</v>
      </c>
      <c r="J196" s="67" t="str">
        <f aca="false">IF($B196="","","0%")</f>
        <v/>
      </c>
      <c r="K196" s="70" t="n">
        <f aca="false">IF($I196="不记账",0,ROUND(N($G196),2))</f>
        <v>0</v>
      </c>
      <c r="L196" s="70" t="n">
        <v>0</v>
      </c>
      <c r="M196" s="67" t="str">
        <f aca="false">IF(OR($I196="不记账",ROUND(N($G196),2)=0),"",IFERROR(INDEX(收入成本映射!$E$4:$E$34,MATCH($D196,收入成本映射!$B$4:$B$34,0)),""))</f>
        <v/>
      </c>
      <c r="N196" s="70" t="str">
        <f aca="false">IF($M196="","",ROUND(N($G196),2))</f>
        <v/>
      </c>
      <c r="O196" s="70" t="str">
        <f aca="false">IF($M196="","",0)</f>
        <v/>
      </c>
      <c r="P196" s="67" t="str">
        <f aca="false">IF($M196="","",IFERROR(INDEX(收入成本映射!$F$4:$F$34,MATCH($D196,收入成本映射!$B$4:$B$34,0)),""))</f>
        <v/>
      </c>
      <c r="Q196" s="70" t="str">
        <f aca="false">IF($P196="","",0)</f>
        <v/>
      </c>
      <c r="R196" s="70" t="str">
        <f aca="false">IF($P196="","",ROUND(N($G196),2))</f>
        <v/>
      </c>
      <c r="S196" s="67" t="str">
        <f aca="false">""</f>
        <v/>
      </c>
      <c r="T196" s="70" t="str">
        <f aca="false">IF($S196="","",0)</f>
        <v/>
      </c>
      <c r="U196" s="70" t="str">
        <f aca="false">IF($S196="","",0)</f>
        <v/>
      </c>
      <c r="V196" s="66" t="str">
        <f aca="false">IF($B196="","",IF($B196="01水果",IFERROR(INDEX(对接源_01水果!$H$5:$H$507,MATCH(ROW()-3,对接源_01水果!$Q$5:$Q$507,0)),""),IFERROR(INDEX(对接源_02物料!$H$5:$H$460,MATCH(ROW()-3-N(对接源_01水果!$T$1),对接源_02物料!$Q$5:$Q$460,0)),"")))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7" customFormat="false" ht="18" hidden="false" customHeight="true" outlineLevel="0" collapsed="false">
      <c r="A197" s="66" t="n">
        <v>194</v>
      </c>
      <c r="B197" s="67" t="str">
        <f aca="false">IF(ROW()-3&lt;=N(对接源_01水果!$T$1),"01水果",IF(ROW()-3&lt;=N(对接源_01水果!$T$1)+N(对接源_02物料!$T$1),"02物料",""))</f>
        <v/>
      </c>
      <c r="C197" s="68" t="str">
        <f aca="false">IF($B197="","",IF($B197="01水果",IFERROR(INDEX(对接源_01水果!$B$5:$B$507,MATCH(ROW()-3,对接源_01水果!$Q$5:$Q$507,0)),""),IFERROR(INDEX(对接源_02物料!$B$5:$B$460,MATCH(ROW()-3-N(对接源_01水果!$T$1),对接源_02物料!$Q$5:$Q$460,0)),"")))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7" s="67" t="str">
        <f aca="false">IF($B197="","",IF($B197="01水果",IFERROR(INDEX(对接源_01水果!$C$5:$C$507,MATCH(ROW()-3,对接源_01水果!$Q$5:$Q$507,0)),""),IFERROR(INDEX(对接源_02物料!$C$5:$C$460,MATCH(ROW()-3-N(对接源_01水果!$T$1),对接源_02物料!$Q$5:$Q$460,0)),"")))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7" s="69" t="str">
        <f aca="false">IF($B197="","",IF($B197="01水果",IFERROR(INDEX(对接源_01水果!$D$5:$D$507,MATCH(ROW()-3,对接源_01水果!$Q$5:$Q$507,0)),""),IFERROR(INDEX(对接源_02物料!$D$5:$D$460,MATCH(ROW()-3-N(对接源_01水果!$T$1),对接源_02物料!$Q$5:$Q$460,0)),"")))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7" s="67" t="str">
        <f aca="false">IF($B197="","",IF($B197="01水果",IFERROR(INDEX(对接源_01水果!$E$5:$E$507,MATCH(ROW()-3,对接源_01水果!$Q$5:$Q$507,0)),""),IFERROR(INDEX(对接源_02物料!$E$5:$E$460,MATCH(ROW()-3-N(对接源_01水果!$T$1),对接源_02物料!$Q$5:$Q$460,0)),"")))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7" s="70" t="str">
        <f aca="false">IF($B197="","",IF($B197="01水果",IFERROR(INDEX(对接源_01水果!$F$5:$F$507,MATCH(ROW()-3,对接源_01水果!$Q$5:$Q$507,0)),""),IFERROR(INDEX(对接源_02物料!$F$5:$F$460,MATCH(ROW()-3-N(对接源_01水果!$T$1),对接源_02物料!$Q$5:$Q$460,0)),"")))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7" s="70" t="str">
        <f aca="false">IF($B197="","",IF($B197="01水果",IFERROR(INDEX(对接源_01水果!$G$5:$G$507,MATCH(ROW()-3,对接源_01水果!$Q$5:$Q$507,0)),""),IFERROR(INDEX(对接源_02物料!$G$5:$G$460,MATCH(ROW()-3-N(对接源_01水果!$T$1),对接源_02物料!$Q$5:$Q$460,0)),"")))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7" s="67" t="str">
        <f aca="false">IF(OR($D197="客户应收",$D197="成品销售款",$D197="公司购买果品款",$D197="筐子销售款",$D197="物料销售款"),"客户往来",IFERROR(INDEX(收入成本映射!$C$4:$C$34,MATCH($D197,收入成本映射!$B$4:$B$34,0)),"不记账"))</f>
        <v>不记账</v>
      </c>
      <c r="J197" s="67" t="str">
        <f aca="false">IF($B197="","","0%")</f>
        <v/>
      </c>
      <c r="K197" s="70" t="n">
        <f aca="false">IF($I197="不记账",0,ROUND(N($G197),2))</f>
        <v>0</v>
      </c>
      <c r="L197" s="70" t="n">
        <v>0</v>
      </c>
      <c r="M197" s="67" t="str">
        <f aca="false">IF(OR($I197="不记账",ROUND(N($G197),2)=0),"",IFERROR(INDEX(收入成本映射!$E$4:$E$34,MATCH($D197,收入成本映射!$B$4:$B$34,0)),""))</f>
        <v/>
      </c>
      <c r="N197" s="70" t="str">
        <f aca="false">IF($M197="","",ROUND(N($G197),2))</f>
        <v/>
      </c>
      <c r="O197" s="70" t="str">
        <f aca="false">IF($M197="","",0)</f>
        <v/>
      </c>
      <c r="P197" s="67" t="str">
        <f aca="false">IF($M197="","",IFERROR(INDEX(收入成本映射!$F$4:$F$34,MATCH($D197,收入成本映射!$B$4:$B$34,0)),""))</f>
        <v/>
      </c>
      <c r="Q197" s="70" t="str">
        <f aca="false">IF($P197="","",0)</f>
        <v/>
      </c>
      <c r="R197" s="70" t="str">
        <f aca="false">IF($P197="","",ROUND(N($G197),2))</f>
        <v/>
      </c>
      <c r="S197" s="67" t="str">
        <f aca="false">""</f>
        <v/>
      </c>
      <c r="T197" s="70" t="str">
        <f aca="false">IF($S197="","",0)</f>
        <v/>
      </c>
      <c r="U197" s="70" t="str">
        <f aca="false">IF($S197="","",0)</f>
        <v/>
      </c>
      <c r="V197" s="66" t="str">
        <f aca="false">IF($B197="","",IF($B197="01水果",IFERROR(INDEX(对接源_01水果!$H$5:$H$507,MATCH(ROW()-3,对接源_01水果!$Q$5:$Q$507,0)),""),IFERROR(INDEX(对接源_02物料!$H$5:$H$460,MATCH(ROW()-3-N(对接源_01水果!$T$1),对接源_02物料!$Q$5:$Q$460,0)),"")))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8" customFormat="false" ht="18" hidden="false" customHeight="true" outlineLevel="0" collapsed="false">
      <c r="A198" s="66" t="n">
        <v>195</v>
      </c>
      <c r="B198" s="67" t="str">
        <f aca="false">IF(ROW()-3&lt;=N(对接源_01水果!$T$1),"01水果",IF(ROW()-3&lt;=N(对接源_01水果!$T$1)+N(对接源_02物料!$T$1),"02物料",""))</f>
        <v/>
      </c>
      <c r="C198" s="68" t="str">
        <f aca="false">IF($B198="","",IF($B198="01水果",IFERROR(INDEX(对接源_01水果!$B$5:$B$507,MATCH(ROW()-3,对接源_01水果!$Q$5:$Q$507,0)),""),IFERROR(INDEX(对接源_02物料!$B$5:$B$460,MATCH(ROW()-3-N(对接源_01水果!$T$1),对接源_02物料!$Q$5:$Q$460,0)),"")))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8" s="67" t="str">
        <f aca="false">IF($B198="","",IF($B198="01水果",IFERROR(INDEX(对接源_01水果!$C$5:$C$507,MATCH(ROW()-3,对接源_01水果!$Q$5:$Q$507,0)),""),IFERROR(INDEX(对接源_02物料!$C$5:$C$460,MATCH(ROW()-3-N(对接源_01水果!$T$1),对接源_02物料!$Q$5:$Q$460,0)),"")))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8" s="69" t="str">
        <f aca="false">IF($B198="","",IF($B198="01水果",IFERROR(INDEX(对接源_01水果!$D$5:$D$507,MATCH(ROW()-3,对接源_01水果!$Q$5:$Q$507,0)),""),IFERROR(INDEX(对接源_02物料!$D$5:$D$460,MATCH(ROW()-3-N(对接源_01水果!$T$1),对接源_02物料!$Q$5:$Q$460,0)),"")))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8" s="67" t="str">
        <f aca="false">IF($B198="","",IF($B198="01水果",IFERROR(INDEX(对接源_01水果!$E$5:$E$507,MATCH(ROW()-3,对接源_01水果!$Q$5:$Q$507,0)),""),IFERROR(INDEX(对接源_02物料!$E$5:$E$460,MATCH(ROW()-3-N(对接源_01水果!$T$1),对接源_02物料!$Q$5:$Q$460,0)),"")))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8" s="70" t="str">
        <f aca="false">IF($B198="","",IF($B198="01水果",IFERROR(INDEX(对接源_01水果!$F$5:$F$507,MATCH(ROW()-3,对接源_01水果!$Q$5:$Q$507,0)),""),IFERROR(INDEX(对接源_02物料!$F$5:$F$460,MATCH(ROW()-3-N(对接源_01水果!$T$1),对接源_02物料!$Q$5:$Q$460,0)),"")))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8" s="70" t="str">
        <f aca="false">IF($B198="","",IF($B198="01水果",IFERROR(INDEX(对接源_01水果!$G$5:$G$507,MATCH(ROW()-3,对接源_01水果!$Q$5:$Q$507,0)),""),IFERROR(INDEX(对接源_02物料!$G$5:$G$460,MATCH(ROW()-3-N(对接源_01水果!$T$1),对接源_02物料!$Q$5:$Q$460,0)),"")))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8" s="67" t="str">
        <f aca="false">IF(OR($D198="客户应收",$D198="成品销售款",$D198="公司购买果品款",$D198="筐子销售款",$D198="物料销售款"),"客户往来",IFERROR(INDEX(收入成本映射!$C$4:$C$34,MATCH($D198,收入成本映射!$B$4:$B$34,0)),"不记账"))</f>
        <v>不记账</v>
      </c>
      <c r="J198" s="67" t="str">
        <f aca="false">IF($B198="","","0%")</f>
        <v/>
      </c>
      <c r="K198" s="70" t="n">
        <f aca="false">IF($I198="不记账",0,ROUND(N($G198),2))</f>
        <v>0</v>
      </c>
      <c r="L198" s="70" t="n">
        <v>0</v>
      </c>
      <c r="M198" s="67" t="str">
        <f aca="false">IF(OR($I198="不记账",ROUND(N($G198),2)=0),"",IFERROR(INDEX(收入成本映射!$E$4:$E$34,MATCH($D198,收入成本映射!$B$4:$B$34,0)),""))</f>
        <v/>
      </c>
      <c r="N198" s="70" t="str">
        <f aca="false">IF($M198="","",ROUND(N($G198),2))</f>
        <v/>
      </c>
      <c r="O198" s="70" t="str">
        <f aca="false">IF($M198="","",0)</f>
        <v/>
      </c>
      <c r="P198" s="67" t="str">
        <f aca="false">IF($M198="","",IFERROR(INDEX(收入成本映射!$F$4:$F$34,MATCH($D198,收入成本映射!$B$4:$B$34,0)),""))</f>
        <v/>
      </c>
      <c r="Q198" s="70" t="str">
        <f aca="false">IF($P198="","",0)</f>
        <v/>
      </c>
      <c r="R198" s="70" t="str">
        <f aca="false">IF($P198="","",ROUND(N($G198),2))</f>
        <v/>
      </c>
      <c r="S198" s="67" t="str">
        <f aca="false">""</f>
        <v/>
      </c>
      <c r="T198" s="70" t="str">
        <f aca="false">IF($S198="","",0)</f>
        <v/>
      </c>
      <c r="U198" s="70" t="str">
        <f aca="false">IF($S198="","",0)</f>
        <v/>
      </c>
      <c r="V198" s="66" t="str">
        <f aca="false">IF($B198="","",IF($B198="01水果",IFERROR(INDEX(对接源_01水果!$H$5:$H$507,MATCH(ROW()-3,对接源_01水果!$Q$5:$Q$507,0)),""),IFERROR(INDEX(对接源_02物料!$H$5:$H$460,MATCH(ROW()-3-N(对接源_01水果!$T$1),对接源_02物料!$Q$5:$Q$460,0)),"")))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199" customFormat="false" ht="18" hidden="false" customHeight="true" outlineLevel="0" collapsed="false">
      <c r="A199" s="66" t="n">
        <v>196</v>
      </c>
      <c r="B199" s="67" t="str">
        <f aca="false">IF(ROW()-3&lt;=N(对接源_01水果!$T$1),"01水果",IF(ROW()-3&lt;=N(对接源_01水果!$T$1)+N(对接源_02物料!$T$1),"02物料",""))</f>
        <v/>
      </c>
      <c r="C199" s="68" t="str">
        <f aca="false">IF($B199="","",IF($B199="01水果",IFERROR(INDEX(对接源_01水果!$B$5:$B$507,MATCH(ROW()-3,对接源_01水果!$Q$5:$Q$507,0)),""),IFERROR(INDEX(对接源_02物料!$B$5:$B$460,MATCH(ROW()-3-N(对接源_01水果!$T$1),对接源_02物料!$Q$5:$Q$460,0)),"")))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199" s="67" t="str">
        <f aca="false">IF($B199="","",IF($B199="01水果",IFERROR(INDEX(对接源_01水果!$C$5:$C$507,MATCH(ROW()-3,对接源_01水果!$Q$5:$Q$507,0)),""),IFERROR(INDEX(对接源_02物料!$C$5:$C$460,MATCH(ROW()-3-N(对接源_01水果!$T$1),对接源_02物料!$Q$5:$Q$460,0)),"")))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199" s="69" t="str">
        <f aca="false">IF($B199="","",IF($B199="01水果",IFERROR(INDEX(对接源_01水果!$D$5:$D$507,MATCH(ROW()-3,对接源_01水果!$Q$5:$Q$507,0)),""),IFERROR(INDEX(对接源_02物料!$D$5:$D$460,MATCH(ROW()-3-N(对接源_01水果!$T$1),对接源_02物料!$Q$5:$Q$460,0)),"")))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199" s="67" t="str">
        <f aca="false">IF($B199="","",IF($B199="01水果",IFERROR(INDEX(对接源_01水果!$E$5:$E$507,MATCH(ROW()-3,对接源_01水果!$Q$5:$Q$507,0)),""),IFERROR(INDEX(对接源_02物料!$E$5:$E$460,MATCH(ROW()-3-N(对接源_01水果!$T$1),对接源_02物料!$Q$5:$Q$460,0)),"")))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199" s="70" t="str">
        <f aca="false">IF($B199="","",IF($B199="01水果",IFERROR(INDEX(对接源_01水果!$F$5:$F$507,MATCH(ROW()-3,对接源_01水果!$Q$5:$Q$507,0)),""),IFERROR(INDEX(对接源_02物料!$F$5:$F$460,MATCH(ROW()-3-N(对接源_01水果!$T$1),对接源_02物料!$Q$5:$Q$460,0)),"")))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199" s="70" t="str">
        <f aca="false">IF($B199="","",IF($B199="01水果",IFERROR(INDEX(对接源_01水果!$G$5:$G$507,MATCH(ROW()-3,对接源_01水果!$Q$5:$Q$507,0)),""),IFERROR(INDEX(对接源_02物料!$G$5:$G$460,MATCH(ROW()-3-N(对接源_01水果!$T$1),对接源_02物料!$Q$5:$Q$460,0)),"")))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199" s="67" t="str">
        <f aca="false">IF(OR($D199="客户应收",$D199="成品销售款",$D199="公司购买果品款",$D199="筐子销售款",$D199="物料销售款"),"客户往来",IFERROR(INDEX(收入成本映射!$C$4:$C$34,MATCH($D199,收入成本映射!$B$4:$B$34,0)),"不记账"))</f>
        <v>不记账</v>
      </c>
      <c r="J199" s="67" t="str">
        <f aca="false">IF($B199="","","0%")</f>
        <v/>
      </c>
      <c r="K199" s="70" t="n">
        <f aca="false">IF($I199="不记账",0,ROUND(N($G199),2))</f>
        <v>0</v>
      </c>
      <c r="L199" s="70" t="n">
        <v>0</v>
      </c>
      <c r="M199" s="67" t="str">
        <f aca="false">IF(OR($I199="不记账",ROUND(N($G199),2)=0),"",IFERROR(INDEX(收入成本映射!$E$4:$E$34,MATCH($D199,收入成本映射!$B$4:$B$34,0)),""))</f>
        <v/>
      </c>
      <c r="N199" s="70" t="str">
        <f aca="false">IF($M199="","",ROUND(N($G199),2))</f>
        <v/>
      </c>
      <c r="O199" s="70" t="str">
        <f aca="false">IF($M199="","",0)</f>
        <v/>
      </c>
      <c r="P199" s="67" t="str">
        <f aca="false">IF($M199="","",IFERROR(INDEX(收入成本映射!$F$4:$F$34,MATCH($D199,收入成本映射!$B$4:$B$34,0)),""))</f>
        <v/>
      </c>
      <c r="Q199" s="70" t="str">
        <f aca="false">IF($P199="","",0)</f>
        <v/>
      </c>
      <c r="R199" s="70" t="str">
        <f aca="false">IF($P199="","",ROUND(N($G199),2))</f>
        <v/>
      </c>
      <c r="S199" s="67" t="str">
        <f aca="false">""</f>
        <v/>
      </c>
      <c r="T199" s="70" t="str">
        <f aca="false">IF($S199="","",0)</f>
        <v/>
      </c>
      <c r="U199" s="70" t="str">
        <f aca="false">IF($S199="","",0)</f>
        <v/>
      </c>
      <c r="V199" s="66" t="str">
        <f aca="false">IF($B199="","",IF($B199="01水果",IFERROR(INDEX(对接源_01水果!$H$5:$H$507,MATCH(ROW()-3,对接源_01水果!$Q$5:$Q$507,0)),""),IFERROR(INDEX(对接源_02物料!$H$5:$H$460,MATCH(ROW()-3-N(对接源_01水果!$T$1),对接源_02物料!$Q$5:$Q$460,0)),"")))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0" customFormat="false" ht="18" hidden="false" customHeight="true" outlineLevel="0" collapsed="false">
      <c r="A200" s="66" t="n">
        <v>197</v>
      </c>
      <c r="B200" s="67" t="str">
        <f aca="false">IF(ROW()-3&lt;=N(对接源_01水果!$T$1),"01水果",IF(ROW()-3&lt;=N(对接源_01水果!$T$1)+N(对接源_02物料!$T$1),"02物料",""))</f>
        <v/>
      </c>
      <c r="C200" s="68" t="str">
        <f aca="false">IF($B200="","",IF($B200="01水果",IFERROR(INDEX(对接源_01水果!$B$5:$B$507,MATCH(ROW()-3,对接源_01水果!$Q$5:$Q$507,0)),""),IFERROR(INDEX(对接源_02物料!$B$5:$B$460,MATCH(ROW()-3-N(对接源_01水果!$T$1),对接源_02物料!$Q$5:$Q$460,0)),"")))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0" s="67" t="str">
        <f aca="false">IF($B200="","",IF($B200="01水果",IFERROR(INDEX(对接源_01水果!$C$5:$C$507,MATCH(ROW()-3,对接源_01水果!$Q$5:$Q$507,0)),""),IFERROR(INDEX(对接源_02物料!$C$5:$C$460,MATCH(ROW()-3-N(对接源_01水果!$T$1),对接源_02物料!$Q$5:$Q$460,0)),"")))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0" s="69" t="str">
        <f aca="false">IF($B200="","",IF($B200="01水果",IFERROR(INDEX(对接源_01水果!$D$5:$D$507,MATCH(ROW()-3,对接源_01水果!$Q$5:$Q$507,0)),""),IFERROR(INDEX(对接源_02物料!$D$5:$D$460,MATCH(ROW()-3-N(对接源_01水果!$T$1),对接源_02物料!$Q$5:$Q$460,0)),"")))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0" s="67" t="str">
        <f aca="false">IF($B200="","",IF($B200="01水果",IFERROR(INDEX(对接源_01水果!$E$5:$E$507,MATCH(ROW()-3,对接源_01水果!$Q$5:$Q$507,0)),""),IFERROR(INDEX(对接源_02物料!$E$5:$E$460,MATCH(ROW()-3-N(对接源_01水果!$T$1),对接源_02物料!$Q$5:$Q$460,0)),"")))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0" s="70" t="str">
        <f aca="false">IF($B200="","",IF($B200="01水果",IFERROR(INDEX(对接源_01水果!$F$5:$F$507,MATCH(ROW()-3,对接源_01水果!$Q$5:$Q$507,0)),""),IFERROR(INDEX(对接源_02物料!$F$5:$F$460,MATCH(ROW()-3-N(对接源_01水果!$T$1),对接源_02物料!$Q$5:$Q$460,0)),"")))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0" s="70" t="str">
        <f aca="false">IF($B200="","",IF($B200="01水果",IFERROR(INDEX(对接源_01水果!$G$5:$G$507,MATCH(ROW()-3,对接源_01水果!$Q$5:$Q$507,0)),""),IFERROR(INDEX(对接源_02物料!$G$5:$G$460,MATCH(ROW()-3-N(对接源_01水果!$T$1),对接源_02物料!$Q$5:$Q$460,0)),"")))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0" s="67" t="str">
        <f aca="false">IF(OR($D200="客户应收",$D200="成品销售款",$D200="公司购买果品款",$D200="筐子销售款",$D200="物料销售款"),"客户往来",IFERROR(INDEX(收入成本映射!$C$4:$C$34,MATCH($D200,收入成本映射!$B$4:$B$34,0)),"不记账"))</f>
        <v>不记账</v>
      </c>
      <c r="J200" s="67" t="str">
        <f aca="false">IF($B200="","","0%")</f>
        <v/>
      </c>
      <c r="K200" s="70" t="n">
        <f aca="false">IF($I200="不记账",0,ROUND(N($G200),2))</f>
        <v>0</v>
      </c>
      <c r="L200" s="70" t="n">
        <v>0</v>
      </c>
      <c r="M200" s="67" t="str">
        <f aca="false">IF(OR($I200="不记账",ROUND(N($G200),2)=0),"",IFERROR(INDEX(收入成本映射!$E$4:$E$34,MATCH($D200,收入成本映射!$B$4:$B$34,0)),""))</f>
        <v/>
      </c>
      <c r="N200" s="70" t="str">
        <f aca="false">IF($M200="","",ROUND(N($G200),2))</f>
        <v/>
      </c>
      <c r="O200" s="70" t="str">
        <f aca="false">IF($M200="","",0)</f>
        <v/>
      </c>
      <c r="P200" s="67" t="str">
        <f aca="false">IF($M200="","",IFERROR(INDEX(收入成本映射!$F$4:$F$34,MATCH($D200,收入成本映射!$B$4:$B$34,0)),""))</f>
        <v/>
      </c>
      <c r="Q200" s="70" t="str">
        <f aca="false">IF($P200="","",0)</f>
        <v/>
      </c>
      <c r="R200" s="70" t="str">
        <f aca="false">IF($P200="","",ROUND(N($G200),2))</f>
        <v/>
      </c>
      <c r="S200" s="67" t="str">
        <f aca="false">""</f>
        <v/>
      </c>
      <c r="T200" s="70" t="str">
        <f aca="false">IF($S200="","",0)</f>
        <v/>
      </c>
      <c r="U200" s="70" t="str">
        <f aca="false">IF($S200="","",0)</f>
        <v/>
      </c>
      <c r="V200" s="66" t="str">
        <f aca="false">IF($B200="","",IF($B200="01水果",IFERROR(INDEX(对接源_01水果!$H$5:$H$507,MATCH(ROW()-3,对接源_01水果!$Q$5:$Q$507,0)),""),IFERROR(INDEX(对接源_02物料!$H$5:$H$460,MATCH(ROW()-3-N(对接源_01水果!$T$1),对接源_02物料!$Q$5:$Q$460,0)),"")))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1" customFormat="false" ht="18" hidden="false" customHeight="true" outlineLevel="0" collapsed="false">
      <c r="A201" s="66" t="n">
        <v>198</v>
      </c>
      <c r="B201" s="67" t="str">
        <f aca="false">IF(ROW()-3&lt;=N(对接源_01水果!$T$1),"01水果",IF(ROW()-3&lt;=N(对接源_01水果!$T$1)+N(对接源_02物料!$T$1),"02物料",""))</f>
        <v/>
      </c>
      <c r="C201" s="68" t="str">
        <f aca="false">IF($B201="","",IF($B201="01水果",IFERROR(INDEX(对接源_01水果!$B$5:$B$507,MATCH(ROW()-3,对接源_01水果!$Q$5:$Q$507,0)),""),IFERROR(INDEX(对接源_02物料!$B$5:$B$460,MATCH(ROW()-3-N(对接源_01水果!$T$1),对接源_02物料!$Q$5:$Q$460,0)),"")))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1" s="67" t="str">
        <f aca="false">IF($B201="","",IF($B201="01水果",IFERROR(INDEX(对接源_01水果!$C$5:$C$507,MATCH(ROW()-3,对接源_01水果!$Q$5:$Q$507,0)),""),IFERROR(INDEX(对接源_02物料!$C$5:$C$460,MATCH(ROW()-3-N(对接源_01水果!$T$1),对接源_02物料!$Q$5:$Q$460,0)),"")))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1" s="69" t="str">
        <f aca="false">IF($B201="","",IF($B201="01水果",IFERROR(INDEX(对接源_01水果!$D$5:$D$507,MATCH(ROW()-3,对接源_01水果!$Q$5:$Q$507,0)),""),IFERROR(INDEX(对接源_02物料!$D$5:$D$460,MATCH(ROW()-3-N(对接源_01水果!$T$1),对接源_02物料!$Q$5:$Q$460,0)),"")))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1" s="67" t="str">
        <f aca="false">IF($B201="","",IF($B201="01水果",IFERROR(INDEX(对接源_01水果!$E$5:$E$507,MATCH(ROW()-3,对接源_01水果!$Q$5:$Q$507,0)),""),IFERROR(INDEX(对接源_02物料!$E$5:$E$460,MATCH(ROW()-3-N(对接源_01水果!$T$1),对接源_02物料!$Q$5:$Q$460,0)),"")))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1" s="70" t="str">
        <f aca="false">IF($B201="","",IF($B201="01水果",IFERROR(INDEX(对接源_01水果!$F$5:$F$507,MATCH(ROW()-3,对接源_01水果!$Q$5:$Q$507,0)),""),IFERROR(INDEX(对接源_02物料!$F$5:$F$460,MATCH(ROW()-3-N(对接源_01水果!$T$1),对接源_02物料!$Q$5:$Q$460,0)),"")))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1" s="70" t="str">
        <f aca="false">IF($B201="","",IF($B201="01水果",IFERROR(INDEX(对接源_01水果!$G$5:$G$507,MATCH(ROW()-3,对接源_01水果!$Q$5:$Q$507,0)),""),IFERROR(INDEX(对接源_02物料!$G$5:$G$460,MATCH(ROW()-3-N(对接源_01水果!$T$1),对接源_02物料!$Q$5:$Q$460,0)),"")))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1" s="67" t="str">
        <f aca="false">IF(OR($D201="客户应收",$D201="成品销售款",$D201="公司购买果品款",$D201="筐子销售款",$D201="物料销售款"),"客户往来",IFERROR(INDEX(收入成本映射!$C$4:$C$34,MATCH($D201,收入成本映射!$B$4:$B$34,0)),"不记账"))</f>
        <v>不记账</v>
      </c>
      <c r="J201" s="67" t="str">
        <f aca="false">IF($B201="","","0%")</f>
        <v/>
      </c>
      <c r="K201" s="70" t="n">
        <f aca="false">IF($I201="不记账",0,ROUND(N($G201),2))</f>
        <v>0</v>
      </c>
      <c r="L201" s="70" t="n">
        <v>0</v>
      </c>
      <c r="M201" s="67" t="str">
        <f aca="false">IF(OR($I201="不记账",ROUND(N($G201),2)=0),"",IFERROR(INDEX(收入成本映射!$E$4:$E$34,MATCH($D201,收入成本映射!$B$4:$B$34,0)),""))</f>
        <v/>
      </c>
      <c r="N201" s="70" t="str">
        <f aca="false">IF($M201="","",ROUND(N($G201),2))</f>
        <v/>
      </c>
      <c r="O201" s="70" t="str">
        <f aca="false">IF($M201="","",0)</f>
        <v/>
      </c>
      <c r="P201" s="67" t="str">
        <f aca="false">IF($M201="","",IFERROR(INDEX(收入成本映射!$F$4:$F$34,MATCH($D201,收入成本映射!$B$4:$B$34,0)),""))</f>
        <v/>
      </c>
      <c r="Q201" s="70" t="str">
        <f aca="false">IF($P201="","",0)</f>
        <v/>
      </c>
      <c r="R201" s="70" t="str">
        <f aca="false">IF($P201="","",ROUND(N($G201),2))</f>
        <v/>
      </c>
      <c r="S201" s="67" t="str">
        <f aca="false">""</f>
        <v/>
      </c>
      <c r="T201" s="70" t="str">
        <f aca="false">IF($S201="","",0)</f>
        <v/>
      </c>
      <c r="U201" s="70" t="str">
        <f aca="false">IF($S201="","",0)</f>
        <v/>
      </c>
      <c r="V201" s="66" t="str">
        <f aca="false">IF($B201="","",IF($B201="01水果",IFERROR(INDEX(对接源_01水果!$H$5:$H$507,MATCH(ROW()-3,对接源_01水果!$Q$5:$Q$507,0)),""),IFERROR(INDEX(对接源_02物料!$H$5:$H$460,MATCH(ROW()-3-N(对接源_01水果!$T$1),对接源_02物料!$Q$5:$Q$460,0)),"")))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2" customFormat="false" ht="18" hidden="false" customHeight="true" outlineLevel="0" collapsed="false">
      <c r="A202" s="66" t="n">
        <v>199</v>
      </c>
      <c r="B202" s="67" t="str">
        <f aca="false">IF(ROW()-3&lt;=N(对接源_01水果!$T$1),"01水果",IF(ROW()-3&lt;=N(对接源_01水果!$T$1)+N(对接源_02物料!$T$1),"02物料",""))</f>
        <v/>
      </c>
      <c r="C202" s="68" t="str">
        <f aca="false">IF($B202="","",IF($B202="01水果",IFERROR(INDEX(对接源_01水果!$B$5:$B$507,MATCH(ROW()-3,对接源_01水果!$Q$5:$Q$507,0)),""),IFERROR(INDEX(对接源_02物料!$B$5:$B$460,MATCH(ROW()-3-N(对接源_01水果!$T$1),对接源_02物料!$Q$5:$Q$460,0)),"")))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2" s="67" t="str">
        <f aca="false">IF($B202="","",IF($B202="01水果",IFERROR(INDEX(对接源_01水果!$C$5:$C$507,MATCH(ROW()-3,对接源_01水果!$Q$5:$Q$507,0)),""),IFERROR(INDEX(对接源_02物料!$C$5:$C$460,MATCH(ROW()-3-N(对接源_01水果!$T$1),对接源_02物料!$Q$5:$Q$460,0)),"")))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2" s="69" t="str">
        <f aca="false">IF($B202="","",IF($B202="01水果",IFERROR(INDEX(对接源_01水果!$D$5:$D$507,MATCH(ROW()-3,对接源_01水果!$Q$5:$Q$507,0)),""),IFERROR(INDEX(对接源_02物料!$D$5:$D$460,MATCH(ROW()-3-N(对接源_01水果!$T$1),对接源_02物料!$Q$5:$Q$460,0)),"")))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2" s="67" t="str">
        <f aca="false">IF($B202="","",IF($B202="01水果",IFERROR(INDEX(对接源_01水果!$E$5:$E$507,MATCH(ROW()-3,对接源_01水果!$Q$5:$Q$507,0)),""),IFERROR(INDEX(对接源_02物料!$E$5:$E$460,MATCH(ROW()-3-N(对接源_01水果!$T$1),对接源_02物料!$Q$5:$Q$460,0)),"")))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2" s="70" t="str">
        <f aca="false">IF($B202="","",IF($B202="01水果",IFERROR(INDEX(对接源_01水果!$F$5:$F$507,MATCH(ROW()-3,对接源_01水果!$Q$5:$Q$507,0)),""),IFERROR(INDEX(对接源_02物料!$F$5:$F$460,MATCH(ROW()-3-N(对接源_01水果!$T$1),对接源_02物料!$Q$5:$Q$460,0)),"")))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2" s="70" t="str">
        <f aca="false">IF($B202="","",IF($B202="01水果",IFERROR(INDEX(对接源_01水果!$G$5:$G$507,MATCH(ROW()-3,对接源_01水果!$Q$5:$Q$507,0)),""),IFERROR(INDEX(对接源_02物料!$G$5:$G$460,MATCH(ROW()-3-N(对接源_01水果!$T$1),对接源_02物料!$Q$5:$Q$460,0)),"")))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2" s="67" t="str">
        <f aca="false">IF(OR($D202="客户应收",$D202="成品销售款",$D202="公司购买果品款",$D202="筐子销售款",$D202="物料销售款"),"客户往来",IFERROR(INDEX(收入成本映射!$C$4:$C$34,MATCH($D202,收入成本映射!$B$4:$B$34,0)),"不记账"))</f>
        <v>不记账</v>
      </c>
      <c r="J202" s="67" t="str">
        <f aca="false">IF($B202="","","0%")</f>
        <v/>
      </c>
      <c r="K202" s="70" t="n">
        <f aca="false">IF($I202="不记账",0,ROUND(N($G202),2))</f>
        <v>0</v>
      </c>
      <c r="L202" s="70" t="n">
        <v>0</v>
      </c>
      <c r="M202" s="67" t="str">
        <f aca="false">IF(OR($I202="不记账",ROUND(N($G202),2)=0),"",IFERROR(INDEX(收入成本映射!$E$4:$E$34,MATCH($D202,收入成本映射!$B$4:$B$34,0)),""))</f>
        <v/>
      </c>
      <c r="N202" s="70" t="str">
        <f aca="false">IF($M202="","",ROUND(N($G202),2))</f>
        <v/>
      </c>
      <c r="O202" s="70" t="str">
        <f aca="false">IF($M202="","",0)</f>
        <v/>
      </c>
      <c r="P202" s="67" t="str">
        <f aca="false">IF($M202="","",IFERROR(INDEX(收入成本映射!$F$4:$F$34,MATCH($D202,收入成本映射!$B$4:$B$34,0)),""))</f>
        <v/>
      </c>
      <c r="Q202" s="70" t="str">
        <f aca="false">IF($P202="","",0)</f>
        <v/>
      </c>
      <c r="R202" s="70" t="str">
        <f aca="false">IF($P202="","",ROUND(N($G202),2))</f>
        <v/>
      </c>
      <c r="S202" s="67" t="str">
        <f aca="false">""</f>
        <v/>
      </c>
      <c r="T202" s="70" t="str">
        <f aca="false">IF($S202="","",0)</f>
        <v/>
      </c>
      <c r="U202" s="70" t="str">
        <f aca="false">IF($S202="","",0)</f>
        <v/>
      </c>
      <c r="V202" s="66" t="str">
        <f aca="false">IF($B202="","",IF($B202="01水果",IFERROR(INDEX(对接源_01水果!$H$5:$H$507,MATCH(ROW()-3,对接源_01水果!$Q$5:$Q$507,0)),""),IFERROR(INDEX(对接源_02物料!$H$5:$H$460,MATCH(ROW()-3-N(对接源_01水果!$T$1),对接源_02物料!$Q$5:$Q$460,0)),"")))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3" customFormat="false" ht="18" hidden="false" customHeight="true" outlineLevel="0" collapsed="false">
      <c r="A203" s="66" t="n">
        <v>200</v>
      </c>
      <c r="B203" s="67" t="str">
        <f aca="false">IF(ROW()-3&lt;=N(对接源_01水果!$T$1),"01水果",IF(ROW()-3&lt;=N(对接源_01水果!$T$1)+N(对接源_02物料!$T$1),"02物料",""))</f>
        <v/>
      </c>
      <c r="C203" s="68" t="str">
        <f aca="false">IF($B203="","",IF($B203="01水果",IFERROR(INDEX(对接源_01水果!$B$5:$B$507,MATCH(ROW()-3,对接源_01水果!$Q$5:$Q$507,0)),""),IFERROR(INDEX(对接源_02物料!$B$5:$B$460,MATCH(ROW()-3-N(对接源_01水果!$T$1),对接源_02物料!$Q$5:$Q$460,0)),"")))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3" s="67" t="str">
        <f aca="false">IF($B203="","",IF($B203="01水果",IFERROR(INDEX(对接源_01水果!$C$5:$C$507,MATCH(ROW()-3,对接源_01水果!$Q$5:$Q$507,0)),""),IFERROR(INDEX(对接源_02物料!$C$5:$C$460,MATCH(ROW()-3-N(对接源_01水果!$T$1),对接源_02物料!$Q$5:$Q$460,0)),"")))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3" s="69" t="str">
        <f aca="false">IF($B203="","",IF($B203="01水果",IFERROR(INDEX(对接源_01水果!$D$5:$D$507,MATCH(ROW()-3,对接源_01水果!$Q$5:$Q$507,0)),""),IFERROR(INDEX(对接源_02物料!$D$5:$D$460,MATCH(ROW()-3-N(对接源_01水果!$T$1),对接源_02物料!$Q$5:$Q$460,0)),"")))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3" s="67" t="str">
        <f aca="false">IF($B203="","",IF($B203="01水果",IFERROR(INDEX(对接源_01水果!$E$5:$E$507,MATCH(ROW()-3,对接源_01水果!$Q$5:$Q$507,0)),""),IFERROR(INDEX(对接源_02物料!$E$5:$E$460,MATCH(ROW()-3-N(对接源_01水果!$T$1),对接源_02物料!$Q$5:$Q$460,0)),"")))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3" s="70" t="str">
        <f aca="false">IF($B203="","",IF($B203="01水果",IFERROR(INDEX(对接源_01水果!$F$5:$F$507,MATCH(ROW()-3,对接源_01水果!$Q$5:$Q$507,0)),""),IFERROR(INDEX(对接源_02物料!$F$5:$F$460,MATCH(ROW()-3-N(对接源_01水果!$T$1),对接源_02物料!$Q$5:$Q$460,0)),"")))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3" s="70" t="str">
        <f aca="false">IF($B203="","",IF($B203="01水果",IFERROR(INDEX(对接源_01水果!$G$5:$G$507,MATCH(ROW()-3,对接源_01水果!$Q$5:$Q$507,0)),""),IFERROR(INDEX(对接源_02物料!$G$5:$G$460,MATCH(ROW()-3-N(对接源_01水果!$T$1),对接源_02物料!$Q$5:$Q$460,0)),"")))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3" s="67" t="str">
        <f aca="false">IF(OR($D203="客户应收",$D203="成品销售款",$D203="公司购买果品款",$D203="筐子销售款",$D203="物料销售款"),"客户往来",IFERROR(INDEX(收入成本映射!$C$4:$C$34,MATCH($D203,收入成本映射!$B$4:$B$34,0)),"不记账"))</f>
        <v>不记账</v>
      </c>
      <c r="J203" s="67" t="str">
        <f aca="false">IF($B203="","","0%")</f>
        <v/>
      </c>
      <c r="K203" s="70" t="n">
        <f aca="false">IF($I203="不记账",0,ROUND(N($G203),2))</f>
        <v>0</v>
      </c>
      <c r="L203" s="70" t="n">
        <v>0</v>
      </c>
      <c r="M203" s="67" t="str">
        <f aca="false">IF(OR($I203="不记账",ROUND(N($G203),2)=0),"",IFERROR(INDEX(收入成本映射!$E$4:$E$34,MATCH($D203,收入成本映射!$B$4:$B$34,0)),""))</f>
        <v/>
      </c>
      <c r="N203" s="70" t="str">
        <f aca="false">IF($M203="","",ROUND(N($G203),2))</f>
        <v/>
      </c>
      <c r="O203" s="70" t="str">
        <f aca="false">IF($M203="","",0)</f>
        <v/>
      </c>
      <c r="P203" s="67" t="str">
        <f aca="false">IF($M203="","",IFERROR(INDEX(收入成本映射!$F$4:$F$34,MATCH($D203,收入成本映射!$B$4:$B$34,0)),""))</f>
        <v/>
      </c>
      <c r="Q203" s="70" t="str">
        <f aca="false">IF($P203="","",0)</f>
        <v/>
      </c>
      <c r="R203" s="70" t="str">
        <f aca="false">IF($P203="","",ROUND(N($G203),2))</f>
        <v/>
      </c>
      <c r="S203" s="67" t="str">
        <f aca="false">""</f>
        <v/>
      </c>
      <c r="T203" s="70" t="str">
        <f aca="false">IF($S203="","",0)</f>
        <v/>
      </c>
      <c r="U203" s="70" t="str">
        <f aca="false">IF($S203="","",0)</f>
        <v/>
      </c>
      <c r="V203" s="66" t="str">
        <f aca="false">IF($B203="","",IF($B203="01水果",IFERROR(INDEX(对接源_01水果!$H$5:$H$507,MATCH(ROW()-3,对接源_01水果!$Q$5:$Q$507,0)),""),IFERROR(INDEX(对接源_02物料!$H$5:$H$460,MATCH(ROW()-3-N(对接源_01水果!$T$1),对接源_02物料!$Q$5:$Q$460,0)),"")))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4" customFormat="false" ht="18" hidden="false" customHeight="true" outlineLevel="0" collapsed="false">
      <c r="A204" s="66" t="n">
        <v>201</v>
      </c>
      <c r="B204" s="67" t="str">
        <f aca="false">IF(ROW()-3&lt;=N(对接源_01水果!$T$1),"01水果",IF(ROW()-3&lt;=N(对接源_01水果!$T$1)+N(对接源_02物料!$T$1),"02物料",""))</f>
        <v/>
      </c>
      <c r="C204" s="68" t="str">
        <f aca="false">IF($B204="","",IF($B204="01水果",IFERROR(INDEX(对接源_01水果!$B$5:$B$507,MATCH(ROW()-3,对接源_01水果!$Q$5:$Q$507,0)),""),IFERROR(INDEX(对接源_02物料!$B$5:$B$460,MATCH(ROW()-3-N(对接源_01水果!$T$1),对接源_02物料!$Q$5:$Q$460,0)),"")))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4" s="67" t="str">
        <f aca="false">IF($B204="","",IF($B204="01水果",IFERROR(INDEX(对接源_01水果!$C$5:$C$507,MATCH(ROW()-3,对接源_01水果!$Q$5:$Q$507,0)),""),IFERROR(INDEX(对接源_02物料!$C$5:$C$460,MATCH(ROW()-3-N(对接源_01水果!$T$1),对接源_02物料!$Q$5:$Q$460,0)),"")))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4" s="69" t="str">
        <f aca="false">IF($B204="","",IF($B204="01水果",IFERROR(INDEX(对接源_01水果!$D$5:$D$507,MATCH(ROW()-3,对接源_01水果!$Q$5:$Q$507,0)),""),IFERROR(INDEX(对接源_02物料!$D$5:$D$460,MATCH(ROW()-3-N(对接源_01水果!$T$1),对接源_02物料!$Q$5:$Q$460,0)),"")))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4" s="67" t="str">
        <f aca="false">IF($B204="","",IF($B204="01水果",IFERROR(INDEX(对接源_01水果!$E$5:$E$507,MATCH(ROW()-3,对接源_01水果!$Q$5:$Q$507,0)),""),IFERROR(INDEX(对接源_02物料!$E$5:$E$460,MATCH(ROW()-3-N(对接源_01水果!$T$1),对接源_02物料!$Q$5:$Q$460,0)),"")))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4" s="70" t="str">
        <f aca="false">IF($B204="","",IF($B204="01水果",IFERROR(INDEX(对接源_01水果!$F$5:$F$507,MATCH(ROW()-3,对接源_01水果!$Q$5:$Q$507,0)),""),IFERROR(INDEX(对接源_02物料!$F$5:$F$460,MATCH(ROW()-3-N(对接源_01水果!$T$1),对接源_02物料!$Q$5:$Q$460,0)),"")))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4" s="70" t="str">
        <f aca="false">IF($B204="","",IF($B204="01水果",IFERROR(INDEX(对接源_01水果!$G$5:$G$507,MATCH(ROW()-3,对接源_01水果!$Q$5:$Q$507,0)),""),IFERROR(INDEX(对接源_02物料!$G$5:$G$460,MATCH(ROW()-3-N(对接源_01水果!$T$1),对接源_02物料!$Q$5:$Q$460,0)),"")))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4" s="67" t="str">
        <f aca="false">IF(OR($D204="客户应收",$D204="成品销售款",$D204="公司购买果品款",$D204="筐子销售款",$D204="物料销售款"),"客户往来",IFERROR(INDEX(收入成本映射!$C$4:$C$34,MATCH($D204,收入成本映射!$B$4:$B$34,0)),"不记账"))</f>
        <v>不记账</v>
      </c>
      <c r="J204" s="67" t="str">
        <f aca="false">IF($B204="","","0%")</f>
        <v/>
      </c>
      <c r="K204" s="70" t="n">
        <f aca="false">IF($I204="不记账",0,ROUND(N($G204),2))</f>
        <v>0</v>
      </c>
      <c r="L204" s="70" t="n">
        <v>0</v>
      </c>
      <c r="M204" s="67" t="str">
        <f aca="false">IF(OR($I204="不记账",ROUND(N($G204),2)=0),"",IFERROR(INDEX(收入成本映射!$E$4:$E$34,MATCH($D204,收入成本映射!$B$4:$B$34,0)),""))</f>
        <v/>
      </c>
      <c r="N204" s="70" t="str">
        <f aca="false">IF($M204="","",ROUND(N($G204),2))</f>
        <v/>
      </c>
      <c r="O204" s="70" t="str">
        <f aca="false">IF($M204="","",0)</f>
        <v/>
      </c>
      <c r="P204" s="67" t="str">
        <f aca="false">IF($M204="","",IFERROR(INDEX(收入成本映射!$F$4:$F$34,MATCH($D204,收入成本映射!$B$4:$B$34,0)),""))</f>
        <v/>
      </c>
      <c r="Q204" s="70" t="str">
        <f aca="false">IF($P204="","",0)</f>
        <v/>
      </c>
      <c r="R204" s="70" t="str">
        <f aca="false">IF($P204="","",ROUND(N($G204),2))</f>
        <v/>
      </c>
      <c r="S204" s="67" t="str">
        <f aca="false">""</f>
        <v/>
      </c>
      <c r="T204" s="70" t="str">
        <f aca="false">IF($S204="","",0)</f>
        <v/>
      </c>
      <c r="U204" s="70" t="str">
        <f aca="false">IF($S204="","",0)</f>
        <v/>
      </c>
      <c r="V204" s="66" t="str">
        <f aca="false">IF($B204="","",IF($B204="01水果",IFERROR(INDEX(对接源_01水果!$H$5:$H$507,MATCH(ROW()-3,对接源_01水果!$Q$5:$Q$507,0)),""),IFERROR(INDEX(对接源_02物料!$H$5:$H$460,MATCH(ROW()-3-N(对接源_01水果!$T$1),对接源_02物料!$Q$5:$Q$460,0)),"")))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5" customFormat="false" ht="18" hidden="false" customHeight="true" outlineLevel="0" collapsed="false">
      <c r="A205" s="66" t="n">
        <v>202</v>
      </c>
      <c r="B205" s="67" t="str">
        <f aca="false">IF(ROW()-3&lt;=N(对接源_01水果!$T$1),"01水果",IF(ROW()-3&lt;=N(对接源_01水果!$T$1)+N(对接源_02物料!$T$1),"02物料",""))</f>
        <v/>
      </c>
      <c r="C205" s="68" t="str">
        <f aca="false">IF($B205="","",IF($B205="01水果",IFERROR(INDEX(对接源_01水果!$B$5:$B$507,MATCH(ROW()-3,对接源_01水果!$Q$5:$Q$507,0)),""),IFERROR(INDEX(对接源_02物料!$B$5:$B$460,MATCH(ROW()-3-N(对接源_01水果!$T$1),对接源_02物料!$Q$5:$Q$460,0)),"")))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5" s="67" t="str">
        <f aca="false">IF($B205="","",IF($B205="01水果",IFERROR(INDEX(对接源_01水果!$C$5:$C$507,MATCH(ROW()-3,对接源_01水果!$Q$5:$Q$507,0)),""),IFERROR(INDEX(对接源_02物料!$C$5:$C$460,MATCH(ROW()-3-N(对接源_01水果!$T$1),对接源_02物料!$Q$5:$Q$460,0)),"")))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5" s="69" t="str">
        <f aca="false">IF($B205="","",IF($B205="01水果",IFERROR(INDEX(对接源_01水果!$D$5:$D$507,MATCH(ROW()-3,对接源_01水果!$Q$5:$Q$507,0)),""),IFERROR(INDEX(对接源_02物料!$D$5:$D$460,MATCH(ROW()-3-N(对接源_01水果!$T$1),对接源_02物料!$Q$5:$Q$460,0)),"")))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5" s="67" t="str">
        <f aca="false">IF($B205="","",IF($B205="01水果",IFERROR(INDEX(对接源_01水果!$E$5:$E$507,MATCH(ROW()-3,对接源_01水果!$Q$5:$Q$507,0)),""),IFERROR(INDEX(对接源_02物料!$E$5:$E$460,MATCH(ROW()-3-N(对接源_01水果!$T$1),对接源_02物料!$Q$5:$Q$460,0)),"")))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5" s="70" t="str">
        <f aca="false">IF($B205="","",IF($B205="01水果",IFERROR(INDEX(对接源_01水果!$F$5:$F$507,MATCH(ROW()-3,对接源_01水果!$Q$5:$Q$507,0)),""),IFERROR(INDEX(对接源_02物料!$F$5:$F$460,MATCH(ROW()-3-N(对接源_01水果!$T$1),对接源_02物料!$Q$5:$Q$460,0)),"")))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5" s="70" t="str">
        <f aca="false">IF($B205="","",IF($B205="01水果",IFERROR(INDEX(对接源_01水果!$G$5:$G$507,MATCH(ROW()-3,对接源_01水果!$Q$5:$Q$507,0)),""),IFERROR(INDEX(对接源_02物料!$G$5:$G$460,MATCH(ROW()-3-N(对接源_01水果!$T$1),对接源_02物料!$Q$5:$Q$460,0)),"")))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5" s="67" t="str">
        <f aca="false">IF(OR($D205="客户应收",$D205="成品销售款",$D205="公司购买果品款",$D205="筐子销售款",$D205="物料销售款"),"客户往来",IFERROR(INDEX(收入成本映射!$C$4:$C$34,MATCH($D205,收入成本映射!$B$4:$B$34,0)),"不记账"))</f>
        <v>不记账</v>
      </c>
      <c r="J205" s="67" t="str">
        <f aca="false">IF($B205="","","0%")</f>
        <v/>
      </c>
      <c r="K205" s="70" t="n">
        <f aca="false">IF($I205="不记账",0,ROUND(N($G205),2))</f>
        <v>0</v>
      </c>
      <c r="L205" s="70" t="n">
        <v>0</v>
      </c>
      <c r="M205" s="67" t="str">
        <f aca="false">IF(OR($I205="不记账",ROUND(N($G205),2)=0),"",IFERROR(INDEX(收入成本映射!$E$4:$E$34,MATCH($D205,收入成本映射!$B$4:$B$34,0)),""))</f>
        <v/>
      </c>
      <c r="N205" s="70" t="str">
        <f aca="false">IF($M205="","",ROUND(N($G205),2))</f>
        <v/>
      </c>
      <c r="O205" s="70" t="str">
        <f aca="false">IF($M205="","",0)</f>
        <v/>
      </c>
      <c r="P205" s="67" t="str">
        <f aca="false">IF($M205="","",IFERROR(INDEX(收入成本映射!$F$4:$F$34,MATCH($D205,收入成本映射!$B$4:$B$34,0)),""))</f>
        <v/>
      </c>
      <c r="Q205" s="70" t="str">
        <f aca="false">IF($P205="","",0)</f>
        <v/>
      </c>
      <c r="R205" s="70" t="str">
        <f aca="false">IF($P205="","",ROUND(N($G205),2))</f>
        <v/>
      </c>
      <c r="S205" s="67" t="str">
        <f aca="false">""</f>
        <v/>
      </c>
      <c r="T205" s="70" t="str">
        <f aca="false">IF($S205="","",0)</f>
        <v/>
      </c>
      <c r="U205" s="70" t="str">
        <f aca="false">IF($S205="","",0)</f>
        <v/>
      </c>
      <c r="V205" s="66" t="str">
        <f aca="false">IF($B205="","",IF($B205="01水果",IFERROR(INDEX(对接源_01水果!$H$5:$H$507,MATCH(ROW()-3,对接源_01水果!$Q$5:$Q$507,0)),""),IFERROR(INDEX(对接源_02物料!$H$5:$H$460,MATCH(ROW()-3-N(对接源_01水果!$T$1),对接源_02物料!$Q$5:$Q$460,0)),"")))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6" customFormat="false" ht="18" hidden="false" customHeight="true" outlineLevel="0" collapsed="false">
      <c r="A206" s="66" t="n">
        <v>203</v>
      </c>
      <c r="B206" s="67" t="str">
        <f aca="false">IF(ROW()-3&lt;=N(对接源_01水果!$T$1),"01水果",IF(ROW()-3&lt;=N(对接源_01水果!$T$1)+N(对接源_02物料!$T$1),"02物料",""))</f>
        <v/>
      </c>
      <c r="C206" s="68" t="str">
        <f aca="false">IF($B206="","",IF($B206="01水果",IFERROR(INDEX(对接源_01水果!$B$5:$B$507,MATCH(ROW()-3,对接源_01水果!$Q$5:$Q$507,0)),""),IFERROR(INDEX(对接源_02物料!$B$5:$B$460,MATCH(ROW()-3-N(对接源_01水果!$T$1),对接源_02物料!$Q$5:$Q$460,0)),"")))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6" s="67" t="str">
        <f aca="false">IF($B206="","",IF($B206="01水果",IFERROR(INDEX(对接源_01水果!$C$5:$C$507,MATCH(ROW()-3,对接源_01水果!$Q$5:$Q$507,0)),""),IFERROR(INDEX(对接源_02物料!$C$5:$C$460,MATCH(ROW()-3-N(对接源_01水果!$T$1),对接源_02物料!$Q$5:$Q$460,0)),"")))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6" s="69" t="str">
        <f aca="false">IF($B206="","",IF($B206="01水果",IFERROR(INDEX(对接源_01水果!$D$5:$D$507,MATCH(ROW()-3,对接源_01水果!$Q$5:$Q$507,0)),""),IFERROR(INDEX(对接源_02物料!$D$5:$D$460,MATCH(ROW()-3-N(对接源_01水果!$T$1),对接源_02物料!$Q$5:$Q$460,0)),"")))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6" s="67" t="str">
        <f aca="false">IF($B206="","",IF($B206="01水果",IFERROR(INDEX(对接源_01水果!$E$5:$E$507,MATCH(ROW()-3,对接源_01水果!$Q$5:$Q$507,0)),""),IFERROR(INDEX(对接源_02物料!$E$5:$E$460,MATCH(ROW()-3-N(对接源_01水果!$T$1),对接源_02物料!$Q$5:$Q$460,0)),"")))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6" s="70" t="str">
        <f aca="false">IF($B206="","",IF($B206="01水果",IFERROR(INDEX(对接源_01水果!$F$5:$F$507,MATCH(ROW()-3,对接源_01水果!$Q$5:$Q$507,0)),""),IFERROR(INDEX(对接源_02物料!$F$5:$F$460,MATCH(ROW()-3-N(对接源_01水果!$T$1),对接源_02物料!$Q$5:$Q$460,0)),"")))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6" s="70" t="str">
        <f aca="false">IF($B206="","",IF($B206="01水果",IFERROR(INDEX(对接源_01水果!$G$5:$G$507,MATCH(ROW()-3,对接源_01水果!$Q$5:$Q$507,0)),""),IFERROR(INDEX(对接源_02物料!$G$5:$G$460,MATCH(ROW()-3-N(对接源_01水果!$T$1),对接源_02物料!$Q$5:$Q$460,0)),"")))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6" s="67" t="str">
        <f aca="false">IF(OR($D206="客户应收",$D206="成品销售款",$D206="公司购买果品款",$D206="筐子销售款",$D206="物料销售款"),"客户往来",IFERROR(INDEX(收入成本映射!$C$4:$C$34,MATCH($D206,收入成本映射!$B$4:$B$34,0)),"不记账"))</f>
        <v>不记账</v>
      </c>
      <c r="J206" s="67" t="str">
        <f aca="false">IF($B206="","","0%")</f>
        <v/>
      </c>
      <c r="K206" s="70" t="n">
        <f aca="false">IF($I206="不记账",0,ROUND(N($G206),2))</f>
        <v>0</v>
      </c>
      <c r="L206" s="70" t="n">
        <v>0</v>
      </c>
      <c r="M206" s="67" t="str">
        <f aca="false">IF(OR($I206="不记账",ROUND(N($G206),2)=0),"",IFERROR(INDEX(收入成本映射!$E$4:$E$34,MATCH($D206,收入成本映射!$B$4:$B$34,0)),""))</f>
        <v/>
      </c>
      <c r="N206" s="70" t="str">
        <f aca="false">IF($M206="","",ROUND(N($G206),2))</f>
        <v/>
      </c>
      <c r="O206" s="70" t="str">
        <f aca="false">IF($M206="","",0)</f>
        <v/>
      </c>
      <c r="P206" s="67" t="str">
        <f aca="false">IF($M206="","",IFERROR(INDEX(收入成本映射!$F$4:$F$34,MATCH($D206,收入成本映射!$B$4:$B$34,0)),""))</f>
        <v/>
      </c>
      <c r="Q206" s="70" t="str">
        <f aca="false">IF($P206="","",0)</f>
        <v/>
      </c>
      <c r="R206" s="70" t="str">
        <f aca="false">IF($P206="","",ROUND(N($G206),2))</f>
        <v/>
      </c>
      <c r="S206" s="67" t="str">
        <f aca="false">""</f>
        <v/>
      </c>
      <c r="T206" s="70" t="str">
        <f aca="false">IF($S206="","",0)</f>
        <v/>
      </c>
      <c r="U206" s="70" t="str">
        <f aca="false">IF($S206="","",0)</f>
        <v/>
      </c>
      <c r="V206" s="66" t="str">
        <f aca="false">IF($B206="","",IF($B206="01水果",IFERROR(INDEX(对接源_01水果!$H$5:$H$507,MATCH(ROW()-3,对接源_01水果!$Q$5:$Q$507,0)),""),IFERROR(INDEX(对接源_02物料!$H$5:$H$460,MATCH(ROW()-3-N(对接源_01水果!$T$1),对接源_02物料!$Q$5:$Q$460,0)),"")))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7" customFormat="false" ht="18" hidden="false" customHeight="true" outlineLevel="0" collapsed="false">
      <c r="A207" s="66" t="n">
        <v>204</v>
      </c>
      <c r="B207" s="67" t="str">
        <f aca="false">IF(ROW()-3&lt;=N(对接源_01水果!$T$1),"01水果",IF(ROW()-3&lt;=N(对接源_01水果!$T$1)+N(对接源_02物料!$T$1),"02物料",""))</f>
        <v/>
      </c>
      <c r="C207" s="68" t="str">
        <f aca="false">IF($B207="","",IF($B207="01水果",IFERROR(INDEX(对接源_01水果!$B$5:$B$507,MATCH(ROW()-3,对接源_01水果!$Q$5:$Q$507,0)),""),IFERROR(INDEX(对接源_02物料!$B$5:$B$460,MATCH(ROW()-3-N(对接源_01水果!$T$1),对接源_02物料!$Q$5:$Q$460,0)),"")))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7" s="67" t="str">
        <f aca="false">IF($B207="","",IF($B207="01水果",IFERROR(INDEX(对接源_01水果!$C$5:$C$507,MATCH(ROW()-3,对接源_01水果!$Q$5:$Q$507,0)),""),IFERROR(INDEX(对接源_02物料!$C$5:$C$460,MATCH(ROW()-3-N(对接源_01水果!$T$1),对接源_02物料!$Q$5:$Q$460,0)),"")))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7" s="69" t="str">
        <f aca="false">IF($B207="","",IF($B207="01水果",IFERROR(INDEX(对接源_01水果!$D$5:$D$507,MATCH(ROW()-3,对接源_01水果!$Q$5:$Q$507,0)),""),IFERROR(INDEX(对接源_02物料!$D$5:$D$460,MATCH(ROW()-3-N(对接源_01水果!$T$1),对接源_02物料!$Q$5:$Q$460,0)),"")))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7" s="67" t="str">
        <f aca="false">IF($B207="","",IF($B207="01水果",IFERROR(INDEX(对接源_01水果!$E$5:$E$507,MATCH(ROW()-3,对接源_01水果!$Q$5:$Q$507,0)),""),IFERROR(INDEX(对接源_02物料!$E$5:$E$460,MATCH(ROW()-3-N(对接源_01水果!$T$1),对接源_02物料!$Q$5:$Q$460,0)),"")))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7" s="70" t="str">
        <f aca="false">IF($B207="","",IF($B207="01水果",IFERROR(INDEX(对接源_01水果!$F$5:$F$507,MATCH(ROW()-3,对接源_01水果!$Q$5:$Q$507,0)),""),IFERROR(INDEX(对接源_02物料!$F$5:$F$460,MATCH(ROW()-3-N(对接源_01水果!$T$1),对接源_02物料!$Q$5:$Q$460,0)),"")))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7" s="70" t="str">
        <f aca="false">IF($B207="","",IF($B207="01水果",IFERROR(INDEX(对接源_01水果!$G$5:$G$507,MATCH(ROW()-3,对接源_01水果!$Q$5:$Q$507,0)),""),IFERROR(INDEX(对接源_02物料!$G$5:$G$460,MATCH(ROW()-3-N(对接源_01水果!$T$1),对接源_02物料!$Q$5:$Q$460,0)),"")))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7" s="67" t="str">
        <f aca="false">IF(OR($D207="客户应收",$D207="成品销售款",$D207="公司购买果品款",$D207="筐子销售款",$D207="物料销售款"),"客户往来",IFERROR(INDEX(收入成本映射!$C$4:$C$34,MATCH($D207,收入成本映射!$B$4:$B$34,0)),"不记账"))</f>
        <v>不记账</v>
      </c>
      <c r="J207" s="67" t="str">
        <f aca="false">IF($B207="","","0%")</f>
        <v/>
      </c>
      <c r="K207" s="70" t="n">
        <f aca="false">IF($I207="不记账",0,ROUND(N($G207),2))</f>
        <v>0</v>
      </c>
      <c r="L207" s="70" t="n">
        <v>0</v>
      </c>
      <c r="M207" s="67" t="str">
        <f aca="false">IF(OR($I207="不记账",ROUND(N($G207),2)=0),"",IFERROR(INDEX(收入成本映射!$E$4:$E$34,MATCH($D207,收入成本映射!$B$4:$B$34,0)),""))</f>
        <v/>
      </c>
      <c r="N207" s="70" t="str">
        <f aca="false">IF($M207="","",ROUND(N($G207),2))</f>
        <v/>
      </c>
      <c r="O207" s="70" t="str">
        <f aca="false">IF($M207="","",0)</f>
        <v/>
      </c>
      <c r="P207" s="67" t="str">
        <f aca="false">IF($M207="","",IFERROR(INDEX(收入成本映射!$F$4:$F$34,MATCH($D207,收入成本映射!$B$4:$B$34,0)),""))</f>
        <v/>
      </c>
      <c r="Q207" s="70" t="str">
        <f aca="false">IF($P207="","",0)</f>
        <v/>
      </c>
      <c r="R207" s="70" t="str">
        <f aca="false">IF($P207="","",ROUND(N($G207),2))</f>
        <v/>
      </c>
      <c r="S207" s="67" t="str">
        <f aca="false">""</f>
        <v/>
      </c>
      <c r="T207" s="70" t="str">
        <f aca="false">IF($S207="","",0)</f>
        <v/>
      </c>
      <c r="U207" s="70" t="str">
        <f aca="false">IF($S207="","",0)</f>
        <v/>
      </c>
      <c r="V207" s="66" t="str">
        <f aca="false">IF($B207="","",IF($B207="01水果",IFERROR(INDEX(对接源_01水果!$H$5:$H$507,MATCH(ROW()-3,对接源_01水果!$Q$5:$Q$507,0)),""),IFERROR(INDEX(对接源_02物料!$H$5:$H$460,MATCH(ROW()-3-N(对接源_01水果!$T$1),对接源_02物料!$Q$5:$Q$460,0)),"")))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8" customFormat="false" ht="18" hidden="false" customHeight="true" outlineLevel="0" collapsed="false">
      <c r="A208" s="66" t="n">
        <v>205</v>
      </c>
      <c r="B208" s="67" t="str">
        <f aca="false">IF(ROW()-3&lt;=N(对接源_01水果!$T$1),"01水果",IF(ROW()-3&lt;=N(对接源_01水果!$T$1)+N(对接源_02物料!$T$1),"02物料",""))</f>
        <v/>
      </c>
      <c r="C208" s="68" t="str">
        <f aca="false">IF($B208="","",IF($B208="01水果",IFERROR(INDEX(对接源_01水果!$B$5:$B$507,MATCH(ROW()-3,对接源_01水果!$Q$5:$Q$507,0)),""),IFERROR(INDEX(对接源_02物料!$B$5:$B$460,MATCH(ROW()-3-N(对接源_01水果!$T$1),对接源_02物料!$Q$5:$Q$460,0)),"")))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8" s="67" t="str">
        <f aca="false">IF($B208="","",IF($B208="01水果",IFERROR(INDEX(对接源_01水果!$C$5:$C$507,MATCH(ROW()-3,对接源_01水果!$Q$5:$Q$507,0)),""),IFERROR(INDEX(对接源_02物料!$C$5:$C$460,MATCH(ROW()-3-N(对接源_01水果!$T$1),对接源_02物料!$Q$5:$Q$460,0)),"")))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8" s="69" t="str">
        <f aca="false">IF($B208="","",IF($B208="01水果",IFERROR(INDEX(对接源_01水果!$D$5:$D$507,MATCH(ROW()-3,对接源_01水果!$Q$5:$Q$507,0)),""),IFERROR(INDEX(对接源_02物料!$D$5:$D$460,MATCH(ROW()-3-N(对接源_01水果!$T$1),对接源_02物料!$Q$5:$Q$460,0)),"")))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8" s="67" t="str">
        <f aca="false">IF($B208="","",IF($B208="01水果",IFERROR(INDEX(对接源_01水果!$E$5:$E$507,MATCH(ROW()-3,对接源_01水果!$Q$5:$Q$507,0)),""),IFERROR(INDEX(对接源_02物料!$E$5:$E$460,MATCH(ROW()-3-N(对接源_01水果!$T$1),对接源_02物料!$Q$5:$Q$460,0)),"")))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8" s="70" t="str">
        <f aca="false">IF($B208="","",IF($B208="01水果",IFERROR(INDEX(对接源_01水果!$F$5:$F$507,MATCH(ROW()-3,对接源_01水果!$Q$5:$Q$507,0)),""),IFERROR(INDEX(对接源_02物料!$F$5:$F$460,MATCH(ROW()-3-N(对接源_01水果!$T$1),对接源_02物料!$Q$5:$Q$460,0)),"")))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8" s="70" t="str">
        <f aca="false">IF($B208="","",IF($B208="01水果",IFERROR(INDEX(对接源_01水果!$G$5:$G$507,MATCH(ROW()-3,对接源_01水果!$Q$5:$Q$507,0)),""),IFERROR(INDEX(对接源_02物料!$G$5:$G$460,MATCH(ROW()-3-N(对接源_01水果!$T$1),对接源_02物料!$Q$5:$Q$460,0)),"")))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8" s="67" t="str">
        <f aca="false">IF(OR($D208="客户应收",$D208="成品销售款",$D208="公司购买果品款",$D208="筐子销售款",$D208="物料销售款"),"客户往来",IFERROR(INDEX(收入成本映射!$C$4:$C$34,MATCH($D208,收入成本映射!$B$4:$B$34,0)),"不记账"))</f>
        <v>不记账</v>
      </c>
      <c r="J208" s="67" t="str">
        <f aca="false">IF($B208="","","0%")</f>
        <v/>
      </c>
      <c r="K208" s="70" t="n">
        <f aca="false">IF($I208="不记账",0,ROUND(N($G208),2))</f>
        <v>0</v>
      </c>
      <c r="L208" s="70" t="n">
        <v>0</v>
      </c>
      <c r="M208" s="67" t="str">
        <f aca="false">IF(OR($I208="不记账",ROUND(N($G208),2)=0),"",IFERROR(INDEX(收入成本映射!$E$4:$E$34,MATCH($D208,收入成本映射!$B$4:$B$34,0)),""))</f>
        <v/>
      </c>
      <c r="N208" s="70" t="str">
        <f aca="false">IF($M208="","",ROUND(N($G208),2))</f>
        <v/>
      </c>
      <c r="O208" s="70" t="str">
        <f aca="false">IF($M208="","",0)</f>
        <v/>
      </c>
      <c r="P208" s="67" t="str">
        <f aca="false">IF($M208="","",IFERROR(INDEX(收入成本映射!$F$4:$F$34,MATCH($D208,收入成本映射!$B$4:$B$34,0)),""))</f>
        <v/>
      </c>
      <c r="Q208" s="70" t="str">
        <f aca="false">IF($P208="","",0)</f>
        <v/>
      </c>
      <c r="R208" s="70" t="str">
        <f aca="false">IF($P208="","",ROUND(N($G208),2))</f>
        <v/>
      </c>
      <c r="S208" s="67" t="str">
        <f aca="false">""</f>
        <v/>
      </c>
      <c r="T208" s="70" t="str">
        <f aca="false">IF($S208="","",0)</f>
        <v/>
      </c>
      <c r="U208" s="70" t="str">
        <f aca="false">IF($S208="","",0)</f>
        <v/>
      </c>
      <c r="V208" s="66" t="str">
        <f aca="false">IF($B208="","",IF($B208="01水果",IFERROR(INDEX(对接源_01水果!$H$5:$H$507,MATCH(ROW()-3,对接源_01水果!$Q$5:$Q$507,0)),""),IFERROR(INDEX(对接源_02物料!$H$5:$H$460,MATCH(ROW()-3-N(对接源_01水果!$T$1),对接源_02物料!$Q$5:$Q$460,0)),"")))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09" customFormat="false" ht="18" hidden="false" customHeight="true" outlineLevel="0" collapsed="false">
      <c r="A209" s="66" t="n">
        <v>206</v>
      </c>
      <c r="B209" s="67" t="str">
        <f aca="false">IF(ROW()-3&lt;=N(对接源_01水果!$T$1),"01水果",IF(ROW()-3&lt;=N(对接源_01水果!$T$1)+N(对接源_02物料!$T$1),"02物料",""))</f>
        <v/>
      </c>
      <c r="C209" s="68" t="str">
        <f aca="false">IF($B209="","",IF($B209="01水果",IFERROR(INDEX(对接源_01水果!$B$5:$B$507,MATCH(ROW()-3,对接源_01水果!$Q$5:$Q$507,0)),""),IFERROR(INDEX(对接源_02物料!$B$5:$B$460,MATCH(ROW()-3-N(对接源_01水果!$T$1),对接源_02物料!$Q$5:$Q$460,0)),"")))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09" s="67" t="str">
        <f aca="false">IF($B209="","",IF($B209="01水果",IFERROR(INDEX(对接源_01水果!$C$5:$C$507,MATCH(ROW()-3,对接源_01水果!$Q$5:$Q$507,0)),""),IFERROR(INDEX(对接源_02物料!$C$5:$C$460,MATCH(ROW()-3-N(对接源_01水果!$T$1),对接源_02物料!$Q$5:$Q$460,0)),"")))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09" s="69" t="str">
        <f aca="false">IF($B209="","",IF($B209="01水果",IFERROR(INDEX(对接源_01水果!$D$5:$D$507,MATCH(ROW()-3,对接源_01水果!$Q$5:$Q$507,0)),""),IFERROR(INDEX(对接源_02物料!$D$5:$D$460,MATCH(ROW()-3-N(对接源_01水果!$T$1),对接源_02物料!$Q$5:$Q$460,0)),"")))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09" s="67" t="str">
        <f aca="false">IF($B209="","",IF($B209="01水果",IFERROR(INDEX(对接源_01水果!$E$5:$E$507,MATCH(ROW()-3,对接源_01水果!$Q$5:$Q$507,0)),""),IFERROR(INDEX(对接源_02物料!$E$5:$E$460,MATCH(ROW()-3-N(对接源_01水果!$T$1),对接源_02物料!$Q$5:$Q$460,0)),"")))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09" s="70" t="str">
        <f aca="false">IF($B209="","",IF($B209="01水果",IFERROR(INDEX(对接源_01水果!$F$5:$F$507,MATCH(ROW()-3,对接源_01水果!$Q$5:$Q$507,0)),""),IFERROR(INDEX(对接源_02物料!$F$5:$F$460,MATCH(ROW()-3-N(对接源_01水果!$T$1),对接源_02物料!$Q$5:$Q$460,0)),"")))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09" s="70" t="str">
        <f aca="false">IF($B209="","",IF($B209="01水果",IFERROR(INDEX(对接源_01水果!$G$5:$G$507,MATCH(ROW()-3,对接源_01水果!$Q$5:$Q$507,0)),""),IFERROR(INDEX(对接源_02物料!$G$5:$G$460,MATCH(ROW()-3-N(对接源_01水果!$T$1),对接源_02物料!$Q$5:$Q$460,0)),"")))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09" s="67" t="str">
        <f aca="false">IF(OR($D209="客户应收",$D209="成品销售款",$D209="公司购买果品款",$D209="筐子销售款",$D209="物料销售款"),"客户往来",IFERROR(INDEX(收入成本映射!$C$4:$C$34,MATCH($D209,收入成本映射!$B$4:$B$34,0)),"不记账"))</f>
        <v>不记账</v>
      </c>
      <c r="J209" s="67" t="str">
        <f aca="false">IF($B209="","","0%")</f>
        <v/>
      </c>
      <c r="K209" s="70" t="n">
        <f aca="false">IF($I209="不记账",0,ROUND(N($G209),2))</f>
        <v>0</v>
      </c>
      <c r="L209" s="70" t="n">
        <v>0</v>
      </c>
      <c r="M209" s="67" t="str">
        <f aca="false">IF(OR($I209="不记账",ROUND(N($G209),2)=0),"",IFERROR(INDEX(收入成本映射!$E$4:$E$34,MATCH($D209,收入成本映射!$B$4:$B$34,0)),""))</f>
        <v/>
      </c>
      <c r="N209" s="70" t="str">
        <f aca="false">IF($M209="","",ROUND(N($G209),2))</f>
        <v/>
      </c>
      <c r="O209" s="70" t="str">
        <f aca="false">IF($M209="","",0)</f>
        <v/>
      </c>
      <c r="P209" s="67" t="str">
        <f aca="false">IF($M209="","",IFERROR(INDEX(收入成本映射!$F$4:$F$34,MATCH($D209,收入成本映射!$B$4:$B$34,0)),""))</f>
        <v/>
      </c>
      <c r="Q209" s="70" t="str">
        <f aca="false">IF($P209="","",0)</f>
        <v/>
      </c>
      <c r="R209" s="70" t="str">
        <f aca="false">IF($P209="","",ROUND(N($G209),2))</f>
        <v/>
      </c>
      <c r="S209" s="67" t="str">
        <f aca="false">""</f>
        <v/>
      </c>
      <c r="T209" s="70" t="str">
        <f aca="false">IF($S209="","",0)</f>
        <v/>
      </c>
      <c r="U209" s="70" t="str">
        <f aca="false">IF($S209="","",0)</f>
        <v/>
      </c>
      <c r="V209" s="66" t="str">
        <f aca="false">IF($B209="","",IF($B209="01水果",IFERROR(INDEX(对接源_01水果!$H$5:$H$507,MATCH(ROW()-3,对接源_01水果!$Q$5:$Q$507,0)),""),IFERROR(INDEX(对接源_02物料!$H$5:$H$460,MATCH(ROW()-3-N(对接源_01水果!$T$1),对接源_02物料!$Q$5:$Q$460,0)),"")))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0" customFormat="false" ht="18" hidden="false" customHeight="true" outlineLevel="0" collapsed="false">
      <c r="A210" s="66" t="n">
        <v>207</v>
      </c>
      <c r="B210" s="67" t="str">
        <f aca="false">IF(ROW()-3&lt;=N(对接源_01水果!$T$1),"01水果",IF(ROW()-3&lt;=N(对接源_01水果!$T$1)+N(对接源_02物料!$T$1),"02物料",""))</f>
        <v/>
      </c>
      <c r="C210" s="68" t="str">
        <f aca="false">IF($B210="","",IF($B210="01水果",IFERROR(INDEX(对接源_01水果!$B$5:$B$507,MATCH(ROW()-3,对接源_01水果!$Q$5:$Q$507,0)),""),IFERROR(INDEX(对接源_02物料!$B$5:$B$460,MATCH(ROW()-3-N(对接源_01水果!$T$1),对接源_02物料!$Q$5:$Q$460,0)),"")))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0" s="67" t="str">
        <f aca="false">IF($B210="","",IF($B210="01水果",IFERROR(INDEX(对接源_01水果!$C$5:$C$507,MATCH(ROW()-3,对接源_01水果!$Q$5:$Q$507,0)),""),IFERROR(INDEX(对接源_02物料!$C$5:$C$460,MATCH(ROW()-3-N(对接源_01水果!$T$1),对接源_02物料!$Q$5:$Q$460,0)),"")))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0" s="69" t="str">
        <f aca="false">IF($B210="","",IF($B210="01水果",IFERROR(INDEX(对接源_01水果!$D$5:$D$507,MATCH(ROW()-3,对接源_01水果!$Q$5:$Q$507,0)),""),IFERROR(INDEX(对接源_02物料!$D$5:$D$460,MATCH(ROW()-3-N(对接源_01水果!$T$1),对接源_02物料!$Q$5:$Q$460,0)),"")))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0" s="67" t="str">
        <f aca="false">IF($B210="","",IF($B210="01水果",IFERROR(INDEX(对接源_01水果!$E$5:$E$507,MATCH(ROW()-3,对接源_01水果!$Q$5:$Q$507,0)),""),IFERROR(INDEX(对接源_02物料!$E$5:$E$460,MATCH(ROW()-3-N(对接源_01水果!$T$1),对接源_02物料!$Q$5:$Q$460,0)),"")))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0" s="70" t="str">
        <f aca="false">IF($B210="","",IF($B210="01水果",IFERROR(INDEX(对接源_01水果!$F$5:$F$507,MATCH(ROW()-3,对接源_01水果!$Q$5:$Q$507,0)),""),IFERROR(INDEX(对接源_02物料!$F$5:$F$460,MATCH(ROW()-3-N(对接源_01水果!$T$1),对接源_02物料!$Q$5:$Q$460,0)),"")))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0" s="70" t="str">
        <f aca="false">IF($B210="","",IF($B210="01水果",IFERROR(INDEX(对接源_01水果!$G$5:$G$507,MATCH(ROW()-3,对接源_01水果!$Q$5:$Q$507,0)),""),IFERROR(INDEX(对接源_02物料!$G$5:$G$460,MATCH(ROW()-3-N(对接源_01水果!$T$1),对接源_02物料!$Q$5:$Q$460,0)),"")))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0" s="67" t="str">
        <f aca="false">IF(OR($D210="客户应收",$D210="成品销售款",$D210="公司购买果品款",$D210="筐子销售款",$D210="物料销售款"),"客户往来",IFERROR(INDEX(收入成本映射!$C$4:$C$34,MATCH($D210,收入成本映射!$B$4:$B$34,0)),"不记账"))</f>
        <v>不记账</v>
      </c>
      <c r="J210" s="67" t="str">
        <f aca="false">IF($B210="","","0%")</f>
        <v/>
      </c>
      <c r="K210" s="70" t="n">
        <f aca="false">IF($I210="不记账",0,ROUND(N($G210),2))</f>
        <v>0</v>
      </c>
      <c r="L210" s="70" t="n">
        <v>0</v>
      </c>
      <c r="M210" s="67" t="str">
        <f aca="false">IF(OR($I210="不记账",ROUND(N($G210),2)=0),"",IFERROR(INDEX(收入成本映射!$E$4:$E$34,MATCH($D210,收入成本映射!$B$4:$B$34,0)),""))</f>
        <v/>
      </c>
      <c r="N210" s="70" t="str">
        <f aca="false">IF($M210="","",ROUND(N($G210),2))</f>
        <v/>
      </c>
      <c r="O210" s="70" t="str">
        <f aca="false">IF($M210="","",0)</f>
        <v/>
      </c>
      <c r="P210" s="67" t="str">
        <f aca="false">IF($M210="","",IFERROR(INDEX(收入成本映射!$F$4:$F$34,MATCH($D210,收入成本映射!$B$4:$B$34,0)),""))</f>
        <v/>
      </c>
      <c r="Q210" s="70" t="str">
        <f aca="false">IF($P210="","",0)</f>
        <v/>
      </c>
      <c r="R210" s="70" t="str">
        <f aca="false">IF($P210="","",ROUND(N($G210),2))</f>
        <v/>
      </c>
      <c r="S210" s="67" t="str">
        <f aca="false">""</f>
        <v/>
      </c>
      <c r="T210" s="70" t="str">
        <f aca="false">IF($S210="","",0)</f>
        <v/>
      </c>
      <c r="U210" s="70" t="str">
        <f aca="false">IF($S210="","",0)</f>
        <v/>
      </c>
      <c r="V210" s="66" t="str">
        <f aca="false">IF($B210="","",IF($B210="01水果",IFERROR(INDEX(对接源_01水果!$H$5:$H$507,MATCH(ROW()-3,对接源_01水果!$Q$5:$Q$507,0)),""),IFERROR(INDEX(对接源_02物料!$H$5:$H$460,MATCH(ROW()-3-N(对接源_01水果!$T$1),对接源_02物料!$Q$5:$Q$460,0)),"")))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1" customFormat="false" ht="18" hidden="false" customHeight="true" outlineLevel="0" collapsed="false">
      <c r="A211" s="66" t="n">
        <v>208</v>
      </c>
      <c r="B211" s="67" t="str">
        <f aca="false">IF(ROW()-3&lt;=N(对接源_01水果!$T$1),"01水果",IF(ROW()-3&lt;=N(对接源_01水果!$T$1)+N(对接源_02物料!$T$1),"02物料",""))</f>
        <v/>
      </c>
      <c r="C211" s="68" t="str">
        <f aca="false">IF($B211="","",IF($B211="01水果",IFERROR(INDEX(对接源_01水果!$B$5:$B$507,MATCH(ROW()-3,对接源_01水果!$Q$5:$Q$507,0)),""),IFERROR(INDEX(对接源_02物料!$B$5:$B$460,MATCH(ROW()-3-N(对接源_01水果!$T$1),对接源_02物料!$Q$5:$Q$460,0)),"")))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1" s="67" t="str">
        <f aca="false">IF($B211="","",IF($B211="01水果",IFERROR(INDEX(对接源_01水果!$C$5:$C$507,MATCH(ROW()-3,对接源_01水果!$Q$5:$Q$507,0)),""),IFERROR(INDEX(对接源_02物料!$C$5:$C$460,MATCH(ROW()-3-N(对接源_01水果!$T$1),对接源_02物料!$Q$5:$Q$460,0)),"")))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1" s="69" t="str">
        <f aca="false">IF($B211="","",IF($B211="01水果",IFERROR(INDEX(对接源_01水果!$D$5:$D$507,MATCH(ROW()-3,对接源_01水果!$Q$5:$Q$507,0)),""),IFERROR(INDEX(对接源_02物料!$D$5:$D$460,MATCH(ROW()-3-N(对接源_01水果!$T$1),对接源_02物料!$Q$5:$Q$460,0)),"")))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1" s="67" t="str">
        <f aca="false">IF($B211="","",IF($B211="01水果",IFERROR(INDEX(对接源_01水果!$E$5:$E$507,MATCH(ROW()-3,对接源_01水果!$Q$5:$Q$507,0)),""),IFERROR(INDEX(对接源_02物料!$E$5:$E$460,MATCH(ROW()-3-N(对接源_01水果!$T$1),对接源_02物料!$Q$5:$Q$460,0)),"")))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1" s="70" t="str">
        <f aca="false">IF($B211="","",IF($B211="01水果",IFERROR(INDEX(对接源_01水果!$F$5:$F$507,MATCH(ROW()-3,对接源_01水果!$Q$5:$Q$507,0)),""),IFERROR(INDEX(对接源_02物料!$F$5:$F$460,MATCH(ROW()-3-N(对接源_01水果!$T$1),对接源_02物料!$Q$5:$Q$460,0)),"")))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1" s="70" t="str">
        <f aca="false">IF($B211="","",IF($B211="01水果",IFERROR(INDEX(对接源_01水果!$G$5:$G$507,MATCH(ROW()-3,对接源_01水果!$Q$5:$Q$507,0)),""),IFERROR(INDEX(对接源_02物料!$G$5:$G$460,MATCH(ROW()-3-N(对接源_01水果!$T$1),对接源_02物料!$Q$5:$Q$460,0)),"")))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1" s="67" t="str">
        <f aca="false">IF(OR($D211="客户应收",$D211="成品销售款",$D211="公司购买果品款",$D211="筐子销售款",$D211="物料销售款"),"客户往来",IFERROR(INDEX(收入成本映射!$C$4:$C$34,MATCH($D211,收入成本映射!$B$4:$B$34,0)),"不记账"))</f>
        <v>不记账</v>
      </c>
      <c r="J211" s="67" t="str">
        <f aca="false">IF($B211="","","0%")</f>
        <v/>
      </c>
      <c r="K211" s="70" t="n">
        <f aca="false">IF($I211="不记账",0,ROUND(N($G211),2))</f>
        <v>0</v>
      </c>
      <c r="L211" s="70" t="n">
        <v>0</v>
      </c>
      <c r="M211" s="67" t="str">
        <f aca="false">IF(OR($I211="不记账",ROUND(N($G211),2)=0),"",IFERROR(INDEX(收入成本映射!$E$4:$E$34,MATCH($D211,收入成本映射!$B$4:$B$34,0)),""))</f>
        <v/>
      </c>
      <c r="N211" s="70" t="str">
        <f aca="false">IF($M211="","",ROUND(N($G211),2))</f>
        <v/>
      </c>
      <c r="O211" s="70" t="str">
        <f aca="false">IF($M211="","",0)</f>
        <v/>
      </c>
      <c r="P211" s="67" t="str">
        <f aca="false">IF($M211="","",IFERROR(INDEX(收入成本映射!$F$4:$F$34,MATCH($D211,收入成本映射!$B$4:$B$34,0)),""))</f>
        <v/>
      </c>
      <c r="Q211" s="70" t="str">
        <f aca="false">IF($P211="","",0)</f>
        <v/>
      </c>
      <c r="R211" s="70" t="str">
        <f aca="false">IF($P211="","",ROUND(N($G211),2))</f>
        <v/>
      </c>
      <c r="S211" s="67" t="str">
        <f aca="false">""</f>
        <v/>
      </c>
      <c r="T211" s="70" t="str">
        <f aca="false">IF($S211="","",0)</f>
        <v/>
      </c>
      <c r="U211" s="70" t="str">
        <f aca="false">IF($S211="","",0)</f>
        <v/>
      </c>
      <c r="V211" s="66" t="str">
        <f aca="false">IF($B211="","",IF($B211="01水果",IFERROR(INDEX(对接源_01水果!$H$5:$H$507,MATCH(ROW()-3,对接源_01水果!$Q$5:$Q$507,0)),""),IFERROR(INDEX(对接源_02物料!$H$5:$H$460,MATCH(ROW()-3-N(对接源_01水果!$T$1),对接源_02物料!$Q$5:$Q$460,0)),"")))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2" customFormat="false" ht="18" hidden="false" customHeight="true" outlineLevel="0" collapsed="false">
      <c r="A212" s="66" t="n">
        <v>209</v>
      </c>
      <c r="B212" s="67" t="str">
        <f aca="false">IF(ROW()-3&lt;=N(对接源_01水果!$T$1),"01水果",IF(ROW()-3&lt;=N(对接源_01水果!$T$1)+N(对接源_02物料!$T$1),"02物料",""))</f>
        <v/>
      </c>
      <c r="C212" s="68" t="str">
        <f aca="false">IF($B212="","",IF($B212="01水果",IFERROR(INDEX(对接源_01水果!$B$5:$B$507,MATCH(ROW()-3,对接源_01水果!$Q$5:$Q$507,0)),""),IFERROR(INDEX(对接源_02物料!$B$5:$B$460,MATCH(ROW()-3-N(对接源_01水果!$T$1),对接源_02物料!$Q$5:$Q$460,0)),"")))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2" s="67" t="str">
        <f aca="false">IF($B212="","",IF($B212="01水果",IFERROR(INDEX(对接源_01水果!$C$5:$C$507,MATCH(ROW()-3,对接源_01水果!$Q$5:$Q$507,0)),""),IFERROR(INDEX(对接源_02物料!$C$5:$C$460,MATCH(ROW()-3-N(对接源_01水果!$T$1),对接源_02物料!$Q$5:$Q$460,0)),"")))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2" s="69" t="str">
        <f aca="false">IF($B212="","",IF($B212="01水果",IFERROR(INDEX(对接源_01水果!$D$5:$D$507,MATCH(ROW()-3,对接源_01水果!$Q$5:$Q$507,0)),""),IFERROR(INDEX(对接源_02物料!$D$5:$D$460,MATCH(ROW()-3-N(对接源_01水果!$T$1),对接源_02物料!$Q$5:$Q$460,0)),"")))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2" s="67" t="str">
        <f aca="false">IF($B212="","",IF($B212="01水果",IFERROR(INDEX(对接源_01水果!$E$5:$E$507,MATCH(ROW()-3,对接源_01水果!$Q$5:$Q$507,0)),""),IFERROR(INDEX(对接源_02物料!$E$5:$E$460,MATCH(ROW()-3-N(对接源_01水果!$T$1),对接源_02物料!$Q$5:$Q$460,0)),"")))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2" s="70" t="str">
        <f aca="false">IF($B212="","",IF($B212="01水果",IFERROR(INDEX(对接源_01水果!$F$5:$F$507,MATCH(ROW()-3,对接源_01水果!$Q$5:$Q$507,0)),""),IFERROR(INDEX(对接源_02物料!$F$5:$F$460,MATCH(ROW()-3-N(对接源_01水果!$T$1),对接源_02物料!$Q$5:$Q$460,0)),"")))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2" s="70" t="str">
        <f aca="false">IF($B212="","",IF($B212="01水果",IFERROR(INDEX(对接源_01水果!$G$5:$G$507,MATCH(ROW()-3,对接源_01水果!$Q$5:$Q$507,0)),""),IFERROR(INDEX(对接源_02物料!$G$5:$G$460,MATCH(ROW()-3-N(对接源_01水果!$T$1),对接源_02物料!$Q$5:$Q$460,0)),"")))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2" s="67" t="str">
        <f aca="false">IF(OR($D212="客户应收",$D212="成品销售款",$D212="公司购买果品款",$D212="筐子销售款",$D212="物料销售款"),"客户往来",IFERROR(INDEX(收入成本映射!$C$4:$C$34,MATCH($D212,收入成本映射!$B$4:$B$34,0)),"不记账"))</f>
        <v>不记账</v>
      </c>
      <c r="J212" s="67" t="str">
        <f aca="false">IF($B212="","","0%")</f>
        <v/>
      </c>
      <c r="K212" s="70" t="n">
        <f aca="false">IF($I212="不记账",0,ROUND(N($G212),2))</f>
        <v>0</v>
      </c>
      <c r="L212" s="70" t="n">
        <v>0</v>
      </c>
      <c r="M212" s="67" t="str">
        <f aca="false">IF(OR($I212="不记账",ROUND(N($G212),2)=0),"",IFERROR(INDEX(收入成本映射!$E$4:$E$34,MATCH($D212,收入成本映射!$B$4:$B$34,0)),""))</f>
        <v/>
      </c>
      <c r="N212" s="70" t="str">
        <f aca="false">IF($M212="","",ROUND(N($G212),2))</f>
        <v/>
      </c>
      <c r="O212" s="70" t="str">
        <f aca="false">IF($M212="","",0)</f>
        <v/>
      </c>
      <c r="P212" s="67" t="str">
        <f aca="false">IF($M212="","",IFERROR(INDEX(收入成本映射!$F$4:$F$34,MATCH($D212,收入成本映射!$B$4:$B$34,0)),""))</f>
        <v/>
      </c>
      <c r="Q212" s="70" t="str">
        <f aca="false">IF($P212="","",0)</f>
        <v/>
      </c>
      <c r="R212" s="70" t="str">
        <f aca="false">IF($P212="","",ROUND(N($G212),2))</f>
        <v/>
      </c>
      <c r="S212" s="67" t="str">
        <f aca="false">""</f>
        <v/>
      </c>
      <c r="T212" s="70" t="str">
        <f aca="false">IF($S212="","",0)</f>
        <v/>
      </c>
      <c r="U212" s="70" t="str">
        <f aca="false">IF($S212="","",0)</f>
        <v/>
      </c>
      <c r="V212" s="66" t="str">
        <f aca="false">IF($B212="","",IF($B212="01水果",IFERROR(INDEX(对接源_01水果!$H$5:$H$507,MATCH(ROW()-3,对接源_01水果!$Q$5:$Q$507,0)),""),IFERROR(INDEX(对接源_02物料!$H$5:$H$460,MATCH(ROW()-3-N(对接源_01水果!$T$1),对接源_02物料!$Q$5:$Q$460,0)),"")))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3" customFormat="false" ht="18" hidden="false" customHeight="true" outlineLevel="0" collapsed="false">
      <c r="A213" s="66" t="n">
        <v>210</v>
      </c>
      <c r="B213" s="67" t="str">
        <f aca="false">IF(ROW()-3&lt;=N(对接源_01水果!$T$1),"01水果",IF(ROW()-3&lt;=N(对接源_01水果!$T$1)+N(对接源_02物料!$T$1),"02物料",""))</f>
        <v/>
      </c>
      <c r="C213" s="68" t="str">
        <f aca="false">IF($B213="","",IF($B213="01水果",IFERROR(INDEX(对接源_01水果!$B$5:$B$507,MATCH(ROW()-3,对接源_01水果!$Q$5:$Q$507,0)),""),IFERROR(INDEX(对接源_02物料!$B$5:$B$460,MATCH(ROW()-3-N(对接源_01水果!$T$1),对接源_02物料!$Q$5:$Q$460,0)),"")))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3" s="67" t="str">
        <f aca="false">IF($B213="","",IF($B213="01水果",IFERROR(INDEX(对接源_01水果!$C$5:$C$507,MATCH(ROW()-3,对接源_01水果!$Q$5:$Q$507,0)),""),IFERROR(INDEX(对接源_02物料!$C$5:$C$460,MATCH(ROW()-3-N(对接源_01水果!$T$1),对接源_02物料!$Q$5:$Q$460,0)),"")))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3" s="69" t="str">
        <f aca="false">IF($B213="","",IF($B213="01水果",IFERROR(INDEX(对接源_01水果!$D$5:$D$507,MATCH(ROW()-3,对接源_01水果!$Q$5:$Q$507,0)),""),IFERROR(INDEX(对接源_02物料!$D$5:$D$460,MATCH(ROW()-3-N(对接源_01水果!$T$1),对接源_02物料!$Q$5:$Q$460,0)),"")))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3" s="67" t="str">
        <f aca="false">IF($B213="","",IF($B213="01水果",IFERROR(INDEX(对接源_01水果!$E$5:$E$507,MATCH(ROW()-3,对接源_01水果!$Q$5:$Q$507,0)),""),IFERROR(INDEX(对接源_02物料!$E$5:$E$460,MATCH(ROW()-3-N(对接源_01水果!$T$1),对接源_02物料!$Q$5:$Q$460,0)),"")))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3" s="70" t="str">
        <f aca="false">IF($B213="","",IF($B213="01水果",IFERROR(INDEX(对接源_01水果!$F$5:$F$507,MATCH(ROW()-3,对接源_01水果!$Q$5:$Q$507,0)),""),IFERROR(INDEX(对接源_02物料!$F$5:$F$460,MATCH(ROW()-3-N(对接源_01水果!$T$1),对接源_02物料!$Q$5:$Q$460,0)),"")))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3" s="70" t="str">
        <f aca="false">IF($B213="","",IF($B213="01水果",IFERROR(INDEX(对接源_01水果!$G$5:$G$507,MATCH(ROW()-3,对接源_01水果!$Q$5:$Q$507,0)),""),IFERROR(INDEX(对接源_02物料!$G$5:$G$460,MATCH(ROW()-3-N(对接源_01水果!$T$1),对接源_02物料!$Q$5:$Q$460,0)),"")))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3" s="67" t="str">
        <f aca="false">IF(OR($D213="客户应收",$D213="成品销售款",$D213="公司购买果品款",$D213="筐子销售款",$D213="物料销售款"),"客户往来",IFERROR(INDEX(收入成本映射!$C$4:$C$34,MATCH($D213,收入成本映射!$B$4:$B$34,0)),"不记账"))</f>
        <v>不记账</v>
      </c>
      <c r="J213" s="67" t="str">
        <f aca="false">IF($B213="","","0%")</f>
        <v/>
      </c>
      <c r="K213" s="70" t="n">
        <f aca="false">IF($I213="不记账",0,ROUND(N($G213),2))</f>
        <v>0</v>
      </c>
      <c r="L213" s="70" t="n">
        <v>0</v>
      </c>
      <c r="M213" s="67" t="str">
        <f aca="false">IF(OR($I213="不记账",ROUND(N($G213),2)=0),"",IFERROR(INDEX(收入成本映射!$E$4:$E$34,MATCH($D213,收入成本映射!$B$4:$B$34,0)),""))</f>
        <v/>
      </c>
      <c r="N213" s="70" t="str">
        <f aca="false">IF($M213="","",ROUND(N($G213),2))</f>
        <v/>
      </c>
      <c r="O213" s="70" t="str">
        <f aca="false">IF($M213="","",0)</f>
        <v/>
      </c>
      <c r="P213" s="67" t="str">
        <f aca="false">IF($M213="","",IFERROR(INDEX(收入成本映射!$F$4:$F$34,MATCH($D213,收入成本映射!$B$4:$B$34,0)),""))</f>
        <v/>
      </c>
      <c r="Q213" s="70" t="str">
        <f aca="false">IF($P213="","",0)</f>
        <v/>
      </c>
      <c r="R213" s="70" t="str">
        <f aca="false">IF($P213="","",ROUND(N($G213),2))</f>
        <v/>
      </c>
      <c r="S213" s="67" t="str">
        <f aca="false">""</f>
        <v/>
      </c>
      <c r="T213" s="70" t="str">
        <f aca="false">IF($S213="","",0)</f>
        <v/>
      </c>
      <c r="U213" s="70" t="str">
        <f aca="false">IF($S213="","",0)</f>
        <v/>
      </c>
      <c r="V213" s="66" t="str">
        <f aca="false">IF($B213="","",IF($B213="01水果",IFERROR(INDEX(对接源_01水果!$H$5:$H$507,MATCH(ROW()-3,对接源_01水果!$Q$5:$Q$507,0)),""),IFERROR(INDEX(对接源_02物料!$H$5:$H$460,MATCH(ROW()-3-N(对接源_01水果!$T$1),对接源_02物料!$Q$5:$Q$460,0)),"")))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4" customFormat="false" ht="18" hidden="false" customHeight="true" outlineLevel="0" collapsed="false">
      <c r="A214" s="66" t="n">
        <v>211</v>
      </c>
      <c r="B214" s="67" t="str">
        <f aca="false">IF(ROW()-3&lt;=N(对接源_01水果!$T$1),"01水果",IF(ROW()-3&lt;=N(对接源_01水果!$T$1)+N(对接源_02物料!$T$1),"02物料",""))</f>
        <v/>
      </c>
      <c r="C214" s="68" t="str">
        <f aca="false">IF($B214="","",IF($B214="01水果",IFERROR(INDEX(对接源_01水果!$B$5:$B$507,MATCH(ROW()-3,对接源_01水果!$Q$5:$Q$507,0)),""),IFERROR(INDEX(对接源_02物料!$B$5:$B$460,MATCH(ROW()-3-N(对接源_01水果!$T$1),对接源_02物料!$Q$5:$Q$460,0)),"")))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4" s="67" t="str">
        <f aca="false">IF($B214="","",IF($B214="01水果",IFERROR(INDEX(对接源_01水果!$C$5:$C$507,MATCH(ROW()-3,对接源_01水果!$Q$5:$Q$507,0)),""),IFERROR(INDEX(对接源_02物料!$C$5:$C$460,MATCH(ROW()-3-N(对接源_01水果!$T$1),对接源_02物料!$Q$5:$Q$460,0)),"")))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4" s="69" t="str">
        <f aca="false">IF($B214="","",IF($B214="01水果",IFERROR(INDEX(对接源_01水果!$D$5:$D$507,MATCH(ROW()-3,对接源_01水果!$Q$5:$Q$507,0)),""),IFERROR(INDEX(对接源_02物料!$D$5:$D$460,MATCH(ROW()-3-N(对接源_01水果!$T$1),对接源_02物料!$Q$5:$Q$460,0)),"")))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4" s="67" t="str">
        <f aca="false">IF($B214="","",IF($B214="01水果",IFERROR(INDEX(对接源_01水果!$E$5:$E$507,MATCH(ROW()-3,对接源_01水果!$Q$5:$Q$507,0)),""),IFERROR(INDEX(对接源_02物料!$E$5:$E$460,MATCH(ROW()-3-N(对接源_01水果!$T$1),对接源_02物料!$Q$5:$Q$460,0)),"")))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4" s="70" t="str">
        <f aca="false">IF($B214="","",IF($B214="01水果",IFERROR(INDEX(对接源_01水果!$F$5:$F$507,MATCH(ROW()-3,对接源_01水果!$Q$5:$Q$507,0)),""),IFERROR(INDEX(对接源_02物料!$F$5:$F$460,MATCH(ROW()-3-N(对接源_01水果!$T$1),对接源_02物料!$Q$5:$Q$460,0)),"")))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4" s="70" t="str">
        <f aca="false">IF($B214="","",IF($B214="01水果",IFERROR(INDEX(对接源_01水果!$G$5:$G$507,MATCH(ROW()-3,对接源_01水果!$Q$5:$Q$507,0)),""),IFERROR(INDEX(对接源_02物料!$G$5:$G$460,MATCH(ROW()-3-N(对接源_01水果!$T$1),对接源_02物料!$Q$5:$Q$460,0)),"")))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4" s="67" t="str">
        <f aca="false">IF(OR($D214="客户应收",$D214="成品销售款",$D214="公司购买果品款",$D214="筐子销售款",$D214="物料销售款"),"客户往来",IFERROR(INDEX(收入成本映射!$C$4:$C$34,MATCH($D214,收入成本映射!$B$4:$B$34,0)),"不记账"))</f>
        <v>不记账</v>
      </c>
      <c r="J214" s="67" t="str">
        <f aca="false">IF($B214="","","0%")</f>
        <v/>
      </c>
      <c r="K214" s="70" t="n">
        <f aca="false">IF($I214="不记账",0,ROUND(N($G214),2))</f>
        <v>0</v>
      </c>
      <c r="L214" s="70" t="n">
        <v>0</v>
      </c>
      <c r="M214" s="67" t="str">
        <f aca="false">IF(OR($I214="不记账",ROUND(N($G214),2)=0),"",IFERROR(INDEX(收入成本映射!$E$4:$E$34,MATCH($D214,收入成本映射!$B$4:$B$34,0)),""))</f>
        <v/>
      </c>
      <c r="N214" s="70" t="str">
        <f aca="false">IF($M214="","",ROUND(N($G214),2))</f>
        <v/>
      </c>
      <c r="O214" s="70" t="str">
        <f aca="false">IF($M214="","",0)</f>
        <v/>
      </c>
      <c r="P214" s="67" t="str">
        <f aca="false">IF($M214="","",IFERROR(INDEX(收入成本映射!$F$4:$F$34,MATCH($D214,收入成本映射!$B$4:$B$34,0)),""))</f>
        <v/>
      </c>
      <c r="Q214" s="70" t="str">
        <f aca="false">IF($P214="","",0)</f>
        <v/>
      </c>
      <c r="R214" s="70" t="str">
        <f aca="false">IF($P214="","",ROUND(N($G214),2))</f>
        <v/>
      </c>
      <c r="S214" s="67" t="str">
        <f aca="false">""</f>
        <v/>
      </c>
      <c r="T214" s="70" t="str">
        <f aca="false">IF($S214="","",0)</f>
        <v/>
      </c>
      <c r="U214" s="70" t="str">
        <f aca="false">IF($S214="","",0)</f>
        <v/>
      </c>
      <c r="V214" s="66" t="str">
        <f aca="false">IF($B214="","",IF($B214="01水果",IFERROR(INDEX(对接源_01水果!$H$5:$H$507,MATCH(ROW()-3,对接源_01水果!$Q$5:$Q$507,0)),""),IFERROR(INDEX(对接源_02物料!$H$5:$H$460,MATCH(ROW()-3-N(对接源_01水果!$T$1),对接源_02物料!$Q$5:$Q$460,0)),"")))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5" customFormat="false" ht="18" hidden="false" customHeight="true" outlineLevel="0" collapsed="false">
      <c r="A215" s="66" t="n">
        <v>212</v>
      </c>
      <c r="B215" s="67" t="str">
        <f aca="false">IF(ROW()-3&lt;=N(对接源_01水果!$T$1),"01水果",IF(ROW()-3&lt;=N(对接源_01水果!$T$1)+N(对接源_02物料!$T$1),"02物料",""))</f>
        <v/>
      </c>
      <c r="C215" s="68" t="str">
        <f aca="false">IF($B215="","",IF($B215="01水果",IFERROR(INDEX(对接源_01水果!$B$5:$B$507,MATCH(ROW()-3,对接源_01水果!$Q$5:$Q$507,0)),""),IFERROR(INDEX(对接源_02物料!$B$5:$B$460,MATCH(ROW()-3-N(对接源_01水果!$T$1),对接源_02物料!$Q$5:$Q$460,0)),"")))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5" s="67" t="str">
        <f aca="false">IF($B215="","",IF($B215="01水果",IFERROR(INDEX(对接源_01水果!$C$5:$C$507,MATCH(ROW()-3,对接源_01水果!$Q$5:$Q$507,0)),""),IFERROR(INDEX(对接源_02物料!$C$5:$C$460,MATCH(ROW()-3-N(对接源_01水果!$T$1),对接源_02物料!$Q$5:$Q$460,0)),"")))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5" s="69" t="str">
        <f aca="false">IF($B215="","",IF($B215="01水果",IFERROR(INDEX(对接源_01水果!$D$5:$D$507,MATCH(ROW()-3,对接源_01水果!$Q$5:$Q$507,0)),""),IFERROR(INDEX(对接源_02物料!$D$5:$D$460,MATCH(ROW()-3-N(对接源_01水果!$T$1),对接源_02物料!$Q$5:$Q$460,0)),"")))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5" s="67" t="str">
        <f aca="false">IF($B215="","",IF($B215="01水果",IFERROR(INDEX(对接源_01水果!$E$5:$E$507,MATCH(ROW()-3,对接源_01水果!$Q$5:$Q$507,0)),""),IFERROR(INDEX(对接源_02物料!$E$5:$E$460,MATCH(ROW()-3-N(对接源_01水果!$T$1),对接源_02物料!$Q$5:$Q$460,0)),"")))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5" s="70" t="str">
        <f aca="false">IF($B215="","",IF($B215="01水果",IFERROR(INDEX(对接源_01水果!$F$5:$F$507,MATCH(ROW()-3,对接源_01水果!$Q$5:$Q$507,0)),""),IFERROR(INDEX(对接源_02物料!$F$5:$F$460,MATCH(ROW()-3-N(对接源_01水果!$T$1),对接源_02物料!$Q$5:$Q$460,0)),"")))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5" s="70" t="str">
        <f aca="false">IF($B215="","",IF($B215="01水果",IFERROR(INDEX(对接源_01水果!$G$5:$G$507,MATCH(ROW()-3,对接源_01水果!$Q$5:$Q$507,0)),""),IFERROR(INDEX(对接源_02物料!$G$5:$G$460,MATCH(ROW()-3-N(对接源_01水果!$T$1),对接源_02物料!$Q$5:$Q$460,0)),"")))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5" s="67" t="str">
        <f aca="false">IF(OR($D215="客户应收",$D215="成品销售款",$D215="公司购买果品款",$D215="筐子销售款",$D215="物料销售款"),"客户往来",IFERROR(INDEX(收入成本映射!$C$4:$C$34,MATCH($D215,收入成本映射!$B$4:$B$34,0)),"不记账"))</f>
        <v>不记账</v>
      </c>
      <c r="J215" s="67" t="str">
        <f aca="false">IF($B215="","","0%")</f>
        <v/>
      </c>
      <c r="K215" s="70" t="n">
        <f aca="false">IF($I215="不记账",0,ROUND(N($G215),2))</f>
        <v>0</v>
      </c>
      <c r="L215" s="70" t="n">
        <v>0</v>
      </c>
      <c r="M215" s="67" t="str">
        <f aca="false">IF(OR($I215="不记账",ROUND(N($G215),2)=0),"",IFERROR(INDEX(收入成本映射!$E$4:$E$34,MATCH($D215,收入成本映射!$B$4:$B$34,0)),""))</f>
        <v/>
      </c>
      <c r="N215" s="70" t="str">
        <f aca="false">IF($M215="","",ROUND(N($G215),2))</f>
        <v/>
      </c>
      <c r="O215" s="70" t="str">
        <f aca="false">IF($M215="","",0)</f>
        <v/>
      </c>
      <c r="P215" s="67" t="str">
        <f aca="false">IF($M215="","",IFERROR(INDEX(收入成本映射!$F$4:$F$34,MATCH($D215,收入成本映射!$B$4:$B$34,0)),""))</f>
        <v/>
      </c>
      <c r="Q215" s="70" t="str">
        <f aca="false">IF($P215="","",0)</f>
        <v/>
      </c>
      <c r="R215" s="70" t="str">
        <f aca="false">IF($P215="","",ROUND(N($G215),2))</f>
        <v/>
      </c>
      <c r="S215" s="67" t="str">
        <f aca="false">""</f>
        <v/>
      </c>
      <c r="T215" s="70" t="str">
        <f aca="false">IF($S215="","",0)</f>
        <v/>
      </c>
      <c r="U215" s="70" t="str">
        <f aca="false">IF($S215="","",0)</f>
        <v/>
      </c>
      <c r="V215" s="66" t="str">
        <f aca="false">IF($B215="","",IF($B215="01水果",IFERROR(INDEX(对接源_01水果!$H$5:$H$507,MATCH(ROW()-3,对接源_01水果!$Q$5:$Q$507,0)),""),IFERROR(INDEX(对接源_02物料!$H$5:$H$460,MATCH(ROW()-3-N(对接源_01水果!$T$1),对接源_02物料!$Q$5:$Q$460,0)),"")))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6" customFormat="false" ht="18" hidden="false" customHeight="true" outlineLevel="0" collapsed="false">
      <c r="A216" s="66" t="n">
        <v>213</v>
      </c>
      <c r="B216" s="67" t="str">
        <f aca="false">IF(ROW()-3&lt;=N(对接源_01水果!$T$1),"01水果",IF(ROW()-3&lt;=N(对接源_01水果!$T$1)+N(对接源_02物料!$T$1),"02物料",""))</f>
        <v/>
      </c>
      <c r="C216" s="68" t="str">
        <f aca="false">IF($B216="","",IF($B216="01水果",IFERROR(INDEX(对接源_01水果!$B$5:$B$507,MATCH(ROW()-3,对接源_01水果!$Q$5:$Q$507,0)),""),IFERROR(INDEX(对接源_02物料!$B$5:$B$460,MATCH(ROW()-3-N(对接源_01水果!$T$1),对接源_02物料!$Q$5:$Q$460,0)),"")))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6" s="67" t="str">
        <f aca="false">IF($B216="","",IF($B216="01水果",IFERROR(INDEX(对接源_01水果!$C$5:$C$507,MATCH(ROW()-3,对接源_01水果!$Q$5:$Q$507,0)),""),IFERROR(INDEX(对接源_02物料!$C$5:$C$460,MATCH(ROW()-3-N(对接源_01水果!$T$1),对接源_02物料!$Q$5:$Q$460,0)),"")))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6" s="69" t="str">
        <f aca="false">IF($B216="","",IF($B216="01水果",IFERROR(INDEX(对接源_01水果!$D$5:$D$507,MATCH(ROW()-3,对接源_01水果!$Q$5:$Q$507,0)),""),IFERROR(INDEX(对接源_02物料!$D$5:$D$460,MATCH(ROW()-3-N(对接源_01水果!$T$1),对接源_02物料!$Q$5:$Q$460,0)),"")))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6" s="67" t="str">
        <f aca="false">IF($B216="","",IF($B216="01水果",IFERROR(INDEX(对接源_01水果!$E$5:$E$507,MATCH(ROW()-3,对接源_01水果!$Q$5:$Q$507,0)),""),IFERROR(INDEX(对接源_02物料!$E$5:$E$460,MATCH(ROW()-3-N(对接源_01水果!$T$1),对接源_02物料!$Q$5:$Q$460,0)),"")))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6" s="70" t="str">
        <f aca="false">IF($B216="","",IF($B216="01水果",IFERROR(INDEX(对接源_01水果!$F$5:$F$507,MATCH(ROW()-3,对接源_01水果!$Q$5:$Q$507,0)),""),IFERROR(INDEX(对接源_02物料!$F$5:$F$460,MATCH(ROW()-3-N(对接源_01水果!$T$1),对接源_02物料!$Q$5:$Q$460,0)),"")))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6" s="70" t="str">
        <f aca="false">IF($B216="","",IF($B216="01水果",IFERROR(INDEX(对接源_01水果!$G$5:$G$507,MATCH(ROW()-3,对接源_01水果!$Q$5:$Q$507,0)),""),IFERROR(INDEX(对接源_02物料!$G$5:$G$460,MATCH(ROW()-3-N(对接源_01水果!$T$1),对接源_02物料!$Q$5:$Q$460,0)),"")))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6" s="67" t="str">
        <f aca="false">IF(OR($D216="客户应收",$D216="成品销售款",$D216="公司购买果品款",$D216="筐子销售款",$D216="物料销售款"),"客户往来",IFERROR(INDEX(收入成本映射!$C$4:$C$34,MATCH($D216,收入成本映射!$B$4:$B$34,0)),"不记账"))</f>
        <v>不记账</v>
      </c>
      <c r="J216" s="67" t="str">
        <f aca="false">IF($B216="","","0%")</f>
        <v/>
      </c>
      <c r="K216" s="70" t="n">
        <f aca="false">IF($I216="不记账",0,ROUND(N($G216),2))</f>
        <v>0</v>
      </c>
      <c r="L216" s="70" t="n">
        <v>0</v>
      </c>
      <c r="M216" s="67" t="str">
        <f aca="false">IF(OR($I216="不记账",ROUND(N($G216),2)=0),"",IFERROR(INDEX(收入成本映射!$E$4:$E$34,MATCH($D216,收入成本映射!$B$4:$B$34,0)),""))</f>
        <v/>
      </c>
      <c r="N216" s="70" t="str">
        <f aca="false">IF($M216="","",ROUND(N($G216),2))</f>
        <v/>
      </c>
      <c r="O216" s="70" t="str">
        <f aca="false">IF($M216="","",0)</f>
        <v/>
      </c>
      <c r="P216" s="67" t="str">
        <f aca="false">IF($M216="","",IFERROR(INDEX(收入成本映射!$F$4:$F$34,MATCH($D216,收入成本映射!$B$4:$B$34,0)),""))</f>
        <v/>
      </c>
      <c r="Q216" s="70" t="str">
        <f aca="false">IF($P216="","",0)</f>
        <v/>
      </c>
      <c r="R216" s="70" t="str">
        <f aca="false">IF($P216="","",ROUND(N($G216),2))</f>
        <v/>
      </c>
      <c r="S216" s="67" t="str">
        <f aca="false">""</f>
        <v/>
      </c>
      <c r="T216" s="70" t="str">
        <f aca="false">IF($S216="","",0)</f>
        <v/>
      </c>
      <c r="U216" s="70" t="str">
        <f aca="false">IF($S216="","",0)</f>
        <v/>
      </c>
      <c r="V216" s="66" t="str">
        <f aca="false">IF($B216="","",IF($B216="01水果",IFERROR(INDEX(对接源_01水果!$H$5:$H$507,MATCH(ROW()-3,对接源_01水果!$Q$5:$Q$507,0)),""),IFERROR(INDEX(对接源_02物料!$H$5:$H$460,MATCH(ROW()-3-N(对接源_01水果!$T$1),对接源_02物料!$Q$5:$Q$460,0)),"")))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7" customFormat="false" ht="18" hidden="false" customHeight="true" outlineLevel="0" collapsed="false">
      <c r="A217" s="66" t="n">
        <v>214</v>
      </c>
      <c r="B217" s="67" t="str">
        <f aca="false">IF(ROW()-3&lt;=N(对接源_01水果!$T$1),"01水果",IF(ROW()-3&lt;=N(对接源_01水果!$T$1)+N(对接源_02物料!$T$1),"02物料",""))</f>
        <v/>
      </c>
      <c r="C217" s="68" t="str">
        <f aca="false">IF($B217="","",IF($B217="01水果",IFERROR(INDEX(对接源_01水果!$B$5:$B$507,MATCH(ROW()-3,对接源_01水果!$Q$5:$Q$507,0)),""),IFERROR(INDEX(对接源_02物料!$B$5:$B$460,MATCH(ROW()-3-N(对接源_01水果!$T$1),对接源_02物料!$Q$5:$Q$460,0)),"")))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7" s="67" t="str">
        <f aca="false">IF($B217="","",IF($B217="01水果",IFERROR(INDEX(对接源_01水果!$C$5:$C$507,MATCH(ROW()-3,对接源_01水果!$Q$5:$Q$507,0)),""),IFERROR(INDEX(对接源_02物料!$C$5:$C$460,MATCH(ROW()-3-N(对接源_01水果!$T$1),对接源_02物料!$Q$5:$Q$460,0)),"")))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7" s="69" t="str">
        <f aca="false">IF($B217="","",IF($B217="01水果",IFERROR(INDEX(对接源_01水果!$D$5:$D$507,MATCH(ROW()-3,对接源_01水果!$Q$5:$Q$507,0)),""),IFERROR(INDEX(对接源_02物料!$D$5:$D$460,MATCH(ROW()-3-N(对接源_01水果!$T$1),对接源_02物料!$Q$5:$Q$460,0)),"")))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7" s="67" t="str">
        <f aca="false">IF($B217="","",IF($B217="01水果",IFERROR(INDEX(对接源_01水果!$E$5:$E$507,MATCH(ROW()-3,对接源_01水果!$Q$5:$Q$507,0)),""),IFERROR(INDEX(对接源_02物料!$E$5:$E$460,MATCH(ROW()-3-N(对接源_01水果!$T$1),对接源_02物料!$Q$5:$Q$460,0)),"")))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7" s="70" t="str">
        <f aca="false">IF($B217="","",IF($B217="01水果",IFERROR(INDEX(对接源_01水果!$F$5:$F$507,MATCH(ROW()-3,对接源_01水果!$Q$5:$Q$507,0)),""),IFERROR(INDEX(对接源_02物料!$F$5:$F$460,MATCH(ROW()-3-N(对接源_01水果!$T$1),对接源_02物料!$Q$5:$Q$460,0)),"")))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7" s="70" t="str">
        <f aca="false">IF($B217="","",IF($B217="01水果",IFERROR(INDEX(对接源_01水果!$G$5:$G$507,MATCH(ROW()-3,对接源_01水果!$Q$5:$Q$507,0)),""),IFERROR(INDEX(对接源_02物料!$G$5:$G$460,MATCH(ROW()-3-N(对接源_01水果!$T$1),对接源_02物料!$Q$5:$Q$460,0)),"")))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7" s="67" t="str">
        <f aca="false">IF(OR($D217="客户应收",$D217="成品销售款",$D217="公司购买果品款",$D217="筐子销售款",$D217="物料销售款"),"客户往来",IFERROR(INDEX(收入成本映射!$C$4:$C$34,MATCH($D217,收入成本映射!$B$4:$B$34,0)),"不记账"))</f>
        <v>不记账</v>
      </c>
      <c r="J217" s="67" t="str">
        <f aca="false">IF($B217="","","0%")</f>
        <v/>
      </c>
      <c r="K217" s="70" t="n">
        <f aca="false">IF($I217="不记账",0,ROUND(N($G217),2))</f>
        <v>0</v>
      </c>
      <c r="L217" s="70" t="n">
        <v>0</v>
      </c>
      <c r="M217" s="67" t="str">
        <f aca="false">IF(OR($I217="不记账",ROUND(N($G217),2)=0),"",IFERROR(INDEX(收入成本映射!$E$4:$E$34,MATCH($D217,收入成本映射!$B$4:$B$34,0)),""))</f>
        <v/>
      </c>
      <c r="N217" s="70" t="str">
        <f aca="false">IF($M217="","",ROUND(N($G217),2))</f>
        <v/>
      </c>
      <c r="O217" s="70" t="str">
        <f aca="false">IF($M217="","",0)</f>
        <v/>
      </c>
      <c r="P217" s="67" t="str">
        <f aca="false">IF($M217="","",IFERROR(INDEX(收入成本映射!$F$4:$F$34,MATCH($D217,收入成本映射!$B$4:$B$34,0)),""))</f>
        <v/>
      </c>
      <c r="Q217" s="70" t="str">
        <f aca="false">IF($P217="","",0)</f>
        <v/>
      </c>
      <c r="R217" s="70" t="str">
        <f aca="false">IF($P217="","",ROUND(N($G217),2))</f>
        <v/>
      </c>
      <c r="S217" s="67" t="str">
        <f aca="false">""</f>
        <v/>
      </c>
      <c r="T217" s="70" t="str">
        <f aca="false">IF($S217="","",0)</f>
        <v/>
      </c>
      <c r="U217" s="70" t="str">
        <f aca="false">IF($S217="","",0)</f>
        <v/>
      </c>
      <c r="V217" s="66" t="str">
        <f aca="false">IF($B217="","",IF($B217="01水果",IFERROR(INDEX(对接源_01水果!$H$5:$H$507,MATCH(ROW()-3,对接源_01水果!$Q$5:$Q$507,0)),""),IFERROR(INDEX(对接源_02物料!$H$5:$H$460,MATCH(ROW()-3-N(对接源_01水果!$T$1),对接源_02物料!$Q$5:$Q$460,0)),"")))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8" customFormat="false" ht="18" hidden="false" customHeight="true" outlineLevel="0" collapsed="false">
      <c r="A218" s="66" t="n">
        <v>215</v>
      </c>
      <c r="B218" s="67" t="str">
        <f aca="false">IF(ROW()-3&lt;=N(对接源_01水果!$T$1),"01水果",IF(ROW()-3&lt;=N(对接源_01水果!$T$1)+N(对接源_02物料!$T$1),"02物料",""))</f>
        <v/>
      </c>
      <c r="C218" s="68" t="str">
        <f aca="false">IF($B218="","",IF($B218="01水果",IFERROR(INDEX(对接源_01水果!$B$5:$B$507,MATCH(ROW()-3,对接源_01水果!$Q$5:$Q$507,0)),""),IFERROR(INDEX(对接源_02物料!$B$5:$B$460,MATCH(ROW()-3-N(对接源_01水果!$T$1),对接源_02物料!$Q$5:$Q$460,0)),"")))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8" s="67" t="str">
        <f aca="false">IF($B218="","",IF($B218="01水果",IFERROR(INDEX(对接源_01水果!$C$5:$C$507,MATCH(ROW()-3,对接源_01水果!$Q$5:$Q$507,0)),""),IFERROR(INDEX(对接源_02物料!$C$5:$C$460,MATCH(ROW()-3-N(对接源_01水果!$T$1),对接源_02物料!$Q$5:$Q$460,0)),"")))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8" s="69" t="str">
        <f aca="false">IF($B218="","",IF($B218="01水果",IFERROR(INDEX(对接源_01水果!$D$5:$D$507,MATCH(ROW()-3,对接源_01水果!$Q$5:$Q$507,0)),""),IFERROR(INDEX(对接源_02物料!$D$5:$D$460,MATCH(ROW()-3-N(对接源_01水果!$T$1),对接源_02物料!$Q$5:$Q$460,0)),"")))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8" s="67" t="str">
        <f aca="false">IF($B218="","",IF($B218="01水果",IFERROR(INDEX(对接源_01水果!$E$5:$E$507,MATCH(ROW()-3,对接源_01水果!$Q$5:$Q$507,0)),""),IFERROR(INDEX(对接源_02物料!$E$5:$E$460,MATCH(ROW()-3-N(对接源_01水果!$T$1),对接源_02物料!$Q$5:$Q$460,0)),"")))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8" s="70" t="str">
        <f aca="false">IF($B218="","",IF($B218="01水果",IFERROR(INDEX(对接源_01水果!$F$5:$F$507,MATCH(ROW()-3,对接源_01水果!$Q$5:$Q$507,0)),""),IFERROR(INDEX(对接源_02物料!$F$5:$F$460,MATCH(ROW()-3-N(对接源_01水果!$T$1),对接源_02物料!$Q$5:$Q$460,0)),"")))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8" s="70" t="str">
        <f aca="false">IF($B218="","",IF($B218="01水果",IFERROR(INDEX(对接源_01水果!$G$5:$G$507,MATCH(ROW()-3,对接源_01水果!$Q$5:$Q$507,0)),""),IFERROR(INDEX(对接源_02物料!$G$5:$G$460,MATCH(ROW()-3-N(对接源_01水果!$T$1),对接源_02物料!$Q$5:$Q$460,0)),"")))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8" s="67" t="str">
        <f aca="false">IF(OR($D218="客户应收",$D218="成品销售款",$D218="公司购买果品款",$D218="筐子销售款",$D218="物料销售款"),"客户往来",IFERROR(INDEX(收入成本映射!$C$4:$C$34,MATCH($D218,收入成本映射!$B$4:$B$34,0)),"不记账"))</f>
        <v>不记账</v>
      </c>
      <c r="J218" s="67" t="str">
        <f aca="false">IF($B218="","","0%")</f>
        <v/>
      </c>
      <c r="K218" s="70" t="n">
        <f aca="false">IF($I218="不记账",0,ROUND(N($G218),2))</f>
        <v>0</v>
      </c>
      <c r="L218" s="70" t="n">
        <v>0</v>
      </c>
      <c r="M218" s="67" t="str">
        <f aca="false">IF(OR($I218="不记账",ROUND(N($G218),2)=0),"",IFERROR(INDEX(收入成本映射!$E$4:$E$34,MATCH($D218,收入成本映射!$B$4:$B$34,0)),""))</f>
        <v/>
      </c>
      <c r="N218" s="70" t="str">
        <f aca="false">IF($M218="","",ROUND(N($G218),2))</f>
        <v/>
      </c>
      <c r="O218" s="70" t="str">
        <f aca="false">IF($M218="","",0)</f>
        <v/>
      </c>
      <c r="P218" s="67" t="str">
        <f aca="false">IF($M218="","",IFERROR(INDEX(收入成本映射!$F$4:$F$34,MATCH($D218,收入成本映射!$B$4:$B$34,0)),""))</f>
        <v/>
      </c>
      <c r="Q218" s="70" t="str">
        <f aca="false">IF($P218="","",0)</f>
        <v/>
      </c>
      <c r="R218" s="70" t="str">
        <f aca="false">IF($P218="","",ROUND(N($G218),2))</f>
        <v/>
      </c>
      <c r="S218" s="67" t="str">
        <f aca="false">""</f>
        <v/>
      </c>
      <c r="T218" s="70" t="str">
        <f aca="false">IF($S218="","",0)</f>
        <v/>
      </c>
      <c r="U218" s="70" t="str">
        <f aca="false">IF($S218="","",0)</f>
        <v/>
      </c>
      <c r="V218" s="66" t="str">
        <f aca="false">IF($B218="","",IF($B218="01水果",IFERROR(INDEX(对接源_01水果!$H$5:$H$507,MATCH(ROW()-3,对接源_01水果!$Q$5:$Q$507,0)),""),IFERROR(INDEX(对接源_02物料!$H$5:$H$460,MATCH(ROW()-3-N(对接源_01水果!$T$1),对接源_02物料!$Q$5:$Q$460,0)),"")))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19" customFormat="false" ht="18" hidden="false" customHeight="true" outlineLevel="0" collapsed="false">
      <c r="A219" s="66" t="n">
        <v>216</v>
      </c>
      <c r="B219" s="67" t="str">
        <f aca="false">IF(ROW()-3&lt;=N(对接源_01水果!$T$1),"01水果",IF(ROW()-3&lt;=N(对接源_01水果!$T$1)+N(对接源_02物料!$T$1),"02物料",""))</f>
        <v/>
      </c>
      <c r="C219" s="68" t="str">
        <f aca="false">IF($B219="","",IF($B219="01水果",IFERROR(INDEX(对接源_01水果!$B$5:$B$507,MATCH(ROW()-3,对接源_01水果!$Q$5:$Q$507,0)),""),IFERROR(INDEX(对接源_02物料!$B$5:$B$460,MATCH(ROW()-3-N(对接源_01水果!$T$1),对接源_02物料!$Q$5:$Q$460,0)),"")))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19" s="67" t="str">
        <f aca="false">IF($B219="","",IF($B219="01水果",IFERROR(INDEX(对接源_01水果!$C$5:$C$507,MATCH(ROW()-3,对接源_01水果!$Q$5:$Q$507,0)),""),IFERROR(INDEX(对接源_02物料!$C$5:$C$460,MATCH(ROW()-3-N(对接源_01水果!$T$1),对接源_02物料!$Q$5:$Q$460,0)),"")))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19" s="69" t="str">
        <f aca="false">IF($B219="","",IF($B219="01水果",IFERROR(INDEX(对接源_01水果!$D$5:$D$507,MATCH(ROW()-3,对接源_01水果!$Q$5:$Q$507,0)),""),IFERROR(INDEX(对接源_02物料!$D$5:$D$460,MATCH(ROW()-3-N(对接源_01水果!$T$1),对接源_02物料!$Q$5:$Q$460,0)),"")))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19" s="67" t="str">
        <f aca="false">IF($B219="","",IF($B219="01水果",IFERROR(INDEX(对接源_01水果!$E$5:$E$507,MATCH(ROW()-3,对接源_01水果!$Q$5:$Q$507,0)),""),IFERROR(INDEX(对接源_02物料!$E$5:$E$460,MATCH(ROW()-3-N(对接源_01水果!$T$1),对接源_02物料!$Q$5:$Q$460,0)),"")))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19" s="70" t="str">
        <f aca="false">IF($B219="","",IF($B219="01水果",IFERROR(INDEX(对接源_01水果!$F$5:$F$507,MATCH(ROW()-3,对接源_01水果!$Q$5:$Q$507,0)),""),IFERROR(INDEX(对接源_02物料!$F$5:$F$460,MATCH(ROW()-3-N(对接源_01水果!$T$1),对接源_02物料!$Q$5:$Q$460,0)),"")))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19" s="70" t="str">
        <f aca="false">IF($B219="","",IF($B219="01水果",IFERROR(INDEX(对接源_01水果!$G$5:$G$507,MATCH(ROW()-3,对接源_01水果!$Q$5:$Q$507,0)),""),IFERROR(INDEX(对接源_02物料!$G$5:$G$460,MATCH(ROW()-3-N(对接源_01水果!$T$1),对接源_02物料!$Q$5:$Q$460,0)),"")))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19" s="67" t="str">
        <f aca="false">IF(OR($D219="客户应收",$D219="成品销售款",$D219="公司购买果品款",$D219="筐子销售款",$D219="物料销售款"),"客户往来",IFERROR(INDEX(收入成本映射!$C$4:$C$34,MATCH($D219,收入成本映射!$B$4:$B$34,0)),"不记账"))</f>
        <v>不记账</v>
      </c>
      <c r="J219" s="67" t="str">
        <f aca="false">IF($B219="","","0%")</f>
        <v/>
      </c>
      <c r="K219" s="70" t="n">
        <f aca="false">IF($I219="不记账",0,ROUND(N($G219),2))</f>
        <v>0</v>
      </c>
      <c r="L219" s="70" t="n">
        <v>0</v>
      </c>
      <c r="M219" s="67" t="str">
        <f aca="false">IF(OR($I219="不记账",ROUND(N($G219),2)=0),"",IFERROR(INDEX(收入成本映射!$E$4:$E$34,MATCH($D219,收入成本映射!$B$4:$B$34,0)),""))</f>
        <v/>
      </c>
      <c r="N219" s="70" t="str">
        <f aca="false">IF($M219="","",ROUND(N($G219),2))</f>
        <v/>
      </c>
      <c r="O219" s="70" t="str">
        <f aca="false">IF($M219="","",0)</f>
        <v/>
      </c>
      <c r="P219" s="67" t="str">
        <f aca="false">IF($M219="","",IFERROR(INDEX(收入成本映射!$F$4:$F$34,MATCH($D219,收入成本映射!$B$4:$B$34,0)),""))</f>
        <v/>
      </c>
      <c r="Q219" s="70" t="str">
        <f aca="false">IF($P219="","",0)</f>
        <v/>
      </c>
      <c r="R219" s="70" t="str">
        <f aca="false">IF($P219="","",ROUND(N($G219),2))</f>
        <v/>
      </c>
      <c r="S219" s="67" t="str">
        <f aca="false">""</f>
        <v/>
      </c>
      <c r="T219" s="70" t="str">
        <f aca="false">IF($S219="","",0)</f>
        <v/>
      </c>
      <c r="U219" s="70" t="str">
        <f aca="false">IF($S219="","",0)</f>
        <v/>
      </c>
      <c r="V219" s="66" t="str">
        <f aca="false">IF($B219="","",IF($B219="01水果",IFERROR(INDEX(对接源_01水果!$H$5:$H$507,MATCH(ROW()-3,对接源_01水果!$Q$5:$Q$507,0)),""),IFERROR(INDEX(对接源_02物料!$H$5:$H$460,MATCH(ROW()-3-N(对接源_01水果!$T$1),对接源_02物料!$Q$5:$Q$460,0)),"")))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0" customFormat="false" ht="18" hidden="false" customHeight="true" outlineLevel="0" collapsed="false">
      <c r="A220" s="66" t="n">
        <v>217</v>
      </c>
      <c r="B220" s="67" t="str">
        <f aca="false">IF(ROW()-3&lt;=N(对接源_01水果!$T$1),"01水果",IF(ROW()-3&lt;=N(对接源_01水果!$T$1)+N(对接源_02物料!$T$1),"02物料",""))</f>
        <v/>
      </c>
      <c r="C220" s="68" t="str">
        <f aca="false">IF($B220="","",IF($B220="01水果",IFERROR(INDEX(对接源_01水果!$B$5:$B$507,MATCH(ROW()-3,对接源_01水果!$Q$5:$Q$507,0)),""),IFERROR(INDEX(对接源_02物料!$B$5:$B$460,MATCH(ROW()-3-N(对接源_01水果!$T$1),对接源_02物料!$Q$5:$Q$460,0)),"")))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0" s="67" t="str">
        <f aca="false">IF($B220="","",IF($B220="01水果",IFERROR(INDEX(对接源_01水果!$C$5:$C$507,MATCH(ROW()-3,对接源_01水果!$Q$5:$Q$507,0)),""),IFERROR(INDEX(对接源_02物料!$C$5:$C$460,MATCH(ROW()-3-N(对接源_01水果!$T$1),对接源_02物料!$Q$5:$Q$460,0)),"")))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0" s="69" t="str">
        <f aca="false">IF($B220="","",IF($B220="01水果",IFERROR(INDEX(对接源_01水果!$D$5:$D$507,MATCH(ROW()-3,对接源_01水果!$Q$5:$Q$507,0)),""),IFERROR(INDEX(对接源_02物料!$D$5:$D$460,MATCH(ROW()-3-N(对接源_01水果!$T$1),对接源_02物料!$Q$5:$Q$460,0)),"")))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0" s="67" t="str">
        <f aca="false">IF($B220="","",IF($B220="01水果",IFERROR(INDEX(对接源_01水果!$E$5:$E$507,MATCH(ROW()-3,对接源_01水果!$Q$5:$Q$507,0)),""),IFERROR(INDEX(对接源_02物料!$E$5:$E$460,MATCH(ROW()-3-N(对接源_01水果!$T$1),对接源_02物料!$Q$5:$Q$460,0)),"")))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0" s="70" t="str">
        <f aca="false">IF($B220="","",IF($B220="01水果",IFERROR(INDEX(对接源_01水果!$F$5:$F$507,MATCH(ROW()-3,对接源_01水果!$Q$5:$Q$507,0)),""),IFERROR(INDEX(对接源_02物料!$F$5:$F$460,MATCH(ROW()-3-N(对接源_01水果!$T$1),对接源_02物料!$Q$5:$Q$460,0)),"")))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0" s="70" t="str">
        <f aca="false">IF($B220="","",IF($B220="01水果",IFERROR(INDEX(对接源_01水果!$G$5:$G$507,MATCH(ROW()-3,对接源_01水果!$Q$5:$Q$507,0)),""),IFERROR(INDEX(对接源_02物料!$G$5:$G$460,MATCH(ROW()-3-N(对接源_01水果!$T$1),对接源_02物料!$Q$5:$Q$460,0)),"")))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0" s="67" t="str">
        <f aca="false">IF(OR($D220="客户应收",$D220="成品销售款",$D220="公司购买果品款",$D220="筐子销售款",$D220="物料销售款"),"客户往来",IFERROR(INDEX(收入成本映射!$C$4:$C$34,MATCH($D220,收入成本映射!$B$4:$B$34,0)),"不记账"))</f>
        <v>不记账</v>
      </c>
      <c r="J220" s="67" t="str">
        <f aca="false">IF($B220="","","0%")</f>
        <v/>
      </c>
      <c r="K220" s="70" t="n">
        <f aca="false">IF($I220="不记账",0,ROUND(N($G220),2))</f>
        <v>0</v>
      </c>
      <c r="L220" s="70" t="n">
        <v>0</v>
      </c>
      <c r="M220" s="67" t="str">
        <f aca="false">IF(OR($I220="不记账",ROUND(N($G220),2)=0),"",IFERROR(INDEX(收入成本映射!$E$4:$E$34,MATCH($D220,收入成本映射!$B$4:$B$34,0)),""))</f>
        <v/>
      </c>
      <c r="N220" s="70" t="str">
        <f aca="false">IF($M220="","",ROUND(N($G220),2))</f>
        <v/>
      </c>
      <c r="O220" s="70" t="str">
        <f aca="false">IF($M220="","",0)</f>
        <v/>
      </c>
      <c r="P220" s="67" t="str">
        <f aca="false">IF($M220="","",IFERROR(INDEX(收入成本映射!$F$4:$F$34,MATCH($D220,收入成本映射!$B$4:$B$34,0)),""))</f>
        <v/>
      </c>
      <c r="Q220" s="70" t="str">
        <f aca="false">IF($P220="","",0)</f>
        <v/>
      </c>
      <c r="R220" s="70" t="str">
        <f aca="false">IF($P220="","",ROUND(N($G220),2))</f>
        <v/>
      </c>
      <c r="S220" s="67" t="str">
        <f aca="false">""</f>
        <v/>
      </c>
      <c r="T220" s="70" t="str">
        <f aca="false">IF($S220="","",0)</f>
        <v/>
      </c>
      <c r="U220" s="70" t="str">
        <f aca="false">IF($S220="","",0)</f>
        <v/>
      </c>
      <c r="V220" s="66" t="str">
        <f aca="false">IF($B220="","",IF($B220="01水果",IFERROR(INDEX(对接源_01水果!$H$5:$H$507,MATCH(ROW()-3,对接源_01水果!$Q$5:$Q$507,0)),""),IFERROR(INDEX(对接源_02物料!$H$5:$H$460,MATCH(ROW()-3-N(对接源_01水果!$T$1),对接源_02物料!$Q$5:$Q$460,0)),"")))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1" customFormat="false" ht="18" hidden="false" customHeight="true" outlineLevel="0" collapsed="false">
      <c r="A221" s="66" t="n">
        <v>218</v>
      </c>
      <c r="B221" s="67" t="str">
        <f aca="false">IF(ROW()-3&lt;=N(对接源_01水果!$T$1),"01水果",IF(ROW()-3&lt;=N(对接源_01水果!$T$1)+N(对接源_02物料!$T$1),"02物料",""))</f>
        <v/>
      </c>
      <c r="C221" s="68" t="str">
        <f aca="false">IF($B221="","",IF($B221="01水果",IFERROR(INDEX(对接源_01水果!$B$5:$B$507,MATCH(ROW()-3,对接源_01水果!$Q$5:$Q$507,0)),""),IFERROR(INDEX(对接源_02物料!$B$5:$B$460,MATCH(ROW()-3-N(对接源_01水果!$T$1),对接源_02物料!$Q$5:$Q$460,0)),"")))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1" s="67" t="str">
        <f aca="false">IF($B221="","",IF($B221="01水果",IFERROR(INDEX(对接源_01水果!$C$5:$C$507,MATCH(ROW()-3,对接源_01水果!$Q$5:$Q$507,0)),""),IFERROR(INDEX(对接源_02物料!$C$5:$C$460,MATCH(ROW()-3-N(对接源_01水果!$T$1),对接源_02物料!$Q$5:$Q$460,0)),"")))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1" s="69" t="str">
        <f aca="false">IF($B221="","",IF($B221="01水果",IFERROR(INDEX(对接源_01水果!$D$5:$D$507,MATCH(ROW()-3,对接源_01水果!$Q$5:$Q$507,0)),""),IFERROR(INDEX(对接源_02物料!$D$5:$D$460,MATCH(ROW()-3-N(对接源_01水果!$T$1),对接源_02物料!$Q$5:$Q$460,0)),"")))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1" s="67" t="str">
        <f aca="false">IF($B221="","",IF($B221="01水果",IFERROR(INDEX(对接源_01水果!$E$5:$E$507,MATCH(ROW()-3,对接源_01水果!$Q$5:$Q$507,0)),""),IFERROR(INDEX(对接源_02物料!$E$5:$E$460,MATCH(ROW()-3-N(对接源_01水果!$T$1),对接源_02物料!$Q$5:$Q$460,0)),"")))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1" s="70" t="str">
        <f aca="false">IF($B221="","",IF($B221="01水果",IFERROR(INDEX(对接源_01水果!$F$5:$F$507,MATCH(ROW()-3,对接源_01水果!$Q$5:$Q$507,0)),""),IFERROR(INDEX(对接源_02物料!$F$5:$F$460,MATCH(ROW()-3-N(对接源_01水果!$T$1),对接源_02物料!$Q$5:$Q$460,0)),"")))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1" s="70" t="str">
        <f aca="false">IF($B221="","",IF($B221="01水果",IFERROR(INDEX(对接源_01水果!$G$5:$G$507,MATCH(ROW()-3,对接源_01水果!$Q$5:$Q$507,0)),""),IFERROR(INDEX(对接源_02物料!$G$5:$G$460,MATCH(ROW()-3-N(对接源_01水果!$T$1),对接源_02物料!$Q$5:$Q$460,0)),"")))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1" s="67" t="str">
        <f aca="false">IF(OR($D221="客户应收",$D221="成品销售款",$D221="公司购买果品款",$D221="筐子销售款",$D221="物料销售款"),"客户往来",IFERROR(INDEX(收入成本映射!$C$4:$C$34,MATCH($D221,收入成本映射!$B$4:$B$34,0)),"不记账"))</f>
        <v>不记账</v>
      </c>
      <c r="J221" s="67" t="str">
        <f aca="false">IF($B221="","","0%")</f>
        <v/>
      </c>
      <c r="K221" s="70" t="n">
        <f aca="false">IF($I221="不记账",0,ROUND(N($G221),2))</f>
        <v>0</v>
      </c>
      <c r="L221" s="70" t="n">
        <v>0</v>
      </c>
      <c r="M221" s="67" t="str">
        <f aca="false">IF(OR($I221="不记账",ROUND(N($G221),2)=0),"",IFERROR(INDEX(收入成本映射!$E$4:$E$34,MATCH($D221,收入成本映射!$B$4:$B$34,0)),""))</f>
        <v/>
      </c>
      <c r="N221" s="70" t="str">
        <f aca="false">IF($M221="","",ROUND(N($G221),2))</f>
        <v/>
      </c>
      <c r="O221" s="70" t="str">
        <f aca="false">IF($M221="","",0)</f>
        <v/>
      </c>
      <c r="P221" s="67" t="str">
        <f aca="false">IF($M221="","",IFERROR(INDEX(收入成本映射!$F$4:$F$34,MATCH($D221,收入成本映射!$B$4:$B$34,0)),""))</f>
        <v/>
      </c>
      <c r="Q221" s="70" t="str">
        <f aca="false">IF($P221="","",0)</f>
        <v/>
      </c>
      <c r="R221" s="70" t="str">
        <f aca="false">IF($P221="","",ROUND(N($G221),2))</f>
        <v/>
      </c>
      <c r="S221" s="67" t="str">
        <f aca="false">""</f>
        <v/>
      </c>
      <c r="T221" s="70" t="str">
        <f aca="false">IF($S221="","",0)</f>
        <v/>
      </c>
      <c r="U221" s="70" t="str">
        <f aca="false">IF($S221="","",0)</f>
        <v/>
      </c>
      <c r="V221" s="66" t="str">
        <f aca="false">IF($B221="","",IF($B221="01水果",IFERROR(INDEX(对接源_01水果!$H$5:$H$507,MATCH(ROW()-3,对接源_01水果!$Q$5:$Q$507,0)),""),IFERROR(INDEX(对接源_02物料!$H$5:$H$460,MATCH(ROW()-3-N(对接源_01水果!$T$1),对接源_02物料!$Q$5:$Q$460,0)),"")))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2" customFormat="false" ht="18" hidden="false" customHeight="true" outlineLevel="0" collapsed="false">
      <c r="A222" s="66" t="n">
        <v>219</v>
      </c>
      <c r="B222" s="67" t="str">
        <f aca="false">IF(ROW()-3&lt;=N(对接源_01水果!$T$1),"01水果",IF(ROW()-3&lt;=N(对接源_01水果!$T$1)+N(对接源_02物料!$T$1),"02物料",""))</f>
        <v/>
      </c>
      <c r="C222" s="68" t="str">
        <f aca="false">IF($B222="","",IF($B222="01水果",IFERROR(INDEX(对接源_01水果!$B$5:$B$507,MATCH(ROW()-3,对接源_01水果!$Q$5:$Q$507,0)),""),IFERROR(INDEX(对接源_02物料!$B$5:$B$460,MATCH(ROW()-3-N(对接源_01水果!$T$1),对接源_02物料!$Q$5:$Q$460,0)),"")))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2" s="67" t="str">
        <f aca="false">IF($B222="","",IF($B222="01水果",IFERROR(INDEX(对接源_01水果!$C$5:$C$507,MATCH(ROW()-3,对接源_01水果!$Q$5:$Q$507,0)),""),IFERROR(INDEX(对接源_02物料!$C$5:$C$460,MATCH(ROW()-3-N(对接源_01水果!$T$1),对接源_02物料!$Q$5:$Q$460,0)),"")))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2" s="69" t="str">
        <f aca="false">IF($B222="","",IF($B222="01水果",IFERROR(INDEX(对接源_01水果!$D$5:$D$507,MATCH(ROW()-3,对接源_01水果!$Q$5:$Q$507,0)),""),IFERROR(INDEX(对接源_02物料!$D$5:$D$460,MATCH(ROW()-3-N(对接源_01水果!$T$1),对接源_02物料!$Q$5:$Q$460,0)),"")))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2" s="67" t="str">
        <f aca="false">IF($B222="","",IF($B222="01水果",IFERROR(INDEX(对接源_01水果!$E$5:$E$507,MATCH(ROW()-3,对接源_01水果!$Q$5:$Q$507,0)),""),IFERROR(INDEX(对接源_02物料!$E$5:$E$460,MATCH(ROW()-3-N(对接源_01水果!$T$1),对接源_02物料!$Q$5:$Q$460,0)),"")))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2" s="70" t="str">
        <f aca="false">IF($B222="","",IF($B222="01水果",IFERROR(INDEX(对接源_01水果!$F$5:$F$507,MATCH(ROW()-3,对接源_01水果!$Q$5:$Q$507,0)),""),IFERROR(INDEX(对接源_02物料!$F$5:$F$460,MATCH(ROW()-3-N(对接源_01水果!$T$1),对接源_02物料!$Q$5:$Q$460,0)),"")))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2" s="70" t="str">
        <f aca="false">IF($B222="","",IF($B222="01水果",IFERROR(INDEX(对接源_01水果!$G$5:$G$507,MATCH(ROW()-3,对接源_01水果!$Q$5:$Q$507,0)),""),IFERROR(INDEX(对接源_02物料!$G$5:$G$460,MATCH(ROW()-3-N(对接源_01水果!$T$1),对接源_02物料!$Q$5:$Q$460,0)),"")))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2" s="67" t="str">
        <f aca="false">IF(OR($D222="客户应收",$D222="成品销售款",$D222="公司购买果品款",$D222="筐子销售款",$D222="物料销售款"),"客户往来",IFERROR(INDEX(收入成本映射!$C$4:$C$34,MATCH($D222,收入成本映射!$B$4:$B$34,0)),"不记账"))</f>
        <v>不记账</v>
      </c>
      <c r="J222" s="67" t="str">
        <f aca="false">IF($B222="","","0%")</f>
        <v/>
      </c>
      <c r="K222" s="70" t="n">
        <f aca="false">IF($I222="不记账",0,ROUND(N($G222),2))</f>
        <v>0</v>
      </c>
      <c r="L222" s="70" t="n">
        <v>0</v>
      </c>
      <c r="M222" s="67" t="str">
        <f aca="false">IF(OR($I222="不记账",ROUND(N($G222),2)=0),"",IFERROR(INDEX(收入成本映射!$E$4:$E$34,MATCH($D222,收入成本映射!$B$4:$B$34,0)),""))</f>
        <v/>
      </c>
      <c r="N222" s="70" t="str">
        <f aca="false">IF($M222="","",ROUND(N($G222),2))</f>
        <v/>
      </c>
      <c r="O222" s="70" t="str">
        <f aca="false">IF($M222="","",0)</f>
        <v/>
      </c>
      <c r="P222" s="67" t="str">
        <f aca="false">IF($M222="","",IFERROR(INDEX(收入成本映射!$F$4:$F$34,MATCH($D222,收入成本映射!$B$4:$B$34,0)),""))</f>
        <v/>
      </c>
      <c r="Q222" s="70" t="str">
        <f aca="false">IF($P222="","",0)</f>
        <v/>
      </c>
      <c r="R222" s="70" t="str">
        <f aca="false">IF($P222="","",ROUND(N($G222),2))</f>
        <v/>
      </c>
      <c r="S222" s="67" t="str">
        <f aca="false">""</f>
        <v/>
      </c>
      <c r="T222" s="70" t="str">
        <f aca="false">IF($S222="","",0)</f>
        <v/>
      </c>
      <c r="U222" s="70" t="str">
        <f aca="false">IF($S222="","",0)</f>
        <v/>
      </c>
      <c r="V222" s="66" t="str">
        <f aca="false">IF($B222="","",IF($B222="01水果",IFERROR(INDEX(对接源_01水果!$H$5:$H$507,MATCH(ROW()-3,对接源_01水果!$Q$5:$Q$507,0)),""),IFERROR(INDEX(对接源_02物料!$H$5:$H$460,MATCH(ROW()-3-N(对接源_01水果!$T$1),对接源_02物料!$Q$5:$Q$460,0)),"")))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3" customFormat="false" ht="18" hidden="false" customHeight="true" outlineLevel="0" collapsed="false">
      <c r="A223" s="66" t="n">
        <v>220</v>
      </c>
      <c r="B223" s="67" t="str">
        <f aca="false">IF(ROW()-3&lt;=N(对接源_01水果!$T$1),"01水果",IF(ROW()-3&lt;=N(对接源_01水果!$T$1)+N(对接源_02物料!$T$1),"02物料",""))</f>
        <v/>
      </c>
      <c r="C223" s="68" t="str">
        <f aca="false">IF($B223="","",IF($B223="01水果",IFERROR(INDEX(对接源_01水果!$B$5:$B$507,MATCH(ROW()-3,对接源_01水果!$Q$5:$Q$507,0)),""),IFERROR(INDEX(对接源_02物料!$B$5:$B$460,MATCH(ROW()-3-N(对接源_01水果!$T$1),对接源_02物料!$Q$5:$Q$460,0)),"")))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3" s="67" t="str">
        <f aca="false">IF($B223="","",IF($B223="01水果",IFERROR(INDEX(对接源_01水果!$C$5:$C$507,MATCH(ROW()-3,对接源_01水果!$Q$5:$Q$507,0)),""),IFERROR(INDEX(对接源_02物料!$C$5:$C$460,MATCH(ROW()-3-N(对接源_01水果!$T$1),对接源_02物料!$Q$5:$Q$460,0)),"")))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3" s="69" t="str">
        <f aca="false">IF($B223="","",IF($B223="01水果",IFERROR(INDEX(对接源_01水果!$D$5:$D$507,MATCH(ROW()-3,对接源_01水果!$Q$5:$Q$507,0)),""),IFERROR(INDEX(对接源_02物料!$D$5:$D$460,MATCH(ROW()-3-N(对接源_01水果!$T$1),对接源_02物料!$Q$5:$Q$460,0)),"")))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3" s="67" t="str">
        <f aca="false">IF($B223="","",IF($B223="01水果",IFERROR(INDEX(对接源_01水果!$E$5:$E$507,MATCH(ROW()-3,对接源_01水果!$Q$5:$Q$507,0)),""),IFERROR(INDEX(对接源_02物料!$E$5:$E$460,MATCH(ROW()-3-N(对接源_01水果!$T$1),对接源_02物料!$Q$5:$Q$460,0)),"")))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3" s="70" t="str">
        <f aca="false">IF($B223="","",IF($B223="01水果",IFERROR(INDEX(对接源_01水果!$F$5:$F$507,MATCH(ROW()-3,对接源_01水果!$Q$5:$Q$507,0)),""),IFERROR(INDEX(对接源_02物料!$F$5:$F$460,MATCH(ROW()-3-N(对接源_01水果!$T$1),对接源_02物料!$Q$5:$Q$460,0)),"")))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3" s="70" t="str">
        <f aca="false">IF($B223="","",IF($B223="01水果",IFERROR(INDEX(对接源_01水果!$G$5:$G$507,MATCH(ROW()-3,对接源_01水果!$Q$5:$Q$507,0)),""),IFERROR(INDEX(对接源_02物料!$G$5:$G$460,MATCH(ROW()-3-N(对接源_01水果!$T$1),对接源_02物料!$Q$5:$Q$460,0)),"")))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3" s="67" t="str">
        <f aca="false">IF(OR($D223="客户应收",$D223="成品销售款",$D223="公司购买果品款",$D223="筐子销售款",$D223="物料销售款"),"客户往来",IFERROR(INDEX(收入成本映射!$C$4:$C$34,MATCH($D223,收入成本映射!$B$4:$B$34,0)),"不记账"))</f>
        <v>不记账</v>
      </c>
      <c r="J223" s="67" t="str">
        <f aca="false">IF($B223="","","0%")</f>
        <v/>
      </c>
      <c r="K223" s="70" t="n">
        <f aca="false">IF($I223="不记账",0,ROUND(N($G223),2))</f>
        <v>0</v>
      </c>
      <c r="L223" s="70" t="n">
        <v>0</v>
      </c>
      <c r="M223" s="67" t="str">
        <f aca="false">IF(OR($I223="不记账",ROUND(N($G223),2)=0),"",IFERROR(INDEX(收入成本映射!$E$4:$E$34,MATCH($D223,收入成本映射!$B$4:$B$34,0)),""))</f>
        <v/>
      </c>
      <c r="N223" s="70" t="str">
        <f aca="false">IF($M223="","",ROUND(N($G223),2))</f>
        <v/>
      </c>
      <c r="O223" s="70" t="str">
        <f aca="false">IF($M223="","",0)</f>
        <v/>
      </c>
      <c r="P223" s="67" t="str">
        <f aca="false">IF($M223="","",IFERROR(INDEX(收入成本映射!$F$4:$F$34,MATCH($D223,收入成本映射!$B$4:$B$34,0)),""))</f>
        <v/>
      </c>
      <c r="Q223" s="70" t="str">
        <f aca="false">IF($P223="","",0)</f>
        <v/>
      </c>
      <c r="R223" s="70" t="str">
        <f aca="false">IF($P223="","",ROUND(N($G223),2))</f>
        <v/>
      </c>
      <c r="S223" s="67" t="str">
        <f aca="false">""</f>
        <v/>
      </c>
      <c r="T223" s="70" t="str">
        <f aca="false">IF($S223="","",0)</f>
        <v/>
      </c>
      <c r="U223" s="70" t="str">
        <f aca="false">IF($S223="","",0)</f>
        <v/>
      </c>
      <c r="V223" s="66" t="str">
        <f aca="false">IF($B223="","",IF($B223="01水果",IFERROR(INDEX(对接源_01水果!$H$5:$H$507,MATCH(ROW()-3,对接源_01水果!$Q$5:$Q$507,0)),""),IFERROR(INDEX(对接源_02物料!$H$5:$H$460,MATCH(ROW()-3-N(对接源_01水果!$T$1),对接源_02物料!$Q$5:$Q$460,0)),"")))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4" customFormat="false" ht="18" hidden="false" customHeight="true" outlineLevel="0" collapsed="false">
      <c r="A224" s="66" t="n">
        <v>221</v>
      </c>
      <c r="B224" s="67" t="str">
        <f aca="false">IF(ROW()-3&lt;=N(对接源_01水果!$T$1),"01水果",IF(ROW()-3&lt;=N(对接源_01水果!$T$1)+N(对接源_02物料!$T$1),"02物料",""))</f>
        <v/>
      </c>
      <c r="C224" s="68" t="str">
        <f aca="false">IF($B224="","",IF($B224="01水果",IFERROR(INDEX(对接源_01水果!$B$5:$B$507,MATCH(ROW()-3,对接源_01水果!$Q$5:$Q$507,0)),""),IFERROR(INDEX(对接源_02物料!$B$5:$B$460,MATCH(ROW()-3-N(对接源_01水果!$T$1),对接源_02物料!$Q$5:$Q$460,0)),"")))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4" s="67" t="str">
        <f aca="false">IF($B224="","",IF($B224="01水果",IFERROR(INDEX(对接源_01水果!$C$5:$C$507,MATCH(ROW()-3,对接源_01水果!$Q$5:$Q$507,0)),""),IFERROR(INDEX(对接源_02物料!$C$5:$C$460,MATCH(ROW()-3-N(对接源_01水果!$T$1),对接源_02物料!$Q$5:$Q$460,0)),"")))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4" s="69" t="str">
        <f aca="false">IF($B224="","",IF($B224="01水果",IFERROR(INDEX(对接源_01水果!$D$5:$D$507,MATCH(ROW()-3,对接源_01水果!$Q$5:$Q$507,0)),""),IFERROR(INDEX(对接源_02物料!$D$5:$D$460,MATCH(ROW()-3-N(对接源_01水果!$T$1),对接源_02物料!$Q$5:$Q$460,0)),"")))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4" s="67" t="str">
        <f aca="false">IF($B224="","",IF($B224="01水果",IFERROR(INDEX(对接源_01水果!$E$5:$E$507,MATCH(ROW()-3,对接源_01水果!$Q$5:$Q$507,0)),""),IFERROR(INDEX(对接源_02物料!$E$5:$E$460,MATCH(ROW()-3-N(对接源_01水果!$T$1),对接源_02物料!$Q$5:$Q$460,0)),"")))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4" s="70" t="str">
        <f aca="false">IF($B224="","",IF($B224="01水果",IFERROR(INDEX(对接源_01水果!$F$5:$F$507,MATCH(ROW()-3,对接源_01水果!$Q$5:$Q$507,0)),""),IFERROR(INDEX(对接源_02物料!$F$5:$F$460,MATCH(ROW()-3-N(对接源_01水果!$T$1),对接源_02物料!$Q$5:$Q$460,0)),"")))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4" s="70" t="str">
        <f aca="false">IF($B224="","",IF($B224="01水果",IFERROR(INDEX(对接源_01水果!$G$5:$G$507,MATCH(ROW()-3,对接源_01水果!$Q$5:$Q$507,0)),""),IFERROR(INDEX(对接源_02物料!$G$5:$G$460,MATCH(ROW()-3-N(对接源_01水果!$T$1),对接源_02物料!$Q$5:$Q$460,0)),"")))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4" s="67" t="str">
        <f aca="false">IF(OR($D224="客户应收",$D224="成品销售款",$D224="公司购买果品款",$D224="筐子销售款",$D224="物料销售款"),"客户往来",IFERROR(INDEX(收入成本映射!$C$4:$C$34,MATCH($D224,收入成本映射!$B$4:$B$34,0)),"不记账"))</f>
        <v>不记账</v>
      </c>
      <c r="J224" s="67" t="str">
        <f aca="false">IF($B224="","","0%")</f>
        <v/>
      </c>
      <c r="K224" s="70" t="n">
        <f aca="false">IF($I224="不记账",0,ROUND(N($G224),2))</f>
        <v>0</v>
      </c>
      <c r="L224" s="70" t="n">
        <v>0</v>
      </c>
      <c r="M224" s="67" t="str">
        <f aca="false">IF(OR($I224="不记账",ROUND(N($G224),2)=0),"",IFERROR(INDEX(收入成本映射!$E$4:$E$34,MATCH($D224,收入成本映射!$B$4:$B$34,0)),""))</f>
        <v/>
      </c>
      <c r="N224" s="70" t="str">
        <f aca="false">IF($M224="","",ROUND(N($G224),2))</f>
        <v/>
      </c>
      <c r="O224" s="70" t="str">
        <f aca="false">IF($M224="","",0)</f>
        <v/>
      </c>
      <c r="P224" s="67" t="str">
        <f aca="false">IF($M224="","",IFERROR(INDEX(收入成本映射!$F$4:$F$34,MATCH($D224,收入成本映射!$B$4:$B$34,0)),""))</f>
        <v/>
      </c>
      <c r="Q224" s="70" t="str">
        <f aca="false">IF($P224="","",0)</f>
        <v/>
      </c>
      <c r="R224" s="70" t="str">
        <f aca="false">IF($P224="","",ROUND(N($G224),2))</f>
        <v/>
      </c>
      <c r="S224" s="67" t="str">
        <f aca="false">""</f>
        <v/>
      </c>
      <c r="T224" s="70" t="str">
        <f aca="false">IF($S224="","",0)</f>
        <v/>
      </c>
      <c r="U224" s="70" t="str">
        <f aca="false">IF($S224="","",0)</f>
        <v/>
      </c>
      <c r="V224" s="66" t="str">
        <f aca="false">IF($B224="","",IF($B224="01水果",IFERROR(INDEX(对接源_01水果!$H$5:$H$507,MATCH(ROW()-3,对接源_01水果!$Q$5:$Q$507,0)),""),IFERROR(INDEX(对接源_02物料!$H$5:$H$460,MATCH(ROW()-3-N(对接源_01水果!$T$1),对接源_02物料!$Q$5:$Q$460,0)),"")))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5" customFormat="false" ht="18" hidden="false" customHeight="true" outlineLevel="0" collapsed="false">
      <c r="A225" s="66" t="n">
        <v>222</v>
      </c>
      <c r="B225" s="67" t="str">
        <f aca="false">IF(ROW()-3&lt;=N(对接源_01水果!$T$1),"01水果",IF(ROW()-3&lt;=N(对接源_01水果!$T$1)+N(对接源_02物料!$T$1),"02物料",""))</f>
        <v/>
      </c>
      <c r="C225" s="68" t="str">
        <f aca="false">IF($B225="","",IF($B225="01水果",IFERROR(INDEX(对接源_01水果!$B$5:$B$507,MATCH(ROW()-3,对接源_01水果!$Q$5:$Q$507,0)),""),IFERROR(INDEX(对接源_02物料!$B$5:$B$460,MATCH(ROW()-3-N(对接源_01水果!$T$1),对接源_02物料!$Q$5:$Q$460,0)),"")))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5" s="67" t="str">
        <f aca="false">IF($B225="","",IF($B225="01水果",IFERROR(INDEX(对接源_01水果!$C$5:$C$507,MATCH(ROW()-3,对接源_01水果!$Q$5:$Q$507,0)),""),IFERROR(INDEX(对接源_02物料!$C$5:$C$460,MATCH(ROW()-3-N(对接源_01水果!$T$1),对接源_02物料!$Q$5:$Q$460,0)),"")))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5" s="69" t="str">
        <f aca="false">IF($B225="","",IF($B225="01水果",IFERROR(INDEX(对接源_01水果!$D$5:$D$507,MATCH(ROW()-3,对接源_01水果!$Q$5:$Q$507,0)),""),IFERROR(INDEX(对接源_02物料!$D$5:$D$460,MATCH(ROW()-3-N(对接源_01水果!$T$1),对接源_02物料!$Q$5:$Q$460,0)),"")))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5" s="67" t="str">
        <f aca="false">IF($B225="","",IF($B225="01水果",IFERROR(INDEX(对接源_01水果!$E$5:$E$507,MATCH(ROW()-3,对接源_01水果!$Q$5:$Q$507,0)),""),IFERROR(INDEX(对接源_02物料!$E$5:$E$460,MATCH(ROW()-3-N(对接源_01水果!$T$1),对接源_02物料!$Q$5:$Q$460,0)),"")))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5" s="70" t="str">
        <f aca="false">IF($B225="","",IF($B225="01水果",IFERROR(INDEX(对接源_01水果!$F$5:$F$507,MATCH(ROW()-3,对接源_01水果!$Q$5:$Q$507,0)),""),IFERROR(INDEX(对接源_02物料!$F$5:$F$460,MATCH(ROW()-3-N(对接源_01水果!$T$1),对接源_02物料!$Q$5:$Q$460,0)),"")))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5" s="70" t="str">
        <f aca="false">IF($B225="","",IF($B225="01水果",IFERROR(INDEX(对接源_01水果!$G$5:$G$507,MATCH(ROW()-3,对接源_01水果!$Q$5:$Q$507,0)),""),IFERROR(INDEX(对接源_02物料!$G$5:$G$460,MATCH(ROW()-3-N(对接源_01水果!$T$1),对接源_02物料!$Q$5:$Q$460,0)),"")))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5" s="67" t="str">
        <f aca="false">IF(OR($D225="客户应收",$D225="成品销售款",$D225="公司购买果品款",$D225="筐子销售款",$D225="物料销售款"),"客户往来",IFERROR(INDEX(收入成本映射!$C$4:$C$34,MATCH($D225,收入成本映射!$B$4:$B$34,0)),"不记账"))</f>
        <v>不记账</v>
      </c>
      <c r="J225" s="67" t="str">
        <f aca="false">IF($B225="","","0%")</f>
        <v/>
      </c>
      <c r="K225" s="70" t="n">
        <f aca="false">IF($I225="不记账",0,ROUND(N($G225),2))</f>
        <v>0</v>
      </c>
      <c r="L225" s="70" t="n">
        <v>0</v>
      </c>
      <c r="M225" s="67" t="str">
        <f aca="false">IF(OR($I225="不记账",ROUND(N($G225),2)=0),"",IFERROR(INDEX(收入成本映射!$E$4:$E$34,MATCH($D225,收入成本映射!$B$4:$B$34,0)),""))</f>
        <v/>
      </c>
      <c r="N225" s="70" t="str">
        <f aca="false">IF($M225="","",ROUND(N($G225),2))</f>
        <v/>
      </c>
      <c r="O225" s="70" t="str">
        <f aca="false">IF($M225="","",0)</f>
        <v/>
      </c>
      <c r="P225" s="67" t="str">
        <f aca="false">IF($M225="","",IFERROR(INDEX(收入成本映射!$F$4:$F$34,MATCH($D225,收入成本映射!$B$4:$B$34,0)),""))</f>
        <v/>
      </c>
      <c r="Q225" s="70" t="str">
        <f aca="false">IF($P225="","",0)</f>
        <v/>
      </c>
      <c r="R225" s="70" t="str">
        <f aca="false">IF($P225="","",ROUND(N($G225),2))</f>
        <v/>
      </c>
      <c r="S225" s="67" t="str">
        <f aca="false">""</f>
        <v/>
      </c>
      <c r="T225" s="70" t="str">
        <f aca="false">IF($S225="","",0)</f>
        <v/>
      </c>
      <c r="U225" s="70" t="str">
        <f aca="false">IF($S225="","",0)</f>
        <v/>
      </c>
      <c r="V225" s="66" t="str">
        <f aca="false">IF($B225="","",IF($B225="01水果",IFERROR(INDEX(对接源_01水果!$H$5:$H$507,MATCH(ROW()-3,对接源_01水果!$Q$5:$Q$507,0)),""),IFERROR(INDEX(对接源_02物料!$H$5:$H$460,MATCH(ROW()-3-N(对接源_01水果!$T$1),对接源_02物料!$Q$5:$Q$460,0)),"")))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6" customFormat="false" ht="18" hidden="false" customHeight="true" outlineLevel="0" collapsed="false">
      <c r="A226" s="66" t="n">
        <v>223</v>
      </c>
      <c r="B226" s="67" t="str">
        <f aca="false">IF(ROW()-3&lt;=N(对接源_01水果!$T$1),"01水果",IF(ROW()-3&lt;=N(对接源_01水果!$T$1)+N(对接源_02物料!$T$1),"02物料",""))</f>
        <v/>
      </c>
      <c r="C226" s="68" t="str">
        <f aca="false">IF($B226="","",IF($B226="01水果",IFERROR(INDEX(对接源_01水果!$B$5:$B$507,MATCH(ROW()-3,对接源_01水果!$Q$5:$Q$507,0)),""),IFERROR(INDEX(对接源_02物料!$B$5:$B$460,MATCH(ROW()-3-N(对接源_01水果!$T$1),对接源_02物料!$Q$5:$Q$460,0)),"")))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6" s="67" t="str">
        <f aca="false">IF($B226="","",IF($B226="01水果",IFERROR(INDEX(对接源_01水果!$C$5:$C$507,MATCH(ROW()-3,对接源_01水果!$Q$5:$Q$507,0)),""),IFERROR(INDEX(对接源_02物料!$C$5:$C$460,MATCH(ROW()-3-N(对接源_01水果!$T$1),对接源_02物料!$Q$5:$Q$460,0)),"")))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6" s="69" t="str">
        <f aca="false">IF($B226="","",IF($B226="01水果",IFERROR(INDEX(对接源_01水果!$D$5:$D$507,MATCH(ROW()-3,对接源_01水果!$Q$5:$Q$507,0)),""),IFERROR(INDEX(对接源_02物料!$D$5:$D$460,MATCH(ROW()-3-N(对接源_01水果!$T$1),对接源_02物料!$Q$5:$Q$460,0)),"")))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6" s="67" t="str">
        <f aca="false">IF($B226="","",IF($B226="01水果",IFERROR(INDEX(对接源_01水果!$E$5:$E$507,MATCH(ROW()-3,对接源_01水果!$Q$5:$Q$507,0)),""),IFERROR(INDEX(对接源_02物料!$E$5:$E$460,MATCH(ROW()-3-N(对接源_01水果!$T$1),对接源_02物料!$Q$5:$Q$460,0)),"")))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6" s="70" t="str">
        <f aca="false">IF($B226="","",IF($B226="01水果",IFERROR(INDEX(对接源_01水果!$F$5:$F$507,MATCH(ROW()-3,对接源_01水果!$Q$5:$Q$507,0)),""),IFERROR(INDEX(对接源_02物料!$F$5:$F$460,MATCH(ROW()-3-N(对接源_01水果!$T$1),对接源_02物料!$Q$5:$Q$460,0)),"")))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6" s="70" t="str">
        <f aca="false">IF($B226="","",IF($B226="01水果",IFERROR(INDEX(对接源_01水果!$G$5:$G$507,MATCH(ROW()-3,对接源_01水果!$Q$5:$Q$507,0)),""),IFERROR(INDEX(对接源_02物料!$G$5:$G$460,MATCH(ROW()-3-N(对接源_01水果!$T$1),对接源_02物料!$Q$5:$Q$460,0)),"")))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6" s="67" t="str">
        <f aca="false">IF(OR($D226="客户应收",$D226="成品销售款",$D226="公司购买果品款",$D226="筐子销售款",$D226="物料销售款"),"客户往来",IFERROR(INDEX(收入成本映射!$C$4:$C$34,MATCH($D226,收入成本映射!$B$4:$B$34,0)),"不记账"))</f>
        <v>不记账</v>
      </c>
      <c r="J226" s="67" t="str">
        <f aca="false">IF($B226="","","0%")</f>
        <v/>
      </c>
      <c r="K226" s="70" t="n">
        <f aca="false">IF($I226="不记账",0,ROUND(N($G226),2))</f>
        <v>0</v>
      </c>
      <c r="L226" s="70" t="n">
        <v>0</v>
      </c>
      <c r="M226" s="67" t="str">
        <f aca="false">IF(OR($I226="不记账",ROUND(N($G226),2)=0),"",IFERROR(INDEX(收入成本映射!$E$4:$E$34,MATCH($D226,收入成本映射!$B$4:$B$34,0)),""))</f>
        <v/>
      </c>
      <c r="N226" s="70" t="str">
        <f aca="false">IF($M226="","",ROUND(N($G226),2))</f>
        <v/>
      </c>
      <c r="O226" s="70" t="str">
        <f aca="false">IF($M226="","",0)</f>
        <v/>
      </c>
      <c r="P226" s="67" t="str">
        <f aca="false">IF($M226="","",IFERROR(INDEX(收入成本映射!$F$4:$F$34,MATCH($D226,收入成本映射!$B$4:$B$34,0)),""))</f>
        <v/>
      </c>
      <c r="Q226" s="70" t="str">
        <f aca="false">IF($P226="","",0)</f>
        <v/>
      </c>
      <c r="R226" s="70" t="str">
        <f aca="false">IF($P226="","",ROUND(N($G226),2))</f>
        <v/>
      </c>
      <c r="S226" s="67" t="str">
        <f aca="false">""</f>
        <v/>
      </c>
      <c r="T226" s="70" t="str">
        <f aca="false">IF($S226="","",0)</f>
        <v/>
      </c>
      <c r="U226" s="70" t="str">
        <f aca="false">IF($S226="","",0)</f>
        <v/>
      </c>
      <c r="V226" s="66" t="str">
        <f aca="false">IF($B226="","",IF($B226="01水果",IFERROR(INDEX(对接源_01水果!$H$5:$H$507,MATCH(ROW()-3,对接源_01水果!$Q$5:$Q$507,0)),""),IFERROR(INDEX(对接源_02物料!$H$5:$H$460,MATCH(ROW()-3-N(对接源_01水果!$T$1),对接源_02物料!$Q$5:$Q$460,0)),"")))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7" customFormat="false" ht="18" hidden="false" customHeight="true" outlineLevel="0" collapsed="false">
      <c r="A227" s="66" t="n">
        <v>224</v>
      </c>
      <c r="B227" s="67" t="str">
        <f aca="false">IF(ROW()-3&lt;=N(对接源_01水果!$T$1),"01水果",IF(ROW()-3&lt;=N(对接源_01水果!$T$1)+N(对接源_02物料!$T$1),"02物料",""))</f>
        <v/>
      </c>
      <c r="C227" s="68" t="str">
        <f aca="false">IF($B227="","",IF($B227="01水果",IFERROR(INDEX(对接源_01水果!$B$5:$B$507,MATCH(ROW()-3,对接源_01水果!$Q$5:$Q$507,0)),""),IFERROR(INDEX(对接源_02物料!$B$5:$B$460,MATCH(ROW()-3-N(对接源_01水果!$T$1),对接源_02物料!$Q$5:$Q$460,0)),"")))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7" s="67" t="str">
        <f aca="false">IF($B227="","",IF($B227="01水果",IFERROR(INDEX(对接源_01水果!$C$5:$C$507,MATCH(ROW()-3,对接源_01水果!$Q$5:$Q$507,0)),""),IFERROR(INDEX(对接源_02物料!$C$5:$C$460,MATCH(ROW()-3-N(对接源_01水果!$T$1),对接源_02物料!$Q$5:$Q$460,0)),"")))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7" s="69" t="str">
        <f aca="false">IF($B227="","",IF($B227="01水果",IFERROR(INDEX(对接源_01水果!$D$5:$D$507,MATCH(ROW()-3,对接源_01水果!$Q$5:$Q$507,0)),""),IFERROR(INDEX(对接源_02物料!$D$5:$D$460,MATCH(ROW()-3-N(对接源_01水果!$T$1),对接源_02物料!$Q$5:$Q$460,0)),"")))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7" s="67" t="str">
        <f aca="false">IF($B227="","",IF($B227="01水果",IFERROR(INDEX(对接源_01水果!$E$5:$E$507,MATCH(ROW()-3,对接源_01水果!$Q$5:$Q$507,0)),""),IFERROR(INDEX(对接源_02物料!$E$5:$E$460,MATCH(ROW()-3-N(对接源_01水果!$T$1),对接源_02物料!$Q$5:$Q$460,0)),"")))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7" s="70" t="str">
        <f aca="false">IF($B227="","",IF($B227="01水果",IFERROR(INDEX(对接源_01水果!$F$5:$F$507,MATCH(ROW()-3,对接源_01水果!$Q$5:$Q$507,0)),""),IFERROR(INDEX(对接源_02物料!$F$5:$F$460,MATCH(ROW()-3-N(对接源_01水果!$T$1),对接源_02物料!$Q$5:$Q$460,0)),"")))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7" s="70" t="str">
        <f aca="false">IF($B227="","",IF($B227="01水果",IFERROR(INDEX(对接源_01水果!$G$5:$G$507,MATCH(ROW()-3,对接源_01水果!$Q$5:$Q$507,0)),""),IFERROR(INDEX(对接源_02物料!$G$5:$G$460,MATCH(ROW()-3-N(对接源_01水果!$T$1),对接源_02物料!$Q$5:$Q$460,0)),"")))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7" s="67" t="str">
        <f aca="false">IF(OR($D227="客户应收",$D227="成品销售款",$D227="公司购买果品款",$D227="筐子销售款",$D227="物料销售款"),"客户往来",IFERROR(INDEX(收入成本映射!$C$4:$C$34,MATCH($D227,收入成本映射!$B$4:$B$34,0)),"不记账"))</f>
        <v>不记账</v>
      </c>
      <c r="J227" s="67" t="str">
        <f aca="false">IF($B227="","","0%")</f>
        <v/>
      </c>
      <c r="K227" s="70" t="n">
        <f aca="false">IF($I227="不记账",0,ROUND(N($G227),2))</f>
        <v>0</v>
      </c>
      <c r="L227" s="70" t="n">
        <v>0</v>
      </c>
      <c r="M227" s="67" t="str">
        <f aca="false">IF(OR($I227="不记账",ROUND(N($G227),2)=0),"",IFERROR(INDEX(收入成本映射!$E$4:$E$34,MATCH($D227,收入成本映射!$B$4:$B$34,0)),""))</f>
        <v/>
      </c>
      <c r="N227" s="70" t="str">
        <f aca="false">IF($M227="","",ROUND(N($G227),2))</f>
        <v/>
      </c>
      <c r="O227" s="70" t="str">
        <f aca="false">IF($M227="","",0)</f>
        <v/>
      </c>
      <c r="P227" s="67" t="str">
        <f aca="false">IF($M227="","",IFERROR(INDEX(收入成本映射!$F$4:$F$34,MATCH($D227,收入成本映射!$B$4:$B$34,0)),""))</f>
        <v/>
      </c>
      <c r="Q227" s="70" t="str">
        <f aca="false">IF($P227="","",0)</f>
        <v/>
      </c>
      <c r="R227" s="70" t="str">
        <f aca="false">IF($P227="","",ROUND(N($G227),2))</f>
        <v/>
      </c>
      <c r="S227" s="67" t="str">
        <f aca="false">""</f>
        <v/>
      </c>
      <c r="T227" s="70" t="str">
        <f aca="false">IF($S227="","",0)</f>
        <v/>
      </c>
      <c r="U227" s="70" t="str">
        <f aca="false">IF($S227="","",0)</f>
        <v/>
      </c>
      <c r="V227" s="66" t="str">
        <f aca="false">IF($B227="","",IF($B227="01水果",IFERROR(INDEX(对接源_01水果!$H$5:$H$507,MATCH(ROW()-3,对接源_01水果!$Q$5:$Q$507,0)),""),IFERROR(INDEX(对接源_02物料!$H$5:$H$460,MATCH(ROW()-3-N(对接源_01水果!$T$1),对接源_02物料!$Q$5:$Q$460,0)),"")))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8" customFormat="false" ht="18" hidden="false" customHeight="true" outlineLevel="0" collapsed="false">
      <c r="A228" s="66" t="n">
        <v>225</v>
      </c>
      <c r="B228" s="67" t="str">
        <f aca="false">IF(ROW()-3&lt;=N(对接源_01水果!$T$1),"01水果",IF(ROW()-3&lt;=N(对接源_01水果!$T$1)+N(对接源_02物料!$T$1),"02物料",""))</f>
        <v/>
      </c>
      <c r="C228" s="68" t="str">
        <f aca="false">IF($B228="","",IF($B228="01水果",IFERROR(INDEX(对接源_01水果!$B$5:$B$507,MATCH(ROW()-3,对接源_01水果!$Q$5:$Q$507,0)),""),IFERROR(INDEX(对接源_02物料!$B$5:$B$460,MATCH(ROW()-3-N(对接源_01水果!$T$1),对接源_02物料!$Q$5:$Q$460,0)),"")))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8" s="67" t="str">
        <f aca="false">IF($B228="","",IF($B228="01水果",IFERROR(INDEX(对接源_01水果!$C$5:$C$507,MATCH(ROW()-3,对接源_01水果!$Q$5:$Q$507,0)),""),IFERROR(INDEX(对接源_02物料!$C$5:$C$460,MATCH(ROW()-3-N(对接源_01水果!$T$1),对接源_02物料!$Q$5:$Q$460,0)),"")))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8" s="69" t="str">
        <f aca="false">IF($B228="","",IF($B228="01水果",IFERROR(INDEX(对接源_01水果!$D$5:$D$507,MATCH(ROW()-3,对接源_01水果!$Q$5:$Q$507,0)),""),IFERROR(INDEX(对接源_02物料!$D$5:$D$460,MATCH(ROW()-3-N(对接源_01水果!$T$1),对接源_02物料!$Q$5:$Q$460,0)),"")))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8" s="67" t="str">
        <f aca="false">IF($B228="","",IF($B228="01水果",IFERROR(INDEX(对接源_01水果!$E$5:$E$507,MATCH(ROW()-3,对接源_01水果!$Q$5:$Q$507,0)),""),IFERROR(INDEX(对接源_02物料!$E$5:$E$460,MATCH(ROW()-3-N(对接源_01水果!$T$1),对接源_02物料!$Q$5:$Q$460,0)),"")))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8" s="70" t="str">
        <f aca="false">IF($B228="","",IF($B228="01水果",IFERROR(INDEX(对接源_01水果!$F$5:$F$507,MATCH(ROW()-3,对接源_01水果!$Q$5:$Q$507,0)),""),IFERROR(INDEX(对接源_02物料!$F$5:$F$460,MATCH(ROW()-3-N(对接源_01水果!$T$1),对接源_02物料!$Q$5:$Q$460,0)),"")))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8" s="70" t="str">
        <f aca="false">IF($B228="","",IF($B228="01水果",IFERROR(INDEX(对接源_01水果!$G$5:$G$507,MATCH(ROW()-3,对接源_01水果!$Q$5:$Q$507,0)),""),IFERROR(INDEX(对接源_02物料!$G$5:$G$460,MATCH(ROW()-3-N(对接源_01水果!$T$1),对接源_02物料!$Q$5:$Q$460,0)),"")))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8" s="67" t="str">
        <f aca="false">IF(OR($D228="客户应收",$D228="成品销售款",$D228="公司购买果品款",$D228="筐子销售款",$D228="物料销售款"),"客户往来",IFERROR(INDEX(收入成本映射!$C$4:$C$34,MATCH($D228,收入成本映射!$B$4:$B$34,0)),"不记账"))</f>
        <v>不记账</v>
      </c>
      <c r="J228" s="67" t="str">
        <f aca="false">IF($B228="","","0%")</f>
        <v/>
      </c>
      <c r="K228" s="70" t="n">
        <f aca="false">IF($I228="不记账",0,ROUND(N($G228),2))</f>
        <v>0</v>
      </c>
      <c r="L228" s="70" t="n">
        <v>0</v>
      </c>
      <c r="M228" s="67" t="str">
        <f aca="false">IF(OR($I228="不记账",ROUND(N($G228),2)=0),"",IFERROR(INDEX(收入成本映射!$E$4:$E$34,MATCH($D228,收入成本映射!$B$4:$B$34,0)),""))</f>
        <v/>
      </c>
      <c r="N228" s="70" t="str">
        <f aca="false">IF($M228="","",ROUND(N($G228),2))</f>
        <v/>
      </c>
      <c r="O228" s="70" t="str">
        <f aca="false">IF($M228="","",0)</f>
        <v/>
      </c>
      <c r="P228" s="67" t="str">
        <f aca="false">IF($M228="","",IFERROR(INDEX(收入成本映射!$F$4:$F$34,MATCH($D228,收入成本映射!$B$4:$B$34,0)),""))</f>
        <v/>
      </c>
      <c r="Q228" s="70" t="str">
        <f aca="false">IF($P228="","",0)</f>
        <v/>
      </c>
      <c r="R228" s="70" t="str">
        <f aca="false">IF($P228="","",ROUND(N($G228),2))</f>
        <v/>
      </c>
      <c r="S228" s="67" t="str">
        <f aca="false">""</f>
        <v/>
      </c>
      <c r="T228" s="70" t="str">
        <f aca="false">IF($S228="","",0)</f>
        <v/>
      </c>
      <c r="U228" s="70" t="str">
        <f aca="false">IF($S228="","",0)</f>
        <v/>
      </c>
      <c r="V228" s="66" t="str">
        <f aca="false">IF($B228="","",IF($B228="01水果",IFERROR(INDEX(对接源_01水果!$H$5:$H$507,MATCH(ROW()-3,对接源_01水果!$Q$5:$Q$507,0)),""),IFERROR(INDEX(对接源_02物料!$H$5:$H$460,MATCH(ROW()-3-N(对接源_01水果!$T$1),对接源_02物料!$Q$5:$Q$460,0)),"")))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29" customFormat="false" ht="18" hidden="false" customHeight="true" outlineLevel="0" collapsed="false">
      <c r="A229" s="66" t="n">
        <v>226</v>
      </c>
      <c r="B229" s="67" t="str">
        <f aca="false">IF(ROW()-3&lt;=N(对接源_01水果!$T$1),"01水果",IF(ROW()-3&lt;=N(对接源_01水果!$T$1)+N(对接源_02物料!$T$1),"02物料",""))</f>
        <v/>
      </c>
      <c r="C229" s="68" t="str">
        <f aca="false">IF($B229="","",IF($B229="01水果",IFERROR(INDEX(对接源_01水果!$B$5:$B$507,MATCH(ROW()-3,对接源_01水果!$Q$5:$Q$507,0)),""),IFERROR(INDEX(对接源_02物料!$B$5:$B$460,MATCH(ROW()-3-N(对接源_01水果!$T$1),对接源_02物料!$Q$5:$Q$460,0)),"")))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29" s="67" t="str">
        <f aca="false">IF($B229="","",IF($B229="01水果",IFERROR(INDEX(对接源_01水果!$C$5:$C$507,MATCH(ROW()-3,对接源_01水果!$Q$5:$Q$507,0)),""),IFERROR(INDEX(对接源_02物料!$C$5:$C$460,MATCH(ROW()-3-N(对接源_01水果!$T$1),对接源_02物料!$Q$5:$Q$460,0)),"")))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29" s="69" t="str">
        <f aca="false">IF($B229="","",IF($B229="01水果",IFERROR(INDEX(对接源_01水果!$D$5:$D$507,MATCH(ROW()-3,对接源_01水果!$Q$5:$Q$507,0)),""),IFERROR(INDEX(对接源_02物料!$D$5:$D$460,MATCH(ROW()-3-N(对接源_01水果!$T$1),对接源_02物料!$Q$5:$Q$460,0)),"")))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29" s="67" t="str">
        <f aca="false">IF($B229="","",IF($B229="01水果",IFERROR(INDEX(对接源_01水果!$E$5:$E$507,MATCH(ROW()-3,对接源_01水果!$Q$5:$Q$507,0)),""),IFERROR(INDEX(对接源_02物料!$E$5:$E$460,MATCH(ROW()-3-N(对接源_01水果!$T$1),对接源_02物料!$Q$5:$Q$460,0)),"")))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29" s="70" t="str">
        <f aca="false">IF($B229="","",IF($B229="01水果",IFERROR(INDEX(对接源_01水果!$F$5:$F$507,MATCH(ROW()-3,对接源_01水果!$Q$5:$Q$507,0)),""),IFERROR(INDEX(对接源_02物料!$F$5:$F$460,MATCH(ROW()-3-N(对接源_01水果!$T$1),对接源_02物料!$Q$5:$Q$460,0)),"")))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29" s="70" t="str">
        <f aca="false">IF($B229="","",IF($B229="01水果",IFERROR(INDEX(对接源_01水果!$G$5:$G$507,MATCH(ROW()-3,对接源_01水果!$Q$5:$Q$507,0)),""),IFERROR(INDEX(对接源_02物料!$G$5:$G$460,MATCH(ROW()-3-N(对接源_01水果!$T$1),对接源_02物料!$Q$5:$Q$460,0)),"")))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29" s="67" t="str">
        <f aca="false">IF(OR($D229="客户应收",$D229="成品销售款",$D229="公司购买果品款",$D229="筐子销售款",$D229="物料销售款"),"客户往来",IFERROR(INDEX(收入成本映射!$C$4:$C$34,MATCH($D229,收入成本映射!$B$4:$B$34,0)),"不记账"))</f>
        <v>不记账</v>
      </c>
      <c r="J229" s="67" t="str">
        <f aca="false">IF($B229="","","0%")</f>
        <v/>
      </c>
      <c r="K229" s="70" t="n">
        <f aca="false">IF($I229="不记账",0,ROUND(N($G229),2))</f>
        <v>0</v>
      </c>
      <c r="L229" s="70" t="n">
        <v>0</v>
      </c>
      <c r="M229" s="67" t="str">
        <f aca="false">IF(OR($I229="不记账",ROUND(N($G229),2)=0),"",IFERROR(INDEX(收入成本映射!$E$4:$E$34,MATCH($D229,收入成本映射!$B$4:$B$34,0)),""))</f>
        <v/>
      </c>
      <c r="N229" s="70" t="str">
        <f aca="false">IF($M229="","",ROUND(N($G229),2))</f>
        <v/>
      </c>
      <c r="O229" s="70" t="str">
        <f aca="false">IF($M229="","",0)</f>
        <v/>
      </c>
      <c r="P229" s="67" t="str">
        <f aca="false">IF($M229="","",IFERROR(INDEX(收入成本映射!$F$4:$F$34,MATCH($D229,收入成本映射!$B$4:$B$34,0)),""))</f>
        <v/>
      </c>
      <c r="Q229" s="70" t="str">
        <f aca="false">IF($P229="","",0)</f>
        <v/>
      </c>
      <c r="R229" s="70" t="str">
        <f aca="false">IF($P229="","",ROUND(N($G229),2))</f>
        <v/>
      </c>
      <c r="S229" s="67" t="str">
        <f aca="false">""</f>
        <v/>
      </c>
      <c r="T229" s="70" t="str">
        <f aca="false">IF($S229="","",0)</f>
        <v/>
      </c>
      <c r="U229" s="70" t="str">
        <f aca="false">IF($S229="","",0)</f>
        <v/>
      </c>
      <c r="V229" s="66" t="str">
        <f aca="false">IF($B229="","",IF($B229="01水果",IFERROR(INDEX(对接源_01水果!$H$5:$H$507,MATCH(ROW()-3,对接源_01水果!$Q$5:$Q$507,0)),""),IFERROR(INDEX(对接源_02物料!$H$5:$H$460,MATCH(ROW()-3-N(对接源_01水果!$T$1),对接源_02物料!$Q$5:$Q$460,0)),"")))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0" customFormat="false" ht="18" hidden="false" customHeight="true" outlineLevel="0" collapsed="false">
      <c r="A230" s="66" t="n">
        <v>227</v>
      </c>
      <c r="B230" s="67" t="str">
        <f aca="false">IF(ROW()-3&lt;=N(对接源_01水果!$T$1),"01水果",IF(ROW()-3&lt;=N(对接源_01水果!$T$1)+N(对接源_02物料!$T$1),"02物料",""))</f>
        <v/>
      </c>
      <c r="C230" s="68" t="str">
        <f aca="false">IF($B230="","",IF($B230="01水果",IFERROR(INDEX(对接源_01水果!$B$5:$B$507,MATCH(ROW()-3,对接源_01水果!$Q$5:$Q$507,0)),""),IFERROR(INDEX(对接源_02物料!$B$5:$B$460,MATCH(ROW()-3-N(对接源_01水果!$T$1),对接源_02物料!$Q$5:$Q$460,0)),"")))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0" s="67" t="str">
        <f aca="false">IF($B230="","",IF($B230="01水果",IFERROR(INDEX(对接源_01水果!$C$5:$C$507,MATCH(ROW()-3,对接源_01水果!$Q$5:$Q$507,0)),""),IFERROR(INDEX(对接源_02物料!$C$5:$C$460,MATCH(ROW()-3-N(对接源_01水果!$T$1),对接源_02物料!$Q$5:$Q$460,0)),"")))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0" s="69" t="str">
        <f aca="false">IF($B230="","",IF($B230="01水果",IFERROR(INDEX(对接源_01水果!$D$5:$D$507,MATCH(ROW()-3,对接源_01水果!$Q$5:$Q$507,0)),""),IFERROR(INDEX(对接源_02物料!$D$5:$D$460,MATCH(ROW()-3-N(对接源_01水果!$T$1),对接源_02物料!$Q$5:$Q$460,0)),"")))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0" s="67" t="str">
        <f aca="false">IF($B230="","",IF($B230="01水果",IFERROR(INDEX(对接源_01水果!$E$5:$E$507,MATCH(ROW()-3,对接源_01水果!$Q$5:$Q$507,0)),""),IFERROR(INDEX(对接源_02物料!$E$5:$E$460,MATCH(ROW()-3-N(对接源_01水果!$T$1),对接源_02物料!$Q$5:$Q$460,0)),"")))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0" s="70" t="str">
        <f aca="false">IF($B230="","",IF($B230="01水果",IFERROR(INDEX(对接源_01水果!$F$5:$F$507,MATCH(ROW()-3,对接源_01水果!$Q$5:$Q$507,0)),""),IFERROR(INDEX(对接源_02物料!$F$5:$F$460,MATCH(ROW()-3-N(对接源_01水果!$T$1),对接源_02物料!$Q$5:$Q$460,0)),"")))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0" s="70" t="str">
        <f aca="false">IF($B230="","",IF($B230="01水果",IFERROR(INDEX(对接源_01水果!$G$5:$G$507,MATCH(ROW()-3,对接源_01水果!$Q$5:$Q$507,0)),""),IFERROR(INDEX(对接源_02物料!$G$5:$G$460,MATCH(ROW()-3-N(对接源_01水果!$T$1),对接源_02物料!$Q$5:$Q$460,0)),"")))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0" s="67" t="str">
        <f aca="false">IF(OR($D230="客户应收",$D230="成品销售款",$D230="公司购买果品款",$D230="筐子销售款",$D230="物料销售款"),"客户往来",IFERROR(INDEX(收入成本映射!$C$4:$C$34,MATCH($D230,收入成本映射!$B$4:$B$34,0)),"不记账"))</f>
        <v>不记账</v>
      </c>
      <c r="J230" s="67" t="str">
        <f aca="false">IF($B230="","","0%")</f>
        <v/>
      </c>
      <c r="K230" s="70" t="n">
        <f aca="false">IF($I230="不记账",0,ROUND(N($G230),2))</f>
        <v>0</v>
      </c>
      <c r="L230" s="70" t="n">
        <v>0</v>
      </c>
      <c r="M230" s="67" t="str">
        <f aca="false">IF(OR($I230="不记账",ROUND(N($G230),2)=0),"",IFERROR(INDEX(收入成本映射!$E$4:$E$34,MATCH($D230,收入成本映射!$B$4:$B$34,0)),""))</f>
        <v/>
      </c>
      <c r="N230" s="70" t="str">
        <f aca="false">IF($M230="","",ROUND(N($G230),2))</f>
        <v/>
      </c>
      <c r="O230" s="70" t="str">
        <f aca="false">IF($M230="","",0)</f>
        <v/>
      </c>
      <c r="P230" s="67" t="str">
        <f aca="false">IF($M230="","",IFERROR(INDEX(收入成本映射!$F$4:$F$34,MATCH($D230,收入成本映射!$B$4:$B$34,0)),""))</f>
        <v/>
      </c>
      <c r="Q230" s="70" t="str">
        <f aca="false">IF($P230="","",0)</f>
        <v/>
      </c>
      <c r="R230" s="70" t="str">
        <f aca="false">IF($P230="","",ROUND(N($G230),2))</f>
        <v/>
      </c>
      <c r="S230" s="67" t="str">
        <f aca="false">""</f>
        <v/>
      </c>
      <c r="T230" s="70" t="str">
        <f aca="false">IF($S230="","",0)</f>
        <v/>
      </c>
      <c r="U230" s="70" t="str">
        <f aca="false">IF($S230="","",0)</f>
        <v/>
      </c>
      <c r="V230" s="66" t="str">
        <f aca="false">IF($B230="","",IF($B230="01水果",IFERROR(INDEX(对接源_01水果!$H$5:$H$507,MATCH(ROW()-3,对接源_01水果!$Q$5:$Q$507,0)),""),IFERROR(INDEX(对接源_02物料!$H$5:$H$460,MATCH(ROW()-3-N(对接源_01水果!$T$1),对接源_02物料!$Q$5:$Q$460,0)),"")))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1" customFormat="false" ht="18" hidden="false" customHeight="true" outlineLevel="0" collapsed="false">
      <c r="A231" s="66" t="n">
        <v>228</v>
      </c>
      <c r="B231" s="67" t="str">
        <f aca="false">IF(ROW()-3&lt;=N(对接源_01水果!$T$1),"01水果",IF(ROW()-3&lt;=N(对接源_01水果!$T$1)+N(对接源_02物料!$T$1),"02物料",""))</f>
        <v/>
      </c>
      <c r="C231" s="68" t="str">
        <f aca="false">IF($B231="","",IF($B231="01水果",IFERROR(INDEX(对接源_01水果!$B$5:$B$507,MATCH(ROW()-3,对接源_01水果!$Q$5:$Q$507,0)),""),IFERROR(INDEX(对接源_02物料!$B$5:$B$460,MATCH(ROW()-3-N(对接源_01水果!$T$1),对接源_02物料!$Q$5:$Q$460,0)),"")))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1" s="67" t="str">
        <f aca="false">IF($B231="","",IF($B231="01水果",IFERROR(INDEX(对接源_01水果!$C$5:$C$507,MATCH(ROW()-3,对接源_01水果!$Q$5:$Q$507,0)),""),IFERROR(INDEX(对接源_02物料!$C$5:$C$460,MATCH(ROW()-3-N(对接源_01水果!$T$1),对接源_02物料!$Q$5:$Q$460,0)),"")))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1" s="69" t="str">
        <f aca="false">IF($B231="","",IF($B231="01水果",IFERROR(INDEX(对接源_01水果!$D$5:$D$507,MATCH(ROW()-3,对接源_01水果!$Q$5:$Q$507,0)),""),IFERROR(INDEX(对接源_02物料!$D$5:$D$460,MATCH(ROW()-3-N(对接源_01水果!$T$1),对接源_02物料!$Q$5:$Q$460,0)),"")))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1" s="67" t="str">
        <f aca="false">IF($B231="","",IF($B231="01水果",IFERROR(INDEX(对接源_01水果!$E$5:$E$507,MATCH(ROW()-3,对接源_01水果!$Q$5:$Q$507,0)),""),IFERROR(INDEX(对接源_02物料!$E$5:$E$460,MATCH(ROW()-3-N(对接源_01水果!$T$1),对接源_02物料!$Q$5:$Q$460,0)),"")))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1" s="70" t="str">
        <f aca="false">IF($B231="","",IF($B231="01水果",IFERROR(INDEX(对接源_01水果!$F$5:$F$507,MATCH(ROW()-3,对接源_01水果!$Q$5:$Q$507,0)),""),IFERROR(INDEX(对接源_02物料!$F$5:$F$460,MATCH(ROW()-3-N(对接源_01水果!$T$1),对接源_02物料!$Q$5:$Q$460,0)),"")))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1" s="70" t="str">
        <f aca="false">IF($B231="","",IF($B231="01水果",IFERROR(INDEX(对接源_01水果!$G$5:$G$507,MATCH(ROW()-3,对接源_01水果!$Q$5:$Q$507,0)),""),IFERROR(INDEX(对接源_02物料!$G$5:$G$460,MATCH(ROW()-3-N(对接源_01水果!$T$1),对接源_02物料!$Q$5:$Q$460,0)),"")))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1" s="67" t="str">
        <f aca="false">IF(OR($D231="客户应收",$D231="成品销售款",$D231="公司购买果品款",$D231="筐子销售款",$D231="物料销售款"),"客户往来",IFERROR(INDEX(收入成本映射!$C$4:$C$34,MATCH($D231,收入成本映射!$B$4:$B$34,0)),"不记账"))</f>
        <v>不记账</v>
      </c>
      <c r="J231" s="67" t="str">
        <f aca="false">IF($B231="","","0%")</f>
        <v/>
      </c>
      <c r="K231" s="70" t="n">
        <f aca="false">IF($I231="不记账",0,ROUND(N($G231),2))</f>
        <v>0</v>
      </c>
      <c r="L231" s="70" t="n">
        <v>0</v>
      </c>
      <c r="M231" s="67" t="str">
        <f aca="false">IF(OR($I231="不记账",ROUND(N($G231),2)=0),"",IFERROR(INDEX(收入成本映射!$E$4:$E$34,MATCH($D231,收入成本映射!$B$4:$B$34,0)),""))</f>
        <v/>
      </c>
      <c r="N231" s="70" t="str">
        <f aca="false">IF($M231="","",ROUND(N($G231),2))</f>
        <v/>
      </c>
      <c r="O231" s="70" t="str">
        <f aca="false">IF($M231="","",0)</f>
        <v/>
      </c>
      <c r="P231" s="67" t="str">
        <f aca="false">IF($M231="","",IFERROR(INDEX(收入成本映射!$F$4:$F$34,MATCH($D231,收入成本映射!$B$4:$B$34,0)),""))</f>
        <v/>
      </c>
      <c r="Q231" s="70" t="str">
        <f aca="false">IF($P231="","",0)</f>
        <v/>
      </c>
      <c r="R231" s="70" t="str">
        <f aca="false">IF($P231="","",ROUND(N($G231),2))</f>
        <v/>
      </c>
      <c r="S231" s="67" t="str">
        <f aca="false">""</f>
        <v/>
      </c>
      <c r="T231" s="70" t="str">
        <f aca="false">IF($S231="","",0)</f>
        <v/>
      </c>
      <c r="U231" s="70" t="str">
        <f aca="false">IF($S231="","",0)</f>
        <v/>
      </c>
      <c r="V231" s="66" t="str">
        <f aca="false">IF($B231="","",IF($B231="01水果",IFERROR(INDEX(对接源_01水果!$H$5:$H$507,MATCH(ROW()-3,对接源_01水果!$Q$5:$Q$507,0)),""),IFERROR(INDEX(对接源_02物料!$H$5:$H$460,MATCH(ROW()-3-N(对接源_01水果!$T$1),对接源_02物料!$Q$5:$Q$460,0)),"")))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2" customFormat="false" ht="18" hidden="false" customHeight="true" outlineLevel="0" collapsed="false">
      <c r="A232" s="66" t="n">
        <v>229</v>
      </c>
      <c r="B232" s="67" t="str">
        <f aca="false">IF(ROW()-3&lt;=N(对接源_01水果!$T$1),"01水果",IF(ROW()-3&lt;=N(对接源_01水果!$T$1)+N(对接源_02物料!$T$1),"02物料",""))</f>
        <v/>
      </c>
      <c r="C232" s="68" t="str">
        <f aca="false">IF($B232="","",IF($B232="01水果",IFERROR(INDEX(对接源_01水果!$B$5:$B$507,MATCH(ROW()-3,对接源_01水果!$Q$5:$Q$507,0)),""),IFERROR(INDEX(对接源_02物料!$B$5:$B$460,MATCH(ROW()-3-N(对接源_01水果!$T$1),对接源_02物料!$Q$5:$Q$460,0)),"")))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2" s="67" t="str">
        <f aca="false">IF($B232="","",IF($B232="01水果",IFERROR(INDEX(对接源_01水果!$C$5:$C$507,MATCH(ROW()-3,对接源_01水果!$Q$5:$Q$507,0)),""),IFERROR(INDEX(对接源_02物料!$C$5:$C$460,MATCH(ROW()-3-N(对接源_01水果!$T$1),对接源_02物料!$Q$5:$Q$460,0)),"")))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2" s="69" t="str">
        <f aca="false">IF($B232="","",IF($B232="01水果",IFERROR(INDEX(对接源_01水果!$D$5:$D$507,MATCH(ROW()-3,对接源_01水果!$Q$5:$Q$507,0)),""),IFERROR(INDEX(对接源_02物料!$D$5:$D$460,MATCH(ROW()-3-N(对接源_01水果!$T$1),对接源_02物料!$Q$5:$Q$460,0)),"")))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2" s="67" t="str">
        <f aca="false">IF($B232="","",IF($B232="01水果",IFERROR(INDEX(对接源_01水果!$E$5:$E$507,MATCH(ROW()-3,对接源_01水果!$Q$5:$Q$507,0)),""),IFERROR(INDEX(对接源_02物料!$E$5:$E$460,MATCH(ROW()-3-N(对接源_01水果!$T$1),对接源_02物料!$Q$5:$Q$460,0)),"")))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2" s="70" t="str">
        <f aca="false">IF($B232="","",IF($B232="01水果",IFERROR(INDEX(对接源_01水果!$F$5:$F$507,MATCH(ROW()-3,对接源_01水果!$Q$5:$Q$507,0)),""),IFERROR(INDEX(对接源_02物料!$F$5:$F$460,MATCH(ROW()-3-N(对接源_01水果!$T$1),对接源_02物料!$Q$5:$Q$460,0)),"")))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2" s="70" t="str">
        <f aca="false">IF($B232="","",IF($B232="01水果",IFERROR(INDEX(对接源_01水果!$G$5:$G$507,MATCH(ROW()-3,对接源_01水果!$Q$5:$Q$507,0)),""),IFERROR(INDEX(对接源_02物料!$G$5:$G$460,MATCH(ROW()-3-N(对接源_01水果!$T$1),对接源_02物料!$Q$5:$Q$460,0)),"")))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2" s="67" t="str">
        <f aca="false">IF(OR($D232="客户应收",$D232="成品销售款",$D232="公司购买果品款",$D232="筐子销售款",$D232="物料销售款"),"客户往来",IFERROR(INDEX(收入成本映射!$C$4:$C$34,MATCH($D232,收入成本映射!$B$4:$B$34,0)),"不记账"))</f>
        <v>不记账</v>
      </c>
      <c r="J232" s="67" t="str">
        <f aca="false">IF($B232="","","0%")</f>
        <v/>
      </c>
      <c r="K232" s="70" t="n">
        <f aca="false">IF($I232="不记账",0,ROUND(N($G232),2))</f>
        <v>0</v>
      </c>
      <c r="L232" s="70" t="n">
        <v>0</v>
      </c>
      <c r="M232" s="67" t="str">
        <f aca="false">IF(OR($I232="不记账",ROUND(N($G232),2)=0),"",IFERROR(INDEX(收入成本映射!$E$4:$E$34,MATCH($D232,收入成本映射!$B$4:$B$34,0)),""))</f>
        <v/>
      </c>
      <c r="N232" s="70" t="str">
        <f aca="false">IF($M232="","",ROUND(N($G232),2))</f>
        <v/>
      </c>
      <c r="O232" s="70" t="str">
        <f aca="false">IF($M232="","",0)</f>
        <v/>
      </c>
      <c r="P232" s="67" t="str">
        <f aca="false">IF($M232="","",IFERROR(INDEX(收入成本映射!$F$4:$F$34,MATCH($D232,收入成本映射!$B$4:$B$34,0)),""))</f>
        <v/>
      </c>
      <c r="Q232" s="70" t="str">
        <f aca="false">IF($P232="","",0)</f>
        <v/>
      </c>
      <c r="R232" s="70" t="str">
        <f aca="false">IF($P232="","",ROUND(N($G232),2))</f>
        <v/>
      </c>
      <c r="S232" s="67" t="str">
        <f aca="false">""</f>
        <v/>
      </c>
      <c r="T232" s="70" t="str">
        <f aca="false">IF($S232="","",0)</f>
        <v/>
      </c>
      <c r="U232" s="70" t="str">
        <f aca="false">IF($S232="","",0)</f>
        <v/>
      </c>
      <c r="V232" s="66" t="str">
        <f aca="false">IF($B232="","",IF($B232="01水果",IFERROR(INDEX(对接源_01水果!$H$5:$H$507,MATCH(ROW()-3,对接源_01水果!$Q$5:$Q$507,0)),""),IFERROR(INDEX(对接源_02物料!$H$5:$H$460,MATCH(ROW()-3-N(对接源_01水果!$T$1),对接源_02物料!$Q$5:$Q$460,0)),"")))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3" customFormat="false" ht="18" hidden="false" customHeight="true" outlineLevel="0" collapsed="false">
      <c r="A233" s="66" t="n">
        <v>230</v>
      </c>
      <c r="B233" s="67" t="str">
        <f aca="false">IF(ROW()-3&lt;=N(对接源_01水果!$T$1),"01水果",IF(ROW()-3&lt;=N(对接源_01水果!$T$1)+N(对接源_02物料!$T$1),"02物料",""))</f>
        <v/>
      </c>
      <c r="C233" s="68" t="str">
        <f aca="false">IF($B233="","",IF($B233="01水果",IFERROR(INDEX(对接源_01水果!$B$5:$B$507,MATCH(ROW()-3,对接源_01水果!$Q$5:$Q$507,0)),""),IFERROR(INDEX(对接源_02物料!$B$5:$B$460,MATCH(ROW()-3-N(对接源_01水果!$T$1),对接源_02物料!$Q$5:$Q$460,0)),"")))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3" s="67" t="str">
        <f aca="false">IF($B233="","",IF($B233="01水果",IFERROR(INDEX(对接源_01水果!$C$5:$C$507,MATCH(ROW()-3,对接源_01水果!$Q$5:$Q$507,0)),""),IFERROR(INDEX(对接源_02物料!$C$5:$C$460,MATCH(ROW()-3-N(对接源_01水果!$T$1),对接源_02物料!$Q$5:$Q$460,0)),"")))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3" s="69" t="str">
        <f aca="false">IF($B233="","",IF($B233="01水果",IFERROR(INDEX(对接源_01水果!$D$5:$D$507,MATCH(ROW()-3,对接源_01水果!$Q$5:$Q$507,0)),""),IFERROR(INDEX(对接源_02物料!$D$5:$D$460,MATCH(ROW()-3-N(对接源_01水果!$T$1),对接源_02物料!$Q$5:$Q$460,0)),"")))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3" s="67" t="str">
        <f aca="false">IF($B233="","",IF($B233="01水果",IFERROR(INDEX(对接源_01水果!$E$5:$E$507,MATCH(ROW()-3,对接源_01水果!$Q$5:$Q$507,0)),""),IFERROR(INDEX(对接源_02物料!$E$5:$E$460,MATCH(ROW()-3-N(对接源_01水果!$T$1),对接源_02物料!$Q$5:$Q$460,0)),"")))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3" s="70" t="str">
        <f aca="false">IF($B233="","",IF($B233="01水果",IFERROR(INDEX(对接源_01水果!$F$5:$F$507,MATCH(ROW()-3,对接源_01水果!$Q$5:$Q$507,0)),""),IFERROR(INDEX(对接源_02物料!$F$5:$F$460,MATCH(ROW()-3-N(对接源_01水果!$T$1),对接源_02物料!$Q$5:$Q$460,0)),"")))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3" s="70" t="str">
        <f aca="false">IF($B233="","",IF($B233="01水果",IFERROR(INDEX(对接源_01水果!$G$5:$G$507,MATCH(ROW()-3,对接源_01水果!$Q$5:$Q$507,0)),""),IFERROR(INDEX(对接源_02物料!$G$5:$G$460,MATCH(ROW()-3-N(对接源_01水果!$T$1),对接源_02物料!$Q$5:$Q$460,0)),"")))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3" s="67" t="str">
        <f aca="false">IF(OR($D233="客户应收",$D233="成品销售款",$D233="公司购买果品款",$D233="筐子销售款",$D233="物料销售款"),"客户往来",IFERROR(INDEX(收入成本映射!$C$4:$C$34,MATCH($D233,收入成本映射!$B$4:$B$34,0)),"不记账"))</f>
        <v>不记账</v>
      </c>
      <c r="J233" s="67" t="str">
        <f aca="false">IF($B233="","","0%")</f>
        <v/>
      </c>
      <c r="K233" s="70" t="n">
        <f aca="false">IF($I233="不记账",0,ROUND(N($G233),2))</f>
        <v>0</v>
      </c>
      <c r="L233" s="70" t="n">
        <v>0</v>
      </c>
      <c r="M233" s="67" t="str">
        <f aca="false">IF(OR($I233="不记账",ROUND(N($G233),2)=0),"",IFERROR(INDEX(收入成本映射!$E$4:$E$34,MATCH($D233,收入成本映射!$B$4:$B$34,0)),""))</f>
        <v/>
      </c>
      <c r="N233" s="70" t="str">
        <f aca="false">IF($M233="","",ROUND(N($G233),2))</f>
        <v/>
      </c>
      <c r="O233" s="70" t="str">
        <f aca="false">IF($M233="","",0)</f>
        <v/>
      </c>
      <c r="P233" s="67" t="str">
        <f aca="false">IF($M233="","",IFERROR(INDEX(收入成本映射!$F$4:$F$34,MATCH($D233,收入成本映射!$B$4:$B$34,0)),""))</f>
        <v/>
      </c>
      <c r="Q233" s="70" t="str">
        <f aca="false">IF($P233="","",0)</f>
        <v/>
      </c>
      <c r="R233" s="70" t="str">
        <f aca="false">IF($P233="","",ROUND(N($G233),2))</f>
        <v/>
      </c>
      <c r="S233" s="67" t="str">
        <f aca="false">""</f>
        <v/>
      </c>
      <c r="T233" s="70" t="str">
        <f aca="false">IF($S233="","",0)</f>
        <v/>
      </c>
      <c r="U233" s="70" t="str">
        <f aca="false">IF($S233="","",0)</f>
        <v/>
      </c>
      <c r="V233" s="66" t="str">
        <f aca="false">IF($B233="","",IF($B233="01水果",IFERROR(INDEX(对接源_01水果!$H$5:$H$507,MATCH(ROW()-3,对接源_01水果!$Q$5:$Q$507,0)),""),IFERROR(INDEX(对接源_02物料!$H$5:$H$460,MATCH(ROW()-3-N(对接源_01水果!$T$1),对接源_02物料!$Q$5:$Q$460,0)),"")))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4" customFormat="false" ht="18" hidden="false" customHeight="true" outlineLevel="0" collapsed="false">
      <c r="A234" s="66" t="n">
        <v>231</v>
      </c>
      <c r="B234" s="67" t="str">
        <f aca="false">IF(ROW()-3&lt;=N(对接源_01水果!$T$1),"01水果",IF(ROW()-3&lt;=N(对接源_01水果!$T$1)+N(对接源_02物料!$T$1),"02物料",""))</f>
        <v/>
      </c>
      <c r="C234" s="68" t="str">
        <f aca="false">IF($B234="","",IF($B234="01水果",IFERROR(INDEX(对接源_01水果!$B$5:$B$507,MATCH(ROW()-3,对接源_01水果!$Q$5:$Q$507,0)),""),IFERROR(INDEX(对接源_02物料!$B$5:$B$460,MATCH(ROW()-3-N(对接源_01水果!$T$1),对接源_02物料!$Q$5:$Q$460,0)),"")))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4" s="67" t="str">
        <f aca="false">IF($B234="","",IF($B234="01水果",IFERROR(INDEX(对接源_01水果!$C$5:$C$507,MATCH(ROW()-3,对接源_01水果!$Q$5:$Q$507,0)),""),IFERROR(INDEX(对接源_02物料!$C$5:$C$460,MATCH(ROW()-3-N(对接源_01水果!$T$1),对接源_02物料!$Q$5:$Q$460,0)),"")))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4" s="69" t="str">
        <f aca="false">IF($B234="","",IF($B234="01水果",IFERROR(INDEX(对接源_01水果!$D$5:$D$507,MATCH(ROW()-3,对接源_01水果!$Q$5:$Q$507,0)),""),IFERROR(INDEX(对接源_02物料!$D$5:$D$460,MATCH(ROW()-3-N(对接源_01水果!$T$1),对接源_02物料!$Q$5:$Q$460,0)),"")))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4" s="67" t="str">
        <f aca="false">IF($B234="","",IF($B234="01水果",IFERROR(INDEX(对接源_01水果!$E$5:$E$507,MATCH(ROW()-3,对接源_01水果!$Q$5:$Q$507,0)),""),IFERROR(INDEX(对接源_02物料!$E$5:$E$460,MATCH(ROW()-3-N(对接源_01水果!$T$1),对接源_02物料!$Q$5:$Q$460,0)),"")))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4" s="70" t="str">
        <f aca="false">IF($B234="","",IF($B234="01水果",IFERROR(INDEX(对接源_01水果!$F$5:$F$507,MATCH(ROW()-3,对接源_01水果!$Q$5:$Q$507,0)),""),IFERROR(INDEX(对接源_02物料!$F$5:$F$460,MATCH(ROW()-3-N(对接源_01水果!$T$1),对接源_02物料!$Q$5:$Q$460,0)),"")))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4" s="70" t="str">
        <f aca="false">IF($B234="","",IF($B234="01水果",IFERROR(INDEX(对接源_01水果!$G$5:$G$507,MATCH(ROW()-3,对接源_01水果!$Q$5:$Q$507,0)),""),IFERROR(INDEX(对接源_02物料!$G$5:$G$460,MATCH(ROW()-3-N(对接源_01水果!$T$1),对接源_02物料!$Q$5:$Q$460,0)),"")))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4" s="67" t="str">
        <f aca="false">IF(OR($D234="客户应收",$D234="成品销售款",$D234="公司购买果品款",$D234="筐子销售款",$D234="物料销售款"),"客户往来",IFERROR(INDEX(收入成本映射!$C$4:$C$34,MATCH($D234,收入成本映射!$B$4:$B$34,0)),"不记账"))</f>
        <v>不记账</v>
      </c>
      <c r="J234" s="67" t="str">
        <f aca="false">IF($B234="","","0%")</f>
        <v/>
      </c>
      <c r="K234" s="70" t="n">
        <f aca="false">IF($I234="不记账",0,ROUND(N($G234),2))</f>
        <v>0</v>
      </c>
      <c r="L234" s="70" t="n">
        <v>0</v>
      </c>
      <c r="M234" s="67" t="str">
        <f aca="false">IF(OR($I234="不记账",ROUND(N($G234),2)=0),"",IFERROR(INDEX(收入成本映射!$E$4:$E$34,MATCH($D234,收入成本映射!$B$4:$B$34,0)),""))</f>
        <v/>
      </c>
      <c r="N234" s="70" t="str">
        <f aca="false">IF($M234="","",ROUND(N($G234),2))</f>
        <v/>
      </c>
      <c r="O234" s="70" t="str">
        <f aca="false">IF($M234="","",0)</f>
        <v/>
      </c>
      <c r="P234" s="67" t="str">
        <f aca="false">IF($M234="","",IFERROR(INDEX(收入成本映射!$F$4:$F$34,MATCH($D234,收入成本映射!$B$4:$B$34,0)),""))</f>
        <v/>
      </c>
      <c r="Q234" s="70" t="str">
        <f aca="false">IF($P234="","",0)</f>
        <v/>
      </c>
      <c r="R234" s="70" t="str">
        <f aca="false">IF($P234="","",ROUND(N($G234),2))</f>
        <v/>
      </c>
      <c r="S234" s="67" t="str">
        <f aca="false">""</f>
        <v/>
      </c>
      <c r="T234" s="70" t="str">
        <f aca="false">IF($S234="","",0)</f>
        <v/>
      </c>
      <c r="U234" s="70" t="str">
        <f aca="false">IF($S234="","",0)</f>
        <v/>
      </c>
      <c r="V234" s="66" t="str">
        <f aca="false">IF($B234="","",IF($B234="01水果",IFERROR(INDEX(对接源_01水果!$H$5:$H$507,MATCH(ROW()-3,对接源_01水果!$Q$5:$Q$507,0)),""),IFERROR(INDEX(对接源_02物料!$H$5:$H$460,MATCH(ROW()-3-N(对接源_01水果!$T$1),对接源_02物料!$Q$5:$Q$460,0)),"")))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5" customFormat="false" ht="18" hidden="false" customHeight="true" outlineLevel="0" collapsed="false">
      <c r="A235" s="66" t="n">
        <v>232</v>
      </c>
      <c r="B235" s="67" t="str">
        <f aca="false">IF(ROW()-3&lt;=N(对接源_01水果!$T$1),"01水果",IF(ROW()-3&lt;=N(对接源_01水果!$T$1)+N(对接源_02物料!$T$1),"02物料",""))</f>
        <v/>
      </c>
      <c r="C235" s="68" t="str">
        <f aca="false">IF($B235="","",IF($B235="01水果",IFERROR(INDEX(对接源_01水果!$B$5:$B$507,MATCH(ROW()-3,对接源_01水果!$Q$5:$Q$507,0)),""),IFERROR(INDEX(对接源_02物料!$B$5:$B$460,MATCH(ROW()-3-N(对接源_01水果!$T$1),对接源_02物料!$Q$5:$Q$460,0)),"")))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5" s="67" t="str">
        <f aca="false">IF($B235="","",IF($B235="01水果",IFERROR(INDEX(对接源_01水果!$C$5:$C$507,MATCH(ROW()-3,对接源_01水果!$Q$5:$Q$507,0)),""),IFERROR(INDEX(对接源_02物料!$C$5:$C$460,MATCH(ROW()-3-N(对接源_01水果!$T$1),对接源_02物料!$Q$5:$Q$460,0)),"")))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5" s="69" t="str">
        <f aca="false">IF($B235="","",IF($B235="01水果",IFERROR(INDEX(对接源_01水果!$D$5:$D$507,MATCH(ROW()-3,对接源_01水果!$Q$5:$Q$507,0)),""),IFERROR(INDEX(对接源_02物料!$D$5:$D$460,MATCH(ROW()-3-N(对接源_01水果!$T$1),对接源_02物料!$Q$5:$Q$460,0)),"")))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5" s="67" t="str">
        <f aca="false">IF($B235="","",IF($B235="01水果",IFERROR(INDEX(对接源_01水果!$E$5:$E$507,MATCH(ROW()-3,对接源_01水果!$Q$5:$Q$507,0)),""),IFERROR(INDEX(对接源_02物料!$E$5:$E$460,MATCH(ROW()-3-N(对接源_01水果!$T$1),对接源_02物料!$Q$5:$Q$460,0)),"")))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5" s="70" t="str">
        <f aca="false">IF($B235="","",IF($B235="01水果",IFERROR(INDEX(对接源_01水果!$F$5:$F$507,MATCH(ROW()-3,对接源_01水果!$Q$5:$Q$507,0)),""),IFERROR(INDEX(对接源_02物料!$F$5:$F$460,MATCH(ROW()-3-N(对接源_01水果!$T$1),对接源_02物料!$Q$5:$Q$460,0)),"")))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5" s="70" t="str">
        <f aca="false">IF($B235="","",IF($B235="01水果",IFERROR(INDEX(对接源_01水果!$G$5:$G$507,MATCH(ROW()-3,对接源_01水果!$Q$5:$Q$507,0)),""),IFERROR(INDEX(对接源_02物料!$G$5:$G$460,MATCH(ROW()-3-N(对接源_01水果!$T$1),对接源_02物料!$Q$5:$Q$460,0)),"")))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5" s="67" t="str">
        <f aca="false">IF(OR($D235="客户应收",$D235="成品销售款",$D235="公司购买果品款",$D235="筐子销售款",$D235="物料销售款"),"客户往来",IFERROR(INDEX(收入成本映射!$C$4:$C$34,MATCH($D235,收入成本映射!$B$4:$B$34,0)),"不记账"))</f>
        <v>不记账</v>
      </c>
      <c r="J235" s="67" t="str">
        <f aca="false">IF($B235="","","0%")</f>
        <v/>
      </c>
      <c r="K235" s="70" t="n">
        <f aca="false">IF($I235="不记账",0,ROUND(N($G235),2))</f>
        <v>0</v>
      </c>
      <c r="L235" s="70" t="n">
        <v>0</v>
      </c>
      <c r="M235" s="67" t="str">
        <f aca="false">IF(OR($I235="不记账",ROUND(N($G235),2)=0),"",IFERROR(INDEX(收入成本映射!$E$4:$E$34,MATCH($D235,收入成本映射!$B$4:$B$34,0)),""))</f>
        <v/>
      </c>
      <c r="N235" s="70" t="str">
        <f aca="false">IF($M235="","",ROUND(N($G235),2))</f>
        <v/>
      </c>
      <c r="O235" s="70" t="str">
        <f aca="false">IF($M235="","",0)</f>
        <v/>
      </c>
      <c r="P235" s="67" t="str">
        <f aca="false">IF($M235="","",IFERROR(INDEX(收入成本映射!$F$4:$F$34,MATCH($D235,收入成本映射!$B$4:$B$34,0)),""))</f>
        <v/>
      </c>
      <c r="Q235" s="70" t="str">
        <f aca="false">IF($P235="","",0)</f>
        <v/>
      </c>
      <c r="R235" s="70" t="str">
        <f aca="false">IF($P235="","",ROUND(N($G235),2))</f>
        <v/>
      </c>
      <c r="S235" s="67" t="str">
        <f aca="false">""</f>
        <v/>
      </c>
      <c r="T235" s="70" t="str">
        <f aca="false">IF($S235="","",0)</f>
        <v/>
      </c>
      <c r="U235" s="70" t="str">
        <f aca="false">IF($S235="","",0)</f>
        <v/>
      </c>
      <c r="V235" s="66" t="str">
        <f aca="false">IF($B235="","",IF($B235="01水果",IFERROR(INDEX(对接源_01水果!$H$5:$H$507,MATCH(ROW()-3,对接源_01水果!$Q$5:$Q$507,0)),""),IFERROR(INDEX(对接源_02物料!$H$5:$H$460,MATCH(ROW()-3-N(对接源_01水果!$T$1),对接源_02物料!$Q$5:$Q$460,0)),"")))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6" customFormat="false" ht="18" hidden="false" customHeight="true" outlineLevel="0" collapsed="false">
      <c r="A236" s="66" t="n">
        <v>233</v>
      </c>
      <c r="B236" s="67" t="str">
        <f aca="false">IF(ROW()-3&lt;=N(对接源_01水果!$T$1),"01水果",IF(ROW()-3&lt;=N(对接源_01水果!$T$1)+N(对接源_02物料!$T$1),"02物料",""))</f>
        <v/>
      </c>
      <c r="C236" s="68" t="str">
        <f aca="false">IF($B236="","",IF($B236="01水果",IFERROR(INDEX(对接源_01水果!$B$5:$B$507,MATCH(ROW()-3,对接源_01水果!$Q$5:$Q$507,0)),""),IFERROR(INDEX(对接源_02物料!$B$5:$B$460,MATCH(ROW()-3-N(对接源_01水果!$T$1),对接源_02物料!$Q$5:$Q$460,0)),"")))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6" s="67" t="str">
        <f aca="false">IF($B236="","",IF($B236="01水果",IFERROR(INDEX(对接源_01水果!$C$5:$C$507,MATCH(ROW()-3,对接源_01水果!$Q$5:$Q$507,0)),""),IFERROR(INDEX(对接源_02物料!$C$5:$C$460,MATCH(ROW()-3-N(对接源_01水果!$T$1),对接源_02物料!$Q$5:$Q$460,0)),"")))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6" s="69" t="str">
        <f aca="false">IF($B236="","",IF($B236="01水果",IFERROR(INDEX(对接源_01水果!$D$5:$D$507,MATCH(ROW()-3,对接源_01水果!$Q$5:$Q$507,0)),""),IFERROR(INDEX(对接源_02物料!$D$5:$D$460,MATCH(ROW()-3-N(对接源_01水果!$T$1),对接源_02物料!$Q$5:$Q$460,0)),"")))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6" s="67" t="str">
        <f aca="false">IF($B236="","",IF($B236="01水果",IFERROR(INDEX(对接源_01水果!$E$5:$E$507,MATCH(ROW()-3,对接源_01水果!$Q$5:$Q$507,0)),""),IFERROR(INDEX(对接源_02物料!$E$5:$E$460,MATCH(ROW()-3-N(对接源_01水果!$T$1),对接源_02物料!$Q$5:$Q$460,0)),"")))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6" s="70" t="str">
        <f aca="false">IF($B236="","",IF($B236="01水果",IFERROR(INDEX(对接源_01水果!$F$5:$F$507,MATCH(ROW()-3,对接源_01水果!$Q$5:$Q$507,0)),""),IFERROR(INDEX(对接源_02物料!$F$5:$F$460,MATCH(ROW()-3-N(对接源_01水果!$T$1),对接源_02物料!$Q$5:$Q$460,0)),"")))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6" s="70" t="str">
        <f aca="false">IF($B236="","",IF($B236="01水果",IFERROR(INDEX(对接源_01水果!$G$5:$G$507,MATCH(ROW()-3,对接源_01水果!$Q$5:$Q$507,0)),""),IFERROR(INDEX(对接源_02物料!$G$5:$G$460,MATCH(ROW()-3-N(对接源_01水果!$T$1),对接源_02物料!$Q$5:$Q$460,0)),"")))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6" s="67" t="str">
        <f aca="false">IF(OR($D236="客户应收",$D236="成品销售款",$D236="公司购买果品款",$D236="筐子销售款",$D236="物料销售款"),"客户往来",IFERROR(INDEX(收入成本映射!$C$4:$C$34,MATCH($D236,收入成本映射!$B$4:$B$34,0)),"不记账"))</f>
        <v>不记账</v>
      </c>
      <c r="J236" s="67" t="str">
        <f aca="false">IF($B236="","","0%")</f>
        <v/>
      </c>
      <c r="K236" s="70" t="n">
        <f aca="false">IF($I236="不记账",0,ROUND(N($G236),2))</f>
        <v>0</v>
      </c>
      <c r="L236" s="70" t="n">
        <v>0</v>
      </c>
      <c r="M236" s="67" t="str">
        <f aca="false">IF(OR($I236="不记账",ROUND(N($G236),2)=0),"",IFERROR(INDEX(收入成本映射!$E$4:$E$34,MATCH($D236,收入成本映射!$B$4:$B$34,0)),""))</f>
        <v/>
      </c>
      <c r="N236" s="70" t="str">
        <f aca="false">IF($M236="","",ROUND(N($G236),2))</f>
        <v/>
      </c>
      <c r="O236" s="70" t="str">
        <f aca="false">IF($M236="","",0)</f>
        <v/>
      </c>
      <c r="P236" s="67" t="str">
        <f aca="false">IF($M236="","",IFERROR(INDEX(收入成本映射!$F$4:$F$34,MATCH($D236,收入成本映射!$B$4:$B$34,0)),""))</f>
        <v/>
      </c>
      <c r="Q236" s="70" t="str">
        <f aca="false">IF($P236="","",0)</f>
        <v/>
      </c>
      <c r="R236" s="70" t="str">
        <f aca="false">IF($P236="","",ROUND(N($G236),2))</f>
        <v/>
      </c>
      <c r="S236" s="67" t="str">
        <f aca="false">""</f>
        <v/>
      </c>
      <c r="T236" s="70" t="str">
        <f aca="false">IF($S236="","",0)</f>
        <v/>
      </c>
      <c r="U236" s="70" t="str">
        <f aca="false">IF($S236="","",0)</f>
        <v/>
      </c>
      <c r="V236" s="66" t="str">
        <f aca="false">IF($B236="","",IF($B236="01水果",IFERROR(INDEX(对接源_01水果!$H$5:$H$507,MATCH(ROW()-3,对接源_01水果!$Q$5:$Q$507,0)),""),IFERROR(INDEX(对接源_02物料!$H$5:$H$460,MATCH(ROW()-3-N(对接源_01水果!$T$1),对接源_02物料!$Q$5:$Q$460,0)),"")))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7" customFormat="false" ht="18" hidden="false" customHeight="true" outlineLevel="0" collapsed="false">
      <c r="A237" s="66" t="n">
        <v>234</v>
      </c>
      <c r="B237" s="67" t="str">
        <f aca="false">IF(ROW()-3&lt;=N(对接源_01水果!$T$1),"01水果",IF(ROW()-3&lt;=N(对接源_01水果!$T$1)+N(对接源_02物料!$T$1),"02物料",""))</f>
        <v/>
      </c>
      <c r="C237" s="68" t="str">
        <f aca="false">IF($B237="","",IF($B237="01水果",IFERROR(INDEX(对接源_01水果!$B$5:$B$507,MATCH(ROW()-3,对接源_01水果!$Q$5:$Q$507,0)),""),IFERROR(INDEX(对接源_02物料!$B$5:$B$460,MATCH(ROW()-3-N(对接源_01水果!$T$1),对接源_02物料!$Q$5:$Q$460,0)),"")))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7" s="67" t="str">
        <f aca="false">IF($B237="","",IF($B237="01水果",IFERROR(INDEX(对接源_01水果!$C$5:$C$507,MATCH(ROW()-3,对接源_01水果!$Q$5:$Q$507,0)),""),IFERROR(INDEX(对接源_02物料!$C$5:$C$460,MATCH(ROW()-3-N(对接源_01水果!$T$1),对接源_02物料!$Q$5:$Q$460,0)),"")))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7" s="69" t="str">
        <f aca="false">IF($B237="","",IF($B237="01水果",IFERROR(INDEX(对接源_01水果!$D$5:$D$507,MATCH(ROW()-3,对接源_01水果!$Q$5:$Q$507,0)),""),IFERROR(INDEX(对接源_02物料!$D$5:$D$460,MATCH(ROW()-3-N(对接源_01水果!$T$1),对接源_02物料!$Q$5:$Q$460,0)),"")))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7" s="67" t="str">
        <f aca="false">IF($B237="","",IF($B237="01水果",IFERROR(INDEX(对接源_01水果!$E$5:$E$507,MATCH(ROW()-3,对接源_01水果!$Q$5:$Q$507,0)),""),IFERROR(INDEX(对接源_02物料!$E$5:$E$460,MATCH(ROW()-3-N(对接源_01水果!$T$1),对接源_02物料!$Q$5:$Q$460,0)),"")))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7" s="70" t="str">
        <f aca="false">IF($B237="","",IF($B237="01水果",IFERROR(INDEX(对接源_01水果!$F$5:$F$507,MATCH(ROW()-3,对接源_01水果!$Q$5:$Q$507,0)),""),IFERROR(INDEX(对接源_02物料!$F$5:$F$460,MATCH(ROW()-3-N(对接源_01水果!$T$1),对接源_02物料!$Q$5:$Q$460,0)),"")))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7" s="70" t="str">
        <f aca="false">IF($B237="","",IF($B237="01水果",IFERROR(INDEX(对接源_01水果!$G$5:$G$507,MATCH(ROW()-3,对接源_01水果!$Q$5:$Q$507,0)),""),IFERROR(INDEX(对接源_02物料!$G$5:$G$460,MATCH(ROW()-3-N(对接源_01水果!$T$1),对接源_02物料!$Q$5:$Q$460,0)),"")))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7" s="67" t="str">
        <f aca="false">IF(OR($D237="客户应收",$D237="成品销售款",$D237="公司购买果品款",$D237="筐子销售款",$D237="物料销售款"),"客户往来",IFERROR(INDEX(收入成本映射!$C$4:$C$34,MATCH($D237,收入成本映射!$B$4:$B$34,0)),"不记账"))</f>
        <v>不记账</v>
      </c>
      <c r="J237" s="67" t="str">
        <f aca="false">IF($B237="","","0%")</f>
        <v/>
      </c>
      <c r="K237" s="70" t="n">
        <f aca="false">IF($I237="不记账",0,ROUND(N($G237),2))</f>
        <v>0</v>
      </c>
      <c r="L237" s="70" t="n">
        <v>0</v>
      </c>
      <c r="M237" s="67" t="str">
        <f aca="false">IF(OR($I237="不记账",ROUND(N($G237),2)=0),"",IFERROR(INDEX(收入成本映射!$E$4:$E$34,MATCH($D237,收入成本映射!$B$4:$B$34,0)),""))</f>
        <v/>
      </c>
      <c r="N237" s="70" t="str">
        <f aca="false">IF($M237="","",ROUND(N($G237),2))</f>
        <v/>
      </c>
      <c r="O237" s="70" t="str">
        <f aca="false">IF($M237="","",0)</f>
        <v/>
      </c>
      <c r="P237" s="67" t="str">
        <f aca="false">IF($M237="","",IFERROR(INDEX(收入成本映射!$F$4:$F$34,MATCH($D237,收入成本映射!$B$4:$B$34,0)),""))</f>
        <v/>
      </c>
      <c r="Q237" s="70" t="str">
        <f aca="false">IF($P237="","",0)</f>
        <v/>
      </c>
      <c r="R237" s="70" t="str">
        <f aca="false">IF($P237="","",ROUND(N($G237),2))</f>
        <v/>
      </c>
      <c r="S237" s="67" t="str">
        <f aca="false">""</f>
        <v/>
      </c>
      <c r="T237" s="70" t="str">
        <f aca="false">IF($S237="","",0)</f>
        <v/>
      </c>
      <c r="U237" s="70" t="str">
        <f aca="false">IF($S237="","",0)</f>
        <v/>
      </c>
      <c r="V237" s="66" t="str">
        <f aca="false">IF($B237="","",IF($B237="01水果",IFERROR(INDEX(对接源_01水果!$H$5:$H$507,MATCH(ROW()-3,对接源_01水果!$Q$5:$Q$507,0)),""),IFERROR(INDEX(对接源_02物料!$H$5:$H$460,MATCH(ROW()-3-N(对接源_01水果!$T$1),对接源_02物料!$Q$5:$Q$460,0)),"")))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8" customFormat="false" ht="18" hidden="false" customHeight="true" outlineLevel="0" collapsed="false">
      <c r="A238" s="66" t="n">
        <v>235</v>
      </c>
      <c r="B238" s="67" t="str">
        <f aca="false">IF(ROW()-3&lt;=N(对接源_01水果!$T$1),"01水果",IF(ROW()-3&lt;=N(对接源_01水果!$T$1)+N(对接源_02物料!$T$1),"02物料",""))</f>
        <v/>
      </c>
      <c r="C238" s="68" t="str">
        <f aca="false">IF($B238="","",IF($B238="01水果",IFERROR(INDEX(对接源_01水果!$B$5:$B$507,MATCH(ROW()-3,对接源_01水果!$Q$5:$Q$507,0)),""),IFERROR(INDEX(对接源_02物料!$B$5:$B$460,MATCH(ROW()-3-N(对接源_01水果!$T$1),对接源_02物料!$Q$5:$Q$460,0)),"")))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8" s="67" t="str">
        <f aca="false">IF($B238="","",IF($B238="01水果",IFERROR(INDEX(对接源_01水果!$C$5:$C$507,MATCH(ROW()-3,对接源_01水果!$Q$5:$Q$507,0)),""),IFERROR(INDEX(对接源_02物料!$C$5:$C$460,MATCH(ROW()-3-N(对接源_01水果!$T$1),对接源_02物料!$Q$5:$Q$460,0)),"")))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8" s="69" t="str">
        <f aca="false">IF($B238="","",IF($B238="01水果",IFERROR(INDEX(对接源_01水果!$D$5:$D$507,MATCH(ROW()-3,对接源_01水果!$Q$5:$Q$507,0)),""),IFERROR(INDEX(对接源_02物料!$D$5:$D$460,MATCH(ROW()-3-N(对接源_01水果!$T$1),对接源_02物料!$Q$5:$Q$460,0)),"")))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8" s="67" t="str">
        <f aca="false">IF($B238="","",IF($B238="01水果",IFERROR(INDEX(对接源_01水果!$E$5:$E$507,MATCH(ROW()-3,对接源_01水果!$Q$5:$Q$507,0)),""),IFERROR(INDEX(对接源_02物料!$E$5:$E$460,MATCH(ROW()-3-N(对接源_01水果!$T$1),对接源_02物料!$Q$5:$Q$460,0)),"")))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8" s="70" t="str">
        <f aca="false">IF($B238="","",IF($B238="01水果",IFERROR(INDEX(对接源_01水果!$F$5:$F$507,MATCH(ROW()-3,对接源_01水果!$Q$5:$Q$507,0)),""),IFERROR(INDEX(对接源_02物料!$F$5:$F$460,MATCH(ROW()-3-N(对接源_01水果!$T$1),对接源_02物料!$Q$5:$Q$460,0)),"")))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8" s="70" t="str">
        <f aca="false">IF($B238="","",IF($B238="01水果",IFERROR(INDEX(对接源_01水果!$G$5:$G$507,MATCH(ROW()-3,对接源_01水果!$Q$5:$Q$507,0)),""),IFERROR(INDEX(对接源_02物料!$G$5:$G$460,MATCH(ROW()-3-N(对接源_01水果!$T$1),对接源_02物料!$Q$5:$Q$460,0)),"")))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8" s="67" t="str">
        <f aca="false">IF(OR($D238="客户应收",$D238="成品销售款",$D238="公司购买果品款",$D238="筐子销售款",$D238="物料销售款"),"客户往来",IFERROR(INDEX(收入成本映射!$C$4:$C$34,MATCH($D238,收入成本映射!$B$4:$B$34,0)),"不记账"))</f>
        <v>不记账</v>
      </c>
      <c r="J238" s="67" t="str">
        <f aca="false">IF($B238="","","0%")</f>
        <v/>
      </c>
      <c r="K238" s="70" t="n">
        <f aca="false">IF($I238="不记账",0,ROUND(N($G238),2))</f>
        <v>0</v>
      </c>
      <c r="L238" s="70" t="n">
        <v>0</v>
      </c>
      <c r="M238" s="67" t="str">
        <f aca="false">IF(OR($I238="不记账",ROUND(N($G238),2)=0),"",IFERROR(INDEX(收入成本映射!$E$4:$E$34,MATCH($D238,收入成本映射!$B$4:$B$34,0)),""))</f>
        <v/>
      </c>
      <c r="N238" s="70" t="str">
        <f aca="false">IF($M238="","",ROUND(N($G238),2))</f>
        <v/>
      </c>
      <c r="O238" s="70" t="str">
        <f aca="false">IF($M238="","",0)</f>
        <v/>
      </c>
      <c r="P238" s="67" t="str">
        <f aca="false">IF($M238="","",IFERROR(INDEX(收入成本映射!$F$4:$F$34,MATCH($D238,收入成本映射!$B$4:$B$34,0)),""))</f>
        <v/>
      </c>
      <c r="Q238" s="70" t="str">
        <f aca="false">IF($P238="","",0)</f>
        <v/>
      </c>
      <c r="R238" s="70" t="str">
        <f aca="false">IF($P238="","",ROUND(N($G238),2))</f>
        <v/>
      </c>
      <c r="S238" s="67" t="str">
        <f aca="false">""</f>
        <v/>
      </c>
      <c r="T238" s="70" t="str">
        <f aca="false">IF($S238="","",0)</f>
        <v/>
      </c>
      <c r="U238" s="70" t="str">
        <f aca="false">IF($S238="","",0)</f>
        <v/>
      </c>
      <c r="V238" s="66" t="str">
        <f aca="false">IF($B238="","",IF($B238="01水果",IFERROR(INDEX(对接源_01水果!$H$5:$H$507,MATCH(ROW()-3,对接源_01水果!$Q$5:$Q$507,0)),""),IFERROR(INDEX(对接源_02物料!$H$5:$H$460,MATCH(ROW()-3-N(对接源_01水果!$T$1),对接源_02物料!$Q$5:$Q$460,0)),"")))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39" customFormat="false" ht="18" hidden="false" customHeight="true" outlineLevel="0" collapsed="false">
      <c r="A239" s="66" t="n">
        <v>236</v>
      </c>
      <c r="B239" s="67" t="str">
        <f aca="false">IF(ROW()-3&lt;=N(对接源_01水果!$T$1),"01水果",IF(ROW()-3&lt;=N(对接源_01水果!$T$1)+N(对接源_02物料!$T$1),"02物料",""))</f>
        <v/>
      </c>
      <c r="C239" s="68" t="str">
        <f aca="false">IF($B239="","",IF($B239="01水果",IFERROR(INDEX(对接源_01水果!$B$5:$B$507,MATCH(ROW()-3,对接源_01水果!$Q$5:$Q$507,0)),""),IFERROR(INDEX(对接源_02物料!$B$5:$B$460,MATCH(ROW()-3-N(对接源_01水果!$T$1),对接源_02物料!$Q$5:$Q$460,0)),"")))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39" s="67" t="str">
        <f aca="false">IF($B239="","",IF($B239="01水果",IFERROR(INDEX(对接源_01水果!$C$5:$C$507,MATCH(ROW()-3,对接源_01水果!$Q$5:$Q$507,0)),""),IFERROR(INDEX(对接源_02物料!$C$5:$C$460,MATCH(ROW()-3-N(对接源_01水果!$T$1),对接源_02物料!$Q$5:$Q$460,0)),"")))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39" s="69" t="str">
        <f aca="false">IF($B239="","",IF($B239="01水果",IFERROR(INDEX(对接源_01水果!$D$5:$D$507,MATCH(ROW()-3,对接源_01水果!$Q$5:$Q$507,0)),""),IFERROR(INDEX(对接源_02物料!$D$5:$D$460,MATCH(ROW()-3-N(对接源_01水果!$T$1),对接源_02物料!$Q$5:$Q$460,0)),"")))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39" s="67" t="str">
        <f aca="false">IF($B239="","",IF($B239="01水果",IFERROR(INDEX(对接源_01水果!$E$5:$E$507,MATCH(ROW()-3,对接源_01水果!$Q$5:$Q$507,0)),""),IFERROR(INDEX(对接源_02物料!$E$5:$E$460,MATCH(ROW()-3-N(对接源_01水果!$T$1),对接源_02物料!$Q$5:$Q$460,0)),"")))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39" s="70" t="str">
        <f aca="false">IF($B239="","",IF($B239="01水果",IFERROR(INDEX(对接源_01水果!$F$5:$F$507,MATCH(ROW()-3,对接源_01水果!$Q$5:$Q$507,0)),""),IFERROR(INDEX(对接源_02物料!$F$5:$F$460,MATCH(ROW()-3-N(对接源_01水果!$T$1),对接源_02物料!$Q$5:$Q$460,0)),"")))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39" s="70" t="str">
        <f aca="false">IF($B239="","",IF($B239="01水果",IFERROR(INDEX(对接源_01水果!$G$5:$G$507,MATCH(ROW()-3,对接源_01水果!$Q$5:$Q$507,0)),""),IFERROR(INDEX(对接源_02物料!$G$5:$G$460,MATCH(ROW()-3-N(对接源_01水果!$T$1),对接源_02物料!$Q$5:$Q$460,0)),"")))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39" s="67" t="str">
        <f aca="false">IF(OR($D239="客户应收",$D239="成品销售款",$D239="公司购买果品款",$D239="筐子销售款",$D239="物料销售款"),"客户往来",IFERROR(INDEX(收入成本映射!$C$4:$C$34,MATCH($D239,收入成本映射!$B$4:$B$34,0)),"不记账"))</f>
        <v>不记账</v>
      </c>
      <c r="J239" s="67" t="str">
        <f aca="false">IF($B239="","","0%")</f>
        <v/>
      </c>
      <c r="K239" s="70" t="n">
        <f aca="false">IF($I239="不记账",0,ROUND(N($G239),2))</f>
        <v>0</v>
      </c>
      <c r="L239" s="70" t="n">
        <v>0</v>
      </c>
      <c r="M239" s="67" t="str">
        <f aca="false">IF(OR($I239="不记账",ROUND(N($G239),2)=0),"",IFERROR(INDEX(收入成本映射!$E$4:$E$34,MATCH($D239,收入成本映射!$B$4:$B$34,0)),""))</f>
        <v/>
      </c>
      <c r="N239" s="70" t="str">
        <f aca="false">IF($M239="","",ROUND(N($G239),2))</f>
        <v/>
      </c>
      <c r="O239" s="70" t="str">
        <f aca="false">IF($M239="","",0)</f>
        <v/>
      </c>
      <c r="P239" s="67" t="str">
        <f aca="false">IF($M239="","",IFERROR(INDEX(收入成本映射!$F$4:$F$34,MATCH($D239,收入成本映射!$B$4:$B$34,0)),""))</f>
        <v/>
      </c>
      <c r="Q239" s="70" t="str">
        <f aca="false">IF($P239="","",0)</f>
        <v/>
      </c>
      <c r="R239" s="70" t="str">
        <f aca="false">IF($P239="","",ROUND(N($G239),2))</f>
        <v/>
      </c>
      <c r="S239" s="67" t="str">
        <f aca="false">""</f>
        <v/>
      </c>
      <c r="T239" s="70" t="str">
        <f aca="false">IF($S239="","",0)</f>
        <v/>
      </c>
      <c r="U239" s="70" t="str">
        <f aca="false">IF($S239="","",0)</f>
        <v/>
      </c>
      <c r="V239" s="66" t="str">
        <f aca="false">IF($B239="","",IF($B239="01水果",IFERROR(INDEX(对接源_01水果!$H$5:$H$507,MATCH(ROW()-3,对接源_01水果!$Q$5:$Q$507,0)),""),IFERROR(INDEX(对接源_02物料!$H$5:$H$460,MATCH(ROW()-3-N(对接源_01水果!$T$1),对接源_02物料!$Q$5:$Q$460,0)),"")))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0" customFormat="false" ht="18" hidden="false" customHeight="true" outlineLevel="0" collapsed="false">
      <c r="A240" s="66" t="n">
        <v>237</v>
      </c>
      <c r="B240" s="67" t="str">
        <f aca="false">IF(ROW()-3&lt;=N(对接源_01水果!$T$1),"01水果",IF(ROW()-3&lt;=N(对接源_01水果!$T$1)+N(对接源_02物料!$T$1),"02物料",""))</f>
        <v/>
      </c>
      <c r="C240" s="68" t="str">
        <f aca="false">IF($B240="","",IF($B240="01水果",IFERROR(INDEX(对接源_01水果!$B$5:$B$507,MATCH(ROW()-3,对接源_01水果!$Q$5:$Q$507,0)),""),IFERROR(INDEX(对接源_02物料!$B$5:$B$460,MATCH(ROW()-3-N(对接源_01水果!$T$1),对接源_02物料!$Q$5:$Q$460,0)),"")))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0" s="67" t="str">
        <f aca="false">IF($B240="","",IF($B240="01水果",IFERROR(INDEX(对接源_01水果!$C$5:$C$507,MATCH(ROW()-3,对接源_01水果!$Q$5:$Q$507,0)),""),IFERROR(INDEX(对接源_02物料!$C$5:$C$460,MATCH(ROW()-3-N(对接源_01水果!$T$1),对接源_02物料!$Q$5:$Q$460,0)),"")))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0" s="69" t="str">
        <f aca="false">IF($B240="","",IF($B240="01水果",IFERROR(INDEX(对接源_01水果!$D$5:$D$507,MATCH(ROW()-3,对接源_01水果!$Q$5:$Q$507,0)),""),IFERROR(INDEX(对接源_02物料!$D$5:$D$460,MATCH(ROW()-3-N(对接源_01水果!$T$1),对接源_02物料!$Q$5:$Q$460,0)),"")))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0" s="67" t="str">
        <f aca="false">IF($B240="","",IF($B240="01水果",IFERROR(INDEX(对接源_01水果!$E$5:$E$507,MATCH(ROW()-3,对接源_01水果!$Q$5:$Q$507,0)),""),IFERROR(INDEX(对接源_02物料!$E$5:$E$460,MATCH(ROW()-3-N(对接源_01水果!$T$1),对接源_02物料!$Q$5:$Q$460,0)),"")))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0" s="70" t="str">
        <f aca="false">IF($B240="","",IF($B240="01水果",IFERROR(INDEX(对接源_01水果!$F$5:$F$507,MATCH(ROW()-3,对接源_01水果!$Q$5:$Q$507,0)),""),IFERROR(INDEX(对接源_02物料!$F$5:$F$460,MATCH(ROW()-3-N(对接源_01水果!$T$1),对接源_02物料!$Q$5:$Q$460,0)),"")))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0" s="70" t="str">
        <f aca="false">IF($B240="","",IF($B240="01水果",IFERROR(INDEX(对接源_01水果!$G$5:$G$507,MATCH(ROW()-3,对接源_01水果!$Q$5:$Q$507,0)),""),IFERROR(INDEX(对接源_02物料!$G$5:$G$460,MATCH(ROW()-3-N(对接源_01水果!$T$1),对接源_02物料!$Q$5:$Q$460,0)),"")))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0" s="67" t="str">
        <f aca="false">IF(OR($D240="客户应收",$D240="成品销售款",$D240="公司购买果品款",$D240="筐子销售款",$D240="物料销售款"),"客户往来",IFERROR(INDEX(收入成本映射!$C$4:$C$34,MATCH($D240,收入成本映射!$B$4:$B$34,0)),"不记账"))</f>
        <v>不记账</v>
      </c>
      <c r="J240" s="67" t="str">
        <f aca="false">IF($B240="","","0%")</f>
        <v/>
      </c>
      <c r="K240" s="70" t="n">
        <f aca="false">IF($I240="不记账",0,ROUND(N($G240),2))</f>
        <v>0</v>
      </c>
      <c r="L240" s="70" t="n">
        <v>0</v>
      </c>
      <c r="M240" s="67" t="str">
        <f aca="false">IF(OR($I240="不记账",ROUND(N($G240),2)=0),"",IFERROR(INDEX(收入成本映射!$E$4:$E$34,MATCH($D240,收入成本映射!$B$4:$B$34,0)),""))</f>
        <v/>
      </c>
      <c r="N240" s="70" t="str">
        <f aca="false">IF($M240="","",ROUND(N($G240),2))</f>
        <v/>
      </c>
      <c r="O240" s="70" t="str">
        <f aca="false">IF($M240="","",0)</f>
        <v/>
      </c>
      <c r="P240" s="67" t="str">
        <f aca="false">IF($M240="","",IFERROR(INDEX(收入成本映射!$F$4:$F$34,MATCH($D240,收入成本映射!$B$4:$B$34,0)),""))</f>
        <v/>
      </c>
      <c r="Q240" s="70" t="str">
        <f aca="false">IF($P240="","",0)</f>
        <v/>
      </c>
      <c r="R240" s="70" t="str">
        <f aca="false">IF($P240="","",ROUND(N($G240),2))</f>
        <v/>
      </c>
      <c r="S240" s="67" t="str">
        <f aca="false">""</f>
        <v/>
      </c>
      <c r="T240" s="70" t="str">
        <f aca="false">IF($S240="","",0)</f>
        <v/>
      </c>
      <c r="U240" s="70" t="str">
        <f aca="false">IF($S240="","",0)</f>
        <v/>
      </c>
      <c r="V240" s="66" t="str">
        <f aca="false">IF($B240="","",IF($B240="01水果",IFERROR(INDEX(对接源_01水果!$H$5:$H$507,MATCH(ROW()-3,对接源_01水果!$Q$5:$Q$507,0)),""),IFERROR(INDEX(对接源_02物料!$H$5:$H$460,MATCH(ROW()-3-N(对接源_01水果!$T$1),对接源_02物料!$Q$5:$Q$460,0)),"")))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1" customFormat="false" ht="18" hidden="false" customHeight="true" outlineLevel="0" collapsed="false">
      <c r="A241" s="66" t="n">
        <v>238</v>
      </c>
      <c r="B241" s="67" t="str">
        <f aca="false">IF(ROW()-3&lt;=N(对接源_01水果!$T$1),"01水果",IF(ROW()-3&lt;=N(对接源_01水果!$T$1)+N(对接源_02物料!$T$1),"02物料",""))</f>
        <v/>
      </c>
      <c r="C241" s="68" t="str">
        <f aca="false">IF($B241="","",IF($B241="01水果",IFERROR(INDEX(对接源_01水果!$B$5:$B$507,MATCH(ROW()-3,对接源_01水果!$Q$5:$Q$507,0)),""),IFERROR(INDEX(对接源_02物料!$B$5:$B$460,MATCH(ROW()-3-N(对接源_01水果!$T$1),对接源_02物料!$Q$5:$Q$460,0)),"")))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1" s="67" t="str">
        <f aca="false">IF($B241="","",IF($B241="01水果",IFERROR(INDEX(对接源_01水果!$C$5:$C$507,MATCH(ROW()-3,对接源_01水果!$Q$5:$Q$507,0)),""),IFERROR(INDEX(对接源_02物料!$C$5:$C$460,MATCH(ROW()-3-N(对接源_01水果!$T$1),对接源_02物料!$Q$5:$Q$460,0)),"")))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1" s="69" t="str">
        <f aca="false">IF($B241="","",IF($B241="01水果",IFERROR(INDEX(对接源_01水果!$D$5:$D$507,MATCH(ROW()-3,对接源_01水果!$Q$5:$Q$507,0)),""),IFERROR(INDEX(对接源_02物料!$D$5:$D$460,MATCH(ROW()-3-N(对接源_01水果!$T$1),对接源_02物料!$Q$5:$Q$460,0)),"")))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1" s="67" t="str">
        <f aca="false">IF($B241="","",IF($B241="01水果",IFERROR(INDEX(对接源_01水果!$E$5:$E$507,MATCH(ROW()-3,对接源_01水果!$Q$5:$Q$507,0)),""),IFERROR(INDEX(对接源_02物料!$E$5:$E$460,MATCH(ROW()-3-N(对接源_01水果!$T$1),对接源_02物料!$Q$5:$Q$460,0)),"")))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1" s="70" t="str">
        <f aca="false">IF($B241="","",IF($B241="01水果",IFERROR(INDEX(对接源_01水果!$F$5:$F$507,MATCH(ROW()-3,对接源_01水果!$Q$5:$Q$507,0)),""),IFERROR(INDEX(对接源_02物料!$F$5:$F$460,MATCH(ROW()-3-N(对接源_01水果!$T$1),对接源_02物料!$Q$5:$Q$460,0)),"")))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1" s="70" t="str">
        <f aca="false">IF($B241="","",IF($B241="01水果",IFERROR(INDEX(对接源_01水果!$G$5:$G$507,MATCH(ROW()-3,对接源_01水果!$Q$5:$Q$507,0)),""),IFERROR(INDEX(对接源_02物料!$G$5:$G$460,MATCH(ROW()-3-N(对接源_01水果!$T$1),对接源_02物料!$Q$5:$Q$460,0)),"")))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1" s="67" t="str">
        <f aca="false">IF(OR($D241="客户应收",$D241="成品销售款",$D241="公司购买果品款",$D241="筐子销售款",$D241="物料销售款"),"客户往来",IFERROR(INDEX(收入成本映射!$C$4:$C$34,MATCH($D241,收入成本映射!$B$4:$B$34,0)),"不记账"))</f>
        <v>不记账</v>
      </c>
      <c r="J241" s="67" t="str">
        <f aca="false">IF($B241="","","0%")</f>
        <v/>
      </c>
      <c r="K241" s="70" t="n">
        <f aca="false">IF($I241="不记账",0,ROUND(N($G241),2))</f>
        <v>0</v>
      </c>
      <c r="L241" s="70" t="n">
        <v>0</v>
      </c>
      <c r="M241" s="67" t="str">
        <f aca="false">IF(OR($I241="不记账",ROUND(N($G241),2)=0),"",IFERROR(INDEX(收入成本映射!$E$4:$E$34,MATCH($D241,收入成本映射!$B$4:$B$34,0)),""))</f>
        <v/>
      </c>
      <c r="N241" s="70" t="str">
        <f aca="false">IF($M241="","",ROUND(N($G241),2))</f>
        <v/>
      </c>
      <c r="O241" s="70" t="str">
        <f aca="false">IF($M241="","",0)</f>
        <v/>
      </c>
      <c r="P241" s="67" t="str">
        <f aca="false">IF($M241="","",IFERROR(INDEX(收入成本映射!$F$4:$F$34,MATCH($D241,收入成本映射!$B$4:$B$34,0)),""))</f>
        <v/>
      </c>
      <c r="Q241" s="70" t="str">
        <f aca="false">IF($P241="","",0)</f>
        <v/>
      </c>
      <c r="R241" s="70" t="str">
        <f aca="false">IF($P241="","",ROUND(N($G241),2))</f>
        <v/>
      </c>
      <c r="S241" s="67" t="str">
        <f aca="false">""</f>
        <v/>
      </c>
      <c r="T241" s="70" t="str">
        <f aca="false">IF($S241="","",0)</f>
        <v/>
      </c>
      <c r="U241" s="70" t="str">
        <f aca="false">IF($S241="","",0)</f>
        <v/>
      </c>
      <c r="V241" s="66" t="str">
        <f aca="false">IF($B241="","",IF($B241="01水果",IFERROR(INDEX(对接源_01水果!$H$5:$H$507,MATCH(ROW()-3,对接源_01水果!$Q$5:$Q$507,0)),""),IFERROR(INDEX(对接源_02物料!$H$5:$H$460,MATCH(ROW()-3-N(对接源_01水果!$T$1),对接源_02物料!$Q$5:$Q$460,0)),"")))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2" customFormat="false" ht="18" hidden="false" customHeight="true" outlineLevel="0" collapsed="false">
      <c r="A242" s="66" t="n">
        <v>239</v>
      </c>
      <c r="B242" s="67" t="str">
        <f aca="false">IF(ROW()-3&lt;=N(对接源_01水果!$T$1),"01水果",IF(ROW()-3&lt;=N(对接源_01水果!$T$1)+N(对接源_02物料!$T$1),"02物料",""))</f>
        <v/>
      </c>
      <c r="C242" s="68" t="str">
        <f aca="false">IF($B242="","",IF($B242="01水果",IFERROR(INDEX(对接源_01水果!$B$5:$B$507,MATCH(ROW()-3,对接源_01水果!$Q$5:$Q$507,0)),""),IFERROR(INDEX(对接源_02物料!$B$5:$B$460,MATCH(ROW()-3-N(对接源_01水果!$T$1),对接源_02物料!$Q$5:$Q$460,0)),"")))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2" s="67" t="str">
        <f aca="false">IF($B242="","",IF($B242="01水果",IFERROR(INDEX(对接源_01水果!$C$5:$C$507,MATCH(ROW()-3,对接源_01水果!$Q$5:$Q$507,0)),""),IFERROR(INDEX(对接源_02物料!$C$5:$C$460,MATCH(ROW()-3-N(对接源_01水果!$T$1),对接源_02物料!$Q$5:$Q$460,0)),"")))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2" s="69" t="str">
        <f aca="false">IF($B242="","",IF($B242="01水果",IFERROR(INDEX(对接源_01水果!$D$5:$D$507,MATCH(ROW()-3,对接源_01水果!$Q$5:$Q$507,0)),""),IFERROR(INDEX(对接源_02物料!$D$5:$D$460,MATCH(ROW()-3-N(对接源_01水果!$T$1),对接源_02物料!$Q$5:$Q$460,0)),"")))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2" s="67" t="str">
        <f aca="false">IF($B242="","",IF($B242="01水果",IFERROR(INDEX(对接源_01水果!$E$5:$E$507,MATCH(ROW()-3,对接源_01水果!$Q$5:$Q$507,0)),""),IFERROR(INDEX(对接源_02物料!$E$5:$E$460,MATCH(ROW()-3-N(对接源_01水果!$T$1),对接源_02物料!$Q$5:$Q$460,0)),"")))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2" s="70" t="str">
        <f aca="false">IF($B242="","",IF($B242="01水果",IFERROR(INDEX(对接源_01水果!$F$5:$F$507,MATCH(ROW()-3,对接源_01水果!$Q$5:$Q$507,0)),""),IFERROR(INDEX(对接源_02物料!$F$5:$F$460,MATCH(ROW()-3-N(对接源_01水果!$T$1),对接源_02物料!$Q$5:$Q$460,0)),"")))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2" s="70" t="str">
        <f aca="false">IF($B242="","",IF($B242="01水果",IFERROR(INDEX(对接源_01水果!$G$5:$G$507,MATCH(ROW()-3,对接源_01水果!$Q$5:$Q$507,0)),""),IFERROR(INDEX(对接源_02物料!$G$5:$G$460,MATCH(ROW()-3-N(对接源_01水果!$T$1),对接源_02物料!$Q$5:$Q$460,0)),"")))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2" s="67" t="str">
        <f aca="false">IF(OR($D242="客户应收",$D242="成品销售款",$D242="公司购买果品款",$D242="筐子销售款",$D242="物料销售款"),"客户往来",IFERROR(INDEX(收入成本映射!$C$4:$C$34,MATCH($D242,收入成本映射!$B$4:$B$34,0)),"不记账"))</f>
        <v>不记账</v>
      </c>
      <c r="J242" s="67" t="str">
        <f aca="false">IF($B242="","","0%")</f>
        <v/>
      </c>
      <c r="K242" s="70" t="n">
        <f aca="false">IF($I242="不记账",0,ROUND(N($G242),2))</f>
        <v>0</v>
      </c>
      <c r="L242" s="70" t="n">
        <v>0</v>
      </c>
      <c r="M242" s="67" t="str">
        <f aca="false">IF(OR($I242="不记账",ROUND(N($G242),2)=0),"",IFERROR(INDEX(收入成本映射!$E$4:$E$34,MATCH($D242,收入成本映射!$B$4:$B$34,0)),""))</f>
        <v/>
      </c>
      <c r="N242" s="70" t="str">
        <f aca="false">IF($M242="","",ROUND(N($G242),2))</f>
        <v/>
      </c>
      <c r="O242" s="70" t="str">
        <f aca="false">IF($M242="","",0)</f>
        <v/>
      </c>
      <c r="P242" s="67" t="str">
        <f aca="false">IF($M242="","",IFERROR(INDEX(收入成本映射!$F$4:$F$34,MATCH($D242,收入成本映射!$B$4:$B$34,0)),""))</f>
        <v/>
      </c>
      <c r="Q242" s="70" t="str">
        <f aca="false">IF($P242="","",0)</f>
        <v/>
      </c>
      <c r="R242" s="70" t="str">
        <f aca="false">IF($P242="","",ROUND(N($G242),2))</f>
        <v/>
      </c>
      <c r="S242" s="67" t="str">
        <f aca="false">""</f>
        <v/>
      </c>
      <c r="T242" s="70" t="str">
        <f aca="false">IF($S242="","",0)</f>
        <v/>
      </c>
      <c r="U242" s="70" t="str">
        <f aca="false">IF($S242="","",0)</f>
        <v/>
      </c>
      <c r="V242" s="66" t="str">
        <f aca="false">IF($B242="","",IF($B242="01水果",IFERROR(INDEX(对接源_01水果!$H$5:$H$507,MATCH(ROW()-3,对接源_01水果!$Q$5:$Q$507,0)),""),IFERROR(INDEX(对接源_02物料!$H$5:$H$460,MATCH(ROW()-3-N(对接源_01水果!$T$1),对接源_02物料!$Q$5:$Q$460,0)),"")))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3" customFormat="false" ht="18" hidden="false" customHeight="true" outlineLevel="0" collapsed="false">
      <c r="A243" s="66" t="n">
        <v>240</v>
      </c>
      <c r="B243" s="67" t="str">
        <f aca="false">IF(ROW()-3&lt;=N(对接源_01水果!$T$1),"01水果",IF(ROW()-3&lt;=N(对接源_01水果!$T$1)+N(对接源_02物料!$T$1),"02物料",""))</f>
        <v/>
      </c>
      <c r="C243" s="68" t="str">
        <f aca="false">IF($B243="","",IF($B243="01水果",IFERROR(INDEX(对接源_01水果!$B$5:$B$507,MATCH(ROW()-3,对接源_01水果!$Q$5:$Q$507,0)),""),IFERROR(INDEX(对接源_02物料!$B$5:$B$460,MATCH(ROW()-3-N(对接源_01水果!$T$1),对接源_02物料!$Q$5:$Q$460,0)),"")))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3" s="67" t="str">
        <f aca="false">IF($B243="","",IF($B243="01水果",IFERROR(INDEX(对接源_01水果!$C$5:$C$507,MATCH(ROW()-3,对接源_01水果!$Q$5:$Q$507,0)),""),IFERROR(INDEX(对接源_02物料!$C$5:$C$460,MATCH(ROW()-3-N(对接源_01水果!$T$1),对接源_02物料!$Q$5:$Q$460,0)),"")))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3" s="69" t="str">
        <f aca="false">IF($B243="","",IF($B243="01水果",IFERROR(INDEX(对接源_01水果!$D$5:$D$507,MATCH(ROW()-3,对接源_01水果!$Q$5:$Q$507,0)),""),IFERROR(INDEX(对接源_02物料!$D$5:$D$460,MATCH(ROW()-3-N(对接源_01水果!$T$1),对接源_02物料!$Q$5:$Q$460,0)),"")))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3" s="67" t="str">
        <f aca="false">IF($B243="","",IF($B243="01水果",IFERROR(INDEX(对接源_01水果!$E$5:$E$507,MATCH(ROW()-3,对接源_01水果!$Q$5:$Q$507,0)),""),IFERROR(INDEX(对接源_02物料!$E$5:$E$460,MATCH(ROW()-3-N(对接源_01水果!$T$1),对接源_02物料!$Q$5:$Q$460,0)),"")))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3" s="70" t="str">
        <f aca="false">IF($B243="","",IF($B243="01水果",IFERROR(INDEX(对接源_01水果!$F$5:$F$507,MATCH(ROW()-3,对接源_01水果!$Q$5:$Q$507,0)),""),IFERROR(INDEX(对接源_02物料!$F$5:$F$460,MATCH(ROW()-3-N(对接源_01水果!$T$1),对接源_02物料!$Q$5:$Q$460,0)),"")))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3" s="70" t="str">
        <f aca="false">IF($B243="","",IF($B243="01水果",IFERROR(INDEX(对接源_01水果!$G$5:$G$507,MATCH(ROW()-3,对接源_01水果!$Q$5:$Q$507,0)),""),IFERROR(INDEX(对接源_02物料!$G$5:$G$460,MATCH(ROW()-3-N(对接源_01水果!$T$1),对接源_02物料!$Q$5:$Q$460,0)),"")))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3" s="67" t="str">
        <f aca="false">IF(OR($D243="客户应收",$D243="成品销售款",$D243="公司购买果品款",$D243="筐子销售款",$D243="物料销售款"),"客户往来",IFERROR(INDEX(收入成本映射!$C$4:$C$34,MATCH($D243,收入成本映射!$B$4:$B$34,0)),"不记账"))</f>
        <v>不记账</v>
      </c>
      <c r="J243" s="67" t="str">
        <f aca="false">IF($B243="","","0%")</f>
        <v/>
      </c>
      <c r="K243" s="70" t="n">
        <f aca="false">IF($I243="不记账",0,ROUND(N($G243),2))</f>
        <v>0</v>
      </c>
      <c r="L243" s="70" t="n">
        <v>0</v>
      </c>
      <c r="M243" s="67" t="str">
        <f aca="false">IF(OR($I243="不记账",ROUND(N($G243),2)=0),"",IFERROR(INDEX(收入成本映射!$E$4:$E$34,MATCH($D243,收入成本映射!$B$4:$B$34,0)),""))</f>
        <v/>
      </c>
      <c r="N243" s="70" t="str">
        <f aca="false">IF($M243="","",ROUND(N($G243),2))</f>
        <v/>
      </c>
      <c r="O243" s="70" t="str">
        <f aca="false">IF($M243="","",0)</f>
        <v/>
      </c>
      <c r="P243" s="67" t="str">
        <f aca="false">IF($M243="","",IFERROR(INDEX(收入成本映射!$F$4:$F$34,MATCH($D243,收入成本映射!$B$4:$B$34,0)),""))</f>
        <v/>
      </c>
      <c r="Q243" s="70" t="str">
        <f aca="false">IF($P243="","",0)</f>
        <v/>
      </c>
      <c r="R243" s="70" t="str">
        <f aca="false">IF($P243="","",ROUND(N($G243),2))</f>
        <v/>
      </c>
      <c r="S243" s="67" t="str">
        <f aca="false">""</f>
        <v/>
      </c>
      <c r="T243" s="70" t="str">
        <f aca="false">IF($S243="","",0)</f>
        <v/>
      </c>
      <c r="U243" s="70" t="str">
        <f aca="false">IF($S243="","",0)</f>
        <v/>
      </c>
      <c r="V243" s="66" t="str">
        <f aca="false">IF($B243="","",IF($B243="01水果",IFERROR(INDEX(对接源_01水果!$H$5:$H$507,MATCH(ROW()-3,对接源_01水果!$Q$5:$Q$507,0)),""),IFERROR(INDEX(对接源_02物料!$H$5:$H$460,MATCH(ROW()-3-N(对接源_01水果!$T$1),对接源_02物料!$Q$5:$Q$460,0)),"")))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4" customFormat="false" ht="18" hidden="false" customHeight="true" outlineLevel="0" collapsed="false">
      <c r="A244" s="66" t="n">
        <v>241</v>
      </c>
      <c r="B244" s="67" t="str">
        <f aca="false">IF(ROW()-3&lt;=N(对接源_01水果!$T$1),"01水果",IF(ROW()-3&lt;=N(对接源_01水果!$T$1)+N(对接源_02物料!$T$1),"02物料",""))</f>
        <v/>
      </c>
      <c r="C244" s="68" t="str">
        <f aca="false">IF($B244="","",IF($B244="01水果",IFERROR(INDEX(对接源_01水果!$B$5:$B$507,MATCH(ROW()-3,对接源_01水果!$Q$5:$Q$507,0)),""),IFERROR(INDEX(对接源_02物料!$B$5:$B$460,MATCH(ROW()-3-N(对接源_01水果!$T$1),对接源_02物料!$Q$5:$Q$460,0)),"")))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4" s="67" t="str">
        <f aca="false">IF($B244="","",IF($B244="01水果",IFERROR(INDEX(对接源_01水果!$C$5:$C$507,MATCH(ROW()-3,对接源_01水果!$Q$5:$Q$507,0)),""),IFERROR(INDEX(对接源_02物料!$C$5:$C$460,MATCH(ROW()-3-N(对接源_01水果!$T$1),对接源_02物料!$Q$5:$Q$460,0)),"")))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4" s="69" t="str">
        <f aca="false">IF($B244="","",IF($B244="01水果",IFERROR(INDEX(对接源_01水果!$D$5:$D$507,MATCH(ROW()-3,对接源_01水果!$Q$5:$Q$507,0)),""),IFERROR(INDEX(对接源_02物料!$D$5:$D$460,MATCH(ROW()-3-N(对接源_01水果!$T$1),对接源_02物料!$Q$5:$Q$460,0)),"")))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4" s="67" t="str">
        <f aca="false">IF($B244="","",IF($B244="01水果",IFERROR(INDEX(对接源_01水果!$E$5:$E$507,MATCH(ROW()-3,对接源_01水果!$Q$5:$Q$507,0)),""),IFERROR(INDEX(对接源_02物料!$E$5:$E$460,MATCH(ROW()-3-N(对接源_01水果!$T$1),对接源_02物料!$Q$5:$Q$460,0)),"")))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4" s="70" t="str">
        <f aca="false">IF($B244="","",IF($B244="01水果",IFERROR(INDEX(对接源_01水果!$F$5:$F$507,MATCH(ROW()-3,对接源_01水果!$Q$5:$Q$507,0)),""),IFERROR(INDEX(对接源_02物料!$F$5:$F$460,MATCH(ROW()-3-N(对接源_01水果!$T$1),对接源_02物料!$Q$5:$Q$460,0)),"")))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4" s="70" t="str">
        <f aca="false">IF($B244="","",IF($B244="01水果",IFERROR(INDEX(对接源_01水果!$G$5:$G$507,MATCH(ROW()-3,对接源_01水果!$Q$5:$Q$507,0)),""),IFERROR(INDEX(对接源_02物料!$G$5:$G$460,MATCH(ROW()-3-N(对接源_01水果!$T$1),对接源_02物料!$Q$5:$Q$460,0)),"")))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4" s="67" t="str">
        <f aca="false">IF(OR($D244="客户应收",$D244="成品销售款",$D244="公司购买果品款",$D244="筐子销售款",$D244="物料销售款"),"客户往来",IFERROR(INDEX(收入成本映射!$C$4:$C$34,MATCH($D244,收入成本映射!$B$4:$B$34,0)),"不记账"))</f>
        <v>不记账</v>
      </c>
      <c r="J244" s="67" t="str">
        <f aca="false">IF($B244="","","0%")</f>
        <v/>
      </c>
      <c r="K244" s="70" t="n">
        <f aca="false">IF($I244="不记账",0,ROUND(N($G244),2))</f>
        <v>0</v>
      </c>
      <c r="L244" s="70" t="n">
        <v>0</v>
      </c>
      <c r="M244" s="67" t="str">
        <f aca="false">IF(OR($I244="不记账",ROUND(N($G244),2)=0),"",IFERROR(INDEX(收入成本映射!$E$4:$E$34,MATCH($D244,收入成本映射!$B$4:$B$34,0)),""))</f>
        <v/>
      </c>
      <c r="N244" s="70" t="str">
        <f aca="false">IF($M244="","",ROUND(N($G244),2))</f>
        <v/>
      </c>
      <c r="O244" s="70" t="str">
        <f aca="false">IF($M244="","",0)</f>
        <v/>
      </c>
      <c r="P244" s="67" t="str">
        <f aca="false">IF($M244="","",IFERROR(INDEX(收入成本映射!$F$4:$F$34,MATCH($D244,收入成本映射!$B$4:$B$34,0)),""))</f>
        <v/>
      </c>
      <c r="Q244" s="70" t="str">
        <f aca="false">IF($P244="","",0)</f>
        <v/>
      </c>
      <c r="R244" s="70" t="str">
        <f aca="false">IF($P244="","",ROUND(N($G244),2))</f>
        <v/>
      </c>
      <c r="S244" s="67" t="str">
        <f aca="false">""</f>
        <v/>
      </c>
      <c r="T244" s="70" t="str">
        <f aca="false">IF($S244="","",0)</f>
        <v/>
      </c>
      <c r="U244" s="70" t="str">
        <f aca="false">IF($S244="","",0)</f>
        <v/>
      </c>
      <c r="V244" s="66" t="str">
        <f aca="false">IF($B244="","",IF($B244="01水果",IFERROR(INDEX(对接源_01水果!$H$5:$H$507,MATCH(ROW()-3,对接源_01水果!$Q$5:$Q$507,0)),""),IFERROR(INDEX(对接源_02物料!$H$5:$H$460,MATCH(ROW()-3-N(对接源_01水果!$T$1),对接源_02物料!$Q$5:$Q$460,0)),"")))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5" customFormat="false" ht="18" hidden="false" customHeight="true" outlineLevel="0" collapsed="false">
      <c r="A245" s="66" t="n">
        <v>242</v>
      </c>
      <c r="B245" s="67" t="str">
        <f aca="false">IF(ROW()-3&lt;=N(对接源_01水果!$T$1),"01水果",IF(ROW()-3&lt;=N(对接源_01水果!$T$1)+N(对接源_02物料!$T$1),"02物料",""))</f>
        <v/>
      </c>
      <c r="C245" s="68" t="str">
        <f aca="false">IF($B245="","",IF($B245="01水果",IFERROR(INDEX(对接源_01水果!$B$5:$B$507,MATCH(ROW()-3,对接源_01水果!$Q$5:$Q$507,0)),""),IFERROR(INDEX(对接源_02物料!$B$5:$B$460,MATCH(ROW()-3-N(对接源_01水果!$T$1),对接源_02物料!$Q$5:$Q$460,0)),"")))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5" s="67" t="str">
        <f aca="false">IF($B245="","",IF($B245="01水果",IFERROR(INDEX(对接源_01水果!$C$5:$C$507,MATCH(ROW()-3,对接源_01水果!$Q$5:$Q$507,0)),""),IFERROR(INDEX(对接源_02物料!$C$5:$C$460,MATCH(ROW()-3-N(对接源_01水果!$T$1),对接源_02物料!$Q$5:$Q$460,0)),"")))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5" s="69" t="str">
        <f aca="false">IF($B245="","",IF($B245="01水果",IFERROR(INDEX(对接源_01水果!$D$5:$D$507,MATCH(ROW()-3,对接源_01水果!$Q$5:$Q$507,0)),""),IFERROR(INDEX(对接源_02物料!$D$5:$D$460,MATCH(ROW()-3-N(对接源_01水果!$T$1),对接源_02物料!$Q$5:$Q$460,0)),"")))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5" s="67" t="str">
        <f aca="false">IF($B245="","",IF($B245="01水果",IFERROR(INDEX(对接源_01水果!$E$5:$E$507,MATCH(ROW()-3,对接源_01水果!$Q$5:$Q$507,0)),""),IFERROR(INDEX(对接源_02物料!$E$5:$E$460,MATCH(ROW()-3-N(对接源_01水果!$T$1),对接源_02物料!$Q$5:$Q$460,0)),"")))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5" s="70" t="str">
        <f aca="false">IF($B245="","",IF($B245="01水果",IFERROR(INDEX(对接源_01水果!$F$5:$F$507,MATCH(ROW()-3,对接源_01水果!$Q$5:$Q$507,0)),""),IFERROR(INDEX(对接源_02物料!$F$5:$F$460,MATCH(ROW()-3-N(对接源_01水果!$T$1),对接源_02物料!$Q$5:$Q$460,0)),"")))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5" s="70" t="str">
        <f aca="false">IF($B245="","",IF($B245="01水果",IFERROR(INDEX(对接源_01水果!$G$5:$G$507,MATCH(ROW()-3,对接源_01水果!$Q$5:$Q$507,0)),""),IFERROR(INDEX(对接源_02物料!$G$5:$G$460,MATCH(ROW()-3-N(对接源_01水果!$T$1),对接源_02物料!$Q$5:$Q$460,0)),"")))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5" s="67" t="str">
        <f aca="false">IF(OR($D245="客户应收",$D245="成品销售款",$D245="公司购买果品款",$D245="筐子销售款",$D245="物料销售款"),"客户往来",IFERROR(INDEX(收入成本映射!$C$4:$C$34,MATCH($D245,收入成本映射!$B$4:$B$34,0)),"不记账"))</f>
        <v>不记账</v>
      </c>
      <c r="J245" s="67" t="str">
        <f aca="false">IF($B245="","","0%")</f>
        <v/>
      </c>
      <c r="K245" s="70" t="n">
        <f aca="false">IF($I245="不记账",0,ROUND(N($G245),2))</f>
        <v>0</v>
      </c>
      <c r="L245" s="70" t="n">
        <v>0</v>
      </c>
      <c r="M245" s="67" t="str">
        <f aca="false">IF(OR($I245="不记账",ROUND(N($G245),2)=0),"",IFERROR(INDEX(收入成本映射!$E$4:$E$34,MATCH($D245,收入成本映射!$B$4:$B$34,0)),""))</f>
        <v/>
      </c>
      <c r="N245" s="70" t="str">
        <f aca="false">IF($M245="","",ROUND(N($G245),2))</f>
        <v/>
      </c>
      <c r="O245" s="70" t="str">
        <f aca="false">IF($M245="","",0)</f>
        <v/>
      </c>
      <c r="P245" s="67" t="str">
        <f aca="false">IF($M245="","",IFERROR(INDEX(收入成本映射!$F$4:$F$34,MATCH($D245,收入成本映射!$B$4:$B$34,0)),""))</f>
        <v/>
      </c>
      <c r="Q245" s="70" t="str">
        <f aca="false">IF($P245="","",0)</f>
        <v/>
      </c>
      <c r="R245" s="70" t="str">
        <f aca="false">IF($P245="","",ROUND(N($G245),2))</f>
        <v/>
      </c>
      <c r="S245" s="67" t="str">
        <f aca="false">""</f>
        <v/>
      </c>
      <c r="T245" s="70" t="str">
        <f aca="false">IF($S245="","",0)</f>
        <v/>
      </c>
      <c r="U245" s="70" t="str">
        <f aca="false">IF($S245="","",0)</f>
        <v/>
      </c>
      <c r="V245" s="66" t="str">
        <f aca="false">IF($B245="","",IF($B245="01水果",IFERROR(INDEX(对接源_01水果!$H$5:$H$507,MATCH(ROW()-3,对接源_01水果!$Q$5:$Q$507,0)),""),IFERROR(INDEX(对接源_02物料!$H$5:$H$460,MATCH(ROW()-3-N(对接源_01水果!$T$1),对接源_02物料!$Q$5:$Q$460,0)),"")))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6" customFormat="false" ht="18" hidden="false" customHeight="true" outlineLevel="0" collapsed="false">
      <c r="A246" s="66" t="n">
        <v>243</v>
      </c>
      <c r="B246" s="67" t="str">
        <f aca="false">IF(ROW()-3&lt;=N(对接源_01水果!$T$1),"01水果",IF(ROW()-3&lt;=N(对接源_01水果!$T$1)+N(对接源_02物料!$T$1),"02物料",""))</f>
        <v/>
      </c>
      <c r="C246" s="68" t="str">
        <f aca="false">IF($B246="","",IF($B246="01水果",IFERROR(INDEX(对接源_01水果!$B$5:$B$507,MATCH(ROW()-3,对接源_01水果!$Q$5:$Q$507,0)),""),IFERROR(INDEX(对接源_02物料!$B$5:$B$460,MATCH(ROW()-3-N(对接源_01水果!$T$1),对接源_02物料!$Q$5:$Q$460,0)),"")))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6" s="67" t="str">
        <f aca="false">IF($B246="","",IF($B246="01水果",IFERROR(INDEX(对接源_01水果!$C$5:$C$507,MATCH(ROW()-3,对接源_01水果!$Q$5:$Q$507,0)),""),IFERROR(INDEX(对接源_02物料!$C$5:$C$460,MATCH(ROW()-3-N(对接源_01水果!$T$1),对接源_02物料!$Q$5:$Q$460,0)),"")))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6" s="69" t="str">
        <f aca="false">IF($B246="","",IF($B246="01水果",IFERROR(INDEX(对接源_01水果!$D$5:$D$507,MATCH(ROW()-3,对接源_01水果!$Q$5:$Q$507,0)),""),IFERROR(INDEX(对接源_02物料!$D$5:$D$460,MATCH(ROW()-3-N(对接源_01水果!$T$1),对接源_02物料!$Q$5:$Q$460,0)),"")))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6" s="67" t="str">
        <f aca="false">IF($B246="","",IF($B246="01水果",IFERROR(INDEX(对接源_01水果!$E$5:$E$507,MATCH(ROW()-3,对接源_01水果!$Q$5:$Q$507,0)),""),IFERROR(INDEX(对接源_02物料!$E$5:$E$460,MATCH(ROW()-3-N(对接源_01水果!$T$1),对接源_02物料!$Q$5:$Q$460,0)),"")))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6" s="70" t="str">
        <f aca="false">IF($B246="","",IF($B246="01水果",IFERROR(INDEX(对接源_01水果!$F$5:$F$507,MATCH(ROW()-3,对接源_01水果!$Q$5:$Q$507,0)),""),IFERROR(INDEX(对接源_02物料!$F$5:$F$460,MATCH(ROW()-3-N(对接源_01水果!$T$1),对接源_02物料!$Q$5:$Q$460,0)),"")))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6" s="70" t="str">
        <f aca="false">IF($B246="","",IF($B246="01水果",IFERROR(INDEX(对接源_01水果!$G$5:$G$507,MATCH(ROW()-3,对接源_01水果!$Q$5:$Q$507,0)),""),IFERROR(INDEX(对接源_02物料!$G$5:$G$460,MATCH(ROW()-3-N(对接源_01水果!$T$1),对接源_02物料!$Q$5:$Q$460,0)),"")))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6" s="67" t="str">
        <f aca="false">IF(OR($D246="客户应收",$D246="成品销售款",$D246="公司购买果品款",$D246="筐子销售款",$D246="物料销售款"),"客户往来",IFERROR(INDEX(收入成本映射!$C$4:$C$34,MATCH($D246,收入成本映射!$B$4:$B$34,0)),"不记账"))</f>
        <v>不记账</v>
      </c>
      <c r="J246" s="67" t="str">
        <f aca="false">IF($B246="","","0%")</f>
        <v/>
      </c>
      <c r="K246" s="70" t="n">
        <f aca="false">IF($I246="不记账",0,ROUND(N($G246),2))</f>
        <v>0</v>
      </c>
      <c r="L246" s="70" t="n">
        <v>0</v>
      </c>
      <c r="M246" s="67" t="str">
        <f aca="false">IF(OR($I246="不记账",ROUND(N($G246),2)=0),"",IFERROR(INDEX(收入成本映射!$E$4:$E$34,MATCH($D246,收入成本映射!$B$4:$B$34,0)),""))</f>
        <v/>
      </c>
      <c r="N246" s="70" t="str">
        <f aca="false">IF($M246="","",ROUND(N($G246),2))</f>
        <v/>
      </c>
      <c r="O246" s="70" t="str">
        <f aca="false">IF($M246="","",0)</f>
        <v/>
      </c>
      <c r="P246" s="67" t="str">
        <f aca="false">IF($M246="","",IFERROR(INDEX(收入成本映射!$F$4:$F$34,MATCH($D246,收入成本映射!$B$4:$B$34,0)),""))</f>
        <v/>
      </c>
      <c r="Q246" s="70" t="str">
        <f aca="false">IF($P246="","",0)</f>
        <v/>
      </c>
      <c r="R246" s="70" t="str">
        <f aca="false">IF($P246="","",ROUND(N($G246),2))</f>
        <v/>
      </c>
      <c r="S246" s="67" t="str">
        <f aca="false">""</f>
        <v/>
      </c>
      <c r="T246" s="70" t="str">
        <f aca="false">IF($S246="","",0)</f>
        <v/>
      </c>
      <c r="U246" s="70" t="str">
        <f aca="false">IF($S246="","",0)</f>
        <v/>
      </c>
      <c r="V246" s="66" t="str">
        <f aca="false">IF($B246="","",IF($B246="01水果",IFERROR(INDEX(对接源_01水果!$H$5:$H$507,MATCH(ROW()-3,对接源_01水果!$Q$5:$Q$507,0)),""),IFERROR(INDEX(对接源_02物料!$H$5:$H$460,MATCH(ROW()-3-N(对接源_01水果!$T$1),对接源_02物料!$Q$5:$Q$460,0)),"")))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7" customFormat="false" ht="18" hidden="false" customHeight="true" outlineLevel="0" collapsed="false">
      <c r="A247" s="66" t="n">
        <v>244</v>
      </c>
      <c r="B247" s="67" t="str">
        <f aca="false">IF(ROW()-3&lt;=N(对接源_01水果!$T$1),"01水果",IF(ROW()-3&lt;=N(对接源_01水果!$T$1)+N(对接源_02物料!$T$1),"02物料",""))</f>
        <v/>
      </c>
      <c r="C247" s="68" t="str">
        <f aca="false">IF($B247="","",IF($B247="01水果",IFERROR(INDEX(对接源_01水果!$B$5:$B$507,MATCH(ROW()-3,对接源_01水果!$Q$5:$Q$507,0)),""),IFERROR(INDEX(对接源_02物料!$B$5:$B$460,MATCH(ROW()-3-N(对接源_01水果!$T$1),对接源_02物料!$Q$5:$Q$460,0)),"")))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7" s="67" t="str">
        <f aca="false">IF($B247="","",IF($B247="01水果",IFERROR(INDEX(对接源_01水果!$C$5:$C$507,MATCH(ROW()-3,对接源_01水果!$Q$5:$Q$507,0)),""),IFERROR(INDEX(对接源_02物料!$C$5:$C$460,MATCH(ROW()-3-N(对接源_01水果!$T$1),对接源_02物料!$Q$5:$Q$460,0)),"")))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7" s="69" t="str">
        <f aca="false">IF($B247="","",IF($B247="01水果",IFERROR(INDEX(对接源_01水果!$D$5:$D$507,MATCH(ROW()-3,对接源_01水果!$Q$5:$Q$507,0)),""),IFERROR(INDEX(对接源_02物料!$D$5:$D$460,MATCH(ROW()-3-N(对接源_01水果!$T$1),对接源_02物料!$Q$5:$Q$460,0)),"")))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7" s="67" t="str">
        <f aca="false">IF($B247="","",IF($B247="01水果",IFERROR(INDEX(对接源_01水果!$E$5:$E$507,MATCH(ROW()-3,对接源_01水果!$Q$5:$Q$507,0)),""),IFERROR(INDEX(对接源_02物料!$E$5:$E$460,MATCH(ROW()-3-N(对接源_01水果!$T$1),对接源_02物料!$Q$5:$Q$460,0)),"")))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7" s="70" t="str">
        <f aca="false">IF($B247="","",IF($B247="01水果",IFERROR(INDEX(对接源_01水果!$F$5:$F$507,MATCH(ROW()-3,对接源_01水果!$Q$5:$Q$507,0)),""),IFERROR(INDEX(对接源_02物料!$F$5:$F$460,MATCH(ROW()-3-N(对接源_01水果!$T$1),对接源_02物料!$Q$5:$Q$460,0)),"")))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7" s="70" t="str">
        <f aca="false">IF($B247="","",IF($B247="01水果",IFERROR(INDEX(对接源_01水果!$G$5:$G$507,MATCH(ROW()-3,对接源_01水果!$Q$5:$Q$507,0)),""),IFERROR(INDEX(对接源_02物料!$G$5:$G$460,MATCH(ROW()-3-N(对接源_01水果!$T$1),对接源_02物料!$Q$5:$Q$460,0)),"")))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7" s="67" t="str">
        <f aca="false">IF(OR($D247="客户应收",$D247="成品销售款",$D247="公司购买果品款",$D247="筐子销售款",$D247="物料销售款"),"客户往来",IFERROR(INDEX(收入成本映射!$C$4:$C$34,MATCH($D247,收入成本映射!$B$4:$B$34,0)),"不记账"))</f>
        <v>不记账</v>
      </c>
      <c r="J247" s="67" t="str">
        <f aca="false">IF($B247="","","0%")</f>
        <v/>
      </c>
      <c r="K247" s="70" t="n">
        <f aca="false">IF($I247="不记账",0,ROUND(N($G247),2))</f>
        <v>0</v>
      </c>
      <c r="L247" s="70" t="n">
        <v>0</v>
      </c>
      <c r="M247" s="67" t="str">
        <f aca="false">IF(OR($I247="不记账",ROUND(N($G247),2)=0),"",IFERROR(INDEX(收入成本映射!$E$4:$E$34,MATCH($D247,收入成本映射!$B$4:$B$34,0)),""))</f>
        <v/>
      </c>
      <c r="N247" s="70" t="str">
        <f aca="false">IF($M247="","",ROUND(N($G247),2))</f>
        <v/>
      </c>
      <c r="O247" s="70" t="str">
        <f aca="false">IF($M247="","",0)</f>
        <v/>
      </c>
      <c r="P247" s="67" t="str">
        <f aca="false">IF($M247="","",IFERROR(INDEX(收入成本映射!$F$4:$F$34,MATCH($D247,收入成本映射!$B$4:$B$34,0)),""))</f>
        <v/>
      </c>
      <c r="Q247" s="70" t="str">
        <f aca="false">IF($P247="","",0)</f>
        <v/>
      </c>
      <c r="R247" s="70" t="str">
        <f aca="false">IF($P247="","",ROUND(N($G247),2))</f>
        <v/>
      </c>
      <c r="S247" s="67" t="str">
        <f aca="false">""</f>
        <v/>
      </c>
      <c r="T247" s="70" t="str">
        <f aca="false">IF($S247="","",0)</f>
        <v/>
      </c>
      <c r="U247" s="70" t="str">
        <f aca="false">IF($S247="","",0)</f>
        <v/>
      </c>
      <c r="V247" s="66" t="str">
        <f aca="false">IF($B247="","",IF($B247="01水果",IFERROR(INDEX(对接源_01水果!$H$5:$H$507,MATCH(ROW()-3,对接源_01水果!$Q$5:$Q$507,0)),""),IFERROR(INDEX(对接源_02物料!$H$5:$H$460,MATCH(ROW()-3-N(对接源_01水果!$T$1),对接源_02物料!$Q$5:$Q$460,0)),"")))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8" customFormat="false" ht="18" hidden="false" customHeight="true" outlineLevel="0" collapsed="false">
      <c r="A248" s="66" t="n">
        <v>245</v>
      </c>
      <c r="B248" s="67" t="str">
        <f aca="false">IF(ROW()-3&lt;=N(对接源_01水果!$T$1),"01水果",IF(ROW()-3&lt;=N(对接源_01水果!$T$1)+N(对接源_02物料!$T$1),"02物料",""))</f>
        <v/>
      </c>
      <c r="C248" s="68" t="str">
        <f aca="false">IF($B248="","",IF($B248="01水果",IFERROR(INDEX(对接源_01水果!$B$5:$B$507,MATCH(ROW()-3,对接源_01水果!$Q$5:$Q$507,0)),""),IFERROR(INDEX(对接源_02物料!$B$5:$B$460,MATCH(ROW()-3-N(对接源_01水果!$T$1),对接源_02物料!$Q$5:$Q$460,0)),"")))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8" s="67" t="str">
        <f aca="false">IF($B248="","",IF($B248="01水果",IFERROR(INDEX(对接源_01水果!$C$5:$C$507,MATCH(ROW()-3,对接源_01水果!$Q$5:$Q$507,0)),""),IFERROR(INDEX(对接源_02物料!$C$5:$C$460,MATCH(ROW()-3-N(对接源_01水果!$T$1),对接源_02物料!$Q$5:$Q$460,0)),"")))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8" s="69" t="str">
        <f aca="false">IF($B248="","",IF($B248="01水果",IFERROR(INDEX(对接源_01水果!$D$5:$D$507,MATCH(ROW()-3,对接源_01水果!$Q$5:$Q$507,0)),""),IFERROR(INDEX(对接源_02物料!$D$5:$D$460,MATCH(ROW()-3-N(对接源_01水果!$T$1),对接源_02物料!$Q$5:$Q$460,0)),"")))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8" s="67" t="str">
        <f aca="false">IF($B248="","",IF($B248="01水果",IFERROR(INDEX(对接源_01水果!$E$5:$E$507,MATCH(ROW()-3,对接源_01水果!$Q$5:$Q$507,0)),""),IFERROR(INDEX(对接源_02物料!$E$5:$E$460,MATCH(ROW()-3-N(对接源_01水果!$T$1),对接源_02物料!$Q$5:$Q$460,0)),"")))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8" s="70" t="str">
        <f aca="false">IF($B248="","",IF($B248="01水果",IFERROR(INDEX(对接源_01水果!$F$5:$F$507,MATCH(ROW()-3,对接源_01水果!$Q$5:$Q$507,0)),""),IFERROR(INDEX(对接源_02物料!$F$5:$F$460,MATCH(ROW()-3-N(对接源_01水果!$T$1),对接源_02物料!$Q$5:$Q$460,0)),"")))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8" s="70" t="str">
        <f aca="false">IF($B248="","",IF($B248="01水果",IFERROR(INDEX(对接源_01水果!$G$5:$G$507,MATCH(ROW()-3,对接源_01水果!$Q$5:$Q$507,0)),""),IFERROR(INDEX(对接源_02物料!$G$5:$G$460,MATCH(ROW()-3-N(对接源_01水果!$T$1),对接源_02物料!$Q$5:$Q$460,0)),"")))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8" s="67" t="str">
        <f aca="false">IF(OR($D248="客户应收",$D248="成品销售款",$D248="公司购买果品款",$D248="筐子销售款",$D248="物料销售款"),"客户往来",IFERROR(INDEX(收入成本映射!$C$4:$C$34,MATCH($D248,收入成本映射!$B$4:$B$34,0)),"不记账"))</f>
        <v>不记账</v>
      </c>
      <c r="J248" s="67" t="str">
        <f aca="false">IF($B248="","","0%")</f>
        <v/>
      </c>
      <c r="K248" s="70" t="n">
        <f aca="false">IF($I248="不记账",0,ROUND(N($G248),2))</f>
        <v>0</v>
      </c>
      <c r="L248" s="70" t="n">
        <v>0</v>
      </c>
      <c r="M248" s="67" t="str">
        <f aca="false">IF(OR($I248="不记账",ROUND(N($G248),2)=0),"",IFERROR(INDEX(收入成本映射!$E$4:$E$34,MATCH($D248,收入成本映射!$B$4:$B$34,0)),""))</f>
        <v/>
      </c>
      <c r="N248" s="70" t="str">
        <f aca="false">IF($M248="","",ROUND(N($G248),2))</f>
        <v/>
      </c>
      <c r="O248" s="70" t="str">
        <f aca="false">IF($M248="","",0)</f>
        <v/>
      </c>
      <c r="P248" s="67" t="str">
        <f aca="false">IF($M248="","",IFERROR(INDEX(收入成本映射!$F$4:$F$34,MATCH($D248,收入成本映射!$B$4:$B$34,0)),""))</f>
        <v/>
      </c>
      <c r="Q248" s="70" t="str">
        <f aca="false">IF($P248="","",0)</f>
        <v/>
      </c>
      <c r="R248" s="70" t="str">
        <f aca="false">IF($P248="","",ROUND(N($G248),2))</f>
        <v/>
      </c>
      <c r="S248" s="67" t="str">
        <f aca="false">""</f>
        <v/>
      </c>
      <c r="T248" s="70" t="str">
        <f aca="false">IF($S248="","",0)</f>
        <v/>
      </c>
      <c r="U248" s="70" t="str">
        <f aca="false">IF($S248="","",0)</f>
        <v/>
      </c>
      <c r="V248" s="66" t="str">
        <f aca="false">IF($B248="","",IF($B248="01水果",IFERROR(INDEX(对接源_01水果!$H$5:$H$507,MATCH(ROW()-3,对接源_01水果!$Q$5:$Q$507,0)),""),IFERROR(INDEX(对接源_02物料!$H$5:$H$460,MATCH(ROW()-3-N(对接源_01水果!$T$1),对接源_02物料!$Q$5:$Q$460,0)),"")))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49" customFormat="false" ht="18" hidden="false" customHeight="true" outlineLevel="0" collapsed="false">
      <c r="A249" s="66" t="n">
        <v>246</v>
      </c>
      <c r="B249" s="67" t="str">
        <f aca="false">IF(ROW()-3&lt;=N(对接源_01水果!$T$1),"01水果",IF(ROW()-3&lt;=N(对接源_01水果!$T$1)+N(对接源_02物料!$T$1),"02物料",""))</f>
        <v/>
      </c>
      <c r="C249" s="68" t="str">
        <f aca="false">IF($B249="","",IF($B249="01水果",IFERROR(INDEX(对接源_01水果!$B$5:$B$507,MATCH(ROW()-3,对接源_01水果!$Q$5:$Q$507,0)),""),IFERROR(INDEX(对接源_02物料!$B$5:$B$460,MATCH(ROW()-3-N(对接源_01水果!$T$1),对接源_02物料!$Q$5:$Q$460,0)),"")))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49" s="67" t="str">
        <f aca="false">IF($B249="","",IF($B249="01水果",IFERROR(INDEX(对接源_01水果!$C$5:$C$507,MATCH(ROW()-3,对接源_01水果!$Q$5:$Q$507,0)),""),IFERROR(INDEX(对接源_02物料!$C$5:$C$460,MATCH(ROW()-3-N(对接源_01水果!$T$1),对接源_02物料!$Q$5:$Q$460,0)),"")))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49" s="69" t="str">
        <f aca="false">IF($B249="","",IF($B249="01水果",IFERROR(INDEX(对接源_01水果!$D$5:$D$507,MATCH(ROW()-3,对接源_01水果!$Q$5:$Q$507,0)),""),IFERROR(INDEX(对接源_02物料!$D$5:$D$460,MATCH(ROW()-3-N(对接源_01水果!$T$1),对接源_02物料!$Q$5:$Q$460,0)),"")))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49" s="67" t="str">
        <f aca="false">IF($B249="","",IF($B249="01水果",IFERROR(INDEX(对接源_01水果!$E$5:$E$507,MATCH(ROW()-3,对接源_01水果!$Q$5:$Q$507,0)),""),IFERROR(INDEX(对接源_02物料!$E$5:$E$460,MATCH(ROW()-3-N(对接源_01水果!$T$1),对接源_02物料!$Q$5:$Q$460,0)),"")))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49" s="70" t="str">
        <f aca="false">IF($B249="","",IF($B249="01水果",IFERROR(INDEX(对接源_01水果!$F$5:$F$507,MATCH(ROW()-3,对接源_01水果!$Q$5:$Q$507,0)),""),IFERROR(INDEX(对接源_02物料!$F$5:$F$460,MATCH(ROW()-3-N(对接源_01水果!$T$1),对接源_02物料!$Q$5:$Q$460,0)),"")))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49" s="70" t="str">
        <f aca="false">IF($B249="","",IF($B249="01水果",IFERROR(INDEX(对接源_01水果!$G$5:$G$507,MATCH(ROW()-3,对接源_01水果!$Q$5:$Q$507,0)),""),IFERROR(INDEX(对接源_02物料!$G$5:$G$460,MATCH(ROW()-3-N(对接源_01水果!$T$1),对接源_02物料!$Q$5:$Q$460,0)),"")))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49" s="67" t="str">
        <f aca="false">IF(OR($D249="客户应收",$D249="成品销售款",$D249="公司购买果品款",$D249="筐子销售款",$D249="物料销售款"),"客户往来",IFERROR(INDEX(收入成本映射!$C$4:$C$34,MATCH($D249,收入成本映射!$B$4:$B$34,0)),"不记账"))</f>
        <v>不记账</v>
      </c>
      <c r="J249" s="67" t="str">
        <f aca="false">IF($B249="","","0%")</f>
        <v/>
      </c>
      <c r="K249" s="70" t="n">
        <f aca="false">IF($I249="不记账",0,ROUND(N($G249),2))</f>
        <v>0</v>
      </c>
      <c r="L249" s="70" t="n">
        <v>0</v>
      </c>
      <c r="M249" s="67" t="str">
        <f aca="false">IF(OR($I249="不记账",ROUND(N($G249),2)=0),"",IFERROR(INDEX(收入成本映射!$E$4:$E$34,MATCH($D249,收入成本映射!$B$4:$B$34,0)),""))</f>
        <v/>
      </c>
      <c r="N249" s="70" t="str">
        <f aca="false">IF($M249="","",ROUND(N($G249),2))</f>
        <v/>
      </c>
      <c r="O249" s="70" t="str">
        <f aca="false">IF($M249="","",0)</f>
        <v/>
      </c>
      <c r="P249" s="67" t="str">
        <f aca="false">IF($M249="","",IFERROR(INDEX(收入成本映射!$F$4:$F$34,MATCH($D249,收入成本映射!$B$4:$B$34,0)),""))</f>
        <v/>
      </c>
      <c r="Q249" s="70" t="str">
        <f aca="false">IF($P249="","",0)</f>
        <v/>
      </c>
      <c r="R249" s="70" t="str">
        <f aca="false">IF($P249="","",ROUND(N($G249),2))</f>
        <v/>
      </c>
      <c r="S249" s="67" t="str">
        <f aca="false">""</f>
        <v/>
      </c>
      <c r="T249" s="70" t="str">
        <f aca="false">IF($S249="","",0)</f>
        <v/>
      </c>
      <c r="U249" s="70" t="str">
        <f aca="false">IF($S249="","",0)</f>
        <v/>
      </c>
      <c r="V249" s="66" t="str">
        <f aca="false">IF($B249="","",IF($B249="01水果",IFERROR(INDEX(对接源_01水果!$H$5:$H$507,MATCH(ROW()-3,对接源_01水果!$Q$5:$Q$507,0)),""),IFERROR(INDEX(对接源_02物料!$H$5:$H$460,MATCH(ROW()-3-N(对接源_01水果!$T$1),对接源_02物料!$Q$5:$Q$460,0)),"")))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0" customFormat="false" ht="18" hidden="false" customHeight="true" outlineLevel="0" collapsed="false">
      <c r="A250" s="66" t="n">
        <v>247</v>
      </c>
      <c r="B250" s="67" t="str">
        <f aca="false">IF(ROW()-3&lt;=N(对接源_01水果!$T$1),"01水果",IF(ROW()-3&lt;=N(对接源_01水果!$T$1)+N(对接源_02物料!$T$1),"02物料",""))</f>
        <v/>
      </c>
      <c r="C250" s="68" t="str">
        <f aca="false">IF($B250="","",IF($B250="01水果",IFERROR(INDEX(对接源_01水果!$B$5:$B$507,MATCH(ROW()-3,对接源_01水果!$Q$5:$Q$507,0)),""),IFERROR(INDEX(对接源_02物料!$B$5:$B$460,MATCH(ROW()-3-N(对接源_01水果!$T$1),对接源_02物料!$Q$5:$Q$460,0)),"")))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0" s="67" t="str">
        <f aca="false">IF($B250="","",IF($B250="01水果",IFERROR(INDEX(对接源_01水果!$C$5:$C$507,MATCH(ROW()-3,对接源_01水果!$Q$5:$Q$507,0)),""),IFERROR(INDEX(对接源_02物料!$C$5:$C$460,MATCH(ROW()-3-N(对接源_01水果!$T$1),对接源_02物料!$Q$5:$Q$460,0)),"")))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0" s="69" t="str">
        <f aca="false">IF($B250="","",IF($B250="01水果",IFERROR(INDEX(对接源_01水果!$D$5:$D$507,MATCH(ROW()-3,对接源_01水果!$Q$5:$Q$507,0)),""),IFERROR(INDEX(对接源_02物料!$D$5:$D$460,MATCH(ROW()-3-N(对接源_01水果!$T$1),对接源_02物料!$Q$5:$Q$460,0)),"")))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0" s="67" t="str">
        <f aca="false">IF($B250="","",IF($B250="01水果",IFERROR(INDEX(对接源_01水果!$E$5:$E$507,MATCH(ROW()-3,对接源_01水果!$Q$5:$Q$507,0)),""),IFERROR(INDEX(对接源_02物料!$E$5:$E$460,MATCH(ROW()-3-N(对接源_01水果!$T$1),对接源_02物料!$Q$5:$Q$460,0)),"")))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0" s="70" t="str">
        <f aca="false">IF($B250="","",IF($B250="01水果",IFERROR(INDEX(对接源_01水果!$F$5:$F$507,MATCH(ROW()-3,对接源_01水果!$Q$5:$Q$507,0)),""),IFERROR(INDEX(对接源_02物料!$F$5:$F$460,MATCH(ROW()-3-N(对接源_01水果!$T$1),对接源_02物料!$Q$5:$Q$460,0)),"")))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0" s="70" t="str">
        <f aca="false">IF($B250="","",IF($B250="01水果",IFERROR(INDEX(对接源_01水果!$G$5:$G$507,MATCH(ROW()-3,对接源_01水果!$Q$5:$Q$507,0)),""),IFERROR(INDEX(对接源_02物料!$G$5:$G$460,MATCH(ROW()-3-N(对接源_01水果!$T$1),对接源_02物料!$Q$5:$Q$460,0)),"")))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0" s="67" t="str">
        <f aca="false">IF(OR($D250="客户应收",$D250="成品销售款",$D250="公司购买果品款",$D250="筐子销售款",$D250="物料销售款"),"客户往来",IFERROR(INDEX(收入成本映射!$C$4:$C$34,MATCH($D250,收入成本映射!$B$4:$B$34,0)),"不记账"))</f>
        <v>不记账</v>
      </c>
      <c r="J250" s="67" t="str">
        <f aca="false">IF($B250="","","0%")</f>
        <v/>
      </c>
      <c r="K250" s="70" t="n">
        <f aca="false">IF($I250="不记账",0,ROUND(N($G250),2))</f>
        <v>0</v>
      </c>
      <c r="L250" s="70" t="n">
        <v>0</v>
      </c>
      <c r="M250" s="67" t="str">
        <f aca="false">IF(OR($I250="不记账",ROUND(N($G250),2)=0),"",IFERROR(INDEX(收入成本映射!$E$4:$E$34,MATCH($D250,收入成本映射!$B$4:$B$34,0)),""))</f>
        <v/>
      </c>
      <c r="N250" s="70" t="str">
        <f aca="false">IF($M250="","",ROUND(N($G250),2))</f>
        <v/>
      </c>
      <c r="O250" s="70" t="str">
        <f aca="false">IF($M250="","",0)</f>
        <v/>
      </c>
      <c r="P250" s="67" t="str">
        <f aca="false">IF($M250="","",IFERROR(INDEX(收入成本映射!$F$4:$F$34,MATCH($D250,收入成本映射!$B$4:$B$34,0)),""))</f>
        <v/>
      </c>
      <c r="Q250" s="70" t="str">
        <f aca="false">IF($P250="","",0)</f>
        <v/>
      </c>
      <c r="R250" s="70" t="str">
        <f aca="false">IF($P250="","",ROUND(N($G250),2))</f>
        <v/>
      </c>
      <c r="S250" s="67" t="str">
        <f aca="false">""</f>
        <v/>
      </c>
      <c r="T250" s="70" t="str">
        <f aca="false">IF($S250="","",0)</f>
        <v/>
      </c>
      <c r="U250" s="70" t="str">
        <f aca="false">IF($S250="","",0)</f>
        <v/>
      </c>
      <c r="V250" s="66" t="str">
        <f aca="false">IF($B250="","",IF($B250="01水果",IFERROR(INDEX(对接源_01水果!$H$5:$H$507,MATCH(ROW()-3,对接源_01水果!$Q$5:$Q$507,0)),""),IFERROR(INDEX(对接源_02物料!$H$5:$H$460,MATCH(ROW()-3-N(对接源_01水果!$T$1),对接源_02物料!$Q$5:$Q$460,0)),"")))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1" customFormat="false" ht="18" hidden="false" customHeight="true" outlineLevel="0" collapsed="false">
      <c r="A251" s="66" t="n">
        <v>248</v>
      </c>
      <c r="B251" s="67" t="str">
        <f aca="false">IF(ROW()-3&lt;=N(对接源_01水果!$T$1),"01水果",IF(ROW()-3&lt;=N(对接源_01水果!$T$1)+N(对接源_02物料!$T$1),"02物料",""))</f>
        <v/>
      </c>
      <c r="C251" s="68" t="str">
        <f aca="false">IF($B251="","",IF($B251="01水果",IFERROR(INDEX(对接源_01水果!$B$5:$B$507,MATCH(ROW()-3,对接源_01水果!$Q$5:$Q$507,0)),""),IFERROR(INDEX(对接源_02物料!$B$5:$B$460,MATCH(ROW()-3-N(对接源_01水果!$T$1),对接源_02物料!$Q$5:$Q$460,0)),"")))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1" s="67" t="str">
        <f aca="false">IF($B251="","",IF($B251="01水果",IFERROR(INDEX(对接源_01水果!$C$5:$C$507,MATCH(ROW()-3,对接源_01水果!$Q$5:$Q$507,0)),""),IFERROR(INDEX(对接源_02物料!$C$5:$C$460,MATCH(ROW()-3-N(对接源_01水果!$T$1),对接源_02物料!$Q$5:$Q$460,0)),"")))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1" s="69" t="str">
        <f aca="false">IF($B251="","",IF($B251="01水果",IFERROR(INDEX(对接源_01水果!$D$5:$D$507,MATCH(ROW()-3,对接源_01水果!$Q$5:$Q$507,0)),""),IFERROR(INDEX(对接源_02物料!$D$5:$D$460,MATCH(ROW()-3-N(对接源_01水果!$T$1),对接源_02物料!$Q$5:$Q$460,0)),"")))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1" s="67" t="str">
        <f aca="false">IF($B251="","",IF($B251="01水果",IFERROR(INDEX(对接源_01水果!$E$5:$E$507,MATCH(ROW()-3,对接源_01水果!$Q$5:$Q$507,0)),""),IFERROR(INDEX(对接源_02物料!$E$5:$E$460,MATCH(ROW()-3-N(对接源_01水果!$T$1),对接源_02物料!$Q$5:$Q$460,0)),"")))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1" s="70" t="str">
        <f aca="false">IF($B251="","",IF($B251="01水果",IFERROR(INDEX(对接源_01水果!$F$5:$F$507,MATCH(ROW()-3,对接源_01水果!$Q$5:$Q$507,0)),""),IFERROR(INDEX(对接源_02物料!$F$5:$F$460,MATCH(ROW()-3-N(对接源_01水果!$T$1),对接源_02物料!$Q$5:$Q$460,0)),"")))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1" s="70" t="str">
        <f aca="false">IF($B251="","",IF($B251="01水果",IFERROR(INDEX(对接源_01水果!$G$5:$G$507,MATCH(ROW()-3,对接源_01水果!$Q$5:$Q$507,0)),""),IFERROR(INDEX(对接源_02物料!$G$5:$G$460,MATCH(ROW()-3-N(对接源_01水果!$T$1),对接源_02物料!$Q$5:$Q$460,0)),"")))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1" s="67" t="str">
        <f aca="false">IF(OR($D251="客户应收",$D251="成品销售款",$D251="公司购买果品款",$D251="筐子销售款",$D251="物料销售款"),"客户往来",IFERROR(INDEX(收入成本映射!$C$4:$C$34,MATCH($D251,收入成本映射!$B$4:$B$34,0)),"不记账"))</f>
        <v>不记账</v>
      </c>
      <c r="J251" s="67" t="str">
        <f aca="false">IF($B251="","","0%")</f>
        <v/>
      </c>
      <c r="K251" s="70" t="n">
        <f aca="false">IF($I251="不记账",0,ROUND(N($G251),2))</f>
        <v>0</v>
      </c>
      <c r="L251" s="70" t="n">
        <v>0</v>
      </c>
      <c r="M251" s="67" t="str">
        <f aca="false">IF(OR($I251="不记账",ROUND(N($G251),2)=0),"",IFERROR(INDEX(收入成本映射!$E$4:$E$34,MATCH($D251,收入成本映射!$B$4:$B$34,0)),""))</f>
        <v/>
      </c>
      <c r="N251" s="70" t="str">
        <f aca="false">IF($M251="","",ROUND(N($G251),2))</f>
        <v/>
      </c>
      <c r="O251" s="70" t="str">
        <f aca="false">IF($M251="","",0)</f>
        <v/>
      </c>
      <c r="P251" s="67" t="str">
        <f aca="false">IF($M251="","",IFERROR(INDEX(收入成本映射!$F$4:$F$34,MATCH($D251,收入成本映射!$B$4:$B$34,0)),""))</f>
        <v/>
      </c>
      <c r="Q251" s="70" t="str">
        <f aca="false">IF($P251="","",0)</f>
        <v/>
      </c>
      <c r="R251" s="70" t="str">
        <f aca="false">IF($P251="","",ROUND(N($G251),2))</f>
        <v/>
      </c>
      <c r="S251" s="67" t="str">
        <f aca="false">""</f>
        <v/>
      </c>
      <c r="T251" s="70" t="str">
        <f aca="false">IF($S251="","",0)</f>
        <v/>
      </c>
      <c r="U251" s="70" t="str">
        <f aca="false">IF($S251="","",0)</f>
        <v/>
      </c>
      <c r="V251" s="66" t="str">
        <f aca="false">IF($B251="","",IF($B251="01水果",IFERROR(INDEX(对接源_01水果!$H$5:$H$507,MATCH(ROW()-3,对接源_01水果!$Q$5:$Q$507,0)),""),IFERROR(INDEX(对接源_02物料!$H$5:$H$460,MATCH(ROW()-3-N(对接源_01水果!$T$1),对接源_02物料!$Q$5:$Q$460,0)),"")))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2" customFormat="false" ht="18" hidden="false" customHeight="true" outlineLevel="0" collapsed="false">
      <c r="A252" s="66" t="n">
        <v>249</v>
      </c>
      <c r="B252" s="67" t="str">
        <f aca="false">IF(ROW()-3&lt;=N(对接源_01水果!$T$1),"01水果",IF(ROW()-3&lt;=N(对接源_01水果!$T$1)+N(对接源_02物料!$T$1),"02物料",""))</f>
        <v/>
      </c>
      <c r="C252" s="68" t="str">
        <f aca="false">IF($B252="","",IF($B252="01水果",IFERROR(INDEX(对接源_01水果!$B$5:$B$507,MATCH(ROW()-3,对接源_01水果!$Q$5:$Q$507,0)),""),IFERROR(INDEX(对接源_02物料!$B$5:$B$460,MATCH(ROW()-3-N(对接源_01水果!$T$1),对接源_02物料!$Q$5:$Q$460,0)),"")))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2" s="67" t="str">
        <f aca="false">IF($B252="","",IF($B252="01水果",IFERROR(INDEX(对接源_01水果!$C$5:$C$507,MATCH(ROW()-3,对接源_01水果!$Q$5:$Q$507,0)),""),IFERROR(INDEX(对接源_02物料!$C$5:$C$460,MATCH(ROW()-3-N(对接源_01水果!$T$1),对接源_02物料!$Q$5:$Q$460,0)),"")))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2" s="69" t="str">
        <f aca="false">IF($B252="","",IF($B252="01水果",IFERROR(INDEX(对接源_01水果!$D$5:$D$507,MATCH(ROW()-3,对接源_01水果!$Q$5:$Q$507,0)),""),IFERROR(INDEX(对接源_02物料!$D$5:$D$460,MATCH(ROW()-3-N(对接源_01水果!$T$1),对接源_02物料!$Q$5:$Q$460,0)),"")))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2" s="67" t="str">
        <f aca="false">IF($B252="","",IF($B252="01水果",IFERROR(INDEX(对接源_01水果!$E$5:$E$507,MATCH(ROW()-3,对接源_01水果!$Q$5:$Q$507,0)),""),IFERROR(INDEX(对接源_02物料!$E$5:$E$460,MATCH(ROW()-3-N(对接源_01水果!$T$1),对接源_02物料!$Q$5:$Q$460,0)),"")))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2" s="70" t="str">
        <f aca="false">IF($B252="","",IF($B252="01水果",IFERROR(INDEX(对接源_01水果!$F$5:$F$507,MATCH(ROW()-3,对接源_01水果!$Q$5:$Q$507,0)),""),IFERROR(INDEX(对接源_02物料!$F$5:$F$460,MATCH(ROW()-3-N(对接源_01水果!$T$1),对接源_02物料!$Q$5:$Q$460,0)),"")))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2" s="70" t="str">
        <f aca="false">IF($B252="","",IF($B252="01水果",IFERROR(INDEX(对接源_01水果!$G$5:$G$507,MATCH(ROW()-3,对接源_01水果!$Q$5:$Q$507,0)),""),IFERROR(INDEX(对接源_02物料!$G$5:$G$460,MATCH(ROW()-3-N(对接源_01水果!$T$1),对接源_02物料!$Q$5:$Q$460,0)),"")))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2" s="67" t="str">
        <f aca="false">IF(OR($D252="客户应收",$D252="成品销售款",$D252="公司购买果品款",$D252="筐子销售款",$D252="物料销售款"),"客户往来",IFERROR(INDEX(收入成本映射!$C$4:$C$34,MATCH($D252,收入成本映射!$B$4:$B$34,0)),"不记账"))</f>
        <v>不记账</v>
      </c>
      <c r="J252" s="67" t="str">
        <f aca="false">IF($B252="","","0%")</f>
        <v/>
      </c>
      <c r="K252" s="70" t="n">
        <f aca="false">IF($I252="不记账",0,ROUND(N($G252),2))</f>
        <v>0</v>
      </c>
      <c r="L252" s="70" t="n">
        <v>0</v>
      </c>
      <c r="M252" s="67" t="str">
        <f aca="false">IF(OR($I252="不记账",ROUND(N($G252),2)=0),"",IFERROR(INDEX(收入成本映射!$E$4:$E$34,MATCH($D252,收入成本映射!$B$4:$B$34,0)),""))</f>
        <v/>
      </c>
      <c r="N252" s="70" t="str">
        <f aca="false">IF($M252="","",ROUND(N($G252),2))</f>
        <v/>
      </c>
      <c r="O252" s="70" t="str">
        <f aca="false">IF($M252="","",0)</f>
        <v/>
      </c>
      <c r="P252" s="67" t="str">
        <f aca="false">IF($M252="","",IFERROR(INDEX(收入成本映射!$F$4:$F$34,MATCH($D252,收入成本映射!$B$4:$B$34,0)),""))</f>
        <v/>
      </c>
      <c r="Q252" s="70" t="str">
        <f aca="false">IF($P252="","",0)</f>
        <v/>
      </c>
      <c r="R252" s="70" t="str">
        <f aca="false">IF($P252="","",ROUND(N($G252),2))</f>
        <v/>
      </c>
      <c r="S252" s="67" t="str">
        <f aca="false">""</f>
        <v/>
      </c>
      <c r="T252" s="70" t="str">
        <f aca="false">IF($S252="","",0)</f>
        <v/>
      </c>
      <c r="U252" s="70" t="str">
        <f aca="false">IF($S252="","",0)</f>
        <v/>
      </c>
      <c r="V252" s="66" t="str">
        <f aca="false">IF($B252="","",IF($B252="01水果",IFERROR(INDEX(对接源_01水果!$H$5:$H$507,MATCH(ROW()-3,对接源_01水果!$Q$5:$Q$507,0)),""),IFERROR(INDEX(对接源_02物料!$H$5:$H$460,MATCH(ROW()-3-N(对接源_01水果!$T$1),对接源_02物料!$Q$5:$Q$460,0)),"")))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3" customFormat="false" ht="18" hidden="false" customHeight="true" outlineLevel="0" collapsed="false">
      <c r="A253" s="66" t="n">
        <v>250</v>
      </c>
      <c r="B253" s="67" t="str">
        <f aca="false">IF(ROW()-3&lt;=N(对接源_01水果!$T$1),"01水果",IF(ROW()-3&lt;=N(对接源_01水果!$T$1)+N(对接源_02物料!$T$1),"02物料",""))</f>
        <v/>
      </c>
      <c r="C253" s="68" t="str">
        <f aca="false">IF($B253="","",IF($B253="01水果",IFERROR(INDEX(对接源_01水果!$B$5:$B$507,MATCH(ROW()-3,对接源_01水果!$Q$5:$Q$507,0)),""),IFERROR(INDEX(对接源_02物料!$B$5:$B$460,MATCH(ROW()-3-N(对接源_01水果!$T$1),对接源_02物料!$Q$5:$Q$460,0)),"")))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3" s="67" t="str">
        <f aca="false">IF($B253="","",IF($B253="01水果",IFERROR(INDEX(对接源_01水果!$C$5:$C$507,MATCH(ROW()-3,对接源_01水果!$Q$5:$Q$507,0)),""),IFERROR(INDEX(对接源_02物料!$C$5:$C$460,MATCH(ROW()-3-N(对接源_01水果!$T$1),对接源_02物料!$Q$5:$Q$460,0)),"")))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3" s="69" t="str">
        <f aca="false">IF($B253="","",IF($B253="01水果",IFERROR(INDEX(对接源_01水果!$D$5:$D$507,MATCH(ROW()-3,对接源_01水果!$Q$5:$Q$507,0)),""),IFERROR(INDEX(对接源_02物料!$D$5:$D$460,MATCH(ROW()-3-N(对接源_01水果!$T$1),对接源_02物料!$Q$5:$Q$460,0)),"")))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3" s="67" t="str">
        <f aca="false">IF($B253="","",IF($B253="01水果",IFERROR(INDEX(对接源_01水果!$E$5:$E$507,MATCH(ROW()-3,对接源_01水果!$Q$5:$Q$507,0)),""),IFERROR(INDEX(对接源_02物料!$E$5:$E$460,MATCH(ROW()-3-N(对接源_01水果!$T$1),对接源_02物料!$Q$5:$Q$460,0)),"")))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3" s="70" t="str">
        <f aca="false">IF($B253="","",IF($B253="01水果",IFERROR(INDEX(对接源_01水果!$F$5:$F$507,MATCH(ROW()-3,对接源_01水果!$Q$5:$Q$507,0)),""),IFERROR(INDEX(对接源_02物料!$F$5:$F$460,MATCH(ROW()-3-N(对接源_01水果!$T$1),对接源_02物料!$Q$5:$Q$460,0)),"")))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3" s="70" t="str">
        <f aca="false">IF($B253="","",IF($B253="01水果",IFERROR(INDEX(对接源_01水果!$G$5:$G$507,MATCH(ROW()-3,对接源_01水果!$Q$5:$Q$507,0)),""),IFERROR(INDEX(对接源_02物料!$G$5:$G$460,MATCH(ROW()-3-N(对接源_01水果!$T$1),对接源_02物料!$Q$5:$Q$460,0)),"")))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3" s="67" t="str">
        <f aca="false">IF(OR($D253="客户应收",$D253="成品销售款",$D253="公司购买果品款",$D253="筐子销售款",$D253="物料销售款"),"客户往来",IFERROR(INDEX(收入成本映射!$C$4:$C$34,MATCH($D253,收入成本映射!$B$4:$B$34,0)),"不记账"))</f>
        <v>不记账</v>
      </c>
      <c r="J253" s="67" t="str">
        <f aca="false">IF($B253="","","0%")</f>
        <v/>
      </c>
      <c r="K253" s="70" t="n">
        <f aca="false">IF($I253="不记账",0,ROUND(N($G253),2))</f>
        <v>0</v>
      </c>
      <c r="L253" s="70" t="n">
        <v>0</v>
      </c>
      <c r="M253" s="67" t="str">
        <f aca="false">IF(OR($I253="不记账",ROUND(N($G253),2)=0),"",IFERROR(INDEX(收入成本映射!$E$4:$E$34,MATCH($D253,收入成本映射!$B$4:$B$34,0)),""))</f>
        <v/>
      </c>
      <c r="N253" s="70" t="str">
        <f aca="false">IF($M253="","",ROUND(N($G253),2))</f>
        <v/>
      </c>
      <c r="O253" s="70" t="str">
        <f aca="false">IF($M253="","",0)</f>
        <v/>
      </c>
      <c r="P253" s="67" t="str">
        <f aca="false">IF($M253="","",IFERROR(INDEX(收入成本映射!$F$4:$F$34,MATCH($D253,收入成本映射!$B$4:$B$34,0)),""))</f>
        <v/>
      </c>
      <c r="Q253" s="70" t="str">
        <f aca="false">IF($P253="","",0)</f>
        <v/>
      </c>
      <c r="R253" s="70" t="str">
        <f aca="false">IF($P253="","",ROUND(N($G253),2))</f>
        <v/>
      </c>
      <c r="S253" s="67" t="str">
        <f aca="false">""</f>
        <v/>
      </c>
      <c r="T253" s="70" t="str">
        <f aca="false">IF($S253="","",0)</f>
        <v/>
      </c>
      <c r="U253" s="70" t="str">
        <f aca="false">IF($S253="","",0)</f>
        <v/>
      </c>
      <c r="V253" s="66" t="str">
        <f aca="false">IF($B253="","",IF($B253="01水果",IFERROR(INDEX(对接源_01水果!$H$5:$H$507,MATCH(ROW()-3,对接源_01水果!$Q$5:$Q$507,0)),""),IFERROR(INDEX(对接源_02物料!$H$5:$H$460,MATCH(ROW()-3-N(对接源_01水果!$T$1),对接源_02物料!$Q$5:$Q$460,0)),"")))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4" customFormat="false" ht="18" hidden="false" customHeight="true" outlineLevel="0" collapsed="false">
      <c r="A254" s="66" t="n">
        <v>251</v>
      </c>
      <c r="B254" s="67" t="str">
        <f aca="false">IF(ROW()-3&lt;=N(对接源_01水果!$T$1),"01水果",IF(ROW()-3&lt;=N(对接源_01水果!$T$1)+N(对接源_02物料!$T$1),"02物料",""))</f>
        <v/>
      </c>
      <c r="C254" s="68" t="str">
        <f aca="false">IF($B254="","",IF($B254="01水果",IFERROR(INDEX(对接源_01水果!$B$5:$B$507,MATCH(ROW()-3,对接源_01水果!$Q$5:$Q$507,0)),""),IFERROR(INDEX(对接源_02物料!$B$5:$B$460,MATCH(ROW()-3-N(对接源_01水果!$T$1),对接源_02物料!$Q$5:$Q$460,0)),"")))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4" s="67" t="str">
        <f aca="false">IF($B254="","",IF($B254="01水果",IFERROR(INDEX(对接源_01水果!$C$5:$C$507,MATCH(ROW()-3,对接源_01水果!$Q$5:$Q$507,0)),""),IFERROR(INDEX(对接源_02物料!$C$5:$C$460,MATCH(ROW()-3-N(对接源_01水果!$T$1),对接源_02物料!$Q$5:$Q$460,0)),"")))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4" s="69" t="str">
        <f aca="false">IF($B254="","",IF($B254="01水果",IFERROR(INDEX(对接源_01水果!$D$5:$D$507,MATCH(ROW()-3,对接源_01水果!$Q$5:$Q$507,0)),""),IFERROR(INDEX(对接源_02物料!$D$5:$D$460,MATCH(ROW()-3-N(对接源_01水果!$T$1),对接源_02物料!$Q$5:$Q$460,0)),"")))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4" s="67" t="str">
        <f aca="false">IF($B254="","",IF($B254="01水果",IFERROR(INDEX(对接源_01水果!$E$5:$E$507,MATCH(ROW()-3,对接源_01水果!$Q$5:$Q$507,0)),""),IFERROR(INDEX(对接源_02物料!$E$5:$E$460,MATCH(ROW()-3-N(对接源_01水果!$T$1),对接源_02物料!$Q$5:$Q$460,0)),"")))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4" s="70" t="str">
        <f aca="false">IF($B254="","",IF($B254="01水果",IFERROR(INDEX(对接源_01水果!$F$5:$F$507,MATCH(ROW()-3,对接源_01水果!$Q$5:$Q$507,0)),""),IFERROR(INDEX(对接源_02物料!$F$5:$F$460,MATCH(ROW()-3-N(对接源_01水果!$T$1),对接源_02物料!$Q$5:$Q$460,0)),"")))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4" s="70" t="str">
        <f aca="false">IF($B254="","",IF($B254="01水果",IFERROR(INDEX(对接源_01水果!$G$5:$G$507,MATCH(ROW()-3,对接源_01水果!$Q$5:$Q$507,0)),""),IFERROR(INDEX(对接源_02物料!$G$5:$G$460,MATCH(ROW()-3-N(对接源_01水果!$T$1),对接源_02物料!$Q$5:$Q$460,0)),"")))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4" s="67" t="str">
        <f aca="false">IF(OR($D254="客户应收",$D254="成品销售款",$D254="公司购买果品款",$D254="筐子销售款",$D254="物料销售款"),"客户往来",IFERROR(INDEX(收入成本映射!$C$4:$C$34,MATCH($D254,收入成本映射!$B$4:$B$34,0)),"不记账"))</f>
        <v>不记账</v>
      </c>
      <c r="J254" s="67" t="str">
        <f aca="false">IF($B254="","","0%")</f>
        <v/>
      </c>
      <c r="K254" s="70" t="n">
        <f aca="false">IF($I254="不记账",0,ROUND(N($G254),2))</f>
        <v>0</v>
      </c>
      <c r="L254" s="70" t="n">
        <v>0</v>
      </c>
      <c r="M254" s="67" t="str">
        <f aca="false">IF(OR($I254="不记账",ROUND(N($G254),2)=0),"",IFERROR(INDEX(收入成本映射!$E$4:$E$34,MATCH($D254,收入成本映射!$B$4:$B$34,0)),""))</f>
        <v/>
      </c>
      <c r="N254" s="70" t="str">
        <f aca="false">IF($M254="","",ROUND(N($G254),2))</f>
        <v/>
      </c>
      <c r="O254" s="70" t="str">
        <f aca="false">IF($M254="","",0)</f>
        <v/>
      </c>
      <c r="P254" s="67" t="str">
        <f aca="false">IF($M254="","",IFERROR(INDEX(收入成本映射!$F$4:$F$34,MATCH($D254,收入成本映射!$B$4:$B$34,0)),""))</f>
        <v/>
      </c>
      <c r="Q254" s="70" t="str">
        <f aca="false">IF($P254="","",0)</f>
        <v/>
      </c>
      <c r="R254" s="70" t="str">
        <f aca="false">IF($P254="","",ROUND(N($G254),2))</f>
        <v/>
      </c>
      <c r="S254" s="67" t="str">
        <f aca="false">""</f>
        <v/>
      </c>
      <c r="T254" s="70" t="str">
        <f aca="false">IF($S254="","",0)</f>
        <v/>
      </c>
      <c r="U254" s="70" t="str">
        <f aca="false">IF($S254="","",0)</f>
        <v/>
      </c>
      <c r="V254" s="66" t="str">
        <f aca="false">IF($B254="","",IF($B254="01水果",IFERROR(INDEX(对接源_01水果!$H$5:$H$507,MATCH(ROW()-3,对接源_01水果!$Q$5:$Q$507,0)),""),IFERROR(INDEX(对接源_02物料!$H$5:$H$460,MATCH(ROW()-3-N(对接源_01水果!$T$1),对接源_02物料!$Q$5:$Q$460,0)),"")))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5" customFormat="false" ht="18" hidden="false" customHeight="true" outlineLevel="0" collapsed="false">
      <c r="A255" s="66" t="n">
        <v>252</v>
      </c>
      <c r="B255" s="67" t="str">
        <f aca="false">IF(ROW()-3&lt;=N(对接源_01水果!$T$1),"01水果",IF(ROW()-3&lt;=N(对接源_01水果!$T$1)+N(对接源_02物料!$T$1),"02物料",""))</f>
        <v/>
      </c>
      <c r="C255" s="68" t="str">
        <f aca="false">IF($B255="","",IF($B255="01水果",IFERROR(INDEX(对接源_01水果!$B$5:$B$507,MATCH(ROW()-3,对接源_01水果!$Q$5:$Q$507,0)),""),IFERROR(INDEX(对接源_02物料!$B$5:$B$460,MATCH(ROW()-3-N(对接源_01水果!$T$1),对接源_02物料!$Q$5:$Q$460,0)),"")))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5" s="67" t="str">
        <f aca="false">IF($B255="","",IF($B255="01水果",IFERROR(INDEX(对接源_01水果!$C$5:$C$507,MATCH(ROW()-3,对接源_01水果!$Q$5:$Q$507,0)),""),IFERROR(INDEX(对接源_02物料!$C$5:$C$460,MATCH(ROW()-3-N(对接源_01水果!$T$1),对接源_02物料!$Q$5:$Q$460,0)),"")))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5" s="69" t="str">
        <f aca="false">IF($B255="","",IF($B255="01水果",IFERROR(INDEX(对接源_01水果!$D$5:$D$507,MATCH(ROW()-3,对接源_01水果!$Q$5:$Q$507,0)),""),IFERROR(INDEX(对接源_02物料!$D$5:$D$460,MATCH(ROW()-3-N(对接源_01水果!$T$1),对接源_02物料!$Q$5:$Q$460,0)),"")))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5" s="67" t="str">
        <f aca="false">IF($B255="","",IF($B255="01水果",IFERROR(INDEX(对接源_01水果!$E$5:$E$507,MATCH(ROW()-3,对接源_01水果!$Q$5:$Q$507,0)),""),IFERROR(INDEX(对接源_02物料!$E$5:$E$460,MATCH(ROW()-3-N(对接源_01水果!$T$1),对接源_02物料!$Q$5:$Q$460,0)),"")))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5" s="70" t="str">
        <f aca="false">IF($B255="","",IF($B255="01水果",IFERROR(INDEX(对接源_01水果!$F$5:$F$507,MATCH(ROW()-3,对接源_01水果!$Q$5:$Q$507,0)),""),IFERROR(INDEX(对接源_02物料!$F$5:$F$460,MATCH(ROW()-3-N(对接源_01水果!$T$1),对接源_02物料!$Q$5:$Q$460,0)),"")))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5" s="70" t="str">
        <f aca="false">IF($B255="","",IF($B255="01水果",IFERROR(INDEX(对接源_01水果!$G$5:$G$507,MATCH(ROW()-3,对接源_01水果!$Q$5:$Q$507,0)),""),IFERROR(INDEX(对接源_02物料!$G$5:$G$460,MATCH(ROW()-3-N(对接源_01水果!$T$1),对接源_02物料!$Q$5:$Q$460,0)),"")))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5" s="67" t="str">
        <f aca="false">IF(OR($D255="客户应收",$D255="成品销售款",$D255="公司购买果品款",$D255="筐子销售款",$D255="物料销售款"),"客户往来",IFERROR(INDEX(收入成本映射!$C$4:$C$34,MATCH($D255,收入成本映射!$B$4:$B$34,0)),"不记账"))</f>
        <v>不记账</v>
      </c>
      <c r="J255" s="67" t="str">
        <f aca="false">IF($B255="","","0%")</f>
        <v/>
      </c>
      <c r="K255" s="70" t="n">
        <f aca="false">IF($I255="不记账",0,ROUND(N($G255),2))</f>
        <v>0</v>
      </c>
      <c r="L255" s="70" t="n">
        <v>0</v>
      </c>
      <c r="M255" s="67" t="str">
        <f aca="false">IF(OR($I255="不记账",ROUND(N($G255),2)=0),"",IFERROR(INDEX(收入成本映射!$E$4:$E$34,MATCH($D255,收入成本映射!$B$4:$B$34,0)),""))</f>
        <v/>
      </c>
      <c r="N255" s="70" t="str">
        <f aca="false">IF($M255="","",ROUND(N($G255),2))</f>
        <v/>
      </c>
      <c r="O255" s="70" t="str">
        <f aca="false">IF($M255="","",0)</f>
        <v/>
      </c>
      <c r="P255" s="67" t="str">
        <f aca="false">IF($M255="","",IFERROR(INDEX(收入成本映射!$F$4:$F$34,MATCH($D255,收入成本映射!$B$4:$B$34,0)),""))</f>
        <v/>
      </c>
      <c r="Q255" s="70" t="str">
        <f aca="false">IF($P255="","",0)</f>
        <v/>
      </c>
      <c r="R255" s="70" t="str">
        <f aca="false">IF($P255="","",ROUND(N($G255),2))</f>
        <v/>
      </c>
      <c r="S255" s="67" t="str">
        <f aca="false">""</f>
        <v/>
      </c>
      <c r="T255" s="70" t="str">
        <f aca="false">IF($S255="","",0)</f>
        <v/>
      </c>
      <c r="U255" s="70" t="str">
        <f aca="false">IF($S255="","",0)</f>
        <v/>
      </c>
      <c r="V255" s="66" t="str">
        <f aca="false">IF($B255="","",IF($B255="01水果",IFERROR(INDEX(对接源_01水果!$H$5:$H$507,MATCH(ROW()-3,对接源_01水果!$Q$5:$Q$507,0)),""),IFERROR(INDEX(对接源_02物料!$H$5:$H$460,MATCH(ROW()-3-N(对接源_01水果!$T$1),对接源_02物料!$Q$5:$Q$460,0)),"")))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6" customFormat="false" ht="18" hidden="false" customHeight="true" outlineLevel="0" collapsed="false">
      <c r="A256" s="66" t="n">
        <v>253</v>
      </c>
      <c r="B256" s="67" t="str">
        <f aca="false">IF(ROW()-3&lt;=N(对接源_01水果!$T$1),"01水果",IF(ROW()-3&lt;=N(对接源_01水果!$T$1)+N(对接源_02物料!$T$1),"02物料",""))</f>
        <v/>
      </c>
      <c r="C256" s="68" t="str">
        <f aca="false">IF($B256="","",IF($B256="01水果",IFERROR(INDEX(对接源_01水果!$B$5:$B$507,MATCH(ROW()-3,对接源_01水果!$Q$5:$Q$507,0)),""),IFERROR(INDEX(对接源_02物料!$B$5:$B$460,MATCH(ROW()-3-N(对接源_01水果!$T$1),对接源_02物料!$Q$5:$Q$460,0)),"")))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6" s="67" t="str">
        <f aca="false">IF($B256="","",IF($B256="01水果",IFERROR(INDEX(对接源_01水果!$C$5:$C$507,MATCH(ROW()-3,对接源_01水果!$Q$5:$Q$507,0)),""),IFERROR(INDEX(对接源_02物料!$C$5:$C$460,MATCH(ROW()-3-N(对接源_01水果!$T$1),对接源_02物料!$Q$5:$Q$460,0)),"")))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6" s="69" t="str">
        <f aca="false">IF($B256="","",IF($B256="01水果",IFERROR(INDEX(对接源_01水果!$D$5:$D$507,MATCH(ROW()-3,对接源_01水果!$Q$5:$Q$507,0)),""),IFERROR(INDEX(对接源_02物料!$D$5:$D$460,MATCH(ROW()-3-N(对接源_01水果!$T$1),对接源_02物料!$Q$5:$Q$460,0)),"")))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6" s="67" t="str">
        <f aca="false">IF($B256="","",IF($B256="01水果",IFERROR(INDEX(对接源_01水果!$E$5:$E$507,MATCH(ROW()-3,对接源_01水果!$Q$5:$Q$507,0)),""),IFERROR(INDEX(对接源_02物料!$E$5:$E$460,MATCH(ROW()-3-N(对接源_01水果!$T$1),对接源_02物料!$Q$5:$Q$460,0)),"")))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6" s="70" t="str">
        <f aca="false">IF($B256="","",IF($B256="01水果",IFERROR(INDEX(对接源_01水果!$F$5:$F$507,MATCH(ROW()-3,对接源_01水果!$Q$5:$Q$507,0)),""),IFERROR(INDEX(对接源_02物料!$F$5:$F$460,MATCH(ROW()-3-N(对接源_01水果!$T$1),对接源_02物料!$Q$5:$Q$460,0)),"")))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6" s="70" t="str">
        <f aca="false">IF($B256="","",IF($B256="01水果",IFERROR(INDEX(对接源_01水果!$G$5:$G$507,MATCH(ROW()-3,对接源_01水果!$Q$5:$Q$507,0)),""),IFERROR(INDEX(对接源_02物料!$G$5:$G$460,MATCH(ROW()-3-N(对接源_01水果!$T$1),对接源_02物料!$Q$5:$Q$460,0)),"")))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6" s="67" t="str">
        <f aca="false">IF(OR($D256="客户应收",$D256="成品销售款",$D256="公司购买果品款",$D256="筐子销售款",$D256="物料销售款"),"客户往来",IFERROR(INDEX(收入成本映射!$C$4:$C$34,MATCH($D256,收入成本映射!$B$4:$B$34,0)),"不记账"))</f>
        <v>不记账</v>
      </c>
      <c r="J256" s="67" t="str">
        <f aca="false">IF($B256="","","0%")</f>
        <v/>
      </c>
      <c r="K256" s="70" t="n">
        <f aca="false">IF($I256="不记账",0,ROUND(N($G256),2))</f>
        <v>0</v>
      </c>
      <c r="L256" s="70" t="n">
        <v>0</v>
      </c>
      <c r="M256" s="67" t="str">
        <f aca="false">IF(OR($I256="不记账",ROUND(N($G256),2)=0),"",IFERROR(INDEX(收入成本映射!$E$4:$E$34,MATCH($D256,收入成本映射!$B$4:$B$34,0)),""))</f>
        <v/>
      </c>
      <c r="N256" s="70" t="str">
        <f aca="false">IF($M256="","",ROUND(N($G256),2))</f>
        <v/>
      </c>
      <c r="O256" s="70" t="str">
        <f aca="false">IF($M256="","",0)</f>
        <v/>
      </c>
      <c r="P256" s="67" t="str">
        <f aca="false">IF($M256="","",IFERROR(INDEX(收入成本映射!$F$4:$F$34,MATCH($D256,收入成本映射!$B$4:$B$34,0)),""))</f>
        <v/>
      </c>
      <c r="Q256" s="70" t="str">
        <f aca="false">IF($P256="","",0)</f>
        <v/>
      </c>
      <c r="R256" s="70" t="str">
        <f aca="false">IF($P256="","",ROUND(N($G256),2))</f>
        <v/>
      </c>
      <c r="S256" s="67" t="str">
        <f aca="false">""</f>
        <v/>
      </c>
      <c r="T256" s="70" t="str">
        <f aca="false">IF($S256="","",0)</f>
        <v/>
      </c>
      <c r="U256" s="70" t="str">
        <f aca="false">IF($S256="","",0)</f>
        <v/>
      </c>
      <c r="V256" s="66" t="str">
        <f aca="false">IF($B256="","",IF($B256="01水果",IFERROR(INDEX(对接源_01水果!$H$5:$H$507,MATCH(ROW()-3,对接源_01水果!$Q$5:$Q$507,0)),""),IFERROR(INDEX(对接源_02物料!$H$5:$H$460,MATCH(ROW()-3-N(对接源_01水果!$T$1),对接源_02物料!$Q$5:$Q$460,0)),"")))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7" customFormat="false" ht="18" hidden="false" customHeight="true" outlineLevel="0" collapsed="false">
      <c r="A257" s="66" t="n">
        <v>254</v>
      </c>
      <c r="B257" s="67" t="str">
        <f aca="false">IF(ROW()-3&lt;=N(对接源_01水果!$T$1),"01水果",IF(ROW()-3&lt;=N(对接源_01水果!$T$1)+N(对接源_02物料!$T$1),"02物料",""))</f>
        <v/>
      </c>
      <c r="C257" s="68" t="str">
        <f aca="false">IF($B257="","",IF($B257="01水果",IFERROR(INDEX(对接源_01水果!$B$5:$B$507,MATCH(ROW()-3,对接源_01水果!$Q$5:$Q$507,0)),""),IFERROR(INDEX(对接源_02物料!$B$5:$B$460,MATCH(ROW()-3-N(对接源_01水果!$T$1),对接源_02物料!$Q$5:$Q$460,0)),"")))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7" s="67" t="str">
        <f aca="false">IF($B257="","",IF($B257="01水果",IFERROR(INDEX(对接源_01水果!$C$5:$C$507,MATCH(ROW()-3,对接源_01水果!$Q$5:$Q$507,0)),""),IFERROR(INDEX(对接源_02物料!$C$5:$C$460,MATCH(ROW()-3-N(对接源_01水果!$T$1),对接源_02物料!$Q$5:$Q$460,0)),"")))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7" s="69" t="str">
        <f aca="false">IF($B257="","",IF($B257="01水果",IFERROR(INDEX(对接源_01水果!$D$5:$D$507,MATCH(ROW()-3,对接源_01水果!$Q$5:$Q$507,0)),""),IFERROR(INDEX(对接源_02物料!$D$5:$D$460,MATCH(ROW()-3-N(对接源_01水果!$T$1),对接源_02物料!$Q$5:$Q$460,0)),"")))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7" s="67" t="str">
        <f aca="false">IF($B257="","",IF($B257="01水果",IFERROR(INDEX(对接源_01水果!$E$5:$E$507,MATCH(ROW()-3,对接源_01水果!$Q$5:$Q$507,0)),""),IFERROR(INDEX(对接源_02物料!$E$5:$E$460,MATCH(ROW()-3-N(对接源_01水果!$T$1),对接源_02物料!$Q$5:$Q$460,0)),"")))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7" s="70" t="str">
        <f aca="false">IF($B257="","",IF($B257="01水果",IFERROR(INDEX(对接源_01水果!$F$5:$F$507,MATCH(ROW()-3,对接源_01水果!$Q$5:$Q$507,0)),""),IFERROR(INDEX(对接源_02物料!$F$5:$F$460,MATCH(ROW()-3-N(对接源_01水果!$T$1),对接源_02物料!$Q$5:$Q$460,0)),"")))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7" s="70" t="str">
        <f aca="false">IF($B257="","",IF($B257="01水果",IFERROR(INDEX(对接源_01水果!$G$5:$G$507,MATCH(ROW()-3,对接源_01水果!$Q$5:$Q$507,0)),""),IFERROR(INDEX(对接源_02物料!$G$5:$G$460,MATCH(ROW()-3-N(对接源_01水果!$T$1),对接源_02物料!$Q$5:$Q$460,0)),"")))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7" s="67" t="str">
        <f aca="false">IF(OR($D257="客户应收",$D257="成品销售款",$D257="公司购买果品款",$D257="筐子销售款",$D257="物料销售款"),"客户往来",IFERROR(INDEX(收入成本映射!$C$4:$C$34,MATCH($D257,收入成本映射!$B$4:$B$34,0)),"不记账"))</f>
        <v>不记账</v>
      </c>
      <c r="J257" s="67" t="str">
        <f aca="false">IF($B257="","","0%")</f>
        <v/>
      </c>
      <c r="K257" s="70" t="n">
        <f aca="false">IF($I257="不记账",0,ROUND(N($G257),2))</f>
        <v>0</v>
      </c>
      <c r="L257" s="70" t="n">
        <v>0</v>
      </c>
      <c r="M257" s="67" t="str">
        <f aca="false">IF(OR($I257="不记账",ROUND(N($G257),2)=0),"",IFERROR(INDEX(收入成本映射!$E$4:$E$34,MATCH($D257,收入成本映射!$B$4:$B$34,0)),""))</f>
        <v/>
      </c>
      <c r="N257" s="70" t="str">
        <f aca="false">IF($M257="","",ROUND(N($G257),2))</f>
        <v/>
      </c>
      <c r="O257" s="70" t="str">
        <f aca="false">IF($M257="","",0)</f>
        <v/>
      </c>
      <c r="P257" s="67" t="str">
        <f aca="false">IF($M257="","",IFERROR(INDEX(收入成本映射!$F$4:$F$34,MATCH($D257,收入成本映射!$B$4:$B$34,0)),""))</f>
        <v/>
      </c>
      <c r="Q257" s="70" t="str">
        <f aca="false">IF($P257="","",0)</f>
        <v/>
      </c>
      <c r="R257" s="70" t="str">
        <f aca="false">IF($P257="","",ROUND(N($G257),2))</f>
        <v/>
      </c>
      <c r="S257" s="67" t="str">
        <f aca="false">""</f>
        <v/>
      </c>
      <c r="T257" s="70" t="str">
        <f aca="false">IF($S257="","",0)</f>
        <v/>
      </c>
      <c r="U257" s="70" t="str">
        <f aca="false">IF($S257="","",0)</f>
        <v/>
      </c>
      <c r="V257" s="66" t="str">
        <f aca="false">IF($B257="","",IF($B257="01水果",IFERROR(INDEX(对接源_01水果!$H$5:$H$507,MATCH(ROW()-3,对接源_01水果!$Q$5:$Q$507,0)),""),IFERROR(INDEX(对接源_02物料!$H$5:$H$460,MATCH(ROW()-3-N(对接源_01水果!$T$1),对接源_02物料!$Q$5:$Q$460,0)),"")))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8" customFormat="false" ht="18" hidden="false" customHeight="true" outlineLevel="0" collapsed="false">
      <c r="A258" s="66" t="n">
        <v>255</v>
      </c>
      <c r="B258" s="67" t="str">
        <f aca="false">IF(ROW()-3&lt;=N(对接源_01水果!$T$1),"01水果",IF(ROW()-3&lt;=N(对接源_01水果!$T$1)+N(对接源_02物料!$T$1),"02物料",""))</f>
        <v/>
      </c>
      <c r="C258" s="68" t="str">
        <f aca="false">IF($B258="","",IF($B258="01水果",IFERROR(INDEX(对接源_01水果!$B$5:$B$507,MATCH(ROW()-3,对接源_01水果!$Q$5:$Q$507,0)),""),IFERROR(INDEX(对接源_02物料!$B$5:$B$460,MATCH(ROW()-3-N(对接源_01水果!$T$1),对接源_02物料!$Q$5:$Q$460,0)),"")))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8" s="67" t="str">
        <f aca="false">IF($B258="","",IF($B258="01水果",IFERROR(INDEX(对接源_01水果!$C$5:$C$507,MATCH(ROW()-3,对接源_01水果!$Q$5:$Q$507,0)),""),IFERROR(INDEX(对接源_02物料!$C$5:$C$460,MATCH(ROW()-3-N(对接源_01水果!$T$1),对接源_02物料!$Q$5:$Q$460,0)),"")))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8" s="69" t="str">
        <f aca="false">IF($B258="","",IF($B258="01水果",IFERROR(INDEX(对接源_01水果!$D$5:$D$507,MATCH(ROW()-3,对接源_01水果!$Q$5:$Q$507,0)),""),IFERROR(INDEX(对接源_02物料!$D$5:$D$460,MATCH(ROW()-3-N(对接源_01水果!$T$1),对接源_02物料!$Q$5:$Q$460,0)),"")))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8" s="67" t="str">
        <f aca="false">IF($B258="","",IF($B258="01水果",IFERROR(INDEX(对接源_01水果!$E$5:$E$507,MATCH(ROW()-3,对接源_01水果!$Q$5:$Q$507,0)),""),IFERROR(INDEX(对接源_02物料!$E$5:$E$460,MATCH(ROW()-3-N(对接源_01水果!$T$1),对接源_02物料!$Q$5:$Q$460,0)),"")))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8" s="70" t="str">
        <f aca="false">IF($B258="","",IF($B258="01水果",IFERROR(INDEX(对接源_01水果!$F$5:$F$507,MATCH(ROW()-3,对接源_01水果!$Q$5:$Q$507,0)),""),IFERROR(INDEX(对接源_02物料!$F$5:$F$460,MATCH(ROW()-3-N(对接源_01水果!$T$1),对接源_02物料!$Q$5:$Q$460,0)),"")))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8" s="70" t="str">
        <f aca="false">IF($B258="","",IF($B258="01水果",IFERROR(INDEX(对接源_01水果!$G$5:$G$507,MATCH(ROW()-3,对接源_01水果!$Q$5:$Q$507,0)),""),IFERROR(INDEX(对接源_02物料!$G$5:$G$460,MATCH(ROW()-3-N(对接源_01水果!$T$1),对接源_02物料!$Q$5:$Q$460,0)),"")))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8" s="67" t="str">
        <f aca="false">IF(OR($D258="客户应收",$D258="成品销售款",$D258="公司购买果品款",$D258="筐子销售款",$D258="物料销售款"),"客户往来",IFERROR(INDEX(收入成本映射!$C$4:$C$34,MATCH($D258,收入成本映射!$B$4:$B$34,0)),"不记账"))</f>
        <v>不记账</v>
      </c>
      <c r="J258" s="67" t="str">
        <f aca="false">IF($B258="","","0%")</f>
        <v/>
      </c>
      <c r="K258" s="70" t="n">
        <f aca="false">IF($I258="不记账",0,ROUND(N($G258),2))</f>
        <v>0</v>
      </c>
      <c r="L258" s="70" t="n">
        <v>0</v>
      </c>
      <c r="M258" s="67" t="str">
        <f aca="false">IF(OR($I258="不记账",ROUND(N($G258),2)=0),"",IFERROR(INDEX(收入成本映射!$E$4:$E$34,MATCH($D258,收入成本映射!$B$4:$B$34,0)),""))</f>
        <v/>
      </c>
      <c r="N258" s="70" t="str">
        <f aca="false">IF($M258="","",ROUND(N($G258),2))</f>
        <v/>
      </c>
      <c r="O258" s="70" t="str">
        <f aca="false">IF($M258="","",0)</f>
        <v/>
      </c>
      <c r="P258" s="67" t="str">
        <f aca="false">IF($M258="","",IFERROR(INDEX(收入成本映射!$F$4:$F$34,MATCH($D258,收入成本映射!$B$4:$B$34,0)),""))</f>
        <v/>
      </c>
      <c r="Q258" s="70" t="str">
        <f aca="false">IF($P258="","",0)</f>
        <v/>
      </c>
      <c r="R258" s="70" t="str">
        <f aca="false">IF($P258="","",ROUND(N($G258),2))</f>
        <v/>
      </c>
      <c r="S258" s="67" t="str">
        <f aca="false">""</f>
        <v/>
      </c>
      <c r="T258" s="70" t="str">
        <f aca="false">IF($S258="","",0)</f>
        <v/>
      </c>
      <c r="U258" s="70" t="str">
        <f aca="false">IF($S258="","",0)</f>
        <v/>
      </c>
      <c r="V258" s="66" t="str">
        <f aca="false">IF($B258="","",IF($B258="01水果",IFERROR(INDEX(对接源_01水果!$H$5:$H$507,MATCH(ROW()-3,对接源_01水果!$Q$5:$Q$507,0)),""),IFERROR(INDEX(对接源_02物料!$H$5:$H$460,MATCH(ROW()-3-N(对接源_01水果!$T$1),对接源_02物料!$Q$5:$Q$460,0)),"")))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59" customFormat="false" ht="18" hidden="false" customHeight="true" outlineLevel="0" collapsed="false">
      <c r="A259" s="66" t="n">
        <v>256</v>
      </c>
      <c r="B259" s="67" t="str">
        <f aca="false">IF(ROW()-3&lt;=N(对接源_01水果!$T$1),"01水果",IF(ROW()-3&lt;=N(对接源_01水果!$T$1)+N(对接源_02物料!$T$1),"02物料",""))</f>
        <v/>
      </c>
      <c r="C259" s="68" t="str">
        <f aca="false">IF($B259="","",IF($B259="01水果",IFERROR(INDEX(对接源_01水果!$B$5:$B$507,MATCH(ROW()-3,对接源_01水果!$Q$5:$Q$507,0)),""),IFERROR(INDEX(对接源_02物料!$B$5:$B$460,MATCH(ROW()-3-N(对接源_01水果!$T$1),对接源_02物料!$Q$5:$Q$460,0)),"")))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59" s="67" t="str">
        <f aca="false">IF($B259="","",IF($B259="01水果",IFERROR(INDEX(对接源_01水果!$C$5:$C$507,MATCH(ROW()-3,对接源_01水果!$Q$5:$Q$507,0)),""),IFERROR(INDEX(对接源_02物料!$C$5:$C$460,MATCH(ROW()-3-N(对接源_01水果!$T$1),对接源_02物料!$Q$5:$Q$460,0)),"")))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59" s="69" t="str">
        <f aca="false">IF($B259="","",IF($B259="01水果",IFERROR(INDEX(对接源_01水果!$D$5:$D$507,MATCH(ROW()-3,对接源_01水果!$Q$5:$Q$507,0)),""),IFERROR(INDEX(对接源_02物料!$D$5:$D$460,MATCH(ROW()-3-N(对接源_01水果!$T$1),对接源_02物料!$Q$5:$Q$460,0)),"")))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59" s="67" t="str">
        <f aca="false">IF($B259="","",IF($B259="01水果",IFERROR(INDEX(对接源_01水果!$E$5:$E$507,MATCH(ROW()-3,对接源_01水果!$Q$5:$Q$507,0)),""),IFERROR(INDEX(对接源_02物料!$E$5:$E$460,MATCH(ROW()-3-N(对接源_01水果!$T$1),对接源_02物料!$Q$5:$Q$460,0)),"")))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59" s="70" t="str">
        <f aca="false">IF($B259="","",IF($B259="01水果",IFERROR(INDEX(对接源_01水果!$F$5:$F$507,MATCH(ROW()-3,对接源_01水果!$Q$5:$Q$507,0)),""),IFERROR(INDEX(对接源_02物料!$F$5:$F$460,MATCH(ROW()-3-N(对接源_01水果!$T$1),对接源_02物料!$Q$5:$Q$460,0)),"")))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59" s="70" t="str">
        <f aca="false">IF($B259="","",IF($B259="01水果",IFERROR(INDEX(对接源_01水果!$G$5:$G$507,MATCH(ROW()-3,对接源_01水果!$Q$5:$Q$507,0)),""),IFERROR(INDEX(对接源_02物料!$G$5:$G$460,MATCH(ROW()-3-N(对接源_01水果!$T$1),对接源_02物料!$Q$5:$Q$460,0)),"")))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59" s="67" t="str">
        <f aca="false">IF(OR($D259="客户应收",$D259="成品销售款",$D259="公司购买果品款",$D259="筐子销售款",$D259="物料销售款"),"客户往来",IFERROR(INDEX(收入成本映射!$C$4:$C$34,MATCH($D259,收入成本映射!$B$4:$B$34,0)),"不记账"))</f>
        <v>不记账</v>
      </c>
      <c r="J259" s="67" t="str">
        <f aca="false">IF($B259="","","0%")</f>
        <v/>
      </c>
      <c r="K259" s="70" t="n">
        <f aca="false">IF($I259="不记账",0,ROUND(N($G259),2))</f>
        <v>0</v>
      </c>
      <c r="L259" s="70" t="n">
        <v>0</v>
      </c>
      <c r="M259" s="67" t="str">
        <f aca="false">IF(OR($I259="不记账",ROUND(N($G259),2)=0),"",IFERROR(INDEX(收入成本映射!$E$4:$E$34,MATCH($D259,收入成本映射!$B$4:$B$34,0)),""))</f>
        <v/>
      </c>
      <c r="N259" s="70" t="str">
        <f aca="false">IF($M259="","",ROUND(N($G259),2))</f>
        <v/>
      </c>
      <c r="O259" s="70" t="str">
        <f aca="false">IF($M259="","",0)</f>
        <v/>
      </c>
      <c r="P259" s="67" t="str">
        <f aca="false">IF($M259="","",IFERROR(INDEX(收入成本映射!$F$4:$F$34,MATCH($D259,收入成本映射!$B$4:$B$34,0)),""))</f>
        <v/>
      </c>
      <c r="Q259" s="70" t="str">
        <f aca="false">IF($P259="","",0)</f>
        <v/>
      </c>
      <c r="R259" s="70" t="str">
        <f aca="false">IF($P259="","",ROUND(N($G259),2))</f>
        <v/>
      </c>
      <c r="S259" s="67" t="str">
        <f aca="false">""</f>
        <v/>
      </c>
      <c r="T259" s="70" t="str">
        <f aca="false">IF($S259="","",0)</f>
        <v/>
      </c>
      <c r="U259" s="70" t="str">
        <f aca="false">IF($S259="","",0)</f>
        <v/>
      </c>
      <c r="V259" s="66" t="str">
        <f aca="false">IF($B259="","",IF($B259="01水果",IFERROR(INDEX(对接源_01水果!$H$5:$H$507,MATCH(ROW()-3,对接源_01水果!$Q$5:$Q$507,0)),""),IFERROR(INDEX(对接源_02物料!$H$5:$H$460,MATCH(ROW()-3-N(对接源_01水果!$T$1),对接源_02物料!$Q$5:$Q$460,0)),"")))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0" customFormat="false" ht="18" hidden="false" customHeight="true" outlineLevel="0" collapsed="false">
      <c r="A260" s="66" t="n">
        <v>257</v>
      </c>
      <c r="B260" s="67" t="str">
        <f aca="false">IF(ROW()-3&lt;=N(对接源_01水果!$T$1),"01水果",IF(ROW()-3&lt;=N(对接源_01水果!$T$1)+N(对接源_02物料!$T$1),"02物料",""))</f>
        <v/>
      </c>
      <c r="C260" s="68" t="str">
        <f aca="false">IF($B260="","",IF($B260="01水果",IFERROR(INDEX(对接源_01水果!$B$5:$B$507,MATCH(ROW()-3,对接源_01水果!$Q$5:$Q$507,0)),""),IFERROR(INDEX(对接源_02物料!$B$5:$B$460,MATCH(ROW()-3-N(对接源_01水果!$T$1),对接源_02物料!$Q$5:$Q$460,0)),"")))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0" s="67" t="str">
        <f aca="false">IF($B260="","",IF($B260="01水果",IFERROR(INDEX(对接源_01水果!$C$5:$C$507,MATCH(ROW()-3,对接源_01水果!$Q$5:$Q$507,0)),""),IFERROR(INDEX(对接源_02物料!$C$5:$C$460,MATCH(ROW()-3-N(对接源_01水果!$T$1),对接源_02物料!$Q$5:$Q$460,0)),"")))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0" s="69" t="str">
        <f aca="false">IF($B260="","",IF($B260="01水果",IFERROR(INDEX(对接源_01水果!$D$5:$D$507,MATCH(ROW()-3,对接源_01水果!$Q$5:$Q$507,0)),""),IFERROR(INDEX(对接源_02物料!$D$5:$D$460,MATCH(ROW()-3-N(对接源_01水果!$T$1),对接源_02物料!$Q$5:$Q$460,0)),"")))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0" s="67" t="str">
        <f aca="false">IF($B260="","",IF($B260="01水果",IFERROR(INDEX(对接源_01水果!$E$5:$E$507,MATCH(ROW()-3,对接源_01水果!$Q$5:$Q$507,0)),""),IFERROR(INDEX(对接源_02物料!$E$5:$E$460,MATCH(ROW()-3-N(对接源_01水果!$T$1),对接源_02物料!$Q$5:$Q$460,0)),"")))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0" s="70" t="str">
        <f aca="false">IF($B260="","",IF($B260="01水果",IFERROR(INDEX(对接源_01水果!$F$5:$F$507,MATCH(ROW()-3,对接源_01水果!$Q$5:$Q$507,0)),""),IFERROR(INDEX(对接源_02物料!$F$5:$F$460,MATCH(ROW()-3-N(对接源_01水果!$T$1),对接源_02物料!$Q$5:$Q$460,0)),"")))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0" s="70" t="str">
        <f aca="false">IF($B260="","",IF($B260="01水果",IFERROR(INDEX(对接源_01水果!$G$5:$G$507,MATCH(ROW()-3,对接源_01水果!$Q$5:$Q$507,0)),""),IFERROR(INDEX(对接源_02物料!$G$5:$G$460,MATCH(ROW()-3-N(对接源_01水果!$T$1),对接源_02物料!$Q$5:$Q$460,0)),"")))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0" s="67" t="str">
        <f aca="false">IF(OR($D260="客户应收",$D260="成品销售款",$D260="公司购买果品款",$D260="筐子销售款",$D260="物料销售款"),"客户往来",IFERROR(INDEX(收入成本映射!$C$4:$C$34,MATCH($D260,收入成本映射!$B$4:$B$34,0)),"不记账"))</f>
        <v>不记账</v>
      </c>
      <c r="J260" s="67" t="str">
        <f aca="false">IF($B260="","","0%")</f>
        <v/>
      </c>
      <c r="K260" s="70" t="n">
        <f aca="false">IF($I260="不记账",0,ROUND(N($G260),2))</f>
        <v>0</v>
      </c>
      <c r="L260" s="70" t="n">
        <v>0</v>
      </c>
      <c r="M260" s="67" t="str">
        <f aca="false">IF(OR($I260="不记账",ROUND(N($G260),2)=0),"",IFERROR(INDEX(收入成本映射!$E$4:$E$34,MATCH($D260,收入成本映射!$B$4:$B$34,0)),""))</f>
        <v/>
      </c>
      <c r="N260" s="70" t="str">
        <f aca="false">IF($M260="","",ROUND(N($G260),2))</f>
        <v/>
      </c>
      <c r="O260" s="70" t="str">
        <f aca="false">IF($M260="","",0)</f>
        <v/>
      </c>
      <c r="P260" s="67" t="str">
        <f aca="false">IF($M260="","",IFERROR(INDEX(收入成本映射!$F$4:$F$34,MATCH($D260,收入成本映射!$B$4:$B$34,0)),""))</f>
        <v/>
      </c>
      <c r="Q260" s="70" t="str">
        <f aca="false">IF($P260="","",0)</f>
        <v/>
      </c>
      <c r="R260" s="70" t="str">
        <f aca="false">IF($P260="","",ROUND(N($G260),2))</f>
        <v/>
      </c>
      <c r="S260" s="67" t="str">
        <f aca="false">""</f>
        <v/>
      </c>
      <c r="T260" s="70" t="str">
        <f aca="false">IF($S260="","",0)</f>
        <v/>
      </c>
      <c r="U260" s="70" t="str">
        <f aca="false">IF($S260="","",0)</f>
        <v/>
      </c>
      <c r="V260" s="66" t="str">
        <f aca="false">IF($B260="","",IF($B260="01水果",IFERROR(INDEX(对接源_01水果!$H$5:$H$507,MATCH(ROW()-3,对接源_01水果!$Q$5:$Q$507,0)),""),IFERROR(INDEX(对接源_02物料!$H$5:$H$460,MATCH(ROW()-3-N(对接源_01水果!$T$1),对接源_02物料!$Q$5:$Q$460,0)),"")))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1" customFormat="false" ht="18" hidden="false" customHeight="true" outlineLevel="0" collapsed="false">
      <c r="A261" s="66" t="n">
        <v>258</v>
      </c>
      <c r="B261" s="67" t="str">
        <f aca="false">IF(ROW()-3&lt;=N(对接源_01水果!$T$1),"01水果",IF(ROW()-3&lt;=N(对接源_01水果!$T$1)+N(对接源_02物料!$T$1),"02物料",""))</f>
        <v/>
      </c>
      <c r="C261" s="68" t="str">
        <f aca="false">IF($B261="","",IF($B261="01水果",IFERROR(INDEX(对接源_01水果!$B$5:$B$507,MATCH(ROW()-3,对接源_01水果!$Q$5:$Q$507,0)),""),IFERROR(INDEX(对接源_02物料!$B$5:$B$460,MATCH(ROW()-3-N(对接源_01水果!$T$1),对接源_02物料!$Q$5:$Q$460,0)),"")))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1" s="67" t="str">
        <f aca="false">IF($B261="","",IF($B261="01水果",IFERROR(INDEX(对接源_01水果!$C$5:$C$507,MATCH(ROW()-3,对接源_01水果!$Q$5:$Q$507,0)),""),IFERROR(INDEX(对接源_02物料!$C$5:$C$460,MATCH(ROW()-3-N(对接源_01水果!$T$1),对接源_02物料!$Q$5:$Q$460,0)),"")))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1" s="69" t="str">
        <f aca="false">IF($B261="","",IF($B261="01水果",IFERROR(INDEX(对接源_01水果!$D$5:$D$507,MATCH(ROW()-3,对接源_01水果!$Q$5:$Q$507,0)),""),IFERROR(INDEX(对接源_02物料!$D$5:$D$460,MATCH(ROW()-3-N(对接源_01水果!$T$1),对接源_02物料!$Q$5:$Q$460,0)),"")))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1" s="67" t="str">
        <f aca="false">IF($B261="","",IF($B261="01水果",IFERROR(INDEX(对接源_01水果!$E$5:$E$507,MATCH(ROW()-3,对接源_01水果!$Q$5:$Q$507,0)),""),IFERROR(INDEX(对接源_02物料!$E$5:$E$460,MATCH(ROW()-3-N(对接源_01水果!$T$1),对接源_02物料!$Q$5:$Q$460,0)),"")))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1" s="70" t="str">
        <f aca="false">IF($B261="","",IF($B261="01水果",IFERROR(INDEX(对接源_01水果!$F$5:$F$507,MATCH(ROW()-3,对接源_01水果!$Q$5:$Q$507,0)),""),IFERROR(INDEX(对接源_02物料!$F$5:$F$460,MATCH(ROW()-3-N(对接源_01水果!$T$1),对接源_02物料!$Q$5:$Q$460,0)),"")))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1" s="70" t="str">
        <f aca="false">IF($B261="","",IF($B261="01水果",IFERROR(INDEX(对接源_01水果!$G$5:$G$507,MATCH(ROW()-3,对接源_01水果!$Q$5:$Q$507,0)),""),IFERROR(INDEX(对接源_02物料!$G$5:$G$460,MATCH(ROW()-3-N(对接源_01水果!$T$1),对接源_02物料!$Q$5:$Q$460,0)),"")))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1" s="67" t="str">
        <f aca="false">IF(OR($D261="客户应收",$D261="成品销售款",$D261="公司购买果品款",$D261="筐子销售款",$D261="物料销售款"),"客户往来",IFERROR(INDEX(收入成本映射!$C$4:$C$34,MATCH($D261,收入成本映射!$B$4:$B$34,0)),"不记账"))</f>
        <v>不记账</v>
      </c>
      <c r="J261" s="67" t="str">
        <f aca="false">IF($B261="","","0%")</f>
        <v/>
      </c>
      <c r="K261" s="70" t="n">
        <f aca="false">IF($I261="不记账",0,ROUND(N($G261),2))</f>
        <v>0</v>
      </c>
      <c r="L261" s="70" t="n">
        <v>0</v>
      </c>
      <c r="M261" s="67" t="str">
        <f aca="false">IF(OR($I261="不记账",ROUND(N($G261),2)=0),"",IFERROR(INDEX(收入成本映射!$E$4:$E$34,MATCH($D261,收入成本映射!$B$4:$B$34,0)),""))</f>
        <v/>
      </c>
      <c r="N261" s="70" t="str">
        <f aca="false">IF($M261="","",ROUND(N($G261),2))</f>
        <v/>
      </c>
      <c r="O261" s="70" t="str">
        <f aca="false">IF($M261="","",0)</f>
        <v/>
      </c>
      <c r="P261" s="67" t="str">
        <f aca="false">IF($M261="","",IFERROR(INDEX(收入成本映射!$F$4:$F$34,MATCH($D261,收入成本映射!$B$4:$B$34,0)),""))</f>
        <v/>
      </c>
      <c r="Q261" s="70" t="str">
        <f aca="false">IF($P261="","",0)</f>
        <v/>
      </c>
      <c r="R261" s="70" t="str">
        <f aca="false">IF($P261="","",ROUND(N($G261),2))</f>
        <v/>
      </c>
      <c r="S261" s="67" t="str">
        <f aca="false">""</f>
        <v/>
      </c>
      <c r="T261" s="70" t="str">
        <f aca="false">IF($S261="","",0)</f>
        <v/>
      </c>
      <c r="U261" s="70" t="str">
        <f aca="false">IF($S261="","",0)</f>
        <v/>
      </c>
      <c r="V261" s="66" t="str">
        <f aca="false">IF($B261="","",IF($B261="01水果",IFERROR(INDEX(对接源_01水果!$H$5:$H$507,MATCH(ROW()-3,对接源_01水果!$Q$5:$Q$507,0)),""),IFERROR(INDEX(对接源_02物料!$H$5:$H$460,MATCH(ROW()-3-N(对接源_01水果!$T$1),对接源_02物料!$Q$5:$Q$460,0)),"")))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2" customFormat="false" ht="18" hidden="false" customHeight="true" outlineLevel="0" collapsed="false">
      <c r="A262" s="66" t="n">
        <v>259</v>
      </c>
      <c r="B262" s="67" t="str">
        <f aca="false">IF(ROW()-3&lt;=N(对接源_01水果!$T$1),"01水果",IF(ROW()-3&lt;=N(对接源_01水果!$T$1)+N(对接源_02物料!$T$1),"02物料",""))</f>
        <v/>
      </c>
      <c r="C262" s="68" t="str">
        <f aca="false">IF($B262="","",IF($B262="01水果",IFERROR(INDEX(对接源_01水果!$B$5:$B$507,MATCH(ROW()-3,对接源_01水果!$Q$5:$Q$507,0)),""),IFERROR(INDEX(对接源_02物料!$B$5:$B$460,MATCH(ROW()-3-N(对接源_01水果!$T$1),对接源_02物料!$Q$5:$Q$460,0)),"")))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2" s="67" t="str">
        <f aca="false">IF($B262="","",IF($B262="01水果",IFERROR(INDEX(对接源_01水果!$C$5:$C$507,MATCH(ROW()-3,对接源_01水果!$Q$5:$Q$507,0)),""),IFERROR(INDEX(对接源_02物料!$C$5:$C$460,MATCH(ROW()-3-N(对接源_01水果!$T$1),对接源_02物料!$Q$5:$Q$460,0)),"")))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2" s="69" t="str">
        <f aca="false">IF($B262="","",IF($B262="01水果",IFERROR(INDEX(对接源_01水果!$D$5:$D$507,MATCH(ROW()-3,对接源_01水果!$Q$5:$Q$507,0)),""),IFERROR(INDEX(对接源_02物料!$D$5:$D$460,MATCH(ROW()-3-N(对接源_01水果!$T$1),对接源_02物料!$Q$5:$Q$460,0)),"")))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2" s="67" t="str">
        <f aca="false">IF($B262="","",IF($B262="01水果",IFERROR(INDEX(对接源_01水果!$E$5:$E$507,MATCH(ROW()-3,对接源_01水果!$Q$5:$Q$507,0)),""),IFERROR(INDEX(对接源_02物料!$E$5:$E$460,MATCH(ROW()-3-N(对接源_01水果!$T$1),对接源_02物料!$Q$5:$Q$460,0)),"")))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2" s="70" t="str">
        <f aca="false">IF($B262="","",IF($B262="01水果",IFERROR(INDEX(对接源_01水果!$F$5:$F$507,MATCH(ROW()-3,对接源_01水果!$Q$5:$Q$507,0)),""),IFERROR(INDEX(对接源_02物料!$F$5:$F$460,MATCH(ROW()-3-N(对接源_01水果!$T$1),对接源_02物料!$Q$5:$Q$460,0)),"")))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2" s="70" t="str">
        <f aca="false">IF($B262="","",IF($B262="01水果",IFERROR(INDEX(对接源_01水果!$G$5:$G$507,MATCH(ROW()-3,对接源_01水果!$Q$5:$Q$507,0)),""),IFERROR(INDEX(对接源_02物料!$G$5:$G$460,MATCH(ROW()-3-N(对接源_01水果!$T$1),对接源_02物料!$Q$5:$Q$460,0)),"")))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2" s="67" t="str">
        <f aca="false">IF(OR($D262="客户应收",$D262="成品销售款",$D262="公司购买果品款",$D262="筐子销售款",$D262="物料销售款"),"客户往来",IFERROR(INDEX(收入成本映射!$C$4:$C$34,MATCH($D262,收入成本映射!$B$4:$B$34,0)),"不记账"))</f>
        <v>不记账</v>
      </c>
      <c r="J262" s="67" t="str">
        <f aca="false">IF($B262="","","0%")</f>
        <v/>
      </c>
      <c r="K262" s="70" t="n">
        <f aca="false">IF($I262="不记账",0,ROUND(N($G262),2))</f>
        <v>0</v>
      </c>
      <c r="L262" s="70" t="n">
        <v>0</v>
      </c>
      <c r="M262" s="67" t="str">
        <f aca="false">IF(OR($I262="不记账",ROUND(N($G262),2)=0),"",IFERROR(INDEX(收入成本映射!$E$4:$E$34,MATCH($D262,收入成本映射!$B$4:$B$34,0)),""))</f>
        <v/>
      </c>
      <c r="N262" s="70" t="str">
        <f aca="false">IF($M262="","",ROUND(N($G262),2))</f>
        <v/>
      </c>
      <c r="O262" s="70" t="str">
        <f aca="false">IF($M262="","",0)</f>
        <v/>
      </c>
      <c r="P262" s="67" t="str">
        <f aca="false">IF($M262="","",IFERROR(INDEX(收入成本映射!$F$4:$F$34,MATCH($D262,收入成本映射!$B$4:$B$34,0)),""))</f>
        <v/>
      </c>
      <c r="Q262" s="70" t="str">
        <f aca="false">IF($P262="","",0)</f>
        <v/>
      </c>
      <c r="R262" s="70" t="str">
        <f aca="false">IF($P262="","",ROUND(N($G262),2))</f>
        <v/>
      </c>
      <c r="S262" s="67" t="str">
        <f aca="false">""</f>
        <v/>
      </c>
      <c r="T262" s="70" t="str">
        <f aca="false">IF($S262="","",0)</f>
        <v/>
      </c>
      <c r="U262" s="70" t="str">
        <f aca="false">IF($S262="","",0)</f>
        <v/>
      </c>
      <c r="V262" s="66" t="str">
        <f aca="false">IF($B262="","",IF($B262="01水果",IFERROR(INDEX(对接源_01水果!$H$5:$H$507,MATCH(ROW()-3,对接源_01水果!$Q$5:$Q$507,0)),""),IFERROR(INDEX(对接源_02物料!$H$5:$H$460,MATCH(ROW()-3-N(对接源_01水果!$T$1),对接源_02物料!$Q$5:$Q$460,0)),"")))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3" customFormat="false" ht="18" hidden="false" customHeight="true" outlineLevel="0" collapsed="false">
      <c r="A263" s="66" t="n">
        <v>260</v>
      </c>
      <c r="B263" s="67" t="str">
        <f aca="false">IF(ROW()-3&lt;=N(对接源_01水果!$T$1),"01水果",IF(ROW()-3&lt;=N(对接源_01水果!$T$1)+N(对接源_02物料!$T$1),"02物料",""))</f>
        <v/>
      </c>
      <c r="C263" s="68" t="str">
        <f aca="false">IF($B263="","",IF($B263="01水果",IFERROR(INDEX(对接源_01水果!$B$5:$B$507,MATCH(ROW()-3,对接源_01水果!$Q$5:$Q$507,0)),""),IFERROR(INDEX(对接源_02物料!$B$5:$B$460,MATCH(ROW()-3-N(对接源_01水果!$T$1),对接源_02物料!$Q$5:$Q$460,0)),"")))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3" s="67" t="str">
        <f aca="false">IF($B263="","",IF($B263="01水果",IFERROR(INDEX(对接源_01水果!$C$5:$C$507,MATCH(ROW()-3,对接源_01水果!$Q$5:$Q$507,0)),""),IFERROR(INDEX(对接源_02物料!$C$5:$C$460,MATCH(ROW()-3-N(对接源_01水果!$T$1),对接源_02物料!$Q$5:$Q$460,0)),"")))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3" s="69" t="str">
        <f aca="false">IF($B263="","",IF($B263="01水果",IFERROR(INDEX(对接源_01水果!$D$5:$D$507,MATCH(ROW()-3,对接源_01水果!$Q$5:$Q$507,0)),""),IFERROR(INDEX(对接源_02物料!$D$5:$D$460,MATCH(ROW()-3-N(对接源_01水果!$T$1),对接源_02物料!$Q$5:$Q$460,0)),"")))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3" s="67" t="str">
        <f aca="false">IF($B263="","",IF($B263="01水果",IFERROR(INDEX(对接源_01水果!$E$5:$E$507,MATCH(ROW()-3,对接源_01水果!$Q$5:$Q$507,0)),""),IFERROR(INDEX(对接源_02物料!$E$5:$E$460,MATCH(ROW()-3-N(对接源_01水果!$T$1),对接源_02物料!$Q$5:$Q$460,0)),"")))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3" s="70" t="str">
        <f aca="false">IF($B263="","",IF($B263="01水果",IFERROR(INDEX(对接源_01水果!$F$5:$F$507,MATCH(ROW()-3,对接源_01水果!$Q$5:$Q$507,0)),""),IFERROR(INDEX(对接源_02物料!$F$5:$F$460,MATCH(ROW()-3-N(对接源_01水果!$T$1),对接源_02物料!$Q$5:$Q$460,0)),"")))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3" s="70" t="str">
        <f aca="false">IF($B263="","",IF($B263="01水果",IFERROR(INDEX(对接源_01水果!$G$5:$G$507,MATCH(ROW()-3,对接源_01水果!$Q$5:$Q$507,0)),""),IFERROR(INDEX(对接源_02物料!$G$5:$G$460,MATCH(ROW()-3-N(对接源_01水果!$T$1),对接源_02物料!$Q$5:$Q$460,0)),"")))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3" s="67" t="str">
        <f aca="false">IF(OR($D263="客户应收",$D263="成品销售款",$D263="公司购买果品款",$D263="筐子销售款",$D263="物料销售款"),"客户往来",IFERROR(INDEX(收入成本映射!$C$4:$C$34,MATCH($D263,收入成本映射!$B$4:$B$34,0)),"不记账"))</f>
        <v>不记账</v>
      </c>
      <c r="J263" s="67" t="str">
        <f aca="false">IF($B263="","","0%")</f>
        <v/>
      </c>
      <c r="K263" s="70" t="n">
        <f aca="false">IF($I263="不记账",0,ROUND(N($G263),2))</f>
        <v>0</v>
      </c>
      <c r="L263" s="70" t="n">
        <v>0</v>
      </c>
      <c r="M263" s="67" t="str">
        <f aca="false">IF(OR($I263="不记账",ROUND(N($G263),2)=0),"",IFERROR(INDEX(收入成本映射!$E$4:$E$34,MATCH($D263,收入成本映射!$B$4:$B$34,0)),""))</f>
        <v/>
      </c>
      <c r="N263" s="70" t="str">
        <f aca="false">IF($M263="","",ROUND(N($G263),2))</f>
        <v/>
      </c>
      <c r="O263" s="70" t="str">
        <f aca="false">IF($M263="","",0)</f>
        <v/>
      </c>
      <c r="P263" s="67" t="str">
        <f aca="false">IF($M263="","",IFERROR(INDEX(收入成本映射!$F$4:$F$34,MATCH($D263,收入成本映射!$B$4:$B$34,0)),""))</f>
        <v/>
      </c>
      <c r="Q263" s="70" t="str">
        <f aca="false">IF($P263="","",0)</f>
        <v/>
      </c>
      <c r="R263" s="70" t="str">
        <f aca="false">IF($P263="","",ROUND(N($G263),2))</f>
        <v/>
      </c>
      <c r="S263" s="67" t="str">
        <f aca="false">""</f>
        <v/>
      </c>
      <c r="T263" s="70" t="str">
        <f aca="false">IF($S263="","",0)</f>
        <v/>
      </c>
      <c r="U263" s="70" t="str">
        <f aca="false">IF($S263="","",0)</f>
        <v/>
      </c>
      <c r="V263" s="66" t="str">
        <f aca="false">IF($B263="","",IF($B263="01水果",IFERROR(INDEX(对接源_01水果!$H$5:$H$507,MATCH(ROW()-3,对接源_01水果!$Q$5:$Q$507,0)),""),IFERROR(INDEX(对接源_02物料!$H$5:$H$460,MATCH(ROW()-3-N(对接源_01水果!$T$1),对接源_02物料!$Q$5:$Q$460,0)),"")))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4" customFormat="false" ht="18" hidden="false" customHeight="true" outlineLevel="0" collapsed="false">
      <c r="A264" s="66" t="n">
        <v>261</v>
      </c>
      <c r="B264" s="67" t="str">
        <f aca="false">IF(ROW()-3&lt;=N(对接源_01水果!$T$1),"01水果",IF(ROW()-3&lt;=N(对接源_01水果!$T$1)+N(对接源_02物料!$T$1),"02物料",""))</f>
        <v/>
      </c>
      <c r="C264" s="68" t="str">
        <f aca="false">IF($B264="","",IF($B264="01水果",IFERROR(INDEX(对接源_01水果!$B$5:$B$507,MATCH(ROW()-3,对接源_01水果!$Q$5:$Q$507,0)),""),IFERROR(INDEX(对接源_02物料!$B$5:$B$460,MATCH(ROW()-3-N(对接源_01水果!$T$1),对接源_02物料!$Q$5:$Q$460,0)),"")))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4" s="67" t="str">
        <f aca="false">IF($B264="","",IF($B264="01水果",IFERROR(INDEX(对接源_01水果!$C$5:$C$507,MATCH(ROW()-3,对接源_01水果!$Q$5:$Q$507,0)),""),IFERROR(INDEX(对接源_02物料!$C$5:$C$460,MATCH(ROW()-3-N(对接源_01水果!$T$1),对接源_02物料!$Q$5:$Q$460,0)),"")))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4" s="69" t="str">
        <f aca="false">IF($B264="","",IF($B264="01水果",IFERROR(INDEX(对接源_01水果!$D$5:$D$507,MATCH(ROW()-3,对接源_01水果!$Q$5:$Q$507,0)),""),IFERROR(INDEX(对接源_02物料!$D$5:$D$460,MATCH(ROW()-3-N(对接源_01水果!$T$1),对接源_02物料!$Q$5:$Q$460,0)),"")))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4" s="67" t="str">
        <f aca="false">IF($B264="","",IF($B264="01水果",IFERROR(INDEX(对接源_01水果!$E$5:$E$507,MATCH(ROW()-3,对接源_01水果!$Q$5:$Q$507,0)),""),IFERROR(INDEX(对接源_02物料!$E$5:$E$460,MATCH(ROW()-3-N(对接源_01水果!$T$1),对接源_02物料!$Q$5:$Q$460,0)),"")))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4" s="70" t="str">
        <f aca="false">IF($B264="","",IF($B264="01水果",IFERROR(INDEX(对接源_01水果!$F$5:$F$507,MATCH(ROW()-3,对接源_01水果!$Q$5:$Q$507,0)),""),IFERROR(INDEX(对接源_02物料!$F$5:$F$460,MATCH(ROW()-3-N(对接源_01水果!$T$1),对接源_02物料!$Q$5:$Q$460,0)),"")))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4" s="70" t="str">
        <f aca="false">IF($B264="","",IF($B264="01水果",IFERROR(INDEX(对接源_01水果!$G$5:$G$507,MATCH(ROW()-3,对接源_01水果!$Q$5:$Q$507,0)),""),IFERROR(INDEX(对接源_02物料!$G$5:$G$460,MATCH(ROW()-3-N(对接源_01水果!$T$1),对接源_02物料!$Q$5:$Q$460,0)),"")))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4" s="67" t="str">
        <f aca="false">IF(OR($D264="客户应收",$D264="成品销售款",$D264="公司购买果品款",$D264="筐子销售款",$D264="物料销售款"),"客户往来",IFERROR(INDEX(收入成本映射!$C$4:$C$34,MATCH($D264,收入成本映射!$B$4:$B$34,0)),"不记账"))</f>
        <v>不记账</v>
      </c>
      <c r="J264" s="67" t="str">
        <f aca="false">IF($B264="","","0%")</f>
        <v/>
      </c>
      <c r="K264" s="70" t="n">
        <f aca="false">IF($I264="不记账",0,ROUND(N($G264),2))</f>
        <v>0</v>
      </c>
      <c r="L264" s="70" t="n">
        <v>0</v>
      </c>
      <c r="M264" s="67" t="str">
        <f aca="false">IF(OR($I264="不记账",ROUND(N($G264),2)=0),"",IFERROR(INDEX(收入成本映射!$E$4:$E$34,MATCH($D264,收入成本映射!$B$4:$B$34,0)),""))</f>
        <v/>
      </c>
      <c r="N264" s="70" t="str">
        <f aca="false">IF($M264="","",ROUND(N($G264),2))</f>
        <v/>
      </c>
      <c r="O264" s="70" t="str">
        <f aca="false">IF($M264="","",0)</f>
        <v/>
      </c>
      <c r="P264" s="67" t="str">
        <f aca="false">IF($M264="","",IFERROR(INDEX(收入成本映射!$F$4:$F$34,MATCH($D264,收入成本映射!$B$4:$B$34,0)),""))</f>
        <v/>
      </c>
      <c r="Q264" s="70" t="str">
        <f aca="false">IF($P264="","",0)</f>
        <v/>
      </c>
      <c r="R264" s="70" t="str">
        <f aca="false">IF($P264="","",ROUND(N($G264),2))</f>
        <v/>
      </c>
      <c r="S264" s="67" t="str">
        <f aca="false">""</f>
        <v/>
      </c>
      <c r="T264" s="70" t="str">
        <f aca="false">IF($S264="","",0)</f>
        <v/>
      </c>
      <c r="U264" s="70" t="str">
        <f aca="false">IF($S264="","",0)</f>
        <v/>
      </c>
      <c r="V264" s="66" t="str">
        <f aca="false">IF($B264="","",IF($B264="01水果",IFERROR(INDEX(对接源_01水果!$H$5:$H$507,MATCH(ROW()-3,对接源_01水果!$Q$5:$Q$507,0)),""),IFERROR(INDEX(对接源_02物料!$H$5:$H$460,MATCH(ROW()-3-N(对接源_01水果!$T$1),对接源_02物料!$Q$5:$Q$460,0)),"")))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5" customFormat="false" ht="18" hidden="false" customHeight="true" outlineLevel="0" collapsed="false">
      <c r="A265" s="66" t="n">
        <v>262</v>
      </c>
      <c r="B265" s="67" t="str">
        <f aca="false">IF(ROW()-3&lt;=N(对接源_01水果!$T$1),"01水果",IF(ROW()-3&lt;=N(对接源_01水果!$T$1)+N(对接源_02物料!$T$1),"02物料",""))</f>
        <v/>
      </c>
      <c r="C265" s="68" t="str">
        <f aca="false">IF($B265="","",IF($B265="01水果",IFERROR(INDEX(对接源_01水果!$B$5:$B$507,MATCH(ROW()-3,对接源_01水果!$Q$5:$Q$507,0)),""),IFERROR(INDEX(对接源_02物料!$B$5:$B$460,MATCH(ROW()-3-N(对接源_01水果!$T$1),对接源_02物料!$Q$5:$Q$460,0)),"")))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5" s="67" t="str">
        <f aca="false">IF($B265="","",IF($B265="01水果",IFERROR(INDEX(对接源_01水果!$C$5:$C$507,MATCH(ROW()-3,对接源_01水果!$Q$5:$Q$507,0)),""),IFERROR(INDEX(对接源_02物料!$C$5:$C$460,MATCH(ROW()-3-N(对接源_01水果!$T$1),对接源_02物料!$Q$5:$Q$460,0)),"")))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5" s="69" t="str">
        <f aca="false">IF($B265="","",IF($B265="01水果",IFERROR(INDEX(对接源_01水果!$D$5:$D$507,MATCH(ROW()-3,对接源_01水果!$Q$5:$Q$507,0)),""),IFERROR(INDEX(对接源_02物料!$D$5:$D$460,MATCH(ROW()-3-N(对接源_01水果!$T$1),对接源_02物料!$Q$5:$Q$460,0)),"")))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5" s="67" t="str">
        <f aca="false">IF($B265="","",IF($B265="01水果",IFERROR(INDEX(对接源_01水果!$E$5:$E$507,MATCH(ROW()-3,对接源_01水果!$Q$5:$Q$507,0)),""),IFERROR(INDEX(对接源_02物料!$E$5:$E$460,MATCH(ROW()-3-N(对接源_01水果!$T$1),对接源_02物料!$Q$5:$Q$460,0)),"")))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5" s="70" t="str">
        <f aca="false">IF($B265="","",IF($B265="01水果",IFERROR(INDEX(对接源_01水果!$F$5:$F$507,MATCH(ROW()-3,对接源_01水果!$Q$5:$Q$507,0)),""),IFERROR(INDEX(对接源_02物料!$F$5:$F$460,MATCH(ROW()-3-N(对接源_01水果!$T$1),对接源_02物料!$Q$5:$Q$460,0)),"")))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5" s="70" t="str">
        <f aca="false">IF($B265="","",IF($B265="01水果",IFERROR(INDEX(对接源_01水果!$G$5:$G$507,MATCH(ROW()-3,对接源_01水果!$Q$5:$Q$507,0)),""),IFERROR(INDEX(对接源_02物料!$G$5:$G$460,MATCH(ROW()-3-N(对接源_01水果!$T$1),对接源_02物料!$Q$5:$Q$460,0)),"")))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5" s="67" t="str">
        <f aca="false">IF(OR($D265="客户应收",$D265="成品销售款",$D265="公司购买果品款",$D265="筐子销售款",$D265="物料销售款"),"客户往来",IFERROR(INDEX(收入成本映射!$C$4:$C$34,MATCH($D265,收入成本映射!$B$4:$B$34,0)),"不记账"))</f>
        <v>不记账</v>
      </c>
      <c r="J265" s="67" t="str">
        <f aca="false">IF($B265="","","0%")</f>
        <v/>
      </c>
      <c r="K265" s="70" t="n">
        <f aca="false">IF($I265="不记账",0,ROUND(N($G265),2))</f>
        <v>0</v>
      </c>
      <c r="L265" s="70" t="n">
        <v>0</v>
      </c>
      <c r="M265" s="67" t="str">
        <f aca="false">IF(OR($I265="不记账",ROUND(N($G265),2)=0),"",IFERROR(INDEX(收入成本映射!$E$4:$E$34,MATCH($D265,收入成本映射!$B$4:$B$34,0)),""))</f>
        <v/>
      </c>
      <c r="N265" s="70" t="str">
        <f aca="false">IF($M265="","",ROUND(N($G265),2))</f>
        <v/>
      </c>
      <c r="O265" s="70" t="str">
        <f aca="false">IF($M265="","",0)</f>
        <v/>
      </c>
      <c r="P265" s="67" t="str">
        <f aca="false">IF($M265="","",IFERROR(INDEX(收入成本映射!$F$4:$F$34,MATCH($D265,收入成本映射!$B$4:$B$34,0)),""))</f>
        <v/>
      </c>
      <c r="Q265" s="70" t="str">
        <f aca="false">IF($P265="","",0)</f>
        <v/>
      </c>
      <c r="R265" s="70" t="str">
        <f aca="false">IF($P265="","",ROUND(N($G265),2))</f>
        <v/>
      </c>
      <c r="S265" s="67" t="str">
        <f aca="false">""</f>
        <v/>
      </c>
      <c r="T265" s="70" t="str">
        <f aca="false">IF($S265="","",0)</f>
        <v/>
      </c>
      <c r="U265" s="70" t="str">
        <f aca="false">IF($S265="","",0)</f>
        <v/>
      </c>
      <c r="V265" s="66" t="str">
        <f aca="false">IF($B265="","",IF($B265="01水果",IFERROR(INDEX(对接源_01水果!$H$5:$H$507,MATCH(ROW()-3,对接源_01水果!$Q$5:$Q$507,0)),""),IFERROR(INDEX(对接源_02物料!$H$5:$H$460,MATCH(ROW()-3-N(对接源_01水果!$T$1),对接源_02物料!$Q$5:$Q$460,0)),"")))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6" customFormat="false" ht="18" hidden="false" customHeight="true" outlineLevel="0" collapsed="false">
      <c r="A266" s="66" t="n">
        <v>263</v>
      </c>
      <c r="B266" s="67" t="str">
        <f aca="false">IF(ROW()-3&lt;=N(对接源_01水果!$T$1),"01水果",IF(ROW()-3&lt;=N(对接源_01水果!$T$1)+N(对接源_02物料!$T$1),"02物料",""))</f>
        <v/>
      </c>
      <c r="C266" s="68" t="str">
        <f aca="false">IF($B266="","",IF($B266="01水果",IFERROR(INDEX(对接源_01水果!$B$5:$B$507,MATCH(ROW()-3,对接源_01水果!$Q$5:$Q$507,0)),""),IFERROR(INDEX(对接源_02物料!$B$5:$B$460,MATCH(ROW()-3-N(对接源_01水果!$T$1),对接源_02物料!$Q$5:$Q$460,0)),"")))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6" s="67" t="str">
        <f aca="false">IF($B266="","",IF($B266="01水果",IFERROR(INDEX(对接源_01水果!$C$5:$C$507,MATCH(ROW()-3,对接源_01水果!$Q$5:$Q$507,0)),""),IFERROR(INDEX(对接源_02物料!$C$5:$C$460,MATCH(ROW()-3-N(对接源_01水果!$T$1),对接源_02物料!$Q$5:$Q$460,0)),"")))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6" s="69" t="str">
        <f aca="false">IF($B266="","",IF($B266="01水果",IFERROR(INDEX(对接源_01水果!$D$5:$D$507,MATCH(ROW()-3,对接源_01水果!$Q$5:$Q$507,0)),""),IFERROR(INDEX(对接源_02物料!$D$5:$D$460,MATCH(ROW()-3-N(对接源_01水果!$T$1),对接源_02物料!$Q$5:$Q$460,0)),"")))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6" s="67" t="str">
        <f aca="false">IF($B266="","",IF($B266="01水果",IFERROR(INDEX(对接源_01水果!$E$5:$E$507,MATCH(ROW()-3,对接源_01水果!$Q$5:$Q$507,0)),""),IFERROR(INDEX(对接源_02物料!$E$5:$E$460,MATCH(ROW()-3-N(对接源_01水果!$T$1),对接源_02物料!$Q$5:$Q$460,0)),"")))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6" s="70" t="str">
        <f aca="false">IF($B266="","",IF($B266="01水果",IFERROR(INDEX(对接源_01水果!$F$5:$F$507,MATCH(ROW()-3,对接源_01水果!$Q$5:$Q$507,0)),""),IFERROR(INDEX(对接源_02物料!$F$5:$F$460,MATCH(ROW()-3-N(对接源_01水果!$T$1),对接源_02物料!$Q$5:$Q$460,0)),"")))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6" s="70" t="str">
        <f aca="false">IF($B266="","",IF($B266="01水果",IFERROR(INDEX(对接源_01水果!$G$5:$G$507,MATCH(ROW()-3,对接源_01水果!$Q$5:$Q$507,0)),""),IFERROR(INDEX(对接源_02物料!$G$5:$G$460,MATCH(ROW()-3-N(对接源_01水果!$T$1),对接源_02物料!$Q$5:$Q$460,0)),"")))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6" s="67" t="str">
        <f aca="false">IF(OR($D266="客户应收",$D266="成品销售款",$D266="公司购买果品款",$D266="筐子销售款",$D266="物料销售款"),"客户往来",IFERROR(INDEX(收入成本映射!$C$4:$C$34,MATCH($D266,收入成本映射!$B$4:$B$34,0)),"不记账"))</f>
        <v>不记账</v>
      </c>
      <c r="J266" s="67" t="str">
        <f aca="false">IF($B266="","","0%")</f>
        <v/>
      </c>
      <c r="K266" s="70" t="n">
        <f aca="false">IF($I266="不记账",0,ROUND(N($G266),2))</f>
        <v>0</v>
      </c>
      <c r="L266" s="70" t="n">
        <v>0</v>
      </c>
      <c r="M266" s="67" t="str">
        <f aca="false">IF(OR($I266="不记账",ROUND(N($G266),2)=0),"",IFERROR(INDEX(收入成本映射!$E$4:$E$34,MATCH($D266,收入成本映射!$B$4:$B$34,0)),""))</f>
        <v/>
      </c>
      <c r="N266" s="70" t="str">
        <f aca="false">IF($M266="","",ROUND(N($G266),2))</f>
        <v/>
      </c>
      <c r="O266" s="70" t="str">
        <f aca="false">IF($M266="","",0)</f>
        <v/>
      </c>
      <c r="P266" s="67" t="str">
        <f aca="false">IF($M266="","",IFERROR(INDEX(收入成本映射!$F$4:$F$34,MATCH($D266,收入成本映射!$B$4:$B$34,0)),""))</f>
        <v/>
      </c>
      <c r="Q266" s="70" t="str">
        <f aca="false">IF($P266="","",0)</f>
        <v/>
      </c>
      <c r="R266" s="70" t="str">
        <f aca="false">IF($P266="","",ROUND(N($G266),2))</f>
        <v/>
      </c>
      <c r="S266" s="67" t="str">
        <f aca="false">""</f>
        <v/>
      </c>
      <c r="T266" s="70" t="str">
        <f aca="false">IF($S266="","",0)</f>
        <v/>
      </c>
      <c r="U266" s="70" t="str">
        <f aca="false">IF($S266="","",0)</f>
        <v/>
      </c>
      <c r="V266" s="66" t="str">
        <f aca="false">IF($B266="","",IF($B266="01水果",IFERROR(INDEX(对接源_01水果!$H$5:$H$507,MATCH(ROW()-3,对接源_01水果!$Q$5:$Q$507,0)),""),IFERROR(INDEX(对接源_02物料!$H$5:$H$460,MATCH(ROW()-3-N(对接源_01水果!$T$1),对接源_02物料!$Q$5:$Q$460,0)),"")))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7" customFormat="false" ht="18" hidden="false" customHeight="true" outlineLevel="0" collapsed="false">
      <c r="A267" s="66" t="n">
        <v>264</v>
      </c>
      <c r="B267" s="67" t="str">
        <f aca="false">IF(ROW()-3&lt;=N(对接源_01水果!$T$1),"01水果",IF(ROW()-3&lt;=N(对接源_01水果!$T$1)+N(对接源_02物料!$T$1),"02物料",""))</f>
        <v/>
      </c>
      <c r="C267" s="68" t="str">
        <f aca="false">IF($B267="","",IF($B267="01水果",IFERROR(INDEX(对接源_01水果!$B$5:$B$507,MATCH(ROW()-3,对接源_01水果!$Q$5:$Q$507,0)),""),IFERROR(INDEX(对接源_02物料!$B$5:$B$460,MATCH(ROW()-3-N(对接源_01水果!$T$1),对接源_02物料!$Q$5:$Q$460,0)),"")))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7" s="67" t="str">
        <f aca="false">IF($B267="","",IF($B267="01水果",IFERROR(INDEX(对接源_01水果!$C$5:$C$507,MATCH(ROW()-3,对接源_01水果!$Q$5:$Q$507,0)),""),IFERROR(INDEX(对接源_02物料!$C$5:$C$460,MATCH(ROW()-3-N(对接源_01水果!$T$1),对接源_02物料!$Q$5:$Q$460,0)),"")))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7" s="69" t="str">
        <f aca="false">IF($B267="","",IF($B267="01水果",IFERROR(INDEX(对接源_01水果!$D$5:$D$507,MATCH(ROW()-3,对接源_01水果!$Q$5:$Q$507,0)),""),IFERROR(INDEX(对接源_02物料!$D$5:$D$460,MATCH(ROW()-3-N(对接源_01水果!$T$1),对接源_02物料!$Q$5:$Q$460,0)),"")))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7" s="67" t="str">
        <f aca="false">IF($B267="","",IF($B267="01水果",IFERROR(INDEX(对接源_01水果!$E$5:$E$507,MATCH(ROW()-3,对接源_01水果!$Q$5:$Q$507,0)),""),IFERROR(INDEX(对接源_02物料!$E$5:$E$460,MATCH(ROW()-3-N(对接源_01水果!$T$1),对接源_02物料!$Q$5:$Q$460,0)),"")))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7" s="70" t="str">
        <f aca="false">IF($B267="","",IF($B267="01水果",IFERROR(INDEX(对接源_01水果!$F$5:$F$507,MATCH(ROW()-3,对接源_01水果!$Q$5:$Q$507,0)),""),IFERROR(INDEX(对接源_02物料!$F$5:$F$460,MATCH(ROW()-3-N(对接源_01水果!$T$1),对接源_02物料!$Q$5:$Q$460,0)),"")))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7" s="70" t="str">
        <f aca="false">IF($B267="","",IF($B267="01水果",IFERROR(INDEX(对接源_01水果!$G$5:$G$507,MATCH(ROW()-3,对接源_01水果!$Q$5:$Q$507,0)),""),IFERROR(INDEX(对接源_02物料!$G$5:$G$460,MATCH(ROW()-3-N(对接源_01水果!$T$1),对接源_02物料!$Q$5:$Q$460,0)),"")))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7" s="67" t="str">
        <f aca="false">IF(OR($D267="客户应收",$D267="成品销售款",$D267="公司购买果品款",$D267="筐子销售款",$D267="物料销售款"),"客户往来",IFERROR(INDEX(收入成本映射!$C$4:$C$34,MATCH($D267,收入成本映射!$B$4:$B$34,0)),"不记账"))</f>
        <v>不记账</v>
      </c>
      <c r="J267" s="67" t="str">
        <f aca="false">IF($B267="","","0%")</f>
        <v/>
      </c>
      <c r="K267" s="70" t="n">
        <f aca="false">IF($I267="不记账",0,ROUND(N($G267),2))</f>
        <v>0</v>
      </c>
      <c r="L267" s="70" t="n">
        <v>0</v>
      </c>
      <c r="M267" s="67" t="str">
        <f aca="false">IF(OR($I267="不记账",ROUND(N($G267),2)=0),"",IFERROR(INDEX(收入成本映射!$E$4:$E$34,MATCH($D267,收入成本映射!$B$4:$B$34,0)),""))</f>
        <v/>
      </c>
      <c r="N267" s="70" t="str">
        <f aca="false">IF($M267="","",ROUND(N($G267),2))</f>
        <v/>
      </c>
      <c r="O267" s="70" t="str">
        <f aca="false">IF($M267="","",0)</f>
        <v/>
      </c>
      <c r="P267" s="67" t="str">
        <f aca="false">IF($M267="","",IFERROR(INDEX(收入成本映射!$F$4:$F$34,MATCH($D267,收入成本映射!$B$4:$B$34,0)),""))</f>
        <v/>
      </c>
      <c r="Q267" s="70" t="str">
        <f aca="false">IF($P267="","",0)</f>
        <v/>
      </c>
      <c r="R267" s="70" t="str">
        <f aca="false">IF($P267="","",ROUND(N($G267),2))</f>
        <v/>
      </c>
      <c r="S267" s="67" t="str">
        <f aca="false">""</f>
        <v/>
      </c>
      <c r="T267" s="70" t="str">
        <f aca="false">IF($S267="","",0)</f>
        <v/>
      </c>
      <c r="U267" s="70" t="str">
        <f aca="false">IF($S267="","",0)</f>
        <v/>
      </c>
      <c r="V267" s="66" t="str">
        <f aca="false">IF($B267="","",IF($B267="01水果",IFERROR(INDEX(对接源_01水果!$H$5:$H$507,MATCH(ROW()-3,对接源_01水果!$Q$5:$Q$507,0)),""),IFERROR(INDEX(对接源_02物料!$H$5:$H$460,MATCH(ROW()-3-N(对接源_01水果!$T$1),对接源_02物料!$Q$5:$Q$460,0)),"")))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8" customFormat="false" ht="18" hidden="false" customHeight="true" outlineLevel="0" collapsed="false">
      <c r="A268" s="66" t="n">
        <v>265</v>
      </c>
      <c r="B268" s="67" t="str">
        <f aca="false">IF(ROW()-3&lt;=N(对接源_01水果!$T$1),"01水果",IF(ROW()-3&lt;=N(对接源_01水果!$T$1)+N(对接源_02物料!$T$1),"02物料",""))</f>
        <v/>
      </c>
      <c r="C268" s="68" t="str">
        <f aca="false">IF($B268="","",IF($B268="01水果",IFERROR(INDEX(对接源_01水果!$B$5:$B$507,MATCH(ROW()-3,对接源_01水果!$Q$5:$Q$507,0)),""),IFERROR(INDEX(对接源_02物料!$B$5:$B$460,MATCH(ROW()-3-N(对接源_01水果!$T$1),对接源_02物料!$Q$5:$Q$460,0)),"")))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8" s="67" t="str">
        <f aca="false">IF($B268="","",IF($B268="01水果",IFERROR(INDEX(对接源_01水果!$C$5:$C$507,MATCH(ROW()-3,对接源_01水果!$Q$5:$Q$507,0)),""),IFERROR(INDEX(对接源_02物料!$C$5:$C$460,MATCH(ROW()-3-N(对接源_01水果!$T$1),对接源_02物料!$Q$5:$Q$460,0)),"")))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8" s="69" t="str">
        <f aca="false">IF($B268="","",IF($B268="01水果",IFERROR(INDEX(对接源_01水果!$D$5:$D$507,MATCH(ROW()-3,对接源_01水果!$Q$5:$Q$507,0)),""),IFERROR(INDEX(对接源_02物料!$D$5:$D$460,MATCH(ROW()-3-N(对接源_01水果!$T$1),对接源_02物料!$Q$5:$Q$460,0)),"")))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8" s="67" t="str">
        <f aca="false">IF($B268="","",IF($B268="01水果",IFERROR(INDEX(对接源_01水果!$E$5:$E$507,MATCH(ROW()-3,对接源_01水果!$Q$5:$Q$507,0)),""),IFERROR(INDEX(对接源_02物料!$E$5:$E$460,MATCH(ROW()-3-N(对接源_01水果!$T$1),对接源_02物料!$Q$5:$Q$460,0)),"")))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8" s="70" t="str">
        <f aca="false">IF($B268="","",IF($B268="01水果",IFERROR(INDEX(对接源_01水果!$F$5:$F$507,MATCH(ROW()-3,对接源_01水果!$Q$5:$Q$507,0)),""),IFERROR(INDEX(对接源_02物料!$F$5:$F$460,MATCH(ROW()-3-N(对接源_01水果!$T$1),对接源_02物料!$Q$5:$Q$460,0)),"")))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8" s="70" t="str">
        <f aca="false">IF($B268="","",IF($B268="01水果",IFERROR(INDEX(对接源_01水果!$G$5:$G$507,MATCH(ROW()-3,对接源_01水果!$Q$5:$Q$507,0)),""),IFERROR(INDEX(对接源_02物料!$G$5:$G$460,MATCH(ROW()-3-N(对接源_01水果!$T$1),对接源_02物料!$Q$5:$Q$460,0)),"")))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8" s="67" t="str">
        <f aca="false">IF(OR($D268="客户应收",$D268="成品销售款",$D268="公司购买果品款",$D268="筐子销售款",$D268="物料销售款"),"客户往来",IFERROR(INDEX(收入成本映射!$C$4:$C$34,MATCH($D268,收入成本映射!$B$4:$B$34,0)),"不记账"))</f>
        <v>不记账</v>
      </c>
      <c r="J268" s="67" t="str">
        <f aca="false">IF($B268="","","0%")</f>
        <v/>
      </c>
      <c r="K268" s="70" t="n">
        <f aca="false">IF($I268="不记账",0,ROUND(N($G268),2))</f>
        <v>0</v>
      </c>
      <c r="L268" s="70" t="n">
        <v>0</v>
      </c>
      <c r="M268" s="67" t="str">
        <f aca="false">IF(OR($I268="不记账",ROUND(N($G268),2)=0),"",IFERROR(INDEX(收入成本映射!$E$4:$E$34,MATCH($D268,收入成本映射!$B$4:$B$34,0)),""))</f>
        <v/>
      </c>
      <c r="N268" s="70" t="str">
        <f aca="false">IF($M268="","",ROUND(N($G268),2))</f>
        <v/>
      </c>
      <c r="O268" s="70" t="str">
        <f aca="false">IF($M268="","",0)</f>
        <v/>
      </c>
      <c r="P268" s="67" t="str">
        <f aca="false">IF($M268="","",IFERROR(INDEX(收入成本映射!$F$4:$F$34,MATCH($D268,收入成本映射!$B$4:$B$34,0)),""))</f>
        <v/>
      </c>
      <c r="Q268" s="70" t="str">
        <f aca="false">IF($P268="","",0)</f>
        <v/>
      </c>
      <c r="R268" s="70" t="str">
        <f aca="false">IF($P268="","",ROUND(N($G268),2))</f>
        <v/>
      </c>
      <c r="S268" s="67" t="str">
        <f aca="false">""</f>
        <v/>
      </c>
      <c r="T268" s="70" t="str">
        <f aca="false">IF($S268="","",0)</f>
        <v/>
      </c>
      <c r="U268" s="70" t="str">
        <f aca="false">IF($S268="","",0)</f>
        <v/>
      </c>
      <c r="V268" s="66" t="str">
        <f aca="false">IF($B268="","",IF($B268="01水果",IFERROR(INDEX(对接源_01水果!$H$5:$H$507,MATCH(ROW()-3,对接源_01水果!$Q$5:$Q$507,0)),""),IFERROR(INDEX(对接源_02物料!$H$5:$H$460,MATCH(ROW()-3-N(对接源_01水果!$T$1),对接源_02物料!$Q$5:$Q$460,0)),"")))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69" customFormat="false" ht="18" hidden="false" customHeight="true" outlineLevel="0" collapsed="false">
      <c r="A269" s="66" t="n">
        <v>266</v>
      </c>
      <c r="B269" s="67" t="str">
        <f aca="false">IF(ROW()-3&lt;=N(对接源_01水果!$T$1),"01水果",IF(ROW()-3&lt;=N(对接源_01水果!$T$1)+N(对接源_02物料!$T$1),"02物料",""))</f>
        <v/>
      </c>
      <c r="C269" s="68" t="str">
        <f aca="false">IF($B269="","",IF($B269="01水果",IFERROR(INDEX(对接源_01水果!$B$5:$B$507,MATCH(ROW()-3,对接源_01水果!$Q$5:$Q$507,0)),""),IFERROR(INDEX(对接源_02物料!$B$5:$B$460,MATCH(ROW()-3-N(对接源_01水果!$T$1),对接源_02物料!$Q$5:$Q$460,0)),"")))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69" s="67" t="str">
        <f aca="false">IF($B269="","",IF($B269="01水果",IFERROR(INDEX(对接源_01水果!$C$5:$C$507,MATCH(ROW()-3,对接源_01水果!$Q$5:$Q$507,0)),""),IFERROR(INDEX(对接源_02物料!$C$5:$C$460,MATCH(ROW()-3-N(对接源_01水果!$T$1),对接源_02物料!$Q$5:$Q$460,0)),"")))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69" s="69" t="str">
        <f aca="false">IF($B269="","",IF($B269="01水果",IFERROR(INDEX(对接源_01水果!$D$5:$D$507,MATCH(ROW()-3,对接源_01水果!$Q$5:$Q$507,0)),""),IFERROR(INDEX(对接源_02物料!$D$5:$D$460,MATCH(ROW()-3-N(对接源_01水果!$T$1),对接源_02物料!$Q$5:$Q$460,0)),"")))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69" s="67" t="str">
        <f aca="false">IF($B269="","",IF($B269="01水果",IFERROR(INDEX(对接源_01水果!$E$5:$E$507,MATCH(ROW()-3,对接源_01水果!$Q$5:$Q$507,0)),""),IFERROR(INDEX(对接源_02物料!$E$5:$E$460,MATCH(ROW()-3-N(对接源_01水果!$T$1),对接源_02物料!$Q$5:$Q$460,0)),"")))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69" s="70" t="str">
        <f aca="false">IF($B269="","",IF($B269="01水果",IFERROR(INDEX(对接源_01水果!$F$5:$F$507,MATCH(ROW()-3,对接源_01水果!$Q$5:$Q$507,0)),""),IFERROR(INDEX(对接源_02物料!$F$5:$F$460,MATCH(ROW()-3-N(对接源_01水果!$T$1),对接源_02物料!$Q$5:$Q$460,0)),"")))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69" s="70" t="str">
        <f aca="false">IF($B269="","",IF($B269="01水果",IFERROR(INDEX(对接源_01水果!$G$5:$G$507,MATCH(ROW()-3,对接源_01水果!$Q$5:$Q$507,0)),""),IFERROR(INDEX(对接源_02物料!$G$5:$G$460,MATCH(ROW()-3-N(对接源_01水果!$T$1),对接源_02物料!$Q$5:$Q$460,0)),"")))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69" s="67" t="str">
        <f aca="false">IF(OR($D269="客户应收",$D269="成品销售款",$D269="公司购买果品款",$D269="筐子销售款",$D269="物料销售款"),"客户往来",IFERROR(INDEX(收入成本映射!$C$4:$C$34,MATCH($D269,收入成本映射!$B$4:$B$34,0)),"不记账"))</f>
        <v>不记账</v>
      </c>
      <c r="J269" s="67" t="str">
        <f aca="false">IF($B269="","","0%")</f>
        <v/>
      </c>
      <c r="K269" s="70" t="n">
        <f aca="false">IF($I269="不记账",0,ROUND(N($G269),2))</f>
        <v>0</v>
      </c>
      <c r="L269" s="70" t="n">
        <v>0</v>
      </c>
      <c r="M269" s="67" t="str">
        <f aca="false">IF(OR($I269="不记账",ROUND(N($G269),2)=0),"",IFERROR(INDEX(收入成本映射!$E$4:$E$34,MATCH($D269,收入成本映射!$B$4:$B$34,0)),""))</f>
        <v/>
      </c>
      <c r="N269" s="70" t="str">
        <f aca="false">IF($M269="","",ROUND(N($G269),2))</f>
        <v/>
      </c>
      <c r="O269" s="70" t="str">
        <f aca="false">IF($M269="","",0)</f>
        <v/>
      </c>
      <c r="P269" s="67" t="str">
        <f aca="false">IF($M269="","",IFERROR(INDEX(收入成本映射!$F$4:$F$34,MATCH($D269,收入成本映射!$B$4:$B$34,0)),""))</f>
        <v/>
      </c>
      <c r="Q269" s="70" t="str">
        <f aca="false">IF($P269="","",0)</f>
        <v/>
      </c>
      <c r="R269" s="70" t="str">
        <f aca="false">IF($P269="","",ROUND(N($G269),2))</f>
        <v/>
      </c>
      <c r="S269" s="67" t="str">
        <f aca="false">""</f>
        <v/>
      </c>
      <c r="T269" s="70" t="str">
        <f aca="false">IF($S269="","",0)</f>
        <v/>
      </c>
      <c r="U269" s="70" t="str">
        <f aca="false">IF($S269="","",0)</f>
        <v/>
      </c>
      <c r="V269" s="66" t="str">
        <f aca="false">IF($B269="","",IF($B269="01水果",IFERROR(INDEX(对接源_01水果!$H$5:$H$507,MATCH(ROW()-3,对接源_01水果!$Q$5:$Q$507,0)),""),IFERROR(INDEX(对接源_02物料!$H$5:$H$460,MATCH(ROW()-3-N(对接源_01水果!$T$1),对接源_02物料!$Q$5:$Q$460,0)),"")))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0" customFormat="false" ht="18" hidden="false" customHeight="true" outlineLevel="0" collapsed="false">
      <c r="A270" s="66" t="n">
        <v>267</v>
      </c>
      <c r="B270" s="67" t="str">
        <f aca="false">IF(ROW()-3&lt;=N(对接源_01水果!$T$1),"01水果",IF(ROW()-3&lt;=N(对接源_01水果!$T$1)+N(对接源_02物料!$T$1),"02物料",""))</f>
        <v/>
      </c>
      <c r="C270" s="68" t="str">
        <f aca="false">IF($B270="","",IF($B270="01水果",IFERROR(INDEX(对接源_01水果!$B$5:$B$507,MATCH(ROW()-3,对接源_01水果!$Q$5:$Q$507,0)),""),IFERROR(INDEX(对接源_02物料!$B$5:$B$460,MATCH(ROW()-3-N(对接源_01水果!$T$1),对接源_02物料!$Q$5:$Q$460,0)),"")))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0" s="67" t="str">
        <f aca="false">IF($B270="","",IF($B270="01水果",IFERROR(INDEX(对接源_01水果!$C$5:$C$507,MATCH(ROW()-3,对接源_01水果!$Q$5:$Q$507,0)),""),IFERROR(INDEX(对接源_02物料!$C$5:$C$460,MATCH(ROW()-3-N(对接源_01水果!$T$1),对接源_02物料!$Q$5:$Q$460,0)),"")))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0" s="69" t="str">
        <f aca="false">IF($B270="","",IF($B270="01水果",IFERROR(INDEX(对接源_01水果!$D$5:$D$507,MATCH(ROW()-3,对接源_01水果!$Q$5:$Q$507,0)),""),IFERROR(INDEX(对接源_02物料!$D$5:$D$460,MATCH(ROW()-3-N(对接源_01水果!$T$1),对接源_02物料!$Q$5:$Q$460,0)),"")))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0" s="67" t="str">
        <f aca="false">IF($B270="","",IF($B270="01水果",IFERROR(INDEX(对接源_01水果!$E$5:$E$507,MATCH(ROW()-3,对接源_01水果!$Q$5:$Q$507,0)),""),IFERROR(INDEX(对接源_02物料!$E$5:$E$460,MATCH(ROW()-3-N(对接源_01水果!$T$1),对接源_02物料!$Q$5:$Q$460,0)),"")))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0" s="70" t="str">
        <f aca="false">IF($B270="","",IF($B270="01水果",IFERROR(INDEX(对接源_01水果!$F$5:$F$507,MATCH(ROW()-3,对接源_01水果!$Q$5:$Q$507,0)),""),IFERROR(INDEX(对接源_02物料!$F$5:$F$460,MATCH(ROW()-3-N(对接源_01水果!$T$1),对接源_02物料!$Q$5:$Q$460,0)),"")))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0" s="70" t="str">
        <f aca="false">IF($B270="","",IF($B270="01水果",IFERROR(INDEX(对接源_01水果!$G$5:$G$507,MATCH(ROW()-3,对接源_01水果!$Q$5:$Q$507,0)),""),IFERROR(INDEX(对接源_02物料!$G$5:$G$460,MATCH(ROW()-3-N(对接源_01水果!$T$1),对接源_02物料!$Q$5:$Q$460,0)),"")))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0" s="67" t="str">
        <f aca="false">IF(OR($D270="客户应收",$D270="成品销售款",$D270="公司购买果品款",$D270="筐子销售款",$D270="物料销售款"),"客户往来",IFERROR(INDEX(收入成本映射!$C$4:$C$34,MATCH($D270,收入成本映射!$B$4:$B$34,0)),"不记账"))</f>
        <v>不记账</v>
      </c>
      <c r="J270" s="67" t="str">
        <f aca="false">IF($B270="","","0%")</f>
        <v/>
      </c>
      <c r="K270" s="70" t="n">
        <f aca="false">IF($I270="不记账",0,ROUND(N($G270),2))</f>
        <v>0</v>
      </c>
      <c r="L270" s="70" t="n">
        <v>0</v>
      </c>
      <c r="M270" s="67" t="str">
        <f aca="false">IF(OR($I270="不记账",ROUND(N($G270),2)=0),"",IFERROR(INDEX(收入成本映射!$E$4:$E$34,MATCH($D270,收入成本映射!$B$4:$B$34,0)),""))</f>
        <v/>
      </c>
      <c r="N270" s="70" t="str">
        <f aca="false">IF($M270="","",ROUND(N($G270),2))</f>
        <v/>
      </c>
      <c r="O270" s="70" t="str">
        <f aca="false">IF($M270="","",0)</f>
        <v/>
      </c>
      <c r="P270" s="67" t="str">
        <f aca="false">IF($M270="","",IFERROR(INDEX(收入成本映射!$F$4:$F$34,MATCH($D270,收入成本映射!$B$4:$B$34,0)),""))</f>
        <v/>
      </c>
      <c r="Q270" s="70" t="str">
        <f aca="false">IF($P270="","",0)</f>
        <v/>
      </c>
      <c r="R270" s="70" t="str">
        <f aca="false">IF($P270="","",ROUND(N($G270),2))</f>
        <v/>
      </c>
      <c r="S270" s="67" t="str">
        <f aca="false">""</f>
        <v/>
      </c>
      <c r="T270" s="70" t="str">
        <f aca="false">IF($S270="","",0)</f>
        <v/>
      </c>
      <c r="U270" s="70" t="str">
        <f aca="false">IF($S270="","",0)</f>
        <v/>
      </c>
      <c r="V270" s="66" t="str">
        <f aca="false">IF($B270="","",IF($B270="01水果",IFERROR(INDEX(对接源_01水果!$H$5:$H$507,MATCH(ROW()-3,对接源_01水果!$Q$5:$Q$507,0)),""),IFERROR(INDEX(对接源_02物料!$H$5:$H$460,MATCH(ROW()-3-N(对接源_01水果!$T$1),对接源_02物料!$Q$5:$Q$460,0)),"")))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1" customFormat="false" ht="18" hidden="false" customHeight="true" outlineLevel="0" collapsed="false">
      <c r="A271" s="66" t="n">
        <v>268</v>
      </c>
      <c r="B271" s="67" t="str">
        <f aca="false">IF(ROW()-3&lt;=N(对接源_01水果!$T$1),"01水果",IF(ROW()-3&lt;=N(对接源_01水果!$T$1)+N(对接源_02物料!$T$1),"02物料",""))</f>
        <v/>
      </c>
      <c r="C271" s="68" t="str">
        <f aca="false">IF($B271="","",IF($B271="01水果",IFERROR(INDEX(对接源_01水果!$B$5:$B$507,MATCH(ROW()-3,对接源_01水果!$Q$5:$Q$507,0)),""),IFERROR(INDEX(对接源_02物料!$B$5:$B$460,MATCH(ROW()-3-N(对接源_01水果!$T$1),对接源_02物料!$Q$5:$Q$460,0)),"")))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1" s="67" t="str">
        <f aca="false">IF($B271="","",IF($B271="01水果",IFERROR(INDEX(对接源_01水果!$C$5:$C$507,MATCH(ROW()-3,对接源_01水果!$Q$5:$Q$507,0)),""),IFERROR(INDEX(对接源_02物料!$C$5:$C$460,MATCH(ROW()-3-N(对接源_01水果!$T$1),对接源_02物料!$Q$5:$Q$460,0)),"")))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1" s="69" t="str">
        <f aca="false">IF($B271="","",IF($B271="01水果",IFERROR(INDEX(对接源_01水果!$D$5:$D$507,MATCH(ROW()-3,对接源_01水果!$Q$5:$Q$507,0)),""),IFERROR(INDEX(对接源_02物料!$D$5:$D$460,MATCH(ROW()-3-N(对接源_01水果!$T$1),对接源_02物料!$Q$5:$Q$460,0)),"")))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1" s="67" t="str">
        <f aca="false">IF($B271="","",IF($B271="01水果",IFERROR(INDEX(对接源_01水果!$E$5:$E$507,MATCH(ROW()-3,对接源_01水果!$Q$5:$Q$507,0)),""),IFERROR(INDEX(对接源_02物料!$E$5:$E$460,MATCH(ROW()-3-N(对接源_01水果!$T$1),对接源_02物料!$Q$5:$Q$460,0)),"")))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1" s="70" t="str">
        <f aca="false">IF($B271="","",IF($B271="01水果",IFERROR(INDEX(对接源_01水果!$F$5:$F$507,MATCH(ROW()-3,对接源_01水果!$Q$5:$Q$507,0)),""),IFERROR(INDEX(对接源_02物料!$F$5:$F$460,MATCH(ROW()-3-N(对接源_01水果!$T$1),对接源_02物料!$Q$5:$Q$460,0)),"")))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1" s="70" t="str">
        <f aca="false">IF($B271="","",IF($B271="01水果",IFERROR(INDEX(对接源_01水果!$G$5:$G$507,MATCH(ROW()-3,对接源_01水果!$Q$5:$Q$507,0)),""),IFERROR(INDEX(对接源_02物料!$G$5:$G$460,MATCH(ROW()-3-N(对接源_01水果!$T$1),对接源_02物料!$Q$5:$Q$460,0)),"")))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1" s="67" t="str">
        <f aca="false">IF(OR($D271="客户应收",$D271="成品销售款",$D271="公司购买果品款",$D271="筐子销售款",$D271="物料销售款"),"客户往来",IFERROR(INDEX(收入成本映射!$C$4:$C$34,MATCH($D271,收入成本映射!$B$4:$B$34,0)),"不记账"))</f>
        <v>不记账</v>
      </c>
      <c r="J271" s="67" t="str">
        <f aca="false">IF($B271="","","0%")</f>
        <v/>
      </c>
      <c r="K271" s="70" t="n">
        <f aca="false">IF($I271="不记账",0,ROUND(N($G271),2))</f>
        <v>0</v>
      </c>
      <c r="L271" s="70" t="n">
        <v>0</v>
      </c>
      <c r="M271" s="67" t="str">
        <f aca="false">IF(OR($I271="不记账",ROUND(N($G271),2)=0),"",IFERROR(INDEX(收入成本映射!$E$4:$E$34,MATCH($D271,收入成本映射!$B$4:$B$34,0)),""))</f>
        <v/>
      </c>
      <c r="N271" s="70" t="str">
        <f aca="false">IF($M271="","",ROUND(N($G271),2))</f>
        <v/>
      </c>
      <c r="O271" s="70" t="str">
        <f aca="false">IF($M271="","",0)</f>
        <v/>
      </c>
      <c r="P271" s="67" t="str">
        <f aca="false">IF($M271="","",IFERROR(INDEX(收入成本映射!$F$4:$F$34,MATCH($D271,收入成本映射!$B$4:$B$34,0)),""))</f>
        <v/>
      </c>
      <c r="Q271" s="70" t="str">
        <f aca="false">IF($P271="","",0)</f>
        <v/>
      </c>
      <c r="R271" s="70" t="str">
        <f aca="false">IF($P271="","",ROUND(N($G271),2))</f>
        <v/>
      </c>
      <c r="S271" s="67" t="str">
        <f aca="false">""</f>
        <v/>
      </c>
      <c r="T271" s="70" t="str">
        <f aca="false">IF($S271="","",0)</f>
        <v/>
      </c>
      <c r="U271" s="70" t="str">
        <f aca="false">IF($S271="","",0)</f>
        <v/>
      </c>
      <c r="V271" s="66" t="str">
        <f aca="false">IF($B271="","",IF($B271="01水果",IFERROR(INDEX(对接源_01水果!$H$5:$H$507,MATCH(ROW()-3,对接源_01水果!$Q$5:$Q$507,0)),""),IFERROR(INDEX(对接源_02物料!$H$5:$H$460,MATCH(ROW()-3-N(对接源_01水果!$T$1),对接源_02物料!$Q$5:$Q$460,0)),"")))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2" customFormat="false" ht="18" hidden="false" customHeight="true" outlineLevel="0" collapsed="false">
      <c r="A272" s="66" t="n">
        <v>269</v>
      </c>
      <c r="B272" s="67" t="str">
        <f aca="false">IF(ROW()-3&lt;=N(对接源_01水果!$T$1),"01水果",IF(ROW()-3&lt;=N(对接源_01水果!$T$1)+N(对接源_02物料!$T$1),"02物料",""))</f>
        <v/>
      </c>
      <c r="C272" s="68" t="str">
        <f aca="false">IF($B272="","",IF($B272="01水果",IFERROR(INDEX(对接源_01水果!$B$5:$B$507,MATCH(ROW()-3,对接源_01水果!$Q$5:$Q$507,0)),""),IFERROR(INDEX(对接源_02物料!$B$5:$B$460,MATCH(ROW()-3-N(对接源_01水果!$T$1),对接源_02物料!$Q$5:$Q$460,0)),"")))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2" s="67" t="str">
        <f aca="false">IF($B272="","",IF($B272="01水果",IFERROR(INDEX(对接源_01水果!$C$5:$C$507,MATCH(ROW()-3,对接源_01水果!$Q$5:$Q$507,0)),""),IFERROR(INDEX(对接源_02物料!$C$5:$C$460,MATCH(ROW()-3-N(对接源_01水果!$T$1),对接源_02物料!$Q$5:$Q$460,0)),"")))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2" s="69" t="str">
        <f aca="false">IF($B272="","",IF($B272="01水果",IFERROR(INDEX(对接源_01水果!$D$5:$D$507,MATCH(ROW()-3,对接源_01水果!$Q$5:$Q$507,0)),""),IFERROR(INDEX(对接源_02物料!$D$5:$D$460,MATCH(ROW()-3-N(对接源_01水果!$T$1),对接源_02物料!$Q$5:$Q$460,0)),"")))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2" s="67" t="str">
        <f aca="false">IF($B272="","",IF($B272="01水果",IFERROR(INDEX(对接源_01水果!$E$5:$E$507,MATCH(ROW()-3,对接源_01水果!$Q$5:$Q$507,0)),""),IFERROR(INDEX(对接源_02物料!$E$5:$E$460,MATCH(ROW()-3-N(对接源_01水果!$T$1),对接源_02物料!$Q$5:$Q$460,0)),"")))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2" s="70" t="str">
        <f aca="false">IF($B272="","",IF($B272="01水果",IFERROR(INDEX(对接源_01水果!$F$5:$F$507,MATCH(ROW()-3,对接源_01水果!$Q$5:$Q$507,0)),""),IFERROR(INDEX(对接源_02物料!$F$5:$F$460,MATCH(ROW()-3-N(对接源_01水果!$T$1),对接源_02物料!$Q$5:$Q$460,0)),"")))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2" s="70" t="str">
        <f aca="false">IF($B272="","",IF($B272="01水果",IFERROR(INDEX(对接源_01水果!$G$5:$G$507,MATCH(ROW()-3,对接源_01水果!$Q$5:$Q$507,0)),""),IFERROR(INDEX(对接源_02物料!$G$5:$G$460,MATCH(ROW()-3-N(对接源_01水果!$T$1),对接源_02物料!$Q$5:$Q$460,0)),"")))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2" s="67" t="str">
        <f aca="false">IF(OR($D272="客户应收",$D272="成品销售款",$D272="公司购买果品款",$D272="筐子销售款",$D272="物料销售款"),"客户往来",IFERROR(INDEX(收入成本映射!$C$4:$C$34,MATCH($D272,收入成本映射!$B$4:$B$34,0)),"不记账"))</f>
        <v>不记账</v>
      </c>
      <c r="J272" s="67" t="str">
        <f aca="false">IF($B272="","","0%")</f>
        <v/>
      </c>
      <c r="K272" s="70" t="n">
        <f aca="false">IF($I272="不记账",0,ROUND(N($G272),2))</f>
        <v>0</v>
      </c>
      <c r="L272" s="70" t="n">
        <v>0</v>
      </c>
      <c r="M272" s="67" t="str">
        <f aca="false">IF(OR($I272="不记账",ROUND(N($G272),2)=0),"",IFERROR(INDEX(收入成本映射!$E$4:$E$34,MATCH($D272,收入成本映射!$B$4:$B$34,0)),""))</f>
        <v/>
      </c>
      <c r="N272" s="70" t="str">
        <f aca="false">IF($M272="","",ROUND(N($G272),2))</f>
        <v/>
      </c>
      <c r="O272" s="70" t="str">
        <f aca="false">IF($M272="","",0)</f>
        <v/>
      </c>
      <c r="P272" s="67" t="str">
        <f aca="false">IF($M272="","",IFERROR(INDEX(收入成本映射!$F$4:$F$34,MATCH($D272,收入成本映射!$B$4:$B$34,0)),""))</f>
        <v/>
      </c>
      <c r="Q272" s="70" t="str">
        <f aca="false">IF($P272="","",0)</f>
        <v/>
      </c>
      <c r="R272" s="70" t="str">
        <f aca="false">IF($P272="","",ROUND(N($G272),2))</f>
        <v/>
      </c>
      <c r="S272" s="67" t="str">
        <f aca="false">""</f>
        <v/>
      </c>
      <c r="T272" s="70" t="str">
        <f aca="false">IF($S272="","",0)</f>
        <v/>
      </c>
      <c r="U272" s="70" t="str">
        <f aca="false">IF($S272="","",0)</f>
        <v/>
      </c>
      <c r="V272" s="66" t="str">
        <f aca="false">IF($B272="","",IF($B272="01水果",IFERROR(INDEX(对接源_01水果!$H$5:$H$507,MATCH(ROW()-3,对接源_01水果!$Q$5:$Q$507,0)),""),IFERROR(INDEX(对接源_02物料!$H$5:$H$460,MATCH(ROW()-3-N(对接源_01水果!$T$1),对接源_02物料!$Q$5:$Q$460,0)),"")))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3" customFormat="false" ht="18" hidden="false" customHeight="true" outlineLevel="0" collapsed="false">
      <c r="A273" s="66" t="n">
        <v>270</v>
      </c>
      <c r="B273" s="67" t="str">
        <f aca="false">IF(ROW()-3&lt;=N(对接源_01水果!$T$1),"01水果",IF(ROW()-3&lt;=N(对接源_01水果!$T$1)+N(对接源_02物料!$T$1),"02物料",""))</f>
        <v/>
      </c>
      <c r="C273" s="68" t="str">
        <f aca="false">IF($B273="","",IF($B273="01水果",IFERROR(INDEX(对接源_01水果!$B$5:$B$507,MATCH(ROW()-3,对接源_01水果!$Q$5:$Q$507,0)),""),IFERROR(INDEX(对接源_02物料!$B$5:$B$460,MATCH(ROW()-3-N(对接源_01水果!$T$1),对接源_02物料!$Q$5:$Q$460,0)),"")))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3" s="67" t="str">
        <f aca="false">IF($B273="","",IF($B273="01水果",IFERROR(INDEX(对接源_01水果!$C$5:$C$507,MATCH(ROW()-3,对接源_01水果!$Q$5:$Q$507,0)),""),IFERROR(INDEX(对接源_02物料!$C$5:$C$460,MATCH(ROW()-3-N(对接源_01水果!$T$1),对接源_02物料!$Q$5:$Q$460,0)),"")))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3" s="69" t="str">
        <f aca="false">IF($B273="","",IF($B273="01水果",IFERROR(INDEX(对接源_01水果!$D$5:$D$507,MATCH(ROW()-3,对接源_01水果!$Q$5:$Q$507,0)),""),IFERROR(INDEX(对接源_02物料!$D$5:$D$460,MATCH(ROW()-3-N(对接源_01水果!$T$1),对接源_02物料!$Q$5:$Q$460,0)),"")))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3" s="67" t="str">
        <f aca="false">IF($B273="","",IF($B273="01水果",IFERROR(INDEX(对接源_01水果!$E$5:$E$507,MATCH(ROW()-3,对接源_01水果!$Q$5:$Q$507,0)),""),IFERROR(INDEX(对接源_02物料!$E$5:$E$460,MATCH(ROW()-3-N(对接源_01水果!$T$1),对接源_02物料!$Q$5:$Q$460,0)),"")))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3" s="70" t="str">
        <f aca="false">IF($B273="","",IF($B273="01水果",IFERROR(INDEX(对接源_01水果!$F$5:$F$507,MATCH(ROW()-3,对接源_01水果!$Q$5:$Q$507,0)),""),IFERROR(INDEX(对接源_02物料!$F$5:$F$460,MATCH(ROW()-3-N(对接源_01水果!$T$1),对接源_02物料!$Q$5:$Q$460,0)),"")))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3" s="70" t="str">
        <f aca="false">IF($B273="","",IF($B273="01水果",IFERROR(INDEX(对接源_01水果!$G$5:$G$507,MATCH(ROW()-3,对接源_01水果!$Q$5:$Q$507,0)),""),IFERROR(INDEX(对接源_02物料!$G$5:$G$460,MATCH(ROW()-3-N(对接源_01水果!$T$1),对接源_02物料!$Q$5:$Q$460,0)),"")))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3" s="67" t="str">
        <f aca="false">IF(OR($D273="客户应收",$D273="成品销售款",$D273="公司购买果品款",$D273="筐子销售款",$D273="物料销售款"),"客户往来",IFERROR(INDEX(收入成本映射!$C$4:$C$34,MATCH($D273,收入成本映射!$B$4:$B$34,0)),"不记账"))</f>
        <v>不记账</v>
      </c>
      <c r="J273" s="67" t="str">
        <f aca="false">IF($B273="","","0%")</f>
        <v/>
      </c>
      <c r="K273" s="70" t="n">
        <f aca="false">IF($I273="不记账",0,ROUND(N($G273),2))</f>
        <v>0</v>
      </c>
      <c r="L273" s="70" t="n">
        <v>0</v>
      </c>
      <c r="M273" s="67" t="str">
        <f aca="false">IF(OR($I273="不记账",ROUND(N($G273),2)=0),"",IFERROR(INDEX(收入成本映射!$E$4:$E$34,MATCH($D273,收入成本映射!$B$4:$B$34,0)),""))</f>
        <v/>
      </c>
      <c r="N273" s="70" t="str">
        <f aca="false">IF($M273="","",ROUND(N($G273),2))</f>
        <v/>
      </c>
      <c r="O273" s="70" t="str">
        <f aca="false">IF($M273="","",0)</f>
        <v/>
      </c>
      <c r="P273" s="67" t="str">
        <f aca="false">IF($M273="","",IFERROR(INDEX(收入成本映射!$F$4:$F$34,MATCH($D273,收入成本映射!$B$4:$B$34,0)),""))</f>
        <v/>
      </c>
      <c r="Q273" s="70" t="str">
        <f aca="false">IF($P273="","",0)</f>
        <v/>
      </c>
      <c r="R273" s="70" t="str">
        <f aca="false">IF($P273="","",ROUND(N($G273),2))</f>
        <v/>
      </c>
      <c r="S273" s="67" t="str">
        <f aca="false">""</f>
        <v/>
      </c>
      <c r="T273" s="70" t="str">
        <f aca="false">IF($S273="","",0)</f>
        <v/>
      </c>
      <c r="U273" s="70" t="str">
        <f aca="false">IF($S273="","",0)</f>
        <v/>
      </c>
      <c r="V273" s="66" t="str">
        <f aca="false">IF($B273="","",IF($B273="01水果",IFERROR(INDEX(对接源_01水果!$H$5:$H$507,MATCH(ROW()-3,对接源_01水果!$Q$5:$Q$507,0)),""),IFERROR(INDEX(对接源_02物料!$H$5:$H$460,MATCH(ROW()-3-N(对接源_01水果!$T$1),对接源_02物料!$Q$5:$Q$460,0)),"")))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4" customFormat="false" ht="18" hidden="false" customHeight="true" outlineLevel="0" collapsed="false">
      <c r="A274" s="66" t="n">
        <v>271</v>
      </c>
      <c r="B274" s="67" t="str">
        <f aca="false">IF(ROW()-3&lt;=N(对接源_01水果!$T$1),"01水果",IF(ROW()-3&lt;=N(对接源_01水果!$T$1)+N(对接源_02物料!$T$1),"02物料",""))</f>
        <v/>
      </c>
      <c r="C274" s="68" t="str">
        <f aca="false">IF($B274="","",IF($B274="01水果",IFERROR(INDEX(对接源_01水果!$B$5:$B$507,MATCH(ROW()-3,对接源_01水果!$Q$5:$Q$507,0)),""),IFERROR(INDEX(对接源_02物料!$B$5:$B$460,MATCH(ROW()-3-N(对接源_01水果!$T$1),对接源_02物料!$Q$5:$Q$460,0)),"")))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4" s="67" t="str">
        <f aca="false">IF($B274="","",IF($B274="01水果",IFERROR(INDEX(对接源_01水果!$C$5:$C$507,MATCH(ROW()-3,对接源_01水果!$Q$5:$Q$507,0)),""),IFERROR(INDEX(对接源_02物料!$C$5:$C$460,MATCH(ROW()-3-N(对接源_01水果!$T$1),对接源_02物料!$Q$5:$Q$460,0)),"")))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4" s="69" t="str">
        <f aca="false">IF($B274="","",IF($B274="01水果",IFERROR(INDEX(对接源_01水果!$D$5:$D$507,MATCH(ROW()-3,对接源_01水果!$Q$5:$Q$507,0)),""),IFERROR(INDEX(对接源_02物料!$D$5:$D$460,MATCH(ROW()-3-N(对接源_01水果!$T$1),对接源_02物料!$Q$5:$Q$460,0)),"")))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4" s="67" t="str">
        <f aca="false">IF($B274="","",IF($B274="01水果",IFERROR(INDEX(对接源_01水果!$E$5:$E$507,MATCH(ROW()-3,对接源_01水果!$Q$5:$Q$507,0)),""),IFERROR(INDEX(对接源_02物料!$E$5:$E$460,MATCH(ROW()-3-N(对接源_01水果!$T$1),对接源_02物料!$Q$5:$Q$460,0)),"")))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4" s="70" t="str">
        <f aca="false">IF($B274="","",IF($B274="01水果",IFERROR(INDEX(对接源_01水果!$F$5:$F$507,MATCH(ROW()-3,对接源_01水果!$Q$5:$Q$507,0)),""),IFERROR(INDEX(对接源_02物料!$F$5:$F$460,MATCH(ROW()-3-N(对接源_01水果!$T$1),对接源_02物料!$Q$5:$Q$460,0)),"")))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4" s="70" t="str">
        <f aca="false">IF($B274="","",IF($B274="01水果",IFERROR(INDEX(对接源_01水果!$G$5:$G$507,MATCH(ROW()-3,对接源_01水果!$Q$5:$Q$507,0)),""),IFERROR(INDEX(对接源_02物料!$G$5:$G$460,MATCH(ROW()-3-N(对接源_01水果!$T$1),对接源_02物料!$Q$5:$Q$460,0)),"")))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4" s="67" t="str">
        <f aca="false">IF(OR($D274="客户应收",$D274="成品销售款",$D274="公司购买果品款",$D274="筐子销售款",$D274="物料销售款"),"客户往来",IFERROR(INDEX(收入成本映射!$C$4:$C$34,MATCH($D274,收入成本映射!$B$4:$B$34,0)),"不记账"))</f>
        <v>不记账</v>
      </c>
      <c r="J274" s="67" t="str">
        <f aca="false">IF($B274="","","0%")</f>
        <v/>
      </c>
      <c r="K274" s="70" t="n">
        <f aca="false">IF($I274="不记账",0,ROUND(N($G274),2))</f>
        <v>0</v>
      </c>
      <c r="L274" s="70" t="n">
        <v>0</v>
      </c>
      <c r="M274" s="67" t="str">
        <f aca="false">IF(OR($I274="不记账",ROUND(N($G274),2)=0),"",IFERROR(INDEX(收入成本映射!$E$4:$E$34,MATCH($D274,收入成本映射!$B$4:$B$34,0)),""))</f>
        <v/>
      </c>
      <c r="N274" s="70" t="str">
        <f aca="false">IF($M274="","",ROUND(N($G274),2))</f>
        <v/>
      </c>
      <c r="O274" s="70" t="str">
        <f aca="false">IF($M274="","",0)</f>
        <v/>
      </c>
      <c r="P274" s="67" t="str">
        <f aca="false">IF($M274="","",IFERROR(INDEX(收入成本映射!$F$4:$F$34,MATCH($D274,收入成本映射!$B$4:$B$34,0)),""))</f>
        <v/>
      </c>
      <c r="Q274" s="70" t="str">
        <f aca="false">IF($P274="","",0)</f>
        <v/>
      </c>
      <c r="R274" s="70" t="str">
        <f aca="false">IF($P274="","",ROUND(N($G274),2))</f>
        <v/>
      </c>
      <c r="S274" s="67" t="str">
        <f aca="false">""</f>
        <v/>
      </c>
      <c r="T274" s="70" t="str">
        <f aca="false">IF($S274="","",0)</f>
        <v/>
      </c>
      <c r="U274" s="70" t="str">
        <f aca="false">IF($S274="","",0)</f>
        <v/>
      </c>
      <c r="V274" s="66" t="str">
        <f aca="false">IF($B274="","",IF($B274="01水果",IFERROR(INDEX(对接源_01水果!$H$5:$H$507,MATCH(ROW()-3,对接源_01水果!$Q$5:$Q$507,0)),""),IFERROR(INDEX(对接源_02物料!$H$5:$H$460,MATCH(ROW()-3-N(对接源_01水果!$T$1),对接源_02物料!$Q$5:$Q$460,0)),"")))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5" customFormat="false" ht="18" hidden="false" customHeight="true" outlineLevel="0" collapsed="false">
      <c r="A275" s="66" t="n">
        <v>272</v>
      </c>
      <c r="B275" s="67" t="str">
        <f aca="false">IF(ROW()-3&lt;=N(对接源_01水果!$T$1),"01水果",IF(ROW()-3&lt;=N(对接源_01水果!$T$1)+N(对接源_02物料!$T$1),"02物料",""))</f>
        <v/>
      </c>
      <c r="C275" s="68" t="str">
        <f aca="false">IF($B275="","",IF($B275="01水果",IFERROR(INDEX(对接源_01水果!$B$5:$B$507,MATCH(ROW()-3,对接源_01水果!$Q$5:$Q$507,0)),""),IFERROR(INDEX(对接源_02物料!$B$5:$B$460,MATCH(ROW()-3-N(对接源_01水果!$T$1),对接源_02物料!$Q$5:$Q$460,0)),"")))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5" s="67" t="str">
        <f aca="false">IF($B275="","",IF($B275="01水果",IFERROR(INDEX(对接源_01水果!$C$5:$C$507,MATCH(ROW()-3,对接源_01水果!$Q$5:$Q$507,0)),""),IFERROR(INDEX(对接源_02物料!$C$5:$C$460,MATCH(ROW()-3-N(对接源_01水果!$T$1),对接源_02物料!$Q$5:$Q$460,0)),"")))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5" s="69" t="str">
        <f aca="false">IF($B275="","",IF($B275="01水果",IFERROR(INDEX(对接源_01水果!$D$5:$D$507,MATCH(ROW()-3,对接源_01水果!$Q$5:$Q$507,0)),""),IFERROR(INDEX(对接源_02物料!$D$5:$D$460,MATCH(ROW()-3-N(对接源_01水果!$T$1),对接源_02物料!$Q$5:$Q$460,0)),"")))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5" s="67" t="str">
        <f aca="false">IF($B275="","",IF($B275="01水果",IFERROR(INDEX(对接源_01水果!$E$5:$E$507,MATCH(ROW()-3,对接源_01水果!$Q$5:$Q$507,0)),""),IFERROR(INDEX(对接源_02物料!$E$5:$E$460,MATCH(ROW()-3-N(对接源_01水果!$T$1),对接源_02物料!$Q$5:$Q$460,0)),"")))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5" s="70" t="str">
        <f aca="false">IF($B275="","",IF($B275="01水果",IFERROR(INDEX(对接源_01水果!$F$5:$F$507,MATCH(ROW()-3,对接源_01水果!$Q$5:$Q$507,0)),""),IFERROR(INDEX(对接源_02物料!$F$5:$F$460,MATCH(ROW()-3-N(对接源_01水果!$T$1),对接源_02物料!$Q$5:$Q$460,0)),"")))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5" s="70" t="str">
        <f aca="false">IF($B275="","",IF($B275="01水果",IFERROR(INDEX(对接源_01水果!$G$5:$G$507,MATCH(ROW()-3,对接源_01水果!$Q$5:$Q$507,0)),""),IFERROR(INDEX(对接源_02物料!$G$5:$G$460,MATCH(ROW()-3-N(对接源_01水果!$T$1),对接源_02物料!$Q$5:$Q$460,0)),"")))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5" s="67" t="str">
        <f aca="false">IF(OR($D275="客户应收",$D275="成品销售款",$D275="公司购买果品款",$D275="筐子销售款",$D275="物料销售款"),"客户往来",IFERROR(INDEX(收入成本映射!$C$4:$C$34,MATCH($D275,收入成本映射!$B$4:$B$34,0)),"不记账"))</f>
        <v>不记账</v>
      </c>
      <c r="J275" s="67" t="str">
        <f aca="false">IF($B275="","","0%")</f>
        <v/>
      </c>
      <c r="K275" s="70" t="n">
        <f aca="false">IF($I275="不记账",0,ROUND(N($G275),2))</f>
        <v>0</v>
      </c>
      <c r="L275" s="70" t="n">
        <v>0</v>
      </c>
      <c r="M275" s="67" t="str">
        <f aca="false">IF(OR($I275="不记账",ROUND(N($G275),2)=0),"",IFERROR(INDEX(收入成本映射!$E$4:$E$34,MATCH($D275,收入成本映射!$B$4:$B$34,0)),""))</f>
        <v/>
      </c>
      <c r="N275" s="70" t="str">
        <f aca="false">IF($M275="","",ROUND(N($G275),2))</f>
        <v/>
      </c>
      <c r="O275" s="70" t="str">
        <f aca="false">IF($M275="","",0)</f>
        <v/>
      </c>
      <c r="P275" s="67" t="str">
        <f aca="false">IF($M275="","",IFERROR(INDEX(收入成本映射!$F$4:$F$34,MATCH($D275,收入成本映射!$B$4:$B$34,0)),""))</f>
        <v/>
      </c>
      <c r="Q275" s="70" t="str">
        <f aca="false">IF($P275="","",0)</f>
        <v/>
      </c>
      <c r="R275" s="70" t="str">
        <f aca="false">IF($P275="","",ROUND(N($G275),2))</f>
        <v/>
      </c>
      <c r="S275" s="67" t="str">
        <f aca="false">""</f>
        <v/>
      </c>
      <c r="T275" s="70" t="str">
        <f aca="false">IF($S275="","",0)</f>
        <v/>
      </c>
      <c r="U275" s="70" t="str">
        <f aca="false">IF($S275="","",0)</f>
        <v/>
      </c>
      <c r="V275" s="66" t="str">
        <f aca="false">IF($B275="","",IF($B275="01水果",IFERROR(INDEX(对接源_01水果!$H$5:$H$507,MATCH(ROW()-3,对接源_01水果!$Q$5:$Q$507,0)),""),IFERROR(INDEX(对接源_02物料!$H$5:$H$460,MATCH(ROW()-3-N(对接源_01水果!$T$1),对接源_02物料!$Q$5:$Q$460,0)),"")))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6" customFormat="false" ht="18" hidden="false" customHeight="true" outlineLevel="0" collapsed="false">
      <c r="A276" s="66" t="n">
        <v>273</v>
      </c>
      <c r="B276" s="67" t="str">
        <f aca="false">IF(ROW()-3&lt;=N(对接源_01水果!$T$1),"01水果",IF(ROW()-3&lt;=N(对接源_01水果!$T$1)+N(对接源_02物料!$T$1),"02物料",""))</f>
        <v/>
      </c>
      <c r="C276" s="68" t="str">
        <f aca="false">IF($B276="","",IF($B276="01水果",IFERROR(INDEX(对接源_01水果!$B$5:$B$507,MATCH(ROW()-3,对接源_01水果!$Q$5:$Q$507,0)),""),IFERROR(INDEX(对接源_02物料!$B$5:$B$460,MATCH(ROW()-3-N(对接源_01水果!$T$1),对接源_02物料!$Q$5:$Q$460,0)),"")))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6" s="67" t="str">
        <f aca="false">IF($B276="","",IF($B276="01水果",IFERROR(INDEX(对接源_01水果!$C$5:$C$507,MATCH(ROW()-3,对接源_01水果!$Q$5:$Q$507,0)),""),IFERROR(INDEX(对接源_02物料!$C$5:$C$460,MATCH(ROW()-3-N(对接源_01水果!$T$1),对接源_02物料!$Q$5:$Q$460,0)),"")))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6" s="69" t="str">
        <f aca="false">IF($B276="","",IF($B276="01水果",IFERROR(INDEX(对接源_01水果!$D$5:$D$507,MATCH(ROW()-3,对接源_01水果!$Q$5:$Q$507,0)),""),IFERROR(INDEX(对接源_02物料!$D$5:$D$460,MATCH(ROW()-3-N(对接源_01水果!$T$1),对接源_02物料!$Q$5:$Q$460,0)),"")))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6" s="67" t="str">
        <f aca="false">IF($B276="","",IF($B276="01水果",IFERROR(INDEX(对接源_01水果!$E$5:$E$507,MATCH(ROW()-3,对接源_01水果!$Q$5:$Q$507,0)),""),IFERROR(INDEX(对接源_02物料!$E$5:$E$460,MATCH(ROW()-3-N(对接源_01水果!$T$1),对接源_02物料!$Q$5:$Q$460,0)),"")))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6" s="70" t="str">
        <f aca="false">IF($B276="","",IF($B276="01水果",IFERROR(INDEX(对接源_01水果!$F$5:$F$507,MATCH(ROW()-3,对接源_01水果!$Q$5:$Q$507,0)),""),IFERROR(INDEX(对接源_02物料!$F$5:$F$460,MATCH(ROW()-3-N(对接源_01水果!$T$1),对接源_02物料!$Q$5:$Q$460,0)),"")))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6" s="70" t="str">
        <f aca="false">IF($B276="","",IF($B276="01水果",IFERROR(INDEX(对接源_01水果!$G$5:$G$507,MATCH(ROW()-3,对接源_01水果!$Q$5:$Q$507,0)),""),IFERROR(INDEX(对接源_02物料!$G$5:$G$460,MATCH(ROW()-3-N(对接源_01水果!$T$1),对接源_02物料!$Q$5:$Q$460,0)),"")))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6" s="67" t="str">
        <f aca="false">IF(OR($D276="客户应收",$D276="成品销售款",$D276="公司购买果品款",$D276="筐子销售款",$D276="物料销售款"),"客户往来",IFERROR(INDEX(收入成本映射!$C$4:$C$34,MATCH($D276,收入成本映射!$B$4:$B$34,0)),"不记账"))</f>
        <v>不记账</v>
      </c>
      <c r="J276" s="67" t="str">
        <f aca="false">IF($B276="","","0%")</f>
        <v/>
      </c>
      <c r="K276" s="70" t="n">
        <f aca="false">IF($I276="不记账",0,ROUND(N($G276),2))</f>
        <v>0</v>
      </c>
      <c r="L276" s="70" t="n">
        <v>0</v>
      </c>
      <c r="M276" s="67" t="str">
        <f aca="false">IF(OR($I276="不记账",ROUND(N($G276),2)=0),"",IFERROR(INDEX(收入成本映射!$E$4:$E$34,MATCH($D276,收入成本映射!$B$4:$B$34,0)),""))</f>
        <v/>
      </c>
      <c r="N276" s="70" t="str">
        <f aca="false">IF($M276="","",ROUND(N($G276),2))</f>
        <v/>
      </c>
      <c r="O276" s="70" t="str">
        <f aca="false">IF($M276="","",0)</f>
        <v/>
      </c>
      <c r="P276" s="67" t="str">
        <f aca="false">IF($M276="","",IFERROR(INDEX(收入成本映射!$F$4:$F$34,MATCH($D276,收入成本映射!$B$4:$B$34,0)),""))</f>
        <v/>
      </c>
      <c r="Q276" s="70" t="str">
        <f aca="false">IF($P276="","",0)</f>
        <v/>
      </c>
      <c r="R276" s="70" t="str">
        <f aca="false">IF($P276="","",ROUND(N($G276),2))</f>
        <v/>
      </c>
      <c r="S276" s="67" t="str">
        <f aca="false">""</f>
        <v/>
      </c>
      <c r="T276" s="70" t="str">
        <f aca="false">IF($S276="","",0)</f>
        <v/>
      </c>
      <c r="U276" s="70" t="str">
        <f aca="false">IF($S276="","",0)</f>
        <v/>
      </c>
      <c r="V276" s="66" t="str">
        <f aca="false">IF($B276="","",IF($B276="01水果",IFERROR(INDEX(对接源_01水果!$H$5:$H$507,MATCH(ROW()-3,对接源_01水果!$Q$5:$Q$507,0)),""),IFERROR(INDEX(对接源_02物料!$H$5:$H$460,MATCH(ROW()-3-N(对接源_01水果!$T$1),对接源_02物料!$Q$5:$Q$460,0)),"")))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7" customFormat="false" ht="18" hidden="false" customHeight="true" outlineLevel="0" collapsed="false">
      <c r="A277" s="66" t="n">
        <v>274</v>
      </c>
      <c r="B277" s="67" t="str">
        <f aca="false">IF(ROW()-3&lt;=N(对接源_01水果!$T$1),"01水果",IF(ROW()-3&lt;=N(对接源_01水果!$T$1)+N(对接源_02物料!$T$1),"02物料",""))</f>
        <v/>
      </c>
      <c r="C277" s="68" t="str">
        <f aca="false">IF($B277="","",IF($B277="01水果",IFERROR(INDEX(对接源_01水果!$B$5:$B$507,MATCH(ROW()-3,对接源_01水果!$Q$5:$Q$507,0)),""),IFERROR(INDEX(对接源_02物料!$B$5:$B$460,MATCH(ROW()-3-N(对接源_01水果!$T$1),对接源_02物料!$Q$5:$Q$460,0)),"")))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7" s="67" t="str">
        <f aca="false">IF($B277="","",IF($B277="01水果",IFERROR(INDEX(对接源_01水果!$C$5:$C$507,MATCH(ROW()-3,对接源_01水果!$Q$5:$Q$507,0)),""),IFERROR(INDEX(对接源_02物料!$C$5:$C$460,MATCH(ROW()-3-N(对接源_01水果!$T$1),对接源_02物料!$Q$5:$Q$460,0)),"")))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7" s="69" t="str">
        <f aca="false">IF($B277="","",IF($B277="01水果",IFERROR(INDEX(对接源_01水果!$D$5:$D$507,MATCH(ROW()-3,对接源_01水果!$Q$5:$Q$507,0)),""),IFERROR(INDEX(对接源_02物料!$D$5:$D$460,MATCH(ROW()-3-N(对接源_01水果!$T$1),对接源_02物料!$Q$5:$Q$460,0)),"")))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7" s="67" t="str">
        <f aca="false">IF($B277="","",IF($B277="01水果",IFERROR(INDEX(对接源_01水果!$E$5:$E$507,MATCH(ROW()-3,对接源_01水果!$Q$5:$Q$507,0)),""),IFERROR(INDEX(对接源_02物料!$E$5:$E$460,MATCH(ROW()-3-N(对接源_01水果!$T$1),对接源_02物料!$Q$5:$Q$460,0)),"")))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7" s="70" t="str">
        <f aca="false">IF($B277="","",IF($B277="01水果",IFERROR(INDEX(对接源_01水果!$F$5:$F$507,MATCH(ROW()-3,对接源_01水果!$Q$5:$Q$507,0)),""),IFERROR(INDEX(对接源_02物料!$F$5:$F$460,MATCH(ROW()-3-N(对接源_01水果!$T$1),对接源_02物料!$Q$5:$Q$460,0)),"")))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7" s="70" t="str">
        <f aca="false">IF($B277="","",IF($B277="01水果",IFERROR(INDEX(对接源_01水果!$G$5:$G$507,MATCH(ROW()-3,对接源_01水果!$Q$5:$Q$507,0)),""),IFERROR(INDEX(对接源_02物料!$G$5:$G$460,MATCH(ROW()-3-N(对接源_01水果!$T$1),对接源_02物料!$Q$5:$Q$460,0)),"")))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7" s="67" t="str">
        <f aca="false">IF(OR($D277="客户应收",$D277="成品销售款",$D277="公司购买果品款",$D277="筐子销售款",$D277="物料销售款"),"客户往来",IFERROR(INDEX(收入成本映射!$C$4:$C$34,MATCH($D277,收入成本映射!$B$4:$B$34,0)),"不记账"))</f>
        <v>不记账</v>
      </c>
      <c r="J277" s="67" t="str">
        <f aca="false">IF($B277="","","0%")</f>
        <v/>
      </c>
      <c r="K277" s="70" t="n">
        <f aca="false">IF($I277="不记账",0,ROUND(N($G277),2))</f>
        <v>0</v>
      </c>
      <c r="L277" s="70" t="n">
        <v>0</v>
      </c>
      <c r="M277" s="67" t="str">
        <f aca="false">IF(OR($I277="不记账",ROUND(N($G277),2)=0),"",IFERROR(INDEX(收入成本映射!$E$4:$E$34,MATCH($D277,收入成本映射!$B$4:$B$34,0)),""))</f>
        <v/>
      </c>
      <c r="N277" s="70" t="str">
        <f aca="false">IF($M277="","",ROUND(N($G277),2))</f>
        <v/>
      </c>
      <c r="O277" s="70" t="str">
        <f aca="false">IF($M277="","",0)</f>
        <v/>
      </c>
      <c r="P277" s="67" t="str">
        <f aca="false">IF($M277="","",IFERROR(INDEX(收入成本映射!$F$4:$F$34,MATCH($D277,收入成本映射!$B$4:$B$34,0)),""))</f>
        <v/>
      </c>
      <c r="Q277" s="70" t="str">
        <f aca="false">IF($P277="","",0)</f>
        <v/>
      </c>
      <c r="R277" s="70" t="str">
        <f aca="false">IF($P277="","",ROUND(N($G277),2))</f>
        <v/>
      </c>
      <c r="S277" s="67" t="str">
        <f aca="false">""</f>
        <v/>
      </c>
      <c r="T277" s="70" t="str">
        <f aca="false">IF($S277="","",0)</f>
        <v/>
      </c>
      <c r="U277" s="70" t="str">
        <f aca="false">IF($S277="","",0)</f>
        <v/>
      </c>
      <c r="V277" s="66" t="str">
        <f aca="false">IF($B277="","",IF($B277="01水果",IFERROR(INDEX(对接源_01水果!$H$5:$H$507,MATCH(ROW()-3,对接源_01水果!$Q$5:$Q$507,0)),""),IFERROR(INDEX(对接源_02物料!$H$5:$H$460,MATCH(ROW()-3-N(对接源_01水果!$T$1),对接源_02物料!$Q$5:$Q$460,0)),"")))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8" customFormat="false" ht="18" hidden="false" customHeight="true" outlineLevel="0" collapsed="false">
      <c r="A278" s="66" t="n">
        <v>275</v>
      </c>
      <c r="B278" s="67" t="str">
        <f aca="false">IF(ROW()-3&lt;=N(对接源_01水果!$T$1),"01水果",IF(ROW()-3&lt;=N(对接源_01水果!$T$1)+N(对接源_02物料!$T$1),"02物料",""))</f>
        <v/>
      </c>
      <c r="C278" s="68" t="str">
        <f aca="false">IF($B278="","",IF($B278="01水果",IFERROR(INDEX(对接源_01水果!$B$5:$B$507,MATCH(ROW()-3,对接源_01水果!$Q$5:$Q$507,0)),""),IFERROR(INDEX(对接源_02物料!$B$5:$B$460,MATCH(ROW()-3-N(对接源_01水果!$T$1),对接源_02物料!$Q$5:$Q$460,0)),"")))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8" s="67" t="str">
        <f aca="false">IF($B278="","",IF($B278="01水果",IFERROR(INDEX(对接源_01水果!$C$5:$C$507,MATCH(ROW()-3,对接源_01水果!$Q$5:$Q$507,0)),""),IFERROR(INDEX(对接源_02物料!$C$5:$C$460,MATCH(ROW()-3-N(对接源_01水果!$T$1),对接源_02物料!$Q$5:$Q$460,0)),"")))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8" s="69" t="str">
        <f aca="false">IF($B278="","",IF($B278="01水果",IFERROR(INDEX(对接源_01水果!$D$5:$D$507,MATCH(ROW()-3,对接源_01水果!$Q$5:$Q$507,0)),""),IFERROR(INDEX(对接源_02物料!$D$5:$D$460,MATCH(ROW()-3-N(对接源_01水果!$T$1),对接源_02物料!$Q$5:$Q$460,0)),"")))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8" s="67" t="str">
        <f aca="false">IF($B278="","",IF($B278="01水果",IFERROR(INDEX(对接源_01水果!$E$5:$E$507,MATCH(ROW()-3,对接源_01水果!$Q$5:$Q$507,0)),""),IFERROR(INDEX(对接源_02物料!$E$5:$E$460,MATCH(ROW()-3-N(对接源_01水果!$T$1),对接源_02物料!$Q$5:$Q$460,0)),"")))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8" s="70" t="str">
        <f aca="false">IF($B278="","",IF($B278="01水果",IFERROR(INDEX(对接源_01水果!$F$5:$F$507,MATCH(ROW()-3,对接源_01水果!$Q$5:$Q$507,0)),""),IFERROR(INDEX(对接源_02物料!$F$5:$F$460,MATCH(ROW()-3-N(对接源_01水果!$T$1),对接源_02物料!$Q$5:$Q$460,0)),"")))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8" s="70" t="str">
        <f aca="false">IF($B278="","",IF($B278="01水果",IFERROR(INDEX(对接源_01水果!$G$5:$G$507,MATCH(ROW()-3,对接源_01水果!$Q$5:$Q$507,0)),""),IFERROR(INDEX(对接源_02物料!$G$5:$G$460,MATCH(ROW()-3-N(对接源_01水果!$T$1),对接源_02物料!$Q$5:$Q$460,0)),"")))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8" s="67" t="str">
        <f aca="false">IF(OR($D278="客户应收",$D278="成品销售款",$D278="公司购买果品款",$D278="筐子销售款",$D278="物料销售款"),"客户往来",IFERROR(INDEX(收入成本映射!$C$4:$C$34,MATCH($D278,收入成本映射!$B$4:$B$34,0)),"不记账"))</f>
        <v>不记账</v>
      </c>
      <c r="J278" s="67" t="str">
        <f aca="false">IF($B278="","","0%")</f>
        <v/>
      </c>
      <c r="K278" s="70" t="n">
        <f aca="false">IF($I278="不记账",0,ROUND(N($G278),2))</f>
        <v>0</v>
      </c>
      <c r="L278" s="70" t="n">
        <v>0</v>
      </c>
      <c r="M278" s="67" t="str">
        <f aca="false">IF(OR($I278="不记账",ROUND(N($G278),2)=0),"",IFERROR(INDEX(收入成本映射!$E$4:$E$34,MATCH($D278,收入成本映射!$B$4:$B$34,0)),""))</f>
        <v/>
      </c>
      <c r="N278" s="70" t="str">
        <f aca="false">IF($M278="","",ROUND(N($G278),2))</f>
        <v/>
      </c>
      <c r="O278" s="70" t="str">
        <f aca="false">IF($M278="","",0)</f>
        <v/>
      </c>
      <c r="P278" s="67" t="str">
        <f aca="false">IF($M278="","",IFERROR(INDEX(收入成本映射!$F$4:$F$34,MATCH($D278,收入成本映射!$B$4:$B$34,0)),""))</f>
        <v/>
      </c>
      <c r="Q278" s="70" t="str">
        <f aca="false">IF($P278="","",0)</f>
        <v/>
      </c>
      <c r="R278" s="70" t="str">
        <f aca="false">IF($P278="","",ROUND(N($G278),2))</f>
        <v/>
      </c>
      <c r="S278" s="67" t="str">
        <f aca="false">""</f>
        <v/>
      </c>
      <c r="T278" s="70" t="str">
        <f aca="false">IF($S278="","",0)</f>
        <v/>
      </c>
      <c r="U278" s="70" t="str">
        <f aca="false">IF($S278="","",0)</f>
        <v/>
      </c>
      <c r="V278" s="66" t="str">
        <f aca="false">IF($B278="","",IF($B278="01水果",IFERROR(INDEX(对接源_01水果!$H$5:$H$507,MATCH(ROW()-3,对接源_01水果!$Q$5:$Q$507,0)),""),IFERROR(INDEX(对接源_02物料!$H$5:$H$460,MATCH(ROW()-3-N(对接源_01水果!$T$1),对接源_02物料!$Q$5:$Q$460,0)),"")))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79" customFormat="false" ht="18" hidden="false" customHeight="true" outlineLevel="0" collapsed="false">
      <c r="A279" s="66" t="n">
        <v>276</v>
      </c>
      <c r="B279" s="67" t="str">
        <f aca="false">IF(ROW()-3&lt;=N(对接源_01水果!$T$1),"01水果",IF(ROW()-3&lt;=N(对接源_01水果!$T$1)+N(对接源_02物料!$T$1),"02物料",""))</f>
        <v/>
      </c>
      <c r="C279" s="68" t="str">
        <f aca="false">IF($B279="","",IF($B279="01水果",IFERROR(INDEX(对接源_01水果!$B$5:$B$507,MATCH(ROW()-3,对接源_01水果!$Q$5:$Q$507,0)),""),IFERROR(INDEX(对接源_02物料!$B$5:$B$460,MATCH(ROW()-3-N(对接源_01水果!$T$1),对接源_02物料!$Q$5:$Q$460,0)),"")))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79" s="67" t="str">
        <f aca="false">IF($B279="","",IF($B279="01水果",IFERROR(INDEX(对接源_01水果!$C$5:$C$507,MATCH(ROW()-3,对接源_01水果!$Q$5:$Q$507,0)),""),IFERROR(INDEX(对接源_02物料!$C$5:$C$460,MATCH(ROW()-3-N(对接源_01水果!$T$1),对接源_02物料!$Q$5:$Q$460,0)),"")))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79" s="69" t="str">
        <f aca="false">IF($B279="","",IF($B279="01水果",IFERROR(INDEX(对接源_01水果!$D$5:$D$507,MATCH(ROW()-3,对接源_01水果!$Q$5:$Q$507,0)),""),IFERROR(INDEX(对接源_02物料!$D$5:$D$460,MATCH(ROW()-3-N(对接源_01水果!$T$1),对接源_02物料!$Q$5:$Q$460,0)),"")))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79" s="67" t="str">
        <f aca="false">IF($B279="","",IF($B279="01水果",IFERROR(INDEX(对接源_01水果!$E$5:$E$507,MATCH(ROW()-3,对接源_01水果!$Q$5:$Q$507,0)),""),IFERROR(INDEX(对接源_02物料!$E$5:$E$460,MATCH(ROW()-3-N(对接源_01水果!$T$1),对接源_02物料!$Q$5:$Q$460,0)),"")))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79" s="70" t="str">
        <f aca="false">IF($B279="","",IF($B279="01水果",IFERROR(INDEX(对接源_01水果!$F$5:$F$507,MATCH(ROW()-3,对接源_01水果!$Q$5:$Q$507,0)),""),IFERROR(INDEX(对接源_02物料!$F$5:$F$460,MATCH(ROW()-3-N(对接源_01水果!$T$1),对接源_02物料!$Q$5:$Q$460,0)),"")))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79" s="70" t="str">
        <f aca="false">IF($B279="","",IF($B279="01水果",IFERROR(INDEX(对接源_01水果!$G$5:$G$507,MATCH(ROW()-3,对接源_01水果!$Q$5:$Q$507,0)),""),IFERROR(INDEX(对接源_02物料!$G$5:$G$460,MATCH(ROW()-3-N(对接源_01水果!$T$1),对接源_02物料!$Q$5:$Q$460,0)),"")))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79" s="67" t="str">
        <f aca="false">IF(OR($D279="客户应收",$D279="成品销售款",$D279="公司购买果品款",$D279="筐子销售款",$D279="物料销售款"),"客户往来",IFERROR(INDEX(收入成本映射!$C$4:$C$34,MATCH($D279,收入成本映射!$B$4:$B$34,0)),"不记账"))</f>
        <v>不记账</v>
      </c>
      <c r="J279" s="67" t="str">
        <f aca="false">IF($B279="","","0%")</f>
        <v/>
      </c>
      <c r="K279" s="70" t="n">
        <f aca="false">IF($I279="不记账",0,ROUND(N($G279),2))</f>
        <v>0</v>
      </c>
      <c r="L279" s="70" t="n">
        <v>0</v>
      </c>
      <c r="M279" s="67" t="str">
        <f aca="false">IF(OR($I279="不记账",ROUND(N($G279),2)=0),"",IFERROR(INDEX(收入成本映射!$E$4:$E$34,MATCH($D279,收入成本映射!$B$4:$B$34,0)),""))</f>
        <v/>
      </c>
      <c r="N279" s="70" t="str">
        <f aca="false">IF($M279="","",ROUND(N($G279),2))</f>
        <v/>
      </c>
      <c r="O279" s="70" t="str">
        <f aca="false">IF($M279="","",0)</f>
        <v/>
      </c>
      <c r="P279" s="67" t="str">
        <f aca="false">IF($M279="","",IFERROR(INDEX(收入成本映射!$F$4:$F$34,MATCH($D279,收入成本映射!$B$4:$B$34,0)),""))</f>
        <v/>
      </c>
      <c r="Q279" s="70" t="str">
        <f aca="false">IF($P279="","",0)</f>
        <v/>
      </c>
      <c r="R279" s="70" t="str">
        <f aca="false">IF($P279="","",ROUND(N($G279),2))</f>
        <v/>
      </c>
      <c r="S279" s="67" t="str">
        <f aca="false">""</f>
        <v/>
      </c>
      <c r="T279" s="70" t="str">
        <f aca="false">IF($S279="","",0)</f>
        <v/>
      </c>
      <c r="U279" s="70" t="str">
        <f aca="false">IF($S279="","",0)</f>
        <v/>
      </c>
      <c r="V279" s="66" t="str">
        <f aca="false">IF($B279="","",IF($B279="01水果",IFERROR(INDEX(对接源_01水果!$H$5:$H$507,MATCH(ROW()-3,对接源_01水果!$Q$5:$Q$507,0)),""),IFERROR(INDEX(对接源_02物料!$H$5:$H$460,MATCH(ROW()-3-N(对接源_01水果!$T$1),对接源_02物料!$Q$5:$Q$460,0)),"")))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0" customFormat="false" ht="18" hidden="false" customHeight="true" outlineLevel="0" collapsed="false">
      <c r="A280" s="66" t="n">
        <v>277</v>
      </c>
      <c r="B280" s="67" t="str">
        <f aca="false">IF(ROW()-3&lt;=N(对接源_01水果!$T$1),"01水果",IF(ROW()-3&lt;=N(对接源_01水果!$T$1)+N(对接源_02物料!$T$1),"02物料",""))</f>
        <v/>
      </c>
      <c r="C280" s="68" t="str">
        <f aca="false">IF($B280="","",IF($B280="01水果",IFERROR(INDEX(对接源_01水果!$B$5:$B$507,MATCH(ROW()-3,对接源_01水果!$Q$5:$Q$507,0)),""),IFERROR(INDEX(对接源_02物料!$B$5:$B$460,MATCH(ROW()-3-N(对接源_01水果!$T$1),对接源_02物料!$Q$5:$Q$460,0)),"")))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0" s="67" t="str">
        <f aca="false">IF($B280="","",IF($B280="01水果",IFERROR(INDEX(对接源_01水果!$C$5:$C$507,MATCH(ROW()-3,对接源_01水果!$Q$5:$Q$507,0)),""),IFERROR(INDEX(对接源_02物料!$C$5:$C$460,MATCH(ROW()-3-N(对接源_01水果!$T$1),对接源_02物料!$Q$5:$Q$460,0)),"")))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0" s="69" t="str">
        <f aca="false">IF($B280="","",IF($B280="01水果",IFERROR(INDEX(对接源_01水果!$D$5:$D$507,MATCH(ROW()-3,对接源_01水果!$Q$5:$Q$507,0)),""),IFERROR(INDEX(对接源_02物料!$D$5:$D$460,MATCH(ROW()-3-N(对接源_01水果!$T$1),对接源_02物料!$Q$5:$Q$460,0)),"")))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0" s="67" t="str">
        <f aca="false">IF($B280="","",IF($B280="01水果",IFERROR(INDEX(对接源_01水果!$E$5:$E$507,MATCH(ROW()-3,对接源_01水果!$Q$5:$Q$507,0)),""),IFERROR(INDEX(对接源_02物料!$E$5:$E$460,MATCH(ROW()-3-N(对接源_01水果!$T$1),对接源_02物料!$Q$5:$Q$460,0)),"")))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0" s="70" t="str">
        <f aca="false">IF($B280="","",IF($B280="01水果",IFERROR(INDEX(对接源_01水果!$F$5:$F$507,MATCH(ROW()-3,对接源_01水果!$Q$5:$Q$507,0)),""),IFERROR(INDEX(对接源_02物料!$F$5:$F$460,MATCH(ROW()-3-N(对接源_01水果!$T$1),对接源_02物料!$Q$5:$Q$460,0)),"")))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0" s="70" t="str">
        <f aca="false">IF($B280="","",IF($B280="01水果",IFERROR(INDEX(对接源_01水果!$G$5:$G$507,MATCH(ROW()-3,对接源_01水果!$Q$5:$Q$507,0)),""),IFERROR(INDEX(对接源_02物料!$G$5:$G$460,MATCH(ROW()-3-N(对接源_01水果!$T$1),对接源_02物料!$Q$5:$Q$460,0)),"")))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0" s="67" t="str">
        <f aca="false">IF(OR($D280="客户应收",$D280="成品销售款",$D280="公司购买果品款",$D280="筐子销售款",$D280="物料销售款"),"客户往来",IFERROR(INDEX(收入成本映射!$C$4:$C$34,MATCH($D280,收入成本映射!$B$4:$B$34,0)),"不记账"))</f>
        <v>不记账</v>
      </c>
      <c r="J280" s="67" t="str">
        <f aca="false">IF($B280="","","0%")</f>
        <v/>
      </c>
      <c r="K280" s="70" t="n">
        <f aca="false">IF($I280="不记账",0,ROUND(N($G280),2))</f>
        <v>0</v>
      </c>
      <c r="L280" s="70" t="n">
        <v>0</v>
      </c>
      <c r="M280" s="67" t="str">
        <f aca="false">IF(OR($I280="不记账",ROUND(N($G280),2)=0),"",IFERROR(INDEX(收入成本映射!$E$4:$E$34,MATCH($D280,收入成本映射!$B$4:$B$34,0)),""))</f>
        <v/>
      </c>
      <c r="N280" s="70" t="str">
        <f aca="false">IF($M280="","",ROUND(N($G280),2))</f>
        <v/>
      </c>
      <c r="O280" s="70" t="str">
        <f aca="false">IF($M280="","",0)</f>
        <v/>
      </c>
      <c r="P280" s="67" t="str">
        <f aca="false">IF($M280="","",IFERROR(INDEX(收入成本映射!$F$4:$F$34,MATCH($D280,收入成本映射!$B$4:$B$34,0)),""))</f>
        <v/>
      </c>
      <c r="Q280" s="70" t="str">
        <f aca="false">IF($P280="","",0)</f>
        <v/>
      </c>
      <c r="R280" s="70" t="str">
        <f aca="false">IF($P280="","",ROUND(N($G280),2))</f>
        <v/>
      </c>
      <c r="S280" s="67" t="str">
        <f aca="false">""</f>
        <v/>
      </c>
      <c r="T280" s="70" t="str">
        <f aca="false">IF($S280="","",0)</f>
        <v/>
      </c>
      <c r="U280" s="70" t="str">
        <f aca="false">IF($S280="","",0)</f>
        <v/>
      </c>
      <c r="V280" s="66" t="str">
        <f aca="false">IF($B280="","",IF($B280="01水果",IFERROR(INDEX(对接源_01水果!$H$5:$H$507,MATCH(ROW()-3,对接源_01水果!$Q$5:$Q$507,0)),""),IFERROR(INDEX(对接源_02物料!$H$5:$H$460,MATCH(ROW()-3-N(对接源_01水果!$T$1),对接源_02物料!$Q$5:$Q$460,0)),"")))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1" customFormat="false" ht="18" hidden="false" customHeight="true" outlineLevel="0" collapsed="false">
      <c r="A281" s="66" t="n">
        <v>278</v>
      </c>
      <c r="B281" s="67" t="str">
        <f aca="false">IF(ROW()-3&lt;=N(对接源_01水果!$T$1),"01水果",IF(ROW()-3&lt;=N(对接源_01水果!$T$1)+N(对接源_02物料!$T$1),"02物料",""))</f>
        <v/>
      </c>
      <c r="C281" s="68" t="str">
        <f aca="false">IF($B281="","",IF($B281="01水果",IFERROR(INDEX(对接源_01水果!$B$5:$B$507,MATCH(ROW()-3,对接源_01水果!$Q$5:$Q$507,0)),""),IFERROR(INDEX(对接源_02物料!$B$5:$B$460,MATCH(ROW()-3-N(对接源_01水果!$T$1),对接源_02物料!$Q$5:$Q$460,0)),"")))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1" s="67" t="str">
        <f aca="false">IF($B281="","",IF($B281="01水果",IFERROR(INDEX(对接源_01水果!$C$5:$C$507,MATCH(ROW()-3,对接源_01水果!$Q$5:$Q$507,0)),""),IFERROR(INDEX(对接源_02物料!$C$5:$C$460,MATCH(ROW()-3-N(对接源_01水果!$T$1),对接源_02物料!$Q$5:$Q$460,0)),"")))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1" s="69" t="str">
        <f aca="false">IF($B281="","",IF($B281="01水果",IFERROR(INDEX(对接源_01水果!$D$5:$D$507,MATCH(ROW()-3,对接源_01水果!$Q$5:$Q$507,0)),""),IFERROR(INDEX(对接源_02物料!$D$5:$D$460,MATCH(ROW()-3-N(对接源_01水果!$T$1),对接源_02物料!$Q$5:$Q$460,0)),"")))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1" s="67" t="str">
        <f aca="false">IF($B281="","",IF($B281="01水果",IFERROR(INDEX(对接源_01水果!$E$5:$E$507,MATCH(ROW()-3,对接源_01水果!$Q$5:$Q$507,0)),""),IFERROR(INDEX(对接源_02物料!$E$5:$E$460,MATCH(ROW()-3-N(对接源_01水果!$T$1),对接源_02物料!$Q$5:$Q$460,0)),"")))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1" s="70" t="str">
        <f aca="false">IF($B281="","",IF($B281="01水果",IFERROR(INDEX(对接源_01水果!$F$5:$F$507,MATCH(ROW()-3,对接源_01水果!$Q$5:$Q$507,0)),""),IFERROR(INDEX(对接源_02物料!$F$5:$F$460,MATCH(ROW()-3-N(对接源_01水果!$T$1),对接源_02物料!$Q$5:$Q$460,0)),"")))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1" s="70" t="str">
        <f aca="false">IF($B281="","",IF($B281="01水果",IFERROR(INDEX(对接源_01水果!$G$5:$G$507,MATCH(ROW()-3,对接源_01水果!$Q$5:$Q$507,0)),""),IFERROR(INDEX(对接源_02物料!$G$5:$G$460,MATCH(ROW()-3-N(对接源_01水果!$T$1),对接源_02物料!$Q$5:$Q$460,0)),"")))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1" s="67" t="str">
        <f aca="false">IF(OR($D281="客户应收",$D281="成品销售款",$D281="公司购买果品款",$D281="筐子销售款",$D281="物料销售款"),"客户往来",IFERROR(INDEX(收入成本映射!$C$4:$C$34,MATCH($D281,收入成本映射!$B$4:$B$34,0)),"不记账"))</f>
        <v>不记账</v>
      </c>
      <c r="J281" s="67" t="str">
        <f aca="false">IF($B281="","","0%")</f>
        <v/>
      </c>
      <c r="K281" s="70" t="n">
        <f aca="false">IF($I281="不记账",0,ROUND(N($G281),2))</f>
        <v>0</v>
      </c>
      <c r="L281" s="70" t="n">
        <v>0</v>
      </c>
      <c r="M281" s="67" t="str">
        <f aca="false">IF(OR($I281="不记账",ROUND(N($G281),2)=0),"",IFERROR(INDEX(收入成本映射!$E$4:$E$34,MATCH($D281,收入成本映射!$B$4:$B$34,0)),""))</f>
        <v/>
      </c>
      <c r="N281" s="70" t="str">
        <f aca="false">IF($M281="","",ROUND(N($G281),2))</f>
        <v/>
      </c>
      <c r="O281" s="70" t="str">
        <f aca="false">IF($M281="","",0)</f>
        <v/>
      </c>
      <c r="P281" s="67" t="str">
        <f aca="false">IF($M281="","",IFERROR(INDEX(收入成本映射!$F$4:$F$34,MATCH($D281,收入成本映射!$B$4:$B$34,0)),""))</f>
        <v/>
      </c>
      <c r="Q281" s="70" t="str">
        <f aca="false">IF($P281="","",0)</f>
        <v/>
      </c>
      <c r="R281" s="70" t="str">
        <f aca="false">IF($P281="","",ROUND(N($G281),2))</f>
        <v/>
      </c>
      <c r="S281" s="67" t="str">
        <f aca="false">""</f>
        <v/>
      </c>
      <c r="T281" s="70" t="str">
        <f aca="false">IF($S281="","",0)</f>
        <v/>
      </c>
      <c r="U281" s="70" t="str">
        <f aca="false">IF($S281="","",0)</f>
        <v/>
      </c>
      <c r="V281" s="66" t="str">
        <f aca="false">IF($B281="","",IF($B281="01水果",IFERROR(INDEX(对接源_01水果!$H$5:$H$507,MATCH(ROW()-3,对接源_01水果!$Q$5:$Q$507,0)),""),IFERROR(INDEX(对接源_02物料!$H$5:$H$460,MATCH(ROW()-3-N(对接源_01水果!$T$1),对接源_02物料!$Q$5:$Q$460,0)),"")))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2" customFormat="false" ht="18" hidden="false" customHeight="true" outlineLevel="0" collapsed="false">
      <c r="A282" s="66" t="n">
        <v>279</v>
      </c>
      <c r="B282" s="67" t="str">
        <f aca="false">IF(ROW()-3&lt;=N(对接源_01水果!$T$1),"01水果",IF(ROW()-3&lt;=N(对接源_01水果!$T$1)+N(对接源_02物料!$T$1),"02物料",""))</f>
        <v/>
      </c>
      <c r="C282" s="68" t="str">
        <f aca="false">IF($B282="","",IF($B282="01水果",IFERROR(INDEX(对接源_01水果!$B$5:$B$507,MATCH(ROW()-3,对接源_01水果!$Q$5:$Q$507,0)),""),IFERROR(INDEX(对接源_02物料!$B$5:$B$460,MATCH(ROW()-3-N(对接源_01水果!$T$1),对接源_02物料!$Q$5:$Q$460,0)),"")))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2" s="67" t="str">
        <f aca="false">IF($B282="","",IF($B282="01水果",IFERROR(INDEX(对接源_01水果!$C$5:$C$507,MATCH(ROW()-3,对接源_01水果!$Q$5:$Q$507,0)),""),IFERROR(INDEX(对接源_02物料!$C$5:$C$460,MATCH(ROW()-3-N(对接源_01水果!$T$1),对接源_02物料!$Q$5:$Q$460,0)),"")))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2" s="69" t="str">
        <f aca="false">IF($B282="","",IF($B282="01水果",IFERROR(INDEX(对接源_01水果!$D$5:$D$507,MATCH(ROW()-3,对接源_01水果!$Q$5:$Q$507,0)),""),IFERROR(INDEX(对接源_02物料!$D$5:$D$460,MATCH(ROW()-3-N(对接源_01水果!$T$1),对接源_02物料!$Q$5:$Q$460,0)),"")))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2" s="67" t="str">
        <f aca="false">IF($B282="","",IF($B282="01水果",IFERROR(INDEX(对接源_01水果!$E$5:$E$507,MATCH(ROW()-3,对接源_01水果!$Q$5:$Q$507,0)),""),IFERROR(INDEX(对接源_02物料!$E$5:$E$460,MATCH(ROW()-3-N(对接源_01水果!$T$1),对接源_02物料!$Q$5:$Q$460,0)),"")))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2" s="70" t="str">
        <f aca="false">IF($B282="","",IF($B282="01水果",IFERROR(INDEX(对接源_01水果!$F$5:$F$507,MATCH(ROW()-3,对接源_01水果!$Q$5:$Q$507,0)),""),IFERROR(INDEX(对接源_02物料!$F$5:$F$460,MATCH(ROW()-3-N(对接源_01水果!$T$1),对接源_02物料!$Q$5:$Q$460,0)),"")))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2" s="70" t="str">
        <f aca="false">IF($B282="","",IF($B282="01水果",IFERROR(INDEX(对接源_01水果!$G$5:$G$507,MATCH(ROW()-3,对接源_01水果!$Q$5:$Q$507,0)),""),IFERROR(INDEX(对接源_02物料!$G$5:$G$460,MATCH(ROW()-3-N(对接源_01水果!$T$1),对接源_02物料!$Q$5:$Q$460,0)),"")))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2" s="67" t="str">
        <f aca="false">IF(OR($D282="客户应收",$D282="成品销售款",$D282="公司购买果品款",$D282="筐子销售款",$D282="物料销售款"),"客户往来",IFERROR(INDEX(收入成本映射!$C$4:$C$34,MATCH($D282,收入成本映射!$B$4:$B$34,0)),"不记账"))</f>
        <v>不记账</v>
      </c>
      <c r="J282" s="67" t="str">
        <f aca="false">IF($B282="","","0%")</f>
        <v/>
      </c>
      <c r="K282" s="70" t="n">
        <f aca="false">IF($I282="不记账",0,ROUND(N($G282),2))</f>
        <v>0</v>
      </c>
      <c r="L282" s="70" t="n">
        <v>0</v>
      </c>
      <c r="M282" s="67" t="str">
        <f aca="false">IF(OR($I282="不记账",ROUND(N($G282),2)=0),"",IFERROR(INDEX(收入成本映射!$E$4:$E$34,MATCH($D282,收入成本映射!$B$4:$B$34,0)),""))</f>
        <v/>
      </c>
      <c r="N282" s="70" t="str">
        <f aca="false">IF($M282="","",ROUND(N($G282),2))</f>
        <v/>
      </c>
      <c r="O282" s="70" t="str">
        <f aca="false">IF($M282="","",0)</f>
        <v/>
      </c>
      <c r="P282" s="67" t="str">
        <f aca="false">IF($M282="","",IFERROR(INDEX(收入成本映射!$F$4:$F$34,MATCH($D282,收入成本映射!$B$4:$B$34,0)),""))</f>
        <v/>
      </c>
      <c r="Q282" s="70" t="str">
        <f aca="false">IF($P282="","",0)</f>
        <v/>
      </c>
      <c r="R282" s="70" t="str">
        <f aca="false">IF($P282="","",ROUND(N($G282),2))</f>
        <v/>
      </c>
      <c r="S282" s="67" t="str">
        <f aca="false">""</f>
        <v/>
      </c>
      <c r="T282" s="70" t="str">
        <f aca="false">IF($S282="","",0)</f>
        <v/>
      </c>
      <c r="U282" s="70" t="str">
        <f aca="false">IF($S282="","",0)</f>
        <v/>
      </c>
      <c r="V282" s="66" t="str">
        <f aca="false">IF($B282="","",IF($B282="01水果",IFERROR(INDEX(对接源_01水果!$H$5:$H$507,MATCH(ROW()-3,对接源_01水果!$Q$5:$Q$507,0)),""),IFERROR(INDEX(对接源_02物料!$H$5:$H$460,MATCH(ROW()-3-N(对接源_01水果!$T$1),对接源_02物料!$Q$5:$Q$460,0)),"")))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3" customFormat="false" ht="18" hidden="false" customHeight="true" outlineLevel="0" collapsed="false">
      <c r="A283" s="66" t="n">
        <v>280</v>
      </c>
      <c r="B283" s="67" t="str">
        <f aca="false">IF(ROW()-3&lt;=N(对接源_01水果!$T$1),"01水果",IF(ROW()-3&lt;=N(对接源_01水果!$T$1)+N(对接源_02物料!$T$1),"02物料",""))</f>
        <v/>
      </c>
      <c r="C283" s="68" t="str">
        <f aca="false">IF($B283="","",IF($B283="01水果",IFERROR(INDEX(对接源_01水果!$B$5:$B$507,MATCH(ROW()-3,对接源_01水果!$Q$5:$Q$507,0)),""),IFERROR(INDEX(对接源_02物料!$B$5:$B$460,MATCH(ROW()-3-N(对接源_01水果!$T$1),对接源_02物料!$Q$5:$Q$460,0)),"")))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3" s="67" t="str">
        <f aca="false">IF($B283="","",IF($B283="01水果",IFERROR(INDEX(对接源_01水果!$C$5:$C$507,MATCH(ROW()-3,对接源_01水果!$Q$5:$Q$507,0)),""),IFERROR(INDEX(对接源_02物料!$C$5:$C$460,MATCH(ROW()-3-N(对接源_01水果!$T$1),对接源_02物料!$Q$5:$Q$460,0)),"")))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3" s="69" t="str">
        <f aca="false">IF($B283="","",IF($B283="01水果",IFERROR(INDEX(对接源_01水果!$D$5:$D$507,MATCH(ROW()-3,对接源_01水果!$Q$5:$Q$507,0)),""),IFERROR(INDEX(对接源_02物料!$D$5:$D$460,MATCH(ROW()-3-N(对接源_01水果!$T$1),对接源_02物料!$Q$5:$Q$460,0)),"")))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3" s="67" t="str">
        <f aca="false">IF($B283="","",IF($B283="01水果",IFERROR(INDEX(对接源_01水果!$E$5:$E$507,MATCH(ROW()-3,对接源_01水果!$Q$5:$Q$507,0)),""),IFERROR(INDEX(对接源_02物料!$E$5:$E$460,MATCH(ROW()-3-N(对接源_01水果!$T$1),对接源_02物料!$Q$5:$Q$460,0)),"")))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3" s="70" t="str">
        <f aca="false">IF($B283="","",IF($B283="01水果",IFERROR(INDEX(对接源_01水果!$F$5:$F$507,MATCH(ROW()-3,对接源_01水果!$Q$5:$Q$507,0)),""),IFERROR(INDEX(对接源_02物料!$F$5:$F$460,MATCH(ROW()-3-N(对接源_01水果!$T$1),对接源_02物料!$Q$5:$Q$460,0)),"")))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3" s="70" t="str">
        <f aca="false">IF($B283="","",IF($B283="01水果",IFERROR(INDEX(对接源_01水果!$G$5:$G$507,MATCH(ROW()-3,对接源_01水果!$Q$5:$Q$507,0)),""),IFERROR(INDEX(对接源_02物料!$G$5:$G$460,MATCH(ROW()-3-N(对接源_01水果!$T$1),对接源_02物料!$Q$5:$Q$460,0)),"")))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3" s="67" t="str">
        <f aca="false">IF(OR($D283="客户应收",$D283="成品销售款",$D283="公司购买果品款",$D283="筐子销售款",$D283="物料销售款"),"客户往来",IFERROR(INDEX(收入成本映射!$C$4:$C$34,MATCH($D283,收入成本映射!$B$4:$B$34,0)),"不记账"))</f>
        <v>不记账</v>
      </c>
      <c r="J283" s="67" t="str">
        <f aca="false">IF($B283="","","0%")</f>
        <v/>
      </c>
      <c r="K283" s="70" t="n">
        <f aca="false">IF($I283="不记账",0,ROUND(N($G283),2))</f>
        <v>0</v>
      </c>
      <c r="L283" s="70" t="n">
        <v>0</v>
      </c>
      <c r="M283" s="67" t="str">
        <f aca="false">IF(OR($I283="不记账",ROUND(N($G283),2)=0),"",IFERROR(INDEX(收入成本映射!$E$4:$E$34,MATCH($D283,收入成本映射!$B$4:$B$34,0)),""))</f>
        <v/>
      </c>
      <c r="N283" s="70" t="str">
        <f aca="false">IF($M283="","",ROUND(N($G283),2))</f>
        <v/>
      </c>
      <c r="O283" s="70" t="str">
        <f aca="false">IF($M283="","",0)</f>
        <v/>
      </c>
      <c r="P283" s="67" t="str">
        <f aca="false">IF($M283="","",IFERROR(INDEX(收入成本映射!$F$4:$F$34,MATCH($D283,收入成本映射!$B$4:$B$34,0)),""))</f>
        <v/>
      </c>
      <c r="Q283" s="70" t="str">
        <f aca="false">IF($P283="","",0)</f>
        <v/>
      </c>
      <c r="R283" s="70" t="str">
        <f aca="false">IF($P283="","",ROUND(N($G283),2))</f>
        <v/>
      </c>
      <c r="S283" s="67" t="str">
        <f aca="false">""</f>
        <v/>
      </c>
      <c r="T283" s="70" t="str">
        <f aca="false">IF($S283="","",0)</f>
        <v/>
      </c>
      <c r="U283" s="70" t="str">
        <f aca="false">IF($S283="","",0)</f>
        <v/>
      </c>
      <c r="V283" s="66" t="str">
        <f aca="false">IF($B283="","",IF($B283="01水果",IFERROR(INDEX(对接源_01水果!$H$5:$H$507,MATCH(ROW()-3,对接源_01水果!$Q$5:$Q$507,0)),""),IFERROR(INDEX(对接源_02物料!$H$5:$H$460,MATCH(ROW()-3-N(对接源_01水果!$T$1),对接源_02物料!$Q$5:$Q$460,0)),"")))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4" customFormat="false" ht="18" hidden="false" customHeight="true" outlineLevel="0" collapsed="false">
      <c r="A284" s="66" t="n">
        <v>281</v>
      </c>
      <c r="B284" s="67" t="str">
        <f aca="false">IF(ROW()-3&lt;=N(对接源_01水果!$T$1),"01水果",IF(ROW()-3&lt;=N(对接源_01水果!$T$1)+N(对接源_02物料!$T$1),"02物料",""))</f>
        <v/>
      </c>
      <c r="C284" s="68" t="str">
        <f aca="false">IF($B284="","",IF($B284="01水果",IFERROR(INDEX(对接源_01水果!$B$5:$B$507,MATCH(ROW()-3,对接源_01水果!$Q$5:$Q$507,0)),""),IFERROR(INDEX(对接源_02物料!$B$5:$B$460,MATCH(ROW()-3-N(对接源_01水果!$T$1),对接源_02物料!$Q$5:$Q$460,0)),"")))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4" s="67" t="str">
        <f aca="false">IF($B284="","",IF($B284="01水果",IFERROR(INDEX(对接源_01水果!$C$5:$C$507,MATCH(ROW()-3,对接源_01水果!$Q$5:$Q$507,0)),""),IFERROR(INDEX(对接源_02物料!$C$5:$C$460,MATCH(ROW()-3-N(对接源_01水果!$T$1),对接源_02物料!$Q$5:$Q$460,0)),"")))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4" s="69" t="str">
        <f aca="false">IF($B284="","",IF($B284="01水果",IFERROR(INDEX(对接源_01水果!$D$5:$D$507,MATCH(ROW()-3,对接源_01水果!$Q$5:$Q$507,0)),""),IFERROR(INDEX(对接源_02物料!$D$5:$D$460,MATCH(ROW()-3-N(对接源_01水果!$T$1),对接源_02物料!$Q$5:$Q$460,0)),"")))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4" s="67" t="str">
        <f aca="false">IF($B284="","",IF($B284="01水果",IFERROR(INDEX(对接源_01水果!$E$5:$E$507,MATCH(ROW()-3,对接源_01水果!$Q$5:$Q$507,0)),""),IFERROR(INDEX(对接源_02物料!$E$5:$E$460,MATCH(ROW()-3-N(对接源_01水果!$T$1),对接源_02物料!$Q$5:$Q$460,0)),"")))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4" s="70" t="str">
        <f aca="false">IF($B284="","",IF($B284="01水果",IFERROR(INDEX(对接源_01水果!$F$5:$F$507,MATCH(ROW()-3,对接源_01水果!$Q$5:$Q$507,0)),""),IFERROR(INDEX(对接源_02物料!$F$5:$F$460,MATCH(ROW()-3-N(对接源_01水果!$T$1),对接源_02物料!$Q$5:$Q$460,0)),"")))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4" s="70" t="str">
        <f aca="false">IF($B284="","",IF($B284="01水果",IFERROR(INDEX(对接源_01水果!$G$5:$G$507,MATCH(ROW()-3,对接源_01水果!$Q$5:$Q$507,0)),""),IFERROR(INDEX(对接源_02物料!$G$5:$G$460,MATCH(ROW()-3-N(对接源_01水果!$T$1),对接源_02物料!$Q$5:$Q$460,0)),"")))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4" s="67" t="str">
        <f aca="false">IF(OR($D284="客户应收",$D284="成品销售款",$D284="公司购买果品款",$D284="筐子销售款",$D284="物料销售款"),"客户往来",IFERROR(INDEX(收入成本映射!$C$4:$C$34,MATCH($D284,收入成本映射!$B$4:$B$34,0)),"不记账"))</f>
        <v>不记账</v>
      </c>
      <c r="J284" s="67" t="str">
        <f aca="false">IF($B284="","","0%")</f>
        <v/>
      </c>
      <c r="K284" s="70" t="n">
        <f aca="false">IF($I284="不记账",0,ROUND(N($G284),2))</f>
        <v>0</v>
      </c>
      <c r="L284" s="70" t="n">
        <v>0</v>
      </c>
      <c r="M284" s="67" t="str">
        <f aca="false">IF(OR($I284="不记账",ROUND(N($G284),2)=0),"",IFERROR(INDEX(收入成本映射!$E$4:$E$34,MATCH($D284,收入成本映射!$B$4:$B$34,0)),""))</f>
        <v/>
      </c>
      <c r="N284" s="70" t="str">
        <f aca="false">IF($M284="","",ROUND(N($G284),2))</f>
        <v/>
      </c>
      <c r="O284" s="70" t="str">
        <f aca="false">IF($M284="","",0)</f>
        <v/>
      </c>
      <c r="P284" s="67" t="str">
        <f aca="false">IF($M284="","",IFERROR(INDEX(收入成本映射!$F$4:$F$34,MATCH($D284,收入成本映射!$B$4:$B$34,0)),""))</f>
        <v/>
      </c>
      <c r="Q284" s="70" t="str">
        <f aca="false">IF($P284="","",0)</f>
        <v/>
      </c>
      <c r="R284" s="70" t="str">
        <f aca="false">IF($P284="","",ROUND(N($G284),2))</f>
        <v/>
      </c>
      <c r="S284" s="67" t="str">
        <f aca="false">""</f>
        <v/>
      </c>
      <c r="T284" s="70" t="str">
        <f aca="false">IF($S284="","",0)</f>
        <v/>
      </c>
      <c r="U284" s="70" t="str">
        <f aca="false">IF($S284="","",0)</f>
        <v/>
      </c>
      <c r="V284" s="66" t="str">
        <f aca="false">IF($B284="","",IF($B284="01水果",IFERROR(INDEX(对接源_01水果!$H$5:$H$507,MATCH(ROW()-3,对接源_01水果!$Q$5:$Q$507,0)),""),IFERROR(INDEX(对接源_02物料!$H$5:$H$460,MATCH(ROW()-3-N(对接源_01水果!$T$1),对接源_02物料!$Q$5:$Q$460,0)),"")))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5" customFormat="false" ht="18" hidden="false" customHeight="true" outlineLevel="0" collapsed="false">
      <c r="A285" s="66" t="n">
        <v>282</v>
      </c>
      <c r="B285" s="67" t="str">
        <f aca="false">IF(ROW()-3&lt;=N(对接源_01水果!$T$1),"01水果",IF(ROW()-3&lt;=N(对接源_01水果!$T$1)+N(对接源_02物料!$T$1),"02物料",""))</f>
        <v/>
      </c>
      <c r="C285" s="68" t="str">
        <f aca="false">IF($B285="","",IF($B285="01水果",IFERROR(INDEX(对接源_01水果!$B$5:$B$507,MATCH(ROW()-3,对接源_01水果!$Q$5:$Q$507,0)),""),IFERROR(INDEX(对接源_02物料!$B$5:$B$460,MATCH(ROW()-3-N(对接源_01水果!$T$1),对接源_02物料!$Q$5:$Q$460,0)),"")))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5" s="67" t="str">
        <f aca="false">IF($B285="","",IF($B285="01水果",IFERROR(INDEX(对接源_01水果!$C$5:$C$507,MATCH(ROW()-3,对接源_01水果!$Q$5:$Q$507,0)),""),IFERROR(INDEX(对接源_02物料!$C$5:$C$460,MATCH(ROW()-3-N(对接源_01水果!$T$1),对接源_02物料!$Q$5:$Q$460,0)),"")))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5" s="69" t="str">
        <f aca="false">IF($B285="","",IF($B285="01水果",IFERROR(INDEX(对接源_01水果!$D$5:$D$507,MATCH(ROW()-3,对接源_01水果!$Q$5:$Q$507,0)),""),IFERROR(INDEX(对接源_02物料!$D$5:$D$460,MATCH(ROW()-3-N(对接源_01水果!$T$1),对接源_02物料!$Q$5:$Q$460,0)),"")))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5" s="67" t="str">
        <f aca="false">IF($B285="","",IF($B285="01水果",IFERROR(INDEX(对接源_01水果!$E$5:$E$507,MATCH(ROW()-3,对接源_01水果!$Q$5:$Q$507,0)),""),IFERROR(INDEX(对接源_02物料!$E$5:$E$460,MATCH(ROW()-3-N(对接源_01水果!$T$1),对接源_02物料!$Q$5:$Q$460,0)),"")))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5" s="70" t="str">
        <f aca="false">IF($B285="","",IF($B285="01水果",IFERROR(INDEX(对接源_01水果!$F$5:$F$507,MATCH(ROW()-3,对接源_01水果!$Q$5:$Q$507,0)),""),IFERROR(INDEX(对接源_02物料!$F$5:$F$460,MATCH(ROW()-3-N(对接源_01水果!$T$1),对接源_02物料!$Q$5:$Q$460,0)),"")))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5" s="70" t="str">
        <f aca="false">IF($B285="","",IF($B285="01水果",IFERROR(INDEX(对接源_01水果!$G$5:$G$507,MATCH(ROW()-3,对接源_01水果!$Q$5:$Q$507,0)),""),IFERROR(INDEX(对接源_02物料!$G$5:$G$460,MATCH(ROW()-3-N(对接源_01水果!$T$1),对接源_02物料!$Q$5:$Q$460,0)),"")))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5" s="67" t="str">
        <f aca="false">IF(OR($D285="客户应收",$D285="成品销售款",$D285="公司购买果品款",$D285="筐子销售款",$D285="物料销售款"),"客户往来",IFERROR(INDEX(收入成本映射!$C$4:$C$34,MATCH($D285,收入成本映射!$B$4:$B$34,0)),"不记账"))</f>
        <v>不记账</v>
      </c>
      <c r="J285" s="67" t="str">
        <f aca="false">IF($B285="","","0%")</f>
        <v/>
      </c>
      <c r="K285" s="70" t="n">
        <f aca="false">IF($I285="不记账",0,ROUND(N($G285),2))</f>
        <v>0</v>
      </c>
      <c r="L285" s="70" t="n">
        <v>0</v>
      </c>
      <c r="M285" s="67" t="str">
        <f aca="false">IF(OR($I285="不记账",ROUND(N($G285),2)=0),"",IFERROR(INDEX(收入成本映射!$E$4:$E$34,MATCH($D285,收入成本映射!$B$4:$B$34,0)),""))</f>
        <v/>
      </c>
      <c r="N285" s="70" t="str">
        <f aca="false">IF($M285="","",ROUND(N($G285),2))</f>
        <v/>
      </c>
      <c r="O285" s="70" t="str">
        <f aca="false">IF($M285="","",0)</f>
        <v/>
      </c>
      <c r="P285" s="67" t="str">
        <f aca="false">IF($M285="","",IFERROR(INDEX(收入成本映射!$F$4:$F$34,MATCH($D285,收入成本映射!$B$4:$B$34,0)),""))</f>
        <v/>
      </c>
      <c r="Q285" s="70" t="str">
        <f aca="false">IF($P285="","",0)</f>
        <v/>
      </c>
      <c r="R285" s="70" t="str">
        <f aca="false">IF($P285="","",ROUND(N($G285),2))</f>
        <v/>
      </c>
      <c r="S285" s="67" t="str">
        <f aca="false">""</f>
        <v/>
      </c>
      <c r="T285" s="70" t="str">
        <f aca="false">IF($S285="","",0)</f>
        <v/>
      </c>
      <c r="U285" s="70" t="str">
        <f aca="false">IF($S285="","",0)</f>
        <v/>
      </c>
      <c r="V285" s="66" t="str">
        <f aca="false">IF($B285="","",IF($B285="01水果",IFERROR(INDEX(对接源_01水果!$H$5:$H$507,MATCH(ROW()-3,对接源_01水果!$Q$5:$Q$507,0)),""),IFERROR(INDEX(对接源_02物料!$H$5:$H$460,MATCH(ROW()-3-N(对接源_01水果!$T$1),对接源_02物料!$Q$5:$Q$460,0)),"")))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6" customFormat="false" ht="18" hidden="false" customHeight="true" outlineLevel="0" collapsed="false">
      <c r="A286" s="66" t="n">
        <v>283</v>
      </c>
      <c r="B286" s="67" t="str">
        <f aca="false">IF(ROW()-3&lt;=N(对接源_01水果!$T$1),"01水果",IF(ROW()-3&lt;=N(对接源_01水果!$T$1)+N(对接源_02物料!$T$1),"02物料",""))</f>
        <v/>
      </c>
      <c r="C286" s="68" t="str">
        <f aca="false">IF($B286="","",IF($B286="01水果",IFERROR(INDEX(对接源_01水果!$B$5:$B$507,MATCH(ROW()-3,对接源_01水果!$Q$5:$Q$507,0)),""),IFERROR(INDEX(对接源_02物料!$B$5:$B$460,MATCH(ROW()-3-N(对接源_01水果!$T$1),对接源_02物料!$Q$5:$Q$460,0)),"")))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6" s="67" t="str">
        <f aca="false">IF($B286="","",IF($B286="01水果",IFERROR(INDEX(对接源_01水果!$C$5:$C$507,MATCH(ROW()-3,对接源_01水果!$Q$5:$Q$507,0)),""),IFERROR(INDEX(对接源_02物料!$C$5:$C$460,MATCH(ROW()-3-N(对接源_01水果!$T$1),对接源_02物料!$Q$5:$Q$460,0)),"")))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6" s="69" t="str">
        <f aca="false">IF($B286="","",IF($B286="01水果",IFERROR(INDEX(对接源_01水果!$D$5:$D$507,MATCH(ROW()-3,对接源_01水果!$Q$5:$Q$507,0)),""),IFERROR(INDEX(对接源_02物料!$D$5:$D$460,MATCH(ROW()-3-N(对接源_01水果!$T$1),对接源_02物料!$Q$5:$Q$460,0)),"")))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6" s="67" t="str">
        <f aca="false">IF($B286="","",IF($B286="01水果",IFERROR(INDEX(对接源_01水果!$E$5:$E$507,MATCH(ROW()-3,对接源_01水果!$Q$5:$Q$507,0)),""),IFERROR(INDEX(对接源_02物料!$E$5:$E$460,MATCH(ROW()-3-N(对接源_01水果!$T$1),对接源_02物料!$Q$5:$Q$460,0)),"")))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6" s="70" t="str">
        <f aca="false">IF($B286="","",IF($B286="01水果",IFERROR(INDEX(对接源_01水果!$F$5:$F$507,MATCH(ROW()-3,对接源_01水果!$Q$5:$Q$507,0)),""),IFERROR(INDEX(对接源_02物料!$F$5:$F$460,MATCH(ROW()-3-N(对接源_01水果!$T$1),对接源_02物料!$Q$5:$Q$460,0)),"")))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6" s="70" t="str">
        <f aca="false">IF($B286="","",IF($B286="01水果",IFERROR(INDEX(对接源_01水果!$G$5:$G$507,MATCH(ROW()-3,对接源_01水果!$Q$5:$Q$507,0)),""),IFERROR(INDEX(对接源_02物料!$G$5:$G$460,MATCH(ROW()-3-N(对接源_01水果!$T$1),对接源_02物料!$Q$5:$Q$460,0)),"")))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6" s="67" t="str">
        <f aca="false">IF(OR($D286="客户应收",$D286="成品销售款",$D286="公司购买果品款",$D286="筐子销售款",$D286="物料销售款"),"客户往来",IFERROR(INDEX(收入成本映射!$C$4:$C$34,MATCH($D286,收入成本映射!$B$4:$B$34,0)),"不记账"))</f>
        <v>不记账</v>
      </c>
      <c r="J286" s="67" t="str">
        <f aca="false">IF($B286="","","0%")</f>
        <v/>
      </c>
      <c r="K286" s="70" t="n">
        <f aca="false">IF($I286="不记账",0,ROUND(N($G286),2))</f>
        <v>0</v>
      </c>
      <c r="L286" s="70" t="n">
        <v>0</v>
      </c>
      <c r="M286" s="67" t="str">
        <f aca="false">IF(OR($I286="不记账",ROUND(N($G286),2)=0),"",IFERROR(INDEX(收入成本映射!$E$4:$E$34,MATCH($D286,收入成本映射!$B$4:$B$34,0)),""))</f>
        <v/>
      </c>
      <c r="N286" s="70" t="str">
        <f aca="false">IF($M286="","",ROUND(N($G286),2))</f>
        <v/>
      </c>
      <c r="O286" s="70" t="str">
        <f aca="false">IF($M286="","",0)</f>
        <v/>
      </c>
      <c r="P286" s="67" t="str">
        <f aca="false">IF($M286="","",IFERROR(INDEX(收入成本映射!$F$4:$F$34,MATCH($D286,收入成本映射!$B$4:$B$34,0)),""))</f>
        <v/>
      </c>
      <c r="Q286" s="70" t="str">
        <f aca="false">IF($P286="","",0)</f>
        <v/>
      </c>
      <c r="R286" s="70" t="str">
        <f aca="false">IF($P286="","",ROUND(N($G286),2))</f>
        <v/>
      </c>
      <c r="S286" s="67" t="str">
        <f aca="false">""</f>
        <v/>
      </c>
      <c r="T286" s="70" t="str">
        <f aca="false">IF($S286="","",0)</f>
        <v/>
      </c>
      <c r="U286" s="70" t="str">
        <f aca="false">IF($S286="","",0)</f>
        <v/>
      </c>
      <c r="V286" s="66" t="str">
        <f aca="false">IF($B286="","",IF($B286="01水果",IFERROR(INDEX(对接源_01水果!$H$5:$H$507,MATCH(ROW()-3,对接源_01水果!$Q$5:$Q$507,0)),""),IFERROR(INDEX(对接源_02物料!$H$5:$H$460,MATCH(ROW()-3-N(对接源_01水果!$T$1),对接源_02物料!$Q$5:$Q$460,0)),"")))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7" customFormat="false" ht="18" hidden="false" customHeight="true" outlineLevel="0" collapsed="false">
      <c r="A287" s="66" t="n">
        <v>284</v>
      </c>
      <c r="B287" s="67" t="str">
        <f aca="false">IF(ROW()-3&lt;=N(对接源_01水果!$T$1),"01水果",IF(ROW()-3&lt;=N(对接源_01水果!$T$1)+N(对接源_02物料!$T$1),"02物料",""))</f>
        <v/>
      </c>
      <c r="C287" s="68" t="str">
        <f aca="false">IF($B287="","",IF($B287="01水果",IFERROR(INDEX(对接源_01水果!$B$5:$B$507,MATCH(ROW()-3,对接源_01水果!$Q$5:$Q$507,0)),""),IFERROR(INDEX(对接源_02物料!$B$5:$B$460,MATCH(ROW()-3-N(对接源_01水果!$T$1),对接源_02物料!$Q$5:$Q$460,0)),"")))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7" s="67" t="str">
        <f aca="false">IF($B287="","",IF($B287="01水果",IFERROR(INDEX(对接源_01水果!$C$5:$C$507,MATCH(ROW()-3,对接源_01水果!$Q$5:$Q$507,0)),""),IFERROR(INDEX(对接源_02物料!$C$5:$C$460,MATCH(ROW()-3-N(对接源_01水果!$T$1),对接源_02物料!$Q$5:$Q$460,0)),"")))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7" s="69" t="str">
        <f aca="false">IF($B287="","",IF($B287="01水果",IFERROR(INDEX(对接源_01水果!$D$5:$D$507,MATCH(ROW()-3,对接源_01水果!$Q$5:$Q$507,0)),""),IFERROR(INDEX(对接源_02物料!$D$5:$D$460,MATCH(ROW()-3-N(对接源_01水果!$T$1),对接源_02物料!$Q$5:$Q$460,0)),"")))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7" s="67" t="str">
        <f aca="false">IF($B287="","",IF($B287="01水果",IFERROR(INDEX(对接源_01水果!$E$5:$E$507,MATCH(ROW()-3,对接源_01水果!$Q$5:$Q$507,0)),""),IFERROR(INDEX(对接源_02物料!$E$5:$E$460,MATCH(ROW()-3-N(对接源_01水果!$T$1),对接源_02物料!$Q$5:$Q$460,0)),"")))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7" s="70" t="str">
        <f aca="false">IF($B287="","",IF($B287="01水果",IFERROR(INDEX(对接源_01水果!$F$5:$F$507,MATCH(ROW()-3,对接源_01水果!$Q$5:$Q$507,0)),""),IFERROR(INDEX(对接源_02物料!$F$5:$F$460,MATCH(ROW()-3-N(对接源_01水果!$T$1),对接源_02物料!$Q$5:$Q$460,0)),"")))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7" s="70" t="str">
        <f aca="false">IF($B287="","",IF($B287="01水果",IFERROR(INDEX(对接源_01水果!$G$5:$G$507,MATCH(ROW()-3,对接源_01水果!$Q$5:$Q$507,0)),""),IFERROR(INDEX(对接源_02物料!$G$5:$G$460,MATCH(ROW()-3-N(对接源_01水果!$T$1),对接源_02物料!$Q$5:$Q$460,0)),"")))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7" s="67" t="str">
        <f aca="false">IF(OR($D287="客户应收",$D287="成品销售款",$D287="公司购买果品款",$D287="筐子销售款",$D287="物料销售款"),"客户往来",IFERROR(INDEX(收入成本映射!$C$4:$C$34,MATCH($D287,收入成本映射!$B$4:$B$34,0)),"不记账"))</f>
        <v>不记账</v>
      </c>
      <c r="J287" s="67" t="str">
        <f aca="false">IF($B287="","","0%")</f>
        <v/>
      </c>
      <c r="K287" s="70" t="n">
        <f aca="false">IF($I287="不记账",0,ROUND(N($G287),2))</f>
        <v>0</v>
      </c>
      <c r="L287" s="70" t="n">
        <v>0</v>
      </c>
      <c r="M287" s="67" t="str">
        <f aca="false">IF(OR($I287="不记账",ROUND(N($G287),2)=0),"",IFERROR(INDEX(收入成本映射!$E$4:$E$34,MATCH($D287,收入成本映射!$B$4:$B$34,0)),""))</f>
        <v/>
      </c>
      <c r="N287" s="70" t="str">
        <f aca="false">IF($M287="","",ROUND(N($G287),2))</f>
        <v/>
      </c>
      <c r="O287" s="70" t="str">
        <f aca="false">IF($M287="","",0)</f>
        <v/>
      </c>
      <c r="P287" s="67" t="str">
        <f aca="false">IF($M287="","",IFERROR(INDEX(收入成本映射!$F$4:$F$34,MATCH($D287,收入成本映射!$B$4:$B$34,0)),""))</f>
        <v/>
      </c>
      <c r="Q287" s="70" t="str">
        <f aca="false">IF($P287="","",0)</f>
        <v/>
      </c>
      <c r="R287" s="70" t="str">
        <f aca="false">IF($P287="","",ROUND(N($G287),2))</f>
        <v/>
      </c>
      <c r="S287" s="67" t="str">
        <f aca="false">""</f>
        <v/>
      </c>
      <c r="T287" s="70" t="str">
        <f aca="false">IF($S287="","",0)</f>
        <v/>
      </c>
      <c r="U287" s="70" t="str">
        <f aca="false">IF($S287="","",0)</f>
        <v/>
      </c>
      <c r="V287" s="66" t="str">
        <f aca="false">IF($B287="","",IF($B287="01水果",IFERROR(INDEX(对接源_01水果!$H$5:$H$507,MATCH(ROW()-3,对接源_01水果!$Q$5:$Q$507,0)),""),IFERROR(INDEX(对接源_02物料!$H$5:$H$460,MATCH(ROW()-3-N(对接源_01水果!$T$1),对接源_02物料!$Q$5:$Q$460,0)),"")))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8" customFormat="false" ht="18" hidden="false" customHeight="true" outlineLevel="0" collapsed="false">
      <c r="A288" s="66" t="n">
        <v>285</v>
      </c>
      <c r="B288" s="67" t="str">
        <f aca="false">IF(ROW()-3&lt;=N(对接源_01水果!$T$1),"01水果",IF(ROW()-3&lt;=N(对接源_01水果!$T$1)+N(对接源_02物料!$T$1),"02物料",""))</f>
        <v/>
      </c>
      <c r="C288" s="68" t="str">
        <f aca="false">IF($B288="","",IF($B288="01水果",IFERROR(INDEX(对接源_01水果!$B$5:$B$507,MATCH(ROW()-3,对接源_01水果!$Q$5:$Q$507,0)),""),IFERROR(INDEX(对接源_02物料!$B$5:$B$460,MATCH(ROW()-3-N(对接源_01水果!$T$1),对接源_02物料!$Q$5:$Q$460,0)),"")))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8" s="67" t="str">
        <f aca="false">IF($B288="","",IF($B288="01水果",IFERROR(INDEX(对接源_01水果!$C$5:$C$507,MATCH(ROW()-3,对接源_01水果!$Q$5:$Q$507,0)),""),IFERROR(INDEX(对接源_02物料!$C$5:$C$460,MATCH(ROW()-3-N(对接源_01水果!$T$1),对接源_02物料!$Q$5:$Q$460,0)),"")))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8" s="69" t="str">
        <f aca="false">IF($B288="","",IF($B288="01水果",IFERROR(INDEX(对接源_01水果!$D$5:$D$507,MATCH(ROW()-3,对接源_01水果!$Q$5:$Q$507,0)),""),IFERROR(INDEX(对接源_02物料!$D$5:$D$460,MATCH(ROW()-3-N(对接源_01水果!$T$1),对接源_02物料!$Q$5:$Q$460,0)),"")))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8" s="67" t="str">
        <f aca="false">IF($B288="","",IF($B288="01水果",IFERROR(INDEX(对接源_01水果!$E$5:$E$507,MATCH(ROW()-3,对接源_01水果!$Q$5:$Q$507,0)),""),IFERROR(INDEX(对接源_02物料!$E$5:$E$460,MATCH(ROW()-3-N(对接源_01水果!$T$1),对接源_02物料!$Q$5:$Q$460,0)),"")))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8" s="70" t="str">
        <f aca="false">IF($B288="","",IF($B288="01水果",IFERROR(INDEX(对接源_01水果!$F$5:$F$507,MATCH(ROW()-3,对接源_01水果!$Q$5:$Q$507,0)),""),IFERROR(INDEX(对接源_02物料!$F$5:$F$460,MATCH(ROW()-3-N(对接源_01水果!$T$1),对接源_02物料!$Q$5:$Q$460,0)),"")))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8" s="70" t="str">
        <f aca="false">IF($B288="","",IF($B288="01水果",IFERROR(INDEX(对接源_01水果!$G$5:$G$507,MATCH(ROW()-3,对接源_01水果!$Q$5:$Q$507,0)),""),IFERROR(INDEX(对接源_02物料!$G$5:$G$460,MATCH(ROW()-3-N(对接源_01水果!$T$1),对接源_02物料!$Q$5:$Q$460,0)),"")))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8" s="67" t="str">
        <f aca="false">IF(OR($D288="客户应收",$D288="成品销售款",$D288="公司购买果品款",$D288="筐子销售款",$D288="物料销售款"),"客户往来",IFERROR(INDEX(收入成本映射!$C$4:$C$34,MATCH($D288,收入成本映射!$B$4:$B$34,0)),"不记账"))</f>
        <v>不记账</v>
      </c>
      <c r="J288" s="67" t="str">
        <f aca="false">IF($B288="","","0%")</f>
        <v/>
      </c>
      <c r="K288" s="70" t="n">
        <f aca="false">IF($I288="不记账",0,ROUND(N($G288),2))</f>
        <v>0</v>
      </c>
      <c r="L288" s="70" t="n">
        <v>0</v>
      </c>
      <c r="M288" s="67" t="str">
        <f aca="false">IF(OR($I288="不记账",ROUND(N($G288),2)=0),"",IFERROR(INDEX(收入成本映射!$E$4:$E$34,MATCH($D288,收入成本映射!$B$4:$B$34,0)),""))</f>
        <v/>
      </c>
      <c r="N288" s="70" t="str">
        <f aca="false">IF($M288="","",ROUND(N($G288),2))</f>
        <v/>
      </c>
      <c r="O288" s="70" t="str">
        <f aca="false">IF($M288="","",0)</f>
        <v/>
      </c>
      <c r="P288" s="67" t="str">
        <f aca="false">IF($M288="","",IFERROR(INDEX(收入成本映射!$F$4:$F$34,MATCH($D288,收入成本映射!$B$4:$B$34,0)),""))</f>
        <v/>
      </c>
      <c r="Q288" s="70" t="str">
        <f aca="false">IF($P288="","",0)</f>
        <v/>
      </c>
      <c r="R288" s="70" t="str">
        <f aca="false">IF($P288="","",ROUND(N($G288),2))</f>
        <v/>
      </c>
      <c r="S288" s="67" t="str">
        <f aca="false">""</f>
        <v/>
      </c>
      <c r="T288" s="70" t="str">
        <f aca="false">IF($S288="","",0)</f>
        <v/>
      </c>
      <c r="U288" s="70" t="str">
        <f aca="false">IF($S288="","",0)</f>
        <v/>
      </c>
      <c r="V288" s="66" t="str">
        <f aca="false">IF($B288="","",IF($B288="01水果",IFERROR(INDEX(对接源_01水果!$H$5:$H$507,MATCH(ROW()-3,对接源_01水果!$Q$5:$Q$507,0)),""),IFERROR(INDEX(对接源_02物料!$H$5:$H$460,MATCH(ROW()-3-N(对接源_01水果!$T$1),对接源_02物料!$Q$5:$Q$460,0)),"")))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89" customFormat="false" ht="18" hidden="false" customHeight="true" outlineLevel="0" collapsed="false">
      <c r="A289" s="66" t="n">
        <v>286</v>
      </c>
      <c r="B289" s="67" t="str">
        <f aca="false">IF(ROW()-3&lt;=N(对接源_01水果!$T$1),"01水果",IF(ROW()-3&lt;=N(对接源_01水果!$T$1)+N(对接源_02物料!$T$1),"02物料",""))</f>
        <v/>
      </c>
      <c r="C289" s="68" t="str">
        <f aca="false">IF($B289="","",IF($B289="01水果",IFERROR(INDEX(对接源_01水果!$B$5:$B$507,MATCH(ROW()-3,对接源_01水果!$Q$5:$Q$507,0)),""),IFERROR(INDEX(对接源_02物料!$B$5:$B$460,MATCH(ROW()-3-N(对接源_01水果!$T$1),对接源_02物料!$Q$5:$Q$460,0)),"")))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89" s="67" t="str">
        <f aca="false">IF($B289="","",IF($B289="01水果",IFERROR(INDEX(对接源_01水果!$C$5:$C$507,MATCH(ROW()-3,对接源_01水果!$Q$5:$Q$507,0)),""),IFERROR(INDEX(对接源_02物料!$C$5:$C$460,MATCH(ROW()-3-N(对接源_01水果!$T$1),对接源_02物料!$Q$5:$Q$460,0)),"")))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89" s="69" t="str">
        <f aca="false">IF($B289="","",IF($B289="01水果",IFERROR(INDEX(对接源_01水果!$D$5:$D$507,MATCH(ROW()-3,对接源_01水果!$Q$5:$Q$507,0)),""),IFERROR(INDEX(对接源_02物料!$D$5:$D$460,MATCH(ROW()-3-N(对接源_01水果!$T$1),对接源_02物料!$Q$5:$Q$460,0)),"")))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89" s="67" t="str">
        <f aca="false">IF($B289="","",IF($B289="01水果",IFERROR(INDEX(对接源_01水果!$E$5:$E$507,MATCH(ROW()-3,对接源_01水果!$Q$5:$Q$507,0)),""),IFERROR(INDEX(对接源_02物料!$E$5:$E$460,MATCH(ROW()-3-N(对接源_01水果!$T$1),对接源_02物料!$Q$5:$Q$460,0)),"")))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89" s="70" t="str">
        <f aca="false">IF($B289="","",IF($B289="01水果",IFERROR(INDEX(对接源_01水果!$F$5:$F$507,MATCH(ROW()-3,对接源_01水果!$Q$5:$Q$507,0)),""),IFERROR(INDEX(对接源_02物料!$F$5:$F$460,MATCH(ROW()-3-N(对接源_01水果!$T$1),对接源_02物料!$Q$5:$Q$460,0)),"")))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89" s="70" t="str">
        <f aca="false">IF($B289="","",IF($B289="01水果",IFERROR(INDEX(对接源_01水果!$G$5:$G$507,MATCH(ROW()-3,对接源_01水果!$Q$5:$Q$507,0)),""),IFERROR(INDEX(对接源_02物料!$G$5:$G$460,MATCH(ROW()-3-N(对接源_01水果!$T$1),对接源_02物料!$Q$5:$Q$460,0)),"")))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89" s="67" t="str">
        <f aca="false">IF(OR($D289="客户应收",$D289="成品销售款",$D289="公司购买果品款",$D289="筐子销售款",$D289="物料销售款"),"客户往来",IFERROR(INDEX(收入成本映射!$C$4:$C$34,MATCH($D289,收入成本映射!$B$4:$B$34,0)),"不记账"))</f>
        <v>不记账</v>
      </c>
      <c r="J289" s="67" t="str">
        <f aca="false">IF($B289="","","0%")</f>
        <v/>
      </c>
      <c r="K289" s="70" t="n">
        <f aca="false">IF($I289="不记账",0,ROUND(N($G289),2))</f>
        <v>0</v>
      </c>
      <c r="L289" s="70" t="n">
        <v>0</v>
      </c>
      <c r="M289" s="67" t="str">
        <f aca="false">IF(OR($I289="不记账",ROUND(N($G289),2)=0),"",IFERROR(INDEX(收入成本映射!$E$4:$E$34,MATCH($D289,收入成本映射!$B$4:$B$34,0)),""))</f>
        <v/>
      </c>
      <c r="N289" s="70" t="str">
        <f aca="false">IF($M289="","",ROUND(N($G289),2))</f>
        <v/>
      </c>
      <c r="O289" s="70" t="str">
        <f aca="false">IF($M289="","",0)</f>
        <v/>
      </c>
      <c r="P289" s="67" t="str">
        <f aca="false">IF($M289="","",IFERROR(INDEX(收入成本映射!$F$4:$F$34,MATCH($D289,收入成本映射!$B$4:$B$34,0)),""))</f>
        <v/>
      </c>
      <c r="Q289" s="70" t="str">
        <f aca="false">IF($P289="","",0)</f>
        <v/>
      </c>
      <c r="R289" s="70" t="str">
        <f aca="false">IF($P289="","",ROUND(N($G289),2))</f>
        <v/>
      </c>
      <c r="S289" s="67" t="str">
        <f aca="false">""</f>
        <v/>
      </c>
      <c r="T289" s="70" t="str">
        <f aca="false">IF($S289="","",0)</f>
        <v/>
      </c>
      <c r="U289" s="70" t="str">
        <f aca="false">IF($S289="","",0)</f>
        <v/>
      </c>
      <c r="V289" s="66" t="str">
        <f aca="false">IF($B289="","",IF($B289="01水果",IFERROR(INDEX(对接源_01水果!$H$5:$H$507,MATCH(ROW()-3,对接源_01水果!$Q$5:$Q$507,0)),""),IFERROR(INDEX(对接源_02物料!$H$5:$H$460,MATCH(ROW()-3-N(对接源_01水果!$T$1),对接源_02物料!$Q$5:$Q$460,0)),"")))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0" customFormat="false" ht="18" hidden="false" customHeight="true" outlineLevel="0" collapsed="false">
      <c r="A290" s="66" t="n">
        <v>287</v>
      </c>
      <c r="B290" s="67" t="str">
        <f aca="false">IF(ROW()-3&lt;=N(对接源_01水果!$T$1),"01水果",IF(ROW()-3&lt;=N(对接源_01水果!$T$1)+N(对接源_02物料!$T$1),"02物料",""))</f>
        <v/>
      </c>
      <c r="C290" s="68" t="str">
        <f aca="false">IF($B290="","",IF($B290="01水果",IFERROR(INDEX(对接源_01水果!$B$5:$B$507,MATCH(ROW()-3,对接源_01水果!$Q$5:$Q$507,0)),""),IFERROR(INDEX(对接源_02物料!$B$5:$B$460,MATCH(ROW()-3-N(对接源_01水果!$T$1),对接源_02物料!$Q$5:$Q$460,0)),"")))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0" s="67" t="str">
        <f aca="false">IF($B290="","",IF($B290="01水果",IFERROR(INDEX(对接源_01水果!$C$5:$C$507,MATCH(ROW()-3,对接源_01水果!$Q$5:$Q$507,0)),""),IFERROR(INDEX(对接源_02物料!$C$5:$C$460,MATCH(ROW()-3-N(对接源_01水果!$T$1),对接源_02物料!$Q$5:$Q$460,0)),"")))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0" s="69" t="str">
        <f aca="false">IF($B290="","",IF($B290="01水果",IFERROR(INDEX(对接源_01水果!$D$5:$D$507,MATCH(ROW()-3,对接源_01水果!$Q$5:$Q$507,0)),""),IFERROR(INDEX(对接源_02物料!$D$5:$D$460,MATCH(ROW()-3-N(对接源_01水果!$T$1),对接源_02物料!$Q$5:$Q$460,0)),"")))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0" s="67" t="str">
        <f aca="false">IF($B290="","",IF($B290="01水果",IFERROR(INDEX(对接源_01水果!$E$5:$E$507,MATCH(ROW()-3,对接源_01水果!$Q$5:$Q$507,0)),""),IFERROR(INDEX(对接源_02物料!$E$5:$E$460,MATCH(ROW()-3-N(对接源_01水果!$T$1),对接源_02物料!$Q$5:$Q$460,0)),"")))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0" s="70" t="str">
        <f aca="false">IF($B290="","",IF($B290="01水果",IFERROR(INDEX(对接源_01水果!$F$5:$F$507,MATCH(ROW()-3,对接源_01水果!$Q$5:$Q$507,0)),""),IFERROR(INDEX(对接源_02物料!$F$5:$F$460,MATCH(ROW()-3-N(对接源_01水果!$T$1),对接源_02物料!$Q$5:$Q$460,0)),"")))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0" s="70" t="str">
        <f aca="false">IF($B290="","",IF($B290="01水果",IFERROR(INDEX(对接源_01水果!$G$5:$G$507,MATCH(ROW()-3,对接源_01水果!$Q$5:$Q$507,0)),""),IFERROR(INDEX(对接源_02物料!$G$5:$G$460,MATCH(ROW()-3-N(对接源_01水果!$T$1),对接源_02物料!$Q$5:$Q$460,0)),"")))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0" s="67" t="str">
        <f aca="false">IF(OR($D290="客户应收",$D290="成品销售款",$D290="公司购买果品款",$D290="筐子销售款",$D290="物料销售款"),"客户往来",IFERROR(INDEX(收入成本映射!$C$4:$C$34,MATCH($D290,收入成本映射!$B$4:$B$34,0)),"不记账"))</f>
        <v>不记账</v>
      </c>
      <c r="J290" s="67" t="str">
        <f aca="false">IF($B290="","","0%")</f>
        <v/>
      </c>
      <c r="K290" s="70" t="n">
        <f aca="false">IF($I290="不记账",0,ROUND(N($G290),2))</f>
        <v>0</v>
      </c>
      <c r="L290" s="70" t="n">
        <v>0</v>
      </c>
      <c r="M290" s="67" t="str">
        <f aca="false">IF(OR($I290="不记账",ROUND(N($G290),2)=0),"",IFERROR(INDEX(收入成本映射!$E$4:$E$34,MATCH($D290,收入成本映射!$B$4:$B$34,0)),""))</f>
        <v/>
      </c>
      <c r="N290" s="70" t="str">
        <f aca="false">IF($M290="","",ROUND(N($G290),2))</f>
        <v/>
      </c>
      <c r="O290" s="70" t="str">
        <f aca="false">IF($M290="","",0)</f>
        <v/>
      </c>
      <c r="P290" s="67" t="str">
        <f aca="false">IF($M290="","",IFERROR(INDEX(收入成本映射!$F$4:$F$34,MATCH($D290,收入成本映射!$B$4:$B$34,0)),""))</f>
        <v/>
      </c>
      <c r="Q290" s="70" t="str">
        <f aca="false">IF($P290="","",0)</f>
        <v/>
      </c>
      <c r="R290" s="70" t="str">
        <f aca="false">IF($P290="","",ROUND(N($G290),2))</f>
        <v/>
      </c>
      <c r="S290" s="67" t="str">
        <f aca="false">""</f>
        <v/>
      </c>
      <c r="T290" s="70" t="str">
        <f aca="false">IF($S290="","",0)</f>
        <v/>
      </c>
      <c r="U290" s="70" t="str">
        <f aca="false">IF($S290="","",0)</f>
        <v/>
      </c>
      <c r="V290" s="66" t="str">
        <f aca="false">IF($B290="","",IF($B290="01水果",IFERROR(INDEX(对接源_01水果!$H$5:$H$507,MATCH(ROW()-3,对接源_01水果!$Q$5:$Q$507,0)),""),IFERROR(INDEX(对接源_02物料!$H$5:$H$460,MATCH(ROW()-3-N(对接源_01水果!$T$1),对接源_02物料!$Q$5:$Q$460,0)),"")))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1" customFormat="false" ht="18" hidden="false" customHeight="true" outlineLevel="0" collapsed="false">
      <c r="A291" s="66" t="n">
        <v>288</v>
      </c>
      <c r="B291" s="67" t="str">
        <f aca="false">IF(ROW()-3&lt;=N(对接源_01水果!$T$1),"01水果",IF(ROW()-3&lt;=N(对接源_01水果!$T$1)+N(对接源_02物料!$T$1),"02物料",""))</f>
        <v/>
      </c>
      <c r="C291" s="68" t="str">
        <f aca="false">IF($B291="","",IF($B291="01水果",IFERROR(INDEX(对接源_01水果!$B$5:$B$507,MATCH(ROW()-3,对接源_01水果!$Q$5:$Q$507,0)),""),IFERROR(INDEX(对接源_02物料!$B$5:$B$460,MATCH(ROW()-3-N(对接源_01水果!$T$1),对接源_02物料!$Q$5:$Q$460,0)),"")))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1" s="67" t="str">
        <f aca="false">IF($B291="","",IF($B291="01水果",IFERROR(INDEX(对接源_01水果!$C$5:$C$507,MATCH(ROW()-3,对接源_01水果!$Q$5:$Q$507,0)),""),IFERROR(INDEX(对接源_02物料!$C$5:$C$460,MATCH(ROW()-3-N(对接源_01水果!$T$1),对接源_02物料!$Q$5:$Q$460,0)),"")))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1" s="69" t="str">
        <f aca="false">IF($B291="","",IF($B291="01水果",IFERROR(INDEX(对接源_01水果!$D$5:$D$507,MATCH(ROW()-3,对接源_01水果!$Q$5:$Q$507,0)),""),IFERROR(INDEX(对接源_02物料!$D$5:$D$460,MATCH(ROW()-3-N(对接源_01水果!$T$1),对接源_02物料!$Q$5:$Q$460,0)),"")))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1" s="67" t="str">
        <f aca="false">IF($B291="","",IF($B291="01水果",IFERROR(INDEX(对接源_01水果!$E$5:$E$507,MATCH(ROW()-3,对接源_01水果!$Q$5:$Q$507,0)),""),IFERROR(INDEX(对接源_02物料!$E$5:$E$460,MATCH(ROW()-3-N(对接源_01水果!$T$1),对接源_02物料!$Q$5:$Q$460,0)),"")))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1" s="70" t="str">
        <f aca="false">IF($B291="","",IF($B291="01水果",IFERROR(INDEX(对接源_01水果!$F$5:$F$507,MATCH(ROW()-3,对接源_01水果!$Q$5:$Q$507,0)),""),IFERROR(INDEX(对接源_02物料!$F$5:$F$460,MATCH(ROW()-3-N(对接源_01水果!$T$1),对接源_02物料!$Q$5:$Q$460,0)),"")))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1" s="70" t="str">
        <f aca="false">IF($B291="","",IF($B291="01水果",IFERROR(INDEX(对接源_01水果!$G$5:$G$507,MATCH(ROW()-3,对接源_01水果!$Q$5:$Q$507,0)),""),IFERROR(INDEX(对接源_02物料!$G$5:$G$460,MATCH(ROW()-3-N(对接源_01水果!$T$1),对接源_02物料!$Q$5:$Q$460,0)),"")))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1" s="67" t="str">
        <f aca="false">IF(OR($D291="客户应收",$D291="成品销售款",$D291="公司购买果品款",$D291="筐子销售款",$D291="物料销售款"),"客户往来",IFERROR(INDEX(收入成本映射!$C$4:$C$34,MATCH($D291,收入成本映射!$B$4:$B$34,0)),"不记账"))</f>
        <v>不记账</v>
      </c>
      <c r="J291" s="67" t="str">
        <f aca="false">IF($B291="","","0%")</f>
        <v/>
      </c>
      <c r="K291" s="70" t="n">
        <f aca="false">IF($I291="不记账",0,ROUND(N($G291),2))</f>
        <v>0</v>
      </c>
      <c r="L291" s="70" t="n">
        <v>0</v>
      </c>
      <c r="M291" s="67" t="str">
        <f aca="false">IF(OR($I291="不记账",ROUND(N($G291),2)=0),"",IFERROR(INDEX(收入成本映射!$E$4:$E$34,MATCH($D291,收入成本映射!$B$4:$B$34,0)),""))</f>
        <v/>
      </c>
      <c r="N291" s="70" t="str">
        <f aca="false">IF($M291="","",ROUND(N($G291),2))</f>
        <v/>
      </c>
      <c r="O291" s="70" t="str">
        <f aca="false">IF($M291="","",0)</f>
        <v/>
      </c>
      <c r="P291" s="67" t="str">
        <f aca="false">IF($M291="","",IFERROR(INDEX(收入成本映射!$F$4:$F$34,MATCH($D291,收入成本映射!$B$4:$B$34,0)),""))</f>
        <v/>
      </c>
      <c r="Q291" s="70" t="str">
        <f aca="false">IF($P291="","",0)</f>
        <v/>
      </c>
      <c r="R291" s="70" t="str">
        <f aca="false">IF($P291="","",ROUND(N($G291),2))</f>
        <v/>
      </c>
      <c r="S291" s="67" t="str">
        <f aca="false">""</f>
        <v/>
      </c>
      <c r="T291" s="70" t="str">
        <f aca="false">IF($S291="","",0)</f>
        <v/>
      </c>
      <c r="U291" s="70" t="str">
        <f aca="false">IF($S291="","",0)</f>
        <v/>
      </c>
      <c r="V291" s="66" t="str">
        <f aca="false">IF($B291="","",IF($B291="01水果",IFERROR(INDEX(对接源_01水果!$H$5:$H$507,MATCH(ROW()-3,对接源_01水果!$Q$5:$Q$507,0)),""),IFERROR(INDEX(对接源_02物料!$H$5:$H$460,MATCH(ROW()-3-N(对接源_01水果!$T$1),对接源_02物料!$Q$5:$Q$460,0)),"")))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2" customFormat="false" ht="18" hidden="false" customHeight="true" outlineLevel="0" collapsed="false">
      <c r="A292" s="66" t="n">
        <v>289</v>
      </c>
      <c r="B292" s="67" t="str">
        <f aca="false">IF(ROW()-3&lt;=N(对接源_01水果!$T$1),"01水果",IF(ROW()-3&lt;=N(对接源_01水果!$T$1)+N(对接源_02物料!$T$1),"02物料",""))</f>
        <v/>
      </c>
      <c r="C292" s="68" t="str">
        <f aca="false">IF($B292="","",IF($B292="01水果",IFERROR(INDEX(对接源_01水果!$B$5:$B$507,MATCH(ROW()-3,对接源_01水果!$Q$5:$Q$507,0)),""),IFERROR(INDEX(对接源_02物料!$B$5:$B$460,MATCH(ROW()-3-N(对接源_01水果!$T$1),对接源_02物料!$Q$5:$Q$460,0)),"")))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2" s="67" t="str">
        <f aca="false">IF($B292="","",IF($B292="01水果",IFERROR(INDEX(对接源_01水果!$C$5:$C$507,MATCH(ROW()-3,对接源_01水果!$Q$5:$Q$507,0)),""),IFERROR(INDEX(对接源_02物料!$C$5:$C$460,MATCH(ROW()-3-N(对接源_01水果!$T$1),对接源_02物料!$Q$5:$Q$460,0)),"")))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2" s="69" t="str">
        <f aca="false">IF($B292="","",IF($B292="01水果",IFERROR(INDEX(对接源_01水果!$D$5:$D$507,MATCH(ROW()-3,对接源_01水果!$Q$5:$Q$507,0)),""),IFERROR(INDEX(对接源_02物料!$D$5:$D$460,MATCH(ROW()-3-N(对接源_01水果!$T$1),对接源_02物料!$Q$5:$Q$460,0)),"")))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2" s="67" t="str">
        <f aca="false">IF($B292="","",IF($B292="01水果",IFERROR(INDEX(对接源_01水果!$E$5:$E$507,MATCH(ROW()-3,对接源_01水果!$Q$5:$Q$507,0)),""),IFERROR(INDEX(对接源_02物料!$E$5:$E$460,MATCH(ROW()-3-N(对接源_01水果!$T$1),对接源_02物料!$Q$5:$Q$460,0)),"")))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2" s="70" t="str">
        <f aca="false">IF($B292="","",IF($B292="01水果",IFERROR(INDEX(对接源_01水果!$F$5:$F$507,MATCH(ROW()-3,对接源_01水果!$Q$5:$Q$507,0)),""),IFERROR(INDEX(对接源_02物料!$F$5:$F$460,MATCH(ROW()-3-N(对接源_01水果!$T$1),对接源_02物料!$Q$5:$Q$460,0)),"")))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2" s="70" t="str">
        <f aca="false">IF($B292="","",IF($B292="01水果",IFERROR(INDEX(对接源_01水果!$G$5:$G$507,MATCH(ROW()-3,对接源_01水果!$Q$5:$Q$507,0)),""),IFERROR(INDEX(对接源_02物料!$G$5:$G$460,MATCH(ROW()-3-N(对接源_01水果!$T$1),对接源_02物料!$Q$5:$Q$460,0)),"")))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2" s="67" t="str">
        <f aca="false">IF(OR($D292="客户应收",$D292="成品销售款",$D292="公司购买果品款",$D292="筐子销售款",$D292="物料销售款"),"客户往来",IFERROR(INDEX(收入成本映射!$C$4:$C$34,MATCH($D292,收入成本映射!$B$4:$B$34,0)),"不记账"))</f>
        <v>不记账</v>
      </c>
      <c r="J292" s="67" t="str">
        <f aca="false">IF($B292="","","0%")</f>
        <v/>
      </c>
      <c r="K292" s="70" t="n">
        <f aca="false">IF($I292="不记账",0,ROUND(N($G292),2))</f>
        <v>0</v>
      </c>
      <c r="L292" s="70" t="n">
        <v>0</v>
      </c>
      <c r="M292" s="67" t="str">
        <f aca="false">IF(OR($I292="不记账",ROUND(N($G292),2)=0),"",IFERROR(INDEX(收入成本映射!$E$4:$E$34,MATCH($D292,收入成本映射!$B$4:$B$34,0)),""))</f>
        <v/>
      </c>
      <c r="N292" s="70" t="str">
        <f aca="false">IF($M292="","",ROUND(N($G292),2))</f>
        <v/>
      </c>
      <c r="O292" s="70" t="str">
        <f aca="false">IF($M292="","",0)</f>
        <v/>
      </c>
      <c r="P292" s="67" t="str">
        <f aca="false">IF($M292="","",IFERROR(INDEX(收入成本映射!$F$4:$F$34,MATCH($D292,收入成本映射!$B$4:$B$34,0)),""))</f>
        <v/>
      </c>
      <c r="Q292" s="70" t="str">
        <f aca="false">IF($P292="","",0)</f>
        <v/>
      </c>
      <c r="R292" s="70" t="str">
        <f aca="false">IF($P292="","",ROUND(N($G292),2))</f>
        <v/>
      </c>
      <c r="S292" s="67" t="str">
        <f aca="false">""</f>
        <v/>
      </c>
      <c r="T292" s="70" t="str">
        <f aca="false">IF($S292="","",0)</f>
        <v/>
      </c>
      <c r="U292" s="70" t="str">
        <f aca="false">IF($S292="","",0)</f>
        <v/>
      </c>
      <c r="V292" s="66" t="str">
        <f aca="false">IF($B292="","",IF($B292="01水果",IFERROR(INDEX(对接源_01水果!$H$5:$H$507,MATCH(ROW()-3,对接源_01水果!$Q$5:$Q$507,0)),""),IFERROR(INDEX(对接源_02物料!$H$5:$H$460,MATCH(ROW()-3-N(对接源_01水果!$T$1),对接源_02物料!$Q$5:$Q$460,0)),"")))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3" customFormat="false" ht="18" hidden="false" customHeight="true" outlineLevel="0" collapsed="false">
      <c r="A293" s="66" t="n">
        <v>290</v>
      </c>
      <c r="B293" s="67" t="str">
        <f aca="false">IF(ROW()-3&lt;=N(对接源_01水果!$T$1),"01水果",IF(ROW()-3&lt;=N(对接源_01水果!$T$1)+N(对接源_02物料!$T$1),"02物料",""))</f>
        <v/>
      </c>
      <c r="C293" s="68" t="str">
        <f aca="false">IF($B293="","",IF($B293="01水果",IFERROR(INDEX(对接源_01水果!$B$5:$B$507,MATCH(ROW()-3,对接源_01水果!$Q$5:$Q$507,0)),""),IFERROR(INDEX(对接源_02物料!$B$5:$B$460,MATCH(ROW()-3-N(对接源_01水果!$T$1),对接源_02物料!$Q$5:$Q$460,0)),"")))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3" s="67" t="str">
        <f aca="false">IF($B293="","",IF($B293="01水果",IFERROR(INDEX(对接源_01水果!$C$5:$C$507,MATCH(ROW()-3,对接源_01水果!$Q$5:$Q$507,0)),""),IFERROR(INDEX(对接源_02物料!$C$5:$C$460,MATCH(ROW()-3-N(对接源_01水果!$T$1),对接源_02物料!$Q$5:$Q$460,0)),"")))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3" s="69" t="str">
        <f aca="false">IF($B293="","",IF($B293="01水果",IFERROR(INDEX(对接源_01水果!$D$5:$D$507,MATCH(ROW()-3,对接源_01水果!$Q$5:$Q$507,0)),""),IFERROR(INDEX(对接源_02物料!$D$5:$D$460,MATCH(ROW()-3-N(对接源_01水果!$T$1),对接源_02物料!$Q$5:$Q$460,0)),"")))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3" s="67" t="str">
        <f aca="false">IF($B293="","",IF($B293="01水果",IFERROR(INDEX(对接源_01水果!$E$5:$E$507,MATCH(ROW()-3,对接源_01水果!$Q$5:$Q$507,0)),""),IFERROR(INDEX(对接源_02物料!$E$5:$E$460,MATCH(ROW()-3-N(对接源_01水果!$T$1),对接源_02物料!$Q$5:$Q$460,0)),"")))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3" s="70" t="str">
        <f aca="false">IF($B293="","",IF($B293="01水果",IFERROR(INDEX(对接源_01水果!$F$5:$F$507,MATCH(ROW()-3,对接源_01水果!$Q$5:$Q$507,0)),""),IFERROR(INDEX(对接源_02物料!$F$5:$F$460,MATCH(ROW()-3-N(对接源_01水果!$T$1),对接源_02物料!$Q$5:$Q$460,0)),"")))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3" s="70" t="str">
        <f aca="false">IF($B293="","",IF($B293="01水果",IFERROR(INDEX(对接源_01水果!$G$5:$G$507,MATCH(ROW()-3,对接源_01水果!$Q$5:$Q$507,0)),""),IFERROR(INDEX(对接源_02物料!$G$5:$G$460,MATCH(ROW()-3-N(对接源_01水果!$T$1),对接源_02物料!$Q$5:$Q$460,0)),"")))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3" s="67" t="str">
        <f aca="false">IF(OR($D293="客户应收",$D293="成品销售款",$D293="公司购买果品款",$D293="筐子销售款",$D293="物料销售款"),"客户往来",IFERROR(INDEX(收入成本映射!$C$4:$C$34,MATCH($D293,收入成本映射!$B$4:$B$34,0)),"不记账"))</f>
        <v>不记账</v>
      </c>
      <c r="J293" s="67" t="str">
        <f aca="false">IF($B293="","","0%")</f>
        <v/>
      </c>
      <c r="K293" s="70" t="n">
        <f aca="false">IF($I293="不记账",0,ROUND(N($G293),2))</f>
        <v>0</v>
      </c>
      <c r="L293" s="70" t="n">
        <v>0</v>
      </c>
      <c r="M293" s="67" t="str">
        <f aca="false">IF(OR($I293="不记账",ROUND(N($G293),2)=0),"",IFERROR(INDEX(收入成本映射!$E$4:$E$34,MATCH($D293,收入成本映射!$B$4:$B$34,0)),""))</f>
        <v/>
      </c>
      <c r="N293" s="70" t="str">
        <f aca="false">IF($M293="","",ROUND(N($G293),2))</f>
        <v/>
      </c>
      <c r="O293" s="70" t="str">
        <f aca="false">IF($M293="","",0)</f>
        <v/>
      </c>
      <c r="P293" s="67" t="str">
        <f aca="false">IF($M293="","",IFERROR(INDEX(收入成本映射!$F$4:$F$34,MATCH($D293,收入成本映射!$B$4:$B$34,0)),""))</f>
        <v/>
      </c>
      <c r="Q293" s="70" t="str">
        <f aca="false">IF($P293="","",0)</f>
        <v/>
      </c>
      <c r="R293" s="70" t="str">
        <f aca="false">IF($P293="","",ROUND(N($G293),2))</f>
        <v/>
      </c>
      <c r="S293" s="67" t="str">
        <f aca="false">""</f>
        <v/>
      </c>
      <c r="T293" s="70" t="str">
        <f aca="false">IF($S293="","",0)</f>
        <v/>
      </c>
      <c r="U293" s="70" t="str">
        <f aca="false">IF($S293="","",0)</f>
        <v/>
      </c>
      <c r="V293" s="66" t="str">
        <f aca="false">IF($B293="","",IF($B293="01水果",IFERROR(INDEX(对接源_01水果!$H$5:$H$507,MATCH(ROW()-3,对接源_01水果!$Q$5:$Q$507,0)),""),IFERROR(INDEX(对接源_02物料!$H$5:$H$460,MATCH(ROW()-3-N(对接源_01水果!$T$1),对接源_02物料!$Q$5:$Q$460,0)),"")))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4" customFormat="false" ht="18" hidden="false" customHeight="true" outlineLevel="0" collapsed="false">
      <c r="A294" s="66" t="n">
        <v>291</v>
      </c>
      <c r="B294" s="67" t="str">
        <f aca="false">IF(ROW()-3&lt;=N(对接源_01水果!$T$1),"01水果",IF(ROW()-3&lt;=N(对接源_01水果!$T$1)+N(对接源_02物料!$T$1),"02物料",""))</f>
        <v/>
      </c>
      <c r="C294" s="68" t="str">
        <f aca="false">IF($B294="","",IF($B294="01水果",IFERROR(INDEX(对接源_01水果!$B$5:$B$507,MATCH(ROW()-3,对接源_01水果!$Q$5:$Q$507,0)),""),IFERROR(INDEX(对接源_02物料!$B$5:$B$460,MATCH(ROW()-3-N(对接源_01水果!$T$1),对接源_02物料!$Q$5:$Q$460,0)),"")))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4" s="67" t="str">
        <f aca="false">IF($B294="","",IF($B294="01水果",IFERROR(INDEX(对接源_01水果!$C$5:$C$507,MATCH(ROW()-3,对接源_01水果!$Q$5:$Q$507,0)),""),IFERROR(INDEX(对接源_02物料!$C$5:$C$460,MATCH(ROW()-3-N(对接源_01水果!$T$1),对接源_02物料!$Q$5:$Q$460,0)),"")))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4" s="69" t="str">
        <f aca="false">IF($B294="","",IF($B294="01水果",IFERROR(INDEX(对接源_01水果!$D$5:$D$507,MATCH(ROW()-3,对接源_01水果!$Q$5:$Q$507,0)),""),IFERROR(INDEX(对接源_02物料!$D$5:$D$460,MATCH(ROW()-3-N(对接源_01水果!$T$1),对接源_02物料!$Q$5:$Q$460,0)),"")))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4" s="67" t="str">
        <f aca="false">IF($B294="","",IF($B294="01水果",IFERROR(INDEX(对接源_01水果!$E$5:$E$507,MATCH(ROW()-3,对接源_01水果!$Q$5:$Q$507,0)),""),IFERROR(INDEX(对接源_02物料!$E$5:$E$460,MATCH(ROW()-3-N(对接源_01水果!$T$1),对接源_02物料!$Q$5:$Q$460,0)),"")))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4" s="70" t="str">
        <f aca="false">IF($B294="","",IF($B294="01水果",IFERROR(INDEX(对接源_01水果!$F$5:$F$507,MATCH(ROW()-3,对接源_01水果!$Q$5:$Q$507,0)),""),IFERROR(INDEX(对接源_02物料!$F$5:$F$460,MATCH(ROW()-3-N(对接源_01水果!$T$1),对接源_02物料!$Q$5:$Q$460,0)),"")))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4" s="70" t="str">
        <f aca="false">IF($B294="","",IF($B294="01水果",IFERROR(INDEX(对接源_01水果!$G$5:$G$507,MATCH(ROW()-3,对接源_01水果!$Q$5:$Q$507,0)),""),IFERROR(INDEX(对接源_02物料!$G$5:$G$460,MATCH(ROW()-3-N(对接源_01水果!$T$1),对接源_02物料!$Q$5:$Q$460,0)),"")))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4" s="67" t="str">
        <f aca="false">IF(OR($D294="客户应收",$D294="成品销售款",$D294="公司购买果品款",$D294="筐子销售款",$D294="物料销售款"),"客户往来",IFERROR(INDEX(收入成本映射!$C$4:$C$34,MATCH($D294,收入成本映射!$B$4:$B$34,0)),"不记账"))</f>
        <v>不记账</v>
      </c>
      <c r="J294" s="67" t="str">
        <f aca="false">IF($B294="","","0%")</f>
        <v/>
      </c>
      <c r="K294" s="70" t="n">
        <f aca="false">IF($I294="不记账",0,ROUND(N($G294),2))</f>
        <v>0</v>
      </c>
      <c r="L294" s="70" t="n">
        <v>0</v>
      </c>
      <c r="M294" s="67" t="str">
        <f aca="false">IF(OR($I294="不记账",ROUND(N($G294),2)=0),"",IFERROR(INDEX(收入成本映射!$E$4:$E$34,MATCH($D294,收入成本映射!$B$4:$B$34,0)),""))</f>
        <v/>
      </c>
      <c r="N294" s="70" t="str">
        <f aca="false">IF($M294="","",ROUND(N($G294),2))</f>
        <v/>
      </c>
      <c r="O294" s="70" t="str">
        <f aca="false">IF($M294="","",0)</f>
        <v/>
      </c>
      <c r="P294" s="67" t="str">
        <f aca="false">IF($M294="","",IFERROR(INDEX(收入成本映射!$F$4:$F$34,MATCH($D294,收入成本映射!$B$4:$B$34,0)),""))</f>
        <v/>
      </c>
      <c r="Q294" s="70" t="str">
        <f aca="false">IF($P294="","",0)</f>
        <v/>
      </c>
      <c r="R294" s="70" t="str">
        <f aca="false">IF($P294="","",ROUND(N($G294),2))</f>
        <v/>
      </c>
      <c r="S294" s="67" t="str">
        <f aca="false">""</f>
        <v/>
      </c>
      <c r="T294" s="70" t="str">
        <f aca="false">IF($S294="","",0)</f>
        <v/>
      </c>
      <c r="U294" s="70" t="str">
        <f aca="false">IF($S294="","",0)</f>
        <v/>
      </c>
      <c r="V294" s="66" t="str">
        <f aca="false">IF($B294="","",IF($B294="01水果",IFERROR(INDEX(对接源_01水果!$H$5:$H$507,MATCH(ROW()-3,对接源_01水果!$Q$5:$Q$507,0)),""),IFERROR(INDEX(对接源_02物料!$H$5:$H$460,MATCH(ROW()-3-N(对接源_01水果!$T$1),对接源_02物料!$Q$5:$Q$460,0)),"")))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5" customFormat="false" ht="18" hidden="false" customHeight="true" outlineLevel="0" collapsed="false">
      <c r="A295" s="66" t="n">
        <v>292</v>
      </c>
      <c r="B295" s="67" t="str">
        <f aca="false">IF(ROW()-3&lt;=N(对接源_01水果!$T$1),"01水果",IF(ROW()-3&lt;=N(对接源_01水果!$T$1)+N(对接源_02物料!$T$1),"02物料",""))</f>
        <v/>
      </c>
      <c r="C295" s="68" t="str">
        <f aca="false">IF($B295="","",IF($B295="01水果",IFERROR(INDEX(对接源_01水果!$B$5:$B$507,MATCH(ROW()-3,对接源_01水果!$Q$5:$Q$507,0)),""),IFERROR(INDEX(对接源_02物料!$B$5:$B$460,MATCH(ROW()-3-N(对接源_01水果!$T$1),对接源_02物料!$Q$5:$Q$460,0)),"")))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5" s="67" t="str">
        <f aca="false">IF($B295="","",IF($B295="01水果",IFERROR(INDEX(对接源_01水果!$C$5:$C$507,MATCH(ROW()-3,对接源_01水果!$Q$5:$Q$507,0)),""),IFERROR(INDEX(对接源_02物料!$C$5:$C$460,MATCH(ROW()-3-N(对接源_01水果!$T$1),对接源_02物料!$Q$5:$Q$460,0)),"")))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5" s="69" t="str">
        <f aca="false">IF($B295="","",IF($B295="01水果",IFERROR(INDEX(对接源_01水果!$D$5:$D$507,MATCH(ROW()-3,对接源_01水果!$Q$5:$Q$507,0)),""),IFERROR(INDEX(对接源_02物料!$D$5:$D$460,MATCH(ROW()-3-N(对接源_01水果!$T$1),对接源_02物料!$Q$5:$Q$460,0)),"")))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5" s="67" t="str">
        <f aca="false">IF($B295="","",IF($B295="01水果",IFERROR(INDEX(对接源_01水果!$E$5:$E$507,MATCH(ROW()-3,对接源_01水果!$Q$5:$Q$507,0)),""),IFERROR(INDEX(对接源_02物料!$E$5:$E$460,MATCH(ROW()-3-N(对接源_01水果!$T$1),对接源_02物料!$Q$5:$Q$460,0)),"")))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5" s="70" t="str">
        <f aca="false">IF($B295="","",IF($B295="01水果",IFERROR(INDEX(对接源_01水果!$F$5:$F$507,MATCH(ROW()-3,对接源_01水果!$Q$5:$Q$507,0)),""),IFERROR(INDEX(对接源_02物料!$F$5:$F$460,MATCH(ROW()-3-N(对接源_01水果!$T$1),对接源_02物料!$Q$5:$Q$460,0)),"")))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5" s="70" t="str">
        <f aca="false">IF($B295="","",IF($B295="01水果",IFERROR(INDEX(对接源_01水果!$G$5:$G$507,MATCH(ROW()-3,对接源_01水果!$Q$5:$Q$507,0)),""),IFERROR(INDEX(对接源_02物料!$G$5:$G$460,MATCH(ROW()-3-N(对接源_01水果!$T$1),对接源_02物料!$Q$5:$Q$460,0)),"")))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5" s="67" t="str">
        <f aca="false">IF(OR($D295="客户应收",$D295="成品销售款",$D295="公司购买果品款",$D295="筐子销售款",$D295="物料销售款"),"客户往来",IFERROR(INDEX(收入成本映射!$C$4:$C$34,MATCH($D295,收入成本映射!$B$4:$B$34,0)),"不记账"))</f>
        <v>不记账</v>
      </c>
      <c r="J295" s="67" t="str">
        <f aca="false">IF($B295="","","0%")</f>
        <v/>
      </c>
      <c r="K295" s="70" t="n">
        <f aca="false">IF($I295="不记账",0,ROUND(N($G295),2))</f>
        <v>0</v>
      </c>
      <c r="L295" s="70" t="n">
        <v>0</v>
      </c>
      <c r="M295" s="67" t="str">
        <f aca="false">IF(OR($I295="不记账",ROUND(N($G295),2)=0),"",IFERROR(INDEX(收入成本映射!$E$4:$E$34,MATCH($D295,收入成本映射!$B$4:$B$34,0)),""))</f>
        <v/>
      </c>
      <c r="N295" s="70" t="str">
        <f aca="false">IF($M295="","",ROUND(N($G295),2))</f>
        <v/>
      </c>
      <c r="O295" s="70" t="str">
        <f aca="false">IF($M295="","",0)</f>
        <v/>
      </c>
      <c r="P295" s="67" t="str">
        <f aca="false">IF($M295="","",IFERROR(INDEX(收入成本映射!$F$4:$F$34,MATCH($D295,收入成本映射!$B$4:$B$34,0)),""))</f>
        <v/>
      </c>
      <c r="Q295" s="70" t="str">
        <f aca="false">IF($P295="","",0)</f>
        <v/>
      </c>
      <c r="R295" s="70" t="str">
        <f aca="false">IF($P295="","",ROUND(N($G295),2))</f>
        <v/>
      </c>
      <c r="S295" s="67" t="str">
        <f aca="false">""</f>
        <v/>
      </c>
      <c r="T295" s="70" t="str">
        <f aca="false">IF($S295="","",0)</f>
        <v/>
      </c>
      <c r="U295" s="70" t="str">
        <f aca="false">IF($S295="","",0)</f>
        <v/>
      </c>
      <c r="V295" s="66" t="str">
        <f aca="false">IF($B295="","",IF($B295="01水果",IFERROR(INDEX(对接源_01水果!$H$5:$H$507,MATCH(ROW()-3,对接源_01水果!$Q$5:$Q$507,0)),""),IFERROR(INDEX(对接源_02物料!$H$5:$H$460,MATCH(ROW()-3-N(对接源_01水果!$T$1),对接源_02物料!$Q$5:$Q$460,0)),"")))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6" customFormat="false" ht="18" hidden="false" customHeight="true" outlineLevel="0" collapsed="false">
      <c r="A296" s="66" t="n">
        <v>293</v>
      </c>
      <c r="B296" s="67" t="str">
        <f aca="false">IF(ROW()-3&lt;=N(对接源_01水果!$T$1),"01水果",IF(ROW()-3&lt;=N(对接源_01水果!$T$1)+N(对接源_02物料!$T$1),"02物料",""))</f>
        <v/>
      </c>
      <c r="C296" s="68" t="str">
        <f aca="false">IF($B296="","",IF($B296="01水果",IFERROR(INDEX(对接源_01水果!$B$5:$B$507,MATCH(ROW()-3,对接源_01水果!$Q$5:$Q$507,0)),""),IFERROR(INDEX(对接源_02物料!$B$5:$B$460,MATCH(ROW()-3-N(对接源_01水果!$T$1),对接源_02物料!$Q$5:$Q$460,0)),"")))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6" s="67" t="str">
        <f aca="false">IF($B296="","",IF($B296="01水果",IFERROR(INDEX(对接源_01水果!$C$5:$C$507,MATCH(ROW()-3,对接源_01水果!$Q$5:$Q$507,0)),""),IFERROR(INDEX(对接源_02物料!$C$5:$C$460,MATCH(ROW()-3-N(对接源_01水果!$T$1),对接源_02物料!$Q$5:$Q$460,0)),"")))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6" s="69" t="str">
        <f aca="false">IF($B296="","",IF($B296="01水果",IFERROR(INDEX(对接源_01水果!$D$5:$D$507,MATCH(ROW()-3,对接源_01水果!$Q$5:$Q$507,0)),""),IFERROR(INDEX(对接源_02物料!$D$5:$D$460,MATCH(ROW()-3-N(对接源_01水果!$T$1),对接源_02物料!$Q$5:$Q$460,0)),"")))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6" s="67" t="str">
        <f aca="false">IF($B296="","",IF($B296="01水果",IFERROR(INDEX(对接源_01水果!$E$5:$E$507,MATCH(ROW()-3,对接源_01水果!$Q$5:$Q$507,0)),""),IFERROR(INDEX(对接源_02物料!$E$5:$E$460,MATCH(ROW()-3-N(对接源_01水果!$T$1),对接源_02物料!$Q$5:$Q$460,0)),"")))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6" s="70" t="str">
        <f aca="false">IF($B296="","",IF($B296="01水果",IFERROR(INDEX(对接源_01水果!$F$5:$F$507,MATCH(ROW()-3,对接源_01水果!$Q$5:$Q$507,0)),""),IFERROR(INDEX(对接源_02物料!$F$5:$F$460,MATCH(ROW()-3-N(对接源_01水果!$T$1),对接源_02物料!$Q$5:$Q$460,0)),"")))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6" s="70" t="str">
        <f aca="false">IF($B296="","",IF($B296="01水果",IFERROR(INDEX(对接源_01水果!$G$5:$G$507,MATCH(ROW()-3,对接源_01水果!$Q$5:$Q$507,0)),""),IFERROR(INDEX(对接源_02物料!$G$5:$G$460,MATCH(ROW()-3-N(对接源_01水果!$T$1),对接源_02物料!$Q$5:$Q$460,0)),"")))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6" s="67" t="str">
        <f aca="false">IF(OR($D296="客户应收",$D296="成品销售款",$D296="公司购买果品款",$D296="筐子销售款",$D296="物料销售款"),"客户往来",IFERROR(INDEX(收入成本映射!$C$4:$C$34,MATCH($D296,收入成本映射!$B$4:$B$34,0)),"不记账"))</f>
        <v>不记账</v>
      </c>
      <c r="J296" s="67" t="str">
        <f aca="false">IF($B296="","","0%")</f>
        <v/>
      </c>
      <c r="K296" s="70" t="n">
        <f aca="false">IF($I296="不记账",0,ROUND(N($G296),2))</f>
        <v>0</v>
      </c>
      <c r="L296" s="70" t="n">
        <v>0</v>
      </c>
      <c r="M296" s="67" t="str">
        <f aca="false">IF(OR($I296="不记账",ROUND(N($G296),2)=0),"",IFERROR(INDEX(收入成本映射!$E$4:$E$34,MATCH($D296,收入成本映射!$B$4:$B$34,0)),""))</f>
        <v/>
      </c>
      <c r="N296" s="70" t="str">
        <f aca="false">IF($M296="","",ROUND(N($G296),2))</f>
        <v/>
      </c>
      <c r="O296" s="70" t="str">
        <f aca="false">IF($M296="","",0)</f>
        <v/>
      </c>
      <c r="P296" s="67" t="str">
        <f aca="false">IF($M296="","",IFERROR(INDEX(收入成本映射!$F$4:$F$34,MATCH($D296,收入成本映射!$B$4:$B$34,0)),""))</f>
        <v/>
      </c>
      <c r="Q296" s="70" t="str">
        <f aca="false">IF($P296="","",0)</f>
        <v/>
      </c>
      <c r="R296" s="70" t="str">
        <f aca="false">IF($P296="","",ROUND(N($G296),2))</f>
        <v/>
      </c>
      <c r="S296" s="67" t="str">
        <f aca="false">""</f>
        <v/>
      </c>
      <c r="T296" s="70" t="str">
        <f aca="false">IF($S296="","",0)</f>
        <v/>
      </c>
      <c r="U296" s="70" t="str">
        <f aca="false">IF($S296="","",0)</f>
        <v/>
      </c>
      <c r="V296" s="66" t="str">
        <f aca="false">IF($B296="","",IF($B296="01水果",IFERROR(INDEX(对接源_01水果!$H$5:$H$507,MATCH(ROW()-3,对接源_01水果!$Q$5:$Q$507,0)),""),IFERROR(INDEX(对接源_02物料!$H$5:$H$460,MATCH(ROW()-3-N(对接源_01水果!$T$1),对接源_02物料!$Q$5:$Q$460,0)),"")))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7" customFormat="false" ht="18" hidden="false" customHeight="true" outlineLevel="0" collapsed="false">
      <c r="A297" s="66" t="n">
        <v>294</v>
      </c>
      <c r="B297" s="67" t="str">
        <f aca="false">IF(ROW()-3&lt;=N(对接源_01水果!$T$1),"01水果",IF(ROW()-3&lt;=N(对接源_01水果!$T$1)+N(对接源_02物料!$T$1),"02物料",""))</f>
        <v/>
      </c>
      <c r="C297" s="68" t="str">
        <f aca="false">IF($B297="","",IF($B297="01水果",IFERROR(INDEX(对接源_01水果!$B$5:$B$507,MATCH(ROW()-3,对接源_01水果!$Q$5:$Q$507,0)),""),IFERROR(INDEX(对接源_02物料!$B$5:$B$460,MATCH(ROW()-3-N(对接源_01水果!$T$1),对接源_02物料!$Q$5:$Q$460,0)),"")))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7" s="67" t="str">
        <f aca="false">IF($B297="","",IF($B297="01水果",IFERROR(INDEX(对接源_01水果!$C$5:$C$507,MATCH(ROW()-3,对接源_01水果!$Q$5:$Q$507,0)),""),IFERROR(INDEX(对接源_02物料!$C$5:$C$460,MATCH(ROW()-3-N(对接源_01水果!$T$1),对接源_02物料!$Q$5:$Q$460,0)),"")))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7" s="69" t="str">
        <f aca="false">IF($B297="","",IF($B297="01水果",IFERROR(INDEX(对接源_01水果!$D$5:$D$507,MATCH(ROW()-3,对接源_01水果!$Q$5:$Q$507,0)),""),IFERROR(INDEX(对接源_02物料!$D$5:$D$460,MATCH(ROW()-3-N(对接源_01水果!$T$1),对接源_02物料!$Q$5:$Q$460,0)),"")))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7" s="67" t="str">
        <f aca="false">IF($B297="","",IF($B297="01水果",IFERROR(INDEX(对接源_01水果!$E$5:$E$507,MATCH(ROW()-3,对接源_01水果!$Q$5:$Q$507,0)),""),IFERROR(INDEX(对接源_02物料!$E$5:$E$460,MATCH(ROW()-3-N(对接源_01水果!$T$1),对接源_02物料!$Q$5:$Q$460,0)),"")))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7" s="70" t="str">
        <f aca="false">IF($B297="","",IF($B297="01水果",IFERROR(INDEX(对接源_01水果!$F$5:$F$507,MATCH(ROW()-3,对接源_01水果!$Q$5:$Q$507,0)),""),IFERROR(INDEX(对接源_02物料!$F$5:$F$460,MATCH(ROW()-3-N(对接源_01水果!$T$1),对接源_02物料!$Q$5:$Q$460,0)),"")))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7" s="70" t="str">
        <f aca="false">IF($B297="","",IF($B297="01水果",IFERROR(INDEX(对接源_01水果!$G$5:$G$507,MATCH(ROW()-3,对接源_01水果!$Q$5:$Q$507,0)),""),IFERROR(INDEX(对接源_02物料!$G$5:$G$460,MATCH(ROW()-3-N(对接源_01水果!$T$1),对接源_02物料!$Q$5:$Q$460,0)),"")))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7" s="67" t="str">
        <f aca="false">IF(OR($D297="客户应收",$D297="成品销售款",$D297="公司购买果品款",$D297="筐子销售款",$D297="物料销售款"),"客户往来",IFERROR(INDEX(收入成本映射!$C$4:$C$34,MATCH($D297,收入成本映射!$B$4:$B$34,0)),"不记账"))</f>
        <v>不记账</v>
      </c>
      <c r="J297" s="67" t="str">
        <f aca="false">IF($B297="","","0%")</f>
        <v/>
      </c>
      <c r="K297" s="70" t="n">
        <f aca="false">IF($I297="不记账",0,ROUND(N($G297),2))</f>
        <v>0</v>
      </c>
      <c r="L297" s="70" t="n">
        <v>0</v>
      </c>
      <c r="M297" s="67" t="str">
        <f aca="false">IF(OR($I297="不记账",ROUND(N($G297),2)=0),"",IFERROR(INDEX(收入成本映射!$E$4:$E$34,MATCH($D297,收入成本映射!$B$4:$B$34,0)),""))</f>
        <v/>
      </c>
      <c r="N297" s="70" t="str">
        <f aca="false">IF($M297="","",ROUND(N($G297),2))</f>
        <v/>
      </c>
      <c r="O297" s="70" t="str">
        <f aca="false">IF($M297="","",0)</f>
        <v/>
      </c>
      <c r="P297" s="67" t="str">
        <f aca="false">IF($M297="","",IFERROR(INDEX(收入成本映射!$F$4:$F$34,MATCH($D297,收入成本映射!$B$4:$B$34,0)),""))</f>
        <v/>
      </c>
      <c r="Q297" s="70" t="str">
        <f aca="false">IF($P297="","",0)</f>
        <v/>
      </c>
      <c r="R297" s="70" t="str">
        <f aca="false">IF($P297="","",ROUND(N($G297),2))</f>
        <v/>
      </c>
      <c r="S297" s="67" t="str">
        <f aca="false">""</f>
        <v/>
      </c>
      <c r="T297" s="70" t="str">
        <f aca="false">IF($S297="","",0)</f>
        <v/>
      </c>
      <c r="U297" s="70" t="str">
        <f aca="false">IF($S297="","",0)</f>
        <v/>
      </c>
      <c r="V297" s="66" t="str">
        <f aca="false">IF($B297="","",IF($B297="01水果",IFERROR(INDEX(对接源_01水果!$H$5:$H$507,MATCH(ROW()-3,对接源_01水果!$Q$5:$Q$507,0)),""),IFERROR(INDEX(对接源_02物料!$H$5:$H$460,MATCH(ROW()-3-N(对接源_01水果!$T$1),对接源_02物料!$Q$5:$Q$460,0)),"")))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8" customFormat="false" ht="18" hidden="false" customHeight="true" outlineLevel="0" collapsed="false">
      <c r="A298" s="66" t="n">
        <v>295</v>
      </c>
      <c r="B298" s="67" t="str">
        <f aca="false">IF(ROW()-3&lt;=N(对接源_01水果!$T$1),"01水果",IF(ROW()-3&lt;=N(对接源_01水果!$T$1)+N(对接源_02物料!$T$1),"02物料",""))</f>
        <v/>
      </c>
      <c r="C298" s="68" t="str">
        <f aca="false">IF($B298="","",IF($B298="01水果",IFERROR(INDEX(对接源_01水果!$B$5:$B$507,MATCH(ROW()-3,对接源_01水果!$Q$5:$Q$507,0)),""),IFERROR(INDEX(对接源_02物料!$B$5:$B$460,MATCH(ROW()-3-N(对接源_01水果!$T$1),对接源_02物料!$Q$5:$Q$460,0)),"")))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8" s="67" t="str">
        <f aca="false">IF($B298="","",IF($B298="01水果",IFERROR(INDEX(对接源_01水果!$C$5:$C$507,MATCH(ROW()-3,对接源_01水果!$Q$5:$Q$507,0)),""),IFERROR(INDEX(对接源_02物料!$C$5:$C$460,MATCH(ROW()-3-N(对接源_01水果!$T$1),对接源_02物料!$Q$5:$Q$460,0)),"")))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8" s="69" t="str">
        <f aca="false">IF($B298="","",IF($B298="01水果",IFERROR(INDEX(对接源_01水果!$D$5:$D$507,MATCH(ROW()-3,对接源_01水果!$Q$5:$Q$507,0)),""),IFERROR(INDEX(对接源_02物料!$D$5:$D$460,MATCH(ROW()-3-N(对接源_01水果!$T$1),对接源_02物料!$Q$5:$Q$460,0)),"")))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8" s="67" t="str">
        <f aca="false">IF($B298="","",IF($B298="01水果",IFERROR(INDEX(对接源_01水果!$E$5:$E$507,MATCH(ROW()-3,对接源_01水果!$Q$5:$Q$507,0)),""),IFERROR(INDEX(对接源_02物料!$E$5:$E$460,MATCH(ROW()-3-N(对接源_01水果!$T$1),对接源_02物料!$Q$5:$Q$460,0)),"")))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8" s="70" t="str">
        <f aca="false">IF($B298="","",IF($B298="01水果",IFERROR(INDEX(对接源_01水果!$F$5:$F$507,MATCH(ROW()-3,对接源_01水果!$Q$5:$Q$507,0)),""),IFERROR(INDEX(对接源_02物料!$F$5:$F$460,MATCH(ROW()-3-N(对接源_01水果!$T$1),对接源_02物料!$Q$5:$Q$460,0)),"")))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8" s="70" t="str">
        <f aca="false">IF($B298="","",IF($B298="01水果",IFERROR(INDEX(对接源_01水果!$G$5:$G$507,MATCH(ROW()-3,对接源_01水果!$Q$5:$Q$507,0)),""),IFERROR(INDEX(对接源_02物料!$G$5:$G$460,MATCH(ROW()-3-N(对接源_01水果!$T$1),对接源_02物料!$Q$5:$Q$460,0)),"")))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8" s="67" t="str">
        <f aca="false">IF(OR($D298="客户应收",$D298="成品销售款",$D298="公司购买果品款",$D298="筐子销售款",$D298="物料销售款"),"客户往来",IFERROR(INDEX(收入成本映射!$C$4:$C$34,MATCH($D298,收入成本映射!$B$4:$B$34,0)),"不记账"))</f>
        <v>不记账</v>
      </c>
      <c r="J298" s="67" t="str">
        <f aca="false">IF($B298="","","0%")</f>
        <v/>
      </c>
      <c r="K298" s="70" t="n">
        <f aca="false">IF($I298="不记账",0,ROUND(N($G298),2))</f>
        <v>0</v>
      </c>
      <c r="L298" s="70" t="n">
        <v>0</v>
      </c>
      <c r="M298" s="67" t="str">
        <f aca="false">IF(OR($I298="不记账",ROUND(N($G298),2)=0),"",IFERROR(INDEX(收入成本映射!$E$4:$E$34,MATCH($D298,收入成本映射!$B$4:$B$34,0)),""))</f>
        <v/>
      </c>
      <c r="N298" s="70" t="str">
        <f aca="false">IF($M298="","",ROUND(N($G298),2))</f>
        <v/>
      </c>
      <c r="O298" s="70" t="str">
        <f aca="false">IF($M298="","",0)</f>
        <v/>
      </c>
      <c r="P298" s="67" t="str">
        <f aca="false">IF($M298="","",IFERROR(INDEX(收入成本映射!$F$4:$F$34,MATCH($D298,收入成本映射!$B$4:$B$34,0)),""))</f>
        <v/>
      </c>
      <c r="Q298" s="70" t="str">
        <f aca="false">IF($P298="","",0)</f>
        <v/>
      </c>
      <c r="R298" s="70" t="str">
        <f aca="false">IF($P298="","",ROUND(N($G298),2))</f>
        <v/>
      </c>
      <c r="S298" s="67" t="str">
        <f aca="false">""</f>
        <v/>
      </c>
      <c r="T298" s="70" t="str">
        <f aca="false">IF($S298="","",0)</f>
        <v/>
      </c>
      <c r="U298" s="70" t="str">
        <f aca="false">IF($S298="","",0)</f>
        <v/>
      </c>
      <c r="V298" s="66" t="str">
        <f aca="false">IF($B298="","",IF($B298="01水果",IFERROR(INDEX(对接源_01水果!$H$5:$H$507,MATCH(ROW()-3,对接源_01水果!$Q$5:$Q$507,0)),""),IFERROR(INDEX(对接源_02物料!$H$5:$H$460,MATCH(ROW()-3-N(对接源_01水果!$T$1),对接源_02物料!$Q$5:$Q$460,0)),"")))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299" customFormat="false" ht="18" hidden="false" customHeight="true" outlineLevel="0" collapsed="false">
      <c r="A299" s="66" t="n">
        <v>296</v>
      </c>
      <c r="B299" s="67" t="str">
        <f aca="false">IF(ROW()-3&lt;=N(对接源_01水果!$T$1),"01水果",IF(ROW()-3&lt;=N(对接源_01水果!$T$1)+N(对接源_02物料!$T$1),"02物料",""))</f>
        <v/>
      </c>
      <c r="C299" s="68" t="str">
        <f aca="false">IF($B299="","",IF($B299="01水果",IFERROR(INDEX(对接源_01水果!$B$5:$B$507,MATCH(ROW()-3,对接源_01水果!$Q$5:$Q$507,0)),""),IFERROR(INDEX(对接源_02物料!$B$5:$B$460,MATCH(ROW()-3-N(对接源_01水果!$T$1),对接源_02物料!$Q$5:$Q$460,0)),"")))</f>
        <v/>
      </c>
      <c r="D299" s="67" t="str">
        <f aca="false">IF($B299="","",IF($B299="01水果",IFERROR(INDEX(对接源_01水果!$C$5:$C$507,MATCH(ROW()-3,对接源_01水果!$Q$5:$Q$507,0)),""),IFERROR(INDEX(对接源_02物料!$C$5:$C$460,MATCH(ROW()-3-N(对接源_01水果!$T$1),对接源_02物料!$Q$5:$Q$460,0)),"")))</f>
        <v/>
      </c>
      <c r="E299" s="69" t="str">
        <f aca="false">IF($B299="","",IF($B299="01水果",IFERROR(INDEX(对接源_01水果!$D$5:$D$507,MATCH(ROW()-3,对接源_01水果!$Q$5:$Q$507,0)),""),IFERROR(INDEX(对接源_02物料!$D$5:$D$460,MATCH(ROW()-3-N(对接源_01水果!$T$1),对接源_02物料!$Q$5:$Q$460,0)),"")))</f>
        <v/>
      </c>
      <c r="F299" s="67" t="str">
        <f aca="false">IF($B299="","",IF($B299="01水果",IFERROR(INDEX(对接源_01水果!$E$5:$E$507,MATCH(ROW()-3,对接源_01水果!$Q$5:$Q$507,0)),""),IFERROR(INDEX(对接源_02物料!$E$5:$E$460,MATCH(ROW()-3-N(对接源_01水果!$T$1),对接源_02物料!$Q$5:$Q$460,0)),"")))</f>
        <v/>
      </c>
      <c r="G299" s="70" t="str">
        <f aca="false">IF($B299="","",IF($B299="01水果",IFERROR(INDEX(对接源_01水果!$F$5:$F$507,MATCH(ROW()-3,对接源_01水果!$Q$5:$Q$507,0)),""),IFERROR(INDEX(对接源_02物料!$F$5:$F$460,MATCH(ROW()-3-N(对接源_01水果!$T$1),对接源_02物料!$Q$5:$Q$460,0)),"")))</f>
        <v/>
      </c>
      <c r="H299" s="70" t="str">
        <f aca="false">IF($B299="","",IF($B299="01水果",IFERROR(INDEX(对接源_01水果!$G$5:$G$507,MATCH(ROW()-3,对接源_01水果!$Q$5:$Q$507,0)),""),IFERROR(INDEX(对接源_02物料!$G$5:$G$460,MATCH(ROW()-3-N(对接源_01水果!$T$1),对接源_02物料!$Q$5:$Q$460,0)),"")))</f>
        <v/>
      </c>
      <c r="I299" s="67" t="str">
        <f aca="false">IF(OR($D299="客户应收",$D299="成品销售款",$D299="公司购买果品款",$D299="筐子销售款",$D299="物料销售款"),"客户往来",IFERROR(INDEX(收入成本映射!$C$4:$C$34,MATCH($D299,收入成本映射!$B$4:$B$34,0)),"不记账"))</f>
        <v>不记账</v>
      </c>
      <c r="J299" s="67" t="str">
        <f aca="false">IF($B299="","","0%")</f>
        <v/>
      </c>
      <c r="K299" s="70" t="n">
        <f aca="false">IF($I299="不记账",0,ROUND(N($G299),2))</f>
        <v>0</v>
      </c>
      <c r="L299" s="70" t="n">
        <v>0</v>
      </c>
      <c r="M299" s="67" t="str">
        <f aca="false">IF(OR($I299="不记账",ROUND(N($G299),2)=0),"",IFERROR(INDEX(收入成本映射!$E$4:$E$34,MATCH($D299,收入成本映射!$B$4:$B$34,0)),""))</f>
        <v/>
      </c>
      <c r="N299" s="70" t="str">
        <f aca="false">IF($M299="","",ROUND(N($G299),2))</f>
        <v/>
      </c>
      <c r="O299" s="70" t="str">
        <f aca="false">IF($M299="","",0)</f>
        <v/>
      </c>
      <c r="P299" s="67" t="str">
        <f aca="false">IF($M299="","",IFERROR(INDEX(收入成本映射!$F$4:$F$34,MATCH($D299,收入成本映射!$B$4:$B$34,0)),""))</f>
        <v/>
      </c>
      <c r="Q299" s="70" t="str">
        <f aca="false">IF($P299="","",0)</f>
        <v/>
      </c>
      <c r="R299" s="70" t="str">
        <f aca="false">IF($P299="","",ROUND(N($G299),2))</f>
        <v/>
      </c>
      <c r="S299" s="67" t="str">
        <f aca="false">""</f>
        <v/>
      </c>
      <c r="T299" s="70" t="str">
        <f aca="false">IF($S299="","",0)</f>
        <v/>
      </c>
      <c r="U299" s="70" t="str">
        <f aca="false">IF($S299="","",0)</f>
        <v/>
      </c>
      <c r="V299" s="66" t="str">
        <f aca="false">IF($B299="","",IF($B299="01水果",IFERROR(INDEX(对接源_01水果!$H$5:$H$507,MATCH(ROW()-3,对接源_01水果!$Q$5:$Q$507,0)),""),IFERROR(INDEX(对接源_02物料!$H$5:$H$460,MATCH(ROW()-3-N(对接源_01水果!$T$1),对接源_02物料!$Q$5:$Q$460,0)),"")))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0" customFormat="false" ht="18" hidden="false" customHeight="true" outlineLevel="0" collapsed="false">
      <c r="A300" s="66" t="n">
        <v>297</v>
      </c>
      <c r="B300" s="67" t="str">
        <f aca="false">IF(ROW()-3&lt;=N(对接源_01水果!$T$1),"01水果",IF(ROW()-3&lt;=N(对接源_01水果!$T$1)+N(对接源_02物料!$T$1),"02物料",""))</f>
        <v/>
      </c>
      <c r="C300" s="68" t="str">
        <f aca="false">IF($B300="","",IF($B300="01水果",IFERROR(INDEX(对接源_01水果!$B$5:$B$507,MATCH(ROW()-3,对接源_01水果!$Q$5:$Q$507,0)),""),IFERROR(INDEX(对接源_02物料!$B$5:$B$460,MATCH(ROW()-3-N(对接源_01水果!$T$1),对接源_02物料!$Q$5:$Q$460,0)),"")))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0" s="67" t="str">
        <f aca="false">IF($B300="","",IF($B300="01水果",IFERROR(INDEX(对接源_01水果!$C$5:$C$507,MATCH(ROW()-3,对接源_01水果!$Q$5:$Q$507,0)),""),IFERROR(INDEX(对接源_02物料!$C$5:$C$460,MATCH(ROW()-3-N(对接源_01水果!$T$1),对接源_02物料!$Q$5:$Q$460,0)),"")))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0" s="69" t="str">
        <f aca="false">IF($B300="","",IF($B300="01水果",IFERROR(INDEX(对接源_01水果!$D$5:$D$507,MATCH(ROW()-3,对接源_01水果!$Q$5:$Q$507,0)),""),IFERROR(INDEX(对接源_02物料!$D$5:$D$460,MATCH(ROW()-3-N(对接源_01水果!$T$1),对接源_02物料!$Q$5:$Q$460,0)),"")))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0" s="67" t="str">
        <f aca="false">IF($B300="","",IF($B300="01水果",IFERROR(INDEX(对接源_01水果!$E$5:$E$507,MATCH(ROW()-3,对接源_01水果!$Q$5:$Q$507,0)),""),IFERROR(INDEX(对接源_02物料!$E$5:$E$460,MATCH(ROW()-3-N(对接源_01水果!$T$1),对接源_02物料!$Q$5:$Q$460,0)),"")))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0" s="70" t="str">
        <f aca="false">IF($B300="","",IF($B300="01水果",IFERROR(INDEX(对接源_01水果!$F$5:$F$507,MATCH(ROW()-3,对接源_01水果!$Q$5:$Q$507,0)),""),IFERROR(INDEX(对接源_02物料!$F$5:$F$460,MATCH(ROW()-3-N(对接源_01水果!$T$1),对接源_02物料!$Q$5:$Q$460,0)),"")))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0" s="70" t="str">
        <f aca="false">IF($B300="","",IF($B300="01水果",IFERROR(INDEX(对接源_01水果!$G$5:$G$507,MATCH(ROW()-3,对接源_01水果!$Q$5:$Q$507,0)),""),IFERROR(INDEX(对接源_02物料!$G$5:$G$460,MATCH(ROW()-3-N(对接源_01水果!$T$1),对接源_02物料!$Q$5:$Q$460,0)),"")))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0" s="67" t="str">
        <f aca="false">IF(OR($D300="客户应收",$D300="成品销售款",$D300="公司购买果品款",$D300="筐子销售款",$D300="物料销售款"),"客户往来",IFERROR(INDEX(收入成本映射!$C$4:$C$34,MATCH($D300,收入成本映射!$B$4:$B$34,0)),"不记账"))</f>
        <v>不记账</v>
      </c>
      <c r="J300" s="67" t="str">
        <f aca="false">IF($B300="","","0%")</f>
        <v/>
      </c>
      <c r="K300" s="70" t="n">
        <f aca="false">IF($I300="不记账",0,ROUND(N($G300),2))</f>
        <v>0</v>
      </c>
      <c r="L300" s="70" t="n">
        <v>0</v>
      </c>
      <c r="M300" s="67" t="str">
        <f aca="false">IF(OR($I300="不记账",ROUND(N($G300),2)=0),"",IFERROR(INDEX(收入成本映射!$E$4:$E$34,MATCH($D300,收入成本映射!$B$4:$B$34,0)),""))</f>
        <v/>
      </c>
      <c r="N300" s="70" t="str">
        <f aca="false">IF($M300="","",ROUND(N($G300),2))</f>
        <v/>
      </c>
      <c r="O300" s="70" t="str">
        <f aca="false">IF($M300="","",0)</f>
        <v/>
      </c>
      <c r="P300" s="67" t="str">
        <f aca="false">IF($M300="","",IFERROR(INDEX(收入成本映射!$F$4:$F$34,MATCH($D300,收入成本映射!$B$4:$B$34,0)),""))</f>
        <v/>
      </c>
      <c r="Q300" s="70" t="str">
        <f aca="false">IF($P300="","",0)</f>
        <v/>
      </c>
      <c r="R300" s="70" t="str">
        <f aca="false">IF($P300="","",ROUND(N($G300),2))</f>
        <v/>
      </c>
      <c r="S300" s="67" t="str">
        <f aca="false">""</f>
        <v/>
      </c>
      <c r="T300" s="70" t="str">
        <f aca="false">IF($S300="","",0)</f>
        <v/>
      </c>
      <c r="U300" s="70" t="str">
        <f aca="false">IF($S300="","",0)</f>
        <v/>
      </c>
      <c r="V300" s="66" t="str">
        <f aca="false">IF($B300="","",IF($B300="01水果",IFERROR(INDEX(对接源_01水果!$H$5:$H$507,MATCH(ROW()-3,对接源_01水果!$Q$5:$Q$507,0)),""),IFERROR(INDEX(对接源_02物料!$H$5:$H$460,MATCH(ROW()-3-N(对接源_01水果!$T$1),对接源_02物料!$Q$5:$Q$460,0)),"")))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1" customFormat="false" ht="18" hidden="false" customHeight="true" outlineLevel="0" collapsed="false">
      <c r="A301" s="66" t="n">
        <v>298</v>
      </c>
      <c r="B301" s="67" t="str">
        <f aca="false">IF(ROW()-3&lt;=N(对接源_01水果!$T$1),"01水果",IF(ROW()-3&lt;=N(对接源_01水果!$T$1)+N(对接源_02物料!$T$1),"02物料",""))</f>
        <v/>
      </c>
      <c r="C301" s="68" t="str">
        <f aca="false">IF($B301="","",IF($B301="01水果",IFERROR(INDEX(对接源_01水果!$B$5:$B$507,MATCH(ROW()-3,对接源_01水果!$Q$5:$Q$507,0)),""),IFERROR(INDEX(对接源_02物料!$B$5:$B$460,MATCH(ROW()-3-N(对接源_01水果!$T$1),对接源_02物料!$Q$5:$Q$460,0)),"")))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1" s="67" t="str">
        <f aca="false">IF($B301="","",IF($B301="01水果",IFERROR(INDEX(对接源_01水果!$C$5:$C$507,MATCH(ROW()-3,对接源_01水果!$Q$5:$Q$507,0)),""),IFERROR(INDEX(对接源_02物料!$C$5:$C$460,MATCH(ROW()-3-N(对接源_01水果!$T$1),对接源_02物料!$Q$5:$Q$460,0)),"")))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1" s="69" t="str">
        <f aca="false">IF($B301="","",IF($B301="01水果",IFERROR(INDEX(对接源_01水果!$D$5:$D$507,MATCH(ROW()-3,对接源_01水果!$Q$5:$Q$507,0)),""),IFERROR(INDEX(对接源_02物料!$D$5:$D$460,MATCH(ROW()-3-N(对接源_01水果!$T$1),对接源_02物料!$Q$5:$Q$460,0)),"")))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1" s="67" t="str">
        <f aca="false">IF($B301="","",IF($B301="01水果",IFERROR(INDEX(对接源_01水果!$E$5:$E$507,MATCH(ROW()-3,对接源_01水果!$Q$5:$Q$507,0)),""),IFERROR(INDEX(对接源_02物料!$E$5:$E$460,MATCH(ROW()-3-N(对接源_01水果!$T$1),对接源_02物料!$Q$5:$Q$460,0)),"")))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1" s="70" t="str">
        <f aca="false">IF($B301="","",IF($B301="01水果",IFERROR(INDEX(对接源_01水果!$F$5:$F$507,MATCH(ROW()-3,对接源_01水果!$Q$5:$Q$507,0)),""),IFERROR(INDEX(对接源_02物料!$F$5:$F$460,MATCH(ROW()-3-N(对接源_01水果!$T$1),对接源_02物料!$Q$5:$Q$460,0)),"")))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1" s="70" t="str">
        <f aca="false">IF($B301="","",IF($B301="01水果",IFERROR(INDEX(对接源_01水果!$G$5:$G$507,MATCH(ROW()-3,对接源_01水果!$Q$5:$Q$507,0)),""),IFERROR(INDEX(对接源_02物料!$G$5:$G$460,MATCH(ROW()-3-N(对接源_01水果!$T$1),对接源_02物料!$Q$5:$Q$460,0)),"")))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1" s="67" t="str">
        <f aca="false">IF(OR($D301="客户应收",$D301="成品销售款",$D301="公司购买果品款",$D301="筐子销售款",$D301="物料销售款"),"客户往来",IFERROR(INDEX(收入成本映射!$C$4:$C$34,MATCH($D301,收入成本映射!$B$4:$B$34,0)),"不记账"))</f>
        <v>不记账</v>
      </c>
      <c r="J301" s="67" t="str">
        <f aca="false">IF($B301="","","0%")</f>
        <v/>
      </c>
      <c r="K301" s="70" t="n">
        <f aca="false">IF($I301="不记账",0,ROUND(N($G301),2))</f>
        <v>0</v>
      </c>
      <c r="L301" s="70" t="n">
        <v>0</v>
      </c>
      <c r="M301" s="67" t="str">
        <f aca="false">IF(OR($I301="不记账",ROUND(N($G301),2)=0),"",IFERROR(INDEX(收入成本映射!$E$4:$E$34,MATCH($D301,收入成本映射!$B$4:$B$34,0)),""))</f>
        <v/>
      </c>
      <c r="N301" s="70" t="str">
        <f aca="false">IF($M301="","",ROUND(N($G301),2))</f>
        <v/>
      </c>
      <c r="O301" s="70" t="str">
        <f aca="false">IF($M301="","",0)</f>
        <v/>
      </c>
      <c r="P301" s="67" t="str">
        <f aca="false">IF($M301="","",IFERROR(INDEX(收入成本映射!$F$4:$F$34,MATCH($D301,收入成本映射!$B$4:$B$34,0)),""))</f>
        <v/>
      </c>
      <c r="Q301" s="70" t="str">
        <f aca="false">IF($P301="","",0)</f>
        <v/>
      </c>
      <c r="R301" s="70" t="str">
        <f aca="false">IF($P301="","",ROUND(N($G301),2))</f>
        <v/>
      </c>
      <c r="S301" s="67" t="str">
        <f aca="false">""</f>
        <v/>
      </c>
      <c r="T301" s="70" t="str">
        <f aca="false">IF($S301="","",0)</f>
        <v/>
      </c>
      <c r="U301" s="70" t="str">
        <f aca="false">IF($S301="","",0)</f>
        <v/>
      </c>
      <c r="V301" s="66" t="str">
        <f aca="false">IF($B301="","",IF($B301="01水果",IFERROR(INDEX(对接源_01水果!$H$5:$H$507,MATCH(ROW()-3,对接源_01水果!$Q$5:$Q$507,0)),""),IFERROR(INDEX(对接源_02物料!$H$5:$H$460,MATCH(ROW()-3-N(对接源_01水果!$T$1),对接源_02物料!$Q$5:$Q$460,0)),"")))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2" customFormat="false" ht="18" hidden="false" customHeight="true" outlineLevel="0" collapsed="false">
      <c r="A302" s="66" t="n">
        <v>299</v>
      </c>
      <c r="B302" s="67" t="str">
        <f aca="false">IF(ROW()-3&lt;=N(对接源_01水果!$T$1),"01水果",IF(ROW()-3&lt;=N(对接源_01水果!$T$1)+N(对接源_02物料!$T$1),"02物料",""))</f>
        <v/>
      </c>
      <c r="C302" s="68" t="str">
        <f aca="false">IF($B302="","",IF($B302="01水果",IFERROR(INDEX(对接源_01水果!$B$5:$B$507,MATCH(ROW()-3,对接源_01水果!$Q$5:$Q$507,0)),""),IFERROR(INDEX(对接源_02物料!$B$5:$B$460,MATCH(ROW()-3-N(对接源_01水果!$T$1),对接源_02物料!$Q$5:$Q$460,0)),"")))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2" s="67" t="str">
        <f aca="false">IF($B302="","",IF($B302="01水果",IFERROR(INDEX(对接源_01水果!$C$5:$C$507,MATCH(ROW()-3,对接源_01水果!$Q$5:$Q$507,0)),""),IFERROR(INDEX(对接源_02物料!$C$5:$C$460,MATCH(ROW()-3-N(对接源_01水果!$T$1),对接源_02物料!$Q$5:$Q$460,0)),"")))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2" s="69" t="str">
        <f aca="false">IF($B302="","",IF($B302="01水果",IFERROR(INDEX(对接源_01水果!$D$5:$D$507,MATCH(ROW()-3,对接源_01水果!$Q$5:$Q$507,0)),""),IFERROR(INDEX(对接源_02物料!$D$5:$D$460,MATCH(ROW()-3-N(对接源_01水果!$T$1),对接源_02物料!$Q$5:$Q$460,0)),"")))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2" s="67" t="str">
        <f aca="false">IF($B302="","",IF($B302="01水果",IFERROR(INDEX(对接源_01水果!$E$5:$E$507,MATCH(ROW()-3,对接源_01水果!$Q$5:$Q$507,0)),""),IFERROR(INDEX(对接源_02物料!$E$5:$E$460,MATCH(ROW()-3-N(对接源_01水果!$T$1),对接源_02物料!$Q$5:$Q$460,0)),"")))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2" s="70" t="str">
        <f aca="false">IF($B302="","",IF($B302="01水果",IFERROR(INDEX(对接源_01水果!$F$5:$F$507,MATCH(ROW()-3,对接源_01水果!$Q$5:$Q$507,0)),""),IFERROR(INDEX(对接源_02物料!$F$5:$F$460,MATCH(ROW()-3-N(对接源_01水果!$T$1),对接源_02物料!$Q$5:$Q$460,0)),"")))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2" s="70" t="str">
        <f aca="false">IF($B302="","",IF($B302="01水果",IFERROR(INDEX(对接源_01水果!$G$5:$G$507,MATCH(ROW()-3,对接源_01水果!$Q$5:$Q$507,0)),""),IFERROR(INDEX(对接源_02物料!$G$5:$G$460,MATCH(ROW()-3-N(对接源_01水果!$T$1),对接源_02物料!$Q$5:$Q$460,0)),"")))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2" s="67" t="str">
        <f aca="false">IF(OR($D302="客户应收",$D302="成品销售款",$D302="公司购买果品款",$D302="筐子销售款",$D302="物料销售款"),"客户往来",IFERROR(INDEX(收入成本映射!$C$4:$C$34,MATCH($D302,收入成本映射!$B$4:$B$34,0)),"不记账"))</f>
        <v>不记账</v>
      </c>
      <c r="J302" s="67" t="str">
        <f aca="false">IF($B302="","","0%")</f>
        <v/>
      </c>
      <c r="K302" s="70" t="n">
        <f aca="false">IF($I302="不记账",0,ROUND(N($G302),2))</f>
        <v>0</v>
      </c>
      <c r="L302" s="70" t="n">
        <v>0</v>
      </c>
      <c r="M302" s="67" t="str">
        <f aca="false">IF(OR($I302="不记账",ROUND(N($G302),2)=0),"",IFERROR(INDEX(收入成本映射!$E$4:$E$34,MATCH($D302,收入成本映射!$B$4:$B$34,0)),""))</f>
        <v/>
      </c>
      <c r="N302" s="70" t="str">
        <f aca="false">IF($M302="","",ROUND(N($G302),2))</f>
        <v/>
      </c>
      <c r="O302" s="70" t="str">
        <f aca="false">IF($M302="","",0)</f>
        <v/>
      </c>
      <c r="P302" s="67" t="str">
        <f aca="false">IF($M302="","",IFERROR(INDEX(收入成本映射!$F$4:$F$34,MATCH($D302,收入成本映射!$B$4:$B$34,0)),""))</f>
        <v/>
      </c>
      <c r="Q302" s="70" t="str">
        <f aca="false">IF($P302="","",0)</f>
        <v/>
      </c>
      <c r="R302" s="70" t="str">
        <f aca="false">IF($P302="","",ROUND(N($G302),2))</f>
        <v/>
      </c>
      <c r="S302" s="67" t="str">
        <f aca="false">""</f>
        <v/>
      </c>
      <c r="T302" s="70" t="str">
        <f aca="false">IF($S302="","",0)</f>
        <v/>
      </c>
      <c r="U302" s="70" t="str">
        <f aca="false">IF($S302="","",0)</f>
        <v/>
      </c>
      <c r="V302" s="66" t="str">
        <f aca="false">IF($B302="","",IF($B302="01水果",IFERROR(INDEX(对接源_01水果!$H$5:$H$507,MATCH(ROW()-3,对接源_01水果!$Q$5:$Q$507,0)),""),IFERROR(INDEX(对接源_02物料!$H$5:$H$460,MATCH(ROW()-3-N(对接源_01水果!$T$1),对接源_02物料!$Q$5:$Q$460,0)),"")))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3" customFormat="false" ht="18" hidden="false" customHeight="true" outlineLevel="0" collapsed="false">
      <c r="A303" s="66" t="n">
        <v>300</v>
      </c>
      <c r="B303" s="67" t="str">
        <f aca="false">IF(ROW()-3&lt;=N(对接源_01水果!$T$1),"01水果",IF(ROW()-3&lt;=N(对接源_01水果!$T$1)+N(对接源_02物料!$T$1),"02物料",""))</f>
        <v/>
      </c>
      <c r="C303" s="68" t="str">
        <f aca="false">IF($B303="","",IF($B303="01水果",IFERROR(INDEX(对接源_01水果!$B$5:$B$507,MATCH(ROW()-3,对接源_01水果!$Q$5:$Q$507,0)),""),IFERROR(INDEX(对接源_02物料!$B$5:$B$460,MATCH(ROW()-3-N(对接源_01水果!$T$1),对接源_02物料!$Q$5:$Q$460,0)),"")))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3" s="67" t="str">
        <f aca="false">IF($B303="","",IF($B303="01水果",IFERROR(INDEX(对接源_01水果!$C$5:$C$507,MATCH(ROW()-3,对接源_01水果!$Q$5:$Q$507,0)),""),IFERROR(INDEX(对接源_02物料!$C$5:$C$460,MATCH(ROW()-3-N(对接源_01水果!$T$1),对接源_02物料!$Q$5:$Q$460,0)),"")))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3" s="69" t="str">
        <f aca="false">IF($B303="","",IF($B303="01水果",IFERROR(INDEX(对接源_01水果!$D$5:$D$507,MATCH(ROW()-3,对接源_01水果!$Q$5:$Q$507,0)),""),IFERROR(INDEX(对接源_02物料!$D$5:$D$460,MATCH(ROW()-3-N(对接源_01水果!$T$1),对接源_02物料!$Q$5:$Q$460,0)),"")))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3" s="67" t="str">
        <f aca="false">IF($B303="","",IF($B303="01水果",IFERROR(INDEX(对接源_01水果!$E$5:$E$507,MATCH(ROW()-3,对接源_01水果!$Q$5:$Q$507,0)),""),IFERROR(INDEX(对接源_02物料!$E$5:$E$460,MATCH(ROW()-3-N(对接源_01水果!$T$1),对接源_02物料!$Q$5:$Q$460,0)),"")))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3" s="70" t="str">
        <f aca="false">IF($B303="","",IF($B303="01水果",IFERROR(INDEX(对接源_01水果!$F$5:$F$507,MATCH(ROW()-3,对接源_01水果!$Q$5:$Q$507,0)),""),IFERROR(INDEX(对接源_02物料!$F$5:$F$460,MATCH(ROW()-3-N(对接源_01水果!$T$1),对接源_02物料!$Q$5:$Q$460,0)),"")))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3" s="70" t="str">
        <f aca="false">IF($B303="","",IF($B303="01水果",IFERROR(INDEX(对接源_01水果!$G$5:$G$507,MATCH(ROW()-3,对接源_01水果!$Q$5:$Q$507,0)),""),IFERROR(INDEX(对接源_02物料!$G$5:$G$460,MATCH(ROW()-3-N(对接源_01水果!$T$1),对接源_02物料!$Q$5:$Q$460,0)),"")))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3" s="67" t="str">
        <f aca="false">IF(OR($D303="客户应收",$D303="成品销售款",$D303="公司购买果品款",$D303="筐子销售款",$D303="物料销售款"),"客户往来",IFERROR(INDEX(收入成本映射!$C$4:$C$34,MATCH($D303,收入成本映射!$B$4:$B$34,0)),"不记账"))</f>
        <v>不记账</v>
      </c>
      <c r="J303" s="67" t="str">
        <f aca="false">IF($B303="","","0%")</f>
        <v/>
      </c>
      <c r="K303" s="70" t="n">
        <f aca="false">IF($I303="不记账",0,ROUND(N($G303),2))</f>
        <v>0</v>
      </c>
      <c r="L303" s="70" t="n">
        <v>0</v>
      </c>
      <c r="M303" s="67" t="str">
        <f aca="false">IF(OR($I303="不记账",ROUND(N($G303),2)=0),"",IFERROR(INDEX(收入成本映射!$E$4:$E$34,MATCH($D303,收入成本映射!$B$4:$B$34,0)),""))</f>
        <v/>
      </c>
      <c r="N303" s="70" t="str">
        <f aca="false">IF($M303="","",ROUND(N($G303),2))</f>
        <v/>
      </c>
      <c r="O303" s="70" t="str">
        <f aca="false">IF($M303="","",0)</f>
        <v/>
      </c>
      <c r="P303" s="67" t="str">
        <f aca="false">IF($M303="","",IFERROR(INDEX(收入成本映射!$F$4:$F$34,MATCH($D303,收入成本映射!$B$4:$B$34,0)),""))</f>
        <v/>
      </c>
      <c r="Q303" s="70" t="str">
        <f aca="false">IF($P303="","",0)</f>
        <v/>
      </c>
      <c r="R303" s="70" t="str">
        <f aca="false">IF($P303="","",ROUND(N($G303),2))</f>
        <v/>
      </c>
      <c r="S303" s="67" t="str">
        <f aca="false">""</f>
        <v/>
      </c>
      <c r="T303" s="70" t="str">
        <f aca="false">IF($S303="","",0)</f>
        <v/>
      </c>
      <c r="U303" s="70" t="str">
        <f aca="false">IF($S303="","",0)</f>
        <v/>
      </c>
      <c r="V303" s="66" t="str">
        <f aca="false">IF($B303="","",IF($B303="01水果",IFERROR(INDEX(对接源_01水果!$H$5:$H$507,MATCH(ROW()-3,对接源_01水果!$Q$5:$Q$507,0)),""),IFERROR(INDEX(对接源_02物料!$H$5:$H$460,MATCH(ROW()-3-N(对接源_01水果!$T$1),对接源_02物料!$Q$5:$Q$460,0)),"")))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4" customFormat="false" ht="18" hidden="false" customHeight="true" outlineLevel="0" collapsed="false">
      <c r="A304" s="66" t="n">
        <v>301</v>
      </c>
      <c r="B304" s="67" t="str">
        <f aca="false">IF(ROW()-3&lt;=N(对接源_01水果!$T$1),"01水果",IF(ROW()-3&lt;=N(对接源_01水果!$T$1)+N(对接源_02物料!$T$1),"02物料",""))</f>
        <v/>
      </c>
      <c r="C304" s="68" t="str">
        <f aca="false">IF($B304="","",IF($B304="01水果",IFERROR(INDEX(对接源_01水果!$B$5:$B$507,MATCH(ROW()-3,对接源_01水果!$Q$5:$Q$507,0)),""),IFERROR(INDEX(对接源_02物料!$B$5:$B$460,MATCH(ROW()-3-N(对接源_01水果!$T$1),对接源_02物料!$Q$5:$Q$460,0)),"")))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4" s="67" t="str">
        <f aca="false">IF($B304="","",IF($B304="01水果",IFERROR(INDEX(对接源_01水果!$C$5:$C$507,MATCH(ROW()-3,对接源_01水果!$Q$5:$Q$507,0)),""),IFERROR(INDEX(对接源_02物料!$C$5:$C$460,MATCH(ROW()-3-N(对接源_01水果!$T$1),对接源_02物料!$Q$5:$Q$460,0)),"")))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4" s="69" t="str">
        <f aca="false">IF($B304="","",IF($B304="01水果",IFERROR(INDEX(对接源_01水果!$D$5:$D$507,MATCH(ROW()-3,对接源_01水果!$Q$5:$Q$507,0)),""),IFERROR(INDEX(对接源_02物料!$D$5:$D$460,MATCH(ROW()-3-N(对接源_01水果!$T$1),对接源_02物料!$Q$5:$Q$460,0)),"")))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4" s="67" t="str">
        <f aca="false">IF($B304="","",IF($B304="01水果",IFERROR(INDEX(对接源_01水果!$E$5:$E$507,MATCH(ROW()-3,对接源_01水果!$Q$5:$Q$507,0)),""),IFERROR(INDEX(对接源_02物料!$E$5:$E$460,MATCH(ROW()-3-N(对接源_01水果!$T$1),对接源_02物料!$Q$5:$Q$460,0)),"")))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4" s="70" t="str">
        <f aca="false">IF($B304="","",IF($B304="01水果",IFERROR(INDEX(对接源_01水果!$F$5:$F$507,MATCH(ROW()-3,对接源_01水果!$Q$5:$Q$507,0)),""),IFERROR(INDEX(对接源_02物料!$F$5:$F$460,MATCH(ROW()-3-N(对接源_01水果!$T$1),对接源_02物料!$Q$5:$Q$460,0)),"")))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4" s="70" t="str">
        <f aca="false">IF($B304="","",IF($B304="01水果",IFERROR(INDEX(对接源_01水果!$G$5:$G$507,MATCH(ROW()-3,对接源_01水果!$Q$5:$Q$507,0)),""),IFERROR(INDEX(对接源_02物料!$G$5:$G$460,MATCH(ROW()-3-N(对接源_01水果!$T$1),对接源_02物料!$Q$5:$Q$460,0)),"")))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4" s="67" t="str">
        <f aca="false">IF(OR($D304="客户应收",$D304="成品销售款",$D304="公司购买果品款",$D304="筐子销售款",$D304="物料销售款"),"客户往来",IFERROR(INDEX(收入成本映射!$C$4:$C$34,MATCH($D304,收入成本映射!$B$4:$B$34,0)),"不记账"))</f>
        <v>不记账</v>
      </c>
      <c r="J304" s="67" t="str">
        <f aca="false">IF($B304="","","0%")</f>
        <v/>
      </c>
      <c r="K304" s="70" t="n">
        <f aca="false">IF($I304="不记账",0,ROUND(N($G304),2))</f>
        <v>0</v>
      </c>
      <c r="L304" s="70" t="n">
        <v>0</v>
      </c>
      <c r="M304" s="67" t="str">
        <f aca="false">IF(OR($I304="不记账",ROUND(N($G304),2)=0),"",IFERROR(INDEX(收入成本映射!$E$4:$E$34,MATCH($D304,收入成本映射!$B$4:$B$34,0)),""))</f>
        <v/>
      </c>
      <c r="N304" s="70" t="str">
        <f aca="false">IF($M304="","",ROUND(N($G304),2))</f>
        <v/>
      </c>
      <c r="O304" s="70" t="str">
        <f aca="false">IF($M304="","",0)</f>
        <v/>
      </c>
      <c r="P304" s="67" t="str">
        <f aca="false">IF($M304="","",IFERROR(INDEX(收入成本映射!$F$4:$F$34,MATCH($D304,收入成本映射!$B$4:$B$34,0)),""))</f>
        <v/>
      </c>
      <c r="Q304" s="70" t="str">
        <f aca="false">IF($P304="","",0)</f>
        <v/>
      </c>
      <c r="R304" s="70" t="str">
        <f aca="false">IF($P304="","",ROUND(N($G304),2))</f>
        <v/>
      </c>
      <c r="S304" s="67" t="str">
        <f aca="false">""</f>
        <v/>
      </c>
      <c r="T304" s="70" t="str">
        <f aca="false">IF($S304="","",0)</f>
        <v/>
      </c>
      <c r="U304" s="70" t="str">
        <f aca="false">IF($S304="","",0)</f>
        <v/>
      </c>
      <c r="V304" s="66" t="str">
        <f aca="false">IF($B304="","",IF($B304="01水果",IFERROR(INDEX(对接源_01水果!$H$5:$H$507,MATCH(ROW()-3,对接源_01水果!$Q$5:$Q$507,0)),""),IFERROR(INDEX(对接源_02物料!$H$5:$H$460,MATCH(ROW()-3-N(对接源_01水果!$T$1),对接源_02物料!$Q$5:$Q$460,0)),"")))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5" customFormat="false" ht="18" hidden="false" customHeight="true" outlineLevel="0" collapsed="false">
      <c r="A305" s="66" t="n">
        <v>302</v>
      </c>
      <c r="B305" s="67" t="str">
        <f aca="false">IF(ROW()-3&lt;=N(对接源_01水果!$T$1),"01水果",IF(ROW()-3&lt;=N(对接源_01水果!$T$1)+N(对接源_02物料!$T$1),"02物料",""))</f>
        <v/>
      </c>
      <c r="C305" s="68" t="str">
        <f aca="false">IF($B305="","",IF($B305="01水果",IFERROR(INDEX(对接源_01水果!$B$5:$B$507,MATCH(ROW()-3,对接源_01水果!$Q$5:$Q$507,0)),""),IFERROR(INDEX(对接源_02物料!$B$5:$B$460,MATCH(ROW()-3-N(对接源_01水果!$T$1),对接源_02物料!$Q$5:$Q$460,0)),"")))</f>
        <v/>
      </c>
      <c r="D305" s="67" t="str">
        <f aca="false">IF($B305="","",IF($B305="01水果",IFERROR(INDEX(对接源_01水果!$C$5:$C$507,MATCH(ROW()-3,对接源_01水果!$Q$5:$Q$507,0)),""),IFERROR(INDEX(对接源_02物料!$C$5:$C$460,MATCH(ROW()-3-N(对接源_01水果!$T$1),对接源_02物料!$Q$5:$Q$460,0)),"")))</f>
        <v/>
      </c>
      <c r="E305" s="69" t="str">
        <f aca="false">IF($B305="","",IF($B305="01水果",IFERROR(INDEX(对接源_01水果!$D$5:$D$507,MATCH(ROW()-3,对接源_01水果!$Q$5:$Q$507,0)),""),IFERROR(INDEX(对接源_02物料!$D$5:$D$460,MATCH(ROW()-3-N(对接源_01水果!$T$1),对接源_02物料!$Q$5:$Q$460,0)),"")))</f>
        <v/>
      </c>
      <c r="F305" s="67" t="str">
        <f aca="false">IF($B305="","",IF($B305="01水果",IFERROR(INDEX(对接源_01水果!$E$5:$E$507,MATCH(ROW()-3,对接源_01水果!$Q$5:$Q$507,0)),""),IFERROR(INDEX(对接源_02物料!$E$5:$E$460,MATCH(ROW()-3-N(对接源_01水果!$T$1),对接源_02物料!$Q$5:$Q$460,0)),"")))</f>
        <v/>
      </c>
      <c r="G305" s="70" t="str">
        <f aca="false">IF($B305="","",IF($B305="01水果",IFERROR(INDEX(对接源_01水果!$F$5:$F$507,MATCH(ROW()-3,对接源_01水果!$Q$5:$Q$507,0)),""),IFERROR(INDEX(对接源_02物料!$F$5:$F$460,MATCH(ROW()-3-N(对接源_01水果!$T$1),对接源_02物料!$Q$5:$Q$460,0)),"")))</f>
        <v/>
      </c>
      <c r="H305" s="70" t="str">
        <f aca="false">IF($B305="","",IF($B305="01水果",IFERROR(INDEX(对接源_01水果!$G$5:$G$507,MATCH(ROW()-3,对接源_01水果!$Q$5:$Q$507,0)),""),IFERROR(INDEX(对接源_02物料!$G$5:$G$460,MATCH(ROW()-3-N(对接源_01水果!$T$1),对接源_02物料!$Q$5:$Q$460,0)),"")))</f>
        <v/>
      </c>
      <c r="I305" s="67" t="str">
        <f aca="false">IF(OR($D305="客户应收",$D305="成品销售款",$D305="公司购买果品款",$D305="筐子销售款",$D305="物料销售款"),"客户往来",IFERROR(INDEX(收入成本映射!$C$4:$C$34,MATCH($D305,收入成本映射!$B$4:$B$34,0)),"不记账"))</f>
        <v>不记账</v>
      </c>
      <c r="J305" s="67" t="str">
        <f aca="false">IF($B305="","","0%")</f>
        <v/>
      </c>
      <c r="K305" s="70" t="n">
        <f aca="false">IF($I305="不记账",0,ROUND(N($G305),2))</f>
        <v>0</v>
      </c>
      <c r="L305" s="70" t="n">
        <v>0</v>
      </c>
      <c r="M305" s="67" t="str">
        <f aca="false">IF(OR($I305="不记账",ROUND(N($G305),2)=0),"",IFERROR(INDEX(收入成本映射!$E$4:$E$34,MATCH($D305,收入成本映射!$B$4:$B$34,0)),""))</f>
        <v/>
      </c>
      <c r="N305" s="70" t="str">
        <f aca="false">IF($M305="","",ROUND(N($G305),2))</f>
        <v/>
      </c>
      <c r="O305" s="70" t="str">
        <f aca="false">IF($M305="","",0)</f>
        <v/>
      </c>
      <c r="P305" s="67" t="str">
        <f aca="false">IF($M305="","",IFERROR(INDEX(收入成本映射!$F$4:$F$34,MATCH($D305,收入成本映射!$B$4:$B$34,0)),""))</f>
        <v/>
      </c>
      <c r="Q305" s="70" t="str">
        <f aca="false">IF($P305="","",0)</f>
        <v/>
      </c>
      <c r="R305" s="70" t="str">
        <f aca="false">IF($P305="","",ROUND(N($G305),2))</f>
        <v/>
      </c>
      <c r="S305" s="67" t="str">
        <f aca="false">""</f>
        <v/>
      </c>
      <c r="T305" s="70" t="str">
        <f aca="false">IF($S305="","",0)</f>
        <v/>
      </c>
      <c r="U305" s="70" t="str">
        <f aca="false">IF($S305="","",0)</f>
        <v/>
      </c>
      <c r="V305" s="66" t="str">
        <f aca="false">IF($B305="","",IF($B305="01水果",IFERROR(INDEX(对接源_01水果!$H$5:$H$507,MATCH(ROW()-3,对接源_01水果!$Q$5:$Q$507,0)),""),IFERROR(INDEX(对接源_02物料!$H$5:$H$460,MATCH(ROW()-3-N(对接源_01水果!$T$1),对接源_02物料!$Q$5:$Q$460,0)),"")))</f>
        <v/>
      </c>
    </row>
    <row r="306" customFormat="false" ht="16.5" hidden="false" customHeight="true" outlineLevel="0" collapsed="false">
      <c r="A306" s="71"/>
      <c r="B306" s="71"/>
      <c r="C306" s="71"/>
      <c r="D306" s="72" t="s">
        <v>229</v>
      </c>
      <c r="E306" s="71"/>
      <c r="F306" s="71"/>
      <c r="G306" s="73" t="n">
        <f aca="false">ROUND(SUM(G4:G305),2)</f>
        <v>70</v>
      </c>
      <c r="H306" s="73" t="n">
        <f aca="false">ROUND(SUM(H4:H305),2)</f>
        <v>430</v>
      </c>
      <c r="I306" s="71"/>
      <c r="J306" s="71"/>
      <c r="K306" s="73" t="n">
        <f aca="false">ROUND(SUM(K4:K305),2)</f>
        <v>70</v>
      </c>
      <c r="L306" s="73" t="n">
        <f aca="false">ROUND(SUM(L4:L305),2)</f>
        <v>0</v>
      </c>
      <c r="M306" s="71"/>
      <c r="N306" s="73" t="n">
        <f aca="false">ROUND(SUM(N4:N305),2)</f>
        <v>392</v>
      </c>
      <c r="O306" s="73" t="n">
        <f aca="false">ROUND(SUM(O4:O305),2)</f>
        <v>0</v>
      </c>
      <c r="P306" s="71"/>
      <c r="Q306" s="73" t="n">
        <f aca="false">ROUND(SUM(Q4:Q305),2)</f>
        <v>0</v>
      </c>
      <c r="R306" s="73" t="n">
        <f aca="false">ROUND(SUM(R4:R305),2)</f>
        <v>392</v>
      </c>
      <c r="S306" s="71"/>
      <c r="T306" s="73" t="n">
        <f aca="false">ROUND(SUM(T4:T305),2)</f>
        <v>0</v>
      </c>
      <c r="U306" s="73" t="n">
        <f aca="false">ROUND(SUM(U4:U305),2)</f>
        <v>0</v>
      </c>
      <c r="V306" s="71"/>
    </row>
  </sheetData>
  <autoFilter ref="A3:V306"/>
  <mergeCells count="2">
    <mergeCell ref="A1:V1"/>
    <mergeCell ref="A2:V2"/>
  </mergeCells>
  <conditionalFormatting sqref="A2">
    <cfRule type="expression" priority="2" aboveAverage="0" equalAverage="0" bottom="0" percent="0" rank="0" text="" dxfId="0">
      <formula>OR(N(N(对接源_01水果!$T$1))+N(N(对接源_02物料!$T$1))=0,N(N(对接源_01水果!$T$1))+N(N(对接源_02物料!$T$1))&gt;302,N(对接源_01水果!$T$4)*N(对接源_02物料!$T$4)=0)</formula>
    </cfRule>
  </conditionalFormatting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U1029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4" ySplit="4" topLeftCell="E35" activePane="bottomRight" state="frozen"/>
      <selection pane="topLeft" activeCell="A1" activeCellId="0" sqref="A1"/>
      <selection pane="topRight" activeCell="E1" activeCellId="0" sqref="E1"/>
      <selection pane="bottomLeft" activeCell="A35" activeCellId="0" sqref="A35"/>
      <selection pane="bottomRight" activeCell="I66" activeCellId="0" sqref="I66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true" outlineLevel="0" max="20" min="18" style="0" width="4"/>
    <col collapsed="false" customWidth="true" hidden="true" outlineLevel="0" max="21" min="21" style="0" width="12"/>
  </cols>
  <sheetData>
    <row r="1" customFormat="false" ht="30" hidden="false" customHeight="true" outlineLevel="0" collapsed="false">
      <c r="A1" s="31" t="s">
        <v>230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customFormat="false" ht="18" hidden="false" customHeight="true" outlineLevel="0" collapsed="false">
      <c r="A2" s="2" t="s">
        <v>231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A3" s="4" t="s">
        <v>232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30" hidden="false" customHeight="true" outlineLevel="0" collapsed="false">
      <c r="A4" s="37" t="s">
        <v>3</v>
      </c>
      <c r="B4" s="37" t="s">
        <v>208</v>
      </c>
      <c r="C4" s="37" t="s">
        <v>190</v>
      </c>
      <c r="D4" s="37" t="s">
        <v>233</v>
      </c>
      <c r="E4" s="37" t="s">
        <v>234</v>
      </c>
      <c r="F4" s="37" t="s">
        <v>235</v>
      </c>
      <c r="G4" s="37" t="s">
        <v>236</v>
      </c>
      <c r="H4" s="37" t="s">
        <v>237</v>
      </c>
      <c r="I4" s="37" t="s">
        <v>238</v>
      </c>
      <c r="J4" s="37" t="s">
        <v>239</v>
      </c>
      <c r="K4" s="37" t="s">
        <v>240</v>
      </c>
      <c r="L4" s="37" t="s">
        <v>241</v>
      </c>
      <c r="M4" s="37" t="s">
        <v>242</v>
      </c>
      <c r="N4" s="37" t="s">
        <v>174</v>
      </c>
    </row>
    <row r="5" customFormat="false" ht="13.5" hidden="false" customHeight="false" outlineLevel="0" collapsed="false">
      <c r="A5" s="9" t="n">
        <f aca="false">IF($B5="","",ROW()-4)</f>
        <v>1</v>
      </c>
      <c r="B5" s="39" t="str">
        <f aca="false">IFERROR(INDEX(对接源_01入库吨位!$B$5:$B$304,MATCH(INT((ROW()-5)/3)+1,对接源_01入库吨位!$S$5:$S$304,0)),"")</f>
        <v>聂新平</v>
      </c>
      <c r="C5" s="39" t="str">
        <f aca="false">IFERROR(INDEX(对接源_01入库吨位!$C$5:$C$304,MATCH(INT((ROW()-5)/3)+1,对接源_01入库吨位!$S$5:$S$304,0)),"")</f>
        <v>苹果</v>
      </c>
      <c r="D5" s="40" t="str">
        <f aca="false">IF($B5="","",IF(MOD(ROW()-5,3)=0,"周转打冷",IF(MOD(ROW()-5,3)=1,"仓储加工","装卸费")))</f>
        <v>周转打冷</v>
      </c>
      <c r="E5" s="51" t="n">
        <f aca="false">IF($B5="","",IFERROR(IF($D5="周转打冷",N(INDEX(对接源_01入库吨位!$D$5:$D$304,MATCH(INT((ROW()-5)/3)+1,对接源_01入库吨位!$S$5:$S$304,0))),IF($D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1729</v>
      </c>
      <c r="F5" s="41" t="n">
        <f aca="false">IF($B5="","",ROUND(IFERROR(IF($D5="周转打冷",N(INDEX(对接源_01入库吨位!$H$5:$H$304,MATCH(INT((ROW()-5)/3)+1,对接源_01入库吨位!$S$5:$S$304,0))),IF($D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37692.2</v>
      </c>
      <c r="G5" s="52" t="n">
        <f aca="false">IF($B5="","",ROUND(N($F5)/1000,3))</f>
        <v>37.692</v>
      </c>
      <c r="H5" s="74" t="s">
        <v>243</v>
      </c>
      <c r="I5" s="44" t="n">
        <v>100</v>
      </c>
      <c r="J5" s="75" t="n">
        <f aca="false">IF($B5="","",IF($H5="按筐数×单价",N($E5),IF($H5="按总重KG×单价",N($F5),IF($H5="按吨位×单价",N($G5),0))))</f>
        <v>37692.2</v>
      </c>
      <c r="K5" s="41" t="n">
        <f aca="false">IF($B5="","",ROUND(N($J5)*N($I5),2))</f>
        <v>3769220</v>
      </c>
      <c r="L5" s="42"/>
      <c r="M5" s="76"/>
      <c r="N5" s="43"/>
      <c r="R5" s="77" t="str">
        <f aca="false">IF($B5="","",$B5)</f>
        <v>聂新平</v>
      </c>
      <c r="S5" s="77" t="n">
        <f aca="false">IF($R5="",0,IF(MATCH($R5,$R$5:$R$904,0)=ROW()-4,1,0))</f>
        <v>1</v>
      </c>
      <c r="T5" s="77" t="n">
        <f aca="false">N(T4)+$S5</f>
        <v>1</v>
      </c>
      <c r="U5" s="77" t="str">
        <f aca="false">IFERROR(INDEX($B$5:$B$904,MATCH(1,$T$5:$T$904,0)),"")</f>
        <v>聂新平</v>
      </c>
    </row>
    <row r="6" customFormat="false" ht="13.5" hidden="false" customHeight="false" outlineLevel="0" collapsed="false">
      <c r="A6" s="9" t="n">
        <f aca="false">IF($B6="","",ROW()-4)</f>
        <v>2</v>
      </c>
      <c r="B6" s="39" t="str">
        <f aca="false">IFERROR(INDEX(对接源_01入库吨位!$B$5:$B$304,MATCH(INT((ROW()-5)/3)+1,对接源_01入库吨位!$S$5:$S$304,0)),"")</f>
        <v>聂新平</v>
      </c>
      <c r="C6" s="39" t="str">
        <f aca="false">IFERROR(INDEX(对接源_01入库吨位!$C$5:$C$304,MATCH(INT((ROW()-5)/3)+1,对接源_01入库吨位!$S$5:$S$304,0)),"")</f>
        <v>苹果</v>
      </c>
      <c r="D6" s="40" t="str">
        <f aca="false">IF($B6="","",IF(MOD(ROW()-5,3)=0,"周转打冷",IF(MOD(ROW()-5,3)=1,"仓储加工","装卸费")))</f>
        <v>仓储加工</v>
      </c>
      <c r="E6" s="51" t="n">
        <f aca="false">IF($B6="","",IFERROR(IF($D6="周转打冷",N(INDEX(对接源_01入库吨位!$D$5:$D$304,MATCH(INT((ROW()-5)/3)+1,对接源_01入库吨位!$S$5:$S$304,0))),IF($D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" s="41" t="n">
        <f aca="false">IF($B6="","",ROUND(IFERROR(IF($D6="周转打冷",N(INDEX(对接源_01入库吨位!$H$5:$H$304,MATCH(INT((ROW()-5)/3)+1,对接源_01入库吨位!$S$5:$S$304,0))),IF($D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" s="52" t="n">
        <f aca="false">IF($B6="","",ROUND(N($F6)/1000,3))</f>
        <v>0</v>
      </c>
      <c r="H6" s="74"/>
      <c r="I6" s="44"/>
      <c r="J6" s="75" t="n">
        <f aca="false">IF($B6="","",IF($H6="按筐数×单价",N($E6),IF($H6="按总重KG×单价",N($F6),IF($H6="按吨位×单价",N($G6),0))))</f>
        <v>0</v>
      </c>
      <c r="K6" s="41" t="n">
        <f aca="false">IF($B6="","",ROUND(N($J6)*N($I6),2))</f>
        <v>0</v>
      </c>
      <c r="L6" s="42"/>
      <c r="M6" s="76"/>
      <c r="N6" s="43"/>
      <c r="R6" s="77" t="str">
        <f aca="false">IF($B6="","",$B6)</f>
        <v>聂新平</v>
      </c>
      <c r="S6" s="77" t="n">
        <f aca="false">IF($R6="",0,IF(MATCH($R6,$R$5:$R$904,0)=ROW()-4,1,0))</f>
        <v>0</v>
      </c>
      <c r="T6" s="77" t="n">
        <f aca="false">N(T5)+$S6</f>
        <v>1</v>
      </c>
      <c r="U6" s="77" t="str">
        <f aca="false">IFERROR(INDEX($B$5:$B$904,MATCH(2,$T$5:$T$904,0)),"")</f>
        <v>王照雪</v>
      </c>
    </row>
    <row r="7" customFormat="false" ht="13.5" hidden="false" customHeight="false" outlineLevel="0" collapsed="false">
      <c r="A7" s="9" t="n">
        <f aca="false">IF($B7="","",ROW()-4)</f>
        <v>3</v>
      </c>
      <c r="B7" s="39" t="str">
        <f aca="false">IFERROR(INDEX(对接源_01入库吨位!$B$5:$B$304,MATCH(INT((ROW()-5)/3)+1,对接源_01入库吨位!$S$5:$S$304,0)),"")</f>
        <v>聂新平</v>
      </c>
      <c r="C7" s="39" t="str">
        <f aca="false">IFERROR(INDEX(对接源_01入库吨位!$C$5:$C$304,MATCH(INT((ROW()-5)/3)+1,对接源_01入库吨位!$S$5:$S$304,0)),"")</f>
        <v>苹果</v>
      </c>
      <c r="D7" s="40" t="str">
        <f aca="false">IF($B7="","",IF(MOD(ROW()-5,3)=0,"周转打冷",IF(MOD(ROW()-5,3)=1,"仓储加工","装卸费")))</f>
        <v>装卸费</v>
      </c>
      <c r="E7" s="51" t="n">
        <f aca="false">IF($B7="","",IFERROR(IF($D7="周转打冷",N(INDEX(对接源_01入库吨位!$D$5:$D$304,MATCH(INT((ROW()-5)/3)+1,对接源_01入库吨位!$S$5:$S$304,0))),IF($D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1729</v>
      </c>
      <c r="F7" s="41" t="n">
        <f aca="false">IF($B7="","",ROUND(IFERROR(IF($D7="周转打冷",N(INDEX(对接源_01入库吨位!$H$5:$H$304,MATCH(INT((ROW()-5)/3)+1,对接源_01入库吨位!$S$5:$S$304,0))),IF($D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37692.2</v>
      </c>
      <c r="G7" s="52" t="n">
        <f aca="false">IF($B7="","",ROUND(N($F7)/1000,3))</f>
        <v>37.692</v>
      </c>
      <c r="H7" s="74" t="s">
        <v>243</v>
      </c>
      <c r="I7" s="44" t="n">
        <v>50</v>
      </c>
      <c r="J7" s="75" t="n">
        <f aca="false">IF($B7="","",IF($H7="按筐数×单价",N($E7),IF($H7="按总重KG×单价",N($F7),IF($H7="按吨位×单价",N($G7),0))))</f>
        <v>37692.2</v>
      </c>
      <c r="K7" s="41" t="n">
        <f aca="false">IF($B7="","",ROUND(N($J7)*N($I7),2))</f>
        <v>1884610</v>
      </c>
      <c r="L7" s="42"/>
      <c r="M7" s="76"/>
      <c r="N7" s="43"/>
      <c r="R7" s="77" t="str">
        <f aca="false">IF($B7="","",$B7)</f>
        <v>聂新平</v>
      </c>
      <c r="S7" s="77" t="n">
        <f aca="false">IF($R7="",0,IF(MATCH($R7,$R$5:$R$904,0)=ROW()-4,1,0))</f>
        <v>0</v>
      </c>
      <c r="T7" s="77" t="n">
        <f aca="false">N(T6)+$S7</f>
        <v>1</v>
      </c>
      <c r="U7" s="77" t="str">
        <f aca="false">IFERROR(INDEX($B$5:$B$904,MATCH(3,$T$5:$T$904,0)),"")</f>
        <v>伍元虎</v>
      </c>
    </row>
    <row r="8" customFormat="false" ht="13.5" hidden="false" customHeight="false" outlineLevel="0" collapsed="false">
      <c r="A8" s="9" t="n">
        <f aca="false">IF($B8="","",ROW()-4)</f>
        <v>4</v>
      </c>
      <c r="B8" s="39" t="str">
        <f aca="false">IFERROR(INDEX(对接源_01入库吨位!$B$5:$B$304,MATCH(INT((ROW()-5)/3)+1,对接源_01入库吨位!$S$5:$S$304,0)),"")</f>
        <v>王照雪</v>
      </c>
      <c r="C8" s="39" t="str">
        <f aca="false">IFERROR(INDEX(对接源_01入库吨位!$C$5:$C$304,MATCH(INT((ROW()-5)/3)+1,对接源_01入库吨位!$S$5:$S$304,0)),"")</f>
        <v>苹果</v>
      </c>
      <c r="D8" s="40" t="str">
        <f aca="false">IF($B8="","",IF(MOD(ROW()-5,3)=0,"周转打冷",IF(MOD(ROW()-5,3)=1,"仓储加工","装卸费")))</f>
        <v>周转打冷</v>
      </c>
      <c r="E8" s="51" t="n">
        <f aca="false">IF($B8="","",IFERROR(IF($D8="周转打冷",N(INDEX(对接源_01入库吨位!$D$5:$D$304,MATCH(INT((ROW()-5)/3)+1,对接源_01入库吨位!$S$5:$S$304,0))),IF($D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2385</v>
      </c>
      <c r="F8" s="41" t="n">
        <f aca="false">IF($B8="","",ROUND(IFERROR(IF($D8="周转打冷",N(INDEX(对接源_01入库吨位!$H$5:$H$304,MATCH(INT((ROW()-5)/3)+1,对接源_01入库吨位!$S$5:$S$304,0))),IF($D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41829.5</v>
      </c>
      <c r="G8" s="52" t="n">
        <f aca="false">IF($B8="","",ROUND(N($F8)/1000,3))</f>
        <v>41.83</v>
      </c>
      <c r="H8" s="74" t="s">
        <v>243</v>
      </c>
      <c r="I8" s="44" t="n">
        <v>100</v>
      </c>
      <c r="J8" s="75" t="n">
        <f aca="false">IF($B8="","",IF($H8="按筐数×单价",N($E8),IF($H8="按总重KG×单价",N($F8),IF($H8="按吨位×单价",N($G8),0))))</f>
        <v>41829.5</v>
      </c>
      <c r="K8" s="41" t="n">
        <f aca="false">IF($B8="","",ROUND(N($J8)*N($I8),2))</f>
        <v>4182950</v>
      </c>
      <c r="L8" s="42"/>
      <c r="M8" s="76"/>
      <c r="N8" s="43"/>
      <c r="R8" s="77" t="str">
        <f aca="false">IF($B8="","",$B8)</f>
        <v>王照雪</v>
      </c>
      <c r="S8" s="77" t="n">
        <f aca="false">IF($R8="",0,IF(MATCH($R8,$R$5:$R$904,0)=ROW()-4,1,0))</f>
        <v>1</v>
      </c>
      <c r="T8" s="77" t="n">
        <f aca="false">N(T7)+$S8</f>
        <v>2</v>
      </c>
      <c r="U8" s="77" t="str">
        <f aca="false">IFERROR(INDEX($B$5:$B$904,MATCH(4,$T$5:$T$904,0)),"")</f>
        <v>马锦祥</v>
      </c>
    </row>
    <row r="9" customFormat="false" ht="13.5" hidden="false" customHeight="false" outlineLevel="0" collapsed="false">
      <c r="A9" s="9" t="n">
        <f aca="false">IF($B9="","",ROW()-4)</f>
        <v>5</v>
      </c>
      <c r="B9" s="39" t="str">
        <f aca="false">IFERROR(INDEX(对接源_01入库吨位!$B$5:$B$304,MATCH(INT((ROW()-5)/3)+1,对接源_01入库吨位!$S$5:$S$304,0)),"")</f>
        <v>王照雪</v>
      </c>
      <c r="C9" s="39" t="str">
        <f aca="false">IFERROR(INDEX(对接源_01入库吨位!$C$5:$C$304,MATCH(INT((ROW()-5)/3)+1,对接源_01入库吨位!$S$5:$S$304,0)),"")</f>
        <v>苹果</v>
      </c>
      <c r="D9" s="40" t="str">
        <f aca="false">IF($B9="","",IF(MOD(ROW()-5,3)=0,"周转打冷",IF(MOD(ROW()-5,3)=1,"仓储加工","装卸费")))</f>
        <v>仓储加工</v>
      </c>
      <c r="E9" s="51" t="n">
        <f aca="false">IF($B9="","",IFERROR(IF($D9="周转打冷",N(INDEX(对接源_01入库吨位!$D$5:$D$304,MATCH(INT((ROW()-5)/3)+1,对接源_01入库吨位!$S$5:$S$304,0))),IF($D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9" s="41" t="n">
        <f aca="false">IF($B9="","",ROUND(IFERROR(IF($D9="周转打冷",N(INDEX(对接源_01入库吨位!$H$5:$H$304,MATCH(INT((ROW()-5)/3)+1,对接源_01入库吨位!$S$5:$S$304,0))),IF($D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9" s="52" t="n">
        <f aca="false">IF($B9="","",ROUND(N($F9)/1000,3))</f>
        <v>0</v>
      </c>
      <c r="H9" s="74"/>
      <c r="I9" s="44"/>
      <c r="J9" s="75" t="n">
        <f aca="false">IF($B9="","",IF($H9="按筐数×单价",N($E9),IF($H9="按总重KG×单价",N($F9),IF($H9="按吨位×单价",N($G9),0))))</f>
        <v>0</v>
      </c>
      <c r="K9" s="41" t="n">
        <f aca="false">IF($B9="","",ROUND(N($J9)*N($I9),2))</f>
        <v>0</v>
      </c>
      <c r="L9" s="42"/>
      <c r="M9" s="76"/>
      <c r="N9" s="43"/>
      <c r="R9" s="77" t="str">
        <f aca="false">IF($B9="","",$B9)</f>
        <v>王照雪</v>
      </c>
      <c r="S9" s="77" t="n">
        <f aca="false">IF($R9="",0,IF(MATCH($R9,$R$5:$R$904,0)=ROW()-4,1,0))</f>
        <v>0</v>
      </c>
      <c r="T9" s="77" t="n">
        <f aca="false">N(T8)+$S9</f>
        <v>2</v>
      </c>
      <c r="U9" s="77" t="str">
        <f aca="false">IFERROR(INDEX($B$5:$B$904,MATCH(5,$T$5:$T$904,0)),"")</f>
        <v>麦麦提</v>
      </c>
    </row>
    <row r="10" customFormat="false" ht="13.5" hidden="false" customHeight="false" outlineLevel="0" collapsed="false">
      <c r="A10" s="9" t="n">
        <f aca="false">IF($B10="","",ROW()-4)</f>
        <v>6</v>
      </c>
      <c r="B10" s="39" t="str">
        <f aca="false">IFERROR(INDEX(对接源_01入库吨位!$B$5:$B$304,MATCH(INT((ROW()-5)/3)+1,对接源_01入库吨位!$S$5:$S$304,0)),"")</f>
        <v>王照雪</v>
      </c>
      <c r="C10" s="39" t="str">
        <f aca="false">IFERROR(INDEX(对接源_01入库吨位!$C$5:$C$304,MATCH(INT((ROW()-5)/3)+1,对接源_01入库吨位!$S$5:$S$304,0)),"")</f>
        <v>苹果</v>
      </c>
      <c r="D10" s="40" t="str">
        <f aca="false">IF($B10="","",IF(MOD(ROW()-5,3)=0,"周转打冷",IF(MOD(ROW()-5,3)=1,"仓储加工","装卸费")))</f>
        <v>装卸费</v>
      </c>
      <c r="E10" s="51" t="n">
        <f aca="false">IF($B10="","",IFERROR(IF($D10="周转打冷",N(INDEX(对接源_01入库吨位!$D$5:$D$304,MATCH(INT((ROW()-5)/3)+1,对接源_01入库吨位!$S$5:$S$304,0))),IF($D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2385</v>
      </c>
      <c r="F10" s="41" t="n">
        <f aca="false">IF($B10="","",ROUND(IFERROR(IF($D10="周转打冷",N(INDEX(对接源_01入库吨位!$H$5:$H$304,MATCH(INT((ROW()-5)/3)+1,对接源_01入库吨位!$S$5:$S$304,0))),IF($D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41829.5</v>
      </c>
      <c r="G10" s="52" t="n">
        <f aca="false">IF($B10="","",ROUND(N($F10)/1000,3))</f>
        <v>41.83</v>
      </c>
      <c r="H10" s="74" t="s">
        <v>243</v>
      </c>
      <c r="I10" s="44" t="n">
        <v>50</v>
      </c>
      <c r="J10" s="75" t="n">
        <f aca="false">IF($B10="","",IF($H10="按筐数×单价",N($E10),IF($H10="按总重KG×单价",N($F10),IF($H10="按吨位×单价",N($G10),0))))</f>
        <v>41829.5</v>
      </c>
      <c r="K10" s="41" t="n">
        <f aca="false">IF($B10="","",ROUND(N($J10)*N($I10),2))</f>
        <v>2091475</v>
      </c>
      <c r="L10" s="42"/>
      <c r="M10" s="76"/>
      <c r="N10" s="43"/>
      <c r="R10" s="77" t="str">
        <f aca="false">IF($B10="","",$B10)</f>
        <v>王照雪</v>
      </c>
      <c r="S10" s="77" t="n">
        <f aca="false">IF($R10="",0,IF(MATCH($R10,$R$5:$R$904,0)=ROW()-4,1,0))</f>
        <v>0</v>
      </c>
      <c r="T10" s="77" t="n">
        <f aca="false">N(T9)+$S10</f>
        <v>2</v>
      </c>
      <c r="U10" s="77" t="str">
        <f aca="false">IFERROR(INDEX($B$5:$B$904,MATCH(6,$T$5:$T$904,0)),"")</f>
        <v>吐尔洪</v>
      </c>
    </row>
    <row r="11" customFormat="false" ht="13.5" hidden="false" customHeight="false" outlineLevel="0" collapsed="false">
      <c r="A11" s="9" t="n">
        <f aca="false">IF($B11="","",ROW()-4)</f>
        <v>7</v>
      </c>
      <c r="B11" s="39" t="str">
        <f aca="false">IFERROR(INDEX(对接源_01入库吨位!$B$5:$B$304,MATCH(INT((ROW()-5)/3)+1,对接源_01入库吨位!$S$5:$S$304,0)),"")</f>
        <v>伍元虎</v>
      </c>
      <c r="C11" s="39" t="str">
        <f aca="false">IFERROR(INDEX(对接源_01入库吨位!$C$5:$C$304,MATCH(INT((ROW()-5)/3)+1,对接源_01入库吨位!$S$5:$S$304,0)),"")</f>
        <v>苹果</v>
      </c>
      <c r="D11" s="40" t="str">
        <f aca="false">IF($B11="","",IF(MOD(ROW()-5,3)=0,"周转打冷",IF(MOD(ROW()-5,3)=1,"仓储加工","装卸费")))</f>
        <v>周转打冷</v>
      </c>
      <c r="E11" s="51" t="n">
        <f aca="false">IF($B11="","",IFERROR(IF($D11="周转打冷",N(INDEX(对接源_01入库吨位!$D$5:$D$304,MATCH(INT((ROW()-5)/3)+1,对接源_01入库吨位!$S$5:$S$304,0))),IF($D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87</v>
      </c>
      <c r="F11" s="41" t="n">
        <f aca="false">IF($B11="","",ROUND(IFERROR(IF($D11="周转打冷",N(INDEX(对接源_01入库吨位!$H$5:$H$304,MATCH(INT((ROW()-5)/3)+1,对接源_01入库吨位!$S$5:$S$304,0))),IF($D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1957.5</v>
      </c>
      <c r="G11" s="52" t="n">
        <f aca="false">IF($B11="","",ROUND(N($F11)/1000,3))</f>
        <v>1.958</v>
      </c>
      <c r="H11" s="74"/>
      <c r="I11" s="44"/>
      <c r="J11" s="75" t="n">
        <f aca="false">IF($B11="","",IF($H11="按筐数×单价",N($E11),IF($H11="按总重KG×单价",N($F11),IF($H11="按吨位×单价",N($G11),0))))</f>
        <v>0</v>
      </c>
      <c r="K11" s="41" t="n">
        <f aca="false">IF($B11="","",ROUND(N($J11)*N($I11),2))</f>
        <v>0</v>
      </c>
      <c r="L11" s="42"/>
      <c r="M11" s="76"/>
      <c r="N11" s="78" t="s">
        <v>244</v>
      </c>
      <c r="R11" s="77" t="str">
        <f aca="false">IF($B11="","",$B11)</f>
        <v>伍元虎</v>
      </c>
      <c r="S11" s="77" t="n">
        <f aca="false">IF($R11="",0,IF(MATCH($R11,$R$5:$R$904,0)=ROW()-4,1,0))</f>
        <v>1</v>
      </c>
      <c r="T11" s="77" t="n">
        <f aca="false">N(T10)+$S11</f>
        <v>3</v>
      </c>
      <c r="U11" s="77" t="str">
        <f aca="false">IFERROR(INDEX($B$5:$B$904,MATCH(7,$T$5:$T$904,0)),"")</f>
        <v>热合曼</v>
      </c>
    </row>
    <row r="12" customFormat="false" ht="13.5" hidden="false" customHeight="false" outlineLevel="0" collapsed="false">
      <c r="A12" s="9" t="n">
        <f aca="false">IF($B12="","",ROW()-4)</f>
        <v>8</v>
      </c>
      <c r="B12" s="39" t="str">
        <f aca="false">IFERROR(INDEX(对接源_01入库吨位!$B$5:$B$304,MATCH(INT((ROW()-5)/3)+1,对接源_01入库吨位!$S$5:$S$304,0)),"")</f>
        <v>伍元虎</v>
      </c>
      <c r="C12" s="39" t="str">
        <f aca="false">IFERROR(INDEX(对接源_01入库吨位!$C$5:$C$304,MATCH(INT((ROW()-5)/3)+1,对接源_01入库吨位!$S$5:$S$304,0)),"")</f>
        <v>苹果</v>
      </c>
      <c r="D12" s="40" t="str">
        <f aca="false">IF($B12="","",IF(MOD(ROW()-5,3)=0,"周转打冷",IF(MOD(ROW()-5,3)=1,"仓储加工","装卸费")))</f>
        <v>仓储加工</v>
      </c>
      <c r="E12" s="51" t="n">
        <f aca="false">IF($B12="","",IFERROR(IF($D12="周转打冷",N(INDEX(对接源_01入库吨位!$D$5:$D$304,MATCH(INT((ROW()-5)/3)+1,对接源_01入库吨位!$S$5:$S$304,0))),IF($D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2" s="41" t="n">
        <f aca="false">IF($B12="","",ROUND(IFERROR(IF($D12="周转打冷",N(INDEX(对接源_01入库吨位!$H$5:$H$304,MATCH(INT((ROW()-5)/3)+1,对接源_01入库吨位!$S$5:$S$304,0))),IF($D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2" s="52" t="n">
        <f aca="false">IF($B12="","",ROUND(N($F12)/1000,3))</f>
        <v>0</v>
      </c>
      <c r="H12" s="74"/>
      <c r="I12" s="44"/>
      <c r="J12" s="75" t="n">
        <f aca="false">IF($B12="","",IF($H12="按筐数×单价",N($E12),IF($H12="按总重KG×单价",N($F12),IF($H12="按吨位×单价",N($G12),0))))</f>
        <v>0</v>
      </c>
      <c r="K12" s="41" t="n">
        <f aca="false">IF($B12="","",ROUND(N($J12)*N($I12),2))</f>
        <v>0</v>
      </c>
      <c r="L12" s="42"/>
      <c r="M12" s="76"/>
      <c r="N12" s="43"/>
      <c r="R12" s="77" t="str">
        <f aca="false">IF($B12="","",$B12)</f>
        <v>伍元虎</v>
      </c>
      <c r="S12" s="77" t="n">
        <f aca="false">IF($R12="",0,IF(MATCH($R12,$R$5:$R$904,0)=ROW()-4,1,0))</f>
        <v>0</v>
      </c>
      <c r="T12" s="77" t="n">
        <f aca="false">N(T11)+$S12</f>
        <v>3</v>
      </c>
      <c r="U12" s="77" t="str">
        <f aca="false">IFERROR(INDEX($B$5:$B$904,MATCH(8,$T$5:$T$904,0)),"")</f>
        <v>贾建国</v>
      </c>
    </row>
    <row r="13" customFormat="false" ht="13.5" hidden="false" customHeight="false" outlineLevel="0" collapsed="false">
      <c r="A13" s="9" t="n">
        <f aca="false">IF($B13="","",ROW()-4)</f>
        <v>9</v>
      </c>
      <c r="B13" s="39" t="str">
        <f aca="false">IFERROR(INDEX(对接源_01入库吨位!$B$5:$B$304,MATCH(INT((ROW()-5)/3)+1,对接源_01入库吨位!$S$5:$S$304,0)),"")</f>
        <v>伍元虎</v>
      </c>
      <c r="C13" s="39" t="str">
        <f aca="false">IFERROR(INDEX(对接源_01入库吨位!$C$5:$C$304,MATCH(INT((ROW()-5)/3)+1,对接源_01入库吨位!$S$5:$S$304,0)),"")</f>
        <v>苹果</v>
      </c>
      <c r="D13" s="40" t="str">
        <f aca="false">IF($B13="","",IF(MOD(ROW()-5,3)=0,"周转打冷",IF(MOD(ROW()-5,3)=1,"仓储加工","装卸费")))</f>
        <v>装卸费</v>
      </c>
      <c r="E13" s="51" t="n">
        <f aca="false">IF($B13="","",IFERROR(IF($D13="周转打冷",N(INDEX(对接源_01入库吨位!$D$5:$D$304,MATCH(INT((ROW()-5)/3)+1,对接源_01入库吨位!$S$5:$S$304,0))),IF($D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87</v>
      </c>
      <c r="F13" s="41" t="n">
        <f aca="false">IF($B13="","",ROUND(IFERROR(IF($D13="周转打冷",N(INDEX(对接源_01入库吨位!$H$5:$H$304,MATCH(INT((ROW()-5)/3)+1,对接源_01入库吨位!$S$5:$S$304,0))),IF($D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1957.5</v>
      </c>
      <c r="G13" s="52" t="n">
        <f aca="false">IF($B13="","",ROUND(N($F13)/1000,3))</f>
        <v>1.958</v>
      </c>
      <c r="H13" s="74" t="s">
        <v>245</v>
      </c>
      <c r="I13" s="44" t="n">
        <v>50</v>
      </c>
      <c r="J13" s="75" t="n">
        <f aca="false">IF($B13="","",IF($H13="按筐数×单价",N($E13),IF($H13="按总重KG×单价",N($F13),IF($H13="按吨位×单价",N($G13),0))))</f>
        <v>1.958</v>
      </c>
      <c r="K13" s="41" t="n">
        <f aca="false">IF($B13="","",ROUND(N($J13)*N($I13),2))</f>
        <v>97.9</v>
      </c>
      <c r="L13" s="42"/>
      <c r="M13" s="76"/>
      <c r="N13" s="43"/>
      <c r="R13" s="77" t="str">
        <f aca="false">IF($B13="","",$B13)</f>
        <v>伍元虎</v>
      </c>
      <c r="S13" s="77" t="n">
        <f aca="false">IF($R13="",0,IF(MATCH($R13,$R$5:$R$904,0)=ROW()-4,1,0))</f>
        <v>0</v>
      </c>
      <c r="T13" s="77" t="n">
        <f aca="false">N(T12)+$S13</f>
        <v>3</v>
      </c>
      <c r="U13" s="77" t="str">
        <f aca="false">IFERROR(INDEX($B$5:$B$904,MATCH(9,$T$5:$T$904,0)),"")</f>
        <v>王灵云</v>
      </c>
    </row>
    <row r="14" customFormat="false" ht="13.5" hidden="false" customHeight="false" outlineLevel="0" collapsed="false">
      <c r="A14" s="9" t="n">
        <f aca="false">IF($B14="","",ROW()-4)</f>
        <v>10</v>
      </c>
      <c r="B14" s="39" t="str">
        <f aca="false">IFERROR(INDEX(对接源_01入库吨位!$B$5:$B$304,MATCH(INT((ROW()-5)/3)+1,对接源_01入库吨位!$S$5:$S$304,0)),"")</f>
        <v>王照雪</v>
      </c>
      <c r="C14" s="39" t="str">
        <f aca="false">IFERROR(INDEX(对接源_01入库吨位!$C$5:$C$304,MATCH(INT((ROW()-5)/3)+1,对接源_01入库吨位!$S$5:$S$304,0)),"")</f>
        <v>李子</v>
      </c>
      <c r="D14" s="40" t="str">
        <f aca="false">IF($B14="","",IF(MOD(ROW()-5,3)=0,"周转打冷",IF(MOD(ROW()-5,3)=1,"仓储加工","装卸费")))</f>
        <v>周转打冷</v>
      </c>
      <c r="E14" s="51" t="n">
        <f aca="false">IF($B14="","",IFERROR(IF($D14="周转打冷",N(INDEX(对接源_01入库吨位!$D$5:$D$304,MATCH(INT((ROW()-5)/3)+1,对接源_01入库吨位!$S$5:$S$304,0))),IF($D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422</v>
      </c>
      <c r="F14" s="41" t="n">
        <f aca="false">IF($B14="","",ROUND(IFERROR(IF($D14="周转打冷",N(INDEX(对接源_01入库吨位!$H$5:$H$304,MATCH(INT((ROW()-5)/3)+1,对接源_01入库吨位!$S$5:$S$304,0))),IF($D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6878.6</v>
      </c>
      <c r="G14" s="52" t="n">
        <f aca="false">IF($B14="","",ROUND(N($F14)/1000,3))</f>
        <v>6.879</v>
      </c>
      <c r="H14" s="74" t="s">
        <v>245</v>
      </c>
      <c r="I14" s="44" t="n">
        <v>100</v>
      </c>
      <c r="J14" s="75" t="n">
        <f aca="false">IF($B14="","",IF($H14="按筐数×单价",N($E14),IF($H14="按总重KG×单价",N($F14),IF($H14="按吨位×单价",N($G14),0))))</f>
        <v>6.879</v>
      </c>
      <c r="K14" s="41" t="n">
        <f aca="false">IF($B14="","",ROUND(N($J14)*N($I14),2))</f>
        <v>687.9</v>
      </c>
      <c r="L14" s="42"/>
      <c r="M14" s="76"/>
      <c r="N14" s="43"/>
      <c r="R14" s="77" t="str">
        <f aca="false">IF($B14="","",$B14)</f>
        <v>王照雪</v>
      </c>
      <c r="S14" s="77" t="n">
        <f aca="false">IF($R14="",0,IF(MATCH($R14,$R$5:$R$904,0)=ROW()-4,1,0))</f>
        <v>0</v>
      </c>
      <c r="T14" s="77" t="n">
        <f aca="false">N(T13)+$S14</f>
        <v>3</v>
      </c>
      <c r="U14" s="77" t="str">
        <f aca="false">IFERROR(INDEX($B$5:$B$904,MATCH(10,$T$5:$T$904,0)),"")</f>
        <v>杨艳玲</v>
      </c>
    </row>
    <row r="15" customFormat="false" ht="13.5" hidden="false" customHeight="false" outlineLevel="0" collapsed="false">
      <c r="A15" s="9" t="n">
        <f aca="false">IF($B15="","",ROW()-4)</f>
        <v>11</v>
      </c>
      <c r="B15" s="39" t="str">
        <f aca="false">IFERROR(INDEX(对接源_01入库吨位!$B$5:$B$304,MATCH(INT((ROW()-5)/3)+1,对接源_01入库吨位!$S$5:$S$304,0)),"")</f>
        <v>王照雪</v>
      </c>
      <c r="C15" s="39" t="str">
        <f aca="false">IFERROR(INDEX(对接源_01入库吨位!$C$5:$C$304,MATCH(INT((ROW()-5)/3)+1,对接源_01入库吨位!$S$5:$S$304,0)),"")</f>
        <v>李子</v>
      </c>
      <c r="D15" s="40" t="str">
        <f aca="false">IF($B15="","",IF(MOD(ROW()-5,3)=0,"周转打冷",IF(MOD(ROW()-5,3)=1,"仓储加工","装卸费")))</f>
        <v>仓储加工</v>
      </c>
      <c r="E15" s="51" t="n">
        <f aca="false">IF($B15="","",IFERROR(IF($D15="周转打冷",N(INDEX(对接源_01入库吨位!$D$5:$D$304,MATCH(INT((ROW()-5)/3)+1,对接源_01入库吨位!$S$5:$S$304,0))),IF($D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5" s="41" t="n">
        <f aca="false">IF($B15="","",ROUND(IFERROR(IF($D15="周转打冷",N(INDEX(对接源_01入库吨位!$H$5:$H$304,MATCH(INT((ROW()-5)/3)+1,对接源_01入库吨位!$S$5:$S$304,0))),IF($D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5" s="52" t="n">
        <f aca="false">IF($B15="","",ROUND(N($F15)/1000,3))</f>
        <v>0</v>
      </c>
      <c r="H15" s="74"/>
      <c r="I15" s="44"/>
      <c r="J15" s="75" t="n">
        <f aca="false">IF($B15="","",IF($H15="按筐数×单价",N($E15),IF($H15="按总重KG×单价",N($F15),IF($H15="按吨位×单价",N($G15),0))))</f>
        <v>0</v>
      </c>
      <c r="K15" s="41" t="n">
        <f aca="false">IF($B15="","",ROUND(N($J15)*N($I15),2))</f>
        <v>0</v>
      </c>
      <c r="L15" s="42"/>
      <c r="M15" s="76"/>
      <c r="N15" s="43"/>
      <c r="R15" s="77" t="str">
        <f aca="false">IF($B15="","",$B15)</f>
        <v>王照雪</v>
      </c>
      <c r="S15" s="77" t="n">
        <f aca="false">IF($R15="",0,IF(MATCH($R15,$R$5:$R$904,0)=ROW()-4,1,0))</f>
        <v>0</v>
      </c>
      <c r="T15" s="77" t="n">
        <f aca="false">N(T14)+$S15</f>
        <v>3</v>
      </c>
      <c r="U15" s="77" t="str">
        <f aca="false">IFERROR(INDEX($B$5:$B$904,MATCH(11,$T$5:$T$904,0)),"")</f>
        <v>荆建君</v>
      </c>
    </row>
    <row r="16" customFormat="false" ht="13.5" hidden="false" customHeight="false" outlineLevel="0" collapsed="false">
      <c r="A16" s="9" t="n">
        <f aca="false">IF($B16="","",ROW()-4)</f>
        <v>12</v>
      </c>
      <c r="B16" s="39" t="str">
        <f aca="false">IFERROR(INDEX(对接源_01入库吨位!$B$5:$B$304,MATCH(INT((ROW()-5)/3)+1,对接源_01入库吨位!$S$5:$S$304,0)),"")</f>
        <v>王照雪</v>
      </c>
      <c r="C16" s="39" t="str">
        <f aca="false">IFERROR(INDEX(对接源_01入库吨位!$C$5:$C$304,MATCH(INT((ROW()-5)/3)+1,对接源_01入库吨位!$S$5:$S$304,0)),"")</f>
        <v>李子</v>
      </c>
      <c r="D16" s="40" t="str">
        <f aca="false">IF($B16="","",IF(MOD(ROW()-5,3)=0,"周转打冷",IF(MOD(ROW()-5,3)=1,"仓储加工","装卸费")))</f>
        <v>装卸费</v>
      </c>
      <c r="E16" s="51" t="n">
        <f aca="false">IF($B16="","",IFERROR(IF($D16="周转打冷",N(INDEX(对接源_01入库吨位!$D$5:$D$304,MATCH(INT((ROW()-5)/3)+1,对接源_01入库吨位!$S$5:$S$304,0))),IF($D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422</v>
      </c>
      <c r="F16" s="41" t="n">
        <f aca="false">IF($B16="","",ROUND(IFERROR(IF($D16="周转打冷",N(INDEX(对接源_01入库吨位!$H$5:$H$304,MATCH(INT((ROW()-5)/3)+1,对接源_01入库吨位!$S$5:$S$304,0))),IF($D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6878.6</v>
      </c>
      <c r="G16" s="52" t="n">
        <f aca="false">IF($B16="","",ROUND(N($F16)/1000,3))</f>
        <v>6.879</v>
      </c>
      <c r="H16" s="74" t="s">
        <v>245</v>
      </c>
      <c r="I16" s="44" t="n">
        <v>50</v>
      </c>
      <c r="J16" s="75" t="n">
        <f aca="false">IF($B16="","",IF($H16="按筐数×单价",N($E16),IF($H16="按总重KG×单价",N($F16),IF($H16="按吨位×单价",N($G16),0))))</f>
        <v>6.879</v>
      </c>
      <c r="K16" s="41" t="n">
        <f aca="false">IF($B16="","",ROUND(N($J16)*N($I16),2))</f>
        <v>343.95</v>
      </c>
      <c r="L16" s="42"/>
      <c r="M16" s="76"/>
      <c r="N16" s="43"/>
      <c r="R16" s="77" t="str">
        <f aca="false">IF($B16="","",$B16)</f>
        <v>王照雪</v>
      </c>
      <c r="S16" s="77" t="n">
        <f aca="false">IF($R16="",0,IF(MATCH($R16,$R$5:$R$904,0)=ROW()-4,1,0))</f>
        <v>0</v>
      </c>
      <c r="T16" s="77" t="n">
        <f aca="false">N(T15)+$S16</f>
        <v>3</v>
      </c>
      <c r="U16" s="77" t="str">
        <f aca="false">IFERROR(INDEX($B$5:$B$904,MATCH(12,$T$5:$T$904,0)),"")</f>
        <v>努尔敦</v>
      </c>
    </row>
    <row r="17" customFormat="false" ht="13.5" hidden="false" customHeight="false" outlineLevel="0" collapsed="false">
      <c r="A17" s="9" t="n">
        <f aca="false">IF($B17="","",ROW()-4)</f>
        <v>13</v>
      </c>
      <c r="B17" s="39" t="str">
        <f aca="false">IFERROR(INDEX(对接源_01入库吨位!$B$5:$B$304,MATCH(INT((ROW()-5)/3)+1,对接源_01入库吨位!$S$5:$S$304,0)),"")</f>
        <v>马锦祥</v>
      </c>
      <c r="C17" s="39" t="str">
        <f aca="false">IFERROR(INDEX(对接源_01入库吨位!$C$5:$C$304,MATCH(INT((ROW()-5)/3)+1,对接源_01入库吨位!$S$5:$S$304,0)),"")</f>
        <v>苹果</v>
      </c>
      <c r="D17" s="40" t="str">
        <f aca="false">IF($B17="","",IF(MOD(ROW()-5,3)=0,"周转打冷",IF(MOD(ROW()-5,3)=1,"仓储加工","装卸费")))</f>
        <v>周转打冷</v>
      </c>
      <c r="E17" s="51" t="n">
        <f aca="false">IF($B17="","",IFERROR(IF($D17="周转打冷",N(INDEX(对接源_01入库吨位!$D$5:$D$304,MATCH(INT((ROW()-5)/3)+1,对接源_01入库吨位!$S$5:$S$304,0))),IF($D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68</v>
      </c>
      <c r="F17" s="41" t="n">
        <f aca="false">IF($B17="","",ROUND(IFERROR(IF($D17="周转打冷",N(INDEX(对接源_01入库吨位!$H$5:$H$304,MATCH(INT((ROW()-5)/3)+1,对接源_01入库吨位!$S$5:$S$304,0))),IF($D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204</v>
      </c>
      <c r="G17" s="52" t="n">
        <f aca="false">IF($B17="","",ROUND(N($F17)/1000,3))</f>
        <v>0.204</v>
      </c>
      <c r="H17" s="74"/>
      <c r="I17" s="44"/>
      <c r="J17" s="75" t="n">
        <f aca="false">IF($B17="","",IF($H17="按筐数×单价",N($E17),IF($H17="按总重KG×单价",N($F17),IF($H17="按吨位×单价",N($G17),0))))</f>
        <v>0</v>
      </c>
      <c r="K17" s="41" t="n">
        <f aca="false">IF($B17="","",ROUND(N($J17)*N($I17),2))</f>
        <v>0</v>
      </c>
      <c r="L17" s="42"/>
      <c r="M17" s="76"/>
      <c r="N17" s="43"/>
      <c r="R17" s="77" t="str">
        <f aca="false">IF($B17="","",$B17)</f>
        <v>马锦祥</v>
      </c>
      <c r="S17" s="77" t="n">
        <f aca="false">IF($R17="",0,IF(MATCH($R17,$R$5:$R$904,0)=ROW()-4,1,0))</f>
        <v>1</v>
      </c>
      <c r="T17" s="77" t="n">
        <f aca="false">N(T16)+$S17</f>
        <v>4</v>
      </c>
      <c r="U17" s="77" t="str">
        <f aca="false">IFERROR(INDEX($B$5:$B$904,MATCH(13,$T$5:$T$904,0)),"")</f>
        <v>王浩</v>
      </c>
    </row>
    <row r="18" customFormat="false" ht="13.5" hidden="false" customHeight="false" outlineLevel="0" collapsed="false">
      <c r="A18" s="9" t="n">
        <f aca="false">IF($B18="","",ROW()-4)</f>
        <v>14</v>
      </c>
      <c r="B18" s="39" t="str">
        <f aca="false">IFERROR(INDEX(对接源_01入库吨位!$B$5:$B$304,MATCH(INT((ROW()-5)/3)+1,对接源_01入库吨位!$S$5:$S$304,0)),"")</f>
        <v>马锦祥</v>
      </c>
      <c r="C18" s="39" t="str">
        <f aca="false">IFERROR(INDEX(对接源_01入库吨位!$C$5:$C$304,MATCH(INT((ROW()-5)/3)+1,对接源_01入库吨位!$S$5:$S$304,0)),"")</f>
        <v>苹果</v>
      </c>
      <c r="D18" s="40" t="str">
        <f aca="false">IF($B18="","",IF(MOD(ROW()-5,3)=0,"周转打冷",IF(MOD(ROW()-5,3)=1,"仓储加工","装卸费")))</f>
        <v>仓储加工</v>
      </c>
      <c r="E18" s="51" t="n">
        <f aca="false">IF($B18="","",IFERROR(IF($D18="周转打冷",N(INDEX(对接源_01入库吨位!$D$5:$D$304,MATCH(INT((ROW()-5)/3)+1,对接源_01入库吨位!$S$5:$S$304,0))),IF($D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18" s="41" t="n">
        <f aca="false">IF($B18="","",ROUND(IFERROR(IF($D18="周转打冷",N(INDEX(对接源_01入库吨位!$H$5:$H$304,MATCH(INT((ROW()-5)/3)+1,对接源_01入库吨位!$S$5:$S$304,0))),IF($D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18" s="52" t="n">
        <f aca="false">IF($B18="","",ROUND(N($F18)/1000,3))</f>
        <v>0</v>
      </c>
      <c r="H18" s="74"/>
      <c r="I18" s="44"/>
      <c r="J18" s="75" t="n">
        <f aca="false">IF($B18="","",IF($H18="按筐数×单价",N($E18),IF($H18="按总重KG×单价",N($F18),IF($H18="按吨位×单价",N($G18),0))))</f>
        <v>0</v>
      </c>
      <c r="K18" s="41" t="n">
        <f aca="false">IF($B18="","",ROUND(N($J18)*N($I18),2))</f>
        <v>0</v>
      </c>
      <c r="L18" s="42"/>
      <c r="M18" s="76"/>
      <c r="N18" s="43"/>
      <c r="R18" s="77" t="str">
        <f aca="false">IF($B18="","",$B18)</f>
        <v>马锦祥</v>
      </c>
      <c r="S18" s="77" t="n">
        <f aca="false">IF($R18="",0,IF(MATCH($R18,$R$5:$R$904,0)=ROW()-4,1,0))</f>
        <v>0</v>
      </c>
      <c r="T18" s="77" t="n">
        <f aca="false">N(T17)+$S18</f>
        <v>4</v>
      </c>
      <c r="U18" s="77" t="str">
        <f aca="false">IFERROR(INDEX($B$5:$B$904,MATCH(14,$T$5:$T$904,0)),"")</f>
        <v>热合曼+艾则孜</v>
      </c>
    </row>
    <row r="19" customFormat="false" ht="13.5" hidden="false" customHeight="false" outlineLevel="0" collapsed="false">
      <c r="A19" s="9" t="n">
        <f aca="false">IF($B19="","",ROW()-4)</f>
        <v>15</v>
      </c>
      <c r="B19" s="39" t="str">
        <f aca="false">IFERROR(INDEX(对接源_01入库吨位!$B$5:$B$304,MATCH(INT((ROW()-5)/3)+1,对接源_01入库吨位!$S$5:$S$304,0)),"")</f>
        <v>马锦祥</v>
      </c>
      <c r="C19" s="39" t="str">
        <f aca="false">IFERROR(INDEX(对接源_01入库吨位!$C$5:$C$304,MATCH(INT((ROW()-5)/3)+1,对接源_01入库吨位!$S$5:$S$304,0)),"")</f>
        <v>苹果</v>
      </c>
      <c r="D19" s="40" t="str">
        <f aca="false">IF($B19="","",IF(MOD(ROW()-5,3)=0,"周转打冷",IF(MOD(ROW()-5,3)=1,"仓储加工","装卸费")))</f>
        <v>装卸费</v>
      </c>
      <c r="E19" s="51" t="n">
        <f aca="false">IF($B19="","",IFERROR(IF($D19="周转打冷",N(INDEX(对接源_01入库吨位!$D$5:$D$304,MATCH(INT((ROW()-5)/3)+1,对接源_01入库吨位!$S$5:$S$304,0))),IF($D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68</v>
      </c>
      <c r="F19" s="41" t="n">
        <f aca="false">IF($B19="","",ROUND(IFERROR(IF($D19="周转打冷",N(INDEX(对接源_01入库吨位!$H$5:$H$304,MATCH(INT((ROW()-5)/3)+1,对接源_01入库吨位!$S$5:$S$304,0))),IF($D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204</v>
      </c>
      <c r="G19" s="52" t="n">
        <f aca="false">IF($B19="","",ROUND(N($F19)/1000,3))</f>
        <v>0.204</v>
      </c>
      <c r="H19" s="74" t="s">
        <v>245</v>
      </c>
      <c r="I19" s="44" t="n">
        <v>50</v>
      </c>
      <c r="J19" s="75" t="n">
        <f aca="false">IF($B19="","",IF($H19="按筐数×单价",N($E19),IF($H19="按总重KG×单价",N($F19),IF($H19="按吨位×单价",N($G19),0))))</f>
        <v>0.204</v>
      </c>
      <c r="K19" s="41" t="n">
        <f aca="false">IF($B19="","",ROUND(N($J19)*N($I19),2))</f>
        <v>10.2</v>
      </c>
      <c r="L19" s="42"/>
      <c r="M19" s="76"/>
      <c r="N19" s="43"/>
      <c r="R19" s="77" t="str">
        <f aca="false">IF($B19="","",$B19)</f>
        <v>马锦祥</v>
      </c>
      <c r="S19" s="77" t="n">
        <f aca="false">IF($R19="",0,IF(MATCH($R19,$R$5:$R$904,0)=ROW()-4,1,0))</f>
        <v>0</v>
      </c>
      <c r="T19" s="77" t="n">
        <f aca="false">N(T18)+$S19</f>
        <v>4</v>
      </c>
      <c r="U19" s="77" t="str">
        <f aca="false">IFERROR(INDEX($B$5:$B$904,MATCH(15,$T$5:$T$904,0)),"")</f>
        <v>李现东</v>
      </c>
    </row>
    <row r="20" customFormat="false" ht="13.5" hidden="false" customHeight="false" outlineLevel="0" collapsed="false">
      <c r="A20" s="9" t="n">
        <f aca="false">IF($B20="","",ROW()-4)</f>
        <v>16</v>
      </c>
      <c r="B20" s="39" t="str">
        <f aca="false">IFERROR(INDEX(对接源_01入库吨位!$B$5:$B$304,MATCH(INT((ROW()-5)/3)+1,对接源_01入库吨位!$S$5:$S$304,0)),"")</f>
        <v>聂新平</v>
      </c>
      <c r="C20" s="39" t="str">
        <f aca="false">IFERROR(INDEX(对接源_01入库吨位!$C$5:$C$304,MATCH(INT((ROW()-5)/3)+1,对接源_01入库吨位!$S$5:$S$304,0)),"")</f>
        <v>西梅</v>
      </c>
      <c r="D20" s="40" t="str">
        <f aca="false">IF($B20="","",IF(MOD(ROW()-5,3)=0,"周转打冷",IF(MOD(ROW()-5,3)=1,"仓储加工","装卸费")))</f>
        <v>周转打冷</v>
      </c>
      <c r="E20" s="51" t="n">
        <f aca="false">IF($B20="","",IFERROR(IF($D20="周转打冷",N(INDEX(对接源_01入库吨位!$D$5:$D$304,MATCH(INT((ROW()-5)/3)+1,对接源_01入库吨位!$S$5:$S$304,0))),IF($D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9692</v>
      </c>
      <c r="F20" s="41" t="n">
        <f aca="false">IF($B20="","",ROUND(IFERROR(IF($D20="周转打冷",N(INDEX(对接源_01入库吨位!$H$5:$H$304,MATCH(INT((ROW()-5)/3)+1,对接源_01入库吨位!$S$5:$S$304,0))),IF($D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35336</v>
      </c>
      <c r="G20" s="52" t="n">
        <f aca="false">IF($B20="","",ROUND(N($F20)/1000,3))</f>
        <v>35.336</v>
      </c>
      <c r="H20" s="74" t="s">
        <v>245</v>
      </c>
      <c r="I20" s="44" t="n">
        <v>120</v>
      </c>
      <c r="J20" s="75" t="n">
        <f aca="false">IF($B20="","",IF($H20="按筐数×单价",N($E20),IF($H20="按总重KG×单价",N($F20),IF($H20="按吨位×单价",N($G20),0))))</f>
        <v>35.336</v>
      </c>
      <c r="K20" s="41" t="n">
        <f aca="false">IF($B20="","",ROUND(N($J20)*N($I20),2))</f>
        <v>4240.32</v>
      </c>
      <c r="L20" s="42"/>
      <c r="M20" s="76"/>
      <c r="N20" s="43"/>
      <c r="R20" s="77" t="str">
        <f aca="false">IF($B20="","",$B20)</f>
        <v>聂新平</v>
      </c>
      <c r="S20" s="77" t="n">
        <f aca="false">IF($R20="",0,IF(MATCH($R20,$R$5:$R$904,0)=ROW()-4,1,0))</f>
        <v>0</v>
      </c>
      <c r="T20" s="77" t="n">
        <f aca="false">N(T19)+$S20</f>
        <v>4</v>
      </c>
      <c r="U20" s="77" t="str">
        <f aca="false">IFERROR(INDEX($B$5:$B$904,MATCH(16,$T$5:$T$904,0)),"")</f>
        <v>吐尔逊</v>
      </c>
    </row>
    <row r="21" customFormat="false" ht="13.5" hidden="false" customHeight="false" outlineLevel="0" collapsed="false">
      <c r="A21" s="9" t="n">
        <f aca="false">IF($B21="","",ROW()-4)</f>
        <v>17</v>
      </c>
      <c r="B21" s="39" t="str">
        <f aca="false">IFERROR(INDEX(对接源_01入库吨位!$B$5:$B$304,MATCH(INT((ROW()-5)/3)+1,对接源_01入库吨位!$S$5:$S$304,0)),"")</f>
        <v>聂新平</v>
      </c>
      <c r="C21" s="39" t="str">
        <f aca="false">IFERROR(INDEX(对接源_01入库吨位!$C$5:$C$304,MATCH(INT((ROW()-5)/3)+1,对接源_01入库吨位!$S$5:$S$304,0)),"")</f>
        <v>西梅</v>
      </c>
      <c r="D21" s="40" t="str">
        <f aca="false">IF($B21="","",IF(MOD(ROW()-5,3)=0,"周转打冷",IF(MOD(ROW()-5,3)=1,"仓储加工","装卸费")))</f>
        <v>仓储加工</v>
      </c>
      <c r="E21" s="51" t="n">
        <f aca="false">IF($B21="","",IFERROR(IF($D21="周转打冷",N(INDEX(对接源_01入库吨位!$D$5:$D$304,MATCH(INT((ROW()-5)/3)+1,对接源_01入库吨位!$S$5:$S$304,0))),IF($D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1" s="41" t="n">
        <f aca="false">IF($B21="","",ROUND(IFERROR(IF($D21="周转打冷",N(INDEX(对接源_01入库吨位!$H$5:$H$304,MATCH(INT((ROW()-5)/3)+1,对接源_01入库吨位!$S$5:$S$304,0))),IF($D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1" s="52" t="n">
        <f aca="false">IF($B21="","",ROUND(N($F21)/1000,3))</f>
        <v>0</v>
      </c>
      <c r="H21" s="74"/>
      <c r="I21" s="44"/>
      <c r="J21" s="75" t="n">
        <f aca="false">IF($B21="","",IF($H21="按筐数×单价",N($E21),IF($H21="按总重KG×单价",N($F21),IF($H21="按吨位×单价",N($G21),0))))</f>
        <v>0</v>
      </c>
      <c r="K21" s="41" t="n">
        <f aca="false">IF($B21="","",ROUND(N($J21)*N($I21),2))</f>
        <v>0</v>
      </c>
      <c r="L21" s="42"/>
      <c r="M21" s="76"/>
      <c r="N21" s="43"/>
      <c r="R21" s="77" t="str">
        <f aca="false">IF($B21="","",$B21)</f>
        <v>聂新平</v>
      </c>
      <c r="S21" s="77" t="n">
        <f aca="false">IF($R21="",0,IF(MATCH($R21,$R$5:$R$904,0)=ROW()-4,1,0))</f>
        <v>0</v>
      </c>
      <c r="T21" s="77" t="n">
        <f aca="false">N(T20)+$S21</f>
        <v>4</v>
      </c>
      <c r="U21" s="77" t="str">
        <f aca="false">IFERROR(INDEX($B$5:$B$904,MATCH(17,$T$5:$T$904,0)),"")</f>
        <v>阿布都</v>
      </c>
    </row>
    <row r="22" customFormat="false" ht="13.5" hidden="false" customHeight="false" outlineLevel="0" collapsed="false">
      <c r="A22" s="9" t="n">
        <f aca="false">IF($B22="","",ROW()-4)</f>
        <v>18</v>
      </c>
      <c r="B22" s="39" t="str">
        <f aca="false">IFERROR(INDEX(对接源_01入库吨位!$B$5:$B$304,MATCH(INT((ROW()-5)/3)+1,对接源_01入库吨位!$S$5:$S$304,0)),"")</f>
        <v>聂新平</v>
      </c>
      <c r="C22" s="39" t="str">
        <f aca="false">IFERROR(INDEX(对接源_01入库吨位!$C$5:$C$304,MATCH(INT((ROW()-5)/3)+1,对接源_01入库吨位!$S$5:$S$304,0)),"")</f>
        <v>西梅</v>
      </c>
      <c r="D22" s="40" t="str">
        <f aca="false">IF($B22="","",IF(MOD(ROW()-5,3)=0,"周转打冷",IF(MOD(ROW()-5,3)=1,"仓储加工","装卸费")))</f>
        <v>装卸费</v>
      </c>
      <c r="E22" s="51" t="n">
        <f aca="false">IF($B22="","",IFERROR(IF($D22="周转打冷",N(INDEX(对接源_01入库吨位!$D$5:$D$304,MATCH(INT((ROW()-5)/3)+1,对接源_01入库吨位!$S$5:$S$304,0))),IF($D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9692</v>
      </c>
      <c r="F22" s="41" t="n">
        <f aca="false">IF($B22="","",ROUND(IFERROR(IF($D22="周转打冷",N(INDEX(对接源_01入库吨位!$H$5:$H$304,MATCH(INT((ROW()-5)/3)+1,对接源_01入库吨位!$S$5:$S$304,0))),IF($D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35336</v>
      </c>
      <c r="G22" s="52" t="n">
        <f aca="false">IF($B22="","",ROUND(N($F22)/1000,3))</f>
        <v>35.336</v>
      </c>
      <c r="H22" s="74" t="s">
        <v>245</v>
      </c>
      <c r="I22" s="44" t="n">
        <v>50</v>
      </c>
      <c r="J22" s="75" t="n">
        <f aca="false">IF($B22="","",IF($H22="按筐数×单价",N($E22),IF($H22="按总重KG×单价",N($F22),IF($H22="按吨位×单价",N($G22),0))))</f>
        <v>35.336</v>
      </c>
      <c r="K22" s="41" t="n">
        <f aca="false">IF($B22="","",ROUND(N($J22)*N($I22),2))</f>
        <v>1766.8</v>
      </c>
      <c r="L22" s="42"/>
      <c r="M22" s="76"/>
      <c r="N22" s="43"/>
      <c r="R22" s="77" t="str">
        <f aca="false">IF($B22="","",$B22)</f>
        <v>聂新平</v>
      </c>
      <c r="S22" s="77" t="n">
        <f aca="false">IF($R22="",0,IF(MATCH($R22,$R$5:$R$904,0)=ROW()-4,1,0))</f>
        <v>0</v>
      </c>
      <c r="T22" s="77" t="n">
        <f aca="false">N(T21)+$S22</f>
        <v>4</v>
      </c>
      <c r="U22" s="77" t="str">
        <f aca="false">IFERROR(INDEX($B$5:$B$904,MATCH(18,$T$5:$T$904,0)),"")</f>
        <v>艾则孜</v>
      </c>
    </row>
    <row r="23" customFormat="false" ht="13.5" hidden="false" customHeight="false" outlineLevel="0" collapsed="false">
      <c r="A23" s="9" t="n">
        <f aca="false">IF($B23="","",ROW()-4)</f>
        <v>19</v>
      </c>
      <c r="B23" s="39" t="str">
        <f aca="false">IFERROR(INDEX(对接源_01入库吨位!$B$5:$B$304,MATCH(INT((ROW()-5)/3)+1,对接源_01入库吨位!$S$5:$S$304,0)),"")</f>
        <v>马锦祥</v>
      </c>
      <c r="C23" s="39" t="str">
        <f aca="false">IFERROR(INDEX(对接源_01入库吨位!$C$5:$C$304,MATCH(INT((ROW()-5)/3)+1,对接源_01入库吨位!$S$5:$S$304,0)),"")</f>
        <v>香梨</v>
      </c>
      <c r="D23" s="40" t="str">
        <f aca="false">IF($B23="","",IF(MOD(ROW()-5,3)=0,"周转打冷",IF(MOD(ROW()-5,3)=1,"仓储加工","装卸费")))</f>
        <v>周转打冷</v>
      </c>
      <c r="E23" s="51" t="n">
        <f aca="false">IF($B23="","",IFERROR(IF($D23="周转打冷",N(INDEX(对接源_01入库吨位!$D$5:$D$304,MATCH(INT((ROW()-5)/3)+1,对接源_01入库吨位!$S$5:$S$304,0))),IF($D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3" s="41" t="n">
        <f aca="false">IF($B23="","",ROUND(IFERROR(IF($D23="周转打冷",N(INDEX(对接源_01入库吨位!$H$5:$H$304,MATCH(INT((ROW()-5)/3)+1,对接源_01入库吨位!$S$5:$S$304,0))),IF($D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3" s="52" t="n">
        <f aca="false">IF($B23="","",ROUND(N($F23)/1000,3))</f>
        <v>0</v>
      </c>
      <c r="H23" s="74"/>
      <c r="I23" s="44"/>
      <c r="J23" s="75" t="n">
        <f aca="false">IF($B23="","",IF($H23="按筐数×单价",N($E23),IF($H23="按总重KG×单价",N($F23),IF($H23="按吨位×单价",N($G23),0))))</f>
        <v>0</v>
      </c>
      <c r="K23" s="41" t="n">
        <f aca="false">IF($B23="","",ROUND(N($J23)*N($I23),2))</f>
        <v>0</v>
      </c>
      <c r="L23" s="42"/>
      <c r="M23" s="76"/>
      <c r="N23" s="43"/>
      <c r="R23" s="77" t="str">
        <f aca="false">IF($B23="","",$B23)</f>
        <v>马锦祥</v>
      </c>
      <c r="S23" s="77" t="n">
        <f aca="false">IF($R23="",0,IF(MATCH($R23,$R$5:$R$904,0)=ROW()-4,1,0))</f>
        <v>0</v>
      </c>
      <c r="T23" s="77" t="n">
        <f aca="false">N(T22)+$S23</f>
        <v>4</v>
      </c>
      <c r="U23" s="77" t="str">
        <f aca="false">IFERROR(INDEX($B$5:$B$904,MATCH(19,$T$5:$T$904,0)),"")</f>
        <v/>
      </c>
    </row>
    <row r="24" customFormat="false" ht="13.5" hidden="false" customHeight="false" outlineLevel="0" collapsed="false">
      <c r="A24" s="9" t="n">
        <f aca="false">IF($B24="","",ROW()-4)</f>
        <v>20</v>
      </c>
      <c r="B24" s="39" t="str">
        <f aca="false">IFERROR(INDEX(对接源_01入库吨位!$B$5:$B$304,MATCH(INT((ROW()-5)/3)+1,对接源_01入库吨位!$S$5:$S$304,0)),"")</f>
        <v>马锦祥</v>
      </c>
      <c r="C24" s="39" t="str">
        <f aca="false">IFERROR(INDEX(对接源_01入库吨位!$C$5:$C$304,MATCH(INT((ROW()-5)/3)+1,对接源_01入库吨位!$S$5:$S$304,0)),"")</f>
        <v>香梨</v>
      </c>
      <c r="D24" s="40" t="str">
        <f aca="false">IF($B24="","",IF(MOD(ROW()-5,3)=0,"周转打冷",IF(MOD(ROW()-5,3)=1,"仓储加工","装卸费")))</f>
        <v>仓储加工</v>
      </c>
      <c r="E24" s="51" t="n">
        <f aca="false">IF($B24="","",IFERROR(IF($D24="周转打冷",N(INDEX(对接源_01入库吨位!$D$5:$D$304,MATCH(INT((ROW()-5)/3)+1,对接源_01入库吨位!$S$5:$S$304,0))),IF($D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2491</v>
      </c>
      <c r="F24" s="41" t="n">
        <f aca="false">IF($B24="","",ROUND(IFERROR(IF($D24="周转打冷",N(INDEX(对接源_01入库吨位!$H$5:$H$304,MATCH(INT((ROW()-5)/3)+1,对接源_01入库吨位!$S$5:$S$304,0))),IF($D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47129.3</v>
      </c>
      <c r="G24" s="52" t="n">
        <f aca="false">IF($B24="","",ROUND(N($F24)/1000,3))</f>
        <v>47.129</v>
      </c>
      <c r="H24" s="74"/>
      <c r="I24" s="44"/>
      <c r="J24" s="75" t="n">
        <f aca="false">IF($B24="","",IF($H24="按筐数×单价",N($E24),IF($H24="按总重KG×单价",N($F24),IF($H24="按吨位×单价",N($G24),0))))</f>
        <v>0</v>
      </c>
      <c r="K24" s="41" t="n">
        <f aca="false">IF($B24="","",ROUND(N($J24)*N($I24),2))</f>
        <v>0</v>
      </c>
      <c r="L24" s="42"/>
      <c r="M24" s="76"/>
      <c r="N24" s="43"/>
      <c r="R24" s="77" t="str">
        <f aca="false">IF($B24="","",$B24)</f>
        <v>马锦祥</v>
      </c>
      <c r="S24" s="77" t="n">
        <f aca="false">IF($R24="",0,IF(MATCH($R24,$R$5:$R$904,0)=ROW()-4,1,0))</f>
        <v>0</v>
      </c>
      <c r="T24" s="77" t="n">
        <f aca="false">N(T23)+$S24</f>
        <v>4</v>
      </c>
      <c r="U24" s="77" t="str">
        <f aca="false">IFERROR(INDEX($B$5:$B$904,MATCH(20,$T$5:$T$904,0)),"")</f>
        <v/>
      </c>
    </row>
    <row r="25" customFormat="false" ht="13.5" hidden="false" customHeight="false" outlineLevel="0" collapsed="false">
      <c r="A25" s="9" t="n">
        <f aca="false">IF($B25="","",ROW()-4)</f>
        <v>21</v>
      </c>
      <c r="B25" s="39" t="str">
        <f aca="false">IFERROR(INDEX(对接源_01入库吨位!$B$5:$B$304,MATCH(INT((ROW()-5)/3)+1,对接源_01入库吨位!$S$5:$S$304,0)),"")</f>
        <v>马锦祥</v>
      </c>
      <c r="C25" s="39" t="str">
        <f aca="false">IFERROR(INDEX(对接源_01入库吨位!$C$5:$C$304,MATCH(INT((ROW()-5)/3)+1,对接源_01入库吨位!$S$5:$S$304,0)),"")</f>
        <v>香梨</v>
      </c>
      <c r="D25" s="40" t="str">
        <f aca="false">IF($B25="","",IF(MOD(ROW()-5,3)=0,"周转打冷",IF(MOD(ROW()-5,3)=1,"仓储加工","装卸费")))</f>
        <v>装卸费</v>
      </c>
      <c r="E25" s="51" t="n">
        <f aca="false">IF($B25="","",IFERROR(IF($D25="周转打冷",N(INDEX(对接源_01入库吨位!$D$5:$D$304,MATCH(INT((ROW()-5)/3)+1,对接源_01入库吨位!$S$5:$S$304,0))),IF($D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2491</v>
      </c>
      <c r="F25" s="41" t="n">
        <f aca="false">IF($B25="","",ROUND(IFERROR(IF($D25="周转打冷",N(INDEX(对接源_01入库吨位!$H$5:$H$304,MATCH(INT((ROW()-5)/3)+1,对接源_01入库吨位!$S$5:$S$304,0))),IF($D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47129.3</v>
      </c>
      <c r="G25" s="52" t="n">
        <f aca="false">IF($B25="","",ROUND(N($F25)/1000,3))</f>
        <v>47.129</v>
      </c>
      <c r="H25" s="74" t="s">
        <v>245</v>
      </c>
      <c r="I25" s="44" t="n">
        <v>50</v>
      </c>
      <c r="J25" s="75" t="n">
        <f aca="false">IF($B25="","",IF($H25="按筐数×单价",N($E25),IF($H25="按总重KG×单价",N($F25),IF($H25="按吨位×单价",N($G25),0))))</f>
        <v>47.129</v>
      </c>
      <c r="K25" s="41" t="n">
        <f aca="false">IF($B25="","",ROUND(N($J25)*N($I25),2))</f>
        <v>2356.45</v>
      </c>
      <c r="L25" s="42"/>
      <c r="M25" s="76"/>
      <c r="N25" s="43"/>
      <c r="R25" s="77" t="str">
        <f aca="false">IF($B25="","",$B25)</f>
        <v>马锦祥</v>
      </c>
      <c r="S25" s="77" t="n">
        <f aca="false">IF($R25="",0,IF(MATCH($R25,$R$5:$R$904,0)=ROW()-4,1,0))</f>
        <v>0</v>
      </c>
      <c r="T25" s="77" t="n">
        <f aca="false">N(T24)+$S25</f>
        <v>4</v>
      </c>
      <c r="U25" s="77" t="str">
        <f aca="false">IFERROR(INDEX($B$5:$B$904,MATCH(21,$T$5:$T$904,0)),"")</f>
        <v/>
      </c>
    </row>
    <row r="26" customFormat="false" ht="13.5" hidden="false" customHeight="false" outlineLevel="0" collapsed="false">
      <c r="A26" s="9" t="n">
        <f aca="false">IF($B26="","",ROW()-4)</f>
        <v>22</v>
      </c>
      <c r="B26" s="39" t="str">
        <f aca="false">IFERROR(INDEX(对接源_01入库吨位!$B$5:$B$304,MATCH(INT((ROW()-5)/3)+1,对接源_01入库吨位!$S$5:$S$304,0)),"")</f>
        <v>麦麦提</v>
      </c>
      <c r="C26" s="39" t="str">
        <f aca="false">IFERROR(INDEX(对接源_01入库吨位!$C$5:$C$304,MATCH(INT((ROW()-5)/3)+1,对接源_01入库吨位!$S$5:$S$304,0)),"")</f>
        <v>香梨</v>
      </c>
      <c r="D26" s="40" t="str">
        <f aca="false">IF($B26="","",IF(MOD(ROW()-5,3)=0,"周转打冷",IF(MOD(ROW()-5,3)=1,"仓储加工","装卸费")))</f>
        <v>周转打冷</v>
      </c>
      <c r="E26" s="51" t="n">
        <f aca="false">IF($B26="","",IFERROR(IF($D26="周转打冷",N(INDEX(对接源_01入库吨位!$D$5:$D$304,MATCH(INT((ROW()-5)/3)+1,对接源_01入库吨位!$S$5:$S$304,0))),IF($D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6" s="41" t="n">
        <f aca="false">IF($B26="","",ROUND(IFERROR(IF($D26="周转打冷",N(INDEX(对接源_01入库吨位!$H$5:$H$304,MATCH(INT((ROW()-5)/3)+1,对接源_01入库吨位!$S$5:$S$304,0))),IF($D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6" s="52" t="n">
        <f aca="false">IF($B26="","",ROUND(N($F26)/1000,3))</f>
        <v>0</v>
      </c>
      <c r="H26" s="74"/>
      <c r="I26" s="44"/>
      <c r="J26" s="75" t="n">
        <f aca="false">IF($B26="","",IF($H26="按筐数×单价",N($E26),IF($H26="按总重KG×单价",N($F26),IF($H26="按吨位×单价",N($G26),0))))</f>
        <v>0</v>
      </c>
      <c r="K26" s="41" t="n">
        <f aca="false">IF($B26="","",ROUND(N($J26)*N($I26),2))</f>
        <v>0</v>
      </c>
      <c r="L26" s="42"/>
      <c r="M26" s="76"/>
      <c r="N26" s="43"/>
      <c r="R26" s="77" t="str">
        <f aca="false">IF($B26="","",$B26)</f>
        <v>麦麦提</v>
      </c>
      <c r="S26" s="77" t="n">
        <f aca="false">IF($R26="",0,IF(MATCH($R26,$R$5:$R$904,0)=ROW()-4,1,0))</f>
        <v>1</v>
      </c>
      <c r="T26" s="77" t="n">
        <f aca="false">N(T25)+$S26</f>
        <v>5</v>
      </c>
      <c r="U26" s="77" t="str">
        <f aca="false">IFERROR(INDEX($B$5:$B$904,MATCH(22,$T$5:$T$904,0)),"")</f>
        <v/>
      </c>
    </row>
    <row r="27" customFormat="false" ht="13.5" hidden="false" customHeight="false" outlineLevel="0" collapsed="false">
      <c r="A27" s="9" t="n">
        <f aca="false">IF($B27="","",ROW()-4)</f>
        <v>23</v>
      </c>
      <c r="B27" s="39" t="str">
        <f aca="false">IFERROR(INDEX(对接源_01入库吨位!$B$5:$B$304,MATCH(INT((ROW()-5)/3)+1,对接源_01入库吨位!$S$5:$S$304,0)),"")</f>
        <v>麦麦提</v>
      </c>
      <c r="C27" s="39" t="str">
        <f aca="false">IFERROR(INDEX(对接源_01入库吨位!$C$5:$C$304,MATCH(INT((ROW()-5)/3)+1,对接源_01入库吨位!$S$5:$S$304,0)),"")</f>
        <v>香梨</v>
      </c>
      <c r="D27" s="40" t="str">
        <f aca="false">IF($B27="","",IF(MOD(ROW()-5,3)=0,"周转打冷",IF(MOD(ROW()-5,3)=1,"仓储加工","装卸费")))</f>
        <v>仓储加工</v>
      </c>
      <c r="E27" s="51" t="n">
        <f aca="false">IF($B27="","",IFERROR(IF($D27="周转打冷",N(INDEX(对接源_01入库吨位!$D$5:$D$304,MATCH(INT((ROW()-5)/3)+1,对接源_01入库吨位!$S$5:$S$304,0))),IF($D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3790</v>
      </c>
      <c r="F27" s="41" t="n">
        <f aca="false">IF($B27="","",ROUND(IFERROR(IF($D27="周转打冷",N(INDEX(对接源_01入库吨位!$H$5:$H$304,MATCH(INT((ROW()-5)/3)+1,对接源_01入库吨位!$S$5:$S$304,0))),IF($D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73453</v>
      </c>
      <c r="G27" s="52" t="n">
        <f aca="false">IF($B27="","",ROUND(N($F27)/1000,3))</f>
        <v>73.453</v>
      </c>
      <c r="H27" s="74" t="s">
        <v>246</v>
      </c>
      <c r="I27" s="44" t="n">
        <v>10</v>
      </c>
      <c r="J27" s="75" t="n">
        <f aca="false">IF($B27="","",IF($H27="按筐数×单价",N($E27),IF($H27="按总重KG×单价",N($F27),IF($H27="按吨位×单价",N($G27),0))))</f>
        <v>3790</v>
      </c>
      <c r="K27" s="41" t="n">
        <f aca="false">IF($B27="","",ROUND(N($J27)*N($I27),2))</f>
        <v>37900</v>
      </c>
      <c r="L27" s="42"/>
      <c r="M27" s="76"/>
      <c r="N27" s="43"/>
      <c r="R27" s="77" t="str">
        <f aca="false">IF($B27="","",$B27)</f>
        <v>麦麦提</v>
      </c>
      <c r="S27" s="77" t="n">
        <f aca="false">IF($R27="",0,IF(MATCH($R27,$R$5:$R$904,0)=ROW()-4,1,0))</f>
        <v>0</v>
      </c>
      <c r="T27" s="77" t="n">
        <f aca="false">N(T26)+$S27</f>
        <v>5</v>
      </c>
      <c r="U27" s="77" t="str">
        <f aca="false">IFERROR(INDEX($B$5:$B$904,MATCH(23,$T$5:$T$904,0)),"")</f>
        <v/>
      </c>
    </row>
    <row r="28" customFormat="false" ht="13.5" hidden="false" customHeight="false" outlineLevel="0" collapsed="false">
      <c r="A28" s="9" t="n">
        <f aca="false">IF($B28="","",ROW()-4)</f>
        <v>24</v>
      </c>
      <c r="B28" s="39" t="str">
        <f aca="false">IFERROR(INDEX(对接源_01入库吨位!$B$5:$B$304,MATCH(INT((ROW()-5)/3)+1,对接源_01入库吨位!$S$5:$S$304,0)),"")</f>
        <v>麦麦提</v>
      </c>
      <c r="C28" s="39" t="str">
        <f aca="false">IFERROR(INDEX(对接源_01入库吨位!$C$5:$C$304,MATCH(INT((ROW()-5)/3)+1,对接源_01入库吨位!$S$5:$S$304,0)),"")</f>
        <v>香梨</v>
      </c>
      <c r="D28" s="40" t="str">
        <f aca="false">IF($B28="","",IF(MOD(ROW()-5,3)=0,"周转打冷",IF(MOD(ROW()-5,3)=1,"仓储加工","装卸费")))</f>
        <v>装卸费</v>
      </c>
      <c r="E28" s="51" t="n">
        <f aca="false">IF($B28="","",IFERROR(IF($D28="周转打冷",N(INDEX(对接源_01入库吨位!$D$5:$D$304,MATCH(INT((ROW()-5)/3)+1,对接源_01入库吨位!$S$5:$S$304,0))),IF($D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3790</v>
      </c>
      <c r="F28" s="41" t="n">
        <f aca="false">IF($B28="","",ROUND(IFERROR(IF($D28="周转打冷",N(INDEX(对接源_01入库吨位!$H$5:$H$304,MATCH(INT((ROW()-5)/3)+1,对接源_01入库吨位!$S$5:$S$304,0))),IF($D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73453</v>
      </c>
      <c r="G28" s="52" t="n">
        <f aca="false">IF($B28="","",ROUND(N($F28)/1000,3))</f>
        <v>73.453</v>
      </c>
      <c r="H28" s="74" t="s">
        <v>245</v>
      </c>
      <c r="I28" s="44" t="n">
        <v>50</v>
      </c>
      <c r="J28" s="75" t="n">
        <f aca="false">IF($B28="","",IF($H28="按筐数×单价",N($E28),IF($H28="按总重KG×单价",N($F28),IF($H28="按吨位×单价",N($G28),0))))</f>
        <v>73.453</v>
      </c>
      <c r="K28" s="41" t="n">
        <f aca="false">IF($B28="","",ROUND(N($J28)*N($I28),2))</f>
        <v>3672.65</v>
      </c>
      <c r="L28" s="42"/>
      <c r="M28" s="76"/>
      <c r="N28" s="43"/>
      <c r="R28" s="77" t="str">
        <f aca="false">IF($B28="","",$B28)</f>
        <v>麦麦提</v>
      </c>
      <c r="S28" s="77" t="n">
        <f aca="false">IF($R28="",0,IF(MATCH($R28,$R$5:$R$904,0)=ROW()-4,1,0))</f>
        <v>0</v>
      </c>
      <c r="T28" s="77" t="n">
        <f aca="false">N(T27)+$S28</f>
        <v>5</v>
      </c>
      <c r="U28" s="77" t="str">
        <f aca="false">IFERROR(INDEX($B$5:$B$904,MATCH(24,$T$5:$T$904,0)),"")</f>
        <v/>
      </c>
    </row>
    <row r="29" customFormat="false" ht="13.5" hidden="false" customHeight="false" outlineLevel="0" collapsed="false">
      <c r="A29" s="9" t="n">
        <f aca="false">IF($B29="","",ROW()-4)</f>
        <v>25</v>
      </c>
      <c r="B29" s="39" t="str">
        <f aca="false">IFERROR(INDEX(对接源_01入库吨位!$B$5:$B$304,MATCH(INT((ROW()-5)/3)+1,对接源_01入库吨位!$S$5:$S$304,0)),"")</f>
        <v>吐尔洪</v>
      </c>
      <c r="C29" s="39" t="str">
        <f aca="false">IFERROR(INDEX(对接源_01入库吨位!$C$5:$C$304,MATCH(INT((ROW()-5)/3)+1,对接源_01入库吨位!$S$5:$S$304,0)),"")</f>
        <v>香梨</v>
      </c>
      <c r="D29" s="40" t="str">
        <f aca="false">IF($B29="","",IF(MOD(ROW()-5,3)=0,"周转打冷",IF(MOD(ROW()-5,3)=1,"仓储加工","装卸费")))</f>
        <v>周转打冷</v>
      </c>
      <c r="E29" s="51" t="n">
        <f aca="false">IF($B29="","",IFERROR(IF($D29="周转打冷",N(INDEX(对接源_01入库吨位!$D$5:$D$304,MATCH(INT((ROW()-5)/3)+1,对接源_01入库吨位!$S$5:$S$304,0))),IF($D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29" s="41" t="n">
        <f aca="false">IF($B29="","",ROUND(IFERROR(IF($D29="周转打冷",N(INDEX(对接源_01入库吨位!$H$5:$H$304,MATCH(INT((ROW()-5)/3)+1,对接源_01入库吨位!$S$5:$S$304,0))),IF($D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29" s="52" t="n">
        <f aca="false">IF($B29="","",ROUND(N($F29)/1000,3))</f>
        <v>0</v>
      </c>
      <c r="H29" s="74"/>
      <c r="I29" s="44"/>
      <c r="J29" s="75" t="n">
        <f aca="false">IF($B29="","",IF($H29="按筐数×单价",N($E29),IF($H29="按总重KG×单价",N($F29),IF($H29="按吨位×单价",N($G29),0))))</f>
        <v>0</v>
      </c>
      <c r="K29" s="41" t="n">
        <f aca="false">IF($B29="","",ROUND(N($J29)*N($I29),2))</f>
        <v>0</v>
      </c>
      <c r="L29" s="42"/>
      <c r="M29" s="76"/>
      <c r="N29" s="43"/>
      <c r="R29" s="77" t="str">
        <f aca="false">IF($B29="","",$B29)</f>
        <v>吐尔洪</v>
      </c>
      <c r="S29" s="77" t="n">
        <f aca="false">IF($R29="",0,IF(MATCH($R29,$R$5:$R$904,0)=ROW()-4,1,0))</f>
        <v>1</v>
      </c>
      <c r="T29" s="77" t="n">
        <f aca="false">N(T28)+$S29</f>
        <v>6</v>
      </c>
      <c r="U29" s="77" t="str">
        <f aca="false">IFERROR(INDEX($B$5:$B$904,MATCH(25,$T$5:$T$904,0)),"")</f>
        <v/>
      </c>
    </row>
    <row r="30" customFormat="false" ht="13.5" hidden="false" customHeight="false" outlineLevel="0" collapsed="false">
      <c r="A30" s="9" t="n">
        <f aca="false">IF($B30="","",ROW()-4)</f>
        <v>26</v>
      </c>
      <c r="B30" s="39" t="str">
        <f aca="false">IFERROR(INDEX(对接源_01入库吨位!$B$5:$B$304,MATCH(INT((ROW()-5)/3)+1,对接源_01入库吨位!$S$5:$S$304,0)),"")</f>
        <v>吐尔洪</v>
      </c>
      <c r="C30" s="39" t="str">
        <f aca="false">IFERROR(INDEX(对接源_01入库吨位!$C$5:$C$304,MATCH(INT((ROW()-5)/3)+1,对接源_01入库吨位!$S$5:$S$304,0)),"")</f>
        <v>香梨</v>
      </c>
      <c r="D30" s="40" t="str">
        <f aca="false">IF($B30="","",IF(MOD(ROW()-5,3)=0,"周转打冷",IF(MOD(ROW()-5,3)=1,"仓储加工","装卸费")))</f>
        <v>仓储加工</v>
      </c>
      <c r="E30" s="51" t="n">
        <f aca="false">IF($B30="","",IFERROR(IF($D30="周转打冷",N(INDEX(对接源_01入库吨位!$D$5:$D$304,MATCH(INT((ROW()-5)/3)+1,对接源_01入库吨位!$S$5:$S$304,0))),IF($D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1832</v>
      </c>
      <c r="F30" s="41" t="n">
        <f aca="false">IF($B30="","",ROUND(IFERROR(IF($D30="周转打冷",N(INDEX(对接源_01入库吨位!$H$5:$H$304,MATCH(INT((ROW()-5)/3)+1,对接源_01入库吨位!$S$5:$S$304,0))),IF($D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36145.6</v>
      </c>
      <c r="G30" s="52" t="n">
        <f aca="false">IF($B30="","",ROUND(N($F30)/1000,3))</f>
        <v>36.146</v>
      </c>
      <c r="H30" s="74" t="s">
        <v>246</v>
      </c>
      <c r="I30" s="44" t="n">
        <v>10</v>
      </c>
      <c r="J30" s="75" t="n">
        <f aca="false">IF($B30="","",IF($H30="按筐数×单价",N($E30),IF($H30="按总重KG×单价",N($F30),IF($H30="按吨位×单价",N($G30),0))))</f>
        <v>1832</v>
      </c>
      <c r="K30" s="41" t="n">
        <f aca="false">IF($B30="","",ROUND(N($J30)*N($I30),2))</f>
        <v>18320</v>
      </c>
      <c r="L30" s="42"/>
      <c r="M30" s="76"/>
      <c r="N30" s="43"/>
      <c r="R30" s="77" t="str">
        <f aca="false">IF($B30="","",$B30)</f>
        <v>吐尔洪</v>
      </c>
      <c r="S30" s="77" t="n">
        <f aca="false">IF($R30="",0,IF(MATCH($R30,$R$5:$R$904,0)=ROW()-4,1,0))</f>
        <v>0</v>
      </c>
      <c r="T30" s="77" t="n">
        <f aca="false">N(T29)+$S30</f>
        <v>6</v>
      </c>
      <c r="U30" s="77" t="str">
        <f aca="false">IFERROR(INDEX($B$5:$B$904,MATCH(26,$T$5:$T$904,0)),"")</f>
        <v/>
      </c>
    </row>
    <row r="31" customFormat="false" ht="13.5" hidden="false" customHeight="false" outlineLevel="0" collapsed="false">
      <c r="A31" s="9" t="n">
        <f aca="false">IF($B31="","",ROW()-4)</f>
        <v>27</v>
      </c>
      <c r="B31" s="39" t="str">
        <f aca="false">IFERROR(INDEX(对接源_01入库吨位!$B$5:$B$304,MATCH(INT((ROW()-5)/3)+1,对接源_01入库吨位!$S$5:$S$304,0)),"")</f>
        <v>吐尔洪</v>
      </c>
      <c r="C31" s="39" t="str">
        <f aca="false">IFERROR(INDEX(对接源_01入库吨位!$C$5:$C$304,MATCH(INT((ROW()-5)/3)+1,对接源_01入库吨位!$S$5:$S$304,0)),"")</f>
        <v>香梨</v>
      </c>
      <c r="D31" s="40" t="str">
        <f aca="false">IF($B31="","",IF(MOD(ROW()-5,3)=0,"周转打冷",IF(MOD(ROW()-5,3)=1,"仓储加工","装卸费")))</f>
        <v>装卸费</v>
      </c>
      <c r="E31" s="51" t="n">
        <f aca="false">IF($B31="","",IFERROR(IF($D31="周转打冷",N(INDEX(对接源_01入库吨位!$D$5:$D$304,MATCH(INT((ROW()-5)/3)+1,对接源_01入库吨位!$S$5:$S$304,0))),IF($D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1832</v>
      </c>
      <c r="F31" s="41" t="n">
        <f aca="false">IF($B31="","",ROUND(IFERROR(IF($D31="周转打冷",N(INDEX(对接源_01入库吨位!$H$5:$H$304,MATCH(INT((ROW()-5)/3)+1,对接源_01入库吨位!$S$5:$S$304,0))),IF($D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36145.6</v>
      </c>
      <c r="G31" s="52" t="n">
        <f aca="false">IF($B31="","",ROUND(N($F31)/1000,3))</f>
        <v>36.146</v>
      </c>
      <c r="H31" s="74" t="s">
        <v>245</v>
      </c>
      <c r="I31" s="44" t="n">
        <v>50</v>
      </c>
      <c r="J31" s="75" t="n">
        <f aca="false">IF($B31="","",IF($H31="按筐数×单价",N($E31),IF($H31="按总重KG×单价",N($F31),IF($H31="按吨位×单价",N($G31),0))))</f>
        <v>36.146</v>
      </c>
      <c r="K31" s="41" t="n">
        <f aca="false">IF($B31="","",ROUND(N($J31)*N($I31),2))</f>
        <v>1807.3</v>
      </c>
      <c r="L31" s="42"/>
      <c r="M31" s="76"/>
      <c r="N31" s="43"/>
      <c r="R31" s="77" t="str">
        <f aca="false">IF($B31="","",$B31)</f>
        <v>吐尔洪</v>
      </c>
      <c r="S31" s="77" t="n">
        <f aca="false">IF($R31="",0,IF(MATCH($R31,$R$5:$R$904,0)=ROW()-4,1,0))</f>
        <v>0</v>
      </c>
      <c r="T31" s="77" t="n">
        <f aca="false">N(T30)+$S31</f>
        <v>6</v>
      </c>
      <c r="U31" s="77" t="str">
        <f aca="false">IFERROR(INDEX($B$5:$B$904,MATCH(27,$T$5:$T$904,0)),"")</f>
        <v/>
      </c>
    </row>
    <row r="32" customFormat="false" ht="13.5" hidden="false" customHeight="false" outlineLevel="0" collapsed="false">
      <c r="A32" s="9" t="n">
        <f aca="false">IF($B32="","",ROW()-4)</f>
        <v>28</v>
      </c>
      <c r="B32" s="39" t="str">
        <f aca="false">IFERROR(INDEX(对接源_01入库吨位!$B$5:$B$304,MATCH(INT((ROW()-5)/3)+1,对接源_01入库吨位!$S$5:$S$304,0)),"")</f>
        <v>热合曼</v>
      </c>
      <c r="C32" s="39" t="str">
        <f aca="false">IFERROR(INDEX(对接源_01入库吨位!$C$5:$C$304,MATCH(INT((ROW()-5)/3)+1,对接源_01入库吨位!$S$5:$S$304,0)),"")</f>
        <v>香梨</v>
      </c>
      <c r="D32" s="40" t="str">
        <f aca="false">IF($B32="","",IF(MOD(ROW()-5,3)=0,"周转打冷",IF(MOD(ROW()-5,3)=1,"仓储加工","装卸费")))</f>
        <v>周转打冷</v>
      </c>
      <c r="E32" s="51" t="n">
        <f aca="false">IF($B32="","",IFERROR(IF($D32="周转打冷",N(INDEX(对接源_01入库吨位!$D$5:$D$304,MATCH(INT((ROW()-5)/3)+1,对接源_01入库吨位!$S$5:$S$304,0))),IF($D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2" s="41" t="n">
        <f aca="false">IF($B32="","",ROUND(IFERROR(IF($D32="周转打冷",N(INDEX(对接源_01入库吨位!$H$5:$H$304,MATCH(INT((ROW()-5)/3)+1,对接源_01入库吨位!$S$5:$S$304,0))),IF($D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2" s="52" t="n">
        <f aca="false">IF($B32="","",ROUND(N($F32)/1000,3))</f>
        <v>0</v>
      </c>
      <c r="H32" s="74"/>
      <c r="I32" s="44"/>
      <c r="J32" s="75" t="n">
        <f aca="false">IF($B32="","",IF($H32="按筐数×单价",N($E32),IF($H32="按总重KG×单价",N($F32),IF($H32="按吨位×单价",N($G32),0))))</f>
        <v>0</v>
      </c>
      <c r="K32" s="41" t="n">
        <f aca="false">IF($B32="","",ROUND(N($J32)*N($I32),2))</f>
        <v>0</v>
      </c>
      <c r="L32" s="42"/>
      <c r="M32" s="76"/>
      <c r="N32" s="43"/>
      <c r="R32" s="77" t="str">
        <f aca="false">IF($B32="","",$B32)</f>
        <v>热合曼</v>
      </c>
      <c r="S32" s="77" t="n">
        <f aca="false">IF($R32="",0,IF(MATCH($R32,$R$5:$R$904,0)=ROW()-4,1,0))</f>
        <v>1</v>
      </c>
      <c r="T32" s="77" t="n">
        <f aca="false">N(T31)+$S32</f>
        <v>7</v>
      </c>
      <c r="U32" s="77" t="str">
        <f aca="false">IFERROR(INDEX($B$5:$B$904,MATCH(28,$T$5:$T$904,0)),"")</f>
        <v/>
      </c>
    </row>
    <row r="33" customFormat="false" ht="13.5" hidden="false" customHeight="false" outlineLevel="0" collapsed="false">
      <c r="A33" s="9" t="n">
        <f aca="false">IF($B33="","",ROW()-4)</f>
        <v>29</v>
      </c>
      <c r="B33" s="39" t="str">
        <f aca="false">IFERROR(INDEX(对接源_01入库吨位!$B$5:$B$304,MATCH(INT((ROW()-5)/3)+1,对接源_01入库吨位!$S$5:$S$304,0)),"")</f>
        <v>热合曼</v>
      </c>
      <c r="C33" s="39" t="str">
        <f aca="false">IFERROR(INDEX(对接源_01入库吨位!$C$5:$C$304,MATCH(INT((ROW()-5)/3)+1,对接源_01入库吨位!$S$5:$S$304,0)),"")</f>
        <v>香梨</v>
      </c>
      <c r="D33" s="40" t="str">
        <f aca="false">IF($B33="","",IF(MOD(ROW()-5,3)=0,"周转打冷",IF(MOD(ROW()-5,3)=1,"仓储加工","装卸费")))</f>
        <v>仓储加工</v>
      </c>
      <c r="E33" s="51" t="n">
        <f aca="false">IF($B33="","",IFERROR(IF($D33="周转打冷",N(INDEX(对接源_01入库吨位!$D$5:$D$304,MATCH(INT((ROW()-5)/3)+1,对接源_01入库吨位!$S$5:$S$304,0))),IF($D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1521</v>
      </c>
      <c r="F33" s="41" t="n">
        <f aca="false">IF($B33="","",ROUND(IFERROR(IF($D33="周转打冷",N(INDEX(对接源_01入库吨位!$H$5:$H$304,MATCH(INT((ROW()-5)/3)+1,对接源_01入库吨位!$S$5:$S$304,0))),IF($D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29445.3</v>
      </c>
      <c r="G33" s="52" t="n">
        <f aca="false">IF($B33="","",ROUND(N($F33)/1000,3))</f>
        <v>29.445</v>
      </c>
      <c r="H33" s="74" t="s">
        <v>246</v>
      </c>
      <c r="I33" s="44" t="n">
        <v>10</v>
      </c>
      <c r="J33" s="75" t="n">
        <f aca="false">IF($B33="","",IF($H33="按筐数×单价",N($E33),IF($H33="按总重KG×单价",N($F33),IF($H33="按吨位×单价",N($G33),0))))</f>
        <v>1521</v>
      </c>
      <c r="K33" s="41" t="n">
        <f aca="false">IF($B33="","",ROUND(N($J33)*N($I33),2))</f>
        <v>15210</v>
      </c>
      <c r="L33" s="42"/>
      <c r="M33" s="76"/>
      <c r="N33" s="43"/>
      <c r="R33" s="77" t="str">
        <f aca="false">IF($B33="","",$B33)</f>
        <v>热合曼</v>
      </c>
      <c r="S33" s="77" t="n">
        <f aca="false">IF($R33="",0,IF(MATCH($R33,$R$5:$R$904,0)=ROW()-4,1,0))</f>
        <v>0</v>
      </c>
      <c r="T33" s="77" t="n">
        <f aca="false">N(T32)+$S33</f>
        <v>7</v>
      </c>
      <c r="U33" s="77" t="str">
        <f aca="false">IFERROR(INDEX($B$5:$B$904,MATCH(29,$T$5:$T$904,0)),"")</f>
        <v/>
      </c>
    </row>
    <row r="34" customFormat="false" ht="13.5" hidden="false" customHeight="false" outlineLevel="0" collapsed="false">
      <c r="A34" s="9" t="n">
        <f aca="false">IF($B34="","",ROW()-4)</f>
        <v>30</v>
      </c>
      <c r="B34" s="39" t="str">
        <f aca="false">IFERROR(INDEX(对接源_01入库吨位!$B$5:$B$304,MATCH(INT((ROW()-5)/3)+1,对接源_01入库吨位!$S$5:$S$304,0)),"")</f>
        <v>热合曼</v>
      </c>
      <c r="C34" s="39" t="str">
        <f aca="false">IFERROR(INDEX(对接源_01入库吨位!$C$5:$C$304,MATCH(INT((ROW()-5)/3)+1,对接源_01入库吨位!$S$5:$S$304,0)),"")</f>
        <v>香梨</v>
      </c>
      <c r="D34" s="40" t="str">
        <f aca="false">IF($B34="","",IF(MOD(ROW()-5,3)=0,"周转打冷",IF(MOD(ROW()-5,3)=1,"仓储加工","装卸费")))</f>
        <v>装卸费</v>
      </c>
      <c r="E34" s="51" t="n">
        <f aca="false">IF($B34="","",IFERROR(IF($D34="周转打冷",N(INDEX(对接源_01入库吨位!$D$5:$D$304,MATCH(INT((ROW()-5)/3)+1,对接源_01入库吨位!$S$5:$S$304,0))),IF($D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1521</v>
      </c>
      <c r="F34" s="41" t="n">
        <f aca="false">IF($B34="","",ROUND(IFERROR(IF($D34="周转打冷",N(INDEX(对接源_01入库吨位!$H$5:$H$304,MATCH(INT((ROW()-5)/3)+1,对接源_01入库吨位!$S$5:$S$304,0))),IF($D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29445.3</v>
      </c>
      <c r="G34" s="52" t="n">
        <f aca="false">IF($B34="","",ROUND(N($F34)/1000,3))</f>
        <v>29.445</v>
      </c>
      <c r="H34" s="74" t="s">
        <v>245</v>
      </c>
      <c r="I34" s="44" t="n">
        <v>50</v>
      </c>
      <c r="J34" s="75" t="n">
        <f aca="false">IF($B34="","",IF($H34="按筐数×单价",N($E34),IF($H34="按总重KG×单价",N($F34),IF($H34="按吨位×单价",N($G34),0))))</f>
        <v>29.445</v>
      </c>
      <c r="K34" s="41" t="n">
        <f aca="false">IF($B34="","",ROUND(N($J34)*N($I34),2))</f>
        <v>1472.25</v>
      </c>
      <c r="L34" s="42"/>
      <c r="M34" s="76"/>
      <c r="N34" s="43"/>
      <c r="R34" s="77" t="str">
        <f aca="false">IF($B34="","",$B34)</f>
        <v>热合曼</v>
      </c>
      <c r="S34" s="77" t="n">
        <f aca="false">IF($R34="",0,IF(MATCH($R34,$R$5:$R$904,0)=ROW()-4,1,0))</f>
        <v>0</v>
      </c>
      <c r="T34" s="77" t="n">
        <f aca="false">N(T33)+$S34</f>
        <v>7</v>
      </c>
      <c r="U34" s="77" t="str">
        <f aca="false">IFERROR(INDEX($B$5:$B$904,MATCH(30,$T$5:$T$904,0)),"")</f>
        <v/>
      </c>
    </row>
    <row r="35" customFormat="false" ht="13.5" hidden="false" customHeight="false" outlineLevel="0" collapsed="false">
      <c r="A35" s="9" t="n">
        <f aca="false">IF($B35="","",ROW()-4)</f>
        <v>31</v>
      </c>
      <c r="B35" s="39" t="str">
        <f aca="false">IFERROR(INDEX(对接源_01入库吨位!$B$5:$B$304,MATCH(INT((ROW()-5)/3)+1,对接源_01入库吨位!$S$5:$S$304,0)),"")</f>
        <v>贾建国</v>
      </c>
      <c r="C35" s="39" t="str">
        <f aca="false">IFERROR(INDEX(对接源_01入库吨位!$C$5:$C$304,MATCH(INT((ROW()-5)/3)+1,对接源_01入库吨位!$S$5:$S$304,0)),"")</f>
        <v>香梨</v>
      </c>
      <c r="D35" s="40" t="str">
        <f aca="false">IF($B35="","",IF(MOD(ROW()-5,3)=0,"周转打冷",IF(MOD(ROW()-5,3)=1,"仓储加工","装卸费")))</f>
        <v>周转打冷</v>
      </c>
      <c r="E35" s="51" t="n">
        <f aca="false">IF($B35="","",IFERROR(IF($D35="周转打冷",N(INDEX(对接源_01入库吨位!$D$5:$D$304,MATCH(INT((ROW()-5)/3)+1,对接源_01入库吨位!$S$5:$S$304,0))),IF($D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5" s="41" t="n">
        <f aca="false">IF($B35="","",ROUND(IFERROR(IF($D35="周转打冷",N(INDEX(对接源_01入库吨位!$H$5:$H$304,MATCH(INT((ROW()-5)/3)+1,对接源_01入库吨位!$S$5:$S$304,0))),IF($D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5" s="52" t="n">
        <f aca="false">IF($B35="","",ROUND(N($F35)/1000,3))</f>
        <v>0</v>
      </c>
      <c r="H35" s="74"/>
      <c r="I35" s="44"/>
      <c r="J35" s="75" t="n">
        <f aca="false">IF($B35="","",IF($H35="按筐数×单价",N($E35),IF($H35="按总重KG×单价",N($F35),IF($H35="按吨位×单价",N($G35),0))))</f>
        <v>0</v>
      </c>
      <c r="K35" s="41" t="n">
        <f aca="false">IF($B35="","",ROUND(N($J35)*N($I35),2))</f>
        <v>0</v>
      </c>
      <c r="L35" s="42"/>
      <c r="M35" s="76"/>
      <c r="N35" s="43"/>
      <c r="R35" s="77" t="str">
        <f aca="false">IF($B35="","",$B35)</f>
        <v>贾建国</v>
      </c>
      <c r="S35" s="77" t="n">
        <f aca="false">IF($R35="",0,IF(MATCH($R35,$R$5:$R$904,0)=ROW()-4,1,0))</f>
        <v>1</v>
      </c>
      <c r="T35" s="77" t="n">
        <f aca="false">N(T34)+$S35</f>
        <v>8</v>
      </c>
      <c r="U35" s="77" t="str">
        <f aca="false">IFERROR(INDEX($B$5:$B$904,MATCH(31,$T$5:$T$904,0)),"")</f>
        <v/>
      </c>
    </row>
    <row r="36" customFormat="false" ht="13.5" hidden="false" customHeight="false" outlineLevel="0" collapsed="false">
      <c r="A36" s="9" t="n">
        <f aca="false">IF($B36="","",ROW()-4)</f>
        <v>32</v>
      </c>
      <c r="B36" s="39" t="str">
        <f aca="false">IFERROR(INDEX(对接源_01入库吨位!$B$5:$B$304,MATCH(INT((ROW()-5)/3)+1,对接源_01入库吨位!$S$5:$S$304,0)),"")</f>
        <v>贾建国</v>
      </c>
      <c r="C36" s="39" t="str">
        <f aca="false">IFERROR(INDEX(对接源_01入库吨位!$C$5:$C$304,MATCH(INT((ROW()-5)/3)+1,对接源_01入库吨位!$S$5:$S$304,0)),"")</f>
        <v>香梨</v>
      </c>
      <c r="D36" s="40" t="str">
        <f aca="false">IF($B36="","",IF(MOD(ROW()-5,3)=0,"周转打冷",IF(MOD(ROW()-5,3)=1,"仓储加工","装卸费")))</f>
        <v>仓储加工</v>
      </c>
      <c r="E36" s="51" t="n">
        <f aca="false">IF($B36="","",IFERROR(IF($D36="周转打冷",N(INDEX(对接源_01入库吨位!$D$5:$D$304,MATCH(INT((ROW()-5)/3)+1,对接源_01入库吨位!$S$5:$S$304,0))),IF($D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1390</v>
      </c>
      <c r="F36" s="41" t="n">
        <f aca="false">IF($B36="","",ROUND(IFERROR(IF($D36="周转打冷",N(INDEX(对接源_01入库吨位!$H$5:$H$304,MATCH(INT((ROW()-5)/3)+1,对接源_01入库吨位!$S$5:$S$304,0))),IF($D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28596.6</v>
      </c>
      <c r="G36" s="52" t="n">
        <f aca="false">IF($B36="","",ROUND(N($F36)/1000,3))</f>
        <v>28.597</v>
      </c>
      <c r="H36" s="74" t="s">
        <v>246</v>
      </c>
      <c r="I36" s="44" t="n">
        <v>9</v>
      </c>
      <c r="J36" s="75" t="n">
        <f aca="false">IF($B36="","",IF($H36="按筐数×单价",N($E36),IF($H36="按总重KG×单价",N($F36),IF($H36="按吨位×单价",N($G36),0))))</f>
        <v>1390</v>
      </c>
      <c r="K36" s="41" t="n">
        <f aca="false">IF($B36="","",ROUND(N($J36)*N($I36),2))</f>
        <v>12510</v>
      </c>
      <c r="L36" s="42"/>
      <c r="M36" s="76"/>
      <c r="N36" s="43"/>
      <c r="R36" s="77" t="str">
        <f aca="false">IF($B36="","",$B36)</f>
        <v>贾建国</v>
      </c>
      <c r="S36" s="77" t="n">
        <f aca="false">IF($R36="",0,IF(MATCH($R36,$R$5:$R$904,0)=ROW()-4,1,0))</f>
        <v>0</v>
      </c>
      <c r="T36" s="77" t="n">
        <f aca="false">N(T35)+$S36</f>
        <v>8</v>
      </c>
      <c r="U36" s="77" t="str">
        <f aca="false">IFERROR(INDEX($B$5:$B$904,MATCH(32,$T$5:$T$904,0)),"")</f>
        <v/>
      </c>
    </row>
    <row r="37" customFormat="false" ht="13.5" hidden="false" customHeight="false" outlineLevel="0" collapsed="false">
      <c r="A37" s="9" t="n">
        <f aca="false">IF($B37="","",ROW()-4)</f>
        <v>33</v>
      </c>
      <c r="B37" s="39" t="str">
        <f aca="false">IFERROR(INDEX(对接源_01入库吨位!$B$5:$B$304,MATCH(INT((ROW()-5)/3)+1,对接源_01入库吨位!$S$5:$S$304,0)),"")</f>
        <v>贾建国</v>
      </c>
      <c r="C37" s="39" t="str">
        <f aca="false">IFERROR(INDEX(对接源_01入库吨位!$C$5:$C$304,MATCH(INT((ROW()-5)/3)+1,对接源_01入库吨位!$S$5:$S$304,0)),"")</f>
        <v>香梨</v>
      </c>
      <c r="D37" s="40" t="str">
        <f aca="false">IF($B37="","",IF(MOD(ROW()-5,3)=0,"周转打冷",IF(MOD(ROW()-5,3)=1,"仓储加工","装卸费")))</f>
        <v>装卸费</v>
      </c>
      <c r="E37" s="51" t="n">
        <f aca="false">IF($B37="","",IFERROR(IF($D37="周转打冷",N(INDEX(对接源_01入库吨位!$D$5:$D$304,MATCH(INT((ROW()-5)/3)+1,对接源_01入库吨位!$S$5:$S$304,0))),IF($D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1390</v>
      </c>
      <c r="F37" s="41" t="n">
        <f aca="false">IF($B37="","",ROUND(IFERROR(IF($D37="周转打冷",N(INDEX(对接源_01入库吨位!$H$5:$H$304,MATCH(INT((ROW()-5)/3)+1,对接源_01入库吨位!$S$5:$S$304,0))),IF($D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28596.6</v>
      </c>
      <c r="G37" s="52" t="n">
        <f aca="false">IF($B37="","",ROUND(N($F37)/1000,3))</f>
        <v>28.597</v>
      </c>
      <c r="H37" s="74" t="s">
        <v>245</v>
      </c>
      <c r="I37" s="44" t="n">
        <v>50</v>
      </c>
      <c r="J37" s="75" t="n">
        <f aca="false">IF($B37="","",IF($H37="按筐数×单价",N($E37),IF($H37="按总重KG×单价",N($F37),IF($H37="按吨位×单价",N($G37),0))))</f>
        <v>28.597</v>
      </c>
      <c r="K37" s="41" t="n">
        <f aca="false">IF($B37="","",ROUND(N($J37)*N($I37),2))</f>
        <v>1429.85</v>
      </c>
      <c r="L37" s="42"/>
      <c r="M37" s="76"/>
      <c r="N37" s="43"/>
      <c r="R37" s="77" t="str">
        <f aca="false">IF($B37="","",$B37)</f>
        <v>贾建国</v>
      </c>
      <c r="S37" s="77" t="n">
        <f aca="false">IF($R37="",0,IF(MATCH($R37,$R$5:$R$904,0)=ROW()-4,1,0))</f>
        <v>0</v>
      </c>
      <c r="T37" s="77" t="n">
        <f aca="false">N(T36)+$S37</f>
        <v>8</v>
      </c>
      <c r="U37" s="77" t="str">
        <f aca="false">IFERROR(INDEX($B$5:$B$904,MATCH(33,$T$5:$T$904,0)),"")</f>
        <v/>
      </c>
    </row>
    <row r="38" customFormat="false" ht="13.5" hidden="false" customHeight="false" outlineLevel="0" collapsed="false">
      <c r="A38" s="9" t="n">
        <f aca="false">IF($B38="","",ROW()-4)</f>
        <v>34</v>
      </c>
      <c r="B38" s="39" t="str">
        <f aca="false">IFERROR(INDEX(对接源_01入库吨位!$B$5:$B$304,MATCH(INT((ROW()-5)/3)+1,对接源_01入库吨位!$S$5:$S$304,0)),"")</f>
        <v>王灵云</v>
      </c>
      <c r="C38" s="39" t="str">
        <f aca="false">IFERROR(INDEX(对接源_01入库吨位!$C$5:$C$304,MATCH(INT((ROW()-5)/3)+1,对接源_01入库吨位!$S$5:$S$304,0)),"")</f>
        <v>香梨</v>
      </c>
      <c r="D38" s="40" t="str">
        <f aca="false">IF($B38="","",IF(MOD(ROW()-5,3)=0,"周转打冷",IF(MOD(ROW()-5,3)=1,"仓储加工","装卸费")))</f>
        <v>周转打冷</v>
      </c>
      <c r="E38" s="51" t="n">
        <f aca="false">IF($B38="","",IFERROR(IF($D38="周转打冷",N(INDEX(对接源_01入库吨位!$D$5:$D$304,MATCH(INT((ROW()-5)/3)+1,对接源_01入库吨位!$S$5:$S$304,0))),IF($D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4214</v>
      </c>
      <c r="F38" s="41" t="n">
        <f aca="false">IF($B38="","",ROUND(IFERROR(IF($D38="周转打冷",N(INDEX(对接源_01入库吨位!$H$5:$H$304,MATCH(INT((ROW()-5)/3)+1,对接源_01入库吨位!$S$5:$S$304,0))),IF($D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79231.2</v>
      </c>
      <c r="G38" s="52" t="n">
        <f aca="false">IF($B38="","",ROUND(N($F38)/1000,3))</f>
        <v>79.231</v>
      </c>
      <c r="H38" s="74" t="s">
        <v>245</v>
      </c>
      <c r="I38" s="44" t="n">
        <v>110</v>
      </c>
      <c r="J38" s="75" t="n">
        <f aca="false">IF($B38="","",IF($H38="按筐数×单价",N($E38),IF($H38="按总重KG×单价",N($F38),IF($H38="按吨位×单价",N($G38),0))))</f>
        <v>79.231</v>
      </c>
      <c r="K38" s="41" t="n">
        <f aca="false">IF($B38="","",ROUND(N($J38)*N($I38),2))</f>
        <v>8715.41</v>
      </c>
      <c r="L38" s="42"/>
      <c r="M38" s="76"/>
      <c r="N38" s="43"/>
      <c r="R38" s="77" t="str">
        <f aca="false">IF($B38="","",$B38)</f>
        <v>王灵云</v>
      </c>
      <c r="S38" s="77" t="n">
        <f aca="false">IF($R38="",0,IF(MATCH($R38,$R$5:$R$904,0)=ROW()-4,1,0))</f>
        <v>1</v>
      </c>
      <c r="T38" s="77" t="n">
        <f aca="false">N(T37)+$S38</f>
        <v>9</v>
      </c>
      <c r="U38" s="77" t="str">
        <f aca="false">IFERROR(INDEX($B$5:$B$904,MATCH(34,$T$5:$T$904,0)),"")</f>
        <v/>
      </c>
    </row>
    <row r="39" customFormat="false" ht="13.5" hidden="false" customHeight="false" outlineLevel="0" collapsed="false">
      <c r="A39" s="9" t="n">
        <f aca="false">IF($B39="","",ROW()-4)</f>
        <v>35</v>
      </c>
      <c r="B39" s="39" t="str">
        <f aca="false">IFERROR(INDEX(对接源_01入库吨位!$B$5:$B$304,MATCH(INT((ROW()-5)/3)+1,对接源_01入库吨位!$S$5:$S$304,0)),"")</f>
        <v>王灵云</v>
      </c>
      <c r="C39" s="39" t="str">
        <f aca="false">IFERROR(INDEX(对接源_01入库吨位!$C$5:$C$304,MATCH(INT((ROW()-5)/3)+1,对接源_01入库吨位!$S$5:$S$304,0)),"")</f>
        <v>香梨</v>
      </c>
      <c r="D39" s="40" t="str">
        <f aca="false">IF($B39="","",IF(MOD(ROW()-5,3)=0,"周转打冷",IF(MOD(ROW()-5,3)=1,"仓储加工","装卸费")))</f>
        <v>仓储加工</v>
      </c>
      <c r="E39" s="51" t="n">
        <f aca="false">IF($B39="","",IFERROR(IF($D39="周转打冷",N(INDEX(对接源_01入库吨位!$D$5:$D$304,MATCH(INT((ROW()-5)/3)+1,对接源_01入库吨位!$S$5:$S$304,0))),IF($D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39" s="41" t="n">
        <f aca="false">IF($B39="","",ROUND(IFERROR(IF($D39="周转打冷",N(INDEX(对接源_01入库吨位!$H$5:$H$304,MATCH(INT((ROW()-5)/3)+1,对接源_01入库吨位!$S$5:$S$304,0))),IF($D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39" s="52" t="n">
        <f aca="false">IF($B39="","",ROUND(N($F39)/1000,3))</f>
        <v>0</v>
      </c>
      <c r="H39" s="74"/>
      <c r="I39" s="44"/>
      <c r="J39" s="75" t="n">
        <f aca="false">IF($B39="","",IF($H39="按筐数×单价",N($E39),IF($H39="按总重KG×单价",N($F39),IF($H39="按吨位×单价",N($G39),0))))</f>
        <v>0</v>
      </c>
      <c r="K39" s="41" t="n">
        <f aca="false">IF($B39="","",ROUND(N($J39)*N($I39),2))</f>
        <v>0</v>
      </c>
      <c r="L39" s="42"/>
      <c r="M39" s="76"/>
      <c r="N39" s="43"/>
      <c r="R39" s="77" t="str">
        <f aca="false">IF($B39="","",$B39)</f>
        <v>王灵云</v>
      </c>
      <c r="S39" s="77" t="n">
        <f aca="false">IF($R39="",0,IF(MATCH($R39,$R$5:$R$904,0)=ROW()-4,1,0))</f>
        <v>0</v>
      </c>
      <c r="T39" s="77" t="n">
        <f aca="false">N(T38)+$S39</f>
        <v>9</v>
      </c>
      <c r="U39" s="77" t="str">
        <f aca="false">IFERROR(INDEX($B$5:$B$904,MATCH(35,$T$5:$T$904,0)),"")</f>
        <v/>
      </c>
    </row>
    <row r="40" customFormat="false" ht="13.5" hidden="false" customHeight="false" outlineLevel="0" collapsed="false">
      <c r="A40" s="9" t="n">
        <f aca="false">IF($B40="","",ROW()-4)</f>
        <v>36</v>
      </c>
      <c r="B40" s="39" t="str">
        <f aca="false">IFERROR(INDEX(对接源_01入库吨位!$B$5:$B$304,MATCH(INT((ROW()-5)/3)+1,对接源_01入库吨位!$S$5:$S$304,0)),"")</f>
        <v>王灵云</v>
      </c>
      <c r="C40" s="39" t="str">
        <f aca="false">IFERROR(INDEX(对接源_01入库吨位!$C$5:$C$304,MATCH(INT((ROW()-5)/3)+1,对接源_01入库吨位!$S$5:$S$304,0)),"")</f>
        <v>香梨</v>
      </c>
      <c r="D40" s="40" t="str">
        <f aca="false">IF($B40="","",IF(MOD(ROW()-5,3)=0,"周转打冷",IF(MOD(ROW()-5,3)=1,"仓储加工","装卸费")))</f>
        <v>装卸费</v>
      </c>
      <c r="E40" s="51" t="n">
        <f aca="false">IF($B40="","",IFERROR(IF($D40="周转打冷",N(INDEX(对接源_01入库吨位!$D$5:$D$304,MATCH(INT((ROW()-5)/3)+1,对接源_01入库吨位!$S$5:$S$304,0))),IF($D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4214</v>
      </c>
      <c r="F40" s="41" t="n">
        <f aca="false">IF($B40="","",ROUND(IFERROR(IF($D40="周转打冷",N(INDEX(对接源_01入库吨位!$H$5:$H$304,MATCH(INT((ROW()-5)/3)+1,对接源_01入库吨位!$S$5:$S$304,0))),IF($D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79231.2</v>
      </c>
      <c r="G40" s="52" t="n">
        <f aca="false">IF($B40="","",ROUND(N($F40)/1000,3))</f>
        <v>79.231</v>
      </c>
      <c r="H40" s="74" t="s">
        <v>245</v>
      </c>
      <c r="I40" s="44" t="n">
        <v>50</v>
      </c>
      <c r="J40" s="75" t="n">
        <f aca="false">IF($B40="","",IF($H40="按筐数×单价",N($E40),IF($H40="按总重KG×单价",N($F40),IF($H40="按吨位×单价",N($G40),0))))</f>
        <v>79.231</v>
      </c>
      <c r="K40" s="41" t="n">
        <f aca="false">IF($B40="","",ROUND(N($J40)*N($I40),2))</f>
        <v>3961.55</v>
      </c>
      <c r="L40" s="42"/>
      <c r="M40" s="76"/>
      <c r="N40" s="43"/>
      <c r="R40" s="77" t="str">
        <f aca="false">IF($B40="","",$B40)</f>
        <v>王灵云</v>
      </c>
      <c r="S40" s="77" t="n">
        <f aca="false">IF($R40="",0,IF(MATCH($R40,$R$5:$R$904,0)=ROW()-4,1,0))</f>
        <v>0</v>
      </c>
      <c r="T40" s="77" t="n">
        <f aca="false">N(T39)+$S40</f>
        <v>9</v>
      </c>
      <c r="U40" s="77" t="str">
        <f aca="false">IFERROR(INDEX($B$5:$B$904,MATCH(36,$T$5:$T$904,0)),"")</f>
        <v/>
      </c>
    </row>
    <row r="41" customFormat="false" ht="13.5" hidden="false" customHeight="false" outlineLevel="0" collapsed="false">
      <c r="A41" s="9" t="n">
        <f aca="false">IF($B41="","",ROW()-4)</f>
        <v>37</v>
      </c>
      <c r="B41" s="39" t="str">
        <f aca="false">IFERROR(INDEX(对接源_01入库吨位!$B$5:$B$304,MATCH(INT((ROW()-5)/3)+1,对接源_01入库吨位!$S$5:$S$304,0)),"")</f>
        <v>杨艳玲</v>
      </c>
      <c r="C41" s="39" t="str">
        <f aca="false">IFERROR(INDEX(对接源_01入库吨位!$C$5:$C$304,MATCH(INT((ROW()-5)/3)+1,对接源_01入库吨位!$S$5:$S$304,0)),"")</f>
        <v>香梨</v>
      </c>
      <c r="D41" s="40" t="str">
        <f aca="false">IF($B41="","",IF(MOD(ROW()-5,3)=0,"周转打冷",IF(MOD(ROW()-5,3)=1,"仓储加工","装卸费")))</f>
        <v>周转打冷</v>
      </c>
      <c r="E41" s="51" t="n">
        <f aca="false">IF($B41="","",IFERROR(IF($D41="周转打冷",N(INDEX(对接源_01入库吨位!$D$5:$D$304,MATCH(INT((ROW()-5)/3)+1,对接源_01入库吨位!$S$5:$S$304,0))),IF($D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104</v>
      </c>
      <c r="F41" s="41" t="n">
        <f aca="false">IF($B41="","",ROUND(IFERROR(IF($D41="周转打冷",N(INDEX(对接源_01入库吨位!$H$5:$H$304,MATCH(INT((ROW()-5)/3)+1,对接源_01入库吨位!$S$5:$S$304,0))),IF($D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1799.2</v>
      </c>
      <c r="G41" s="52" t="n">
        <f aca="false">IF($B41="","",ROUND(N($F41)/1000,3))</f>
        <v>1.799</v>
      </c>
      <c r="H41" s="74" t="s">
        <v>246</v>
      </c>
      <c r="I41" s="44" t="n">
        <v>9</v>
      </c>
      <c r="J41" s="75" t="n">
        <f aca="false">IF($B41="","",IF($H41="按筐数×单价",N($E41),IF($H41="按总重KG×单价",N($F41),IF($H41="按吨位×单价",N($G41),0))))</f>
        <v>104</v>
      </c>
      <c r="K41" s="41" t="n">
        <f aca="false">IF($B41="","",ROUND(N($J41)*N($I41),2))</f>
        <v>936</v>
      </c>
      <c r="L41" s="42"/>
      <c r="M41" s="76"/>
      <c r="N41" s="43"/>
      <c r="R41" s="77" t="str">
        <f aca="false">IF($B41="","",$B41)</f>
        <v>杨艳玲</v>
      </c>
      <c r="S41" s="77" t="n">
        <f aca="false">IF($R41="",0,IF(MATCH($R41,$R$5:$R$904,0)=ROW()-4,1,0))</f>
        <v>1</v>
      </c>
      <c r="T41" s="77" t="n">
        <f aca="false">N(T40)+$S41</f>
        <v>10</v>
      </c>
      <c r="U41" s="77" t="str">
        <f aca="false">IFERROR(INDEX($B$5:$B$904,MATCH(37,$T$5:$T$904,0)),"")</f>
        <v/>
      </c>
    </row>
    <row r="42" customFormat="false" ht="13.5" hidden="false" customHeight="false" outlineLevel="0" collapsed="false">
      <c r="A42" s="9" t="n">
        <f aca="false">IF($B42="","",ROW()-4)</f>
        <v>38</v>
      </c>
      <c r="B42" s="39" t="str">
        <f aca="false">IFERROR(INDEX(对接源_01入库吨位!$B$5:$B$304,MATCH(INT((ROW()-5)/3)+1,对接源_01入库吨位!$S$5:$S$304,0)),"")</f>
        <v>杨艳玲</v>
      </c>
      <c r="C42" s="39" t="str">
        <f aca="false">IFERROR(INDEX(对接源_01入库吨位!$C$5:$C$304,MATCH(INT((ROW()-5)/3)+1,对接源_01入库吨位!$S$5:$S$304,0)),"")</f>
        <v>香梨</v>
      </c>
      <c r="D42" s="40" t="str">
        <f aca="false">IF($B42="","",IF(MOD(ROW()-5,3)=0,"周转打冷",IF(MOD(ROW()-5,3)=1,"仓储加工","装卸费")))</f>
        <v>仓储加工</v>
      </c>
      <c r="E42" s="51" t="n">
        <f aca="false">IF($B42="","",IFERROR(IF($D42="周转打冷",N(INDEX(对接源_01入库吨位!$D$5:$D$304,MATCH(INT((ROW()-5)/3)+1,对接源_01入库吨位!$S$5:$S$304,0))),IF($D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2" s="41" t="n">
        <f aca="false">IF($B42="","",ROUND(IFERROR(IF($D42="周转打冷",N(INDEX(对接源_01入库吨位!$H$5:$H$304,MATCH(INT((ROW()-5)/3)+1,对接源_01入库吨位!$S$5:$S$304,0))),IF($D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2" s="52" t="n">
        <f aca="false">IF($B42="","",ROUND(N($F42)/1000,3))</f>
        <v>0</v>
      </c>
      <c r="H42" s="74"/>
      <c r="I42" s="44"/>
      <c r="J42" s="75" t="n">
        <f aca="false">IF($B42="","",IF($H42="按筐数×单价",N($E42),IF($H42="按总重KG×单价",N($F42),IF($H42="按吨位×单价",N($G42),0))))</f>
        <v>0</v>
      </c>
      <c r="K42" s="41" t="n">
        <f aca="false">IF($B42="","",ROUND(N($J42)*N($I42),2))</f>
        <v>0</v>
      </c>
      <c r="L42" s="42"/>
      <c r="M42" s="76"/>
      <c r="N42" s="43"/>
      <c r="R42" s="77" t="str">
        <f aca="false">IF($B42="","",$B42)</f>
        <v>杨艳玲</v>
      </c>
      <c r="S42" s="77" t="n">
        <f aca="false">IF($R42="",0,IF(MATCH($R42,$R$5:$R$904,0)=ROW()-4,1,0))</f>
        <v>0</v>
      </c>
      <c r="T42" s="77" t="n">
        <f aca="false">N(T41)+$S42</f>
        <v>10</v>
      </c>
      <c r="U42" s="77" t="str">
        <f aca="false">IFERROR(INDEX($B$5:$B$904,MATCH(38,$T$5:$T$904,0)),"")</f>
        <v/>
      </c>
    </row>
    <row r="43" customFormat="false" ht="13.5" hidden="false" customHeight="false" outlineLevel="0" collapsed="false">
      <c r="A43" s="9" t="n">
        <f aca="false">IF($B43="","",ROW()-4)</f>
        <v>39</v>
      </c>
      <c r="B43" s="39" t="str">
        <f aca="false">IFERROR(INDEX(对接源_01入库吨位!$B$5:$B$304,MATCH(INT((ROW()-5)/3)+1,对接源_01入库吨位!$S$5:$S$304,0)),"")</f>
        <v>杨艳玲</v>
      </c>
      <c r="C43" s="39" t="str">
        <f aca="false">IFERROR(INDEX(对接源_01入库吨位!$C$5:$C$304,MATCH(INT((ROW()-5)/3)+1,对接源_01入库吨位!$S$5:$S$304,0)),"")</f>
        <v>香梨</v>
      </c>
      <c r="D43" s="40" t="str">
        <f aca="false">IF($B43="","",IF(MOD(ROW()-5,3)=0,"周转打冷",IF(MOD(ROW()-5,3)=1,"仓储加工","装卸费")))</f>
        <v>装卸费</v>
      </c>
      <c r="E43" s="51" t="n">
        <f aca="false">IF($B43="","",IFERROR(IF($D43="周转打冷",N(INDEX(对接源_01入库吨位!$D$5:$D$304,MATCH(INT((ROW()-5)/3)+1,对接源_01入库吨位!$S$5:$S$304,0))),IF($D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104</v>
      </c>
      <c r="F43" s="41" t="n">
        <f aca="false">IF($B43="","",ROUND(IFERROR(IF($D43="周转打冷",N(INDEX(对接源_01入库吨位!$H$5:$H$304,MATCH(INT((ROW()-5)/3)+1,对接源_01入库吨位!$S$5:$S$304,0))),IF($D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1799.2</v>
      </c>
      <c r="G43" s="52" t="n">
        <f aca="false">IF($B43="","",ROUND(N($F43)/1000,3))</f>
        <v>1.799</v>
      </c>
      <c r="H43" s="74" t="s">
        <v>245</v>
      </c>
      <c r="I43" s="44" t="n">
        <v>50</v>
      </c>
      <c r="J43" s="75" t="n">
        <f aca="false">IF($B43="","",IF($H43="按筐数×单价",N($E43),IF($H43="按总重KG×单价",N($F43),IF($H43="按吨位×单价",N($G43),0))))</f>
        <v>1.799</v>
      </c>
      <c r="K43" s="41" t="n">
        <f aca="false">IF($B43="","",ROUND(N($J43)*N($I43),2))</f>
        <v>89.95</v>
      </c>
      <c r="L43" s="42"/>
      <c r="M43" s="76"/>
      <c r="N43" s="43"/>
      <c r="R43" s="77" t="str">
        <f aca="false">IF($B43="","",$B43)</f>
        <v>杨艳玲</v>
      </c>
      <c r="S43" s="77" t="n">
        <f aca="false">IF($R43="",0,IF(MATCH($R43,$R$5:$R$904,0)=ROW()-4,1,0))</f>
        <v>0</v>
      </c>
      <c r="T43" s="77" t="n">
        <f aca="false">N(T42)+$S43</f>
        <v>10</v>
      </c>
      <c r="U43" s="77" t="str">
        <f aca="false">IFERROR(INDEX($B$5:$B$904,MATCH(39,$T$5:$T$904,0)),"")</f>
        <v/>
      </c>
    </row>
    <row r="44" customFormat="false" ht="13.5" hidden="false" customHeight="false" outlineLevel="0" collapsed="false">
      <c r="A44" s="9" t="n">
        <f aca="false">IF($B44="","",ROW()-4)</f>
        <v>40</v>
      </c>
      <c r="B44" s="39" t="str">
        <f aca="false">IFERROR(INDEX(对接源_01入库吨位!$B$5:$B$304,MATCH(INT((ROW()-5)/3)+1,对接源_01入库吨位!$S$5:$S$304,0)),"")</f>
        <v>荆建君</v>
      </c>
      <c r="C44" s="39" t="str">
        <f aca="false">IFERROR(INDEX(对接源_01入库吨位!$C$5:$C$304,MATCH(INT((ROW()-5)/3)+1,对接源_01入库吨位!$S$5:$S$304,0)),"")</f>
        <v>香梨</v>
      </c>
      <c r="D44" s="40" t="str">
        <f aca="false">IF($B44="","",IF(MOD(ROW()-5,3)=0,"周转打冷",IF(MOD(ROW()-5,3)=1,"仓储加工","装卸费")))</f>
        <v>周转打冷</v>
      </c>
      <c r="E44" s="51" t="n">
        <f aca="false">IF($B44="","",IFERROR(IF($D44="周转打冷",N(INDEX(对接源_01入库吨位!$D$5:$D$304,MATCH(INT((ROW()-5)/3)+1,对接源_01入库吨位!$S$5:$S$304,0))),IF($D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4" s="41" t="n">
        <f aca="false">IF($B44="","",ROUND(IFERROR(IF($D44="周转打冷",N(INDEX(对接源_01入库吨位!$H$5:$H$304,MATCH(INT((ROW()-5)/3)+1,对接源_01入库吨位!$S$5:$S$304,0))),IF($D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4" s="52" t="n">
        <f aca="false">IF($B44="","",ROUND(N($F44)/1000,3))</f>
        <v>0</v>
      </c>
      <c r="H44" s="74"/>
      <c r="I44" s="44"/>
      <c r="J44" s="75" t="n">
        <f aca="false">IF($B44="","",IF($H44="按筐数×单价",N($E44),IF($H44="按总重KG×单价",N($F44),IF($H44="按吨位×单价",N($G44),0))))</f>
        <v>0</v>
      </c>
      <c r="K44" s="41" t="n">
        <f aca="false">IF($B44="","",ROUND(N($J44)*N($I44),2))</f>
        <v>0</v>
      </c>
      <c r="L44" s="42"/>
      <c r="M44" s="76"/>
      <c r="N44" s="43"/>
      <c r="R44" s="77" t="str">
        <f aca="false">IF($B44="","",$B44)</f>
        <v>荆建君</v>
      </c>
      <c r="S44" s="77" t="n">
        <f aca="false">IF($R44="",0,IF(MATCH($R44,$R$5:$R$904,0)=ROW()-4,1,0))</f>
        <v>1</v>
      </c>
      <c r="T44" s="77" t="n">
        <f aca="false">N(T43)+$S44</f>
        <v>11</v>
      </c>
      <c r="U44" s="77" t="str">
        <f aca="false">IFERROR(INDEX($B$5:$B$904,MATCH(40,$T$5:$T$904,0)),"")</f>
        <v/>
      </c>
    </row>
    <row r="45" customFormat="false" ht="13.5" hidden="false" customHeight="false" outlineLevel="0" collapsed="false">
      <c r="A45" s="9" t="n">
        <f aca="false">IF($B45="","",ROW()-4)</f>
        <v>41</v>
      </c>
      <c r="B45" s="39" t="str">
        <f aca="false">IFERROR(INDEX(对接源_01入库吨位!$B$5:$B$304,MATCH(INT((ROW()-5)/3)+1,对接源_01入库吨位!$S$5:$S$304,0)),"")</f>
        <v>荆建君</v>
      </c>
      <c r="C45" s="39" t="str">
        <f aca="false">IFERROR(INDEX(对接源_01入库吨位!$C$5:$C$304,MATCH(INT((ROW()-5)/3)+1,对接源_01入库吨位!$S$5:$S$304,0)),"")</f>
        <v>香梨</v>
      </c>
      <c r="D45" s="40" t="str">
        <f aca="false">IF($B45="","",IF(MOD(ROW()-5,3)=0,"周转打冷",IF(MOD(ROW()-5,3)=1,"仓储加工","装卸费")))</f>
        <v>仓储加工</v>
      </c>
      <c r="E45" s="51" t="n">
        <f aca="false">IF($B45="","",IFERROR(IF($D45="周转打冷",N(INDEX(对接源_01入库吨位!$D$5:$D$304,MATCH(INT((ROW()-5)/3)+1,对接源_01入库吨位!$S$5:$S$304,0))),IF($D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1864</v>
      </c>
      <c r="F45" s="41" t="n">
        <f aca="false">IF($B45="","",ROUND(IFERROR(IF($D45="周转打冷",N(INDEX(对接源_01入库吨位!$H$5:$H$304,MATCH(INT((ROW()-5)/3)+1,对接源_01入库吨位!$S$5:$S$304,0))),IF($D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34111.2</v>
      </c>
      <c r="G45" s="52" t="n">
        <f aca="false">IF($B45="","",ROUND(N($F45)/1000,3))</f>
        <v>34.111</v>
      </c>
      <c r="H45" s="74" t="s">
        <v>246</v>
      </c>
      <c r="I45" s="44" t="n">
        <v>9.5</v>
      </c>
      <c r="J45" s="75" t="n">
        <f aca="false">IF($B45="","",IF($H45="按筐数×单价",N($E45),IF($H45="按总重KG×单价",N($F45),IF($H45="按吨位×单价",N($G45),0))))</f>
        <v>1864</v>
      </c>
      <c r="K45" s="41" t="n">
        <f aca="false">IF($B45="","",ROUND(N($J45)*N($I45),2))</f>
        <v>17708</v>
      </c>
      <c r="L45" s="42"/>
      <c r="M45" s="76"/>
      <c r="N45" s="43"/>
      <c r="R45" s="77" t="str">
        <f aca="false">IF($B45="","",$B45)</f>
        <v>荆建君</v>
      </c>
      <c r="S45" s="77" t="n">
        <f aca="false">IF($R45="",0,IF(MATCH($R45,$R$5:$R$904,0)=ROW()-4,1,0))</f>
        <v>0</v>
      </c>
      <c r="T45" s="77" t="n">
        <f aca="false">N(T44)+$S45</f>
        <v>11</v>
      </c>
      <c r="U45" s="77" t="str">
        <f aca="false">IFERROR(INDEX($B$5:$B$904,MATCH(41,$T$5:$T$904,0)),"")</f>
        <v/>
      </c>
    </row>
    <row r="46" customFormat="false" ht="13.5" hidden="false" customHeight="false" outlineLevel="0" collapsed="false">
      <c r="A46" s="9" t="n">
        <f aca="false">IF($B46="","",ROW()-4)</f>
        <v>42</v>
      </c>
      <c r="B46" s="39" t="str">
        <f aca="false">IFERROR(INDEX(对接源_01入库吨位!$B$5:$B$304,MATCH(INT((ROW()-5)/3)+1,对接源_01入库吨位!$S$5:$S$304,0)),"")</f>
        <v>荆建君</v>
      </c>
      <c r="C46" s="39" t="str">
        <f aca="false">IFERROR(INDEX(对接源_01入库吨位!$C$5:$C$304,MATCH(INT((ROW()-5)/3)+1,对接源_01入库吨位!$S$5:$S$304,0)),"")</f>
        <v>香梨</v>
      </c>
      <c r="D46" s="40" t="str">
        <f aca="false">IF($B46="","",IF(MOD(ROW()-5,3)=0,"周转打冷",IF(MOD(ROW()-5,3)=1,"仓储加工","装卸费")))</f>
        <v>装卸费</v>
      </c>
      <c r="E46" s="51" t="n">
        <f aca="false">IF($B46="","",IFERROR(IF($D46="周转打冷",N(INDEX(对接源_01入库吨位!$D$5:$D$304,MATCH(INT((ROW()-5)/3)+1,对接源_01入库吨位!$S$5:$S$304,0))),IF($D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1864</v>
      </c>
      <c r="F46" s="41" t="n">
        <f aca="false">IF($B46="","",ROUND(IFERROR(IF($D46="周转打冷",N(INDEX(对接源_01入库吨位!$H$5:$H$304,MATCH(INT((ROW()-5)/3)+1,对接源_01入库吨位!$S$5:$S$304,0))),IF($D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34111.2</v>
      </c>
      <c r="G46" s="52" t="n">
        <f aca="false">IF($B46="","",ROUND(N($F46)/1000,3))</f>
        <v>34.111</v>
      </c>
      <c r="H46" s="74" t="s">
        <v>245</v>
      </c>
      <c r="I46" s="44" t="n">
        <v>50</v>
      </c>
      <c r="J46" s="75" t="n">
        <f aca="false">IF($B46="","",IF($H46="按筐数×单价",N($E46),IF($H46="按总重KG×单价",N($F46),IF($H46="按吨位×单价",N($G46),0))))</f>
        <v>34.111</v>
      </c>
      <c r="K46" s="41" t="n">
        <f aca="false">IF($B46="","",ROUND(N($J46)*N($I46),2))</f>
        <v>1705.55</v>
      </c>
      <c r="L46" s="42"/>
      <c r="M46" s="76"/>
      <c r="N46" s="43"/>
      <c r="R46" s="77" t="str">
        <f aca="false">IF($B46="","",$B46)</f>
        <v>荆建君</v>
      </c>
      <c r="S46" s="77" t="n">
        <f aca="false">IF($R46="",0,IF(MATCH($R46,$R$5:$R$904,0)=ROW()-4,1,0))</f>
        <v>0</v>
      </c>
      <c r="T46" s="77" t="n">
        <f aca="false">N(T45)+$S46</f>
        <v>11</v>
      </c>
      <c r="U46" s="77" t="str">
        <f aca="false">IFERROR(INDEX($B$5:$B$904,MATCH(42,$T$5:$T$904,0)),"")</f>
        <v/>
      </c>
    </row>
    <row r="47" customFormat="false" ht="13.5" hidden="false" customHeight="false" outlineLevel="0" collapsed="false">
      <c r="A47" s="9" t="n">
        <f aca="false">IF($B47="","",ROW()-4)</f>
        <v>43</v>
      </c>
      <c r="B47" s="39" t="str">
        <f aca="false">IFERROR(INDEX(对接源_01入库吨位!$B$5:$B$304,MATCH(INT((ROW()-5)/3)+1,对接源_01入库吨位!$S$5:$S$304,0)),"")</f>
        <v>王照雪</v>
      </c>
      <c r="C47" s="39" t="str">
        <f aca="false">IFERROR(INDEX(对接源_01入库吨位!$C$5:$C$304,MATCH(INT((ROW()-5)/3)+1,对接源_01入库吨位!$S$5:$S$304,0)),"")</f>
        <v>香梨</v>
      </c>
      <c r="D47" s="40" t="str">
        <f aca="false">IF($B47="","",IF(MOD(ROW()-5,3)=0,"周转打冷",IF(MOD(ROW()-5,3)=1,"仓储加工","装卸费")))</f>
        <v>周转打冷</v>
      </c>
      <c r="E47" s="51" t="n">
        <f aca="false">IF($B47="","",IFERROR(IF($D47="周转打冷",N(INDEX(对接源_01入库吨位!$D$5:$D$304,MATCH(INT((ROW()-5)/3)+1,对接源_01入库吨位!$S$5:$S$304,0))),IF($D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47" s="41" t="n">
        <f aca="false">IF($B47="","",ROUND(IFERROR(IF($D47="周转打冷",N(INDEX(对接源_01入库吨位!$H$5:$H$304,MATCH(INT((ROW()-5)/3)+1,对接源_01入库吨位!$S$5:$S$304,0))),IF($D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47" s="52" t="n">
        <f aca="false">IF($B47="","",ROUND(N($F47)/1000,3))</f>
        <v>0</v>
      </c>
      <c r="H47" s="74"/>
      <c r="I47" s="44"/>
      <c r="J47" s="75" t="n">
        <f aca="false">IF($B47="","",IF($H47="按筐数×单价",N($E47),IF($H47="按总重KG×单价",N($F47),IF($H47="按吨位×单价",N($G47),0))))</f>
        <v>0</v>
      </c>
      <c r="K47" s="41" t="n">
        <f aca="false">IF($B47="","",ROUND(N($J47)*N($I47),2))</f>
        <v>0</v>
      </c>
      <c r="L47" s="42"/>
      <c r="M47" s="76"/>
      <c r="N47" s="43"/>
      <c r="R47" s="77" t="str">
        <f aca="false">IF($B47="","",$B47)</f>
        <v>王照雪</v>
      </c>
      <c r="S47" s="77" t="n">
        <f aca="false">IF($R47="",0,IF(MATCH($R47,$R$5:$R$904,0)=ROW()-4,1,0))</f>
        <v>0</v>
      </c>
      <c r="T47" s="77" t="n">
        <f aca="false">N(T46)+$S47</f>
        <v>11</v>
      </c>
      <c r="U47" s="77" t="str">
        <f aca="false">IFERROR(INDEX($B$5:$B$904,MATCH(43,$T$5:$T$904,0)),"")</f>
        <v/>
      </c>
    </row>
    <row r="48" customFormat="false" ht="13.5" hidden="false" customHeight="false" outlineLevel="0" collapsed="false">
      <c r="A48" s="9" t="n">
        <f aca="false">IF($B48="","",ROW()-4)</f>
        <v>44</v>
      </c>
      <c r="B48" s="39" t="str">
        <f aca="false">IFERROR(INDEX(对接源_01入库吨位!$B$5:$B$304,MATCH(INT((ROW()-5)/3)+1,对接源_01入库吨位!$S$5:$S$304,0)),"")</f>
        <v>王照雪</v>
      </c>
      <c r="C48" s="39" t="str">
        <f aca="false">IFERROR(INDEX(对接源_01入库吨位!$C$5:$C$304,MATCH(INT((ROW()-5)/3)+1,对接源_01入库吨位!$S$5:$S$304,0)),"")</f>
        <v>香梨</v>
      </c>
      <c r="D48" s="40" t="str">
        <f aca="false">IF($B48="","",IF(MOD(ROW()-5,3)=0,"周转打冷",IF(MOD(ROW()-5,3)=1,"仓储加工","装卸费")))</f>
        <v>仓储加工</v>
      </c>
      <c r="E48" s="51" t="n">
        <f aca="false">IF($B48="","",IFERROR(IF($D48="周转打冷",N(INDEX(对接源_01入库吨位!$D$5:$D$304,MATCH(INT((ROW()-5)/3)+1,对接源_01入库吨位!$S$5:$S$304,0))),IF($D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852</v>
      </c>
      <c r="F48" s="41" t="n">
        <f aca="false">IF($B48="","",ROUND(IFERROR(IF($D48="周转打冷",N(INDEX(对接源_01入库吨位!$H$5:$H$304,MATCH(INT((ROW()-5)/3)+1,对接源_01入库吨位!$S$5:$S$304,0))),IF($D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16247</v>
      </c>
      <c r="G48" s="52" t="n">
        <f aca="false">IF($B48="","",ROUND(N($F48)/1000,3))</f>
        <v>16.247</v>
      </c>
      <c r="H48" s="74"/>
      <c r="I48" s="44"/>
      <c r="J48" s="75" t="n">
        <f aca="false">IF($B48="","",IF($H48="按筐数×单价",N($E48),IF($H48="按总重KG×单价",N($F48),IF($H48="按吨位×单价",N($G48),0))))</f>
        <v>0</v>
      </c>
      <c r="K48" s="41" t="n">
        <f aca="false">IF($B48="","",ROUND(N($J48)*N($I48),2))</f>
        <v>0</v>
      </c>
      <c r="L48" s="42"/>
      <c r="M48" s="76"/>
      <c r="N48" s="43"/>
      <c r="R48" s="77" t="str">
        <f aca="false">IF($B48="","",$B48)</f>
        <v>王照雪</v>
      </c>
      <c r="S48" s="77" t="n">
        <f aca="false">IF($R48="",0,IF(MATCH($R48,$R$5:$R$904,0)=ROW()-4,1,0))</f>
        <v>0</v>
      </c>
      <c r="T48" s="77" t="n">
        <f aca="false">N(T47)+$S48</f>
        <v>11</v>
      </c>
      <c r="U48" s="77" t="str">
        <f aca="false">IFERROR(INDEX($B$5:$B$904,MATCH(44,$T$5:$T$904,0)),"")</f>
        <v/>
      </c>
    </row>
    <row r="49" customFormat="false" ht="13.5" hidden="false" customHeight="false" outlineLevel="0" collapsed="false">
      <c r="A49" s="9" t="n">
        <f aca="false">IF($B49="","",ROW()-4)</f>
        <v>45</v>
      </c>
      <c r="B49" s="39" t="str">
        <f aca="false">IFERROR(INDEX(对接源_01入库吨位!$B$5:$B$304,MATCH(INT((ROW()-5)/3)+1,对接源_01入库吨位!$S$5:$S$304,0)),"")</f>
        <v>王照雪</v>
      </c>
      <c r="C49" s="39" t="str">
        <f aca="false">IFERROR(INDEX(对接源_01入库吨位!$C$5:$C$304,MATCH(INT((ROW()-5)/3)+1,对接源_01入库吨位!$S$5:$S$304,0)),"")</f>
        <v>香梨</v>
      </c>
      <c r="D49" s="40" t="str">
        <f aca="false">IF($B49="","",IF(MOD(ROW()-5,3)=0,"周转打冷",IF(MOD(ROW()-5,3)=1,"仓储加工","装卸费")))</f>
        <v>装卸费</v>
      </c>
      <c r="E49" s="51" t="n">
        <f aca="false">IF($B49="","",IFERROR(IF($D49="周转打冷",N(INDEX(对接源_01入库吨位!$D$5:$D$304,MATCH(INT((ROW()-5)/3)+1,对接源_01入库吨位!$S$5:$S$304,0))),IF($D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852</v>
      </c>
      <c r="F49" s="41" t="n">
        <f aca="false">IF($B49="","",ROUND(IFERROR(IF($D49="周转打冷",N(INDEX(对接源_01入库吨位!$H$5:$H$304,MATCH(INT((ROW()-5)/3)+1,对接源_01入库吨位!$S$5:$S$304,0))),IF($D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16247</v>
      </c>
      <c r="G49" s="52" t="n">
        <f aca="false">IF($B49="","",ROUND(N($F49)/1000,3))</f>
        <v>16.247</v>
      </c>
      <c r="H49" s="74" t="s">
        <v>245</v>
      </c>
      <c r="I49" s="44" t="n">
        <v>50</v>
      </c>
      <c r="J49" s="75" t="n">
        <f aca="false">IF($B49="","",IF($H49="按筐数×单价",N($E49),IF($H49="按总重KG×单价",N($F49),IF($H49="按吨位×单价",N($G49),0))))</f>
        <v>16.247</v>
      </c>
      <c r="K49" s="41" t="n">
        <f aca="false">IF($B49="","",ROUND(N($J49)*N($I49),2))</f>
        <v>812.35</v>
      </c>
      <c r="L49" s="42"/>
      <c r="M49" s="76"/>
      <c r="N49" s="43"/>
      <c r="R49" s="77" t="str">
        <f aca="false">IF($B49="","",$B49)</f>
        <v>王照雪</v>
      </c>
      <c r="S49" s="77" t="n">
        <f aca="false">IF($R49="",0,IF(MATCH($R49,$R$5:$R$904,0)=ROW()-4,1,0))</f>
        <v>0</v>
      </c>
      <c r="T49" s="77" t="n">
        <f aca="false">N(T48)+$S49</f>
        <v>11</v>
      </c>
      <c r="U49" s="77" t="str">
        <f aca="false">IFERROR(INDEX($B$5:$B$904,MATCH(45,$T$5:$T$904,0)),"")</f>
        <v/>
      </c>
    </row>
    <row r="50" customFormat="false" ht="13.5" hidden="false" customHeight="false" outlineLevel="0" collapsed="false">
      <c r="A50" s="9" t="n">
        <f aca="false">IF($B50="","",ROW()-4)</f>
        <v>46</v>
      </c>
      <c r="B50" s="39" t="str">
        <f aca="false">IFERROR(INDEX(对接源_01入库吨位!$B$5:$B$304,MATCH(INT((ROW()-5)/3)+1,对接源_01入库吨位!$S$5:$S$304,0)),"")</f>
        <v>努尔敦</v>
      </c>
      <c r="C50" s="39" t="str">
        <f aca="false">IFERROR(INDEX(对接源_01入库吨位!$C$5:$C$304,MATCH(INT((ROW()-5)/3)+1,对接源_01入库吨位!$S$5:$S$304,0)),"")</f>
        <v>香梨</v>
      </c>
      <c r="D50" s="40" t="str">
        <f aca="false">IF($B50="","",IF(MOD(ROW()-5,3)=0,"周转打冷",IF(MOD(ROW()-5,3)=1,"仓储加工","装卸费")))</f>
        <v>周转打冷</v>
      </c>
      <c r="E50" s="51" t="n">
        <f aca="false">IF($B50="","",IFERROR(IF($D50="周转打冷",N(INDEX(对接源_01入库吨位!$D$5:$D$304,MATCH(INT((ROW()-5)/3)+1,对接源_01入库吨位!$S$5:$S$304,0))),IF($D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0" s="41" t="n">
        <f aca="false">IF($B50="","",ROUND(IFERROR(IF($D50="周转打冷",N(INDEX(对接源_01入库吨位!$H$5:$H$304,MATCH(INT((ROW()-5)/3)+1,对接源_01入库吨位!$S$5:$S$304,0))),IF($D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0" s="52" t="n">
        <f aca="false">IF($B50="","",ROUND(N($F50)/1000,3))</f>
        <v>0</v>
      </c>
      <c r="H50" s="74"/>
      <c r="I50" s="44"/>
      <c r="J50" s="75" t="n">
        <f aca="false">IF($B50="","",IF($H50="按筐数×单价",N($E50),IF($H50="按总重KG×单价",N($F50),IF($H50="按吨位×单价",N($G50),0))))</f>
        <v>0</v>
      </c>
      <c r="K50" s="41" t="n">
        <f aca="false">IF($B50="","",ROUND(N($J50)*N($I50),2))</f>
        <v>0</v>
      </c>
      <c r="L50" s="42"/>
      <c r="M50" s="76"/>
      <c r="N50" s="43"/>
      <c r="R50" s="77" t="str">
        <f aca="false">IF($B50="","",$B50)</f>
        <v>努尔敦</v>
      </c>
      <c r="S50" s="77" t="n">
        <f aca="false">IF($R50="",0,IF(MATCH($R50,$R$5:$R$904,0)=ROW()-4,1,0))</f>
        <v>1</v>
      </c>
      <c r="T50" s="77" t="n">
        <f aca="false">N(T49)+$S50</f>
        <v>12</v>
      </c>
      <c r="U50" s="77" t="str">
        <f aca="false">IFERROR(INDEX($B$5:$B$904,MATCH(46,$T$5:$T$904,0)),"")</f>
        <v/>
      </c>
    </row>
    <row r="51" customFormat="false" ht="13.5" hidden="false" customHeight="false" outlineLevel="0" collapsed="false">
      <c r="A51" s="9" t="n">
        <f aca="false">IF($B51="","",ROW()-4)</f>
        <v>47</v>
      </c>
      <c r="B51" s="39" t="str">
        <f aca="false">IFERROR(INDEX(对接源_01入库吨位!$B$5:$B$304,MATCH(INT((ROW()-5)/3)+1,对接源_01入库吨位!$S$5:$S$304,0)),"")</f>
        <v>努尔敦</v>
      </c>
      <c r="C51" s="39" t="str">
        <f aca="false">IFERROR(INDEX(对接源_01入库吨位!$C$5:$C$304,MATCH(INT((ROW()-5)/3)+1,对接源_01入库吨位!$S$5:$S$304,0)),"")</f>
        <v>香梨</v>
      </c>
      <c r="D51" s="40" t="str">
        <f aca="false">IF($B51="","",IF(MOD(ROW()-5,3)=0,"周转打冷",IF(MOD(ROW()-5,3)=1,"仓储加工","装卸费")))</f>
        <v>仓储加工</v>
      </c>
      <c r="E51" s="51" t="n">
        <f aca="false">IF($B51="","",IFERROR(IF($D51="周转打冷",N(INDEX(对接源_01入库吨位!$D$5:$D$304,MATCH(INT((ROW()-5)/3)+1,对接源_01入库吨位!$S$5:$S$304,0))),IF($D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3223</v>
      </c>
      <c r="F51" s="41" t="n">
        <f aca="false">IF($B51="","",ROUND(IFERROR(IF($D51="周转打冷",N(INDEX(对接源_01入库吨位!$H$5:$H$304,MATCH(INT((ROW()-5)/3)+1,对接源_01入库吨位!$S$5:$S$304,0))),IF($D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62388.9</v>
      </c>
      <c r="G51" s="52" t="n">
        <f aca="false">IF($B51="","",ROUND(N($F51)/1000,3))</f>
        <v>62.389</v>
      </c>
      <c r="H51" s="74" t="s">
        <v>246</v>
      </c>
      <c r="I51" s="44" t="n">
        <v>9.5</v>
      </c>
      <c r="J51" s="75" t="n">
        <f aca="false">IF($B51="","",IF($H51="按筐数×单价",N($E51),IF($H51="按总重KG×单价",N($F51),IF($H51="按吨位×单价",N($G51),0))))</f>
        <v>3223</v>
      </c>
      <c r="K51" s="41" t="n">
        <f aca="false">IF($B51="","",ROUND(N($J51)*N($I51),2))</f>
        <v>30618.5</v>
      </c>
      <c r="L51" s="42"/>
      <c r="M51" s="76"/>
      <c r="N51" s="43"/>
      <c r="R51" s="77" t="str">
        <f aca="false">IF($B51="","",$B51)</f>
        <v>努尔敦</v>
      </c>
      <c r="S51" s="77" t="n">
        <f aca="false">IF($R51="",0,IF(MATCH($R51,$R$5:$R$904,0)=ROW()-4,1,0))</f>
        <v>0</v>
      </c>
      <c r="T51" s="77" t="n">
        <f aca="false">N(T50)+$S51</f>
        <v>12</v>
      </c>
      <c r="U51" s="77" t="str">
        <f aca="false">IFERROR(INDEX($B$5:$B$904,MATCH(47,$T$5:$T$904,0)),"")</f>
        <v/>
      </c>
    </row>
    <row r="52" customFormat="false" ht="13.5" hidden="false" customHeight="false" outlineLevel="0" collapsed="false">
      <c r="A52" s="9" t="n">
        <f aca="false">IF($B52="","",ROW()-4)</f>
        <v>48</v>
      </c>
      <c r="B52" s="39" t="str">
        <f aca="false">IFERROR(INDEX(对接源_01入库吨位!$B$5:$B$304,MATCH(INT((ROW()-5)/3)+1,对接源_01入库吨位!$S$5:$S$304,0)),"")</f>
        <v>努尔敦</v>
      </c>
      <c r="C52" s="39" t="str">
        <f aca="false">IFERROR(INDEX(对接源_01入库吨位!$C$5:$C$304,MATCH(INT((ROW()-5)/3)+1,对接源_01入库吨位!$S$5:$S$304,0)),"")</f>
        <v>香梨</v>
      </c>
      <c r="D52" s="40" t="str">
        <f aca="false">IF($B52="","",IF(MOD(ROW()-5,3)=0,"周转打冷",IF(MOD(ROW()-5,3)=1,"仓储加工","装卸费")))</f>
        <v>装卸费</v>
      </c>
      <c r="E52" s="51" t="n">
        <f aca="false">IF($B52="","",IFERROR(IF($D52="周转打冷",N(INDEX(对接源_01入库吨位!$D$5:$D$304,MATCH(INT((ROW()-5)/3)+1,对接源_01入库吨位!$S$5:$S$304,0))),IF($D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3223</v>
      </c>
      <c r="F52" s="41" t="n">
        <f aca="false">IF($B52="","",ROUND(IFERROR(IF($D52="周转打冷",N(INDEX(对接源_01入库吨位!$H$5:$H$304,MATCH(INT((ROW()-5)/3)+1,对接源_01入库吨位!$S$5:$S$304,0))),IF($D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62388.9</v>
      </c>
      <c r="G52" s="52" t="n">
        <f aca="false">IF($B52="","",ROUND(N($F52)/1000,3))</f>
        <v>62.389</v>
      </c>
      <c r="H52" s="74" t="s">
        <v>245</v>
      </c>
      <c r="I52" s="44" t="n">
        <v>50</v>
      </c>
      <c r="J52" s="75" t="n">
        <f aca="false">IF($B52="","",IF($H52="按筐数×单价",N($E52),IF($H52="按总重KG×单价",N($F52),IF($H52="按吨位×单价",N($G52),0))))</f>
        <v>62.389</v>
      </c>
      <c r="K52" s="41" t="n">
        <f aca="false">IF($B52="","",ROUND(N($J52)*N($I52),2))</f>
        <v>3119.45</v>
      </c>
      <c r="L52" s="42"/>
      <c r="M52" s="76"/>
      <c r="N52" s="43"/>
      <c r="R52" s="77" t="str">
        <f aca="false">IF($B52="","",$B52)</f>
        <v>努尔敦</v>
      </c>
      <c r="S52" s="77" t="n">
        <f aca="false">IF($R52="",0,IF(MATCH($R52,$R$5:$R$904,0)=ROW()-4,1,0))</f>
        <v>0</v>
      </c>
      <c r="T52" s="77" t="n">
        <f aca="false">N(T51)+$S52</f>
        <v>12</v>
      </c>
      <c r="U52" s="77" t="str">
        <f aca="false">IFERROR(INDEX($B$5:$B$904,MATCH(48,$T$5:$T$904,0)),"")</f>
        <v/>
      </c>
    </row>
    <row r="53" customFormat="false" ht="13.5" hidden="false" customHeight="false" outlineLevel="0" collapsed="false">
      <c r="A53" s="9" t="n">
        <f aca="false">IF($B53="","",ROW()-4)</f>
        <v>49</v>
      </c>
      <c r="B53" s="39" t="str">
        <f aca="false">IFERROR(INDEX(对接源_01入库吨位!$B$5:$B$304,MATCH(INT((ROW()-5)/3)+1,对接源_01入库吨位!$S$5:$S$304,0)),"")</f>
        <v>王浩</v>
      </c>
      <c r="C53" s="39" t="str">
        <f aca="false">IFERROR(INDEX(对接源_01入库吨位!$C$5:$C$304,MATCH(INT((ROW()-5)/3)+1,对接源_01入库吨位!$S$5:$S$304,0)),"")</f>
        <v>香梨</v>
      </c>
      <c r="D53" s="40" t="str">
        <f aca="false">IF($B53="","",IF(MOD(ROW()-5,3)=0,"周转打冷",IF(MOD(ROW()-5,3)=1,"仓储加工","装卸费")))</f>
        <v>周转打冷</v>
      </c>
      <c r="E53" s="51" t="n">
        <f aca="false">IF($B53="","",IFERROR(IF($D53="周转打冷",N(INDEX(对接源_01入库吨位!$D$5:$D$304,MATCH(INT((ROW()-5)/3)+1,对接源_01入库吨位!$S$5:$S$304,0))),IF($D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3" s="41" t="n">
        <f aca="false">IF($B53="","",ROUND(IFERROR(IF($D53="周转打冷",N(INDEX(对接源_01入库吨位!$H$5:$H$304,MATCH(INT((ROW()-5)/3)+1,对接源_01入库吨位!$S$5:$S$304,0))),IF($D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3" s="52" t="n">
        <f aca="false">IF($B53="","",ROUND(N($F53)/1000,3))</f>
        <v>0</v>
      </c>
      <c r="H53" s="74"/>
      <c r="I53" s="44"/>
      <c r="J53" s="75" t="n">
        <f aca="false">IF($B53="","",IF($H53="按筐数×单价",N($E53),IF($H53="按总重KG×单价",N($F53),IF($H53="按吨位×单价",N($G53),0))))</f>
        <v>0</v>
      </c>
      <c r="K53" s="41" t="n">
        <f aca="false">IF($B53="","",ROUND(N($J53)*N($I53),2))</f>
        <v>0</v>
      </c>
      <c r="L53" s="42"/>
      <c r="M53" s="76"/>
      <c r="N53" s="43"/>
      <c r="R53" s="77" t="str">
        <f aca="false">IF($B53="","",$B53)</f>
        <v>王浩</v>
      </c>
      <c r="S53" s="77" t="n">
        <f aca="false">IF($R53="",0,IF(MATCH($R53,$R$5:$R$904,0)=ROW()-4,1,0))</f>
        <v>1</v>
      </c>
      <c r="T53" s="77" t="n">
        <f aca="false">N(T52)+$S53</f>
        <v>13</v>
      </c>
      <c r="U53" s="77" t="str">
        <f aca="false">IFERROR(INDEX($B$5:$B$904,MATCH(49,$T$5:$T$904,0)),"")</f>
        <v/>
      </c>
    </row>
    <row r="54" customFormat="false" ht="13.5" hidden="false" customHeight="false" outlineLevel="0" collapsed="false">
      <c r="A54" s="9" t="n">
        <f aca="false">IF($B54="","",ROW()-4)</f>
        <v>50</v>
      </c>
      <c r="B54" s="39" t="str">
        <f aca="false">IFERROR(INDEX(对接源_01入库吨位!$B$5:$B$304,MATCH(INT((ROW()-5)/3)+1,对接源_01入库吨位!$S$5:$S$304,0)),"")</f>
        <v>王浩</v>
      </c>
      <c r="C54" s="39" t="str">
        <f aca="false">IFERROR(INDEX(对接源_01入库吨位!$C$5:$C$304,MATCH(INT((ROW()-5)/3)+1,对接源_01入库吨位!$S$5:$S$304,0)),"")</f>
        <v>香梨</v>
      </c>
      <c r="D54" s="40" t="str">
        <f aca="false">IF($B54="","",IF(MOD(ROW()-5,3)=0,"周转打冷",IF(MOD(ROW()-5,3)=1,"仓储加工","装卸费")))</f>
        <v>仓储加工</v>
      </c>
      <c r="E54" s="51" t="n">
        <f aca="false">IF($B54="","",IFERROR(IF($D54="周转打冷",N(INDEX(对接源_01入库吨位!$D$5:$D$304,MATCH(INT((ROW()-5)/3)+1,对接源_01入库吨位!$S$5:$S$304,0))),IF($D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1184</v>
      </c>
      <c r="F54" s="41" t="n">
        <f aca="false">IF($B54="","",ROUND(IFERROR(IF($D54="周转打冷",N(INDEX(对接源_01入库吨位!$H$5:$H$304,MATCH(INT((ROW()-5)/3)+1,对接源_01入库吨位!$S$5:$S$304,0))),IF($D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21667.2</v>
      </c>
      <c r="G54" s="52" t="n">
        <f aca="false">IF($B54="","",ROUND(N($F54)/1000,3))</f>
        <v>21.667</v>
      </c>
      <c r="H54" s="74" t="s">
        <v>246</v>
      </c>
      <c r="I54" s="44" t="n">
        <v>8</v>
      </c>
      <c r="J54" s="75" t="n">
        <f aca="false">IF($B54="","",IF($H54="按筐数×单价",N($E54),IF($H54="按总重KG×单价",N($F54),IF($H54="按吨位×单价",N($G54),0))))</f>
        <v>1184</v>
      </c>
      <c r="K54" s="41" t="n">
        <f aca="false">IF($B54="","",ROUND(N($J54)*N($I54),2))</f>
        <v>9472</v>
      </c>
      <c r="L54" s="42"/>
      <c r="M54" s="76"/>
      <c r="N54" s="43"/>
      <c r="R54" s="77" t="str">
        <f aca="false">IF($B54="","",$B54)</f>
        <v>王浩</v>
      </c>
      <c r="S54" s="77" t="n">
        <f aca="false">IF($R54="",0,IF(MATCH($R54,$R$5:$R$904,0)=ROW()-4,1,0))</f>
        <v>0</v>
      </c>
      <c r="T54" s="77" t="n">
        <f aca="false">N(T53)+$S54</f>
        <v>13</v>
      </c>
      <c r="U54" s="77" t="str">
        <f aca="false">IFERROR(INDEX($B$5:$B$904,MATCH(50,$T$5:$T$904,0)),"")</f>
        <v/>
      </c>
    </row>
    <row r="55" customFormat="false" ht="13.5" hidden="false" customHeight="false" outlineLevel="0" collapsed="false">
      <c r="A55" s="9" t="n">
        <f aca="false">IF($B55="","",ROW()-4)</f>
        <v>51</v>
      </c>
      <c r="B55" s="39" t="str">
        <f aca="false">IFERROR(INDEX(对接源_01入库吨位!$B$5:$B$304,MATCH(INT((ROW()-5)/3)+1,对接源_01入库吨位!$S$5:$S$304,0)),"")</f>
        <v>王浩</v>
      </c>
      <c r="C55" s="39" t="str">
        <f aca="false">IFERROR(INDEX(对接源_01入库吨位!$C$5:$C$304,MATCH(INT((ROW()-5)/3)+1,对接源_01入库吨位!$S$5:$S$304,0)),"")</f>
        <v>香梨</v>
      </c>
      <c r="D55" s="40" t="str">
        <f aca="false">IF($B55="","",IF(MOD(ROW()-5,3)=0,"周转打冷",IF(MOD(ROW()-5,3)=1,"仓储加工","装卸费")))</f>
        <v>装卸费</v>
      </c>
      <c r="E55" s="51" t="n">
        <f aca="false">IF($B55="","",IFERROR(IF($D55="周转打冷",N(INDEX(对接源_01入库吨位!$D$5:$D$304,MATCH(INT((ROW()-5)/3)+1,对接源_01入库吨位!$S$5:$S$304,0))),IF($D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1184</v>
      </c>
      <c r="F55" s="41" t="n">
        <f aca="false">IF($B55="","",ROUND(IFERROR(IF($D55="周转打冷",N(INDEX(对接源_01入库吨位!$H$5:$H$304,MATCH(INT((ROW()-5)/3)+1,对接源_01入库吨位!$S$5:$S$304,0))),IF($D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21667.2</v>
      </c>
      <c r="G55" s="52" t="n">
        <f aca="false">IF($B55="","",ROUND(N($F55)/1000,3))</f>
        <v>21.667</v>
      </c>
      <c r="H55" s="74" t="s">
        <v>245</v>
      </c>
      <c r="I55" s="44" t="n">
        <v>50</v>
      </c>
      <c r="J55" s="75" t="n">
        <f aca="false">IF($B55="","",IF($H55="按筐数×单价",N($E55),IF($H55="按总重KG×单价",N($F55),IF($H55="按吨位×单价",N($G55),0))))</f>
        <v>21.667</v>
      </c>
      <c r="K55" s="41" t="n">
        <f aca="false">IF($B55="","",ROUND(N($J55)*N($I55),2))</f>
        <v>1083.35</v>
      </c>
      <c r="L55" s="42"/>
      <c r="M55" s="76"/>
      <c r="N55" s="43"/>
      <c r="R55" s="77" t="str">
        <f aca="false">IF($B55="","",$B55)</f>
        <v>王浩</v>
      </c>
      <c r="S55" s="77" t="n">
        <f aca="false">IF($R55="",0,IF(MATCH($R55,$R$5:$R$904,0)=ROW()-4,1,0))</f>
        <v>0</v>
      </c>
      <c r="T55" s="77" t="n">
        <f aca="false">N(T54)+$S55</f>
        <v>13</v>
      </c>
      <c r="U55" s="77" t="str">
        <f aca="false">IFERROR(INDEX($B$5:$B$904,MATCH(51,$T$5:$T$904,0)),"")</f>
        <v/>
      </c>
    </row>
    <row r="56" customFormat="false" ht="13.5" hidden="false" customHeight="false" outlineLevel="0" collapsed="false">
      <c r="A56" s="9" t="n">
        <f aca="false">IF($B56="","",ROW()-4)</f>
        <v>52</v>
      </c>
      <c r="B56" s="39" t="str">
        <f aca="false">IFERROR(INDEX(对接源_01入库吨位!$B$5:$B$304,MATCH(INT((ROW()-5)/3)+1,对接源_01入库吨位!$S$5:$S$304,0)),"")</f>
        <v>热合曼+艾则孜</v>
      </c>
      <c r="C56" s="39" t="str">
        <f aca="false">IFERROR(INDEX(对接源_01入库吨位!$C$5:$C$304,MATCH(INT((ROW()-5)/3)+1,对接源_01入库吨位!$S$5:$S$304,0)),"")</f>
        <v>香梨</v>
      </c>
      <c r="D56" s="40" t="str">
        <f aca="false">IF($B56="","",IF(MOD(ROW()-5,3)=0,"周转打冷",IF(MOD(ROW()-5,3)=1,"仓储加工","装卸费")))</f>
        <v>周转打冷</v>
      </c>
      <c r="E56" s="51" t="n">
        <f aca="false">IF($B56="","",IFERROR(IF($D56="周转打冷",N(INDEX(对接源_01入库吨位!$D$5:$D$304,MATCH(INT((ROW()-5)/3)+1,对接源_01入库吨位!$S$5:$S$304,0))),IF($D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6" s="41" t="n">
        <f aca="false">IF($B56="","",ROUND(IFERROR(IF($D56="周转打冷",N(INDEX(对接源_01入库吨位!$H$5:$H$304,MATCH(INT((ROW()-5)/3)+1,对接源_01入库吨位!$S$5:$S$304,0))),IF($D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6" s="52" t="n">
        <f aca="false">IF($B56="","",ROUND(N($F56)/1000,3))</f>
        <v>0</v>
      </c>
      <c r="H56" s="74"/>
      <c r="I56" s="44"/>
      <c r="J56" s="75" t="n">
        <f aca="false">IF($B56="","",IF($H56="按筐数×单价",N($E56),IF($H56="按总重KG×单价",N($F56),IF($H56="按吨位×单价",N($G56),0))))</f>
        <v>0</v>
      </c>
      <c r="K56" s="41" t="n">
        <f aca="false">IF($B56="","",ROUND(N($J56)*N($I56),2))</f>
        <v>0</v>
      </c>
      <c r="L56" s="42"/>
      <c r="M56" s="76"/>
      <c r="N56" s="43"/>
      <c r="R56" s="77" t="str">
        <f aca="false">IF($B56="","",$B56)</f>
        <v>热合曼+艾则孜</v>
      </c>
      <c r="S56" s="77" t="n">
        <f aca="false">IF($R56="",0,IF(MATCH($R56,$R$5:$R$904,0)=ROW()-4,1,0))</f>
        <v>1</v>
      </c>
      <c r="T56" s="77" t="n">
        <f aca="false">N(T55)+$S56</f>
        <v>14</v>
      </c>
      <c r="U56" s="77" t="str">
        <f aca="false">IFERROR(INDEX($B$5:$B$904,MATCH(52,$T$5:$T$904,0)),"")</f>
        <v/>
      </c>
    </row>
    <row r="57" customFormat="false" ht="13.5" hidden="false" customHeight="false" outlineLevel="0" collapsed="false">
      <c r="A57" s="9" t="n">
        <f aca="false">IF($B57="","",ROW()-4)</f>
        <v>53</v>
      </c>
      <c r="B57" s="39" t="str">
        <f aca="false">IFERROR(INDEX(对接源_01入库吨位!$B$5:$B$304,MATCH(INT((ROW()-5)/3)+1,对接源_01入库吨位!$S$5:$S$304,0)),"")</f>
        <v>热合曼+艾则孜</v>
      </c>
      <c r="C57" s="39" t="str">
        <f aca="false">IFERROR(INDEX(对接源_01入库吨位!$C$5:$C$304,MATCH(INT((ROW()-5)/3)+1,对接源_01入库吨位!$S$5:$S$304,0)),"")</f>
        <v>香梨</v>
      </c>
      <c r="D57" s="40" t="str">
        <f aca="false">IF($B57="","",IF(MOD(ROW()-5,3)=0,"周转打冷",IF(MOD(ROW()-5,3)=1,"仓储加工","装卸费")))</f>
        <v>仓储加工</v>
      </c>
      <c r="E57" s="51" t="n">
        <f aca="false">IF($B57="","",IFERROR(IF($D57="周转打冷",N(INDEX(对接源_01入库吨位!$D$5:$D$304,MATCH(INT((ROW()-5)/3)+1,对接源_01入库吨位!$S$5:$S$304,0))),IF($D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500</v>
      </c>
      <c r="F57" s="41" t="n">
        <f aca="false">IF($B57="","",ROUND(IFERROR(IF($D57="周转打冷",N(INDEX(对接源_01入库吨位!$H$5:$H$304,MATCH(INT((ROW()-5)/3)+1,对接源_01入库吨位!$S$5:$S$304,0))),IF($D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9674</v>
      </c>
      <c r="G57" s="52" t="n">
        <f aca="false">IF($B57="","",ROUND(N($F57)/1000,3))</f>
        <v>9.674</v>
      </c>
      <c r="H57" s="74" t="s">
        <v>246</v>
      </c>
      <c r="I57" s="44" t="n">
        <v>10</v>
      </c>
      <c r="J57" s="75" t="n">
        <f aca="false">IF($B57="","",IF($H57="按筐数×单价",N($E57),IF($H57="按总重KG×单价",N($F57),IF($H57="按吨位×单价",N($G57),0))))</f>
        <v>500</v>
      </c>
      <c r="K57" s="41" t="n">
        <f aca="false">IF($B57="","",ROUND(N($J57)*N($I57),2))</f>
        <v>5000</v>
      </c>
      <c r="L57" s="42"/>
      <c r="M57" s="76"/>
      <c r="N57" s="43"/>
      <c r="R57" s="77" t="str">
        <f aca="false">IF($B57="","",$B57)</f>
        <v>热合曼+艾则孜</v>
      </c>
      <c r="S57" s="77" t="n">
        <f aca="false">IF($R57="",0,IF(MATCH($R57,$R$5:$R$904,0)=ROW()-4,1,0))</f>
        <v>0</v>
      </c>
      <c r="T57" s="77" t="n">
        <f aca="false">N(T56)+$S57</f>
        <v>14</v>
      </c>
      <c r="U57" s="77" t="str">
        <f aca="false">IFERROR(INDEX($B$5:$B$904,MATCH(53,$T$5:$T$904,0)),"")</f>
        <v/>
      </c>
    </row>
    <row r="58" customFormat="false" ht="13.5" hidden="false" customHeight="false" outlineLevel="0" collapsed="false">
      <c r="A58" s="9" t="n">
        <f aca="false">IF($B58="","",ROW()-4)</f>
        <v>54</v>
      </c>
      <c r="B58" s="39" t="str">
        <f aca="false">IFERROR(INDEX(对接源_01入库吨位!$B$5:$B$304,MATCH(INT((ROW()-5)/3)+1,对接源_01入库吨位!$S$5:$S$304,0)),"")</f>
        <v>热合曼+艾则孜</v>
      </c>
      <c r="C58" s="39" t="str">
        <f aca="false">IFERROR(INDEX(对接源_01入库吨位!$C$5:$C$304,MATCH(INT((ROW()-5)/3)+1,对接源_01入库吨位!$S$5:$S$304,0)),"")</f>
        <v>香梨</v>
      </c>
      <c r="D58" s="40" t="str">
        <f aca="false">IF($B58="","",IF(MOD(ROW()-5,3)=0,"周转打冷",IF(MOD(ROW()-5,3)=1,"仓储加工","装卸费")))</f>
        <v>装卸费</v>
      </c>
      <c r="E58" s="51" t="n">
        <f aca="false">IF($B58="","",IFERROR(IF($D58="周转打冷",N(INDEX(对接源_01入库吨位!$D$5:$D$304,MATCH(INT((ROW()-5)/3)+1,对接源_01入库吨位!$S$5:$S$304,0))),IF($D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500</v>
      </c>
      <c r="F58" s="41" t="n">
        <f aca="false">IF($B58="","",ROUND(IFERROR(IF($D58="周转打冷",N(INDEX(对接源_01入库吨位!$H$5:$H$304,MATCH(INT((ROW()-5)/3)+1,对接源_01入库吨位!$S$5:$S$304,0))),IF($D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9674</v>
      </c>
      <c r="G58" s="52" t="n">
        <f aca="false">IF($B58="","",ROUND(N($F58)/1000,3))</f>
        <v>9.674</v>
      </c>
      <c r="H58" s="74" t="s">
        <v>245</v>
      </c>
      <c r="I58" s="44" t="n">
        <v>50</v>
      </c>
      <c r="J58" s="75" t="n">
        <f aca="false">IF($B58="","",IF($H58="按筐数×单价",N($E58),IF($H58="按总重KG×单价",N($F58),IF($H58="按吨位×单价",N($G58),0))))</f>
        <v>9.674</v>
      </c>
      <c r="K58" s="41" t="n">
        <f aca="false">IF($B58="","",ROUND(N($J58)*N($I58),2))</f>
        <v>483.7</v>
      </c>
      <c r="L58" s="42"/>
      <c r="M58" s="76"/>
      <c r="N58" s="43"/>
      <c r="R58" s="77" t="str">
        <f aca="false">IF($B58="","",$B58)</f>
        <v>热合曼+艾则孜</v>
      </c>
      <c r="S58" s="77" t="n">
        <f aca="false">IF($R58="",0,IF(MATCH($R58,$R$5:$R$904,0)=ROW()-4,1,0))</f>
        <v>0</v>
      </c>
      <c r="T58" s="77" t="n">
        <f aca="false">N(T57)+$S58</f>
        <v>14</v>
      </c>
      <c r="U58" s="77" t="str">
        <f aca="false">IFERROR(INDEX($B$5:$B$904,MATCH(54,$T$5:$T$904,0)),"")</f>
        <v/>
      </c>
    </row>
    <row r="59" customFormat="false" ht="13.5" hidden="false" customHeight="false" outlineLevel="0" collapsed="false">
      <c r="A59" s="9" t="n">
        <f aca="false">IF($B59="","",ROW()-4)</f>
        <v>55</v>
      </c>
      <c r="B59" s="39" t="str">
        <f aca="false">IFERROR(INDEX(对接源_01入库吨位!$B$5:$B$304,MATCH(INT((ROW()-5)/3)+1,对接源_01入库吨位!$S$5:$S$304,0)),"")</f>
        <v>李现东</v>
      </c>
      <c r="C59" s="39" t="str">
        <f aca="false">IFERROR(INDEX(对接源_01入库吨位!$C$5:$C$304,MATCH(INT((ROW()-5)/3)+1,对接源_01入库吨位!$S$5:$S$304,0)),"")</f>
        <v>香梨</v>
      </c>
      <c r="D59" s="40" t="str">
        <f aca="false">IF($B59="","",IF(MOD(ROW()-5,3)=0,"周转打冷",IF(MOD(ROW()-5,3)=1,"仓储加工","装卸费")))</f>
        <v>周转打冷</v>
      </c>
      <c r="E59" s="51" t="n">
        <f aca="false">IF($B59="","",IFERROR(IF($D59="周转打冷",N(INDEX(对接源_01入库吨位!$D$5:$D$304,MATCH(INT((ROW()-5)/3)+1,对接源_01入库吨位!$S$5:$S$304,0))),IF($D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59" s="41" t="n">
        <f aca="false">IF($B59="","",ROUND(IFERROR(IF($D59="周转打冷",N(INDEX(对接源_01入库吨位!$H$5:$H$304,MATCH(INT((ROW()-5)/3)+1,对接源_01入库吨位!$S$5:$S$304,0))),IF($D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59" s="52" t="n">
        <f aca="false">IF($B59="","",ROUND(N($F59)/1000,3))</f>
        <v>0</v>
      </c>
      <c r="H59" s="74"/>
      <c r="I59" s="44"/>
      <c r="J59" s="75" t="n">
        <f aca="false">IF($B59="","",IF($H59="按筐数×单价",N($E59),IF($H59="按总重KG×单价",N($F59),IF($H59="按吨位×单价",N($G59),0))))</f>
        <v>0</v>
      </c>
      <c r="K59" s="41" t="n">
        <f aca="false">IF($B59="","",ROUND(N($J59)*N($I59),2))</f>
        <v>0</v>
      </c>
      <c r="L59" s="42"/>
      <c r="M59" s="76"/>
      <c r="N59" s="43"/>
      <c r="R59" s="77" t="str">
        <f aca="false">IF($B59="","",$B59)</f>
        <v>李现东</v>
      </c>
      <c r="S59" s="77" t="n">
        <f aca="false">IF($R59="",0,IF(MATCH($R59,$R$5:$R$904,0)=ROW()-4,1,0))</f>
        <v>1</v>
      </c>
      <c r="T59" s="77" t="n">
        <f aca="false">N(T58)+$S59</f>
        <v>15</v>
      </c>
      <c r="U59" s="77" t="str">
        <f aca="false">IFERROR(INDEX($B$5:$B$904,MATCH(55,$T$5:$T$904,0)),"")</f>
        <v/>
      </c>
    </row>
    <row r="60" customFormat="false" ht="13.5" hidden="false" customHeight="false" outlineLevel="0" collapsed="false">
      <c r="A60" s="9" t="n">
        <f aca="false">IF($B60="","",ROW()-4)</f>
        <v>56</v>
      </c>
      <c r="B60" s="39" t="str">
        <f aca="false">IFERROR(INDEX(对接源_01入库吨位!$B$5:$B$304,MATCH(INT((ROW()-5)/3)+1,对接源_01入库吨位!$S$5:$S$304,0)),"")</f>
        <v>李现东</v>
      </c>
      <c r="C60" s="39" t="str">
        <f aca="false">IFERROR(INDEX(对接源_01入库吨位!$C$5:$C$304,MATCH(INT((ROW()-5)/3)+1,对接源_01入库吨位!$S$5:$S$304,0)),"")</f>
        <v>香梨</v>
      </c>
      <c r="D60" s="40" t="str">
        <f aca="false">IF($B60="","",IF(MOD(ROW()-5,3)=0,"周转打冷",IF(MOD(ROW()-5,3)=1,"仓储加工","装卸费")))</f>
        <v>仓储加工</v>
      </c>
      <c r="E60" s="51" t="n">
        <f aca="false">IF($B60="","",IFERROR(IF($D60="周转打冷",N(INDEX(对接源_01入库吨位!$D$5:$D$304,MATCH(INT((ROW()-5)/3)+1,对接源_01入库吨位!$S$5:$S$304,0))),IF($D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469</v>
      </c>
      <c r="F60" s="41" t="n">
        <f aca="false">IF($B60="","",ROUND(IFERROR(IF($D60="周转打冷",N(INDEX(对接源_01入库吨位!$H$5:$H$304,MATCH(INT((ROW()-5)/3)+1,对接源_01入库吨位!$S$5:$S$304,0))),IF($D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8994.7</v>
      </c>
      <c r="G60" s="52" t="n">
        <f aca="false">IF($B60="","",ROUND(N($F60)/1000,3))</f>
        <v>8.995</v>
      </c>
      <c r="H60" s="74"/>
      <c r="I60" s="44"/>
      <c r="J60" s="75" t="n">
        <f aca="false">IF($B60="","",IF($H60="按筐数×单价",N($E60),IF($H60="按总重KG×单价",N($F60),IF($H60="按吨位×单价",N($G60),0))))</f>
        <v>0</v>
      </c>
      <c r="K60" s="41" t="n">
        <f aca="false">IF($B60="","",ROUND(N($J60)*N($I60),2))</f>
        <v>0</v>
      </c>
      <c r="L60" s="42"/>
      <c r="M60" s="76"/>
      <c r="N60" s="43"/>
      <c r="R60" s="77" t="str">
        <f aca="false">IF($B60="","",$B60)</f>
        <v>李现东</v>
      </c>
      <c r="S60" s="77" t="n">
        <f aca="false">IF($R60="",0,IF(MATCH($R60,$R$5:$R$904,0)=ROW()-4,1,0))</f>
        <v>0</v>
      </c>
      <c r="T60" s="77" t="n">
        <f aca="false">N(T59)+$S60</f>
        <v>15</v>
      </c>
      <c r="U60" s="77" t="str">
        <f aca="false">IFERROR(INDEX($B$5:$B$904,MATCH(56,$T$5:$T$904,0)),"")</f>
        <v/>
      </c>
    </row>
    <row r="61" customFormat="false" ht="13.5" hidden="false" customHeight="false" outlineLevel="0" collapsed="false">
      <c r="A61" s="9" t="n">
        <f aca="false">IF($B61="","",ROW()-4)</f>
        <v>57</v>
      </c>
      <c r="B61" s="39" t="str">
        <f aca="false">IFERROR(INDEX(对接源_01入库吨位!$B$5:$B$304,MATCH(INT((ROW()-5)/3)+1,对接源_01入库吨位!$S$5:$S$304,0)),"")</f>
        <v>李现东</v>
      </c>
      <c r="C61" s="39" t="str">
        <f aca="false">IFERROR(INDEX(对接源_01入库吨位!$C$5:$C$304,MATCH(INT((ROW()-5)/3)+1,对接源_01入库吨位!$S$5:$S$304,0)),"")</f>
        <v>香梨</v>
      </c>
      <c r="D61" s="40" t="str">
        <f aca="false">IF($B61="","",IF(MOD(ROW()-5,3)=0,"周转打冷",IF(MOD(ROW()-5,3)=1,"仓储加工","装卸费")))</f>
        <v>装卸费</v>
      </c>
      <c r="E61" s="51" t="n">
        <f aca="false">IF($B61="","",IFERROR(IF($D61="周转打冷",N(INDEX(对接源_01入库吨位!$D$5:$D$304,MATCH(INT((ROW()-5)/3)+1,对接源_01入库吨位!$S$5:$S$304,0))),IF($D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469</v>
      </c>
      <c r="F61" s="41" t="n">
        <f aca="false">IF($B61="","",ROUND(IFERROR(IF($D61="周转打冷",N(INDEX(对接源_01入库吨位!$H$5:$H$304,MATCH(INT((ROW()-5)/3)+1,对接源_01入库吨位!$S$5:$S$304,0))),IF($D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8994.7</v>
      </c>
      <c r="G61" s="52" t="n">
        <f aca="false">IF($B61="","",ROUND(N($F61)/1000,3))</f>
        <v>8.995</v>
      </c>
      <c r="H61" s="74" t="s">
        <v>245</v>
      </c>
      <c r="I61" s="44" t="n">
        <v>50</v>
      </c>
      <c r="J61" s="75" t="n">
        <f aca="false">IF($B61="","",IF($H61="按筐数×单价",N($E61),IF($H61="按总重KG×单价",N($F61),IF($H61="按吨位×单价",N($G61),0))))</f>
        <v>8.995</v>
      </c>
      <c r="K61" s="41" t="n">
        <f aca="false">IF($B61="","",ROUND(N($J61)*N($I61),2))</f>
        <v>449.75</v>
      </c>
      <c r="L61" s="42"/>
      <c r="M61" s="76"/>
      <c r="N61" s="43"/>
      <c r="R61" s="77" t="str">
        <f aca="false">IF($B61="","",$B61)</f>
        <v>李现东</v>
      </c>
      <c r="S61" s="77" t="n">
        <f aca="false">IF($R61="",0,IF(MATCH($R61,$R$5:$R$904,0)=ROW()-4,1,0))</f>
        <v>0</v>
      </c>
      <c r="T61" s="77" t="n">
        <f aca="false">N(T60)+$S61</f>
        <v>15</v>
      </c>
      <c r="U61" s="77" t="str">
        <f aca="false">IFERROR(INDEX($B$5:$B$904,MATCH(57,$T$5:$T$904,0)),"")</f>
        <v/>
      </c>
    </row>
    <row r="62" customFormat="false" ht="13.5" hidden="false" customHeight="false" outlineLevel="0" collapsed="false">
      <c r="A62" s="9" t="n">
        <f aca="false">IF($B62="","",ROW()-4)</f>
        <v>58</v>
      </c>
      <c r="B62" s="39" t="str">
        <f aca="false">IFERROR(INDEX(对接源_01入库吨位!$B$5:$B$304,MATCH(INT((ROW()-5)/3)+1,对接源_01入库吨位!$S$5:$S$304,0)),"")</f>
        <v>吐尔逊</v>
      </c>
      <c r="C62" s="39" t="str">
        <f aca="false">IFERROR(INDEX(对接源_01入库吨位!$C$5:$C$304,MATCH(INT((ROW()-5)/3)+1,对接源_01入库吨位!$S$5:$S$304,0)),"")</f>
        <v>香梨</v>
      </c>
      <c r="D62" s="40" t="str">
        <f aca="false">IF($B62="","",IF(MOD(ROW()-5,3)=0,"周转打冷",IF(MOD(ROW()-5,3)=1,"仓储加工","装卸费")))</f>
        <v>周转打冷</v>
      </c>
      <c r="E62" s="51" t="n">
        <f aca="false">IF($B62="","",IFERROR(IF($D62="周转打冷",N(INDEX(对接源_01入库吨位!$D$5:$D$304,MATCH(INT((ROW()-5)/3)+1,对接源_01入库吨位!$S$5:$S$304,0))),IF($D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2" s="41" t="n">
        <f aca="false">IF($B62="","",ROUND(IFERROR(IF($D62="周转打冷",N(INDEX(对接源_01入库吨位!$H$5:$H$304,MATCH(INT((ROW()-5)/3)+1,对接源_01入库吨位!$S$5:$S$304,0))),IF($D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2" s="52" t="n">
        <f aca="false">IF($B62="","",ROUND(N($F62)/1000,3))</f>
        <v>0</v>
      </c>
      <c r="H62" s="74"/>
      <c r="I62" s="44"/>
      <c r="J62" s="75" t="n">
        <f aca="false">IF($B62="","",IF($H62="按筐数×单价",N($E62),IF($H62="按总重KG×单价",N($F62),IF($H62="按吨位×单价",N($G62),0))))</f>
        <v>0</v>
      </c>
      <c r="K62" s="41" t="n">
        <f aca="false">IF($B62="","",ROUND(N($J62)*N($I62),2))</f>
        <v>0</v>
      </c>
      <c r="L62" s="42"/>
      <c r="M62" s="76"/>
      <c r="N62" s="43"/>
      <c r="R62" s="77" t="str">
        <f aca="false">IF($B62="","",$B62)</f>
        <v>吐尔逊</v>
      </c>
      <c r="S62" s="77" t="n">
        <f aca="false">IF($R62="",0,IF(MATCH($R62,$R$5:$R$904,0)=ROW()-4,1,0))</f>
        <v>1</v>
      </c>
      <c r="T62" s="77" t="n">
        <f aca="false">N(T61)+$S62</f>
        <v>16</v>
      </c>
      <c r="U62" s="77" t="str">
        <f aca="false">IFERROR(INDEX($B$5:$B$904,MATCH(58,$T$5:$T$904,0)),"")</f>
        <v/>
      </c>
    </row>
    <row r="63" customFormat="false" ht="13.5" hidden="false" customHeight="false" outlineLevel="0" collapsed="false">
      <c r="A63" s="9" t="n">
        <f aca="false">IF($B63="","",ROW()-4)</f>
        <v>59</v>
      </c>
      <c r="B63" s="39" t="str">
        <f aca="false">IFERROR(INDEX(对接源_01入库吨位!$B$5:$B$304,MATCH(INT((ROW()-5)/3)+1,对接源_01入库吨位!$S$5:$S$304,0)),"")</f>
        <v>吐尔逊</v>
      </c>
      <c r="C63" s="39" t="str">
        <f aca="false">IFERROR(INDEX(对接源_01入库吨位!$C$5:$C$304,MATCH(INT((ROW()-5)/3)+1,对接源_01入库吨位!$S$5:$S$304,0)),"")</f>
        <v>香梨</v>
      </c>
      <c r="D63" s="40" t="str">
        <f aca="false">IF($B63="","",IF(MOD(ROW()-5,3)=0,"周转打冷",IF(MOD(ROW()-5,3)=1,"仓储加工","装卸费")))</f>
        <v>仓储加工</v>
      </c>
      <c r="E63" s="51" t="n">
        <f aca="false">IF($B63="","",IFERROR(IF($D63="周转打冷",N(INDEX(对接源_01入库吨位!$D$5:$D$304,MATCH(INT((ROW()-5)/3)+1,对接源_01入库吨位!$S$5:$S$304,0))),IF($D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200</v>
      </c>
      <c r="F63" s="41" t="n">
        <f aca="false">IF($B63="","",ROUND(IFERROR(IF($D63="周转打冷",N(INDEX(对接源_01入库吨位!$H$5:$H$304,MATCH(INT((ROW()-5)/3)+1,对接源_01入库吨位!$S$5:$S$304,0))),IF($D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4200</v>
      </c>
      <c r="G63" s="52" t="n">
        <f aca="false">IF($B63="","",ROUND(N($F63)/1000,3))</f>
        <v>4.2</v>
      </c>
      <c r="H63" s="74" t="s">
        <v>246</v>
      </c>
      <c r="I63" s="44" t="n">
        <v>10</v>
      </c>
      <c r="J63" s="75" t="n">
        <f aca="false">IF($B63="","",IF($H63="按筐数×单价",N($E63),IF($H63="按总重KG×单价",N($F63),IF($H63="按吨位×单价",N($G63),0))))</f>
        <v>200</v>
      </c>
      <c r="K63" s="41" t="n">
        <f aca="false">IF($B63="","",ROUND(N($J63)*N($I63),2))</f>
        <v>2000</v>
      </c>
      <c r="L63" s="42"/>
      <c r="M63" s="76"/>
      <c r="N63" s="43"/>
      <c r="R63" s="77" t="str">
        <f aca="false">IF($B63="","",$B63)</f>
        <v>吐尔逊</v>
      </c>
      <c r="S63" s="77" t="n">
        <f aca="false">IF($R63="",0,IF(MATCH($R63,$R$5:$R$904,0)=ROW()-4,1,0))</f>
        <v>0</v>
      </c>
      <c r="T63" s="77" t="n">
        <f aca="false">N(T62)+$S63</f>
        <v>16</v>
      </c>
      <c r="U63" s="77" t="str">
        <f aca="false">IFERROR(INDEX($B$5:$B$904,MATCH(59,$T$5:$T$904,0)),"")</f>
        <v/>
      </c>
    </row>
    <row r="64" customFormat="false" ht="13.5" hidden="false" customHeight="false" outlineLevel="0" collapsed="false">
      <c r="A64" s="9" t="n">
        <f aca="false">IF($B64="","",ROW()-4)</f>
        <v>60</v>
      </c>
      <c r="B64" s="39" t="str">
        <f aca="false">IFERROR(INDEX(对接源_01入库吨位!$B$5:$B$304,MATCH(INT((ROW()-5)/3)+1,对接源_01入库吨位!$S$5:$S$304,0)),"")</f>
        <v>吐尔逊</v>
      </c>
      <c r="C64" s="39" t="str">
        <f aca="false">IFERROR(INDEX(对接源_01入库吨位!$C$5:$C$304,MATCH(INT((ROW()-5)/3)+1,对接源_01入库吨位!$S$5:$S$304,0)),"")</f>
        <v>香梨</v>
      </c>
      <c r="D64" s="40" t="str">
        <f aca="false">IF($B64="","",IF(MOD(ROW()-5,3)=0,"周转打冷",IF(MOD(ROW()-5,3)=1,"仓储加工","装卸费")))</f>
        <v>装卸费</v>
      </c>
      <c r="E64" s="51" t="n">
        <f aca="false">IF($B64="","",IFERROR(IF($D64="周转打冷",N(INDEX(对接源_01入库吨位!$D$5:$D$304,MATCH(INT((ROW()-5)/3)+1,对接源_01入库吨位!$S$5:$S$304,0))),IF($D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200</v>
      </c>
      <c r="F64" s="41" t="n">
        <f aca="false">IF($B64="","",ROUND(IFERROR(IF($D64="周转打冷",N(INDEX(对接源_01入库吨位!$H$5:$H$304,MATCH(INT((ROW()-5)/3)+1,对接源_01入库吨位!$S$5:$S$304,0))),IF($D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4200</v>
      </c>
      <c r="G64" s="52" t="n">
        <f aca="false">IF($B64="","",ROUND(N($F64)/1000,3))</f>
        <v>4.2</v>
      </c>
      <c r="H64" s="74" t="s">
        <v>245</v>
      </c>
      <c r="I64" s="44" t="n">
        <v>50</v>
      </c>
      <c r="J64" s="75" t="n">
        <f aca="false">IF($B64="","",IF($H64="按筐数×单价",N($E64),IF($H64="按总重KG×单价",N($F64),IF($H64="按吨位×单价",N($G64),0))))</f>
        <v>4.2</v>
      </c>
      <c r="K64" s="41" t="n">
        <f aca="false">IF($B64="","",ROUND(N($J64)*N($I64),2))</f>
        <v>210</v>
      </c>
      <c r="L64" s="42"/>
      <c r="M64" s="76"/>
      <c r="N64" s="43"/>
      <c r="R64" s="77" t="str">
        <f aca="false">IF($B64="","",$B64)</f>
        <v>吐尔逊</v>
      </c>
      <c r="S64" s="77" t="n">
        <f aca="false">IF($R64="",0,IF(MATCH($R64,$R$5:$R$904,0)=ROW()-4,1,0))</f>
        <v>0</v>
      </c>
      <c r="T64" s="77" t="n">
        <f aca="false">N(T63)+$S64</f>
        <v>16</v>
      </c>
      <c r="U64" s="77" t="str">
        <f aca="false">IFERROR(INDEX($B$5:$B$904,MATCH(60,$T$5:$T$904,0)),"")</f>
        <v/>
      </c>
    </row>
    <row r="65" customFormat="false" ht="13.5" hidden="false" customHeight="false" outlineLevel="0" collapsed="false">
      <c r="A65" s="9" t="n">
        <f aca="false">IF($B65="","",ROW()-4)</f>
        <v>61</v>
      </c>
      <c r="B65" s="39" t="str">
        <f aca="false">IFERROR(INDEX(对接源_01入库吨位!$B$5:$B$304,MATCH(INT((ROW()-5)/3)+1,对接源_01入库吨位!$S$5:$S$304,0)),"")</f>
        <v>阿布都</v>
      </c>
      <c r="C65" s="39" t="str">
        <f aca="false">IFERROR(INDEX(对接源_01入库吨位!$C$5:$C$304,MATCH(INT((ROW()-5)/3)+1,对接源_01入库吨位!$S$5:$S$304,0)),"")</f>
        <v>香梨</v>
      </c>
      <c r="D65" s="40" t="str">
        <f aca="false">IF($B65="","",IF(MOD(ROW()-5,3)=0,"周转打冷",IF(MOD(ROW()-5,3)=1,"仓储加工","装卸费")))</f>
        <v>周转打冷</v>
      </c>
      <c r="E65" s="51" t="n">
        <f aca="false">IF($B65="","",IFERROR(IF($D65="周转打冷",N(INDEX(对接源_01入库吨位!$D$5:$D$304,MATCH(INT((ROW()-5)/3)+1,对接源_01入库吨位!$S$5:$S$304,0))),IF($D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5" s="41" t="n">
        <f aca="false">IF($B65="","",ROUND(IFERROR(IF($D65="周转打冷",N(INDEX(对接源_01入库吨位!$H$5:$H$304,MATCH(INT((ROW()-5)/3)+1,对接源_01入库吨位!$S$5:$S$304,0))),IF($D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5" s="52" t="n">
        <f aca="false">IF($B65="","",ROUND(N($F65)/1000,3))</f>
        <v>0</v>
      </c>
      <c r="H65" s="74"/>
      <c r="I65" s="44"/>
      <c r="J65" s="75" t="n">
        <f aca="false">IF($B65="","",IF($H65="按筐数×单价",N($E65),IF($H65="按总重KG×单价",N($F65),IF($H65="按吨位×单价",N($G65),0))))</f>
        <v>0</v>
      </c>
      <c r="K65" s="41" t="n">
        <f aca="false">IF($B65="","",ROUND(N($J65)*N($I65),2))</f>
        <v>0</v>
      </c>
      <c r="L65" s="42"/>
      <c r="M65" s="76"/>
      <c r="N65" s="43"/>
      <c r="R65" s="77" t="str">
        <f aca="false">IF($B65="","",$B65)</f>
        <v>阿布都</v>
      </c>
      <c r="S65" s="77" t="n">
        <f aca="false">IF($R65="",0,IF(MATCH($R65,$R$5:$R$904,0)=ROW()-4,1,0))</f>
        <v>1</v>
      </c>
      <c r="T65" s="77" t="n">
        <f aca="false">N(T64)+$S65</f>
        <v>17</v>
      </c>
      <c r="U65" s="77" t="str">
        <f aca="false">IFERROR(INDEX($B$5:$B$904,MATCH(61,$T$5:$T$904,0)),"")</f>
        <v/>
      </c>
    </row>
    <row r="66" customFormat="false" ht="13.5" hidden="false" customHeight="false" outlineLevel="0" collapsed="false">
      <c r="A66" s="9" t="n">
        <f aca="false">IF($B66="","",ROW()-4)</f>
        <v>62</v>
      </c>
      <c r="B66" s="39" t="str">
        <f aca="false">IFERROR(INDEX(对接源_01入库吨位!$B$5:$B$304,MATCH(INT((ROW()-5)/3)+1,对接源_01入库吨位!$S$5:$S$304,0)),"")</f>
        <v>阿布都</v>
      </c>
      <c r="C66" s="39" t="str">
        <f aca="false">IFERROR(INDEX(对接源_01入库吨位!$C$5:$C$304,MATCH(INT((ROW()-5)/3)+1,对接源_01入库吨位!$S$5:$S$304,0)),"")</f>
        <v>香梨</v>
      </c>
      <c r="D66" s="40" t="str">
        <f aca="false">IF($B66="","",IF(MOD(ROW()-5,3)=0,"周转打冷",IF(MOD(ROW()-5,3)=1,"仓储加工","装卸费")))</f>
        <v>仓储加工</v>
      </c>
      <c r="E66" s="51" t="n">
        <f aca="false">IF($B66="","",IFERROR(IF($D66="周转打冷",N(INDEX(对接源_01入库吨位!$D$5:$D$304,MATCH(INT((ROW()-5)/3)+1,对接源_01入库吨位!$S$5:$S$304,0))),IF($D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315</v>
      </c>
      <c r="F66" s="41" t="n">
        <f aca="false">IF($B66="","",ROUND(IFERROR(IF($D66="周转打冷",N(INDEX(对接源_01入库吨位!$H$5:$H$304,MATCH(INT((ROW()-5)/3)+1,对接源_01入库吨位!$S$5:$S$304,0))),IF($D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5972.5</v>
      </c>
      <c r="G66" s="52" t="n">
        <f aca="false">IF($B66="","",ROUND(N($F66)/1000,3))</f>
        <v>5.973</v>
      </c>
      <c r="H66" s="74"/>
      <c r="I66" s="44"/>
      <c r="J66" s="75" t="n">
        <f aca="false">IF($B66="","",IF($H66="按筐数×单价",N($E66),IF($H66="按总重KG×单价",N($F66),IF($H66="按吨位×单价",N($G66),0))))</f>
        <v>0</v>
      </c>
      <c r="K66" s="41" t="n">
        <f aca="false">IF($B66="","",ROUND(N($J66)*N($I66),2))</f>
        <v>0</v>
      </c>
      <c r="L66" s="42"/>
      <c r="M66" s="76"/>
      <c r="N66" s="43"/>
      <c r="R66" s="77" t="str">
        <f aca="false">IF($B66="","",$B66)</f>
        <v>阿布都</v>
      </c>
      <c r="S66" s="77" t="n">
        <f aca="false">IF($R66="",0,IF(MATCH($R66,$R$5:$R$904,0)=ROW()-4,1,0))</f>
        <v>0</v>
      </c>
      <c r="T66" s="77" t="n">
        <f aca="false">N(T65)+$S66</f>
        <v>17</v>
      </c>
      <c r="U66" s="77" t="str">
        <f aca="false">IFERROR(INDEX($B$5:$B$904,MATCH(62,$T$5:$T$904,0)),"")</f>
        <v/>
      </c>
    </row>
    <row r="67" customFormat="false" ht="13.5" hidden="false" customHeight="false" outlineLevel="0" collapsed="false">
      <c r="A67" s="9" t="n">
        <f aca="false">IF($B67="","",ROW()-4)</f>
        <v>63</v>
      </c>
      <c r="B67" s="39" t="str">
        <f aca="false">IFERROR(INDEX(对接源_01入库吨位!$B$5:$B$304,MATCH(INT((ROW()-5)/3)+1,对接源_01入库吨位!$S$5:$S$304,0)),"")</f>
        <v>阿布都</v>
      </c>
      <c r="C67" s="39" t="str">
        <f aca="false">IFERROR(INDEX(对接源_01入库吨位!$C$5:$C$304,MATCH(INT((ROW()-5)/3)+1,对接源_01入库吨位!$S$5:$S$304,0)),"")</f>
        <v>香梨</v>
      </c>
      <c r="D67" s="40" t="str">
        <f aca="false">IF($B67="","",IF(MOD(ROW()-5,3)=0,"周转打冷",IF(MOD(ROW()-5,3)=1,"仓储加工","装卸费")))</f>
        <v>装卸费</v>
      </c>
      <c r="E67" s="51" t="n">
        <f aca="false">IF($B67="","",IFERROR(IF($D67="周转打冷",N(INDEX(对接源_01入库吨位!$D$5:$D$304,MATCH(INT((ROW()-5)/3)+1,对接源_01入库吨位!$S$5:$S$304,0))),IF($D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315</v>
      </c>
      <c r="F67" s="41" t="n">
        <f aca="false">IF($B67="","",ROUND(IFERROR(IF($D67="周转打冷",N(INDEX(对接源_01入库吨位!$H$5:$H$304,MATCH(INT((ROW()-5)/3)+1,对接源_01入库吨位!$S$5:$S$304,0))),IF($D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5972.5</v>
      </c>
      <c r="G67" s="52" t="n">
        <f aca="false">IF($B67="","",ROUND(N($F67)/1000,3))</f>
        <v>5.973</v>
      </c>
      <c r="H67" s="74"/>
      <c r="I67" s="44"/>
      <c r="J67" s="75" t="n">
        <f aca="false">IF($B67="","",IF($H67="按筐数×单价",N($E67),IF($H67="按总重KG×单价",N($F67),IF($H67="按吨位×单价",N($G67),0))))</f>
        <v>0</v>
      </c>
      <c r="K67" s="41" t="n">
        <f aca="false">IF($B67="","",ROUND(N($J67)*N($I67),2))</f>
        <v>0</v>
      </c>
      <c r="L67" s="42"/>
      <c r="M67" s="76"/>
      <c r="N67" s="43"/>
      <c r="R67" s="77" t="str">
        <f aca="false">IF($B67="","",$B67)</f>
        <v>阿布都</v>
      </c>
      <c r="S67" s="77" t="n">
        <f aca="false">IF($R67="",0,IF(MATCH($R67,$R$5:$R$904,0)=ROW()-4,1,0))</f>
        <v>0</v>
      </c>
      <c r="T67" s="77" t="n">
        <f aca="false">N(T66)+$S67</f>
        <v>17</v>
      </c>
      <c r="U67" s="77" t="str">
        <f aca="false">IFERROR(INDEX($B$5:$B$904,MATCH(63,$T$5:$T$904,0)),"")</f>
        <v/>
      </c>
    </row>
    <row r="68" customFormat="false" ht="13.5" hidden="false" customHeight="false" outlineLevel="0" collapsed="false">
      <c r="A68" s="9" t="n">
        <f aca="false">IF($B68="","",ROW()-4)</f>
        <v>64</v>
      </c>
      <c r="B68" s="39" t="str">
        <f aca="false">IFERROR(INDEX(对接源_01入库吨位!$B$5:$B$304,MATCH(INT((ROW()-5)/3)+1,对接源_01入库吨位!$S$5:$S$304,0)),"")</f>
        <v>艾则孜</v>
      </c>
      <c r="C68" s="39" t="str">
        <f aca="false">IFERROR(INDEX(对接源_01入库吨位!$C$5:$C$304,MATCH(INT((ROW()-5)/3)+1,对接源_01入库吨位!$S$5:$S$304,0)),"")</f>
        <v>香梨</v>
      </c>
      <c r="D68" s="40" t="str">
        <f aca="false">IF($B68="","",IF(MOD(ROW()-5,3)=0,"周转打冷",IF(MOD(ROW()-5,3)=1,"仓储加工","装卸费")))</f>
        <v>周转打冷</v>
      </c>
      <c r="E68" s="51" t="n">
        <f aca="false">IF($B68="","",IFERROR(IF($D68="周转打冷",N(INDEX(对接源_01入库吨位!$D$5:$D$304,MATCH(INT((ROW()-5)/3)+1,对接源_01入库吨位!$S$5:$S$304,0))),IF($D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0</v>
      </c>
      <c r="F68" s="41" t="n">
        <f aca="false">IF($B68="","",ROUND(IFERROR(IF($D68="周转打冷",N(INDEX(对接源_01入库吨位!$H$5:$H$304,MATCH(INT((ROW()-5)/3)+1,对接源_01入库吨位!$S$5:$S$304,0))),IF($D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0</v>
      </c>
      <c r="G68" s="52" t="n">
        <f aca="false">IF($B68="","",ROUND(N($F68)/1000,3))</f>
        <v>0</v>
      </c>
      <c r="H68" s="74"/>
      <c r="I68" s="44"/>
      <c r="J68" s="75" t="n">
        <f aca="false">IF($B68="","",IF($H68="按筐数×单价",N($E68),IF($H68="按总重KG×单价",N($F68),IF($H68="按吨位×单价",N($G68),0))))</f>
        <v>0</v>
      </c>
      <c r="K68" s="41" t="n">
        <f aca="false">IF($B68="","",ROUND(N($J68)*N($I68),2))</f>
        <v>0</v>
      </c>
      <c r="L68" s="42"/>
      <c r="M68" s="76"/>
      <c r="N68" s="43"/>
      <c r="R68" s="77" t="str">
        <f aca="false">IF($B68="","",$B68)</f>
        <v>艾则孜</v>
      </c>
      <c r="S68" s="77" t="n">
        <f aca="false">IF($R68="",0,IF(MATCH($R68,$R$5:$R$904,0)=ROW()-4,1,0))</f>
        <v>1</v>
      </c>
      <c r="T68" s="77" t="n">
        <f aca="false">N(T67)+$S68</f>
        <v>18</v>
      </c>
      <c r="U68" s="77" t="str">
        <f aca="false">IFERROR(INDEX($B$5:$B$904,MATCH(64,$T$5:$T$904,0)),"")</f>
        <v/>
      </c>
    </row>
    <row r="69" customFormat="false" ht="13.5" hidden="false" customHeight="false" outlineLevel="0" collapsed="false">
      <c r="A69" s="9" t="n">
        <f aca="false">IF($B69="","",ROW()-4)</f>
        <v>65</v>
      </c>
      <c r="B69" s="39" t="str">
        <f aca="false">IFERROR(INDEX(对接源_01入库吨位!$B$5:$B$304,MATCH(INT((ROW()-5)/3)+1,对接源_01入库吨位!$S$5:$S$304,0)),"")</f>
        <v>艾则孜</v>
      </c>
      <c r="C69" s="39" t="str">
        <f aca="false">IFERROR(INDEX(对接源_01入库吨位!$C$5:$C$304,MATCH(INT((ROW()-5)/3)+1,对接源_01入库吨位!$S$5:$S$304,0)),"")</f>
        <v>香梨</v>
      </c>
      <c r="D69" s="40" t="str">
        <f aca="false">IF($B69="","",IF(MOD(ROW()-5,3)=0,"周转打冷",IF(MOD(ROW()-5,3)=1,"仓储加工","装卸费")))</f>
        <v>仓储加工</v>
      </c>
      <c r="E69" s="51" t="n">
        <f aca="false">IF($B69="","",IFERROR(IF($D69="周转打冷",N(INDEX(对接源_01入库吨位!$D$5:$D$304,MATCH(INT((ROW()-5)/3)+1,对接源_01入库吨位!$S$5:$S$304,0))),IF($D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538</v>
      </c>
      <c r="F69" s="41" t="n">
        <f aca="false">IF($B69="","",ROUND(IFERROR(IF($D69="周转打冷",N(INDEX(对接源_01入库吨位!$H$5:$H$304,MATCH(INT((ROW()-5)/3)+1,对接源_01入库吨位!$S$5:$S$304,0))),IF($D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10647.4</v>
      </c>
      <c r="G69" s="52" t="n">
        <f aca="false">IF($B69="","",ROUND(N($F69)/1000,3))</f>
        <v>10.647</v>
      </c>
      <c r="H69" s="74"/>
      <c r="I69" s="44"/>
      <c r="J69" s="75" t="n">
        <f aca="false">IF($B69="","",IF($H69="按筐数×单价",N($E69),IF($H69="按总重KG×单价",N($F69),IF($H69="按吨位×单价",N($G69),0))))</f>
        <v>0</v>
      </c>
      <c r="K69" s="41" t="n">
        <f aca="false">IF($B69="","",ROUND(N($J69)*N($I69),2))</f>
        <v>0</v>
      </c>
      <c r="L69" s="42"/>
      <c r="M69" s="76"/>
      <c r="N69" s="43"/>
      <c r="R69" s="77" t="str">
        <f aca="false">IF($B69="","",$B69)</f>
        <v>艾则孜</v>
      </c>
      <c r="S69" s="77" t="n">
        <f aca="false">IF($R69="",0,IF(MATCH($R69,$R$5:$R$904,0)=ROW()-4,1,0))</f>
        <v>0</v>
      </c>
      <c r="T69" s="77" t="n">
        <f aca="false">N(T68)+$S69</f>
        <v>18</v>
      </c>
      <c r="U69" s="77" t="str">
        <f aca="false">IFERROR(INDEX($B$5:$B$904,MATCH(65,$T$5:$T$904,0)),"")</f>
        <v/>
      </c>
    </row>
    <row r="70" customFormat="false" ht="13.5" hidden="false" customHeight="false" outlineLevel="0" collapsed="false">
      <c r="A70" s="9" t="n">
        <f aca="false">IF($B70="","",ROW()-4)</f>
        <v>66</v>
      </c>
      <c r="B70" s="39" t="str">
        <f aca="false">IFERROR(INDEX(对接源_01入库吨位!$B$5:$B$304,MATCH(INT((ROW()-5)/3)+1,对接源_01入库吨位!$S$5:$S$304,0)),"")</f>
        <v>艾则孜</v>
      </c>
      <c r="C70" s="39" t="str">
        <f aca="false">IFERROR(INDEX(对接源_01入库吨位!$C$5:$C$304,MATCH(INT((ROW()-5)/3)+1,对接源_01入库吨位!$S$5:$S$304,0)),"")</f>
        <v>香梨</v>
      </c>
      <c r="D70" s="40" t="str">
        <f aca="false">IF($B70="","",IF(MOD(ROW()-5,3)=0,"周转打冷",IF(MOD(ROW()-5,3)=1,"仓储加工","装卸费")))</f>
        <v>装卸费</v>
      </c>
      <c r="E70" s="51" t="n">
        <f aca="false">IF($B70="","",IFERROR(IF($D70="周转打冷",N(INDEX(对接源_01入库吨位!$D$5:$D$304,MATCH(INT((ROW()-5)/3)+1,对接源_01入库吨位!$S$5:$S$304,0))),IF($D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>538</v>
      </c>
      <c r="F70" s="41" t="n">
        <f aca="false">IF($B70="","",ROUND(IFERROR(IF($D70="周转打冷",N(INDEX(对接源_01入库吨位!$H$5:$H$304,MATCH(INT((ROW()-5)/3)+1,对接源_01入库吨位!$S$5:$S$304,0))),IF($D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>10647.4</v>
      </c>
      <c r="G70" s="52" t="n">
        <f aca="false">IF($B70="","",ROUND(N($F70)/1000,3))</f>
        <v>10.647</v>
      </c>
      <c r="H70" s="74"/>
      <c r="I70" s="44"/>
      <c r="J70" s="75" t="n">
        <f aca="false">IF($B70="","",IF($H70="按筐数×单价",N($E70),IF($H70="按总重KG×单价",N($F70),IF($H70="按吨位×单价",N($G70),0))))</f>
        <v>0</v>
      </c>
      <c r="K70" s="41" t="n">
        <f aca="false">IF($B70="","",ROUND(N($J70)*N($I70),2))</f>
        <v>0</v>
      </c>
      <c r="L70" s="42"/>
      <c r="M70" s="76"/>
      <c r="N70" s="43"/>
      <c r="R70" s="77" t="str">
        <f aca="false">IF($B70="","",$B70)</f>
        <v>艾则孜</v>
      </c>
      <c r="S70" s="77" t="n">
        <f aca="false">IF($R70="",0,IF(MATCH($R70,$R$5:$R$904,0)=ROW()-4,1,0))</f>
        <v>0</v>
      </c>
      <c r="T70" s="77" t="n">
        <f aca="false">N(T69)+$S70</f>
        <v>18</v>
      </c>
      <c r="U70" s="77" t="str">
        <f aca="false">IFERROR(INDEX($B$5:$B$904,MATCH(66,$T$5:$T$904,0)),"")</f>
        <v/>
      </c>
    </row>
    <row r="71" customFormat="false" ht="13.5" hidden="false" customHeight="false" outlineLevel="0" collapsed="false">
      <c r="A71" s="9" t="str">
        <f aca="false">IF($B71="","",ROW()-4)</f>
        <v/>
      </c>
      <c r="B71" s="39" t="str">
        <f aca="false">IFERROR(INDEX(对接源_01入库吨位!$B$5:$B$304,MATCH(INT((ROW()-5)/3)+1,对接源_01入库吨位!$S$5:$S$304,0)),"")</f>
        <v/>
      </c>
      <c r="C71" s="39" t="str">
        <f aca="false">IFERROR(INDEX(对接源_01入库吨位!$C$5:$C$304,MATCH(INT((ROW()-5)/3)+1,对接源_01入库吨位!$S$5:$S$304,0)),"")</f>
        <v/>
      </c>
      <c r="D71" s="40" t="str">
        <f aca="false">IF($B71="","",IF(MOD(ROW()-5,3)=0,"周转打冷",IF(MOD(ROW()-5,3)=1,"仓储加工","装卸费")))</f>
        <v/>
      </c>
      <c r="E71" s="51" t="str">
        <f aca="false">IF($B71="","",IFERROR(IF($D71="周转打冷",N(INDEX(对接源_01入库吨位!$D$5:$D$304,MATCH(INT((ROW()-5)/3)+1,对接源_01入库吨位!$S$5:$S$304,0))),IF($D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" s="41" t="str">
        <f aca="false">IF($B71="","",ROUND(IFERROR(IF($D71="周转打冷",N(INDEX(对接源_01入库吨位!$H$5:$H$304,MATCH(INT((ROW()-5)/3)+1,对接源_01入库吨位!$S$5:$S$304,0))),IF($D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" s="52" t="str">
        <f aca="false">IF($B71="","",ROUND(N($F71)/1000,3))</f>
        <v/>
      </c>
      <c r="H71" s="74"/>
      <c r="I71" s="44"/>
      <c r="J71" s="75" t="str">
        <f aca="false">IF($B71="","",IF($H71="按筐数×单价",N($E71),IF($H71="按总重KG×单价",N($F71),IF($H71="按吨位×单价",N($G71),0))))</f>
        <v/>
      </c>
      <c r="K71" s="41" t="str">
        <f aca="false">IF($B71="","",ROUND(N($J71)*N($I71),2))</f>
        <v/>
      </c>
      <c r="L71" s="42"/>
      <c r="M71" s="76"/>
      <c r="N71" s="43"/>
      <c r="R71" s="77" t="str">
        <f aca="false">IF($B71="","",$B71)</f>
        <v/>
      </c>
      <c r="S71" s="77" t="n">
        <f aca="false">IF($R71="",0,IF(MATCH($R71,$R$5:$R$904,0)=ROW()-4,1,0))</f>
        <v>0</v>
      </c>
      <c r="T71" s="77" t="n">
        <f aca="false">N(T70)+$S71</f>
        <v>18</v>
      </c>
      <c r="U71" s="77" t="str">
        <f aca="false">IFERROR(INDEX($B$5:$B$904,MATCH(67,$T$5:$T$904,0)),"")</f>
        <v/>
      </c>
    </row>
    <row r="72" customFormat="false" ht="13.5" hidden="false" customHeight="false" outlineLevel="0" collapsed="false">
      <c r="A72" s="9" t="str">
        <f aca="false">IF($B72="","",ROW()-4)</f>
        <v/>
      </c>
      <c r="B72" s="39" t="str">
        <f aca="false">IFERROR(INDEX(对接源_01入库吨位!$B$5:$B$304,MATCH(INT((ROW()-5)/3)+1,对接源_01入库吨位!$S$5:$S$304,0)),"")</f>
        <v/>
      </c>
      <c r="C72" s="39" t="str">
        <f aca="false">IFERROR(INDEX(对接源_01入库吨位!$C$5:$C$304,MATCH(INT((ROW()-5)/3)+1,对接源_01入库吨位!$S$5:$S$304,0)),"")</f>
        <v/>
      </c>
      <c r="D72" s="40" t="str">
        <f aca="false">IF($B72="","",IF(MOD(ROW()-5,3)=0,"周转打冷",IF(MOD(ROW()-5,3)=1,"仓储加工","装卸费")))</f>
        <v/>
      </c>
      <c r="E72" s="51" t="str">
        <f aca="false">IF($B72="","",IFERROR(IF($D72="周转打冷",N(INDEX(对接源_01入库吨位!$D$5:$D$304,MATCH(INT((ROW()-5)/3)+1,对接源_01入库吨位!$S$5:$S$304,0))),IF($D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" s="41" t="str">
        <f aca="false">IF($B72="","",ROUND(IFERROR(IF($D72="周转打冷",N(INDEX(对接源_01入库吨位!$H$5:$H$304,MATCH(INT((ROW()-5)/3)+1,对接源_01入库吨位!$S$5:$S$304,0))),IF($D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" s="52" t="str">
        <f aca="false">IF($B72="","",ROUND(N($F72)/1000,3))</f>
        <v/>
      </c>
      <c r="H72" s="74"/>
      <c r="I72" s="44"/>
      <c r="J72" s="75" t="str">
        <f aca="false">IF($B72="","",IF($H72="按筐数×单价",N($E72),IF($H72="按总重KG×单价",N($F72),IF($H72="按吨位×单价",N($G72),0))))</f>
        <v/>
      </c>
      <c r="K72" s="41" t="str">
        <f aca="false">IF($B72="","",ROUND(N($J72)*N($I72),2))</f>
        <v/>
      </c>
      <c r="L72" s="42"/>
      <c r="M72" s="76"/>
      <c r="N72" s="43"/>
      <c r="R72" s="77" t="str">
        <f aca="false">IF($B72="","",$B72)</f>
        <v/>
      </c>
      <c r="S72" s="77" t="n">
        <f aca="false">IF($R72="",0,IF(MATCH($R72,$R$5:$R$904,0)=ROW()-4,1,0))</f>
        <v>0</v>
      </c>
      <c r="T72" s="77" t="n">
        <f aca="false">N(T71)+$S72</f>
        <v>18</v>
      </c>
      <c r="U72" s="77" t="str">
        <f aca="false">IFERROR(INDEX($B$5:$B$904,MATCH(68,$T$5:$T$904,0)),"")</f>
        <v/>
      </c>
    </row>
    <row r="73" customFormat="false" ht="13.5" hidden="false" customHeight="false" outlineLevel="0" collapsed="false">
      <c r="A73" s="9" t="str">
        <f aca="false">IF($B73="","",ROW()-4)</f>
        <v/>
      </c>
      <c r="B73" s="39" t="str">
        <f aca="false">IFERROR(INDEX(对接源_01入库吨位!$B$5:$B$304,MATCH(INT((ROW()-5)/3)+1,对接源_01入库吨位!$S$5:$S$304,0)),"")</f>
        <v/>
      </c>
      <c r="C73" s="39" t="str">
        <f aca="false">IFERROR(INDEX(对接源_01入库吨位!$C$5:$C$304,MATCH(INT((ROW()-5)/3)+1,对接源_01入库吨位!$S$5:$S$304,0)),"")</f>
        <v/>
      </c>
      <c r="D73" s="40" t="str">
        <f aca="false">IF($B73="","",IF(MOD(ROW()-5,3)=0,"周转打冷",IF(MOD(ROW()-5,3)=1,"仓储加工","装卸费")))</f>
        <v/>
      </c>
      <c r="E73" s="51" t="str">
        <f aca="false">IF($B73="","",IFERROR(IF($D73="周转打冷",N(INDEX(对接源_01入库吨位!$D$5:$D$304,MATCH(INT((ROW()-5)/3)+1,对接源_01入库吨位!$S$5:$S$304,0))),IF($D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" s="41" t="str">
        <f aca="false">IF($B73="","",ROUND(IFERROR(IF($D73="周转打冷",N(INDEX(对接源_01入库吨位!$H$5:$H$304,MATCH(INT((ROW()-5)/3)+1,对接源_01入库吨位!$S$5:$S$304,0))),IF($D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" s="52" t="str">
        <f aca="false">IF($B73="","",ROUND(N($F73)/1000,3))</f>
        <v/>
      </c>
      <c r="H73" s="74"/>
      <c r="I73" s="44"/>
      <c r="J73" s="75" t="str">
        <f aca="false">IF($B73="","",IF($H73="按筐数×单价",N($E73),IF($H73="按总重KG×单价",N($F73),IF($H73="按吨位×单价",N($G73),0))))</f>
        <v/>
      </c>
      <c r="K73" s="41" t="str">
        <f aca="false">IF($B73="","",ROUND(N($J73)*N($I73),2))</f>
        <v/>
      </c>
      <c r="L73" s="42"/>
      <c r="M73" s="76"/>
      <c r="N73" s="43"/>
      <c r="R73" s="77" t="str">
        <f aca="false">IF($B73="","",$B73)</f>
        <v/>
      </c>
      <c r="S73" s="77" t="n">
        <f aca="false">IF($R73="",0,IF(MATCH($R73,$R$5:$R$904,0)=ROW()-4,1,0))</f>
        <v>0</v>
      </c>
      <c r="T73" s="77" t="n">
        <f aca="false">N(T72)+$S73</f>
        <v>18</v>
      </c>
      <c r="U73" s="77" t="str">
        <f aca="false">IFERROR(INDEX($B$5:$B$904,MATCH(69,$T$5:$T$904,0)),"")</f>
        <v/>
      </c>
    </row>
    <row r="74" customFormat="false" ht="13.5" hidden="false" customHeight="false" outlineLevel="0" collapsed="false">
      <c r="A74" s="9" t="str">
        <f aca="false">IF($B74="","",ROW()-4)</f>
        <v/>
      </c>
      <c r="B74" s="39" t="str">
        <f aca="false">IFERROR(INDEX(对接源_01入库吨位!$B$5:$B$304,MATCH(INT((ROW()-5)/3)+1,对接源_01入库吨位!$S$5:$S$304,0)),"")</f>
        <v/>
      </c>
      <c r="C74" s="39" t="str">
        <f aca="false">IFERROR(INDEX(对接源_01入库吨位!$C$5:$C$304,MATCH(INT((ROW()-5)/3)+1,对接源_01入库吨位!$S$5:$S$304,0)),"")</f>
        <v/>
      </c>
      <c r="D74" s="40" t="str">
        <f aca="false">IF($B74="","",IF(MOD(ROW()-5,3)=0,"周转打冷",IF(MOD(ROW()-5,3)=1,"仓储加工","装卸费")))</f>
        <v/>
      </c>
      <c r="E74" s="51" t="str">
        <f aca="false">IF($B74="","",IFERROR(IF($D74="周转打冷",N(INDEX(对接源_01入库吨位!$D$5:$D$304,MATCH(INT((ROW()-5)/3)+1,对接源_01入库吨位!$S$5:$S$304,0))),IF($D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" s="41" t="str">
        <f aca="false">IF($B74="","",ROUND(IFERROR(IF($D74="周转打冷",N(INDEX(对接源_01入库吨位!$H$5:$H$304,MATCH(INT((ROW()-5)/3)+1,对接源_01入库吨位!$S$5:$S$304,0))),IF($D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" s="52" t="str">
        <f aca="false">IF($B74="","",ROUND(N($F74)/1000,3))</f>
        <v/>
      </c>
      <c r="H74" s="74"/>
      <c r="I74" s="44"/>
      <c r="J74" s="75" t="str">
        <f aca="false">IF($B74="","",IF($H74="按筐数×单价",N($E74),IF($H74="按总重KG×单价",N($F74),IF($H74="按吨位×单价",N($G74),0))))</f>
        <v/>
      </c>
      <c r="K74" s="41" t="str">
        <f aca="false">IF($B74="","",ROUND(N($J74)*N($I74),2))</f>
        <v/>
      </c>
      <c r="L74" s="42"/>
      <c r="M74" s="76"/>
      <c r="N74" s="43"/>
      <c r="R74" s="77" t="str">
        <f aca="false">IF($B74="","",$B74)</f>
        <v/>
      </c>
      <c r="S74" s="77" t="n">
        <f aca="false">IF($R74="",0,IF(MATCH($R74,$R$5:$R$904,0)=ROW()-4,1,0))</f>
        <v>0</v>
      </c>
      <c r="T74" s="77" t="n">
        <f aca="false">N(T73)+$S74</f>
        <v>18</v>
      </c>
      <c r="U74" s="77" t="str">
        <f aca="false">IFERROR(INDEX($B$5:$B$904,MATCH(70,$T$5:$T$904,0)),"")</f>
        <v/>
      </c>
    </row>
    <row r="75" customFormat="false" ht="13.5" hidden="false" customHeight="false" outlineLevel="0" collapsed="false">
      <c r="A75" s="9" t="str">
        <f aca="false">IF($B75="","",ROW()-4)</f>
        <v/>
      </c>
      <c r="B75" s="39" t="str">
        <f aca="false">IFERROR(INDEX(对接源_01入库吨位!$B$5:$B$304,MATCH(INT((ROW()-5)/3)+1,对接源_01入库吨位!$S$5:$S$304,0)),"")</f>
        <v/>
      </c>
      <c r="C75" s="39" t="str">
        <f aca="false">IFERROR(INDEX(对接源_01入库吨位!$C$5:$C$304,MATCH(INT((ROW()-5)/3)+1,对接源_01入库吨位!$S$5:$S$304,0)),"")</f>
        <v/>
      </c>
      <c r="D75" s="40" t="str">
        <f aca="false">IF($B75="","",IF(MOD(ROW()-5,3)=0,"周转打冷",IF(MOD(ROW()-5,3)=1,"仓储加工","装卸费")))</f>
        <v/>
      </c>
      <c r="E75" s="51" t="str">
        <f aca="false">IF($B75="","",IFERROR(IF($D75="周转打冷",N(INDEX(对接源_01入库吨位!$D$5:$D$304,MATCH(INT((ROW()-5)/3)+1,对接源_01入库吨位!$S$5:$S$304,0))),IF($D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" s="41" t="str">
        <f aca="false">IF($B75="","",ROUND(IFERROR(IF($D75="周转打冷",N(INDEX(对接源_01入库吨位!$H$5:$H$304,MATCH(INT((ROW()-5)/3)+1,对接源_01入库吨位!$S$5:$S$304,0))),IF($D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" s="52" t="str">
        <f aca="false">IF($B75="","",ROUND(N($F75)/1000,3))</f>
        <v/>
      </c>
      <c r="H75" s="74"/>
      <c r="I75" s="44"/>
      <c r="J75" s="75" t="str">
        <f aca="false">IF($B75="","",IF($H75="按筐数×单价",N($E75),IF($H75="按总重KG×单价",N($F75),IF($H75="按吨位×单价",N($G75),0))))</f>
        <v/>
      </c>
      <c r="K75" s="41" t="str">
        <f aca="false">IF($B75="","",ROUND(N($J75)*N($I75),2))</f>
        <v/>
      </c>
      <c r="L75" s="42"/>
      <c r="M75" s="76"/>
      <c r="N75" s="43"/>
      <c r="R75" s="77" t="str">
        <f aca="false">IF($B75="","",$B75)</f>
        <v/>
      </c>
      <c r="S75" s="77" t="n">
        <f aca="false">IF($R75="",0,IF(MATCH($R75,$R$5:$R$904,0)=ROW()-4,1,0))</f>
        <v>0</v>
      </c>
      <c r="T75" s="77" t="n">
        <f aca="false">N(T74)+$S75</f>
        <v>18</v>
      </c>
      <c r="U75" s="77" t="str">
        <f aca="false">IFERROR(INDEX($B$5:$B$904,MATCH(71,$T$5:$T$904,0)),"")</f>
        <v/>
      </c>
    </row>
    <row r="76" customFormat="false" ht="13.5" hidden="false" customHeight="false" outlineLevel="0" collapsed="false">
      <c r="A76" s="9" t="str">
        <f aca="false">IF($B76="","",ROW()-4)</f>
        <v/>
      </c>
      <c r="B76" s="39" t="str">
        <f aca="false">IFERROR(INDEX(对接源_01入库吨位!$B$5:$B$304,MATCH(INT((ROW()-5)/3)+1,对接源_01入库吨位!$S$5:$S$304,0)),"")</f>
        <v/>
      </c>
      <c r="C76" s="39" t="str">
        <f aca="false">IFERROR(INDEX(对接源_01入库吨位!$C$5:$C$304,MATCH(INT((ROW()-5)/3)+1,对接源_01入库吨位!$S$5:$S$304,0)),"")</f>
        <v/>
      </c>
      <c r="D76" s="40" t="str">
        <f aca="false">IF($B76="","",IF(MOD(ROW()-5,3)=0,"周转打冷",IF(MOD(ROW()-5,3)=1,"仓储加工","装卸费")))</f>
        <v/>
      </c>
      <c r="E76" s="51" t="str">
        <f aca="false">IF($B76="","",IFERROR(IF($D76="周转打冷",N(INDEX(对接源_01入库吨位!$D$5:$D$304,MATCH(INT((ROW()-5)/3)+1,对接源_01入库吨位!$S$5:$S$304,0))),IF($D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" s="41" t="str">
        <f aca="false">IF($B76="","",ROUND(IFERROR(IF($D76="周转打冷",N(INDEX(对接源_01入库吨位!$H$5:$H$304,MATCH(INT((ROW()-5)/3)+1,对接源_01入库吨位!$S$5:$S$304,0))),IF($D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" s="52" t="str">
        <f aca="false">IF($B76="","",ROUND(N($F76)/1000,3))</f>
        <v/>
      </c>
      <c r="H76" s="74"/>
      <c r="I76" s="44"/>
      <c r="J76" s="75" t="str">
        <f aca="false">IF($B76="","",IF($H76="按筐数×单价",N($E76),IF($H76="按总重KG×单价",N($F76),IF($H76="按吨位×单价",N($G76),0))))</f>
        <v/>
      </c>
      <c r="K76" s="41" t="str">
        <f aca="false">IF($B76="","",ROUND(N($J76)*N($I76),2))</f>
        <v/>
      </c>
      <c r="L76" s="42"/>
      <c r="M76" s="76"/>
      <c r="N76" s="43"/>
      <c r="R76" s="77" t="str">
        <f aca="false">IF($B76="","",$B76)</f>
        <v/>
      </c>
      <c r="S76" s="77" t="n">
        <f aca="false">IF($R76="",0,IF(MATCH($R76,$R$5:$R$904,0)=ROW()-4,1,0))</f>
        <v>0</v>
      </c>
      <c r="T76" s="77" t="n">
        <f aca="false">N(T75)+$S76</f>
        <v>18</v>
      </c>
      <c r="U76" s="77" t="str">
        <f aca="false">IFERROR(INDEX($B$5:$B$904,MATCH(72,$T$5:$T$904,0)),"")</f>
        <v/>
      </c>
    </row>
    <row r="77" customFormat="false" ht="13.5" hidden="false" customHeight="false" outlineLevel="0" collapsed="false">
      <c r="A77" s="9" t="str">
        <f aca="false">IF($B77="","",ROW()-4)</f>
        <v/>
      </c>
      <c r="B77" s="39" t="str">
        <f aca="false">IFERROR(INDEX(对接源_01入库吨位!$B$5:$B$304,MATCH(INT((ROW()-5)/3)+1,对接源_01入库吨位!$S$5:$S$304,0)),"")</f>
        <v/>
      </c>
      <c r="C77" s="39" t="str">
        <f aca="false">IFERROR(INDEX(对接源_01入库吨位!$C$5:$C$304,MATCH(INT((ROW()-5)/3)+1,对接源_01入库吨位!$S$5:$S$304,0)),"")</f>
        <v/>
      </c>
      <c r="D77" s="40" t="str">
        <f aca="false">IF($B77="","",IF(MOD(ROW()-5,3)=0,"周转打冷",IF(MOD(ROW()-5,3)=1,"仓储加工","装卸费")))</f>
        <v/>
      </c>
      <c r="E77" s="51" t="str">
        <f aca="false">IF($B77="","",IFERROR(IF($D77="周转打冷",N(INDEX(对接源_01入库吨位!$D$5:$D$304,MATCH(INT((ROW()-5)/3)+1,对接源_01入库吨位!$S$5:$S$304,0))),IF($D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" s="41" t="str">
        <f aca="false">IF($B77="","",ROUND(IFERROR(IF($D77="周转打冷",N(INDEX(对接源_01入库吨位!$H$5:$H$304,MATCH(INT((ROW()-5)/3)+1,对接源_01入库吨位!$S$5:$S$304,0))),IF($D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" s="52" t="str">
        <f aca="false">IF($B77="","",ROUND(N($F77)/1000,3))</f>
        <v/>
      </c>
      <c r="H77" s="74"/>
      <c r="I77" s="44"/>
      <c r="J77" s="75" t="str">
        <f aca="false">IF($B77="","",IF($H77="按筐数×单价",N($E77),IF($H77="按总重KG×单价",N($F77),IF($H77="按吨位×单价",N($G77),0))))</f>
        <v/>
      </c>
      <c r="K77" s="41" t="str">
        <f aca="false">IF($B77="","",ROUND(N($J77)*N($I77),2))</f>
        <v/>
      </c>
      <c r="L77" s="42"/>
      <c r="M77" s="76"/>
      <c r="N77" s="43"/>
      <c r="R77" s="77" t="str">
        <f aca="false">IF($B77="","",$B77)</f>
        <v/>
      </c>
      <c r="S77" s="77" t="n">
        <f aca="false">IF($R77="",0,IF(MATCH($R77,$R$5:$R$904,0)=ROW()-4,1,0))</f>
        <v>0</v>
      </c>
      <c r="T77" s="77" t="n">
        <f aca="false">N(T76)+$S77</f>
        <v>18</v>
      </c>
      <c r="U77" s="77" t="str">
        <f aca="false">IFERROR(INDEX($B$5:$B$904,MATCH(73,$T$5:$T$904,0)),"")</f>
        <v/>
      </c>
    </row>
    <row r="78" customFormat="false" ht="13.5" hidden="false" customHeight="false" outlineLevel="0" collapsed="false">
      <c r="A78" s="9" t="str">
        <f aca="false">IF($B78="","",ROW()-4)</f>
        <v/>
      </c>
      <c r="B78" s="39" t="str">
        <f aca="false">IFERROR(INDEX(对接源_01入库吨位!$B$5:$B$304,MATCH(INT((ROW()-5)/3)+1,对接源_01入库吨位!$S$5:$S$304,0)),"")</f>
        <v/>
      </c>
      <c r="C78" s="39" t="str">
        <f aca="false">IFERROR(INDEX(对接源_01入库吨位!$C$5:$C$304,MATCH(INT((ROW()-5)/3)+1,对接源_01入库吨位!$S$5:$S$304,0)),"")</f>
        <v/>
      </c>
      <c r="D78" s="40" t="str">
        <f aca="false">IF($B78="","",IF(MOD(ROW()-5,3)=0,"周转打冷",IF(MOD(ROW()-5,3)=1,"仓储加工","装卸费")))</f>
        <v/>
      </c>
      <c r="E78" s="51" t="str">
        <f aca="false">IF($B78="","",IFERROR(IF($D78="周转打冷",N(INDEX(对接源_01入库吨位!$D$5:$D$304,MATCH(INT((ROW()-5)/3)+1,对接源_01入库吨位!$S$5:$S$304,0))),IF($D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" s="41" t="str">
        <f aca="false">IF($B78="","",ROUND(IFERROR(IF($D78="周转打冷",N(INDEX(对接源_01入库吨位!$H$5:$H$304,MATCH(INT((ROW()-5)/3)+1,对接源_01入库吨位!$S$5:$S$304,0))),IF($D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" s="52" t="str">
        <f aca="false">IF($B78="","",ROUND(N($F78)/1000,3))</f>
        <v/>
      </c>
      <c r="H78" s="74"/>
      <c r="I78" s="44"/>
      <c r="J78" s="75" t="str">
        <f aca="false">IF($B78="","",IF($H78="按筐数×单价",N($E78),IF($H78="按总重KG×单价",N($F78),IF($H78="按吨位×单价",N($G78),0))))</f>
        <v/>
      </c>
      <c r="K78" s="41" t="str">
        <f aca="false">IF($B78="","",ROUND(N($J78)*N($I78),2))</f>
        <v/>
      </c>
      <c r="L78" s="42"/>
      <c r="M78" s="76"/>
      <c r="N78" s="43"/>
      <c r="R78" s="77" t="str">
        <f aca="false">IF($B78="","",$B78)</f>
        <v/>
      </c>
      <c r="S78" s="77" t="n">
        <f aca="false">IF($R78="",0,IF(MATCH($R78,$R$5:$R$904,0)=ROW()-4,1,0))</f>
        <v>0</v>
      </c>
      <c r="T78" s="77" t="n">
        <f aca="false">N(T77)+$S78</f>
        <v>18</v>
      </c>
      <c r="U78" s="77" t="str">
        <f aca="false">IFERROR(INDEX($B$5:$B$904,MATCH(74,$T$5:$T$904,0)),"")</f>
        <v/>
      </c>
    </row>
    <row r="79" customFormat="false" ht="13.5" hidden="false" customHeight="false" outlineLevel="0" collapsed="false">
      <c r="A79" s="9" t="str">
        <f aca="false">IF($B79="","",ROW()-4)</f>
        <v/>
      </c>
      <c r="B79" s="39" t="str">
        <f aca="false">IFERROR(INDEX(对接源_01入库吨位!$B$5:$B$304,MATCH(INT((ROW()-5)/3)+1,对接源_01入库吨位!$S$5:$S$304,0)),"")</f>
        <v/>
      </c>
      <c r="C79" s="39" t="str">
        <f aca="false">IFERROR(INDEX(对接源_01入库吨位!$C$5:$C$304,MATCH(INT((ROW()-5)/3)+1,对接源_01入库吨位!$S$5:$S$304,0)),"")</f>
        <v/>
      </c>
      <c r="D79" s="40" t="str">
        <f aca="false">IF($B79="","",IF(MOD(ROW()-5,3)=0,"周转打冷",IF(MOD(ROW()-5,3)=1,"仓储加工","装卸费")))</f>
        <v/>
      </c>
      <c r="E79" s="51" t="str">
        <f aca="false">IF($B79="","",IFERROR(IF($D79="周转打冷",N(INDEX(对接源_01入库吨位!$D$5:$D$304,MATCH(INT((ROW()-5)/3)+1,对接源_01入库吨位!$S$5:$S$304,0))),IF($D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" s="41" t="str">
        <f aca="false">IF($B79="","",ROUND(IFERROR(IF($D79="周转打冷",N(INDEX(对接源_01入库吨位!$H$5:$H$304,MATCH(INT((ROW()-5)/3)+1,对接源_01入库吨位!$S$5:$S$304,0))),IF($D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" s="52" t="str">
        <f aca="false">IF($B79="","",ROUND(N($F79)/1000,3))</f>
        <v/>
      </c>
      <c r="H79" s="74"/>
      <c r="I79" s="44"/>
      <c r="J79" s="75" t="str">
        <f aca="false">IF($B79="","",IF($H79="按筐数×单价",N($E79),IF($H79="按总重KG×单价",N($F79),IF($H79="按吨位×单价",N($G79),0))))</f>
        <v/>
      </c>
      <c r="K79" s="41" t="str">
        <f aca="false">IF($B79="","",ROUND(N($J79)*N($I79),2))</f>
        <v/>
      </c>
      <c r="L79" s="42"/>
      <c r="M79" s="76"/>
      <c r="N79" s="43"/>
      <c r="R79" s="77" t="str">
        <f aca="false">IF($B79="","",$B79)</f>
        <v/>
      </c>
      <c r="S79" s="77" t="n">
        <f aca="false">IF($R79="",0,IF(MATCH($R79,$R$5:$R$904,0)=ROW()-4,1,0))</f>
        <v>0</v>
      </c>
      <c r="T79" s="77" t="n">
        <f aca="false">N(T78)+$S79</f>
        <v>18</v>
      </c>
      <c r="U79" s="77" t="str">
        <f aca="false">IFERROR(INDEX($B$5:$B$904,MATCH(75,$T$5:$T$904,0)),"")</f>
        <v/>
      </c>
    </row>
    <row r="80" customFormat="false" ht="13.5" hidden="false" customHeight="false" outlineLevel="0" collapsed="false">
      <c r="A80" s="9" t="str">
        <f aca="false">IF($B80="","",ROW()-4)</f>
        <v/>
      </c>
      <c r="B80" s="39" t="str">
        <f aca="false">IFERROR(INDEX(对接源_01入库吨位!$B$5:$B$304,MATCH(INT((ROW()-5)/3)+1,对接源_01入库吨位!$S$5:$S$304,0)),"")</f>
        <v/>
      </c>
      <c r="C80" s="39" t="str">
        <f aca="false">IFERROR(INDEX(对接源_01入库吨位!$C$5:$C$304,MATCH(INT((ROW()-5)/3)+1,对接源_01入库吨位!$S$5:$S$304,0)),"")</f>
        <v/>
      </c>
      <c r="D80" s="40" t="str">
        <f aca="false">IF($B80="","",IF(MOD(ROW()-5,3)=0,"周转打冷",IF(MOD(ROW()-5,3)=1,"仓储加工","装卸费")))</f>
        <v/>
      </c>
      <c r="E80" s="51" t="str">
        <f aca="false">IF($B80="","",IFERROR(IF($D80="周转打冷",N(INDEX(对接源_01入库吨位!$D$5:$D$304,MATCH(INT((ROW()-5)/3)+1,对接源_01入库吨位!$S$5:$S$304,0))),IF($D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" s="41" t="str">
        <f aca="false">IF($B80="","",ROUND(IFERROR(IF($D80="周转打冷",N(INDEX(对接源_01入库吨位!$H$5:$H$304,MATCH(INT((ROW()-5)/3)+1,对接源_01入库吨位!$S$5:$S$304,0))),IF($D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" s="52" t="str">
        <f aca="false">IF($B80="","",ROUND(N($F80)/1000,3))</f>
        <v/>
      </c>
      <c r="H80" s="74"/>
      <c r="I80" s="44"/>
      <c r="J80" s="75" t="str">
        <f aca="false">IF($B80="","",IF($H80="按筐数×单价",N($E80),IF($H80="按总重KG×单价",N($F80),IF($H80="按吨位×单价",N($G80),0))))</f>
        <v/>
      </c>
      <c r="K80" s="41" t="str">
        <f aca="false">IF($B80="","",ROUND(N($J80)*N($I80),2))</f>
        <v/>
      </c>
      <c r="L80" s="42"/>
      <c r="M80" s="76"/>
      <c r="N80" s="43"/>
      <c r="R80" s="77" t="str">
        <f aca="false">IF($B80="","",$B80)</f>
        <v/>
      </c>
      <c r="S80" s="77" t="n">
        <f aca="false">IF($R80="",0,IF(MATCH($R80,$R$5:$R$904,0)=ROW()-4,1,0))</f>
        <v>0</v>
      </c>
      <c r="T80" s="77" t="n">
        <f aca="false">N(T79)+$S80</f>
        <v>18</v>
      </c>
      <c r="U80" s="77" t="str">
        <f aca="false">IFERROR(INDEX($B$5:$B$904,MATCH(76,$T$5:$T$904,0)),"")</f>
        <v/>
      </c>
    </row>
    <row r="81" customFormat="false" ht="13.5" hidden="false" customHeight="false" outlineLevel="0" collapsed="false">
      <c r="A81" s="9" t="str">
        <f aca="false">IF($B81="","",ROW()-4)</f>
        <v/>
      </c>
      <c r="B81" s="39" t="str">
        <f aca="false">IFERROR(INDEX(对接源_01入库吨位!$B$5:$B$304,MATCH(INT((ROW()-5)/3)+1,对接源_01入库吨位!$S$5:$S$304,0)),"")</f>
        <v/>
      </c>
      <c r="C81" s="39" t="str">
        <f aca="false">IFERROR(INDEX(对接源_01入库吨位!$C$5:$C$304,MATCH(INT((ROW()-5)/3)+1,对接源_01入库吨位!$S$5:$S$304,0)),"")</f>
        <v/>
      </c>
      <c r="D81" s="40" t="str">
        <f aca="false">IF($B81="","",IF(MOD(ROW()-5,3)=0,"周转打冷",IF(MOD(ROW()-5,3)=1,"仓储加工","装卸费")))</f>
        <v/>
      </c>
      <c r="E81" s="51" t="str">
        <f aca="false">IF($B81="","",IFERROR(IF($D81="周转打冷",N(INDEX(对接源_01入库吨位!$D$5:$D$304,MATCH(INT((ROW()-5)/3)+1,对接源_01入库吨位!$S$5:$S$304,0))),IF($D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" s="41" t="str">
        <f aca="false">IF($B81="","",ROUND(IFERROR(IF($D81="周转打冷",N(INDEX(对接源_01入库吨位!$H$5:$H$304,MATCH(INT((ROW()-5)/3)+1,对接源_01入库吨位!$S$5:$S$304,0))),IF($D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" s="52" t="str">
        <f aca="false">IF($B81="","",ROUND(N($F81)/1000,3))</f>
        <v/>
      </c>
      <c r="H81" s="74"/>
      <c r="I81" s="44"/>
      <c r="J81" s="75" t="str">
        <f aca="false">IF($B81="","",IF($H81="按筐数×单价",N($E81),IF($H81="按总重KG×单价",N($F81),IF($H81="按吨位×单价",N($G81),0))))</f>
        <v/>
      </c>
      <c r="K81" s="41" t="str">
        <f aca="false">IF($B81="","",ROUND(N($J81)*N($I81),2))</f>
        <v/>
      </c>
      <c r="L81" s="42"/>
      <c r="M81" s="76"/>
      <c r="N81" s="43"/>
      <c r="R81" s="77" t="str">
        <f aca="false">IF($B81="","",$B81)</f>
        <v/>
      </c>
      <c r="S81" s="77" t="n">
        <f aca="false">IF($R81="",0,IF(MATCH($R81,$R$5:$R$904,0)=ROW()-4,1,0))</f>
        <v>0</v>
      </c>
      <c r="T81" s="77" t="n">
        <f aca="false">N(T80)+$S81</f>
        <v>18</v>
      </c>
      <c r="U81" s="77" t="str">
        <f aca="false">IFERROR(INDEX($B$5:$B$904,MATCH(77,$T$5:$T$904,0)),"")</f>
        <v/>
      </c>
    </row>
    <row r="82" customFormat="false" ht="13.5" hidden="false" customHeight="false" outlineLevel="0" collapsed="false">
      <c r="A82" s="9" t="str">
        <f aca="false">IF($B82="","",ROW()-4)</f>
        <v/>
      </c>
      <c r="B82" s="39" t="str">
        <f aca="false">IFERROR(INDEX(对接源_01入库吨位!$B$5:$B$304,MATCH(INT((ROW()-5)/3)+1,对接源_01入库吨位!$S$5:$S$304,0)),"")</f>
        <v/>
      </c>
      <c r="C82" s="39" t="str">
        <f aca="false">IFERROR(INDEX(对接源_01入库吨位!$C$5:$C$304,MATCH(INT((ROW()-5)/3)+1,对接源_01入库吨位!$S$5:$S$304,0)),"")</f>
        <v/>
      </c>
      <c r="D82" s="40" t="str">
        <f aca="false">IF($B82="","",IF(MOD(ROW()-5,3)=0,"周转打冷",IF(MOD(ROW()-5,3)=1,"仓储加工","装卸费")))</f>
        <v/>
      </c>
      <c r="E82" s="51" t="str">
        <f aca="false">IF($B82="","",IFERROR(IF($D82="周转打冷",N(INDEX(对接源_01入库吨位!$D$5:$D$304,MATCH(INT((ROW()-5)/3)+1,对接源_01入库吨位!$S$5:$S$304,0))),IF($D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" s="41" t="str">
        <f aca="false">IF($B82="","",ROUND(IFERROR(IF($D82="周转打冷",N(INDEX(对接源_01入库吨位!$H$5:$H$304,MATCH(INT((ROW()-5)/3)+1,对接源_01入库吨位!$S$5:$S$304,0))),IF($D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" s="52" t="str">
        <f aca="false">IF($B82="","",ROUND(N($F82)/1000,3))</f>
        <v/>
      </c>
      <c r="H82" s="74"/>
      <c r="I82" s="44"/>
      <c r="J82" s="75" t="str">
        <f aca="false">IF($B82="","",IF($H82="按筐数×单价",N($E82),IF($H82="按总重KG×单价",N($F82),IF($H82="按吨位×单价",N($G82),0))))</f>
        <v/>
      </c>
      <c r="K82" s="41" t="str">
        <f aca="false">IF($B82="","",ROUND(N($J82)*N($I82),2))</f>
        <v/>
      </c>
      <c r="L82" s="42"/>
      <c r="M82" s="76"/>
      <c r="N82" s="43"/>
      <c r="R82" s="77" t="str">
        <f aca="false">IF($B82="","",$B82)</f>
        <v/>
      </c>
      <c r="S82" s="77" t="n">
        <f aca="false">IF($R82="",0,IF(MATCH($R82,$R$5:$R$904,0)=ROW()-4,1,0))</f>
        <v>0</v>
      </c>
      <c r="T82" s="77" t="n">
        <f aca="false">N(T81)+$S82</f>
        <v>18</v>
      </c>
      <c r="U82" s="77" t="str">
        <f aca="false">IFERROR(INDEX($B$5:$B$904,MATCH(78,$T$5:$T$904,0)),"")</f>
        <v/>
      </c>
    </row>
    <row r="83" customFormat="false" ht="13.5" hidden="false" customHeight="false" outlineLevel="0" collapsed="false">
      <c r="A83" s="9" t="str">
        <f aca="false">IF($B83="","",ROW()-4)</f>
        <v/>
      </c>
      <c r="B83" s="39" t="str">
        <f aca="false">IFERROR(INDEX(对接源_01入库吨位!$B$5:$B$304,MATCH(INT((ROW()-5)/3)+1,对接源_01入库吨位!$S$5:$S$304,0)),"")</f>
        <v/>
      </c>
      <c r="C83" s="39" t="str">
        <f aca="false">IFERROR(INDEX(对接源_01入库吨位!$C$5:$C$304,MATCH(INT((ROW()-5)/3)+1,对接源_01入库吨位!$S$5:$S$304,0)),"")</f>
        <v/>
      </c>
      <c r="D83" s="40" t="str">
        <f aca="false">IF($B83="","",IF(MOD(ROW()-5,3)=0,"周转打冷",IF(MOD(ROW()-5,3)=1,"仓储加工","装卸费")))</f>
        <v/>
      </c>
      <c r="E83" s="51" t="str">
        <f aca="false">IF($B83="","",IFERROR(IF($D83="周转打冷",N(INDEX(对接源_01入库吨位!$D$5:$D$304,MATCH(INT((ROW()-5)/3)+1,对接源_01入库吨位!$S$5:$S$304,0))),IF($D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" s="41" t="str">
        <f aca="false">IF($B83="","",ROUND(IFERROR(IF($D83="周转打冷",N(INDEX(对接源_01入库吨位!$H$5:$H$304,MATCH(INT((ROW()-5)/3)+1,对接源_01入库吨位!$S$5:$S$304,0))),IF($D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" s="52" t="str">
        <f aca="false">IF($B83="","",ROUND(N($F83)/1000,3))</f>
        <v/>
      </c>
      <c r="H83" s="74"/>
      <c r="I83" s="44"/>
      <c r="J83" s="75" t="str">
        <f aca="false">IF($B83="","",IF($H83="按筐数×单价",N($E83),IF($H83="按总重KG×单价",N($F83),IF($H83="按吨位×单价",N($G83),0))))</f>
        <v/>
      </c>
      <c r="K83" s="41" t="str">
        <f aca="false">IF($B83="","",ROUND(N($J83)*N($I83),2))</f>
        <v/>
      </c>
      <c r="L83" s="42"/>
      <c r="M83" s="76"/>
      <c r="N83" s="43"/>
      <c r="R83" s="77" t="str">
        <f aca="false">IF($B83="","",$B83)</f>
        <v/>
      </c>
      <c r="S83" s="77" t="n">
        <f aca="false">IF($R83="",0,IF(MATCH($R83,$R$5:$R$904,0)=ROW()-4,1,0))</f>
        <v>0</v>
      </c>
      <c r="T83" s="77" t="n">
        <f aca="false">N(T82)+$S83</f>
        <v>18</v>
      </c>
      <c r="U83" s="77" t="str">
        <f aca="false">IFERROR(INDEX($B$5:$B$904,MATCH(79,$T$5:$T$904,0)),"")</f>
        <v/>
      </c>
    </row>
    <row r="84" customFormat="false" ht="13.5" hidden="false" customHeight="false" outlineLevel="0" collapsed="false">
      <c r="A84" s="9" t="str">
        <f aca="false">IF($B84="","",ROW()-4)</f>
        <v/>
      </c>
      <c r="B84" s="39" t="str">
        <f aca="false">IFERROR(INDEX(对接源_01入库吨位!$B$5:$B$304,MATCH(INT((ROW()-5)/3)+1,对接源_01入库吨位!$S$5:$S$304,0)),"")</f>
        <v/>
      </c>
      <c r="C84" s="39" t="str">
        <f aca="false">IFERROR(INDEX(对接源_01入库吨位!$C$5:$C$304,MATCH(INT((ROW()-5)/3)+1,对接源_01入库吨位!$S$5:$S$304,0)),"")</f>
        <v/>
      </c>
      <c r="D84" s="40" t="str">
        <f aca="false">IF($B84="","",IF(MOD(ROW()-5,3)=0,"周转打冷",IF(MOD(ROW()-5,3)=1,"仓储加工","装卸费")))</f>
        <v/>
      </c>
      <c r="E84" s="51" t="str">
        <f aca="false">IF($B84="","",IFERROR(IF($D84="周转打冷",N(INDEX(对接源_01入库吨位!$D$5:$D$304,MATCH(INT((ROW()-5)/3)+1,对接源_01入库吨位!$S$5:$S$304,0))),IF($D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" s="41" t="str">
        <f aca="false">IF($B84="","",ROUND(IFERROR(IF($D84="周转打冷",N(INDEX(对接源_01入库吨位!$H$5:$H$304,MATCH(INT((ROW()-5)/3)+1,对接源_01入库吨位!$S$5:$S$304,0))),IF($D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" s="52" t="str">
        <f aca="false">IF($B84="","",ROUND(N($F84)/1000,3))</f>
        <v/>
      </c>
      <c r="H84" s="74"/>
      <c r="I84" s="44"/>
      <c r="J84" s="75" t="str">
        <f aca="false">IF($B84="","",IF($H84="按筐数×单价",N($E84),IF($H84="按总重KG×单价",N($F84),IF($H84="按吨位×单价",N($G84),0))))</f>
        <v/>
      </c>
      <c r="K84" s="41" t="str">
        <f aca="false">IF($B84="","",ROUND(N($J84)*N($I84),2))</f>
        <v/>
      </c>
      <c r="L84" s="42"/>
      <c r="M84" s="76"/>
      <c r="N84" s="43"/>
      <c r="R84" s="77" t="str">
        <f aca="false">IF($B84="","",$B84)</f>
        <v/>
      </c>
      <c r="S84" s="77" t="n">
        <f aca="false">IF($R84="",0,IF(MATCH($R84,$R$5:$R$904,0)=ROW()-4,1,0))</f>
        <v>0</v>
      </c>
      <c r="T84" s="77" t="n">
        <f aca="false">N(T83)+$S84</f>
        <v>18</v>
      </c>
      <c r="U84" s="77" t="str">
        <f aca="false">IFERROR(INDEX($B$5:$B$904,MATCH(80,$T$5:$T$904,0)),"")</f>
        <v/>
      </c>
    </row>
    <row r="85" customFormat="false" ht="13.5" hidden="false" customHeight="false" outlineLevel="0" collapsed="false">
      <c r="A85" s="9" t="str">
        <f aca="false">IF($B85="","",ROW()-4)</f>
        <v/>
      </c>
      <c r="B85" s="39" t="str">
        <f aca="false">IFERROR(INDEX(对接源_01入库吨位!$B$5:$B$304,MATCH(INT((ROW()-5)/3)+1,对接源_01入库吨位!$S$5:$S$304,0)),"")</f>
        <v/>
      </c>
      <c r="C85" s="39" t="str">
        <f aca="false">IFERROR(INDEX(对接源_01入库吨位!$C$5:$C$304,MATCH(INT((ROW()-5)/3)+1,对接源_01入库吨位!$S$5:$S$304,0)),"")</f>
        <v/>
      </c>
      <c r="D85" s="40" t="str">
        <f aca="false">IF($B85="","",IF(MOD(ROW()-5,3)=0,"周转打冷",IF(MOD(ROW()-5,3)=1,"仓储加工","装卸费")))</f>
        <v/>
      </c>
      <c r="E85" s="51" t="str">
        <f aca="false">IF($B85="","",IFERROR(IF($D85="周转打冷",N(INDEX(对接源_01入库吨位!$D$5:$D$304,MATCH(INT((ROW()-5)/3)+1,对接源_01入库吨位!$S$5:$S$304,0))),IF($D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" s="41" t="str">
        <f aca="false">IF($B85="","",ROUND(IFERROR(IF($D85="周转打冷",N(INDEX(对接源_01入库吨位!$H$5:$H$304,MATCH(INT((ROW()-5)/3)+1,对接源_01入库吨位!$S$5:$S$304,0))),IF($D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" s="52" t="str">
        <f aca="false">IF($B85="","",ROUND(N($F85)/1000,3))</f>
        <v/>
      </c>
      <c r="H85" s="74"/>
      <c r="I85" s="44"/>
      <c r="J85" s="75" t="str">
        <f aca="false">IF($B85="","",IF($H85="按筐数×单价",N($E85),IF($H85="按总重KG×单价",N($F85),IF($H85="按吨位×单价",N($G85),0))))</f>
        <v/>
      </c>
      <c r="K85" s="41" t="str">
        <f aca="false">IF($B85="","",ROUND(N($J85)*N($I85),2))</f>
        <v/>
      </c>
      <c r="L85" s="42"/>
      <c r="M85" s="76"/>
      <c r="N85" s="43"/>
      <c r="R85" s="77" t="str">
        <f aca="false">IF($B85="","",$B85)</f>
        <v/>
      </c>
      <c r="S85" s="77" t="n">
        <f aca="false">IF($R85="",0,IF(MATCH($R85,$R$5:$R$904,0)=ROW()-4,1,0))</f>
        <v>0</v>
      </c>
      <c r="T85" s="77" t="n">
        <f aca="false">N(T84)+$S85</f>
        <v>18</v>
      </c>
      <c r="U85" s="77" t="str">
        <f aca="false">IFERROR(INDEX($B$5:$B$904,MATCH(81,$T$5:$T$904,0)),"")</f>
        <v/>
      </c>
    </row>
    <row r="86" customFormat="false" ht="13.5" hidden="false" customHeight="false" outlineLevel="0" collapsed="false">
      <c r="A86" s="9" t="str">
        <f aca="false">IF($B86="","",ROW()-4)</f>
        <v/>
      </c>
      <c r="B86" s="39" t="str">
        <f aca="false">IFERROR(INDEX(对接源_01入库吨位!$B$5:$B$304,MATCH(INT((ROW()-5)/3)+1,对接源_01入库吨位!$S$5:$S$304,0)),"")</f>
        <v/>
      </c>
      <c r="C86" s="39" t="str">
        <f aca="false">IFERROR(INDEX(对接源_01入库吨位!$C$5:$C$304,MATCH(INT((ROW()-5)/3)+1,对接源_01入库吨位!$S$5:$S$304,0)),"")</f>
        <v/>
      </c>
      <c r="D86" s="40" t="str">
        <f aca="false">IF($B86="","",IF(MOD(ROW()-5,3)=0,"周转打冷",IF(MOD(ROW()-5,3)=1,"仓储加工","装卸费")))</f>
        <v/>
      </c>
      <c r="E86" s="51" t="str">
        <f aca="false">IF($B86="","",IFERROR(IF($D86="周转打冷",N(INDEX(对接源_01入库吨位!$D$5:$D$304,MATCH(INT((ROW()-5)/3)+1,对接源_01入库吨位!$S$5:$S$304,0))),IF($D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" s="41" t="str">
        <f aca="false">IF($B86="","",ROUND(IFERROR(IF($D86="周转打冷",N(INDEX(对接源_01入库吨位!$H$5:$H$304,MATCH(INT((ROW()-5)/3)+1,对接源_01入库吨位!$S$5:$S$304,0))),IF($D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" s="52" t="str">
        <f aca="false">IF($B86="","",ROUND(N($F86)/1000,3))</f>
        <v/>
      </c>
      <c r="H86" s="74"/>
      <c r="I86" s="44"/>
      <c r="J86" s="75" t="str">
        <f aca="false">IF($B86="","",IF($H86="按筐数×单价",N($E86),IF($H86="按总重KG×单价",N($F86),IF($H86="按吨位×单价",N($G86),0))))</f>
        <v/>
      </c>
      <c r="K86" s="41" t="str">
        <f aca="false">IF($B86="","",ROUND(N($J86)*N($I86),2))</f>
        <v/>
      </c>
      <c r="L86" s="42"/>
      <c r="M86" s="76"/>
      <c r="N86" s="43"/>
      <c r="R86" s="77" t="str">
        <f aca="false">IF($B86="","",$B86)</f>
        <v/>
      </c>
      <c r="S86" s="77" t="n">
        <f aca="false">IF($R86="",0,IF(MATCH($R86,$R$5:$R$904,0)=ROW()-4,1,0))</f>
        <v>0</v>
      </c>
      <c r="T86" s="77" t="n">
        <f aca="false">N(T85)+$S86</f>
        <v>18</v>
      </c>
      <c r="U86" s="77" t="str">
        <f aca="false">IFERROR(INDEX($B$5:$B$904,MATCH(82,$T$5:$T$904,0)),"")</f>
        <v/>
      </c>
    </row>
    <row r="87" customFormat="false" ht="13.5" hidden="false" customHeight="false" outlineLevel="0" collapsed="false">
      <c r="A87" s="9" t="str">
        <f aca="false">IF($B87="","",ROW()-4)</f>
        <v/>
      </c>
      <c r="B87" s="39" t="str">
        <f aca="false">IFERROR(INDEX(对接源_01入库吨位!$B$5:$B$304,MATCH(INT((ROW()-5)/3)+1,对接源_01入库吨位!$S$5:$S$304,0)),"")</f>
        <v/>
      </c>
      <c r="C87" s="39" t="str">
        <f aca="false">IFERROR(INDEX(对接源_01入库吨位!$C$5:$C$304,MATCH(INT((ROW()-5)/3)+1,对接源_01入库吨位!$S$5:$S$304,0)),"")</f>
        <v/>
      </c>
      <c r="D87" s="40" t="str">
        <f aca="false">IF($B87="","",IF(MOD(ROW()-5,3)=0,"周转打冷",IF(MOD(ROW()-5,3)=1,"仓储加工","装卸费")))</f>
        <v/>
      </c>
      <c r="E87" s="51" t="str">
        <f aca="false">IF($B87="","",IFERROR(IF($D87="周转打冷",N(INDEX(对接源_01入库吨位!$D$5:$D$304,MATCH(INT((ROW()-5)/3)+1,对接源_01入库吨位!$S$5:$S$304,0))),IF($D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" s="41" t="str">
        <f aca="false">IF($B87="","",ROUND(IFERROR(IF($D87="周转打冷",N(INDEX(对接源_01入库吨位!$H$5:$H$304,MATCH(INT((ROW()-5)/3)+1,对接源_01入库吨位!$S$5:$S$304,0))),IF($D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" s="52" t="str">
        <f aca="false">IF($B87="","",ROUND(N($F87)/1000,3))</f>
        <v/>
      </c>
      <c r="H87" s="74"/>
      <c r="I87" s="44"/>
      <c r="J87" s="75" t="str">
        <f aca="false">IF($B87="","",IF($H87="按筐数×单价",N($E87),IF($H87="按总重KG×单价",N($F87),IF($H87="按吨位×单价",N($G87),0))))</f>
        <v/>
      </c>
      <c r="K87" s="41" t="str">
        <f aca="false">IF($B87="","",ROUND(N($J87)*N($I87),2))</f>
        <v/>
      </c>
      <c r="L87" s="42"/>
      <c r="M87" s="76"/>
      <c r="N87" s="43"/>
      <c r="R87" s="77" t="str">
        <f aca="false">IF($B87="","",$B87)</f>
        <v/>
      </c>
      <c r="S87" s="77" t="n">
        <f aca="false">IF($R87="",0,IF(MATCH($R87,$R$5:$R$904,0)=ROW()-4,1,0))</f>
        <v>0</v>
      </c>
      <c r="T87" s="77" t="n">
        <f aca="false">N(T86)+$S87</f>
        <v>18</v>
      </c>
      <c r="U87" s="77" t="str">
        <f aca="false">IFERROR(INDEX($B$5:$B$904,MATCH(83,$T$5:$T$904,0)),"")</f>
        <v/>
      </c>
    </row>
    <row r="88" customFormat="false" ht="13.5" hidden="false" customHeight="false" outlineLevel="0" collapsed="false">
      <c r="A88" s="9" t="str">
        <f aca="false">IF($B88="","",ROW()-4)</f>
        <v/>
      </c>
      <c r="B88" s="39" t="str">
        <f aca="false">IFERROR(INDEX(对接源_01入库吨位!$B$5:$B$304,MATCH(INT((ROW()-5)/3)+1,对接源_01入库吨位!$S$5:$S$304,0)),"")</f>
        <v/>
      </c>
      <c r="C88" s="39" t="str">
        <f aca="false">IFERROR(INDEX(对接源_01入库吨位!$C$5:$C$304,MATCH(INT((ROW()-5)/3)+1,对接源_01入库吨位!$S$5:$S$304,0)),"")</f>
        <v/>
      </c>
      <c r="D88" s="40" t="str">
        <f aca="false">IF($B88="","",IF(MOD(ROW()-5,3)=0,"周转打冷",IF(MOD(ROW()-5,3)=1,"仓储加工","装卸费")))</f>
        <v/>
      </c>
      <c r="E88" s="51" t="str">
        <f aca="false">IF($B88="","",IFERROR(IF($D88="周转打冷",N(INDEX(对接源_01入库吨位!$D$5:$D$304,MATCH(INT((ROW()-5)/3)+1,对接源_01入库吨位!$S$5:$S$304,0))),IF($D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" s="41" t="str">
        <f aca="false">IF($B88="","",ROUND(IFERROR(IF($D88="周转打冷",N(INDEX(对接源_01入库吨位!$H$5:$H$304,MATCH(INT((ROW()-5)/3)+1,对接源_01入库吨位!$S$5:$S$304,0))),IF($D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" s="52" t="str">
        <f aca="false">IF($B88="","",ROUND(N($F88)/1000,3))</f>
        <v/>
      </c>
      <c r="H88" s="74"/>
      <c r="I88" s="44"/>
      <c r="J88" s="75" t="str">
        <f aca="false">IF($B88="","",IF($H88="按筐数×单价",N($E88),IF($H88="按总重KG×单价",N($F88),IF($H88="按吨位×单价",N($G88),0))))</f>
        <v/>
      </c>
      <c r="K88" s="41" t="str">
        <f aca="false">IF($B88="","",ROUND(N($J88)*N($I88),2))</f>
        <v/>
      </c>
      <c r="L88" s="42"/>
      <c r="M88" s="76"/>
      <c r="N88" s="43"/>
      <c r="R88" s="77" t="str">
        <f aca="false">IF($B88="","",$B88)</f>
        <v/>
      </c>
      <c r="S88" s="77" t="n">
        <f aca="false">IF($R88="",0,IF(MATCH($R88,$R$5:$R$904,0)=ROW()-4,1,0))</f>
        <v>0</v>
      </c>
      <c r="T88" s="77" t="n">
        <f aca="false">N(T87)+$S88</f>
        <v>18</v>
      </c>
      <c r="U88" s="77" t="str">
        <f aca="false">IFERROR(INDEX($B$5:$B$904,MATCH(84,$T$5:$T$904,0)),"")</f>
        <v/>
      </c>
    </row>
    <row r="89" customFormat="false" ht="13.5" hidden="false" customHeight="false" outlineLevel="0" collapsed="false">
      <c r="A89" s="9" t="str">
        <f aca="false">IF($B89="","",ROW()-4)</f>
        <v/>
      </c>
      <c r="B89" s="39" t="str">
        <f aca="false">IFERROR(INDEX(对接源_01入库吨位!$B$5:$B$304,MATCH(INT((ROW()-5)/3)+1,对接源_01入库吨位!$S$5:$S$304,0)),"")</f>
        <v/>
      </c>
      <c r="C89" s="39" t="str">
        <f aca="false">IFERROR(INDEX(对接源_01入库吨位!$C$5:$C$304,MATCH(INT((ROW()-5)/3)+1,对接源_01入库吨位!$S$5:$S$304,0)),"")</f>
        <v/>
      </c>
      <c r="D89" s="40" t="str">
        <f aca="false">IF($B89="","",IF(MOD(ROW()-5,3)=0,"周转打冷",IF(MOD(ROW()-5,3)=1,"仓储加工","装卸费")))</f>
        <v/>
      </c>
      <c r="E89" s="51" t="str">
        <f aca="false">IF($B89="","",IFERROR(IF($D89="周转打冷",N(INDEX(对接源_01入库吨位!$D$5:$D$304,MATCH(INT((ROW()-5)/3)+1,对接源_01入库吨位!$S$5:$S$304,0))),IF($D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" s="41" t="str">
        <f aca="false">IF($B89="","",ROUND(IFERROR(IF($D89="周转打冷",N(INDEX(对接源_01入库吨位!$H$5:$H$304,MATCH(INT((ROW()-5)/3)+1,对接源_01入库吨位!$S$5:$S$304,0))),IF($D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" s="52" t="str">
        <f aca="false">IF($B89="","",ROUND(N($F89)/1000,3))</f>
        <v/>
      </c>
      <c r="H89" s="74"/>
      <c r="I89" s="44"/>
      <c r="J89" s="75" t="str">
        <f aca="false">IF($B89="","",IF($H89="按筐数×单价",N($E89),IF($H89="按总重KG×单价",N($F89),IF($H89="按吨位×单价",N($G89),0))))</f>
        <v/>
      </c>
      <c r="K89" s="41" t="str">
        <f aca="false">IF($B89="","",ROUND(N($J89)*N($I89),2))</f>
        <v/>
      </c>
      <c r="L89" s="42"/>
      <c r="M89" s="76"/>
      <c r="N89" s="43"/>
      <c r="R89" s="77" t="str">
        <f aca="false">IF($B89="","",$B89)</f>
        <v/>
      </c>
      <c r="S89" s="77" t="n">
        <f aca="false">IF($R89="",0,IF(MATCH($R89,$R$5:$R$904,0)=ROW()-4,1,0))</f>
        <v>0</v>
      </c>
      <c r="T89" s="77" t="n">
        <f aca="false">N(T88)+$S89</f>
        <v>18</v>
      </c>
      <c r="U89" s="77" t="str">
        <f aca="false">IFERROR(INDEX($B$5:$B$904,MATCH(85,$T$5:$T$904,0)),"")</f>
        <v/>
      </c>
    </row>
    <row r="90" customFormat="false" ht="13.5" hidden="false" customHeight="false" outlineLevel="0" collapsed="false">
      <c r="A90" s="9" t="str">
        <f aca="false">IF($B90="","",ROW()-4)</f>
        <v/>
      </c>
      <c r="B90" s="39" t="str">
        <f aca="false">IFERROR(INDEX(对接源_01入库吨位!$B$5:$B$304,MATCH(INT((ROW()-5)/3)+1,对接源_01入库吨位!$S$5:$S$304,0)),"")</f>
        <v/>
      </c>
      <c r="C90" s="39" t="str">
        <f aca="false">IFERROR(INDEX(对接源_01入库吨位!$C$5:$C$304,MATCH(INT((ROW()-5)/3)+1,对接源_01入库吨位!$S$5:$S$304,0)),"")</f>
        <v/>
      </c>
      <c r="D90" s="40" t="str">
        <f aca="false">IF($B90="","",IF(MOD(ROW()-5,3)=0,"周转打冷",IF(MOD(ROW()-5,3)=1,"仓储加工","装卸费")))</f>
        <v/>
      </c>
      <c r="E90" s="51" t="str">
        <f aca="false">IF($B90="","",IFERROR(IF($D90="周转打冷",N(INDEX(对接源_01入库吨位!$D$5:$D$304,MATCH(INT((ROW()-5)/3)+1,对接源_01入库吨位!$S$5:$S$304,0))),IF($D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" s="41" t="str">
        <f aca="false">IF($B90="","",ROUND(IFERROR(IF($D90="周转打冷",N(INDEX(对接源_01入库吨位!$H$5:$H$304,MATCH(INT((ROW()-5)/3)+1,对接源_01入库吨位!$S$5:$S$304,0))),IF($D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" s="52" t="str">
        <f aca="false">IF($B90="","",ROUND(N($F90)/1000,3))</f>
        <v/>
      </c>
      <c r="H90" s="74"/>
      <c r="I90" s="44"/>
      <c r="J90" s="75" t="str">
        <f aca="false">IF($B90="","",IF($H90="按筐数×单价",N($E90),IF($H90="按总重KG×单价",N($F90),IF($H90="按吨位×单价",N($G90),0))))</f>
        <v/>
      </c>
      <c r="K90" s="41" t="str">
        <f aca="false">IF($B90="","",ROUND(N($J90)*N($I90),2))</f>
        <v/>
      </c>
      <c r="L90" s="42"/>
      <c r="M90" s="76"/>
      <c r="N90" s="43"/>
      <c r="R90" s="77" t="str">
        <f aca="false">IF($B90="","",$B90)</f>
        <v/>
      </c>
      <c r="S90" s="77" t="n">
        <f aca="false">IF($R90="",0,IF(MATCH($R90,$R$5:$R$904,0)=ROW()-4,1,0))</f>
        <v>0</v>
      </c>
      <c r="T90" s="77" t="n">
        <f aca="false">N(T89)+$S90</f>
        <v>18</v>
      </c>
      <c r="U90" s="77" t="str">
        <f aca="false">IFERROR(INDEX($B$5:$B$904,MATCH(86,$T$5:$T$904,0)),"")</f>
        <v/>
      </c>
    </row>
    <row r="91" customFormat="false" ht="13.5" hidden="false" customHeight="false" outlineLevel="0" collapsed="false">
      <c r="A91" s="9" t="str">
        <f aca="false">IF($B91="","",ROW()-4)</f>
        <v/>
      </c>
      <c r="B91" s="39" t="str">
        <f aca="false">IFERROR(INDEX(对接源_01入库吨位!$B$5:$B$304,MATCH(INT((ROW()-5)/3)+1,对接源_01入库吨位!$S$5:$S$304,0)),"")</f>
        <v/>
      </c>
      <c r="C91" s="39" t="str">
        <f aca="false">IFERROR(INDEX(对接源_01入库吨位!$C$5:$C$304,MATCH(INT((ROW()-5)/3)+1,对接源_01入库吨位!$S$5:$S$304,0)),"")</f>
        <v/>
      </c>
      <c r="D91" s="40" t="str">
        <f aca="false">IF($B91="","",IF(MOD(ROW()-5,3)=0,"周转打冷",IF(MOD(ROW()-5,3)=1,"仓储加工","装卸费")))</f>
        <v/>
      </c>
      <c r="E91" s="51" t="str">
        <f aca="false">IF($B91="","",IFERROR(IF($D91="周转打冷",N(INDEX(对接源_01入库吨位!$D$5:$D$304,MATCH(INT((ROW()-5)/3)+1,对接源_01入库吨位!$S$5:$S$304,0))),IF($D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1" s="41" t="str">
        <f aca="false">IF($B91="","",ROUND(IFERROR(IF($D91="周转打冷",N(INDEX(对接源_01入库吨位!$H$5:$H$304,MATCH(INT((ROW()-5)/3)+1,对接源_01入库吨位!$S$5:$S$304,0))),IF($D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1" s="52" t="str">
        <f aca="false">IF($B91="","",ROUND(N($F91)/1000,3))</f>
        <v/>
      </c>
      <c r="H91" s="74"/>
      <c r="I91" s="44"/>
      <c r="J91" s="75" t="str">
        <f aca="false">IF($B91="","",IF($H91="按筐数×单价",N($E91),IF($H91="按总重KG×单价",N($F91),IF($H91="按吨位×单价",N($G91),0))))</f>
        <v/>
      </c>
      <c r="K91" s="41" t="str">
        <f aca="false">IF($B91="","",ROUND(N($J91)*N($I91),2))</f>
        <v/>
      </c>
      <c r="L91" s="42"/>
      <c r="M91" s="76"/>
      <c r="N91" s="43"/>
      <c r="R91" s="77" t="str">
        <f aca="false">IF($B91="","",$B91)</f>
        <v/>
      </c>
      <c r="S91" s="77" t="n">
        <f aca="false">IF($R91="",0,IF(MATCH($R91,$R$5:$R$904,0)=ROW()-4,1,0))</f>
        <v>0</v>
      </c>
      <c r="T91" s="77" t="n">
        <f aca="false">N(T90)+$S91</f>
        <v>18</v>
      </c>
      <c r="U91" s="77" t="str">
        <f aca="false">IFERROR(INDEX($B$5:$B$904,MATCH(87,$T$5:$T$904,0)),"")</f>
        <v/>
      </c>
    </row>
    <row r="92" customFormat="false" ht="13.5" hidden="false" customHeight="false" outlineLevel="0" collapsed="false">
      <c r="A92" s="9" t="str">
        <f aca="false">IF($B92="","",ROW()-4)</f>
        <v/>
      </c>
      <c r="B92" s="39" t="str">
        <f aca="false">IFERROR(INDEX(对接源_01入库吨位!$B$5:$B$304,MATCH(INT((ROW()-5)/3)+1,对接源_01入库吨位!$S$5:$S$304,0)),"")</f>
        <v/>
      </c>
      <c r="C92" s="39" t="str">
        <f aca="false">IFERROR(INDEX(对接源_01入库吨位!$C$5:$C$304,MATCH(INT((ROW()-5)/3)+1,对接源_01入库吨位!$S$5:$S$304,0)),"")</f>
        <v/>
      </c>
      <c r="D92" s="40" t="str">
        <f aca="false">IF($B92="","",IF(MOD(ROW()-5,3)=0,"周转打冷",IF(MOD(ROW()-5,3)=1,"仓储加工","装卸费")))</f>
        <v/>
      </c>
      <c r="E92" s="51" t="str">
        <f aca="false">IF($B92="","",IFERROR(IF($D92="周转打冷",N(INDEX(对接源_01入库吨位!$D$5:$D$304,MATCH(INT((ROW()-5)/3)+1,对接源_01入库吨位!$S$5:$S$304,0))),IF($D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2" s="41" t="str">
        <f aca="false">IF($B92="","",ROUND(IFERROR(IF($D92="周转打冷",N(INDEX(对接源_01入库吨位!$H$5:$H$304,MATCH(INT((ROW()-5)/3)+1,对接源_01入库吨位!$S$5:$S$304,0))),IF($D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2" s="52" t="str">
        <f aca="false">IF($B92="","",ROUND(N($F92)/1000,3))</f>
        <v/>
      </c>
      <c r="H92" s="74"/>
      <c r="I92" s="44"/>
      <c r="J92" s="75" t="str">
        <f aca="false">IF($B92="","",IF($H92="按筐数×单价",N($E92),IF($H92="按总重KG×单价",N($F92),IF($H92="按吨位×单价",N($G92),0))))</f>
        <v/>
      </c>
      <c r="K92" s="41" t="str">
        <f aca="false">IF($B92="","",ROUND(N($J92)*N($I92),2))</f>
        <v/>
      </c>
      <c r="L92" s="42"/>
      <c r="M92" s="76"/>
      <c r="N92" s="43"/>
      <c r="R92" s="77" t="str">
        <f aca="false">IF($B92="","",$B92)</f>
        <v/>
      </c>
      <c r="S92" s="77" t="n">
        <f aca="false">IF($R92="",0,IF(MATCH($R92,$R$5:$R$904,0)=ROW()-4,1,0))</f>
        <v>0</v>
      </c>
      <c r="T92" s="77" t="n">
        <f aca="false">N(T91)+$S92</f>
        <v>18</v>
      </c>
      <c r="U92" s="77" t="str">
        <f aca="false">IFERROR(INDEX($B$5:$B$904,MATCH(88,$T$5:$T$904,0)),"")</f>
        <v/>
      </c>
    </row>
    <row r="93" customFormat="false" ht="13.5" hidden="false" customHeight="false" outlineLevel="0" collapsed="false">
      <c r="A93" s="9" t="str">
        <f aca="false">IF($B93="","",ROW()-4)</f>
        <v/>
      </c>
      <c r="B93" s="39" t="str">
        <f aca="false">IFERROR(INDEX(对接源_01入库吨位!$B$5:$B$304,MATCH(INT((ROW()-5)/3)+1,对接源_01入库吨位!$S$5:$S$304,0)),"")</f>
        <v/>
      </c>
      <c r="C93" s="39" t="str">
        <f aca="false">IFERROR(INDEX(对接源_01入库吨位!$C$5:$C$304,MATCH(INT((ROW()-5)/3)+1,对接源_01入库吨位!$S$5:$S$304,0)),"")</f>
        <v/>
      </c>
      <c r="D93" s="40" t="str">
        <f aca="false">IF($B93="","",IF(MOD(ROW()-5,3)=0,"周转打冷",IF(MOD(ROW()-5,3)=1,"仓储加工","装卸费")))</f>
        <v/>
      </c>
      <c r="E93" s="51" t="str">
        <f aca="false">IF($B93="","",IFERROR(IF($D93="周转打冷",N(INDEX(对接源_01入库吨位!$D$5:$D$304,MATCH(INT((ROW()-5)/3)+1,对接源_01入库吨位!$S$5:$S$304,0))),IF($D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3" s="41" t="str">
        <f aca="false">IF($B93="","",ROUND(IFERROR(IF($D93="周转打冷",N(INDEX(对接源_01入库吨位!$H$5:$H$304,MATCH(INT((ROW()-5)/3)+1,对接源_01入库吨位!$S$5:$S$304,0))),IF($D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3" s="52" t="str">
        <f aca="false">IF($B93="","",ROUND(N($F93)/1000,3))</f>
        <v/>
      </c>
      <c r="H93" s="74"/>
      <c r="I93" s="44"/>
      <c r="J93" s="75" t="str">
        <f aca="false">IF($B93="","",IF($H93="按筐数×单价",N($E93),IF($H93="按总重KG×单价",N($F93),IF($H93="按吨位×单价",N($G93),0))))</f>
        <v/>
      </c>
      <c r="K93" s="41" t="str">
        <f aca="false">IF($B93="","",ROUND(N($J93)*N($I93),2))</f>
        <v/>
      </c>
      <c r="L93" s="42"/>
      <c r="M93" s="76"/>
      <c r="N93" s="43"/>
      <c r="R93" s="77" t="str">
        <f aca="false">IF($B93="","",$B93)</f>
        <v/>
      </c>
      <c r="S93" s="77" t="n">
        <f aca="false">IF($R93="",0,IF(MATCH($R93,$R$5:$R$904,0)=ROW()-4,1,0))</f>
        <v>0</v>
      </c>
      <c r="T93" s="77" t="n">
        <f aca="false">N(T92)+$S93</f>
        <v>18</v>
      </c>
      <c r="U93" s="77" t="str">
        <f aca="false">IFERROR(INDEX($B$5:$B$904,MATCH(89,$T$5:$T$904,0)),"")</f>
        <v/>
      </c>
    </row>
    <row r="94" customFormat="false" ht="13.5" hidden="false" customHeight="false" outlineLevel="0" collapsed="false">
      <c r="A94" s="9" t="str">
        <f aca="false">IF($B94="","",ROW()-4)</f>
        <v/>
      </c>
      <c r="B94" s="39" t="str">
        <f aca="false">IFERROR(INDEX(对接源_01入库吨位!$B$5:$B$304,MATCH(INT((ROW()-5)/3)+1,对接源_01入库吨位!$S$5:$S$304,0)),"")</f>
        <v/>
      </c>
      <c r="C94" s="39" t="str">
        <f aca="false">IFERROR(INDEX(对接源_01入库吨位!$C$5:$C$304,MATCH(INT((ROW()-5)/3)+1,对接源_01入库吨位!$S$5:$S$304,0)),"")</f>
        <v/>
      </c>
      <c r="D94" s="40" t="str">
        <f aca="false">IF($B94="","",IF(MOD(ROW()-5,3)=0,"周转打冷",IF(MOD(ROW()-5,3)=1,"仓储加工","装卸费")))</f>
        <v/>
      </c>
      <c r="E94" s="51" t="str">
        <f aca="false">IF($B94="","",IFERROR(IF($D94="周转打冷",N(INDEX(对接源_01入库吨位!$D$5:$D$304,MATCH(INT((ROW()-5)/3)+1,对接源_01入库吨位!$S$5:$S$304,0))),IF($D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4" s="41" t="str">
        <f aca="false">IF($B94="","",ROUND(IFERROR(IF($D94="周转打冷",N(INDEX(对接源_01入库吨位!$H$5:$H$304,MATCH(INT((ROW()-5)/3)+1,对接源_01入库吨位!$S$5:$S$304,0))),IF($D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4" s="52" t="str">
        <f aca="false">IF($B94="","",ROUND(N($F94)/1000,3))</f>
        <v/>
      </c>
      <c r="H94" s="74"/>
      <c r="I94" s="44"/>
      <c r="J94" s="75" t="str">
        <f aca="false">IF($B94="","",IF($H94="按筐数×单价",N($E94),IF($H94="按总重KG×单价",N($F94),IF($H94="按吨位×单价",N($G94),0))))</f>
        <v/>
      </c>
      <c r="K94" s="41" t="str">
        <f aca="false">IF($B94="","",ROUND(N($J94)*N($I94),2))</f>
        <v/>
      </c>
      <c r="L94" s="42"/>
      <c r="M94" s="76"/>
      <c r="N94" s="43"/>
      <c r="R94" s="77" t="str">
        <f aca="false">IF($B94="","",$B94)</f>
        <v/>
      </c>
      <c r="S94" s="77" t="n">
        <f aca="false">IF($R94="",0,IF(MATCH($R94,$R$5:$R$904,0)=ROW()-4,1,0))</f>
        <v>0</v>
      </c>
      <c r="T94" s="77" t="n">
        <f aca="false">N(T93)+$S94</f>
        <v>18</v>
      </c>
      <c r="U94" s="77" t="str">
        <f aca="false">IFERROR(INDEX($B$5:$B$904,MATCH(90,$T$5:$T$904,0)),"")</f>
        <v/>
      </c>
    </row>
    <row r="95" customFormat="false" ht="13.5" hidden="false" customHeight="false" outlineLevel="0" collapsed="false">
      <c r="A95" s="9" t="str">
        <f aca="false">IF($B95="","",ROW()-4)</f>
        <v/>
      </c>
      <c r="B95" s="39" t="str">
        <f aca="false">IFERROR(INDEX(对接源_01入库吨位!$B$5:$B$304,MATCH(INT((ROW()-5)/3)+1,对接源_01入库吨位!$S$5:$S$304,0)),"")</f>
        <v/>
      </c>
      <c r="C95" s="39" t="str">
        <f aca="false">IFERROR(INDEX(对接源_01入库吨位!$C$5:$C$304,MATCH(INT((ROW()-5)/3)+1,对接源_01入库吨位!$S$5:$S$304,0)),"")</f>
        <v/>
      </c>
      <c r="D95" s="40" t="str">
        <f aca="false">IF($B95="","",IF(MOD(ROW()-5,3)=0,"周转打冷",IF(MOD(ROW()-5,3)=1,"仓储加工","装卸费")))</f>
        <v/>
      </c>
      <c r="E95" s="51" t="str">
        <f aca="false">IF($B95="","",IFERROR(IF($D95="周转打冷",N(INDEX(对接源_01入库吨位!$D$5:$D$304,MATCH(INT((ROW()-5)/3)+1,对接源_01入库吨位!$S$5:$S$304,0))),IF($D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5" s="41" t="str">
        <f aca="false">IF($B95="","",ROUND(IFERROR(IF($D95="周转打冷",N(INDEX(对接源_01入库吨位!$H$5:$H$304,MATCH(INT((ROW()-5)/3)+1,对接源_01入库吨位!$S$5:$S$304,0))),IF($D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5" s="52" t="str">
        <f aca="false">IF($B95="","",ROUND(N($F95)/1000,3))</f>
        <v/>
      </c>
      <c r="H95" s="74"/>
      <c r="I95" s="44"/>
      <c r="J95" s="75" t="str">
        <f aca="false">IF($B95="","",IF($H95="按筐数×单价",N($E95),IF($H95="按总重KG×单价",N($F95),IF($H95="按吨位×单价",N($G95),0))))</f>
        <v/>
      </c>
      <c r="K95" s="41" t="str">
        <f aca="false">IF($B95="","",ROUND(N($J95)*N($I95),2))</f>
        <v/>
      </c>
      <c r="L95" s="42"/>
      <c r="M95" s="76"/>
      <c r="N95" s="43"/>
      <c r="R95" s="77" t="str">
        <f aca="false">IF($B95="","",$B95)</f>
        <v/>
      </c>
      <c r="S95" s="77" t="n">
        <f aca="false">IF($R95="",0,IF(MATCH($R95,$R$5:$R$904,0)=ROW()-4,1,0))</f>
        <v>0</v>
      </c>
      <c r="T95" s="77" t="n">
        <f aca="false">N(T94)+$S95</f>
        <v>18</v>
      </c>
      <c r="U95" s="77" t="str">
        <f aca="false">IFERROR(INDEX($B$5:$B$904,MATCH(91,$T$5:$T$904,0)),"")</f>
        <v/>
      </c>
    </row>
    <row r="96" customFormat="false" ht="13.5" hidden="false" customHeight="false" outlineLevel="0" collapsed="false">
      <c r="A96" s="9" t="str">
        <f aca="false">IF($B96="","",ROW()-4)</f>
        <v/>
      </c>
      <c r="B96" s="39" t="str">
        <f aca="false">IFERROR(INDEX(对接源_01入库吨位!$B$5:$B$304,MATCH(INT((ROW()-5)/3)+1,对接源_01入库吨位!$S$5:$S$304,0)),"")</f>
        <v/>
      </c>
      <c r="C96" s="39" t="str">
        <f aca="false">IFERROR(INDEX(对接源_01入库吨位!$C$5:$C$304,MATCH(INT((ROW()-5)/3)+1,对接源_01入库吨位!$S$5:$S$304,0)),"")</f>
        <v/>
      </c>
      <c r="D96" s="40" t="str">
        <f aca="false">IF($B96="","",IF(MOD(ROW()-5,3)=0,"周转打冷",IF(MOD(ROW()-5,3)=1,"仓储加工","装卸费")))</f>
        <v/>
      </c>
      <c r="E96" s="51" t="str">
        <f aca="false">IF($B96="","",IFERROR(IF($D96="周转打冷",N(INDEX(对接源_01入库吨位!$D$5:$D$304,MATCH(INT((ROW()-5)/3)+1,对接源_01入库吨位!$S$5:$S$304,0))),IF($D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6" s="41" t="str">
        <f aca="false">IF($B96="","",ROUND(IFERROR(IF($D96="周转打冷",N(INDEX(对接源_01入库吨位!$H$5:$H$304,MATCH(INT((ROW()-5)/3)+1,对接源_01入库吨位!$S$5:$S$304,0))),IF($D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6" s="52" t="str">
        <f aca="false">IF($B96="","",ROUND(N($F96)/1000,3))</f>
        <v/>
      </c>
      <c r="H96" s="74"/>
      <c r="I96" s="44"/>
      <c r="J96" s="75" t="str">
        <f aca="false">IF($B96="","",IF($H96="按筐数×单价",N($E96),IF($H96="按总重KG×单价",N($F96),IF($H96="按吨位×单价",N($G96),0))))</f>
        <v/>
      </c>
      <c r="K96" s="41" t="str">
        <f aca="false">IF($B96="","",ROUND(N($J96)*N($I96),2))</f>
        <v/>
      </c>
      <c r="L96" s="42"/>
      <c r="M96" s="76"/>
      <c r="N96" s="43"/>
      <c r="R96" s="77" t="str">
        <f aca="false">IF($B96="","",$B96)</f>
        <v/>
      </c>
      <c r="S96" s="77" t="n">
        <f aca="false">IF($R96="",0,IF(MATCH($R96,$R$5:$R$904,0)=ROW()-4,1,0))</f>
        <v>0</v>
      </c>
      <c r="T96" s="77" t="n">
        <f aca="false">N(T95)+$S96</f>
        <v>18</v>
      </c>
      <c r="U96" s="77" t="str">
        <f aca="false">IFERROR(INDEX($B$5:$B$904,MATCH(92,$T$5:$T$904,0)),"")</f>
        <v/>
      </c>
    </row>
    <row r="97" customFormat="false" ht="13.5" hidden="false" customHeight="false" outlineLevel="0" collapsed="false">
      <c r="A97" s="9" t="str">
        <f aca="false">IF($B97="","",ROW()-4)</f>
        <v/>
      </c>
      <c r="B97" s="39" t="str">
        <f aca="false">IFERROR(INDEX(对接源_01入库吨位!$B$5:$B$304,MATCH(INT((ROW()-5)/3)+1,对接源_01入库吨位!$S$5:$S$304,0)),"")</f>
        <v/>
      </c>
      <c r="C97" s="39" t="str">
        <f aca="false">IFERROR(INDEX(对接源_01入库吨位!$C$5:$C$304,MATCH(INT((ROW()-5)/3)+1,对接源_01入库吨位!$S$5:$S$304,0)),"")</f>
        <v/>
      </c>
      <c r="D97" s="40" t="str">
        <f aca="false">IF($B97="","",IF(MOD(ROW()-5,3)=0,"周转打冷",IF(MOD(ROW()-5,3)=1,"仓储加工","装卸费")))</f>
        <v/>
      </c>
      <c r="E97" s="51" t="str">
        <f aca="false">IF($B97="","",IFERROR(IF($D97="周转打冷",N(INDEX(对接源_01入库吨位!$D$5:$D$304,MATCH(INT((ROW()-5)/3)+1,对接源_01入库吨位!$S$5:$S$304,0))),IF($D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7" s="41" t="str">
        <f aca="false">IF($B97="","",ROUND(IFERROR(IF($D97="周转打冷",N(INDEX(对接源_01入库吨位!$H$5:$H$304,MATCH(INT((ROW()-5)/3)+1,对接源_01入库吨位!$S$5:$S$304,0))),IF($D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7" s="52" t="str">
        <f aca="false">IF($B97="","",ROUND(N($F97)/1000,3))</f>
        <v/>
      </c>
      <c r="H97" s="74"/>
      <c r="I97" s="44"/>
      <c r="J97" s="75" t="str">
        <f aca="false">IF($B97="","",IF($H97="按筐数×单价",N($E97),IF($H97="按总重KG×单价",N($F97),IF($H97="按吨位×单价",N($G97),0))))</f>
        <v/>
      </c>
      <c r="K97" s="41" t="str">
        <f aca="false">IF($B97="","",ROUND(N($J97)*N($I97),2))</f>
        <v/>
      </c>
      <c r="L97" s="42"/>
      <c r="M97" s="76"/>
      <c r="N97" s="43"/>
      <c r="R97" s="77" t="str">
        <f aca="false">IF($B97="","",$B97)</f>
        <v/>
      </c>
      <c r="S97" s="77" t="n">
        <f aca="false">IF($R97="",0,IF(MATCH($R97,$R$5:$R$904,0)=ROW()-4,1,0))</f>
        <v>0</v>
      </c>
      <c r="T97" s="77" t="n">
        <f aca="false">N(T96)+$S97</f>
        <v>18</v>
      </c>
      <c r="U97" s="77" t="str">
        <f aca="false">IFERROR(INDEX($B$5:$B$904,MATCH(93,$T$5:$T$904,0)),"")</f>
        <v/>
      </c>
    </row>
    <row r="98" customFormat="false" ht="13.5" hidden="false" customHeight="false" outlineLevel="0" collapsed="false">
      <c r="A98" s="9" t="str">
        <f aca="false">IF($B98="","",ROW()-4)</f>
        <v/>
      </c>
      <c r="B98" s="39" t="str">
        <f aca="false">IFERROR(INDEX(对接源_01入库吨位!$B$5:$B$304,MATCH(INT((ROW()-5)/3)+1,对接源_01入库吨位!$S$5:$S$304,0)),"")</f>
        <v/>
      </c>
      <c r="C98" s="39" t="str">
        <f aca="false">IFERROR(INDEX(对接源_01入库吨位!$C$5:$C$304,MATCH(INT((ROW()-5)/3)+1,对接源_01入库吨位!$S$5:$S$304,0)),"")</f>
        <v/>
      </c>
      <c r="D98" s="40" t="str">
        <f aca="false">IF($B98="","",IF(MOD(ROW()-5,3)=0,"周转打冷",IF(MOD(ROW()-5,3)=1,"仓储加工","装卸费")))</f>
        <v/>
      </c>
      <c r="E98" s="51" t="str">
        <f aca="false">IF($B98="","",IFERROR(IF($D98="周转打冷",N(INDEX(对接源_01入库吨位!$D$5:$D$304,MATCH(INT((ROW()-5)/3)+1,对接源_01入库吨位!$S$5:$S$304,0))),IF($D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8" s="41" t="str">
        <f aca="false">IF($B98="","",ROUND(IFERROR(IF($D98="周转打冷",N(INDEX(对接源_01入库吨位!$H$5:$H$304,MATCH(INT((ROW()-5)/3)+1,对接源_01入库吨位!$S$5:$S$304,0))),IF($D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8" s="52" t="str">
        <f aca="false">IF($B98="","",ROUND(N($F98)/1000,3))</f>
        <v/>
      </c>
      <c r="H98" s="74"/>
      <c r="I98" s="44"/>
      <c r="J98" s="75" t="str">
        <f aca="false">IF($B98="","",IF($H98="按筐数×单价",N($E98),IF($H98="按总重KG×单价",N($F98),IF($H98="按吨位×单价",N($G98),0))))</f>
        <v/>
      </c>
      <c r="K98" s="41" t="str">
        <f aca="false">IF($B98="","",ROUND(N($J98)*N($I98),2))</f>
        <v/>
      </c>
      <c r="L98" s="42"/>
      <c r="M98" s="76"/>
      <c r="N98" s="43"/>
      <c r="R98" s="77" t="str">
        <f aca="false">IF($B98="","",$B98)</f>
        <v/>
      </c>
      <c r="S98" s="77" t="n">
        <f aca="false">IF($R98="",0,IF(MATCH($R98,$R$5:$R$904,0)=ROW()-4,1,0))</f>
        <v>0</v>
      </c>
      <c r="T98" s="77" t="n">
        <f aca="false">N(T97)+$S98</f>
        <v>18</v>
      </c>
      <c r="U98" s="77" t="str">
        <f aca="false">IFERROR(INDEX($B$5:$B$904,MATCH(94,$T$5:$T$904,0)),"")</f>
        <v/>
      </c>
    </row>
    <row r="99" customFormat="false" ht="13.5" hidden="false" customHeight="false" outlineLevel="0" collapsed="false">
      <c r="A99" s="9" t="str">
        <f aca="false">IF($B99="","",ROW()-4)</f>
        <v/>
      </c>
      <c r="B99" s="39" t="str">
        <f aca="false">IFERROR(INDEX(对接源_01入库吨位!$B$5:$B$304,MATCH(INT((ROW()-5)/3)+1,对接源_01入库吨位!$S$5:$S$304,0)),"")</f>
        <v/>
      </c>
      <c r="C99" s="39" t="str">
        <f aca="false">IFERROR(INDEX(对接源_01入库吨位!$C$5:$C$304,MATCH(INT((ROW()-5)/3)+1,对接源_01入库吨位!$S$5:$S$304,0)),"")</f>
        <v/>
      </c>
      <c r="D99" s="40" t="str">
        <f aca="false">IF($B99="","",IF(MOD(ROW()-5,3)=0,"周转打冷",IF(MOD(ROW()-5,3)=1,"仓储加工","装卸费")))</f>
        <v/>
      </c>
      <c r="E99" s="51" t="str">
        <f aca="false">IF($B99="","",IFERROR(IF($D99="周转打冷",N(INDEX(对接源_01入库吨位!$D$5:$D$304,MATCH(INT((ROW()-5)/3)+1,对接源_01入库吨位!$S$5:$S$304,0))),IF($D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9" s="41" t="str">
        <f aca="false">IF($B99="","",ROUND(IFERROR(IF($D99="周转打冷",N(INDEX(对接源_01入库吨位!$H$5:$H$304,MATCH(INT((ROW()-5)/3)+1,对接源_01入库吨位!$S$5:$S$304,0))),IF($D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9" s="52" t="str">
        <f aca="false">IF($B99="","",ROUND(N($F99)/1000,3))</f>
        <v/>
      </c>
      <c r="H99" s="74"/>
      <c r="I99" s="44"/>
      <c r="J99" s="75" t="str">
        <f aca="false">IF($B99="","",IF($H99="按筐数×单价",N($E99),IF($H99="按总重KG×单价",N($F99),IF($H99="按吨位×单价",N($G99),0))))</f>
        <v/>
      </c>
      <c r="K99" s="41" t="str">
        <f aca="false">IF($B99="","",ROUND(N($J99)*N($I99),2))</f>
        <v/>
      </c>
      <c r="L99" s="42"/>
      <c r="M99" s="76"/>
      <c r="N99" s="43"/>
      <c r="R99" s="77" t="str">
        <f aca="false">IF($B99="","",$B99)</f>
        <v/>
      </c>
      <c r="S99" s="77" t="n">
        <f aca="false">IF($R99="",0,IF(MATCH($R99,$R$5:$R$904,0)=ROW()-4,1,0))</f>
        <v>0</v>
      </c>
      <c r="T99" s="77" t="n">
        <f aca="false">N(T98)+$S99</f>
        <v>18</v>
      </c>
      <c r="U99" s="77" t="str">
        <f aca="false">IFERROR(INDEX($B$5:$B$904,MATCH(95,$T$5:$T$904,0)),"")</f>
        <v/>
      </c>
    </row>
    <row r="100" customFormat="false" ht="13.5" hidden="false" customHeight="false" outlineLevel="0" collapsed="false">
      <c r="A100" s="9" t="str">
        <f aca="false">IF($B100="","",ROW()-4)</f>
        <v/>
      </c>
      <c r="B100" s="39" t="str">
        <f aca="false">IFERROR(INDEX(对接源_01入库吨位!$B$5:$B$304,MATCH(INT((ROW()-5)/3)+1,对接源_01入库吨位!$S$5:$S$304,0)),"")</f>
        <v/>
      </c>
      <c r="C100" s="39" t="str">
        <f aca="false">IFERROR(INDEX(对接源_01入库吨位!$C$5:$C$304,MATCH(INT((ROW()-5)/3)+1,对接源_01入库吨位!$S$5:$S$304,0)),"")</f>
        <v/>
      </c>
      <c r="D100" s="40" t="str">
        <f aca="false">IF($B100="","",IF(MOD(ROW()-5,3)=0,"周转打冷",IF(MOD(ROW()-5,3)=1,"仓储加工","装卸费")))</f>
        <v/>
      </c>
      <c r="E100" s="51" t="str">
        <f aca="false">IF($B100="","",IFERROR(IF($D100="周转打冷",N(INDEX(对接源_01入库吨位!$D$5:$D$304,MATCH(INT((ROW()-5)/3)+1,对接源_01入库吨位!$S$5:$S$304,0))),IF($D100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0" s="41" t="str">
        <f aca="false">IF($B100="","",ROUND(IFERROR(IF($D100="周转打冷",N(INDEX(对接源_01入库吨位!$H$5:$H$304,MATCH(INT((ROW()-5)/3)+1,对接源_01入库吨位!$S$5:$S$304,0))),IF($D100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0" s="52" t="str">
        <f aca="false">IF($B100="","",ROUND(N($F100)/1000,3))</f>
        <v/>
      </c>
      <c r="H100" s="74"/>
      <c r="I100" s="44"/>
      <c r="J100" s="75" t="str">
        <f aca="false">IF($B100="","",IF($H100="按筐数×单价",N($E100),IF($H100="按总重KG×单价",N($F100),IF($H100="按吨位×单价",N($G100),0))))</f>
        <v/>
      </c>
      <c r="K100" s="41" t="str">
        <f aca="false">IF($B100="","",ROUND(N($J100)*N($I100),2))</f>
        <v/>
      </c>
      <c r="L100" s="42"/>
      <c r="M100" s="76"/>
      <c r="N100" s="43"/>
      <c r="R100" s="77" t="str">
        <f aca="false">IF($B100="","",$B100)</f>
        <v/>
      </c>
      <c r="S100" s="77" t="n">
        <f aca="false">IF($R100="",0,IF(MATCH($R100,$R$5:$R$904,0)=ROW()-4,1,0))</f>
        <v>0</v>
      </c>
      <c r="T100" s="77" t="n">
        <f aca="false">N(T99)+$S100</f>
        <v>18</v>
      </c>
      <c r="U100" s="77" t="str">
        <f aca="false">IFERROR(INDEX($B$5:$B$904,MATCH(96,$T$5:$T$904,0)),"")</f>
        <v/>
      </c>
    </row>
    <row r="101" customFormat="false" ht="13.5" hidden="false" customHeight="false" outlineLevel="0" collapsed="false">
      <c r="A101" s="9" t="str">
        <f aca="false">IF($B101="","",ROW()-4)</f>
        <v/>
      </c>
      <c r="B101" s="39" t="str">
        <f aca="false">IFERROR(INDEX(对接源_01入库吨位!$B$5:$B$304,MATCH(INT((ROW()-5)/3)+1,对接源_01入库吨位!$S$5:$S$304,0)),"")</f>
        <v/>
      </c>
      <c r="C101" s="39" t="str">
        <f aca="false">IFERROR(INDEX(对接源_01入库吨位!$C$5:$C$304,MATCH(INT((ROW()-5)/3)+1,对接源_01入库吨位!$S$5:$S$304,0)),"")</f>
        <v/>
      </c>
      <c r="D101" s="40" t="str">
        <f aca="false">IF($B101="","",IF(MOD(ROW()-5,3)=0,"周转打冷",IF(MOD(ROW()-5,3)=1,"仓储加工","装卸费")))</f>
        <v/>
      </c>
      <c r="E101" s="51" t="str">
        <f aca="false">IF($B101="","",IFERROR(IF($D101="周转打冷",N(INDEX(对接源_01入库吨位!$D$5:$D$304,MATCH(INT((ROW()-5)/3)+1,对接源_01入库吨位!$S$5:$S$304,0))),IF($D101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1" s="41" t="str">
        <f aca="false">IF($B101="","",ROUND(IFERROR(IF($D101="周转打冷",N(INDEX(对接源_01入库吨位!$H$5:$H$304,MATCH(INT((ROW()-5)/3)+1,对接源_01入库吨位!$S$5:$S$304,0))),IF($D101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1" s="52" t="str">
        <f aca="false">IF($B101="","",ROUND(N($F101)/1000,3))</f>
        <v/>
      </c>
      <c r="H101" s="74"/>
      <c r="I101" s="44"/>
      <c r="J101" s="75" t="str">
        <f aca="false">IF($B101="","",IF($H101="按筐数×单价",N($E101),IF($H101="按总重KG×单价",N($F101),IF($H101="按吨位×单价",N($G101),0))))</f>
        <v/>
      </c>
      <c r="K101" s="41" t="str">
        <f aca="false">IF($B101="","",ROUND(N($J101)*N($I101),2))</f>
        <v/>
      </c>
      <c r="L101" s="42"/>
      <c r="M101" s="76"/>
      <c r="N101" s="43"/>
      <c r="R101" s="77" t="str">
        <f aca="false">IF($B101="","",$B101)</f>
        <v/>
      </c>
      <c r="S101" s="77" t="n">
        <f aca="false">IF($R101="",0,IF(MATCH($R101,$R$5:$R$904,0)=ROW()-4,1,0))</f>
        <v>0</v>
      </c>
      <c r="T101" s="77" t="n">
        <f aca="false">N(T100)+$S101</f>
        <v>18</v>
      </c>
      <c r="U101" s="77" t="str">
        <f aca="false">IFERROR(INDEX($B$5:$B$904,MATCH(97,$T$5:$T$904,0)),"")</f>
        <v/>
      </c>
    </row>
    <row r="102" customFormat="false" ht="13.5" hidden="false" customHeight="false" outlineLevel="0" collapsed="false">
      <c r="A102" s="9" t="str">
        <f aca="false">IF($B102="","",ROW()-4)</f>
        <v/>
      </c>
      <c r="B102" s="39" t="str">
        <f aca="false">IFERROR(INDEX(对接源_01入库吨位!$B$5:$B$304,MATCH(INT((ROW()-5)/3)+1,对接源_01入库吨位!$S$5:$S$304,0)),"")</f>
        <v/>
      </c>
      <c r="C102" s="39" t="str">
        <f aca="false">IFERROR(INDEX(对接源_01入库吨位!$C$5:$C$304,MATCH(INT((ROW()-5)/3)+1,对接源_01入库吨位!$S$5:$S$304,0)),"")</f>
        <v/>
      </c>
      <c r="D102" s="40" t="str">
        <f aca="false">IF($B102="","",IF(MOD(ROW()-5,3)=0,"周转打冷",IF(MOD(ROW()-5,3)=1,"仓储加工","装卸费")))</f>
        <v/>
      </c>
      <c r="E102" s="51" t="str">
        <f aca="false">IF($B102="","",IFERROR(IF($D102="周转打冷",N(INDEX(对接源_01入库吨位!$D$5:$D$304,MATCH(INT((ROW()-5)/3)+1,对接源_01入库吨位!$S$5:$S$304,0))),IF($D102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2" s="41" t="str">
        <f aca="false">IF($B102="","",ROUND(IFERROR(IF($D102="周转打冷",N(INDEX(对接源_01入库吨位!$H$5:$H$304,MATCH(INT((ROW()-5)/3)+1,对接源_01入库吨位!$S$5:$S$304,0))),IF($D102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2" s="52" t="str">
        <f aca="false">IF($B102="","",ROUND(N($F102)/1000,3))</f>
        <v/>
      </c>
      <c r="H102" s="74"/>
      <c r="I102" s="44"/>
      <c r="J102" s="75" t="str">
        <f aca="false">IF($B102="","",IF($H102="按筐数×单价",N($E102),IF($H102="按总重KG×单价",N($F102),IF($H102="按吨位×单价",N($G102),0))))</f>
        <v/>
      </c>
      <c r="K102" s="41" t="str">
        <f aca="false">IF($B102="","",ROUND(N($J102)*N($I102),2))</f>
        <v/>
      </c>
      <c r="L102" s="42"/>
      <c r="M102" s="76"/>
      <c r="N102" s="43"/>
      <c r="R102" s="77" t="str">
        <f aca="false">IF($B102="","",$B102)</f>
        <v/>
      </c>
      <c r="S102" s="77" t="n">
        <f aca="false">IF($R102="",0,IF(MATCH($R102,$R$5:$R$904,0)=ROW()-4,1,0))</f>
        <v>0</v>
      </c>
      <c r="T102" s="77" t="n">
        <f aca="false">N(T101)+$S102</f>
        <v>18</v>
      </c>
      <c r="U102" s="77" t="str">
        <f aca="false">IFERROR(INDEX($B$5:$B$904,MATCH(98,$T$5:$T$904,0)),"")</f>
        <v/>
      </c>
    </row>
    <row r="103" customFormat="false" ht="13.5" hidden="false" customHeight="false" outlineLevel="0" collapsed="false">
      <c r="A103" s="9" t="str">
        <f aca="false">IF($B103="","",ROW()-4)</f>
        <v/>
      </c>
      <c r="B103" s="39" t="str">
        <f aca="false">IFERROR(INDEX(对接源_01入库吨位!$B$5:$B$304,MATCH(INT((ROW()-5)/3)+1,对接源_01入库吨位!$S$5:$S$304,0)),"")</f>
        <v/>
      </c>
      <c r="C103" s="39" t="str">
        <f aca="false">IFERROR(INDEX(对接源_01入库吨位!$C$5:$C$304,MATCH(INT((ROW()-5)/3)+1,对接源_01入库吨位!$S$5:$S$304,0)),"")</f>
        <v/>
      </c>
      <c r="D103" s="40" t="str">
        <f aca="false">IF($B103="","",IF(MOD(ROW()-5,3)=0,"周转打冷",IF(MOD(ROW()-5,3)=1,"仓储加工","装卸费")))</f>
        <v/>
      </c>
      <c r="E103" s="51" t="str">
        <f aca="false">IF($B103="","",IFERROR(IF($D103="周转打冷",N(INDEX(对接源_01入库吨位!$D$5:$D$304,MATCH(INT((ROW()-5)/3)+1,对接源_01入库吨位!$S$5:$S$304,0))),IF($D103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3" s="41" t="str">
        <f aca="false">IF($B103="","",ROUND(IFERROR(IF($D103="周转打冷",N(INDEX(对接源_01入库吨位!$H$5:$H$304,MATCH(INT((ROW()-5)/3)+1,对接源_01入库吨位!$S$5:$S$304,0))),IF($D103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3" s="52" t="str">
        <f aca="false">IF($B103="","",ROUND(N($F103)/1000,3))</f>
        <v/>
      </c>
      <c r="H103" s="74"/>
      <c r="I103" s="44"/>
      <c r="J103" s="75" t="str">
        <f aca="false">IF($B103="","",IF($H103="按筐数×单价",N($E103),IF($H103="按总重KG×单价",N($F103),IF($H103="按吨位×单价",N($G103),0))))</f>
        <v/>
      </c>
      <c r="K103" s="41" t="str">
        <f aca="false">IF($B103="","",ROUND(N($J103)*N($I103),2))</f>
        <v/>
      </c>
      <c r="L103" s="42"/>
      <c r="M103" s="76"/>
      <c r="N103" s="43"/>
      <c r="R103" s="77" t="str">
        <f aca="false">IF($B103="","",$B103)</f>
        <v/>
      </c>
      <c r="S103" s="77" t="n">
        <f aca="false">IF($R103="",0,IF(MATCH($R103,$R$5:$R$904,0)=ROW()-4,1,0))</f>
        <v>0</v>
      </c>
      <c r="T103" s="77" t="n">
        <f aca="false">N(T102)+$S103</f>
        <v>18</v>
      </c>
      <c r="U103" s="77" t="str">
        <f aca="false">IFERROR(INDEX($B$5:$B$904,MATCH(99,$T$5:$T$904,0)),"")</f>
        <v/>
      </c>
    </row>
    <row r="104" customFormat="false" ht="13.5" hidden="false" customHeight="false" outlineLevel="0" collapsed="false">
      <c r="A104" s="9" t="str">
        <f aca="false">IF($B104="","",ROW()-4)</f>
        <v/>
      </c>
      <c r="B104" s="39" t="str">
        <f aca="false">IFERROR(INDEX(对接源_01入库吨位!$B$5:$B$304,MATCH(INT((ROW()-5)/3)+1,对接源_01入库吨位!$S$5:$S$304,0)),"")</f>
        <v/>
      </c>
      <c r="C104" s="39" t="str">
        <f aca="false">IFERROR(INDEX(对接源_01入库吨位!$C$5:$C$304,MATCH(INT((ROW()-5)/3)+1,对接源_01入库吨位!$S$5:$S$304,0)),"")</f>
        <v/>
      </c>
      <c r="D104" s="40" t="str">
        <f aca="false">IF($B104="","",IF(MOD(ROW()-5,3)=0,"周转打冷",IF(MOD(ROW()-5,3)=1,"仓储加工","装卸费")))</f>
        <v/>
      </c>
      <c r="E104" s="51" t="str">
        <f aca="false">IF($B104="","",IFERROR(IF($D104="周转打冷",N(INDEX(对接源_01入库吨位!$D$5:$D$304,MATCH(INT((ROW()-5)/3)+1,对接源_01入库吨位!$S$5:$S$304,0))),IF($D104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4" s="41" t="str">
        <f aca="false">IF($B104="","",ROUND(IFERROR(IF($D104="周转打冷",N(INDEX(对接源_01入库吨位!$H$5:$H$304,MATCH(INT((ROW()-5)/3)+1,对接源_01入库吨位!$S$5:$S$304,0))),IF($D104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4" s="52" t="str">
        <f aca="false">IF($B104="","",ROUND(N($F104)/1000,3))</f>
        <v/>
      </c>
      <c r="H104" s="74"/>
      <c r="I104" s="44"/>
      <c r="J104" s="75" t="str">
        <f aca="false">IF($B104="","",IF($H104="按筐数×单价",N($E104),IF($H104="按总重KG×单价",N($F104),IF($H104="按吨位×单价",N($G104),0))))</f>
        <v/>
      </c>
      <c r="K104" s="41" t="str">
        <f aca="false">IF($B104="","",ROUND(N($J104)*N($I104),2))</f>
        <v/>
      </c>
      <c r="L104" s="42"/>
      <c r="M104" s="76"/>
      <c r="N104" s="43"/>
      <c r="R104" s="77" t="str">
        <f aca="false">IF($B104="","",$B104)</f>
        <v/>
      </c>
      <c r="S104" s="77" t="n">
        <f aca="false">IF($R104="",0,IF(MATCH($R104,$R$5:$R$904,0)=ROW()-4,1,0))</f>
        <v>0</v>
      </c>
      <c r="T104" s="77" t="n">
        <f aca="false">N(T103)+$S104</f>
        <v>18</v>
      </c>
      <c r="U104" s="77" t="str">
        <f aca="false">IFERROR(INDEX($B$5:$B$904,MATCH(100,$T$5:$T$904,0)),"")</f>
        <v/>
      </c>
    </row>
    <row r="105" customFormat="false" ht="13.5" hidden="false" customHeight="false" outlineLevel="0" collapsed="false">
      <c r="A105" s="9" t="str">
        <f aca="false">IF($B105="","",ROW()-4)</f>
        <v/>
      </c>
      <c r="B105" s="39" t="str">
        <f aca="false">IFERROR(INDEX(对接源_01入库吨位!$B$5:$B$304,MATCH(INT((ROW()-5)/3)+1,对接源_01入库吨位!$S$5:$S$304,0)),"")</f>
        <v/>
      </c>
      <c r="C105" s="39" t="str">
        <f aca="false">IFERROR(INDEX(对接源_01入库吨位!$C$5:$C$304,MATCH(INT((ROW()-5)/3)+1,对接源_01入库吨位!$S$5:$S$304,0)),"")</f>
        <v/>
      </c>
      <c r="D105" s="40" t="str">
        <f aca="false">IF($B105="","",IF(MOD(ROW()-5,3)=0,"周转打冷",IF(MOD(ROW()-5,3)=1,"仓储加工","装卸费")))</f>
        <v/>
      </c>
      <c r="E105" s="51" t="str">
        <f aca="false">IF($B105="","",IFERROR(IF($D105="周转打冷",N(INDEX(对接源_01入库吨位!$D$5:$D$304,MATCH(INT((ROW()-5)/3)+1,对接源_01入库吨位!$S$5:$S$304,0))),IF($D105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5" s="41" t="str">
        <f aca="false">IF($B105="","",ROUND(IFERROR(IF($D105="周转打冷",N(INDEX(对接源_01入库吨位!$H$5:$H$304,MATCH(INT((ROW()-5)/3)+1,对接源_01入库吨位!$S$5:$S$304,0))),IF($D105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5" s="52" t="str">
        <f aca="false">IF($B105="","",ROUND(N($F105)/1000,3))</f>
        <v/>
      </c>
      <c r="H105" s="74"/>
      <c r="I105" s="44"/>
      <c r="J105" s="75" t="str">
        <f aca="false">IF($B105="","",IF($H105="按筐数×单价",N($E105),IF($H105="按总重KG×单价",N($F105),IF($H105="按吨位×单价",N($G105),0))))</f>
        <v/>
      </c>
      <c r="K105" s="41" t="str">
        <f aca="false">IF($B105="","",ROUND(N($J105)*N($I105),2))</f>
        <v/>
      </c>
      <c r="L105" s="42"/>
      <c r="M105" s="76"/>
      <c r="N105" s="43"/>
      <c r="R105" s="77" t="str">
        <f aca="false">IF($B105="","",$B105)</f>
        <v/>
      </c>
      <c r="S105" s="77" t="n">
        <f aca="false">IF($R105="",0,IF(MATCH($R105,$R$5:$R$904,0)=ROW()-4,1,0))</f>
        <v>0</v>
      </c>
      <c r="T105" s="77" t="n">
        <f aca="false">N(T104)+$S105</f>
        <v>18</v>
      </c>
      <c r="U105" s="77" t="str">
        <f aca="false">IFERROR(INDEX($B$5:$B$904,MATCH(101,$T$5:$T$904,0)),"")</f>
        <v/>
      </c>
    </row>
    <row r="106" customFormat="false" ht="13.5" hidden="false" customHeight="false" outlineLevel="0" collapsed="false">
      <c r="A106" s="9" t="str">
        <f aca="false">IF($B106="","",ROW()-4)</f>
        <v/>
      </c>
      <c r="B106" s="39" t="str">
        <f aca="false">IFERROR(INDEX(对接源_01入库吨位!$B$5:$B$304,MATCH(INT((ROW()-5)/3)+1,对接源_01入库吨位!$S$5:$S$304,0)),"")</f>
        <v/>
      </c>
      <c r="C106" s="39" t="str">
        <f aca="false">IFERROR(INDEX(对接源_01入库吨位!$C$5:$C$304,MATCH(INT((ROW()-5)/3)+1,对接源_01入库吨位!$S$5:$S$304,0)),"")</f>
        <v/>
      </c>
      <c r="D106" s="40" t="str">
        <f aca="false">IF($B106="","",IF(MOD(ROW()-5,3)=0,"周转打冷",IF(MOD(ROW()-5,3)=1,"仓储加工","装卸费")))</f>
        <v/>
      </c>
      <c r="E106" s="51" t="str">
        <f aca="false">IF($B106="","",IFERROR(IF($D106="周转打冷",N(INDEX(对接源_01入库吨位!$D$5:$D$304,MATCH(INT((ROW()-5)/3)+1,对接源_01入库吨位!$S$5:$S$304,0))),IF($D106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6" s="41" t="str">
        <f aca="false">IF($B106="","",ROUND(IFERROR(IF($D106="周转打冷",N(INDEX(对接源_01入库吨位!$H$5:$H$304,MATCH(INT((ROW()-5)/3)+1,对接源_01入库吨位!$S$5:$S$304,0))),IF($D106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6" s="52" t="str">
        <f aca="false">IF($B106="","",ROUND(N($F106)/1000,3))</f>
        <v/>
      </c>
      <c r="H106" s="74"/>
      <c r="I106" s="44"/>
      <c r="J106" s="75" t="str">
        <f aca="false">IF($B106="","",IF($H106="按筐数×单价",N($E106),IF($H106="按总重KG×单价",N($F106),IF($H106="按吨位×单价",N($G106),0))))</f>
        <v/>
      </c>
      <c r="K106" s="41" t="str">
        <f aca="false">IF($B106="","",ROUND(N($J106)*N($I106),2))</f>
        <v/>
      </c>
      <c r="L106" s="42"/>
      <c r="M106" s="76"/>
      <c r="N106" s="43"/>
      <c r="R106" s="77" t="str">
        <f aca="false">IF($B106="","",$B106)</f>
        <v/>
      </c>
      <c r="S106" s="77" t="n">
        <f aca="false">IF($R106="",0,IF(MATCH($R106,$R$5:$R$904,0)=ROW()-4,1,0))</f>
        <v>0</v>
      </c>
      <c r="T106" s="77" t="n">
        <f aca="false">N(T105)+$S106</f>
        <v>18</v>
      </c>
      <c r="U106" s="77" t="str">
        <f aca="false">IFERROR(INDEX($B$5:$B$904,MATCH(102,$T$5:$T$904,0)),"")</f>
        <v/>
      </c>
    </row>
    <row r="107" customFormat="false" ht="13.5" hidden="false" customHeight="false" outlineLevel="0" collapsed="false">
      <c r="A107" s="9" t="str">
        <f aca="false">IF($B107="","",ROW()-4)</f>
        <v/>
      </c>
      <c r="B107" s="39" t="str">
        <f aca="false">IFERROR(INDEX(对接源_01入库吨位!$B$5:$B$304,MATCH(INT((ROW()-5)/3)+1,对接源_01入库吨位!$S$5:$S$304,0)),"")</f>
        <v/>
      </c>
      <c r="C107" s="39" t="str">
        <f aca="false">IFERROR(INDEX(对接源_01入库吨位!$C$5:$C$304,MATCH(INT((ROW()-5)/3)+1,对接源_01入库吨位!$S$5:$S$304,0)),"")</f>
        <v/>
      </c>
      <c r="D107" s="40" t="str">
        <f aca="false">IF($B107="","",IF(MOD(ROW()-5,3)=0,"周转打冷",IF(MOD(ROW()-5,3)=1,"仓储加工","装卸费")))</f>
        <v/>
      </c>
      <c r="E107" s="51" t="str">
        <f aca="false">IF($B107="","",IFERROR(IF($D107="周转打冷",N(INDEX(对接源_01入库吨位!$D$5:$D$304,MATCH(INT((ROW()-5)/3)+1,对接源_01入库吨位!$S$5:$S$304,0))),IF($D107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7" s="41" t="str">
        <f aca="false">IF($B107="","",ROUND(IFERROR(IF($D107="周转打冷",N(INDEX(对接源_01入库吨位!$H$5:$H$304,MATCH(INT((ROW()-5)/3)+1,对接源_01入库吨位!$S$5:$S$304,0))),IF($D107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7" s="52" t="str">
        <f aca="false">IF($B107="","",ROUND(N($F107)/1000,3))</f>
        <v/>
      </c>
      <c r="H107" s="74"/>
      <c r="I107" s="44"/>
      <c r="J107" s="75" t="str">
        <f aca="false">IF($B107="","",IF($H107="按筐数×单价",N($E107),IF($H107="按总重KG×单价",N($F107),IF($H107="按吨位×单价",N($G107),0))))</f>
        <v/>
      </c>
      <c r="K107" s="41" t="str">
        <f aca="false">IF($B107="","",ROUND(N($J107)*N($I107),2))</f>
        <v/>
      </c>
      <c r="L107" s="42"/>
      <c r="M107" s="76"/>
      <c r="N107" s="43"/>
      <c r="R107" s="77" t="str">
        <f aca="false">IF($B107="","",$B107)</f>
        <v/>
      </c>
      <c r="S107" s="77" t="n">
        <f aca="false">IF($R107="",0,IF(MATCH($R107,$R$5:$R$904,0)=ROW()-4,1,0))</f>
        <v>0</v>
      </c>
      <c r="T107" s="77" t="n">
        <f aca="false">N(T106)+$S107</f>
        <v>18</v>
      </c>
      <c r="U107" s="77" t="str">
        <f aca="false">IFERROR(INDEX($B$5:$B$904,MATCH(103,$T$5:$T$904,0)),"")</f>
        <v/>
      </c>
    </row>
    <row r="108" customFormat="false" ht="13.5" hidden="false" customHeight="false" outlineLevel="0" collapsed="false">
      <c r="A108" s="9" t="str">
        <f aca="false">IF($B108="","",ROW()-4)</f>
        <v/>
      </c>
      <c r="B108" s="39" t="str">
        <f aca="false">IFERROR(INDEX(对接源_01入库吨位!$B$5:$B$304,MATCH(INT((ROW()-5)/3)+1,对接源_01入库吨位!$S$5:$S$304,0)),"")</f>
        <v/>
      </c>
      <c r="C108" s="39" t="str">
        <f aca="false">IFERROR(INDEX(对接源_01入库吨位!$C$5:$C$304,MATCH(INT((ROW()-5)/3)+1,对接源_01入库吨位!$S$5:$S$304,0)),"")</f>
        <v/>
      </c>
      <c r="D108" s="40" t="str">
        <f aca="false">IF($B108="","",IF(MOD(ROW()-5,3)=0,"周转打冷",IF(MOD(ROW()-5,3)=1,"仓储加工","装卸费")))</f>
        <v/>
      </c>
      <c r="E108" s="51" t="str">
        <f aca="false">IF($B108="","",IFERROR(IF($D108="周转打冷",N(INDEX(对接源_01入库吨位!$D$5:$D$304,MATCH(INT((ROW()-5)/3)+1,对接源_01入库吨位!$S$5:$S$304,0))),IF($D108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8" s="41" t="str">
        <f aca="false">IF($B108="","",ROUND(IFERROR(IF($D108="周转打冷",N(INDEX(对接源_01入库吨位!$H$5:$H$304,MATCH(INT((ROW()-5)/3)+1,对接源_01入库吨位!$S$5:$S$304,0))),IF($D108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8" s="52" t="str">
        <f aca="false">IF($B108="","",ROUND(N($F108)/1000,3))</f>
        <v/>
      </c>
      <c r="H108" s="74"/>
      <c r="I108" s="44"/>
      <c r="J108" s="75" t="str">
        <f aca="false">IF($B108="","",IF($H108="按筐数×单价",N($E108),IF($H108="按总重KG×单价",N($F108),IF($H108="按吨位×单价",N($G108),0))))</f>
        <v/>
      </c>
      <c r="K108" s="41" t="str">
        <f aca="false">IF($B108="","",ROUND(N($J108)*N($I108),2))</f>
        <v/>
      </c>
      <c r="L108" s="42"/>
      <c r="M108" s="76"/>
      <c r="N108" s="43"/>
      <c r="R108" s="77" t="str">
        <f aca="false">IF($B108="","",$B108)</f>
        <v/>
      </c>
      <c r="S108" s="77" t="n">
        <f aca="false">IF($R108="",0,IF(MATCH($R108,$R$5:$R$904,0)=ROW()-4,1,0))</f>
        <v>0</v>
      </c>
      <c r="T108" s="77" t="n">
        <f aca="false">N(T107)+$S108</f>
        <v>18</v>
      </c>
      <c r="U108" s="77" t="str">
        <f aca="false">IFERROR(INDEX($B$5:$B$904,MATCH(104,$T$5:$T$904,0)),"")</f>
        <v/>
      </c>
    </row>
    <row r="109" customFormat="false" ht="13.5" hidden="false" customHeight="false" outlineLevel="0" collapsed="false">
      <c r="A109" s="9" t="str">
        <f aca="false">IF($B109="","",ROW()-4)</f>
        <v/>
      </c>
      <c r="B109" s="39" t="str">
        <f aca="false">IFERROR(INDEX(对接源_01入库吨位!$B$5:$B$304,MATCH(INT((ROW()-5)/3)+1,对接源_01入库吨位!$S$5:$S$304,0)),"")</f>
        <v/>
      </c>
      <c r="C109" s="39" t="str">
        <f aca="false">IFERROR(INDEX(对接源_01入库吨位!$C$5:$C$304,MATCH(INT((ROW()-5)/3)+1,对接源_01入库吨位!$S$5:$S$304,0)),"")</f>
        <v/>
      </c>
      <c r="D109" s="40" t="str">
        <f aca="false">IF($B109="","",IF(MOD(ROW()-5,3)=0,"周转打冷",IF(MOD(ROW()-5,3)=1,"仓储加工","装卸费")))</f>
        <v/>
      </c>
      <c r="E109" s="51" t="str">
        <f aca="false">IF($B109="","",IFERROR(IF($D109="周转打冷",N(INDEX(对接源_01入库吨位!$D$5:$D$304,MATCH(INT((ROW()-5)/3)+1,对接源_01入库吨位!$S$5:$S$304,0))),IF($D109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09" s="41" t="str">
        <f aca="false">IF($B109="","",ROUND(IFERROR(IF($D109="周转打冷",N(INDEX(对接源_01入库吨位!$H$5:$H$304,MATCH(INT((ROW()-5)/3)+1,对接源_01入库吨位!$S$5:$S$304,0))),IF($D109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09" s="52" t="str">
        <f aca="false">IF($B109="","",ROUND(N($F109)/1000,3))</f>
        <v/>
      </c>
      <c r="H109" s="74"/>
      <c r="I109" s="44"/>
      <c r="J109" s="75" t="str">
        <f aca="false">IF($B109="","",IF($H109="按筐数×单价",N($E109),IF($H109="按总重KG×单价",N($F109),IF($H109="按吨位×单价",N($G109),0))))</f>
        <v/>
      </c>
      <c r="K109" s="41" t="str">
        <f aca="false">IF($B109="","",ROUND(N($J109)*N($I109),2))</f>
        <v/>
      </c>
      <c r="L109" s="42"/>
      <c r="M109" s="76"/>
      <c r="N109" s="43"/>
      <c r="R109" s="77" t="str">
        <f aca="false">IF($B109="","",$B109)</f>
        <v/>
      </c>
      <c r="S109" s="77" t="n">
        <f aca="false">IF($R109="",0,IF(MATCH($R109,$R$5:$R$904,0)=ROW()-4,1,0))</f>
        <v>0</v>
      </c>
      <c r="T109" s="77" t="n">
        <f aca="false">N(T108)+$S109</f>
        <v>18</v>
      </c>
      <c r="U109" s="77" t="str">
        <f aca="false">IFERROR(INDEX($B$5:$B$904,MATCH(105,$T$5:$T$904,0)),"")</f>
        <v/>
      </c>
    </row>
    <row r="110" customFormat="false" ht="13.5" hidden="false" customHeight="false" outlineLevel="0" collapsed="false">
      <c r="A110" s="9" t="str">
        <f aca="false">IF($B110="","",ROW()-4)</f>
        <v/>
      </c>
      <c r="B110" s="39" t="str">
        <f aca="false">IFERROR(INDEX(对接源_01入库吨位!$B$5:$B$304,MATCH(INT((ROW()-5)/3)+1,对接源_01入库吨位!$S$5:$S$304,0)),"")</f>
        <v/>
      </c>
      <c r="C110" s="39" t="str">
        <f aca="false">IFERROR(INDEX(对接源_01入库吨位!$C$5:$C$304,MATCH(INT((ROW()-5)/3)+1,对接源_01入库吨位!$S$5:$S$304,0)),"")</f>
        <v/>
      </c>
      <c r="D110" s="40" t="str">
        <f aca="false">IF($B110="","",IF(MOD(ROW()-5,3)=0,"周转打冷",IF(MOD(ROW()-5,3)=1,"仓储加工","装卸费")))</f>
        <v/>
      </c>
      <c r="E110" s="51" t="str">
        <f aca="false">IF($B110="","",IFERROR(IF($D110="周转打冷",N(INDEX(对接源_01入库吨位!$D$5:$D$304,MATCH(INT((ROW()-5)/3)+1,对接源_01入库吨位!$S$5:$S$304,0))),IF($D110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0" s="41" t="str">
        <f aca="false">IF($B110="","",ROUND(IFERROR(IF($D110="周转打冷",N(INDEX(对接源_01入库吨位!$H$5:$H$304,MATCH(INT((ROW()-5)/3)+1,对接源_01入库吨位!$S$5:$S$304,0))),IF($D110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0" s="52" t="str">
        <f aca="false">IF($B110="","",ROUND(N($F110)/1000,3))</f>
        <v/>
      </c>
      <c r="H110" s="74"/>
      <c r="I110" s="44"/>
      <c r="J110" s="75" t="str">
        <f aca="false">IF($B110="","",IF($H110="按筐数×单价",N($E110),IF($H110="按总重KG×单价",N($F110),IF($H110="按吨位×单价",N($G110),0))))</f>
        <v/>
      </c>
      <c r="K110" s="41" t="str">
        <f aca="false">IF($B110="","",ROUND(N($J110)*N($I110),2))</f>
        <v/>
      </c>
      <c r="L110" s="42"/>
      <c r="M110" s="76"/>
      <c r="N110" s="43"/>
      <c r="R110" s="77" t="str">
        <f aca="false">IF($B110="","",$B110)</f>
        <v/>
      </c>
      <c r="S110" s="77" t="n">
        <f aca="false">IF($R110="",0,IF(MATCH($R110,$R$5:$R$904,0)=ROW()-4,1,0))</f>
        <v>0</v>
      </c>
      <c r="T110" s="77" t="n">
        <f aca="false">N(T109)+$S110</f>
        <v>18</v>
      </c>
      <c r="U110" s="77" t="str">
        <f aca="false">IFERROR(INDEX($B$5:$B$904,MATCH(106,$T$5:$T$904,0)),"")</f>
        <v/>
      </c>
    </row>
    <row r="111" customFormat="false" ht="13.5" hidden="false" customHeight="false" outlineLevel="0" collapsed="false">
      <c r="A111" s="9" t="str">
        <f aca="false">IF($B111="","",ROW()-4)</f>
        <v/>
      </c>
      <c r="B111" s="39" t="str">
        <f aca="false">IFERROR(INDEX(对接源_01入库吨位!$B$5:$B$304,MATCH(INT((ROW()-5)/3)+1,对接源_01入库吨位!$S$5:$S$304,0)),"")</f>
        <v/>
      </c>
      <c r="C111" s="39" t="str">
        <f aca="false">IFERROR(INDEX(对接源_01入库吨位!$C$5:$C$304,MATCH(INT((ROW()-5)/3)+1,对接源_01入库吨位!$S$5:$S$304,0)),"")</f>
        <v/>
      </c>
      <c r="D111" s="40" t="str">
        <f aca="false">IF($B111="","",IF(MOD(ROW()-5,3)=0,"周转打冷",IF(MOD(ROW()-5,3)=1,"仓储加工","装卸费")))</f>
        <v/>
      </c>
      <c r="E111" s="51" t="str">
        <f aca="false">IF($B111="","",IFERROR(IF($D111="周转打冷",N(INDEX(对接源_01入库吨位!$D$5:$D$304,MATCH(INT((ROW()-5)/3)+1,对接源_01入库吨位!$S$5:$S$304,0))),IF($D111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1" s="41" t="str">
        <f aca="false">IF($B111="","",ROUND(IFERROR(IF($D111="周转打冷",N(INDEX(对接源_01入库吨位!$H$5:$H$304,MATCH(INT((ROW()-5)/3)+1,对接源_01入库吨位!$S$5:$S$304,0))),IF($D111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1" s="52" t="str">
        <f aca="false">IF($B111="","",ROUND(N($F111)/1000,3))</f>
        <v/>
      </c>
      <c r="H111" s="74"/>
      <c r="I111" s="44"/>
      <c r="J111" s="75" t="str">
        <f aca="false">IF($B111="","",IF($H111="按筐数×单价",N($E111),IF($H111="按总重KG×单价",N($F111),IF($H111="按吨位×单价",N($G111),0))))</f>
        <v/>
      </c>
      <c r="K111" s="41" t="str">
        <f aca="false">IF($B111="","",ROUND(N($J111)*N($I111),2))</f>
        <v/>
      </c>
      <c r="L111" s="42"/>
      <c r="M111" s="76"/>
      <c r="N111" s="43"/>
      <c r="R111" s="77" t="str">
        <f aca="false">IF($B111="","",$B111)</f>
        <v/>
      </c>
      <c r="S111" s="77" t="n">
        <f aca="false">IF($R111="",0,IF(MATCH($R111,$R$5:$R$904,0)=ROW()-4,1,0))</f>
        <v>0</v>
      </c>
      <c r="T111" s="77" t="n">
        <f aca="false">N(T110)+$S111</f>
        <v>18</v>
      </c>
      <c r="U111" s="77" t="str">
        <f aca="false">IFERROR(INDEX($B$5:$B$904,MATCH(107,$T$5:$T$904,0)),"")</f>
        <v/>
      </c>
    </row>
    <row r="112" customFormat="false" ht="13.5" hidden="false" customHeight="false" outlineLevel="0" collapsed="false">
      <c r="A112" s="9" t="str">
        <f aca="false">IF($B112="","",ROW()-4)</f>
        <v/>
      </c>
      <c r="B112" s="39" t="str">
        <f aca="false">IFERROR(INDEX(对接源_01入库吨位!$B$5:$B$304,MATCH(INT((ROW()-5)/3)+1,对接源_01入库吨位!$S$5:$S$304,0)),"")</f>
        <v/>
      </c>
      <c r="C112" s="39" t="str">
        <f aca="false">IFERROR(INDEX(对接源_01入库吨位!$C$5:$C$304,MATCH(INT((ROW()-5)/3)+1,对接源_01入库吨位!$S$5:$S$304,0)),"")</f>
        <v/>
      </c>
      <c r="D112" s="40" t="str">
        <f aca="false">IF($B112="","",IF(MOD(ROW()-5,3)=0,"周转打冷",IF(MOD(ROW()-5,3)=1,"仓储加工","装卸费")))</f>
        <v/>
      </c>
      <c r="E112" s="51" t="str">
        <f aca="false">IF($B112="","",IFERROR(IF($D112="周转打冷",N(INDEX(对接源_01入库吨位!$D$5:$D$304,MATCH(INT((ROW()-5)/3)+1,对接源_01入库吨位!$S$5:$S$304,0))),IF($D112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2" s="41" t="str">
        <f aca="false">IF($B112="","",ROUND(IFERROR(IF($D112="周转打冷",N(INDEX(对接源_01入库吨位!$H$5:$H$304,MATCH(INT((ROW()-5)/3)+1,对接源_01入库吨位!$S$5:$S$304,0))),IF($D112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2" s="52" t="str">
        <f aca="false">IF($B112="","",ROUND(N($F112)/1000,3))</f>
        <v/>
      </c>
      <c r="H112" s="74"/>
      <c r="I112" s="44"/>
      <c r="J112" s="75" t="str">
        <f aca="false">IF($B112="","",IF($H112="按筐数×单价",N($E112),IF($H112="按总重KG×单价",N($F112),IF($H112="按吨位×单价",N($G112),0))))</f>
        <v/>
      </c>
      <c r="K112" s="41" t="str">
        <f aca="false">IF($B112="","",ROUND(N($J112)*N($I112),2))</f>
        <v/>
      </c>
      <c r="L112" s="42"/>
      <c r="M112" s="76"/>
      <c r="N112" s="43"/>
      <c r="R112" s="77" t="str">
        <f aca="false">IF($B112="","",$B112)</f>
        <v/>
      </c>
      <c r="S112" s="77" t="n">
        <f aca="false">IF($R112="",0,IF(MATCH($R112,$R$5:$R$904,0)=ROW()-4,1,0))</f>
        <v>0</v>
      </c>
      <c r="T112" s="77" t="n">
        <f aca="false">N(T111)+$S112</f>
        <v>18</v>
      </c>
      <c r="U112" s="77" t="str">
        <f aca="false">IFERROR(INDEX($B$5:$B$904,MATCH(108,$T$5:$T$904,0)),"")</f>
        <v/>
      </c>
    </row>
    <row r="113" customFormat="false" ht="13.5" hidden="false" customHeight="false" outlineLevel="0" collapsed="false">
      <c r="A113" s="9" t="str">
        <f aca="false">IF($B113="","",ROW()-4)</f>
        <v/>
      </c>
      <c r="B113" s="39" t="str">
        <f aca="false">IFERROR(INDEX(对接源_01入库吨位!$B$5:$B$304,MATCH(INT((ROW()-5)/3)+1,对接源_01入库吨位!$S$5:$S$304,0)),"")</f>
        <v/>
      </c>
      <c r="C113" s="39" t="str">
        <f aca="false">IFERROR(INDEX(对接源_01入库吨位!$C$5:$C$304,MATCH(INT((ROW()-5)/3)+1,对接源_01入库吨位!$S$5:$S$304,0)),"")</f>
        <v/>
      </c>
      <c r="D113" s="40" t="str">
        <f aca="false">IF($B113="","",IF(MOD(ROW()-5,3)=0,"周转打冷",IF(MOD(ROW()-5,3)=1,"仓储加工","装卸费")))</f>
        <v/>
      </c>
      <c r="E113" s="51" t="str">
        <f aca="false">IF($B113="","",IFERROR(IF($D113="周转打冷",N(INDEX(对接源_01入库吨位!$D$5:$D$304,MATCH(INT((ROW()-5)/3)+1,对接源_01入库吨位!$S$5:$S$304,0))),IF($D113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3" s="41" t="str">
        <f aca="false">IF($B113="","",ROUND(IFERROR(IF($D113="周转打冷",N(INDEX(对接源_01入库吨位!$H$5:$H$304,MATCH(INT((ROW()-5)/3)+1,对接源_01入库吨位!$S$5:$S$304,0))),IF($D113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3" s="52" t="str">
        <f aca="false">IF($B113="","",ROUND(N($F113)/1000,3))</f>
        <v/>
      </c>
      <c r="H113" s="74"/>
      <c r="I113" s="44"/>
      <c r="J113" s="75" t="str">
        <f aca="false">IF($B113="","",IF($H113="按筐数×单价",N($E113),IF($H113="按总重KG×单价",N($F113),IF($H113="按吨位×单价",N($G113),0))))</f>
        <v/>
      </c>
      <c r="K113" s="41" t="str">
        <f aca="false">IF($B113="","",ROUND(N($J113)*N($I113),2))</f>
        <v/>
      </c>
      <c r="L113" s="42"/>
      <c r="M113" s="76"/>
      <c r="N113" s="43"/>
      <c r="R113" s="77" t="str">
        <f aca="false">IF($B113="","",$B113)</f>
        <v/>
      </c>
      <c r="S113" s="77" t="n">
        <f aca="false">IF($R113="",0,IF(MATCH($R113,$R$5:$R$904,0)=ROW()-4,1,0))</f>
        <v>0</v>
      </c>
      <c r="T113" s="77" t="n">
        <f aca="false">N(T112)+$S113</f>
        <v>18</v>
      </c>
      <c r="U113" s="77" t="str">
        <f aca="false">IFERROR(INDEX($B$5:$B$904,MATCH(109,$T$5:$T$904,0)),"")</f>
        <v/>
      </c>
    </row>
    <row r="114" customFormat="false" ht="13.5" hidden="false" customHeight="false" outlineLevel="0" collapsed="false">
      <c r="A114" s="9" t="str">
        <f aca="false">IF($B114="","",ROW()-4)</f>
        <v/>
      </c>
      <c r="B114" s="39" t="str">
        <f aca="false">IFERROR(INDEX(对接源_01入库吨位!$B$5:$B$304,MATCH(INT((ROW()-5)/3)+1,对接源_01入库吨位!$S$5:$S$304,0)),"")</f>
        <v/>
      </c>
      <c r="C114" s="39" t="str">
        <f aca="false">IFERROR(INDEX(对接源_01入库吨位!$C$5:$C$304,MATCH(INT((ROW()-5)/3)+1,对接源_01入库吨位!$S$5:$S$304,0)),"")</f>
        <v/>
      </c>
      <c r="D114" s="40" t="str">
        <f aca="false">IF($B114="","",IF(MOD(ROW()-5,3)=0,"周转打冷",IF(MOD(ROW()-5,3)=1,"仓储加工","装卸费")))</f>
        <v/>
      </c>
      <c r="E114" s="51" t="str">
        <f aca="false">IF($B114="","",IFERROR(IF($D114="周转打冷",N(INDEX(对接源_01入库吨位!$D$5:$D$304,MATCH(INT((ROW()-5)/3)+1,对接源_01入库吨位!$S$5:$S$304,0))),IF($D114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4" s="41" t="str">
        <f aca="false">IF($B114="","",ROUND(IFERROR(IF($D114="周转打冷",N(INDEX(对接源_01入库吨位!$H$5:$H$304,MATCH(INT((ROW()-5)/3)+1,对接源_01入库吨位!$S$5:$S$304,0))),IF($D114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4" s="52" t="str">
        <f aca="false">IF($B114="","",ROUND(N($F114)/1000,3))</f>
        <v/>
      </c>
      <c r="H114" s="74"/>
      <c r="I114" s="44"/>
      <c r="J114" s="75" t="str">
        <f aca="false">IF($B114="","",IF($H114="按筐数×单价",N($E114),IF($H114="按总重KG×单价",N($F114),IF($H114="按吨位×单价",N($G114),0))))</f>
        <v/>
      </c>
      <c r="K114" s="41" t="str">
        <f aca="false">IF($B114="","",ROUND(N($J114)*N($I114),2))</f>
        <v/>
      </c>
      <c r="L114" s="42"/>
      <c r="M114" s="76"/>
      <c r="N114" s="43"/>
      <c r="R114" s="77" t="str">
        <f aca="false">IF($B114="","",$B114)</f>
        <v/>
      </c>
      <c r="S114" s="77" t="n">
        <f aca="false">IF($R114="",0,IF(MATCH($R114,$R$5:$R$904,0)=ROW()-4,1,0))</f>
        <v>0</v>
      </c>
      <c r="T114" s="77" t="n">
        <f aca="false">N(T113)+$S114</f>
        <v>18</v>
      </c>
      <c r="U114" s="77" t="str">
        <f aca="false">IFERROR(INDEX($B$5:$B$904,MATCH(110,$T$5:$T$904,0)),"")</f>
        <v/>
      </c>
    </row>
    <row r="115" customFormat="false" ht="13.5" hidden="false" customHeight="false" outlineLevel="0" collapsed="false">
      <c r="A115" s="9" t="str">
        <f aca="false">IF($B115="","",ROW()-4)</f>
        <v/>
      </c>
      <c r="B115" s="39" t="str">
        <f aca="false">IFERROR(INDEX(对接源_01入库吨位!$B$5:$B$304,MATCH(INT((ROW()-5)/3)+1,对接源_01入库吨位!$S$5:$S$304,0)),"")</f>
        <v/>
      </c>
      <c r="C115" s="39" t="str">
        <f aca="false">IFERROR(INDEX(对接源_01入库吨位!$C$5:$C$304,MATCH(INT((ROW()-5)/3)+1,对接源_01入库吨位!$S$5:$S$304,0)),"")</f>
        <v/>
      </c>
      <c r="D115" s="40" t="str">
        <f aca="false">IF($B115="","",IF(MOD(ROW()-5,3)=0,"周转打冷",IF(MOD(ROW()-5,3)=1,"仓储加工","装卸费")))</f>
        <v/>
      </c>
      <c r="E115" s="51" t="str">
        <f aca="false">IF($B115="","",IFERROR(IF($D115="周转打冷",N(INDEX(对接源_01入库吨位!$D$5:$D$304,MATCH(INT((ROW()-5)/3)+1,对接源_01入库吨位!$S$5:$S$304,0))),IF($D115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5" s="41" t="str">
        <f aca="false">IF($B115="","",ROUND(IFERROR(IF($D115="周转打冷",N(INDEX(对接源_01入库吨位!$H$5:$H$304,MATCH(INT((ROW()-5)/3)+1,对接源_01入库吨位!$S$5:$S$304,0))),IF($D115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5" s="52" t="str">
        <f aca="false">IF($B115="","",ROUND(N($F115)/1000,3))</f>
        <v/>
      </c>
      <c r="H115" s="74"/>
      <c r="I115" s="44"/>
      <c r="J115" s="75" t="str">
        <f aca="false">IF($B115="","",IF($H115="按筐数×单价",N($E115),IF($H115="按总重KG×单价",N($F115),IF($H115="按吨位×单价",N($G115),0))))</f>
        <v/>
      </c>
      <c r="K115" s="41" t="str">
        <f aca="false">IF($B115="","",ROUND(N($J115)*N($I115),2))</f>
        <v/>
      </c>
      <c r="L115" s="42"/>
      <c r="M115" s="76"/>
      <c r="N115" s="43"/>
      <c r="R115" s="77" t="str">
        <f aca="false">IF($B115="","",$B115)</f>
        <v/>
      </c>
      <c r="S115" s="77" t="n">
        <f aca="false">IF($R115="",0,IF(MATCH($R115,$R$5:$R$904,0)=ROW()-4,1,0))</f>
        <v>0</v>
      </c>
      <c r="T115" s="77" t="n">
        <f aca="false">N(T114)+$S115</f>
        <v>18</v>
      </c>
      <c r="U115" s="77" t="str">
        <f aca="false">IFERROR(INDEX($B$5:$B$904,MATCH(111,$T$5:$T$904,0)),"")</f>
        <v/>
      </c>
    </row>
    <row r="116" customFormat="false" ht="13.5" hidden="false" customHeight="false" outlineLevel="0" collapsed="false">
      <c r="A116" s="9" t="str">
        <f aca="false">IF($B116="","",ROW()-4)</f>
        <v/>
      </c>
      <c r="B116" s="39" t="str">
        <f aca="false">IFERROR(INDEX(对接源_01入库吨位!$B$5:$B$304,MATCH(INT((ROW()-5)/3)+1,对接源_01入库吨位!$S$5:$S$304,0)),"")</f>
        <v/>
      </c>
      <c r="C116" s="39" t="str">
        <f aca="false">IFERROR(INDEX(对接源_01入库吨位!$C$5:$C$304,MATCH(INT((ROW()-5)/3)+1,对接源_01入库吨位!$S$5:$S$304,0)),"")</f>
        <v/>
      </c>
      <c r="D116" s="40" t="str">
        <f aca="false">IF($B116="","",IF(MOD(ROW()-5,3)=0,"周转打冷",IF(MOD(ROW()-5,3)=1,"仓储加工","装卸费")))</f>
        <v/>
      </c>
      <c r="E116" s="51" t="str">
        <f aca="false">IF($B116="","",IFERROR(IF($D116="周转打冷",N(INDEX(对接源_01入库吨位!$D$5:$D$304,MATCH(INT((ROW()-5)/3)+1,对接源_01入库吨位!$S$5:$S$304,0))),IF($D116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6" s="41" t="str">
        <f aca="false">IF($B116="","",ROUND(IFERROR(IF($D116="周转打冷",N(INDEX(对接源_01入库吨位!$H$5:$H$304,MATCH(INT((ROW()-5)/3)+1,对接源_01入库吨位!$S$5:$S$304,0))),IF($D116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6" s="52" t="str">
        <f aca="false">IF($B116="","",ROUND(N($F116)/1000,3))</f>
        <v/>
      </c>
      <c r="H116" s="74"/>
      <c r="I116" s="44"/>
      <c r="J116" s="75" t="str">
        <f aca="false">IF($B116="","",IF($H116="按筐数×单价",N($E116),IF($H116="按总重KG×单价",N($F116),IF($H116="按吨位×单价",N($G116),0))))</f>
        <v/>
      </c>
      <c r="K116" s="41" t="str">
        <f aca="false">IF($B116="","",ROUND(N($J116)*N($I116),2))</f>
        <v/>
      </c>
      <c r="L116" s="42"/>
      <c r="M116" s="76"/>
      <c r="N116" s="43"/>
      <c r="R116" s="77" t="str">
        <f aca="false">IF($B116="","",$B116)</f>
        <v/>
      </c>
      <c r="S116" s="77" t="n">
        <f aca="false">IF($R116="",0,IF(MATCH($R116,$R$5:$R$904,0)=ROW()-4,1,0))</f>
        <v>0</v>
      </c>
      <c r="T116" s="77" t="n">
        <f aca="false">N(T115)+$S116</f>
        <v>18</v>
      </c>
      <c r="U116" s="77" t="str">
        <f aca="false">IFERROR(INDEX($B$5:$B$904,MATCH(112,$T$5:$T$904,0)),"")</f>
        <v/>
      </c>
    </row>
    <row r="117" customFormat="false" ht="13.5" hidden="false" customHeight="false" outlineLevel="0" collapsed="false">
      <c r="A117" s="9" t="str">
        <f aca="false">IF($B117="","",ROW()-4)</f>
        <v/>
      </c>
      <c r="B117" s="39" t="str">
        <f aca="false">IFERROR(INDEX(对接源_01入库吨位!$B$5:$B$304,MATCH(INT((ROW()-5)/3)+1,对接源_01入库吨位!$S$5:$S$304,0)),"")</f>
        <v/>
      </c>
      <c r="C117" s="39" t="str">
        <f aca="false">IFERROR(INDEX(对接源_01入库吨位!$C$5:$C$304,MATCH(INT((ROW()-5)/3)+1,对接源_01入库吨位!$S$5:$S$304,0)),"")</f>
        <v/>
      </c>
      <c r="D117" s="40" t="str">
        <f aca="false">IF($B117="","",IF(MOD(ROW()-5,3)=0,"周转打冷",IF(MOD(ROW()-5,3)=1,"仓储加工","装卸费")))</f>
        <v/>
      </c>
      <c r="E117" s="51" t="str">
        <f aca="false">IF($B117="","",IFERROR(IF($D117="周转打冷",N(INDEX(对接源_01入库吨位!$D$5:$D$304,MATCH(INT((ROW()-5)/3)+1,对接源_01入库吨位!$S$5:$S$304,0))),IF($D117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7" s="41" t="str">
        <f aca="false">IF($B117="","",ROUND(IFERROR(IF($D117="周转打冷",N(INDEX(对接源_01入库吨位!$H$5:$H$304,MATCH(INT((ROW()-5)/3)+1,对接源_01入库吨位!$S$5:$S$304,0))),IF($D117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7" s="52" t="str">
        <f aca="false">IF($B117="","",ROUND(N($F117)/1000,3))</f>
        <v/>
      </c>
      <c r="H117" s="74"/>
      <c r="I117" s="44"/>
      <c r="J117" s="75" t="str">
        <f aca="false">IF($B117="","",IF($H117="按筐数×单价",N($E117),IF($H117="按总重KG×单价",N($F117),IF($H117="按吨位×单价",N($G117),0))))</f>
        <v/>
      </c>
      <c r="K117" s="41" t="str">
        <f aca="false">IF($B117="","",ROUND(N($J117)*N($I117),2))</f>
        <v/>
      </c>
      <c r="L117" s="42"/>
      <c r="M117" s="76"/>
      <c r="N117" s="43"/>
      <c r="R117" s="77" t="str">
        <f aca="false">IF($B117="","",$B117)</f>
        <v/>
      </c>
      <c r="S117" s="77" t="n">
        <f aca="false">IF($R117="",0,IF(MATCH($R117,$R$5:$R$904,0)=ROW()-4,1,0))</f>
        <v>0</v>
      </c>
      <c r="T117" s="77" t="n">
        <f aca="false">N(T116)+$S117</f>
        <v>18</v>
      </c>
      <c r="U117" s="77" t="str">
        <f aca="false">IFERROR(INDEX($B$5:$B$904,MATCH(113,$T$5:$T$904,0)),"")</f>
        <v/>
      </c>
    </row>
    <row r="118" customFormat="false" ht="13.5" hidden="false" customHeight="false" outlineLevel="0" collapsed="false">
      <c r="A118" s="9" t="str">
        <f aca="false">IF($B118="","",ROW()-4)</f>
        <v/>
      </c>
      <c r="B118" s="39" t="str">
        <f aca="false">IFERROR(INDEX(对接源_01入库吨位!$B$5:$B$304,MATCH(INT((ROW()-5)/3)+1,对接源_01入库吨位!$S$5:$S$304,0)),"")</f>
        <v/>
      </c>
      <c r="C118" s="39" t="str">
        <f aca="false">IFERROR(INDEX(对接源_01入库吨位!$C$5:$C$304,MATCH(INT((ROW()-5)/3)+1,对接源_01入库吨位!$S$5:$S$304,0)),"")</f>
        <v/>
      </c>
      <c r="D118" s="40" t="str">
        <f aca="false">IF($B118="","",IF(MOD(ROW()-5,3)=0,"周转打冷",IF(MOD(ROW()-5,3)=1,"仓储加工","装卸费")))</f>
        <v/>
      </c>
      <c r="E118" s="51" t="str">
        <f aca="false">IF($B118="","",IFERROR(IF($D118="周转打冷",N(INDEX(对接源_01入库吨位!$D$5:$D$304,MATCH(INT((ROW()-5)/3)+1,对接源_01入库吨位!$S$5:$S$304,0))),IF($D118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8" s="41" t="str">
        <f aca="false">IF($B118="","",ROUND(IFERROR(IF($D118="周转打冷",N(INDEX(对接源_01入库吨位!$H$5:$H$304,MATCH(INT((ROW()-5)/3)+1,对接源_01入库吨位!$S$5:$S$304,0))),IF($D118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8" s="52" t="str">
        <f aca="false">IF($B118="","",ROUND(N($F118)/1000,3))</f>
        <v/>
      </c>
      <c r="H118" s="74"/>
      <c r="I118" s="44"/>
      <c r="J118" s="75" t="str">
        <f aca="false">IF($B118="","",IF($H118="按筐数×单价",N($E118),IF($H118="按总重KG×单价",N($F118),IF($H118="按吨位×单价",N($G118),0))))</f>
        <v/>
      </c>
      <c r="K118" s="41" t="str">
        <f aca="false">IF($B118="","",ROUND(N($J118)*N($I118),2))</f>
        <v/>
      </c>
      <c r="L118" s="42"/>
      <c r="M118" s="76"/>
      <c r="N118" s="43"/>
      <c r="R118" s="77" t="str">
        <f aca="false">IF($B118="","",$B118)</f>
        <v/>
      </c>
      <c r="S118" s="77" t="n">
        <f aca="false">IF($R118="",0,IF(MATCH($R118,$R$5:$R$904,0)=ROW()-4,1,0))</f>
        <v>0</v>
      </c>
      <c r="T118" s="77" t="n">
        <f aca="false">N(T117)+$S118</f>
        <v>18</v>
      </c>
      <c r="U118" s="77" t="str">
        <f aca="false">IFERROR(INDEX($B$5:$B$904,MATCH(114,$T$5:$T$904,0)),"")</f>
        <v/>
      </c>
    </row>
    <row r="119" customFormat="false" ht="13.5" hidden="false" customHeight="false" outlineLevel="0" collapsed="false">
      <c r="A119" s="9" t="str">
        <f aca="false">IF($B119="","",ROW()-4)</f>
        <v/>
      </c>
      <c r="B119" s="39" t="str">
        <f aca="false">IFERROR(INDEX(对接源_01入库吨位!$B$5:$B$304,MATCH(INT((ROW()-5)/3)+1,对接源_01入库吨位!$S$5:$S$304,0)),"")</f>
        <v/>
      </c>
      <c r="C119" s="39" t="str">
        <f aca="false">IFERROR(INDEX(对接源_01入库吨位!$C$5:$C$304,MATCH(INT((ROW()-5)/3)+1,对接源_01入库吨位!$S$5:$S$304,0)),"")</f>
        <v/>
      </c>
      <c r="D119" s="40" t="str">
        <f aca="false">IF($B119="","",IF(MOD(ROW()-5,3)=0,"周转打冷",IF(MOD(ROW()-5,3)=1,"仓储加工","装卸费")))</f>
        <v/>
      </c>
      <c r="E119" s="51" t="str">
        <f aca="false">IF($B119="","",IFERROR(IF($D119="周转打冷",N(INDEX(对接源_01入库吨位!$D$5:$D$304,MATCH(INT((ROW()-5)/3)+1,对接源_01入库吨位!$S$5:$S$304,0))),IF($D119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19" s="41" t="str">
        <f aca="false">IF($B119="","",ROUND(IFERROR(IF($D119="周转打冷",N(INDEX(对接源_01入库吨位!$H$5:$H$304,MATCH(INT((ROW()-5)/3)+1,对接源_01入库吨位!$S$5:$S$304,0))),IF($D119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19" s="52" t="str">
        <f aca="false">IF($B119="","",ROUND(N($F119)/1000,3))</f>
        <v/>
      </c>
      <c r="H119" s="74"/>
      <c r="I119" s="44"/>
      <c r="J119" s="75" t="str">
        <f aca="false">IF($B119="","",IF($H119="按筐数×单价",N($E119),IF($H119="按总重KG×单价",N($F119),IF($H119="按吨位×单价",N($G119),0))))</f>
        <v/>
      </c>
      <c r="K119" s="41" t="str">
        <f aca="false">IF($B119="","",ROUND(N($J119)*N($I119),2))</f>
        <v/>
      </c>
      <c r="L119" s="42"/>
      <c r="M119" s="76"/>
      <c r="N119" s="43"/>
      <c r="R119" s="77" t="str">
        <f aca="false">IF($B119="","",$B119)</f>
        <v/>
      </c>
      <c r="S119" s="77" t="n">
        <f aca="false">IF($R119="",0,IF(MATCH($R119,$R$5:$R$904,0)=ROW()-4,1,0))</f>
        <v>0</v>
      </c>
      <c r="T119" s="77" t="n">
        <f aca="false">N(T118)+$S119</f>
        <v>18</v>
      </c>
      <c r="U119" s="77" t="str">
        <f aca="false">IFERROR(INDEX($B$5:$B$904,MATCH(115,$T$5:$T$904,0)),"")</f>
        <v/>
      </c>
    </row>
    <row r="120" customFormat="false" ht="13.5" hidden="false" customHeight="false" outlineLevel="0" collapsed="false">
      <c r="A120" s="9" t="str">
        <f aca="false">IF($B120="","",ROW()-4)</f>
        <v/>
      </c>
      <c r="B120" s="39" t="str">
        <f aca="false">IFERROR(INDEX(对接源_01入库吨位!$B$5:$B$304,MATCH(INT((ROW()-5)/3)+1,对接源_01入库吨位!$S$5:$S$304,0)),"")</f>
        <v/>
      </c>
      <c r="C120" s="39" t="str">
        <f aca="false">IFERROR(INDEX(对接源_01入库吨位!$C$5:$C$304,MATCH(INT((ROW()-5)/3)+1,对接源_01入库吨位!$S$5:$S$304,0)),"")</f>
        <v/>
      </c>
      <c r="D120" s="40" t="str">
        <f aca="false">IF($B120="","",IF(MOD(ROW()-5,3)=0,"周转打冷",IF(MOD(ROW()-5,3)=1,"仓储加工","装卸费")))</f>
        <v/>
      </c>
      <c r="E120" s="51" t="str">
        <f aca="false">IF($B120="","",IFERROR(IF($D120="周转打冷",N(INDEX(对接源_01入库吨位!$D$5:$D$304,MATCH(INT((ROW()-5)/3)+1,对接源_01入库吨位!$S$5:$S$304,0))),IF($D120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0" s="41" t="str">
        <f aca="false">IF($B120="","",ROUND(IFERROR(IF($D120="周转打冷",N(INDEX(对接源_01入库吨位!$H$5:$H$304,MATCH(INT((ROW()-5)/3)+1,对接源_01入库吨位!$S$5:$S$304,0))),IF($D120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0" s="52" t="str">
        <f aca="false">IF($B120="","",ROUND(N($F120)/1000,3))</f>
        <v/>
      </c>
      <c r="H120" s="74"/>
      <c r="I120" s="44"/>
      <c r="J120" s="75" t="str">
        <f aca="false">IF($B120="","",IF($H120="按筐数×单价",N($E120),IF($H120="按总重KG×单价",N($F120),IF($H120="按吨位×单价",N($G120),0))))</f>
        <v/>
      </c>
      <c r="K120" s="41" t="str">
        <f aca="false">IF($B120="","",ROUND(N($J120)*N($I120),2))</f>
        <v/>
      </c>
      <c r="L120" s="42"/>
      <c r="M120" s="76"/>
      <c r="N120" s="43"/>
      <c r="R120" s="77" t="str">
        <f aca="false">IF($B120="","",$B120)</f>
        <v/>
      </c>
      <c r="S120" s="77" t="n">
        <f aca="false">IF($R120="",0,IF(MATCH($R120,$R$5:$R$904,0)=ROW()-4,1,0))</f>
        <v>0</v>
      </c>
      <c r="T120" s="77" t="n">
        <f aca="false">N(T119)+$S120</f>
        <v>18</v>
      </c>
      <c r="U120" s="77" t="str">
        <f aca="false">IFERROR(INDEX($B$5:$B$904,MATCH(116,$T$5:$T$904,0)),"")</f>
        <v/>
      </c>
    </row>
    <row r="121" customFormat="false" ht="13.5" hidden="false" customHeight="false" outlineLevel="0" collapsed="false">
      <c r="A121" s="9" t="str">
        <f aca="false">IF($B121="","",ROW()-4)</f>
        <v/>
      </c>
      <c r="B121" s="39" t="str">
        <f aca="false">IFERROR(INDEX(对接源_01入库吨位!$B$5:$B$304,MATCH(INT((ROW()-5)/3)+1,对接源_01入库吨位!$S$5:$S$304,0)),"")</f>
        <v/>
      </c>
      <c r="C121" s="39" t="str">
        <f aca="false">IFERROR(INDEX(对接源_01入库吨位!$C$5:$C$304,MATCH(INT((ROW()-5)/3)+1,对接源_01入库吨位!$S$5:$S$304,0)),"")</f>
        <v/>
      </c>
      <c r="D121" s="40" t="str">
        <f aca="false">IF($B121="","",IF(MOD(ROW()-5,3)=0,"周转打冷",IF(MOD(ROW()-5,3)=1,"仓储加工","装卸费")))</f>
        <v/>
      </c>
      <c r="E121" s="51" t="str">
        <f aca="false">IF($B121="","",IFERROR(IF($D121="周转打冷",N(INDEX(对接源_01入库吨位!$D$5:$D$304,MATCH(INT((ROW()-5)/3)+1,对接源_01入库吨位!$S$5:$S$304,0))),IF($D121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1" s="41" t="str">
        <f aca="false">IF($B121="","",ROUND(IFERROR(IF($D121="周转打冷",N(INDEX(对接源_01入库吨位!$H$5:$H$304,MATCH(INT((ROW()-5)/3)+1,对接源_01入库吨位!$S$5:$S$304,0))),IF($D121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1" s="52" t="str">
        <f aca="false">IF($B121="","",ROUND(N($F121)/1000,3))</f>
        <v/>
      </c>
      <c r="H121" s="74"/>
      <c r="I121" s="44"/>
      <c r="J121" s="75" t="str">
        <f aca="false">IF($B121="","",IF($H121="按筐数×单价",N($E121),IF($H121="按总重KG×单价",N($F121),IF($H121="按吨位×单价",N($G121),0))))</f>
        <v/>
      </c>
      <c r="K121" s="41" t="str">
        <f aca="false">IF($B121="","",ROUND(N($J121)*N($I121),2))</f>
        <v/>
      </c>
      <c r="L121" s="42"/>
      <c r="M121" s="76"/>
      <c r="N121" s="43"/>
      <c r="R121" s="77" t="str">
        <f aca="false">IF($B121="","",$B121)</f>
        <v/>
      </c>
      <c r="S121" s="77" t="n">
        <f aca="false">IF($R121="",0,IF(MATCH($R121,$R$5:$R$904,0)=ROW()-4,1,0))</f>
        <v>0</v>
      </c>
      <c r="T121" s="77" t="n">
        <f aca="false">N(T120)+$S121</f>
        <v>18</v>
      </c>
      <c r="U121" s="77" t="str">
        <f aca="false">IFERROR(INDEX($B$5:$B$904,MATCH(117,$T$5:$T$904,0)),"")</f>
        <v/>
      </c>
    </row>
    <row r="122" customFormat="false" ht="13.5" hidden="false" customHeight="false" outlineLevel="0" collapsed="false">
      <c r="A122" s="9" t="str">
        <f aca="false">IF($B122="","",ROW()-4)</f>
        <v/>
      </c>
      <c r="B122" s="39" t="str">
        <f aca="false">IFERROR(INDEX(对接源_01入库吨位!$B$5:$B$304,MATCH(INT((ROW()-5)/3)+1,对接源_01入库吨位!$S$5:$S$304,0)),"")</f>
        <v/>
      </c>
      <c r="C122" s="39" t="str">
        <f aca="false">IFERROR(INDEX(对接源_01入库吨位!$C$5:$C$304,MATCH(INT((ROW()-5)/3)+1,对接源_01入库吨位!$S$5:$S$304,0)),"")</f>
        <v/>
      </c>
      <c r="D122" s="40" t="str">
        <f aca="false">IF($B122="","",IF(MOD(ROW()-5,3)=0,"周转打冷",IF(MOD(ROW()-5,3)=1,"仓储加工","装卸费")))</f>
        <v/>
      </c>
      <c r="E122" s="51" t="str">
        <f aca="false">IF($B122="","",IFERROR(IF($D122="周转打冷",N(INDEX(对接源_01入库吨位!$D$5:$D$304,MATCH(INT((ROW()-5)/3)+1,对接源_01入库吨位!$S$5:$S$304,0))),IF($D122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2" s="41" t="str">
        <f aca="false">IF($B122="","",ROUND(IFERROR(IF($D122="周转打冷",N(INDEX(对接源_01入库吨位!$H$5:$H$304,MATCH(INT((ROW()-5)/3)+1,对接源_01入库吨位!$S$5:$S$304,0))),IF($D122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2" s="52" t="str">
        <f aca="false">IF($B122="","",ROUND(N($F122)/1000,3))</f>
        <v/>
      </c>
      <c r="H122" s="74"/>
      <c r="I122" s="44"/>
      <c r="J122" s="75" t="str">
        <f aca="false">IF($B122="","",IF($H122="按筐数×单价",N($E122),IF($H122="按总重KG×单价",N($F122),IF($H122="按吨位×单价",N($G122),0))))</f>
        <v/>
      </c>
      <c r="K122" s="41" t="str">
        <f aca="false">IF($B122="","",ROUND(N($J122)*N($I122),2))</f>
        <v/>
      </c>
      <c r="L122" s="42"/>
      <c r="M122" s="76"/>
      <c r="N122" s="43"/>
      <c r="R122" s="77" t="str">
        <f aca="false">IF($B122="","",$B122)</f>
        <v/>
      </c>
      <c r="S122" s="77" t="n">
        <f aca="false">IF($R122="",0,IF(MATCH($R122,$R$5:$R$904,0)=ROW()-4,1,0))</f>
        <v>0</v>
      </c>
      <c r="T122" s="77" t="n">
        <f aca="false">N(T121)+$S122</f>
        <v>18</v>
      </c>
      <c r="U122" s="77" t="str">
        <f aca="false">IFERROR(INDEX($B$5:$B$904,MATCH(118,$T$5:$T$904,0)),"")</f>
        <v/>
      </c>
    </row>
    <row r="123" customFormat="false" ht="13.5" hidden="false" customHeight="false" outlineLevel="0" collapsed="false">
      <c r="A123" s="9" t="str">
        <f aca="false">IF($B123="","",ROW()-4)</f>
        <v/>
      </c>
      <c r="B123" s="39" t="str">
        <f aca="false">IFERROR(INDEX(对接源_01入库吨位!$B$5:$B$304,MATCH(INT((ROW()-5)/3)+1,对接源_01入库吨位!$S$5:$S$304,0)),"")</f>
        <v/>
      </c>
      <c r="C123" s="39" t="str">
        <f aca="false">IFERROR(INDEX(对接源_01入库吨位!$C$5:$C$304,MATCH(INT((ROW()-5)/3)+1,对接源_01入库吨位!$S$5:$S$304,0)),"")</f>
        <v/>
      </c>
      <c r="D123" s="40" t="str">
        <f aca="false">IF($B123="","",IF(MOD(ROW()-5,3)=0,"周转打冷",IF(MOD(ROW()-5,3)=1,"仓储加工","装卸费")))</f>
        <v/>
      </c>
      <c r="E123" s="51" t="str">
        <f aca="false">IF($B123="","",IFERROR(IF($D123="周转打冷",N(INDEX(对接源_01入库吨位!$D$5:$D$304,MATCH(INT((ROW()-5)/3)+1,对接源_01入库吨位!$S$5:$S$304,0))),IF($D123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3" s="41" t="str">
        <f aca="false">IF($B123="","",ROUND(IFERROR(IF($D123="周转打冷",N(INDEX(对接源_01入库吨位!$H$5:$H$304,MATCH(INT((ROW()-5)/3)+1,对接源_01入库吨位!$S$5:$S$304,0))),IF($D123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3" s="52" t="str">
        <f aca="false">IF($B123="","",ROUND(N($F123)/1000,3))</f>
        <v/>
      </c>
      <c r="H123" s="74"/>
      <c r="I123" s="44"/>
      <c r="J123" s="75" t="str">
        <f aca="false">IF($B123="","",IF($H123="按筐数×单价",N($E123),IF($H123="按总重KG×单价",N($F123),IF($H123="按吨位×单价",N($G123),0))))</f>
        <v/>
      </c>
      <c r="K123" s="41" t="str">
        <f aca="false">IF($B123="","",ROUND(N($J123)*N($I123),2))</f>
        <v/>
      </c>
      <c r="L123" s="42"/>
      <c r="M123" s="76"/>
      <c r="N123" s="43"/>
      <c r="R123" s="77" t="str">
        <f aca="false">IF($B123="","",$B123)</f>
        <v/>
      </c>
      <c r="S123" s="77" t="n">
        <f aca="false">IF($R123="",0,IF(MATCH($R123,$R$5:$R$904,0)=ROW()-4,1,0))</f>
        <v>0</v>
      </c>
      <c r="T123" s="77" t="n">
        <f aca="false">N(T122)+$S123</f>
        <v>18</v>
      </c>
      <c r="U123" s="77" t="str">
        <f aca="false">IFERROR(INDEX($B$5:$B$904,MATCH(119,$T$5:$T$904,0)),"")</f>
        <v/>
      </c>
    </row>
    <row r="124" customFormat="false" ht="13.5" hidden="false" customHeight="false" outlineLevel="0" collapsed="false">
      <c r="A124" s="9" t="str">
        <f aca="false">IF($B124="","",ROW()-4)</f>
        <v/>
      </c>
      <c r="B124" s="39" t="str">
        <f aca="false">IFERROR(INDEX(对接源_01入库吨位!$B$5:$B$304,MATCH(INT((ROW()-5)/3)+1,对接源_01入库吨位!$S$5:$S$304,0)),"")</f>
        <v/>
      </c>
      <c r="C124" s="39" t="str">
        <f aca="false">IFERROR(INDEX(对接源_01入库吨位!$C$5:$C$304,MATCH(INT((ROW()-5)/3)+1,对接源_01入库吨位!$S$5:$S$304,0)),"")</f>
        <v/>
      </c>
      <c r="D124" s="40" t="str">
        <f aca="false">IF($B124="","",IF(MOD(ROW()-5,3)=0,"周转打冷",IF(MOD(ROW()-5,3)=1,"仓储加工","装卸费")))</f>
        <v/>
      </c>
      <c r="E124" s="51" t="str">
        <f aca="false">IF($B124="","",IFERROR(IF($D124="周转打冷",N(INDEX(对接源_01入库吨位!$D$5:$D$304,MATCH(INT((ROW()-5)/3)+1,对接源_01入库吨位!$S$5:$S$304,0))),IF($D124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4" s="41" t="str">
        <f aca="false">IF($B124="","",ROUND(IFERROR(IF($D124="周转打冷",N(INDEX(对接源_01入库吨位!$H$5:$H$304,MATCH(INT((ROW()-5)/3)+1,对接源_01入库吨位!$S$5:$S$304,0))),IF($D124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4" s="52" t="str">
        <f aca="false">IF($B124="","",ROUND(N($F124)/1000,3))</f>
        <v/>
      </c>
      <c r="H124" s="74"/>
      <c r="I124" s="44"/>
      <c r="J124" s="75" t="str">
        <f aca="false">IF($B124="","",IF($H124="按筐数×单价",N($E124),IF($H124="按总重KG×单价",N($F124),IF($H124="按吨位×单价",N($G124),0))))</f>
        <v/>
      </c>
      <c r="K124" s="41" t="str">
        <f aca="false">IF($B124="","",ROUND(N($J124)*N($I124),2))</f>
        <v/>
      </c>
      <c r="L124" s="42"/>
      <c r="M124" s="76"/>
      <c r="N124" s="43"/>
      <c r="R124" s="77" t="str">
        <f aca="false">IF($B124="","",$B124)</f>
        <v/>
      </c>
      <c r="S124" s="77" t="n">
        <f aca="false">IF($R124="",0,IF(MATCH($R124,$R$5:$R$904,0)=ROW()-4,1,0))</f>
        <v>0</v>
      </c>
      <c r="T124" s="77" t="n">
        <f aca="false">N(T123)+$S124</f>
        <v>18</v>
      </c>
      <c r="U124" s="77" t="str">
        <f aca="false">IFERROR(INDEX($B$5:$B$904,MATCH(120,$T$5:$T$904,0)),"")</f>
        <v/>
      </c>
    </row>
    <row r="125" customFormat="false" ht="13.5" hidden="false" customHeight="false" outlineLevel="0" collapsed="false">
      <c r="A125" s="9" t="str">
        <f aca="false">IF($B125="","",ROW()-4)</f>
        <v/>
      </c>
      <c r="B125" s="39" t="str">
        <f aca="false">IFERROR(INDEX(对接源_01入库吨位!$B$5:$B$304,MATCH(INT((ROW()-5)/3)+1,对接源_01入库吨位!$S$5:$S$304,0)),"")</f>
        <v/>
      </c>
      <c r="C125" s="39" t="str">
        <f aca="false">IFERROR(INDEX(对接源_01入库吨位!$C$5:$C$304,MATCH(INT((ROW()-5)/3)+1,对接源_01入库吨位!$S$5:$S$304,0)),"")</f>
        <v/>
      </c>
      <c r="D125" s="40" t="str">
        <f aca="false">IF($B125="","",IF(MOD(ROW()-5,3)=0,"周转打冷",IF(MOD(ROW()-5,3)=1,"仓储加工","装卸费")))</f>
        <v/>
      </c>
      <c r="E125" s="51" t="str">
        <f aca="false">IF($B125="","",IFERROR(IF($D125="周转打冷",N(INDEX(对接源_01入库吨位!$D$5:$D$304,MATCH(INT((ROW()-5)/3)+1,对接源_01入库吨位!$S$5:$S$304,0))),IF($D125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5" s="41" t="str">
        <f aca="false">IF($B125="","",ROUND(IFERROR(IF($D125="周转打冷",N(INDEX(对接源_01入库吨位!$H$5:$H$304,MATCH(INT((ROW()-5)/3)+1,对接源_01入库吨位!$S$5:$S$304,0))),IF($D125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5" s="52" t="str">
        <f aca="false">IF($B125="","",ROUND(N($F125)/1000,3))</f>
        <v/>
      </c>
      <c r="H125" s="74"/>
      <c r="I125" s="44"/>
      <c r="J125" s="75" t="str">
        <f aca="false">IF($B125="","",IF($H125="按筐数×单价",N($E125),IF($H125="按总重KG×单价",N($F125),IF($H125="按吨位×单价",N($G125),0))))</f>
        <v/>
      </c>
      <c r="K125" s="41" t="str">
        <f aca="false">IF($B125="","",ROUND(N($J125)*N($I125),2))</f>
        <v/>
      </c>
      <c r="L125" s="42"/>
      <c r="M125" s="76"/>
      <c r="N125" s="43"/>
      <c r="R125" s="77" t="str">
        <f aca="false">IF($B125="","",$B125)</f>
        <v/>
      </c>
      <c r="S125" s="77" t="n">
        <f aca="false">IF($R125="",0,IF(MATCH($R125,$R$5:$R$904,0)=ROW()-4,1,0))</f>
        <v>0</v>
      </c>
      <c r="T125" s="77" t="n">
        <f aca="false">N(T124)+$S125</f>
        <v>18</v>
      </c>
    </row>
    <row r="126" customFormat="false" ht="13.5" hidden="false" customHeight="false" outlineLevel="0" collapsed="false">
      <c r="A126" s="9" t="str">
        <f aca="false">IF($B126="","",ROW()-4)</f>
        <v/>
      </c>
      <c r="B126" s="39" t="str">
        <f aca="false">IFERROR(INDEX(对接源_01入库吨位!$B$5:$B$304,MATCH(INT((ROW()-5)/3)+1,对接源_01入库吨位!$S$5:$S$304,0)),"")</f>
        <v/>
      </c>
      <c r="C126" s="39" t="str">
        <f aca="false">IFERROR(INDEX(对接源_01入库吨位!$C$5:$C$304,MATCH(INT((ROW()-5)/3)+1,对接源_01入库吨位!$S$5:$S$304,0)),"")</f>
        <v/>
      </c>
      <c r="D126" s="40" t="str">
        <f aca="false">IF($B126="","",IF(MOD(ROW()-5,3)=0,"周转打冷",IF(MOD(ROW()-5,3)=1,"仓储加工","装卸费")))</f>
        <v/>
      </c>
      <c r="E126" s="51" t="str">
        <f aca="false">IF($B126="","",IFERROR(IF($D126="周转打冷",N(INDEX(对接源_01入库吨位!$D$5:$D$304,MATCH(INT((ROW()-5)/3)+1,对接源_01入库吨位!$S$5:$S$304,0))),IF($D126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6" s="41" t="str">
        <f aca="false">IF($B126="","",ROUND(IFERROR(IF($D126="周转打冷",N(INDEX(对接源_01入库吨位!$H$5:$H$304,MATCH(INT((ROW()-5)/3)+1,对接源_01入库吨位!$S$5:$S$304,0))),IF($D126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6" s="52" t="str">
        <f aca="false">IF($B126="","",ROUND(N($F126)/1000,3))</f>
        <v/>
      </c>
      <c r="H126" s="74"/>
      <c r="I126" s="44"/>
      <c r="J126" s="75" t="str">
        <f aca="false">IF($B126="","",IF($H126="按筐数×单价",N($E126),IF($H126="按总重KG×单价",N($F126),IF($H126="按吨位×单价",N($G126),0))))</f>
        <v/>
      </c>
      <c r="K126" s="41" t="str">
        <f aca="false">IF($B126="","",ROUND(N($J126)*N($I126),2))</f>
        <v/>
      </c>
      <c r="L126" s="42"/>
      <c r="M126" s="76"/>
      <c r="N126" s="43"/>
      <c r="R126" s="77" t="str">
        <f aca="false">IF($B126="","",$B126)</f>
        <v/>
      </c>
      <c r="S126" s="77" t="n">
        <f aca="false">IF($R126="",0,IF(MATCH($R126,$R$5:$R$904,0)=ROW()-4,1,0))</f>
        <v>0</v>
      </c>
      <c r="T126" s="77" t="n">
        <f aca="false">N(T125)+$S126</f>
        <v>18</v>
      </c>
    </row>
    <row r="127" customFormat="false" ht="13.5" hidden="false" customHeight="false" outlineLevel="0" collapsed="false">
      <c r="A127" s="9" t="str">
        <f aca="false">IF($B127="","",ROW()-4)</f>
        <v/>
      </c>
      <c r="B127" s="39" t="str">
        <f aca="false">IFERROR(INDEX(对接源_01入库吨位!$B$5:$B$304,MATCH(INT((ROW()-5)/3)+1,对接源_01入库吨位!$S$5:$S$304,0)),"")</f>
        <v/>
      </c>
      <c r="C127" s="39" t="str">
        <f aca="false">IFERROR(INDEX(对接源_01入库吨位!$C$5:$C$304,MATCH(INT((ROW()-5)/3)+1,对接源_01入库吨位!$S$5:$S$304,0)),"")</f>
        <v/>
      </c>
      <c r="D127" s="40" t="str">
        <f aca="false">IF($B127="","",IF(MOD(ROW()-5,3)=0,"周转打冷",IF(MOD(ROW()-5,3)=1,"仓储加工","装卸费")))</f>
        <v/>
      </c>
      <c r="E127" s="51" t="str">
        <f aca="false">IF($B127="","",IFERROR(IF($D127="周转打冷",N(INDEX(对接源_01入库吨位!$D$5:$D$304,MATCH(INT((ROW()-5)/3)+1,对接源_01入库吨位!$S$5:$S$304,0))),IF($D127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7" s="41" t="str">
        <f aca="false">IF($B127="","",ROUND(IFERROR(IF($D127="周转打冷",N(INDEX(对接源_01入库吨位!$H$5:$H$304,MATCH(INT((ROW()-5)/3)+1,对接源_01入库吨位!$S$5:$S$304,0))),IF($D127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7" s="52" t="str">
        <f aca="false">IF($B127="","",ROUND(N($F127)/1000,3))</f>
        <v/>
      </c>
      <c r="H127" s="74"/>
      <c r="I127" s="44"/>
      <c r="J127" s="75" t="str">
        <f aca="false">IF($B127="","",IF($H127="按筐数×单价",N($E127),IF($H127="按总重KG×单价",N($F127),IF($H127="按吨位×单价",N($G127),0))))</f>
        <v/>
      </c>
      <c r="K127" s="41" t="str">
        <f aca="false">IF($B127="","",ROUND(N($J127)*N($I127),2))</f>
        <v/>
      </c>
      <c r="L127" s="42"/>
      <c r="M127" s="76"/>
      <c r="N127" s="43"/>
      <c r="R127" s="77" t="str">
        <f aca="false">IF($B127="","",$B127)</f>
        <v/>
      </c>
      <c r="S127" s="77" t="n">
        <f aca="false">IF($R127="",0,IF(MATCH($R127,$R$5:$R$904,0)=ROW()-4,1,0))</f>
        <v>0</v>
      </c>
      <c r="T127" s="77" t="n">
        <f aca="false">N(T126)+$S127</f>
        <v>18</v>
      </c>
    </row>
    <row r="128" customFormat="false" ht="13.5" hidden="false" customHeight="false" outlineLevel="0" collapsed="false">
      <c r="A128" s="9" t="str">
        <f aca="false">IF($B128="","",ROW()-4)</f>
        <v/>
      </c>
      <c r="B128" s="39" t="str">
        <f aca="false">IFERROR(INDEX(对接源_01入库吨位!$B$5:$B$304,MATCH(INT((ROW()-5)/3)+1,对接源_01入库吨位!$S$5:$S$304,0)),"")</f>
        <v/>
      </c>
      <c r="C128" s="39" t="str">
        <f aca="false">IFERROR(INDEX(对接源_01入库吨位!$C$5:$C$304,MATCH(INT((ROW()-5)/3)+1,对接源_01入库吨位!$S$5:$S$304,0)),"")</f>
        <v/>
      </c>
      <c r="D128" s="40" t="str">
        <f aca="false">IF($B128="","",IF(MOD(ROW()-5,3)=0,"周转打冷",IF(MOD(ROW()-5,3)=1,"仓储加工","装卸费")))</f>
        <v/>
      </c>
      <c r="E128" s="51" t="str">
        <f aca="false">IF($B128="","",IFERROR(IF($D128="周转打冷",N(INDEX(对接源_01入库吨位!$D$5:$D$304,MATCH(INT((ROW()-5)/3)+1,对接源_01入库吨位!$S$5:$S$304,0))),IF($D128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8" s="41" t="str">
        <f aca="false">IF($B128="","",ROUND(IFERROR(IF($D128="周转打冷",N(INDEX(对接源_01入库吨位!$H$5:$H$304,MATCH(INT((ROW()-5)/3)+1,对接源_01入库吨位!$S$5:$S$304,0))),IF($D128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8" s="52" t="str">
        <f aca="false">IF($B128="","",ROUND(N($F128)/1000,3))</f>
        <v/>
      </c>
      <c r="H128" s="74"/>
      <c r="I128" s="44"/>
      <c r="J128" s="75" t="str">
        <f aca="false">IF($B128="","",IF($H128="按筐数×单价",N($E128),IF($H128="按总重KG×单价",N($F128),IF($H128="按吨位×单价",N($G128),0))))</f>
        <v/>
      </c>
      <c r="K128" s="41" t="str">
        <f aca="false">IF($B128="","",ROUND(N($J128)*N($I128),2))</f>
        <v/>
      </c>
      <c r="L128" s="42"/>
      <c r="M128" s="76"/>
      <c r="N128" s="43"/>
      <c r="R128" s="77" t="str">
        <f aca="false">IF($B128="","",$B128)</f>
        <v/>
      </c>
      <c r="S128" s="77" t="n">
        <f aca="false">IF($R128="",0,IF(MATCH($R128,$R$5:$R$904,0)=ROW()-4,1,0))</f>
        <v>0</v>
      </c>
      <c r="T128" s="77" t="n">
        <f aca="false">N(T127)+$S128</f>
        <v>18</v>
      </c>
    </row>
    <row r="129" customFormat="false" ht="13.5" hidden="false" customHeight="false" outlineLevel="0" collapsed="false">
      <c r="A129" s="9" t="str">
        <f aca="false">IF($B129="","",ROW()-4)</f>
        <v/>
      </c>
      <c r="B129" s="39" t="str">
        <f aca="false">IFERROR(INDEX(对接源_01入库吨位!$B$5:$B$304,MATCH(INT((ROW()-5)/3)+1,对接源_01入库吨位!$S$5:$S$304,0)),"")</f>
        <v/>
      </c>
      <c r="C129" s="39" t="str">
        <f aca="false">IFERROR(INDEX(对接源_01入库吨位!$C$5:$C$304,MATCH(INT((ROW()-5)/3)+1,对接源_01入库吨位!$S$5:$S$304,0)),"")</f>
        <v/>
      </c>
      <c r="D129" s="40" t="str">
        <f aca="false">IF($B129="","",IF(MOD(ROW()-5,3)=0,"周转打冷",IF(MOD(ROW()-5,3)=1,"仓储加工","装卸费")))</f>
        <v/>
      </c>
      <c r="E129" s="51" t="str">
        <f aca="false">IF($B129="","",IFERROR(IF($D129="周转打冷",N(INDEX(对接源_01入库吨位!$D$5:$D$304,MATCH(INT((ROW()-5)/3)+1,对接源_01入库吨位!$S$5:$S$304,0))),IF($D129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29" s="41" t="str">
        <f aca="false">IF($B129="","",ROUND(IFERROR(IF($D129="周转打冷",N(INDEX(对接源_01入库吨位!$H$5:$H$304,MATCH(INT((ROW()-5)/3)+1,对接源_01入库吨位!$S$5:$S$304,0))),IF($D129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29" s="52" t="str">
        <f aca="false">IF($B129="","",ROUND(N($F129)/1000,3))</f>
        <v/>
      </c>
      <c r="H129" s="74"/>
      <c r="I129" s="44"/>
      <c r="J129" s="75" t="str">
        <f aca="false">IF($B129="","",IF($H129="按筐数×单价",N($E129),IF($H129="按总重KG×单价",N($F129),IF($H129="按吨位×单价",N($G129),0))))</f>
        <v/>
      </c>
      <c r="K129" s="41" t="str">
        <f aca="false">IF($B129="","",ROUND(N($J129)*N($I129),2))</f>
        <v/>
      </c>
      <c r="L129" s="42"/>
      <c r="M129" s="76"/>
      <c r="N129" s="43"/>
      <c r="R129" s="77" t="str">
        <f aca="false">IF($B129="","",$B129)</f>
        <v/>
      </c>
      <c r="S129" s="77" t="n">
        <f aca="false">IF($R129="",0,IF(MATCH($R129,$R$5:$R$904,0)=ROW()-4,1,0))</f>
        <v>0</v>
      </c>
      <c r="T129" s="77" t="n">
        <f aca="false">N(T128)+$S129</f>
        <v>18</v>
      </c>
    </row>
    <row r="130" customFormat="false" ht="13.5" hidden="false" customHeight="false" outlineLevel="0" collapsed="false">
      <c r="A130" s="9" t="str">
        <f aca="false">IF($B130="","",ROW()-4)</f>
        <v/>
      </c>
      <c r="B130" s="39" t="str">
        <f aca="false">IFERROR(INDEX(对接源_01入库吨位!$B$5:$B$304,MATCH(INT((ROW()-5)/3)+1,对接源_01入库吨位!$S$5:$S$304,0)),"")</f>
        <v/>
      </c>
      <c r="C130" s="39" t="str">
        <f aca="false">IFERROR(INDEX(对接源_01入库吨位!$C$5:$C$304,MATCH(INT((ROW()-5)/3)+1,对接源_01入库吨位!$S$5:$S$304,0)),"")</f>
        <v/>
      </c>
      <c r="D130" s="40" t="str">
        <f aca="false">IF($B130="","",IF(MOD(ROW()-5,3)=0,"周转打冷",IF(MOD(ROW()-5,3)=1,"仓储加工","装卸费")))</f>
        <v/>
      </c>
      <c r="E130" s="51" t="str">
        <f aca="false">IF($B130="","",IFERROR(IF($D130="周转打冷",N(INDEX(对接源_01入库吨位!$D$5:$D$304,MATCH(INT((ROW()-5)/3)+1,对接源_01入库吨位!$S$5:$S$304,0))),IF($D130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0" s="41" t="str">
        <f aca="false">IF($B130="","",ROUND(IFERROR(IF($D130="周转打冷",N(INDEX(对接源_01入库吨位!$H$5:$H$304,MATCH(INT((ROW()-5)/3)+1,对接源_01入库吨位!$S$5:$S$304,0))),IF($D130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0" s="52" t="str">
        <f aca="false">IF($B130="","",ROUND(N($F130)/1000,3))</f>
        <v/>
      </c>
      <c r="H130" s="74"/>
      <c r="I130" s="44"/>
      <c r="J130" s="75" t="str">
        <f aca="false">IF($B130="","",IF($H130="按筐数×单价",N($E130),IF($H130="按总重KG×单价",N($F130),IF($H130="按吨位×单价",N($G130),0))))</f>
        <v/>
      </c>
      <c r="K130" s="41" t="str">
        <f aca="false">IF($B130="","",ROUND(N($J130)*N($I130),2))</f>
        <v/>
      </c>
      <c r="L130" s="42"/>
      <c r="M130" s="76"/>
      <c r="N130" s="43"/>
      <c r="R130" s="77" t="str">
        <f aca="false">IF($B130="","",$B130)</f>
        <v/>
      </c>
      <c r="S130" s="77" t="n">
        <f aca="false">IF($R130="",0,IF(MATCH($R130,$R$5:$R$904,0)=ROW()-4,1,0))</f>
        <v>0</v>
      </c>
      <c r="T130" s="77" t="n">
        <f aca="false">N(T129)+$S130</f>
        <v>18</v>
      </c>
    </row>
    <row r="131" customFormat="false" ht="13.5" hidden="false" customHeight="false" outlineLevel="0" collapsed="false">
      <c r="A131" s="9" t="str">
        <f aca="false">IF($B131="","",ROW()-4)</f>
        <v/>
      </c>
      <c r="B131" s="39" t="str">
        <f aca="false">IFERROR(INDEX(对接源_01入库吨位!$B$5:$B$304,MATCH(INT((ROW()-5)/3)+1,对接源_01入库吨位!$S$5:$S$304,0)),"")</f>
        <v/>
      </c>
      <c r="C131" s="39" t="str">
        <f aca="false">IFERROR(INDEX(对接源_01入库吨位!$C$5:$C$304,MATCH(INT((ROW()-5)/3)+1,对接源_01入库吨位!$S$5:$S$304,0)),"")</f>
        <v/>
      </c>
      <c r="D131" s="40" t="str">
        <f aca="false">IF($B131="","",IF(MOD(ROW()-5,3)=0,"周转打冷",IF(MOD(ROW()-5,3)=1,"仓储加工","装卸费")))</f>
        <v/>
      </c>
      <c r="E131" s="51" t="str">
        <f aca="false">IF($B131="","",IFERROR(IF($D131="周转打冷",N(INDEX(对接源_01入库吨位!$D$5:$D$304,MATCH(INT((ROW()-5)/3)+1,对接源_01入库吨位!$S$5:$S$304,0))),IF($D131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1" s="41" t="str">
        <f aca="false">IF($B131="","",ROUND(IFERROR(IF($D131="周转打冷",N(INDEX(对接源_01入库吨位!$H$5:$H$304,MATCH(INT((ROW()-5)/3)+1,对接源_01入库吨位!$S$5:$S$304,0))),IF($D131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1" s="52" t="str">
        <f aca="false">IF($B131="","",ROUND(N($F131)/1000,3))</f>
        <v/>
      </c>
      <c r="H131" s="74"/>
      <c r="I131" s="44"/>
      <c r="J131" s="75" t="str">
        <f aca="false">IF($B131="","",IF($H131="按筐数×单价",N($E131),IF($H131="按总重KG×单价",N($F131),IF($H131="按吨位×单价",N($G131),0))))</f>
        <v/>
      </c>
      <c r="K131" s="41" t="str">
        <f aca="false">IF($B131="","",ROUND(N($J131)*N($I131),2))</f>
        <v/>
      </c>
      <c r="L131" s="42"/>
      <c r="M131" s="76"/>
      <c r="N131" s="43"/>
      <c r="R131" s="77" t="str">
        <f aca="false">IF($B131="","",$B131)</f>
        <v/>
      </c>
      <c r="S131" s="77" t="n">
        <f aca="false">IF($R131="",0,IF(MATCH($R131,$R$5:$R$904,0)=ROW()-4,1,0))</f>
        <v>0</v>
      </c>
      <c r="T131" s="77" t="n">
        <f aca="false">N(T130)+$S131</f>
        <v>18</v>
      </c>
    </row>
    <row r="132" customFormat="false" ht="13.5" hidden="false" customHeight="false" outlineLevel="0" collapsed="false">
      <c r="A132" s="9" t="str">
        <f aca="false">IF($B132="","",ROW()-4)</f>
        <v/>
      </c>
      <c r="B132" s="39" t="str">
        <f aca="false">IFERROR(INDEX(对接源_01入库吨位!$B$5:$B$304,MATCH(INT((ROW()-5)/3)+1,对接源_01入库吨位!$S$5:$S$304,0)),"")</f>
        <v/>
      </c>
      <c r="C132" s="39" t="str">
        <f aca="false">IFERROR(INDEX(对接源_01入库吨位!$C$5:$C$304,MATCH(INT((ROW()-5)/3)+1,对接源_01入库吨位!$S$5:$S$304,0)),"")</f>
        <v/>
      </c>
      <c r="D132" s="40" t="str">
        <f aca="false">IF($B132="","",IF(MOD(ROW()-5,3)=0,"周转打冷",IF(MOD(ROW()-5,3)=1,"仓储加工","装卸费")))</f>
        <v/>
      </c>
      <c r="E132" s="51" t="str">
        <f aca="false">IF($B132="","",IFERROR(IF($D132="周转打冷",N(INDEX(对接源_01入库吨位!$D$5:$D$304,MATCH(INT((ROW()-5)/3)+1,对接源_01入库吨位!$S$5:$S$304,0))),IF($D132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2" s="41" t="str">
        <f aca="false">IF($B132="","",ROUND(IFERROR(IF($D132="周转打冷",N(INDEX(对接源_01入库吨位!$H$5:$H$304,MATCH(INT((ROW()-5)/3)+1,对接源_01入库吨位!$S$5:$S$304,0))),IF($D132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2" s="52" t="str">
        <f aca="false">IF($B132="","",ROUND(N($F132)/1000,3))</f>
        <v/>
      </c>
      <c r="H132" s="74"/>
      <c r="I132" s="44"/>
      <c r="J132" s="75" t="str">
        <f aca="false">IF($B132="","",IF($H132="按筐数×单价",N($E132),IF($H132="按总重KG×单价",N($F132),IF($H132="按吨位×单价",N($G132),0))))</f>
        <v/>
      </c>
      <c r="K132" s="41" t="str">
        <f aca="false">IF($B132="","",ROUND(N($J132)*N($I132),2))</f>
        <v/>
      </c>
      <c r="L132" s="42"/>
      <c r="M132" s="76"/>
      <c r="N132" s="43"/>
      <c r="R132" s="77" t="str">
        <f aca="false">IF($B132="","",$B132)</f>
        <v/>
      </c>
      <c r="S132" s="77" t="n">
        <f aca="false">IF($R132="",0,IF(MATCH($R132,$R$5:$R$904,0)=ROW()-4,1,0))</f>
        <v>0</v>
      </c>
      <c r="T132" s="77" t="n">
        <f aca="false">N(T131)+$S132</f>
        <v>18</v>
      </c>
    </row>
    <row r="133" customFormat="false" ht="13.5" hidden="false" customHeight="false" outlineLevel="0" collapsed="false">
      <c r="A133" s="9" t="str">
        <f aca="false">IF($B133="","",ROW()-4)</f>
        <v/>
      </c>
      <c r="B133" s="39" t="str">
        <f aca="false">IFERROR(INDEX(对接源_01入库吨位!$B$5:$B$304,MATCH(INT((ROW()-5)/3)+1,对接源_01入库吨位!$S$5:$S$304,0)),"")</f>
        <v/>
      </c>
      <c r="C133" s="39" t="str">
        <f aca="false">IFERROR(INDEX(对接源_01入库吨位!$C$5:$C$304,MATCH(INT((ROW()-5)/3)+1,对接源_01入库吨位!$S$5:$S$304,0)),"")</f>
        <v/>
      </c>
      <c r="D133" s="40" t="str">
        <f aca="false">IF($B133="","",IF(MOD(ROW()-5,3)=0,"周转打冷",IF(MOD(ROW()-5,3)=1,"仓储加工","装卸费")))</f>
        <v/>
      </c>
      <c r="E133" s="51" t="str">
        <f aca="false">IF($B133="","",IFERROR(IF($D133="周转打冷",N(INDEX(对接源_01入库吨位!$D$5:$D$304,MATCH(INT((ROW()-5)/3)+1,对接源_01入库吨位!$S$5:$S$304,0))),IF($D133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3" s="41" t="str">
        <f aca="false">IF($B133="","",ROUND(IFERROR(IF($D133="周转打冷",N(INDEX(对接源_01入库吨位!$H$5:$H$304,MATCH(INT((ROW()-5)/3)+1,对接源_01入库吨位!$S$5:$S$304,0))),IF($D133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3" s="52" t="str">
        <f aca="false">IF($B133="","",ROUND(N($F133)/1000,3))</f>
        <v/>
      </c>
      <c r="H133" s="74"/>
      <c r="I133" s="44"/>
      <c r="J133" s="75" t="str">
        <f aca="false">IF($B133="","",IF($H133="按筐数×单价",N($E133),IF($H133="按总重KG×单价",N($F133),IF($H133="按吨位×单价",N($G133),0))))</f>
        <v/>
      </c>
      <c r="K133" s="41" t="str">
        <f aca="false">IF($B133="","",ROUND(N($J133)*N($I133),2))</f>
        <v/>
      </c>
      <c r="L133" s="42"/>
      <c r="M133" s="76"/>
      <c r="N133" s="43"/>
      <c r="R133" s="77" t="str">
        <f aca="false">IF($B133="","",$B133)</f>
        <v/>
      </c>
      <c r="S133" s="77" t="n">
        <f aca="false">IF($R133="",0,IF(MATCH($R133,$R$5:$R$904,0)=ROW()-4,1,0))</f>
        <v>0</v>
      </c>
      <c r="T133" s="77" t="n">
        <f aca="false">N(T132)+$S133</f>
        <v>18</v>
      </c>
    </row>
    <row r="134" customFormat="false" ht="13.5" hidden="false" customHeight="false" outlineLevel="0" collapsed="false">
      <c r="A134" s="9" t="str">
        <f aca="false">IF($B134="","",ROW()-4)</f>
        <v/>
      </c>
      <c r="B134" s="39" t="str">
        <f aca="false">IFERROR(INDEX(对接源_01入库吨位!$B$5:$B$304,MATCH(INT((ROW()-5)/3)+1,对接源_01入库吨位!$S$5:$S$304,0)),"")</f>
        <v/>
      </c>
      <c r="C134" s="39" t="str">
        <f aca="false">IFERROR(INDEX(对接源_01入库吨位!$C$5:$C$304,MATCH(INT((ROW()-5)/3)+1,对接源_01入库吨位!$S$5:$S$304,0)),"")</f>
        <v/>
      </c>
      <c r="D134" s="40" t="str">
        <f aca="false">IF($B134="","",IF(MOD(ROW()-5,3)=0,"周转打冷",IF(MOD(ROW()-5,3)=1,"仓储加工","装卸费")))</f>
        <v/>
      </c>
      <c r="E134" s="51" t="str">
        <f aca="false">IF($B134="","",IFERROR(IF($D134="周转打冷",N(INDEX(对接源_01入库吨位!$D$5:$D$304,MATCH(INT((ROW()-5)/3)+1,对接源_01入库吨位!$S$5:$S$304,0))),IF($D134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4" s="41" t="str">
        <f aca="false">IF($B134="","",ROUND(IFERROR(IF($D134="周转打冷",N(INDEX(对接源_01入库吨位!$H$5:$H$304,MATCH(INT((ROW()-5)/3)+1,对接源_01入库吨位!$S$5:$S$304,0))),IF($D134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4" s="52" t="str">
        <f aca="false">IF($B134="","",ROUND(N($F134)/1000,3))</f>
        <v/>
      </c>
      <c r="H134" s="74"/>
      <c r="I134" s="44"/>
      <c r="J134" s="75" t="str">
        <f aca="false">IF($B134="","",IF($H134="按筐数×单价",N($E134),IF($H134="按总重KG×单价",N($F134),IF($H134="按吨位×单价",N($G134),0))))</f>
        <v/>
      </c>
      <c r="K134" s="41" t="str">
        <f aca="false">IF($B134="","",ROUND(N($J134)*N($I134),2))</f>
        <v/>
      </c>
      <c r="L134" s="42"/>
      <c r="M134" s="76"/>
      <c r="N134" s="43"/>
      <c r="R134" s="77" t="str">
        <f aca="false">IF($B134="","",$B134)</f>
        <v/>
      </c>
      <c r="S134" s="77" t="n">
        <f aca="false">IF($R134="",0,IF(MATCH($R134,$R$5:$R$904,0)=ROW()-4,1,0))</f>
        <v>0</v>
      </c>
      <c r="T134" s="77" t="n">
        <f aca="false">N(T133)+$S134</f>
        <v>18</v>
      </c>
    </row>
    <row r="135" customFormat="false" ht="13.5" hidden="false" customHeight="false" outlineLevel="0" collapsed="false">
      <c r="A135" s="9" t="str">
        <f aca="false">IF($B135="","",ROW()-4)</f>
        <v/>
      </c>
      <c r="B135" s="39" t="str">
        <f aca="false">IFERROR(INDEX(对接源_01入库吨位!$B$5:$B$304,MATCH(INT((ROW()-5)/3)+1,对接源_01入库吨位!$S$5:$S$304,0)),"")</f>
        <v/>
      </c>
      <c r="C135" s="39" t="str">
        <f aca="false">IFERROR(INDEX(对接源_01入库吨位!$C$5:$C$304,MATCH(INT((ROW()-5)/3)+1,对接源_01入库吨位!$S$5:$S$304,0)),"")</f>
        <v/>
      </c>
      <c r="D135" s="40" t="str">
        <f aca="false">IF($B135="","",IF(MOD(ROW()-5,3)=0,"周转打冷",IF(MOD(ROW()-5,3)=1,"仓储加工","装卸费")))</f>
        <v/>
      </c>
      <c r="E135" s="51" t="str">
        <f aca="false">IF($B135="","",IFERROR(IF($D135="周转打冷",N(INDEX(对接源_01入库吨位!$D$5:$D$304,MATCH(INT((ROW()-5)/3)+1,对接源_01入库吨位!$S$5:$S$304,0))),IF($D135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5" s="41" t="str">
        <f aca="false">IF($B135="","",ROUND(IFERROR(IF($D135="周转打冷",N(INDEX(对接源_01入库吨位!$H$5:$H$304,MATCH(INT((ROW()-5)/3)+1,对接源_01入库吨位!$S$5:$S$304,0))),IF($D135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5" s="52" t="str">
        <f aca="false">IF($B135="","",ROUND(N($F135)/1000,3))</f>
        <v/>
      </c>
      <c r="H135" s="74"/>
      <c r="I135" s="44"/>
      <c r="J135" s="75" t="str">
        <f aca="false">IF($B135="","",IF($H135="按筐数×单价",N($E135),IF($H135="按总重KG×单价",N($F135),IF($H135="按吨位×单价",N($G135),0))))</f>
        <v/>
      </c>
      <c r="K135" s="41" t="str">
        <f aca="false">IF($B135="","",ROUND(N($J135)*N($I135),2))</f>
        <v/>
      </c>
      <c r="L135" s="42"/>
      <c r="M135" s="76"/>
      <c r="N135" s="43"/>
      <c r="R135" s="77" t="str">
        <f aca="false">IF($B135="","",$B135)</f>
        <v/>
      </c>
      <c r="S135" s="77" t="n">
        <f aca="false">IF($R135="",0,IF(MATCH($R135,$R$5:$R$904,0)=ROW()-4,1,0))</f>
        <v>0</v>
      </c>
      <c r="T135" s="77" t="n">
        <f aca="false">N(T134)+$S135</f>
        <v>18</v>
      </c>
    </row>
    <row r="136" customFormat="false" ht="13.5" hidden="false" customHeight="false" outlineLevel="0" collapsed="false">
      <c r="A136" s="9" t="str">
        <f aca="false">IF($B136="","",ROW()-4)</f>
        <v/>
      </c>
      <c r="B136" s="39" t="str">
        <f aca="false">IFERROR(INDEX(对接源_01入库吨位!$B$5:$B$304,MATCH(INT((ROW()-5)/3)+1,对接源_01入库吨位!$S$5:$S$304,0)),"")</f>
        <v/>
      </c>
      <c r="C136" s="39" t="str">
        <f aca="false">IFERROR(INDEX(对接源_01入库吨位!$C$5:$C$304,MATCH(INT((ROW()-5)/3)+1,对接源_01入库吨位!$S$5:$S$304,0)),"")</f>
        <v/>
      </c>
      <c r="D136" s="40" t="str">
        <f aca="false">IF($B136="","",IF(MOD(ROW()-5,3)=0,"周转打冷",IF(MOD(ROW()-5,3)=1,"仓储加工","装卸费")))</f>
        <v/>
      </c>
      <c r="E136" s="51" t="str">
        <f aca="false">IF($B136="","",IFERROR(IF($D136="周转打冷",N(INDEX(对接源_01入库吨位!$D$5:$D$304,MATCH(INT((ROW()-5)/3)+1,对接源_01入库吨位!$S$5:$S$304,0))),IF($D136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6" s="41" t="str">
        <f aca="false">IF($B136="","",ROUND(IFERROR(IF($D136="周转打冷",N(INDEX(对接源_01入库吨位!$H$5:$H$304,MATCH(INT((ROW()-5)/3)+1,对接源_01入库吨位!$S$5:$S$304,0))),IF($D136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6" s="52" t="str">
        <f aca="false">IF($B136="","",ROUND(N($F136)/1000,3))</f>
        <v/>
      </c>
      <c r="H136" s="74"/>
      <c r="I136" s="44"/>
      <c r="J136" s="75" t="str">
        <f aca="false">IF($B136="","",IF($H136="按筐数×单价",N($E136),IF($H136="按总重KG×单价",N($F136),IF($H136="按吨位×单价",N($G136),0))))</f>
        <v/>
      </c>
      <c r="K136" s="41" t="str">
        <f aca="false">IF($B136="","",ROUND(N($J136)*N($I136),2))</f>
        <v/>
      </c>
      <c r="L136" s="42"/>
      <c r="M136" s="76"/>
      <c r="N136" s="43"/>
      <c r="R136" s="77" t="str">
        <f aca="false">IF($B136="","",$B136)</f>
        <v/>
      </c>
      <c r="S136" s="77" t="n">
        <f aca="false">IF($R136="",0,IF(MATCH($R136,$R$5:$R$904,0)=ROW()-4,1,0))</f>
        <v>0</v>
      </c>
      <c r="T136" s="77" t="n">
        <f aca="false">N(T135)+$S136</f>
        <v>18</v>
      </c>
    </row>
    <row r="137" customFormat="false" ht="13.5" hidden="false" customHeight="false" outlineLevel="0" collapsed="false">
      <c r="A137" s="9" t="str">
        <f aca="false">IF($B137="","",ROW()-4)</f>
        <v/>
      </c>
      <c r="B137" s="39" t="str">
        <f aca="false">IFERROR(INDEX(对接源_01入库吨位!$B$5:$B$304,MATCH(INT((ROW()-5)/3)+1,对接源_01入库吨位!$S$5:$S$304,0)),"")</f>
        <v/>
      </c>
      <c r="C137" s="39" t="str">
        <f aca="false">IFERROR(INDEX(对接源_01入库吨位!$C$5:$C$304,MATCH(INT((ROW()-5)/3)+1,对接源_01入库吨位!$S$5:$S$304,0)),"")</f>
        <v/>
      </c>
      <c r="D137" s="40" t="str">
        <f aca="false">IF($B137="","",IF(MOD(ROW()-5,3)=0,"周转打冷",IF(MOD(ROW()-5,3)=1,"仓储加工","装卸费")))</f>
        <v/>
      </c>
      <c r="E137" s="51" t="str">
        <f aca="false">IF($B137="","",IFERROR(IF($D137="周转打冷",N(INDEX(对接源_01入库吨位!$D$5:$D$304,MATCH(INT((ROW()-5)/3)+1,对接源_01入库吨位!$S$5:$S$304,0))),IF($D137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7" s="41" t="str">
        <f aca="false">IF($B137="","",ROUND(IFERROR(IF($D137="周转打冷",N(INDEX(对接源_01入库吨位!$H$5:$H$304,MATCH(INT((ROW()-5)/3)+1,对接源_01入库吨位!$S$5:$S$304,0))),IF($D137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7" s="52" t="str">
        <f aca="false">IF($B137="","",ROUND(N($F137)/1000,3))</f>
        <v/>
      </c>
      <c r="H137" s="74"/>
      <c r="I137" s="44"/>
      <c r="J137" s="75" t="str">
        <f aca="false">IF($B137="","",IF($H137="按筐数×单价",N($E137),IF($H137="按总重KG×单价",N($F137),IF($H137="按吨位×单价",N($G137),0))))</f>
        <v/>
      </c>
      <c r="K137" s="41" t="str">
        <f aca="false">IF($B137="","",ROUND(N($J137)*N($I137),2))</f>
        <v/>
      </c>
      <c r="L137" s="42"/>
      <c r="M137" s="76"/>
      <c r="N137" s="43"/>
      <c r="R137" s="77" t="str">
        <f aca="false">IF($B137="","",$B137)</f>
        <v/>
      </c>
      <c r="S137" s="77" t="n">
        <f aca="false">IF($R137="",0,IF(MATCH($R137,$R$5:$R$904,0)=ROW()-4,1,0))</f>
        <v>0</v>
      </c>
      <c r="T137" s="77" t="n">
        <f aca="false">N(T136)+$S137</f>
        <v>18</v>
      </c>
    </row>
    <row r="138" customFormat="false" ht="13.5" hidden="false" customHeight="false" outlineLevel="0" collapsed="false">
      <c r="A138" s="9" t="str">
        <f aca="false">IF($B138="","",ROW()-4)</f>
        <v/>
      </c>
      <c r="B138" s="39" t="str">
        <f aca="false">IFERROR(INDEX(对接源_01入库吨位!$B$5:$B$304,MATCH(INT((ROW()-5)/3)+1,对接源_01入库吨位!$S$5:$S$304,0)),"")</f>
        <v/>
      </c>
      <c r="C138" s="39" t="str">
        <f aca="false">IFERROR(INDEX(对接源_01入库吨位!$C$5:$C$304,MATCH(INT((ROW()-5)/3)+1,对接源_01入库吨位!$S$5:$S$304,0)),"")</f>
        <v/>
      </c>
      <c r="D138" s="40" t="str">
        <f aca="false">IF($B138="","",IF(MOD(ROW()-5,3)=0,"周转打冷",IF(MOD(ROW()-5,3)=1,"仓储加工","装卸费")))</f>
        <v/>
      </c>
      <c r="E138" s="51" t="str">
        <f aca="false">IF($B138="","",IFERROR(IF($D138="周转打冷",N(INDEX(对接源_01入库吨位!$D$5:$D$304,MATCH(INT((ROW()-5)/3)+1,对接源_01入库吨位!$S$5:$S$304,0))),IF($D138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8" s="41" t="str">
        <f aca="false">IF($B138="","",ROUND(IFERROR(IF($D138="周转打冷",N(INDEX(对接源_01入库吨位!$H$5:$H$304,MATCH(INT((ROW()-5)/3)+1,对接源_01入库吨位!$S$5:$S$304,0))),IF($D138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8" s="52" t="str">
        <f aca="false">IF($B138="","",ROUND(N($F138)/1000,3))</f>
        <v/>
      </c>
      <c r="H138" s="74"/>
      <c r="I138" s="44"/>
      <c r="J138" s="75" t="str">
        <f aca="false">IF($B138="","",IF($H138="按筐数×单价",N($E138),IF($H138="按总重KG×单价",N($F138),IF($H138="按吨位×单价",N($G138),0))))</f>
        <v/>
      </c>
      <c r="K138" s="41" t="str">
        <f aca="false">IF($B138="","",ROUND(N($J138)*N($I138),2))</f>
        <v/>
      </c>
      <c r="L138" s="42"/>
      <c r="M138" s="76"/>
      <c r="N138" s="43"/>
      <c r="R138" s="77" t="str">
        <f aca="false">IF($B138="","",$B138)</f>
        <v/>
      </c>
      <c r="S138" s="77" t="n">
        <f aca="false">IF($R138="",0,IF(MATCH($R138,$R$5:$R$904,0)=ROW()-4,1,0))</f>
        <v>0</v>
      </c>
      <c r="T138" s="77" t="n">
        <f aca="false">N(T137)+$S138</f>
        <v>18</v>
      </c>
    </row>
    <row r="139" customFormat="false" ht="13.5" hidden="false" customHeight="false" outlineLevel="0" collapsed="false">
      <c r="A139" s="9" t="str">
        <f aca="false">IF($B139="","",ROW()-4)</f>
        <v/>
      </c>
      <c r="B139" s="39" t="str">
        <f aca="false">IFERROR(INDEX(对接源_01入库吨位!$B$5:$B$304,MATCH(INT((ROW()-5)/3)+1,对接源_01入库吨位!$S$5:$S$304,0)),"")</f>
        <v/>
      </c>
      <c r="C139" s="39" t="str">
        <f aca="false">IFERROR(INDEX(对接源_01入库吨位!$C$5:$C$304,MATCH(INT((ROW()-5)/3)+1,对接源_01入库吨位!$S$5:$S$304,0)),"")</f>
        <v/>
      </c>
      <c r="D139" s="40" t="str">
        <f aca="false">IF($B139="","",IF(MOD(ROW()-5,3)=0,"周转打冷",IF(MOD(ROW()-5,3)=1,"仓储加工","装卸费")))</f>
        <v/>
      </c>
      <c r="E139" s="51" t="str">
        <f aca="false">IF($B139="","",IFERROR(IF($D139="周转打冷",N(INDEX(对接源_01入库吨位!$D$5:$D$304,MATCH(INT((ROW()-5)/3)+1,对接源_01入库吨位!$S$5:$S$304,0))),IF($D139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39" s="41" t="str">
        <f aca="false">IF($B139="","",ROUND(IFERROR(IF($D139="周转打冷",N(INDEX(对接源_01入库吨位!$H$5:$H$304,MATCH(INT((ROW()-5)/3)+1,对接源_01入库吨位!$S$5:$S$304,0))),IF($D139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39" s="52" t="str">
        <f aca="false">IF($B139="","",ROUND(N($F139)/1000,3))</f>
        <v/>
      </c>
      <c r="H139" s="74"/>
      <c r="I139" s="44"/>
      <c r="J139" s="75" t="str">
        <f aca="false">IF($B139="","",IF($H139="按筐数×单价",N($E139),IF($H139="按总重KG×单价",N($F139),IF($H139="按吨位×单价",N($G139),0))))</f>
        <v/>
      </c>
      <c r="K139" s="41" t="str">
        <f aca="false">IF($B139="","",ROUND(N($J139)*N($I139),2))</f>
        <v/>
      </c>
      <c r="L139" s="42"/>
      <c r="M139" s="76"/>
      <c r="N139" s="43"/>
      <c r="R139" s="77" t="str">
        <f aca="false">IF($B139="","",$B139)</f>
        <v/>
      </c>
      <c r="S139" s="77" t="n">
        <f aca="false">IF($R139="",0,IF(MATCH($R139,$R$5:$R$904,0)=ROW()-4,1,0))</f>
        <v>0</v>
      </c>
      <c r="T139" s="77" t="n">
        <f aca="false">N(T138)+$S139</f>
        <v>18</v>
      </c>
    </row>
    <row r="140" customFormat="false" ht="13.5" hidden="false" customHeight="false" outlineLevel="0" collapsed="false">
      <c r="A140" s="9" t="str">
        <f aca="false">IF($B140="","",ROW()-4)</f>
        <v/>
      </c>
      <c r="B140" s="39" t="str">
        <f aca="false">IFERROR(INDEX(对接源_01入库吨位!$B$5:$B$304,MATCH(INT((ROW()-5)/3)+1,对接源_01入库吨位!$S$5:$S$304,0)),"")</f>
        <v/>
      </c>
      <c r="C140" s="39" t="str">
        <f aca="false">IFERROR(INDEX(对接源_01入库吨位!$C$5:$C$304,MATCH(INT((ROW()-5)/3)+1,对接源_01入库吨位!$S$5:$S$304,0)),"")</f>
        <v/>
      </c>
      <c r="D140" s="40" t="str">
        <f aca="false">IF($B140="","",IF(MOD(ROW()-5,3)=0,"周转打冷",IF(MOD(ROW()-5,3)=1,"仓储加工","装卸费")))</f>
        <v/>
      </c>
      <c r="E140" s="51" t="str">
        <f aca="false">IF($B140="","",IFERROR(IF($D140="周转打冷",N(INDEX(对接源_01入库吨位!$D$5:$D$304,MATCH(INT((ROW()-5)/3)+1,对接源_01入库吨位!$S$5:$S$304,0))),IF($D140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0" s="41" t="str">
        <f aca="false">IF($B140="","",ROUND(IFERROR(IF($D140="周转打冷",N(INDEX(对接源_01入库吨位!$H$5:$H$304,MATCH(INT((ROW()-5)/3)+1,对接源_01入库吨位!$S$5:$S$304,0))),IF($D140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0" s="52" t="str">
        <f aca="false">IF($B140="","",ROUND(N($F140)/1000,3))</f>
        <v/>
      </c>
      <c r="H140" s="74"/>
      <c r="I140" s="44"/>
      <c r="J140" s="75" t="str">
        <f aca="false">IF($B140="","",IF($H140="按筐数×单价",N($E140),IF($H140="按总重KG×单价",N($F140),IF($H140="按吨位×单价",N($G140),0))))</f>
        <v/>
      </c>
      <c r="K140" s="41" t="str">
        <f aca="false">IF($B140="","",ROUND(N($J140)*N($I140),2))</f>
        <v/>
      </c>
      <c r="L140" s="42"/>
      <c r="M140" s="76"/>
      <c r="N140" s="43"/>
      <c r="R140" s="77" t="str">
        <f aca="false">IF($B140="","",$B140)</f>
        <v/>
      </c>
      <c r="S140" s="77" t="n">
        <f aca="false">IF($R140="",0,IF(MATCH($R140,$R$5:$R$904,0)=ROW()-4,1,0))</f>
        <v>0</v>
      </c>
      <c r="T140" s="77" t="n">
        <f aca="false">N(T139)+$S140</f>
        <v>18</v>
      </c>
    </row>
    <row r="141" customFormat="false" ht="13.5" hidden="false" customHeight="false" outlineLevel="0" collapsed="false">
      <c r="A141" s="9" t="str">
        <f aca="false">IF($B141="","",ROW()-4)</f>
        <v/>
      </c>
      <c r="B141" s="39" t="str">
        <f aca="false">IFERROR(INDEX(对接源_01入库吨位!$B$5:$B$304,MATCH(INT((ROW()-5)/3)+1,对接源_01入库吨位!$S$5:$S$304,0)),"")</f>
        <v/>
      </c>
      <c r="C141" s="39" t="str">
        <f aca="false">IFERROR(INDEX(对接源_01入库吨位!$C$5:$C$304,MATCH(INT((ROW()-5)/3)+1,对接源_01入库吨位!$S$5:$S$304,0)),"")</f>
        <v/>
      </c>
      <c r="D141" s="40" t="str">
        <f aca="false">IF($B141="","",IF(MOD(ROW()-5,3)=0,"周转打冷",IF(MOD(ROW()-5,3)=1,"仓储加工","装卸费")))</f>
        <v/>
      </c>
      <c r="E141" s="51" t="str">
        <f aca="false">IF($B141="","",IFERROR(IF($D141="周转打冷",N(INDEX(对接源_01入库吨位!$D$5:$D$304,MATCH(INT((ROW()-5)/3)+1,对接源_01入库吨位!$S$5:$S$304,0))),IF($D141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1" s="41" t="str">
        <f aca="false">IF($B141="","",ROUND(IFERROR(IF($D141="周转打冷",N(INDEX(对接源_01入库吨位!$H$5:$H$304,MATCH(INT((ROW()-5)/3)+1,对接源_01入库吨位!$S$5:$S$304,0))),IF($D141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1" s="52" t="str">
        <f aca="false">IF($B141="","",ROUND(N($F141)/1000,3))</f>
        <v/>
      </c>
      <c r="H141" s="74"/>
      <c r="I141" s="44"/>
      <c r="J141" s="75" t="str">
        <f aca="false">IF($B141="","",IF($H141="按筐数×单价",N($E141),IF($H141="按总重KG×单价",N($F141),IF($H141="按吨位×单价",N($G141),0))))</f>
        <v/>
      </c>
      <c r="K141" s="41" t="str">
        <f aca="false">IF($B141="","",ROUND(N($J141)*N($I141),2))</f>
        <v/>
      </c>
      <c r="L141" s="42"/>
      <c r="M141" s="76"/>
      <c r="N141" s="43"/>
      <c r="R141" s="77" t="str">
        <f aca="false">IF($B141="","",$B141)</f>
        <v/>
      </c>
      <c r="S141" s="77" t="n">
        <f aca="false">IF($R141="",0,IF(MATCH($R141,$R$5:$R$904,0)=ROW()-4,1,0))</f>
        <v>0</v>
      </c>
      <c r="T141" s="77" t="n">
        <f aca="false">N(T140)+$S141</f>
        <v>18</v>
      </c>
    </row>
    <row r="142" customFormat="false" ht="13.5" hidden="false" customHeight="false" outlineLevel="0" collapsed="false">
      <c r="A142" s="9" t="str">
        <f aca="false">IF($B142="","",ROW()-4)</f>
        <v/>
      </c>
      <c r="B142" s="39" t="str">
        <f aca="false">IFERROR(INDEX(对接源_01入库吨位!$B$5:$B$304,MATCH(INT((ROW()-5)/3)+1,对接源_01入库吨位!$S$5:$S$304,0)),"")</f>
        <v/>
      </c>
      <c r="C142" s="39" t="str">
        <f aca="false">IFERROR(INDEX(对接源_01入库吨位!$C$5:$C$304,MATCH(INT((ROW()-5)/3)+1,对接源_01入库吨位!$S$5:$S$304,0)),"")</f>
        <v/>
      </c>
      <c r="D142" s="40" t="str">
        <f aca="false">IF($B142="","",IF(MOD(ROW()-5,3)=0,"周转打冷",IF(MOD(ROW()-5,3)=1,"仓储加工","装卸费")))</f>
        <v/>
      </c>
      <c r="E142" s="51" t="str">
        <f aca="false">IF($B142="","",IFERROR(IF($D142="周转打冷",N(INDEX(对接源_01入库吨位!$D$5:$D$304,MATCH(INT((ROW()-5)/3)+1,对接源_01入库吨位!$S$5:$S$304,0))),IF($D142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2" s="41" t="str">
        <f aca="false">IF($B142="","",ROUND(IFERROR(IF($D142="周转打冷",N(INDEX(对接源_01入库吨位!$H$5:$H$304,MATCH(INT((ROW()-5)/3)+1,对接源_01入库吨位!$S$5:$S$304,0))),IF($D142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2" s="52" t="str">
        <f aca="false">IF($B142="","",ROUND(N($F142)/1000,3))</f>
        <v/>
      </c>
      <c r="H142" s="74"/>
      <c r="I142" s="44"/>
      <c r="J142" s="75" t="str">
        <f aca="false">IF($B142="","",IF($H142="按筐数×单价",N($E142),IF($H142="按总重KG×单价",N($F142),IF($H142="按吨位×单价",N($G142),0))))</f>
        <v/>
      </c>
      <c r="K142" s="41" t="str">
        <f aca="false">IF($B142="","",ROUND(N($J142)*N($I142),2))</f>
        <v/>
      </c>
      <c r="L142" s="42"/>
      <c r="M142" s="76"/>
      <c r="N142" s="43"/>
      <c r="R142" s="77" t="str">
        <f aca="false">IF($B142="","",$B142)</f>
        <v/>
      </c>
      <c r="S142" s="77" t="n">
        <f aca="false">IF($R142="",0,IF(MATCH($R142,$R$5:$R$904,0)=ROW()-4,1,0))</f>
        <v>0</v>
      </c>
      <c r="T142" s="77" t="n">
        <f aca="false">N(T141)+$S142</f>
        <v>18</v>
      </c>
    </row>
    <row r="143" customFormat="false" ht="13.5" hidden="false" customHeight="false" outlineLevel="0" collapsed="false">
      <c r="A143" s="9" t="str">
        <f aca="false">IF($B143="","",ROW()-4)</f>
        <v/>
      </c>
      <c r="B143" s="39" t="str">
        <f aca="false">IFERROR(INDEX(对接源_01入库吨位!$B$5:$B$304,MATCH(INT((ROW()-5)/3)+1,对接源_01入库吨位!$S$5:$S$304,0)),"")</f>
        <v/>
      </c>
      <c r="C143" s="39" t="str">
        <f aca="false">IFERROR(INDEX(对接源_01入库吨位!$C$5:$C$304,MATCH(INT((ROW()-5)/3)+1,对接源_01入库吨位!$S$5:$S$304,0)),"")</f>
        <v/>
      </c>
      <c r="D143" s="40" t="str">
        <f aca="false">IF($B143="","",IF(MOD(ROW()-5,3)=0,"周转打冷",IF(MOD(ROW()-5,3)=1,"仓储加工","装卸费")))</f>
        <v/>
      </c>
      <c r="E143" s="51" t="str">
        <f aca="false">IF($B143="","",IFERROR(IF($D143="周转打冷",N(INDEX(对接源_01入库吨位!$D$5:$D$304,MATCH(INT((ROW()-5)/3)+1,对接源_01入库吨位!$S$5:$S$304,0))),IF($D143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3" s="41" t="str">
        <f aca="false">IF($B143="","",ROUND(IFERROR(IF($D143="周转打冷",N(INDEX(对接源_01入库吨位!$H$5:$H$304,MATCH(INT((ROW()-5)/3)+1,对接源_01入库吨位!$S$5:$S$304,0))),IF($D143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3" s="52" t="str">
        <f aca="false">IF($B143="","",ROUND(N($F143)/1000,3))</f>
        <v/>
      </c>
      <c r="H143" s="74"/>
      <c r="I143" s="44"/>
      <c r="J143" s="75" t="str">
        <f aca="false">IF($B143="","",IF($H143="按筐数×单价",N($E143),IF($H143="按总重KG×单价",N($F143),IF($H143="按吨位×单价",N($G143),0))))</f>
        <v/>
      </c>
      <c r="K143" s="41" t="str">
        <f aca="false">IF($B143="","",ROUND(N($J143)*N($I143),2))</f>
        <v/>
      </c>
      <c r="L143" s="42"/>
      <c r="M143" s="76"/>
      <c r="N143" s="43"/>
      <c r="R143" s="77" t="str">
        <f aca="false">IF($B143="","",$B143)</f>
        <v/>
      </c>
      <c r="S143" s="77" t="n">
        <f aca="false">IF($R143="",0,IF(MATCH($R143,$R$5:$R$904,0)=ROW()-4,1,0))</f>
        <v>0</v>
      </c>
      <c r="T143" s="77" t="n">
        <f aca="false">N(T142)+$S143</f>
        <v>18</v>
      </c>
    </row>
    <row r="144" customFormat="false" ht="13.5" hidden="false" customHeight="false" outlineLevel="0" collapsed="false">
      <c r="A144" s="9" t="str">
        <f aca="false">IF($B144="","",ROW()-4)</f>
        <v/>
      </c>
      <c r="B144" s="39" t="str">
        <f aca="false">IFERROR(INDEX(对接源_01入库吨位!$B$5:$B$304,MATCH(INT((ROW()-5)/3)+1,对接源_01入库吨位!$S$5:$S$304,0)),"")</f>
        <v/>
      </c>
      <c r="C144" s="39" t="str">
        <f aca="false">IFERROR(INDEX(对接源_01入库吨位!$C$5:$C$304,MATCH(INT((ROW()-5)/3)+1,对接源_01入库吨位!$S$5:$S$304,0)),"")</f>
        <v/>
      </c>
      <c r="D144" s="40" t="str">
        <f aca="false">IF($B144="","",IF(MOD(ROW()-5,3)=0,"周转打冷",IF(MOD(ROW()-5,3)=1,"仓储加工","装卸费")))</f>
        <v/>
      </c>
      <c r="E144" s="51" t="str">
        <f aca="false">IF($B144="","",IFERROR(IF($D144="周转打冷",N(INDEX(对接源_01入库吨位!$D$5:$D$304,MATCH(INT((ROW()-5)/3)+1,对接源_01入库吨位!$S$5:$S$304,0))),IF($D144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4" s="41" t="str">
        <f aca="false">IF($B144="","",ROUND(IFERROR(IF($D144="周转打冷",N(INDEX(对接源_01入库吨位!$H$5:$H$304,MATCH(INT((ROW()-5)/3)+1,对接源_01入库吨位!$S$5:$S$304,0))),IF($D144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4" s="52" t="str">
        <f aca="false">IF($B144="","",ROUND(N($F144)/1000,3))</f>
        <v/>
      </c>
      <c r="H144" s="74"/>
      <c r="I144" s="44"/>
      <c r="J144" s="75" t="str">
        <f aca="false">IF($B144="","",IF($H144="按筐数×单价",N($E144),IF($H144="按总重KG×单价",N($F144),IF($H144="按吨位×单价",N($G144),0))))</f>
        <v/>
      </c>
      <c r="K144" s="41" t="str">
        <f aca="false">IF($B144="","",ROUND(N($J144)*N($I144),2))</f>
        <v/>
      </c>
      <c r="L144" s="42"/>
      <c r="M144" s="76"/>
      <c r="N144" s="43"/>
      <c r="R144" s="77" t="str">
        <f aca="false">IF($B144="","",$B144)</f>
        <v/>
      </c>
      <c r="S144" s="77" t="n">
        <f aca="false">IF($R144="",0,IF(MATCH($R144,$R$5:$R$904,0)=ROW()-4,1,0))</f>
        <v>0</v>
      </c>
      <c r="T144" s="77" t="n">
        <f aca="false">N(T143)+$S144</f>
        <v>18</v>
      </c>
    </row>
    <row r="145" customFormat="false" ht="13.5" hidden="false" customHeight="false" outlineLevel="0" collapsed="false">
      <c r="A145" s="9" t="str">
        <f aca="false">IF($B145="","",ROW()-4)</f>
        <v/>
      </c>
      <c r="B145" s="39" t="str">
        <f aca="false">IFERROR(INDEX(对接源_01入库吨位!$B$5:$B$304,MATCH(INT((ROW()-5)/3)+1,对接源_01入库吨位!$S$5:$S$304,0)),"")</f>
        <v/>
      </c>
      <c r="C145" s="39" t="str">
        <f aca="false">IFERROR(INDEX(对接源_01入库吨位!$C$5:$C$304,MATCH(INT((ROW()-5)/3)+1,对接源_01入库吨位!$S$5:$S$304,0)),"")</f>
        <v/>
      </c>
      <c r="D145" s="40" t="str">
        <f aca="false">IF($B145="","",IF(MOD(ROW()-5,3)=0,"周转打冷",IF(MOD(ROW()-5,3)=1,"仓储加工","装卸费")))</f>
        <v/>
      </c>
      <c r="E145" s="51" t="str">
        <f aca="false">IF($B145="","",IFERROR(IF($D145="周转打冷",N(INDEX(对接源_01入库吨位!$D$5:$D$304,MATCH(INT((ROW()-5)/3)+1,对接源_01入库吨位!$S$5:$S$304,0))),IF($D145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5" s="41" t="str">
        <f aca="false">IF($B145="","",ROUND(IFERROR(IF($D145="周转打冷",N(INDEX(对接源_01入库吨位!$H$5:$H$304,MATCH(INT((ROW()-5)/3)+1,对接源_01入库吨位!$S$5:$S$304,0))),IF($D145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5" s="52" t="str">
        <f aca="false">IF($B145="","",ROUND(N($F145)/1000,3))</f>
        <v/>
      </c>
      <c r="H145" s="74"/>
      <c r="I145" s="44"/>
      <c r="J145" s="75" t="str">
        <f aca="false">IF($B145="","",IF($H145="按筐数×单价",N($E145),IF($H145="按总重KG×单价",N($F145),IF($H145="按吨位×单价",N($G145),0))))</f>
        <v/>
      </c>
      <c r="K145" s="41" t="str">
        <f aca="false">IF($B145="","",ROUND(N($J145)*N($I145),2))</f>
        <v/>
      </c>
      <c r="L145" s="42"/>
      <c r="M145" s="76"/>
      <c r="N145" s="43"/>
      <c r="R145" s="77" t="str">
        <f aca="false">IF($B145="","",$B145)</f>
        <v/>
      </c>
      <c r="S145" s="77" t="n">
        <f aca="false">IF($R145="",0,IF(MATCH($R145,$R$5:$R$904,0)=ROW()-4,1,0))</f>
        <v>0</v>
      </c>
      <c r="T145" s="77" t="n">
        <f aca="false">N(T144)+$S145</f>
        <v>18</v>
      </c>
    </row>
    <row r="146" customFormat="false" ht="13.5" hidden="false" customHeight="false" outlineLevel="0" collapsed="false">
      <c r="A146" s="9" t="str">
        <f aca="false">IF($B146="","",ROW()-4)</f>
        <v/>
      </c>
      <c r="B146" s="39" t="str">
        <f aca="false">IFERROR(INDEX(对接源_01入库吨位!$B$5:$B$304,MATCH(INT((ROW()-5)/3)+1,对接源_01入库吨位!$S$5:$S$304,0)),"")</f>
        <v/>
      </c>
      <c r="C146" s="39" t="str">
        <f aca="false">IFERROR(INDEX(对接源_01入库吨位!$C$5:$C$304,MATCH(INT((ROW()-5)/3)+1,对接源_01入库吨位!$S$5:$S$304,0)),"")</f>
        <v/>
      </c>
      <c r="D146" s="40" t="str">
        <f aca="false">IF($B146="","",IF(MOD(ROW()-5,3)=0,"周转打冷",IF(MOD(ROW()-5,3)=1,"仓储加工","装卸费")))</f>
        <v/>
      </c>
      <c r="E146" s="51" t="str">
        <f aca="false">IF($B146="","",IFERROR(IF($D146="周转打冷",N(INDEX(对接源_01入库吨位!$D$5:$D$304,MATCH(INT((ROW()-5)/3)+1,对接源_01入库吨位!$S$5:$S$304,0))),IF($D146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6" s="41" t="str">
        <f aca="false">IF($B146="","",ROUND(IFERROR(IF($D146="周转打冷",N(INDEX(对接源_01入库吨位!$H$5:$H$304,MATCH(INT((ROW()-5)/3)+1,对接源_01入库吨位!$S$5:$S$304,0))),IF($D146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6" s="52" t="str">
        <f aca="false">IF($B146="","",ROUND(N($F146)/1000,3))</f>
        <v/>
      </c>
      <c r="H146" s="74"/>
      <c r="I146" s="44"/>
      <c r="J146" s="75" t="str">
        <f aca="false">IF($B146="","",IF($H146="按筐数×单价",N($E146),IF($H146="按总重KG×单价",N($F146),IF($H146="按吨位×单价",N($G146),0))))</f>
        <v/>
      </c>
      <c r="K146" s="41" t="str">
        <f aca="false">IF($B146="","",ROUND(N($J146)*N($I146),2))</f>
        <v/>
      </c>
      <c r="L146" s="42"/>
      <c r="M146" s="76"/>
      <c r="N146" s="43"/>
      <c r="R146" s="77" t="str">
        <f aca="false">IF($B146="","",$B146)</f>
        <v/>
      </c>
      <c r="S146" s="77" t="n">
        <f aca="false">IF($R146="",0,IF(MATCH($R146,$R$5:$R$904,0)=ROW()-4,1,0))</f>
        <v>0</v>
      </c>
      <c r="T146" s="77" t="n">
        <f aca="false">N(T145)+$S146</f>
        <v>18</v>
      </c>
    </row>
    <row r="147" customFormat="false" ht="13.5" hidden="false" customHeight="false" outlineLevel="0" collapsed="false">
      <c r="A147" s="9" t="str">
        <f aca="false">IF($B147="","",ROW()-4)</f>
        <v/>
      </c>
      <c r="B147" s="39" t="str">
        <f aca="false">IFERROR(INDEX(对接源_01入库吨位!$B$5:$B$304,MATCH(INT((ROW()-5)/3)+1,对接源_01入库吨位!$S$5:$S$304,0)),"")</f>
        <v/>
      </c>
      <c r="C147" s="39" t="str">
        <f aca="false">IFERROR(INDEX(对接源_01入库吨位!$C$5:$C$304,MATCH(INT((ROW()-5)/3)+1,对接源_01入库吨位!$S$5:$S$304,0)),"")</f>
        <v/>
      </c>
      <c r="D147" s="40" t="str">
        <f aca="false">IF($B147="","",IF(MOD(ROW()-5,3)=0,"周转打冷",IF(MOD(ROW()-5,3)=1,"仓储加工","装卸费")))</f>
        <v/>
      </c>
      <c r="E147" s="51" t="str">
        <f aca="false">IF($B147="","",IFERROR(IF($D147="周转打冷",N(INDEX(对接源_01入库吨位!$D$5:$D$304,MATCH(INT((ROW()-5)/3)+1,对接源_01入库吨位!$S$5:$S$304,0))),IF($D147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7" s="41" t="str">
        <f aca="false">IF($B147="","",ROUND(IFERROR(IF($D147="周转打冷",N(INDEX(对接源_01入库吨位!$H$5:$H$304,MATCH(INT((ROW()-5)/3)+1,对接源_01入库吨位!$S$5:$S$304,0))),IF($D147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7" s="52" t="str">
        <f aca="false">IF($B147="","",ROUND(N($F147)/1000,3))</f>
        <v/>
      </c>
      <c r="H147" s="74"/>
      <c r="I147" s="44"/>
      <c r="J147" s="75" t="str">
        <f aca="false">IF($B147="","",IF($H147="按筐数×单价",N($E147),IF($H147="按总重KG×单价",N($F147),IF($H147="按吨位×单价",N($G147),0))))</f>
        <v/>
      </c>
      <c r="K147" s="41" t="str">
        <f aca="false">IF($B147="","",ROUND(N($J147)*N($I147),2))</f>
        <v/>
      </c>
      <c r="L147" s="42"/>
      <c r="M147" s="76"/>
      <c r="N147" s="43"/>
      <c r="R147" s="77" t="str">
        <f aca="false">IF($B147="","",$B147)</f>
        <v/>
      </c>
      <c r="S147" s="77" t="n">
        <f aca="false">IF($R147="",0,IF(MATCH($R147,$R$5:$R$904,0)=ROW()-4,1,0))</f>
        <v>0</v>
      </c>
      <c r="T147" s="77" t="n">
        <f aca="false">N(T146)+$S147</f>
        <v>18</v>
      </c>
    </row>
    <row r="148" customFormat="false" ht="13.5" hidden="false" customHeight="false" outlineLevel="0" collapsed="false">
      <c r="A148" s="9" t="str">
        <f aca="false">IF($B148="","",ROW()-4)</f>
        <v/>
      </c>
      <c r="B148" s="39" t="str">
        <f aca="false">IFERROR(INDEX(对接源_01入库吨位!$B$5:$B$304,MATCH(INT((ROW()-5)/3)+1,对接源_01入库吨位!$S$5:$S$304,0)),"")</f>
        <v/>
      </c>
      <c r="C148" s="39" t="str">
        <f aca="false">IFERROR(INDEX(对接源_01入库吨位!$C$5:$C$304,MATCH(INT((ROW()-5)/3)+1,对接源_01入库吨位!$S$5:$S$304,0)),"")</f>
        <v/>
      </c>
      <c r="D148" s="40" t="str">
        <f aca="false">IF($B148="","",IF(MOD(ROW()-5,3)=0,"周转打冷",IF(MOD(ROW()-5,3)=1,"仓储加工","装卸费")))</f>
        <v/>
      </c>
      <c r="E148" s="51" t="str">
        <f aca="false">IF($B148="","",IFERROR(IF($D148="周转打冷",N(INDEX(对接源_01入库吨位!$D$5:$D$304,MATCH(INT((ROW()-5)/3)+1,对接源_01入库吨位!$S$5:$S$304,0))),IF($D148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8" s="41" t="str">
        <f aca="false">IF($B148="","",ROUND(IFERROR(IF($D148="周转打冷",N(INDEX(对接源_01入库吨位!$H$5:$H$304,MATCH(INT((ROW()-5)/3)+1,对接源_01入库吨位!$S$5:$S$304,0))),IF($D148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8" s="52" t="str">
        <f aca="false">IF($B148="","",ROUND(N($F148)/1000,3))</f>
        <v/>
      </c>
      <c r="H148" s="74"/>
      <c r="I148" s="44"/>
      <c r="J148" s="75" t="str">
        <f aca="false">IF($B148="","",IF($H148="按筐数×单价",N($E148),IF($H148="按总重KG×单价",N($F148),IF($H148="按吨位×单价",N($G148),0))))</f>
        <v/>
      </c>
      <c r="K148" s="41" t="str">
        <f aca="false">IF($B148="","",ROUND(N($J148)*N($I148),2))</f>
        <v/>
      </c>
      <c r="L148" s="42"/>
      <c r="M148" s="76"/>
      <c r="N148" s="43"/>
      <c r="R148" s="77" t="str">
        <f aca="false">IF($B148="","",$B148)</f>
        <v/>
      </c>
      <c r="S148" s="77" t="n">
        <f aca="false">IF($R148="",0,IF(MATCH($R148,$R$5:$R$904,0)=ROW()-4,1,0))</f>
        <v>0</v>
      </c>
      <c r="T148" s="77" t="n">
        <f aca="false">N(T147)+$S148</f>
        <v>18</v>
      </c>
    </row>
    <row r="149" customFormat="false" ht="13.5" hidden="false" customHeight="false" outlineLevel="0" collapsed="false">
      <c r="A149" s="9" t="str">
        <f aca="false">IF($B149="","",ROW()-4)</f>
        <v/>
      </c>
      <c r="B149" s="39" t="str">
        <f aca="false">IFERROR(INDEX(对接源_01入库吨位!$B$5:$B$304,MATCH(INT((ROW()-5)/3)+1,对接源_01入库吨位!$S$5:$S$304,0)),"")</f>
        <v/>
      </c>
      <c r="C149" s="39" t="str">
        <f aca="false">IFERROR(INDEX(对接源_01入库吨位!$C$5:$C$304,MATCH(INT((ROW()-5)/3)+1,对接源_01入库吨位!$S$5:$S$304,0)),"")</f>
        <v/>
      </c>
      <c r="D149" s="40" t="str">
        <f aca="false">IF($B149="","",IF(MOD(ROW()-5,3)=0,"周转打冷",IF(MOD(ROW()-5,3)=1,"仓储加工","装卸费")))</f>
        <v/>
      </c>
      <c r="E149" s="51" t="str">
        <f aca="false">IF($B149="","",IFERROR(IF($D149="周转打冷",N(INDEX(对接源_01入库吨位!$D$5:$D$304,MATCH(INT((ROW()-5)/3)+1,对接源_01入库吨位!$S$5:$S$304,0))),IF($D149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49" s="41" t="str">
        <f aca="false">IF($B149="","",ROUND(IFERROR(IF($D149="周转打冷",N(INDEX(对接源_01入库吨位!$H$5:$H$304,MATCH(INT((ROW()-5)/3)+1,对接源_01入库吨位!$S$5:$S$304,0))),IF($D149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49" s="52" t="str">
        <f aca="false">IF($B149="","",ROUND(N($F149)/1000,3))</f>
        <v/>
      </c>
      <c r="H149" s="74"/>
      <c r="I149" s="44"/>
      <c r="J149" s="75" t="str">
        <f aca="false">IF($B149="","",IF($H149="按筐数×单价",N($E149),IF($H149="按总重KG×单价",N($F149),IF($H149="按吨位×单价",N($G149),0))))</f>
        <v/>
      </c>
      <c r="K149" s="41" t="str">
        <f aca="false">IF($B149="","",ROUND(N($J149)*N($I149),2))</f>
        <v/>
      </c>
      <c r="L149" s="42"/>
      <c r="M149" s="76"/>
      <c r="N149" s="43"/>
      <c r="R149" s="77" t="str">
        <f aca="false">IF($B149="","",$B149)</f>
        <v/>
      </c>
      <c r="S149" s="77" t="n">
        <f aca="false">IF($R149="",0,IF(MATCH($R149,$R$5:$R$904,0)=ROW()-4,1,0))</f>
        <v>0</v>
      </c>
      <c r="T149" s="77" t="n">
        <f aca="false">N(T148)+$S149</f>
        <v>18</v>
      </c>
    </row>
    <row r="150" customFormat="false" ht="13.5" hidden="false" customHeight="false" outlineLevel="0" collapsed="false">
      <c r="A150" s="9" t="str">
        <f aca="false">IF($B150="","",ROW()-4)</f>
        <v/>
      </c>
      <c r="B150" s="39" t="str">
        <f aca="false">IFERROR(INDEX(对接源_01入库吨位!$B$5:$B$304,MATCH(INT((ROW()-5)/3)+1,对接源_01入库吨位!$S$5:$S$304,0)),"")</f>
        <v/>
      </c>
      <c r="C150" s="39" t="str">
        <f aca="false">IFERROR(INDEX(对接源_01入库吨位!$C$5:$C$304,MATCH(INT((ROW()-5)/3)+1,对接源_01入库吨位!$S$5:$S$304,0)),"")</f>
        <v/>
      </c>
      <c r="D150" s="40" t="str">
        <f aca="false">IF($B150="","",IF(MOD(ROW()-5,3)=0,"周转打冷",IF(MOD(ROW()-5,3)=1,"仓储加工","装卸费")))</f>
        <v/>
      </c>
      <c r="E150" s="51" t="str">
        <f aca="false">IF($B150="","",IFERROR(IF($D150="周转打冷",N(INDEX(对接源_01入库吨位!$D$5:$D$304,MATCH(INT((ROW()-5)/3)+1,对接源_01入库吨位!$S$5:$S$304,0))),IF($D150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0" s="41" t="str">
        <f aca="false">IF($B150="","",ROUND(IFERROR(IF($D150="周转打冷",N(INDEX(对接源_01入库吨位!$H$5:$H$304,MATCH(INT((ROW()-5)/3)+1,对接源_01入库吨位!$S$5:$S$304,0))),IF($D150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0" s="52" t="str">
        <f aca="false">IF($B150="","",ROUND(N($F150)/1000,3))</f>
        <v/>
      </c>
      <c r="H150" s="74"/>
      <c r="I150" s="44"/>
      <c r="J150" s="75" t="str">
        <f aca="false">IF($B150="","",IF($H150="按筐数×单价",N($E150),IF($H150="按总重KG×单价",N($F150),IF($H150="按吨位×单价",N($G150),0))))</f>
        <v/>
      </c>
      <c r="K150" s="41" t="str">
        <f aca="false">IF($B150="","",ROUND(N($J150)*N($I150),2))</f>
        <v/>
      </c>
      <c r="L150" s="42"/>
      <c r="M150" s="76"/>
      <c r="N150" s="43"/>
      <c r="R150" s="77" t="str">
        <f aca="false">IF($B150="","",$B150)</f>
        <v/>
      </c>
      <c r="S150" s="77" t="n">
        <f aca="false">IF($R150="",0,IF(MATCH($R150,$R$5:$R$904,0)=ROW()-4,1,0))</f>
        <v>0</v>
      </c>
      <c r="T150" s="77" t="n">
        <f aca="false">N(T149)+$S150</f>
        <v>18</v>
      </c>
    </row>
    <row r="151" customFormat="false" ht="13.5" hidden="false" customHeight="false" outlineLevel="0" collapsed="false">
      <c r="A151" s="9" t="str">
        <f aca="false">IF($B151="","",ROW()-4)</f>
        <v/>
      </c>
      <c r="B151" s="39" t="str">
        <f aca="false">IFERROR(INDEX(对接源_01入库吨位!$B$5:$B$304,MATCH(INT((ROW()-5)/3)+1,对接源_01入库吨位!$S$5:$S$304,0)),"")</f>
        <v/>
      </c>
      <c r="C151" s="39" t="str">
        <f aca="false">IFERROR(INDEX(对接源_01入库吨位!$C$5:$C$304,MATCH(INT((ROW()-5)/3)+1,对接源_01入库吨位!$S$5:$S$304,0)),"")</f>
        <v/>
      </c>
      <c r="D151" s="40" t="str">
        <f aca="false">IF($B151="","",IF(MOD(ROW()-5,3)=0,"周转打冷",IF(MOD(ROW()-5,3)=1,"仓储加工","装卸费")))</f>
        <v/>
      </c>
      <c r="E151" s="51" t="str">
        <f aca="false">IF($B151="","",IFERROR(IF($D151="周转打冷",N(INDEX(对接源_01入库吨位!$D$5:$D$304,MATCH(INT((ROW()-5)/3)+1,对接源_01入库吨位!$S$5:$S$304,0))),IF($D151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1" s="41" t="str">
        <f aca="false">IF($B151="","",ROUND(IFERROR(IF($D151="周转打冷",N(INDEX(对接源_01入库吨位!$H$5:$H$304,MATCH(INT((ROW()-5)/3)+1,对接源_01入库吨位!$S$5:$S$304,0))),IF($D151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1" s="52" t="str">
        <f aca="false">IF($B151="","",ROUND(N($F151)/1000,3))</f>
        <v/>
      </c>
      <c r="H151" s="74"/>
      <c r="I151" s="44"/>
      <c r="J151" s="75" t="str">
        <f aca="false">IF($B151="","",IF($H151="按筐数×单价",N($E151),IF($H151="按总重KG×单价",N($F151),IF($H151="按吨位×单价",N($G151),0))))</f>
        <v/>
      </c>
      <c r="K151" s="41" t="str">
        <f aca="false">IF($B151="","",ROUND(N($J151)*N($I151),2))</f>
        <v/>
      </c>
      <c r="L151" s="42"/>
      <c r="M151" s="76"/>
      <c r="N151" s="43"/>
      <c r="R151" s="77" t="str">
        <f aca="false">IF($B151="","",$B151)</f>
        <v/>
      </c>
      <c r="S151" s="77" t="n">
        <f aca="false">IF($R151="",0,IF(MATCH($R151,$R$5:$R$904,0)=ROW()-4,1,0))</f>
        <v>0</v>
      </c>
      <c r="T151" s="77" t="n">
        <f aca="false">N(T150)+$S151</f>
        <v>18</v>
      </c>
    </row>
    <row r="152" customFormat="false" ht="13.5" hidden="false" customHeight="false" outlineLevel="0" collapsed="false">
      <c r="A152" s="9" t="str">
        <f aca="false">IF($B152="","",ROW()-4)</f>
        <v/>
      </c>
      <c r="B152" s="39" t="str">
        <f aca="false">IFERROR(INDEX(对接源_01入库吨位!$B$5:$B$304,MATCH(INT((ROW()-5)/3)+1,对接源_01入库吨位!$S$5:$S$304,0)),"")</f>
        <v/>
      </c>
      <c r="C152" s="39" t="str">
        <f aca="false">IFERROR(INDEX(对接源_01入库吨位!$C$5:$C$304,MATCH(INT((ROW()-5)/3)+1,对接源_01入库吨位!$S$5:$S$304,0)),"")</f>
        <v/>
      </c>
      <c r="D152" s="40" t="str">
        <f aca="false">IF($B152="","",IF(MOD(ROW()-5,3)=0,"周转打冷",IF(MOD(ROW()-5,3)=1,"仓储加工","装卸费")))</f>
        <v/>
      </c>
      <c r="E152" s="51" t="str">
        <f aca="false">IF($B152="","",IFERROR(IF($D152="周转打冷",N(INDEX(对接源_01入库吨位!$D$5:$D$304,MATCH(INT((ROW()-5)/3)+1,对接源_01入库吨位!$S$5:$S$304,0))),IF($D152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2" s="41" t="str">
        <f aca="false">IF($B152="","",ROUND(IFERROR(IF($D152="周转打冷",N(INDEX(对接源_01入库吨位!$H$5:$H$304,MATCH(INT((ROW()-5)/3)+1,对接源_01入库吨位!$S$5:$S$304,0))),IF($D152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2" s="52" t="str">
        <f aca="false">IF($B152="","",ROUND(N($F152)/1000,3))</f>
        <v/>
      </c>
      <c r="H152" s="74"/>
      <c r="I152" s="44"/>
      <c r="J152" s="75" t="str">
        <f aca="false">IF($B152="","",IF($H152="按筐数×单价",N($E152),IF($H152="按总重KG×单价",N($F152),IF($H152="按吨位×单价",N($G152),0))))</f>
        <v/>
      </c>
      <c r="K152" s="41" t="str">
        <f aca="false">IF($B152="","",ROUND(N($J152)*N($I152),2))</f>
        <v/>
      </c>
      <c r="L152" s="42"/>
      <c r="M152" s="76"/>
      <c r="N152" s="43"/>
      <c r="R152" s="77" t="str">
        <f aca="false">IF($B152="","",$B152)</f>
        <v/>
      </c>
      <c r="S152" s="77" t="n">
        <f aca="false">IF($R152="",0,IF(MATCH($R152,$R$5:$R$904,0)=ROW()-4,1,0))</f>
        <v>0</v>
      </c>
      <c r="T152" s="77" t="n">
        <f aca="false">N(T151)+$S152</f>
        <v>18</v>
      </c>
    </row>
    <row r="153" customFormat="false" ht="13.5" hidden="false" customHeight="false" outlineLevel="0" collapsed="false">
      <c r="A153" s="9" t="str">
        <f aca="false">IF($B153="","",ROW()-4)</f>
        <v/>
      </c>
      <c r="B153" s="39" t="str">
        <f aca="false">IFERROR(INDEX(对接源_01入库吨位!$B$5:$B$304,MATCH(INT((ROW()-5)/3)+1,对接源_01入库吨位!$S$5:$S$304,0)),"")</f>
        <v/>
      </c>
      <c r="C153" s="39" t="str">
        <f aca="false">IFERROR(INDEX(对接源_01入库吨位!$C$5:$C$304,MATCH(INT((ROW()-5)/3)+1,对接源_01入库吨位!$S$5:$S$304,0)),"")</f>
        <v/>
      </c>
      <c r="D153" s="40" t="str">
        <f aca="false">IF($B153="","",IF(MOD(ROW()-5,3)=0,"周转打冷",IF(MOD(ROW()-5,3)=1,"仓储加工","装卸费")))</f>
        <v/>
      </c>
      <c r="E153" s="51" t="str">
        <f aca="false">IF($B153="","",IFERROR(IF($D153="周转打冷",N(INDEX(对接源_01入库吨位!$D$5:$D$304,MATCH(INT((ROW()-5)/3)+1,对接源_01入库吨位!$S$5:$S$304,0))),IF($D153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3" s="41" t="str">
        <f aca="false">IF($B153="","",ROUND(IFERROR(IF($D153="周转打冷",N(INDEX(对接源_01入库吨位!$H$5:$H$304,MATCH(INT((ROW()-5)/3)+1,对接源_01入库吨位!$S$5:$S$304,0))),IF($D153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3" s="52" t="str">
        <f aca="false">IF($B153="","",ROUND(N($F153)/1000,3))</f>
        <v/>
      </c>
      <c r="H153" s="74"/>
      <c r="I153" s="44"/>
      <c r="J153" s="75" t="str">
        <f aca="false">IF($B153="","",IF($H153="按筐数×单价",N($E153),IF($H153="按总重KG×单价",N($F153),IF($H153="按吨位×单价",N($G153),0))))</f>
        <v/>
      </c>
      <c r="K153" s="41" t="str">
        <f aca="false">IF($B153="","",ROUND(N($J153)*N($I153),2))</f>
        <v/>
      </c>
      <c r="L153" s="42"/>
      <c r="M153" s="76"/>
      <c r="N153" s="43"/>
      <c r="R153" s="77" t="str">
        <f aca="false">IF($B153="","",$B153)</f>
        <v/>
      </c>
      <c r="S153" s="77" t="n">
        <f aca="false">IF($R153="",0,IF(MATCH($R153,$R$5:$R$904,0)=ROW()-4,1,0))</f>
        <v>0</v>
      </c>
      <c r="T153" s="77" t="n">
        <f aca="false">N(T152)+$S153</f>
        <v>18</v>
      </c>
    </row>
    <row r="154" customFormat="false" ht="13.5" hidden="false" customHeight="false" outlineLevel="0" collapsed="false">
      <c r="A154" s="9" t="str">
        <f aca="false">IF($B154="","",ROW()-4)</f>
        <v/>
      </c>
      <c r="B154" s="39" t="str">
        <f aca="false">IFERROR(INDEX(对接源_01入库吨位!$B$5:$B$304,MATCH(INT((ROW()-5)/3)+1,对接源_01入库吨位!$S$5:$S$304,0)),"")</f>
        <v/>
      </c>
      <c r="C154" s="39" t="str">
        <f aca="false">IFERROR(INDEX(对接源_01入库吨位!$C$5:$C$304,MATCH(INT((ROW()-5)/3)+1,对接源_01入库吨位!$S$5:$S$304,0)),"")</f>
        <v/>
      </c>
      <c r="D154" s="40" t="str">
        <f aca="false">IF($B154="","",IF(MOD(ROW()-5,3)=0,"周转打冷",IF(MOD(ROW()-5,3)=1,"仓储加工","装卸费")))</f>
        <v/>
      </c>
      <c r="E154" s="51" t="str">
        <f aca="false">IF($B154="","",IFERROR(IF($D154="周转打冷",N(INDEX(对接源_01入库吨位!$D$5:$D$304,MATCH(INT((ROW()-5)/3)+1,对接源_01入库吨位!$S$5:$S$304,0))),IF($D154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4" s="41" t="str">
        <f aca="false">IF($B154="","",ROUND(IFERROR(IF($D154="周转打冷",N(INDEX(对接源_01入库吨位!$H$5:$H$304,MATCH(INT((ROW()-5)/3)+1,对接源_01入库吨位!$S$5:$S$304,0))),IF($D154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4" s="52" t="str">
        <f aca="false">IF($B154="","",ROUND(N($F154)/1000,3))</f>
        <v/>
      </c>
      <c r="H154" s="74"/>
      <c r="I154" s="44"/>
      <c r="J154" s="75" t="str">
        <f aca="false">IF($B154="","",IF($H154="按筐数×单价",N($E154),IF($H154="按总重KG×单价",N($F154),IF($H154="按吨位×单价",N($G154),0))))</f>
        <v/>
      </c>
      <c r="K154" s="41" t="str">
        <f aca="false">IF($B154="","",ROUND(N($J154)*N($I154),2))</f>
        <v/>
      </c>
      <c r="L154" s="42"/>
      <c r="M154" s="76"/>
      <c r="N154" s="43"/>
      <c r="R154" s="77" t="str">
        <f aca="false">IF($B154="","",$B154)</f>
        <v/>
      </c>
      <c r="S154" s="77" t="n">
        <f aca="false">IF($R154="",0,IF(MATCH($R154,$R$5:$R$904,0)=ROW()-4,1,0))</f>
        <v>0</v>
      </c>
      <c r="T154" s="77" t="n">
        <f aca="false">N(T153)+$S154</f>
        <v>18</v>
      </c>
    </row>
    <row r="155" customFormat="false" ht="13.5" hidden="false" customHeight="false" outlineLevel="0" collapsed="false">
      <c r="A155" s="9" t="str">
        <f aca="false">IF($B155="","",ROW()-4)</f>
        <v/>
      </c>
      <c r="B155" s="39" t="str">
        <f aca="false">IFERROR(INDEX(对接源_01入库吨位!$B$5:$B$304,MATCH(INT((ROW()-5)/3)+1,对接源_01入库吨位!$S$5:$S$304,0)),"")</f>
        <v/>
      </c>
      <c r="C155" s="39" t="str">
        <f aca="false">IFERROR(INDEX(对接源_01入库吨位!$C$5:$C$304,MATCH(INT((ROW()-5)/3)+1,对接源_01入库吨位!$S$5:$S$304,0)),"")</f>
        <v/>
      </c>
      <c r="D155" s="40" t="str">
        <f aca="false">IF($B155="","",IF(MOD(ROW()-5,3)=0,"周转打冷",IF(MOD(ROW()-5,3)=1,"仓储加工","装卸费")))</f>
        <v/>
      </c>
      <c r="E155" s="51" t="str">
        <f aca="false">IF($B155="","",IFERROR(IF($D155="周转打冷",N(INDEX(对接源_01入库吨位!$D$5:$D$304,MATCH(INT((ROW()-5)/3)+1,对接源_01入库吨位!$S$5:$S$304,0))),IF($D155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5" s="41" t="str">
        <f aca="false">IF($B155="","",ROUND(IFERROR(IF($D155="周转打冷",N(INDEX(对接源_01入库吨位!$H$5:$H$304,MATCH(INT((ROW()-5)/3)+1,对接源_01入库吨位!$S$5:$S$304,0))),IF($D155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5" s="52" t="str">
        <f aca="false">IF($B155="","",ROUND(N($F155)/1000,3))</f>
        <v/>
      </c>
      <c r="H155" s="74"/>
      <c r="I155" s="44"/>
      <c r="J155" s="75" t="str">
        <f aca="false">IF($B155="","",IF($H155="按筐数×单价",N($E155),IF($H155="按总重KG×单价",N($F155),IF($H155="按吨位×单价",N($G155),0))))</f>
        <v/>
      </c>
      <c r="K155" s="41" t="str">
        <f aca="false">IF($B155="","",ROUND(N($J155)*N($I155),2))</f>
        <v/>
      </c>
      <c r="L155" s="42"/>
      <c r="M155" s="76"/>
      <c r="N155" s="43"/>
      <c r="R155" s="77" t="str">
        <f aca="false">IF($B155="","",$B155)</f>
        <v/>
      </c>
      <c r="S155" s="77" t="n">
        <f aca="false">IF($R155="",0,IF(MATCH($R155,$R$5:$R$904,0)=ROW()-4,1,0))</f>
        <v>0</v>
      </c>
      <c r="T155" s="77" t="n">
        <f aca="false">N(T154)+$S155</f>
        <v>18</v>
      </c>
    </row>
    <row r="156" customFormat="false" ht="13.5" hidden="false" customHeight="false" outlineLevel="0" collapsed="false">
      <c r="A156" s="9" t="str">
        <f aca="false">IF($B156="","",ROW()-4)</f>
        <v/>
      </c>
      <c r="B156" s="39" t="str">
        <f aca="false">IFERROR(INDEX(对接源_01入库吨位!$B$5:$B$304,MATCH(INT((ROW()-5)/3)+1,对接源_01入库吨位!$S$5:$S$304,0)),"")</f>
        <v/>
      </c>
      <c r="C156" s="39" t="str">
        <f aca="false">IFERROR(INDEX(对接源_01入库吨位!$C$5:$C$304,MATCH(INT((ROW()-5)/3)+1,对接源_01入库吨位!$S$5:$S$304,0)),"")</f>
        <v/>
      </c>
      <c r="D156" s="40" t="str">
        <f aca="false">IF($B156="","",IF(MOD(ROW()-5,3)=0,"周转打冷",IF(MOD(ROW()-5,3)=1,"仓储加工","装卸费")))</f>
        <v/>
      </c>
      <c r="E156" s="51" t="str">
        <f aca="false">IF($B156="","",IFERROR(IF($D156="周转打冷",N(INDEX(对接源_01入库吨位!$D$5:$D$304,MATCH(INT((ROW()-5)/3)+1,对接源_01入库吨位!$S$5:$S$304,0))),IF($D156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6" s="41" t="str">
        <f aca="false">IF($B156="","",ROUND(IFERROR(IF($D156="周转打冷",N(INDEX(对接源_01入库吨位!$H$5:$H$304,MATCH(INT((ROW()-5)/3)+1,对接源_01入库吨位!$S$5:$S$304,0))),IF($D156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6" s="52" t="str">
        <f aca="false">IF($B156="","",ROUND(N($F156)/1000,3))</f>
        <v/>
      </c>
      <c r="H156" s="74"/>
      <c r="I156" s="44"/>
      <c r="J156" s="75" t="str">
        <f aca="false">IF($B156="","",IF($H156="按筐数×单价",N($E156),IF($H156="按总重KG×单价",N($F156),IF($H156="按吨位×单价",N($G156),0))))</f>
        <v/>
      </c>
      <c r="K156" s="41" t="str">
        <f aca="false">IF($B156="","",ROUND(N($J156)*N($I156),2))</f>
        <v/>
      </c>
      <c r="L156" s="42"/>
      <c r="M156" s="76"/>
      <c r="N156" s="43"/>
      <c r="R156" s="77" t="str">
        <f aca="false">IF($B156="","",$B156)</f>
        <v/>
      </c>
      <c r="S156" s="77" t="n">
        <f aca="false">IF($R156="",0,IF(MATCH($R156,$R$5:$R$904,0)=ROW()-4,1,0))</f>
        <v>0</v>
      </c>
      <c r="T156" s="77" t="n">
        <f aca="false">N(T155)+$S156</f>
        <v>18</v>
      </c>
    </row>
    <row r="157" customFormat="false" ht="13.5" hidden="false" customHeight="false" outlineLevel="0" collapsed="false">
      <c r="A157" s="9" t="str">
        <f aca="false">IF($B157="","",ROW()-4)</f>
        <v/>
      </c>
      <c r="B157" s="39" t="str">
        <f aca="false">IFERROR(INDEX(对接源_01入库吨位!$B$5:$B$304,MATCH(INT((ROW()-5)/3)+1,对接源_01入库吨位!$S$5:$S$304,0)),"")</f>
        <v/>
      </c>
      <c r="C157" s="39" t="str">
        <f aca="false">IFERROR(INDEX(对接源_01入库吨位!$C$5:$C$304,MATCH(INT((ROW()-5)/3)+1,对接源_01入库吨位!$S$5:$S$304,0)),"")</f>
        <v/>
      </c>
      <c r="D157" s="40" t="str">
        <f aca="false">IF($B157="","",IF(MOD(ROW()-5,3)=0,"周转打冷",IF(MOD(ROW()-5,3)=1,"仓储加工","装卸费")))</f>
        <v/>
      </c>
      <c r="E157" s="51" t="str">
        <f aca="false">IF($B157="","",IFERROR(IF($D157="周转打冷",N(INDEX(对接源_01入库吨位!$D$5:$D$304,MATCH(INT((ROW()-5)/3)+1,对接源_01入库吨位!$S$5:$S$304,0))),IF($D157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7" s="41" t="str">
        <f aca="false">IF($B157="","",ROUND(IFERROR(IF($D157="周转打冷",N(INDEX(对接源_01入库吨位!$H$5:$H$304,MATCH(INT((ROW()-5)/3)+1,对接源_01入库吨位!$S$5:$S$304,0))),IF($D157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7" s="52" t="str">
        <f aca="false">IF($B157="","",ROUND(N($F157)/1000,3))</f>
        <v/>
      </c>
      <c r="H157" s="74"/>
      <c r="I157" s="44"/>
      <c r="J157" s="75" t="str">
        <f aca="false">IF($B157="","",IF($H157="按筐数×单价",N($E157),IF($H157="按总重KG×单价",N($F157),IF($H157="按吨位×单价",N($G157),0))))</f>
        <v/>
      </c>
      <c r="K157" s="41" t="str">
        <f aca="false">IF($B157="","",ROUND(N($J157)*N($I157),2))</f>
        <v/>
      </c>
      <c r="L157" s="42"/>
      <c r="M157" s="76"/>
      <c r="N157" s="43"/>
      <c r="R157" s="77" t="str">
        <f aca="false">IF($B157="","",$B157)</f>
        <v/>
      </c>
      <c r="S157" s="77" t="n">
        <f aca="false">IF($R157="",0,IF(MATCH($R157,$R$5:$R$904,0)=ROW()-4,1,0))</f>
        <v>0</v>
      </c>
      <c r="T157" s="77" t="n">
        <f aca="false">N(T156)+$S157</f>
        <v>18</v>
      </c>
    </row>
    <row r="158" customFormat="false" ht="13.5" hidden="false" customHeight="false" outlineLevel="0" collapsed="false">
      <c r="A158" s="9" t="str">
        <f aca="false">IF($B158="","",ROW()-4)</f>
        <v/>
      </c>
      <c r="B158" s="39" t="str">
        <f aca="false">IFERROR(INDEX(对接源_01入库吨位!$B$5:$B$304,MATCH(INT((ROW()-5)/3)+1,对接源_01入库吨位!$S$5:$S$304,0)),"")</f>
        <v/>
      </c>
      <c r="C158" s="39" t="str">
        <f aca="false">IFERROR(INDEX(对接源_01入库吨位!$C$5:$C$304,MATCH(INT((ROW()-5)/3)+1,对接源_01入库吨位!$S$5:$S$304,0)),"")</f>
        <v/>
      </c>
      <c r="D158" s="40" t="str">
        <f aca="false">IF($B158="","",IF(MOD(ROW()-5,3)=0,"周转打冷",IF(MOD(ROW()-5,3)=1,"仓储加工","装卸费")))</f>
        <v/>
      </c>
      <c r="E158" s="51" t="str">
        <f aca="false">IF($B158="","",IFERROR(IF($D158="周转打冷",N(INDEX(对接源_01入库吨位!$D$5:$D$304,MATCH(INT((ROW()-5)/3)+1,对接源_01入库吨位!$S$5:$S$304,0))),IF($D158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8" s="41" t="str">
        <f aca="false">IF($B158="","",ROUND(IFERROR(IF($D158="周转打冷",N(INDEX(对接源_01入库吨位!$H$5:$H$304,MATCH(INT((ROW()-5)/3)+1,对接源_01入库吨位!$S$5:$S$304,0))),IF($D158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8" s="52" t="str">
        <f aca="false">IF($B158="","",ROUND(N($F158)/1000,3))</f>
        <v/>
      </c>
      <c r="H158" s="74"/>
      <c r="I158" s="44"/>
      <c r="J158" s="75" t="str">
        <f aca="false">IF($B158="","",IF($H158="按筐数×单价",N($E158),IF($H158="按总重KG×单价",N($F158),IF($H158="按吨位×单价",N($G158),0))))</f>
        <v/>
      </c>
      <c r="K158" s="41" t="str">
        <f aca="false">IF($B158="","",ROUND(N($J158)*N($I158),2))</f>
        <v/>
      </c>
      <c r="L158" s="42"/>
      <c r="M158" s="76"/>
      <c r="N158" s="43"/>
      <c r="R158" s="77" t="str">
        <f aca="false">IF($B158="","",$B158)</f>
        <v/>
      </c>
      <c r="S158" s="77" t="n">
        <f aca="false">IF($R158="",0,IF(MATCH($R158,$R$5:$R$904,0)=ROW()-4,1,0))</f>
        <v>0</v>
      </c>
      <c r="T158" s="77" t="n">
        <f aca="false">N(T157)+$S158</f>
        <v>18</v>
      </c>
    </row>
    <row r="159" customFormat="false" ht="13.5" hidden="false" customHeight="false" outlineLevel="0" collapsed="false">
      <c r="A159" s="9" t="str">
        <f aca="false">IF($B159="","",ROW()-4)</f>
        <v/>
      </c>
      <c r="B159" s="39" t="str">
        <f aca="false">IFERROR(INDEX(对接源_01入库吨位!$B$5:$B$304,MATCH(INT((ROW()-5)/3)+1,对接源_01入库吨位!$S$5:$S$304,0)),"")</f>
        <v/>
      </c>
      <c r="C159" s="39" t="str">
        <f aca="false">IFERROR(INDEX(对接源_01入库吨位!$C$5:$C$304,MATCH(INT((ROW()-5)/3)+1,对接源_01入库吨位!$S$5:$S$304,0)),"")</f>
        <v/>
      </c>
      <c r="D159" s="40" t="str">
        <f aca="false">IF($B159="","",IF(MOD(ROW()-5,3)=0,"周转打冷",IF(MOD(ROW()-5,3)=1,"仓储加工","装卸费")))</f>
        <v/>
      </c>
      <c r="E159" s="51" t="str">
        <f aca="false">IF($B159="","",IFERROR(IF($D159="周转打冷",N(INDEX(对接源_01入库吨位!$D$5:$D$304,MATCH(INT((ROW()-5)/3)+1,对接源_01入库吨位!$S$5:$S$304,0))),IF($D159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59" s="41" t="str">
        <f aca="false">IF($B159="","",ROUND(IFERROR(IF($D159="周转打冷",N(INDEX(对接源_01入库吨位!$H$5:$H$304,MATCH(INT((ROW()-5)/3)+1,对接源_01入库吨位!$S$5:$S$304,0))),IF($D159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59" s="52" t="str">
        <f aca="false">IF($B159="","",ROUND(N($F159)/1000,3))</f>
        <v/>
      </c>
      <c r="H159" s="74"/>
      <c r="I159" s="44"/>
      <c r="J159" s="75" t="str">
        <f aca="false">IF($B159="","",IF($H159="按筐数×单价",N($E159),IF($H159="按总重KG×单价",N($F159),IF($H159="按吨位×单价",N($G159),0))))</f>
        <v/>
      </c>
      <c r="K159" s="41" t="str">
        <f aca="false">IF($B159="","",ROUND(N($J159)*N($I159),2))</f>
        <v/>
      </c>
      <c r="L159" s="42"/>
      <c r="M159" s="76"/>
      <c r="N159" s="43"/>
      <c r="R159" s="77" t="str">
        <f aca="false">IF($B159="","",$B159)</f>
        <v/>
      </c>
      <c r="S159" s="77" t="n">
        <f aca="false">IF($R159="",0,IF(MATCH($R159,$R$5:$R$904,0)=ROW()-4,1,0))</f>
        <v>0</v>
      </c>
      <c r="T159" s="77" t="n">
        <f aca="false">N(T158)+$S159</f>
        <v>18</v>
      </c>
    </row>
    <row r="160" customFormat="false" ht="13.5" hidden="false" customHeight="false" outlineLevel="0" collapsed="false">
      <c r="A160" s="9" t="str">
        <f aca="false">IF($B160="","",ROW()-4)</f>
        <v/>
      </c>
      <c r="B160" s="39" t="str">
        <f aca="false">IFERROR(INDEX(对接源_01入库吨位!$B$5:$B$304,MATCH(INT((ROW()-5)/3)+1,对接源_01入库吨位!$S$5:$S$304,0)),"")</f>
        <v/>
      </c>
      <c r="C160" s="39" t="str">
        <f aca="false">IFERROR(INDEX(对接源_01入库吨位!$C$5:$C$304,MATCH(INT((ROW()-5)/3)+1,对接源_01入库吨位!$S$5:$S$304,0)),"")</f>
        <v/>
      </c>
      <c r="D160" s="40" t="str">
        <f aca="false">IF($B160="","",IF(MOD(ROW()-5,3)=0,"周转打冷",IF(MOD(ROW()-5,3)=1,"仓储加工","装卸费")))</f>
        <v/>
      </c>
      <c r="E160" s="51" t="str">
        <f aca="false">IF($B160="","",IFERROR(IF($D160="周转打冷",N(INDEX(对接源_01入库吨位!$D$5:$D$304,MATCH(INT((ROW()-5)/3)+1,对接源_01入库吨位!$S$5:$S$304,0))),IF($D160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0" s="41" t="str">
        <f aca="false">IF($B160="","",ROUND(IFERROR(IF($D160="周转打冷",N(INDEX(对接源_01入库吨位!$H$5:$H$304,MATCH(INT((ROW()-5)/3)+1,对接源_01入库吨位!$S$5:$S$304,0))),IF($D160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0" s="52" t="str">
        <f aca="false">IF($B160="","",ROUND(N($F160)/1000,3))</f>
        <v/>
      </c>
      <c r="H160" s="74"/>
      <c r="I160" s="44"/>
      <c r="J160" s="75" t="str">
        <f aca="false">IF($B160="","",IF($H160="按筐数×单价",N($E160),IF($H160="按总重KG×单价",N($F160),IF($H160="按吨位×单价",N($G160),0))))</f>
        <v/>
      </c>
      <c r="K160" s="41" t="str">
        <f aca="false">IF($B160="","",ROUND(N($J160)*N($I160),2))</f>
        <v/>
      </c>
      <c r="L160" s="42"/>
      <c r="M160" s="76"/>
      <c r="N160" s="43"/>
      <c r="R160" s="77" t="str">
        <f aca="false">IF($B160="","",$B160)</f>
        <v/>
      </c>
      <c r="S160" s="77" t="n">
        <f aca="false">IF($R160="",0,IF(MATCH($R160,$R$5:$R$904,0)=ROW()-4,1,0))</f>
        <v>0</v>
      </c>
      <c r="T160" s="77" t="n">
        <f aca="false">N(T159)+$S160</f>
        <v>18</v>
      </c>
    </row>
    <row r="161" customFormat="false" ht="13.5" hidden="false" customHeight="false" outlineLevel="0" collapsed="false">
      <c r="A161" s="9" t="str">
        <f aca="false">IF($B161="","",ROW()-4)</f>
        <v/>
      </c>
      <c r="B161" s="39" t="str">
        <f aca="false">IFERROR(INDEX(对接源_01入库吨位!$B$5:$B$304,MATCH(INT((ROW()-5)/3)+1,对接源_01入库吨位!$S$5:$S$304,0)),"")</f>
        <v/>
      </c>
      <c r="C161" s="39" t="str">
        <f aca="false">IFERROR(INDEX(对接源_01入库吨位!$C$5:$C$304,MATCH(INT((ROW()-5)/3)+1,对接源_01入库吨位!$S$5:$S$304,0)),"")</f>
        <v/>
      </c>
      <c r="D161" s="40" t="str">
        <f aca="false">IF($B161="","",IF(MOD(ROW()-5,3)=0,"周转打冷",IF(MOD(ROW()-5,3)=1,"仓储加工","装卸费")))</f>
        <v/>
      </c>
      <c r="E161" s="51" t="str">
        <f aca="false">IF($B161="","",IFERROR(IF($D161="周转打冷",N(INDEX(对接源_01入库吨位!$D$5:$D$304,MATCH(INT((ROW()-5)/3)+1,对接源_01入库吨位!$S$5:$S$304,0))),IF($D161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1" s="41" t="str">
        <f aca="false">IF($B161="","",ROUND(IFERROR(IF($D161="周转打冷",N(INDEX(对接源_01入库吨位!$H$5:$H$304,MATCH(INT((ROW()-5)/3)+1,对接源_01入库吨位!$S$5:$S$304,0))),IF($D161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1" s="52" t="str">
        <f aca="false">IF($B161="","",ROUND(N($F161)/1000,3))</f>
        <v/>
      </c>
      <c r="H161" s="74"/>
      <c r="I161" s="44"/>
      <c r="J161" s="75" t="str">
        <f aca="false">IF($B161="","",IF($H161="按筐数×单价",N($E161),IF($H161="按总重KG×单价",N($F161),IF($H161="按吨位×单价",N($G161),0))))</f>
        <v/>
      </c>
      <c r="K161" s="41" t="str">
        <f aca="false">IF($B161="","",ROUND(N($J161)*N($I161),2))</f>
        <v/>
      </c>
      <c r="L161" s="42"/>
      <c r="M161" s="76"/>
      <c r="N161" s="43"/>
      <c r="R161" s="77" t="str">
        <f aca="false">IF($B161="","",$B161)</f>
        <v/>
      </c>
      <c r="S161" s="77" t="n">
        <f aca="false">IF($R161="",0,IF(MATCH($R161,$R$5:$R$904,0)=ROW()-4,1,0))</f>
        <v>0</v>
      </c>
      <c r="T161" s="77" t="n">
        <f aca="false">N(T160)+$S161</f>
        <v>18</v>
      </c>
    </row>
    <row r="162" customFormat="false" ht="13.5" hidden="false" customHeight="false" outlineLevel="0" collapsed="false">
      <c r="A162" s="9" t="str">
        <f aca="false">IF($B162="","",ROW()-4)</f>
        <v/>
      </c>
      <c r="B162" s="39" t="str">
        <f aca="false">IFERROR(INDEX(对接源_01入库吨位!$B$5:$B$304,MATCH(INT((ROW()-5)/3)+1,对接源_01入库吨位!$S$5:$S$304,0)),"")</f>
        <v/>
      </c>
      <c r="C162" s="39" t="str">
        <f aca="false">IFERROR(INDEX(对接源_01入库吨位!$C$5:$C$304,MATCH(INT((ROW()-5)/3)+1,对接源_01入库吨位!$S$5:$S$304,0)),"")</f>
        <v/>
      </c>
      <c r="D162" s="40" t="str">
        <f aca="false">IF($B162="","",IF(MOD(ROW()-5,3)=0,"周转打冷",IF(MOD(ROW()-5,3)=1,"仓储加工","装卸费")))</f>
        <v/>
      </c>
      <c r="E162" s="51" t="str">
        <f aca="false">IF($B162="","",IFERROR(IF($D162="周转打冷",N(INDEX(对接源_01入库吨位!$D$5:$D$304,MATCH(INT((ROW()-5)/3)+1,对接源_01入库吨位!$S$5:$S$304,0))),IF($D162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2" s="41" t="str">
        <f aca="false">IF($B162="","",ROUND(IFERROR(IF($D162="周转打冷",N(INDEX(对接源_01入库吨位!$H$5:$H$304,MATCH(INT((ROW()-5)/3)+1,对接源_01入库吨位!$S$5:$S$304,0))),IF($D162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2" s="52" t="str">
        <f aca="false">IF($B162="","",ROUND(N($F162)/1000,3))</f>
        <v/>
      </c>
      <c r="H162" s="74"/>
      <c r="I162" s="44"/>
      <c r="J162" s="75" t="str">
        <f aca="false">IF($B162="","",IF($H162="按筐数×单价",N($E162),IF($H162="按总重KG×单价",N($F162),IF($H162="按吨位×单价",N($G162),0))))</f>
        <v/>
      </c>
      <c r="K162" s="41" t="str">
        <f aca="false">IF($B162="","",ROUND(N($J162)*N($I162),2))</f>
        <v/>
      </c>
      <c r="L162" s="42"/>
      <c r="M162" s="76"/>
      <c r="N162" s="43"/>
      <c r="R162" s="77" t="str">
        <f aca="false">IF($B162="","",$B162)</f>
        <v/>
      </c>
      <c r="S162" s="77" t="n">
        <f aca="false">IF($R162="",0,IF(MATCH($R162,$R$5:$R$904,0)=ROW()-4,1,0))</f>
        <v>0</v>
      </c>
      <c r="T162" s="77" t="n">
        <f aca="false">N(T161)+$S162</f>
        <v>18</v>
      </c>
    </row>
    <row r="163" customFormat="false" ht="13.5" hidden="false" customHeight="false" outlineLevel="0" collapsed="false">
      <c r="A163" s="9" t="str">
        <f aca="false">IF($B163="","",ROW()-4)</f>
        <v/>
      </c>
      <c r="B163" s="39" t="str">
        <f aca="false">IFERROR(INDEX(对接源_01入库吨位!$B$5:$B$304,MATCH(INT((ROW()-5)/3)+1,对接源_01入库吨位!$S$5:$S$304,0)),"")</f>
        <v/>
      </c>
      <c r="C163" s="39" t="str">
        <f aca="false">IFERROR(INDEX(对接源_01入库吨位!$C$5:$C$304,MATCH(INT((ROW()-5)/3)+1,对接源_01入库吨位!$S$5:$S$304,0)),"")</f>
        <v/>
      </c>
      <c r="D163" s="40" t="str">
        <f aca="false">IF($B163="","",IF(MOD(ROW()-5,3)=0,"周转打冷",IF(MOD(ROW()-5,3)=1,"仓储加工","装卸费")))</f>
        <v/>
      </c>
      <c r="E163" s="51" t="str">
        <f aca="false">IF($B163="","",IFERROR(IF($D163="周转打冷",N(INDEX(对接源_01入库吨位!$D$5:$D$304,MATCH(INT((ROW()-5)/3)+1,对接源_01入库吨位!$S$5:$S$304,0))),IF($D163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3" s="41" t="str">
        <f aca="false">IF($B163="","",ROUND(IFERROR(IF($D163="周转打冷",N(INDEX(对接源_01入库吨位!$H$5:$H$304,MATCH(INT((ROW()-5)/3)+1,对接源_01入库吨位!$S$5:$S$304,0))),IF($D163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3" s="52" t="str">
        <f aca="false">IF($B163="","",ROUND(N($F163)/1000,3))</f>
        <v/>
      </c>
      <c r="H163" s="74"/>
      <c r="I163" s="44"/>
      <c r="J163" s="75" t="str">
        <f aca="false">IF($B163="","",IF($H163="按筐数×单价",N($E163),IF($H163="按总重KG×单价",N($F163),IF($H163="按吨位×单价",N($G163),0))))</f>
        <v/>
      </c>
      <c r="K163" s="41" t="str">
        <f aca="false">IF($B163="","",ROUND(N($J163)*N($I163),2))</f>
        <v/>
      </c>
      <c r="L163" s="42"/>
      <c r="M163" s="76"/>
      <c r="N163" s="43"/>
      <c r="R163" s="77" t="str">
        <f aca="false">IF($B163="","",$B163)</f>
        <v/>
      </c>
      <c r="S163" s="77" t="n">
        <f aca="false">IF($R163="",0,IF(MATCH($R163,$R$5:$R$904,0)=ROW()-4,1,0))</f>
        <v>0</v>
      </c>
      <c r="T163" s="77" t="n">
        <f aca="false">N(T162)+$S163</f>
        <v>18</v>
      </c>
    </row>
    <row r="164" customFormat="false" ht="13.5" hidden="false" customHeight="false" outlineLevel="0" collapsed="false">
      <c r="A164" s="9" t="str">
        <f aca="false">IF($B164="","",ROW()-4)</f>
        <v/>
      </c>
      <c r="B164" s="39" t="str">
        <f aca="false">IFERROR(INDEX(对接源_01入库吨位!$B$5:$B$304,MATCH(INT((ROW()-5)/3)+1,对接源_01入库吨位!$S$5:$S$304,0)),"")</f>
        <v/>
      </c>
      <c r="C164" s="39" t="str">
        <f aca="false">IFERROR(INDEX(对接源_01入库吨位!$C$5:$C$304,MATCH(INT((ROW()-5)/3)+1,对接源_01入库吨位!$S$5:$S$304,0)),"")</f>
        <v/>
      </c>
      <c r="D164" s="40" t="str">
        <f aca="false">IF($B164="","",IF(MOD(ROW()-5,3)=0,"周转打冷",IF(MOD(ROW()-5,3)=1,"仓储加工","装卸费")))</f>
        <v/>
      </c>
      <c r="E164" s="51" t="str">
        <f aca="false">IF($B164="","",IFERROR(IF($D164="周转打冷",N(INDEX(对接源_01入库吨位!$D$5:$D$304,MATCH(INT((ROW()-5)/3)+1,对接源_01入库吨位!$S$5:$S$304,0))),IF($D164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4" s="41" t="str">
        <f aca="false">IF($B164="","",ROUND(IFERROR(IF($D164="周转打冷",N(INDEX(对接源_01入库吨位!$H$5:$H$304,MATCH(INT((ROW()-5)/3)+1,对接源_01入库吨位!$S$5:$S$304,0))),IF($D164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4" s="52" t="str">
        <f aca="false">IF($B164="","",ROUND(N($F164)/1000,3))</f>
        <v/>
      </c>
      <c r="H164" s="74"/>
      <c r="I164" s="44"/>
      <c r="J164" s="75" t="str">
        <f aca="false">IF($B164="","",IF($H164="按筐数×单价",N($E164),IF($H164="按总重KG×单价",N($F164),IF($H164="按吨位×单价",N($G164),0))))</f>
        <v/>
      </c>
      <c r="K164" s="41" t="str">
        <f aca="false">IF($B164="","",ROUND(N($J164)*N($I164),2))</f>
        <v/>
      </c>
      <c r="L164" s="42"/>
      <c r="M164" s="76"/>
      <c r="N164" s="43"/>
      <c r="R164" s="77" t="str">
        <f aca="false">IF($B164="","",$B164)</f>
        <v/>
      </c>
      <c r="S164" s="77" t="n">
        <f aca="false">IF($R164="",0,IF(MATCH($R164,$R$5:$R$904,0)=ROW()-4,1,0))</f>
        <v>0</v>
      </c>
      <c r="T164" s="77" t="n">
        <f aca="false">N(T163)+$S164</f>
        <v>18</v>
      </c>
    </row>
    <row r="165" customFormat="false" ht="13.5" hidden="false" customHeight="false" outlineLevel="0" collapsed="false">
      <c r="A165" s="9" t="str">
        <f aca="false">IF($B165="","",ROW()-4)</f>
        <v/>
      </c>
      <c r="B165" s="39" t="str">
        <f aca="false">IFERROR(INDEX(对接源_01入库吨位!$B$5:$B$304,MATCH(INT((ROW()-5)/3)+1,对接源_01入库吨位!$S$5:$S$304,0)),"")</f>
        <v/>
      </c>
      <c r="C165" s="39" t="str">
        <f aca="false">IFERROR(INDEX(对接源_01入库吨位!$C$5:$C$304,MATCH(INT((ROW()-5)/3)+1,对接源_01入库吨位!$S$5:$S$304,0)),"")</f>
        <v/>
      </c>
      <c r="D165" s="40" t="str">
        <f aca="false">IF($B165="","",IF(MOD(ROW()-5,3)=0,"周转打冷",IF(MOD(ROW()-5,3)=1,"仓储加工","装卸费")))</f>
        <v/>
      </c>
      <c r="E165" s="51" t="str">
        <f aca="false">IF($B165="","",IFERROR(IF($D165="周转打冷",N(INDEX(对接源_01入库吨位!$D$5:$D$304,MATCH(INT((ROW()-5)/3)+1,对接源_01入库吨位!$S$5:$S$304,0))),IF($D165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5" s="41" t="str">
        <f aca="false">IF($B165="","",ROUND(IFERROR(IF($D165="周转打冷",N(INDEX(对接源_01入库吨位!$H$5:$H$304,MATCH(INT((ROW()-5)/3)+1,对接源_01入库吨位!$S$5:$S$304,0))),IF($D165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5" s="52" t="str">
        <f aca="false">IF($B165="","",ROUND(N($F165)/1000,3))</f>
        <v/>
      </c>
      <c r="H165" s="74"/>
      <c r="I165" s="44"/>
      <c r="J165" s="75" t="str">
        <f aca="false">IF($B165="","",IF($H165="按筐数×单价",N($E165),IF($H165="按总重KG×单价",N($F165),IF($H165="按吨位×单价",N($G165),0))))</f>
        <v/>
      </c>
      <c r="K165" s="41" t="str">
        <f aca="false">IF($B165="","",ROUND(N($J165)*N($I165),2))</f>
        <v/>
      </c>
      <c r="L165" s="42"/>
      <c r="M165" s="76"/>
      <c r="N165" s="43"/>
      <c r="R165" s="77" t="str">
        <f aca="false">IF($B165="","",$B165)</f>
        <v/>
      </c>
      <c r="S165" s="77" t="n">
        <f aca="false">IF($R165="",0,IF(MATCH($R165,$R$5:$R$904,0)=ROW()-4,1,0))</f>
        <v>0</v>
      </c>
      <c r="T165" s="77" t="n">
        <f aca="false">N(T164)+$S165</f>
        <v>18</v>
      </c>
    </row>
    <row r="166" customFormat="false" ht="13.5" hidden="false" customHeight="false" outlineLevel="0" collapsed="false">
      <c r="A166" s="9" t="str">
        <f aca="false">IF($B166="","",ROW()-4)</f>
        <v/>
      </c>
      <c r="B166" s="39" t="str">
        <f aca="false">IFERROR(INDEX(对接源_01入库吨位!$B$5:$B$304,MATCH(INT((ROW()-5)/3)+1,对接源_01入库吨位!$S$5:$S$304,0)),"")</f>
        <v/>
      </c>
      <c r="C166" s="39" t="str">
        <f aca="false">IFERROR(INDEX(对接源_01入库吨位!$C$5:$C$304,MATCH(INT((ROW()-5)/3)+1,对接源_01入库吨位!$S$5:$S$304,0)),"")</f>
        <v/>
      </c>
      <c r="D166" s="40" t="str">
        <f aca="false">IF($B166="","",IF(MOD(ROW()-5,3)=0,"周转打冷",IF(MOD(ROW()-5,3)=1,"仓储加工","装卸费")))</f>
        <v/>
      </c>
      <c r="E166" s="51" t="str">
        <f aca="false">IF($B166="","",IFERROR(IF($D166="周转打冷",N(INDEX(对接源_01入库吨位!$D$5:$D$304,MATCH(INT((ROW()-5)/3)+1,对接源_01入库吨位!$S$5:$S$304,0))),IF($D166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6" s="41" t="str">
        <f aca="false">IF($B166="","",ROUND(IFERROR(IF($D166="周转打冷",N(INDEX(对接源_01入库吨位!$H$5:$H$304,MATCH(INT((ROW()-5)/3)+1,对接源_01入库吨位!$S$5:$S$304,0))),IF($D166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6" s="52" t="str">
        <f aca="false">IF($B166="","",ROUND(N($F166)/1000,3))</f>
        <v/>
      </c>
      <c r="H166" s="74"/>
      <c r="I166" s="44"/>
      <c r="J166" s="75" t="str">
        <f aca="false">IF($B166="","",IF($H166="按筐数×单价",N($E166),IF($H166="按总重KG×单价",N($F166),IF($H166="按吨位×单价",N($G166),0))))</f>
        <v/>
      </c>
      <c r="K166" s="41" t="str">
        <f aca="false">IF($B166="","",ROUND(N($J166)*N($I166),2))</f>
        <v/>
      </c>
      <c r="L166" s="42"/>
      <c r="M166" s="76"/>
      <c r="N166" s="43"/>
      <c r="R166" s="77" t="str">
        <f aca="false">IF($B166="","",$B166)</f>
        <v/>
      </c>
      <c r="S166" s="77" t="n">
        <f aca="false">IF($R166="",0,IF(MATCH($R166,$R$5:$R$904,0)=ROW()-4,1,0))</f>
        <v>0</v>
      </c>
      <c r="T166" s="77" t="n">
        <f aca="false">N(T165)+$S166</f>
        <v>18</v>
      </c>
    </row>
    <row r="167" customFormat="false" ht="13.5" hidden="false" customHeight="false" outlineLevel="0" collapsed="false">
      <c r="A167" s="9" t="str">
        <f aca="false">IF($B167="","",ROW()-4)</f>
        <v/>
      </c>
      <c r="B167" s="39" t="str">
        <f aca="false">IFERROR(INDEX(对接源_01入库吨位!$B$5:$B$304,MATCH(INT((ROW()-5)/3)+1,对接源_01入库吨位!$S$5:$S$304,0)),"")</f>
        <v/>
      </c>
      <c r="C167" s="39" t="str">
        <f aca="false">IFERROR(INDEX(对接源_01入库吨位!$C$5:$C$304,MATCH(INT((ROW()-5)/3)+1,对接源_01入库吨位!$S$5:$S$304,0)),"")</f>
        <v/>
      </c>
      <c r="D167" s="40" t="str">
        <f aca="false">IF($B167="","",IF(MOD(ROW()-5,3)=0,"周转打冷",IF(MOD(ROW()-5,3)=1,"仓储加工","装卸费")))</f>
        <v/>
      </c>
      <c r="E167" s="51" t="str">
        <f aca="false">IF($B167="","",IFERROR(IF($D167="周转打冷",N(INDEX(对接源_01入库吨位!$D$5:$D$304,MATCH(INT((ROW()-5)/3)+1,对接源_01入库吨位!$S$5:$S$304,0))),IF($D167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7" s="41" t="str">
        <f aca="false">IF($B167="","",ROUND(IFERROR(IF($D167="周转打冷",N(INDEX(对接源_01入库吨位!$H$5:$H$304,MATCH(INT((ROW()-5)/3)+1,对接源_01入库吨位!$S$5:$S$304,0))),IF($D167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7" s="52" t="str">
        <f aca="false">IF($B167="","",ROUND(N($F167)/1000,3))</f>
        <v/>
      </c>
      <c r="H167" s="74"/>
      <c r="I167" s="44"/>
      <c r="J167" s="75" t="str">
        <f aca="false">IF($B167="","",IF($H167="按筐数×单价",N($E167),IF($H167="按总重KG×单价",N($F167),IF($H167="按吨位×单价",N($G167),0))))</f>
        <v/>
      </c>
      <c r="K167" s="41" t="str">
        <f aca="false">IF($B167="","",ROUND(N($J167)*N($I167),2))</f>
        <v/>
      </c>
      <c r="L167" s="42"/>
      <c r="M167" s="76"/>
      <c r="N167" s="43"/>
      <c r="R167" s="77" t="str">
        <f aca="false">IF($B167="","",$B167)</f>
        <v/>
      </c>
      <c r="S167" s="77" t="n">
        <f aca="false">IF($R167="",0,IF(MATCH($R167,$R$5:$R$904,0)=ROW()-4,1,0))</f>
        <v>0</v>
      </c>
      <c r="T167" s="77" t="n">
        <f aca="false">N(T166)+$S167</f>
        <v>18</v>
      </c>
    </row>
    <row r="168" customFormat="false" ht="13.5" hidden="false" customHeight="false" outlineLevel="0" collapsed="false">
      <c r="A168" s="9" t="str">
        <f aca="false">IF($B168="","",ROW()-4)</f>
        <v/>
      </c>
      <c r="B168" s="39" t="str">
        <f aca="false">IFERROR(INDEX(对接源_01入库吨位!$B$5:$B$304,MATCH(INT((ROW()-5)/3)+1,对接源_01入库吨位!$S$5:$S$304,0)),"")</f>
        <v/>
      </c>
      <c r="C168" s="39" t="str">
        <f aca="false">IFERROR(INDEX(对接源_01入库吨位!$C$5:$C$304,MATCH(INT((ROW()-5)/3)+1,对接源_01入库吨位!$S$5:$S$304,0)),"")</f>
        <v/>
      </c>
      <c r="D168" s="40" t="str">
        <f aca="false">IF($B168="","",IF(MOD(ROW()-5,3)=0,"周转打冷",IF(MOD(ROW()-5,3)=1,"仓储加工","装卸费")))</f>
        <v/>
      </c>
      <c r="E168" s="51" t="str">
        <f aca="false">IF($B168="","",IFERROR(IF($D168="周转打冷",N(INDEX(对接源_01入库吨位!$D$5:$D$304,MATCH(INT((ROW()-5)/3)+1,对接源_01入库吨位!$S$5:$S$304,0))),IF($D168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8" s="41" t="str">
        <f aca="false">IF($B168="","",ROUND(IFERROR(IF($D168="周转打冷",N(INDEX(对接源_01入库吨位!$H$5:$H$304,MATCH(INT((ROW()-5)/3)+1,对接源_01入库吨位!$S$5:$S$304,0))),IF($D168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8" s="52" t="str">
        <f aca="false">IF($B168="","",ROUND(N($F168)/1000,3))</f>
        <v/>
      </c>
      <c r="H168" s="74"/>
      <c r="I168" s="44"/>
      <c r="J168" s="75" t="str">
        <f aca="false">IF($B168="","",IF($H168="按筐数×单价",N($E168),IF($H168="按总重KG×单价",N($F168),IF($H168="按吨位×单价",N($G168),0))))</f>
        <v/>
      </c>
      <c r="K168" s="41" t="str">
        <f aca="false">IF($B168="","",ROUND(N($J168)*N($I168),2))</f>
        <v/>
      </c>
      <c r="L168" s="42"/>
      <c r="M168" s="76"/>
      <c r="N168" s="43"/>
      <c r="R168" s="77" t="str">
        <f aca="false">IF($B168="","",$B168)</f>
        <v/>
      </c>
      <c r="S168" s="77" t="n">
        <f aca="false">IF($R168="",0,IF(MATCH($R168,$R$5:$R$904,0)=ROW()-4,1,0))</f>
        <v>0</v>
      </c>
      <c r="T168" s="77" t="n">
        <f aca="false">N(T167)+$S168</f>
        <v>18</v>
      </c>
    </row>
    <row r="169" customFormat="false" ht="13.5" hidden="false" customHeight="false" outlineLevel="0" collapsed="false">
      <c r="A169" s="9" t="str">
        <f aca="false">IF($B169="","",ROW()-4)</f>
        <v/>
      </c>
      <c r="B169" s="39" t="str">
        <f aca="false">IFERROR(INDEX(对接源_01入库吨位!$B$5:$B$304,MATCH(INT((ROW()-5)/3)+1,对接源_01入库吨位!$S$5:$S$304,0)),"")</f>
        <v/>
      </c>
      <c r="C169" s="39" t="str">
        <f aca="false">IFERROR(INDEX(对接源_01入库吨位!$C$5:$C$304,MATCH(INT((ROW()-5)/3)+1,对接源_01入库吨位!$S$5:$S$304,0)),"")</f>
        <v/>
      </c>
      <c r="D169" s="40" t="str">
        <f aca="false">IF($B169="","",IF(MOD(ROW()-5,3)=0,"周转打冷",IF(MOD(ROW()-5,3)=1,"仓储加工","装卸费")))</f>
        <v/>
      </c>
      <c r="E169" s="51" t="str">
        <f aca="false">IF($B169="","",IFERROR(IF($D169="周转打冷",N(INDEX(对接源_01入库吨位!$D$5:$D$304,MATCH(INT((ROW()-5)/3)+1,对接源_01入库吨位!$S$5:$S$304,0))),IF($D169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69" s="41" t="str">
        <f aca="false">IF($B169="","",ROUND(IFERROR(IF($D169="周转打冷",N(INDEX(对接源_01入库吨位!$H$5:$H$304,MATCH(INT((ROW()-5)/3)+1,对接源_01入库吨位!$S$5:$S$304,0))),IF($D169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69" s="52" t="str">
        <f aca="false">IF($B169="","",ROUND(N($F169)/1000,3))</f>
        <v/>
      </c>
      <c r="H169" s="74"/>
      <c r="I169" s="44"/>
      <c r="J169" s="75" t="str">
        <f aca="false">IF($B169="","",IF($H169="按筐数×单价",N($E169),IF($H169="按总重KG×单价",N($F169),IF($H169="按吨位×单价",N($G169),0))))</f>
        <v/>
      </c>
      <c r="K169" s="41" t="str">
        <f aca="false">IF($B169="","",ROUND(N($J169)*N($I169),2))</f>
        <v/>
      </c>
      <c r="L169" s="42"/>
      <c r="M169" s="76"/>
      <c r="N169" s="43"/>
      <c r="R169" s="77" t="str">
        <f aca="false">IF($B169="","",$B169)</f>
        <v/>
      </c>
      <c r="S169" s="77" t="n">
        <f aca="false">IF($R169="",0,IF(MATCH($R169,$R$5:$R$904,0)=ROW()-4,1,0))</f>
        <v>0</v>
      </c>
      <c r="T169" s="77" t="n">
        <f aca="false">N(T168)+$S169</f>
        <v>18</v>
      </c>
    </row>
    <row r="170" customFormat="false" ht="13.5" hidden="false" customHeight="false" outlineLevel="0" collapsed="false">
      <c r="A170" s="9" t="str">
        <f aca="false">IF($B170="","",ROW()-4)</f>
        <v/>
      </c>
      <c r="B170" s="39" t="str">
        <f aca="false">IFERROR(INDEX(对接源_01入库吨位!$B$5:$B$304,MATCH(INT((ROW()-5)/3)+1,对接源_01入库吨位!$S$5:$S$304,0)),"")</f>
        <v/>
      </c>
      <c r="C170" s="39" t="str">
        <f aca="false">IFERROR(INDEX(对接源_01入库吨位!$C$5:$C$304,MATCH(INT((ROW()-5)/3)+1,对接源_01入库吨位!$S$5:$S$304,0)),"")</f>
        <v/>
      </c>
      <c r="D170" s="40" t="str">
        <f aca="false">IF($B170="","",IF(MOD(ROW()-5,3)=0,"周转打冷",IF(MOD(ROW()-5,3)=1,"仓储加工","装卸费")))</f>
        <v/>
      </c>
      <c r="E170" s="51" t="str">
        <f aca="false">IF($B170="","",IFERROR(IF($D170="周转打冷",N(INDEX(对接源_01入库吨位!$D$5:$D$304,MATCH(INT((ROW()-5)/3)+1,对接源_01入库吨位!$S$5:$S$304,0))),IF($D170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0" s="41" t="str">
        <f aca="false">IF($B170="","",ROUND(IFERROR(IF($D170="周转打冷",N(INDEX(对接源_01入库吨位!$H$5:$H$304,MATCH(INT((ROW()-5)/3)+1,对接源_01入库吨位!$S$5:$S$304,0))),IF($D170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0" s="52" t="str">
        <f aca="false">IF($B170="","",ROUND(N($F170)/1000,3))</f>
        <v/>
      </c>
      <c r="H170" s="74"/>
      <c r="I170" s="44"/>
      <c r="J170" s="75" t="str">
        <f aca="false">IF($B170="","",IF($H170="按筐数×单价",N($E170),IF($H170="按总重KG×单价",N($F170),IF($H170="按吨位×单价",N($G170),0))))</f>
        <v/>
      </c>
      <c r="K170" s="41" t="str">
        <f aca="false">IF($B170="","",ROUND(N($J170)*N($I170),2))</f>
        <v/>
      </c>
      <c r="L170" s="42"/>
      <c r="M170" s="76"/>
      <c r="N170" s="43"/>
      <c r="R170" s="77" t="str">
        <f aca="false">IF($B170="","",$B170)</f>
        <v/>
      </c>
      <c r="S170" s="77" t="n">
        <f aca="false">IF($R170="",0,IF(MATCH($R170,$R$5:$R$904,0)=ROW()-4,1,0))</f>
        <v>0</v>
      </c>
      <c r="T170" s="77" t="n">
        <f aca="false">N(T169)+$S170</f>
        <v>18</v>
      </c>
    </row>
    <row r="171" customFormat="false" ht="13.5" hidden="false" customHeight="false" outlineLevel="0" collapsed="false">
      <c r="A171" s="9" t="str">
        <f aca="false">IF($B171="","",ROW()-4)</f>
        <v/>
      </c>
      <c r="B171" s="39" t="str">
        <f aca="false">IFERROR(INDEX(对接源_01入库吨位!$B$5:$B$304,MATCH(INT((ROW()-5)/3)+1,对接源_01入库吨位!$S$5:$S$304,0)),"")</f>
        <v/>
      </c>
      <c r="C171" s="39" t="str">
        <f aca="false">IFERROR(INDEX(对接源_01入库吨位!$C$5:$C$304,MATCH(INT((ROW()-5)/3)+1,对接源_01入库吨位!$S$5:$S$304,0)),"")</f>
        <v/>
      </c>
      <c r="D171" s="40" t="str">
        <f aca="false">IF($B171="","",IF(MOD(ROW()-5,3)=0,"周转打冷",IF(MOD(ROW()-5,3)=1,"仓储加工","装卸费")))</f>
        <v/>
      </c>
      <c r="E171" s="51" t="str">
        <f aca="false">IF($B171="","",IFERROR(IF($D171="周转打冷",N(INDEX(对接源_01入库吨位!$D$5:$D$304,MATCH(INT((ROW()-5)/3)+1,对接源_01入库吨位!$S$5:$S$304,0))),IF($D171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1" s="41" t="str">
        <f aca="false">IF($B171="","",ROUND(IFERROR(IF($D171="周转打冷",N(INDEX(对接源_01入库吨位!$H$5:$H$304,MATCH(INT((ROW()-5)/3)+1,对接源_01入库吨位!$S$5:$S$304,0))),IF($D171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1" s="52" t="str">
        <f aca="false">IF($B171="","",ROUND(N($F171)/1000,3))</f>
        <v/>
      </c>
      <c r="H171" s="74"/>
      <c r="I171" s="44"/>
      <c r="J171" s="75" t="str">
        <f aca="false">IF($B171="","",IF($H171="按筐数×单价",N($E171),IF($H171="按总重KG×单价",N($F171),IF($H171="按吨位×单价",N($G171),0))))</f>
        <v/>
      </c>
      <c r="K171" s="41" t="str">
        <f aca="false">IF($B171="","",ROUND(N($J171)*N($I171),2))</f>
        <v/>
      </c>
      <c r="L171" s="42"/>
      <c r="M171" s="76"/>
      <c r="N171" s="43"/>
      <c r="R171" s="77" t="str">
        <f aca="false">IF($B171="","",$B171)</f>
        <v/>
      </c>
      <c r="S171" s="77" t="n">
        <f aca="false">IF($R171="",0,IF(MATCH($R171,$R$5:$R$904,0)=ROW()-4,1,0))</f>
        <v>0</v>
      </c>
      <c r="T171" s="77" t="n">
        <f aca="false">N(T170)+$S171</f>
        <v>18</v>
      </c>
    </row>
    <row r="172" customFormat="false" ht="13.5" hidden="false" customHeight="false" outlineLevel="0" collapsed="false">
      <c r="A172" s="9" t="str">
        <f aca="false">IF($B172="","",ROW()-4)</f>
        <v/>
      </c>
      <c r="B172" s="39" t="str">
        <f aca="false">IFERROR(INDEX(对接源_01入库吨位!$B$5:$B$304,MATCH(INT((ROW()-5)/3)+1,对接源_01入库吨位!$S$5:$S$304,0)),"")</f>
        <v/>
      </c>
      <c r="C172" s="39" t="str">
        <f aca="false">IFERROR(INDEX(对接源_01入库吨位!$C$5:$C$304,MATCH(INT((ROW()-5)/3)+1,对接源_01入库吨位!$S$5:$S$304,0)),"")</f>
        <v/>
      </c>
      <c r="D172" s="40" t="str">
        <f aca="false">IF($B172="","",IF(MOD(ROW()-5,3)=0,"周转打冷",IF(MOD(ROW()-5,3)=1,"仓储加工","装卸费")))</f>
        <v/>
      </c>
      <c r="E172" s="51" t="str">
        <f aca="false">IF($B172="","",IFERROR(IF($D172="周转打冷",N(INDEX(对接源_01入库吨位!$D$5:$D$304,MATCH(INT((ROW()-5)/3)+1,对接源_01入库吨位!$S$5:$S$304,0))),IF($D172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2" s="41" t="str">
        <f aca="false">IF($B172="","",ROUND(IFERROR(IF($D172="周转打冷",N(INDEX(对接源_01入库吨位!$H$5:$H$304,MATCH(INT((ROW()-5)/3)+1,对接源_01入库吨位!$S$5:$S$304,0))),IF($D172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2" s="52" t="str">
        <f aca="false">IF($B172="","",ROUND(N($F172)/1000,3))</f>
        <v/>
      </c>
      <c r="H172" s="74"/>
      <c r="I172" s="44"/>
      <c r="J172" s="75" t="str">
        <f aca="false">IF($B172="","",IF($H172="按筐数×单价",N($E172),IF($H172="按总重KG×单价",N($F172),IF($H172="按吨位×单价",N($G172),0))))</f>
        <v/>
      </c>
      <c r="K172" s="41" t="str">
        <f aca="false">IF($B172="","",ROUND(N($J172)*N($I172),2))</f>
        <v/>
      </c>
      <c r="L172" s="42"/>
      <c r="M172" s="76"/>
      <c r="N172" s="43"/>
      <c r="R172" s="77" t="str">
        <f aca="false">IF($B172="","",$B172)</f>
        <v/>
      </c>
      <c r="S172" s="77" t="n">
        <f aca="false">IF($R172="",0,IF(MATCH($R172,$R$5:$R$904,0)=ROW()-4,1,0))</f>
        <v>0</v>
      </c>
      <c r="T172" s="77" t="n">
        <f aca="false">N(T171)+$S172</f>
        <v>18</v>
      </c>
    </row>
    <row r="173" customFormat="false" ht="13.5" hidden="false" customHeight="false" outlineLevel="0" collapsed="false">
      <c r="A173" s="9" t="str">
        <f aca="false">IF($B173="","",ROW()-4)</f>
        <v/>
      </c>
      <c r="B173" s="39" t="str">
        <f aca="false">IFERROR(INDEX(对接源_01入库吨位!$B$5:$B$304,MATCH(INT((ROW()-5)/3)+1,对接源_01入库吨位!$S$5:$S$304,0)),"")</f>
        <v/>
      </c>
      <c r="C173" s="39" t="str">
        <f aca="false">IFERROR(INDEX(对接源_01入库吨位!$C$5:$C$304,MATCH(INT((ROW()-5)/3)+1,对接源_01入库吨位!$S$5:$S$304,0)),"")</f>
        <v/>
      </c>
      <c r="D173" s="40" t="str">
        <f aca="false">IF($B173="","",IF(MOD(ROW()-5,3)=0,"周转打冷",IF(MOD(ROW()-5,3)=1,"仓储加工","装卸费")))</f>
        <v/>
      </c>
      <c r="E173" s="51" t="str">
        <f aca="false">IF($B173="","",IFERROR(IF($D173="周转打冷",N(INDEX(对接源_01入库吨位!$D$5:$D$304,MATCH(INT((ROW()-5)/3)+1,对接源_01入库吨位!$S$5:$S$304,0))),IF($D173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3" s="41" t="str">
        <f aca="false">IF($B173="","",ROUND(IFERROR(IF($D173="周转打冷",N(INDEX(对接源_01入库吨位!$H$5:$H$304,MATCH(INT((ROW()-5)/3)+1,对接源_01入库吨位!$S$5:$S$304,0))),IF($D173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3" s="52" t="str">
        <f aca="false">IF($B173="","",ROUND(N($F173)/1000,3))</f>
        <v/>
      </c>
      <c r="H173" s="74"/>
      <c r="I173" s="44"/>
      <c r="J173" s="75" t="str">
        <f aca="false">IF($B173="","",IF($H173="按筐数×单价",N($E173),IF($H173="按总重KG×单价",N($F173),IF($H173="按吨位×单价",N($G173),0))))</f>
        <v/>
      </c>
      <c r="K173" s="41" t="str">
        <f aca="false">IF($B173="","",ROUND(N($J173)*N($I173),2))</f>
        <v/>
      </c>
      <c r="L173" s="42"/>
      <c r="M173" s="76"/>
      <c r="N173" s="43"/>
      <c r="R173" s="77" t="str">
        <f aca="false">IF($B173="","",$B173)</f>
        <v/>
      </c>
      <c r="S173" s="77" t="n">
        <f aca="false">IF($R173="",0,IF(MATCH($R173,$R$5:$R$904,0)=ROW()-4,1,0))</f>
        <v>0</v>
      </c>
      <c r="T173" s="77" t="n">
        <f aca="false">N(T172)+$S173</f>
        <v>18</v>
      </c>
    </row>
    <row r="174" customFormat="false" ht="13.5" hidden="false" customHeight="false" outlineLevel="0" collapsed="false">
      <c r="A174" s="9" t="str">
        <f aca="false">IF($B174="","",ROW()-4)</f>
        <v/>
      </c>
      <c r="B174" s="39" t="str">
        <f aca="false">IFERROR(INDEX(对接源_01入库吨位!$B$5:$B$304,MATCH(INT((ROW()-5)/3)+1,对接源_01入库吨位!$S$5:$S$304,0)),"")</f>
        <v/>
      </c>
      <c r="C174" s="39" t="str">
        <f aca="false">IFERROR(INDEX(对接源_01入库吨位!$C$5:$C$304,MATCH(INT((ROW()-5)/3)+1,对接源_01入库吨位!$S$5:$S$304,0)),"")</f>
        <v/>
      </c>
      <c r="D174" s="40" t="str">
        <f aca="false">IF($B174="","",IF(MOD(ROW()-5,3)=0,"周转打冷",IF(MOD(ROW()-5,3)=1,"仓储加工","装卸费")))</f>
        <v/>
      </c>
      <c r="E174" s="51" t="str">
        <f aca="false">IF($B174="","",IFERROR(IF($D174="周转打冷",N(INDEX(对接源_01入库吨位!$D$5:$D$304,MATCH(INT((ROW()-5)/3)+1,对接源_01入库吨位!$S$5:$S$304,0))),IF($D174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4" s="41" t="str">
        <f aca="false">IF($B174="","",ROUND(IFERROR(IF($D174="周转打冷",N(INDEX(对接源_01入库吨位!$H$5:$H$304,MATCH(INT((ROW()-5)/3)+1,对接源_01入库吨位!$S$5:$S$304,0))),IF($D174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4" s="52" t="str">
        <f aca="false">IF($B174="","",ROUND(N($F174)/1000,3))</f>
        <v/>
      </c>
      <c r="H174" s="74"/>
      <c r="I174" s="44"/>
      <c r="J174" s="75" t="str">
        <f aca="false">IF($B174="","",IF($H174="按筐数×单价",N($E174),IF($H174="按总重KG×单价",N($F174),IF($H174="按吨位×单价",N($G174),0))))</f>
        <v/>
      </c>
      <c r="K174" s="41" t="str">
        <f aca="false">IF($B174="","",ROUND(N($J174)*N($I174),2))</f>
        <v/>
      </c>
      <c r="L174" s="42"/>
      <c r="M174" s="76"/>
      <c r="N174" s="43"/>
      <c r="R174" s="77" t="str">
        <f aca="false">IF($B174="","",$B174)</f>
        <v/>
      </c>
      <c r="S174" s="77" t="n">
        <f aca="false">IF($R174="",0,IF(MATCH($R174,$R$5:$R$904,0)=ROW()-4,1,0))</f>
        <v>0</v>
      </c>
      <c r="T174" s="77" t="n">
        <f aca="false">N(T173)+$S174</f>
        <v>18</v>
      </c>
    </row>
    <row r="175" customFormat="false" ht="13.5" hidden="false" customHeight="false" outlineLevel="0" collapsed="false">
      <c r="A175" s="9" t="str">
        <f aca="false">IF($B175="","",ROW()-4)</f>
        <v/>
      </c>
      <c r="B175" s="39" t="str">
        <f aca="false">IFERROR(INDEX(对接源_01入库吨位!$B$5:$B$304,MATCH(INT((ROW()-5)/3)+1,对接源_01入库吨位!$S$5:$S$304,0)),"")</f>
        <v/>
      </c>
      <c r="C175" s="39" t="str">
        <f aca="false">IFERROR(INDEX(对接源_01入库吨位!$C$5:$C$304,MATCH(INT((ROW()-5)/3)+1,对接源_01入库吨位!$S$5:$S$304,0)),"")</f>
        <v/>
      </c>
      <c r="D175" s="40" t="str">
        <f aca="false">IF($B175="","",IF(MOD(ROW()-5,3)=0,"周转打冷",IF(MOD(ROW()-5,3)=1,"仓储加工","装卸费")))</f>
        <v/>
      </c>
      <c r="E175" s="51" t="str">
        <f aca="false">IF($B175="","",IFERROR(IF($D175="周转打冷",N(INDEX(对接源_01入库吨位!$D$5:$D$304,MATCH(INT((ROW()-5)/3)+1,对接源_01入库吨位!$S$5:$S$304,0))),IF($D175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5" s="41" t="str">
        <f aca="false">IF($B175="","",ROUND(IFERROR(IF($D175="周转打冷",N(INDEX(对接源_01入库吨位!$H$5:$H$304,MATCH(INT((ROW()-5)/3)+1,对接源_01入库吨位!$S$5:$S$304,0))),IF($D175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5" s="52" t="str">
        <f aca="false">IF($B175="","",ROUND(N($F175)/1000,3))</f>
        <v/>
      </c>
      <c r="H175" s="74"/>
      <c r="I175" s="44"/>
      <c r="J175" s="75" t="str">
        <f aca="false">IF($B175="","",IF($H175="按筐数×单价",N($E175),IF($H175="按总重KG×单价",N($F175),IF($H175="按吨位×单价",N($G175),0))))</f>
        <v/>
      </c>
      <c r="K175" s="41" t="str">
        <f aca="false">IF($B175="","",ROUND(N($J175)*N($I175),2))</f>
        <v/>
      </c>
      <c r="L175" s="42"/>
      <c r="M175" s="76"/>
      <c r="N175" s="43"/>
      <c r="R175" s="77" t="str">
        <f aca="false">IF($B175="","",$B175)</f>
        <v/>
      </c>
      <c r="S175" s="77" t="n">
        <f aca="false">IF($R175="",0,IF(MATCH($R175,$R$5:$R$904,0)=ROW()-4,1,0))</f>
        <v>0</v>
      </c>
      <c r="T175" s="77" t="n">
        <f aca="false">N(T174)+$S175</f>
        <v>18</v>
      </c>
    </row>
    <row r="176" customFormat="false" ht="13.5" hidden="false" customHeight="false" outlineLevel="0" collapsed="false">
      <c r="A176" s="9" t="str">
        <f aca="false">IF($B176="","",ROW()-4)</f>
        <v/>
      </c>
      <c r="B176" s="39" t="str">
        <f aca="false">IFERROR(INDEX(对接源_01入库吨位!$B$5:$B$304,MATCH(INT((ROW()-5)/3)+1,对接源_01入库吨位!$S$5:$S$304,0)),"")</f>
        <v/>
      </c>
      <c r="C176" s="39" t="str">
        <f aca="false">IFERROR(INDEX(对接源_01入库吨位!$C$5:$C$304,MATCH(INT((ROW()-5)/3)+1,对接源_01入库吨位!$S$5:$S$304,0)),"")</f>
        <v/>
      </c>
      <c r="D176" s="40" t="str">
        <f aca="false">IF($B176="","",IF(MOD(ROW()-5,3)=0,"周转打冷",IF(MOD(ROW()-5,3)=1,"仓储加工","装卸费")))</f>
        <v/>
      </c>
      <c r="E176" s="51" t="str">
        <f aca="false">IF($B176="","",IFERROR(IF($D176="周转打冷",N(INDEX(对接源_01入库吨位!$D$5:$D$304,MATCH(INT((ROW()-5)/3)+1,对接源_01入库吨位!$S$5:$S$304,0))),IF($D176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6" s="41" t="str">
        <f aca="false">IF($B176="","",ROUND(IFERROR(IF($D176="周转打冷",N(INDEX(对接源_01入库吨位!$H$5:$H$304,MATCH(INT((ROW()-5)/3)+1,对接源_01入库吨位!$S$5:$S$304,0))),IF($D176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6" s="52" t="str">
        <f aca="false">IF($B176="","",ROUND(N($F176)/1000,3))</f>
        <v/>
      </c>
      <c r="H176" s="74"/>
      <c r="I176" s="44"/>
      <c r="J176" s="75" t="str">
        <f aca="false">IF($B176="","",IF($H176="按筐数×单价",N($E176),IF($H176="按总重KG×单价",N($F176),IF($H176="按吨位×单价",N($G176),0))))</f>
        <v/>
      </c>
      <c r="K176" s="41" t="str">
        <f aca="false">IF($B176="","",ROUND(N($J176)*N($I176),2))</f>
        <v/>
      </c>
      <c r="L176" s="42"/>
      <c r="M176" s="76"/>
      <c r="N176" s="43"/>
      <c r="R176" s="77" t="str">
        <f aca="false">IF($B176="","",$B176)</f>
        <v/>
      </c>
      <c r="S176" s="77" t="n">
        <f aca="false">IF($R176="",0,IF(MATCH($R176,$R$5:$R$904,0)=ROW()-4,1,0))</f>
        <v>0</v>
      </c>
      <c r="T176" s="77" t="n">
        <f aca="false">N(T175)+$S176</f>
        <v>18</v>
      </c>
    </row>
    <row r="177" customFormat="false" ht="13.5" hidden="false" customHeight="false" outlineLevel="0" collapsed="false">
      <c r="A177" s="9" t="str">
        <f aca="false">IF($B177="","",ROW()-4)</f>
        <v/>
      </c>
      <c r="B177" s="39" t="str">
        <f aca="false">IFERROR(INDEX(对接源_01入库吨位!$B$5:$B$304,MATCH(INT((ROW()-5)/3)+1,对接源_01入库吨位!$S$5:$S$304,0)),"")</f>
        <v/>
      </c>
      <c r="C177" s="39" t="str">
        <f aca="false">IFERROR(INDEX(对接源_01入库吨位!$C$5:$C$304,MATCH(INT((ROW()-5)/3)+1,对接源_01入库吨位!$S$5:$S$304,0)),"")</f>
        <v/>
      </c>
      <c r="D177" s="40" t="str">
        <f aca="false">IF($B177="","",IF(MOD(ROW()-5,3)=0,"周转打冷",IF(MOD(ROW()-5,3)=1,"仓储加工","装卸费")))</f>
        <v/>
      </c>
      <c r="E177" s="51" t="str">
        <f aca="false">IF($B177="","",IFERROR(IF($D177="周转打冷",N(INDEX(对接源_01入库吨位!$D$5:$D$304,MATCH(INT((ROW()-5)/3)+1,对接源_01入库吨位!$S$5:$S$304,0))),IF($D177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7" s="41" t="str">
        <f aca="false">IF($B177="","",ROUND(IFERROR(IF($D177="周转打冷",N(INDEX(对接源_01入库吨位!$H$5:$H$304,MATCH(INT((ROW()-5)/3)+1,对接源_01入库吨位!$S$5:$S$304,0))),IF($D177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7" s="52" t="str">
        <f aca="false">IF($B177="","",ROUND(N($F177)/1000,3))</f>
        <v/>
      </c>
      <c r="H177" s="74"/>
      <c r="I177" s="44"/>
      <c r="J177" s="75" t="str">
        <f aca="false">IF($B177="","",IF($H177="按筐数×单价",N($E177),IF($H177="按总重KG×单价",N($F177),IF($H177="按吨位×单价",N($G177),0))))</f>
        <v/>
      </c>
      <c r="K177" s="41" t="str">
        <f aca="false">IF($B177="","",ROUND(N($J177)*N($I177),2))</f>
        <v/>
      </c>
      <c r="L177" s="42"/>
      <c r="M177" s="76"/>
      <c r="N177" s="43"/>
      <c r="R177" s="77" t="str">
        <f aca="false">IF($B177="","",$B177)</f>
        <v/>
      </c>
      <c r="S177" s="77" t="n">
        <f aca="false">IF($R177="",0,IF(MATCH($R177,$R$5:$R$904,0)=ROW()-4,1,0))</f>
        <v>0</v>
      </c>
      <c r="T177" s="77" t="n">
        <f aca="false">N(T176)+$S177</f>
        <v>18</v>
      </c>
    </row>
    <row r="178" customFormat="false" ht="13.5" hidden="false" customHeight="false" outlineLevel="0" collapsed="false">
      <c r="A178" s="9" t="str">
        <f aca="false">IF($B178="","",ROW()-4)</f>
        <v/>
      </c>
      <c r="B178" s="39" t="str">
        <f aca="false">IFERROR(INDEX(对接源_01入库吨位!$B$5:$B$304,MATCH(INT((ROW()-5)/3)+1,对接源_01入库吨位!$S$5:$S$304,0)),"")</f>
        <v/>
      </c>
      <c r="C178" s="39" t="str">
        <f aca="false">IFERROR(INDEX(对接源_01入库吨位!$C$5:$C$304,MATCH(INT((ROW()-5)/3)+1,对接源_01入库吨位!$S$5:$S$304,0)),"")</f>
        <v/>
      </c>
      <c r="D178" s="40" t="str">
        <f aca="false">IF($B178="","",IF(MOD(ROW()-5,3)=0,"周转打冷",IF(MOD(ROW()-5,3)=1,"仓储加工","装卸费")))</f>
        <v/>
      </c>
      <c r="E178" s="51" t="str">
        <f aca="false">IF($B178="","",IFERROR(IF($D178="周转打冷",N(INDEX(对接源_01入库吨位!$D$5:$D$304,MATCH(INT((ROW()-5)/3)+1,对接源_01入库吨位!$S$5:$S$304,0))),IF($D178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8" s="41" t="str">
        <f aca="false">IF($B178="","",ROUND(IFERROR(IF($D178="周转打冷",N(INDEX(对接源_01入库吨位!$H$5:$H$304,MATCH(INT((ROW()-5)/3)+1,对接源_01入库吨位!$S$5:$S$304,0))),IF($D178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8" s="52" t="str">
        <f aca="false">IF($B178="","",ROUND(N($F178)/1000,3))</f>
        <v/>
      </c>
      <c r="H178" s="74"/>
      <c r="I178" s="44"/>
      <c r="J178" s="75" t="str">
        <f aca="false">IF($B178="","",IF($H178="按筐数×单价",N($E178),IF($H178="按总重KG×单价",N($F178),IF($H178="按吨位×单价",N($G178),0))))</f>
        <v/>
      </c>
      <c r="K178" s="41" t="str">
        <f aca="false">IF($B178="","",ROUND(N($J178)*N($I178),2))</f>
        <v/>
      </c>
      <c r="L178" s="42"/>
      <c r="M178" s="76"/>
      <c r="N178" s="43"/>
      <c r="R178" s="77" t="str">
        <f aca="false">IF($B178="","",$B178)</f>
        <v/>
      </c>
      <c r="S178" s="77" t="n">
        <f aca="false">IF($R178="",0,IF(MATCH($R178,$R$5:$R$904,0)=ROW()-4,1,0))</f>
        <v>0</v>
      </c>
      <c r="T178" s="77" t="n">
        <f aca="false">N(T177)+$S178</f>
        <v>18</v>
      </c>
    </row>
    <row r="179" customFormat="false" ht="13.5" hidden="false" customHeight="false" outlineLevel="0" collapsed="false">
      <c r="A179" s="9" t="str">
        <f aca="false">IF($B179="","",ROW()-4)</f>
        <v/>
      </c>
      <c r="B179" s="39" t="str">
        <f aca="false">IFERROR(INDEX(对接源_01入库吨位!$B$5:$B$304,MATCH(INT((ROW()-5)/3)+1,对接源_01入库吨位!$S$5:$S$304,0)),"")</f>
        <v/>
      </c>
      <c r="C179" s="39" t="str">
        <f aca="false">IFERROR(INDEX(对接源_01入库吨位!$C$5:$C$304,MATCH(INT((ROW()-5)/3)+1,对接源_01入库吨位!$S$5:$S$304,0)),"")</f>
        <v/>
      </c>
      <c r="D179" s="40" t="str">
        <f aca="false">IF($B179="","",IF(MOD(ROW()-5,3)=0,"周转打冷",IF(MOD(ROW()-5,3)=1,"仓储加工","装卸费")))</f>
        <v/>
      </c>
      <c r="E179" s="51" t="str">
        <f aca="false">IF($B179="","",IFERROR(IF($D179="周转打冷",N(INDEX(对接源_01入库吨位!$D$5:$D$304,MATCH(INT((ROW()-5)/3)+1,对接源_01入库吨位!$S$5:$S$304,0))),IF($D179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79" s="41" t="str">
        <f aca="false">IF($B179="","",ROUND(IFERROR(IF($D179="周转打冷",N(INDEX(对接源_01入库吨位!$H$5:$H$304,MATCH(INT((ROW()-5)/3)+1,对接源_01入库吨位!$S$5:$S$304,0))),IF($D179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79" s="52" t="str">
        <f aca="false">IF($B179="","",ROUND(N($F179)/1000,3))</f>
        <v/>
      </c>
      <c r="H179" s="74"/>
      <c r="I179" s="44"/>
      <c r="J179" s="75" t="str">
        <f aca="false">IF($B179="","",IF($H179="按筐数×单价",N($E179),IF($H179="按总重KG×单价",N($F179),IF($H179="按吨位×单价",N($G179),0))))</f>
        <v/>
      </c>
      <c r="K179" s="41" t="str">
        <f aca="false">IF($B179="","",ROUND(N($J179)*N($I179),2))</f>
        <v/>
      </c>
      <c r="L179" s="42"/>
      <c r="M179" s="76"/>
      <c r="N179" s="43"/>
      <c r="R179" s="77" t="str">
        <f aca="false">IF($B179="","",$B179)</f>
        <v/>
      </c>
      <c r="S179" s="77" t="n">
        <f aca="false">IF($R179="",0,IF(MATCH($R179,$R$5:$R$904,0)=ROW()-4,1,0))</f>
        <v>0</v>
      </c>
      <c r="T179" s="77" t="n">
        <f aca="false">N(T178)+$S179</f>
        <v>18</v>
      </c>
    </row>
    <row r="180" customFormat="false" ht="13.5" hidden="false" customHeight="false" outlineLevel="0" collapsed="false">
      <c r="A180" s="9" t="str">
        <f aca="false">IF($B180="","",ROW()-4)</f>
        <v/>
      </c>
      <c r="B180" s="39" t="str">
        <f aca="false">IFERROR(INDEX(对接源_01入库吨位!$B$5:$B$304,MATCH(INT((ROW()-5)/3)+1,对接源_01入库吨位!$S$5:$S$304,0)),"")</f>
        <v/>
      </c>
      <c r="C180" s="39" t="str">
        <f aca="false">IFERROR(INDEX(对接源_01入库吨位!$C$5:$C$304,MATCH(INT((ROW()-5)/3)+1,对接源_01入库吨位!$S$5:$S$304,0)),"")</f>
        <v/>
      </c>
      <c r="D180" s="40" t="str">
        <f aca="false">IF($B180="","",IF(MOD(ROW()-5,3)=0,"周转打冷",IF(MOD(ROW()-5,3)=1,"仓储加工","装卸费")))</f>
        <v/>
      </c>
      <c r="E180" s="51" t="str">
        <f aca="false">IF($B180="","",IFERROR(IF($D180="周转打冷",N(INDEX(对接源_01入库吨位!$D$5:$D$304,MATCH(INT((ROW()-5)/3)+1,对接源_01入库吨位!$S$5:$S$304,0))),IF($D180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0" s="41" t="str">
        <f aca="false">IF($B180="","",ROUND(IFERROR(IF($D180="周转打冷",N(INDEX(对接源_01入库吨位!$H$5:$H$304,MATCH(INT((ROW()-5)/3)+1,对接源_01入库吨位!$S$5:$S$304,0))),IF($D180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0" s="52" t="str">
        <f aca="false">IF($B180="","",ROUND(N($F180)/1000,3))</f>
        <v/>
      </c>
      <c r="H180" s="74"/>
      <c r="I180" s="44"/>
      <c r="J180" s="75" t="str">
        <f aca="false">IF($B180="","",IF($H180="按筐数×单价",N($E180),IF($H180="按总重KG×单价",N($F180),IF($H180="按吨位×单价",N($G180),0))))</f>
        <v/>
      </c>
      <c r="K180" s="41" t="str">
        <f aca="false">IF($B180="","",ROUND(N($J180)*N($I180),2))</f>
        <v/>
      </c>
      <c r="L180" s="42"/>
      <c r="M180" s="76"/>
      <c r="N180" s="43"/>
      <c r="R180" s="77" t="str">
        <f aca="false">IF($B180="","",$B180)</f>
        <v/>
      </c>
      <c r="S180" s="77" t="n">
        <f aca="false">IF($R180="",0,IF(MATCH($R180,$R$5:$R$904,0)=ROW()-4,1,0))</f>
        <v>0</v>
      </c>
      <c r="T180" s="77" t="n">
        <f aca="false">N(T179)+$S180</f>
        <v>18</v>
      </c>
    </row>
    <row r="181" customFormat="false" ht="13.5" hidden="false" customHeight="false" outlineLevel="0" collapsed="false">
      <c r="A181" s="9" t="str">
        <f aca="false">IF($B181="","",ROW()-4)</f>
        <v/>
      </c>
      <c r="B181" s="39" t="str">
        <f aca="false">IFERROR(INDEX(对接源_01入库吨位!$B$5:$B$304,MATCH(INT((ROW()-5)/3)+1,对接源_01入库吨位!$S$5:$S$304,0)),"")</f>
        <v/>
      </c>
      <c r="C181" s="39" t="str">
        <f aca="false">IFERROR(INDEX(对接源_01入库吨位!$C$5:$C$304,MATCH(INT((ROW()-5)/3)+1,对接源_01入库吨位!$S$5:$S$304,0)),"")</f>
        <v/>
      </c>
      <c r="D181" s="40" t="str">
        <f aca="false">IF($B181="","",IF(MOD(ROW()-5,3)=0,"周转打冷",IF(MOD(ROW()-5,3)=1,"仓储加工","装卸费")))</f>
        <v/>
      </c>
      <c r="E181" s="51" t="str">
        <f aca="false">IF($B181="","",IFERROR(IF($D181="周转打冷",N(INDEX(对接源_01入库吨位!$D$5:$D$304,MATCH(INT((ROW()-5)/3)+1,对接源_01入库吨位!$S$5:$S$304,0))),IF($D181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1" s="41" t="str">
        <f aca="false">IF($B181="","",ROUND(IFERROR(IF($D181="周转打冷",N(INDEX(对接源_01入库吨位!$H$5:$H$304,MATCH(INT((ROW()-5)/3)+1,对接源_01入库吨位!$S$5:$S$304,0))),IF($D181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1" s="52" t="str">
        <f aca="false">IF($B181="","",ROUND(N($F181)/1000,3))</f>
        <v/>
      </c>
      <c r="H181" s="74"/>
      <c r="I181" s="44"/>
      <c r="J181" s="75" t="str">
        <f aca="false">IF($B181="","",IF($H181="按筐数×单价",N($E181),IF($H181="按总重KG×单价",N($F181),IF($H181="按吨位×单价",N($G181),0))))</f>
        <v/>
      </c>
      <c r="K181" s="41" t="str">
        <f aca="false">IF($B181="","",ROUND(N($J181)*N($I181),2))</f>
        <v/>
      </c>
      <c r="L181" s="42"/>
      <c r="M181" s="76"/>
      <c r="N181" s="43"/>
      <c r="R181" s="77" t="str">
        <f aca="false">IF($B181="","",$B181)</f>
        <v/>
      </c>
      <c r="S181" s="77" t="n">
        <f aca="false">IF($R181="",0,IF(MATCH($R181,$R$5:$R$904,0)=ROW()-4,1,0))</f>
        <v>0</v>
      </c>
      <c r="T181" s="77" t="n">
        <f aca="false">N(T180)+$S181</f>
        <v>18</v>
      </c>
    </row>
    <row r="182" customFormat="false" ht="13.5" hidden="false" customHeight="false" outlineLevel="0" collapsed="false">
      <c r="A182" s="9" t="str">
        <f aca="false">IF($B182="","",ROW()-4)</f>
        <v/>
      </c>
      <c r="B182" s="39" t="str">
        <f aca="false">IFERROR(INDEX(对接源_01入库吨位!$B$5:$B$304,MATCH(INT((ROW()-5)/3)+1,对接源_01入库吨位!$S$5:$S$304,0)),"")</f>
        <v/>
      </c>
      <c r="C182" s="39" t="str">
        <f aca="false">IFERROR(INDEX(对接源_01入库吨位!$C$5:$C$304,MATCH(INT((ROW()-5)/3)+1,对接源_01入库吨位!$S$5:$S$304,0)),"")</f>
        <v/>
      </c>
      <c r="D182" s="40" t="str">
        <f aca="false">IF($B182="","",IF(MOD(ROW()-5,3)=0,"周转打冷",IF(MOD(ROW()-5,3)=1,"仓储加工","装卸费")))</f>
        <v/>
      </c>
      <c r="E182" s="51" t="str">
        <f aca="false">IF($B182="","",IFERROR(IF($D182="周转打冷",N(INDEX(对接源_01入库吨位!$D$5:$D$304,MATCH(INT((ROW()-5)/3)+1,对接源_01入库吨位!$S$5:$S$304,0))),IF($D182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2" s="41" t="str">
        <f aca="false">IF($B182="","",ROUND(IFERROR(IF($D182="周转打冷",N(INDEX(对接源_01入库吨位!$H$5:$H$304,MATCH(INT((ROW()-5)/3)+1,对接源_01入库吨位!$S$5:$S$304,0))),IF($D182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2" s="52" t="str">
        <f aca="false">IF($B182="","",ROUND(N($F182)/1000,3))</f>
        <v/>
      </c>
      <c r="H182" s="74"/>
      <c r="I182" s="44"/>
      <c r="J182" s="75" t="str">
        <f aca="false">IF($B182="","",IF($H182="按筐数×单价",N($E182),IF($H182="按总重KG×单价",N($F182),IF($H182="按吨位×单价",N($G182),0))))</f>
        <v/>
      </c>
      <c r="K182" s="41" t="str">
        <f aca="false">IF($B182="","",ROUND(N($J182)*N($I182),2))</f>
        <v/>
      </c>
      <c r="L182" s="42"/>
      <c r="M182" s="76"/>
      <c r="N182" s="43"/>
      <c r="R182" s="77" t="str">
        <f aca="false">IF($B182="","",$B182)</f>
        <v/>
      </c>
      <c r="S182" s="77" t="n">
        <f aca="false">IF($R182="",0,IF(MATCH($R182,$R$5:$R$904,0)=ROW()-4,1,0))</f>
        <v>0</v>
      </c>
      <c r="T182" s="77" t="n">
        <f aca="false">N(T181)+$S182</f>
        <v>18</v>
      </c>
    </row>
    <row r="183" customFormat="false" ht="13.5" hidden="false" customHeight="false" outlineLevel="0" collapsed="false">
      <c r="A183" s="9" t="str">
        <f aca="false">IF($B183="","",ROW()-4)</f>
        <v/>
      </c>
      <c r="B183" s="39" t="str">
        <f aca="false">IFERROR(INDEX(对接源_01入库吨位!$B$5:$B$304,MATCH(INT((ROW()-5)/3)+1,对接源_01入库吨位!$S$5:$S$304,0)),"")</f>
        <v/>
      </c>
      <c r="C183" s="39" t="str">
        <f aca="false">IFERROR(INDEX(对接源_01入库吨位!$C$5:$C$304,MATCH(INT((ROW()-5)/3)+1,对接源_01入库吨位!$S$5:$S$304,0)),"")</f>
        <v/>
      </c>
      <c r="D183" s="40" t="str">
        <f aca="false">IF($B183="","",IF(MOD(ROW()-5,3)=0,"周转打冷",IF(MOD(ROW()-5,3)=1,"仓储加工","装卸费")))</f>
        <v/>
      </c>
      <c r="E183" s="51" t="str">
        <f aca="false">IF($B183="","",IFERROR(IF($D183="周转打冷",N(INDEX(对接源_01入库吨位!$D$5:$D$304,MATCH(INT((ROW()-5)/3)+1,对接源_01入库吨位!$S$5:$S$304,0))),IF($D183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3" s="41" t="str">
        <f aca="false">IF($B183="","",ROUND(IFERROR(IF($D183="周转打冷",N(INDEX(对接源_01入库吨位!$H$5:$H$304,MATCH(INT((ROW()-5)/3)+1,对接源_01入库吨位!$S$5:$S$304,0))),IF($D183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3" s="52" t="str">
        <f aca="false">IF($B183="","",ROUND(N($F183)/1000,3))</f>
        <v/>
      </c>
      <c r="H183" s="74"/>
      <c r="I183" s="44"/>
      <c r="J183" s="75" t="str">
        <f aca="false">IF($B183="","",IF($H183="按筐数×单价",N($E183),IF($H183="按总重KG×单价",N($F183),IF($H183="按吨位×单价",N($G183),0))))</f>
        <v/>
      </c>
      <c r="K183" s="41" t="str">
        <f aca="false">IF($B183="","",ROUND(N($J183)*N($I183),2))</f>
        <v/>
      </c>
      <c r="L183" s="42"/>
      <c r="M183" s="76"/>
      <c r="N183" s="43"/>
      <c r="R183" s="77" t="str">
        <f aca="false">IF($B183="","",$B183)</f>
        <v/>
      </c>
      <c r="S183" s="77" t="n">
        <f aca="false">IF($R183="",0,IF(MATCH($R183,$R$5:$R$904,0)=ROW()-4,1,0))</f>
        <v>0</v>
      </c>
      <c r="T183" s="77" t="n">
        <f aca="false">N(T182)+$S183</f>
        <v>18</v>
      </c>
    </row>
    <row r="184" customFormat="false" ht="13.5" hidden="false" customHeight="false" outlineLevel="0" collapsed="false">
      <c r="A184" s="9" t="str">
        <f aca="false">IF($B184="","",ROW()-4)</f>
        <v/>
      </c>
      <c r="B184" s="39" t="str">
        <f aca="false">IFERROR(INDEX(对接源_01入库吨位!$B$5:$B$304,MATCH(INT((ROW()-5)/3)+1,对接源_01入库吨位!$S$5:$S$304,0)),"")</f>
        <v/>
      </c>
      <c r="C184" s="39" t="str">
        <f aca="false">IFERROR(INDEX(对接源_01入库吨位!$C$5:$C$304,MATCH(INT((ROW()-5)/3)+1,对接源_01入库吨位!$S$5:$S$304,0)),"")</f>
        <v/>
      </c>
      <c r="D184" s="40" t="str">
        <f aca="false">IF($B184="","",IF(MOD(ROW()-5,3)=0,"周转打冷",IF(MOD(ROW()-5,3)=1,"仓储加工","装卸费")))</f>
        <v/>
      </c>
      <c r="E184" s="51" t="str">
        <f aca="false">IF($B184="","",IFERROR(IF($D184="周转打冷",N(INDEX(对接源_01入库吨位!$D$5:$D$304,MATCH(INT((ROW()-5)/3)+1,对接源_01入库吨位!$S$5:$S$304,0))),IF($D184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4" s="41" t="str">
        <f aca="false">IF($B184="","",ROUND(IFERROR(IF($D184="周转打冷",N(INDEX(对接源_01入库吨位!$H$5:$H$304,MATCH(INT((ROW()-5)/3)+1,对接源_01入库吨位!$S$5:$S$304,0))),IF($D184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4" s="52" t="str">
        <f aca="false">IF($B184="","",ROUND(N($F184)/1000,3))</f>
        <v/>
      </c>
      <c r="H184" s="74"/>
      <c r="I184" s="44"/>
      <c r="J184" s="75" t="str">
        <f aca="false">IF($B184="","",IF($H184="按筐数×单价",N($E184),IF($H184="按总重KG×单价",N($F184),IF($H184="按吨位×单价",N($G184),0))))</f>
        <v/>
      </c>
      <c r="K184" s="41" t="str">
        <f aca="false">IF($B184="","",ROUND(N($J184)*N($I184),2))</f>
        <v/>
      </c>
      <c r="L184" s="42"/>
      <c r="M184" s="76"/>
      <c r="N184" s="43"/>
      <c r="R184" s="77" t="str">
        <f aca="false">IF($B184="","",$B184)</f>
        <v/>
      </c>
      <c r="S184" s="77" t="n">
        <f aca="false">IF($R184="",0,IF(MATCH($R184,$R$5:$R$904,0)=ROW()-4,1,0))</f>
        <v>0</v>
      </c>
      <c r="T184" s="77" t="n">
        <f aca="false">N(T183)+$S184</f>
        <v>18</v>
      </c>
    </row>
    <row r="185" customFormat="false" ht="13.5" hidden="false" customHeight="false" outlineLevel="0" collapsed="false">
      <c r="A185" s="9" t="str">
        <f aca="false">IF($B185="","",ROW()-4)</f>
        <v/>
      </c>
      <c r="B185" s="39" t="str">
        <f aca="false">IFERROR(INDEX(对接源_01入库吨位!$B$5:$B$304,MATCH(INT((ROW()-5)/3)+1,对接源_01入库吨位!$S$5:$S$304,0)),"")</f>
        <v/>
      </c>
      <c r="C185" s="39" t="str">
        <f aca="false">IFERROR(INDEX(对接源_01入库吨位!$C$5:$C$304,MATCH(INT((ROW()-5)/3)+1,对接源_01入库吨位!$S$5:$S$304,0)),"")</f>
        <v/>
      </c>
      <c r="D185" s="40" t="str">
        <f aca="false">IF($B185="","",IF(MOD(ROW()-5,3)=0,"周转打冷",IF(MOD(ROW()-5,3)=1,"仓储加工","装卸费")))</f>
        <v/>
      </c>
      <c r="E185" s="51" t="str">
        <f aca="false">IF($B185="","",IFERROR(IF($D185="周转打冷",N(INDEX(对接源_01入库吨位!$D$5:$D$304,MATCH(INT((ROW()-5)/3)+1,对接源_01入库吨位!$S$5:$S$304,0))),IF($D185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5" s="41" t="str">
        <f aca="false">IF($B185="","",ROUND(IFERROR(IF($D185="周转打冷",N(INDEX(对接源_01入库吨位!$H$5:$H$304,MATCH(INT((ROW()-5)/3)+1,对接源_01入库吨位!$S$5:$S$304,0))),IF($D185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5" s="52" t="str">
        <f aca="false">IF($B185="","",ROUND(N($F185)/1000,3))</f>
        <v/>
      </c>
      <c r="H185" s="74"/>
      <c r="I185" s="44"/>
      <c r="J185" s="75" t="str">
        <f aca="false">IF($B185="","",IF($H185="按筐数×单价",N($E185),IF($H185="按总重KG×单价",N($F185),IF($H185="按吨位×单价",N($G185),0))))</f>
        <v/>
      </c>
      <c r="K185" s="41" t="str">
        <f aca="false">IF($B185="","",ROUND(N($J185)*N($I185),2))</f>
        <v/>
      </c>
      <c r="L185" s="42"/>
      <c r="M185" s="76"/>
      <c r="N185" s="43"/>
      <c r="R185" s="77" t="str">
        <f aca="false">IF($B185="","",$B185)</f>
        <v/>
      </c>
      <c r="S185" s="77" t="n">
        <f aca="false">IF($R185="",0,IF(MATCH($R185,$R$5:$R$904,0)=ROW()-4,1,0))</f>
        <v>0</v>
      </c>
      <c r="T185" s="77" t="n">
        <f aca="false">N(T184)+$S185</f>
        <v>18</v>
      </c>
    </row>
    <row r="186" customFormat="false" ht="13.5" hidden="false" customHeight="false" outlineLevel="0" collapsed="false">
      <c r="A186" s="9" t="str">
        <f aca="false">IF($B186="","",ROW()-4)</f>
        <v/>
      </c>
      <c r="B186" s="39" t="str">
        <f aca="false">IFERROR(INDEX(对接源_01入库吨位!$B$5:$B$304,MATCH(INT((ROW()-5)/3)+1,对接源_01入库吨位!$S$5:$S$304,0)),"")</f>
        <v/>
      </c>
      <c r="C186" s="39" t="str">
        <f aca="false">IFERROR(INDEX(对接源_01入库吨位!$C$5:$C$304,MATCH(INT((ROW()-5)/3)+1,对接源_01入库吨位!$S$5:$S$304,0)),"")</f>
        <v/>
      </c>
      <c r="D186" s="40" t="str">
        <f aca="false">IF($B186="","",IF(MOD(ROW()-5,3)=0,"周转打冷",IF(MOD(ROW()-5,3)=1,"仓储加工","装卸费")))</f>
        <v/>
      </c>
      <c r="E186" s="51" t="str">
        <f aca="false">IF($B186="","",IFERROR(IF($D186="周转打冷",N(INDEX(对接源_01入库吨位!$D$5:$D$304,MATCH(INT((ROW()-5)/3)+1,对接源_01入库吨位!$S$5:$S$304,0))),IF($D186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6" s="41" t="str">
        <f aca="false">IF($B186="","",ROUND(IFERROR(IF($D186="周转打冷",N(INDEX(对接源_01入库吨位!$H$5:$H$304,MATCH(INT((ROW()-5)/3)+1,对接源_01入库吨位!$S$5:$S$304,0))),IF($D186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6" s="52" t="str">
        <f aca="false">IF($B186="","",ROUND(N($F186)/1000,3))</f>
        <v/>
      </c>
      <c r="H186" s="74"/>
      <c r="I186" s="44"/>
      <c r="J186" s="75" t="str">
        <f aca="false">IF($B186="","",IF($H186="按筐数×单价",N($E186),IF($H186="按总重KG×单价",N($F186),IF($H186="按吨位×单价",N($G186),0))))</f>
        <v/>
      </c>
      <c r="K186" s="41" t="str">
        <f aca="false">IF($B186="","",ROUND(N($J186)*N($I186),2))</f>
        <v/>
      </c>
      <c r="L186" s="42"/>
      <c r="M186" s="76"/>
      <c r="N186" s="43"/>
      <c r="R186" s="77" t="str">
        <f aca="false">IF($B186="","",$B186)</f>
        <v/>
      </c>
      <c r="S186" s="77" t="n">
        <f aca="false">IF($R186="",0,IF(MATCH($R186,$R$5:$R$904,0)=ROW()-4,1,0))</f>
        <v>0</v>
      </c>
      <c r="T186" s="77" t="n">
        <f aca="false">N(T185)+$S186</f>
        <v>18</v>
      </c>
    </row>
    <row r="187" customFormat="false" ht="13.5" hidden="false" customHeight="false" outlineLevel="0" collapsed="false">
      <c r="A187" s="9" t="str">
        <f aca="false">IF($B187="","",ROW()-4)</f>
        <v/>
      </c>
      <c r="B187" s="39" t="str">
        <f aca="false">IFERROR(INDEX(对接源_01入库吨位!$B$5:$B$304,MATCH(INT((ROW()-5)/3)+1,对接源_01入库吨位!$S$5:$S$304,0)),"")</f>
        <v/>
      </c>
      <c r="C187" s="39" t="str">
        <f aca="false">IFERROR(INDEX(对接源_01入库吨位!$C$5:$C$304,MATCH(INT((ROW()-5)/3)+1,对接源_01入库吨位!$S$5:$S$304,0)),"")</f>
        <v/>
      </c>
      <c r="D187" s="40" t="str">
        <f aca="false">IF($B187="","",IF(MOD(ROW()-5,3)=0,"周转打冷",IF(MOD(ROW()-5,3)=1,"仓储加工","装卸费")))</f>
        <v/>
      </c>
      <c r="E187" s="51" t="str">
        <f aca="false">IF($B187="","",IFERROR(IF($D187="周转打冷",N(INDEX(对接源_01入库吨位!$D$5:$D$304,MATCH(INT((ROW()-5)/3)+1,对接源_01入库吨位!$S$5:$S$304,0))),IF($D187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7" s="41" t="str">
        <f aca="false">IF($B187="","",ROUND(IFERROR(IF($D187="周转打冷",N(INDEX(对接源_01入库吨位!$H$5:$H$304,MATCH(INT((ROW()-5)/3)+1,对接源_01入库吨位!$S$5:$S$304,0))),IF($D187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7" s="52" t="str">
        <f aca="false">IF($B187="","",ROUND(N($F187)/1000,3))</f>
        <v/>
      </c>
      <c r="H187" s="74"/>
      <c r="I187" s="44"/>
      <c r="J187" s="75" t="str">
        <f aca="false">IF($B187="","",IF($H187="按筐数×单价",N($E187),IF($H187="按总重KG×单价",N($F187),IF($H187="按吨位×单价",N($G187),0))))</f>
        <v/>
      </c>
      <c r="K187" s="41" t="str">
        <f aca="false">IF($B187="","",ROUND(N($J187)*N($I187),2))</f>
        <v/>
      </c>
      <c r="L187" s="42"/>
      <c r="M187" s="76"/>
      <c r="N187" s="43"/>
      <c r="R187" s="77" t="str">
        <f aca="false">IF($B187="","",$B187)</f>
        <v/>
      </c>
      <c r="S187" s="77" t="n">
        <f aca="false">IF($R187="",0,IF(MATCH($R187,$R$5:$R$904,0)=ROW()-4,1,0))</f>
        <v>0</v>
      </c>
      <c r="T187" s="77" t="n">
        <f aca="false">N(T186)+$S187</f>
        <v>18</v>
      </c>
    </row>
    <row r="188" customFormat="false" ht="13.5" hidden="false" customHeight="false" outlineLevel="0" collapsed="false">
      <c r="A188" s="9" t="str">
        <f aca="false">IF($B188="","",ROW()-4)</f>
        <v/>
      </c>
      <c r="B188" s="39" t="str">
        <f aca="false">IFERROR(INDEX(对接源_01入库吨位!$B$5:$B$304,MATCH(INT((ROW()-5)/3)+1,对接源_01入库吨位!$S$5:$S$304,0)),"")</f>
        <v/>
      </c>
      <c r="C188" s="39" t="str">
        <f aca="false">IFERROR(INDEX(对接源_01入库吨位!$C$5:$C$304,MATCH(INT((ROW()-5)/3)+1,对接源_01入库吨位!$S$5:$S$304,0)),"")</f>
        <v/>
      </c>
      <c r="D188" s="40" t="str">
        <f aca="false">IF($B188="","",IF(MOD(ROW()-5,3)=0,"周转打冷",IF(MOD(ROW()-5,3)=1,"仓储加工","装卸费")))</f>
        <v/>
      </c>
      <c r="E188" s="51" t="str">
        <f aca="false">IF($B188="","",IFERROR(IF($D188="周转打冷",N(INDEX(对接源_01入库吨位!$D$5:$D$304,MATCH(INT((ROW()-5)/3)+1,对接源_01入库吨位!$S$5:$S$304,0))),IF($D188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8" s="41" t="str">
        <f aca="false">IF($B188="","",ROUND(IFERROR(IF($D188="周转打冷",N(INDEX(对接源_01入库吨位!$H$5:$H$304,MATCH(INT((ROW()-5)/3)+1,对接源_01入库吨位!$S$5:$S$304,0))),IF($D188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8" s="52" t="str">
        <f aca="false">IF($B188="","",ROUND(N($F188)/1000,3))</f>
        <v/>
      </c>
      <c r="H188" s="74"/>
      <c r="I188" s="44"/>
      <c r="J188" s="75" t="str">
        <f aca="false">IF($B188="","",IF($H188="按筐数×单价",N($E188),IF($H188="按总重KG×单价",N($F188),IF($H188="按吨位×单价",N($G188),0))))</f>
        <v/>
      </c>
      <c r="K188" s="41" t="str">
        <f aca="false">IF($B188="","",ROUND(N($J188)*N($I188),2))</f>
        <v/>
      </c>
      <c r="L188" s="42"/>
      <c r="M188" s="76"/>
      <c r="N188" s="43"/>
      <c r="R188" s="77" t="str">
        <f aca="false">IF($B188="","",$B188)</f>
        <v/>
      </c>
      <c r="S188" s="77" t="n">
        <f aca="false">IF($R188="",0,IF(MATCH($R188,$R$5:$R$904,0)=ROW()-4,1,0))</f>
        <v>0</v>
      </c>
      <c r="T188" s="77" t="n">
        <f aca="false">N(T187)+$S188</f>
        <v>18</v>
      </c>
    </row>
    <row r="189" customFormat="false" ht="13.5" hidden="false" customHeight="false" outlineLevel="0" collapsed="false">
      <c r="A189" s="9" t="str">
        <f aca="false">IF($B189="","",ROW()-4)</f>
        <v/>
      </c>
      <c r="B189" s="39" t="str">
        <f aca="false">IFERROR(INDEX(对接源_01入库吨位!$B$5:$B$304,MATCH(INT((ROW()-5)/3)+1,对接源_01入库吨位!$S$5:$S$304,0)),"")</f>
        <v/>
      </c>
      <c r="C189" s="39" t="str">
        <f aca="false">IFERROR(INDEX(对接源_01入库吨位!$C$5:$C$304,MATCH(INT((ROW()-5)/3)+1,对接源_01入库吨位!$S$5:$S$304,0)),"")</f>
        <v/>
      </c>
      <c r="D189" s="40" t="str">
        <f aca="false">IF($B189="","",IF(MOD(ROW()-5,3)=0,"周转打冷",IF(MOD(ROW()-5,3)=1,"仓储加工","装卸费")))</f>
        <v/>
      </c>
      <c r="E189" s="51" t="str">
        <f aca="false">IF($B189="","",IFERROR(IF($D189="周转打冷",N(INDEX(对接源_01入库吨位!$D$5:$D$304,MATCH(INT((ROW()-5)/3)+1,对接源_01入库吨位!$S$5:$S$304,0))),IF($D189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89" s="41" t="str">
        <f aca="false">IF($B189="","",ROUND(IFERROR(IF($D189="周转打冷",N(INDEX(对接源_01入库吨位!$H$5:$H$304,MATCH(INT((ROW()-5)/3)+1,对接源_01入库吨位!$S$5:$S$304,0))),IF($D189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89" s="52" t="str">
        <f aca="false">IF($B189="","",ROUND(N($F189)/1000,3))</f>
        <v/>
      </c>
      <c r="H189" s="74"/>
      <c r="I189" s="44"/>
      <c r="J189" s="75" t="str">
        <f aca="false">IF($B189="","",IF($H189="按筐数×单价",N($E189),IF($H189="按总重KG×单价",N($F189),IF($H189="按吨位×单价",N($G189),0))))</f>
        <v/>
      </c>
      <c r="K189" s="41" t="str">
        <f aca="false">IF($B189="","",ROUND(N($J189)*N($I189),2))</f>
        <v/>
      </c>
      <c r="L189" s="42"/>
      <c r="M189" s="76"/>
      <c r="N189" s="43"/>
      <c r="R189" s="77" t="str">
        <f aca="false">IF($B189="","",$B189)</f>
        <v/>
      </c>
      <c r="S189" s="77" t="n">
        <f aca="false">IF($R189="",0,IF(MATCH($R189,$R$5:$R$904,0)=ROW()-4,1,0))</f>
        <v>0</v>
      </c>
      <c r="T189" s="77" t="n">
        <f aca="false">N(T188)+$S189</f>
        <v>18</v>
      </c>
    </row>
    <row r="190" customFormat="false" ht="13.5" hidden="false" customHeight="false" outlineLevel="0" collapsed="false">
      <c r="A190" s="9" t="str">
        <f aca="false">IF($B190="","",ROW()-4)</f>
        <v/>
      </c>
      <c r="B190" s="39" t="str">
        <f aca="false">IFERROR(INDEX(对接源_01入库吨位!$B$5:$B$304,MATCH(INT((ROW()-5)/3)+1,对接源_01入库吨位!$S$5:$S$304,0)),"")</f>
        <v/>
      </c>
      <c r="C190" s="39" t="str">
        <f aca="false">IFERROR(INDEX(对接源_01入库吨位!$C$5:$C$304,MATCH(INT((ROW()-5)/3)+1,对接源_01入库吨位!$S$5:$S$304,0)),"")</f>
        <v/>
      </c>
      <c r="D190" s="40" t="str">
        <f aca="false">IF($B190="","",IF(MOD(ROW()-5,3)=0,"周转打冷",IF(MOD(ROW()-5,3)=1,"仓储加工","装卸费")))</f>
        <v/>
      </c>
      <c r="E190" s="51" t="str">
        <f aca="false">IF($B190="","",IFERROR(IF($D190="周转打冷",N(INDEX(对接源_01入库吨位!$D$5:$D$304,MATCH(INT((ROW()-5)/3)+1,对接源_01入库吨位!$S$5:$S$304,0))),IF($D190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0" s="41" t="str">
        <f aca="false">IF($B190="","",ROUND(IFERROR(IF($D190="周转打冷",N(INDEX(对接源_01入库吨位!$H$5:$H$304,MATCH(INT((ROW()-5)/3)+1,对接源_01入库吨位!$S$5:$S$304,0))),IF($D190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0" s="52" t="str">
        <f aca="false">IF($B190="","",ROUND(N($F190)/1000,3))</f>
        <v/>
      </c>
      <c r="H190" s="74"/>
      <c r="I190" s="44"/>
      <c r="J190" s="75" t="str">
        <f aca="false">IF($B190="","",IF($H190="按筐数×单价",N($E190),IF($H190="按总重KG×单价",N($F190),IF($H190="按吨位×单价",N($G190),0))))</f>
        <v/>
      </c>
      <c r="K190" s="41" t="str">
        <f aca="false">IF($B190="","",ROUND(N($J190)*N($I190),2))</f>
        <v/>
      </c>
      <c r="L190" s="42"/>
      <c r="M190" s="76"/>
      <c r="N190" s="43"/>
      <c r="R190" s="77" t="str">
        <f aca="false">IF($B190="","",$B190)</f>
        <v/>
      </c>
      <c r="S190" s="77" t="n">
        <f aca="false">IF($R190="",0,IF(MATCH($R190,$R$5:$R$904,0)=ROW()-4,1,0))</f>
        <v>0</v>
      </c>
      <c r="T190" s="77" t="n">
        <f aca="false">N(T189)+$S190</f>
        <v>18</v>
      </c>
    </row>
    <row r="191" customFormat="false" ht="13.5" hidden="false" customHeight="false" outlineLevel="0" collapsed="false">
      <c r="A191" s="9" t="str">
        <f aca="false">IF($B191="","",ROW()-4)</f>
        <v/>
      </c>
      <c r="B191" s="39" t="str">
        <f aca="false">IFERROR(INDEX(对接源_01入库吨位!$B$5:$B$304,MATCH(INT((ROW()-5)/3)+1,对接源_01入库吨位!$S$5:$S$304,0)),"")</f>
        <v/>
      </c>
      <c r="C191" s="39" t="str">
        <f aca="false">IFERROR(INDEX(对接源_01入库吨位!$C$5:$C$304,MATCH(INT((ROW()-5)/3)+1,对接源_01入库吨位!$S$5:$S$304,0)),"")</f>
        <v/>
      </c>
      <c r="D191" s="40" t="str">
        <f aca="false">IF($B191="","",IF(MOD(ROW()-5,3)=0,"周转打冷",IF(MOD(ROW()-5,3)=1,"仓储加工","装卸费")))</f>
        <v/>
      </c>
      <c r="E191" s="51" t="str">
        <f aca="false">IF($B191="","",IFERROR(IF($D191="周转打冷",N(INDEX(对接源_01入库吨位!$D$5:$D$304,MATCH(INT((ROW()-5)/3)+1,对接源_01入库吨位!$S$5:$S$304,0))),IF($D191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1" s="41" t="str">
        <f aca="false">IF($B191="","",ROUND(IFERROR(IF($D191="周转打冷",N(INDEX(对接源_01入库吨位!$H$5:$H$304,MATCH(INT((ROW()-5)/3)+1,对接源_01入库吨位!$S$5:$S$304,0))),IF($D191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1" s="52" t="str">
        <f aca="false">IF($B191="","",ROUND(N($F191)/1000,3))</f>
        <v/>
      </c>
      <c r="H191" s="74"/>
      <c r="I191" s="44"/>
      <c r="J191" s="75" t="str">
        <f aca="false">IF($B191="","",IF($H191="按筐数×单价",N($E191),IF($H191="按总重KG×单价",N($F191),IF($H191="按吨位×单价",N($G191),0))))</f>
        <v/>
      </c>
      <c r="K191" s="41" t="str">
        <f aca="false">IF($B191="","",ROUND(N($J191)*N($I191),2))</f>
        <v/>
      </c>
      <c r="L191" s="42"/>
      <c r="M191" s="76"/>
      <c r="N191" s="43"/>
      <c r="R191" s="77" t="str">
        <f aca="false">IF($B191="","",$B191)</f>
        <v/>
      </c>
      <c r="S191" s="77" t="n">
        <f aca="false">IF($R191="",0,IF(MATCH($R191,$R$5:$R$904,0)=ROW()-4,1,0))</f>
        <v>0</v>
      </c>
      <c r="T191" s="77" t="n">
        <f aca="false">N(T190)+$S191</f>
        <v>18</v>
      </c>
    </row>
    <row r="192" customFormat="false" ht="13.5" hidden="false" customHeight="false" outlineLevel="0" collapsed="false">
      <c r="A192" s="9" t="str">
        <f aca="false">IF($B192="","",ROW()-4)</f>
        <v/>
      </c>
      <c r="B192" s="39" t="str">
        <f aca="false">IFERROR(INDEX(对接源_01入库吨位!$B$5:$B$304,MATCH(INT((ROW()-5)/3)+1,对接源_01入库吨位!$S$5:$S$304,0)),"")</f>
        <v/>
      </c>
      <c r="C192" s="39" t="str">
        <f aca="false">IFERROR(INDEX(对接源_01入库吨位!$C$5:$C$304,MATCH(INT((ROW()-5)/3)+1,对接源_01入库吨位!$S$5:$S$304,0)),"")</f>
        <v/>
      </c>
      <c r="D192" s="40" t="str">
        <f aca="false">IF($B192="","",IF(MOD(ROW()-5,3)=0,"周转打冷",IF(MOD(ROW()-5,3)=1,"仓储加工","装卸费")))</f>
        <v/>
      </c>
      <c r="E192" s="51" t="str">
        <f aca="false">IF($B192="","",IFERROR(IF($D192="周转打冷",N(INDEX(对接源_01入库吨位!$D$5:$D$304,MATCH(INT((ROW()-5)/3)+1,对接源_01入库吨位!$S$5:$S$304,0))),IF($D192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2" s="41" t="str">
        <f aca="false">IF($B192="","",ROUND(IFERROR(IF($D192="周转打冷",N(INDEX(对接源_01入库吨位!$H$5:$H$304,MATCH(INT((ROW()-5)/3)+1,对接源_01入库吨位!$S$5:$S$304,0))),IF($D192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2" s="52" t="str">
        <f aca="false">IF($B192="","",ROUND(N($F192)/1000,3))</f>
        <v/>
      </c>
      <c r="H192" s="74"/>
      <c r="I192" s="44"/>
      <c r="J192" s="75" t="str">
        <f aca="false">IF($B192="","",IF($H192="按筐数×单价",N($E192),IF($H192="按总重KG×单价",N($F192),IF($H192="按吨位×单价",N($G192),0))))</f>
        <v/>
      </c>
      <c r="K192" s="41" t="str">
        <f aca="false">IF($B192="","",ROUND(N($J192)*N($I192),2))</f>
        <v/>
      </c>
      <c r="L192" s="42"/>
      <c r="M192" s="76"/>
      <c r="N192" s="43"/>
      <c r="R192" s="77" t="str">
        <f aca="false">IF($B192="","",$B192)</f>
        <v/>
      </c>
      <c r="S192" s="77" t="n">
        <f aca="false">IF($R192="",0,IF(MATCH($R192,$R$5:$R$904,0)=ROW()-4,1,0))</f>
        <v>0</v>
      </c>
      <c r="T192" s="77" t="n">
        <f aca="false">N(T191)+$S192</f>
        <v>18</v>
      </c>
    </row>
    <row r="193" customFormat="false" ht="13.5" hidden="false" customHeight="false" outlineLevel="0" collapsed="false">
      <c r="A193" s="9" t="str">
        <f aca="false">IF($B193="","",ROW()-4)</f>
        <v/>
      </c>
      <c r="B193" s="39" t="str">
        <f aca="false">IFERROR(INDEX(对接源_01入库吨位!$B$5:$B$304,MATCH(INT((ROW()-5)/3)+1,对接源_01入库吨位!$S$5:$S$304,0)),"")</f>
        <v/>
      </c>
      <c r="C193" s="39" t="str">
        <f aca="false">IFERROR(INDEX(对接源_01入库吨位!$C$5:$C$304,MATCH(INT((ROW()-5)/3)+1,对接源_01入库吨位!$S$5:$S$304,0)),"")</f>
        <v/>
      </c>
      <c r="D193" s="40" t="str">
        <f aca="false">IF($B193="","",IF(MOD(ROW()-5,3)=0,"周转打冷",IF(MOD(ROW()-5,3)=1,"仓储加工","装卸费")))</f>
        <v/>
      </c>
      <c r="E193" s="51" t="str">
        <f aca="false">IF($B193="","",IFERROR(IF($D193="周转打冷",N(INDEX(对接源_01入库吨位!$D$5:$D$304,MATCH(INT((ROW()-5)/3)+1,对接源_01入库吨位!$S$5:$S$304,0))),IF($D193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3" s="41" t="str">
        <f aca="false">IF($B193="","",ROUND(IFERROR(IF($D193="周转打冷",N(INDEX(对接源_01入库吨位!$H$5:$H$304,MATCH(INT((ROW()-5)/3)+1,对接源_01入库吨位!$S$5:$S$304,0))),IF($D193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3" s="52" t="str">
        <f aca="false">IF($B193="","",ROUND(N($F193)/1000,3))</f>
        <v/>
      </c>
      <c r="H193" s="74"/>
      <c r="I193" s="44"/>
      <c r="J193" s="75" t="str">
        <f aca="false">IF($B193="","",IF($H193="按筐数×单价",N($E193),IF($H193="按总重KG×单价",N($F193),IF($H193="按吨位×单价",N($G193),0))))</f>
        <v/>
      </c>
      <c r="K193" s="41" t="str">
        <f aca="false">IF($B193="","",ROUND(N($J193)*N($I193),2))</f>
        <v/>
      </c>
      <c r="L193" s="42"/>
      <c r="M193" s="76"/>
      <c r="N193" s="43"/>
      <c r="R193" s="77" t="str">
        <f aca="false">IF($B193="","",$B193)</f>
        <v/>
      </c>
      <c r="S193" s="77" t="n">
        <f aca="false">IF($R193="",0,IF(MATCH($R193,$R$5:$R$904,0)=ROW()-4,1,0))</f>
        <v>0</v>
      </c>
      <c r="T193" s="77" t="n">
        <f aca="false">N(T192)+$S193</f>
        <v>18</v>
      </c>
    </row>
    <row r="194" customFormat="false" ht="13.5" hidden="false" customHeight="false" outlineLevel="0" collapsed="false">
      <c r="A194" s="9" t="str">
        <f aca="false">IF($B194="","",ROW()-4)</f>
        <v/>
      </c>
      <c r="B194" s="39" t="str">
        <f aca="false">IFERROR(INDEX(对接源_01入库吨位!$B$5:$B$304,MATCH(INT((ROW()-5)/3)+1,对接源_01入库吨位!$S$5:$S$304,0)),"")</f>
        <v/>
      </c>
      <c r="C194" s="39" t="str">
        <f aca="false">IFERROR(INDEX(对接源_01入库吨位!$C$5:$C$304,MATCH(INT((ROW()-5)/3)+1,对接源_01入库吨位!$S$5:$S$304,0)),"")</f>
        <v/>
      </c>
      <c r="D194" s="40" t="str">
        <f aca="false">IF($B194="","",IF(MOD(ROW()-5,3)=0,"周转打冷",IF(MOD(ROW()-5,3)=1,"仓储加工","装卸费")))</f>
        <v/>
      </c>
      <c r="E194" s="51" t="str">
        <f aca="false">IF($B194="","",IFERROR(IF($D194="周转打冷",N(INDEX(对接源_01入库吨位!$D$5:$D$304,MATCH(INT((ROW()-5)/3)+1,对接源_01入库吨位!$S$5:$S$304,0))),IF($D194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4" s="41" t="str">
        <f aca="false">IF($B194="","",ROUND(IFERROR(IF($D194="周转打冷",N(INDEX(对接源_01入库吨位!$H$5:$H$304,MATCH(INT((ROW()-5)/3)+1,对接源_01入库吨位!$S$5:$S$304,0))),IF($D194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4" s="52" t="str">
        <f aca="false">IF($B194="","",ROUND(N($F194)/1000,3))</f>
        <v/>
      </c>
      <c r="H194" s="74"/>
      <c r="I194" s="44"/>
      <c r="J194" s="75" t="str">
        <f aca="false">IF($B194="","",IF($H194="按筐数×单价",N($E194),IF($H194="按总重KG×单价",N($F194),IF($H194="按吨位×单价",N($G194),0))))</f>
        <v/>
      </c>
      <c r="K194" s="41" t="str">
        <f aca="false">IF($B194="","",ROUND(N($J194)*N($I194),2))</f>
        <v/>
      </c>
      <c r="L194" s="42"/>
      <c r="M194" s="76"/>
      <c r="N194" s="43"/>
      <c r="R194" s="77" t="str">
        <f aca="false">IF($B194="","",$B194)</f>
        <v/>
      </c>
      <c r="S194" s="77" t="n">
        <f aca="false">IF($R194="",0,IF(MATCH($R194,$R$5:$R$904,0)=ROW()-4,1,0))</f>
        <v>0</v>
      </c>
      <c r="T194" s="77" t="n">
        <f aca="false">N(T193)+$S194</f>
        <v>18</v>
      </c>
    </row>
    <row r="195" customFormat="false" ht="13.5" hidden="false" customHeight="false" outlineLevel="0" collapsed="false">
      <c r="A195" s="9" t="str">
        <f aca="false">IF($B195="","",ROW()-4)</f>
        <v/>
      </c>
      <c r="B195" s="39" t="str">
        <f aca="false">IFERROR(INDEX(对接源_01入库吨位!$B$5:$B$304,MATCH(INT((ROW()-5)/3)+1,对接源_01入库吨位!$S$5:$S$304,0)),"")</f>
        <v/>
      </c>
      <c r="C195" s="39" t="str">
        <f aca="false">IFERROR(INDEX(对接源_01入库吨位!$C$5:$C$304,MATCH(INT((ROW()-5)/3)+1,对接源_01入库吨位!$S$5:$S$304,0)),"")</f>
        <v/>
      </c>
      <c r="D195" s="40" t="str">
        <f aca="false">IF($B195="","",IF(MOD(ROW()-5,3)=0,"周转打冷",IF(MOD(ROW()-5,3)=1,"仓储加工","装卸费")))</f>
        <v/>
      </c>
      <c r="E195" s="51" t="str">
        <f aca="false">IF($B195="","",IFERROR(IF($D195="周转打冷",N(INDEX(对接源_01入库吨位!$D$5:$D$304,MATCH(INT((ROW()-5)/3)+1,对接源_01入库吨位!$S$5:$S$304,0))),IF($D195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5" s="41" t="str">
        <f aca="false">IF($B195="","",ROUND(IFERROR(IF($D195="周转打冷",N(INDEX(对接源_01入库吨位!$H$5:$H$304,MATCH(INT((ROW()-5)/3)+1,对接源_01入库吨位!$S$5:$S$304,0))),IF($D195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5" s="52" t="str">
        <f aca="false">IF($B195="","",ROUND(N($F195)/1000,3))</f>
        <v/>
      </c>
      <c r="H195" s="74"/>
      <c r="I195" s="44"/>
      <c r="J195" s="75" t="str">
        <f aca="false">IF($B195="","",IF($H195="按筐数×单价",N($E195),IF($H195="按总重KG×单价",N($F195),IF($H195="按吨位×单价",N($G195),0))))</f>
        <v/>
      </c>
      <c r="K195" s="41" t="str">
        <f aca="false">IF($B195="","",ROUND(N($J195)*N($I195),2))</f>
        <v/>
      </c>
      <c r="L195" s="42"/>
      <c r="M195" s="76"/>
      <c r="N195" s="43"/>
      <c r="R195" s="77" t="str">
        <f aca="false">IF($B195="","",$B195)</f>
        <v/>
      </c>
      <c r="S195" s="77" t="n">
        <f aca="false">IF($R195="",0,IF(MATCH($R195,$R$5:$R$904,0)=ROW()-4,1,0))</f>
        <v>0</v>
      </c>
      <c r="T195" s="77" t="n">
        <f aca="false">N(T194)+$S195</f>
        <v>18</v>
      </c>
    </row>
    <row r="196" customFormat="false" ht="13.5" hidden="false" customHeight="false" outlineLevel="0" collapsed="false">
      <c r="A196" s="9" t="str">
        <f aca="false">IF($B196="","",ROW()-4)</f>
        <v/>
      </c>
      <c r="B196" s="39" t="str">
        <f aca="false">IFERROR(INDEX(对接源_01入库吨位!$B$5:$B$304,MATCH(INT((ROW()-5)/3)+1,对接源_01入库吨位!$S$5:$S$304,0)),"")</f>
        <v/>
      </c>
      <c r="C196" s="39" t="str">
        <f aca="false">IFERROR(INDEX(对接源_01入库吨位!$C$5:$C$304,MATCH(INT((ROW()-5)/3)+1,对接源_01入库吨位!$S$5:$S$304,0)),"")</f>
        <v/>
      </c>
      <c r="D196" s="40" t="str">
        <f aca="false">IF($B196="","",IF(MOD(ROW()-5,3)=0,"周转打冷",IF(MOD(ROW()-5,3)=1,"仓储加工","装卸费")))</f>
        <v/>
      </c>
      <c r="E196" s="51" t="str">
        <f aca="false">IF($B196="","",IFERROR(IF($D196="周转打冷",N(INDEX(对接源_01入库吨位!$D$5:$D$304,MATCH(INT((ROW()-5)/3)+1,对接源_01入库吨位!$S$5:$S$304,0))),IF($D196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6" s="41" t="str">
        <f aca="false">IF($B196="","",ROUND(IFERROR(IF($D196="周转打冷",N(INDEX(对接源_01入库吨位!$H$5:$H$304,MATCH(INT((ROW()-5)/3)+1,对接源_01入库吨位!$S$5:$S$304,0))),IF($D196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6" s="52" t="str">
        <f aca="false">IF($B196="","",ROUND(N($F196)/1000,3))</f>
        <v/>
      </c>
      <c r="H196" s="74"/>
      <c r="I196" s="44"/>
      <c r="J196" s="75" t="str">
        <f aca="false">IF($B196="","",IF($H196="按筐数×单价",N($E196),IF($H196="按总重KG×单价",N($F196),IF($H196="按吨位×单价",N($G196),0))))</f>
        <v/>
      </c>
      <c r="K196" s="41" t="str">
        <f aca="false">IF($B196="","",ROUND(N($J196)*N($I196),2))</f>
        <v/>
      </c>
      <c r="L196" s="42"/>
      <c r="M196" s="76"/>
      <c r="N196" s="43"/>
      <c r="R196" s="77" t="str">
        <f aca="false">IF($B196="","",$B196)</f>
        <v/>
      </c>
      <c r="S196" s="77" t="n">
        <f aca="false">IF($R196="",0,IF(MATCH($R196,$R$5:$R$904,0)=ROW()-4,1,0))</f>
        <v>0</v>
      </c>
      <c r="T196" s="77" t="n">
        <f aca="false">N(T195)+$S196</f>
        <v>18</v>
      </c>
    </row>
    <row r="197" customFormat="false" ht="13.5" hidden="false" customHeight="false" outlineLevel="0" collapsed="false">
      <c r="A197" s="9" t="str">
        <f aca="false">IF($B197="","",ROW()-4)</f>
        <v/>
      </c>
      <c r="B197" s="39" t="str">
        <f aca="false">IFERROR(INDEX(对接源_01入库吨位!$B$5:$B$304,MATCH(INT((ROW()-5)/3)+1,对接源_01入库吨位!$S$5:$S$304,0)),"")</f>
        <v/>
      </c>
      <c r="C197" s="39" t="str">
        <f aca="false">IFERROR(INDEX(对接源_01入库吨位!$C$5:$C$304,MATCH(INT((ROW()-5)/3)+1,对接源_01入库吨位!$S$5:$S$304,0)),"")</f>
        <v/>
      </c>
      <c r="D197" s="40" t="str">
        <f aca="false">IF($B197="","",IF(MOD(ROW()-5,3)=0,"周转打冷",IF(MOD(ROW()-5,3)=1,"仓储加工","装卸费")))</f>
        <v/>
      </c>
      <c r="E197" s="51" t="str">
        <f aca="false">IF($B197="","",IFERROR(IF($D197="周转打冷",N(INDEX(对接源_01入库吨位!$D$5:$D$304,MATCH(INT((ROW()-5)/3)+1,对接源_01入库吨位!$S$5:$S$304,0))),IF($D197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7" s="41" t="str">
        <f aca="false">IF($B197="","",ROUND(IFERROR(IF($D197="周转打冷",N(INDEX(对接源_01入库吨位!$H$5:$H$304,MATCH(INT((ROW()-5)/3)+1,对接源_01入库吨位!$S$5:$S$304,0))),IF($D197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7" s="52" t="str">
        <f aca="false">IF($B197="","",ROUND(N($F197)/1000,3))</f>
        <v/>
      </c>
      <c r="H197" s="74"/>
      <c r="I197" s="44"/>
      <c r="J197" s="75" t="str">
        <f aca="false">IF($B197="","",IF($H197="按筐数×单价",N($E197),IF($H197="按总重KG×单价",N($F197),IF($H197="按吨位×单价",N($G197),0))))</f>
        <v/>
      </c>
      <c r="K197" s="41" t="str">
        <f aca="false">IF($B197="","",ROUND(N($J197)*N($I197),2))</f>
        <v/>
      </c>
      <c r="L197" s="42"/>
      <c r="M197" s="76"/>
      <c r="N197" s="43"/>
      <c r="R197" s="77" t="str">
        <f aca="false">IF($B197="","",$B197)</f>
        <v/>
      </c>
      <c r="S197" s="77" t="n">
        <f aca="false">IF($R197="",0,IF(MATCH($R197,$R$5:$R$904,0)=ROW()-4,1,0))</f>
        <v>0</v>
      </c>
      <c r="T197" s="77" t="n">
        <f aca="false">N(T196)+$S197</f>
        <v>18</v>
      </c>
    </row>
    <row r="198" customFormat="false" ht="13.5" hidden="false" customHeight="false" outlineLevel="0" collapsed="false">
      <c r="A198" s="9" t="str">
        <f aca="false">IF($B198="","",ROW()-4)</f>
        <v/>
      </c>
      <c r="B198" s="39" t="str">
        <f aca="false">IFERROR(INDEX(对接源_01入库吨位!$B$5:$B$304,MATCH(INT((ROW()-5)/3)+1,对接源_01入库吨位!$S$5:$S$304,0)),"")</f>
        <v/>
      </c>
      <c r="C198" s="39" t="str">
        <f aca="false">IFERROR(INDEX(对接源_01入库吨位!$C$5:$C$304,MATCH(INT((ROW()-5)/3)+1,对接源_01入库吨位!$S$5:$S$304,0)),"")</f>
        <v/>
      </c>
      <c r="D198" s="40" t="str">
        <f aca="false">IF($B198="","",IF(MOD(ROW()-5,3)=0,"周转打冷",IF(MOD(ROW()-5,3)=1,"仓储加工","装卸费")))</f>
        <v/>
      </c>
      <c r="E198" s="51" t="str">
        <f aca="false">IF($B198="","",IFERROR(IF($D198="周转打冷",N(INDEX(对接源_01入库吨位!$D$5:$D$304,MATCH(INT((ROW()-5)/3)+1,对接源_01入库吨位!$S$5:$S$304,0))),IF($D198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8" s="41" t="str">
        <f aca="false">IF($B198="","",ROUND(IFERROR(IF($D198="周转打冷",N(INDEX(对接源_01入库吨位!$H$5:$H$304,MATCH(INT((ROW()-5)/3)+1,对接源_01入库吨位!$S$5:$S$304,0))),IF($D198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8" s="52" t="str">
        <f aca="false">IF($B198="","",ROUND(N($F198)/1000,3))</f>
        <v/>
      </c>
      <c r="H198" s="74"/>
      <c r="I198" s="44"/>
      <c r="J198" s="75" t="str">
        <f aca="false">IF($B198="","",IF($H198="按筐数×单价",N($E198),IF($H198="按总重KG×单价",N($F198),IF($H198="按吨位×单价",N($G198),0))))</f>
        <v/>
      </c>
      <c r="K198" s="41" t="str">
        <f aca="false">IF($B198="","",ROUND(N($J198)*N($I198),2))</f>
        <v/>
      </c>
      <c r="L198" s="42"/>
      <c r="M198" s="76"/>
      <c r="N198" s="43"/>
      <c r="R198" s="77" t="str">
        <f aca="false">IF($B198="","",$B198)</f>
        <v/>
      </c>
      <c r="S198" s="77" t="n">
        <f aca="false">IF($R198="",0,IF(MATCH($R198,$R$5:$R$904,0)=ROW()-4,1,0))</f>
        <v>0</v>
      </c>
      <c r="T198" s="77" t="n">
        <f aca="false">N(T197)+$S198</f>
        <v>18</v>
      </c>
    </row>
    <row r="199" customFormat="false" ht="13.5" hidden="false" customHeight="false" outlineLevel="0" collapsed="false">
      <c r="A199" s="9" t="str">
        <f aca="false">IF($B199="","",ROW()-4)</f>
        <v/>
      </c>
      <c r="B199" s="39" t="str">
        <f aca="false">IFERROR(INDEX(对接源_01入库吨位!$B$5:$B$304,MATCH(INT((ROW()-5)/3)+1,对接源_01入库吨位!$S$5:$S$304,0)),"")</f>
        <v/>
      </c>
      <c r="C199" s="39" t="str">
        <f aca="false">IFERROR(INDEX(对接源_01入库吨位!$C$5:$C$304,MATCH(INT((ROW()-5)/3)+1,对接源_01入库吨位!$S$5:$S$304,0)),"")</f>
        <v/>
      </c>
      <c r="D199" s="40" t="str">
        <f aca="false">IF($B199="","",IF(MOD(ROW()-5,3)=0,"周转打冷",IF(MOD(ROW()-5,3)=1,"仓储加工","装卸费")))</f>
        <v/>
      </c>
      <c r="E199" s="51" t="str">
        <f aca="false">IF($B199="","",IFERROR(IF($D199="周转打冷",N(INDEX(对接源_01入库吨位!$D$5:$D$304,MATCH(INT((ROW()-5)/3)+1,对接源_01入库吨位!$S$5:$S$304,0))),IF($D199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199" s="41" t="str">
        <f aca="false">IF($B199="","",ROUND(IFERROR(IF($D199="周转打冷",N(INDEX(对接源_01入库吨位!$H$5:$H$304,MATCH(INT((ROW()-5)/3)+1,对接源_01入库吨位!$S$5:$S$304,0))),IF($D199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199" s="52" t="str">
        <f aca="false">IF($B199="","",ROUND(N($F199)/1000,3))</f>
        <v/>
      </c>
      <c r="H199" s="74"/>
      <c r="I199" s="44"/>
      <c r="J199" s="75" t="str">
        <f aca="false">IF($B199="","",IF($H199="按筐数×单价",N($E199),IF($H199="按总重KG×单价",N($F199),IF($H199="按吨位×单价",N($G199),0))))</f>
        <v/>
      </c>
      <c r="K199" s="41" t="str">
        <f aca="false">IF($B199="","",ROUND(N($J199)*N($I199),2))</f>
        <v/>
      </c>
      <c r="L199" s="42"/>
      <c r="M199" s="76"/>
      <c r="N199" s="43"/>
      <c r="R199" s="77" t="str">
        <f aca="false">IF($B199="","",$B199)</f>
        <v/>
      </c>
      <c r="S199" s="77" t="n">
        <f aca="false">IF($R199="",0,IF(MATCH($R199,$R$5:$R$904,0)=ROW()-4,1,0))</f>
        <v>0</v>
      </c>
      <c r="T199" s="77" t="n">
        <f aca="false">N(T198)+$S199</f>
        <v>18</v>
      </c>
    </row>
    <row r="200" customFormat="false" ht="13.5" hidden="false" customHeight="false" outlineLevel="0" collapsed="false">
      <c r="A200" s="9" t="str">
        <f aca="false">IF($B200="","",ROW()-4)</f>
        <v/>
      </c>
      <c r="B200" s="39" t="str">
        <f aca="false">IFERROR(INDEX(对接源_01入库吨位!$B$5:$B$304,MATCH(INT((ROW()-5)/3)+1,对接源_01入库吨位!$S$5:$S$304,0)),"")</f>
        <v/>
      </c>
      <c r="C200" s="39" t="str">
        <f aca="false">IFERROR(INDEX(对接源_01入库吨位!$C$5:$C$304,MATCH(INT((ROW()-5)/3)+1,对接源_01入库吨位!$S$5:$S$304,0)),"")</f>
        <v/>
      </c>
      <c r="D200" s="40" t="str">
        <f aca="false">IF($B200="","",IF(MOD(ROW()-5,3)=0,"周转打冷",IF(MOD(ROW()-5,3)=1,"仓储加工","装卸费")))</f>
        <v/>
      </c>
      <c r="E200" s="51" t="str">
        <f aca="false">IF($B200="","",IFERROR(IF($D200="周转打冷",N(INDEX(对接源_01入库吨位!$D$5:$D$304,MATCH(INT((ROW()-5)/3)+1,对接源_01入库吨位!$S$5:$S$304,0))),IF($D200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0" s="41" t="str">
        <f aca="false">IF($B200="","",ROUND(IFERROR(IF($D200="周转打冷",N(INDEX(对接源_01入库吨位!$H$5:$H$304,MATCH(INT((ROW()-5)/3)+1,对接源_01入库吨位!$S$5:$S$304,0))),IF($D200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0" s="52" t="str">
        <f aca="false">IF($B200="","",ROUND(N($F200)/1000,3))</f>
        <v/>
      </c>
      <c r="H200" s="74"/>
      <c r="I200" s="44"/>
      <c r="J200" s="75" t="str">
        <f aca="false">IF($B200="","",IF($H200="按筐数×单价",N($E200),IF($H200="按总重KG×单价",N($F200),IF($H200="按吨位×单价",N($G200),0))))</f>
        <v/>
      </c>
      <c r="K200" s="41" t="str">
        <f aca="false">IF($B200="","",ROUND(N($J200)*N($I200),2))</f>
        <v/>
      </c>
      <c r="L200" s="42"/>
      <c r="M200" s="76"/>
      <c r="N200" s="43"/>
      <c r="R200" s="77" t="str">
        <f aca="false">IF($B200="","",$B200)</f>
        <v/>
      </c>
      <c r="S200" s="77" t="n">
        <f aca="false">IF($R200="",0,IF(MATCH($R200,$R$5:$R$904,0)=ROW()-4,1,0))</f>
        <v>0</v>
      </c>
      <c r="T200" s="77" t="n">
        <f aca="false">N(T199)+$S200</f>
        <v>18</v>
      </c>
    </row>
    <row r="201" customFormat="false" ht="13.5" hidden="false" customHeight="false" outlineLevel="0" collapsed="false">
      <c r="A201" s="9" t="str">
        <f aca="false">IF($B201="","",ROW()-4)</f>
        <v/>
      </c>
      <c r="B201" s="39" t="str">
        <f aca="false">IFERROR(INDEX(对接源_01入库吨位!$B$5:$B$304,MATCH(INT((ROW()-5)/3)+1,对接源_01入库吨位!$S$5:$S$304,0)),"")</f>
        <v/>
      </c>
      <c r="C201" s="39" t="str">
        <f aca="false">IFERROR(INDEX(对接源_01入库吨位!$C$5:$C$304,MATCH(INT((ROW()-5)/3)+1,对接源_01入库吨位!$S$5:$S$304,0)),"")</f>
        <v/>
      </c>
      <c r="D201" s="40" t="str">
        <f aca="false">IF($B201="","",IF(MOD(ROW()-5,3)=0,"周转打冷",IF(MOD(ROW()-5,3)=1,"仓储加工","装卸费")))</f>
        <v/>
      </c>
      <c r="E201" s="51" t="str">
        <f aca="false">IF($B201="","",IFERROR(IF($D201="周转打冷",N(INDEX(对接源_01入库吨位!$D$5:$D$304,MATCH(INT((ROW()-5)/3)+1,对接源_01入库吨位!$S$5:$S$304,0))),IF($D201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1" s="41" t="str">
        <f aca="false">IF($B201="","",ROUND(IFERROR(IF($D201="周转打冷",N(INDEX(对接源_01入库吨位!$H$5:$H$304,MATCH(INT((ROW()-5)/3)+1,对接源_01入库吨位!$S$5:$S$304,0))),IF($D201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1" s="52" t="str">
        <f aca="false">IF($B201="","",ROUND(N($F201)/1000,3))</f>
        <v/>
      </c>
      <c r="H201" s="74"/>
      <c r="I201" s="44"/>
      <c r="J201" s="75" t="str">
        <f aca="false">IF($B201="","",IF($H201="按筐数×单价",N($E201),IF($H201="按总重KG×单价",N($F201),IF($H201="按吨位×单价",N($G201),0))))</f>
        <v/>
      </c>
      <c r="K201" s="41" t="str">
        <f aca="false">IF($B201="","",ROUND(N($J201)*N($I201),2))</f>
        <v/>
      </c>
      <c r="L201" s="42"/>
      <c r="M201" s="76"/>
      <c r="N201" s="43"/>
      <c r="R201" s="77" t="str">
        <f aca="false">IF($B201="","",$B201)</f>
        <v/>
      </c>
      <c r="S201" s="77" t="n">
        <f aca="false">IF($R201="",0,IF(MATCH($R201,$R$5:$R$904,0)=ROW()-4,1,0))</f>
        <v>0</v>
      </c>
      <c r="T201" s="77" t="n">
        <f aca="false">N(T200)+$S201</f>
        <v>18</v>
      </c>
    </row>
    <row r="202" customFormat="false" ht="13.5" hidden="false" customHeight="false" outlineLevel="0" collapsed="false">
      <c r="A202" s="9" t="str">
        <f aca="false">IF($B202="","",ROW()-4)</f>
        <v/>
      </c>
      <c r="B202" s="39" t="str">
        <f aca="false">IFERROR(INDEX(对接源_01入库吨位!$B$5:$B$304,MATCH(INT((ROW()-5)/3)+1,对接源_01入库吨位!$S$5:$S$304,0)),"")</f>
        <v/>
      </c>
      <c r="C202" s="39" t="str">
        <f aca="false">IFERROR(INDEX(对接源_01入库吨位!$C$5:$C$304,MATCH(INT((ROW()-5)/3)+1,对接源_01入库吨位!$S$5:$S$304,0)),"")</f>
        <v/>
      </c>
      <c r="D202" s="40" t="str">
        <f aca="false">IF($B202="","",IF(MOD(ROW()-5,3)=0,"周转打冷",IF(MOD(ROW()-5,3)=1,"仓储加工","装卸费")))</f>
        <v/>
      </c>
      <c r="E202" s="51" t="str">
        <f aca="false">IF($B202="","",IFERROR(IF($D202="周转打冷",N(INDEX(对接源_01入库吨位!$D$5:$D$304,MATCH(INT((ROW()-5)/3)+1,对接源_01入库吨位!$S$5:$S$304,0))),IF($D202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2" s="41" t="str">
        <f aca="false">IF($B202="","",ROUND(IFERROR(IF($D202="周转打冷",N(INDEX(对接源_01入库吨位!$H$5:$H$304,MATCH(INT((ROW()-5)/3)+1,对接源_01入库吨位!$S$5:$S$304,0))),IF($D202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2" s="52" t="str">
        <f aca="false">IF($B202="","",ROUND(N($F202)/1000,3))</f>
        <v/>
      </c>
      <c r="H202" s="74"/>
      <c r="I202" s="44"/>
      <c r="J202" s="75" t="str">
        <f aca="false">IF($B202="","",IF($H202="按筐数×单价",N($E202),IF($H202="按总重KG×单价",N($F202),IF($H202="按吨位×单价",N($G202),0))))</f>
        <v/>
      </c>
      <c r="K202" s="41" t="str">
        <f aca="false">IF($B202="","",ROUND(N($J202)*N($I202),2))</f>
        <v/>
      </c>
      <c r="L202" s="42"/>
      <c r="M202" s="76"/>
      <c r="N202" s="43"/>
      <c r="R202" s="77" t="str">
        <f aca="false">IF($B202="","",$B202)</f>
        <v/>
      </c>
      <c r="S202" s="77" t="n">
        <f aca="false">IF($R202="",0,IF(MATCH($R202,$R$5:$R$904,0)=ROW()-4,1,0))</f>
        <v>0</v>
      </c>
      <c r="T202" s="77" t="n">
        <f aca="false">N(T201)+$S202</f>
        <v>18</v>
      </c>
    </row>
    <row r="203" customFormat="false" ht="13.5" hidden="false" customHeight="false" outlineLevel="0" collapsed="false">
      <c r="A203" s="9" t="str">
        <f aca="false">IF($B203="","",ROW()-4)</f>
        <v/>
      </c>
      <c r="B203" s="39" t="str">
        <f aca="false">IFERROR(INDEX(对接源_01入库吨位!$B$5:$B$304,MATCH(INT((ROW()-5)/3)+1,对接源_01入库吨位!$S$5:$S$304,0)),"")</f>
        <v/>
      </c>
      <c r="C203" s="39" t="str">
        <f aca="false">IFERROR(INDEX(对接源_01入库吨位!$C$5:$C$304,MATCH(INT((ROW()-5)/3)+1,对接源_01入库吨位!$S$5:$S$304,0)),"")</f>
        <v/>
      </c>
      <c r="D203" s="40" t="str">
        <f aca="false">IF($B203="","",IF(MOD(ROW()-5,3)=0,"周转打冷",IF(MOD(ROW()-5,3)=1,"仓储加工","装卸费")))</f>
        <v/>
      </c>
      <c r="E203" s="51" t="str">
        <f aca="false">IF($B203="","",IFERROR(IF($D203="周转打冷",N(INDEX(对接源_01入库吨位!$D$5:$D$304,MATCH(INT((ROW()-5)/3)+1,对接源_01入库吨位!$S$5:$S$304,0))),IF($D203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3" s="41" t="str">
        <f aca="false">IF($B203="","",ROUND(IFERROR(IF($D203="周转打冷",N(INDEX(对接源_01入库吨位!$H$5:$H$304,MATCH(INT((ROW()-5)/3)+1,对接源_01入库吨位!$S$5:$S$304,0))),IF($D203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3" s="52" t="str">
        <f aca="false">IF($B203="","",ROUND(N($F203)/1000,3))</f>
        <v/>
      </c>
      <c r="H203" s="74"/>
      <c r="I203" s="44"/>
      <c r="J203" s="75" t="str">
        <f aca="false">IF($B203="","",IF($H203="按筐数×单价",N($E203),IF($H203="按总重KG×单价",N($F203),IF($H203="按吨位×单价",N($G203),0))))</f>
        <v/>
      </c>
      <c r="K203" s="41" t="str">
        <f aca="false">IF($B203="","",ROUND(N($J203)*N($I203),2))</f>
        <v/>
      </c>
      <c r="L203" s="42"/>
      <c r="M203" s="76"/>
      <c r="N203" s="43"/>
      <c r="R203" s="77" t="str">
        <f aca="false">IF($B203="","",$B203)</f>
        <v/>
      </c>
      <c r="S203" s="77" t="n">
        <f aca="false">IF($R203="",0,IF(MATCH($R203,$R$5:$R$904,0)=ROW()-4,1,0))</f>
        <v>0</v>
      </c>
      <c r="T203" s="77" t="n">
        <f aca="false">N(T202)+$S203</f>
        <v>18</v>
      </c>
    </row>
    <row r="204" customFormat="false" ht="13.5" hidden="false" customHeight="false" outlineLevel="0" collapsed="false">
      <c r="A204" s="9" t="str">
        <f aca="false">IF($B204="","",ROW()-4)</f>
        <v/>
      </c>
      <c r="B204" s="39" t="str">
        <f aca="false">IFERROR(INDEX(对接源_01入库吨位!$B$5:$B$304,MATCH(INT((ROW()-5)/3)+1,对接源_01入库吨位!$S$5:$S$304,0)),"")</f>
        <v/>
      </c>
      <c r="C204" s="39" t="str">
        <f aca="false">IFERROR(INDEX(对接源_01入库吨位!$C$5:$C$304,MATCH(INT((ROW()-5)/3)+1,对接源_01入库吨位!$S$5:$S$304,0)),"")</f>
        <v/>
      </c>
      <c r="D204" s="40" t="str">
        <f aca="false">IF($B204="","",IF(MOD(ROW()-5,3)=0,"周转打冷",IF(MOD(ROW()-5,3)=1,"仓储加工","装卸费")))</f>
        <v/>
      </c>
      <c r="E204" s="51" t="str">
        <f aca="false">IF($B204="","",IFERROR(IF($D204="周转打冷",N(INDEX(对接源_01入库吨位!$D$5:$D$304,MATCH(INT((ROW()-5)/3)+1,对接源_01入库吨位!$S$5:$S$304,0))),IF($D204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4" s="41" t="str">
        <f aca="false">IF($B204="","",ROUND(IFERROR(IF($D204="周转打冷",N(INDEX(对接源_01入库吨位!$H$5:$H$304,MATCH(INT((ROW()-5)/3)+1,对接源_01入库吨位!$S$5:$S$304,0))),IF($D204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4" s="52" t="str">
        <f aca="false">IF($B204="","",ROUND(N($F204)/1000,3))</f>
        <v/>
      </c>
      <c r="H204" s="74"/>
      <c r="I204" s="44"/>
      <c r="J204" s="75" t="str">
        <f aca="false">IF($B204="","",IF($H204="按筐数×单价",N($E204),IF($H204="按总重KG×单价",N($F204),IF($H204="按吨位×单价",N($G204),0))))</f>
        <v/>
      </c>
      <c r="K204" s="41" t="str">
        <f aca="false">IF($B204="","",ROUND(N($J204)*N($I204),2))</f>
        <v/>
      </c>
      <c r="L204" s="42"/>
      <c r="M204" s="76"/>
      <c r="N204" s="43"/>
      <c r="R204" s="77" t="str">
        <f aca="false">IF($B204="","",$B204)</f>
        <v/>
      </c>
      <c r="S204" s="77" t="n">
        <f aca="false">IF($R204="",0,IF(MATCH($R204,$R$5:$R$904,0)=ROW()-4,1,0))</f>
        <v>0</v>
      </c>
      <c r="T204" s="77" t="n">
        <f aca="false">N(T203)+$S204</f>
        <v>18</v>
      </c>
    </row>
    <row r="205" customFormat="false" ht="13.5" hidden="false" customHeight="false" outlineLevel="0" collapsed="false">
      <c r="A205" s="9" t="str">
        <f aca="false">IF($B205="","",ROW()-4)</f>
        <v/>
      </c>
      <c r="B205" s="39" t="str">
        <f aca="false">IFERROR(INDEX(对接源_01入库吨位!$B$5:$B$304,MATCH(INT((ROW()-5)/3)+1,对接源_01入库吨位!$S$5:$S$304,0)),"")</f>
        <v/>
      </c>
      <c r="C205" s="39" t="str">
        <f aca="false">IFERROR(INDEX(对接源_01入库吨位!$C$5:$C$304,MATCH(INT((ROW()-5)/3)+1,对接源_01入库吨位!$S$5:$S$304,0)),"")</f>
        <v/>
      </c>
      <c r="D205" s="40" t="str">
        <f aca="false">IF($B205="","",IF(MOD(ROW()-5,3)=0,"周转打冷",IF(MOD(ROW()-5,3)=1,"仓储加工","装卸费")))</f>
        <v/>
      </c>
      <c r="E205" s="51" t="str">
        <f aca="false">IF($B205="","",IFERROR(IF($D205="周转打冷",N(INDEX(对接源_01入库吨位!$D$5:$D$304,MATCH(INT((ROW()-5)/3)+1,对接源_01入库吨位!$S$5:$S$304,0))),IF($D205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5" s="41" t="str">
        <f aca="false">IF($B205="","",ROUND(IFERROR(IF($D205="周转打冷",N(INDEX(对接源_01入库吨位!$H$5:$H$304,MATCH(INT((ROW()-5)/3)+1,对接源_01入库吨位!$S$5:$S$304,0))),IF($D205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5" s="52" t="str">
        <f aca="false">IF($B205="","",ROUND(N($F205)/1000,3))</f>
        <v/>
      </c>
      <c r="H205" s="74"/>
      <c r="I205" s="44"/>
      <c r="J205" s="75" t="str">
        <f aca="false">IF($B205="","",IF($H205="按筐数×单价",N($E205),IF($H205="按总重KG×单价",N($F205),IF($H205="按吨位×单价",N($G205),0))))</f>
        <v/>
      </c>
      <c r="K205" s="41" t="str">
        <f aca="false">IF($B205="","",ROUND(N($J205)*N($I205),2))</f>
        <v/>
      </c>
      <c r="L205" s="42"/>
      <c r="M205" s="76"/>
      <c r="N205" s="43"/>
      <c r="R205" s="77" t="str">
        <f aca="false">IF($B205="","",$B205)</f>
        <v/>
      </c>
      <c r="S205" s="77" t="n">
        <f aca="false">IF($R205="",0,IF(MATCH($R205,$R$5:$R$904,0)=ROW()-4,1,0))</f>
        <v>0</v>
      </c>
      <c r="T205" s="77" t="n">
        <f aca="false">N(T204)+$S205</f>
        <v>18</v>
      </c>
    </row>
    <row r="206" customFormat="false" ht="13.5" hidden="false" customHeight="false" outlineLevel="0" collapsed="false">
      <c r="A206" s="9" t="str">
        <f aca="false">IF($B206="","",ROW()-4)</f>
        <v/>
      </c>
      <c r="B206" s="39" t="str">
        <f aca="false">IFERROR(INDEX(对接源_01入库吨位!$B$5:$B$304,MATCH(INT((ROW()-5)/3)+1,对接源_01入库吨位!$S$5:$S$304,0)),"")</f>
        <v/>
      </c>
      <c r="C206" s="39" t="str">
        <f aca="false">IFERROR(INDEX(对接源_01入库吨位!$C$5:$C$304,MATCH(INT((ROW()-5)/3)+1,对接源_01入库吨位!$S$5:$S$304,0)),"")</f>
        <v/>
      </c>
      <c r="D206" s="40" t="str">
        <f aca="false">IF($B206="","",IF(MOD(ROW()-5,3)=0,"周转打冷",IF(MOD(ROW()-5,3)=1,"仓储加工","装卸费")))</f>
        <v/>
      </c>
      <c r="E206" s="51" t="str">
        <f aca="false">IF($B206="","",IFERROR(IF($D206="周转打冷",N(INDEX(对接源_01入库吨位!$D$5:$D$304,MATCH(INT((ROW()-5)/3)+1,对接源_01入库吨位!$S$5:$S$304,0))),IF($D206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6" s="41" t="str">
        <f aca="false">IF($B206="","",ROUND(IFERROR(IF($D206="周转打冷",N(INDEX(对接源_01入库吨位!$H$5:$H$304,MATCH(INT((ROW()-5)/3)+1,对接源_01入库吨位!$S$5:$S$304,0))),IF($D206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6" s="52" t="str">
        <f aca="false">IF($B206="","",ROUND(N($F206)/1000,3))</f>
        <v/>
      </c>
      <c r="H206" s="74"/>
      <c r="I206" s="44"/>
      <c r="J206" s="75" t="str">
        <f aca="false">IF($B206="","",IF($H206="按筐数×单价",N($E206),IF($H206="按总重KG×单价",N($F206),IF($H206="按吨位×单价",N($G206),0))))</f>
        <v/>
      </c>
      <c r="K206" s="41" t="str">
        <f aca="false">IF($B206="","",ROUND(N($J206)*N($I206),2))</f>
        <v/>
      </c>
      <c r="L206" s="42"/>
      <c r="M206" s="76"/>
      <c r="N206" s="43"/>
      <c r="R206" s="77" t="str">
        <f aca="false">IF($B206="","",$B206)</f>
        <v/>
      </c>
      <c r="S206" s="77" t="n">
        <f aca="false">IF($R206="",0,IF(MATCH($R206,$R$5:$R$904,0)=ROW()-4,1,0))</f>
        <v>0</v>
      </c>
      <c r="T206" s="77" t="n">
        <f aca="false">N(T205)+$S206</f>
        <v>18</v>
      </c>
    </row>
    <row r="207" customFormat="false" ht="13.5" hidden="false" customHeight="false" outlineLevel="0" collapsed="false">
      <c r="A207" s="9" t="str">
        <f aca="false">IF($B207="","",ROW()-4)</f>
        <v/>
      </c>
      <c r="B207" s="39" t="str">
        <f aca="false">IFERROR(INDEX(对接源_01入库吨位!$B$5:$B$304,MATCH(INT((ROW()-5)/3)+1,对接源_01入库吨位!$S$5:$S$304,0)),"")</f>
        <v/>
      </c>
      <c r="C207" s="39" t="str">
        <f aca="false">IFERROR(INDEX(对接源_01入库吨位!$C$5:$C$304,MATCH(INT((ROW()-5)/3)+1,对接源_01入库吨位!$S$5:$S$304,0)),"")</f>
        <v/>
      </c>
      <c r="D207" s="40" t="str">
        <f aca="false">IF($B207="","",IF(MOD(ROW()-5,3)=0,"周转打冷",IF(MOD(ROW()-5,3)=1,"仓储加工","装卸费")))</f>
        <v/>
      </c>
      <c r="E207" s="51" t="str">
        <f aca="false">IF($B207="","",IFERROR(IF($D207="周转打冷",N(INDEX(对接源_01入库吨位!$D$5:$D$304,MATCH(INT((ROW()-5)/3)+1,对接源_01入库吨位!$S$5:$S$304,0))),IF($D207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7" s="41" t="str">
        <f aca="false">IF($B207="","",ROUND(IFERROR(IF($D207="周转打冷",N(INDEX(对接源_01入库吨位!$H$5:$H$304,MATCH(INT((ROW()-5)/3)+1,对接源_01入库吨位!$S$5:$S$304,0))),IF($D207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7" s="52" t="str">
        <f aca="false">IF($B207="","",ROUND(N($F207)/1000,3))</f>
        <v/>
      </c>
      <c r="H207" s="74"/>
      <c r="I207" s="44"/>
      <c r="J207" s="75" t="str">
        <f aca="false">IF($B207="","",IF($H207="按筐数×单价",N($E207),IF($H207="按总重KG×单价",N($F207),IF($H207="按吨位×单价",N($G207),0))))</f>
        <v/>
      </c>
      <c r="K207" s="41" t="str">
        <f aca="false">IF($B207="","",ROUND(N($J207)*N($I207),2))</f>
        <v/>
      </c>
      <c r="L207" s="42"/>
      <c r="M207" s="76"/>
      <c r="N207" s="43"/>
      <c r="R207" s="77" t="str">
        <f aca="false">IF($B207="","",$B207)</f>
        <v/>
      </c>
      <c r="S207" s="77" t="n">
        <f aca="false">IF($R207="",0,IF(MATCH($R207,$R$5:$R$904,0)=ROW()-4,1,0))</f>
        <v>0</v>
      </c>
      <c r="T207" s="77" t="n">
        <f aca="false">N(T206)+$S207</f>
        <v>18</v>
      </c>
    </row>
    <row r="208" customFormat="false" ht="13.5" hidden="false" customHeight="false" outlineLevel="0" collapsed="false">
      <c r="A208" s="9" t="str">
        <f aca="false">IF($B208="","",ROW()-4)</f>
        <v/>
      </c>
      <c r="B208" s="39" t="str">
        <f aca="false">IFERROR(INDEX(对接源_01入库吨位!$B$5:$B$304,MATCH(INT((ROW()-5)/3)+1,对接源_01入库吨位!$S$5:$S$304,0)),"")</f>
        <v/>
      </c>
      <c r="C208" s="39" t="str">
        <f aca="false">IFERROR(INDEX(对接源_01入库吨位!$C$5:$C$304,MATCH(INT((ROW()-5)/3)+1,对接源_01入库吨位!$S$5:$S$304,0)),"")</f>
        <v/>
      </c>
      <c r="D208" s="40" t="str">
        <f aca="false">IF($B208="","",IF(MOD(ROW()-5,3)=0,"周转打冷",IF(MOD(ROW()-5,3)=1,"仓储加工","装卸费")))</f>
        <v/>
      </c>
      <c r="E208" s="51" t="str">
        <f aca="false">IF($B208="","",IFERROR(IF($D208="周转打冷",N(INDEX(对接源_01入库吨位!$D$5:$D$304,MATCH(INT((ROW()-5)/3)+1,对接源_01入库吨位!$S$5:$S$304,0))),IF($D208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8" s="41" t="str">
        <f aca="false">IF($B208="","",ROUND(IFERROR(IF($D208="周转打冷",N(INDEX(对接源_01入库吨位!$H$5:$H$304,MATCH(INT((ROW()-5)/3)+1,对接源_01入库吨位!$S$5:$S$304,0))),IF($D208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8" s="52" t="str">
        <f aca="false">IF($B208="","",ROUND(N($F208)/1000,3))</f>
        <v/>
      </c>
      <c r="H208" s="74"/>
      <c r="I208" s="44"/>
      <c r="J208" s="75" t="str">
        <f aca="false">IF($B208="","",IF($H208="按筐数×单价",N($E208),IF($H208="按总重KG×单价",N($F208),IF($H208="按吨位×单价",N($G208),0))))</f>
        <v/>
      </c>
      <c r="K208" s="41" t="str">
        <f aca="false">IF($B208="","",ROUND(N($J208)*N($I208),2))</f>
        <v/>
      </c>
      <c r="L208" s="42"/>
      <c r="M208" s="76"/>
      <c r="N208" s="43"/>
      <c r="R208" s="77" t="str">
        <f aca="false">IF($B208="","",$B208)</f>
        <v/>
      </c>
      <c r="S208" s="77" t="n">
        <f aca="false">IF($R208="",0,IF(MATCH($R208,$R$5:$R$904,0)=ROW()-4,1,0))</f>
        <v>0</v>
      </c>
      <c r="T208" s="77" t="n">
        <f aca="false">N(T207)+$S208</f>
        <v>18</v>
      </c>
    </row>
    <row r="209" customFormat="false" ht="13.5" hidden="false" customHeight="false" outlineLevel="0" collapsed="false">
      <c r="A209" s="9" t="str">
        <f aca="false">IF($B209="","",ROW()-4)</f>
        <v/>
      </c>
      <c r="B209" s="39" t="str">
        <f aca="false">IFERROR(INDEX(对接源_01入库吨位!$B$5:$B$304,MATCH(INT((ROW()-5)/3)+1,对接源_01入库吨位!$S$5:$S$304,0)),"")</f>
        <v/>
      </c>
      <c r="C209" s="39" t="str">
        <f aca="false">IFERROR(INDEX(对接源_01入库吨位!$C$5:$C$304,MATCH(INT((ROW()-5)/3)+1,对接源_01入库吨位!$S$5:$S$304,0)),"")</f>
        <v/>
      </c>
      <c r="D209" s="40" t="str">
        <f aca="false">IF($B209="","",IF(MOD(ROW()-5,3)=0,"周转打冷",IF(MOD(ROW()-5,3)=1,"仓储加工","装卸费")))</f>
        <v/>
      </c>
      <c r="E209" s="51" t="str">
        <f aca="false">IF($B209="","",IFERROR(IF($D209="周转打冷",N(INDEX(对接源_01入库吨位!$D$5:$D$304,MATCH(INT((ROW()-5)/3)+1,对接源_01入库吨位!$S$5:$S$304,0))),IF($D209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09" s="41" t="str">
        <f aca="false">IF($B209="","",ROUND(IFERROR(IF($D209="周转打冷",N(INDEX(对接源_01入库吨位!$H$5:$H$304,MATCH(INT((ROW()-5)/3)+1,对接源_01入库吨位!$S$5:$S$304,0))),IF($D209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09" s="52" t="str">
        <f aca="false">IF($B209="","",ROUND(N($F209)/1000,3))</f>
        <v/>
      </c>
      <c r="H209" s="74"/>
      <c r="I209" s="44"/>
      <c r="J209" s="75" t="str">
        <f aca="false">IF($B209="","",IF($H209="按筐数×单价",N($E209),IF($H209="按总重KG×单价",N($F209),IF($H209="按吨位×单价",N($G209),0))))</f>
        <v/>
      </c>
      <c r="K209" s="41" t="str">
        <f aca="false">IF($B209="","",ROUND(N($J209)*N($I209),2))</f>
        <v/>
      </c>
      <c r="L209" s="42"/>
      <c r="M209" s="76"/>
      <c r="N209" s="43"/>
      <c r="R209" s="77" t="str">
        <f aca="false">IF($B209="","",$B209)</f>
        <v/>
      </c>
      <c r="S209" s="77" t="n">
        <f aca="false">IF($R209="",0,IF(MATCH($R209,$R$5:$R$904,0)=ROW()-4,1,0))</f>
        <v>0</v>
      </c>
      <c r="T209" s="77" t="n">
        <f aca="false">N(T208)+$S209</f>
        <v>18</v>
      </c>
    </row>
    <row r="210" customFormat="false" ht="13.5" hidden="false" customHeight="false" outlineLevel="0" collapsed="false">
      <c r="A210" s="9" t="str">
        <f aca="false">IF($B210="","",ROW()-4)</f>
        <v/>
      </c>
      <c r="B210" s="39" t="str">
        <f aca="false">IFERROR(INDEX(对接源_01入库吨位!$B$5:$B$304,MATCH(INT((ROW()-5)/3)+1,对接源_01入库吨位!$S$5:$S$304,0)),"")</f>
        <v/>
      </c>
      <c r="C210" s="39" t="str">
        <f aca="false">IFERROR(INDEX(对接源_01入库吨位!$C$5:$C$304,MATCH(INT((ROW()-5)/3)+1,对接源_01入库吨位!$S$5:$S$304,0)),"")</f>
        <v/>
      </c>
      <c r="D210" s="40" t="str">
        <f aca="false">IF($B210="","",IF(MOD(ROW()-5,3)=0,"周转打冷",IF(MOD(ROW()-5,3)=1,"仓储加工","装卸费")))</f>
        <v/>
      </c>
      <c r="E210" s="51" t="str">
        <f aca="false">IF($B210="","",IFERROR(IF($D210="周转打冷",N(INDEX(对接源_01入库吨位!$D$5:$D$304,MATCH(INT((ROW()-5)/3)+1,对接源_01入库吨位!$S$5:$S$304,0))),IF($D210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0" s="41" t="str">
        <f aca="false">IF($B210="","",ROUND(IFERROR(IF($D210="周转打冷",N(INDEX(对接源_01入库吨位!$H$5:$H$304,MATCH(INT((ROW()-5)/3)+1,对接源_01入库吨位!$S$5:$S$304,0))),IF($D210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0" s="52" t="str">
        <f aca="false">IF($B210="","",ROUND(N($F210)/1000,3))</f>
        <v/>
      </c>
      <c r="H210" s="74"/>
      <c r="I210" s="44"/>
      <c r="J210" s="75" t="str">
        <f aca="false">IF($B210="","",IF($H210="按筐数×单价",N($E210),IF($H210="按总重KG×单价",N($F210),IF($H210="按吨位×单价",N($G210),0))))</f>
        <v/>
      </c>
      <c r="K210" s="41" t="str">
        <f aca="false">IF($B210="","",ROUND(N($J210)*N($I210),2))</f>
        <v/>
      </c>
      <c r="L210" s="42"/>
      <c r="M210" s="76"/>
      <c r="N210" s="43"/>
      <c r="R210" s="77" t="str">
        <f aca="false">IF($B210="","",$B210)</f>
        <v/>
      </c>
      <c r="S210" s="77" t="n">
        <f aca="false">IF($R210="",0,IF(MATCH($R210,$R$5:$R$904,0)=ROW()-4,1,0))</f>
        <v>0</v>
      </c>
      <c r="T210" s="77" t="n">
        <f aca="false">N(T209)+$S210</f>
        <v>18</v>
      </c>
    </row>
    <row r="211" customFormat="false" ht="13.5" hidden="false" customHeight="false" outlineLevel="0" collapsed="false">
      <c r="A211" s="9" t="str">
        <f aca="false">IF($B211="","",ROW()-4)</f>
        <v/>
      </c>
      <c r="B211" s="39" t="str">
        <f aca="false">IFERROR(INDEX(对接源_01入库吨位!$B$5:$B$304,MATCH(INT((ROW()-5)/3)+1,对接源_01入库吨位!$S$5:$S$304,0)),"")</f>
        <v/>
      </c>
      <c r="C211" s="39" t="str">
        <f aca="false">IFERROR(INDEX(对接源_01入库吨位!$C$5:$C$304,MATCH(INT((ROW()-5)/3)+1,对接源_01入库吨位!$S$5:$S$304,0)),"")</f>
        <v/>
      </c>
      <c r="D211" s="40" t="str">
        <f aca="false">IF($B211="","",IF(MOD(ROW()-5,3)=0,"周转打冷",IF(MOD(ROW()-5,3)=1,"仓储加工","装卸费")))</f>
        <v/>
      </c>
      <c r="E211" s="51" t="str">
        <f aca="false">IF($B211="","",IFERROR(IF($D211="周转打冷",N(INDEX(对接源_01入库吨位!$D$5:$D$304,MATCH(INT((ROW()-5)/3)+1,对接源_01入库吨位!$S$5:$S$304,0))),IF($D211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1" s="41" t="str">
        <f aca="false">IF($B211="","",ROUND(IFERROR(IF($D211="周转打冷",N(INDEX(对接源_01入库吨位!$H$5:$H$304,MATCH(INT((ROW()-5)/3)+1,对接源_01入库吨位!$S$5:$S$304,0))),IF($D211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1" s="52" t="str">
        <f aca="false">IF($B211="","",ROUND(N($F211)/1000,3))</f>
        <v/>
      </c>
      <c r="H211" s="74"/>
      <c r="I211" s="44"/>
      <c r="J211" s="75" t="str">
        <f aca="false">IF($B211="","",IF($H211="按筐数×单价",N($E211),IF($H211="按总重KG×单价",N($F211),IF($H211="按吨位×单价",N($G211),0))))</f>
        <v/>
      </c>
      <c r="K211" s="41" t="str">
        <f aca="false">IF($B211="","",ROUND(N($J211)*N($I211),2))</f>
        <v/>
      </c>
      <c r="L211" s="42"/>
      <c r="M211" s="76"/>
      <c r="N211" s="43"/>
      <c r="R211" s="77" t="str">
        <f aca="false">IF($B211="","",$B211)</f>
        <v/>
      </c>
      <c r="S211" s="77" t="n">
        <f aca="false">IF($R211="",0,IF(MATCH($R211,$R$5:$R$904,0)=ROW()-4,1,0))</f>
        <v>0</v>
      </c>
      <c r="T211" s="77" t="n">
        <f aca="false">N(T210)+$S211</f>
        <v>18</v>
      </c>
    </row>
    <row r="212" customFormat="false" ht="13.5" hidden="false" customHeight="false" outlineLevel="0" collapsed="false">
      <c r="A212" s="9" t="str">
        <f aca="false">IF($B212="","",ROW()-4)</f>
        <v/>
      </c>
      <c r="B212" s="39" t="str">
        <f aca="false">IFERROR(INDEX(对接源_01入库吨位!$B$5:$B$304,MATCH(INT((ROW()-5)/3)+1,对接源_01入库吨位!$S$5:$S$304,0)),"")</f>
        <v/>
      </c>
      <c r="C212" s="39" t="str">
        <f aca="false">IFERROR(INDEX(对接源_01入库吨位!$C$5:$C$304,MATCH(INT((ROW()-5)/3)+1,对接源_01入库吨位!$S$5:$S$304,0)),"")</f>
        <v/>
      </c>
      <c r="D212" s="40" t="str">
        <f aca="false">IF($B212="","",IF(MOD(ROW()-5,3)=0,"周转打冷",IF(MOD(ROW()-5,3)=1,"仓储加工","装卸费")))</f>
        <v/>
      </c>
      <c r="E212" s="51" t="str">
        <f aca="false">IF($B212="","",IFERROR(IF($D212="周转打冷",N(INDEX(对接源_01入库吨位!$D$5:$D$304,MATCH(INT((ROW()-5)/3)+1,对接源_01入库吨位!$S$5:$S$304,0))),IF($D212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2" s="41" t="str">
        <f aca="false">IF($B212="","",ROUND(IFERROR(IF($D212="周转打冷",N(INDEX(对接源_01入库吨位!$H$5:$H$304,MATCH(INT((ROW()-5)/3)+1,对接源_01入库吨位!$S$5:$S$304,0))),IF($D212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2" s="52" t="str">
        <f aca="false">IF($B212="","",ROUND(N($F212)/1000,3))</f>
        <v/>
      </c>
      <c r="H212" s="74"/>
      <c r="I212" s="44"/>
      <c r="J212" s="75" t="str">
        <f aca="false">IF($B212="","",IF($H212="按筐数×单价",N($E212),IF($H212="按总重KG×单价",N($F212),IF($H212="按吨位×单价",N($G212),0))))</f>
        <v/>
      </c>
      <c r="K212" s="41" t="str">
        <f aca="false">IF($B212="","",ROUND(N($J212)*N($I212),2))</f>
        <v/>
      </c>
      <c r="L212" s="42"/>
      <c r="M212" s="76"/>
      <c r="N212" s="43"/>
      <c r="R212" s="77" t="str">
        <f aca="false">IF($B212="","",$B212)</f>
        <v/>
      </c>
      <c r="S212" s="77" t="n">
        <f aca="false">IF($R212="",0,IF(MATCH($R212,$R$5:$R$904,0)=ROW()-4,1,0))</f>
        <v>0</v>
      </c>
      <c r="T212" s="77" t="n">
        <f aca="false">N(T211)+$S212</f>
        <v>18</v>
      </c>
    </row>
    <row r="213" customFormat="false" ht="13.5" hidden="false" customHeight="false" outlineLevel="0" collapsed="false">
      <c r="A213" s="9" t="str">
        <f aca="false">IF($B213="","",ROW()-4)</f>
        <v/>
      </c>
      <c r="B213" s="39" t="str">
        <f aca="false">IFERROR(INDEX(对接源_01入库吨位!$B$5:$B$304,MATCH(INT((ROW()-5)/3)+1,对接源_01入库吨位!$S$5:$S$304,0)),"")</f>
        <v/>
      </c>
      <c r="C213" s="39" t="str">
        <f aca="false">IFERROR(INDEX(对接源_01入库吨位!$C$5:$C$304,MATCH(INT((ROW()-5)/3)+1,对接源_01入库吨位!$S$5:$S$304,0)),"")</f>
        <v/>
      </c>
      <c r="D213" s="40" t="str">
        <f aca="false">IF($B213="","",IF(MOD(ROW()-5,3)=0,"周转打冷",IF(MOD(ROW()-5,3)=1,"仓储加工","装卸费")))</f>
        <v/>
      </c>
      <c r="E213" s="51" t="str">
        <f aca="false">IF($B213="","",IFERROR(IF($D213="周转打冷",N(INDEX(对接源_01入库吨位!$D$5:$D$304,MATCH(INT((ROW()-5)/3)+1,对接源_01入库吨位!$S$5:$S$304,0))),IF($D213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3" s="41" t="str">
        <f aca="false">IF($B213="","",ROUND(IFERROR(IF($D213="周转打冷",N(INDEX(对接源_01入库吨位!$H$5:$H$304,MATCH(INT((ROW()-5)/3)+1,对接源_01入库吨位!$S$5:$S$304,0))),IF($D213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3" s="52" t="str">
        <f aca="false">IF($B213="","",ROUND(N($F213)/1000,3))</f>
        <v/>
      </c>
      <c r="H213" s="74"/>
      <c r="I213" s="44"/>
      <c r="J213" s="75" t="str">
        <f aca="false">IF($B213="","",IF($H213="按筐数×单价",N($E213),IF($H213="按总重KG×单价",N($F213),IF($H213="按吨位×单价",N($G213),0))))</f>
        <v/>
      </c>
      <c r="K213" s="41" t="str">
        <f aca="false">IF($B213="","",ROUND(N($J213)*N($I213),2))</f>
        <v/>
      </c>
      <c r="L213" s="42"/>
      <c r="M213" s="76"/>
      <c r="N213" s="43"/>
      <c r="R213" s="77" t="str">
        <f aca="false">IF($B213="","",$B213)</f>
        <v/>
      </c>
      <c r="S213" s="77" t="n">
        <f aca="false">IF($R213="",0,IF(MATCH($R213,$R$5:$R$904,0)=ROW()-4,1,0))</f>
        <v>0</v>
      </c>
      <c r="T213" s="77" t="n">
        <f aca="false">N(T212)+$S213</f>
        <v>18</v>
      </c>
    </row>
    <row r="214" customFormat="false" ht="13.5" hidden="false" customHeight="false" outlineLevel="0" collapsed="false">
      <c r="A214" s="9" t="str">
        <f aca="false">IF($B214="","",ROW()-4)</f>
        <v/>
      </c>
      <c r="B214" s="39" t="str">
        <f aca="false">IFERROR(INDEX(对接源_01入库吨位!$B$5:$B$304,MATCH(INT((ROW()-5)/3)+1,对接源_01入库吨位!$S$5:$S$304,0)),"")</f>
        <v/>
      </c>
      <c r="C214" s="39" t="str">
        <f aca="false">IFERROR(INDEX(对接源_01入库吨位!$C$5:$C$304,MATCH(INT((ROW()-5)/3)+1,对接源_01入库吨位!$S$5:$S$304,0)),"")</f>
        <v/>
      </c>
      <c r="D214" s="40" t="str">
        <f aca="false">IF($B214="","",IF(MOD(ROW()-5,3)=0,"周转打冷",IF(MOD(ROW()-5,3)=1,"仓储加工","装卸费")))</f>
        <v/>
      </c>
      <c r="E214" s="51" t="str">
        <f aca="false">IF($B214="","",IFERROR(IF($D214="周转打冷",N(INDEX(对接源_01入库吨位!$D$5:$D$304,MATCH(INT((ROW()-5)/3)+1,对接源_01入库吨位!$S$5:$S$304,0))),IF($D214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4" s="41" t="str">
        <f aca="false">IF($B214="","",ROUND(IFERROR(IF($D214="周转打冷",N(INDEX(对接源_01入库吨位!$H$5:$H$304,MATCH(INT((ROW()-5)/3)+1,对接源_01入库吨位!$S$5:$S$304,0))),IF($D214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4" s="52" t="str">
        <f aca="false">IF($B214="","",ROUND(N($F214)/1000,3))</f>
        <v/>
      </c>
      <c r="H214" s="74"/>
      <c r="I214" s="44"/>
      <c r="J214" s="75" t="str">
        <f aca="false">IF($B214="","",IF($H214="按筐数×单价",N($E214),IF($H214="按总重KG×单价",N($F214),IF($H214="按吨位×单价",N($G214),0))))</f>
        <v/>
      </c>
      <c r="K214" s="41" t="str">
        <f aca="false">IF($B214="","",ROUND(N($J214)*N($I214),2))</f>
        <v/>
      </c>
      <c r="L214" s="42"/>
      <c r="M214" s="76"/>
      <c r="N214" s="43"/>
      <c r="R214" s="77" t="str">
        <f aca="false">IF($B214="","",$B214)</f>
        <v/>
      </c>
      <c r="S214" s="77" t="n">
        <f aca="false">IF($R214="",0,IF(MATCH($R214,$R$5:$R$904,0)=ROW()-4,1,0))</f>
        <v>0</v>
      </c>
      <c r="T214" s="77" t="n">
        <f aca="false">N(T213)+$S214</f>
        <v>18</v>
      </c>
    </row>
    <row r="215" customFormat="false" ht="13.5" hidden="false" customHeight="false" outlineLevel="0" collapsed="false">
      <c r="A215" s="9" t="str">
        <f aca="false">IF($B215="","",ROW()-4)</f>
        <v/>
      </c>
      <c r="B215" s="39" t="str">
        <f aca="false">IFERROR(INDEX(对接源_01入库吨位!$B$5:$B$304,MATCH(INT((ROW()-5)/3)+1,对接源_01入库吨位!$S$5:$S$304,0)),"")</f>
        <v/>
      </c>
      <c r="C215" s="39" t="str">
        <f aca="false">IFERROR(INDEX(对接源_01入库吨位!$C$5:$C$304,MATCH(INT((ROW()-5)/3)+1,对接源_01入库吨位!$S$5:$S$304,0)),"")</f>
        <v/>
      </c>
      <c r="D215" s="40" t="str">
        <f aca="false">IF($B215="","",IF(MOD(ROW()-5,3)=0,"周转打冷",IF(MOD(ROW()-5,3)=1,"仓储加工","装卸费")))</f>
        <v/>
      </c>
      <c r="E215" s="51" t="str">
        <f aca="false">IF($B215="","",IFERROR(IF($D215="周转打冷",N(INDEX(对接源_01入库吨位!$D$5:$D$304,MATCH(INT((ROW()-5)/3)+1,对接源_01入库吨位!$S$5:$S$304,0))),IF($D215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5" s="41" t="str">
        <f aca="false">IF($B215="","",ROUND(IFERROR(IF($D215="周转打冷",N(INDEX(对接源_01入库吨位!$H$5:$H$304,MATCH(INT((ROW()-5)/3)+1,对接源_01入库吨位!$S$5:$S$304,0))),IF($D215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5" s="52" t="str">
        <f aca="false">IF($B215="","",ROUND(N($F215)/1000,3))</f>
        <v/>
      </c>
      <c r="H215" s="74"/>
      <c r="I215" s="44"/>
      <c r="J215" s="75" t="str">
        <f aca="false">IF($B215="","",IF($H215="按筐数×单价",N($E215),IF($H215="按总重KG×单价",N($F215),IF($H215="按吨位×单价",N($G215),0))))</f>
        <v/>
      </c>
      <c r="K215" s="41" t="str">
        <f aca="false">IF($B215="","",ROUND(N($J215)*N($I215),2))</f>
        <v/>
      </c>
      <c r="L215" s="42"/>
      <c r="M215" s="76"/>
      <c r="N215" s="43"/>
      <c r="R215" s="77" t="str">
        <f aca="false">IF($B215="","",$B215)</f>
        <v/>
      </c>
      <c r="S215" s="77" t="n">
        <f aca="false">IF($R215="",0,IF(MATCH($R215,$R$5:$R$904,0)=ROW()-4,1,0))</f>
        <v>0</v>
      </c>
      <c r="T215" s="77" t="n">
        <f aca="false">N(T214)+$S215</f>
        <v>18</v>
      </c>
    </row>
    <row r="216" customFormat="false" ht="13.5" hidden="false" customHeight="false" outlineLevel="0" collapsed="false">
      <c r="A216" s="9" t="str">
        <f aca="false">IF($B216="","",ROW()-4)</f>
        <v/>
      </c>
      <c r="B216" s="39" t="str">
        <f aca="false">IFERROR(INDEX(对接源_01入库吨位!$B$5:$B$304,MATCH(INT((ROW()-5)/3)+1,对接源_01入库吨位!$S$5:$S$304,0)),"")</f>
        <v/>
      </c>
      <c r="C216" s="39" t="str">
        <f aca="false">IFERROR(INDEX(对接源_01入库吨位!$C$5:$C$304,MATCH(INT((ROW()-5)/3)+1,对接源_01入库吨位!$S$5:$S$304,0)),"")</f>
        <v/>
      </c>
      <c r="D216" s="40" t="str">
        <f aca="false">IF($B216="","",IF(MOD(ROW()-5,3)=0,"周转打冷",IF(MOD(ROW()-5,3)=1,"仓储加工","装卸费")))</f>
        <v/>
      </c>
      <c r="E216" s="51" t="str">
        <f aca="false">IF($B216="","",IFERROR(IF($D216="周转打冷",N(INDEX(对接源_01入库吨位!$D$5:$D$304,MATCH(INT((ROW()-5)/3)+1,对接源_01入库吨位!$S$5:$S$304,0))),IF($D216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6" s="41" t="str">
        <f aca="false">IF($B216="","",ROUND(IFERROR(IF($D216="周转打冷",N(INDEX(对接源_01入库吨位!$H$5:$H$304,MATCH(INT((ROW()-5)/3)+1,对接源_01入库吨位!$S$5:$S$304,0))),IF($D216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6" s="52" t="str">
        <f aca="false">IF($B216="","",ROUND(N($F216)/1000,3))</f>
        <v/>
      </c>
      <c r="H216" s="74"/>
      <c r="I216" s="44"/>
      <c r="J216" s="75" t="str">
        <f aca="false">IF($B216="","",IF($H216="按筐数×单价",N($E216),IF($H216="按总重KG×单价",N($F216),IF($H216="按吨位×单价",N($G216),0))))</f>
        <v/>
      </c>
      <c r="K216" s="41" t="str">
        <f aca="false">IF($B216="","",ROUND(N($J216)*N($I216),2))</f>
        <v/>
      </c>
      <c r="L216" s="42"/>
      <c r="M216" s="76"/>
      <c r="N216" s="43"/>
      <c r="R216" s="77" t="str">
        <f aca="false">IF($B216="","",$B216)</f>
        <v/>
      </c>
      <c r="S216" s="77" t="n">
        <f aca="false">IF($R216="",0,IF(MATCH($R216,$R$5:$R$904,0)=ROW()-4,1,0))</f>
        <v>0</v>
      </c>
      <c r="T216" s="77" t="n">
        <f aca="false">N(T215)+$S216</f>
        <v>18</v>
      </c>
    </row>
    <row r="217" customFormat="false" ht="13.5" hidden="false" customHeight="false" outlineLevel="0" collapsed="false">
      <c r="A217" s="9" t="str">
        <f aca="false">IF($B217="","",ROW()-4)</f>
        <v/>
      </c>
      <c r="B217" s="39" t="str">
        <f aca="false">IFERROR(INDEX(对接源_01入库吨位!$B$5:$B$304,MATCH(INT((ROW()-5)/3)+1,对接源_01入库吨位!$S$5:$S$304,0)),"")</f>
        <v/>
      </c>
      <c r="C217" s="39" t="str">
        <f aca="false">IFERROR(INDEX(对接源_01入库吨位!$C$5:$C$304,MATCH(INT((ROW()-5)/3)+1,对接源_01入库吨位!$S$5:$S$304,0)),"")</f>
        <v/>
      </c>
      <c r="D217" s="40" t="str">
        <f aca="false">IF($B217="","",IF(MOD(ROW()-5,3)=0,"周转打冷",IF(MOD(ROW()-5,3)=1,"仓储加工","装卸费")))</f>
        <v/>
      </c>
      <c r="E217" s="51" t="str">
        <f aca="false">IF($B217="","",IFERROR(IF($D217="周转打冷",N(INDEX(对接源_01入库吨位!$D$5:$D$304,MATCH(INT((ROW()-5)/3)+1,对接源_01入库吨位!$S$5:$S$304,0))),IF($D217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7" s="41" t="str">
        <f aca="false">IF($B217="","",ROUND(IFERROR(IF($D217="周转打冷",N(INDEX(对接源_01入库吨位!$H$5:$H$304,MATCH(INT((ROW()-5)/3)+1,对接源_01入库吨位!$S$5:$S$304,0))),IF($D217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7" s="52" t="str">
        <f aca="false">IF($B217="","",ROUND(N($F217)/1000,3))</f>
        <v/>
      </c>
      <c r="H217" s="74"/>
      <c r="I217" s="44"/>
      <c r="J217" s="75" t="str">
        <f aca="false">IF($B217="","",IF($H217="按筐数×单价",N($E217),IF($H217="按总重KG×单价",N($F217),IF($H217="按吨位×单价",N($G217),0))))</f>
        <v/>
      </c>
      <c r="K217" s="41" t="str">
        <f aca="false">IF($B217="","",ROUND(N($J217)*N($I217),2))</f>
        <v/>
      </c>
      <c r="L217" s="42"/>
      <c r="M217" s="76"/>
      <c r="N217" s="43"/>
      <c r="R217" s="77" t="str">
        <f aca="false">IF($B217="","",$B217)</f>
        <v/>
      </c>
      <c r="S217" s="77" t="n">
        <f aca="false">IF($R217="",0,IF(MATCH($R217,$R$5:$R$904,0)=ROW()-4,1,0))</f>
        <v>0</v>
      </c>
      <c r="T217" s="77" t="n">
        <f aca="false">N(T216)+$S217</f>
        <v>18</v>
      </c>
    </row>
    <row r="218" customFormat="false" ht="13.5" hidden="false" customHeight="false" outlineLevel="0" collapsed="false">
      <c r="A218" s="9" t="str">
        <f aca="false">IF($B218="","",ROW()-4)</f>
        <v/>
      </c>
      <c r="B218" s="39" t="str">
        <f aca="false">IFERROR(INDEX(对接源_01入库吨位!$B$5:$B$304,MATCH(INT((ROW()-5)/3)+1,对接源_01入库吨位!$S$5:$S$304,0)),"")</f>
        <v/>
      </c>
      <c r="C218" s="39" t="str">
        <f aca="false">IFERROR(INDEX(对接源_01入库吨位!$C$5:$C$304,MATCH(INT((ROW()-5)/3)+1,对接源_01入库吨位!$S$5:$S$304,0)),"")</f>
        <v/>
      </c>
      <c r="D218" s="40" t="str">
        <f aca="false">IF($B218="","",IF(MOD(ROW()-5,3)=0,"周转打冷",IF(MOD(ROW()-5,3)=1,"仓储加工","装卸费")))</f>
        <v/>
      </c>
      <c r="E218" s="51" t="str">
        <f aca="false">IF($B218="","",IFERROR(IF($D218="周转打冷",N(INDEX(对接源_01入库吨位!$D$5:$D$304,MATCH(INT((ROW()-5)/3)+1,对接源_01入库吨位!$S$5:$S$304,0))),IF($D218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8" s="41" t="str">
        <f aca="false">IF($B218="","",ROUND(IFERROR(IF($D218="周转打冷",N(INDEX(对接源_01入库吨位!$H$5:$H$304,MATCH(INT((ROW()-5)/3)+1,对接源_01入库吨位!$S$5:$S$304,0))),IF($D218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8" s="52" t="str">
        <f aca="false">IF($B218="","",ROUND(N($F218)/1000,3))</f>
        <v/>
      </c>
      <c r="H218" s="74"/>
      <c r="I218" s="44"/>
      <c r="J218" s="75" t="str">
        <f aca="false">IF($B218="","",IF($H218="按筐数×单价",N($E218),IF($H218="按总重KG×单价",N($F218),IF($H218="按吨位×单价",N($G218),0))))</f>
        <v/>
      </c>
      <c r="K218" s="41" t="str">
        <f aca="false">IF($B218="","",ROUND(N($J218)*N($I218),2))</f>
        <v/>
      </c>
      <c r="L218" s="42"/>
      <c r="M218" s="76"/>
      <c r="N218" s="43"/>
      <c r="R218" s="77" t="str">
        <f aca="false">IF($B218="","",$B218)</f>
        <v/>
      </c>
      <c r="S218" s="77" t="n">
        <f aca="false">IF($R218="",0,IF(MATCH($R218,$R$5:$R$904,0)=ROW()-4,1,0))</f>
        <v>0</v>
      </c>
      <c r="T218" s="77" t="n">
        <f aca="false">N(T217)+$S218</f>
        <v>18</v>
      </c>
    </row>
    <row r="219" customFormat="false" ht="13.5" hidden="false" customHeight="false" outlineLevel="0" collapsed="false">
      <c r="A219" s="9" t="str">
        <f aca="false">IF($B219="","",ROW()-4)</f>
        <v/>
      </c>
      <c r="B219" s="39" t="str">
        <f aca="false">IFERROR(INDEX(对接源_01入库吨位!$B$5:$B$304,MATCH(INT((ROW()-5)/3)+1,对接源_01入库吨位!$S$5:$S$304,0)),"")</f>
        <v/>
      </c>
      <c r="C219" s="39" t="str">
        <f aca="false">IFERROR(INDEX(对接源_01入库吨位!$C$5:$C$304,MATCH(INT((ROW()-5)/3)+1,对接源_01入库吨位!$S$5:$S$304,0)),"")</f>
        <v/>
      </c>
      <c r="D219" s="40" t="str">
        <f aca="false">IF($B219="","",IF(MOD(ROW()-5,3)=0,"周转打冷",IF(MOD(ROW()-5,3)=1,"仓储加工","装卸费")))</f>
        <v/>
      </c>
      <c r="E219" s="51" t="str">
        <f aca="false">IF($B219="","",IFERROR(IF($D219="周转打冷",N(INDEX(对接源_01入库吨位!$D$5:$D$304,MATCH(INT((ROW()-5)/3)+1,对接源_01入库吨位!$S$5:$S$304,0))),IF($D219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19" s="41" t="str">
        <f aca="false">IF($B219="","",ROUND(IFERROR(IF($D219="周转打冷",N(INDEX(对接源_01入库吨位!$H$5:$H$304,MATCH(INT((ROW()-5)/3)+1,对接源_01入库吨位!$S$5:$S$304,0))),IF($D219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19" s="52" t="str">
        <f aca="false">IF($B219="","",ROUND(N($F219)/1000,3))</f>
        <v/>
      </c>
      <c r="H219" s="74"/>
      <c r="I219" s="44"/>
      <c r="J219" s="75" t="str">
        <f aca="false">IF($B219="","",IF($H219="按筐数×单价",N($E219),IF($H219="按总重KG×单价",N($F219),IF($H219="按吨位×单价",N($G219),0))))</f>
        <v/>
      </c>
      <c r="K219" s="41" t="str">
        <f aca="false">IF($B219="","",ROUND(N($J219)*N($I219),2))</f>
        <v/>
      </c>
      <c r="L219" s="42"/>
      <c r="M219" s="76"/>
      <c r="N219" s="43"/>
      <c r="R219" s="77" t="str">
        <f aca="false">IF($B219="","",$B219)</f>
        <v/>
      </c>
      <c r="S219" s="77" t="n">
        <f aca="false">IF($R219="",0,IF(MATCH($R219,$R$5:$R$904,0)=ROW()-4,1,0))</f>
        <v>0</v>
      </c>
      <c r="T219" s="77" t="n">
        <f aca="false">N(T218)+$S219</f>
        <v>18</v>
      </c>
    </row>
    <row r="220" customFormat="false" ht="13.5" hidden="false" customHeight="false" outlineLevel="0" collapsed="false">
      <c r="A220" s="9" t="str">
        <f aca="false">IF($B220="","",ROW()-4)</f>
        <v/>
      </c>
      <c r="B220" s="39" t="str">
        <f aca="false">IFERROR(INDEX(对接源_01入库吨位!$B$5:$B$304,MATCH(INT((ROW()-5)/3)+1,对接源_01入库吨位!$S$5:$S$304,0)),"")</f>
        <v/>
      </c>
      <c r="C220" s="39" t="str">
        <f aca="false">IFERROR(INDEX(对接源_01入库吨位!$C$5:$C$304,MATCH(INT((ROW()-5)/3)+1,对接源_01入库吨位!$S$5:$S$304,0)),"")</f>
        <v/>
      </c>
      <c r="D220" s="40" t="str">
        <f aca="false">IF($B220="","",IF(MOD(ROW()-5,3)=0,"周转打冷",IF(MOD(ROW()-5,3)=1,"仓储加工","装卸费")))</f>
        <v/>
      </c>
      <c r="E220" s="51" t="str">
        <f aca="false">IF($B220="","",IFERROR(IF($D220="周转打冷",N(INDEX(对接源_01入库吨位!$D$5:$D$304,MATCH(INT((ROW()-5)/3)+1,对接源_01入库吨位!$S$5:$S$304,0))),IF($D220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0" s="41" t="str">
        <f aca="false">IF($B220="","",ROUND(IFERROR(IF($D220="周转打冷",N(INDEX(对接源_01入库吨位!$H$5:$H$304,MATCH(INT((ROW()-5)/3)+1,对接源_01入库吨位!$S$5:$S$304,0))),IF($D220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0" s="52" t="str">
        <f aca="false">IF($B220="","",ROUND(N($F220)/1000,3))</f>
        <v/>
      </c>
      <c r="H220" s="74"/>
      <c r="I220" s="44"/>
      <c r="J220" s="75" t="str">
        <f aca="false">IF($B220="","",IF($H220="按筐数×单价",N($E220),IF($H220="按总重KG×单价",N($F220),IF($H220="按吨位×单价",N($G220),0))))</f>
        <v/>
      </c>
      <c r="K220" s="41" t="str">
        <f aca="false">IF($B220="","",ROUND(N($J220)*N($I220),2))</f>
        <v/>
      </c>
      <c r="L220" s="42"/>
      <c r="M220" s="76"/>
      <c r="N220" s="43"/>
      <c r="R220" s="77" t="str">
        <f aca="false">IF($B220="","",$B220)</f>
        <v/>
      </c>
      <c r="S220" s="77" t="n">
        <f aca="false">IF($R220="",0,IF(MATCH($R220,$R$5:$R$904,0)=ROW()-4,1,0))</f>
        <v>0</v>
      </c>
      <c r="T220" s="77" t="n">
        <f aca="false">N(T219)+$S220</f>
        <v>18</v>
      </c>
    </row>
    <row r="221" customFormat="false" ht="13.5" hidden="false" customHeight="false" outlineLevel="0" collapsed="false">
      <c r="A221" s="9" t="str">
        <f aca="false">IF($B221="","",ROW()-4)</f>
        <v/>
      </c>
      <c r="B221" s="39" t="str">
        <f aca="false">IFERROR(INDEX(对接源_01入库吨位!$B$5:$B$304,MATCH(INT((ROW()-5)/3)+1,对接源_01入库吨位!$S$5:$S$304,0)),"")</f>
        <v/>
      </c>
      <c r="C221" s="39" t="str">
        <f aca="false">IFERROR(INDEX(对接源_01入库吨位!$C$5:$C$304,MATCH(INT((ROW()-5)/3)+1,对接源_01入库吨位!$S$5:$S$304,0)),"")</f>
        <v/>
      </c>
      <c r="D221" s="40" t="str">
        <f aca="false">IF($B221="","",IF(MOD(ROW()-5,3)=0,"周转打冷",IF(MOD(ROW()-5,3)=1,"仓储加工","装卸费")))</f>
        <v/>
      </c>
      <c r="E221" s="51" t="str">
        <f aca="false">IF($B221="","",IFERROR(IF($D221="周转打冷",N(INDEX(对接源_01入库吨位!$D$5:$D$304,MATCH(INT((ROW()-5)/3)+1,对接源_01入库吨位!$S$5:$S$304,0))),IF($D221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1" s="41" t="str">
        <f aca="false">IF($B221="","",ROUND(IFERROR(IF($D221="周转打冷",N(INDEX(对接源_01入库吨位!$H$5:$H$304,MATCH(INT((ROW()-5)/3)+1,对接源_01入库吨位!$S$5:$S$304,0))),IF($D221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1" s="52" t="str">
        <f aca="false">IF($B221="","",ROUND(N($F221)/1000,3))</f>
        <v/>
      </c>
      <c r="H221" s="74"/>
      <c r="I221" s="44"/>
      <c r="J221" s="75" t="str">
        <f aca="false">IF($B221="","",IF($H221="按筐数×单价",N($E221),IF($H221="按总重KG×单价",N($F221),IF($H221="按吨位×单价",N($G221),0))))</f>
        <v/>
      </c>
      <c r="K221" s="41" t="str">
        <f aca="false">IF($B221="","",ROUND(N($J221)*N($I221),2))</f>
        <v/>
      </c>
      <c r="L221" s="42"/>
      <c r="M221" s="76"/>
      <c r="N221" s="43"/>
      <c r="R221" s="77" t="str">
        <f aca="false">IF($B221="","",$B221)</f>
        <v/>
      </c>
      <c r="S221" s="77" t="n">
        <f aca="false">IF($R221="",0,IF(MATCH($R221,$R$5:$R$904,0)=ROW()-4,1,0))</f>
        <v>0</v>
      </c>
      <c r="T221" s="77" t="n">
        <f aca="false">N(T220)+$S221</f>
        <v>18</v>
      </c>
    </row>
    <row r="222" customFormat="false" ht="13.5" hidden="false" customHeight="false" outlineLevel="0" collapsed="false">
      <c r="A222" s="9" t="str">
        <f aca="false">IF($B222="","",ROW()-4)</f>
        <v/>
      </c>
      <c r="B222" s="39" t="str">
        <f aca="false">IFERROR(INDEX(对接源_01入库吨位!$B$5:$B$304,MATCH(INT((ROW()-5)/3)+1,对接源_01入库吨位!$S$5:$S$304,0)),"")</f>
        <v/>
      </c>
      <c r="C222" s="39" t="str">
        <f aca="false">IFERROR(INDEX(对接源_01入库吨位!$C$5:$C$304,MATCH(INT((ROW()-5)/3)+1,对接源_01入库吨位!$S$5:$S$304,0)),"")</f>
        <v/>
      </c>
      <c r="D222" s="40" t="str">
        <f aca="false">IF($B222="","",IF(MOD(ROW()-5,3)=0,"周转打冷",IF(MOD(ROW()-5,3)=1,"仓储加工","装卸费")))</f>
        <v/>
      </c>
      <c r="E222" s="51" t="str">
        <f aca="false">IF($B222="","",IFERROR(IF($D222="周转打冷",N(INDEX(对接源_01入库吨位!$D$5:$D$304,MATCH(INT((ROW()-5)/3)+1,对接源_01入库吨位!$S$5:$S$304,0))),IF($D222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2" s="41" t="str">
        <f aca="false">IF($B222="","",ROUND(IFERROR(IF($D222="周转打冷",N(INDEX(对接源_01入库吨位!$H$5:$H$304,MATCH(INT((ROW()-5)/3)+1,对接源_01入库吨位!$S$5:$S$304,0))),IF($D222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2" s="52" t="str">
        <f aca="false">IF($B222="","",ROUND(N($F222)/1000,3))</f>
        <v/>
      </c>
      <c r="H222" s="74"/>
      <c r="I222" s="44"/>
      <c r="J222" s="75" t="str">
        <f aca="false">IF($B222="","",IF($H222="按筐数×单价",N($E222),IF($H222="按总重KG×单价",N($F222),IF($H222="按吨位×单价",N($G222),0))))</f>
        <v/>
      </c>
      <c r="K222" s="41" t="str">
        <f aca="false">IF($B222="","",ROUND(N($J222)*N($I222),2))</f>
        <v/>
      </c>
      <c r="L222" s="42"/>
      <c r="M222" s="76"/>
      <c r="N222" s="43"/>
      <c r="R222" s="77" t="str">
        <f aca="false">IF($B222="","",$B222)</f>
        <v/>
      </c>
      <c r="S222" s="77" t="n">
        <f aca="false">IF($R222="",0,IF(MATCH($R222,$R$5:$R$904,0)=ROW()-4,1,0))</f>
        <v>0</v>
      </c>
      <c r="T222" s="77" t="n">
        <f aca="false">N(T221)+$S222</f>
        <v>18</v>
      </c>
    </row>
    <row r="223" customFormat="false" ht="13.5" hidden="false" customHeight="false" outlineLevel="0" collapsed="false">
      <c r="A223" s="9" t="str">
        <f aca="false">IF($B223="","",ROW()-4)</f>
        <v/>
      </c>
      <c r="B223" s="39" t="str">
        <f aca="false">IFERROR(INDEX(对接源_01入库吨位!$B$5:$B$304,MATCH(INT((ROW()-5)/3)+1,对接源_01入库吨位!$S$5:$S$304,0)),"")</f>
        <v/>
      </c>
      <c r="C223" s="39" t="str">
        <f aca="false">IFERROR(INDEX(对接源_01入库吨位!$C$5:$C$304,MATCH(INT((ROW()-5)/3)+1,对接源_01入库吨位!$S$5:$S$304,0)),"")</f>
        <v/>
      </c>
      <c r="D223" s="40" t="str">
        <f aca="false">IF($B223="","",IF(MOD(ROW()-5,3)=0,"周转打冷",IF(MOD(ROW()-5,3)=1,"仓储加工","装卸费")))</f>
        <v/>
      </c>
      <c r="E223" s="51" t="str">
        <f aca="false">IF($B223="","",IFERROR(IF($D223="周转打冷",N(INDEX(对接源_01入库吨位!$D$5:$D$304,MATCH(INT((ROW()-5)/3)+1,对接源_01入库吨位!$S$5:$S$304,0))),IF($D223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3" s="41" t="str">
        <f aca="false">IF($B223="","",ROUND(IFERROR(IF($D223="周转打冷",N(INDEX(对接源_01入库吨位!$H$5:$H$304,MATCH(INT((ROW()-5)/3)+1,对接源_01入库吨位!$S$5:$S$304,0))),IF($D223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3" s="52" t="str">
        <f aca="false">IF($B223="","",ROUND(N($F223)/1000,3))</f>
        <v/>
      </c>
      <c r="H223" s="74"/>
      <c r="I223" s="44"/>
      <c r="J223" s="75" t="str">
        <f aca="false">IF($B223="","",IF($H223="按筐数×单价",N($E223),IF($H223="按总重KG×单价",N($F223),IF($H223="按吨位×单价",N($G223),0))))</f>
        <v/>
      </c>
      <c r="K223" s="41" t="str">
        <f aca="false">IF($B223="","",ROUND(N($J223)*N($I223),2))</f>
        <v/>
      </c>
      <c r="L223" s="42"/>
      <c r="M223" s="76"/>
      <c r="N223" s="43"/>
      <c r="R223" s="77" t="str">
        <f aca="false">IF($B223="","",$B223)</f>
        <v/>
      </c>
      <c r="S223" s="77" t="n">
        <f aca="false">IF($R223="",0,IF(MATCH($R223,$R$5:$R$904,0)=ROW()-4,1,0))</f>
        <v>0</v>
      </c>
      <c r="T223" s="77" t="n">
        <f aca="false">N(T222)+$S223</f>
        <v>18</v>
      </c>
    </row>
    <row r="224" customFormat="false" ht="13.5" hidden="false" customHeight="false" outlineLevel="0" collapsed="false">
      <c r="A224" s="9" t="str">
        <f aca="false">IF($B224="","",ROW()-4)</f>
        <v/>
      </c>
      <c r="B224" s="39" t="str">
        <f aca="false">IFERROR(INDEX(对接源_01入库吨位!$B$5:$B$304,MATCH(INT((ROW()-5)/3)+1,对接源_01入库吨位!$S$5:$S$304,0)),"")</f>
        <v/>
      </c>
      <c r="C224" s="39" t="str">
        <f aca="false">IFERROR(INDEX(对接源_01入库吨位!$C$5:$C$304,MATCH(INT((ROW()-5)/3)+1,对接源_01入库吨位!$S$5:$S$304,0)),"")</f>
        <v/>
      </c>
      <c r="D224" s="40" t="str">
        <f aca="false">IF($B224="","",IF(MOD(ROW()-5,3)=0,"周转打冷",IF(MOD(ROW()-5,3)=1,"仓储加工","装卸费")))</f>
        <v/>
      </c>
      <c r="E224" s="51" t="str">
        <f aca="false">IF($B224="","",IFERROR(IF($D224="周转打冷",N(INDEX(对接源_01入库吨位!$D$5:$D$304,MATCH(INT((ROW()-5)/3)+1,对接源_01入库吨位!$S$5:$S$304,0))),IF($D224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4" s="41" t="str">
        <f aca="false">IF($B224="","",ROUND(IFERROR(IF($D224="周转打冷",N(INDEX(对接源_01入库吨位!$H$5:$H$304,MATCH(INT((ROW()-5)/3)+1,对接源_01入库吨位!$S$5:$S$304,0))),IF($D224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4" s="52" t="str">
        <f aca="false">IF($B224="","",ROUND(N($F224)/1000,3))</f>
        <v/>
      </c>
      <c r="H224" s="74"/>
      <c r="I224" s="44"/>
      <c r="J224" s="75" t="str">
        <f aca="false">IF($B224="","",IF($H224="按筐数×单价",N($E224),IF($H224="按总重KG×单价",N($F224),IF($H224="按吨位×单价",N($G224),0))))</f>
        <v/>
      </c>
      <c r="K224" s="41" t="str">
        <f aca="false">IF($B224="","",ROUND(N($J224)*N($I224),2))</f>
        <v/>
      </c>
      <c r="L224" s="42"/>
      <c r="M224" s="76"/>
      <c r="N224" s="43"/>
      <c r="R224" s="77" t="str">
        <f aca="false">IF($B224="","",$B224)</f>
        <v/>
      </c>
      <c r="S224" s="77" t="n">
        <f aca="false">IF($R224="",0,IF(MATCH($R224,$R$5:$R$904,0)=ROW()-4,1,0))</f>
        <v>0</v>
      </c>
      <c r="T224" s="77" t="n">
        <f aca="false">N(T223)+$S224</f>
        <v>18</v>
      </c>
    </row>
    <row r="225" customFormat="false" ht="13.5" hidden="false" customHeight="false" outlineLevel="0" collapsed="false">
      <c r="A225" s="9" t="str">
        <f aca="false">IF($B225="","",ROW()-4)</f>
        <v/>
      </c>
      <c r="B225" s="39" t="str">
        <f aca="false">IFERROR(INDEX(对接源_01入库吨位!$B$5:$B$304,MATCH(INT((ROW()-5)/3)+1,对接源_01入库吨位!$S$5:$S$304,0)),"")</f>
        <v/>
      </c>
      <c r="C225" s="39" t="str">
        <f aca="false">IFERROR(INDEX(对接源_01入库吨位!$C$5:$C$304,MATCH(INT((ROW()-5)/3)+1,对接源_01入库吨位!$S$5:$S$304,0)),"")</f>
        <v/>
      </c>
      <c r="D225" s="40" t="str">
        <f aca="false">IF($B225="","",IF(MOD(ROW()-5,3)=0,"周转打冷",IF(MOD(ROW()-5,3)=1,"仓储加工","装卸费")))</f>
        <v/>
      </c>
      <c r="E225" s="51" t="str">
        <f aca="false">IF($B225="","",IFERROR(IF($D225="周转打冷",N(INDEX(对接源_01入库吨位!$D$5:$D$304,MATCH(INT((ROW()-5)/3)+1,对接源_01入库吨位!$S$5:$S$304,0))),IF($D225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5" s="41" t="str">
        <f aca="false">IF($B225="","",ROUND(IFERROR(IF($D225="周转打冷",N(INDEX(对接源_01入库吨位!$H$5:$H$304,MATCH(INT((ROW()-5)/3)+1,对接源_01入库吨位!$S$5:$S$304,0))),IF($D225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5" s="52" t="str">
        <f aca="false">IF($B225="","",ROUND(N($F225)/1000,3))</f>
        <v/>
      </c>
      <c r="H225" s="74"/>
      <c r="I225" s="44"/>
      <c r="J225" s="75" t="str">
        <f aca="false">IF($B225="","",IF($H225="按筐数×单价",N($E225),IF($H225="按总重KG×单价",N($F225),IF($H225="按吨位×单价",N($G225),0))))</f>
        <v/>
      </c>
      <c r="K225" s="41" t="str">
        <f aca="false">IF($B225="","",ROUND(N($J225)*N($I225),2))</f>
        <v/>
      </c>
      <c r="L225" s="42"/>
      <c r="M225" s="76"/>
      <c r="N225" s="43"/>
      <c r="R225" s="77" t="str">
        <f aca="false">IF($B225="","",$B225)</f>
        <v/>
      </c>
      <c r="S225" s="77" t="n">
        <f aca="false">IF($R225="",0,IF(MATCH($R225,$R$5:$R$904,0)=ROW()-4,1,0))</f>
        <v>0</v>
      </c>
      <c r="T225" s="77" t="n">
        <f aca="false">N(T224)+$S225</f>
        <v>18</v>
      </c>
    </row>
    <row r="226" customFormat="false" ht="13.5" hidden="false" customHeight="false" outlineLevel="0" collapsed="false">
      <c r="A226" s="9" t="str">
        <f aca="false">IF($B226="","",ROW()-4)</f>
        <v/>
      </c>
      <c r="B226" s="39" t="str">
        <f aca="false">IFERROR(INDEX(对接源_01入库吨位!$B$5:$B$304,MATCH(INT((ROW()-5)/3)+1,对接源_01入库吨位!$S$5:$S$304,0)),"")</f>
        <v/>
      </c>
      <c r="C226" s="39" t="str">
        <f aca="false">IFERROR(INDEX(对接源_01入库吨位!$C$5:$C$304,MATCH(INT((ROW()-5)/3)+1,对接源_01入库吨位!$S$5:$S$304,0)),"")</f>
        <v/>
      </c>
      <c r="D226" s="40" t="str">
        <f aca="false">IF($B226="","",IF(MOD(ROW()-5,3)=0,"周转打冷",IF(MOD(ROW()-5,3)=1,"仓储加工","装卸费")))</f>
        <v/>
      </c>
      <c r="E226" s="51" t="str">
        <f aca="false">IF($B226="","",IFERROR(IF($D226="周转打冷",N(INDEX(对接源_01入库吨位!$D$5:$D$304,MATCH(INT((ROW()-5)/3)+1,对接源_01入库吨位!$S$5:$S$304,0))),IF($D226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6" s="41" t="str">
        <f aca="false">IF($B226="","",ROUND(IFERROR(IF($D226="周转打冷",N(INDEX(对接源_01入库吨位!$H$5:$H$304,MATCH(INT((ROW()-5)/3)+1,对接源_01入库吨位!$S$5:$S$304,0))),IF($D226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6" s="52" t="str">
        <f aca="false">IF($B226="","",ROUND(N($F226)/1000,3))</f>
        <v/>
      </c>
      <c r="H226" s="74"/>
      <c r="I226" s="44"/>
      <c r="J226" s="75" t="str">
        <f aca="false">IF($B226="","",IF($H226="按筐数×单价",N($E226),IF($H226="按总重KG×单价",N($F226),IF($H226="按吨位×单价",N($G226),0))))</f>
        <v/>
      </c>
      <c r="K226" s="41" t="str">
        <f aca="false">IF($B226="","",ROUND(N($J226)*N($I226),2))</f>
        <v/>
      </c>
      <c r="L226" s="42"/>
      <c r="M226" s="76"/>
      <c r="N226" s="43"/>
      <c r="R226" s="77" t="str">
        <f aca="false">IF($B226="","",$B226)</f>
        <v/>
      </c>
      <c r="S226" s="77" t="n">
        <f aca="false">IF($R226="",0,IF(MATCH($R226,$R$5:$R$904,0)=ROW()-4,1,0))</f>
        <v>0</v>
      </c>
      <c r="T226" s="77" t="n">
        <f aca="false">N(T225)+$S226</f>
        <v>18</v>
      </c>
    </row>
    <row r="227" customFormat="false" ht="13.5" hidden="false" customHeight="false" outlineLevel="0" collapsed="false">
      <c r="A227" s="9" t="str">
        <f aca="false">IF($B227="","",ROW()-4)</f>
        <v/>
      </c>
      <c r="B227" s="39" t="str">
        <f aca="false">IFERROR(INDEX(对接源_01入库吨位!$B$5:$B$304,MATCH(INT((ROW()-5)/3)+1,对接源_01入库吨位!$S$5:$S$304,0)),"")</f>
        <v/>
      </c>
      <c r="C227" s="39" t="str">
        <f aca="false">IFERROR(INDEX(对接源_01入库吨位!$C$5:$C$304,MATCH(INT((ROW()-5)/3)+1,对接源_01入库吨位!$S$5:$S$304,0)),"")</f>
        <v/>
      </c>
      <c r="D227" s="40" t="str">
        <f aca="false">IF($B227="","",IF(MOD(ROW()-5,3)=0,"周转打冷",IF(MOD(ROW()-5,3)=1,"仓储加工","装卸费")))</f>
        <v/>
      </c>
      <c r="E227" s="51" t="str">
        <f aca="false">IF($B227="","",IFERROR(IF($D227="周转打冷",N(INDEX(对接源_01入库吨位!$D$5:$D$304,MATCH(INT((ROW()-5)/3)+1,对接源_01入库吨位!$S$5:$S$304,0))),IF($D227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7" s="41" t="str">
        <f aca="false">IF($B227="","",ROUND(IFERROR(IF($D227="周转打冷",N(INDEX(对接源_01入库吨位!$H$5:$H$304,MATCH(INT((ROW()-5)/3)+1,对接源_01入库吨位!$S$5:$S$304,0))),IF($D227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7" s="52" t="str">
        <f aca="false">IF($B227="","",ROUND(N($F227)/1000,3))</f>
        <v/>
      </c>
      <c r="H227" s="74"/>
      <c r="I227" s="44"/>
      <c r="J227" s="75" t="str">
        <f aca="false">IF($B227="","",IF($H227="按筐数×单价",N($E227),IF($H227="按总重KG×单价",N($F227),IF($H227="按吨位×单价",N($G227),0))))</f>
        <v/>
      </c>
      <c r="K227" s="41" t="str">
        <f aca="false">IF($B227="","",ROUND(N($J227)*N($I227),2))</f>
        <v/>
      </c>
      <c r="L227" s="42"/>
      <c r="M227" s="76"/>
      <c r="N227" s="43"/>
      <c r="R227" s="77" t="str">
        <f aca="false">IF($B227="","",$B227)</f>
        <v/>
      </c>
      <c r="S227" s="77" t="n">
        <f aca="false">IF($R227="",0,IF(MATCH($R227,$R$5:$R$904,0)=ROW()-4,1,0))</f>
        <v>0</v>
      </c>
      <c r="T227" s="77" t="n">
        <f aca="false">N(T226)+$S227</f>
        <v>18</v>
      </c>
    </row>
    <row r="228" customFormat="false" ht="13.5" hidden="false" customHeight="false" outlineLevel="0" collapsed="false">
      <c r="A228" s="9" t="str">
        <f aca="false">IF($B228="","",ROW()-4)</f>
        <v/>
      </c>
      <c r="B228" s="39" t="str">
        <f aca="false">IFERROR(INDEX(对接源_01入库吨位!$B$5:$B$304,MATCH(INT((ROW()-5)/3)+1,对接源_01入库吨位!$S$5:$S$304,0)),"")</f>
        <v/>
      </c>
      <c r="C228" s="39" t="str">
        <f aca="false">IFERROR(INDEX(对接源_01入库吨位!$C$5:$C$304,MATCH(INT((ROW()-5)/3)+1,对接源_01入库吨位!$S$5:$S$304,0)),"")</f>
        <v/>
      </c>
      <c r="D228" s="40" t="str">
        <f aca="false">IF($B228="","",IF(MOD(ROW()-5,3)=0,"周转打冷",IF(MOD(ROW()-5,3)=1,"仓储加工","装卸费")))</f>
        <v/>
      </c>
      <c r="E228" s="51" t="str">
        <f aca="false">IF($B228="","",IFERROR(IF($D228="周转打冷",N(INDEX(对接源_01入库吨位!$D$5:$D$304,MATCH(INT((ROW()-5)/3)+1,对接源_01入库吨位!$S$5:$S$304,0))),IF($D228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8" s="41" t="str">
        <f aca="false">IF($B228="","",ROUND(IFERROR(IF($D228="周转打冷",N(INDEX(对接源_01入库吨位!$H$5:$H$304,MATCH(INT((ROW()-5)/3)+1,对接源_01入库吨位!$S$5:$S$304,0))),IF($D228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8" s="52" t="str">
        <f aca="false">IF($B228="","",ROUND(N($F228)/1000,3))</f>
        <v/>
      </c>
      <c r="H228" s="74"/>
      <c r="I228" s="44"/>
      <c r="J228" s="75" t="str">
        <f aca="false">IF($B228="","",IF($H228="按筐数×单价",N($E228),IF($H228="按总重KG×单价",N($F228),IF($H228="按吨位×单价",N($G228),0))))</f>
        <v/>
      </c>
      <c r="K228" s="41" t="str">
        <f aca="false">IF($B228="","",ROUND(N($J228)*N($I228),2))</f>
        <v/>
      </c>
      <c r="L228" s="42"/>
      <c r="M228" s="76"/>
      <c r="N228" s="43"/>
      <c r="R228" s="77" t="str">
        <f aca="false">IF($B228="","",$B228)</f>
        <v/>
      </c>
      <c r="S228" s="77" t="n">
        <f aca="false">IF($R228="",0,IF(MATCH($R228,$R$5:$R$904,0)=ROW()-4,1,0))</f>
        <v>0</v>
      </c>
      <c r="T228" s="77" t="n">
        <f aca="false">N(T227)+$S228</f>
        <v>18</v>
      </c>
    </row>
    <row r="229" customFormat="false" ht="13.5" hidden="false" customHeight="false" outlineLevel="0" collapsed="false">
      <c r="A229" s="9" t="str">
        <f aca="false">IF($B229="","",ROW()-4)</f>
        <v/>
      </c>
      <c r="B229" s="39" t="str">
        <f aca="false">IFERROR(INDEX(对接源_01入库吨位!$B$5:$B$304,MATCH(INT((ROW()-5)/3)+1,对接源_01入库吨位!$S$5:$S$304,0)),"")</f>
        <v/>
      </c>
      <c r="C229" s="39" t="str">
        <f aca="false">IFERROR(INDEX(对接源_01入库吨位!$C$5:$C$304,MATCH(INT((ROW()-5)/3)+1,对接源_01入库吨位!$S$5:$S$304,0)),"")</f>
        <v/>
      </c>
      <c r="D229" s="40" t="str">
        <f aca="false">IF($B229="","",IF(MOD(ROW()-5,3)=0,"周转打冷",IF(MOD(ROW()-5,3)=1,"仓储加工","装卸费")))</f>
        <v/>
      </c>
      <c r="E229" s="51" t="str">
        <f aca="false">IF($B229="","",IFERROR(IF($D229="周转打冷",N(INDEX(对接源_01入库吨位!$D$5:$D$304,MATCH(INT((ROW()-5)/3)+1,对接源_01入库吨位!$S$5:$S$304,0))),IF($D229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29" s="41" t="str">
        <f aca="false">IF($B229="","",ROUND(IFERROR(IF($D229="周转打冷",N(INDEX(对接源_01入库吨位!$H$5:$H$304,MATCH(INT((ROW()-5)/3)+1,对接源_01入库吨位!$S$5:$S$304,0))),IF($D229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29" s="52" t="str">
        <f aca="false">IF($B229="","",ROUND(N($F229)/1000,3))</f>
        <v/>
      </c>
      <c r="H229" s="74"/>
      <c r="I229" s="44"/>
      <c r="J229" s="75" t="str">
        <f aca="false">IF($B229="","",IF($H229="按筐数×单价",N($E229),IF($H229="按总重KG×单价",N($F229),IF($H229="按吨位×单价",N($G229),0))))</f>
        <v/>
      </c>
      <c r="K229" s="41" t="str">
        <f aca="false">IF($B229="","",ROUND(N($J229)*N($I229),2))</f>
        <v/>
      </c>
      <c r="L229" s="42"/>
      <c r="M229" s="76"/>
      <c r="N229" s="43"/>
      <c r="R229" s="77" t="str">
        <f aca="false">IF($B229="","",$B229)</f>
        <v/>
      </c>
      <c r="S229" s="77" t="n">
        <f aca="false">IF($R229="",0,IF(MATCH($R229,$R$5:$R$904,0)=ROW()-4,1,0))</f>
        <v>0</v>
      </c>
      <c r="T229" s="77" t="n">
        <f aca="false">N(T228)+$S229</f>
        <v>18</v>
      </c>
    </row>
    <row r="230" customFormat="false" ht="13.5" hidden="false" customHeight="false" outlineLevel="0" collapsed="false">
      <c r="A230" s="9" t="str">
        <f aca="false">IF($B230="","",ROW()-4)</f>
        <v/>
      </c>
      <c r="B230" s="39" t="str">
        <f aca="false">IFERROR(INDEX(对接源_01入库吨位!$B$5:$B$304,MATCH(INT((ROW()-5)/3)+1,对接源_01入库吨位!$S$5:$S$304,0)),"")</f>
        <v/>
      </c>
      <c r="C230" s="39" t="str">
        <f aca="false">IFERROR(INDEX(对接源_01入库吨位!$C$5:$C$304,MATCH(INT((ROW()-5)/3)+1,对接源_01入库吨位!$S$5:$S$304,0)),"")</f>
        <v/>
      </c>
      <c r="D230" s="40" t="str">
        <f aca="false">IF($B230="","",IF(MOD(ROW()-5,3)=0,"周转打冷",IF(MOD(ROW()-5,3)=1,"仓储加工","装卸费")))</f>
        <v/>
      </c>
      <c r="E230" s="51" t="str">
        <f aca="false">IF($B230="","",IFERROR(IF($D230="周转打冷",N(INDEX(对接源_01入库吨位!$D$5:$D$304,MATCH(INT((ROW()-5)/3)+1,对接源_01入库吨位!$S$5:$S$304,0))),IF($D230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0" s="41" t="str">
        <f aca="false">IF($B230="","",ROUND(IFERROR(IF($D230="周转打冷",N(INDEX(对接源_01入库吨位!$H$5:$H$304,MATCH(INT((ROW()-5)/3)+1,对接源_01入库吨位!$S$5:$S$304,0))),IF($D230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0" s="52" t="str">
        <f aca="false">IF($B230="","",ROUND(N($F230)/1000,3))</f>
        <v/>
      </c>
      <c r="H230" s="74"/>
      <c r="I230" s="44"/>
      <c r="J230" s="75" t="str">
        <f aca="false">IF($B230="","",IF($H230="按筐数×单价",N($E230),IF($H230="按总重KG×单价",N($F230),IF($H230="按吨位×单价",N($G230),0))))</f>
        <v/>
      </c>
      <c r="K230" s="41" t="str">
        <f aca="false">IF($B230="","",ROUND(N($J230)*N($I230),2))</f>
        <v/>
      </c>
      <c r="L230" s="42"/>
      <c r="M230" s="76"/>
      <c r="N230" s="43"/>
      <c r="R230" s="77" t="str">
        <f aca="false">IF($B230="","",$B230)</f>
        <v/>
      </c>
      <c r="S230" s="77" t="n">
        <f aca="false">IF($R230="",0,IF(MATCH($R230,$R$5:$R$904,0)=ROW()-4,1,0))</f>
        <v>0</v>
      </c>
      <c r="T230" s="77" t="n">
        <f aca="false">N(T229)+$S230</f>
        <v>18</v>
      </c>
    </row>
    <row r="231" customFormat="false" ht="13.5" hidden="false" customHeight="false" outlineLevel="0" collapsed="false">
      <c r="A231" s="9" t="str">
        <f aca="false">IF($B231="","",ROW()-4)</f>
        <v/>
      </c>
      <c r="B231" s="39" t="str">
        <f aca="false">IFERROR(INDEX(对接源_01入库吨位!$B$5:$B$304,MATCH(INT((ROW()-5)/3)+1,对接源_01入库吨位!$S$5:$S$304,0)),"")</f>
        <v/>
      </c>
      <c r="C231" s="39" t="str">
        <f aca="false">IFERROR(INDEX(对接源_01入库吨位!$C$5:$C$304,MATCH(INT((ROW()-5)/3)+1,对接源_01入库吨位!$S$5:$S$304,0)),"")</f>
        <v/>
      </c>
      <c r="D231" s="40" t="str">
        <f aca="false">IF($B231="","",IF(MOD(ROW()-5,3)=0,"周转打冷",IF(MOD(ROW()-5,3)=1,"仓储加工","装卸费")))</f>
        <v/>
      </c>
      <c r="E231" s="51" t="str">
        <f aca="false">IF($B231="","",IFERROR(IF($D231="周转打冷",N(INDEX(对接源_01入库吨位!$D$5:$D$304,MATCH(INT((ROW()-5)/3)+1,对接源_01入库吨位!$S$5:$S$304,0))),IF($D231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1" s="41" t="str">
        <f aca="false">IF($B231="","",ROUND(IFERROR(IF($D231="周转打冷",N(INDEX(对接源_01入库吨位!$H$5:$H$304,MATCH(INT((ROW()-5)/3)+1,对接源_01入库吨位!$S$5:$S$304,0))),IF($D231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1" s="52" t="str">
        <f aca="false">IF($B231="","",ROUND(N($F231)/1000,3))</f>
        <v/>
      </c>
      <c r="H231" s="74"/>
      <c r="I231" s="44"/>
      <c r="J231" s="75" t="str">
        <f aca="false">IF($B231="","",IF($H231="按筐数×单价",N($E231),IF($H231="按总重KG×单价",N($F231),IF($H231="按吨位×单价",N($G231),0))))</f>
        <v/>
      </c>
      <c r="K231" s="41" t="str">
        <f aca="false">IF($B231="","",ROUND(N($J231)*N($I231),2))</f>
        <v/>
      </c>
      <c r="L231" s="42"/>
      <c r="M231" s="76"/>
      <c r="N231" s="43"/>
      <c r="R231" s="77" t="str">
        <f aca="false">IF($B231="","",$B231)</f>
        <v/>
      </c>
      <c r="S231" s="77" t="n">
        <f aca="false">IF($R231="",0,IF(MATCH($R231,$R$5:$R$904,0)=ROW()-4,1,0))</f>
        <v>0</v>
      </c>
      <c r="T231" s="77" t="n">
        <f aca="false">N(T230)+$S231</f>
        <v>18</v>
      </c>
    </row>
    <row r="232" customFormat="false" ht="13.5" hidden="false" customHeight="false" outlineLevel="0" collapsed="false">
      <c r="A232" s="9" t="str">
        <f aca="false">IF($B232="","",ROW()-4)</f>
        <v/>
      </c>
      <c r="B232" s="39" t="str">
        <f aca="false">IFERROR(INDEX(对接源_01入库吨位!$B$5:$B$304,MATCH(INT((ROW()-5)/3)+1,对接源_01入库吨位!$S$5:$S$304,0)),"")</f>
        <v/>
      </c>
      <c r="C232" s="39" t="str">
        <f aca="false">IFERROR(INDEX(对接源_01入库吨位!$C$5:$C$304,MATCH(INT((ROW()-5)/3)+1,对接源_01入库吨位!$S$5:$S$304,0)),"")</f>
        <v/>
      </c>
      <c r="D232" s="40" t="str">
        <f aca="false">IF($B232="","",IF(MOD(ROW()-5,3)=0,"周转打冷",IF(MOD(ROW()-5,3)=1,"仓储加工","装卸费")))</f>
        <v/>
      </c>
      <c r="E232" s="51" t="str">
        <f aca="false">IF($B232="","",IFERROR(IF($D232="周转打冷",N(INDEX(对接源_01入库吨位!$D$5:$D$304,MATCH(INT((ROW()-5)/3)+1,对接源_01入库吨位!$S$5:$S$304,0))),IF($D232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2" s="41" t="str">
        <f aca="false">IF($B232="","",ROUND(IFERROR(IF($D232="周转打冷",N(INDEX(对接源_01入库吨位!$H$5:$H$304,MATCH(INT((ROW()-5)/3)+1,对接源_01入库吨位!$S$5:$S$304,0))),IF($D232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2" s="52" t="str">
        <f aca="false">IF($B232="","",ROUND(N($F232)/1000,3))</f>
        <v/>
      </c>
      <c r="H232" s="74"/>
      <c r="I232" s="44"/>
      <c r="J232" s="75" t="str">
        <f aca="false">IF($B232="","",IF($H232="按筐数×单价",N($E232),IF($H232="按总重KG×单价",N($F232),IF($H232="按吨位×单价",N($G232),0))))</f>
        <v/>
      </c>
      <c r="K232" s="41" t="str">
        <f aca="false">IF($B232="","",ROUND(N($J232)*N($I232),2))</f>
        <v/>
      </c>
      <c r="L232" s="42"/>
      <c r="M232" s="76"/>
      <c r="N232" s="43"/>
      <c r="R232" s="77" t="str">
        <f aca="false">IF($B232="","",$B232)</f>
        <v/>
      </c>
      <c r="S232" s="77" t="n">
        <f aca="false">IF($R232="",0,IF(MATCH($R232,$R$5:$R$904,0)=ROW()-4,1,0))</f>
        <v>0</v>
      </c>
      <c r="T232" s="77" t="n">
        <f aca="false">N(T231)+$S232</f>
        <v>18</v>
      </c>
    </row>
    <row r="233" customFormat="false" ht="13.5" hidden="false" customHeight="false" outlineLevel="0" collapsed="false">
      <c r="A233" s="9" t="str">
        <f aca="false">IF($B233="","",ROW()-4)</f>
        <v/>
      </c>
      <c r="B233" s="39" t="str">
        <f aca="false">IFERROR(INDEX(对接源_01入库吨位!$B$5:$B$304,MATCH(INT((ROW()-5)/3)+1,对接源_01入库吨位!$S$5:$S$304,0)),"")</f>
        <v/>
      </c>
      <c r="C233" s="39" t="str">
        <f aca="false">IFERROR(INDEX(对接源_01入库吨位!$C$5:$C$304,MATCH(INT((ROW()-5)/3)+1,对接源_01入库吨位!$S$5:$S$304,0)),"")</f>
        <v/>
      </c>
      <c r="D233" s="40" t="str">
        <f aca="false">IF($B233="","",IF(MOD(ROW()-5,3)=0,"周转打冷",IF(MOD(ROW()-5,3)=1,"仓储加工","装卸费")))</f>
        <v/>
      </c>
      <c r="E233" s="51" t="str">
        <f aca="false">IF($B233="","",IFERROR(IF($D233="周转打冷",N(INDEX(对接源_01入库吨位!$D$5:$D$304,MATCH(INT((ROW()-5)/3)+1,对接源_01入库吨位!$S$5:$S$304,0))),IF($D233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3" s="41" t="str">
        <f aca="false">IF($B233="","",ROUND(IFERROR(IF($D233="周转打冷",N(INDEX(对接源_01入库吨位!$H$5:$H$304,MATCH(INT((ROW()-5)/3)+1,对接源_01入库吨位!$S$5:$S$304,0))),IF($D233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3" s="52" t="str">
        <f aca="false">IF($B233="","",ROUND(N($F233)/1000,3))</f>
        <v/>
      </c>
      <c r="H233" s="74"/>
      <c r="I233" s="44"/>
      <c r="J233" s="75" t="str">
        <f aca="false">IF($B233="","",IF($H233="按筐数×单价",N($E233),IF($H233="按总重KG×单价",N($F233),IF($H233="按吨位×单价",N($G233),0))))</f>
        <v/>
      </c>
      <c r="K233" s="41" t="str">
        <f aca="false">IF($B233="","",ROUND(N($J233)*N($I233),2))</f>
        <v/>
      </c>
      <c r="L233" s="42"/>
      <c r="M233" s="76"/>
      <c r="N233" s="43"/>
      <c r="R233" s="77" t="str">
        <f aca="false">IF($B233="","",$B233)</f>
        <v/>
      </c>
      <c r="S233" s="77" t="n">
        <f aca="false">IF($R233="",0,IF(MATCH($R233,$R$5:$R$904,0)=ROW()-4,1,0))</f>
        <v>0</v>
      </c>
      <c r="T233" s="77" t="n">
        <f aca="false">N(T232)+$S233</f>
        <v>18</v>
      </c>
    </row>
    <row r="234" customFormat="false" ht="13.5" hidden="false" customHeight="false" outlineLevel="0" collapsed="false">
      <c r="A234" s="9" t="str">
        <f aca="false">IF($B234="","",ROW()-4)</f>
        <v/>
      </c>
      <c r="B234" s="39" t="str">
        <f aca="false">IFERROR(INDEX(对接源_01入库吨位!$B$5:$B$304,MATCH(INT((ROW()-5)/3)+1,对接源_01入库吨位!$S$5:$S$304,0)),"")</f>
        <v/>
      </c>
      <c r="C234" s="39" t="str">
        <f aca="false">IFERROR(INDEX(对接源_01入库吨位!$C$5:$C$304,MATCH(INT((ROW()-5)/3)+1,对接源_01入库吨位!$S$5:$S$304,0)),"")</f>
        <v/>
      </c>
      <c r="D234" s="40" t="str">
        <f aca="false">IF($B234="","",IF(MOD(ROW()-5,3)=0,"周转打冷",IF(MOD(ROW()-5,3)=1,"仓储加工","装卸费")))</f>
        <v/>
      </c>
      <c r="E234" s="51" t="str">
        <f aca="false">IF($B234="","",IFERROR(IF($D234="周转打冷",N(INDEX(对接源_01入库吨位!$D$5:$D$304,MATCH(INT((ROW()-5)/3)+1,对接源_01入库吨位!$S$5:$S$304,0))),IF($D234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4" s="41" t="str">
        <f aca="false">IF($B234="","",ROUND(IFERROR(IF($D234="周转打冷",N(INDEX(对接源_01入库吨位!$H$5:$H$304,MATCH(INT((ROW()-5)/3)+1,对接源_01入库吨位!$S$5:$S$304,0))),IF($D234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4" s="52" t="str">
        <f aca="false">IF($B234="","",ROUND(N($F234)/1000,3))</f>
        <v/>
      </c>
      <c r="H234" s="74"/>
      <c r="I234" s="44"/>
      <c r="J234" s="75" t="str">
        <f aca="false">IF($B234="","",IF($H234="按筐数×单价",N($E234),IF($H234="按总重KG×单价",N($F234),IF($H234="按吨位×单价",N($G234),0))))</f>
        <v/>
      </c>
      <c r="K234" s="41" t="str">
        <f aca="false">IF($B234="","",ROUND(N($J234)*N($I234),2))</f>
        <v/>
      </c>
      <c r="L234" s="42"/>
      <c r="M234" s="76"/>
      <c r="N234" s="43"/>
      <c r="R234" s="77" t="str">
        <f aca="false">IF($B234="","",$B234)</f>
        <v/>
      </c>
      <c r="S234" s="77" t="n">
        <f aca="false">IF($R234="",0,IF(MATCH($R234,$R$5:$R$904,0)=ROW()-4,1,0))</f>
        <v>0</v>
      </c>
      <c r="T234" s="77" t="n">
        <f aca="false">N(T233)+$S234</f>
        <v>18</v>
      </c>
    </row>
    <row r="235" customFormat="false" ht="13.5" hidden="false" customHeight="false" outlineLevel="0" collapsed="false">
      <c r="A235" s="9" t="str">
        <f aca="false">IF($B235="","",ROW()-4)</f>
        <v/>
      </c>
      <c r="B235" s="39" t="str">
        <f aca="false">IFERROR(INDEX(对接源_01入库吨位!$B$5:$B$304,MATCH(INT((ROW()-5)/3)+1,对接源_01入库吨位!$S$5:$S$304,0)),"")</f>
        <v/>
      </c>
      <c r="C235" s="39" t="str">
        <f aca="false">IFERROR(INDEX(对接源_01入库吨位!$C$5:$C$304,MATCH(INT((ROW()-5)/3)+1,对接源_01入库吨位!$S$5:$S$304,0)),"")</f>
        <v/>
      </c>
      <c r="D235" s="40" t="str">
        <f aca="false">IF($B235="","",IF(MOD(ROW()-5,3)=0,"周转打冷",IF(MOD(ROW()-5,3)=1,"仓储加工","装卸费")))</f>
        <v/>
      </c>
      <c r="E235" s="51" t="str">
        <f aca="false">IF($B235="","",IFERROR(IF($D235="周转打冷",N(INDEX(对接源_01入库吨位!$D$5:$D$304,MATCH(INT((ROW()-5)/3)+1,对接源_01入库吨位!$S$5:$S$304,0))),IF($D235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5" s="41" t="str">
        <f aca="false">IF($B235="","",ROUND(IFERROR(IF($D235="周转打冷",N(INDEX(对接源_01入库吨位!$H$5:$H$304,MATCH(INT((ROW()-5)/3)+1,对接源_01入库吨位!$S$5:$S$304,0))),IF($D235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5" s="52" t="str">
        <f aca="false">IF($B235="","",ROUND(N($F235)/1000,3))</f>
        <v/>
      </c>
      <c r="H235" s="74"/>
      <c r="I235" s="44"/>
      <c r="J235" s="75" t="str">
        <f aca="false">IF($B235="","",IF($H235="按筐数×单价",N($E235),IF($H235="按总重KG×单价",N($F235),IF($H235="按吨位×单价",N($G235),0))))</f>
        <v/>
      </c>
      <c r="K235" s="41" t="str">
        <f aca="false">IF($B235="","",ROUND(N($J235)*N($I235),2))</f>
        <v/>
      </c>
      <c r="L235" s="42"/>
      <c r="M235" s="76"/>
      <c r="N235" s="43"/>
      <c r="R235" s="77" t="str">
        <f aca="false">IF($B235="","",$B235)</f>
        <v/>
      </c>
      <c r="S235" s="77" t="n">
        <f aca="false">IF($R235="",0,IF(MATCH($R235,$R$5:$R$904,0)=ROW()-4,1,0))</f>
        <v>0</v>
      </c>
      <c r="T235" s="77" t="n">
        <f aca="false">N(T234)+$S235</f>
        <v>18</v>
      </c>
    </row>
    <row r="236" customFormat="false" ht="13.5" hidden="false" customHeight="false" outlineLevel="0" collapsed="false">
      <c r="A236" s="9" t="str">
        <f aca="false">IF($B236="","",ROW()-4)</f>
        <v/>
      </c>
      <c r="B236" s="39" t="str">
        <f aca="false">IFERROR(INDEX(对接源_01入库吨位!$B$5:$B$304,MATCH(INT((ROW()-5)/3)+1,对接源_01入库吨位!$S$5:$S$304,0)),"")</f>
        <v/>
      </c>
      <c r="C236" s="39" t="str">
        <f aca="false">IFERROR(INDEX(对接源_01入库吨位!$C$5:$C$304,MATCH(INT((ROW()-5)/3)+1,对接源_01入库吨位!$S$5:$S$304,0)),"")</f>
        <v/>
      </c>
      <c r="D236" s="40" t="str">
        <f aca="false">IF($B236="","",IF(MOD(ROW()-5,3)=0,"周转打冷",IF(MOD(ROW()-5,3)=1,"仓储加工","装卸费")))</f>
        <v/>
      </c>
      <c r="E236" s="51" t="str">
        <f aca="false">IF($B236="","",IFERROR(IF($D236="周转打冷",N(INDEX(对接源_01入库吨位!$D$5:$D$304,MATCH(INT((ROW()-5)/3)+1,对接源_01入库吨位!$S$5:$S$304,0))),IF($D236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6" s="41" t="str">
        <f aca="false">IF($B236="","",ROUND(IFERROR(IF($D236="周转打冷",N(INDEX(对接源_01入库吨位!$H$5:$H$304,MATCH(INT((ROW()-5)/3)+1,对接源_01入库吨位!$S$5:$S$304,0))),IF($D236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6" s="52" t="str">
        <f aca="false">IF($B236="","",ROUND(N($F236)/1000,3))</f>
        <v/>
      </c>
      <c r="H236" s="74"/>
      <c r="I236" s="44"/>
      <c r="J236" s="75" t="str">
        <f aca="false">IF($B236="","",IF($H236="按筐数×单价",N($E236),IF($H236="按总重KG×单价",N($F236),IF($H236="按吨位×单价",N($G236),0))))</f>
        <v/>
      </c>
      <c r="K236" s="41" t="str">
        <f aca="false">IF($B236="","",ROUND(N($J236)*N($I236),2))</f>
        <v/>
      </c>
      <c r="L236" s="42"/>
      <c r="M236" s="76"/>
      <c r="N236" s="43"/>
      <c r="R236" s="77" t="str">
        <f aca="false">IF($B236="","",$B236)</f>
        <v/>
      </c>
      <c r="S236" s="77" t="n">
        <f aca="false">IF($R236="",0,IF(MATCH($R236,$R$5:$R$904,0)=ROW()-4,1,0))</f>
        <v>0</v>
      </c>
      <c r="T236" s="77" t="n">
        <f aca="false">N(T235)+$S236</f>
        <v>18</v>
      </c>
    </row>
    <row r="237" customFormat="false" ht="13.5" hidden="false" customHeight="false" outlineLevel="0" collapsed="false">
      <c r="A237" s="9" t="str">
        <f aca="false">IF($B237="","",ROW()-4)</f>
        <v/>
      </c>
      <c r="B237" s="39" t="str">
        <f aca="false">IFERROR(INDEX(对接源_01入库吨位!$B$5:$B$304,MATCH(INT((ROW()-5)/3)+1,对接源_01入库吨位!$S$5:$S$304,0)),"")</f>
        <v/>
      </c>
      <c r="C237" s="39" t="str">
        <f aca="false">IFERROR(INDEX(对接源_01入库吨位!$C$5:$C$304,MATCH(INT((ROW()-5)/3)+1,对接源_01入库吨位!$S$5:$S$304,0)),"")</f>
        <v/>
      </c>
      <c r="D237" s="40" t="str">
        <f aca="false">IF($B237="","",IF(MOD(ROW()-5,3)=0,"周转打冷",IF(MOD(ROW()-5,3)=1,"仓储加工","装卸费")))</f>
        <v/>
      </c>
      <c r="E237" s="51" t="str">
        <f aca="false">IF($B237="","",IFERROR(IF($D237="周转打冷",N(INDEX(对接源_01入库吨位!$D$5:$D$304,MATCH(INT((ROW()-5)/3)+1,对接源_01入库吨位!$S$5:$S$304,0))),IF($D237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7" s="41" t="str">
        <f aca="false">IF($B237="","",ROUND(IFERROR(IF($D237="周转打冷",N(INDEX(对接源_01入库吨位!$H$5:$H$304,MATCH(INT((ROW()-5)/3)+1,对接源_01入库吨位!$S$5:$S$304,0))),IF($D237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7" s="52" t="str">
        <f aca="false">IF($B237="","",ROUND(N($F237)/1000,3))</f>
        <v/>
      </c>
      <c r="H237" s="74"/>
      <c r="I237" s="44"/>
      <c r="J237" s="75" t="str">
        <f aca="false">IF($B237="","",IF($H237="按筐数×单价",N($E237),IF($H237="按总重KG×单价",N($F237),IF($H237="按吨位×单价",N($G237),0))))</f>
        <v/>
      </c>
      <c r="K237" s="41" t="str">
        <f aca="false">IF($B237="","",ROUND(N($J237)*N($I237),2))</f>
        <v/>
      </c>
      <c r="L237" s="42"/>
      <c r="M237" s="76"/>
      <c r="N237" s="43"/>
      <c r="R237" s="77" t="str">
        <f aca="false">IF($B237="","",$B237)</f>
        <v/>
      </c>
      <c r="S237" s="77" t="n">
        <f aca="false">IF($R237="",0,IF(MATCH($R237,$R$5:$R$904,0)=ROW()-4,1,0))</f>
        <v>0</v>
      </c>
      <c r="T237" s="77" t="n">
        <f aca="false">N(T236)+$S237</f>
        <v>18</v>
      </c>
    </row>
    <row r="238" customFormat="false" ht="13.5" hidden="false" customHeight="false" outlineLevel="0" collapsed="false">
      <c r="A238" s="9" t="str">
        <f aca="false">IF($B238="","",ROW()-4)</f>
        <v/>
      </c>
      <c r="B238" s="39" t="str">
        <f aca="false">IFERROR(INDEX(对接源_01入库吨位!$B$5:$B$304,MATCH(INT((ROW()-5)/3)+1,对接源_01入库吨位!$S$5:$S$304,0)),"")</f>
        <v/>
      </c>
      <c r="C238" s="39" t="str">
        <f aca="false">IFERROR(INDEX(对接源_01入库吨位!$C$5:$C$304,MATCH(INT((ROW()-5)/3)+1,对接源_01入库吨位!$S$5:$S$304,0)),"")</f>
        <v/>
      </c>
      <c r="D238" s="40" t="str">
        <f aca="false">IF($B238="","",IF(MOD(ROW()-5,3)=0,"周转打冷",IF(MOD(ROW()-5,3)=1,"仓储加工","装卸费")))</f>
        <v/>
      </c>
      <c r="E238" s="51" t="str">
        <f aca="false">IF($B238="","",IFERROR(IF($D238="周转打冷",N(INDEX(对接源_01入库吨位!$D$5:$D$304,MATCH(INT((ROW()-5)/3)+1,对接源_01入库吨位!$S$5:$S$304,0))),IF($D238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8" s="41" t="str">
        <f aca="false">IF($B238="","",ROUND(IFERROR(IF($D238="周转打冷",N(INDEX(对接源_01入库吨位!$H$5:$H$304,MATCH(INT((ROW()-5)/3)+1,对接源_01入库吨位!$S$5:$S$304,0))),IF($D238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8" s="52" t="str">
        <f aca="false">IF($B238="","",ROUND(N($F238)/1000,3))</f>
        <v/>
      </c>
      <c r="H238" s="74"/>
      <c r="I238" s="44"/>
      <c r="J238" s="75" t="str">
        <f aca="false">IF($B238="","",IF($H238="按筐数×单价",N($E238),IF($H238="按总重KG×单价",N($F238),IF($H238="按吨位×单价",N($G238),0))))</f>
        <v/>
      </c>
      <c r="K238" s="41" t="str">
        <f aca="false">IF($B238="","",ROUND(N($J238)*N($I238),2))</f>
        <v/>
      </c>
      <c r="L238" s="42"/>
      <c r="M238" s="76"/>
      <c r="N238" s="43"/>
      <c r="R238" s="77" t="str">
        <f aca="false">IF($B238="","",$B238)</f>
        <v/>
      </c>
      <c r="S238" s="77" t="n">
        <f aca="false">IF($R238="",0,IF(MATCH($R238,$R$5:$R$904,0)=ROW()-4,1,0))</f>
        <v>0</v>
      </c>
      <c r="T238" s="77" t="n">
        <f aca="false">N(T237)+$S238</f>
        <v>18</v>
      </c>
    </row>
    <row r="239" customFormat="false" ht="13.5" hidden="false" customHeight="false" outlineLevel="0" collapsed="false">
      <c r="A239" s="9" t="str">
        <f aca="false">IF($B239="","",ROW()-4)</f>
        <v/>
      </c>
      <c r="B239" s="39" t="str">
        <f aca="false">IFERROR(INDEX(对接源_01入库吨位!$B$5:$B$304,MATCH(INT((ROW()-5)/3)+1,对接源_01入库吨位!$S$5:$S$304,0)),"")</f>
        <v/>
      </c>
      <c r="C239" s="39" t="str">
        <f aca="false">IFERROR(INDEX(对接源_01入库吨位!$C$5:$C$304,MATCH(INT((ROW()-5)/3)+1,对接源_01入库吨位!$S$5:$S$304,0)),"")</f>
        <v/>
      </c>
      <c r="D239" s="40" t="str">
        <f aca="false">IF($B239="","",IF(MOD(ROW()-5,3)=0,"周转打冷",IF(MOD(ROW()-5,3)=1,"仓储加工","装卸费")))</f>
        <v/>
      </c>
      <c r="E239" s="51" t="str">
        <f aca="false">IF($B239="","",IFERROR(IF($D239="周转打冷",N(INDEX(对接源_01入库吨位!$D$5:$D$304,MATCH(INT((ROW()-5)/3)+1,对接源_01入库吨位!$S$5:$S$304,0))),IF($D239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39" s="41" t="str">
        <f aca="false">IF($B239="","",ROUND(IFERROR(IF($D239="周转打冷",N(INDEX(对接源_01入库吨位!$H$5:$H$304,MATCH(INT((ROW()-5)/3)+1,对接源_01入库吨位!$S$5:$S$304,0))),IF($D239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39" s="52" t="str">
        <f aca="false">IF($B239="","",ROUND(N($F239)/1000,3))</f>
        <v/>
      </c>
      <c r="H239" s="74"/>
      <c r="I239" s="44"/>
      <c r="J239" s="75" t="str">
        <f aca="false">IF($B239="","",IF($H239="按筐数×单价",N($E239),IF($H239="按总重KG×单价",N($F239),IF($H239="按吨位×单价",N($G239),0))))</f>
        <v/>
      </c>
      <c r="K239" s="41" t="str">
        <f aca="false">IF($B239="","",ROUND(N($J239)*N($I239),2))</f>
        <v/>
      </c>
      <c r="L239" s="42"/>
      <c r="M239" s="76"/>
      <c r="N239" s="43"/>
      <c r="R239" s="77" t="str">
        <f aca="false">IF($B239="","",$B239)</f>
        <v/>
      </c>
      <c r="S239" s="77" t="n">
        <f aca="false">IF($R239="",0,IF(MATCH($R239,$R$5:$R$904,0)=ROW()-4,1,0))</f>
        <v>0</v>
      </c>
      <c r="T239" s="77" t="n">
        <f aca="false">N(T238)+$S239</f>
        <v>18</v>
      </c>
    </row>
    <row r="240" customFormat="false" ht="13.5" hidden="false" customHeight="false" outlineLevel="0" collapsed="false">
      <c r="A240" s="9" t="str">
        <f aca="false">IF($B240="","",ROW()-4)</f>
        <v/>
      </c>
      <c r="B240" s="39" t="str">
        <f aca="false">IFERROR(INDEX(对接源_01入库吨位!$B$5:$B$304,MATCH(INT((ROW()-5)/3)+1,对接源_01入库吨位!$S$5:$S$304,0)),"")</f>
        <v/>
      </c>
      <c r="C240" s="39" t="str">
        <f aca="false">IFERROR(INDEX(对接源_01入库吨位!$C$5:$C$304,MATCH(INT((ROW()-5)/3)+1,对接源_01入库吨位!$S$5:$S$304,0)),"")</f>
        <v/>
      </c>
      <c r="D240" s="40" t="str">
        <f aca="false">IF($B240="","",IF(MOD(ROW()-5,3)=0,"周转打冷",IF(MOD(ROW()-5,3)=1,"仓储加工","装卸费")))</f>
        <v/>
      </c>
      <c r="E240" s="51" t="str">
        <f aca="false">IF($B240="","",IFERROR(IF($D240="周转打冷",N(INDEX(对接源_01入库吨位!$D$5:$D$304,MATCH(INT((ROW()-5)/3)+1,对接源_01入库吨位!$S$5:$S$304,0))),IF($D240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0" s="41" t="str">
        <f aca="false">IF($B240="","",ROUND(IFERROR(IF($D240="周转打冷",N(INDEX(对接源_01入库吨位!$H$5:$H$304,MATCH(INT((ROW()-5)/3)+1,对接源_01入库吨位!$S$5:$S$304,0))),IF($D240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0" s="52" t="str">
        <f aca="false">IF($B240="","",ROUND(N($F240)/1000,3))</f>
        <v/>
      </c>
      <c r="H240" s="74"/>
      <c r="I240" s="44"/>
      <c r="J240" s="75" t="str">
        <f aca="false">IF($B240="","",IF($H240="按筐数×单价",N($E240),IF($H240="按总重KG×单价",N($F240),IF($H240="按吨位×单价",N($G240),0))))</f>
        <v/>
      </c>
      <c r="K240" s="41" t="str">
        <f aca="false">IF($B240="","",ROUND(N($J240)*N($I240),2))</f>
        <v/>
      </c>
      <c r="L240" s="42"/>
      <c r="M240" s="76"/>
      <c r="N240" s="43"/>
      <c r="R240" s="77" t="str">
        <f aca="false">IF($B240="","",$B240)</f>
        <v/>
      </c>
      <c r="S240" s="77" t="n">
        <f aca="false">IF($R240="",0,IF(MATCH($R240,$R$5:$R$904,0)=ROW()-4,1,0))</f>
        <v>0</v>
      </c>
      <c r="T240" s="77" t="n">
        <f aca="false">N(T239)+$S240</f>
        <v>18</v>
      </c>
    </row>
    <row r="241" customFormat="false" ht="13.5" hidden="false" customHeight="false" outlineLevel="0" collapsed="false">
      <c r="A241" s="9" t="str">
        <f aca="false">IF($B241="","",ROW()-4)</f>
        <v/>
      </c>
      <c r="B241" s="39" t="str">
        <f aca="false">IFERROR(INDEX(对接源_01入库吨位!$B$5:$B$304,MATCH(INT((ROW()-5)/3)+1,对接源_01入库吨位!$S$5:$S$304,0)),"")</f>
        <v/>
      </c>
      <c r="C241" s="39" t="str">
        <f aca="false">IFERROR(INDEX(对接源_01入库吨位!$C$5:$C$304,MATCH(INT((ROW()-5)/3)+1,对接源_01入库吨位!$S$5:$S$304,0)),"")</f>
        <v/>
      </c>
      <c r="D241" s="40" t="str">
        <f aca="false">IF($B241="","",IF(MOD(ROW()-5,3)=0,"周转打冷",IF(MOD(ROW()-5,3)=1,"仓储加工","装卸费")))</f>
        <v/>
      </c>
      <c r="E241" s="51" t="str">
        <f aca="false">IF($B241="","",IFERROR(IF($D241="周转打冷",N(INDEX(对接源_01入库吨位!$D$5:$D$304,MATCH(INT((ROW()-5)/3)+1,对接源_01入库吨位!$S$5:$S$304,0))),IF($D241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1" s="41" t="str">
        <f aca="false">IF($B241="","",ROUND(IFERROR(IF($D241="周转打冷",N(INDEX(对接源_01入库吨位!$H$5:$H$304,MATCH(INT((ROW()-5)/3)+1,对接源_01入库吨位!$S$5:$S$304,0))),IF($D241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1" s="52" t="str">
        <f aca="false">IF($B241="","",ROUND(N($F241)/1000,3))</f>
        <v/>
      </c>
      <c r="H241" s="74"/>
      <c r="I241" s="44"/>
      <c r="J241" s="75" t="str">
        <f aca="false">IF($B241="","",IF($H241="按筐数×单价",N($E241),IF($H241="按总重KG×单价",N($F241),IF($H241="按吨位×单价",N($G241),0))))</f>
        <v/>
      </c>
      <c r="K241" s="41" t="str">
        <f aca="false">IF($B241="","",ROUND(N($J241)*N($I241),2))</f>
        <v/>
      </c>
      <c r="L241" s="42"/>
      <c r="M241" s="76"/>
      <c r="N241" s="43"/>
      <c r="R241" s="77" t="str">
        <f aca="false">IF($B241="","",$B241)</f>
        <v/>
      </c>
      <c r="S241" s="77" t="n">
        <f aca="false">IF($R241="",0,IF(MATCH($R241,$R$5:$R$904,0)=ROW()-4,1,0))</f>
        <v>0</v>
      </c>
      <c r="T241" s="77" t="n">
        <f aca="false">N(T240)+$S241</f>
        <v>18</v>
      </c>
    </row>
    <row r="242" customFormat="false" ht="13.5" hidden="false" customHeight="false" outlineLevel="0" collapsed="false">
      <c r="A242" s="9" t="str">
        <f aca="false">IF($B242="","",ROW()-4)</f>
        <v/>
      </c>
      <c r="B242" s="39" t="str">
        <f aca="false">IFERROR(INDEX(对接源_01入库吨位!$B$5:$B$304,MATCH(INT((ROW()-5)/3)+1,对接源_01入库吨位!$S$5:$S$304,0)),"")</f>
        <v/>
      </c>
      <c r="C242" s="39" t="str">
        <f aca="false">IFERROR(INDEX(对接源_01入库吨位!$C$5:$C$304,MATCH(INT((ROW()-5)/3)+1,对接源_01入库吨位!$S$5:$S$304,0)),"")</f>
        <v/>
      </c>
      <c r="D242" s="40" t="str">
        <f aca="false">IF($B242="","",IF(MOD(ROW()-5,3)=0,"周转打冷",IF(MOD(ROW()-5,3)=1,"仓储加工","装卸费")))</f>
        <v/>
      </c>
      <c r="E242" s="51" t="str">
        <f aca="false">IF($B242="","",IFERROR(IF($D242="周转打冷",N(INDEX(对接源_01入库吨位!$D$5:$D$304,MATCH(INT((ROW()-5)/3)+1,对接源_01入库吨位!$S$5:$S$304,0))),IF($D242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2" s="41" t="str">
        <f aca="false">IF($B242="","",ROUND(IFERROR(IF($D242="周转打冷",N(INDEX(对接源_01入库吨位!$H$5:$H$304,MATCH(INT((ROW()-5)/3)+1,对接源_01入库吨位!$S$5:$S$304,0))),IF($D242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2" s="52" t="str">
        <f aca="false">IF($B242="","",ROUND(N($F242)/1000,3))</f>
        <v/>
      </c>
      <c r="H242" s="74"/>
      <c r="I242" s="44"/>
      <c r="J242" s="75" t="str">
        <f aca="false">IF($B242="","",IF($H242="按筐数×单价",N($E242),IF($H242="按总重KG×单价",N($F242),IF($H242="按吨位×单价",N($G242),0))))</f>
        <v/>
      </c>
      <c r="K242" s="41" t="str">
        <f aca="false">IF($B242="","",ROUND(N($J242)*N($I242),2))</f>
        <v/>
      </c>
      <c r="L242" s="42"/>
      <c r="M242" s="76"/>
      <c r="N242" s="43"/>
      <c r="R242" s="77" t="str">
        <f aca="false">IF($B242="","",$B242)</f>
        <v/>
      </c>
      <c r="S242" s="77" t="n">
        <f aca="false">IF($R242="",0,IF(MATCH($R242,$R$5:$R$904,0)=ROW()-4,1,0))</f>
        <v>0</v>
      </c>
      <c r="T242" s="77" t="n">
        <f aca="false">N(T241)+$S242</f>
        <v>18</v>
      </c>
    </row>
    <row r="243" customFormat="false" ht="13.5" hidden="false" customHeight="false" outlineLevel="0" collapsed="false">
      <c r="A243" s="9" t="str">
        <f aca="false">IF($B243="","",ROW()-4)</f>
        <v/>
      </c>
      <c r="B243" s="39" t="str">
        <f aca="false">IFERROR(INDEX(对接源_01入库吨位!$B$5:$B$304,MATCH(INT((ROW()-5)/3)+1,对接源_01入库吨位!$S$5:$S$304,0)),"")</f>
        <v/>
      </c>
      <c r="C243" s="39" t="str">
        <f aca="false">IFERROR(INDEX(对接源_01入库吨位!$C$5:$C$304,MATCH(INT((ROW()-5)/3)+1,对接源_01入库吨位!$S$5:$S$304,0)),"")</f>
        <v/>
      </c>
      <c r="D243" s="40" t="str">
        <f aca="false">IF($B243="","",IF(MOD(ROW()-5,3)=0,"周转打冷",IF(MOD(ROW()-5,3)=1,"仓储加工","装卸费")))</f>
        <v/>
      </c>
      <c r="E243" s="51" t="str">
        <f aca="false">IF($B243="","",IFERROR(IF($D243="周转打冷",N(INDEX(对接源_01入库吨位!$D$5:$D$304,MATCH(INT((ROW()-5)/3)+1,对接源_01入库吨位!$S$5:$S$304,0))),IF($D243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3" s="41" t="str">
        <f aca="false">IF($B243="","",ROUND(IFERROR(IF($D243="周转打冷",N(INDEX(对接源_01入库吨位!$H$5:$H$304,MATCH(INT((ROW()-5)/3)+1,对接源_01入库吨位!$S$5:$S$304,0))),IF($D243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3" s="52" t="str">
        <f aca="false">IF($B243="","",ROUND(N($F243)/1000,3))</f>
        <v/>
      </c>
      <c r="H243" s="74"/>
      <c r="I243" s="44"/>
      <c r="J243" s="75" t="str">
        <f aca="false">IF($B243="","",IF($H243="按筐数×单价",N($E243),IF($H243="按总重KG×单价",N($F243),IF($H243="按吨位×单价",N($G243),0))))</f>
        <v/>
      </c>
      <c r="K243" s="41" t="str">
        <f aca="false">IF($B243="","",ROUND(N($J243)*N($I243),2))</f>
        <v/>
      </c>
      <c r="L243" s="42"/>
      <c r="M243" s="76"/>
      <c r="N243" s="43"/>
      <c r="R243" s="77" t="str">
        <f aca="false">IF($B243="","",$B243)</f>
        <v/>
      </c>
      <c r="S243" s="77" t="n">
        <f aca="false">IF($R243="",0,IF(MATCH($R243,$R$5:$R$904,0)=ROW()-4,1,0))</f>
        <v>0</v>
      </c>
      <c r="T243" s="77" t="n">
        <f aca="false">N(T242)+$S243</f>
        <v>18</v>
      </c>
    </row>
    <row r="244" customFormat="false" ht="13.5" hidden="false" customHeight="false" outlineLevel="0" collapsed="false">
      <c r="A244" s="9" t="str">
        <f aca="false">IF($B244="","",ROW()-4)</f>
        <v/>
      </c>
      <c r="B244" s="39" t="str">
        <f aca="false">IFERROR(INDEX(对接源_01入库吨位!$B$5:$B$304,MATCH(INT((ROW()-5)/3)+1,对接源_01入库吨位!$S$5:$S$304,0)),"")</f>
        <v/>
      </c>
      <c r="C244" s="39" t="str">
        <f aca="false">IFERROR(INDEX(对接源_01入库吨位!$C$5:$C$304,MATCH(INT((ROW()-5)/3)+1,对接源_01入库吨位!$S$5:$S$304,0)),"")</f>
        <v/>
      </c>
      <c r="D244" s="40" t="str">
        <f aca="false">IF($B244="","",IF(MOD(ROW()-5,3)=0,"周转打冷",IF(MOD(ROW()-5,3)=1,"仓储加工","装卸费")))</f>
        <v/>
      </c>
      <c r="E244" s="51" t="str">
        <f aca="false">IF($B244="","",IFERROR(IF($D244="周转打冷",N(INDEX(对接源_01入库吨位!$D$5:$D$304,MATCH(INT((ROW()-5)/3)+1,对接源_01入库吨位!$S$5:$S$304,0))),IF($D244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4" s="41" t="str">
        <f aca="false">IF($B244="","",ROUND(IFERROR(IF($D244="周转打冷",N(INDEX(对接源_01入库吨位!$H$5:$H$304,MATCH(INT((ROW()-5)/3)+1,对接源_01入库吨位!$S$5:$S$304,0))),IF($D244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4" s="52" t="str">
        <f aca="false">IF($B244="","",ROUND(N($F244)/1000,3))</f>
        <v/>
      </c>
      <c r="H244" s="74"/>
      <c r="I244" s="44"/>
      <c r="J244" s="75" t="str">
        <f aca="false">IF($B244="","",IF($H244="按筐数×单价",N($E244),IF($H244="按总重KG×单价",N($F244),IF($H244="按吨位×单价",N($G244),0))))</f>
        <v/>
      </c>
      <c r="K244" s="41" t="str">
        <f aca="false">IF($B244="","",ROUND(N($J244)*N($I244),2))</f>
        <v/>
      </c>
      <c r="L244" s="42"/>
      <c r="M244" s="76"/>
      <c r="N244" s="43"/>
      <c r="R244" s="77" t="str">
        <f aca="false">IF($B244="","",$B244)</f>
        <v/>
      </c>
      <c r="S244" s="77" t="n">
        <f aca="false">IF($R244="",0,IF(MATCH($R244,$R$5:$R$904,0)=ROW()-4,1,0))</f>
        <v>0</v>
      </c>
      <c r="T244" s="77" t="n">
        <f aca="false">N(T243)+$S244</f>
        <v>18</v>
      </c>
    </row>
    <row r="245" customFormat="false" ht="13.5" hidden="false" customHeight="false" outlineLevel="0" collapsed="false">
      <c r="A245" s="9" t="str">
        <f aca="false">IF($B245="","",ROW()-4)</f>
        <v/>
      </c>
      <c r="B245" s="39" t="str">
        <f aca="false">IFERROR(INDEX(对接源_01入库吨位!$B$5:$B$304,MATCH(INT((ROW()-5)/3)+1,对接源_01入库吨位!$S$5:$S$304,0)),"")</f>
        <v/>
      </c>
      <c r="C245" s="39" t="str">
        <f aca="false">IFERROR(INDEX(对接源_01入库吨位!$C$5:$C$304,MATCH(INT((ROW()-5)/3)+1,对接源_01入库吨位!$S$5:$S$304,0)),"")</f>
        <v/>
      </c>
      <c r="D245" s="40" t="str">
        <f aca="false">IF($B245="","",IF(MOD(ROW()-5,3)=0,"周转打冷",IF(MOD(ROW()-5,3)=1,"仓储加工","装卸费")))</f>
        <v/>
      </c>
      <c r="E245" s="51" t="str">
        <f aca="false">IF($B245="","",IFERROR(IF($D245="周转打冷",N(INDEX(对接源_01入库吨位!$D$5:$D$304,MATCH(INT((ROW()-5)/3)+1,对接源_01入库吨位!$S$5:$S$304,0))),IF($D245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5" s="41" t="str">
        <f aca="false">IF($B245="","",ROUND(IFERROR(IF($D245="周转打冷",N(INDEX(对接源_01入库吨位!$H$5:$H$304,MATCH(INT((ROW()-5)/3)+1,对接源_01入库吨位!$S$5:$S$304,0))),IF($D245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5" s="52" t="str">
        <f aca="false">IF($B245="","",ROUND(N($F245)/1000,3))</f>
        <v/>
      </c>
      <c r="H245" s="74"/>
      <c r="I245" s="44"/>
      <c r="J245" s="75" t="str">
        <f aca="false">IF($B245="","",IF($H245="按筐数×单价",N($E245),IF($H245="按总重KG×单价",N($F245),IF($H245="按吨位×单价",N($G245),0))))</f>
        <v/>
      </c>
      <c r="K245" s="41" t="str">
        <f aca="false">IF($B245="","",ROUND(N($J245)*N($I245),2))</f>
        <v/>
      </c>
      <c r="L245" s="42"/>
      <c r="M245" s="76"/>
      <c r="N245" s="43"/>
      <c r="R245" s="77" t="str">
        <f aca="false">IF($B245="","",$B245)</f>
        <v/>
      </c>
      <c r="S245" s="77" t="n">
        <f aca="false">IF($R245="",0,IF(MATCH($R245,$R$5:$R$904,0)=ROW()-4,1,0))</f>
        <v>0</v>
      </c>
      <c r="T245" s="77" t="n">
        <f aca="false">N(T244)+$S245</f>
        <v>18</v>
      </c>
    </row>
    <row r="246" customFormat="false" ht="13.5" hidden="false" customHeight="false" outlineLevel="0" collapsed="false">
      <c r="A246" s="9" t="str">
        <f aca="false">IF($B246="","",ROW()-4)</f>
        <v/>
      </c>
      <c r="B246" s="39" t="str">
        <f aca="false">IFERROR(INDEX(对接源_01入库吨位!$B$5:$B$304,MATCH(INT((ROW()-5)/3)+1,对接源_01入库吨位!$S$5:$S$304,0)),"")</f>
        <v/>
      </c>
      <c r="C246" s="39" t="str">
        <f aca="false">IFERROR(INDEX(对接源_01入库吨位!$C$5:$C$304,MATCH(INT((ROW()-5)/3)+1,对接源_01入库吨位!$S$5:$S$304,0)),"")</f>
        <v/>
      </c>
      <c r="D246" s="40" t="str">
        <f aca="false">IF($B246="","",IF(MOD(ROW()-5,3)=0,"周转打冷",IF(MOD(ROW()-5,3)=1,"仓储加工","装卸费")))</f>
        <v/>
      </c>
      <c r="E246" s="51" t="str">
        <f aca="false">IF($B246="","",IFERROR(IF($D246="周转打冷",N(INDEX(对接源_01入库吨位!$D$5:$D$304,MATCH(INT((ROW()-5)/3)+1,对接源_01入库吨位!$S$5:$S$304,0))),IF($D246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6" s="41" t="str">
        <f aca="false">IF($B246="","",ROUND(IFERROR(IF($D246="周转打冷",N(INDEX(对接源_01入库吨位!$H$5:$H$304,MATCH(INT((ROW()-5)/3)+1,对接源_01入库吨位!$S$5:$S$304,0))),IF($D246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6" s="52" t="str">
        <f aca="false">IF($B246="","",ROUND(N($F246)/1000,3))</f>
        <v/>
      </c>
      <c r="H246" s="74"/>
      <c r="I246" s="44"/>
      <c r="J246" s="75" t="str">
        <f aca="false">IF($B246="","",IF($H246="按筐数×单价",N($E246),IF($H246="按总重KG×单价",N($F246),IF($H246="按吨位×单价",N($G246),0))))</f>
        <v/>
      </c>
      <c r="K246" s="41" t="str">
        <f aca="false">IF($B246="","",ROUND(N($J246)*N($I246),2))</f>
        <v/>
      </c>
      <c r="L246" s="42"/>
      <c r="M246" s="76"/>
      <c r="N246" s="43"/>
      <c r="R246" s="77" t="str">
        <f aca="false">IF($B246="","",$B246)</f>
        <v/>
      </c>
      <c r="S246" s="77" t="n">
        <f aca="false">IF($R246="",0,IF(MATCH($R246,$R$5:$R$904,0)=ROW()-4,1,0))</f>
        <v>0</v>
      </c>
      <c r="T246" s="77" t="n">
        <f aca="false">N(T245)+$S246</f>
        <v>18</v>
      </c>
    </row>
    <row r="247" customFormat="false" ht="13.5" hidden="false" customHeight="false" outlineLevel="0" collapsed="false">
      <c r="A247" s="9" t="str">
        <f aca="false">IF($B247="","",ROW()-4)</f>
        <v/>
      </c>
      <c r="B247" s="39" t="str">
        <f aca="false">IFERROR(INDEX(对接源_01入库吨位!$B$5:$B$304,MATCH(INT((ROW()-5)/3)+1,对接源_01入库吨位!$S$5:$S$304,0)),"")</f>
        <v/>
      </c>
      <c r="C247" s="39" t="str">
        <f aca="false">IFERROR(INDEX(对接源_01入库吨位!$C$5:$C$304,MATCH(INT((ROW()-5)/3)+1,对接源_01入库吨位!$S$5:$S$304,0)),"")</f>
        <v/>
      </c>
      <c r="D247" s="40" t="str">
        <f aca="false">IF($B247="","",IF(MOD(ROW()-5,3)=0,"周转打冷",IF(MOD(ROW()-5,3)=1,"仓储加工","装卸费")))</f>
        <v/>
      </c>
      <c r="E247" s="51" t="str">
        <f aca="false">IF($B247="","",IFERROR(IF($D247="周转打冷",N(INDEX(对接源_01入库吨位!$D$5:$D$304,MATCH(INT((ROW()-5)/3)+1,对接源_01入库吨位!$S$5:$S$304,0))),IF($D247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7" s="41" t="str">
        <f aca="false">IF($B247="","",ROUND(IFERROR(IF($D247="周转打冷",N(INDEX(对接源_01入库吨位!$H$5:$H$304,MATCH(INT((ROW()-5)/3)+1,对接源_01入库吨位!$S$5:$S$304,0))),IF($D247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7" s="52" t="str">
        <f aca="false">IF($B247="","",ROUND(N($F247)/1000,3))</f>
        <v/>
      </c>
      <c r="H247" s="74"/>
      <c r="I247" s="44"/>
      <c r="J247" s="75" t="str">
        <f aca="false">IF($B247="","",IF($H247="按筐数×单价",N($E247),IF($H247="按总重KG×单价",N($F247),IF($H247="按吨位×单价",N($G247),0))))</f>
        <v/>
      </c>
      <c r="K247" s="41" t="str">
        <f aca="false">IF($B247="","",ROUND(N($J247)*N($I247),2))</f>
        <v/>
      </c>
      <c r="L247" s="42"/>
      <c r="M247" s="76"/>
      <c r="N247" s="43"/>
      <c r="R247" s="77" t="str">
        <f aca="false">IF($B247="","",$B247)</f>
        <v/>
      </c>
      <c r="S247" s="77" t="n">
        <f aca="false">IF($R247="",0,IF(MATCH($R247,$R$5:$R$904,0)=ROW()-4,1,0))</f>
        <v>0</v>
      </c>
      <c r="T247" s="77" t="n">
        <f aca="false">N(T246)+$S247</f>
        <v>18</v>
      </c>
    </row>
    <row r="248" customFormat="false" ht="13.5" hidden="false" customHeight="false" outlineLevel="0" collapsed="false">
      <c r="A248" s="9" t="str">
        <f aca="false">IF($B248="","",ROW()-4)</f>
        <v/>
      </c>
      <c r="B248" s="39" t="str">
        <f aca="false">IFERROR(INDEX(对接源_01入库吨位!$B$5:$B$304,MATCH(INT((ROW()-5)/3)+1,对接源_01入库吨位!$S$5:$S$304,0)),"")</f>
        <v/>
      </c>
      <c r="C248" s="39" t="str">
        <f aca="false">IFERROR(INDEX(对接源_01入库吨位!$C$5:$C$304,MATCH(INT((ROW()-5)/3)+1,对接源_01入库吨位!$S$5:$S$304,0)),"")</f>
        <v/>
      </c>
      <c r="D248" s="40" t="str">
        <f aca="false">IF($B248="","",IF(MOD(ROW()-5,3)=0,"周转打冷",IF(MOD(ROW()-5,3)=1,"仓储加工","装卸费")))</f>
        <v/>
      </c>
      <c r="E248" s="51" t="str">
        <f aca="false">IF($B248="","",IFERROR(IF($D248="周转打冷",N(INDEX(对接源_01入库吨位!$D$5:$D$304,MATCH(INT((ROW()-5)/3)+1,对接源_01入库吨位!$S$5:$S$304,0))),IF($D248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8" s="41" t="str">
        <f aca="false">IF($B248="","",ROUND(IFERROR(IF($D248="周转打冷",N(INDEX(对接源_01入库吨位!$H$5:$H$304,MATCH(INT((ROW()-5)/3)+1,对接源_01入库吨位!$S$5:$S$304,0))),IF($D248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8" s="52" t="str">
        <f aca="false">IF($B248="","",ROUND(N($F248)/1000,3))</f>
        <v/>
      </c>
      <c r="H248" s="74"/>
      <c r="I248" s="44"/>
      <c r="J248" s="75" t="str">
        <f aca="false">IF($B248="","",IF($H248="按筐数×单价",N($E248),IF($H248="按总重KG×单价",N($F248),IF($H248="按吨位×单价",N($G248),0))))</f>
        <v/>
      </c>
      <c r="K248" s="41" t="str">
        <f aca="false">IF($B248="","",ROUND(N($J248)*N($I248),2))</f>
        <v/>
      </c>
      <c r="L248" s="42"/>
      <c r="M248" s="76"/>
      <c r="N248" s="43"/>
      <c r="R248" s="77" t="str">
        <f aca="false">IF($B248="","",$B248)</f>
        <v/>
      </c>
      <c r="S248" s="77" t="n">
        <f aca="false">IF($R248="",0,IF(MATCH($R248,$R$5:$R$904,0)=ROW()-4,1,0))</f>
        <v>0</v>
      </c>
      <c r="T248" s="77" t="n">
        <f aca="false">N(T247)+$S248</f>
        <v>18</v>
      </c>
    </row>
    <row r="249" customFormat="false" ht="13.5" hidden="false" customHeight="false" outlineLevel="0" collapsed="false">
      <c r="A249" s="9" t="str">
        <f aca="false">IF($B249="","",ROW()-4)</f>
        <v/>
      </c>
      <c r="B249" s="39" t="str">
        <f aca="false">IFERROR(INDEX(对接源_01入库吨位!$B$5:$B$304,MATCH(INT((ROW()-5)/3)+1,对接源_01入库吨位!$S$5:$S$304,0)),"")</f>
        <v/>
      </c>
      <c r="C249" s="39" t="str">
        <f aca="false">IFERROR(INDEX(对接源_01入库吨位!$C$5:$C$304,MATCH(INT((ROW()-5)/3)+1,对接源_01入库吨位!$S$5:$S$304,0)),"")</f>
        <v/>
      </c>
      <c r="D249" s="40" t="str">
        <f aca="false">IF($B249="","",IF(MOD(ROW()-5,3)=0,"周转打冷",IF(MOD(ROW()-5,3)=1,"仓储加工","装卸费")))</f>
        <v/>
      </c>
      <c r="E249" s="51" t="str">
        <f aca="false">IF($B249="","",IFERROR(IF($D249="周转打冷",N(INDEX(对接源_01入库吨位!$D$5:$D$304,MATCH(INT((ROW()-5)/3)+1,对接源_01入库吨位!$S$5:$S$304,0))),IF($D249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49" s="41" t="str">
        <f aca="false">IF($B249="","",ROUND(IFERROR(IF($D249="周转打冷",N(INDEX(对接源_01入库吨位!$H$5:$H$304,MATCH(INT((ROW()-5)/3)+1,对接源_01入库吨位!$S$5:$S$304,0))),IF($D249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49" s="52" t="str">
        <f aca="false">IF($B249="","",ROUND(N($F249)/1000,3))</f>
        <v/>
      </c>
      <c r="H249" s="74"/>
      <c r="I249" s="44"/>
      <c r="J249" s="75" t="str">
        <f aca="false">IF($B249="","",IF($H249="按筐数×单价",N($E249),IF($H249="按总重KG×单价",N($F249),IF($H249="按吨位×单价",N($G249),0))))</f>
        <v/>
      </c>
      <c r="K249" s="41" t="str">
        <f aca="false">IF($B249="","",ROUND(N($J249)*N($I249),2))</f>
        <v/>
      </c>
      <c r="L249" s="42"/>
      <c r="M249" s="76"/>
      <c r="N249" s="43"/>
      <c r="R249" s="77" t="str">
        <f aca="false">IF($B249="","",$B249)</f>
        <v/>
      </c>
      <c r="S249" s="77" t="n">
        <f aca="false">IF($R249="",0,IF(MATCH($R249,$R$5:$R$904,0)=ROW()-4,1,0))</f>
        <v>0</v>
      </c>
      <c r="T249" s="77" t="n">
        <f aca="false">N(T248)+$S249</f>
        <v>18</v>
      </c>
    </row>
    <row r="250" customFormat="false" ht="13.5" hidden="false" customHeight="false" outlineLevel="0" collapsed="false">
      <c r="A250" s="9" t="str">
        <f aca="false">IF($B250="","",ROW()-4)</f>
        <v/>
      </c>
      <c r="B250" s="39" t="str">
        <f aca="false">IFERROR(INDEX(对接源_01入库吨位!$B$5:$B$304,MATCH(INT((ROW()-5)/3)+1,对接源_01入库吨位!$S$5:$S$304,0)),"")</f>
        <v/>
      </c>
      <c r="C250" s="39" t="str">
        <f aca="false">IFERROR(INDEX(对接源_01入库吨位!$C$5:$C$304,MATCH(INT((ROW()-5)/3)+1,对接源_01入库吨位!$S$5:$S$304,0)),"")</f>
        <v/>
      </c>
      <c r="D250" s="40" t="str">
        <f aca="false">IF($B250="","",IF(MOD(ROW()-5,3)=0,"周转打冷",IF(MOD(ROW()-5,3)=1,"仓储加工","装卸费")))</f>
        <v/>
      </c>
      <c r="E250" s="51" t="str">
        <f aca="false">IF($B250="","",IFERROR(IF($D250="周转打冷",N(INDEX(对接源_01入库吨位!$D$5:$D$304,MATCH(INT((ROW()-5)/3)+1,对接源_01入库吨位!$S$5:$S$304,0))),IF($D250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0" s="41" t="str">
        <f aca="false">IF($B250="","",ROUND(IFERROR(IF($D250="周转打冷",N(INDEX(对接源_01入库吨位!$H$5:$H$304,MATCH(INT((ROW()-5)/3)+1,对接源_01入库吨位!$S$5:$S$304,0))),IF($D250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0" s="52" t="str">
        <f aca="false">IF($B250="","",ROUND(N($F250)/1000,3))</f>
        <v/>
      </c>
      <c r="H250" s="74"/>
      <c r="I250" s="44"/>
      <c r="J250" s="75" t="str">
        <f aca="false">IF($B250="","",IF($H250="按筐数×单价",N($E250),IF($H250="按总重KG×单价",N($F250),IF($H250="按吨位×单价",N($G250),0))))</f>
        <v/>
      </c>
      <c r="K250" s="41" t="str">
        <f aca="false">IF($B250="","",ROUND(N($J250)*N($I250),2))</f>
        <v/>
      </c>
      <c r="L250" s="42"/>
      <c r="M250" s="76"/>
      <c r="N250" s="43"/>
      <c r="R250" s="77" t="str">
        <f aca="false">IF($B250="","",$B250)</f>
        <v/>
      </c>
      <c r="S250" s="77" t="n">
        <f aca="false">IF($R250="",0,IF(MATCH($R250,$R$5:$R$904,0)=ROW()-4,1,0))</f>
        <v>0</v>
      </c>
      <c r="T250" s="77" t="n">
        <f aca="false">N(T249)+$S250</f>
        <v>18</v>
      </c>
    </row>
    <row r="251" customFormat="false" ht="13.5" hidden="false" customHeight="false" outlineLevel="0" collapsed="false">
      <c r="A251" s="9" t="str">
        <f aca="false">IF($B251="","",ROW()-4)</f>
        <v/>
      </c>
      <c r="B251" s="39" t="str">
        <f aca="false">IFERROR(INDEX(对接源_01入库吨位!$B$5:$B$304,MATCH(INT((ROW()-5)/3)+1,对接源_01入库吨位!$S$5:$S$304,0)),"")</f>
        <v/>
      </c>
      <c r="C251" s="39" t="str">
        <f aca="false">IFERROR(INDEX(对接源_01入库吨位!$C$5:$C$304,MATCH(INT((ROW()-5)/3)+1,对接源_01入库吨位!$S$5:$S$304,0)),"")</f>
        <v/>
      </c>
      <c r="D251" s="40" t="str">
        <f aca="false">IF($B251="","",IF(MOD(ROW()-5,3)=0,"周转打冷",IF(MOD(ROW()-5,3)=1,"仓储加工","装卸费")))</f>
        <v/>
      </c>
      <c r="E251" s="51" t="str">
        <f aca="false">IF($B251="","",IFERROR(IF($D251="周转打冷",N(INDEX(对接源_01入库吨位!$D$5:$D$304,MATCH(INT((ROW()-5)/3)+1,对接源_01入库吨位!$S$5:$S$304,0))),IF($D251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1" s="41" t="str">
        <f aca="false">IF($B251="","",ROUND(IFERROR(IF($D251="周转打冷",N(INDEX(对接源_01入库吨位!$H$5:$H$304,MATCH(INT((ROW()-5)/3)+1,对接源_01入库吨位!$S$5:$S$304,0))),IF($D251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1" s="52" t="str">
        <f aca="false">IF($B251="","",ROUND(N($F251)/1000,3))</f>
        <v/>
      </c>
      <c r="H251" s="74"/>
      <c r="I251" s="44"/>
      <c r="J251" s="75" t="str">
        <f aca="false">IF($B251="","",IF($H251="按筐数×单价",N($E251),IF($H251="按总重KG×单价",N($F251),IF($H251="按吨位×单价",N($G251),0))))</f>
        <v/>
      </c>
      <c r="K251" s="41" t="str">
        <f aca="false">IF($B251="","",ROUND(N($J251)*N($I251),2))</f>
        <v/>
      </c>
      <c r="L251" s="42"/>
      <c r="M251" s="76"/>
      <c r="N251" s="43"/>
      <c r="R251" s="77" t="str">
        <f aca="false">IF($B251="","",$B251)</f>
        <v/>
      </c>
      <c r="S251" s="77" t="n">
        <f aca="false">IF($R251="",0,IF(MATCH($R251,$R$5:$R$904,0)=ROW()-4,1,0))</f>
        <v>0</v>
      </c>
      <c r="T251" s="77" t="n">
        <f aca="false">N(T250)+$S251</f>
        <v>18</v>
      </c>
    </row>
    <row r="252" customFormat="false" ht="13.5" hidden="false" customHeight="false" outlineLevel="0" collapsed="false">
      <c r="A252" s="9" t="str">
        <f aca="false">IF($B252="","",ROW()-4)</f>
        <v/>
      </c>
      <c r="B252" s="39" t="str">
        <f aca="false">IFERROR(INDEX(对接源_01入库吨位!$B$5:$B$304,MATCH(INT((ROW()-5)/3)+1,对接源_01入库吨位!$S$5:$S$304,0)),"")</f>
        <v/>
      </c>
      <c r="C252" s="39" t="str">
        <f aca="false">IFERROR(INDEX(对接源_01入库吨位!$C$5:$C$304,MATCH(INT((ROW()-5)/3)+1,对接源_01入库吨位!$S$5:$S$304,0)),"")</f>
        <v/>
      </c>
      <c r="D252" s="40" t="str">
        <f aca="false">IF($B252="","",IF(MOD(ROW()-5,3)=0,"周转打冷",IF(MOD(ROW()-5,3)=1,"仓储加工","装卸费")))</f>
        <v/>
      </c>
      <c r="E252" s="51" t="str">
        <f aca="false">IF($B252="","",IFERROR(IF($D252="周转打冷",N(INDEX(对接源_01入库吨位!$D$5:$D$304,MATCH(INT((ROW()-5)/3)+1,对接源_01入库吨位!$S$5:$S$304,0))),IF($D252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2" s="41" t="str">
        <f aca="false">IF($B252="","",ROUND(IFERROR(IF($D252="周转打冷",N(INDEX(对接源_01入库吨位!$H$5:$H$304,MATCH(INT((ROW()-5)/3)+1,对接源_01入库吨位!$S$5:$S$304,0))),IF($D252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2" s="52" t="str">
        <f aca="false">IF($B252="","",ROUND(N($F252)/1000,3))</f>
        <v/>
      </c>
      <c r="H252" s="74"/>
      <c r="I252" s="44"/>
      <c r="J252" s="75" t="str">
        <f aca="false">IF($B252="","",IF($H252="按筐数×单价",N($E252),IF($H252="按总重KG×单价",N($F252),IF($H252="按吨位×单价",N($G252),0))))</f>
        <v/>
      </c>
      <c r="K252" s="41" t="str">
        <f aca="false">IF($B252="","",ROUND(N($J252)*N($I252),2))</f>
        <v/>
      </c>
      <c r="L252" s="42"/>
      <c r="M252" s="76"/>
      <c r="N252" s="43"/>
      <c r="R252" s="77" t="str">
        <f aca="false">IF($B252="","",$B252)</f>
        <v/>
      </c>
      <c r="S252" s="77" t="n">
        <f aca="false">IF($R252="",0,IF(MATCH($R252,$R$5:$R$904,0)=ROW()-4,1,0))</f>
        <v>0</v>
      </c>
      <c r="T252" s="77" t="n">
        <f aca="false">N(T251)+$S252</f>
        <v>18</v>
      </c>
    </row>
    <row r="253" customFormat="false" ht="13.5" hidden="false" customHeight="false" outlineLevel="0" collapsed="false">
      <c r="A253" s="9" t="str">
        <f aca="false">IF($B253="","",ROW()-4)</f>
        <v/>
      </c>
      <c r="B253" s="39" t="str">
        <f aca="false">IFERROR(INDEX(对接源_01入库吨位!$B$5:$B$304,MATCH(INT((ROW()-5)/3)+1,对接源_01入库吨位!$S$5:$S$304,0)),"")</f>
        <v/>
      </c>
      <c r="C253" s="39" t="str">
        <f aca="false">IFERROR(INDEX(对接源_01入库吨位!$C$5:$C$304,MATCH(INT((ROW()-5)/3)+1,对接源_01入库吨位!$S$5:$S$304,0)),"")</f>
        <v/>
      </c>
      <c r="D253" s="40" t="str">
        <f aca="false">IF($B253="","",IF(MOD(ROW()-5,3)=0,"周转打冷",IF(MOD(ROW()-5,3)=1,"仓储加工","装卸费")))</f>
        <v/>
      </c>
      <c r="E253" s="51" t="str">
        <f aca="false">IF($B253="","",IFERROR(IF($D253="周转打冷",N(INDEX(对接源_01入库吨位!$D$5:$D$304,MATCH(INT((ROW()-5)/3)+1,对接源_01入库吨位!$S$5:$S$304,0))),IF($D253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3" s="41" t="str">
        <f aca="false">IF($B253="","",ROUND(IFERROR(IF($D253="周转打冷",N(INDEX(对接源_01入库吨位!$H$5:$H$304,MATCH(INT((ROW()-5)/3)+1,对接源_01入库吨位!$S$5:$S$304,0))),IF($D253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3" s="52" t="str">
        <f aca="false">IF($B253="","",ROUND(N($F253)/1000,3))</f>
        <v/>
      </c>
      <c r="H253" s="74"/>
      <c r="I253" s="44"/>
      <c r="J253" s="75" t="str">
        <f aca="false">IF($B253="","",IF($H253="按筐数×单价",N($E253),IF($H253="按总重KG×单价",N($F253),IF($H253="按吨位×单价",N($G253),0))))</f>
        <v/>
      </c>
      <c r="K253" s="41" t="str">
        <f aca="false">IF($B253="","",ROUND(N($J253)*N($I253),2))</f>
        <v/>
      </c>
      <c r="L253" s="42"/>
      <c r="M253" s="76"/>
      <c r="N253" s="43"/>
      <c r="R253" s="77" t="str">
        <f aca="false">IF($B253="","",$B253)</f>
        <v/>
      </c>
      <c r="S253" s="77" t="n">
        <f aca="false">IF($R253="",0,IF(MATCH($R253,$R$5:$R$904,0)=ROW()-4,1,0))</f>
        <v>0</v>
      </c>
      <c r="T253" s="77" t="n">
        <f aca="false">N(T252)+$S253</f>
        <v>18</v>
      </c>
    </row>
    <row r="254" customFormat="false" ht="13.5" hidden="false" customHeight="false" outlineLevel="0" collapsed="false">
      <c r="A254" s="9" t="str">
        <f aca="false">IF($B254="","",ROW()-4)</f>
        <v/>
      </c>
      <c r="B254" s="39" t="str">
        <f aca="false">IFERROR(INDEX(对接源_01入库吨位!$B$5:$B$304,MATCH(INT((ROW()-5)/3)+1,对接源_01入库吨位!$S$5:$S$304,0)),"")</f>
        <v/>
      </c>
      <c r="C254" s="39" t="str">
        <f aca="false">IFERROR(INDEX(对接源_01入库吨位!$C$5:$C$304,MATCH(INT((ROW()-5)/3)+1,对接源_01入库吨位!$S$5:$S$304,0)),"")</f>
        <v/>
      </c>
      <c r="D254" s="40" t="str">
        <f aca="false">IF($B254="","",IF(MOD(ROW()-5,3)=0,"周转打冷",IF(MOD(ROW()-5,3)=1,"仓储加工","装卸费")))</f>
        <v/>
      </c>
      <c r="E254" s="51" t="str">
        <f aca="false">IF($B254="","",IFERROR(IF($D254="周转打冷",N(INDEX(对接源_01入库吨位!$D$5:$D$304,MATCH(INT((ROW()-5)/3)+1,对接源_01入库吨位!$S$5:$S$304,0))),IF($D254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4" s="41" t="str">
        <f aca="false">IF($B254="","",ROUND(IFERROR(IF($D254="周转打冷",N(INDEX(对接源_01入库吨位!$H$5:$H$304,MATCH(INT((ROW()-5)/3)+1,对接源_01入库吨位!$S$5:$S$304,0))),IF($D254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4" s="52" t="str">
        <f aca="false">IF($B254="","",ROUND(N($F254)/1000,3))</f>
        <v/>
      </c>
      <c r="H254" s="74"/>
      <c r="I254" s="44"/>
      <c r="J254" s="75" t="str">
        <f aca="false">IF($B254="","",IF($H254="按筐数×单价",N($E254),IF($H254="按总重KG×单价",N($F254),IF($H254="按吨位×单价",N($G254),0))))</f>
        <v/>
      </c>
      <c r="K254" s="41" t="str">
        <f aca="false">IF($B254="","",ROUND(N($J254)*N($I254),2))</f>
        <v/>
      </c>
      <c r="L254" s="42"/>
      <c r="M254" s="76"/>
      <c r="N254" s="43"/>
      <c r="R254" s="77" t="str">
        <f aca="false">IF($B254="","",$B254)</f>
        <v/>
      </c>
      <c r="S254" s="77" t="n">
        <f aca="false">IF($R254="",0,IF(MATCH($R254,$R$5:$R$904,0)=ROW()-4,1,0))</f>
        <v>0</v>
      </c>
      <c r="T254" s="77" t="n">
        <f aca="false">N(T253)+$S254</f>
        <v>18</v>
      </c>
    </row>
    <row r="255" customFormat="false" ht="13.5" hidden="false" customHeight="false" outlineLevel="0" collapsed="false">
      <c r="A255" s="9" t="str">
        <f aca="false">IF($B255="","",ROW()-4)</f>
        <v/>
      </c>
      <c r="B255" s="39" t="str">
        <f aca="false">IFERROR(INDEX(对接源_01入库吨位!$B$5:$B$304,MATCH(INT((ROW()-5)/3)+1,对接源_01入库吨位!$S$5:$S$304,0)),"")</f>
        <v/>
      </c>
      <c r="C255" s="39" t="str">
        <f aca="false">IFERROR(INDEX(对接源_01入库吨位!$C$5:$C$304,MATCH(INT((ROW()-5)/3)+1,对接源_01入库吨位!$S$5:$S$304,0)),"")</f>
        <v/>
      </c>
      <c r="D255" s="40" t="str">
        <f aca="false">IF($B255="","",IF(MOD(ROW()-5,3)=0,"周转打冷",IF(MOD(ROW()-5,3)=1,"仓储加工","装卸费")))</f>
        <v/>
      </c>
      <c r="E255" s="51" t="str">
        <f aca="false">IF($B255="","",IFERROR(IF($D255="周转打冷",N(INDEX(对接源_01入库吨位!$D$5:$D$304,MATCH(INT((ROW()-5)/3)+1,对接源_01入库吨位!$S$5:$S$304,0))),IF($D255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5" s="41" t="str">
        <f aca="false">IF($B255="","",ROUND(IFERROR(IF($D255="周转打冷",N(INDEX(对接源_01入库吨位!$H$5:$H$304,MATCH(INT((ROW()-5)/3)+1,对接源_01入库吨位!$S$5:$S$304,0))),IF($D255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5" s="52" t="str">
        <f aca="false">IF($B255="","",ROUND(N($F255)/1000,3))</f>
        <v/>
      </c>
      <c r="H255" s="74"/>
      <c r="I255" s="44"/>
      <c r="J255" s="75" t="str">
        <f aca="false">IF($B255="","",IF($H255="按筐数×单价",N($E255),IF($H255="按总重KG×单价",N($F255),IF($H255="按吨位×单价",N($G255),0))))</f>
        <v/>
      </c>
      <c r="K255" s="41" t="str">
        <f aca="false">IF($B255="","",ROUND(N($J255)*N($I255),2))</f>
        <v/>
      </c>
      <c r="L255" s="42"/>
      <c r="M255" s="76"/>
      <c r="N255" s="43"/>
      <c r="R255" s="77" t="str">
        <f aca="false">IF($B255="","",$B255)</f>
        <v/>
      </c>
      <c r="S255" s="77" t="n">
        <f aca="false">IF($R255="",0,IF(MATCH($R255,$R$5:$R$904,0)=ROW()-4,1,0))</f>
        <v>0</v>
      </c>
      <c r="T255" s="77" t="n">
        <f aca="false">N(T254)+$S255</f>
        <v>18</v>
      </c>
    </row>
    <row r="256" customFormat="false" ht="13.5" hidden="false" customHeight="false" outlineLevel="0" collapsed="false">
      <c r="A256" s="9" t="str">
        <f aca="false">IF($B256="","",ROW()-4)</f>
        <v/>
      </c>
      <c r="B256" s="39" t="str">
        <f aca="false">IFERROR(INDEX(对接源_01入库吨位!$B$5:$B$304,MATCH(INT((ROW()-5)/3)+1,对接源_01入库吨位!$S$5:$S$304,0)),"")</f>
        <v/>
      </c>
      <c r="C256" s="39" t="str">
        <f aca="false">IFERROR(INDEX(对接源_01入库吨位!$C$5:$C$304,MATCH(INT((ROW()-5)/3)+1,对接源_01入库吨位!$S$5:$S$304,0)),"")</f>
        <v/>
      </c>
      <c r="D256" s="40" t="str">
        <f aca="false">IF($B256="","",IF(MOD(ROW()-5,3)=0,"周转打冷",IF(MOD(ROW()-5,3)=1,"仓储加工","装卸费")))</f>
        <v/>
      </c>
      <c r="E256" s="51" t="str">
        <f aca="false">IF($B256="","",IFERROR(IF($D256="周转打冷",N(INDEX(对接源_01入库吨位!$D$5:$D$304,MATCH(INT((ROW()-5)/3)+1,对接源_01入库吨位!$S$5:$S$304,0))),IF($D256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6" s="41" t="str">
        <f aca="false">IF($B256="","",ROUND(IFERROR(IF($D256="周转打冷",N(INDEX(对接源_01入库吨位!$H$5:$H$304,MATCH(INT((ROW()-5)/3)+1,对接源_01入库吨位!$S$5:$S$304,0))),IF($D256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6" s="52" t="str">
        <f aca="false">IF($B256="","",ROUND(N($F256)/1000,3))</f>
        <v/>
      </c>
      <c r="H256" s="74"/>
      <c r="I256" s="44"/>
      <c r="J256" s="75" t="str">
        <f aca="false">IF($B256="","",IF($H256="按筐数×单价",N($E256),IF($H256="按总重KG×单价",N($F256),IF($H256="按吨位×单价",N($G256),0))))</f>
        <v/>
      </c>
      <c r="K256" s="41" t="str">
        <f aca="false">IF($B256="","",ROUND(N($J256)*N($I256),2))</f>
        <v/>
      </c>
      <c r="L256" s="42"/>
      <c r="M256" s="76"/>
      <c r="N256" s="43"/>
      <c r="R256" s="77" t="str">
        <f aca="false">IF($B256="","",$B256)</f>
        <v/>
      </c>
      <c r="S256" s="77" t="n">
        <f aca="false">IF($R256="",0,IF(MATCH($R256,$R$5:$R$904,0)=ROW()-4,1,0))</f>
        <v>0</v>
      </c>
      <c r="T256" s="77" t="n">
        <f aca="false">N(T255)+$S256</f>
        <v>18</v>
      </c>
    </row>
    <row r="257" customFormat="false" ht="13.5" hidden="false" customHeight="false" outlineLevel="0" collapsed="false">
      <c r="A257" s="9" t="str">
        <f aca="false">IF($B257="","",ROW()-4)</f>
        <v/>
      </c>
      <c r="B257" s="39" t="str">
        <f aca="false">IFERROR(INDEX(对接源_01入库吨位!$B$5:$B$304,MATCH(INT((ROW()-5)/3)+1,对接源_01入库吨位!$S$5:$S$304,0)),"")</f>
        <v/>
      </c>
      <c r="C257" s="39" t="str">
        <f aca="false">IFERROR(INDEX(对接源_01入库吨位!$C$5:$C$304,MATCH(INT((ROW()-5)/3)+1,对接源_01入库吨位!$S$5:$S$304,0)),"")</f>
        <v/>
      </c>
      <c r="D257" s="40" t="str">
        <f aca="false">IF($B257="","",IF(MOD(ROW()-5,3)=0,"周转打冷",IF(MOD(ROW()-5,3)=1,"仓储加工","装卸费")))</f>
        <v/>
      </c>
      <c r="E257" s="51" t="str">
        <f aca="false">IF($B257="","",IFERROR(IF($D257="周转打冷",N(INDEX(对接源_01入库吨位!$D$5:$D$304,MATCH(INT((ROW()-5)/3)+1,对接源_01入库吨位!$S$5:$S$304,0))),IF($D257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7" s="41" t="str">
        <f aca="false">IF($B257="","",ROUND(IFERROR(IF($D257="周转打冷",N(INDEX(对接源_01入库吨位!$H$5:$H$304,MATCH(INT((ROW()-5)/3)+1,对接源_01入库吨位!$S$5:$S$304,0))),IF($D257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7" s="52" t="str">
        <f aca="false">IF($B257="","",ROUND(N($F257)/1000,3))</f>
        <v/>
      </c>
      <c r="H257" s="74"/>
      <c r="I257" s="44"/>
      <c r="J257" s="75" t="str">
        <f aca="false">IF($B257="","",IF($H257="按筐数×单价",N($E257),IF($H257="按总重KG×单价",N($F257),IF($H257="按吨位×单价",N($G257),0))))</f>
        <v/>
      </c>
      <c r="K257" s="41" t="str">
        <f aca="false">IF($B257="","",ROUND(N($J257)*N($I257),2))</f>
        <v/>
      </c>
      <c r="L257" s="42"/>
      <c r="M257" s="76"/>
      <c r="N257" s="43"/>
      <c r="R257" s="77" t="str">
        <f aca="false">IF($B257="","",$B257)</f>
        <v/>
      </c>
      <c r="S257" s="77" t="n">
        <f aca="false">IF($R257="",0,IF(MATCH($R257,$R$5:$R$904,0)=ROW()-4,1,0))</f>
        <v>0</v>
      </c>
      <c r="T257" s="77" t="n">
        <f aca="false">N(T256)+$S257</f>
        <v>18</v>
      </c>
    </row>
    <row r="258" customFormat="false" ht="13.5" hidden="false" customHeight="false" outlineLevel="0" collapsed="false">
      <c r="A258" s="9" t="str">
        <f aca="false">IF($B258="","",ROW()-4)</f>
        <v/>
      </c>
      <c r="B258" s="39" t="str">
        <f aca="false">IFERROR(INDEX(对接源_01入库吨位!$B$5:$B$304,MATCH(INT((ROW()-5)/3)+1,对接源_01入库吨位!$S$5:$S$304,0)),"")</f>
        <v/>
      </c>
      <c r="C258" s="39" t="str">
        <f aca="false">IFERROR(INDEX(对接源_01入库吨位!$C$5:$C$304,MATCH(INT((ROW()-5)/3)+1,对接源_01入库吨位!$S$5:$S$304,0)),"")</f>
        <v/>
      </c>
      <c r="D258" s="40" t="str">
        <f aca="false">IF($B258="","",IF(MOD(ROW()-5,3)=0,"周转打冷",IF(MOD(ROW()-5,3)=1,"仓储加工","装卸费")))</f>
        <v/>
      </c>
      <c r="E258" s="51" t="str">
        <f aca="false">IF($B258="","",IFERROR(IF($D258="周转打冷",N(INDEX(对接源_01入库吨位!$D$5:$D$304,MATCH(INT((ROW()-5)/3)+1,对接源_01入库吨位!$S$5:$S$304,0))),IF($D258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8" s="41" t="str">
        <f aca="false">IF($B258="","",ROUND(IFERROR(IF($D258="周转打冷",N(INDEX(对接源_01入库吨位!$H$5:$H$304,MATCH(INT((ROW()-5)/3)+1,对接源_01入库吨位!$S$5:$S$304,0))),IF($D258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8" s="52" t="str">
        <f aca="false">IF($B258="","",ROUND(N($F258)/1000,3))</f>
        <v/>
      </c>
      <c r="H258" s="74"/>
      <c r="I258" s="44"/>
      <c r="J258" s="75" t="str">
        <f aca="false">IF($B258="","",IF($H258="按筐数×单价",N($E258),IF($H258="按总重KG×单价",N($F258),IF($H258="按吨位×单价",N($G258),0))))</f>
        <v/>
      </c>
      <c r="K258" s="41" t="str">
        <f aca="false">IF($B258="","",ROUND(N($J258)*N($I258),2))</f>
        <v/>
      </c>
      <c r="L258" s="42"/>
      <c r="M258" s="76"/>
      <c r="N258" s="43"/>
      <c r="R258" s="77" t="str">
        <f aca="false">IF($B258="","",$B258)</f>
        <v/>
      </c>
      <c r="S258" s="77" t="n">
        <f aca="false">IF($R258="",0,IF(MATCH($R258,$R$5:$R$904,0)=ROW()-4,1,0))</f>
        <v>0</v>
      </c>
      <c r="T258" s="77" t="n">
        <f aca="false">N(T257)+$S258</f>
        <v>18</v>
      </c>
    </row>
    <row r="259" customFormat="false" ht="13.5" hidden="false" customHeight="false" outlineLevel="0" collapsed="false">
      <c r="A259" s="9" t="str">
        <f aca="false">IF($B259="","",ROW()-4)</f>
        <v/>
      </c>
      <c r="B259" s="39" t="str">
        <f aca="false">IFERROR(INDEX(对接源_01入库吨位!$B$5:$B$304,MATCH(INT((ROW()-5)/3)+1,对接源_01入库吨位!$S$5:$S$304,0)),"")</f>
        <v/>
      </c>
      <c r="C259" s="39" t="str">
        <f aca="false">IFERROR(INDEX(对接源_01入库吨位!$C$5:$C$304,MATCH(INT((ROW()-5)/3)+1,对接源_01入库吨位!$S$5:$S$304,0)),"")</f>
        <v/>
      </c>
      <c r="D259" s="40" t="str">
        <f aca="false">IF($B259="","",IF(MOD(ROW()-5,3)=0,"周转打冷",IF(MOD(ROW()-5,3)=1,"仓储加工","装卸费")))</f>
        <v/>
      </c>
      <c r="E259" s="51" t="str">
        <f aca="false">IF($B259="","",IFERROR(IF($D259="周转打冷",N(INDEX(对接源_01入库吨位!$D$5:$D$304,MATCH(INT((ROW()-5)/3)+1,对接源_01入库吨位!$S$5:$S$304,0))),IF($D259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59" s="41" t="str">
        <f aca="false">IF($B259="","",ROUND(IFERROR(IF($D259="周转打冷",N(INDEX(对接源_01入库吨位!$H$5:$H$304,MATCH(INT((ROW()-5)/3)+1,对接源_01入库吨位!$S$5:$S$304,0))),IF($D259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59" s="52" t="str">
        <f aca="false">IF($B259="","",ROUND(N($F259)/1000,3))</f>
        <v/>
      </c>
      <c r="H259" s="74"/>
      <c r="I259" s="44"/>
      <c r="J259" s="75" t="str">
        <f aca="false">IF($B259="","",IF($H259="按筐数×单价",N($E259),IF($H259="按总重KG×单价",N($F259),IF($H259="按吨位×单价",N($G259),0))))</f>
        <v/>
      </c>
      <c r="K259" s="41" t="str">
        <f aca="false">IF($B259="","",ROUND(N($J259)*N($I259),2))</f>
        <v/>
      </c>
      <c r="L259" s="42"/>
      <c r="M259" s="76"/>
      <c r="N259" s="43"/>
      <c r="R259" s="77" t="str">
        <f aca="false">IF($B259="","",$B259)</f>
        <v/>
      </c>
      <c r="S259" s="77" t="n">
        <f aca="false">IF($R259="",0,IF(MATCH($R259,$R$5:$R$904,0)=ROW()-4,1,0))</f>
        <v>0</v>
      </c>
      <c r="T259" s="77" t="n">
        <f aca="false">N(T258)+$S259</f>
        <v>18</v>
      </c>
    </row>
    <row r="260" customFormat="false" ht="13.5" hidden="false" customHeight="false" outlineLevel="0" collapsed="false">
      <c r="A260" s="9" t="str">
        <f aca="false">IF($B260="","",ROW()-4)</f>
        <v/>
      </c>
      <c r="B260" s="39" t="str">
        <f aca="false">IFERROR(INDEX(对接源_01入库吨位!$B$5:$B$304,MATCH(INT((ROW()-5)/3)+1,对接源_01入库吨位!$S$5:$S$304,0)),"")</f>
        <v/>
      </c>
      <c r="C260" s="39" t="str">
        <f aca="false">IFERROR(INDEX(对接源_01入库吨位!$C$5:$C$304,MATCH(INT((ROW()-5)/3)+1,对接源_01入库吨位!$S$5:$S$304,0)),"")</f>
        <v/>
      </c>
      <c r="D260" s="40" t="str">
        <f aca="false">IF($B260="","",IF(MOD(ROW()-5,3)=0,"周转打冷",IF(MOD(ROW()-5,3)=1,"仓储加工","装卸费")))</f>
        <v/>
      </c>
      <c r="E260" s="51" t="str">
        <f aca="false">IF($B260="","",IFERROR(IF($D260="周转打冷",N(INDEX(对接源_01入库吨位!$D$5:$D$304,MATCH(INT((ROW()-5)/3)+1,对接源_01入库吨位!$S$5:$S$304,0))),IF($D260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0" s="41" t="str">
        <f aca="false">IF($B260="","",ROUND(IFERROR(IF($D260="周转打冷",N(INDEX(对接源_01入库吨位!$H$5:$H$304,MATCH(INT((ROW()-5)/3)+1,对接源_01入库吨位!$S$5:$S$304,0))),IF($D260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0" s="52" t="str">
        <f aca="false">IF($B260="","",ROUND(N($F260)/1000,3))</f>
        <v/>
      </c>
      <c r="H260" s="74"/>
      <c r="I260" s="44"/>
      <c r="J260" s="75" t="str">
        <f aca="false">IF($B260="","",IF($H260="按筐数×单价",N($E260),IF($H260="按总重KG×单价",N($F260),IF($H260="按吨位×单价",N($G260),0))))</f>
        <v/>
      </c>
      <c r="K260" s="41" t="str">
        <f aca="false">IF($B260="","",ROUND(N($J260)*N($I260),2))</f>
        <v/>
      </c>
      <c r="L260" s="42"/>
      <c r="M260" s="76"/>
      <c r="N260" s="43"/>
      <c r="R260" s="77" t="str">
        <f aca="false">IF($B260="","",$B260)</f>
        <v/>
      </c>
      <c r="S260" s="77" t="n">
        <f aca="false">IF($R260="",0,IF(MATCH($R260,$R$5:$R$904,0)=ROW()-4,1,0))</f>
        <v>0</v>
      </c>
      <c r="T260" s="77" t="n">
        <f aca="false">N(T259)+$S260</f>
        <v>18</v>
      </c>
    </row>
    <row r="261" customFormat="false" ht="13.5" hidden="false" customHeight="false" outlineLevel="0" collapsed="false">
      <c r="A261" s="9" t="str">
        <f aca="false">IF($B261="","",ROW()-4)</f>
        <v/>
      </c>
      <c r="B261" s="39" t="str">
        <f aca="false">IFERROR(INDEX(对接源_01入库吨位!$B$5:$B$304,MATCH(INT((ROW()-5)/3)+1,对接源_01入库吨位!$S$5:$S$304,0)),"")</f>
        <v/>
      </c>
      <c r="C261" s="39" t="str">
        <f aca="false">IFERROR(INDEX(对接源_01入库吨位!$C$5:$C$304,MATCH(INT((ROW()-5)/3)+1,对接源_01入库吨位!$S$5:$S$304,0)),"")</f>
        <v/>
      </c>
      <c r="D261" s="40" t="str">
        <f aca="false">IF($B261="","",IF(MOD(ROW()-5,3)=0,"周转打冷",IF(MOD(ROW()-5,3)=1,"仓储加工","装卸费")))</f>
        <v/>
      </c>
      <c r="E261" s="51" t="str">
        <f aca="false">IF($B261="","",IFERROR(IF($D261="周转打冷",N(INDEX(对接源_01入库吨位!$D$5:$D$304,MATCH(INT((ROW()-5)/3)+1,对接源_01入库吨位!$S$5:$S$304,0))),IF($D261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1" s="41" t="str">
        <f aca="false">IF($B261="","",ROUND(IFERROR(IF($D261="周转打冷",N(INDEX(对接源_01入库吨位!$H$5:$H$304,MATCH(INT((ROW()-5)/3)+1,对接源_01入库吨位!$S$5:$S$304,0))),IF($D261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1" s="52" t="str">
        <f aca="false">IF($B261="","",ROUND(N($F261)/1000,3))</f>
        <v/>
      </c>
      <c r="H261" s="74"/>
      <c r="I261" s="44"/>
      <c r="J261" s="75" t="str">
        <f aca="false">IF($B261="","",IF($H261="按筐数×单价",N($E261),IF($H261="按总重KG×单价",N($F261),IF($H261="按吨位×单价",N($G261),0))))</f>
        <v/>
      </c>
      <c r="K261" s="41" t="str">
        <f aca="false">IF($B261="","",ROUND(N($J261)*N($I261),2))</f>
        <v/>
      </c>
      <c r="L261" s="42"/>
      <c r="M261" s="76"/>
      <c r="N261" s="43"/>
      <c r="R261" s="77" t="str">
        <f aca="false">IF($B261="","",$B261)</f>
        <v/>
      </c>
      <c r="S261" s="77" t="n">
        <f aca="false">IF($R261="",0,IF(MATCH($R261,$R$5:$R$904,0)=ROW()-4,1,0))</f>
        <v>0</v>
      </c>
      <c r="T261" s="77" t="n">
        <f aca="false">N(T260)+$S261</f>
        <v>18</v>
      </c>
    </row>
    <row r="262" customFormat="false" ht="13.5" hidden="false" customHeight="false" outlineLevel="0" collapsed="false">
      <c r="A262" s="9" t="str">
        <f aca="false">IF($B262="","",ROW()-4)</f>
        <v/>
      </c>
      <c r="B262" s="39" t="str">
        <f aca="false">IFERROR(INDEX(对接源_01入库吨位!$B$5:$B$304,MATCH(INT((ROW()-5)/3)+1,对接源_01入库吨位!$S$5:$S$304,0)),"")</f>
        <v/>
      </c>
      <c r="C262" s="39" t="str">
        <f aca="false">IFERROR(INDEX(对接源_01入库吨位!$C$5:$C$304,MATCH(INT((ROW()-5)/3)+1,对接源_01入库吨位!$S$5:$S$304,0)),"")</f>
        <v/>
      </c>
      <c r="D262" s="40" t="str">
        <f aca="false">IF($B262="","",IF(MOD(ROW()-5,3)=0,"周转打冷",IF(MOD(ROW()-5,3)=1,"仓储加工","装卸费")))</f>
        <v/>
      </c>
      <c r="E262" s="51" t="str">
        <f aca="false">IF($B262="","",IFERROR(IF($D262="周转打冷",N(INDEX(对接源_01入库吨位!$D$5:$D$304,MATCH(INT((ROW()-5)/3)+1,对接源_01入库吨位!$S$5:$S$304,0))),IF($D262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2" s="41" t="str">
        <f aca="false">IF($B262="","",ROUND(IFERROR(IF($D262="周转打冷",N(INDEX(对接源_01入库吨位!$H$5:$H$304,MATCH(INT((ROW()-5)/3)+1,对接源_01入库吨位!$S$5:$S$304,0))),IF($D262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2" s="52" t="str">
        <f aca="false">IF($B262="","",ROUND(N($F262)/1000,3))</f>
        <v/>
      </c>
      <c r="H262" s="74"/>
      <c r="I262" s="44"/>
      <c r="J262" s="75" t="str">
        <f aca="false">IF($B262="","",IF($H262="按筐数×单价",N($E262),IF($H262="按总重KG×单价",N($F262),IF($H262="按吨位×单价",N($G262),0))))</f>
        <v/>
      </c>
      <c r="K262" s="41" t="str">
        <f aca="false">IF($B262="","",ROUND(N($J262)*N($I262),2))</f>
        <v/>
      </c>
      <c r="L262" s="42"/>
      <c r="M262" s="76"/>
      <c r="N262" s="43"/>
      <c r="R262" s="77" t="str">
        <f aca="false">IF($B262="","",$B262)</f>
        <v/>
      </c>
      <c r="S262" s="77" t="n">
        <f aca="false">IF($R262="",0,IF(MATCH($R262,$R$5:$R$904,0)=ROW()-4,1,0))</f>
        <v>0</v>
      </c>
      <c r="T262" s="77" t="n">
        <f aca="false">N(T261)+$S262</f>
        <v>18</v>
      </c>
    </row>
    <row r="263" customFormat="false" ht="13.5" hidden="false" customHeight="false" outlineLevel="0" collapsed="false">
      <c r="A263" s="9" t="str">
        <f aca="false">IF($B263="","",ROW()-4)</f>
        <v/>
      </c>
      <c r="B263" s="39" t="str">
        <f aca="false">IFERROR(INDEX(对接源_01入库吨位!$B$5:$B$304,MATCH(INT((ROW()-5)/3)+1,对接源_01入库吨位!$S$5:$S$304,0)),"")</f>
        <v/>
      </c>
      <c r="C263" s="39" t="str">
        <f aca="false">IFERROR(INDEX(对接源_01入库吨位!$C$5:$C$304,MATCH(INT((ROW()-5)/3)+1,对接源_01入库吨位!$S$5:$S$304,0)),"")</f>
        <v/>
      </c>
      <c r="D263" s="40" t="str">
        <f aca="false">IF($B263="","",IF(MOD(ROW()-5,3)=0,"周转打冷",IF(MOD(ROW()-5,3)=1,"仓储加工","装卸费")))</f>
        <v/>
      </c>
      <c r="E263" s="51" t="str">
        <f aca="false">IF($B263="","",IFERROR(IF($D263="周转打冷",N(INDEX(对接源_01入库吨位!$D$5:$D$304,MATCH(INT((ROW()-5)/3)+1,对接源_01入库吨位!$S$5:$S$304,0))),IF($D263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3" s="41" t="str">
        <f aca="false">IF($B263="","",ROUND(IFERROR(IF($D263="周转打冷",N(INDEX(对接源_01入库吨位!$H$5:$H$304,MATCH(INT((ROW()-5)/3)+1,对接源_01入库吨位!$S$5:$S$304,0))),IF($D263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3" s="52" t="str">
        <f aca="false">IF($B263="","",ROUND(N($F263)/1000,3))</f>
        <v/>
      </c>
      <c r="H263" s="74"/>
      <c r="I263" s="44"/>
      <c r="J263" s="75" t="str">
        <f aca="false">IF($B263="","",IF($H263="按筐数×单价",N($E263),IF($H263="按总重KG×单价",N($F263),IF($H263="按吨位×单价",N($G263),0))))</f>
        <v/>
      </c>
      <c r="K263" s="41" t="str">
        <f aca="false">IF($B263="","",ROUND(N($J263)*N($I263),2))</f>
        <v/>
      </c>
      <c r="L263" s="42"/>
      <c r="M263" s="76"/>
      <c r="N263" s="43"/>
      <c r="R263" s="77" t="str">
        <f aca="false">IF($B263="","",$B263)</f>
        <v/>
      </c>
      <c r="S263" s="77" t="n">
        <f aca="false">IF($R263="",0,IF(MATCH($R263,$R$5:$R$904,0)=ROW()-4,1,0))</f>
        <v>0</v>
      </c>
      <c r="T263" s="77" t="n">
        <f aca="false">N(T262)+$S263</f>
        <v>18</v>
      </c>
    </row>
    <row r="264" customFormat="false" ht="13.5" hidden="false" customHeight="false" outlineLevel="0" collapsed="false">
      <c r="A264" s="9" t="str">
        <f aca="false">IF($B264="","",ROW()-4)</f>
        <v/>
      </c>
      <c r="B264" s="39" t="str">
        <f aca="false">IFERROR(INDEX(对接源_01入库吨位!$B$5:$B$304,MATCH(INT((ROW()-5)/3)+1,对接源_01入库吨位!$S$5:$S$304,0)),"")</f>
        <v/>
      </c>
      <c r="C264" s="39" t="str">
        <f aca="false">IFERROR(INDEX(对接源_01入库吨位!$C$5:$C$304,MATCH(INT((ROW()-5)/3)+1,对接源_01入库吨位!$S$5:$S$304,0)),"")</f>
        <v/>
      </c>
      <c r="D264" s="40" t="str">
        <f aca="false">IF($B264="","",IF(MOD(ROW()-5,3)=0,"周转打冷",IF(MOD(ROW()-5,3)=1,"仓储加工","装卸费")))</f>
        <v/>
      </c>
      <c r="E264" s="51" t="str">
        <f aca="false">IF($B264="","",IFERROR(IF($D264="周转打冷",N(INDEX(对接源_01入库吨位!$D$5:$D$304,MATCH(INT((ROW()-5)/3)+1,对接源_01入库吨位!$S$5:$S$304,0))),IF($D264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4" s="41" t="str">
        <f aca="false">IF($B264="","",ROUND(IFERROR(IF($D264="周转打冷",N(INDEX(对接源_01入库吨位!$H$5:$H$304,MATCH(INT((ROW()-5)/3)+1,对接源_01入库吨位!$S$5:$S$304,0))),IF($D264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4" s="52" t="str">
        <f aca="false">IF($B264="","",ROUND(N($F264)/1000,3))</f>
        <v/>
      </c>
      <c r="H264" s="74"/>
      <c r="I264" s="44"/>
      <c r="J264" s="75" t="str">
        <f aca="false">IF($B264="","",IF($H264="按筐数×单价",N($E264),IF($H264="按总重KG×单价",N($F264),IF($H264="按吨位×单价",N($G264),0))))</f>
        <v/>
      </c>
      <c r="K264" s="41" t="str">
        <f aca="false">IF($B264="","",ROUND(N($J264)*N($I264),2))</f>
        <v/>
      </c>
      <c r="L264" s="42"/>
      <c r="M264" s="76"/>
      <c r="N264" s="43"/>
      <c r="R264" s="77" t="str">
        <f aca="false">IF($B264="","",$B264)</f>
        <v/>
      </c>
      <c r="S264" s="77" t="n">
        <f aca="false">IF($R264="",0,IF(MATCH($R264,$R$5:$R$904,0)=ROW()-4,1,0))</f>
        <v>0</v>
      </c>
      <c r="T264" s="77" t="n">
        <f aca="false">N(T263)+$S264</f>
        <v>18</v>
      </c>
    </row>
    <row r="265" customFormat="false" ht="13.5" hidden="false" customHeight="false" outlineLevel="0" collapsed="false">
      <c r="A265" s="9" t="str">
        <f aca="false">IF($B265="","",ROW()-4)</f>
        <v/>
      </c>
      <c r="B265" s="39" t="str">
        <f aca="false">IFERROR(INDEX(对接源_01入库吨位!$B$5:$B$304,MATCH(INT((ROW()-5)/3)+1,对接源_01入库吨位!$S$5:$S$304,0)),"")</f>
        <v/>
      </c>
      <c r="C265" s="39" t="str">
        <f aca="false">IFERROR(INDEX(对接源_01入库吨位!$C$5:$C$304,MATCH(INT((ROW()-5)/3)+1,对接源_01入库吨位!$S$5:$S$304,0)),"")</f>
        <v/>
      </c>
      <c r="D265" s="40" t="str">
        <f aca="false">IF($B265="","",IF(MOD(ROW()-5,3)=0,"周转打冷",IF(MOD(ROW()-5,3)=1,"仓储加工","装卸费")))</f>
        <v/>
      </c>
      <c r="E265" s="51" t="str">
        <f aca="false">IF($B265="","",IFERROR(IF($D265="周转打冷",N(INDEX(对接源_01入库吨位!$D$5:$D$304,MATCH(INT((ROW()-5)/3)+1,对接源_01入库吨位!$S$5:$S$304,0))),IF($D265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5" s="41" t="str">
        <f aca="false">IF($B265="","",ROUND(IFERROR(IF($D265="周转打冷",N(INDEX(对接源_01入库吨位!$H$5:$H$304,MATCH(INT((ROW()-5)/3)+1,对接源_01入库吨位!$S$5:$S$304,0))),IF($D265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5" s="52" t="str">
        <f aca="false">IF($B265="","",ROUND(N($F265)/1000,3))</f>
        <v/>
      </c>
      <c r="H265" s="74"/>
      <c r="I265" s="44"/>
      <c r="J265" s="75" t="str">
        <f aca="false">IF($B265="","",IF($H265="按筐数×单价",N($E265),IF($H265="按总重KG×单价",N($F265),IF($H265="按吨位×单价",N($G265),0))))</f>
        <v/>
      </c>
      <c r="K265" s="41" t="str">
        <f aca="false">IF($B265="","",ROUND(N($J265)*N($I265),2))</f>
        <v/>
      </c>
      <c r="L265" s="42"/>
      <c r="M265" s="76"/>
      <c r="N265" s="43"/>
      <c r="R265" s="77" t="str">
        <f aca="false">IF($B265="","",$B265)</f>
        <v/>
      </c>
      <c r="S265" s="77" t="n">
        <f aca="false">IF($R265="",0,IF(MATCH($R265,$R$5:$R$904,0)=ROW()-4,1,0))</f>
        <v>0</v>
      </c>
      <c r="T265" s="77" t="n">
        <f aca="false">N(T264)+$S265</f>
        <v>18</v>
      </c>
    </row>
    <row r="266" customFormat="false" ht="13.5" hidden="false" customHeight="false" outlineLevel="0" collapsed="false">
      <c r="A266" s="9" t="str">
        <f aca="false">IF($B266="","",ROW()-4)</f>
        <v/>
      </c>
      <c r="B266" s="39" t="str">
        <f aca="false">IFERROR(INDEX(对接源_01入库吨位!$B$5:$B$304,MATCH(INT((ROW()-5)/3)+1,对接源_01入库吨位!$S$5:$S$304,0)),"")</f>
        <v/>
      </c>
      <c r="C266" s="39" t="str">
        <f aca="false">IFERROR(INDEX(对接源_01入库吨位!$C$5:$C$304,MATCH(INT((ROW()-5)/3)+1,对接源_01入库吨位!$S$5:$S$304,0)),"")</f>
        <v/>
      </c>
      <c r="D266" s="40" t="str">
        <f aca="false">IF($B266="","",IF(MOD(ROW()-5,3)=0,"周转打冷",IF(MOD(ROW()-5,3)=1,"仓储加工","装卸费")))</f>
        <v/>
      </c>
      <c r="E266" s="51" t="str">
        <f aca="false">IF($B266="","",IFERROR(IF($D266="周转打冷",N(INDEX(对接源_01入库吨位!$D$5:$D$304,MATCH(INT((ROW()-5)/3)+1,对接源_01入库吨位!$S$5:$S$304,0))),IF($D266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6" s="41" t="str">
        <f aca="false">IF($B266="","",ROUND(IFERROR(IF($D266="周转打冷",N(INDEX(对接源_01入库吨位!$H$5:$H$304,MATCH(INT((ROW()-5)/3)+1,对接源_01入库吨位!$S$5:$S$304,0))),IF($D266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6" s="52" t="str">
        <f aca="false">IF($B266="","",ROUND(N($F266)/1000,3))</f>
        <v/>
      </c>
      <c r="H266" s="74"/>
      <c r="I266" s="44"/>
      <c r="J266" s="75" t="str">
        <f aca="false">IF($B266="","",IF($H266="按筐数×单价",N($E266),IF($H266="按总重KG×单价",N($F266),IF($H266="按吨位×单价",N($G266),0))))</f>
        <v/>
      </c>
      <c r="K266" s="41" t="str">
        <f aca="false">IF($B266="","",ROUND(N($J266)*N($I266),2))</f>
        <v/>
      </c>
      <c r="L266" s="42"/>
      <c r="M266" s="76"/>
      <c r="N266" s="43"/>
      <c r="R266" s="77" t="str">
        <f aca="false">IF($B266="","",$B266)</f>
        <v/>
      </c>
      <c r="S266" s="77" t="n">
        <f aca="false">IF($R266="",0,IF(MATCH($R266,$R$5:$R$904,0)=ROW()-4,1,0))</f>
        <v>0</v>
      </c>
      <c r="T266" s="77" t="n">
        <f aca="false">N(T265)+$S266</f>
        <v>18</v>
      </c>
    </row>
    <row r="267" customFormat="false" ht="13.5" hidden="false" customHeight="false" outlineLevel="0" collapsed="false">
      <c r="A267" s="9" t="str">
        <f aca="false">IF($B267="","",ROW()-4)</f>
        <v/>
      </c>
      <c r="B267" s="39" t="str">
        <f aca="false">IFERROR(INDEX(对接源_01入库吨位!$B$5:$B$304,MATCH(INT((ROW()-5)/3)+1,对接源_01入库吨位!$S$5:$S$304,0)),"")</f>
        <v/>
      </c>
      <c r="C267" s="39" t="str">
        <f aca="false">IFERROR(INDEX(对接源_01入库吨位!$C$5:$C$304,MATCH(INT((ROW()-5)/3)+1,对接源_01入库吨位!$S$5:$S$304,0)),"")</f>
        <v/>
      </c>
      <c r="D267" s="40" t="str">
        <f aca="false">IF($B267="","",IF(MOD(ROW()-5,3)=0,"周转打冷",IF(MOD(ROW()-5,3)=1,"仓储加工","装卸费")))</f>
        <v/>
      </c>
      <c r="E267" s="51" t="str">
        <f aca="false">IF($B267="","",IFERROR(IF($D267="周转打冷",N(INDEX(对接源_01入库吨位!$D$5:$D$304,MATCH(INT((ROW()-5)/3)+1,对接源_01入库吨位!$S$5:$S$304,0))),IF($D267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7" s="41" t="str">
        <f aca="false">IF($B267="","",ROUND(IFERROR(IF($D267="周转打冷",N(INDEX(对接源_01入库吨位!$H$5:$H$304,MATCH(INT((ROW()-5)/3)+1,对接源_01入库吨位!$S$5:$S$304,0))),IF($D267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7" s="52" t="str">
        <f aca="false">IF($B267="","",ROUND(N($F267)/1000,3))</f>
        <v/>
      </c>
      <c r="H267" s="74"/>
      <c r="I267" s="44"/>
      <c r="J267" s="75" t="str">
        <f aca="false">IF($B267="","",IF($H267="按筐数×单价",N($E267),IF($H267="按总重KG×单价",N($F267),IF($H267="按吨位×单价",N($G267),0))))</f>
        <v/>
      </c>
      <c r="K267" s="41" t="str">
        <f aca="false">IF($B267="","",ROUND(N($J267)*N($I267),2))</f>
        <v/>
      </c>
      <c r="L267" s="42"/>
      <c r="M267" s="76"/>
      <c r="N267" s="43"/>
      <c r="R267" s="77" t="str">
        <f aca="false">IF($B267="","",$B267)</f>
        <v/>
      </c>
      <c r="S267" s="77" t="n">
        <f aca="false">IF($R267="",0,IF(MATCH($R267,$R$5:$R$904,0)=ROW()-4,1,0))</f>
        <v>0</v>
      </c>
      <c r="T267" s="77" t="n">
        <f aca="false">N(T266)+$S267</f>
        <v>18</v>
      </c>
    </row>
    <row r="268" customFormat="false" ht="13.5" hidden="false" customHeight="false" outlineLevel="0" collapsed="false">
      <c r="A268" s="9" t="str">
        <f aca="false">IF($B268="","",ROW()-4)</f>
        <v/>
      </c>
      <c r="B268" s="39" t="str">
        <f aca="false">IFERROR(INDEX(对接源_01入库吨位!$B$5:$B$304,MATCH(INT((ROW()-5)/3)+1,对接源_01入库吨位!$S$5:$S$304,0)),"")</f>
        <v/>
      </c>
      <c r="C268" s="39" t="str">
        <f aca="false">IFERROR(INDEX(对接源_01入库吨位!$C$5:$C$304,MATCH(INT((ROW()-5)/3)+1,对接源_01入库吨位!$S$5:$S$304,0)),"")</f>
        <v/>
      </c>
      <c r="D268" s="40" t="str">
        <f aca="false">IF($B268="","",IF(MOD(ROW()-5,3)=0,"周转打冷",IF(MOD(ROW()-5,3)=1,"仓储加工","装卸费")))</f>
        <v/>
      </c>
      <c r="E268" s="51" t="str">
        <f aca="false">IF($B268="","",IFERROR(IF($D268="周转打冷",N(INDEX(对接源_01入库吨位!$D$5:$D$304,MATCH(INT((ROW()-5)/3)+1,对接源_01入库吨位!$S$5:$S$304,0))),IF($D268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8" s="41" t="str">
        <f aca="false">IF($B268="","",ROUND(IFERROR(IF($D268="周转打冷",N(INDEX(对接源_01入库吨位!$H$5:$H$304,MATCH(INT((ROW()-5)/3)+1,对接源_01入库吨位!$S$5:$S$304,0))),IF($D268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8" s="52" t="str">
        <f aca="false">IF($B268="","",ROUND(N($F268)/1000,3))</f>
        <v/>
      </c>
      <c r="H268" s="74"/>
      <c r="I268" s="44"/>
      <c r="J268" s="75" t="str">
        <f aca="false">IF($B268="","",IF($H268="按筐数×单价",N($E268),IF($H268="按总重KG×单价",N($F268),IF($H268="按吨位×单价",N($G268),0))))</f>
        <v/>
      </c>
      <c r="K268" s="41" t="str">
        <f aca="false">IF($B268="","",ROUND(N($J268)*N($I268),2))</f>
        <v/>
      </c>
      <c r="L268" s="42"/>
      <c r="M268" s="76"/>
      <c r="N268" s="43"/>
      <c r="R268" s="77" t="str">
        <f aca="false">IF($B268="","",$B268)</f>
        <v/>
      </c>
      <c r="S268" s="77" t="n">
        <f aca="false">IF($R268="",0,IF(MATCH($R268,$R$5:$R$904,0)=ROW()-4,1,0))</f>
        <v>0</v>
      </c>
      <c r="T268" s="77" t="n">
        <f aca="false">N(T267)+$S268</f>
        <v>18</v>
      </c>
    </row>
    <row r="269" customFormat="false" ht="13.5" hidden="false" customHeight="false" outlineLevel="0" collapsed="false">
      <c r="A269" s="9" t="str">
        <f aca="false">IF($B269="","",ROW()-4)</f>
        <v/>
      </c>
      <c r="B269" s="39" t="str">
        <f aca="false">IFERROR(INDEX(对接源_01入库吨位!$B$5:$B$304,MATCH(INT((ROW()-5)/3)+1,对接源_01入库吨位!$S$5:$S$304,0)),"")</f>
        <v/>
      </c>
      <c r="C269" s="39" t="str">
        <f aca="false">IFERROR(INDEX(对接源_01入库吨位!$C$5:$C$304,MATCH(INT((ROW()-5)/3)+1,对接源_01入库吨位!$S$5:$S$304,0)),"")</f>
        <v/>
      </c>
      <c r="D269" s="40" t="str">
        <f aca="false">IF($B269="","",IF(MOD(ROW()-5,3)=0,"周转打冷",IF(MOD(ROW()-5,3)=1,"仓储加工","装卸费")))</f>
        <v/>
      </c>
      <c r="E269" s="51" t="str">
        <f aca="false">IF($B269="","",IFERROR(IF($D269="周转打冷",N(INDEX(对接源_01入库吨位!$D$5:$D$304,MATCH(INT((ROW()-5)/3)+1,对接源_01入库吨位!$S$5:$S$304,0))),IF($D269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69" s="41" t="str">
        <f aca="false">IF($B269="","",ROUND(IFERROR(IF($D269="周转打冷",N(INDEX(对接源_01入库吨位!$H$5:$H$304,MATCH(INT((ROW()-5)/3)+1,对接源_01入库吨位!$S$5:$S$304,0))),IF($D269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69" s="52" t="str">
        <f aca="false">IF($B269="","",ROUND(N($F269)/1000,3))</f>
        <v/>
      </c>
      <c r="H269" s="74"/>
      <c r="I269" s="44"/>
      <c r="J269" s="75" t="str">
        <f aca="false">IF($B269="","",IF($H269="按筐数×单价",N($E269),IF($H269="按总重KG×单价",N($F269),IF($H269="按吨位×单价",N($G269),0))))</f>
        <v/>
      </c>
      <c r="K269" s="41" t="str">
        <f aca="false">IF($B269="","",ROUND(N($J269)*N($I269),2))</f>
        <v/>
      </c>
      <c r="L269" s="42"/>
      <c r="M269" s="76"/>
      <c r="N269" s="43"/>
      <c r="R269" s="77" t="str">
        <f aca="false">IF($B269="","",$B269)</f>
        <v/>
      </c>
      <c r="S269" s="77" t="n">
        <f aca="false">IF($R269="",0,IF(MATCH($R269,$R$5:$R$904,0)=ROW()-4,1,0))</f>
        <v>0</v>
      </c>
      <c r="T269" s="77" t="n">
        <f aca="false">N(T268)+$S269</f>
        <v>18</v>
      </c>
    </row>
    <row r="270" customFormat="false" ht="13.5" hidden="false" customHeight="false" outlineLevel="0" collapsed="false">
      <c r="A270" s="9" t="str">
        <f aca="false">IF($B270="","",ROW()-4)</f>
        <v/>
      </c>
      <c r="B270" s="39" t="str">
        <f aca="false">IFERROR(INDEX(对接源_01入库吨位!$B$5:$B$304,MATCH(INT((ROW()-5)/3)+1,对接源_01入库吨位!$S$5:$S$304,0)),"")</f>
        <v/>
      </c>
      <c r="C270" s="39" t="str">
        <f aca="false">IFERROR(INDEX(对接源_01入库吨位!$C$5:$C$304,MATCH(INT((ROW()-5)/3)+1,对接源_01入库吨位!$S$5:$S$304,0)),"")</f>
        <v/>
      </c>
      <c r="D270" s="40" t="str">
        <f aca="false">IF($B270="","",IF(MOD(ROW()-5,3)=0,"周转打冷",IF(MOD(ROW()-5,3)=1,"仓储加工","装卸费")))</f>
        <v/>
      </c>
      <c r="E270" s="51" t="str">
        <f aca="false">IF($B270="","",IFERROR(IF($D270="周转打冷",N(INDEX(对接源_01入库吨位!$D$5:$D$304,MATCH(INT((ROW()-5)/3)+1,对接源_01入库吨位!$S$5:$S$304,0))),IF($D270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0" s="41" t="str">
        <f aca="false">IF($B270="","",ROUND(IFERROR(IF($D270="周转打冷",N(INDEX(对接源_01入库吨位!$H$5:$H$304,MATCH(INT((ROW()-5)/3)+1,对接源_01入库吨位!$S$5:$S$304,0))),IF($D270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0" s="52" t="str">
        <f aca="false">IF($B270="","",ROUND(N($F270)/1000,3))</f>
        <v/>
      </c>
      <c r="H270" s="74"/>
      <c r="I270" s="44"/>
      <c r="J270" s="75" t="str">
        <f aca="false">IF($B270="","",IF($H270="按筐数×单价",N($E270),IF($H270="按总重KG×单价",N($F270),IF($H270="按吨位×单价",N($G270),0))))</f>
        <v/>
      </c>
      <c r="K270" s="41" t="str">
        <f aca="false">IF($B270="","",ROUND(N($J270)*N($I270),2))</f>
        <v/>
      </c>
      <c r="L270" s="42"/>
      <c r="M270" s="76"/>
      <c r="N270" s="43"/>
      <c r="R270" s="77" t="str">
        <f aca="false">IF($B270="","",$B270)</f>
        <v/>
      </c>
      <c r="S270" s="77" t="n">
        <f aca="false">IF($R270="",0,IF(MATCH($R270,$R$5:$R$904,0)=ROW()-4,1,0))</f>
        <v>0</v>
      </c>
      <c r="T270" s="77" t="n">
        <f aca="false">N(T269)+$S270</f>
        <v>18</v>
      </c>
    </row>
    <row r="271" customFormat="false" ht="13.5" hidden="false" customHeight="false" outlineLevel="0" collapsed="false">
      <c r="A271" s="9" t="str">
        <f aca="false">IF($B271="","",ROW()-4)</f>
        <v/>
      </c>
      <c r="B271" s="39" t="str">
        <f aca="false">IFERROR(INDEX(对接源_01入库吨位!$B$5:$B$304,MATCH(INT((ROW()-5)/3)+1,对接源_01入库吨位!$S$5:$S$304,0)),"")</f>
        <v/>
      </c>
      <c r="C271" s="39" t="str">
        <f aca="false">IFERROR(INDEX(对接源_01入库吨位!$C$5:$C$304,MATCH(INT((ROW()-5)/3)+1,对接源_01入库吨位!$S$5:$S$304,0)),"")</f>
        <v/>
      </c>
      <c r="D271" s="40" t="str">
        <f aca="false">IF($B271="","",IF(MOD(ROW()-5,3)=0,"周转打冷",IF(MOD(ROW()-5,3)=1,"仓储加工","装卸费")))</f>
        <v/>
      </c>
      <c r="E271" s="51" t="str">
        <f aca="false">IF($B271="","",IFERROR(IF($D271="周转打冷",N(INDEX(对接源_01入库吨位!$D$5:$D$304,MATCH(INT((ROW()-5)/3)+1,对接源_01入库吨位!$S$5:$S$304,0))),IF($D271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1" s="41" t="str">
        <f aca="false">IF($B271="","",ROUND(IFERROR(IF($D271="周转打冷",N(INDEX(对接源_01入库吨位!$H$5:$H$304,MATCH(INT((ROW()-5)/3)+1,对接源_01入库吨位!$S$5:$S$304,0))),IF($D271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1" s="52" t="str">
        <f aca="false">IF($B271="","",ROUND(N($F271)/1000,3))</f>
        <v/>
      </c>
      <c r="H271" s="74"/>
      <c r="I271" s="44"/>
      <c r="J271" s="75" t="str">
        <f aca="false">IF($B271="","",IF($H271="按筐数×单价",N($E271),IF($H271="按总重KG×单价",N($F271),IF($H271="按吨位×单价",N($G271),0))))</f>
        <v/>
      </c>
      <c r="K271" s="41" t="str">
        <f aca="false">IF($B271="","",ROUND(N($J271)*N($I271),2))</f>
        <v/>
      </c>
      <c r="L271" s="42"/>
      <c r="M271" s="76"/>
      <c r="N271" s="43"/>
      <c r="R271" s="77" t="str">
        <f aca="false">IF($B271="","",$B271)</f>
        <v/>
      </c>
      <c r="S271" s="77" t="n">
        <f aca="false">IF($R271="",0,IF(MATCH($R271,$R$5:$R$904,0)=ROW()-4,1,0))</f>
        <v>0</v>
      </c>
      <c r="T271" s="77" t="n">
        <f aca="false">N(T270)+$S271</f>
        <v>18</v>
      </c>
    </row>
    <row r="272" customFormat="false" ht="13.5" hidden="false" customHeight="false" outlineLevel="0" collapsed="false">
      <c r="A272" s="9" t="str">
        <f aca="false">IF($B272="","",ROW()-4)</f>
        <v/>
      </c>
      <c r="B272" s="39" t="str">
        <f aca="false">IFERROR(INDEX(对接源_01入库吨位!$B$5:$B$304,MATCH(INT((ROW()-5)/3)+1,对接源_01入库吨位!$S$5:$S$304,0)),"")</f>
        <v/>
      </c>
      <c r="C272" s="39" t="str">
        <f aca="false">IFERROR(INDEX(对接源_01入库吨位!$C$5:$C$304,MATCH(INT((ROW()-5)/3)+1,对接源_01入库吨位!$S$5:$S$304,0)),"")</f>
        <v/>
      </c>
      <c r="D272" s="40" t="str">
        <f aca="false">IF($B272="","",IF(MOD(ROW()-5,3)=0,"周转打冷",IF(MOD(ROW()-5,3)=1,"仓储加工","装卸费")))</f>
        <v/>
      </c>
      <c r="E272" s="51" t="str">
        <f aca="false">IF($B272="","",IFERROR(IF($D272="周转打冷",N(INDEX(对接源_01入库吨位!$D$5:$D$304,MATCH(INT((ROW()-5)/3)+1,对接源_01入库吨位!$S$5:$S$304,0))),IF($D272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2" s="41" t="str">
        <f aca="false">IF($B272="","",ROUND(IFERROR(IF($D272="周转打冷",N(INDEX(对接源_01入库吨位!$H$5:$H$304,MATCH(INT((ROW()-5)/3)+1,对接源_01入库吨位!$S$5:$S$304,0))),IF($D272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2" s="52" t="str">
        <f aca="false">IF($B272="","",ROUND(N($F272)/1000,3))</f>
        <v/>
      </c>
      <c r="H272" s="74"/>
      <c r="I272" s="44"/>
      <c r="J272" s="75" t="str">
        <f aca="false">IF($B272="","",IF($H272="按筐数×单价",N($E272),IF($H272="按总重KG×单价",N($F272),IF($H272="按吨位×单价",N($G272),0))))</f>
        <v/>
      </c>
      <c r="K272" s="41" t="str">
        <f aca="false">IF($B272="","",ROUND(N($J272)*N($I272),2))</f>
        <v/>
      </c>
      <c r="L272" s="42"/>
      <c r="M272" s="76"/>
      <c r="N272" s="43"/>
      <c r="R272" s="77" t="str">
        <f aca="false">IF($B272="","",$B272)</f>
        <v/>
      </c>
      <c r="S272" s="77" t="n">
        <f aca="false">IF($R272="",0,IF(MATCH($R272,$R$5:$R$904,0)=ROW()-4,1,0))</f>
        <v>0</v>
      </c>
      <c r="T272" s="77" t="n">
        <f aca="false">N(T271)+$S272</f>
        <v>18</v>
      </c>
    </row>
    <row r="273" customFormat="false" ht="13.5" hidden="false" customHeight="false" outlineLevel="0" collapsed="false">
      <c r="A273" s="9" t="str">
        <f aca="false">IF($B273="","",ROW()-4)</f>
        <v/>
      </c>
      <c r="B273" s="39" t="str">
        <f aca="false">IFERROR(INDEX(对接源_01入库吨位!$B$5:$B$304,MATCH(INT((ROW()-5)/3)+1,对接源_01入库吨位!$S$5:$S$304,0)),"")</f>
        <v/>
      </c>
      <c r="C273" s="39" t="str">
        <f aca="false">IFERROR(INDEX(对接源_01入库吨位!$C$5:$C$304,MATCH(INT((ROW()-5)/3)+1,对接源_01入库吨位!$S$5:$S$304,0)),"")</f>
        <v/>
      </c>
      <c r="D273" s="40" t="str">
        <f aca="false">IF($B273="","",IF(MOD(ROW()-5,3)=0,"周转打冷",IF(MOD(ROW()-5,3)=1,"仓储加工","装卸费")))</f>
        <v/>
      </c>
      <c r="E273" s="51" t="str">
        <f aca="false">IF($B273="","",IFERROR(IF($D273="周转打冷",N(INDEX(对接源_01入库吨位!$D$5:$D$304,MATCH(INT((ROW()-5)/3)+1,对接源_01入库吨位!$S$5:$S$304,0))),IF($D273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3" s="41" t="str">
        <f aca="false">IF($B273="","",ROUND(IFERROR(IF($D273="周转打冷",N(INDEX(对接源_01入库吨位!$H$5:$H$304,MATCH(INT((ROW()-5)/3)+1,对接源_01入库吨位!$S$5:$S$304,0))),IF($D273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3" s="52" t="str">
        <f aca="false">IF($B273="","",ROUND(N($F273)/1000,3))</f>
        <v/>
      </c>
      <c r="H273" s="74"/>
      <c r="I273" s="44"/>
      <c r="J273" s="75" t="str">
        <f aca="false">IF($B273="","",IF($H273="按筐数×单价",N($E273),IF($H273="按总重KG×单价",N($F273),IF($H273="按吨位×单价",N($G273),0))))</f>
        <v/>
      </c>
      <c r="K273" s="41" t="str">
        <f aca="false">IF($B273="","",ROUND(N($J273)*N($I273),2))</f>
        <v/>
      </c>
      <c r="L273" s="42"/>
      <c r="M273" s="76"/>
      <c r="N273" s="43"/>
      <c r="R273" s="77" t="str">
        <f aca="false">IF($B273="","",$B273)</f>
        <v/>
      </c>
      <c r="S273" s="77" t="n">
        <f aca="false">IF($R273="",0,IF(MATCH($R273,$R$5:$R$904,0)=ROW()-4,1,0))</f>
        <v>0</v>
      </c>
      <c r="T273" s="77" t="n">
        <f aca="false">N(T272)+$S273</f>
        <v>18</v>
      </c>
    </row>
    <row r="274" customFormat="false" ht="13.5" hidden="false" customHeight="false" outlineLevel="0" collapsed="false">
      <c r="A274" s="9" t="str">
        <f aca="false">IF($B274="","",ROW()-4)</f>
        <v/>
      </c>
      <c r="B274" s="39" t="str">
        <f aca="false">IFERROR(INDEX(对接源_01入库吨位!$B$5:$B$304,MATCH(INT((ROW()-5)/3)+1,对接源_01入库吨位!$S$5:$S$304,0)),"")</f>
        <v/>
      </c>
      <c r="C274" s="39" t="str">
        <f aca="false">IFERROR(INDEX(对接源_01入库吨位!$C$5:$C$304,MATCH(INT((ROW()-5)/3)+1,对接源_01入库吨位!$S$5:$S$304,0)),"")</f>
        <v/>
      </c>
      <c r="D274" s="40" t="str">
        <f aca="false">IF($B274="","",IF(MOD(ROW()-5,3)=0,"周转打冷",IF(MOD(ROW()-5,3)=1,"仓储加工","装卸费")))</f>
        <v/>
      </c>
      <c r="E274" s="51" t="str">
        <f aca="false">IF($B274="","",IFERROR(IF($D274="周转打冷",N(INDEX(对接源_01入库吨位!$D$5:$D$304,MATCH(INT((ROW()-5)/3)+1,对接源_01入库吨位!$S$5:$S$304,0))),IF($D274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4" s="41" t="str">
        <f aca="false">IF($B274="","",ROUND(IFERROR(IF($D274="周转打冷",N(INDEX(对接源_01入库吨位!$H$5:$H$304,MATCH(INT((ROW()-5)/3)+1,对接源_01入库吨位!$S$5:$S$304,0))),IF($D274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4" s="52" t="str">
        <f aca="false">IF($B274="","",ROUND(N($F274)/1000,3))</f>
        <v/>
      </c>
      <c r="H274" s="74"/>
      <c r="I274" s="44"/>
      <c r="J274" s="75" t="str">
        <f aca="false">IF($B274="","",IF($H274="按筐数×单价",N($E274),IF($H274="按总重KG×单价",N($F274),IF($H274="按吨位×单价",N($G274),0))))</f>
        <v/>
      </c>
      <c r="K274" s="41" t="str">
        <f aca="false">IF($B274="","",ROUND(N($J274)*N($I274),2))</f>
        <v/>
      </c>
      <c r="L274" s="42"/>
      <c r="M274" s="76"/>
      <c r="N274" s="43"/>
      <c r="R274" s="77" t="str">
        <f aca="false">IF($B274="","",$B274)</f>
        <v/>
      </c>
      <c r="S274" s="77" t="n">
        <f aca="false">IF($R274="",0,IF(MATCH($R274,$R$5:$R$904,0)=ROW()-4,1,0))</f>
        <v>0</v>
      </c>
      <c r="T274" s="77" t="n">
        <f aca="false">N(T273)+$S274</f>
        <v>18</v>
      </c>
    </row>
    <row r="275" customFormat="false" ht="13.5" hidden="false" customHeight="false" outlineLevel="0" collapsed="false">
      <c r="A275" s="9" t="str">
        <f aca="false">IF($B275="","",ROW()-4)</f>
        <v/>
      </c>
      <c r="B275" s="39" t="str">
        <f aca="false">IFERROR(INDEX(对接源_01入库吨位!$B$5:$B$304,MATCH(INT((ROW()-5)/3)+1,对接源_01入库吨位!$S$5:$S$304,0)),"")</f>
        <v/>
      </c>
      <c r="C275" s="39" t="str">
        <f aca="false">IFERROR(INDEX(对接源_01入库吨位!$C$5:$C$304,MATCH(INT((ROW()-5)/3)+1,对接源_01入库吨位!$S$5:$S$304,0)),"")</f>
        <v/>
      </c>
      <c r="D275" s="40" t="str">
        <f aca="false">IF($B275="","",IF(MOD(ROW()-5,3)=0,"周转打冷",IF(MOD(ROW()-5,3)=1,"仓储加工","装卸费")))</f>
        <v/>
      </c>
      <c r="E275" s="51" t="str">
        <f aca="false">IF($B275="","",IFERROR(IF($D275="周转打冷",N(INDEX(对接源_01入库吨位!$D$5:$D$304,MATCH(INT((ROW()-5)/3)+1,对接源_01入库吨位!$S$5:$S$304,0))),IF($D275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5" s="41" t="str">
        <f aca="false">IF($B275="","",ROUND(IFERROR(IF($D275="周转打冷",N(INDEX(对接源_01入库吨位!$H$5:$H$304,MATCH(INT((ROW()-5)/3)+1,对接源_01入库吨位!$S$5:$S$304,0))),IF($D275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5" s="52" t="str">
        <f aca="false">IF($B275="","",ROUND(N($F275)/1000,3))</f>
        <v/>
      </c>
      <c r="H275" s="74"/>
      <c r="I275" s="44"/>
      <c r="J275" s="75" t="str">
        <f aca="false">IF($B275="","",IF($H275="按筐数×单价",N($E275),IF($H275="按总重KG×单价",N($F275),IF($H275="按吨位×单价",N($G275),0))))</f>
        <v/>
      </c>
      <c r="K275" s="41" t="str">
        <f aca="false">IF($B275="","",ROUND(N($J275)*N($I275),2))</f>
        <v/>
      </c>
      <c r="L275" s="42"/>
      <c r="M275" s="76"/>
      <c r="N275" s="43"/>
      <c r="R275" s="77" t="str">
        <f aca="false">IF($B275="","",$B275)</f>
        <v/>
      </c>
      <c r="S275" s="77" t="n">
        <f aca="false">IF($R275="",0,IF(MATCH($R275,$R$5:$R$904,0)=ROW()-4,1,0))</f>
        <v>0</v>
      </c>
      <c r="T275" s="77" t="n">
        <f aca="false">N(T274)+$S275</f>
        <v>18</v>
      </c>
    </row>
    <row r="276" customFormat="false" ht="13.5" hidden="false" customHeight="false" outlineLevel="0" collapsed="false">
      <c r="A276" s="9" t="str">
        <f aca="false">IF($B276="","",ROW()-4)</f>
        <v/>
      </c>
      <c r="B276" s="39" t="str">
        <f aca="false">IFERROR(INDEX(对接源_01入库吨位!$B$5:$B$304,MATCH(INT((ROW()-5)/3)+1,对接源_01入库吨位!$S$5:$S$304,0)),"")</f>
        <v/>
      </c>
      <c r="C276" s="39" t="str">
        <f aca="false">IFERROR(INDEX(对接源_01入库吨位!$C$5:$C$304,MATCH(INT((ROW()-5)/3)+1,对接源_01入库吨位!$S$5:$S$304,0)),"")</f>
        <v/>
      </c>
      <c r="D276" s="40" t="str">
        <f aca="false">IF($B276="","",IF(MOD(ROW()-5,3)=0,"周转打冷",IF(MOD(ROW()-5,3)=1,"仓储加工","装卸费")))</f>
        <v/>
      </c>
      <c r="E276" s="51" t="str">
        <f aca="false">IF($B276="","",IFERROR(IF($D276="周转打冷",N(INDEX(对接源_01入库吨位!$D$5:$D$304,MATCH(INT((ROW()-5)/3)+1,对接源_01入库吨位!$S$5:$S$304,0))),IF($D276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6" s="41" t="str">
        <f aca="false">IF($B276="","",ROUND(IFERROR(IF($D276="周转打冷",N(INDEX(对接源_01入库吨位!$H$5:$H$304,MATCH(INT((ROW()-5)/3)+1,对接源_01入库吨位!$S$5:$S$304,0))),IF($D276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6" s="52" t="str">
        <f aca="false">IF($B276="","",ROUND(N($F276)/1000,3))</f>
        <v/>
      </c>
      <c r="H276" s="74"/>
      <c r="I276" s="44"/>
      <c r="J276" s="75" t="str">
        <f aca="false">IF($B276="","",IF($H276="按筐数×单价",N($E276),IF($H276="按总重KG×单价",N($F276),IF($H276="按吨位×单价",N($G276),0))))</f>
        <v/>
      </c>
      <c r="K276" s="41" t="str">
        <f aca="false">IF($B276="","",ROUND(N($J276)*N($I276),2))</f>
        <v/>
      </c>
      <c r="L276" s="42"/>
      <c r="M276" s="76"/>
      <c r="N276" s="43"/>
      <c r="R276" s="77" t="str">
        <f aca="false">IF($B276="","",$B276)</f>
        <v/>
      </c>
      <c r="S276" s="77" t="n">
        <f aca="false">IF($R276="",0,IF(MATCH($R276,$R$5:$R$904,0)=ROW()-4,1,0))</f>
        <v>0</v>
      </c>
      <c r="T276" s="77" t="n">
        <f aca="false">N(T275)+$S276</f>
        <v>18</v>
      </c>
    </row>
    <row r="277" customFormat="false" ht="13.5" hidden="false" customHeight="false" outlineLevel="0" collapsed="false">
      <c r="A277" s="9" t="str">
        <f aca="false">IF($B277="","",ROW()-4)</f>
        <v/>
      </c>
      <c r="B277" s="39" t="str">
        <f aca="false">IFERROR(INDEX(对接源_01入库吨位!$B$5:$B$304,MATCH(INT((ROW()-5)/3)+1,对接源_01入库吨位!$S$5:$S$304,0)),"")</f>
        <v/>
      </c>
      <c r="C277" s="39" t="str">
        <f aca="false">IFERROR(INDEX(对接源_01入库吨位!$C$5:$C$304,MATCH(INT((ROW()-5)/3)+1,对接源_01入库吨位!$S$5:$S$304,0)),"")</f>
        <v/>
      </c>
      <c r="D277" s="40" t="str">
        <f aca="false">IF($B277="","",IF(MOD(ROW()-5,3)=0,"周转打冷",IF(MOD(ROW()-5,3)=1,"仓储加工","装卸费")))</f>
        <v/>
      </c>
      <c r="E277" s="51" t="str">
        <f aca="false">IF($B277="","",IFERROR(IF($D277="周转打冷",N(INDEX(对接源_01入库吨位!$D$5:$D$304,MATCH(INT((ROW()-5)/3)+1,对接源_01入库吨位!$S$5:$S$304,0))),IF($D277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7" s="41" t="str">
        <f aca="false">IF($B277="","",ROUND(IFERROR(IF($D277="周转打冷",N(INDEX(对接源_01入库吨位!$H$5:$H$304,MATCH(INT((ROW()-5)/3)+1,对接源_01入库吨位!$S$5:$S$304,0))),IF($D277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7" s="52" t="str">
        <f aca="false">IF($B277="","",ROUND(N($F277)/1000,3))</f>
        <v/>
      </c>
      <c r="H277" s="74"/>
      <c r="I277" s="44"/>
      <c r="J277" s="75" t="str">
        <f aca="false">IF($B277="","",IF($H277="按筐数×单价",N($E277),IF($H277="按总重KG×单价",N($F277),IF($H277="按吨位×单价",N($G277),0))))</f>
        <v/>
      </c>
      <c r="K277" s="41" t="str">
        <f aca="false">IF($B277="","",ROUND(N($J277)*N($I277),2))</f>
        <v/>
      </c>
      <c r="L277" s="42"/>
      <c r="M277" s="76"/>
      <c r="N277" s="43"/>
      <c r="R277" s="77" t="str">
        <f aca="false">IF($B277="","",$B277)</f>
        <v/>
      </c>
      <c r="S277" s="77" t="n">
        <f aca="false">IF($R277="",0,IF(MATCH($R277,$R$5:$R$904,0)=ROW()-4,1,0))</f>
        <v>0</v>
      </c>
      <c r="T277" s="77" t="n">
        <f aca="false">N(T276)+$S277</f>
        <v>18</v>
      </c>
    </row>
    <row r="278" customFormat="false" ht="13.5" hidden="false" customHeight="false" outlineLevel="0" collapsed="false">
      <c r="A278" s="9" t="str">
        <f aca="false">IF($B278="","",ROW()-4)</f>
        <v/>
      </c>
      <c r="B278" s="39" t="str">
        <f aca="false">IFERROR(INDEX(对接源_01入库吨位!$B$5:$B$304,MATCH(INT((ROW()-5)/3)+1,对接源_01入库吨位!$S$5:$S$304,0)),"")</f>
        <v/>
      </c>
      <c r="C278" s="39" t="str">
        <f aca="false">IFERROR(INDEX(对接源_01入库吨位!$C$5:$C$304,MATCH(INT((ROW()-5)/3)+1,对接源_01入库吨位!$S$5:$S$304,0)),"")</f>
        <v/>
      </c>
      <c r="D278" s="40" t="str">
        <f aca="false">IF($B278="","",IF(MOD(ROW()-5,3)=0,"周转打冷",IF(MOD(ROW()-5,3)=1,"仓储加工","装卸费")))</f>
        <v/>
      </c>
      <c r="E278" s="51" t="str">
        <f aca="false">IF($B278="","",IFERROR(IF($D278="周转打冷",N(INDEX(对接源_01入库吨位!$D$5:$D$304,MATCH(INT((ROW()-5)/3)+1,对接源_01入库吨位!$S$5:$S$304,0))),IF($D278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8" s="41" t="str">
        <f aca="false">IF($B278="","",ROUND(IFERROR(IF($D278="周转打冷",N(INDEX(对接源_01入库吨位!$H$5:$H$304,MATCH(INT((ROW()-5)/3)+1,对接源_01入库吨位!$S$5:$S$304,0))),IF($D278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8" s="52" t="str">
        <f aca="false">IF($B278="","",ROUND(N($F278)/1000,3))</f>
        <v/>
      </c>
      <c r="H278" s="74"/>
      <c r="I278" s="44"/>
      <c r="J278" s="75" t="str">
        <f aca="false">IF($B278="","",IF($H278="按筐数×单价",N($E278),IF($H278="按总重KG×单价",N($F278),IF($H278="按吨位×单价",N($G278),0))))</f>
        <v/>
      </c>
      <c r="K278" s="41" t="str">
        <f aca="false">IF($B278="","",ROUND(N($J278)*N($I278),2))</f>
        <v/>
      </c>
      <c r="L278" s="42"/>
      <c r="M278" s="76"/>
      <c r="N278" s="43"/>
      <c r="R278" s="77" t="str">
        <f aca="false">IF($B278="","",$B278)</f>
        <v/>
      </c>
      <c r="S278" s="77" t="n">
        <f aca="false">IF($R278="",0,IF(MATCH($R278,$R$5:$R$904,0)=ROW()-4,1,0))</f>
        <v>0</v>
      </c>
      <c r="T278" s="77" t="n">
        <f aca="false">N(T277)+$S278</f>
        <v>18</v>
      </c>
    </row>
    <row r="279" customFormat="false" ht="13.5" hidden="false" customHeight="false" outlineLevel="0" collapsed="false">
      <c r="A279" s="9" t="str">
        <f aca="false">IF($B279="","",ROW()-4)</f>
        <v/>
      </c>
      <c r="B279" s="39" t="str">
        <f aca="false">IFERROR(INDEX(对接源_01入库吨位!$B$5:$B$304,MATCH(INT((ROW()-5)/3)+1,对接源_01入库吨位!$S$5:$S$304,0)),"")</f>
        <v/>
      </c>
      <c r="C279" s="39" t="str">
        <f aca="false">IFERROR(INDEX(对接源_01入库吨位!$C$5:$C$304,MATCH(INT((ROW()-5)/3)+1,对接源_01入库吨位!$S$5:$S$304,0)),"")</f>
        <v/>
      </c>
      <c r="D279" s="40" t="str">
        <f aca="false">IF($B279="","",IF(MOD(ROW()-5,3)=0,"周转打冷",IF(MOD(ROW()-5,3)=1,"仓储加工","装卸费")))</f>
        <v/>
      </c>
      <c r="E279" s="51" t="str">
        <f aca="false">IF($B279="","",IFERROR(IF($D279="周转打冷",N(INDEX(对接源_01入库吨位!$D$5:$D$304,MATCH(INT((ROW()-5)/3)+1,对接源_01入库吨位!$S$5:$S$304,0))),IF($D279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79" s="41" t="str">
        <f aca="false">IF($B279="","",ROUND(IFERROR(IF($D279="周转打冷",N(INDEX(对接源_01入库吨位!$H$5:$H$304,MATCH(INT((ROW()-5)/3)+1,对接源_01入库吨位!$S$5:$S$304,0))),IF($D279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79" s="52" t="str">
        <f aca="false">IF($B279="","",ROUND(N($F279)/1000,3))</f>
        <v/>
      </c>
      <c r="H279" s="74"/>
      <c r="I279" s="44"/>
      <c r="J279" s="75" t="str">
        <f aca="false">IF($B279="","",IF($H279="按筐数×单价",N($E279),IF($H279="按总重KG×单价",N($F279),IF($H279="按吨位×单价",N($G279),0))))</f>
        <v/>
      </c>
      <c r="K279" s="41" t="str">
        <f aca="false">IF($B279="","",ROUND(N($J279)*N($I279),2))</f>
        <v/>
      </c>
      <c r="L279" s="42"/>
      <c r="M279" s="76"/>
      <c r="N279" s="43"/>
      <c r="R279" s="77" t="str">
        <f aca="false">IF($B279="","",$B279)</f>
        <v/>
      </c>
      <c r="S279" s="77" t="n">
        <f aca="false">IF($R279="",0,IF(MATCH($R279,$R$5:$R$904,0)=ROW()-4,1,0))</f>
        <v>0</v>
      </c>
      <c r="T279" s="77" t="n">
        <f aca="false">N(T278)+$S279</f>
        <v>18</v>
      </c>
    </row>
    <row r="280" customFormat="false" ht="13.5" hidden="false" customHeight="false" outlineLevel="0" collapsed="false">
      <c r="A280" s="9" t="str">
        <f aca="false">IF($B280="","",ROW()-4)</f>
        <v/>
      </c>
      <c r="B280" s="39" t="str">
        <f aca="false">IFERROR(INDEX(对接源_01入库吨位!$B$5:$B$304,MATCH(INT((ROW()-5)/3)+1,对接源_01入库吨位!$S$5:$S$304,0)),"")</f>
        <v/>
      </c>
      <c r="C280" s="39" t="str">
        <f aca="false">IFERROR(INDEX(对接源_01入库吨位!$C$5:$C$304,MATCH(INT((ROW()-5)/3)+1,对接源_01入库吨位!$S$5:$S$304,0)),"")</f>
        <v/>
      </c>
      <c r="D280" s="40" t="str">
        <f aca="false">IF($B280="","",IF(MOD(ROW()-5,3)=0,"周转打冷",IF(MOD(ROW()-5,3)=1,"仓储加工","装卸费")))</f>
        <v/>
      </c>
      <c r="E280" s="51" t="str">
        <f aca="false">IF($B280="","",IFERROR(IF($D280="周转打冷",N(INDEX(对接源_01入库吨位!$D$5:$D$304,MATCH(INT((ROW()-5)/3)+1,对接源_01入库吨位!$S$5:$S$304,0))),IF($D280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0" s="41" t="str">
        <f aca="false">IF($B280="","",ROUND(IFERROR(IF($D280="周转打冷",N(INDEX(对接源_01入库吨位!$H$5:$H$304,MATCH(INT((ROW()-5)/3)+1,对接源_01入库吨位!$S$5:$S$304,0))),IF($D280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0" s="52" t="str">
        <f aca="false">IF($B280="","",ROUND(N($F280)/1000,3))</f>
        <v/>
      </c>
      <c r="H280" s="74"/>
      <c r="I280" s="44"/>
      <c r="J280" s="75" t="str">
        <f aca="false">IF($B280="","",IF($H280="按筐数×单价",N($E280),IF($H280="按总重KG×单价",N($F280),IF($H280="按吨位×单价",N($G280),0))))</f>
        <v/>
      </c>
      <c r="K280" s="41" t="str">
        <f aca="false">IF($B280="","",ROUND(N($J280)*N($I280),2))</f>
        <v/>
      </c>
      <c r="L280" s="42"/>
      <c r="M280" s="76"/>
      <c r="N280" s="43"/>
      <c r="R280" s="77" t="str">
        <f aca="false">IF($B280="","",$B280)</f>
        <v/>
      </c>
      <c r="S280" s="77" t="n">
        <f aca="false">IF($R280="",0,IF(MATCH($R280,$R$5:$R$904,0)=ROW()-4,1,0))</f>
        <v>0</v>
      </c>
      <c r="T280" s="77" t="n">
        <f aca="false">N(T279)+$S280</f>
        <v>18</v>
      </c>
    </row>
    <row r="281" customFormat="false" ht="13.5" hidden="false" customHeight="false" outlineLevel="0" collapsed="false">
      <c r="A281" s="9" t="str">
        <f aca="false">IF($B281="","",ROW()-4)</f>
        <v/>
      </c>
      <c r="B281" s="39" t="str">
        <f aca="false">IFERROR(INDEX(对接源_01入库吨位!$B$5:$B$304,MATCH(INT((ROW()-5)/3)+1,对接源_01入库吨位!$S$5:$S$304,0)),"")</f>
        <v/>
      </c>
      <c r="C281" s="39" t="str">
        <f aca="false">IFERROR(INDEX(对接源_01入库吨位!$C$5:$C$304,MATCH(INT((ROW()-5)/3)+1,对接源_01入库吨位!$S$5:$S$304,0)),"")</f>
        <v/>
      </c>
      <c r="D281" s="40" t="str">
        <f aca="false">IF($B281="","",IF(MOD(ROW()-5,3)=0,"周转打冷",IF(MOD(ROW()-5,3)=1,"仓储加工","装卸费")))</f>
        <v/>
      </c>
      <c r="E281" s="51" t="str">
        <f aca="false">IF($B281="","",IFERROR(IF($D281="周转打冷",N(INDEX(对接源_01入库吨位!$D$5:$D$304,MATCH(INT((ROW()-5)/3)+1,对接源_01入库吨位!$S$5:$S$304,0))),IF($D281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1" s="41" t="str">
        <f aca="false">IF($B281="","",ROUND(IFERROR(IF($D281="周转打冷",N(INDEX(对接源_01入库吨位!$H$5:$H$304,MATCH(INT((ROW()-5)/3)+1,对接源_01入库吨位!$S$5:$S$304,0))),IF($D281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1" s="52" t="str">
        <f aca="false">IF($B281="","",ROUND(N($F281)/1000,3))</f>
        <v/>
      </c>
      <c r="H281" s="74"/>
      <c r="I281" s="44"/>
      <c r="J281" s="75" t="str">
        <f aca="false">IF($B281="","",IF($H281="按筐数×单价",N($E281),IF($H281="按总重KG×单价",N($F281),IF($H281="按吨位×单价",N($G281),0))))</f>
        <v/>
      </c>
      <c r="K281" s="41" t="str">
        <f aca="false">IF($B281="","",ROUND(N($J281)*N($I281),2))</f>
        <v/>
      </c>
      <c r="L281" s="42"/>
      <c r="M281" s="76"/>
      <c r="N281" s="43"/>
      <c r="R281" s="77" t="str">
        <f aca="false">IF($B281="","",$B281)</f>
        <v/>
      </c>
      <c r="S281" s="77" t="n">
        <f aca="false">IF($R281="",0,IF(MATCH($R281,$R$5:$R$904,0)=ROW()-4,1,0))</f>
        <v>0</v>
      </c>
      <c r="T281" s="77" t="n">
        <f aca="false">N(T280)+$S281</f>
        <v>18</v>
      </c>
    </row>
    <row r="282" customFormat="false" ht="13.5" hidden="false" customHeight="false" outlineLevel="0" collapsed="false">
      <c r="A282" s="9" t="str">
        <f aca="false">IF($B282="","",ROW()-4)</f>
        <v/>
      </c>
      <c r="B282" s="39" t="str">
        <f aca="false">IFERROR(INDEX(对接源_01入库吨位!$B$5:$B$304,MATCH(INT((ROW()-5)/3)+1,对接源_01入库吨位!$S$5:$S$304,0)),"")</f>
        <v/>
      </c>
      <c r="C282" s="39" t="str">
        <f aca="false">IFERROR(INDEX(对接源_01入库吨位!$C$5:$C$304,MATCH(INT((ROW()-5)/3)+1,对接源_01入库吨位!$S$5:$S$304,0)),"")</f>
        <v/>
      </c>
      <c r="D282" s="40" t="str">
        <f aca="false">IF($B282="","",IF(MOD(ROW()-5,3)=0,"周转打冷",IF(MOD(ROW()-5,3)=1,"仓储加工","装卸费")))</f>
        <v/>
      </c>
      <c r="E282" s="51" t="str">
        <f aca="false">IF($B282="","",IFERROR(IF($D282="周转打冷",N(INDEX(对接源_01入库吨位!$D$5:$D$304,MATCH(INT((ROW()-5)/3)+1,对接源_01入库吨位!$S$5:$S$304,0))),IF($D282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2" s="41" t="str">
        <f aca="false">IF($B282="","",ROUND(IFERROR(IF($D282="周转打冷",N(INDEX(对接源_01入库吨位!$H$5:$H$304,MATCH(INT((ROW()-5)/3)+1,对接源_01入库吨位!$S$5:$S$304,0))),IF($D282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2" s="52" t="str">
        <f aca="false">IF($B282="","",ROUND(N($F282)/1000,3))</f>
        <v/>
      </c>
      <c r="H282" s="74"/>
      <c r="I282" s="44"/>
      <c r="J282" s="75" t="str">
        <f aca="false">IF($B282="","",IF($H282="按筐数×单价",N($E282),IF($H282="按总重KG×单价",N($F282),IF($H282="按吨位×单价",N($G282),0))))</f>
        <v/>
      </c>
      <c r="K282" s="41" t="str">
        <f aca="false">IF($B282="","",ROUND(N($J282)*N($I282),2))</f>
        <v/>
      </c>
      <c r="L282" s="42"/>
      <c r="M282" s="76"/>
      <c r="N282" s="43"/>
      <c r="R282" s="77" t="str">
        <f aca="false">IF($B282="","",$B282)</f>
        <v/>
      </c>
      <c r="S282" s="77" t="n">
        <f aca="false">IF($R282="",0,IF(MATCH($R282,$R$5:$R$904,0)=ROW()-4,1,0))</f>
        <v>0</v>
      </c>
      <c r="T282" s="77" t="n">
        <f aca="false">N(T281)+$S282</f>
        <v>18</v>
      </c>
    </row>
    <row r="283" customFormat="false" ht="13.5" hidden="false" customHeight="false" outlineLevel="0" collapsed="false">
      <c r="A283" s="9" t="str">
        <f aca="false">IF($B283="","",ROW()-4)</f>
        <v/>
      </c>
      <c r="B283" s="39" t="str">
        <f aca="false">IFERROR(INDEX(对接源_01入库吨位!$B$5:$B$304,MATCH(INT((ROW()-5)/3)+1,对接源_01入库吨位!$S$5:$S$304,0)),"")</f>
        <v/>
      </c>
      <c r="C283" s="39" t="str">
        <f aca="false">IFERROR(INDEX(对接源_01入库吨位!$C$5:$C$304,MATCH(INT((ROW()-5)/3)+1,对接源_01入库吨位!$S$5:$S$304,0)),"")</f>
        <v/>
      </c>
      <c r="D283" s="40" t="str">
        <f aca="false">IF($B283="","",IF(MOD(ROW()-5,3)=0,"周转打冷",IF(MOD(ROW()-5,3)=1,"仓储加工","装卸费")))</f>
        <v/>
      </c>
      <c r="E283" s="51" t="str">
        <f aca="false">IF($B283="","",IFERROR(IF($D283="周转打冷",N(INDEX(对接源_01入库吨位!$D$5:$D$304,MATCH(INT((ROW()-5)/3)+1,对接源_01入库吨位!$S$5:$S$304,0))),IF($D283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3" s="41" t="str">
        <f aca="false">IF($B283="","",ROUND(IFERROR(IF($D283="周转打冷",N(INDEX(对接源_01入库吨位!$H$5:$H$304,MATCH(INT((ROW()-5)/3)+1,对接源_01入库吨位!$S$5:$S$304,0))),IF($D283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3" s="52" t="str">
        <f aca="false">IF($B283="","",ROUND(N($F283)/1000,3))</f>
        <v/>
      </c>
      <c r="H283" s="74"/>
      <c r="I283" s="44"/>
      <c r="J283" s="75" t="str">
        <f aca="false">IF($B283="","",IF($H283="按筐数×单价",N($E283),IF($H283="按总重KG×单价",N($F283),IF($H283="按吨位×单价",N($G283),0))))</f>
        <v/>
      </c>
      <c r="K283" s="41" t="str">
        <f aca="false">IF($B283="","",ROUND(N($J283)*N($I283),2))</f>
        <v/>
      </c>
      <c r="L283" s="42"/>
      <c r="M283" s="76"/>
      <c r="N283" s="43"/>
      <c r="R283" s="77" t="str">
        <f aca="false">IF($B283="","",$B283)</f>
        <v/>
      </c>
      <c r="S283" s="77" t="n">
        <f aca="false">IF($R283="",0,IF(MATCH($R283,$R$5:$R$904,0)=ROW()-4,1,0))</f>
        <v>0</v>
      </c>
      <c r="T283" s="77" t="n">
        <f aca="false">N(T282)+$S283</f>
        <v>18</v>
      </c>
    </row>
    <row r="284" customFormat="false" ht="13.5" hidden="false" customHeight="false" outlineLevel="0" collapsed="false">
      <c r="A284" s="9" t="str">
        <f aca="false">IF($B284="","",ROW()-4)</f>
        <v/>
      </c>
      <c r="B284" s="39" t="str">
        <f aca="false">IFERROR(INDEX(对接源_01入库吨位!$B$5:$B$304,MATCH(INT((ROW()-5)/3)+1,对接源_01入库吨位!$S$5:$S$304,0)),"")</f>
        <v/>
      </c>
      <c r="C284" s="39" t="str">
        <f aca="false">IFERROR(INDEX(对接源_01入库吨位!$C$5:$C$304,MATCH(INT((ROW()-5)/3)+1,对接源_01入库吨位!$S$5:$S$304,0)),"")</f>
        <v/>
      </c>
      <c r="D284" s="40" t="str">
        <f aca="false">IF($B284="","",IF(MOD(ROW()-5,3)=0,"周转打冷",IF(MOD(ROW()-5,3)=1,"仓储加工","装卸费")))</f>
        <v/>
      </c>
      <c r="E284" s="51" t="str">
        <f aca="false">IF($B284="","",IFERROR(IF($D284="周转打冷",N(INDEX(对接源_01入库吨位!$D$5:$D$304,MATCH(INT((ROW()-5)/3)+1,对接源_01入库吨位!$S$5:$S$304,0))),IF($D284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4" s="41" t="str">
        <f aca="false">IF($B284="","",ROUND(IFERROR(IF($D284="周转打冷",N(INDEX(对接源_01入库吨位!$H$5:$H$304,MATCH(INT((ROW()-5)/3)+1,对接源_01入库吨位!$S$5:$S$304,0))),IF($D284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4" s="52" t="str">
        <f aca="false">IF($B284="","",ROUND(N($F284)/1000,3))</f>
        <v/>
      </c>
      <c r="H284" s="74"/>
      <c r="I284" s="44"/>
      <c r="J284" s="75" t="str">
        <f aca="false">IF($B284="","",IF($H284="按筐数×单价",N($E284),IF($H284="按总重KG×单价",N($F284),IF($H284="按吨位×单价",N($G284),0))))</f>
        <v/>
      </c>
      <c r="K284" s="41" t="str">
        <f aca="false">IF($B284="","",ROUND(N($J284)*N($I284),2))</f>
        <v/>
      </c>
      <c r="L284" s="42"/>
      <c r="M284" s="76"/>
      <c r="N284" s="43"/>
      <c r="R284" s="77" t="str">
        <f aca="false">IF($B284="","",$B284)</f>
        <v/>
      </c>
      <c r="S284" s="77" t="n">
        <f aca="false">IF($R284="",0,IF(MATCH($R284,$R$5:$R$904,0)=ROW()-4,1,0))</f>
        <v>0</v>
      </c>
      <c r="T284" s="77" t="n">
        <f aca="false">N(T283)+$S284</f>
        <v>18</v>
      </c>
    </row>
    <row r="285" customFormat="false" ht="13.5" hidden="false" customHeight="false" outlineLevel="0" collapsed="false">
      <c r="A285" s="9" t="str">
        <f aca="false">IF($B285="","",ROW()-4)</f>
        <v/>
      </c>
      <c r="B285" s="39" t="str">
        <f aca="false">IFERROR(INDEX(对接源_01入库吨位!$B$5:$B$304,MATCH(INT((ROW()-5)/3)+1,对接源_01入库吨位!$S$5:$S$304,0)),"")</f>
        <v/>
      </c>
      <c r="C285" s="39" t="str">
        <f aca="false">IFERROR(INDEX(对接源_01入库吨位!$C$5:$C$304,MATCH(INT((ROW()-5)/3)+1,对接源_01入库吨位!$S$5:$S$304,0)),"")</f>
        <v/>
      </c>
      <c r="D285" s="40" t="str">
        <f aca="false">IF($B285="","",IF(MOD(ROW()-5,3)=0,"周转打冷",IF(MOD(ROW()-5,3)=1,"仓储加工","装卸费")))</f>
        <v/>
      </c>
      <c r="E285" s="51" t="str">
        <f aca="false">IF($B285="","",IFERROR(IF($D285="周转打冷",N(INDEX(对接源_01入库吨位!$D$5:$D$304,MATCH(INT((ROW()-5)/3)+1,对接源_01入库吨位!$S$5:$S$304,0))),IF($D285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5" s="41" t="str">
        <f aca="false">IF($B285="","",ROUND(IFERROR(IF($D285="周转打冷",N(INDEX(对接源_01入库吨位!$H$5:$H$304,MATCH(INT((ROW()-5)/3)+1,对接源_01入库吨位!$S$5:$S$304,0))),IF($D285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5" s="52" t="str">
        <f aca="false">IF($B285="","",ROUND(N($F285)/1000,3))</f>
        <v/>
      </c>
      <c r="H285" s="74"/>
      <c r="I285" s="44"/>
      <c r="J285" s="75" t="str">
        <f aca="false">IF($B285="","",IF($H285="按筐数×单价",N($E285),IF($H285="按总重KG×单价",N($F285),IF($H285="按吨位×单价",N($G285),0))))</f>
        <v/>
      </c>
      <c r="K285" s="41" t="str">
        <f aca="false">IF($B285="","",ROUND(N($J285)*N($I285),2))</f>
        <v/>
      </c>
      <c r="L285" s="42"/>
      <c r="M285" s="76"/>
      <c r="N285" s="43"/>
      <c r="R285" s="77" t="str">
        <f aca="false">IF($B285="","",$B285)</f>
        <v/>
      </c>
      <c r="S285" s="77" t="n">
        <f aca="false">IF($R285="",0,IF(MATCH($R285,$R$5:$R$904,0)=ROW()-4,1,0))</f>
        <v>0</v>
      </c>
      <c r="T285" s="77" t="n">
        <f aca="false">N(T284)+$S285</f>
        <v>18</v>
      </c>
    </row>
    <row r="286" customFormat="false" ht="13.5" hidden="false" customHeight="false" outlineLevel="0" collapsed="false">
      <c r="A286" s="9" t="str">
        <f aca="false">IF($B286="","",ROW()-4)</f>
        <v/>
      </c>
      <c r="B286" s="39" t="str">
        <f aca="false">IFERROR(INDEX(对接源_01入库吨位!$B$5:$B$304,MATCH(INT((ROW()-5)/3)+1,对接源_01入库吨位!$S$5:$S$304,0)),"")</f>
        <v/>
      </c>
      <c r="C286" s="39" t="str">
        <f aca="false">IFERROR(INDEX(对接源_01入库吨位!$C$5:$C$304,MATCH(INT((ROW()-5)/3)+1,对接源_01入库吨位!$S$5:$S$304,0)),"")</f>
        <v/>
      </c>
      <c r="D286" s="40" t="str">
        <f aca="false">IF($B286="","",IF(MOD(ROW()-5,3)=0,"周转打冷",IF(MOD(ROW()-5,3)=1,"仓储加工","装卸费")))</f>
        <v/>
      </c>
      <c r="E286" s="51" t="str">
        <f aca="false">IF($B286="","",IFERROR(IF($D286="周转打冷",N(INDEX(对接源_01入库吨位!$D$5:$D$304,MATCH(INT((ROW()-5)/3)+1,对接源_01入库吨位!$S$5:$S$304,0))),IF($D286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6" s="41" t="str">
        <f aca="false">IF($B286="","",ROUND(IFERROR(IF($D286="周转打冷",N(INDEX(对接源_01入库吨位!$H$5:$H$304,MATCH(INT((ROW()-5)/3)+1,对接源_01入库吨位!$S$5:$S$304,0))),IF($D286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6" s="52" t="str">
        <f aca="false">IF($B286="","",ROUND(N($F286)/1000,3))</f>
        <v/>
      </c>
      <c r="H286" s="74"/>
      <c r="I286" s="44"/>
      <c r="J286" s="75" t="str">
        <f aca="false">IF($B286="","",IF($H286="按筐数×单价",N($E286),IF($H286="按总重KG×单价",N($F286),IF($H286="按吨位×单价",N($G286),0))))</f>
        <v/>
      </c>
      <c r="K286" s="41" t="str">
        <f aca="false">IF($B286="","",ROUND(N($J286)*N($I286),2))</f>
        <v/>
      </c>
      <c r="L286" s="42"/>
      <c r="M286" s="76"/>
      <c r="N286" s="43"/>
      <c r="R286" s="77" t="str">
        <f aca="false">IF($B286="","",$B286)</f>
        <v/>
      </c>
      <c r="S286" s="77" t="n">
        <f aca="false">IF($R286="",0,IF(MATCH($R286,$R$5:$R$904,0)=ROW()-4,1,0))</f>
        <v>0</v>
      </c>
      <c r="T286" s="77" t="n">
        <f aca="false">N(T285)+$S286</f>
        <v>18</v>
      </c>
    </row>
    <row r="287" customFormat="false" ht="13.5" hidden="false" customHeight="false" outlineLevel="0" collapsed="false">
      <c r="A287" s="9" t="str">
        <f aca="false">IF($B287="","",ROW()-4)</f>
        <v/>
      </c>
      <c r="B287" s="39" t="str">
        <f aca="false">IFERROR(INDEX(对接源_01入库吨位!$B$5:$B$304,MATCH(INT((ROW()-5)/3)+1,对接源_01入库吨位!$S$5:$S$304,0)),"")</f>
        <v/>
      </c>
      <c r="C287" s="39" t="str">
        <f aca="false">IFERROR(INDEX(对接源_01入库吨位!$C$5:$C$304,MATCH(INT((ROW()-5)/3)+1,对接源_01入库吨位!$S$5:$S$304,0)),"")</f>
        <v/>
      </c>
      <c r="D287" s="40" t="str">
        <f aca="false">IF($B287="","",IF(MOD(ROW()-5,3)=0,"周转打冷",IF(MOD(ROW()-5,3)=1,"仓储加工","装卸费")))</f>
        <v/>
      </c>
      <c r="E287" s="51" t="str">
        <f aca="false">IF($B287="","",IFERROR(IF($D287="周转打冷",N(INDEX(对接源_01入库吨位!$D$5:$D$304,MATCH(INT((ROW()-5)/3)+1,对接源_01入库吨位!$S$5:$S$304,0))),IF($D287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7" s="41" t="str">
        <f aca="false">IF($B287="","",ROUND(IFERROR(IF($D287="周转打冷",N(INDEX(对接源_01入库吨位!$H$5:$H$304,MATCH(INT((ROW()-5)/3)+1,对接源_01入库吨位!$S$5:$S$304,0))),IF($D287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7" s="52" t="str">
        <f aca="false">IF($B287="","",ROUND(N($F287)/1000,3))</f>
        <v/>
      </c>
      <c r="H287" s="74"/>
      <c r="I287" s="44"/>
      <c r="J287" s="75" t="str">
        <f aca="false">IF($B287="","",IF($H287="按筐数×单价",N($E287),IF($H287="按总重KG×单价",N($F287),IF($H287="按吨位×单价",N($G287),0))))</f>
        <v/>
      </c>
      <c r="K287" s="41" t="str">
        <f aca="false">IF($B287="","",ROUND(N($J287)*N($I287),2))</f>
        <v/>
      </c>
      <c r="L287" s="42"/>
      <c r="M287" s="76"/>
      <c r="N287" s="43"/>
      <c r="R287" s="77" t="str">
        <f aca="false">IF($B287="","",$B287)</f>
        <v/>
      </c>
      <c r="S287" s="77" t="n">
        <f aca="false">IF($R287="",0,IF(MATCH($R287,$R$5:$R$904,0)=ROW()-4,1,0))</f>
        <v>0</v>
      </c>
      <c r="T287" s="77" t="n">
        <f aca="false">N(T286)+$S287</f>
        <v>18</v>
      </c>
    </row>
    <row r="288" customFormat="false" ht="13.5" hidden="false" customHeight="false" outlineLevel="0" collapsed="false">
      <c r="A288" s="9" t="str">
        <f aca="false">IF($B288="","",ROW()-4)</f>
        <v/>
      </c>
      <c r="B288" s="39" t="str">
        <f aca="false">IFERROR(INDEX(对接源_01入库吨位!$B$5:$B$304,MATCH(INT((ROW()-5)/3)+1,对接源_01入库吨位!$S$5:$S$304,0)),"")</f>
        <v/>
      </c>
      <c r="C288" s="39" t="str">
        <f aca="false">IFERROR(INDEX(对接源_01入库吨位!$C$5:$C$304,MATCH(INT((ROW()-5)/3)+1,对接源_01入库吨位!$S$5:$S$304,0)),"")</f>
        <v/>
      </c>
      <c r="D288" s="40" t="str">
        <f aca="false">IF($B288="","",IF(MOD(ROW()-5,3)=0,"周转打冷",IF(MOD(ROW()-5,3)=1,"仓储加工","装卸费")))</f>
        <v/>
      </c>
      <c r="E288" s="51" t="str">
        <f aca="false">IF($B288="","",IFERROR(IF($D288="周转打冷",N(INDEX(对接源_01入库吨位!$D$5:$D$304,MATCH(INT((ROW()-5)/3)+1,对接源_01入库吨位!$S$5:$S$304,0))),IF($D288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8" s="41" t="str">
        <f aca="false">IF($B288="","",ROUND(IFERROR(IF($D288="周转打冷",N(INDEX(对接源_01入库吨位!$H$5:$H$304,MATCH(INT((ROW()-5)/3)+1,对接源_01入库吨位!$S$5:$S$304,0))),IF($D288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8" s="52" t="str">
        <f aca="false">IF($B288="","",ROUND(N($F288)/1000,3))</f>
        <v/>
      </c>
      <c r="H288" s="74"/>
      <c r="I288" s="44"/>
      <c r="J288" s="75" t="str">
        <f aca="false">IF($B288="","",IF($H288="按筐数×单价",N($E288),IF($H288="按总重KG×单价",N($F288),IF($H288="按吨位×单价",N($G288),0))))</f>
        <v/>
      </c>
      <c r="K288" s="41" t="str">
        <f aca="false">IF($B288="","",ROUND(N($J288)*N($I288),2))</f>
        <v/>
      </c>
      <c r="L288" s="42"/>
      <c r="M288" s="76"/>
      <c r="N288" s="43"/>
      <c r="R288" s="77" t="str">
        <f aca="false">IF($B288="","",$B288)</f>
        <v/>
      </c>
      <c r="S288" s="77" t="n">
        <f aca="false">IF($R288="",0,IF(MATCH($R288,$R$5:$R$904,0)=ROW()-4,1,0))</f>
        <v>0</v>
      </c>
      <c r="T288" s="77" t="n">
        <f aca="false">N(T287)+$S288</f>
        <v>18</v>
      </c>
    </row>
    <row r="289" customFormat="false" ht="13.5" hidden="false" customHeight="false" outlineLevel="0" collapsed="false">
      <c r="A289" s="9" t="str">
        <f aca="false">IF($B289="","",ROW()-4)</f>
        <v/>
      </c>
      <c r="B289" s="39" t="str">
        <f aca="false">IFERROR(INDEX(对接源_01入库吨位!$B$5:$B$304,MATCH(INT((ROW()-5)/3)+1,对接源_01入库吨位!$S$5:$S$304,0)),"")</f>
        <v/>
      </c>
      <c r="C289" s="39" t="str">
        <f aca="false">IFERROR(INDEX(对接源_01入库吨位!$C$5:$C$304,MATCH(INT((ROW()-5)/3)+1,对接源_01入库吨位!$S$5:$S$304,0)),"")</f>
        <v/>
      </c>
      <c r="D289" s="40" t="str">
        <f aca="false">IF($B289="","",IF(MOD(ROW()-5,3)=0,"周转打冷",IF(MOD(ROW()-5,3)=1,"仓储加工","装卸费")))</f>
        <v/>
      </c>
      <c r="E289" s="51" t="str">
        <f aca="false">IF($B289="","",IFERROR(IF($D289="周转打冷",N(INDEX(对接源_01入库吨位!$D$5:$D$304,MATCH(INT((ROW()-5)/3)+1,对接源_01入库吨位!$S$5:$S$304,0))),IF($D289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89" s="41" t="str">
        <f aca="false">IF($B289="","",ROUND(IFERROR(IF($D289="周转打冷",N(INDEX(对接源_01入库吨位!$H$5:$H$304,MATCH(INT((ROW()-5)/3)+1,对接源_01入库吨位!$S$5:$S$304,0))),IF($D289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89" s="52" t="str">
        <f aca="false">IF($B289="","",ROUND(N($F289)/1000,3))</f>
        <v/>
      </c>
      <c r="H289" s="74"/>
      <c r="I289" s="44"/>
      <c r="J289" s="75" t="str">
        <f aca="false">IF($B289="","",IF($H289="按筐数×单价",N($E289),IF($H289="按总重KG×单价",N($F289),IF($H289="按吨位×单价",N($G289),0))))</f>
        <v/>
      </c>
      <c r="K289" s="41" t="str">
        <f aca="false">IF($B289="","",ROUND(N($J289)*N($I289),2))</f>
        <v/>
      </c>
      <c r="L289" s="42"/>
      <c r="M289" s="76"/>
      <c r="N289" s="43"/>
      <c r="R289" s="77" t="str">
        <f aca="false">IF($B289="","",$B289)</f>
        <v/>
      </c>
      <c r="S289" s="77" t="n">
        <f aca="false">IF($R289="",0,IF(MATCH($R289,$R$5:$R$904,0)=ROW()-4,1,0))</f>
        <v>0</v>
      </c>
      <c r="T289" s="77" t="n">
        <f aca="false">N(T288)+$S289</f>
        <v>18</v>
      </c>
    </row>
    <row r="290" customFormat="false" ht="13.5" hidden="false" customHeight="false" outlineLevel="0" collapsed="false">
      <c r="A290" s="9" t="str">
        <f aca="false">IF($B290="","",ROW()-4)</f>
        <v/>
      </c>
      <c r="B290" s="39" t="str">
        <f aca="false">IFERROR(INDEX(对接源_01入库吨位!$B$5:$B$304,MATCH(INT((ROW()-5)/3)+1,对接源_01入库吨位!$S$5:$S$304,0)),"")</f>
        <v/>
      </c>
      <c r="C290" s="39" t="str">
        <f aca="false">IFERROR(INDEX(对接源_01入库吨位!$C$5:$C$304,MATCH(INT((ROW()-5)/3)+1,对接源_01入库吨位!$S$5:$S$304,0)),"")</f>
        <v/>
      </c>
      <c r="D290" s="40" t="str">
        <f aca="false">IF($B290="","",IF(MOD(ROW()-5,3)=0,"周转打冷",IF(MOD(ROW()-5,3)=1,"仓储加工","装卸费")))</f>
        <v/>
      </c>
      <c r="E290" s="51" t="str">
        <f aca="false">IF($B290="","",IFERROR(IF($D290="周转打冷",N(INDEX(对接源_01入库吨位!$D$5:$D$304,MATCH(INT((ROW()-5)/3)+1,对接源_01入库吨位!$S$5:$S$304,0))),IF($D290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0" s="41" t="str">
        <f aca="false">IF($B290="","",ROUND(IFERROR(IF($D290="周转打冷",N(INDEX(对接源_01入库吨位!$H$5:$H$304,MATCH(INT((ROW()-5)/3)+1,对接源_01入库吨位!$S$5:$S$304,0))),IF($D290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0" s="52" t="str">
        <f aca="false">IF($B290="","",ROUND(N($F290)/1000,3))</f>
        <v/>
      </c>
      <c r="H290" s="74"/>
      <c r="I290" s="44"/>
      <c r="J290" s="75" t="str">
        <f aca="false">IF($B290="","",IF($H290="按筐数×单价",N($E290),IF($H290="按总重KG×单价",N($F290),IF($H290="按吨位×单价",N($G290),0))))</f>
        <v/>
      </c>
      <c r="K290" s="41" t="str">
        <f aca="false">IF($B290="","",ROUND(N($J290)*N($I290),2))</f>
        <v/>
      </c>
      <c r="L290" s="42"/>
      <c r="M290" s="76"/>
      <c r="N290" s="43"/>
      <c r="R290" s="77" t="str">
        <f aca="false">IF($B290="","",$B290)</f>
        <v/>
      </c>
      <c r="S290" s="77" t="n">
        <f aca="false">IF($R290="",0,IF(MATCH($R290,$R$5:$R$904,0)=ROW()-4,1,0))</f>
        <v>0</v>
      </c>
      <c r="T290" s="77" t="n">
        <f aca="false">N(T289)+$S290</f>
        <v>18</v>
      </c>
    </row>
    <row r="291" customFormat="false" ht="13.5" hidden="false" customHeight="false" outlineLevel="0" collapsed="false">
      <c r="A291" s="9" t="str">
        <f aca="false">IF($B291="","",ROW()-4)</f>
        <v/>
      </c>
      <c r="B291" s="39" t="str">
        <f aca="false">IFERROR(INDEX(对接源_01入库吨位!$B$5:$B$304,MATCH(INT((ROW()-5)/3)+1,对接源_01入库吨位!$S$5:$S$304,0)),"")</f>
        <v/>
      </c>
      <c r="C291" s="39" t="str">
        <f aca="false">IFERROR(INDEX(对接源_01入库吨位!$C$5:$C$304,MATCH(INT((ROW()-5)/3)+1,对接源_01入库吨位!$S$5:$S$304,0)),"")</f>
        <v/>
      </c>
      <c r="D291" s="40" t="str">
        <f aca="false">IF($B291="","",IF(MOD(ROW()-5,3)=0,"周转打冷",IF(MOD(ROW()-5,3)=1,"仓储加工","装卸费")))</f>
        <v/>
      </c>
      <c r="E291" s="51" t="str">
        <f aca="false">IF($B291="","",IFERROR(IF($D291="周转打冷",N(INDEX(对接源_01入库吨位!$D$5:$D$304,MATCH(INT((ROW()-5)/3)+1,对接源_01入库吨位!$S$5:$S$304,0))),IF($D291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1" s="41" t="str">
        <f aca="false">IF($B291="","",ROUND(IFERROR(IF($D291="周转打冷",N(INDEX(对接源_01入库吨位!$H$5:$H$304,MATCH(INT((ROW()-5)/3)+1,对接源_01入库吨位!$S$5:$S$304,0))),IF($D291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1" s="52" t="str">
        <f aca="false">IF($B291="","",ROUND(N($F291)/1000,3))</f>
        <v/>
      </c>
      <c r="H291" s="74"/>
      <c r="I291" s="44"/>
      <c r="J291" s="75" t="str">
        <f aca="false">IF($B291="","",IF($H291="按筐数×单价",N($E291),IF($H291="按总重KG×单价",N($F291),IF($H291="按吨位×单价",N($G291),0))))</f>
        <v/>
      </c>
      <c r="K291" s="41" t="str">
        <f aca="false">IF($B291="","",ROUND(N($J291)*N($I291),2))</f>
        <v/>
      </c>
      <c r="L291" s="42"/>
      <c r="M291" s="76"/>
      <c r="N291" s="43"/>
      <c r="R291" s="77" t="str">
        <f aca="false">IF($B291="","",$B291)</f>
        <v/>
      </c>
      <c r="S291" s="77" t="n">
        <f aca="false">IF($R291="",0,IF(MATCH($R291,$R$5:$R$904,0)=ROW()-4,1,0))</f>
        <v>0</v>
      </c>
      <c r="T291" s="77" t="n">
        <f aca="false">N(T290)+$S291</f>
        <v>18</v>
      </c>
    </row>
    <row r="292" customFormat="false" ht="13.5" hidden="false" customHeight="false" outlineLevel="0" collapsed="false">
      <c r="A292" s="9" t="str">
        <f aca="false">IF($B292="","",ROW()-4)</f>
        <v/>
      </c>
      <c r="B292" s="39" t="str">
        <f aca="false">IFERROR(INDEX(对接源_01入库吨位!$B$5:$B$304,MATCH(INT((ROW()-5)/3)+1,对接源_01入库吨位!$S$5:$S$304,0)),"")</f>
        <v/>
      </c>
      <c r="C292" s="39" t="str">
        <f aca="false">IFERROR(INDEX(对接源_01入库吨位!$C$5:$C$304,MATCH(INT((ROW()-5)/3)+1,对接源_01入库吨位!$S$5:$S$304,0)),"")</f>
        <v/>
      </c>
      <c r="D292" s="40" t="str">
        <f aca="false">IF($B292="","",IF(MOD(ROW()-5,3)=0,"周转打冷",IF(MOD(ROW()-5,3)=1,"仓储加工","装卸费")))</f>
        <v/>
      </c>
      <c r="E292" s="51" t="str">
        <f aca="false">IF($B292="","",IFERROR(IF($D292="周转打冷",N(INDEX(对接源_01入库吨位!$D$5:$D$304,MATCH(INT((ROW()-5)/3)+1,对接源_01入库吨位!$S$5:$S$304,0))),IF($D292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2" s="41" t="str">
        <f aca="false">IF($B292="","",ROUND(IFERROR(IF($D292="周转打冷",N(INDEX(对接源_01入库吨位!$H$5:$H$304,MATCH(INT((ROW()-5)/3)+1,对接源_01入库吨位!$S$5:$S$304,0))),IF($D292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2" s="52" t="str">
        <f aca="false">IF($B292="","",ROUND(N($F292)/1000,3))</f>
        <v/>
      </c>
      <c r="H292" s="74"/>
      <c r="I292" s="44"/>
      <c r="J292" s="75" t="str">
        <f aca="false">IF($B292="","",IF($H292="按筐数×单价",N($E292),IF($H292="按总重KG×单价",N($F292),IF($H292="按吨位×单价",N($G292),0))))</f>
        <v/>
      </c>
      <c r="K292" s="41" t="str">
        <f aca="false">IF($B292="","",ROUND(N($J292)*N($I292),2))</f>
        <v/>
      </c>
      <c r="L292" s="42"/>
      <c r="M292" s="76"/>
      <c r="N292" s="43"/>
      <c r="R292" s="77" t="str">
        <f aca="false">IF($B292="","",$B292)</f>
        <v/>
      </c>
      <c r="S292" s="77" t="n">
        <f aca="false">IF($R292="",0,IF(MATCH($R292,$R$5:$R$904,0)=ROW()-4,1,0))</f>
        <v>0</v>
      </c>
      <c r="T292" s="77" t="n">
        <f aca="false">N(T291)+$S292</f>
        <v>18</v>
      </c>
    </row>
    <row r="293" customFormat="false" ht="13.5" hidden="false" customHeight="false" outlineLevel="0" collapsed="false">
      <c r="A293" s="9" t="str">
        <f aca="false">IF($B293="","",ROW()-4)</f>
        <v/>
      </c>
      <c r="B293" s="39" t="str">
        <f aca="false">IFERROR(INDEX(对接源_01入库吨位!$B$5:$B$304,MATCH(INT((ROW()-5)/3)+1,对接源_01入库吨位!$S$5:$S$304,0)),"")</f>
        <v/>
      </c>
      <c r="C293" s="39" t="str">
        <f aca="false">IFERROR(INDEX(对接源_01入库吨位!$C$5:$C$304,MATCH(INT((ROW()-5)/3)+1,对接源_01入库吨位!$S$5:$S$304,0)),"")</f>
        <v/>
      </c>
      <c r="D293" s="40" t="str">
        <f aca="false">IF($B293="","",IF(MOD(ROW()-5,3)=0,"周转打冷",IF(MOD(ROW()-5,3)=1,"仓储加工","装卸费")))</f>
        <v/>
      </c>
      <c r="E293" s="51" t="str">
        <f aca="false">IF($B293="","",IFERROR(IF($D293="周转打冷",N(INDEX(对接源_01入库吨位!$D$5:$D$304,MATCH(INT((ROW()-5)/3)+1,对接源_01入库吨位!$S$5:$S$304,0))),IF($D293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3" s="41" t="str">
        <f aca="false">IF($B293="","",ROUND(IFERROR(IF($D293="周转打冷",N(INDEX(对接源_01入库吨位!$H$5:$H$304,MATCH(INT((ROW()-5)/3)+1,对接源_01入库吨位!$S$5:$S$304,0))),IF($D293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3" s="52" t="str">
        <f aca="false">IF($B293="","",ROUND(N($F293)/1000,3))</f>
        <v/>
      </c>
      <c r="H293" s="74"/>
      <c r="I293" s="44"/>
      <c r="J293" s="75" t="str">
        <f aca="false">IF($B293="","",IF($H293="按筐数×单价",N($E293),IF($H293="按总重KG×单价",N($F293),IF($H293="按吨位×单价",N($G293),0))))</f>
        <v/>
      </c>
      <c r="K293" s="41" t="str">
        <f aca="false">IF($B293="","",ROUND(N($J293)*N($I293),2))</f>
        <v/>
      </c>
      <c r="L293" s="42"/>
      <c r="M293" s="76"/>
      <c r="N293" s="43"/>
      <c r="R293" s="77" t="str">
        <f aca="false">IF($B293="","",$B293)</f>
        <v/>
      </c>
      <c r="S293" s="77" t="n">
        <f aca="false">IF($R293="",0,IF(MATCH($R293,$R$5:$R$904,0)=ROW()-4,1,0))</f>
        <v>0</v>
      </c>
      <c r="T293" s="77" t="n">
        <f aca="false">N(T292)+$S293</f>
        <v>18</v>
      </c>
    </row>
    <row r="294" customFormat="false" ht="13.5" hidden="false" customHeight="false" outlineLevel="0" collapsed="false">
      <c r="A294" s="9" t="str">
        <f aca="false">IF($B294="","",ROW()-4)</f>
        <v/>
      </c>
      <c r="B294" s="39" t="str">
        <f aca="false">IFERROR(INDEX(对接源_01入库吨位!$B$5:$B$304,MATCH(INT((ROW()-5)/3)+1,对接源_01入库吨位!$S$5:$S$304,0)),"")</f>
        <v/>
      </c>
      <c r="C294" s="39" t="str">
        <f aca="false">IFERROR(INDEX(对接源_01入库吨位!$C$5:$C$304,MATCH(INT((ROW()-5)/3)+1,对接源_01入库吨位!$S$5:$S$304,0)),"")</f>
        <v/>
      </c>
      <c r="D294" s="40" t="str">
        <f aca="false">IF($B294="","",IF(MOD(ROW()-5,3)=0,"周转打冷",IF(MOD(ROW()-5,3)=1,"仓储加工","装卸费")))</f>
        <v/>
      </c>
      <c r="E294" s="51" t="str">
        <f aca="false">IF($B294="","",IFERROR(IF($D294="周转打冷",N(INDEX(对接源_01入库吨位!$D$5:$D$304,MATCH(INT((ROW()-5)/3)+1,对接源_01入库吨位!$S$5:$S$304,0))),IF($D294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4" s="41" t="str">
        <f aca="false">IF($B294="","",ROUND(IFERROR(IF($D294="周转打冷",N(INDEX(对接源_01入库吨位!$H$5:$H$304,MATCH(INT((ROW()-5)/3)+1,对接源_01入库吨位!$S$5:$S$304,0))),IF($D294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4" s="52" t="str">
        <f aca="false">IF($B294="","",ROUND(N($F294)/1000,3))</f>
        <v/>
      </c>
      <c r="H294" s="74"/>
      <c r="I294" s="44"/>
      <c r="J294" s="75" t="str">
        <f aca="false">IF($B294="","",IF($H294="按筐数×单价",N($E294),IF($H294="按总重KG×单价",N($F294),IF($H294="按吨位×单价",N($G294),0))))</f>
        <v/>
      </c>
      <c r="K294" s="41" t="str">
        <f aca="false">IF($B294="","",ROUND(N($J294)*N($I294),2))</f>
        <v/>
      </c>
      <c r="L294" s="42"/>
      <c r="M294" s="76"/>
      <c r="N294" s="43"/>
      <c r="R294" s="77" t="str">
        <f aca="false">IF($B294="","",$B294)</f>
        <v/>
      </c>
      <c r="S294" s="77" t="n">
        <f aca="false">IF($R294="",0,IF(MATCH($R294,$R$5:$R$904,0)=ROW()-4,1,0))</f>
        <v>0</v>
      </c>
      <c r="T294" s="77" t="n">
        <f aca="false">N(T293)+$S294</f>
        <v>18</v>
      </c>
    </row>
    <row r="295" customFormat="false" ht="13.5" hidden="false" customHeight="false" outlineLevel="0" collapsed="false">
      <c r="A295" s="9" t="str">
        <f aca="false">IF($B295="","",ROW()-4)</f>
        <v/>
      </c>
      <c r="B295" s="39" t="str">
        <f aca="false">IFERROR(INDEX(对接源_01入库吨位!$B$5:$B$304,MATCH(INT((ROW()-5)/3)+1,对接源_01入库吨位!$S$5:$S$304,0)),"")</f>
        <v/>
      </c>
      <c r="C295" s="39" t="str">
        <f aca="false">IFERROR(INDEX(对接源_01入库吨位!$C$5:$C$304,MATCH(INT((ROW()-5)/3)+1,对接源_01入库吨位!$S$5:$S$304,0)),"")</f>
        <v/>
      </c>
      <c r="D295" s="40" t="str">
        <f aca="false">IF($B295="","",IF(MOD(ROW()-5,3)=0,"周转打冷",IF(MOD(ROW()-5,3)=1,"仓储加工","装卸费")))</f>
        <v/>
      </c>
      <c r="E295" s="51" t="str">
        <f aca="false">IF($B295="","",IFERROR(IF($D295="周转打冷",N(INDEX(对接源_01入库吨位!$D$5:$D$304,MATCH(INT((ROW()-5)/3)+1,对接源_01入库吨位!$S$5:$S$304,0))),IF($D295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5" s="41" t="str">
        <f aca="false">IF($B295="","",ROUND(IFERROR(IF($D295="周转打冷",N(INDEX(对接源_01入库吨位!$H$5:$H$304,MATCH(INT((ROW()-5)/3)+1,对接源_01入库吨位!$S$5:$S$304,0))),IF($D295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5" s="52" t="str">
        <f aca="false">IF($B295="","",ROUND(N($F295)/1000,3))</f>
        <v/>
      </c>
      <c r="H295" s="74"/>
      <c r="I295" s="44"/>
      <c r="J295" s="75" t="str">
        <f aca="false">IF($B295="","",IF($H295="按筐数×单价",N($E295),IF($H295="按总重KG×单价",N($F295),IF($H295="按吨位×单价",N($G295),0))))</f>
        <v/>
      </c>
      <c r="K295" s="41" t="str">
        <f aca="false">IF($B295="","",ROUND(N($J295)*N($I295),2))</f>
        <v/>
      </c>
      <c r="L295" s="42"/>
      <c r="M295" s="76"/>
      <c r="N295" s="43"/>
      <c r="R295" s="77" t="str">
        <f aca="false">IF($B295="","",$B295)</f>
        <v/>
      </c>
      <c r="S295" s="77" t="n">
        <f aca="false">IF($R295="",0,IF(MATCH($R295,$R$5:$R$904,0)=ROW()-4,1,0))</f>
        <v>0</v>
      </c>
      <c r="T295" s="77" t="n">
        <f aca="false">N(T294)+$S295</f>
        <v>18</v>
      </c>
    </row>
    <row r="296" customFormat="false" ht="13.5" hidden="false" customHeight="false" outlineLevel="0" collapsed="false">
      <c r="A296" s="9" t="str">
        <f aca="false">IF($B296="","",ROW()-4)</f>
        <v/>
      </c>
      <c r="B296" s="39" t="str">
        <f aca="false">IFERROR(INDEX(对接源_01入库吨位!$B$5:$B$304,MATCH(INT((ROW()-5)/3)+1,对接源_01入库吨位!$S$5:$S$304,0)),"")</f>
        <v/>
      </c>
      <c r="C296" s="39" t="str">
        <f aca="false">IFERROR(INDEX(对接源_01入库吨位!$C$5:$C$304,MATCH(INT((ROW()-5)/3)+1,对接源_01入库吨位!$S$5:$S$304,0)),"")</f>
        <v/>
      </c>
      <c r="D296" s="40" t="str">
        <f aca="false">IF($B296="","",IF(MOD(ROW()-5,3)=0,"周转打冷",IF(MOD(ROW()-5,3)=1,"仓储加工","装卸费")))</f>
        <v/>
      </c>
      <c r="E296" s="51" t="str">
        <f aca="false">IF($B296="","",IFERROR(IF($D296="周转打冷",N(INDEX(对接源_01入库吨位!$D$5:$D$304,MATCH(INT((ROW()-5)/3)+1,对接源_01入库吨位!$S$5:$S$304,0))),IF($D296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6" s="41" t="str">
        <f aca="false">IF($B296="","",ROUND(IFERROR(IF($D296="周转打冷",N(INDEX(对接源_01入库吨位!$H$5:$H$304,MATCH(INT((ROW()-5)/3)+1,对接源_01入库吨位!$S$5:$S$304,0))),IF($D296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6" s="52" t="str">
        <f aca="false">IF($B296="","",ROUND(N($F296)/1000,3))</f>
        <v/>
      </c>
      <c r="H296" s="74"/>
      <c r="I296" s="44"/>
      <c r="J296" s="75" t="str">
        <f aca="false">IF($B296="","",IF($H296="按筐数×单价",N($E296),IF($H296="按总重KG×单价",N($F296),IF($H296="按吨位×单价",N($G296),0))))</f>
        <v/>
      </c>
      <c r="K296" s="41" t="str">
        <f aca="false">IF($B296="","",ROUND(N($J296)*N($I296),2))</f>
        <v/>
      </c>
      <c r="L296" s="42"/>
      <c r="M296" s="76"/>
      <c r="N296" s="43"/>
      <c r="R296" s="77" t="str">
        <f aca="false">IF($B296="","",$B296)</f>
        <v/>
      </c>
      <c r="S296" s="77" t="n">
        <f aca="false">IF($R296="",0,IF(MATCH($R296,$R$5:$R$904,0)=ROW()-4,1,0))</f>
        <v>0</v>
      </c>
      <c r="T296" s="77" t="n">
        <f aca="false">N(T295)+$S296</f>
        <v>18</v>
      </c>
    </row>
    <row r="297" customFormat="false" ht="13.5" hidden="false" customHeight="false" outlineLevel="0" collapsed="false">
      <c r="A297" s="9" t="str">
        <f aca="false">IF($B297="","",ROW()-4)</f>
        <v/>
      </c>
      <c r="B297" s="39" t="str">
        <f aca="false">IFERROR(INDEX(对接源_01入库吨位!$B$5:$B$304,MATCH(INT((ROW()-5)/3)+1,对接源_01入库吨位!$S$5:$S$304,0)),"")</f>
        <v/>
      </c>
      <c r="C297" s="39" t="str">
        <f aca="false">IFERROR(INDEX(对接源_01入库吨位!$C$5:$C$304,MATCH(INT((ROW()-5)/3)+1,对接源_01入库吨位!$S$5:$S$304,0)),"")</f>
        <v/>
      </c>
      <c r="D297" s="40" t="str">
        <f aca="false">IF($B297="","",IF(MOD(ROW()-5,3)=0,"周转打冷",IF(MOD(ROW()-5,3)=1,"仓储加工","装卸费")))</f>
        <v/>
      </c>
      <c r="E297" s="51" t="str">
        <f aca="false">IF($B297="","",IFERROR(IF($D297="周转打冷",N(INDEX(对接源_01入库吨位!$D$5:$D$304,MATCH(INT((ROW()-5)/3)+1,对接源_01入库吨位!$S$5:$S$304,0))),IF($D297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7" s="41" t="str">
        <f aca="false">IF($B297="","",ROUND(IFERROR(IF($D297="周转打冷",N(INDEX(对接源_01入库吨位!$H$5:$H$304,MATCH(INT((ROW()-5)/3)+1,对接源_01入库吨位!$S$5:$S$304,0))),IF($D297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7" s="52" t="str">
        <f aca="false">IF($B297="","",ROUND(N($F297)/1000,3))</f>
        <v/>
      </c>
      <c r="H297" s="74"/>
      <c r="I297" s="44"/>
      <c r="J297" s="75" t="str">
        <f aca="false">IF($B297="","",IF($H297="按筐数×单价",N($E297),IF($H297="按总重KG×单价",N($F297),IF($H297="按吨位×单价",N($G297),0))))</f>
        <v/>
      </c>
      <c r="K297" s="41" t="str">
        <f aca="false">IF($B297="","",ROUND(N($J297)*N($I297),2))</f>
        <v/>
      </c>
      <c r="L297" s="42"/>
      <c r="M297" s="76"/>
      <c r="N297" s="43"/>
      <c r="R297" s="77" t="str">
        <f aca="false">IF($B297="","",$B297)</f>
        <v/>
      </c>
      <c r="S297" s="77" t="n">
        <f aca="false">IF($R297="",0,IF(MATCH($R297,$R$5:$R$904,0)=ROW()-4,1,0))</f>
        <v>0</v>
      </c>
      <c r="T297" s="77" t="n">
        <f aca="false">N(T296)+$S297</f>
        <v>18</v>
      </c>
    </row>
    <row r="298" customFormat="false" ht="13.5" hidden="false" customHeight="false" outlineLevel="0" collapsed="false">
      <c r="A298" s="9" t="str">
        <f aca="false">IF($B298="","",ROW()-4)</f>
        <v/>
      </c>
      <c r="B298" s="39" t="str">
        <f aca="false">IFERROR(INDEX(对接源_01入库吨位!$B$5:$B$304,MATCH(INT((ROW()-5)/3)+1,对接源_01入库吨位!$S$5:$S$304,0)),"")</f>
        <v/>
      </c>
      <c r="C298" s="39" t="str">
        <f aca="false">IFERROR(INDEX(对接源_01入库吨位!$C$5:$C$304,MATCH(INT((ROW()-5)/3)+1,对接源_01入库吨位!$S$5:$S$304,0)),"")</f>
        <v/>
      </c>
      <c r="D298" s="40" t="str">
        <f aca="false">IF($B298="","",IF(MOD(ROW()-5,3)=0,"周转打冷",IF(MOD(ROW()-5,3)=1,"仓储加工","装卸费")))</f>
        <v/>
      </c>
      <c r="E298" s="51" t="str">
        <f aca="false">IF($B298="","",IFERROR(IF($D298="周转打冷",N(INDEX(对接源_01入库吨位!$D$5:$D$304,MATCH(INT((ROW()-5)/3)+1,对接源_01入库吨位!$S$5:$S$304,0))),IF($D298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8" s="41" t="str">
        <f aca="false">IF($B298="","",ROUND(IFERROR(IF($D298="周转打冷",N(INDEX(对接源_01入库吨位!$H$5:$H$304,MATCH(INT((ROW()-5)/3)+1,对接源_01入库吨位!$S$5:$S$304,0))),IF($D298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8" s="52" t="str">
        <f aca="false">IF($B298="","",ROUND(N($F298)/1000,3))</f>
        <v/>
      </c>
      <c r="H298" s="74"/>
      <c r="I298" s="44"/>
      <c r="J298" s="75" t="str">
        <f aca="false">IF($B298="","",IF($H298="按筐数×单价",N($E298),IF($H298="按总重KG×单价",N($F298),IF($H298="按吨位×单价",N($G298),0))))</f>
        <v/>
      </c>
      <c r="K298" s="41" t="str">
        <f aca="false">IF($B298="","",ROUND(N($J298)*N($I298),2))</f>
        <v/>
      </c>
      <c r="L298" s="42"/>
      <c r="M298" s="76"/>
      <c r="N298" s="43"/>
      <c r="R298" s="77" t="str">
        <f aca="false">IF($B298="","",$B298)</f>
        <v/>
      </c>
      <c r="S298" s="77" t="n">
        <f aca="false">IF($R298="",0,IF(MATCH($R298,$R$5:$R$904,0)=ROW()-4,1,0))</f>
        <v>0</v>
      </c>
      <c r="T298" s="77" t="n">
        <f aca="false">N(T297)+$S298</f>
        <v>18</v>
      </c>
    </row>
    <row r="299" customFormat="false" ht="13.5" hidden="false" customHeight="false" outlineLevel="0" collapsed="false">
      <c r="A299" s="9" t="str">
        <f aca="false">IF($B299="","",ROW()-4)</f>
        <v/>
      </c>
      <c r="B299" s="39" t="str">
        <f aca="false">IFERROR(INDEX(对接源_01入库吨位!$B$5:$B$304,MATCH(INT((ROW()-5)/3)+1,对接源_01入库吨位!$S$5:$S$304,0)),"")</f>
        <v/>
      </c>
      <c r="C299" s="39" t="str">
        <f aca="false">IFERROR(INDEX(对接源_01入库吨位!$C$5:$C$304,MATCH(INT((ROW()-5)/3)+1,对接源_01入库吨位!$S$5:$S$304,0)),"")</f>
        <v/>
      </c>
      <c r="D299" s="40" t="str">
        <f aca="false">IF($B299="","",IF(MOD(ROW()-5,3)=0,"周转打冷",IF(MOD(ROW()-5,3)=1,"仓储加工","装卸费")))</f>
        <v/>
      </c>
      <c r="E299" s="51" t="str">
        <f aca="false">IF($B299="","",IFERROR(IF($D299="周转打冷",N(INDEX(对接源_01入库吨位!$D$5:$D$304,MATCH(INT((ROW()-5)/3)+1,对接源_01入库吨位!$S$5:$S$304,0))),IF($D299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299" s="41" t="str">
        <f aca="false">IF($B299="","",ROUND(IFERROR(IF($D299="周转打冷",N(INDEX(对接源_01入库吨位!$H$5:$H$304,MATCH(INT((ROW()-5)/3)+1,对接源_01入库吨位!$S$5:$S$304,0))),IF($D299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299" s="52" t="str">
        <f aca="false">IF($B299="","",ROUND(N($F299)/1000,3))</f>
        <v/>
      </c>
      <c r="H299" s="74"/>
      <c r="I299" s="44"/>
      <c r="J299" s="75" t="str">
        <f aca="false">IF($B299="","",IF($H299="按筐数×单价",N($E299),IF($H299="按总重KG×单价",N($F299),IF($H299="按吨位×单价",N($G299),0))))</f>
        <v/>
      </c>
      <c r="K299" s="41" t="str">
        <f aca="false">IF($B299="","",ROUND(N($J299)*N($I299),2))</f>
        <v/>
      </c>
      <c r="L299" s="42"/>
      <c r="M299" s="76"/>
      <c r="N299" s="43"/>
      <c r="R299" s="77" t="str">
        <f aca="false">IF($B299="","",$B299)</f>
        <v/>
      </c>
      <c r="S299" s="77" t="n">
        <f aca="false">IF($R299="",0,IF(MATCH($R299,$R$5:$R$904,0)=ROW()-4,1,0))</f>
        <v>0</v>
      </c>
      <c r="T299" s="77" t="n">
        <f aca="false">N(T298)+$S299</f>
        <v>18</v>
      </c>
    </row>
    <row r="300" customFormat="false" ht="13.5" hidden="false" customHeight="false" outlineLevel="0" collapsed="false">
      <c r="A300" s="9" t="str">
        <f aca="false">IF($B300="","",ROW()-4)</f>
        <v/>
      </c>
      <c r="B300" s="39" t="str">
        <f aca="false">IFERROR(INDEX(对接源_01入库吨位!$B$5:$B$304,MATCH(INT((ROW()-5)/3)+1,对接源_01入库吨位!$S$5:$S$304,0)),"")</f>
        <v/>
      </c>
      <c r="C300" s="39" t="str">
        <f aca="false">IFERROR(INDEX(对接源_01入库吨位!$C$5:$C$304,MATCH(INT((ROW()-5)/3)+1,对接源_01入库吨位!$S$5:$S$304,0)),"")</f>
        <v/>
      </c>
      <c r="D300" s="40" t="str">
        <f aca="false">IF($B300="","",IF(MOD(ROW()-5,3)=0,"周转打冷",IF(MOD(ROW()-5,3)=1,"仓储加工","装卸费")))</f>
        <v/>
      </c>
      <c r="E300" s="51" t="str">
        <f aca="false">IF($B300="","",IFERROR(IF($D300="周转打冷",N(INDEX(对接源_01入库吨位!$D$5:$D$304,MATCH(INT((ROW()-5)/3)+1,对接源_01入库吨位!$S$5:$S$304,0))),IF($D300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0" s="41" t="str">
        <f aca="false">IF($B300="","",ROUND(IFERROR(IF($D300="周转打冷",N(INDEX(对接源_01入库吨位!$H$5:$H$304,MATCH(INT((ROW()-5)/3)+1,对接源_01入库吨位!$S$5:$S$304,0))),IF($D300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0" s="52" t="str">
        <f aca="false">IF($B300="","",ROUND(N($F300)/1000,3))</f>
        <v/>
      </c>
      <c r="H300" s="74"/>
      <c r="I300" s="44"/>
      <c r="J300" s="75" t="str">
        <f aca="false">IF($B300="","",IF($H300="按筐数×单价",N($E300),IF($H300="按总重KG×单价",N($F300),IF($H300="按吨位×单价",N($G300),0))))</f>
        <v/>
      </c>
      <c r="K300" s="41" t="str">
        <f aca="false">IF($B300="","",ROUND(N($J300)*N($I300),2))</f>
        <v/>
      </c>
      <c r="L300" s="42"/>
      <c r="M300" s="76"/>
      <c r="N300" s="43"/>
      <c r="R300" s="77" t="str">
        <f aca="false">IF($B300="","",$B300)</f>
        <v/>
      </c>
      <c r="S300" s="77" t="n">
        <f aca="false">IF($R300="",0,IF(MATCH($R300,$R$5:$R$904,0)=ROW()-4,1,0))</f>
        <v>0</v>
      </c>
      <c r="T300" s="77" t="n">
        <f aca="false">N(T299)+$S300</f>
        <v>18</v>
      </c>
    </row>
    <row r="301" customFormat="false" ht="13.5" hidden="false" customHeight="false" outlineLevel="0" collapsed="false">
      <c r="A301" s="9" t="str">
        <f aca="false">IF($B301="","",ROW()-4)</f>
        <v/>
      </c>
      <c r="B301" s="39" t="str">
        <f aca="false">IFERROR(INDEX(对接源_01入库吨位!$B$5:$B$304,MATCH(INT((ROW()-5)/3)+1,对接源_01入库吨位!$S$5:$S$304,0)),"")</f>
        <v/>
      </c>
      <c r="C301" s="39" t="str">
        <f aca="false">IFERROR(INDEX(对接源_01入库吨位!$C$5:$C$304,MATCH(INT((ROW()-5)/3)+1,对接源_01入库吨位!$S$5:$S$304,0)),"")</f>
        <v/>
      </c>
      <c r="D301" s="40" t="str">
        <f aca="false">IF($B301="","",IF(MOD(ROW()-5,3)=0,"周转打冷",IF(MOD(ROW()-5,3)=1,"仓储加工","装卸费")))</f>
        <v/>
      </c>
      <c r="E301" s="51" t="str">
        <f aca="false">IF($B301="","",IFERROR(IF($D301="周转打冷",N(INDEX(对接源_01入库吨位!$D$5:$D$304,MATCH(INT((ROW()-5)/3)+1,对接源_01入库吨位!$S$5:$S$304,0))),IF($D301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1" s="41" t="str">
        <f aca="false">IF($B301="","",ROUND(IFERROR(IF($D301="周转打冷",N(INDEX(对接源_01入库吨位!$H$5:$H$304,MATCH(INT((ROW()-5)/3)+1,对接源_01入库吨位!$S$5:$S$304,0))),IF($D301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1" s="52" t="str">
        <f aca="false">IF($B301="","",ROUND(N($F301)/1000,3))</f>
        <v/>
      </c>
      <c r="H301" s="74"/>
      <c r="I301" s="44"/>
      <c r="J301" s="75" t="str">
        <f aca="false">IF($B301="","",IF($H301="按筐数×单价",N($E301),IF($H301="按总重KG×单价",N($F301),IF($H301="按吨位×单价",N($G301),0))))</f>
        <v/>
      </c>
      <c r="K301" s="41" t="str">
        <f aca="false">IF($B301="","",ROUND(N($J301)*N($I301),2))</f>
        <v/>
      </c>
      <c r="L301" s="42"/>
      <c r="M301" s="76"/>
      <c r="N301" s="43"/>
      <c r="R301" s="77" t="str">
        <f aca="false">IF($B301="","",$B301)</f>
        <v/>
      </c>
      <c r="S301" s="77" t="n">
        <f aca="false">IF($R301="",0,IF(MATCH($R301,$R$5:$R$904,0)=ROW()-4,1,0))</f>
        <v>0</v>
      </c>
      <c r="T301" s="77" t="n">
        <f aca="false">N(T300)+$S301</f>
        <v>18</v>
      </c>
    </row>
    <row r="302" customFormat="false" ht="13.5" hidden="false" customHeight="false" outlineLevel="0" collapsed="false">
      <c r="A302" s="9" t="str">
        <f aca="false">IF($B302="","",ROW()-4)</f>
        <v/>
      </c>
      <c r="B302" s="39" t="str">
        <f aca="false">IFERROR(INDEX(对接源_01入库吨位!$B$5:$B$304,MATCH(INT((ROW()-5)/3)+1,对接源_01入库吨位!$S$5:$S$304,0)),"")</f>
        <v/>
      </c>
      <c r="C302" s="39" t="str">
        <f aca="false">IFERROR(INDEX(对接源_01入库吨位!$C$5:$C$304,MATCH(INT((ROW()-5)/3)+1,对接源_01入库吨位!$S$5:$S$304,0)),"")</f>
        <v/>
      </c>
      <c r="D302" s="40" t="str">
        <f aca="false">IF($B302="","",IF(MOD(ROW()-5,3)=0,"周转打冷",IF(MOD(ROW()-5,3)=1,"仓储加工","装卸费")))</f>
        <v/>
      </c>
      <c r="E302" s="51" t="str">
        <f aca="false">IF($B302="","",IFERROR(IF($D302="周转打冷",N(INDEX(对接源_01入库吨位!$D$5:$D$304,MATCH(INT((ROW()-5)/3)+1,对接源_01入库吨位!$S$5:$S$304,0))),IF($D302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2" s="41" t="str">
        <f aca="false">IF($B302="","",ROUND(IFERROR(IF($D302="周转打冷",N(INDEX(对接源_01入库吨位!$H$5:$H$304,MATCH(INT((ROW()-5)/3)+1,对接源_01入库吨位!$S$5:$S$304,0))),IF($D302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2" s="52" t="str">
        <f aca="false">IF($B302="","",ROUND(N($F302)/1000,3))</f>
        <v/>
      </c>
      <c r="H302" s="74"/>
      <c r="I302" s="44"/>
      <c r="J302" s="75" t="str">
        <f aca="false">IF($B302="","",IF($H302="按筐数×单价",N($E302),IF($H302="按总重KG×单价",N($F302),IF($H302="按吨位×单价",N($G302),0))))</f>
        <v/>
      </c>
      <c r="K302" s="41" t="str">
        <f aca="false">IF($B302="","",ROUND(N($J302)*N($I302),2))</f>
        <v/>
      </c>
      <c r="L302" s="42"/>
      <c r="M302" s="76"/>
      <c r="N302" s="43"/>
      <c r="R302" s="77" t="str">
        <f aca="false">IF($B302="","",$B302)</f>
        <v/>
      </c>
      <c r="S302" s="77" t="n">
        <f aca="false">IF($R302="",0,IF(MATCH($R302,$R$5:$R$904,0)=ROW()-4,1,0))</f>
        <v>0</v>
      </c>
      <c r="T302" s="77" t="n">
        <f aca="false">N(T301)+$S302</f>
        <v>18</v>
      </c>
    </row>
    <row r="303" customFormat="false" ht="13.5" hidden="false" customHeight="false" outlineLevel="0" collapsed="false">
      <c r="A303" s="9" t="str">
        <f aca="false">IF($B303="","",ROW()-4)</f>
        <v/>
      </c>
      <c r="B303" s="39" t="str">
        <f aca="false">IFERROR(INDEX(对接源_01入库吨位!$B$5:$B$304,MATCH(INT((ROW()-5)/3)+1,对接源_01入库吨位!$S$5:$S$304,0)),"")</f>
        <v/>
      </c>
      <c r="C303" s="39" t="str">
        <f aca="false">IFERROR(INDEX(对接源_01入库吨位!$C$5:$C$304,MATCH(INT((ROW()-5)/3)+1,对接源_01入库吨位!$S$5:$S$304,0)),"")</f>
        <v/>
      </c>
      <c r="D303" s="40" t="str">
        <f aca="false">IF($B303="","",IF(MOD(ROW()-5,3)=0,"周转打冷",IF(MOD(ROW()-5,3)=1,"仓储加工","装卸费")))</f>
        <v/>
      </c>
      <c r="E303" s="51" t="str">
        <f aca="false">IF($B303="","",IFERROR(IF($D303="周转打冷",N(INDEX(对接源_01入库吨位!$D$5:$D$304,MATCH(INT((ROW()-5)/3)+1,对接源_01入库吨位!$S$5:$S$304,0))),IF($D303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3" s="41" t="str">
        <f aca="false">IF($B303="","",ROUND(IFERROR(IF($D303="周转打冷",N(INDEX(对接源_01入库吨位!$H$5:$H$304,MATCH(INT((ROW()-5)/3)+1,对接源_01入库吨位!$S$5:$S$304,0))),IF($D303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3" s="52" t="str">
        <f aca="false">IF($B303="","",ROUND(N($F303)/1000,3))</f>
        <v/>
      </c>
      <c r="H303" s="74"/>
      <c r="I303" s="44"/>
      <c r="J303" s="75" t="str">
        <f aca="false">IF($B303="","",IF($H303="按筐数×单价",N($E303),IF($H303="按总重KG×单价",N($F303),IF($H303="按吨位×单价",N($G303),0))))</f>
        <v/>
      </c>
      <c r="K303" s="41" t="str">
        <f aca="false">IF($B303="","",ROUND(N($J303)*N($I303),2))</f>
        <v/>
      </c>
      <c r="L303" s="42"/>
      <c r="M303" s="76"/>
      <c r="N303" s="43"/>
      <c r="R303" s="77" t="str">
        <f aca="false">IF($B303="","",$B303)</f>
        <v/>
      </c>
      <c r="S303" s="77" t="n">
        <f aca="false">IF($R303="",0,IF(MATCH($R303,$R$5:$R$904,0)=ROW()-4,1,0))</f>
        <v>0</v>
      </c>
      <c r="T303" s="77" t="n">
        <f aca="false">N(T302)+$S303</f>
        <v>18</v>
      </c>
    </row>
    <row r="304" customFormat="false" ht="13.5" hidden="false" customHeight="false" outlineLevel="0" collapsed="false">
      <c r="A304" s="9" t="str">
        <f aca="false">IF($B304="","",ROW()-4)</f>
        <v/>
      </c>
      <c r="B304" s="39" t="str">
        <f aca="false">IFERROR(INDEX(对接源_01入库吨位!$B$5:$B$304,MATCH(INT((ROW()-5)/3)+1,对接源_01入库吨位!$S$5:$S$304,0)),"")</f>
        <v/>
      </c>
      <c r="C304" s="39" t="str">
        <f aca="false">IFERROR(INDEX(对接源_01入库吨位!$C$5:$C$304,MATCH(INT((ROW()-5)/3)+1,对接源_01入库吨位!$S$5:$S$304,0)),"")</f>
        <v/>
      </c>
      <c r="D304" s="40" t="str">
        <f aca="false">IF($B304="","",IF(MOD(ROW()-5,3)=0,"周转打冷",IF(MOD(ROW()-5,3)=1,"仓储加工","装卸费")))</f>
        <v/>
      </c>
      <c r="E304" s="51" t="str">
        <f aca="false">IF($B304="","",IFERROR(IF($D304="周转打冷",N(INDEX(对接源_01入库吨位!$D$5:$D$304,MATCH(INT((ROW()-5)/3)+1,对接源_01入库吨位!$S$5:$S$304,0))),IF($D304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4" s="41" t="str">
        <f aca="false">IF($B304="","",ROUND(IFERROR(IF($D304="周转打冷",N(INDEX(对接源_01入库吨位!$H$5:$H$304,MATCH(INT((ROW()-5)/3)+1,对接源_01入库吨位!$S$5:$S$304,0))),IF($D304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4" s="52" t="str">
        <f aca="false">IF($B304="","",ROUND(N($F304)/1000,3))</f>
        <v/>
      </c>
      <c r="H304" s="74"/>
      <c r="I304" s="44"/>
      <c r="J304" s="75" t="str">
        <f aca="false">IF($B304="","",IF($H304="按筐数×单价",N($E304),IF($H304="按总重KG×单价",N($F304),IF($H304="按吨位×单价",N($G304),0))))</f>
        <v/>
      </c>
      <c r="K304" s="41" t="str">
        <f aca="false">IF($B304="","",ROUND(N($J304)*N($I304),2))</f>
        <v/>
      </c>
      <c r="L304" s="42"/>
      <c r="M304" s="76"/>
      <c r="N304" s="43"/>
      <c r="R304" s="77" t="str">
        <f aca="false">IF($B304="","",$B304)</f>
        <v/>
      </c>
      <c r="S304" s="77" t="n">
        <f aca="false">IF($R304="",0,IF(MATCH($R304,$R$5:$R$904,0)=ROW()-4,1,0))</f>
        <v>0</v>
      </c>
      <c r="T304" s="77" t="n">
        <f aca="false">N(T303)+$S304</f>
        <v>18</v>
      </c>
    </row>
    <row r="305" customFormat="false" ht="13.5" hidden="false" customHeight="false" outlineLevel="0" collapsed="false">
      <c r="A305" s="9" t="str">
        <f aca="false">IF($B305="","",ROW()-4)</f>
        <v/>
      </c>
      <c r="B305" s="39" t="str">
        <f aca="false">IFERROR(INDEX(对接源_01入库吨位!$B$5:$B$304,MATCH(INT((ROW()-5)/3)+1,对接源_01入库吨位!$S$5:$S$304,0)),"")</f>
        <v/>
      </c>
      <c r="C305" s="39" t="str">
        <f aca="false">IFERROR(INDEX(对接源_01入库吨位!$C$5:$C$304,MATCH(INT((ROW()-5)/3)+1,对接源_01入库吨位!$S$5:$S$304,0)),"")</f>
        <v/>
      </c>
      <c r="D305" s="40" t="str">
        <f aca="false">IF($B305="","",IF(MOD(ROW()-5,3)=0,"周转打冷",IF(MOD(ROW()-5,3)=1,"仓储加工","装卸费")))</f>
        <v/>
      </c>
      <c r="E305" s="51" t="str">
        <f aca="false">IF($B305="","",IFERROR(IF($D305="周转打冷",N(INDEX(对接源_01入库吨位!$D$5:$D$304,MATCH(INT((ROW()-5)/3)+1,对接源_01入库吨位!$S$5:$S$304,0))),IF($D305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5" s="41" t="str">
        <f aca="false">IF($B305="","",ROUND(IFERROR(IF($D305="周转打冷",N(INDEX(对接源_01入库吨位!$H$5:$H$304,MATCH(INT((ROW()-5)/3)+1,对接源_01入库吨位!$S$5:$S$304,0))),IF($D305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5" s="52" t="str">
        <f aca="false">IF($B305="","",ROUND(N($F305)/1000,3))</f>
        <v/>
      </c>
      <c r="H305" s="74"/>
      <c r="I305" s="44"/>
      <c r="J305" s="75" t="str">
        <f aca="false">IF($B305="","",IF($H305="按筐数×单价",N($E305),IF($H305="按总重KG×单价",N($F305),IF($H305="按吨位×单价",N($G305),0))))</f>
        <v/>
      </c>
      <c r="K305" s="41" t="str">
        <f aca="false">IF($B305="","",ROUND(N($J305)*N($I305),2))</f>
        <v/>
      </c>
      <c r="L305" s="42"/>
      <c r="M305" s="76"/>
      <c r="N305" s="43"/>
      <c r="R305" s="77" t="str">
        <f aca="false">IF($B305="","",$B305)</f>
        <v/>
      </c>
      <c r="S305" s="77" t="n">
        <f aca="false">IF($R305="",0,IF(MATCH($R305,$R$5:$R$904,0)=ROW()-4,1,0))</f>
        <v>0</v>
      </c>
      <c r="T305" s="77" t="n">
        <f aca="false">N(T304)+$S305</f>
        <v>18</v>
      </c>
    </row>
    <row r="306" customFormat="false" ht="13.5" hidden="false" customHeight="false" outlineLevel="0" collapsed="false">
      <c r="A306" s="9" t="str">
        <f aca="false">IF($B306="","",ROW()-4)</f>
        <v/>
      </c>
      <c r="B306" s="39" t="str">
        <f aca="false">IFERROR(INDEX(对接源_01入库吨位!$B$5:$B$304,MATCH(INT((ROW()-5)/3)+1,对接源_01入库吨位!$S$5:$S$304,0)),"")</f>
        <v/>
      </c>
      <c r="C306" s="39" t="str">
        <f aca="false">IFERROR(INDEX(对接源_01入库吨位!$C$5:$C$304,MATCH(INT((ROW()-5)/3)+1,对接源_01入库吨位!$S$5:$S$304,0)),"")</f>
        <v/>
      </c>
      <c r="D306" s="40" t="str">
        <f aca="false">IF($B306="","",IF(MOD(ROW()-5,3)=0,"周转打冷",IF(MOD(ROW()-5,3)=1,"仓储加工","装卸费")))</f>
        <v/>
      </c>
      <c r="E306" s="51" t="str">
        <f aca="false">IF($B306="","",IFERROR(IF($D306="周转打冷",N(INDEX(对接源_01入库吨位!$D$5:$D$304,MATCH(INT((ROW()-5)/3)+1,对接源_01入库吨位!$S$5:$S$304,0))),IF($D306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6" s="41" t="str">
        <f aca="false">IF($B306="","",ROUND(IFERROR(IF($D306="周转打冷",N(INDEX(对接源_01入库吨位!$H$5:$H$304,MATCH(INT((ROW()-5)/3)+1,对接源_01入库吨位!$S$5:$S$304,0))),IF($D306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6" s="52" t="str">
        <f aca="false">IF($B306="","",ROUND(N($F306)/1000,3))</f>
        <v/>
      </c>
      <c r="H306" s="74"/>
      <c r="I306" s="44"/>
      <c r="J306" s="75" t="str">
        <f aca="false">IF($B306="","",IF($H306="按筐数×单价",N($E306),IF($H306="按总重KG×单价",N($F306),IF($H306="按吨位×单价",N($G306),0))))</f>
        <v/>
      </c>
      <c r="K306" s="41" t="str">
        <f aca="false">IF($B306="","",ROUND(N($J306)*N($I306),2))</f>
        <v/>
      </c>
      <c r="L306" s="42"/>
      <c r="M306" s="76"/>
      <c r="N306" s="43"/>
      <c r="R306" s="77" t="str">
        <f aca="false">IF($B306="","",$B306)</f>
        <v/>
      </c>
      <c r="S306" s="77" t="n">
        <f aca="false">IF($R306="",0,IF(MATCH($R306,$R$5:$R$904,0)=ROW()-4,1,0))</f>
        <v>0</v>
      </c>
      <c r="T306" s="77" t="n">
        <f aca="false">N(T305)+$S306</f>
        <v>18</v>
      </c>
    </row>
    <row r="307" customFormat="false" ht="13.5" hidden="false" customHeight="false" outlineLevel="0" collapsed="false">
      <c r="A307" s="9" t="str">
        <f aca="false">IF($B307="","",ROW()-4)</f>
        <v/>
      </c>
      <c r="B307" s="39" t="str">
        <f aca="false">IFERROR(INDEX(对接源_01入库吨位!$B$5:$B$304,MATCH(INT((ROW()-5)/3)+1,对接源_01入库吨位!$S$5:$S$304,0)),"")</f>
        <v/>
      </c>
      <c r="C307" s="39" t="str">
        <f aca="false">IFERROR(INDEX(对接源_01入库吨位!$C$5:$C$304,MATCH(INT((ROW()-5)/3)+1,对接源_01入库吨位!$S$5:$S$304,0)),"")</f>
        <v/>
      </c>
      <c r="D307" s="40" t="str">
        <f aca="false">IF($B307="","",IF(MOD(ROW()-5,3)=0,"周转打冷",IF(MOD(ROW()-5,3)=1,"仓储加工","装卸费")))</f>
        <v/>
      </c>
      <c r="E307" s="51" t="str">
        <f aca="false">IF($B307="","",IFERROR(IF($D307="周转打冷",N(INDEX(对接源_01入库吨位!$D$5:$D$304,MATCH(INT((ROW()-5)/3)+1,对接源_01入库吨位!$S$5:$S$304,0))),IF($D307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7" s="41" t="str">
        <f aca="false">IF($B307="","",ROUND(IFERROR(IF($D307="周转打冷",N(INDEX(对接源_01入库吨位!$H$5:$H$304,MATCH(INT((ROW()-5)/3)+1,对接源_01入库吨位!$S$5:$S$304,0))),IF($D307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7" s="52" t="str">
        <f aca="false">IF($B307="","",ROUND(N($F307)/1000,3))</f>
        <v/>
      </c>
      <c r="H307" s="74"/>
      <c r="I307" s="44"/>
      <c r="J307" s="75" t="str">
        <f aca="false">IF($B307="","",IF($H307="按筐数×单价",N($E307),IF($H307="按总重KG×单价",N($F307),IF($H307="按吨位×单价",N($G307),0))))</f>
        <v/>
      </c>
      <c r="K307" s="41" t="str">
        <f aca="false">IF($B307="","",ROUND(N($J307)*N($I307),2))</f>
        <v/>
      </c>
      <c r="L307" s="42"/>
      <c r="M307" s="76"/>
      <c r="N307" s="43"/>
      <c r="R307" s="77" t="str">
        <f aca="false">IF($B307="","",$B307)</f>
        <v/>
      </c>
      <c r="S307" s="77" t="n">
        <f aca="false">IF($R307="",0,IF(MATCH($R307,$R$5:$R$904,0)=ROW()-4,1,0))</f>
        <v>0</v>
      </c>
      <c r="T307" s="77" t="n">
        <f aca="false">N(T306)+$S307</f>
        <v>18</v>
      </c>
    </row>
    <row r="308" customFormat="false" ht="13.5" hidden="false" customHeight="false" outlineLevel="0" collapsed="false">
      <c r="A308" s="9" t="str">
        <f aca="false">IF($B308="","",ROW()-4)</f>
        <v/>
      </c>
      <c r="B308" s="39" t="str">
        <f aca="false">IFERROR(INDEX(对接源_01入库吨位!$B$5:$B$304,MATCH(INT((ROW()-5)/3)+1,对接源_01入库吨位!$S$5:$S$304,0)),"")</f>
        <v/>
      </c>
      <c r="C308" s="39" t="str">
        <f aca="false">IFERROR(INDEX(对接源_01入库吨位!$C$5:$C$304,MATCH(INT((ROW()-5)/3)+1,对接源_01入库吨位!$S$5:$S$304,0)),"")</f>
        <v/>
      </c>
      <c r="D308" s="40" t="str">
        <f aca="false">IF($B308="","",IF(MOD(ROW()-5,3)=0,"周转打冷",IF(MOD(ROW()-5,3)=1,"仓储加工","装卸费")))</f>
        <v/>
      </c>
      <c r="E308" s="51" t="str">
        <f aca="false">IF($B308="","",IFERROR(IF($D308="周转打冷",N(INDEX(对接源_01入库吨位!$D$5:$D$304,MATCH(INT((ROW()-5)/3)+1,对接源_01入库吨位!$S$5:$S$304,0))),IF($D308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8" s="41" t="str">
        <f aca="false">IF($B308="","",ROUND(IFERROR(IF($D308="周转打冷",N(INDEX(对接源_01入库吨位!$H$5:$H$304,MATCH(INT((ROW()-5)/3)+1,对接源_01入库吨位!$S$5:$S$304,0))),IF($D308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8" s="52" t="str">
        <f aca="false">IF($B308="","",ROUND(N($F308)/1000,3))</f>
        <v/>
      </c>
      <c r="H308" s="74"/>
      <c r="I308" s="44"/>
      <c r="J308" s="75" t="str">
        <f aca="false">IF($B308="","",IF($H308="按筐数×单价",N($E308),IF($H308="按总重KG×单价",N($F308),IF($H308="按吨位×单价",N($G308),0))))</f>
        <v/>
      </c>
      <c r="K308" s="41" t="str">
        <f aca="false">IF($B308="","",ROUND(N($J308)*N($I308),2))</f>
        <v/>
      </c>
      <c r="L308" s="42"/>
      <c r="M308" s="76"/>
      <c r="N308" s="43"/>
      <c r="R308" s="77" t="str">
        <f aca="false">IF($B308="","",$B308)</f>
        <v/>
      </c>
      <c r="S308" s="77" t="n">
        <f aca="false">IF($R308="",0,IF(MATCH($R308,$R$5:$R$904,0)=ROW()-4,1,0))</f>
        <v>0</v>
      </c>
      <c r="T308" s="77" t="n">
        <f aca="false">N(T307)+$S308</f>
        <v>18</v>
      </c>
    </row>
    <row r="309" customFormat="false" ht="13.5" hidden="false" customHeight="false" outlineLevel="0" collapsed="false">
      <c r="A309" s="9" t="str">
        <f aca="false">IF($B309="","",ROW()-4)</f>
        <v/>
      </c>
      <c r="B309" s="39" t="str">
        <f aca="false">IFERROR(INDEX(对接源_01入库吨位!$B$5:$B$304,MATCH(INT((ROW()-5)/3)+1,对接源_01入库吨位!$S$5:$S$304,0)),"")</f>
        <v/>
      </c>
      <c r="C309" s="39" t="str">
        <f aca="false">IFERROR(INDEX(对接源_01入库吨位!$C$5:$C$304,MATCH(INT((ROW()-5)/3)+1,对接源_01入库吨位!$S$5:$S$304,0)),"")</f>
        <v/>
      </c>
      <c r="D309" s="40" t="str">
        <f aca="false">IF($B309="","",IF(MOD(ROW()-5,3)=0,"周转打冷",IF(MOD(ROW()-5,3)=1,"仓储加工","装卸费")))</f>
        <v/>
      </c>
      <c r="E309" s="51" t="str">
        <f aca="false">IF($B309="","",IFERROR(IF($D309="周转打冷",N(INDEX(对接源_01入库吨位!$D$5:$D$304,MATCH(INT((ROW()-5)/3)+1,对接源_01入库吨位!$S$5:$S$304,0))),IF($D309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09" s="41" t="str">
        <f aca="false">IF($B309="","",ROUND(IFERROR(IF($D309="周转打冷",N(INDEX(对接源_01入库吨位!$H$5:$H$304,MATCH(INT((ROW()-5)/3)+1,对接源_01入库吨位!$S$5:$S$304,0))),IF($D309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09" s="52" t="str">
        <f aca="false">IF($B309="","",ROUND(N($F309)/1000,3))</f>
        <v/>
      </c>
      <c r="H309" s="74"/>
      <c r="I309" s="44"/>
      <c r="J309" s="75" t="str">
        <f aca="false">IF($B309="","",IF($H309="按筐数×单价",N($E309),IF($H309="按总重KG×单价",N($F309),IF($H309="按吨位×单价",N($G309),0))))</f>
        <v/>
      </c>
      <c r="K309" s="41" t="str">
        <f aca="false">IF($B309="","",ROUND(N($J309)*N($I309),2))</f>
        <v/>
      </c>
      <c r="L309" s="42"/>
      <c r="M309" s="76"/>
      <c r="N309" s="43"/>
      <c r="R309" s="77" t="str">
        <f aca="false">IF($B309="","",$B309)</f>
        <v/>
      </c>
      <c r="S309" s="77" t="n">
        <f aca="false">IF($R309="",0,IF(MATCH($R309,$R$5:$R$904,0)=ROW()-4,1,0))</f>
        <v>0</v>
      </c>
      <c r="T309" s="77" t="n">
        <f aca="false">N(T308)+$S309</f>
        <v>18</v>
      </c>
    </row>
    <row r="310" customFormat="false" ht="13.5" hidden="false" customHeight="false" outlineLevel="0" collapsed="false">
      <c r="A310" s="9" t="str">
        <f aca="false">IF($B310="","",ROW()-4)</f>
        <v/>
      </c>
      <c r="B310" s="39" t="str">
        <f aca="false">IFERROR(INDEX(对接源_01入库吨位!$B$5:$B$304,MATCH(INT((ROW()-5)/3)+1,对接源_01入库吨位!$S$5:$S$304,0)),"")</f>
        <v/>
      </c>
      <c r="C310" s="39" t="str">
        <f aca="false">IFERROR(INDEX(对接源_01入库吨位!$C$5:$C$304,MATCH(INT((ROW()-5)/3)+1,对接源_01入库吨位!$S$5:$S$304,0)),"")</f>
        <v/>
      </c>
      <c r="D310" s="40" t="str">
        <f aca="false">IF($B310="","",IF(MOD(ROW()-5,3)=0,"周转打冷",IF(MOD(ROW()-5,3)=1,"仓储加工","装卸费")))</f>
        <v/>
      </c>
      <c r="E310" s="51" t="str">
        <f aca="false">IF($B310="","",IFERROR(IF($D310="周转打冷",N(INDEX(对接源_01入库吨位!$D$5:$D$304,MATCH(INT((ROW()-5)/3)+1,对接源_01入库吨位!$S$5:$S$304,0))),IF($D310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0" s="41" t="str">
        <f aca="false">IF($B310="","",ROUND(IFERROR(IF($D310="周转打冷",N(INDEX(对接源_01入库吨位!$H$5:$H$304,MATCH(INT((ROW()-5)/3)+1,对接源_01入库吨位!$S$5:$S$304,0))),IF($D310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0" s="52" t="str">
        <f aca="false">IF($B310="","",ROUND(N($F310)/1000,3))</f>
        <v/>
      </c>
      <c r="H310" s="74"/>
      <c r="I310" s="44"/>
      <c r="J310" s="75" t="str">
        <f aca="false">IF($B310="","",IF($H310="按筐数×单价",N($E310),IF($H310="按总重KG×单价",N($F310),IF($H310="按吨位×单价",N($G310),0))))</f>
        <v/>
      </c>
      <c r="K310" s="41" t="str">
        <f aca="false">IF($B310="","",ROUND(N($J310)*N($I310),2))</f>
        <v/>
      </c>
      <c r="L310" s="42"/>
      <c r="M310" s="76"/>
      <c r="N310" s="43"/>
      <c r="R310" s="77" t="str">
        <f aca="false">IF($B310="","",$B310)</f>
        <v/>
      </c>
      <c r="S310" s="77" t="n">
        <f aca="false">IF($R310="",0,IF(MATCH($R310,$R$5:$R$904,0)=ROW()-4,1,0))</f>
        <v>0</v>
      </c>
      <c r="T310" s="77" t="n">
        <f aca="false">N(T309)+$S310</f>
        <v>18</v>
      </c>
    </row>
    <row r="311" customFormat="false" ht="13.5" hidden="false" customHeight="false" outlineLevel="0" collapsed="false">
      <c r="A311" s="9" t="str">
        <f aca="false">IF($B311="","",ROW()-4)</f>
        <v/>
      </c>
      <c r="B311" s="39" t="str">
        <f aca="false">IFERROR(INDEX(对接源_01入库吨位!$B$5:$B$304,MATCH(INT((ROW()-5)/3)+1,对接源_01入库吨位!$S$5:$S$304,0)),"")</f>
        <v/>
      </c>
      <c r="C311" s="39" t="str">
        <f aca="false">IFERROR(INDEX(对接源_01入库吨位!$C$5:$C$304,MATCH(INT((ROW()-5)/3)+1,对接源_01入库吨位!$S$5:$S$304,0)),"")</f>
        <v/>
      </c>
      <c r="D311" s="40" t="str">
        <f aca="false">IF($B311="","",IF(MOD(ROW()-5,3)=0,"周转打冷",IF(MOD(ROW()-5,3)=1,"仓储加工","装卸费")))</f>
        <v/>
      </c>
      <c r="E311" s="51" t="str">
        <f aca="false">IF($B311="","",IFERROR(IF($D311="周转打冷",N(INDEX(对接源_01入库吨位!$D$5:$D$304,MATCH(INT((ROW()-5)/3)+1,对接源_01入库吨位!$S$5:$S$304,0))),IF($D311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1" s="41" t="str">
        <f aca="false">IF($B311="","",ROUND(IFERROR(IF($D311="周转打冷",N(INDEX(对接源_01入库吨位!$H$5:$H$304,MATCH(INT((ROW()-5)/3)+1,对接源_01入库吨位!$S$5:$S$304,0))),IF($D311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1" s="52" t="str">
        <f aca="false">IF($B311="","",ROUND(N($F311)/1000,3))</f>
        <v/>
      </c>
      <c r="H311" s="74"/>
      <c r="I311" s="44"/>
      <c r="J311" s="75" t="str">
        <f aca="false">IF($B311="","",IF($H311="按筐数×单价",N($E311),IF($H311="按总重KG×单价",N($F311),IF($H311="按吨位×单价",N($G311),0))))</f>
        <v/>
      </c>
      <c r="K311" s="41" t="str">
        <f aca="false">IF($B311="","",ROUND(N($J311)*N($I311),2))</f>
        <v/>
      </c>
      <c r="L311" s="42"/>
      <c r="M311" s="76"/>
      <c r="N311" s="43"/>
      <c r="R311" s="77" t="str">
        <f aca="false">IF($B311="","",$B311)</f>
        <v/>
      </c>
      <c r="S311" s="77" t="n">
        <f aca="false">IF($R311="",0,IF(MATCH($R311,$R$5:$R$904,0)=ROW()-4,1,0))</f>
        <v>0</v>
      </c>
      <c r="T311" s="77" t="n">
        <f aca="false">N(T310)+$S311</f>
        <v>18</v>
      </c>
    </row>
    <row r="312" customFormat="false" ht="13.5" hidden="false" customHeight="false" outlineLevel="0" collapsed="false">
      <c r="A312" s="9" t="str">
        <f aca="false">IF($B312="","",ROW()-4)</f>
        <v/>
      </c>
      <c r="B312" s="39" t="str">
        <f aca="false">IFERROR(INDEX(对接源_01入库吨位!$B$5:$B$304,MATCH(INT((ROW()-5)/3)+1,对接源_01入库吨位!$S$5:$S$304,0)),"")</f>
        <v/>
      </c>
      <c r="C312" s="39" t="str">
        <f aca="false">IFERROR(INDEX(对接源_01入库吨位!$C$5:$C$304,MATCH(INT((ROW()-5)/3)+1,对接源_01入库吨位!$S$5:$S$304,0)),"")</f>
        <v/>
      </c>
      <c r="D312" s="40" t="str">
        <f aca="false">IF($B312="","",IF(MOD(ROW()-5,3)=0,"周转打冷",IF(MOD(ROW()-5,3)=1,"仓储加工","装卸费")))</f>
        <v/>
      </c>
      <c r="E312" s="51" t="str">
        <f aca="false">IF($B312="","",IFERROR(IF($D312="周转打冷",N(INDEX(对接源_01入库吨位!$D$5:$D$304,MATCH(INT((ROW()-5)/3)+1,对接源_01入库吨位!$S$5:$S$304,0))),IF($D312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2" s="41" t="str">
        <f aca="false">IF($B312="","",ROUND(IFERROR(IF($D312="周转打冷",N(INDEX(对接源_01入库吨位!$H$5:$H$304,MATCH(INT((ROW()-5)/3)+1,对接源_01入库吨位!$S$5:$S$304,0))),IF($D312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2" s="52" t="str">
        <f aca="false">IF($B312="","",ROUND(N($F312)/1000,3))</f>
        <v/>
      </c>
      <c r="H312" s="74"/>
      <c r="I312" s="44"/>
      <c r="J312" s="75" t="str">
        <f aca="false">IF($B312="","",IF($H312="按筐数×单价",N($E312),IF($H312="按总重KG×单价",N($F312),IF($H312="按吨位×单价",N($G312),0))))</f>
        <v/>
      </c>
      <c r="K312" s="41" t="str">
        <f aca="false">IF($B312="","",ROUND(N($J312)*N($I312),2))</f>
        <v/>
      </c>
      <c r="L312" s="42"/>
      <c r="M312" s="76"/>
      <c r="N312" s="43"/>
      <c r="R312" s="77" t="str">
        <f aca="false">IF($B312="","",$B312)</f>
        <v/>
      </c>
      <c r="S312" s="77" t="n">
        <f aca="false">IF($R312="",0,IF(MATCH($R312,$R$5:$R$904,0)=ROW()-4,1,0))</f>
        <v>0</v>
      </c>
      <c r="T312" s="77" t="n">
        <f aca="false">N(T311)+$S312</f>
        <v>18</v>
      </c>
    </row>
    <row r="313" customFormat="false" ht="13.5" hidden="false" customHeight="false" outlineLevel="0" collapsed="false">
      <c r="A313" s="9" t="str">
        <f aca="false">IF($B313="","",ROW()-4)</f>
        <v/>
      </c>
      <c r="B313" s="39" t="str">
        <f aca="false">IFERROR(INDEX(对接源_01入库吨位!$B$5:$B$304,MATCH(INT((ROW()-5)/3)+1,对接源_01入库吨位!$S$5:$S$304,0)),"")</f>
        <v/>
      </c>
      <c r="C313" s="39" t="str">
        <f aca="false">IFERROR(INDEX(对接源_01入库吨位!$C$5:$C$304,MATCH(INT((ROW()-5)/3)+1,对接源_01入库吨位!$S$5:$S$304,0)),"")</f>
        <v/>
      </c>
      <c r="D313" s="40" t="str">
        <f aca="false">IF($B313="","",IF(MOD(ROW()-5,3)=0,"周转打冷",IF(MOD(ROW()-5,3)=1,"仓储加工","装卸费")))</f>
        <v/>
      </c>
      <c r="E313" s="51" t="str">
        <f aca="false">IF($B313="","",IFERROR(IF($D313="周转打冷",N(INDEX(对接源_01入库吨位!$D$5:$D$304,MATCH(INT((ROW()-5)/3)+1,对接源_01入库吨位!$S$5:$S$304,0))),IF($D313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3" s="41" t="str">
        <f aca="false">IF($B313="","",ROUND(IFERROR(IF($D313="周转打冷",N(INDEX(对接源_01入库吨位!$H$5:$H$304,MATCH(INT((ROW()-5)/3)+1,对接源_01入库吨位!$S$5:$S$304,0))),IF($D313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3" s="52" t="str">
        <f aca="false">IF($B313="","",ROUND(N($F313)/1000,3))</f>
        <v/>
      </c>
      <c r="H313" s="74"/>
      <c r="I313" s="44"/>
      <c r="J313" s="75" t="str">
        <f aca="false">IF($B313="","",IF($H313="按筐数×单价",N($E313),IF($H313="按总重KG×单价",N($F313),IF($H313="按吨位×单价",N($G313),0))))</f>
        <v/>
      </c>
      <c r="K313" s="41" t="str">
        <f aca="false">IF($B313="","",ROUND(N($J313)*N($I313),2))</f>
        <v/>
      </c>
      <c r="L313" s="42"/>
      <c r="M313" s="76"/>
      <c r="N313" s="43"/>
      <c r="R313" s="77" t="str">
        <f aca="false">IF($B313="","",$B313)</f>
        <v/>
      </c>
      <c r="S313" s="77" t="n">
        <f aca="false">IF($R313="",0,IF(MATCH($R313,$R$5:$R$904,0)=ROW()-4,1,0))</f>
        <v>0</v>
      </c>
      <c r="T313" s="77" t="n">
        <f aca="false">N(T312)+$S313</f>
        <v>18</v>
      </c>
    </row>
    <row r="314" customFormat="false" ht="13.5" hidden="false" customHeight="false" outlineLevel="0" collapsed="false">
      <c r="A314" s="9" t="str">
        <f aca="false">IF($B314="","",ROW()-4)</f>
        <v/>
      </c>
      <c r="B314" s="39" t="str">
        <f aca="false">IFERROR(INDEX(对接源_01入库吨位!$B$5:$B$304,MATCH(INT((ROW()-5)/3)+1,对接源_01入库吨位!$S$5:$S$304,0)),"")</f>
        <v/>
      </c>
      <c r="C314" s="39" t="str">
        <f aca="false">IFERROR(INDEX(对接源_01入库吨位!$C$5:$C$304,MATCH(INT((ROW()-5)/3)+1,对接源_01入库吨位!$S$5:$S$304,0)),"")</f>
        <v/>
      </c>
      <c r="D314" s="40" t="str">
        <f aca="false">IF($B314="","",IF(MOD(ROW()-5,3)=0,"周转打冷",IF(MOD(ROW()-5,3)=1,"仓储加工","装卸费")))</f>
        <v/>
      </c>
      <c r="E314" s="51" t="str">
        <f aca="false">IF($B314="","",IFERROR(IF($D314="周转打冷",N(INDEX(对接源_01入库吨位!$D$5:$D$304,MATCH(INT((ROW()-5)/3)+1,对接源_01入库吨位!$S$5:$S$304,0))),IF($D314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4" s="41" t="str">
        <f aca="false">IF($B314="","",ROUND(IFERROR(IF($D314="周转打冷",N(INDEX(对接源_01入库吨位!$H$5:$H$304,MATCH(INT((ROW()-5)/3)+1,对接源_01入库吨位!$S$5:$S$304,0))),IF($D314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4" s="52" t="str">
        <f aca="false">IF($B314="","",ROUND(N($F314)/1000,3))</f>
        <v/>
      </c>
      <c r="H314" s="74"/>
      <c r="I314" s="44"/>
      <c r="J314" s="75" t="str">
        <f aca="false">IF($B314="","",IF($H314="按筐数×单价",N($E314),IF($H314="按总重KG×单价",N($F314),IF($H314="按吨位×单价",N($G314),0))))</f>
        <v/>
      </c>
      <c r="K314" s="41" t="str">
        <f aca="false">IF($B314="","",ROUND(N($J314)*N($I314),2))</f>
        <v/>
      </c>
      <c r="L314" s="42"/>
      <c r="M314" s="76"/>
      <c r="N314" s="43"/>
      <c r="R314" s="77" t="str">
        <f aca="false">IF($B314="","",$B314)</f>
        <v/>
      </c>
      <c r="S314" s="77" t="n">
        <f aca="false">IF($R314="",0,IF(MATCH($R314,$R$5:$R$904,0)=ROW()-4,1,0))</f>
        <v>0</v>
      </c>
      <c r="T314" s="77" t="n">
        <f aca="false">N(T313)+$S314</f>
        <v>18</v>
      </c>
    </row>
    <row r="315" customFormat="false" ht="13.5" hidden="false" customHeight="false" outlineLevel="0" collapsed="false">
      <c r="A315" s="9" t="str">
        <f aca="false">IF($B315="","",ROW()-4)</f>
        <v/>
      </c>
      <c r="B315" s="39" t="str">
        <f aca="false">IFERROR(INDEX(对接源_01入库吨位!$B$5:$B$304,MATCH(INT((ROW()-5)/3)+1,对接源_01入库吨位!$S$5:$S$304,0)),"")</f>
        <v/>
      </c>
      <c r="C315" s="39" t="str">
        <f aca="false">IFERROR(INDEX(对接源_01入库吨位!$C$5:$C$304,MATCH(INT((ROW()-5)/3)+1,对接源_01入库吨位!$S$5:$S$304,0)),"")</f>
        <v/>
      </c>
      <c r="D315" s="40" t="str">
        <f aca="false">IF($B315="","",IF(MOD(ROW()-5,3)=0,"周转打冷",IF(MOD(ROW()-5,3)=1,"仓储加工","装卸费")))</f>
        <v/>
      </c>
      <c r="E315" s="51" t="str">
        <f aca="false">IF($B315="","",IFERROR(IF($D315="周转打冷",N(INDEX(对接源_01入库吨位!$D$5:$D$304,MATCH(INT((ROW()-5)/3)+1,对接源_01入库吨位!$S$5:$S$304,0))),IF($D315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5" s="41" t="str">
        <f aca="false">IF($B315="","",ROUND(IFERROR(IF($D315="周转打冷",N(INDEX(对接源_01入库吨位!$H$5:$H$304,MATCH(INT((ROW()-5)/3)+1,对接源_01入库吨位!$S$5:$S$304,0))),IF($D315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5" s="52" t="str">
        <f aca="false">IF($B315="","",ROUND(N($F315)/1000,3))</f>
        <v/>
      </c>
      <c r="H315" s="74"/>
      <c r="I315" s="44"/>
      <c r="J315" s="75" t="str">
        <f aca="false">IF($B315="","",IF($H315="按筐数×单价",N($E315),IF($H315="按总重KG×单价",N($F315),IF($H315="按吨位×单价",N($G315),0))))</f>
        <v/>
      </c>
      <c r="K315" s="41" t="str">
        <f aca="false">IF($B315="","",ROUND(N($J315)*N($I315),2))</f>
        <v/>
      </c>
      <c r="L315" s="42"/>
      <c r="M315" s="76"/>
      <c r="N315" s="43"/>
      <c r="R315" s="77" t="str">
        <f aca="false">IF($B315="","",$B315)</f>
        <v/>
      </c>
      <c r="S315" s="77" t="n">
        <f aca="false">IF($R315="",0,IF(MATCH($R315,$R$5:$R$904,0)=ROW()-4,1,0))</f>
        <v>0</v>
      </c>
      <c r="T315" s="77" t="n">
        <f aca="false">N(T314)+$S315</f>
        <v>18</v>
      </c>
    </row>
    <row r="316" customFormat="false" ht="13.5" hidden="false" customHeight="false" outlineLevel="0" collapsed="false">
      <c r="A316" s="9" t="str">
        <f aca="false">IF($B316="","",ROW()-4)</f>
        <v/>
      </c>
      <c r="B316" s="39" t="str">
        <f aca="false">IFERROR(INDEX(对接源_01入库吨位!$B$5:$B$304,MATCH(INT((ROW()-5)/3)+1,对接源_01入库吨位!$S$5:$S$304,0)),"")</f>
        <v/>
      </c>
      <c r="C316" s="39" t="str">
        <f aca="false">IFERROR(INDEX(对接源_01入库吨位!$C$5:$C$304,MATCH(INT((ROW()-5)/3)+1,对接源_01入库吨位!$S$5:$S$304,0)),"")</f>
        <v/>
      </c>
      <c r="D316" s="40" t="str">
        <f aca="false">IF($B316="","",IF(MOD(ROW()-5,3)=0,"周转打冷",IF(MOD(ROW()-5,3)=1,"仓储加工","装卸费")))</f>
        <v/>
      </c>
      <c r="E316" s="51" t="str">
        <f aca="false">IF($B316="","",IFERROR(IF($D316="周转打冷",N(INDEX(对接源_01入库吨位!$D$5:$D$304,MATCH(INT((ROW()-5)/3)+1,对接源_01入库吨位!$S$5:$S$304,0))),IF($D316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6" s="41" t="str">
        <f aca="false">IF($B316="","",ROUND(IFERROR(IF($D316="周转打冷",N(INDEX(对接源_01入库吨位!$H$5:$H$304,MATCH(INT((ROW()-5)/3)+1,对接源_01入库吨位!$S$5:$S$304,0))),IF($D316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6" s="52" t="str">
        <f aca="false">IF($B316="","",ROUND(N($F316)/1000,3))</f>
        <v/>
      </c>
      <c r="H316" s="74"/>
      <c r="I316" s="44"/>
      <c r="J316" s="75" t="str">
        <f aca="false">IF($B316="","",IF($H316="按筐数×单价",N($E316),IF($H316="按总重KG×单价",N($F316),IF($H316="按吨位×单价",N($G316),0))))</f>
        <v/>
      </c>
      <c r="K316" s="41" t="str">
        <f aca="false">IF($B316="","",ROUND(N($J316)*N($I316),2))</f>
        <v/>
      </c>
      <c r="L316" s="42"/>
      <c r="M316" s="76"/>
      <c r="N316" s="43"/>
      <c r="R316" s="77" t="str">
        <f aca="false">IF($B316="","",$B316)</f>
        <v/>
      </c>
      <c r="S316" s="77" t="n">
        <f aca="false">IF($R316="",0,IF(MATCH($R316,$R$5:$R$904,0)=ROW()-4,1,0))</f>
        <v>0</v>
      </c>
      <c r="T316" s="77" t="n">
        <f aca="false">N(T315)+$S316</f>
        <v>18</v>
      </c>
    </row>
    <row r="317" customFormat="false" ht="13.5" hidden="false" customHeight="false" outlineLevel="0" collapsed="false">
      <c r="A317" s="9" t="str">
        <f aca="false">IF($B317="","",ROW()-4)</f>
        <v/>
      </c>
      <c r="B317" s="39" t="str">
        <f aca="false">IFERROR(INDEX(对接源_01入库吨位!$B$5:$B$304,MATCH(INT((ROW()-5)/3)+1,对接源_01入库吨位!$S$5:$S$304,0)),"")</f>
        <v/>
      </c>
      <c r="C317" s="39" t="str">
        <f aca="false">IFERROR(INDEX(对接源_01入库吨位!$C$5:$C$304,MATCH(INT((ROW()-5)/3)+1,对接源_01入库吨位!$S$5:$S$304,0)),"")</f>
        <v/>
      </c>
      <c r="D317" s="40" t="str">
        <f aca="false">IF($B317="","",IF(MOD(ROW()-5,3)=0,"周转打冷",IF(MOD(ROW()-5,3)=1,"仓储加工","装卸费")))</f>
        <v/>
      </c>
      <c r="E317" s="51" t="str">
        <f aca="false">IF($B317="","",IFERROR(IF($D317="周转打冷",N(INDEX(对接源_01入库吨位!$D$5:$D$304,MATCH(INT((ROW()-5)/3)+1,对接源_01入库吨位!$S$5:$S$304,0))),IF($D317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7" s="41" t="str">
        <f aca="false">IF($B317="","",ROUND(IFERROR(IF($D317="周转打冷",N(INDEX(对接源_01入库吨位!$H$5:$H$304,MATCH(INT((ROW()-5)/3)+1,对接源_01入库吨位!$S$5:$S$304,0))),IF($D317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7" s="52" t="str">
        <f aca="false">IF($B317="","",ROUND(N($F317)/1000,3))</f>
        <v/>
      </c>
      <c r="H317" s="74"/>
      <c r="I317" s="44"/>
      <c r="J317" s="75" t="str">
        <f aca="false">IF($B317="","",IF($H317="按筐数×单价",N($E317),IF($H317="按总重KG×单价",N($F317),IF($H317="按吨位×单价",N($G317),0))))</f>
        <v/>
      </c>
      <c r="K317" s="41" t="str">
        <f aca="false">IF($B317="","",ROUND(N($J317)*N($I317),2))</f>
        <v/>
      </c>
      <c r="L317" s="42"/>
      <c r="M317" s="76"/>
      <c r="N317" s="43"/>
      <c r="R317" s="77" t="str">
        <f aca="false">IF($B317="","",$B317)</f>
        <v/>
      </c>
      <c r="S317" s="77" t="n">
        <f aca="false">IF($R317="",0,IF(MATCH($R317,$R$5:$R$904,0)=ROW()-4,1,0))</f>
        <v>0</v>
      </c>
      <c r="T317" s="77" t="n">
        <f aca="false">N(T316)+$S317</f>
        <v>18</v>
      </c>
    </row>
    <row r="318" customFormat="false" ht="13.5" hidden="false" customHeight="false" outlineLevel="0" collapsed="false">
      <c r="A318" s="9" t="str">
        <f aca="false">IF($B318="","",ROW()-4)</f>
        <v/>
      </c>
      <c r="B318" s="39" t="str">
        <f aca="false">IFERROR(INDEX(对接源_01入库吨位!$B$5:$B$304,MATCH(INT((ROW()-5)/3)+1,对接源_01入库吨位!$S$5:$S$304,0)),"")</f>
        <v/>
      </c>
      <c r="C318" s="39" t="str">
        <f aca="false">IFERROR(INDEX(对接源_01入库吨位!$C$5:$C$304,MATCH(INT((ROW()-5)/3)+1,对接源_01入库吨位!$S$5:$S$304,0)),"")</f>
        <v/>
      </c>
      <c r="D318" s="40" t="str">
        <f aca="false">IF($B318="","",IF(MOD(ROW()-5,3)=0,"周转打冷",IF(MOD(ROW()-5,3)=1,"仓储加工","装卸费")))</f>
        <v/>
      </c>
      <c r="E318" s="51" t="str">
        <f aca="false">IF($B318="","",IFERROR(IF($D318="周转打冷",N(INDEX(对接源_01入库吨位!$D$5:$D$304,MATCH(INT((ROW()-5)/3)+1,对接源_01入库吨位!$S$5:$S$304,0))),IF($D318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8" s="41" t="str">
        <f aca="false">IF($B318="","",ROUND(IFERROR(IF($D318="周转打冷",N(INDEX(对接源_01入库吨位!$H$5:$H$304,MATCH(INT((ROW()-5)/3)+1,对接源_01入库吨位!$S$5:$S$304,0))),IF($D318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8" s="52" t="str">
        <f aca="false">IF($B318="","",ROUND(N($F318)/1000,3))</f>
        <v/>
      </c>
      <c r="H318" s="74"/>
      <c r="I318" s="44"/>
      <c r="J318" s="75" t="str">
        <f aca="false">IF($B318="","",IF($H318="按筐数×单价",N($E318),IF($H318="按总重KG×单价",N($F318),IF($H318="按吨位×单价",N($G318),0))))</f>
        <v/>
      </c>
      <c r="K318" s="41" t="str">
        <f aca="false">IF($B318="","",ROUND(N($J318)*N($I318),2))</f>
        <v/>
      </c>
      <c r="L318" s="42"/>
      <c r="M318" s="76"/>
      <c r="N318" s="43"/>
      <c r="R318" s="77" t="str">
        <f aca="false">IF($B318="","",$B318)</f>
        <v/>
      </c>
      <c r="S318" s="77" t="n">
        <f aca="false">IF($R318="",0,IF(MATCH($R318,$R$5:$R$904,0)=ROW()-4,1,0))</f>
        <v>0</v>
      </c>
      <c r="T318" s="77" t="n">
        <f aca="false">N(T317)+$S318</f>
        <v>18</v>
      </c>
    </row>
    <row r="319" customFormat="false" ht="13.5" hidden="false" customHeight="false" outlineLevel="0" collapsed="false">
      <c r="A319" s="9" t="str">
        <f aca="false">IF($B319="","",ROW()-4)</f>
        <v/>
      </c>
      <c r="B319" s="39" t="str">
        <f aca="false">IFERROR(INDEX(对接源_01入库吨位!$B$5:$B$304,MATCH(INT((ROW()-5)/3)+1,对接源_01入库吨位!$S$5:$S$304,0)),"")</f>
        <v/>
      </c>
      <c r="C319" s="39" t="str">
        <f aca="false">IFERROR(INDEX(对接源_01入库吨位!$C$5:$C$304,MATCH(INT((ROW()-5)/3)+1,对接源_01入库吨位!$S$5:$S$304,0)),"")</f>
        <v/>
      </c>
      <c r="D319" s="40" t="str">
        <f aca="false">IF($B319="","",IF(MOD(ROW()-5,3)=0,"周转打冷",IF(MOD(ROW()-5,3)=1,"仓储加工","装卸费")))</f>
        <v/>
      </c>
      <c r="E319" s="51" t="str">
        <f aca="false">IF($B319="","",IFERROR(IF($D319="周转打冷",N(INDEX(对接源_01入库吨位!$D$5:$D$304,MATCH(INT((ROW()-5)/3)+1,对接源_01入库吨位!$S$5:$S$304,0))),IF($D319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19" s="41" t="str">
        <f aca="false">IF($B319="","",ROUND(IFERROR(IF($D319="周转打冷",N(INDEX(对接源_01入库吨位!$H$5:$H$304,MATCH(INT((ROW()-5)/3)+1,对接源_01入库吨位!$S$5:$S$304,0))),IF($D319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19" s="52" t="str">
        <f aca="false">IF($B319="","",ROUND(N($F319)/1000,3))</f>
        <v/>
      </c>
      <c r="H319" s="74"/>
      <c r="I319" s="44"/>
      <c r="J319" s="75" t="str">
        <f aca="false">IF($B319="","",IF($H319="按筐数×单价",N($E319),IF($H319="按总重KG×单价",N($F319),IF($H319="按吨位×单价",N($G319),0))))</f>
        <v/>
      </c>
      <c r="K319" s="41" t="str">
        <f aca="false">IF($B319="","",ROUND(N($J319)*N($I319),2))</f>
        <v/>
      </c>
      <c r="L319" s="42"/>
      <c r="M319" s="76"/>
      <c r="N319" s="43"/>
      <c r="R319" s="77" t="str">
        <f aca="false">IF($B319="","",$B319)</f>
        <v/>
      </c>
      <c r="S319" s="77" t="n">
        <f aca="false">IF($R319="",0,IF(MATCH($R319,$R$5:$R$904,0)=ROW()-4,1,0))</f>
        <v>0</v>
      </c>
      <c r="T319" s="77" t="n">
        <f aca="false">N(T318)+$S319</f>
        <v>18</v>
      </c>
    </row>
    <row r="320" customFormat="false" ht="13.5" hidden="false" customHeight="false" outlineLevel="0" collapsed="false">
      <c r="A320" s="9" t="str">
        <f aca="false">IF($B320="","",ROW()-4)</f>
        <v/>
      </c>
      <c r="B320" s="39" t="str">
        <f aca="false">IFERROR(INDEX(对接源_01入库吨位!$B$5:$B$304,MATCH(INT((ROW()-5)/3)+1,对接源_01入库吨位!$S$5:$S$304,0)),"")</f>
        <v/>
      </c>
      <c r="C320" s="39" t="str">
        <f aca="false">IFERROR(INDEX(对接源_01入库吨位!$C$5:$C$304,MATCH(INT((ROW()-5)/3)+1,对接源_01入库吨位!$S$5:$S$304,0)),"")</f>
        <v/>
      </c>
      <c r="D320" s="40" t="str">
        <f aca="false">IF($B320="","",IF(MOD(ROW()-5,3)=0,"周转打冷",IF(MOD(ROW()-5,3)=1,"仓储加工","装卸费")))</f>
        <v/>
      </c>
      <c r="E320" s="51" t="str">
        <f aca="false">IF($B320="","",IFERROR(IF($D320="周转打冷",N(INDEX(对接源_01入库吨位!$D$5:$D$304,MATCH(INT((ROW()-5)/3)+1,对接源_01入库吨位!$S$5:$S$304,0))),IF($D320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0" s="41" t="str">
        <f aca="false">IF($B320="","",ROUND(IFERROR(IF($D320="周转打冷",N(INDEX(对接源_01入库吨位!$H$5:$H$304,MATCH(INT((ROW()-5)/3)+1,对接源_01入库吨位!$S$5:$S$304,0))),IF($D320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0" s="52" t="str">
        <f aca="false">IF($B320="","",ROUND(N($F320)/1000,3))</f>
        <v/>
      </c>
      <c r="H320" s="74"/>
      <c r="I320" s="44"/>
      <c r="J320" s="75" t="str">
        <f aca="false">IF($B320="","",IF($H320="按筐数×单价",N($E320),IF($H320="按总重KG×单价",N($F320),IF($H320="按吨位×单价",N($G320),0))))</f>
        <v/>
      </c>
      <c r="K320" s="41" t="str">
        <f aca="false">IF($B320="","",ROUND(N($J320)*N($I320),2))</f>
        <v/>
      </c>
      <c r="L320" s="42"/>
      <c r="M320" s="76"/>
      <c r="N320" s="43"/>
      <c r="R320" s="77" t="str">
        <f aca="false">IF($B320="","",$B320)</f>
        <v/>
      </c>
      <c r="S320" s="77" t="n">
        <f aca="false">IF($R320="",0,IF(MATCH($R320,$R$5:$R$904,0)=ROW()-4,1,0))</f>
        <v>0</v>
      </c>
      <c r="T320" s="77" t="n">
        <f aca="false">N(T319)+$S320</f>
        <v>18</v>
      </c>
    </row>
    <row r="321" customFormat="false" ht="13.5" hidden="false" customHeight="false" outlineLevel="0" collapsed="false">
      <c r="A321" s="9" t="str">
        <f aca="false">IF($B321="","",ROW()-4)</f>
        <v/>
      </c>
      <c r="B321" s="39" t="str">
        <f aca="false">IFERROR(INDEX(对接源_01入库吨位!$B$5:$B$304,MATCH(INT((ROW()-5)/3)+1,对接源_01入库吨位!$S$5:$S$304,0)),"")</f>
        <v/>
      </c>
      <c r="C321" s="39" t="str">
        <f aca="false">IFERROR(INDEX(对接源_01入库吨位!$C$5:$C$304,MATCH(INT((ROW()-5)/3)+1,对接源_01入库吨位!$S$5:$S$304,0)),"")</f>
        <v/>
      </c>
      <c r="D321" s="40" t="str">
        <f aca="false">IF($B321="","",IF(MOD(ROW()-5,3)=0,"周转打冷",IF(MOD(ROW()-5,3)=1,"仓储加工","装卸费")))</f>
        <v/>
      </c>
      <c r="E321" s="51" t="str">
        <f aca="false">IF($B321="","",IFERROR(IF($D321="周转打冷",N(INDEX(对接源_01入库吨位!$D$5:$D$304,MATCH(INT((ROW()-5)/3)+1,对接源_01入库吨位!$S$5:$S$304,0))),IF($D321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1" s="41" t="str">
        <f aca="false">IF($B321="","",ROUND(IFERROR(IF($D321="周转打冷",N(INDEX(对接源_01入库吨位!$H$5:$H$304,MATCH(INT((ROW()-5)/3)+1,对接源_01入库吨位!$S$5:$S$304,0))),IF($D321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1" s="52" t="str">
        <f aca="false">IF($B321="","",ROUND(N($F321)/1000,3))</f>
        <v/>
      </c>
      <c r="H321" s="74"/>
      <c r="I321" s="44"/>
      <c r="J321" s="75" t="str">
        <f aca="false">IF($B321="","",IF($H321="按筐数×单价",N($E321),IF($H321="按总重KG×单价",N($F321),IF($H321="按吨位×单价",N($G321),0))))</f>
        <v/>
      </c>
      <c r="K321" s="41" t="str">
        <f aca="false">IF($B321="","",ROUND(N($J321)*N($I321),2))</f>
        <v/>
      </c>
      <c r="L321" s="42"/>
      <c r="M321" s="76"/>
      <c r="N321" s="43"/>
      <c r="R321" s="77" t="str">
        <f aca="false">IF($B321="","",$B321)</f>
        <v/>
      </c>
      <c r="S321" s="77" t="n">
        <f aca="false">IF($R321="",0,IF(MATCH($R321,$R$5:$R$904,0)=ROW()-4,1,0))</f>
        <v>0</v>
      </c>
      <c r="T321" s="77" t="n">
        <f aca="false">N(T320)+$S321</f>
        <v>18</v>
      </c>
    </row>
    <row r="322" customFormat="false" ht="13.5" hidden="false" customHeight="false" outlineLevel="0" collapsed="false">
      <c r="A322" s="9" t="str">
        <f aca="false">IF($B322="","",ROW()-4)</f>
        <v/>
      </c>
      <c r="B322" s="39" t="str">
        <f aca="false">IFERROR(INDEX(对接源_01入库吨位!$B$5:$B$304,MATCH(INT((ROW()-5)/3)+1,对接源_01入库吨位!$S$5:$S$304,0)),"")</f>
        <v/>
      </c>
      <c r="C322" s="39" t="str">
        <f aca="false">IFERROR(INDEX(对接源_01入库吨位!$C$5:$C$304,MATCH(INT((ROW()-5)/3)+1,对接源_01入库吨位!$S$5:$S$304,0)),"")</f>
        <v/>
      </c>
      <c r="D322" s="40" t="str">
        <f aca="false">IF($B322="","",IF(MOD(ROW()-5,3)=0,"周转打冷",IF(MOD(ROW()-5,3)=1,"仓储加工","装卸费")))</f>
        <v/>
      </c>
      <c r="E322" s="51" t="str">
        <f aca="false">IF($B322="","",IFERROR(IF($D322="周转打冷",N(INDEX(对接源_01入库吨位!$D$5:$D$304,MATCH(INT((ROW()-5)/3)+1,对接源_01入库吨位!$S$5:$S$304,0))),IF($D322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2" s="41" t="str">
        <f aca="false">IF($B322="","",ROUND(IFERROR(IF($D322="周转打冷",N(INDEX(对接源_01入库吨位!$H$5:$H$304,MATCH(INT((ROW()-5)/3)+1,对接源_01入库吨位!$S$5:$S$304,0))),IF($D322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2" s="52" t="str">
        <f aca="false">IF($B322="","",ROUND(N($F322)/1000,3))</f>
        <v/>
      </c>
      <c r="H322" s="74"/>
      <c r="I322" s="44"/>
      <c r="J322" s="75" t="str">
        <f aca="false">IF($B322="","",IF($H322="按筐数×单价",N($E322),IF($H322="按总重KG×单价",N($F322),IF($H322="按吨位×单价",N($G322),0))))</f>
        <v/>
      </c>
      <c r="K322" s="41" t="str">
        <f aca="false">IF($B322="","",ROUND(N($J322)*N($I322),2))</f>
        <v/>
      </c>
      <c r="L322" s="42"/>
      <c r="M322" s="76"/>
      <c r="N322" s="43"/>
      <c r="R322" s="77" t="str">
        <f aca="false">IF($B322="","",$B322)</f>
        <v/>
      </c>
      <c r="S322" s="77" t="n">
        <f aca="false">IF($R322="",0,IF(MATCH($R322,$R$5:$R$904,0)=ROW()-4,1,0))</f>
        <v>0</v>
      </c>
      <c r="T322" s="77" t="n">
        <f aca="false">N(T321)+$S322</f>
        <v>18</v>
      </c>
    </row>
    <row r="323" customFormat="false" ht="13.5" hidden="false" customHeight="false" outlineLevel="0" collapsed="false">
      <c r="A323" s="9" t="str">
        <f aca="false">IF($B323="","",ROW()-4)</f>
        <v/>
      </c>
      <c r="B323" s="39" t="str">
        <f aca="false">IFERROR(INDEX(对接源_01入库吨位!$B$5:$B$304,MATCH(INT((ROW()-5)/3)+1,对接源_01入库吨位!$S$5:$S$304,0)),"")</f>
        <v/>
      </c>
      <c r="C323" s="39" t="str">
        <f aca="false">IFERROR(INDEX(对接源_01入库吨位!$C$5:$C$304,MATCH(INT((ROW()-5)/3)+1,对接源_01入库吨位!$S$5:$S$304,0)),"")</f>
        <v/>
      </c>
      <c r="D323" s="40" t="str">
        <f aca="false">IF($B323="","",IF(MOD(ROW()-5,3)=0,"周转打冷",IF(MOD(ROW()-5,3)=1,"仓储加工","装卸费")))</f>
        <v/>
      </c>
      <c r="E323" s="51" t="str">
        <f aca="false">IF($B323="","",IFERROR(IF($D323="周转打冷",N(INDEX(对接源_01入库吨位!$D$5:$D$304,MATCH(INT((ROW()-5)/3)+1,对接源_01入库吨位!$S$5:$S$304,0))),IF($D323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3" s="41" t="str">
        <f aca="false">IF($B323="","",ROUND(IFERROR(IF($D323="周转打冷",N(INDEX(对接源_01入库吨位!$H$5:$H$304,MATCH(INT((ROW()-5)/3)+1,对接源_01入库吨位!$S$5:$S$304,0))),IF($D323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3" s="52" t="str">
        <f aca="false">IF($B323="","",ROUND(N($F323)/1000,3))</f>
        <v/>
      </c>
      <c r="H323" s="74"/>
      <c r="I323" s="44"/>
      <c r="J323" s="75" t="str">
        <f aca="false">IF($B323="","",IF($H323="按筐数×单价",N($E323),IF($H323="按总重KG×单价",N($F323),IF($H323="按吨位×单价",N($G323),0))))</f>
        <v/>
      </c>
      <c r="K323" s="41" t="str">
        <f aca="false">IF($B323="","",ROUND(N($J323)*N($I323),2))</f>
        <v/>
      </c>
      <c r="L323" s="42"/>
      <c r="M323" s="76"/>
      <c r="N323" s="43"/>
      <c r="R323" s="77" t="str">
        <f aca="false">IF($B323="","",$B323)</f>
        <v/>
      </c>
      <c r="S323" s="77" t="n">
        <f aca="false">IF($R323="",0,IF(MATCH($R323,$R$5:$R$904,0)=ROW()-4,1,0))</f>
        <v>0</v>
      </c>
      <c r="T323" s="77" t="n">
        <f aca="false">N(T322)+$S323</f>
        <v>18</v>
      </c>
    </row>
    <row r="324" customFormat="false" ht="13.5" hidden="false" customHeight="false" outlineLevel="0" collapsed="false">
      <c r="A324" s="9" t="str">
        <f aca="false">IF($B324="","",ROW()-4)</f>
        <v/>
      </c>
      <c r="B324" s="39" t="str">
        <f aca="false">IFERROR(INDEX(对接源_01入库吨位!$B$5:$B$304,MATCH(INT((ROW()-5)/3)+1,对接源_01入库吨位!$S$5:$S$304,0)),"")</f>
        <v/>
      </c>
      <c r="C324" s="39" t="str">
        <f aca="false">IFERROR(INDEX(对接源_01入库吨位!$C$5:$C$304,MATCH(INT((ROW()-5)/3)+1,对接源_01入库吨位!$S$5:$S$304,0)),"")</f>
        <v/>
      </c>
      <c r="D324" s="40" t="str">
        <f aca="false">IF($B324="","",IF(MOD(ROW()-5,3)=0,"周转打冷",IF(MOD(ROW()-5,3)=1,"仓储加工","装卸费")))</f>
        <v/>
      </c>
      <c r="E324" s="51" t="str">
        <f aca="false">IF($B324="","",IFERROR(IF($D324="周转打冷",N(INDEX(对接源_01入库吨位!$D$5:$D$304,MATCH(INT((ROW()-5)/3)+1,对接源_01入库吨位!$S$5:$S$304,0))),IF($D324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4" s="41" t="str">
        <f aca="false">IF($B324="","",ROUND(IFERROR(IF($D324="周转打冷",N(INDEX(对接源_01入库吨位!$H$5:$H$304,MATCH(INT((ROW()-5)/3)+1,对接源_01入库吨位!$S$5:$S$304,0))),IF($D324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4" s="52" t="str">
        <f aca="false">IF($B324="","",ROUND(N($F324)/1000,3))</f>
        <v/>
      </c>
      <c r="H324" s="74"/>
      <c r="I324" s="44"/>
      <c r="J324" s="75" t="str">
        <f aca="false">IF($B324="","",IF($H324="按筐数×单价",N($E324),IF($H324="按总重KG×单价",N($F324),IF($H324="按吨位×单价",N($G324),0))))</f>
        <v/>
      </c>
      <c r="K324" s="41" t="str">
        <f aca="false">IF($B324="","",ROUND(N($J324)*N($I324),2))</f>
        <v/>
      </c>
      <c r="L324" s="42"/>
      <c r="M324" s="76"/>
      <c r="N324" s="43"/>
      <c r="R324" s="77" t="str">
        <f aca="false">IF($B324="","",$B324)</f>
        <v/>
      </c>
      <c r="S324" s="77" t="n">
        <f aca="false">IF($R324="",0,IF(MATCH($R324,$R$5:$R$904,0)=ROW()-4,1,0))</f>
        <v>0</v>
      </c>
      <c r="T324" s="77" t="n">
        <f aca="false">N(T323)+$S324</f>
        <v>18</v>
      </c>
    </row>
    <row r="325" customFormat="false" ht="13.5" hidden="false" customHeight="false" outlineLevel="0" collapsed="false">
      <c r="A325" s="9" t="str">
        <f aca="false">IF($B325="","",ROW()-4)</f>
        <v/>
      </c>
      <c r="B325" s="39" t="str">
        <f aca="false">IFERROR(INDEX(对接源_01入库吨位!$B$5:$B$304,MATCH(INT((ROW()-5)/3)+1,对接源_01入库吨位!$S$5:$S$304,0)),"")</f>
        <v/>
      </c>
      <c r="C325" s="39" t="str">
        <f aca="false">IFERROR(INDEX(对接源_01入库吨位!$C$5:$C$304,MATCH(INT((ROW()-5)/3)+1,对接源_01入库吨位!$S$5:$S$304,0)),"")</f>
        <v/>
      </c>
      <c r="D325" s="40" t="str">
        <f aca="false">IF($B325="","",IF(MOD(ROW()-5,3)=0,"周转打冷",IF(MOD(ROW()-5,3)=1,"仓储加工","装卸费")))</f>
        <v/>
      </c>
      <c r="E325" s="51" t="str">
        <f aca="false">IF($B325="","",IFERROR(IF($D325="周转打冷",N(INDEX(对接源_01入库吨位!$D$5:$D$304,MATCH(INT((ROW()-5)/3)+1,对接源_01入库吨位!$S$5:$S$304,0))),IF($D325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5" s="41" t="str">
        <f aca="false">IF($B325="","",ROUND(IFERROR(IF($D325="周转打冷",N(INDEX(对接源_01入库吨位!$H$5:$H$304,MATCH(INT((ROW()-5)/3)+1,对接源_01入库吨位!$S$5:$S$304,0))),IF($D325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5" s="52" t="str">
        <f aca="false">IF($B325="","",ROUND(N($F325)/1000,3))</f>
        <v/>
      </c>
      <c r="H325" s="74"/>
      <c r="I325" s="44"/>
      <c r="J325" s="75" t="str">
        <f aca="false">IF($B325="","",IF($H325="按筐数×单价",N($E325),IF($H325="按总重KG×单价",N($F325),IF($H325="按吨位×单价",N($G325),0))))</f>
        <v/>
      </c>
      <c r="K325" s="41" t="str">
        <f aca="false">IF($B325="","",ROUND(N($J325)*N($I325),2))</f>
        <v/>
      </c>
      <c r="L325" s="42"/>
      <c r="M325" s="76"/>
      <c r="N325" s="43"/>
      <c r="R325" s="77" t="str">
        <f aca="false">IF($B325="","",$B325)</f>
        <v/>
      </c>
      <c r="S325" s="77" t="n">
        <f aca="false">IF($R325="",0,IF(MATCH($R325,$R$5:$R$904,0)=ROW()-4,1,0))</f>
        <v>0</v>
      </c>
      <c r="T325" s="77" t="n">
        <f aca="false">N(T324)+$S325</f>
        <v>18</v>
      </c>
    </row>
    <row r="326" customFormat="false" ht="13.5" hidden="false" customHeight="false" outlineLevel="0" collapsed="false">
      <c r="A326" s="9" t="str">
        <f aca="false">IF($B326="","",ROW()-4)</f>
        <v/>
      </c>
      <c r="B326" s="39" t="str">
        <f aca="false">IFERROR(INDEX(对接源_01入库吨位!$B$5:$B$304,MATCH(INT((ROW()-5)/3)+1,对接源_01入库吨位!$S$5:$S$304,0)),"")</f>
        <v/>
      </c>
      <c r="C326" s="39" t="str">
        <f aca="false">IFERROR(INDEX(对接源_01入库吨位!$C$5:$C$304,MATCH(INT((ROW()-5)/3)+1,对接源_01入库吨位!$S$5:$S$304,0)),"")</f>
        <v/>
      </c>
      <c r="D326" s="40" t="str">
        <f aca="false">IF($B326="","",IF(MOD(ROW()-5,3)=0,"周转打冷",IF(MOD(ROW()-5,3)=1,"仓储加工","装卸费")))</f>
        <v/>
      </c>
      <c r="E326" s="51" t="str">
        <f aca="false">IF($B326="","",IFERROR(IF($D326="周转打冷",N(INDEX(对接源_01入库吨位!$D$5:$D$304,MATCH(INT((ROW()-5)/3)+1,对接源_01入库吨位!$S$5:$S$304,0))),IF($D326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6" s="41" t="str">
        <f aca="false">IF($B326="","",ROUND(IFERROR(IF($D326="周转打冷",N(INDEX(对接源_01入库吨位!$H$5:$H$304,MATCH(INT((ROW()-5)/3)+1,对接源_01入库吨位!$S$5:$S$304,0))),IF($D326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6" s="52" t="str">
        <f aca="false">IF($B326="","",ROUND(N($F326)/1000,3))</f>
        <v/>
      </c>
      <c r="H326" s="74"/>
      <c r="I326" s="44"/>
      <c r="J326" s="75" t="str">
        <f aca="false">IF($B326="","",IF($H326="按筐数×单价",N($E326),IF($H326="按总重KG×单价",N($F326),IF($H326="按吨位×单价",N($G326),0))))</f>
        <v/>
      </c>
      <c r="K326" s="41" t="str">
        <f aca="false">IF($B326="","",ROUND(N($J326)*N($I326),2))</f>
        <v/>
      </c>
      <c r="L326" s="42"/>
      <c r="M326" s="76"/>
      <c r="N326" s="43"/>
      <c r="R326" s="77" t="str">
        <f aca="false">IF($B326="","",$B326)</f>
        <v/>
      </c>
      <c r="S326" s="77" t="n">
        <f aca="false">IF($R326="",0,IF(MATCH($R326,$R$5:$R$904,0)=ROW()-4,1,0))</f>
        <v>0</v>
      </c>
      <c r="T326" s="77" t="n">
        <f aca="false">N(T325)+$S326</f>
        <v>18</v>
      </c>
    </row>
    <row r="327" customFormat="false" ht="13.5" hidden="false" customHeight="false" outlineLevel="0" collapsed="false">
      <c r="A327" s="9" t="str">
        <f aca="false">IF($B327="","",ROW()-4)</f>
        <v/>
      </c>
      <c r="B327" s="39" t="str">
        <f aca="false">IFERROR(INDEX(对接源_01入库吨位!$B$5:$B$304,MATCH(INT((ROW()-5)/3)+1,对接源_01入库吨位!$S$5:$S$304,0)),"")</f>
        <v/>
      </c>
      <c r="C327" s="39" t="str">
        <f aca="false">IFERROR(INDEX(对接源_01入库吨位!$C$5:$C$304,MATCH(INT((ROW()-5)/3)+1,对接源_01入库吨位!$S$5:$S$304,0)),"")</f>
        <v/>
      </c>
      <c r="D327" s="40" t="str">
        <f aca="false">IF($B327="","",IF(MOD(ROW()-5,3)=0,"周转打冷",IF(MOD(ROW()-5,3)=1,"仓储加工","装卸费")))</f>
        <v/>
      </c>
      <c r="E327" s="51" t="str">
        <f aca="false">IF($B327="","",IFERROR(IF($D327="周转打冷",N(INDEX(对接源_01入库吨位!$D$5:$D$304,MATCH(INT((ROW()-5)/3)+1,对接源_01入库吨位!$S$5:$S$304,0))),IF($D327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7" s="41" t="str">
        <f aca="false">IF($B327="","",ROUND(IFERROR(IF($D327="周转打冷",N(INDEX(对接源_01入库吨位!$H$5:$H$304,MATCH(INT((ROW()-5)/3)+1,对接源_01入库吨位!$S$5:$S$304,0))),IF($D327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7" s="52" t="str">
        <f aca="false">IF($B327="","",ROUND(N($F327)/1000,3))</f>
        <v/>
      </c>
      <c r="H327" s="74"/>
      <c r="I327" s="44"/>
      <c r="J327" s="75" t="str">
        <f aca="false">IF($B327="","",IF($H327="按筐数×单价",N($E327),IF($H327="按总重KG×单价",N($F327),IF($H327="按吨位×单价",N($G327),0))))</f>
        <v/>
      </c>
      <c r="K327" s="41" t="str">
        <f aca="false">IF($B327="","",ROUND(N($J327)*N($I327),2))</f>
        <v/>
      </c>
      <c r="L327" s="42"/>
      <c r="M327" s="76"/>
      <c r="N327" s="43"/>
      <c r="R327" s="77" t="str">
        <f aca="false">IF($B327="","",$B327)</f>
        <v/>
      </c>
      <c r="S327" s="77" t="n">
        <f aca="false">IF($R327="",0,IF(MATCH($R327,$R$5:$R$904,0)=ROW()-4,1,0))</f>
        <v>0</v>
      </c>
      <c r="T327" s="77" t="n">
        <f aca="false">N(T326)+$S327</f>
        <v>18</v>
      </c>
    </row>
    <row r="328" customFormat="false" ht="13.5" hidden="false" customHeight="false" outlineLevel="0" collapsed="false">
      <c r="A328" s="9" t="str">
        <f aca="false">IF($B328="","",ROW()-4)</f>
        <v/>
      </c>
      <c r="B328" s="39" t="str">
        <f aca="false">IFERROR(INDEX(对接源_01入库吨位!$B$5:$B$304,MATCH(INT((ROW()-5)/3)+1,对接源_01入库吨位!$S$5:$S$304,0)),"")</f>
        <v/>
      </c>
      <c r="C328" s="39" t="str">
        <f aca="false">IFERROR(INDEX(对接源_01入库吨位!$C$5:$C$304,MATCH(INT((ROW()-5)/3)+1,对接源_01入库吨位!$S$5:$S$304,0)),"")</f>
        <v/>
      </c>
      <c r="D328" s="40" t="str">
        <f aca="false">IF($B328="","",IF(MOD(ROW()-5,3)=0,"周转打冷",IF(MOD(ROW()-5,3)=1,"仓储加工","装卸费")))</f>
        <v/>
      </c>
      <c r="E328" s="51" t="str">
        <f aca="false">IF($B328="","",IFERROR(IF($D328="周转打冷",N(INDEX(对接源_01入库吨位!$D$5:$D$304,MATCH(INT((ROW()-5)/3)+1,对接源_01入库吨位!$S$5:$S$304,0))),IF($D328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8" s="41" t="str">
        <f aca="false">IF($B328="","",ROUND(IFERROR(IF($D328="周转打冷",N(INDEX(对接源_01入库吨位!$H$5:$H$304,MATCH(INT((ROW()-5)/3)+1,对接源_01入库吨位!$S$5:$S$304,0))),IF($D328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8" s="52" t="str">
        <f aca="false">IF($B328="","",ROUND(N($F328)/1000,3))</f>
        <v/>
      </c>
      <c r="H328" s="74"/>
      <c r="I328" s="44"/>
      <c r="J328" s="75" t="str">
        <f aca="false">IF($B328="","",IF($H328="按筐数×单价",N($E328),IF($H328="按总重KG×单价",N($F328),IF($H328="按吨位×单价",N($G328),0))))</f>
        <v/>
      </c>
      <c r="K328" s="41" t="str">
        <f aca="false">IF($B328="","",ROUND(N($J328)*N($I328),2))</f>
        <v/>
      </c>
      <c r="L328" s="42"/>
      <c r="M328" s="76"/>
      <c r="N328" s="43"/>
      <c r="R328" s="77" t="str">
        <f aca="false">IF($B328="","",$B328)</f>
        <v/>
      </c>
      <c r="S328" s="77" t="n">
        <f aca="false">IF($R328="",0,IF(MATCH($R328,$R$5:$R$904,0)=ROW()-4,1,0))</f>
        <v>0</v>
      </c>
      <c r="T328" s="77" t="n">
        <f aca="false">N(T327)+$S328</f>
        <v>18</v>
      </c>
    </row>
    <row r="329" customFormat="false" ht="13.5" hidden="false" customHeight="false" outlineLevel="0" collapsed="false">
      <c r="A329" s="9" t="str">
        <f aca="false">IF($B329="","",ROW()-4)</f>
        <v/>
      </c>
      <c r="B329" s="39" t="str">
        <f aca="false">IFERROR(INDEX(对接源_01入库吨位!$B$5:$B$304,MATCH(INT((ROW()-5)/3)+1,对接源_01入库吨位!$S$5:$S$304,0)),"")</f>
        <v/>
      </c>
      <c r="C329" s="39" t="str">
        <f aca="false">IFERROR(INDEX(对接源_01入库吨位!$C$5:$C$304,MATCH(INT((ROW()-5)/3)+1,对接源_01入库吨位!$S$5:$S$304,0)),"")</f>
        <v/>
      </c>
      <c r="D329" s="40" t="str">
        <f aca="false">IF($B329="","",IF(MOD(ROW()-5,3)=0,"周转打冷",IF(MOD(ROW()-5,3)=1,"仓储加工","装卸费")))</f>
        <v/>
      </c>
      <c r="E329" s="51" t="str">
        <f aca="false">IF($B329="","",IFERROR(IF($D329="周转打冷",N(INDEX(对接源_01入库吨位!$D$5:$D$304,MATCH(INT((ROW()-5)/3)+1,对接源_01入库吨位!$S$5:$S$304,0))),IF($D329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29" s="41" t="str">
        <f aca="false">IF($B329="","",ROUND(IFERROR(IF($D329="周转打冷",N(INDEX(对接源_01入库吨位!$H$5:$H$304,MATCH(INT((ROW()-5)/3)+1,对接源_01入库吨位!$S$5:$S$304,0))),IF($D329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29" s="52" t="str">
        <f aca="false">IF($B329="","",ROUND(N($F329)/1000,3))</f>
        <v/>
      </c>
      <c r="H329" s="74"/>
      <c r="I329" s="44"/>
      <c r="J329" s="75" t="str">
        <f aca="false">IF($B329="","",IF($H329="按筐数×单价",N($E329),IF($H329="按总重KG×单价",N($F329),IF($H329="按吨位×单价",N($G329),0))))</f>
        <v/>
      </c>
      <c r="K329" s="41" t="str">
        <f aca="false">IF($B329="","",ROUND(N($J329)*N($I329),2))</f>
        <v/>
      </c>
      <c r="L329" s="42"/>
      <c r="M329" s="76"/>
      <c r="N329" s="43"/>
      <c r="R329" s="77" t="str">
        <f aca="false">IF($B329="","",$B329)</f>
        <v/>
      </c>
      <c r="S329" s="77" t="n">
        <f aca="false">IF($R329="",0,IF(MATCH($R329,$R$5:$R$904,0)=ROW()-4,1,0))</f>
        <v>0</v>
      </c>
      <c r="T329" s="77" t="n">
        <f aca="false">N(T328)+$S329</f>
        <v>18</v>
      </c>
    </row>
    <row r="330" customFormat="false" ht="13.5" hidden="false" customHeight="false" outlineLevel="0" collapsed="false">
      <c r="A330" s="9" t="str">
        <f aca="false">IF($B330="","",ROW()-4)</f>
        <v/>
      </c>
      <c r="B330" s="39" t="str">
        <f aca="false">IFERROR(INDEX(对接源_01入库吨位!$B$5:$B$304,MATCH(INT((ROW()-5)/3)+1,对接源_01入库吨位!$S$5:$S$304,0)),"")</f>
        <v/>
      </c>
      <c r="C330" s="39" t="str">
        <f aca="false">IFERROR(INDEX(对接源_01入库吨位!$C$5:$C$304,MATCH(INT((ROW()-5)/3)+1,对接源_01入库吨位!$S$5:$S$304,0)),"")</f>
        <v/>
      </c>
      <c r="D330" s="40" t="str">
        <f aca="false">IF($B330="","",IF(MOD(ROW()-5,3)=0,"周转打冷",IF(MOD(ROW()-5,3)=1,"仓储加工","装卸费")))</f>
        <v/>
      </c>
      <c r="E330" s="51" t="str">
        <f aca="false">IF($B330="","",IFERROR(IF($D330="周转打冷",N(INDEX(对接源_01入库吨位!$D$5:$D$304,MATCH(INT((ROW()-5)/3)+1,对接源_01入库吨位!$S$5:$S$304,0))),IF($D330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0" s="41" t="str">
        <f aca="false">IF($B330="","",ROUND(IFERROR(IF($D330="周转打冷",N(INDEX(对接源_01入库吨位!$H$5:$H$304,MATCH(INT((ROW()-5)/3)+1,对接源_01入库吨位!$S$5:$S$304,0))),IF($D330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0" s="52" t="str">
        <f aca="false">IF($B330="","",ROUND(N($F330)/1000,3))</f>
        <v/>
      </c>
      <c r="H330" s="74"/>
      <c r="I330" s="44"/>
      <c r="J330" s="75" t="str">
        <f aca="false">IF($B330="","",IF($H330="按筐数×单价",N($E330),IF($H330="按总重KG×单价",N($F330),IF($H330="按吨位×单价",N($G330),0))))</f>
        <v/>
      </c>
      <c r="K330" s="41" t="str">
        <f aca="false">IF($B330="","",ROUND(N($J330)*N($I330),2))</f>
        <v/>
      </c>
      <c r="L330" s="42"/>
      <c r="M330" s="76"/>
      <c r="N330" s="43"/>
      <c r="R330" s="77" t="str">
        <f aca="false">IF($B330="","",$B330)</f>
        <v/>
      </c>
      <c r="S330" s="77" t="n">
        <f aca="false">IF($R330="",0,IF(MATCH($R330,$R$5:$R$904,0)=ROW()-4,1,0))</f>
        <v>0</v>
      </c>
      <c r="T330" s="77" t="n">
        <f aca="false">N(T329)+$S330</f>
        <v>18</v>
      </c>
    </row>
    <row r="331" customFormat="false" ht="13.5" hidden="false" customHeight="false" outlineLevel="0" collapsed="false">
      <c r="A331" s="9" t="str">
        <f aca="false">IF($B331="","",ROW()-4)</f>
        <v/>
      </c>
      <c r="B331" s="39" t="str">
        <f aca="false">IFERROR(INDEX(对接源_01入库吨位!$B$5:$B$304,MATCH(INT((ROW()-5)/3)+1,对接源_01入库吨位!$S$5:$S$304,0)),"")</f>
        <v/>
      </c>
      <c r="C331" s="39" t="str">
        <f aca="false">IFERROR(INDEX(对接源_01入库吨位!$C$5:$C$304,MATCH(INT((ROW()-5)/3)+1,对接源_01入库吨位!$S$5:$S$304,0)),"")</f>
        <v/>
      </c>
      <c r="D331" s="40" t="str">
        <f aca="false">IF($B331="","",IF(MOD(ROW()-5,3)=0,"周转打冷",IF(MOD(ROW()-5,3)=1,"仓储加工","装卸费")))</f>
        <v/>
      </c>
      <c r="E331" s="51" t="str">
        <f aca="false">IF($B331="","",IFERROR(IF($D331="周转打冷",N(INDEX(对接源_01入库吨位!$D$5:$D$304,MATCH(INT((ROW()-5)/3)+1,对接源_01入库吨位!$S$5:$S$304,0))),IF($D331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1" s="41" t="str">
        <f aca="false">IF($B331="","",ROUND(IFERROR(IF($D331="周转打冷",N(INDEX(对接源_01入库吨位!$H$5:$H$304,MATCH(INT((ROW()-5)/3)+1,对接源_01入库吨位!$S$5:$S$304,0))),IF($D331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1" s="52" t="str">
        <f aca="false">IF($B331="","",ROUND(N($F331)/1000,3))</f>
        <v/>
      </c>
      <c r="H331" s="74"/>
      <c r="I331" s="44"/>
      <c r="J331" s="75" t="str">
        <f aca="false">IF($B331="","",IF($H331="按筐数×单价",N($E331),IF($H331="按总重KG×单价",N($F331),IF($H331="按吨位×单价",N($G331),0))))</f>
        <v/>
      </c>
      <c r="K331" s="41" t="str">
        <f aca="false">IF($B331="","",ROUND(N($J331)*N($I331),2))</f>
        <v/>
      </c>
      <c r="L331" s="42"/>
      <c r="M331" s="76"/>
      <c r="N331" s="43"/>
      <c r="R331" s="77" t="str">
        <f aca="false">IF($B331="","",$B331)</f>
        <v/>
      </c>
      <c r="S331" s="77" t="n">
        <f aca="false">IF($R331="",0,IF(MATCH($R331,$R$5:$R$904,0)=ROW()-4,1,0))</f>
        <v>0</v>
      </c>
      <c r="T331" s="77" t="n">
        <f aca="false">N(T330)+$S331</f>
        <v>18</v>
      </c>
    </row>
    <row r="332" customFormat="false" ht="13.5" hidden="false" customHeight="false" outlineLevel="0" collapsed="false">
      <c r="A332" s="9" t="str">
        <f aca="false">IF($B332="","",ROW()-4)</f>
        <v/>
      </c>
      <c r="B332" s="39" t="str">
        <f aca="false">IFERROR(INDEX(对接源_01入库吨位!$B$5:$B$304,MATCH(INT((ROW()-5)/3)+1,对接源_01入库吨位!$S$5:$S$304,0)),"")</f>
        <v/>
      </c>
      <c r="C332" s="39" t="str">
        <f aca="false">IFERROR(INDEX(对接源_01入库吨位!$C$5:$C$304,MATCH(INT((ROW()-5)/3)+1,对接源_01入库吨位!$S$5:$S$304,0)),"")</f>
        <v/>
      </c>
      <c r="D332" s="40" t="str">
        <f aca="false">IF($B332="","",IF(MOD(ROW()-5,3)=0,"周转打冷",IF(MOD(ROW()-5,3)=1,"仓储加工","装卸费")))</f>
        <v/>
      </c>
      <c r="E332" s="51" t="str">
        <f aca="false">IF($B332="","",IFERROR(IF($D332="周转打冷",N(INDEX(对接源_01入库吨位!$D$5:$D$304,MATCH(INT((ROW()-5)/3)+1,对接源_01入库吨位!$S$5:$S$304,0))),IF($D332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2" s="41" t="str">
        <f aca="false">IF($B332="","",ROUND(IFERROR(IF($D332="周转打冷",N(INDEX(对接源_01入库吨位!$H$5:$H$304,MATCH(INT((ROW()-5)/3)+1,对接源_01入库吨位!$S$5:$S$304,0))),IF($D332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2" s="52" t="str">
        <f aca="false">IF($B332="","",ROUND(N($F332)/1000,3))</f>
        <v/>
      </c>
      <c r="H332" s="74"/>
      <c r="I332" s="44"/>
      <c r="J332" s="75" t="str">
        <f aca="false">IF($B332="","",IF($H332="按筐数×单价",N($E332),IF($H332="按总重KG×单价",N($F332),IF($H332="按吨位×单价",N($G332),0))))</f>
        <v/>
      </c>
      <c r="K332" s="41" t="str">
        <f aca="false">IF($B332="","",ROUND(N($J332)*N($I332),2))</f>
        <v/>
      </c>
      <c r="L332" s="42"/>
      <c r="M332" s="76"/>
      <c r="N332" s="43"/>
      <c r="R332" s="77" t="str">
        <f aca="false">IF($B332="","",$B332)</f>
        <v/>
      </c>
      <c r="S332" s="77" t="n">
        <f aca="false">IF($R332="",0,IF(MATCH($R332,$R$5:$R$904,0)=ROW()-4,1,0))</f>
        <v>0</v>
      </c>
      <c r="T332" s="77" t="n">
        <f aca="false">N(T331)+$S332</f>
        <v>18</v>
      </c>
    </row>
    <row r="333" customFormat="false" ht="13.5" hidden="false" customHeight="false" outlineLevel="0" collapsed="false">
      <c r="A333" s="9" t="str">
        <f aca="false">IF($B333="","",ROW()-4)</f>
        <v/>
      </c>
      <c r="B333" s="39" t="str">
        <f aca="false">IFERROR(INDEX(对接源_01入库吨位!$B$5:$B$304,MATCH(INT((ROW()-5)/3)+1,对接源_01入库吨位!$S$5:$S$304,0)),"")</f>
        <v/>
      </c>
      <c r="C333" s="39" t="str">
        <f aca="false">IFERROR(INDEX(对接源_01入库吨位!$C$5:$C$304,MATCH(INT((ROW()-5)/3)+1,对接源_01入库吨位!$S$5:$S$304,0)),"")</f>
        <v/>
      </c>
      <c r="D333" s="40" t="str">
        <f aca="false">IF($B333="","",IF(MOD(ROW()-5,3)=0,"周转打冷",IF(MOD(ROW()-5,3)=1,"仓储加工","装卸费")))</f>
        <v/>
      </c>
      <c r="E333" s="51" t="str">
        <f aca="false">IF($B333="","",IFERROR(IF($D333="周转打冷",N(INDEX(对接源_01入库吨位!$D$5:$D$304,MATCH(INT((ROW()-5)/3)+1,对接源_01入库吨位!$S$5:$S$304,0))),IF($D333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3" s="41" t="str">
        <f aca="false">IF($B333="","",ROUND(IFERROR(IF($D333="周转打冷",N(INDEX(对接源_01入库吨位!$H$5:$H$304,MATCH(INT((ROW()-5)/3)+1,对接源_01入库吨位!$S$5:$S$304,0))),IF($D333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3" s="52" t="str">
        <f aca="false">IF($B333="","",ROUND(N($F333)/1000,3))</f>
        <v/>
      </c>
      <c r="H333" s="74"/>
      <c r="I333" s="44"/>
      <c r="J333" s="75" t="str">
        <f aca="false">IF($B333="","",IF($H333="按筐数×单价",N($E333),IF($H333="按总重KG×单价",N($F333),IF($H333="按吨位×单价",N($G333),0))))</f>
        <v/>
      </c>
      <c r="K333" s="41" t="str">
        <f aca="false">IF($B333="","",ROUND(N($J333)*N($I333),2))</f>
        <v/>
      </c>
      <c r="L333" s="42"/>
      <c r="M333" s="76"/>
      <c r="N333" s="43"/>
      <c r="R333" s="77" t="str">
        <f aca="false">IF($B333="","",$B333)</f>
        <v/>
      </c>
      <c r="S333" s="77" t="n">
        <f aca="false">IF($R333="",0,IF(MATCH($R333,$R$5:$R$904,0)=ROW()-4,1,0))</f>
        <v>0</v>
      </c>
      <c r="T333" s="77" t="n">
        <f aca="false">N(T332)+$S333</f>
        <v>18</v>
      </c>
    </row>
    <row r="334" customFormat="false" ht="13.5" hidden="false" customHeight="false" outlineLevel="0" collapsed="false">
      <c r="A334" s="9" t="str">
        <f aca="false">IF($B334="","",ROW()-4)</f>
        <v/>
      </c>
      <c r="B334" s="39" t="str">
        <f aca="false">IFERROR(INDEX(对接源_01入库吨位!$B$5:$B$304,MATCH(INT((ROW()-5)/3)+1,对接源_01入库吨位!$S$5:$S$304,0)),"")</f>
        <v/>
      </c>
      <c r="C334" s="39" t="str">
        <f aca="false">IFERROR(INDEX(对接源_01入库吨位!$C$5:$C$304,MATCH(INT((ROW()-5)/3)+1,对接源_01入库吨位!$S$5:$S$304,0)),"")</f>
        <v/>
      </c>
      <c r="D334" s="40" t="str">
        <f aca="false">IF($B334="","",IF(MOD(ROW()-5,3)=0,"周转打冷",IF(MOD(ROW()-5,3)=1,"仓储加工","装卸费")))</f>
        <v/>
      </c>
      <c r="E334" s="51" t="str">
        <f aca="false">IF($B334="","",IFERROR(IF($D334="周转打冷",N(INDEX(对接源_01入库吨位!$D$5:$D$304,MATCH(INT((ROW()-5)/3)+1,对接源_01入库吨位!$S$5:$S$304,0))),IF($D334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4" s="41" t="str">
        <f aca="false">IF($B334="","",ROUND(IFERROR(IF($D334="周转打冷",N(INDEX(对接源_01入库吨位!$H$5:$H$304,MATCH(INT((ROW()-5)/3)+1,对接源_01入库吨位!$S$5:$S$304,0))),IF($D334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4" s="52" t="str">
        <f aca="false">IF($B334="","",ROUND(N($F334)/1000,3))</f>
        <v/>
      </c>
      <c r="H334" s="74"/>
      <c r="I334" s="44"/>
      <c r="J334" s="75" t="str">
        <f aca="false">IF($B334="","",IF($H334="按筐数×单价",N($E334),IF($H334="按总重KG×单价",N($F334),IF($H334="按吨位×单价",N($G334),0))))</f>
        <v/>
      </c>
      <c r="K334" s="41" t="str">
        <f aca="false">IF($B334="","",ROUND(N($J334)*N($I334),2))</f>
        <v/>
      </c>
      <c r="L334" s="42"/>
      <c r="M334" s="76"/>
      <c r="N334" s="43"/>
      <c r="R334" s="77" t="str">
        <f aca="false">IF($B334="","",$B334)</f>
        <v/>
      </c>
      <c r="S334" s="77" t="n">
        <f aca="false">IF($R334="",0,IF(MATCH($R334,$R$5:$R$904,0)=ROW()-4,1,0))</f>
        <v>0</v>
      </c>
      <c r="T334" s="77" t="n">
        <f aca="false">N(T333)+$S334</f>
        <v>18</v>
      </c>
    </row>
    <row r="335" customFormat="false" ht="13.5" hidden="false" customHeight="false" outlineLevel="0" collapsed="false">
      <c r="A335" s="9" t="str">
        <f aca="false">IF($B335="","",ROW()-4)</f>
        <v/>
      </c>
      <c r="B335" s="39" t="str">
        <f aca="false">IFERROR(INDEX(对接源_01入库吨位!$B$5:$B$304,MATCH(INT((ROW()-5)/3)+1,对接源_01入库吨位!$S$5:$S$304,0)),"")</f>
        <v/>
      </c>
      <c r="C335" s="39" t="str">
        <f aca="false">IFERROR(INDEX(对接源_01入库吨位!$C$5:$C$304,MATCH(INT((ROW()-5)/3)+1,对接源_01入库吨位!$S$5:$S$304,0)),"")</f>
        <v/>
      </c>
      <c r="D335" s="40" t="str">
        <f aca="false">IF($B335="","",IF(MOD(ROW()-5,3)=0,"周转打冷",IF(MOD(ROW()-5,3)=1,"仓储加工","装卸费")))</f>
        <v/>
      </c>
      <c r="E335" s="51" t="str">
        <f aca="false">IF($B335="","",IFERROR(IF($D335="周转打冷",N(INDEX(对接源_01入库吨位!$D$5:$D$304,MATCH(INT((ROW()-5)/3)+1,对接源_01入库吨位!$S$5:$S$304,0))),IF($D335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5" s="41" t="str">
        <f aca="false">IF($B335="","",ROUND(IFERROR(IF($D335="周转打冷",N(INDEX(对接源_01入库吨位!$H$5:$H$304,MATCH(INT((ROW()-5)/3)+1,对接源_01入库吨位!$S$5:$S$304,0))),IF($D335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5" s="52" t="str">
        <f aca="false">IF($B335="","",ROUND(N($F335)/1000,3))</f>
        <v/>
      </c>
      <c r="H335" s="74"/>
      <c r="I335" s="44"/>
      <c r="J335" s="75" t="str">
        <f aca="false">IF($B335="","",IF($H335="按筐数×单价",N($E335),IF($H335="按总重KG×单价",N($F335),IF($H335="按吨位×单价",N($G335),0))))</f>
        <v/>
      </c>
      <c r="K335" s="41" t="str">
        <f aca="false">IF($B335="","",ROUND(N($J335)*N($I335),2))</f>
        <v/>
      </c>
      <c r="L335" s="42"/>
      <c r="M335" s="76"/>
      <c r="N335" s="43"/>
      <c r="R335" s="77" t="str">
        <f aca="false">IF($B335="","",$B335)</f>
        <v/>
      </c>
      <c r="S335" s="77" t="n">
        <f aca="false">IF($R335="",0,IF(MATCH($R335,$R$5:$R$904,0)=ROW()-4,1,0))</f>
        <v>0</v>
      </c>
      <c r="T335" s="77" t="n">
        <f aca="false">N(T334)+$S335</f>
        <v>18</v>
      </c>
    </row>
    <row r="336" customFormat="false" ht="13.5" hidden="false" customHeight="false" outlineLevel="0" collapsed="false">
      <c r="A336" s="9" t="str">
        <f aca="false">IF($B336="","",ROW()-4)</f>
        <v/>
      </c>
      <c r="B336" s="39" t="str">
        <f aca="false">IFERROR(INDEX(对接源_01入库吨位!$B$5:$B$304,MATCH(INT((ROW()-5)/3)+1,对接源_01入库吨位!$S$5:$S$304,0)),"")</f>
        <v/>
      </c>
      <c r="C336" s="39" t="str">
        <f aca="false">IFERROR(INDEX(对接源_01入库吨位!$C$5:$C$304,MATCH(INT((ROW()-5)/3)+1,对接源_01入库吨位!$S$5:$S$304,0)),"")</f>
        <v/>
      </c>
      <c r="D336" s="40" t="str">
        <f aca="false">IF($B336="","",IF(MOD(ROW()-5,3)=0,"周转打冷",IF(MOD(ROW()-5,3)=1,"仓储加工","装卸费")))</f>
        <v/>
      </c>
      <c r="E336" s="51" t="str">
        <f aca="false">IF($B336="","",IFERROR(IF($D336="周转打冷",N(INDEX(对接源_01入库吨位!$D$5:$D$304,MATCH(INT((ROW()-5)/3)+1,对接源_01入库吨位!$S$5:$S$304,0))),IF($D336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6" s="41" t="str">
        <f aca="false">IF($B336="","",ROUND(IFERROR(IF($D336="周转打冷",N(INDEX(对接源_01入库吨位!$H$5:$H$304,MATCH(INT((ROW()-5)/3)+1,对接源_01入库吨位!$S$5:$S$304,0))),IF($D336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6" s="52" t="str">
        <f aca="false">IF($B336="","",ROUND(N($F336)/1000,3))</f>
        <v/>
      </c>
      <c r="H336" s="74"/>
      <c r="I336" s="44"/>
      <c r="J336" s="75" t="str">
        <f aca="false">IF($B336="","",IF($H336="按筐数×单价",N($E336),IF($H336="按总重KG×单价",N($F336),IF($H336="按吨位×单价",N($G336),0))))</f>
        <v/>
      </c>
      <c r="K336" s="41" t="str">
        <f aca="false">IF($B336="","",ROUND(N($J336)*N($I336),2))</f>
        <v/>
      </c>
      <c r="L336" s="42"/>
      <c r="M336" s="76"/>
      <c r="N336" s="43"/>
      <c r="R336" s="77" t="str">
        <f aca="false">IF($B336="","",$B336)</f>
        <v/>
      </c>
      <c r="S336" s="77" t="n">
        <f aca="false">IF($R336="",0,IF(MATCH($R336,$R$5:$R$904,0)=ROW()-4,1,0))</f>
        <v>0</v>
      </c>
      <c r="T336" s="77" t="n">
        <f aca="false">N(T335)+$S336</f>
        <v>18</v>
      </c>
    </row>
    <row r="337" customFormat="false" ht="13.5" hidden="false" customHeight="false" outlineLevel="0" collapsed="false">
      <c r="A337" s="9" t="str">
        <f aca="false">IF($B337="","",ROW()-4)</f>
        <v/>
      </c>
      <c r="B337" s="39" t="str">
        <f aca="false">IFERROR(INDEX(对接源_01入库吨位!$B$5:$B$304,MATCH(INT((ROW()-5)/3)+1,对接源_01入库吨位!$S$5:$S$304,0)),"")</f>
        <v/>
      </c>
      <c r="C337" s="39" t="str">
        <f aca="false">IFERROR(INDEX(对接源_01入库吨位!$C$5:$C$304,MATCH(INT((ROW()-5)/3)+1,对接源_01入库吨位!$S$5:$S$304,0)),"")</f>
        <v/>
      </c>
      <c r="D337" s="40" t="str">
        <f aca="false">IF($B337="","",IF(MOD(ROW()-5,3)=0,"周转打冷",IF(MOD(ROW()-5,3)=1,"仓储加工","装卸费")))</f>
        <v/>
      </c>
      <c r="E337" s="51" t="str">
        <f aca="false">IF($B337="","",IFERROR(IF($D337="周转打冷",N(INDEX(对接源_01入库吨位!$D$5:$D$304,MATCH(INT((ROW()-5)/3)+1,对接源_01入库吨位!$S$5:$S$304,0))),IF($D337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7" s="41" t="str">
        <f aca="false">IF($B337="","",ROUND(IFERROR(IF($D337="周转打冷",N(INDEX(对接源_01入库吨位!$H$5:$H$304,MATCH(INT((ROW()-5)/3)+1,对接源_01入库吨位!$S$5:$S$304,0))),IF($D337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7" s="52" t="str">
        <f aca="false">IF($B337="","",ROUND(N($F337)/1000,3))</f>
        <v/>
      </c>
      <c r="H337" s="74"/>
      <c r="I337" s="44"/>
      <c r="J337" s="75" t="str">
        <f aca="false">IF($B337="","",IF($H337="按筐数×单价",N($E337),IF($H337="按总重KG×单价",N($F337),IF($H337="按吨位×单价",N($G337),0))))</f>
        <v/>
      </c>
      <c r="K337" s="41" t="str">
        <f aca="false">IF($B337="","",ROUND(N($J337)*N($I337),2))</f>
        <v/>
      </c>
      <c r="L337" s="42"/>
      <c r="M337" s="76"/>
      <c r="N337" s="43"/>
      <c r="R337" s="77" t="str">
        <f aca="false">IF($B337="","",$B337)</f>
        <v/>
      </c>
      <c r="S337" s="77" t="n">
        <f aca="false">IF($R337="",0,IF(MATCH($R337,$R$5:$R$904,0)=ROW()-4,1,0))</f>
        <v>0</v>
      </c>
      <c r="T337" s="77" t="n">
        <f aca="false">N(T336)+$S337</f>
        <v>18</v>
      </c>
    </row>
    <row r="338" customFormat="false" ht="13.5" hidden="false" customHeight="false" outlineLevel="0" collapsed="false">
      <c r="A338" s="9" t="str">
        <f aca="false">IF($B338="","",ROW()-4)</f>
        <v/>
      </c>
      <c r="B338" s="39" t="str">
        <f aca="false">IFERROR(INDEX(对接源_01入库吨位!$B$5:$B$304,MATCH(INT((ROW()-5)/3)+1,对接源_01入库吨位!$S$5:$S$304,0)),"")</f>
        <v/>
      </c>
      <c r="C338" s="39" t="str">
        <f aca="false">IFERROR(INDEX(对接源_01入库吨位!$C$5:$C$304,MATCH(INT((ROW()-5)/3)+1,对接源_01入库吨位!$S$5:$S$304,0)),"")</f>
        <v/>
      </c>
      <c r="D338" s="40" t="str">
        <f aca="false">IF($B338="","",IF(MOD(ROW()-5,3)=0,"周转打冷",IF(MOD(ROW()-5,3)=1,"仓储加工","装卸费")))</f>
        <v/>
      </c>
      <c r="E338" s="51" t="str">
        <f aca="false">IF($B338="","",IFERROR(IF($D338="周转打冷",N(INDEX(对接源_01入库吨位!$D$5:$D$304,MATCH(INT((ROW()-5)/3)+1,对接源_01入库吨位!$S$5:$S$304,0))),IF($D338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8" s="41" t="str">
        <f aca="false">IF($B338="","",ROUND(IFERROR(IF($D338="周转打冷",N(INDEX(对接源_01入库吨位!$H$5:$H$304,MATCH(INT((ROW()-5)/3)+1,对接源_01入库吨位!$S$5:$S$304,0))),IF($D338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8" s="52" t="str">
        <f aca="false">IF($B338="","",ROUND(N($F338)/1000,3))</f>
        <v/>
      </c>
      <c r="H338" s="74"/>
      <c r="I338" s="44"/>
      <c r="J338" s="75" t="str">
        <f aca="false">IF($B338="","",IF($H338="按筐数×单价",N($E338),IF($H338="按总重KG×单价",N($F338),IF($H338="按吨位×单价",N($G338),0))))</f>
        <v/>
      </c>
      <c r="K338" s="41" t="str">
        <f aca="false">IF($B338="","",ROUND(N($J338)*N($I338),2))</f>
        <v/>
      </c>
      <c r="L338" s="42"/>
      <c r="M338" s="76"/>
      <c r="N338" s="43"/>
      <c r="R338" s="77" t="str">
        <f aca="false">IF($B338="","",$B338)</f>
        <v/>
      </c>
      <c r="S338" s="77" t="n">
        <f aca="false">IF($R338="",0,IF(MATCH($R338,$R$5:$R$904,0)=ROW()-4,1,0))</f>
        <v>0</v>
      </c>
      <c r="T338" s="77" t="n">
        <f aca="false">N(T337)+$S338</f>
        <v>18</v>
      </c>
    </row>
    <row r="339" customFormat="false" ht="13.5" hidden="false" customHeight="false" outlineLevel="0" collapsed="false">
      <c r="A339" s="9" t="str">
        <f aca="false">IF($B339="","",ROW()-4)</f>
        <v/>
      </c>
      <c r="B339" s="39" t="str">
        <f aca="false">IFERROR(INDEX(对接源_01入库吨位!$B$5:$B$304,MATCH(INT((ROW()-5)/3)+1,对接源_01入库吨位!$S$5:$S$304,0)),"")</f>
        <v/>
      </c>
      <c r="C339" s="39" t="str">
        <f aca="false">IFERROR(INDEX(对接源_01入库吨位!$C$5:$C$304,MATCH(INT((ROW()-5)/3)+1,对接源_01入库吨位!$S$5:$S$304,0)),"")</f>
        <v/>
      </c>
      <c r="D339" s="40" t="str">
        <f aca="false">IF($B339="","",IF(MOD(ROW()-5,3)=0,"周转打冷",IF(MOD(ROW()-5,3)=1,"仓储加工","装卸费")))</f>
        <v/>
      </c>
      <c r="E339" s="51" t="str">
        <f aca="false">IF($B339="","",IFERROR(IF($D339="周转打冷",N(INDEX(对接源_01入库吨位!$D$5:$D$304,MATCH(INT((ROW()-5)/3)+1,对接源_01入库吨位!$S$5:$S$304,0))),IF($D339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39" s="41" t="str">
        <f aca="false">IF($B339="","",ROUND(IFERROR(IF($D339="周转打冷",N(INDEX(对接源_01入库吨位!$H$5:$H$304,MATCH(INT((ROW()-5)/3)+1,对接源_01入库吨位!$S$5:$S$304,0))),IF($D339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39" s="52" t="str">
        <f aca="false">IF($B339="","",ROUND(N($F339)/1000,3))</f>
        <v/>
      </c>
      <c r="H339" s="74"/>
      <c r="I339" s="44"/>
      <c r="J339" s="75" t="str">
        <f aca="false">IF($B339="","",IF($H339="按筐数×单价",N($E339),IF($H339="按总重KG×单价",N($F339),IF($H339="按吨位×单价",N($G339),0))))</f>
        <v/>
      </c>
      <c r="K339" s="41" t="str">
        <f aca="false">IF($B339="","",ROUND(N($J339)*N($I339),2))</f>
        <v/>
      </c>
      <c r="L339" s="42"/>
      <c r="M339" s="76"/>
      <c r="N339" s="43"/>
      <c r="R339" s="77" t="str">
        <f aca="false">IF($B339="","",$B339)</f>
        <v/>
      </c>
      <c r="S339" s="77" t="n">
        <f aca="false">IF($R339="",0,IF(MATCH($R339,$R$5:$R$904,0)=ROW()-4,1,0))</f>
        <v>0</v>
      </c>
      <c r="T339" s="77" t="n">
        <f aca="false">N(T338)+$S339</f>
        <v>18</v>
      </c>
    </row>
    <row r="340" customFormat="false" ht="13.5" hidden="false" customHeight="false" outlineLevel="0" collapsed="false">
      <c r="A340" s="9" t="str">
        <f aca="false">IF($B340="","",ROW()-4)</f>
        <v/>
      </c>
      <c r="B340" s="39" t="str">
        <f aca="false">IFERROR(INDEX(对接源_01入库吨位!$B$5:$B$304,MATCH(INT((ROW()-5)/3)+1,对接源_01入库吨位!$S$5:$S$304,0)),"")</f>
        <v/>
      </c>
      <c r="C340" s="39" t="str">
        <f aca="false">IFERROR(INDEX(对接源_01入库吨位!$C$5:$C$304,MATCH(INT((ROW()-5)/3)+1,对接源_01入库吨位!$S$5:$S$304,0)),"")</f>
        <v/>
      </c>
      <c r="D340" s="40" t="str">
        <f aca="false">IF($B340="","",IF(MOD(ROW()-5,3)=0,"周转打冷",IF(MOD(ROW()-5,3)=1,"仓储加工","装卸费")))</f>
        <v/>
      </c>
      <c r="E340" s="51" t="str">
        <f aca="false">IF($B340="","",IFERROR(IF($D340="周转打冷",N(INDEX(对接源_01入库吨位!$D$5:$D$304,MATCH(INT((ROW()-5)/3)+1,对接源_01入库吨位!$S$5:$S$304,0))),IF($D340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0" s="41" t="str">
        <f aca="false">IF($B340="","",ROUND(IFERROR(IF($D340="周转打冷",N(INDEX(对接源_01入库吨位!$H$5:$H$304,MATCH(INT((ROW()-5)/3)+1,对接源_01入库吨位!$S$5:$S$304,0))),IF($D340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0" s="52" t="str">
        <f aca="false">IF($B340="","",ROUND(N($F340)/1000,3))</f>
        <v/>
      </c>
      <c r="H340" s="74"/>
      <c r="I340" s="44"/>
      <c r="J340" s="75" t="str">
        <f aca="false">IF($B340="","",IF($H340="按筐数×单价",N($E340),IF($H340="按总重KG×单价",N($F340),IF($H340="按吨位×单价",N($G340),0))))</f>
        <v/>
      </c>
      <c r="K340" s="41" t="str">
        <f aca="false">IF($B340="","",ROUND(N($J340)*N($I340),2))</f>
        <v/>
      </c>
      <c r="L340" s="42"/>
      <c r="M340" s="76"/>
      <c r="N340" s="43"/>
      <c r="R340" s="77" t="str">
        <f aca="false">IF($B340="","",$B340)</f>
        <v/>
      </c>
      <c r="S340" s="77" t="n">
        <f aca="false">IF($R340="",0,IF(MATCH($R340,$R$5:$R$904,0)=ROW()-4,1,0))</f>
        <v>0</v>
      </c>
      <c r="T340" s="77" t="n">
        <f aca="false">N(T339)+$S340</f>
        <v>18</v>
      </c>
    </row>
    <row r="341" customFormat="false" ht="13.5" hidden="false" customHeight="false" outlineLevel="0" collapsed="false">
      <c r="A341" s="9" t="str">
        <f aca="false">IF($B341="","",ROW()-4)</f>
        <v/>
      </c>
      <c r="B341" s="39" t="str">
        <f aca="false">IFERROR(INDEX(对接源_01入库吨位!$B$5:$B$304,MATCH(INT((ROW()-5)/3)+1,对接源_01入库吨位!$S$5:$S$304,0)),"")</f>
        <v/>
      </c>
      <c r="C341" s="39" t="str">
        <f aca="false">IFERROR(INDEX(对接源_01入库吨位!$C$5:$C$304,MATCH(INT((ROW()-5)/3)+1,对接源_01入库吨位!$S$5:$S$304,0)),"")</f>
        <v/>
      </c>
      <c r="D341" s="40" t="str">
        <f aca="false">IF($B341="","",IF(MOD(ROW()-5,3)=0,"周转打冷",IF(MOD(ROW()-5,3)=1,"仓储加工","装卸费")))</f>
        <v/>
      </c>
      <c r="E341" s="51" t="str">
        <f aca="false">IF($B341="","",IFERROR(IF($D341="周转打冷",N(INDEX(对接源_01入库吨位!$D$5:$D$304,MATCH(INT((ROW()-5)/3)+1,对接源_01入库吨位!$S$5:$S$304,0))),IF($D341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1" s="41" t="str">
        <f aca="false">IF($B341="","",ROUND(IFERROR(IF($D341="周转打冷",N(INDEX(对接源_01入库吨位!$H$5:$H$304,MATCH(INT((ROW()-5)/3)+1,对接源_01入库吨位!$S$5:$S$304,0))),IF($D341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1" s="52" t="str">
        <f aca="false">IF($B341="","",ROUND(N($F341)/1000,3))</f>
        <v/>
      </c>
      <c r="H341" s="74"/>
      <c r="I341" s="44"/>
      <c r="J341" s="75" t="str">
        <f aca="false">IF($B341="","",IF($H341="按筐数×单价",N($E341),IF($H341="按总重KG×单价",N($F341),IF($H341="按吨位×单价",N($G341),0))))</f>
        <v/>
      </c>
      <c r="K341" s="41" t="str">
        <f aca="false">IF($B341="","",ROUND(N($J341)*N($I341),2))</f>
        <v/>
      </c>
      <c r="L341" s="42"/>
      <c r="M341" s="76"/>
      <c r="N341" s="43"/>
      <c r="R341" s="77" t="str">
        <f aca="false">IF($B341="","",$B341)</f>
        <v/>
      </c>
      <c r="S341" s="77" t="n">
        <f aca="false">IF($R341="",0,IF(MATCH($R341,$R$5:$R$904,0)=ROW()-4,1,0))</f>
        <v>0</v>
      </c>
      <c r="T341" s="77" t="n">
        <f aca="false">N(T340)+$S341</f>
        <v>18</v>
      </c>
    </row>
    <row r="342" customFormat="false" ht="13.5" hidden="false" customHeight="false" outlineLevel="0" collapsed="false">
      <c r="A342" s="9" t="str">
        <f aca="false">IF($B342="","",ROW()-4)</f>
        <v/>
      </c>
      <c r="B342" s="39" t="str">
        <f aca="false">IFERROR(INDEX(对接源_01入库吨位!$B$5:$B$304,MATCH(INT((ROW()-5)/3)+1,对接源_01入库吨位!$S$5:$S$304,0)),"")</f>
        <v/>
      </c>
      <c r="C342" s="39" t="str">
        <f aca="false">IFERROR(INDEX(对接源_01入库吨位!$C$5:$C$304,MATCH(INT((ROW()-5)/3)+1,对接源_01入库吨位!$S$5:$S$304,0)),"")</f>
        <v/>
      </c>
      <c r="D342" s="40" t="str">
        <f aca="false">IF($B342="","",IF(MOD(ROW()-5,3)=0,"周转打冷",IF(MOD(ROW()-5,3)=1,"仓储加工","装卸费")))</f>
        <v/>
      </c>
      <c r="E342" s="51" t="str">
        <f aca="false">IF($B342="","",IFERROR(IF($D342="周转打冷",N(INDEX(对接源_01入库吨位!$D$5:$D$304,MATCH(INT((ROW()-5)/3)+1,对接源_01入库吨位!$S$5:$S$304,0))),IF($D342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2" s="41" t="str">
        <f aca="false">IF($B342="","",ROUND(IFERROR(IF($D342="周转打冷",N(INDEX(对接源_01入库吨位!$H$5:$H$304,MATCH(INT((ROW()-5)/3)+1,对接源_01入库吨位!$S$5:$S$304,0))),IF($D342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2" s="52" t="str">
        <f aca="false">IF($B342="","",ROUND(N($F342)/1000,3))</f>
        <v/>
      </c>
      <c r="H342" s="74"/>
      <c r="I342" s="44"/>
      <c r="J342" s="75" t="str">
        <f aca="false">IF($B342="","",IF($H342="按筐数×单价",N($E342),IF($H342="按总重KG×单价",N($F342),IF($H342="按吨位×单价",N($G342),0))))</f>
        <v/>
      </c>
      <c r="K342" s="41" t="str">
        <f aca="false">IF($B342="","",ROUND(N($J342)*N($I342),2))</f>
        <v/>
      </c>
      <c r="L342" s="42"/>
      <c r="M342" s="76"/>
      <c r="N342" s="43"/>
      <c r="R342" s="77" t="str">
        <f aca="false">IF($B342="","",$B342)</f>
        <v/>
      </c>
      <c r="S342" s="77" t="n">
        <f aca="false">IF($R342="",0,IF(MATCH($R342,$R$5:$R$904,0)=ROW()-4,1,0))</f>
        <v>0</v>
      </c>
      <c r="T342" s="77" t="n">
        <f aca="false">N(T341)+$S342</f>
        <v>18</v>
      </c>
    </row>
    <row r="343" customFormat="false" ht="13.5" hidden="false" customHeight="false" outlineLevel="0" collapsed="false">
      <c r="A343" s="9" t="str">
        <f aca="false">IF($B343="","",ROW()-4)</f>
        <v/>
      </c>
      <c r="B343" s="39" t="str">
        <f aca="false">IFERROR(INDEX(对接源_01入库吨位!$B$5:$B$304,MATCH(INT((ROW()-5)/3)+1,对接源_01入库吨位!$S$5:$S$304,0)),"")</f>
        <v/>
      </c>
      <c r="C343" s="39" t="str">
        <f aca="false">IFERROR(INDEX(对接源_01入库吨位!$C$5:$C$304,MATCH(INT((ROW()-5)/3)+1,对接源_01入库吨位!$S$5:$S$304,0)),"")</f>
        <v/>
      </c>
      <c r="D343" s="40" t="str">
        <f aca="false">IF($B343="","",IF(MOD(ROW()-5,3)=0,"周转打冷",IF(MOD(ROW()-5,3)=1,"仓储加工","装卸费")))</f>
        <v/>
      </c>
      <c r="E343" s="51" t="str">
        <f aca="false">IF($B343="","",IFERROR(IF($D343="周转打冷",N(INDEX(对接源_01入库吨位!$D$5:$D$304,MATCH(INT((ROW()-5)/3)+1,对接源_01入库吨位!$S$5:$S$304,0))),IF($D343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3" s="41" t="str">
        <f aca="false">IF($B343="","",ROUND(IFERROR(IF($D343="周转打冷",N(INDEX(对接源_01入库吨位!$H$5:$H$304,MATCH(INT((ROW()-5)/3)+1,对接源_01入库吨位!$S$5:$S$304,0))),IF($D343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3" s="52" t="str">
        <f aca="false">IF($B343="","",ROUND(N($F343)/1000,3))</f>
        <v/>
      </c>
      <c r="H343" s="74"/>
      <c r="I343" s="44"/>
      <c r="J343" s="75" t="str">
        <f aca="false">IF($B343="","",IF($H343="按筐数×单价",N($E343),IF($H343="按总重KG×单价",N($F343),IF($H343="按吨位×单价",N($G343),0))))</f>
        <v/>
      </c>
      <c r="K343" s="41" t="str">
        <f aca="false">IF($B343="","",ROUND(N($J343)*N($I343),2))</f>
        <v/>
      </c>
      <c r="L343" s="42"/>
      <c r="M343" s="76"/>
      <c r="N343" s="43"/>
      <c r="R343" s="77" t="str">
        <f aca="false">IF($B343="","",$B343)</f>
        <v/>
      </c>
      <c r="S343" s="77" t="n">
        <f aca="false">IF($R343="",0,IF(MATCH($R343,$R$5:$R$904,0)=ROW()-4,1,0))</f>
        <v>0</v>
      </c>
      <c r="T343" s="77" t="n">
        <f aca="false">N(T342)+$S343</f>
        <v>18</v>
      </c>
    </row>
    <row r="344" customFormat="false" ht="13.5" hidden="false" customHeight="false" outlineLevel="0" collapsed="false">
      <c r="A344" s="9" t="str">
        <f aca="false">IF($B344="","",ROW()-4)</f>
        <v/>
      </c>
      <c r="B344" s="39" t="str">
        <f aca="false">IFERROR(INDEX(对接源_01入库吨位!$B$5:$B$304,MATCH(INT((ROW()-5)/3)+1,对接源_01入库吨位!$S$5:$S$304,0)),"")</f>
        <v/>
      </c>
      <c r="C344" s="39" t="str">
        <f aca="false">IFERROR(INDEX(对接源_01入库吨位!$C$5:$C$304,MATCH(INT((ROW()-5)/3)+1,对接源_01入库吨位!$S$5:$S$304,0)),"")</f>
        <v/>
      </c>
      <c r="D344" s="40" t="str">
        <f aca="false">IF($B344="","",IF(MOD(ROW()-5,3)=0,"周转打冷",IF(MOD(ROW()-5,3)=1,"仓储加工","装卸费")))</f>
        <v/>
      </c>
      <c r="E344" s="51" t="str">
        <f aca="false">IF($B344="","",IFERROR(IF($D344="周转打冷",N(INDEX(对接源_01入库吨位!$D$5:$D$304,MATCH(INT((ROW()-5)/3)+1,对接源_01入库吨位!$S$5:$S$304,0))),IF($D344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4" s="41" t="str">
        <f aca="false">IF($B344="","",ROUND(IFERROR(IF($D344="周转打冷",N(INDEX(对接源_01入库吨位!$H$5:$H$304,MATCH(INT((ROW()-5)/3)+1,对接源_01入库吨位!$S$5:$S$304,0))),IF($D344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4" s="52" t="str">
        <f aca="false">IF($B344="","",ROUND(N($F344)/1000,3))</f>
        <v/>
      </c>
      <c r="H344" s="74"/>
      <c r="I344" s="44"/>
      <c r="J344" s="75" t="str">
        <f aca="false">IF($B344="","",IF($H344="按筐数×单价",N($E344),IF($H344="按总重KG×单价",N($F344),IF($H344="按吨位×单价",N($G344),0))))</f>
        <v/>
      </c>
      <c r="K344" s="41" t="str">
        <f aca="false">IF($B344="","",ROUND(N($J344)*N($I344),2))</f>
        <v/>
      </c>
      <c r="L344" s="42"/>
      <c r="M344" s="76"/>
      <c r="N344" s="43"/>
      <c r="R344" s="77" t="str">
        <f aca="false">IF($B344="","",$B344)</f>
        <v/>
      </c>
      <c r="S344" s="77" t="n">
        <f aca="false">IF($R344="",0,IF(MATCH($R344,$R$5:$R$904,0)=ROW()-4,1,0))</f>
        <v>0</v>
      </c>
      <c r="T344" s="77" t="n">
        <f aca="false">N(T343)+$S344</f>
        <v>18</v>
      </c>
    </row>
    <row r="345" customFormat="false" ht="13.5" hidden="false" customHeight="false" outlineLevel="0" collapsed="false">
      <c r="A345" s="9" t="str">
        <f aca="false">IF($B345="","",ROW()-4)</f>
        <v/>
      </c>
      <c r="B345" s="39" t="str">
        <f aca="false">IFERROR(INDEX(对接源_01入库吨位!$B$5:$B$304,MATCH(INT((ROW()-5)/3)+1,对接源_01入库吨位!$S$5:$S$304,0)),"")</f>
        <v/>
      </c>
      <c r="C345" s="39" t="str">
        <f aca="false">IFERROR(INDEX(对接源_01入库吨位!$C$5:$C$304,MATCH(INT((ROW()-5)/3)+1,对接源_01入库吨位!$S$5:$S$304,0)),"")</f>
        <v/>
      </c>
      <c r="D345" s="40" t="str">
        <f aca="false">IF($B345="","",IF(MOD(ROW()-5,3)=0,"周转打冷",IF(MOD(ROW()-5,3)=1,"仓储加工","装卸费")))</f>
        <v/>
      </c>
      <c r="E345" s="51" t="str">
        <f aca="false">IF($B345="","",IFERROR(IF($D345="周转打冷",N(INDEX(对接源_01入库吨位!$D$5:$D$304,MATCH(INT((ROW()-5)/3)+1,对接源_01入库吨位!$S$5:$S$304,0))),IF($D345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5" s="41" t="str">
        <f aca="false">IF($B345="","",ROUND(IFERROR(IF($D345="周转打冷",N(INDEX(对接源_01入库吨位!$H$5:$H$304,MATCH(INT((ROW()-5)/3)+1,对接源_01入库吨位!$S$5:$S$304,0))),IF($D345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5" s="52" t="str">
        <f aca="false">IF($B345="","",ROUND(N($F345)/1000,3))</f>
        <v/>
      </c>
      <c r="H345" s="74"/>
      <c r="I345" s="44"/>
      <c r="J345" s="75" t="str">
        <f aca="false">IF($B345="","",IF($H345="按筐数×单价",N($E345),IF($H345="按总重KG×单价",N($F345),IF($H345="按吨位×单价",N($G345),0))))</f>
        <v/>
      </c>
      <c r="K345" s="41" t="str">
        <f aca="false">IF($B345="","",ROUND(N($J345)*N($I345),2))</f>
        <v/>
      </c>
      <c r="L345" s="42"/>
      <c r="M345" s="76"/>
      <c r="N345" s="43"/>
      <c r="R345" s="77" t="str">
        <f aca="false">IF($B345="","",$B345)</f>
        <v/>
      </c>
      <c r="S345" s="77" t="n">
        <f aca="false">IF($R345="",0,IF(MATCH($R345,$R$5:$R$904,0)=ROW()-4,1,0))</f>
        <v>0</v>
      </c>
      <c r="T345" s="77" t="n">
        <f aca="false">N(T344)+$S345</f>
        <v>18</v>
      </c>
    </row>
    <row r="346" customFormat="false" ht="13.5" hidden="false" customHeight="false" outlineLevel="0" collapsed="false">
      <c r="A346" s="9" t="str">
        <f aca="false">IF($B346="","",ROW()-4)</f>
        <v/>
      </c>
      <c r="B346" s="39" t="str">
        <f aca="false">IFERROR(INDEX(对接源_01入库吨位!$B$5:$B$304,MATCH(INT((ROW()-5)/3)+1,对接源_01入库吨位!$S$5:$S$304,0)),"")</f>
        <v/>
      </c>
      <c r="C346" s="39" t="str">
        <f aca="false">IFERROR(INDEX(对接源_01入库吨位!$C$5:$C$304,MATCH(INT((ROW()-5)/3)+1,对接源_01入库吨位!$S$5:$S$304,0)),"")</f>
        <v/>
      </c>
      <c r="D346" s="40" t="str">
        <f aca="false">IF($B346="","",IF(MOD(ROW()-5,3)=0,"周转打冷",IF(MOD(ROW()-5,3)=1,"仓储加工","装卸费")))</f>
        <v/>
      </c>
      <c r="E346" s="51" t="str">
        <f aca="false">IF($B346="","",IFERROR(IF($D346="周转打冷",N(INDEX(对接源_01入库吨位!$D$5:$D$304,MATCH(INT((ROW()-5)/3)+1,对接源_01入库吨位!$S$5:$S$304,0))),IF($D346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6" s="41" t="str">
        <f aca="false">IF($B346="","",ROUND(IFERROR(IF($D346="周转打冷",N(INDEX(对接源_01入库吨位!$H$5:$H$304,MATCH(INT((ROW()-5)/3)+1,对接源_01入库吨位!$S$5:$S$304,0))),IF($D346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6" s="52" t="str">
        <f aca="false">IF($B346="","",ROUND(N($F346)/1000,3))</f>
        <v/>
      </c>
      <c r="H346" s="74"/>
      <c r="I346" s="44"/>
      <c r="J346" s="75" t="str">
        <f aca="false">IF($B346="","",IF($H346="按筐数×单价",N($E346),IF($H346="按总重KG×单价",N($F346),IF($H346="按吨位×单价",N($G346),0))))</f>
        <v/>
      </c>
      <c r="K346" s="41" t="str">
        <f aca="false">IF($B346="","",ROUND(N($J346)*N($I346),2))</f>
        <v/>
      </c>
      <c r="L346" s="42"/>
      <c r="M346" s="76"/>
      <c r="N346" s="43"/>
      <c r="R346" s="77" t="str">
        <f aca="false">IF($B346="","",$B346)</f>
        <v/>
      </c>
      <c r="S346" s="77" t="n">
        <f aca="false">IF($R346="",0,IF(MATCH($R346,$R$5:$R$904,0)=ROW()-4,1,0))</f>
        <v>0</v>
      </c>
      <c r="T346" s="77" t="n">
        <f aca="false">N(T345)+$S346</f>
        <v>18</v>
      </c>
    </row>
    <row r="347" customFormat="false" ht="13.5" hidden="false" customHeight="false" outlineLevel="0" collapsed="false">
      <c r="A347" s="9" t="str">
        <f aca="false">IF($B347="","",ROW()-4)</f>
        <v/>
      </c>
      <c r="B347" s="39" t="str">
        <f aca="false">IFERROR(INDEX(对接源_01入库吨位!$B$5:$B$304,MATCH(INT((ROW()-5)/3)+1,对接源_01入库吨位!$S$5:$S$304,0)),"")</f>
        <v/>
      </c>
      <c r="C347" s="39" t="str">
        <f aca="false">IFERROR(INDEX(对接源_01入库吨位!$C$5:$C$304,MATCH(INT((ROW()-5)/3)+1,对接源_01入库吨位!$S$5:$S$304,0)),"")</f>
        <v/>
      </c>
      <c r="D347" s="40" t="str">
        <f aca="false">IF($B347="","",IF(MOD(ROW()-5,3)=0,"周转打冷",IF(MOD(ROW()-5,3)=1,"仓储加工","装卸费")))</f>
        <v/>
      </c>
      <c r="E347" s="51" t="str">
        <f aca="false">IF($B347="","",IFERROR(IF($D347="周转打冷",N(INDEX(对接源_01入库吨位!$D$5:$D$304,MATCH(INT((ROW()-5)/3)+1,对接源_01入库吨位!$S$5:$S$304,0))),IF($D347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7" s="41" t="str">
        <f aca="false">IF($B347="","",ROUND(IFERROR(IF($D347="周转打冷",N(INDEX(对接源_01入库吨位!$H$5:$H$304,MATCH(INT((ROW()-5)/3)+1,对接源_01入库吨位!$S$5:$S$304,0))),IF($D347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7" s="52" t="str">
        <f aca="false">IF($B347="","",ROUND(N($F347)/1000,3))</f>
        <v/>
      </c>
      <c r="H347" s="74"/>
      <c r="I347" s="44"/>
      <c r="J347" s="75" t="str">
        <f aca="false">IF($B347="","",IF($H347="按筐数×单价",N($E347),IF($H347="按总重KG×单价",N($F347),IF($H347="按吨位×单价",N($G347),0))))</f>
        <v/>
      </c>
      <c r="K347" s="41" t="str">
        <f aca="false">IF($B347="","",ROUND(N($J347)*N($I347),2))</f>
        <v/>
      </c>
      <c r="L347" s="42"/>
      <c r="M347" s="76"/>
      <c r="N347" s="43"/>
      <c r="R347" s="77" t="str">
        <f aca="false">IF($B347="","",$B347)</f>
        <v/>
      </c>
      <c r="S347" s="77" t="n">
        <f aca="false">IF($R347="",0,IF(MATCH($R347,$R$5:$R$904,0)=ROW()-4,1,0))</f>
        <v>0</v>
      </c>
      <c r="T347" s="77" t="n">
        <f aca="false">N(T346)+$S347</f>
        <v>18</v>
      </c>
    </row>
    <row r="348" customFormat="false" ht="13.5" hidden="false" customHeight="false" outlineLevel="0" collapsed="false">
      <c r="A348" s="9" t="str">
        <f aca="false">IF($B348="","",ROW()-4)</f>
        <v/>
      </c>
      <c r="B348" s="39" t="str">
        <f aca="false">IFERROR(INDEX(对接源_01入库吨位!$B$5:$B$304,MATCH(INT((ROW()-5)/3)+1,对接源_01入库吨位!$S$5:$S$304,0)),"")</f>
        <v/>
      </c>
      <c r="C348" s="39" t="str">
        <f aca="false">IFERROR(INDEX(对接源_01入库吨位!$C$5:$C$304,MATCH(INT((ROW()-5)/3)+1,对接源_01入库吨位!$S$5:$S$304,0)),"")</f>
        <v/>
      </c>
      <c r="D348" s="40" t="str">
        <f aca="false">IF($B348="","",IF(MOD(ROW()-5,3)=0,"周转打冷",IF(MOD(ROW()-5,3)=1,"仓储加工","装卸费")))</f>
        <v/>
      </c>
      <c r="E348" s="51" t="str">
        <f aca="false">IF($B348="","",IFERROR(IF($D348="周转打冷",N(INDEX(对接源_01入库吨位!$D$5:$D$304,MATCH(INT((ROW()-5)/3)+1,对接源_01入库吨位!$S$5:$S$304,0))),IF($D348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8" s="41" t="str">
        <f aca="false">IF($B348="","",ROUND(IFERROR(IF($D348="周转打冷",N(INDEX(对接源_01入库吨位!$H$5:$H$304,MATCH(INT((ROW()-5)/3)+1,对接源_01入库吨位!$S$5:$S$304,0))),IF($D348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8" s="52" t="str">
        <f aca="false">IF($B348="","",ROUND(N($F348)/1000,3))</f>
        <v/>
      </c>
      <c r="H348" s="74"/>
      <c r="I348" s="44"/>
      <c r="J348" s="75" t="str">
        <f aca="false">IF($B348="","",IF($H348="按筐数×单价",N($E348),IF($H348="按总重KG×单价",N($F348),IF($H348="按吨位×单价",N($G348),0))))</f>
        <v/>
      </c>
      <c r="K348" s="41" t="str">
        <f aca="false">IF($B348="","",ROUND(N($J348)*N($I348),2))</f>
        <v/>
      </c>
      <c r="L348" s="42"/>
      <c r="M348" s="76"/>
      <c r="N348" s="43"/>
      <c r="R348" s="77" t="str">
        <f aca="false">IF($B348="","",$B348)</f>
        <v/>
      </c>
      <c r="S348" s="77" t="n">
        <f aca="false">IF($R348="",0,IF(MATCH($R348,$R$5:$R$904,0)=ROW()-4,1,0))</f>
        <v>0</v>
      </c>
      <c r="T348" s="77" t="n">
        <f aca="false">N(T347)+$S348</f>
        <v>18</v>
      </c>
    </row>
    <row r="349" customFormat="false" ht="13.5" hidden="false" customHeight="false" outlineLevel="0" collapsed="false">
      <c r="A349" s="9" t="str">
        <f aca="false">IF($B349="","",ROW()-4)</f>
        <v/>
      </c>
      <c r="B349" s="39" t="str">
        <f aca="false">IFERROR(INDEX(对接源_01入库吨位!$B$5:$B$304,MATCH(INT((ROW()-5)/3)+1,对接源_01入库吨位!$S$5:$S$304,0)),"")</f>
        <v/>
      </c>
      <c r="C349" s="39" t="str">
        <f aca="false">IFERROR(INDEX(对接源_01入库吨位!$C$5:$C$304,MATCH(INT((ROW()-5)/3)+1,对接源_01入库吨位!$S$5:$S$304,0)),"")</f>
        <v/>
      </c>
      <c r="D349" s="40" t="str">
        <f aca="false">IF($B349="","",IF(MOD(ROW()-5,3)=0,"周转打冷",IF(MOD(ROW()-5,3)=1,"仓储加工","装卸费")))</f>
        <v/>
      </c>
      <c r="E349" s="51" t="str">
        <f aca="false">IF($B349="","",IFERROR(IF($D349="周转打冷",N(INDEX(对接源_01入库吨位!$D$5:$D$304,MATCH(INT((ROW()-5)/3)+1,对接源_01入库吨位!$S$5:$S$304,0))),IF($D349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49" s="41" t="str">
        <f aca="false">IF($B349="","",ROUND(IFERROR(IF($D349="周转打冷",N(INDEX(对接源_01入库吨位!$H$5:$H$304,MATCH(INT((ROW()-5)/3)+1,对接源_01入库吨位!$S$5:$S$304,0))),IF($D349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49" s="52" t="str">
        <f aca="false">IF($B349="","",ROUND(N($F349)/1000,3))</f>
        <v/>
      </c>
      <c r="H349" s="74"/>
      <c r="I349" s="44"/>
      <c r="J349" s="75" t="str">
        <f aca="false">IF($B349="","",IF($H349="按筐数×单价",N($E349),IF($H349="按总重KG×单价",N($F349),IF($H349="按吨位×单价",N($G349),0))))</f>
        <v/>
      </c>
      <c r="K349" s="41" t="str">
        <f aca="false">IF($B349="","",ROUND(N($J349)*N($I349),2))</f>
        <v/>
      </c>
      <c r="L349" s="42"/>
      <c r="M349" s="76"/>
      <c r="N349" s="43"/>
      <c r="R349" s="77" t="str">
        <f aca="false">IF($B349="","",$B349)</f>
        <v/>
      </c>
      <c r="S349" s="77" t="n">
        <f aca="false">IF($R349="",0,IF(MATCH($R349,$R$5:$R$904,0)=ROW()-4,1,0))</f>
        <v>0</v>
      </c>
      <c r="T349" s="77" t="n">
        <f aca="false">N(T348)+$S349</f>
        <v>18</v>
      </c>
    </row>
    <row r="350" customFormat="false" ht="13.5" hidden="false" customHeight="false" outlineLevel="0" collapsed="false">
      <c r="A350" s="9" t="str">
        <f aca="false">IF($B350="","",ROW()-4)</f>
        <v/>
      </c>
      <c r="B350" s="39" t="str">
        <f aca="false">IFERROR(INDEX(对接源_01入库吨位!$B$5:$B$304,MATCH(INT((ROW()-5)/3)+1,对接源_01入库吨位!$S$5:$S$304,0)),"")</f>
        <v/>
      </c>
      <c r="C350" s="39" t="str">
        <f aca="false">IFERROR(INDEX(对接源_01入库吨位!$C$5:$C$304,MATCH(INT((ROW()-5)/3)+1,对接源_01入库吨位!$S$5:$S$304,0)),"")</f>
        <v/>
      </c>
      <c r="D350" s="40" t="str">
        <f aca="false">IF($B350="","",IF(MOD(ROW()-5,3)=0,"周转打冷",IF(MOD(ROW()-5,3)=1,"仓储加工","装卸费")))</f>
        <v/>
      </c>
      <c r="E350" s="51" t="str">
        <f aca="false">IF($B350="","",IFERROR(IF($D350="周转打冷",N(INDEX(对接源_01入库吨位!$D$5:$D$304,MATCH(INT((ROW()-5)/3)+1,对接源_01入库吨位!$S$5:$S$304,0))),IF($D350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0" s="41" t="str">
        <f aca="false">IF($B350="","",ROUND(IFERROR(IF($D350="周转打冷",N(INDEX(对接源_01入库吨位!$H$5:$H$304,MATCH(INT((ROW()-5)/3)+1,对接源_01入库吨位!$S$5:$S$304,0))),IF($D350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0" s="52" t="str">
        <f aca="false">IF($B350="","",ROUND(N($F350)/1000,3))</f>
        <v/>
      </c>
      <c r="H350" s="74"/>
      <c r="I350" s="44"/>
      <c r="J350" s="75" t="str">
        <f aca="false">IF($B350="","",IF($H350="按筐数×单价",N($E350),IF($H350="按总重KG×单价",N($F350),IF($H350="按吨位×单价",N($G350),0))))</f>
        <v/>
      </c>
      <c r="K350" s="41" t="str">
        <f aca="false">IF($B350="","",ROUND(N($J350)*N($I350),2))</f>
        <v/>
      </c>
      <c r="L350" s="42"/>
      <c r="M350" s="76"/>
      <c r="N350" s="43"/>
      <c r="R350" s="77" t="str">
        <f aca="false">IF($B350="","",$B350)</f>
        <v/>
      </c>
      <c r="S350" s="77" t="n">
        <f aca="false">IF($R350="",0,IF(MATCH($R350,$R$5:$R$904,0)=ROW()-4,1,0))</f>
        <v>0</v>
      </c>
      <c r="T350" s="77" t="n">
        <f aca="false">N(T349)+$S350</f>
        <v>18</v>
      </c>
    </row>
    <row r="351" customFormat="false" ht="13.5" hidden="false" customHeight="false" outlineLevel="0" collapsed="false">
      <c r="A351" s="9" t="str">
        <f aca="false">IF($B351="","",ROW()-4)</f>
        <v/>
      </c>
      <c r="B351" s="39" t="str">
        <f aca="false">IFERROR(INDEX(对接源_01入库吨位!$B$5:$B$304,MATCH(INT((ROW()-5)/3)+1,对接源_01入库吨位!$S$5:$S$304,0)),"")</f>
        <v/>
      </c>
      <c r="C351" s="39" t="str">
        <f aca="false">IFERROR(INDEX(对接源_01入库吨位!$C$5:$C$304,MATCH(INT((ROW()-5)/3)+1,对接源_01入库吨位!$S$5:$S$304,0)),"")</f>
        <v/>
      </c>
      <c r="D351" s="40" t="str">
        <f aca="false">IF($B351="","",IF(MOD(ROW()-5,3)=0,"周转打冷",IF(MOD(ROW()-5,3)=1,"仓储加工","装卸费")))</f>
        <v/>
      </c>
      <c r="E351" s="51" t="str">
        <f aca="false">IF($B351="","",IFERROR(IF($D351="周转打冷",N(INDEX(对接源_01入库吨位!$D$5:$D$304,MATCH(INT((ROW()-5)/3)+1,对接源_01入库吨位!$S$5:$S$304,0))),IF($D351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1" s="41" t="str">
        <f aca="false">IF($B351="","",ROUND(IFERROR(IF($D351="周转打冷",N(INDEX(对接源_01入库吨位!$H$5:$H$304,MATCH(INT((ROW()-5)/3)+1,对接源_01入库吨位!$S$5:$S$304,0))),IF($D351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1" s="52" t="str">
        <f aca="false">IF($B351="","",ROUND(N($F351)/1000,3))</f>
        <v/>
      </c>
      <c r="H351" s="74"/>
      <c r="I351" s="44"/>
      <c r="J351" s="75" t="str">
        <f aca="false">IF($B351="","",IF($H351="按筐数×单价",N($E351),IF($H351="按总重KG×单价",N($F351),IF($H351="按吨位×单价",N($G351),0))))</f>
        <v/>
      </c>
      <c r="K351" s="41" t="str">
        <f aca="false">IF($B351="","",ROUND(N($J351)*N($I351),2))</f>
        <v/>
      </c>
      <c r="L351" s="42"/>
      <c r="M351" s="76"/>
      <c r="N351" s="43"/>
      <c r="R351" s="77" t="str">
        <f aca="false">IF($B351="","",$B351)</f>
        <v/>
      </c>
      <c r="S351" s="77" t="n">
        <f aca="false">IF($R351="",0,IF(MATCH($R351,$R$5:$R$904,0)=ROW()-4,1,0))</f>
        <v>0</v>
      </c>
      <c r="T351" s="77" t="n">
        <f aca="false">N(T350)+$S351</f>
        <v>18</v>
      </c>
    </row>
    <row r="352" customFormat="false" ht="13.5" hidden="false" customHeight="false" outlineLevel="0" collapsed="false">
      <c r="A352" s="9" t="str">
        <f aca="false">IF($B352="","",ROW()-4)</f>
        <v/>
      </c>
      <c r="B352" s="39" t="str">
        <f aca="false">IFERROR(INDEX(对接源_01入库吨位!$B$5:$B$304,MATCH(INT((ROW()-5)/3)+1,对接源_01入库吨位!$S$5:$S$304,0)),"")</f>
        <v/>
      </c>
      <c r="C352" s="39" t="str">
        <f aca="false">IFERROR(INDEX(对接源_01入库吨位!$C$5:$C$304,MATCH(INT((ROW()-5)/3)+1,对接源_01入库吨位!$S$5:$S$304,0)),"")</f>
        <v/>
      </c>
      <c r="D352" s="40" t="str">
        <f aca="false">IF($B352="","",IF(MOD(ROW()-5,3)=0,"周转打冷",IF(MOD(ROW()-5,3)=1,"仓储加工","装卸费")))</f>
        <v/>
      </c>
      <c r="E352" s="51" t="str">
        <f aca="false">IF($B352="","",IFERROR(IF($D352="周转打冷",N(INDEX(对接源_01入库吨位!$D$5:$D$304,MATCH(INT((ROW()-5)/3)+1,对接源_01入库吨位!$S$5:$S$304,0))),IF($D352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2" s="41" t="str">
        <f aca="false">IF($B352="","",ROUND(IFERROR(IF($D352="周转打冷",N(INDEX(对接源_01入库吨位!$H$5:$H$304,MATCH(INT((ROW()-5)/3)+1,对接源_01入库吨位!$S$5:$S$304,0))),IF($D352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2" s="52" t="str">
        <f aca="false">IF($B352="","",ROUND(N($F352)/1000,3))</f>
        <v/>
      </c>
      <c r="H352" s="74"/>
      <c r="I352" s="44"/>
      <c r="J352" s="75" t="str">
        <f aca="false">IF($B352="","",IF($H352="按筐数×单价",N($E352),IF($H352="按总重KG×单价",N($F352),IF($H352="按吨位×单价",N($G352),0))))</f>
        <v/>
      </c>
      <c r="K352" s="41" t="str">
        <f aca="false">IF($B352="","",ROUND(N($J352)*N($I352),2))</f>
        <v/>
      </c>
      <c r="L352" s="42"/>
      <c r="M352" s="76"/>
      <c r="N352" s="43"/>
      <c r="R352" s="77" t="str">
        <f aca="false">IF($B352="","",$B352)</f>
        <v/>
      </c>
      <c r="S352" s="77" t="n">
        <f aca="false">IF($R352="",0,IF(MATCH($R352,$R$5:$R$904,0)=ROW()-4,1,0))</f>
        <v>0</v>
      </c>
      <c r="T352" s="77" t="n">
        <f aca="false">N(T351)+$S352</f>
        <v>18</v>
      </c>
    </row>
    <row r="353" customFormat="false" ht="13.5" hidden="false" customHeight="false" outlineLevel="0" collapsed="false">
      <c r="A353" s="9" t="str">
        <f aca="false">IF($B353="","",ROW()-4)</f>
        <v/>
      </c>
      <c r="B353" s="39" t="str">
        <f aca="false">IFERROR(INDEX(对接源_01入库吨位!$B$5:$B$304,MATCH(INT((ROW()-5)/3)+1,对接源_01入库吨位!$S$5:$S$304,0)),"")</f>
        <v/>
      </c>
      <c r="C353" s="39" t="str">
        <f aca="false">IFERROR(INDEX(对接源_01入库吨位!$C$5:$C$304,MATCH(INT((ROW()-5)/3)+1,对接源_01入库吨位!$S$5:$S$304,0)),"")</f>
        <v/>
      </c>
      <c r="D353" s="40" t="str">
        <f aca="false">IF($B353="","",IF(MOD(ROW()-5,3)=0,"周转打冷",IF(MOD(ROW()-5,3)=1,"仓储加工","装卸费")))</f>
        <v/>
      </c>
      <c r="E353" s="51" t="str">
        <f aca="false">IF($B353="","",IFERROR(IF($D353="周转打冷",N(INDEX(对接源_01入库吨位!$D$5:$D$304,MATCH(INT((ROW()-5)/3)+1,对接源_01入库吨位!$S$5:$S$304,0))),IF($D353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3" s="41" t="str">
        <f aca="false">IF($B353="","",ROUND(IFERROR(IF($D353="周转打冷",N(INDEX(对接源_01入库吨位!$H$5:$H$304,MATCH(INT((ROW()-5)/3)+1,对接源_01入库吨位!$S$5:$S$304,0))),IF($D353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3" s="52" t="str">
        <f aca="false">IF($B353="","",ROUND(N($F353)/1000,3))</f>
        <v/>
      </c>
      <c r="H353" s="74"/>
      <c r="I353" s="44"/>
      <c r="J353" s="75" t="str">
        <f aca="false">IF($B353="","",IF($H353="按筐数×单价",N($E353),IF($H353="按总重KG×单价",N($F353),IF($H353="按吨位×单价",N($G353),0))))</f>
        <v/>
      </c>
      <c r="K353" s="41" t="str">
        <f aca="false">IF($B353="","",ROUND(N($J353)*N($I353),2))</f>
        <v/>
      </c>
      <c r="L353" s="42"/>
      <c r="M353" s="76"/>
      <c r="N353" s="43"/>
      <c r="R353" s="77" t="str">
        <f aca="false">IF($B353="","",$B353)</f>
        <v/>
      </c>
      <c r="S353" s="77" t="n">
        <f aca="false">IF($R353="",0,IF(MATCH($R353,$R$5:$R$904,0)=ROW()-4,1,0))</f>
        <v>0</v>
      </c>
      <c r="T353" s="77" t="n">
        <f aca="false">N(T352)+$S353</f>
        <v>18</v>
      </c>
    </row>
    <row r="354" customFormat="false" ht="13.5" hidden="false" customHeight="false" outlineLevel="0" collapsed="false">
      <c r="A354" s="9" t="str">
        <f aca="false">IF($B354="","",ROW()-4)</f>
        <v/>
      </c>
      <c r="B354" s="39" t="str">
        <f aca="false">IFERROR(INDEX(对接源_01入库吨位!$B$5:$B$304,MATCH(INT((ROW()-5)/3)+1,对接源_01入库吨位!$S$5:$S$304,0)),"")</f>
        <v/>
      </c>
      <c r="C354" s="39" t="str">
        <f aca="false">IFERROR(INDEX(对接源_01入库吨位!$C$5:$C$304,MATCH(INT((ROW()-5)/3)+1,对接源_01入库吨位!$S$5:$S$304,0)),"")</f>
        <v/>
      </c>
      <c r="D354" s="40" t="str">
        <f aca="false">IF($B354="","",IF(MOD(ROW()-5,3)=0,"周转打冷",IF(MOD(ROW()-5,3)=1,"仓储加工","装卸费")))</f>
        <v/>
      </c>
      <c r="E354" s="51" t="str">
        <f aca="false">IF($B354="","",IFERROR(IF($D354="周转打冷",N(INDEX(对接源_01入库吨位!$D$5:$D$304,MATCH(INT((ROW()-5)/3)+1,对接源_01入库吨位!$S$5:$S$304,0))),IF($D354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4" s="41" t="str">
        <f aca="false">IF($B354="","",ROUND(IFERROR(IF($D354="周转打冷",N(INDEX(对接源_01入库吨位!$H$5:$H$304,MATCH(INT((ROW()-5)/3)+1,对接源_01入库吨位!$S$5:$S$304,0))),IF($D354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4" s="52" t="str">
        <f aca="false">IF($B354="","",ROUND(N($F354)/1000,3))</f>
        <v/>
      </c>
      <c r="H354" s="74"/>
      <c r="I354" s="44"/>
      <c r="J354" s="75" t="str">
        <f aca="false">IF($B354="","",IF($H354="按筐数×单价",N($E354),IF($H354="按总重KG×单价",N($F354),IF($H354="按吨位×单价",N($G354),0))))</f>
        <v/>
      </c>
      <c r="K354" s="41" t="str">
        <f aca="false">IF($B354="","",ROUND(N($J354)*N($I354),2))</f>
        <v/>
      </c>
      <c r="L354" s="42"/>
      <c r="M354" s="76"/>
      <c r="N354" s="43"/>
      <c r="R354" s="77" t="str">
        <f aca="false">IF($B354="","",$B354)</f>
        <v/>
      </c>
      <c r="S354" s="77" t="n">
        <f aca="false">IF($R354="",0,IF(MATCH($R354,$R$5:$R$904,0)=ROW()-4,1,0))</f>
        <v>0</v>
      </c>
      <c r="T354" s="77" t="n">
        <f aca="false">N(T353)+$S354</f>
        <v>18</v>
      </c>
    </row>
    <row r="355" customFormat="false" ht="13.5" hidden="false" customHeight="false" outlineLevel="0" collapsed="false">
      <c r="A355" s="9" t="str">
        <f aca="false">IF($B355="","",ROW()-4)</f>
        <v/>
      </c>
      <c r="B355" s="39" t="str">
        <f aca="false">IFERROR(INDEX(对接源_01入库吨位!$B$5:$B$304,MATCH(INT((ROW()-5)/3)+1,对接源_01入库吨位!$S$5:$S$304,0)),"")</f>
        <v/>
      </c>
      <c r="C355" s="39" t="str">
        <f aca="false">IFERROR(INDEX(对接源_01入库吨位!$C$5:$C$304,MATCH(INT((ROW()-5)/3)+1,对接源_01入库吨位!$S$5:$S$304,0)),"")</f>
        <v/>
      </c>
      <c r="D355" s="40" t="str">
        <f aca="false">IF($B355="","",IF(MOD(ROW()-5,3)=0,"周转打冷",IF(MOD(ROW()-5,3)=1,"仓储加工","装卸费")))</f>
        <v/>
      </c>
      <c r="E355" s="51" t="str">
        <f aca="false">IF($B355="","",IFERROR(IF($D355="周转打冷",N(INDEX(对接源_01入库吨位!$D$5:$D$304,MATCH(INT((ROW()-5)/3)+1,对接源_01入库吨位!$S$5:$S$304,0))),IF($D355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5" s="41" t="str">
        <f aca="false">IF($B355="","",ROUND(IFERROR(IF($D355="周转打冷",N(INDEX(对接源_01入库吨位!$H$5:$H$304,MATCH(INT((ROW()-5)/3)+1,对接源_01入库吨位!$S$5:$S$304,0))),IF($D355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5" s="52" t="str">
        <f aca="false">IF($B355="","",ROUND(N($F355)/1000,3))</f>
        <v/>
      </c>
      <c r="H355" s="74"/>
      <c r="I355" s="44"/>
      <c r="J355" s="75" t="str">
        <f aca="false">IF($B355="","",IF($H355="按筐数×单价",N($E355),IF($H355="按总重KG×单价",N($F355),IF($H355="按吨位×单价",N($G355),0))))</f>
        <v/>
      </c>
      <c r="K355" s="41" t="str">
        <f aca="false">IF($B355="","",ROUND(N($J355)*N($I355),2))</f>
        <v/>
      </c>
      <c r="L355" s="42"/>
      <c r="M355" s="76"/>
      <c r="N355" s="43"/>
      <c r="R355" s="77" t="str">
        <f aca="false">IF($B355="","",$B355)</f>
        <v/>
      </c>
      <c r="S355" s="77" t="n">
        <f aca="false">IF($R355="",0,IF(MATCH($R355,$R$5:$R$904,0)=ROW()-4,1,0))</f>
        <v>0</v>
      </c>
      <c r="T355" s="77" t="n">
        <f aca="false">N(T354)+$S355</f>
        <v>18</v>
      </c>
    </row>
    <row r="356" customFormat="false" ht="13.5" hidden="false" customHeight="false" outlineLevel="0" collapsed="false">
      <c r="A356" s="9" t="str">
        <f aca="false">IF($B356="","",ROW()-4)</f>
        <v/>
      </c>
      <c r="B356" s="39" t="str">
        <f aca="false">IFERROR(INDEX(对接源_01入库吨位!$B$5:$B$304,MATCH(INT((ROW()-5)/3)+1,对接源_01入库吨位!$S$5:$S$304,0)),"")</f>
        <v/>
      </c>
      <c r="C356" s="39" t="str">
        <f aca="false">IFERROR(INDEX(对接源_01入库吨位!$C$5:$C$304,MATCH(INT((ROW()-5)/3)+1,对接源_01入库吨位!$S$5:$S$304,0)),"")</f>
        <v/>
      </c>
      <c r="D356" s="40" t="str">
        <f aca="false">IF($B356="","",IF(MOD(ROW()-5,3)=0,"周转打冷",IF(MOD(ROW()-5,3)=1,"仓储加工","装卸费")))</f>
        <v/>
      </c>
      <c r="E356" s="51" t="str">
        <f aca="false">IF($B356="","",IFERROR(IF($D356="周转打冷",N(INDEX(对接源_01入库吨位!$D$5:$D$304,MATCH(INT((ROW()-5)/3)+1,对接源_01入库吨位!$S$5:$S$304,0))),IF($D356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6" s="41" t="str">
        <f aca="false">IF($B356="","",ROUND(IFERROR(IF($D356="周转打冷",N(INDEX(对接源_01入库吨位!$H$5:$H$304,MATCH(INT((ROW()-5)/3)+1,对接源_01入库吨位!$S$5:$S$304,0))),IF($D356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6" s="52" t="str">
        <f aca="false">IF($B356="","",ROUND(N($F356)/1000,3))</f>
        <v/>
      </c>
      <c r="H356" s="74"/>
      <c r="I356" s="44"/>
      <c r="J356" s="75" t="str">
        <f aca="false">IF($B356="","",IF($H356="按筐数×单价",N($E356),IF($H356="按总重KG×单价",N($F356),IF($H356="按吨位×单价",N($G356),0))))</f>
        <v/>
      </c>
      <c r="K356" s="41" t="str">
        <f aca="false">IF($B356="","",ROUND(N($J356)*N($I356),2))</f>
        <v/>
      </c>
      <c r="L356" s="42"/>
      <c r="M356" s="76"/>
      <c r="N356" s="43"/>
      <c r="R356" s="77" t="str">
        <f aca="false">IF($B356="","",$B356)</f>
        <v/>
      </c>
      <c r="S356" s="77" t="n">
        <f aca="false">IF($R356="",0,IF(MATCH($R356,$R$5:$R$904,0)=ROW()-4,1,0))</f>
        <v>0</v>
      </c>
      <c r="T356" s="77" t="n">
        <f aca="false">N(T355)+$S356</f>
        <v>18</v>
      </c>
    </row>
    <row r="357" customFormat="false" ht="13.5" hidden="false" customHeight="false" outlineLevel="0" collapsed="false">
      <c r="A357" s="9" t="str">
        <f aca="false">IF($B357="","",ROW()-4)</f>
        <v/>
      </c>
      <c r="B357" s="39" t="str">
        <f aca="false">IFERROR(INDEX(对接源_01入库吨位!$B$5:$B$304,MATCH(INT((ROW()-5)/3)+1,对接源_01入库吨位!$S$5:$S$304,0)),"")</f>
        <v/>
      </c>
      <c r="C357" s="39" t="str">
        <f aca="false">IFERROR(INDEX(对接源_01入库吨位!$C$5:$C$304,MATCH(INT((ROW()-5)/3)+1,对接源_01入库吨位!$S$5:$S$304,0)),"")</f>
        <v/>
      </c>
      <c r="D357" s="40" t="str">
        <f aca="false">IF($B357="","",IF(MOD(ROW()-5,3)=0,"周转打冷",IF(MOD(ROW()-5,3)=1,"仓储加工","装卸费")))</f>
        <v/>
      </c>
      <c r="E357" s="51" t="str">
        <f aca="false">IF($B357="","",IFERROR(IF($D357="周转打冷",N(INDEX(对接源_01入库吨位!$D$5:$D$304,MATCH(INT((ROW()-5)/3)+1,对接源_01入库吨位!$S$5:$S$304,0))),IF($D357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7" s="41" t="str">
        <f aca="false">IF($B357="","",ROUND(IFERROR(IF($D357="周转打冷",N(INDEX(对接源_01入库吨位!$H$5:$H$304,MATCH(INT((ROW()-5)/3)+1,对接源_01入库吨位!$S$5:$S$304,0))),IF($D357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7" s="52" t="str">
        <f aca="false">IF($B357="","",ROUND(N($F357)/1000,3))</f>
        <v/>
      </c>
      <c r="H357" s="74"/>
      <c r="I357" s="44"/>
      <c r="J357" s="75" t="str">
        <f aca="false">IF($B357="","",IF($H357="按筐数×单价",N($E357),IF($H357="按总重KG×单价",N($F357),IF($H357="按吨位×单价",N($G357),0))))</f>
        <v/>
      </c>
      <c r="K357" s="41" t="str">
        <f aca="false">IF($B357="","",ROUND(N($J357)*N($I357),2))</f>
        <v/>
      </c>
      <c r="L357" s="42"/>
      <c r="M357" s="76"/>
      <c r="N357" s="43"/>
      <c r="R357" s="77" t="str">
        <f aca="false">IF($B357="","",$B357)</f>
        <v/>
      </c>
      <c r="S357" s="77" t="n">
        <f aca="false">IF($R357="",0,IF(MATCH($R357,$R$5:$R$904,0)=ROW()-4,1,0))</f>
        <v>0</v>
      </c>
      <c r="T357" s="77" t="n">
        <f aca="false">N(T356)+$S357</f>
        <v>18</v>
      </c>
    </row>
    <row r="358" customFormat="false" ht="13.5" hidden="false" customHeight="false" outlineLevel="0" collapsed="false">
      <c r="A358" s="9" t="str">
        <f aca="false">IF($B358="","",ROW()-4)</f>
        <v/>
      </c>
      <c r="B358" s="39" t="str">
        <f aca="false">IFERROR(INDEX(对接源_01入库吨位!$B$5:$B$304,MATCH(INT((ROW()-5)/3)+1,对接源_01入库吨位!$S$5:$S$304,0)),"")</f>
        <v/>
      </c>
      <c r="C358" s="39" t="str">
        <f aca="false">IFERROR(INDEX(对接源_01入库吨位!$C$5:$C$304,MATCH(INT((ROW()-5)/3)+1,对接源_01入库吨位!$S$5:$S$304,0)),"")</f>
        <v/>
      </c>
      <c r="D358" s="40" t="str">
        <f aca="false">IF($B358="","",IF(MOD(ROW()-5,3)=0,"周转打冷",IF(MOD(ROW()-5,3)=1,"仓储加工","装卸费")))</f>
        <v/>
      </c>
      <c r="E358" s="51" t="str">
        <f aca="false">IF($B358="","",IFERROR(IF($D358="周转打冷",N(INDEX(对接源_01入库吨位!$D$5:$D$304,MATCH(INT((ROW()-5)/3)+1,对接源_01入库吨位!$S$5:$S$304,0))),IF($D358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8" s="41" t="str">
        <f aca="false">IF($B358="","",ROUND(IFERROR(IF($D358="周转打冷",N(INDEX(对接源_01入库吨位!$H$5:$H$304,MATCH(INT((ROW()-5)/3)+1,对接源_01入库吨位!$S$5:$S$304,0))),IF($D358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8" s="52" t="str">
        <f aca="false">IF($B358="","",ROUND(N($F358)/1000,3))</f>
        <v/>
      </c>
      <c r="H358" s="74"/>
      <c r="I358" s="44"/>
      <c r="J358" s="75" t="str">
        <f aca="false">IF($B358="","",IF($H358="按筐数×单价",N($E358),IF($H358="按总重KG×单价",N($F358),IF($H358="按吨位×单价",N($G358),0))))</f>
        <v/>
      </c>
      <c r="K358" s="41" t="str">
        <f aca="false">IF($B358="","",ROUND(N($J358)*N($I358),2))</f>
        <v/>
      </c>
      <c r="L358" s="42"/>
      <c r="M358" s="76"/>
      <c r="N358" s="43"/>
      <c r="R358" s="77" t="str">
        <f aca="false">IF($B358="","",$B358)</f>
        <v/>
      </c>
      <c r="S358" s="77" t="n">
        <f aca="false">IF($R358="",0,IF(MATCH($R358,$R$5:$R$904,0)=ROW()-4,1,0))</f>
        <v>0</v>
      </c>
      <c r="T358" s="77" t="n">
        <f aca="false">N(T357)+$S358</f>
        <v>18</v>
      </c>
    </row>
    <row r="359" customFormat="false" ht="13.5" hidden="false" customHeight="false" outlineLevel="0" collapsed="false">
      <c r="A359" s="9" t="str">
        <f aca="false">IF($B359="","",ROW()-4)</f>
        <v/>
      </c>
      <c r="B359" s="39" t="str">
        <f aca="false">IFERROR(INDEX(对接源_01入库吨位!$B$5:$B$304,MATCH(INT((ROW()-5)/3)+1,对接源_01入库吨位!$S$5:$S$304,0)),"")</f>
        <v/>
      </c>
      <c r="C359" s="39" t="str">
        <f aca="false">IFERROR(INDEX(对接源_01入库吨位!$C$5:$C$304,MATCH(INT((ROW()-5)/3)+1,对接源_01入库吨位!$S$5:$S$304,0)),"")</f>
        <v/>
      </c>
      <c r="D359" s="40" t="str">
        <f aca="false">IF($B359="","",IF(MOD(ROW()-5,3)=0,"周转打冷",IF(MOD(ROW()-5,3)=1,"仓储加工","装卸费")))</f>
        <v/>
      </c>
      <c r="E359" s="51" t="str">
        <f aca="false">IF($B359="","",IFERROR(IF($D359="周转打冷",N(INDEX(对接源_01入库吨位!$D$5:$D$304,MATCH(INT((ROW()-5)/3)+1,对接源_01入库吨位!$S$5:$S$304,0))),IF($D359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59" s="41" t="str">
        <f aca="false">IF($B359="","",ROUND(IFERROR(IF($D359="周转打冷",N(INDEX(对接源_01入库吨位!$H$5:$H$304,MATCH(INT((ROW()-5)/3)+1,对接源_01入库吨位!$S$5:$S$304,0))),IF($D359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59" s="52" t="str">
        <f aca="false">IF($B359="","",ROUND(N($F359)/1000,3))</f>
        <v/>
      </c>
      <c r="H359" s="74"/>
      <c r="I359" s="44"/>
      <c r="J359" s="75" t="str">
        <f aca="false">IF($B359="","",IF($H359="按筐数×单价",N($E359),IF($H359="按总重KG×单价",N($F359),IF($H359="按吨位×单价",N($G359),0))))</f>
        <v/>
      </c>
      <c r="K359" s="41" t="str">
        <f aca="false">IF($B359="","",ROUND(N($J359)*N($I359),2))</f>
        <v/>
      </c>
      <c r="L359" s="42"/>
      <c r="M359" s="76"/>
      <c r="N359" s="43"/>
      <c r="R359" s="77" t="str">
        <f aca="false">IF($B359="","",$B359)</f>
        <v/>
      </c>
      <c r="S359" s="77" t="n">
        <f aca="false">IF($R359="",0,IF(MATCH($R359,$R$5:$R$904,0)=ROW()-4,1,0))</f>
        <v>0</v>
      </c>
      <c r="T359" s="77" t="n">
        <f aca="false">N(T358)+$S359</f>
        <v>18</v>
      </c>
    </row>
    <row r="360" customFormat="false" ht="13.5" hidden="false" customHeight="false" outlineLevel="0" collapsed="false">
      <c r="A360" s="9" t="str">
        <f aca="false">IF($B360="","",ROW()-4)</f>
        <v/>
      </c>
      <c r="B360" s="39" t="str">
        <f aca="false">IFERROR(INDEX(对接源_01入库吨位!$B$5:$B$304,MATCH(INT((ROW()-5)/3)+1,对接源_01入库吨位!$S$5:$S$304,0)),"")</f>
        <v/>
      </c>
      <c r="C360" s="39" t="str">
        <f aca="false">IFERROR(INDEX(对接源_01入库吨位!$C$5:$C$304,MATCH(INT((ROW()-5)/3)+1,对接源_01入库吨位!$S$5:$S$304,0)),"")</f>
        <v/>
      </c>
      <c r="D360" s="40" t="str">
        <f aca="false">IF($B360="","",IF(MOD(ROW()-5,3)=0,"周转打冷",IF(MOD(ROW()-5,3)=1,"仓储加工","装卸费")))</f>
        <v/>
      </c>
      <c r="E360" s="51" t="str">
        <f aca="false">IF($B360="","",IFERROR(IF($D360="周转打冷",N(INDEX(对接源_01入库吨位!$D$5:$D$304,MATCH(INT((ROW()-5)/3)+1,对接源_01入库吨位!$S$5:$S$304,0))),IF($D360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0" s="41" t="str">
        <f aca="false">IF($B360="","",ROUND(IFERROR(IF($D360="周转打冷",N(INDEX(对接源_01入库吨位!$H$5:$H$304,MATCH(INT((ROW()-5)/3)+1,对接源_01入库吨位!$S$5:$S$304,0))),IF($D360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0" s="52" t="str">
        <f aca="false">IF($B360="","",ROUND(N($F360)/1000,3))</f>
        <v/>
      </c>
      <c r="H360" s="74"/>
      <c r="I360" s="44"/>
      <c r="J360" s="75" t="str">
        <f aca="false">IF($B360="","",IF($H360="按筐数×单价",N($E360),IF($H360="按总重KG×单价",N($F360),IF($H360="按吨位×单价",N($G360),0))))</f>
        <v/>
      </c>
      <c r="K360" s="41" t="str">
        <f aca="false">IF($B360="","",ROUND(N($J360)*N($I360),2))</f>
        <v/>
      </c>
      <c r="L360" s="42"/>
      <c r="M360" s="76"/>
      <c r="N360" s="43"/>
      <c r="R360" s="77" t="str">
        <f aca="false">IF($B360="","",$B360)</f>
        <v/>
      </c>
      <c r="S360" s="77" t="n">
        <f aca="false">IF($R360="",0,IF(MATCH($R360,$R$5:$R$904,0)=ROW()-4,1,0))</f>
        <v>0</v>
      </c>
      <c r="T360" s="77" t="n">
        <f aca="false">N(T359)+$S360</f>
        <v>18</v>
      </c>
    </row>
    <row r="361" customFormat="false" ht="13.5" hidden="false" customHeight="false" outlineLevel="0" collapsed="false">
      <c r="A361" s="9" t="str">
        <f aca="false">IF($B361="","",ROW()-4)</f>
        <v/>
      </c>
      <c r="B361" s="39" t="str">
        <f aca="false">IFERROR(INDEX(对接源_01入库吨位!$B$5:$B$304,MATCH(INT((ROW()-5)/3)+1,对接源_01入库吨位!$S$5:$S$304,0)),"")</f>
        <v/>
      </c>
      <c r="C361" s="39" t="str">
        <f aca="false">IFERROR(INDEX(对接源_01入库吨位!$C$5:$C$304,MATCH(INT((ROW()-5)/3)+1,对接源_01入库吨位!$S$5:$S$304,0)),"")</f>
        <v/>
      </c>
      <c r="D361" s="40" t="str">
        <f aca="false">IF($B361="","",IF(MOD(ROW()-5,3)=0,"周转打冷",IF(MOD(ROW()-5,3)=1,"仓储加工","装卸费")))</f>
        <v/>
      </c>
      <c r="E361" s="51" t="str">
        <f aca="false">IF($B361="","",IFERROR(IF($D361="周转打冷",N(INDEX(对接源_01入库吨位!$D$5:$D$304,MATCH(INT((ROW()-5)/3)+1,对接源_01入库吨位!$S$5:$S$304,0))),IF($D361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1" s="41" t="str">
        <f aca="false">IF($B361="","",ROUND(IFERROR(IF($D361="周转打冷",N(INDEX(对接源_01入库吨位!$H$5:$H$304,MATCH(INT((ROW()-5)/3)+1,对接源_01入库吨位!$S$5:$S$304,0))),IF($D361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1" s="52" t="str">
        <f aca="false">IF($B361="","",ROUND(N($F361)/1000,3))</f>
        <v/>
      </c>
      <c r="H361" s="74"/>
      <c r="I361" s="44"/>
      <c r="J361" s="75" t="str">
        <f aca="false">IF($B361="","",IF($H361="按筐数×单价",N($E361),IF($H361="按总重KG×单价",N($F361),IF($H361="按吨位×单价",N($G361),0))))</f>
        <v/>
      </c>
      <c r="K361" s="41" t="str">
        <f aca="false">IF($B361="","",ROUND(N($J361)*N($I361),2))</f>
        <v/>
      </c>
      <c r="L361" s="42"/>
      <c r="M361" s="76"/>
      <c r="N361" s="43"/>
      <c r="R361" s="77" t="str">
        <f aca="false">IF($B361="","",$B361)</f>
        <v/>
      </c>
      <c r="S361" s="77" t="n">
        <f aca="false">IF($R361="",0,IF(MATCH($R361,$R$5:$R$904,0)=ROW()-4,1,0))</f>
        <v>0</v>
      </c>
      <c r="T361" s="77" t="n">
        <f aca="false">N(T360)+$S361</f>
        <v>18</v>
      </c>
    </row>
    <row r="362" customFormat="false" ht="13.5" hidden="false" customHeight="false" outlineLevel="0" collapsed="false">
      <c r="A362" s="9" t="str">
        <f aca="false">IF($B362="","",ROW()-4)</f>
        <v/>
      </c>
      <c r="B362" s="39" t="str">
        <f aca="false">IFERROR(INDEX(对接源_01入库吨位!$B$5:$B$304,MATCH(INT((ROW()-5)/3)+1,对接源_01入库吨位!$S$5:$S$304,0)),"")</f>
        <v/>
      </c>
      <c r="C362" s="39" t="str">
        <f aca="false">IFERROR(INDEX(对接源_01入库吨位!$C$5:$C$304,MATCH(INT((ROW()-5)/3)+1,对接源_01入库吨位!$S$5:$S$304,0)),"")</f>
        <v/>
      </c>
      <c r="D362" s="40" t="str">
        <f aca="false">IF($B362="","",IF(MOD(ROW()-5,3)=0,"周转打冷",IF(MOD(ROW()-5,3)=1,"仓储加工","装卸费")))</f>
        <v/>
      </c>
      <c r="E362" s="51" t="str">
        <f aca="false">IF($B362="","",IFERROR(IF($D362="周转打冷",N(INDEX(对接源_01入库吨位!$D$5:$D$304,MATCH(INT((ROW()-5)/3)+1,对接源_01入库吨位!$S$5:$S$304,0))),IF($D362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2" s="41" t="str">
        <f aca="false">IF($B362="","",ROUND(IFERROR(IF($D362="周转打冷",N(INDEX(对接源_01入库吨位!$H$5:$H$304,MATCH(INT((ROW()-5)/3)+1,对接源_01入库吨位!$S$5:$S$304,0))),IF($D362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2" s="52" t="str">
        <f aca="false">IF($B362="","",ROUND(N($F362)/1000,3))</f>
        <v/>
      </c>
      <c r="H362" s="74"/>
      <c r="I362" s="44"/>
      <c r="J362" s="75" t="str">
        <f aca="false">IF($B362="","",IF($H362="按筐数×单价",N($E362),IF($H362="按总重KG×单价",N($F362),IF($H362="按吨位×单价",N($G362),0))))</f>
        <v/>
      </c>
      <c r="K362" s="41" t="str">
        <f aca="false">IF($B362="","",ROUND(N($J362)*N($I362),2))</f>
        <v/>
      </c>
      <c r="L362" s="42"/>
      <c r="M362" s="76"/>
      <c r="N362" s="43"/>
      <c r="R362" s="77" t="str">
        <f aca="false">IF($B362="","",$B362)</f>
        <v/>
      </c>
      <c r="S362" s="77" t="n">
        <f aca="false">IF($R362="",0,IF(MATCH($R362,$R$5:$R$904,0)=ROW()-4,1,0))</f>
        <v>0</v>
      </c>
      <c r="T362" s="77" t="n">
        <f aca="false">N(T361)+$S362</f>
        <v>18</v>
      </c>
    </row>
    <row r="363" customFormat="false" ht="13.5" hidden="false" customHeight="false" outlineLevel="0" collapsed="false">
      <c r="A363" s="9" t="str">
        <f aca="false">IF($B363="","",ROW()-4)</f>
        <v/>
      </c>
      <c r="B363" s="39" t="str">
        <f aca="false">IFERROR(INDEX(对接源_01入库吨位!$B$5:$B$304,MATCH(INT((ROW()-5)/3)+1,对接源_01入库吨位!$S$5:$S$304,0)),"")</f>
        <v/>
      </c>
      <c r="C363" s="39" t="str">
        <f aca="false">IFERROR(INDEX(对接源_01入库吨位!$C$5:$C$304,MATCH(INT((ROW()-5)/3)+1,对接源_01入库吨位!$S$5:$S$304,0)),"")</f>
        <v/>
      </c>
      <c r="D363" s="40" t="str">
        <f aca="false">IF($B363="","",IF(MOD(ROW()-5,3)=0,"周转打冷",IF(MOD(ROW()-5,3)=1,"仓储加工","装卸费")))</f>
        <v/>
      </c>
      <c r="E363" s="51" t="str">
        <f aca="false">IF($B363="","",IFERROR(IF($D363="周转打冷",N(INDEX(对接源_01入库吨位!$D$5:$D$304,MATCH(INT((ROW()-5)/3)+1,对接源_01入库吨位!$S$5:$S$304,0))),IF($D363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3" s="41" t="str">
        <f aca="false">IF($B363="","",ROUND(IFERROR(IF($D363="周转打冷",N(INDEX(对接源_01入库吨位!$H$5:$H$304,MATCH(INT((ROW()-5)/3)+1,对接源_01入库吨位!$S$5:$S$304,0))),IF($D363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3" s="52" t="str">
        <f aca="false">IF($B363="","",ROUND(N($F363)/1000,3))</f>
        <v/>
      </c>
      <c r="H363" s="74"/>
      <c r="I363" s="44"/>
      <c r="J363" s="75" t="str">
        <f aca="false">IF($B363="","",IF($H363="按筐数×单价",N($E363),IF($H363="按总重KG×单价",N($F363),IF($H363="按吨位×单价",N($G363),0))))</f>
        <v/>
      </c>
      <c r="K363" s="41" t="str">
        <f aca="false">IF($B363="","",ROUND(N($J363)*N($I363),2))</f>
        <v/>
      </c>
      <c r="L363" s="42"/>
      <c r="M363" s="76"/>
      <c r="N363" s="43"/>
      <c r="R363" s="77" t="str">
        <f aca="false">IF($B363="","",$B363)</f>
        <v/>
      </c>
      <c r="S363" s="77" t="n">
        <f aca="false">IF($R363="",0,IF(MATCH($R363,$R$5:$R$904,0)=ROW()-4,1,0))</f>
        <v>0</v>
      </c>
      <c r="T363" s="77" t="n">
        <f aca="false">N(T362)+$S363</f>
        <v>18</v>
      </c>
    </row>
    <row r="364" customFormat="false" ht="13.5" hidden="false" customHeight="false" outlineLevel="0" collapsed="false">
      <c r="A364" s="9" t="str">
        <f aca="false">IF($B364="","",ROW()-4)</f>
        <v/>
      </c>
      <c r="B364" s="39" t="str">
        <f aca="false">IFERROR(INDEX(对接源_01入库吨位!$B$5:$B$304,MATCH(INT((ROW()-5)/3)+1,对接源_01入库吨位!$S$5:$S$304,0)),"")</f>
        <v/>
      </c>
      <c r="C364" s="39" t="str">
        <f aca="false">IFERROR(INDEX(对接源_01入库吨位!$C$5:$C$304,MATCH(INT((ROW()-5)/3)+1,对接源_01入库吨位!$S$5:$S$304,0)),"")</f>
        <v/>
      </c>
      <c r="D364" s="40" t="str">
        <f aca="false">IF($B364="","",IF(MOD(ROW()-5,3)=0,"周转打冷",IF(MOD(ROW()-5,3)=1,"仓储加工","装卸费")))</f>
        <v/>
      </c>
      <c r="E364" s="51" t="str">
        <f aca="false">IF($B364="","",IFERROR(IF($D364="周转打冷",N(INDEX(对接源_01入库吨位!$D$5:$D$304,MATCH(INT((ROW()-5)/3)+1,对接源_01入库吨位!$S$5:$S$304,0))),IF($D364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4" s="41" t="str">
        <f aca="false">IF($B364="","",ROUND(IFERROR(IF($D364="周转打冷",N(INDEX(对接源_01入库吨位!$H$5:$H$304,MATCH(INT((ROW()-5)/3)+1,对接源_01入库吨位!$S$5:$S$304,0))),IF($D364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4" s="52" t="str">
        <f aca="false">IF($B364="","",ROUND(N($F364)/1000,3))</f>
        <v/>
      </c>
      <c r="H364" s="74"/>
      <c r="I364" s="44"/>
      <c r="J364" s="75" t="str">
        <f aca="false">IF($B364="","",IF($H364="按筐数×单价",N($E364),IF($H364="按总重KG×单价",N($F364),IF($H364="按吨位×单价",N($G364),0))))</f>
        <v/>
      </c>
      <c r="K364" s="41" t="str">
        <f aca="false">IF($B364="","",ROUND(N($J364)*N($I364),2))</f>
        <v/>
      </c>
      <c r="L364" s="42"/>
      <c r="M364" s="76"/>
      <c r="N364" s="43"/>
      <c r="R364" s="77" t="str">
        <f aca="false">IF($B364="","",$B364)</f>
        <v/>
      </c>
      <c r="S364" s="77" t="n">
        <f aca="false">IF($R364="",0,IF(MATCH($R364,$R$5:$R$904,0)=ROW()-4,1,0))</f>
        <v>0</v>
      </c>
      <c r="T364" s="77" t="n">
        <f aca="false">N(T363)+$S364</f>
        <v>18</v>
      </c>
    </row>
    <row r="365" customFormat="false" ht="13.5" hidden="false" customHeight="false" outlineLevel="0" collapsed="false">
      <c r="A365" s="9" t="str">
        <f aca="false">IF($B365="","",ROW()-4)</f>
        <v/>
      </c>
      <c r="B365" s="39" t="str">
        <f aca="false">IFERROR(INDEX(对接源_01入库吨位!$B$5:$B$304,MATCH(INT((ROW()-5)/3)+1,对接源_01入库吨位!$S$5:$S$304,0)),"")</f>
        <v/>
      </c>
      <c r="C365" s="39" t="str">
        <f aca="false">IFERROR(INDEX(对接源_01入库吨位!$C$5:$C$304,MATCH(INT((ROW()-5)/3)+1,对接源_01入库吨位!$S$5:$S$304,0)),"")</f>
        <v/>
      </c>
      <c r="D365" s="40" t="str">
        <f aca="false">IF($B365="","",IF(MOD(ROW()-5,3)=0,"周转打冷",IF(MOD(ROW()-5,3)=1,"仓储加工","装卸费")))</f>
        <v/>
      </c>
      <c r="E365" s="51" t="str">
        <f aca="false">IF($B365="","",IFERROR(IF($D365="周转打冷",N(INDEX(对接源_01入库吨位!$D$5:$D$304,MATCH(INT((ROW()-5)/3)+1,对接源_01入库吨位!$S$5:$S$304,0))),IF($D365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5" s="41" t="str">
        <f aca="false">IF($B365="","",ROUND(IFERROR(IF($D365="周转打冷",N(INDEX(对接源_01入库吨位!$H$5:$H$304,MATCH(INT((ROW()-5)/3)+1,对接源_01入库吨位!$S$5:$S$304,0))),IF($D365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5" s="52" t="str">
        <f aca="false">IF($B365="","",ROUND(N($F365)/1000,3))</f>
        <v/>
      </c>
      <c r="H365" s="74"/>
      <c r="I365" s="44"/>
      <c r="J365" s="75" t="str">
        <f aca="false">IF($B365="","",IF($H365="按筐数×单价",N($E365),IF($H365="按总重KG×单价",N($F365),IF($H365="按吨位×单价",N($G365),0))))</f>
        <v/>
      </c>
      <c r="K365" s="41" t="str">
        <f aca="false">IF($B365="","",ROUND(N($J365)*N($I365),2))</f>
        <v/>
      </c>
      <c r="L365" s="42"/>
      <c r="M365" s="76"/>
      <c r="N365" s="43"/>
      <c r="R365" s="77" t="str">
        <f aca="false">IF($B365="","",$B365)</f>
        <v/>
      </c>
      <c r="S365" s="77" t="n">
        <f aca="false">IF($R365="",0,IF(MATCH($R365,$R$5:$R$904,0)=ROW()-4,1,0))</f>
        <v>0</v>
      </c>
      <c r="T365" s="77" t="n">
        <f aca="false">N(T364)+$S365</f>
        <v>18</v>
      </c>
    </row>
    <row r="366" customFormat="false" ht="13.5" hidden="false" customHeight="false" outlineLevel="0" collapsed="false">
      <c r="A366" s="9" t="str">
        <f aca="false">IF($B366="","",ROW()-4)</f>
        <v/>
      </c>
      <c r="B366" s="39" t="str">
        <f aca="false">IFERROR(INDEX(对接源_01入库吨位!$B$5:$B$304,MATCH(INT((ROW()-5)/3)+1,对接源_01入库吨位!$S$5:$S$304,0)),"")</f>
        <v/>
      </c>
      <c r="C366" s="39" t="str">
        <f aca="false">IFERROR(INDEX(对接源_01入库吨位!$C$5:$C$304,MATCH(INT((ROW()-5)/3)+1,对接源_01入库吨位!$S$5:$S$304,0)),"")</f>
        <v/>
      </c>
      <c r="D366" s="40" t="str">
        <f aca="false">IF($B366="","",IF(MOD(ROW()-5,3)=0,"周转打冷",IF(MOD(ROW()-5,3)=1,"仓储加工","装卸费")))</f>
        <v/>
      </c>
      <c r="E366" s="51" t="str">
        <f aca="false">IF($B366="","",IFERROR(IF($D366="周转打冷",N(INDEX(对接源_01入库吨位!$D$5:$D$304,MATCH(INT((ROW()-5)/3)+1,对接源_01入库吨位!$S$5:$S$304,0))),IF($D366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6" s="41" t="str">
        <f aca="false">IF($B366="","",ROUND(IFERROR(IF($D366="周转打冷",N(INDEX(对接源_01入库吨位!$H$5:$H$304,MATCH(INT((ROW()-5)/3)+1,对接源_01入库吨位!$S$5:$S$304,0))),IF($D366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6" s="52" t="str">
        <f aca="false">IF($B366="","",ROUND(N($F366)/1000,3))</f>
        <v/>
      </c>
      <c r="H366" s="74"/>
      <c r="I366" s="44"/>
      <c r="J366" s="75" t="str">
        <f aca="false">IF($B366="","",IF($H366="按筐数×单价",N($E366),IF($H366="按总重KG×单价",N($F366),IF($H366="按吨位×单价",N($G366),0))))</f>
        <v/>
      </c>
      <c r="K366" s="41" t="str">
        <f aca="false">IF($B366="","",ROUND(N($J366)*N($I366),2))</f>
        <v/>
      </c>
      <c r="L366" s="42"/>
      <c r="M366" s="76"/>
      <c r="N366" s="43"/>
      <c r="R366" s="77" t="str">
        <f aca="false">IF($B366="","",$B366)</f>
        <v/>
      </c>
      <c r="S366" s="77" t="n">
        <f aca="false">IF($R366="",0,IF(MATCH($R366,$R$5:$R$904,0)=ROW()-4,1,0))</f>
        <v>0</v>
      </c>
      <c r="T366" s="77" t="n">
        <f aca="false">N(T365)+$S366</f>
        <v>18</v>
      </c>
    </row>
    <row r="367" customFormat="false" ht="13.5" hidden="false" customHeight="false" outlineLevel="0" collapsed="false">
      <c r="A367" s="9" t="str">
        <f aca="false">IF($B367="","",ROW()-4)</f>
        <v/>
      </c>
      <c r="B367" s="39" t="str">
        <f aca="false">IFERROR(INDEX(对接源_01入库吨位!$B$5:$B$304,MATCH(INT((ROW()-5)/3)+1,对接源_01入库吨位!$S$5:$S$304,0)),"")</f>
        <v/>
      </c>
      <c r="C367" s="39" t="str">
        <f aca="false">IFERROR(INDEX(对接源_01入库吨位!$C$5:$C$304,MATCH(INT((ROW()-5)/3)+1,对接源_01入库吨位!$S$5:$S$304,0)),"")</f>
        <v/>
      </c>
      <c r="D367" s="40" t="str">
        <f aca="false">IF($B367="","",IF(MOD(ROW()-5,3)=0,"周转打冷",IF(MOD(ROW()-5,3)=1,"仓储加工","装卸费")))</f>
        <v/>
      </c>
      <c r="E367" s="51" t="str">
        <f aca="false">IF($B367="","",IFERROR(IF($D367="周转打冷",N(INDEX(对接源_01入库吨位!$D$5:$D$304,MATCH(INT((ROW()-5)/3)+1,对接源_01入库吨位!$S$5:$S$304,0))),IF($D367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7" s="41" t="str">
        <f aca="false">IF($B367="","",ROUND(IFERROR(IF($D367="周转打冷",N(INDEX(对接源_01入库吨位!$H$5:$H$304,MATCH(INT((ROW()-5)/3)+1,对接源_01入库吨位!$S$5:$S$304,0))),IF($D367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7" s="52" t="str">
        <f aca="false">IF($B367="","",ROUND(N($F367)/1000,3))</f>
        <v/>
      </c>
      <c r="H367" s="74"/>
      <c r="I367" s="44"/>
      <c r="J367" s="75" t="str">
        <f aca="false">IF($B367="","",IF($H367="按筐数×单价",N($E367),IF($H367="按总重KG×单价",N($F367),IF($H367="按吨位×单价",N($G367),0))))</f>
        <v/>
      </c>
      <c r="K367" s="41" t="str">
        <f aca="false">IF($B367="","",ROUND(N($J367)*N($I367),2))</f>
        <v/>
      </c>
      <c r="L367" s="42"/>
      <c r="M367" s="76"/>
      <c r="N367" s="43"/>
      <c r="R367" s="77" t="str">
        <f aca="false">IF($B367="","",$B367)</f>
        <v/>
      </c>
      <c r="S367" s="77" t="n">
        <f aca="false">IF($R367="",0,IF(MATCH($R367,$R$5:$R$904,0)=ROW()-4,1,0))</f>
        <v>0</v>
      </c>
      <c r="T367" s="77" t="n">
        <f aca="false">N(T366)+$S367</f>
        <v>18</v>
      </c>
    </row>
    <row r="368" customFormat="false" ht="13.5" hidden="false" customHeight="false" outlineLevel="0" collapsed="false">
      <c r="A368" s="9" t="str">
        <f aca="false">IF($B368="","",ROW()-4)</f>
        <v/>
      </c>
      <c r="B368" s="39" t="str">
        <f aca="false">IFERROR(INDEX(对接源_01入库吨位!$B$5:$B$304,MATCH(INT((ROW()-5)/3)+1,对接源_01入库吨位!$S$5:$S$304,0)),"")</f>
        <v/>
      </c>
      <c r="C368" s="39" t="str">
        <f aca="false">IFERROR(INDEX(对接源_01入库吨位!$C$5:$C$304,MATCH(INT((ROW()-5)/3)+1,对接源_01入库吨位!$S$5:$S$304,0)),"")</f>
        <v/>
      </c>
      <c r="D368" s="40" t="str">
        <f aca="false">IF($B368="","",IF(MOD(ROW()-5,3)=0,"周转打冷",IF(MOD(ROW()-5,3)=1,"仓储加工","装卸费")))</f>
        <v/>
      </c>
      <c r="E368" s="51" t="str">
        <f aca="false">IF($B368="","",IFERROR(IF($D368="周转打冷",N(INDEX(对接源_01入库吨位!$D$5:$D$304,MATCH(INT((ROW()-5)/3)+1,对接源_01入库吨位!$S$5:$S$304,0))),IF($D368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8" s="41" t="str">
        <f aca="false">IF($B368="","",ROUND(IFERROR(IF($D368="周转打冷",N(INDEX(对接源_01入库吨位!$H$5:$H$304,MATCH(INT((ROW()-5)/3)+1,对接源_01入库吨位!$S$5:$S$304,0))),IF($D368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8" s="52" t="str">
        <f aca="false">IF($B368="","",ROUND(N($F368)/1000,3))</f>
        <v/>
      </c>
      <c r="H368" s="74"/>
      <c r="I368" s="44"/>
      <c r="J368" s="75" t="str">
        <f aca="false">IF($B368="","",IF($H368="按筐数×单价",N($E368),IF($H368="按总重KG×单价",N($F368),IF($H368="按吨位×单价",N($G368),0))))</f>
        <v/>
      </c>
      <c r="K368" s="41" t="str">
        <f aca="false">IF($B368="","",ROUND(N($J368)*N($I368),2))</f>
        <v/>
      </c>
      <c r="L368" s="42"/>
      <c r="M368" s="76"/>
      <c r="N368" s="43"/>
      <c r="R368" s="77" t="str">
        <f aca="false">IF($B368="","",$B368)</f>
        <v/>
      </c>
      <c r="S368" s="77" t="n">
        <f aca="false">IF($R368="",0,IF(MATCH($R368,$R$5:$R$904,0)=ROW()-4,1,0))</f>
        <v>0</v>
      </c>
      <c r="T368" s="77" t="n">
        <f aca="false">N(T367)+$S368</f>
        <v>18</v>
      </c>
    </row>
    <row r="369" customFormat="false" ht="13.5" hidden="false" customHeight="false" outlineLevel="0" collapsed="false">
      <c r="A369" s="9" t="str">
        <f aca="false">IF($B369="","",ROW()-4)</f>
        <v/>
      </c>
      <c r="B369" s="39" t="str">
        <f aca="false">IFERROR(INDEX(对接源_01入库吨位!$B$5:$B$304,MATCH(INT((ROW()-5)/3)+1,对接源_01入库吨位!$S$5:$S$304,0)),"")</f>
        <v/>
      </c>
      <c r="C369" s="39" t="str">
        <f aca="false">IFERROR(INDEX(对接源_01入库吨位!$C$5:$C$304,MATCH(INT((ROW()-5)/3)+1,对接源_01入库吨位!$S$5:$S$304,0)),"")</f>
        <v/>
      </c>
      <c r="D369" s="40" t="str">
        <f aca="false">IF($B369="","",IF(MOD(ROW()-5,3)=0,"周转打冷",IF(MOD(ROW()-5,3)=1,"仓储加工","装卸费")))</f>
        <v/>
      </c>
      <c r="E369" s="51" t="str">
        <f aca="false">IF($B369="","",IFERROR(IF($D369="周转打冷",N(INDEX(对接源_01入库吨位!$D$5:$D$304,MATCH(INT((ROW()-5)/3)+1,对接源_01入库吨位!$S$5:$S$304,0))),IF($D369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69" s="41" t="str">
        <f aca="false">IF($B369="","",ROUND(IFERROR(IF($D369="周转打冷",N(INDEX(对接源_01入库吨位!$H$5:$H$304,MATCH(INT((ROW()-5)/3)+1,对接源_01入库吨位!$S$5:$S$304,0))),IF($D369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69" s="52" t="str">
        <f aca="false">IF($B369="","",ROUND(N($F369)/1000,3))</f>
        <v/>
      </c>
      <c r="H369" s="74"/>
      <c r="I369" s="44"/>
      <c r="J369" s="75" t="str">
        <f aca="false">IF($B369="","",IF($H369="按筐数×单价",N($E369),IF($H369="按总重KG×单价",N($F369),IF($H369="按吨位×单价",N($G369),0))))</f>
        <v/>
      </c>
      <c r="K369" s="41" t="str">
        <f aca="false">IF($B369="","",ROUND(N($J369)*N($I369),2))</f>
        <v/>
      </c>
      <c r="L369" s="42"/>
      <c r="M369" s="76"/>
      <c r="N369" s="43"/>
      <c r="R369" s="77" t="str">
        <f aca="false">IF($B369="","",$B369)</f>
        <v/>
      </c>
      <c r="S369" s="77" t="n">
        <f aca="false">IF($R369="",0,IF(MATCH($R369,$R$5:$R$904,0)=ROW()-4,1,0))</f>
        <v>0</v>
      </c>
      <c r="T369" s="77" t="n">
        <f aca="false">N(T368)+$S369</f>
        <v>18</v>
      </c>
    </row>
    <row r="370" customFormat="false" ht="13.5" hidden="false" customHeight="false" outlineLevel="0" collapsed="false">
      <c r="A370" s="9" t="str">
        <f aca="false">IF($B370="","",ROW()-4)</f>
        <v/>
      </c>
      <c r="B370" s="39" t="str">
        <f aca="false">IFERROR(INDEX(对接源_01入库吨位!$B$5:$B$304,MATCH(INT((ROW()-5)/3)+1,对接源_01入库吨位!$S$5:$S$304,0)),"")</f>
        <v/>
      </c>
      <c r="C370" s="39" t="str">
        <f aca="false">IFERROR(INDEX(对接源_01入库吨位!$C$5:$C$304,MATCH(INT((ROW()-5)/3)+1,对接源_01入库吨位!$S$5:$S$304,0)),"")</f>
        <v/>
      </c>
      <c r="D370" s="40" t="str">
        <f aca="false">IF($B370="","",IF(MOD(ROW()-5,3)=0,"周转打冷",IF(MOD(ROW()-5,3)=1,"仓储加工","装卸费")))</f>
        <v/>
      </c>
      <c r="E370" s="51" t="str">
        <f aca="false">IF($B370="","",IFERROR(IF($D370="周转打冷",N(INDEX(对接源_01入库吨位!$D$5:$D$304,MATCH(INT((ROW()-5)/3)+1,对接源_01入库吨位!$S$5:$S$304,0))),IF($D370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0" s="41" t="str">
        <f aca="false">IF($B370="","",ROUND(IFERROR(IF($D370="周转打冷",N(INDEX(对接源_01入库吨位!$H$5:$H$304,MATCH(INT((ROW()-5)/3)+1,对接源_01入库吨位!$S$5:$S$304,0))),IF($D370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0" s="52" t="str">
        <f aca="false">IF($B370="","",ROUND(N($F370)/1000,3))</f>
        <v/>
      </c>
      <c r="H370" s="74"/>
      <c r="I370" s="44"/>
      <c r="J370" s="75" t="str">
        <f aca="false">IF($B370="","",IF($H370="按筐数×单价",N($E370),IF($H370="按总重KG×单价",N($F370),IF($H370="按吨位×单价",N($G370),0))))</f>
        <v/>
      </c>
      <c r="K370" s="41" t="str">
        <f aca="false">IF($B370="","",ROUND(N($J370)*N($I370),2))</f>
        <v/>
      </c>
      <c r="L370" s="42"/>
      <c r="M370" s="76"/>
      <c r="N370" s="43"/>
      <c r="R370" s="77" t="str">
        <f aca="false">IF($B370="","",$B370)</f>
        <v/>
      </c>
      <c r="S370" s="77" t="n">
        <f aca="false">IF($R370="",0,IF(MATCH($R370,$R$5:$R$904,0)=ROW()-4,1,0))</f>
        <v>0</v>
      </c>
      <c r="T370" s="77" t="n">
        <f aca="false">N(T369)+$S370</f>
        <v>18</v>
      </c>
    </row>
    <row r="371" customFormat="false" ht="13.5" hidden="false" customHeight="false" outlineLevel="0" collapsed="false">
      <c r="A371" s="9" t="str">
        <f aca="false">IF($B371="","",ROW()-4)</f>
        <v/>
      </c>
      <c r="B371" s="39" t="str">
        <f aca="false">IFERROR(INDEX(对接源_01入库吨位!$B$5:$B$304,MATCH(INT((ROW()-5)/3)+1,对接源_01入库吨位!$S$5:$S$304,0)),"")</f>
        <v/>
      </c>
      <c r="C371" s="39" t="str">
        <f aca="false">IFERROR(INDEX(对接源_01入库吨位!$C$5:$C$304,MATCH(INT((ROW()-5)/3)+1,对接源_01入库吨位!$S$5:$S$304,0)),"")</f>
        <v/>
      </c>
      <c r="D371" s="40" t="str">
        <f aca="false">IF($B371="","",IF(MOD(ROW()-5,3)=0,"周转打冷",IF(MOD(ROW()-5,3)=1,"仓储加工","装卸费")))</f>
        <v/>
      </c>
      <c r="E371" s="51" t="str">
        <f aca="false">IF($B371="","",IFERROR(IF($D371="周转打冷",N(INDEX(对接源_01入库吨位!$D$5:$D$304,MATCH(INT((ROW()-5)/3)+1,对接源_01入库吨位!$S$5:$S$304,0))),IF($D371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1" s="41" t="str">
        <f aca="false">IF($B371="","",ROUND(IFERROR(IF($D371="周转打冷",N(INDEX(对接源_01入库吨位!$H$5:$H$304,MATCH(INT((ROW()-5)/3)+1,对接源_01入库吨位!$S$5:$S$304,0))),IF($D371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1" s="52" t="str">
        <f aca="false">IF($B371="","",ROUND(N($F371)/1000,3))</f>
        <v/>
      </c>
      <c r="H371" s="74"/>
      <c r="I371" s="44"/>
      <c r="J371" s="75" t="str">
        <f aca="false">IF($B371="","",IF($H371="按筐数×单价",N($E371),IF($H371="按总重KG×单价",N($F371),IF($H371="按吨位×单价",N($G371),0))))</f>
        <v/>
      </c>
      <c r="K371" s="41" t="str">
        <f aca="false">IF($B371="","",ROUND(N($J371)*N($I371),2))</f>
        <v/>
      </c>
      <c r="L371" s="42"/>
      <c r="M371" s="76"/>
      <c r="N371" s="43"/>
      <c r="R371" s="77" t="str">
        <f aca="false">IF($B371="","",$B371)</f>
        <v/>
      </c>
      <c r="S371" s="77" t="n">
        <f aca="false">IF($R371="",0,IF(MATCH($R371,$R$5:$R$904,0)=ROW()-4,1,0))</f>
        <v>0</v>
      </c>
      <c r="T371" s="77" t="n">
        <f aca="false">N(T370)+$S371</f>
        <v>18</v>
      </c>
    </row>
    <row r="372" customFormat="false" ht="13.5" hidden="false" customHeight="false" outlineLevel="0" collapsed="false">
      <c r="A372" s="9" t="str">
        <f aca="false">IF($B372="","",ROW()-4)</f>
        <v/>
      </c>
      <c r="B372" s="39" t="str">
        <f aca="false">IFERROR(INDEX(对接源_01入库吨位!$B$5:$B$304,MATCH(INT((ROW()-5)/3)+1,对接源_01入库吨位!$S$5:$S$304,0)),"")</f>
        <v/>
      </c>
      <c r="C372" s="39" t="str">
        <f aca="false">IFERROR(INDEX(对接源_01入库吨位!$C$5:$C$304,MATCH(INT((ROW()-5)/3)+1,对接源_01入库吨位!$S$5:$S$304,0)),"")</f>
        <v/>
      </c>
      <c r="D372" s="40" t="str">
        <f aca="false">IF($B372="","",IF(MOD(ROW()-5,3)=0,"周转打冷",IF(MOD(ROW()-5,3)=1,"仓储加工","装卸费")))</f>
        <v/>
      </c>
      <c r="E372" s="51" t="str">
        <f aca="false">IF($B372="","",IFERROR(IF($D372="周转打冷",N(INDEX(对接源_01入库吨位!$D$5:$D$304,MATCH(INT((ROW()-5)/3)+1,对接源_01入库吨位!$S$5:$S$304,0))),IF($D372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2" s="41" t="str">
        <f aca="false">IF($B372="","",ROUND(IFERROR(IF($D372="周转打冷",N(INDEX(对接源_01入库吨位!$H$5:$H$304,MATCH(INT((ROW()-5)/3)+1,对接源_01入库吨位!$S$5:$S$304,0))),IF($D372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2" s="52" t="str">
        <f aca="false">IF($B372="","",ROUND(N($F372)/1000,3))</f>
        <v/>
      </c>
      <c r="H372" s="74"/>
      <c r="I372" s="44"/>
      <c r="J372" s="75" t="str">
        <f aca="false">IF($B372="","",IF($H372="按筐数×单价",N($E372),IF($H372="按总重KG×单价",N($F372),IF($H372="按吨位×单价",N($G372),0))))</f>
        <v/>
      </c>
      <c r="K372" s="41" t="str">
        <f aca="false">IF($B372="","",ROUND(N($J372)*N($I372),2))</f>
        <v/>
      </c>
      <c r="L372" s="42"/>
      <c r="M372" s="76"/>
      <c r="N372" s="43"/>
      <c r="R372" s="77" t="str">
        <f aca="false">IF($B372="","",$B372)</f>
        <v/>
      </c>
      <c r="S372" s="77" t="n">
        <f aca="false">IF($R372="",0,IF(MATCH($R372,$R$5:$R$904,0)=ROW()-4,1,0))</f>
        <v>0</v>
      </c>
      <c r="T372" s="77" t="n">
        <f aca="false">N(T371)+$S372</f>
        <v>18</v>
      </c>
    </row>
    <row r="373" customFormat="false" ht="13.5" hidden="false" customHeight="false" outlineLevel="0" collapsed="false">
      <c r="A373" s="9" t="str">
        <f aca="false">IF($B373="","",ROW()-4)</f>
        <v/>
      </c>
      <c r="B373" s="39" t="str">
        <f aca="false">IFERROR(INDEX(对接源_01入库吨位!$B$5:$B$304,MATCH(INT((ROW()-5)/3)+1,对接源_01入库吨位!$S$5:$S$304,0)),"")</f>
        <v/>
      </c>
      <c r="C373" s="39" t="str">
        <f aca="false">IFERROR(INDEX(对接源_01入库吨位!$C$5:$C$304,MATCH(INT((ROW()-5)/3)+1,对接源_01入库吨位!$S$5:$S$304,0)),"")</f>
        <v/>
      </c>
      <c r="D373" s="40" t="str">
        <f aca="false">IF($B373="","",IF(MOD(ROW()-5,3)=0,"周转打冷",IF(MOD(ROW()-5,3)=1,"仓储加工","装卸费")))</f>
        <v/>
      </c>
      <c r="E373" s="51" t="str">
        <f aca="false">IF($B373="","",IFERROR(IF($D373="周转打冷",N(INDEX(对接源_01入库吨位!$D$5:$D$304,MATCH(INT((ROW()-5)/3)+1,对接源_01入库吨位!$S$5:$S$304,0))),IF($D373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3" s="41" t="str">
        <f aca="false">IF($B373="","",ROUND(IFERROR(IF($D373="周转打冷",N(INDEX(对接源_01入库吨位!$H$5:$H$304,MATCH(INT((ROW()-5)/3)+1,对接源_01入库吨位!$S$5:$S$304,0))),IF($D373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3" s="52" t="str">
        <f aca="false">IF($B373="","",ROUND(N($F373)/1000,3))</f>
        <v/>
      </c>
      <c r="H373" s="74"/>
      <c r="I373" s="44"/>
      <c r="J373" s="75" t="str">
        <f aca="false">IF($B373="","",IF($H373="按筐数×单价",N($E373),IF($H373="按总重KG×单价",N($F373),IF($H373="按吨位×单价",N($G373),0))))</f>
        <v/>
      </c>
      <c r="K373" s="41" t="str">
        <f aca="false">IF($B373="","",ROUND(N($J373)*N($I373),2))</f>
        <v/>
      </c>
      <c r="L373" s="42"/>
      <c r="M373" s="76"/>
      <c r="N373" s="43"/>
      <c r="R373" s="77" t="str">
        <f aca="false">IF($B373="","",$B373)</f>
        <v/>
      </c>
      <c r="S373" s="77" t="n">
        <f aca="false">IF($R373="",0,IF(MATCH($R373,$R$5:$R$904,0)=ROW()-4,1,0))</f>
        <v>0</v>
      </c>
      <c r="T373" s="77" t="n">
        <f aca="false">N(T372)+$S373</f>
        <v>18</v>
      </c>
    </row>
    <row r="374" customFormat="false" ht="13.5" hidden="false" customHeight="false" outlineLevel="0" collapsed="false">
      <c r="A374" s="9" t="str">
        <f aca="false">IF($B374="","",ROW()-4)</f>
        <v/>
      </c>
      <c r="B374" s="39" t="str">
        <f aca="false">IFERROR(INDEX(对接源_01入库吨位!$B$5:$B$304,MATCH(INT((ROW()-5)/3)+1,对接源_01入库吨位!$S$5:$S$304,0)),"")</f>
        <v/>
      </c>
      <c r="C374" s="39" t="str">
        <f aca="false">IFERROR(INDEX(对接源_01入库吨位!$C$5:$C$304,MATCH(INT((ROW()-5)/3)+1,对接源_01入库吨位!$S$5:$S$304,0)),"")</f>
        <v/>
      </c>
      <c r="D374" s="40" t="str">
        <f aca="false">IF($B374="","",IF(MOD(ROW()-5,3)=0,"周转打冷",IF(MOD(ROW()-5,3)=1,"仓储加工","装卸费")))</f>
        <v/>
      </c>
      <c r="E374" s="51" t="str">
        <f aca="false">IF($B374="","",IFERROR(IF($D374="周转打冷",N(INDEX(对接源_01入库吨位!$D$5:$D$304,MATCH(INT((ROW()-5)/3)+1,对接源_01入库吨位!$S$5:$S$304,0))),IF($D374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4" s="41" t="str">
        <f aca="false">IF($B374="","",ROUND(IFERROR(IF($D374="周转打冷",N(INDEX(对接源_01入库吨位!$H$5:$H$304,MATCH(INT((ROW()-5)/3)+1,对接源_01入库吨位!$S$5:$S$304,0))),IF($D374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4" s="52" t="str">
        <f aca="false">IF($B374="","",ROUND(N($F374)/1000,3))</f>
        <v/>
      </c>
      <c r="H374" s="74"/>
      <c r="I374" s="44"/>
      <c r="J374" s="75" t="str">
        <f aca="false">IF($B374="","",IF($H374="按筐数×单价",N($E374),IF($H374="按总重KG×单价",N($F374),IF($H374="按吨位×单价",N($G374),0))))</f>
        <v/>
      </c>
      <c r="K374" s="41" t="str">
        <f aca="false">IF($B374="","",ROUND(N($J374)*N($I374),2))</f>
        <v/>
      </c>
      <c r="L374" s="42"/>
      <c r="M374" s="76"/>
      <c r="N374" s="43"/>
      <c r="R374" s="77" t="str">
        <f aca="false">IF($B374="","",$B374)</f>
        <v/>
      </c>
      <c r="S374" s="77" t="n">
        <f aca="false">IF($R374="",0,IF(MATCH($R374,$R$5:$R$904,0)=ROW()-4,1,0))</f>
        <v>0</v>
      </c>
      <c r="T374" s="77" t="n">
        <f aca="false">N(T373)+$S374</f>
        <v>18</v>
      </c>
    </row>
    <row r="375" customFormat="false" ht="13.5" hidden="false" customHeight="false" outlineLevel="0" collapsed="false">
      <c r="A375" s="9" t="str">
        <f aca="false">IF($B375="","",ROW()-4)</f>
        <v/>
      </c>
      <c r="B375" s="39" t="str">
        <f aca="false">IFERROR(INDEX(对接源_01入库吨位!$B$5:$B$304,MATCH(INT((ROW()-5)/3)+1,对接源_01入库吨位!$S$5:$S$304,0)),"")</f>
        <v/>
      </c>
      <c r="C375" s="39" t="str">
        <f aca="false">IFERROR(INDEX(对接源_01入库吨位!$C$5:$C$304,MATCH(INT((ROW()-5)/3)+1,对接源_01入库吨位!$S$5:$S$304,0)),"")</f>
        <v/>
      </c>
      <c r="D375" s="40" t="str">
        <f aca="false">IF($B375="","",IF(MOD(ROW()-5,3)=0,"周转打冷",IF(MOD(ROW()-5,3)=1,"仓储加工","装卸费")))</f>
        <v/>
      </c>
      <c r="E375" s="51" t="str">
        <f aca="false">IF($B375="","",IFERROR(IF($D375="周转打冷",N(INDEX(对接源_01入库吨位!$D$5:$D$304,MATCH(INT((ROW()-5)/3)+1,对接源_01入库吨位!$S$5:$S$304,0))),IF($D375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5" s="41" t="str">
        <f aca="false">IF($B375="","",ROUND(IFERROR(IF($D375="周转打冷",N(INDEX(对接源_01入库吨位!$H$5:$H$304,MATCH(INT((ROW()-5)/3)+1,对接源_01入库吨位!$S$5:$S$304,0))),IF($D375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5" s="52" t="str">
        <f aca="false">IF($B375="","",ROUND(N($F375)/1000,3))</f>
        <v/>
      </c>
      <c r="H375" s="74"/>
      <c r="I375" s="44"/>
      <c r="J375" s="75" t="str">
        <f aca="false">IF($B375="","",IF($H375="按筐数×单价",N($E375),IF($H375="按总重KG×单价",N($F375),IF($H375="按吨位×单价",N($G375),0))))</f>
        <v/>
      </c>
      <c r="K375" s="41" t="str">
        <f aca="false">IF($B375="","",ROUND(N($J375)*N($I375),2))</f>
        <v/>
      </c>
      <c r="L375" s="42"/>
      <c r="M375" s="76"/>
      <c r="N375" s="43"/>
      <c r="R375" s="77" t="str">
        <f aca="false">IF($B375="","",$B375)</f>
        <v/>
      </c>
      <c r="S375" s="77" t="n">
        <f aca="false">IF($R375="",0,IF(MATCH($R375,$R$5:$R$904,0)=ROW()-4,1,0))</f>
        <v>0</v>
      </c>
      <c r="T375" s="77" t="n">
        <f aca="false">N(T374)+$S375</f>
        <v>18</v>
      </c>
    </row>
    <row r="376" customFormat="false" ht="13.5" hidden="false" customHeight="false" outlineLevel="0" collapsed="false">
      <c r="A376" s="9" t="str">
        <f aca="false">IF($B376="","",ROW()-4)</f>
        <v/>
      </c>
      <c r="B376" s="39" t="str">
        <f aca="false">IFERROR(INDEX(对接源_01入库吨位!$B$5:$B$304,MATCH(INT((ROW()-5)/3)+1,对接源_01入库吨位!$S$5:$S$304,0)),"")</f>
        <v/>
      </c>
      <c r="C376" s="39" t="str">
        <f aca="false">IFERROR(INDEX(对接源_01入库吨位!$C$5:$C$304,MATCH(INT((ROW()-5)/3)+1,对接源_01入库吨位!$S$5:$S$304,0)),"")</f>
        <v/>
      </c>
      <c r="D376" s="40" t="str">
        <f aca="false">IF($B376="","",IF(MOD(ROW()-5,3)=0,"周转打冷",IF(MOD(ROW()-5,3)=1,"仓储加工","装卸费")))</f>
        <v/>
      </c>
      <c r="E376" s="51" t="str">
        <f aca="false">IF($B376="","",IFERROR(IF($D376="周转打冷",N(INDEX(对接源_01入库吨位!$D$5:$D$304,MATCH(INT((ROW()-5)/3)+1,对接源_01入库吨位!$S$5:$S$304,0))),IF($D376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6" s="41" t="str">
        <f aca="false">IF($B376="","",ROUND(IFERROR(IF($D376="周转打冷",N(INDEX(对接源_01入库吨位!$H$5:$H$304,MATCH(INT((ROW()-5)/3)+1,对接源_01入库吨位!$S$5:$S$304,0))),IF($D376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6" s="52" t="str">
        <f aca="false">IF($B376="","",ROUND(N($F376)/1000,3))</f>
        <v/>
      </c>
      <c r="H376" s="74"/>
      <c r="I376" s="44"/>
      <c r="J376" s="75" t="str">
        <f aca="false">IF($B376="","",IF($H376="按筐数×单价",N($E376),IF($H376="按总重KG×单价",N($F376),IF($H376="按吨位×单价",N($G376),0))))</f>
        <v/>
      </c>
      <c r="K376" s="41" t="str">
        <f aca="false">IF($B376="","",ROUND(N($J376)*N($I376),2))</f>
        <v/>
      </c>
      <c r="L376" s="42"/>
      <c r="M376" s="76"/>
      <c r="N376" s="43"/>
      <c r="R376" s="77" t="str">
        <f aca="false">IF($B376="","",$B376)</f>
        <v/>
      </c>
      <c r="S376" s="77" t="n">
        <f aca="false">IF($R376="",0,IF(MATCH($R376,$R$5:$R$904,0)=ROW()-4,1,0))</f>
        <v>0</v>
      </c>
      <c r="T376" s="77" t="n">
        <f aca="false">N(T375)+$S376</f>
        <v>18</v>
      </c>
    </row>
    <row r="377" customFormat="false" ht="13.5" hidden="false" customHeight="false" outlineLevel="0" collapsed="false">
      <c r="A377" s="9" t="str">
        <f aca="false">IF($B377="","",ROW()-4)</f>
        <v/>
      </c>
      <c r="B377" s="39" t="str">
        <f aca="false">IFERROR(INDEX(对接源_01入库吨位!$B$5:$B$304,MATCH(INT((ROW()-5)/3)+1,对接源_01入库吨位!$S$5:$S$304,0)),"")</f>
        <v/>
      </c>
      <c r="C377" s="39" t="str">
        <f aca="false">IFERROR(INDEX(对接源_01入库吨位!$C$5:$C$304,MATCH(INT((ROW()-5)/3)+1,对接源_01入库吨位!$S$5:$S$304,0)),"")</f>
        <v/>
      </c>
      <c r="D377" s="40" t="str">
        <f aca="false">IF($B377="","",IF(MOD(ROW()-5,3)=0,"周转打冷",IF(MOD(ROW()-5,3)=1,"仓储加工","装卸费")))</f>
        <v/>
      </c>
      <c r="E377" s="51" t="str">
        <f aca="false">IF($B377="","",IFERROR(IF($D377="周转打冷",N(INDEX(对接源_01入库吨位!$D$5:$D$304,MATCH(INT((ROW()-5)/3)+1,对接源_01入库吨位!$S$5:$S$304,0))),IF($D377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7" s="41" t="str">
        <f aca="false">IF($B377="","",ROUND(IFERROR(IF($D377="周转打冷",N(INDEX(对接源_01入库吨位!$H$5:$H$304,MATCH(INT((ROW()-5)/3)+1,对接源_01入库吨位!$S$5:$S$304,0))),IF($D377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7" s="52" t="str">
        <f aca="false">IF($B377="","",ROUND(N($F377)/1000,3))</f>
        <v/>
      </c>
      <c r="H377" s="74"/>
      <c r="I377" s="44"/>
      <c r="J377" s="75" t="str">
        <f aca="false">IF($B377="","",IF($H377="按筐数×单价",N($E377),IF($H377="按总重KG×单价",N($F377),IF($H377="按吨位×单价",N($G377),0))))</f>
        <v/>
      </c>
      <c r="K377" s="41" t="str">
        <f aca="false">IF($B377="","",ROUND(N($J377)*N($I377),2))</f>
        <v/>
      </c>
      <c r="L377" s="42"/>
      <c r="M377" s="76"/>
      <c r="N377" s="43"/>
      <c r="R377" s="77" t="str">
        <f aca="false">IF($B377="","",$B377)</f>
        <v/>
      </c>
      <c r="S377" s="77" t="n">
        <f aca="false">IF($R377="",0,IF(MATCH($R377,$R$5:$R$904,0)=ROW()-4,1,0))</f>
        <v>0</v>
      </c>
      <c r="T377" s="77" t="n">
        <f aca="false">N(T376)+$S377</f>
        <v>18</v>
      </c>
    </row>
    <row r="378" customFormat="false" ht="13.5" hidden="false" customHeight="false" outlineLevel="0" collapsed="false">
      <c r="A378" s="9" t="str">
        <f aca="false">IF($B378="","",ROW()-4)</f>
        <v/>
      </c>
      <c r="B378" s="39" t="str">
        <f aca="false">IFERROR(INDEX(对接源_01入库吨位!$B$5:$B$304,MATCH(INT((ROW()-5)/3)+1,对接源_01入库吨位!$S$5:$S$304,0)),"")</f>
        <v/>
      </c>
      <c r="C378" s="39" t="str">
        <f aca="false">IFERROR(INDEX(对接源_01入库吨位!$C$5:$C$304,MATCH(INT((ROW()-5)/3)+1,对接源_01入库吨位!$S$5:$S$304,0)),"")</f>
        <v/>
      </c>
      <c r="D378" s="40" t="str">
        <f aca="false">IF($B378="","",IF(MOD(ROW()-5,3)=0,"周转打冷",IF(MOD(ROW()-5,3)=1,"仓储加工","装卸费")))</f>
        <v/>
      </c>
      <c r="E378" s="51" t="str">
        <f aca="false">IF($B378="","",IFERROR(IF($D378="周转打冷",N(INDEX(对接源_01入库吨位!$D$5:$D$304,MATCH(INT((ROW()-5)/3)+1,对接源_01入库吨位!$S$5:$S$304,0))),IF($D378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8" s="41" t="str">
        <f aca="false">IF($B378="","",ROUND(IFERROR(IF($D378="周转打冷",N(INDEX(对接源_01入库吨位!$H$5:$H$304,MATCH(INT((ROW()-5)/3)+1,对接源_01入库吨位!$S$5:$S$304,0))),IF($D378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8" s="52" t="str">
        <f aca="false">IF($B378="","",ROUND(N($F378)/1000,3))</f>
        <v/>
      </c>
      <c r="H378" s="74"/>
      <c r="I378" s="44"/>
      <c r="J378" s="75" t="str">
        <f aca="false">IF($B378="","",IF($H378="按筐数×单价",N($E378),IF($H378="按总重KG×单价",N($F378),IF($H378="按吨位×单价",N($G378),0))))</f>
        <v/>
      </c>
      <c r="K378" s="41" t="str">
        <f aca="false">IF($B378="","",ROUND(N($J378)*N($I378),2))</f>
        <v/>
      </c>
      <c r="L378" s="42"/>
      <c r="M378" s="76"/>
      <c r="N378" s="43"/>
      <c r="R378" s="77" t="str">
        <f aca="false">IF($B378="","",$B378)</f>
        <v/>
      </c>
      <c r="S378" s="77" t="n">
        <f aca="false">IF($R378="",0,IF(MATCH($R378,$R$5:$R$904,0)=ROW()-4,1,0))</f>
        <v>0</v>
      </c>
      <c r="T378" s="77" t="n">
        <f aca="false">N(T377)+$S378</f>
        <v>18</v>
      </c>
    </row>
    <row r="379" customFormat="false" ht="13.5" hidden="false" customHeight="false" outlineLevel="0" collapsed="false">
      <c r="A379" s="9" t="str">
        <f aca="false">IF($B379="","",ROW()-4)</f>
        <v/>
      </c>
      <c r="B379" s="39" t="str">
        <f aca="false">IFERROR(INDEX(对接源_01入库吨位!$B$5:$B$304,MATCH(INT((ROW()-5)/3)+1,对接源_01入库吨位!$S$5:$S$304,0)),"")</f>
        <v/>
      </c>
      <c r="C379" s="39" t="str">
        <f aca="false">IFERROR(INDEX(对接源_01入库吨位!$C$5:$C$304,MATCH(INT((ROW()-5)/3)+1,对接源_01入库吨位!$S$5:$S$304,0)),"")</f>
        <v/>
      </c>
      <c r="D379" s="40" t="str">
        <f aca="false">IF($B379="","",IF(MOD(ROW()-5,3)=0,"周转打冷",IF(MOD(ROW()-5,3)=1,"仓储加工","装卸费")))</f>
        <v/>
      </c>
      <c r="E379" s="51" t="str">
        <f aca="false">IF($B379="","",IFERROR(IF($D379="周转打冷",N(INDEX(对接源_01入库吨位!$D$5:$D$304,MATCH(INT((ROW()-5)/3)+1,对接源_01入库吨位!$S$5:$S$304,0))),IF($D379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79" s="41" t="str">
        <f aca="false">IF($B379="","",ROUND(IFERROR(IF($D379="周转打冷",N(INDEX(对接源_01入库吨位!$H$5:$H$304,MATCH(INT((ROW()-5)/3)+1,对接源_01入库吨位!$S$5:$S$304,0))),IF($D379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79" s="52" t="str">
        <f aca="false">IF($B379="","",ROUND(N($F379)/1000,3))</f>
        <v/>
      </c>
      <c r="H379" s="74"/>
      <c r="I379" s="44"/>
      <c r="J379" s="75" t="str">
        <f aca="false">IF($B379="","",IF($H379="按筐数×单价",N($E379),IF($H379="按总重KG×单价",N($F379),IF($H379="按吨位×单价",N($G379),0))))</f>
        <v/>
      </c>
      <c r="K379" s="41" t="str">
        <f aca="false">IF($B379="","",ROUND(N($J379)*N($I379),2))</f>
        <v/>
      </c>
      <c r="L379" s="42"/>
      <c r="M379" s="76"/>
      <c r="N379" s="43"/>
      <c r="R379" s="77" t="str">
        <f aca="false">IF($B379="","",$B379)</f>
        <v/>
      </c>
      <c r="S379" s="77" t="n">
        <f aca="false">IF($R379="",0,IF(MATCH($R379,$R$5:$R$904,0)=ROW()-4,1,0))</f>
        <v>0</v>
      </c>
      <c r="T379" s="77" t="n">
        <f aca="false">N(T378)+$S379</f>
        <v>18</v>
      </c>
    </row>
    <row r="380" customFormat="false" ht="13.5" hidden="false" customHeight="false" outlineLevel="0" collapsed="false">
      <c r="A380" s="9" t="str">
        <f aca="false">IF($B380="","",ROW()-4)</f>
        <v/>
      </c>
      <c r="B380" s="39" t="str">
        <f aca="false">IFERROR(INDEX(对接源_01入库吨位!$B$5:$B$304,MATCH(INT((ROW()-5)/3)+1,对接源_01入库吨位!$S$5:$S$304,0)),"")</f>
        <v/>
      </c>
      <c r="C380" s="39" t="str">
        <f aca="false">IFERROR(INDEX(对接源_01入库吨位!$C$5:$C$304,MATCH(INT((ROW()-5)/3)+1,对接源_01入库吨位!$S$5:$S$304,0)),"")</f>
        <v/>
      </c>
      <c r="D380" s="40" t="str">
        <f aca="false">IF($B380="","",IF(MOD(ROW()-5,3)=0,"周转打冷",IF(MOD(ROW()-5,3)=1,"仓储加工","装卸费")))</f>
        <v/>
      </c>
      <c r="E380" s="51" t="str">
        <f aca="false">IF($B380="","",IFERROR(IF($D380="周转打冷",N(INDEX(对接源_01入库吨位!$D$5:$D$304,MATCH(INT((ROW()-5)/3)+1,对接源_01入库吨位!$S$5:$S$304,0))),IF($D380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0" s="41" t="str">
        <f aca="false">IF($B380="","",ROUND(IFERROR(IF($D380="周转打冷",N(INDEX(对接源_01入库吨位!$H$5:$H$304,MATCH(INT((ROW()-5)/3)+1,对接源_01入库吨位!$S$5:$S$304,0))),IF($D380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0" s="52" t="str">
        <f aca="false">IF($B380="","",ROUND(N($F380)/1000,3))</f>
        <v/>
      </c>
      <c r="H380" s="74"/>
      <c r="I380" s="44"/>
      <c r="J380" s="75" t="str">
        <f aca="false">IF($B380="","",IF($H380="按筐数×单价",N($E380),IF($H380="按总重KG×单价",N($F380),IF($H380="按吨位×单价",N($G380),0))))</f>
        <v/>
      </c>
      <c r="K380" s="41" t="str">
        <f aca="false">IF($B380="","",ROUND(N($J380)*N($I380),2))</f>
        <v/>
      </c>
      <c r="L380" s="42"/>
      <c r="M380" s="76"/>
      <c r="N380" s="43"/>
      <c r="R380" s="77" t="str">
        <f aca="false">IF($B380="","",$B380)</f>
        <v/>
      </c>
      <c r="S380" s="77" t="n">
        <f aca="false">IF($R380="",0,IF(MATCH($R380,$R$5:$R$904,0)=ROW()-4,1,0))</f>
        <v>0</v>
      </c>
      <c r="T380" s="77" t="n">
        <f aca="false">N(T379)+$S380</f>
        <v>18</v>
      </c>
    </row>
    <row r="381" customFormat="false" ht="13.5" hidden="false" customHeight="false" outlineLevel="0" collapsed="false">
      <c r="A381" s="9" t="str">
        <f aca="false">IF($B381="","",ROW()-4)</f>
        <v/>
      </c>
      <c r="B381" s="39" t="str">
        <f aca="false">IFERROR(INDEX(对接源_01入库吨位!$B$5:$B$304,MATCH(INT((ROW()-5)/3)+1,对接源_01入库吨位!$S$5:$S$304,0)),"")</f>
        <v/>
      </c>
      <c r="C381" s="39" t="str">
        <f aca="false">IFERROR(INDEX(对接源_01入库吨位!$C$5:$C$304,MATCH(INT((ROW()-5)/3)+1,对接源_01入库吨位!$S$5:$S$304,0)),"")</f>
        <v/>
      </c>
      <c r="D381" s="40" t="str">
        <f aca="false">IF($B381="","",IF(MOD(ROW()-5,3)=0,"周转打冷",IF(MOD(ROW()-5,3)=1,"仓储加工","装卸费")))</f>
        <v/>
      </c>
      <c r="E381" s="51" t="str">
        <f aca="false">IF($B381="","",IFERROR(IF($D381="周转打冷",N(INDEX(对接源_01入库吨位!$D$5:$D$304,MATCH(INT((ROW()-5)/3)+1,对接源_01入库吨位!$S$5:$S$304,0))),IF($D381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1" s="41" t="str">
        <f aca="false">IF($B381="","",ROUND(IFERROR(IF($D381="周转打冷",N(INDEX(对接源_01入库吨位!$H$5:$H$304,MATCH(INT((ROW()-5)/3)+1,对接源_01入库吨位!$S$5:$S$304,0))),IF($D381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1" s="52" t="str">
        <f aca="false">IF($B381="","",ROUND(N($F381)/1000,3))</f>
        <v/>
      </c>
      <c r="H381" s="74"/>
      <c r="I381" s="44"/>
      <c r="J381" s="75" t="str">
        <f aca="false">IF($B381="","",IF($H381="按筐数×单价",N($E381),IF($H381="按总重KG×单价",N($F381),IF($H381="按吨位×单价",N($G381),0))))</f>
        <v/>
      </c>
      <c r="K381" s="41" t="str">
        <f aca="false">IF($B381="","",ROUND(N($J381)*N($I381),2))</f>
        <v/>
      </c>
      <c r="L381" s="42"/>
      <c r="M381" s="76"/>
      <c r="N381" s="43"/>
      <c r="R381" s="77" t="str">
        <f aca="false">IF($B381="","",$B381)</f>
        <v/>
      </c>
      <c r="S381" s="77" t="n">
        <f aca="false">IF($R381="",0,IF(MATCH($R381,$R$5:$R$904,0)=ROW()-4,1,0))</f>
        <v>0</v>
      </c>
      <c r="T381" s="77" t="n">
        <f aca="false">N(T380)+$S381</f>
        <v>18</v>
      </c>
    </row>
    <row r="382" customFormat="false" ht="13.5" hidden="false" customHeight="false" outlineLevel="0" collapsed="false">
      <c r="A382" s="9" t="str">
        <f aca="false">IF($B382="","",ROW()-4)</f>
        <v/>
      </c>
      <c r="B382" s="39" t="str">
        <f aca="false">IFERROR(INDEX(对接源_01入库吨位!$B$5:$B$304,MATCH(INT((ROW()-5)/3)+1,对接源_01入库吨位!$S$5:$S$304,0)),"")</f>
        <v/>
      </c>
      <c r="C382" s="39" t="str">
        <f aca="false">IFERROR(INDEX(对接源_01入库吨位!$C$5:$C$304,MATCH(INT((ROW()-5)/3)+1,对接源_01入库吨位!$S$5:$S$304,0)),"")</f>
        <v/>
      </c>
      <c r="D382" s="40" t="str">
        <f aca="false">IF($B382="","",IF(MOD(ROW()-5,3)=0,"周转打冷",IF(MOD(ROW()-5,3)=1,"仓储加工","装卸费")))</f>
        <v/>
      </c>
      <c r="E382" s="51" t="str">
        <f aca="false">IF($B382="","",IFERROR(IF($D382="周转打冷",N(INDEX(对接源_01入库吨位!$D$5:$D$304,MATCH(INT((ROW()-5)/3)+1,对接源_01入库吨位!$S$5:$S$304,0))),IF($D382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2" s="41" t="str">
        <f aca="false">IF($B382="","",ROUND(IFERROR(IF($D382="周转打冷",N(INDEX(对接源_01入库吨位!$H$5:$H$304,MATCH(INT((ROW()-5)/3)+1,对接源_01入库吨位!$S$5:$S$304,0))),IF($D382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2" s="52" t="str">
        <f aca="false">IF($B382="","",ROUND(N($F382)/1000,3))</f>
        <v/>
      </c>
      <c r="H382" s="74"/>
      <c r="I382" s="44"/>
      <c r="J382" s="75" t="str">
        <f aca="false">IF($B382="","",IF($H382="按筐数×单价",N($E382),IF($H382="按总重KG×单价",N($F382),IF($H382="按吨位×单价",N($G382),0))))</f>
        <v/>
      </c>
      <c r="K382" s="41" t="str">
        <f aca="false">IF($B382="","",ROUND(N($J382)*N($I382),2))</f>
        <v/>
      </c>
      <c r="L382" s="42"/>
      <c r="M382" s="76"/>
      <c r="N382" s="43"/>
      <c r="R382" s="77" t="str">
        <f aca="false">IF($B382="","",$B382)</f>
        <v/>
      </c>
      <c r="S382" s="77" t="n">
        <f aca="false">IF($R382="",0,IF(MATCH($R382,$R$5:$R$904,0)=ROW()-4,1,0))</f>
        <v>0</v>
      </c>
      <c r="T382" s="77" t="n">
        <f aca="false">N(T381)+$S382</f>
        <v>18</v>
      </c>
    </row>
    <row r="383" customFormat="false" ht="13.5" hidden="false" customHeight="false" outlineLevel="0" collapsed="false">
      <c r="A383" s="9" t="str">
        <f aca="false">IF($B383="","",ROW()-4)</f>
        <v/>
      </c>
      <c r="B383" s="39" t="str">
        <f aca="false">IFERROR(INDEX(对接源_01入库吨位!$B$5:$B$304,MATCH(INT((ROW()-5)/3)+1,对接源_01入库吨位!$S$5:$S$304,0)),"")</f>
        <v/>
      </c>
      <c r="C383" s="39" t="str">
        <f aca="false">IFERROR(INDEX(对接源_01入库吨位!$C$5:$C$304,MATCH(INT((ROW()-5)/3)+1,对接源_01入库吨位!$S$5:$S$304,0)),"")</f>
        <v/>
      </c>
      <c r="D383" s="40" t="str">
        <f aca="false">IF($B383="","",IF(MOD(ROW()-5,3)=0,"周转打冷",IF(MOD(ROW()-5,3)=1,"仓储加工","装卸费")))</f>
        <v/>
      </c>
      <c r="E383" s="51" t="str">
        <f aca="false">IF($B383="","",IFERROR(IF($D383="周转打冷",N(INDEX(对接源_01入库吨位!$D$5:$D$304,MATCH(INT((ROW()-5)/3)+1,对接源_01入库吨位!$S$5:$S$304,0))),IF($D383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3" s="41" t="str">
        <f aca="false">IF($B383="","",ROUND(IFERROR(IF($D383="周转打冷",N(INDEX(对接源_01入库吨位!$H$5:$H$304,MATCH(INT((ROW()-5)/3)+1,对接源_01入库吨位!$S$5:$S$304,0))),IF($D383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3" s="52" t="str">
        <f aca="false">IF($B383="","",ROUND(N($F383)/1000,3))</f>
        <v/>
      </c>
      <c r="H383" s="74"/>
      <c r="I383" s="44"/>
      <c r="J383" s="75" t="str">
        <f aca="false">IF($B383="","",IF($H383="按筐数×单价",N($E383),IF($H383="按总重KG×单价",N($F383),IF($H383="按吨位×单价",N($G383),0))))</f>
        <v/>
      </c>
      <c r="K383" s="41" t="str">
        <f aca="false">IF($B383="","",ROUND(N($J383)*N($I383),2))</f>
        <v/>
      </c>
      <c r="L383" s="42"/>
      <c r="M383" s="76"/>
      <c r="N383" s="43"/>
      <c r="R383" s="77" t="str">
        <f aca="false">IF($B383="","",$B383)</f>
        <v/>
      </c>
      <c r="S383" s="77" t="n">
        <f aca="false">IF($R383="",0,IF(MATCH($R383,$R$5:$R$904,0)=ROW()-4,1,0))</f>
        <v>0</v>
      </c>
      <c r="T383" s="77" t="n">
        <f aca="false">N(T382)+$S383</f>
        <v>18</v>
      </c>
    </row>
    <row r="384" customFormat="false" ht="13.5" hidden="false" customHeight="false" outlineLevel="0" collapsed="false">
      <c r="A384" s="9" t="str">
        <f aca="false">IF($B384="","",ROW()-4)</f>
        <v/>
      </c>
      <c r="B384" s="39" t="str">
        <f aca="false">IFERROR(INDEX(对接源_01入库吨位!$B$5:$B$304,MATCH(INT((ROW()-5)/3)+1,对接源_01入库吨位!$S$5:$S$304,0)),"")</f>
        <v/>
      </c>
      <c r="C384" s="39" t="str">
        <f aca="false">IFERROR(INDEX(对接源_01入库吨位!$C$5:$C$304,MATCH(INT((ROW()-5)/3)+1,对接源_01入库吨位!$S$5:$S$304,0)),"")</f>
        <v/>
      </c>
      <c r="D384" s="40" t="str">
        <f aca="false">IF($B384="","",IF(MOD(ROW()-5,3)=0,"周转打冷",IF(MOD(ROW()-5,3)=1,"仓储加工","装卸费")))</f>
        <v/>
      </c>
      <c r="E384" s="51" t="str">
        <f aca="false">IF($B384="","",IFERROR(IF($D384="周转打冷",N(INDEX(对接源_01入库吨位!$D$5:$D$304,MATCH(INT((ROW()-5)/3)+1,对接源_01入库吨位!$S$5:$S$304,0))),IF($D384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4" s="41" t="str">
        <f aca="false">IF($B384="","",ROUND(IFERROR(IF($D384="周转打冷",N(INDEX(对接源_01入库吨位!$H$5:$H$304,MATCH(INT((ROW()-5)/3)+1,对接源_01入库吨位!$S$5:$S$304,0))),IF($D384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4" s="52" t="str">
        <f aca="false">IF($B384="","",ROUND(N($F384)/1000,3))</f>
        <v/>
      </c>
      <c r="H384" s="74"/>
      <c r="I384" s="44"/>
      <c r="J384" s="75" t="str">
        <f aca="false">IF($B384="","",IF($H384="按筐数×单价",N($E384),IF($H384="按总重KG×单价",N($F384),IF($H384="按吨位×单价",N($G384),0))))</f>
        <v/>
      </c>
      <c r="K384" s="41" t="str">
        <f aca="false">IF($B384="","",ROUND(N($J384)*N($I384),2))</f>
        <v/>
      </c>
      <c r="L384" s="42"/>
      <c r="M384" s="76"/>
      <c r="N384" s="43"/>
      <c r="R384" s="77" t="str">
        <f aca="false">IF($B384="","",$B384)</f>
        <v/>
      </c>
      <c r="S384" s="77" t="n">
        <f aca="false">IF($R384="",0,IF(MATCH($R384,$R$5:$R$904,0)=ROW()-4,1,0))</f>
        <v>0</v>
      </c>
      <c r="T384" s="77" t="n">
        <f aca="false">N(T383)+$S384</f>
        <v>18</v>
      </c>
    </row>
    <row r="385" customFormat="false" ht="13.5" hidden="false" customHeight="false" outlineLevel="0" collapsed="false">
      <c r="A385" s="9" t="str">
        <f aca="false">IF($B385="","",ROW()-4)</f>
        <v/>
      </c>
      <c r="B385" s="39" t="str">
        <f aca="false">IFERROR(INDEX(对接源_01入库吨位!$B$5:$B$304,MATCH(INT((ROW()-5)/3)+1,对接源_01入库吨位!$S$5:$S$304,0)),"")</f>
        <v/>
      </c>
      <c r="C385" s="39" t="str">
        <f aca="false">IFERROR(INDEX(对接源_01入库吨位!$C$5:$C$304,MATCH(INT((ROW()-5)/3)+1,对接源_01入库吨位!$S$5:$S$304,0)),"")</f>
        <v/>
      </c>
      <c r="D385" s="40" t="str">
        <f aca="false">IF($B385="","",IF(MOD(ROW()-5,3)=0,"周转打冷",IF(MOD(ROW()-5,3)=1,"仓储加工","装卸费")))</f>
        <v/>
      </c>
      <c r="E385" s="51" t="str">
        <f aca="false">IF($B385="","",IFERROR(IF($D385="周转打冷",N(INDEX(对接源_01入库吨位!$D$5:$D$304,MATCH(INT((ROW()-5)/3)+1,对接源_01入库吨位!$S$5:$S$304,0))),IF($D385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5" s="41" t="str">
        <f aca="false">IF($B385="","",ROUND(IFERROR(IF($D385="周转打冷",N(INDEX(对接源_01入库吨位!$H$5:$H$304,MATCH(INT((ROW()-5)/3)+1,对接源_01入库吨位!$S$5:$S$304,0))),IF($D385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5" s="52" t="str">
        <f aca="false">IF($B385="","",ROUND(N($F385)/1000,3))</f>
        <v/>
      </c>
      <c r="H385" s="74"/>
      <c r="I385" s="44"/>
      <c r="J385" s="75" t="str">
        <f aca="false">IF($B385="","",IF($H385="按筐数×单价",N($E385),IF($H385="按总重KG×单价",N($F385),IF($H385="按吨位×单价",N($G385),0))))</f>
        <v/>
      </c>
      <c r="K385" s="41" t="str">
        <f aca="false">IF($B385="","",ROUND(N($J385)*N($I385),2))</f>
        <v/>
      </c>
      <c r="L385" s="42"/>
      <c r="M385" s="76"/>
      <c r="N385" s="43"/>
      <c r="R385" s="77" t="str">
        <f aca="false">IF($B385="","",$B385)</f>
        <v/>
      </c>
      <c r="S385" s="77" t="n">
        <f aca="false">IF($R385="",0,IF(MATCH($R385,$R$5:$R$904,0)=ROW()-4,1,0))</f>
        <v>0</v>
      </c>
      <c r="T385" s="77" t="n">
        <f aca="false">N(T384)+$S385</f>
        <v>18</v>
      </c>
    </row>
    <row r="386" customFormat="false" ht="13.5" hidden="false" customHeight="false" outlineLevel="0" collapsed="false">
      <c r="A386" s="9" t="str">
        <f aca="false">IF($B386="","",ROW()-4)</f>
        <v/>
      </c>
      <c r="B386" s="39" t="str">
        <f aca="false">IFERROR(INDEX(对接源_01入库吨位!$B$5:$B$304,MATCH(INT((ROW()-5)/3)+1,对接源_01入库吨位!$S$5:$S$304,0)),"")</f>
        <v/>
      </c>
      <c r="C386" s="39" t="str">
        <f aca="false">IFERROR(INDEX(对接源_01入库吨位!$C$5:$C$304,MATCH(INT((ROW()-5)/3)+1,对接源_01入库吨位!$S$5:$S$304,0)),"")</f>
        <v/>
      </c>
      <c r="D386" s="40" t="str">
        <f aca="false">IF($B386="","",IF(MOD(ROW()-5,3)=0,"周转打冷",IF(MOD(ROW()-5,3)=1,"仓储加工","装卸费")))</f>
        <v/>
      </c>
      <c r="E386" s="51" t="str">
        <f aca="false">IF($B386="","",IFERROR(IF($D386="周转打冷",N(INDEX(对接源_01入库吨位!$D$5:$D$304,MATCH(INT((ROW()-5)/3)+1,对接源_01入库吨位!$S$5:$S$304,0))),IF($D386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6" s="41" t="str">
        <f aca="false">IF($B386="","",ROUND(IFERROR(IF($D386="周转打冷",N(INDEX(对接源_01入库吨位!$H$5:$H$304,MATCH(INT((ROW()-5)/3)+1,对接源_01入库吨位!$S$5:$S$304,0))),IF($D386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6" s="52" t="str">
        <f aca="false">IF($B386="","",ROUND(N($F386)/1000,3))</f>
        <v/>
      </c>
      <c r="H386" s="74"/>
      <c r="I386" s="44"/>
      <c r="J386" s="75" t="str">
        <f aca="false">IF($B386="","",IF($H386="按筐数×单价",N($E386),IF($H386="按总重KG×单价",N($F386),IF($H386="按吨位×单价",N($G386),0))))</f>
        <v/>
      </c>
      <c r="K386" s="41" t="str">
        <f aca="false">IF($B386="","",ROUND(N($J386)*N($I386),2))</f>
        <v/>
      </c>
      <c r="L386" s="42"/>
      <c r="M386" s="76"/>
      <c r="N386" s="43"/>
      <c r="R386" s="77" t="str">
        <f aca="false">IF($B386="","",$B386)</f>
        <v/>
      </c>
      <c r="S386" s="77" t="n">
        <f aca="false">IF($R386="",0,IF(MATCH($R386,$R$5:$R$904,0)=ROW()-4,1,0))</f>
        <v>0</v>
      </c>
      <c r="T386" s="77" t="n">
        <f aca="false">N(T385)+$S386</f>
        <v>18</v>
      </c>
    </row>
    <row r="387" customFormat="false" ht="13.5" hidden="false" customHeight="false" outlineLevel="0" collapsed="false">
      <c r="A387" s="9" t="str">
        <f aca="false">IF($B387="","",ROW()-4)</f>
        <v/>
      </c>
      <c r="B387" s="39" t="str">
        <f aca="false">IFERROR(INDEX(对接源_01入库吨位!$B$5:$B$304,MATCH(INT((ROW()-5)/3)+1,对接源_01入库吨位!$S$5:$S$304,0)),"")</f>
        <v/>
      </c>
      <c r="C387" s="39" t="str">
        <f aca="false">IFERROR(INDEX(对接源_01入库吨位!$C$5:$C$304,MATCH(INT((ROW()-5)/3)+1,对接源_01入库吨位!$S$5:$S$304,0)),"")</f>
        <v/>
      </c>
      <c r="D387" s="40" t="str">
        <f aca="false">IF($B387="","",IF(MOD(ROW()-5,3)=0,"周转打冷",IF(MOD(ROW()-5,3)=1,"仓储加工","装卸费")))</f>
        <v/>
      </c>
      <c r="E387" s="51" t="str">
        <f aca="false">IF($B387="","",IFERROR(IF($D387="周转打冷",N(INDEX(对接源_01入库吨位!$D$5:$D$304,MATCH(INT((ROW()-5)/3)+1,对接源_01入库吨位!$S$5:$S$304,0))),IF($D387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7" s="41" t="str">
        <f aca="false">IF($B387="","",ROUND(IFERROR(IF($D387="周转打冷",N(INDEX(对接源_01入库吨位!$H$5:$H$304,MATCH(INT((ROW()-5)/3)+1,对接源_01入库吨位!$S$5:$S$304,0))),IF($D387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7" s="52" t="str">
        <f aca="false">IF($B387="","",ROUND(N($F387)/1000,3))</f>
        <v/>
      </c>
      <c r="H387" s="74"/>
      <c r="I387" s="44"/>
      <c r="J387" s="75" t="str">
        <f aca="false">IF($B387="","",IF($H387="按筐数×单价",N($E387),IF($H387="按总重KG×单价",N($F387),IF($H387="按吨位×单价",N($G387),0))))</f>
        <v/>
      </c>
      <c r="K387" s="41" t="str">
        <f aca="false">IF($B387="","",ROUND(N($J387)*N($I387),2))</f>
        <v/>
      </c>
      <c r="L387" s="42"/>
      <c r="M387" s="76"/>
      <c r="N387" s="43"/>
      <c r="R387" s="77" t="str">
        <f aca="false">IF($B387="","",$B387)</f>
        <v/>
      </c>
      <c r="S387" s="77" t="n">
        <f aca="false">IF($R387="",0,IF(MATCH($R387,$R$5:$R$904,0)=ROW()-4,1,0))</f>
        <v>0</v>
      </c>
      <c r="T387" s="77" t="n">
        <f aca="false">N(T386)+$S387</f>
        <v>18</v>
      </c>
    </row>
    <row r="388" customFormat="false" ht="13.5" hidden="false" customHeight="false" outlineLevel="0" collapsed="false">
      <c r="A388" s="9" t="str">
        <f aca="false">IF($B388="","",ROW()-4)</f>
        <v/>
      </c>
      <c r="B388" s="39" t="str">
        <f aca="false">IFERROR(INDEX(对接源_01入库吨位!$B$5:$B$304,MATCH(INT((ROW()-5)/3)+1,对接源_01入库吨位!$S$5:$S$304,0)),"")</f>
        <v/>
      </c>
      <c r="C388" s="39" t="str">
        <f aca="false">IFERROR(INDEX(对接源_01入库吨位!$C$5:$C$304,MATCH(INT((ROW()-5)/3)+1,对接源_01入库吨位!$S$5:$S$304,0)),"")</f>
        <v/>
      </c>
      <c r="D388" s="40" t="str">
        <f aca="false">IF($B388="","",IF(MOD(ROW()-5,3)=0,"周转打冷",IF(MOD(ROW()-5,3)=1,"仓储加工","装卸费")))</f>
        <v/>
      </c>
      <c r="E388" s="51" t="str">
        <f aca="false">IF($B388="","",IFERROR(IF($D388="周转打冷",N(INDEX(对接源_01入库吨位!$D$5:$D$304,MATCH(INT((ROW()-5)/3)+1,对接源_01入库吨位!$S$5:$S$304,0))),IF($D388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8" s="41" t="str">
        <f aca="false">IF($B388="","",ROUND(IFERROR(IF($D388="周转打冷",N(INDEX(对接源_01入库吨位!$H$5:$H$304,MATCH(INT((ROW()-5)/3)+1,对接源_01入库吨位!$S$5:$S$304,0))),IF($D388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8" s="52" t="str">
        <f aca="false">IF($B388="","",ROUND(N($F388)/1000,3))</f>
        <v/>
      </c>
      <c r="H388" s="74"/>
      <c r="I388" s="44"/>
      <c r="J388" s="75" t="str">
        <f aca="false">IF($B388="","",IF($H388="按筐数×单价",N($E388),IF($H388="按总重KG×单价",N($F388),IF($H388="按吨位×单价",N($G388),0))))</f>
        <v/>
      </c>
      <c r="K388" s="41" t="str">
        <f aca="false">IF($B388="","",ROUND(N($J388)*N($I388),2))</f>
        <v/>
      </c>
      <c r="L388" s="42"/>
      <c r="M388" s="76"/>
      <c r="N388" s="43"/>
      <c r="R388" s="77" t="str">
        <f aca="false">IF($B388="","",$B388)</f>
        <v/>
      </c>
      <c r="S388" s="77" t="n">
        <f aca="false">IF($R388="",0,IF(MATCH($R388,$R$5:$R$904,0)=ROW()-4,1,0))</f>
        <v>0</v>
      </c>
      <c r="T388" s="77" t="n">
        <f aca="false">N(T387)+$S388</f>
        <v>18</v>
      </c>
    </row>
    <row r="389" customFormat="false" ht="13.5" hidden="false" customHeight="false" outlineLevel="0" collapsed="false">
      <c r="A389" s="9" t="str">
        <f aca="false">IF($B389="","",ROW()-4)</f>
        <v/>
      </c>
      <c r="B389" s="39" t="str">
        <f aca="false">IFERROR(INDEX(对接源_01入库吨位!$B$5:$B$304,MATCH(INT((ROW()-5)/3)+1,对接源_01入库吨位!$S$5:$S$304,0)),"")</f>
        <v/>
      </c>
      <c r="C389" s="39" t="str">
        <f aca="false">IFERROR(INDEX(对接源_01入库吨位!$C$5:$C$304,MATCH(INT((ROW()-5)/3)+1,对接源_01入库吨位!$S$5:$S$304,0)),"")</f>
        <v/>
      </c>
      <c r="D389" s="40" t="str">
        <f aca="false">IF($B389="","",IF(MOD(ROW()-5,3)=0,"周转打冷",IF(MOD(ROW()-5,3)=1,"仓储加工","装卸费")))</f>
        <v/>
      </c>
      <c r="E389" s="51" t="str">
        <f aca="false">IF($B389="","",IFERROR(IF($D389="周转打冷",N(INDEX(对接源_01入库吨位!$D$5:$D$304,MATCH(INT((ROW()-5)/3)+1,对接源_01入库吨位!$S$5:$S$304,0))),IF($D389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89" s="41" t="str">
        <f aca="false">IF($B389="","",ROUND(IFERROR(IF($D389="周转打冷",N(INDEX(对接源_01入库吨位!$H$5:$H$304,MATCH(INT((ROW()-5)/3)+1,对接源_01入库吨位!$S$5:$S$304,0))),IF($D389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89" s="52" t="str">
        <f aca="false">IF($B389="","",ROUND(N($F389)/1000,3))</f>
        <v/>
      </c>
      <c r="H389" s="74"/>
      <c r="I389" s="44"/>
      <c r="J389" s="75" t="str">
        <f aca="false">IF($B389="","",IF($H389="按筐数×单价",N($E389),IF($H389="按总重KG×单价",N($F389),IF($H389="按吨位×单价",N($G389),0))))</f>
        <v/>
      </c>
      <c r="K389" s="41" t="str">
        <f aca="false">IF($B389="","",ROUND(N($J389)*N($I389),2))</f>
        <v/>
      </c>
      <c r="L389" s="42"/>
      <c r="M389" s="76"/>
      <c r="N389" s="43"/>
      <c r="R389" s="77" t="str">
        <f aca="false">IF($B389="","",$B389)</f>
        <v/>
      </c>
      <c r="S389" s="77" t="n">
        <f aca="false">IF($R389="",0,IF(MATCH($R389,$R$5:$R$904,0)=ROW()-4,1,0))</f>
        <v>0</v>
      </c>
      <c r="T389" s="77" t="n">
        <f aca="false">N(T388)+$S389</f>
        <v>18</v>
      </c>
    </row>
    <row r="390" customFormat="false" ht="13.5" hidden="false" customHeight="false" outlineLevel="0" collapsed="false">
      <c r="A390" s="9" t="str">
        <f aca="false">IF($B390="","",ROW()-4)</f>
        <v/>
      </c>
      <c r="B390" s="39" t="str">
        <f aca="false">IFERROR(INDEX(对接源_01入库吨位!$B$5:$B$304,MATCH(INT((ROW()-5)/3)+1,对接源_01入库吨位!$S$5:$S$304,0)),"")</f>
        <v/>
      </c>
      <c r="C390" s="39" t="str">
        <f aca="false">IFERROR(INDEX(对接源_01入库吨位!$C$5:$C$304,MATCH(INT((ROW()-5)/3)+1,对接源_01入库吨位!$S$5:$S$304,0)),"")</f>
        <v/>
      </c>
      <c r="D390" s="40" t="str">
        <f aca="false">IF($B390="","",IF(MOD(ROW()-5,3)=0,"周转打冷",IF(MOD(ROW()-5,3)=1,"仓储加工","装卸费")))</f>
        <v/>
      </c>
      <c r="E390" s="51" t="str">
        <f aca="false">IF($B390="","",IFERROR(IF($D390="周转打冷",N(INDEX(对接源_01入库吨位!$D$5:$D$304,MATCH(INT((ROW()-5)/3)+1,对接源_01入库吨位!$S$5:$S$304,0))),IF($D390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0" s="41" t="str">
        <f aca="false">IF($B390="","",ROUND(IFERROR(IF($D390="周转打冷",N(INDEX(对接源_01入库吨位!$H$5:$H$304,MATCH(INT((ROW()-5)/3)+1,对接源_01入库吨位!$S$5:$S$304,0))),IF($D390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0" s="52" t="str">
        <f aca="false">IF($B390="","",ROUND(N($F390)/1000,3))</f>
        <v/>
      </c>
      <c r="H390" s="74"/>
      <c r="I390" s="44"/>
      <c r="J390" s="75" t="str">
        <f aca="false">IF($B390="","",IF($H390="按筐数×单价",N($E390),IF($H390="按总重KG×单价",N($F390),IF($H390="按吨位×单价",N($G390),0))))</f>
        <v/>
      </c>
      <c r="K390" s="41" t="str">
        <f aca="false">IF($B390="","",ROUND(N($J390)*N($I390),2))</f>
        <v/>
      </c>
      <c r="L390" s="42"/>
      <c r="M390" s="76"/>
      <c r="N390" s="43"/>
      <c r="R390" s="77" t="str">
        <f aca="false">IF($B390="","",$B390)</f>
        <v/>
      </c>
      <c r="S390" s="77" t="n">
        <f aca="false">IF($R390="",0,IF(MATCH($R390,$R$5:$R$904,0)=ROW()-4,1,0))</f>
        <v>0</v>
      </c>
      <c r="T390" s="77" t="n">
        <f aca="false">N(T389)+$S390</f>
        <v>18</v>
      </c>
    </row>
    <row r="391" customFormat="false" ht="13.5" hidden="false" customHeight="false" outlineLevel="0" collapsed="false">
      <c r="A391" s="9" t="str">
        <f aca="false">IF($B391="","",ROW()-4)</f>
        <v/>
      </c>
      <c r="B391" s="39" t="str">
        <f aca="false">IFERROR(INDEX(对接源_01入库吨位!$B$5:$B$304,MATCH(INT((ROW()-5)/3)+1,对接源_01入库吨位!$S$5:$S$304,0)),"")</f>
        <v/>
      </c>
      <c r="C391" s="39" t="str">
        <f aca="false">IFERROR(INDEX(对接源_01入库吨位!$C$5:$C$304,MATCH(INT((ROW()-5)/3)+1,对接源_01入库吨位!$S$5:$S$304,0)),"")</f>
        <v/>
      </c>
      <c r="D391" s="40" t="str">
        <f aca="false">IF($B391="","",IF(MOD(ROW()-5,3)=0,"周转打冷",IF(MOD(ROW()-5,3)=1,"仓储加工","装卸费")))</f>
        <v/>
      </c>
      <c r="E391" s="51" t="str">
        <f aca="false">IF($B391="","",IFERROR(IF($D391="周转打冷",N(INDEX(对接源_01入库吨位!$D$5:$D$304,MATCH(INT((ROW()-5)/3)+1,对接源_01入库吨位!$S$5:$S$304,0))),IF($D391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1" s="41" t="str">
        <f aca="false">IF($B391="","",ROUND(IFERROR(IF($D391="周转打冷",N(INDEX(对接源_01入库吨位!$H$5:$H$304,MATCH(INT((ROW()-5)/3)+1,对接源_01入库吨位!$S$5:$S$304,0))),IF($D391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1" s="52" t="str">
        <f aca="false">IF($B391="","",ROUND(N($F391)/1000,3))</f>
        <v/>
      </c>
      <c r="H391" s="74"/>
      <c r="I391" s="44"/>
      <c r="J391" s="75" t="str">
        <f aca="false">IF($B391="","",IF($H391="按筐数×单价",N($E391),IF($H391="按总重KG×单价",N($F391),IF($H391="按吨位×单价",N($G391),0))))</f>
        <v/>
      </c>
      <c r="K391" s="41" t="str">
        <f aca="false">IF($B391="","",ROUND(N($J391)*N($I391),2))</f>
        <v/>
      </c>
      <c r="L391" s="42"/>
      <c r="M391" s="76"/>
      <c r="N391" s="43"/>
      <c r="R391" s="77" t="str">
        <f aca="false">IF($B391="","",$B391)</f>
        <v/>
      </c>
      <c r="S391" s="77" t="n">
        <f aca="false">IF($R391="",0,IF(MATCH($R391,$R$5:$R$904,0)=ROW()-4,1,0))</f>
        <v>0</v>
      </c>
      <c r="T391" s="77" t="n">
        <f aca="false">N(T390)+$S391</f>
        <v>18</v>
      </c>
    </row>
    <row r="392" customFormat="false" ht="13.5" hidden="false" customHeight="false" outlineLevel="0" collapsed="false">
      <c r="A392" s="9" t="str">
        <f aca="false">IF($B392="","",ROW()-4)</f>
        <v/>
      </c>
      <c r="B392" s="39" t="str">
        <f aca="false">IFERROR(INDEX(对接源_01入库吨位!$B$5:$B$304,MATCH(INT((ROW()-5)/3)+1,对接源_01入库吨位!$S$5:$S$304,0)),"")</f>
        <v/>
      </c>
      <c r="C392" s="39" t="str">
        <f aca="false">IFERROR(INDEX(对接源_01入库吨位!$C$5:$C$304,MATCH(INT((ROW()-5)/3)+1,对接源_01入库吨位!$S$5:$S$304,0)),"")</f>
        <v/>
      </c>
      <c r="D392" s="40" t="str">
        <f aca="false">IF($B392="","",IF(MOD(ROW()-5,3)=0,"周转打冷",IF(MOD(ROW()-5,3)=1,"仓储加工","装卸费")))</f>
        <v/>
      </c>
      <c r="E392" s="51" t="str">
        <f aca="false">IF($B392="","",IFERROR(IF($D392="周转打冷",N(INDEX(对接源_01入库吨位!$D$5:$D$304,MATCH(INT((ROW()-5)/3)+1,对接源_01入库吨位!$S$5:$S$304,0))),IF($D392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2" s="41" t="str">
        <f aca="false">IF($B392="","",ROUND(IFERROR(IF($D392="周转打冷",N(INDEX(对接源_01入库吨位!$H$5:$H$304,MATCH(INT((ROW()-5)/3)+1,对接源_01入库吨位!$S$5:$S$304,0))),IF($D392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2" s="52" t="str">
        <f aca="false">IF($B392="","",ROUND(N($F392)/1000,3))</f>
        <v/>
      </c>
      <c r="H392" s="74"/>
      <c r="I392" s="44"/>
      <c r="J392" s="75" t="str">
        <f aca="false">IF($B392="","",IF($H392="按筐数×单价",N($E392),IF($H392="按总重KG×单价",N($F392),IF($H392="按吨位×单价",N($G392),0))))</f>
        <v/>
      </c>
      <c r="K392" s="41" t="str">
        <f aca="false">IF($B392="","",ROUND(N($J392)*N($I392),2))</f>
        <v/>
      </c>
      <c r="L392" s="42"/>
      <c r="M392" s="76"/>
      <c r="N392" s="43"/>
      <c r="R392" s="77" t="str">
        <f aca="false">IF($B392="","",$B392)</f>
        <v/>
      </c>
      <c r="S392" s="77" t="n">
        <f aca="false">IF($R392="",0,IF(MATCH($R392,$R$5:$R$904,0)=ROW()-4,1,0))</f>
        <v>0</v>
      </c>
      <c r="T392" s="77" t="n">
        <f aca="false">N(T391)+$S392</f>
        <v>18</v>
      </c>
    </row>
    <row r="393" customFormat="false" ht="13.5" hidden="false" customHeight="false" outlineLevel="0" collapsed="false">
      <c r="A393" s="9" t="str">
        <f aca="false">IF($B393="","",ROW()-4)</f>
        <v/>
      </c>
      <c r="B393" s="39" t="str">
        <f aca="false">IFERROR(INDEX(对接源_01入库吨位!$B$5:$B$304,MATCH(INT((ROW()-5)/3)+1,对接源_01入库吨位!$S$5:$S$304,0)),"")</f>
        <v/>
      </c>
      <c r="C393" s="39" t="str">
        <f aca="false">IFERROR(INDEX(对接源_01入库吨位!$C$5:$C$304,MATCH(INT((ROW()-5)/3)+1,对接源_01入库吨位!$S$5:$S$304,0)),"")</f>
        <v/>
      </c>
      <c r="D393" s="40" t="str">
        <f aca="false">IF($B393="","",IF(MOD(ROW()-5,3)=0,"周转打冷",IF(MOD(ROW()-5,3)=1,"仓储加工","装卸费")))</f>
        <v/>
      </c>
      <c r="E393" s="51" t="str">
        <f aca="false">IF($B393="","",IFERROR(IF($D393="周转打冷",N(INDEX(对接源_01入库吨位!$D$5:$D$304,MATCH(INT((ROW()-5)/3)+1,对接源_01入库吨位!$S$5:$S$304,0))),IF($D393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3" s="41" t="str">
        <f aca="false">IF($B393="","",ROUND(IFERROR(IF($D393="周转打冷",N(INDEX(对接源_01入库吨位!$H$5:$H$304,MATCH(INT((ROW()-5)/3)+1,对接源_01入库吨位!$S$5:$S$304,0))),IF($D393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3" s="52" t="str">
        <f aca="false">IF($B393="","",ROUND(N($F393)/1000,3))</f>
        <v/>
      </c>
      <c r="H393" s="74"/>
      <c r="I393" s="44"/>
      <c r="J393" s="75" t="str">
        <f aca="false">IF($B393="","",IF($H393="按筐数×单价",N($E393),IF($H393="按总重KG×单价",N($F393),IF($H393="按吨位×单价",N($G393),0))))</f>
        <v/>
      </c>
      <c r="K393" s="41" t="str">
        <f aca="false">IF($B393="","",ROUND(N($J393)*N($I393),2))</f>
        <v/>
      </c>
      <c r="L393" s="42"/>
      <c r="M393" s="76"/>
      <c r="N393" s="43"/>
      <c r="R393" s="77" t="str">
        <f aca="false">IF($B393="","",$B393)</f>
        <v/>
      </c>
      <c r="S393" s="77" t="n">
        <f aca="false">IF($R393="",0,IF(MATCH($R393,$R$5:$R$904,0)=ROW()-4,1,0))</f>
        <v>0</v>
      </c>
      <c r="T393" s="77" t="n">
        <f aca="false">N(T392)+$S393</f>
        <v>18</v>
      </c>
    </row>
    <row r="394" customFormat="false" ht="13.5" hidden="false" customHeight="false" outlineLevel="0" collapsed="false">
      <c r="A394" s="9" t="str">
        <f aca="false">IF($B394="","",ROW()-4)</f>
        <v/>
      </c>
      <c r="B394" s="39" t="str">
        <f aca="false">IFERROR(INDEX(对接源_01入库吨位!$B$5:$B$304,MATCH(INT((ROW()-5)/3)+1,对接源_01入库吨位!$S$5:$S$304,0)),"")</f>
        <v/>
      </c>
      <c r="C394" s="39" t="str">
        <f aca="false">IFERROR(INDEX(对接源_01入库吨位!$C$5:$C$304,MATCH(INT((ROW()-5)/3)+1,对接源_01入库吨位!$S$5:$S$304,0)),"")</f>
        <v/>
      </c>
      <c r="D394" s="40" t="str">
        <f aca="false">IF($B394="","",IF(MOD(ROW()-5,3)=0,"周转打冷",IF(MOD(ROW()-5,3)=1,"仓储加工","装卸费")))</f>
        <v/>
      </c>
      <c r="E394" s="51" t="str">
        <f aca="false">IF($B394="","",IFERROR(IF($D394="周转打冷",N(INDEX(对接源_01入库吨位!$D$5:$D$304,MATCH(INT((ROW()-5)/3)+1,对接源_01入库吨位!$S$5:$S$304,0))),IF($D394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4" s="41" t="str">
        <f aca="false">IF($B394="","",ROUND(IFERROR(IF($D394="周转打冷",N(INDEX(对接源_01入库吨位!$H$5:$H$304,MATCH(INT((ROW()-5)/3)+1,对接源_01入库吨位!$S$5:$S$304,0))),IF($D394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4" s="52" t="str">
        <f aca="false">IF($B394="","",ROUND(N($F394)/1000,3))</f>
        <v/>
      </c>
      <c r="H394" s="74"/>
      <c r="I394" s="44"/>
      <c r="J394" s="75" t="str">
        <f aca="false">IF($B394="","",IF($H394="按筐数×单价",N($E394),IF($H394="按总重KG×单价",N($F394),IF($H394="按吨位×单价",N($G394),0))))</f>
        <v/>
      </c>
      <c r="K394" s="41" t="str">
        <f aca="false">IF($B394="","",ROUND(N($J394)*N($I394),2))</f>
        <v/>
      </c>
      <c r="L394" s="42"/>
      <c r="M394" s="76"/>
      <c r="N394" s="43"/>
      <c r="R394" s="77" t="str">
        <f aca="false">IF($B394="","",$B394)</f>
        <v/>
      </c>
      <c r="S394" s="77" t="n">
        <f aca="false">IF($R394="",0,IF(MATCH($R394,$R$5:$R$904,0)=ROW()-4,1,0))</f>
        <v>0</v>
      </c>
      <c r="T394" s="77" t="n">
        <f aca="false">N(T393)+$S394</f>
        <v>18</v>
      </c>
    </row>
    <row r="395" customFormat="false" ht="13.5" hidden="false" customHeight="false" outlineLevel="0" collapsed="false">
      <c r="A395" s="9" t="str">
        <f aca="false">IF($B395="","",ROW()-4)</f>
        <v/>
      </c>
      <c r="B395" s="39" t="str">
        <f aca="false">IFERROR(INDEX(对接源_01入库吨位!$B$5:$B$304,MATCH(INT((ROW()-5)/3)+1,对接源_01入库吨位!$S$5:$S$304,0)),"")</f>
        <v/>
      </c>
      <c r="C395" s="39" t="str">
        <f aca="false">IFERROR(INDEX(对接源_01入库吨位!$C$5:$C$304,MATCH(INT((ROW()-5)/3)+1,对接源_01入库吨位!$S$5:$S$304,0)),"")</f>
        <v/>
      </c>
      <c r="D395" s="40" t="str">
        <f aca="false">IF($B395="","",IF(MOD(ROW()-5,3)=0,"周转打冷",IF(MOD(ROW()-5,3)=1,"仓储加工","装卸费")))</f>
        <v/>
      </c>
      <c r="E395" s="51" t="str">
        <f aca="false">IF($B395="","",IFERROR(IF($D395="周转打冷",N(INDEX(对接源_01入库吨位!$D$5:$D$304,MATCH(INT((ROW()-5)/3)+1,对接源_01入库吨位!$S$5:$S$304,0))),IF($D395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5" s="41" t="str">
        <f aca="false">IF($B395="","",ROUND(IFERROR(IF($D395="周转打冷",N(INDEX(对接源_01入库吨位!$H$5:$H$304,MATCH(INT((ROW()-5)/3)+1,对接源_01入库吨位!$S$5:$S$304,0))),IF($D395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5" s="52" t="str">
        <f aca="false">IF($B395="","",ROUND(N($F395)/1000,3))</f>
        <v/>
      </c>
      <c r="H395" s="74"/>
      <c r="I395" s="44"/>
      <c r="J395" s="75" t="str">
        <f aca="false">IF($B395="","",IF($H395="按筐数×单价",N($E395),IF($H395="按总重KG×单价",N($F395),IF($H395="按吨位×单价",N($G395),0))))</f>
        <v/>
      </c>
      <c r="K395" s="41" t="str">
        <f aca="false">IF($B395="","",ROUND(N($J395)*N($I395),2))</f>
        <v/>
      </c>
      <c r="L395" s="42"/>
      <c r="M395" s="76"/>
      <c r="N395" s="43"/>
      <c r="R395" s="77" t="str">
        <f aca="false">IF($B395="","",$B395)</f>
        <v/>
      </c>
      <c r="S395" s="77" t="n">
        <f aca="false">IF($R395="",0,IF(MATCH($R395,$R$5:$R$904,0)=ROW()-4,1,0))</f>
        <v>0</v>
      </c>
      <c r="T395" s="77" t="n">
        <f aca="false">N(T394)+$S395</f>
        <v>18</v>
      </c>
    </row>
    <row r="396" customFormat="false" ht="13.5" hidden="false" customHeight="false" outlineLevel="0" collapsed="false">
      <c r="A396" s="9" t="str">
        <f aca="false">IF($B396="","",ROW()-4)</f>
        <v/>
      </c>
      <c r="B396" s="39" t="str">
        <f aca="false">IFERROR(INDEX(对接源_01入库吨位!$B$5:$B$304,MATCH(INT((ROW()-5)/3)+1,对接源_01入库吨位!$S$5:$S$304,0)),"")</f>
        <v/>
      </c>
      <c r="C396" s="39" t="str">
        <f aca="false">IFERROR(INDEX(对接源_01入库吨位!$C$5:$C$304,MATCH(INT((ROW()-5)/3)+1,对接源_01入库吨位!$S$5:$S$304,0)),"")</f>
        <v/>
      </c>
      <c r="D396" s="40" t="str">
        <f aca="false">IF($B396="","",IF(MOD(ROW()-5,3)=0,"周转打冷",IF(MOD(ROW()-5,3)=1,"仓储加工","装卸费")))</f>
        <v/>
      </c>
      <c r="E396" s="51" t="str">
        <f aca="false">IF($B396="","",IFERROR(IF($D396="周转打冷",N(INDEX(对接源_01入库吨位!$D$5:$D$304,MATCH(INT((ROW()-5)/3)+1,对接源_01入库吨位!$S$5:$S$304,0))),IF($D396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6" s="41" t="str">
        <f aca="false">IF($B396="","",ROUND(IFERROR(IF($D396="周转打冷",N(INDEX(对接源_01入库吨位!$H$5:$H$304,MATCH(INT((ROW()-5)/3)+1,对接源_01入库吨位!$S$5:$S$304,0))),IF($D396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6" s="52" t="str">
        <f aca="false">IF($B396="","",ROUND(N($F396)/1000,3))</f>
        <v/>
      </c>
      <c r="H396" s="74"/>
      <c r="I396" s="44"/>
      <c r="J396" s="75" t="str">
        <f aca="false">IF($B396="","",IF($H396="按筐数×单价",N($E396),IF($H396="按总重KG×单价",N($F396),IF($H396="按吨位×单价",N($G396),0))))</f>
        <v/>
      </c>
      <c r="K396" s="41" t="str">
        <f aca="false">IF($B396="","",ROUND(N($J396)*N($I396),2))</f>
        <v/>
      </c>
      <c r="L396" s="42"/>
      <c r="M396" s="76"/>
      <c r="N396" s="43"/>
      <c r="R396" s="77" t="str">
        <f aca="false">IF($B396="","",$B396)</f>
        <v/>
      </c>
      <c r="S396" s="77" t="n">
        <f aca="false">IF($R396="",0,IF(MATCH($R396,$R$5:$R$904,0)=ROW()-4,1,0))</f>
        <v>0</v>
      </c>
      <c r="T396" s="77" t="n">
        <f aca="false">N(T395)+$S396</f>
        <v>18</v>
      </c>
    </row>
    <row r="397" customFormat="false" ht="13.5" hidden="false" customHeight="false" outlineLevel="0" collapsed="false">
      <c r="A397" s="9" t="str">
        <f aca="false">IF($B397="","",ROW()-4)</f>
        <v/>
      </c>
      <c r="B397" s="39" t="str">
        <f aca="false">IFERROR(INDEX(对接源_01入库吨位!$B$5:$B$304,MATCH(INT((ROW()-5)/3)+1,对接源_01入库吨位!$S$5:$S$304,0)),"")</f>
        <v/>
      </c>
      <c r="C397" s="39" t="str">
        <f aca="false">IFERROR(INDEX(对接源_01入库吨位!$C$5:$C$304,MATCH(INT((ROW()-5)/3)+1,对接源_01入库吨位!$S$5:$S$304,0)),"")</f>
        <v/>
      </c>
      <c r="D397" s="40" t="str">
        <f aca="false">IF($B397="","",IF(MOD(ROW()-5,3)=0,"周转打冷",IF(MOD(ROW()-5,3)=1,"仓储加工","装卸费")))</f>
        <v/>
      </c>
      <c r="E397" s="51" t="str">
        <f aca="false">IF($B397="","",IFERROR(IF($D397="周转打冷",N(INDEX(对接源_01入库吨位!$D$5:$D$304,MATCH(INT((ROW()-5)/3)+1,对接源_01入库吨位!$S$5:$S$304,0))),IF($D397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7" s="41" t="str">
        <f aca="false">IF($B397="","",ROUND(IFERROR(IF($D397="周转打冷",N(INDEX(对接源_01入库吨位!$H$5:$H$304,MATCH(INT((ROW()-5)/3)+1,对接源_01入库吨位!$S$5:$S$304,0))),IF($D397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7" s="52" t="str">
        <f aca="false">IF($B397="","",ROUND(N($F397)/1000,3))</f>
        <v/>
      </c>
      <c r="H397" s="74"/>
      <c r="I397" s="44"/>
      <c r="J397" s="75" t="str">
        <f aca="false">IF($B397="","",IF($H397="按筐数×单价",N($E397),IF($H397="按总重KG×单价",N($F397),IF($H397="按吨位×单价",N($G397),0))))</f>
        <v/>
      </c>
      <c r="K397" s="41" t="str">
        <f aca="false">IF($B397="","",ROUND(N($J397)*N($I397),2))</f>
        <v/>
      </c>
      <c r="L397" s="42"/>
      <c r="M397" s="76"/>
      <c r="N397" s="43"/>
      <c r="R397" s="77" t="str">
        <f aca="false">IF($B397="","",$B397)</f>
        <v/>
      </c>
      <c r="S397" s="77" t="n">
        <f aca="false">IF($R397="",0,IF(MATCH($R397,$R$5:$R$904,0)=ROW()-4,1,0))</f>
        <v>0</v>
      </c>
      <c r="T397" s="77" t="n">
        <f aca="false">N(T396)+$S397</f>
        <v>18</v>
      </c>
    </row>
    <row r="398" customFormat="false" ht="13.5" hidden="false" customHeight="false" outlineLevel="0" collapsed="false">
      <c r="A398" s="9" t="str">
        <f aca="false">IF($B398="","",ROW()-4)</f>
        <v/>
      </c>
      <c r="B398" s="39" t="str">
        <f aca="false">IFERROR(INDEX(对接源_01入库吨位!$B$5:$B$304,MATCH(INT((ROW()-5)/3)+1,对接源_01入库吨位!$S$5:$S$304,0)),"")</f>
        <v/>
      </c>
      <c r="C398" s="39" t="str">
        <f aca="false">IFERROR(INDEX(对接源_01入库吨位!$C$5:$C$304,MATCH(INT((ROW()-5)/3)+1,对接源_01入库吨位!$S$5:$S$304,0)),"")</f>
        <v/>
      </c>
      <c r="D398" s="40" t="str">
        <f aca="false">IF($B398="","",IF(MOD(ROW()-5,3)=0,"周转打冷",IF(MOD(ROW()-5,3)=1,"仓储加工","装卸费")))</f>
        <v/>
      </c>
      <c r="E398" s="51" t="str">
        <f aca="false">IF($B398="","",IFERROR(IF($D398="周转打冷",N(INDEX(对接源_01入库吨位!$D$5:$D$304,MATCH(INT((ROW()-5)/3)+1,对接源_01入库吨位!$S$5:$S$304,0))),IF($D398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8" s="41" t="str">
        <f aca="false">IF($B398="","",ROUND(IFERROR(IF($D398="周转打冷",N(INDEX(对接源_01入库吨位!$H$5:$H$304,MATCH(INT((ROW()-5)/3)+1,对接源_01入库吨位!$S$5:$S$304,0))),IF($D398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8" s="52" t="str">
        <f aca="false">IF($B398="","",ROUND(N($F398)/1000,3))</f>
        <v/>
      </c>
      <c r="H398" s="74"/>
      <c r="I398" s="44"/>
      <c r="J398" s="75" t="str">
        <f aca="false">IF($B398="","",IF($H398="按筐数×单价",N($E398),IF($H398="按总重KG×单价",N($F398),IF($H398="按吨位×单价",N($G398),0))))</f>
        <v/>
      </c>
      <c r="K398" s="41" t="str">
        <f aca="false">IF($B398="","",ROUND(N($J398)*N($I398),2))</f>
        <v/>
      </c>
      <c r="L398" s="42"/>
      <c r="M398" s="76"/>
      <c r="N398" s="43"/>
      <c r="R398" s="77" t="str">
        <f aca="false">IF($B398="","",$B398)</f>
        <v/>
      </c>
      <c r="S398" s="77" t="n">
        <f aca="false">IF($R398="",0,IF(MATCH($R398,$R$5:$R$904,0)=ROW()-4,1,0))</f>
        <v>0</v>
      </c>
      <c r="T398" s="77" t="n">
        <f aca="false">N(T397)+$S398</f>
        <v>18</v>
      </c>
    </row>
    <row r="399" customFormat="false" ht="13.5" hidden="false" customHeight="false" outlineLevel="0" collapsed="false">
      <c r="A399" s="9" t="str">
        <f aca="false">IF($B399="","",ROW()-4)</f>
        <v/>
      </c>
      <c r="B399" s="39" t="str">
        <f aca="false">IFERROR(INDEX(对接源_01入库吨位!$B$5:$B$304,MATCH(INT((ROW()-5)/3)+1,对接源_01入库吨位!$S$5:$S$304,0)),"")</f>
        <v/>
      </c>
      <c r="C399" s="39" t="str">
        <f aca="false">IFERROR(INDEX(对接源_01入库吨位!$C$5:$C$304,MATCH(INT((ROW()-5)/3)+1,对接源_01入库吨位!$S$5:$S$304,0)),"")</f>
        <v/>
      </c>
      <c r="D399" s="40" t="str">
        <f aca="false">IF($B399="","",IF(MOD(ROW()-5,3)=0,"周转打冷",IF(MOD(ROW()-5,3)=1,"仓储加工","装卸费")))</f>
        <v/>
      </c>
      <c r="E399" s="51" t="str">
        <f aca="false">IF($B399="","",IFERROR(IF($D399="周转打冷",N(INDEX(对接源_01入库吨位!$D$5:$D$304,MATCH(INT((ROW()-5)/3)+1,对接源_01入库吨位!$S$5:$S$304,0))),IF($D399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399" s="41" t="str">
        <f aca="false">IF($B399="","",ROUND(IFERROR(IF($D399="周转打冷",N(INDEX(对接源_01入库吨位!$H$5:$H$304,MATCH(INT((ROW()-5)/3)+1,对接源_01入库吨位!$S$5:$S$304,0))),IF($D399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399" s="52" t="str">
        <f aca="false">IF($B399="","",ROUND(N($F399)/1000,3))</f>
        <v/>
      </c>
      <c r="H399" s="74"/>
      <c r="I399" s="44"/>
      <c r="J399" s="75" t="str">
        <f aca="false">IF($B399="","",IF($H399="按筐数×单价",N($E399),IF($H399="按总重KG×单价",N($F399),IF($H399="按吨位×单价",N($G399),0))))</f>
        <v/>
      </c>
      <c r="K399" s="41" t="str">
        <f aca="false">IF($B399="","",ROUND(N($J399)*N($I399),2))</f>
        <v/>
      </c>
      <c r="L399" s="42"/>
      <c r="M399" s="76"/>
      <c r="N399" s="43"/>
      <c r="R399" s="77" t="str">
        <f aca="false">IF($B399="","",$B399)</f>
        <v/>
      </c>
      <c r="S399" s="77" t="n">
        <f aca="false">IF($R399="",0,IF(MATCH($R399,$R$5:$R$904,0)=ROW()-4,1,0))</f>
        <v>0</v>
      </c>
      <c r="T399" s="77" t="n">
        <f aca="false">N(T398)+$S399</f>
        <v>18</v>
      </c>
    </row>
    <row r="400" customFormat="false" ht="13.5" hidden="false" customHeight="false" outlineLevel="0" collapsed="false">
      <c r="A400" s="9" t="str">
        <f aca="false">IF($B400="","",ROW()-4)</f>
        <v/>
      </c>
      <c r="B400" s="39" t="str">
        <f aca="false">IFERROR(INDEX(对接源_01入库吨位!$B$5:$B$304,MATCH(INT((ROW()-5)/3)+1,对接源_01入库吨位!$S$5:$S$304,0)),"")</f>
        <v/>
      </c>
      <c r="C400" s="39" t="str">
        <f aca="false">IFERROR(INDEX(对接源_01入库吨位!$C$5:$C$304,MATCH(INT((ROW()-5)/3)+1,对接源_01入库吨位!$S$5:$S$304,0)),"")</f>
        <v/>
      </c>
      <c r="D400" s="40" t="str">
        <f aca="false">IF($B400="","",IF(MOD(ROW()-5,3)=0,"周转打冷",IF(MOD(ROW()-5,3)=1,"仓储加工","装卸费")))</f>
        <v/>
      </c>
      <c r="E400" s="51" t="str">
        <f aca="false">IF($B400="","",IFERROR(IF($D400="周转打冷",N(INDEX(对接源_01入库吨位!$D$5:$D$304,MATCH(INT((ROW()-5)/3)+1,对接源_01入库吨位!$S$5:$S$304,0))),IF($D400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0" s="41" t="str">
        <f aca="false">IF($B400="","",ROUND(IFERROR(IF($D400="周转打冷",N(INDEX(对接源_01入库吨位!$H$5:$H$304,MATCH(INT((ROW()-5)/3)+1,对接源_01入库吨位!$S$5:$S$304,0))),IF($D400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0" s="52" t="str">
        <f aca="false">IF($B400="","",ROUND(N($F400)/1000,3))</f>
        <v/>
      </c>
      <c r="H400" s="74"/>
      <c r="I400" s="44"/>
      <c r="J400" s="75" t="str">
        <f aca="false">IF($B400="","",IF($H400="按筐数×单价",N($E400),IF($H400="按总重KG×单价",N($F400),IF($H400="按吨位×单价",N($G400),0))))</f>
        <v/>
      </c>
      <c r="K400" s="41" t="str">
        <f aca="false">IF($B400="","",ROUND(N($J400)*N($I400),2))</f>
        <v/>
      </c>
      <c r="L400" s="42"/>
      <c r="M400" s="76"/>
      <c r="N400" s="43"/>
      <c r="R400" s="77" t="str">
        <f aca="false">IF($B400="","",$B400)</f>
        <v/>
      </c>
      <c r="S400" s="77" t="n">
        <f aca="false">IF($R400="",0,IF(MATCH($R400,$R$5:$R$904,0)=ROW()-4,1,0))</f>
        <v>0</v>
      </c>
      <c r="T400" s="77" t="n">
        <f aca="false">N(T399)+$S400</f>
        <v>18</v>
      </c>
    </row>
    <row r="401" customFormat="false" ht="13.5" hidden="false" customHeight="false" outlineLevel="0" collapsed="false">
      <c r="A401" s="9" t="str">
        <f aca="false">IF($B401="","",ROW()-4)</f>
        <v/>
      </c>
      <c r="B401" s="39" t="str">
        <f aca="false">IFERROR(INDEX(对接源_01入库吨位!$B$5:$B$304,MATCH(INT((ROW()-5)/3)+1,对接源_01入库吨位!$S$5:$S$304,0)),"")</f>
        <v/>
      </c>
      <c r="C401" s="39" t="str">
        <f aca="false">IFERROR(INDEX(对接源_01入库吨位!$C$5:$C$304,MATCH(INT((ROW()-5)/3)+1,对接源_01入库吨位!$S$5:$S$304,0)),"")</f>
        <v/>
      </c>
      <c r="D401" s="40" t="str">
        <f aca="false">IF($B401="","",IF(MOD(ROW()-5,3)=0,"周转打冷",IF(MOD(ROW()-5,3)=1,"仓储加工","装卸费")))</f>
        <v/>
      </c>
      <c r="E401" s="51" t="str">
        <f aca="false">IF($B401="","",IFERROR(IF($D401="周转打冷",N(INDEX(对接源_01入库吨位!$D$5:$D$304,MATCH(INT((ROW()-5)/3)+1,对接源_01入库吨位!$S$5:$S$304,0))),IF($D401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1" s="41" t="str">
        <f aca="false">IF($B401="","",ROUND(IFERROR(IF($D401="周转打冷",N(INDEX(对接源_01入库吨位!$H$5:$H$304,MATCH(INT((ROW()-5)/3)+1,对接源_01入库吨位!$S$5:$S$304,0))),IF($D401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1" s="52" t="str">
        <f aca="false">IF($B401="","",ROUND(N($F401)/1000,3))</f>
        <v/>
      </c>
      <c r="H401" s="74"/>
      <c r="I401" s="44"/>
      <c r="J401" s="75" t="str">
        <f aca="false">IF($B401="","",IF($H401="按筐数×单价",N($E401),IF($H401="按总重KG×单价",N($F401),IF($H401="按吨位×单价",N($G401),0))))</f>
        <v/>
      </c>
      <c r="K401" s="41" t="str">
        <f aca="false">IF($B401="","",ROUND(N($J401)*N($I401),2))</f>
        <v/>
      </c>
      <c r="L401" s="42"/>
      <c r="M401" s="76"/>
      <c r="N401" s="43"/>
      <c r="R401" s="77" t="str">
        <f aca="false">IF($B401="","",$B401)</f>
        <v/>
      </c>
      <c r="S401" s="77" t="n">
        <f aca="false">IF($R401="",0,IF(MATCH($R401,$R$5:$R$904,0)=ROW()-4,1,0))</f>
        <v>0</v>
      </c>
      <c r="T401" s="77" t="n">
        <f aca="false">N(T400)+$S401</f>
        <v>18</v>
      </c>
    </row>
    <row r="402" customFormat="false" ht="13.5" hidden="false" customHeight="false" outlineLevel="0" collapsed="false">
      <c r="A402" s="9" t="str">
        <f aca="false">IF($B402="","",ROW()-4)</f>
        <v/>
      </c>
      <c r="B402" s="39" t="str">
        <f aca="false">IFERROR(INDEX(对接源_01入库吨位!$B$5:$B$304,MATCH(INT((ROW()-5)/3)+1,对接源_01入库吨位!$S$5:$S$304,0)),"")</f>
        <v/>
      </c>
      <c r="C402" s="39" t="str">
        <f aca="false">IFERROR(INDEX(对接源_01入库吨位!$C$5:$C$304,MATCH(INT((ROW()-5)/3)+1,对接源_01入库吨位!$S$5:$S$304,0)),"")</f>
        <v/>
      </c>
      <c r="D402" s="40" t="str">
        <f aca="false">IF($B402="","",IF(MOD(ROW()-5,3)=0,"周转打冷",IF(MOD(ROW()-5,3)=1,"仓储加工","装卸费")))</f>
        <v/>
      </c>
      <c r="E402" s="51" t="str">
        <f aca="false">IF($B402="","",IFERROR(IF($D402="周转打冷",N(INDEX(对接源_01入库吨位!$D$5:$D$304,MATCH(INT((ROW()-5)/3)+1,对接源_01入库吨位!$S$5:$S$304,0))),IF($D402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2" s="41" t="str">
        <f aca="false">IF($B402="","",ROUND(IFERROR(IF($D402="周转打冷",N(INDEX(对接源_01入库吨位!$H$5:$H$304,MATCH(INT((ROW()-5)/3)+1,对接源_01入库吨位!$S$5:$S$304,0))),IF($D402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2" s="52" t="str">
        <f aca="false">IF($B402="","",ROUND(N($F402)/1000,3))</f>
        <v/>
      </c>
      <c r="H402" s="74"/>
      <c r="I402" s="44"/>
      <c r="J402" s="75" t="str">
        <f aca="false">IF($B402="","",IF($H402="按筐数×单价",N($E402),IF($H402="按总重KG×单价",N($F402),IF($H402="按吨位×单价",N($G402),0))))</f>
        <v/>
      </c>
      <c r="K402" s="41" t="str">
        <f aca="false">IF($B402="","",ROUND(N($J402)*N($I402),2))</f>
        <v/>
      </c>
      <c r="L402" s="42"/>
      <c r="M402" s="76"/>
      <c r="N402" s="43"/>
      <c r="R402" s="77" t="str">
        <f aca="false">IF($B402="","",$B402)</f>
        <v/>
      </c>
      <c r="S402" s="77" t="n">
        <f aca="false">IF($R402="",0,IF(MATCH($R402,$R$5:$R$904,0)=ROW()-4,1,0))</f>
        <v>0</v>
      </c>
      <c r="T402" s="77" t="n">
        <f aca="false">N(T401)+$S402</f>
        <v>18</v>
      </c>
    </row>
    <row r="403" customFormat="false" ht="13.5" hidden="false" customHeight="false" outlineLevel="0" collapsed="false">
      <c r="A403" s="9" t="str">
        <f aca="false">IF($B403="","",ROW()-4)</f>
        <v/>
      </c>
      <c r="B403" s="39" t="str">
        <f aca="false">IFERROR(INDEX(对接源_01入库吨位!$B$5:$B$304,MATCH(INT((ROW()-5)/3)+1,对接源_01入库吨位!$S$5:$S$304,0)),"")</f>
        <v/>
      </c>
      <c r="C403" s="39" t="str">
        <f aca="false">IFERROR(INDEX(对接源_01入库吨位!$C$5:$C$304,MATCH(INT((ROW()-5)/3)+1,对接源_01入库吨位!$S$5:$S$304,0)),"")</f>
        <v/>
      </c>
      <c r="D403" s="40" t="str">
        <f aca="false">IF($B403="","",IF(MOD(ROW()-5,3)=0,"周转打冷",IF(MOD(ROW()-5,3)=1,"仓储加工","装卸费")))</f>
        <v/>
      </c>
      <c r="E403" s="51" t="str">
        <f aca="false">IF($B403="","",IFERROR(IF($D403="周转打冷",N(INDEX(对接源_01入库吨位!$D$5:$D$304,MATCH(INT((ROW()-5)/3)+1,对接源_01入库吨位!$S$5:$S$304,0))),IF($D403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3" s="41" t="str">
        <f aca="false">IF($B403="","",ROUND(IFERROR(IF($D403="周转打冷",N(INDEX(对接源_01入库吨位!$H$5:$H$304,MATCH(INT((ROW()-5)/3)+1,对接源_01入库吨位!$S$5:$S$304,0))),IF($D403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3" s="52" t="str">
        <f aca="false">IF($B403="","",ROUND(N($F403)/1000,3))</f>
        <v/>
      </c>
      <c r="H403" s="74"/>
      <c r="I403" s="44"/>
      <c r="J403" s="75" t="str">
        <f aca="false">IF($B403="","",IF($H403="按筐数×单价",N($E403),IF($H403="按总重KG×单价",N($F403),IF($H403="按吨位×单价",N($G403),0))))</f>
        <v/>
      </c>
      <c r="K403" s="41" t="str">
        <f aca="false">IF($B403="","",ROUND(N($J403)*N($I403),2))</f>
        <v/>
      </c>
      <c r="L403" s="42"/>
      <c r="M403" s="76"/>
      <c r="N403" s="43"/>
      <c r="R403" s="77" t="str">
        <f aca="false">IF($B403="","",$B403)</f>
        <v/>
      </c>
      <c r="S403" s="77" t="n">
        <f aca="false">IF($R403="",0,IF(MATCH($R403,$R$5:$R$904,0)=ROW()-4,1,0))</f>
        <v>0</v>
      </c>
      <c r="T403" s="77" t="n">
        <f aca="false">N(T402)+$S403</f>
        <v>18</v>
      </c>
    </row>
    <row r="404" customFormat="false" ht="13.5" hidden="false" customHeight="false" outlineLevel="0" collapsed="false">
      <c r="A404" s="9" t="str">
        <f aca="false">IF($B404="","",ROW()-4)</f>
        <v/>
      </c>
      <c r="B404" s="39" t="str">
        <f aca="false">IFERROR(INDEX(对接源_01入库吨位!$B$5:$B$304,MATCH(INT((ROW()-5)/3)+1,对接源_01入库吨位!$S$5:$S$304,0)),"")</f>
        <v/>
      </c>
      <c r="C404" s="39" t="str">
        <f aca="false">IFERROR(INDEX(对接源_01入库吨位!$C$5:$C$304,MATCH(INT((ROW()-5)/3)+1,对接源_01入库吨位!$S$5:$S$304,0)),"")</f>
        <v/>
      </c>
      <c r="D404" s="40" t="str">
        <f aca="false">IF($B404="","",IF(MOD(ROW()-5,3)=0,"周转打冷",IF(MOD(ROW()-5,3)=1,"仓储加工","装卸费")))</f>
        <v/>
      </c>
      <c r="E404" s="51" t="str">
        <f aca="false">IF($B404="","",IFERROR(IF($D404="周转打冷",N(INDEX(对接源_01入库吨位!$D$5:$D$304,MATCH(INT((ROW()-5)/3)+1,对接源_01入库吨位!$S$5:$S$304,0))),IF($D404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4" s="41" t="str">
        <f aca="false">IF($B404="","",ROUND(IFERROR(IF($D404="周转打冷",N(INDEX(对接源_01入库吨位!$H$5:$H$304,MATCH(INT((ROW()-5)/3)+1,对接源_01入库吨位!$S$5:$S$304,0))),IF($D404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4" s="52" t="str">
        <f aca="false">IF($B404="","",ROUND(N($F404)/1000,3))</f>
        <v/>
      </c>
      <c r="H404" s="74"/>
      <c r="I404" s="44"/>
      <c r="J404" s="75" t="str">
        <f aca="false">IF($B404="","",IF($H404="按筐数×单价",N($E404),IF($H404="按总重KG×单价",N($F404),IF($H404="按吨位×单价",N($G404),0))))</f>
        <v/>
      </c>
      <c r="K404" s="41" t="str">
        <f aca="false">IF($B404="","",ROUND(N($J404)*N($I404),2))</f>
        <v/>
      </c>
      <c r="L404" s="42"/>
      <c r="M404" s="76"/>
      <c r="N404" s="43"/>
      <c r="R404" s="77" t="str">
        <f aca="false">IF($B404="","",$B404)</f>
        <v/>
      </c>
      <c r="S404" s="77" t="n">
        <f aca="false">IF($R404="",0,IF(MATCH($R404,$R$5:$R$904,0)=ROW()-4,1,0))</f>
        <v>0</v>
      </c>
      <c r="T404" s="77" t="n">
        <f aca="false">N(T403)+$S404</f>
        <v>18</v>
      </c>
    </row>
    <row r="405" customFormat="false" ht="13.5" hidden="false" customHeight="false" outlineLevel="0" collapsed="false">
      <c r="A405" s="9" t="str">
        <f aca="false">IF($B405="","",ROW()-4)</f>
        <v/>
      </c>
      <c r="B405" s="39" t="str">
        <f aca="false">IFERROR(INDEX(对接源_01入库吨位!$B$5:$B$304,MATCH(INT((ROW()-5)/3)+1,对接源_01入库吨位!$S$5:$S$304,0)),"")</f>
        <v/>
      </c>
      <c r="C405" s="39" t="str">
        <f aca="false">IFERROR(INDEX(对接源_01入库吨位!$C$5:$C$304,MATCH(INT((ROW()-5)/3)+1,对接源_01入库吨位!$S$5:$S$304,0)),"")</f>
        <v/>
      </c>
      <c r="D405" s="40" t="str">
        <f aca="false">IF($B405="","",IF(MOD(ROW()-5,3)=0,"周转打冷",IF(MOD(ROW()-5,3)=1,"仓储加工","装卸费")))</f>
        <v/>
      </c>
      <c r="E405" s="51" t="str">
        <f aca="false">IF($B405="","",IFERROR(IF($D405="周转打冷",N(INDEX(对接源_01入库吨位!$D$5:$D$304,MATCH(INT((ROW()-5)/3)+1,对接源_01入库吨位!$S$5:$S$304,0))),IF($D405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5" s="41" t="str">
        <f aca="false">IF($B405="","",ROUND(IFERROR(IF($D405="周转打冷",N(INDEX(对接源_01入库吨位!$H$5:$H$304,MATCH(INT((ROW()-5)/3)+1,对接源_01入库吨位!$S$5:$S$304,0))),IF($D405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5" s="52" t="str">
        <f aca="false">IF($B405="","",ROUND(N($F405)/1000,3))</f>
        <v/>
      </c>
      <c r="H405" s="74"/>
      <c r="I405" s="44"/>
      <c r="J405" s="75" t="str">
        <f aca="false">IF($B405="","",IF($H405="按筐数×单价",N($E405),IF($H405="按总重KG×单价",N($F405),IF($H405="按吨位×单价",N($G405),0))))</f>
        <v/>
      </c>
      <c r="K405" s="41" t="str">
        <f aca="false">IF($B405="","",ROUND(N($J405)*N($I405),2))</f>
        <v/>
      </c>
      <c r="L405" s="42"/>
      <c r="M405" s="76"/>
      <c r="N405" s="43"/>
      <c r="R405" s="77" t="str">
        <f aca="false">IF($B405="","",$B405)</f>
        <v/>
      </c>
      <c r="S405" s="77" t="n">
        <f aca="false">IF($R405="",0,IF(MATCH($R405,$R$5:$R$904,0)=ROW()-4,1,0))</f>
        <v>0</v>
      </c>
      <c r="T405" s="77" t="n">
        <f aca="false">N(T404)+$S405</f>
        <v>18</v>
      </c>
    </row>
    <row r="406" customFormat="false" ht="13.5" hidden="false" customHeight="false" outlineLevel="0" collapsed="false">
      <c r="A406" s="9" t="str">
        <f aca="false">IF($B406="","",ROW()-4)</f>
        <v/>
      </c>
      <c r="B406" s="39" t="str">
        <f aca="false">IFERROR(INDEX(对接源_01入库吨位!$B$5:$B$304,MATCH(INT((ROW()-5)/3)+1,对接源_01入库吨位!$S$5:$S$304,0)),"")</f>
        <v/>
      </c>
      <c r="C406" s="39" t="str">
        <f aca="false">IFERROR(INDEX(对接源_01入库吨位!$C$5:$C$304,MATCH(INT((ROW()-5)/3)+1,对接源_01入库吨位!$S$5:$S$304,0)),"")</f>
        <v/>
      </c>
      <c r="D406" s="40" t="str">
        <f aca="false">IF($B406="","",IF(MOD(ROW()-5,3)=0,"周转打冷",IF(MOD(ROW()-5,3)=1,"仓储加工","装卸费")))</f>
        <v/>
      </c>
      <c r="E406" s="51" t="str">
        <f aca="false">IF($B406="","",IFERROR(IF($D406="周转打冷",N(INDEX(对接源_01入库吨位!$D$5:$D$304,MATCH(INT((ROW()-5)/3)+1,对接源_01入库吨位!$S$5:$S$304,0))),IF($D406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6" s="41" t="str">
        <f aca="false">IF($B406="","",ROUND(IFERROR(IF($D406="周转打冷",N(INDEX(对接源_01入库吨位!$H$5:$H$304,MATCH(INT((ROW()-5)/3)+1,对接源_01入库吨位!$S$5:$S$304,0))),IF($D406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6" s="52" t="str">
        <f aca="false">IF($B406="","",ROUND(N($F406)/1000,3))</f>
        <v/>
      </c>
      <c r="H406" s="74"/>
      <c r="I406" s="44"/>
      <c r="J406" s="75" t="str">
        <f aca="false">IF($B406="","",IF($H406="按筐数×单价",N($E406),IF($H406="按总重KG×单价",N($F406),IF($H406="按吨位×单价",N($G406),0))))</f>
        <v/>
      </c>
      <c r="K406" s="41" t="str">
        <f aca="false">IF($B406="","",ROUND(N($J406)*N($I406),2))</f>
        <v/>
      </c>
      <c r="L406" s="42"/>
      <c r="M406" s="76"/>
      <c r="N406" s="43"/>
      <c r="R406" s="77" t="str">
        <f aca="false">IF($B406="","",$B406)</f>
        <v/>
      </c>
      <c r="S406" s="77" t="n">
        <f aca="false">IF($R406="",0,IF(MATCH($R406,$R$5:$R$904,0)=ROW()-4,1,0))</f>
        <v>0</v>
      </c>
      <c r="T406" s="77" t="n">
        <f aca="false">N(T405)+$S406</f>
        <v>18</v>
      </c>
    </row>
    <row r="407" customFormat="false" ht="13.5" hidden="false" customHeight="false" outlineLevel="0" collapsed="false">
      <c r="A407" s="9" t="str">
        <f aca="false">IF($B407="","",ROW()-4)</f>
        <v/>
      </c>
      <c r="B407" s="39" t="str">
        <f aca="false">IFERROR(INDEX(对接源_01入库吨位!$B$5:$B$304,MATCH(INT((ROW()-5)/3)+1,对接源_01入库吨位!$S$5:$S$304,0)),"")</f>
        <v/>
      </c>
      <c r="C407" s="39" t="str">
        <f aca="false">IFERROR(INDEX(对接源_01入库吨位!$C$5:$C$304,MATCH(INT((ROW()-5)/3)+1,对接源_01入库吨位!$S$5:$S$304,0)),"")</f>
        <v/>
      </c>
      <c r="D407" s="40" t="str">
        <f aca="false">IF($B407="","",IF(MOD(ROW()-5,3)=0,"周转打冷",IF(MOD(ROW()-5,3)=1,"仓储加工","装卸费")))</f>
        <v/>
      </c>
      <c r="E407" s="51" t="str">
        <f aca="false">IF($B407="","",IFERROR(IF($D407="周转打冷",N(INDEX(对接源_01入库吨位!$D$5:$D$304,MATCH(INT((ROW()-5)/3)+1,对接源_01入库吨位!$S$5:$S$304,0))),IF($D407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7" s="41" t="str">
        <f aca="false">IF($B407="","",ROUND(IFERROR(IF($D407="周转打冷",N(INDEX(对接源_01入库吨位!$H$5:$H$304,MATCH(INT((ROW()-5)/3)+1,对接源_01入库吨位!$S$5:$S$304,0))),IF($D407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7" s="52" t="str">
        <f aca="false">IF($B407="","",ROUND(N($F407)/1000,3))</f>
        <v/>
      </c>
      <c r="H407" s="74"/>
      <c r="I407" s="44"/>
      <c r="J407" s="75" t="str">
        <f aca="false">IF($B407="","",IF($H407="按筐数×单价",N($E407),IF($H407="按总重KG×单价",N($F407),IF($H407="按吨位×单价",N($G407),0))))</f>
        <v/>
      </c>
      <c r="K407" s="41" t="str">
        <f aca="false">IF($B407="","",ROUND(N($J407)*N($I407),2))</f>
        <v/>
      </c>
      <c r="L407" s="42"/>
      <c r="M407" s="76"/>
      <c r="N407" s="43"/>
      <c r="R407" s="77" t="str">
        <f aca="false">IF($B407="","",$B407)</f>
        <v/>
      </c>
      <c r="S407" s="77" t="n">
        <f aca="false">IF($R407="",0,IF(MATCH($R407,$R$5:$R$904,0)=ROW()-4,1,0))</f>
        <v>0</v>
      </c>
      <c r="T407" s="77" t="n">
        <f aca="false">N(T406)+$S407</f>
        <v>18</v>
      </c>
    </row>
    <row r="408" customFormat="false" ht="13.5" hidden="false" customHeight="false" outlineLevel="0" collapsed="false">
      <c r="A408" s="9" t="str">
        <f aca="false">IF($B408="","",ROW()-4)</f>
        <v/>
      </c>
      <c r="B408" s="39" t="str">
        <f aca="false">IFERROR(INDEX(对接源_01入库吨位!$B$5:$B$304,MATCH(INT((ROW()-5)/3)+1,对接源_01入库吨位!$S$5:$S$304,0)),"")</f>
        <v/>
      </c>
      <c r="C408" s="39" t="str">
        <f aca="false">IFERROR(INDEX(对接源_01入库吨位!$C$5:$C$304,MATCH(INT((ROW()-5)/3)+1,对接源_01入库吨位!$S$5:$S$304,0)),"")</f>
        <v/>
      </c>
      <c r="D408" s="40" t="str">
        <f aca="false">IF($B408="","",IF(MOD(ROW()-5,3)=0,"周转打冷",IF(MOD(ROW()-5,3)=1,"仓储加工","装卸费")))</f>
        <v/>
      </c>
      <c r="E408" s="51" t="str">
        <f aca="false">IF($B408="","",IFERROR(IF($D408="周转打冷",N(INDEX(对接源_01入库吨位!$D$5:$D$304,MATCH(INT((ROW()-5)/3)+1,对接源_01入库吨位!$S$5:$S$304,0))),IF($D408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8" s="41" t="str">
        <f aca="false">IF($B408="","",ROUND(IFERROR(IF($D408="周转打冷",N(INDEX(对接源_01入库吨位!$H$5:$H$304,MATCH(INT((ROW()-5)/3)+1,对接源_01入库吨位!$S$5:$S$304,0))),IF($D408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8" s="52" t="str">
        <f aca="false">IF($B408="","",ROUND(N($F408)/1000,3))</f>
        <v/>
      </c>
      <c r="H408" s="74"/>
      <c r="I408" s="44"/>
      <c r="J408" s="75" t="str">
        <f aca="false">IF($B408="","",IF($H408="按筐数×单价",N($E408),IF($H408="按总重KG×单价",N($F408),IF($H408="按吨位×单价",N($G408),0))))</f>
        <v/>
      </c>
      <c r="K408" s="41" t="str">
        <f aca="false">IF($B408="","",ROUND(N($J408)*N($I408),2))</f>
        <v/>
      </c>
      <c r="L408" s="42"/>
      <c r="M408" s="76"/>
      <c r="N408" s="43"/>
      <c r="R408" s="77" t="str">
        <f aca="false">IF($B408="","",$B408)</f>
        <v/>
      </c>
      <c r="S408" s="77" t="n">
        <f aca="false">IF($R408="",0,IF(MATCH($R408,$R$5:$R$904,0)=ROW()-4,1,0))</f>
        <v>0</v>
      </c>
      <c r="T408" s="77" t="n">
        <f aca="false">N(T407)+$S408</f>
        <v>18</v>
      </c>
    </row>
    <row r="409" customFormat="false" ht="13.5" hidden="false" customHeight="false" outlineLevel="0" collapsed="false">
      <c r="A409" s="9" t="str">
        <f aca="false">IF($B409="","",ROW()-4)</f>
        <v/>
      </c>
      <c r="B409" s="39" t="str">
        <f aca="false">IFERROR(INDEX(对接源_01入库吨位!$B$5:$B$304,MATCH(INT((ROW()-5)/3)+1,对接源_01入库吨位!$S$5:$S$304,0)),"")</f>
        <v/>
      </c>
      <c r="C409" s="39" t="str">
        <f aca="false">IFERROR(INDEX(对接源_01入库吨位!$C$5:$C$304,MATCH(INT((ROW()-5)/3)+1,对接源_01入库吨位!$S$5:$S$304,0)),"")</f>
        <v/>
      </c>
      <c r="D409" s="40" t="str">
        <f aca="false">IF($B409="","",IF(MOD(ROW()-5,3)=0,"周转打冷",IF(MOD(ROW()-5,3)=1,"仓储加工","装卸费")))</f>
        <v/>
      </c>
      <c r="E409" s="51" t="str">
        <f aca="false">IF($B409="","",IFERROR(IF($D409="周转打冷",N(INDEX(对接源_01入库吨位!$D$5:$D$304,MATCH(INT((ROW()-5)/3)+1,对接源_01入库吨位!$S$5:$S$304,0))),IF($D409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09" s="41" t="str">
        <f aca="false">IF($B409="","",ROUND(IFERROR(IF($D409="周转打冷",N(INDEX(对接源_01入库吨位!$H$5:$H$304,MATCH(INT((ROW()-5)/3)+1,对接源_01入库吨位!$S$5:$S$304,0))),IF($D409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09" s="52" t="str">
        <f aca="false">IF($B409="","",ROUND(N($F409)/1000,3))</f>
        <v/>
      </c>
      <c r="H409" s="74"/>
      <c r="I409" s="44"/>
      <c r="J409" s="75" t="str">
        <f aca="false">IF($B409="","",IF($H409="按筐数×单价",N($E409),IF($H409="按总重KG×单价",N($F409),IF($H409="按吨位×单价",N($G409),0))))</f>
        <v/>
      </c>
      <c r="K409" s="41" t="str">
        <f aca="false">IF($B409="","",ROUND(N($J409)*N($I409),2))</f>
        <v/>
      </c>
      <c r="L409" s="42"/>
      <c r="M409" s="76"/>
      <c r="N409" s="43"/>
      <c r="R409" s="77" t="str">
        <f aca="false">IF($B409="","",$B409)</f>
        <v/>
      </c>
      <c r="S409" s="77" t="n">
        <f aca="false">IF($R409="",0,IF(MATCH($R409,$R$5:$R$904,0)=ROW()-4,1,0))</f>
        <v>0</v>
      </c>
      <c r="T409" s="77" t="n">
        <f aca="false">N(T408)+$S409</f>
        <v>18</v>
      </c>
    </row>
    <row r="410" customFormat="false" ht="13.5" hidden="false" customHeight="false" outlineLevel="0" collapsed="false">
      <c r="A410" s="9" t="str">
        <f aca="false">IF($B410="","",ROW()-4)</f>
        <v/>
      </c>
      <c r="B410" s="39" t="str">
        <f aca="false">IFERROR(INDEX(对接源_01入库吨位!$B$5:$B$304,MATCH(INT((ROW()-5)/3)+1,对接源_01入库吨位!$S$5:$S$304,0)),"")</f>
        <v/>
      </c>
      <c r="C410" s="39" t="str">
        <f aca="false">IFERROR(INDEX(对接源_01入库吨位!$C$5:$C$304,MATCH(INT((ROW()-5)/3)+1,对接源_01入库吨位!$S$5:$S$304,0)),"")</f>
        <v/>
      </c>
      <c r="D410" s="40" t="str">
        <f aca="false">IF($B410="","",IF(MOD(ROW()-5,3)=0,"周转打冷",IF(MOD(ROW()-5,3)=1,"仓储加工","装卸费")))</f>
        <v/>
      </c>
      <c r="E410" s="51" t="str">
        <f aca="false">IF($B410="","",IFERROR(IF($D410="周转打冷",N(INDEX(对接源_01入库吨位!$D$5:$D$304,MATCH(INT((ROW()-5)/3)+1,对接源_01入库吨位!$S$5:$S$304,0))),IF($D410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0" s="41" t="str">
        <f aca="false">IF($B410="","",ROUND(IFERROR(IF($D410="周转打冷",N(INDEX(对接源_01入库吨位!$H$5:$H$304,MATCH(INT((ROW()-5)/3)+1,对接源_01入库吨位!$S$5:$S$304,0))),IF($D410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0" s="52" t="str">
        <f aca="false">IF($B410="","",ROUND(N($F410)/1000,3))</f>
        <v/>
      </c>
      <c r="H410" s="74"/>
      <c r="I410" s="44"/>
      <c r="J410" s="75" t="str">
        <f aca="false">IF($B410="","",IF($H410="按筐数×单价",N($E410),IF($H410="按总重KG×单价",N($F410),IF($H410="按吨位×单价",N($G410),0))))</f>
        <v/>
      </c>
      <c r="K410" s="41" t="str">
        <f aca="false">IF($B410="","",ROUND(N($J410)*N($I410),2))</f>
        <v/>
      </c>
      <c r="L410" s="42"/>
      <c r="M410" s="76"/>
      <c r="N410" s="43"/>
      <c r="R410" s="77" t="str">
        <f aca="false">IF($B410="","",$B410)</f>
        <v/>
      </c>
      <c r="S410" s="77" t="n">
        <f aca="false">IF($R410="",0,IF(MATCH($R410,$R$5:$R$904,0)=ROW()-4,1,0))</f>
        <v>0</v>
      </c>
      <c r="T410" s="77" t="n">
        <f aca="false">N(T409)+$S410</f>
        <v>18</v>
      </c>
    </row>
    <row r="411" customFormat="false" ht="13.5" hidden="false" customHeight="false" outlineLevel="0" collapsed="false">
      <c r="A411" s="9" t="str">
        <f aca="false">IF($B411="","",ROW()-4)</f>
        <v/>
      </c>
      <c r="B411" s="39" t="str">
        <f aca="false">IFERROR(INDEX(对接源_01入库吨位!$B$5:$B$304,MATCH(INT((ROW()-5)/3)+1,对接源_01入库吨位!$S$5:$S$304,0)),"")</f>
        <v/>
      </c>
      <c r="C411" s="39" t="str">
        <f aca="false">IFERROR(INDEX(对接源_01入库吨位!$C$5:$C$304,MATCH(INT((ROW()-5)/3)+1,对接源_01入库吨位!$S$5:$S$304,0)),"")</f>
        <v/>
      </c>
      <c r="D411" s="40" t="str">
        <f aca="false">IF($B411="","",IF(MOD(ROW()-5,3)=0,"周转打冷",IF(MOD(ROW()-5,3)=1,"仓储加工","装卸费")))</f>
        <v/>
      </c>
      <c r="E411" s="51" t="str">
        <f aca="false">IF($B411="","",IFERROR(IF($D411="周转打冷",N(INDEX(对接源_01入库吨位!$D$5:$D$304,MATCH(INT((ROW()-5)/3)+1,对接源_01入库吨位!$S$5:$S$304,0))),IF($D411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1" s="41" t="str">
        <f aca="false">IF($B411="","",ROUND(IFERROR(IF($D411="周转打冷",N(INDEX(对接源_01入库吨位!$H$5:$H$304,MATCH(INT((ROW()-5)/3)+1,对接源_01入库吨位!$S$5:$S$304,0))),IF($D411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1" s="52" t="str">
        <f aca="false">IF($B411="","",ROUND(N($F411)/1000,3))</f>
        <v/>
      </c>
      <c r="H411" s="74"/>
      <c r="I411" s="44"/>
      <c r="J411" s="75" t="str">
        <f aca="false">IF($B411="","",IF($H411="按筐数×单价",N($E411),IF($H411="按总重KG×单价",N($F411),IF($H411="按吨位×单价",N($G411),0))))</f>
        <v/>
      </c>
      <c r="K411" s="41" t="str">
        <f aca="false">IF($B411="","",ROUND(N($J411)*N($I411),2))</f>
        <v/>
      </c>
      <c r="L411" s="42"/>
      <c r="M411" s="76"/>
      <c r="N411" s="43"/>
      <c r="R411" s="77" t="str">
        <f aca="false">IF($B411="","",$B411)</f>
        <v/>
      </c>
      <c r="S411" s="77" t="n">
        <f aca="false">IF($R411="",0,IF(MATCH($R411,$R$5:$R$904,0)=ROW()-4,1,0))</f>
        <v>0</v>
      </c>
      <c r="T411" s="77" t="n">
        <f aca="false">N(T410)+$S411</f>
        <v>18</v>
      </c>
    </row>
    <row r="412" customFormat="false" ht="13.5" hidden="false" customHeight="false" outlineLevel="0" collapsed="false">
      <c r="A412" s="9" t="str">
        <f aca="false">IF($B412="","",ROW()-4)</f>
        <v/>
      </c>
      <c r="B412" s="39" t="str">
        <f aca="false">IFERROR(INDEX(对接源_01入库吨位!$B$5:$B$304,MATCH(INT((ROW()-5)/3)+1,对接源_01入库吨位!$S$5:$S$304,0)),"")</f>
        <v/>
      </c>
      <c r="C412" s="39" t="str">
        <f aca="false">IFERROR(INDEX(对接源_01入库吨位!$C$5:$C$304,MATCH(INT((ROW()-5)/3)+1,对接源_01入库吨位!$S$5:$S$304,0)),"")</f>
        <v/>
      </c>
      <c r="D412" s="40" t="str">
        <f aca="false">IF($B412="","",IF(MOD(ROW()-5,3)=0,"周转打冷",IF(MOD(ROW()-5,3)=1,"仓储加工","装卸费")))</f>
        <v/>
      </c>
      <c r="E412" s="51" t="str">
        <f aca="false">IF($B412="","",IFERROR(IF($D412="周转打冷",N(INDEX(对接源_01入库吨位!$D$5:$D$304,MATCH(INT((ROW()-5)/3)+1,对接源_01入库吨位!$S$5:$S$304,0))),IF($D412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2" s="41" t="str">
        <f aca="false">IF($B412="","",ROUND(IFERROR(IF($D412="周转打冷",N(INDEX(对接源_01入库吨位!$H$5:$H$304,MATCH(INT((ROW()-5)/3)+1,对接源_01入库吨位!$S$5:$S$304,0))),IF($D412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2" s="52" t="str">
        <f aca="false">IF($B412="","",ROUND(N($F412)/1000,3))</f>
        <v/>
      </c>
      <c r="H412" s="74"/>
      <c r="I412" s="44"/>
      <c r="J412" s="75" t="str">
        <f aca="false">IF($B412="","",IF($H412="按筐数×单价",N($E412),IF($H412="按总重KG×单价",N($F412),IF($H412="按吨位×单价",N($G412),0))))</f>
        <v/>
      </c>
      <c r="K412" s="41" t="str">
        <f aca="false">IF($B412="","",ROUND(N($J412)*N($I412),2))</f>
        <v/>
      </c>
      <c r="L412" s="42"/>
      <c r="M412" s="76"/>
      <c r="N412" s="43"/>
      <c r="R412" s="77" t="str">
        <f aca="false">IF($B412="","",$B412)</f>
        <v/>
      </c>
      <c r="S412" s="77" t="n">
        <f aca="false">IF($R412="",0,IF(MATCH($R412,$R$5:$R$904,0)=ROW()-4,1,0))</f>
        <v>0</v>
      </c>
      <c r="T412" s="77" t="n">
        <f aca="false">N(T411)+$S412</f>
        <v>18</v>
      </c>
    </row>
    <row r="413" customFormat="false" ht="13.5" hidden="false" customHeight="false" outlineLevel="0" collapsed="false">
      <c r="A413" s="9" t="str">
        <f aca="false">IF($B413="","",ROW()-4)</f>
        <v/>
      </c>
      <c r="B413" s="39" t="str">
        <f aca="false">IFERROR(INDEX(对接源_01入库吨位!$B$5:$B$304,MATCH(INT((ROW()-5)/3)+1,对接源_01入库吨位!$S$5:$S$304,0)),"")</f>
        <v/>
      </c>
      <c r="C413" s="39" t="str">
        <f aca="false">IFERROR(INDEX(对接源_01入库吨位!$C$5:$C$304,MATCH(INT((ROW()-5)/3)+1,对接源_01入库吨位!$S$5:$S$304,0)),"")</f>
        <v/>
      </c>
      <c r="D413" s="40" t="str">
        <f aca="false">IF($B413="","",IF(MOD(ROW()-5,3)=0,"周转打冷",IF(MOD(ROW()-5,3)=1,"仓储加工","装卸费")))</f>
        <v/>
      </c>
      <c r="E413" s="51" t="str">
        <f aca="false">IF($B413="","",IFERROR(IF($D413="周转打冷",N(INDEX(对接源_01入库吨位!$D$5:$D$304,MATCH(INT((ROW()-5)/3)+1,对接源_01入库吨位!$S$5:$S$304,0))),IF($D413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3" s="41" t="str">
        <f aca="false">IF($B413="","",ROUND(IFERROR(IF($D413="周转打冷",N(INDEX(对接源_01入库吨位!$H$5:$H$304,MATCH(INT((ROW()-5)/3)+1,对接源_01入库吨位!$S$5:$S$304,0))),IF($D413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3" s="52" t="str">
        <f aca="false">IF($B413="","",ROUND(N($F413)/1000,3))</f>
        <v/>
      </c>
      <c r="H413" s="74"/>
      <c r="I413" s="44"/>
      <c r="J413" s="75" t="str">
        <f aca="false">IF($B413="","",IF($H413="按筐数×单价",N($E413),IF($H413="按总重KG×单价",N($F413),IF($H413="按吨位×单价",N($G413),0))))</f>
        <v/>
      </c>
      <c r="K413" s="41" t="str">
        <f aca="false">IF($B413="","",ROUND(N($J413)*N($I413),2))</f>
        <v/>
      </c>
      <c r="L413" s="42"/>
      <c r="M413" s="76"/>
      <c r="N413" s="43"/>
      <c r="R413" s="77" t="str">
        <f aca="false">IF($B413="","",$B413)</f>
        <v/>
      </c>
      <c r="S413" s="77" t="n">
        <f aca="false">IF($R413="",0,IF(MATCH($R413,$R$5:$R$904,0)=ROW()-4,1,0))</f>
        <v>0</v>
      </c>
      <c r="T413" s="77" t="n">
        <f aca="false">N(T412)+$S413</f>
        <v>18</v>
      </c>
    </row>
    <row r="414" customFormat="false" ht="13.5" hidden="false" customHeight="false" outlineLevel="0" collapsed="false">
      <c r="A414" s="9" t="str">
        <f aca="false">IF($B414="","",ROW()-4)</f>
        <v/>
      </c>
      <c r="B414" s="39" t="str">
        <f aca="false">IFERROR(INDEX(对接源_01入库吨位!$B$5:$B$304,MATCH(INT((ROW()-5)/3)+1,对接源_01入库吨位!$S$5:$S$304,0)),"")</f>
        <v/>
      </c>
      <c r="C414" s="39" t="str">
        <f aca="false">IFERROR(INDEX(对接源_01入库吨位!$C$5:$C$304,MATCH(INT((ROW()-5)/3)+1,对接源_01入库吨位!$S$5:$S$304,0)),"")</f>
        <v/>
      </c>
      <c r="D414" s="40" t="str">
        <f aca="false">IF($B414="","",IF(MOD(ROW()-5,3)=0,"周转打冷",IF(MOD(ROW()-5,3)=1,"仓储加工","装卸费")))</f>
        <v/>
      </c>
      <c r="E414" s="51" t="str">
        <f aca="false">IF($B414="","",IFERROR(IF($D414="周转打冷",N(INDEX(对接源_01入库吨位!$D$5:$D$304,MATCH(INT((ROW()-5)/3)+1,对接源_01入库吨位!$S$5:$S$304,0))),IF($D414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4" s="41" t="str">
        <f aca="false">IF($B414="","",ROUND(IFERROR(IF($D414="周转打冷",N(INDEX(对接源_01入库吨位!$H$5:$H$304,MATCH(INT((ROW()-5)/3)+1,对接源_01入库吨位!$S$5:$S$304,0))),IF($D414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4" s="52" t="str">
        <f aca="false">IF($B414="","",ROUND(N($F414)/1000,3))</f>
        <v/>
      </c>
      <c r="H414" s="74"/>
      <c r="I414" s="44"/>
      <c r="J414" s="75" t="str">
        <f aca="false">IF($B414="","",IF($H414="按筐数×单价",N($E414),IF($H414="按总重KG×单价",N($F414),IF($H414="按吨位×单价",N($G414),0))))</f>
        <v/>
      </c>
      <c r="K414" s="41" t="str">
        <f aca="false">IF($B414="","",ROUND(N($J414)*N($I414),2))</f>
        <v/>
      </c>
      <c r="L414" s="42"/>
      <c r="M414" s="76"/>
      <c r="N414" s="43"/>
      <c r="R414" s="77" t="str">
        <f aca="false">IF($B414="","",$B414)</f>
        <v/>
      </c>
      <c r="S414" s="77" t="n">
        <f aca="false">IF($R414="",0,IF(MATCH($R414,$R$5:$R$904,0)=ROW()-4,1,0))</f>
        <v>0</v>
      </c>
      <c r="T414" s="77" t="n">
        <f aca="false">N(T413)+$S414</f>
        <v>18</v>
      </c>
    </row>
    <row r="415" customFormat="false" ht="13.5" hidden="false" customHeight="false" outlineLevel="0" collapsed="false">
      <c r="A415" s="9" t="str">
        <f aca="false">IF($B415="","",ROW()-4)</f>
        <v/>
      </c>
      <c r="B415" s="39" t="str">
        <f aca="false">IFERROR(INDEX(对接源_01入库吨位!$B$5:$B$304,MATCH(INT((ROW()-5)/3)+1,对接源_01入库吨位!$S$5:$S$304,0)),"")</f>
        <v/>
      </c>
      <c r="C415" s="39" t="str">
        <f aca="false">IFERROR(INDEX(对接源_01入库吨位!$C$5:$C$304,MATCH(INT((ROW()-5)/3)+1,对接源_01入库吨位!$S$5:$S$304,0)),"")</f>
        <v/>
      </c>
      <c r="D415" s="40" t="str">
        <f aca="false">IF($B415="","",IF(MOD(ROW()-5,3)=0,"周转打冷",IF(MOD(ROW()-5,3)=1,"仓储加工","装卸费")))</f>
        <v/>
      </c>
      <c r="E415" s="51" t="str">
        <f aca="false">IF($B415="","",IFERROR(IF($D415="周转打冷",N(INDEX(对接源_01入库吨位!$D$5:$D$304,MATCH(INT((ROW()-5)/3)+1,对接源_01入库吨位!$S$5:$S$304,0))),IF($D415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5" s="41" t="str">
        <f aca="false">IF($B415="","",ROUND(IFERROR(IF($D415="周转打冷",N(INDEX(对接源_01入库吨位!$H$5:$H$304,MATCH(INT((ROW()-5)/3)+1,对接源_01入库吨位!$S$5:$S$304,0))),IF($D415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5" s="52" t="str">
        <f aca="false">IF($B415="","",ROUND(N($F415)/1000,3))</f>
        <v/>
      </c>
      <c r="H415" s="74"/>
      <c r="I415" s="44"/>
      <c r="J415" s="75" t="str">
        <f aca="false">IF($B415="","",IF($H415="按筐数×单价",N($E415),IF($H415="按总重KG×单价",N($F415),IF($H415="按吨位×单价",N($G415),0))))</f>
        <v/>
      </c>
      <c r="K415" s="41" t="str">
        <f aca="false">IF($B415="","",ROUND(N($J415)*N($I415),2))</f>
        <v/>
      </c>
      <c r="L415" s="42"/>
      <c r="M415" s="76"/>
      <c r="N415" s="43"/>
      <c r="R415" s="77" t="str">
        <f aca="false">IF($B415="","",$B415)</f>
        <v/>
      </c>
      <c r="S415" s="77" t="n">
        <f aca="false">IF($R415="",0,IF(MATCH($R415,$R$5:$R$904,0)=ROW()-4,1,0))</f>
        <v>0</v>
      </c>
      <c r="T415" s="77" t="n">
        <f aca="false">N(T414)+$S415</f>
        <v>18</v>
      </c>
    </row>
    <row r="416" customFormat="false" ht="13.5" hidden="false" customHeight="false" outlineLevel="0" collapsed="false">
      <c r="A416" s="9" t="str">
        <f aca="false">IF($B416="","",ROW()-4)</f>
        <v/>
      </c>
      <c r="B416" s="39" t="str">
        <f aca="false">IFERROR(INDEX(对接源_01入库吨位!$B$5:$B$304,MATCH(INT((ROW()-5)/3)+1,对接源_01入库吨位!$S$5:$S$304,0)),"")</f>
        <v/>
      </c>
      <c r="C416" s="39" t="str">
        <f aca="false">IFERROR(INDEX(对接源_01入库吨位!$C$5:$C$304,MATCH(INT((ROW()-5)/3)+1,对接源_01入库吨位!$S$5:$S$304,0)),"")</f>
        <v/>
      </c>
      <c r="D416" s="40" t="str">
        <f aca="false">IF($B416="","",IF(MOD(ROW()-5,3)=0,"周转打冷",IF(MOD(ROW()-5,3)=1,"仓储加工","装卸费")))</f>
        <v/>
      </c>
      <c r="E416" s="51" t="str">
        <f aca="false">IF($B416="","",IFERROR(IF($D416="周转打冷",N(INDEX(对接源_01入库吨位!$D$5:$D$304,MATCH(INT((ROW()-5)/3)+1,对接源_01入库吨位!$S$5:$S$304,0))),IF($D416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6" s="41" t="str">
        <f aca="false">IF($B416="","",ROUND(IFERROR(IF($D416="周转打冷",N(INDEX(对接源_01入库吨位!$H$5:$H$304,MATCH(INT((ROW()-5)/3)+1,对接源_01入库吨位!$S$5:$S$304,0))),IF($D416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6" s="52" t="str">
        <f aca="false">IF($B416="","",ROUND(N($F416)/1000,3))</f>
        <v/>
      </c>
      <c r="H416" s="74"/>
      <c r="I416" s="44"/>
      <c r="J416" s="75" t="str">
        <f aca="false">IF($B416="","",IF($H416="按筐数×单价",N($E416),IF($H416="按总重KG×单价",N($F416),IF($H416="按吨位×单价",N($G416),0))))</f>
        <v/>
      </c>
      <c r="K416" s="41" t="str">
        <f aca="false">IF($B416="","",ROUND(N($J416)*N($I416),2))</f>
        <v/>
      </c>
      <c r="L416" s="42"/>
      <c r="M416" s="76"/>
      <c r="N416" s="43"/>
      <c r="R416" s="77" t="str">
        <f aca="false">IF($B416="","",$B416)</f>
        <v/>
      </c>
      <c r="S416" s="77" t="n">
        <f aca="false">IF($R416="",0,IF(MATCH($R416,$R$5:$R$904,0)=ROW()-4,1,0))</f>
        <v>0</v>
      </c>
      <c r="T416" s="77" t="n">
        <f aca="false">N(T415)+$S416</f>
        <v>18</v>
      </c>
    </row>
    <row r="417" customFormat="false" ht="13.5" hidden="false" customHeight="false" outlineLevel="0" collapsed="false">
      <c r="A417" s="9" t="str">
        <f aca="false">IF($B417="","",ROW()-4)</f>
        <v/>
      </c>
      <c r="B417" s="39" t="str">
        <f aca="false">IFERROR(INDEX(对接源_01入库吨位!$B$5:$B$304,MATCH(INT((ROW()-5)/3)+1,对接源_01入库吨位!$S$5:$S$304,0)),"")</f>
        <v/>
      </c>
      <c r="C417" s="39" t="str">
        <f aca="false">IFERROR(INDEX(对接源_01入库吨位!$C$5:$C$304,MATCH(INT((ROW()-5)/3)+1,对接源_01入库吨位!$S$5:$S$304,0)),"")</f>
        <v/>
      </c>
      <c r="D417" s="40" t="str">
        <f aca="false">IF($B417="","",IF(MOD(ROW()-5,3)=0,"周转打冷",IF(MOD(ROW()-5,3)=1,"仓储加工","装卸费")))</f>
        <v/>
      </c>
      <c r="E417" s="51" t="str">
        <f aca="false">IF($B417="","",IFERROR(IF($D417="周转打冷",N(INDEX(对接源_01入库吨位!$D$5:$D$304,MATCH(INT((ROW()-5)/3)+1,对接源_01入库吨位!$S$5:$S$304,0))),IF($D417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7" s="41" t="str">
        <f aca="false">IF($B417="","",ROUND(IFERROR(IF($D417="周转打冷",N(INDEX(对接源_01入库吨位!$H$5:$H$304,MATCH(INT((ROW()-5)/3)+1,对接源_01入库吨位!$S$5:$S$304,0))),IF($D417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7" s="52" t="str">
        <f aca="false">IF($B417="","",ROUND(N($F417)/1000,3))</f>
        <v/>
      </c>
      <c r="H417" s="74"/>
      <c r="I417" s="44"/>
      <c r="J417" s="75" t="str">
        <f aca="false">IF($B417="","",IF($H417="按筐数×单价",N($E417),IF($H417="按总重KG×单价",N($F417),IF($H417="按吨位×单价",N($G417),0))))</f>
        <v/>
      </c>
      <c r="K417" s="41" t="str">
        <f aca="false">IF($B417="","",ROUND(N($J417)*N($I417),2))</f>
        <v/>
      </c>
      <c r="L417" s="42"/>
      <c r="M417" s="76"/>
      <c r="N417" s="43"/>
      <c r="R417" s="77" t="str">
        <f aca="false">IF($B417="","",$B417)</f>
        <v/>
      </c>
      <c r="S417" s="77" t="n">
        <f aca="false">IF($R417="",0,IF(MATCH($R417,$R$5:$R$904,0)=ROW()-4,1,0))</f>
        <v>0</v>
      </c>
      <c r="T417" s="77" t="n">
        <f aca="false">N(T416)+$S417</f>
        <v>18</v>
      </c>
    </row>
    <row r="418" customFormat="false" ht="13.5" hidden="false" customHeight="false" outlineLevel="0" collapsed="false">
      <c r="A418" s="9" t="str">
        <f aca="false">IF($B418="","",ROW()-4)</f>
        <v/>
      </c>
      <c r="B418" s="39" t="str">
        <f aca="false">IFERROR(INDEX(对接源_01入库吨位!$B$5:$B$304,MATCH(INT((ROW()-5)/3)+1,对接源_01入库吨位!$S$5:$S$304,0)),"")</f>
        <v/>
      </c>
      <c r="C418" s="39" t="str">
        <f aca="false">IFERROR(INDEX(对接源_01入库吨位!$C$5:$C$304,MATCH(INT((ROW()-5)/3)+1,对接源_01入库吨位!$S$5:$S$304,0)),"")</f>
        <v/>
      </c>
      <c r="D418" s="40" t="str">
        <f aca="false">IF($B418="","",IF(MOD(ROW()-5,3)=0,"周转打冷",IF(MOD(ROW()-5,3)=1,"仓储加工","装卸费")))</f>
        <v/>
      </c>
      <c r="E418" s="51" t="str">
        <f aca="false">IF($B418="","",IFERROR(IF($D418="周转打冷",N(INDEX(对接源_01入库吨位!$D$5:$D$304,MATCH(INT((ROW()-5)/3)+1,对接源_01入库吨位!$S$5:$S$304,0))),IF($D418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8" s="41" t="str">
        <f aca="false">IF($B418="","",ROUND(IFERROR(IF($D418="周转打冷",N(INDEX(对接源_01入库吨位!$H$5:$H$304,MATCH(INT((ROW()-5)/3)+1,对接源_01入库吨位!$S$5:$S$304,0))),IF($D418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8" s="52" t="str">
        <f aca="false">IF($B418="","",ROUND(N($F418)/1000,3))</f>
        <v/>
      </c>
      <c r="H418" s="74"/>
      <c r="I418" s="44"/>
      <c r="J418" s="75" t="str">
        <f aca="false">IF($B418="","",IF($H418="按筐数×单价",N($E418),IF($H418="按总重KG×单价",N($F418),IF($H418="按吨位×单价",N($G418),0))))</f>
        <v/>
      </c>
      <c r="K418" s="41" t="str">
        <f aca="false">IF($B418="","",ROUND(N($J418)*N($I418),2))</f>
        <v/>
      </c>
      <c r="L418" s="42"/>
      <c r="M418" s="76"/>
      <c r="N418" s="43"/>
      <c r="R418" s="77" t="str">
        <f aca="false">IF($B418="","",$B418)</f>
        <v/>
      </c>
      <c r="S418" s="77" t="n">
        <f aca="false">IF($R418="",0,IF(MATCH($R418,$R$5:$R$904,0)=ROW()-4,1,0))</f>
        <v>0</v>
      </c>
      <c r="T418" s="77" t="n">
        <f aca="false">N(T417)+$S418</f>
        <v>18</v>
      </c>
    </row>
    <row r="419" customFormat="false" ht="13.5" hidden="false" customHeight="false" outlineLevel="0" collapsed="false">
      <c r="A419" s="9" t="str">
        <f aca="false">IF($B419="","",ROW()-4)</f>
        <v/>
      </c>
      <c r="B419" s="39" t="str">
        <f aca="false">IFERROR(INDEX(对接源_01入库吨位!$B$5:$B$304,MATCH(INT((ROW()-5)/3)+1,对接源_01入库吨位!$S$5:$S$304,0)),"")</f>
        <v/>
      </c>
      <c r="C419" s="39" t="str">
        <f aca="false">IFERROR(INDEX(对接源_01入库吨位!$C$5:$C$304,MATCH(INT((ROW()-5)/3)+1,对接源_01入库吨位!$S$5:$S$304,0)),"")</f>
        <v/>
      </c>
      <c r="D419" s="40" t="str">
        <f aca="false">IF($B419="","",IF(MOD(ROW()-5,3)=0,"周转打冷",IF(MOD(ROW()-5,3)=1,"仓储加工","装卸费")))</f>
        <v/>
      </c>
      <c r="E419" s="51" t="str">
        <f aca="false">IF($B419="","",IFERROR(IF($D419="周转打冷",N(INDEX(对接源_01入库吨位!$D$5:$D$304,MATCH(INT((ROW()-5)/3)+1,对接源_01入库吨位!$S$5:$S$304,0))),IF($D419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19" s="41" t="str">
        <f aca="false">IF($B419="","",ROUND(IFERROR(IF($D419="周转打冷",N(INDEX(对接源_01入库吨位!$H$5:$H$304,MATCH(INT((ROW()-5)/3)+1,对接源_01入库吨位!$S$5:$S$304,0))),IF($D419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19" s="52" t="str">
        <f aca="false">IF($B419="","",ROUND(N($F419)/1000,3))</f>
        <v/>
      </c>
      <c r="H419" s="74"/>
      <c r="I419" s="44"/>
      <c r="J419" s="75" t="str">
        <f aca="false">IF($B419="","",IF($H419="按筐数×单价",N($E419),IF($H419="按总重KG×单价",N($F419),IF($H419="按吨位×单价",N($G419),0))))</f>
        <v/>
      </c>
      <c r="K419" s="41" t="str">
        <f aca="false">IF($B419="","",ROUND(N($J419)*N($I419),2))</f>
        <v/>
      </c>
      <c r="L419" s="42"/>
      <c r="M419" s="76"/>
      <c r="N419" s="43"/>
      <c r="R419" s="77" t="str">
        <f aca="false">IF($B419="","",$B419)</f>
        <v/>
      </c>
      <c r="S419" s="77" t="n">
        <f aca="false">IF($R419="",0,IF(MATCH($R419,$R$5:$R$904,0)=ROW()-4,1,0))</f>
        <v>0</v>
      </c>
      <c r="T419" s="77" t="n">
        <f aca="false">N(T418)+$S419</f>
        <v>18</v>
      </c>
    </row>
    <row r="420" customFormat="false" ht="13.5" hidden="false" customHeight="false" outlineLevel="0" collapsed="false">
      <c r="A420" s="9" t="str">
        <f aca="false">IF($B420="","",ROW()-4)</f>
        <v/>
      </c>
      <c r="B420" s="39" t="str">
        <f aca="false">IFERROR(INDEX(对接源_01入库吨位!$B$5:$B$304,MATCH(INT((ROW()-5)/3)+1,对接源_01入库吨位!$S$5:$S$304,0)),"")</f>
        <v/>
      </c>
      <c r="C420" s="39" t="str">
        <f aca="false">IFERROR(INDEX(对接源_01入库吨位!$C$5:$C$304,MATCH(INT((ROW()-5)/3)+1,对接源_01入库吨位!$S$5:$S$304,0)),"")</f>
        <v/>
      </c>
      <c r="D420" s="40" t="str">
        <f aca="false">IF($B420="","",IF(MOD(ROW()-5,3)=0,"周转打冷",IF(MOD(ROW()-5,3)=1,"仓储加工","装卸费")))</f>
        <v/>
      </c>
      <c r="E420" s="51" t="str">
        <f aca="false">IF($B420="","",IFERROR(IF($D420="周转打冷",N(INDEX(对接源_01入库吨位!$D$5:$D$304,MATCH(INT((ROW()-5)/3)+1,对接源_01入库吨位!$S$5:$S$304,0))),IF($D420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0" s="41" t="str">
        <f aca="false">IF($B420="","",ROUND(IFERROR(IF($D420="周转打冷",N(INDEX(对接源_01入库吨位!$H$5:$H$304,MATCH(INT((ROW()-5)/3)+1,对接源_01入库吨位!$S$5:$S$304,0))),IF($D420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0" s="52" t="str">
        <f aca="false">IF($B420="","",ROUND(N($F420)/1000,3))</f>
        <v/>
      </c>
      <c r="H420" s="74"/>
      <c r="I420" s="44"/>
      <c r="J420" s="75" t="str">
        <f aca="false">IF($B420="","",IF($H420="按筐数×单价",N($E420),IF($H420="按总重KG×单价",N($F420),IF($H420="按吨位×单价",N($G420),0))))</f>
        <v/>
      </c>
      <c r="K420" s="41" t="str">
        <f aca="false">IF($B420="","",ROUND(N($J420)*N($I420),2))</f>
        <v/>
      </c>
      <c r="L420" s="42"/>
      <c r="M420" s="76"/>
      <c r="N420" s="43"/>
      <c r="R420" s="77" t="str">
        <f aca="false">IF($B420="","",$B420)</f>
        <v/>
      </c>
      <c r="S420" s="77" t="n">
        <f aca="false">IF($R420="",0,IF(MATCH($R420,$R$5:$R$904,0)=ROW()-4,1,0))</f>
        <v>0</v>
      </c>
      <c r="T420" s="77" t="n">
        <f aca="false">N(T419)+$S420</f>
        <v>18</v>
      </c>
    </row>
    <row r="421" customFormat="false" ht="13.5" hidden="false" customHeight="false" outlineLevel="0" collapsed="false">
      <c r="A421" s="9" t="str">
        <f aca="false">IF($B421="","",ROW()-4)</f>
        <v/>
      </c>
      <c r="B421" s="39" t="str">
        <f aca="false">IFERROR(INDEX(对接源_01入库吨位!$B$5:$B$304,MATCH(INT((ROW()-5)/3)+1,对接源_01入库吨位!$S$5:$S$304,0)),"")</f>
        <v/>
      </c>
      <c r="C421" s="39" t="str">
        <f aca="false">IFERROR(INDEX(对接源_01入库吨位!$C$5:$C$304,MATCH(INT((ROW()-5)/3)+1,对接源_01入库吨位!$S$5:$S$304,0)),"")</f>
        <v/>
      </c>
      <c r="D421" s="40" t="str">
        <f aca="false">IF($B421="","",IF(MOD(ROW()-5,3)=0,"周转打冷",IF(MOD(ROW()-5,3)=1,"仓储加工","装卸费")))</f>
        <v/>
      </c>
      <c r="E421" s="51" t="str">
        <f aca="false">IF($B421="","",IFERROR(IF($D421="周转打冷",N(INDEX(对接源_01入库吨位!$D$5:$D$304,MATCH(INT((ROW()-5)/3)+1,对接源_01入库吨位!$S$5:$S$304,0))),IF($D421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1" s="41" t="str">
        <f aca="false">IF($B421="","",ROUND(IFERROR(IF($D421="周转打冷",N(INDEX(对接源_01入库吨位!$H$5:$H$304,MATCH(INT((ROW()-5)/3)+1,对接源_01入库吨位!$S$5:$S$304,0))),IF($D421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1" s="52" t="str">
        <f aca="false">IF($B421="","",ROUND(N($F421)/1000,3))</f>
        <v/>
      </c>
      <c r="H421" s="74"/>
      <c r="I421" s="44"/>
      <c r="J421" s="75" t="str">
        <f aca="false">IF($B421="","",IF($H421="按筐数×单价",N($E421),IF($H421="按总重KG×单价",N($F421),IF($H421="按吨位×单价",N($G421),0))))</f>
        <v/>
      </c>
      <c r="K421" s="41" t="str">
        <f aca="false">IF($B421="","",ROUND(N($J421)*N($I421),2))</f>
        <v/>
      </c>
      <c r="L421" s="42"/>
      <c r="M421" s="76"/>
      <c r="N421" s="43"/>
      <c r="R421" s="77" t="str">
        <f aca="false">IF($B421="","",$B421)</f>
        <v/>
      </c>
      <c r="S421" s="77" t="n">
        <f aca="false">IF($R421="",0,IF(MATCH($R421,$R$5:$R$904,0)=ROW()-4,1,0))</f>
        <v>0</v>
      </c>
      <c r="T421" s="77" t="n">
        <f aca="false">N(T420)+$S421</f>
        <v>18</v>
      </c>
    </row>
    <row r="422" customFormat="false" ht="13.5" hidden="false" customHeight="false" outlineLevel="0" collapsed="false">
      <c r="A422" s="9" t="str">
        <f aca="false">IF($B422="","",ROW()-4)</f>
        <v/>
      </c>
      <c r="B422" s="39" t="str">
        <f aca="false">IFERROR(INDEX(对接源_01入库吨位!$B$5:$B$304,MATCH(INT((ROW()-5)/3)+1,对接源_01入库吨位!$S$5:$S$304,0)),"")</f>
        <v/>
      </c>
      <c r="C422" s="39" t="str">
        <f aca="false">IFERROR(INDEX(对接源_01入库吨位!$C$5:$C$304,MATCH(INT((ROW()-5)/3)+1,对接源_01入库吨位!$S$5:$S$304,0)),"")</f>
        <v/>
      </c>
      <c r="D422" s="40" t="str">
        <f aca="false">IF($B422="","",IF(MOD(ROW()-5,3)=0,"周转打冷",IF(MOD(ROW()-5,3)=1,"仓储加工","装卸费")))</f>
        <v/>
      </c>
      <c r="E422" s="51" t="str">
        <f aca="false">IF($B422="","",IFERROR(IF($D422="周转打冷",N(INDEX(对接源_01入库吨位!$D$5:$D$304,MATCH(INT((ROW()-5)/3)+1,对接源_01入库吨位!$S$5:$S$304,0))),IF($D422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2" s="41" t="str">
        <f aca="false">IF($B422="","",ROUND(IFERROR(IF($D422="周转打冷",N(INDEX(对接源_01入库吨位!$H$5:$H$304,MATCH(INT((ROW()-5)/3)+1,对接源_01入库吨位!$S$5:$S$304,0))),IF($D422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2" s="52" t="str">
        <f aca="false">IF($B422="","",ROUND(N($F422)/1000,3))</f>
        <v/>
      </c>
      <c r="H422" s="74"/>
      <c r="I422" s="44"/>
      <c r="J422" s="75" t="str">
        <f aca="false">IF($B422="","",IF($H422="按筐数×单价",N($E422),IF($H422="按总重KG×单价",N($F422),IF($H422="按吨位×单价",N($G422),0))))</f>
        <v/>
      </c>
      <c r="K422" s="41" t="str">
        <f aca="false">IF($B422="","",ROUND(N($J422)*N($I422),2))</f>
        <v/>
      </c>
      <c r="L422" s="42"/>
      <c r="M422" s="76"/>
      <c r="N422" s="43"/>
      <c r="R422" s="77" t="str">
        <f aca="false">IF($B422="","",$B422)</f>
        <v/>
      </c>
      <c r="S422" s="77" t="n">
        <f aca="false">IF($R422="",0,IF(MATCH($R422,$R$5:$R$904,0)=ROW()-4,1,0))</f>
        <v>0</v>
      </c>
      <c r="T422" s="77" t="n">
        <f aca="false">N(T421)+$S422</f>
        <v>18</v>
      </c>
    </row>
    <row r="423" customFormat="false" ht="13.5" hidden="false" customHeight="false" outlineLevel="0" collapsed="false">
      <c r="A423" s="9" t="str">
        <f aca="false">IF($B423="","",ROW()-4)</f>
        <v/>
      </c>
      <c r="B423" s="39" t="str">
        <f aca="false">IFERROR(INDEX(对接源_01入库吨位!$B$5:$B$304,MATCH(INT((ROW()-5)/3)+1,对接源_01入库吨位!$S$5:$S$304,0)),"")</f>
        <v/>
      </c>
      <c r="C423" s="39" t="str">
        <f aca="false">IFERROR(INDEX(对接源_01入库吨位!$C$5:$C$304,MATCH(INT((ROW()-5)/3)+1,对接源_01入库吨位!$S$5:$S$304,0)),"")</f>
        <v/>
      </c>
      <c r="D423" s="40" t="str">
        <f aca="false">IF($B423="","",IF(MOD(ROW()-5,3)=0,"周转打冷",IF(MOD(ROW()-5,3)=1,"仓储加工","装卸费")))</f>
        <v/>
      </c>
      <c r="E423" s="51" t="str">
        <f aca="false">IF($B423="","",IFERROR(IF($D423="周转打冷",N(INDEX(对接源_01入库吨位!$D$5:$D$304,MATCH(INT((ROW()-5)/3)+1,对接源_01入库吨位!$S$5:$S$304,0))),IF($D423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3" s="41" t="str">
        <f aca="false">IF($B423="","",ROUND(IFERROR(IF($D423="周转打冷",N(INDEX(对接源_01入库吨位!$H$5:$H$304,MATCH(INT((ROW()-5)/3)+1,对接源_01入库吨位!$S$5:$S$304,0))),IF($D423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3" s="52" t="str">
        <f aca="false">IF($B423="","",ROUND(N($F423)/1000,3))</f>
        <v/>
      </c>
      <c r="H423" s="74"/>
      <c r="I423" s="44"/>
      <c r="J423" s="75" t="str">
        <f aca="false">IF($B423="","",IF($H423="按筐数×单价",N($E423),IF($H423="按总重KG×单价",N($F423),IF($H423="按吨位×单价",N($G423),0))))</f>
        <v/>
      </c>
      <c r="K423" s="41" t="str">
        <f aca="false">IF($B423="","",ROUND(N($J423)*N($I423),2))</f>
        <v/>
      </c>
      <c r="L423" s="42"/>
      <c r="M423" s="76"/>
      <c r="N423" s="43"/>
      <c r="R423" s="77" t="str">
        <f aca="false">IF($B423="","",$B423)</f>
        <v/>
      </c>
      <c r="S423" s="77" t="n">
        <f aca="false">IF($R423="",0,IF(MATCH($R423,$R$5:$R$904,0)=ROW()-4,1,0))</f>
        <v>0</v>
      </c>
      <c r="T423" s="77" t="n">
        <f aca="false">N(T422)+$S423</f>
        <v>18</v>
      </c>
    </row>
    <row r="424" customFormat="false" ht="13.5" hidden="false" customHeight="false" outlineLevel="0" collapsed="false">
      <c r="A424" s="9" t="str">
        <f aca="false">IF($B424="","",ROW()-4)</f>
        <v/>
      </c>
      <c r="B424" s="39" t="str">
        <f aca="false">IFERROR(INDEX(对接源_01入库吨位!$B$5:$B$304,MATCH(INT((ROW()-5)/3)+1,对接源_01入库吨位!$S$5:$S$304,0)),"")</f>
        <v/>
      </c>
      <c r="C424" s="39" t="str">
        <f aca="false">IFERROR(INDEX(对接源_01入库吨位!$C$5:$C$304,MATCH(INT((ROW()-5)/3)+1,对接源_01入库吨位!$S$5:$S$304,0)),"")</f>
        <v/>
      </c>
      <c r="D424" s="40" t="str">
        <f aca="false">IF($B424="","",IF(MOD(ROW()-5,3)=0,"周转打冷",IF(MOD(ROW()-5,3)=1,"仓储加工","装卸费")))</f>
        <v/>
      </c>
      <c r="E424" s="51" t="str">
        <f aca="false">IF($B424="","",IFERROR(IF($D424="周转打冷",N(INDEX(对接源_01入库吨位!$D$5:$D$304,MATCH(INT((ROW()-5)/3)+1,对接源_01入库吨位!$S$5:$S$304,0))),IF($D424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4" s="41" t="str">
        <f aca="false">IF($B424="","",ROUND(IFERROR(IF($D424="周转打冷",N(INDEX(对接源_01入库吨位!$H$5:$H$304,MATCH(INT((ROW()-5)/3)+1,对接源_01入库吨位!$S$5:$S$304,0))),IF($D424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4" s="52" t="str">
        <f aca="false">IF($B424="","",ROUND(N($F424)/1000,3))</f>
        <v/>
      </c>
      <c r="H424" s="74"/>
      <c r="I424" s="44"/>
      <c r="J424" s="75" t="str">
        <f aca="false">IF($B424="","",IF($H424="按筐数×单价",N($E424),IF($H424="按总重KG×单价",N($F424),IF($H424="按吨位×单价",N($G424),0))))</f>
        <v/>
      </c>
      <c r="K424" s="41" t="str">
        <f aca="false">IF($B424="","",ROUND(N($J424)*N($I424),2))</f>
        <v/>
      </c>
      <c r="L424" s="42"/>
      <c r="M424" s="76"/>
      <c r="N424" s="43"/>
      <c r="R424" s="77" t="str">
        <f aca="false">IF($B424="","",$B424)</f>
        <v/>
      </c>
      <c r="S424" s="77" t="n">
        <f aca="false">IF($R424="",0,IF(MATCH($R424,$R$5:$R$904,0)=ROW()-4,1,0))</f>
        <v>0</v>
      </c>
      <c r="T424" s="77" t="n">
        <f aca="false">N(T423)+$S424</f>
        <v>18</v>
      </c>
    </row>
    <row r="425" customFormat="false" ht="13.5" hidden="false" customHeight="false" outlineLevel="0" collapsed="false">
      <c r="A425" s="9" t="str">
        <f aca="false">IF($B425="","",ROW()-4)</f>
        <v/>
      </c>
      <c r="B425" s="39" t="str">
        <f aca="false">IFERROR(INDEX(对接源_01入库吨位!$B$5:$B$304,MATCH(INT((ROW()-5)/3)+1,对接源_01入库吨位!$S$5:$S$304,0)),"")</f>
        <v/>
      </c>
      <c r="C425" s="39" t="str">
        <f aca="false">IFERROR(INDEX(对接源_01入库吨位!$C$5:$C$304,MATCH(INT((ROW()-5)/3)+1,对接源_01入库吨位!$S$5:$S$304,0)),"")</f>
        <v/>
      </c>
      <c r="D425" s="40" t="str">
        <f aca="false">IF($B425="","",IF(MOD(ROW()-5,3)=0,"周转打冷",IF(MOD(ROW()-5,3)=1,"仓储加工","装卸费")))</f>
        <v/>
      </c>
      <c r="E425" s="51" t="str">
        <f aca="false">IF($B425="","",IFERROR(IF($D425="周转打冷",N(INDEX(对接源_01入库吨位!$D$5:$D$304,MATCH(INT((ROW()-5)/3)+1,对接源_01入库吨位!$S$5:$S$304,0))),IF($D425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5" s="41" t="str">
        <f aca="false">IF($B425="","",ROUND(IFERROR(IF($D425="周转打冷",N(INDEX(对接源_01入库吨位!$H$5:$H$304,MATCH(INT((ROW()-5)/3)+1,对接源_01入库吨位!$S$5:$S$304,0))),IF($D425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5" s="52" t="str">
        <f aca="false">IF($B425="","",ROUND(N($F425)/1000,3))</f>
        <v/>
      </c>
      <c r="H425" s="74"/>
      <c r="I425" s="44"/>
      <c r="J425" s="75" t="str">
        <f aca="false">IF($B425="","",IF($H425="按筐数×单价",N($E425),IF($H425="按总重KG×单价",N($F425),IF($H425="按吨位×单价",N($G425),0))))</f>
        <v/>
      </c>
      <c r="K425" s="41" t="str">
        <f aca="false">IF($B425="","",ROUND(N($J425)*N($I425),2))</f>
        <v/>
      </c>
      <c r="L425" s="42"/>
      <c r="M425" s="76"/>
      <c r="N425" s="43"/>
      <c r="R425" s="77" t="str">
        <f aca="false">IF($B425="","",$B425)</f>
        <v/>
      </c>
      <c r="S425" s="77" t="n">
        <f aca="false">IF($R425="",0,IF(MATCH($R425,$R$5:$R$904,0)=ROW()-4,1,0))</f>
        <v>0</v>
      </c>
      <c r="T425" s="77" t="n">
        <f aca="false">N(T424)+$S425</f>
        <v>18</v>
      </c>
    </row>
    <row r="426" customFormat="false" ht="13.5" hidden="false" customHeight="false" outlineLevel="0" collapsed="false">
      <c r="A426" s="9" t="str">
        <f aca="false">IF($B426="","",ROW()-4)</f>
        <v/>
      </c>
      <c r="B426" s="39" t="str">
        <f aca="false">IFERROR(INDEX(对接源_01入库吨位!$B$5:$B$304,MATCH(INT((ROW()-5)/3)+1,对接源_01入库吨位!$S$5:$S$304,0)),"")</f>
        <v/>
      </c>
      <c r="C426" s="39" t="str">
        <f aca="false">IFERROR(INDEX(对接源_01入库吨位!$C$5:$C$304,MATCH(INT((ROW()-5)/3)+1,对接源_01入库吨位!$S$5:$S$304,0)),"")</f>
        <v/>
      </c>
      <c r="D426" s="40" t="str">
        <f aca="false">IF($B426="","",IF(MOD(ROW()-5,3)=0,"周转打冷",IF(MOD(ROW()-5,3)=1,"仓储加工","装卸费")))</f>
        <v/>
      </c>
      <c r="E426" s="51" t="str">
        <f aca="false">IF($B426="","",IFERROR(IF($D426="周转打冷",N(INDEX(对接源_01入库吨位!$D$5:$D$304,MATCH(INT((ROW()-5)/3)+1,对接源_01入库吨位!$S$5:$S$304,0))),IF($D426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6" s="41" t="str">
        <f aca="false">IF($B426="","",ROUND(IFERROR(IF($D426="周转打冷",N(INDEX(对接源_01入库吨位!$H$5:$H$304,MATCH(INT((ROW()-5)/3)+1,对接源_01入库吨位!$S$5:$S$304,0))),IF($D426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6" s="52" t="str">
        <f aca="false">IF($B426="","",ROUND(N($F426)/1000,3))</f>
        <v/>
      </c>
      <c r="H426" s="74"/>
      <c r="I426" s="44"/>
      <c r="J426" s="75" t="str">
        <f aca="false">IF($B426="","",IF($H426="按筐数×单价",N($E426),IF($H426="按总重KG×单价",N($F426),IF($H426="按吨位×单价",N($G426),0))))</f>
        <v/>
      </c>
      <c r="K426" s="41" t="str">
        <f aca="false">IF($B426="","",ROUND(N($J426)*N($I426),2))</f>
        <v/>
      </c>
      <c r="L426" s="42"/>
      <c r="M426" s="76"/>
      <c r="N426" s="43"/>
      <c r="R426" s="77" t="str">
        <f aca="false">IF($B426="","",$B426)</f>
        <v/>
      </c>
      <c r="S426" s="77" t="n">
        <f aca="false">IF($R426="",0,IF(MATCH($R426,$R$5:$R$904,0)=ROW()-4,1,0))</f>
        <v>0</v>
      </c>
      <c r="T426" s="77" t="n">
        <f aca="false">N(T425)+$S426</f>
        <v>18</v>
      </c>
    </row>
    <row r="427" customFormat="false" ht="13.5" hidden="false" customHeight="false" outlineLevel="0" collapsed="false">
      <c r="A427" s="9" t="str">
        <f aca="false">IF($B427="","",ROW()-4)</f>
        <v/>
      </c>
      <c r="B427" s="39" t="str">
        <f aca="false">IFERROR(INDEX(对接源_01入库吨位!$B$5:$B$304,MATCH(INT((ROW()-5)/3)+1,对接源_01入库吨位!$S$5:$S$304,0)),"")</f>
        <v/>
      </c>
      <c r="C427" s="39" t="str">
        <f aca="false">IFERROR(INDEX(对接源_01入库吨位!$C$5:$C$304,MATCH(INT((ROW()-5)/3)+1,对接源_01入库吨位!$S$5:$S$304,0)),"")</f>
        <v/>
      </c>
      <c r="D427" s="40" t="str">
        <f aca="false">IF($B427="","",IF(MOD(ROW()-5,3)=0,"周转打冷",IF(MOD(ROW()-5,3)=1,"仓储加工","装卸费")))</f>
        <v/>
      </c>
      <c r="E427" s="51" t="str">
        <f aca="false">IF($B427="","",IFERROR(IF($D427="周转打冷",N(INDEX(对接源_01入库吨位!$D$5:$D$304,MATCH(INT((ROW()-5)/3)+1,对接源_01入库吨位!$S$5:$S$304,0))),IF($D427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7" s="41" t="str">
        <f aca="false">IF($B427="","",ROUND(IFERROR(IF($D427="周转打冷",N(INDEX(对接源_01入库吨位!$H$5:$H$304,MATCH(INT((ROW()-5)/3)+1,对接源_01入库吨位!$S$5:$S$304,0))),IF($D427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7" s="52" t="str">
        <f aca="false">IF($B427="","",ROUND(N($F427)/1000,3))</f>
        <v/>
      </c>
      <c r="H427" s="74"/>
      <c r="I427" s="44"/>
      <c r="J427" s="75" t="str">
        <f aca="false">IF($B427="","",IF($H427="按筐数×单价",N($E427),IF($H427="按总重KG×单价",N($F427),IF($H427="按吨位×单价",N($G427),0))))</f>
        <v/>
      </c>
      <c r="K427" s="41" t="str">
        <f aca="false">IF($B427="","",ROUND(N($J427)*N($I427),2))</f>
        <v/>
      </c>
      <c r="L427" s="42"/>
      <c r="M427" s="76"/>
      <c r="N427" s="43"/>
      <c r="R427" s="77" t="str">
        <f aca="false">IF($B427="","",$B427)</f>
        <v/>
      </c>
      <c r="S427" s="77" t="n">
        <f aca="false">IF($R427="",0,IF(MATCH($R427,$R$5:$R$904,0)=ROW()-4,1,0))</f>
        <v>0</v>
      </c>
      <c r="T427" s="77" t="n">
        <f aca="false">N(T426)+$S427</f>
        <v>18</v>
      </c>
    </row>
    <row r="428" customFormat="false" ht="13.5" hidden="false" customHeight="false" outlineLevel="0" collapsed="false">
      <c r="A428" s="9" t="str">
        <f aca="false">IF($B428="","",ROW()-4)</f>
        <v/>
      </c>
      <c r="B428" s="39" t="str">
        <f aca="false">IFERROR(INDEX(对接源_01入库吨位!$B$5:$B$304,MATCH(INT((ROW()-5)/3)+1,对接源_01入库吨位!$S$5:$S$304,0)),"")</f>
        <v/>
      </c>
      <c r="C428" s="39" t="str">
        <f aca="false">IFERROR(INDEX(对接源_01入库吨位!$C$5:$C$304,MATCH(INT((ROW()-5)/3)+1,对接源_01入库吨位!$S$5:$S$304,0)),"")</f>
        <v/>
      </c>
      <c r="D428" s="40" t="str">
        <f aca="false">IF($B428="","",IF(MOD(ROW()-5,3)=0,"周转打冷",IF(MOD(ROW()-5,3)=1,"仓储加工","装卸费")))</f>
        <v/>
      </c>
      <c r="E428" s="51" t="str">
        <f aca="false">IF($B428="","",IFERROR(IF($D428="周转打冷",N(INDEX(对接源_01入库吨位!$D$5:$D$304,MATCH(INT((ROW()-5)/3)+1,对接源_01入库吨位!$S$5:$S$304,0))),IF($D428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8" s="41" t="str">
        <f aca="false">IF($B428="","",ROUND(IFERROR(IF($D428="周转打冷",N(INDEX(对接源_01入库吨位!$H$5:$H$304,MATCH(INT((ROW()-5)/3)+1,对接源_01入库吨位!$S$5:$S$304,0))),IF($D428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8" s="52" t="str">
        <f aca="false">IF($B428="","",ROUND(N($F428)/1000,3))</f>
        <v/>
      </c>
      <c r="H428" s="74"/>
      <c r="I428" s="44"/>
      <c r="J428" s="75" t="str">
        <f aca="false">IF($B428="","",IF($H428="按筐数×单价",N($E428),IF($H428="按总重KG×单价",N($F428),IF($H428="按吨位×单价",N($G428),0))))</f>
        <v/>
      </c>
      <c r="K428" s="41" t="str">
        <f aca="false">IF($B428="","",ROUND(N($J428)*N($I428),2))</f>
        <v/>
      </c>
      <c r="L428" s="42"/>
      <c r="M428" s="76"/>
      <c r="N428" s="43"/>
      <c r="R428" s="77" t="str">
        <f aca="false">IF($B428="","",$B428)</f>
        <v/>
      </c>
      <c r="S428" s="77" t="n">
        <f aca="false">IF($R428="",0,IF(MATCH($R428,$R$5:$R$904,0)=ROW()-4,1,0))</f>
        <v>0</v>
      </c>
      <c r="T428" s="77" t="n">
        <f aca="false">N(T427)+$S428</f>
        <v>18</v>
      </c>
    </row>
    <row r="429" customFormat="false" ht="13.5" hidden="false" customHeight="false" outlineLevel="0" collapsed="false">
      <c r="A429" s="9" t="str">
        <f aca="false">IF($B429="","",ROW()-4)</f>
        <v/>
      </c>
      <c r="B429" s="39" t="str">
        <f aca="false">IFERROR(INDEX(对接源_01入库吨位!$B$5:$B$304,MATCH(INT((ROW()-5)/3)+1,对接源_01入库吨位!$S$5:$S$304,0)),"")</f>
        <v/>
      </c>
      <c r="C429" s="39" t="str">
        <f aca="false">IFERROR(INDEX(对接源_01入库吨位!$C$5:$C$304,MATCH(INT((ROW()-5)/3)+1,对接源_01入库吨位!$S$5:$S$304,0)),"")</f>
        <v/>
      </c>
      <c r="D429" s="40" t="str">
        <f aca="false">IF($B429="","",IF(MOD(ROW()-5,3)=0,"周转打冷",IF(MOD(ROW()-5,3)=1,"仓储加工","装卸费")))</f>
        <v/>
      </c>
      <c r="E429" s="51" t="str">
        <f aca="false">IF($B429="","",IFERROR(IF($D429="周转打冷",N(INDEX(对接源_01入库吨位!$D$5:$D$304,MATCH(INT((ROW()-5)/3)+1,对接源_01入库吨位!$S$5:$S$304,0))),IF($D429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29" s="41" t="str">
        <f aca="false">IF($B429="","",ROUND(IFERROR(IF($D429="周转打冷",N(INDEX(对接源_01入库吨位!$H$5:$H$304,MATCH(INT((ROW()-5)/3)+1,对接源_01入库吨位!$S$5:$S$304,0))),IF($D429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29" s="52" t="str">
        <f aca="false">IF($B429="","",ROUND(N($F429)/1000,3))</f>
        <v/>
      </c>
      <c r="H429" s="74"/>
      <c r="I429" s="44"/>
      <c r="J429" s="75" t="str">
        <f aca="false">IF($B429="","",IF($H429="按筐数×单价",N($E429),IF($H429="按总重KG×单价",N($F429),IF($H429="按吨位×单价",N($G429),0))))</f>
        <v/>
      </c>
      <c r="K429" s="41" t="str">
        <f aca="false">IF($B429="","",ROUND(N($J429)*N($I429),2))</f>
        <v/>
      </c>
      <c r="L429" s="42"/>
      <c r="M429" s="76"/>
      <c r="N429" s="43"/>
      <c r="R429" s="77" t="str">
        <f aca="false">IF($B429="","",$B429)</f>
        <v/>
      </c>
      <c r="S429" s="77" t="n">
        <f aca="false">IF($R429="",0,IF(MATCH($R429,$R$5:$R$904,0)=ROW()-4,1,0))</f>
        <v>0</v>
      </c>
      <c r="T429" s="77" t="n">
        <f aca="false">N(T428)+$S429</f>
        <v>18</v>
      </c>
    </row>
    <row r="430" customFormat="false" ht="13.5" hidden="false" customHeight="false" outlineLevel="0" collapsed="false">
      <c r="A430" s="9" t="str">
        <f aca="false">IF($B430="","",ROW()-4)</f>
        <v/>
      </c>
      <c r="B430" s="39" t="str">
        <f aca="false">IFERROR(INDEX(对接源_01入库吨位!$B$5:$B$304,MATCH(INT((ROW()-5)/3)+1,对接源_01入库吨位!$S$5:$S$304,0)),"")</f>
        <v/>
      </c>
      <c r="C430" s="39" t="str">
        <f aca="false">IFERROR(INDEX(对接源_01入库吨位!$C$5:$C$304,MATCH(INT((ROW()-5)/3)+1,对接源_01入库吨位!$S$5:$S$304,0)),"")</f>
        <v/>
      </c>
      <c r="D430" s="40" t="str">
        <f aca="false">IF($B430="","",IF(MOD(ROW()-5,3)=0,"周转打冷",IF(MOD(ROW()-5,3)=1,"仓储加工","装卸费")))</f>
        <v/>
      </c>
      <c r="E430" s="51" t="str">
        <f aca="false">IF($B430="","",IFERROR(IF($D430="周转打冷",N(INDEX(对接源_01入库吨位!$D$5:$D$304,MATCH(INT((ROW()-5)/3)+1,对接源_01入库吨位!$S$5:$S$304,0))),IF($D430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0" s="41" t="str">
        <f aca="false">IF($B430="","",ROUND(IFERROR(IF($D430="周转打冷",N(INDEX(对接源_01入库吨位!$H$5:$H$304,MATCH(INT((ROW()-5)/3)+1,对接源_01入库吨位!$S$5:$S$304,0))),IF($D430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0" s="52" t="str">
        <f aca="false">IF($B430="","",ROUND(N($F430)/1000,3))</f>
        <v/>
      </c>
      <c r="H430" s="74"/>
      <c r="I430" s="44"/>
      <c r="J430" s="75" t="str">
        <f aca="false">IF($B430="","",IF($H430="按筐数×单价",N($E430),IF($H430="按总重KG×单价",N($F430),IF($H430="按吨位×单价",N($G430),0))))</f>
        <v/>
      </c>
      <c r="K430" s="41" t="str">
        <f aca="false">IF($B430="","",ROUND(N($J430)*N($I430),2))</f>
        <v/>
      </c>
      <c r="L430" s="42"/>
      <c r="M430" s="76"/>
      <c r="N430" s="43"/>
      <c r="R430" s="77" t="str">
        <f aca="false">IF($B430="","",$B430)</f>
        <v/>
      </c>
      <c r="S430" s="77" t="n">
        <f aca="false">IF($R430="",0,IF(MATCH($R430,$R$5:$R$904,0)=ROW()-4,1,0))</f>
        <v>0</v>
      </c>
      <c r="T430" s="77" t="n">
        <f aca="false">N(T429)+$S430</f>
        <v>18</v>
      </c>
    </row>
    <row r="431" customFormat="false" ht="13.5" hidden="false" customHeight="false" outlineLevel="0" collapsed="false">
      <c r="A431" s="9" t="str">
        <f aca="false">IF($B431="","",ROW()-4)</f>
        <v/>
      </c>
      <c r="B431" s="39" t="str">
        <f aca="false">IFERROR(INDEX(对接源_01入库吨位!$B$5:$B$304,MATCH(INT((ROW()-5)/3)+1,对接源_01入库吨位!$S$5:$S$304,0)),"")</f>
        <v/>
      </c>
      <c r="C431" s="39" t="str">
        <f aca="false">IFERROR(INDEX(对接源_01入库吨位!$C$5:$C$304,MATCH(INT((ROW()-5)/3)+1,对接源_01入库吨位!$S$5:$S$304,0)),"")</f>
        <v/>
      </c>
      <c r="D431" s="40" t="str">
        <f aca="false">IF($B431="","",IF(MOD(ROW()-5,3)=0,"周转打冷",IF(MOD(ROW()-5,3)=1,"仓储加工","装卸费")))</f>
        <v/>
      </c>
      <c r="E431" s="51" t="str">
        <f aca="false">IF($B431="","",IFERROR(IF($D431="周转打冷",N(INDEX(对接源_01入库吨位!$D$5:$D$304,MATCH(INT((ROW()-5)/3)+1,对接源_01入库吨位!$S$5:$S$304,0))),IF($D431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1" s="41" t="str">
        <f aca="false">IF($B431="","",ROUND(IFERROR(IF($D431="周转打冷",N(INDEX(对接源_01入库吨位!$H$5:$H$304,MATCH(INT((ROW()-5)/3)+1,对接源_01入库吨位!$S$5:$S$304,0))),IF($D431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1" s="52" t="str">
        <f aca="false">IF($B431="","",ROUND(N($F431)/1000,3))</f>
        <v/>
      </c>
      <c r="H431" s="74"/>
      <c r="I431" s="44"/>
      <c r="J431" s="75" t="str">
        <f aca="false">IF($B431="","",IF($H431="按筐数×单价",N($E431),IF($H431="按总重KG×单价",N($F431),IF($H431="按吨位×单价",N($G431),0))))</f>
        <v/>
      </c>
      <c r="K431" s="41" t="str">
        <f aca="false">IF($B431="","",ROUND(N($J431)*N($I431),2))</f>
        <v/>
      </c>
      <c r="L431" s="42"/>
      <c r="M431" s="76"/>
      <c r="N431" s="43"/>
      <c r="R431" s="77" t="str">
        <f aca="false">IF($B431="","",$B431)</f>
        <v/>
      </c>
      <c r="S431" s="77" t="n">
        <f aca="false">IF($R431="",0,IF(MATCH($R431,$R$5:$R$904,0)=ROW()-4,1,0))</f>
        <v>0</v>
      </c>
      <c r="T431" s="77" t="n">
        <f aca="false">N(T430)+$S431</f>
        <v>18</v>
      </c>
    </row>
    <row r="432" customFormat="false" ht="13.5" hidden="false" customHeight="false" outlineLevel="0" collapsed="false">
      <c r="A432" s="9" t="str">
        <f aca="false">IF($B432="","",ROW()-4)</f>
        <v/>
      </c>
      <c r="B432" s="39" t="str">
        <f aca="false">IFERROR(INDEX(对接源_01入库吨位!$B$5:$B$304,MATCH(INT((ROW()-5)/3)+1,对接源_01入库吨位!$S$5:$S$304,0)),"")</f>
        <v/>
      </c>
      <c r="C432" s="39" t="str">
        <f aca="false">IFERROR(INDEX(对接源_01入库吨位!$C$5:$C$304,MATCH(INT((ROW()-5)/3)+1,对接源_01入库吨位!$S$5:$S$304,0)),"")</f>
        <v/>
      </c>
      <c r="D432" s="40" t="str">
        <f aca="false">IF($B432="","",IF(MOD(ROW()-5,3)=0,"周转打冷",IF(MOD(ROW()-5,3)=1,"仓储加工","装卸费")))</f>
        <v/>
      </c>
      <c r="E432" s="51" t="str">
        <f aca="false">IF($B432="","",IFERROR(IF($D432="周转打冷",N(INDEX(对接源_01入库吨位!$D$5:$D$304,MATCH(INT((ROW()-5)/3)+1,对接源_01入库吨位!$S$5:$S$304,0))),IF($D432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2" s="41" t="str">
        <f aca="false">IF($B432="","",ROUND(IFERROR(IF($D432="周转打冷",N(INDEX(对接源_01入库吨位!$H$5:$H$304,MATCH(INT((ROW()-5)/3)+1,对接源_01入库吨位!$S$5:$S$304,0))),IF($D432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2" s="52" t="str">
        <f aca="false">IF($B432="","",ROUND(N($F432)/1000,3))</f>
        <v/>
      </c>
      <c r="H432" s="74"/>
      <c r="I432" s="44"/>
      <c r="J432" s="75" t="str">
        <f aca="false">IF($B432="","",IF($H432="按筐数×单价",N($E432),IF($H432="按总重KG×单价",N($F432),IF($H432="按吨位×单价",N($G432),0))))</f>
        <v/>
      </c>
      <c r="K432" s="41" t="str">
        <f aca="false">IF($B432="","",ROUND(N($J432)*N($I432),2))</f>
        <v/>
      </c>
      <c r="L432" s="42"/>
      <c r="M432" s="76"/>
      <c r="N432" s="43"/>
      <c r="R432" s="77" t="str">
        <f aca="false">IF($B432="","",$B432)</f>
        <v/>
      </c>
      <c r="S432" s="77" t="n">
        <f aca="false">IF($R432="",0,IF(MATCH($R432,$R$5:$R$904,0)=ROW()-4,1,0))</f>
        <v>0</v>
      </c>
      <c r="T432" s="77" t="n">
        <f aca="false">N(T431)+$S432</f>
        <v>18</v>
      </c>
    </row>
    <row r="433" customFormat="false" ht="13.5" hidden="false" customHeight="false" outlineLevel="0" collapsed="false">
      <c r="A433" s="9" t="str">
        <f aca="false">IF($B433="","",ROW()-4)</f>
        <v/>
      </c>
      <c r="B433" s="39" t="str">
        <f aca="false">IFERROR(INDEX(对接源_01入库吨位!$B$5:$B$304,MATCH(INT((ROW()-5)/3)+1,对接源_01入库吨位!$S$5:$S$304,0)),"")</f>
        <v/>
      </c>
      <c r="C433" s="39" t="str">
        <f aca="false">IFERROR(INDEX(对接源_01入库吨位!$C$5:$C$304,MATCH(INT((ROW()-5)/3)+1,对接源_01入库吨位!$S$5:$S$304,0)),"")</f>
        <v/>
      </c>
      <c r="D433" s="40" t="str">
        <f aca="false">IF($B433="","",IF(MOD(ROW()-5,3)=0,"周转打冷",IF(MOD(ROW()-5,3)=1,"仓储加工","装卸费")))</f>
        <v/>
      </c>
      <c r="E433" s="51" t="str">
        <f aca="false">IF($B433="","",IFERROR(IF($D433="周转打冷",N(INDEX(对接源_01入库吨位!$D$5:$D$304,MATCH(INT((ROW()-5)/3)+1,对接源_01入库吨位!$S$5:$S$304,0))),IF($D433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3" s="41" t="str">
        <f aca="false">IF($B433="","",ROUND(IFERROR(IF($D433="周转打冷",N(INDEX(对接源_01入库吨位!$H$5:$H$304,MATCH(INT((ROW()-5)/3)+1,对接源_01入库吨位!$S$5:$S$304,0))),IF($D433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3" s="52" t="str">
        <f aca="false">IF($B433="","",ROUND(N($F433)/1000,3))</f>
        <v/>
      </c>
      <c r="H433" s="74"/>
      <c r="I433" s="44"/>
      <c r="J433" s="75" t="str">
        <f aca="false">IF($B433="","",IF($H433="按筐数×单价",N($E433),IF($H433="按总重KG×单价",N($F433),IF($H433="按吨位×单价",N($G433),0))))</f>
        <v/>
      </c>
      <c r="K433" s="41" t="str">
        <f aca="false">IF($B433="","",ROUND(N($J433)*N($I433),2))</f>
        <v/>
      </c>
      <c r="L433" s="42"/>
      <c r="M433" s="76"/>
      <c r="N433" s="43"/>
      <c r="R433" s="77" t="str">
        <f aca="false">IF($B433="","",$B433)</f>
        <v/>
      </c>
      <c r="S433" s="77" t="n">
        <f aca="false">IF($R433="",0,IF(MATCH($R433,$R$5:$R$904,0)=ROW()-4,1,0))</f>
        <v>0</v>
      </c>
      <c r="T433" s="77" t="n">
        <f aca="false">N(T432)+$S433</f>
        <v>18</v>
      </c>
    </row>
    <row r="434" customFormat="false" ht="13.5" hidden="false" customHeight="false" outlineLevel="0" collapsed="false">
      <c r="A434" s="9" t="str">
        <f aca="false">IF($B434="","",ROW()-4)</f>
        <v/>
      </c>
      <c r="B434" s="39" t="str">
        <f aca="false">IFERROR(INDEX(对接源_01入库吨位!$B$5:$B$304,MATCH(INT((ROW()-5)/3)+1,对接源_01入库吨位!$S$5:$S$304,0)),"")</f>
        <v/>
      </c>
      <c r="C434" s="39" t="str">
        <f aca="false">IFERROR(INDEX(对接源_01入库吨位!$C$5:$C$304,MATCH(INT((ROW()-5)/3)+1,对接源_01入库吨位!$S$5:$S$304,0)),"")</f>
        <v/>
      </c>
      <c r="D434" s="40" t="str">
        <f aca="false">IF($B434="","",IF(MOD(ROW()-5,3)=0,"周转打冷",IF(MOD(ROW()-5,3)=1,"仓储加工","装卸费")))</f>
        <v/>
      </c>
      <c r="E434" s="51" t="str">
        <f aca="false">IF($B434="","",IFERROR(IF($D434="周转打冷",N(INDEX(对接源_01入库吨位!$D$5:$D$304,MATCH(INT((ROW()-5)/3)+1,对接源_01入库吨位!$S$5:$S$304,0))),IF($D434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4" s="41" t="str">
        <f aca="false">IF($B434="","",ROUND(IFERROR(IF($D434="周转打冷",N(INDEX(对接源_01入库吨位!$H$5:$H$304,MATCH(INT((ROW()-5)/3)+1,对接源_01入库吨位!$S$5:$S$304,0))),IF($D434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4" s="52" t="str">
        <f aca="false">IF($B434="","",ROUND(N($F434)/1000,3))</f>
        <v/>
      </c>
      <c r="H434" s="74"/>
      <c r="I434" s="44"/>
      <c r="J434" s="75" t="str">
        <f aca="false">IF($B434="","",IF($H434="按筐数×单价",N($E434),IF($H434="按总重KG×单价",N($F434),IF($H434="按吨位×单价",N($G434),0))))</f>
        <v/>
      </c>
      <c r="K434" s="41" t="str">
        <f aca="false">IF($B434="","",ROUND(N($J434)*N($I434),2))</f>
        <v/>
      </c>
      <c r="L434" s="42"/>
      <c r="M434" s="76"/>
      <c r="N434" s="43"/>
      <c r="R434" s="77" t="str">
        <f aca="false">IF($B434="","",$B434)</f>
        <v/>
      </c>
      <c r="S434" s="77" t="n">
        <f aca="false">IF($R434="",0,IF(MATCH($R434,$R$5:$R$904,0)=ROW()-4,1,0))</f>
        <v>0</v>
      </c>
      <c r="T434" s="77" t="n">
        <f aca="false">N(T433)+$S434</f>
        <v>18</v>
      </c>
    </row>
    <row r="435" customFormat="false" ht="13.5" hidden="false" customHeight="false" outlineLevel="0" collapsed="false">
      <c r="A435" s="9" t="str">
        <f aca="false">IF($B435="","",ROW()-4)</f>
        <v/>
      </c>
      <c r="B435" s="39" t="str">
        <f aca="false">IFERROR(INDEX(对接源_01入库吨位!$B$5:$B$304,MATCH(INT((ROW()-5)/3)+1,对接源_01入库吨位!$S$5:$S$304,0)),"")</f>
        <v/>
      </c>
      <c r="C435" s="39" t="str">
        <f aca="false">IFERROR(INDEX(对接源_01入库吨位!$C$5:$C$304,MATCH(INT((ROW()-5)/3)+1,对接源_01入库吨位!$S$5:$S$304,0)),"")</f>
        <v/>
      </c>
      <c r="D435" s="40" t="str">
        <f aca="false">IF($B435="","",IF(MOD(ROW()-5,3)=0,"周转打冷",IF(MOD(ROW()-5,3)=1,"仓储加工","装卸费")))</f>
        <v/>
      </c>
      <c r="E435" s="51" t="str">
        <f aca="false">IF($B435="","",IFERROR(IF($D435="周转打冷",N(INDEX(对接源_01入库吨位!$D$5:$D$304,MATCH(INT((ROW()-5)/3)+1,对接源_01入库吨位!$S$5:$S$304,0))),IF($D435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5" s="41" t="str">
        <f aca="false">IF($B435="","",ROUND(IFERROR(IF($D435="周转打冷",N(INDEX(对接源_01入库吨位!$H$5:$H$304,MATCH(INT((ROW()-5)/3)+1,对接源_01入库吨位!$S$5:$S$304,0))),IF($D435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5" s="52" t="str">
        <f aca="false">IF($B435="","",ROUND(N($F435)/1000,3))</f>
        <v/>
      </c>
      <c r="H435" s="74"/>
      <c r="I435" s="44"/>
      <c r="J435" s="75" t="str">
        <f aca="false">IF($B435="","",IF($H435="按筐数×单价",N($E435),IF($H435="按总重KG×单价",N($F435),IF($H435="按吨位×单价",N($G435),0))))</f>
        <v/>
      </c>
      <c r="K435" s="41" t="str">
        <f aca="false">IF($B435="","",ROUND(N($J435)*N($I435),2))</f>
        <v/>
      </c>
      <c r="L435" s="42"/>
      <c r="M435" s="76"/>
      <c r="N435" s="43"/>
      <c r="R435" s="77" t="str">
        <f aca="false">IF($B435="","",$B435)</f>
        <v/>
      </c>
      <c r="S435" s="77" t="n">
        <f aca="false">IF($R435="",0,IF(MATCH($R435,$R$5:$R$904,0)=ROW()-4,1,0))</f>
        <v>0</v>
      </c>
      <c r="T435" s="77" t="n">
        <f aca="false">N(T434)+$S435</f>
        <v>18</v>
      </c>
    </row>
    <row r="436" customFormat="false" ht="13.5" hidden="false" customHeight="false" outlineLevel="0" collapsed="false">
      <c r="A436" s="9" t="str">
        <f aca="false">IF($B436="","",ROW()-4)</f>
        <v/>
      </c>
      <c r="B436" s="39" t="str">
        <f aca="false">IFERROR(INDEX(对接源_01入库吨位!$B$5:$B$304,MATCH(INT((ROW()-5)/3)+1,对接源_01入库吨位!$S$5:$S$304,0)),"")</f>
        <v/>
      </c>
      <c r="C436" s="39" t="str">
        <f aca="false">IFERROR(INDEX(对接源_01入库吨位!$C$5:$C$304,MATCH(INT((ROW()-5)/3)+1,对接源_01入库吨位!$S$5:$S$304,0)),"")</f>
        <v/>
      </c>
      <c r="D436" s="40" t="str">
        <f aca="false">IF($B436="","",IF(MOD(ROW()-5,3)=0,"周转打冷",IF(MOD(ROW()-5,3)=1,"仓储加工","装卸费")))</f>
        <v/>
      </c>
      <c r="E436" s="51" t="str">
        <f aca="false">IF($B436="","",IFERROR(IF($D436="周转打冷",N(INDEX(对接源_01入库吨位!$D$5:$D$304,MATCH(INT((ROW()-5)/3)+1,对接源_01入库吨位!$S$5:$S$304,0))),IF($D436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6" s="41" t="str">
        <f aca="false">IF($B436="","",ROUND(IFERROR(IF($D436="周转打冷",N(INDEX(对接源_01入库吨位!$H$5:$H$304,MATCH(INT((ROW()-5)/3)+1,对接源_01入库吨位!$S$5:$S$304,0))),IF($D436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6" s="52" t="str">
        <f aca="false">IF($B436="","",ROUND(N($F436)/1000,3))</f>
        <v/>
      </c>
      <c r="H436" s="74"/>
      <c r="I436" s="44"/>
      <c r="J436" s="75" t="str">
        <f aca="false">IF($B436="","",IF($H436="按筐数×单价",N($E436),IF($H436="按总重KG×单价",N($F436),IF($H436="按吨位×单价",N($G436),0))))</f>
        <v/>
      </c>
      <c r="K436" s="41" t="str">
        <f aca="false">IF($B436="","",ROUND(N($J436)*N($I436),2))</f>
        <v/>
      </c>
      <c r="L436" s="42"/>
      <c r="M436" s="76"/>
      <c r="N436" s="43"/>
      <c r="R436" s="77" t="str">
        <f aca="false">IF($B436="","",$B436)</f>
        <v/>
      </c>
      <c r="S436" s="77" t="n">
        <f aca="false">IF($R436="",0,IF(MATCH($R436,$R$5:$R$904,0)=ROW()-4,1,0))</f>
        <v>0</v>
      </c>
      <c r="T436" s="77" t="n">
        <f aca="false">N(T435)+$S436</f>
        <v>18</v>
      </c>
    </row>
    <row r="437" customFormat="false" ht="13.5" hidden="false" customHeight="false" outlineLevel="0" collapsed="false">
      <c r="A437" s="9" t="str">
        <f aca="false">IF($B437="","",ROW()-4)</f>
        <v/>
      </c>
      <c r="B437" s="39" t="str">
        <f aca="false">IFERROR(INDEX(对接源_01入库吨位!$B$5:$B$304,MATCH(INT((ROW()-5)/3)+1,对接源_01入库吨位!$S$5:$S$304,0)),"")</f>
        <v/>
      </c>
      <c r="C437" s="39" t="str">
        <f aca="false">IFERROR(INDEX(对接源_01入库吨位!$C$5:$C$304,MATCH(INT((ROW()-5)/3)+1,对接源_01入库吨位!$S$5:$S$304,0)),"")</f>
        <v/>
      </c>
      <c r="D437" s="40" t="str">
        <f aca="false">IF($B437="","",IF(MOD(ROW()-5,3)=0,"周转打冷",IF(MOD(ROW()-5,3)=1,"仓储加工","装卸费")))</f>
        <v/>
      </c>
      <c r="E437" s="51" t="str">
        <f aca="false">IF($B437="","",IFERROR(IF($D437="周转打冷",N(INDEX(对接源_01入库吨位!$D$5:$D$304,MATCH(INT((ROW()-5)/3)+1,对接源_01入库吨位!$S$5:$S$304,0))),IF($D437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7" s="41" t="str">
        <f aca="false">IF($B437="","",ROUND(IFERROR(IF($D437="周转打冷",N(INDEX(对接源_01入库吨位!$H$5:$H$304,MATCH(INT((ROW()-5)/3)+1,对接源_01入库吨位!$S$5:$S$304,0))),IF($D437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7" s="52" t="str">
        <f aca="false">IF($B437="","",ROUND(N($F437)/1000,3))</f>
        <v/>
      </c>
      <c r="H437" s="74"/>
      <c r="I437" s="44"/>
      <c r="J437" s="75" t="str">
        <f aca="false">IF($B437="","",IF($H437="按筐数×单价",N($E437),IF($H437="按总重KG×单价",N($F437),IF($H437="按吨位×单价",N($G437),0))))</f>
        <v/>
      </c>
      <c r="K437" s="41" t="str">
        <f aca="false">IF($B437="","",ROUND(N($J437)*N($I437),2))</f>
        <v/>
      </c>
      <c r="L437" s="42"/>
      <c r="M437" s="76"/>
      <c r="N437" s="43"/>
      <c r="R437" s="77" t="str">
        <f aca="false">IF($B437="","",$B437)</f>
        <v/>
      </c>
      <c r="S437" s="77" t="n">
        <f aca="false">IF($R437="",0,IF(MATCH($R437,$R$5:$R$904,0)=ROW()-4,1,0))</f>
        <v>0</v>
      </c>
      <c r="T437" s="77" t="n">
        <f aca="false">N(T436)+$S437</f>
        <v>18</v>
      </c>
    </row>
    <row r="438" customFormat="false" ht="13.5" hidden="false" customHeight="false" outlineLevel="0" collapsed="false">
      <c r="A438" s="9" t="str">
        <f aca="false">IF($B438="","",ROW()-4)</f>
        <v/>
      </c>
      <c r="B438" s="39" t="str">
        <f aca="false">IFERROR(INDEX(对接源_01入库吨位!$B$5:$B$304,MATCH(INT((ROW()-5)/3)+1,对接源_01入库吨位!$S$5:$S$304,0)),"")</f>
        <v/>
      </c>
      <c r="C438" s="39" t="str">
        <f aca="false">IFERROR(INDEX(对接源_01入库吨位!$C$5:$C$304,MATCH(INT((ROW()-5)/3)+1,对接源_01入库吨位!$S$5:$S$304,0)),"")</f>
        <v/>
      </c>
      <c r="D438" s="40" t="str">
        <f aca="false">IF($B438="","",IF(MOD(ROW()-5,3)=0,"周转打冷",IF(MOD(ROW()-5,3)=1,"仓储加工","装卸费")))</f>
        <v/>
      </c>
      <c r="E438" s="51" t="str">
        <f aca="false">IF($B438="","",IFERROR(IF($D438="周转打冷",N(INDEX(对接源_01入库吨位!$D$5:$D$304,MATCH(INT((ROW()-5)/3)+1,对接源_01入库吨位!$S$5:$S$304,0))),IF($D438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8" s="41" t="str">
        <f aca="false">IF($B438="","",ROUND(IFERROR(IF($D438="周转打冷",N(INDEX(对接源_01入库吨位!$H$5:$H$304,MATCH(INT((ROW()-5)/3)+1,对接源_01入库吨位!$S$5:$S$304,0))),IF($D438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8" s="52" t="str">
        <f aca="false">IF($B438="","",ROUND(N($F438)/1000,3))</f>
        <v/>
      </c>
      <c r="H438" s="74"/>
      <c r="I438" s="44"/>
      <c r="J438" s="75" t="str">
        <f aca="false">IF($B438="","",IF($H438="按筐数×单价",N($E438),IF($H438="按总重KG×单价",N($F438),IF($H438="按吨位×单价",N($G438),0))))</f>
        <v/>
      </c>
      <c r="K438" s="41" t="str">
        <f aca="false">IF($B438="","",ROUND(N($J438)*N($I438),2))</f>
        <v/>
      </c>
      <c r="L438" s="42"/>
      <c r="M438" s="76"/>
      <c r="N438" s="43"/>
      <c r="R438" s="77" t="str">
        <f aca="false">IF($B438="","",$B438)</f>
        <v/>
      </c>
      <c r="S438" s="77" t="n">
        <f aca="false">IF($R438="",0,IF(MATCH($R438,$R$5:$R$904,0)=ROW()-4,1,0))</f>
        <v>0</v>
      </c>
      <c r="T438" s="77" t="n">
        <f aca="false">N(T437)+$S438</f>
        <v>18</v>
      </c>
    </row>
    <row r="439" customFormat="false" ht="13.5" hidden="false" customHeight="false" outlineLevel="0" collapsed="false">
      <c r="A439" s="9" t="str">
        <f aca="false">IF($B439="","",ROW()-4)</f>
        <v/>
      </c>
      <c r="B439" s="39" t="str">
        <f aca="false">IFERROR(INDEX(对接源_01入库吨位!$B$5:$B$304,MATCH(INT((ROW()-5)/3)+1,对接源_01入库吨位!$S$5:$S$304,0)),"")</f>
        <v/>
      </c>
      <c r="C439" s="39" t="str">
        <f aca="false">IFERROR(INDEX(对接源_01入库吨位!$C$5:$C$304,MATCH(INT((ROW()-5)/3)+1,对接源_01入库吨位!$S$5:$S$304,0)),"")</f>
        <v/>
      </c>
      <c r="D439" s="40" t="str">
        <f aca="false">IF($B439="","",IF(MOD(ROW()-5,3)=0,"周转打冷",IF(MOD(ROW()-5,3)=1,"仓储加工","装卸费")))</f>
        <v/>
      </c>
      <c r="E439" s="51" t="str">
        <f aca="false">IF($B439="","",IFERROR(IF($D439="周转打冷",N(INDEX(对接源_01入库吨位!$D$5:$D$304,MATCH(INT((ROW()-5)/3)+1,对接源_01入库吨位!$S$5:$S$304,0))),IF($D439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39" s="41" t="str">
        <f aca="false">IF($B439="","",ROUND(IFERROR(IF($D439="周转打冷",N(INDEX(对接源_01入库吨位!$H$5:$H$304,MATCH(INT((ROW()-5)/3)+1,对接源_01入库吨位!$S$5:$S$304,0))),IF($D439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39" s="52" t="str">
        <f aca="false">IF($B439="","",ROUND(N($F439)/1000,3))</f>
        <v/>
      </c>
      <c r="H439" s="74"/>
      <c r="I439" s="44"/>
      <c r="J439" s="75" t="str">
        <f aca="false">IF($B439="","",IF($H439="按筐数×单价",N($E439),IF($H439="按总重KG×单价",N($F439),IF($H439="按吨位×单价",N($G439),0))))</f>
        <v/>
      </c>
      <c r="K439" s="41" t="str">
        <f aca="false">IF($B439="","",ROUND(N($J439)*N($I439),2))</f>
        <v/>
      </c>
      <c r="L439" s="42"/>
      <c r="M439" s="76"/>
      <c r="N439" s="43"/>
      <c r="R439" s="77" t="str">
        <f aca="false">IF($B439="","",$B439)</f>
        <v/>
      </c>
      <c r="S439" s="77" t="n">
        <f aca="false">IF($R439="",0,IF(MATCH($R439,$R$5:$R$904,0)=ROW()-4,1,0))</f>
        <v>0</v>
      </c>
      <c r="T439" s="77" t="n">
        <f aca="false">N(T438)+$S439</f>
        <v>18</v>
      </c>
    </row>
    <row r="440" customFormat="false" ht="13.5" hidden="false" customHeight="false" outlineLevel="0" collapsed="false">
      <c r="A440" s="9" t="str">
        <f aca="false">IF($B440="","",ROW()-4)</f>
        <v/>
      </c>
      <c r="B440" s="39" t="str">
        <f aca="false">IFERROR(INDEX(对接源_01入库吨位!$B$5:$B$304,MATCH(INT((ROW()-5)/3)+1,对接源_01入库吨位!$S$5:$S$304,0)),"")</f>
        <v/>
      </c>
      <c r="C440" s="39" t="str">
        <f aca="false">IFERROR(INDEX(对接源_01入库吨位!$C$5:$C$304,MATCH(INT((ROW()-5)/3)+1,对接源_01入库吨位!$S$5:$S$304,0)),"")</f>
        <v/>
      </c>
      <c r="D440" s="40" t="str">
        <f aca="false">IF($B440="","",IF(MOD(ROW()-5,3)=0,"周转打冷",IF(MOD(ROW()-5,3)=1,"仓储加工","装卸费")))</f>
        <v/>
      </c>
      <c r="E440" s="51" t="str">
        <f aca="false">IF($B440="","",IFERROR(IF($D440="周转打冷",N(INDEX(对接源_01入库吨位!$D$5:$D$304,MATCH(INT((ROW()-5)/3)+1,对接源_01入库吨位!$S$5:$S$304,0))),IF($D440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0" s="41" t="str">
        <f aca="false">IF($B440="","",ROUND(IFERROR(IF($D440="周转打冷",N(INDEX(对接源_01入库吨位!$H$5:$H$304,MATCH(INT((ROW()-5)/3)+1,对接源_01入库吨位!$S$5:$S$304,0))),IF($D440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0" s="52" t="str">
        <f aca="false">IF($B440="","",ROUND(N($F440)/1000,3))</f>
        <v/>
      </c>
      <c r="H440" s="74"/>
      <c r="I440" s="44"/>
      <c r="J440" s="75" t="str">
        <f aca="false">IF($B440="","",IF($H440="按筐数×单价",N($E440),IF($H440="按总重KG×单价",N($F440),IF($H440="按吨位×单价",N($G440),0))))</f>
        <v/>
      </c>
      <c r="K440" s="41" t="str">
        <f aca="false">IF($B440="","",ROUND(N($J440)*N($I440),2))</f>
        <v/>
      </c>
      <c r="L440" s="42"/>
      <c r="M440" s="76"/>
      <c r="N440" s="43"/>
      <c r="R440" s="77" t="str">
        <f aca="false">IF($B440="","",$B440)</f>
        <v/>
      </c>
      <c r="S440" s="77" t="n">
        <f aca="false">IF($R440="",0,IF(MATCH($R440,$R$5:$R$904,0)=ROW()-4,1,0))</f>
        <v>0</v>
      </c>
      <c r="T440" s="77" t="n">
        <f aca="false">N(T439)+$S440</f>
        <v>18</v>
      </c>
    </row>
    <row r="441" customFormat="false" ht="13.5" hidden="false" customHeight="false" outlineLevel="0" collapsed="false">
      <c r="A441" s="9" t="str">
        <f aca="false">IF($B441="","",ROW()-4)</f>
        <v/>
      </c>
      <c r="B441" s="39" t="str">
        <f aca="false">IFERROR(INDEX(对接源_01入库吨位!$B$5:$B$304,MATCH(INT((ROW()-5)/3)+1,对接源_01入库吨位!$S$5:$S$304,0)),"")</f>
        <v/>
      </c>
      <c r="C441" s="39" t="str">
        <f aca="false">IFERROR(INDEX(对接源_01入库吨位!$C$5:$C$304,MATCH(INT((ROW()-5)/3)+1,对接源_01入库吨位!$S$5:$S$304,0)),"")</f>
        <v/>
      </c>
      <c r="D441" s="40" t="str">
        <f aca="false">IF($B441="","",IF(MOD(ROW()-5,3)=0,"周转打冷",IF(MOD(ROW()-5,3)=1,"仓储加工","装卸费")))</f>
        <v/>
      </c>
      <c r="E441" s="51" t="str">
        <f aca="false">IF($B441="","",IFERROR(IF($D441="周转打冷",N(INDEX(对接源_01入库吨位!$D$5:$D$304,MATCH(INT((ROW()-5)/3)+1,对接源_01入库吨位!$S$5:$S$304,0))),IF($D441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1" s="41" t="str">
        <f aca="false">IF($B441="","",ROUND(IFERROR(IF($D441="周转打冷",N(INDEX(对接源_01入库吨位!$H$5:$H$304,MATCH(INT((ROW()-5)/3)+1,对接源_01入库吨位!$S$5:$S$304,0))),IF($D441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1" s="52" t="str">
        <f aca="false">IF($B441="","",ROUND(N($F441)/1000,3))</f>
        <v/>
      </c>
      <c r="H441" s="74"/>
      <c r="I441" s="44"/>
      <c r="J441" s="75" t="str">
        <f aca="false">IF($B441="","",IF($H441="按筐数×单价",N($E441),IF($H441="按总重KG×单价",N($F441),IF($H441="按吨位×单价",N($G441),0))))</f>
        <v/>
      </c>
      <c r="K441" s="41" t="str">
        <f aca="false">IF($B441="","",ROUND(N($J441)*N($I441),2))</f>
        <v/>
      </c>
      <c r="L441" s="42"/>
      <c r="M441" s="76"/>
      <c r="N441" s="43"/>
      <c r="R441" s="77" t="str">
        <f aca="false">IF($B441="","",$B441)</f>
        <v/>
      </c>
      <c r="S441" s="77" t="n">
        <f aca="false">IF($R441="",0,IF(MATCH($R441,$R$5:$R$904,0)=ROW()-4,1,0))</f>
        <v>0</v>
      </c>
      <c r="T441" s="77" t="n">
        <f aca="false">N(T440)+$S441</f>
        <v>18</v>
      </c>
    </row>
    <row r="442" customFormat="false" ht="13.5" hidden="false" customHeight="false" outlineLevel="0" collapsed="false">
      <c r="A442" s="9" t="str">
        <f aca="false">IF($B442="","",ROW()-4)</f>
        <v/>
      </c>
      <c r="B442" s="39" t="str">
        <f aca="false">IFERROR(INDEX(对接源_01入库吨位!$B$5:$B$304,MATCH(INT((ROW()-5)/3)+1,对接源_01入库吨位!$S$5:$S$304,0)),"")</f>
        <v/>
      </c>
      <c r="C442" s="39" t="str">
        <f aca="false">IFERROR(INDEX(对接源_01入库吨位!$C$5:$C$304,MATCH(INT((ROW()-5)/3)+1,对接源_01入库吨位!$S$5:$S$304,0)),"")</f>
        <v/>
      </c>
      <c r="D442" s="40" t="str">
        <f aca="false">IF($B442="","",IF(MOD(ROW()-5,3)=0,"周转打冷",IF(MOD(ROW()-5,3)=1,"仓储加工","装卸费")))</f>
        <v/>
      </c>
      <c r="E442" s="51" t="str">
        <f aca="false">IF($B442="","",IFERROR(IF($D442="周转打冷",N(INDEX(对接源_01入库吨位!$D$5:$D$304,MATCH(INT((ROW()-5)/3)+1,对接源_01入库吨位!$S$5:$S$304,0))),IF($D442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2" s="41" t="str">
        <f aca="false">IF($B442="","",ROUND(IFERROR(IF($D442="周转打冷",N(INDEX(对接源_01入库吨位!$H$5:$H$304,MATCH(INT((ROW()-5)/3)+1,对接源_01入库吨位!$S$5:$S$304,0))),IF($D442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2" s="52" t="str">
        <f aca="false">IF($B442="","",ROUND(N($F442)/1000,3))</f>
        <v/>
      </c>
      <c r="H442" s="74"/>
      <c r="I442" s="44"/>
      <c r="J442" s="75" t="str">
        <f aca="false">IF($B442="","",IF($H442="按筐数×单价",N($E442),IF($H442="按总重KG×单价",N($F442),IF($H442="按吨位×单价",N($G442),0))))</f>
        <v/>
      </c>
      <c r="K442" s="41" t="str">
        <f aca="false">IF($B442="","",ROUND(N($J442)*N($I442),2))</f>
        <v/>
      </c>
      <c r="L442" s="42"/>
      <c r="M442" s="76"/>
      <c r="N442" s="43"/>
      <c r="R442" s="77" t="str">
        <f aca="false">IF($B442="","",$B442)</f>
        <v/>
      </c>
      <c r="S442" s="77" t="n">
        <f aca="false">IF($R442="",0,IF(MATCH($R442,$R$5:$R$904,0)=ROW()-4,1,0))</f>
        <v>0</v>
      </c>
      <c r="T442" s="77" t="n">
        <f aca="false">N(T441)+$S442</f>
        <v>18</v>
      </c>
    </row>
    <row r="443" customFormat="false" ht="13.5" hidden="false" customHeight="false" outlineLevel="0" collapsed="false">
      <c r="A443" s="9" t="str">
        <f aca="false">IF($B443="","",ROW()-4)</f>
        <v/>
      </c>
      <c r="B443" s="39" t="str">
        <f aca="false">IFERROR(INDEX(对接源_01入库吨位!$B$5:$B$304,MATCH(INT((ROW()-5)/3)+1,对接源_01入库吨位!$S$5:$S$304,0)),"")</f>
        <v/>
      </c>
      <c r="C443" s="39" t="str">
        <f aca="false">IFERROR(INDEX(对接源_01入库吨位!$C$5:$C$304,MATCH(INT((ROW()-5)/3)+1,对接源_01入库吨位!$S$5:$S$304,0)),"")</f>
        <v/>
      </c>
      <c r="D443" s="40" t="str">
        <f aca="false">IF($B443="","",IF(MOD(ROW()-5,3)=0,"周转打冷",IF(MOD(ROW()-5,3)=1,"仓储加工","装卸费")))</f>
        <v/>
      </c>
      <c r="E443" s="51" t="str">
        <f aca="false">IF($B443="","",IFERROR(IF($D443="周转打冷",N(INDEX(对接源_01入库吨位!$D$5:$D$304,MATCH(INT((ROW()-5)/3)+1,对接源_01入库吨位!$S$5:$S$304,0))),IF($D443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3" s="41" t="str">
        <f aca="false">IF($B443="","",ROUND(IFERROR(IF($D443="周转打冷",N(INDEX(对接源_01入库吨位!$H$5:$H$304,MATCH(INT((ROW()-5)/3)+1,对接源_01入库吨位!$S$5:$S$304,0))),IF($D443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3" s="52" t="str">
        <f aca="false">IF($B443="","",ROUND(N($F443)/1000,3))</f>
        <v/>
      </c>
      <c r="H443" s="74"/>
      <c r="I443" s="44"/>
      <c r="J443" s="75" t="str">
        <f aca="false">IF($B443="","",IF($H443="按筐数×单价",N($E443),IF($H443="按总重KG×单价",N($F443),IF($H443="按吨位×单价",N($G443),0))))</f>
        <v/>
      </c>
      <c r="K443" s="41" t="str">
        <f aca="false">IF($B443="","",ROUND(N($J443)*N($I443),2))</f>
        <v/>
      </c>
      <c r="L443" s="42"/>
      <c r="M443" s="76"/>
      <c r="N443" s="43"/>
      <c r="R443" s="77" t="str">
        <f aca="false">IF($B443="","",$B443)</f>
        <v/>
      </c>
      <c r="S443" s="77" t="n">
        <f aca="false">IF($R443="",0,IF(MATCH($R443,$R$5:$R$904,0)=ROW()-4,1,0))</f>
        <v>0</v>
      </c>
      <c r="T443" s="77" t="n">
        <f aca="false">N(T442)+$S443</f>
        <v>18</v>
      </c>
    </row>
    <row r="444" customFormat="false" ht="13.5" hidden="false" customHeight="false" outlineLevel="0" collapsed="false">
      <c r="A444" s="9" t="str">
        <f aca="false">IF($B444="","",ROW()-4)</f>
        <v/>
      </c>
      <c r="B444" s="39" t="str">
        <f aca="false">IFERROR(INDEX(对接源_01入库吨位!$B$5:$B$304,MATCH(INT((ROW()-5)/3)+1,对接源_01入库吨位!$S$5:$S$304,0)),"")</f>
        <v/>
      </c>
      <c r="C444" s="39" t="str">
        <f aca="false">IFERROR(INDEX(对接源_01入库吨位!$C$5:$C$304,MATCH(INT((ROW()-5)/3)+1,对接源_01入库吨位!$S$5:$S$304,0)),"")</f>
        <v/>
      </c>
      <c r="D444" s="40" t="str">
        <f aca="false">IF($B444="","",IF(MOD(ROW()-5,3)=0,"周转打冷",IF(MOD(ROW()-5,3)=1,"仓储加工","装卸费")))</f>
        <v/>
      </c>
      <c r="E444" s="51" t="str">
        <f aca="false">IF($B444="","",IFERROR(IF($D444="周转打冷",N(INDEX(对接源_01入库吨位!$D$5:$D$304,MATCH(INT((ROW()-5)/3)+1,对接源_01入库吨位!$S$5:$S$304,0))),IF($D444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4" s="41" t="str">
        <f aca="false">IF($B444="","",ROUND(IFERROR(IF($D444="周转打冷",N(INDEX(对接源_01入库吨位!$H$5:$H$304,MATCH(INT((ROW()-5)/3)+1,对接源_01入库吨位!$S$5:$S$304,0))),IF($D444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4" s="52" t="str">
        <f aca="false">IF($B444="","",ROUND(N($F444)/1000,3))</f>
        <v/>
      </c>
      <c r="H444" s="74"/>
      <c r="I444" s="44"/>
      <c r="J444" s="75" t="str">
        <f aca="false">IF($B444="","",IF($H444="按筐数×单价",N($E444),IF($H444="按总重KG×单价",N($F444),IF($H444="按吨位×单价",N($G444),0))))</f>
        <v/>
      </c>
      <c r="K444" s="41" t="str">
        <f aca="false">IF($B444="","",ROUND(N($J444)*N($I444),2))</f>
        <v/>
      </c>
      <c r="L444" s="42"/>
      <c r="M444" s="76"/>
      <c r="N444" s="43"/>
      <c r="R444" s="77" t="str">
        <f aca="false">IF($B444="","",$B444)</f>
        <v/>
      </c>
      <c r="S444" s="77" t="n">
        <f aca="false">IF($R444="",0,IF(MATCH($R444,$R$5:$R$904,0)=ROW()-4,1,0))</f>
        <v>0</v>
      </c>
      <c r="T444" s="77" t="n">
        <f aca="false">N(T443)+$S444</f>
        <v>18</v>
      </c>
    </row>
    <row r="445" customFormat="false" ht="13.5" hidden="false" customHeight="false" outlineLevel="0" collapsed="false">
      <c r="A445" s="9" t="str">
        <f aca="false">IF($B445="","",ROW()-4)</f>
        <v/>
      </c>
      <c r="B445" s="39" t="str">
        <f aca="false">IFERROR(INDEX(对接源_01入库吨位!$B$5:$B$304,MATCH(INT((ROW()-5)/3)+1,对接源_01入库吨位!$S$5:$S$304,0)),"")</f>
        <v/>
      </c>
      <c r="C445" s="39" t="str">
        <f aca="false">IFERROR(INDEX(对接源_01入库吨位!$C$5:$C$304,MATCH(INT((ROW()-5)/3)+1,对接源_01入库吨位!$S$5:$S$304,0)),"")</f>
        <v/>
      </c>
      <c r="D445" s="40" t="str">
        <f aca="false">IF($B445="","",IF(MOD(ROW()-5,3)=0,"周转打冷",IF(MOD(ROW()-5,3)=1,"仓储加工","装卸费")))</f>
        <v/>
      </c>
      <c r="E445" s="51" t="str">
        <f aca="false">IF($B445="","",IFERROR(IF($D445="周转打冷",N(INDEX(对接源_01入库吨位!$D$5:$D$304,MATCH(INT((ROW()-5)/3)+1,对接源_01入库吨位!$S$5:$S$304,0))),IF($D445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5" s="41" t="str">
        <f aca="false">IF($B445="","",ROUND(IFERROR(IF($D445="周转打冷",N(INDEX(对接源_01入库吨位!$H$5:$H$304,MATCH(INT((ROW()-5)/3)+1,对接源_01入库吨位!$S$5:$S$304,0))),IF($D445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5" s="52" t="str">
        <f aca="false">IF($B445="","",ROUND(N($F445)/1000,3))</f>
        <v/>
      </c>
      <c r="H445" s="74"/>
      <c r="I445" s="44"/>
      <c r="J445" s="75" t="str">
        <f aca="false">IF($B445="","",IF($H445="按筐数×单价",N($E445),IF($H445="按总重KG×单价",N($F445),IF($H445="按吨位×单价",N($G445),0))))</f>
        <v/>
      </c>
      <c r="K445" s="41" t="str">
        <f aca="false">IF($B445="","",ROUND(N($J445)*N($I445),2))</f>
        <v/>
      </c>
      <c r="L445" s="42"/>
      <c r="M445" s="76"/>
      <c r="N445" s="43"/>
      <c r="R445" s="77" t="str">
        <f aca="false">IF($B445="","",$B445)</f>
        <v/>
      </c>
      <c r="S445" s="77" t="n">
        <f aca="false">IF($R445="",0,IF(MATCH($R445,$R$5:$R$904,0)=ROW()-4,1,0))</f>
        <v>0</v>
      </c>
      <c r="T445" s="77" t="n">
        <f aca="false">N(T444)+$S445</f>
        <v>18</v>
      </c>
    </row>
    <row r="446" customFormat="false" ht="13.5" hidden="false" customHeight="false" outlineLevel="0" collapsed="false">
      <c r="A446" s="9" t="str">
        <f aca="false">IF($B446="","",ROW()-4)</f>
        <v/>
      </c>
      <c r="B446" s="39" t="str">
        <f aca="false">IFERROR(INDEX(对接源_01入库吨位!$B$5:$B$304,MATCH(INT((ROW()-5)/3)+1,对接源_01入库吨位!$S$5:$S$304,0)),"")</f>
        <v/>
      </c>
      <c r="C446" s="39" t="str">
        <f aca="false">IFERROR(INDEX(对接源_01入库吨位!$C$5:$C$304,MATCH(INT((ROW()-5)/3)+1,对接源_01入库吨位!$S$5:$S$304,0)),"")</f>
        <v/>
      </c>
      <c r="D446" s="40" t="str">
        <f aca="false">IF($B446="","",IF(MOD(ROW()-5,3)=0,"周转打冷",IF(MOD(ROW()-5,3)=1,"仓储加工","装卸费")))</f>
        <v/>
      </c>
      <c r="E446" s="51" t="str">
        <f aca="false">IF($B446="","",IFERROR(IF($D446="周转打冷",N(INDEX(对接源_01入库吨位!$D$5:$D$304,MATCH(INT((ROW()-5)/3)+1,对接源_01入库吨位!$S$5:$S$304,0))),IF($D446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6" s="41" t="str">
        <f aca="false">IF($B446="","",ROUND(IFERROR(IF($D446="周转打冷",N(INDEX(对接源_01入库吨位!$H$5:$H$304,MATCH(INT((ROW()-5)/3)+1,对接源_01入库吨位!$S$5:$S$304,0))),IF($D446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6" s="52" t="str">
        <f aca="false">IF($B446="","",ROUND(N($F446)/1000,3))</f>
        <v/>
      </c>
      <c r="H446" s="74"/>
      <c r="I446" s="44"/>
      <c r="J446" s="75" t="str">
        <f aca="false">IF($B446="","",IF($H446="按筐数×单价",N($E446),IF($H446="按总重KG×单价",N($F446),IF($H446="按吨位×单价",N($G446),0))))</f>
        <v/>
      </c>
      <c r="K446" s="41" t="str">
        <f aca="false">IF($B446="","",ROUND(N($J446)*N($I446),2))</f>
        <v/>
      </c>
      <c r="L446" s="42"/>
      <c r="M446" s="76"/>
      <c r="N446" s="43"/>
      <c r="R446" s="77" t="str">
        <f aca="false">IF($B446="","",$B446)</f>
        <v/>
      </c>
      <c r="S446" s="77" t="n">
        <f aca="false">IF($R446="",0,IF(MATCH($R446,$R$5:$R$904,0)=ROW()-4,1,0))</f>
        <v>0</v>
      </c>
      <c r="T446" s="77" t="n">
        <f aca="false">N(T445)+$S446</f>
        <v>18</v>
      </c>
    </row>
    <row r="447" customFormat="false" ht="13.5" hidden="false" customHeight="false" outlineLevel="0" collapsed="false">
      <c r="A447" s="9" t="str">
        <f aca="false">IF($B447="","",ROW()-4)</f>
        <v/>
      </c>
      <c r="B447" s="39" t="str">
        <f aca="false">IFERROR(INDEX(对接源_01入库吨位!$B$5:$B$304,MATCH(INT((ROW()-5)/3)+1,对接源_01入库吨位!$S$5:$S$304,0)),"")</f>
        <v/>
      </c>
      <c r="C447" s="39" t="str">
        <f aca="false">IFERROR(INDEX(对接源_01入库吨位!$C$5:$C$304,MATCH(INT((ROW()-5)/3)+1,对接源_01入库吨位!$S$5:$S$304,0)),"")</f>
        <v/>
      </c>
      <c r="D447" s="40" t="str">
        <f aca="false">IF($B447="","",IF(MOD(ROW()-5,3)=0,"周转打冷",IF(MOD(ROW()-5,3)=1,"仓储加工","装卸费")))</f>
        <v/>
      </c>
      <c r="E447" s="51" t="str">
        <f aca="false">IF($B447="","",IFERROR(IF($D447="周转打冷",N(INDEX(对接源_01入库吨位!$D$5:$D$304,MATCH(INT((ROW()-5)/3)+1,对接源_01入库吨位!$S$5:$S$304,0))),IF($D447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7" s="41" t="str">
        <f aca="false">IF($B447="","",ROUND(IFERROR(IF($D447="周转打冷",N(INDEX(对接源_01入库吨位!$H$5:$H$304,MATCH(INT((ROW()-5)/3)+1,对接源_01入库吨位!$S$5:$S$304,0))),IF($D447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7" s="52" t="str">
        <f aca="false">IF($B447="","",ROUND(N($F447)/1000,3))</f>
        <v/>
      </c>
      <c r="H447" s="74"/>
      <c r="I447" s="44"/>
      <c r="J447" s="75" t="str">
        <f aca="false">IF($B447="","",IF($H447="按筐数×单价",N($E447),IF($H447="按总重KG×单价",N($F447),IF($H447="按吨位×单价",N($G447),0))))</f>
        <v/>
      </c>
      <c r="K447" s="41" t="str">
        <f aca="false">IF($B447="","",ROUND(N($J447)*N($I447),2))</f>
        <v/>
      </c>
      <c r="L447" s="42"/>
      <c r="M447" s="76"/>
      <c r="N447" s="43"/>
      <c r="R447" s="77" t="str">
        <f aca="false">IF($B447="","",$B447)</f>
        <v/>
      </c>
      <c r="S447" s="77" t="n">
        <f aca="false">IF($R447="",0,IF(MATCH($R447,$R$5:$R$904,0)=ROW()-4,1,0))</f>
        <v>0</v>
      </c>
      <c r="T447" s="77" t="n">
        <f aca="false">N(T446)+$S447</f>
        <v>18</v>
      </c>
    </row>
    <row r="448" customFormat="false" ht="13.5" hidden="false" customHeight="false" outlineLevel="0" collapsed="false">
      <c r="A448" s="9" t="str">
        <f aca="false">IF($B448="","",ROW()-4)</f>
        <v/>
      </c>
      <c r="B448" s="39" t="str">
        <f aca="false">IFERROR(INDEX(对接源_01入库吨位!$B$5:$B$304,MATCH(INT((ROW()-5)/3)+1,对接源_01入库吨位!$S$5:$S$304,0)),"")</f>
        <v/>
      </c>
      <c r="C448" s="39" t="str">
        <f aca="false">IFERROR(INDEX(对接源_01入库吨位!$C$5:$C$304,MATCH(INT((ROW()-5)/3)+1,对接源_01入库吨位!$S$5:$S$304,0)),"")</f>
        <v/>
      </c>
      <c r="D448" s="40" t="str">
        <f aca="false">IF($B448="","",IF(MOD(ROW()-5,3)=0,"周转打冷",IF(MOD(ROW()-5,3)=1,"仓储加工","装卸费")))</f>
        <v/>
      </c>
      <c r="E448" s="51" t="str">
        <f aca="false">IF($B448="","",IFERROR(IF($D448="周转打冷",N(INDEX(对接源_01入库吨位!$D$5:$D$304,MATCH(INT((ROW()-5)/3)+1,对接源_01入库吨位!$S$5:$S$304,0))),IF($D448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8" s="41" t="str">
        <f aca="false">IF($B448="","",ROUND(IFERROR(IF($D448="周转打冷",N(INDEX(对接源_01入库吨位!$H$5:$H$304,MATCH(INT((ROW()-5)/3)+1,对接源_01入库吨位!$S$5:$S$304,0))),IF($D448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8" s="52" t="str">
        <f aca="false">IF($B448="","",ROUND(N($F448)/1000,3))</f>
        <v/>
      </c>
      <c r="H448" s="74"/>
      <c r="I448" s="44"/>
      <c r="J448" s="75" t="str">
        <f aca="false">IF($B448="","",IF($H448="按筐数×单价",N($E448),IF($H448="按总重KG×单价",N($F448),IF($H448="按吨位×单价",N($G448),0))))</f>
        <v/>
      </c>
      <c r="K448" s="41" t="str">
        <f aca="false">IF($B448="","",ROUND(N($J448)*N($I448),2))</f>
        <v/>
      </c>
      <c r="L448" s="42"/>
      <c r="M448" s="76"/>
      <c r="N448" s="43"/>
      <c r="R448" s="77" t="str">
        <f aca="false">IF($B448="","",$B448)</f>
        <v/>
      </c>
      <c r="S448" s="77" t="n">
        <f aca="false">IF($R448="",0,IF(MATCH($R448,$R$5:$R$904,0)=ROW()-4,1,0))</f>
        <v>0</v>
      </c>
      <c r="T448" s="77" t="n">
        <f aca="false">N(T447)+$S448</f>
        <v>18</v>
      </c>
    </row>
    <row r="449" customFormat="false" ht="13.5" hidden="false" customHeight="false" outlineLevel="0" collapsed="false">
      <c r="A449" s="9" t="str">
        <f aca="false">IF($B449="","",ROW()-4)</f>
        <v/>
      </c>
      <c r="B449" s="39" t="str">
        <f aca="false">IFERROR(INDEX(对接源_01入库吨位!$B$5:$B$304,MATCH(INT((ROW()-5)/3)+1,对接源_01入库吨位!$S$5:$S$304,0)),"")</f>
        <v/>
      </c>
      <c r="C449" s="39" t="str">
        <f aca="false">IFERROR(INDEX(对接源_01入库吨位!$C$5:$C$304,MATCH(INT((ROW()-5)/3)+1,对接源_01入库吨位!$S$5:$S$304,0)),"")</f>
        <v/>
      </c>
      <c r="D449" s="40" t="str">
        <f aca="false">IF($B449="","",IF(MOD(ROW()-5,3)=0,"周转打冷",IF(MOD(ROW()-5,3)=1,"仓储加工","装卸费")))</f>
        <v/>
      </c>
      <c r="E449" s="51" t="str">
        <f aca="false">IF($B449="","",IFERROR(IF($D449="周转打冷",N(INDEX(对接源_01入库吨位!$D$5:$D$304,MATCH(INT((ROW()-5)/3)+1,对接源_01入库吨位!$S$5:$S$304,0))),IF($D449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49" s="41" t="str">
        <f aca="false">IF($B449="","",ROUND(IFERROR(IF($D449="周转打冷",N(INDEX(对接源_01入库吨位!$H$5:$H$304,MATCH(INT((ROW()-5)/3)+1,对接源_01入库吨位!$S$5:$S$304,0))),IF($D449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49" s="52" t="str">
        <f aca="false">IF($B449="","",ROUND(N($F449)/1000,3))</f>
        <v/>
      </c>
      <c r="H449" s="74"/>
      <c r="I449" s="44"/>
      <c r="J449" s="75" t="str">
        <f aca="false">IF($B449="","",IF($H449="按筐数×单价",N($E449),IF($H449="按总重KG×单价",N($F449),IF($H449="按吨位×单价",N($G449),0))))</f>
        <v/>
      </c>
      <c r="K449" s="41" t="str">
        <f aca="false">IF($B449="","",ROUND(N($J449)*N($I449),2))</f>
        <v/>
      </c>
      <c r="L449" s="42"/>
      <c r="M449" s="76"/>
      <c r="N449" s="43"/>
      <c r="R449" s="77" t="str">
        <f aca="false">IF($B449="","",$B449)</f>
        <v/>
      </c>
      <c r="S449" s="77" t="n">
        <f aca="false">IF($R449="",0,IF(MATCH($R449,$R$5:$R$904,0)=ROW()-4,1,0))</f>
        <v>0</v>
      </c>
      <c r="T449" s="77" t="n">
        <f aca="false">N(T448)+$S449</f>
        <v>18</v>
      </c>
    </row>
    <row r="450" customFormat="false" ht="13.5" hidden="false" customHeight="false" outlineLevel="0" collapsed="false">
      <c r="A450" s="9" t="str">
        <f aca="false">IF($B450="","",ROW()-4)</f>
        <v/>
      </c>
      <c r="B450" s="39" t="str">
        <f aca="false">IFERROR(INDEX(对接源_01入库吨位!$B$5:$B$304,MATCH(INT((ROW()-5)/3)+1,对接源_01入库吨位!$S$5:$S$304,0)),"")</f>
        <v/>
      </c>
      <c r="C450" s="39" t="str">
        <f aca="false">IFERROR(INDEX(对接源_01入库吨位!$C$5:$C$304,MATCH(INT((ROW()-5)/3)+1,对接源_01入库吨位!$S$5:$S$304,0)),"")</f>
        <v/>
      </c>
      <c r="D450" s="40" t="str">
        <f aca="false">IF($B450="","",IF(MOD(ROW()-5,3)=0,"周转打冷",IF(MOD(ROW()-5,3)=1,"仓储加工","装卸费")))</f>
        <v/>
      </c>
      <c r="E450" s="51" t="str">
        <f aca="false">IF($B450="","",IFERROR(IF($D450="周转打冷",N(INDEX(对接源_01入库吨位!$D$5:$D$304,MATCH(INT((ROW()-5)/3)+1,对接源_01入库吨位!$S$5:$S$304,0))),IF($D450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0" s="41" t="str">
        <f aca="false">IF($B450="","",ROUND(IFERROR(IF($D450="周转打冷",N(INDEX(对接源_01入库吨位!$H$5:$H$304,MATCH(INT((ROW()-5)/3)+1,对接源_01入库吨位!$S$5:$S$304,0))),IF($D450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0" s="52" t="str">
        <f aca="false">IF($B450="","",ROUND(N($F450)/1000,3))</f>
        <v/>
      </c>
      <c r="H450" s="74"/>
      <c r="I450" s="44"/>
      <c r="J450" s="75" t="str">
        <f aca="false">IF($B450="","",IF($H450="按筐数×单价",N($E450),IF($H450="按总重KG×单价",N($F450),IF($H450="按吨位×单价",N($G450),0))))</f>
        <v/>
      </c>
      <c r="K450" s="41" t="str">
        <f aca="false">IF($B450="","",ROUND(N($J450)*N($I450),2))</f>
        <v/>
      </c>
      <c r="L450" s="42"/>
      <c r="M450" s="76"/>
      <c r="N450" s="43"/>
      <c r="R450" s="77" t="str">
        <f aca="false">IF($B450="","",$B450)</f>
        <v/>
      </c>
      <c r="S450" s="77" t="n">
        <f aca="false">IF($R450="",0,IF(MATCH($R450,$R$5:$R$904,0)=ROW()-4,1,0))</f>
        <v>0</v>
      </c>
      <c r="T450" s="77" t="n">
        <f aca="false">N(T449)+$S450</f>
        <v>18</v>
      </c>
    </row>
    <row r="451" customFormat="false" ht="13.5" hidden="false" customHeight="false" outlineLevel="0" collapsed="false">
      <c r="A451" s="9" t="str">
        <f aca="false">IF($B451="","",ROW()-4)</f>
        <v/>
      </c>
      <c r="B451" s="39" t="str">
        <f aca="false">IFERROR(INDEX(对接源_01入库吨位!$B$5:$B$304,MATCH(INT((ROW()-5)/3)+1,对接源_01入库吨位!$S$5:$S$304,0)),"")</f>
        <v/>
      </c>
      <c r="C451" s="39" t="str">
        <f aca="false">IFERROR(INDEX(对接源_01入库吨位!$C$5:$C$304,MATCH(INT((ROW()-5)/3)+1,对接源_01入库吨位!$S$5:$S$304,0)),"")</f>
        <v/>
      </c>
      <c r="D451" s="40" t="str">
        <f aca="false">IF($B451="","",IF(MOD(ROW()-5,3)=0,"周转打冷",IF(MOD(ROW()-5,3)=1,"仓储加工","装卸费")))</f>
        <v/>
      </c>
      <c r="E451" s="51" t="str">
        <f aca="false">IF($B451="","",IFERROR(IF($D451="周转打冷",N(INDEX(对接源_01入库吨位!$D$5:$D$304,MATCH(INT((ROW()-5)/3)+1,对接源_01入库吨位!$S$5:$S$304,0))),IF($D451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1" s="41" t="str">
        <f aca="false">IF($B451="","",ROUND(IFERROR(IF($D451="周转打冷",N(INDEX(对接源_01入库吨位!$H$5:$H$304,MATCH(INT((ROW()-5)/3)+1,对接源_01入库吨位!$S$5:$S$304,0))),IF($D451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1" s="52" t="str">
        <f aca="false">IF($B451="","",ROUND(N($F451)/1000,3))</f>
        <v/>
      </c>
      <c r="H451" s="74"/>
      <c r="I451" s="44"/>
      <c r="J451" s="75" t="str">
        <f aca="false">IF($B451="","",IF($H451="按筐数×单价",N($E451),IF($H451="按总重KG×单价",N($F451),IF($H451="按吨位×单价",N($G451),0))))</f>
        <v/>
      </c>
      <c r="K451" s="41" t="str">
        <f aca="false">IF($B451="","",ROUND(N($J451)*N($I451),2))</f>
        <v/>
      </c>
      <c r="L451" s="42"/>
      <c r="M451" s="76"/>
      <c r="N451" s="43"/>
      <c r="R451" s="77" t="str">
        <f aca="false">IF($B451="","",$B451)</f>
        <v/>
      </c>
      <c r="S451" s="77" t="n">
        <f aca="false">IF($R451="",0,IF(MATCH($R451,$R$5:$R$904,0)=ROW()-4,1,0))</f>
        <v>0</v>
      </c>
      <c r="T451" s="77" t="n">
        <f aca="false">N(T450)+$S451</f>
        <v>18</v>
      </c>
    </row>
    <row r="452" customFormat="false" ht="13.5" hidden="false" customHeight="false" outlineLevel="0" collapsed="false">
      <c r="A452" s="9" t="str">
        <f aca="false">IF($B452="","",ROW()-4)</f>
        <v/>
      </c>
      <c r="B452" s="39" t="str">
        <f aca="false">IFERROR(INDEX(对接源_01入库吨位!$B$5:$B$304,MATCH(INT((ROW()-5)/3)+1,对接源_01入库吨位!$S$5:$S$304,0)),"")</f>
        <v/>
      </c>
      <c r="C452" s="39" t="str">
        <f aca="false">IFERROR(INDEX(对接源_01入库吨位!$C$5:$C$304,MATCH(INT((ROW()-5)/3)+1,对接源_01入库吨位!$S$5:$S$304,0)),"")</f>
        <v/>
      </c>
      <c r="D452" s="40" t="str">
        <f aca="false">IF($B452="","",IF(MOD(ROW()-5,3)=0,"周转打冷",IF(MOD(ROW()-5,3)=1,"仓储加工","装卸费")))</f>
        <v/>
      </c>
      <c r="E452" s="51" t="str">
        <f aca="false">IF($B452="","",IFERROR(IF($D452="周转打冷",N(INDEX(对接源_01入库吨位!$D$5:$D$304,MATCH(INT((ROW()-5)/3)+1,对接源_01入库吨位!$S$5:$S$304,0))),IF($D452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2" s="41" t="str">
        <f aca="false">IF($B452="","",ROUND(IFERROR(IF($D452="周转打冷",N(INDEX(对接源_01入库吨位!$H$5:$H$304,MATCH(INT((ROW()-5)/3)+1,对接源_01入库吨位!$S$5:$S$304,0))),IF($D452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2" s="52" t="str">
        <f aca="false">IF($B452="","",ROUND(N($F452)/1000,3))</f>
        <v/>
      </c>
      <c r="H452" s="74"/>
      <c r="I452" s="44"/>
      <c r="J452" s="75" t="str">
        <f aca="false">IF($B452="","",IF($H452="按筐数×单价",N($E452),IF($H452="按总重KG×单价",N($F452),IF($H452="按吨位×单价",N($G452),0))))</f>
        <v/>
      </c>
      <c r="K452" s="41" t="str">
        <f aca="false">IF($B452="","",ROUND(N($J452)*N($I452),2))</f>
        <v/>
      </c>
      <c r="L452" s="42"/>
      <c r="M452" s="76"/>
      <c r="N452" s="43"/>
      <c r="R452" s="77" t="str">
        <f aca="false">IF($B452="","",$B452)</f>
        <v/>
      </c>
      <c r="S452" s="77" t="n">
        <f aca="false">IF($R452="",0,IF(MATCH($R452,$R$5:$R$904,0)=ROW()-4,1,0))</f>
        <v>0</v>
      </c>
      <c r="T452" s="77" t="n">
        <f aca="false">N(T451)+$S452</f>
        <v>18</v>
      </c>
    </row>
    <row r="453" customFormat="false" ht="13.5" hidden="false" customHeight="false" outlineLevel="0" collapsed="false">
      <c r="A453" s="9" t="str">
        <f aca="false">IF($B453="","",ROW()-4)</f>
        <v/>
      </c>
      <c r="B453" s="39" t="str">
        <f aca="false">IFERROR(INDEX(对接源_01入库吨位!$B$5:$B$304,MATCH(INT((ROW()-5)/3)+1,对接源_01入库吨位!$S$5:$S$304,0)),"")</f>
        <v/>
      </c>
      <c r="C453" s="39" t="str">
        <f aca="false">IFERROR(INDEX(对接源_01入库吨位!$C$5:$C$304,MATCH(INT((ROW()-5)/3)+1,对接源_01入库吨位!$S$5:$S$304,0)),"")</f>
        <v/>
      </c>
      <c r="D453" s="40" t="str">
        <f aca="false">IF($B453="","",IF(MOD(ROW()-5,3)=0,"周转打冷",IF(MOD(ROW()-5,3)=1,"仓储加工","装卸费")))</f>
        <v/>
      </c>
      <c r="E453" s="51" t="str">
        <f aca="false">IF($B453="","",IFERROR(IF($D453="周转打冷",N(INDEX(对接源_01入库吨位!$D$5:$D$304,MATCH(INT((ROW()-5)/3)+1,对接源_01入库吨位!$S$5:$S$304,0))),IF($D453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3" s="41" t="str">
        <f aca="false">IF($B453="","",ROUND(IFERROR(IF($D453="周转打冷",N(INDEX(对接源_01入库吨位!$H$5:$H$304,MATCH(INT((ROW()-5)/3)+1,对接源_01入库吨位!$S$5:$S$304,0))),IF($D453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3" s="52" t="str">
        <f aca="false">IF($B453="","",ROUND(N($F453)/1000,3))</f>
        <v/>
      </c>
      <c r="H453" s="74"/>
      <c r="I453" s="44"/>
      <c r="J453" s="75" t="str">
        <f aca="false">IF($B453="","",IF($H453="按筐数×单价",N($E453),IF($H453="按总重KG×单价",N($F453),IF($H453="按吨位×单价",N($G453),0))))</f>
        <v/>
      </c>
      <c r="K453" s="41" t="str">
        <f aca="false">IF($B453="","",ROUND(N($J453)*N($I453),2))</f>
        <v/>
      </c>
      <c r="L453" s="42"/>
      <c r="M453" s="76"/>
      <c r="N453" s="43"/>
      <c r="R453" s="77" t="str">
        <f aca="false">IF($B453="","",$B453)</f>
        <v/>
      </c>
      <c r="S453" s="77" t="n">
        <f aca="false">IF($R453="",0,IF(MATCH($R453,$R$5:$R$904,0)=ROW()-4,1,0))</f>
        <v>0</v>
      </c>
      <c r="T453" s="77" t="n">
        <f aca="false">N(T452)+$S453</f>
        <v>18</v>
      </c>
    </row>
    <row r="454" customFormat="false" ht="13.5" hidden="false" customHeight="false" outlineLevel="0" collapsed="false">
      <c r="A454" s="9" t="str">
        <f aca="false">IF($B454="","",ROW()-4)</f>
        <v/>
      </c>
      <c r="B454" s="39" t="str">
        <f aca="false">IFERROR(INDEX(对接源_01入库吨位!$B$5:$B$304,MATCH(INT((ROW()-5)/3)+1,对接源_01入库吨位!$S$5:$S$304,0)),"")</f>
        <v/>
      </c>
      <c r="C454" s="39" t="str">
        <f aca="false">IFERROR(INDEX(对接源_01入库吨位!$C$5:$C$304,MATCH(INT((ROW()-5)/3)+1,对接源_01入库吨位!$S$5:$S$304,0)),"")</f>
        <v/>
      </c>
      <c r="D454" s="40" t="str">
        <f aca="false">IF($B454="","",IF(MOD(ROW()-5,3)=0,"周转打冷",IF(MOD(ROW()-5,3)=1,"仓储加工","装卸费")))</f>
        <v/>
      </c>
      <c r="E454" s="51" t="str">
        <f aca="false">IF($B454="","",IFERROR(IF($D454="周转打冷",N(INDEX(对接源_01入库吨位!$D$5:$D$304,MATCH(INT((ROW()-5)/3)+1,对接源_01入库吨位!$S$5:$S$304,0))),IF($D454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4" s="41" t="str">
        <f aca="false">IF($B454="","",ROUND(IFERROR(IF($D454="周转打冷",N(INDEX(对接源_01入库吨位!$H$5:$H$304,MATCH(INT((ROW()-5)/3)+1,对接源_01入库吨位!$S$5:$S$304,0))),IF($D454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4" s="52" t="str">
        <f aca="false">IF($B454="","",ROUND(N($F454)/1000,3))</f>
        <v/>
      </c>
      <c r="H454" s="74"/>
      <c r="I454" s="44"/>
      <c r="J454" s="75" t="str">
        <f aca="false">IF($B454="","",IF($H454="按筐数×单价",N($E454),IF($H454="按总重KG×单价",N($F454),IF($H454="按吨位×单价",N($G454),0))))</f>
        <v/>
      </c>
      <c r="K454" s="41" t="str">
        <f aca="false">IF($B454="","",ROUND(N($J454)*N($I454),2))</f>
        <v/>
      </c>
      <c r="L454" s="42"/>
      <c r="M454" s="76"/>
      <c r="N454" s="43"/>
      <c r="R454" s="77" t="str">
        <f aca="false">IF($B454="","",$B454)</f>
        <v/>
      </c>
      <c r="S454" s="77" t="n">
        <f aca="false">IF($R454="",0,IF(MATCH($R454,$R$5:$R$904,0)=ROW()-4,1,0))</f>
        <v>0</v>
      </c>
      <c r="T454" s="77" t="n">
        <f aca="false">N(T453)+$S454</f>
        <v>18</v>
      </c>
    </row>
    <row r="455" customFormat="false" ht="13.5" hidden="false" customHeight="false" outlineLevel="0" collapsed="false">
      <c r="A455" s="9" t="str">
        <f aca="false">IF($B455="","",ROW()-4)</f>
        <v/>
      </c>
      <c r="B455" s="39" t="str">
        <f aca="false">IFERROR(INDEX(对接源_01入库吨位!$B$5:$B$304,MATCH(INT((ROW()-5)/3)+1,对接源_01入库吨位!$S$5:$S$304,0)),"")</f>
        <v/>
      </c>
      <c r="C455" s="39" t="str">
        <f aca="false">IFERROR(INDEX(对接源_01入库吨位!$C$5:$C$304,MATCH(INT((ROW()-5)/3)+1,对接源_01入库吨位!$S$5:$S$304,0)),"")</f>
        <v/>
      </c>
      <c r="D455" s="40" t="str">
        <f aca="false">IF($B455="","",IF(MOD(ROW()-5,3)=0,"周转打冷",IF(MOD(ROW()-5,3)=1,"仓储加工","装卸费")))</f>
        <v/>
      </c>
      <c r="E455" s="51" t="str">
        <f aca="false">IF($B455="","",IFERROR(IF($D455="周转打冷",N(INDEX(对接源_01入库吨位!$D$5:$D$304,MATCH(INT((ROW()-5)/3)+1,对接源_01入库吨位!$S$5:$S$304,0))),IF($D455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5" s="41" t="str">
        <f aca="false">IF($B455="","",ROUND(IFERROR(IF($D455="周转打冷",N(INDEX(对接源_01入库吨位!$H$5:$H$304,MATCH(INT((ROW()-5)/3)+1,对接源_01入库吨位!$S$5:$S$304,0))),IF($D455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5" s="52" t="str">
        <f aca="false">IF($B455="","",ROUND(N($F455)/1000,3))</f>
        <v/>
      </c>
      <c r="H455" s="74"/>
      <c r="I455" s="44"/>
      <c r="J455" s="75" t="str">
        <f aca="false">IF($B455="","",IF($H455="按筐数×单价",N($E455),IF($H455="按总重KG×单价",N($F455),IF($H455="按吨位×单价",N($G455),0))))</f>
        <v/>
      </c>
      <c r="K455" s="41" t="str">
        <f aca="false">IF($B455="","",ROUND(N($J455)*N($I455),2))</f>
        <v/>
      </c>
      <c r="L455" s="42"/>
      <c r="M455" s="76"/>
      <c r="N455" s="43"/>
      <c r="R455" s="77" t="str">
        <f aca="false">IF($B455="","",$B455)</f>
        <v/>
      </c>
      <c r="S455" s="77" t="n">
        <f aca="false">IF($R455="",0,IF(MATCH($R455,$R$5:$R$904,0)=ROW()-4,1,0))</f>
        <v>0</v>
      </c>
      <c r="T455" s="77" t="n">
        <f aca="false">N(T454)+$S455</f>
        <v>18</v>
      </c>
    </row>
    <row r="456" customFormat="false" ht="13.5" hidden="false" customHeight="false" outlineLevel="0" collapsed="false">
      <c r="A456" s="9" t="str">
        <f aca="false">IF($B456="","",ROW()-4)</f>
        <v/>
      </c>
      <c r="B456" s="39" t="str">
        <f aca="false">IFERROR(INDEX(对接源_01入库吨位!$B$5:$B$304,MATCH(INT((ROW()-5)/3)+1,对接源_01入库吨位!$S$5:$S$304,0)),"")</f>
        <v/>
      </c>
      <c r="C456" s="39" t="str">
        <f aca="false">IFERROR(INDEX(对接源_01入库吨位!$C$5:$C$304,MATCH(INT((ROW()-5)/3)+1,对接源_01入库吨位!$S$5:$S$304,0)),"")</f>
        <v/>
      </c>
      <c r="D456" s="40" t="str">
        <f aca="false">IF($B456="","",IF(MOD(ROW()-5,3)=0,"周转打冷",IF(MOD(ROW()-5,3)=1,"仓储加工","装卸费")))</f>
        <v/>
      </c>
      <c r="E456" s="51" t="str">
        <f aca="false">IF($B456="","",IFERROR(IF($D456="周转打冷",N(INDEX(对接源_01入库吨位!$D$5:$D$304,MATCH(INT((ROW()-5)/3)+1,对接源_01入库吨位!$S$5:$S$304,0))),IF($D456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6" s="41" t="str">
        <f aca="false">IF($B456="","",ROUND(IFERROR(IF($D456="周转打冷",N(INDEX(对接源_01入库吨位!$H$5:$H$304,MATCH(INT((ROW()-5)/3)+1,对接源_01入库吨位!$S$5:$S$304,0))),IF($D456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6" s="52" t="str">
        <f aca="false">IF($B456="","",ROUND(N($F456)/1000,3))</f>
        <v/>
      </c>
      <c r="H456" s="74"/>
      <c r="I456" s="44"/>
      <c r="J456" s="75" t="str">
        <f aca="false">IF($B456="","",IF($H456="按筐数×单价",N($E456),IF($H456="按总重KG×单价",N($F456),IF($H456="按吨位×单价",N($G456),0))))</f>
        <v/>
      </c>
      <c r="K456" s="41" t="str">
        <f aca="false">IF($B456="","",ROUND(N($J456)*N($I456),2))</f>
        <v/>
      </c>
      <c r="L456" s="42"/>
      <c r="M456" s="76"/>
      <c r="N456" s="43"/>
      <c r="R456" s="77" t="str">
        <f aca="false">IF($B456="","",$B456)</f>
        <v/>
      </c>
      <c r="S456" s="77" t="n">
        <f aca="false">IF($R456="",0,IF(MATCH($R456,$R$5:$R$904,0)=ROW()-4,1,0))</f>
        <v>0</v>
      </c>
      <c r="T456" s="77" t="n">
        <f aca="false">N(T455)+$S456</f>
        <v>18</v>
      </c>
    </row>
    <row r="457" customFormat="false" ht="13.5" hidden="false" customHeight="false" outlineLevel="0" collapsed="false">
      <c r="A457" s="9" t="str">
        <f aca="false">IF($B457="","",ROW()-4)</f>
        <v/>
      </c>
      <c r="B457" s="39" t="str">
        <f aca="false">IFERROR(INDEX(对接源_01入库吨位!$B$5:$B$304,MATCH(INT((ROW()-5)/3)+1,对接源_01入库吨位!$S$5:$S$304,0)),"")</f>
        <v/>
      </c>
      <c r="C457" s="39" t="str">
        <f aca="false">IFERROR(INDEX(对接源_01入库吨位!$C$5:$C$304,MATCH(INT((ROW()-5)/3)+1,对接源_01入库吨位!$S$5:$S$304,0)),"")</f>
        <v/>
      </c>
      <c r="D457" s="40" t="str">
        <f aca="false">IF($B457="","",IF(MOD(ROW()-5,3)=0,"周转打冷",IF(MOD(ROW()-5,3)=1,"仓储加工","装卸费")))</f>
        <v/>
      </c>
      <c r="E457" s="51" t="str">
        <f aca="false">IF($B457="","",IFERROR(IF($D457="周转打冷",N(INDEX(对接源_01入库吨位!$D$5:$D$304,MATCH(INT((ROW()-5)/3)+1,对接源_01入库吨位!$S$5:$S$304,0))),IF($D457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7" s="41" t="str">
        <f aca="false">IF($B457="","",ROUND(IFERROR(IF($D457="周转打冷",N(INDEX(对接源_01入库吨位!$H$5:$H$304,MATCH(INT((ROW()-5)/3)+1,对接源_01入库吨位!$S$5:$S$304,0))),IF($D457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7" s="52" t="str">
        <f aca="false">IF($B457="","",ROUND(N($F457)/1000,3))</f>
        <v/>
      </c>
      <c r="H457" s="74"/>
      <c r="I457" s="44"/>
      <c r="J457" s="75" t="str">
        <f aca="false">IF($B457="","",IF($H457="按筐数×单价",N($E457),IF($H457="按总重KG×单价",N($F457),IF($H457="按吨位×单价",N($G457),0))))</f>
        <v/>
      </c>
      <c r="K457" s="41" t="str">
        <f aca="false">IF($B457="","",ROUND(N($J457)*N($I457),2))</f>
        <v/>
      </c>
      <c r="L457" s="42"/>
      <c r="M457" s="76"/>
      <c r="N457" s="43"/>
      <c r="R457" s="77" t="str">
        <f aca="false">IF($B457="","",$B457)</f>
        <v/>
      </c>
      <c r="S457" s="77" t="n">
        <f aca="false">IF($R457="",0,IF(MATCH($R457,$R$5:$R$904,0)=ROW()-4,1,0))</f>
        <v>0</v>
      </c>
      <c r="T457" s="77" t="n">
        <f aca="false">N(T456)+$S457</f>
        <v>18</v>
      </c>
    </row>
    <row r="458" customFormat="false" ht="13.5" hidden="false" customHeight="false" outlineLevel="0" collapsed="false">
      <c r="A458" s="9" t="str">
        <f aca="false">IF($B458="","",ROW()-4)</f>
        <v/>
      </c>
      <c r="B458" s="39" t="str">
        <f aca="false">IFERROR(INDEX(对接源_01入库吨位!$B$5:$B$304,MATCH(INT((ROW()-5)/3)+1,对接源_01入库吨位!$S$5:$S$304,0)),"")</f>
        <v/>
      </c>
      <c r="C458" s="39" t="str">
        <f aca="false">IFERROR(INDEX(对接源_01入库吨位!$C$5:$C$304,MATCH(INT((ROW()-5)/3)+1,对接源_01入库吨位!$S$5:$S$304,0)),"")</f>
        <v/>
      </c>
      <c r="D458" s="40" t="str">
        <f aca="false">IF($B458="","",IF(MOD(ROW()-5,3)=0,"周转打冷",IF(MOD(ROW()-5,3)=1,"仓储加工","装卸费")))</f>
        <v/>
      </c>
      <c r="E458" s="51" t="str">
        <f aca="false">IF($B458="","",IFERROR(IF($D458="周转打冷",N(INDEX(对接源_01入库吨位!$D$5:$D$304,MATCH(INT((ROW()-5)/3)+1,对接源_01入库吨位!$S$5:$S$304,0))),IF($D458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8" s="41" t="str">
        <f aca="false">IF($B458="","",ROUND(IFERROR(IF($D458="周转打冷",N(INDEX(对接源_01入库吨位!$H$5:$H$304,MATCH(INT((ROW()-5)/3)+1,对接源_01入库吨位!$S$5:$S$304,0))),IF($D458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8" s="52" t="str">
        <f aca="false">IF($B458="","",ROUND(N($F458)/1000,3))</f>
        <v/>
      </c>
      <c r="H458" s="74"/>
      <c r="I458" s="44"/>
      <c r="J458" s="75" t="str">
        <f aca="false">IF($B458="","",IF($H458="按筐数×单价",N($E458),IF($H458="按总重KG×单价",N($F458),IF($H458="按吨位×单价",N($G458),0))))</f>
        <v/>
      </c>
      <c r="K458" s="41" t="str">
        <f aca="false">IF($B458="","",ROUND(N($J458)*N($I458),2))</f>
        <v/>
      </c>
      <c r="L458" s="42"/>
      <c r="M458" s="76"/>
      <c r="N458" s="43"/>
      <c r="R458" s="77" t="str">
        <f aca="false">IF($B458="","",$B458)</f>
        <v/>
      </c>
      <c r="S458" s="77" t="n">
        <f aca="false">IF($R458="",0,IF(MATCH($R458,$R$5:$R$904,0)=ROW()-4,1,0))</f>
        <v>0</v>
      </c>
      <c r="T458" s="77" t="n">
        <f aca="false">N(T457)+$S458</f>
        <v>18</v>
      </c>
    </row>
    <row r="459" customFormat="false" ht="13.5" hidden="false" customHeight="false" outlineLevel="0" collapsed="false">
      <c r="A459" s="9" t="str">
        <f aca="false">IF($B459="","",ROW()-4)</f>
        <v/>
      </c>
      <c r="B459" s="39" t="str">
        <f aca="false">IFERROR(INDEX(对接源_01入库吨位!$B$5:$B$304,MATCH(INT((ROW()-5)/3)+1,对接源_01入库吨位!$S$5:$S$304,0)),"")</f>
        <v/>
      </c>
      <c r="C459" s="39" t="str">
        <f aca="false">IFERROR(INDEX(对接源_01入库吨位!$C$5:$C$304,MATCH(INT((ROW()-5)/3)+1,对接源_01入库吨位!$S$5:$S$304,0)),"")</f>
        <v/>
      </c>
      <c r="D459" s="40" t="str">
        <f aca="false">IF($B459="","",IF(MOD(ROW()-5,3)=0,"周转打冷",IF(MOD(ROW()-5,3)=1,"仓储加工","装卸费")))</f>
        <v/>
      </c>
      <c r="E459" s="51" t="str">
        <f aca="false">IF($B459="","",IFERROR(IF($D459="周转打冷",N(INDEX(对接源_01入库吨位!$D$5:$D$304,MATCH(INT((ROW()-5)/3)+1,对接源_01入库吨位!$S$5:$S$304,0))),IF($D459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59" s="41" t="str">
        <f aca="false">IF($B459="","",ROUND(IFERROR(IF($D459="周转打冷",N(INDEX(对接源_01入库吨位!$H$5:$H$304,MATCH(INT((ROW()-5)/3)+1,对接源_01入库吨位!$S$5:$S$304,0))),IF($D459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59" s="52" t="str">
        <f aca="false">IF($B459="","",ROUND(N($F459)/1000,3))</f>
        <v/>
      </c>
      <c r="H459" s="74"/>
      <c r="I459" s="44"/>
      <c r="J459" s="75" t="str">
        <f aca="false">IF($B459="","",IF($H459="按筐数×单价",N($E459),IF($H459="按总重KG×单价",N($F459),IF($H459="按吨位×单价",N($G459),0))))</f>
        <v/>
      </c>
      <c r="K459" s="41" t="str">
        <f aca="false">IF($B459="","",ROUND(N($J459)*N($I459),2))</f>
        <v/>
      </c>
      <c r="L459" s="42"/>
      <c r="M459" s="76"/>
      <c r="N459" s="43"/>
      <c r="R459" s="77" t="str">
        <f aca="false">IF($B459="","",$B459)</f>
        <v/>
      </c>
      <c r="S459" s="77" t="n">
        <f aca="false">IF($R459="",0,IF(MATCH($R459,$R$5:$R$904,0)=ROW()-4,1,0))</f>
        <v>0</v>
      </c>
      <c r="T459" s="77" t="n">
        <f aca="false">N(T458)+$S459</f>
        <v>18</v>
      </c>
    </row>
    <row r="460" customFormat="false" ht="13.5" hidden="false" customHeight="false" outlineLevel="0" collapsed="false">
      <c r="A460" s="9" t="str">
        <f aca="false">IF($B460="","",ROW()-4)</f>
        <v/>
      </c>
      <c r="B460" s="39" t="str">
        <f aca="false">IFERROR(INDEX(对接源_01入库吨位!$B$5:$B$304,MATCH(INT((ROW()-5)/3)+1,对接源_01入库吨位!$S$5:$S$304,0)),"")</f>
        <v/>
      </c>
      <c r="C460" s="39" t="str">
        <f aca="false">IFERROR(INDEX(对接源_01入库吨位!$C$5:$C$304,MATCH(INT((ROW()-5)/3)+1,对接源_01入库吨位!$S$5:$S$304,0)),"")</f>
        <v/>
      </c>
      <c r="D460" s="40" t="str">
        <f aca="false">IF($B460="","",IF(MOD(ROW()-5,3)=0,"周转打冷",IF(MOD(ROW()-5,3)=1,"仓储加工","装卸费")))</f>
        <v/>
      </c>
      <c r="E460" s="51" t="str">
        <f aca="false">IF($B460="","",IFERROR(IF($D460="周转打冷",N(INDEX(对接源_01入库吨位!$D$5:$D$304,MATCH(INT((ROW()-5)/3)+1,对接源_01入库吨位!$S$5:$S$304,0))),IF($D460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0" s="41" t="str">
        <f aca="false">IF($B460="","",ROUND(IFERROR(IF($D460="周转打冷",N(INDEX(对接源_01入库吨位!$H$5:$H$304,MATCH(INT((ROW()-5)/3)+1,对接源_01入库吨位!$S$5:$S$304,0))),IF($D460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0" s="52" t="str">
        <f aca="false">IF($B460="","",ROUND(N($F460)/1000,3))</f>
        <v/>
      </c>
      <c r="H460" s="74"/>
      <c r="I460" s="44"/>
      <c r="J460" s="75" t="str">
        <f aca="false">IF($B460="","",IF($H460="按筐数×单价",N($E460),IF($H460="按总重KG×单价",N($F460),IF($H460="按吨位×单价",N($G460),0))))</f>
        <v/>
      </c>
      <c r="K460" s="41" t="str">
        <f aca="false">IF($B460="","",ROUND(N($J460)*N($I460),2))</f>
        <v/>
      </c>
      <c r="L460" s="42"/>
      <c r="M460" s="76"/>
      <c r="N460" s="43"/>
      <c r="R460" s="77" t="str">
        <f aca="false">IF($B460="","",$B460)</f>
        <v/>
      </c>
      <c r="S460" s="77" t="n">
        <f aca="false">IF($R460="",0,IF(MATCH($R460,$R$5:$R$904,0)=ROW()-4,1,0))</f>
        <v>0</v>
      </c>
      <c r="T460" s="77" t="n">
        <f aca="false">N(T459)+$S460</f>
        <v>18</v>
      </c>
    </row>
    <row r="461" customFormat="false" ht="13.5" hidden="false" customHeight="false" outlineLevel="0" collapsed="false">
      <c r="A461" s="9" t="str">
        <f aca="false">IF($B461="","",ROW()-4)</f>
        <v/>
      </c>
      <c r="B461" s="39" t="str">
        <f aca="false">IFERROR(INDEX(对接源_01入库吨位!$B$5:$B$304,MATCH(INT((ROW()-5)/3)+1,对接源_01入库吨位!$S$5:$S$304,0)),"")</f>
        <v/>
      </c>
      <c r="C461" s="39" t="str">
        <f aca="false">IFERROR(INDEX(对接源_01入库吨位!$C$5:$C$304,MATCH(INT((ROW()-5)/3)+1,对接源_01入库吨位!$S$5:$S$304,0)),"")</f>
        <v/>
      </c>
      <c r="D461" s="40" t="str">
        <f aca="false">IF($B461="","",IF(MOD(ROW()-5,3)=0,"周转打冷",IF(MOD(ROW()-5,3)=1,"仓储加工","装卸费")))</f>
        <v/>
      </c>
      <c r="E461" s="51" t="str">
        <f aca="false">IF($B461="","",IFERROR(IF($D461="周转打冷",N(INDEX(对接源_01入库吨位!$D$5:$D$304,MATCH(INT((ROW()-5)/3)+1,对接源_01入库吨位!$S$5:$S$304,0))),IF($D461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1" s="41" t="str">
        <f aca="false">IF($B461="","",ROUND(IFERROR(IF($D461="周转打冷",N(INDEX(对接源_01入库吨位!$H$5:$H$304,MATCH(INT((ROW()-5)/3)+1,对接源_01入库吨位!$S$5:$S$304,0))),IF($D461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1" s="52" t="str">
        <f aca="false">IF($B461="","",ROUND(N($F461)/1000,3))</f>
        <v/>
      </c>
      <c r="H461" s="74"/>
      <c r="I461" s="44"/>
      <c r="J461" s="75" t="str">
        <f aca="false">IF($B461="","",IF($H461="按筐数×单价",N($E461),IF($H461="按总重KG×单价",N($F461),IF($H461="按吨位×单价",N($G461),0))))</f>
        <v/>
      </c>
      <c r="K461" s="41" t="str">
        <f aca="false">IF($B461="","",ROUND(N($J461)*N($I461),2))</f>
        <v/>
      </c>
      <c r="L461" s="42"/>
      <c r="M461" s="76"/>
      <c r="N461" s="43"/>
      <c r="R461" s="77" t="str">
        <f aca="false">IF($B461="","",$B461)</f>
        <v/>
      </c>
      <c r="S461" s="77" t="n">
        <f aca="false">IF($R461="",0,IF(MATCH($R461,$R$5:$R$904,0)=ROW()-4,1,0))</f>
        <v>0</v>
      </c>
      <c r="T461" s="77" t="n">
        <f aca="false">N(T460)+$S461</f>
        <v>18</v>
      </c>
    </row>
    <row r="462" customFormat="false" ht="13.5" hidden="false" customHeight="false" outlineLevel="0" collapsed="false">
      <c r="A462" s="9" t="str">
        <f aca="false">IF($B462="","",ROW()-4)</f>
        <v/>
      </c>
      <c r="B462" s="39" t="str">
        <f aca="false">IFERROR(INDEX(对接源_01入库吨位!$B$5:$B$304,MATCH(INT((ROW()-5)/3)+1,对接源_01入库吨位!$S$5:$S$304,0)),"")</f>
        <v/>
      </c>
      <c r="C462" s="39" t="str">
        <f aca="false">IFERROR(INDEX(对接源_01入库吨位!$C$5:$C$304,MATCH(INT((ROW()-5)/3)+1,对接源_01入库吨位!$S$5:$S$304,0)),"")</f>
        <v/>
      </c>
      <c r="D462" s="40" t="str">
        <f aca="false">IF($B462="","",IF(MOD(ROW()-5,3)=0,"周转打冷",IF(MOD(ROW()-5,3)=1,"仓储加工","装卸费")))</f>
        <v/>
      </c>
      <c r="E462" s="51" t="str">
        <f aca="false">IF($B462="","",IFERROR(IF($D462="周转打冷",N(INDEX(对接源_01入库吨位!$D$5:$D$304,MATCH(INT((ROW()-5)/3)+1,对接源_01入库吨位!$S$5:$S$304,0))),IF($D462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2" s="41" t="str">
        <f aca="false">IF($B462="","",ROUND(IFERROR(IF($D462="周转打冷",N(INDEX(对接源_01入库吨位!$H$5:$H$304,MATCH(INT((ROW()-5)/3)+1,对接源_01入库吨位!$S$5:$S$304,0))),IF($D462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2" s="52" t="str">
        <f aca="false">IF($B462="","",ROUND(N($F462)/1000,3))</f>
        <v/>
      </c>
      <c r="H462" s="74"/>
      <c r="I462" s="44"/>
      <c r="J462" s="75" t="str">
        <f aca="false">IF($B462="","",IF($H462="按筐数×单价",N($E462),IF($H462="按总重KG×单价",N($F462),IF($H462="按吨位×单价",N($G462),0))))</f>
        <v/>
      </c>
      <c r="K462" s="41" t="str">
        <f aca="false">IF($B462="","",ROUND(N($J462)*N($I462),2))</f>
        <v/>
      </c>
      <c r="L462" s="42"/>
      <c r="M462" s="76"/>
      <c r="N462" s="43"/>
      <c r="R462" s="77" t="str">
        <f aca="false">IF($B462="","",$B462)</f>
        <v/>
      </c>
      <c r="S462" s="77" t="n">
        <f aca="false">IF($R462="",0,IF(MATCH($R462,$R$5:$R$904,0)=ROW()-4,1,0))</f>
        <v>0</v>
      </c>
      <c r="T462" s="77" t="n">
        <f aca="false">N(T461)+$S462</f>
        <v>18</v>
      </c>
    </row>
    <row r="463" customFormat="false" ht="13.5" hidden="false" customHeight="false" outlineLevel="0" collapsed="false">
      <c r="A463" s="9" t="str">
        <f aca="false">IF($B463="","",ROW()-4)</f>
        <v/>
      </c>
      <c r="B463" s="39" t="str">
        <f aca="false">IFERROR(INDEX(对接源_01入库吨位!$B$5:$B$304,MATCH(INT((ROW()-5)/3)+1,对接源_01入库吨位!$S$5:$S$304,0)),"")</f>
        <v/>
      </c>
      <c r="C463" s="39" t="str">
        <f aca="false">IFERROR(INDEX(对接源_01入库吨位!$C$5:$C$304,MATCH(INT((ROW()-5)/3)+1,对接源_01入库吨位!$S$5:$S$304,0)),"")</f>
        <v/>
      </c>
      <c r="D463" s="40" t="str">
        <f aca="false">IF($B463="","",IF(MOD(ROW()-5,3)=0,"周转打冷",IF(MOD(ROW()-5,3)=1,"仓储加工","装卸费")))</f>
        <v/>
      </c>
      <c r="E463" s="51" t="str">
        <f aca="false">IF($B463="","",IFERROR(IF($D463="周转打冷",N(INDEX(对接源_01入库吨位!$D$5:$D$304,MATCH(INT((ROW()-5)/3)+1,对接源_01入库吨位!$S$5:$S$304,0))),IF($D463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3" s="41" t="str">
        <f aca="false">IF($B463="","",ROUND(IFERROR(IF($D463="周转打冷",N(INDEX(对接源_01入库吨位!$H$5:$H$304,MATCH(INT((ROW()-5)/3)+1,对接源_01入库吨位!$S$5:$S$304,0))),IF($D463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3" s="52" t="str">
        <f aca="false">IF($B463="","",ROUND(N($F463)/1000,3))</f>
        <v/>
      </c>
      <c r="H463" s="74"/>
      <c r="I463" s="44"/>
      <c r="J463" s="75" t="str">
        <f aca="false">IF($B463="","",IF($H463="按筐数×单价",N($E463),IF($H463="按总重KG×单价",N($F463),IF($H463="按吨位×单价",N($G463),0))))</f>
        <v/>
      </c>
      <c r="K463" s="41" t="str">
        <f aca="false">IF($B463="","",ROUND(N($J463)*N($I463),2))</f>
        <v/>
      </c>
      <c r="L463" s="42"/>
      <c r="M463" s="76"/>
      <c r="N463" s="43"/>
      <c r="R463" s="77" t="str">
        <f aca="false">IF($B463="","",$B463)</f>
        <v/>
      </c>
      <c r="S463" s="77" t="n">
        <f aca="false">IF($R463="",0,IF(MATCH($R463,$R$5:$R$904,0)=ROW()-4,1,0))</f>
        <v>0</v>
      </c>
      <c r="T463" s="77" t="n">
        <f aca="false">N(T462)+$S463</f>
        <v>18</v>
      </c>
    </row>
    <row r="464" customFormat="false" ht="13.5" hidden="false" customHeight="false" outlineLevel="0" collapsed="false">
      <c r="A464" s="9" t="str">
        <f aca="false">IF($B464="","",ROW()-4)</f>
        <v/>
      </c>
      <c r="B464" s="39" t="str">
        <f aca="false">IFERROR(INDEX(对接源_01入库吨位!$B$5:$B$304,MATCH(INT((ROW()-5)/3)+1,对接源_01入库吨位!$S$5:$S$304,0)),"")</f>
        <v/>
      </c>
      <c r="C464" s="39" t="str">
        <f aca="false">IFERROR(INDEX(对接源_01入库吨位!$C$5:$C$304,MATCH(INT((ROW()-5)/3)+1,对接源_01入库吨位!$S$5:$S$304,0)),"")</f>
        <v/>
      </c>
      <c r="D464" s="40" t="str">
        <f aca="false">IF($B464="","",IF(MOD(ROW()-5,3)=0,"周转打冷",IF(MOD(ROW()-5,3)=1,"仓储加工","装卸费")))</f>
        <v/>
      </c>
      <c r="E464" s="51" t="str">
        <f aca="false">IF($B464="","",IFERROR(IF($D464="周转打冷",N(INDEX(对接源_01入库吨位!$D$5:$D$304,MATCH(INT((ROW()-5)/3)+1,对接源_01入库吨位!$S$5:$S$304,0))),IF($D464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4" s="41" t="str">
        <f aca="false">IF($B464="","",ROUND(IFERROR(IF($D464="周转打冷",N(INDEX(对接源_01入库吨位!$H$5:$H$304,MATCH(INT((ROW()-5)/3)+1,对接源_01入库吨位!$S$5:$S$304,0))),IF($D464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4" s="52" t="str">
        <f aca="false">IF($B464="","",ROUND(N($F464)/1000,3))</f>
        <v/>
      </c>
      <c r="H464" s="74"/>
      <c r="I464" s="44"/>
      <c r="J464" s="75" t="str">
        <f aca="false">IF($B464="","",IF($H464="按筐数×单价",N($E464),IF($H464="按总重KG×单价",N($F464),IF($H464="按吨位×单价",N($G464),0))))</f>
        <v/>
      </c>
      <c r="K464" s="41" t="str">
        <f aca="false">IF($B464="","",ROUND(N($J464)*N($I464),2))</f>
        <v/>
      </c>
      <c r="L464" s="42"/>
      <c r="M464" s="76"/>
      <c r="N464" s="43"/>
      <c r="R464" s="77" t="str">
        <f aca="false">IF($B464="","",$B464)</f>
        <v/>
      </c>
      <c r="S464" s="77" t="n">
        <f aca="false">IF($R464="",0,IF(MATCH($R464,$R$5:$R$904,0)=ROW()-4,1,0))</f>
        <v>0</v>
      </c>
      <c r="T464" s="77" t="n">
        <f aca="false">N(T463)+$S464</f>
        <v>18</v>
      </c>
    </row>
    <row r="465" customFormat="false" ht="13.5" hidden="false" customHeight="false" outlineLevel="0" collapsed="false">
      <c r="A465" s="9" t="str">
        <f aca="false">IF($B465="","",ROW()-4)</f>
        <v/>
      </c>
      <c r="B465" s="39" t="str">
        <f aca="false">IFERROR(INDEX(对接源_01入库吨位!$B$5:$B$304,MATCH(INT((ROW()-5)/3)+1,对接源_01入库吨位!$S$5:$S$304,0)),"")</f>
        <v/>
      </c>
      <c r="C465" s="39" t="str">
        <f aca="false">IFERROR(INDEX(对接源_01入库吨位!$C$5:$C$304,MATCH(INT((ROW()-5)/3)+1,对接源_01入库吨位!$S$5:$S$304,0)),"")</f>
        <v/>
      </c>
      <c r="D465" s="40" t="str">
        <f aca="false">IF($B465="","",IF(MOD(ROW()-5,3)=0,"周转打冷",IF(MOD(ROW()-5,3)=1,"仓储加工","装卸费")))</f>
        <v/>
      </c>
      <c r="E465" s="51" t="str">
        <f aca="false">IF($B465="","",IFERROR(IF($D465="周转打冷",N(INDEX(对接源_01入库吨位!$D$5:$D$304,MATCH(INT((ROW()-5)/3)+1,对接源_01入库吨位!$S$5:$S$304,0))),IF($D465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5" s="41" t="str">
        <f aca="false">IF($B465="","",ROUND(IFERROR(IF($D465="周转打冷",N(INDEX(对接源_01入库吨位!$H$5:$H$304,MATCH(INT((ROW()-5)/3)+1,对接源_01入库吨位!$S$5:$S$304,0))),IF($D465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5" s="52" t="str">
        <f aca="false">IF($B465="","",ROUND(N($F465)/1000,3))</f>
        <v/>
      </c>
      <c r="H465" s="74"/>
      <c r="I465" s="44"/>
      <c r="J465" s="75" t="str">
        <f aca="false">IF($B465="","",IF($H465="按筐数×单价",N($E465),IF($H465="按总重KG×单价",N($F465),IF($H465="按吨位×单价",N($G465),0))))</f>
        <v/>
      </c>
      <c r="K465" s="41" t="str">
        <f aca="false">IF($B465="","",ROUND(N($J465)*N($I465),2))</f>
        <v/>
      </c>
      <c r="L465" s="42"/>
      <c r="M465" s="76"/>
      <c r="N465" s="43"/>
      <c r="R465" s="77" t="str">
        <f aca="false">IF($B465="","",$B465)</f>
        <v/>
      </c>
      <c r="S465" s="77" t="n">
        <f aca="false">IF($R465="",0,IF(MATCH($R465,$R$5:$R$904,0)=ROW()-4,1,0))</f>
        <v>0</v>
      </c>
      <c r="T465" s="77" t="n">
        <f aca="false">N(T464)+$S465</f>
        <v>18</v>
      </c>
    </row>
    <row r="466" customFormat="false" ht="13.5" hidden="false" customHeight="false" outlineLevel="0" collapsed="false">
      <c r="A466" s="9" t="str">
        <f aca="false">IF($B466="","",ROW()-4)</f>
        <v/>
      </c>
      <c r="B466" s="39" t="str">
        <f aca="false">IFERROR(INDEX(对接源_01入库吨位!$B$5:$B$304,MATCH(INT((ROW()-5)/3)+1,对接源_01入库吨位!$S$5:$S$304,0)),"")</f>
        <v/>
      </c>
      <c r="C466" s="39" t="str">
        <f aca="false">IFERROR(INDEX(对接源_01入库吨位!$C$5:$C$304,MATCH(INT((ROW()-5)/3)+1,对接源_01入库吨位!$S$5:$S$304,0)),"")</f>
        <v/>
      </c>
      <c r="D466" s="40" t="str">
        <f aca="false">IF($B466="","",IF(MOD(ROW()-5,3)=0,"周转打冷",IF(MOD(ROW()-5,3)=1,"仓储加工","装卸费")))</f>
        <v/>
      </c>
      <c r="E466" s="51" t="str">
        <f aca="false">IF($B466="","",IFERROR(IF($D466="周转打冷",N(INDEX(对接源_01入库吨位!$D$5:$D$304,MATCH(INT((ROW()-5)/3)+1,对接源_01入库吨位!$S$5:$S$304,0))),IF($D466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6" s="41" t="str">
        <f aca="false">IF($B466="","",ROUND(IFERROR(IF($D466="周转打冷",N(INDEX(对接源_01入库吨位!$H$5:$H$304,MATCH(INT((ROW()-5)/3)+1,对接源_01入库吨位!$S$5:$S$304,0))),IF($D466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6" s="52" t="str">
        <f aca="false">IF($B466="","",ROUND(N($F466)/1000,3))</f>
        <v/>
      </c>
      <c r="H466" s="74"/>
      <c r="I466" s="44"/>
      <c r="J466" s="75" t="str">
        <f aca="false">IF($B466="","",IF($H466="按筐数×单价",N($E466),IF($H466="按总重KG×单价",N($F466),IF($H466="按吨位×单价",N($G466),0))))</f>
        <v/>
      </c>
      <c r="K466" s="41" t="str">
        <f aca="false">IF($B466="","",ROUND(N($J466)*N($I466),2))</f>
        <v/>
      </c>
      <c r="L466" s="42"/>
      <c r="M466" s="76"/>
      <c r="N466" s="43"/>
      <c r="R466" s="77" t="str">
        <f aca="false">IF($B466="","",$B466)</f>
        <v/>
      </c>
      <c r="S466" s="77" t="n">
        <f aca="false">IF($R466="",0,IF(MATCH($R466,$R$5:$R$904,0)=ROW()-4,1,0))</f>
        <v>0</v>
      </c>
      <c r="T466" s="77" t="n">
        <f aca="false">N(T465)+$S466</f>
        <v>18</v>
      </c>
    </row>
    <row r="467" customFormat="false" ht="13.5" hidden="false" customHeight="false" outlineLevel="0" collapsed="false">
      <c r="A467" s="9" t="str">
        <f aca="false">IF($B467="","",ROW()-4)</f>
        <v/>
      </c>
      <c r="B467" s="39" t="str">
        <f aca="false">IFERROR(INDEX(对接源_01入库吨位!$B$5:$B$304,MATCH(INT((ROW()-5)/3)+1,对接源_01入库吨位!$S$5:$S$304,0)),"")</f>
        <v/>
      </c>
      <c r="C467" s="39" t="str">
        <f aca="false">IFERROR(INDEX(对接源_01入库吨位!$C$5:$C$304,MATCH(INT((ROW()-5)/3)+1,对接源_01入库吨位!$S$5:$S$304,0)),"")</f>
        <v/>
      </c>
      <c r="D467" s="40" t="str">
        <f aca="false">IF($B467="","",IF(MOD(ROW()-5,3)=0,"周转打冷",IF(MOD(ROW()-5,3)=1,"仓储加工","装卸费")))</f>
        <v/>
      </c>
      <c r="E467" s="51" t="str">
        <f aca="false">IF($B467="","",IFERROR(IF($D467="周转打冷",N(INDEX(对接源_01入库吨位!$D$5:$D$304,MATCH(INT((ROW()-5)/3)+1,对接源_01入库吨位!$S$5:$S$304,0))),IF($D467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7" s="41" t="str">
        <f aca="false">IF($B467="","",ROUND(IFERROR(IF($D467="周转打冷",N(INDEX(对接源_01入库吨位!$H$5:$H$304,MATCH(INT((ROW()-5)/3)+1,对接源_01入库吨位!$S$5:$S$304,0))),IF($D467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7" s="52" t="str">
        <f aca="false">IF($B467="","",ROUND(N($F467)/1000,3))</f>
        <v/>
      </c>
      <c r="H467" s="74"/>
      <c r="I467" s="44"/>
      <c r="J467" s="75" t="str">
        <f aca="false">IF($B467="","",IF($H467="按筐数×单价",N($E467),IF($H467="按总重KG×单价",N($F467),IF($H467="按吨位×单价",N($G467),0))))</f>
        <v/>
      </c>
      <c r="K467" s="41" t="str">
        <f aca="false">IF($B467="","",ROUND(N($J467)*N($I467),2))</f>
        <v/>
      </c>
      <c r="L467" s="42"/>
      <c r="M467" s="76"/>
      <c r="N467" s="43"/>
      <c r="R467" s="77" t="str">
        <f aca="false">IF($B467="","",$B467)</f>
        <v/>
      </c>
      <c r="S467" s="77" t="n">
        <f aca="false">IF($R467="",0,IF(MATCH($R467,$R$5:$R$904,0)=ROW()-4,1,0))</f>
        <v>0</v>
      </c>
      <c r="T467" s="77" t="n">
        <f aca="false">N(T466)+$S467</f>
        <v>18</v>
      </c>
    </row>
    <row r="468" customFormat="false" ht="13.5" hidden="false" customHeight="false" outlineLevel="0" collapsed="false">
      <c r="A468" s="9" t="str">
        <f aca="false">IF($B468="","",ROW()-4)</f>
        <v/>
      </c>
      <c r="B468" s="39" t="str">
        <f aca="false">IFERROR(INDEX(对接源_01入库吨位!$B$5:$B$304,MATCH(INT((ROW()-5)/3)+1,对接源_01入库吨位!$S$5:$S$304,0)),"")</f>
        <v/>
      </c>
      <c r="C468" s="39" t="str">
        <f aca="false">IFERROR(INDEX(对接源_01入库吨位!$C$5:$C$304,MATCH(INT((ROW()-5)/3)+1,对接源_01入库吨位!$S$5:$S$304,0)),"")</f>
        <v/>
      </c>
      <c r="D468" s="40" t="str">
        <f aca="false">IF($B468="","",IF(MOD(ROW()-5,3)=0,"周转打冷",IF(MOD(ROW()-5,3)=1,"仓储加工","装卸费")))</f>
        <v/>
      </c>
      <c r="E468" s="51" t="str">
        <f aca="false">IF($B468="","",IFERROR(IF($D468="周转打冷",N(INDEX(对接源_01入库吨位!$D$5:$D$304,MATCH(INT((ROW()-5)/3)+1,对接源_01入库吨位!$S$5:$S$304,0))),IF($D468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8" s="41" t="str">
        <f aca="false">IF($B468="","",ROUND(IFERROR(IF($D468="周转打冷",N(INDEX(对接源_01入库吨位!$H$5:$H$304,MATCH(INT((ROW()-5)/3)+1,对接源_01入库吨位!$S$5:$S$304,0))),IF($D468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8" s="52" t="str">
        <f aca="false">IF($B468="","",ROUND(N($F468)/1000,3))</f>
        <v/>
      </c>
      <c r="H468" s="74"/>
      <c r="I468" s="44"/>
      <c r="J468" s="75" t="str">
        <f aca="false">IF($B468="","",IF($H468="按筐数×单价",N($E468),IF($H468="按总重KG×单价",N($F468),IF($H468="按吨位×单价",N($G468),0))))</f>
        <v/>
      </c>
      <c r="K468" s="41" t="str">
        <f aca="false">IF($B468="","",ROUND(N($J468)*N($I468),2))</f>
        <v/>
      </c>
      <c r="L468" s="42"/>
      <c r="M468" s="76"/>
      <c r="N468" s="43"/>
      <c r="R468" s="77" t="str">
        <f aca="false">IF($B468="","",$B468)</f>
        <v/>
      </c>
      <c r="S468" s="77" t="n">
        <f aca="false">IF($R468="",0,IF(MATCH($R468,$R$5:$R$904,0)=ROW()-4,1,0))</f>
        <v>0</v>
      </c>
      <c r="T468" s="77" t="n">
        <f aca="false">N(T467)+$S468</f>
        <v>18</v>
      </c>
    </row>
    <row r="469" customFormat="false" ht="13.5" hidden="false" customHeight="false" outlineLevel="0" collapsed="false">
      <c r="A469" s="9" t="str">
        <f aca="false">IF($B469="","",ROW()-4)</f>
        <v/>
      </c>
      <c r="B469" s="39" t="str">
        <f aca="false">IFERROR(INDEX(对接源_01入库吨位!$B$5:$B$304,MATCH(INT((ROW()-5)/3)+1,对接源_01入库吨位!$S$5:$S$304,0)),"")</f>
        <v/>
      </c>
      <c r="C469" s="39" t="str">
        <f aca="false">IFERROR(INDEX(对接源_01入库吨位!$C$5:$C$304,MATCH(INT((ROW()-5)/3)+1,对接源_01入库吨位!$S$5:$S$304,0)),"")</f>
        <v/>
      </c>
      <c r="D469" s="40" t="str">
        <f aca="false">IF($B469="","",IF(MOD(ROW()-5,3)=0,"周转打冷",IF(MOD(ROW()-5,3)=1,"仓储加工","装卸费")))</f>
        <v/>
      </c>
      <c r="E469" s="51" t="str">
        <f aca="false">IF($B469="","",IFERROR(IF($D469="周转打冷",N(INDEX(对接源_01入库吨位!$D$5:$D$304,MATCH(INT((ROW()-5)/3)+1,对接源_01入库吨位!$S$5:$S$304,0))),IF($D469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69" s="41" t="str">
        <f aca="false">IF($B469="","",ROUND(IFERROR(IF($D469="周转打冷",N(INDEX(对接源_01入库吨位!$H$5:$H$304,MATCH(INT((ROW()-5)/3)+1,对接源_01入库吨位!$S$5:$S$304,0))),IF($D469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69" s="52" t="str">
        <f aca="false">IF($B469="","",ROUND(N($F469)/1000,3))</f>
        <v/>
      </c>
      <c r="H469" s="74"/>
      <c r="I469" s="44"/>
      <c r="J469" s="75" t="str">
        <f aca="false">IF($B469="","",IF($H469="按筐数×单价",N($E469),IF($H469="按总重KG×单价",N($F469),IF($H469="按吨位×单价",N($G469),0))))</f>
        <v/>
      </c>
      <c r="K469" s="41" t="str">
        <f aca="false">IF($B469="","",ROUND(N($J469)*N($I469),2))</f>
        <v/>
      </c>
      <c r="L469" s="42"/>
      <c r="M469" s="76"/>
      <c r="N469" s="43"/>
      <c r="R469" s="77" t="str">
        <f aca="false">IF($B469="","",$B469)</f>
        <v/>
      </c>
      <c r="S469" s="77" t="n">
        <f aca="false">IF($R469="",0,IF(MATCH($R469,$R$5:$R$904,0)=ROW()-4,1,0))</f>
        <v>0</v>
      </c>
      <c r="T469" s="77" t="n">
        <f aca="false">N(T468)+$S469</f>
        <v>18</v>
      </c>
    </row>
    <row r="470" customFormat="false" ht="13.5" hidden="false" customHeight="false" outlineLevel="0" collapsed="false">
      <c r="A470" s="9" t="str">
        <f aca="false">IF($B470="","",ROW()-4)</f>
        <v/>
      </c>
      <c r="B470" s="39" t="str">
        <f aca="false">IFERROR(INDEX(对接源_01入库吨位!$B$5:$B$304,MATCH(INT((ROW()-5)/3)+1,对接源_01入库吨位!$S$5:$S$304,0)),"")</f>
        <v/>
      </c>
      <c r="C470" s="39" t="str">
        <f aca="false">IFERROR(INDEX(对接源_01入库吨位!$C$5:$C$304,MATCH(INT((ROW()-5)/3)+1,对接源_01入库吨位!$S$5:$S$304,0)),"")</f>
        <v/>
      </c>
      <c r="D470" s="40" t="str">
        <f aca="false">IF($B470="","",IF(MOD(ROW()-5,3)=0,"周转打冷",IF(MOD(ROW()-5,3)=1,"仓储加工","装卸费")))</f>
        <v/>
      </c>
      <c r="E470" s="51" t="str">
        <f aca="false">IF($B470="","",IFERROR(IF($D470="周转打冷",N(INDEX(对接源_01入库吨位!$D$5:$D$304,MATCH(INT((ROW()-5)/3)+1,对接源_01入库吨位!$S$5:$S$304,0))),IF($D470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0" s="41" t="str">
        <f aca="false">IF($B470="","",ROUND(IFERROR(IF($D470="周转打冷",N(INDEX(对接源_01入库吨位!$H$5:$H$304,MATCH(INT((ROW()-5)/3)+1,对接源_01入库吨位!$S$5:$S$304,0))),IF($D470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0" s="52" t="str">
        <f aca="false">IF($B470="","",ROUND(N($F470)/1000,3))</f>
        <v/>
      </c>
      <c r="H470" s="74"/>
      <c r="I470" s="44"/>
      <c r="J470" s="75" t="str">
        <f aca="false">IF($B470="","",IF($H470="按筐数×单价",N($E470),IF($H470="按总重KG×单价",N($F470),IF($H470="按吨位×单价",N($G470),0))))</f>
        <v/>
      </c>
      <c r="K470" s="41" t="str">
        <f aca="false">IF($B470="","",ROUND(N($J470)*N($I470),2))</f>
        <v/>
      </c>
      <c r="L470" s="42"/>
      <c r="M470" s="76"/>
      <c r="N470" s="43"/>
      <c r="R470" s="77" t="str">
        <f aca="false">IF($B470="","",$B470)</f>
        <v/>
      </c>
      <c r="S470" s="77" t="n">
        <f aca="false">IF($R470="",0,IF(MATCH($R470,$R$5:$R$904,0)=ROW()-4,1,0))</f>
        <v>0</v>
      </c>
      <c r="T470" s="77" t="n">
        <f aca="false">N(T469)+$S470</f>
        <v>18</v>
      </c>
    </row>
    <row r="471" customFormat="false" ht="13.5" hidden="false" customHeight="false" outlineLevel="0" collapsed="false">
      <c r="A471" s="9" t="str">
        <f aca="false">IF($B471="","",ROW()-4)</f>
        <v/>
      </c>
      <c r="B471" s="39" t="str">
        <f aca="false">IFERROR(INDEX(对接源_01入库吨位!$B$5:$B$304,MATCH(INT((ROW()-5)/3)+1,对接源_01入库吨位!$S$5:$S$304,0)),"")</f>
        <v/>
      </c>
      <c r="C471" s="39" t="str">
        <f aca="false">IFERROR(INDEX(对接源_01入库吨位!$C$5:$C$304,MATCH(INT((ROW()-5)/3)+1,对接源_01入库吨位!$S$5:$S$304,0)),"")</f>
        <v/>
      </c>
      <c r="D471" s="40" t="str">
        <f aca="false">IF($B471="","",IF(MOD(ROW()-5,3)=0,"周转打冷",IF(MOD(ROW()-5,3)=1,"仓储加工","装卸费")))</f>
        <v/>
      </c>
      <c r="E471" s="51" t="str">
        <f aca="false">IF($B471="","",IFERROR(IF($D471="周转打冷",N(INDEX(对接源_01入库吨位!$D$5:$D$304,MATCH(INT((ROW()-5)/3)+1,对接源_01入库吨位!$S$5:$S$304,0))),IF($D471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1" s="41" t="str">
        <f aca="false">IF($B471="","",ROUND(IFERROR(IF($D471="周转打冷",N(INDEX(对接源_01入库吨位!$H$5:$H$304,MATCH(INT((ROW()-5)/3)+1,对接源_01入库吨位!$S$5:$S$304,0))),IF($D471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1" s="52" t="str">
        <f aca="false">IF($B471="","",ROUND(N($F471)/1000,3))</f>
        <v/>
      </c>
      <c r="H471" s="74"/>
      <c r="I471" s="44"/>
      <c r="J471" s="75" t="str">
        <f aca="false">IF($B471="","",IF($H471="按筐数×单价",N($E471),IF($H471="按总重KG×单价",N($F471),IF($H471="按吨位×单价",N($G471),0))))</f>
        <v/>
      </c>
      <c r="K471" s="41" t="str">
        <f aca="false">IF($B471="","",ROUND(N($J471)*N($I471),2))</f>
        <v/>
      </c>
      <c r="L471" s="42"/>
      <c r="M471" s="76"/>
      <c r="N471" s="43"/>
      <c r="R471" s="77" t="str">
        <f aca="false">IF($B471="","",$B471)</f>
        <v/>
      </c>
      <c r="S471" s="77" t="n">
        <f aca="false">IF($R471="",0,IF(MATCH($R471,$R$5:$R$904,0)=ROW()-4,1,0))</f>
        <v>0</v>
      </c>
      <c r="T471" s="77" t="n">
        <f aca="false">N(T470)+$S471</f>
        <v>18</v>
      </c>
    </row>
    <row r="472" customFormat="false" ht="13.5" hidden="false" customHeight="false" outlineLevel="0" collapsed="false">
      <c r="A472" s="9" t="str">
        <f aca="false">IF($B472="","",ROW()-4)</f>
        <v/>
      </c>
      <c r="B472" s="39" t="str">
        <f aca="false">IFERROR(INDEX(对接源_01入库吨位!$B$5:$B$304,MATCH(INT((ROW()-5)/3)+1,对接源_01入库吨位!$S$5:$S$304,0)),"")</f>
        <v/>
      </c>
      <c r="C472" s="39" t="str">
        <f aca="false">IFERROR(INDEX(对接源_01入库吨位!$C$5:$C$304,MATCH(INT((ROW()-5)/3)+1,对接源_01入库吨位!$S$5:$S$304,0)),"")</f>
        <v/>
      </c>
      <c r="D472" s="40" t="str">
        <f aca="false">IF($B472="","",IF(MOD(ROW()-5,3)=0,"周转打冷",IF(MOD(ROW()-5,3)=1,"仓储加工","装卸费")))</f>
        <v/>
      </c>
      <c r="E472" s="51" t="str">
        <f aca="false">IF($B472="","",IFERROR(IF($D472="周转打冷",N(INDEX(对接源_01入库吨位!$D$5:$D$304,MATCH(INT((ROW()-5)/3)+1,对接源_01入库吨位!$S$5:$S$304,0))),IF($D472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2" s="41" t="str">
        <f aca="false">IF($B472="","",ROUND(IFERROR(IF($D472="周转打冷",N(INDEX(对接源_01入库吨位!$H$5:$H$304,MATCH(INT((ROW()-5)/3)+1,对接源_01入库吨位!$S$5:$S$304,0))),IF($D472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2" s="52" t="str">
        <f aca="false">IF($B472="","",ROUND(N($F472)/1000,3))</f>
        <v/>
      </c>
      <c r="H472" s="74"/>
      <c r="I472" s="44"/>
      <c r="J472" s="75" t="str">
        <f aca="false">IF($B472="","",IF($H472="按筐数×单价",N($E472),IF($H472="按总重KG×单价",N($F472),IF($H472="按吨位×单价",N($G472),0))))</f>
        <v/>
      </c>
      <c r="K472" s="41" t="str">
        <f aca="false">IF($B472="","",ROUND(N($J472)*N($I472),2))</f>
        <v/>
      </c>
      <c r="L472" s="42"/>
      <c r="M472" s="76"/>
      <c r="N472" s="43"/>
      <c r="R472" s="77" t="str">
        <f aca="false">IF($B472="","",$B472)</f>
        <v/>
      </c>
      <c r="S472" s="77" t="n">
        <f aca="false">IF($R472="",0,IF(MATCH($R472,$R$5:$R$904,0)=ROW()-4,1,0))</f>
        <v>0</v>
      </c>
      <c r="T472" s="77" t="n">
        <f aca="false">N(T471)+$S472</f>
        <v>18</v>
      </c>
    </row>
    <row r="473" customFormat="false" ht="13.5" hidden="false" customHeight="false" outlineLevel="0" collapsed="false">
      <c r="A473" s="9" t="str">
        <f aca="false">IF($B473="","",ROW()-4)</f>
        <v/>
      </c>
      <c r="B473" s="39" t="str">
        <f aca="false">IFERROR(INDEX(对接源_01入库吨位!$B$5:$B$304,MATCH(INT((ROW()-5)/3)+1,对接源_01入库吨位!$S$5:$S$304,0)),"")</f>
        <v/>
      </c>
      <c r="C473" s="39" t="str">
        <f aca="false">IFERROR(INDEX(对接源_01入库吨位!$C$5:$C$304,MATCH(INT((ROW()-5)/3)+1,对接源_01入库吨位!$S$5:$S$304,0)),"")</f>
        <v/>
      </c>
      <c r="D473" s="40" t="str">
        <f aca="false">IF($B473="","",IF(MOD(ROW()-5,3)=0,"周转打冷",IF(MOD(ROW()-5,3)=1,"仓储加工","装卸费")))</f>
        <v/>
      </c>
      <c r="E473" s="51" t="str">
        <f aca="false">IF($B473="","",IFERROR(IF($D473="周转打冷",N(INDEX(对接源_01入库吨位!$D$5:$D$304,MATCH(INT((ROW()-5)/3)+1,对接源_01入库吨位!$S$5:$S$304,0))),IF($D473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3" s="41" t="str">
        <f aca="false">IF($B473="","",ROUND(IFERROR(IF($D473="周转打冷",N(INDEX(对接源_01入库吨位!$H$5:$H$304,MATCH(INT((ROW()-5)/3)+1,对接源_01入库吨位!$S$5:$S$304,0))),IF($D473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3" s="52" t="str">
        <f aca="false">IF($B473="","",ROUND(N($F473)/1000,3))</f>
        <v/>
      </c>
      <c r="H473" s="74"/>
      <c r="I473" s="44"/>
      <c r="J473" s="75" t="str">
        <f aca="false">IF($B473="","",IF($H473="按筐数×单价",N($E473),IF($H473="按总重KG×单价",N($F473),IF($H473="按吨位×单价",N($G473),0))))</f>
        <v/>
      </c>
      <c r="K473" s="41" t="str">
        <f aca="false">IF($B473="","",ROUND(N($J473)*N($I473),2))</f>
        <v/>
      </c>
      <c r="L473" s="42"/>
      <c r="M473" s="76"/>
      <c r="N473" s="43"/>
      <c r="R473" s="77" t="str">
        <f aca="false">IF($B473="","",$B473)</f>
        <v/>
      </c>
      <c r="S473" s="77" t="n">
        <f aca="false">IF($R473="",0,IF(MATCH($R473,$R$5:$R$904,0)=ROW()-4,1,0))</f>
        <v>0</v>
      </c>
      <c r="T473" s="77" t="n">
        <f aca="false">N(T472)+$S473</f>
        <v>18</v>
      </c>
    </row>
    <row r="474" customFormat="false" ht="13.5" hidden="false" customHeight="false" outlineLevel="0" collapsed="false">
      <c r="A474" s="9" t="str">
        <f aca="false">IF($B474="","",ROW()-4)</f>
        <v/>
      </c>
      <c r="B474" s="39" t="str">
        <f aca="false">IFERROR(INDEX(对接源_01入库吨位!$B$5:$B$304,MATCH(INT((ROW()-5)/3)+1,对接源_01入库吨位!$S$5:$S$304,0)),"")</f>
        <v/>
      </c>
      <c r="C474" s="39" t="str">
        <f aca="false">IFERROR(INDEX(对接源_01入库吨位!$C$5:$C$304,MATCH(INT((ROW()-5)/3)+1,对接源_01入库吨位!$S$5:$S$304,0)),"")</f>
        <v/>
      </c>
      <c r="D474" s="40" t="str">
        <f aca="false">IF($B474="","",IF(MOD(ROW()-5,3)=0,"周转打冷",IF(MOD(ROW()-5,3)=1,"仓储加工","装卸费")))</f>
        <v/>
      </c>
      <c r="E474" s="51" t="str">
        <f aca="false">IF($B474="","",IFERROR(IF($D474="周转打冷",N(INDEX(对接源_01入库吨位!$D$5:$D$304,MATCH(INT((ROW()-5)/3)+1,对接源_01入库吨位!$S$5:$S$304,0))),IF($D474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4" s="41" t="str">
        <f aca="false">IF($B474="","",ROUND(IFERROR(IF($D474="周转打冷",N(INDEX(对接源_01入库吨位!$H$5:$H$304,MATCH(INT((ROW()-5)/3)+1,对接源_01入库吨位!$S$5:$S$304,0))),IF($D474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4" s="52" t="str">
        <f aca="false">IF($B474="","",ROUND(N($F474)/1000,3))</f>
        <v/>
      </c>
      <c r="H474" s="74"/>
      <c r="I474" s="44"/>
      <c r="J474" s="75" t="str">
        <f aca="false">IF($B474="","",IF($H474="按筐数×单价",N($E474),IF($H474="按总重KG×单价",N($F474),IF($H474="按吨位×单价",N($G474),0))))</f>
        <v/>
      </c>
      <c r="K474" s="41" t="str">
        <f aca="false">IF($B474="","",ROUND(N($J474)*N($I474),2))</f>
        <v/>
      </c>
      <c r="L474" s="42"/>
      <c r="M474" s="76"/>
      <c r="N474" s="43"/>
      <c r="R474" s="77" t="str">
        <f aca="false">IF($B474="","",$B474)</f>
        <v/>
      </c>
      <c r="S474" s="77" t="n">
        <f aca="false">IF($R474="",0,IF(MATCH($R474,$R$5:$R$904,0)=ROW()-4,1,0))</f>
        <v>0</v>
      </c>
      <c r="T474" s="77" t="n">
        <f aca="false">N(T473)+$S474</f>
        <v>18</v>
      </c>
    </row>
    <row r="475" customFormat="false" ht="13.5" hidden="false" customHeight="false" outlineLevel="0" collapsed="false">
      <c r="A475" s="9" t="str">
        <f aca="false">IF($B475="","",ROW()-4)</f>
        <v/>
      </c>
      <c r="B475" s="39" t="str">
        <f aca="false">IFERROR(INDEX(对接源_01入库吨位!$B$5:$B$304,MATCH(INT((ROW()-5)/3)+1,对接源_01入库吨位!$S$5:$S$304,0)),"")</f>
        <v/>
      </c>
      <c r="C475" s="39" t="str">
        <f aca="false">IFERROR(INDEX(对接源_01入库吨位!$C$5:$C$304,MATCH(INT((ROW()-5)/3)+1,对接源_01入库吨位!$S$5:$S$304,0)),"")</f>
        <v/>
      </c>
      <c r="D475" s="40" t="str">
        <f aca="false">IF($B475="","",IF(MOD(ROW()-5,3)=0,"周转打冷",IF(MOD(ROW()-5,3)=1,"仓储加工","装卸费")))</f>
        <v/>
      </c>
      <c r="E475" s="51" t="str">
        <f aca="false">IF($B475="","",IFERROR(IF($D475="周转打冷",N(INDEX(对接源_01入库吨位!$D$5:$D$304,MATCH(INT((ROW()-5)/3)+1,对接源_01入库吨位!$S$5:$S$304,0))),IF($D475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5" s="41" t="str">
        <f aca="false">IF($B475="","",ROUND(IFERROR(IF($D475="周转打冷",N(INDEX(对接源_01入库吨位!$H$5:$H$304,MATCH(INT((ROW()-5)/3)+1,对接源_01入库吨位!$S$5:$S$304,0))),IF($D475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5" s="52" t="str">
        <f aca="false">IF($B475="","",ROUND(N($F475)/1000,3))</f>
        <v/>
      </c>
      <c r="H475" s="74"/>
      <c r="I475" s="44"/>
      <c r="J475" s="75" t="str">
        <f aca="false">IF($B475="","",IF($H475="按筐数×单价",N($E475),IF($H475="按总重KG×单价",N($F475),IF($H475="按吨位×单价",N($G475),0))))</f>
        <v/>
      </c>
      <c r="K475" s="41" t="str">
        <f aca="false">IF($B475="","",ROUND(N($J475)*N($I475),2))</f>
        <v/>
      </c>
      <c r="L475" s="42"/>
      <c r="M475" s="76"/>
      <c r="N475" s="43"/>
      <c r="R475" s="77" t="str">
        <f aca="false">IF($B475="","",$B475)</f>
        <v/>
      </c>
      <c r="S475" s="77" t="n">
        <f aca="false">IF($R475="",0,IF(MATCH($R475,$R$5:$R$904,0)=ROW()-4,1,0))</f>
        <v>0</v>
      </c>
      <c r="T475" s="77" t="n">
        <f aca="false">N(T474)+$S475</f>
        <v>18</v>
      </c>
    </row>
    <row r="476" customFormat="false" ht="13.5" hidden="false" customHeight="false" outlineLevel="0" collapsed="false">
      <c r="A476" s="9" t="str">
        <f aca="false">IF($B476="","",ROW()-4)</f>
        <v/>
      </c>
      <c r="B476" s="39" t="str">
        <f aca="false">IFERROR(INDEX(对接源_01入库吨位!$B$5:$B$304,MATCH(INT((ROW()-5)/3)+1,对接源_01入库吨位!$S$5:$S$304,0)),"")</f>
        <v/>
      </c>
      <c r="C476" s="39" t="str">
        <f aca="false">IFERROR(INDEX(对接源_01入库吨位!$C$5:$C$304,MATCH(INT((ROW()-5)/3)+1,对接源_01入库吨位!$S$5:$S$304,0)),"")</f>
        <v/>
      </c>
      <c r="D476" s="40" t="str">
        <f aca="false">IF($B476="","",IF(MOD(ROW()-5,3)=0,"周转打冷",IF(MOD(ROW()-5,3)=1,"仓储加工","装卸费")))</f>
        <v/>
      </c>
      <c r="E476" s="51" t="str">
        <f aca="false">IF($B476="","",IFERROR(IF($D476="周转打冷",N(INDEX(对接源_01入库吨位!$D$5:$D$304,MATCH(INT((ROW()-5)/3)+1,对接源_01入库吨位!$S$5:$S$304,0))),IF($D476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6" s="41" t="str">
        <f aca="false">IF($B476="","",ROUND(IFERROR(IF($D476="周转打冷",N(INDEX(对接源_01入库吨位!$H$5:$H$304,MATCH(INT((ROW()-5)/3)+1,对接源_01入库吨位!$S$5:$S$304,0))),IF($D476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6" s="52" t="str">
        <f aca="false">IF($B476="","",ROUND(N($F476)/1000,3))</f>
        <v/>
      </c>
      <c r="H476" s="74"/>
      <c r="I476" s="44"/>
      <c r="J476" s="75" t="str">
        <f aca="false">IF($B476="","",IF($H476="按筐数×单价",N($E476),IF($H476="按总重KG×单价",N($F476),IF($H476="按吨位×单价",N($G476),0))))</f>
        <v/>
      </c>
      <c r="K476" s="41" t="str">
        <f aca="false">IF($B476="","",ROUND(N($J476)*N($I476),2))</f>
        <v/>
      </c>
      <c r="L476" s="42"/>
      <c r="M476" s="76"/>
      <c r="N476" s="43"/>
      <c r="R476" s="77" t="str">
        <f aca="false">IF($B476="","",$B476)</f>
        <v/>
      </c>
      <c r="S476" s="77" t="n">
        <f aca="false">IF($R476="",0,IF(MATCH($R476,$R$5:$R$904,0)=ROW()-4,1,0))</f>
        <v>0</v>
      </c>
      <c r="T476" s="77" t="n">
        <f aca="false">N(T475)+$S476</f>
        <v>18</v>
      </c>
    </row>
    <row r="477" customFormat="false" ht="13.5" hidden="false" customHeight="false" outlineLevel="0" collapsed="false">
      <c r="A477" s="9" t="str">
        <f aca="false">IF($B477="","",ROW()-4)</f>
        <v/>
      </c>
      <c r="B477" s="39" t="str">
        <f aca="false">IFERROR(INDEX(对接源_01入库吨位!$B$5:$B$304,MATCH(INT((ROW()-5)/3)+1,对接源_01入库吨位!$S$5:$S$304,0)),"")</f>
        <v/>
      </c>
      <c r="C477" s="39" t="str">
        <f aca="false">IFERROR(INDEX(对接源_01入库吨位!$C$5:$C$304,MATCH(INT((ROW()-5)/3)+1,对接源_01入库吨位!$S$5:$S$304,0)),"")</f>
        <v/>
      </c>
      <c r="D477" s="40" t="str">
        <f aca="false">IF($B477="","",IF(MOD(ROW()-5,3)=0,"周转打冷",IF(MOD(ROW()-5,3)=1,"仓储加工","装卸费")))</f>
        <v/>
      </c>
      <c r="E477" s="51" t="str">
        <f aca="false">IF($B477="","",IFERROR(IF($D477="周转打冷",N(INDEX(对接源_01入库吨位!$D$5:$D$304,MATCH(INT((ROW()-5)/3)+1,对接源_01入库吨位!$S$5:$S$304,0))),IF($D477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7" s="41" t="str">
        <f aca="false">IF($B477="","",ROUND(IFERROR(IF($D477="周转打冷",N(INDEX(对接源_01入库吨位!$H$5:$H$304,MATCH(INT((ROW()-5)/3)+1,对接源_01入库吨位!$S$5:$S$304,0))),IF($D477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7" s="52" t="str">
        <f aca="false">IF($B477="","",ROUND(N($F477)/1000,3))</f>
        <v/>
      </c>
      <c r="H477" s="74"/>
      <c r="I477" s="44"/>
      <c r="J477" s="75" t="str">
        <f aca="false">IF($B477="","",IF($H477="按筐数×单价",N($E477),IF($H477="按总重KG×单价",N($F477),IF($H477="按吨位×单价",N($G477),0))))</f>
        <v/>
      </c>
      <c r="K477" s="41" t="str">
        <f aca="false">IF($B477="","",ROUND(N($J477)*N($I477),2))</f>
        <v/>
      </c>
      <c r="L477" s="42"/>
      <c r="M477" s="76"/>
      <c r="N477" s="43"/>
      <c r="R477" s="77" t="str">
        <f aca="false">IF($B477="","",$B477)</f>
        <v/>
      </c>
      <c r="S477" s="77" t="n">
        <f aca="false">IF($R477="",0,IF(MATCH($R477,$R$5:$R$904,0)=ROW()-4,1,0))</f>
        <v>0</v>
      </c>
      <c r="T477" s="77" t="n">
        <f aca="false">N(T476)+$S477</f>
        <v>18</v>
      </c>
    </row>
    <row r="478" customFormat="false" ht="13.5" hidden="false" customHeight="false" outlineLevel="0" collapsed="false">
      <c r="A478" s="9" t="str">
        <f aca="false">IF($B478="","",ROW()-4)</f>
        <v/>
      </c>
      <c r="B478" s="39" t="str">
        <f aca="false">IFERROR(INDEX(对接源_01入库吨位!$B$5:$B$304,MATCH(INT((ROW()-5)/3)+1,对接源_01入库吨位!$S$5:$S$304,0)),"")</f>
        <v/>
      </c>
      <c r="C478" s="39" t="str">
        <f aca="false">IFERROR(INDEX(对接源_01入库吨位!$C$5:$C$304,MATCH(INT((ROW()-5)/3)+1,对接源_01入库吨位!$S$5:$S$304,0)),"")</f>
        <v/>
      </c>
      <c r="D478" s="40" t="str">
        <f aca="false">IF($B478="","",IF(MOD(ROW()-5,3)=0,"周转打冷",IF(MOD(ROW()-5,3)=1,"仓储加工","装卸费")))</f>
        <v/>
      </c>
      <c r="E478" s="51" t="str">
        <f aca="false">IF($B478="","",IFERROR(IF($D478="周转打冷",N(INDEX(对接源_01入库吨位!$D$5:$D$304,MATCH(INT((ROW()-5)/3)+1,对接源_01入库吨位!$S$5:$S$304,0))),IF($D478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8" s="41" t="str">
        <f aca="false">IF($B478="","",ROUND(IFERROR(IF($D478="周转打冷",N(INDEX(对接源_01入库吨位!$H$5:$H$304,MATCH(INT((ROW()-5)/3)+1,对接源_01入库吨位!$S$5:$S$304,0))),IF($D478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8" s="52" t="str">
        <f aca="false">IF($B478="","",ROUND(N($F478)/1000,3))</f>
        <v/>
      </c>
      <c r="H478" s="74"/>
      <c r="I478" s="44"/>
      <c r="J478" s="75" t="str">
        <f aca="false">IF($B478="","",IF($H478="按筐数×单价",N($E478),IF($H478="按总重KG×单价",N($F478),IF($H478="按吨位×单价",N($G478),0))))</f>
        <v/>
      </c>
      <c r="K478" s="41" t="str">
        <f aca="false">IF($B478="","",ROUND(N($J478)*N($I478),2))</f>
        <v/>
      </c>
      <c r="L478" s="42"/>
      <c r="M478" s="76"/>
      <c r="N478" s="43"/>
      <c r="R478" s="77" t="str">
        <f aca="false">IF($B478="","",$B478)</f>
        <v/>
      </c>
      <c r="S478" s="77" t="n">
        <f aca="false">IF($R478="",0,IF(MATCH($R478,$R$5:$R$904,0)=ROW()-4,1,0))</f>
        <v>0</v>
      </c>
      <c r="T478" s="77" t="n">
        <f aca="false">N(T477)+$S478</f>
        <v>18</v>
      </c>
    </row>
    <row r="479" customFormat="false" ht="13.5" hidden="false" customHeight="false" outlineLevel="0" collapsed="false">
      <c r="A479" s="9" t="str">
        <f aca="false">IF($B479="","",ROW()-4)</f>
        <v/>
      </c>
      <c r="B479" s="39" t="str">
        <f aca="false">IFERROR(INDEX(对接源_01入库吨位!$B$5:$B$304,MATCH(INT((ROW()-5)/3)+1,对接源_01入库吨位!$S$5:$S$304,0)),"")</f>
        <v/>
      </c>
      <c r="C479" s="39" t="str">
        <f aca="false">IFERROR(INDEX(对接源_01入库吨位!$C$5:$C$304,MATCH(INT((ROW()-5)/3)+1,对接源_01入库吨位!$S$5:$S$304,0)),"")</f>
        <v/>
      </c>
      <c r="D479" s="40" t="str">
        <f aca="false">IF($B479="","",IF(MOD(ROW()-5,3)=0,"周转打冷",IF(MOD(ROW()-5,3)=1,"仓储加工","装卸费")))</f>
        <v/>
      </c>
      <c r="E479" s="51" t="str">
        <f aca="false">IF($B479="","",IFERROR(IF($D479="周转打冷",N(INDEX(对接源_01入库吨位!$D$5:$D$304,MATCH(INT((ROW()-5)/3)+1,对接源_01入库吨位!$S$5:$S$304,0))),IF($D479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79" s="41" t="str">
        <f aca="false">IF($B479="","",ROUND(IFERROR(IF($D479="周转打冷",N(INDEX(对接源_01入库吨位!$H$5:$H$304,MATCH(INT((ROW()-5)/3)+1,对接源_01入库吨位!$S$5:$S$304,0))),IF($D479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79" s="52" t="str">
        <f aca="false">IF($B479="","",ROUND(N($F479)/1000,3))</f>
        <v/>
      </c>
      <c r="H479" s="74"/>
      <c r="I479" s="44"/>
      <c r="J479" s="75" t="str">
        <f aca="false">IF($B479="","",IF($H479="按筐数×单价",N($E479),IF($H479="按总重KG×单价",N($F479),IF($H479="按吨位×单价",N($G479),0))))</f>
        <v/>
      </c>
      <c r="K479" s="41" t="str">
        <f aca="false">IF($B479="","",ROUND(N($J479)*N($I479),2))</f>
        <v/>
      </c>
      <c r="L479" s="42"/>
      <c r="M479" s="76"/>
      <c r="N479" s="43"/>
      <c r="R479" s="77" t="str">
        <f aca="false">IF($B479="","",$B479)</f>
        <v/>
      </c>
      <c r="S479" s="77" t="n">
        <f aca="false">IF($R479="",0,IF(MATCH($R479,$R$5:$R$904,0)=ROW()-4,1,0))</f>
        <v>0</v>
      </c>
      <c r="T479" s="77" t="n">
        <f aca="false">N(T478)+$S479</f>
        <v>18</v>
      </c>
    </row>
    <row r="480" customFormat="false" ht="13.5" hidden="false" customHeight="false" outlineLevel="0" collapsed="false">
      <c r="A480" s="9" t="str">
        <f aca="false">IF($B480="","",ROW()-4)</f>
        <v/>
      </c>
      <c r="B480" s="39" t="str">
        <f aca="false">IFERROR(INDEX(对接源_01入库吨位!$B$5:$B$304,MATCH(INT((ROW()-5)/3)+1,对接源_01入库吨位!$S$5:$S$304,0)),"")</f>
        <v/>
      </c>
      <c r="C480" s="39" t="str">
        <f aca="false">IFERROR(INDEX(对接源_01入库吨位!$C$5:$C$304,MATCH(INT((ROW()-5)/3)+1,对接源_01入库吨位!$S$5:$S$304,0)),"")</f>
        <v/>
      </c>
      <c r="D480" s="40" t="str">
        <f aca="false">IF($B480="","",IF(MOD(ROW()-5,3)=0,"周转打冷",IF(MOD(ROW()-5,3)=1,"仓储加工","装卸费")))</f>
        <v/>
      </c>
      <c r="E480" s="51" t="str">
        <f aca="false">IF($B480="","",IFERROR(IF($D480="周转打冷",N(INDEX(对接源_01入库吨位!$D$5:$D$304,MATCH(INT((ROW()-5)/3)+1,对接源_01入库吨位!$S$5:$S$304,0))),IF($D480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0" s="41" t="str">
        <f aca="false">IF($B480="","",ROUND(IFERROR(IF($D480="周转打冷",N(INDEX(对接源_01入库吨位!$H$5:$H$304,MATCH(INT((ROW()-5)/3)+1,对接源_01入库吨位!$S$5:$S$304,0))),IF($D480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0" s="52" t="str">
        <f aca="false">IF($B480="","",ROUND(N($F480)/1000,3))</f>
        <v/>
      </c>
      <c r="H480" s="74"/>
      <c r="I480" s="44"/>
      <c r="J480" s="75" t="str">
        <f aca="false">IF($B480="","",IF($H480="按筐数×单价",N($E480),IF($H480="按总重KG×单价",N($F480),IF($H480="按吨位×单价",N($G480),0))))</f>
        <v/>
      </c>
      <c r="K480" s="41" t="str">
        <f aca="false">IF($B480="","",ROUND(N($J480)*N($I480),2))</f>
        <v/>
      </c>
      <c r="L480" s="42"/>
      <c r="M480" s="76"/>
      <c r="N480" s="43"/>
      <c r="R480" s="77" t="str">
        <f aca="false">IF($B480="","",$B480)</f>
        <v/>
      </c>
      <c r="S480" s="77" t="n">
        <f aca="false">IF($R480="",0,IF(MATCH($R480,$R$5:$R$904,0)=ROW()-4,1,0))</f>
        <v>0</v>
      </c>
      <c r="T480" s="77" t="n">
        <f aca="false">N(T479)+$S480</f>
        <v>18</v>
      </c>
    </row>
    <row r="481" customFormat="false" ht="13.5" hidden="false" customHeight="false" outlineLevel="0" collapsed="false">
      <c r="A481" s="9" t="str">
        <f aca="false">IF($B481="","",ROW()-4)</f>
        <v/>
      </c>
      <c r="B481" s="39" t="str">
        <f aca="false">IFERROR(INDEX(对接源_01入库吨位!$B$5:$B$304,MATCH(INT((ROW()-5)/3)+1,对接源_01入库吨位!$S$5:$S$304,0)),"")</f>
        <v/>
      </c>
      <c r="C481" s="39" t="str">
        <f aca="false">IFERROR(INDEX(对接源_01入库吨位!$C$5:$C$304,MATCH(INT((ROW()-5)/3)+1,对接源_01入库吨位!$S$5:$S$304,0)),"")</f>
        <v/>
      </c>
      <c r="D481" s="40" t="str">
        <f aca="false">IF($B481="","",IF(MOD(ROW()-5,3)=0,"周转打冷",IF(MOD(ROW()-5,3)=1,"仓储加工","装卸费")))</f>
        <v/>
      </c>
      <c r="E481" s="51" t="str">
        <f aca="false">IF($B481="","",IFERROR(IF($D481="周转打冷",N(INDEX(对接源_01入库吨位!$D$5:$D$304,MATCH(INT((ROW()-5)/3)+1,对接源_01入库吨位!$S$5:$S$304,0))),IF($D481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1" s="41" t="str">
        <f aca="false">IF($B481="","",ROUND(IFERROR(IF($D481="周转打冷",N(INDEX(对接源_01入库吨位!$H$5:$H$304,MATCH(INT((ROW()-5)/3)+1,对接源_01入库吨位!$S$5:$S$304,0))),IF($D481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1" s="52" t="str">
        <f aca="false">IF($B481="","",ROUND(N($F481)/1000,3))</f>
        <v/>
      </c>
      <c r="H481" s="74"/>
      <c r="I481" s="44"/>
      <c r="J481" s="75" t="str">
        <f aca="false">IF($B481="","",IF($H481="按筐数×单价",N($E481),IF($H481="按总重KG×单价",N($F481),IF($H481="按吨位×单价",N($G481),0))))</f>
        <v/>
      </c>
      <c r="K481" s="41" t="str">
        <f aca="false">IF($B481="","",ROUND(N($J481)*N($I481),2))</f>
        <v/>
      </c>
      <c r="L481" s="42"/>
      <c r="M481" s="76"/>
      <c r="N481" s="43"/>
      <c r="R481" s="77" t="str">
        <f aca="false">IF($B481="","",$B481)</f>
        <v/>
      </c>
      <c r="S481" s="77" t="n">
        <f aca="false">IF($R481="",0,IF(MATCH($R481,$R$5:$R$904,0)=ROW()-4,1,0))</f>
        <v>0</v>
      </c>
      <c r="T481" s="77" t="n">
        <f aca="false">N(T480)+$S481</f>
        <v>18</v>
      </c>
    </row>
    <row r="482" customFormat="false" ht="13.5" hidden="false" customHeight="false" outlineLevel="0" collapsed="false">
      <c r="A482" s="9" t="str">
        <f aca="false">IF($B482="","",ROW()-4)</f>
        <v/>
      </c>
      <c r="B482" s="39" t="str">
        <f aca="false">IFERROR(INDEX(对接源_01入库吨位!$B$5:$B$304,MATCH(INT((ROW()-5)/3)+1,对接源_01入库吨位!$S$5:$S$304,0)),"")</f>
        <v/>
      </c>
      <c r="C482" s="39" t="str">
        <f aca="false">IFERROR(INDEX(对接源_01入库吨位!$C$5:$C$304,MATCH(INT((ROW()-5)/3)+1,对接源_01入库吨位!$S$5:$S$304,0)),"")</f>
        <v/>
      </c>
      <c r="D482" s="40" t="str">
        <f aca="false">IF($B482="","",IF(MOD(ROW()-5,3)=0,"周转打冷",IF(MOD(ROW()-5,3)=1,"仓储加工","装卸费")))</f>
        <v/>
      </c>
      <c r="E482" s="51" t="str">
        <f aca="false">IF($B482="","",IFERROR(IF($D482="周转打冷",N(INDEX(对接源_01入库吨位!$D$5:$D$304,MATCH(INT((ROW()-5)/3)+1,对接源_01入库吨位!$S$5:$S$304,0))),IF($D482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2" s="41" t="str">
        <f aca="false">IF($B482="","",ROUND(IFERROR(IF($D482="周转打冷",N(INDEX(对接源_01入库吨位!$H$5:$H$304,MATCH(INT((ROW()-5)/3)+1,对接源_01入库吨位!$S$5:$S$304,0))),IF($D482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2" s="52" t="str">
        <f aca="false">IF($B482="","",ROUND(N($F482)/1000,3))</f>
        <v/>
      </c>
      <c r="H482" s="74"/>
      <c r="I482" s="44"/>
      <c r="J482" s="75" t="str">
        <f aca="false">IF($B482="","",IF($H482="按筐数×单价",N($E482),IF($H482="按总重KG×单价",N($F482),IF($H482="按吨位×单价",N($G482),0))))</f>
        <v/>
      </c>
      <c r="K482" s="41" t="str">
        <f aca="false">IF($B482="","",ROUND(N($J482)*N($I482),2))</f>
        <v/>
      </c>
      <c r="L482" s="42"/>
      <c r="M482" s="76"/>
      <c r="N482" s="43"/>
      <c r="R482" s="77" t="str">
        <f aca="false">IF($B482="","",$B482)</f>
        <v/>
      </c>
      <c r="S482" s="77" t="n">
        <f aca="false">IF($R482="",0,IF(MATCH($R482,$R$5:$R$904,0)=ROW()-4,1,0))</f>
        <v>0</v>
      </c>
      <c r="T482" s="77" t="n">
        <f aca="false">N(T481)+$S482</f>
        <v>18</v>
      </c>
    </row>
    <row r="483" customFormat="false" ht="13.5" hidden="false" customHeight="false" outlineLevel="0" collapsed="false">
      <c r="A483" s="9" t="str">
        <f aca="false">IF($B483="","",ROW()-4)</f>
        <v/>
      </c>
      <c r="B483" s="39" t="str">
        <f aca="false">IFERROR(INDEX(对接源_01入库吨位!$B$5:$B$304,MATCH(INT((ROW()-5)/3)+1,对接源_01入库吨位!$S$5:$S$304,0)),"")</f>
        <v/>
      </c>
      <c r="C483" s="39" t="str">
        <f aca="false">IFERROR(INDEX(对接源_01入库吨位!$C$5:$C$304,MATCH(INT((ROW()-5)/3)+1,对接源_01入库吨位!$S$5:$S$304,0)),"")</f>
        <v/>
      </c>
      <c r="D483" s="40" t="str">
        <f aca="false">IF($B483="","",IF(MOD(ROW()-5,3)=0,"周转打冷",IF(MOD(ROW()-5,3)=1,"仓储加工","装卸费")))</f>
        <v/>
      </c>
      <c r="E483" s="51" t="str">
        <f aca="false">IF($B483="","",IFERROR(IF($D483="周转打冷",N(INDEX(对接源_01入库吨位!$D$5:$D$304,MATCH(INT((ROW()-5)/3)+1,对接源_01入库吨位!$S$5:$S$304,0))),IF($D483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3" s="41" t="str">
        <f aca="false">IF($B483="","",ROUND(IFERROR(IF($D483="周转打冷",N(INDEX(对接源_01入库吨位!$H$5:$H$304,MATCH(INT((ROW()-5)/3)+1,对接源_01入库吨位!$S$5:$S$304,0))),IF($D483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3" s="52" t="str">
        <f aca="false">IF($B483="","",ROUND(N($F483)/1000,3))</f>
        <v/>
      </c>
      <c r="H483" s="74"/>
      <c r="I483" s="44"/>
      <c r="J483" s="75" t="str">
        <f aca="false">IF($B483="","",IF($H483="按筐数×单价",N($E483),IF($H483="按总重KG×单价",N($F483),IF($H483="按吨位×单价",N($G483),0))))</f>
        <v/>
      </c>
      <c r="K483" s="41" t="str">
        <f aca="false">IF($B483="","",ROUND(N($J483)*N($I483),2))</f>
        <v/>
      </c>
      <c r="L483" s="42"/>
      <c r="M483" s="76"/>
      <c r="N483" s="43"/>
      <c r="R483" s="77" t="str">
        <f aca="false">IF($B483="","",$B483)</f>
        <v/>
      </c>
      <c r="S483" s="77" t="n">
        <f aca="false">IF($R483="",0,IF(MATCH($R483,$R$5:$R$904,0)=ROW()-4,1,0))</f>
        <v>0</v>
      </c>
      <c r="T483" s="77" t="n">
        <f aca="false">N(T482)+$S483</f>
        <v>18</v>
      </c>
    </row>
    <row r="484" customFormat="false" ht="13.5" hidden="false" customHeight="false" outlineLevel="0" collapsed="false">
      <c r="A484" s="9" t="str">
        <f aca="false">IF($B484="","",ROW()-4)</f>
        <v/>
      </c>
      <c r="B484" s="39" t="str">
        <f aca="false">IFERROR(INDEX(对接源_01入库吨位!$B$5:$B$304,MATCH(INT((ROW()-5)/3)+1,对接源_01入库吨位!$S$5:$S$304,0)),"")</f>
        <v/>
      </c>
      <c r="C484" s="39" t="str">
        <f aca="false">IFERROR(INDEX(对接源_01入库吨位!$C$5:$C$304,MATCH(INT((ROW()-5)/3)+1,对接源_01入库吨位!$S$5:$S$304,0)),"")</f>
        <v/>
      </c>
      <c r="D484" s="40" t="str">
        <f aca="false">IF($B484="","",IF(MOD(ROW()-5,3)=0,"周转打冷",IF(MOD(ROW()-5,3)=1,"仓储加工","装卸费")))</f>
        <v/>
      </c>
      <c r="E484" s="51" t="str">
        <f aca="false">IF($B484="","",IFERROR(IF($D484="周转打冷",N(INDEX(对接源_01入库吨位!$D$5:$D$304,MATCH(INT((ROW()-5)/3)+1,对接源_01入库吨位!$S$5:$S$304,0))),IF($D484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4" s="41" t="str">
        <f aca="false">IF($B484="","",ROUND(IFERROR(IF($D484="周转打冷",N(INDEX(对接源_01入库吨位!$H$5:$H$304,MATCH(INT((ROW()-5)/3)+1,对接源_01入库吨位!$S$5:$S$304,0))),IF($D484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4" s="52" t="str">
        <f aca="false">IF($B484="","",ROUND(N($F484)/1000,3))</f>
        <v/>
      </c>
      <c r="H484" s="74"/>
      <c r="I484" s="44"/>
      <c r="J484" s="75" t="str">
        <f aca="false">IF($B484="","",IF($H484="按筐数×单价",N($E484),IF($H484="按总重KG×单价",N($F484),IF($H484="按吨位×单价",N($G484),0))))</f>
        <v/>
      </c>
      <c r="K484" s="41" t="str">
        <f aca="false">IF($B484="","",ROUND(N($J484)*N($I484),2))</f>
        <v/>
      </c>
      <c r="L484" s="42"/>
      <c r="M484" s="76"/>
      <c r="N484" s="43"/>
      <c r="R484" s="77" t="str">
        <f aca="false">IF($B484="","",$B484)</f>
        <v/>
      </c>
      <c r="S484" s="77" t="n">
        <f aca="false">IF($R484="",0,IF(MATCH($R484,$R$5:$R$904,0)=ROW()-4,1,0))</f>
        <v>0</v>
      </c>
      <c r="T484" s="77" t="n">
        <f aca="false">N(T483)+$S484</f>
        <v>18</v>
      </c>
    </row>
    <row r="485" customFormat="false" ht="13.5" hidden="false" customHeight="false" outlineLevel="0" collapsed="false">
      <c r="A485" s="9" t="str">
        <f aca="false">IF($B485="","",ROW()-4)</f>
        <v/>
      </c>
      <c r="B485" s="39" t="str">
        <f aca="false">IFERROR(INDEX(对接源_01入库吨位!$B$5:$B$304,MATCH(INT((ROW()-5)/3)+1,对接源_01入库吨位!$S$5:$S$304,0)),"")</f>
        <v/>
      </c>
      <c r="C485" s="39" t="str">
        <f aca="false">IFERROR(INDEX(对接源_01入库吨位!$C$5:$C$304,MATCH(INT((ROW()-5)/3)+1,对接源_01入库吨位!$S$5:$S$304,0)),"")</f>
        <v/>
      </c>
      <c r="D485" s="40" t="str">
        <f aca="false">IF($B485="","",IF(MOD(ROW()-5,3)=0,"周转打冷",IF(MOD(ROW()-5,3)=1,"仓储加工","装卸费")))</f>
        <v/>
      </c>
      <c r="E485" s="51" t="str">
        <f aca="false">IF($B485="","",IFERROR(IF($D485="周转打冷",N(INDEX(对接源_01入库吨位!$D$5:$D$304,MATCH(INT((ROW()-5)/3)+1,对接源_01入库吨位!$S$5:$S$304,0))),IF($D485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5" s="41" t="str">
        <f aca="false">IF($B485="","",ROUND(IFERROR(IF($D485="周转打冷",N(INDEX(对接源_01入库吨位!$H$5:$H$304,MATCH(INT((ROW()-5)/3)+1,对接源_01入库吨位!$S$5:$S$304,0))),IF($D485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5" s="52" t="str">
        <f aca="false">IF($B485="","",ROUND(N($F485)/1000,3))</f>
        <v/>
      </c>
      <c r="H485" s="74"/>
      <c r="I485" s="44"/>
      <c r="J485" s="75" t="str">
        <f aca="false">IF($B485="","",IF($H485="按筐数×单价",N($E485),IF($H485="按总重KG×单价",N($F485),IF($H485="按吨位×单价",N($G485),0))))</f>
        <v/>
      </c>
      <c r="K485" s="41" t="str">
        <f aca="false">IF($B485="","",ROUND(N($J485)*N($I485),2))</f>
        <v/>
      </c>
      <c r="L485" s="42"/>
      <c r="M485" s="76"/>
      <c r="N485" s="43"/>
      <c r="R485" s="77" t="str">
        <f aca="false">IF($B485="","",$B485)</f>
        <v/>
      </c>
      <c r="S485" s="77" t="n">
        <f aca="false">IF($R485="",0,IF(MATCH($R485,$R$5:$R$904,0)=ROW()-4,1,0))</f>
        <v>0</v>
      </c>
      <c r="T485" s="77" t="n">
        <f aca="false">N(T484)+$S485</f>
        <v>18</v>
      </c>
    </row>
    <row r="486" customFormat="false" ht="13.5" hidden="false" customHeight="false" outlineLevel="0" collapsed="false">
      <c r="A486" s="9" t="str">
        <f aca="false">IF($B486="","",ROW()-4)</f>
        <v/>
      </c>
      <c r="B486" s="39" t="str">
        <f aca="false">IFERROR(INDEX(对接源_01入库吨位!$B$5:$B$304,MATCH(INT((ROW()-5)/3)+1,对接源_01入库吨位!$S$5:$S$304,0)),"")</f>
        <v/>
      </c>
      <c r="C486" s="39" t="str">
        <f aca="false">IFERROR(INDEX(对接源_01入库吨位!$C$5:$C$304,MATCH(INT((ROW()-5)/3)+1,对接源_01入库吨位!$S$5:$S$304,0)),"")</f>
        <v/>
      </c>
      <c r="D486" s="40" t="str">
        <f aca="false">IF($B486="","",IF(MOD(ROW()-5,3)=0,"周转打冷",IF(MOD(ROW()-5,3)=1,"仓储加工","装卸费")))</f>
        <v/>
      </c>
      <c r="E486" s="51" t="str">
        <f aca="false">IF($B486="","",IFERROR(IF($D486="周转打冷",N(INDEX(对接源_01入库吨位!$D$5:$D$304,MATCH(INT((ROW()-5)/3)+1,对接源_01入库吨位!$S$5:$S$304,0))),IF($D486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6" s="41" t="str">
        <f aca="false">IF($B486="","",ROUND(IFERROR(IF($D486="周转打冷",N(INDEX(对接源_01入库吨位!$H$5:$H$304,MATCH(INT((ROW()-5)/3)+1,对接源_01入库吨位!$S$5:$S$304,0))),IF($D486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6" s="52" t="str">
        <f aca="false">IF($B486="","",ROUND(N($F486)/1000,3))</f>
        <v/>
      </c>
      <c r="H486" s="74"/>
      <c r="I486" s="44"/>
      <c r="J486" s="75" t="str">
        <f aca="false">IF($B486="","",IF($H486="按筐数×单价",N($E486),IF($H486="按总重KG×单价",N($F486),IF($H486="按吨位×单价",N($G486),0))))</f>
        <v/>
      </c>
      <c r="K486" s="41" t="str">
        <f aca="false">IF($B486="","",ROUND(N($J486)*N($I486),2))</f>
        <v/>
      </c>
      <c r="L486" s="42"/>
      <c r="M486" s="76"/>
      <c r="N486" s="43"/>
      <c r="R486" s="77" t="str">
        <f aca="false">IF($B486="","",$B486)</f>
        <v/>
      </c>
      <c r="S486" s="77" t="n">
        <f aca="false">IF($R486="",0,IF(MATCH($R486,$R$5:$R$904,0)=ROW()-4,1,0))</f>
        <v>0</v>
      </c>
      <c r="T486" s="77" t="n">
        <f aca="false">N(T485)+$S486</f>
        <v>18</v>
      </c>
    </row>
    <row r="487" customFormat="false" ht="13.5" hidden="false" customHeight="false" outlineLevel="0" collapsed="false">
      <c r="A487" s="9" t="str">
        <f aca="false">IF($B487="","",ROW()-4)</f>
        <v/>
      </c>
      <c r="B487" s="39" t="str">
        <f aca="false">IFERROR(INDEX(对接源_01入库吨位!$B$5:$B$304,MATCH(INT((ROW()-5)/3)+1,对接源_01入库吨位!$S$5:$S$304,0)),"")</f>
        <v/>
      </c>
      <c r="C487" s="39" t="str">
        <f aca="false">IFERROR(INDEX(对接源_01入库吨位!$C$5:$C$304,MATCH(INT((ROW()-5)/3)+1,对接源_01入库吨位!$S$5:$S$304,0)),"")</f>
        <v/>
      </c>
      <c r="D487" s="40" t="str">
        <f aca="false">IF($B487="","",IF(MOD(ROW()-5,3)=0,"周转打冷",IF(MOD(ROW()-5,3)=1,"仓储加工","装卸费")))</f>
        <v/>
      </c>
      <c r="E487" s="51" t="str">
        <f aca="false">IF($B487="","",IFERROR(IF($D487="周转打冷",N(INDEX(对接源_01入库吨位!$D$5:$D$304,MATCH(INT((ROW()-5)/3)+1,对接源_01入库吨位!$S$5:$S$304,0))),IF($D487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7" s="41" t="str">
        <f aca="false">IF($B487="","",ROUND(IFERROR(IF($D487="周转打冷",N(INDEX(对接源_01入库吨位!$H$5:$H$304,MATCH(INT((ROW()-5)/3)+1,对接源_01入库吨位!$S$5:$S$304,0))),IF($D487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7" s="52" t="str">
        <f aca="false">IF($B487="","",ROUND(N($F487)/1000,3))</f>
        <v/>
      </c>
      <c r="H487" s="74"/>
      <c r="I487" s="44"/>
      <c r="J487" s="75" t="str">
        <f aca="false">IF($B487="","",IF($H487="按筐数×单价",N($E487),IF($H487="按总重KG×单价",N($F487),IF($H487="按吨位×单价",N($G487),0))))</f>
        <v/>
      </c>
      <c r="K487" s="41" t="str">
        <f aca="false">IF($B487="","",ROUND(N($J487)*N($I487),2))</f>
        <v/>
      </c>
      <c r="L487" s="42"/>
      <c r="M487" s="76"/>
      <c r="N487" s="43"/>
      <c r="R487" s="77" t="str">
        <f aca="false">IF($B487="","",$B487)</f>
        <v/>
      </c>
      <c r="S487" s="77" t="n">
        <f aca="false">IF($R487="",0,IF(MATCH($R487,$R$5:$R$904,0)=ROW()-4,1,0))</f>
        <v>0</v>
      </c>
      <c r="T487" s="77" t="n">
        <f aca="false">N(T486)+$S487</f>
        <v>18</v>
      </c>
    </row>
    <row r="488" customFormat="false" ht="13.5" hidden="false" customHeight="false" outlineLevel="0" collapsed="false">
      <c r="A488" s="9" t="str">
        <f aca="false">IF($B488="","",ROW()-4)</f>
        <v/>
      </c>
      <c r="B488" s="39" t="str">
        <f aca="false">IFERROR(INDEX(对接源_01入库吨位!$B$5:$B$304,MATCH(INT((ROW()-5)/3)+1,对接源_01入库吨位!$S$5:$S$304,0)),"")</f>
        <v/>
      </c>
      <c r="C488" s="39" t="str">
        <f aca="false">IFERROR(INDEX(对接源_01入库吨位!$C$5:$C$304,MATCH(INT((ROW()-5)/3)+1,对接源_01入库吨位!$S$5:$S$304,0)),"")</f>
        <v/>
      </c>
      <c r="D488" s="40" t="str">
        <f aca="false">IF($B488="","",IF(MOD(ROW()-5,3)=0,"周转打冷",IF(MOD(ROW()-5,3)=1,"仓储加工","装卸费")))</f>
        <v/>
      </c>
      <c r="E488" s="51" t="str">
        <f aca="false">IF($B488="","",IFERROR(IF($D488="周转打冷",N(INDEX(对接源_01入库吨位!$D$5:$D$304,MATCH(INT((ROW()-5)/3)+1,对接源_01入库吨位!$S$5:$S$304,0))),IF($D488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8" s="41" t="str">
        <f aca="false">IF($B488="","",ROUND(IFERROR(IF($D488="周转打冷",N(INDEX(对接源_01入库吨位!$H$5:$H$304,MATCH(INT((ROW()-5)/3)+1,对接源_01入库吨位!$S$5:$S$304,0))),IF($D488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8" s="52" t="str">
        <f aca="false">IF($B488="","",ROUND(N($F488)/1000,3))</f>
        <v/>
      </c>
      <c r="H488" s="74"/>
      <c r="I488" s="44"/>
      <c r="J488" s="75" t="str">
        <f aca="false">IF($B488="","",IF($H488="按筐数×单价",N($E488),IF($H488="按总重KG×单价",N($F488),IF($H488="按吨位×单价",N($G488),0))))</f>
        <v/>
      </c>
      <c r="K488" s="41" t="str">
        <f aca="false">IF($B488="","",ROUND(N($J488)*N($I488),2))</f>
        <v/>
      </c>
      <c r="L488" s="42"/>
      <c r="M488" s="76"/>
      <c r="N488" s="43"/>
      <c r="R488" s="77" t="str">
        <f aca="false">IF($B488="","",$B488)</f>
        <v/>
      </c>
      <c r="S488" s="77" t="n">
        <f aca="false">IF($R488="",0,IF(MATCH($R488,$R$5:$R$904,0)=ROW()-4,1,0))</f>
        <v>0</v>
      </c>
      <c r="T488" s="77" t="n">
        <f aca="false">N(T487)+$S488</f>
        <v>18</v>
      </c>
    </row>
    <row r="489" customFormat="false" ht="13.5" hidden="false" customHeight="false" outlineLevel="0" collapsed="false">
      <c r="A489" s="9" t="str">
        <f aca="false">IF($B489="","",ROW()-4)</f>
        <v/>
      </c>
      <c r="B489" s="39" t="str">
        <f aca="false">IFERROR(INDEX(对接源_01入库吨位!$B$5:$B$304,MATCH(INT((ROW()-5)/3)+1,对接源_01入库吨位!$S$5:$S$304,0)),"")</f>
        <v/>
      </c>
      <c r="C489" s="39" t="str">
        <f aca="false">IFERROR(INDEX(对接源_01入库吨位!$C$5:$C$304,MATCH(INT((ROW()-5)/3)+1,对接源_01入库吨位!$S$5:$S$304,0)),"")</f>
        <v/>
      </c>
      <c r="D489" s="40" t="str">
        <f aca="false">IF($B489="","",IF(MOD(ROW()-5,3)=0,"周转打冷",IF(MOD(ROW()-5,3)=1,"仓储加工","装卸费")))</f>
        <v/>
      </c>
      <c r="E489" s="51" t="str">
        <f aca="false">IF($B489="","",IFERROR(IF($D489="周转打冷",N(INDEX(对接源_01入库吨位!$D$5:$D$304,MATCH(INT((ROW()-5)/3)+1,对接源_01入库吨位!$S$5:$S$304,0))),IF($D489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89" s="41" t="str">
        <f aca="false">IF($B489="","",ROUND(IFERROR(IF($D489="周转打冷",N(INDEX(对接源_01入库吨位!$H$5:$H$304,MATCH(INT((ROW()-5)/3)+1,对接源_01入库吨位!$S$5:$S$304,0))),IF($D489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89" s="52" t="str">
        <f aca="false">IF($B489="","",ROUND(N($F489)/1000,3))</f>
        <v/>
      </c>
      <c r="H489" s="74"/>
      <c r="I489" s="44"/>
      <c r="J489" s="75" t="str">
        <f aca="false">IF($B489="","",IF($H489="按筐数×单价",N($E489),IF($H489="按总重KG×单价",N($F489),IF($H489="按吨位×单价",N($G489),0))))</f>
        <v/>
      </c>
      <c r="K489" s="41" t="str">
        <f aca="false">IF($B489="","",ROUND(N($J489)*N($I489),2))</f>
        <v/>
      </c>
      <c r="L489" s="42"/>
      <c r="M489" s="76"/>
      <c r="N489" s="43"/>
      <c r="R489" s="77" t="str">
        <f aca="false">IF($B489="","",$B489)</f>
        <v/>
      </c>
      <c r="S489" s="77" t="n">
        <f aca="false">IF($R489="",0,IF(MATCH($R489,$R$5:$R$904,0)=ROW()-4,1,0))</f>
        <v>0</v>
      </c>
      <c r="T489" s="77" t="n">
        <f aca="false">N(T488)+$S489</f>
        <v>18</v>
      </c>
    </row>
    <row r="490" customFormat="false" ht="13.5" hidden="false" customHeight="false" outlineLevel="0" collapsed="false">
      <c r="A490" s="9" t="str">
        <f aca="false">IF($B490="","",ROW()-4)</f>
        <v/>
      </c>
      <c r="B490" s="39" t="str">
        <f aca="false">IFERROR(INDEX(对接源_01入库吨位!$B$5:$B$304,MATCH(INT((ROW()-5)/3)+1,对接源_01入库吨位!$S$5:$S$304,0)),"")</f>
        <v/>
      </c>
      <c r="C490" s="39" t="str">
        <f aca="false">IFERROR(INDEX(对接源_01入库吨位!$C$5:$C$304,MATCH(INT((ROW()-5)/3)+1,对接源_01入库吨位!$S$5:$S$304,0)),"")</f>
        <v/>
      </c>
      <c r="D490" s="40" t="str">
        <f aca="false">IF($B490="","",IF(MOD(ROW()-5,3)=0,"周转打冷",IF(MOD(ROW()-5,3)=1,"仓储加工","装卸费")))</f>
        <v/>
      </c>
      <c r="E490" s="51" t="str">
        <f aca="false">IF($B490="","",IFERROR(IF($D490="周转打冷",N(INDEX(对接源_01入库吨位!$D$5:$D$304,MATCH(INT((ROW()-5)/3)+1,对接源_01入库吨位!$S$5:$S$304,0))),IF($D490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0" s="41" t="str">
        <f aca="false">IF($B490="","",ROUND(IFERROR(IF($D490="周转打冷",N(INDEX(对接源_01入库吨位!$H$5:$H$304,MATCH(INT((ROW()-5)/3)+1,对接源_01入库吨位!$S$5:$S$304,0))),IF($D490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0" s="52" t="str">
        <f aca="false">IF($B490="","",ROUND(N($F490)/1000,3))</f>
        <v/>
      </c>
      <c r="H490" s="74"/>
      <c r="I490" s="44"/>
      <c r="J490" s="75" t="str">
        <f aca="false">IF($B490="","",IF($H490="按筐数×单价",N($E490),IF($H490="按总重KG×单价",N($F490),IF($H490="按吨位×单价",N($G490),0))))</f>
        <v/>
      </c>
      <c r="K490" s="41" t="str">
        <f aca="false">IF($B490="","",ROUND(N($J490)*N($I490),2))</f>
        <v/>
      </c>
      <c r="L490" s="42"/>
      <c r="M490" s="76"/>
      <c r="N490" s="43"/>
      <c r="R490" s="77" t="str">
        <f aca="false">IF($B490="","",$B490)</f>
        <v/>
      </c>
      <c r="S490" s="77" t="n">
        <f aca="false">IF($R490="",0,IF(MATCH($R490,$R$5:$R$904,0)=ROW()-4,1,0))</f>
        <v>0</v>
      </c>
      <c r="T490" s="77" t="n">
        <f aca="false">N(T489)+$S490</f>
        <v>18</v>
      </c>
    </row>
    <row r="491" customFormat="false" ht="13.5" hidden="false" customHeight="false" outlineLevel="0" collapsed="false">
      <c r="A491" s="9" t="str">
        <f aca="false">IF($B491="","",ROW()-4)</f>
        <v/>
      </c>
      <c r="B491" s="39" t="str">
        <f aca="false">IFERROR(INDEX(对接源_01入库吨位!$B$5:$B$304,MATCH(INT((ROW()-5)/3)+1,对接源_01入库吨位!$S$5:$S$304,0)),"")</f>
        <v/>
      </c>
      <c r="C491" s="39" t="str">
        <f aca="false">IFERROR(INDEX(对接源_01入库吨位!$C$5:$C$304,MATCH(INT((ROW()-5)/3)+1,对接源_01入库吨位!$S$5:$S$304,0)),"")</f>
        <v/>
      </c>
      <c r="D491" s="40" t="str">
        <f aca="false">IF($B491="","",IF(MOD(ROW()-5,3)=0,"周转打冷",IF(MOD(ROW()-5,3)=1,"仓储加工","装卸费")))</f>
        <v/>
      </c>
      <c r="E491" s="51" t="str">
        <f aca="false">IF($B491="","",IFERROR(IF($D491="周转打冷",N(INDEX(对接源_01入库吨位!$D$5:$D$304,MATCH(INT((ROW()-5)/3)+1,对接源_01入库吨位!$S$5:$S$304,0))),IF($D491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1" s="41" t="str">
        <f aca="false">IF($B491="","",ROUND(IFERROR(IF($D491="周转打冷",N(INDEX(对接源_01入库吨位!$H$5:$H$304,MATCH(INT((ROW()-5)/3)+1,对接源_01入库吨位!$S$5:$S$304,0))),IF($D491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1" s="52" t="str">
        <f aca="false">IF($B491="","",ROUND(N($F491)/1000,3))</f>
        <v/>
      </c>
      <c r="H491" s="74"/>
      <c r="I491" s="44"/>
      <c r="J491" s="75" t="str">
        <f aca="false">IF($B491="","",IF($H491="按筐数×单价",N($E491),IF($H491="按总重KG×单价",N($F491),IF($H491="按吨位×单价",N($G491),0))))</f>
        <v/>
      </c>
      <c r="K491" s="41" t="str">
        <f aca="false">IF($B491="","",ROUND(N($J491)*N($I491),2))</f>
        <v/>
      </c>
      <c r="L491" s="42"/>
      <c r="M491" s="76"/>
      <c r="N491" s="43"/>
      <c r="R491" s="77" t="str">
        <f aca="false">IF($B491="","",$B491)</f>
        <v/>
      </c>
      <c r="S491" s="77" t="n">
        <f aca="false">IF($R491="",0,IF(MATCH($R491,$R$5:$R$904,0)=ROW()-4,1,0))</f>
        <v>0</v>
      </c>
      <c r="T491" s="77" t="n">
        <f aca="false">N(T490)+$S491</f>
        <v>18</v>
      </c>
    </row>
    <row r="492" customFormat="false" ht="13.5" hidden="false" customHeight="false" outlineLevel="0" collapsed="false">
      <c r="A492" s="9" t="str">
        <f aca="false">IF($B492="","",ROW()-4)</f>
        <v/>
      </c>
      <c r="B492" s="39" t="str">
        <f aca="false">IFERROR(INDEX(对接源_01入库吨位!$B$5:$B$304,MATCH(INT((ROW()-5)/3)+1,对接源_01入库吨位!$S$5:$S$304,0)),"")</f>
        <v/>
      </c>
      <c r="C492" s="39" t="str">
        <f aca="false">IFERROR(INDEX(对接源_01入库吨位!$C$5:$C$304,MATCH(INT((ROW()-5)/3)+1,对接源_01入库吨位!$S$5:$S$304,0)),"")</f>
        <v/>
      </c>
      <c r="D492" s="40" t="str">
        <f aca="false">IF($B492="","",IF(MOD(ROW()-5,3)=0,"周转打冷",IF(MOD(ROW()-5,3)=1,"仓储加工","装卸费")))</f>
        <v/>
      </c>
      <c r="E492" s="51" t="str">
        <f aca="false">IF($B492="","",IFERROR(IF($D492="周转打冷",N(INDEX(对接源_01入库吨位!$D$5:$D$304,MATCH(INT((ROW()-5)/3)+1,对接源_01入库吨位!$S$5:$S$304,0))),IF($D492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2" s="41" t="str">
        <f aca="false">IF($B492="","",ROUND(IFERROR(IF($D492="周转打冷",N(INDEX(对接源_01入库吨位!$H$5:$H$304,MATCH(INT((ROW()-5)/3)+1,对接源_01入库吨位!$S$5:$S$304,0))),IF($D492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2" s="52" t="str">
        <f aca="false">IF($B492="","",ROUND(N($F492)/1000,3))</f>
        <v/>
      </c>
      <c r="H492" s="74"/>
      <c r="I492" s="44"/>
      <c r="J492" s="75" t="str">
        <f aca="false">IF($B492="","",IF($H492="按筐数×单价",N($E492),IF($H492="按总重KG×单价",N($F492),IF($H492="按吨位×单价",N($G492),0))))</f>
        <v/>
      </c>
      <c r="K492" s="41" t="str">
        <f aca="false">IF($B492="","",ROUND(N($J492)*N($I492),2))</f>
        <v/>
      </c>
      <c r="L492" s="42"/>
      <c r="M492" s="76"/>
      <c r="N492" s="43"/>
      <c r="R492" s="77" t="str">
        <f aca="false">IF($B492="","",$B492)</f>
        <v/>
      </c>
      <c r="S492" s="77" t="n">
        <f aca="false">IF($R492="",0,IF(MATCH($R492,$R$5:$R$904,0)=ROW()-4,1,0))</f>
        <v>0</v>
      </c>
      <c r="T492" s="77" t="n">
        <f aca="false">N(T491)+$S492</f>
        <v>18</v>
      </c>
    </row>
    <row r="493" customFormat="false" ht="13.5" hidden="false" customHeight="false" outlineLevel="0" collapsed="false">
      <c r="A493" s="9" t="str">
        <f aca="false">IF($B493="","",ROW()-4)</f>
        <v/>
      </c>
      <c r="B493" s="39" t="str">
        <f aca="false">IFERROR(INDEX(对接源_01入库吨位!$B$5:$B$304,MATCH(INT((ROW()-5)/3)+1,对接源_01入库吨位!$S$5:$S$304,0)),"")</f>
        <v/>
      </c>
      <c r="C493" s="39" t="str">
        <f aca="false">IFERROR(INDEX(对接源_01入库吨位!$C$5:$C$304,MATCH(INT((ROW()-5)/3)+1,对接源_01入库吨位!$S$5:$S$304,0)),"")</f>
        <v/>
      </c>
      <c r="D493" s="40" t="str">
        <f aca="false">IF($B493="","",IF(MOD(ROW()-5,3)=0,"周转打冷",IF(MOD(ROW()-5,3)=1,"仓储加工","装卸费")))</f>
        <v/>
      </c>
      <c r="E493" s="51" t="str">
        <f aca="false">IF($B493="","",IFERROR(IF($D493="周转打冷",N(INDEX(对接源_01入库吨位!$D$5:$D$304,MATCH(INT((ROW()-5)/3)+1,对接源_01入库吨位!$S$5:$S$304,0))),IF($D493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3" s="41" t="str">
        <f aca="false">IF($B493="","",ROUND(IFERROR(IF($D493="周转打冷",N(INDEX(对接源_01入库吨位!$H$5:$H$304,MATCH(INT((ROW()-5)/3)+1,对接源_01入库吨位!$S$5:$S$304,0))),IF($D493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3" s="52" t="str">
        <f aca="false">IF($B493="","",ROUND(N($F493)/1000,3))</f>
        <v/>
      </c>
      <c r="H493" s="74"/>
      <c r="I493" s="44"/>
      <c r="J493" s="75" t="str">
        <f aca="false">IF($B493="","",IF($H493="按筐数×单价",N($E493),IF($H493="按总重KG×单价",N($F493),IF($H493="按吨位×单价",N($G493),0))))</f>
        <v/>
      </c>
      <c r="K493" s="41" t="str">
        <f aca="false">IF($B493="","",ROUND(N($J493)*N($I493),2))</f>
        <v/>
      </c>
      <c r="L493" s="42"/>
      <c r="M493" s="76"/>
      <c r="N493" s="43"/>
      <c r="R493" s="77" t="str">
        <f aca="false">IF($B493="","",$B493)</f>
        <v/>
      </c>
      <c r="S493" s="77" t="n">
        <f aca="false">IF($R493="",0,IF(MATCH($R493,$R$5:$R$904,0)=ROW()-4,1,0))</f>
        <v>0</v>
      </c>
      <c r="T493" s="77" t="n">
        <f aca="false">N(T492)+$S493</f>
        <v>18</v>
      </c>
    </row>
    <row r="494" customFormat="false" ht="13.5" hidden="false" customHeight="false" outlineLevel="0" collapsed="false">
      <c r="A494" s="9" t="str">
        <f aca="false">IF($B494="","",ROW()-4)</f>
        <v/>
      </c>
      <c r="B494" s="39" t="str">
        <f aca="false">IFERROR(INDEX(对接源_01入库吨位!$B$5:$B$304,MATCH(INT((ROW()-5)/3)+1,对接源_01入库吨位!$S$5:$S$304,0)),"")</f>
        <v/>
      </c>
      <c r="C494" s="39" t="str">
        <f aca="false">IFERROR(INDEX(对接源_01入库吨位!$C$5:$C$304,MATCH(INT((ROW()-5)/3)+1,对接源_01入库吨位!$S$5:$S$304,0)),"")</f>
        <v/>
      </c>
      <c r="D494" s="40" t="str">
        <f aca="false">IF($B494="","",IF(MOD(ROW()-5,3)=0,"周转打冷",IF(MOD(ROW()-5,3)=1,"仓储加工","装卸费")))</f>
        <v/>
      </c>
      <c r="E494" s="51" t="str">
        <f aca="false">IF($B494="","",IFERROR(IF($D494="周转打冷",N(INDEX(对接源_01入库吨位!$D$5:$D$304,MATCH(INT((ROW()-5)/3)+1,对接源_01入库吨位!$S$5:$S$304,0))),IF($D494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4" s="41" t="str">
        <f aca="false">IF($B494="","",ROUND(IFERROR(IF($D494="周转打冷",N(INDEX(对接源_01入库吨位!$H$5:$H$304,MATCH(INT((ROW()-5)/3)+1,对接源_01入库吨位!$S$5:$S$304,0))),IF($D494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4" s="52" t="str">
        <f aca="false">IF($B494="","",ROUND(N($F494)/1000,3))</f>
        <v/>
      </c>
      <c r="H494" s="74"/>
      <c r="I494" s="44"/>
      <c r="J494" s="75" t="str">
        <f aca="false">IF($B494="","",IF($H494="按筐数×单价",N($E494),IF($H494="按总重KG×单价",N($F494),IF($H494="按吨位×单价",N($G494),0))))</f>
        <v/>
      </c>
      <c r="K494" s="41" t="str">
        <f aca="false">IF($B494="","",ROUND(N($J494)*N($I494),2))</f>
        <v/>
      </c>
      <c r="L494" s="42"/>
      <c r="M494" s="76"/>
      <c r="N494" s="43"/>
      <c r="R494" s="77" t="str">
        <f aca="false">IF($B494="","",$B494)</f>
        <v/>
      </c>
      <c r="S494" s="77" t="n">
        <f aca="false">IF($R494="",0,IF(MATCH($R494,$R$5:$R$904,0)=ROW()-4,1,0))</f>
        <v>0</v>
      </c>
      <c r="T494" s="77" t="n">
        <f aca="false">N(T493)+$S494</f>
        <v>18</v>
      </c>
    </row>
    <row r="495" customFormat="false" ht="13.5" hidden="false" customHeight="false" outlineLevel="0" collapsed="false">
      <c r="A495" s="9" t="str">
        <f aca="false">IF($B495="","",ROW()-4)</f>
        <v/>
      </c>
      <c r="B495" s="39" t="str">
        <f aca="false">IFERROR(INDEX(对接源_01入库吨位!$B$5:$B$304,MATCH(INT((ROW()-5)/3)+1,对接源_01入库吨位!$S$5:$S$304,0)),"")</f>
        <v/>
      </c>
      <c r="C495" s="39" t="str">
        <f aca="false">IFERROR(INDEX(对接源_01入库吨位!$C$5:$C$304,MATCH(INT((ROW()-5)/3)+1,对接源_01入库吨位!$S$5:$S$304,0)),"")</f>
        <v/>
      </c>
      <c r="D495" s="40" t="str">
        <f aca="false">IF($B495="","",IF(MOD(ROW()-5,3)=0,"周转打冷",IF(MOD(ROW()-5,3)=1,"仓储加工","装卸费")))</f>
        <v/>
      </c>
      <c r="E495" s="51" t="str">
        <f aca="false">IF($B495="","",IFERROR(IF($D495="周转打冷",N(INDEX(对接源_01入库吨位!$D$5:$D$304,MATCH(INT((ROW()-5)/3)+1,对接源_01入库吨位!$S$5:$S$304,0))),IF($D495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5" s="41" t="str">
        <f aca="false">IF($B495="","",ROUND(IFERROR(IF($D495="周转打冷",N(INDEX(对接源_01入库吨位!$H$5:$H$304,MATCH(INT((ROW()-5)/3)+1,对接源_01入库吨位!$S$5:$S$304,0))),IF($D495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5" s="52" t="str">
        <f aca="false">IF($B495="","",ROUND(N($F495)/1000,3))</f>
        <v/>
      </c>
      <c r="H495" s="74"/>
      <c r="I495" s="44"/>
      <c r="J495" s="75" t="str">
        <f aca="false">IF($B495="","",IF($H495="按筐数×单价",N($E495),IF($H495="按总重KG×单价",N($F495),IF($H495="按吨位×单价",N($G495),0))))</f>
        <v/>
      </c>
      <c r="K495" s="41" t="str">
        <f aca="false">IF($B495="","",ROUND(N($J495)*N($I495),2))</f>
        <v/>
      </c>
      <c r="L495" s="42"/>
      <c r="M495" s="76"/>
      <c r="N495" s="43"/>
      <c r="R495" s="77" t="str">
        <f aca="false">IF($B495="","",$B495)</f>
        <v/>
      </c>
      <c r="S495" s="77" t="n">
        <f aca="false">IF($R495="",0,IF(MATCH($R495,$R$5:$R$904,0)=ROW()-4,1,0))</f>
        <v>0</v>
      </c>
      <c r="T495" s="77" t="n">
        <f aca="false">N(T494)+$S495</f>
        <v>18</v>
      </c>
    </row>
    <row r="496" customFormat="false" ht="13.5" hidden="false" customHeight="false" outlineLevel="0" collapsed="false">
      <c r="A496" s="9" t="str">
        <f aca="false">IF($B496="","",ROW()-4)</f>
        <v/>
      </c>
      <c r="B496" s="39" t="str">
        <f aca="false">IFERROR(INDEX(对接源_01入库吨位!$B$5:$B$304,MATCH(INT((ROW()-5)/3)+1,对接源_01入库吨位!$S$5:$S$304,0)),"")</f>
        <v/>
      </c>
      <c r="C496" s="39" t="str">
        <f aca="false">IFERROR(INDEX(对接源_01入库吨位!$C$5:$C$304,MATCH(INT((ROW()-5)/3)+1,对接源_01入库吨位!$S$5:$S$304,0)),"")</f>
        <v/>
      </c>
      <c r="D496" s="40" t="str">
        <f aca="false">IF($B496="","",IF(MOD(ROW()-5,3)=0,"周转打冷",IF(MOD(ROW()-5,3)=1,"仓储加工","装卸费")))</f>
        <v/>
      </c>
      <c r="E496" s="51" t="str">
        <f aca="false">IF($B496="","",IFERROR(IF($D496="周转打冷",N(INDEX(对接源_01入库吨位!$D$5:$D$304,MATCH(INT((ROW()-5)/3)+1,对接源_01入库吨位!$S$5:$S$304,0))),IF($D496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6" s="41" t="str">
        <f aca="false">IF($B496="","",ROUND(IFERROR(IF($D496="周转打冷",N(INDEX(对接源_01入库吨位!$H$5:$H$304,MATCH(INT((ROW()-5)/3)+1,对接源_01入库吨位!$S$5:$S$304,0))),IF($D496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6" s="52" t="str">
        <f aca="false">IF($B496="","",ROUND(N($F496)/1000,3))</f>
        <v/>
      </c>
      <c r="H496" s="74"/>
      <c r="I496" s="44"/>
      <c r="J496" s="75" t="str">
        <f aca="false">IF($B496="","",IF($H496="按筐数×单价",N($E496),IF($H496="按总重KG×单价",N($F496),IF($H496="按吨位×单价",N($G496),0))))</f>
        <v/>
      </c>
      <c r="K496" s="41" t="str">
        <f aca="false">IF($B496="","",ROUND(N($J496)*N($I496),2))</f>
        <v/>
      </c>
      <c r="L496" s="42"/>
      <c r="M496" s="76"/>
      <c r="N496" s="43"/>
      <c r="R496" s="77" t="str">
        <f aca="false">IF($B496="","",$B496)</f>
        <v/>
      </c>
      <c r="S496" s="77" t="n">
        <f aca="false">IF($R496="",0,IF(MATCH($R496,$R$5:$R$904,0)=ROW()-4,1,0))</f>
        <v>0</v>
      </c>
      <c r="T496" s="77" t="n">
        <f aca="false">N(T495)+$S496</f>
        <v>18</v>
      </c>
    </row>
    <row r="497" customFormat="false" ht="13.5" hidden="false" customHeight="false" outlineLevel="0" collapsed="false">
      <c r="A497" s="9" t="str">
        <f aca="false">IF($B497="","",ROW()-4)</f>
        <v/>
      </c>
      <c r="B497" s="39" t="str">
        <f aca="false">IFERROR(INDEX(对接源_01入库吨位!$B$5:$B$304,MATCH(INT((ROW()-5)/3)+1,对接源_01入库吨位!$S$5:$S$304,0)),"")</f>
        <v/>
      </c>
      <c r="C497" s="39" t="str">
        <f aca="false">IFERROR(INDEX(对接源_01入库吨位!$C$5:$C$304,MATCH(INT((ROW()-5)/3)+1,对接源_01入库吨位!$S$5:$S$304,0)),"")</f>
        <v/>
      </c>
      <c r="D497" s="40" t="str">
        <f aca="false">IF($B497="","",IF(MOD(ROW()-5,3)=0,"周转打冷",IF(MOD(ROW()-5,3)=1,"仓储加工","装卸费")))</f>
        <v/>
      </c>
      <c r="E497" s="51" t="str">
        <f aca="false">IF($B497="","",IFERROR(IF($D497="周转打冷",N(INDEX(对接源_01入库吨位!$D$5:$D$304,MATCH(INT((ROW()-5)/3)+1,对接源_01入库吨位!$S$5:$S$304,0))),IF($D497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7" s="41" t="str">
        <f aca="false">IF($B497="","",ROUND(IFERROR(IF($D497="周转打冷",N(INDEX(对接源_01入库吨位!$H$5:$H$304,MATCH(INT((ROW()-5)/3)+1,对接源_01入库吨位!$S$5:$S$304,0))),IF($D497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7" s="52" t="str">
        <f aca="false">IF($B497="","",ROUND(N($F497)/1000,3))</f>
        <v/>
      </c>
      <c r="H497" s="74"/>
      <c r="I497" s="44"/>
      <c r="J497" s="75" t="str">
        <f aca="false">IF($B497="","",IF($H497="按筐数×单价",N($E497),IF($H497="按总重KG×单价",N($F497),IF($H497="按吨位×单价",N($G497),0))))</f>
        <v/>
      </c>
      <c r="K497" s="41" t="str">
        <f aca="false">IF($B497="","",ROUND(N($J497)*N($I497),2))</f>
        <v/>
      </c>
      <c r="L497" s="42"/>
      <c r="M497" s="76"/>
      <c r="N497" s="43"/>
      <c r="R497" s="77" t="str">
        <f aca="false">IF($B497="","",$B497)</f>
        <v/>
      </c>
      <c r="S497" s="77" t="n">
        <f aca="false">IF($R497="",0,IF(MATCH($R497,$R$5:$R$904,0)=ROW()-4,1,0))</f>
        <v>0</v>
      </c>
      <c r="T497" s="77" t="n">
        <f aca="false">N(T496)+$S497</f>
        <v>18</v>
      </c>
    </row>
    <row r="498" customFormat="false" ht="13.5" hidden="false" customHeight="false" outlineLevel="0" collapsed="false">
      <c r="A498" s="9" t="str">
        <f aca="false">IF($B498="","",ROW()-4)</f>
        <v/>
      </c>
      <c r="B498" s="39" t="str">
        <f aca="false">IFERROR(INDEX(对接源_01入库吨位!$B$5:$B$304,MATCH(INT((ROW()-5)/3)+1,对接源_01入库吨位!$S$5:$S$304,0)),"")</f>
        <v/>
      </c>
      <c r="C498" s="39" t="str">
        <f aca="false">IFERROR(INDEX(对接源_01入库吨位!$C$5:$C$304,MATCH(INT((ROW()-5)/3)+1,对接源_01入库吨位!$S$5:$S$304,0)),"")</f>
        <v/>
      </c>
      <c r="D498" s="40" t="str">
        <f aca="false">IF($B498="","",IF(MOD(ROW()-5,3)=0,"周转打冷",IF(MOD(ROW()-5,3)=1,"仓储加工","装卸费")))</f>
        <v/>
      </c>
      <c r="E498" s="51" t="str">
        <f aca="false">IF($B498="","",IFERROR(IF($D498="周转打冷",N(INDEX(对接源_01入库吨位!$D$5:$D$304,MATCH(INT((ROW()-5)/3)+1,对接源_01入库吨位!$S$5:$S$304,0))),IF($D498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8" s="41" t="str">
        <f aca="false">IF($B498="","",ROUND(IFERROR(IF($D498="周转打冷",N(INDEX(对接源_01入库吨位!$H$5:$H$304,MATCH(INT((ROW()-5)/3)+1,对接源_01入库吨位!$S$5:$S$304,0))),IF($D498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8" s="52" t="str">
        <f aca="false">IF($B498="","",ROUND(N($F498)/1000,3))</f>
        <v/>
      </c>
      <c r="H498" s="74"/>
      <c r="I498" s="44"/>
      <c r="J498" s="75" t="str">
        <f aca="false">IF($B498="","",IF($H498="按筐数×单价",N($E498),IF($H498="按总重KG×单价",N($F498),IF($H498="按吨位×单价",N($G498),0))))</f>
        <v/>
      </c>
      <c r="K498" s="41" t="str">
        <f aca="false">IF($B498="","",ROUND(N($J498)*N($I498),2))</f>
        <v/>
      </c>
      <c r="L498" s="42"/>
      <c r="M498" s="76"/>
      <c r="N498" s="43"/>
      <c r="R498" s="77" t="str">
        <f aca="false">IF($B498="","",$B498)</f>
        <v/>
      </c>
      <c r="S498" s="77" t="n">
        <f aca="false">IF($R498="",0,IF(MATCH($R498,$R$5:$R$904,0)=ROW()-4,1,0))</f>
        <v>0</v>
      </c>
      <c r="T498" s="77" t="n">
        <f aca="false">N(T497)+$S498</f>
        <v>18</v>
      </c>
    </row>
    <row r="499" customFormat="false" ht="13.5" hidden="false" customHeight="false" outlineLevel="0" collapsed="false">
      <c r="A499" s="9" t="str">
        <f aca="false">IF($B499="","",ROW()-4)</f>
        <v/>
      </c>
      <c r="B499" s="39" t="str">
        <f aca="false">IFERROR(INDEX(对接源_01入库吨位!$B$5:$B$304,MATCH(INT((ROW()-5)/3)+1,对接源_01入库吨位!$S$5:$S$304,0)),"")</f>
        <v/>
      </c>
      <c r="C499" s="39" t="str">
        <f aca="false">IFERROR(INDEX(对接源_01入库吨位!$C$5:$C$304,MATCH(INT((ROW()-5)/3)+1,对接源_01入库吨位!$S$5:$S$304,0)),"")</f>
        <v/>
      </c>
      <c r="D499" s="40" t="str">
        <f aca="false">IF($B499="","",IF(MOD(ROW()-5,3)=0,"周转打冷",IF(MOD(ROW()-5,3)=1,"仓储加工","装卸费")))</f>
        <v/>
      </c>
      <c r="E499" s="51" t="str">
        <f aca="false">IF($B499="","",IFERROR(IF($D499="周转打冷",N(INDEX(对接源_01入库吨位!$D$5:$D$304,MATCH(INT((ROW()-5)/3)+1,对接源_01入库吨位!$S$5:$S$304,0))),IF($D499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499" s="41" t="str">
        <f aca="false">IF($B499="","",ROUND(IFERROR(IF($D499="周转打冷",N(INDEX(对接源_01入库吨位!$H$5:$H$304,MATCH(INT((ROW()-5)/3)+1,对接源_01入库吨位!$S$5:$S$304,0))),IF($D499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499" s="52" t="str">
        <f aca="false">IF($B499="","",ROUND(N($F499)/1000,3))</f>
        <v/>
      </c>
      <c r="H499" s="74"/>
      <c r="I499" s="44"/>
      <c r="J499" s="75" t="str">
        <f aca="false">IF($B499="","",IF($H499="按筐数×单价",N($E499),IF($H499="按总重KG×单价",N($F499),IF($H499="按吨位×单价",N($G499),0))))</f>
        <v/>
      </c>
      <c r="K499" s="41" t="str">
        <f aca="false">IF($B499="","",ROUND(N($J499)*N($I499),2))</f>
        <v/>
      </c>
      <c r="L499" s="42"/>
      <c r="M499" s="76"/>
      <c r="N499" s="43"/>
      <c r="R499" s="77" t="str">
        <f aca="false">IF($B499="","",$B499)</f>
        <v/>
      </c>
      <c r="S499" s="77" t="n">
        <f aca="false">IF($R499="",0,IF(MATCH($R499,$R$5:$R$904,0)=ROW()-4,1,0))</f>
        <v>0</v>
      </c>
      <c r="T499" s="77" t="n">
        <f aca="false">N(T498)+$S499</f>
        <v>18</v>
      </c>
    </row>
    <row r="500" customFormat="false" ht="13.5" hidden="false" customHeight="false" outlineLevel="0" collapsed="false">
      <c r="A500" s="9" t="str">
        <f aca="false">IF($B500="","",ROW()-4)</f>
        <v/>
      </c>
      <c r="B500" s="39" t="str">
        <f aca="false">IFERROR(INDEX(对接源_01入库吨位!$B$5:$B$304,MATCH(INT((ROW()-5)/3)+1,对接源_01入库吨位!$S$5:$S$304,0)),"")</f>
        <v/>
      </c>
      <c r="C500" s="39" t="str">
        <f aca="false">IFERROR(INDEX(对接源_01入库吨位!$C$5:$C$304,MATCH(INT((ROW()-5)/3)+1,对接源_01入库吨位!$S$5:$S$304,0)),"")</f>
        <v/>
      </c>
      <c r="D500" s="40" t="str">
        <f aca="false">IF($B500="","",IF(MOD(ROW()-5,3)=0,"周转打冷",IF(MOD(ROW()-5,3)=1,"仓储加工","装卸费")))</f>
        <v/>
      </c>
      <c r="E500" s="51" t="str">
        <f aca="false">IF($B500="","",IFERROR(IF($D500="周转打冷",N(INDEX(对接源_01入库吨位!$D$5:$D$304,MATCH(INT((ROW()-5)/3)+1,对接源_01入库吨位!$S$5:$S$304,0))),IF($D500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0" s="41" t="str">
        <f aca="false">IF($B500="","",ROUND(IFERROR(IF($D500="周转打冷",N(INDEX(对接源_01入库吨位!$H$5:$H$304,MATCH(INT((ROW()-5)/3)+1,对接源_01入库吨位!$S$5:$S$304,0))),IF($D500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0" s="52" t="str">
        <f aca="false">IF($B500="","",ROUND(N($F500)/1000,3))</f>
        <v/>
      </c>
      <c r="H500" s="74"/>
      <c r="I500" s="44"/>
      <c r="J500" s="75" t="str">
        <f aca="false">IF($B500="","",IF($H500="按筐数×单价",N($E500),IF($H500="按总重KG×单价",N($F500),IF($H500="按吨位×单价",N($G500),0))))</f>
        <v/>
      </c>
      <c r="K500" s="41" t="str">
        <f aca="false">IF($B500="","",ROUND(N($J500)*N($I500),2))</f>
        <v/>
      </c>
      <c r="L500" s="42"/>
      <c r="M500" s="76"/>
      <c r="N500" s="43"/>
      <c r="R500" s="77" t="str">
        <f aca="false">IF($B500="","",$B500)</f>
        <v/>
      </c>
      <c r="S500" s="77" t="n">
        <f aca="false">IF($R500="",0,IF(MATCH($R500,$R$5:$R$904,0)=ROW()-4,1,0))</f>
        <v>0</v>
      </c>
      <c r="T500" s="77" t="n">
        <f aca="false">N(T499)+$S500</f>
        <v>18</v>
      </c>
    </row>
    <row r="501" customFormat="false" ht="13.5" hidden="false" customHeight="false" outlineLevel="0" collapsed="false">
      <c r="A501" s="9" t="str">
        <f aca="false">IF($B501="","",ROW()-4)</f>
        <v/>
      </c>
      <c r="B501" s="39" t="str">
        <f aca="false">IFERROR(INDEX(对接源_01入库吨位!$B$5:$B$304,MATCH(INT((ROW()-5)/3)+1,对接源_01入库吨位!$S$5:$S$304,0)),"")</f>
        <v/>
      </c>
      <c r="C501" s="39" t="str">
        <f aca="false">IFERROR(INDEX(对接源_01入库吨位!$C$5:$C$304,MATCH(INT((ROW()-5)/3)+1,对接源_01入库吨位!$S$5:$S$304,0)),"")</f>
        <v/>
      </c>
      <c r="D501" s="40" t="str">
        <f aca="false">IF($B501="","",IF(MOD(ROW()-5,3)=0,"周转打冷",IF(MOD(ROW()-5,3)=1,"仓储加工","装卸费")))</f>
        <v/>
      </c>
      <c r="E501" s="51" t="str">
        <f aca="false">IF($B501="","",IFERROR(IF($D501="周转打冷",N(INDEX(对接源_01入库吨位!$D$5:$D$304,MATCH(INT((ROW()-5)/3)+1,对接源_01入库吨位!$S$5:$S$304,0))),IF($D501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1" s="41" t="str">
        <f aca="false">IF($B501="","",ROUND(IFERROR(IF($D501="周转打冷",N(INDEX(对接源_01入库吨位!$H$5:$H$304,MATCH(INT((ROW()-5)/3)+1,对接源_01入库吨位!$S$5:$S$304,0))),IF($D501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1" s="52" t="str">
        <f aca="false">IF($B501="","",ROUND(N($F501)/1000,3))</f>
        <v/>
      </c>
      <c r="H501" s="74"/>
      <c r="I501" s="44"/>
      <c r="J501" s="75" t="str">
        <f aca="false">IF($B501="","",IF($H501="按筐数×单价",N($E501),IF($H501="按总重KG×单价",N($F501),IF($H501="按吨位×单价",N($G501),0))))</f>
        <v/>
      </c>
      <c r="K501" s="41" t="str">
        <f aca="false">IF($B501="","",ROUND(N($J501)*N($I501),2))</f>
        <v/>
      </c>
      <c r="L501" s="42"/>
      <c r="M501" s="76"/>
      <c r="N501" s="43"/>
      <c r="R501" s="77" t="str">
        <f aca="false">IF($B501="","",$B501)</f>
        <v/>
      </c>
      <c r="S501" s="77" t="n">
        <f aca="false">IF($R501="",0,IF(MATCH($R501,$R$5:$R$904,0)=ROW()-4,1,0))</f>
        <v>0</v>
      </c>
      <c r="T501" s="77" t="n">
        <f aca="false">N(T500)+$S501</f>
        <v>18</v>
      </c>
    </row>
    <row r="502" customFormat="false" ht="13.5" hidden="false" customHeight="false" outlineLevel="0" collapsed="false">
      <c r="A502" s="9" t="str">
        <f aca="false">IF($B502="","",ROW()-4)</f>
        <v/>
      </c>
      <c r="B502" s="39" t="str">
        <f aca="false">IFERROR(INDEX(对接源_01入库吨位!$B$5:$B$304,MATCH(INT((ROW()-5)/3)+1,对接源_01入库吨位!$S$5:$S$304,0)),"")</f>
        <v/>
      </c>
      <c r="C502" s="39" t="str">
        <f aca="false">IFERROR(INDEX(对接源_01入库吨位!$C$5:$C$304,MATCH(INT((ROW()-5)/3)+1,对接源_01入库吨位!$S$5:$S$304,0)),"")</f>
        <v/>
      </c>
      <c r="D502" s="40" t="str">
        <f aca="false">IF($B502="","",IF(MOD(ROW()-5,3)=0,"周转打冷",IF(MOD(ROW()-5,3)=1,"仓储加工","装卸费")))</f>
        <v/>
      </c>
      <c r="E502" s="51" t="str">
        <f aca="false">IF($B502="","",IFERROR(IF($D502="周转打冷",N(INDEX(对接源_01入库吨位!$D$5:$D$304,MATCH(INT((ROW()-5)/3)+1,对接源_01入库吨位!$S$5:$S$304,0))),IF($D502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2" s="41" t="str">
        <f aca="false">IF($B502="","",ROUND(IFERROR(IF($D502="周转打冷",N(INDEX(对接源_01入库吨位!$H$5:$H$304,MATCH(INT((ROW()-5)/3)+1,对接源_01入库吨位!$S$5:$S$304,0))),IF($D502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2" s="52" t="str">
        <f aca="false">IF($B502="","",ROUND(N($F502)/1000,3))</f>
        <v/>
      </c>
      <c r="H502" s="74"/>
      <c r="I502" s="44"/>
      <c r="J502" s="75" t="str">
        <f aca="false">IF($B502="","",IF($H502="按筐数×单价",N($E502),IF($H502="按总重KG×单价",N($F502),IF($H502="按吨位×单价",N($G502),0))))</f>
        <v/>
      </c>
      <c r="K502" s="41" t="str">
        <f aca="false">IF($B502="","",ROUND(N($J502)*N($I502),2))</f>
        <v/>
      </c>
      <c r="L502" s="42"/>
      <c r="M502" s="76"/>
      <c r="N502" s="43"/>
      <c r="R502" s="77" t="str">
        <f aca="false">IF($B502="","",$B502)</f>
        <v/>
      </c>
      <c r="S502" s="77" t="n">
        <f aca="false">IF($R502="",0,IF(MATCH($R502,$R$5:$R$904,0)=ROW()-4,1,0))</f>
        <v>0</v>
      </c>
      <c r="T502" s="77" t="n">
        <f aca="false">N(T501)+$S502</f>
        <v>18</v>
      </c>
    </row>
    <row r="503" customFormat="false" ht="13.5" hidden="false" customHeight="false" outlineLevel="0" collapsed="false">
      <c r="A503" s="9" t="str">
        <f aca="false">IF($B503="","",ROW()-4)</f>
        <v/>
      </c>
      <c r="B503" s="39" t="str">
        <f aca="false">IFERROR(INDEX(对接源_01入库吨位!$B$5:$B$304,MATCH(INT((ROW()-5)/3)+1,对接源_01入库吨位!$S$5:$S$304,0)),"")</f>
        <v/>
      </c>
      <c r="C503" s="39" t="str">
        <f aca="false">IFERROR(INDEX(对接源_01入库吨位!$C$5:$C$304,MATCH(INT((ROW()-5)/3)+1,对接源_01入库吨位!$S$5:$S$304,0)),"")</f>
        <v/>
      </c>
      <c r="D503" s="40" t="str">
        <f aca="false">IF($B503="","",IF(MOD(ROW()-5,3)=0,"周转打冷",IF(MOD(ROW()-5,3)=1,"仓储加工","装卸费")))</f>
        <v/>
      </c>
      <c r="E503" s="51" t="str">
        <f aca="false">IF($B503="","",IFERROR(IF($D503="周转打冷",N(INDEX(对接源_01入库吨位!$D$5:$D$304,MATCH(INT((ROW()-5)/3)+1,对接源_01入库吨位!$S$5:$S$304,0))),IF($D503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3" s="41" t="str">
        <f aca="false">IF($B503="","",ROUND(IFERROR(IF($D503="周转打冷",N(INDEX(对接源_01入库吨位!$H$5:$H$304,MATCH(INT((ROW()-5)/3)+1,对接源_01入库吨位!$S$5:$S$304,0))),IF($D503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3" s="52" t="str">
        <f aca="false">IF($B503="","",ROUND(N($F503)/1000,3))</f>
        <v/>
      </c>
      <c r="H503" s="74"/>
      <c r="I503" s="44"/>
      <c r="J503" s="75" t="str">
        <f aca="false">IF($B503="","",IF($H503="按筐数×单价",N($E503),IF($H503="按总重KG×单价",N($F503),IF($H503="按吨位×单价",N($G503),0))))</f>
        <v/>
      </c>
      <c r="K503" s="41" t="str">
        <f aca="false">IF($B503="","",ROUND(N($J503)*N($I503),2))</f>
        <v/>
      </c>
      <c r="L503" s="42"/>
      <c r="M503" s="76"/>
      <c r="N503" s="43"/>
      <c r="R503" s="77" t="str">
        <f aca="false">IF($B503="","",$B503)</f>
        <v/>
      </c>
      <c r="S503" s="77" t="n">
        <f aca="false">IF($R503="",0,IF(MATCH($R503,$R$5:$R$904,0)=ROW()-4,1,0))</f>
        <v>0</v>
      </c>
      <c r="T503" s="77" t="n">
        <f aca="false">N(T502)+$S503</f>
        <v>18</v>
      </c>
    </row>
    <row r="504" customFormat="false" ht="13.5" hidden="false" customHeight="false" outlineLevel="0" collapsed="false">
      <c r="A504" s="9" t="str">
        <f aca="false">IF($B504="","",ROW()-4)</f>
        <v/>
      </c>
      <c r="B504" s="39" t="str">
        <f aca="false">IFERROR(INDEX(对接源_01入库吨位!$B$5:$B$304,MATCH(INT((ROW()-5)/3)+1,对接源_01入库吨位!$S$5:$S$304,0)),"")</f>
        <v/>
      </c>
      <c r="C504" s="39" t="str">
        <f aca="false">IFERROR(INDEX(对接源_01入库吨位!$C$5:$C$304,MATCH(INT((ROW()-5)/3)+1,对接源_01入库吨位!$S$5:$S$304,0)),"")</f>
        <v/>
      </c>
      <c r="D504" s="40" t="str">
        <f aca="false">IF($B504="","",IF(MOD(ROW()-5,3)=0,"周转打冷",IF(MOD(ROW()-5,3)=1,"仓储加工","装卸费")))</f>
        <v/>
      </c>
      <c r="E504" s="51" t="str">
        <f aca="false">IF($B504="","",IFERROR(IF($D504="周转打冷",N(INDEX(对接源_01入库吨位!$D$5:$D$304,MATCH(INT((ROW()-5)/3)+1,对接源_01入库吨位!$S$5:$S$304,0))),IF($D504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4" s="41" t="str">
        <f aca="false">IF($B504="","",ROUND(IFERROR(IF($D504="周转打冷",N(INDEX(对接源_01入库吨位!$H$5:$H$304,MATCH(INT((ROW()-5)/3)+1,对接源_01入库吨位!$S$5:$S$304,0))),IF($D504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4" s="52" t="str">
        <f aca="false">IF($B504="","",ROUND(N($F504)/1000,3))</f>
        <v/>
      </c>
      <c r="H504" s="74"/>
      <c r="I504" s="44"/>
      <c r="J504" s="75" t="str">
        <f aca="false">IF($B504="","",IF($H504="按筐数×单价",N($E504),IF($H504="按总重KG×单价",N($F504),IF($H504="按吨位×单价",N($G504),0))))</f>
        <v/>
      </c>
      <c r="K504" s="41" t="str">
        <f aca="false">IF($B504="","",ROUND(N($J504)*N($I504),2))</f>
        <v/>
      </c>
      <c r="L504" s="42"/>
      <c r="M504" s="76"/>
      <c r="N504" s="43"/>
      <c r="R504" s="77" t="str">
        <f aca="false">IF($B504="","",$B504)</f>
        <v/>
      </c>
      <c r="S504" s="77" t="n">
        <f aca="false">IF($R504="",0,IF(MATCH($R504,$R$5:$R$904,0)=ROW()-4,1,0))</f>
        <v>0</v>
      </c>
      <c r="T504" s="77" t="n">
        <f aca="false">N(T503)+$S504</f>
        <v>18</v>
      </c>
    </row>
    <row r="505" customFormat="false" ht="13.5" hidden="false" customHeight="false" outlineLevel="0" collapsed="false">
      <c r="A505" s="9" t="str">
        <f aca="false">IF($B505="","",ROW()-4)</f>
        <v/>
      </c>
      <c r="B505" s="39" t="str">
        <f aca="false">IFERROR(INDEX(对接源_01入库吨位!$B$5:$B$304,MATCH(INT((ROW()-5)/3)+1,对接源_01入库吨位!$S$5:$S$304,0)),"")</f>
        <v/>
      </c>
      <c r="C505" s="39" t="str">
        <f aca="false">IFERROR(INDEX(对接源_01入库吨位!$C$5:$C$304,MATCH(INT((ROW()-5)/3)+1,对接源_01入库吨位!$S$5:$S$304,0)),"")</f>
        <v/>
      </c>
      <c r="D505" s="40" t="str">
        <f aca="false">IF($B505="","",IF(MOD(ROW()-5,3)=0,"周转打冷",IF(MOD(ROW()-5,3)=1,"仓储加工","装卸费")))</f>
        <v/>
      </c>
      <c r="E505" s="51" t="str">
        <f aca="false">IF($B505="","",IFERROR(IF($D505="周转打冷",N(INDEX(对接源_01入库吨位!$D$5:$D$304,MATCH(INT((ROW()-5)/3)+1,对接源_01入库吨位!$S$5:$S$304,0))),IF($D505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5" s="41" t="str">
        <f aca="false">IF($B505="","",ROUND(IFERROR(IF($D505="周转打冷",N(INDEX(对接源_01入库吨位!$H$5:$H$304,MATCH(INT((ROW()-5)/3)+1,对接源_01入库吨位!$S$5:$S$304,0))),IF($D505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5" s="52" t="str">
        <f aca="false">IF($B505="","",ROUND(N($F505)/1000,3))</f>
        <v/>
      </c>
      <c r="H505" s="74"/>
      <c r="I505" s="44"/>
      <c r="J505" s="75" t="str">
        <f aca="false">IF($B505="","",IF($H505="按筐数×单价",N($E505),IF($H505="按总重KG×单价",N($F505),IF($H505="按吨位×单价",N($G505),0))))</f>
        <v/>
      </c>
      <c r="K505" s="41" t="str">
        <f aca="false">IF($B505="","",ROUND(N($J505)*N($I505),2))</f>
        <v/>
      </c>
      <c r="L505" s="42"/>
      <c r="M505" s="76"/>
      <c r="N505" s="43"/>
      <c r="R505" s="77" t="str">
        <f aca="false">IF($B505="","",$B505)</f>
        <v/>
      </c>
      <c r="S505" s="77" t="n">
        <f aca="false">IF($R505="",0,IF(MATCH($R505,$R$5:$R$904,0)=ROW()-4,1,0))</f>
        <v>0</v>
      </c>
      <c r="T505" s="77" t="n">
        <f aca="false">N(T504)+$S505</f>
        <v>18</v>
      </c>
    </row>
    <row r="506" customFormat="false" ht="13.5" hidden="false" customHeight="false" outlineLevel="0" collapsed="false">
      <c r="A506" s="9" t="str">
        <f aca="false">IF($B506="","",ROW()-4)</f>
        <v/>
      </c>
      <c r="B506" s="39" t="str">
        <f aca="false">IFERROR(INDEX(对接源_01入库吨位!$B$5:$B$304,MATCH(INT((ROW()-5)/3)+1,对接源_01入库吨位!$S$5:$S$304,0)),"")</f>
        <v/>
      </c>
      <c r="C506" s="39" t="str">
        <f aca="false">IFERROR(INDEX(对接源_01入库吨位!$C$5:$C$304,MATCH(INT((ROW()-5)/3)+1,对接源_01入库吨位!$S$5:$S$304,0)),"")</f>
        <v/>
      </c>
      <c r="D506" s="40" t="str">
        <f aca="false">IF($B506="","",IF(MOD(ROW()-5,3)=0,"周转打冷",IF(MOD(ROW()-5,3)=1,"仓储加工","装卸费")))</f>
        <v/>
      </c>
      <c r="E506" s="51" t="str">
        <f aca="false">IF($B506="","",IFERROR(IF($D506="周转打冷",N(INDEX(对接源_01入库吨位!$D$5:$D$304,MATCH(INT((ROW()-5)/3)+1,对接源_01入库吨位!$S$5:$S$304,0))),IF($D506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6" s="41" t="str">
        <f aca="false">IF($B506="","",ROUND(IFERROR(IF($D506="周转打冷",N(INDEX(对接源_01入库吨位!$H$5:$H$304,MATCH(INT((ROW()-5)/3)+1,对接源_01入库吨位!$S$5:$S$304,0))),IF($D506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6" s="52" t="str">
        <f aca="false">IF($B506="","",ROUND(N($F506)/1000,3))</f>
        <v/>
      </c>
      <c r="H506" s="74"/>
      <c r="I506" s="44"/>
      <c r="J506" s="75" t="str">
        <f aca="false">IF($B506="","",IF($H506="按筐数×单价",N($E506),IF($H506="按总重KG×单价",N($F506),IF($H506="按吨位×单价",N($G506),0))))</f>
        <v/>
      </c>
      <c r="K506" s="41" t="str">
        <f aca="false">IF($B506="","",ROUND(N($J506)*N($I506),2))</f>
        <v/>
      </c>
      <c r="L506" s="42"/>
      <c r="M506" s="76"/>
      <c r="N506" s="43"/>
      <c r="R506" s="77" t="str">
        <f aca="false">IF($B506="","",$B506)</f>
        <v/>
      </c>
      <c r="S506" s="77" t="n">
        <f aca="false">IF($R506="",0,IF(MATCH($R506,$R$5:$R$904,0)=ROW()-4,1,0))</f>
        <v>0</v>
      </c>
      <c r="T506" s="77" t="n">
        <f aca="false">N(T505)+$S506</f>
        <v>18</v>
      </c>
    </row>
    <row r="507" customFormat="false" ht="13.5" hidden="false" customHeight="false" outlineLevel="0" collapsed="false">
      <c r="A507" s="9" t="str">
        <f aca="false">IF($B507="","",ROW()-4)</f>
        <v/>
      </c>
      <c r="B507" s="39" t="str">
        <f aca="false">IFERROR(INDEX(对接源_01入库吨位!$B$5:$B$304,MATCH(INT((ROW()-5)/3)+1,对接源_01入库吨位!$S$5:$S$304,0)),"")</f>
        <v/>
      </c>
      <c r="C507" s="39" t="str">
        <f aca="false">IFERROR(INDEX(对接源_01入库吨位!$C$5:$C$304,MATCH(INT((ROW()-5)/3)+1,对接源_01入库吨位!$S$5:$S$304,0)),"")</f>
        <v/>
      </c>
      <c r="D507" s="40" t="str">
        <f aca="false">IF($B507="","",IF(MOD(ROW()-5,3)=0,"周转打冷",IF(MOD(ROW()-5,3)=1,"仓储加工","装卸费")))</f>
        <v/>
      </c>
      <c r="E507" s="51" t="str">
        <f aca="false">IF($B507="","",IFERROR(IF($D507="周转打冷",N(INDEX(对接源_01入库吨位!$D$5:$D$304,MATCH(INT((ROW()-5)/3)+1,对接源_01入库吨位!$S$5:$S$304,0))),IF($D507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7" s="41" t="str">
        <f aca="false">IF($B507="","",ROUND(IFERROR(IF($D507="周转打冷",N(INDEX(对接源_01入库吨位!$H$5:$H$304,MATCH(INT((ROW()-5)/3)+1,对接源_01入库吨位!$S$5:$S$304,0))),IF($D507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7" s="52" t="str">
        <f aca="false">IF($B507="","",ROUND(N($F507)/1000,3))</f>
        <v/>
      </c>
      <c r="H507" s="74"/>
      <c r="I507" s="44"/>
      <c r="J507" s="75" t="str">
        <f aca="false">IF($B507="","",IF($H507="按筐数×单价",N($E507),IF($H507="按总重KG×单价",N($F507),IF($H507="按吨位×单价",N($G507),0))))</f>
        <v/>
      </c>
      <c r="K507" s="41" t="str">
        <f aca="false">IF($B507="","",ROUND(N($J507)*N($I507),2))</f>
        <v/>
      </c>
      <c r="L507" s="42"/>
      <c r="M507" s="76"/>
      <c r="N507" s="43"/>
      <c r="R507" s="77" t="str">
        <f aca="false">IF($B507="","",$B507)</f>
        <v/>
      </c>
      <c r="S507" s="77" t="n">
        <f aca="false">IF($R507="",0,IF(MATCH($R507,$R$5:$R$904,0)=ROW()-4,1,0))</f>
        <v>0</v>
      </c>
      <c r="T507" s="77" t="n">
        <f aca="false">N(T506)+$S507</f>
        <v>18</v>
      </c>
    </row>
    <row r="508" customFormat="false" ht="13.5" hidden="false" customHeight="false" outlineLevel="0" collapsed="false">
      <c r="A508" s="9" t="str">
        <f aca="false">IF($B508="","",ROW()-4)</f>
        <v/>
      </c>
      <c r="B508" s="39" t="str">
        <f aca="false">IFERROR(INDEX(对接源_01入库吨位!$B$5:$B$304,MATCH(INT((ROW()-5)/3)+1,对接源_01入库吨位!$S$5:$S$304,0)),"")</f>
        <v/>
      </c>
      <c r="C508" s="39" t="str">
        <f aca="false">IFERROR(INDEX(对接源_01入库吨位!$C$5:$C$304,MATCH(INT((ROW()-5)/3)+1,对接源_01入库吨位!$S$5:$S$304,0)),"")</f>
        <v/>
      </c>
      <c r="D508" s="40" t="str">
        <f aca="false">IF($B508="","",IF(MOD(ROW()-5,3)=0,"周转打冷",IF(MOD(ROW()-5,3)=1,"仓储加工","装卸费")))</f>
        <v/>
      </c>
      <c r="E508" s="51" t="str">
        <f aca="false">IF($B508="","",IFERROR(IF($D508="周转打冷",N(INDEX(对接源_01入库吨位!$D$5:$D$304,MATCH(INT((ROW()-5)/3)+1,对接源_01入库吨位!$S$5:$S$304,0))),IF($D508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8" s="41" t="str">
        <f aca="false">IF($B508="","",ROUND(IFERROR(IF($D508="周转打冷",N(INDEX(对接源_01入库吨位!$H$5:$H$304,MATCH(INT((ROW()-5)/3)+1,对接源_01入库吨位!$S$5:$S$304,0))),IF($D508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8" s="52" t="str">
        <f aca="false">IF($B508="","",ROUND(N($F508)/1000,3))</f>
        <v/>
      </c>
      <c r="H508" s="74"/>
      <c r="I508" s="44"/>
      <c r="J508" s="75" t="str">
        <f aca="false">IF($B508="","",IF($H508="按筐数×单价",N($E508),IF($H508="按总重KG×单价",N($F508),IF($H508="按吨位×单价",N($G508),0))))</f>
        <v/>
      </c>
      <c r="K508" s="41" t="str">
        <f aca="false">IF($B508="","",ROUND(N($J508)*N($I508),2))</f>
        <v/>
      </c>
      <c r="L508" s="42"/>
      <c r="M508" s="76"/>
      <c r="N508" s="43"/>
      <c r="R508" s="77" t="str">
        <f aca="false">IF($B508="","",$B508)</f>
        <v/>
      </c>
      <c r="S508" s="77" t="n">
        <f aca="false">IF($R508="",0,IF(MATCH($R508,$R$5:$R$904,0)=ROW()-4,1,0))</f>
        <v>0</v>
      </c>
      <c r="T508" s="77" t="n">
        <f aca="false">N(T507)+$S508</f>
        <v>18</v>
      </c>
    </row>
    <row r="509" customFormat="false" ht="13.5" hidden="false" customHeight="false" outlineLevel="0" collapsed="false">
      <c r="A509" s="9" t="str">
        <f aca="false">IF($B509="","",ROW()-4)</f>
        <v/>
      </c>
      <c r="B509" s="39" t="str">
        <f aca="false">IFERROR(INDEX(对接源_01入库吨位!$B$5:$B$304,MATCH(INT((ROW()-5)/3)+1,对接源_01入库吨位!$S$5:$S$304,0)),"")</f>
        <v/>
      </c>
      <c r="C509" s="39" t="str">
        <f aca="false">IFERROR(INDEX(对接源_01入库吨位!$C$5:$C$304,MATCH(INT((ROW()-5)/3)+1,对接源_01入库吨位!$S$5:$S$304,0)),"")</f>
        <v/>
      </c>
      <c r="D509" s="40" t="str">
        <f aca="false">IF($B509="","",IF(MOD(ROW()-5,3)=0,"周转打冷",IF(MOD(ROW()-5,3)=1,"仓储加工","装卸费")))</f>
        <v/>
      </c>
      <c r="E509" s="51" t="str">
        <f aca="false">IF($B509="","",IFERROR(IF($D509="周转打冷",N(INDEX(对接源_01入库吨位!$D$5:$D$304,MATCH(INT((ROW()-5)/3)+1,对接源_01入库吨位!$S$5:$S$304,0))),IF($D509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09" s="41" t="str">
        <f aca="false">IF($B509="","",ROUND(IFERROR(IF($D509="周转打冷",N(INDEX(对接源_01入库吨位!$H$5:$H$304,MATCH(INT((ROW()-5)/3)+1,对接源_01入库吨位!$S$5:$S$304,0))),IF($D509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09" s="52" t="str">
        <f aca="false">IF($B509="","",ROUND(N($F509)/1000,3))</f>
        <v/>
      </c>
      <c r="H509" s="74"/>
      <c r="I509" s="44"/>
      <c r="J509" s="75" t="str">
        <f aca="false">IF($B509="","",IF($H509="按筐数×单价",N($E509),IF($H509="按总重KG×单价",N($F509),IF($H509="按吨位×单价",N($G509),0))))</f>
        <v/>
      </c>
      <c r="K509" s="41" t="str">
        <f aca="false">IF($B509="","",ROUND(N($J509)*N($I509),2))</f>
        <v/>
      </c>
      <c r="L509" s="42"/>
      <c r="M509" s="76"/>
      <c r="N509" s="43"/>
      <c r="R509" s="77" t="str">
        <f aca="false">IF($B509="","",$B509)</f>
        <v/>
      </c>
      <c r="S509" s="77" t="n">
        <f aca="false">IF($R509="",0,IF(MATCH($R509,$R$5:$R$904,0)=ROW()-4,1,0))</f>
        <v>0</v>
      </c>
      <c r="T509" s="77" t="n">
        <f aca="false">N(T508)+$S509</f>
        <v>18</v>
      </c>
    </row>
    <row r="510" customFormat="false" ht="13.5" hidden="false" customHeight="false" outlineLevel="0" collapsed="false">
      <c r="A510" s="9" t="str">
        <f aca="false">IF($B510="","",ROW()-4)</f>
        <v/>
      </c>
      <c r="B510" s="39" t="str">
        <f aca="false">IFERROR(INDEX(对接源_01入库吨位!$B$5:$B$304,MATCH(INT((ROW()-5)/3)+1,对接源_01入库吨位!$S$5:$S$304,0)),"")</f>
        <v/>
      </c>
      <c r="C510" s="39" t="str">
        <f aca="false">IFERROR(INDEX(对接源_01入库吨位!$C$5:$C$304,MATCH(INT((ROW()-5)/3)+1,对接源_01入库吨位!$S$5:$S$304,0)),"")</f>
        <v/>
      </c>
      <c r="D510" s="40" t="str">
        <f aca="false">IF($B510="","",IF(MOD(ROW()-5,3)=0,"周转打冷",IF(MOD(ROW()-5,3)=1,"仓储加工","装卸费")))</f>
        <v/>
      </c>
      <c r="E510" s="51" t="str">
        <f aca="false">IF($B510="","",IFERROR(IF($D510="周转打冷",N(INDEX(对接源_01入库吨位!$D$5:$D$304,MATCH(INT((ROW()-5)/3)+1,对接源_01入库吨位!$S$5:$S$304,0))),IF($D510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0" s="41" t="str">
        <f aca="false">IF($B510="","",ROUND(IFERROR(IF($D510="周转打冷",N(INDEX(对接源_01入库吨位!$H$5:$H$304,MATCH(INT((ROW()-5)/3)+1,对接源_01入库吨位!$S$5:$S$304,0))),IF($D510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0" s="52" t="str">
        <f aca="false">IF($B510="","",ROUND(N($F510)/1000,3))</f>
        <v/>
      </c>
      <c r="H510" s="74"/>
      <c r="I510" s="44"/>
      <c r="J510" s="75" t="str">
        <f aca="false">IF($B510="","",IF($H510="按筐数×单价",N($E510),IF($H510="按总重KG×单价",N($F510),IF($H510="按吨位×单价",N($G510),0))))</f>
        <v/>
      </c>
      <c r="K510" s="41" t="str">
        <f aca="false">IF($B510="","",ROUND(N($J510)*N($I510),2))</f>
        <v/>
      </c>
      <c r="L510" s="42"/>
      <c r="M510" s="76"/>
      <c r="N510" s="43"/>
      <c r="R510" s="77" t="str">
        <f aca="false">IF($B510="","",$B510)</f>
        <v/>
      </c>
      <c r="S510" s="77" t="n">
        <f aca="false">IF($R510="",0,IF(MATCH($R510,$R$5:$R$904,0)=ROW()-4,1,0))</f>
        <v>0</v>
      </c>
      <c r="T510" s="77" t="n">
        <f aca="false">N(T509)+$S510</f>
        <v>18</v>
      </c>
    </row>
    <row r="511" customFormat="false" ht="13.5" hidden="false" customHeight="false" outlineLevel="0" collapsed="false">
      <c r="A511" s="9" t="str">
        <f aca="false">IF($B511="","",ROW()-4)</f>
        <v/>
      </c>
      <c r="B511" s="39" t="str">
        <f aca="false">IFERROR(INDEX(对接源_01入库吨位!$B$5:$B$304,MATCH(INT((ROW()-5)/3)+1,对接源_01入库吨位!$S$5:$S$304,0)),"")</f>
        <v/>
      </c>
      <c r="C511" s="39" t="str">
        <f aca="false">IFERROR(INDEX(对接源_01入库吨位!$C$5:$C$304,MATCH(INT((ROW()-5)/3)+1,对接源_01入库吨位!$S$5:$S$304,0)),"")</f>
        <v/>
      </c>
      <c r="D511" s="40" t="str">
        <f aca="false">IF($B511="","",IF(MOD(ROW()-5,3)=0,"周转打冷",IF(MOD(ROW()-5,3)=1,"仓储加工","装卸费")))</f>
        <v/>
      </c>
      <c r="E511" s="51" t="str">
        <f aca="false">IF($B511="","",IFERROR(IF($D511="周转打冷",N(INDEX(对接源_01入库吨位!$D$5:$D$304,MATCH(INT((ROW()-5)/3)+1,对接源_01入库吨位!$S$5:$S$304,0))),IF($D511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1" s="41" t="str">
        <f aca="false">IF($B511="","",ROUND(IFERROR(IF($D511="周转打冷",N(INDEX(对接源_01入库吨位!$H$5:$H$304,MATCH(INT((ROW()-5)/3)+1,对接源_01入库吨位!$S$5:$S$304,0))),IF($D511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1" s="52" t="str">
        <f aca="false">IF($B511="","",ROUND(N($F511)/1000,3))</f>
        <v/>
      </c>
      <c r="H511" s="74"/>
      <c r="I511" s="44"/>
      <c r="J511" s="75" t="str">
        <f aca="false">IF($B511="","",IF($H511="按筐数×单价",N($E511),IF($H511="按总重KG×单价",N($F511),IF($H511="按吨位×单价",N($G511),0))))</f>
        <v/>
      </c>
      <c r="K511" s="41" t="str">
        <f aca="false">IF($B511="","",ROUND(N($J511)*N($I511),2))</f>
        <v/>
      </c>
      <c r="L511" s="42"/>
      <c r="M511" s="76"/>
      <c r="N511" s="43"/>
      <c r="R511" s="77" t="str">
        <f aca="false">IF($B511="","",$B511)</f>
        <v/>
      </c>
      <c r="S511" s="77" t="n">
        <f aca="false">IF($R511="",0,IF(MATCH($R511,$R$5:$R$904,0)=ROW()-4,1,0))</f>
        <v>0</v>
      </c>
      <c r="T511" s="77" t="n">
        <f aca="false">N(T510)+$S511</f>
        <v>18</v>
      </c>
    </row>
    <row r="512" customFormat="false" ht="13.5" hidden="false" customHeight="false" outlineLevel="0" collapsed="false">
      <c r="A512" s="9" t="str">
        <f aca="false">IF($B512="","",ROW()-4)</f>
        <v/>
      </c>
      <c r="B512" s="39" t="str">
        <f aca="false">IFERROR(INDEX(对接源_01入库吨位!$B$5:$B$304,MATCH(INT((ROW()-5)/3)+1,对接源_01入库吨位!$S$5:$S$304,0)),"")</f>
        <v/>
      </c>
      <c r="C512" s="39" t="str">
        <f aca="false">IFERROR(INDEX(对接源_01入库吨位!$C$5:$C$304,MATCH(INT((ROW()-5)/3)+1,对接源_01入库吨位!$S$5:$S$304,0)),"")</f>
        <v/>
      </c>
      <c r="D512" s="40" t="str">
        <f aca="false">IF($B512="","",IF(MOD(ROW()-5,3)=0,"周转打冷",IF(MOD(ROW()-5,3)=1,"仓储加工","装卸费")))</f>
        <v/>
      </c>
      <c r="E512" s="51" t="str">
        <f aca="false">IF($B512="","",IFERROR(IF($D512="周转打冷",N(INDEX(对接源_01入库吨位!$D$5:$D$304,MATCH(INT((ROW()-5)/3)+1,对接源_01入库吨位!$S$5:$S$304,0))),IF($D512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2" s="41" t="str">
        <f aca="false">IF($B512="","",ROUND(IFERROR(IF($D512="周转打冷",N(INDEX(对接源_01入库吨位!$H$5:$H$304,MATCH(INT((ROW()-5)/3)+1,对接源_01入库吨位!$S$5:$S$304,0))),IF($D512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2" s="52" t="str">
        <f aca="false">IF($B512="","",ROUND(N($F512)/1000,3))</f>
        <v/>
      </c>
      <c r="H512" s="74"/>
      <c r="I512" s="44"/>
      <c r="J512" s="75" t="str">
        <f aca="false">IF($B512="","",IF($H512="按筐数×单价",N($E512),IF($H512="按总重KG×单价",N($F512),IF($H512="按吨位×单价",N($G512),0))))</f>
        <v/>
      </c>
      <c r="K512" s="41" t="str">
        <f aca="false">IF($B512="","",ROUND(N($J512)*N($I512),2))</f>
        <v/>
      </c>
      <c r="L512" s="42"/>
      <c r="M512" s="76"/>
      <c r="N512" s="43"/>
      <c r="R512" s="77" t="str">
        <f aca="false">IF($B512="","",$B512)</f>
        <v/>
      </c>
      <c r="S512" s="77" t="n">
        <f aca="false">IF($R512="",0,IF(MATCH($R512,$R$5:$R$904,0)=ROW()-4,1,0))</f>
        <v>0</v>
      </c>
      <c r="T512" s="77" t="n">
        <f aca="false">N(T511)+$S512</f>
        <v>18</v>
      </c>
    </row>
    <row r="513" customFormat="false" ht="13.5" hidden="false" customHeight="false" outlineLevel="0" collapsed="false">
      <c r="A513" s="9" t="str">
        <f aca="false">IF($B513="","",ROW()-4)</f>
        <v/>
      </c>
      <c r="B513" s="39" t="str">
        <f aca="false">IFERROR(INDEX(对接源_01入库吨位!$B$5:$B$304,MATCH(INT((ROW()-5)/3)+1,对接源_01入库吨位!$S$5:$S$304,0)),"")</f>
        <v/>
      </c>
      <c r="C513" s="39" t="str">
        <f aca="false">IFERROR(INDEX(对接源_01入库吨位!$C$5:$C$304,MATCH(INT((ROW()-5)/3)+1,对接源_01入库吨位!$S$5:$S$304,0)),"")</f>
        <v/>
      </c>
      <c r="D513" s="40" t="str">
        <f aca="false">IF($B513="","",IF(MOD(ROW()-5,3)=0,"周转打冷",IF(MOD(ROW()-5,3)=1,"仓储加工","装卸费")))</f>
        <v/>
      </c>
      <c r="E513" s="51" t="str">
        <f aca="false">IF($B513="","",IFERROR(IF($D513="周转打冷",N(INDEX(对接源_01入库吨位!$D$5:$D$304,MATCH(INT((ROW()-5)/3)+1,对接源_01入库吨位!$S$5:$S$304,0))),IF($D513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3" s="41" t="str">
        <f aca="false">IF($B513="","",ROUND(IFERROR(IF($D513="周转打冷",N(INDEX(对接源_01入库吨位!$H$5:$H$304,MATCH(INT((ROW()-5)/3)+1,对接源_01入库吨位!$S$5:$S$304,0))),IF($D513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3" s="52" t="str">
        <f aca="false">IF($B513="","",ROUND(N($F513)/1000,3))</f>
        <v/>
      </c>
      <c r="H513" s="74"/>
      <c r="I513" s="44"/>
      <c r="J513" s="75" t="str">
        <f aca="false">IF($B513="","",IF($H513="按筐数×单价",N($E513),IF($H513="按总重KG×单价",N($F513),IF($H513="按吨位×单价",N($G513),0))))</f>
        <v/>
      </c>
      <c r="K513" s="41" t="str">
        <f aca="false">IF($B513="","",ROUND(N($J513)*N($I513),2))</f>
        <v/>
      </c>
      <c r="L513" s="42"/>
      <c r="M513" s="76"/>
      <c r="N513" s="43"/>
      <c r="R513" s="77" t="str">
        <f aca="false">IF($B513="","",$B513)</f>
        <v/>
      </c>
      <c r="S513" s="77" t="n">
        <f aca="false">IF($R513="",0,IF(MATCH($R513,$R$5:$R$904,0)=ROW()-4,1,0))</f>
        <v>0</v>
      </c>
      <c r="T513" s="77" t="n">
        <f aca="false">N(T512)+$S513</f>
        <v>18</v>
      </c>
    </row>
    <row r="514" customFormat="false" ht="13.5" hidden="false" customHeight="false" outlineLevel="0" collapsed="false">
      <c r="A514" s="9" t="str">
        <f aca="false">IF($B514="","",ROW()-4)</f>
        <v/>
      </c>
      <c r="B514" s="39" t="str">
        <f aca="false">IFERROR(INDEX(对接源_01入库吨位!$B$5:$B$304,MATCH(INT((ROW()-5)/3)+1,对接源_01入库吨位!$S$5:$S$304,0)),"")</f>
        <v/>
      </c>
      <c r="C514" s="39" t="str">
        <f aca="false">IFERROR(INDEX(对接源_01入库吨位!$C$5:$C$304,MATCH(INT((ROW()-5)/3)+1,对接源_01入库吨位!$S$5:$S$304,0)),"")</f>
        <v/>
      </c>
      <c r="D514" s="40" t="str">
        <f aca="false">IF($B514="","",IF(MOD(ROW()-5,3)=0,"周转打冷",IF(MOD(ROW()-5,3)=1,"仓储加工","装卸费")))</f>
        <v/>
      </c>
      <c r="E514" s="51" t="str">
        <f aca="false">IF($B514="","",IFERROR(IF($D514="周转打冷",N(INDEX(对接源_01入库吨位!$D$5:$D$304,MATCH(INT((ROW()-5)/3)+1,对接源_01入库吨位!$S$5:$S$304,0))),IF($D514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4" s="41" t="str">
        <f aca="false">IF($B514="","",ROUND(IFERROR(IF($D514="周转打冷",N(INDEX(对接源_01入库吨位!$H$5:$H$304,MATCH(INT((ROW()-5)/3)+1,对接源_01入库吨位!$S$5:$S$304,0))),IF($D514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4" s="52" t="str">
        <f aca="false">IF($B514="","",ROUND(N($F514)/1000,3))</f>
        <v/>
      </c>
      <c r="H514" s="74"/>
      <c r="I514" s="44"/>
      <c r="J514" s="75" t="str">
        <f aca="false">IF($B514="","",IF($H514="按筐数×单价",N($E514),IF($H514="按总重KG×单价",N($F514),IF($H514="按吨位×单价",N($G514),0))))</f>
        <v/>
      </c>
      <c r="K514" s="41" t="str">
        <f aca="false">IF($B514="","",ROUND(N($J514)*N($I514),2))</f>
        <v/>
      </c>
      <c r="L514" s="42"/>
      <c r="M514" s="76"/>
      <c r="N514" s="43"/>
      <c r="R514" s="77" t="str">
        <f aca="false">IF($B514="","",$B514)</f>
        <v/>
      </c>
      <c r="S514" s="77" t="n">
        <f aca="false">IF($R514="",0,IF(MATCH($R514,$R$5:$R$904,0)=ROW()-4,1,0))</f>
        <v>0</v>
      </c>
      <c r="T514" s="77" t="n">
        <f aca="false">N(T513)+$S514</f>
        <v>18</v>
      </c>
    </row>
    <row r="515" customFormat="false" ht="13.5" hidden="false" customHeight="false" outlineLevel="0" collapsed="false">
      <c r="A515" s="9" t="str">
        <f aca="false">IF($B515="","",ROW()-4)</f>
        <v/>
      </c>
      <c r="B515" s="39" t="str">
        <f aca="false">IFERROR(INDEX(对接源_01入库吨位!$B$5:$B$304,MATCH(INT((ROW()-5)/3)+1,对接源_01入库吨位!$S$5:$S$304,0)),"")</f>
        <v/>
      </c>
      <c r="C515" s="39" t="str">
        <f aca="false">IFERROR(INDEX(对接源_01入库吨位!$C$5:$C$304,MATCH(INT((ROW()-5)/3)+1,对接源_01入库吨位!$S$5:$S$304,0)),"")</f>
        <v/>
      </c>
      <c r="D515" s="40" t="str">
        <f aca="false">IF($B515="","",IF(MOD(ROW()-5,3)=0,"周转打冷",IF(MOD(ROW()-5,3)=1,"仓储加工","装卸费")))</f>
        <v/>
      </c>
      <c r="E515" s="51" t="str">
        <f aca="false">IF($B515="","",IFERROR(IF($D515="周转打冷",N(INDEX(对接源_01入库吨位!$D$5:$D$304,MATCH(INT((ROW()-5)/3)+1,对接源_01入库吨位!$S$5:$S$304,0))),IF($D515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5" s="41" t="str">
        <f aca="false">IF($B515="","",ROUND(IFERROR(IF($D515="周转打冷",N(INDEX(对接源_01入库吨位!$H$5:$H$304,MATCH(INT((ROW()-5)/3)+1,对接源_01入库吨位!$S$5:$S$304,0))),IF($D515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5" s="52" t="str">
        <f aca="false">IF($B515="","",ROUND(N($F515)/1000,3))</f>
        <v/>
      </c>
      <c r="H515" s="74"/>
      <c r="I515" s="44"/>
      <c r="J515" s="75" t="str">
        <f aca="false">IF($B515="","",IF($H515="按筐数×单价",N($E515),IF($H515="按总重KG×单价",N($F515),IF($H515="按吨位×单价",N($G515),0))))</f>
        <v/>
      </c>
      <c r="K515" s="41" t="str">
        <f aca="false">IF($B515="","",ROUND(N($J515)*N($I515),2))</f>
        <v/>
      </c>
      <c r="L515" s="42"/>
      <c r="M515" s="76"/>
      <c r="N515" s="43"/>
      <c r="R515" s="77" t="str">
        <f aca="false">IF($B515="","",$B515)</f>
        <v/>
      </c>
      <c r="S515" s="77" t="n">
        <f aca="false">IF($R515="",0,IF(MATCH($R515,$R$5:$R$904,0)=ROW()-4,1,0))</f>
        <v>0</v>
      </c>
      <c r="T515" s="77" t="n">
        <f aca="false">N(T514)+$S515</f>
        <v>18</v>
      </c>
    </row>
    <row r="516" customFormat="false" ht="13.5" hidden="false" customHeight="false" outlineLevel="0" collapsed="false">
      <c r="A516" s="9" t="str">
        <f aca="false">IF($B516="","",ROW()-4)</f>
        <v/>
      </c>
      <c r="B516" s="39" t="str">
        <f aca="false">IFERROR(INDEX(对接源_01入库吨位!$B$5:$B$304,MATCH(INT((ROW()-5)/3)+1,对接源_01入库吨位!$S$5:$S$304,0)),"")</f>
        <v/>
      </c>
      <c r="C516" s="39" t="str">
        <f aca="false">IFERROR(INDEX(对接源_01入库吨位!$C$5:$C$304,MATCH(INT((ROW()-5)/3)+1,对接源_01入库吨位!$S$5:$S$304,0)),"")</f>
        <v/>
      </c>
      <c r="D516" s="40" t="str">
        <f aca="false">IF($B516="","",IF(MOD(ROW()-5,3)=0,"周转打冷",IF(MOD(ROW()-5,3)=1,"仓储加工","装卸费")))</f>
        <v/>
      </c>
      <c r="E516" s="51" t="str">
        <f aca="false">IF($B516="","",IFERROR(IF($D516="周转打冷",N(INDEX(对接源_01入库吨位!$D$5:$D$304,MATCH(INT((ROW()-5)/3)+1,对接源_01入库吨位!$S$5:$S$304,0))),IF($D516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6" s="41" t="str">
        <f aca="false">IF($B516="","",ROUND(IFERROR(IF($D516="周转打冷",N(INDEX(对接源_01入库吨位!$H$5:$H$304,MATCH(INT((ROW()-5)/3)+1,对接源_01入库吨位!$S$5:$S$304,0))),IF($D516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6" s="52" t="str">
        <f aca="false">IF($B516="","",ROUND(N($F516)/1000,3))</f>
        <v/>
      </c>
      <c r="H516" s="74"/>
      <c r="I516" s="44"/>
      <c r="J516" s="75" t="str">
        <f aca="false">IF($B516="","",IF($H516="按筐数×单价",N($E516),IF($H516="按总重KG×单价",N($F516),IF($H516="按吨位×单价",N($G516),0))))</f>
        <v/>
      </c>
      <c r="K516" s="41" t="str">
        <f aca="false">IF($B516="","",ROUND(N($J516)*N($I516),2))</f>
        <v/>
      </c>
      <c r="L516" s="42"/>
      <c r="M516" s="76"/>
      <c r="N516" s="43"/>
      <c r="R516" s="77" t="str">
        <f aca="false">IF($B516="","",$B516)</f>
        <v/>
      </c>
      <c r="S516" s="77" t="n">
        <f aca="false">IF($R516="",0,IF(MATCH($R516,$R$5:$R$904,0)=ROW()-4,1,0))</f>
        <v>0</v>
      </c>
      <c r="T516" s="77" t="n">
        <f aca="false">N(T515)+$S516</f>
        <v>18</v>
      </c>
    </row>
    <row r="517" customFormat="false" ht="13.5" hidden="false" customHeight="false" outlineLevel="0" collapsed="false">
      <c r="A517" s="9" t="str">
        <f aca="false">IF($B517="","",ROW()-4)</f>
        <v/>
      </c>
      <c r="B517" s="39" t="str">
        <f aca="false">IFERROR(INDEX(对接源_01入库吨位!$B$5:$B$304,MATCH(INT((ROW()-5)/3)+1,对接源_01入库吨位!$S$5:$S$304,0)),"")</f>
        <v/>
      </c>
      <c r="C517" s="39" t="str">
        <f aca="false">IFERROR(INDEX(对接源_01入库吨位!$C$5:$C$304,MATCH(INT((ROW()-5)/3)+1,对接源_01入库吨位!$S$5:$S$304,0)),"")</f>
        <v/>
      </c>
      <c r="D517" s="40" t="str">
        <f aca="false">IF($B517="","",IF(MOD(ROW()-5,3)=0,"周转打冷",IF(MOD(ROW()-5,3)=1,"仓储加工","装卸费")))</f>
        <v/>
      </c>
      <c r="E517" s="51" t="str">
        <f aca="false">IF($B517="","",IFERROR(IF($D517="周转打冷",N(INDEX(对接源_01入库吨位!$D$5:$D$304,MATCH(INT((ROW()-5)/3)+1,对接源_01入库吨位!$S$5:$S$304,0))),IF($D517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7" s="41" t="str">
        <f aca="false">IF($B517="","",ROUND(IFERROR(IF($D517="周转打冷",N(INDEX(对接源_01入库吨位!$H$5:$H$304,MATCH(INT((ROW()-5)/3)+1,对接源_01入库吨位!$S$5:$S$304,0))),IF($D517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7" s="52" t="str">
        <f aca="false">IF($B517="","",ROUND(N($F517)/1000,3))</f>
        <v/>
      </c>
      <c r="H517" s="74"/>
      <c r="I517" s="44"/>
      <c r="J517" s="75" t="str">
        <f aca="false">IF($B517="","",IF($H517="按筐数×单价",N($E517),IF($H517="按总重KG×单价",N($F517),IF($H517="按吨位×单价",N($G517),0))))</f>
        <v/>
      </c>
      <c r="K517" s="41" t="str">
        <f aca="false">IF($B517="","",ROUND(N($J517)*N($I517),2))</f>
        <v/>
      </c>
      <c r="L517" s="42"/>
      <c r="M517" s="76"/>
      <c r="N517" s="43"/>
      <c r="R517" s="77" t="str">
        <f aca="false">IF($B517="","",$B517)</f>
        <v/>
      </c>
      <c r="S517" s="77" t="n">
        <f aca="false">IF($R517="",0,IF(MATCH($R517,$R$5:$R$904,0)=ROW()-4,1,0))</f>
        <v>0</v>
      </c>
      <c r="T517" s="77" t="n">
        <f aca="false">N(T516)+$S517</f>
        <v>18</v>
      </c>
    </row>
    <row r="518" customFormat="false" ht="13.5" hidden="false" customHeight="false" outlineLevel="0" collapsed="false">
      <c r="A518" s="9" t="str">
        <f aca="false">IF($B518="","",ROW()-4)</f>
        <v/>
      </c>
      <c r="B518" s="39" t="str">
        <f aca="false">IFERROR(INDEX(对接源_01入库吨位!$B$5:$B$304,MATCH(INT((ROW()-5)/3)+1,对接源_01入库吨位!$S$5:$S$304,0)),"")</f>
        <v/>
      </c>
      <c r="C518" s="39" t="str">
        <f aca="false">IFERROR(INDEX(对接源_01入库吨位!$C$5:$C$304,MATCH(INT((ROW()-5)/3)+1,对接源_01入库吨位!$S$5:$S$304,0)),"")</f>
        <v/>
      </c>
      <c r="D518" s="40" t="str">
        <f aca="false">IF($B518="","",IF(MOD(ROW()-5,3)=0,"周转打冷",IF(MOD(ROW()-5,3)=1,"仓储加工","装卸费")))</f>
        <v/>
      </c>
      <c r="E518" s="51" t="str">
        <f aca="false">IF($B518="","",IFERROR(IF($D518="周转打冷",N(INDEX(对接源_01入库吨位!$D$5:$D$304,MATCH(INT((ROW()-5)/3)+1,对接源_01入库吨位!$S$5:$S$304,0))),IF($D518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8" s="41" t="str">
        <f aca="false">IF($B518="","",ROUND(IFERROR(IF($D518="周转打冷",N(INDEX(对接源_01入库吨位!$H$5:$H$304,MATCH(INT((ROW()-5)/3)+1,对接源_01入库吨位!$S$5:$S$304,0))),IF($D518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8" s="52" t="str">
        <f aca="false">IF($B518="","",ROUND(N($F518)/1000,3))</f>
        <v/>
      </c>
      <c r="H518" s="74"/>
      <c r="I518" s="44"/>
      <c r="J518" s="75" t="str">
        <f aca="false">IF($B518="","",IF($H518="按筐数×单价",N($E518),IF($H518="按总重KG×单价",N($F518),IF($H518="按吨位×单价",N($G518),0))))</f>
        <v/>
      </c>
      <c r="K518" s="41" t="str">
        <f aca="false">IF($B518="","",ROUND(N($J518)*N($I518),2))</f>
        <v/>
      </c>
      <c r="L518" s="42"/>
      <c r="M518" s="76"/>
      <c r="N518" s="43"/>
      <c r="R518" s="77" t="str">
        <f aca="false">IF($B518="","",$B518)</f>
        <v/>
      </c>
      <c r="S518" s="77" t="n">
        <f aca="false">IF($R518="",0,IF(MATCH($R518,$R$5:$R$904,0)=ROW()-4,1,0))</f>
        <v>0</v>
      </c>
      <c r="T518" s="77" t="n">
        <f aca="false">N(T517)+$S518</f>
        <v>18</v>
      </c>
    </row>
    <row r="519" customFormat="false" ht="13.5" hidden="false" customHeight="false" outlineLevel="0" collapsed="false">
      <c r="A519" s="9" t="str">
        <f aca="false">IF($B519="","",ROW()-4)</f>
        <v/>
      </c>
      <c r="B519" s="39" t="str">
        <f aca="false">IFERROR(INDEX(对接源_01入库吨位!$B$5:$B$304,MATCH(INT((ROW()-5)/3)+1,对接源_01入库吨位!$S$5:$S$304,0)),"")</f>
        <v/>
      </c>
      <c r="C519" s="39" t="str">
        <f aca="false">IFERROR(INDEX(对接源_01入库吨位!$C$5:$C$304,MATCH(INT((ROW()-5)/3)+1,对接源_01入库吨位!$S$5:$S$304,0)),"")</f>
        <v/>
      </c>
      <c r="D519" s="40" t="str">
        <f aca="false">IF($B519="","",IF(MOD(ROW()-5,3)=0,"周转打冷",IF(MOD(ROW()-5,3)=1,"仓储加工","装卸费")))</f>
        <v/>
      </c>
      <c r="E519" s="51" t="str">
        <f aca="false">IF($B519="","",IFERROR(IF($D519="周转打冷",N(INDEX(对接源_01入库吨位!$D$5:$D$304,MATCH(INT((ROW()-5)/3)+1,对接源_01入库吨位!$S$5:$S$304,0))),IF($D519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19" s="41" t="str">
        <f aca="false">IF($B519="","",ROUND(IFERROR(IF($D519="周转打冷",N(INDEX(对接源_01入库吨位!$H$5:$H$304,MATCH(INT((ROW()-5)/3)+1,对接源_01入库吨位!$S$5:$S$304,0))),IF($D519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19" s="52" t="str">
        <f aca="false">IF($B519="","",ROUND(N($F519)/1000,3))</f>
        <v/>
      </c>
      <c r="H519" s="74"/>
      <c r="I519" s="44"/>
      <c r="J519" s="75" t="str">
        <f aca="false">IF($B519="","",IF($H519="按筐数×单价",N($E519),IF($H519="按总重KG×单价",N($F519),IF($H519="按吨位×单价",N($G519),0))))</f>
        <v/>
      </c>
      <c r="K519" s="41" t="str">
        <f aca="false">IF($B519="","",ROUND(N($J519)*N($I519),2))</f>
        <v/>
      </c>
      <c r="L519" s="42"/>
      <c r="M519" s="76"/>
      <c r="N519" s="43"/>
      <c r="R519" s="77" t="str">
        <f aca="false">IF($B519="","",$B519)</f>
        <v/>
      </c>
      <c r="S519" s="77" t="n">
        <f aca="false">IF($R519="",0,IF(MATCH($R519,$R$5:$R$904,0)=ROW()-4,1,0))</f>
        <v>0</v>
      </c>
      <c r="T519" s="77" t="n">
        <f aca="false">N(T518)+$S519</f>
        <v>18</v>
      </c>
    </row>
    <row r="520" customFormat="false" ht="13.5" hidden="false" customHeight="false" outlineLevel="0" collapsed="false">
      <c r="A520" s="9" t="str">
        <f aca="false">IF($B520="","",ROW()-4)</f>
        <v/>
      </c>
      <c r="B520" s="39" t="str">
        <f aca="false">IFERROR(INDEX(对接源_01入库吨位!$B$5:$B$304,MATCH(INT((ROW()-5)/3)+1,对接源_01入库吨位!$S$5:$S$304,0)),"")</f>
        <v/>
      </c>
      <c r="C520" s="39" t="str">
        <f aca="false">IFERROR(INDEX(对接源_01入库吨位!$C$5:$C$304,MATCH(INT((ROW()-5)/3)+1,对接源_01入库吨位!$S$5:$S$304,0)),"")</f>
        <v/>
      </c>
      <c r="D520" s="40" t="str">
        <f aca="false">IF($B520="","",IF(MOD(ROW()-5,3)=0,"周转打冷",IF(MOD(ROW()-5,3)=1,"仓储加工","装卸费")))</f>
        <v/>
      </c>
      <c r="E520" s="51" t="str">
        <f aca="false">IF($B520="","",IFERROR(IF($D520="周转打冷",N(INDEX(对接源_01入库吨位!$D$5:$D$304,MATCH(INT((ROW()-5)/3)+1,对接源_01入库吨位!$S$5:$S$304,0))),IF($D520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0" s="41" t="str">
        <f aca="false">IF($B520="","",ROUND(IFERROR(IF($D520="周转打冷",N(INDEX(对接源_01入库吨位!$H$5:$H$304,MATCH(INT((ROW()-5)/3)+1,对接源_01入库吨位!$S$5:$S$304,0))),IF($D520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0" s="52" t="str">
        <f aca="false">IF($B520="","",ROUND(N($F520)/1000,3))</f>
        <v/>
      </c>
      <c r="H520" s="74"/>
      <c r="I520" s="44"/>
      <c r="J520" s="75" t="str">
        <f aca="false">IF($B520="","",IF($H520="按筐数×单价",N($E520),IF($H520="按总重KG×单价",N($F520),IF($H520="按吨位×单价",N($G520),0))))</f>
        <v/>
      </c>
      <c r="K520" s="41" t="str">
        <f aca="false">IF($B520="","",ROUND(N($J520)*N($I520),2))</f>
        <v/>
      </c>
      <c r="L520" s="42"/>
      <c r="M520" s="76"/>
      <c r="N520" s="43"/>
      <c r="R520" s="77" t="str">
        <f aca="false">IF($B520="","",$B520)</f>
        <v/>
      </c>
      <c r="S520" s="77" t="n">
        <f aca="false">IF($R520="",0,IF(MATCH($R520,$R$5:$R$904,0)=ROW()-4,1,0))</f>
        <v>0</v>
      </c>
      <c r="T520" s="77" t="n">
        <f aca="false">N(T519)+$S520</f>
        <v>18</v>
      </c>
    </row>
    <row r="521" customFormat="false" ht="13.5" hidden="false" customHeight="false" outlineLevel="0" collapsed="false">
      <c r="A521" s="9" t="str">
        <f aca="false">IF($B521="","",ROW()-4)</f>
        <v/>
      </c>
      <c r="B521" s="39" t="str">
        <f aca="false">IFERROR(INDEX(对接源_01入库吨位!$B$5:$B$304,MATCH(INT((ROW()-5)/3)+1,对接源_01入库吨位!$S$5:$S$304,0)),"")</f>
        <v/>
      </c>
      <c r="C521" s="39" t="str">
        <f aca="false">IFERROR(INDEX(对接源_01入库吨位!$C$5:$C$304,MATCH(INT((ROW()-5)/3)+1,对接源_01入库吨位!$S$5:$S$304,0)),"")</f>
        <v/>
      </c>
      <c r="D521" s="40" t="str">
        <f aca="false">IF($B521="","",IF(MOD(ROW()-5,3)=0,"周转打冷",IF(MOD(ROW()-5,3)=1,"仓储加工","装卸费")))</f>
        <v/>
      </c>
      <c r="E521" s="51" t="str">
        <f aca="false">IF($B521="","",IFERROR(IF($D521="周转打冷",N(INDEX(对接源_01入库吨位!$D$5:$D$304,MATCH(INT((ROW()-5)/3)+1,对接源_01入库吨位!$S$5:$S$304,0))),IF($D521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1" s="41" t="str">
        <f aca="false">IF($B521="","",ROUND(IFERROR(IF($D521="周转打冷",N(INDEX(对接源_01入库吨位!$H$5:$H$304,MATCH(INT((ROW()-5)/3)+1,对接源_01入库吨位!$S$5:$S$304,0))),IF($D521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1" s="52" t="str">
        <f aca="false">IF($B521="","",ROUND(N($F521)/1000,3))</f>
        <v/>
      </c>
      <c r="H521" s="74"/>
      <c r="I521" s="44"/>
      <c r="J521" s="75" t="str">
        <f aca="false">IF($B521="","",IF($H521="按筐数×单价",N($E521),IF($H521="按总重KG×单价",N($F521),IF($H521="按吨位×单价",N($G521),0))))</f>
        <v/>
      </c>
      <c r="K521" s="41" t="str">
        <f aca="false">IF($B521="","",ROUND(N($J521)*N($I521),2))</f>
        <v/>
      </c>
      <c r="L521" s="42"/>
      <c r="M521" s="76"/>
      <c r="N521" s="43"/>
      <c r="R521" s="77" t="str">
        <f aca="false">IF($B521="","",$B521)</f>
        <v/>
      </c>
      <c r="S521" s="77" t="n">
        <f aca="false">IF($R521="",0,IF(MATCH($R521,$R$5:$R$904,0)=ROW()-4,1,0))</f>
        <v>0</v>
      </c>
      <c r="T521" s="77" t="n">
        <f aca="false">N(T520)+$S521</f>
        <v>18</v>
      </c>
    </row>
    <row r="522" customFormat="false" ht="13.5" hidden="false" customHeight="false" outlineLevel="0" collapsed="false">
      <c r="A522" s="9" t="str">
        <f aca="false">IF($B522="","",ROW()-4)</f>
        <v/>
      </c>
      <c r="B522" s="39" t="str">
        <f aca="false">IFERROR(INDEX(对接源_01入库吨位!$B$5:$B$304,MATCH(INT((ROW()-5)/3)+1,对接源_01入库吨位!$S$5:$S$304,0)),"")</f>
        <v/>
      </c>
      <c r="C522" s="39" t="str">
        <f aca="false">IFERROR(INDEX(对接源_01入库吨位!$C$5:$C$304,MATCH(INT((ROW()-5)/3)+1,对接源_01入库吨位!$S$5:$S$304,0)),"")</f>
        <v/>
      </c>
      <c r="D522" s="40" t="str">
        <f aca="false">IF($B522="","",IF(MOD(ROW()-5,3)=0,"周转打冷",IF(MOD(ROW()-5,3)=1,"仓储加工","装卸费")))</f>
        <v/>
      </c>
      <c r="E522" s="51" t="str">
        <f aca="false">IF($B522="","",IFERROR(IF($D522="周转打冷",N(INDEX(对接源_01入库吨位!$D$5:$D$304,MATCH(INT((ROW()-5)/3)+1,对接源_01入库吨位!$S$5:$S$304,0))),IF($D522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2" s="41" t="str">
        <f aca="false">IF($B522="","",ROUND(IFERROR(IF($D522="周转打冷",N(INDEX(对接源_01入库吨位!$H$5:$H$304,MATCH(INT((ROW()-5)/3)+1,对接源_01入库吨位!$S$5:$S$304,0))),IF($D522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2" s="52" t="str">
        <f aca="false">IF($B522="","",ROUND(N($F522)/1000,3))</f>
        <v/>
      </c>
      <c r="H522" s="74"/>
      <c r="I522" s="44"/>
      <c r="J522" s="75" t="str">
        <f aca="false">IF($B522="","",IF($H522="按筐数×单价",N($E522),IF($H522="按总重KG×单价",N($F522),IF($H522="按吨位×单价",N($G522),0))))</f>
        <v/>
      </c>
      <c r="K522" s="41" t="str">
        <f aca="false">IF($B522="","",ROUND(N($J522)*N($I522),2))</f>
        <v/>
      </c>
      <c r="L522" s="42"/>
      <c r="M522" s="76"/>
      <c r="N522" s="43"/>
      <c r="R522" s="77" t="str">
        <f aca="false">IF($B522="","",$B522)</f>
        <v/>
      </c>
      <c r="S522" s="77" t="n">
        <f aca="false">IF($R522="",0,IF(MATCH($R522,$R$5:$R$904,0)=ROW()-4,1,0))</f>
        <v>0</v>
      </c>
      <c r="T522" s="77" t="n">
        <f aca="false">N(T521)+$S522</f>
        <v>18</v>
      </c>
    </row>
    <row r="523" customFormat="false" ht="13.5" hidden="false" customHeight="false" outlineLevel="0" collapsed="false">
      <c r="A523" s="9" t="str">
        <f aca="false">IF($B523="","",ROW()-4)</f>
        <v/>
      </c>
      <c r="B523" s="39" t="str">
        <f aca="false">IFERROR(INDEX(对接源_01入库吨位!$B$5:$B$304,MATCH(INT((ROW()-5)/3)+1,对接源_01入库吨位!$S$5:$S$304,0)),"")</f>
        <v/>
      </c>
      <c r="C523" s="39" t="str">
        <f aca="false">IFERROR(INDEX(对接源_01入库吨位!$C$5:$C$304,MATCH(INT((ROW()-5)/3)+1,对接源_01入库吨位!$S$5:$S$304,0)),"")</f>
        <v/>
      </c>
      <c r="D523" s="40" t="str">
        <f aca="false">IF($B523="","",IF(MOD(ROW()-5,3)=0,"周转打冷",IF(MOD(ROW()-5,3)=1,"仓储加工","装卸费")))</f>
        <v/>
      </c>
      <c r="E523" s="51" t="str">
        <f aca="false">IF($B523="","",IFERROR(IF($D523="周转打冷",N(INDEX(对接源_01入库吨位!$D$5:$D$304,MATCH(INT((ROW()-5)/3)+1,对接源_01入库吨位!$S$5:$S$304,0))),IF($D523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3" s="41" t="str">
        <f aca="false">IF($B523="","",ROUND(IFERROR(IF($D523="周转打冷",N(INDEX(对接源_01入库吨位!$H$5:$H$304,MATCH(INT((ROW()-5)/3)+1,对接源_01入库吨位!$S$5:$S$304,0))),IF($D523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3" s="52" t="str">
        <f aca="false">IF($B523="","",ROUND(N($F523)/1000,3))</f>
        <v/>
      </c>
      <c r="H523" s="74"/>
      <c r="I523" s="44"/>
      <c r="J523" s="75" t="str">
        <f aca="false">IF($B523="","",IF($H523="按筐数×单价",N($E523),IF($H523="按总重KG×单价",N($F523),IF($H523="按吨位×单价",N($G523),0))))</f>
        <v/>
      </c>
      <c r="K523" s="41" t="str">
        <f aca="false">IF($B523="","",ROUND(N($J523)*N($I523),2))</f>
        <v/>
      </c>
      <c r="L523" s="42"/>
      <c r="M523" s="76"/>
      <c r="N523" s="43"/>
      <c r="R523" s="77" t="str">
        <f aca="false">IF($B523="","",$B523)</f>
        <v/>
      </c>
      <c r="S523" s="77" t="n">
        <f aca="false">IF($R523="",0,IF(MATCH($R523,$R$5:$R$904,0)=ROW()-4,1,0))</f>
        <v>0</v>
      </c>
      <c r="T523" s="77" t="n">
        <f aca="false">N(T522)+$S523</f>
        <v>18</v>
      </c>
    </row>
    <row r="524" customFormat="false" ht="13.5" hidden="false" customHeight="false" outlineLevel="0" collapsed="false">
      <c r="A524" s="9" t="str">
        <f aca="false">IF($B524="","",ROW()-4)</f>
        <v/>
      </c>
      <c r="B524" s="39" t="str">
        <f aca="false">IFERROR(INDEX(对接源_01入库吨位!$B$5:$B$304,MATCH(INT((ROW()-5)/3)+1,对接源_01入库吨位!$S$5:$S$304,0)),"")</f>
        <v/>
      </c>
      <c r="C524" s="39" t="str">
        <f aca="false">IFERROR(INDEX(对接源_01入库吨位!$C$5:$C$304,MATCH(INT((ROW()-5)/3)+1,对接源_01入库吨位!$S$5:$S$304,0)),"")</f>
        <v/>
      </c>
      <c r="D524" s="40" t="str">
        <f aca="false">IF($B524="","",IF(MOD(ROW()-5,3)=0,"周转打冷",IF(MOD(ROW()-5,3)=1,"仓储加工","装卸费")))</f>
        <v/>
      </c>
      <c r="E524" s="51" t="str">
        <f aca="false">IF($B524="","",IFERROR(IF($D524="周转打冷",N(INDEX(对接源_01入库吨位!$D$5:$D$304,MATCH(INT((ROW()-5)/3)+1,对接源_01入库吨位!$S$5:$S$304,0))),IF($D524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4" s="41" t="str">
        <f aca="false">IF($B524="","",ROUND(IFERROR(IF($D524="周转打冷",N(INDEX(对接源_01入库吨位!$H$5:$H$304,MATCH(INT((ROW()-5)/3)+1,对接源_01入库吨位!$S$5:$S$304,0))),IF($D524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4" s="52" t="str">
        <f aca="false">IF($B524="","",ROUND(N($F524)/1000,3))</f>
        <v/>
      </c>
      <c r="H524" s="74"/>
      <c r="I524" s="44"/>
      <c r="J524" s="75" t="str">
        <f aca="false">IF($B524="","",IF($H524="按筐数×单价",N($E524),IF($H524="按总重KG×单价",N($F524),IF($H524="按吨位×单价",N($G524),0))))</f>
        <v/>
      </c>
      <c r="K524" s="41" t="str">
        <f aca="false">IF($B524="","",ROUND(N($J524)*N($I524),2))</f>
        <v/>
      </c>
      <c r="L524" s="42"/>
      <c r="M524" s="76"/>
      <c r="N524" s="43"/>
      <c r="R524" s="77" t="str">
        <f aca="false">IF($B524="","",$B524)</f>
        <v/>
      </c>
      <c r="S524" s="77" t="n">
        <f aca="false">IF($R524="",0,IF(MATCH($R524,$R$5:$R$904,0)=ROW()-4,1,0))</f>
        <v>0</v>
      </c>
      <c r="T524" s="77" t="n">
        <f aca="false">N(T523)+$S524</f>
        <v>18</v>
      </c>
    </row>
    <row r="525" customFormat="false" ht="13.5" hidden="false" customHeight="false" outlineLevel="0" collapsed="false">
      <c r="A525" s="9" t="str">
        <f aca="false">IF($B525="","",ROW()-4)</f>
        <v/>
      </c>
      <c r="B525" s="39" t="str">
        <f aca="false">IFERROR(INDEX(对接源_01入库吨位!$B$5:$B$304,MATCH(INT((ROW()-5)/3)+1,对接源_01入库吨位!$S$5:$S$304,0)),"")</f>
        <v/>
      </c>
      <c r="C525" s="39" t="str">
        <f aca="false">IFERROR(INDEX(对接源_01入库吨位!$C$5:$C$304,MATCH(INT((ROW()-5)/3)+1,对接源_01入库吨位!$S$5:$S$304,0)),"")</f>
        <v/>
      </c>
      <c r="D525" s="40" t="str">
        <f aca="false">IF($B525="","",IF(MOD(ROW()-5,3)=0,"周转打冷",IF(MOD(ROW()-5,3)=1,"仓储加工","装卸费")))</f>
        <v/>
      </c>
      <c r="E525" s="51" t="str">
        <f aca="false">IF($B525="","",IFERROR(IF($D525="周转打冷",N(INDEX(对接源_01入库吨位!$D$5:$D$304,MATCH(INT((ROW()-5)/3)+1,对接源_01入库吨位!$S$5:$S$304,0))),IF($D525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5" s="41" t="str">
        <f aca="false">IF($B525="","",ROUND(IFERROR(IF($D525="周转打冷",N(INDEX(对接源_01入库吨位!$H$5:$H$304,MATCH(INT((ROW()-5)/3)+1,对接源_01入库吨位!$S$5:$S$304,0))),IF($D525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5" s="52" t="str">
        <f aca="false">IF($B525="","",ROUND(N($F525)/1000,3))</f>
        <v/>
      </c>
      <c r="H525" s="74"/>
      <c r="I525" s="44"/>
      <c r="J525" s="75" t="str">
        <f aca="false">IF($B525="","",IF($H525="按筐数×单价",N($E525),IF($H525="按总重KG×单价",N($F525),IF($H525="按吨位×单价",N($G525),0))))</f>
        <v/>
      </c>
      <c r="K525" s="41" t="str">
        <f aca="false">IF($B525="","",ROUND(N($J525)*N($I525),2))</f>
        <v/>
      </c>
      <c r="L525" s="42"/>
      <c r="M525" s="76"/>
      <c r="N525" s="43"/>
      <c r="R525" s="77" t="str">
        <f aca="false">IF($B525="","",$B525)</f>
        <v/>
      </c>
      <c r="S525" s="77" t="n">
        <f aca="false">IF($R525="",0,IF(MATCH($R525,$R$5:$R$904,0)=ROW()-4,1,0))</f>
        <v>0</v>
      </c>
      <c r="T525" s="77" t="n">
        <f aca="false">N(T524)+$S525</f>
        <v>18</v>
      </c>
    </row>
    <row r="526" customFormat="false" ht="13.5" hidden="false" customHeight="false" outlineLevel="0" collapsed="false">
      <c r="A526" s="9" t="str">
        <f aca="false">IF($B526="","",ROW()-4)</f>
        <v/>
      </c>
      <c r="B526" s="39" t="str">
        <f aca="false">IFERROR(INDEX(对接源_01入库吨位!$B$5:$B$304,MATCH(INT((ROW()-5)/3)+1,对接源_01入库吨位!$S$5:$S$304,0)),"")</f>
        <v/>
      </c>
      <c r="C526" s="39" t="str">
        <f aca="false">IFERROR(INDEX(对接源_01入库吨位!$C$5:$C$304,MATCH(INT((ROW()-5)/3)+1,对接源_01入库吨位!$S$5:$S$304,0)),"")</f>
        <v/>
      </c>
      <c r="D526" s="40" t="str">
        <f aca="false">IF($B526="","",IF(MOD(ROW()-5,3)=0,"周转打冷",IF(MOD(ROW()-5,3)=1,"仓储加工","装卸费")))</f>
        <v/>
      </c>
      <c r="E526" s="51" t="str">
        <f aca="false">IF($B526="","",IFERROR(IF($D526="周转打冷",N(INDEX(对接源_01入库吨位!$D$5:$D$304,MATCH(INT((ROW()-5)/3)+1,对接源_01入库吨位!$S$5:$S$304,0))),IF($D526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6" s="41" t="str">
        <f aca="false">IF($B526="","",ROUND(IFERROR(IF($D526="周转打冷",N(INDEX(对接源_01入库吨位!$H$5:$H$304,MATCH(INT((ROW()-5)/3)+1,对接源_01入库吨位!$S$5:$S$304,0))),IF($D526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6" s="52" t="str">
        <f aca="false">IF($B526="","",ROUND(N($F526)/1000,3))</f>
        <v/>
      </c>
      <c r="H526" s="74"/>
      <c r="I526" s="44"/>
      <c r="J526" s="75" t="str">
        <f aca="false">IF($B526="","",IF($H526="按筐数×单价",N($E526),IF($H526="按总重KG×单价",N($F526),IF($H526="按吨位×单价",N($G526),0))))</f>
        <v/>
      </c>
      <c r="K526" s="41" t="str">
        <f aca="false">IF($B526="","",ROUND(N($J526)*N($I526),2))</f>
        <v/>
      </c>
      <c r="L526" s="42"/>
      <c r="M526" s="76"/>
      <c r="N526" s="43"/>
      <c r="R526" s="77" t="str">
        <f aca="false">IF($B526="","",$B526)</f>
        <v/>
      </c>
      <c r="S526" s="77" t="n">
        <f aca="false">IF($R526="",0,IF(MATCH($R526,$R$5:$R$904,0)=ROW()-4,1,0))</f>
        <v>0</v>
      </c>
      <c r="T526" s="77" t="n">
        <f aca="false">N(T525)+$S526</f>
        <v>18</v>
      </c>
    </row>
    <row r="527" customFormat="false" ht="13.5" hidden="false" customHeight="false" outlineLevel="0" collapsed="false">
      <c r="A527" s="9" t="str">
        <f aca="false">IF($B527="","",ROW()-4)</f>
        <v/>
      </c>
      <c r="B527" s="39" t="str">
        <f aca="false">IFERROR(INDEX(对接源_01入库吨位!$B$5:$B$304,MATCH(INT((ROW()-5)/3)+1,对接源_01入库吨位!$S$5:$S$304,0)),"")</f>
        <v/>
      </c>
      <c r="C527" s="39" t="str">
        <f aca="false">IFERROR(INDEX(对接源_01入库吨位!$C$5:$C$304,MATCH(INT((ROW()-5)/3)+1,对接源_01入库吨位!$S$5:$S$304,0)),"")</f>
        <v/>
      </c>
      <c r="D527" s="40" t="str">
        <f aca="false">IF($B527="","",IF(MOD(ROW()-5,3)=0,"周转打冷",IF(MOD(ROW()-5,3)=1,"仓储加工","装卸费")))</f>
        <v/>
      </c>
      <c r="E527" s="51" t="str">
        <f aca="false">IF($B527="","",IFERROR(IF($D527="周转打冷",N(INDEX(对接源_01入库吨位!$D$5:$D$304,MATCH(INT((ROW()-5)/3)+1,对接源_01入库吨位!$S$5:$S$304,0))),IF($D527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7" s="41" t="str">
        <f aca="false">IF($B527="","",ROUND(IFERROR(IF($D527="周转打冷",N(INDEX(对接源_01入库吨位!$H$5:$H$304,MATCH(INT((ROW()-5)/3)+1,对接源_01入库吨位!$S$5:$S$304,0))),IF($D527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7" s="52" t="str">
        <f aca="false">IF($B527="","",ROUND(N($F527)/1000,3))</f>
        <v/>
      </c>
      <c r="H527" s="74"/>
      <c r="I527" s="44"/>
      <c r="J527" s="75" t="str">
        <f aca="false">IF($B527="","",IF($H527="按筐数×单价",N($E527),IF($H527="按总重KG×单价",N($F527),IF($H527="按吨位×单价",N($G527),0))))</f>
        <v/>
      </c>
      <c r="K527" s="41" t="str">
        <f aca="false">IF($B527="","",ROUND(N($J527)*N($I527),2))</f>
        <v/>
      </c>
      <c r="L527" s="42"/>
      <c r="M527" s="76"/>
      <c r="N527" s="43"/>
      <c r="R527" s="77" t="str">
        <f aca="false">IF($B527="","",$B527)</f>
        <v/>
      </c>
      <c r="S527" s="77" t="n">
        <f aca="false">IF($R527="",0,IF(MATCH($R527,$R$5:$R$904,0)=ROW()-4,1,0))</f>
        <v>0</v>
      </c>
      <c r="T527" s="77" t="n">
        <f aca="false">N(T526)+$S527</f>
        <v>18</v>
      </c>
    </row>
    <row r="528" customFormat="false" ht="13.5" hidden="false" customHeight="false" outlineLevel="0" collapsed="false">
      <c r="A528" s="9" t="str">
        <f aca="false">IF($B528="","",ROW()-4)</f>
        <v/>
      </c>
      <c r="B528" s="39" t="str">
        <f aca="false">IFERROR(INDEX(对接源_01入库吨位!$B$5:$B$304,MATCH(INT((ROW()-5)/3)+1,对接源_01入库吨位!$S$5:$S$304,0)),"")</f>
        <v/>
      </c>
      <c r="C528" s="39" t="str">
        <f aca="false">IFERROR(INDEX(对接源_01入库吨位!$C$5:$C$304,MATCH(INT((ROW()-5)/3)+1,对接源_01入库吨位!$S$5:$S$304,0)),"")</f>
        <v/>
      </c>
      <c r="D528" s="40" t="str">
        <f aca="false">IF($B528="","",IF(MOD(ROW()-5,3)=0,"周转打冷",IF(MOD(ROW()-5,3)=1,"仓储加工","装卸费")))</f>
        <v/>
      </c>
      <c r="E528" s="51" t="str">
        <f aca="false">IF($B528="","",IFERROR(IF($D528="周转打冷",N(INDEX(对接源_01入库吨位!$D$5:$D$304,MATCH(INT((ROW()-5)/3)+1,对接源_01入库吨位!$S$5:$S$304,0))),IF($D528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8" s="41" t="str">
        <f aca="false">IF($B528="","",ROUND(IFERROR(IF($D528="周转打冷",N(INDEX(对接源_01入库吨位!$H$5:$H$304,MATCH(INT((ROW()-5)/3)+1,对接源_01入库吨位!$S$5:$S$304,0))),IF($D528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8" s="52" t="str">
        <f aca="false">IF($B528="","",ROUND(N($F528)/1000,3))</f>
        <v/>
      </c>
      <c r="H528" s="74"/>
      <c r="I528" s="44"/>
      <c r="J528" s="75" t="str">
        <f aca="false">IF($B528="","",IF($H528="按筐数×单价",N($E528),IF($H528="按总重KG×单价",N($F528),IF($H528="按吨位×单价",N($G528),0))))</f>
        <v/>
      </c>
      <c r="K528" s="41" t="str">
        <f aca="false">IF($B528="","",ROUND(N($J528)*N($I528),2))</f>
        <v/>
      </c>
      <c r="L528" s="42"/>
      <c r="M528" s="76"/>
      <c r="N528" s="43"/>
      <c r="R528" s="77" t="str">
        <f aca="false">IF($B528="","",$B528)</f>
        <v/>
      </c>
      <c r="S528" s="77" t="n">
        <f aca="false">IF($R528="",0,IF(MATCH($R528,$R$5:$R$904,0)=ROW()-4,1,0))</f>
        <v>0</v>
      </c>
      <c r="T528" s="77" t="n">
        <f aca="false">N(T527)+$S528</f>
        <v>18</v>
      </c>
    </row>
    <row r="529" customFormat="false" ht="13.5" hidden="false" customHeight="false" outlineLevel="0" collapsed="false">
      <c r="A529" s="9" t="str">
        <f aca="false">IF($B529="","",ROW()-4)</f>
        <v/>
      </c>
      <c r="B529" s="39" t="str">
        <f aca="false">IFERROR(INDEX(对接源_01入库吨位!$B$5:$B$304,MATCH(INT((ROW()-5)/3)+1,对接源_01入库吨位!$S$5:$S$304,0)),"")</f>
        <v/>
      </c>
      <c r="C529" s="39" t="str">
        <f aca="false">IFERROR(INDEX(对接源_01入库吨位!$C$5:$C$304,MATCH(INT((ROW()-5)/3)+1,对接源_01入库吨位!$S$5:$S$304,0)),"")</f>
        <v/>
      </c>
      <c r="D529" s="40" t="str">
        <f aca="false">IF($B529="","",IF(MOD(ROW()-5,3)=0,"周转打冷",IF(MOD(ROW()-5,3)=1,"仓储加工","装卸费")))</f>
        <v/>
      </c>
      <c r="E529" s="51" t="str">
        <f aca="false">IF($B529="","",IFERROR(IF($D529="周转打冷",N(INDEX(对接源_01入库吨位!$D$5:$D$304,MATCH(INT((ROW()-5)/3)+1,对接源_01入库吨位!$S$5:$S$304,0))),IF($D529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29" s="41" t="str">
        <f aca="false">IF($B529="","",ROUND(IFERROR(IF($D529="周转打冷",N(INDEX(对接源_01入库吨位!$H$5:$H$304,MATCH(INT((ROW()-5)/3)+1,对接源_01入库吨位!$S$5:$S$304,0))),IF($D529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29" s="52" t="str">
        <f aca="false">IF($B529="","",ROUND(N($F529)/1000,3))</f>
        <v/>
      </c>
      <c r="H529" s="74"/>
      <c r="I529" s="44"/>
      <c r="J529" s="75" t="str">
        <f aca="false">IF($B529="","",IF($H529="按筐数×单价",N($E529),IF($H529="按总重KG×单价",N($F529),IF($H529="按吨位×单价",N($G529),0))))</f>
        <v/>
      </c>
      <c r="K529" s="41" t="str">
        <f aca="false">IF($B529="","",ROUND(N($J529)*N($I529),2))</f>
        <v/>
      </c>
      <c r="L529" s="42"/>
      <c r="M529" s="76"/>
      <c r="N529" s="43"/>
      <c r="R529" s="77" t="str">
        <f aca="false">IF($B529="","",$B529)</f>
        <v/>
      </c>
      <c r="S529" s="77" t="n">
        <f aca="false">IF($R529="",0,IF(MATCH($R529,$R$5:$R$904,0)=ROW()-4,1,0))</f>
        <v>0</v>
      </c>
      <c r="T529" s="77" t="n">
        <f aca="false">N(T528)+$S529</f>
        <v>18</v>
      </c>
    </row>
    <row r="530" customFormat="false" ht="13.5" hidden="false" customHeight="false" outlineLevel="0" collapsed="false">
      <c r="A530" s="9" t="str">
        <f aca="false">IF($B530="","",ROW()-4)</f>
        <v/>
      </c>
      <c r="B530" s="39" t="str">
        <f aca="false">IFERROR(INDEX(对接源_01入库吨位!$B$5:$B$304,MATCH(INT((ROW()-5)/3)+1,对接源_01入库吨位!$S$5:$S$304,0)),"")</f>
        <v/>
      </c>
      <c r="C530" s="39" t="str">
        <f aca="false">IFERROR(INDEX(对接源_01入库吨位!$C$5:$C$304,MATCH(INT((ROW()-5)/3)+1,对接源_01入库吨位!$S$5:$S$304,0)),"")</f>
        <v/>
      </c>
      <c r="D530" s="40" t="str">
        <f aca="false">IF($B530="","",IF(MOD(ROW()-5,3)=0,"周转打冷",IF(MOD(ROW()-5,3)=1,"仓储加工","装卸费")))</f>
        <v/>
      </c>
      <c r="E530" s="51" t="str">
        <f aca="false">IF($B530="","",IFERROR(IF($D530="周转打冷",N(INDEX(对接源_01入库吨位!$D$5:$D$304,MATCH(INT((ROW()-5)/3)+1,对接源_01入库吨位!$S$5:$S$304,0))),IF($D530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0" s="41" t="str">
        <f aca="false">IF($B530="","",ROUND(IFERROR(IF($D530="周转打冷",N(INDEX(对接源_01入库吨位!$H$5:$H$304,MATCH(INT((ROW()-5)/3)+1,对接源_01入库吨位!$S$5:$S$304,0))),IF($D530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0" s="52" t="str">
        <f aca="false">IF($B530="","",ROUND(N($F530)/1000,3))</f>
        <v/>
      </c>
      <c r="H530" s="74"/>
      <c r="I530" s="44"/>
      <c r="J530" s="75" t="str">
        <f aca="false">IF($B530="","",IF($H530="按筐数×单价",N($E530),IF($H530="按总重KG×单价",N($F530),IF($H530="按吨位×单价",N($G530),0))))</f>
        <v/>
      </c>
      <c r="K530" s="41" t="str">
        <f aca="false">IF($B530="","",ROUND(N($J530)*N($I530),2))</f>
        <v/>
      </c>
      <c r="L530" s="42"/>
      <c r="M530" s="76"/>
      <c r="N530" s="43"/>
      <c r="R530" s="77" t="str">
        <f aca="false">IF($B530="","",$B530)</f>
        <v/>
      </c>
      <c r="S530" s="77" t="n">
        <f aca="false">IF($R530="",0,IF(MATCH($R530,$R$5:$R$904,0)=ROW()-4,1,0))</f>
        <v>0</v>
      </c>
      <c r="T530" s="77" t="n">
        <f aca="false">N(T529)+$S530</f>
        <v>18</v>
      </c>
    </row>
    <row r="531" customFormat="false" ht="13.5" hidden="false" customHeight="false" outlineLevel="0" collapsed="false">
      <c r="A531" s="9" t="str">
        <f aca="false">IF($B531="","",ROW()-4)</f>
        <v/>
      </c>
      <c r="B531" s="39" t="str">
        <f aca="false">IFERROR(INDEX(对接源_01入库吨位!$B$5:$B$304,MATCH(INT((ROW()-5)/3)+1,对接源_01入库吨位!$S$5:$S$304,0)),"")</f>
        <v/>
      </c>
      <c r="C531" s="39" t="str">
        <f aca="false">IFERROR(INDEX(对接源_01入库吨位!$C$5:$C$304,MATCH(INT((ROW()-5)/3)+1,对接源_01入库吨位!$S$5:$S$304,0)),"")</f>
        <v/>
      </c>
      <c r="D531" s="40" t="str">
        <f aca="false">IF($B531="","",IF(MOD(ROW()-5,3)=0,"周转打冷",IF(MOD(ROW()-5,3)=1,"仓储加工","装卸费")))</f>
        <v/>
      </c>
      <c r="E531" s="51" t="str">
        <f aca="false">IF($B531="","",IFERROR(IF($D531="周转打冷",N(INDEX(对接源_01入库吨位!$D$5:$D$304,MATCH(INT((ROW()-5)/3)+1,对接源_01入库吨位!$S$5:$S$304,0))),IF($D531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1" s="41" t="str">
        <f aca="false">IF($B531="","",ROUND(IFERROR(IF($D531="周转打冷",N(INDEX(对接源_01入库吨位!$H$5:$H$304,MATCH(INT((ROW()-5)/3)+1,对接源_01入库吨位!$S$5:$S$304,0))),IF($D531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1" s="52" t="str">
        <f aca="false">IF($B531="","",ROUND(N($F531)/1000,3))</f>
        <v/>
      </c>
      <c r="H531" s="74"/>
      <c r="I531" s="44"/>
      <c r="J531" s="75" t="str">
        <f aca="false">IF($B531="","",IF($H531="按筐数×单价",N($E531),IF($H531="按总重KG×单价",N($F531),IF($H531="按吨位×单价",N($G531),0))))</f>
        <v/>
      </c>
      <c r="K531" s="41" t="str">
        <f aca="false">IF($B531="","",ROUND(N($J531)*N($I531),2))</f>
        <v/>
      </c>
      <c r="L531" s="42"/>
      <c r="M531" s="76"/>
      <c r="N531" s="43"/>
      <c r="R531" s="77" t="str">
        <f aca="false">IF($B531="","",$B531)</f>
        <v/>
      </c>
      <c r="S531" s="77" t="n">
        <f aca="false">IF($R531="",0,IF(MATCH($R531,$R$5:$R$904,0)=ROW()-4,1,0))</f>
        <v>0</v>
      </c>
      <c r="T531" s="77" t="n">
        <f aca="false">N(T530)+$S531</f>
        <v>18</v>
      </c>
    </row>
    <row r="532" customFormat="false" ht="13.5" hidden="false" customHeight="false" outlineLevel="0" collapsed="false">
      <c r="A532" s="9" t="str">
        <f aca="false">IF($B532="","",ROW()-4)</f>
        <v/>
      </c>
      <c r="B532" s="39" t="str">
        <f aca="false">IFERROR(INDEX(对接源_01入库吨位!$B$5:$B$304,MATCH(INT((ROW()-5)/3)+1,对接源_01入库吨位!$S$5:$S$304,0)),"")</f>
        <v/>
      </c>
      <c r="C532" s="39" t="str">
        <f aca="false">IFERROR(INDEX(对接源_01入库吨位!$C$5:$C$304,MATCH(INT((ROW()-5)/3)+1,对接源_01入库吨位!$S$5:$S$304,0)),"")</f>
        <v/>
      </c>
      <c r="D532" s="40" t="str">
        <f aca="false">IF($B532="","",IF(MOD(ROW()-5,3)=0,"周转打冷",IF(MOD(ROW()-5,3)=1,"仓储加工","装卸费")))</f>
        <v/>
      </c>
      <c r="E532" s="51" t="str">
        <f aca="false">IF($B532="","",IFERROR(IF($D532="周转打冷",N(INDEX(对接源_01入库吨位!$D$5:$D$304,MATCH(INT((ROW()-5)/3)+1,对接源_01入库吨位!$S$5:$S$304,0))),IF($D532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2" s="41" t="str">
        <f aca="false">IF($B532="","",ROUND(IFERROR(IF($D532="周转打冷",N(INDEX(对接源_01入库吨位!$H$5:$H$304,MATCH(INT((ROW()-5)/3)+1,对接源_01入库吨位!$S$5:$S$304,0))),IF($D532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2" s="52" t="str">
        <f aca="false">IF($B532="","",ROUND(N($F532)/1000,3))</f>
        <v/>
      </c>
      <c r="H532" s="74"/>
      <c r="I532" s="44"/>
      <c r="J532" s="75" t="str">
        <f aca="false">IF($B532="","",IF($H532="按筐数×单价",N($E532),IF($H532="按总重KG×单价",N($F532),IF($H532="按吨位×单价",N($G532),0))))</f>
        <v/>
      </c>
      <c r="K532" s="41" t="str">
        <f aca="false">IF($B532="","",ROUND(N($J532)*N($I532),2))</f>
        <v/>
      </c>
      <c r="L532" s="42"/>
      <c r="M532" s="76"/>
      <c r="N532" s="43"/>
      <c r="R532" s="77" t="str">
        <f aca="false">IF($B532="","",$B532)</f>
        <v/>
      </c>
      <c r="S532" s="77" t="n">
        <f aca="false">IF($R532="",0,IF(MATCH($R532,$R$5:$R$904,0)=ROW()-4,1,0))</f>
        <v>0</v>
      </c>
      <c r="T532" s="77" t="n">
        <f aca="false">N(T531)+$S532</f>
        <v>18</v>
      </c>
    </row>
    <row r="533" customFormat="false" ht="13.5" hidden="false" customHeight="false" outlineLevel="0" collapsed="false">
      <c r="A533" s="9" t="str">
        <f aca="false">IF($B533="","",ROW()-4)</f>
        <v/>
      </c>
      <c r="B533" s="39" t="str">
        <f aca="false">IFERROR(INDEX(对接源_01入库吨位!$B$5:$B$304,MATCH(INT((ROW()-5)/3)+1,对接源_01入库吨位!$S$5:$S$304,0)),"")</f>
        <v/>
      </c>
      <c r="C533" s="39" t="str">
        <f aca="false">IFERROR(INDEX(对接源_01入库吨位!$C$5:$C$304,MATCH(INT((ROW()-5)/3)+1,对接源_01入库吨位!$S$5:$S$304,0)),"")</f>
        <v/>
      </c>
      <c r="D533" s="40" t="str">
        <f aca="false">IF($B533="","",IF(MOD(ROW()-5,3)=0,"周转打冷",IF(MOD(ROW()-5,3)=1,"仓储加工","装卸费")))</f>
        <v/>
      </c>
      <c r="E533" s="51" t="str">
        <f aca="false">IF($B533="","",IFERROR(IF($D533="周转打冷",N(INDEX(对接源_01入库吨位!$D$5:$D$304,MATCH(INT((ROW()-5)/3)+1,对接源_01入库吨位!$S$5:$S$304,0))),IF($D533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3" s="41" t="str">
        <f aca="false">IF($B533="","",ROUND(IFERROR(IF($D533="周转打冷",N(INDEX(对接源_01入库吨位!$H$5:$H$304,MATCH(INT((ROW()-5)/3)+1,对接源_01入库吨位!$S$5:$S$304,0))),IF($D533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3" s="52" t="str">
        <f aca="false">IF($B533="","",ROUND(N($F533)/1000,3))</f>
        <v/>
      </c>
      <c r="H533" s="74"/>
      <c r="I533" s="44"/>
      <c r="J533" s="75" t="str">
        <f aca="false">IF($B533="","",IF($H533="按筐数×单价",N($E533),IF($H533="按总重KG×单价",N($F533),IF($H533="按吨位×单价",N($G533),0))))</f>
        <v/>
      </c>
      <c r="K533" s="41" t="str">
        <f aca="false">IF($B533="","",ROUND(N($J533)*N($I533),2))</f>
        <v/>
      </c>
      <c r="L533" s="42"/>
      <c r="M533" s="76"/>
      <c r="N533" s="43"/>
      <c r="R533" s="77" t="str">
        <f aca="false">IF($B533="","",$B533)</f>
        <v/>
      </c>
      <c r="S533" s="77" t="n">
        <f aca="false">IF($R533="",0,IF(MATCH($R533,$R$5:$R$904,0)=ROW()-4,1,0))</f>
        <v>0</v>
      </c>
      <c r="T533" s="77" t="n">
        <f aca="false">N(T532)+$S533</f>
        <v>18</v>
      </c>
    </row>
    <row r="534" customFormat="false" ht="13.5" hidden="false" customHeight="false" outlineLevel="0" collapsed="false">
      <c r="A534" s="9" t="str">
        <f aca="false">IF($B534="","",ROW()-4)</f>
        <v/>
      </c>
      <c r="B534" s="39" t="str">
        <f aca="false">IFERROR(INDEX(对接源_01入库吨位!$B$5:$B$304,MATCH(INT((ROW()-5)/3)+1,对接源_01入库吨位!$S$5:$S$304,0)),"")</f>
        <v/>
      </c>
      <c r="C534" s="39" t="str">
        <f aca="false">IFERROR(INDEX(对接源_01入库吨位!$C$5:$C$304,MATCH(INT((ROW()-5)/3)+1,对接源_01入库吨位!$S$5:$S$304,0)),"")</f>
        <v/>
      </c>
      <c r="D534" s="40" t="str">
        <f aca="false">IF($B534="","",IF(MOD(ROW()-5,3)=0,"周转打冷",IF(MOD(ROW()-5,3)=1,"仓储加工","装卸费")))</f>
        <v/>
      </c>
      <c r="E534" s="51" t="str">
        <f aca="false">IF($B534="","",IFERROR(IF($D534="周转打冷",N(INDEX(对接源_01入库吨位!$D$5:$D$304,MATCH(INT((ROW()-5)/3)+1,对接源_01入库吨位!$S$5:$S$304,0))),IF($D534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4" s="41" t="str">
        <f aca="false">IF($B534="","",ROUND(IFERROR(IF($D534="周转打冷",N(INDEX(对接源_01入库吨位!$H$5:$H$304,MATCH(INT((ROW()-5)/3)+1,对接源_01入库吨位!$S$5:$S$304,0))),IF($D534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4" s="52" t="str">
        <f aca="false">IF($B534="","",ROUND(N($F534)/1000,3))</f>
        <v/>
      </c>
      <c r="H534" s="74"/>
      <c r="I534" s="44"/>
      <c r="J534" s="75" t="str">
        <f aca="false">IF($B534="","",IF($H534="按筐数×单价",N($E534),IF($H534="按总重KG×单价",N($F534),IF($H534="按吨位×单价",N($G534),0))))</f>
        <v/>
      </c>
      <c r="K534" s="41" t="str">
        <f aca="false">IF($B534="","",ROUND(N($J534)*N($I534),2))</f>
        <v/>
      </c>
      <c r="L534" s="42"/>
      <c r="M534" s="76"/>
      <c r="N534" s="43"/>
      <c r="R534" s="77" t="str">
        <f aca="false">IF($B534="","",$B534)</f>
        <v/>
      </c>
      <c r="S534" s="77" t="n">
        <f aca="false">IF($R534="",0,IF(MATCH($R534,$R$5:$R$904,0)=ROW()-4,1,0))</f>
        <v>0</v>
      </c>
      <c r="T534" s="77" t="n">
        <f aca="false">N(T533)+$S534</f>
        <v>18</v>
      </c>
    </row>
    <row r="535" customFormat="false" ht="13.5" hidden="false" customHeight="false" outlineLevel="0" collapsed="false">
      <c r="A535" s="9" t="str">
        <f aca="false">IF($B535="","",ROW()-4)</f>
        <v/>
      </c>
      <c r="B535" s="39" t="str">
        <f aca="false">IFERROR(INDEX(对接源_01入库吨位!$B$5:$B$304,MATCH(INT((ROW()-5)/3)+1,对接源_01入库吨位!$S$5:$S$304,0)),"")</f>
        <v/>
      </c>
      <c r="C535" s="39" t="str">
        <f aca="false">IFERROR(INDEX(对接源_01入库吨位!$C$5:$C$304,MATCH(INT((ROW()-5)/3)+1,对接源_01入库吨位!$S$5:$S$304,0)),"")</f>
        <v/>
      </c>
      <c r="D535" s="40" t="str">
        <f aca="false">IF($B535="","",IF(MOD(ROW()-5,3)=0,"周转打冷",IF(MOD(ROW()-5,3)=1,"仓储加工","装卸费")))</f>
        <v/>
      </c>
      <c r="E535" s="51" t="str">
        <f aca="false">IF($B535="","",IFERROR(IF($D535="周转打冷",N(INDEX(对接源_01入库吨位!$D$5:$D$304,MATCH(INT((ROW()-5)/3)+1,对接源_01入库吨位!$S$5:$S$304,0))),IF($D535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5" s="41" t="str">
        <f aca="false">IF($B535="","",ROUND(IFERROR(IF($D535="周转打冷",N(INDEX(对接源_01入库吨位!$H$5:$H$304,MATCH(INT((ROW()-5)/3)+1,对接源_01入库吨位!$S$5:$S$304,0))),IF($D535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5" s="52" t="str">
        <f aca="false">IF($B535="","",ROUND(N($F535)/1000,3))</f>
        <v/>
      </c>
      <c r="H535" s="74"/>
      <c r="I535" s="44"/>
      <c r="J535" s="75" t="str">
        <f aca="false">IF($B535="","",IF($H535="按筐数×单价",N($E535),IF($H535="按总重KG×单价",N($F535),IF($H535="按吨位×单价",N($G535),0))))</f>
        <v/>
      </c>
      <c r="K535" s="41" t="str">
        <f aca="false">IF($B535="","",ROUND(N($J535)*N($I535),2))</f>
        <v/>
      </c>
      <c r="L535" s="42"/>
      <c r="M535" s="76"/>
      <c r="N535" s="43"/>
      <c r="R535" s="77" t="str">
        <f aca="false">IF($B535="","",$B535)</f>
        <v/>
      </c>
      <c r="S535" s="77" t="n">
        <f aca="false">IF($R535="",0,IF(MATCH($R535,$R$5:$R$904,0)=ROW()-4,1,0))</f>
        <v>0</v>
      </c>
      <c r="T535" s="77" t="n">
        <f aca="false">N(T534)+$S535</f>
        <v>18</v>
      </c>
    </row>
    <row r="536" customFormat="false" ht="13.5" hidden="false" customHeight="false" outlineLevel="0" collapsed="false">
      <c r="A536" s="9" t="str">
        <f aca="false">IF($B536="","",ROW()-4)</f>
        <v/>
      </c>
      <c r="B536" s="39" t="str">
        <f aca="false">IFERROR(INDEX(对接源_01入库吨位!$B$5:$B$304,MATCH(INT((ROW()-5)/3)+1,对接源_01入库吨位!$S$5:$S$304,0)),"")</f>
        <v/>
      </c>
      <c r="C536" s="39" t="str">
        <f aca="false">IFERROR(INDEX(对接源_01入库吨位!$C$5:$C$304,MATCH(INT((ROW()-5)/3)+1,对接源_01入库吨位!$S$5:$S$304,0)),"")</f>
        <v/>
      </c>
      <c r="D536" s="40" t="str">
        <f aca="false">IF($B536="","",IF(MOD(ROW()-5,3)=0,"周转打冷",IF(MOD(ROW()-5,3)=1,"仓储加工","装卸费")))</f>
        <v/>
      </c>
      <c r="E536" s="51" t="str">
        <f aca="false">IF($B536="","",IFERROR(IF($D536="周转打冷",N(INDEX(对接源_01入库吨位!$D$5:$D$304,MATCH(INT((ROW()-5)/3)+1,对接源_01入库吨位!$S$5:$S$304,0))),IF($D536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6" s="41" t="str">
        <f aca="false">IF($B536="","",ROUND(IFERROR(IF($D536="周转打冷",N(INDEX(对接源_01入库吨位!$H$5:$H$304,MATCH(INT((ROW()-5)/3)+1,对接源_01入库吨位!$S$5:$S$304,0))),IF($D536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6" s="52" t="str">
        <f aca="false">IF($B536="","",ROUND(N($F536)/1000,3))</f>
        <v/>
      </c>
      <c r="H536" s="74"/>
      <c r="I536" s="44"/>
      <c r="J536" s="75" t="str">
        <f aca="false">IF($B536="","",IF($H536="按筐数×单价",N($E536),IF($H536="按总重KG×单价",N($F536),IF($H536="按吨位×单价",N($G536),0))))</f>
        <v/>
      </c>
      <c r="K536" s="41" t="str">
        <f aca="false">IF($B536="","",ROUND(N($J536)*N($I536),2))</f>
        <v/>
      </c>
      <c r="L536" s="42"/>
      <c r="M536" s="76"/>
      <c r="N536" s="43"/>
      <c r="R536" s="77" t="str">
        <f aca="false">IF($B536="","",$B536)</f>
        <v/>
      </c>
      <c r="S536" s="77" t="n">
        <f aca="false">IF($R536="",0,IF(MATCH($R536,$R$5:$R$904,0)=ROW()-4,1,0))</f>
        <v>0</v>
      </c>
      <c r="T536" s="77" t="n">
        <f aca="false">N(T535)+$S536</f>
        <v>18</v>
      </c>
    </row>
    <row r="537" customFormat="false" ht="13.5" hidden="false" customHeight="false" outlineLevel="0" collapsed="false">
      <c r="A537" s="9" t="str">
        <f aca="false">IF($B537="","",ROW()-4)</f>
        <v/>
      </c>
      <c r="B537" s="39" t="str">
        <f aca="false">IFERROR(INDEX(对接源_01入库吨位!$B$5:$B$304,MATCH(INT((ROW()-5)/3)+1,对接源_01入库吨位!$S$5:$S$304,0)),"")</f>
        <v/>
      </c>
      <c r="C537" s="39" t="str">
        <f aca="false">IFERROR(INDEX(对接源_01入库吨位!$C$5:$C$304,MATCH(INT((ROW()-5)/3)+1,对接源_01入库吨位!$S$5:$S$304,0)),"")</f>
        <v/>
      </c>
      <c r="D537" s="40" t="str">
        <f aca="false">IF($B537="","",IF(MOD(ROW()-5,3)=0,"周转打冷",IF(MOD(ROW()-5,3)=1,"仓储加工","装卸费")))</f>
        <v/>
      </c>
      <c r="E537" s="51" t="str">
        <f aca="false">IF($B537="","",IFERROR(IF($D537="周转打冷",N(INDEX(对接源_01入库吨位!$D$5:$D$304,MATCH(INT((ROW()-5)/3)+1,对接源_01入库吨位!$S$5:$S$304,0))),IF($D537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7" s="41" t="str">
        <f aca="false">IF($B537="","",ROUND(IFERROR(IF($D537="周转打冷",N(INDEX(对接源_01入库吨位!$H$5:$H$304,MATCH(INT((ROW()-5)/3)+1,对接源_01入库吨位!$S$5:$S$304,0))),IF($D537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7" s="52" t="str">
        <f aca="false">IF($B537="","",ROUND(N($F537)/1000,3))</f>
        <v/>
      </c>
      <c r="H537" s="74"/>
      <c r="I537" s="44"/>
      <c r="J537" s="75" t="str">
        <f aca="false">IF($B537="","",IF($H537="按筐数×单价",N($E537),IF($H537="按总重KG×单价",N($F537),IF($H537="按吨位×单价",N($G537),0))))</f>
        <v/>
      </c>
      <c r="K537" s="41" t="str">
        <f aca="false">IF($B537="","",ROUND(N($J537)*N($I537),2))</f>
        <v/>
      </c>
      <c r="L537" s="42"/>
      <c r="M537" s="76"/>
      <c r="N537" s="43"/>
      <c r="R537" s="77" t="str">
        <f aca="false">IF($B537="","",$B537)</f>
        <v/>
      </c>
      <c r="S537" s="77" t="n">
        <f aca="false">IF($R537="",0,IF(MATCH($R537,$R$5:$R$904,0)=ROW()-4,1,0))</f>
        <v>0</v>
      </c>
      <c r="T537" s="77" t="n">
        <f aca="false">N(T536)+$S537</f>
        <v>18</v>
      </c>
    </row>
    <row r="538" customFormat="false" ht="13.5" hidden="false" customHeight="false" outlineLevel="0" collapsed="false">
      <c r="A538" s="9" t="str">
        <f aca="false">IF($B538="","",ROW()-4)</f>
        <v/>
      </c>
      <c r="B538" s="39" t="str">
        <f aca="false">IFERROR(INDEX(对接源_01入库吨位!$B$5:$B$304,MATCH(INT((ROW()-5)/3)+1,对接源_01入库吨位!$S$5:$S$304,0)),"")</f>
        <v/>
      </c>
      <c r="C538" s="39" t="str">
        <f aca="false">IFERROR(INDEX(对接源_01入库吨位!$C$5:$C$304,MATCH(INT((ROW()-5)/3)+1,对接源_01入库吨位!$S$5:$S$304,0)),"")</f>
        <v/>
      </c>
      <c r="D538" s="40" t="str">
        <f aca="false">IF($B538="","",IF(MOD(ROW()-5,3)=0,"周转打冷",IF(MOD(ROW()-5,3)=1,"仓储加工","装卸费")))</f>
        <v/>
      </c>
      <c r="E538" s="51" t="str">
        <f aca="false">IF($B538="","",IFERROR(IF($D538="周转打冷",N(INDEX(对接源_01入库吨位!$D$5:$D$304,MATCH(INT((ROW()-5)/3)+1,对接源_01入库吨位!$S$5:$S$304,0))),IF($D538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8" s="41" t="str">
        <f aca="false">IF($B538="","",ROUND(IFERROR(IF($D538="周转打冷",N(INDEX(对接源_01入库吨位!$H$5:$H$304,MATCH(INT((ROW()-5)/3)+1,对接源_01入库吨位!$S$5:$S$304,0))),IF($D538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8" s="52" t="str">
        <f aca="false">IF($B538="","",ROUND(N($F538)/1000,3))</f>
        <v/>
      </c>
      <c r="H538" s="74"/>
      <c r="I538" s="44"/>
      <c r="J538" s="75" t="str">
        <f aca="false">IF($B538="","",IF($H538="按筐数×单价",N($E538),IF($H538="按总重KG×单价",N($F538),IF($H538="按吨位×单价",N($G538),0))))</f>
        <v/>
      </c>
      <c r="K538" s="41" t="str">
        <f aca="false">IF($B538="","",ROUND(N($J538)*N($I538),2))</f>
        <v/>
      </c>
      <c r="L538" s="42"/>
      <c r="M538" s="76"/>
      <c r="N538" s="43"/>
      <c r="R538" s="77" t="str">
        <f aca="false">IF($B538="","",$B538)</f>
        <v/>
      </c>
      <c r="S538" s="77" t="n">
        <f aca="false">IF($R538="",0,IF(MATCH($R538,$R$5:$R$904,0)=ROW()-4,1,0))</f>
        <v>0</v>
      </c>
      <c r="T538" s="77" t="n">
        <f aca="false">N(T537)+$S538</f>
        <v>18</v>
      </c>
    </row>
    <row r="539" customFormat="false" ht="13.5" hidden="false" customHeight="false" outlineLevel="0" collapsed="false">
      <c r="A539" s="9" t="str">
        <f aca="false">IF($B539="","",ROW()-4)</f>
        <v/>
      </c>
      <c r="B539" s="39" t="str">
        <f aca="false">IFERROR(INDEX(对接源_01入库吨位!$B$5:$B$304,MATCH(INT((ROW()-5)/3)+1,对接源_01入库吨位!$S$5:$S$304,0)),"")</f>
        <v/>
      </c>
      <c r="C539" s="39" t="str">
        <f aca="false">IFERROR(INDEX(对接源_01入库吨位!$C$5:$C$304,MATCH(INT((ROW()-5)/3)+1,对接源_01入库吨位!$S$5:$S$304,0)),"")</f>
        <v/>
      </c>
      <c r="D539" s="40" t="str">
        <f aca="false">IF($B539="","",IF(MOD(ROW()-5,3)=0,"周转打冷",IF(MOD(ROW()-5,3)=1,"仓储加工","装卸费")))</f>
        <v/>
      </c>
      <c r="E539" s="51" t="str">
        <f aca="false">IF($B539="","",IFERROR(IF($D539="周转打冷",N(INDEX(对接源_01入库吨位!$D$5:$D$304,MATCH(INT((ROW()-5)/3)+1,对接源_01入库吨位!$S$5:$S$304,0))),IF($D539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39" s="41" t="str">
        <f aca="false">IF($B539="","",ROUND(IFERROR(IF($D539="周转打冷",N(INDEX(对接源_01入库吨位!$H$5:$H$304,MATCH(INT((ROW()-5)/3)+1,对接源_01入库吨位!$S$5:$S$304,0))),IF($D539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39" s="52" t="str">
        <f aca="false">IF($B539="","",ROUND(N($F539)/1000,3))</f>
        <v/>
      </c>
      <c r="H539" s="74"/>
      <c r="I539" s="44"/>
      <c r="J539" s="75" t="str">
        <f aca="false">IF($B539="","",IF($H539="按筐数×单价",N($E539),IF($H539="按总重KG×单价",N($F539),IF($H539="按吨位×单价",N($G539),0))))</f>
        <v/>
      </c>
      <c r="K539" s="41" t="str">
        <f aca="false">IF($B539="","",ROUND(N($J539)*N($I539),2))</f>
        <v/>
      </c>
      <c r="L539" s="42"/>
      <c r="M539" s="76"/>
      <c r="N539" s="43"/>
      <c r="R539" s="77" t="str">
        <f aca="false">IF($B539="","",$B539)</f>
        <v/>
      </c>
      <c r="S539" s="77" t="n">
        <f aca="false">IF($R539="",0,IF(MATCH($R539,$R$5:$R$904,0)=ROW()-4,1,0))</f>
        <v>0</v>
      </c>
      <c r="T539" s="77" t="n">
        <f aca="false">N(T538)+$S539</f>
        <v>18</v>
      </c>
    </row>
    <row r="540" customFormat="false" ht="13.5" hidden="false" customHeight="false" outlineLevel="0" collapsed="false">
      <c r="A540" s="9" t="str">
        <f aca="false">IF($B540="","",ROW()-4)</f>
        <v/>
      </c>
      <c r="B540" s="39" t="str">
        <f aca="false">IFERROR(INDEX(对接源_01入库吨位!$B$5:$B$304,MATCH(INT((ROW()-5)/3)+1,对接源_01入库吨位!$S$5:$S$304,0)),"")</f>
        <v/>
      </c>
      <c r="C540" s="39" t="str">
        <f aca="false">IFERROR(INDEX(对接源_01入库吨位!$C$5:$C$304,MATCH(INT((ROW()-5)/3)+1,对接源_01入库吨位!$S$5:$S$304,0)),"")</f>
        <v/>
      </c>
      <c r="D540" s="40" t="str">
        <f aca="false">IF($B540="","",IF(MOD(ROW()-5,3)=0,"周转打冷",IF(MOD(ROW()-5,3)=1,"仓储加工","装卸费")))</f>
        <v/>
      </c>
      <c r="E540" s="51" t="str">
        <f aca="false">IF($B540="","",IFERROR(IF($D540="周转打冷",N(INDEX(对接源_01入库吨位!$D$5:$D$304,MATCH(INT((ROW()-5)/3)+1,对接源_01入库吨位!$S$5:$S$304,0))),IF($D540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0" s="41" t="str">
        <f aca="false">IF($B540="","",ROUND(IFERROR(IF($D540="周转打冷",N(INDEX(对接源_01入库吨位!$H$5:$H$304,MATCH(INT((ROW()-5)/3)+1,对接源_01入库吨位!$S$5:$S$304,0))),IF($D540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0" s="52" t="str">
        <f aca="false">IF($B540="","",ROUND(N($F540)/1000,3))</f>
        <v/>
      </c>
      <c r="H540" s="74"/>
      <c r="I540" s="44"/>
      <c r="J540" s="75" t="str">
        <f aca="false">IF($B540="","",IF($H540="按筐数×单价",N($E540),IF($H540="按总重KG×单价",N($F540),IF($H540="按吨位×单价",N($G540),0))))</f>
        <v/>
      </c>
      <c r="K540" s="41" t="str">
        <f aca="false">IF($B540="","",ROUND(N($J540)*N($I540),2))</f>
        <v/>
      </c>
      <c r="L540" s="42"/>
      <c r="M540" s="76"/>
      <c r="N540" s="43"/>
      <c r="R540" s="77" t="str">
        <f aca="false">IF($B540="","",$B540)</f>
        <v/>
      </c>
      <c r="S540" s="77" t="n">
        <f aca="false">IF($R540="",0,IF(MATCH($R540,$R$5:$R$904,0)=ROW()-4,1,0))</f>
        <v>0</v>
      </c>
      <c r="T540" s="77" t="n">
        <f aca="false">N(T539)+$S540</f>
        <v>18</v>
      </c>
    </row>
    <row r="541" customFormat="false" ht="13.5" hidden="false" customHeight="false" outlineLevel="0" collapsed="false">
      <c r="A541" s="9" t="str">
        <f aca="false">IF($B541="","",ROW()-4)</f>
        <v/>
      </c>
      <c r="B541" s="39" t="str">
        <f aca="false">IFERROR(INDEX(对接源_01入库吨位!$B$5:$B$304,MATCH(INT((ROW()-5)/3)+1,对接源_01入库吨位!$S$5:$S$304,0)),"")</f>
        <v/>
      </c>
      <c r="C541" s="39" t="str">
        <f aca="false">IFERROR(INDEX(对接源_01入库吨位!$C$5:$C$304,MATCH(INT((ROW()-5)/3)+1,对接源_01入库吨位!$S$5:$S$304,0)),"")</f>
        <v/>
      </c>
      <c r="D541" s="40" t="str">
        <f aca="false">IF($B541="","",IF(MOD(ROW()-5,3)=0,"周转打冷",IF(MOD(ROW()-5,3)=1,"仓储加工","装卸费")))</f>
        <v/>
      </c>
      <c r="E541" s="51" t="str">
        <f aca="false">IF($B541="","",IFERROR(IF($D541="周转打冷",N(INDEX(对接源_01入库吨位!$D$5:$D$304,MATCH(INT((ROW()-5)/3)+1,对接源_01入库吨位!$S$5:$S$304,0))),IF($D541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1" s="41" t="str">
        <f aca="false">IF($B541="","",ROUND(IFERROR(IF($D541="周转打冷",N(INDEX(对接源_01入库吨位!$H$5:$H$304,MATCH(INT((ROW()-5)/3)+1,对接源_01入库吨位!$S$5:$S$304,0))),IF($D541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1" s="52" t="str">
        <f aca="false">IF($B541="","",ROUND(N($F541)/1000,3))</f>
        <v/>
      </c>
      <c r="H541" s="74"/>
      <c r="I541" s="44"/>
      <c r="J541" s="75" t="str">
        <f aca="false">IF($B541="","",IF($H541="按筐数×单价",N($E541),IF($H541="按总重KG×单价",N($F541),IF($H541="按吨位×单价",N($G541),0))))</f>
        <v/>
      </c>
      <c r="K541" s="41" t="str">
        <f aca="false">IF($B541="","",ROUND(N($J541)*N($I541),2))</f>
        <v/>
      </c>
      <c r="L541" s="42"/>
      <c r="M541" s="76"/>
      <c r="N541" s="43"/>
      <c r="R541" s="77" t="str">
        <f aca="false">IF($B541="","",$B541)</f>
        <v/>
      </c>
      <c r="S541" s="77" t="n">
        <f aca="false">IF($R541="",0,IF(MATCH($R541,$R$5:$R$904,0)=ROW()-4,1,0))</f>
        <v>0</v>
      </c>
      <c r="T541" s="77" t="n">
        <f aca="false">N(T540)+$S541</f>
        <v>18</v>
      </c>
    </row>
    <row r="542" customFormat="false" ht="13.5" hidden="false" customHeight="false" outlineLevel="0" collapsed="false">
      <c r="A542" s="9" t="str">
        <f aca="false">IF($B542="","",ROW()-4)</f>
        <v/>
      </c>
      <c r="B542" s="39" t="str">
        <f aca="false">IFERROR(INDEX(对接源_01入库吨位!$B$5:$B$304,MATCH(INT((ROW()-5)/3)+1,对接源_01入库吨位!$S$5:$S$304,0)),"")</f>
        <v/>
      </c>
      <c r="C542" s="39" t="str">
        <f aca="false">IFERROR(INDEX(对接源_01入库吨位!$C$5:$C$304,MATCH(INT((ROW()-5)/3)+1,对接源_01入库吨位!$S$5:$S$304,0)),"")</f>
        <v/>
      </c>
      <c r="D542" s="40" t="str">
        <f aca="false">IF($B542="","",IF(MOD(ROW()-5,3)=0,"周转打冷",IF(MOD(ROW()-5,3)=1,"仓储加工","装卸费")))</f>
        <v/>
      </c>
      <c r="E542" s="51" t="str">
        <f aca="false">IF($B542="","",IFERROR(IF($D542="周转打冷",N(INDEX(对接源_01入库吨位!$D$5:$D$304,MATCH(INT((ROW()-5)/3)+1,对接源_01入库吨位!$S$5:$S$304,0))),IF($D542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2" s="41" t="str">
        <f aca="false">IF($B542="","",ROUND(IFERROR(IF($D542="周转打冷",N(INDEX(对接源_01入库吨位!$H$5:$H$304,MATCH(INT((ROW()-5)/3)+1,对接源_01入库吨位!$S$5:$S$304,0))),IF($D542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2" s="52" t="str">
        <f aca="false">IF($B542="","",ROUND(N($F542)/1000,3))</f>
        <v/>
      </c>
      <c r="H542" s="74"/>
      <c r="I542" s="44"/>
      <c r="J542" s="75" t="str">
        <f aca="false">IF($B542="","",IF($H542="按筐数×单价",N($E542),IF($H542="按总重KG×单价",N($F542),IF($H542="按吨位×单价",N($G542),0))))</f>
        <v/>
      </c>
      <c r="K542" s="41" t="str">
        <f aca="false">IF($B542="","",ROUND(N($J542)*N($I542),2))</f>
        <v/>
      </c>
      <c r="L542" s="42"/>
      <c r="M542" s="76"/>
      <c r="N542" s="43"/>
      <c r="R542" s="77" t="str">
        <f aca="false">IF($B542="","",$B542)</f>
        <v/>
      </c>
      <c r="S542" s="77" t="n">
        <f aca="false">IF($R542="",0,IF(MATCH($R542,$R$5:$R$904,0)=ROW()-4,1,0))</f>
        <v>0</v>
      </c>
      <c r="T542" s="77" t="n">
        <f aca="false">N(T541)+$S542</f>
        <v>18</v>
      </c>
    </row>
    <row r="543" customFormat="false" ht="13.5" hidden="false" customHeight="false" outlineLevel="0" collapsed="false">
      <c r="A543" s="9" t="str">
        <f aca="false">IF($B543="","",ROW()-4)</f>
        <v/>
      </c>
      <c r="B543" s="39" t="str">
        <f aca="false">IFERROR(INDEX(对接源_01入库吨位!$B$5:$B$304,MATCH(INT((ROW()-5)/3)+1,对接源_01入库吨位!$S$5:$S$304,0)),"")</f>
        <v/>
      </c>
      <c r="C543" s="39" t="str">
        <f aca="false">IFERROR(INDEX(对接源_01入库吨位!$C$5:$C$304,MATCH(INT((ROW()-5)/3)+1,对接源_01入库吨位!$S$5:$S$304,0)),"")</f>
        <v/>
      </c>
      <c r="D543" s="40" t="str">
        <f aca="false">IF($B543="","",IF(MOD(ROW()-5,3)=0,"周转打冷",IF(MOD(ROW()-5,3)=1,"仓储加工","装卸费")))</f>
        <v/>
      </c>
      <c r="E543" s="51" t="str">
        <f aca="false">IF($B543="","",IFERROR(IF($D543="周转打冷",N(INDEX(对接源_01入库吨位!$D$5:$D$304,MATCH(INT((ROW()-5)/3)+1,对接源_01入库吨位!$S$5:$S$304,0))),IF($D543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3" s="41" t="str">
        <f aca="false">IF($B543="","",ROUND(IFERROR(IF($D543="周转打冷",N(INDEX(对接源_01入库吨位!$H$5:$H$304,MATCH(INT((ROW()-5)/3)+1,对接源_01入库吨位!$S$5:$S$304,0))),IF($D543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3" s="52" t="str">
        <f aca="false">IF($B543="","",ROUND(N($F543)/1000,3))</f>
        <v/>
      </c>
      <c r="H543" s="74"/>
      <c r="I543" s="44"/>
      <c r="J543" s="75" t="str">
        <f aca="false">IF($B543="","",IF($H543="按筐数×单价",N($E543),IF($H543="按总重KG×单价",N($F543),IF($H543="按吨位×单价",N($G543),0))))</f>
        <v/>
      </c>
      <c r="K543" s="41" t="str">
        <f aca="false">IF($B543="","",ROUND(N($J543)*N($I543),2))</f>
        <v/>
      </c>
      <c r="L543" s="42"/>
      <c r="M543" s="76"/>
      <c r="N543" s="43"/>
      <c r="R543" s="77" t="str">
        <f aca="false">IF($B543="","",$B543)</f>
        <v/>
      </c>
      <c r="S543" s="77" t="n">
        <f aca="false">IF($R543="",0,IF(MATCH($R543,$R$5:$R$904,0)=ROW()-4,1,0))</f>
        <v>0</v>
      </c>
      <c r="T543" s="77" t="n">
        <f aca="false">N(T542)+$S543</f>
        <v>18</v>
      </c>
    </row>
    <row r="544" customFormat="false" ht="13.5" hidden="false" customHeight="false" outlineLevel="0" collapsed="false">
      <c r="A544" s="9" t="str">
        <f aca="false">IF($B544="","",ROW()-4)</f>
        <v/>
      </c>
      <c r="B544" s="39" t="str">
        <f aca="false">IFERROR(INDEX(对接源_01入库吨位!$B$5:$B$304,MATCH(INT((ROW()-5)/3)+1,对接源_01入库吨位!$S$5:$S$304,0)),"")</f>
        <v/>
      </c>
      <c r="C544" s="39" t="str">
        <f aca="false">IFERROR(INDEX(对接源_01入库吨位!$C$5:$C$304,MATCH(INT((ROW()-5)/3)+1,对接源_01入库吨位!$S$5:$S$304,0)),"")</f>
        <v/>
      </c>
      <c r="D544" s="40" t="str">
        <f aca="false">IF($B544="","",IF(MOD(ROW()-5,3)=0,"周转打冷",IF(MOD(ROW()-5,3)=1,"仓储加工","装卸费")))</f>
        <v/>
      </c>
      <c r="E544" s="51" t="str">
        <f aca="false">IF($B544="","",IFERROR(IF($D544="周转打冷",N(INDEX(对接源_01入库吨位!$D$5:$D$304,MATCH(INT((ROW()-5)/3)+1,对接源_01入库吨位!$S$5:$S$304,0))),IF($D544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4" s="41" t="str">
        <f aca="false">IF($B544="","",ROUND(IFERROR(IF($D544="周转打冷",N(INDEX(对接源_01入库吨位!$H$5:$H$304,MATCH(INT((ROW()-5)/3)+1,对接源_01入库吨位!$S$5:$S$304,0))),IF($D544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4" s="52" t="str">
        <f aca="false">IF($B544="","",ROUND(N($F544)/1000,3))</f>
        <v/>
      </c>
      <c r="H544" s="74"/>
      <c r="I544" s="44"/>
      <c r="J544" s="75" t="str">
        <f aca="false">IF($B544="","",IF($H544="按筐数×单价",N($E544),IF($H544="按总重KG×单价",N($F544),IF($H544="按吨位×单价",N($G544),0))))</f>
        <v/>
      </c>
      <c r="K544" s="41" t="str">
        <f aca="false">IF($B544="","",ROUND(N($J544)*N($I544),2))</f>
        <v/>
      </c>
      <c r="L544" s="42"/>
      <c r="M544" s="76"/>
      <c r="N544" s="43"/>
      <c r="R544" s="77" t="str">
        <f aca="false">IF($B544="","",$B544)</f>
        <v/>
      </c>
      <c r="S544" s="77" t="n">
        <f aca="false">IF($R544="",0,IF(MATCH($R544,$R$5:$R$904,0)=ROW()-4,1,0))</f>
        <v>0</v>
      </c>
      <c r="T544" s="77" t="n">
        <f aca="false">N(T543)+$S544</f>
        <v>18</v>
      </c>
    </row>
    <row r="545" customFormat="false" ht="13.5" hidden="false" customHeight="false" outlineLevel="0" collapsed="false">
      <c r="A545" s="9" t="str">
        <f aca="false">IF($B545="","",ROW()-4)</f>
        <v/>
      </c>
      <c r="B545" s="39" t="str">
        <f aca="false">IFERROR(INDEX(对接源_01入库吨位!$B$5:$B$304,MATCH(INT((ROW()-5)/3)+1,对接源_01入库吨位!$S$5:$S$304,0)),"")</f>
        <v/>
      </c>
      <c r="C545" s="39" t="str">
        <f aca="false">IFERROR(INDEX(对接源_01入库吨位!$C$5:$C$304,MATCH(INT((ROW()-5)/3)+1,对接源_01入库吨位!$S$5:$S$304,0)),"")</f>
        <v/>
      </c>
      <c r="D545" s="40" t="str">
        <f aca="false">IF($B545="","",IF(MOD(ROW()-5,3)=0,"周转打冷",IF(MOD(ROW()-5,3)=1,"仓储加工","装卸费")))</f>
        <v/>
      </c>
      <c r="E545" s="51" t="str">
        <f aca="false">IF($B545="","",IFERROR(IF($D545="周转打冷",N(INDEX(对接源_01入库吨位!$D$5:$D$304,MATCH(INT((ROW()-5)/3)+1,对接源_01入库吨位!$S$5:$S$304,0))),IF($D545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5" s="41" t="str">
        <f aca="false">IF($B545="","",ROUND(IFERROR(IF($D545="周转打冷",N(INDEX(对接源_01入库吨位!$H$5:$H$304,MATCH(INT((ROW()-5)/3)+1,对接源_01入库吨位!$S$5:$S$304,0))),IF($D545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5" s="52" t="str">
        <f aca="false">IF($B545="","",ROUND(N($F545)/1000,3))</f>
        <v/>
      </c>
      <c r="H545" s="74"/>
      <c r="I545" s="44"/>
      <c r="J545" s="75" t="str">
        <f aca="false">IF($B545="","",IF($H545="按筐数×单价",N($E545),IF($H545="按总重KG×单价",N($F545),IF($H545="按吨位×单价",N($G545),0))))</f>
        <v/>
      </c>
      <c r="K545" s="41" t="str">
        <f aca="false">IF($B545="","",ROUND(N($J545)*N($I545),2))</f>
        <v/>
      </c>
      <c r="L545" s="42"/>
      <c r="M545" s="76"/>
      <c r="N545" s="43"/>
      <c r="R545" s="77" t="str">
        <f aca="false">IF($B545="","",$B545)</f>
        <v/>
      </c>
      <c r="S545" s="77" t="n">
        <f aca="false">IF($R545="",0,IF(MATCH($R545,$R$5:$R$904,0)=ROW()-4,1,0))</f>
        <v>0</v>
      </c>
      <c r="T545" s="77" t="n">
        <f aca="false">N(T544)+$S545</f>
        <v>18</v>
      </c>
    </row>
    <row r="546" customFormat="false" ht="13.5" hidden="false" customHeight="false" outlineLevel="0" collapsed="false">
      <c r="A546" s="9" t="str">
        <f aca="false">IF($B546="","",ROW()-4)</f>
        <v/>
      </c>
      <c r="B546" s="39" t="str">
        <f aca="false">IFERROR(INDEX(对接源_01入库吨位!$B$5:$B$304,MATCH(INT((ROW()-5)/3)+1,对接源_01入库吨位!$S$5:$S$304,0)),"")</f>
        <v/>
      </c>
      <c r="C546" s="39" t="str">
        <f aca="false">IFERROR(INDEX(对接源_01入库吨位!$C$5:$C$304,MATCH(INT((ROW()-5)/3)+1,对接源_01入库吨位!$S$5:$S$304,0)),"")</f>
        <v/>
      </c>
      <c r="D546" s="40" t="str">
        <f aca="false">IF($B546="","",IF(MOD(ROW()-5,3)=0,"周转打冷",IF(MOD(ROW()-5,3)=1,"仓储加工","装卸费")))</f>
        <v/>
      </c>
      <c r="E546" s="51" t="str">
        <f aca="false">IF($B546="","",IFERROR(IF($D546="周转打冷",N(INDEX(对接源_01入库吨位!$D$5:$D$304,MATCH(INT((ROW()-5)/3)+1,对接源_01入库吨位!$S$5:$S$304,0))),IF($D546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6" s="41" t="str">
        <f aca="false">IF($B546="","",ROUND(IFERROR(IF($D546="周转打冷",N(INDEX(对接源_01入库吨位!$H$5:$H$304,MATCH(INT((ROW()-5)/3)+1,对接源_01入库吨位!$S$5:$S$304,0))),IF($D546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6" s="52" t="str">
        <f aca="false">IF($B546="","",ROUND(N($F546)/1000,3))</f>
        <v/>
      </c>
      <c r="H546" s="74"/>
      <c r="I546" s="44"/>
      <c r="J546" s="75" t="str">
        <f aca="false">IF($B546="","",IF($H546="按筐数×单价",N($E546),IF($H546="按总重KG×单价",N($F546),IF($H546="按吨位×单价",N($G546),0))))</f>
        <v/>
      </c>
      <c r="K546" s="41" t="str">
        <f aca="false">IF($B546="","",ROUND(N($J546)*N($I546),2))</f>
        <v/>
      </c>
      <c r="L546" s="42"/>
      <c r="M546" s="76"/>
      <c r="N546" s="43"/>
      <c r="R546" s="77" t="str">
        <f aca="false">IF($B546="","",$B546)</f>
        <v/>
      </c>
      <c r="S546" s="77" t="n">
        <f aca="false">IF($R546="",0,IF(MATCH($R546,$R$5:$R$904,0)=ROW()-4,1,0))</f>
        <v>0</v>
      </c>
      <c r="T546" s="77" t="n">
        <f aca="false">N(T545)+$S546</f>
        <v>18</v>
      </c>
    </row>
    <row r="547" customFormat="false" ht="13.5" hidden="false" customHeight="false" outlineLevel="0" collapsed="false">
      <c r="A547" s="9" t="str">
        <f aca="false">IF($B547="","",ROW()-4)</f>
        <v/>
      </c>
      <c r="B547" s="39" t="str">
        <f aca="false">IFERROR(INDEX(对接源_01入库吨位!$B$5:$B$304,MATCH(INT((ROW()-5)/3)+1,对接源_01入库吨位!$S$5:$S$304,0)),"")</f>
        <v/>
      </c>
      <c r="C547" s="39" t="str">
        <f aca="false">IFERROR(INDEX(对接源_01入库吨位!$C$5:$C$304,MATCH(INT((ROW()-5)/3)+1,对接源_01入库吨位!$S$5:$S$304,0)),"")</f>
        <v/>
      </c>
      <c r="D547" s="40" t="str">
        <f aca="false">IF($B547="","",IF(MOD(ROW()-5,3)=0,"周转打冷",IF(MOD(ROW()-5,3)=1,"仓储加工","装卸费")))</f>
        <v/>
      </c>
      <c r="E547" s="51" t="str">
        <f aca="false">IF($B547="","",IFERROR(IF($D547="周转打冷",N(INDEX(对接源_01入库吨位!$D$5:$D$304,MATCH(INT((ROW()-5)/3)+1,对接源_01入库吨位!$S$5:$S$304,0))),IF($D547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7" s="41" t="str">
        <f aca="false">IF($B547="","",ROUND(IFERROR(IF($D547="周转打冷",N(INDEX(对接源_01入库吨位!$H$5:$H$304,MATCH(INT((ROW()-5)/3)+1,对接源_01入库吨位!$S$5:$S$304,0))),IF($D547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7" s="52" t="str">
        <f aca="false">IF($B547="","",ROUND(N($F547)/1000,3))</f>
        <v/>
      </c>
      <c r="H547" s="74"/>
      <c r="I547" s="44"/>
      <c r="J547" s="75" t="str">
        <f aca="false">IF($B547="","",IF($H547="按筐数×单价",N($E547),IF($H547="按总重KG×单价",N($F547),IF($H547="按吨位×单价",N($G547),0))))</f>
        <v/>
      </c>
      <c r="K547" s="41" t="str">
        <f aca="false">IF($B547="","",ROUND(N($J547)*N($I547),2))</f>
        <v/>
      </c>
      <c r="L547" s="42"/>
      <c r="M547" s="76"/>
      <c r="N547" s="43"/>
      <c r="R547" s="77" t="str">
        <f aca="false">IF($B547="","",$B547)</f>
        <v/>
      </c>
      <c r="S547" s="77" t="n">
        <f aca="false">IF($R547="",0,IF(MATCH($R547,$R$5:$R$904,0)=ROW()-4,1,0))</f>
        <v>0</v>
      </c>
      <c r="T547" s="77" t="n">
        <f aca="false">N(T546)+$S547</f>
        <v>18</v>
      </c>
    </row>
    <row r="548" customFormat="false" ht="13.5" hidden="false" customHeight="false" outlineLevel="0" collapsed="false">
      <c r="A548" s="9" t="str">
        <f aca="false">IF($B548="","",ROW()-4)</f>
        <v/>
      </c>
      <c r="B548" s="39" t="str">
        <f aca="false">IFERROR(INDEX(对接源_01入库吨位!$B$5:$B$304,MATCH(INT((ROW()-5)/3)+1,对接源_01入库吨位!$S$5:$S$304,0)),"")</f>
        <v/>
      </c>
      <c r="C548" s="39" t="str">
        <f aca="false">IFERROR(INDEX(对接源_01入库吨位!$C$5:$C$304,MATCH(INT((ROW()-5)/3)+1,对接源_01入库吨位!$S$5:$S$304,0)),"")</f>
        <v/>
      </c>
      <c r="D548" s="40" t="str">
        <f aca="false">IF($B548="","",IF(MOD(ROW()-5,3)=0,"周转打冷",IF(MOD(ROW()-5,3)=1,"仓储加工","装卸费")))</f>
        <v/>
      </c>
      <c r="E548" s="51" t="str">
        <f aca="false">IF($B548="","",IFERROR(IF($D548="周转打冷",N(INDEX(对接源_01入库吨位!$D$5:$D$304,MATCH(INT((ROW()-5)/3)+1,对接源_01入库吨位!$S$5:$S$304,0))),IF($D548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8" s="41" t="str">
        <f aca="false">IF($B548="","",ROUND(IFERROR(IF($D548="周转打冷",N(INDEX(对接源_01入库吨位!$H$5:$H$304,MATCH(INT((ROW()-5)/3)+1,对接源_01入库吨位!$S$5:$S$304,0))),IF($D548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8" s="52" t="str">
        <f aca="false">IF($B548="","",ROUND(N($F548)/1000,3))</f>
        <v/>
      </c>
      <c r="H548" s="74"/>
      <c r="I548" s="44"/>
      <c r="J548" s="75" t="str">
        <f aca="false">IF($B548="","",IF($H548="按筐数×单价",N($E548),IF($H548="按总重KG×单价",N($F548),IF($H548="按吨位×单价",N($G548),0))))</f>
        <v/>
      </c>
      <c r="K548" s="41" t="str">
        <f aca="false">IF($B548="","",ROUND(N($J548)*N($I548),2))</f>
        <v/>
      </c>
      <c r="L548" s="42"/>
      <c r="M548" s="76"/>
      <c r="N548" s="43"/>
      <c r="R548" s="77" t="str">
        <f aca="false">IF($B548="","",$B548)</f>
        <v/>
      </c>
      <c r="S548" s="77" t="n">
        <f aca="false">IF($R548="",0,IF(MATCH($R548,$R$5:$R$904,0)=ROW()-4,1,0))</f>
        <v>0</v>
      </c>
      <c r="T548" s="77" t="n">
        <f aca="false">N(T547)+$S548</f>
        <v>18</v>
      </c>
    </row>
    <row r="549" customFormat="false" ht="13.5" hidden="false" customHeight="false" outlineLevel="0" collapsed="false">
      <c r="A549" s="9" t="str">
        <f aca="false">IF($B549="","",ROW()-4)</f>
        <v/>
      </c>
      <c r="B549" s="39" t="str">
        <f aca="false">IFERROR(INDEX(对接源_01入库吨位!$B$5:$B$304,MATCH(INT((ROW()-5)/3)+1,对接源_01入库吨位!$S$5:$S$304,0)),"")</f>
        <v/>
      </c>
      <c r="C549" s="39" t="str">
        <f aca="false">IFERROR(INDEX(对接源_01入库吨位!$C$5:$C$304,MATCH(INT((ROW()-5)/3)+1,对接源_01入库吨位!$S$5:$S$304,0)),"")</f>
        <v/>
      </c>
      <c r="D549" s="40" t="str">
        <f aca="false">IF($B549="","",IF(MOD(ROW()-5,3)=0,"周转打冷",IF(MOD(ROW()-5,3)=1,"仓储加工","装卸费")))</f>
        <v/>
      </c>
      <c r="E549" s="51" t="str">
        <f aca="false">IF($B549="","",IFERROR(IF($D549="周转打冷",N(INDEX(对接源_01入库吨位!$D$5:$D$304,MATCH(INT((ROW()-5)/3)+1,对接源_01入库吨位!$S$5:$S$304,0))),IF($D549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49" s="41" t="str">
        <f aca="false">IF($B549="","",ROUND(IFERROR(IF($D549="周转打冷",N(INDEX(对接源_01入库吨位!$H$5:$H$304,MATCH(INT((ROW()-5)/3)+1,对接源_01入库吨位!$S$5:$S$304,0))),IF($D549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49" s="52" t="str">
        <f aca="false">IF($B549="","",ROUND(N($F549)/1000,3))</f>
        <v/>
      </c>
      <c r="H549" s="74"/>
      <c r="I549" s="44"/>
      <c r="J549" s="75" t="str">
        <f aca="false">IF($B549="","",IF($H549="按筐数×单价",N($E549),IF($H549="按总重KG×单价",N($F549),IF($H549="按吨位×单价",N($G549),0))))</f>
        <v/>
      </c>
      <c r="K549" s="41" t="str">
        <f aca="false">IF($B549="","",ROUND(N($J549)*N($I549),2))</f>
        <v/>
      </c>
      <c r="L549" s="42"/>
      <c r="M549" s="76"/>
      <c r="N549" s="43"/>
      <c r="R549" s="77" t="str">
        <f aca="false">IF($B549="","",$B549)</f>
        <v/>
      </c>
      <c r="S549" s="77" t="n">
        <f aca="false">IF($R549="",0,IF(MATCH($R549,$R$5:$R$904,0)=ROW()-4,1,0))</f>
        <v>0</v>
      </c>
      <c r="T549" s="77" t="n">
        <f aca="false">N(T548)+$S549</f>
        <v>18</v>
      </c>
    </row>
    <row r="550" customFormat="false" ht="13.5" hidden="false" customHeight="false" outlineLevel="0" collapsed="false">
      <c r="A550" s="9" t="str">
        <f aca="false">IF($B550="","",ROW()-4)</f>
        <v/>
      </c>
      <c r="B550" s="39" t="str">
        <f aca="false">IFERROR(INDEX(对接源_01入库吨位!$B$5:$B$304,MATCH(INT((ROW()-5)/3)+1,对接源_01入库吨位!$S$5:$S$304,0)),"")</f>
        <v/>
      </c>
      <c r="C550" s="39" t="str">
        <f aca="false">IFERROR(INDEX(对接源_01入库吨位!$C$5:$C$304,MATCH(INT((ROW()-5)/3)+1,对接源_01入库吨位!$S$5:$S$304,0)),"")</f>
        <v/>
      </c>
      <c r="D550" s="40" t="str">
        <f aca="false">IF($B550="","",IF(MOD(ROW()-5,3)=0,"周转打冷",IF(MOD(ROW()-5,3)=1,"仓储加工","装卸费")))</f>
        <v/>
      </c>
      <c r="E550" s="51" t="str">
        <f aca="false">IF($B550="","",IFERROR(IF($D550="周转打冷",N(INDEX(对接源_01入库吨位!$D$5:$D$304,MATCH(INT((ROW()-5)/3)+1,对接源_01入库吨位!$S$5:$S$304,0))),IF($D550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0" s="41" t="str">
        <f aca="false">IF($B550="","",ROUND(IFERROR(IF($D550="周转打冷",N(INDEX(对接源_01入库吨位!$H$5:$H$304,MATCH(INT((ROW()-5)/3)+1,对接源_01入库吨位!$S$5:$S$304,0))),IF($D550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0" s="52" t="str">
        <f aca="false">IF($B550="","",ROUND(N($F550)/1000,3))</f>
        <v/>
      </c>
      <c r="H550" s="74"/>
      <c r="I550" s="44"/>
      <c r="J550" s="75" t="str">
        <f aca="false">IF($B550="","",IF($H550="按筐数×单价",N($E550),IF($H550="按总重KG×单价",N($F550),IF($H550="按吨位×单价",N($G550),0))))</f>
        <v/>
      </c>
      <c r="K550" s="41" t="str">
        <f aca="false">IF($B550="","",ROUND(N($J550)*N($I550),2))</f>
        <v/>
      </c>
      <c r="L550" s="42"/>
      <c r="M550" s="76"/>
      <c r="N550" s="43"/>
      <c r="R550" s="77" t="str">
        <f aca="false">IF($B550="","",$B550)</f>
        <v/>
      </c>
      <c r="S550" s="77" t="n">
        <f aca="false">IF($R550="",0,IF(MATCH($R550,$R$5:$R$904,0)=ROW()-4,1,0))</f>
        <v>0</v>
      </c>
      <c r="T550" s="77" t="n">
        <f aca="false">N(T549)+$S550</f>
        <v>18</v>
      </c>
    </row>
    <row r="551" customFormat="false" ht="13.5" hidden="false" customHeight="false" outlineLevel="0" collapsed="false">
      <c r="A551" s="9" t="str">
        <f aca="false">IF($B551="","",ROW()-4)</f>
        <v/>
      </c>
      <c r="B551" s="39" t="str">
        <f aca="false">IFERROR(INDEX(对接源_01入库吨位!$B$5:$B$304,MATCH(INT((ROW()-5)/3)+1,对接源_01入库吨位!$S$5:$S$304,0)),"")</f>
        <v/>
      </c>
      <c r="C551" s="39" t="str">
        <f aca="false">IFERROR(INDEX(对接源_01入库吨位!$C$5:$C$304,MATCH(INT((ROW()-5)/3)+1,对接源_01入库吨位!$S$5:$S$304,0)),"")</f>
        <v/>
      </c>
      <c r="D551" s="40" t="str">
        <f aca="false">IF($B551="","",IF(MOD(ROW()-5,3)=0,"周转打冷",IF(MOD(ROW()-5,3)=1,"仓储加工","装卸费")))</f>
        <v/>
      </c>
      <c r="E551" s="51" t="str">
        <f aca="false">IF($B551="","",IFERROR(IF($D551="周转打冷",N(INDEX(对接源_01入库吨位!$D$5:$D$304,MATCH(INT((ROW()-5)/3)+1,对接源_01入库吨位!$S$5:$S$304,0))),IF($D551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1" s="41" t="str">
        <f aca="false">IF($B551="","",ROUND(IFERROR(IF($D551="周转打冷",N(INDEX(对接源_01入库吨位!$H$5:$H$304,MATCH(INT((ROW()-5)/3)+1,对接源_01入库吨位!$S$5:$S$304,0))),IF($D551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1" s="52" t="str">
        <f aca="false">IF($B551="","",ROUND(N($F551)/1000,3))</f>
        <v/>
      </c>
      <c r="H551" s="74"/>
      <c r="I551" s="44"/>
      <c r="J551" s="75" t="str">
        <f aca="false">IF($B551="","",IF($H551="按筐数×单价",N($E551),IF($H551="按总重KG×单价",N($F551),IF($H551="按吨位×单价",N($G551),0))))</f>
        <v/>
      </c>
      <c r="K551" s="41" t="str">
        <f aca="false">IF($B551="","",ROUND(N($J551)*N($I551),2))</f>
        <v/>
      </c>
      <c r="L551" s="42"/>
      <c r="M551" s="76"/>
      <c r="N551" s="43"/>
      <c r="R551" s="77" t="str">
        <f aca="false">IF($B551="","",$B551)</f>
        <v/>
      </c>
      <c r="S551" s="77" t="n">
        <f aca="false">IF($R551="",0,IF(MATCH($R551,$R$5:$R$904,0)=ROW()-4,1,0))</f>
        <v>0</v>
      </c>
      <c r="T551" s="77" t="n">
        <f aca="false">N(T550)+$S551</f>
        <v>18</v>
      </c>
    </row>
    <row r="552" customFormat="false" ht="13.5" hidden="false" customHeight="false" outlineLevel="0" collapsed="false">
      <c r="A552" s="9" t="str">
        <f aca="false">IF($B552="","",ROW()-4)</f>
        <v/>
      </c>
      <c r="B552" s="39" t="str">
        <f aca="false">IFERROR(INDEX(对接源_01入库吨位!$B$5:$B$304,MATCH(INT((ROW()-5)/3)+1,对接源_01入库吨位!$S$5:$S$304,0)),"")</f>
        <v/>
      </c>
      <c r="C552" s="39" t="str">
        <f aca="false">IFERROR(INDEX(对接源_01入库吨位!$C$5:$C$304,MATCH(INT((ROW()-5)/3)+1,对接源_01入库吨位!$S$5:$S$304,0)),"")</f>
        <v/>
      </c>
      <c r="D552" s="40" t="str">
        <f aca="false">IF($B552="","",IF(MOD(ROW()-5,3)=0,"周转打冷",IF(MOD(ROW()-5,3)=1,"仓储加工","装卸费")))</f>
        <v/>
      </c>
      <c r="E552" s="51" t="str">
        <f aca="false">IF($B552="","",IFERROR(IF($D552="周转打冷",N(INDEX(对接源_01入库吨位!$D$5:$D$304,MATCH(INT((ROW()-5)/3)+1,对接源_01入库吨位!$S$5:$S$304,0))),IF($D552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2" s="41" t="str">
        <f aca="false">IF($B552="","",ROUND(IFERROR(IF($D552="周转打冷",N(INDEX(对接源_01入库吨位!$H$5:$H$304,MATCH(INT((ROW()-5)/3)+1,对接源_01入库吨位!$S$5:$S$304,0))),IF($D552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2" s="52" t="str">
        <f aca="false">IF($B552="","",ROUND(N($F552)/1000,3))</f>
        <v/>
      </c>
      <c r="H552" s="74"/>
      <c r="I552" s="44"/>
      <c r="J552" s="75" t="str">
        <f aca="false">IF($B552="","",IF($H552="按筐数×单价",N($E552),IF($H552="按总重KG×单价",N($F552),IF($H552="按吨位×单价",N($G552),0))))</f>
        <v/>
      </c>
      <c r="K552" s="41" t="str">
        <f aca="false">IF($B552="","",ROUND(N($J552)*N($I552),2))</f>
        <v/>
      </c>
      <c r="L552" s="42"/>
      <c r="M552" s="76"/>
      <c r="N552" s="43"/>
      <c r="R552" s="77" t="str">
        <f aca="false">IF($B552="","",$B552)</f>
        <v/>
      </c>
      <c r="S552" s="77" t="n">
        <f aca="false">IF($R552="",0,IF(MATCH($R552,$R$5:$R$904,0)=ROW()-4,1,0))</f>
        <v>0</v>
      </c>
      <c r="T552" s="77" t="n">
        <f aca="false">N(T551)+$S552</f>
        <v>18</v>
      </c>
    </row>
    <row r="553" customFormat="false" ht="13.5" hidden="false" customHeight="false" outlineLevel="0" collapsed="false">
      <c r="A553" s="9" t="str">
        <f aca="false">IF($B553="","",ROW()-4)</f>
        <v/>
      </c>
      <c r="B553" s="39" t="str">
        <f aca="false">IFERROR(INDEX(对接源_01入库吨位!$B$5:$B$304,MATCH(INT((ROW()-5)/3)+1,对接源_01入库吨位!$S$5:$S$304,0)),"")</f>
        <v/>
      </c>
      <c r="C553" s="39" t="str">
        <f aca="false">IFERROR(INDEX(对接源_01入库吨位!$C$5:$C$304,MATCH(INT((ROW()-5)/3)+1,对接源_01入库吨位!$S$5:$S$304,0)),"")</f>
        <v/>
      </c>
      <c r="D553" s="40" t="str">
        <f aca="false">IF($B553="","",IF(MOD(ROW()-5,3)=0,"周转打冷",IF(MOD(ROW()-5,3)=1,"仓储加工","装卸费")))</f>
        <v/>
      </c>
      <c r="E553" s="51" t="str">
        <f aca="false">IF($B553="","",IFERROR(IF($D553="周转打冷",N(INDEX(对接源_01入库吨位!$D$5:$D$304,MATCH(INT((ROW()-5)/3)+1,对接源_01入库吨位!$S$5:$S$304,0))),IF($D553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3" s="41" t="str">
        <f aca="false">IF($B553="","",ROUND(IFERROR(IF($D553="周转打冷",N(INDEX(对接源_01入库吨位!$H$5:$H$304,MATCH(INT((ROW()-5)/3)+1,对接源_01入库吨位!$S$5:$S$304,0))),IF($D553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3" s="52" t="str">
        <f aca="false">IF($B553="","",ROUND(N($F553)/1000,3))</f>
        <v/>
      </c>
      <c r="H553" s="74"/>
      <c r="I553" s="44"/>
      <c r="J553" s="75" t="str">
        <f aca="false">IF($B553="","",IF($H553="按筐数×单价",N($E553),IF($H553="按总重KG×单价",N($F553),IF($H553="按吨位×单价",N($G553),0))))</f>
        <v/>
      </c>
      <c r="K553" s="41" t="str">
        <f aca="false">IF($B553="","",ROUND(N($J553)*N($I553),2))</f>
        <v/>
      </c>
      <c r="L553" s="42"/>
      <c r="M553" s="76"/>
      <c r="N553" s="43"/>
      <c r="R553" s="77" t="str">
        <f aca="false">IF($B553="","",$B553)</f>
        <v/>
      </c>
      <c r="S553" s="77" t="n">
        <f aca="false">IF($R553="",0,IF(MATCH($R553,$R$5:$R$904,0)=ROW()-4,1,0))</f>
        <v>0</v>
      </c>
      <c r="T553" s="77" t="n">
        <f aca="false">N(T552)+$S553</f>
        <v>18</v>
      </c>
    </row>
    <row r="554" customFormat="false" ht="13.5" hidden="false" customHeight="false" outlineLevel="0" collapsed="false">
      <c r="A554" s="9" t="str">
        <f aca="false">IF($B554="","",ROW()-4)</f>
        <v/>
      </c>
      <c r="B554" s="39" t="str">
        <f aca="false">IFERROR(INDEX(对接源_01入库吨位!$B$5:$B$304,MATCH(INT((ROW()-5)/3)+1,对接源_01入库吨位!$S$5:$S$304,0)),"")</f>
        <v/>
      </c>
      <c r="C554" s="39" t="str">
        <f aca="false">IFERROR(INDEX(对接源_01入库吨位!$C$5:$C$304,MATCH(INT((ROW()-5)/3)+1,对接源_01入库吨位!$S$5:$S$304,0)),"")</f>
        <v/>
      </c>
      <c r="D554" s="40" t="str">
        <f aca="false">IF($B554="","",IF(MOD(ROW()-5,3)=0,"周转打冷",IF(MOD(ROW()-5,3)=1,"仓储加工","装卸费")))</f>
        <v/>
      </c>
      <c r="E554" s="51" t="str">
        <f aca="false">IF($B554="","",IFERROR(IF($D554="周转打冷",N(INDEX(对接源_01入库吨位!$D$5:$D$304,MATCH(INT((ROW()-5)/3)+1,对接源_01入库吨位!$S$5:$S$304,0))),IF($D554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4" s="41" t="str">
        <f aca="false">IF($B554="","",ROUND(IFERROR(IF($D554="周转打冷",N(INDEX(对接源_01入库吨位!$H$5:$H$304,MATCH(INT((ROW()-5)/3)+1,对接源_01入库吨位!$S$5:$S$304,0))),IF($D554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4" s="52" t="str">
        <f aca="false">IF($B554="","",ROUND(N($F554)/1000,3))</f>
        <v/>
      </c>
      <c r="H554" s="74"/>
      <c r="I554" s="44"/>
      <c r="J554" s="75" t="str">
        <f aca="false">IF($B554="","",IF($H554="按筐数×单价",N($E554),IF($H554="按总重KG×单价",N($F554),IF($H554="按吨位×单价",N($G554),0))))</f>
        <v/>
      </c>
      <c r="K554" s="41" t="str">
        <f aca="false">IF($B554="","",ROUND(N($J554)*N($I554),2))</f>
        <v/>
      </c>
      <c r="L554" s="42"/>
      <c r="M554" s="76"/>
      <c r="N554" s="43"/>
      <c r="R554" s="77" t="str">
        <f aca="false">IF($B554="","",$B554)</f>
        <v/>
      </c>
      <c r="S554" s="77" t="n">
        <f aca="false">IF($R554="",0,IF(MATCH($R554,$R$5:$R$904,0)=ROW()-4,1,0))</f>
        <v>0</v>
      </c>
      <c r="T554" s="77" t="n">
        <f aca="false">N(T553)+$S554</f>
        <v>18</v>
      </c>
    </row>
    <row r="555" customFormat="false" ht="13.5" hidden="false" customHeight="false" outlineLevel="0" collapsed="false">
      <c r="A555" s="9" t="str">
        <f aca="false">IF($B555="","",ROW()-4)</f>
        <v/>
      </c>
      <c r="B555" s="39" t="str">
        <f aca="false">IFERROR(INDEX(对接源_01入库吨位!$B$5:$B$304,MATCH(INT((ROW()-5)/3)+1,对接源_01入库吨位!$S$5:$S$304,0)),"")</f>
        <v/>
      </c>
      <c r="C555" s="39" t="str">
        <f aca="false">IFERROR(INDEX(对接源_01入库吨位!$C$5:$C$304,MATCH(INT((ROW()-5)/3)+1,对接源_01入库吨位!$S$5:$S$304,0)),"")</f>
        <v/>
      </c>
      <c r="D555" s="40" t="str">
        <f aca="false">IF($B555="","",IF(MOD(ROW()-5,3)=0,"周转打冷",IF(MOD(ROW()-5,3)=1,"仓储加工","装卸费")))</f>
        <v/>
      </c>
      <c r="E555" s="51" t="str">
        <f aca="false">IF($B555="","",IFERROR(IF($D555="周转打冷",N(INDEX(对接源_01入库吨位!$D$5:$D$304,MATCH(INT((ROW()-5)/3)+1,对接源_01入库吨位!$S$5:$S$304,0))),IF($D555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5" s="41" t="str">
        <f aca="false">IF($B555="","",ROUND(IFERROR(IF($D555="周转打冷",N(INDEX(对接源_01入库吨位!$H$5:$H$304,MATCH(INT((ROW()-5)/3)+1,对接源_01入库吨位!$S$5:$S$304,0))),IF($D555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5" s="52" t="str">
        <f aca="false">IF($B555="","",ROUND(N($F555)/1000,3))</f>
        <v/>
      </c>
      <c r="H555" s="74"/>
      <c r="I555" s="44"/>
      <c r="J555" s="75" t="str">
        <f aca="false">IF($B555="","",IF($H555="按筐数×单价",N($E555),IF($H555="按总重KG×单价",N($F555),IF($H555="按吨位×单价",N($G555),0))))</f>
        <v/>
      </c>
      <c r="K555" s="41" t="str">
        <f aca="false">IF($B555="","",ROUND(N($J555)*N($I555),2))</f>
        <v/>
      </c>
      <c r="L555" s="42"/>
      <c r="M555" s="76"/>
      <c r="N555" s="43"/>
      <c r="R555" s="77" t="str">
        <f aca="false">IF($B555="","",$B555)</f>
        <v/>
      </c>
      <c r="S555" s="77" t="n">
        <f aca="false">IF($R555="",0,IF(MATCH($R555,$R$5:$R$904,0)=ROW()-4,1,0))</f>
        <v>0</v>
      </c>
      <c r="T555" s="77" t="n">
        <f aca="false">N(T554)+$S555</f>
        <v>18</v>
      </c>
    </row>
    <row r="556" customFormat="false" ht="13.5" hidden="false" customHeight="false" outlineLevel="0" collapsed="false">
      <c r="A556" s="9" t="str">
        <f aca="false">IF($B556="","",ROW()-4)</f>
        <v/>
      </c>
      <c r="B556" s="39" t="str">
        <f aca="false">IFERROR(INDEX(对接源_01入库吨位!$B$5:$B$304,MATCH(INT((ROW()-5)/3)+1,对接源_01入库吨位!$S$5:$S$304,0)),"")</f>
        <v/>
      </c>
      <c r="C556" s="39" t="str">
        <f aca="false">IFERROR(INDEX(对接源_01入库吨位!$C$5:$C$304,MATCH(INT((ROW()-5)/3)+1,对接源_01入库吨位!$S$5:$S$304,0)),"")</f>
        <v/>
      </c>
      <c r="D556" s="40" t="str">
        <f aca="false">IF($B556="","",IF(MOD(ROW()-5,3)=0,"周转打冷",IF(MOD(ROW()-5,3)=1,"仓储加工","装卸费")))</f>
        <v/>
      </c>
      <c r="E556" s="51" t="str">
        <f aca="false">IF($B556="","",IFERROR(IF($D556="周转打冷",N(INDEX(对接源_01入库吨位!$D$5:$D$304,MATCH(INT((ROW()-5)/3)+1,对接源_01入库吨位!$S$5:$S$304,0))),IF($D556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6" s="41" t="str">
        <f aca="false">IF($B556="","",ROUND(IFERROR(IF($D556="周转打冷",N(INDEX(对接源_01入库吨位!$H$5:$H$304,MATCH(INT((ROW()-5)/3)+1,对接源_01入库吨位!$S$5:$S$304,0))),IF($D556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6" s="52" t="str">
        <f aca="false">IF($B556="","",ROUND(N($F556)/1000,3))</f>
        <v/>
      </c>
      <c r="H556" s="74"/>
      <c r="I556" s="44"/>
      <c r="J556" s="75" t="str">
        <f aca="false">IF($B556="","",IF($H556="按筐数×单价",N($E556),IF($H556="按总重KG×单价",N($F556),IF($H556="按吨位×单价",N($G556),0))))</f>
        <v/>
      </c>
      <c r="K556" s="41" t="str">
        <f aca="false">IF($B556="","",ROUND(N($J556)*N($I556),2))</f>
        <v/>
      </c>
      <c r="L556" s="42"/>
      <c r="M556" s="76"/>
      <c r="N556" s="43"/>
      <c r="R556" s="77" t="str">
        <f aca="false">IF($B556="","",$B556)</f>
        <v/>
      </c>
      <c r="S556" s="77" t="n">
        <f aca="false">IF($R556="",0,IF(MATCH($R556,$R$5:$R$904,0)=ROW()-4,1,0))</f>
        <v>0</v>
      </c>
      <c r="T556" s="77" t="n">
        <f aca="false">N(T555)+$S556</f>
        <v>18</v>
      </c>
    </row>
    <row r="557" customFormat="false" ht="13.5" hidden="false" customHeight="false" outlineLevel="0" collapsed="false">
      <c r="A557" s="9" t="str">
        <f aca="false">IF($B557="","",ROW()-4)</f>
        <v/>
      </c>
      <c r="B557" s="39" t="str">
        <f aca="false">IFERROR(INDEX(对接源_01入库吨位!$B$5:$B$304,MATCH(INT((ROW()-5)/3)+1,对接源_01入库吨位!$S$5:$S$304,0)),"")</f>
        <v/>
      </c>
      <c r="C557" s="39" t="str">
        <f aca="false">IFERROR(INDEX(对接源_01入库吨位!$C$5:$C$304,MATCH(INT((ROW()-5)/3)+1,对接源_01入库吨位!$S$5:$S$304,0)),"")</f>
        <v/>
      </c>
      <c r="D557" s="40" t="str">
        <f aca="false">IF($B557="","",IF(MOD(ROW()-5,3)=0,"周转打冷",IF(MOD(ROW()-5,3)=1,"仓储加工","装卸费")))</f>
        <v/>
      </c>
      <c r="E557" s="51" t="str">
        <f aca="false">IF($B557="","",IFERROR(IF($D557="周转打冷",N(INDEX(对接源_01入库吨位!$D$5:$D$304,MATCH(INT((ROW()-5)/3)+1,对接源_01入库吨位!$S$5:$S$304,0))),IF($D557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7" s="41" t="str">
        <f aca="false">IF($B557="","",ROUND(IFERROR(IF($D557="周转打冷",N(INDEX(对接源_01入库吨位!$H$5:$H$304,MATCH(INT((ROW()-5)/3)+1,对接源_01入库吨位!$S$5:$S$304,0))),IF($D557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7" s="52" t="str">
        <f aca="false">IF($B557="","",ROUND(N($F557)/1000,3))</f>
        <v/>
      </c>
      <c r="H557" s="74"/>
      <c r="I557" s="44"/>
      <c r="J557" s="75" t="str">
        <f aca="false">IF($B557="","",IF($H557="按筐数×单价",N($E557),IF($H557="按总重KG×单价",N($F557),IF($H557="按吨位×单价",N($G557),0))))</f>
        <v/>
      </c>
      <c r="K557" s="41" t="str">
        <f aca="false">IF($B557="","",ROUND(N($J557)*N($I557),2))</f>
        <v/>
      </c>
      <c r="L557" s="42"/>
      <c r="M557" s="76"/>
      <c r="N557" s="43"/>
      <c r="R557" s="77" t="str">
        <f aca="false">IF($B557="","",$B557)</f>
        <v/>
      </c>
      <c r="S557" s="77" t="n">
        <f aca="false">IF($R557="",0,IF(MATCH($R557,$R$5:$R$904,0)=ROW()-4,1,0))</f>
        <v>0</v>
      </c>
      <c r="T557" s="77" t="n">
        <f aca="false">N(T556)+$S557</f>
        <v>18</v>
      </c>
    </row>
    <row r="558" customFormat="false" ht="13.5" hidden="false" customHeight="false" outlineLevel="0" collapsed="false">
      <c r="A558" s="9" t="str">
        <f aca="false">IF($B558="","",ROW()-4)</f>
        <v/>
      </c>
      <c r="B558" s="39" t="str">
        <f aca="false">IFERROR(INDEX(对接源_01入库吨位!$B$5:$B$304,MATCH(INT((ROW()-5)/3)+1,对接源_01入库吨位!$S$5:$S$304,0)),"")</f>
        <v/>
      </c>
      <c r="C558" s="39" t="str">
        <f aca="false">IFERROR(INDEX(对接源_01入库吨位!$C$5:$C$304,MATCH(INT((ROW()-5)/3)+1,对接源_01入库吨位!$S$5:$S$304,0)),"")</f>
        <v/>
      </c>
      <c r="D558" s="40" t="str">
        <f aca="false">IF($B558="","",IF(MOD(ROW()-5,3)=0,"周转打冷",IF(MOD(ROW()-5,3)=1,"仓储加工","装卸费")))</f>
        <v/>
      </c>
      <c r="E558" s="51" t="str">
        <f aca="false">IF($B558="","",IFERROR(IF($D558="周转打冷",N(INDEX(对接源_01入库吨位!$D$5:$D$304,MATCH(INT((ROW()-5)/3)+1,对接源_01入库吨位!$S$5:$S$304,0))),IF($D558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8" s="41" t="str">
        <f aca="false">IF($B558="","",ROUND(IFERROR(IF($D558="周转打冷",N(INDEX(对接源_01入库吨位!$H$5:$H$304,MATCH(INT((ROW()-5)/3)+1,对接源_01入库吨位!$S$5:$S$304,0))),IF($D558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8" s="52" t="str">
        <f aca="false">IF($B558="","",ROUND(N($F558)/1000,3))</f>
        <v/>
      </c>
      <c r="H558" s="74"/>
      <c r="I558" s="44"/>
      <c r="J558" s="75" t="str">
        <f aca="false">IF($B558="","",IF($H558="按筐数×单价",N($E558),IF($H558="按总重KG×单价",N($F558),IF($H558="按吨位×单价",N($G558),0))))</f>
        <v/>
      </c>
      <c r="K558" s="41" t="str">
        <f aca="false">IF($B558="","",ROUND(N($J558)*N($I558),2))</f>
        <v/>
      </c>
      <c r="L558" s="42"/>
      <c r="M558" s="76"/>
      <c r="N558" s="43"/>
      <c r="R558" s="77" t="str">
        <f aca="false">IF($B558="","",$B558)</f>
        <v/>
      </c>
      <c r="S558" s="77" t="n">
        <f aca="false">IF($R558="",0,IF(MATCH($R558,$R$5:$R$904,0)=ROW()-4,1,0))</f>
        <v>0</v>
      </c>
      <c r="T558" s="77" t="n">
        <f aca="false">N(T557)+$S558</f>
        <v>18</v>
      </c>
    </row>
    <row r="559" customFormat="false" ht="13.5" hidden="false" customHeight="false" outlineLevel="0" collapsed="false">
      <c r="A559" s="9" t="str">
        <f aca="false">IF($B559="","",ROW()-4)</f>
        <v/>
      </c>
      <c r="B559" s="39" t="str">
        <f aca="false">IFERROR(INDEX(对接源_01入库吨位!$B$5:$B$304,MATCH(INT((ROW()-5)/3)+1,对接源_01入库吨位!$S$5:$S$304,0)),"")</f>
        <v/>
      </c>
      <c r="C559" s="39" t="str">
        <f aca="false">IFERROR(INDEX(对接源_01入库吨位!$C$5:$C$304,MATCH(INT((ROW()-5)/3)+1,对接源_01入库吨位!$S$5:$S$304,0)),"")</f>
        <v/>
      </c>
      <c r="D559" s="40" t="str">
        <f aca="false">IF($B559="","",IF(MOD(ROW()-5,3)=0,"周转打冷",IF(MOD(ROW()-5,3)=1,"仓储加工","装卸费")))</f>
        <v/>
      </c>
      <c r="E559" s="51" t="str">
        <f aca="false">IF($B559="","",IFERROR(IF($D559="周转打冷",N(INDEX(对接源_01入库吨位!$D$5:$D$304,MATCH(INT((ROW()-5)/3)+1,对接源_01入库吨位!$S$5:$S$304,0))),IF($D559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59" s="41" t="str">
        <f aca="false">IF($B559="","",ROUND(IFERROR(IF($D559="周转打冷",N(INDEX(对接源_01入库吨位!$H$5:$H$304,MATCH(INT((ROW()-5)/3)+1,对接源_01入库吨位!$S$5:$S$304,0))),IF($D559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59" s="52" t="str">
        <f aca="false">IF($B559="","",ROUND(N($F559)/1000,3))</f>
        <v/>
      </c>
      <c r="H559" s="74"/>
      <c r="I559" s="44"/>
      <c r="J559" s="75" t="str">
        <f aca="false">IF($B559="","",IF($H559="按筐数×单价",N($E559),IF($H559="按总重KG×单价",N($F559),IF($H559="按吨位×单价",N($G559),0))))</f>
        <v/>
      </c>
      <c r="K559" s="41" t="str">
        <f aca="false">IF($B559="","",ROUND(N($J559)*N($I559),2))</f>
        <v/>
      </c>
      <c r="L559" s="42"/>
      <c r="M559" s="76"/>
      <c r="N559" s="43"/>
      <c r="R559" s="77" t="str">
        <f aca="false">IF($B559="","",$B559)</f>
        <v/>
      </c>
      <c r="S559" s="77" t="n">
        <f aca="false">IF($R559="",0,IF(MATCH($R559,$R$5:$R$904,0)=ROW()-4,1,0))</f>
        <v>0</v>
      </c>
      <c r="T559" s="77" t="n">
        <f aca="false">N(T558)+$S559</f>
        <v>18</v>
      </c>
    </row>
    <row r="560" customFormat="false" ht="13.5" hidden="false" customHeight="false" outlineLevel="0" collapsed="false">
      <c r="A560" s="9" t="str">
        <f aca="false">IF($B560="","",ROW()-4)</f>
        <v/>
      </c>
      <c r="B560" s="39" t="str">
        <f aca="false">IFERROR(INDEX(对接源_01入库吨位!$B$5:$B$304,MATCH(INT((ROW()-5)/3)+1,对接源_01入库吨位!$S$5:$S$304,0)),"")</f>
        <v/>
      </c>
      <c r="C560" s="39" t="str">
        <f aca="false">IFERROR(INDEX(对接源_01入库吨位!$C$5:$C$304,MATCH(INT((ROW()-5)/3)+1,对接源_01入库吨位!$S$5:$S$304,0)),"")</f>
        <v/>
      </c>
      <c r="D560" s="40" t="str">
        <f aca="false">IF($B560="","",IF(MOD(ROW()-5,3)=0,"周转打冷",IF(MOD(ROW()-5,3)=1,"仓储加工","装卸费")))</f>
        <v/>
      </c>
      <c r="E560" s="51" t="str">
        <f aca="false">IF($B560="","",IFERROR(IF($D560="周转打冷",N(INDEX(对接源_01入库吨位!$D$5:$D$304,MATCH(INT((ROW()-5)/3)+1,对接源_01入库吨位!$S$5:$S$304,0))),IF($D560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0" s="41" t="str">
        <f aca="false">IF($B560="","",ROUND(IFERROR(IF($D560="周转打冷",N(INDEX(对接源_01入库吨位!$H$5:$H$304,MATCH(INT((ROW()-5)/3)+1,对接源_01入库吨位!$S$5:$S$304,0))),IF($D560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0" s="52" t="str">
        <f aca="false">IF($B560="","",ROUND(N($F560)/1000,3))</f>
        <v/>
      </c>
      <c r="H560" s="74"/>
      <c r="I560" s="44"/>
      <c r="J560" s="75" t="str">
        <f aca="false">IF($B560="","",IF($H560="按筐数×单价",N($E560),IF($H560="按总重KG×单价",N($F560),IF($H560="按吨位×单价",N($G560),0))))</f>
        <v/>
      </c>
      <c r="K560" s="41" t="str">
        <f aca="false">IF($B560="","",ROUND(N($J560)*N($I560),2))</f>
        <v/>
      </c>
      <c r="L560" s="42"/>
      <c r="M560" s="76"/>
      <c r="N560" s="43"/>
      <c r="R560" s="77" t="str">
        <f aca="false">IF($B560="","",$B560)</f>
        <v/>
      </c>
      <c r="S560" s="77" t="n">
        <f aca="false">IF($R560="",0,IF(MATCH($R560,$R$5:$R$904,0)=ROW()-4,1,0))</f>
        <v>0</v>
      </c>
      <c r="T560" s="77" t="n">
        <f aca="false">N(T559)+$S560</f>
        <v>18</v>
      </c>
    </row>
    <row r="561" customFormat="false" ht="13.5" hidden="false" customHeight="false" outlineLevel="0" collapsed="false">
      <c r="A561" s="9" t="str">
        <f aca="false">IF($B561="","",ROW()-4)</f>
        <v/>
      </c>
      <c r="B561" s="39" t="str">
        <f aca="false">IFERROR(INDEX(对接源_01入库吨位!$B$5:$B$304,MATCH(INT((ROW()-5)/3)+1,对接源_01入库吨位!$S$5:$S$304,0)),"")</f>
        <v/>
      </c>
      <c r="C561" s="39" t="str">
        <f aca="false">IFERROR(INDEX(对接源_01入库吨位!$C$5:$C$304,MATCH(INT((ROW()-5)/3)+1,对接源_01入库吨位!$S$5:$S$304,0)),"")</f>
        <v/>
      </c>
      <c r="D561" s="40" t="str">
        <f aca="false">IF($B561="","",IF(MOD(ROW()-5,3)=0,"周转打冷",IF(MOD(ROW()-5,3)=1,"仓储加工","装卸费")))</f>
        <v/>
      </c>
      <c r="E561" s="51" t="str">
        <f aca="false">IF($B561="","",IFERROR(IF($D561="周转打冷",N(INDEX(对接源_01入库吨位!$D$5:$D$304,MATCH(INT((ROW()-5)/3)+1,对接源_01入库吨位!$S$5:$S$304,0))),IF($D561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1" s="41" t="str">
        <f aca="false">IF($B561="","",ROUND(IFERROR(IF($D561="周转打冷",N(INDEX(对接源_01入库吨位!$H$5:$H$304,MATCH(INT((ROW()-5)/3)+1,对接源_01入库吨位!$S$5:$S$304,0))),IF($D561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1" s="52" t="str">
        <f aca="false">IF($B561="","",ROUND(N($F561)/1000,3))</f>
        <v/>
      </c>
      <c r="H561" s="74"/>
      <c r="I561" s="44"/>
      <c r="J561" s="75" t="str">
        <f aca="false">IF($B561="","",IF($H561="按筐数×单价",N($E561),IF($H561="按总重KG×单价",N($F561),IF($H561="按吨位×单价",N($G561),0))))</f>
        <v/>
      </c>
      <c r="K561" s="41" t="str">
        <f aca="false">IF($B561="","",ROUND(N($J561)*N($I561),2))</f>
        <v/>
      </c>
      <c r="L561" s="42"/>
      <c r="M561" s="76"/>
      <c r="N561" s="43"/>
      <c r="R561" s="77" t="str">
        <f aca="false">IF($B561="","",$B561)</f>
        <v/>
      </c>
      <c r="S561" s="77" t="n">
        <f aca="false">IF($R561="",0,IF(MATCH($R561,$R$5:$R$904,0)=ROW()-4,1,0))</f>
        <v>0</v>
      </c>
      <c r="T561" s="77" t="n">
        <f aca="false">N(T560)+$S561</f>
        <v>18</v>
      </c>
    </row>
    <row r="562" customFormat="false" ht="13.5" hidden="false" customHeight="false" outlineLevel="0" collapsed="false">
      <c r="A562" s="9" t="str">
        <f aca="false">IF($B562="","",ROW()-4)</f>
        <v/>
      </c>
      <c r="B562" s="39" t="str">
        <f aca="false">IFERROR(INDEX(对接源_01入库吨位!$B$5:$B$304,MATCH(INT((ROW()-5)/3)+1,对接源_01入库吨位!$S$5:$S$304,0)),"")</f>
        <v/>
      </c>
      <c r="C562" s="39" t="str">
        <f aca="false">IFERROR(INDEX(对接源_01入库吨位!$C$5:$C$304,MATCH(INT((ROW()-5)/3)+1,对接源_01入库吨位!$S$5:$S$304,0)),"")</f>
        <v/>
      </c>
      <c r="D562" s="40" t="str">
        <f aca="false">IF($B562="","",IF(MOD(ROW()-5,3)=0,"周转打冷",IF(MOD(ROW()-5,3)=1,"仓储加工","装卸费")))</f>
        <v/>
      </c>
      <c r="E562" s="51" t="str">
        <f aca="false">IF($B562="","",IFERROR(IF($D562="周转打冷",N(INDEX(对接源_01入库吨位!$D$5:$D$304,MATCH(INT((ROW()-5)/3)+1,对接源_01入库吨位!$S$5:$S$304,0))),IF($D562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2" s="41" t="str">
        <f aca="false">IF($B562="","",ROUND(IFERROR(IF($D562="周转打冷",N(INDEX(对接源_01入库吨位!$H$5:$H$304,MATCH(INT((ROW()-5)/3)+1,对接源_01入库吨位!$S$5:$S$304,0))),IF($D562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2" s="52" t="str">
        <f aca="false">IF($B562="","",ROUND(N($F562)/1000,3))</f>
        <v/>
      </c>
      <c r="H562" s="74"/>
      <c r="I562" s="44"/>
      <c r="J562" s="75" t="str">
        <f aca="false">IF($B562="","",IF($H562="按筐数×单价",N($E562),IF($H562="按总重KG×单价",N($F562),IF($H562="按吨位×单价",N($G562),0))))</f>
        <v/>
      </c>
      <c r="K562" s="41" t="str">
        <f aca="false">IF($B562="","",ROUND(N($J562)*N($I562),2))</f>
        <v/>
      </c>
      <c r="L562" s="42"/>
      <c r="M562" s="76"/>
      <c r="N562" s="43"/>
      <c r="R562" s="77" t="str">
        <f aca="false">IF($B562="","",$B562)</f>
        <v/>
      </c>
      <c r="S562" s="77" t="n">
        <f aca="false">IF($R562="",0,IF(MATCH($R562,$R$5:$R$904,0)=ROW()-4,1,0))</f>
        <v>0</v>
      </c>
      <c r="T562" s="77" t="n">
        <f aca="false">N(T561)+$S562</f>
        <v>18</v>
      </c>
    </row>
    <row r="563" customFormat="false" ht="13.5" hidden="false" customHeight="false" outlineLevel="0" collapsed="false">
      <c r="A563" s="9" t="str">
        <f aca="false">IF($B563="","",ROW()-4)</f>
        <v/>
      </c>
      <c r="B563" s="39" t="str">
        <f aca="false">IFERROR(INDEX(对接源_01入库吨位!$B$5:$B$304,MATCH(INT((ROW()-5)/3)+1,对接源_01入库吨位!$S$5:$S$304,0)),"")</f>
        <v/>
      </c>
      <c r="C563" s="39" t="str">
        <f aca="false">IFERROR(INDEX(对接源_01入库吨位!$C$5:$C$304,MATCH(INT((ROW()-5)/3)+1,对接源_01入库吨位!$S$5:$S$304,0)),"")</f>
        <v/>
      </c>
      <c r="D563" s="40" t="str">
        <f aca="false">IF($B563="","",IF(MOD(ROW()-5,3)=0,"周转打冷",IF(MOD(ROW()-5,3)=1,"仓储加工","装卸费")))</f>
        <v/>
      </c>
      <c r="E563" s="51" t="str">
        <f aca="false">IF($B563="","",IFERROR(IF($D563="周转打冷",N(INDEX(对接源_01入库吨位!$D$5:$D$304,MATCH(INT((ROW()-5)/3)+1,对接源_01入库吨位!$S$5:$S$304,0))),IF($D563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3" s="41" t="str">
        <f aca="false">IF($B563="","",ROUND(IFERROR(IF($D563="周转打冷",N(INDEX(对接源_01入库吨位!$H$5:$H$304,MATCH(INT((ROW()-5)/3)+1,对接源_01入库吨位!$S$5:$S$304,0))),IF($D563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3" s="52" t="str">
        <f aca="false">IF($B563="","",ROUND(N($F563)/1000,3))</f>
        <v/>
      </c>
      <c r="H563" s="74"/>
      <c r="I563" s="44"/>
      <c r="J563" s="75" t="str">
        <f aca="false">IF($B563="","",IF($H563="按筐数×单价",N($E563),IF($H563="按总重KG×单价",N($F563),IF($H563="按吨位×单价",N($G563),0))))</f>
        <v/>
      </c>
      <c r="K563" s="41" t="str">
        <f aca="false">IF($B563="","",ROUND(N($J563)*N($I563),2))</f>
        <v/>
      </c>
      <c r="L563" s="42"/>
      <c r="M563" s="76"/>
      <c r="N563" s="43"/>
      <c r="R563" s="77" t="str">
        <f aca="false">IF($B563="","",$B563)</f>
        <v/>
      </c>
      <c r="S563" s="77" t="n">
        <f aca="false">IF($R563="",0,IF(MATCH($R563,$R$5:$R$904,0)=ROW()-4,1,0))</f>
        <v>0</v>
      </c>
      <c r="T563" s="77" t="n">
        <f aca="false">N(T562)+$S563</f>
        <v>18</v>
      </c>
    </row>
    <row r="564" customFormat="false" ht="13.5" hidden="false" customHeight="false" outlineLevel="0" collapsed="false">
      <c r="A564" s="9" t="str">
        <f aca="false">IF($B564="","",ROW()-4)</f>
        <v/>
      </c>
      <c r="B564" s="39" t="str">
        <f aca="false">IFERROR(INDEX(对接源_01入库吨位!$B$5:$B$304,MATCH(INT((ROW()-5)/3)+1,对接源_01入库吨位!$S$5:$S$304,0)),"")</f>
        <v/>
      </c>
      <c r="C564" s="39" t="str">
        <f aca="false">IFERROR(INDEX(对接源_01入库吨位!$C$5:$C$304,MATCH(INT((ROW()-5)/3)+1,对接源_01入库吨位!$S$5:$S$304,0)),"")</f>
        <v/>
      </c>
      <c r="D564" s="40" t="str">
        <f aca="false">IF($B564="","",IF(MOD(ROW()-5,3)=0,"周转打冷",IF(MOD(ROW()-5,3)=1,"仓储加工","装卸费")))</f>
        <v/>
      </c>
      <c r="E564" s="51" t="str">
        <f aca="false">IF($B564="","",IFERROR(IF($D564="周转打冷",N(INDEX(对接源_01入库吨位!$D$5:$D$304,MATCH(INT((ROW()-5)/3)+1,对接源_01入库吨位!$S$5:$S$304,0))),IF($D564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4" s="41" t="str">
        <f aca="false">IF($B564="","",ROUND(IFERROR(IF($D564="周转打冷",N(INDEX(对接源_01入库吨位!$H$5:$H$304,MATCH(INT((ROW()-5)/3)+1,对接源_01入库吨位!$S$5:$S$304,0))),IF($D564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4" s="52" t="str">
        <f aca="false">IF($B564="","",ROUND(N($F564)/1000,3))</f>
        <v/>
      </c>
      <c r="H564" s="74"/>
      <c r="I564" s="44"/>
      <c r="J564" s="75" t="str">
        <f aca="false">IF($B564="","",IF($H564="按筐数×单价",N($E564),IF($H564="按总重KG×单价",N($F564),IF($H564="按吨位×单价",N($G564),0))))</f>
        <v/>
      </c>
      <c r="K564" s="41" t="str">
        <f aca="false">IF($B564="","",ROUND(N($J564)*N($I564),2))</f>
        <v/>
      </c>
      <c r="L564" s="42"/>
      <c r="M564" s="76"/>
      <c r="N564" s="43"/>
      <c r="R564" s="77" t="str">
        <f aca="false">IF($B564="","",$B564)</f>
        <v/>
      </c>
      <c r="S564" s="77" t="n">
        <f aca="false">IF($R564="",0,IF(MATCH($R564,$R$5:$R$904,0)=ROW()-4,1,0))</f>
        <v>0</v>
      </c>
      <c r="T564" s="77" t="n">
        <f aca="false">N(T563)+$S564</f>
        <v>18</v>
      </c>
    </row>
    <row r="565" customFormat="false" ht="13.5" hidden="false" customHeight="false" outlineLevel="0" collapsed="false">
      <c r="A565" s="9" t="str">
        <f aca="false">IF($B565="","",ROW()-4)</f>
        <v/>
      </c>
      <c r="B565" s="39" t="str">
        <f aca="false">IFERROR(INDEX(对接源_01入库吨位!$B$5:$B$304,MATCH(INT((ROW()-5)/3)+1,对接源_01入库吨位!$S$5:$S$304,0)),"")</f>
        <v/>
      </c>
      <c r="C565" s="39" t="str">
        <f aca="false">IFERROR(INDEX(对接源_01入库吨位!$C$5:$C$304,MATCH(INT((ROW()-5)/3)+1,对接源_01入库吨位!$S$5:$S$304,0)),"")</f>
        <v/>
      </c>
      <c r="D565" s="40" t="str">
        <f aca="false">IF($B565="","",IF(MOD(ROW()-5,3)=0,"周转打冷",IF(MOD(ROW()-5,3)=1,"仓储加工","装卸费")))</f>
        <v/>
      </c>
      <c r="E565" s="51" t="str">
        <f aca="false">IF($B565="","",IFERROR(IF($D565="周转打冷",N(INDEX(对接源_01入库吨位!$D$5:$D$304,MATCH(INT((ROW()-5)/3)+1,对接源_01入库吨位!$S$5:$S$304,0))),IF($D565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5" s="41" t="str">
        <f aca="false">IF($B565="","",ROUND(IFERROR(IF($D565="周转打冷",N(INDEX(对接源_01入库吨位!$H$5:$H$304,MATCH(INT((ROW()-5)/3)+1,对接源_01入库吨位!$S$5:$S$304,0))),IF($D565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5" s="52" t="str">
        <f aca="false">IF($B565="","",ROUND(N($F565)/1000,3))</f>
        <v/>
      </c>
      <c r="H565" s="74"/>
      <c r="I565" s="44"/>
      <c r="J565" s="75" t="str">
        <f aca="false">IF($B565="","",IF($H565="按筐数×单价",N($E565),IF($H565="按总重KG×单价",N($F565),IF($H565="按吨位×单价",N($G565),0))))</f>
        <v/>
      </c>
      <c r="K565" s="41" t="str">
        <f aca="false">IF($B565="","",ROUND(N($J565)*N($I565),2))</f>
        <v/>
      </c>
      <c r="L565" s="42"/>
      <c r="M565" s="76"/>
      <c r="N565" s="43"/>
      <c r="R565" s="77" t="str">
        <f aca="false">IF($B565="","",$B565)</f>
        <v/>
      </c>
      <c r="S565" s="77" t="n">
        <f aca="false">IF($R565="",0,IF(MATCH($R565,$R$5:$R$904,0)=ROW()-4,1,0))</f>
        <v>0</v>
      </c>
      <c r="T565" s="77" t="n">
        <f aca="false">N(T564)+$S565</f>
        <v>18</v>
      </c>
    </row>
    <row r="566" customFormat="false" ht="13.5" hidden="false" customHeight="false" outlineLevel="0" collapsed="false">
      <c r="A566" s="9" t="str">
        <f aca="false">IF($B566="","",ROW()-4)</f>
        <v/>
      </c>
      <c r="B566" s="39" t="str">
        <f aca="false">IFERROR(INDEX(对接源_01入库吨位!$B$5:$B$304,MATCH(INT((ROW()-5)/3)+1,对接源_01入库吨位!$S$5:$S$304,0)),"")</f>
        <v/>
      </c>
      <c r="C566" s="39" t="str">
        <f aca="false">IFERROR(INDEX(对接源_01入库吨位!$C$5:$C$304,MATCH(INT((ROW()-5)/3)+1,对接源_01入库吨位!$S$5:$S$304,0)),"")</f>
        <v/>
      </c>
      <c r="D566" s="40" t="str">
        <f aca="false">IF($B566="","",IF(MOD(ROW()-5,3)=0,"周转打冷",IF(MOD(ROW()-5,3)=1,"仓储加工","装卸费")))</f>
        <v/>
      </c>
      <c r="E566" s="51" t="str">
        <f aca="false">IF($B566="","",IFERROR(IF($D566="周转打冷",N(INDEX(对接源_01入库吨位!$D$5:$D$304,MATCH(INT((ROW()-5)/3)+1,对接源_01入库吨位!$S$5:$S$304,0))),IF($D566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6" s="41" t="str">
        <f aca="false">IF($B566="","",ROUND(IFERROR(IF($D566="周转打冷",N(INDEX(对接源_01入库吨位!$H$5:$H$304,MATCH(INT((ROW()-5)/3)+1,对接源_01入库吨位!$S$5:$S$304,0))),IF($D566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6" s="52" t="str">
        <f aca="false">IF($B566="","",ROUND(N($F566)/1000,3))</f>
        <v/>
      </c>
      <c r="H566" s="74"/>
      <c r="I566" s="44"/>
      <c r="J566" s="75" t="str">
        <f aca="false">IF($B566="","",IF($H566="按筐数×单价",N($E566),IF($H566="按总重KG×单价",N($F566),IF($H566="按吨位×单价",N($G566),0))))</f>
        <v/>
      </c>
      <c r="K566" s="41" t="str">
        <f aca="false">IF($B566="","",ROUND(N($J566)*N($I566),2))</f>
        <v/>
      </c>
      <c r="L566" s="42"/>
      <c r="M566" s="76"/>
      <c r="N566" s="43"/>
      <c r="R566" s="77" t="str">
        <f aca="false">IF($B566="","",$B566)</f>
        <v/>
      </c>
      <c r="S566" s="77" t="n">
        <f aca="false">IF($R566="",0,IF(MATCH($R566,$R$5:$R$904,0)=ROW()-4,1,0))</f>
        <v>0</v>
      </c>
      <c r="T566" s="77" t="n">
        <f aca="false">N(T565)+$S566</f>
        <v>18</v>
      </c>
    </row>
    <row r="567" customFormat="false" ht="13.5" hidden="false" customHeight="false" outlineLevel="0" collapsed="false">
      <c r="A567" s="9" t="str">
        <f aca="false">IF($B567="","",ROW()-4)</f>
        <v/>
      </c>
      <c r="B567" s="39" t="str">
        <f aca="false">IFERROR(INDEX(对接源_01入库吨位!$B$5:$B$304,MATCH(INT((ROW()-5)/3)+1,对接源_01入库吨位!$S$5:$S$304,0)),"")</f>
        <v/>
      </c>
      <c r="C567" s="39" t="str">
        <f aca="false">IFERROR(INDEX(对接源_01入库吨位!$C$5:$C$304,MATCH(INT((ROW()-5)/3)+1,对接源_01入库吨位!$S$5:$S$304,0)),"")</f>
        <v/>
      </c>
      <c r="D567" s="40" t="str">
        <f aca="false">IF($B567="","",IF(MOD(ROW()-5,3)=0,"周转打冷",IF(MOD(ROW()-5,3)=1,"仓储加工","装卸费")))</f>
        <v/>
      </c>
      <c r="E567" s="51" t="str">
        <f aca="false">IF($B567="","",IFERROR(IF($D567="周转打冷",N(INDEX(对接源_01入库吨位!$D$5:$D$304,MATCH(INT((ROW()-5)/3)+1,对接源_01入库吨位!$S$5:$S$304,0))),IF($D567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7" s="41" t="str">
        <f aca="false">IF($B567="","",ROUND(IFERROR(IF($D567="周转打冷",N(INDEX(对接源_01入库吨位!$H$5:$H$304,MATCH(INT((ROW()-5)/3)+1,对接源_01入库吨位!$S$5:$S$304,0))),IF($D567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7" s="52" t="str">
        <f aca="false">IF($B567="","",ROUND(N($F567)/1000,3))</f>
        <v/>
      </c>
      <c r="H567" s="74"/>
      <c r="I567" s="44"/>
      <c r="J567" s="75" t="str">
        <f aca="false">IF($B567="","",IF($H567="按筐数×单价",N($E567),IF($H567="按总重KG×单价",N($F567),IF($H567="按吨位×单价",N($G567),0))))</f>
        <v/>
      </c>
      <c r="K567" s="41" t="str">
        <f aca="false">IF($B567="","",ROUND(N($J567)*N($I567),2))</f>
        <v/>
      </c>
      <c r="L567" s="42"/>
      <c r="M567" s="76"/>
      <c r="N567" s="43"/>
      <c r="R567" s="77" t="str">
        <f aca="false">IF($B567="","",$B567)</f>
        <v/>
      </c>
      <c r="S567" s="77" t="n">
        <f aca="false">IF($R567="",0,IF(MATCH($R567,$R$5:$R$904,0)=ROW()-4,1,0))</f>
        <v>0</v>
      </c>
      <c r="T567" s="77" t="n">
        <f aca="false">N(T566)+$S567</f>
        <v>18</v>
      </c>
    </row>
    <row r="568" customFormat="false" ht="13.5" hidden="false" customHeight="false" outlineLevel="0" collapsed="false">
      <c r="A568" s="9" t="str">
        <f aca="false">IF($B568="","",ROW()-4)</f>
        <v/>
      </c>
      <c r="B568" s="39" t="str">
        <f aca="false">IFERROR(INDEX(对接源_01入库吨位!$B$5:$B$304,MATCH(INT((ROW()-5)/3)+1,对接源_01入库吨位!$S$5:$S$304,0)),"")</f>
        <v/>
      </c>
      <c r="C568" s="39" t="str">
        <f aca="false">IFERROR(INDEX(对接源_01入库吨位!$C$5:$C$304,MATCH(INT((ROW()-5)/3)+1,对接源_01入库吨位!$S$5:$S$304,0)),"")</f>
        <v/>
      </c>
      <c r="D568" s="40" t="str">
        <f aca="false">IF($B568="","",IF(MOD(ROW()-5,3)=0,"周转打冷",IF(MOD(ROW()-5,3)=1,"仓储加工","装卸费")))</f>
        <v/>
      </c>
      <c r="E568" s="51" t="str">
        <f aca="false">IF($B568="","",IFERROR(IF($D568="周转打冷",N(INDEX(对接源_01入库吨位!$D$5:$D$304,MATCH(INT((ROW()-5)/3)+1,对接源_01入库吨位!$S$5:$S$304,0))),IF($D568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8" s="41" t="str">
        <f aca="false">IF($B568="","",ROUND(IFERROR(IF($D568="周转打冷",N(INDEX(对接源_01入库吨位!$H$5:$H$304,MATCH(INT((ROW()-5)/3)+1,对接源_01入库吨位!$S$5:$S$304,0))),IF($D568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8" s="52" t="str">
        <f aca="false">IF($B568="","",ROUND(N($F568)/1000,3))</f>
        <v/>
      </c>
      <c r="H568" s="74"/>
      <c r="I568" s="44"/>
      <c r="J568" s="75" t="str">
        <f aca="false">IF($B568="","",IF($H568="按筐数×单价",N($E568),IF($H568="按总重KG×单价",N($F568),IF($H568="按吨位×单价",N($G568),0))))</f>
        <v/>
      </c>
      <c r="K568" s="41" t="str">
        <f aca="false">IF($B568="","",ROUND(N($J568)*N($I568),2))</f>
        <v/>
      </c>
      <c r="L568" s="42"/>
      <c r="M568" s="76"/>
      <c r="N568" s="43"/>
      <c r="R568" s="77" t="str">
        <f aca="false">IF($B568="","",$B568)</f>
        <v/>
      </c>
      <c r="S568" s="77" t="n">
        <f aca="false">IF($R568="",0,IF(MATCH($R568,$R$5:$R$904,0)=ROW()-4,1,0))</f>
        <v>0</v>
      </c>
      <c r="T568" s="77" t="n">
        <f aca="false">N(T567)+$S568</f>
        <v>18</v>
      </c>
    </row>
    <row r="569" customFormat="false" ht="13.5" hidden="false" customHeight="false" outlineLevel="0" collapsed="false">
      <c r="A569" s="9" t="str">
        <f aca="false">IF($B569="","",ROW()-4)</f>
        <v/>
      </c>
      <c r="B569" s="39" t="str">
        <f aca="false">IFERROR(INDEX(对接源_01入库吨位!$B$5:$B$304,MATCH(INT((ROW()-5)/3)+1,对接源_01入库吨位!$S$5:$S$304,0)),"")</f>
        <v/>
      </c>
      <c r="C569" s="39" t="str">
        <f aca="false">IFERROR(INDEX(对接源_01入库吨位!$C$5:$C$304,MATCH(INT((ROW()-5)/3)+1,对接源_01入库吨位!$S$5:$S$304,0)),"")</f>
        <v/>
      </c>
      <c r="D569" s="40" t="str">
        <f aca="false">IF($B569="","",IF(MOD(ROW()-5,3)=0,"周转打冷",IF(MOD(ROW()-5,3)=1,"仓储加工","装卸费")))</f>
        <v/>
      </c>
      <c r="E569" s="51" t="str">
        <f aca="false">IF($B569="","",IFERROR(IF($D569="周转打冷",N(INDEX(对接源_01入库吨位!$D$5:$D$304,MATCH(INT((ROW()-5)/3)+1,对接源_01入库吨位!$S$5:$S$304,0))),IF($D569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69" s="41" t="str">
        <f aca="false">IF($B569="","",ROUND(IFERROR(IF($D569="周转打冷",N(INDEX(对接源_01入库吨位!$H$5:$H$304,MATCH(INT((ROW()-5)/3)+1,对接源_01入库吨位!$S$5:$S$304,0))),IF($D569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69" s="52" t="str">
        <f aca="false">IF($B569="","",ROUND(N($F569)/1000,3))</f>
        <v/>
      </c>
      <c r="H569" s="74"/>
      <c r="I569" s="44"/>
      <c r="J569" s="75" t="str">
        <f aca="false">IF($B569="","",IF($H569="按筐数×单价",N($E569),IF($H569="按总重KG×单价",N($F569),IF($H569="按吨位×单价",N($G569),0))))</f>
        <v/>
      </c>
      <c r="K569" s="41" t="str">
        <f aca="false">IF($B569="","",ROUND(N($J569)*N($I569),2))</f>
        <v/>
      </c>
      <c r="L569" s="42"/>
      <c r="M569" s="76"/>
      <c r="N569" s="43"/>
      <c r="R569" s="77" t="str">
        <f aca="false">IF($B569="","",$B569)</f>
        <v/>
      </c>
      <c r="S569" s="77" t="n">
        <f aca="false">IF($R569="",0,IF(MATCH($R569,$R$5:$R$904,0)=ROW()-4,1,0))</f>
        <v>0</v>
      </c>
      <c r="T569" s="77" t="n">
        <f aca="false">N(T568)+$S569</f>
        <v>18</v>
      </c>
    </row>
    <row r="570" customFormat="false" ht="13.5" hidden="false" customHeight="false" outlineLevel="0" collapsed="false">
      <c r="A570" s="9" t="str">
        <f aca="false">IF($B570="","",ROW()-4)</f>
        <v/>
      </c>
      <c r="B570" s="39" t="str">
        <f aca="false">IFERROR(INDEX(对接源_01入库吨位!$B$5:$B$304,MATCH(INT((ROW()-5)/3)+1,对接源_01入库吨位!$S$5:$S$304,0)),"")</f>
        <v/>
      </c>
      <c r="C570" s="39" t="str">
        <f aca="false">IFERROR(INDEX(对接源_01入库吨位!$C$5:$C$304,MATCH(INT((ROW()-5)/3)+1,对接源_01入库吨位!$S$5:$S$304,0)),"")</f>
        <v/>
      </c>
      <c r="D570" s="40" t="str">
        <f aca="false">IF($B570="","",IF(MOD(ROW()-5,3)=0,"周转打冷",IF(MOD(ROW()-5,3)=1,"仓储加工","装卸费")))</f>
        <v/>
      </c>
      <c r="E570" s="51" t="str">
        <f aca="false">IF($B570="","",IFERROR(IF($D570="周转打冷",N(INDEX(对接源_01入库吨位!$D$5:$D$304,MATCH(INT((ROW()-5)/3)+1,对接源_01入库吨位!$S$5:$S$304,0))),IF($D570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0" s="41" t="str">
        <f aca="false">IF($B570="","",ROUND(IFERROR(IF($D570="周转打冷",N(INDEX(对接源_01入库吨位!$H$5:$H$304,MATCH(INT((ROW()-5)/3)+1,对接源_01入库吨位!$S$5:$S$304,0))),IF($D570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0" s="52" t="str">
        <f aca="false">IF($B570="","",ROUND(N($F570)/1000,3))</f>
        <v/>
      </c>
      <c r="H570" s="74"/>
      <c r="I570" s="44"/>
      <c r="J570" s="75" t="str">
        <f aca="false">IF($B570="","",IF($H570="按筐数×单价",N($E570),IF($H570="按总重KG×单价",N($F570),IF($H570="按吨位×单价",N($G570),0))))</f>
        <v/>
      </c>
      <c r="K570" s="41" t="str">
        <f aca="false">IF($B570="","",ROUND(N($J570)*N($I570),2))</f>
        <v/>
      </c>
      <c r="L570" s="42"/>
      <c r="M570" s="76"/>
      <c r="N570" s="43"/>
      <c r="R570" s="77" t="str">
        <f aca="false">IF($B570="","",$B570)</f>
        <v/>
      </c>
      <c r="S570" s="77" t="n">
        <f aca="false">IF($R570="",0,IF(MATCH($R570,$R$5:$R$904,0)=ROW()-4,1,0))</f>
        <v>0</v>
      </c>
      <c r="T570" s="77" t="n">
        <f aca="false">N(T569)+$S570</f>
        <v>18</v>
      </c>
    </row>
    <row r="571" customFormat="false" ht="13.5" hidden="false" customHeight="false" outlineLevel="0" collapsed="false">
      <c r="A571" s="9" t="str">
        <f aca="false">IF($B571="","",ROW()-4)</f>
        <v/>
      </c>
      <c r="B571" s="39" t="str">
        <f aca="false">IFERROR(INDEX(对接源_01入库吨位!$B$5:$B$304,MATCH(INT((ROW()-5)/3)+1,对接源_01入库吨位!$S$5:$S$304,0)),"")</f>
        <v/>
      </c>
      <c r="C571" s="39" t="str">
        <f aca="false">IFERROR(INDEX(对接源_01入库吨位!$C$5:$C$304,MATCH(INT((ROW()-5)/3)+1,对接源_01入库吨位!$S$5:$S$304,0)),"")</f>
        <v/>
      </c>
      <c r="D571" s="40" t="str">
        <f aca="false">IF($B571="","",IF(MOD(ROW()-5,3)=0,"周转打冷",IF(MOD(ROW()-5,3)=1,"仓储加工","装卸费")))</f>
        <v/>
      </c>
      <c r="E571" s="51" t="str">
        <f aca="false">IF($B571="","",IFERROR(IF($D571="周转打冷",N(INDEX(对接源_01入库吨位!$D$5:$D$304,MATCH(INT((ROW()-5)/3)+1,对接源_01入库吨位!$S$5:$S$304,0))),IF($D571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1" s="41" t="str">
        <f aca="false">IF($B571="","",ROUND(IFERROR(IF($D571="周转打冷",N(INDEX(对接源_01入库吨位!$H$5:$H$304,MATCH(INT((ROW()-5)/3)+1,对接源_01入库吨位!$S$5:$S$304,0))),IF($D571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1" s="52" t="str">
        <f aca="false">IF($B571="","",ROUND(N($F571)/1000,3))</f>
        <v/>
      </c>
      <c r="H571" s="74"/>
      <c r="I571" s="44"/>
      <c r="J571" s="75" t="str">
        <f aca="false">IF($B571="","",IF($H571="按筐数×单价",N($E571),IF($H571="按总重KG×单价",N($F571),IF($H571="按吨位×单价",N($G571),0))))</f>
        <v/>
      </c>
      <c r="K571" s="41" t="str">
        <f aca="false">IF($B571="","",ROUND(N($J571)*N($I571),2))</f>
        <v/>
      </c>
      <c r="L571" s="42"/>
      <c r="M571" s="76"/>
      <c r="N571" s="43"/>
      <c r="R571" s="77" t="str">
        <f aca="false">IF($B571="","",$B571)</f>
        <v/>
      </c>
      <c r="S571" s="77" t="n">
        <f aca="false">IF($R571="",0,IF(MATCH($R571,$R$5:$R$904,0)=ROW()-4,1,0))</f>
        <v>0</v>
      </c>
      <c r="T571" s="77" t="n">
        <f aca="false">N(T570)+$S571</f>
        <v>18</v>
      </c>
    </row>
    <row r="572" customFormat="false" ht="13.5" hidden="false" customHeight="false" outlineLevel="0" collapsed="false">
      <c r="A572" s="9" t="str">
        <f aca="false">IF($B572="","",ROW()-4)</f>
        <v/>
      </c>
      <c r="B572" s="39" t="str">
        <f aca="false">IFERROR(INDEX(对接源_01入库吨位!$B$5:$B$304,MATCH(INT((ROW()-5)/3)+1,对接源_01入库吨位!$S$5:$S$304,0)),"")</f>
        <v/>
      </c>
      <c r="C572" s="39" t="str">
        <f aca="false">IFERROR(INDEX(对接源_01入库吨位!$C$5:$C$304,MATCH(INT((ROW()-5)/3)+1,对接源_01入库吨位!$S$5:$S$304,0)),"")</f>
        <v/>
      </c>
      <c r="D572" s="40" t="str">
        <f aca="false">IF($B572="","",IF(MOD(ROW()-5,3)=0,"周转打冷",IF(MOD(ROW()-5,3)=1,"仓储加工","装卸费")))</f>
        <v/>
      </c>
      <c r="E572" s="51" t="str">
        <f aca="false">IF($B572="","",IFERROR(IF($D572="周转打冷",N(INDEX(对接源_01入库吨位!$D$5:$D$304,MATCH(INT((ROW()-5)/3)+1,对接源_01入库吨位!$S$5:$S$304,0))),IF($D572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2" s="41" t="str">
        <f aca="false">IF($B572="","",ROUND(IFERROR(IF($D572="周转打冷",N(INDEX(对接源_01入库吨位!$H$5:$H$304,MATCH(INT((ROW()-5)/3)+1,对接源_01入库吨位!$S$5:$S$304,0))),IF($D572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2" s="52" t="str">
        <f aca="false">IF($B572="","",ROUND(N($F572)/1000,3))</f>
        <v/>
      </c>
      <c r="H572" s="74"/>
      <c r="I572" s="44"/>
      <c r="J572" s="75" t="str">
        <f aca="false">IF($B572="","",IF($H572="按筐数×单价",N($E572),IF($H572="按总重KG×单价",N($F572),IF($H572="按吨位×单价",N($G572),0))))</f>
        <v/>
      </c>
      <c r="K572" s="41" t="str">
        <f aca="false">IF($B572="","",ROUND(N($J572)*N($I572),2))</f>
        <v/>
      </c>
      <c r="L572" s="42"/>
      <c r="M572" s="76"/>
      <c r="N572" s="43"/>
      <c r="R572" s="77" t="str">
        <f aca="false">IF($B572="","",$B572)</f>
        <v/>
      </c>
      <c r="S572" s="77" t="n">
        <f aca="false">IF($R572="",0,IF(MATCH($R572,$R$5:$R$904,0)=ROW()-4,1,0))</f>
        <v>0</v>
      </c>
      <c r="T572" s="77" t="n">
        <f aca="false">N(T571)+$S572</f>
        <v>18</v>
      </c>
    </row>
    <row r="573" customFormat="false" ht="13.5" hidden="false" customHeight="false" outlineLevel="0" collapsed="false">
      <c r="A573" s="9" t="str">
        <f aca="false">IF($B573="","",ROW()-4)</f>
        <v/>
      </c>
      <c r="B573" s="39" t="str">
        <f aca="false">IFERROR(INDEX(对接源_01入库吨位!$B$5:$B$304,MATCH(INT((ROW()-5)/3)+1,对接源_01入库吨位!$S$5:$S$304,0)),"")</f>
        <v/>
      </c>
      <c r="C573" s="39" t="str">
        <f aca="false">IFERROR(INDEX(对接源_01入库吨位!$C$5:$C$304,MATCH(INT((ROW()-5)/3)+1,对接源_01入库吨位!$S$5:$S$304,0)),"")</f>
        <v/>
      </c>
      <c r="D573" s="40" t="str">
        <f aca="false">IF($B573="","",IF(MOD(ROW()-5,3)=0,"周转打冷",IF(MOD(ROW()-5,3)=1,"仓储加工","装卸费")))</f>
        <v/>
      </c>
      <c r="E573" s="51" t="str">
        <f aca="false">IF($B573="","",IFERROR(IF($D573="周转打冷",N(INDEX(对接源_01入库吨位!$D$5:$D$304,MATCH(INT((ROW()-5)/3)+1,对接源_01入库吨位!$S$5:$S$304,0))),IF($D573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3" s="41" t="str">
        <f aca="false">IF($B573="","",ROUND(IFERROR(IF($D573="周转打冷",N(INDEX(对接源_01入库吨位!$H$5:$H$304,MATCH(INT((ROW()-5)/3)+1,对接源_01入库吨位!$S$5:$S$304,0))),IF($D573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3" s="52" t="str">
        <f aca="false">IF($B573="","",ROUND(N($F573)/1000,3))</f>
        <v/>
      </c>
      <c r="H573" s="74"/>
      <c r="I573" s="44"/>
      <c r="J573" s="75" t="str">
        <f aca="false">IF($B573="","",IF($H573="按筐数×单价",N($E573),IF($H573="按总重KG×单价",N($F573),IF($H573="按吨位×单价",N($G573),0))))</f>
        <v/>
      </c>
      <c r="K573" s="41" t="str">
        <f aca="false">IF($B573="","",ROUND(N($J573)*N($I573),2))</f>
        <v/>
      </c>
      <c r="L573" s="42"/>
      <c r="M573" s="76"/>
      <c r="N573" s="43"/>
      <c r="R573" s="77" t="str">
        <f aca="false">IF($B573="","",$B573)</f>
        <v/>
      </c>
      <c r="S573" s="77" t="n">
        <f aca="false">IF($R573="",0,IF(MATCH($R573,$R$5:$R$904,0)=ROW()-4,1,0))</f>
        <v>0</v>
      </c>
      <c r="T573" s="77" t="n">
        <f aca="false">N(T572)+$S573</f>
        <v>18</v>
      </c>
    </row>
    <row r="574" customFormat="false" ht="13.5" hidden="false" customHeight="false" outlineLevel="0" collapsed="false">
      <c r="A574" s="9" t="str">
        <f aca="false">IF($B574="","",ROW()-4)</f>
        <v/>
      </c>
      <c r="B574" s="39" t="str">
        <f aca="false">IFERROR(INDEX(对接源_01入库吨位!$B$5:$B$304,MATCH(INT((ROW()-5)/3)+1,对接源_01入库吨位!$S$5:$S$304,0)),"")</f>
        <v/>
      </c>
      <c r="C574" s="39" t="str">
        <f aca="false">IFERROR(INDEX(对接源_01入库吨位!$C$5:$C$304,MATCH(INT((ROW()-5)/3)+1,对接源_01入库吨位!$S$5:$S$304,0)),"")</f>
        <v/>
      </c>
      <c r="D574" s="40" t="str">
        <f aca="false">IF($B574="","",IF(MOD(ROW()-5,3)=0,"周转打冷",IF(MOD(ROW()-5,3)=1,"仓储加工","装卸费")))</f>
        <v/>
      </c>
      <c r="E574" s="51" t="str">
        <f aca="false">IF($B574="","",IFERROR(IF($D574="周转打冷",N(INDEX(对接源_01入库吨位!$D$5:$D$304,MATCH(INT((ROW()-5)/3)+1,对接源_01入库吨位!$S$5:$S$304,0))),IF($D574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4" s="41" t="str">
        <f aca="false">IF($B574="","",ROUND(IFERROR(IF($D574="周转打冷",N(INDEX(对接源_01入库吨位!$H$5:$H$304,MATCH(INT((ROW()-5)/3)+1,对接源_01入库吨位!$S$5:$S$304,0))),IF($D574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4" s="52" t="str">
        <f aca="false">IF($B574="","",ROUND(N($F574)/1000,3))</f>
        <v/>
      </c>
      <c r="H574" s="74"/>
      <c r="I574" s="44"/>
      <c r="J574" s="75" t="str">
        <f aca="false">IF($B574="","",IF($H574="按筐数×单价",N($E574),IF($H574="按总重KG×单价",N($F574),IF($H574="按吨位×单价",N($G574),0))))</f>
        <v/>
      </c>
      <c r="K574" s="41" t="str">
        <f aca="false">IF($B574="","",ROUND(N($J574)*N($I574),2))</f>
        <v/>
      </c>
      <c r="L574" s="42"/>
      <c r="M574" s="76"/>
      <c r="N574" s="43"/>
      <c r="R574" s="77" t="str">
        <f aca="false">IF($B574="","",$B574)</f>
        <v/>
      </c>
      <c r="S574" s="77" t="n">
        <f aca="false">IF($R574="",0,IF(MATCH($R574,$R$5:$R$904,0)=ROW()-4,1,0))</f>
        <v>0</v>
      </c>
      <c r="T574" s="77" t="n">
        <f aca="false">N(T573)+$S574</f>
        <v>18</v>
      </c>
    </row>
    <row r="575" customFormat="false" ht="13.5" hidden="false" customHeight="false" outlineLevel="0" collapsed="false">
      <c r="A575" s="9" t="str">
        <f aca="false">IF($B575="","",ROW()-4)</f>
        <v/>
      </c>
      <c r="B575" s="39" t="str">
        <f aca="false">IFERROR(INDEX(对接源_01入库吨位!$B$5:$B$304,MATCH(INT((ROW()-5)/3)+1,对接源_01入库吨位!$S$5:$S$304,0)),"")</f>
        <v/>
      </c>
      <c r="C575" s="39" t="str">
        <f aca="false">IFERROR(INDEX(对接源_01入库吨位!$C$5:$C$304,MATCH(INT((ROW()-5)/3)+1,对接源_01入库吨位!$S$5:$S$304,0)),"")</f>
        <v/>
      </c>
      <c r="D575" s="40" t="str">
        <f aca="false">IF($B575="","",IF(MOD(ROW()-5,3)=0,"周转打冷",IF(MOD(ROW()-5,3)=1,"仓储加工","装卸费")))</f>
        <v/>
      </c>
      <c r="E575" s="51" t="str">
        <f aca="false">IF($B575="","",IFERROR(IF($D575="周转打冷",N(INDEX(对接源_01入库吨位!$D$5:$D$304,MATCH(INT((ROW()-5)/3)+1,对接源_01入库吨位!$S$5:$S$304,0))),IF($D575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5" s="41" t="str">
        <f aca="false">IF($B575="","",ROUND(IFERROR(IF($D575="周转打冷",N(INDEX(对接源_01入库吨位!$H$5:$H$304,MATCH(INT((ROW()-5)/3)+1,对接源_01入库吨位!$S$5:$S$304,0))),IF($D575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5" s="52" t="str">
        <f aca="false">IF($B575="","",ROUND(N($F575)/1000,3))</f>
        <v/>
      </c>
      <c r="H575" s="74"/>
      <c r="I575" s="44"/>
      <c r="J575" s="75" t="str">
        <f aca="false">IF($B575="","",IF($H575="按筐数×单价",N($E575),IF($H575="按总重KG×单价",N($F575),IF($H575="按吨位×单价",N($G575),0))))</f>
        <v/>
      </c>
      <c r="K575" s="41" t="str">
        <f aca="false">IF($B575="","",ROUND(N($J575)*N($I575),2))</f>
        <v/>
      </c>
      <c r="L575" s="42"/>
      <c r="M575" s="76"/>
      <c r="N575" s="43"/>
      <c r="R575" s="77" t="str">
        <f aca="false">IF($B575="","",$B575)</f>
        <v/>
      </c>
      <c r="S575" s="77" t="n">
        <f aca="false">IF($R575="",0,IF(MATCH($R575,$R$5:$R$904,0)=ROW()-4,1,0))</f>
        <v>0</v>
      </c>
      <c r="T575" s="77" t="n">
        <f aca="false">N(T574)+$S575</f>
        <v>18</v>
      </c>
    </row>
    <row r="576" customFormat="false" ht="13.5" hidden="false" customHeight="false" outlineLevel="0" collapsed="false">
      <c r="A576" s="9" t="str">
        <f aca="false">IF($B576="","",ROW()-4)</f>
        <v/>
      </c>
      <c r="B576" s="39" t="str">
        <f aca="false">IFERROR(INDEX(对接源_01入库吨位!$B$5:$B$304,MATCH(INT((ROW()-5)/3)+1,对接源_01入库吨位!$S$5:$S$304,0)),"")</f>
        <v/>
      </c>
      <c r="C576" s="39" t="str">
        <f aca="false">IFERROR(INDEX(对接源_01入库吨位!$C$5:$C$304,MATCH(INT((ROW()-5)/3)+1,对接源_01入库吨位!$S$5:$S$304,0)),"")</f>
        <v/>
      </c>
      <c r="D576" s="40" t="str">
        <f aca="false">IF($B576="","",IF(MOD(ROW()-5,3)=0,"周转打冷",IF(MOD(ROW()-5,3)=1,"仓储加工","装卸费")))</f>
        <v/>
      </c>
      <c r="E576" s="51" t="str">
        <f aca="false">IF($B576="","",IFERROR(IF($D576="周转打冷",N(INDEX(对接源_01入库吨位!$D$5:$D$304,MATCH(INT((ROW()-5)/3)+1,对接源_01入库吨位!$S$5:$S$304,0))),IF($D576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6" s="41" t="str">
        <f aca="false">IF($B576="","",ROUND(IFERROR(IF($D576="周转打冷",N(INDEX(对接源_01入库吨位!$H$5:$H$304,MATCH(INT((ROW()-5)/3)+1,对接源_01入库吨位!$S$5:$S$304,0))),IF($D576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6" s="52" t="str">
        <f aca="false">IF($B576="","",ROUND(N($F576)/1000,3))</f>
        <v/>
      </c>
      <c r="H576" s="74"/>
      <c r="I576" s="44"/>
      <c r="J576" s="75" t="str">
        <f aca="false">IF($B576="","",IF($H576="按筐数×单价",N($E576),IF($H576="按总重KG×单价",N($F576),IF($H576="按吨位×单价",N($G576),0))))</f>
        <v/>
      </c>
      <c r="K576" s="41" t="str">
        <f aca="false">IF($B576="","",ROUND(N($J576)*N($I576),2))</f>
        <v/>
      </c>
      <c r="L576" s="42"/>
      <c r="M576" s="76"/>
      <c r="N576" s="43"/>
      <c r="R576" s="77" t="str">
        <f aca="false">IF($B576="","",$B576)</f>
        <v/>
      </c>
      <c r="S576" s="77" t="n">
        <f aca="false">IF($R576="",0,IF(MATCH($R576,$R$5:$R$904,0)=ROW()-4,1,0))</f>
        <v>0</v>
      </c>
      <c r="T576" s="77" t="n">
        <f aca="false">N(T575)+$S576</f>
        <v>18</v>
      </c>
    </row>
    <row r="577" customFormat="false" ht="13.5" hidden="false" customHeight="false" outlineLevel="0" collapsed="false">
      <c r="A577" s="9" t="str">
        <f aca="false">IF($B577="","",ROW()-4)</f>
        <v/>
      </c>
      <c r="B577" s="39" t="str">
        <f aca="false">IFERROR(INDEX(对接源_01入库吨位!$B$5:$B$304,MATCH(INT((ROW()-5)/3)+1,对接源_01入库吨位!$S$5:$S$304,0)),"")</f>
        <v/>
      </c>
      <c r="C577" s="39" t="str">
        <f aca="false">IFERROR(INDEX(对接源_01入库吨位!$C$5:$C$304,MATCH(INT((ROW()-5)/3)+1,对接源_01入库吨位!$S$5:$S$304,0)),"")</f>
        <v/>
      </c>
      <c r="D577" s="40" t="str">
        <f aca="false">IF($B577="","",IF(MOD(ROW()-5,3)=0,"周转打冷",IF(MOD(ROW()-5,3)=1,"仓储加工","装卸费")))</f>
        <v/>
      </c>
      <c r="E577" s="51" t="str">
        <f aca="false">IF($B577="","",IFERROR(IF($D577="周转打冷",N(INDEX(对接源_01入库吨位!$D$5:$D$304,MATCH(INT((ROW()-5)/3)+1,对接源_01入库吨位!$S$5:$S$304,0))),IF($D577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7" s="41" t="str">
        <f aca="false">IF($B577="","",ROUND(IFERROR(IF($D577="周转打冷",N(INDEX(对接源_01入库吨位!$H$5:$H$304,MATCH(INT((ROW()-5)/3)+1,对接源_01入库吨位!$S$5:$S$304,0))),IF($D577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7" s="52" t="str">
        <f aca="false">IF($B577="","",ROUND(N($F577)/1000,3))</f>
        <v/>
      </c>
      <c r="H577" s="74"/>
      <c r="I577" s="44"/>
      <c r="J577" s="75" t="str">
        <f aca="false">IF($B577="","",IF($H577="按筐数×单价",N($E577),IF($H577="按总重KG×单价",N($F577),IF($H577="按吨位×单价",N($G577),0))))</f>
        <v/>
      </c>
      <c r="K577" s="41" t="str">
        <f aca="false">IF($B577="","",ROUND(N($J577)*N($I577),2))</f>
        <v/>
      </c>
      <c r="L577" s="42"/>
      <c r="M577" s="76"/>
      <c r="N577" s="43"/>
      <c r="R577" s="77" t="str">
        <f aca="false">IF($B577="","",$B577)</f>
        <v/>
      </c>
      <c r="S577" s="77" t="n">
        <f aca="false">IF($R577="",0,IF(MATCH($R577,$R$5:$R$904,0)=ROW()-4,1,0))</f>
        <v>0</v>
      </c>
      <c r="T577" s="77" t="n">
        <f aca="false">N(T576)+$S577</f>
        <v>18</v>
      </c>
    </row>
    <row r="578" customFormat="false" ht="13.5" hidden="false" customHeight="false" outlineLevel="0" collapsed="false">
      <c r="A578" s="9" t="str">
        <f aca="false">IF($B578="","",ROW()-4)</f>
        <v/>
      </c>
      <c r="B578" s="39" t="str">
        <f aca="false">IFERROR(INDEX(对接源_01入库吨位!$B$5:$B$304,MATCH(INT((ROW()-5)/3)+1,对接源_01入库吨位!$S$5:$S$304,0)),"")</f>
        <v/>
      </c>
      <c r="C578" s="39" t="str">
        <f aca="false">IFERROR(INDEX(对接源_01入库吨位!$C$5:$C$304,MATCH(INT((ROW()-5)/3)+1,对接源_01入库吨位!$S$5:$S$304,0)),"")</f>
        <v/>
      </c>
      <c r="D578" s="40" t="str">
        <f aca="false">IF($B578="","",IF(MOD(ROW()-5,3)=0,"周转打冷",IF(MOD(ROW()-5,3)=1,"仓储加工","装卸费")))</f>
        <v/>
      </c>
      <c r="E578" s="51" t="str">
        <f aca="false">IF($B578="","",IFERROR(IF($D578="周转打冷",N(INDEX(对接源_01入库吨位!$D$5:$D$304,MATCH(INT((ROW()-5)/3)+1,对接源_01入库吨位!$S$5:$S$304,0))),IF($D578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8" s="41" t="str">
        <f aca="false">IF($B578="","",ROUND(IFERROR(IF($D578="周转打冷",N(INDEX(对接源_01入库吨位!$H$5:$H$304,MATCH(INT((ROW()-5)/3)+1,对接源_01入库吨位!$S$5:$S$304,0))),IF($D578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8" s="52" t="str">
        <f aca="false">IF($B578="","",ROUND(N($F578)/1000,3))</f>
        <v/>
      </c>
      <c r="H578" s="74"/>
      <c r="I578" s="44"/>
      <c r="J578" s="75" t="str">
        <f aca="false">IF($B578="","",IF($H578="按筐数×单价",N($E578),IF($H578="按总重KG×单价",N($F578),IF($H578="按吨位×单价",N($G578),0))))</f>
        <v/>
      </c>
      <c r="K578" s="41" t="str">
        <f aca="false">IF($B578="","",ROUND(N($J578)*N($I578),2))</f>
        <v/>
      </c>
      <c r="L578" s="42"/>
      <c r="M578" s="76"/>
      <c r="N578" s="43"/>
      <c r="R578" s="77" t="str">
        <f aca="false">IF($B578="","",$B578)</f>
        <v/>
      </c>
      <c r="S578" s="77" t="n">
        <f aca="false">IF($R578="",0,IF(MATCH($R578,$R$5:$R$904,0)=ROW()-4,1,0))</f>
        <v>0</v>
      </c>
      <c r="T578" s="77" t="n">
        <f aca="false">N(T577)+$S578</f>
        <v>18</v>
      </c>
    </row>
    <row r="579" customFormat="false" ht="13.5" hidden="false" customHeight="false" outlineLevel="0" collapsed="false">
      <c r="A579" s="9" t="str">
        <f aca="false">IF($B579="","",ROW()-4)</f>
        <v/>
      </c>
      <c r="B579" s="39" t="str">
        <f aca="false">IFERROR(INDEX(对接源_01入库吨位!$B$5:$B$304,MATCH(INT((ROW()-5)/3)+1,对接源_01入库吨位!$S$5:$S$304,0)),"")</f>
        <v/>
      </c>
      <c r="C579" s="39" t="str">
        <f aca="false">IFERROR(INDEX(对接源_01入库吨位!$C$5:$C$304,MATCH(INT((ROW()-5)/3)+1,对接源_01入库吨位!$S$5:$S$304,0)),"")</f>
        <v/>
      </c>
      <c r="D579" s="40" t="str">
        <f aca="false">IF($B579="","",IF(MOD(ROW()-5,3)=0,"周转打冷",IF(MOD(ROW()-5,3)=1,"仓储加工","装卸费")))</f>
        <v/>
      </c>
      <c r="E579" s="51" t="str">
        <f aca="false">IF($B579="","",IFERROR(IF($D579="周转打冷",N(INDEX(对接源_01入库吨位!$D$5:$D$304,MATCH(INT((ROW()-5)/3)+1,对接源_01入库吨位!$S$5:$S$304,0))),IF($D579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79" s="41" t="str">
        <f aca="false">IF($B579="","",ROUND(IFERROR(IF($D579="周转打冷",N(INDEX(对接源_01入库吨位!$H$5:$H$304,MATCH(INT((ROW()-5)/3)+1,对接源_01入库吨位!$S$5:$S$304,0))),IF($D579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79" s="52" t="str">
        <f aca="false">IF($B579="","",ROUND(N($F579)/1000,3))</f>
        <v/>
      </c>
      <c r="H579" s="74"/>
      <c r="I579" s="44"/>
      <c r="J579" s="75" t="str">
        <f aca="false">IF($B579="","",IF($H579="按筐数×单价",N($E579),IF($H579="按总重KG×单价",N($F579),IF($H579="按吨位×单价",N($G579),0))))</f>
        <v/>
      </c>
      <c r="K579" s="41" t="str">
        <f aca="false">IF($B579="","",ROUND(N($J579)*N($I579),2))</f>
        <v/>
      </c>
      <c r="L579" s="42"/>
      <c r="M579" s="76"/>
      <c r="N579" s="43"/>
      <c r="R579" s="77" t="str">
        <f aca="false">IF($B579="","",$B579)</f>
        <v/>
      </c>
      <c r="S579" s="77" t="n">
        <f aca="false">IF($R579="",0,IF(MATCH($R579,$R$5:$R$904,0)=ROW()-4,1,0))</f>
        <v>0</v>
      </c>
      <c r="T579" s="77" t="n">
        <f aca="false">N(T578)+$S579</f>
        <v>18</v>
      </c>
    </row>
    <row r="580" customFormat="false" ht="13.5" hidden="false" customHeight="false" outlineLevel="0" collapsed="false">
      <c r="A580" s="9" t="str">
        <f aca="false">IF($B580="","",ROW()-4)</f>
        <v/>
      </c>
      <c r="B580" s="39" t="str">
        <f aca="false">IFERROR(INDEX(对接源_01入库吨位!$B$5:$B$304,MATCH(INT((ROW()-5)/3)+1,对接源_01入库吨位!$S$5:$S$304,0)),"")</f>
        <v/>
      </c>
      <c r="C580" s="39" t="str">
        <f aca="false">IFERROR(INDEX(对接源_01入库吨位!$C$5:$C$304,MATCH(INT((ROW()-5)/3)+1,对接源_01入库吨位!$S$5:$S$304,0)),"")</f>
        <v/>
      </c>
      <c r="D580" s="40" t="str">
        <f aca="false">IF($B580="","",IF(MOD(ROW()-5,3)=0,"周转打冷",IF(MOD(ROW()-5,3)=1,"仓储加工","装卸费")))</f>
        <v/>
      </c>
      <c r="E580" s="51" t="str">
        <f aca="false">IF($B580="","",IFERROR(IF($D580="周转打冷",N(INDEX(对接源_01入库吨位!$D$5:$D$304,MATCH(INT((ROW()-5)/3)+1,对接源_01入库吨位!$S$5:$S$304,0))),IF($D580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0" s="41" t="str">
        <f aca="false">IF($B580="","",ROUND(IFERROR(IF($D580="周转打冷",N(INDEX(对接源_01入库吨位!$H$5:$H$304,MATCH(INT((ROW()-5)/3)+1,对接源_01入库吨位!$S$5:$S$304,0))),IF($D580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0" s="52" t="str">
        <f aca="false">IF($B580="","",ROUND(N($F580)/1000,3))</f>
        <v/>
      </c>
      <c r="H580" s="74"/>
      <c r="I580" s="44"/>
      <c r="J580" s="75" t="str">
        <f aca="false">IF($B580="","",IF($H580="按筐数×单价",N($E580),IF($H580="按总重KG×单价",N($F580),IF($H580="按吨位×单价",N($G580),0))))</f>
        <v/>
      </c>
      <c r="K580" s="41" t="str">
        <f aca="false">IF($B580="","",ROUND(N($J580)*N($I580),2))</f>
        <v/>
      </c>
      <c r="L580" s="42"/>
      <c r="M580" s="76"/>
      <c r="N580" s="43"/>
      <c r="R580" s="77" t="str">
        <f aca="false">IF($B580="","",$B580)</f>
        <v/>
      </c>
      <c r="S580" s="77" t="n">
        <f aca="false">IF($R580="",0,IF(MATCH($R580,$R$5:$R$904,0)=ROW()-4,1,0))</f>
        <v>0</v>
      </c>
      <c r="T580" s="77" t="n">
        <f aca="false">N(T579)+$S580</f>
        <v>18</v>
      </c>
    </row>
    <row r="581" customFormat="false" ht="13.5" hidden="false" customHeight="false" outlineLevel="0" collapsed="false">
      <c r="A581" s="9" t="str">
        <f aca="false">IF($B581="","",ROW()-4)</f>
        <v/>
      </c>
      <c r="B581" s="39" t="str">
        <f aca="false">IFERROR(INDEX(对接源_01入库吨位!$B$5:$B$304,MATCH(INT((ROW()-5)/3)+1,对接源_01入库吨位!$S$5:$S$304,0)),"")</f>
        <v/>
      </c>
      <c r="C581" s="39" t="str">
        <f aca="false">IFERROR(INDEX(对接源_01入库吨位!$C$5:$C$304,MATCH(INT((ROW()-5)/3)+1,对接源_01入库吨位!$S$5:$S$304,0)),"")</f>
        <v/>
      </c>
      <c r="D581" s="40" t="str">
        <f aca="false">IF($B581="","",IF(MOD(ROW()-5,3)=0,"周转打冷",IF(MOD(ROW()-5,3)=1,"仓储加工","装卸费")))</f>
        <v/>
      </c>
      <c r="E581" s="51" t="str">
        <f aca="false">IF($B581="","",IFERROR(IF($D581="周转打冷",N(INDEX(对接源_01入库吨位!$D$5:$D$304,MATCH(INT((ROW()-5)/3)+1,对接源_01入库吨位!$S$5:$S$304,0))),IF($D581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1" s="41" t="str">
        <f aca="false">IF($B581="","",ROUND(IFERROR(IF($D581="周转打冷",N(INDEX(对接源_01入库吨位!$H$5:$H$304,MATCH(INT((ROW()-5)/3)+1,对接源_01入库吨位!$S$5:$S$304,0))),IF($D581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1" s="52" t="str">
        <f aca="false">IF($B581="","",ROUND(N($F581)/1000,3))</f>
        <v/>
      </c>
      <c r="H581" s="74"/>
      <c r="I581" s="44"/>
      <c r="J581" s="75" t="str">
        <f aca="false">IF($B581="","",IF($H581="按筐数×单价",N($E581),IF($H581="按总重KG×单价",N($F581),IF($H581="按吨位×单价",N($G581),0))))</f>
        <v/>
      </c>
      <c r="K581" s="41" t="str">
        <f aca="false">IF($B581="","",ROUND(N($J581)*N($I581),2))</f>
        <v/>
      </c>
      <c r="L581" s="42"/>
      <c r="M581" s="76"/>
      <c r="N581" s="43"/>
      <c r="R581" s="77" t="str">
        <f aca="false">IF($B581="","",$B581)</f>
        <v/>
      </c>
      <c r="S581" s="77" t="n">
        <f aca="false">IF($R581="",0,IF(MATCH($R581,$R$5:$R$904,0)=ROW()-4,1,0))</f>
        <v>0</v>
      </c>
      <c r="T581" s="77" t="n">
        <f aca="false">N(T580)+$S581</f>
        <v>18</v>
      </c>
    </row>
    <row r="582" customFormat="false" ht="13.5" hidden="false" customHeight="false" outlineLevel="0" collapsed="false">
      <c r="A582" s="9" t="str">
        <f aca="false">IF($B582="","",ROW()-4)</f>
        <v/>
      </c>
      <c r="B582" s="39" t="str">
        <f aca="false">IFERROR(INDEX(对接源_01入库吨位!$B$5:$B$304,MATCH(INT((ROW()-5)/3)+1,对接源_01入库吨位!$S$5:$S$304,0)),"")</f>
        <v/>
      </c>
      <c r="C582" s="39" t="str">
        <f aca="false">IFERROR(INDEX(对接源_01入库吨位!$C$5:$C$304,MATCH(INT((ROW()-5)/3)+1,对接源_01入库吨位!$S$5:$S$304,0)),"")</f>
        <v/>
      </c>
      <c r="D582" s="40" t="str">
        <f aca="false">IF($B582="","",IF(MOD(ROW()-5,3)=0,"周转打冷",IF(MOD(ROW()-5,3)=1,"仓储加工","装卸费")))</f>
        <v/>
      </c>
      <c r="E582" s="51" t="str">
        <f aca="false">IF($B582="","",IFERROR(IF($D582="周转打冷",N(INDEX(对接源_01入库吨位!$D$5:$D$304,MATCH(INT((ROW()-5)/3)+1,对接源_01入库吨位!$S$5:$S$304,0))),IF($D582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2" s="41" t="str">
        <f aca="false">IF($B582="","",ROUND(IFERROR(IF($D582="周转打冷",N(INDEX(对接源_01入库吨位!$H$5:$H$304,MATCH(INT((ROW()-5)/3)+1,对接源_01入库吨位!$S$5:$S$304,0))),IF($D582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2" s="52" t="str">
        <f aca="false">IF($B582="","",ROUND(N($F582)/1000,3))</f>
        <v/>
      </c>
      <c r="H582" s="74"/>
      <c r="I582" s="44"/>
      <c r="J582" s="75" t="str">
        <f aca="false">IF($B582="","",IF($H582="按筐数×单价",N($E582),IF($H582="按总重KG×单价",N($F582),IF($H582="按吨位×单价",N($G582),0))))</f>
        <v/>
      </c>
      <c r="K582" s="41" t="str">
        <f aca="false">IF($B582="","",ROUND(N($J582)*N($I582),2))</f>
        <v/>
      </c>
      <c r="L582" s="42"/>
      <c r="M582" s="76"/>
      <c r="N582" s="43"/>
      <c r="R582" s="77" t="str">
        <f aca="false">IF($B582="","",$B582)</f>
        <v/>
      </c>
      <c r="S582" s="77" t="n">
        <f aca="false">IF($R582="",0,IF(MATCH($R582,$R$5:$R$904,0)=ROW()-4,1,0))</f>
        <v>0</v>
      </c>
      <c r="T582" s="77" t="n">
        <f aca="false">N(T581)+$S582</f>
        <v>18</v>
      </c>
    </row>
    <row r="583" customFormat="false" ht="13.5" hidden="false" customHeight="false" outlineLevel="0" collapsed="false">
      <c r="A583" s="9" t="str">
        <f aca="false">IF($B583="","",ROW()-4)</f>
        <v/>
      </c>
      <c r="B583" s="39" t="str">
        <f aca="false">IFERROR(INDEX(对接源_01入库吨位!$B$5:$B$304,MATCH(INT((ROW()-5)/3)+1,对接源_01入库吨位!$S$5:$S$304,0)),"")</f>
        <v/>
      </c>
      <c r="C583" s="39" t="str">
        <f aca="false">IFERROR(INDEX(对接源_01入库吨位!$C$5:$C$304,MATCH(INT((ROW()-5)/3)+1,对接源_01入库吨位!$S$5:$S$304,0)),"")</f>
        <v/>
      </c>
      <c r="D583" s="40" t="str">
        <f aca="false">IF($B583="","",IF(MOD(ROW()-5,3)=0,"周转打冷",IF(MOD(ROW()-5,3)=1,"仓储加工","装卸费")))</f>
        <v/>
      </c>
      <c r="E583" s="51" t="str">
        <f aca="false">IF($B583="","",IFERROR(IF($D583="周转打冷",N(INDEX(对接源_01入库吨位!$D$5:$D$304,MATCH(INT((ROW()-5)/3)+1,对接源_01入库吨位!$S$5:$S$304,0))),IF($D583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3" s="41" t="str">
        <f aca="false">IF($B583="","",ROUND(IFERROR(IF($D583="周转打冷",N(INDEX(对接源_01入库吨位!$H$5:$H$304,MATCH(INT((ROW()-5)/3)+1,对接源_01入库吨位!$S$5:$S$304,0))),IF($D583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3" s="52" t="str">
        <f aca="false">IF($B583="","",ROUND(N($F583)/1000,3))</f>
        <v/>
      </c>
      <c r="H583" s="74"/>
      <c r="I583" s="44"/>
      <c r="J583" s="75" t="str">
        <f aca="false">IF($B583="","",IF($H583="按筐数×单价",N($E583),IF($H583="按总重KG×单价",N($F583),IF($H583="按吨位×单价",N($G583),0))))</f>
        <v/>
      </c>
      <c r="K583" s="41" t="str">
        <f aca="false">IF($B583="","",ROUND(N($J583)*N($I583),2))</f>
        <v/>
      </c>
      <c r="L583" s="42"/>
      <c r="M583" s="76"/>
      <c r="N583" s="43"/>
      <c r="R583" s="77" t="str">
        <f aca="false">IF($B583="","",$B583)</f>
        <v/>
      </c>
      <c r="S583" s="77" t="n">
        <f aca="false">IF($R583="",0,IF(MATCH($R583,$R$5:$R$904,0)=ROW()-4,1,0))</f>
        <v>0</v>
      </c>
      <c r="T583" s="77" t="n">
        <f aca="false">N(T582)+$S583</f>
        <v>18</v>
      </c>
    </row>
    <row r="584" customFormat="false" ht="13.5" hidden="false" customHeight="false" outlineLevel="0" collapsed="false">
      <c r="A584" s="9" t="str">
        <f aca="false">IF($B584="","",ROW()-4)</f>
        <v/>
      </c>
      <c r="B584" s="39" t="str">
        <f aca="false">IFERROR(INDEX(对接源_01入库吨位!$B$5:$B$304,MATCH(INT((ROW()-5)/3)+1,对接源_01入库吨位!$S$5:$S$304,0)),"")</f>
        <v/>
      </c>
      <c r="C584" s="39" t="str">
        <f aca="false">IFERROR(INDEX(对接源_01入库吨位!$C$5:$C$304,MATCH(INT((ROW()-5)/3)+1,对接源_01入库吨位!$S$5:$S$304,0)),"")</f>
        <v/>
      </c>
      <c r="D584" s="40" t="str">
        <f aca="false">IF($B584="","",IF(MOD(ROW()-5,3)=0,"周转打冷",IF(MOD(ROW()-5,3)=1,"仓储加工","装卸费")))</f>
        <v/>
      </c>
      <c r="E584" s="51" t="str">
        <f aca="false">IF($B584="","",IFERROR(IF($D584="周转打冷",N(INDEX(对接源_01入库吨位!$D$5:$D$304,MATCH(INT((ROW()-5)/3)+1,对接源_01入库吨位!$S$5:$S$304,0))),IF($D584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4" s="41" t="str">
        <f aca="false">IF($B584="","",ROUND(IFERROR(IF($D584="周转打冷",N(INDEX(对接源_01入库吨位!$H$5:$H$304,MATCH(INT((ROW()-5)/3)+1,对接源_01入库吨位!$S$5:$S$304,0))),IF($D584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4" s="52" t="str">
        <f aca="false">IF($B584="","",ROUND(N($F584)/1000,3))</f>
        <v/>
      </c>
      <c r="H584" s="74"/>
      <c r="I584" s="44"/>
      <c r="J584" s="75" t="str">
        <f aca="false">IF($B584="","",IF($H584="按筐数×单价",N($E584),IF($H584="按总重KG×单价",N($F584),IF($H584="按吨位×单价",N($G584),0))))</f>
        <v/>
      </c>
      <c r="K584" s="41" t="str">
        <f aca="false">IF($B584="","",ROUND(N($J584)*N($I584),2))</f>
        <v/>
      </c>
      <c r="L584" s="42"/>
      <c r="M584" s="76"/>
      <c r="N584" s="43"/>
      <c r="R584" s="77" t="str">
        <f aca="false">IF($B584="","",$B584)</f>
        <v/>
      </c>
      <c r="S584" s="77" t="n">
        <f aca="false">IF($R584="",0,IF(MATCH($R584,$R$5:$R$904,0)=ROW()-4,1,0))</f>
        <v>0</v>
      </c>
      <c r="T584" s="77" t="n">
        <f aca="false">N(T583)+$S584</f>
        <v>18</v>
      </c>
    </row>
    <row r="585" customFormat="false" ht="13.5" hidden="false" customHeight="false" outlineLevel="0" collapsed="false">
      <c r="A585" s="9" t="str">
        <f aca="false">IF($B585="","",ROW()-4)</f>
        <v/>
      </c>
      <c r="B585" s="39" t="str">
        <f aca="false">IFERROR(INDEX(对接源_01入库吨位!$B$5:$B$304,MATCH(INT((ROW()-5)/3)+1,对接源_01入库吨位!$S$5:$S$304,0)),"")</f>
        <v/>
      </c>
      <c r="C585" s="39" t="str">
        <f aca="false">IFERROR(INDEX(对接源_01入库吨位!$C$5:$C$304,MATCH(INT((ROW()-5)/3)+1,对接源_01入库吨位!$S$5:$S$304,0)),"")</f>
        <v/>
      </c>
      <c r="D585" s="40" t="str">
        <f aca="false">IF($B585="","",IF(MOD(ROW()-5,3)=0,"周转打冷",IF(MOD(ROW()-5,3)=1,"仓储加工","装卸费")))</f>
        <v/>
      </c>
      <c r="E585" s="51" t="str">
        <f aca="false">IF($B585="","",IFERROR(IF($D585="周转打冷",N(INDEX(对接源_01入库吨位!$D$5:$D$304,MATCH(INT((ROW()-5)/3)+1,对接源_01入库吨位!$S$5:$S$304,0))),IF($D585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5" s="41" t="str">
        <f aca="false">IF($B585="","",ROUND(IFERROR(IF($D585="周转打冷",N(INDEX(对接源_01入库吨位!$H$5:$H$304,MATCH(INT((ROW()-5)/3)+1,对接源_01入库吨位!$S$5:$S$304,0))),IF($D585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5" s="52" t="str">
        <f aca="false">IF($B585="","",ROUND(N($F585)/1000,3))</f>
        <v/>
      </c>
      <c r="H585" s="74"/>
      <c r="I585" s="44"/>
      <c r="J585" s="75" t="str">
        <f aca="false">IF($B585="","",IF($H585="按筐数×单价",N($E585),IF($H585="按总重KG×单价",N($F585),IF($H585="按吨位×单价",N($G585),0))))</f>
        <v/>
      </c>
      <c r="K585" s="41" t="str">
        <f aca="false">IF($B585="","",ROUND(N($J585)*N($I585),2))</f>
        <v/>
      </c>
      <c r="L585" s="42"/>
      <c r="M585" s="76"/>
      <c r="N585" s="43"/>
      <c r="R585" s="77" t="str">
        <f aca="false">IF($B585="","",$B585)</f>
        <v/>
      </c>
      <c r="S585" s="77" t="n">
        <f aca="false">IF($R585="",0,IF(MATCH($R585,$R$5:$R$904,0)=ROW()-4,1,0))</f>
        <v>0</v>
      </c>
      <c r="T585" s="77" t="n">
        <f aca="false">N(T584)+$S585</f>
        <v>18</v>
      </c>
    </row>
    <row r="586" customFormat="false" ht="13.5" hidden="false" customHeight="false" outlineLevel="0" collapsed="false">
      <c r="A586" s="9" t="str">
        <f aca="false">IF($B586="","",ROW()-4)</f>
        <v/>
      </c>
      <c r="B586" s="39" t="str">
        <f aca="false">IFERROR(INDEX(对接源_01入库吨位!$B$5:$B$304,MATCH(INT((ROW()-5)/3)+1,对接源_01入库吨位!$S$5:$S$304,0)),"")</f>
        <v/>
      </c>
      <c r="C586" s="39" t="str">
        <f aca="false">IFERROR(INDEX(对接源_01入库吨位!$C$5:$C$304,MATCH(INT((ROW()-5)/3)+1,对接源_01入库吨位!$S$5:$S$304,0)),"")</f>
        <v/>
      </c>
      <c r="D586" s="40" t="str">
        <f aca="false">IF($B586="","",IF(MOD(ROW()-5,3)=0,"周转打冷",IF(MOD(ROW()-5,3)=1,"仓储加工","装卸费")))</f>
        <v/>
      </c>
      <c r="E586" s="51" t="str">
        <f aca="false">IF($B586="","",IFERROR(IF($D586="周转打冷",N(INDEX(对接源_01入库吨位!$D$5:$D$304,MATCH(INT((ROW()-5)/3)+1,对接源_01入库吨位!$S$5:$S$304,0))),IF($D586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6" s="41" t="str">
        <f aca="false">IF($B586="","",ROUND(IFERROR(IF($D586="周转打冷",N(INDEX(对接源_01入库吨位!$H$5:$H$304,MATCH(INT((ROW()-5)/3)+1,对接源_01入库吨位!$S$5:$S$304,0))),IF($D586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6" s="52" t="str">
        <f aca="false">IF($B586="","",ROUND(N($F586)/1000,3))</f>
        <v/>
      </c>
      <c r="H586" s="74"/>
      <c r="I586" s="44"/>
      <c r="J586" s="75" t="str">
        <f aca="false">IF($B586="","",IF($H586="按筐数×单价",N($E586),IF($H586="按总重KG×单价",N($F586),IF($H586="按吨位×单价",N($G586),0))))</f>
        <v/>
      </c>
      <c r="K586" s="41" t="str">
        <f aca="false">IF($B586="","",ROUND(N($J586)*N($I586),2))</f>
        <v/>
      </c>
      <c r="L586" s="42"/>
      <c r="M586" s="76"/>
      <c r="N586" s="43"/>
      <c r="R586" s="77" t="str">
        <f aca="false">IF($B586="","",$B586)</f>
        <v/>
      </c>
      <c r="S586" s="77" t="n">
        <f aca="false">IF($R586="",0,IF(MATCH($R586,$R$5:$R$904,0)=ROW()-4,1,0))</f>
        <v>0</v>
      </c>
      <c r="T586" s="77" t="n">
        <f aca="false">N(T585)+$S586</f>
        <v>18</v>
      </c>
    </row>
    <row r="587" customFormat="false" ht="13.5" hidden="false" customHeight="false" outlineLevel="0" collapsed="false">
      <c r="A587" s="9" t="str">
        <f aca="false">IF($B587="","",ROW()-4)</f>
        <v/>
      </c>
      <c r="B587" s="39" t="str">
        <f aca="false">IFERROR(INDEX(对接源_01入库吨位!$B$5:$B$304,MATCH(INT((ROW()-5)/3)+1,对接源_01入库吨位!$S$5:$S$304,0)),"")</f>
        <v/>
      </c>
      <c r="C587" s="39" t="str">
        <f aca="false">IFERROR(INDEX(对接源_01入库吨位!$C$5:$C$304,MATCH(INT((ROW()-5)/3)+1,对接源_01入库吨位!$S$5:$S$304,0)),"")</f>
        <v/>
      </c>
      <c r="D587" s="40" t="str">
        <f aca="false">IF($B587="","",IF(MOD(ROW()-5,3)=0,"周转打冷",IF(MOD(ROW()-5,3)=1,"仓储加工","装卸费")))</f>
        <v/>
      </c>
      <c r="E587" s="51" t="str">
        <f aca="false">IF($B587="","",IFERROR(IF($D587="周转打冷",N(INDEX(对接源_01入库吨位!$D$5:$D$304,MATCH(INT((ROW()-5)/3)+1,对接源_01入库吨位!$S$5:$S$304,0))),IF($D587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7" s="41" t="str">
        <f aca="false">IF($B587="","",ROUND(IFERROR(IF($D587="周转打冷",N(INDEX(对接源_01入库吨位!$H$5:$H$304,MATCH(INT((ROW()-5)/3)+1,对接源_01入库吨位!$S$5:$S$304,0))),IF($D587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7" s="52" t="str">
        <f aca="false">IF($B587="","",ROUND(N($F587)/1000,3))</f>
        <v/>
      </c>
      <c r="H587" s="74"/>
      <c r="I587" s="44"/>
      <c r="J587" s="75" t="str">
        <f aca="false">IF($B587="","",IF($H587="按筐数×单价",N($E587),IF($H587="按总重KG×单价",N($F587),IF($H587="按吨位×单价",N($G587),0))))</f>
        <v/>
      </c>
      <c r="K587" s="41" t="str">
        <f aca="false">IF($B587="","",ROUND(N($J587)*N($I587),2))</f>
        <v/>
      </c>
      <c r="L587" s="42"/>
      <c r="M587" s="76"/>
      <c r="N587" s="43"/>
      <c r="R587" s="77" t="str">
        <f aca="false">IF($B587="","",$B587)</f>
        <v/>
      </c>
      <c r="S587" s="77" t="n">
        <f aca="false">IF($R587="",0,IF(MATCH($R587,$R$5:$R$904,0)=ROW()-4,1,0))</f>
        <v>0</v>
      </c>
      <c r="T587" s="77" t="n">
        <f aca="false">N(T586)+$S587</f>
        <v>18</v>
      </c>
    </row>
    <row r="588" customFormat="false" ht="13.5" hidden="false" customHeight="false" outlineLevel="0" collapsed="false">
      <c r="A588" s="9" t="str">
        <f aca="false">IF($B588="","",ROW()-4)</f>
        <v/>
      </c>
      <c r="B588" s="39" t="str">
        <f aca="false">IFERROR(INDEX(对接源_01入库吨位!$B$5:$B$304,MATCH(INT((ROW()-5)/3)+1,对接源_01入库吨位!$S$5:$S$304,0)),"")</f>
        <v/>
      </c>
      <c r="C588" s="39" t="str">
        <f aca="false">IFERROR(INDEX(对接源_01入库吨位!$C$5:$C$304,MATCH(INT((ROW()-5)/3)+1,对接源_01入库吨位!$S$5:$S$304,0)),"")</f>
        <v/>
      </c>
      <c r="D588" s="40" t="str">
        <f aca="false">IF($B588="","",IF(MOD(ROW()-5,3)=0,"周转打冷",IF(MOD(ROW()-5,3)=1,"仓储加工","装卸费")))</f>
        <v/>
      </c>
      <c r="E588" s="51" t="str">
        <f aca="false">IF($B588="","",IFERROR(IF($D588="周转打冷",N(INDEX(对接源_01入库吨位!$D$5:$D$304,MATCH(INT((ROW()-5)/3)+1,对接源_01入库吨位!$S$5:$S$304,0))),IF($D588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8" s="41" t="str">
        <f aca="false">IF($B588="","",ROUND(IFERROR(IF($D588="周转打冷",N(INDEX(对接源_01入库吨位!$H$5:$H$304,MATCH(INT((ROW()-5)/3)+1,对接源_01入库吨位!$S$5:$S$304,0))),IF($D588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8" s="52" t="str">
        <f aca="false">IF($B588="","",ROUND(N($F588)/1000,3))</f>
        <v/>
      </c>
      <c r="H588" s="74"/>
      <c r="I588" s="44"/>
      <c r="J588" s="75" t="str">
        <f aca="false">IF($B588="","",IF($H588="按筐数×单价",N($E588),IF($H588="按总重KG×单价",N($F588),IF($H588="按吨位×单价",N($G588),0))))</f>
        <v/>
      </c>
      <c r="K588" s="41" t="str">
        <f aca="false">IF($B588="","",ROUND(N($J588)*N($I588),2))</f>
        <v/>
      </c>
      <c r="L588" s="42"/>
      <c r="M588" s="76"/>
      <c r="N588" s="43"/>
      <c r="R588" s="77" t="str">
        <f aca="false">IF($B588="","",$B588)</f>
        <v/>
      </c>
      <c r="S588" s="77" t="n">
        <f aca="false">IF($R588="",0,IF(MATCH($R588,$R$5:$R$904,0)=ROW()-4,1,0))</f>
        <v>0</v>
      </c>
      <c r="T588" s="77" t="n">
        <f aca="false">N(T587)+$S588</f>
        <v>18</v>
      </c>
    </row>
    <row r="589" customFormat="false" ht="13.5" hidden="false" customHeight="false" outlineLevel="0" collapsed="false">
      <c r="A589" s="9" t="str">
        <f aca="false">IF($B589="","",ROW()-4)</f>
        <v/>
      </c>
      <c r="B589" s="39" t="str">
        <f aca="false">IFERROR(INDEX(对接源_01入库吨位!$B$5:$B$304,MATCH(INT((ROW()-5)/3)+1,对接源_01入库吨位!$S$5:$S$304,0)),"")</f>
        <v/>
      </c>
      <c r="C589" s="39" t="str">
        <f aca="false">IFERROR(INDEX(对接源_01入库吨位!$C$5:$C$304,MATCH(INT((ROW()-5)/3)+1,对接源_01入库吨位!$S$5:$S$304,0)),"")</f>
        <v/>
      </c>
      <c r="D589" s="40" t="str">
        <f aca="false">IF($B589="","",IF(MOD(ROW()-5,3)=0,"周转打冷",IF(MOD(ROW()-5,3)=1,"仓储加工","装卸费")))</f>
        <v/>
      </c>
      <c r="E589" s="51" t="str">
        <f aca="false">IF($B589="","",IFERROR(IF($D589="周转打冷",N(INDEX(对接源_01入库吨位!$D$5:$D$304,MATCH(INT((ROW()-5)/3)+1,对接源_01入库吨位!$S$5:$S$304,0))),IF($D589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89" s="41" t="str">
        <f aca="false">IF($B589="","",ROUND(IFERROR(IF($D589="周转打冷",N(INDEX(对接源_01入库吨位!$H$5:$H$304,MATCH(INT((ROW()-5)/3)+1,对接源_01入库吨位!$S$5:$S$304,0))),IF($D589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89" s="52" t="str">
        <f aca="false">IF($B589="","",ROUND(N($F589)/1000,3))</f>
        <v/>
      </c>
      <c r="H589" s="74"/>
      <c r="I589" s="44"/>
      <c r="J589" s="75" t="str">
        <f aca="false">IF($B589="","",IF($H589="按筐数×单价",N($E589),IF($H589="按总重KG×单价",N($F589),IF($H589="按吨位×单价",N($G589),0))))</f>
        <v/>
      </c>
      <c r="K589" s="41" t="str">
        <f aca="false">IF($B589="","",ROUND(N($J589)*N($I589),2))</f>
        <v/>
      </c>
      <c r="L589" s="42"/>
      <c r="M589" s="76"/>
      <c r="N589" s="43"/>
      <c r="R589" s="77" t="str">
        <f aca="false">IF($B589="","",$B589)</f>
        <v/>
      </c>
      <c r="S589" s="77" t="n">
        <f aca="false">IF($R589="",0,IF(MATCH($R589,$R$5:$R$904,0)=ROW()-4,1,0))</f>
        <v>0</v>
      </c>
      <c r="T589" s="77" t="n">
        <f aca="false">N(T588)+$S589</f>
        <v>18</v>
      </c>
    </row>
    <row r="590" customFormat="false" ht="13.5" hidden="false" customHeight="false" outlineLevel="0" collapsed="false">
      <c r="A590" s="9" t="str">
        <f aca="false">IF($B590="","",ROW()-4)</f>
        <v/>
      </c>
      <c r="B590" s="39" t="str">
        <f aca="false">IFERROR(INDEX(对接源_01入库吨位!$B$5:$B$304,MATCH(INT((ROW()-5)/3)+1,对接源_01入库吨位!$S$5:$S$304,0)),"")</f>
        <v/>
      </c>
      <c r="C590" s="39" t="str">
        <f aca="false">IFERROR(INDEX(对接源_01入库吨位!$C$5:$C$304,MATCH(INT((ROW()-5)/3)+1,对接源_01入库吨位!$S$5:$S$304,0)),"")</f>
        <v/>
      </c>
      <c r="D590" s="40" t="str">
        <f aca="false">IF($B590="","",IF(MOD(ROW()-5,3)=0,"周转打冷",IF(MOD(ROW()-5,3)=1,"仓储加工","装卸费")))</f>
        <v/>
      </c>
      <c r="E590" s="51" t="str">
        <f aca="false">IF($B590="","",IFERROR(IF($D590="周转打冷",N(INDEX(对接源_01入库吨位!$D$5:$D$304,MATCH(INT((ROW()-5)/3)+1,对接源_01入库吨位!$S$5:$S$304,0))),IF($D590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0" s="41" t="str">
        <f aca="false">IF($B590="","",ROUND(IFERROR(IF($D590="周转打冷",N(INDEX(对接源_01入库吨位!$H$5:$H$304,MATCH(INT((ROW()-5)/3)+1,对接源_01入库吨位!$S$5:$S$304,0))),IF($D590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0" s="52" t="str">
        <f aca="false">IF($B590="","",ROUND(N($F590)/1000,3))</f>
        <v/>
      </c>
      <c r="H590" s="74"/>
      <c r="I590" s="44"/>
      <c r="J590" s="75" t="str">
        <f aca="false">IF($B590="","",IF($H590="按筐数×单价",N($E590),IF($H590="按总重KG×单价",N($F590),IF($H590="按吨位×单价",N($G590),0))))</f>
        <v/>
      </c>
      <c r="K590" s="41" t="str">
        <f aca="false">IF($B590="","",ROUND(N($J590)*N($I590),2))</f>
        <v/>
      </c>
      <c r="L590" s="42"/>
      <c r="M590" s="76"/>
      <c r="N590" s="43"/>
      <c r="R590" s="77" t="str">
        <f aca="false">IF($B590="","",$B590)</f>
        <v/>
      </c>
      <c r="S590" s="77" t="n">
        <f aca="false">IF($R590="",0,IF(MATCH($R590,$R$5:$R$904,0)=ROW()-4,1,0))</f>
        <v>0</v>
      </c>
      <c r="T590" s="77" t="n">
        <f aca="false">N(T589)+$S590</f>
        <v>18</v>
      </c>
    </row>
    <row r="591" customFormat="false" ht="13.5" hidden="false" customHeight="false" outlineLevel="0" collapsed="false">
      <c r="A591" s="9" t="str">
        <f aca="false">IF($B591="","",ROW()-4)</f>
        <v/>
      </c>
      <c r="B591" s="39" t="str">
        <f aca="false">IFERROR(INDEX(对接源_01入库吨位!$B$5:$B$304,MATCH(INT((ROW()-5)/3)+1,对接源_01入库吨位!$S$5:$S$304,0)),"")</f>
        <v/>
      </c>
      <c r="C591" s="39" t="str">
        <f aca="false">IFERROR(INDEX(对接源_01入库吨位!$C$5:$C$304,MATCH(INT((ROW()-5)/3)+1,对接源_01入库吨位!$S$5:$S$304,0)),"")</f>
        <v/>
      </c>
      <c r="D591" s="40" t="str">
        <f aca="false">IF($B591="","",IF(MOD(ROW()-5,3)=0,"周转打冷",IF(MOD(ROW()-5,3)=1,"仓储加工","装卸费")))</f>
        <v/>
      </c>
      <c r="E591" s="51" t="str">
        <f aca="false">IF($B591="","",IFERROR(IF($D591="周转打冷",N(INDEX(对接源_01入库吨位!$D$5:$D$304,MATCH(INT((ROW()-5)/3)+1,对接源_01入库吨位!$S$5:$S$304,0))),IF($D591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1" s="41" t="str">
        <f aca="false">IF($B591="","",ROUND(IFERROR(IF($D591="周转打冷",N(INDEX(对接源_01入库吨位!$H$5:$H$304,MATCH(INT((ROW()-5)/3)+1,对接源_01入库吨位!$S$5:$S$304,0))),IF($D591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1" s="52" t="str">
        <f aca="false">IF($B591="","",ROUND(N($F591)/1000,3))</f>
        <v/>
      </c>
      <c r="H591" s="74"/>
      <c r="I591" s="44"/>
      <c r="J591" s="75" t="str">
        <f aca="false">IF($B591="","",IF($H591="按筐数×单价",N($E591),IF($H591="按总重KG×单价",N($F591),IF($H591="按吨位×单价",N($G591),0))))</f>
        <v/>
      </c>
      <c r="K591" s="41" t="str">
        <f aca="false">IF($B591="","",ROUND(N($J591)*N($I591),2))</f>
        <v/>
      </c>
      <c r="L591" s="42"/>
      <c r="M591" s="76"/>
      <c r="N591" s="43"/>
      <c r="R591" s="77" t="str">
        <f aca="false">IF($B591="","",$B591)</f>
        <v/>
      </c>
      <c r="S591" s="77" t="n">
        <f aca="false">IF($R591="",0,IF(MATCH($R591,$R$5:$R$904,0)=ROW()-4,1,0))</f>
        <v>0</v>
      </c>
      <c r="T591" s="77" t="n">
        <f aca="false">N(T590)+$S591</f>
        <v>18</v>
      </c>
    </row>
    <row r="592" customFormat="false" ht="13.5" hidden="false" customHeight="false" outlineLevel="0" collapsed="false">
      <c r="A592" s="9" t="str">
        <f aca="false">IF($B592="","",ROW()-4)</f>
        <v/>
      </c>
      <c r="B592" s="39" t="str">
        <f aca="false">IFERROR(INDEX(对接源_01入库吨位!$B$5:$B$304,MATCH(INT((ROW()-5)/3)+1,对接源_01入库吨位!$S$5:$S$304,0)),"")</f>
        <v/>
      </c>
      <c r="C592" s="39" t="str">
        <f aca="false">IFERROR(INDEX(对接源_01入库吨位!$C$5:$C$304,MATCH(INT((ROW()-5)/3)+1,对接源_01入库吨位!$S$5:$S$304,0)),"")</f>
        <v/>
      </c>
      <c r="D592" s="40" t="str">
        <f aca="false">IF($B592="","",IF(MOD(ROW()-5,3)=0,"周转打冷",IF(MOD(ROW()-5,3)=1,"仓储加工","装卸费")))</f>
        <v/>
      </c>
      <c r="E592" s="51" t="str">
        <f aca="false">IF($B592="","",IFERROR(IF($D592="周转打冷",N(INDEX(对接源_01入库吨位!$D$5:$D$304,MATCH(INT((ROW()-5)/3)+1,对接源_01入库吨位!$S$5:$S$304,0))),IF($D592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2" s="41" t="str">
        <f aca="false">IF($B592="","",ROUND(IFERROR(IF($D592="周转打冷",N(INDEX(对接源_01入库吨位!$H$5:$H$304,MATCH(INT((ROW()-5)/3)+1,对接源_01入库吨位!$S$5:$S$304,0))),IF($D592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2" s="52" t="str">
        <f aca="false">IF($B592="","",ROUND(N($F592)/1000,3))</f>
        <v/>
      </c>
      <c r="H592" s="74"/>
      <c r="I592" s="44"/>
      <c r="J592" s="75" t="str">
        <f aca="false">IF($B592="","",IF($H592="按筐数×单价",N($E592),IF($H592="按总重KG×单价",N($F592),IF($H592="按吨位×单价",N($G592),0))))</f>
        <v/>
      </c>
      <c r="K592" s="41" t="str">
        <f aca="false">IF($B592="","",ROUND(N($J592)*N($I592),2))</f>
        <v/>
      </c>
      <c r="L592" s="42"/>
      <c r="M592" s="76"/>
      <c r="N592" s="43"/>
      <c r="R592" s="77" t="str">
        <f aca="false">IF($B592="","",$B592)</f>
        <v/>
      </c>
      <c r="S592" s="77" t="n">
        <f aca="false">IF($R592="",0,IF(MATCH($R592,$R$5:$R$904,0)=ROW()-4,1,0))</f>
        <v>0</v>
      </c>
      <c r="T592" s="77" t="n">
        <f aca="false">N(T591)+$S592</f>
        <v>18</v>
      </c>
    </row>
    <row r="593" customFormat="false" ht="13.5" hidden="false" customHeight="false" outlineLevel="0" collapsed="false">
      <c r="A593" s="9" t="str">
        <f aca="false">IF($B593="","",ROW()-4)</f>
        <v/>
      </c>
      <c r="B593" s="39" t="str">
        <f aca="false">IFERROR(INDEX(对接源_01入库吨位!$B$5:$B$304,MATCH(INT((ROW()-5)/3)+1,对接源_01入库吨位!$S$5:$S$304,0)),"")</f>
        <v/>
      </c>
      <c r="C593" s="39" t="str">
        <f aca="false">IFERROR(INDEX(对接源_01入库吨位!$C$5:$C$304,MATCH(INT((ROW()-5)/3)+1,对接源_01入库吨位!$S$5:$S$304,0)),"")</f>
        <v/>
      </c>
      <c r="D593" s="40" t="str">
        <f aca="false">IF($B593="","",IF(MOD(ROW()-5,3)=0,"周转打冷",IF(MOD(ROW()-5,3)=1,"仓储加工","装卸费")))</f>
        <v/>
      </c>
      <c r="E593" s="51" t="str">
        <f aca="false">IF($B593="","",IFERROR(IF($D593="周转打冷",N(INDEX(对接源_01入库吨位!$D$5:$D$304,MATCH(INT((ROW()-5)/3)+1,对接源_01入库吨位!$S$5:$S$304,0))),IF($D593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3" s="41" t="str">
        <f aca="false">IF($B593="","",ROUND(IFERROR(IF($D593="周转打冷",N(INDEX(对接源_01入库吨位!$H$5:$H$304,MATCH(INT((ROW()-5)/3)+1,对接源_01入库吨位!$S$5:$S$304,0))),IF($D593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3" s="52" t="str">
        <f aca="false">IF($B593="","",ROUND(N($F593)/1000,3))</f>
        <v/>
      </c>
      <c r="H593" s="74"/>
      <c r="I593" s="44"/>
      <c r="J593" s="75" t="str">
        <f aca="false">IF($B593="","",IF($H593="按筐数×单价",N($E593),IF($H593="按总重KG×单价",N($F593),IF($H593="按吨位×单价",N($G593),0))))</f>
        <v/>
      </c>
      <c r="K593" s="41" t="str">
        <f aca="false">IF($B593="","",ROUND(N($J593)*N($I593),2))</f>
        <v/>
      </c>
      <c r="L593" s="42"/>
      <c r="M593" s="76"/>
      <c r="N593" s="43"/>
      <c r="R593" s="77" t="str">
        <f aca="false">IF($B593="","",$B593)</f>
        <v/>
      </c>
      <c r="S593" s="77" t="n">
        <f aca="false">IF($R593="",0,IF(MATCH($R593,$R$5:$R$904,0)=ROW()-4,1,0))</f>
        <v>0</v>
      </c>
      <c r="T593" s="77" t="n">
        <f aca="false">N(T592)+$S593</f>
        <v>18</v>
      </c>
    </row>
    <row r="594" customFormat="false" ht="13.5" hidden="false" customHeight="false" outlineLevel="0" collapsed="false">
      <c r="A594" s="9" t="str">
        <f aca="false">IF($B594="","",ROW()-4)</f>
        <v/>
      </c>
      <c r="B594" s="39" t="str">
        <f aca="false">IFERROR(INDEX(对接源_01入库吨位!$B$5:$B$304,MATCH(INT((ROW()-5)/3)+1,对接源_01入库吨位!$S$5:$S$304,0)),"")</f>
        <v/>
      </c>
      <c r="C594" s="39" t="str">
        <f aca="false">IFERROR(INDEX(对接源_01入库吨位!$C$5:$C$304,MATCH(INT((ROW()-5)/3)+1,对接源_01入库吨位!$S$5:$S$304,0)),"")</f>
        <v/>
      </c>
      <c r="D594" s="40" t="str">
        <f aca="false">IF($B594="","",IF(MOD(ROW()-5,3)=0,"周转打冷",IF(MOD(ROW()-5,3)=1,"仓储加工","装卸费")))</f>
        <v/>
      </c>
      <c r="E594" s="51" t="str">
        <f aca="false">IF($B594="","",IFERROR(IF($D594="周转打冷",N(INDEX(对接源_01入库吨位!$D$5:$D$304,MATCH(INT((ROW()-5)/3)+1,对接源_01入库吨位!$S$5:$S$304,0))),IF($D594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4" s="41" t="str">
        <f aca="false">IF($B594="","",ROUND(IFERROR(IF($D594="周转打冷",N(INDEX(对接源_01入库吨位!$H$5:$H$304,MATCH(INT((ROW()-5)/3)+1,对接源_01入库吨位!$S$5:$S$304,0))),IF($D594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4" s="52" t="str">
        <f aca="false">IF($B594="","",ROUND(N($F594)/1000,3))</f>
        <v/>
      </c>
      <c r="H594" s="74"/>
      <c r="I594" s="44"/>
      <c r="J594" s="75" t="str">
        <f aca="false">IF($B594="","",IF($H594="按筐数×单价",N($E594),IF($H594="按总重KG×单价",N($F594),IF($H594="按吨位×单价",N($G594),0))))</f>
        <v/>
      </c>
      <c r="K594" s="41" t="str">
        <f aca="false">IF($B594="","",ROUND(N($J594)*N($I594),2))</f>
        <v/>
      </c>
      <c r="L594" s="42"/>
      <c r="M594" s="76"/>
      <c r="N594" s="43"/>
      <c r="R594" s="77" t="str">
        <f aca="false">IF($B594="","",$B594)</f>
        <v/>
      </c>
      <c r="S594" s="77" t="n">
        <f aca="false">IF($R594="",0,IF(MATCH($R594,$R$5:$R$904,0)=ROW()-4,1,0))</f>
        <v>0</v>
      </c>
      <c r="T594" s="77" t="n">
        <f aca="false">N(T593)+$S594</f>
        <v>18</v>
      </c>
    </row>
    <row r="595" customFormat="false" ht="13.5" hidden="false" customHeight="false" outlineLevel="0" collapsed="false">
      <c r="A595" s="9" t="str">
        <f aca="false">IF($B595="","",ROW()-4)</f>
        <v/>
      </c>
      <c r="B595" s="39" t="str">
        <f aca="false">IFERROR(INDEX(对接源_01入库吨位!$B$5:$B$304,MATCH(INT((ROW()-5)/3)+1,对接源_01入库吨位!$S$5:$S$304,0)),"")</f>
        <v/>
      </c>
      <c r="C595" s="39" t="str">
        <f aca="false">IFERROR(INDEX(对接源_01入库吨位!$C$5:$C$304,MATCH(INT((ROW()-5)/3)+1,对接源_01入库吨位!$S$5:$S$304,0)),"")</f>
        <v/>
      </c>
      <c r="D595" s="40" t="str">
        <f aca="false">IF($B595="","",IF(MOD(ROW()-5,3)=0,"周转打冷",IF(MOD(ROW()-5,3)=1,"仓储加工","装卸费")))</f>
        <v/>
      </c>
      <c r="E595" s="51" t="str">
        <f aca="false">IF($B595="","",IFERROR(IF($D595="周转打冷",N(INDEX(对接源_01入库吨位!$D$5:$D$304,MATCH(INT((ROW()-5)/3)+1,对接源_01入库吨位!$S$5:$S$304,0))),IF($D595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5" s="41" t="str">
        <f aca="false">IF($B595="","",ROUND(IFERROR(IF($D595="周转打冷",N(INDEX(对接源_01入库吨位!$H$5:$H$304,MATCH(INT((ROW()-5)/3)+1,对接源_01入库吨位!$S$5:$S$304,0))),IF($D595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5" s="52" t="str">
        <f aca="false">IF($B595="","",ROUND(N($F595)/1000,3))</f>
        <v/>
      </c>
      <c r="H595" s="74"/>
      <c r="I595" s="44"/>
      <c r="J595" s="75" t="str">
        <f aca="false">IF($B595="","",IF($H595="按筐数×单价",N($E595),IF($H595="按总重KG×单价",N($F595),IF($H595="按吨位×单价",N($G595),0))))</f>
        <v/>
      </c>
      <c r="K595" s="41" t="str">
        <f aca="false">IF($B595="","",ROUND(N($J595)*N($I595),2))</f>
        <v/>
      </c>
      <c r="L595" s="42"/>
      <c r="M595" s="76"/>
      <c r="N595" s="43"/>
      <c r="R595" s="77" t="str">
        <f aca="false">IF($B595="","",$B595)</f>
        <v/>
      </c>
      <c r="S595" s="77" t="n">
        <f aca="false">IF($R595="",0,IF(MATCH($R595,$R$5:$R$904,0)=ROW()-4,1,0))</f>
        <v>0</v>
      </c>
      <c r="T595" s="77" t="n">
        <f aca="false">N(T594)+$S595</f>
        <v>18</v>
      </c>
    </row>
    <row r="596" customFormat="false" ht="13.5" hidden="false" customHeight="false" outlineLevel="0" collapsed="false">
      <c r="A596" s="9" t="str">
        <f aca="false">IF($B596="","",ROW()-4)</f>
        <v/>
      </c>
      <c r="B596" s="39" t="str">
        <f aca="false">IFERROR(INDEX(对接源_01入库吨位!$B$5:$B$304,MATCH(INT((ROW()-5)/3)+1,对接源_01入库吨位!$S$5:$S$304,0)),"")</f>
        <v/>
      </c>
      <c r="C596" s="39" t="str">
        <f aca="false">IFERROR(INDEX(对接源_01入库吨位!$C$5:$C$304,MATCH(INT((ROW()-5)/3)+1,对接源_01入库吨位!$S$5:$S$304,0)),"")</f>
        <v/>
      </c>
      <c r="D596" s="40" t="str">
        <f aca="false">IF($B596="","",IF(MOD(ROW()-5,3)=0,"周转打冷",IF(MOD(ROW()-5,3)=1,"仓储加工","装卸费")))</f>
        <v/>
      </c>
      <c r="E596" s="51" t="str">
        <f aca="false">IF($B596="","",IFERROR(IF($D596="周转打冷",N(INDEX(对接源_01入库吨位!$D$5:$D$304,MATCH(INT((ROW()-5)/3)+1,对接源_01入库吨位!$S$5:$S$304,0))),IF($D596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6" s="41" t="str">
        <f aca="false">IF($B596="","",ROUND(IFERROR(IF($D596="周转打冷",N(INDEX(对接源_01入库吨位!$H$5:$H$304,MATCH(INT((ROW()-5)/3)+1,对接源_01入库吨位!$S$5:$S$304,0))),IF($D596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6" s="52" t="str">
        <f aca="false">IF($B596="","",ROUND(N($F596)/1000,3))</f>
        <v/>
      </c>
      <c r="H596" s="74"/>
      <c r="I596" s="44"/>
      <c r="J596" s="75" t="str">
        <f aca="false">IF($B596="","",IF($H596="按筐数×单价",N($E596),IF($H596="按总重KG×单价",N($F596),IF($H596="按吨位×单价",N($G596),0))))</f>
        <v/>
      </c>
      <c r="K596" s="41" t="str">
        <f aca="false">IF($B596="","",ROUND(N($J596)*N($I596),2))</f>
        <v/>
      </c>
      <c r="L596" s="42"/>
      <c r="M596" s="76"/>
      <c r="N596" s="43"/>
      <c r="R596" s="77" t="str">
        <f aca="false">IF($B596="","",$B596)</f>
        <v/>
      </c>
      <c r="S596" s="77" t="n">
        <f aca="false">IF($R596="",0,IF(MATCH($R596,$R$5:$R$904,0)=ROW()-4,1,0))</f>
        <v>0</v>
      </c>
      <c r="T596" s="77" t="n">
        <f aca="false">N(T595)+$S596</f>
        <v>18</v>
      </c>
    </row>
    <row r="597" customFormat="false" ht="13.5" hidden="false" customHeight="false" outlineLevel="0" collapsed="false">
      <c r="A597" s="9" t="str">
        <f aca="false">IF($B597="","",ROW()-4)</f>
        <v/>
      </c>
      <c r="B597" s="39" t="str">
        <f aca="false">IFERROR(INDEX(对接源_01入库吨位!$B$5:$B$304,MATCH(INT((ROW()-5)/3)+1,对接源_01入库吨位!$S$5:$S$304,0)),"")</f>
        <v/>
      </c>
      <c r="C597" s="39" t="str">
        <f aca="false">IFERROR(INDEX(对接源_01入库吨位!$C$5:$C$304,MATCH(INT((ROW()-5)/3)+1,对接源_01入库吨位!$S$5:$S$304,0)),"")</f>
        <v/>
      </c>
      <c r="D597" s="40" t="str">
        <f aca="false">IF($B597="","",IF(MOD(ROW()-5,3)=0,"周转打冷",IF(MOD(ROW()-5,3)=1,"仓储加工","装卸费")))</f>
        <v/>
      </c>
      <c r="E597" s="51" t="str">
        <f aca="false">IF($B597="","",IFERROR(IF($D597="周转打冷",N(INDEX(对接源_01入库吨位!$D$5:$D$304,MATCH(INT((ROW()-5)/3)+1,对接源_01入库吨位!$S$5:$S$304,0))),IF($D597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7" s="41" t="str">
        <f aca="false">IF($B597="","",ROUND(IFERROR(IF($D597="周转打冷",N(INDEX(对接源_01入库吨位!$H$5:$H$304,MATCH(INT((ROW()-5)/3)+1,对接源_01入库吨位!$S$5:$S$304,0))),IF($D597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7" s="52" t="str">
        <f aca="false">IF($B597="","",ROUND(N($F597)/1000,3))</f>
        <v/>
      </c>
      <c r="H597" s="74"/>
      <c r="I597" s="44"/>
      <c r="J597" s="75" t="str">
        <f aca="false">IF($B597="","",IF($H597="按筐数×单价",N($E597),IF($H597="按总重KG×单价",N($F597),IF($H597="按吨位×单价",N($G597),0))))</f>
        <v/>
      </c>
      <c r="K597" s="41" t="str">
        <f aca="false">IF($B597="","",ROUND(N($J597)*N($I597),2))</f>
        <v/>
      </c>
      <c r="L597" s="42"/>
      <c r="M597" s="76"/>
      <c r="N597" s="43"/>
      <c r="R597" s="77" t="str">
        <f aca="false">IF($B597="","",$B597)</f>
        <v/>
      </c>
      <c r="S597" s="77" t="n">
        <f aca="false">IF($R597="",0,IF(MATCH($R597,$R$5:$R$904,0)=ROW()-4,1,0))</f>
        <v>0</v>
      </c>
      <c r="T597" s="77" t="n">
        <f aca="false">N(T596)+$S597</f>
        <v>18</v>
      </c>
    </row>
    <row r="598" customFormat="false" ht="13.5" hidden="false" customHeight="false" outlineLevel="0" collapsed="false">
      <c r="A598" s="9" t="str">
        <f aca="false">IF($B598="","",ROW()-4)</f>
        <v/>
      </c>
      <c r="B598" s="39" t="str">
        <f aca="false">IFERROR(INDEX(对接源_01入库吨位!$B$5:$B$304,MATCH(INT((ROW()-5)/3)+1,对接源_01入库吨位!$S$5:$S$304,0)),"")</f>
        <v/>
      </c>
      <c r="C598" s="39" t="str">
        <f aca="false">IFERROR(INDEX(对接源_01入库吨位!$C$5:$C$304,MATCH(INT((ROW()-5)/3)+1,对接源_01入库吨位!$S$5:$S$304,0)),"")</f>
        <v/>
      </c>
      <c r="D598" s="40" t="str">
        <f aca="false">IF($B598="","",IF(MOD(ROW()-5,3)=0,"周转打冷",IF(MOD(ROW()-5,3)=1,"仓储加工","装卸费")))</f>
        <v/>
      </c>
      <c r="E598" s="51" t="str">
        <f aca="false">IF($B598="","",IFERROR(IF($D598="周转打冷",N(INDEX(对接源_01入库吨位!$D$5:$D$304,MATCH(INT((ROW()-5)/3)+1,对接源_01入库吨位!$S$5:$S$304,0))),IF($D598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8" s="41" t="str">
        <f aca="false">IF($B598="","",ROUND(IFERROR(IF($D598="周转打冷",N(INDEX(对接源_01入库吨位!$H$5:$H$304,MATCH(INT((ROW()-5)/3)+1,对接源_01入库吨位!$S$5:$S$304,0))),IF($D598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8" s="52" t="str">
        <f aca="false">IF($B598="","",ROUND(N($F598)/1000,3))</f>
        <v/>
      </c>
      <c r="H598" s="74"/>
      <c r="I598" s="44"/>
      <c r="J598" s="75" t="str">
        <f aca="false">IF($B598="","",IF($H598="按筐数×单价",N($E598),IF($H598="按总重KG×单价",N($F598),IF($H598="按吨位×单价",N($G598),0))))</f>
        <v/>
      </c>
      <c r="K598" s="41" t="str">
        <f aca="false">IF($B598="","",ROUND(N($J598)*N($I598),2))</f>
        <v/>
      </c>
      <c r="L598" s="42"/>
      <c r="M598" s="76"/>
      <c r="N598" s="43"/>
      <c r="R598" s="77" t="str">
        <f aca="false">IF($B598="","",$B598)</f>
        <v/>
      </c>
      <c r="S598" s="77" t="n">
        <f aca="false">IF($R598="",0,IF(MATCH($R598,$R$5:$R$904,0)=ROW()-4,1,0))</f>
        <v>0</v>
      </c>
      <c r="T598" s="77" t="n">
        <f aca="false">N(T597)+$S598</f>
        <v>18</v>
      </c>
    </row>
    <row r="599" customFormat="false" ht="13.5" hidden="false" customHeight="false" outlineLevel="0" collapsed="false">
      <c r="A599" s="9" t="str">
        <f aca="false">IF($B599="","",ROW()-4)</f>
        <v/>
      </c>
      <c r="B599" s="39" t="str">
        <f aca="false">IFERROR(INDEX(对接源_01入库吨位!$B$5:$B$304,MATCH(INT((ROW()-5)/3)+1,对接源_01入库吨位!$S$5:$S$304,0)),"")</f>
        <v/>
      </c>
      <c r="C599" s="39" t="str">
        <f aca="false">IFERROR(INDEX(对接源_01入库吨位!$C$5:$C$304,MATCH(INT((ROW()-5)/3)+1,对接源_01入库吨位!$S$5:$S$304,0)),"")</f>
        <v/>
      </c>
      <c r="D599" s="40" t="str">
        <f aca="false">IF($B599="","",IF(MOD(ROW()-5,3)=0,"周转打冷",IF(MOD(ROW()-5,3)=1,"仓储加工","装卸费")))</f>
        <v/>
      </c>
      <c r="E599" s="51" t="str">
        <f aca="false">IF($B599="","",IFERROR(IF($D599="周转打冷",N(INDEX(对接源_01入库吨位!$D$5:$D$304,MATCH(INT((ROW()-5)/3)+1,对接源_01入库吨位!$S$5:$S$304,0))),IF($D599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599" s="41" t="str">
        <f aca="false">IF($B599="","",ROUND(IFERROR(IF($D599="周转打冷",N(INDEX(对接源_01入库吨位!$H$5:$H$304,MATCH(INT((ROW()-5)/3)+1,对接源_01入库吨位!$S$5:$S$304,0))),IF($D599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599" s="52" t="str">
        <f aca="false">IF($B599="","",ROUND(N($F599)/1000,3))</f>
        <v/>
      </c>
      <c r="H599" s="74"/>
      <c r="I599" s="44"/>
      <c r="J599" s="75" t="str">
        <f aca="false">IF($B599="","",IF($H599="按筐数×单价",N($E599),IF($H599="按总重KG×单价",N($F599),IF($H599="按吨位×单价",N($G599),0))))</f>
        <v/>
      </c>
      <c r="K599" s="41" t="str">
        <f aca="false">IF($B599="","",ROUND(N($J599)*N($I599),2))</f>
        <v/>
      </c>
      <c r="L599" s="42"/>
      <c r="M599" s="76"/>
      <c r="N599" s="43"/>
      <c r="R599" s="77" t="str">
        <f aca="false">IF($B599="","",$B599)</f>
        <v/>
      </c>
      <c r="S599" s="77" t="n">
        <f aca="false">IF($R599="",0,IF(MATCH($R599,$R$5:$R$904,0)=ROW()-4,1,0))</f>
        <v>0</v>
      </c>
      <c r="T599" s="77" t="n">
        <f aca="false">N(T598)+$S599</f>
        <v>18</v>
      </c>
    </row>
    <row r="600" customFormat="false" ht="13.5" hidden="false" customHeight="false" outlineLevel="0" collapsed="false">
      <c r="A600" s="9" t="str">
        <f aca="false">IF($B600="","",ROW()-4)</f>
        <v/>
      </c>
      <c r="B600" s="39" t="str">
        <f aca="false">IFERROR(INDEX(对接源_01入库吨位!$B$5:$B$304,MATCH(INT((ROW()-5)/3)+1,对接源_01入库吨位!$S$5:$S$304,0)),"")</f>
        <v/>
      </c>
      <c r="C600" s="39" t="str">
        <f aca="false">IFERROR(INDEX(对接源_01入库吨位!$C$5:$C$304,MATCH(INT((ROW()-5)/3)+1,对接源_01入库吨位!$S$5:$S$304,0)),"")</f>
        <v/>
      </c>
      <c r="D600" s="40" t="str">
        <f aca="false">IF($B600="","",IF(MOD(ROW()-5,3)=0,"周转打冷",IF(MOD(ROW()-5,3)=1,"仓储加工","装卸费")))</f>
        <v/>
      </c>
      <c r="E600" s="51" t="str">
        <f aca="false">IF($B600="","",IFERROR(IF($D600="周转打冷",N(INDEX(对接源_01入库吨位!$D$5:$D$304,MATCH(INT((ROW()-5)/3)+1,对接源_01入库吨位!$S$5:$S$304,0))),IF($D600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0" s="41" t="str">
        <f aca="false">IF($B600="","",ROUND(IFERROR(IF($D600="周转打冷",N(INDEX(对接源_01入库吨位!$H$5:$H$304,MATCH(INT((ROW()-5)/3)+1,对接源_01入库吨位!$S$5:$S$304,0))),IF($D600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0" s="52" t="str">
        <f aca="false">IF($B600="","",ROUND(N($F600)/1000,3))</f>
        <v/>
      </c>
      <c r="H600" s="74"/>
      <c r="I600" s="44"/>
      <c r="J600" s="75" t="str">
        <f aca="false">IF($B600="","",IF($H600="按筐数×单价",N($E600),IF($H600="按总重KG×单价",N($F600),IF($H600="按吨位×单价",N($G600),0))))</f>
        <v/>
      </c>
      <c r="K600" s="41" t="str">
        <f aca="false">IF($B600="","",ROUND(N($J600)*N($I600),2))</f>
        <v/>
      </c>
      <c r="L600" s="42"/>
      <c r="M600" s="76"/>
      <c r="N600" s="43"/>
      <c r="R600" s="77" t="str">
        <f aca="false">IF($B600="","",$B600)</f>
        <v/>
      </c>
      <c r="S600" s="77" t="n">
        <f aca="false">IF($R600="",0,IF(MATCH($R600,$R$5:$R$904,0)=ROW()-4,1,0))</f>
        <v>0</v>
      </c>
      <c r="T600" s="77" t="n">
        <f aca="false">N(T599)+$S600</f>
        <v>18</v>
      </c>
    </row>
    <row r="601" customFormat="false" ht="13.5" hidden="false" customHeight="false" outlineLevel="0" collapsed="false">
      <c r="A601" s="9" t="str">
        <f aca="false">IF($B601="","",ROW()-4)</f>
        <v/>
      </c>
      <c r="B601" s="39" t="str">
        <f aca="false">IFERROR(INDEX(对接源_01入库吨位!$B$5:$B$304,MATCH(INT((ROW()-5)/3)+1,对接源_01入库吨位!$S$5:$S$304,0)),"")</f>
        <v/>
      </c>
      <c r="C601" s="39" t="str">
        <f aca="false">IFERROR(INDEX(对接源_01入库吨位!$C$5:$C$304,MATCH(INT((ROW()-5)/3)+1,对接源_01入库吨位!$S$5:$S$304,0)),"")</f>
        <v/>
      </c>
      <c r="D601" s="40" t="str">
        <f aca="false">IF($B601="","",IF(MOD(ROW()-5,3)=0,"周转打冷",IF(MOD(ROW()-5,3)=1,"仓储加工","装卸费")))</f>
        <v/>
      </c>
      <c r="E601" s="51" t="str">
        <f aca="false">IF($B601="","",IFERROR(IF($D601="周转打冷",N(INDEX(对接源_01入库吨位!$D$5:$D$304,MATCH(INT((ROW()-5)/3)+1,对接源_01入库吨位!$S$5:$S$304,0))),IF($D601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1" s="41" t="str">
        <f aca="false">IF($B601="","",ROUND(IFERROR(IF($D601="周转打冷",N(INDEX(对接源_01入库吨位!$H$5:$H$304,MATCH(INT((ROW()-5)/3)+1,对接源_01入库吨位!$S$5:$S$304,0))),IF($D601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1" s="52" t="str">
        <f aca="false">IF($B601="","",ROUND(N($F601)/1000,3))</f>
        <v/>
      </c>
      <c r="H601" s="74"/>
      <c r="I601" s="44"/>
      <c r="J601" s="75" t="str">
        <f aca="false">IF($B601="","",IF($H601="按筐数×单价",N($E601),IF($H601="按总重KG×单价",N($F601),IF($H601="按吨位×单价",N($G601),0))))</f>
        <v/>
      </c>
      <c r="K601" s="41" t="str">
        <f aca="false">IF($B601="","",ROUND(N($J601)*N($I601),2))</f>
        <v/>
      </c>
      <c r="L601" s="42"/>
      <c r="M601" s="76"/>
      <c r="N601" s="43"/>
      <c r="R601" s="77" t="str">
        <f aca="false">IF($B601="","",$B601)</f>
        <v/>
      </c>
      <c r="S601" s="77" t="n">
        <f aca="false">IF($R601="",0,IF(MATCH($R601,$R$5:$R$904,0)=ROW()-4,1,0))</f>
        <v>0</v>
      </c>
      <c r="T601" s="77" t="n">
        <f aca="false">N(T600)+$S601</f>
        <v>18</v>
      </c>
    </row>
    <row r="602" customFormat="false" ht="13.5" hidden="false" customHeight="false" outlineLevel="0" collapsed="false">
      <c r="A602" s="9" t="str">
        <f aca="false">IF($B602="","",ROW()-4)</f>
        <v/>
      </c>
      <c r="B602" s="39" t="str">
        <f aca="false">IFERROR(INDEX(对接源_01入库吨位!$B$5:$B$304,MATCH(INT((ROW()-5)/3)+1,对接源_01入库吨位!$S$5:$S$304,0)),"")</f>
        <v/>
      </c>
      <c r="C602" s="39" t="str">
        <f aca="false">IFERROR(INDEX(对接源_01入库吨位!$C$5:$C$304,MATCH(INT((ROW()-5)/3)+1,对接源_01入库吨位!$S$5:$S$304,0)),"")</f>
        <v/>
      </c>
      <c r="D602" s="40" t="str">
        <f aca="false">IF($B602="","",IF(MOD(ROW()-5,3)=0,"周转打冷",IF(MOD(ROW()-5,3)=1,"仓储加工","装卸费")))</f>
        <v/>
      </c>
      <c r="E602" s="51" t="str">
        <f aca="false">IF($B602="","",IFERROR(IF($D602="周转打冷",N(INDEX(对接源_01入库吨位!$D$5:$D$304,MATCH(INT((ROW()-5)/3)+1,对接源_01入库吨位!$S$5:$S$304,0))),IF($D602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2" s="41" t="str">
        <f aca="false">IF($B602="","",ROUND(IFERROR(IF($D602="周转打冷",N(INDEX(对接源_01入库吨位!$H$5:$H$304,MATCH(INT((ROW()-5)/3)+1,对接源_01入库吨位!$S$5:$S$304,0))),IF($D602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2" s="52" t="str">
        <f aca="false">IF($B602="","",ROUND(N($F602)/1000,3))</f>
        <v/>
      </c>
      <c r="H602" s="74"/>
      <c r="I602" s="44"/>
      <c r="J602" s="75" t="str">
        <f aca="false">IF($B602="","",IF($H602="按筐数×单价",N($E602),IF($H602="按总重KG×单价",N($F602),IF($H602="按吨位×单价",N($G602),0))))</f>
        <v/>
      </c>
      <c r="K602" s="41" t="str">
        <f aca="false">IF($B602="","",ROUND(N($J602)*N($I602),2))</f>
        <v/>
      </c>
      <c r="L602" s="42"/>
      <c r="M602" s="76"/>
      <c r="N602" s="43"/>
      <c r="R602" s="77" t="str">
        <f aca="false">IF($B602="","",$B602)</f>
        <v/>
      </c>
      <c r="S602" s="77" t="n">
        <f aca="false">IF($R602="",0,IF(MATCH($R602,$R$5:$R$904,0)=ROW()-4,1,0))</f>
        <v>0</v>
      </c>
      <c r="T602" s="77" t="n">
        <f aca="false">N(T601)+$S602</f>
        <v>18</v>
      </c>
    </row>
    <row r="603" customFormat="false" ht="13.5" hidden="false" customHeight="false" outlineLevel="0" collapsed="false">
      <c r="A603" s="9" t="str">
        <f aca="false">IF($B603="","",ROW()-4)</f>
        <v/>
      </c>
      <c r="B603" s="39" t="str">
        <f aca="false">IFERROR(INDEX(对接源_01入库吨位!$B$5:$B$304,MATCH(INT((ROW()-5)/3)+1,对接源_01入库吨位!$S$5:$S$304,0)),"")</f>
        <v/>
      </c>
      <c r="C603" s="39" t="str">
        <f aca="false">IFERROR(INDEX(对接源_01入库吨位!$C$5:$C$304,MATCH(INT((ROW()-5)/3)+1,对接源_01入库吨位!$S$5:$S$304,0)),"")</f>
        <v/>
      </c>
      <c r="D603" s="40" t="str">
        <f aca="false">IF($B603="","",IF(MOD(ROW()-5,3)=0,"周转打冷",IF(MOD(ROW()-5,3)=1,"仓储加工","装卸费")))</f>
        <v/>
      </c>
      <c r="E603" s="51" t="str">
        <f aca="false">IF($B603="","",IFERROR(IF($D603="周转打冷",N(INDEX(对接源_01入库吨位!$D$5:$D$304,MATCH(INT((ROW()-5)/3)+1,对接源_01入库吨位!$S$5:$S$304,0))),IF($D603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3" s="41" t="str">
        <f aca="false">IF($B603="","",ROUND(IFERROR(IF($D603="周转打冷",N(INDEX(对接源_01入库吨位!$H$5:$H$304,MATCH(INT((ROW()-5)/3)+1,对接源_01入库吨位!$S$5:$S$304,0))),IF($D603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3" s="52" t="str">
        <f aca="false">IF($B603="","",ROUND(N($F603)/1000,3))</f>
        <v/>
      </c>
      <c r="H603" s="74"/>
      <c r="I603" s="44"/>
      <c r="J603" s="75" t="str">
        <f aca="false">IF($B603="","",IF($H603="按筐数×单价",N($E603),IF($H603="按总重KG×单价",N($F603),IF($H603="按吨位×单价",N($G603),0))))</f>
        <v/>
      </c>
      <c r="K603" s="41" t="str">
        <f aca="false">IF($B603="","",ROUND(N($J603)*N($I603),2))</f>
        <v/>
      </c>
      <c r="L603" s="42"/>
      <c r="M603" s="76"/>
      <c r="N603" s="43"/>
      <c r="R603" s="77" t="str">
        <f aca="false">IF($B603="","",$B603)</f>
        <v/>
      </c>
      <c r="S603" s="77" t="n">
        <f aca="false">IF($R603="",0,IF(MATCH($R603,$R$5:$R$904,0)=ROW()-4,1,0))</f>
        <v>0</v>
      </c>
      <c r="T603" s="77" t="n">
        <f aca="false">N(T602)+$S603</f>
        <v>18</v>
      </c>
    </row>
    <row r="604" customFormat="false" ht="13.5" hidden="false" customHeight="false" outlineLevel="0" collapsed="false">
      <c r="A604" s="9" t="str">
        <f aca="false">IF($B604="","",ROW()-4)</f>
        <v/>
      </c>
      <c r="B604" s="39" t="str">
        <f aca="false">IFERROR(INDEX(对接源_01入库吨位!$B$5:$B$304,MATCH(INT((ROW()-5)/3)+1,对接源_01入库吨位!$S$5:$S$304,0)),"")</f>
        <v/>
      </c>
      <c r="C604" s="39" t="str">
        <f aca="false">IFERROR(INDEX(对接源_01入库吨位!$C$5:$C$304,MATCH(INT((ROW()-5)/3)+1,对接源_01入库吨位!$S$5:$S$304,0)),"")</f>
        <v/>
      </c>
      <c r="D604" s="40" t="str">
        <f aca="false">IF($B604="","",IF(MOD(ROW()-5,3)=0,"周转打冷",IF(MOD(ROW()-5,3)=1,"仓储加工","装卸费")))</f>
        <v/>
      </c>
      <c r="E604" s="51" t="str">
        <f aca="false">IF($B604="","",IFERROR(IF($D604="周转打冷",N(INDEX(对接源_01入库吨位!$D$5:$D$304,MATCH(INT((ROW()-5)/3)+1,对接源_01入库吨位!$S$5:$S$304,0))),IF($D604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4" s="41" t="str">
        <f aca="false">IF($B604="","",ROUND(IFERROR(IF($D604="周转打冷",N(INDEX(对接源_01入库吨位!$H$5:$H$304,MATCH(INT((ROW()-5)/3)+1,对接源_01入库吨位!$S$5:$S$304,0))),IF($D604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4" s="52" t="str">
        <f aca="false">IF($B604="","",ROUND(N($F604)/1000,3))</f>
        <v/>
      </c>
      <c r="H604" s="74"/>
      <c r="I604" s="44"/>
      <c r="J604" s="75" t="str">
        <f aca="false">IF($B604="","",IF($H604="按筐数×单价",N($E604),IF($H604="按总重KG×单价",N($F604),IF($H604="按吨位×单价",N($G604),0))))</f>
        <v/>
      </c>
      <c r="K604" s="41" t="str">
        <f aca="false">IF($B604="","",ROUND(N($J604)*N($I604),2))</f>
        <v/>
      </c>
      <c r="L604" s="42"/>
      <c r="M604" s="76"/>
      <c r="N604" s="43"/>
      <c r="R604" s="77" t="str">
        <f aca="false">IF($B604="","",$B604)</f>
        <v/>
      </c>
      <c r="S604" s="77" t="n">
        <f aca="false">IF($R604="",0,IF(MATCH($R604,$R$5:$R$904,0)=ROW()-4,1,0))</f>
        <v>0</v>
      </c>
      <c r="T604" s="77" t="n">
        <f aca="false">N(T603)+$S604</f>
        <v>18</v>
      </c>
    </row>
    <row r="605" customFormat="false" ht="13.5" hidden="false" customHeight="false" outlineLevel="0" collapsed="false">
      <c r="A605" s="9" t="str">
        <f aca="false">IF($B605="","",ROW()-4)</f>
        <v/>
      </c>
      <c r="B605" s="39" t="str">
        <f aca="false">IFERROR(INDEX(对接源_01入库吨位!$B$5:$B$304,MATCH(INT((ROW()-5)/3)+1,对接源_01入库吨位!$S$5:$S$304,0)),"")</f>
        <v/>
      </c>
      <c r="C605" s="39" t="str">
        <f aca="false">IFERROR(INDEX(对接源_01入库吨位!$C$5:$C$304,MATCH(INT((ROW()-5)/3)+1,对接源_01入库吨位!$S$5:$S$304,0)),"")</f>
        <v/>
      </c>
      <c r="D605" s="40" t="str">
        <f aca="false">IF($B605="","",IF(MOD(ROW()-5,3)=0,"周转打冷",IF(MOD(ROW()-5,3)=1,"仓储加工","装卸费")))</f>
        <v/>
      </c>
      <c r="E605" s="51" t="str">
        <f aca="false">IF($B605="","",IFERROR(IF($D605="周转打冷",N(INDEX(对接源_01入库吨位!$D$5:$D$304,MATCH(INT((ROW()-5)/3)+1,对接源_01入库吨位!$S$5:$S$304,0))),IF($D605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5" s="41" t="str">
        <f aca="false">IF($B605="","",ROUND(IFERROR(IF($D605="周转打冷",N(INDEX(对接源_01入库吨位!$H$5:$H$304,MATCH(INT((ROW()-5)/3)+1,对接源_01入库吨位!$S$5:$S$304,0))),IF($D605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5" s="52" t="str">
        <f aca="false">IF($B605="","",ROUND(N($F605)/1000,3))</f>
        <v/>
      </c>
      <c r="H605" s="74"/>
      <c r="I605" s="44"/>
      <c r="J605" s="75" t="str">
        <f aca="false">IF($B605="","",IF($H605="按筐数×单价",N($E605),IF($H605="按总重KG×单价",N($F605),IF($H605="按吨位×单价",N($G605),0))))</f>
        <v/>
      </c>
      <c r="K605" s="41" t="str">
        <f aca="false">IF($B605="","",ROUND(N($J605)*N($I605),2))</f>
        <v/>
      </c>
      <c r="L605" s="42"/>
      <c r="M605" s="76"/>
      <c r="N605" s="43"/>
      <c r="R605" s="77" t="str">
        <f aca="false">IF($B605="","",$B605)</f>
        <v/>
      </c>
      <c r="S605" s="77" t="n">
        <f aca="false">IF($R605="",0,IF(MATCH($R605,$R$5:$R$904,0)=ROW()-4,1,0))</f>
        <v>0</v>
      </c>
      <c r="T605" s="77" t="n">
        <f aca="false">N(T604)+$S605</f>
        <v>18</v>
      </c>
    </row>
    <row r="606" customFormat="false" ht="13.5" hidden="false" customHeight="false" outlineLevel="0" collapsed="false">
      <c r="A606" s="9" t="str">
        <f aca="false">IF($B606="","",ROW()-4)</f>
        <v/>
      </c>
      <c r="B606" s="39" t="str">
        <f aca="false">IFERROR(INDEX(对接源_01入库吨位!$B$5:$B$304,MATCH(INT((ROW()-5)/3)+1,对接源_01入库吨位!$S$5:$S$304,0)),"")</f>
        <v/>
      </c>
      <c r="C606" s="39" t="str">
        <f aca="false">IFERROR(INDEX(对接源_01入库吨位!$C$5:$C$304,MATCH(INT((ROW()-5)/3)+1,对接源_01入库吨位!$S$5:$S$304,0)),"")</f>
        <v/>
      </c>
      <c r="D606" s="40" t="str">
        <f aca="false">IF($B606="","",IF(MOD(ROW()-5,3)=0,"周转打冷",IF(MOD(ROW()-5,3)=1,"仓储加工","装卸费")))</f>
        <v/>
      </c>
      <c r="E606" s="51" t="str">
        <f aca="false">IF($B606="","",IFERROR(IF($D606="周转打冷",N(INDEX(对接源_01入库吨位!$D$5:$D$304,MATCH(INT((ROW()-5)/3)+1,对接源_01入库吨位!$S$5:$S$304,0))),IF($D606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6" s="41" t="str">
        <f aca="false">IF($B606="","",ROUND(IFERROR(IF($D606="周转打冷",N(INDEX(对接源_01入库吨位!$H$5:$H$304,MATCH(INT((ROW()-5)/3)+1,对接源_01入库吨位!$S$5:$S$304,0))),IF($D606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6" s="52" t="str">
        <f aca="false">IF($B606="","",ROUND(N($F606)/1000,3))</f>
        <v/>
      </c>
      <c r="H606" s="74"/>
      <c r="I606" s="44"/>
      <c r="J606" s="75" t="str">
        <f aca="false">IF($B606="","",IF($H606="按筐数×单价",N($E606),IF($H606="按总重KG×单价",N($F606),IF($H606="按吨位×单价",N($G606),0))))</f>
        <v/>
      </c>
      <c r="K606" s="41" t="str">
        <f aca="false">IF($B606="","",ROUND(N($J606)*N($I606),2))</f>
        <v/>
      </c>
      <c r="L606" s="42"/>
      <c r="M606" s="76"/>
      <c r="N606" s="43"/>
      <c r="R606" s="77" t="str">
        <f aca="false">IF($B606="","",$B606)</f>
        <v/>
      </c>
      <c r="S606" s="77" t="n">
        <f aca="false">IF($R606="",0,IF(MATCH($R606,$R$5:$R$904,0)=ROW()-4,1,0))</f>
        <v>0</v>
      </c>
      <c r="T606" s="77" t="n">
        <f aca="false">N(T605)+$S606</f>
        <v>18</v>
      </c>
    </row>
    <row r="607" customFormat="false" ht="13.5" hidden="false" customHeight="false" outlineLevel="0" collapsed="false">
      <c r="A607" s="9" t="str">
        <f aca="false">IF($B607="","",ROW()-4)</f>
        <v/>
      </c>
      <c r="B607" s="39" t="str">
        <f aca="false">IFERROR(INDEX(对接源_01入库吨位!$B$5:$B$304,MATCH(INT((ROW()-5)/3)+1,对接源_01入库吨位!$S$5:$S$304,0)),"")</f>
        <v/>
      </c>
      <c r="C607" s="39" t="str">
        <f aca="false">IFERROR(INDEX(对接源_01入库吨位!$C$5:$C$304,MATCH(INT((ROW()-5)/3)+1,对接源_01入库吨位!$S$5:$S$304,0)),"")</f>
        <v/>
      </c>
      <c r="D607" s="40" t="str">
        <f aca="false">IF($B607="","",IF(MOD(ROW()-5,3)=0,"周转打冷",IF(MOD(ROW()-5,3)=1,"仓储加工","装卸费")))</f>
        <v/>
      </c>
      <c r="E607" s="51" t="str">
        <f aca="false">IF($B607="","",IFERROR(IF($D607="周转打冷",N(INDEX(对接源_01入库吨位!$D$5:$D$304,MATCH(INT((ROW()-5)/3)+1,对接源_01入库吨位!$S$5:$S$304,0))),IF($D607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7" s="41" t="str">
        <f aca="false">IF($B607="","",ROUND(IFERROR(IF($D607="周转打冷",N(INDEX(对接源_01入库吨位!$H$5:$H$304,MATCH(INT((ROW()-5)/3)+1,对接源_01入库吨位!$S$5:$S$304,0))),IF($D607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7" s="52" t="str">
        <f aca="false">IF($B607="","",ROUND(N($F607)/1000,3))</f>
        <v/>
      </c>
      <c r="H607" s="74"/>
      <c r="I607" s="44"/>
      <c r="J607" s="75" t="str">
        <f aca="false">IF($B607="","",IF($H607="按筐数×单价",N($E607),IF($H607="按总重KG×单价",N($F607),IF($H607="按吨位×单价",N($G607),0))))</f>
        <v/>
      </c>
      <c r="K607" s="41" t="str">
        <f aca="false">IF($B607="","",ROUND(N($J607)*N($I607),2))</f>
        <v/>
      </c>
      <c r="L607" s="42"/>
      <c r="M607" s="76"/>
      <c r="N607" s="43"/>
      <c r="R607" s="77" t="str">
        <f aca="false">IF($B607="","",$B607)</f>
        <v/>
      </c>
      <c r="S607" s="77" t="n">
        <f aca="false">IF($R607="",0,IF(MATCH($R607,$R$5:$R$904,0)=ROW()-4,1,0))</f>
        <v>0</v>
      </c>
      <c r="T607" s="77" t="n">
        <f aca="false">N(T606)+$S607</f>
        <v>18</v>
      </c>
    </row>
    <row r="608" customFormat="false" ht="13.5" hidden="false" customHeight="false" outlineLevel="0" collapsed="false">
      <c r="A608" s="9" t="str">
        <f aca="false">IF($B608="","",ROW()-4)</f>
        <v/>
      </c>
      <c r="B608" s="39" t="str">
        <f aca="false">IFERROR(INDEX(对接源_01入库吨位!$B$5:$B$304,MATCH(INT((ROW()-5)/3)+1,对接源_01入库吨位!$S$5:$S$304,0)),"")</f>
        <v/>
      </c>
      <c r="C608" s="39" t="str">
        <f aca="false">IFERROR(INDEX(对接源_01入库吨位!$C$5:$C$304,MATCH(INT((ROW()-5)/3)+1,对接源_01入库吨位!$S$5:$S$304,0)),"")</f>
        <v/>
      </c>
      <c r="D608" s="40" t="str">
        <f aca="false">IF($B608="","",IF(MOD(ROW()-5,3)=0,"周转打冷",IF(MOD(ROW()-5,3)=1,"仓储加工","装卸费")))</f>
        <v/>
      </c>
      <c r="E608" s="51" t="str">
        <f aca="false">IF($B608="","",IFERROR(IF($D608="周转打冷",N(INDEX(对接源_01入库吨位!$D$5:$D$304,MATCH(INT((ROW()-5)/3)+1,对接源_01入库吨位!$S$5:$S$304,0))),IF($D608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8" s="41" t="str">
        <f aca="false">IF($B608="","",ROUND(IFERROR(IF($D608="周转打冷",N(INDEX(对接源_01入库吨位!$H$5:$H$304,MATCH(INT((ROW()-5)/3)+1,对接源_01入库吨位!$S$5:$S$304,0))),IF($D608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8" s="52" t="str">
        <f aca="false">IF($B608="","",ROUND(N($F608)/1000,3))</f>
        <v/>
      </c>
      <c r="H608" s="74"/>
      <c r="I608" s="44"/>
      <c r="J608" s="75" t="str">
        <f aca="false">IF($B608="","",IF($H608="按筐数×单价",N($E608),IF($H608="按总重KG×单价",N($F608),IF($H608="按吨位×单价",N($G608),0))))</f>
        <v/>
      </c>
      <c r="K608" s="41" t="str">
        <f aca="false">IF($B608="","",ROUND(N($J608)*N($I608),2))</f>
        <v/>
      </c>
      <c r="L608" s="42"/>
      <c r="M608" s="76"/>
      <c r="N608" s="43"/>
      <c r="R608" s="77" t="str">
        <f aca="false">IF($B608="","",$B608)</f>
        <v/>
      </c>
      <c r="S608" s="77" t="n">
        <f aca="false">IF($R608="",0,IF(MATCH($R608,$R$5:$R$904,0)=ROW()-4,1,0))</f>
        <v>0</v>
      </c>
      <c r="T608" s="77" t="n">
        <f aca="false">N(T607)+$S608</f>
        <v>18</v>
      </c>
    </row>
    <row r="609" customFormat="false" ht="13.5" hidden="false" customHeight="false" outlineLevel="0" collapsed="false">
      <c r="A609" s="9" t="str">
        <f aca="false">IF($B609="","",ROW()-4)</f>
        <v/>
      </c>
      <c r="B609" s="39" t="str">
        <f aca="false">IFERROR(INDEX(对接源_01入库吨位!$B$5:$B$304,MATCH(INT((ROW()-5)/3)+1,对接源_01入库吨位!$S$5:$S$304,0)),"")</f>
        <v/>
      </c>
      <c r="C609" s="39" t="str">
        <f aca="false">IFERROR(INDEX(对接源_01入库吨位!$C$5:$C$304,MATCH(INT((ROW()-5)/3)+1,对接源_01入库吨位!$S$5:$S$304,0)),"")</f>
        <v/>
      </c>
      <c r="D609" s="40" t="str">
        <f aca="false">IF($B609="","",IF(MOD(ROW()-5,3)=0,"周转打冷",IF(MOD(ROW()-5,3)=1,"仓储加工","装卸费")))</f>
        <v/>
      </c>
      <c r="E609" s="51" t="str">
        <f aca="false">IF($B609="","",IFERROR(IF($D609="周转打冷",N(INDEX(对接源_01入库吨位!$D$5:$D$304,MATCH(INT((ROW()-5)/3)+1,对接源_01入库吨位!$S$5:$S$304,0))),IF($D609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09" s="41" t="str">
        <f aca="false">IF($B609="","",ROUND(IFERROR(IF($D609="周转打冷",N(INDEX(对接源_01入库吨位!$H$5:$H$304,MATCH(INT((ROW()-5)/3)+1,对接源_01入库吨位!$S$5:$S$304,0))),IF($D609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09" s="52" t="str">
        <f aca="false">IF($B609="","",ROUND(N($F609)/1000,3))</f>
        <v/>
      </c>
      <c r="H609" s="74"/>
      <c r="I609" s="44"/>
      <c r="J609" s="75" t="str">
        <f aca="false">IF($B609="","",IF($H609="按筐数×单价",N($E609),IF($H609="按总重KG×单价",N($F609),IF($H609="按吨位×单价",N($G609),0))))</f>
        <v/>
      </c>
      <c r="K609" s="41" t="str">
        <f aca="false">IF($B609="","",ROUND(N($J609)*N($I609),2))</f>
        <v/>
      </c>
      <c r="L609" s="42"/>
      <c r="M609" s="76"/>
      <c r="N609" s="43"/>
      <c r="R609" s="77" t="str">
        <f aca="false">IF($B609="","",$B609)</f>
        <v/>
      </c>
      <c r="S609" s="77" t="n">
        <f aca="false">IF($R609="",0,IF(MATCH($R609,$R$5:$R$904,0)=ROW()-4,1,0))</f>
        <v>0</v>
      </c>
      <c r="T609" s="77" t="n">
        <f aca="false">N(T608)+$S609</f>
        <v>18</v>
      </c>
    </row>
    <row r="610" customFormat="false" ht="13.5" hidden="false" customHeight="false" outlineLevel="0" collapsed="false">
      <c r="A610" s="9" t="str">
        <f aca="false">IF($B610="","",ROW()-4)</f>
        <v/>
      </c>
      <c r="B610" s="39" t="str">
        <f aca="false">IFERROR(INDEX(对接源_01入库吨位!$B$5:$B$304,MATCH(INT((ROW()-5)/3)+1,对接源_01入库吨位!$S$5:$S$304,0)),"")</f>
        <v/>
      </c>
      <c r="C610" s="39" t="str">
        <f aca="false">IFERROR(INDEX(对接源_01入库吨位!$C$5:$C$304,MATCH(INT((ROW()-5)/3)+1,对接源_01入库吨位!$S$5:$S$304,0)),"")</f>
        <v/>
      </c>
      <c r="D610" s="40" t="str">
        <f aca="false">IF($B610="","",IF(MOD(ROW()-5,3)=0,"周转打冷",IF(MOD(ROW()-5,3)=1,"仓储加工","装卸费")))</f>
        <v/>
      </c>
      <c r="E610" s="51" t="str">
        <f aca="false">IF($B610="","",IFERROR(IF($D610="周转打冷",N(INDEX(对接源_01入库吨位!$D$5:$D$304,MATCH(INT((ROW()-5)/3)+1,对接源_01入库吨位!$S$5:$S$304,0))),IF($D610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0" s="41" t="str">
        <f aca="false">IF($B610="","",ROUND(IFERROR(IF($D610="周转打冷",N(INDEX(对接源_01入库吨位!$H$5:$H$304,MATCH(INT((ROW()-5)/3)+1,对接源_01入库吨位!$S$5:$S$304,0))),IF($D610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0" s="52" t="str">
        <f aca="false">IF($B610="","",ROUND(N($F610)/1000,3))</f>
        <v/>
      </c>
      <c r="H610" s="74"/>
      <c r="I610" s="44"/>
      <c r="J610" s="75" t="str">
        <f aca="false">IF($B610="","",IF($H610="按筐数×单价",N($E610),IF($H610="按总重KG×单价",N($F610),IF($H610="按吨位×单价",N($G610),0))))</f>
        <v/>
      </c>
      <c r="K610" s="41" t="str">
        <f aca="false">IF($B610="","",ROUND(N($J610)*N($I610),2))</f>
        <v/>
      </c>
      <c r="L610" s="42"/>
      <c r="M610" s="76"/>
      <c r="N610" s="43"/>
      <c r="R610" s="77" t="str">
        <f aca="false">IF($B610="","",$B610)</f>
        <v/>
      </c>
      <c r="S610" s="77" t="n">
        <f aca="false">IF($R610="",0,IF(MATCH($R610,$R$5:$R$904,0)=ROW()-4,1,0))</f>
        <v>0</v>
      </c>
      <c r="T610" s="77" t="n">
        <f aca="false">N(T609)+$S610</f>
        <v>18</v>
      </c>
    </row>
    <row r="611" customFormat="false" ht="13.5" hidden="false" customHeight="false" outlineLevel="0" collapsed="false">
      <c r="A611" s="9" t="str">
        <f aca="false">IF($B611="","",ROW()-4)</f>
        <v/>
      </c>
      <c r="B611" s="39" t="str">
        <f aca="false">IFERROR(INDEX(对接源_01入库吨位!$B$5:$B$304,MATCH(INT((ROW()-5)/3)+1,对接源_01入库吨位!$S$5:$S$304,0)),"")</f>
        <v/>
      </c>
      <c r="C611" s="39" t="str">
        <f aca="false">IFERROR(INDEX(对接源_01入库吨位!$C$5:$C$304,MATCH(INT((ROW()-5)/3)+1,对接源_01入库吨位!$S$5:$S$304,0)),"")</f>
        <v/>
      </c>
      <c r="D611" s="40" t="str">
        <f aca="false">IF($B611="","",IF(MOD(ROW()-5,3)=0,"周转打冷",IF(MOD(ROW()-5,3)=1,"仓储加工","装卸费")))</f>
        <v/>
      </c>
      <c r="E611" s="51" t="str">
        <f aca="false">IF($B611="","",IFERROR(IF($D611="周转打冷",N(INDEX(对接源_01入库吨位!$D$5:$D$304,MATCH(INT((ROW()-5)/3)+1,对接源_01入库吨位!$S$5:$S$304,0))),IF($D611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1" s="41" t="str">
        <f aca="false">IF($B611="","",ROUND(IFERROR(IF($D611="周转打冷",N(INDEX(对接源_01入库吨位!$H$5:$H$304,MATCH(INT((ROW()-5)/3)+1,对接源_01入库吨位!$S$5:$S$304,0))),IF($D611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1" s="52" t="str">
        <f aca="false">IF($B611="","",ROUND(N($F611)/1000,3))</f>
        <v/>
      </c>
      <c r="H611" s="74"/>
      <c r="I611" s="44"/>
      <c r="J611" s="75" t="str">
        <f aca="false">IF($B611="","",IF($H611="按筐数×单价",N($E611),IF($H611="按总重KG×单价",N($F611),IF($H611="按吨位×单价",N($G611),0))))</f>
        <v/>
      </c>
      <c r="K611" s="41" t="str">
        <f aca="false">IF($B611="","",ROUND(N($J611)*N($I611),2))</f>
        <v/>
      </c>
      <c r="L611" s="42"/>
      <c r="M611" s="76"/>
      <c r="N611" s="43"/>
      <c r="R611" s="77" t="str">
        <f aca="false">IF($B611="","",$B611)</f>
        <v/>
      </c>
      <c r="S611" s="77" t="n">
        <f aca="false">IF($R611="",0,IF(MATCH($R611,$R$5:$R$904,0)=ROW()-4,1,0))</f>
        <v>0</v>
      </c>
      <c r="T611" s="77" t="n">
        <f aca="false">N(T610)+$S611</f>
        <v>18</v>
      </c>
    </row>
    <row r="612" customFormat="false" ht="13.5" hidden="false" customHeight="false" outlineLevel="0" collapsed="false">
      <c r="A612" s="9" t="str">
        <f aca="false">IF($B612="","",ROW()-4)</f>
        <v/>
      </c>
      <c r="B612" s="39" t="str">
        <f aca="false">IFERROR(INDEX(对接源_01入库吨位!$B$5:$B$304,MATCH(INT((ROW()-5)/3)+1,对接源_01入库吨位!$S$5:$S$304,0)),"")</f>
        <v/>
      </c>
      <c r="C612" s="39" t="str">
        <f aca="false">IFERROR(INDEX(对接源_01入库吨位!$C$5:$C$304,MATCH(INT((ROW()-5)/3)+1,对接源_01入库吨位!$S$5:$S$304,0)),"")</f>
        <v/>
      </c>
      <c r="D612" s="40" t="str">
        <f aca="false">IF($B612="","",IF(MOD(ROW()-5,3)=0,"周转打冷",IF(MOD(ROW()-5,3)=1,"仓储加工","装卸费")))</f>
        <v/>
      </c>
      <c r="E612" s="51" t="str">
        <f aca="false">IF($B612="","",IFERROR(IF($D612="周转打冷",N(INDEX(对接源_01入库吨位!$D$5:$D$304,MATCH(INT((ROW()-5)/3)+1,对接源_01入库吨位!$S$5:$S$304,0))),IF($D612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2" s="41" t="str">
        <f aca="false">IF($B612="","",ROUND(IFERROR(IF($D612="周转打冷",N(INDEX(对接源_01入库吨位!$H$5:$H$304,MATCH(INT((ROW()-5)/3)+1,对接源_01入库吨位!$S$5:$S$304,0))),IF($D612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2" s="52" t="str">
        <f aca="false">IF($B612="","",ROUND(N($F612)/1000,3))</f>
        <v/>
      </c>
      <c r="H612" s="74"/>
      <c r="I612" s="44"/>
      <c r="J612" s="75" t="str">
        <f aca="false">IF($B612="","",IF($H612="按筐数×单价",N($E612),IF($H612="按总重KG×单价",N($F612),IF($H612="按吨位×单价",N($G612),0))))</f>
        <v/>
      </c>
      <c r="K612" s="41" t="str">
        <f aca="false">IF($B612="","",ROUND(N($J612)*N($I612),2))</f>
        <v/>
      </c>
      <c r="L612" s="42"/>
      <c r="M612" s="76"/>
      <c r="N612" s="43"/>
      <c r="R612" s="77" t="str">
        <f aca="false">IF($B612="","",$B612)</f>
        <v/>
      </c>
      <c r="S612" s="77" t="n">
        <f aca="false">IF($R612="",0,IF(MATCH($R612,$R$5:$R$904,0)=ROW()-4,1,0))</f>
        <v>0</v>
      </c>
      <c r="T612" s="77" t="n">
        <f aca="false">N(T611)+$S612</f>
        <v>18</v>
      </c>
    </row>
    <row r="613" customFormat="false" ht="13.5" hidden="false" customHeight="false" outlineLevel="0" collapsed="false">
      <c r="A613" s="9" t="str">
        <f aca="false">IF($B613="","",ROW()-4)</f>
        <v/>
      </c>
      <c r="B613" s="39" t="str">
        <f aca="false">IFERROR(INDEX(对接源_01入库吨位!$B$5:$B$304,MATCH(INT((ROW()-5)/3)+1,对接源_01入库吨位!$S$5:$S$304,0)),"")</f>
        <v/>
      </c>
      <c r="C613" s="39" t="str">
        <f aca="false">IFERROR(INDEX(对接源_01入库吨位!$C$5:$C$304,MATCH(INT((ROW()-5)/3)+1,对接源_01入库吨位!$S$5:$S$304,0)),"")</f>
        <v/>
      </c>
      <c r="D613" s="40" t="str">
        <f aca="false">IF($B613="","",IF(MOD(ROW()-5,3)=0,"周转打冷",IF(MOD(ROW()-5,3)=1,"仓储加工","装卸费")))</f>
        <v/>
      </c>
      <c r="E613" s="51" t="str">
        <f aca="false">IF($B613="","",IFERROR(IF($D613="周转打冷",N(INDEX(对接源_01入库吨位!$D$5:$D$304,MATCH(INT((ROW()-5)/3)+1,对接源_01入库吨位!$S$5:$S$304,0))),IF($D613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3" s="41" t="str">
        <f aca="false">IF($B613="","",ROUND(IFERROR(IF($D613="周转打冷",N(INDEX(对接源_01入库吨位!$H$5:$H$304,MATCH(INT((ROW()-5)/3)+1,对接源_01入库吨位!$S$5:$S$304,0))),IF($D613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3" s="52" t="str">
        <f aca="false">IF($B613="","",ROUND(N($F613)/1000,3))</f>
        <v/>
      </c>
      <c r="H613" s="74"/>
      <c r="I613" s="44"/>
      <c r="J613" s="75" t="str">
        <f aca="false">IF($B613="","",IF($H613="按筐数×单价",N($E613),IF($H613="按总重KG×单价",N($F613),IF($H613="按吨位×单价",N($G613),0))))</f>
        <v/>
      </c>
      <c r="K613" s="41" t="str">
        <f aca="false">IF($B613="","",ROUND(N($J613)*N($I613),2))</f>
        <v/>
      </c>
      <c r="L613" s="42"/>
      <c r="M613" s="76"/>
      <c r="N613" s="43"/>
      <c r="R613" s="77" t="str">
        <f aca="false">IF($B613="","",$B613)</f>
        <v/>
      </c>
      <c r="S613" s="77" t="n">
        <f aca="false">IF($R613="",0,IF(MATCH($R613,$R$5:$R$904,0)=ROW()-4,1,0))</f>
        <v>0</v>
      </c>
      <c r="T613" s="77" t="n">
        <f aca="false">N(T612)+$S613</f>
        <v>18</v>
      </c>
    </row>
    <row r="614" customFormat="false" ht="13.5" hidden="false" customHeight="false" outlineLevel="0" collapsed="false">
      <c r="A614" s="9" t="str">
        <f aca="false">IF($B614="","",ROW()-4)</f>
        <v/>
      </c>
      <c r="B614" s="39" t="str">
        <f aca="false">IFERROR(INDEX(对接源_01入库吨位!$B$5:$B$304,MATCH(INT((ROW()-5)/3)+1,对接源_01入库吨位!$S$5:$S$304,0)),"")</f>
        <v/>
      </c>
      <c r="C614" s="39" t="str">
        <f aca="false">IFERROR(INDEX(对接源_01入库吨位!$C$5:$C$304,MATCH(INT((ROW()-5)/3)+1,对接源_01入库吨位!$S$5:$S$304,0)),"")</f>
        <v/>
      </c>
      <c r="D614" s="40" t="str">
        <f aca="false">IF($B614="","",IF(MOD(ROW()-5,3)=0,"周转打冷",IF(MOD(ROW()-5,3)=1,"仓储加工","装卸费")))</f>
        <v/>
      </c>
      <c r="E614" s="51" t="str">
        <f aca="false">IF($B614="","",IFERROR(IF($D614="周转打冷",N(INDEX(对接源_01入库吨位!$D$5:$D$304,MATCH(INT((ROW()-5)/3)+1,对接源_01入库吨位!$S$5:$S$304,0))),IF($D614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4" s="41" t="str">
        <f aca="false">IF($B614="","",ROUND(IFERROR(IF($D614="周转打冷",N(INDEX(对接源_01入库吨位!$H$5:$H$304,MATCH(INT((ROW()-5)/3)+1,对接源_01入库吨位!$S$5:$S$304,0))),IF($D614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4" s="52" t="str">
        <f aca="false">IF($B614="","",ROUND(N($F614)/1000,3))</f>
        <v/>
      </c>
      <c r="H614" s="74"/>
      <c r="I614" s="44"/>
      <c r="J614" s="75" t="str">
        <f aca="false">IF($B614="","",IF($H614="按筐数×单价",N($E614),IF($H614="按总重KG×单价",N($F614),IF($H614="按吨位×单价",N($G614),0))))</f>
        <v/>
      </c>
      <c r="K614" s="41" t="str">
        <f aca="false">IF($B614="","",ROUND(N($J614)*N($I614),2))</f>
        <v/>
      </c>
      <c r="L614" s="42"/>
      <c r="M614" s="76"/>
      <c r="N614" s="43"/>
      <c r="R614" s="77" t="str">
        <f aca="false">IF($B614="","",$B614)</f>
        <v/>
      </c>
      <c r="S614" s="77" t="n">
        <f aca="false">IF($R614="",0,IF(MATCH($R614,$R$5:$R$904,0)=ROW()-4,1,0))</f>
        <v>0</v>
      </c>
      <c r="T614" s="77" t="n">
        <f aca="false">N(T613)+$S614</f>
        <v>18</v>
      </c>
    </row>
    <row r="615" customFormat="false" ht="13.5" hidden="false" customHeight="false" outlineLevel="0" collapsed="false">
      <c r="A615" s="9" t="str">
        <f aca="false">IF($B615="","",ROW()-4)</f>
        <v/>
      </c>
      <c r="B615" s="39" t="str">
        <f aca="false">IFERROR(INDEX(对接源_01入库吨位!$B$5:$B$304,MATCH(INT((ROW()-5)/3)+1,对接源_01入库吨位!$S$5:$S$304,0)),"")</f>
        <v/>
      </c>
      <c r="C615" s="39" t="str">
        <f aca="false">IFERROR(INDEX(对接源_01入库吨位!$C$5:$C$304,MATCH(INT((ROW()-5)/3)+1,对接源_01入库吨位!$S$5:$S$304,0)),"")</f>
        <v/>
      </c>
      <c r="D615" s="40" t="str">
        <f aca="false">IF($B615="","",IF(MOD(ROW()-5,3)=0,"周转打冷",IF(MOD(ROW()-5,3)=1,"仓储加工","装卸费")))</f>
        <v/>
      </c>
      <c r="E615" s="51" t="str">
        <f aca="false">IF($B615="","",IFERROR(IF($D615="周转打冷",N(INDEX(对接源_01入库吨位!$D$5:$D$304,MATCH(INT((ROW()-5)/3)+1,对接源_01入库吨位!$S$5:$S$304,0))),IF($D615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5" s="41" t="str">
        <f aca="false">IF($B615="","",ROUND(IFERROR(IF($D615="周转打冷",N(INDEX(对接源_01入库吨位!$H$5:$H$304,MATCH(INT((ROW()-5)/3)+1,对接源_01入库吨位!$S$5:$S$304,0))),IF($D615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5" s="52" t="str">
        <f aca="false">IF($B615="","",ROUND(N($F615)/1000,3))</f>
        <v/>
      </c>
      <c r="H615" s="74"/>
      <c r="I615" s="44"/>
      <c r="J615" s="75" t="str">
        <f aca="false">IF($B615="","",IF($H615="按筐数×单价",N($E615),IF($H615="按总重KG×单价",N($F615),IF($H615="按吨位×单价",N($G615),0))))</f>
        <v/>
      </c>
      <c r="K615" s="41" t="str">
        <f aca="false">IF($B615="","",ROUND(N($J615)*N($I615),2))</f>
        <v/>
      </c>
      <c r="L615" s="42"/>
      <c r="M615" s="76"/>
      <c r="N615" s="43"/>
      <c r="R615" s="77" t="str">
        <f aca="false">IF($B615="","",$B615)</f>
        <v/>
      </c>
      <c r="S615" s="77" t="n">
        <f aca="false">IF($R615="",0,IF(MATCH($R615,$R$5:$R$904,0)=ROW()-4,1,0))</f>
        <v>0</v>
      </c>
      <c r="T615" s="77" t="n">
        <f aca="false">N(T614)+$S615</f>
        <v>18</v>
      </c>
    </row>
    <row r="616" customFormat="false" ht="13.5" hidden="false" customHeight="false" outlineLevel="0" collapsed="false">
      <c r="A616" s="9" t="str">
        <f aca="false">IF($B616="","",ROW()-4)</f>
        <v/>
      </c>
      <c r="B616" s="39" t="str">
        <f aca="false">IFERROR(INDEX(对接源_01入库吨位!$B$5:$B$304,MATCH(INT((ROW()-5)/3)+1,对接源_01入库吨位!$S$5:$S$304,0)),"")</f>
        <v/>
      </c>
      <c r="C616" s="39" t="str">
        <f aca="false">IFERROR(INDEX(对接源_01入库吨位!$C$5:$C$304,MATCH(INT((ROW()-5)/3)+1,对接源_01入库吨位!$S$5:$S$304,0)),"")</f>
        <v/>
      </c>
      <c r="D616" s="40" t="str">
        <f aca="false">IF($B616="","",IF(MOD(ROW()-5,3)=0,"周转打冷",IF(MOD(ROW()-5,3)=1,"仓储加工","装卸费")))</f>
        <v/>
      </c>
      <c r="E616" s="51" t="str">
        <f aca="false">IF($B616="","",IFERROR(IF($D616="周转打冷",N(INDEX(对接源_01入库吨位!$D$5:$D$304,MATCH(INT((ROW()-5)/3)+1,对接源_01入库吨位!$S$5:$S$304,0))),IF($D616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6" s="41" t="str">
        <f aca="false">IF($B616="","",ROUND(IFERROR(IF($D616="周转打冷",N(INDEX(对接源_01入库吨位!$H$5:$H$304,MATCH(INT((ROW()-5)/3)+1,对接源_01入库吨位!$S$5:$S$304,0))),IF($D616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6" s="52" t="str">
        <f aca="false">IF($B616="","",ROUND(N($F616)/1000,3))</f>
        <v/>
      </c>
      <c r="H616" s="74"/>
      <c r="I616" s="44"/>
      <c r="J616" s="75" t="str">
        <f aca="false">IF($B616="","",IF($H616="按筐数×单价",N($E616),IF($H616="按总重KG×单价",N($F616),IF($H616="按吨位×单价",N($G616),0))))</f>
        <v/>
      </c>
      <c r="K616" s="41" t="str">
        <f aca="false">IF($B616="","",ROUND(N($J616)*N($I616),2))</f>
        <v/>
      </c>
      <c r="L616" s="42"/>
      <c r="M616" s="76"/>
      <c r="N616" s="43"/>
      <c r="R616" s="77" t="str">
        <f aca="false">IF($B616="","",$B616)</f>
        <v/>
      </c>
      <c r="S616" s="77" t="n">
        <f aca="false">IF($R616="",0,IF(MATCH($R616,$R$5:$R$904,0)=ROW()-4,1,0))</f>
        <v>0</v>
      </c>
      <c r="T616" s="77" t="n">
        <f aca="false">N(T615)+$S616</f>
        <v>18</v>
      </c>
    </row>
    <row r="617" customFormat="false" ht="13.5" hidden="false" customHeight="false" outlineLevel="0" collapsed="false">
      <c r="A617" s="9" t="str">
        <f aca="false">IF($B617="","",ROW()-4)</f>
        <v/>
      </c>
      <c r="B617" s="39" t="str">
        <f aca="false">IFERROR(INDEX(对接源_01入库吨位!$B$5:$B$304,MATCH(INT((ROW()-5)/3)+1,对接源_01入库吨位!$S$5:$S$304,0)),"")</f>
        <v/>
      </c>
      <c r="C617" s="39" t="str">
        <f aca="false">IFERROR(INDEX(对接源_01入库吨位!$C$5:$C$304,MATCH(INT((ROW()-5)/3)+1,对接源_01入库吨位!$S$5:$S$304,0)),"")</f>
        <v/>
      </c>
      <c r="D617" s="40" t="str">
        <f aca="false">IF($B617="","",IF(MOD(ROW()-5,3)=0,"周转打冷",IF(MOD(ROW()-5,3)=1,"仓储加工","装卸费")))</f>
        <v/>
      </c>
      <c r="E617" s="51" t="str">
        <f aca="false">IF($B617="","",IFERROR(IF($D617="周转打冷",N(INDEX(对接源_01入库吨位!$D$5:$D$304,MATCH(INT((ROW()-5)/3)+1,对接源_01入库吨位!$S$5:$S$304,0))),IF($D617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7" s="41" t="str">
        <f aca="false">IF($B617="","",ROUND(IFERROR(IF($D617="周转打冷",N(INDEX(对接源_01入库吨位!$H$5:$H$304,MATCH(INT((ROW()-5)/3)+1,对接源_01入库吨位!$S$5:$S$304,0))),IF($D617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7" s="52" t="str">
        <f aca="false">IF($B617="","",ROUND(N($F617)/1000,3))</f>
        <v/>
      </c>
      <c r="H617" s="74"/>
      <c r="I617" s="44"/>
      <c r="J617" s="75" t="str">
        <f aca="false">IF($B617="","",IF($H617="按筐数×单价",N($E617),IF($H617="按总重KG×单价",N($F617),IF($H617="按吨位×单价",N($G617),0))))</f>
        <v/>
      </c>
      <c r="K617" s="41" t="str">
        <f aca="false">IF($B617="","",ROUND(N($J617)*N($I617),2))</f>
        <v/>
      </c>
      <c r="L617" s="42"/>
      <c r="M617" s="76"/>
      <c r="N617" s="43"/>
      <c r="R617" s="77" t="str">
        <f aca="false">IF($B617="","",$B617)</f>
        <v/>
      </c>
      <c r="S617" s="77" t="n">
        <f aca="false">IF($R617="",0,IF(MATCH($R617,$R$5:$R$904,0)=ROW()-4,1,0))</f>
        <v>0</v>
      </c>
      <c r="T617" s="77" t="n">
        <f aca="false">N(T616)+$S617</f>
        <v>18</v>
      </c>
    </row>
    <row r="618" customFormat="false" ht="13.5" hidden="false" customHeight="false" outlineLevel="0" collapsed="false">
      <c r="A618" s="9" t="str">
        <f aca="false">IF($B618="","",ROW()-4)</f>
        <v/>
      </c>
      <c r="B618" s="39" t="str">
        <f aca="false">IFERROR(INDEX(对接源_01入库吨位!$B$5:$B$304,MATCH(INT((ROW()-5)/3)+1,对接源_01入库吨位!$S$5:$S$304,0)),"")</f>
        <v/>
      </c>
      <c r="C618" s="39" t="str">
        <f aca="false">IFERROR(INDEX(对接源_01入库吨位!$C$5:$C$304,MATCH(INT((ROW()-5)/3)+1,对接源_01入库吨位!$S$5:$S$304,0)),"")</f>
        <v/>
      </c>
      <c r="D618" s="40" t="str">
        <f aca="false">IF($B618="","",IF(MOD(ROW()-5,3)=0,"周转打冷",IF(MOD(ROW()-5,3)=1,"仓储加工","装卸费")))</f>
        <v/>
      </c>
      <c r="E618" s="51" t="str">
        <f aca="false">IF($B618="","",IFERROR(IF($D618="周转打冷",N(INDEX(对接源_01入库吨位!$D$5:$D$304,MATCH(INT((ROW()-5)/3)+1,对接源_01入库吨位!$S$5:$S$304,0))),IF($D618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8" s="41" t="str">
        <f aca="false">IF($B618="","",ROUND(IFERROR(IF($D618="周转打冷",N(INDEX(对接源_01入库吨位!$H$5:$H$304,MATCH(INT((ROW()-5)/3)+1,对接源_01入库吨位!$S$5:$S$304,0))),IF($D618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8" s="52" t="str">
        <f aca="false">IF($B618="","",ROUND(N($F618)/1000,3))</f>
        <v/>
      </c>
      <c r="H618" s="74"/>
      <c r="I618" s="44"/>
      <c r="J618" s="75" t="str">
        <f aca="false">IF($B618="","",IF($H618="按筐数×单价",N($E618),IF($H618="按总重KG×单价",N($F618),IF($H618="按吨位×单价",N($G618),0))))</f>
        <v/>
      </c>
      <c r="K618" s="41" t="str">
        <f aca="false">IF($B618="","",ROUND(N($J618)*N($I618),2))</f>
        <v/>
      </c>
      <c r="L618" s="42"/>
      <c r="M618" s="76"/>
      <c r="N618" s="43"/>
      <c r="R618" s="77" t="str">
        <f aca="false">IF($B618="","",$B618)</f>
        <v/>
      </c>
      <c r="S618" s="77" t="n">
        <f aca="false">IF($R618="",0,IF(MATCH($R618,$R$5:$R$904,0)=ROW()-4,1,0))</f>
        <v>0</v>
      </c>
      <c r="T618" s="77" t="n">
        <f aca="false">N(T617)+$S618</f>
        <v>18</v>
      </c>
    </row>
    <row r="619" customFormat="false" ht="13.5" hidden="false" customHeight="false" outlineLevel="0" collapsed="false">
      <c r="A619" s="9" t="str">
        <f aca="false">IF($B619="","",ROW()-4)</f>
        <v/>
      </c>
      <c r="B619" s="39" t="str">
        <f aca="false">IFERROR(INDEX(对接源_01入库吨位!$B$5:$B$304,MATCH(INT((ROW()-5)/3)+1,对接源_01入库吨位!$S$5:$S$304,0)),"")</f>
        <v/>
      </c>
      <c r="C619" s="39" t="str">
        <f aca="false">IFERROR(INDEX(对接源_01入库吨位!$C$5:$C$304,MATCH(INT((ROW()-5)/3)+1,对接源_01入库吨位!$S$5:$S$304,0)),"")</f>
        <v/>
      </c>
      <c r="D619" s="40" t="str">
        <f aca="false">IF($B619="","",IF(MOD(ROW()-5,3)=0,"周转打冷",IF(MOD(ROW()-5,3)=1,"仓储加工","装卸费")))</f>
        <v/>
      </c>
      <c r="E619" s="51" t="str">
        <f aca="false">IF($B619="","",IFERROR(IF($D619="周转打冷",N(INDEX(对接源_01入库吨位!$D$5:$D$304,MATCH(INT((ROW()-5)/3)+1,对接源_01入库吨位!$S$5:$S$304,0))),IF($D619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19" s="41" t="str">
        <f aca="false">IF($B619="","",ROUND(IFERROR(IF($D619="周转打冷",N(INDEX(对接源_01入库吨位!$H$5:$H$304,MATCH(INT((ROW()-5)/3)+1,对接源_01入库吨位!$S$5:$S$304,0))),IF($D619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19" s="52" t="str">
        <f aca="false">IF($B619="","",ROUND(N($F619)/1000,3))</f>
        <v/>
      </c>
      <c r="H619" s="74"/>
      <c r="I619" s="44"/>
      <c r="J619" s="75" t="str">
        <f aca="false">IF($B619="","",IF($H619="按筐数×单价",N($E619),IF($H619="按总重KG×单价",N($F619),IF($H619="按吨位×单价",N($G619),0))))</f>
        <v/>
      </c>
      <c r="K619" s="41" t="str">
        <f aca="false">IF($B619="","",ROUND(N($J619)*N($I619),2))</f>
        <v/>
      </c>
      <c r="L619" s="42"/>
      <c r="M619" s="76"/>
      <c r="N619" s="43"/>
      <c r="R619" s="77" t="str">
        <f aca="false">IF($B619="","",$B619)</f>
        <v/>
      </c>
      <c r="S619" s="77" t="n">
        <f aca="false">IF($R619="",0,IF(MATCH($R619,$R$5:$R$904,0)=ROW()-4,1,0))</f>
        <v>0</v>
      </c>
      <c r="T619" s="77" t="n">
        <f aca="false">N(T618)+$S619</f>
        <v>18</v>
      </c>
    </row>
    <row r="620" customFormat="false" ht="13.5" hidden="false" customHeight="false" outlineLevel="0" collapsed="false">
      <c r="A620" s="9" t="str">
        <f aca="false">IF($B620="","",ROW()-4)</f>
        <v/>
      </c>
      <c r="B620" s="39" t="str">
        <f aca="false">IFERROR(INDEX(对接源_01入库吨位!$B$5:$B$304,MATCH(INT((ROW()-5)/3)+1,对接源_01入库吨位!$S$5:$S$304,0)),"")</f>
        <v/>
      </c>
      <c r="C620" s="39" t="str">
        <f aca="false">IFERROR(INDEX(对接源_01入库吨位!$C$5:$C$304,MATCH(INT((ROW()-5)/3)+1,对接源_01入库吨位!$S$5:$S$304,0)),"")</f>
        <v/>
      </c>
      <c r="D620" s="40" t="str">
        <f aca="false">IF($B620="","",IF(MOD(ROW()-5,3)=0,"周转打冷",IF(MOD(ROW()-5,3)=1,"仓储加工","装卸费")))</f>
        <v/>
      </c>
      <c r="E620" s="51" t="str">
        <f aca="false">IF($B620="","",IFERROR(IF($D620="周转打冷",N(INDEX(对接源_01入库吨位!$D$5:$D$304,MATCH(INT((ROW()-5)/3)+1,对接源_01入库吨位!$S$5:$S$304,0))),IF($D620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0" s="41" t="str">
        <f aca="false">IF($B620="","",ROUND(IFERROR(IF($D620="周转打冷",N(INDEX(对接源_01入库吨位!$H$5:$H$304,MATCH(INT((ROW()-5)/3)+1,对接源_01入库吨位!$S$5:$S$304,0))),IF($D620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0" s="52" t="str">
        <f aca="false">IF($B620="","",ROUND(N($F620)/1000,3))</f>
        <v/>
      </c>
      <c r="H620" s="74"/>
      <c r="I620" s="44"/>
      <c r="J620" s="75" t="str">
        <f aca="false">IF($B620="","",IF($H620="按筐数×单价",N($E620),IF($H620="按总重KG×单价",N($F620),IF($H620="按吨位×单价",N($G620),0))))</f>
        <v/>
      </c>
      <c r="K620" s="41" t="str">
        <f aca="false">IF($B620="","",ROUND(N($J620)*N($I620),2))</f>
        <v/>
      </c>
      <c r="L620" s="42"/>
      <c r="M620" s="76"/>
      <c r="N620" s="43"/>
      <c r="R620" s="77" t="str">
        <f aca="false">IF($B620="","",$B620)</f>
        <v/>
      </c>
      <c r="S620" s="77" t="n">
        <f aca="false">IF($R620="",0,IF(MATCH($R620,$R$5:$R$904,0)=ROW()-4,1,0))</f>
        <v>0</v>
      </c>
      <c r="T620" s="77" t="n">
        <f aca="false">N(T619)+$S620</f>
        <v>18</v>
      </c>
    </row>
    <row r="621" customFormat="false" ht="13.5" hidden="false" customHeight="false" outlineLevel="0" collapsed="false">
      <c r="A621" s="9" t="str">
        <f aca="false">IF($B621="","",ROW()-4)</f>
        <v/>
      </c>
      <c r="B621" s="39" t="str">
        <f aca="false">IFERROR(INDEX(对接源_01入库吨位!$B$5:$B$304,MATCH(INT((ROW()-5)/3)+1,对接源_01入库吨位!$S$5:$S$304,0)),"")</f>
        <v/>
      </c>
      <c r="C621" s="39" t="str">
        <f aca="false">IFERROR(INDEX(对接源_01入库吨位!$C$5:$C$304,MATCH(INT((ROW()-5)/3)+1,对接源_01入库吨位!$S$5:$S$304,0)),"")</f>
        <v/>
      </c>
      <c r="D621" s="40" t="str">
        <f aca="false">IF($B621="","",IF(MOD(ROW()-5,3)=0,"周转打冷",IF(MOD(ROW()-5,3)=1,"仓储加工","装卸费")))</f>
        <v/>
      </c>
      <c r="E621" s="51" t="str">
        <f aca="false">IF($B621="","",IFERROR(IF($D621="周转打冷",N(INDEX(对接源_01入库吨位!$D$5:$D$304,MATCH(INT((ROW()-5)/3)+1,对接源_01入库吨位!$S$5:$S$304,0))),IF($D621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1" s="41" t="str">
        <f aca="false">IF($B621="","",ROUND(IFERROR(IF($D621="周转打冷",N(INDEX(对接源_01入库吨位!$H$5:$H$304,MATCH(INT((ROW()-5)/3)+1,对接源_01入库吨位!$S$5:$S$304,0))),IF($D621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1" s="52" t="str">
        <f aca="false">IF($B621="","",ROUND(N($F621)/1000,3))</f>
        <v/>
      </c>
      <c r="H621" s="74"/>
      <c r="I621" s="44"/>
      <c r="J621" s="75" t="str">
        <f aca="false">IF($B621="","",IF($H621="按筐数×单价",N($E621),IF($H621="按总重KG×单价",N($F621),IF($H621="按吨位×单价",N($G621),0))))</f>
        <v/>
      </c>
      <c r="K621" s="41" t="str">
        <f aca="false">IF($B621="","",ROUND(N($J621)*N($I621),2))</f>
        <v/>
      </c>
      <c r="L621" s="42"/>
      <c r="M621" s="76"/>
      <c r="N621" s="43"/>
      <c r="R621" s="77" t="str">
        <f aca="false">IF($B621="","",$B621)</f>
        <v/>
      </c>
      <c r="S621" s="77" t="n">
        <f aca="false">IF($R621="",0,IF(MATCH($R621,$R$5:$R$904,0)=ROW()-4,1,0))</f>
        <v>0</v>
      </c>
      <c r="T621" s="77" t="n">
        <f aca="false">N(T620)+$S621</f>
        <v>18</v>
      </c>
    </row>
    <row r="622" customFormat="false" ht="13.5" hidden="false" customHeight="false" outlineLevel="0" collapsed="false">
      <c r="A622" s="9" t="str">
        <f aca="false">IF($B622="","",ROW()-4)</f>
        <v/>
      </c>
      <c r="B622" s="39" t="str">
        <f aca="false">IFERROR(INDEX(对接源_01入库吨位!$B$5:$B$304,MATCH(INT((ROW()-5)/3)+1,对接源_01入库吨位!$S$5:$S$304,0)),"")</f>
        <v/>
      </c>
      <c r="C622" s="39" t="str">
        <f aca="false">IFERROR(INDEX(对接源_01入库吨位!$C$5:$C$304,MATCH(INT((ROW()-5)/3)+1,对接源_01入库吨位!$S$5:$S$304,0)),"")</f>
        <v/>
      </c>
      <c r="D622" s="40" t="str">
        <f aca="false">IF($B622="","",IF(MOD(ROW()-5,3)=0,"周转打冷",IF(MOD(ROW()-5,3)=1,"仓储加工","装卸费")))</f>
        <v/>
      </c>
      <c r="E622" s="51" t="str">
        <f aca="false">IF($B622="","",IFERROR(IF($D622="周转打冷",N(INDEX(对接源_01入库吨位!$D$5:$D$304,MATCH(INT((ROW()-5)/3)+1,对接源_01入库吨位!$S$5:$S$304,0))),IF($D622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2" s="41" t="str">
        <f aca="false">IF($B622="","",ROUND(IFERROR(IF($D622="周转打冷",N(INDEX(对接源_01入库吨位!$H$5:$H$304,MATCH(INT((ROW()-5)/3)+1,对接源_01入库吨位!$S$5:$S$304,0))),IF($D622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2" s="52" t="str">
        <f aca="false">IF($B622="","",ROUND(N($F622)/1000,3))</f>
        <v/>
      </c>
      <c r="H622" s="74"/>
      <c r="I622" s="44"/>
      <c r="J622" s="75" t="str">
        <f aca="false">IF($B622="","",IF($H622="按筐数×单价",N($E622),IF($H622="按总重KG×单价",N($F622),IF($H622="按吨位×单价",N($G622),0))))</f>
        <v/>
      </c>
      <c r="K622" s="41" t="str">
        <f aca="false">IF($B622="","",ROUND(N($J622)*N($I622),2))</f>
        <v/>
      </c>
      <c r="L622" s="42"/>
      <c r="M622" s="76"/>
      <c r="N622" s="43"/>
      <c r="R622" s="77" t="str">
        <f aca="false">IF($B622="","",$B622)</f>
        <v/>
      </c>
      <c r="S622" s="77" t="n">
        <f aca="false">IF($R622="",0,IF(MATCH($R622,$R$5:$R$904,0)=ROW()-4,1,0))</f>
        <v>0</v>
      </c>
      <c r="T622" s="77" t="n">
        <f aca="false">N(T621)+$S622</f>
        <v>18</v>
      </c>
    </row>
    <row r="623" customFormat="false" ht="13.5" hidden="false" customHeight="false" outlineLevel="0" collapsed="false">
      <c r="A623" s="9" t="str">
        <f aca="false">IF($B623="","",ROW()-4)</f>
        <v/>
      </c>
      <c r="B623" s="39" t="str">
        <f aca="false">IFERROR(INDEX(对接源_01入库吨位!$B$5:$B$304,MATCH(INT((ROW()-5)/3)+1,对接源_01入库吨位!$S$5:$S$304,0)),"")</f>
        <v/>
      </c>
      <c r="C623" s="39" t="str">
        <f aca="false">IFERROR(INDEX(对接源_01入库吨位!$C$5:$C$304,MATCH(INT((ROW()-5)/3)+1,对接源_01入库吨位!$S$5:$S$304,0)),"")</f>
        <v/>
      </c>
      <c r="D623" s="40" t="str">
        <f aca="false">IF($B623="","",IF(MOD(ROW()-5,3)=0,"周转打冷",IF(MOD(ROW()-5,3)=1,"仓储加工","装卸费")))</f>
        <v/>
      </c>
      <c r="E623" s="51" t="str">
        <f aca="false">IF($B623="","",IFERROR(IF($D623="周转打冷",N(INDEX(对接源_01入库吨位!$D$5:$D$304,MATCH(INT((ROW()-5)/3)+1,对接源_01入库吨位!$S$5:$S$304,0))),IF($D623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3" s="41" t="str">
        <f aca="false">IF($B623="","",ROUND(IFERROR(IF($D623="周转打冷",N(INDEX(对接源_01入库吨位!$H$5:$H$304,MATCH(INT((ROW()-5)/3)+1,对接源_01入库吨位!$S$5:$S$304,0))),IF($D623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3" s="52" t="str">
        <f aca="false">IF($B623="","",ROUND(N($F623)/1000,3))</f>
        <v/>
      </c>
      <c r="H623" s="74"/>
      <c r="I623" s="44"/>
      <c r="J623" s="75" t="str">
        <f aca="false">IF($B623="","",IF($H623="按筐数×单价",N($E623),IF($H623="按总重KG×单价",N($F623),IF($H623="按吨位×单价",N($G623),0))))</f>
        <v/>
      </c>
      <c r="K623" s="41" t="str">
        <f aca="false">IF($B623="","",ROUND(N($J623)*N($I623),2))</f>
        <v/>
      </c>
      <c r="L623" s="42"/>
      <c r="M623" s="76"/>
      <c r="N623" s="43"/>
      <c r="R623" s="77" t="str">
        <f aca="false">IF($B623="","",$B623)</f>
        <v/>
      </c>
      <c r="S623" s="77" t="n">
        <f aca="false">IF($R623="",0,IF(MATCH($R623,$R$5:$R$904,0)=ROW()-4,1,0))</f>
        <v>0</v>
      </c>
      <c r="T623" s="77" t="n">
        <f aca="false">N(T622)+$S623</f>
        <v>18</v>
      </c>
    </row>
    <row r="624" customFormat="false" ht="13.5" hidden="false" customHeight="false" outlineLevel="0" collapsed="false">
      <c r="A624" s="9" t="str">
        <f aca="false">IF($B624="","",ROW()-4)</f>
        <v/>
      </c>
      <c r="B624" s="39" t="str">
        <f aca="false">IFERROR(INDEX(对接源_01入库吨位!$B$5:$B$304,MATCH(INT((ROW()-5)/3)+1,对接源_01入库吨位!$S$5:$S$304,0)),"")</f>
        <v/>
      </c>
      <c r="C624" s="39" t="str">
        <f aca="false">IFERROR(INDEX(对接源_01入库吨位!$C$5:$C$304,MATCH(INT((ROW()-5)/3)+1,对接源_01入库吨位!$S$5:$S$304,0)),"")</f>
        <v/>
      </c>
      <c r="D624" s="40" t="str">
        <f aca="false">IF($B624="","",IF(MOD(ROW()-5,3)=0,"周转打冷",IF(MOD(ROW()-5,3)=1,"仓储加工","装卸费")))</f>
        <v/>
      </c>
      <c r="E624" s="51" t="str">
        <f aca="false">IF($B624="","",IFERROR(IF($D624="周转打冷",N(INDEX(对接源_01入库吨位!$D$5:$D$304,MATCH(INT((ROW()-5)/3)+1,对接源_01入库吨位!$S$5:$S$304,0))),IF($D624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4" s="41" t="str">
        <f aca="false">IF($B624="","",ROUND(IFERROR(IF($D624="周转打冷",N(INDEX(对接源_01入库吨位!$H$5:$H$304,MATCH(INT((ROW()-5)/3)+1,对接源_01入库吨位!$S$5:$S$304,0))),IF($D624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4" s="52" t="str">
        <f aca="false">IF($B624="","",ROUND(N($F624)/1000,3))</f>
        <v/>
      </c>
      <c r="H624" s="74"/>
      <c r="I624" s="44"/>
      <c r="J624" s="75" t="str">
        <f aca="false">IF($B624="","",IF($H624="按筐数×单价",N($E624),IF($H624="按总重KG×单价",N($F624),IF($H624="按吨位×单价",N($G624),0))))</f>
        <v/>
      </c>
      <c r="K624" s="41" t="str">
        <f aca="false">IF($B624="","",ROUND(N($J624)*N($I624),2))</f>
        <v/>
      </c>
      <c r="L624" s="42"/>
      <c r="M624" s="76"/>
      <c r="N624" s="43"/>
      <c r="R624" s="77" t="str">
        <f aca="false">IF($B624="","",$B624)</f>
        <v/>
      </c>
      <c r="S624" s="77" t="n">
        <f aca="false">IF($R624="",0,IF(MATCH($R624,$R$5:$R$904,0)=ROW()-4,1,0))</f>
        <v>0</v>
      </c>
      <c r="T624" s="77" t="n">
        <f aca="false">N(T623)+$S624</f>
        <v>18</v>
      </c>
    </row>
    <row r="625" customFormat="false" ht="13.5" hidden="false" customHeight="false" outlineLevel="0" collapsed="false">
      <c r="A625" s="9" t="str">
        <f aca="false">IF($B625="","",ROW()-4)</f>
        <v/>
      </c>
      <c r="B625" s="39" t="str">
        <f aca="false">IFERROR(INDEX(对接源_01入库吨位!$B$5:$B$304,MATCH(INT((ROW()-5)/3)+1,对接源_01入库吨位!$S$5:$S$304,0)),"")</f>
        <v/>
      </c>
      <c r="C625" s="39" t="str">
        <f aca="false">IFERROR(INDEX(对接源_01入库吨位!$C$5:$C$304,MATCH(INT((ROW()-5)/3)+1,对接源_01入库吨位!$S$5:$S$304,0)),"")</f>
        <v/>
      </c>
      <c r="D625" s="40" t="str">
        <f aca="false">IF($B625="","",IF(MOD(ROW()-5,3)=0,"周转打冷",IF(MOD(ROW()-5,3)=1,"仓储加工","装卸费")))</f>
        <v/>
      </c>
      <c r="E625" s="51" t="str">
        <f aca="false">IF($B625="","",IFERROR(IF($D625="周转打冷",N(INDEX(对接源_01入库吨位!$D$5:$D$304,MATCH(INT((ROW()-5)/3)+1,对接源_01入库吨位!$S$5:$S$304,0))),IF($D625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5" s="41" t="str">
        <f aca="false">IF($B625="","",ROUND(IFERROR(IF($D625="周转打冷",N(INDEX(对接源_01入库吨位!$H$5:$H$304,MATCH(INT((ROW()-5)/3)+1,对接源_01入库吨位!$S$5:$S$304,0))),IF($D625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5" s="52" t="str">
        <f aca="false">IF($B625="","",ROUND(N($F625)/1000,3))</f>
        <v/>
      </c>
      <c r="H625" s="74"/>
      <c r="I625" s="44"/>
      <c r="J625" s="75" t="str">
        <f aca="false">IF($B625="","",IF($H625="按筐数×单价",N($E625),IF($H625="按总重KG×单价",N($F625),IF($H625="按吨位×单价",N($G625),0))))</f>
        <v/>
      </c>
      <c r="K625" s="41" t="str">
        <f aca="false">IF($B625="","",ROUND(N($J625)*N($I625),2))</f>
        <v/>
      </c>
      <c r="L625" s="42"/>
      <c r="M625" s="76"/>
      <c r="N625" s="43"/>
      <c r="R625" s="77" t="str">
        <f aca="false">IF($B625="","",$B625)</f>
        <v/>
      </c>
      <c r="S625" s="77" t="n">
        <f aca="false">IF($R625="",0,IF(MATCH($R625,$R$5:$R$904,0)=ROW()-4,1,0))</f>
        <v>0</v>
      </c>
      <c r="T625" s="77" t="n">
        <f aca="false">N(T624)+$S625</f>
        <v>18</v>
      </c>
    </row>
    <row r="626" customFormat="false" ht="13.5" hidden="false" customHeight="false" outlineLevel="0" collapsed="false">
      <c r="A626" s="9" t="str">
        <f aca="false">IF($B626="","",ROW()-4)</f>
        <v/>
      </c>
      <c r="B626" s="39" t="str">
        <f aca="false">IFERROR(INDEX(对接源_01入库吨位!$B$5:$B$304,MATCH(INT((ROW()-5)/3)+1,对接源_01入库吨位!$S$5:$S$304,0)),"")</f>
        <v/>
      </c>
      <c r="C626" s="39" t="str">
        <f aca="false">IFERROR(INDEX(对接源_01入库吨位!$C$5:$C$304,MATCH(INT((ROW()-5)/3)+1,对接源_01入库吨位!$S$5:$S$304,0)),"")</f>
        <v/>
      </c>
      <c r="D626" s="40" t="str">
        <f aca="false">IF($B626="","",IF(MOD(ROW()-5,3)=0,"周转打冷",IF(MOD(ROW()-5,3)=1,"仓储加工","装卸费")))</f>
        <v/>
      </c>
      <c r="E626" s="51" t="str">
        <f aca="false">IF($B626="","",IFERROR(IF($D626="周转打冷",N(INDEX(对接源_01入库吨位!$D$5:$D$304,MATCH(INT((ROW()-5)/3)+1,对接源_01入库吨位!$S$5:$S$304,0))),IF($D626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6" s="41" t="str">
        <f aca="false">IF($B626="","",ROUND(IFERROR(IF($D626="周转打冷",N(INDEX(对接源_01入库吨位!$H$5:$H$304,MATCH(INT((ROW()-5)/3)+1,对接源_01入库吨位!$S$5:$S$304,0))),IF($D626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6" s="52" t="str">
        <f aca="false">IF($B626="","",ROUND(N($F626)/1000,3))</f>
        <v/>
      </c>
      <c r="H626" s="74"/>
      <c r="I626" s="44"/>
      <c r="J626" s="75" t="str">
        <f aca="false">IF($B626="","",IF($H626="按筐数×单价",N($E626),IF($H626="按总重KG×单价",N($F626),IF($H626="按吨位×单价",N($G626),0))))</f>
        <v/>
      </c>
      <c r="K626" s="41" t="str">
        <f aca="false">IF($B626="","",ROUND(N($J626)*N($I626),2))</f>
        <v/>
      </c>
      <c r="L626" s="42"/>
      <c r="M626" s="76"/>
      <c r="N626" s="43"/>
      <c r="R626" s="77" t="str">
        <f aca="false">IF($B626="","",$B626)</f>
        <v/>
      </c>
      <c r="S626" s="77" t="n">
        <f aca="false">IF($R626="",0,IF(MATCH($R626,$R$5:$R$904,0)=ROW()-4,1,0))</f>
        <v>0</v>
      </c>
      <c r="T626" s="77" t="n">
        <f aca="false">N(T625)+$S626</f>
        <v>18</v>
      </c>
    </row>
    <row r="627" customFormat="false" ht="13.5" hidden="false" customHeight="false" outlineLevel="0" collapsed="false">
      <c r="A627" s="9" t="str">
        <f aca="false">IF($B627="","",ROW()-4)</f>
        <v/>
      </c>
      <c r="B627" s="39" t="str">
        <f aca="false">IFERROR(INDEX(对接源_01入库吨位!$B$5:$B$304,MATCH(INT((ROW()-5)/3)+1,对接源_01入库吨位!$S$5:$S$304,0)),"")</f>
        <v/>
      </c>
      <c r="C627" s="39" t="str">
        <f aca="false">IFERROR(INDEX(对接源_01入库吨位!$C$5:$C$304,MATCH(INT((ROW()-5)/3)+1,对接源_01入库吨位!$S$5:$S$304,0)),"")</f>
        <v/>
      </c>
      <c r="D627" s="40" t="str">
        <f aca="false">IF($B627="","",IF(MOD(ROW()-5,3)=0,"周转打冷",IF(MOD(ROW()-5,3)=1,"仓储加工","装卸费")))</f>
        <v/>
      </c>
      <c r="E627" s="51" t="str">
        <f aca="false">IF($B627="","",IFERROR(IF($D627="周转打冷",N(INDEX(对接源_01入库吨位!$D$5:$D$304,MATCH(INT((ROW()-5)/3)+1,对接源_01入库吨位!$S$5:$S$304,0))),IF($D627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7" s="41" t="str">
        <f aca="false">IF($B627="","",ROUND(IFERROR(IF($D627="周转打冷",N(INDEX(对接源_01入库吨位!$H$5:$H$304,MATCH(INT((ROW()-5)/3)+1,对接源_01入库吨位!$S$5:$S$304,0))),IF($D627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7" s="52" t="str">
        <f aca="false">IF($B627="","",ROUND(N($F627)/1000,3))</f>
        <v/>
      </c>
      <c r="H627" s="74"/>
      <c r="I627" s="44"/>
      <c r="J627" s="75" t="str">
        <f aca="false">IF($B627="","",IF($H627="按筐数×单价",N($E627),IF($H627="按总重KG×单价",N($F627),IF($H627="按吨位×单价",N($G627),0))))</f>
        <v/>
      </c>
      <c r="K627" s="41" t="str">
        <f aca="false">IF($B627="","",ROUND(N($J627)*N($I627),2))</f>
        <v/>
      </c>
      <c r="L627" s="42"/>
      <c r="M627" s="76"/>
      <c r="N627" s="43"/>
      <c r="R627" s="77" t="str">
        <f aca="false">IF($B627="","",$B627)</f>
        <v/>
      </c>
      <c r="S627" s="77" t="n">
        <f aca="false">IF($R627="",0,IF(MATCH($R627,$R$5:$R$904,0)=ROW()-4,1,0))</f>
        <v>0</v>
      </c>
      <c r="T627" s="77" t="n">
        <f aca="false">N(T626)+$S627</f>
        <v>18</v>
      </c>
    </row>
    <row r="628" customFormat="false" ht="13.5" hidden="false" customHeight="false" outlineLevel="0" collapsed="false">
      <c r="A628" s="9" t="str">
        <f aca="false">IF($B628="","",ROW()-4)</f>
        <v/>
      </c>
      <c r="B628" s="39" t="str">
        <f aca="false">IFERROR(INDEX(对接源_01入库吨位!$B$5:$B$304,MATCH(INT((ROW()-5)/3)+1,对接源_01入库吨位!$S$5:$S$304,0)),"")</f>
        <v/>
      </c>
      <c r="C628" s="39" t="str">
        <f aca="false">IFERROR(INDEX(对接源_01入库吨位!$C$5:$C$304,MATCH(INT((ROW()-5)/3)+1,对接源_01入库吨位!$S$5:$S$304,0)),"")</f>
        <v/>
      </c>
      <c r="D628" s="40" t="str">
        <f aca="false">IF($B628="","",IF(MOD(ROW()-5,3)=0,"周转打冷",IF(MOD(ROW()-5,3)=1,"仓储加工","装卸费")))</f>
        <v/>
      </c>
      <c r="E628" s="51" t="str">
        <f aca="false">IF($B628="","",IFERROR(IF($D628="周转打冷",N(INDEX(对接源_01入库吨位!$D$5:$D$304,MATCH(INT((ROW()-5)/3)+1,对接源_01入库吨位!$S$5:$S$304,0))),IF($D628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8" s="41" t="str">
        <f aca="false">IF($B628="","",ROUND(IFERROR(IF($D628="周转打冷",N(INDEX(对接源_01入库吨位!$H$5:$H$304,MATCH(INT((ROW()-5)/3)+1,对接源_01入库吨位!$S$5:$S$304,0))),IF($D628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8" s="52" t="str">
        <f aca="false">IF($B628="","",ROUND(N($F628)/1000,3))</f>
        <v/>
      </c>
      <c r="H628" s="74"/>
      <c r="I628" s="44"/>
      <c r="J628" s="75" t="str">
        <f aca="false">IF($B628="","",IF($H628="按筐数×单价",N($E628),IF($H628="按总重KG×单价",N($F628),IF($H628="按吨位×单价",N($G628),0))))</f>
        <v/>
      </c>
      <c r="K628" s="41" t="str">
        <f aca="false">IF($B628="","",ROUND(N($J628)*N($I628),2))</f>
        <v/>
      </c>
      <c r="L628" s="42"/>
      <c r="M628" s="76"/>
      <c r="N628" s="43"/>
      <c r="R628" s="77" t="str">
        <f aca="false">IF($B628="","",$B628)</f>
        <v/>
      </c>
      <c r="S628" s="77" t="n">
        <f aca="false">IF($R628="",0,IF(MATCH($R628,$R$5:$R$904,0)=ROW()-4,1,0))</f>
        <v>0</v>
      </c>
      <c r="T628" s="77" t="n">
        <f aca="false">N(T627)+$S628</f>
        <v>18</v>
      </c>
    </row>
    <row r="629" customFormat="false" ht="13.5" hidden="false" customHeight="false" outlineLevel="0" collapsed="false">
      <c r="A629" s="9" t="str">
        <f aca="false">IF($B629="","",ROW()-4)</f>
        <v/>
      </c>
      <c r="B629" s="39" t="str">
        <f aca="false">IFERROR(INDEX(对接源_01入库吨位!$B$5:$B$304,MATCH(INT((ROW()-5)/3)+1,对接源_01入库吨位!$S$5:$S$304,0)),"")</f>
        <v/>
      </c>
      <c r="C629" s="39" t="str">
        <f aca="false">IFERROR(INDEX(对接源_01入库吨位!$C$5:$C$304,MATCH(INT((ROW()-5)/3)+1,对接源_01入库吨位!$S$5:$S$304,0)),"")</f>
        <v/>
      </c>
      <c r="D629" s="40" t="str">
        <f aca="false">IF($B629="","",IF(MOD(ROW()-5,3)=0,"周转打冷",IF(MOD(ROW()-5,3)=1,"仓储加工","装卸费")))</f>
        <v/>
      </c>
      <c r="E629" s="51" t="str">
        <f aca="false">IF($B629="","",IFERROR(IF($D629="周转打冷",N(INDEX(对接源_01入库吨位!$D$5:$D$304,MATCH(INT((ROW()-5)/3)+1,对接源_01入库吨位!$S$5:$S$304,0))),IF($D629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29" s="41" t="str">
        <f aca="false">IF($B629="","",ROUND(IFERROR(IF($D629="周转打冷",N(INDEX(对接源_01入库吨位!$H$5:$H$304,MATCH(INT((ROW()-5)/3)+1,对接源_01入库吨位!$S$5:$S$304,0))),IF($D629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29" s="52" t="str">
        <f aca="false">IF($B629="","",ROUND(N($F629)/1000,3))</f>
        <v/>
      </c>
      <c r="H629" s="74"/>
      <c r="I629" s="44"/>
      <c r="J629" s="75" t="str">
        <f aca="false">IF($B629="","",IF($H629="按筐数×单价",N($E629),IF($H629="按总重KG×单价",N($F629),IF($H629="按吨位×单价",N($G629),0))))</f>
        <v/>
      </c>
      <c r="K629" s="41" t="str">
        <f aca="false">IF($B629="","",ROUND(N($J629)*N($I629),2))</f>
        <v/>
      </c>
      <c r="L629" s="42"/>
      <c r="M629" s="76"/>
      <c r="N629" s="43"/>
      <c r="R629" s="77" t="str">
        <f aca="false">IF($B629="","",$B629)</f>
        <v/>
      </c>
      <c r="S629" s="77" t="n">
        <f aca="false">IF($R629="",0,IF(MATCH($R629,$R$5:$R$904,0)=ROW()-4,1,0))</f>
        <v>0</v>
      </c>
      <c r="T629" s="77" t="n">
        <f aca="false">N(T628)+$S629</f>
        <v>18</v>
      </c>
    </row>
    <row r="630" customFormat="false" ht="13.5" hidden="false" customHeight="false" outlineLevel="0" collapsed="false">
      <c r="A630" s="9" t="str">
        <f aca="false">IF($B630="","",ROW()-4)</f>
        <v/>
      </c>
      <c r="B630" s="39" t="str">
        <f aca="false">IFERROR(INDEX(对接源_01入库吨位!$B$5:$B$304,MATCH(INT((ROW()-5)/3)+1,对接源_01入库吨位!$S$5:$S$304,0)),"")</f>
        <v/>
      </c>
      <c r="C630" s="39" t="str">
        <f aca="false">IFERROR(INDEX(对接源_01入库吨位!$C$5:$C$304,MATCH(INT((ROW()-5)/3)+1,对接源_01入库吨位!$S$5:$S$304,0)),"")</f>
        <v/>
      </c>
      <c r="D630" s="40" t="str">
        <f aca="false">IF($B630="","",IF(MOD(ROW()-5,3)=0,"周转打冷",IF(MOD(ROW()-5,3)=1,"仓储加工","装卸费")))</f>
        <v/>
      </c>
      <c r="E630" s="51" t="str">
        <f aca="false">IF($B630="","",IFERROR(IF($D630="周转打冷",N(INDEX(对接源_01入库吨位!$D$5:$D$304,MATCH(INT((ROW()-5)/3)+1,对接源_01入库吨位!$S$5:$S$304,0))),IF($D630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0" s="41" t="str">
        <f aca="false">IF($B630="","",ROUND(IFERROR(IF($D630="周转打冷",N(INDEX(对接源_01入库吨位!$H$5:$H$304,MATCH(INT((ROW()-5)/3)+1,对接源_01入库吨位!$S$5:$S$304,0))),IF($D630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0" s="52" t="str">
        <f aca="false">IF($B630="","",ROUND(N($F630)/1000,3))</f>
        <v/>
      </c>
      <c r="H630" s="74"/>
      <c r="I630" s="44"/>
      <c r="J630" s="75" t="str">
        <f aca="false">IF($B630="","",IF($H630="按筐数×单价",N($E630),IF($H630="按总重KG×单价",N($F630),IF($H630="按吨位×单价",N($G630),0))))</f>
        <v/>
      </c>
      <c r="K630" s="41" t="str">
        <f aca="false">IF($B630="","",ROUND(N($J630)*N($I630),2))</f>
        <v/>
      </c>
      <c r="L630" s="42"/>
      <c r="M630" s="76"/>
      <c r="N630" s="43"/>
      <c r="R630" s="77" t="str">
        <f aca="false">IF($B630="","",$B630)</f>
        <v/>
      </c>
      <c r="S630" s="77" t="n">
        <f aca="false">IF($R630="",0,IF(MATCH($R630,$R$5:$R$904,0)=ROW()-4,1,0))</f>
        <v>0</v>
      </c>
      <c r="T630" s="77" t="n">
        <f aca="false">N(T629)+$S630</f>
        <v>18</v>
      </c>
    </row>
    <row r="631" customFormat="false" ht="13.5" hidden="false" customHeight="false" outlineLevel="0" collapsed="false">
      <c r="A631" s="9" t="str">
        <f aca="false">IF($B631="","",ROW()-4)</f>
        <v/>
      </c>
      <c r="B631" s="39" t="str">
        <f aca="false">IFERROR(INDEX(对接源_01入库吨位!$B$5:$B$304,MATCH(INT((ROW()-5)/3)+1,对接源_01入库吨位!$S$5:$S$304,0)),"")</f>
        <v/>
      </c>
      <c r="C631" s="39" t="str">
        <f aca="false">IFERROR(INDEX(对接源_01入库吨位!$C$5:$C$304,MATCH(INT((ROW()-5)/3)+1,对接源_01入库吨位!$S$5:$S$304,0)),"")</f>
        <v/>
      </c>
      <c r="D631" s="40" t="str">
        <f aca="false">IF($B631="","",IF(MOD(ROW()-5,3)=0,"周转打冷",IF(MOD(ROW()-5,3)=1,"仓储加工","装卸费")))</f>
        <v/>
      </c>
      <c r="E631" s="51" t="str">
        <f aca="false">IF($B631="","",IFERROR(IF($D631="周转打冷",N(INDEX(对接源_01入库吨位!$D$5:$D$304,MATCH(INT((ROW()-5)/3)+1,对接源_01入库吨位!$S$5:$S$304,0))),IF($D631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1" s="41" t="str">
        <f aca="false">IF($B631="","",ROUND(IFERROR(IF($D631="周转打冷",N(INDEX(对接源_01入库吨位!$H$5:$H$304,MATCH(INT((ROW()-5)/3)+1,对接源_01入库吨位!$S$5:$S$304,0))),IF($D631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1" s="52" t="str">
        <f aca="false">IF($B631="","",ROUND(N($F631)/1000,3))</f>
        <v/>
      </c>
      <c r="H631" s="74"/>
      <c r="I631" s="44"/>
      <c r="J631" s="75" t="str">
        <f aca="false">IF($B631="","",IF($H631="按筐数×单价",N($E631),IF($H631="按总重KG×单价",N($F631),IF($H631="按吨位×单价",N($G631),0))))</f>
        <v/>
      </c>
      <c r="K631" s="41" t="str">
        <f aca="false">IF($B631="","",ROUND(N($J631)*N($I631),2))</f>
        <v/>
      </c>
      <c r="L631" s="42"/>
      <c r="M631" s="76"/>
      <c r="N631" s="43"/>
      <c r="R631" s="77" t="str">
        <f aca="false">IF($B631="","",$B631)</f>
        <v/>
      </c>
      <c r="S631" s="77" t="n">
        <f aca="false">IF($R631="",0,IF(MATCH($R631,$R$5:$R$904,0)=ROW()-4,1,0))</f>
        <v>0</v>
      </c>
      <c r="T631" s="77" t="n">
        <f aca="false">N(T630)+$S631</f>
        <v>18</v>
      </c>
    </row>
    <row r="632" customFormat="false" ht="13.5" hidden="false" customHeight="false" outlineLevel="0" collapsed="false">
      <c r="A632" s="9" t="str">
        <f aca="false">IF($B632="","",ROW()-4)</f>
        <v/>
      </c>
      <c r="B632" s="39" t="str">
        <f aca="false">IFERROR(INDEX(对接源_01入库吨位!$B$5:$B$304,MATCH(INT((ROW()-5)/3)+1,对接源_01入库吨位!$S$5:$S$304,0)),"")</f>
        <v/>
      </c>
      <c r="C632" s="39" t="str">
        <f aca="false">IFERROR(INDEX(对接源_01入库吨位!$C$5:$C$304,MATCH(INT((ROW()-5)/3)+1,对接源_01入库吨位!$S$5:$S$304,0)),"")</f>
        <v/>
      </c>
      <c r="D632" s="40" t="str">
        <f aca="false">IF($B632="","",IF(MOD(ROW()-5,3)=0,"周转打冷",IF(MOD(ROW()-5,3)=1,"仓储加工","装卸费")))</f>
        <v/>
      </c>
      <c r="E632" s="51" t="str">
        <f aca="false">IF($B632="","",IFERROR(IF($D632="周转打冷",N(INDEX(对接源_01入库吨位!$D$5:$D$304,MATCH(INT((ROW()-5)/3)+1,对接源_01入库吨位!$S$5:$S$304,0))),IF($D632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2" s="41" t="str">
        <f aca="false">IF($B632="","",ROUND(IFERROR(IF($D632="周转打冷",N(INDEX(对接源_01入库吨位!$H$5:$H$304,MATCH(INT((ROW()-5)/3)+1,对接源_01入库吨位!$S$5:$S$304,0))),IF($D632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2" s="52" t="str">
        <f aca="false">IF($B632="","",ROUND(N($F632)/1000,3))</f>
        <v/>
      </c>
      <c r="H632" s="74"/>
      <c r="I632" s="44"/>
      <c r="J632" s="75" t="str">
        <f aca="false">IF($B632="","",IF($H632="按筐数×单价",N($E632),IF($H632="按总重KG×单价",N($F632),IF($H632="按吨位×单价",N($G632),0))))</f>
        <v/>
      </c>
      <c r="K632" s="41" t="str">
        <f aca="false">IF($B632="","",ROUND(N($J632)*N($I632),2))</f>
        <v/>
      </c>
      <c r="L632" s="42"/>
      <c r="M632" s="76"/>
      <c r="N632" s="43"/>
      <c r="R632" s="77" t="str">
        <f aca="false">IF($B632="","",$B632)</f>
        <v/>
      </c>
      <c r="S632" s="77" t="n">
        <f aca="false">IF($R632="",0,IF(MATCH($R632,$R$5:$R$904,0)=ROW()-4,1,0))</f>
        <v>0</v>
      </c>
      <c r="T632" s="77" t="n">
        <f aca="false">N(T631)+$S632</f>
        <v>18</v>
      </c>
    </row>
    <row r="633" customFormat="false" ht="13.5" hidden="false" customHeight="false" outlineLevel="0" collapsed="false">
      <c r="A633" s="9" t="str">
        <f aca="false">IF($B633="","",ROW()-4)</f>
        <v/>
      </c>
      <c r="B633" s="39" t="str">
        <f aca="false">IFERROR(INDEX(对接源_01入库吨位!$B$5:$B$304,MATCH(INT((ROW()-5)/3)+1,对接源_01入库吨位!$S$5:$S$304,0)),"")</f>
        <v/>
      </c>
      <c r="C633" s="39" t="str">
        <f aca="false">IFERROR(INDEX(对接源_01入库吨位!$C$5:$C$304,MATCH(INT((ROW()-5)/3)+1,对接源_01入库吨位!$S$5:$S$304,0)),"")</f>
        <v/>
      </c>
      <c r="D633" s="40" t="str">
        <f aca="false">IF($B633="","",IF(MOD(ROW()-5,3)=0,"周转打冷",IF(MOD(ROW()-5,3)=1,"仓储加工","装卸费")))</f>
        <v/>
      </c>
      <c r="E633" s="51" t="str">
        <f aca="false">IF($B633="","",IFERROR(IF($D633="周转打冷",N(INDEX(对接源_01入库吨位!$D$5:$D$304,MATCH(INT((ROW()-5)/3)+1,对接源_01入库吨位!$S$5:$S$304,0))),IF($D633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3" s="41" t="str">
        <f aca="false">IF($B633="","",ROUND(IFERROR(IF($D633="周转打冷",N(INDEX(对接源_01入库吨位!$H$5:$H$304,MATCH(INT((ROW()-5)/3)+1,对接源_01入库吨位!$S$5:$S$304,0))),IF($D633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3" s="52" t="str">
        <f aca="false">IF($B633="","",ROUND(N($F633)/1000,3))</f>
        <v/>
      </c>
      <c r="H633" s="74"/>
      <c r="I633" s="44"/>
      <c r="J633" s="75" t="str">
        <f aca="false">IF($B633="","",IF($H633="按筐数×单价",N($E633),IF($H633="按总重KG×单价",N($F633),IF($H633="按吨位×单价",N($G633),0))))</f>
        <v/>
      </c>
      <c r="K633" s="41" t="str">
        <f aca="false">IF($B633="","",ROUND(N($J633)*N($I633),2))</f>
        <v/>
      </c>
      <c r="L633" s="42"/>
      <c r="M633" s="76"/>
      <c r="N633" s="43"/>
      <c r="R633" s="77" t="str">
        <f aca="false">IF($B633="","",$B633)</f>
        <v/>
      </c>
      <c r="S633" s="77" t="n">
        <f aca="false">IF($R633="",0,IF(MATCH($R633,$R$5:$R$904,0)=ROW()-4,1,0))</f>
        <v>0</v>
      </c>
      <c r="T633" s="77" t="n">
        <f aca="false">N(T632)+$S633</f>
        <v>18</v>
      </c>
    </row>
    <row r="634" customFormat="false" ht="13.5" hidden="false" customHeight="false" outlineLevel="0" collapsed="false">
      <c r="A634" s="9" t="str">
        <f aca="false">IF($B634="","",ROW()-4)</f>
        <v/>
      </c>
      <c r="B634" s="39" t="str">
        <f aca="false">IFERROR(INDEX(对接源_01入库吨位!$B$5:$B$304,MATCH(INT((ROW()-5)/3)+1,对接源_01入库吨位!$S$5:$S$304,0)),"")</f>
        <v/>
      </c>
      <c r="C634" s="39" t="str">
        <f aca="false">IFERROR(INDEX(对接源_01入库吨位!$C$5:$C$304,MATCH(INT((ROW()-5)/3)+1,对接源_01入库吨位!$S$5:$S$304,0)),"")</f>
        <v/>
      </c>
      <c r="D634" s="40" t="str">
        <f aca="false">IF($B634="","",IF(MOD(ROW()-5,3)=0,"周转打冷",IF(MOD(ROW()-5,3)=1,"仓储加工","装卸费")))</f>
        <v/>
      </c>
      <c r="E634" s="51" t="str">
        <f aca="false">IF($B634="","",IFERROR(IF($D634="周转打冷",N(INDEX(对接源_01入库吨位!$D$5:$D$304,MATCH(INT((ROW()-5)/3)+1,对接源_01入库吨位!$S$5:$S$304,0))),IF($D634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4" s="41" t="str">
        <f aca="false">IF($B634="","",ROUND(IFERROR(IF($D634="周转打冷",N(INDEX(对接源_01入库吨位!$H$5:$H$304,MATCH(INT((ROW()-5)/3)+1,对接源_01入库吨位!$S$5:$S$304,0))),IF($D634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4" s="52" t="str">
        <f aca="false">IF($B634="","",ROUND(N($F634)/1000,3))</f>
        <v/>
      </c>
      <c r="H634" s="74"/>
      <c r="I634" s="44"/>
      <c r="J634" s="75" t="str">
        <f aca="false">IF($B634="","",IF($H634="按筐数×单价",N($E634),IF($H634="按总重KG×单价",N($F634),IF($H634="按吨位×单价",N($G634),0))))</f>
        <v/>
      </c>
      <c r="K634" s="41" t="str">
        <f aca="false">IF($B634="","",ROUND(N($J634)*N($I634),2))</f>
        <v/>
      </c>
      <c r="L634" s="42"/>
      <c r="M634" s="76"/>
      <c r="N634" s="43"/>
      <c r="R634" s="77" t="str">
        <f aca="false">IF($B634="","",$B634)</f>
        <v/>
      </c>
      <c r="S634" s="77" t="n">
        <f aca="false">IF($R634="",0,IF(MATCH($R634,$R$5:$R$904,0)=ROW()-4,1,0))</f>
        <v>0</v>
      </c>
      <c r="T634" s="77" t="n">
        <f aca="false">N(T633)+$S634</f>
        <v>18</v>
      </c>
    </row>
    <row r="635" customFormat="false" ht="13.5" hidden="false" customHeight="false" outlineLevel="0" collapsed="false">
      <c r="A635" s="9" t="str">
        <f aca="false">IF($B635="","",ROW()-4)</f>
        <v/>
      </c>
      <c r="B635" s="39" t="str">
        <f aca="false">IFERROR(INDEX(对接源_01入库吨位!$B$5:$B$304,MATCH(INT((ROW()-5)/3)+1,对接源_01入库吨位!$S$5:$S$304,0)),"")</f>
        <v/>
      </c>
      <c r="C635" s="39" t="str">
        <f aca="false">IFERROR(INDEX(对接源_01入库吨位!$C$5:$C$304,MATCH(INT((ROW()-5)/3)+1,对接源_01入库吨位!$S$5:$S$304,0)),"")</f>
        <v/>
      </c>
      <c r="D635" s="40" t="str">
        <f aca="false">IF($B635="","",IF(MOD(ROW()-5,3)=0,"周转打冷",IF(MOD(ROW()-5,3)=1,"仓储加工","装卸费")))</f>
        <v/>
      </c>
      <c r="E635" s="51" t="str">
        <f aca="false">IF($B635="","",IFERROR(IF($D635="周转打冷",N(INDEX(对接源_01入库吨位!$D$5:$D$304,MATCH(INT((ROW()-5)/3)+1,对接源_01入库吨位!$S$5:$S$304,0))),IF($D635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5" s="41" t="str">
        <f aca="false">IF($B635="","",ROUND(IFERROR(IF($D635="周转打冷",N(INDEX(对接源_01入库吨位!$H$5:$H$304,MATCH(INT((ROW()-5)/3)+1,对接源_01入库吨位!$S$5:$S$304,0))),IF($D635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5" s="52" t="str">
        <f aca="false">IF($B635="","",ROUND(N($F635)/1000,3))</f>
        <v/>
      </c>
      <c r="H635" s="74"/>
      <c r="I635" s="44"/>
      <c r="J635" s="75" t="str">
        <f aca="false">IF($B635="","",IF($H635="按筐数×单价",N($E635),IF($H635="按总重KG×单价",N($F635),IF($H635="按吨位×单价",N($G635),0))))</f>
        <v/>
      </c>
      <c r="K635" s="41" t="str">
        <f aca="false">IF($B635="","",ROUND(N($J635)*N($I635),2))</f>
        <v/>
      </c>
      <c r="L635" s="42"/>
      <c r="M635" s="76"/>
      <c r="N635" s="43"/>
      <c r="R635" s="77" t="str">
        <f aca="false">IF($B635="","",$B635)</f>
        <v/>
      </c>
      <c r="S635" s="77" t="n">
        <f aca="false">IF($R635="",0,IF(MATCH($R635,$R$5:$R$904,0)=ROW()-4,1,0))</f>
        <v>0</v>
      </c>
      <c r="T635" s="77" t="n">
        <f aca="false">N(T634)+$S635</f>
        <v>18</v>
      </c>
    </row>
    <row r="636" customFormat="false" ht="13.5" hidden="false" customHeight="false" outlineLevel="0" collapsed="false">
      <c r="A636" s="9" t="str">
        <f aca="false">IF($B636="","",ROW()-4)</f>
        <v/>
      </c>
      <c r="B636" s="39" t="str">
        <f aca="false">IFERROR(INDEX(对接源_01入库吨位!$B$5:$B$304,MATCH(INT((ROW()-5)/3)+1,对接源_01入库吨位!$S$5:$S$304,0)),"")</f>
        <v/>
      </c>
      <c r="C636" s="39" t="str">
        <f aca="false">IFERROR(INDEX(对接源_01入库吨位!$C$5:$C$304,MATCH(INT((ROW()-5)/3)+1,对接源_01入库吨位!$S$5:$S$304,0)),"")</f>
        <v/>
      </c>
      <c r="D636" s="40" t="str">
        <f aca="false">IF($B636="","",IF(MOD(ROW()-5,3)=0,"周转打冷",IF(MOD(ROW()-5,3)=1,"仓储加工","装卸费")))</f>
        <v/>
      </c>
      <c r="E636" s="51" t="str">
        <f aca="false">IF($B636="","",IFERROR(IF($D636="周转打冷",N(INDEX(对接源_01入库吨位!$D$5:$D$304,MATCH(INT((ROW()-5)/3)+1,对接源_01入库吨位!$S$5:$S$304,0))),IF($D636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6" s="41" t="str">
        <f aca="false">IF($B636="","",ROUND(IFERROR(IF($D636="周转打冷",N(INDEX(对接源_01入库吨位!$H$5:$H$304,MATCH(INT((ROW()-5)/3)+1,对接源_01入库吨位!$S$5:$S$304,0))),IF($D636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6" s="52" t="str">
        <f aca="false">IF($B636="","",ROUND(N($F636)/1000,3))</f>
        <v/>
      </c>
      <c r="H636" s="74"/>
      <c r="I636" s="44"/>
      <c r="J636" s="75" t="str">
        <f aca="false">IF($B636="","",IF($H636="按筐数×单价",N($E636),IF($H636="按总重KG×单价",N($F636),IF($H636="按吨位×单价",N($G636),0))))</f>
        <v/>
      </c>
      <c r="K636" s="41" t="str">
        <f aca="false">IF($B636="","",ROUND(N($J636)*N($I636),2))</f>
        <v/>
      </c>
      <c r="L636" s="42"/>
      <c r="M636" s="76"/>
      <c r="N636" s="43"/>
      <c r="R636" s="77" t="str">
        <f aca="false">IF($B636="","",$B636)</f>
        <v/>
      </c>
      <c r="S636" s="77" t="n">
        <f aca="false">IF($R636="",0,IF(MATCH($R636,$R$5:$R$904,0)=ROW()-4,1,0))</f>
        <v>0</v>
      </c>
      <c r="T636" s="77" t="n">
        <f aca="false">N(T635)+$S636</f>
        <v>18</v>
      </c>
    </row>
    <row r="637" customFormat="false" ht="13.5" hidden="false" customHeight="false" outlineLevel="0" collapsed="false">
      <c r="A637" s="9" t="str">
        <f aca="false">IF($B637="","",ROW()-4)</f>
        <v/>
      </c>
      <c r="B637" s="39" t="str">
        <f aca="false">IFERROR(INDEX(对接源_01入库吨位!$B$5:$B$304,MATCH(INT((ROW()-5)/3)+1,对接源_01入库吨位!$S$5:$S$304,0)),"")</f>
        <v/>
      </c>
      <c r="C637" s="39" t="str">
        <f aca="false">IFERROR(INDEX(对接源_01入库吨位!$C$5:$C$304,MATCH(INT((ROW()-5)/3)+1,对接源_01入库吨位!$S$5:$S$304,0)),"")</f>
        <v/>
      </c>
      <c r="D637" s="40" t="str">
        <f aca="false">IF($B637="","",IF(MOD(ROW()-5,3)=0,"周转打冷",IF(MOD(ROW()-5,3)=1,"仓储加工","装卸费")))</f>
        <v/>
      </c>
      <c r="E637" s="51" t="str">
        <f aca="false">IF($B637="","",IFERROR(IF($D637="周转打冷",N(INDEX(对接源_01入库吨位!$D$5:$D$304,MATCH(INT((ROW()-5)/3)+1,对接源_01入库吨位!$S$5:$S$304,0))),IF($D637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7" s="41" t="str">
        <f aca="false">IF($B637="","",ROUND(IFERROR(IF($D637="周转打冷",N(INDEX(对接源_01入库吨位!$H$5:$H$304,MATCH(INT((ROW()-5)/3)+1,对接源_01入库吨位!$S$5:$S$304,0))),IF($D637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7" s="52" t="str">
        <f aca="false">IF($B637="","",ROUND(N($F637)/1000,3))</f>
        <v/>
      </c>
      <c r="H637" s="74"/>
      <c r="I637" s="44"/>
      <c r="J637" s="75" t="str">
        <f aca="false">IF($B637="","",IF($H637="按筐数×单价",N($E637),IF($H637="按总重KG×单价",N($F637),IF($H637="按吨位×单价",N($G637),0))))</f>
        <v/>
      </c>
      <c r="K637" s="41" t="str">
        <f aca="false">IF($B637="","",ROUND(N($J637)*N($I637),2))</f>
        <v/>
      </c>
      <c r="L637" s="42"/>
      <c r="M637" s="76"/>
      <c r="N637" s="43"/>
      <c r="R637" s="77" t="str">
        <f aca="false">IF($B637="","",$B637)</f>
        <v/>
      </c>
      <c r="S637" s="77" t="n">
        <f aca="false">IF($R637="",0,IF(MATCH($R637,$R$5:$R$904,0)=ROW()-4,1,0))</f>
        <v>0</v>
      </c>
      <c r="T637" s="77" t="n">
        <f aca="false">N(T636)+$S637</f>
        <v>18</v>
      </c>
    </row>
    <row r="638" customFormat="false" ht="13.5" hidden="false" customHeight="false" outlineLevel="0" collapsed="false">
      <c r="A638" s="9" t="str">
        <f aca="false">IF($B638="","",ROW()-4)</f>
        <v/>
      </c>
      <c r="B638" s="39" t="str">
        <f aca="false">IFERROR(INDEX(对接源_01入库吨位!$B$5:$B$304,MATCH(INT((ROW()-5)/3)+1,对接源_01入库吨位!$S$5:$S$304,0)),"")</f>
        <v/>
      </c>
      <c r="C638" s="39" t="str">
        <f aca="false">IFERROR(INDEX(对接源_01入库吨位!$C$5:$C$304,MATCH(INT((ROW()-5)/3)+1,对接源_01入库吨位!$S$5:$S$304,0)),"")</f>
        <v/>
      </c>
      <c r="D638" s="40" t="str">
        <f aca="false">IF($B638="","",IF(MOD(ROW()-5,3)=0,"周转打冷",IF(MOD(ROW()-5,3)=1,"仓储加工","装卸费")))</f>
        <v/>
      </c>
      <c r="E638" s="51" t="str">
        <f aca="false">IF($B638="","",IFERROR(IF($D638="周转打冷",N(INDEX(对接源_01入库吨位!$D$5:$D$304,MATCH(INT((ROW()-5)/3)+1,对接源_01入库吨位!$S$5:$S$304,0))),IF($D638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8" s="41" t="str">
        <f aca="false">IF($B638="","",ROUND(IFERROR(IF($D638="周转打冷",N(INDEX(对接源_01入库吨位!$H$5:$H$304,MATCH(INT((ROW()-5)/3)+1,对接源_01入库吨位!$S$5:$S$304,0))),IF($D638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8" s="52" t="str">
        <f aca="false">IF($B638="","",ROUND(N($F638)/1000,3))</f>
        <v/>
      </c>
      <c r="H638" s="74"/>
      <c r="I638" s="44"/>
      <c r="J638" s="75" t="str">
        <f aca="false">IF($B638="","",IF($H638="按筐数×单价",N($E638),IF($H638="按总重KG×单价",N($F638),IF($H638="按吨位×单价",N($G638),0))))</f>
        <v/>
      </c>
      <c r="K638" s="41" t="str">
        <f aca="false">IF($B638="","",ROUND(N($J638)*N($I638),2))</f>
        <v/>
      </c>
      <c r="L638" s="42"/>
      <c r="M638" s="76"/>
      <c r="N638" s="43"/>
      <c r="R638" s="77" t="str">
        <f aca="false">IF($B638="","",$B638)</f>
        <v/>
      </c>
      <c r="S638" s="77" t="n">
        <f aca="false">IF($R638="",0,IF(MATCH($R638,$R$5:$R$904,0)=ROW()-4,1,0))</f>
        <v>0</v>
      </c>
      <c r="T638" s="77" t="n">
        <f aca="false">N(T637)+$S638</f>
        <v>18</v>
      </c>
    </row>
    <row r="639" customFormat="false" ht="13.5" hidden="false" customHeight="false" outlineLevel="0" collapsed="false">
      <c r="A639" s="9" t="str">
        <f aca="false">IF($B639="","",ROW()-4)</f>
        <v/>
      </c>
      <c r="B639" s="39" t="str">
        <f aca="false">IFERROR(INDEX(对接源_01入库吨位!$B$5:$B$304,MATCH(INT((ROW()-5)/3)+1,对接源_01入库吨位!$S$5:$S$304,0)),"")</f>
        <v/>
      </c>
      <c r="C639" s="39" t="str">
        <f aca="false">IFERROR(INDEX(对接源_01入库吨位!$C$5:$C$304,MATCH(INT((ROW()-5)/3)+1,对接源_01入库吨位!$S$5:$S$304,0)),"")</f>
        <v/>
      </c>
      <c r="D639" s="40" t="str">
        <f aca="false">IF($B639="","",IF(MOD(ROW()-5,3)=0,"周转打冷",IF(MOD(ROW()-5,3)=1,"仓储加工","装卸费")))</f>
        <v/>
      </c>
      <c r="E639" s="51" t="str">
        <f aca="false">IF($B639="","",IFERROR(IF($D639="周转打冷",N(INDEX(对接源_01入库吨位!$D$5:$D$304,MATCH(INT((ROW()-5)/3)+1,对接源_01入库吨位!$S$5:$S$304,0))),IF($D639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39" s="41" t="str">
        <f aca="false">IF($B639="","",ROUND(IFERROR(IF($D639="周转打冷",N(INDEX(对接源_01入库吨位!$H$5:$H$304,MATCH(INT((ROW()-5)/3)+1,对接源_01入库吨位!$S$5:$S$304,0))),IF($D639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39" s="52" t="str">
        <f aca="false">IF($B639="","",ROUND(N($F639)/1000,3))</f>
        <v/>
      </c>
      <c r="H639" s="74"/>
      <c r="I639" s="44"/>
      <c r="J639" s="75" t="str">
        <f aca="false">IF($B639="","",IF($H639="按筐数×单价",N($E639),IF($H639="按总重KG×单价",N($F639),IF($H639="按吨位×单价",N($G639),0))))</f>
        <v/>
      </c>
      <c r="K639" s="41" t="str">
        <f aca="false">IF($B639="","",ROUND(N($J639)*N($I639),2))</f>
        <v/>
      </c>
      <c r="L639" s="42"/>
      <c r="M639" s="76"/>
      <c r="N639" s="43"/>
      <c r="R639" s="77" t="str">
        <f aca="false">IF($B639="","",$B639)</f>
        <v/>
      </c>
      <c r="S639" s="77" t="n">
        <f aca="false">IF($R639="",0,IF(MATCH($R639,$R$5:$R$904,0)=ROW()-4,1,0))</f>
        <v>0</v>
      </c>
      <c r="T639" s="77" t="n">
        <f aca="false">N(T638)+$S639</f>
        <v>18</v>
      </c>
    </row>
    <row r="640" customFormat="false" ht="13.5" hidden="false" customHeight="false" outlineLevel="0" collapsed="false">
      <c r="A640" s="9" t="str">
        <f aca="false">IF($B640="","",ROW()-4)</f>
        <v/>
      </c>
      <c r="B640" s="39" t="str">
        <f aca="false">IFERROR(INDEX(对接源_01入库吨位!$B$5:$B$304,MATCH(INT((ROW()-5)/3)+1,对接源_01入库吨位!$S$5:$S$304,0)),"")</f>
        <v/>
      </c>
      <c r="C640" s="39" t="str">
        <f aca="false">IFERROR(INDEX(对接源_01入库吨位!$C$5:$C$304,MATCH(INT((ROW()-5)/3)+1,对接源_01入库吨位!$S$5:$S$304,0)),"")</f>
        <v/>
      </c>
      <c r="D640" s="40" t="str">
        <f aca="false">IF($B640="","",IF(MOD(ROW()-5,3)=0,"周转打冷",IF(MOD(ROW()-5,3)=1,"仓储加工","装卸费")))</f>
        <v/>
      </c>
      <c r="E640" s="51" t="str">
        <f aca="false">IF($B640="","",IFERROR(IF($D640="周转打冷",N(INDEX(对接源_01入库吨位!$D$5:$D$304,MATCH(INT((ROW()-5)/3)+1,对接源_01入库吨位!$S$5:$S$304,0))),IF($D640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0" s="41" t="str">
        <f aca="false">IF($B640="","",ROUND(IFERROR(IF($D640="周转打冷",N(INDEX(对接源_01入库吨位!$H$5:$H$304,MATCH(INT((ROW()-5)/3)+1,对接源_01入库吨位!$S$5:$S$304,0))),IF($D640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0" s="52" t="str">
        <f aca="false">IF($B640="","",ROUND(N($F640)/1000,3))</f>
        <v/>
      </c>
      <c r="H640" s="74"/>
      <c r="I640" s="44"/>
      <c r="J640" s="75" t="str">
        <f aca="false">IF($B640="","",IF($H640="按筐数×单价",N($E640),IF($H640="按总重KG×单价",N($F640),IF($H640="按吨位×单价",N($G640),0))))</f>
        <v/>
      </c>
      <c r="K640" s="41" t="str">
        <f aca="false">IF($B640="","",ROUND(N($J640)*N($I640),2))</f>
        <v/>
      </c>
      <c r="L640" s="42"/>
      <c r="M640" s="76"/>
      <c r="N640" s="43"/>
      <c r="R640" s="77" t="str">
        <f aca="false">IF($B640="","",$B640)</f>
        <v/>
      </c>
      <c r="S640" s="77" t="n">
        <f aca="false">IF($R640="",0,IF(MATCH($R640,$R$5:$R$904,0)=ROW()-4,1,0))</f>
        <v>0</v>
      </c>
      <c r="T640" s="77" t="n">
        <f aca="false">N(T639)+$S640</f>
        <v>18</v>
      </c>
    </row>
    <row r="641" customFormat="false" ht="13.5" hidden="false" customHeight="false" outlineLevel="0" collapsed="false">
      <c r="A641" s="9" t="str">
        <f aca="false">IF($B641="","",ROW()-4)</f>
        <v/>
      </c>
      <c r="B641" s="39" t="str">
        <f aca="false">IFERROR(INDEX(对接源_01入库吨位!$B$5:$B$304,MATCH(INT((ROW()-5)/3)+1,对接源_01入库吨位!$S$5:$S$304,0)),"")</f>
        <v/>
      </c>
      <c r="C641" s="39" t="str">
        <f aca="false">IFERROR(INDEX(对接源_01入库吨位!$C$5:$C$304,MATCH(INT((ROW()-5)/3)+1,对接源_01入库吨位!$S$5:$S$304,0)),"")</f>
        <v/>
      </c>
      <c r="D641" s="40" t="str">
        <f aca="false">IF($B641="","",IF(MOD(ROW()-5,3)=0,"周转打冷",IF(MOD(ROW()-5,3)=1,"仓储加工","装卸费")))</f>
        <v/>
      </c>
      <c r="E641" s="51" t="str">
        <f aca="false">IF($B641="","",IFERROR(IF($D641="周转打冷",N(INDEX(对接源_01入库吨位!$D$5:$D$304,MATCH(INT((ROW()-5)/3)+1,对接源_01入库吨位!$S$5:$S$304,0))),IF($D641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1" s="41" t="str">
        <f aca="false">IF($B641="","",ROUND(IFERROR(IF($D641="周转打冷",N(INDEX(对接源_01入库吨位!$H$5:$H$304,MATCH(INT((ROW()-5)/3)+1,对接源_01入库吨位!$S$5:$S$304,0))),IF($D641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1" s="52" t="str">
        <f aca="false">IF($B641="","",ROUND(N($F641)/1000,3))</f>
        <v/>
      </c>
      <c r="H641" s="74"/>
      <c r="I641" s="44"/>
      <c r="J641" s="75" t="str">
        <f aca="false">IF($B641="","",IF($H641="按筐数×单价",N($E641),IF($H641="按总重KG×单价",N($F641),IF($H641="按吨位×单价",N($G641),0))))</f>
        <v/>
      </c>
      <c r="K641" s="41" t="str">
        <f aca="false">IF($B641="","",ROUND(N($J641)*N($I641),2))</f>
        <v/>
      </c>
      <c r="L641" s="42"/>
      <c r="M641" s="76"/>
      <c r="N641" s="43"/>
      <c r="R641" s="77" t="str">
        <f aca="false">IF($B641="","",$B641)</f>
        <v/>
      </c>
      <c r="S641" s="77" t="n">
        <f aca="false">IF($R641="",0,IF(MATCH($R641,$R$5:$R$904,0)=ROW()-4,1,0))</f>
        <v>0</v>
      </c>
      <c r="T641" s="77" t="n">
        <f aca="false">N(T640)+$S641</f>
        <v>18</v>
      </c>
    </row>
    <row r="642" customFormat="false" ht="13.5" hidden="false" customHeight="false" outlineLevel="0" collapsed="false">
      <c r="A642" s="9" t="str">
        <f aca="false">IF($B642="","",ROW()-4)</f>
        <v/>
      </c>
      <c r="B642" s="39" t="str">
        <f aca="false">IFERROR(INDEX(对接源_01入库吨位!$B$5:$B$304,MATCH(INT((ROW()-5)/3)+1,对接源_01入库吨位!$S$5:$S$304,0)),"")</f>
        <v/>
      </c>
      <c r="C642" s="39" t="str">
        <f aca="false">IFERROR(INDEX(对接源_01入库吨位!$C$5:$C$304,MATCH(INT((ROW()-5)/3)+1,对接源_01入库吨位!$S$5:$S$304,0)),"")</f>
        <v/>
      </c>
      <c r="D642" s="40" t="str">
        <f aca="false">IF($B642="","",IF(MOD(ROW()-5,3)=0,"周转打冷",IF(MOD(ROW()-5,3)=1,"仓储加工","装卸费")))</f>
        <v/>
      </c>
      <c r="E642" s="51" t="str">
        <f aca="false">IF($B642="","",IFERROR(IF($D642="周转打冷",N(INDEX(对接源_01入库吨位!$D$5:$D$304,MATCH(INT((ROW()-5)/3)+1,对接源_01入库吨位!$S$5:$S$304,0))),IF($D642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2" s="41" t="str">
        <f aca="false">IF($B642="","",ROUND(IFERROR(IF($D642="周转打冷",N(INDEX(对接源_01入库吨位!$H$5:$H$304,MATCH(INT((ROW()-5)/3)+1,对接源_01入库吨位!$S$5:$S$304,0))),IF($D642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2" s="52" t="str">
        <f aca="false">IF($B642="","",ROUND(N($F642)/1000,3))</f>
        <v/>
      </c>
      <c r="H642" s="74"/>
      <c r="I642" s="44"/>
      <c r="J642" s="75" t="str">
        <f aca="false">IF($B642="","",IF($H642="按筐数×单价",N($E642),IF($H642="按总重KG×单价",N($F642),IF($H642="按吨位×单价",N($G642),0))))</f>
        <v/>
      </c>
      <c r="K642" s="41" t="str">
        <f aca="false">IF($B642="","",ROUND(N($J642)*N($I642),2))</f>
        <v/>
      </c>
      <c r="L642" s="42"/>
      <c r="M642" s="76"/>
      <c r="N642" s="43"/>
      <c r="R642" s="77" t="str">
        <f aca="false">IF($B642="","",$B642)</f>
        <v/>
      </c>
      <c r="S642" s="77" t="n">
        <f aca="false">IF($R642="",0,IF(MATCH($R642,$R$5:$R$904,0)=ROW()-4,1,0))</f>
        <v>0</v>
      </c>
      <c r="T642" s="77" t="n">
        <f aca="false">N(T641)+$S642</f>
        <v>18</v>
      </c>
    </row>
    <row r="643" customFormat="false" ht="13.5" hidden="false" customHeight="false" outlineLevel="0" collapsed="false">
      <c r="A643" s="9" t="str">
        <f aca="false">IF($B643="","",ROW()-4)</f>
        <v/>
      </c>
      <c r="B643" s="39" t="str">
        <f aca="false">IFERROR(INDEX(对接源_01入库吨位!$B$5:$B$304,MATCH(INT((ROW()-5)/3)+1,对接源_01入库吨位!$S$5:$S$304,0)),"")</f>
        <v/>
      </c>
      <c r="C643" s="39" t="str">
        <f aca="false">IFERROR(INDEX(对接源_01入库吨位!$C$5:$C$304,MATCH(INT((ROW()-5)/3)+1,对接源_01入库吨位!$S$5:$S$304,0)),"")</f>
        <v/>
      </c>
      <c r="D643" s="40" t="str">
        <f aca="false">IF($B643="","",IF(MOD(ROW()-5,3)=0,"周转打冷",IF(MOD(ROW()-5,3)=1,"仓储加工","装卸费")))</f>
        <v/>
      </c>
      <c r="E643" s="51" t="str">
        <f aca="false">IF($B643="","",IFERROR(IF($D643="周转打冷",N(INDEX(对接源_01入库吨位!$D$5:$D$304,MATCH(INT((ROW()-5)/3)+1,对接源_01入库吨位!$S$5:$S$304,0))),IF($D643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3" s="41" t="str">
        <f aca="false">IF($B643="","",ROUND(IFERROR(IF($D643="周转打冷",N(INDEX(对接源_01入库吨位!$H$5:$H$304,MATCH(INT((ROW()-5)/3)+1,对接源_01入库吨位!$S$5:$S$304,0))),IF($D643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3" s="52" t="str">
        <f aca="false">IF($B643="","",ROUND(N($F643)/1000,3))</f>
        <v/>
      </c>
      <c r="H643" s="74"/>
      <c r="I643" s="44"/>
      <c r="J643" s="75" t="str">
        <f aca="false">IF($B643="","",IF($H643="按筐数×单价",N($E643),IF($H643="按总重KG×单价",N($F643),IF($H643="按吨位×单价",N($G643),0))))</f>
        <v/>
      </c>
      <c r="K643" s="41" t="str">
        <f aca="false">IF($B643="","",ROUND(N($J643)*N($I643),2))</f>
        <v/>
      </c>
      <c r="L643" s="42"/>
      <c r="M643" s="76"/>
      <c r="N643" s="43"/>
      <c r="R643" s="77" t="str">
        <f aca="false">IF($B643="","",$B643)</f>
        <v/>
      </c>
      <c r="S643" s="77" t="n">
        <f aca="false">IF($R643="",0,IF(MATCH($R643,$R$5:$R$904,0)=ROW()-4,1,0))</f>
        <v>0</v>
      </c>
      <c r="T643" s="77" t="n">
        <f aca="false">N(T642)+$S643</f>
        <v>18</v>
      </c>
    </row>
    <row r="644" customFormat="false" ht="13.5" hidden="false" customHeight="false" outlineLevel="0" collapsed="false">
      <c r="A644" s="9" t="str">
        <f aca="false">IF($B644="","",ROW()-4)</f>
        <v/>
      </c>
      <c r="B644" s="39" t="str">
        <f aca="false">IFERROR(INDEX(对接源_01入库吨位!$B$5:$B$304,MATCH(INT((ROW()-5)/3)+1,对接源_01入库吨位!$S$5:$S$304,0)),"")</f>
        <v/>
      </c>
      <c r="C644" s="39" t="str">
        <f aca="false">IFERROR(INDEX(对接源_01入库吨位!$C$5:$C$304,MATCH(INT((ROW()-5)/3)+1,对接源_01入库吨位!$S$5:$S$304,0)),"")</f>
        <v/>
      </c>
      <c r="D644" s="40" t="str">
        <f aca="false">IF($B644="","",IF(MOD(ROW()-5,3)=0,"周转打冷",IF(MOD(ROW()-5,3)=1,"仓储加工","装卸费")))</f>
        <v/>
      </c>
      <c r="E644" s="51" t="str">
        <f aca="false">IF($B644="","",IFERROR(IF($D644="周转打冷",N(INDEX(对接源_01入库吨位!$D$5:$D$304,MATCH(INT((ROW()-5)/3)+1,对接源_01入库吨位!$S$5:$S$304,0))),IF($D644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4" s="41" t="str">
        <f aca="false">IF($B644="","",ROUND(IFERROR(IF($D644="周转打冷",N(INDEX(对接源_01入库吨位!$H$5:$H$304,MATCH(INT((ROW()-5)/3)+1,对接源_01入库吨位!$S$5:$S$304,0))),IF($D644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4" s="52" t="str">
        <f aca="false">IF($B644="","",ROUND(N($F644)/1000,3))</f>
        <v/>
      </c>
      <c r="H644" s="74"/>
      <c r="I644" s="44"/>
      <c r="J644" s="75" t="str">
        <f aca="false">IF($B644="","",IF($H644="按筐数×单价",N($E644),IF($H644="按总重KG×单价",N($F644),IF($H644="按吨位×单价",N($G644),0))))</f>
        <v/>
      </c>
      <c r="K644" s="41" t="str">
        <f aca="false">IF($B644="","",ROUND(N($J644)*N($I644),2))</f>
        <v/>
      </c>
      <c r="L644" s="42"/>
      <c r="M644" s="76"/>
      <c r="N644" s="43"/>
      <c r="R644" s="77" t="str">
        <f aca="false">IF($B644="","",$B644)</f>
        <v/>
      </c>
      <c r="S644" s="77" t="n">
        <f aca="false">IF($R644="",0,IF(MATCH($R644,$R$5:$R$904,0)=ROW()-4,1,0))</f>
        <v>0</v>
      </c>
      <c r="T644" s="77" t="n">
        <f aca="false">N(T643)+$S644</f>
        <v>18</v>
      </c>
    </row>
    <row r="645" customFormat="false" ht="13.5" hidden="false" customHeight="false" outlineLevel="0" collapsed="false">
      <c r="A645" s="9" t="str">
        <f aca="false">IF($B645="","",ROW()-4)</f>
        <v/>
      </c>
      <c r="B645" s="39" t="str">
        <f aca="false">IFERROR(INDEX(对接源_01入库吨位!$B$5:$B$304,MATCH(INT((ROW()-5)/3)+1,对接源_01入库吨位!$S$5:$S$304,0)),"")</f>
        <v/>
      </c>
      <c r="C645" s="39" t="str">
        <f aca="false">IFERROR(INDEX(对接源_01入库吨位!$C$5:$C$304,MATCH(INT((ROW()-5)/3)+1,对接源_01入库吨位!$S$5:$S$304,0)),"")</f>
        <v/>
      </c>
      <c r="D645" s="40" t="str">
        <f aca="false">IF($B645="","",IF(MOD(ROW()-5,3)=0,"周转打冷",IF(MOD(ROW()-5,3)=1,"仓储加工","装卸费")))</f>
        <v/>
      </c>
      <c r="E645" s="51" t="str">
        <f aca="false">IF($B645="","",IFERROR(IF($D645="周转打冷",N(INDEX(对接源_01入库吨位!$D$5:$D$304,MATCH(INT((ROW()-5)/3)+1,对接源_01入库吨位!$S$5:$S$304,0))),IF($D645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5" s="41" t="str">
        <f aca="false">IF($B645="","",ROUND(IFERROR(IF($D645="周转打冷",N(INDEX(对接源_01入库吨位!$H$5:$H$304,MATCH(INT((ROW()-5)/3)+1,对接源_01入库吨位!$S$5:$S$304,0))),IF($D645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5" s="52" t="str">
        <f aca="false">IF($B645="","",ROUND(N($F645)/1000,3))</f>
        <v/>
      </c>
      <c r="H645" s="74"/>
      <c r="I645" s="44"/>
      <c r="J645" s="75" t="str">
        <f aca="false">IF($B645="","",IF($H645="按筐数×单价",N($E645),IF($H645="按总重KG×单价",N($F645),IF($H645="按吨位×单价",N($G645),0))))</f>
        <v/>
      </c>
      <c r="K645" s="41" t="str">
        <f aca="false">IF($B645="","",ROUND(N($J645)*N($I645),2))</f>
        <v/>
      </c>
      <c r="L645" s="42"/>
      <c r="M645" s="76"/>
      <c r="N645" s="43"/>
      <c r="R645" s="77" t="str">
        <f aca="false">IF($B645="","",$B645)</f>
        <v/>
      </c>
      <c r="S645" s="77" t="n">
        <f aca="false">IF($R645="",0,IF(MATCH($R645,$R$5:$R$904,0)=ROW()-4,1,0))</f>
        <v>0</v>
      </c>
      <c r="T645" s="77" t="n">
        <f aca="false">N(T644)+$S645</f>
        <v>18</v>
      </c>
    </row>
    <row r="646" customFormat="false" ht="13.5" hidden="false" customHeight="false" outlineLevel="0" collapsed="false">
      <c r="A646" s="9" t="str">
        <f aca="false">IF($B646="","",ROW()-4)</f>
        <v/>
      </c>
      <c r="B646" s="39" t="str">
        <f aca="false">IFERROR(INDEX(对接源_01入库吨位!$B$5:$B$304,MATCH(INT((ROW()-5)/3)+1,对接源_01入库吨位!$S$5:$S$304,0)),"")</f>
        <v/>
      </c>
      <c r="C646" s="39" t="str">
        <f aca="false">IFERROR(INDEX(对接源_01入库吨位!$C$5:$C$304,MATCH(INT((ROW()-5)/3)+1,对接源_01入库吨位!$S$5:$S$304,0)),"")</f>
        <v/>
      </c>
      <c r="D646" s="40" t="str">
        <f aca="false">IF($B646="","",IF(MOD(ROW()-5,3)=0,"周转打冷",IF(MOD(ROW()-5,3)=1,"仓储加工","装卸费")))</f>
        <v/>
      </c>
      <c r="E646" s="51" t="str">
        <f aca="false">IF($B646="","",IFERROR(IF($D646="周转打冷",N(INDEX(对接源_01入库吨位!$D$5:$D$304,MATCH(INT((ROW()-5)/3)+1,对接源_01入库吨位!$S$5:$S$304,0))),IF($D646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6" s="41" t="str">
        <f aca="false">IF($B646="","",ROUND(IFERROR(IF($D646="周转打冷",N(INDEX(对接源_01入库吨位!$H$5:$H$304,MATCH(INT((ROW()-5)/3)+1,对接源_01入库吨位!$S$5:$S$304,0))),IF($D646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6" s="52" t="str">
        <f aca="false">IF($B646="","",ROUND(N($F646)/1000,3))</f>
        <v/>
      </c>
      <c r="H646" s="74"/>
      <c r="I646" s="44"/>
      <c r="J646" s="75" t="str">
        <f aca="false">IF($B646="","",IF($H646="按筐数×单价",N($E646),IF($H646="按总重KG×单价",N($F646),IF($H646="按吨位×单价",N($G646),0))))</f>
        <v/>
      </c>
      <c r="K646" s="41" t="str">
        <f aca="false">IF($B646="","",ROUND(N($J646)*N($I646),2))</f>
        <v/>
      </c>
      <c r="L646" s="42"/>
      <c r="M646" s="76"/>
      <c r="N646" s="43"/>
      <c r="R646" s="77" t="str">
        <f aca="false">IF($B646="","",$B646)</f>
        <v/>
      </c>
      <c r="S646" s="77" t="n">
        <f aca="false">IF($R646="",0,IF(MATCH($R646,$R$5:$R$904,0)=ROW()-4,1,0))</f>
        <v>0</v>
      </c>
      <c r="T646" s="77" t="n">
        <f aca="false">N(T645)+$S646</f>
        <v>18</v>
      </c>
    </row>
    <row r="647" customFormat="false" ht="13.5" hidden="false" customHeight="false" outlineLevel="0" collapsed="false">
      <c r="A647" s="9" t="str">
        <f aca="false">IF($B647="","",ROW()-4)</f>
        <v/>
      </c>
      <c r="B647" s="39" t="str">
        <f aca="false">IFERROR(INDEX(对接源_01入库吨位!$B$5:$B$304,MATCH(INT((ROW()-5)/3)+1,对接源_01入库吨位!$S$5:$S$304,0)),"")</f>
        <v/>
      </c>
      <c r="C647" s="39" t="str">
        <f aca="false">IFERROR(INDEX(对接源_01入库吨位!$C$5:$C$304,MATCH(INT((ROW()-5)/3)+1,对接源_01入库吨位!$S$5:$S$304,0)),"")</f>
        <v/>
      </c>
      <c r="D647" s="40" t="str">
        <f aca="false">IF($B647="","",IF(MOD(ROW()-5,3)=0,"周转打冷",IF(MOD(ROW()-5,3)=1,"仓储加工","装卸费")))</f>
        <v/>
      </c>
      <c r="E647" s="51" t="str">
        <f aca="false">IF($B647="","",IFERROR(IF($D647="周转打冷",N(INDEX(对接源_01入库吨位!$D$5:$D$304,MATCH(INT((ROW()-5)/3)+1,对接源_01入库吨位!$S$5:$S$304,0))),IF($D647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7" s="41" t="str">
        <f aca="false">IF($B647="","",ROUND(IFERROR(IF($D647="周转打冷",N(INDEX(对接源_01入库吨位!$H$5:$H$304,MATCH(INT((ROW()-5)/3)+1,对接源_01入库吨位!$S$5:$S$304,0))),IF($D647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7" s="52" t="str">
        <f aca="false">IF($B647="","",ROUND(N($F647)/1000,3))</f>
        <v/>
      </c>
      <c r="H647" s="74"/>
      <c r="I647" s="44"/>
      <c r="J647" s="75" t="str">
        <f aca="false">IF($B647="","",IF($H647="按筐数×单价",N($E647),IF($H647="按总重KG×单价",N($F647),IF($H647="按吨位×单价",N($G647),0))))</f>
        <v/>
      </c>
      <c r="K647" s="41" t="str">
        <f aca="false">IF($B647="","",ROUND(N($J647)*N($I647),2))</f>
        <v/>
      </c>
      <c r="L647" s="42"/>
      <c r="M647" s="76"/>
      <c r="N647" s="43"/>
      <c r="R647" s="77" t="str">
        <f aca="false">IF($B647="","",$B647)</f>
        <v/>
      </c>
      <c r="S647" s="77" t="n">
        <f aca="false">IF($R647="",0,IF(MATCH($R647,$R$5:$R$904,0)=ROW()-4,1,0))</f>
        <v>0</v>
      </c>
      <c r="T647" s="77" t="n">
        <f aca="false">N(T646)+$S647</f>
        <v>18</v>
      </c>
    </row>
    <row r="648" customFormat="false" ht="13.5" hidden="false" customHeight="false" outlineLevel="0" collapsed="false">
      <c r="A648" s="9" t="str">
        <f aca="false">IF($B648="","",ROW()-4)</f>
        <v/>
      </c>
      <c r="B648" s="39" t="str">
        <f aca="false">IFERROR(INDEX(对接源_01入库吨位!$B$5:$B$304,MATCH(INT((ROW()-5)/3)+1,对接源_01入库吨位!$S$5:$S$304,0)),"")</f>
        <v/>
      </c>
      <c r="C648" s="39" t="str">
        <f aca="false">IFERROR(INDEX(对接源_01入库吨位!$C$5:$C$304,MATCH(INT((ROW()-5)/3)+1,对接源_01入库吨位!$S$5:$S$304,0)),"")</f>
        <v/>
      </c>
      <c r="D648" s="40" t="str">
        <f aca="false">IF($B648="","",IF(MOD(ROW()-5,3)=0,"周转打冷",IF(MOD(ROW()-5,3)=1,"仓储加工","装卸费")))</f>
        <v/>
      </c>
      <c r="E648" s="51" t="str">
        <f aca="false">IF($B648="","",IFERROR(IF($D648="周转打冷",N(INDEX(对接源_01入库吨位!$D$5:$D$304,MATCH(INT((ROW()-5)/3)+1,对接源_01入库吨位!$S$5:$S$304,0))),IF($D648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8" s="41" t="str">
        <f aca="false">IF($B648="","",ROUND(IFERROR(IF($D648="周转打冷",N(INDEX(对接源_01入库吨位!$H$5:$H$304,MATCH(INT((ROW()-5)/3)+1,对接源_01入库吨位!$S$5:$S$304,0))),IF($D648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8" s="52" t="str">
        <f aca="false">IF($B648="","",ROUND(N($F648)/1000,3))</f>
        <v/>
      </c>
      <c r="H648" s="74"/>
      <c r="I648" s="44"/>
      <c r="J648" s="75" t="str">
        <f aca="false">IF($B648="","",IF($H648="按筐数×单价",N($E648),IF($H648="按总重KG×单价",N($F648),IF($H648="按吨位×单价",N($G648),0))))</f>
        <v/>
      </c>
      <c r="K648" s="41" t="str">
        <f aca="false">IF($B648="","",ROUND(N($J648)*N($I648),2))</f>
        <v/>
      </c>
      <c r="L648" s="42"/>
      <c r="M648" s="76"/>
      <c r="N648" s="43"/>
      <c r="R648" s="77" t="str">
        <f aca="false">IF($B648="","",$B648)</f>
        <v/>
      </c>
      <c r="S648" s="77" t="n">
        <f aca="false">IF($R648="",0,IF(MATCH($R648,$R$5:$R$904,0)=ROW()-4,1,0))</f>
        <v>0</v>
      </c>
      <c r="T648" s="77" t="n">
        <f aca="false">N(T647)+$S648</f>
        <v>18</v>
      </c>
    </row>
    <row r="649" customFormat="false" ht="13.5" hidden="false" customHeight="false" outlineLevel="0" collapsed="false">
      <c r="A649" s="9" t="str">
        <f aca="false">IF($B649="","",ROW()-4)</f>
        <v/>
      </c>
      <c r="B649" s="39" t="str">
        <f aca="false">IFERROR(INDEX(对接源_01入库吨位!$B$5:$B$304,MATCH(INT((ROW()-5)/3)+1,对接源_01入库吨位!$S$5:$S$304,0)),"")</f>
        <v/>
      </c>
      <c r="C649" s="39" t="str">
        <f aca="false">IFERROR(INDEX(对接源_01入库吨位!$C$5:$C$304,MATCH(INT((ROW()-5)/3)+1,对接源_01入库吨位!$S$5:$S$304,0)),"")</f>
        <v/>
      </c>
      <c r="D649" s="40" t="str">
        <f aca="false">IF($B649="","",IF(MOD(ROW()-5,3)=0,"周转打冷",IF(MOD(ROW()-5,3)=1,"仓储加工","装卸费")))</f>
        <v/>
      </c>
      <c r="E649" s="51" t="str">
        <f aca="false">IF($B649="","",IFERROR(IF($D649="周转打冷",N(INDEX(对接源_01入库吨位!$D$5:$D$304,MATCH(INT((ROW()-5)/3)+1,对接源_01入库吨位!$S$5:$S$304,0))),IF($D649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49" s="41" t="str">
        <f aca="false">IF($B649="","",ROUND(IFERROR(IF($D649="周转打冷",N(INDEX(对接源_01入库吨位!$H$5:$H$304,MATCH(INT((ROW()-5)/3)+1,对接源_01入库吨位!$S$5:$S$304,0))),IF($D649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49" s="52" t="str">
        <f aca="false">IF($B649="","",ROUND(N($F649)/1000,3))</f>
        <v/>
      </c>
      <c r="H649" s="74"/>
      <c r="I649" s="44"/>
      <c r="J649" s="75" t="str">
        <f aca="false">IF($B649="","",IF($H649="按筐数×单价",N($E649),IF($H649="按总重KG×单价",N($F649),IF($H649="按吨位×单价",N($G649),0))))</f>
        <v/>
      </c>
      <c r="K649" s="41" t="str">
        <f aca="false">IF($B649="","",ROUND(N($J649)*N($I649),2))</f>
        <v/>
      </c>
      <c r="L649" s="42"/>
      <c r="M649" s="76"/>
      <c r="N649" s="43"/>
      <c r="R649" s="77" t="str">
        <f aca="false">IF($B649="","",$B649)</f>
        <v/>
      </c>
      <c r="S649" s="77" t="n">
        <f aca="false">IF($R649="",0,IF(MATCH($R649,$R$5:$R$904,0)=ROW()-4,1,0))</f>
        <v>0</v>
      </c>
      <c r="T649" s="77" t="n">
        <f aca="false">N(T648)+$S649</f>
        <v>18</v>
      </c>
    </row>
    <row r="650" customFormat="false" ht="13.5" hidden="false" customHeight="false" outlineLevel="0" collapsed="false">
      <c r="A650" s="9" t="str">
        <f aca="false">IF($B650="","",ROW()-4)</f>
        <v/>
      </c>
      <c r="B650" s="39" t="str">
        <f aca="false">IFERROR(INDEX(对接源_01入库吨位!$B$5:$B$304,MATCH(INT((ROW()-5)/3)+1,对接源_01入库吨位!$S$5:$S$304,0)),"")</f>
        <v/>
      </c>
      <c r="C650" s="39" t="str">
        <f aca="false">IFERROR(INDEX(对接源_01入库吨位!$C$5:$C$304,MATCH(INT((ROW()-5)/3)+1,对接源_01入库吨位!$S$5:$S$304,0)),"")</f>
        <v/>
      </c>
      <c r="D650" s="40" t="str">
        <f aca="false">IF($B650="","",IF(MOD(ROW()-5,3)=0,"周转打冷",IF(MOD(ROW()-5,3)=1,"仓储加工","装卸费")))</f>
        <v/>
      </c>
      <c r="E650" s="51" t="str">
        <f aca="false">IF($B650="","",IFERROR(IF($D650="周转打冷",N(INDEX(对接源_01入库吨位!$D$5:$D$304,MATCH(INT((ROW()-5)/3)+1,对接源_01入库吨位!$S$5:$S$304,0))),IF($D650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0" s="41" t="str">
        <f aca="false">IF($B650="","",ROUND(IFERROR(IF($D650="周转打冷",N(INDEX(对接源_01入库吨位!$H$5:$H$304,MATCH(INT((ROW()-5)/3)+1,对接源_01入库吨位!$S$5:$S$304,0))),IF($D650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0" s="52" t="str">
        <f aca="false">IF($B650="","",ROUND(N($F650)/1000,3))</f>
        <v/>
      </c>
      <c r="H650" s="74"/>
      <c r="I650" s="44"/>
      <c r="J650" s="75" t="str">
        <f aca="false">IF($B650="","",IF($H650="按筐数×单价",N($E650),IF($H650="按总重KG×单价",N($F650),IF($H650="按吨位×单价",N($G650),0))))</f>
        <v/>
      </c>
      <c r="K650" s="41" t="str">
        <f aca="false">IF($B650="","",ROUND(N($J650)*N($I650),2))</f>
        <v/>
      </c>
      <c r="L650" s="42"/>
      <c r="M650" s="76"/>
      <c r="N650" s="43"/>
      <c r="R650" s="77" t="str">
        <f aca="false">IF($B650="","",$B650)</f>
        <v/>
      </c>
      <c r="S650" s="77" t="n">
        <f aca="false">IF($R650="",0,IF(MATCH($R650,$R$5:$R$904,0)=ROW()-4,1,0))</f>
        <v>0</v>
      </c>
      <c r="T650" s="77" t="n">
        <f aca="false">N(T649)+$S650</f>
        <v>18</v>
      </c>
    </row>
    <row r="651" customFormat="false" ht="13.5" hidden="false" customHeight="false" outlineLevel="0" collapsed="false">
      <c r="A651" s="9" t="str">
        <f aca="false">IF($B651="","",ROW()-4)</f>
        <v/>
      </c>
      <c r="B651" s="39" t="str">
        <f aca="false">IFERROR(INDEX(对接源_01入库吨位!$B$5:$B$304,MATCH(INT((ROW()-5)/3)+1,对接源_01入库吨位!$S$5:$S$304,0)),"")</f>
        <v/>
      </c>
      <c r="C651" s="39" t="str">
        <f aca="false">IFERROR(INDEX(对接源_01入库吨位!$C$5:$C$304,MATCH(INT((ROW()-5)/3)+1,对接源_01入库吨位!$S$5:$S$304,0)),"")</f>
        <v/>
      </c>
      <c r="D651" s="40" t="str">
        <f aca="false">IF($B651="","",IF(MOD(ROW()-5,3)=0,"周转打冷",IF(MOD(ROW()-5,3)=1,"仓储加工","装卸费")))</f>
        <v/>
      </c>
      <c r="E651" s="51" t="str">
        <f aca="false">IF($B651="","",IFERROR(IF($D651="周转打冷",N(INDEX(对接源_01入库吨位!$D$5:$D$304,MATCH(INT((ROW()-5)/3)+1,对接源_01入库吨位!$S$5:$S$304,0))),IF($D651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1" s="41" t="str">
        <f aca="false">IF($B651="","",ROUND(IFERROR(IF($D651="周转打冷",N(INDEX(对接源_01入库吨位!$H$5:$H$304,MATCH(INT((ROW()-5)/3)+1,对接源_01入库吨位!$S$5:$S$304,0))),IF($D651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1" s="52" t="str">
        <f aca="false">IF($B651="","",ROUND(N($F651)/1000,3))</f>
        <v/>
      </c>
      <c r="H651" s="74"/>
      <c r="I651" s="44"/>
      <c r="J651" s="75" t="str">
        <f aca="false">IF($B651="","",IF($H651="按筐数×单价",N($E651),IF($H651="按总重KG×单价",N($F651),IF($H651="按吨位×单价",N($G651),0))))</f>
        <v/>
      </c>
      <c r="K651" s="41" t="str">
        <f aca="false">IF($B651="","",ROUND(N($J651)*N($I651),2))</f>
        <v/>
      </c>
      <c r="L651" s="42"/>
      <c r="M651" s="76"/>
      <c r="N651" s="43"/>
      <c r="R651" s="77" t="str">
        <f aca="false">IF($B651="","",$B651)</f>
        <v/>
      </c>
      <c r="S651" s="77" t="n">
        <f aca="false">IF($R651="",0,IF(MATCH($R651,$R$5:$R$904,0)=ROW()-4,1,0))</f>
        <v>0</v>
      </c>
      <c r="T651" s="77" t="n">
        <f aca="false">N(T650)+$S651</f>
        <v>18</v>
      </c>
    </row>
    <row r="652" customFormat="false" ht="13.5" hidden="false" customHeight="false" outlineLevel="0" collapsed="false">
      <c r="A652" s="9" t="str">
        <f aca="false">IF($B652="","",ROW()-4)</f>
        <v/>
      </c>
      <c r="B652" s="39" t="str">
        <f aca="false">IFERROR(INDEX(对接源_01入库吨位!$B$5:$B$304,MATCH(INT((ROW()-5)/3)+1,对接源_01入库吨位!$S$5:$S$304,0)),"")</f>
        <v/>
      </c>
      <c r="C652" s="39" t="str">
        <f aca="false">IFERROR(INDEX(对接源_01入库吨位!$C$5:$C$304,MATCH(INT((ROW()-5)/3)+1,对接源_01入库吨位!$S$5:$S$304,0)),"")</f>
        <v/>
      </c>
      <c r="D652" s="40" t="str">
        <f aca="false">IF($B652="","",IF(MOD(ROW()-5,3)=0,"周转打冷",IF(MOD(ROW()-5,3)=1,"仓储加工","装卸费")))</f>
        <v/>
      </c>
      <c r="E652" s="51" t="str">
        <f aca="false">IF($B652="","",IFERROR(IF($D652="周转打冷",N(INDEX(对接源_01入库吨位!$D$5:$D$304,MATCH(INT((ROW()-5)/3)+1,对接源_01入库吨位!$S$5:$S$304,0))),IF($D652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2" s="41" t="str">
        <f aca="false">IF($B652="","",ROUND(IFERROR(IF($D652="周转打冷",N(INDEX(对接源_01入库吨位!$H$5:$H$304,MATCH(INT((ROW()-5)/3)+1,对接源_01入库吨位!$S$5:$S$304,0))),IF($D652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2" s="52" t="str">
        <f aca="false">IF($B652="","",ROUND(N($F652)/1000,3))</f>
        <v/>
      </c>
      <c r="H652" s="74"/>
      <c r="I652" s="44"/>
      <c r="J652" s="75" t="str">
        <f aca="false">IF($B652="","",IF($H652="按筐数×单价",N($E652),IF($H652="按总重KG×单价",N($F652),IF($H652="按吨位×单价",N($G652),0))))</f>
        <v/>
      </c>
      <c r="K652" s="41" t="str">
        <f aca="false">IF($B652="","",ROUND(N($J652)*N($I652),2))</f>
        <v/>
      </c>
      <c r="L652" s="42"/>
      <c r="M652" s="76"/>
      <c r="N652" s="43"/>
      <c r="R652" s="77" t="str">
        <f aca="false">IF($B652="","",$B652)</f>
        <v/>
      </c>
      <c r="S652" s="77" t="n">
        <f aca="false">IF($R652="",0,IF(MATCH($R652,$R$5:$R$904,0)=ROW()-4,1,0))</f>
        <v>0</v>
      </c>
      <c r="T652" s="77" t="n">
        <f aca="false">N(T651)+$S652</f>
        <v>18</v>
      </c>
    </row>
    <row r="653" customFormat="false" ht="13.5" hidden="false" customHeight="false" outlineLevel="0" collapsed="false">
      <c r="A653" s="9" t="str">
        <f aca="false">IF($B653="","",ROW()-4)</f>
        <v/>
      </c>
      <c r="B653" s="39" t="str">
        <f aca="false">IFERROR(INDEX(对接源_01入库吨位!$B$5:$B$304,MATCH(INT((ROW()-5)/3)+1,对接源_01入库吨位!$S$5:$S$304,0)),"")</f>
        <v/>
      </c>
      <c r="C653" s="39" t="str">
        <f aca="false">IFERROR(INDEX(对接源_01入库吨位!$C$5:$C$304,MATCH(INT((ROW()-5)/3)+1,对接源_01入库吨位!$S$5:$S$304,0)),"")</f>
        <v/>
      </c>
      <c r="D653" s="40" t="str">
        <f aca="false">IF($B653="","",IF(MOD(ROW()-5,3)=0,"周转打冷",IF(MOD(ROW()-5,3)=1,"仓储加工","装卸费")))</f>
        <v/>
      </c>
      <c r="E653" s="51" t="str">
        <f aca="false">IF($B653="","",IFERROR(IF($D653="周转打冷",N(INDEX(对接源_01入库吨位!$D$5:$D$304,MATCH(INT((ROW()-5)/3)+1,对接源_01入库吨位!$S$5:$S$304,0))),IF($D653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3" s="41" t="str">
        <f aca="false">IF($B653="","",ROUND(IFERROR(IF($D653="周转打冷",N(INDEX(对接源_01入库吨位!$H$5:$H$304,MATCH(INT((ROW()-5)/3)+1,对接源_01入库吨位!$S$5:$S$304,0))),IF($D653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3" s="52" t="str">
        <f aca="false">IF($B653="","",ROUND(N($F653)/1000,3))</f>
        <v/>
      </c>
      <c r="H653" s="74"/>
      <c r="I653" s="44"/>
      <c r="J653" s="75" t="str">
        <f aca="false">IF($B653="","",IF($H653="按筐数×单价",N($E653),IF($H653="按总重KG×单价",N($F653),IF($H653="按吨位×单价",N($G653),0))))</f>
        <v/>
      </c>
      <c r="K653" s="41" t="str">
        <f aca="false">IF($B653="","",ROUND(N($J653)*N($I653),2))</f>
        <v/>
      </c>
      <c r="L653" s="42"/>
      <c r="M653" s="76"/>
      <c r="N653" s="43"/>
      <c r="R653" s="77" t="str">
        <f aca="false">IF($B653="","",$B653)</f>
        <v/>
      </c>
      <c r="S653" s="77" t="n">
        <f aca="false">IF($R653="",0,IF(MATCH($R653,$R$5:$R$904,0)=ROW()-4,1,0))</f>
        <v>0</v>
      </c>
      <c r="T653" s="77" t="n">
        <f aca="false">N(T652)+$S653</f>
        <v>18</v>
      </c>
    </row>
    <row r="654" customFormat="false" ht="13.5" hidden="false" customHeight="false" outlineLevel="0" collapsed="false">
      <c r="A654" s="9" t="str">
        <f aca="false">IF($B654="","",ROW()-4)</f>
        <v/>
      </c>
      <c r="B654" s="39" t="str">
        <f aca="false">IFERROR(INDEX(对接源_01入库吨位!$B$5:$B$304,MATCH(INT((ROW()-5)/3)+1,对接源_01入库吨位!$S$5:$S$304,0)),"")</f>
        <v/>
      </c>
      <c r="C654" s="39" t="str">
        <f aca="false">IFERROR(INDEX(对接源_01入库吨位!$C$5:$C$304,MATCH(INT((ROW()-5)/3)+1,对接源_01入库吨位!$S$5:$S$304,0)),"")</f>
        <v/>
      </c>
      <c r="D654" s="40" t="str">
        <f aca="false">IF($B654="","",IF(MOD(ROW()-5,3)=0,"周转打冷",IF(MOD(ROW()-5,3)=1,"仓储加工","装卸费")))</f>
        <v/>
      </c>
      <c r="E654" s="51" t="str">
        <f aca="false">IF($B654="","",IFERROR(IF($D654="周转打冷",N(INDEX(对接源_01入库吨位!$D$5:$D$304,MATCH(INT((ROW()-5)/3)+1,对接源_01入库吨位!$S$5:$S$304,0))),IF($D654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4" s="41" t="str">
        <f aca="false">IF($B654="","",ROUND(IFERROR(IF($D654="周转打冷",N(INDEX(对接源_01入库吨位!$H$5:$H$304,MATCH(INT((ROW()-5)/3)+1,对接源_01入库吨位!$S$5:$S$304,0))),IF($D654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4" s="52" t="str">
        <f aca="false">IF($B654="","",ROUND(N($F654)/1000,3))</f>
        <v/>
      </c>
      <c r="H654" s="74"/>
      <c r="I654" s="44"/>
      <c r="J654" s="75" t="str">
        <f aca="false">IF($B654="","",IF($H654="按筐数×单价",N($E654),IF($H654="按总重KG×单价",N($F654),IF($H654="按吨位×单价",N($G654),0))))</f>
        <v/>
      </c>
      <c r="K654" s="41" t="str">
        <f aca="false">IF($B654="","",ROUND(N($J654)*N($I654),2))</f>
        <v/>
      </c>
      <c r="L654" s="42"/>
      <c r="M654" s="76"/>
      <c r="N654" s="43"/>
      <c r="R654" s="77" t="str">
        <f aca="false">IF($B654="","",$B654)</f>
        <v/>
      </c>
      <c r="S654" s="77" t="n">
        <f aca="false">IF($R654="",0,IF(MATCH($R654,$R$5:$R$904,0)=ROW()-4,1,0))</f>
        <v>0</v>
      </c>
      <c r="T654" s="77" t="n">
        <f aca="false">N(T653)+$S654</f>
        <v>18</v>
      </c>
    </row>
    <row r="655" customFormat="false" ht="13.5" hidden="false" customHeight="false" outlineLevel="0" collapsed="false">
      <c r="A655" s="9" t="str">
        <f aca="false">IF($B655="","",ROW()-4)</f>
        <v/>
      </c>
      <c r="B655" s="39" t="str">
        <f aca="false">IFERROR(INDEX(对接源_01入库吨位!$B$5:$B$304,MATCH(INT((ROW()-5)/3)+1,对接源_01入库吨位!$S$5:$S$304,0)),"")</f>
        <v/>
      </c>
      <c r="C655" s="39" t="str">
        <f aca="false">IFERROR(INDEX(对接源_01入库吨位!$C$5:$C$304,MATCH(INT((ROW()-5)/3)+1,对接源_01入库吨位!$S$5:$S$304,0)),"")</f>
        <v/>
      </c>
      <c r="D655" s="40" t="str">
        <f aca="false">IF($B655="","",IF(MOD(ROW()-5,3)=0,"周转打冷",IF(MOD(ROW()-5,3)=1,"仓储加工","装卸费")))</f>
        <v/>
      </c>
      <c r="E655" s="51" t="str">
        <f aca="false">IF($B655="","",IFERROR(IF($D655="周转打冷",N(INDEX(对接源_01入库吨位!$D$5:$D$304,MATCH(INT((ROW()-5)/3)+1,对接源_01入库吨位!$S$5:$S$304,0))),IF($D655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5" s="41" t="str">
        <f aca="false">IF($B655="","",ROUND(IFERROR(IF($D655="周转打冷",N(INDEX(对接源_01入库吨位!$H$5:$H$304,MATCH(INT((ROW()-5)/3)+1,对接源_01入库吨位!$S$5:$S$304,0))),IF($D655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5" s="52" t="str">
        <f aca="false">IF($B655="","",ROUND(N($F655)/1000,3))</f>
        <v/>
      </c>
      <c r="H655" s="74"/>
      <c r="I655" s="44"/>
      <c r="J655" s="75" t="str">
        <f aca="false">IF($B655="","",IF($H655="按筐数×单价",N($E655),IF($H655="按总重KG×单价",N($F655),IF($H655="按吨位×单价",N($G655),0))))</f>
        <v/>
      </c>
      <c r="K655" s="41" t="str">
        <f aca="false">IF($B655="","",ROUND(N($J655)*N($I655),2))</f>
        <v/>
      </c>
      <c r="L655" s="42"/>
      <c r="M655" s="76"/>
      <c r="N655" s="43"/>
      <c r="R655" s="77" t="str">
        <f aca="false">IF($B655="","",$B655)</f>
        <v/>
      </c>
      <c r="S655" s="77" t="n">
        <f aca="false">IF($R655="",0,IF(MATCH($R655,$R$5:$R$904,0)=ROW()-4,1,0))</f>
        <v>0</v>
      </c>
      <c r="T655" s="77" t="n">
        <f aca="false">N(T654)+$S655</f>
        <v>18</v>
      </c>
    </row>
    <row r="656" customFormat="false" ht="13.5" hidden="false" customHeight="false" outlineLevel="0" collapsed="false">
      <c r="A656" s="9" t="str">
        <f aca="false">IF($B656="","",ROW()-4)</f>
        <v/>
      </c>
      <c r="B656" s="39" t="str">
        <f aca="false">IFERROR(INDEX(对接源_01入库吨位!$B$5:$B$304,MATCH(INT((ROW()-5)/3)+1,对接源_01入库吨位!$S$5:$S$304,0)),"")</f>
        <v/>
      </c>
      <c r="C656" s="39" t="str">
        <f aca="false">IFERROR(INDEX(对接源_01入库吨位!$C$5:$C$304,MATCH(INT((ROW()-5)/3)+1,对接源_01入库吨位!$S$5:$S$304,0)),"")</f>
        <v/>
      </c>
      <c r="D656" s="40" t="str">
        <f aca="false">IF($B656="","",IF(MOD(ROW()-5,3)=0,"周转打冷",IF(MOD(ROW()-5,3)=1,"仓储加工","装卸费")))</f>
        <v/>
      </c>
      <c r="E656" s="51" t="str">
        <f aca="false">IF($B656="","",IFERROR(IF($D656="周转打冷",N(INDEX(对接源_01入库吨位!$D$5:$D$304,MATCH(INT((ROW()-5)/3)+1,对接源_01入库吨位!$S$5:$S$304,0))),IF($D656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6" s="41" t="str">
        <f aca="false">IF($B656="","",ROUND(IFERROR(IF($D656="周转打冷",N(INDEX(对接源_01入库吨位!$H$5:$H$304,MATCH(INT((ROW()-5)/3)+1,对接源_01入库吨位!$S$5:$S$304,0))),IF($D656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6" s="52" t="str">
        <f aca="false">IF($B656="","",ROUND(N($F656)/1000,3))</f>
        <v/>
      </c>
      <c r="H656" s="74"/>
      <c r="I656" s="44"/>
      <c r="J656" s="75" t="str">
        <f aca="false">IF($B656="","",IF($H656="按筐数×单价",N($E656),IF($H656="按总重KG×单价",N($F656),IF($H656="按吨位×单价",N($G656),0))))</f>
        <v/>
      </c>
      <c r="K656" s="41" t="str">
        <f aca="false">IF($B656="","",ROUND(N($J656)*N($I656),2))</f>
        <v/>
      </c>
      <c r="L656" s="42"/>
      <c r="M656" s="76"/>
      <c r="N656" s="43"/>
      <c r="R656" s="77" t="str">
        <f aca="false">IF($B656="","",$B656)</f>
        <v/>
      </c>
      <c r="S656" s="77" t="n">
        <f aca="false">IF($R656="",0,IF(MATCH($R656,$R$5:$R$904,0)=ROW()-4,1,0))</f>
        <v>0</v>
      </c>
      <c r="T656" s="77" t="n">
        <f aca="false">N(T655)+$S656</f>
        <v>18</v>
      </c>
    </row>
    <row r="657" customFormat="false" ht="13.5" hidden="false" customHeight="false" outlineLevel="0" collapsed="false">
      <c r="A657" s="9" t="str">
        <f aca="false">IF($B657="","",ROW()-4)</f>
        <v/>
      </c>
      <c r="B657" s="39" t="str">
        <f aca="false">IFERROR(INDEX(对接源_01入库吨位!$B$5:$B$304,MATCH(INT((ROW()-5)/3)+1,对接源_01入库吨位!$S$5:$S$304,0)),"")</f>
        <v/>
      </c>
      <c r="C657" s="39" t="str">
        <f aca="false">IFERROR(INDEX(对接源_01入库吨位!$C$5:$C$304,MATCH(INT((ROW()-5)/3)+1,对接源_01入库吨位!$S$5:$S$304,0)),"")</f>
        <v/>
      </c>
      <c r="D657" s="40" t="str">
        <f aca="false">IF($B657="","",IF(MOD(ROW()-5,3)=0,"周转打冷",IF(MOD(ROW()-5,3)=1,"仓储加工","装卸费")))</f>
        <v/>
      </c>
      <c r="E657" s="51" t="str">
        <f aca="false">IF($B657="","",IFERROR(IF($D657="周转打冷",N(INDEX(对接源_01入库吨位!$D$5:$D$304,MATCH(INT((ROW()-5)/3)+1,对接源_01入库吨位!$S$5:$S$304,0))),IF($D657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7" s="41" t="str">
        <f aca="false">IF($B657="","",ROUND(IFERROR(IF($D657="周转打冷",N(INDEX(对接源_01入库吨位!$H$5:$H$304,MATCH(INT((ROW()-5)/3)+1,对接源_01入库吨位!$S$5:$S$304,0))),IF($D657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7" s="52" t="str">
        <f aca="false">IF($B657="","",ROUND(N($F657)/1000,3))</f>
        <v/>
      </c>
      <c r="H657" s="74"/>
      <c r="I657" s="44"/>
      <c r="J657" s="75" t="str">
        <f aca="false">IF($B657="","",IF($H657="按筐数×单价",N($E657),IF($H657="按总重KG×单价",N($F657),IF($H657="按吨位×单价",N($G657),0))))</f>
        <v/>
      </c>
      <c r="K657" s="41" t="str">
        <f aca="false">IF($B657="","",ROUND(N($J657)*N($I657),2))</f>
        <v/>
      </c>
      <c r="L657" s="42"/>
      <c r="M657" s="76"/>
      <c r="N657" s="43"/>
      <c r="R657" s="77" t="str">
        <f aca="false">IF($B657="","",$B657)</f>
        <v/>
      </c>
      <c r="S657" s="77" t="n">
        <f aca="false">IF($R657="",0,IF(MATCH($R657,$R$5:$R$904,0)=ROW()-4,1,0))</f>
        <v>0</v>
      </c>
      <c r="T657" s="77" t="n">
        <f aca="false">N(T656)+$S657</f>
        <v>18</v>
      </c>
    </row>
    <row r="658" customFormat="false" ht="13.5" hidden="false" customHeight="false" outlineLevel="0" collapsed="false">
      <c r="A658" s="9" t="str">
        <f aca="false">IF($B658="","",ROW()-4)</f>
        <v/>
      </c>
      <c r="B658" s="39" t="str">
        <f aca="false">IFERROR(INDEX(对接源_01入库吨位!$B$5:$B$304,MATCH(INT((ROW()-5)/3)+1,对接源_01入库吨位!$S$5:$S$304,0)),"")</f>
        <v/>
      </c>
      <c r="C658" s="39" t="str">
        <f aca="false">IFERROR(INDEX(对接源_01入库吨位!$C$5:$C$304,MATCH(INT((ROW()-5)/3)+1,对接源_01入库吨位!$S$5:$S$304,0)),"")</f>
        <v/>
      </c>
      <c r="D658" s="40" t="str">
        <f aca="false">IF($B658="","",IF(MOD(ROW()-5,3)=0,"周转打冷",IF(MOD(ROW()-5,3)=1,"仓储加工","装卸费")))</f>
        <v/>
      </c>
      <c r="E658" s="51" t="str">
        <f aca="false">IF($B658="","",IFERROR(IF($D658="周转打冷",N(INDEX(对接源_01入库吨位!$D$5:$D$304,MATCH(INT((ROW()-5)/3)+1,对接源_01入库吨位!$S$5:$S$304,0))),IF($D658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8" s="41" t="str">
        <f aca="false">IF($B658="","",ROUND(IFERROR(IF($D658="周转打冷",N(INDEX(对接源_01入库吨位!$H$5:$H$304,MATCH(INT((ROW()-5)/3)+1,对接源_01入库吨位!$S$5:$S$304,0))),IF($D658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8" s="52" t="str">
        <f aca="false">IF($B658="","",ROUND(N($F658)/1000,3))</f>
        <v/>
      </c>
      <c r="H658" s="74"/>
      <c r="I658" s="44"/>
      <c r="J658" s="75" t="str">
        <f aca="false">IF($B658="","",IF($H658="按筐数×单价",N($E658),IF($H658="按总重KG×单价",N($F658),IF($H658="按吨位×单价",N($G658),0))))</f>
        <v/>
      </c>
      <c r="K658" s="41" t="str">
        <f aca="false">IF($B658="","",ROUND(N($J658)*N($I658),2))</f>
        <v/>
      </c>
      <c r="L658" s="42"/>
      <c r="M658" s="76"/>
      <c r="N658" s="43"/>
      <c r="R658" s="77" t="str">
        <f aca="false">IF($B658="","",$B658)</f>
        <v/>
      </c>
      <c r="S658" s="77" t="n">
        <f aca="false">IF($R658="",0,IF(MATCH($R658,$R$5:$R$904,0)=ROW()-4,1,0))</f>
        <v>0</v>
      </c>
      <c r="T658" s="77" t="n">
        <f aca="false">N(T657)+$S658</f>
        <v>18</v>
      </c>
    </row>
    <row r="659" customFormat="false" ht="13.5" hidden="false" customHeight="false" outlineLevel="0" collapsed="false">
      <c r="A659" s="9" t="str">
        <f aca="false">IF($B659="","",ROW()-4)</f>
        <v/>
      </c>
      <c r="B659" s="39" t="str">
        <f aca="false">IFERROR(INDEX(对接源_01入库吨位!$B$5:$B$304,MATCH(INT((ROW()-5)/3)+1,对接源_01入库吨位!$S$5:$S$304,0)),"")</f>
        <v/>
      </c>
      <c r="C659" s="39" t="str">
        <f aca="false">IFERROR(INDEX(对接源_01入库吨位!$C$5:$C$304,MATCH(INT((ROW()-5)/3)+1,对接源_01入库吨位!$S$5:$S$304,0)),"")</f>
        <v/>
      </c>
      <c r="D659" s="40" t="str">
        <f aca="false">IF($B659="","",IF(MOD(ROW()-5,3)=0,"周转打冷",IF(MOD(ROW()-5,3)=1,"仓储加工","装卸费")))</f>
        <v/>
      </c>
      <c r="E659" s="51" t="str">
        <f aca="false">IF($B659="","",IFERROR(IF($D659="周转打冷",N(INDEX(对接源_01入库吨位!$D$5:$D$304,MATCH(INT((ROW()-5)/3)+1,对接源_01入库吨位!$S$5:$S$304,0))),IF($D659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59" s="41" t="str">
        <f aca="false">IF($B659="","",ROUND(IFERROR(IF($D659="周转打冷",N(INDEX(对接源_01入库吨位!$H$5:$H$304,MATCH(INT((ROW()-5)/3)+1,对接源_01入库吨位!$S$5:$S$304,0))),IF($D659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59" s="52" t="str">
        <f aca="false">IF($B659="","",ROUND(N($F659)/1000,3))</f>
        <v/>
      </c>
      <c r="H659" s="74"/>
      <c r="I659" s="44"/>
      <c r="J659" s="75" t="str">
        <f aca="false">IF($B659="","",IF($H659="按筐数×单价",N($E659),IF($H659="按总重KG×单价",N($F659),IF($H659="按吨位×单价",N($G659),0))))</f>
        <v/>
      </c>
      <c r="K659" s="41" t="str">
        <f aca="false">IF($B659="","",ROUND(N($J659)*N($I659),2))</f>
        <v/>
      </c>
      <c r="L659" s="42"/>
      <c r="M659" s="76"/>
      <c r="N659" s="43"/>
      <c r="R659" s="77" t="str">
        <f aca="false">IF($B659="","",$B659)</f>
        <v/>
      </c>
      <c r="S659" s="77" t="n">
        <f aca="false">IF($R659="",0,IF(MATCH($R659,$R$5:$R$904,0)=ROW()-4,1,0))</f>
        <v>0</v>
      </c>
      <c r="T659" s="77" t="n">
        <f aca="false">N(T658)+$S659</f>
        <v>18</v>
      </c>
    </row>
    <row r="660" customFormat="false" ht="13.5" hidden="false" customHeight="false" outlineLevel="0" collapsed="false">
      <c r="A660" s="9" t="str">
        <f aca="false">IF($B660="","",ROW()-4)</f>
        <v/>
      </c>
      <c r="B660" s="39" t="str">
        <f aca="false">IFERROR(INDEX(对接源_01入库吨位!$B$5:$B$304,MATCH(INT((ROW()-5)/3)+1,对接源_01入库吨位!$S$5:$S$304,0)),"")</f>
        <v/>
      </c>
      <c r="C660" s="39" t="str">
        <f aca="false">IFERROR(INDEX(对接源_01入库吨位!$C$5:$C$304,MATCH(INT((ROW()-5)/3)+1,对接源_01入库吨位!$S$5:$S$304,0)),"")</f>
        <v/>
      </c>
      <c r="D660" s="40" t="str">
        <f aca="false">IF($B660="","",IF(MOD(ROW()-5,3)=0,"周转打冷",IF(MOD(ROW()-5,3)=1,"仓储加工","装卸费")))</f>
        <v/>
      </c>
      <c r="E660" s="51" t="str">
        <f aca="false">IF($B660="","",IFERROR(IF($D660="周转打冷",N(INDEX(对接源_01入库吨位!$D$5:$D$304,MATCH(INT((ROW()-5)/3)+1,对接源_01入库吨位!$S$5:$S$304,0))),IF($D660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0" s="41" t="str">
        <f aca="false">IF($B660="","",ROUND(IFERROR(IF($D660="周转打冷",N(INDEX(对接源_01入库吨位!$H$5:$H$304,MATCH(INT((ROW()-5)/3)+1,对接源_01入库吨位!$S$5:$S$304,0))),IF($D660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0" s="52" t="str">
        <f aca="false">IF($B660="","",ROUND(N($F660)/1000,3))</f>
        <v/>
      </c>
      <c r="H660" s="74"/>
      <c r="I660" s="44"/>
      <c r="J660" s="75" t="str">
        <f aca="false">IF($B660="","",IF($H660="按筐数×单价",N($E660),IF($H660="按总重KG×单价",N($F660),IF($H660="按吨位×单价",N($G660),0))))</f>
        <v/>
      </c>
      <c r="K660" s="41" t="str">
        <f aca="false">IF($B660="","",ROUND(N($J660)*N($I660),2))</f>
        <v/>
      </c>
      <c r="L660" s="42"/>
      <c r="M660" s="76"/>
      <c r="N660" s="43"/>
      <c r="R660" s="77" t="str">
        <f aca="false">IF($B660="","",$B660)</f>
        <v/>
      </c>
      <c r="S660" s="77" t="n">
        <f aca="false">IF($R660="",0,IF(MATCH($R660,$R$5:$R$904,0)=ROW()-4,1,0))</f>
        <v>0</v>
      </c>
      <c r="T660" s="77" t="n">
        <f aca="false">N(T659)+$S660</f>
        <v>18</v>
      </c>
    </row>
    <row r="661" customFormat="false" ht="13.5" hidden="false" customHeight="false" outlineLevel="0" collapsed="false">
      <c r="A661" s="9" t="str">
        <f aca="false">IF($B661="","",ROW()-4)</f>
        <v/>
      </c>
      <c r="B661" s="39" t="str">
        <f aca="false">IFERROR(INDEX(对接源_01入库吨位!$B$5:$B$304,MATCH(INT((ROW()-5)/3)+1,对接源_01入库吨位!$S$5:$S$304,0)),"")</f>
        <v/>
      </c>
      <c r="C661" s="39" t="str">
        <f aca="false">IFERROR(INDEX(对接源_01入库吨位!$C$5:$C$304,MATCH(INT((ROW()-5)/3)+1,对接源_01入库吨位!$S$5:$S$304,0)),"")</f>
        <v/>
      </c>
      <c r="D661" s="40" t="str">
        <f aca="false">IF($B661="","",IF(MOD(ROW()-5,3)=0,"周转打冷",IF(MOD(ROW()-5,3)=1,"仓储加工","装卸费")))</f>
        <v/>
      </c>
      <c r="E661" s="51" t="str">
        <f aca="false">IF($B661="","",IFERROR(IF($D661="周转打冷",N(INDEX(对接源_01入库吨位!$D$5:$D$304,MATCH(INT((ROW()-5)/3)+1,对接源_01入库吨位!$S$5:$S$304,0))),IF($D661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1" s="41" t="str">
        <f aca="false">IF($B661="","",ROUND(IFERROR(IF($D661="周转打冷",N(INDEX(对接源_01入库吨位!$H$5:$H$304,MATCH(INT((ROW()-5)/3)+1,对接源_01入库吨位!$S$5:$S$304,0))),IF($D661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1" s="52" t="str">
        <f aca="false">IF($B661="","",ROUND(N($F661)/1000,3))</f>
        <v/>
      </c>
      <c r="H661" s="74"/>
      <c r="I661" s="44"/>
      <c r="J661" s="75" t="str">
        <f aca="false">IF($B661="","",IF($H661="按筐数×单价",N($E661),IF($H661="按总重KG×单价",N($F661),IF($H661="按吨位×单价",N($G661),0))))</f>
        <v/>
      </c>
      <c r="K661" s="41" t="str">
        <f aca="false">IF($B661="","",ROUND(N($J661)*N($I661),2))</f>
        <v/>
      </c>
      <c r="L661" s="42"/>
      <c r="M661" s="76"/>
      <c r="N661" s="43"/>
      <c r="R661" s="77" t="str">
        <f aca="false">IF($B661="","",$B661)</f>
        <v/>
      </c>
      <c r="S661" s="77" t="n">
        <f aca="false">IF($R661="",0,IF(MATCH($R661,$R$5:$R$904,0)=ROW()-4,1,0))</f>
        <v>0</v>
      </c>
      <c r="T661" s="77" t="n">
        <f aca="false">N(T660)+$S661</f>
        <v>18</v>
      </c>
    </row>
    <row r="662" customFormat="false" ht="13.5" hidden="false" customHeight="false" outlineLevel="0" collapsed="false">
      <c r="A662" s="9" t="str">
        <f aca="false">IF($B662="","",ROW()-4)</f>
        <v/>
      </c>
      <c r="B662" s="39" t="str">
        <f aca="false">IFERROR(INDEX(对接源_01入库吨位!$B$5:$B$304,MATCH(INT((ROW()-5)/3)+1,对接源_01入库吨位!$S$5:$S$304,0)),"")</f>
        <v/>
      </c>
      <c r="C662" s="39" t="str">
        <f aca="false">IFERROR(INDEX(对接源_01入库吨位!$C$5:$C$304,MATCH(INT((ROW()-5)/3)+1,对接源_01入库吨位!$S$5:$S$304,0)),"")</f>
        <v/>
      </c>
      <c r="D662" s="40" t="str">
        <f aca="false">IF($B662="","",IF(MOD(ROW()-5,3)=0,"周转打冷",IF(MOD(ROW()-5,3)=1,"仓储加工","装卸费")))</f>
        <v/>
      </c>
      <c r="E662" s="51" t="str">
        <f aca="false">IF($B662="","",IFERROR(IF($D662="周转打冷",N(INDEX(对接源_01入库吨位!$D$5:$D$304,MATCH(INT((ROW()-5)/3)+1,对接源_01入库吨位!$S$5:$S$304,0))),IF($D662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2" s="41" t="str">
        <f aca="false">IF($B662="","",ROUND(IFERROR(IF($D662="周转打冷",N(INDEX(对接源_01入库吨位!$H$5:$H$304,MATCH(INT((ROW()-5)/3)+1,对接源_01入库吨位!$S$5:$S$304,0))),IF($D662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2" s="52" t="str">
        <f aca="false">IF($B662="","",ROUND(N($F662)/1000,3))</f>
        <v/>
      </c>
      <c r="H662" s="74"/>
      <c r="I662" s="44"/>
      <c r="J662" s="75" t="str">
        <f aca="false">IF($B662="","",IF($H662="按筐数×单价",N($E662),IF($H662="按总重KG×单价",N($F662),IF($H662="按吨位×单价",N($G662),0))))</f>
        <v/>
      </c>
      <c r="K662" s="41" t="str">
        <f aca="false">IF($B662="","",ROUND(N($J662)*N($I662),2))</f>
        <v/>
      </c>
      <c r="L662" s="42"/>
      <c r="M662" s="76"/>
      <c r="N662" s="43"/>
      <c r="R662" s="77" t="str">
        <f aca="false">IF($B662="","",$B662)</f>
        <v/>
      </c>
      <c r="S662" s="77" t="n">
        <f aca="false">IF($R662="",0,IF(MATCH($R662,$R$5:$R$904,0)=ROW()-4,1,0))</f>
        <v>0</v>
      </c>
      <c r="T662" s="77" t="n">
        <f aca="false">N(T661)+$S662</f>
        <v>18</v>
      </c>
    </row>
    <row r="663" customFormat="false" ht="13.5" hidden="false" customHeight="false" outlineLevel="0" collapsed="false">
      <c r="A663" s="9" t="str">
        <f aca="false">IF($B663="","",ROW()-4)</f>
        <v/>
      </c>
      <c r="B663" s="39" t="str">
        <f aca="false">IFERROR(INDEX(对接源_01入库吨位!$B$5:$B$304,MATCH(INT((ROW()-5)/3)+1,对接源_01入库吨位!$S$5:$S$304,0)),"")</f>
        <v/>
      </c>
      <c r="C663" s="39" t="str">
        <f aca="false">IFERROR(INDEX(对接源_01入库吨位!$C$5:$C$304,MATCH(INT((ROW()-5)/3)+1,对接源_01入库吨位!$S$5:$S$304,0)),"")</f>
        <v/>
      </c>
      <c r="D663" s="40" t="str">
        <f aca="false">IF($B663="","",IF(MOD(ROW()-5,3)=0,"周转打冷",IF(MOD(ROW()-5,3)=1,"仓储加工","装卸费")))</f>
        <v/>
      </c>
      <c r="E663" s="51" t="str">
        <f aca="false">IF($B663="","",IFERROR(IF($D663="周转打冷",N(INDEX(对接源_01入库吨位!$D$5:$D$304,MATCH(INT((ROW()-5)/3)+1,对接源_01入库吨位!$S$5:$S$304,0))),IF($D663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3" s="41" t="str">
        <f aca="false">IF($B663="","",ROUND(IFERROR(IF($D663="周转打冷",N(INDEX(对接源_01入库吨位!$H$5:$H$304,MATCH(INT((ROW()-5)/3)+1,对接源_01入库吨位!$S$5:$S$304,0))),IF($D663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3" s="52" t="str">
        <f aca="false">IF($B663="","",ROUND(N($F663)/1000,3))</f>
        <v/>
      </c>
      <c r="H663" s="74"/>
      <c r="I663" s="44"/>
      <c r="J663" s="75" t="str">
        <f aca="false">IF($B663="","",IF($H663="按筐数×单价",N($E663),IF($H663="按总重KG×单价",N($F663),IF($H663="按吨位×单价",N($G663),0))))</f>
        <v/>
      </c>
      <c r="K663" s="41" t="str">
        <f aca="false">IF($B663="","",ROUND(N($J663)*N($I663),2))</f>
        <v/>
      </c>
      <c r="L663" s="42"/>
      <c r="M663" s="76"/>
      <c r="N663" s="43"/>
      <c r="R663" s="77" t="str">
        <f aca="false">IF($B663="","",$B663)</f>
        <v/>
      </c>
      <c r="S663" s="77" t="n">
        <f aca="false">IF($R663="",0,IF(MATCH($R663,$R$5:$R$904,0)=ROW()-4,1,0))</f>
        <v>0</v>
      </c>
      <c r="T663" s="77" t="n">
        <f aca="false">N(T662)+$S663</f>
        <v>18</v>
      </c>
    </row>
    <row r="664" customFormat="false" ht="13.5" hidden="false" customHeight="false" outlineLevel="0" collapsed="false">
      <c r="A664" s="9" t="str">
        <f aca="false">IF($B664="","",ROW()-4)</f>
        <v/>
      </c>
      <c r="B664" s="39" t="str">
        <f aca="false">IFERROR(INDEX(对接源_01入库吨位!$B$5:$B$304,MATCH(INT((ROW()-5)/3)+1,对接源_01入库吨位!$S$5:$S$304,0)),"")</f>
        <v/>
      </c>
      <c r="C664" s="39" t="str">
        <f aca="false">IFERROR(INDEX(对接源_01入库吨位!$C$5:$C$304,MATCH(INT((ROW()-5)/3)+1,对接源_01入库吨位!$S$5:$S$304,0)),"")</f>
        <v/>
      </c>
      <c r="D664" s="40" t="str">
        <f aca="false">IF($B664="","",IF(MOD(ROW()-5,3)=0,"周转打冷",IF(MOD(ROW()-5,3)=1,"仓储加工","装卸费")))</f>
        <v/>
      </c>
      <c r="E664" s="51" t="str">
        <f aca="false">IF($B664="","",IFERROR(IF($D664="周转打冷",N(INDEX(对接源_01入库吨位!$D$5:$D$304,MATCH(INT((ROW()-5)/3)+1,对接源_01入库吨位!$S$5:$S$304,0))),IF($D664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4" s="41" t="str">
        <f aca="false">IF($B664="","",ROUND(IFERROR(IF($D664="周转打冷",N(INDEX(对接源_01入库吨位!$H$5:$H$304,MATCH(INT((ROW()-5)/3)+1,对接源_01入库吨位!$S$5:$S$304,0))),IF($D664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4" s="52" t="str">
        <f aca="false">IF($B664="","",ROUND(N($F664)/1000,3))</f>
        <v/>
      </c>
      <c r="H664" s="74"/>
      <c r="I664" s="44"/>
      <c r="J664" s="75" t="str">
        <f aca="false">IF($B664="","",IF($H664="按筐数×单价",N($E664),IF($H664="按总重KG×单价",N($F664),IF($H664="按吨位×单价",N($G664),0))))</f>
        <v/>
      </c>
      <c r="K664" s="41" t="str">
        <f aca="false">IF($B664="","",ROUND(N($J664)*N($I664),2))</f>
        <v/>
      </c>
      <c r="L664" s="42"/>
      <c r="M664" s="76"/>
      <c r="N664" s="43"/>
      <c r="R664" s="77" t="str">
        <f aca="false">IF($B664="","",$B664)</f>
        <v/>
      </c>
      <c r="S664" s="77" t="n">
        <f aca="false">IF($R664="",0,IF(MATCH($R664,$R$5:$R$904,0)=ROW()-4,1,0))</f>
        <v>0</v>
      </c>
      <c r="T664" s="77" t="n">
        <f aca="false">N(T663)+$S664</f>
        <v>18</v>
      </c>
    </row>
    <row r="665" customFormat="false" ht="13.5" hidden="false" customHeight="false" outlineLevel="0" collapsed="false">
      <c r="A665" s="9" t="str">
        <f aca="false">IF($B665="","",ROW()-4)</f>
        <v/>
      </c>
      <c r="B665" s="39" t="str">
        <f aca="false">IFERROR(INDEX(对接源_01入库吨位!$B$5:$B$304,MATCH(INT((ROW()-5)/3)+1,对接源_01入库吨位!$S$5:$S$304,0)),"")</f>
        <v/>
      </c>
      <c r="C665" s="39" t="str">
        <f aca="false">IFERROR(INDEX(对接源_01入库吨位!$C$5:$C$304,MATCH(INT((ROW()-5)/3)+1,对接源_01入库吨位!$S$5:$S$304,0)),"")</f>
        <v/>
      </c>
      <c r="D665" s="40" t="str">
        <f aca="false">IF($B665="","",IF(MOD(ROW()-5,3)=0,"周转打冷",IF(MOD(ROW()-5,3)=1,"仓储加工","装卸费")))</f>
        <v/>
      </c>
      <c r="E665" s="51" t="str">
        <f aca="false">IF($B665="","",IFERROR(IF($D665="周转打冷",N(INDEX(对接源_01入库吨位!$D$5:$D$304,MATCH(INT((ROW()-5)/3)+1,对接源_01入库吨位!$S$5:$S$304,0))),IF($D665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5" s="41" t="str">
        <f aca="false">IF($B665="","",ROUND(IFERROR(IF($D665="周转打冷",N(INDEX(对接源_01入库吨位!$H$5:$H$304,MATCH(INT((ROW()-5)/3)+1,对接源_01入库吨位!$S$5:$S$304,0))),IF($D665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5" s="52" t="str">
        <f aca="false">IF($B665="","",ROUND(N($F665)/1000,3))</f>
        <v/>
      </c>
      <c r="H665" s="74"/>
      <c r="I665" s="44"/>
      <c r="J665" s="75" t="str">
        <f aca="false">IF($B665="","",IF($H665="按筐数×单价",N($E665),IF($H665="按总重KG×单价",N($F665),IF($H665="按吨位×单价",N($G665),0))))</f>
        <v/>
      </c>
      <c r="K665" s="41" t="str">
        <f aca="false">IF($B665="","",ROUND(N($J665)*N($I665),2))</f>
        <v/>
      </c>
      <c r="L665" s="42"/>
      <c r="M665" s="76"/>
      <c r="N665" s="43"/>
      <c r="R665" s="77" t="str">
        <f aca="false">IF($B665="","",$B665)</f>
        <v/>
      </c>
      <c r="S665" s="77" t="n">
        <f aca="false">IF($R665="",0,IF(MATCH($R665,$R$5:$R$904,0)=ROW()-4,1,0))</f>
        <v>0</v>
      </c>
      <c r="T665" s="77" t="n">
        <f aca="false">N(T664)+$S665</f>
        <v>18</v>
      </c>
    </row>
    <row r="666" customFormat="false" ht="13.5" hidden="false" customHeight="false" outlineLevel="0" collapsed="false">
      <c r="A666" s="9" t="str">
        <f aca="false">IF($B666="","",ROW()-4)</f>
        <v/>
      </c>
      <c r="B666" s="39" t="str">
        <f aca="false">IFERROR(INDEX(对接源_01入库吨位!$B$5:$B$304,MATCH(INT((ROW()-5)/3)+1,对接源_01入库吨位!$S$5:$S$304,0)),"")</f>
        <v/>
      </c>
      <c r="C666" s="39" t="str">
        <f aca="false">IFERROR(INDEX(对接源_01入库吨位!$C$5:$C$304,MATCH(INT((ROW()-5)/3)+1,对接源_01入库吨位!$S$5:$S$304,0)),"")</f>
        <v/>
      </c>
      <c r="D666" s="40" t="str">
        <f aca="false">IF($B666="","",IF(MOD(ROW()-5,3)=0,"周转打冷",IF(MOD(ROW()-5,3)=1,"仓储加工","装卸费")))</f>
        <v/>
      </c>
      <c r="E666" s="51" t="str">
        <f aca="false">IF($B666="","",IFERROR(IF($D666="周转打冷",N(INDEX(对接源_01入库吨位!$D$5:$D$304,MATCH(INT((ROW()-5)/3)+1,对接源_01入库吨位!$S$5:$S$304,0))),IF($D666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6" s="41" t="str">
        <f aca="false">IF($B666="","",ROUND(IFERROR(IF($D666="周转打冷",N(INDEX(对接源_01入库吨位!$H$5:$H$304,MATCH(INT((ROW()-5)/3)+1,对接源_01入库吨位!$S$5:$S$304,0))),IF($D666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6" s="52" t="str">
        <f aca="false">IF($B666="","",ROUND(N($F666)/1000,3))</f>
        <v/>
      </c>
      <c r="H666" s="74"/>
      <c r="I666" s="44"/>
      <c r="J666" s="75" t="str">
        <f aca="false">IF($B666="","",IF($H666="按筐数×单价",N($E666),IF($H666="按总重KG×单价",N($F666),IF($H666="按吨位×单价",N($G666),0))))</f>
        <v/>
      </c>
      <c r="K666" s="41" t="str">
        <f aca="false">IF($B666="","",ROUND(N($J666)*N($I666),2))</f>
        <v/>
      </c>
      <c r="L666" s="42"/>
      <c r="M666" s="76"/>
      <c r="N666" s="43"/>
      <c r="R666" s="77" t="str">
        <f aca="false">IF($B666="","",$B666)</f>
        <v/>
      </c>
      <c r="S666" s="77" t="n">
        <f aca="false">IF($R666="",0,IF(MATCH($R666,$R$5:$R$904,0)=ROW()-4,1,0))</f>
        <v>0</v>
      </c>
      <c r="T666" s="77" t="n">
        <f aca="false">N(T665)+$S666</f>
        <v>18</v>
      </c>
    </row>
    <row r="667" customFormat="false" ht="13.5" hidden="false" customHeight="false" outlineLevel="0" collapsed="false">
      <c r="A667" s="9" t="str">
        <f aca="false">IF($B667="","",ROW()-4)</f>
        <v/>
      </c>
      <c r="B667" s="39" t="str">
        <f aca="false">IFERROR(INDEX(对接源_01入库吨位!$B$5:$B$304,MATCH(INT((ROW()-5)/3)+1,对接源_01入库吨位!$S$5:$S$304,0)),"")</f>
        <v/>
      </c>
      <c r="C667" s="39" t="str">
        <f aca="false">IFERROR(INDEX(对接源_01入库吨位!$C$5:$C$304,MATCH(INT((ROW()-5)/3)+1,对接源_01入库吨位!$S$5:$S$304,0)),"")</f>
        <v/>
      </c>
      <c r="D667" s="40" t="str">
        <f aca="false">IF($B667="","",IF(MOD(ROW()-5,3)=0,"周转打冷",IF(MOD(ROW()-5,3)=1,"仓储加工","装卸费")))</f>
        <v/>
      </c>
      <c r="E667" s="51" t="str">
        <f aca="false">IF($B667="","",IFERROR(IF($D667="周转打冷",N(INDEX(对接源_01入库吨位!$D$5:$D$304,MATCH(INT((ROW()-5)/3)+1,对接源_01入库吨位!$S$5:$S$304,0))),IF($D667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7" s="41" t="str">
        <f aca="false">IF($B667="","",ROUND(IFERROR(IF($D667="周转打冷",N(INDEX(对接源_01入库吨位!$H$5:$H$304,MATCH(INT((ROW()-5)/3)+1,对接源_01入库吨位!$S$5:$S$304,0))),IF($D667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7" s="52" t="str">
        <f aca="false">IF($B667="","",ROUND(N($F667)/1000,3))</f>
        <v/>
      </c>
      <c r="H667" s="74"/>
      <c r="I667" s="44"/>
      <c r="J667" s="75" t="str">
        <f aca="false">IF($B667="","",IF($H667="按筐数×单价",N($E667),IF($H667="按总重KG×单价",N($F667),IF($H667="按吨位×单价",N($G667),0))))</f>
        <v/>
      </c>
      <c r="K667" s="41" t="str">
        <f aca="false">IF($B667="","",ROUND(N($J667)*N($I667),2))</f>
        <v/>
      </c>
      <c r="L667" s="42"/>
      <c r="M667" s="76"/>
      <c r="N667" s="43"/>
      <c r="R667" s="77" t="str">
        <f aca="false">IF($B667="","",$B667)</f>
        <v/>
      </c>
      <c r="S667" s="77" t="n">
        <f aca="false">IF($R667="",0,IF(MATCH($R667,$R$5:$R$904,0)=ROW()-4,1,0))</f>
        <v>0</v>
      </c>
      <c r="T667" s="77" t="n">
        <f aca="false">N(T666)+$S667</f>
        <v>18</v>
      </c>
    </row>
    <row r="668" customFormat="false" ht="13.5" hidden="false" customHeight="false" outlineLevel="0" collapsed="false">
      <c r="A668" s="9" t="str">
        <f aca="false">IF($B668="","",ROW()-4)</f>
        <v/>
      </c>
      <c r="B668" s="39" t="str">
        <f aca="false">IFERROR(INDEX(对接源_01入库吨位!$B$5:$B$304,MATCH(INT((ROW()-5)/3)+1,对接源_01入库吨位!$S$5:$S$304,0)),"")</f>
        <v/>
      </c>
      <c r="C668" s="39" t="str">
        <f aca="false">IFERROR(INDEX(对接源_01入库吨位!$C$5:$C$304,MATCH(INT((ROW()-5)/3)+1,对接源_01入库吨位!$S$5:$S$304,0)),"")</f>
        <v/>
      </c>
      <c r="D668" s="40" t="str">
        <f aca="false">IF($B668="","",IF(MOD(ROW()-5,3)=0,"周转打冷",IF(MOD(ROW()-5,3)=1,"仓储加工","装卸费")))</f>
        <v/>
      </c>
      <c r="E668" s="51" t="str">
        <f aca="false">IF($B668="","",IFERROR(IF($D668="周转打冷",N(INDEX(对接源_01入库吨位!$D$5:$D$304,MATCH(INT((ROW()-5)/3)+1,对接源_01入库吨位!$S$5:$S$304,0))),IF($D668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8" s="41" t="str">
        <f aca="false">IF($B668="","",ROUND(IFERROR(IF($D668="周转打冷",N(INDEX(对接源_01入库吨位!$H$5:$H$304,MATCH(INT((ROW()-5)/3)+1,对接源_01入库吨位!$S$5:$S$304,0))),IF($D668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8" s="52" t="str">
        <f aca="false">IF($B668="","",ROUND(N($F668)/1000,3))</f>
        <v/>
      </c>
      <c r="H668" s="74"/>
      <c r="I668" s="44"/>
      <c r="J668" s="75" t="str">
        <f aca="false">IF($B668="","",IF($H668="按筐数×单价",N($E668),IF($H668="按总重KG×单价",N($F668),IF($H668="按吨位×单价",N($G668),0))))</f>
        <v/>
      </c>
      <c r="K668" s="41" t="str">
        <f aca="false">IF($B668="","",ROUND(N($J668)*N($I668),2))</f>
        <v/>
      </c>
      <c r="L668" s="42"/>
      <c r="M668" s="76"/>
      <c r="N668" s="43"/>
      <c r="R668" s="77" t="str">
        <f aca="false">IF($B668="","",$B668)</f>
        <v/>
      </c>
      <c r="S668" s="77" t="n">
        <f aca="false">IF($R668="",0,IF(MATCH($R668,$R$5:$R$904,0)=ROW()-4,1,0))</f>
        <v>0</v>
      </c>
      <c r="T668" s="77" t="n">
        <f aca="false">N(T667)+$S668</f>
        <v>18</v>
      </c>
    </row>
    <row r="669" customFormat="false" ht="13.5" hidden="false" customHeight="false" outlineLevel="0" collapsed="false">
      <c r="A669" s="9" t="str">
        <f aca="false">IF($B669="","",ROW()-4)</f>
        <v/>
      </c>
      <c r="B669" s="39" t="str">
        <f aca="false">IFERROR(INDEX(对接源_01入库吨位!$B$5:$B$304,MATCH(INT((ROW()-5)/3)+1,对接源_01入库吨位!$S$5:$S$304,0)),"")</f>
        <v/>
      </c>
      <c r="C669" s="39" t="str">
        <f aca="false">IFERROR(INDEX(对接源_01入库吨位!$C$5:$C$304,MATCH(INT((ROW()-5)/3)+1,对接源_01入库吨位!$S$5:$S$304,0)),"")</f>
        <v/>
      </c>
      <c r="D669" s="40" t="str">
        <f aca="false">IF($B669="","",IF(MOD(ROW()-5,3)=0,"周转打冷",IF(MOD(ROW()-5,3)=1,"仓储加工","装卸费")))</f>
        <v/>
      </c>
      <c r="E669" s="51" t="str">
        <f aca="false">IF($B669="","",IFERROR(IF($D669="周转打冷",N(INDEX(对接源_01入库吨位!$D$5:$D$304,MATCH(INT((ROW()-5)/3)+1,对接源_01入库吨位!$S$5:$S$304,0))),IF($D669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69" s="41" t="str">
        <f aca="false">IF($B669="","",ROUND(IFERROR(IF($D669="周转打冷",N(INDEX(对接源_01入库吨位!$H$5:$H$304,MATCH(INT((ROW()-5)/3)+1,对接源_01入库吨位!$S$5:$S$304,0))),IF($D669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69" s="52" t="str">
        <f aca="false">IF($B669="","",ROUND(N($F669)/1000,3))</f>
        <v/>
      </c>
      <c r="H669" s="74"/>
      <c r="I669" s="44"/>
      <c r="J669" s="75" t="str">
        <f aca="false">IF($B669="","",IF($H669="按筐数×单价",N($E669),IF($H669="按总重KG×单价",N($F669),IF($H669="按吨位×单价",N($G669),0))))</f>
        <v/>
      </c>
      <c r="K669" s="41" t="str">
        <f aca="false">IF($B669="","",ROUND(N($J669)*N($I669),2))</f>
        <v/>
      </c>
      <c r="L669" s="42"/>
      <c r="M669" s="76"/>
      <c r="N669" s="43"/>
      <c r="R669" s="77" t="str">
        <f aca="false">IF($B669="","",$B669)</f>
        <v/>
      </c>
      <c r="S669" s="77" t="n">
        <f aca="false">IF($R669="",0,IF(MATCH($R669,$R$5:$R$904,0)=ROW()-4,1,0))</f>
        <v>0</v>
      </c>
      <c r="T669" s="77" t="n">
        <f aca="false">N(T668)+$S669</f>
        <v>18</v>
      </c>
    </row>
    <row r="670" customFormat="false" ht="13.5" hidden="false" customHeight="false" outlineLevel="0" collapsed="false">
      <c r="A670" s="9" t="str">
        <f aca="false">IF($B670="","",ROW()-4)</f>
        <v/>
      </c>
      <c r="B670" s="39" t="str">
        <f aca="false">IFERROR(INDEX(对接源_01入库吨位!$B$5:$B$304,MATCH(INT((ROW()-5)/3)+1,对接源_01入库吨位!$S$5:$S$304,0)),"")</f>
        <v/>
      </c>
      <c r="C670" s="39" t="str">
        <f aca="false">IFERROR(INDEX(对接源_01入库吨位!$C$5:$C$304,MATCH(INT((ROW()-5)/3)+1,对接源_01入库吨位!$S$5:$S$304,0)),"")</f>
        <v/>
      </c>
      <c r="D670" s="40" t="str">
        <f aca="false">IF($B670="","",IF(MOD(ROW()-5,3)=0,"周转打冷",IF(MOD(ROW()-5,3)=1,"仓储加工","装卸费")))</f>
        <v/>
      </c>
      <c r="E670" s="51" t="str">
        <f aca="false">IF($B670="","",IFERROR(IF($D670="周转打冷",N(INDEX(对接源_01入库吨位!$D$5:$D$304,MATCH(INT((ROW()-5)/3)+1,对接源_01入库吨位!$S$5:$S$304,0))),IF($D670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0" s="41" t="str">
        <f aca="false">IF($B670="","",ROUND(IFERROR(IF($D670="周转打冷",N(INDEX(对接源_01入库吨位!$H$5:$H$304,MATCH(INT((ROW()-5)/3)+1,对接源_01入库吨位!$S$5:$S$304,0))),IF($D670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0" s="52" t="str">
        <f aca="false">IF($B670="","",ROUND(N($F670)/1000,3))</f>
        <v/>
      </c>
      <c r="H670" s="74"/>
      <c r="I670" s="44"/>
      <c r="J670" s="75" t="str">
        <f aca="false">IF($B670="","",IF($H670="按筐数×单价",N($E670),IF($H670="按总重KG×单价",N($F670),IF($H670="按吨位×单价",N($G670),0))))</f>
        <v/>
      </c>
      <c r="K670" s="41" t="str">
        <f aca="false">IF($B670="","",ROUND(N($J670)*N($I670),2))</f>
        <v/>
      </c>
      <c r="L670" s="42"/>
      <c r="M670" s="76"/>
      <c r="N670" s="43"/>
      <c r="R670" s="77" t="str">
        <f aca="false">IF($B670="","",$B670)</f>
        <v/>
      </c>
      <c r="S670" s="77" t="n">
        <f aca="false">IF($R670="",0,IF(MATCH($R670,$R$5:$R$904,0)=ROW()-4,1,0))</f>
        <v>0</v>
      </c>
      <c r="T670" s="77" t="n">
        <f aca="false">N(T669)+$S670</f>
        <v>18</v>
      </c>
    </row>
    <row r="671" customFormat="false" ht="13.5" hidden="false" customHeight="false" outlineLevel="0" collapsed="false">
      <c r="A671" s="9" t="str">
        <f aca="false">IF($B671="","",ROW()-4)</f>
        <v/>
      </c>
      <c r="B671" s="39" t="str">
        <f aca="false">IFERROR(INDEX(对接源_01入库吨位!$B$5:$B$304,MATCH(INT((ROW()-5)/3)+1,对接源_01入库吨位!$S$5:$S$304,0)),"")</f>
        <v/>
      </c>
      <c r="C671" s="39" t="str">
        <f aca="false">IFERROR(INDEX(对接源_01入库吨位!$C$5:$C$304,MATCH(INT((ROW()-5)/3)+1,对接源_01入库吨位!$S$5:$S$304,0)),"")</f>
        <v/>
      </c>
      <c r="D671" s="40" t="str">
        <f aca="false">IF($B671="","",IF(MOD(ROW()-5,3)=0,"周转打冷",IF(MOD(ROW()-5,3)=1,"仓储加工","装卸费")))</f>
        <v/>
      </c>
      <c r="E671" s="51" t="str">
        <f aca="false">IF($B671="","",IFERROR(IF($D671="周转打冷",N(INDEX(对接源_01入库吨位!$D$5:$D$304,MATCH(INT((ROW()-5)/3)+1,对接源_01入库吨位!$S$5:$S$304,0))),IF($D671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1" s="41" t="str">
        <f aca="false">IF($B671="","",ROUND(IFERROR(IF($D671="周转打冷",N(INDEX(对接源_01入库吨位!$H$5:$H$304,MATCH(INT((ROW()-5)/3)+1,对接源_01入库吨位!$S$5:$S$304,0))),IF($D671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1" s="52" t="str">
        <f aca="false">IF($B671="","",ROUND(N($F671)/1000,3))</f>
        <v/>
      </c>
      <c r="H671" s="74"/>
      <c r="I671" s="44"/>
      <c r="J671" s="75" t="str">
        <f aca="false">IF($B671="","",IF($H671="按筐数×单价",N($E671),IF($H671="按总重KG×单价",N($F671),IF($H671="按吨位×单价",N($G671),0))))</f>
        <v/>
      </c>
      <c r="K671" s="41" t="str">
        <f aca="false">IF($B671="","",ROUND(N($J671)*N($I671),2))</f>
        <v/>
      </c>
      <c r="L671" s="42"/>
      <c r="M671" s="76"/>
      <c r="N671" s="43"/>
      <c r="R671" s="77" t="str">
        <f aca="false">IF($B671="","",$B671)</f>
        <v/>
      </c>
      <c r="S671" s="77" t="n">
        <f aca="false">IF($R671="",0,IF(MATCH($R671,$R$5:$R$904,0)=ROW()-4,1,0))</f>
        <v>0</v>
      </c>
      <c r="T671" s="77" t="n">
        <f aca="false">N(T670)+$S671</f>
        <v>18</v>
      </c>
    </row>
    <row r="672" customFormat="false" ht="13.5" hidden="false" customHeight="false" outlineLevel="0" collapsed="false">
      <c r="A672" s="9" t="str">
        <f aca="false">IF($B672="","",ROW()-4)</f>
        <v/>
      </c>
      <c r="B672" s="39" t="str">
        <f aca="false">IFERROR(INDEX(对接源_01入库吨位!$B$5:$B$304,MATCH(INT((ROW()-5)/3)+1,对接源_01入库吨位!$S$5:$S$304,0)),"")</f>
        <v/>
      </c>
      <c r="C672" s="39" t="str">
        <f aca="false">IFERROR(INDEX(对接源_01入库吨位!$C$5:$C$304,MATCH(INT((ROW()-5)/3)+1,对接源_01入库吨位!$S$5:$S$304,0)),"")</f>
        <v/>
      </c>
      <c r="D672" s="40" t="str">
        <f aca="false">IF($B672="","",IF(MOD(ROW()-5,3)=0,"周转打冷",IF(MOD(ROW()-5,3)=1,"仓储加工","装卸费")))</f>
        <v/>
      </c>
      <c r="E672" s="51" t="str">
        <f aca="false">IF($B672="","",IFERROR(IF($D672="周转打冷",N(INDEX(对接源_01入库吨位!$D$5:$D$304,MATCH(INT((ROW()-5)/3)+1,对接源_01入库吨位!$S$5:$S$304,0))),IF($D672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2" s="41" t="str">
        <f aca="false">IF($B672="","",ROUND(IFERROR(IF($D672="周转打冷",N(INDEX(对接源_01入库吨位!$H$5:$H$304,MATCH(INT((ROW()-5)/3)+1,对接源_01入库吨位!$S$5:$S$304,0))),IF($D672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2" s="52" t="str">
        <f aca="false">IF($B672="","",ROUND(N($F672)/1000,3))</f>
        <v/>
      </c>
      <c r="H672" s="74"/>
      <c r="I672" s="44"/>
      <c r="J672" s="75" t="str">
        <f aca="false">IF($B672="","",IF($H672="按筐数×单价",N($E672),IF($H672="按总重KG×单价",N($F672),IF($H672="按吨位×单价",N($G672),0))))</f>
        <v/>
      </c>
      <c r="K672" s="41" t="str">
        <f aca="false">IF($B672="","",ROUND(N($J672)*N($I672),2))</f>
        <v/>
      </c>
      <c r="L672" s="42"/>
      <c r="M672" s="76"/>
      <c r="N672" s="43"/>
      <c r="R672" s="77" t="str">
        <f aca="false">IF($B672="","",$B672)</f>
        <v/>
      </c>
      <c r="S672" s="77" t="n">
        <f aca="false">IF($R672="",0,IF(MATCH($R672,$R$5:$R$904,0)=ROW()-4,1,0))</f>
        <v>0</v>
      </c>
      <c r="T672" s="77" t="n">
        <f aca="false">N(T671)+$S672</f>
        <v>18</v>
      </c>
    </row>
    <row r="673" customFormat="false" ht="13.5" hidden="false" customHeight="false" outlineLevel="0" collapsed="false">
      <c r="A673" s="9" t="str">
        <f aca="false">IF($B673="","",ROW()-4)</f>
        <v/>
      </c>
      <c r="B673" s="39" t="str">
        <f aca="false">IFERROR(INDEX(对接源_01入库吨位!$B$5:$B$304,MATCH(INT((ROW()-5)/3)+1,对接源_01入库吨位!$S$5:$S$304,0)),"")</f>
        <v/>
      </c>
      <c r="C673" s="39" t="str">
        <f aca="false">IFERROR(INDEX(对接源_01入库吨位!$C$5:$C$304,MATCH(INT((ROW()-5)/3)+1,对接源_01入库吨位!$S$5:$S$304,0)),"")</f>
        <v/>
      </c>
      <c r="D673" s="40" t="str">
        <f aca="false">IF($B673="","",IF(MOD(ROW()-5,3)=0,"周转打冷",IF(MOD(ROW()-5,3)=1,"仓储加工","装卸费")))</f>
        <v/>
      </c>
      <c r="E673" s="51" t="str">
        <f aca="false">IF($B673="","",IFERROR(IF($D673="周转打冷",N(INDEX(对接源_01入库吨位!$D$5:$D$304,MATCH(INT((ROW()-5)/3)+1,对接源_01入库吨位!$S$5:$S$304,0))),IF($D673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3" s="41" t="str">
        <f aca="false">IF($B673="","",ROUND(IFERROR(IF($D673="周转打冷",N(INDEX(对接源_01入库吨位!$H$5:$H$304,MATCH(INT((ROW()-5)/3)+1,对接源_01入库吨位!$S$5:$S$304,0))),IF($D673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3" s="52" t="str">
        <f aca="false">IF($B673="","",ROUND(N($F673)/1000,3))</f>
        <v/>
      </c>
      <c r="H673" s="74"/>
      <c r="I673" s="44"/>
      <c r="J673" s="75" t="str">
        <f aca="false">IF($B673="","",IF($H673="按筐数×单价",N($E673),IF($H673="按总重KG×单价",N($F673),IF($H673="按吨位×单价",N($G673),0))))</f>
        <v/>
      </c>
      <c r="K673" s="41" t="str">
        <f aca="false">IF($B673="","",ROUND(N($J673)*N($I673),2))</f>
        <v/>
      </c>
      <c r="L673" s="42"/>
      <c r="M673" s="76"/>
      <c r="N673" s="43"/>
      <c r="R673" s="77" t="str">
        <f aca="false">IF($B673="","",$B673)</f>
        <v/>
      </c>
      <c r="S673" s="77" t="n">
        <f aca="false">IF($R673="",0,IF(MATCH($R673,$R$5:$R$904,0)=ROW()-4,1,0))</f>
        <v>0</v>
      </c>
      <c r="T673" s="77" t="n">
        <f aca="false">N(T672)+$S673</f>
        <v>18</v>
      </c>
    </row>
    <row r="674" customFormat="false" ht="13.5" hidden="false" customHeight="false" outlineLevel="0" collapsed="false">
      <c r="A674" s="9" t="str">
        <f aca="false">IF($B674="","",ROW()-4)</f>
        <v/>
      </c>
      <c r="B674" s="39" t="str">
        <f aca="false">IFERROR(INDEX(对接源_01入库吨位!$B$5:$B$304,MATCH(INT((ROW()-5)/3)+1,对接源_01入库吨位!$S$5:$S$304,0)),"")</f>
        <v/>
      </c>
      <c r="C674" s="39" t="str">
        <f aca="false">IFERROR(INDEX(对接源_01入库吨位!$C$5:$C$304,MATCH(INT((ROW()-5)/3)+1,对接源_01入库吨位!$S$5:$S$304,0)),"")</f>
        <v/>
      </c>
      <c r="D674" s="40" t="str">
        <f aca="false">IF($B674="","",IF(MOD(ROW()-5,3)=0,"周转打冷",IF(MOD(ROW()-5,3)=1,"仓储加工","装卸费")))</f>
        <v/>
      </c>
      <c r="E674" s="51" t="str">
        <f aca="false">IF($B674="","",IFERROR(IF($D674="周转打冷",N(INDEX(对接源_01入库吨位!$D$5:$D$304,MATCH(INT((ROW()-5)/3)+1,对接源_01入库吨位!$S$5:$S$304,0))),IF($D674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4" s="41" t="str">
        <f aca="false">IF($B674="","",ROUND(IFERROR(IF($D674="周转打冷",N(INDEX(对接源_01入库吨位!$H$5:$H$304,MATCH(INT((ROW()-5)/3)+1,对接源_01入库吨位!$S$5:$S$304,0))),IF($D674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4" s="52" t="str">
        <f aca="false">IF($B674="","",ROUND(N($F674)/1000,3))</f>
        <v/>
      </c>
      <c r="H674" s="74"/>
      <c r="I674" s="44"/>
      <c r="J674" s="75" t="str">
        <f aca="false">IF($B674="","",IF($H674="按筐数×单价",N($E674),IF($H674="按总重KG×单价",N($F674),IF($H674="按吨位×单价",N($G674),0))))</f>
        <v/>
      </c>
      <c r="K674" s="41" t="str">
        <f aca="false">IF($B674="","",ROUND(N($J674)*N($I674),2))</f>
        <v/>
      </c>
      <c r="L674" s="42"/>
      <c r="M674" s="76"/>
      <c r="N674" s="43"/>
      <c r="R674" s="77" t="str">
        <f aca="false">IF($B674="","",$B674)</f>
        <v/>
      </c>
      <c r="S674" s="77" t="n">
        <f aca="false">IF($R674="",0,IF(MATCH($R674,$R$5:$R$904,0)=ROW()-4,1,0))</f>
        <v>0</v>
      </c>
      <c r="T674" s="77" t="n">
        <f aca="false">N(T673)+$S674</f>
        <v>18</v>
      </c>
    </row>
    <row r="675" customFormat="false" ht="13.5" hidden="false" customHeight="false" outlineLevel="0" collapsed="false">
      <c r="A675" s="9" t="str">
        <f aca="false">IF($B675="","",ROW()-4)</f>
        <v/>
      </c>
      <c r="B675" s="39" t="str">
        <f aca="false">IFERROR(INDEX(对接源_01入库吨位!$B$5:$B$304,MATCH(INT((ROW()-5)/3)+1,对接源_01入库吨位!$S$5:$S$304,0)),"")</f>
        <v/>
      </c>
      <c r="C675" s="39" t="str">
        <f aca="false">IFERROR(INDEX(对接源_01入库吨位!$C$5:$C$304,MATCH(INT((ROW()-5)/3)+1,对接源_01入库吨位!$S$5:$S$304,0)),"")</f>
        <v/>
      </c>
      <c r="D675" s="40" t="str">
        <f aca="false">IF($B675="","",IF(MOD(ROW()-5,3)=0,"周转打冷",IF(MOD(ROW()-5,3)=1,"仓储加工","装卸费")))</f>
        <v/>
      </c>
      <c r="E675" s="51" t="str">
        <f aca="false">IF($B675="","",IFERROR(IF($D675="周转打冷",N(INDEX(对接源_01入库吨位!$D$5:$D$304,MATCH(INT((ROW()-5)/3)+1,对接源_01入库吨位!$S$5:$S$304,0))),IF($D675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5" s="41" t="str">
        <f aca="false">IF($B675="","",ROUND(IFERROR(IF($D675="周转打冷",N(INDEX(对接源_01入库吨位!$H$5:$H$304,MATCH(INT((ROW()-5)/3)+1,对接源_01入库吨位!$S$5:$S$304,0))),IF($D675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5" s="52" t="str">
        <f aca="false">IF($B675="","",ROUND(N($F675)/1000,3))</f>
        <v/>
      </c>
      <c r="H675" s="74"/>
      <c r="I675" s="44"/>
      <c r="J675" s="75" t="str">
        <f aca="false">IF($B675="","",IF($H675="按筐数×单价",N($E675),IF($H675="按总重KG×单价",N($F675),IF($H675="按吨位×单价",N($G675),0))))</f>
        <v/>
      </c>
      <c r="K675" s="41" t="str">
        <f aca="false">IF($B675="","",ROUND(N($J675)*N($I675),2))</f>
        <v/>
      </c>
      <c r="L675" s="42"/>
      <c r="M675" s="76"/>
      <c r="N675" s="43"/>
      <c r="R675" s="77" t="str">
        <f aca="false">IF($B675="","",$B675)</f>
        <v/>
      </c>
      <c r="S675" s="77" t="n">
        <f aca="false">IF($R675="",0,IF(MATCH($R675,$R$5:$R$904,0)=ROW()-4,1,0))</f>
        <v>0</v>
      </c>
      <c r="T675" s="77" t="n">
        <f aca="false">N(T674)+$S675</f>
        <v>18</v>
      </c>
    </row>
    <row r="676" customFormat="false" ht="13.5" hidden="false" customHeight="false" outlineLevel="0" collapsed="false">
      <c r="A676" s="9" t="str">
        <f aca="false">IF($B676="","",ROW()-4)</f>
        <v/>
      </c>
      <c r="B676" s="39" t="str">
        <f aca="false">IFERROR(INDEX(对接源_01入库吨位!$B$5:$B$304,MATCH(INT((ROW()-5)/3)+1,对接源_01入库吨位!$S$5:$S$304,0)),"")</f>
        <v/>
      </c>
      <c r="C676" s="39" t="str">
        <f aca="false">IFERROR(INDEX(对接源_01入库吨位!$C$5:$C$304,MATCH(INT((ROW()-5)/3)+1,对接源_01入库吨位!$S$5:$S$304,0)),"")</f>
        <v/>
      </c>
      <c r="D676" s="40" t="str">
        <f aca="false">IF($B676="","",IF(MOD(ROW()-5,3)=0,"周转打冷",IF(MOD(ROW()-5,3)=1,"仓储加工","装卸费")))</f>
        <v/>
      </c>
      <c r="E676" s="51" t="str">
        <f aca="false">IF($B676="","",IFERROR(IF($D676="周转打冷",N(INDEX(对接源_01入库吨位!$D$5:$D$304,MATCH(INT((ROW()-5)/3)+1,对接源_01入库吨位!$S$5:$S$304,0))),IF($D676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6" s="41" t="str">
        <f aca="false">IF($B676="","",ROUND(IFERROR(IF($D676="周转打冷",N(INDEX(对接源_01入库吨位!$H$5:$H$304,MATCH(INT((ROW()-5)/3)+1,对接源_01入库吨位!$S$5:$S$304,0))),IF($D676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6" s="52" t="str">
        <f aca="false">IF($B676="","",ROUND(N($F676)/1000,3))</f>
        <v/>
      </c>
      <c r="H676" s="74"/>
      <c r="I676" s="44"/>
      <c r="J676" s="75" t="str">
        <f aca="false">IF($B676="","",IF($H676="按筐数×单价",N($E676),IF($H676="按总重KG×单价",N($F676),IF($H676="按吨位×单价",N($G676),0))))</f>
        <v/>
      </c>
      <c r="K676" s="41" t="str">
        <f aca="false">IF($B676="","",ROUND(N($J676)*N($I676),2))</f>
        <v/>
      </c>
      <c r="L676" s="42"/>
      <c r="M676" s="76"/>
      <c r="N676" s="43"/>
      <c r="R676" s="77" t="str">
        <f aca="false">IF($B676="","",$B676)</f>
        <v/>
      </c>
      <c r="S676" s="77" t="n">
        <f aca="false">IF($R676="",0,IF(MATCH($R676,$R$5:$R$904,0)=ROW()-4,1,0))</f>
        <v>0</v>
      </c>
      <c r="T676" s="77" t="n">
        <f aca="false">N(T675)+$S676</f>
        <v>18</v>
      </c>
    </row>
    <row r="677" customFormat="false" ht="13.5" hidden="false" customHeight="false" outlineLevel="0" collapsed="false">
      <c r="A677" s="9" t="str">
        <f aca="false">IF($B677="","",ROW()-4)</f>
        <v/>
      </c>
      <c r="B677" s="39" t="str">
        <f aca="false">IFERROR(INDEX(对接源_01入库吨位!$B$5:$B$304,MATCH(INT((ROW()-5)/3)+1,对接源_01入库吨位!$S$5:$S$304,0)),"")</f>
        <v/>
      </c>
      <c r="C677" s="39" t="str">
        <f aca="false">IFERROR(INDEX(对接源_01入库吨位!$C$5:$C$304,MATCH(INT((ROW()-5)/3)+1,对接源_01入库吨位!$S$5:$S$304,0)),"")</f>
        <v/>
      </c>
      <c r="D677" s="40" t="str">
        <f aca="false">IF($B677="","",IF(MOD(ROW()-5,3)=0,"周转打冷",IF(MOD(ROW()-5,3)=1,"仓储加工","装卸费")))</f>
        <v/>
      </c>
      <c r="E677" s="51" t="str">
        <f aca="false">IF($B677="","",IFERROR(IF($D677="周转打冷",N(INDEX(对接源_01入库吨位!$D$5:$D$304,MATCH(INT((ROW()-5)/3)+1,对接源_01入库吨位!$S$5:$S$304,0))),IF($D677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7" s="41" t="str">
        <f aca="false">IF($B677="","",ROUND(IFERROR(IF($D677="周转打冷",N(INDEX(对接源_01入库吨位!$H$5:$H$304,MATCH(INT((ROW()-5)/3)+1,对接源_01入库吨位!$S$5:$S$304,0))),IF($D677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7" s="52" t="str">
        <f aca="false">IF($B677="","",ROUND(N($F677)/1000,3))</f>
        <v/>
      </c>
      <c r="H677" s="74"/>
      <c r="I677" s="44"/>
      <c r="J677" s="75" t="str">
        <f aca="false">IF($B677="","",IF($H677="按筐数×单价",N($E677),IF($H677="按总重KG×单价",N($F677),IF($H677="按吨位×单价",N($G677),0))))</f>
        <v/>
      </c>
      <c r="K677" s="41" t="str">
        <f aca="false">IF($B677="","",ROUND(N($J677)*N($I677),2))</f>
        <v/>
      </c>
      <c r="L677" s="42"/>
      <c r="M677" s="76"/>
      <c r="N677" s="43"/>
      <c r="R677" s="77" t="str">
        <f aca="false">IF($B677="","",$B677)</f>
        <v/>
      </c>
      <c r="S677" s="77" t="n">
        <f aca="false">IF($R677="",0,IF(MATCH($R677,$R$5:$R$904,0)=ROW()-4,1,0))</f>
        <v>0</v>
      </c>
      <c r="T677" s="77" t="n">
        <f aca="false">N(T676)+$S677</f>
        <v>18</v>
      </c>
    </row>
    <row r="678" customFormat="false" ht="13.5" hidden="false" customHeight="false" outlineLevel="0" collapsed="false">
      <c r="A678" s="9" t="str">
        <f aca="false">IF($B678="","",ROW()-4)</f>
        <v/>
      </c>
      <c r="B678" s="39" t="str">
        <f aca="false">IFERROR(INDEX(对接源_01入库吨位!$B$5:$B$304,MATCH(INT((ROW()-5)/3)+1,对接源_01入库吨位!$S$5:$S$304,0)),"")</f>
        <v/>
      </c>
      <c r="C678" s="39" t="str">
        <f aca="false">IFERROR(INDEX(对接源_01入库吨位!$C$5:$C$304,MATCH(INT((ROW()-5)/3)+1,对接源_01入库吨位!$S$5:$S$304,0)),"")</f>
        <v/>
      </c>
      <c r="D678" s="40" t="str">
        <f aca="false">IF($B678="","",IF(MOD(ROW()-5,3)=0,"周转打冷",IF(MOD(ROW()-5,3)=1,"仓储加工","装卸费")))</f>
        <v/>
      </c>
      <c r="E678" s="51" t="str">
        <f aca="false">IF($B678="","",IFERROR(IF($D678="周转打冷",N(INDEX(对接源_01入库吨位!$D$5:$D$304,MATCH(INT((ROW()-5)/3)+1,对接源_01入库吨位!$S$5:$S$304,0))),IF($D678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8" s="41" t="str">
        <f aca="false">IF($B678="","",ROUND(IFERROR(IF($D678="周转打冷",N(INDEX(对接源_01入库吨位!$H$5:$H$304,MATCH(INT((ROW()-5)/3)+1,对接源_01入库吨位!$S$5:$S$304,0))),IF($D678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8" s="52" t="str">
        <f aca="false">IF($B678="","",ROUND(N($F678)/1000,3))</f>
        <v/>
      </c>
      <c r="H678" s="74"/>
      <c r="I678" s="44"/>
      <c r="J678" s="75" t="str">
        <f aca="false">IF($B678="","",IF($H678="按筐数×单价",N($E678),IF($H678="按总重KG×单价",N($F678),IF($H678="按吨位×单价",N($G678),0))))</f>
        <v/>
      </c>
      <c r="K678" s="41" t="str">
        <f aca="false">IF($B678="","",ROUND(N($J678)*N($I678),2))</f>
        <v/>
      </c>
      <c r="L678" s="42"/>
      <c r="M678" s="76"/>
      <c r="N678" s="43"/>
      <c r="R678" s="77" t="str">
        <f aca="false">IF($B678="","",$B678)</f>
        <v/>
      </c>
      <c r="S678" s="77" t="n">
        <f aca="false">IF($R678="",0,IF(MATCH($R678,$R$5:$R$904,0)=ROW()-4,1,0))</f>
        <v>0</v>
      </c>
      <c r="T678" s="77" t="n">
        <f aca="false">N(T677)+$S678</f>
        <v>18</v>
      </c>
    </row>
    <row r="679" customFormat="false" ht="13.5" hidden="false" customHeight="false" outlineLevel="0" collapsed="false">
      <c r="A679" s="9" t="str">
        <f aca="false">IF($B679="","",ROW()-4)</f>
        <v/>
      </c>
      <c r="B679" s="39" t="str">
        <f aca="false">IFERROR(INDEX(对接源_01入库吨位!$B$5:$B$304,MATCH(INT((ROW()-5)/3)+1,对接源_01入库吨位!$S$5:$S$304,0)),"")</f>
        <v/>
      </c>
      <c r="C679" s="39" t="str">
        <f aca="false">IFERROR(INDEX(对接源_01入库吨位!$C$5:$C$304,MATCH(INT((ROW()-5)/3)+1,对接源_01入库吨位!$S$5:$S$304,0)),"")</f>
        <v/>
      </c>
      <c r="D679" s="40" t="str">
        <f aca="false">IF($B679="","",IF(MOD(ROW()-5,3)=0,"周转打冷",IF(MOD(ROW()-5,3)=1,"仓储加工","装卸费")))</f>
        <v/>
      </c>
      <c r="E679" s="51" t="str">
        <f aca="false">IF($B679="","",IFERROR(IF($D679="周转打冷",N(INDEX(对接源_01入库吨位!$D$5:$D$304,MATCH(INT((ROW()-5)/3)+1,对接源_01入库吨位!$S$5:$S$304,0))),IF($D679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79" s="41" t="str">
        <f aca="false">IF($B679="","",ROUND(IFERROR(IF($D679="周转打冷",N(INDEX(对接源_01入库吨位!$H$5:$H$304,MATCH(INT((ROW()-5)/3)+1,对接源_01入库吨位!$S$5:$S$304,0))),IF($D679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79" s="52" t="str">
        <f aca="false">IF($B679="","",ROUND(N($F679)/1000,3))</f>
        <v/>
      </c>
      <c r="H679" s="74"/>
      <c r="I679" s="44"/>
      <c r="J679" s="75" t="str">
        <f aca="false">IF($B679="","",IF($H679="按筐数×单价",N($E679),IF($H679="按总重KG×单价",N($F679),IF($H679="按吨位×单价",N($G679),0))))</f>
        <v/>
      </c>
      <c r="K679" s="41" t="str">
        <f aca="false">IF($B679="","",ROUND(N($J679)*N($I679),2))</f>
        <v/>
      </c>
      <c r="L679" s="42"/>
      <c r="M679" s="76"/>
      <c r="N679" s="43"/>
      <c r="R679" s="77" t="str">
        <f aca="false">IF($B679="","",$B679)</f>
        <v/>
      </c>
      <c r="S679" s="77" t="n">
        <f aca="false">IF($R679="",0,IF(MATCH($R679,$R$5:$R$904,0)=ROW()-4,1,0))</f>
        <v>0</v>
      </c>
      <c r="T679" s="77" t="n">
        <f aca="false">N(T678)+$S679</f>
        <v>18</v>
      </c>
    </row>
    <row r="680" customFormat="false" ht="13.5" hidden="false" customHeight="false" outlineLevel="0" collapsed="false">
      <c r="A680" s="9" t="str">
        <f aca="false">IF($B680="","",ROW()-4)</f>
        <v/>
      </c>
      <c r="B680" s="39" t="str">
        <f aca="false">IFERROR(INDEX(对接源_01入库吨位!$B$5:$B$304,MATCH(INT((ROW()-5)/3)+1,对接源_01入库吨位!$S$5:$S$304,0)),"")</f>
        <v/>
      </c>
      <c r="C680" s="39" t="str">
        <f aca="false">IFERROR(INDEX(对接源_01入库吨位!$C$5:$C$304,MATCH(INT((ROW()-5)/3)+1,对接源_01入库吨位!$S$5:$S$304,0)),"")</f>
        <v/>
      </c>
      <c r="D680" s="40" t="str">
        <f aca="false">IF($B680="","",IF(MOD(ROW()-5,3)=0,"周转打冷",IF(MOD(ROW()-5,3)=1,"仓储加工","装卸费")))</f>
        <v/>
      </c>
      <c r="E680" s="51" t="str">
        <f aca="false">IF($B680="","",IFERROR(IF($D680="周转打冷",N(INDEX(对接源_01入库吨位!$D$5:$D$304,MATCH(INT((ROW()-5)/3)+1,对接源_01入库吨位!$S$5:$S$304,0))),IF($D680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0" s="41" t="str">
        <f aca="false">IF($B680="","",ROUND(IFERROR(IF($D680="周转打冷",N(INDEX(对接源_01入库吨位!$H$5:$H$304,MATCH(INT((ROW()-5)/3)+1,对接源_01入库吨位!$S$5:$S$304,0))),IF($D680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0" s="52" t="str">
        <f aca="false">IF($B680="","",ROUND(N($F680)/1000,3))</f>
        <v/>
      </c>
      <c r="H680" s="74"/>
      <c r="I680" s="44"/>
      <c r="J680" s="75" t="str">
        <f aca="false">IF($B680="","",IF($H680="按筐数×单价",N($E680),IF($H680="按总重KG×单价",N($F680),IF($H680="按吨位×单价",N($G680),0))))</f>
        <v/>
      </c>
      <c r="K680" s="41" t="str">
        <f aca="false">IF($B680="","",ROUND(N($J680)*N($I680),2))</f>
        <v/>
      </c>
      <c r="L680" s="42"/>
      <c r="M680" s="76"/>
      <c r="N680" s="43"/>
      <c r="R680" s="77" t="str">
        <f aca="false">IF($B680="","",$B680)</f>
        <v/>
      </c>
      <c r="S680" s="77" t="n">
        <f aca="false">IF($R680="",0,IF(MATCH($R680,$R$5:$R$904,0)=ROW()-4,1,0))</f>
        <v>0</v>
      </c>
      <c r="T680" s="77" t="n">
        <f aca="false">N(T679)+$S680</f>
        <v>18</v>
      </c>
    </row>
    <row r="681" customFormat="false" ht="13.5" hidden="false" customHeight="false" outlineLevel="0" collapsed="false">
      <c r="A681" s="9" t="str">
        <f aca="false">IF($B681="","",ROW()-4)</f>
        <v/>
      </c>
      <c r="B681" s="39" t="str">
        <f aca="false">IFERROR(INDEX(对接源_01入库吨位!$B$5:$B$304,MATCH(INT((ROW()-5)/3)+1,对接源_01入库吨位!$S$5:$S$304,0)),"")</f>
        <v/>
      </c>
      <c r="C681" s="39" t="str">
        <f aca="false">IFERROR(INDEX(对接源_01入库吨位!$C$5:$C$304,MATCH(INT((ROW()-5)/3)+1,对接源_01入库吨位!$S$5:$S$304,0)),"")</f>
        <v/>
      </c>
      <c r="D681" s="40" t="str">
        <f aca="false">IF($B681="","",IF(MOD(ROW()-5,3)=0,"周转打冷",IF(MOD(ROW()-5,3)=1,"仓储加工","装卸费")))</f>
        <v/>
      </c>
      <c r="E681" s="51" t="str">
        <f aca="false">IF($B681="","",IFERROR(IF($D681="周转打冷",N(INDEX(对接源_01入库吨位!$D$5:$D$304,MATCH(INT((ROW()-5)/3)+1,对接源_01入库吨位!$S$5:$S$304,0))),IF($D681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1" s="41" t="str">
        <f aca="false">IF($B681="","",ROUND(IFERROR(IF($D681="周转打冷",N(INDEX(对接源_01入库吨位!$H$5:$H$304,MATCH(INT((ROW()-5)/3)+1,对接源_01入库吨位!$S$5:$S$304,0))),IF($D681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1" s="52" t="str">
        <f aca="false">IF($B681="","",ROUND(N($F681)/1000,3))</f>
        <v/>
      </c>
      <c r="H681" s="74"/>
      <c r="I681" s="44"/>
      <c r="J681" s="75" t="str">
        <f aca="false">IF($B681="","",IF($H681="按筐数×单价",N($E681),IF($H681="按总重KG×单价",N($F681),IF($H681="按吨位×单价",N($G681),0))))</f>
        <v/>
      </c>
      <c r="K681" s="41" t="str">
        <f aca="false">IF($B681="","",ROUND(N($J681)*N($I681),2))</f>
        <v/>
      </c>
      <c r="L681" s="42"/>
      <c r="M681" s="76"/>
      <c r="N681" s="43"/>
      <c r="R681" s="77" t="str">
        <f aca="false">IF($B681="","",$B681)</f>
        <v/>
      </c>
      <c r="S681" s="77" t="n">
        <f aca="false">IF($R681="",0,IF(MATCH($R681,$R$5:$R$904,0)=ROW()-4,1,0))</f>
        <v>0</v>
      </c>
      <c r="T681" s="77" t="n">
        <f aca="false">N(T680)+$S681</f>
        <v>18</v>
      </c>
    </row>
    <row r="682" customFormat="false" ht="13.5" hidden="false" customHeight="false" outlineLevel="0" collapsed="false">
      <c r="A682" s="9" t="str">
        <f aca="false">IF($B682="","",ROW()-4)</f>
        <v/>
      </c>
      <c r="B682" s="39" t="str">
        <f aca="false">IFERROR(INDEX(对接源_01入库吨位!$B$5:$B$304,MATCH(INT((ROW()-5)/3)+1,对接源_01入库吨位!$S$5:$S$304,0)),"")</f>
        <v/>
      </c>
      <c r="C682" s="39" t="str">
        <f aca="false">IFERROR(INDEX(对接源_01入库吨位!$C$5:$C$304,MATCH(INT((ROW()-5)/3)+1,对接源_01入库吨位!$S$5:$S$304,0)),"")</f>
        <v/>
      </c>
      <c r="D682" s="40" t="str">
        <f aca="false">IF($B682="","",IF(MOD(ROW()-5,3)=0,"周转打冷",IF(MOD(ROW()-5,3)=1,"仓储加工","装卸费")))</f>
        <v/>
      </c>
      <c r="E682" s="51" t="str">
        <f aca="false">IF($B682="","",IFERROR(IF($D682="周转打冷",N(INDEX(对接源_01入库吨位!$D$5:$D$304,MATCH(INT((ROW()-5)/3)+1,对接源_01入库吨位!$S$5:$S$304,0))),IF($D682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2" s="41" t="str">
        <f aca="false">IF($B682="","",ROUND(IFERROR(IF($D682="周转打冷",N(INDEX(对接源_01入库吨位!$H$5:$H$304,MATCH(INT((ROW()-5)/3)+1,对接源_01入库吨位!$S$5:$S$304,0))),IF($D682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2" s="52" t="str">
        <f aca="false">IF($B682="","",ROUND(N($F682)/1000,3))</f>
        <v/>
      </c>
      <c r="H682" s="74"/>
      <c r="I682" s="44"/>
      <c r="J682" s="75" t="str">
        <f aca="false">IF($B682="","",IF($H682="按筐数×单价",N($E682),IF($H682="按总重KG×单价",N($F682),IF($H682="按吨位×单价",N($G682),0))))</f>
        <v/>
      </c>
      <c r="K682" s="41" t="str">
        <f aca="false">IF($B682="","",ROUND(N($J682)*N($I682),2))</f>
        <v/>
      </c>
      <c r="L682" s="42"/>
      <c r="M682" s="76"/>
      <c r="N682" s="43"/>
      <c r="R682" s="77" t="str">
        <f aca="false">IF($B682="","",$B682)</f>
        <v/>
      </c>
      <c r="S682" s="77" t="n">
        <f aca="false">IF($R682="",0,IF(MATCH($R682,$R$5:$R$904,0)=ROW()-4,1,0))</f>
        <v>0</v>
      </c>
      <c r="T682" s="77" t="n">
        <f aca="false">N(T681)+$S682</f>
        <v>18</v>
      </c>
    </row>
    <row r="683" customFormat="false" ht="13.5" hidden="false" customHeight="false" outlineLevel="0" collapsed="false">
      <c r="A683" s="9" t="str">
        <f aca="false">IF($B683="","",ROW()-4)</f>
        <v/>
      </c>
      <c r="B683" s="39" t="str">
        <f aca="false">IFERROR(INDEX(对接源_01入库吨位!$B$5:$B$304,MATCH(INT((ROW()-5)/3)+1,对接源_01入库吨位!$S$5:$S$304,0)),"")</f>
        <v/>
      </c>
      <c r="C683" s="39" t="str">
        <f aca="false">IFERROR(INDEX(对接源_01入库吨位!$C$5:$C$304,MATCH(INT((ROW()-5)/3)+1,对接源_01入库吨位!$S$5:$S$304,0)),"")</f>
        <v/>
      </c>
      <c r="D683" s="40" t="str">
        <f aca="false">IF($B683="","",IF(MOD(ROW()-5,3)=0,"周转打冷",IF(MOD(ROW()-5,3)=1,"仓储加工","装卸费")))</f>
        <v/>
      </c>
      <c r="E683" s="51" t="str">
        <f aca="false">IF($B683="","",IFERROR(IF($D683="周转打冷",N(INDEX(对接源_01入库吨位!$D$5:$D$304,MATCH(INT((ROW()-5)/3)+1,对接源_01入库吨位!$S$5:$S$304,0))),IF($D683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3" s="41" t="str">
        <f aca="false">IF($B683="","",ROUND(IFERROR(IF($D683="周转打冷",N(INDEX(对接源_01入库吨位!$H$5:$H$304,MATCH(INT((ROW()-5)/3)+1,对接源_01入库吨位!$S$5:$S$304,0))),IF($D683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3" s="52" t="str">
        <f aca="false">IF($B683="","",ROUND(N($F683)/1000,3))</f>
        <v/>
      </c>
      <c r="H683" s="74"/>
      <c r="I683" s="44"/>
      <c r="J683" s="75" t="str">
        <f aca="false">IF($B683="","",IF($H683="按筐数×单价",N($E683),IF($H683="按总重KG×单价",N($F683),IF($H683="按吨位×单价",N($G683),0))))</f>
        <v/>
      </c>
      <c r="K683" s="41" t="str">
        <f aca="false">IF($B683="","",ROUND(N($J683)*N($I683),2))</f>
        <v/>
      </c>
      <c r="L683" s="42"/>
      <c r="M683" s="76"/>
      <c r="N683" s="43"/>
      <c r="R683" s="77" t="str">
        <f aca="false">IF($B683="","",$B683)</f>
        <v/>
      </c>
      <c r="S683" s="77" t="n">
        <f aca="false">IF($R683="",0,IF(MATCH($R683,$R$5:$R$904,0)=ROW()-4,1,0))</f>
        <v>0</v>
      </c>
      <c r="T683" s="77" t="n">
        <f aca="false">N(T682)+$S683</f>
        <v>18</v>
      </c>
    </row>
    <row r="684" customFormat="false" ht="13.5" hidden="false" customHeight="false" outlineLevel="0" collapsed="false">
      <c r="A684" s="9" t="str">
        <f aca="false">IF($B684="","",ROW()-4)</f>
        <v/>
      </c>
      <c r="B684" s="39" t="str">
        <f aca="false">IFERROR(INDEX(对接源_01入库吨位!$B$5:$B$304,MATCH(INT((ROW()-5)/3)+1,对接源_01入库吨位!$S$5:$S$304,0)),"")</f>
        <v/>
      </c>
      <c r="C684" s="39" t="str">
        <f aca="false">IFERROR(INDEX(对接源_01入库吨位!$C$5:$C$304,MATCH(INT((ROW()-5)/3)+1,对接源_01入库吨位!$S$5:$S$304,0)),"")</f>
        <v/>
      </c>
      <c r="D684" s="40" t="str">
        <f aca="false">IF($B684="","",IF(MOD(ROW()-5,3)=0,"周转打冷",IF(MOD(ROW()-5,3)=1,"仓储加工","装卸费")))</f>
        <v/>
      </c>
      <c r="E684" s="51" t="str">
        <f aca="false">IF($B684="","",IFERROR(IF($D684="周转打冷",N(INDEX(对接源_01入库吨位!$D$5:$D$304,MATCH(INT((ROW()-5)/3)+1,对接源_01入库吨位!$S$5:$S$304,0))),IF($D684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4" s="41" t="str">
        <f aca="false">IF($B684="","",ROUND(IFERROR(IF($D684="周转打冷",N(INDEX(对接源_01入库吨位!$H$5:$H$304,MATCH(INT((ROW()-5)/3)+1,对接源_01入库吨位!$S$5:$S$304,0))),IF($D684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4" s="52" t="str">
        <f aca="false">IF($B684="","",ROUND(N($F684)/1000,3))</f>
        <v/>
      </c>
      <c r="H684" s="74"/>
      <c r="I684" s="44"/>
      <c r="J684" s="75" t="str">
        <f aca="false">IF($B684="","",IF($H684="按筐数×单价",N($E684),IF($H684="按总重KG×单价",N($F684),IF($H684="按吨位×单价",N($G684),0))))</f>
        <v/>
      </c>
      <c r="K684" s="41" t="str">
        <f aca="false">IF($B684="","",ROUND(N($J684)*N($I684),2))</f>
        <v/>
      </c>
      <c r="L684" s="42"/>
      <c r="M684" s="76"/>
      <c r="N684" s="43"/>
      <c r="R684" s="77" t="str">
        <f aca="false">IF($B684="","",$B684)</f>
        <v/>
      </c>
      <c r="S684" s="77" t="n">
        <f aca="false">IF($R684="",0,IF(MATCH($R684,$R$5:$R$904,0)=ROW()-4,1,0))</f>
        <v>0</v>
      </c>
      <c r="T684" s="77" t="n">
        <f aca="false">N(T683)+$S684</f>
        <v>18</v>
      </c>
    </row>
    <row r="685" customFormat="false" ht="13.5" hidden="false" customHeight="false" outlineLevel="0" collapsed="false">
      <c r="A685" s="9" t="str">
        <f aca="false">IF($B685="","",ROW()-4)</f>
        <v/>
      </c>
      <c r="B685" s="39" t="str">
        <f aca="false">IFERROR(INDEX(对接源_01入库吨位!$B$5:$B$304,MATCH(INT((ROW()-5)/3)+1,对接源_01入库吨位!$S$5:$S$304,0)),"")</f>
        <v/>
      </c>
      <c r="C685" s="39" t="str">
        <f aca="false">IFERROR(INDEX(对接源_01入库吨位!$C$5:$C$304,MATCH(INT((ROW()-5)/3)+1,对接源_01入库吨位!$S$5:$S$304,0)),"")</f>
        <v/>
      </c>
      <c r="D685" s="40" t="str">
        <f aca="false">IF($B685="","",IF(MOD(ROW()-5,3)=0,"周转打冷",IF(MOD(ROW()-5,3)=1,"仓储加工","装卸费")))</f>
        <v/>
      </c>
      <c r="E685" s="51" t="str">
        <f aca="false">IF($B685="","",IFERROR(IF($D685="周转打冷",N(INDEX(对接源_01入库吨位!$D$5:$D$304,MATCH(INT((ROW()-5)/3)+1,对接源_01入库吨位!$S$5:$S$304,0))),IF($D685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5" s="41" t="str">
        <f aca="false">IF($B685="","",ROUND(IFERROR(IF($D685="周转打冷",N(INDEX(对接源_01入库吨位!$H$5:$H$304,MATCH(INT((ROW()-5)/3)+1,对接源_01入库吨位!$S$5:$S$304,0))),IF($D685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5" s="52" t="str">
        <f aca="false">IF($B685="","",ROUND(N($F685)/1000,3))</f>
        <v/>
      </c>
      <c r="H685" s="74"/>
      <c r="I685" s="44"/>
      <c r="J685" s="75" t="str">
        <f aca="false">IF($B685="","",IF($H685="按筐数×单价",N($E685),IF($H685="按总重KG×单价",N($F685),IF($H685="按吨位×单价",N($G685),0))))</f>
        <v/>
      </c>
      <c r="K685" s="41" t="str">
        <f aca="false">IF($B685="","",ROUND(N($J685)*N($I685),2))</f>
        <v/>
      </c>
      <c r="L685" s="42"/>
      <c r="M685" s="76"/>
      <c r="N685" s="43"/>
      <c r="R685" s="77" t="str">
        <f aca="false">IF($B685="","",$B685)</f>
        <v/>
      </c>
      <c r="S685" s="77" t="n">
        <f aca="false">IF($R685="",0,IF(MATCH($R685,$R$5:$R$904,0)=ROW()-4,1,0))</f>
        <v>0</v>
      </c>
      <c r="T685" s="77" t="n">
        <f aca="false">N(T684)+$S685</f>
        <v>18</v>
      </c>
    </row>
    <row r="686" customFormat="false" ht="13.5" hidden="false" customHeight="false" outlineLevel="0" collapsed="false">
      <c r="A686" s="9" t="str">
        <f aca="false">IF($B686="","",ROW()-4)</f>
        <v/>
      </c>
      <c r="B686" s="39" t="str">
        <f aca="false">IFERROR(INDEX(对接源_01入库吨位!$B$5:$B$304,MATCH(INT((ROW()-5)/3)+1,对接源_01入库吨位!$S$5:$S$304,0)),"")</f>
        <v/>
      </c>
      <c r="C686" s="39" t="str">
        <f aca="false">IFERROR(INDEX(对接源_01入库吨位!$C$5:$C$304,MATCH(INT((ROW()-5)/3)+1,对接源_01入库吨位!$S$5:$S$304,0)),"")</f>
        <v/>
      </c>
      <c r="D686" s="40" t="str">
        <f aca="false">IF($B686="","",IF(MOD(ROW()-5,3)=0,"周转打冷",IF(MOD(ROW()-5,3)=1,"仓储加工","装卸费")))</f>
        <v/>
      </c>
      <c r="E686" s="51" t="str">
        <f aca="false">IF($B686="","",IFERROR(IF($D686="周转打冷",N(INDEX(对接源_01入库吨位!$D$5:$D$304,MATCH(INT((ROW()-5)/3)+1,对接源_01入库吨位!$S$5:$S$304,0))),IF($D686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6" s="41" t="str">
        <f aca="false">IF($B686="","",ROUND(IFERROR(IF($D686="周转打冷",N(INDEX(对接源_01入库吨位!$H$5:$H$304,MATCH(INT((ROW()-5)/3)+1,对接源_01入库吨位!$S$5:$S$304,0))),IF($D686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6" s="52" t="str">
        <f aca="false">IF($B686="","",ROUND(N($F686)/1000,3))</f>
        <v/>
      </c>
      <c r="H686" s="74"/>
      <c r="I686" s="44"/>
      <c r="J686" s="75" t="str">
        <f aca="false">IF($B686="","",IF($H686="按筐数×单价",N($E686),IF($H686="按总重KG×单价",N($F686),IF($H686="按吨位×单价",N($G686),0))))</f>
        <v/>
      </c>
      <c r="K686" s="41" t="str">
        <f aca="false">IF($B686="","",ROUND(N($J686)*N($I686),2))</f>
        <v/>
      </c>
      <c r="L686" s="42"/>
      <c r="M686" s="76"/>
      <c r="N686" s="43"/>
      <c r="R686" s="77" t="str">
        <f aca="false">IF($B686="","",$B686)</f>
        <v/>
      </c>
      <c r="S686" s="77" t="n">
        <f aca="false">IF($R686="",0,IF(MATCH($R686,$R$5:$R$904,0)=ROW()-4,1,0))</f>
        <v>0</v>
      </c>
      <c r="T686" s="77" t="n">
        <f aca="false">N(T685)+$S686</f>
        <v>18</v>
      </c>
    </row>
    <row r="687" customFormat="false" ht="13.5" hidden="false" customHeight="false" outlineLevel="0" collapsed="false">
      <c r="A687" s="9" t="str">
        <f aca="false">IF($B687="","",ROW()-4)</f>
        <v/>
      </c>
      <c r="B687" s="39" t="str">
        <f aca="false">IFERROR(INDEX(对接源_01入库吨位!$B$5:$B$304,MATCH(INT((ROW()-5)/3)+1,对接源_01入库吨位!$S$5:$S$304,0)),"")</f>
        <v/>
      </c>
      <c r="C687" s="39" t="str">
        <f aca="false">IFERROR(INDEX(对接源_01入库吨位!$C$5:$C$304,MATCH(INT((ROW()-5)/3)+1,对接源_01入库吨位!$S$5:$S$304,0)),"")</f>
        <v/>
      </c>
      <c r="D687" s="40" t="str">
        <f aca="false">IF($B687="","",IF(MOD(ROW()-5,3)=0,"周转打冷",IF(MOD(ROW()-5,3)=1,"仓储加工","装卸费")))</f>
        <v/>
      </c>
      <c r="E687" s="51" t="str">
        <f aca="false">IF($B687="","",IFERROR(IF($D687="周转打冷",N(INDEX(对接源_01入库吨位!$D$5:$D$304,MATCH(INT((ROW()-5)/3)+1,对接源_01入库吨位!$S$5:$S$304,0))),IF($D687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7" s="41" t="str">
        <f aca="false">IF($B687="","",ROUND(IFERROR(IF($D687="周转打冷",N(INDEX(对接源_01入库吨位!$H$5:$H$304,MATCH(INT((ROW()-5)/3)+1,对接源_01入库吨位!$S$5:$S$304,0))),IF($D687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7" s="52" t="str">
        <f aca="false">IF($B687="","",ROUND(N($F687)/1000,3))</f>
        <v/>
      </c>
      <c r="H687" s="74"/>
      <c r="I687" s="44"/>
      <c r="J687" s="75" t="str">
        <f aca="false">IF($B687="","",IF($H687="按筐数×单价",N($E687),IF($H687="按总重KG×单价",N($F687),IF($H687="按吨位×单价",N($G687),0))))</f>
        <v/>
      </c>
      <c r="K687" s="41" t="str">
        <f aca="false">IF($B687="","",ROUND(N($J687)*N($I687),2))</f>
        <v/>
      </c>
      <c r="L687" s="42"/>
      <c r="M687" s="76"/>
      <c r="N687" s="43"/>
      <c r="R687" s="77" t="str">
        <f aca="false">IF($B687="","",$B687)</f>
        <v/>
      </c>
      <c r="S687" s="77" t="n">
        <f aca="false">IF($R687="",0,IF(MATCH($R687,$R$5:$R$904,0)=ROW()-4,1,0))</f>
        <v>0</v>
      </c>
      <c r="T687" s="77" t="n">
        <f aca="false">N(T686)+$S687</f>
        <v>18</v>
      </c>
    </row>
    <row r="688" customFormat="false" ht="13.5" hidden="false" customHeight="false" outlineLevel="0" collapsed="false">
      <c r="A688" s="9" t="str">
        <f aca="false">IF($B688="","",ROW()-4)</f>
        <v/>
      </c>
      <c r="B688" s="39" t="str">
        <f aca="false">IFERROR(INDEX(对接源_01入库吨位!$B$5:$B$304,MATCH(INT((ROW()-5)/3)+1,对接源_01入库吨位!$S$5:$S$304,0)),"")</f>
        <v/>
      </c>
      <c r="C688" s="39" t="str">
        <f aca="false">IFERROR(INDEX(对接源_01入库吨位!$C$5:$C$304,MATCH(INT((ROW()-5)/3)+1,对接源_01入库吨位!$S$5:$S$304,0)),"")</f>
        <v/>
      </c>
      <c r="D688" s="40" t="str">
        <f aca="false">IF($B688="","",IF(MOD(ROW()-5,3)=0,"周转打冷",IF(MOD(ROW()-5,3)=1,"仓储加工","装卸费")))</f>
        <v/>
      </c>
      <c r="E688" s="51" t="str">
        <f aca="false">IF($B688="","",IFERROR(IF($D688="周转打冷",N(INDEX(对接源_01入库吨位!$D$5:$D$304,MATCH(INT((ROW()-5)/3)+1,对接源_01入库吨位!$S$5:$S$304,0))),IF($D688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8" s="41" t="str">
        <f aca="false">IF($B688="","",ROUND(IFERROR(IF($D688="周转打冷",N(INDEX(对接源_01入库吨位!$H$5:$H$304,MATCH(INT((ROW()-5)/3)+1,对接源_01入库吨位!$S$5:$S$304,0))),IF($D688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8" s="52" t="str">
        <f aca="false">IF($B688="","",ROUND(N($F688)/1000,3))</f>
        <v/>
      </c>
      <c r="H688" s="74"/>
      <c r="I688" s="44"/>
      <c r="J688" s="75" t="str">
        <f aca="false">IF($B688="","",IF($H688="按筐数×单价",N($E688),IF($H688="按总重KG×单价",N($F688),IF($H688="按吨位×单价",N($G688),0))))</f>
        <v/>
      </c>
      <c r="K688" s="41" t="str">
        <f aca="false">IF($B688="","",ROUND(N($J688)*N($I688),2))</f>
        <v/>
      </c>
      <c r="L688" s="42"/>
      <c r="M688" s="76"/>
      <c r="N688" s="43"/>
      <c r="R688" s="77" t="str">
        <f aca="false">IF($B688="","",$B688)</f>
        <v/>
      </c>
      <c r="S688" s="77" t="n">
        <f aca="false">IF($R688="",0,IF(MATCH($R688,$R$5:$R$904,0)=ROW()-4,1,0))</f>
        <v>0</v>
      </c>
      <c r="T688" s="77" t="n">
        <f aca="false">N(T687)+$S688</f>
        <v>18</v>
      </c>
    </row>
    <row r="689" customFormat="false" ht="13.5" hidden="false" customHeight="false" outlineLevel="0" collapsed="false">
      <c r="A689" s="9" t="str">
        <f aca="false">IF($B689="","",ROW()-4)</f>
        <v/>
      </c>
      <c r="B689" s="39" t="str">
        <f aca="false">IFERROR(INDEX(对接源_01入库吨位!$B$5:$B$304,MATCH(INT((ROW()-5)/3)+1,对接源_01入库吨位!$S$5:$S$304,0)),"")</f>
        <v/>
      </c>
      <c r="C689" s="39" t="str">
        <f aca="false">IFERROR(INDEX(对接源_01入库吨位!$C$5:$C$304,MATCH(INT((ROW()-5)/3)+1,对接源_01入库吨位!$S$5:$S$304,0)),"")</f>
        <v/>
      </c>
      <c r="D689" s="40" t="str">
        <f aca="false">IF($B689="","",IF(MOD(ROW()-5,3)=0,"周转打冷",IF(MOD(ROW()-5,3)=1,"仓储加工","装卸费")))</f>
        <v/>
      </c>
      <c r="E689" s="51" t="str">
        <f aca="false">IF($B689="","",IFERROR(IF($D689="周转打冷",N(INDEX(对接源_01入库吨位!$D$5:$D$304,MATCH(INT((ROW()-5)/3)+1,对接源_01入库吨位!$S$5:$S$304,0))),IF($D689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89" s="41" t="str">
        <f aca="false">IF($B689="","",ROUND(IFERROR(IF($D689="周转打冷",N(INDEX(对接源_01入库吨位!$H$5:$H$304,MATCH(INT((ROW()-5)/3)+1,对接源_01入库吨位!$S$5:$S$304,0))),IF($D689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89" s="52" t="str">
        <f aca="false">IF($B689="","",ROUND(N($F689)/1000,3))</f>
        <v/>
      </c>
      <c r="H689" s="74"/>
      <c r="I689" s="44"/>
      <c r="J689" s="75" t="str">
        <f aca="false">IF($B689="","",IF($H689="按筐数×单价",N($E689),IF($H689="按总重KG×单价",N($F689),IF($H689="按吨位×单价",N($G689),0))))</f>
        <v/>
      </c>
      <c r="K689" s="41" t="str">
        <f aca="false">IF($B689="","",ROUND(N($J689)*N($I689),2))</f>
        <v/>
      </c>
      <c r="L689" s="42"/>
      <c r="M689" s="76"/>
      <c r="N689" s="43"/>
      <c r="R689" s="77" t="str">
        <f aca="false">IF($B689="","",$B689)</f>
        <v/>
      </c>
      <c r="S689" s="77" t="n">
        <f aca="false">IF($R689="",0,IF(MATCH($R689,$R$5:$R$904,0)=ROW()-4,1,0))</f>
        <v>0</v>
      </c>
      <c r="T689" s="77" t="n">
        <f aca="false">N(T688)+$S689</f>
        <v>18</v>
      </c>
    </row>
    <row r="690" customFormat="false" ht="13.5" hidden="false" customHeight="false" outlineLevel="0" collapsed="false">
      <c r="A690" s="9" t="str">
        <f aca="false">IF($B690="","",ROW()-4)</f>
        <v/>
      </c>
      <c r="B690" s="39" t="str">
        <f aca="false">IFERROR(INDEX(对接源_01入库吨位!$B$5:$B$304,MATCH(INT((ROW()-5)/3)+1,对接源_01入库吨位!$S$5:$S$304,0)),"")</f>
        <v/>
      </c>
      <c r="C690" s="39" t="str">
        <f aca="false">IFERROR(INDEX(对接源_01入库吨位!$C$5:$C$304,MATCH(INT((ROW()-5)/3)+1,对接源_01入库吨位!$S$5:$S$304,0)),"")</f>
        <v/>
      </c>
      <c r="D690" s="40" t="str">
        <f aca="false">IF($B690="","",IF(MOD(ROW()-5,3)=0,"周转打冷",IF(MOD(ROW()-5,3)=1,"仓储加工","装卸费")))</f>
        <v/>
      </c>
      <c r="E690" s="51" t="str">
        <f aca="false">IF($B690="","",IFERROR(IF($D690="周转打冷",N(INDEX(对接源_01入库吨位!$D$5:$D$304,MATCH(INT((ROW()-5)/3)+1,对接源_01入库吨位!$S$5:$S$304,0))),IF($D690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0" s="41" t="str">
        <f aca="false">IF($B690="","",ROUND(IFERROR(IF($D690="周转打冷",N(INDEX(对接源_01入库吨位!$H$5:$H$304,MATCH(INT((ROW()-5)/3)+1,对接源_01入库吨位!$S$5:$S$304,0))),IF($D690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0" s="52" t="str">
        <f aca="false">IF($B690="","",ROUND(N($F690)/1000,3))</f>
        <v/>
      </c>
      <c r="H690" s="74"/>
      <c r="I690" s="44"/>
      <c r="J690" s="75" t="str">
        <f aca="false">IF($B690="","",IF($H690="按筐数×单价",N($E690),IF($H690="按总重KG×单价",N($F690),IF($H690="按吨位×单价",N($G690),0))))</f>
        <v/>
      </c>
      <c r="K690" s="41" t="str">
        <f aca="false">IF($B690="","",ROUND(N($J690)*N($I690),2))</f>
        <v/>
      </c>
      <c r="L690" s="42"/>
      <c r="M690" s="76"/>
      <c r="N690" s="43"/>
      <c r="R690" s="77" t="str">
        <f aca="false">IF($B690="","",$B690)</f>
        <v/>
      </c>
      <c r="S690" s="77" t="n">
        <f aca="false">IF($R690="",0,IF(MATCH($R690,$R$5:$R$904,0)=ROW()-4,1,0))</f>
        <v>0</v>
      </c>
      <c r="T690" s="77" t="n">
        <f aca="false">N(T689)+$S690</f>
        <v>18</v>
      </c>
    </row>
    <row r="691" customFormat="false" ht="13.5" hidden="false" customHeight="false" outlineLevel="0" collapsed="false">
      <c r="A691" s="9" t="str">
        <f aca="false">IF($B691="","",ROW()-4)</f>
        <v/>
      </c>
      <c r="B691" s="39" t="str">
        <f aca="false">IFERROR(INDEX(对接源_01入库吨位!$B$5:$B$304,MATCH(INT((ROW()-5)/3)+1,对接源_01入库吨位!$S$5:$S$304,0)),"")</f>
        <v/>
      </c>
      <c r="C691" s="39" t="str">
        <f aca="false">IFERROR(INDEX(对接源_01入库吨位!$C$5:$C$304,MATCH(INT((ROW()-5)/3)+1,对接源_01入库吨位!$S$5:$S$304,0)),"")</f>
        <v/>
      </c>
      <c r="D691" s="40" t="str">
        <f aca="false">IF($B691="","",IF(MOD(ROW()-5,3)=0,"周转打冷",IF(MOD(ROW()-5,3)=1,"仓储加工","装卸费")))</f>
        <v/>
      </c>
      <c r="E691" s="51" t="str">
        <f aca="false">IF($B691="","",IFERROR(IF($D691="周转打冷",N(INDEX(对接源_01入库吨位!$D$5:$D$304,MATCH(INT((ROW()-5)/3)+1,对接源_01入库吨位!$S$5:$S$304,0))),IF($D691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1" s="41" t="str">
        <f aca="false">IF($B691="","",ROUND(IFERROR(IF($D691="周转打冷",N(INDEX(对接源_01入库吨位!$H$5:$H$304,MATCH(INT((ROW()-5)/3)+1,对接源_01入库吨位!$S$5:$S$304,0))),IF($D691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1" s="52" t="str">
        <f aca="false">IF($B691="","",ROUND(N($F691)/1000,3))</f>
        <v/>
      </c>
      <c r="H691" s="74"/>
      <c r="I691" s="44"/>
      <c r="J691" s="75" t="str">
        <f aca="false">IF($B691="","",IF($H691="按筐数×单价",N($E691),IF($H691="按总重KG×单价",N($F691),IF($H691="按吨位×单价",N($G691),0))))</f>
        <v/>
      </c>
      <c r="K691" s="41" t="str">
        <f aca="false">IF($B691="","",ROUND(N($J691)*N($I691),2))</f>
        <v/>
      </c>
      <c r="L691" s="42"/>
      <c r="M691" s="76"/>
      <c r="N691" s="43"/>
      <c r="R691" s="77" t="str">
        <f aca="false">IF($B691="","",$B691)</f>
        <v/>
      </c>
      <c r="S691" s="77" t="n">
        <f aca="false">IF($R691="",0,IF(MATCH($R691,$R$5:$R$904,0)=ROW()-4,1,0))</f>
        <v>0</v>
      </c>
      <c r="T691" s="77" t="n">
        <f aca="false">N(T690)+$S691</f>
        <v>18</v>
      </c>
    </row>
    <row r="692" customFormat="false" ht="13.5" hidden="false" customHeight="false" outlineLevel="0" collapsed="false">
      <c r="A692" s="9" t="str">
        <f aca="false">IF($B692="","",ROW()-4)</f>
        <v/>
      </c>
      <c r="B692" s="39" t="str">
        <f aca="false">IFERROR(INDEX(对接源_01入库吨位!$B$5:$B$304,MATCH(INT((ROW()-5)/3)+1,对接源_01入库吨位!$S$5:$S$304,0)),"")</f>
        <v/>
      </c>
      <c r="C692" s="39" t="str">
        <f aca="false">IFERROR(INDEX(对接源_01入库吨位!$C$5:$C$304,MATCH(INT((ROW()-5)/3)+1,对接源_01入库吨位!$S$5:$S$304,0)),"")</f>
        <v/>
      </c>
      <c r="D692" s="40" t="str">
        <f aca="false">IF($B692="","",IF(MOD(ROW()-5,3)=0,"周转打冷",IF(MOD(ROW()-5,3)=1,"仓储加工","装卸费")))</f>
        <v/>
      </c>
      <c r="E692" s="51" t="str">
        <f aca="false">IF($B692="","",IFERROR(IF($D692="周转打冷",N(INDEX(对接源_01入库吨位!$D$5:$D$304,MATCH(INT((ROW()-5)/3)+1,对接源_01入库吨位!$S$5:$S$304,0))),IF($D692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2" s="41" t="str">
        <f aca="false">IF($B692="","",ROUND(IFERROR(IF($D692="周转打冷",N(INDEX(对接源_01入库吨位!$H$5:$H$304,MATCH(INT((ROW()-5)/3)+1,对接源_01入库吨位!$S$5:$S$304,0))),IF($D692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2" s="52" t="str">
        <f aca="false">IF($B692="","",ROUND(N($F692)/1000,3))</f>
        <v/>
      </c>
      <c r="H692" s="74"/>
      <c r="I692" s="44"/>
      <c r="J692" s="75" t="str">
        <f aca="false">IF($B692="","",IF($H692="按筐数×单价",N($E692),IF($H692="按总重KG×单价",N($F692),IF($H692="按吨位×单价",N($G692),0))))</f>
        <v/>
      </c>
      <c r="K692" s="41" t="str">
        <f aca="false">IF($B692="","",ROUND(N($J692)*N($I692),2))</f>
        <v/>
      </c>
      <c r="L692" s="42"/>
      <c r="M692" s="76"/>
      <c r="N692" s="43"/>
      <c r="R692" s="77" t="str">
        <f aca="false">IF($B692="","",$B692)</f>
        <v/>
      </c>
      <c r="S692" s="77" t="n">
        <f aca="false">IF($R692="",0,IF(MATCH($R692,$R$5:$R$904,0)=ROW()-4,1,0))</f>
        <v>0</v>
      </c>
      <c r="T692" s="77" t="n">
        <f aca="false">N(T691)+$S692</f>
        <v>18</v>
      </c>
    </row>
    <row r="693" customFormat="false" ht="13.5" hidden="false" customHeight="false" outlineLevel="0" collapsed="false">
      <c r="A693" s="9" t="str">
        <f aca="false">IF($B693="","",ROW()-4)</f>
        <v/>
      </c>
      <c r="B693" s="39" t="str">
        <f aca="false">IFERROR(INDEX(对接源_01入库吨位!$B$5:$B$304,MATCH(INT((ROW()-5)/3)+1,对接源_01入库吨位!$S$5:$S$304,0)),"")</f>
        <v/>
      </c>
      <c r="C693" s="39" t="str">
        <f aca="false">IFERROR(INDEX(对接源_01入库吨位!$C$5:$C$304,MATCH(INT((ROW()-5)/3)+1,对接源_01入库吨位!$S$5:$S$304,0)),"")</f>
        <v/>
      </c>
      <c r="D693" s="40" t="str">
        <f aca="false">IF($B693="","",IF(MOD(ROW()-5,3)=0,"周转打冷",IF(MOD(ROW()-5,3)=1,"仓储加工","装卸费")))</f>
        <v/>
      </c>
      <c r="E693" s="51" t="str">
        <f aca="false">IF($B693="","",IFERROR(IF($D693="周转打冷",N(INDEX(对接源_01入库吨位!$D$5:$D$304,MATCH(INT((ROW()-5)/3)+1,对接源_01入库吨位!$S$5:$S$304,0))),IF($D693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3" s="41" t="str">
        <f aca="false">IF($B693="","",ROUND(IFERROR(IF($D693="周转打冷",N(INDEX(对接源_01入库吨位!$H$5:$H$304,MATCH(INT((ROW()-5)/3)+1,对接源_01入库吨位!$S$5:$S$304,0))),IF($D693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3" s="52" t="str">
        <f aca="false">IF($B693="","",ROUND(N($F693)/1000,3))</f>
        <v/>
      </c>
      <c r="H693" s="74"/>
      <c r="I693" s="44"/>
      <c r="J693" s="75" t="str">
        <f aca="false">IF($B693="","",IF($H693="按筐数×单价",N($E693),IF($H693="按总重KG×单价",N($F693),IF($H693="按吨位×单价",N($G693),0))))</f>
        <v/>
      </c>
      <c r="K693" s="41" t="str">
        <f aca="false">IF($B693="","",ROUND(N($J693)*N($I693),2))</f>
        <v/>
      </c>
      <c r="L693" s="42"/>
      <c r="M693" s="76"/>
      <c r="N693" s="43"/>
      <c r="R693" s="77" t="str">
        <f aca="false">IF($B693="","",$B693)</f>
        <v/>
      </c>
      <c r="S693" s="77" t="n">
        <f aca="false">IF($R693="",0,IF(MATCH($R693,$R$5:$R$904,0)=ROW()-4,1,0))</f>
        <v>0</v>
      </c>
      <c r="T693" s="77" t="n">
        <f aca="false">N(T692)+$S693</f>
        <v>18</v>
      </c>
    </row>
    <row r="694" customFormat="false" ht="13.5" hidden="false" customHeight="false" outlineLevel="0" collapsed="false">
      <c r="A694" s="9" t="str">
        <f aca="false">IF($B694="","",ROW()-4)</f>
        <v/>
      </c>
      <c r="B694" s="39" t="str">
        <f aca="false">IFERROR(INDEX(对接源_01入库吨位!$B$5:$B$304,MATCH(INT((ROW()-5)/3)+1,对接源_01入库吨位!$S$5:$S$304,0)),"")</f>
        <v/>
      </c>
      <c r="C694" s="39" t="str">
        <f aca="false">IFERROR(INDEX(对接源_01入库吨位!$C$5:$C$304,MATCH(INT((ROW()-5)/3)+1,对接源_01入库吨位!$S$5:$S$304,0)),"")</f>
        <v/>
      </c>
      <c r="D694" s="40" t="str">
        <f aca="false">IF($B694="","",IF(MOD(ROW()-5,3)=0,"周转打冷",IF(MOD(ROW()-5,3)=1,"仓储加工","装卸费")))</f>
        <v/>
      </c>
      <c r="E694" s="51" t="str">
        <f aca="false">IF($B694="","",IFERROR(IF($D694="周转打冷",N(INDEX(对接源_01入库吨位!$D$5:$D$304,MATCH(INT((ROW()-5)/3)+1,对接源_01入库吨位!$S$5:$S$304,0))),IF($D694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4" s="41" t="str">
        <f aca="false">IF($B694="","",ROUND(IFERROR(IF($D694="周转打冷",N(INDEX(对接源_01入库吨位!$H$5:$H$304,MATCH(INT((ROW()-5)/3)+1,对接源_01入库吨位!$S$5:$S$304,0))),IF($D694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4" s="52" t="str">
        <f aca="false">IF($B694="","",ROUND(N($F694)/1000,3))</f>
        <v/>
      </c>
      <c r="H694" s="74"/>
      <c r="I694" s="44"/>
      <c r="J694" s="75" t="str">
        <f aca="false">IF($B694="","",IF($H694="按筐数×单价",N($E694),IF($H694="按总重KG×单价",N($F694),IF($H694="按吨位×单价",N($G694),0))))</f>
        <v/>
      </c>
      <c r="K694" s="41" t="str">
        <f aca="false">IF($B694="","",ROUND(N($J694)*N($I694),2))</f>
        <v/>
      </c>
      <c r="L694" s="42"/>
      <c r="M694" s="76"/>
      <c r="N694" s="43"/>
      <c r="R694" s="77" t="str">
        <f aca="false">IF($B694="","",$B694)</f>
        <v/>
      </c>
      <c r="S694" s="77" t="n">
        <f aca="false">IF($R694="",0,IF(MATCH($R694,$R$5:$R$904,0)=ROW()-4,1,0))</f>
        <v>0</v>
      </c>
      <c r="T694" s="77" t="n">
        <f aca="false">N(T693)+$S694</f>
        <v>18</v>
      </c>
    </row>
    <row r="695" customFormat="false" ht="13.5" hidden="false" customHeight="false" outlineLevel="0" collapsed="false">
      <c r="A695" s="9" t="str">
        <f aca="false">IF($B695="","",ROW()-4)</f>
        <v/>
      </c>
      <c r="B695" s="39" t="str">
        <f aca="false">IFERROR(INDEX(对接源_01入库吨位!$B$5:$B$304,MATCH(INT((ROW()-5)/3)+1,对接源_01入库吨位!$S$5:$S$304,0)),"")</f>
        <v/>
      </c>
      <c r="C695" s="39" t="str">
        <f aca="false">IFERROR(INDEX(对接源_01入库吨位!$C$5:$C$304,MATCH(INT((ROW()-5)/3)+1,对接源_01入库吨位!$S$5:$S$304,0)),"")</f>
        <v/>
      </c>
      <c r="D695" s="40" t="str">
        <f aca="false">IF($B695="","",IF(MOD(ROW()-5,3)=0,"周转打冷",IF(MOD(ROW()-5,3)=1,"仓储加工","装卸费")))</f>
        <v/>
      </c>
      <c r="E695" s="51" t="str">
        <f aca="false">IF($B695="","",IFERROR(IF($D695="周转打冷",N(INDEX(对接源_01入库吨位!$D$5:$D$304,MATCH(INT((ROW()-5)/3)+1,对接源_01入库吨位!$S$5:$S$304,0))),IF($D695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5" s="41" t="str">
        <f aca="false">IF($B695="","",ROUND(IFERROR(IF($D695="周转打冷",N(INDEX(对接源_01入库吨位!$H$5:$H$304,MATCH(INT((ROW()-5)/3)+1,对接源_01入库吨位!$S$5:$S$304,0))),IF($D695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5" s="52" t="str">
        <f aca="false">IF($B695="","",ROUND(N($F695)/1000,3))</f>
        <v/>
      </c>
      <c r="H695" s="74"/>
      <c r="I695" s="44"/>
      <c r="J695" s="75" t="str">
        <f aca="false">IF($B695="","",IF($H695="按筐数×单价",N($E695),IF($H695="按总重KG×单价",N($F695),IF($H695="按吨位×单价",N($G695),0))))</f>
        <v/>
      </c>
      <c r="K695" s="41" t="str">
        <f aca="false">IF($B695="","",ROUND(N($J695)*N($I695),2))</f>
        <v/>
      </c>
      <c r="L695" s="42"/>
      <c r="M695" s="76"/>
      <c r="N695" s="43"/>
      <c r="R695" s="77" t="str">
        <f aca="false">IF($B695="","",$B695)</f>
        <v/>
      </c>
      <c r="S695" s="77" t="n">
        <f aca="false">IF($R695="",0,IF(MATCH($R695,$R$5:$R$904,0)=ROW()-4,1,0))</f>
        <v>0</v>
      </c>
      <c r="T695" s="77" t="n">
        <f aca="false">N(T694)+$S695</f>
        <v>18</v>
      </c>
    </row>
    <row r="696" customFormat="false" ht="13.5" hidden="false" customHeight="false" outlineLevel="0" collapsed="false">
      <c r="A696" s="9" t="str">
        <f aca="false">IF($B696="","",ROW()-4)</f>
        <v/>
      </c>
      <c r="B696" s="39" t="str">
        <f aca="false">IFERROR(INDEX(对接源_01入库吨位!$B$5:$B$304,MATCH(INT((ROW()-5)/3)+1,对接源_01入库吨位!$S$5:$S$304,0)),"")</f>
        <v/>
      </c>
      <c r="C696" s="39" t="str">
        <f aca="false">IFERROR(INDEX(对接源_01入库吨位!$C$5:$C$304,MATCH(INT((ROW()-5)/3)+1,对接源_01入库吨位!$S$5:$S$304,0)),"")</f>
        <v/>
      </c>
      <c r="D696" s="40" t="str">
        <f aca="false">IF($B696="","",IF(MOD(ROW()-5,3)=0,"周转打冷",IF(MOD(ROW()-5,3)=1,"仓储加工","装卸费")))</f>
        <v/>
      </c>
      <c r="E696" s="51" t="str">
        <f aca="false">IF($B696="","",IFERROR(IF($D696="周转打冷",N(INDEX(对接源_01入库吨位!$D$5:$D$304,MATCH(INT((ROW()-5)/3)+1,对接源_01入库吨位!$S$5:$S$304,0))),IF($D696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6" s="41" t="str">
        <f aca="false">IF($B696="","",ROUND(IFERROR(IF($D696="周转打冷",N(INDEX(对接源_01入库吨位!$H$5:$H$304,MATCH(INT((ROW()-5)/3)+1,对接源_01入库吨位!$S$5:$S$304,0))),IF($D696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6" s="52" t="str">
        <f aca="false">IF($B696="","",ROUND(N($F696)/1000,3))</f>
        <v/>
      </c>
      <c r="H696" s="74"/>
      <c r="I696" s="44"/>
      <c r="J696" s="75" t="str">
        <f aca="false">IF($B696="","",IF($H696="按筐数×单价",N($E696),IF($H696="按总重KG×单价",N($F696),IF($H696="按吨位×单价",N($G696),0))))</f>
        <v/>
      </c>
      <c r="K696" s="41" t="str">
        <f aca="false">IF($B696="","",ROUND(N($J696)*N($I696),2))</f>
        <v/>
      </c>
      <c r="L696" s="42"/>
      <c r="M696" s="76"/>
      <c r="N696" s="43"/>
      <c r="R696" s="77" t="str">
        <f aca="false">IF($B696="","",$B696)</f>
        <v/>
      </c>
      <c r="S696" s="77" t="n">
        <f aca="false">IF($R696="",0,IF(MATCH($R696,$R$5:$R$904,0)=ROW()-4,1,0))</f>
        <v>0</v>
      </c>
      <c r="T696" s="77" t="n">
        <f aca="false">N(T695)+$S696</f>
        <v>18</v>
      </c>
    </row>
    <row r="697" customFormat="false" ht="13.5" hidden="false" customHeight="false" outlineLevel="0" collapsed="false">
      <c r="A697" s="9" t="str">
        <f aca="false">IF($B697="","",ROW()-4)</f>
        <v/>
      </c>
      <c r="B697" s="39" t="str">
        <f aca="false">IFERROR(INDEX(对接源_01入库吨位!$B$5:$B$304,MATCH(INT((ROW()-5)/3)+1,对接源_01入库吨位!$S$5:$S$304,0)),"")</f>
        <v/>
      </c>
      <c r="C697" s="39" t="str">
        <f aca="false">IFERROR(INDEX(对接源_01入库吨位!$C$5:$C$304,MATCH(INT((ROW()-5)/3)+1,对接源_01入库吨位!$S$5:$S$304,0)),"")</f>
        <v/>
      </c>
      <c r="D697" s="40" t="str">
        <f aca="false">IF($B697="","",IF(MOD(ROW()-5,3)=0,"周转打冷",IF(MOD(ROW()-5,3)=1,"仓储加工","装卸费")))</f>
        <v/>
      </c>
      <c r="E697" s="51" t="str">
        <f aca="false">IF($B697="","",IFERROR(IF($D697="周转打冷",N(INDEX(对接源_01入库吨位!$D$5:$D$304,MATCH(INT((ROW()-5)/3)+1,对接源_01入库吨位!$S$5:$S$304,0))),IF($D697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7" s="41" t="str">
        <f aca="false">IF($B697="","",ROUND(IFERROR(IF($D697="周转打冷",N(INDEX(对接源_01入库吨位!$H$5:$H$304,MATCH(INT((ROW()-5)/3)+1,对接源_01入库吨位!$S$5:$S$304,0))),IF($D697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7" s="52" t="str">
        <f aca="false">IF($B697="","",ROUND(N($F697)/1000,3))</f>
        <v/>
      </c>
      <c r="H697" s="74"/>
      <c r="I697" s="44"/>
      <c r="J697" s="75" t="str">
        <f aca="false">IF($B697="","",IF($H697="按筐数×单价",N($E697),IF($H697="按总重KG×单价",N($F697),IF($H697="按吨位×单价",N($G697),0))))</f>
        <v/>
      </c>
      <c r="K697" s="41" t="str">
        <f aca="false">IF($B697="","",ROUND(N($J697)*N($I697),2))</f>
        <v/>
      </c>
      <c r="L697" s="42"/>
      <c r="M697" s="76"/>
      <c r="N697" s="43"/>
      <c r="R697" s="77" t="str">
        <f aca="false">IF($B697="","",$B697)</f>
        <v/>
      </c>
      <c r="S697" s="77" t="n">
        <f aca="false">IF($R697="",0,IF(MATCH($R697,$R$5:$R$904,0)=ROW()-4,1,0))</f>
        <v>0</v>
      </c>
      <c r="T697" s="77" t="n">
        <f aca="false">N(T696)+$S697</f>
        <v>18</v>
      </c>
    </row>
    <row r="698" customFormat="false" ht="13.5" hidden="false" customHeight="false" outlineLevel="0" collapsed="false">
      <c r="A698" s="9" t="str">
        <f aca="false">IF($B698="","",ROW()-4)</f>
        <v/>
      </c>
      <c r="B698" s="39" t="str">
        <f aca="false">IFERROR(INDEX(对接源_01入库吨位!$B$5:$B$304,MATCH(INT((ROW()-5)/3)+1,对接源_01入库吨位!$S$5:$S$304,0)),"")</f>
        <v/>
      </c>
      <c r="C698" s="39" t="str">
        <f aca="false">IFERROR(INDEX(对接源_01入库吨位!$C$5:$C$304,MATCH(INT((ROW()-5)/3)+1,对接源_01入库吨位!$S$5:$S$304,0)),"")</f>
        <v/>
      </c>
      <c r="D698" s="40" t="str">
        <f aca="false">IF($B698="","",IF(MOD(ROW()-5,3)=0,"周转打冷",IF(MOD(ROW()-5,3)=1,"仓储加工","装卸费")))</f>
        <v/>
      </c>
      <c r="E698" s="51" t="str">
        <f aca="false">IF($B698="","",IFERROR(IF($D698="周转打冷",N(INDEX(对接源_01入库吨位!$D$5:$D$304,MATCH(INT((ROW()-5)/3)+1,对接源_01入库吨位!$S$5:$S$304,0))),IF($D698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8" s="41" t="str">
        <f aca="false">IF($B698="","",ROUND(IFERROR(IF($D698="周转打冷",N(INDEX(对接源_01入库吨位!$H$5:$H$304,MATCH(INT((ROW()-5)/3)+1,对接源_01入库吨位!$S$5:$S$304,0))),IF($D698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8" s="52" t="str">
        <f aca="false">IF($B698="","",ROUND(N($F698)/1000,3))</f>
        <v/>
      </c>
      <c r="H698" s="74"/>
      <c r="I698" s="44"/>
      <c r="J698" s="75" t="str">
        <f aca="false">IF($B698="","",IF($H698="按筐数×单价",N($E698),IF($H698="按总重KG×单价",N($F698),IF($H698="按吨位×单价",N($G698),0))))</f>
        <v/>
      </c>
      <c r="K698" s="41" t="str">
        <f aca="false">IF($B698="","",ROUND(N($J698)*N($I698),2))</f>
        <v/>
      </c>
      <c r="L698" s="42"/>
      <c r="M698" s="76"/>
      <c r="N698" s="43"/>
      <c r="R698" s="77" t="str">
        <f aca="false">IF($B698="","",$B698)</f>
        <v/>
      </c>
      <c r="S698" s="77" t="n">
        <f aca="false">IF($R698="",0,IF(MATCH($R698,$R$5:$R$904,0)=ROW()-4,1,0))</f>
        <v>0</v>
      </c>
      <c r="T698" s="77" t="n">
        <f aca="false">N(T697)+$S698</f>
        <v>18</v>
      </c>
    </row>
    <row r="699" customFormat="false" ht="13.5" hidden="false" customHeight="false" outlineLevel="0" collapsed="false">
      <c r="A699" s="9" t="str">
        <f aca="false">IF($B699="","",ROW()-4)</f>
        <v/>
      </c>
      <c r="B699" s="39" t="str">
        <f aca="false">IFERROR(INDEX(对接源_01入库吨位!$B$5:$B$304,MATCH(INT((ROW()-5)/3)+1,对接源_01入库吨位!$S$5:$S$304,0)),"")</f>
        <v/>
      </c>
      <c r="C699" s="39" t="str">
        <f aca="false">IFERROR(INDEX(对接源_01入库吨位!$C$5:$C$304,MATCH(INT((ROW()-5)/3)+1,对接源_01入库吨位!$S$5:$S$304,0)),"")</f>
        <v/>
      </c>
      <c r="D699" s="40" t="str">
        <f aca="false">IF($B699="","",IF(MOD(ROW()-5,3)=0,"周转打冷",IF(MOD(ROW()-5,3)=1,"仓储加工","装卸费")))</f>
        <v/>
      </c>
      <c r="E699" s="51" t="str">
        <f aca="false">IF($B699="","",IFERROR(IF($D699="周转打冷",N(INDEX(对接源_01入库吨位!$D$5:$D$304,MATCH(INT((ROW()-5)/3)+1,对接源_01入库吨位!$S$5:$S$304,0))),IF($D699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699" s="41" t="str">
        <f aca="false">IF($B699="","",ROUND(IFERROR(IF($D699="周转打冷",N(INDEX(对接源_01入库吨位!$H$5:$H$304,MATCH(INT((ROW()-5)/3)+1,对接源_01入库吨位!$S$5:$S$304,0))),IF($D699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699" s="52" t="str">
        <f aca="false">IF($B699="","",ROUND(N($F699)/1000,3))</f>
        <v/>
      </c>
      <c r="H699" s="74"/>
      <c r="I699" s="44"/>
      <c r="J699" s="75" t="str">
        <f aca="false">IF($B699="","",IF($H699="按筐数×单价",N($E699),IF($H699="按总重KG×单价",N($F699),IF($H699="按吨位×单价",N($G699),0))))</f>
        <v/>
      </c>
      <c r="K699" s="41" t="str">
        <f aca="false">IF($B699="","",ROUND(N($J699)*N($I699),2))</f>
        <v/>
      </c>
      <c r="L699" s="42"/>
      <c r="M699" s="76"/>
      <c r="N699" s="43"/>
      <c r="R699" s="77" t="str">
        <f aca="false">IF($B699="","",$B699)</f>
        <v/>
      </c>
      <c r="S699" s="77" t="n">
        <f aca="false">IF($R699="",0,IF(MATCH($R699,$R$5:$R$904,0)=ROW()-4,1,0))</f>
        <v>0</v>
      </c>
      <c r="T699" s="77" t="n">
        <f aca="false">N(T698)+$S699</f>
        <v>18</v>
      </c>
    </row>
    <row r="700" customFormat="false" ht="13.5" hidden="false" customHeight="false" outlineLevel="0" collapsed="false">
      <c r="A700" s="9" t="str">
        <f aca="false">IF($B700="","",ROW()-4)</f>
        <v/>
      </c>
      <c r="B700" s="39" t="str">
        <f aca="false">IFERROR(INDEX(对接源_01入库吨位!$B$5:$B$304,MATCH(INT((ROW()-5)/3)+1,对接源_01入库吨位!$S$5:$S$304,0)),"")</f>
        <v/>
      </c>
      <c r="C700" s="39" t="str">
        <f aca="false">IFERROR(INDEX(对接源_01入库吨位!$C$5:$C$304,MATCH(INT((ROW()-5)/3)+1,对接源_01入库吨位!$S$5:$S$304,0)),"")</f>
        <v/>
      </c>
      <c r="D700" s="40" t="str">
        <f aca="false">IF($B700="","",IF(MOD(ROW()-5,3)=0,"周转打冷",IF(MOD(ROW()-5,3)=1,"仓储加工","装卸费")))</f>
        <v/>
      </c>
      <c r="E700" s="51" t="str">
        <f aca="false">IF($B700="","",IFERROR(IF($D700="周转打冷",N(INDEX(对接源_01入库吨位!$D$5:$D$304,MATCH(INT((ROW()-5)/3)+1,对接源_01入库吨位!$S$5:$S$304,0))),IF($D700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0" s="41" t="str">
        <f aca="false">IF($B700="","",ROUND(IFERROR(IF($D700="周转打冷",N(INDEX(对接源_01入库吨位!$H$5:$H$304,MATCH(INT((ROW()-5)/3)+1,对接源_01入库吨位!$S$5:$S$304,0))),IF($D700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0" s="52" t="str">
        <f aca="false">IF($B700="","",ROUND(N($F700)/1000,3))</f>
        <v/>
      </c>
      <c r="H700" s="74"/>
      <c r="I700" s="44"/>
      <c r="J700" s="75" t="str">
        <f aca="false">IF($B700="","",IF($H700="按筐数×单价",N($E700),IF($H700="按总重KG×单价",N($F700),IF($H700="按吨位×单价",N($G700),0))))</f>
        <v/>
      </c>
      <c r="K700" s="41" t="str">
        <f aca="false">IF($B700="","",ROUND(N($J700)*N($I700),2))</f>
        <v/>
      </c>
      <c r="L700" s="42"/>
      <c r="M700" s="76"/>
      <c r="N700" s="43"/>
      <c r="R700" s="77" t="str">
        <f aca="false">IF($B700="","",$B700)</f>
        <v/>
      </c>
      <c r="S700" s="77" t="n">
        <f aca="false">IF($R700="",0,IF(MATCH($R700,$R$5:$R$904,0)=ROW()-4,1,0))</f>
        <v>0</v>
      </c>
      <c r="T700" s="77" t="n">
        <f aca="false">N(T699)+$S700</f>
        <v>18</v>
      </c>
    </row>
    <row r="701" customFormat="false" ht="13.5" hidden="false" customHeight="false" outlineLevel="0" collapsed="false">
      <c r="A701" s="9" t="str">
        <f aca="false">IF($B701="","",ROW()-4)</f>
        <v/>
      </c>
      <c r="B701" s="39" t="str">
        <f aca="false">IFERROR(INDEX(对接源_01入库吨位!$B$5:$B$304,MATCH(INT((ROW()-5)/3)+1,对接源_01入库吨位!$S$5:$S$304,0)),"")</f>
        <v/>
      </c>
      <c r="C701" s="39" t="str">
        <f aca="false">IFERROR(INDEX(对接源_01入库吨位!$C$5:$C$304,MATCH(INT((ROW()-5)/3)+1,对接源_01入库吨位!$S$5:$S$304,0)),"")</f>
        <v/>
      </c>
      <c r="D701" s="40" t="str">
        <f aca="false">IF($B701="","",IF(MOD(ROW()-5,3)=0,"周转打冷",IF(MOD(ROW()-5,3)=1,"仓储加工","装卸费")))</f>
        <v/>
      </c>
      <c r="E701" s="51" t="str">
        <f aca="false">IF($B701="","",IFERROR(IF($D701="周转打冷",N(INDEX(对接源_01入库吨位!$D$5:$D$304,MATCH(INT((ROW()-5)/3)+1,对接源_01入库吨位!$S$5:$S$304,0))),IF($D701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1" s="41" t="str">
        <f aca="false">IF($B701="","",ROUND(IFERROR(IF($D701="周转打冷",N(INDEX(对接源_01入库吨位!$H$5:$H$304,MATCH(INT((ROW()-5)/3)+1,对接源_01入库吨位!$S$5:$S$304,0))),IF($D701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1" s="52" t="str">
        <f aca="false">IF($B701="","",ROUND(N($F701)/1000,3))</f>
        <v/>
      </c>
      <c r="H701" s="74"/>
      <c r="I701" s="44"/>
      <c r="J701" s="75" t="str">
        <f aca="false">IF($B701="","",IF($H701="按筐数×单价",N($E701),IF($H701="按总重KG×单价",N($F701),IF($H701="按吨位×单价",N($G701),0))))</f>
        <v/>
      </c>
      <c r="K701" s="41" t="str">
        <f aca="false">IF($B701="","",ROUND(N($J701)*N($I701),2))</f>
        <v/>
      </c>
      <c r="L701" s="42"/>
      <c r="M701" s="76"/>
      <c r="N701" s="43"/>
      <c r="R701" s="77" t="str">
        <f aca="false">IF($B701="","",$B701)</f>
        <v/>
      </c>
      <c r="S701" s="77" t="n">
        <f aca="false">IF($R701="",0,IF(MATCH($R701,$R$5:$R$904,0)=ROW()-4,1,0))</f>
        <v>0</v>
      </c>
      <c r="T701" s="77" t="n">
        <f aca="false">N(T700)+$S701</f>
        <v>18</v>
      </c>
    </row>
    <row r="702" customFormat="false" ht="13.5" hidden="false" customHeight="false" outlineLevel="0" collapsed="false">
      <c r="A702" s="9" t="str">
        <f aca="false">IF($B702="","",ROW()-4)</f>
        <v/>
      </c>
      <c r="B702" s="39" t="str">
        <f aca="false">IFERROR(INDEX(对接源_01入库吨位!$B$5:$B$304,MATCH(INT((ROW()-5)/3)+1,对接源_01入库吨位!$S$5:$S$304,0)),"")</f>
        <v/>
      </c>
      <c r="C702" s="39" t="str">
        <f aca="false">IFERROR(INDEX(对接源_01入库吨位!$C$5:$C$304,MATCH(INT((ROW()-5)/3)+1,对接源_01入库吨位!$S$5:$S$304,0)),"")</f>
        <v/>
      </c>
      <c r="D702" s="40" t="str">
        <f aca="false">IF($B702="","",IF(MOD(ROW()-5,3)=0,"周转打冷",IF(MOD(ROW()-5,3)=1,"仓储加工","装卸费")))</f>
        <v/>
      </c>
      <c r="E702" s="51" t="str">
        <f aca="false">IF($B702="","",IFERROR(IF($D702="周转打冷",N(INDEX(对接源_01入库吨位!$D$5:$D$304,MATCH(INT((ROW()-5)/3)+1,对接源_01入库吨位!$S$5:$S$304,0))),IF($D702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2" s="41" t="str">
        <f aca="false">IF($B702="","",ROUND(IFERROR(IF($D702="周转打冷",N(INDEX(对接源_01入库吨位!$H$5:$H$304,MATCH(INT((ROW()-5)/3)+1,对接源_01入库吨位!$S$5:$S$304,0))),IF($D702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2" s="52" t="str">
        <f aca="false">IF($B702="","",ROUND(N($F702)/1000,3))</f>
        <v/>
      </c>
      <c r="H702" s="74"/>
      <c r="I702" s="44"/>
      <c r="J702" s="75" t="str">
        <f aca="false">IF($B702="","",IF($H702="按筐数×单价",N($E702),IF($H702="按总重KG×单价",N($F702),IF($H702="按吨位×单价",N($G702),0))))</f>
        <v/>
      </c>
      <c r="K702" s="41" t="str">
        <f aca="false">IF($B702="","",ROUND(N($J702)*N($I702),2))</f>
        <v/>
      </c>
      <c r="L702" s="42"/>
      <c r="M702" s="76"/>
      <c r="N702" s="43"/>
      <c r="R702" s="77" t="str">
        <f aca="false">IF($B702="","",$B702)</f>
        <v/>
      </c>
      <c r="S702" s="77" t="n">
        <f aca="false">IF($R702="",0,IF(MATCH($R702,$R$5:$R$904,0)=ROW()-4,1,0))</f>
        <v>0</v>
      </c>
      <c r="T702" s="77" t="n">
        <f aca="false">N(T701)+$S702</f>
        <v>18</v>
      </c>
    </row>
    <row r="703" customFormat="false" ht="13.5" hidden="false" customHeight="false" outlineLevel="0" collapsed="false">
      <c r="A703" s="9" t="str">
        <f aca="false">IF($B703="","",ROW()-4)</f>
        <v/>
      </c>
      <c r="B703" s="39" t="str">
        <f aca="false">IFERROR(INDEX(对接源_01入库吨位!$B$5:$B$304,MATCH(INT((ROW()-5)/3)+1,对接源_01入库吨位!$S$5:$S$304,0)),"")</f>
        <v/>
      </c>
      <c r="C703" s="39" t="str">
        <f aca="false">IFERROR(INDEX(对接源_01入库吨位!$C$5:$C$304,MATCH(INT((ROW()-5)/3)+1,对接源_01入库吨位!$S$5:$S$304,0)),"")</f>
        <v/>
      </c>
      <c r="D703" s="40" t="str">
        <f aca="false">IF($B703="","",IF(MOD(ROW()-5,3)=0,"周转打冷",IF(MOD(ROW()-5,3)=1,"仓储加工","装卸费")))</f>
        <v/>
      </c>
      <c r="E703" s="51" t="str">
        <f aca="false">IF($B703="","",IFERROR(IF($D703="周转打冷",N(INDEX(对接源_01入库吨位!$D$5:$D$304,MATCH(INT((ROW()-5)/3)+1,对接源_01入库吨位!$S$5:$S$304,0))),IF($D703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3" s="41" t="str">
        <f aca="false">IF($B703="","",ROUND(IFERROR(IF($D703="周转打冷",N(INDEX(对接源_01入库吨位!$H$5:$H$304,MATCH(INT((ROW()-5)/3)+1,对接源_01入库吨位!$S$5:$S$304,0))),IF($D703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3" s="52" t="str">
        <f aca="false">IF($B703="","",ROUND(N($F703)/1000,3))</f>
        <v/>
      </c>
      <c r="H703" s="74"/>
      <c r="I703" s="44"/>
      <c r="J703" s="75" t="str">
        <f aca="false">IF($B703="","",IF($H703="按筐数×单价",N($E703),IF($H703="按总重KG×单价",N($F703),IF($H703="按吨位×单价",N($G703),0))))</f>
        <v/>
      </c>
      <c r="K703" s="41" t="str">
        <f aca="false">IF($B703="","",ROUND(N($J703)*N($I703),2))</f>
        <v/>
      </c>
      <c r="L703" s="42"/>
      <c r="M703" s="76"/>
      <c r="N703" s="43"/>
      <c r="R703" s="77" t="str">
        <f aca="false">IF($B703="","",$B703)</f>
        <v/>
      </c>
      <c r="S703" s="77" t="n">
        <f aca="false">IF($R703="",0,IF(MATCH($R703,$R$5:$R$904,0)=ROW()-4,1,0))</f>
        <v>0</v>
      </c>
      <c r="T703" s="77" t="n">
        <f aca="false">N(T702)+$S703</f>
        <v>18</v>
      </c>
    </row>
    <row r="704" customFormat="false" ht="13.5" hidden="false" customHeight="false" outlineLevel="0" collapsed="false">
      <c r="A704" s="9" t="str">
        <f aca="false">IF($B704="","",ROW()-4)</f>
        <v/>
      </c>
      <c r="B704" s="39" t="str">
        <f aca="false">IFERROR(INDEX(对接源_01入库吨位!$B$5:$B$304,MATCH(INT((ROW()-5)/3)+1,对接源_01入库吨位!$S$5:$S$304,0)),"")</f>
        <v/>
      </c>
      <c r="C704" s="39" t="str">
        <f aca="false">IFERROR(INDEX(对接源_01入库吨位!$C$5:$C$304,MATCH(INT((ROW()-5)/3)+1,对接源_01入库吨位!$S$5:$S$304,0)),"")</f>
        <v/>
      </c>
      <c r="D704" s="40" t="str">
        <f aca="false">IF($B704="","",IF(MOD(ROW()-5,3)=0,"周转打冷",IF(MOD(ROW()-5,3)=1,"仓储加工","装卸费")))</f>
        <v/>
      </c>
      <c r="E704" s="51" t="str">
        <f aca="false">IF($B704="","",IFERROR(IF($D704="周转打冷",N(INDEX(对接源_01入库吨位!$D$5:$D$304,MATCH(INT((ROW()-5)/3)+1,对接源_01入库吨位!$S$5:$S$304,0))),IF($D704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4" s="41" t="str">
        <f aca="false">IF($B704="","",ROUND(IFERROR(IF($D704="周转打冷",N(INDEX(对接源_01入库吨位!$H$5:$H$304,MATCH(INT((ROW()-5)/3)+1,对接源_01入库吨位!$S$5:$S$304,0))),IF($D704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4" s="52" t="str">
        <f aca="false">IF($B704="","",ROUND(N($F704)/1000,3))</f>
        <v/>
      </c>
      <c r="H704" s="74"/>
      <c r="I704" s="44"/>
      <c r="J704" s="75" t="str">
        <f aca="false">IF($B704="","",IF($H704="按筐数×单价",N($E704),IF($H704="按总重KG×单价",N($F704),IF($H704="按吨位×单价",N($G704),0))))</f>
        <v/>
      </c>
      <c r="K704" s="41" t="str">
        <f aca="false">IF($B704="","",ROUND(N($J704)*N($I704),2))</f>
        <v/>
      </c>
      <c r="L704" s="42"/>
      <c r="M704" s="76"/>
      <c r="N704" s="43"/>
      <c r="R704" s="77" t="str">
        <f aca="false">IF($B704="","",$B704)</f>
        <v/>
      </c>
      <c r="S704" s="77" t="n">
        <f aca="false">IF($R704="",0,IF(MATCH($R704,$R$5:$R$904,0)=ROW()-4,1,0))</f>
        <v>0</v>
      </c>
      <c r="T704" s="77" t="n">
        <f aca="false">N(T703)+$S704</f>
        <v>18</v>
      </c>
    </row>
    <row r="705" customFormat="false" ht="13.5" hidden="false" customHeight="false" outlineLevel="0" collapsed="false">
      <c r="A705" s="9" t="str">
        <f aca="false">IF($B705="","",ROW()-4)</f>
        <v/>
      </c>
      <c r="B705" s="39" t="str">
        <f aca="false">IFERROR(INDEX(对接源_01入库吨位!$B$5:$B$304,MATCH(INT((ROW()-5)/3)+1,对接源_01入库吨位!$S$5:$S$304,0)),"")</f>
        <v/>
      </c>
      <c r="C705" s="39" t="str">
        <f aca="false">IFERROR(INDEX(对接源_01入库吨位!$C$5:$C$304,MATCH(INT((ROW()-5)/3)+1,对接源_01入库吨位!$S$5:$S$304,0)),"")</f>
        <v/>
      </c>
      <c r="D705" s="40" t="str">
        <f aca="false">IF($B705="","",IF(MOD(ROW()-5,3)=0,"周转打冷",IF(MOD(ROW()-5,3)=1,"仓储加工","装卸费")))</f>
        <v/>
      </c>
      <c r="E705" s="51" t="str">
        <f aca="false">IF($B705="","",IFERROR(IF($D705="周转打冷",N(INDEX(对接源_01入库吨位!$D$5:$D$304,MATCH(INT((ROW()-5)/3)+1,对接源_01入库吨位!$S$5:$S$304,0))),IF($D705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5" s="41" t="str">
        <f aca="false">IF($B705="","",ROUND(IFERROR(IF($D705="周转打冷",N(INDEX(对接源_01入库吨位!$H$5:$H$304,MATCH(INT((ROW()-5)/3)+1,对接源_01入库吨位!$S$5:$S$304,0))),IF($D705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5" s="52" t="str">
        <f aca="false">IF($B705="","",ROUND(N($F705)/1000,3))</f>
        <v/>
      </c>
      <c r="H705" s="74"/>
      <c r="I705" s="44"/>
      <c r="J705" s="75" t="str">
        <f aca="false">IF($B705="","",IF($H705="按筐数×单价",N($E705),IF($H705="按总重KG×单价",N($F705),IF($H705="按吨位×单价",N($G705),0))))</f>
        <v/>
      </c>
      <c r="K705" s="41" t="str">
        <f aca="false">IF($B705="","",ROUND(N($J705)*N($I705),2))</f>
        <v/>
      </c>
      <c r="L705" s="42"/>
      <c r="M705" s="76"/>
      <c r="N705" s="43"/>
      <c r="R705" s="77" t="str">
        <f aca="false">IF($B705="","",$B705)</f>
        <v/>
      </c>
      <c r="S705" s="77" t="n">
        <f aca="false">IF($R705="",0,IF(MATCH($R705,$R$5:$R$904,0)=ROW()-4,1,0))</f>
        <v>0</v>
      </c>
      <c r="T705" s="77" t="n">
        <f aca="false">N(T704)+$S705</f>
        <v>18</v>
      </c>
    </row>
    <row r="706" customFormat="false" ht="13.5" hidden="false" customHeight="false" outlineLevel="0" collapsed="false">
      <c r="A706" s="9" t="str">
        <f aca="false">IF($B706="","",ROW()-4)</f>
        <v/>
      </c>
      <c r="B706" s="39" t="str">
        <f aca="false">IFERROR(INDEX(对接源_01入库吨位!$B$5:$B$304,MATCH(INT((ROW()-5)/3)+1,对接源_01入库吨位!$S$5:$S$304,0)),"")</f>
        <v/>
      </c>
      <c r="C706" s="39" t="str">
        <f aca="false">IFERROR(INDEX(对接源_01入库吨位!$C$5:$C$304,MATCH(INT((ROW()-5)/3)+1,对接源_01入库吨位!$S$5:$S$304,0)),"")</f>
        <v/>
      </c>
      <c r="D706" s="40" t="str">
        <f aca="false">IF($B706="","",IF(MOD(ROW()-5,3)=0,"周转打冷",IF(MOD(ROW()-5,3)=1,"仓储加工","装卸费")))</f>
        <v/>
      </c>
      <c r="E706" s="51" t="str">
        <f aca="false">IF($B706="","",IFERROR(IF($D706="周转打冷",N(INDEX(对接源_01入库吨位!$D$5:$D$304,MATCH(INT((ROW()-5)/3)+1,对接源_01入库吨位!$S$5:$S$304,0))),IF($D706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6" s="41" t="str">
        <f aca="false">IF($B706="","",ROUND(IFERROR(IF($D706="周转打冷",N(INDEX(对接源_01入库吨位!$H$5:$H$304,MATCH(INT((ROW()-5)/3)+1,对接源_01入库吨位!$S$5:$S$304,0))),IF($D706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6" s="52" t="str">
        <f aca="false">IF($B706="","",ROUND(N($F706)/1000,3))</f>
        <v/>
      </c>
      <c r="H706" s="74"/>
      <c r="I706" s="44"/>
      <c r="J706" s="75" t="str">
        <f aca="false">IF($B706="","",IF($H706="按筐数×单价",N($E706),IF($H706="按总重KG×单价",N($F706),IF($H706="按吨位×单价",N($G706),0))))</f>
        <v/>
      </c>
      <c r="K706" s="41" t="str">
        <f aca="false">IF($B706="","",ROUND(N($J706)*N($I706),2))</f>
        <v/>
      </c>
      <c r="L706" s="42"/>
      <c r="M706" s="76"/>
      <c r="N706" s="43"/>
      <c r="R706" s="77" t="str">
        <f aca="false">IF($B706="","",$B706)</f>
        <v/>
      </c>
      <c r="S706" s="77" t="n">
        <f aca="false">IF($R706="",0,IF(MATCH($R706,$R$5:$R$904,0)=ROW()-4,1,0))</f>
        <v>0</v>
      </c>
      <c r="T706" s="77" t="n">
        <f aca="false">N(T705)+$S706</f>
        <v>18</v>
      </c>
    </row>
    <row r="707" customFormat="false" ht="13.5" hidden="false" customHeight="false" outlineLevel="0" collapsed="false">
      <c r="A707" s="9" t="str">
        <f aca="false">IF($B707="","",ROW()-4)</f>
        <v/>
      </c>
      <c r="B707" s="39" t="str">
        <f aca="false">IFERROR(INDEX(对接源_01入库吨位!$B$5:$B$304,MATCH(INT((ROW()-5)/3)+1,对接源_01入库吨位!$S$5:$S$304,0)),"")</f>
        <v/>
      </c>
      <c r="C707" s="39" t="str">
        <f aca="false">IFERROR(INDEX(对接源_01入库吨位!$C$5:$C$304,MATCH(INT((ROW()-5)/3)+1,对接源_01入库吨位!$S$5:$S$304,0)),"")</f>
        <v/>
      </c>
      <c r="D707" s="40" t="str">
        <f aca="false">IF($B707="","",IF(MOD(ROW()-5,3)=0,"周转打冷",IF(MOD(ROW()-5,3)=1,"仓储加工","装卸费")))</f>
        <v/>
      </c>
      <c r="E707" s="51" t="str">
        <f aca="false">IF($B707="","",IFERROR(IF($D707="周转打冷",N(INDEX(对接源_01入库吨位!$D$5:$D$304,MATCH(INT((ROW()-5)/3)+1,对接源_01入库吨位!$S$5:$S$304,0))),IF($D707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7" s="41" t="str">
        <f aca="false">IF($B707="","",ROUND(IFERROR(IF($D707="周转打冷",N(INDEX(对接源_01入库吨位!$H$5:$H$304,MATCH(INT((ROW()-5)/3)+1,对接源_01入库吨位!$S$5:$S$304,0))),IF($D707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7" s="52" t="str">
        <f aca="false">IF($B707="","",ROUND(N($F707)/1000,3))</f>
        <v/>
      </c>
      <c r="H707" s="74"/>
      <c r="I707" s="44"/>
      <c r="J707" s="75" t="str">
        <f aca="false">IF($B707="","",IF($H707="按筐数×单价",N($E707),IF($H707="按总重KG×单价",N($F707),IF($H707="按吨位×单价",N($G707),0))))</f>
        <v/>
      </c>
      <c r="K707" s="41" t="str">
        <f aca="false">IF($B707="","",ROUND(N($J707)*N($I707),2))</f>
        <v/>
      </c>
      <c r="L707" s="42"/>
      <c r="M707" s="76"/>
      <c r="N707" s="43"/>
      <c r="R707" s="77" t="str">
        <f aca="false">IF($B707="","",$B707)</f>
        <v/>
      </c>
      <c r="S707" s="77" t="n">
        <f aca="false">IF($R707="",0,IF(MATCH($R707,$R$5:$R$904,0)=ROW()-4,1,0))</f>
        <v>0</v>
      </c>
      <c r="T707" s="77" t="n">
        <f aca="false">N(T706)+$S707</f>
        <v>18</v>
      </c>
    </row>
    <row r="708" customFormat="false" ht="13.5" hidden="false" customHeight="false" outlineLevel="0" collapsed="false">
      <c r="A708" s="9" t="str">
        <f aca="false">IF($B708="","",ROW()-4)</f>
        <v/>
      </c>
      <c r="B708" s="39" t="str">
        <f aca="false">IFERROR(INDEX(对接源_01入库吨位!$B$5:$B$304,MATCH(INT((ROW()-5)/3)+1,对接源_01入库吨位!$S$5:$S$304,0)),"")</f>
        <v/>
      </c>
      <c r="C708" s="39" t="str">
        <f aca="false">IFERROR(INDEX(对接源_01入库吨位!$C$5:$C$304,MATCH(INT((ROW()-5)/3)+1,对接源_01入库吨位!$S$5:$S$304,0)),"")</f>
        <v/>
      </c>
      <c r="D708" s="40" t="str">
        <f aca="false">IF($B708="","",IF(MOD(ROW()-5,3)=0,"周转打冷",IF(MOD(ROW()-5,3)=1,"仓储加工","装卸费")))</f>
        <v/>
      </c>
      <c r="E708" s="51" t="str">
        <f aca="false">IF($B708="","",IFERROR(IF($D708="周转打冷",N(INDEX(对接源_01入库吨位!$D$5:$D$304,MATCH(INT((ROW()-5)/3)+1,对接源_01入库吨位!$S$5:$S$304,0))),IF($D708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8" s="41" t="str">
        <f aca="false">IF($B708="","",ROUND(IFERROR(IF($D708="周转打冷",N(INDEX(对接源_01入库吨位!$H$5:$H$304,MATCH(INT((ROW()-5)/3)+1,对接源_01入库吨位!$S$5:$S$304,0))),IF($D708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8" s="52" t="str">
        <f aca="false">IF($B708="","",ROUND(N($F708)/1000,3))</f>
        <v/>
      </c>
      <c r="H708" s="74"/>
      <c r="I708" s="44"/>
      <c r="J708" s="75" t="str">
        <f aca="false">IF($B708="","",IF($H708="按筐数×单价",N($E708),IF($H708="按总重KG×单价",N($F708),IF($H708="按吨位×单价",N($G708),0))))</f>
        <v/>
      </c>
      <c r="K708" s="41" t="str">
        <f aca="false">IF($B708="","",ROUND(N($J708)*N($I708),2))</f>
        <v/>
      </c>
      <c r="L708" s="42"/>
      <c r="M708" s="76"/>
      <c r="N708" s="43"/>
      <c r="R708" s="77" t="str">
        <f aca="false">IF($B708="","",$B708)</f>
        <v/>
      </c>
      <c r="S708" s="77" t="n">
        <f aca="false">IF($R708="",0,IF(MATCH($R708,$R$5:$R$904,0)=ROW()-4,1,0))</f>
        <v>0</v>
      </c>
      <c r="T708" s="77" t="n">
        <f aca="false">N(T707)+$S708</f>
        <v>18</v>
      </c>
    </row>
    <row r="709" customFormat="false" ht="13.5" hidden="false" customHeight="false" outlineLevel="0" collapsed="false">
      <c r="A709" s="9" t="str">
        <f aca="false">IF($B709="","",ROW()-4)</f>
        <v/>
      </c>
      <c r="B709" s="39" t="str">
        <f aca="false">IFERROR(INDEX(对接源_01入库吨位!$B$5:$B$304,MATCH(INT((ROW()-5)/3)+1,对接源_01入库吨位!$S$5:$S$304,0)),"")</f>
        <v/>
      </c>
      <c r="C709" s="39" t="str">
        <f aca="false">IFERROR(INDEX(对接源_01入库吨位!$C$5:$C$304,MATCH(INT((ROW()-5)/3)+1,对接源_01入库吨位!$S$5:$S$304,0)),"")</f>
        <v/>
      </c>
      <c r="D709" s="40" t="str">
        <f aca="false">IF($B709="","",IF(MOD(ROW()-5,3)=0,"周转打冷",IF(MOD(ROW()-5,3)=1,"仓储加工","装卸费")))</f>
        <v/>
      </c>
      <c r="E709" s="51" t="str">
        <f aca="false">IF($B709="","",IFERROR(IF($D709="周转打冷",N(INDEX(对接源_01入库吨位!$D$5:$D$304,MATCH(INT((ROW()-5)/3)+1,对接源_01入库吨位!$S$5:$S$304,0))),IF($D709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09" s="41" t="str">
        <f aca="false">IF($B709="","",ROUND(IFERROR(IF($D709="周转打冷",N(INDEX(对接源_01入库吨位!$H$5:$H$304,MATCH(INT((ROW()-5)/3)+1,对接源_01入库吨位!$S$5:$S$304,0))),IF($D709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09" s="52" t="str">
        <f aca="false">IF($B709="","",ROUND(N($F709)/1000,3))</f>
        <v/>
      </c>
      <c r="H709" s="74"/>
      <c r="I709" s="44"/>
      <c r="J709" s="75" t="str">
        <f aca="false">IF($B709="","",IF($H709="按筐数×单价",N($E709),IF($H709="按总重KG×单价",N($F709),IF($H709="按吨位×单价",N($G709),0))))</f>
        <v/>
      </c>
      <c r="K709" s="41" t="str">
        <f aca="false">IF($B709="","",ROUND(N($J709)*N($I709),2))</f>
        <v/>
      </c>
      <c r="L709" s="42"/>
      <c r="M709" s="76"/>
      <c r="N709" s="43"/>
      <c r="R709" s="77" t="str">
        <f aca="false">IF($B709="","",$B709)</f>
        <v/>
      </c>
      <c r="S709" s="77" t="n">
        <f aca="false">IF($R709="",0,IF(MATCH($R709,$R$5:$R$904,0)=ROW()-4,1,0))</f>
        <v>0</v>
      </c>
      <c r="T709" s="77" t="n">
        <f aca="false">N(T708)+$S709</f>
        <v>18</v>
      </c>
    </row>
    <row r="710" customFormat="false" ht="13.5" hidden="false" customHeight="false" outlineLevel="0" collapsed="false">
      <c r="A710" s="9" t="str">
        <f aca="false">IF($B710="","",ROW()-4)</f>
        <v/>
      </c>
      <c r="B710" s="39" t="str">
        <f aca="false">IFERROR(INDEX(对接源_01入库吨位!$B$5:$B$304,MATCH(INT((ROW()-5)/3)+1,对接源_01入库吨位!$S$5:$S$304,0)),"")</f>
        <v/>
      </c>
      <c r="C710" s="39" t="str">
        <f aca="false">IFERROR(INDEX(对接源_01入库吨位!$C$5:$C$304,MATCH(INT((ROW()-5)/3)+1,对接源_01入库吨位!$S$5:$S$304,0)),"")</f>
        <v/>
      </c>
      <c r="D710" s="40" t="str">
        <f aca="false">IF($B710="","",IF(MOD(ROW()-5,3)=0,"周转打冷",IF(MOD(ROW()-5,3)=1,"仓储加工","装卸费")))</f>
        <v/>
      </c>
      <c r="E710" s="51" t="str">
        <f aca="false">IF($B710="","",IFERROR(IF($D710="周转打冷",N(INDEX(对接源_01入库吨位!$D$5:$D$304,MATCH(INT((ROW()-5)/3)+1,对接源_01入库吨位!$S$5:$S$304,0))),IF($D710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0" s="41" t="str">
        <f aca="false">IF($B710="","",ROUND(IFERROR(IF($D710="周转打冷",N(INDEX(对接源_01入库吨位!$H$5:$H$304,MATCH(INT((ROW()-5)/3)+1,对接源_01入库吨位!$S$5:$S$304,0))),IF($D710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0" s="52" t="str">
        <f aca="false">IF($B710="","",ROUND(N($F710)/1000,3))</f>
        <v/>
      </c>
      <c r="H710" s="74"/>
      <c r="I710" s="44"/>
      <c r="J710" s="75" t="str">
        <f aca="false">IF($B710="","",IF($H710="按筐数×单价",N($E710),IF($H710="按总重KG×单价",N($F710),IF($H710="按吨位×单价",N($G710),0))))</f>
        <v/>
      </c>
      <c r="K710" s="41" t="str">
        <f aca="false">IF($B710="","",ROUND(N($J710)*N($I710),2))</f>
        <v/>
      </c>
      <c r="L710" s="42"/>
      <c r="M710" s="76"/>
      <c r="N710" s="43"/>
      <c r="R710" s="77" t="str">
        <f aca="false">IF($B710="","",$B710)</f>
        <v/>
      </c>
      <c r="S710" s="77" t="n">
        <f aca="false">IF($R710="",0,IF(MATCH($R710,$R$5:$R$904,0)=ROW()-4,1,0))</f>
        <v>0</v>
      </c>
      <c r="T710" s="77" t="n">
        <f aca="false">N(T709)+$S710</f>
        <v>18</v>
      </c>
    </row>
    <row r="711" customFormat="false" ht="13.5" hidden="false" customHeight="false" outlineLevel="0" collapsed="false">
      <c r="A711" s="9" t="str">
        <f aca="false">IF($B711="","",ROW()-4)</f>
        <v/>
      </c>
      <c r="B711" s="39" t="str">
        <f aca="false">IFERROR(INDEX(对接源_01入库吨位!$B$5:$B$304,MATCH(INT((ROW()-5)/3)+1,对接源_01入库吨位!$S$5:$S$304,0)),"")</f>
        <v/>
      </c>
      <c r="C711" s="39" t="str">
        <f aca="false">IFERROR(INDEX(对接源_01入库吨位!$C$5:$C$304,MATCH(INT((ROW()-5)/3)+1,对接源_01入库吨位!$S$5:$S$304,0)),"")</f>
        <v/>
      </c>
      <c r="D711" s="40" t="str">
        <f aca="false">IF($B711="","",IF(MOD(ROW()-5,3)=0,"周转打冷",IF(MOD(ROW()-5,3)=1,"仓储加工","装卸费")))</f>
        <v/>
      </c>
      <c r="E711" s="51" t="str">
        <f aca="false">IF($B711="","",IFERROR(IF($D711="周转打冷",N(INDEX(对接源_01入库吨位!$D$5:$D$304,MATCH(INT((ROW()-5)/3)+1,对接源_01入库吨位!$S$5:$S$304,0))),IF($D711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1" s="41" t="str">
        <f aca="false">IF($B711="","",ROUND(IFERROR(IF($D711="周转打冷",N(INDEX(对接源_01入库吨位!$H$5:$H$304,MATCH(INT((ROW()-5)/3)+1,对接源_01入库吨位!$S$5:$S$304,0))),IF($D711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1" s="52" t="str">
        <f aca="false">IF($B711="","",ROUND(N($F711)/1000,3))</f>
        <v/>
      </c>
      <c r="H711" s="74"/>
      <c r="I711" s="44"/>
      <c r="J711" s="75" t="str">
        <f aca="false">IF($B711="","",IF($H711="按筐数×单价",N($E711),IF($H711="按总重KG×单价",N($F711),IF($H711="按吨位×单价",N($G711),0))))</f>
        <v/>
      </c>
      <c r="K711" s="41" t="str">
        <f aca="false">IF($B711="","",ROUND(N($J711)*N($I711),2))</f>
        <v/>
      </c>
      <c r="L711" s="42"/>
      <c r="M711" s="76"/>
      <c r="N711" s="43"/>
      <c r="R711" s="77" t="str">
        <f aca="false">IF($B711="","",$B711)</f>
        <v/>
      </c>
      <c r="S711" s="77" t="n">
        <f aca="false">IF($R711="",0,IF(MATCH($R711,$R$5:$R$904,0)=ROW()-4,1,0))</f>
        <v>0</v>
      </c>
      <c r="T711" s="77" t="n">
        <f aca="false">N(T710)+$S711</f>
        <v>18</v>
      </c>
    </row>
    <row r="712" customFormat="false" ht="13.5" hidden="false" customHeight="false" outlineLevel="0" collapsed="false">
      <c r="A712" s="9" t="str">
        <f aca="false">IF($B712="","",ROW()-4)</f>
        <v/>
      </c>
      <c r="B712" s="39" t="str">
        <f aca="false">IFERROR(INDEX(对接源_01入库吨位!$B$5:$B$304,MATCH(INT((ROW()-5)/3)+1,对接源_01入库吨位!$S$5:$S$304,0)),"")</f>
        <v/>
      </c>
      <c r="C712" s="39" t="str">
        <f aca="false">IFERROR(INDEX(对接源_01入库吨位!$C$5:$C$304,MATCH(INT((ROW()-5)/3)+1,对接源_01入库吨位!$S$5:$S$304,0)),"")</f>
        <v/>
      </c>
      <c r="D712" s="40" t="str">
        <f aca="false">IF($B712="","",IF(MOD(ROW()-5,3)=0,"周转打冷",IF(MOD(ROW()-5,3)=1,"仓储加工","装卸费")))</f>
        <v/>
      </c>
      <c r="E712" s="51" t="str">
        <f aca="false">IF($B712="","",IFERROR(IF($D712="周转打冷",N(INDEX(对接源_01入库吨位!$D$5:$D$304,MATCH(INT((ROW()-5)/3)+1,对接源_01入库吨位!$S$5:$S$304,0))),IF($D712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2" s="41" t="str">
        <f aca="false">IF($B712="","",ROUND(IFERROR(IF($D712="周转打冷",N(INDEX(对接源_01入库吨位!$H$5:$H$304,MATCH(INT((ROW()-5)/3)+1,对接源_01入库吨位!$S$5:$S$304,0))),IF($D712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2" s="52" t="str">
        <f aca="false">IF($B712="","",ROUND(N($F712)/1000,3))</f>
        <v/>
      </c>
      <c r="H712" s="74"/>
      <c r="I712" s="44"/>
      <c r="J712" s="75" t="str">
        <f aca="false">IF($B712="","",IF($H712="按筐数×单价",N($E712),IF($H712="按总重KG×单价",N($F712),IF($H712="按吨位×单价",N($G712),0))))</f>
        <v/>
      </c>
      <c r="K712" s="41" t="str">
        <f aca="false">IF($B712="","",ROUND(N($J712)*N($I712),2))</f>
        <v/>
      </c>
      <c r="L712" s="42"/>
      <c r="M712" s="76"/>
      <c r="N712" s="43"/>
      <c r="R712" s="77" t="str">
        <f aca="false">IF($B712="","",$B712)</f>
        <v/>
      </c>
      <c r="S712" s="77" t="n">
        <f aca="false">IF($R712="",0,IF(MATCH($R712,$R$5:$R$904,0)=ROW()-4,1,0))</f>
        <v>0</v>
      </c>
      <c r="T712" s="77" t="n">
        <f aca="false">N(T711)+$S712</f>
        <v>18</v>
      </c>
    </row>
    <row r="713" customFormat="false" ht="13.5" hidden="false" customHeight="false" outlineLevel="0" collapsed="false">
      <c r="A713" s="9" t="str">
        <f aca="false">IF($B713="","",ROW()-4)</f>
        <v/>
      </c>
      <c r="B713" s="39" t="str">
        <f aca="false">IFERROR(INDEX(对接源_01入库吨位!$B$5:$B$304,MATCH(INT((ROW()-5)/3)+1,对接源_01入库吨位!$S$5:$S$304,0)),"")</f>
        <v/>
      </c>
      <c r="C713" s="39" t="str">
        <f aca="false">IFERROR(INDEX(对接源_01入库吨位!$C$5:$C$304,MATCH(INT((ROW()-5)/3)+1,对接源_01入库吨位!$S$5:$S$304,0)),"")</f>
        <v/>
      </c>
      <c r="D713" s="40" t="str">
        <f aca="false">IF($B713="","",IF(MOD(ROW()-5,3)=0,"周转打冷",IF(MOD(ROW()-5,3)=1,"仓储加工","装卸费")))</f>
        <v/>
      </c>
      <c r="E713" s="51" t="str">
        <f aca="false">IF($B713="","",IFERROR(IF($D713="周转打冷",N(INDEX(对接源_01入库吨位!$D$5:$D$304,MATCH(INT((ROW()-5)/3)+1,对接源_01入库吨位!$S$5:$S$304,0))),IF($D713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3" s="41" t="str">
        <f aca="false">IF($B713="","",ROUND(IFERROR(IF($D713="周转打冷",N(INDEX(对接源_01入库吨位!$H$5:$H$304,MATCH(INT((ROW()-5)/3)+1,对接源_01入库吨位!$S$5:$S$304,0))),IF($D713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3" s="52" t="str">
        <f aca="false">IF($B713="","",ROUND(N($F713)/1000,3))</f>
        <v/>
      </c>
      <c r="H713" s="74"/>
      <c r="I713" s="44"/>
      <c r="J713" s="75" t="str">
        <f aca="false">IF($B713="","",IF($H713="按筐数×单价",N($E713),IF($H713="按总重KG×单价",N($F713),IF($H713="按吨位×单价",N($G713),0))))</f>
        <v/>
      </c>
      <c r="K713" s="41" t="str">
        <f aca="false">IF($B713="","",ROUND(N($J713)*N($I713),2))</f>
        <v/>
      </c>
      <c r="L713" s="42"/>
      <c r="M713" s="76"/>
      <c r="N713" s="43"/>
      <c r="R713" s="77" t="str">
        <f aca="false">IF($B713="","",$B713)</f>
        <v/>
      </c>
      <c r="S713" s="77" t="n">
        <f aca="false">IF($R713="",0,IF(MATCH($R713,$R$5:$R$904,0)=ROW()-4,1,0))</f>
        <v>0</v>
      </c>
      <c r="T713" s="77" t="n">
        <f aca="false">N(T712)+$S713</f>
        <v>18</v>
      </c>
    </row>
    <row r="714" customFormat="false" ht="13.5" hidden="false" customHeight="false" outlineLevel="0" collapsed="false">
      <c r="A714" s="9" t="str">
        <f aca="false">IF($B714="","",ROW()-4)</f>
        <v/>
      </c>
      <c r="B714" s="39" t="str">
        <f aca="false">IFERROR(INDEX(对接源_01入库吨位!$B$5:$B$304,MATCH(INT((ROW()-5)/3)+1,对接源_01入库吨位!$S$5:$S$304,0)),"")</f>
        <v/>
      </c>
      <c r="C714" s="39" t="str">
        <f aca="false">IFERROR(INDEX(对接源_01入库吨位!$C$5:$C$304,MATCH(INT((ROW()-5)/3)+1,对接源_01入库吨位!$S$5:$S$304,0)),"")</f>
        <v/>
      </c>
      <c r="D714" s="40" t="str">
        <f aca="false">IF($B714="","",IF(MOD(ROW()-5,3)=0,"周转打冷",IF(MOD(ROW()-5,3)=1,"仓储加工","装卸费")))</f>
        <v/>
      </c>
      <c r="E714" s="51" t="str">
        <f aca="false">IF($B714="","",IFERROR(IF($D714="周转打冷",N(INDEX(对接源_01入库吨位!$D$5:$D$304,MATCH(INT((ROW()-5)/3)+1,对接源_01入库吨位!$S$5:$S$304,0))),IF($D714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4" s="41" t="str">
        <f aca="false">IF($B714="","",ROUND(IFERROR(IF($D714="周转打冷",N(INDEX(对接源_01入库吨位!$H$5:$H$304,MATCH(INT((ROW()-5)/3)+1,对接源_01入库吨位!$S$5:$S$304,0))),IF($D714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4" s="52" t="str">
        <f aca="false">IF($B714="","",ROUND(N($F714)/1000,3))</f>
        <v/>
      </c>
      <c r="H714" s="74"/>
      <c r="I714" s="44"/>
      <c r="J714" s="75" t="str">
        <f aca="false">IF($B714="","",IF($H714="按筐数×单价",N($E714),IF($H714="按总重KG×单价",N($F714),IF($H714="按吨位×单价",N($G714),0))))</f>
        <v/>
      </c>
      <c r="K714" s="41" t="str">
        <f aca="false">IF($B714="","",ROUND(N($J714)*N($I714),2))</f>
        <v/>
      </c>
      <c r="L714" s="42"/>
      <c r="M714" s="76"/>
      <c r="N714" s="43"/>
      <c r="R714" s="77" t="str">
        <f aca="false">IF($B714="","",$B714)</f>
        <v/>
      </c>
      <c r="S714" s="77" t="n">
        <f aca="false">IF($R714="",0,IF(MATCH($R714,$R$5:$R$904,0)=ROW()-4,1,0))</f>
        <v>0</v>
      </c>
      <c r="T714" s="77" t="n">
        <f aca="false">N(T713)+$S714</f>
        <v>18</v>
      </c>
    </row>
    <row r="715" customFormat="false" ht="13.5" hidden="false" customHeight="false" outlineLevel="0" collapsed="false">
      <c r="A715" s="9" t="str">
        <f aca="false">IF($B715="","",ROW()-4)</f>
        <v/>
      </c>
      <c r="B715" s="39" t="str">
        <f aca="false">IFERROR(INDEX(对接源_01入库吨位!$B$5:$B$304,MATCH(INT((ROW()-5)/3)+1,对接源_01入库吨位!$S$5:$S$304,0)),"")</f>
        <v/>
      </c>
      <c r="C715" s="39" t="str">
        <f aca="false">IFERROR(INDEX(对接源_01入库吨位!$C$5:$C$304,MATCH(INT((ROW()-5)/3)+1,对接源_01入库吨位!$S$5:$S$304,0)),"")</f>
        <v/>
      </c>
      <c r="D715" s="40" t="str">
        <f aca="false">IF($B715="","",IF(MOD(ROW()-5,3)=0,"周转打冷",IF(MOD(ROW()-5,3)=1,"仓储加工","装卸费")))</f>
        <v/>
      </c>
      <c r="E715" s="51" t="str">
        <f aca="false">IF($B715="","",IFERROR(IF($D715="周转打冷",N(INDEX(对接源_01入库吨位!$D$5:$D$304,MATCH(INT((ROW()-5)/3)+1,对接源_01入库吨位!$S$5:$S$304,0))),IF($D715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5" s="41" t="str">
        <f aca="false">IF($B715="","",ROUND(IFERROR(IF($D715="周转打冷",N(INDEX(对接源_01入库吨位!$H$5:$H$304,MATCH(INT((ROW()-5)/3)+1,对接源_01入库吨位!$S$5:$S$304,0))),IF($D715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5" s="52" t="str">
        <f aca="false">IF($B715="","",ROUND(N($F715)/1000,3))</f>
        <v/>
      </c>
      <c r="H715" s="74"/>
      <c r="I715" s="44"/>
      <c r="J715" s="75" t="str">
        <f aca="false">IF($B715="","",IF($H715="按筐数×单价",N($E715),IF($H715="按总重KG×单价",N($F715),IF($H715="按吨位×单价",N($G715),0))))</f>
        <v/>
      </c>
      <c r="K715" s="41" t="str">
        <f aca="false">IF($B715="","",ROUND(N($J715)*N($I715),2))</f>
        <v/>
      </c>
      <c r="L715" s="42"/>
      <c r="M715" s="76"/>
      <c r="N715" s="43"/>
      <c r="R715" s="77" t="str">
        <f aca="false">IF($B715="","",$B715)</f>
        <v/>
      </c>
      <c r="S715" s="77" t="n">
        <f aca="false">IF($R715="",0,IF(MATCH($R715,$R$5:$R$904,0)=ROW()-4,1,0))</f>
        <v>0</v>
      </c>
      <c r="T715" s="77" t="n">
        <f aca="false">N(T714)+$S715</f>
        <v>18</v>
      </c>
    </row>
    <row r="716" customFormat="false" ht="13.5" hidden="false" customHeight="false" outlineLevel="0" collapsed="false">
      <c r="A716" s="9" t="str">
        <f aca="false">IF($B716="","",ROW()-4)</f>
        <v/>
      </c>
      <c r="B716" s="39" t="str">
        <f aca="false">IFERROR(INDEX(对接源_01入库吨位!$B$5:$B$304,MATCH(INT((ROW()-5)/3)+1,对接源_01入库吨位!$S$5:$S$304,0)),"")</f>
        <v/>
      </c>
      <c r="C716" s="39" t="str">
        <f aca="false">IFERROR(INDEX(对接源_01入库吨位!$C$5:$C$304,MATCH(INT((ROW()-5)/3)+1,对接源_01入库吨位!$S$5:$S$304,0)),"")</f>
        <v/>
      </c>
      <c r="D716" s="40" t="str">
        <f aca="false">IF($B716="","",IF(MOD(ROW()-5,3)=0,"周转打冷",IF(MOD(ROW()-5,3)=1,"仓储加工","装卸费")))</f>
        <v/>
      </c>
      <c r="E716" s="51" t="str">
        <f aca="false">IF($B716="","",IFERROR(IF($D716="周转打冷",N(INDEX(对接源_01入库吨位!$D$5:$D$304,MATCH(INT((ROW()-5)/3)+1,对接源_01入库吨位!$S$5:$S$304,0))),IF($D716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6" s="41" t="str">
        <f aca="false">IF($B716="","",ROUND(IFERROR(IF($D716="周转打冷",N(INDEX(对接源_01入库吨位!$H$5:$H$304,MATCH(INT((ROW()-5)/3)+1,对接源_01入库吨位!$S$5:$S$304,0))),IF($D716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6" s="52" t="str">
        <f aca="false">IF($B716="","",ROUND(N($F716)/1000,3))</f>
        <v/>
      </c>
      <c r="H716" s="74"/>
      <c r="I716" s="44"/>
      <c r="J716" s="75" t="str">
        <f aca="false">IF($B716="","",IF($H716="按筐数×单价",N($E716),IF($H716="按总重KG×单价",N($F716),IF($H716="按吨位×单价",N($G716),0))))</f>
        <v/>
      </c>
      <c r="K716" s="41" t="str">
        <f aca="false">IF($B716="","",ROUND(N($J716)*N($I716),2))</f>
        <v/>
      </c>
      <c r="L716" s="42"/>
      <c r="M716" s="76"/>
      <c r="N716" s="43"/>
      <c r="R716" s="77" t="str">
        <f aca="false">IF($B716="","",$B716)</f>
        <v/>
      </c>
      <c r="S716" s="77" t="n">
        <f aca="false">IF($R716="",0,IF(MATCH($R716,$R$5:$R$904,0)=ROW()-4,1,0))</f>
        <v>0</v>
      </c>
      <c r="T716" s="77" t="n">
        <f aca="false">N(T715)+$S716</f>
        <v>18</v>
      </c>
    </row>
    <row r="717" customFormat="false" ht="13.5" hidden="false" customHeight="false" outlineLevel="0" collapsed="false">
      <c r="A717" s="9" t="str">
        <f aca="false">IF($B717="","",ROW()-4)</f>
        <v/>
      </c>
      <c r="B717" s="39" t="str">
        <f aca="false">IFERROR(INDEX(对接源_01入库吨位!$B$5:$B$304,MATCH(INT((ROW()-5)/3)+1,对接源_01入库吨位!$S$5:$S$304,0)),"")</f>
        <v/>
      </c>
      <c r="C717" s="39" t="str">
        <f aca="false">IFERROR(INDEX(对接源_01入库吨位!$C$5:$C$304,MATCH(INT((ROW()-5)/3)+1,对接源_01入库吨位!$S$5:$S$304,0)),"")</f>
        <v/>
      </c>
      <c r="D717" s="40" t="str">
        <f aca="false">IF($B717="","",IF(MOD(ROW()-5,3)=0,"周转打冷",IF(MOD(ROW()-5,3)=1,"仓储加工","装卸费")))</f>
        <v/>
      </c>
      <c r="E717" s="51" t="str">
        <f aca="false">IF($B717="","",IFERROR(IF($D717="周转打冷",N(INDEX(对接源_01入库吨位!$D$5:$D$304,MATCH(INT((ROW()-5)/3)+1,对接源_01入库吨位!$S$5:$S$304,0))),IF($D717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7" s="41" t="str">
        <f aca="false">IF($B717="","",ROUND(IFERROR(IF($D717="周转打冷",N(INDEX(对接源_01入库吨位!$H$5:$H$304,MATCH(INT((ROW()-5)/3)+1,对接源_01入库吨位!$S$5:$S$304,0))),IF($D717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7" s="52" t="str">
        <f aca="false">IF($B717="","",ROUND(N($F717)/1000,3))</f>
        <v/>
      </c>
      <c r="H717" s="74"/>
      <c r="I717" s="44"/>
      <c r="J717" s="75" t="str">
        <f aca="false">IF($B717="","",IF($H717="按筐数×单价",N($E717),IF($H717="按总重KG×单价",N($F717),IF($H717="按吨位×单价",N($G717),0))))</f>
        <v/>
      </c>
      <c r="K717" s="41" t="str">
        <f aca="false">IF($B717="","",ROUND(N($J717)*N($I717),2))</f>
        <v/>
      </c>
      <c r="L717" s="42"/>
      <c r="M717" s="76"/>
      <c r="N717" s="43"/>
      <c r="R717" s="77" t="str">
        <f aca="false">IF($B717="","",$B717)</f>
        <v/>
      </c>
      <c r="S717" s="77" t="n">
        <f aca="false">IF($R717="",0,IF(MATCH($R717,$R$5:$R$904,0)=ROW()-4,1,0))</f>
        <v>0</v>
      </c>
      <c r="T717" s="77" t="n">
        <f aca="false">N(T716)+$S717</f>
        <v>18</v>
      </c>
    </row>
    <row r="718" customFormat="false" ht="13.5" hidden="false" customHeight="false" outlineLevel="0" collapsed="false">
      <c r="A718" s="9" t="str">
        <f aca="false">IF($B718="","",ROW()-4)</f>
        <v/>
      </c>
      <c r="B718" s="39" t="str">
        <f aca="false">IFERROR(INDEX(对接源_01入库吨位!$B$5:$B$304,MATCH(INT((ROW()-5)/3)+1,对接源_01入库吨位!$S$5:$S$304,0)),"")</f>
        <v/>
      </c>
      <c r="C718" s="39" t="str">
        <f aca="false">IFERROR(INDEX(对接源_01入库吨位!$C$5:$C$304,MATCH(INT((ROW()-5)/3)+1,对接源_01入库吨位!$S$5:$S$304,0)),"")</f>
        <v/>
      </c>
      <c r="D718" s="40" t="str">
        <f aca="false">IF($B718="","",IF(MOD(ROW()-5,3)=0,"周转打冷",IF(MOD(ROW()-5,3)=1,"仓储加工","装卸费")))</f>
        <v/>
      </c>
      <c r="E718" s="51" t="str">
        <f aca="false">IF($B718="","",IFERROR(IF($D718="周转打冷",N(INDEX(对接源_01入库吨位!$D$5:$D$304,MATCH(INT((ROW()-5)/3)+1,对接源_01入库吨位!$S$5:$S$304,0))),IF($D718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8" s="41" t="str">
        <f aca="false">IF($B718="","",ROUND(IFERROR(IF($D718="周转打冷",N(INDEX(对接源_01入库吨位!$H$5:$H$304,MATCH(INT((ROW()-5)/3)+1,对接源_01入库吨位!$S$5:$S$304,0))),IF($D718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8" s="52" t="str">
        <f aca="false">IF($B718="","",ROUND(N($F718)/1000,3))</f>
        <v/>
      </c>
      <c r="H718" s="74"/>
      <c r="I718" s="44"/>
      <c r="J718" s="75" t="str">
        <f aca="false">IF($B718="","",IF($H718="按筐数×单价",N($E718),IF($H718="按总重KG×单价",N($F718),IF($H718="按吨位×单价",N($G718),0))))</f>
        <v/>
      </c>
      <c r="K718" s="41" t="str">
        <f aca="false">IF($B718="","",ROUND(N($J718)*N($I718),2))</f>
        <v/>
      </c>
      <c r="L718" s="42"/>
      <c r="M718" s="76"/>
      <c r="N718" s="43"/>
      <c r="R718" s="77" t="str">
        <f aca="false">IF($B718="","",$B718)</f>
        <v/>
      </c>
      <c r="S718" s="77" t="n">
        <f aca="false">IF($R718="",0,IF(MATCH($R718,$R$5:$R$904,0)=ROW()-4,1,0))</f>
        <v>0</v>
      </c>
      <c r="T718" s="77" t="n">
        <f aca="false">N(T717)+$S718</f>
        <v>18</v>
      </c>
    </row>
    <row r="719" customFormat="false" ht="13.5" hidden="false" customHeight="false" outlineLevel="0" collapsed="false">
      <c r="A719" s="9" t="str">
        <f aca="false">IF($B719="","",ROW()-4)</f>
        <v/>
      </c>
      <c r="B719" s="39" t="str">
        <f aca="false">IFERROR(INDEX(对接源_01入库吨位!$B$5:$B$304,MATCH(INT((ROW()-5)/3)+1,对接源_01入库吨位!$S$5:$S$304,0)),"")</f>
        <v/>
      </c>
      <c r="C719" s="39" t="str">
        <f aca="false">IFERROR(INDEX(对接源_01入库吨位!$C$5:$C$304,MATCH(INT((ROW()-5)/3)+1,对接源_01入库吨位!$S$5:$S$304,0)),"")</f>
        <v/>
      </c>
      <c r="D719" s="40" t="str">
        <f aca="false">IF($B719="","",IF(MOD(ROW()-5,3)=0,"周转打冷",IF(MOD(ROW()-5,3)=1,"仓储加工","装卸费")))</f>
        <v/>
      </c>
      <c r="E719" s="51" t="str">
        <f aca="false">IF($B719="","",IFERROR(IF($D719="周转打冷",N(INDEX(对接源_01入库吨位!$D$5:$D$304,MATCH(INT((ROW()-5)/3)+1,对接源_01入库吨位!$S$5:$S$304,0))),IF($D719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19" s="41" t="str">
        <f aca="false">IF($B719="","",ROUND(IFERROR(IF($D719="周转打冷",N(INDEX(对接源_01入库吨位!$H$5:$H$304,MATCH(INT((ROW()-5)/3)+1,对接源_01入库吨位!$S$5:$S$304,0))),IF($D719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19" s="52" t="str">
        <f aca="false">IF($B719="","",ROUND(N($F719)/1000,3))</f>
        <v/>
      </c>
      <c r="H719" s="74"/>
      <c r="I719" s="44"/>
      <c r="J719" s="75" t="str">
        <f aca="false">IF($B719="","",IF($H719="按筐数×单价",N($E719),IF($H719="按总重KG×单价",N($F719),IF($H719="按吨位×单价",N($G719),0))))</f>
        <v/>
      </c>
      <c r="K719" s="41" t="str">
        <f aca="false">IF($B719="","",ROUND(N($J719)*N($I719),2))</f>
        <v/>
      </c>
      <c r="L719" s="42"/>
      <c r="M719" s="76"/>
      <c r="N719" s="43"/>
      <c r="R719" s="77" t="str">
        <f aca="false">IF($B719="","",$B719)</f>
        <v/>
      </c>
      <c r="S719" s="77" t="n">
        <f aca="false">IF($R719="",0,IF(MATCH($R719,$R$5:$R$904,0)=ROW()-4,1,0))</f>
        <v>0</v>
      </c>
      <c r="T719" s="77" t="n">
        <f aca="false">N(T718)+$S719</f>
        <v>18</v>
      </c>
    </row>
    <row r="720" customFormat="false" ht="13.5" hidden="false" customHeight="false" outlineLevel="0" collapsed="false">
      <c r="A720" s="9" t="str">
        <f aca="false">IF($B720="","",ROW()-4)</f>
        <v/>
      </c>
      <c r="B720" s="39" t="str">
        <f aca="false">IFERROR(INDEX(对接源_01入库吨位!$B$5:$B$304,MATCH(INT((ROW()-5)/3)+1,对接源_01入库吨位!$S$5:$S$304,0)),"")</f>
        <v/>
      </c>
      <c r="C720" s="39" t="str">
        <f aca="false">IFERROR(INDEX(对接源_01入库吨位!$C$5:$C$304,MATCH(INT((ROW()-5)/3)+1,对接源_01入库吨位!$S$5:$S$304,0)),"")</f>
        <v/>
      </c>
      <c r="D720" s="40" t="str">
        <f aca="false">IF($B720="","",IF(MOD(ROW()-5,3)=0,"周转打冷",IF(MOD(ROW()-5,3)=1,"仓储加工","装卸费")))</f>
        <v/>
      </c>
      <c r="E720" s="51" t="str">
        <f aca="false">IF($B720="","",IFERROR(IF($D720="周转打冷",N(INDEX(对接源_01入库吨位!$D$5:$D$304,MATCH(INT((ROW()-5)/3)+1,对接源_01入库吨位!$S$5:$S$304,0))),IF($D720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0" s="41" t="str">
        <f aca="false">IF($B720="","",ROUND(IFERROR(IF($D720="周转打冷",N(INDEX(对接源_01入库吨位!$H$5:$H$304,MATCH(INT((ROW()-5)/3)+1,对接源_01入库吨位!$S$5:$S$304,0))),IF($D720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0" s="52" t="str">
        <f aca="false">IF($B720="","",ROUND(N($F720)/1000,3))</f>
        <v/>
      </c>
      <c r="H720" s="74"/>
      <c r="I720" s="44"/>
      <c r="J720" s="75" t="str">
        <f aca="false">IF($B720="","",IF($H720="按筐数×单价",N($E720),IF($H720="按总重KG×单价",N($F720),IF($H720="按吨位×单价",N($G720),0))))</f>
        <v/>
      </c>
      <c r="K720" s="41" t="str">
        <f aca="false">IF($B720="","",ROUND(N($J720)*N($I720),2))</f>
        <v/>
      </c>
      <c r="L720" s="42"/>
      <c r="M720" s="76"/>
      <c r="N720" s="43"/>
      <c r="R720" s="77" t="str">
        <f aca="false">IF($B720="","",$B720)</f>
        <v/>
      </c>
      <c r="S720" s="77" t="n">
        <f aca="false">IF($R720="",0,IF(MATCH($R720,$R$5:$R$904,0)=ROW()-4,1,0))</f>
        <v>0</v>
      </c>
      <c r="T720" s="77" t="n">
        <f aca="false">N(T719)+$S720</f>
        <v>18</v>
      </c>
    </row>
    <row r="721" customFormat="false" ht="13.5" hidden="false" customHeight="false" outlineLevel="0" collapsed="false">
      <c r="A721" s="9" t="str">
        <f aca="false">IF($B721="","",ROW()-4)</f>
        <v/>
      </c>
      <c r="B721" s="39" t="str">
        <f aca="false">IFERROR(INDEX(对接源_01入库吨位!$B$5:$B$304,MATCH(INT((ROW()-5)/3)+1,对接源_01入库吨位!$S$5:$S$304,0)),"")</f>
        <v/>
      </c>
      <c r="C721" s="39" t="str">
        <f aca="false">IFERROR(INDEX(对接源_01入库吨位!$C$5:$C$304,MATCH(INT((ROW()-5)/3)+1,对接源_01入库吨位!$S$5:$S$304,0)),"")</f>
        <v/>
      </c>
      <c r="D721" s="40" t="str">
        <f aca="false">IF($B721="","",IF(MOD(ROW()-5,3)=0,"周转打冷",IF(MOD(ROW()-5,3)=1,"仓储加工","装卸费")))</f>
        <v/>
      </c>
      <c r="E721" s="51" t="str">
        <f aca="false">IF($B721="","",IFERROR(IF($D721="周转打冷",N(INDEX(对接源_01入库吨位!$D$5:$D$304,MATCH(INT((ROW()-5)/3)+1,对接源_01入库吨位!$S$5:$S$304,0))),IF($D721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1" s="41" t="str">
        <f aca="false">IF($B721="","",ROUND(IFERROR(IF($D721="周转打冷",N(INDEX(对接源_01入库吨位!$H$5:$H$304,MATCH(INT((ROW()-5)/3)+1,对接源_01入库吨位!$S$5:$S$304,0))),IF($D721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1" s="52" t="str">
        <f aca="false">IF($B721="","",ROUND(N($F721)/1000,3))</f>
        <v/>
      </c>
      <c r="H721" s="74"/>
      <c r="I721" s="44"/>
      <c r="J721" s="75" t="str">
        <f aca="false">IF($B721="","",IF($H721="按筐数×单价",N($E721),IF($H721="按总重KG×单价",N($F721),IF($H721="按吨位×单价",N($G721),0))))</f>
        <v/>
      </c>
      <c r="K721" s="41" t="str">
        <f aca="false">IF($B721="","",ROUND(N($J721)*N($I721),2))</f>
        <v/>
      </c>
      <c r="L721" s="42"/>
      <c r="M721" s="76"/>
      <c r="N721" s="43"/>
      <c r="R721" s="77" t="str">
        <f aca="false">IF($B721="","",$B721)</f>
        <v/>
      </c>
      <c r="S721" s="77" t="n">
        <f aca="false">IF($R721="",0,IF(MATCH($R721,$R$5:$R$904,0)=ROW()-4,1,0))</f>
        <v>0</v>
      </c>
      <c r="T721" s="77" t="n">
        <f aca="false">N(T720)+$S721</f>
        <v>18</v>
      </c>
    </row>
    <row r="722" customFormat="false" ht="13.5" hidden="false" customHeight="false" outlineLevel="0" collapsed="false">
      <c r="A722" s="9" t="str">
        <f aca="false">IF($B722="","",ROW()-4)</f>
        <v/>
      </c>
      <c r="B722" s="39" t="str">
        <f aca="false">IFERROR(INDEX(对接源_01入库吨位!$B$5:$B$304,MATCH(INT((ROW()-5)/3)+1,对接源_01入库吨位!$S$5:$S$304,0)),"")</f>
        <v/>
      </c>
      <c r="C722" s="39" t="str">
        <f aca="false">IFERROR(INDEX(对接源_01入库吨位!$C$5:$C$304,MATCH(INT((ROW()-5)/3)+1,对接源_01入库吨位!$S$5:$S$304,0)),"")</f>
        <v/>
      </c>
      <c r="D722" s="40" t="str">
        <f aca="false">IF($B722="","",IF(MOD(ROW()-5,3)=0,"周转打冷",IF(MOD(ROW()-5,3)=1,"仓储加工","装卸费")))</f>
        <v/>
      </c>
      <c r="E722" s="51" t="str">
        <f aca="false">IF($B722="","",IFERROR(IF($D722="周转打冷",N(INDEX(对接源_01入库吨位!$D$5:$D$304,MATCH(INT((ROW()-5)/3)+1,对接源_01入库吨位!$S$5:$S$304,0))),IF($D722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2" s="41" t="str">
        <f aca="false">IF($B722="","",ROUND(IFERROR(IF($D722="周转打冷",N(INDEX(对接源_01入库吨位!$H$5:$H$304,MATCH(INT((ROW()-5)/3)+1,对接源_01入库吨位!$S$5:$S$304,0))),IF($D722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2" s="52" t="str">
        <f aca="false">IF($B722="","",ROUND(N($F722)/1000,3))</f>
        <v/>
      </c>
      <c r="H722" s="74"/>
      <c r="I722" s="44"/>
      <c r="J722" s="75" t="str">
        <f aca="false">IF($B722="","",IF($H722="按筐数×单价",N($E722),IF($H722="按总重KG×单价",N($F722),IF($H722="按吨位×单价",N($G722),0))))</f>
        <v/>
      </c>
      <c r="K722" s="41" t="str">
        <f aca="false">IF($B722="","",ROUND(N($J722)*N($I722),2))</f>
        <v/>
      </c>
      <c r="L722" s="42"/>
      <c r="M722" s="76"/>
      <c r="N722" s="43"/>
      <c r="R722" s="77" t="str">
        <f aca="false">IF($B722="","",$B722)</f>
        <v/>
      </c>
      <c r="S722" s="77" t="n">
        <f aca="false">IF($R722="",0,IF(MATCH($R722,$R$5:$R$904,0)=ROW()-4,1,0))</f>
        <v>0</v>
      </c>
      <c r="T722" s="77" t="n">
        <f aca="false">N(T721)+$S722</f>
        <v>18</v>
      </c>
    </row>
    <row r="723" customFormat="false" ht="13.5" hidden="false" customHeight="false" outlineLevel="0" collapsed="false">
      <c r="A723" s="9" t="str">
        <f aca="false">IF($B723="","",ROW()-4)</f>
        <v/>
      </c>
      <c r="B723" s="39" t="str">
        <f aca="false">IFERROR(INDEX(对接源_01入库吨位!$B$5:$B$304,MATCH(INT((ROW()-5)/3)+1,对接源_01入库吨位!$S$5:$S$304,0)),"")</f>
        <v/>
      </c>
      <c r="C723" s="39" t="str">
        <f aca="false">IFERROR(INDEX(对接源_01入库吨位!$C$5:$C$304,MATCH(INT((ROW()-5)/3)+1,对接源_01入库吨位!$S$5:$S$304,0)),"")</f>
        <v/>
      </c>
      <c r="D723" s="40" t="str">
        <f aca="false">IF($B723="","",IF(MOD(ROW()-5,3)=0,"周转打冷",IF(MOD(ROW()-5,3)=1,"仓储加工","装卸费")))</f>
        <v/>
      </c>
      <c r="E723" s="51" t="str">
        <f aca="false">IF($B723="","",IFERROR(IF($D723="周转打冷",N(INDEX(对接源_01入库吨位!$D$5:$D$304,MATCH(INT((ROW()-5)/3)+1,对接源_01入库吨位!$S$5:$S$304,0))),IF($D723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3" s="41" t="str">
        <f aca="false">IF($B723="","",ROUND(IFERROR(IF($D723="周转打冷",N(INDEX(对接源_01入库吨位!$H$5:$H$304,MATCH(INT((ROW()-5)/3)+1,对接源_01入库吨位!$S$5:$S$304,0))),IF($D723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3" s="52" t="str">
        <f aca="false">IF($B723="","",ROUND(N($F723)/1000,3))</f>
        <v/>
      </c>
      <c r="H723" s="74"/>
      <c r="I723" s="44"/>
      <c r="J723" s="75" t="str">
        <f aca="false">IF($B723="","",IF($H723="按筐数×单价",N($E723),IF($H723="按总重KG×单价",N($F723),IF($H723="按吨位×单价",N($G723),0))))</f>
        <v/>
      </c>
      <c r="K723" s="41" t="str">
        <f aca="false">IF($B723="","",ROUND(N($J723)*N($I723),2))</f>
        <v/>
      </c>
      <c r="L723" s="42"/>
      <c r="M723" s="76"/>
      <c r="N723" s="43"/>
      <c r="R723" s="77" t="str">
        <f aca="false">IF($B723="","",$B723)</f>
        <v/>
      </c>
      <c r="S723" s="77" t="n">
        <f aca="false">IF($R723="",0,IF(MATCH($R723,$R$5:$R$904,0)=ROW()-4,1,0))</f>
        <v>0</v>
      </c>
      <c r="T723" s="77" t="n">
        <f aca="false">N(T722)+$S723</f>
        <v>18</v>
      </c>
    </row>
    <row r="724" customFormat="false" ht="13.5" hidden="false" customHeight="false" outlineLevel="0" collapsed="false">
      <c r="A724" s="9" t="str">
        <f aca="false">IF($B724="","",ROW()-4)</f>
        <v/>
      </c>
      <c r="B724" s="39" t="str">
        <f aca="false">IFERROR(INDEX(对接源_01入库吨位!$B$5:$B$304,MATCH(INT((ROW()-5)/3)+1,对接源_01入库吨位!$S$5:$S$304,0)),"")</f>
        <v/>
      </c>
      <c r="C724" s="39" t="str">
        <f aca="false">IFERROR(INDEX(对接源_01入库吨位!$C$5:$C$304,MATCH(INT((ROW()-5)/3)+1,对接源_01入库吨位!$S$5:$S$304,0)),"")</f>
        <v/>
      </c>
      <c r="D724" s="40" t="str">
        <f aca="false">IF($B724="","",IF(MOD(ROW()-5,3)=0,"周转打冷",IF(MOD(ROW()-5,3)=1,"仓储加工","装卸费")))</f>
        <v/>
      </c>
      <c r="E724" s="51" t="str">
        <f aca="false">IF($B724="","",IFERROR(IF($D724="周转打冷",N(INDEX(对接源_01入库吨位!$D$5:$D$304,MATCH(INT((ROW()-5)/3)+1,对接源_01入库吨位!$S$5:$S$304,0))),IF($D724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4" s="41" t="str">
        <f aca="false">IF($B724="","",ROUND(IFERROR(IF($D724="周转打冷",N(INDEX(对接源_01入库吨位!$H$5:$H$304,MATCH(INT((ROW()-5)/3)+1,对接源_01入库吨位!$S$5:$S$304,0))),IF($D724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4" s="52" t="str">
        <f aca="false">IF($B724="","",ROUND(N($F724)/1000,3))</f>
        <v/>
      </c>
      <c r="H724" s="74"/>
      <c r="I724" s="44"/>
      <c r="J724" s="75" t="str">
        <f aca="false">IF($B724="","",IF($H724="按筐数×单价",N($E724),IF($H724="按总重KG×单价",N($F724),IF($H724="按吨位×单价",N($G724),0))))</f>
        <v/>
      </c>
      <c r="K724" s="41" t="str">
        <f aca="false">IF($B724="","",ROUND(N($J724)*N($I724),2))</f>
        <v/>
      </c>
      <c r="L724" s="42"/>
      <c r="M724" s="76"/>
      <c r="N724" s="43"/>
      <c r="R724" s="77" t="str">
        <f aca="false">IF($B724="","",$B724)</f>
        <v/>
      </c>
      <c r="S724" s="77" t="n">
        <f aca="false">IF($R724="",0,IF(MATCH($R724,$R$5:$R$904,0)=ROW()-4,1,0))</f>
        <v>0</v>
      </c>
      <c r="T724" s="77" t="n">
        <f aca="false">N(T723)+$S724</f>
        <v>18</v>
      </c>
    </row>
    <row r="725" customFormat="false" ht="13.5" hidden="false" customHeight="false" outlineLevel="0" collapsed="false">
      <c r="A725" s="9" t="str">
        <f aca="false">IF($B725="","",ROW()-4)</f>
        <v/>
      </c>
      <c r="B725" s="39" t="str">
        <f aca="false">IFERROR(INDEX(对接源_01入库吨位!$B$5:$B$304,MATCH(INT((ROW()-5)/3)+1,对接源_01入库吨位!$S$5:$S$304,0)),"")</f>
        <v/>
      </c>
      <c r="C725" s="39" t="str">
        <f aca="false">IFERROR(INDEX(对接源_01入库吨位!$C$5:$C$304,MATCH(INT((ROW()-5)/3)+1,对接源_01入库吨位!$S$5:$S$304,0)),"")</f>
        <v/>
      </c>
      <c r="D725" s="40" t="str">
        <f aca="false">IF($B725="","",IF(MOD(ROW()-5,3)=0,"周转打冷",IF(MOD(ROW()-5,3)=1,"仓储加工","装卸费")))</f>
        <v/>
      </c>
      <c r="E725" s="51" t="str">
        <f aca="false">IF($B725="","",IFERROR(IF($D725="周转打冷",N(INDEX(对接源_01入库吨位!$D$5:$D$304,MATCH(INT((ROW()-5)/3)+1,对接源_01入库吨位!$S$5:$S$304,0))),IF($D725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5" s="41" t="str">
        <f aca="false">IF($B725="","",ROUND(IFERROR(IF($D725="周转打冷",N(INDEX(对接源_01入库吨位!$H$5:$H$304,MATCH(INT((ROW()-5)/3)+1,对接源_01入库吨位!$S$5:$S$304,0))),IF($D725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5" s="52" t="str">
        <f aca="false">IF($B725="","",ROUND(N($F725)/1000,3))</f>
        <v/>
      </c>
      <c r="H725" s="74"/>
      <c r="I725" s="44"/>
      <c r="J725" s="75" t="str">
        <f aca="false">IF($B725="","",IF($H725="按筐数×单价",N($E725),IF($H725="按总重KG×单价",N($F725),IF($H725="按吨位×单价",N($G725),0))))</f>
        <v/>
      </c>
      <c r="K725" s="41" t="str">
        <f aca="false">IF($B725="","",ROUND(N($J725)*N($I725),2))</f>
        <v/>
      </c>
      <c r="L725" s="42"/>
      <c r="M725" s="76"/>
      <c r="N725" s="43"/>
      <c r="R725" s="77" t="str">
        <f aca="false">IF($B725="","",$B725)</f>
        <v/>
      </c>
      <c r="S725" s="77" t="n">
        <f aca="false">IF($R725="",0,IF(MATCH($R725,$R$5:$R$904,0)=ROW()-4,1,0))</f>
        <v>0</v>
      </c>
      <c r="T725" s="77" t="n">
        <f aca="false">N(T724)+$S725</f>
        <v>18</v>
      </c>
    </row>
    <row r="726" customFormat="false" ht="13.5" hidden="false" customHeight="false" outlineLevel="0" collapsed="false">
      <c r="A726" s="9" t="str">
        <f aca="false">IF($B726="","",ROW()-4)</f>
        <v/>
      </c>
      <c r="B726" s="39" t="str">
        <f aca="false">IFERROR(INDEX(对接源_01入库吨位!$B$5:$B$304,MATCH(INT((ROW()-5)/3)+1,对接源_01入库吨位!$S$5:$S$304,0)),"")</f>
        <v/>
      </c>
      <c r="C726" s="39" t="str">
        <f aca="false">IFERROR(INDEX(对接源_01入库吨位!$C$5:$C$304,MATCH(INT((ROW()-5)/3)+1,对接源_01入库吨位!$S$5:$S$304,0)),"")</f>
        <v/>
      </c>
      <c r="D726" s="40" t="str">
        <f aca="false">IF($B726="","",IF(MOD(ROW()-5,3)=0,"周转打冷",IF(MOD(ROW()-5,3)=1,"仓储加工","装卸费")))</f>
        <v/>
      </c>
      <c r="E726" s="51" t="str">
        <f aca="false">IF($B726="","",IFERROR(IF($D726="周转打冷",N(INDEX(对接源_01入库吨位!$D$5:$D$304,MATCH(INT((ROW()-5)/3)+1,对接源_01入库吨位!$S$5:$S$304,0))),IF($D726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6" s="41" t="str">
        <f aca="false">IF($B726="","",ROUND(IFERROR(IF($D726="周转打冷",N(INDEX(对接源_01入库吨位!$H$5:$H$304,MATCH(INT((ROW()-5)/3)+1,对接源_01入库吨位!$S$5:$S$304,0))),IF($D726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6" s="52" t="str">
        <f aca="false">IF($B726="","",ROUND(N($F726)/1000,3))</f>
        <v/>
      </c>
      <c r="H726" s="74"/>
      <c r="I726" s="44"/>
      <c r="J726" s="75" t="str">
        <f aca="false">IF($B726="","",IF($H726="按筐数×单价",N($E726),IF($H726="按总重KG×单价",N($F726),IF($H726="按吨位×单价",N($G726),0))))</f>
        <v/>
      </c>
      <c r="K726" s="41" t="str">
        <f aca="false">IF($B726="","",ROUND(N($J726)*N($I726),2))</f>
        <v/>
      </c>
      <c r="L726" s="42"/>
      <c r="M726" s="76"/>
      <c r="N726" s="43"/>
      <c r="R726" s="77" t="str">
        <f aca="false">IF($B726="","",$B726)</f>
        <v/>
      </c>
      <c r="S726" s="77" t="n">
        <f aca="false">IF($R726="",0,IF(MATCH($R726,$R$5:$R$904,0)=ROW()-4,1,0))</f>
        <v>0</v>
      </c>
      <c r="T726" s="77" t="n">
        <f aca="false">N(T725)+$S726</f>
        <v>18</v>
      </c>
    </row>
    <row r="727" customFormat="false" ht="13.5" hidden="false" customHeight="false" outlineLevel="0" collapsed="false">
      <c r="A727" s="9" t="str">
        <f aca="false">IF($B727="","",ROW()-4)</f>
        <v/>
      </c>
      <c r="B727" s="39" t="str">
        <f aca="false">IFERROR(INDEX(对接源_01入库吨位!$B$5:$B$304,MATCH(INT((ROW()-5)/3)+1,对接源_01入库吨位!$S$5:$S$304,0)),"")</f>
        <v/>
      </c>
      <c r="C727" s="39" t="str">
        <f aca="false">IFERROR(INDEX(对接源_01入库吨位!$C$5:$C$304,MATCH(INT((ROW()-5)/3)+1,对接源_01入库吨位!$S$5:$S$304,0)),"")</f>
        <v/>
      </c>
      <c r="D727" s="40" t="str">
        <f aca="false">IF($B727="","",IF(MOD(ROW()-5,3)=0,"周转打冷",IF(MOD(ROW()-5,3)=1,"仓储加工","装卸费")))</f>
        <v/>
      </c>
      <c r="E727" s="51" t="str">
        <f aca="false">IF($B727="","",IFERROR(IF($D727="周转打冷",N(INDEX(对接源_01入库吨位!$D$5:$D$304,MATCH(INT((ROW()-5)/3)+1,对接源_01入库吨位!$S$5:$S$304,0))),IF($D727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7" s="41" t="str">
        <f aca="false">IF($B727="","",ROUND(IFERROR(IF($D727="周转打冷",N(INDEX(对接源_01入库吨位!$H$5:$H$304,MATCH(INT((ROW()-5)/3)+1,对接源_01入库吨位!$S$5:$S$304,0))),IF($D727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7" s="52" t="str">
        <f aca="false">IF($B727="","",ROUND(N($F727)/1000,3))</f>
        <v/>
      </c>
      <c r="H727" s="74"/>
      <c r="I727" s="44"/>
      <c r="J727" s="75" t="str">
        <f aca="false">IF($B727="","",IF($H727="按筐数×单价",N($E727),IF($H727="按总重KG×单价",N($F727),IF($H727="按吨位×单价",N($G727),0))))</f>
        <v/>
      </c>
      <c r="K727" s="41" t="str">
        <f aca="false">IF($B727="","",ROUND(N($J727)*N($I727),2))</f>
        <v/>
      </c>
      <c r="L727" s="42"/>
      <c r="M727" s="76"/>
      <c r="N727" s="43"/>
      <c r="R727" s="77" t="str">
        <f aca="false">IF($B727="","",$B727)</f>
        <v/>
      </c>
      <c r="S727" s="77" t="n">
        <f aca="false">IF($R727="",0,IF(MATCH($R727,$R$5:$R$904,0)=ROW()-4,1,0))</f>
        <v>0</v>
      </c>
      <c r="T727" s="77" t="n">
        <f aca="false">N(T726)+$S727</f>
        <v>18</v>
      </c>
    </row>
    <row r="728" customFormat="false" ht="13.5" hidden="false" customHeight="false" outlineLevel="0" collapsed="false">
      <c r="A728" s="9" t="str">
        <f aca="false">IF($B728="","",ROW()-4)</f>
        <v/>
      </c>
      <c r="B728" s="39" t="str">
        <f aca="false">IFERROR(INDEX(对接源_01入库吨位!$B$5:$B$304,MATCH(INT((ROW()-5)/3)+1,对接源_01入库吨位!$S$5:$S$304,0)),"")</f>
        <v/>
      </c>
      <c r="C728" s="39" t="str">
        <f aca="false">IFERROR(INDEX(对接源_01入库吨位!$C$5:$C$304,MATCH(INT((ROW()-5)/3)+1,对接源_01入库吨位!$S$5:$S$304,0)),"")</f>
        <v/>
      </c>
      <c r="D728" s="40" t="str">
        <f aca="false">IF($B728="","",IF(MOD(ROW()-5,3)=0,"周转打冷",IF(MOD(ROW()-5,3)=1,"仓储加工","装卸费")))</f>
        <v/>
      </c>
      <c r="E728" s="51" t="str">
        <f aca="false">IF($B728="","",IFERROR(IF($D728="周转打冷",N(INDEX(对接源_01入库吨位!$D$5:$D$304,MATCH(INT((ROW()-5)/3)+1,对接源_01入库吨位!$S$5:$S$304,0))),IF($D728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8" s="41" t="str">
        <f aca="false">IF($B728="","",ROUND(IFERROR(IF($D728="周转打冷",N(INDEX(对接源_01入库吨位!$H$5:$H$304,MATCH(INT((ROW()-5)/3)+1,对接源_01入库吨位!$S$5:$S$304,0))),IF($D728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8" s="52" t="str">
        <f aca="false">IF($B728="","",ROUND(N($F728)/1000,3))</f>
        <v/>
      </c>
      <c r="H728" s="74"/>
      <c r="I728" s="44"/>
      <c r="J728" s="75" t="str">
        <f aca="false">IF($B728="","",IF($H728="按筐数×单价",N($E728),IF($H728="按总重KG×单价",N($F728),IF($H728="按吨位×单价",N($G728),0))))</f>
        <v/>
      </c>
      <c r="K728" s="41" t="str">
        <f aca="false">IF($B728="","",ROUND(N($J728)*N($I728),2))</f>
        <v/>
      </c>
      <c r="L728" s="42"/>
      <c r="M728" s="76"/>
      <c r="N728" s="43"/>
      <c r="R728" s="77" t="str">
        <f aca="false">IF($B728="","",$B728)</f>
        <v/>
      </c>
      <c r="S728" s="77" t="n">
        <f aca="false">IF($R728="",0,IF(MATCH($R728,$R$5:$R$904,0)=ROW()-4,1,0))</f>
        <v>0</v>
      </c>
      <c r="T728" s="77" t="n">
        <f aca="false">N(T727)+$S728</f>
        <v>18</v>
      </c>
    </row>
    <row r="729" customFormat="false" ht="13.5" hidden="false" customHeight="false" outlineLevel="0" collapsed="false">
      <c r="A729" s="9" t="str">
        <f aca="false">IF($B729="","",ROW()-4)</f>
        <v/>
      </c>
      <c r="B729" s="39" t="str">
        <f aca="false">IFERROR(INDEX(对接源_01入库吨位!$B$5:$B$304,MATCH(INT((ROW()-5)/3)+1,对接源_01入库吨位!$S$5:$S$304,0)),"")</f>
        <v/>
      </c>
      <c r="C729" s="39" t="str">
        <f aca="false">IFERROR(INDEX(对接源_01入库吨位!$C$5:$C$304,MATCH(INT((ROW()-5)/3)+1,对接源_01入库吨位!$S$5:$S$304,0)),"")</f>
        <v/>
      </c>
      <c r="D729" s="40" t="str">
        <f aca="false">IF($B729="","",IF(MOD(ROW()-5,3)=0,"周转打冷",IF(MOD(ROW()-5,3)=1,"仓储加工","装卸费")))</f>
        <v/>
      </c>
      <c r="E729" s="51" t="str">
        <f aca="false">IF($B729="","",IFERROR(IF($D729="周转打冷",N(INDEX(对接源_01入库吨位!$D$5:$D$304,MATCH(INT((ROW()-5)/3)+1,对接源_01入库吨位!$S$5:$S$304,0))),IF($D729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29" s="41" t="str">
        <f aca="false">IF($B729="","",ROUND(IFERROR(IF($D729="周转打冷",N(INDEX(对接源_01入库吨位!$H$5:$H$304,MATCH(INT((ROW()-5)/3)+1,对接源_01入库吨位!$S$5:$S$304,0))),IF($D729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29" s="52" t="str">
        <f aca="false">IF($B729="","",ROUND(N($F729)/1000,3))</f>
        <v/>
      </c>
      <c r="H729" s="74"/>
      <c r="I729" s="44"/>
      <c r="J729" s="75" t="str">
        <f aca="false">IF($B729="","",IF($H729="按筐数×单价",N($E729),IF($H729="按总重KG×单价",N($F729),IF($H729="按吨位×单价",N($G729),0))))</f>
        <v/>
      </c>
      <c r="K729" s="41" t="str">
        <f aca="false">IF($B729="","",ROUND(N($J729)*N($I729),2))</f>
        <v/>
      </c>
      <c r="L729" s="42"/>
      <c r="M729" s="76"/>
      <c r="N729" s="43"/>
      <c r="R729" s="77" t="str">
        <f aca="false">IF($B729="","",$B729)</f>
        <v/>
      </c>
      <c r="S729" s="77" t="n">
        <f aca="false">IF($R729="",0,IF(MATCH($R729,$R$5:$R$904,0)=ROW()-4,1,0))</f>
        <v>0</v>
      </c>
      <c r="T729" s="77" t="n">
        <f aca="false">N(T728)+$S729</f>
        <v>18</v>
      </c>
    </row>
    <row r="730" customFormat="false" ht="13.5" hidden="false" customHeight="false" outlineLevel="0" collapsed="false">
      <c r="A730" s="9" t="str">
        <f aca="false">IF($B730="","",ROW()-4)</f>
        <v/>
      </c>
      <c r="B730" s="39" t="str">
        <f aca="false">IFERROR(INDEX(对接源_01入库吨位!$B$5:$B$304,MATCH(INT((ROW()-5)/3)+1,对接源_01入库吨位!$S$5:$S$304,0)),"")</f>
        <v/>
      </c>
      <c r="C730" s="39" t="str">
        <f aca="false">IFERROR(INDEX(对接源_01入库吨位!$C$5:$C$304,MATCH(INT((ROW()-5)/3)+1,对接源_01入库吨位!$S$5:$S$304,0)),"")</f>
        <v/>
      </c>
      <c r="D730" s="40" t="str">
        <f aca="false">IF($B730="","",IF(MOD(ROW()-5,3)=0,"周转打冷",IF(MOD(ROW()-5,3)=1,"仓储加工","装卸费")))</f>
        <v/>
      </c>
      <c r="E730" s="51" t="str">
        <f aca="false">IF($B730="","",IFERROR(IF($D730="周转打冷",N(INDEX(对接源_01入库吨位!$D$5:$D$304,MATCH(INT((ROW()-5)/3)+1,对接源_01入库吨位!$S$5:$S$304,0))),IF($D730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0" s="41" t="str">
        <f aca="false">IF($B730="","",ROUND(IFERROR(IF($D730="周转打冷",N(INDEX(对接源_01入库吨位!$H$5:$H$304,MATCH(INT((ROW()-5)/3)+1,对接源_01入库吨位!$S$5:$S$304,0))),IF($D730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0" s="52" t="str">
        <f aca="false">IF($B730="","",ROUND(N($F730)/1000,3))</f>
        <v/>
      </c>
      <c r="H730" s="74"/>
      <c r="I730" s="44"/>
      <c r="J730" s="75" t="str">
        <f aca="false">IF($B730="","",IF($H730="按筐数×单价",N($E730),IF($H730="按总重KG×单价",N($F730),IF($H730="按吨位×单价",N($G730),0))))</f>
        <v/>
      </c>
      <c r="K730" s="41" t="str">
        <f aca="false">IF($B730="","",ROUND(N($J730)*N($I730),2))</f>
        <v/>
      </c>
      <c r="L730" s="42"/>
      <c r="M730" s="76"/>
      <c r="N730" s="43"/>
      <c r="R730" s="77" t="str">
        <f aca="false">IF($B730="","",$B730)</f>
        <v/>
      </c>
      <c r="S730" s="77" t="n">
        <f aca="false">IF($R730="",0,IF(MATCH($R730,$R$5:$R$904,0)=ROW()-4,1,0))</f>
        <v>0</v>
      </c>
      <c r="T730" s="77" t="n">
        <f aca="false">N(T729)+$S730</f>
        <v>18</v>
      </c>
    </row>
    <row r="731" customFormat="false" ht="13.5" hidden="false" customHeight="false" outlineLevel="0" collapsed="false">
      <c r="A731" s="9" t="str">
        <f aca="false">IF($B731="","",ROW()-4)</f>
        <v/>
      </c>
      <c r="B731" s="39" t="str">
        <f aca="false">IFERROR(INDEX(对接源_01入库吨位!$B$5:$B$304,MATCH(INT((ROW()-5)/3)+1,对接源_01入库吨位!$S$5:$S$304,0)),"")</f>
        <v/>
      </c>
      <c r="C731" s="39" t="str">
        <f aca="false">IFERROR(INDEX(对接源_01入库吨位!$C$5:$C$304,MATCH(INT((ROW()-5)/3)+1,对接源_01入库吨位!$S$5:$S$304,0)),"")</f>
        <v/>
      </c>
      <c r="D731" s="40" t="str">
        <f aca="false">IF($B731="","",IF(MOD(ROW()-5,3)=0,"周转打冷",IF(MOD(ROW()-5,3)=1,"仓储加工","装卸费")))</f>
        <v/>
      </c>
      <c r="E731" s="51" t="str">
        <f aca="false">IF($B731="","",IFERROR(IF($D731="周转打冷",N(INDEX(对接源_01入库吨位!$D$5:$D$304,MATCH(INT((ROW()-5)/3)+1,对接源_01入库吨位!$S$5:$S$304,0))),IF($D731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1" s="41" t="str">
        <f aca="false">IF($B731="","",ROUND(IFERROR(IF($D731="周转打冷",N(INDEX(对接源_01入库吨位!$H$5:$H$304,MATCH(INT((ROW()-5)/3)+1,对接源_01入库吨位!$S$5:$S$304,0))),IF($D731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1" s="52" t="str">
        <f aca="false">IF($B731="","",ROUND(N($F731)/1000,3))</f>
        <v/>
      </c>
      <c r="H731" s="74"/>
      <c r="I731" s="44"/>
      <c r="J731" s="75" t="str">
        <f aca="false">IF($B731="","",IF($H731="按筐数×单价",N($E731),IF($H731="按总重KG×单价",N($F731),IF($H731="按吨位×单价",N($G731),0))))</f>
        <v/>
      </c>
      <c r="K731" s="41" t="str">
        <f aca="false">IF($B731="","",ROUND(N($J731)*N($I731),2))</f>
        <v/>
      </c>
      <c r="L731" s="42"/>
      <c r="M731" s="76"/>
      <c r="N731" s="43"/>
      <c r="R731" s="77" t="str">
        <f aca="false">IF($B731="","",$B731)</f>
        <v/>
      </c>
      <c r="S731" s="77" t="n">
        <f aca="false">IF($R731="",0,IF(MATCH($R731,$R$5:$R$904,0)=ROW()-4,1,0))</f>
        <v>0</v>
      </c>
      <c r="T731" s="77" t="n">
        <f aca="false">N(T730)+$S731</f>
        <v>18</v>
      </c>
    </row>
    <row r="732" customFormat="false" ht="13.5" hidden="false" customHeight="false" outlineLevel="0" collapsed="false">
      <c r="A732" s="9" t="str">
        <f aca="false">IF($B732="","",ROW()-4)</f>
        <v/>
      </c>
      <c r="B732" s="39" t="str">
        <f aca="false">IFERROR(INDEX(对接源_01入库吨位!$B$5:$B$304,MATCH(INT((ROW()-5)/3)+1,对接源_01入库吨位!$S$5:$S$304,0)),"")</f>
        <v/>
      </c>
      <c r="C732" s="39" t="str">
        <f aca="false">IFERROR(INDEX(对接源_01入库吨位!$C$5:$C$304,MATCH(INT((ROW()-5)/3)+1,对接源_01入库吨位!$S$5:$S$304,0)),"")</f>
        <v/>
      </c>
      <c r="D732" s="40" t="str">
        <f aca="false">IF($B732="","",IF(MOD(ROW()-5,3)=0,"周转打冷",IF(MOD(ROW()-5,3)=1,"仓储加工","装卸费")))</f>
        <v/>
      </c>
      <c r="E732" s="51" t="str">
        <f aca="false">IF($B732="","",IFERROR(IF($D732="周转打冷",N(INDEX(对接源_01入库吨位!$D$5:$D$304,MATCH(INT((ROW()-5)/3)+1,对接源_01入库吨位!$S$5:$S$304,0))),IF($D732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2" s="41" t="str">
        <f aca="false">IF($B732="","",ROUND(IFERROR(IF($D732="周转打冷",N(INDEX(对接源_01入库吨位!$H$5:$H$304,MATCH(INT((ROW()-5)/3)+1,对接源_01入库吨位!$S$5:$S$304,0))),IF($D732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2" s="52" t="str">
        <f aca="false">IF($B732="","",ROUND(N($F732)/1000,3))</f>
        <v/>
      </c>
      <c r="H732" s="74"/>
      <c r="I732" s="44"/>
      <c r="J732" s="75" t="str">
        <f aca="false">IF($B732="","",IF($H732="按筐数×单价",N($E732),IF($H732="按总重KG×单价",N($F732),IF($H732="按吨位×单价",N($G732),0))))</f>
        <v/>
      </c>
      <c r="K732" s="41" t="str">
        <f aca="false">IF($B732="","",ROUND(N($J732)*N($I732),2))</f>
        <v/>
      </c>
      <c r="L732" s="42"/>
      <c r="M732" s="76"/>
      <c r="N732" s="43"/>
      <c r="R732" s="77" t="str">
        <f aca="false">IF($B732="","",$B732)</f>
        <v/>
      </c>
      <c r="S732" s="77" t="n">
        <f aca="false">IF($R732="",0,IF(MATCH($R732,$R$5:$R$904,0)=ROW()-4,1,0))</f>
        <v>0</v>
      </c>
      <c r="T732" s="77" t="n">
        <f aca="false">N(T731)+$S732</f>
        <v>18</v>
      </c>
    </row>
    <row r="733" customFormat="false" ht="13.5" hidden="false" customHeight="false" outlineLevel="0" collapsed="false">
      <c r="A733" s="9" t="str">
        <f aca="false">IF($B733="","",ROW()-4)</f>
        <v/>
      </c>
      <c r="B733" s="39" t="str">
        <f aca="false">IFERROR(INDEX(对接源_01入库吨位!$B$5:$B$304,MATCH(INT((ROW()-5)/3)+1,对接源_01入库吨位!$S$5:$S$304,0)),"")</f>
        <v/>
      </c>
      <c r="C733" s="39" t="str">
        <f aca="false">IFERROR(INDEX(对接源_01入库吨位!$C$5:$C$304,MATCH(INT((ROW()-5)/3)+1,对接源_01入库吨位!$S$5:$S$304,0)),"")</f>
        <v/>
      </c>
      <c r="D733" s="40" t="str">
        <f aca="false">IF($B733="","",IF(MOD(ROW()-5,3)=0,"周转打冷",IF(MOD(ROW()-5,3)=1,"仓储加工","装卸费")))</f>
        <v/>
      </c>
      <c r="E733" s="51" t="str">
        <f aca="false">IF($B733="","",IFERROR(IF($D733="周转打冷",N(INDEX(对接源_01入库吨位!$D$5:$D$304,MATCH(INT((ROW()-5)/3)+1,对接源_01入库吨位!$S$5:$S$304,0))),IF($D733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3" s="41" t="str">
        <f aca="false">IF($B733="","",ROUND(IFERROR(IF($D733="周转打冷",N(INDEX(对接源_01入库吨位!$H$5:$H$304,MATCH(INT((ROW()-5)/3)+1,对接源_01入库吨位!$S$5:$S$304,0))),IF($D733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3" s="52" t="str">
        <f aca="false">IF($B733="","",ROUND(N($F733)/1000,3))</f>
        <v/>
      </c>
      <c r="H733" s="74"/>
      <c r="I733" s="44"/>
      <c r="J733" s="75" t="str">
        <f aca="false">IF($B733="","",IF($H733="按筐数×单价",N($E733),IF($H733="按总重KG×单价",N($F733),IF($H733="按吨位×单价",N($G733),0))))</f>
        <v/>
      </c>
      <c r="K733" s="41" t="str">
        <f aca="false">IF($B733="","",ROUND(N($J733)*N($I733),2))</f>
        <v/>
      </c>
      <c r="L733" s="42"/>
      <c r="M733" s="76"/>
      <c r="N733" s="43"/>
      <c r="R733" s="77" t="str">
        <f aca="false">IF($B733="","",$B733)</f>
        <v/>
      </c>
      <c r="S733" s="77" t="n">
        <f aca="false">IF($R733="",0,IF(MATCH($R733,$R$5:$R$904,0)=ROW()-4,1,0))</f>
        <v>0</v>
      </c>
      <c r="T733" s="77" t="n">
        <f aca="false">N(T732)+$S733</f>
        <v>18</v>
      </c>
    </row>
    <row r="734" customFormat="false" ht="13.5" hidden="false" customHeight="false" outlineLevel="0" collapsed="false">
      <c r="A734" s="9" t="str">
        <f aca="false">IF($B734="","",ROW()-4)</f>
        <v/>
      </c>
      <c r="B734" s="39" t="str">
        <f aca="false">IFERROR(INDEX(对接源_01入库吨位!$B$5:$B$304,MATCH(INT((ROW()-5)/3)+1,对接源_01入库吨位!$S$5:$S$304,0)),"")</f>
        <v/>
      </c>
      <c r="C734" s="39" t="str">
        <f aca="false">IFERROR(INDEX(对接源_01入库吨位!$C$5:$C$304,MATCH(INT((ROW()-5)/3)+1,对接源_01入库吨位!$S$5:$S$304,0)),"")</f>
        <v/>
      </c>
      <c r="D734" s="40" t="str">
        <f aca="false">IF($B734="","",IF(MOD(ROW()-5,3)=0,"周转打冷",IF(MOD(ROW()-5,3)=1,"仓储加工","装卸费")))</f>
        <v/>
      </c>
      <c r="E734" s="51" t="str">
        <f aca="false">IF($B734="","",IFERROR(IF($D734="周转打冷",N(INDEX(对接源_01入库吨位!$D$5:$D$304,MATCH(INT((ROW()-5)/3)+1,对接源_01入库吨位!$S$5:$S$304,0))),IF($D734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4" s="41" t="str">
        <f aca="false">IF($B734="","",ROUND(IFERROR(IF($D734="周转打冷",N(INDEX(对接源_01入库吨位!$H$5:$H$304,MATCH(INT((ROW()-5)/3)+1,对接源_01入库吨位!$S$5:$S$304,0))),IF($D734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4" s="52" t="str">
        <f aca="false">IF($B734="","",ROUND(N($F734)/1000,3))</f>
        <v/>
      </c>
      <c r="H734" s="74"/>
      <c r="I734" s="44"/>
      <c r="J734" s="75" t="str">
        <f aca="false">IF($B734="","",IF($H734="按筐数×单价",N($E734),IF($H734="按总重KG×单价",N($F734),IF($H734="按吨位×单价",N($G734),0))))</f>
        <v/>
      </c>
      <c r="K734" s="41" t="str">
        <f aca="false">IF($B734="","",ROUND(N($J734)*N($I734),2))</f>
        <v/>
      </c>
      <c r="L734" s="42"/>
      <c r="M734" s="76"/>
      <c r="N734" s="43"/>
      <c r="R734" s="77" t="str">
        <f aca="false">IF($B734="","",$B734)</f>
        <v/>
      </c>
      <c r="S734" s="77" t="n">
        <f aca="false">IF($R734="",0,IF(MATCH($R734,$R$5:$R$904,0)=ROW()-4,1,0))</f>
        <v>0</v>
      </c>
      <c r="T734" s="77" t="n">
        <f aca="false">N(T733)+$S734</f>
        <v>18</v>
      </c>
    </row>
    <row r="735" customFormat="false" ht="13.5" hidden="false" customHeight="false" outlineLevel="0" collapsed="false">
      <c r="A735" s="9" t="str">
        <f aca="false">IF($B735="","",ROW()-4)</f>
        <v/>
      </c>
      <c r="B735" s="39" t="str">
        <f aca="false">IFERROR(INDEX(对接源_01入库吨位!$B$5:$B$304,MATCH(INT((ROW()-5)/3)+1,对接源_01入库吨位!$S$5:$S$304,0)),"")</f>
        <v/>
      </c>
      <c r="C735" s="39" t="str">
        <f aca="false">IFERROR(INDEX(对接源_01入库吨位!$C$5:$C$304,MATCH(INT((ROW()-5)/3)+1,对接源_01入库吨位!$S$5:$S$304,0)),"")</f>
        <v/>
      </c>
      <c r="D735" s="40" t="str">
        <f aca="false">IF($B735="","",IF(MOD(ROW()-5,3)=0,"周转打冷",IF(MOD(ROW()-5,3)=1,"仓储加工","装卸费")))</f>
        <v/>
      </c>
      <c r="E735" s="51" t="str">
        <f aca="false">IF($B735="","",IFERROR(IF($D735="周转打冷",N(INDEX(对接源_01入库吨位!$D$5:$D$304,MATCH(INT((ROW()-5)/3)+1,对接源_01入库吨位!$S$5:$S$304,0))),IF($D735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5" s="41" t="str">
        <f aca="false">IF($B735="","",ROUND(IFERROR(IF($D735="周转打冷",N(INDEX(对接源_01入库吨位!$H$5:$H$304,MATCH(INT((ROW()-5)/3)+1,对接源_01入库吨位!$S$5:$S$304,0))),IF($D735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5" s="52" t="str">
        <f aca="false">IF($B735="","",ROUND(N($F735)/1000,3))</f>
        <v/>
      </c>
      <c r="H735" s="74"/>
      <c r="I735" s="44"/>
      <c r="J735" s="75" t="str">
        <f aca="false">IF($B735="","",IF($H735="按筐数×单价",N($E735),IF($H735="按总重KG×单价",N($F735),IF($H735="按吨位×单价",N($G735),0))))</f>
        <v/>
      </c>
      <c r="K735" s="41" t="str">
        <f aca="false">IF($B735="","",ROUND(N($J735)*N($I735),2))</f>
        <v/>
      </c>
      <c r="L735" s="42"/>
      <c r="M735" s="76"/>
      <c r="N735" s="43"/>
      <c r="R735" s="77" t="str">
        <f aca="false">IF($B735="","",$B735)</f>
        <v/>
      </c>
      <c r="S735" s="77" t="n">
        <f aca="false">IF($R735="",0,IF(MATCH($R735,$R$5:$R$904,0)=ROW()-4,1,0))</f>
        <v>0</v>
      </c>
      <c r="T735" s="77" t="n">
        <f aca="false">N(T734)+$S735</f>
        <v>18</v>
      </c>
    </row>
    <row r="736" customFormat="false" ht="13.5" hidden="false" customHeight="false" outlineLevel="0" collapsed="false">
      <c r="A736" s="9" t="str">
        <f aca="false">IF($B736="","",ROW()-4)</f>
        <v/>
      </c>
      <c r="B736" s="39" t="str">
        <f aca="false">IFERROR(INDEX(对接源_01入库吨位!$B$5:$B$304,MATCH(INT((ROW()-5)/3)+1,对接源_01入库吨位!$S$5:$S$304,0)),"")</f>
        <v/>
      </c>
      <c r="C736" s="39" t="str">
        <f aca="false">IFERROR(INDEX(对接源_01入库吨位!$C$5:$C$304,MATCH(INT((ROW()-5)/3)+1,对接源_01入库吨位!$S$5:$S$304,0)),"")</f>
        <v/>
      </c>
      <c r="D736" s="40" t="str">
        <f aca="false">IF($B736="","",IF(MOD(ROW()-5,3)=0,"周转打冷",IF(MOD(ROW()-5,3)=1,"仓储加工","装卸费")))</f>
        <v/>
      </c>
      <c r="E736" s="51" t="str">
        <f aca="false">IF($B736="","",IFERROR(IF($D736="周转打冷",N(INDEX(对接源_01入库吨位!$D$5:$D$304,MATCH(INT((ROW()-5)/3)+1,对接源_01入库吨位!$S$5:$S$304,0))),IF($D736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6" s="41" t="str">
        <f aca="false">IF($B736="","",ROUND(IFERROR(IF($D736="周转打冷",N(INDEX(对接源_01入库吨位!$H$5:$H$304,MATCH(INT((ROW()-5)/3)+1,对接源_01入库吨位!$S$5:$S$304,0))),IF($D736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6" s="52" t="str">
        <f aca="false">IF($B736="","",ROUND(N($F736)/1000,3))</f>
        <v/>
      </c>
      <c r="H736" s="74"/>
      <c r="I736" s="44"/>
      <c r="J736" s="75" t="str">
        <f aca="false">IF($B736="","",IF($H736="按筐数×单价",N($E736),IF($H736="按总重KG×单价",N($F736),IF($H736="按吨位×单价",N($G736),0))))</f>
        <v/>
      </c>
      <c r="K736" s="41" t="str">
        <f aca="false">IF($B736="","",ROUND(N($J736)*N($I736),2))</f>
        <v/>
      </c>
      <c r="L736" s="42"/>
      <c r="M736" s="76"/>
      <c r="N736" s="43"/>
      <c r="R736" s="77" t="str">
        <f aca="false">IF($B736="","",$B736)</f>
        <v/>
      </c>
      <c r="S736" s="77" t="n">
        <f aca="false">IF($R736="",0,IF(MATCH($R736,$R$5:$R$904,0)=ROW()-4,1,0))</f>
        <v>0</v>
      </c>
      <c r="T736" s="77" t="n">
        <f aca="false">N(T735)+$S736</f>
        <v>18</v>
      </c>
    </row>
    <row r="737" customFormat="false" ht="13.5" hidden="false" customHeight="false" outlineLevel="0" collapsed="false">
      <c r="A737" s="9" t="str">
        <f aca="false">IF($B737="","",ROW()-4)</f>
        <v/>
      </c>
      <c r="B737" s="39" t="str">
        <f aca="false">IFERROR(INDEX(对接源_01入库吨位!$B$5:$B$304,MATCH(INT((ROW()-5)/3)+1,对接源_01入库吨位!$S$5:$S$304,0)),"")</f>
        <v/>
      </c>
      <c r="C737" s="39" t="str">
        <f aca="false">IFERROR(INDEX(对接源_01入库吨位!$C$5:$C$304,MATCH(INT((ROW()-5)/3)+1,对接源_01入库吨位!$S$5:$S$304,0)),"")</f>
        <v/>
      </c>
      <c r="D737" s="40" t="str">
        <f aca="false">IF($B737="","",IF(MOD(ROW()-5,3)=0,"周转打冷",IF(MOD(ROW()-5,3)=1,"仓储加工","装卸费")))</f>
        <v/>
      </c>
      <c r="E737" s="51" t="str">
        <f aca="false">IF($B737="","",IFERROR(IF($D737="周转打冷",N(INDEX(对接源_01入库吨位!$D$5:$D$304,MATCH(INT((ROW()-5)/3)+1,对接源_01入库吨位!$S$5:$S$304,0))),IF($D737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7" s="41" t="str">
        <f aca="false">IF($B737="","",ROUND(IFERROR(IF($D737="周转打冷",N(INDEX(对接源_01入库吨位!$H$5:$H$304,MATCH(INT((ROW()-5)/3)+1,对接源_01入库吨位!$S$5:$S$304,0))),IF($D737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7" s="52" t="str">
        <f aca="false">IF($B737="","",ROUND(N($F737)/1000,3))</f>
        <v/>
      </c>
      <c r="H737" s="74"/>
      <c r="I737" s="44"/>
      <c r="J737" s="75" t="str">
        <f aca="false">IF($B737="","",IF($H737="按筐数×单价",N($E737),IF($H737="按总重KG×单价",N($F737),IF($H737="按吨位×单价",N($G737),0))))</f>
        <v/>
      </c>
      <c r="K737" s="41" t="str">
        <f aca="false">IF($B737="","",ROUND(N($J737)*N($I737),2))</f>
        <v/>
      </c>
      <c r="L737" s="42"/>
      <c r="M737" s="76"/>
      <c r="N737" s="43"/>
      <c r="R737" s="77" t="str">
        <f aca="false">IF($B737="","",$B737)</f>
        <v/>
      </c>
      <c r="S737" s="77" t="n">
        <f aca="false">IF($R737="",0,IF(MATCH($R737,$R$5:$R$904,0)=ROW()-4,1,0))</f>
        <v>0</v>
      </c>
      <c r="T737" s="77" t="n">
        <f aca="false">N(T736)+$S737</f>
        <v>18</v>
      </c>
    </row>
    <row r="738" customFormat="false" ht="13.5" hidden="false" customHeight="false" outlineLevel="0" collapsed="false">
      <c r="A738" s="9" t="str">
        <f aca="false">IF($B738="","",ROW()-4)</f>
        <v/>
      </c>
      <c r="B738" s="39" t="str">
        <f aca="false">IFERROR(INDEX(对接源_01入库吨位!$B$5:$B$304,MATCH(INT((ROW()-5)/3)+1,对接源_01入库吨位!$S$5:$S$304,0)),"")</f>
        <v/>
      </c>
      <c r="C738" s="39" t="str">
        <f aca="false">IFERROR(INDEX(对接源_01入库吨位!$C$5:$C$304,MATCH(INT((ROW()-5)/3)+1,对接源_01入库吨位!$S$5:$S$304,0)),"")</f>
        <v/>
      </c>
      <c r="D738" s="40" t="str">
        <f aca="false">IF($B738="","",IF(MOD(ROW()-5,3)=0,"周转打冷",IF(MOD(ROW()-5,3)=1,"仓储加工","装卸费")))</f>
        <v/>
      </c>
      <c r="E738" s="51" t="str">
        <f aca="false">IF($B738="","",IFERROR(IF($D738="周转打冷",N(INDEX(对接源_01入库吨位!$D$5:$D$304,MATCH(INT((ROW()-5)/3)+1,对接源_01入库吨位!$S$5:$S$304,0))),IF($D738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8" s="41" t="str">
        <f aca="false">IF($B738="","",ROUND(IFERROR(IF($D738="周转打冷",N(INDEX(对接源_01入库吨位!$H$5:$H$304,MATCH(INT((ROW()-5)/3)+1,对接源_01入库吨位!$S$5:$S$304,0))),IF($D738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8" s="52" t="str">
        <f aca="false">IF($B738="","",ROUND(N($F738)/1000,3))</f>
        <v/>
      </c>
      <c r="H738" s="74"/>
      <c r="I738" s="44"/>
      <c r="J738" s="75" t="str">
        <f aca="false">IF($B738="","",IF($H738="按筐数×单价",N($E738),IF($H738="按总重KG×单价",N($F738),IF($H738="按吨位×单价",N($G738),0))))</f>
        <v/>
      </c>
      <c r="K738" s="41" t="str">
        <f aca="false">IF($B738="","",ROUND(N($J738)*N($I738),2))</f>
        <v/>
      </c>
      <c r="L738" s="42"/>
      <c r="M738" s="76"/>
      <c r="N738" s="43"/>
      <c r="R738" s="77" t="str">
        <f aca="false">IF($B738="","",$B738)</f>
        <v/>
      </c>
      <c r="S738" s="77" t="n">
        <f aca="false">IF($R738="",0,IF(MATCH($R738,$R$5:$R$904,0)=ROW()-4,1,0))</f>
        <v>0</v>
      </c>
      <c r="T738" s="77" t="n">
        <f aca="false">N(T737)+$S738</f>
        <v>18</v>
      </c>
    </row>
    <row r="739" customFormat="false" ht="13.5" hidden="false" customHeight="false" outlineLevel="0" collapsed="false">
      <c r="A739" s="9" t="str">
        <f aca="false">IF($B739="","",ROW()-4)</f>
        <v/>
      </c>
      <c r="B739" s="39" t="str">
        <f aca="false">IFERROR(INDEX(对接源_01入库吨位!$B$5:$B$304,MATCH(INT((ROW()-5)/3)+1,对接源_01入库吨位!$S$5:$S$304,0)),"")</f>
        <v/>
      </c>
      <c r="C739" s="39" t="str">
        <f aca="false">IFERROR(INDEX(对接源_01入库吨位!$C$5:$C$304,MATCH(INT((ROW()-5)/3)+1,对接源_01入库吨位!$S$5:$S$304,0)),"")</f>
        <v/>
      </c>
      <c r="D739" s="40" t="str">
        <f aca="false">IF($B739="","",IF(MOD(ROW()-5,3)=0,"周转打冷",IF(MOD(ROW()-5,3)=1,"仓储加工","装卸费")))</f>
        <v/>
      </c>
      <c r="E739" s="51" t="str">
        <f aca="false">IF($B739="","",IFERROR(IF($D739="周转打冷",N(INDEX(对接源_01入库吨位!$D$5:$D$304,MATCH(INT((ROW()-5)/3)+1,对接源_01入库吨位!$S$5:$S$304,0))),IF($D739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39" s="41" t="str">
        <f aca="false">IF($B739="","",ROUND(IFERROR(IF($D739="周转打冷",N(INDEX(对接源_01入库吨位!$H$5:$H$304,MATCH(INT((ROW()-5)/3)+1,对接源_01入库吨位!$S$5:$S$304,0))),IF($D739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39" s="52" t="str">
        <f aca="false">IF($B739="","",ROUND(N($F739)/1000,3))</f>
        <v/>
      </c>
      <c r="H739" s="74"/>
      <c r="I739" s="44"/>
      <c r="J739" s="75" t="str">
        <f aca="false">IF($B739="","",IF($H739="按筐数×单价",N($E739),IF($H739="按总重KG×单价",N($F739),IF($H739="按吨位×单价",N($G739),0))))</f>
        <v/>
      </c>
      <c r="K739" s="41" t="str">
        <f aca="false">IF($B739="","",ROUND(N($J739)*N($I739),2))</f>
        <v/>
      </c>
      <c r="L739" s="42"/>
      <c r="M739" s="76"/>
      <c r="N739" s="43"/>
      <c r="R739" s="77" t="str">
        <f aca="false">IF($B739="","",$B739)</f>
        <v/>
      </c>
      <c r="S739" s="77" t="n">
        <f aca="false">IF($R739="",0,IF(MATCH($R739,$R$5:$R$904,0)=ROW()-4,1,0))</f>
        <v>0</v>
      </c>
      <c r="T739" s="77" t="n">
        <f aca="false">N(T738)+$S739</f>
        <v>18</v>
      </c>
    </row>
    <row r="740" customFormat="false" ht="13.5" hidden="false" customHeight="false" outlineLevel="0" collapsed="false">
      <c r="A740" s="9" t="str">
        <f aca="false">IF($B740="","",ROW()-4)</f>
        <v/>
      </c>
      <c r="B740" s="39" t="str">
        <f aca="false">IFERROR(INDEX(对接源_01入库吨位!$B$5:$B$304,MATCH(INT((ROW()-5)/3)+1,对接源_01入库吨位!$S$5:$S$304,0)),"")</f>
        <v/>
      </c>
      <c r="C740" s="39" t="str">
        <f aca="false">IFERROR(INDEX(对接源_01入库吨位!$C$5:$C$304,MATCH(INT((ROW()-5)/3)+1,对接源_01入库吨位!$S$5:$S$304,0)),"")</f>
        <v/>
      </c>
      <c r="D740" s="40" t="str">
        <f aca="false">IF($B740="","",IF(MOD(ROW()-5,3)=0,"周转打冷",IF(MOD(ROW()-5,3)=1,"仓储加工","装卸费")))</f>
        <v/>
      </c>
      <c r="E740" s="51" t="str">
        <f aca="false">IF($B740="","",IFERROR(IF($D740="周转打冷",N(INDEX(对接源_01入库吨位!$D$5:$D$304,MATCH(INT((ROW()-5)/3)+1,对接源_01入库吨位!$S$5:$S$304,0))),IF($D740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0" s="41" t="str">
        <f aca="false">IF($B740="","",ROUND(IFERROR(IF($D740="周转打冷",N(INDEX(对接源_01入库吨位!$H$5:$H$304,MATCH(INT((ROW()-5)/3)+1,对接源_01入库吨位!$S$5:$S$304,0))),IF($D740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0" s="52" t="str">
        <f aca="false">IF($B740="","",ROUND(N($F740)/1000,3))</f>
        <v/>
      </c>
      <c r="H740" s="74"/>
      <c r="I740" s="44"/>
      <c r="J740" s="75" t="str">
        <f aca="false">IF($B740="","",IF($H740="按筐数×单价",N($E740),IF($H740="按总重KG×单价",N($F740),IF($H740="按吨位×单价",N($G740),0))))</f>
        <v/>
      </c>
      <c r="K740" s="41" t="str">
        <f aca="false">IF($B740="","",ROUND(N($J740)*N($I740),2))</f>
        <v/>
      </c>
      <c r="L740" s="42"/>
      <c r="M740" s="76"/>
      <c r="N740" s="43"/>
      <c r="R740" s="77" t="str">
        <f aca="false">IF($B740="","",$B740)</f>
        <v/>
      </c>
      <c r="S740" s="77" t="n">
        <f aca="false">IF($R740="",0,IF(MATCH($R740,$R$5:$R$904,0)=ROW()-4,1,0))</f>
        <v>0</v>
      </c>
      <c r="T740" s="77" t="n">
        <f aca="false">N(T739)+$S740</f>
        <v>18</v>
      </c>
    </row>
    <row r="741" customFormat="false" ht="13.5" hidden="false" customHeight="false" outlineLevel="0" collapsed="false">
      <c r="A741" s="9" t="str">
        <f aca="false">IF($B741="","",ROW()-4)</f>
        <v/>
      </c>
      <c r="B741" s="39" t="str">
        <f aca="false">IFERROR(INDEX(对接源_01入库吨位!$B$5:$B$304,MATCH(INT((ROW()-5)/3)+1,对接源_01入库吨位!$S$5:$S$304,0)),"")</f>
        <v/>
      </c>
      <c r="C741" s="39" t="str">
        <f aca="false">IFERROR(INDEX(对接源_01入库吨位!$C$5:$C$304,MATCH(INT((ROW()-5)/3)+1,对接源_01入库吨位!$S$5:$S$304,0)),"")</f>
        <v/>
      </c>
      <c r="D741" s="40" t="str">
        <f aca="false">IF($B741="","",IF(MOD(ROW()-5,3)=0,"周转打冷",IF(MOD(ROW()-5,3)=1,"仓储加工","装卸费")))</f>
        <v/>
      </c>
      <c r="E741" s="51" t="str">
        <f aca="false">IF($B741="","",IFERROR(IF($D741="周转打冷",N(INDEX(对接源_01入库吨位!$D$5:$D$304,MATCH(INT((ROW()-5)/3)+1,对接源_01入库吨位!$S$5:$S$304,0))),IF($D741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1" s="41" t="str">
        <f aca="false">IF($B741="","",ROUND(IFERROR(IF($D741="周转打冷",N(INDEX(对接源_01入库吨位!$H$5:$H$304,MATCH(INT((ROW()-5)/3)+1,对接源_01入库吨位!$S$5:$S$304,0))),IF($D741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1" s="52" t="str">
        <f aca="false">IF($B741="","",ROUND(N($F741)/1000,3))</f>
        <v/>
      </c>
      <c r="H741" s="74"/>
      <c r="I741" s="44"/>
      <c r="J741" s="75" t="str">
        <f aca="false">IF($B741="","",IF($H741="按筐数×单价",N($E741),IF($H741="按总重KG×单价",N($F741),IF($H741="按吨位×单价",N($G741),0))))</f>
        <v/>
      </c>
      <c r="K741" s="41" t="str">
        <f aca="false">IF($B741="","",ROUND(N($J741)*N($I741),2))</f>
        <v/>
      </c>
      <c r="L741" s="42"/>
      <c r="M741" s="76"/>
      <c r="N741" s="43"/>
      <c r="R741" s="77" t="str">
        <f aca="false">IF($B741="","",$B741)</f>
        <v/>
      </c>
      <c r="S741" s="77" t="n">
        <f aca="false">IF($R741="",0,IF(MATCH($R741,$R$5:$R$904,0)=ROW()-4,1,0))</f>
        <v>0</v>
      </c>
      <c r="T741" s="77" t="n">
        <f aca="false">N(T740)+$S741</f>
        <v>18</v>
      </c>
    </row>
    <row r="742" customFormat="false" ht="13.5" hidden="false" customHeight="false" outlineLevel="0" collapsed="false">
      <c r="A742" s="9" t="str">
        <f aca="false">IF($B742="","",ROW()-4)</f>
        <v/>
      </c>
      <c r="B742" s="39" t="str">
        <f aca="false">IFERROR(INDEX(对接源_01入库吨位!$B$5:$B$304,MATCH(INT((ROW()-5)/3)+1,对接源_01入库吨位!$S$5:$S$304,0)),"")</f>
        <v/>
      </c>
      <c r="C742" s="39" t="str">
        <f aca="false">IFERROR(INDEX(对接源_01入库吨位!$C$5:$C$304,MATCH(INT((ROW()-5)/3)+1,对接源_01入库吨位!$S$5:$S$304,0)),"")</f>
        <v/>
      </c>
      <c r="D742" s="40" t="str">
        <f aca="false">IF($B742="","",IF(MOD(ROW()-5,3)=0,"周转打冷",IF(MOD(ROW()-5,3)=1,"仓储加工","装卸费")))</f>
        <v/>
      </c>
      <c r="E742" s="51" t="str">
        <f aca="false">IF($B742="","",IFERROR(IF($D742="周转打冷",N(INDEX(对接源_01入库吨位!$D$5:$D$304,MATCH(INT((ROW()-5)/3)+1,对接源_01入库吨位!$S$5:$S$304,0))),IF($D742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2" s="41" t="str">
        <f aca="false">IF($B742="","",ROUND(IFERROR(IF($D742="周转打冷",N(INDEX(对接源_01入库吨位!$H$5:$H$304,MATCH(INT((ROW()-5)/3)+1,对接源_01入库吨位!$S$5:$S$304,0))),IF($D742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2" s="52" t="str">
        <f aca="false">IF($B742="","",ROUND(N($F742)/1000,3))</f>
        <v/>
      </c>
      <c r="H742" s="74"/>
      <c r="I742" s="44"/>
      <c r="J742" s="75" t="str">
        <f aca="false">IF($B742="","",IF($H742="按筐数×单价",N($E742),IF($H742="按总重KG×单价",N($F742),IF($H742="按吨位×单价",N($G742),0))))</f>
        <v/>
      </c>
      <c r="K742" s="41" t="str">
        <f aca="false">IF($B742="","",ROUND(N($J742)*N($I742),2))</f>
        <v/>
      </c>
      <c r="L742" s="42"/>
      <c r="M742" s="76"/>
      <c r="N742" s="43"/>
      <c r="R742" s="77" t="str">
        <f aca="false">IF($B742="","",$B742)</f>
        <v/>
      </c>
      <c r="S742" s="77" t="n">
        <f aca="false">IF($R742="",0,IF(MATCH($R742,$R$5:$R$904,0)=ROW()-4,1,0))</f>
        <v>0</v>
      </c>
      <c r="T742" s="77" t="n">
        <f aca="false">N(T741)+$S742</f>
        <v>18</v>
      </c>
    </row>
    <row r="743" customFormat="false" ht="13.5" hidden="false" customHeight="false" outlineLevel="0" collapsed="false">
      <c r="A743" s="9" t="str">
        <f aca="false">IF($B743="","",ROW()-4)</f>
        <v/>
      </c>
      <c r="B743" s="39" t="str">
        <f aca="false">IFERROR(INDEX(对接源_01入库吨位!$B$5:$B$304,MATCH(INT((ROW()-5)/3)+1,对接源_01入库吨位!$S$5:$S$304,0)),"")</f>
        <v/>
      </c>
      <c r="C743" s="39" t="str">
        <f aca="false">IFERROR(INDEX(对接源_01入库吨位!$C$5:$C$304,MATCH(INT((ROW()-5)/3)+1,对接源_01入库吨位!$S$5:$S$304,0)),"")</f>
        <v/>
      </c>
      <c r="D743" s="40" t="str">
        <f aca="false">IF($B743="","",IF(MOD(ROW()-5,3)=0,"周转打冷",IF(MOD(ROW()-5,3)=1,"仓储加工","装卸费")))</f>
        <v/>
      </c>
      <c r="E743" s="51" t="str">
        <f aca="false">IF($B743="","",IFERROR(IF($D743="周转打冷",N(INDEX(对接源_01入库吨位!$D$5:$D$304,MATCH(INT((ROW()-5)/3)+1,对接源_01入库吨位!$S$5:$S$304,0))),IF($D743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3" s="41" t="str">
        <f aca="false">IF($B743="","",ROUND(IFERROR(IF($D743="周转打冷",N(INDEX(对接源_01入库吨位!$H$5:$H$304,MATCH(INT((ROW()-5)/3)+1,对接源_01入库吨位!$S$5:$S$304,0))),IF($D743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3" s="52" t="str">
        <f aca="false">IF($B743="","",ROUND(N($F743)/1000,3))</f>
        <v/>
      </c>
      <c r="H743" s="74"/>
      <c r="I743" s="44"/>
      <c r="J743" s="75" t="str">
        <f aca="false">IF($B743="","",IF($H743="按筐数×单价",N($E743),IF($H743="按总重KG×单价",N($F743),IF($H743="按吨位×单价",N($G743),0))))</f>
        <v/>
      </c>
      <c r="K743" s="41" t="str">
        <f aca="false">IF($B743="","",ROUND(N($J743)*N($I743),2))</f>
        <v/>
      </c>
      <c r="L743" s="42"/>
      <c r="M743" s="76"/>
      <c r="N743" s="43"/>
      <c r="R743" s="77" t="str">
        <f aca="false">IF($B743="","",$B743)</f>
        <v/>
      </c>
      <c r="S743" s="77" t="n">
        <f aca="false">IF($R743="",0,IF(MATCH($R743,$R$5:$R$904,0)=ROW()-4,1,0))</f>
        <v>0</v>
      </c>
      <c r="T743" s="77" t="n">
        <f aca="false">N(T742)+$S743</f>
        <v>18</v>
      </c>
    </row>
    <row r="744" customFormat="false" ht="13.5" hidden="false" customHeight="false" outlineLevel="0" collapsed="false">
      <c r="A744" s="9" t="str">
        <f aca="false">IF($B744="","",ROW()-4)</f>
        <v/>
      </c>
      <c r="B744" s="39" t="str">
        <f aca="false">IFERROR(INDEX(对接源_01入库吨位!$B$5:$B$304,MATCH(INT((ROW()-5)/3)+1,对接源_01入库吨位!$S$5:$S$304,0)),"")</f>
        <v/>
      </c>
      <c r="C744" s="39" t="str">
        <f aca="false">IFERROR(INDEX(对接源_01入库吨位!$C$5:$C$304,MATCH(INT((ROW()-5)/3)+1,对接源_01入库吨位!$S$5:$S$304,0)),"")</f>
        <v/>
      </c>
      <c r="D744" s="40" t="str">
        <f aca="false">IF($B744="","",IF(MOD(ROW()-5,3)=0,"周转打冷",IF(MOD(ROW()-5,3)=1,"仓储加工","装卸费")))</f>
        <v/>
      </c>
      <c r="E744" s="51" t="str">
        <f aca="false">IF($B744="","",IFERROR(IF($D744="周转打冷",N(INDEX(对接源_01入库吨位!$D$5:$D$304,MATCH(INT((ROW()-5)/3)+1,对接源_01入库吨位!$S$5:$S$304,0))),IF($D744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4" s="41" t="str">
        <f aca="false">IF($B744="","",ROUND(IFERROR(IF($D744="周转打冷",N(INDEX(对接源_01入库吨位!$H$5:$H$304,MATCH(INT((ROW()-5)/3)+1,对接源_01入库吨位!$S$5:$S$304,0))),IF($D744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4" s="52" t="str">
        <f aca="false">IF($B744="","",ROUND(N($F744)/1000,3))</f>
        <v/>
      </c>
      <c r="H744" s="74"/>
      <c r="I744" s="44"/>
      <c r="J744" s="75" t="str">
        <f aca="false">IF($B744="","",IF($H744="按筐数×单价",N($E744),IF($H744="按总重KG×单价",N($F744),IF($H744="按吨位×单价",N($G744),0))))</f>
        <v/>
      </c>
      <c r="K744" s="41" t="str">
        <f aca="false">IF($B744="","",ROUND(N($J744)*N($I744),2))</f>
        <v/>
      </c>
      <c r="L744" s="42"/>
      <c r="M744" s="76"/>
      <c r="N744" s="43"/>
      <c r="R744" s="77" t="str">
        <f aca="false">IF($B744="","",$B744)</f>
        <v/>
      </c>
      <c r="S744" s="77" t="n">
        <f aca="false">IF($R744="",0,IF(MATCH($R744,$R$5:$R$904,0)=ROW()-4,1,0))</f>
        <v>0</v>
      </c>
      <c r="T744" s="77" t="n">
        <f aca="false">N(T743)+$S744</f>
        <v>18</v>
      </c>
    </row>
    <row r="745" customFormat="false" ht="13.5" hidden="false" customHeight="false" outlineLevel="0" collapsed="false">
      <c r="A745" s="9" t="str">
        <f aca="false">IF($B745="","",ROW()-4)</f>
        <v/>
      </c>
      <c r="B745" s="39" t="str">
        <f aca="false">IFERROR(INDEX(对接源_01入库吨位!$B$5:$B$304,MATCH(INT((ROW()-5)/3)+1,对接源_01入库吨位!$S$5:$S$304,0)),"")</f>
        <v/>
      </c>
      <c r="C745" s="39" t="str">
        <f aca="false">IFERROR(INDEX(对接源_01入库吨位!$C$5:$C$304,MATCH(INT((ROW()-5)/3)+1,对接源_01入库吨位!$S$5:$S$304,0)),"")</f>
        <v/>
      </c>
      <c r="D745" s="40" t="str">
        <f aca="false">IF($B745="","",IF(MOD(ROW()-5,3)=0,"周转打冷",IF(MOD(ROW()-5,3)=1,"仓储加工","装卸费")))</f>
        <v/>
      </c>
      <c r="E745" s="51" t="str">
        <f aca="false">IF($B745="","",IFERROR(IF($D745="周转打冷",N(INDEX(对接源_01入库吨位!$D$5:$D$304,MATCH(INT((ROW()-5)/3)+1,对接源_01入库吨位!$S$5:$S$304,0))),IF($D745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5" s="41" t="str">
        <f aca="false">IF($B745="","",ROUND(IFERROR(IF($D745="周转打冷",N(INDEX(对接源_01入库吨位!$H$5:$H$304,MATCH(INT((ROW()-5)/3)+1,对接源_01入库吨位!$S$5:$S$304,0))),IF($D745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5" s="52" t="str">
        <f aca="false">IF($B745="","",ROUND(N($F745)/1000,3))</f>
        <v/>
      </c>
      <c r="H745" s="74"/>
      <c r="I745" s="44"/>
      <c r="J745" s="75" t="str">
        <f aca="false">IF($B745="","",IF($H745="按筐数×单价",N($E745),IF($H745="按总重KG×单价",N($F745),IF($H745="按吨位×单价",N($G745),0))))</f>
        <v/>
      </c>
      <c r="K745" s="41" t="str">
        <f aca="false">IF($B745="","",ROUND(N($J745)*N($I745),2))</f>
        <v/>
      </c>
      <c r="L745" s="42"/>
      <c r="M745" s="76"/>
      <c r="N745" s="43"/>
      <c r="R745" s="77" t="str">
        <f aca="false">IF($B745="","",$B745)</f>
        <v/>
      </c>
      <c r="S745" s="77" t="n">
        <f aca="false">IF($R745="",0,IF(MATCH($R745,$R$5:$R$904,0)=ROW()-4,1,0))</f>
        <v>0</v>
      </c>
      <c r="T745" s="77" t="n">
        <f aca="false">N(T744)+$S745</f>
        <v>18</v>
      </c>
    </row>
    <row r="746" customFormat="false" ht="13.5" hidden="false" customHeight="false" outlineLevel="0" collapsed="false">
      <c r="A746" s="9" t="str">
        <f aca="false">IF($B746="","",ROW()-4)</f>
        <v/>
      </c>
      <c r="B746" s="39" t="str">
        <f aca="false">IFERROR(INDEX(对接源_01入库吨位!$B$5:$B$304,MATCH(INT((ROW()-5)/3)+1,对接源_01入库吨位!$S$5:$S$304,0)),"")</f>
        <v/>
      </c>
      <c r="C746" s="39" t="str">
        <f aca="false">IFERROR(INDEX(对接源_01入库吨位!$C$5:$C$304,MATCH(INT((ROW()-5)/3)+1,对接源_01入库吨位!$S$5:$S$304,0)),"")</f>
        <v/>
      </c>
      <c r="D746" s="40" t="str">
        <f aca="false">IF($B746="","",IF(MOD(ROW()-5,3)=0,"周转打冷",IF(MOD(ROW()-5,3)=1,"仓储加工","装卸费")))</f>
        <v/>
      </c>
      <c r="E746" s="51" t="str">
        <f aca="false">IF($B746="","",IFERROR(IF($D746="周转打冷",N(INDEX(对接源_01入库吨位!$D$5:$D$304,MATCH(INT((ROW()-5)/3)+1,对接源_01入库吨位!$S$5:$S$304,0))),IF($D746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6" s="41" t="str">
        <f aca="false">IF($B746="","",ROUND(IFERROR(IF($D746="周转打冷",N(INDEX(对接源_01入库吨位!$H$5:$H$304,MATCH(INT((ROW()-5)/3)+1,对接源_01入库吨位!$S$5:$S$304,0))),IF($D746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6" s="52" t="str">
        <f aca="false">IF($B746="","",ROUND(N($F746)/1000,3))</f>
        <v/>
      </c>
      <c r="H746" s="74"/>
      <c r="I746" s="44"/>
      <c r="J746" s="75" t="str">
        <f aca="false">IF($B746="","",IF($H746="按筐数×单价",N($E746),IF($H746="按总重KG×单价",N($F746),IF($H746="按吨位×单价",N($G746),0))))</f>
        <v/>
      </c>
      <c r="K746" s="41" t="str">
        <f aca="false">IF($B746="","",ROUND(N($J746)*N($I746),2))</f>
        <v/>
      </c>
      <c r="L746" s="42"/>
      <c r="M746" s="76"/>
      <c r="N746" s="43"/>
      <c r="R746" s="77" t="str">
        <f aca="false">IF($B746="","",$B746)</f>
        <v/>
      </c>
      <c r="S746" s="77" t="n">
        <f aca="false">IF($R746="",0,IF(MATCH($R746,$R$5:$R$904,0)=ROW()-4,1,0))</f>
        <v>0</v>
      </c>
      <c r="T746" s="77" t="n">
        <f aca="false">N(T745)+$S746</f>
        <v>18</v>
      </c>
    </row>
    <row r="747" customFormat="false" ht="13.5" hidden="false" customHeight="false" outlineLevel="0" collapsed="false">
      <c r="A747" s="9" t="str">
        <f aca="false">IF($B747="","",ROW()-4)</f>
        <v/>
      </c>
      <c r="B747" s="39" t="str">
        <f aca="false">IFERROR(INDEX(对接源_01入库吨位!$B$5:$B$304,MATCH(INT((ROW()-5)/3)+1,对接源_01入库吨位!$S$5:$S$304,0)),"")</f>
        <v/>
      </c>
      <c r="C747" s="39" t="str">
        <f aca="false">IFERROR(INDEX(对接源_01入库吨位!$C$5:$C$304,MATCH(INT((ROW()-5)/3)+1,对接源_01入库吨位!$S$5:$S$304,0)),"")</f>
        <v/>
      </c>
      <c r="D747" s="40" t="str">
        <f aca="false">IF($B747="","",IF(MOD(ROW()-5,3)=0,"周转打冷",IF(MOD(ROW()-5,3)=1,"仓储加工","装卸费")))</f>
        <v/>
      </c>
      <c r="E747" s="51" t="str">
        <f aca="false">IF($B747="","",IFERROR(IF($D747="周转打冷",N(INDEX(对接源_01入库吨位!$D$5:$D$304,MATCH(INT((ROW()-5)/3)+1,对接源_01入库吨位!$S$5:$S$304,0))),IF($D747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7" s="41" t="str">
        <f aca="false">IF($B747="","",ROUND(IFERROR(IF($D747="周转打冷",N(INDEX(对接源_01入库吨位!$H$5:$H$304,MATCH(INT((ROW()-5)/3)+1,对接源_01入库吨位!$S$5:$S$304,0))),IF($D747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7" s="52" t="str">
        <f aca="false">IF($B747="","",ROUND(N($F747)/1000,3))</f>
        <v/>
      </c>
      <c r="H747" s="74"/>
      <c r="I747" s="44"/>
      <c r="J747" s="75" t="str">
        <f aca="false">IF($B747="","",IF($H747="按筐数×单价",N($E747),IF($H747="按总重KG×单价",N($F747),IF($H747="按吨位×单价",N($G747),0))))</f>
        <v/>
      </c>
      <c r="K747" s="41" t="str">
        <f aca="false">IF($B747="","",ROUND(N($J747)*N($I747),2))</f>
        <v/>
      </c>
      <c r="L747" s="42"/>
      <c r="M747" s="76"/>
      <c r="N747" s="43"/>
      <c r="R747" s="77" t="str">
        <f aca="false">IF($B747="","",$B747)</f>
        <v/>
      </c>
      <c r="S747" s="77" t="n">
        <f aca="false">IF($R747="",0,IF(MATCH($R747,$R$5:$R$904,0)=ROW()-4,1,0))</f>
        <v>0</v>
      </c>
      <c r="T747" s="77" t="n">
        <f aca="false">N(T746)+$S747</f>
        <v>18</v>
      </c>
    </row>
    <row r="748" customFormat="false" ht="13.5" hidden="false" customHeight="false" outlineLevel="0" collapsed="false">
      <c r="A748" s="9" t="str">
        <f aca="false">IF($B748="","",ROW()-4)</f>
        <v/>
      </c>
      <c r="B748" s="39" t="str">
        <f aca="false">IFERROR(INDEX(对接源_01入库吨位!$B$5:$B$304,MATCH(INT((ROW()-5)/3)+1,对接源_01入库吨位!$S$5:$S$304,0)),"")</f>
        <v/>
      </c>
      <c r="C748" s="39" t="str">
        <f aca="false">IFERROR(INDEX(对接源_01入库吨位!$C$5:$C$304,MATCH(INT((ROW()-5)/3)+1,对接源_01入库吨位!$S$5:$S$304,0)),"")</f>
        <v/>
      </c>
      <c r="D748" s="40" t="str">
        <f aca="false">IF($B748="","",IF(MOD(ROW()-5,3)=0,"周转打冷",IF(MOD(ROW()-5,3)=1,"仓储加工","装卸费")))</f>
        <v/>
      </c>
      <c r="E748" s="51" t="str">
        <f aca="false">IF($B748="","",IFERROR(IF($D748="周转打冷",N(INDEX(对接源_01入库吨位!$D$5:$D$304,MATCH(INT((ROW()-5)/3)+1,对接源_01入库吨位!$S$5:$S$304,0))),IF($D748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8" s="41" t="str">
        <f aca="false">IF($B748="","",ROUND(IFERROR(IF($D748="周转打冷",N(INDEX(对接源_01入库吨位!$H$5:$H$304,MATCH(INT((ROW()-5)/3)+1,对接源_01入库吨位!$S$5:$S$304,0))),IF($D748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8" s="52" t="str">
        <f aca="false">IF($B748="","",ROUND(N($F748)/1000,3))</f>
        <v/>
      </c>
      <c r="H748" s="74"/>
      <c r="I748" s="44"/>
      <c r="J748" s="75" t="str">
        <f aca="false">IF($B748="","",IF($H748="按筐数×单价",N($E748),IF($H748="按总重KG×单价",N($F748),IF($H748="按吨位×单价",N($G748),0))))</f>
        <v/>
      </c>
      <c r="K748" s="41" t="str">
        <f aca="false">IF($B748="","",ROUND(N($J748)*N($I748),2))</f>
        <v/>
      </c>
      <c r="L748" s="42"/>
      <c r="M748" s="76"/>
      <c r="N748" s="43"/>
      <c r="R748" s="77" t="str">
        <f aca="false">IF($B748="","",$B748)</f>
        <v/>
      </c>
      <c r="S748" s="77" t="n">
        <f aca="false">IF($R748="",0,IF(MATCH($R748,$R$5:$R$904,0)=ROW()-4,1,0))</f>
        <v>0</v>
      </c>
      <c r="T748" s="77" t="n">
        <f aca="false">N(T747)+$S748</f>
        <v>18</v>
      </c>
    </row>
    <row r="749" customFormat="false" ht="13.5" hidden="false" customHeight="false" outlineLevel="0" collapsed="false">
      <c r="A749" s="9" t="str">
        <f aca="false">IF($B749="","",ROW()-4)</f>
        <v/>
      </c>
      <c r="B749" s="39" t="str">
        <f aca="false">IFERROR(INDEX(对接源_01入库吨位!$B$5:$B$304,MATCH(INT((ROW()-5)/3)+1,对接源_01入库吨位!$S$5:$S$304,0)),"")</f>
        <v/>
      </c>
      <c r="C749" s="39" t="str">
        <f aca="false">IFERROR(INDEX(对接源_01入库吨位!$C$5:$C$304,MATCH(INT((ROW()-5)/3)+1,对接源_01入库吨位!$S$5:$S$304,0)),"")</f>
        <v/>
      </c>
      <c r="D749" s="40" t="str">
        <f aca="false">IF($B749="","",IF(MOD(ROW()-5,3)=0,"周转打冷",IF(MOD(ROW()-5,3)=1,"仓储加工","装卸费")))</f>
        <v/>
      </c>
      <c r="E749" s="51" t="str">
        <f aca="false">IF($B749="","",IFERROR(IF($D749="周转打冷",N(INDEX(对接源_01入库吨位!$D$5:$D$304,MATCH(INT((ROW()-5)/3)+1,对接源_01入库吨位!$S$5:$S$304,0))),IF($D749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49" s="41" t="str">
        <f aca="false">IF($B749="","",ROUND(IFERROR(IF($D749="周转打冷",N(INDEX(对接源_01入库吨位!$H$5:$H$304,MATCH(INT((ROW()-5)/3)+1,对接源_01入库吨位!$S$5:$S$304,0))),IF($D749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49" s="52" t="str">
        <f aca="false">IF($B749="","",ROUND(N($F749)/1000,3))</f>
        <v/>
      </c>
      <c r="H749" s="74"/>
      <c r="I749" s="44"/>
      <c r="J749" s="75" t="str">
        <f aca="false">IF($B749="","",IF($H749="按筐数×单价",N($E749),IF($H749="按总重KG×单价",N($F749),IF($H749="按吨位×单价",N($G749),0))))</f>
        <v/>
      </c>
      <c r="K749" s="41" t="str">
        <f aca="false">IF($B749="","",ROUND(N($J749)*N($I749),2))</f>
        <v/>
      </c>
      <c r="L749" s="42"/>
      <c r="M749" s="76"/>
      <c r="N749" s="43"/>
      <c r="R749" s="77" t="str">
        <f aca="false">IF($B749="","",$B749)</f>
        <v/>
      </c>
      <c r="S749" s="77" t="n">
        <f aca="false">IF($R749="",0,IF(MATCH($R749,$R$5:$R$904,0)=ROW()-4,1,0))</f>
        <v>0</v>
      </c>
      <c r="T749" s="77" t="n">
        <f aca="false">N(T748)+$S749</f>
        <v>18</v>
      </c>
    </row>
    <row r="750" customFormat="false" ht="13.5" hidden="false" customHeight="false" outlineLevel="0" collapsed="false">
      <c r="A750" s="9" t="str">
        <f aca="false">IF($B750="","",ROW()-4)</f>
        <v/>
      </c>
      <c r="B750" s="39" t="str">
        <f aca="false">IFERROR(INDEX(对接源_01入库吨位!$B$5:$B$304,MATCH(INT((ROW()-5)/3)+1,对接源_01入库吨位!$S$5:$S$304,0)),"")</f>
        <v/>
      </c>
      <c r="C750" s="39" t="str">
        <f aca="false">IFERROR(INDEX(对接源_01入库吨位!$C$5:$C$304,MATCH(INT((ROW()-5)/3)+1,对接源_01入库吨位!$S$5:$S$304,0)),"")</f>
        <v/>
      </c>
      <c r="D750" s="40" t="str">
        <f aca="false">IF($B750="","",IF(MOD(ROW()-5,3)=0,"周转打冷",IF(MOD(ROW()-5,3)=1,"仓储加工","装卸费")))</f>
        <v/>
      </c>
      <c r="E750" s="51" t="str">
        <f aca="false">IF($B750="","",IFERROR(IF($D750="周转打冷",N(INDEX(对接源_01入库吨位!$D$5:$D$304,MATCH(INT((ROW()-5)/3)+1,对接源_01入库吨位!$S$5:$S$304,0))),IF($D750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0" s="41" t="str">
        <f aca="false">IF($B750="","",ROUND(IFERROR(IF($D750="周转打冷",N(INDEX(对接源_01入库吨位!$H$5:$H$304,MATCH(INT((ROW()-5)/3)+1,对接源_01入库吨位!$S$5:$S$304,0))),IF($D750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0" s="52" t="str">
        <f aca="false">IF($B750="","",ROUND(N($F750)/1000,3))</f>
        <v/>
      </c>
      <c r="H750" s="74"/>
      <c r="I750" s="44"/>
      <c r="J750" s="75" t="str">
        <f aca="false">IF($B750="","",IF($H750="按筐数×单价",N($E750),IF($H750="按总重KG×单价",N($F750),IF($H750="按吨位×单价",N($G750),0))))</f>
        <v/>
      </c>
      <c r="K750" s="41" t="str">
        <f aca="false">IF($B750="","",ROUND(N($J750)*N($I750),2))</f>
        <v/>
      </c>
      <c r="L750" s="42"/>
      <c r="M750" s="76"/>
      <c r="N750" s="43"/>
      <c r="R750" s="77" t="str">
        <f aca="false">IF($B750="","",$B750)</f>
        <v/>
      </c>
      <c r="S750" s="77" t="n">
        <f aca="false">IF($R750="",0,IF(MATCH($R750,$R$5:$R$904,0)=ROW()-4,1,0))</f>
        <v>0</v>
      </c>
      <c r="T750" s="77" t="n">
        <f aca="false">N(T749)+$S750</f>
        <v>18</v>
      </c>
    </row>
    <row r="751" customFormat="false" ht="13.5" hidden="false" customHeight="false" outlineLevel="0" collapsed="false">
      <c r="A751" s="9" t="str">
        <f aca="false">IF($B751="","",ROW()-4)</f>
        <v/>
      </c>
      <c r="B751" s="39" t="str">
        <f aca="false">IFERROR(INDEX(对接源_01入库吨位!$B$5:$B$304,MATCH(INT((ROW()-5)/3)+1,对接源_01入库吨位!$S$5:$S$304,0)),"")</f>
        <v/>
      </c>
      <c r="C751" s="39" t="str">
        <f aca="false">IFERROR(INDEX(对接源_01入库吨位!$C$5:$C$304,MATCH(INT((ROW()-5)/3)+1,对接源_01入库吨位!$S$5:$S$304,0)),"")</f>
        <v/>
      </c>
      <c r="D751" s="40" t="str">
        <f aca="false">IF($B751="","",IF(MOD(ROW()-5,3)=0,"周转打冷",IF(MOD(ROW()-5,3)=1,"仓储加工","装卸费")))</f>
        <v/>
      </c>
      <c r="E751" s="51" t="str">
        <f aca="false">IF($B751="","",IFERROR(IF($D751="周转打冷",N(INDEX(对接源_01入库吨位!$D$5:$D$304,MATCH(INT((ROW()-5)/3)+1,对接源_01入库吨位!$S$5:$S$304,0))),IF($D751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1" s="41" t="str">
        <f aca="false">IF($B751="","",ROUND(IFERROR(IF($D751="周转打冷",N(INDEX(对接源_01入库吨位!$H$5:$H$304,MATCH(INT((ROW()-5)/3)+1,对接源_01入库吨位!$S$5:$S$304,0))),IF($D751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1" s="52" t="str">
        <f aca="false">IF($B751="","",ROUND(N($F751)/1000,3))</f>
        <v/>
      </c>
      <c r="H751" s="74"/>
      <c r="I751" s="44"/>
      <c r="J751" s="75" t="str">
        <f aca="false">IF($B751="","",IF($H751="按筐数×单价",N($E751),IF($H751="按总重KG×单价",N($F751),IF($H751="按吨位×单价",N($G751),0))))</f>
        <v/>
      </c>
      <c r="K751" s="41" t="str">
        <f aca="false">IF($B751="","",ROUND(N($J751)*N($I751),2))</f>
        <v/>
      </c>
      <c r="L751" s="42"/>
      <c r="M751" s="76"/>
      <c r="N751" s="43"/>
      <c r="R751" s="77" t="str">
        <f aca="false">IF($B751="","",$B751)</f>
        <v/>
      </c>
      <c r="S751" s="77" t="n">
        <f aca="false">IF($R751="",0,IF(MATCH($R751,$R$5:$R$904,0)=ROW()-4,1,0))</f>
        <v>0</v>
      </c>
      <c r="T751" s="77" t="n">
        <f aca="false">N(T750)+$S751</f>
        <v>18</v>
      </c>
    </row>
    <row r="752" customFormat="false" ht="13.5" hidden="false" customHeight="false" outlineLevel="0" collapsed="false">
      <c r="A752" s="9" t="str">
        <f aca="false">IF($B752="","",ROW()-4)</f>
        <v/>
      </c>
      <c r="B752" s="39" t="str">
        <f aca="false">IFERROR(INDEX(对接源_01入库吨位!$B$5:$B$304,MATCH(INT((ROW()-5)/3)+1,对接源_01入库吨位!$S$5:$S$304,0)),"")</f>
        <v/>
      </c>
      <c r="C752" s="39" t="str">
        <f aca="false">IFERROR(INDEX(对接源_01入库吨位!$C$5:$C$304,MATCH(INT((ROW()-5)/3)+1,对接源_01入库吨位!$S$5:$S$304,0)),"")</f>
        <v/>
      </c>
      <c r="D752" s="40" t="str">
        <f aca="false">IF($B752="","",IF(MOD(ROW()-5,3)=0,"周转打冷",IF(MOD(ROW()-5,3)=1,"仓储加工","装卸费")))</f>
        <v/>
      </c>
      <c r="E752" s="51" t="str">
        <f aca="false">IF($B752="","",IFERROR(IF($D752="周转打冷",N(INDEX(对接源_01入库吨位!$D$5:$D$304,MATCH(INT((ROW()-5)/3)+1,对接源_01入库吨位!$S$5:$S$304,0))),IF($D752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2" s="41" t="str">
        <f aca="false">IF($B752="","",ROUND(IFERROR(IF($D752="周转打冷",N(INDEX(对接源_01入库吨位!$H$5:$H$304,MATCH(INT((ROW()-5)/3)+1,对接源_01入库吨位!$S$5:$S$304,0))),IF($D752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2" s="52" t="str">
        <f aca="false">IF($B752="","",ROUND(N($F752)/1000,3))</f>
        <v/>
      </c>
      <c r="H752" s="74"/>
      <c r="I752" s="44"/>
      <c r="J752" s="75" t="str">
        <f aca="false">IF($B752="","",IF($H752="按筐数×单价",N($E752),IF($H752="按总重KG×单价",N($F752),IF($H752="按吨位×单价",N($G752),0))))</f>
        <v/>
      </c>
      <c r="K752" s="41" t="str">
        <f aca="false">IF($B752="","",ROUND(N($J752)*N($I752),2))</f>
        <v/>
      </c>
      <c r="L752" s="42"/>
      <c r="M752" s="76"/>
      <c r="N752" s="43"/>
      <c r="R752" s="77" t="str">
        <f aca="false">IF($B752="","",$B752)</f>
        <v/>
      </c>
      <c r="S752" s="77" t="n">
        <f aca="false">IF($R752="",0,IF(MATCH($R752,$R$5:$R$904,0)=ROW()-4,1,0))</f>
        <v>0</v>
      </c>
      <c r="T752" s="77" t="n">
        <f aca="false">N(T751)+$S752</f>
        <v>18</v>
      </c>
    </row>
    <row r="753" customFormat="false" ht="13.5" hidden="false" customHeight="false" outlineLevel="0" collapsed="false">
      <c r="A753" s="9" t="str">
        <f aca="false">IF($B753="","",ROW()-4)</f>
        <v/>
      </c>
      <c r="B753" s="39" t="str">
        <f aca="false">IFERROR(INDEX(对接源_01入库吨位!$B$5:$B$304,MATCH(INT((ROW()-5)/3)+1,对接源_01入库吨位!$S$5:$S$304,0)),"")</f>
        <v/>
      </c>
      <c r="C753" s="39" t="str">
        <f aca="false">IFERROR(INDEX(对接源_01入库吨位!$C$5:$C$304,MATCH(INT((ROW()-5)/3)+1,对接源_01入库吨位!$S$5:$S$304,0)),"")</f>
        <v/>
      </c>
      <c r="D753" s="40" t="str">
        <f aca="false">IF($B753="","",IF(MOD(ROW()-5,3)=0,"周转打冷",IF(MOD(ROW()-5,3)=1,"仓储加工","装卸费")))</f>
        <v/>
      </c>
      <c r="E753" s="51" t="str">
        <f aca="false">IF($B753="","",IFERROR(IF($D753="周转打冷",N(INDEX(对接源_01入库吨位!$D$5:$D$304,MATCH(INT((ROW()-5)/3)+1,对接源_01入库吨位!$S$5:$S$304,0))),IF($D753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3" s="41" t="str">
        <f aca="false">IF($B753="","",ROUND(IFERROR(IF($D753="周转打冷",N(INDEX(对接源_01入库吨位!$H$5:$H$304,MATCH(INT((ROW()-5)/3)+1,对接源_01入库吨位!$S$5:$S$304,0))),IF($D753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3" s="52" t="str">
        <f aca="false">IF($B753="","",ROUND(N($F753)/1000,3))</f>
        <v/>
      </c>
      <c r="H753" s="74"/>
      <c r="I753" s="44"/>
      <c r="J753" s="75" t="str">
        <f aca="false">IF($B753="","",IF($H753="按筐数×单价",N($E753),IF($H753="按总重KG×单价",N($F753),IF($H753="按吨位×单价",N($G753),0))))</f>
        <v/>
      </c>
      <c r="K753" s="41" t="str">
        <f aca="false">IF($B753="","",ROUND(N($J753)*N($I753),2))</f>
        <v/>
      </c>
      <c r="L753" s="42"/>
      <c r="M753" s="76"/>
      <c r="N753" s="43"/>
      <c r="R753" s="77" t="str">
        <f aca="false">IF($B753="","",$B753)</f>
        <v/>
      </c>
      <c r="S753" s="77" t="n">
        <f aca="false">IF($R753="",0,IF(MATCH($R753,$R$5:$R$904,0)=ROW()-4,1,0))</f>
        <v>0</v>
      </c>
      <c r="T753" s="77" t="n">
        <f aca="false">N(T752)+$S753</f>
        <v>18</v>
      </c>
    </row>
    <row r="754" customFormat="false" ht="13.5" hidden="false" customHeight="false" outlineLevel="0" collapsed="false">
      <c r="A754" s="9" t="str">
        <f aca="false">IF($B754="","",ROW()-4)</f>
        <v/>
      </c>
      <c r="B754" s="39" t="str">
        <f aca="false">IFERROR(INDEX(对接源_01入库吨位!$B$5:$B$304,MATCH(INT((ROW()-5)/3)+1,对接源_01入库吨位!$S$5:$S$304,0)),"")</f>
        <v/>
      </c>
      <c r="C754" s="39" t="str">
        <f aca="false">IFERROR(INDEX(对接源_01入库吨位!$C$5:$C$304,MATCH(INT((ROW()-5)/3)+1,对接源_01入库吨位!$S$5:$S$304,0)),"")</f>
        <v/>
      </c>
      <c r="D754" s="40" t="str">
        <f aca="false">IF($B754="","",IF(MOD(ROW()-5,3)=0,"周转打冷",IF(MOD(ROW()-5,3)=1,"仓储加工","装卸费")))</f>
        <v/>
      </c>
      <c r="E754" s="51" t="str">
        <f aca="false">IF($B754="","",IFERROR(IF($D754="周转打冷",N(INDEX(对接源_01入库吨位!$D$5:$D$304,MATCH(INT((ROW()-5)/3)+1,对接源_01入库吨位!$S$5:$S$304,0))),IF($D754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4" s="41" t="str">
        <f aca="false">IF($B754="","",ROUND(IFERROR(IF($D754="周转打冷",N(INDEX(对接源_01入库吨位!$H$5:$H$304,MATCH(INT((ROW()-5)/3)+1,对接源_01入库吨位!$S$5:$S$304,0))),IF($D754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4" s="52" t="str">
        <f aca="false">IF($B754="","",ROUND(N($F754)/1000,3))</f>
        <v/>
      </c>
      <c r="H754" s="74"/>
      <c r="I754" s="44"/>
      <c r="J754" s="75" t="str">
        <f aca="false">IF($B754="","",IF($H754="按筐数×单价",N($E754),IF($H754="按总重KG×单价",N($F754),IF($H754="按吨位×单价",N($G754),0))))</f>
        <v/>
      </c>
      <c r="K754" s="41" t="str">
        <f aca="false">IF($B754="","",ROUND(N($J754)*N($I754),2))</f>
        <v/>
      </c>
      <c r="L754" s="42"/>
      <c r="M754" s="76"/>
      <c r="N754" s="43"/>
      <c r="R754" s="77" t="str">
        <f aca="false">IF($B754="","",$B754)</f>
        <v/>
      </c>
      <c r="S754" s="77" t="n">
        <f aca="false">IF($R754="",0,IF(MATCH($R754,$R$5:$R$904,0)=ROW()-4,1,0))</f>
        <v>0</v>
      </c>
      <c r="T754" s="77" t="n">
        <f aca="false">N(T753)+$S754</f>
        <v>18</v>
      </c>
    </row>
    <row r="755" customFormat="false" ht="13.5" hidden="false" customHeight="false" outlineLevel="0" collapsed="false">
      <c r="A755" s="9" t="str">
        <f aca="false">IF($B755="","",ROW()-4)</f>
        <v/>
      </c>
      <c r="B755" s="39" t="str">
        <f aca="false">IFERROR(INDEX(对接源_01入库吨位!$B$5:$B$304,MATCH(INT((ROW()-5)/3)+1,对接源_01入库吨位!$S$5:$S$304,0)),"")</f>
        <v/>
      </c>
      <c r="C755" s="39" t="str">
        <f aca="false">IFERROR(INDEX(对接源_01入库吨位!$C$5:$C$304,MATCH(INT((ROW()-5)/3)+1,对接源_01入库吨位!$S$5:$S$304,0)),"")</f>
        <v/>
      </c>
      <c r="D755" s="40" t="str">
        <f aca="false">IF($B755="","",IF(MOD(ROW()-5,3)=0,"周转打冷",IF(MOD(ROW()-5,3)=1,"仓储加工","装卸费")))</f>
        <v/>
      </c>
      <c r="E755" s="51" t="str">
        <f aca="false">IF($B755="","",IFERROR(IF($D755="周转打冷",N(INDEX(对接源_01入库吨位!$D$5:$D$304,MATCH(INT((ROW()-5)/3)+1,对接源_01入库吨位!$S$5:$S$304,0))),IF($D755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5" s="41" t="str">
        <f aca="false">IF($B755="","",ROUND(IFERROR(IF($D755="周转打冷",N(INDEX(对接源_01入库吨位!$H$5:$H$304,MATCH(INT((ROW()-5)/3)+1,对接源_01入库吨位!$S$5:$S$304,0))),IF($D755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5" s="52" t="str">
        <f aca="false">IF($B755="","",ROUND(N($F755)/1000,3))</f>
        <v/>
      </c>
      <c r="H755" s="74"/>
      <c r="I755" s="44"/>
      <c r="J755" s="75" t="str">
        <f aca="false">IF($B755="","",IF($H755="按筐数×单价",N($E755),IF($H755="按总重KG×单价",N($F755),IF($H755="按吨位×单价",N($G755),0))))</f>
        <v/>
      </c>
      <c r="K755" s="41" t="str">
        <f aca="false">IF($B755="","",ROUND(N($J755)*N($I755),2))</f>
        <v/>
      </c>
      <c r="L755" s="42"/>
      <c r="M755" s="76"/>
      <c r="N755" s="43"/>
      <c r="R755" s="77" t="str">
        <f aca="false">IF($B755="","",$B755)</f>
        <v/>
      </c>
      <c r="S755" s="77" t="n">
        <f aca="false">IF($R755="",0,IF(MATCH($R755,$R$5:$R$904,0)=ROW()-4,1,0))</f>
        <v>0</v>
      </c>
      <c r="T755" s="77" t="n">
        <f aca="false">N(T754)+$S755</f>
        <v>18</v>
      </c>
    </row>
    <row r="756" customFormat="false" ht="13.5" hidden="false" customHeight="false" outlineLevel="0" collapsed="false">
      <c r="A756" s="9" t="str">
        <f aca="false">IF($B756="","",ROW()-4)</f>
        <v/>
      </c>
      <c r="B756" s="39" t="str">
        <f aca="false">IFERROR(INDEX(对接源_01入库吨位!$B$5:$B$304,MATCH(INT((ROW()-5)/3)+1,对接源_01入库吨位!$S$5:$S$304,0)),"")</f>
        <v/>
      </c>
      <c r="C756" s="39" t="str">
        <f aca="false">IFERROR(INDEX(对接源_01入库吨位!$C$5:$C$304,MATCH(INT((ROW()-5)/3)+1,对接源_01入库吨位!$S$5:$S$304,0)),"")</f>
        <v/>
      </c>
      <c r="D756" s="40" t="str">
        <f aca="false">IF($B756="","",IF(MOD(ROW()-5,3)=0,"周转打冷",IF(MOD(ROW()-5,3)=1,"仓储加工","装卸费")))</f>
        <v/>
      </c>
      <c r="E756" s="51" t="str">
        <f aca="false">IF($B756="","",IFERROR(IF($D756="周转打冷",N(INDEX(对接源_01入库吨位!$D$5:$D$304,MATCH(INT((ROW()-5)/3)+1,对接源_01入库吨位!$S$5:$S$304,0))),IF($D756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6" s="41" t="str">
        <f aca="false">IF($B756="","",ROUND(IFERROR(IF($D756="周转打冷",N(INDEX(对接源_01入库吨位!$H$5:$H$304,MATCH(INT((ROW()-5)/3)+1,对接源_01入库吨位!$S$5:$S$304,0))),IF($D756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6" s="52" t="str">
        <f aca="false">IF($B756="","",ROUND(N($F756)/1000,3))</f>
        <v/>
      </c>
      <c r="H756" s="74"/>
      <c r="I756" s="44"/>
      <c r="J756" s="75" t="str">
        <f aca="false">IF($B756="","",IF($H756="按筐数×单价",N($E756),IF($H756="按总重KG×单价",N($F756),IF($H756="按吨位×单价",N($G756),0))))</f>
        <v/>
      </c>
      <c r="K756" s="41" t="str">
        <f aca="false">IF($B756="","",ROUND(N($J756)*N($I756),2))</f>
        <v/>
      </c>
      <c r="L756" s="42"/>
      <c r="M756" s="76"/>
      <c r="N756" s="43"/>
      <c r="R756" s="77" t="str">
        <f aca="false">IF($B756="","",$B756)</f>
        <v/>
      </c>
      <c r="S756" s="77" t="n">
        <f aca="false">IF($R756="",0,IF(MATCH($R756,$R$5:$R$904,0)=ROW()-4,1,0))</f>
        <v>0</v>
      </c>
      <c r="T756" s="77" t="n">
        <f aca="false">N(T755)+$S756</f>
        <v>18</v>
      </c>
    </row>
    <row r="757" customFormat="false" ht="13.5" hidden="false" customHeight="false" outlineLevel="0" collapsed="false">
      <c r="A757" s="9" t="str">
        <f aca="false">IF($B757="","",ROW()-4)</f>
        <v/>
      </c>
      <c r="B757" s="39" t="str">
        <f aca="false">IFERROR(INDEX(对接源_01入库吨位!$B$5:$B$304,MATCH(INT((ROW()-5)/3)+1,对接源_01入库吨位!$S$5:$S$304,0)),"")</f>
        <v/>
      </c>
      <c r="C757" s="39" t="str">
        <f aca="false">IFERROR(INDEX(对接源_01入库吨位!$C$5:$C$304,MATCH(INT((ROW()-5)/3)+1,对接源_01入库吨位!$S$5:$S$304,0)),"")</f>
        <v/>
      </c>
      <c r="D757" s="40" t="str">
        <f aca="false">IF($B757="","",IF(MOD(ROW()-5,3)=0,"周转打冷",IF(MOD(ROW()-5,3)=1,"仓储加工","装卸费")))</f>
        <v/>
      </c>
      <c r="E757" s="51" t="str">
        <f aca="false">IF($B757="","",IFERROR(IF($D757="周转打冷",N(INDEX(对接源_01入库吨位!$D$5:$D$304,MATCH(INT((ROW()-5)/3)+1,对接源_01入库吨位!$S$5:$S$304,0))),IF($D757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7" s="41" t="str">
        <f aca="false">IF($B757="","",ROUND(IFERROR(IF($D757="周转打冷",N(INDEX(对接源_01入库吨位!$H$5:$H$304,MATCH(INT((ROW()-5)/3)+1,对接源_01入库吨位!$S$5:$S$304,0))),IF($D757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7" s="52" t="str">
        <f aca="false">IF($B757="","",ROUND(N($F757)/1000,3))</f>
        <v/>
      </c>
      <c r="H757" s="74"/>
      <c r="I757" s="44"/>
      <c r="J757" s="75" t="str">
        <f aca="false">IF($B757="","",IF($H757="按筐数×单价",N($E757),IF($H757="按总重KG×单价",N($F757),IF($H757="按吨位×单价",N($G757),0))))</f>
        <v/>
      </c>
      <c r="K757" s="41" t="str">
        <f aca="false">IF($B757="","",ROUND(N($J757)*N($I757),2))</f>
        <v/>
      </c>
      <c r="L757" s="42"/>
      <c r="M757" s="76"/>
      <c r="N757" s="43"/>
      <c r="R757" s="77" t="str">
        <f aca="false">IF($B757="","",$B757)</f>
        <v/>
      </c>
      <c r="S757" s="77" t="n">
        <f aca="false">IF($R757="",0,IF(MATCH($R757,$R$5:$R$904,0)=ROW()-4,1,0))</f>
        <v>0</v>
      </c>
      <c r="T757" s="77" t="n">
        <f aca="false">N(T756)+$S757</f>
        <v>18</v>
      </c>
    </row>
    <row r="758" customFormat="false" ht="13.5" hidden="false" customHeight="false" outlineLevel="0" collapsed="false">
      <c r="A758" s="9" t="str">
        <f aca="false">IF($B758="","",ROW()-4)</f>
        <v/>
      </c>
      <c r="B758" s="39" t="str">
        <f aca="false">IFERROR(INDEX(对接源_01入库吨位!$B$5:$B$304,MATCH(INT((ROW()-5)/3)+1,对接源_01入库吨位!$S$5:$S$304,0)),"")</f>
        <v/>
      </c>
      <c r="C758" s="39" t="str">
        <f aca="false">IFERROR(INDEX(对接源_01入库吨位!$C$5:$C$304,MATCH(INT((ROW()-5)/3)+1,对接源_01入库吨位!$S$5:$S$304,0)),"")</f>
        <v/>
      </c>
      <c r="D758" s="40" t="str">
        <f aca="false">IF($B758="","",IF(MOD(ROW()-5,3)=0,"周转打冷",IF(MOD(ROW()-5,3)=1,"仓储加工","装卸费")))</f>
        <v/>
      </c>
      <c r="E758" s="51" t="str">
        <f aca="false">IF($B758="","",IFERROR(IF($D758="周转打冷",N(INDEX(对接源_01入库吨位!$D$5:$D$304,MATCH(INT((ROW()-5)/3)+1,对接源_01入库吨位!$S$5:$S$304,0))),IF($D758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8" s="41" t="str">
        <f aca="false">IF($B758="","",ROUND(IFERROR(IF($D758="周转打冷",N(INDEX(对接源_01入库吨位!$H$5:$H$304,MATCH(INT((ROW()-5)/3)+1,对接源_01入库吨位!$S$5:$S$304,0))),IF($D758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8" s="52" t="str">
        <f aca="false">IF($B758="","",ROUND(N($F758)/1000,3))</f>
        <v/>
      </c>
      <c r="H758" s="74"/>
      <c r="I758" s="44"/>
      <c r="J758" s="75" t="str">
        <f aca="false">IF($B758="","",IF($H758="按筐数×单价",N($E758),IF($H758="按总重KG×单价",N($F758),IF($H758="按吨位×单价",N($G758),0))))</f>
        <v/>
      </c>
      <c r="K758" s="41" t="str">
        <f aca="false">IF($B758="","",ROUND(N($J758)*N($I758),2))</f>
        <v/>
      </c>
      <c r="L758" s="42"/>
      <c r="M758" s="76"/>
      <c r="N758" s="43"/>
      <c r="R758" s="77" t="str">
        <f aca="false">IF($B758="","",$B758)</f>
        <v/>
      </c>
      <c r="S758" s="77" t="n">
        <f aca="false">IF($R758="",0,IF(MATCH($R758,$R$5:$R$904,0)=ROW()-4,1,0))</f>
        <v>0</v>
      </c>
      <c r="T758" s="77" t="n">
        <f aca="false">N(T757)+$S758</f>
        <v>18</v>
      </c>
    </row>
    <row r="759" customFormat="false" ht="13.5" hidden="false" customHeight="false" outlineLevel="0" collapsed="false">
      <c r="A759" s="9" t="str">
        <f aca="false">IF($B759="","",ROW()-4)</f>
        <v/>
      </c>
      <c r="B759" s="39" t="str">
        <f aca="false">IFERROR(INDEX(对接源_01入库吨位!$B$5:$B$304,MATCH(INT((ROW()-5)/3)+1,对接源_01入库吨位!$S$5:$S$304,0)),"")</f>
        <v/>
      </c>
      <c r="C759" s="39" t="str">
        <f aca="false">IFERROR(INDEX(对接源_01入库吨位!$C$5:$C$304,MATCH(INT((ROW()-5)/3)+1,对接源_01入库吨位!$S$5:$S$304,0)),"")</f>
        <v/>
      </c>
      <c r="D759" s="40" t="str">
        <f aca="false">IF($B759="","",IF(MOD(ROW()-5,3)=0,"周转打冷",IF(MOD(ROW()-5,3)=1,"仓储加工","装卸费")))</f>
        <v/>
      </c>
      <c r="E759" s="51" t="str">
        <f aca="false">IF($B759="","",IFERROR(IF($D759="周转打冷",N(INDEX(对接源_01入库吨位!$D$5:$D$304,MATCH(INT((ROW()-5)/3)+1,对接源_01入库吨位!$S$5:$S$304,0))),IF($D759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59" s="41" t="str">
        <f aca="false">IF($B759="","",ROUND(IFERROR(IF($D759="周转打冷",N(INDEX(对接源_01入库吨位!$H$5:$H$304,MATCH(INT((ROW()-5)/3)+1,对接源_01入库吨位!$S$5:$S$304,0))),IF($D759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59" s="52" t="str">
        <f aca="false">IF($B759="","",ROUND(N($F759)/1000,3))</f>
        <v/>
      </c>
      <c r="H759" s="74"/>
      <c r="I759" s="44"/>
      <c r="J759" s="75" t="str">
        <f aca="false">IF($B759="","",IF($H759="按筐数×单价",N($E759),IF($H759="按总重KG×单价",N($F759),IF($H759="按吨位×单价",N($G759),0))))</f>
        <v/>
      </c>
      <c r="K759" s="41" t="str">
        <f aca="false">IF($B759="","",ROUND(N($J759)*N($I759),2))</f>
        <v/>
      </c>
      <c r="L759" s="42"/>
      <c r="M759" s="76"/>
      <c r="N759" s="43"/>
      <c r="R759" s="77" t="str">
        <f aca="false">IF($B759="","",$B759)</f>
        <v/>
      </c>
      <c r="S759" s="77" t="n">
        <f aca="false">IF($R759="",0,IF(MATCH($R759,$R$5:$R$904,0)=ROW()-4,1,0))</f>
        <v>0</v>
      </c>
      <c r="T759" s="77" t="n">
        <f aca="false">N(T758)+$S759</f>
        <v>18</v>
      </c>
    </row>
    <row r="760" customFormat="false" ht="13.5" hidden="false" customHeight="false" outlineLevel="0" collapsed="false">
      <c r="A760" s="9" t="str">
        <f aca="false">IF($B760="","",ROW()-4)</f>
        <v/>
      </c>
      <c r="B760" s="39" t="str">
        <f aca="false">IFERROR(INDEX(对接源_01入库吨位!$B$5:$B$304,MATCH(INT((ROW()-5)/3)+1,对接源_01入库吨位!$S$5:$S$304,0)),"")</f>
        <v/>
      </c>
      <c r="C760" s="39" t="str">
        <f aca="false">IFERROR(INDEX(对接源_01入库吨位!$C$5:$C$304,MATCH(INT((ROW()-5)/3)+1,对接源_01入库吨位!$S$5:$S$304,0)),"")</f>
        <v/>
      </c>
      <c r="D760" s="40" t="str">
        <f aca="false">IF($B760="","",IF(MOD(ROW()-5,3)=0,"周转打冷",IF(MOD(ROW()-5,3)=1,"仓储加工","装卸费")))</f>
        <v/>
      </c>
      <c r="E760" s="51" t="str">
        <f aca="false">IF($B760="","",IFERROR(IF($D760="周转打冷",N(INDEX(对接源_01入库吨位!$D$5:$D$304,MATCH(INT((ROW()-5)/3)+1,对接源_01入库吨位!$S$5:$S$304,0))),IF($D760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0" s="41" t="str">
        <f aca="false">IF($B760="","",ROUND(IFERROR(IF($D760="周转打冷",N(INDEX(对接源_01入库吨位!$H$5:$H$304,MATCH(INT((ROW()-5)/3)+1,对接源_01入库吨位!$S$5:$S$304,0))),IF($D760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0" s="52" t="str">
        <f aca="false">IF($B760="","",ROUND(N($F760)/1000,3))</f>
        <v/>
      </c>
      <c r="H760" s="74"/>
      <c r="I760" s="44"/>
      <c r="J760" s="75" t="str">
        <f aca="false">IF($B760="","",IF($H760="按筐数×单价",N($E760),IF($H760="按总重KG×单价",N($F760),IF($H760="按吨位×单价",N($G760),0))))</f>
        <v/>
      </c>
      <c r="K760" s="41" t="str">
        <f aca="false">IF($B760="","",ROUND(N($J760)*N($I760),2))</f>
        <v/>
      </c>
      <c r="L760" s="42"/>
      <c r="M760" s="76"/>
      <c r="N760" s="43"/>
      <c r="R760" s="77" t="str">
        <f aca="false">IF($B760="","",$B760)</f>
        <v/>
      </c>
      <c r="S760" s="77" t="n">
        <f aca="false">IF($R760="",0,IF(MATCH($R760,$R$5:$R$904,0)=ROW()-4,1,0))</f>
        <v>0</v>
      </c>
      <c r="T760" s="77" t="n">
        <f aca="false">N(T759)+$S760</f>
        <v>18</v>
      </c>
    </row>
    <row r="761" customFormat="false" ht="13.5" hidden="false" customHeight="false" outlineLevel="0" collapsed="false">
      <c r="A761" s="9" t="str">
        <f aca="false">IF($B761="","",ROW()-4)</f>
        <v/>
      </c>
      <c r="B761" s="39" t="str">
        <f aca="false">IFERROR(INDEX(对接源_01入库吨位!$B$5:$B$304,MATCH(INT((ROW()-5)/3)+1,对接源_01入库吨位!$S$5:$S$304,0)),"")</f>
        <v/>
      </c>
      <c r="C761" s="39" t="str">
        <f aca="false">IFERROR(INDEX(对接源_01入库吨位!$C$5:$C$304,MATCH(INT((ROW()-5)/3)+1,对接源_01入库吨位!$S$5:$S$304,0)),"")</f>
        <v/>
      </c>
      <c r="D761" s="40" t="str">
        <f aca="false">IF($B761="","",IF(MOD(ROW()-5,3)=0,"周转打冷",IF(MOD(ROW()-5,3)=1,"仓储加工","装卸费")))</f>
        <v/>
      </c>
      <c r="E761" s="51" t="str">
        <f aca="false">IF($B761="","",IFERROR(IF($D761="周转打冷",N(INDEX(对接源_01入库吨位!$D$5:$D$304,MATCH(INT((ROW()-5)/3)+1,对接源_01入库吨位!$S$5:$S$304,0))),IF($D761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1" s="41" t="str">
        <f aca="false">IF($B761="","",ROUND(IFERROR(IF($D761="周转打冷",N(INDEX(对接源_01入库吨位!$H$5:$H$304,MATCH(INT((ROW()-5)/3)+1,对接源_01入库吨位!$S$5:$S$304,0))),IF($D761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1" s="52" t="str">
        <f aca="false">IF($B761="","",ROUND(N($F761)/1000,3))</f>
        <v/>
      </c>
      <c r="H761" s="74"/>
      <c r="I761" s="44"/>
      <c r="J761" s="75" t="str">
        <f aca="false">IF($B761="","",IF($H761="按筐数×单价",N($E761),IF($H761="按总重KG×单价",N($F761),IF($H761="按吨位×单价",N($G761),0))))</f>
        <v/>
      </c>
      <c r="K761" s="41" t="str">
        <f aca="false">IF($B761="","",ROUND(N($J761)*N($I761),2))</f>
        <v/>
      </c>
      <c r="L761" s="42"/>
      <c r="M761" s="76"/>
      <c r="N761" s="43"/>
      <c r="R761" s="77" t="str">
        <f aca="false">IF($B761="","",$B761)</f>
        <v/>
      </c>
      <c r="S761" s="77" t="n">
        <f aca="false">IF($R761="",0,IF(MATCH($R761,$R$5:$R$904,0)=ROW()-4,1,0))</f>
        <v>0</v>
      </c>
      <c r="T761" s="77" t="n">
        <f aca="false">N(T760)+$S761</f>
        <v>18</v>
      </c>
    </row>
    <row r="762" customFormat="false" ht="13.5" hidden="false" customHeight="false" outlineLevel="0" collapsed="false">
      <c r="A762" s="9" t="str">
        <f aca="false">IF($B762="","",ROW()-4)</f>
        <v/>
      </c>
      <c r="B762" s="39" t="str">
        <f aca="false">IFERROR(INDEX(对接源_01入库吨位!$B$5:$B$304,MATCH(INT((ROW()-5)/3)+1,对接源_01入库吨位!$S$5:$S$304,0)),"")</f>
        <v/>
      </c>
      <c r="C762" s="39" t="str">
        <f aca="false">IFERROR(INDEX(对接源_01入库吨位!$C$5:$C$304,MATCH(INT((ROW()-5)/3)+1,对接源_01入库吨位!$S$5:$S$304,0)),"")</f>
        <v/>
      </c>
      <c r="D762" s="40" t="str">
        <f aca="false">IF($B762="","",IF(MOD(ROW()-5,3)=0,"周转打冷",IF(MOD(ROW()-5,3)=1,"仓储加工","装卸费")))</f>
        <v/>
      </c>
      <c r="E762" s="51" t="str">
        <f aca="false">IF($B762="","",IFERROR(IF($D762="周转打冷",N(INDEX(对接源_01入库吨位!$D$5:$D$304,MATCH(INT((ROW()-5)/3)+1,对接源_01入库吨位!$S$5:$S$304,0))),IF($D762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2" s="41" t="str">
        <f aca="false">IF($B762="","",ROUND(IFERROR(IF($D762="周转打冷",N(INDEX(对接源_01入库吨位!$H$5:$H$304,MATCH(INT((ROW()-5)/3)+1,对接源_01入库吨位!$S$5:$S$304,0))),IF($D762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2" s="52" t="str">
        <f aca="false">IF($B762="","",ROUND(N($F762)/1000,3))</f>
        <v/>
      </c>
      <c r="H762" s="74"/>
      <c r="I762" s="44"/>
      <c r="J762" s="75" t="str">
        <f aca="false">IF($B762="","",IF($H762="按筐数×单价",N($E762),IF($H762="按总重KG×单价",N($F762),IF($H762="按吨位×单价",N($G762),0))))</f>
        <v/>
      </c>
      <c r="K762" s="41" t="str">
        <f aca="false">IF($B762="","",ROUND(N($J762)*N($I762),2))</f>
        <v/>
      </c>
      <c r="L762" s="42"/>
      <c r="M762" s="76"/>
      <c r="N762" s="43"/>
      <c r="R762" s="77" t="str">
        <f aca="false">IF($B762="","",$B762)</f>
        <v/>
      </c>
      <c r="S762" s="77" t="n">
        <f aca="false">IF($R762="",0,IF(MATCH($R762,$R$5:$R$904,0)=ROW()-4,1,0))</f>
        <v>0</v>
      </c>
      <c r="T762" s="77" t="n">
        <f aca="false">N(T761)+$S762</f>
        <v>18</v>
      </c>
    </row>
    <row r="763" customFormat="false" ht="13.5" hidden="false" customHeight="false" outlineLevel="0" collapsed="false">
      <c r="A763" s="9" t="str">
        <f aca="false">IF($B763="","",ROW()-4)</f>
        <v/>
      </c>
      <c r="B763" s="39" t="str">
        <f aca="false">IFERROR(INDEX(对接源_01入库吨位!$B$5:$B$304,MATCH(INT((ROW()-5)/3)+1,对接源_01入库吨位!$S$5:$S$304,0)),"")</f>
        <v/>
      </c>
      <c r="C763" s="39" t="str">
        <f aca="false">IFERROR(INDEX(对接源_01入库吨位!$C$5:$C$304,MATCH(INT((ROW()-5)/3)+1,对接源_01入库吨位!$S$5:$S$304,0)),"")</f>
        <v/>
      </c>
      <c r="D763" s="40" t="str">
        <f aca="false">IF($B763="","",IF(MOD(ROW()-5,3)=0,"周转打冷",IF(MOD(ROW()-5,3)=1,"仓储加工","装卸费")))</f>
        <v/>
      </c>
      <c r="E763" s="51" t="str">
        <f aca="false">IF($B763="","",IFERROR(IF($D763="周转打冷",N(INDEX(对接源_01入库吨位!$D$5:$D$304,MATCH(INT((ROW()-5)/3)+1,对接源_01入库吨位!$S$5:$S$304,0))),IF($D763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3" s="41" t="str">
        <f aca="false">IF($B763="","",ROUND(IFERROR(IF($D763="周转打冷",N(INDEX(对接源_01入库吨位!$H$5:$H$304,MATCH(INT((ROW()-5)/3)+1,对接源_01入库吨位!$S$5:$S$304,0))),IF($D763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3" s="52" t="str">
        <f aca="false">IF($B763="","",ROUND(N($F763)/1000,3))</f>
        <v/>
      </c>
      <c r="H763" s="74"/>
      <c r="I763" s="44"/>
      <c r="J763" s="75" t="str">
        <f aca="false">IF($B763="","",IF($H763="按筐数×单价",N($E763),IF($H763="按总重KG×单价",N($F763),IF($H763="按吨位×单价",N($G763),0))))</f>
        <v/>
      </c>
      <c r="K763" s="41" t="str">
        <f aca="false">IF($B763="","",ROUND(N($J763)*N($I763),2))</f>
        <v/>
      </c>
      <c r="L763" s="42"/>
      <c r="M763" s="76"/>
      <c r="N763" s="43"/>
      <c r="R763" s="77" t="str">
        <f aca="false">IF($B763="","",$B763)</f>
        <v/>
      </c>
      <c r="S763" s="77" t="n">
        <f aca="false">IF($R763="",0,IF(MATCH($R763,$R$5:$R$904,0)=ROW()-4,1,0))</f>
        <v>0</v>
      </c>
      <c r="T763" s="77" t="n">
        <f aca="false">N(T762)+$S763</f>
        <v>18</v>
      </c>
    </row>
    <row r="764" customFormat="false" ht="13.5" hidden="false" customHeight="false" outlineLevel="0" collapsed="false">
      <c r="A764" s="9" t="str">
        <f aca="false">IF($B764="","",ROW()-4)</f>
        <v/>
      </c>
      <c r="B764" s="39" t="str">
        <f aca="false">IFERROR(INDEX(对接源_01入库吨位!$B$5:$B$304,MATCH(INT((ROW()-5)/3)+1,对接源_01入库吨位!$S$5:$S$304,0)),"")</f>
        <v/>
      </c>
      <c r="C764" s="39" t="str">
        <f aca="false">IFERROR(INDEX(对接源_01入库吨位!$C$5:$C$304,MATCH(INT((ROW()-5)/3)+1,对接源_01入库吨位!$S$5:$S$304,0)),"")</f>
        <v/>
      </c>
      <c r="D764" s="40" t="str">
        <f aca="false">IF($B764="","",IF(MOD(ROW()-5,3)=0,"周转打冷",IF(MOD(ROW()-5,3)=1,"仓储加工","装卸费")))</f>
        <v/>
      </c>
      <c r="E764" s="51" t="str">
        <f aca="false">IF($B764="","",IFERROR(IF($D764="周转打冷",N(INDEX(对接源_01入库吨位!$D$5:$D$304,MATCH(INT((ROW()-5)/3)+1,对接源_01入库吨位!$S$5:$S$304,0))),IF($D764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4" s="41" t="str">
        <f aca="false">IF($B764="","",ROUND(IFERROR(IF($D764="周转打冷",N(INDEX(对接源_01入库吨位!$H$5:$H$304,MATCH(INT((ROW()-5)/3)+1,对接源_01入库吨位!$S$5:$S$304,0))),IF($D764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4" s="52" t="str">
        <f aca="false">IF($B764="","",ROUND(N($F764)/1000,3))</f>
        <v/>
      </c>
      <c r="H764" s="74"/>
      <c r="I764" s="44"/>
      <c r="J764" s="75" t="str">
        <f aca="false">IF($B764="","",IF($H764="按筐数×单价",N($E764),IF($H764="按总重KG×单价",N($F764),IF($H764="按吨位×单价",N($G764),0))))</f>
        <v/>
      </c>
      <c r="K764" s="41" t="str">
        <f aca="false">IF($B764="","",ROUND(N($J764)*N($I764),2))</f>
        <v/>
      </c>
      <c r="L764" s="42"/>
      <c r="M764" s="76"/>
      <c r="N764" s="43"/>
      <c r="R764" s="77" t="str">
        <f aca="false">IF($B764="","",$B764)</f>
        <v/>
      </c>
      <c r="S764" s="77" t="n">
        <f aca="false">IF($R764="",0,IF(MATCH($R764,$R$5:$R$904,0)=ROW()-4,1,0))</f>
        <v>0</v>
      </c>
      <c r="T764" s="77" t="n">
        <f aca="false">N(T763)+$S764</f>
        <v>18</v>
      </c>
    </row>
    <row r="765" customFormat="false" ht="13.5" hidden="false" customHeight="false" outlineLevel="0" collapsed="false">
      <c r="A765" s="9" t="str">
        <f aca="false">IF($B765="","",ROW()-4)</f>
        <v/>
      </c>
      <c r="B765" s="39" t="str">
        <f aca="false">IFERROR(INDEX(对接源_01入库吨位!$B$5:$B$304,MATCH(INT((ROW()-5)/3)+1,对接源_01入库吨位!$S$5:$S$304,0)),"")</f>
        <v/>
      </c>
      <c r="C765" s="39" t="str">
        <f aca="false">IFERROR(INDEX(对接源_01入库吨位!$C$5:$C$304,MATCH(INT((ROW()-5)/3)+1,对接源_01入库吨位!$S$5:$S$304,0)),"")</f>
        <v/>
      </c>
      <c r="D765" s="40" t="str">
        <f aca="false">IF($B765="","",IF(MOD(ROW()-5,3)=0,"周转打冷",IF(MOD(ROW()-5,3)=1,"仓储加工","装卸费")))</f>
        <v/>
      </c>
      <c r="E765" s="51" t="str">
        <f aca="false">IF($B765="","",IFERROR(IF($D765="周转打冷",N(INDEX(对接源_01入库吨位!$D$5:$D$304,MATCH(INT((ROW()-5)/3)+1,对接源_01入库吨位!$S$5:$S$304,0))),IF($D765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5" s="41" t="str">
        <f aca="false">IF($B765="","",ROUND(IFERROR(IF($D765="周转打冷",N(INDEX(对接源_01入库吨位!$H$5:$H$304,MATCH(INT((ROW()-5)/3)+1,对接源_01入库吨位!$S$5:$S$304,0))),IF($D765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5" s="52" t="str">
        <f aca="false">IF($B765="","",ROUND(N($F765)/1000,3))</f>
        <v/>
      </c>
      <c r="H765" s="74"/>
      <c r="I765" s="44"/>
      <c r="J765" s="75" t="str">
        <f aca="false">IF($B765="","",IF($H765="按筐数×单价",N($E765),IF($H765="按总重KG×单价",N($F765),IF($H765="按吨位×单价",N($G765),0))))</f>
        <v/>
      </c>
      <c r="K765" s="41" t="str">
        <f aca="false">IF($B765="","",ROUND(N($J765)*N($I765),2))</f>
        <v/>
      </c>
      <c r="L765" s="42"/>
      <c r="M765" s="76"/>
      <c r="N765" s="43"/>
      <c r="R765" s="77" t="str">
        <f aca="false">IF($B765="","",$B765)</f>
        <v/>
      </c>
      <c r="S765" s="77" t="n">
        <f aca="false">IF($R765="",0,IF(MATCH($R765,$R$5:$R$904,0)=ROW()-4,1,0))</f>
        <v>0</v>
      </c>
      <c r="T765" s="77" t="n">
        <f aca="false">N(T764)+$S765</f>
        <v>18</v>
      </c>
    </row>
    <row r="766" customFormat="false" ht="13.5" hidden="false" customHeight="false" outlineLevel="0" collapsed="false">
      <c r="A766" s="9" t="str">
        <f aca="false">IF($B766="","",ROW()-4)</f>
        <v/>
      </c>
      <c r="B766" s="39" t="str">
        <f aca="false">IFERROR(INDEX(对接源_01入库吨位!$B$5:$B$304,MATCH(INT((ROW()-5)/3)+1,对接源_01入库吨位!$S$5:$S$304,0)),"")</f>
        <v/>
      </c>
      <c r="C766" s="39" t="str">
        <f aca="false">IFERROR(INDEX(对接源_01入库吨位!$C$5:$C$304,MATCH(INT((ROW()-5)/3)+1,对接源_01入库吨位!$S$5:$S$304,0)),"")</f>
        <v/>
      </c>
      <c r="D766" s="40" t="str">
        <f aca="false">IF($B766="","",IF(MOD(ROW()-5,3)=0,"周转打冷",IF(MOD(ROW()-5,3)=1,"仓储加工","装卸费")))</f>
        <v/>
      </c>
      <c r="E766" s="51" t="str">
        <f aca="false">IF($B766="","",IFERROR(IF($D766="周转打冷",N(INDEX(对接源_01入库吨位!$D$5:$D$304,MATCH(INT((ROW()-5)/3)+1,对接源_01入库吨位!$S$5:$S$304,0))),IF($D766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6" s="41" t="str">
        <f aca="false">IF($B766="","",ROUND(IFERROR(IF($D766="周转打冷",N(INDEX(对接源_01入库吨位!$H$5:$H$304,MATCH(INT((ROW()-5)/3)+1,对接源_01入库吨位!$S$5:$S$304,0))),IF($D766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6" s="52" t="str">
        <f aca="false">IF($B766="","",ROUND(N($F766)/1000,3))</f>
        <v/>
      </c>
      <c r="H766" s="74"/>
      <c r="I766" s="44"/>
      <c r="J766" s="75" t="str">
        <f aca="false">IF($B766="","",IF($H766="按筐数×单价",N($E766),IF($H766="按总重KG×单价",N($F766),IF($H766="按吨位×单价",N($G766),0))))</f>
        <v/>
      </c>
      <c r="K766" s="41" t="str">
        <f aca="false">IF($B766="","",ROUND(N($J766)*N($I766),2))</f>
        <v/>
      </c>
      <c r="L766" s="42"/>
      <c r="M766" s="76"/>
      <c r="N766" s="43"/>
      <c r="R766" s="77" t="str">
        <f aca="false">IF($B766="","",$B766)</f>
        <v/>
      </c>
      <c r="S766" s="77" t="n">
        <f aca="false">IF($R766="",0,IF(MATCH($R766,$R$5:$R$904,0)=ROW()-4,1,0))</f>
        <v>0</v>
      </c>
      <c r="T766" s="77" t="n">
        <f aca="false">N(T765)+$S766</f>
        <v>18</v>
      </c>
    </row>
    <row r="767" customFormat="false" ht="13.5" hidden="false" customHeight="false" outlineLevel="0" collapsed="false">
      <c r="A767" s="9" t="str">
        <f aca="false">IF($B767="","",ROW()-4)</f>
        <v/>
      </c>
      <c r="B767" s="39" t="str">
        <f aca="false">IFERROR(INDEX(对接源_01入库吨位!$B$5:$B$304,MATCH(INT((ROW()-5)/3)+1,对接源_01入库吨位!$S$5:$S$304,0)),"")</f>
        <v/>
      </c>
      <c r="C767" s="39" t="str">
        <f aca="false">IFERROR(INDEX(对接源_01入库吨位!$C$5:$C$304,MATCH(INT((ROW()-5)/3)+1,对接源_01入库吨位!$S$5:$S$304,0)),"")</f>
        <v/>
      </c>
      <c r="D767" s="40" t="str">
        <f aca="false">IF($B767="","",IF(MOD(ROW()-5,3)=0,"周转打冷",IF(MOD(ROW()-5,3)=1,"仓储加工","装卸费")))</f>
        <v/>
      </c>
      <c r="E767" s="51" t="str">
        <f aca="false">IF($B767="","",IFERROR(IF($D767="周转打冷",N(INDEX(对接源_01入库吨位!$D$5:$D$304,MATCH(INT((ROW()-5)/3)+1,对接源_01入库吨位!$S$5:$S$304,0))),IF($D767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7" s="41" t="str">
        <f aca="false">IF($B767="","",ROUND(IFERROR(IF($D767="周转打冷",N(INDEX(对接源_01入库吨位!$H$5:$H$304,MATCH(INT((ROW()-5)/3)+1,对接源_01入库吨位!$S$5:$S$304,0))),IF($D767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7" s="52" t="str">
        <f aca="false">IF($B767="","",ROUND(N($F767)/1000,3))</f>
        <v/>
      </c>
      <c r="H767" s="74"/>
      <c r="I767" s="44"/>
      <c r="J767" s="75" t="str">
        <f aca="false">IF($B767="","",IF($H767="按筐数×单价",N($E767),IF($H767="按总重KG×单价",N($F767),IF($H767="按吨位×单价",N($G767),0))))</f>
        <v/>
      </c>
      <c r="K767" s="41" t="str">
        <f aca="false">IF($B767="","",ROUND(N($J767)*N($I767),2))</f>
        <v/>
      </c>
      <c r="L767" s="42"/>
      <c r="M767" s="76"/>
      <c r="N767" s="43"/>
      <c r="R767" s="77" t="str">
        <f aca="false">IF($B767="","",$B767)</f>
        <v/>
      </c>
      <c r="S767" s="77" t="n">
        <f aca="false">IF($R767="",0,IF(MATCH($R767,$R$5:$R$904,0)=ROW()-4,1,0))</f>
        <v>0</v>
      </c>
      <c r="T767" s="77" t="n">
        <f aca="false">N(T766)+$S767</f>
        <v>18</v>
      </c>
    </row>
    <row r="768" customFormat="false" ht="13.5" hidden="false" customHeight="false" outlineLevel="0" collapsed="false">
      <c r="A768" s="9" t="str">
        <f aca="false">IF($B768="","",ROW()-4)</f>
        <v/>
      </c>
      <c r="B768" s="39" t="str">
        <f aca="false">IFERROR(INDEX(对接源_01入库吨位!$B$5:$B$304,MATCH(INT((ROW()-5)/3)+1,对接源_01入库吨位!$S$5:$S$304,0)),"")</f>
        <v/>
      </c>
      <c r="C768" s="39" t="str">
        <f aca="false">IFERROR(INDEX(对接源_01入库吨位!$C$5:$C$304,MATCH(INT((ROW()-5)/3)+1,对接源_01入库吨位!$S$5:$S$304,0)),"")</f>
        <v/>
      </c>
      <c r="D768" s="40" t="str">
        <f aca="false">IF($B768="","",IF(MOD(ROW()-5,3)=0,"周转打冷",IF(MOD(ROW()-5,3)=1,"仓储加工","装卸费")))</f>
        <v/>
      </c>
      <c r="E768" s="51" t="str">
        <f aca="false">IF($B768="","",IFERROR(IF($D768="周转打冷",N(INDEX(对接源_01入库吨位!$D$5:$D$304,MATCH(INT((ROW()-5)/3)+1,对接源_01入库吨位!$S$5:$S$304,0))),IF($D768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8" s="41" t="str">
        <f aca="false">IF($B768="","",ROUND(IFERROR(IF($D768="周转打冷",N(INDEX(对接源_01入库吨位!$H$5:$H$304,MATCH(INT((ROW()-5)/3)+1,对接源_01入库吨位!$S$5:$S$304,0))),IF($D768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8" s="52" t="str">
        <f aca="false">IF($B768="","",ROUND(N($F768)/1000,3))</f>
        <v/>
      </c>
      <c r="H768" s="74"/>
      <c r="I768" s="44"/>
      <c r="J768" s="75" t="str">
        <f aca="false">IF($B768="","",IF($H768="按筐数×单价",N($E768),IF($H768="按总重KG×单价",N($F768),IF($H768="按吨位×单价",N($G768),0))))</f>
        <v/>
      </c>
      <c r="K768" s="41" t="str">
        <f aca="false">IF($B768="","",ROUND(N($J768)*N($I768),2))</f>
        <v/>
      </c>
      <c r="L768" s="42"/>
      <c r="M768" s="76"/>
      <c r="N768" s="43"/>
      <c r="R768" s="77" t="str">
        <f aca="false">IF($B768="","",$B768)</f>
        <v/>
      </c>
      <c r="S768" s="77" t="n">
        <f aca="false">IF($R768="",0,IF(MATCH($R768,$R$5:$R$904,0)=ROW()-4,1,0))</f>
        <v>0</v>
      </c>
      <c r="T768" s="77" t="n">
        <f aca="false">N(T767)+$S768</f>
        <v>18</v>
      </c>
    </row>
    <row r="769" customFormat="false" ht="13.5" hidden="false" customHeight="false" outlineLevel="0" collapsed="false">
      <c r="A769" s="9" t="str">
        <f aca="false">IF($B769="","",ROW()-4)</f>
        <v/>
      </c>
      <c r="B769" s="39" t="str">
        <f aca="false">IFERROR(INDEX(对接源_01入库吨位!$B$5:$B$304,MATCH(INT((ROW()-5)/3)+1,对接源_01入库吨位!$S$5:$S$304,0)),"")</f>
        <v/>
      </c>
      <c r="C769" s="39" t="str">
        <f aca="false">IFERROR(INDEX(对接源_01入库吨位!$C$5:$C$304,MATCH(INT((ROW()-5)/3)+1,对接源_01入库吨位!$S$5:$S$304,0)),"")</f>
        <v/>
      </c>
      <c r="D769" s="40" t="str">
        <f aca="false">IF($B769="","",IF(MOD(ROW()-5,3)=0,"周转打冷",IF(MOD(ROW()-5,3)=1,"仓储加工","装卸费")))</f>
        <v/>
      </c>
      <c r="E769" s="51" t="str">
        <f aca="false">IF($B769="","",IFERROR(IF($D769="周转打冷",N(INDEX(对接源_01入库吨位!$D$5:$D$304,MATCH(INT((ROW()-5)/3)+1,对接源_01入库吨位!$S$5:$S$304,0))),IF($D769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69" s="41" t="str">
        <f aca="false">IF($B769="","",ROUND(IFERROR(IF($D769="周转打冷",N(INDEX(对接源_01入库吨位!$H$5:$H$304,MATCH(INT((ROW()-5)/3)+1,对接源_01入库吨位!$S$5:$S$304,0))),IF($D769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69" s="52" t="str">
        <f aca="false">IF($B769="","",ROUND(N($F769)/1000,3))</f>
        <v/>
      </c>
      <c r="H769" s="74"/>
      <c r="I769" s="44"/>
      <c r="J769" s="75" t="str">
        <f aca="false">IF($B769="","",IF($H769="按筐数×单价",N($E769),IF($H769="按总重KG×单价",N($F769),IF($H769="按吨位×单价",N($G769),0))))</f>
        <v/>
      </c>
      <c r="K769" s="41" t="str">
        <f aca="false">IF($B769="","",ROUND(N($J769)*N($I769),2))</f>
        <v/>
      </c>
      <c r="L769" s="42"/>
      <c r="M769" s="76"/>
      <c r="N769" s="43"/>
      <c r="R769" s="77" t="str">
        <f aca="false">IF($B769="","",$B769)</f>
        <v/>
      </c>
      <c r="S769" s="77" t="n">
        <f aca="false">IF($R769="",0,IF(MATCH($R769,$R$5:$R$904,0)=ROW()-4,1,0))</f>
        <v>0</v>
      </c>
      <c r="T769" s="77" t="n">
        <f aca="false">N(T768)+$S769</f>
        <v>18</v>
      </c>
    </row>
    <row r="770" customFormat="false" ht="13.5" hidden="false" customHeight="false" outlineLevel="0" collapsed="false">
      <c r="A770" s="9" t="str">
        <f aca="false">IF($B770="","",ROW()-4)</f>
        <v/>
      </c>
      <c r="B770" s="39" t="str">
        <f aca="false">IFERROR(INDEX(对接源_01入库吨位!$B$5:$B$304,MATCH(INT((ROW()-5)/3)+1,对接源_01入库吨位!$S$5:$S$304,0)),"")</f>
        <v/>
      </c>
      <c r="C770" s="39" t="str">
        <f aca="false">IFERROR(INDEX(对接源_01入库吨位!$C$5:$C$304,MATCH(INT((ROW()-5)/3)+1,对接源_01入库吨位!$S$5:$S$304,0)),"")</f>
        <v/>
      </c>
      <c r="D770" s="40" t="str">
        <f aca="false">IF($B770="","",IF(MOD(ROW()-5,3)=0,"周转打冷",IF(MOD(ROW()-5,3)=1,"仓储加工","装卸费")))</f>
        <v/>
      </c>
      <c r="E770" s="51" t="str">
        <f aca="false">IF($B770="","",IFERROR(IF($D770="周转打冷",N(INDEX(对接源_01入库吨位!$D$5:$D$304,MATCH(INT((ROW()-5)/3)+1,对接源_01入库吨位!$S$5:$S$304,0))),IF($D770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0" s="41" t="str">
        <f aca="false">IF($B770="","",ROUND(IFERROR(IF($D770="周转打冷",N(INDEX(对接源_01入库吨位!$H$5:$H$304,MATCH(INT((ROW()-5)/3)+1,对接源_01入库吨位!$S$5:$S$304,0))),IF($D770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0" s="52" t="str">
        <f aca="false">IF($B770="","",ROUND(N($F770)/1000,3))</f>
        <v/>
      </c>
      <c r="H770" s="74"/>
      <c r="I770" s="44"/>
      <c r="J770" s="75" t="str">
        <f aca="false">IF($B770="","",IF($H770="按筐数×单价",N($E770),IF($H770="按总重KG×单价",N($F770),IF($H770="按吨位×单价",N($G770),0))))</f>
        <v/>
      </c>
      <c r="K770" s="41" t="str">
        <f aca="false">IF($B770="","",ROUND(N($J770)*N($I770),2))</f>
        <v/>
      </c>
      <c r="L770" s="42"/>
      <c r="M770" s="76"/>
      <c r="N770" s="43"/>
      <c r="R770" s="77" t="str">
        <f aca="false">IF($B770="","",$B770)</f>
        <v/>
      </c>
      <c r="S770" s="77" t="n">
        <f aca="false">IF($R770="",0,IF(MATCH($R770,$R$5:$R$904,0)=ROW()-4,1,0))</f>
        <v>0</v>
      </c>
      <c r="T770" s="77" t="n">
        <f aca="false">N(T769)+$S770</f>
        <v>18</v>
      </c>
    </row>
    <row r="771" customFormat="false" ht="13.5" hidden="false" customHeight="false" outlineLevel="0" collapsed="false">
      <c r="A771" s="9" t="str">
        <f aca="false">IF($B771="","",ROW()-4)</f>
        <v/>
      </c>
      <c r="B771" s="39" t="str">
        <f aca="false">IFERROR(INDEX(对接源_01入库吨位!$B$5:$B$304,MATCH(INT((ROW()-5)/3)+1,对接源_01入库吨位!$S$5:$S$304,0)),"")</f>
        <v/>
      </c>
      <c r="C771" s="39" t="str">
        <f aca="false">IFERROR(INDEX(对接源_01入库吨位!$C$5:$C$304,MATCH(INT((ROW()-5)/3)+1,对接源_01入库吨位!$S$5:$S$304,0)),"")</f>
        <v/>
      </c>
      <c r="D771" s="40" t="str">
        <f aca="false">IF($B771="","",IF(MOD(ROW()-5,3)=0,"周转打冷",IF(MOD(ROW()-5,3)=1,"仓储加工","装卸费")))</f>
        <v/>
      </c>
      <c r="E771" s="51" t="str">
        <f aca="false">IF($B771="","",IFERROR(IF($D771="周转打冷",N(INDEX(对接源_01入库吨位!$D$5:$D$304,MATCH(INT((ROW()-5)/3)+1,对接源_01入库吨位!$S$5:$S$304,0))),IF($D771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1" s="41" t="str">
        <f aca="false">IF($B771="","",ROUND(IFERROR(IF($D771="周转打冷",N(INDEX(对接源_01入库吨位!$H$5:$H$304,MATCH(INT((ROW()-5)/3)+1,对接源_01入库吨位!$S$5:$S$304,0))),IF($D771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1" s="52" t="str">
        <f aca="false">IF($B771="","",ROUND(N($F771)/1000,3))</f>
        <v/>
      </c>
      <c r="H771" s="74"/>
      <c r="I771" s="44"/>
      <c r="J771" s="75" t="str">
        <f aca="false">IF($B771="","",IF($H771="按筐数×单价",N($E771),IF($H771="按总重KG×单价",N($F771),IF($H771="按吨位×单价",N($G771),0))))</f>
        <v/>
      </c>
      <c r="K771" s="41" t="str">
        <f aca="false">IF($B771="","",ROUND(N($J771)*N($I771),2))</f>
        <v/>
      </c>
      <c r="L771" s="42"/>
      <c r="M771" s="76"/>
      <c r="N771" s="43"/>
      <c r="R771" s="77" t="str">
        <f aca="false">IF($B771="","",$B771)</f>
        <v/>
      </c>
      <c r="S771" s="77" t="n">
        <f aca="false">IF($R771="",0,IF(MATCH($R771,$R$5:$R$904,0)=ROW()-4,1,0))</f>
        <v>0</v>
      </c>
      <c r="T771" s="77" t="n">
        <f aca="false">N(T770)+$S771</f>
        <v>18</v>
      </c>
    </row>
    <row r="772" customFormat="false" ht="13.5" hidden="false" customHeight="false" outlineLevel="0" collapsed="false">
      <c r="A772" s="9" t="str">
        <f aca="false">IF($B772="","",ROW()-4)</f>
        <v/>
      </c>
      <c r="B772" s="39" t="str">
        <f aca="false">IFERROR(INDEX(对接源_01入库吨位!$B$5:$B$304,MATCH(INT((ROW()-5)/3)+1,对接源_01入库吨位!$S$5:$S$304,0)),"")</f>
        <v/>
      </c>
      <c r="C772" s="39" t="str">
        <f aca="false">IFERROR(INDEX(对接源_01入库吨位!$C$5:$C$304,MATCH(INT((ROW()-5)/3)+1,对接源_01入库吨位!$S$5:$S$304,0)),"")</f>
        <v/>
      </c>
      <c r="D772" s="40" t="str">
        <f aca="false">IF($B772="","",IF(MOD(ROW()-5,3)=0,"周转打冷",IF(MOD(ROW()-5,3)=1,"仓储加工","装卸费")))</f>
        <v/>
      </c>
      <c r="E772" s="51" t="str">
        <f aca="false">IF($B772="","",IFERROR(IF($D772="周转打冷",N(INDEX(对接源_01入库吨位!$D$5:$D$304,MATCH(INT((ROW()-5)/3)+1,对接源_01入库吨位!$S$5:$S$304,0))),IF($D772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2" s="41" t="str">
        <f aca="false">IF($B772="","",ROUND(IFERROR(IF($D772="周转打冷",N(INDEX(对接源_01入库吨位!$H$5:$H$304,MATCH(INT((ROW()-5)/3)+1,对接源_01入库吨位!$S$5:$S$304,0))),IF($D772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2" s="52" t="str">
        <f aca="false">IF($B772="","",ROUND(N($F772)/1000,3))</f>
        <v/>
      </c>
      <c r="H772" s="74"/>
      <c r="I772" s="44"/>
      <c r="J772" s="75" t="str">
        <f aca="false">IF($B772="","",IF($H772="按筐数×单价",N($E772),IF($H772="按总重KG×单价",N($F772),IF($H772="按吨位×单价",N($G772),0))))</f>
        <v/>
      </c>
      <c r="K772" s="41" t="str">
        <f aca="false">IF($B772="","",ROUND(N($J772)*N($I772),2))</f>
        <v/>
      </c>
      <c r="L772" s="42"/>
      <c r="M772" s="76"/>
      <c r="N772" s="43"/>
      <c r="R772" s="77" t="str">
        <f aca="false">IF($B772="","",$B772)</f>
        <v/>
      </c>
      <c r="S772" s="77" t="n">
        <f aca="false">IF($R772="",0,IF(MATCH($R772,$R$5:$R$904,0)=ROW()-4,1,0))</f>
        <v>0</v>
      </c>
      <c r="T772" s="77" t="n">
        <f aca="false">N(T771)+$S772</f>
        <v>18</v>
      </c>
    </row>
    <row r="773" customFormat="false" ht="13.5" hidden="false" customHeight="false" outlineLevel="0" collapsed="false">
      <c r="A773" s="9" t="str">
        <f aca="false">IF($B773="","",ROW()-4)</f>
        <v/>
      </c>
      <c r="B773" s="39" t="str">
        <f aca="false">IFERROR(INDEX(对接源_01入库吨位!$B$5:$B$304,MATCH(INT((ROW()-5)/3)+1,对接源_01入库吨位!$S$5:$S$304,0)),"")</f>
        <v/>
      </c>
      <c r="C773" s="39" t="str">
        <f aca="false">IFERROR(INDEX(对接源_01入库吨位!$C$5:$C$304,MATCH(INT((ROW()-5)/3)+1,对接源_01入库吨位!$S$5:$S$304,0)),"")</f>
        <v/>
      </c>
      <c r="D773" s="40" t="str">
        <f aca="false">IF($B773="","",IF(MOD(ROW()-5,3)=0,"周转打冷",IF(MOD(ROW()-5,3)=1,"仓储加工","装卸费")))</f>
        <v/>
      </c>
      <c r="E773" s="51" t="str">
        <f aca="false">IF($B773="","",IFERROR(IF($D773="周转打冷",N(INDEX(对接源_01入库吨位!$D$5:$D$304,MATCH(INT((ROW()-5)/3)+1,对接源_01入库吨位!$S$5:$S$304,0))),IF($D773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3" s="41" t="str">
        <f aca="false">IF($B773="","",ROUND(IFERROR(IF($D773="周转打冷",N(INDEX(对接源_01入库吨位!$H$5:$H$304,MATCH(INT((ROW()-5)/3)+1,对接源_01入库吨位!$S$5:$S$304,0))),IF($D773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3" s="52" t="str">
        <f aca="false">IF($B773="","",ROUND(N($F773)/1000,3))</f>
        <v/>
      </c>
      <c r="H773" s="74"/>
      <c r="I773" s="44"/>
      <c r="J773" s="75" t="str">
        <f aca="false">IF($B773="","",IF($H773="按筐数×单价",N($E773),IF($H773="按总重KG×单价",N($F773),IF($H773="按吨位×单价",N($G773),0))))</f>
        <v/>
      </c>
      <c r="K773" s="41" t="str">
        <f aca="false">IF($B773="","",ROUND(N($J773)*N($I773),2))</f>
        <v/>
      </c>
      <c r="L773" s="42"/>
      <c r="M773" s="76"/>
      <c r="N773" s="43"/>
      <c r="R773" s="77" t="str">
        <f aca="false">IF($B773="","",$B773)</f>
        <v/>
      </c>
      <c r="S773" s="77" t="n">
        <f aca="false">IF($R773="",0,IF(MATCH($R773,$R$5:$R$904,0)=ROW()-4,1,0))</f>
        <v>0</v>
      </c>
      <c r="T773" s="77" t="n">
        <f aca="false">N(T772)+$S773</f>
        <v>18</v>
      </c>
    </row>
    <row r="774" customFormat="false" ht="13.5" hidden="false" customHeight="false" outlineLevel="0" collapsed="false">
      <c r="A774" s="9" t="str">
        <f aca="false">IF($B774="","",ROW()-4)</f>
        <v/>
      </c>
      <c r="B774" s="39" t="str">
        <f aca="false">IFERROR(INDEX(对接源_01入库吨位!$B$5:$B$304,MATCH(INT((ROW()-5)/3)+1,对接源_01入库吨位!$S$5:$S$304,0)),"")</f>
        <v/>
      </c>
      <c r="C774" s="39" t="str">
        <f aca="false">IFERROR(INDEX(对接源_01入库吨位!$C$5:$C$304,MATCH(INT((ROW()-5)/3)+1,对接源_01入库吨位!$S$5:$S$304,0)),"")</f>
        <v/>
      </c>
      <c r="D774" s="40" t="str">
        <f aca="false">IF($B774="","",IF(MOD(ROW()-5,3)=0,"周转打冷",IF(MOD(ROW()-5,3)=1,"仓储加工","装卸费")))</f>
        <v/>
      </c>
      <c r="E774" s="51" t="str">
        <f aca="false">IF($B774="","",IFERROR(IF($D774="周转打冷",N(INDEX(对接源_01入库吨位!$D$5:$D$304,MATCH(INT((ROW()-5)/3)+1,对接源_01入库吨位!$S$5:$S$304,0))),IF($D774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4" s="41" t="str">
        <f aca="false">IF($B774="","",ROUND(IFERROR(IF($D774="周转打冷",N(INDEX(对接源_01入库吨位!$H$5:$H$304,MATCH(INT((ROW()-5)/3)+1,对接源_01入库吨位!$S$5:$S$304,0))),IF($D774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4" s="52" t="str">
        <f aca="false">IF($B774="","",ROUND(N($F774)/1000,3))</f>
        <v/>
      </c>
      <c r="H774" s="74"/>
      <c r="I774" s="44"/>
      <c r="J774" s="75" t="str">
        <f aca="false">IF($B774="","",IF($H774="按筐数×单价",N($E774),IF($H774="按总重KG×单价",N($F774),IF($H774="按吨位×单价",N($G774),0))))</f>
        <v/>
      </c>
      <c r="K774" s="41" t="str">
        <f aca="false">IF($B774="","",ROUND(N($J774)*N($I774),2))</f>
        <v/>
      </c>
      <c r="L774" s="42"/>
      <c r="M774" s="76"/>
      <c r="N774" s="43"/>
      <c r="R774" s="77" t="str">
        <f aca="false">IF($B774="","",$B774)</f>
        <v/>
      </c>
      <c r="S774" s="77" t="n">
        <f aca="false">IF($R774="",0,IF(MATCH($R774,$R$5:$R$904,0)=ROW()-4,1,0))</f>
        <v>0</v>
      </c>
      <c r="T774" s="77" t="n">
        <f aca="false">N(T773)+$S774</f>
        <v>18</v>
      </c>
    </row>
    <row r="775" customFormat="false" ht="13.5" hidden="false" customHeight="false" outlineLevel="0" collapsed="false">
      <c r="A775" s="9" t="str">
        <f aca="false">IF($B775="","",ROW()-4)</f>
        <v/>
      </c>
      <c r="B775" s="39" t="str">
        <f aca="false">IFERROR(INDEX(对接源_01入库吨位!$B$5:$B$304,MATCH(INT((ROW()-5)/3)+1,对接源_01入库吨位!$S$5:$S$304,0)),"")</f>
        <v/>
      </c>
      <c r="C775" s="39" t="str">
        <f aca="false">IFERROR(INDEX(对接源_01入库吨位!$C$5:$C$304,MATCH(INT((ROW()-5)/3)+1,对接源_01入库吨位!$S$5:$S$304,0)),"")</f>
        <v/>
      </c>
      <c r="D775" s="40" t="str">
        <f aca="false">IF($B775="","",IF(MOD(ROW()-5,3)=0,"周转打冷",IF(MOD(ROW()-5,3)=1,"仓储加工","装卸费")))</f>
        <v/>
      </c>
      <c r="E775" s="51" t="str">
        <f aca="false">IF($B775="","",IFERROR(IF($D775="周转打冷",N(INDEX(对接源_01入库吨位!$D$5:$D$304,MATCH(INT((ROW()-5)/3)+1,对接源_01入库吨位!$S$5:$S$304,0))),IF($D775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5" s="41" t="str">
        <f aca="false">IF($B775="","",ROUND(IFERROR(IF($D775="周转打冷",N(INDEX(对接源_01入库吨位!$H$5:$H$304,MATCH(INT((ROW()-5)/3)+1,对接源_01入库吨位!$S$5:$S$304,0))),IF($D775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5" s="52" t="str">
        <f aca="false">IF($B775="","",ROUND(N($F775)/1000,3))</f>
        <v/>
      </c>
      <c r="H775" s="74"/>
      <c r="I775" s="44"/>
      <c r="J775" s="75" t="str">
        <f aca="false">IF($B775="","",IF($H775="按筐数×单价",N($E775),IF($H775="按总重KG×单价",N($F775),IF($H775="按吨位×单价",N($G775),0))))</f>
        <v/>
      </c>
      <c r="K775" s="41" t="str">
        <f aca="false">IF($B775="","",ROUND(N($J775)*N($I775),2))</f>
        <v/>
      </c>
      <c r="L775" s="42"/>
      <c r="M775" s="76"/>
      <c r="N775" s="43"/>
      <c r="R775" s="77" t="str">
        <f aca="false">IF($B775="","",$B775)</f>
        <v/>
      </c>
      <c r="S775" s="77" t="n">
        <f aca="false">IF($R775="",0,IF(MATCH($R775,$R$5:$R$904,0)=ROW()-4,1,0))</f>
        <v>0</v>
      </c>
      <c r="T775" s="77" t="n">
        <f aca="false">N(T774)+$S775</f>
        <v>18</v>
      </c>
    </row>
    <row r="776" customFormat="false" ht="13.5" hidden="false" customHeight="false" outlineLevel="0" collapsed="false">
      <c r="A776" s="9" t="str">
        <f aca="false">IF($B776="","",ROW()-4)</f>
        <v/>
      </c>
      <c r="B776" s="39" t="str">
        <f aca="false">IFERROR(INDEX(对接源_01入库吨位!$B$5:$B$304,MATCH(INT((ROW()-5)/3)+1,对接源_01入库吨位!$S$5:$S$304,0)),"")</f>
        <v/>
      </c>
      <c r="C776" s="39" t="str">
        <f aca="false">IFERROR(INDEX(对接源_01入库吨位!$C$5:$C$304,MATCH(INT((ROW()-5)/3)+1,对接源_01入库吨位!$S$5:$S$304,0)),"")</f>
        <v/>
      </c>
      <c r="D776" s="40" t="str">
        <f aca="false">IF($B776="","",IF(MOD(ROW()-5,3)=0,"周转打冷",IF(MOD(ROW()-5,3)=1,"仓储加工","装卸费")))</f>
        <v/>
      </c>
      <c r="E776" s="51" t="str">
        <f aca="false">IF($B776="","",IFERROR(IF($D776="周转打冷",N(INDEX(对接源_01入库吨位!$D$5:$D$304,MATCH(INT((ROW()-5)/3)+1,对接源_01入库吨位!$S$5:$S$304,0))),IF($D776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6" s="41" t="str">
        <f aca="false">IF($B776="","",ROUND(IFERROR(IF($D776="周转打冷",N(INDEX(对接源_01入库吨位!$H$5:$H$304,MATCH(INT((ROW()-5)/3)+1,对接源_01入库吨位!$S$5:$S$304,0))),IF($D776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6" s="52" t="str">
        <f aca="false">IF($B776="","",ROUND(N($F776)/1000,3))</f>
        <v/>
      </c>
      <c r="H776" s="74"/>
      <c r="I776" s="44"/>
      <c r="J776" s="75" t="str">
        <f aca="false">IF($B776="","",IF($H776="按筐数×单价",N($E776),IF($H776="按总重KG×单价",N($F776),IF($H776="按吨位×单价",N($G776),0))))</f>
        <v/>
      </c>
      <c r="K776" s="41" t="str">
        <f aca="false">IF($B776="","",ROUND(N($J776)*N($I776),2))</f>
        <v/>
      </c>
      <c r="L776" s="42"/>
      <c r="M776" s="76"/>
      <c r="N776" s="43"/>
      <c r="R776" s="77" t="str">
        <f aca="false">IF($B776="","",$B776)</f>
        <v/>
      </c>
      <c r="S776" s="77" t="n">
        <f aca="false">IF($R776="",0,IF(MATCH($R776,$R$5:$R$904,0)=ROW()-4,1,0))</f>
        <v>0</v>
      </c>
      <c r="T776" s="77" t="n">
        <f aca="false">N(T775)+$S776</f>
        <v>18</v>
      </c>
    </row>
    <row r="777" customFormat="false" ht="13.5" hidden="false" customHeight="false" outlineLevel="0" collapsed="false">
      <c r="A777" s="9" t="str">
        <f aca="false">IF($B777="","",ROW()-4)</f>
        <v/>
      </c>
      <c r="B777" s="39" t="str">
        <f aca="false">IFERROR(INDEX(对接源_01入库吨位!$B$5:$B$304,MATCH(INT((ROW()-5)/3)+1,对接源_01入库吨位!$S$5:$S$304,0)),"")</f>
        <v/>
      </c>
      <c r="C777" s="39" t="str">
        <f aca="false">IFERROR(INDEX(对接源_01入库吨位!$C$5:$C$304,MATCH(INT((ROW()-5)/3)+1,对接源_01入库吨位!$S$5:$S$304,0)),"")</f>
        <v/>
      </c>
      <c r="D777" s="40" t="str">
        <f aca="false">IF($B777="","",IF(MOD(ROW()-5,3)=0,"周转打冷",IF(MOD(ROW()-5,3)=1,"仓储加工","装卸费")))</f>
        <v/>
      </c>
      <c r="E777" s="51" t="str">
        <f aca="false">IF($B777="","",IFERROR(IF($D777="周转打冷",N(INDEX(对接源_01入库吨位!$D$5:$D$304,MATCH(INT((ROW()-5)/3)+1,对接源_01入库吨位!$S$5:$S$304,0))),IF($D777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7" s="41" t="str">
        <f aca="false">IF($B777="","",ROUND(IFERROR(IF($D777="周转打冷",N(INDEX(对接源_01入库吨位!$H$5:$H$304,MATCH(INT((ROW()-5)/3)+1,对接源_01入库吨位!$S$5:$S$304,0))),IF($D777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7" s="52" t="str">
        <f aca="false">IF($B777="","",ROUND(N($F777)/1000,3))</f>
        <v/>
      </c>
      <c r="H777" s="74"/>
      <c r="I777" s="44"/>
      <c r="J777" s="75" t="str">
        <f aca="false">IF($B777="","",IF($H777="按筐数×单价",N($E777),IF($H777="按总重KG×单价",N($F777),IF($H777="按吨位×单价",N($G777),0))))</f>
        <v/>
      </c>
      <c r="K777" s="41" t="str">
        <f aca="false">IF($B777="","",ROUND(N($J777)*N($I777),2))</f>
        <v/>
      </c>
      <c r="L777" s="42"/>
      <c r="M777" s="76"/>
      <c r="N777" s="43"/>
      <c r="R777" s="77" t="str">
        <f aca="false">IF($B777="","",$B777)</f>
        <v/>
      </c>
      <c r="S777" s="77" t="n">
        <f aca="false">IF($R777="",0,IF(MATCH($R777,$R$5:$R$904,0)=ROW()-4,1,0))</f>
        <v>0</v>
      </c>
      <c r="T777" s="77" t="n">
        <f aca="false">N(T776)+$S777</f>
        <v>18</v>
      </c>
    </row>
    <row r="778" customFormat="false" ht="13.5" hidden="false" customHeight="false" outlineLevel="0" collapsed="false">
      <c r="A778" s="9" t="str">
        <f aca="false">IF($B778="","",ROW()-4)</f>
        <v/>
      </c>
      <c r="B778" s="39" t="str">
        <f aca="false">IFERROR(INDEX(对接源_01入库吨位!$B$5:$B$304,MATCH(INT((ROW()-5)/3)+1,对接源_01入库吨位!$S$5:$S$304,0)),"")</f>
        <v/>
      </c>
      <c r="C778" s="39" t="str">
        <f aca="false">IFERROR(INDEX(对接源_01入库吨位!$C$5:$C$304,MATCH(INT((ROW()-5)/3)+1,对接源_01入库吨位!$S$5:$S$304,0)),"")</f>
        <v/>
      </c>
      <c r="D778" s="40" t="str">
        <f aca="false">IF($B778="","",IF(MOD(ROW()-5,3)=0,"周转打冷",IF(MOD(ROW()-5,3)=1,"仓储加工","装卸费")))</f>
        <v/>
      </c>
      <c r="E778" s="51" t="str">
        <f aca="false">IF($B778="","",IFERROR(IF($D778="周转打冷",N(INDEX(对接源_01入库吨位!$D$5:$D$304,MATCH(INT((ROW()-5)/3)+1,对接源_01入库吨位!$S$5:$S$304,0))),IF($D778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8" s="41" t="str">
        <f aca="false">IF($B778="","",ROUND(IFERROR(IF($D778="周转打冷",N(INDEX(对接源_01入库吨位!$H$5:$H$304,MATCH(INT((ROW()-5)/3)+1,对接源_01入库吨位!$S$5:$S$304,0))),IF($D778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8" s="52" t="str">
        <f aca="false">IF($B778="","",ROUND(N($F778)/1000,3))</f>
        <v/>
      </c>
      <c r="H778" s="74"/>
      <c r="I778" s="44"/>
      <c r="J778" s="75" t="str">
        <f aca="false">IF($B778="","",IF($H778="按筐数×单价",N($E778),IF($H778="按总重KG×单价",N($F778),IF($H778="按吨位×单价",N($G778),0))))</f>
        <v/>
      </c>
      <c r="K778" s="41" t="str">
        <f aca="false">IF($B778="","",ROUND(N($J778)*N($I778),2))</f>
        <v/>
      </c>
      <c r="L778" s="42"/>
      <c r="M778" s="76"/>
      <c r="N778" s="43"/>
      <c r="R778" s="77" t="str">
        <f aca="false">IF($B778="","",$B778)</f>
        <v/>
      </c>
      <c r="S778" s="77" t="n">
        <f aca="false">IF($R778="",0,IF(MATCH($R778,$R$5:$R$904,0)=ROW()-4,1,0))</f>
        <v>0</v>
      </c>
      <c r="T778" s="77" t="n">
        <f aca="false">N(T777)+$S778</f>
        <v>18</v>
      </c>
    </row>
    <row r="779" customFormat="false" ht="13.5" hidden="false" customHeight="false" outlineLevel="0" collapsed="false">
      <c r="A779" s="9" t="str">
        <f aca="false">IF($B779="","",ROW()-4)</f>
        <v/>
      </c>
      <c r="B779" s="39" t="str">
        <f aca="false">IFERROR(INDEX(对接源_01入库吨位!$B$5:$B$304,MATCH(INT((ROW()-5)/3)+1,对接源_01入库吨位!$S$5:$S$304,0)),"")</f>
        <v/>
      </c>
      <c r="C779" s="39" t="str">
        <f aca="false">IFERROR(INDEX(对接源_01入库吨位!$C$5:$C$304,MATCH(INT((ROW()-5)/3)+1,对接源_01入库吨位!$S$5:$S$304,0)),"")</f>
        <v/>
      </c>
      <c r="D779" s="40" t="str">
        <f aca="false">IF($B779="","",IF(MOD(ROW()-5,3)=0,"周转打冷",IF(MOD(ROW()-5,3)=1,"仓储加工","装卸费")))</f>
        <v/>
      </c>
      <c r="E779" s="51" t="str">
        <f aca="false">IF($B779="","",IFERROR(IF($D779="周转打冷",N(INDEX(对接源_01入库吨位!$D$5:$D$304,MATCH(INT((ROW()-5)/3)+1,对接源_01入库吨位!$S$5:$S$304,0))),IF($D779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79" s="41" t="str">
        <f aca="false">IF($B779="","",ROUND(IFERROR(IF($D779="周转打冷",N(INDEX(对接源_01入库吨位!$H$5:$H$304,MATCH(INT((ROW()-5)/3)+1,对接源_01入库吨位!$S$5:$S$304,0))),IF($D779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79" s="52" t="str">
        <f aca="false">IF($B779="","",ROUND(N($F779)/1000,3))</f>
        <v/>
      </c>
      <c r="H779" s="74"/>
      <c r="I779" s="44"/>
      <c r="J779" s="75" t="str">
        <f aca="false">IF($B779="","",IF($H779="按筐数×单价",N($E779),IF($H779="按总重KG×单价",N($F779),IF($H779="按吨位×单价",N($G779),0))))</f>
        <v/>
      </c>
      <c r="K779" s="41" t="str">
        <f aca="false">IF($B779="","",ROUND(N($J779)*N($I779),2))</f>
        <v/>
      </c>
      <c r="L779" s="42"/>
      <c r="M779" s="76"/>
      <c r="N779" s="43"/>
      <c r="R779" s="77" t="str">
        <f aca="false">IF($B779="","",$B779)</f>
        <v/>
      </c>
      <c r="S779" s="77" t="n">
        <f aca="false">IF($R779="",0,IF(MATCH($R779,$R$5:$R$904,0)=ROW()-4,1,0))</f>
        <v>0</v>
      </c>
      <c r="T779" s="77" t="n">
        <f aca="false">N(T778)+$S779</f>
        <v>18</v>
      </c>
    </row>
    <row r="780" customFormat="false" ht="13.5" hidden="false" customHeight="false" outlineLevel="0" collapsed="false">
      <c r="A780" s="9" t="str">
        <f aca="false">IF($B780="","",ROW()-4)</f>
        <v/>
      </c>
      <c r="B780" s="39" t="str">
        <f aca="false">IFERROR(INDEX(对接源_01入库吨位!$B$5:$B$304,MATCH(INT((ROW()-5)/3)+1,对接源_01入库吨位!$S$5:$S$304,0)),"")</f>
        <v/>
      </c>
      <c r="C780" s="39" t="str">
        <f aca="false">IFERROR(INDEX(对接源_01入库吨位!$C$5:$C$304,MATCH(INT((ROW()-5)/3)+1,对接源_01入库吨位!$S$5:$S$304,0)),"")</f>
        <v/>
      </c>
      <c r="D780" s="40" t="str">
        <f aca="false">IF($B780="","",IF(MOD(ROW()-5,3)=0,"周转打冷",IF(MOD(ROW()-5,3)=1,"仓储加工","装卸费")))</f>
        <v/>
      </c>
      <c r="E780" s="51" t="str">
        <f aca="false">IF($B780="","",IFERROR(IF($D780="周转打冷",N(INDEX(对接源_01入库吨位!$D$5:$D$304,MATCH(INT((ROW()-5)/3)+1,对接源_01入库吨位!$S$5:$S$304,0))),IF($D780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0" s="41" t="str">
        <f aca="false">IF($B780="","",ROUND(IFERROR(IF($D780="周转打冷",N(INDEX(对接源_01入库吨位!$H$5:$H$304,MATCH(INT((ROW()-5)/3)+1,对接源_01入库吨位!$S$5:$S$304,0))),IF($D780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0" s="52" t="str">
        <f aca="false">IF($B780="","",ROUND(N($F780)/1000,3))</f>
        <v/>
      </c>
      <c r="H780" s="74"/>
      <c r="I780" s="44"/>
      <c r="J780" s="75" t="str">
        <f aca="false">IF($B780="","",IF($H780="按筐数×单价",N($E780),IF($H780="按总重KG×单价",N($F780),IF($H780="按吨位×单价",N($G780),0))))</f>
        <v/>
      </c>
      <c r="K780" s="41" t="str">
        <f aca="false">IF($B780="","",ROUND(N($J780)*N($I780),2))</f>
        <v/>
      </c>
      <c r="L780" s="42"/>
      <c r="M780" s="76"/>
      <c r="N780" s="43"/>
      <c r="R780" s="77" t="str">
        <f aca="false">IF($B780="","",$B780)</f>
        <v/>
      </c>
      <c r="S780" s="77" t="n">
        <f aca="false">IF($R780="",0,IF(MATCH($R780,$R$5:$R$904,0)=ROW()-4,1,0))</f>
        <v>0</v>
      </c>
      <c r="T780" s="77" t="n">
        <f aca="false">N(T779)+$S780</f>
        <v>18</v>
      </c>
    </row>
    <row r="781" customFormat="false" ht="13.5" hidden="false" customHeight="false" outlineLevel="0" collapsed="false">
      <c r="A781" s="9" t="str">
        <f aca="false">IF($B781="","",ROW()-4)</f>
        <v/>
      </c>
      <c r="B781" s="39" t="str">
        <f aca="false">IFERROR(INDEX(对接源_01入库吨位!$B$5:$B$304,MATCH(INT((ROW()-5)/3)+1,对接源_01入库吨位!$S$5:$S$304,0)),"")</f>
        <v/>
      </c>
      <c r="C781" s="39" t="str">
        <f aca="false">IFERROR(INDEX(对接源_01入库吨位!$C$5:$C$304,MATCH(INT((ROW()-5)/3)+1,对接源_01入库吨位!$S$5:$S$304,0)),"")</f>
        <v/>
      </c>
      <c r="D781" s="40" t="str">
        <f aca="false">IF($B781="","",IF(MOD(ROW()-5,3)=0,"周转打冷",IF(MOD(ROW()-5,3)=1,"仓储加工","装卸费")))</f>
        <v/>
      </c>
      <c r="E781" s="51" t="str">
        <f aca="false">IF($B781="","",IFERROR(IF($D781="周转打冷",N(INDEX(对接源_01入库吨位!$D$5:$D$304,MATCH(INT((ROW()-5)/3)+1,对接源_01入库吨位!$S$5:$S$304,0))),IF($D781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1" s="41" t="str">
        <f aca="false">IF($B781="","",ROUND(IFERROR(IF($D781="周转打冷",N(INDEX(对接源_01入库吨位!$H$5:$H$304,MATCH(INT((ROW()-5)/3)+1,对接源_01入库吨位!$S$5:$S$304,0))),IF($D781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1" s="52" t="str">
        <f aca="false">IF($B781="","",ROUND(N($F781)/1000,3))</f>
        <v/>
      </c>
      <c r="H781" s="74"/>
      <c r="I781" s="44"/>
      <c r="J781" s="75" t="str">
        <f aca="false">IF($B781="","",IF($H781="按筐数×单价",N($E781),IF($H781="按总重KG×单价",N($F781),IF($H781="按吨位×单价",N($G781),0))))</f>
        <v/>
      </c>
      <c r="K781" s="41" t="str">
        <f aca="false">IF($B781="","",ROUND(N($J781)*N($I781),2))</f>
        <v/>
      </c>
      <c r="L781" s="42"/>
      <c r="M781" s="76"/>
      <c r="N781" s="43"/>
      <c r="R781" s="77" t="str">
        <f aca="false">IF($B781="","",$B781)</f>
        <v/>
      </c>
      <c r="S781" s="77" t="n">
        <f aca="false">IF($R781="",0,IF(MATCH($R781,$R$5:$R$904,0)=ROW()-4,1,0))</f>
        <v>0</v>
      </c>
      <c r="T781" s="77" t="n">
        <f aca="false">N(T780)+$S781</f>
        <v>18</v>
      </c>
    </row>
    <row r="782" customFormat="false" ht="13.5" hidden="false" customHeight="false" outlineLevel="0" collapsed="false">
      <c r="A782" s="9" t="str">
        <f aca="false">IF($B782="","",ROW()-4)</f>
        <v/>
      </c>
      <c r="B782" s="39" t="str">
        <f aca="false">IFERROR(INDEX(对接源_01入库吨位!$B$5:$B$304,MATCH(INT((ROW()-5)/3)+1,对接源_01入库吨位!$S$5:$S$304,0)),"")</f>
        <v/>
      </c>
      <c r="C782" s="39" t="str">
        <f aca="false">IFERROR(INDEX(对接源_01入库吨位!$C$5:$C$304,MATCH(INT((ROW()-5)/3)+1,对接源_01入库吨位!$S$5:$S$304,0)),"")</f>
        <v/>
      </c>
      <c r="D782" s="40" t="str">
        <f aca="false">IF($B782="","",IF(MOD(ROW()-5,3)=0,"周转打冷",IF(MOD(ROW()-5,3)=1,"仓储加工","装卸费")))</f>
        <v/>
      </c>
      <c r="E782" s="51" t="str">
        <f aca="false">IF($B782="","",IFERROR(IF($D782="周转打冷",N(INDEX(对接源_01入库吨位!$D$5:$D$304,MATCH(INT((ROW()-5)/3)+1,对接源_01入库吨位!$S$5:$S$304,0))),IF($D782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2" s="41" t="str">
        <f aca="false">IF($B782="","",ROUND(IFERROR(IF($D782="周转打冷",N(INDEX(对接源_01入库吨位!$H$5:$H$304,MATCH(INT((ROW()-5)/3)+1,对接源_01入库吨位!$S$5:$S$304,0))),IF($D782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2" s="52" t="str">
        <f aca="false">IF($B782="","",ROUND(N($F782)/1000,3))</f>
        <v/>
      </c>
      <c r="H782" s="74"/>
      <c r="I782" s="44"/>
      <c r="J782" s="75" t="str">
        <f aca="false">IF($B782="","",IF($H782="按筐数×单价",N($E782),IF($H782="按总重KG×单价",N($F782),IF($H782="按吨位×单价",N($G782),0))))</f>
        <v/>
      </c>
      <c r="K782" s="41" t="str">
        <f aca="false">IF($B782="","",ROUND(N($J782)*N($I782),2))</f>
        <v/>
      </c>
      <c r="L782" s="42"/>
      <c r="M782" s="76"/>
      <c r="N782" s="43"/>
      <c r="R782" s="77" t="str">
        <f aca="false">IF($B782="","",$B782)</f>
        <v/>
      </c>
      <c r="S782" s="77" t="n">
        <f aca="false">IF($R782="",0,IF(MATCH($R782,$R$5:$R$904,0)=ROW()-4,1,0))</f>
        <v>0</v>
      </c>
      <c r="T782" s="77" t="n">
        <f aca="false">N(T781)+$S782</f>
        <v>18</v>
      </c>
    </row>
    <row r="783" customFormat="false" ht="13.5" hidden="false" customHeight="false" outlineLevel="0" collapsed="false">
      <c r="A783" s="9" t="str">
        <f aca="false">IF($B783="","",ROW()-4)</f>
        <v/>
      </c>
      <c r="B783" s="39" t="str">
        <f aca="false">IFERROR(INDEX(对接源_01入库吨位!$B$5:$B$304,MATCH(INT((ROW()-5)/3)+1,对接源_01入库吨位!$S$5:$S$304,0)),"")</f>
        <v/>
      </c>
      <c r="C783" s="39" t="str">
        <f aca="false">IFERROR(INDEX(对接源_01入库吨位!$C$5:$C$304,MATCH(INT((ROW()-5)/3)+1,对接源_01入库吨位!$S$5:$S$304,0)),"")</f>
        <v/>
      </c>
      <c r="D783" s="40" t="str">
        <f aca="false">IF($B783="","",IF(MOD(ROW()-5,3)=0,"周转打冷",IF(MOD(ROW()-5,3)=1,"仓储加工","装卸费")))</f>
        <v/>
      </c>
      <c r="E783" s="51" t="str">
        <f aca="false">IF($B783="","",IFERROR(IF($D783="周转打冷",N(INDEX(对接源_01入库吨位!$D$5:$D$304,MATCH(INT((ROW()-5)/3)+1,对接源_01入库吨位!$S$5:$S$304,0))),IF($D783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3" s="41" t="str">
        <f aca="false">IF($B783="","",ROUND(IFERROR(IF($D783="周转打冷",N(INDEX(对接源_01入库吨位!$H$5:$H$304,MATCH(INT((ROW()-5)/3)+1,对接源_01入库吨位!$S$5:$S$304,0))),IF($D783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3" s="52" t="str">
        <f aca="false">IF($B783="","",ROUND(N($F783)/1000,3))</f>
        <v/>
      </c>
      <c r="H783" s="74"/>
      <c r="I783" s="44"/>
      <c r="J783" s="75" t="str">
        <f aca="false">IF($B783="","",IF($H783="按筐数×单价",N($E783),IF($H783="按总重KG×单价",N($F783),IF($H783="按吨位×单价",N($G783),0))))</f>
        <v/>
      </c>
      <c r="K783" s="41" t="str">
        <f aca="false">IF($B783="","",ROUND(N($J783)*N($I783),2))</f>
        <v/>
      </c>
      <c r="L783" s="42"/>
      <c r="M783" s="76"/>
      <c r="N783" s="43"/>
      <c r="R783" s="77" t="str">
        <f aca="false">IF($B783="","",$B783)</f>
        <v/>
      </c>
      <c r="S783" s="77" t="n">
        <f aca="false">IF($R783="",0,IF(MATCH($R783,$R$5:$R$904,0)=ROW()-4,1,0))</f>
        <v>0</v>
      </c>
      <c r="T783" s="77" t="n">
        <f aca="false">N(T782)+$S783</f>
        <v>18</v>
      </c>
    </row>
    <row r="784" customFormat="false" ht="13.5" hidden="false" customHeight="false" outlineLevel="0" collapsed="false">
      <c r="A784" s="9" t="str">
        <f aca="false">IF($B784="","",ROW()-4)</f>
        <v/>
      </c>
      <c r="B784" s="39" t="str">
        <f aca="false">IFERROR(INDEX(对接源_01入库吨位!$B$5:$B$304,MATCH(INT((ROW()-5)/3)+1,对接源_01入库吨位!$S$5:$S$304,0)),"")</f>
        <v/>
      </c>
      <c r="C784" s="39" t="str">
        <f aca="false">IFERROR(INDEX(对接源_01入库吨位!$C$5:$C$304,MATCH(INT((ROW()-5)/3)+1,对接源_01入库吨位!$S$5:$S$304,0)),"")</f>
        <v/>
      </c>
      <c r="D784" s="40" t="str">
        <f aca="false">IF($B784="","",IF(MOD(ROW()-5,3)=0,"周转打冷",IF(MOD(ROW()-5,3)=1,"仓储加工","装卸费")))</f>
        <v/>
      </c>
      <c r="E784" s="51" t="str">
        <f aca="false">IF($B784="","",IFERROR(IF($D784="周转打冷",N(INDEX(对接源_01入库吨位!$D$5:$D$304,MATCH(INT((ROW()-5)/3)+1,对接源_01入库吨位!$S$5:$S$304,0))),IF($D784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4" s="41" t="str">
        <f aca="false">IF($B784="","",ROUND(IFERROR(IF($D784="周转打冷",N(INDEX(对接源_01入库吨位!$H$5:$H$304,MATCH(INT((ROW()-5)/3)+1,对接源_01入库吨位!$S$5:$S$304,0))),IF($D784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4" s="52" t="str">
        <f aca="false">IF($B784="","",ROUND(N($F784)/1000,3))</f>
        <v/>
      </c>
      <c r="H784" s="74"/>
      <c r="I784" s="44"/>
      <c r="J784" s="75" t="str">
        <f aca="false">IF($B784="","",IF($H784="按筐数×单价",N($E784),IF($H784="按总重KG×单价",N($F784),IF($H784="按吨位×单价",N($G784),0))))</f>
        <v/>
      </c>
      <c r="K784" s="41" t="str">
        <f aca="false">IF($B784="","",ROUND(N($J784)*N($I784),2))</f>
        <v/>
      </c>
      <c r="L784" s="42"/>
      <c r="M784" s="76"/>
      <c r="N784" s="43"/>
      <c r="R784" s="77" t="str">
        <f aca="false">IF($B784="","",$B784)</f>
        <v/>
      </c>
      <c r="S784" s="77" t="n">
        <f aca="false">IF($R784="",0,IF(MATCH($R784,$R$5:$R$904,0)=ROW()-4,1,0))</f>
        <v>0</v>
      </c>
      <c r="T784" s="77" t="n">
        <f aca="false">N(T783)+$S784</f>
        <v>18</v>
      </c>
    </row>
    <row r="785" customFormat="false" ht="13.5" hidden="false" customHeight="false" outlineLevel="0" collapsed="false">
      <c r="A785" s="9" t="str">
        <f aca="false">IF($B785="","",ROW()-4)</f>
        <v/>
      </c>
      <c r="B785" s="39" t="str">
        <f aca="false">IFERROR(INDEX(对接源_01入库吨位!$B$5:$B$304,MATCH(INT((ROW()-5)/3)+1,对接源_01入库吨位!$S$5:$S$304,0)),"")</f>
        <v/>
      </c>
      <c r="C785" s="39" t="str">
        <f aca="false">IFERROR(INDEX(对接源_01入库吨位!$C$5:$C$304,MATCH(INT((ROW()-5)/3)+1,对接源_01入库吨位!$S$5:$S$304,0)),"")</f>
        <v/>
      </c>
      <c r="D785" s="40" t="str">
        <f aca="false">IF($B785="","",IF(MOD(ROW()-5,3)=0,"周转打冷",IF(MOD(ROW()-5,3)=1,"仓储加工","装卸费")))</f>
        <v/>
      </c>
      <c r="E785" s="51" t="str">
        <f aca="false">IF($B785="","",IFERROR(IF($D785="周转打冷",N(INDEX(对接源_01入库吨位!$D$5:$D$304,MATCH(INT((ROW()-5)/3)+1,对接源_01入库吨位!$S$5:$S$304,0))),IF($D785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5" s="41" t="str">
        <f aca="false">IF($B785="","",ROUND(IFERROR(IF($D785="周转打冷",N(INDEX(对接源_01入库吨位!$H$5:$H$304,MATCH(INT((ROW()-5)/3)+1,对接源_01入库吨位!$S$5:$S$304,0))),IF($D785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5" s="52" t="str">
        <f aca="false">IF($B785="","",ROUND(N($F785)/1000,3))</f>
        <v/>
      </c>
      <c r="H785" s="74"/>
      <c r="I785" s="44"/>
      <c r="J785" s="75" t="str">
        <f aca="false">IF($B785="","",IF($H785="按筐数×单价",N($E785),IF($H785="按总重KG×单价",N($F785),IF($H785="按吨位×单价",N($G785),0))))</f>
        <v/>
      </c>
      <c r="K785" s="41" t="str">
        <f aca="false">IF($B785="","",ROUND(N($J785)*N($I785),2))</f>
        <v/>
      </c>
      <c r="L785" s="42"/>
      <c r="M785" s="76"/>
      <c r="N785" s="43"/>
      <c r="R785" s="77" t="str">
        <f aca="false">IF($B785="","",$B785)</f>
        <v/>
      </c>
      <c r="S785" s="77" t="n">
        <f aca="false">IF($R785="",0,IF(MATCH($R785,$R$5:$R$904,0)=ROW()-4,1,0))</f>
        <v>0</v>
      </c>
      <c r="T785" s="77" t="n">
        <f aca="false">N(T784)+$S785</f>
        <v>18</v>
      </c>
    </row>
    <row r="786" customFormat="false" ht="13.5" hidden="false" customHeight="false" outlineLevel="0" collapsed="false">
      <c r="A786" s="9" t="str">
        <f aca="false">IF($B786="","",ROW()-4)</f>
        <v/>
      </c>
      <c r="B786" s="39" t="str">
        <f aca="false">IFERROR(INDEX(对接源_01入库吨位!$B$5:$B$304,MATCH(INT((ROW()-5)/3)+1,对接源_01入库吨位!$S$5:$S$304,0)),"")</f>
        <v/>
      </c>
      <c r="C786" s="39" t="str">
        <f aca="false">IFERROR(INDEX(对接源_01入库吨位!$C$5:$C$304,MATCH(INT((ROW()-5)/3)+1,对接源_01入库吨位!$S$5:$S$304,0)),"")</f>
        <v/>
      </c>
      <c r="D786" s="40" t="str">
        <f aca="false">IF($B786="","",IF(MOD(ROW()-5,3)=0,"周转打冷",IF(MOD(ROW()-5,3)=1,"仓储加工","装卸费")))</f>
        <v/>
      </c>
      <c r="E786" s="51" t="str">
        <f aca="false">IF($B786="","",IFERROR(IF($D786="周转打冷",N(INDEX(对接源_01入库吨位!$D$5:$D$304,MATCH(INT((ROW()-5)/3)+1,对接源_01入库吨位!$S$5:$S$304,0))),IF($D786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6" s="41" t="str">
        <f aca="false">IF($B786="","",ROUND(IFERROR(IF($D786="周转打冷",N(INDEX(对接源_01入库吨位!$H$5:$H$304,MATCH(INT((ROW()-5)/3)+1,对接源_01入库吨位!$S$5:$S$304,0))),IF($D786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6" s="52" t="str">
        <f aca="false">IF($B786="","",ROUND(N($F786)/1000,3))</f>
        <v/>
      </c>
      <c r="H786" s="74"/>
      <c r="I786" s="44"/>
      <c r="J786" s="75" t="str">
        <f aca="false">IF($B786="","",IF($H786="按筐数×单价",N($E786),IF($H786="按总重KG×单价",N($F786),IF($H786="按吨位×单价",N($G786),0))))</f>
        <v/>
      </c>
      <c r="K786" s="41" t="str">
        <f aca="false">IF($B786="","",ROUND(N($J786)*N($I786),2))</f>
        <v/>
      </c>
      <c r="L786" s="42"/>
      <c r="M786" s="76"/>
      <c r="N786" s="43"/>
      <c r="R786" s="77" t="str">
        <f aca="false">IF($B786="","",$B786)</f>
        <v/>
      </c>
      <c r="S786" s="77" t="n">
        <f aca="false">IF($R786="",0,IF(MATCH($R786,$R$5:$R$904,0)=ROW()-4,1,0))</f>
        <v>0</v>
      </c>
      <c r="T786" s="77" t="n">
        <f aca="false">N(T785)+$S786</f>
        <v>18</v>
      </c>
    </row>
    <row r="787" customFormat="false" ht="13.5" hidden="false" customHeight="false" outlineLevel="0" collapsed="false">
      <c r="A787" s="9" t="str">
        <f aca="false">IF($B787="","",ROW()-4)</f>
        <v/>
      </c>
      <c r="B787" s="39" t="str">
        <f aca="false">IFERROR(INDEX(对接源_01入库吨位!$B$5:$B$304,MATCH(INT((ROW()-5)/3)+1,对接源_01入库吨位!$S$5:$S$304,0)),"")</f>
        <v/>
      </c>
      <c r="C787" s="39" t="str">
        <f aca="false">IFERROR(INDEX(对接源_01入库吨位!$C$5:$C$304,MATCH(INT((ROW()-5)/3)+1,对接源_01入库吨位!$S$5:$S$304,0)),"")</f>
        <v/>
      </c>
      <c r="D787" s="40" t="str">
        <f aca="false">IF($B787="","",IF(MOD(ROW()-5,3)=0,"周转打冷",IF(MOD(ROW()-5,3)=1,"仓储加工","装卸费")))</f>
        <v/>
      </c>
      <c r="E787" s="51" t="str">
        <f aca="false">IF($B787="","",IFERROR(IF($D787="周转打冷",N(INDEX(对接源_01入库吨位!$D$5:$D$304,MATCH(INT((ROW()-5)/3)+1,对接源_01入库吨位!$S$5:$S$304,0))),IF($D787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7" s="41" t="str">
        <f aca="false">IF($B787="","",ROUND(IFERROR(IF($D787="周转打冷",N(INDEX(对接源_01入库吨位!$H$5:$H$304,MATCH(INT((ROW()-5)/3)+1,对接源_01入库吨位!$S$5:$S$304,0))),IF($D787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7" s="52" t="str">
        <f aca="false">IF($B787="","",ROUND(N($F787)/1000,3))</f>
        <v/>
      </c>
      <c r="H787" s="74"/>
      <c r="I787" s="44"/>
      <c r="J787" s="75" t="str">
        <f aca="false">IF($B787="","",IF($H787="按筐数×单价",N($E787),IF($H787="按总重KG×单价",N($F787),IF($H787="按吨位×单价",N($G787),0))))</f>
        <v/>
      </c>
      <c r="K787" s="41" t="str">
        <f aca="false">IF($B787="","",ROUND(N($J787)*N($I787),2))</f>
        <v/>
      </c>
      <c r="L787" s="42"/>
      <c r="M787" s="76"/>
      <c r="N787" s="43"/>
      <c r="R787" s="77" t="str">
        <f aca="false">IF($B787="","",$B787)</f>
        <v/>
      </c>
      <c r="S787" s="77" t="n">
        <f aca="false">IF($R787="",0,IF(MATCH($R787,$R$5:$R$904,0)=ROW()-4,1,0))</f>
        <v>0</v>
      </c>
      <c r="T787" s="77" t="n">
        <f aca="false">N(T786)+$S787</f>
        <v>18</v>
      </c>
    </row>
    <row r="788" customFormat="false" ht="13.5" hidden="false" customHeight="false" outlineLevel="0" collapsed="false">
      <c r="A788" s="9" t="str">
        <f aca="false">IF($B788="","",ROW()-4)</f>
        <v/>
      </c>
      <c r="B788" s="39" t="str">
        <f aca="false">IFERROR(INDEX(对接源_01入库吨位!$B$5:$B$304,MATCH(INT((ROW()-5)/3)+1,对接源_01入库吨位!$S$5:$S$304,0)),"")</f>
        <v/>
      </c>
      <c r="C788" s="39" t="str">
        <f aca="false">IFERROR(INDEX(对接源_01入库吨位!$C$5:$C$304,MATCH(INT((ROW()-5)/3)+1,对接源_01入库吨位!$S$5:$S$304,0)),"")</f>
        <v/>
      </c>
      <c r="D788" s="40" t="str">
        <f aca="false">IF($B788="","",IF(MOD(ROW()-5,3)=0,"周转打冷",IF(MOD(ROW()-5,3)=1,"仓储加工","装卸费")))</f>
        <v/>
      </c>
      <c r="E788" s="51" t="str">
        <f aca="false">IF($B788="","",IFERROR(IF($D788="周转打冷",N(INDEX(对接源_01入库吨位!$D$5:$D$304,MATCH(INT((ROW()-5)/3)+1,对接源_01入库吨位!$S$5:$S$304,0))),IF($D788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8" s="41" t="str">
        <f aca="false">IF($B788="","",ROUND(IFERROR(IF($D788="周转打冷",N(INDEX(对接源_01入库吨位!$H$5:$H$304,MATCH(INT((ROW()-5)/3)+1,对接源_01入库吨位!$S$5:$S$304,0))),IF($D788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8" s="52" t="str">
        <f aca="false">IF($B788="","",ROUND(N($F788)/1000,3))</f>
        <v/>
      </c>
      <c r="H788" s="74"/>
      <c r="I788" s="44"/>
      <c r="J788" s="75" t="str">
        <f aca="false">IF($B788="","",IF($H788="按筐数×单价",N($E788),IF($H788="按总重KG×单价",N($F788),IF($H788="按吨位×单价",N($G788),0))))</f>
        <v/>
      </c>
      <c r="K788" s="41" t="str">
        <f aca="false">IF($B788="","",ROUND(N($J788)*N($I788),2))</f>
        <v/>
      </c>
      <c r="L788" s="42"/>
      <c r="M788" s="76"/>
      <c r="N788" s="43"/>
      <c r="R788" s="77" t="str">
        <f aca="false">IF($B788="","",$B788)</f>
        <v/>
      </c>
      <c r="S788" s="77" t="n">
        <f aca="false">IF($R788="",0,IF(MATCH($R788,$R$5:$R$904,0)=ROW()-4,1,0))</f>
        <v>0</v>
      </c>
      <c r="T788" s="77" t="n">
        <f aca="false">N(T787)+$S788</f>
        <v>18</v>
      </c>
    </row>
    <row r="789" customFormat="false" ht="13.5" hidden="false" customHeight="false" outlineLevel="0" collapsed="false">
      <c r="A789" s="9" t="str">
        <f aca="false">IF($B789="","",ROW()-4)</f>
        <v/>
      </c>
      <c r="B789" s="39" t="str">
        <f aca="false">IFERROR(INDEX(对接源_01入库吨位!$B$5:$B$304,MATCH(INT((ROW()-5)/3)+1,对接源_01入库吨位!$S$5:$S$304,0)),"")</f>
        <v/>
      </c>
      <c r="C789" s="39" t="str">
        <f aca="false">IFERROR(INDEX(对接源_01入库吨位!$C$5:$C$304,MATCH(INT((ROW()-5)/3)+1,对接源_01入库吨位!$S$5:$S$304,0)),"")</f>
        <v/>
      </c>
      <c r="D789" s="40" t="str">
        <f aca="false">IF($B789="","",IF(MOD(ROW()-5,3)=0,"周转打冷",IF(MOD(ROW()-5,3)=1,"仓储加工","装卸费")))</f>
        <v/>
      </c>
      <c r="E789" s="51" t="str">
        <f aca="false">IF($B789="","",IFERROR(IF($D789="周转打冷",N(INDEX(对接源_01入库吨位!$D$5:$D$304,MATCH(INT((ROW()-5)/3)+1,对接源_01入库吨位!$S$5:$S$304,0))),IF($D789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89" s="41" t="str">
        <f aca="false">IF($B789="","",ROUND(IFERROR(IF($D789="周转打冷",N(INDEX(对接源_01入库吨位!$H$5:$H$304,MATCH(INT((ROW()-5)/3)+1,对接源_01入库吨位!$S$5:$S$304,0))),IF($D789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89" s="52" t="str">
        <f aca="false">IF($B789="","",ROUND(N($F789)/1000,3))</f>
        <v/>
      </c>
      <c r="H789" s="74"/>
      <c r="I789" s="44"/>
      <c r="J789" s="75" t="str">
        <f aca="false">IF($B789="","",IF($H789="按筐数×单价",N($E789),IF($H789="按总重KG×单价",N($F789),IF($H789="按吨位×单价",N($G789),0))))</f>
        <v/>
      </c>
      <c r="K789" s="41" t="str">
        <f aca="false">IF($B789="","",ROUND(N($J789)*N($I789),2))</f>
        <v/>
      </c>
      <c r="L789" s="42"/>
      <c r="M789" s="76"/>
      <c r="N789" s="43"/>
      <c r="R789" s="77" t="str">
        <f aca="false">IF($B789="","",$B789)</f>
        <v/>
      </c>
      <c r="S789" s="77" t="n">
        <f aca="false">IF($R789="",0,IF(MATCH($R789,$R$5:$R$904,0)=ROW()-4,1,0))</f>
        <v>0</v>
      </c>
      <c r="T789" s="77" t="n">
        <f aca="false">N(T788)+$S789</f>
        <v>18</v>
      </c>
    </row>
    <row r="790" customFormat="false" ht="13.5" hidden="false" customHeight="false" outlineLevel="0" collapsed="false">
      <c r="A790" s="9" t="str">
        <f aca="false">IF($B790="","",ROW()-4)</f>
        <v/>
      </c>
      <c r="B790" s="39" t="str">
        <f aca="false">IFERROR(INDEX(对接源_01入库吨位!$B$5:$B$304,MATCH(INT((ROW()-5)/3)+1,对接源_01入库吨位!$S$5:$S$304,0)),"")</f>
        <v/>
      </c>
      <c r="C790" s="39" t="str">
        <f aca="false">IFERROR(INDEX(对接源_01入库吨位!$C$5:$C$304,MATCH(INT((ROW()-5)/3)+1,对接源_01入库吨位!$S$5:$S$304,0)),"")</f>
        <v/>
      </c>
      <c r="D790" s="40" t="str">
        <f aca="false">IF($B790="","",IF(MOD(ROW()-5,3)=0,"周转打冷",IF(MOD(ROW()-5,3)=1,"仓储加工","装卸费")))</f>
        <v/>
      </c>
      <c r="E790" s="51" t="str">
        <f aca="false">IF($B790="","",IFERROR(IF($D790="周转打冷",N(INDEX(对接源_01入库吨位!$D$5:$D$304,MATCH(INT((ROW()-5)/3)+1,对接源_01入库吨位!$S$5:$S$304,0))),IF($D790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0" s="41" t="str">
        <f aca="false">IF($B790="","",ROUND(IFERROR(IF($D790="周转打冷",N(INDEX(对接源_01入库吨位!$H$5:$H$304,MATCH(INT((ROW()-5)/3)+1,对接源_01入库吨位!$S$5:$S$304,0))),IF($D790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0" s="52" t="str">
        <f aca="false">IF($B790="","",ROUND(N($F790)/1000,3))</f>
        <v/>
      </c>
      <c r="H790" s="74"/>
      <c r="I790" s="44"/>
      <c r="J790" s="75" t="str">
        <f aca="false">IF($B790="","",IF($H790="按筐数×单价",N($E790),IF($H790="按总重KG×单价",N($F790),IF($H790="按吨位×单价",N($G790),0))))</f>
        <v/>
      </c>
      <c r="K790" s="41" t="str">
        <f aca="false">IF($B790="","",ROUND(N($J790)*N($I790),2))</f>
        <v/>
      </c>
      <c r="L790" s="42"/>
      <c r="M790" s="76"/>
      <c r="N790" s="43"/>
      <c r="R790" s="77" t="str">
        <f aca="false">IF($B790="","",$B790)</f>
        <v/>
      </c>
      <c r="S790" s="77" t="n">
        <f aca="false">IF($R790="",0,IF(MATCH($R790,$R$5:$R$904,0)=ROW()-4,1,0))</f>
        <v>0</v>
      </c>
      <c r="T790" s="77" t="n">
        <f aca="false">N(T789)+$S790</f>
        <v>18</v>
      </c>
    </row>
    <row r="791" customFormat="false" ht="13.5" hidden="false" customHeight="false" outlineLevel="0" collapsed="false">
      <c r="A791" s="9" t="str">
        <f aca="false">IF($B791="","",ROW()-4)</f>
        <v/>
      </c>
      <c r="B791" s="39" t="str">
        <f aca="false">IFERROR(INDEX(对接源_01入库吨位!$B$5:$B$304,MATCH(INT((ROW()-5)/3)+1,对接源_01入库吨位!$S$5:$S$304,0)),"")</f>
        <v/>
      </c>
      <c r="C791" s="39" t="str">
        <f aca="false">IFERROR(INDEX(对接源_01入库吨位!$C$5:$C$304,MATCH(INT((ROW()-5)/3)+1,对接源_01入库吨位!$S$5:$S$304,0)),"")</f>
        <v/>
      </c>
      <c r="D791" s="40" t="str">
        <f aca="false">IF($B791="","",IF(MOD(ROW()-5,3)=0,"周转打冷",IF(MOD(ROW()-5,3)=1,"仓储加工","装卸费")))</f>
        <v/>
      </c>
      <c r="E791" s="51" t="str">
        <f aca="false">IF($B791="","",IFERROR(IF($D791="周转打冷",N(INDEX(对接源_01入库吨位!$D$5:$D$304,MATCH(INT((ROW()-5)/3)+1,对接源_01入库吨位!$S$5:$S$304,0))),IF($D791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1" s="41" t="str">
        <f aca="false">IF($B791="","",ROUND(IFERROR(IF($D791="周转打冷",N(INDEX(对接源_01入库吨位!$H$5:$H$304,MATCH(INT((ROW()-5)/3)+1,对接源_01入库吨位!$S$5:$S$304,0))),IF($D791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1" s="52" t="str">
        <f aca="false">IF($B791="","",ROUND(N($F791)/1000,3))</f>
        <v/>
      </c>
      <c r="H791" s="74"/>
      <c r="I791" s="44"/>
      <c r="J791" s="75" t="str">
        <f aca="false">IF($B791="","",IF($H791="按筐数×单价",N($E791),IF($H791="按总重KG×单价",N($F791),IF($H791="按吨位×单价",N($G791),0))))</f>
        <v/>
      </c>
      <c r="K791" s="41" t="str">
        <f aca="false">IF($B791="","",ROUND(N($J791)*N($I791),2))</f>
        <v/>
      </c>
      <c r="L791" s="42"/>
      <c r="M791" s="76"/>
      <c r="N791" s="43"/>
      <c r="R791" s="77" t="str">
        <f aca="false">IF($B791="","",$B791)</f>
        <v/>
      </c>
      <c r="S791" s="77" t="n">
        <f aca="false">IF($R791="",0,IF(MATCH($R791,$R$5:$R$904,0)=ROW()-4,1,0))</f>
        <v>0</v>
      </c>
      <c r="T791" s="77" t="n">
        <f aca="false">N(T790)+$S791</f>
        <v>18</v>
      </c>
    </row>
    <row r="792" customFormat="false" ht="13.5" hidden="false" customHeight="false" outlineLevel="0" collapsed="false">
      <c r="A792" s="9" t="str">
        <f aca="false">IF($B792="","",ROW()-4)</f>
        <v/>
      </c>
      <c r="B792" s="39" t="str">
        <f aca="false">IFERROR(INDEX(对接源_01入库吨位!$B$5:$B$304,MATCH(INT((ROW()-5)/3)+1,对接源_01入库吨位!$S$5:$S$304,0)),"")</f>
        <v/>
      </c>
      <c r="C792" s="39" t="str">
        <f aca="false">IFERROR(INDEX(对接源_01入库吨位!$C$5:$C$304,MATCH(INT((ROW()-5)/3)+1,对接源_01入库吨位!$S$5:$S$304,0)),"")</f>
        <v/>
      </c>
      <c r="D792" s="40" t="str">
        <f aca="false">IF($B792="","",IF(MOD(ROW()-5,3)=0,"周转打冷",IF(MOD(ROW()-5,3)=1,"仓储加工","装卸费")))</f>
        <v/>
      </c>
      <c r="E792" s="51" t="str">
        <f aca="false">IF($B792="","",IFERROR(IF($D792="周转打冷",N(INDEX(对接源_01入库吨位!$D$5:$D$304,MATCH(INT((ROW()-5)/3)+1,对接源_01入库吨位!$S$5:$S$304,0))),IF($D792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2" s="41" t="str">
        <f aca="false">IF($B792="","",ROUND(IFERROR(IF($D792="周转打冷",N(INDEX(对接源_01入库吨位!$H$5:$H$304,MATCH(INT((ROW()-5)/3)+1,对接源_01入库吨位!$S$5:$S$304,0))),IF($D792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2" s="52" t="str">
        <f aca="false">IF($B792="","",ROUND(N($F792)/1000,3))</f>
        <v/>
      </c>
      <c r="H792" s="74"/>
      <c r="I792" s="44"/>
      <c r="J792" s="75" t="str">
        <f aca="false">IF($B792="","",IF($H792="按筐数×单价",N($E792),IF($H792="按总重KG×单价",N($F792),IF($H792="按吨位×单价",N($G792),0))))</f>
        <v/>
      </c>
      <c r="K792" s="41" t="str">
        <f aca="false">IF($B792="","",ROUND(N($J792)*N($I792),2))</f>
        <v/>
      </c>
      <c r="L792" s="42"/>
      <c r="M792" s="76"/>
      <c r="N792" s="43"/>
      <c r="R792" s="77" t="str">
        <f aca="false">IF($B792="","",$B792)</f>
        <v/>
      </c>
      <c r="S792" s="77" t="n">
        <f aca="false">IF($R792="",0,IF(MATCH($R792,$R$5:$R$904,0)=ROW()-4,1,0))</f>
        <v>0</v>
      </c>
      <c r="T792" s="77" t="n">
        <f aca="false">N(T791)+$S792</f>
        <v>18</v>
      </c>
    </row>
    <row r="793" customFormat="false" ht="13.5" hidden="false" customHeight="false" outlineLevel="0" collapsed="false">
      <c r="A793" s="9" t="str">
        <f aca="false">IF($B793="","",ROW()-4)</f>
        <v/>
      </c>
      <c r="B793" s="39" t="str">
        <f aca="false">IFERROR(INDEX(对接源_01入库吨位!$B$5:$B$304,MATCH(INT((ROW()-5)/3)+1,对接源_01入库吨位!$S$5:$S$304,0)),"")</f>
        <v/>
      </c>
      <c r="C793" s="39" t="str">
        <f aca="false">IFERROR(INDEX(对接源_01入库吨位!$C$5:$C$304,MATCH(INT((ROW()-5)/3)+1,对接源_01入库吨位!$S$5:$S$304,0)),"")</f>
        <v/>
      </c>
      <c r="D793" s="40" t="str">
        <f aca="false">IF($B793="","",IF(MOD(ROW()-5,3)=0,"周转打冷",IF(MOD(ROW()-5,3)=1,"仓储加工","装卸费")))</f>
        <v/>
      </c>
      <c r="E793" s="51" t="str">
        <f aca="false">IF($B793="","",IFERROR(IF($D793="周转打冷",N(INDEX(对接源_01入库吨位!$D$5:$D$304,MATCH(INT((ROW()-5)/3)+1,对接源_01入库吨位!$S$5:$S$304,0))),IF($D793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3" s="41" t="str">
        <f aca="false">IF($B793="","",ROUND(IFERROR(IF($D793="周转打冷",N(INDEX(对接源_01入库吨位!$H$5:$H$304,MATCH(INT((ROW()-5)/3)+1,对接源_01入库吨位!$S$5:$S$304,0))),IF($D793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3" s="52" t="str">
        <f aca="false">IF($B793="","",ROUND(N($F793)/1000,3))</f>
        <v/>
      </c>
      <c r="H793" s="74"/>
      <c r="I793" s="44"/>
      <c r="J793" s="75" t="str">
        <f aca="false">IF($B793="","",IF($H793="按筐数×单价",N($E793),IF($H793="按总重KG×单价",N($F793),IF($H793="按吨位×单价",N($G793),0))))</f>
        <v/>
      </c>
      <c r="K793" s="41" t="str">
        <f aca="false">IF($B793="","",ROUND(N($J793)*N($I793),2))</f>
        <v/>
      </c>
      <c r="L793" s="42"/>
      <c r="M793" s="76"/>
      <c r="N793" s="43"/>
      <c r="R793" s="77" t="str">
        <f aca="false">IF($B793="","",$B793)</f>
        <v/>
      </c>
      <c r="S793" s="77" t="n">
        <f aca="false">IF($R793="",0,IF(MATCH($R793,$R$5:$R$904,0)=ROW()-4,1,0))</f>
        <v>0</v>
      </c>
      <c r="T793" s="77" t="n">
        <f aca="false">N(T792)+$S793</f>
        <v>18</v>
      </c>
    </row>
    <row r="794" customFormat="false" ht="13.5" hidden="false" customHeight="false" outlineLevel="0" collapsed="false">
      <c r="A794" s="9" t="str">
        <f aca="false">IF($B794="","",ROW()-4)</f>
        <v/>
      </c>
      <c r="B794" s="39" t="str">
        <f aca="false">IFERROR(INDEX(对接源_01入库吨位!$B$5:$B$304,MATCH(INT((ROW()-5)/3)+1,对接源_01入库吨位!$S$5:$S$304,0)),"")</f>
        <v/>
      </c>
      <c r="C794" s="39" t="str">
        <f aca="false">IFERROR(INDEX(对接源_01入库吨位!$C$5:$C$304,MATCH(INT((ROW()-5)/3)+1,对接源_01入库吨位!$S$5:$S$304,0)),"")</f>
        <v/>
      </c>
      <c r="D794" s="40" t="str">
        <f aca="false">IF($B794="","",IF(MOD(ROW()-5,3)=0,"周转打冷",IF(MOD(ROW()-5,3)=1,"仓储加工","装卸费")))</f>
        <v/>
      </c>
      <c r="E794" s="51" t="str">
        <f aca="false">IF($B794="","",IFERROR(IF($D794="周转打冷",N(INDEX(对接源_01入库吨位!$D$5:$D$304,MATCH(INT((ROW()-5)/3)+1,对接源_01入库吨位!$S$5:$S$304,0))),IF($D794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4" s="41" t="str">
        <f aca="false">IF($B794="","",ROUND(IFERROR(IF($D794="周转打冷",N(INDEX(对接源_01入库吨位!$H$5:$H$304,MATCH(INT((ROW()-5)/3)+1,对接源_01入库吨位!$S$5:$S$304,0))),IF($D794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4" s="52" t="str">
        <f aca="false">IF($B794="","",ROUND(N($F794)/1000,3))</f>
        <v/>
      </c>
      <c r="H794" s="74"/>
      <c r="I794" s="44"/>
      <c r="J794" s="75" t="str">
        <f aca="false">IF($B794="","",IF($H794="按筐数×单价",N($E794),IF($H794="按总重KG×单价",N($F794),IF($H794="按吨位×单价",N($G794),0))))</f>
        <v/>
      </c>
      <c r="K794" s="41" t="str">
        <f aca="false">IF($B794="","",ROUND(N($J794)*N($I794),2))</f>
        <v/>
      </c>
      <c r="L794" s="42"/>
      <c r="M794" s="76"/>
      <c r="N794" s="43"/>
      <c r="R794" s="77" t="str">
        <f aca="false">IF($B794="","",$B794)</f>
        <v/>
      </c>
      <c r="S794" s="77" t="n">
        <f aca="false">IF($R794="",0,IF(MATCH($R794,$R$5:$R$904,0)=ROW()-4,1,0))</f>
        <v>0</v>
      </c>
      <c r="T794" s="77" t="n">
        <f aca="false">N(T793)+$S794</f>
        <v>18</v>
      </c>
    </row>
    <row r="795" customFormat="false" ht="13.5" hidden="false" customHeight="false" outlineLevel="0" collapsed="false">
      <c r="A795" s="9" t="str">
        <f aca="false">IF($B795="","",ROW()-4)</f>
        <v/>
      </c>
      <c r="B795" s="39" t="str">
        <f aca="false">IFERROR(INDEX(对接源_01入库吨位!$B$5:$B$304,MATCH(INT((ROW()-5)/3)+1,对接源_01入库吨位!$S$5:$S$304,0)),"")</f>
        <v/>
      </c>
      <c r="C795" s="39" t="str">
        <f aca="false">IFERROR(INDEX(对接源_01入库吨位!$C$5:$C$304,MATCH(INT((ROW()-5)/3)+1,对接源_01入库吨位!$S$5:$S$304,0)),"")</f>
        <v/>
      </c>
      <c r="D795" s="40" t="str">
        <f aca="false">IF($B795="","",IF(MOD(ROW()-5,3)=0,"周转打冷",IF(MOD(ROW()-5,3)=1,"仓储加工","装卸费")))</f>
        <v/>
      </c>
      <c r="E795" s="51" t="str">
        <f aca="false">IF($B795="","",IFERROR(IF($D795="周转打冷",N(INDEX(对接源_01入库吨位!$D$5:$D$304,MATCH(INT((ROW()-5)/3)+1,对接源_01入库吨位!$S$5:$S$304,0))),IF($D795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5" s="41" t="str">
        <f aca="false">IF($B795="","",ROUND(IFERROR(IF($D795="周转打冷",N(INDEX(对接源_01入库吨位!$H$5:$H$304,MATCH(INT((ROW()-5)/3)+1,对接源_01入库吨位!$S$5:$S$304,0))),IF($D795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5" s="52" t="str">
        <f aca="false">IF($B795="","",ROUND(N($F795)/1000,3))</f>
        <v/>
      </c>
      <c r="H795" s="74"/>
      <c r="I795" s="44"/>
      <c r="J795" s="75" t="str">
        <f aca="false">IF($B795="","",IF($H795="按筐数×单价",N($E795),IF($H795="按总重KG×单价",N($F795),IF($H795="按吨位×单价",N($G795),0))))</f>
        <v/>
      </c>
      <c r="K795" s="41" t="str">
        <f aca="false">IF($B795="","",ROUND(N($J795)*N($I795),2))</f>
        <v/>
      </c>
      <c r="L795" s="42"/>
      <c r="M795" s="76"/>
      <c r="N795" s="43"/>
      <c r="R795" s="77" t="str">
        <f aca="false">IF($B795="","",$B795)</f>
        <v/>
      </c>
      <c r="S795" s="77" t="n">
        <f aca="false">IF($R795="",0,IF(MATCH($R795,$R$5:$R$904,0)=ROW()-4,1,0))</f>
        <v>0</v>
      </c>
      <c r="T795" s="77" t="n">
        <f aca="false">N(T794)+$S795</f>
        <v>18</v>
      </c>
    </row>
    <row r="796" customFormat="false" ht="13.5" hidden="false" customHeight="false" outlineLevel="0" collapsed="false">
      <c r="A796" s="9" t="str">
        <f aca="false">IF($B796="","",ROW()-4)</f>
        <v/>
      </c>
      <c r="B796" s="39" t="str">
        <f aca="false">IFERROR(INDEX(对接源_01入库吨位!$B$5:$B$304,MATCH(INT((ROW()-5)/3)+1,对接源_01入库吨位!$S$5:$S$304,0)),"")</f>
        <v/>
      </c>
      <c r="C796" s="39" t="str">
        <f aca="false">IFERROR(INDEX(对接源_01入库吨位!$C$5:$C$304,MATCH(INT((ROW()-5)/3)+1,对接源_01入库吨位!$S$5:$S$304,0)),"")</f>
        <v/>
      </c>
      <c r="D796" s="40" t="str">
        <f aca="false">IF($B796="","",IF(MOD(ROW()-5,3)=0,"周转打冷",IF(MOD(ROW()-5,3)=1,"仓储加工","装卸费")))</f>
        <v/>
      </c>
      <c r="E796" s="51" t="str">
        <f aca="false">IF($B796="","",IFERROR(IF($D796="周转打冷",N(INDEX(对接源_01入库吨位!$D$5:$D$304,MATCH(INT((ROW()-5)/3)+1,对接源_01入库吨位!$S$5:$S$304,0))),IF($D796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6" s="41" t="str">
        <f aca="false">IF($B796="","",ROUND(IFERROR(IF($D796="周转打冷",N(INDEX(对接源_01入库吨位!$H$5:$H$304,MATCH(INT((ROW()-5)/3)+1,对接源_01入库吨位!$S$5:$S$304,0))),IF($D796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6" s="52" t="str">
        <f aca="false">IF($B796="","",ROUND(N($F796)/1000,3))</f>
        <v/>
      </c>
      <c r="H796" s="74"/>
      <c r="I796" s="44"/>
      <c r="J796" s="75" t="str">
        <f aca="false">IF($B796="","",IF($H796="按筐数×单价",N($E796),IF($H796="按总重KG×单价",N($F796),IF($H796="按吨位×单价",N($G796),0))))</f>
        <v/>
      </c>
      <c r="K796" s="41" t="str">
        <f aca="false">IF($B796="","",ROUND(N($J796)*N($I796),2))</f>
        <v/>
      </c>
      <c r="L796" s="42"/>
      <c r="M796" s="76"/>
      <c r="N796" s="43"/>
      <c r="R796" s="77" t="str">
        <f aca="false">IF($B796="","",$B796)</f>
        <v/>
      </c>
      <c r="S796" s="77" t="n">
        <f aca="false">IF($R796="",0,IF(MATCH($R796,$R$5:$R$904,0)=ROW()-4,1,0))</f>
        <v>0</v>
      </c>
      <c r="T796" s="77" t="n">
        <f aca="false">N(T795)+$S796</f>
        <v>18</v>
      </c>
    </row>
    <row r="797" customFormat="false" ht="13.5" hidden="false" customHeight="false" outlineLevel="0" collapsed="false">
      <c r="A797" s="9" t="str">
        <f aca="false">IF($B797="","",ROW()-4)</f>
        <v/>
      </c>
      <c r="B797" s="39" t="str">
        <f aca="false">IFERROR(INDEX(对接源_01入库吨位!$B$5:$B$304,MATCH(INT((ROW()-5)/3)+1,对接源_01入库吨位!$S$5:$S$304,0)),"")</f>
        <v/>
      </c>
      <c r="C797" s="39" t="str">
        <f aca="false">IFERROR(INDEX(对接源_01入库吨位!$C$5:$C$304,MATCH(INT((ROW()-5)/3)+1,对接源_01入库吨位!$S$5:$S$304,0)),"")</f>
        <v/>
      </c>
      <c r="D797" s="40" t="str">
        <f aca="false">IF($B797="","",IF(MOD(ROW()-5,3)=0,"周转打冷",IF(MOD(ROW()-5,3)=1,"仓储加工","装卸费")))</f>
        <v/>
      </c>
      <c r="E797" s="51" t="str">
        <f aca="false">IF($B797="","",IFERROR(IF($D797="周转打冷",N(INDEX(对接源_01入库吨位!$D$5:$D$304,MATCH(INT((ROW()-5)/3)+1,对接源_01入库吨位!$S$5:$S$304,0))),IF($D797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7" s="41" t="str">
        <f aca="false">IF($B797="","",ROUND(IFERROR(IF($D797="周转打冷",N(INDEX(对接源_01入库吨位!$H$5:$H$304,MATCH(INT((ROW()-5)/3)+1,对接源_01入库吨位!$S$5:$S$304,0))),IF($D797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7" s="52" t="str">
        <f aca="false">IF($B797="","",ROUND(N($F797)/1000,3))</f>
        <v/>
      </c>
      <c r="H797" s="74"/>
      <c r="I797" s="44"/>
      <c r="J797" s="75" t="str">
        <f aca="false">IF($B797="","",IF($H797="按筐数×单价",N($E797),IF($H797="按总重KG×单价",N($F797),IF($H797="按吨位×单价",N($G797),0))))</f>
        <v/>
      </c>
      <c r="K797" s="41" t="str">
        <f aca="false">IF($B797="","",ROUND(N($J797)*N($I797),2))</f>
        <v/>
      </c>
      <c r="L797" s="42"/>
      <c r="M797" s="76"/>
      <c r="N797" s="43"/>
      <c r="R797" s="77" t="str">
        <f aca="false">IF($B797="","",$B797)</f>
        <v/>
      </c>
      <c r="S797" s="77" t="n">
        <f aca="false">IF($R797="",0,IF(MATCH($R797,$R$5:$R$904,0)=ROW()-4,1,0))</f>
        <v>0</v>
      </c>
      <c r="T797" s="77" t="n">
        <f aca="false">N(T796)+$S797</f>
        <v>18</v>
      </c>
    </row>
    <row r="798" customFormat="false" ht="13.5" hidden="false" customHeight="false" outlineLevel="0" collapsed="false">
      <c r="A798" s="9" t="str">
        <f aca="false">IF($B798="","",ROW()-4)</f>
        <v/>
      </c>
      <c r="B798" s="39" t="str">
        <f aca="false">IFERROR(INDEX(对接源_01入库吨位!$B$5:$B$304,MATCH(INT((ROW()-5)/3)+1,对接源_01入库吨位!$S$5:$S$304,0)),"")</f>
        <v/>
      </c>
      <c r="C798" s="39" t="str">
        <f aca="false">IFERROR(INDEX(对接源_01入库吨位!$C$5:$C$304,MATCH(INT((ROW()-5)/3)+1,对接源_01入库吨位!$S$5:$S$304,0)),"")</f>
        <v/>
      </c>
      <c r="D798" s="40" t="str">
        <f aca="false">IF($B798="","",IF(MOD(ROW()-5,3)=0,"周转打冷",IF(MOD(ROW()-5,3)=1,"仓储加工","装卸费")))</f>
        <v/>
      </c>
      <c r="E798" s="51" t="str">
        <f aca="false">IF($B798="","",IFERROR(IF($D798="周转打冷",N(INDEX(对接源_01入库吨位!$D$5:$D$304,MATCH(INT((ROW()-5)/3)+1,对接源_01入库吨位!$S$5:$S$304,0))),IF($D798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8" s="41" t="str">
        <f aca="false">IF($B798="","",ROUND(IFERROR(IF($D798="周转打冷",N(INDEX(对接源_01入库吨位!$H$5:$H$304,MATCH(INT((ROW()-5)/3)+1,对接源_01入库吨位!$S$5:$S$304,0))),IF($D798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8" s="52" t="str">
        <f aca="false">IF($B798="","",ROUND(N($F798)/1000,3))</f>
        <v/>
      </c>
      <c r="H798" s="74"/>
      <c r="I798" s="44"/>
      <c r="J798" s="75" t="str">
        <f aca="false">IF($B798="","",IF($H798="按筐数×单价",N($E798),IF($H798="按总重KG×单价",N($F798),IF($H798="按吨位×单价",N($G798),0))))</f>
        <v/>
      </c>
      <c r="K798" s="41" t="str">
        <f aca="false">IF($B798="","",ROUND(N($J798)*N($I798),2))</f>
        <v/>
      </c>
      <c r="L798" s="42"/>
      <c r="M798" s="76"/>
      <c r="N798" s="43"/>
      <c r="R798" s="77" t="str">
        <f aca="false">IF($B798="","",$B798)</f>
        <v/>
      </c>
      <c r="S798" s="77" t="n">
        <f aca="false">IF($R798="",0,IF(MATCH($R798,$R$5:$R$904,0)=ROW()-4,1,0))</f>
        <v>0</v>
      </c>
      <c r="T798" s="77" t="n">
        <f aca="false">N(T797)+$S798</f>
        <v>18</v>
      </c>
    </row>
    <row r="799" customFormat="false" ht="13.5" hidden="false" customHeight="false" outlineLevel="0" collapsed="false">
      <c r="A799" s="9" t="str">
        <f aca="false">IF($B799="","",ROW()-4)</f>
        <v/>
      </c>
      <c r="B799" s="39" t="str">
        <f aca="false">IFERROR(INDEX(对接源_01入库吨位!$B$5:$B$304,MATCH(INT((ROW()-5)/3)+1,对接源_01入库吨位!$S$5:$S$304,0)),"")</f>
        <v/>
      </c>
      <c r="C799" s="39" t="str">
        <f aca="false">IFERROR(INDEX(对接源_01入库吨位!$C$5:$C$304,MATCH(INT((ROW()-5)/3)+1,对接源_01入库吨位!$S$5:$S$304,0)),"")</f>
        <v/>
      </c>
      <c r="D799" s="40" t="str">
        <f aca="false">IF($B799="","",IF(MOD(ROW()-5,3)=0,"周转打冷",IF(MOD(ROW()-5,3)=1,"仓储加工","装卸费")))</f>
        <v/>
      </c>
      <c r="E799" s="51" t="str">
        <f aca="false">IF($B799="","",IFERROR(IF($D799="周转打冷",N(INDEX(对接源_01入库吨位!$D$5:$D$304,MATCH(INT((ROW()-5)/3)+1,对接源_01入库吨位!$S$5:$S$304,0))),IF($D799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799" s="41" t="str">
        <f aca="false">IF($B799="","",ROUND(IFERROR(IF($D799="周转打冷",N(INDEX(对接源_01入库吨位!$H$5:$H$304,MATCH(INT((ROW()-5)/3)+1,对接源_01入库吨位!$S$5:$S$304,0))),IF($D799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799" s="52" t="str">
        <f aca="false">IF($B799="","",ROUND(N($F799)/1000,3))</f>
        <v/>
      </c>
      <c r="H799" s="74"/>
      <c r="I799" s="44"/>
      <c r="J799" s="75" t="str">
        <f aca="false">IF($B799="","",IF($H799="按筐数×单价",N($E799),IF($H799="按总重KG×单价",N($F799),IF($H799="按吨位×单价",N($G799),0))))</f>
        <v/>
      </c>
      <c r="K799" s="41" t="str">
        <f aca="false">IF($B799="","",ROUND(N($J799)*N($I799),2))</f>
        <v/>
      </c>
      <c r="L799" s="42"/>
      <c r="M799" s="76"/>
      <c r="N799" s="43"/>
      <c r="R799" s="77" t="str">
        <f aca="false">IF($B799="","",$B799)</f>
        <v/>
      </c>
      <c r="S799" s="77" t="n">
        <f aca="false">IF($R799="",0,IF(MATCH($R799,$R$5:$R$904,0)=ROW()-4,1,0))</f>
        <v>0</v>
      </c>
      <c r="T799" s="77" t="n">
        <f aca="false">N(T798)+$S799</f>
        <v>18</v>
      </c>
    </row>
    <row r="800" customFormat="false" ht="13.5" hidden="false" customHeight="false" outlineLevel="0" collapsed="false">
      <c r="A800" s="9" t="str">
        <f aca="false">IF($B800="","",ROW()-4)</f>
        <v/>
      </c>
      <c r="B800" s="39" t="str">
        <f aca="false">IFERROR(INDEX(对接源_01入库吨位!$B$5:$B$304,MATCH(INT((ROW()-5)/3)+1,对接源_01入库吨位!$S$5:$S$304,0)),"")</f>
        <v/>
      </c>
      <c r="C800" s="39" t="str">
        <f aca="false">IFERROR(INDEX(对接源_01入库吨位!$C$5:$C$304,MATCH(INT((ROW()-5)/3)+1,对接源_01入库吨位!$S$5:$S$304,0)),"")</f>
        <v/>
      </c>
      <c r="D800" s="40" t="str">
        <f aca="false">IF($B800="","",IF(MOD(ROW()-5,3)=0,"周转打冷",IF(MOD(ROW()-5,3)=1,"仓储加工","装卸费")))</f>
        <v/>
      </c>
      <c r="E800" s="51" t="str">
        <f aca="false">IF($B800="","",IFERROR(IF($D800="周转打冷",N(INDEX(对接源_01入库吨位!$D$5:$D$304,MATCH(INT((ROW()-5)/3)+1,对接源_01入库吨位!$S$5:$S$304,0))),IF($D800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0" s="41" t="str">
        <f aca="false">IF($B800="","",ROUND(IFERROR(IF($D800="周转打冷",N(INDEX(对接源_01入库吨位!$H$5:$H$304,MATCH(INT((ROW()-5)/3)+1,对接源_01入库吨位!$S$5:$S$304,0))),IF($D800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0" s="52" t="str">
        <f aca="false">IF($B800="","",ROUND(N($F800)/1000,3))</f>
        <v/>
      </c>
      <c r="H800" s="74"/>
      <c r="I800" s="44"/>
      <c r="J800" s="75" t="str">
        <f aca="false">IF($B800="","",IF($H800="按筐数×单价",N($E800),IF($H800="按总重KG×单价",N($F800),IF($H800="按吨位×单价",N($G800),0))))</f>
        <v/>
      </c>
      <c r="K800" s="41" t="str">
        <f aca="false">IF($B800="","",ROUND(N($J800)*N($I800),2))</f>
        <v/>
      </c>
      <c r="L800" s="42"/>
      <c r="M800" s="76"/>
      <c r="N800" s="43"/>
      <c r="R800" s="77" t="str">
        <f aca="false">IF($B800="","",$B800)</f>
        <v/>
      </c>
      <c r="S800" s="77" t="n">
        <f aca="false">IF($R800="",0,IF(MATCH($R800,$R$5:$R$904,0)=ROW()-4,1,0))</f>
        <v>0</v>
      </c>
      <c r="T800" s="77" t="n">
        <f aca="false">N(T799)+$S800</f>
        <v>18</v>
      </c>
    </row>
    <row r="801" customFormat="false" ht="13.5" hidden="false" customHeight="false" outlineLevel="0" collapsed="false">
      <c r="A801" s="9" t="str">
        <f aca="false">IF($B801="","",ROW()-4)</f>
        <v/>
      </c>
      <c r="B801" s="39" t="str">
        <f aca="false">IFERROR(INDEX(对接源_01入库吨位!$B$5:$B$304,MATCH(INT((ROW()-5)/3)+1,对接源_01入库吨位!$S$5:$S$304,0)),"")</f>
        <v/>
      </c>
      <c r="C801" s="39" t="str">
        <f aca="false">IFERROR(INDEX(对接源_01入库吨位!$C$5:$C$304,MATCH(INT((ROW()-5)/3)+1,对接源_01入库吨位!$S$5:$S$304,0)),"")</f>
        <v/>
      </c>
      <c r="D801" s="40" t="str">
        <f aca="false">IF($B801="","",IF(MOD(ROW()-5,3)=0,"周转打冷",IF(MOD(ROW()-5,3)=1,"仓储加工","装卸费")))</f>
        <v/>
      </c>
      <c r="E801" s="51" t="str">
        <f aca="false">IF($B801="","",IFERROR(IF($D801="周转打冷",N(INDEX(对接源_01入库吨位!$D$5:$D$304,MATCH(INT((ROW()-5)/3)+1,对接源_01入库吨位!$S$5:$S$304,0))),IF($D801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1" s="41" t="str">
        <f aca="false">IF($B801="","",ROUND(IFERROR(IF($D801="周转打冷",N(INDEX(对接源_01入库吨位!$H$5:$H$304,MATCH(INT((ROW()-5)/3)+1,对接源_01入库吨位!$S$5:$S$304,0))),IF($D801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1" s="52" t="str">
        <f aca="false">IF($B801="","",ROUND(N($F801)/1000,3))</f>
        <v/>
      </c>
      <c r="H801" s="74"/>
      <c r="I801" s="44"/>
      <c r="J801" s="75" t="str">
        <f aca="false">IF($B801="","",IF($H801="按筐数×单价",N($E801),IF($H801="按总重KG×单价",N($F801),IF($H801="按吨位×单价",N($G801),0))))</f>
        <v/>
      </c>
      <c r="K801" s="41" t="str">
        <f aca="false">IF($B801="","",ROUND(N($J801)*N($I801),2))</f>
        <v/>
      </c>
      <c r="L801" s="42"/>
      <c r="M801" s="76"/>
      <c r="N801" s="43"/>
      <c r="R801" s="77" t="str">
        <f aca="false">IF($B801="","",$B801)</f>
        <v/>
      </c>
      <c r="S801" s="77" t="n">
        <f aca="false">IF($R801="",0,IF(MATCH($R801,$R$5:$R$904,0)=ROW()-4,1,0))</f>
        <v>0</v>
      </c>
      <c r="T801" s="77" t="n">
        <f aca="false">N(T800)+$S801</f>
        <v>18</v>
      </c>
    </row>
    <row r="802" customFormat="false" ht="13.5" hidden="false" customHeight="false" outlineLevel="0" collapsed="false">
      <c r="A802" s="9" t="str">
        <f aca="false">IF($B802="","",ROW()-4)</f>
        <v/>
      </c>
      <c r="B802" s="39" t="str">
        <f aca="false">IFERROR(INDEX(对接源_01入库吨位!$B$5:$B$304,MATCH(INT((ROW()-5)/3)+1,对接源_01入库吨位!$S$5:$S$304,0)),"")</f>
        <v/>
      </c>
      <c r="C802" s="39" t="str">
        <f aca="false">IFERROR(INDEX(对接源_01入库吨位!$C$5:$C$304,MATCH(INT((ROW()-5)/3)+1,对接源_01入库吨位!$S$5:$S$304,0)),"")</f>
        <v/>
      </c>
      <c r="D802" s="40" t="str">
        <f aca="false">IF($B802="","",IF(MOD(ROW()-5,3)=0,"周转打冷",IF(MOD(ROW()-5,3)=1,"仓储加工","装卸费")))</f>
        <v/>
      </c>
      <c r="E802" s="51" t="str">
        <f aca="false">IF($B802="","",IFERROR(IF($D802="周转打冷",N(INDEX(对接源_01入库吨位!$D$5:$D$304,MATCH(INT((ROW()-5)/3)+1,对接源_01入库吨位!$S$5:$S$304,0))),IF($D802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2" s="41" t="str">
        <f aca="false">IF($B802="","",ROUND(IFERROR(IF($D802="周转打冷",N(INDEX(对接源_01入库吨位!$H$5:$H$304,MATCH(INT((ROW()-5)/3)+1,对接源_01入库吨位!$S$5:$S$304,0))),IF($D802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2" s="52" t="str">
        <f aca="false">IF($B802="","",ROUND(N($F802)/1000,3))</f>
        <v/>
      </c>
      <c r="H802" s="74"/>
      <c r="I802" s="44"/>
      <c r="J802" s="75" t="str">
        <f aca="false">IF($B802="","",IF($H802="按筐数×单价",N($E802),IF($H802="按总重KG×单价",N($F802),IF($H802="按吨位×单价",N($G802),0))))</f>
        <v/>
      </c>
      <c r="K802" s="41" t="str">
        <f aca="false">IF($B802="","",ROUND(N($J802)*N($I802),2))</f>
        <v/>
      </c>
      <c r="L802" s="42"/>
      <c r="M802" s="76"/>
      <c r="N802" s="43"/>
      <c r="R802" s="77" t="str">
        <f aca="false">IF($B802="","",$B802)</f>
        <v/>
      </c>
      <c r="S802" s="77" t="n">
        <f aca="false">IF($R802="",0,IF(MATCH($R802,$R$5:$R$904,0)=ROW()-4,1,0))</f>
        <v>0</v>
      </c>
      <c r="T802" s="77" t="n">
        <f aca="false">N(T801)+$S802</f>
        <v>18</v>
      </c>
    </row>
    <row r="803" customFormat="false" ht="13.5" hidden="false" customHeight="false" outlineLevel="0" collapsed="false">
      <c r="A803" s="9" t="str">
        <f aca="false">IF($B803="","",ROW()-4)</f>
        <v/>
      </c>
      <c r="B803" s="39" t="str">
        <f aca="false">IFERROR(INDEX(对接源_01入库吨位!$B$5:$B$304,MATCH(INT((ROW()-5)/3)+1,对接源_01入库吨位!$S$5:$S$304,0)),"")</f>
        <v/>
      </c>
      <c r="C803" s="39" t="str">
        <f aca="false">IFERROR(INDEX(对接源_01入库吨位!$C$5:$C$304,MATCH(INT((ROW()-5)/3)+1,对接源_01入库吨位!$S$5:$S$304,0)),"")</f>
        <v/>
      </c>
      <c r="D803" s="40" t="str">
        <f aca="false">IF($B803="","",IF(MOD(ROW()-5,3)=0,"周转打冷",IF(MOD(ROW()-5,3)=1,"仓储加工","装卸费")))</f>
        <v/>
      </c>
      <c r="E803" s="51" t="str">
        <f aca="false">IF($B803="","",IFERROR(IF($D803="周转打冷",N(INDEX(对接源_01入库吨位!$D$5:$D$304,MATCH(INT((ROW()-5)/3)+1,对接源_01入库吨位!$S$5:$S$304,0))),IF($D803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3" s="41" t="str">
        <f aca="false">IF($B803="","",ROUND(IFERROR(IF($D803="周转打冷",N(INDEX(对接源_01入库吨位!$H$5:$H$304,MATCH(INT((ROW()-5)/3)+1,对接源_01入库吨位!$S$5:$S$304,0))),IF($D803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3" s="52" t="str">
        <f aca="false">IF($B803="","",ROUND(N($F803)/1000,3))</f>
        <v/>
      </c>
      <c r="H803" s="74"/>
      <c r="I803" s="44"/>
      <c r="J803" s="75" t="str">
        <f aca="false">IF($B803="","",IF($H803="按筐数×单价",N($E803),IF($H803="按总重KG×单价",N($F803),IF($H803="按吨位×单价",N($G803),0))))</f>
        <v/>
      </c>
      <c r="K803" s="41" t="str">
        <f aca="false">IF($B803="","",ROUND(N($J803)*N($I803),2))</f>
        <v/>
      </c>
      <c r="L803" s="42"/>
      <c r="M803" s="76"/>
      <c r="N803" s="43"/>
      <c r="R803" s="77" t="str">
        <f aca="false">IF($B803="","",$B803)</f>
        <v/>
      </c>
      <c r="S803" s="77" t="n">
        <f aca="false">IF($R803="",0,IF(MATCH($R803,$R$5:$R$904,0)=ROW()-4,1,0))</f>
        <v>0</v>
      </c>
      <c r="T803" s="77" t="n">
        <f aca="false">N(T802)+$S803</f>
        <v>18</v>
      </c>
    </row>
    <row r="804" customFormat="false" ht="13.5" hidden="false" customHeight="false" outlineLevel="0" collapsed="false">
      <c r="A804" s="9" t="str">
        <f aca="false">IF($B804="","",ROW()-4)</f>
        <v/>
      </c>
      <c r="B804" s="39" t="str">
        <f aca="false">IFERROR(INDEX(对接源_01入库吨位!$B$5:$B$304,MATCH(INT((ROW()-5)/3)+1,对接源_01入库吨位!$S$5:$S$304,0)),"")</f>
        <v/>
      </c>
      <c r="C804" s="39" t="str">
        <f aca="false">IFERROR(INDEX(对接源_01入库吨位!$C$5:$C$304,MATCH(INT((ROW()-5)/3)+1,对接源_01入库吨位!$S$5:$S$304,0)),"")</f>
        <v/>
      </c>
      <c r="D804" s="40" t="str">
        <f aca="false">IF($B804="","",IF(MOD(ROW()-5,3)=0,"周转打冷",IF(MOD(ROW()-5,3)=1,"仓储加工","装卸费")))</f>
        <v/>
      </c>
      <c r="E804" s="51" t="str">
        <f aca="false">IF($B804="","",IFERROR(IF($D804="周转打冷",N(INDEX(对接源_01入库吨位!$D$5:$D$304,MATCH(INT((ROW()-5)/3)+1,对接源_01入库吨位!$S$5:$S$304,0))),IF($D804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4" s="41" t="str">
        <f aca="false">IF($B804="","",ROUND(IFERROR(IF($D804="周转打冷",N(INDEX(对接源_01入库吨位!$H$5:$H$304,MATCH(INT((ROW()-5)/3)+1,对接源_01入库吨位!$S$5:$S$304,0))),IF($D804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4" s="52" t="str">
        <f aca="false">IF($B804="","",ROUND(N($F804)/1000,3))</f>
        <v/>
      </c>
      <c r="H804" s="74"/>
      <c r="I804" s="44"/>
      <c r="J804" s="75" t="str">
        <f aca="false">IF($B804="","",IF($H804="按筐数×单价",N($E804),IF($H804="按总重KG×单价",N($F804),IF($H804="按吨位×单价",N($G804),0))))</f>
        <v/>
      </c>
      <c r="K804" s="41" t="str">
        <f aca="false">IF($B804="","",ROUND(N($J804)*N($I804),2))</f>
        <v/>
      </c>
      <c r="L804" s="42"/>
      <c r="M804" s="76"/>
      <c r="N804" s="43"/>
      <c r="R804" s="77" t="str">
        <f aca="false">IF($B804="","",$B804)</f>
        <v/>
      </c>
      <c r="S804" s="77" t="n">
        <f aca="false">IF($R804="",0,IF(MATCH($R804,$R$5:$R$904,0)=ROW()-4,1,0))</f>
        <v>0</v>
      </c>
      <c r="T804" s="77" t="n">
        <f aca="false">N(T803)+$S804</f>
        <v>18</v>
      </c>
    </row>
    <row r="805" customFormat="false" ht="13.5" hidden="false" customHeight="false" outlineLevel="0" collapsed="false">
      <c r="A805" s="9" t="str">
        <f aca="false">IF($B805="","",ROW()-4)</f>
        <v/>
      </c>
      <c r="B805" s="39" t="str">
        <f aca="false">IFERROR(INDEX(对接源_01入库吨位!$B$5:$B$304,MATCH(INT((ROW()-5)/3)+1,对接源_01入库吨位!$S$5:$S$304,0)),"")</f>
        <v/>
      </c>
      <c r="C805" s="39" t="str">
        <f aca="false">IFERROR(INDEX(对接源_01入库吨位!$C$5:$C$304,MATCH(INT((ROW()-5)/3)+1,对接源_01入库吨位!$S$5:$S$304,0)),"")</f>
        <v/>
      </c>
      <c r="D805" s="40" t="str">
        <f aca="false">IF($B805="","",IF(MOD(ROW()-5,3)=0,"周转打冷",IF(MOD(ROW()-5,3)=1,"仓储加工","装卸费")))</f>
        <v/>
      </c>
      <c r="E805" s="51" t="str">
        <f aca="false">IF($B805="","",IFERROR(IF($D805="周转打冷",N(INDEX(对接源_01入库吨位!$D$5:$D$304,MATCH(INT((ROW()-5)/3)+1,对接源_01入库吨位!$S$5:$S$304,0))),IF($D805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5" s="41" t="str">
        <f aca="false">IF($B805="","",ROUND(IFERROR(IF($D805="周转打冷",N(INDEX(对接源_01入库吨位!$H$5:$H$304,MATCH(INT((ROW()-5)/3)+1,对接源_01入库吨位!$S$5:$S$304,0))),IF($D805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5" s="52" t="str">
        <f aca="false">IF($B805="","",ROUND(N($F805)/1000,3))</f>
        <v/>
      </c>
      <c r="H805" s="74"/>
      <c r="I805" s="44"/>
      <c r="J805" s="75" t="str">
        <f aca="false">IF($B805="","",IF($H805="按筐数×单价",N($E805),IF($H805="按总重KG×单价",N($F805),IF($H805="按吨位×单价",N($G805),0))))</f>
        <v/>
      </c>
      <c r="K805" s="41" t="str">
        <f aca="false">IF($B805="","",ROUND(N($J805)*N($I805),2))</f>
        <v/>
      </c>
      <c r="L805" s="42"/>
      <c r="M805" s="76"/>
      <c r="N805" s="43"/>
      <c r="R805" s="77" t="str">
        <f aca="false">IF($B805="","",$B805)</f>
        <v/>
      </c>
      <c r="S805" s="77" t="n">
        <f aca="false">IF($R805="",0,IF(MATCH($R805,$R$5:$R$904,0)=ROW()-4,1,0))</f>
        <v>0</v>
      </c>
      <c r="T805" s="77" t="n">
        <f aca="false">N(T804)+$S805</f>
        <v>18</v>
      </c>
    </row>
    <row r="806" customFormat="false" ht="13.5" hidden="false" customHeight="false" outlineLevel="0" collapsed="false">
      <c r="A806" s="9" t="str">
        <f aca="false">IF($B806="","",ROW()-4)</f>
        <v/>
      </c>
      <c r="B806" s="39" t="str">
        <f aca="false">IFERROR(INDEX(对接源_01入库吨位!$B$5:$B$304,MATCH(INT((ROW()-5)/3)+1,对接源_01入库吨位!$S$5:$S$304,0)),"")</f>
        <v/>
      </c>
      <c r="C806" s="39" t="str">
        <f aca="false">IFERROR(INDEX(对接源_01入库吨位!$C$5:$C$304,MATCH(INT((ROW()-5)/3)+1,对接源_01入库吨位!$S$5:$S$304,0)),"")</f>
        <v/>
      </c>
      <c r="D806" s="40" t="str">
        <f aca="false">IF($B806="","",IF(MOD(ROW()-5,3)=0,"周转打冷",IF(MOD(ROW()-5,3)=1,"仓储加工","装卸费")))</f>
        <v/>
      </c>
      <c r="E806" s="51" t="str">
        <f aca="false">IF($B806="","",IFERROR(IF($D806="周转打冷",N(INDEX(对接源_01入库吨位!$D$5:$D$304,MATCH(INT((ROW()-5)/3)+1,对接源_01入库吨位!$S$5:$S$304,0))),IF($D806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6" s="41" t="str">
        <f aca="false">IF($B806="","",ROUND(IFERROR(IF($D806="周转打冷",N(INDEX(对接源_01入库吨位!$H$5:$H$304,MATCH(INT((ROW()-5)/3)+1,对接源_01入库吨位!$S$5:$S$304,0))),IF($D806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6" s="52" t="str">
        <f aca="false">IF($B806="","",ROUND(N($F806)/1000,3))</f>
        <v/>
      </c>
      <c r="H806" s="74"/>
      <c r="I806" s="44"/>
      <c r="J806" s="75" t="str">
        <f aca="false">IF($B806="","",IF($H806="按筐数×单价",N($E806),IF($H806="按总重KG×单价",N($F806),IF($H806="按吨位×单价",N($G806),0))))</f>
        <v/>
      </c>
      <c r="K806" s="41" t="str">
        <f aca="false">IF($B806="","",ROUND(N($J806)*N($I806),2))</f>
        <v/>
      </c>
      <c r="L806" s="42"/>
      <c r="M806" s="76"/>
      <c r="N806" s="43"/>
      <c r="R806" s="77" t="str">
        <f aca="false">IF($B806="","",$B806)</f>
        <v/>
      </c>
      <c r="S806" s="77" t="n">
        <f aca="false">IF($R806="",0,IF(MATCH($R806,$R$5:$R$904,0)=ROW()-4,1,0))</f>
        <v>0</v>
      </c>
      <c r="T806" s="77" t="n">
        <f aca="false">N(T805)+$S806</f>
        <v>18</v>
      </c>
    </row>
    <row r="807" customFormat="false" ht="13.5" hidden="false" customHeight="false" outlineLevel="0" collapsed="false">
      <c r="A807" s="9" t="str">
        <f aca="false">IF($B807="","",ROW()-4)</f>
        <v/>
      </c>
      <c r="B807" s="39" t="str">
        <f aca="false">IFERROR(INDEX(对接源_01入库吨位!$B$5:$B$304,MATCH(INT((ROW()-5)/3)+1,对接源_01入库吨位!$S$5:$S$304,0)),"")</f>
        <v/>
      </c>
      <c r="C807" s="39" t="str">
        <f aca="false">IFERROR(INDEX(对接源_01入库吨位!$C$5:$C$304,MATCH(INT((ROW()-5)/3)+1,对接源_01入库吨位!$S$5:$S$304,0)),"")</f>
        <v/>
      </c>
      <c r="D807" s="40" t="str">
        <f aca="false">IF($B807="","",IF(MOD(ROW()-5,3)=0,"周转打冷",IF(MOD(ROW()-5,3)=1,"仓储加工","装卸费")))</f>
        <v/>
      </c>
      <c r="E807" s="51" t="str">
        <f aca="false">IF($B807="","",IFERROR(IF($D807="周转打冷",N(INDEX(对接源_01入库吨位!$D$5:$D$304,MATCH(INT((ROW()-5)/3)+1,对接源_01入库吨位!$S$5:$S$304,0))),IF($D807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7" s="41" t="str">
        <f aca="false">IF($B807="","",ROUND(IFERROR(IF($D807="周转打冷",N(INDEX(对接源_01入库吨位!$H$5:$H$304,MATCH(INT((ROW()-5)/3)+1,对接源_01入库吨位!$S$5:$S$304,0))),IF($D807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7" s="52" t="str">
        <f aca="false">IF($B807="","",ROUND(N($F807)/1000,3))</f>
        <v/>
      </c>
      <c r="H807" s="74"/>
      <c r="I807" s="44"/>
      <c r="J807" s="75" t="str">
        <f aca="false">IF($B807="","",IF($H807="按筐数×单价",N($E807),IF($H807="按总重KG×单价",N($F807),IF($H807="按吨位×单价",N($G807),0))))</f>
        <v/>
      </c>
      <c r="K807" s="41" t="str">
        <f aca="false">IF($B807="","",ROUND(N($J807)*N($I807),2))</f>
        <v/>
      </c>
      <c r="L807" s="42"/>
      <c r="M807" s="76"/>
      <c r="N807" s="43"/>
      <c r="R807" s="77" t="str">
        <f aca="false">IF($B807="","",$B807)</f>
        <v/>
      </c>
      <c r="S807" s="77" t="n">
        <f aca="false">IF($R807="",0,IF(MATCH($R807,$R$5:$R$904,0)=ROW()-4,1,0))</f>
        <v>0</v>
      </c>
      <c r="T807" s="77" t="n">
        <f aca="false">N(T806)+$S807</f>
        <v>18</v>
      </c>
    </row>
    <row r="808" customFormat="false" ht="13.5" hidden="false" customHeight="false" outlineLevel="0" collapsed="false">
      <c r="A808" s="9" t="str">
        <f aca="false">IF($B808="","",ROW()-4)</f>
        <v/>
      </c>
      <c r="B808" s="39" t="str">
        <f aca="false">IFERROR(INDEX(对接源_01入库吨位!$B$5:$B$304,MATCH(INT((ROW()-5)/3)+1,对接源_01入库吨位!$S$5:$S$304,0)),"")</f>
        <v/>
      </c>
      <c r="C808" s="39" t="str">
        <f aca="false">IFERROR(INDEX(对接源_01入库吨位!$C$5:$C$304,MATCH(INT((ROW()-5)/3)+1,对接源_01入库吨位!$S$5:$S$304,0)),"")</f>
        <v/>
      </c>
      <c r="D808" s="40" t="str">
        <f aca="false">IF($B808="","",IF(MOD(ROW()-5,3)=0,"周转打冷",IF(MOD(ROW()-5,3)=1,"仓储加工","装卸费")))</f>
        <v/>
      </c>
      <c r="E808" s="51" t="str">
        <f aca="false">IF($B808="","",IFERROR(IF($D808="周转打冷",N(INDEX(对接源_01入库吨位!$D$5:$D$304,MATCH(INT((ROW()-5)/3)+1,对接源_01入库吨位!$S$5:$S$304,0))),IF($D808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8" s="41" t="str">
        <f aca="false">IF($B808="","",ROUND(IFERROR(IF($D808="周转打冷",N(INDEX(对接源_01入库吨位!$H$5:$H$304,MATCH(INT((ROW()-5)/3)+1,对接源_01入库吨位!$S$5:$S$304,0))),IF($D808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8" s="52" t="str">
        <f aca="false">IF($B808="","",ROUND(N($F808)/1000,3))</f>
        <v/>
      </c>
      <c r="H808" s="74"/>
      <c r="I808" s="44"/>
      <c r="J808" s="75" t="str">
        <f aca="false">IF($B808="","",IF($H808="按筐数×单价",N($E808),IF($H808="按总重KG×单价",N($F808),IF($H808="按吨位×单价",N($G808),0))))</f>
        <v/>
      </c>
      <c r="K808" s="41" t="str">
        <f aca="false">IF($B808="","",ROUND(N($J808)*N($I808),2))</f>
        <v/>
      </c>
      <c r="L808" s="42"/>
      <c r="M808" s="76"/>
      <c r="N808" s="43"/>
      <c r="R808" s="77" t="str">
        <f aca="false">IF($B808="","",$B808)</f>
        <v/>
      </c>
      <c r="S808" s="77" t="n">
        <f aca="false">IF($R808="",0,IF(MATCH($R808,$R$5:$R$904,0)=ROW()-4,1,0))</f>
        <v>0</v>
      </c>
      <c r="T808" s="77" t="n">
        <f aca="false">N(T807)+$S808</f>
        <v>18</v>
      </c>
    </row>
    <row r="809" customFormat="false" ht="13.5" hidden="false" customHeight="false" outlineLevel="0" collapsed="false">
      <c r="A809" s="9" t="str">
        <f aca="false">IF($B809="","",ROW()-4)</f>
        <v/>
      </c>
      <c r="B809" s="39" t="str">
        <f aca="false">IFERROR(INDEX(对接源_01入库吨位!$B$5:$B$304,MATCH(INT((ROW()-5)/3)+1,对接源_01入库吨位!$S$5:$S$304,0)),"")</f>
        <v/>
      </c>
      <c r="C809" s="39" t="str">
        <f aca="false">IFERROR(INDEX(对接源_01入库吨位!$C$5:$C$304,MATCH(INT((ROW()-5)/3)+1,对接源_01入库吨位!$S$5:$S$304,0)),"")</f>
        <v/>
      </c>
      <c r="D809" s="40" t="str">
        <f aca="false">IF($B809="","",IF(MOD(ROW()-5,3)=0,"周转打冷",IF(MOD(ROW()-5,3)=1,"仓储加工","装卸费")))</f>
        <v/>
      </c>
      <c r="E809" s="51" t="str">
        <f aca="false">IF($B809="","",IFERROR(IF($D809="周转打冷",N(INDEX(对接源_01入库吨位!$D$5:$D$304,MATCH(INT((ROW()-5)/3)+1,对接源_01入库吨位!$S$5:$S$304,0))),IF($D809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09" s="41" t="str">
        <f aca="false">IF($B809="","",ROUND(IFERROR(IF($D809="周转打冷",N(INDEX(对接源_01入库吨位!$H$5:$H$304,MATCH(INT((ROW()-5)/3)+1,对接源_01入库吨位!$S$5:$S$304,0))),IF($D809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09" s="52" t="str">
        <f aca="false">IF($B809="","",ROUND(N($F809)/1000,3))</f>
        <v/>
      </c>
      <c r="H809" s="74"/>
      <c r="I809" s="44"/>
      <c r="J809" s="75" t="str">
        <f aca="false">IF($B809="","",IF($H809="按筐数×单价",N($E809),IF($H809="按总重KG×单价",N($F809),IF($H809="按吨位×单价",N($G809),0))))</f>
        <v/>
      </c>
      <c r="K809" s="41" t="str">
        <f aca="false">IF($B809="","",ROUND(N($J809)*N($I809),2))</f>
        <v/>
      </c>
      <c r="L809" s="42"/>
      <c r="M809" s="76"/>
      <c r="N809" s="43"/>
      <c r="R809" s="77" t="str">
        <f aca="false">IF($B809="","",$B809)</f>
        <v/>
      </c>
      <c r="S809" s="77" t="n">
        <f aca="false">IF($R809="",0,IF(MATCH($R809,$R$5:$R$904,0)=ROW()-4,1,0))</f>
        <v>0</v>
      </c>
      <c r="T809" s="77" t="n">
        <f aca="false">N(T808)+$S809</f>
        <v>18</v>
      </c>
    </row>
    <row r="810" customFormat="false" ht="13.5" hidden="false" customHeight="false" outlineLevel="0" collapsed="false">
      <c r="A810" s="9" t="str">
        <f aca="false">IF($B810="","",ROW()-4)</f>
        <v/>
      </c>
      <c r="B810" s="39" t="str">
        <f aca="false">IFERROR(INDEX(对接源_01入库吨位!$B$5:$B$304,MATCH(INT((ROW()-5)/3)+1,对接源_01入库吨位!$S$5:$S$304,0)),"")</f>
        <v/>
      </c>
      <c r="C810" s="39" t="str">
        <f aca="false">IFERROR(INDEX(对接源_01入库吨位!$C$5:$C$304,MATCH(INT((ROW()-5)/3)+1,对接源_01入库吨位!$S$5:$S$304,0)),"")</f>
        <v/>
      </c>
      <c r="D810" s="40" t="str">
        <f aca="false">IF($B810="","",IF(MOD(ROW()-5,3)=0,"周转打冷",IF(MOD(ROW()-5,3)=1,"仓储加工","装卸费")))</f>
        <v/>
      </c>
      <c r="E810" s="51" t="str">
        <f aca="false">IF($B810="","",IFERROR(IF($D810="周转打冷",N(INDEX(对接源_01入库吨位!$D$5:$D$304,MATCH(INT((ROW()-5)/3)+1,对接源_01入库吨位!$S$5:$S$304,0))),IF($D810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0" s="41" t="str">
        <f aca="false">IF($B810="","",ROUND(IFERROR(IF($D810="周转打冷",N(INDEX(对接源_01入库吨位!$H$5:$H$304,MATCH(INT((ROW()-5)/3)+1,对接源_01入库吨位!$S$5:$S$304,0))),IF($D810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0" s="52" t="str">
        <f aca="false">IF($B810="","",ROUND(N($F810)/1000,3))</f>
        <v/>
      </c>
      <c r="H810" s="74"/>
      <c r="I810" s="44"/>
      <c r="J810" s="75" t="str">
        <f aca="false">IF($B810="","",IF($H810="按筐数×单价",N($E810),IF($H810="按总重KG×单价",N($F810),IF($H810="按吨位×单价",N($G810),0))))</f>
        <v/>
      </c>
      <c r="K810" s="41" t="str">
        <f aca="false">IF($B810="","",ROUND(N($J810)*N($I810),2))</f>
        <v/>
      </c>
      <c r="L810" s="42"/>
      <c r="M810" s="76"/>
      <c r="N810" s="43"/>
      <c r="R810" s="77" t="str">
        <f aca="false">IF($B810="","",$B810)</f>
        <v/>
      </c>
      <c r="S810" s="77" t="n">
        <f aca="false">IF($R810="",0,IF(MATCH($R810,$R$5:$R$904,0)=ROW()-4,1,0))</f>
        <v>0</v>
      </c>
      <c r="T810" s="77" t="n">
        <f aca="false">N(T809)+$S810</f>
        <v>18</v>
      </c>
    </row>
    <row r="811" customFormat="false" ht="13.5" hidden="false" customHeight="false" outlineLevel="0" collapsed="false">
      <c r="A811" s="9" t="str">
        <f aca="false">IF($B811="","",ROW()-4)</f>
        <v/>
      </c>
      <c r="B811" s="39" t="str">
        <f aca="false">IFERROR(INDEX(对接源_01入库吨位!$B$5:$B$304,MATCH(INT((ROW()-5)/3)+1,对接源_01入库吨位!$S$5:$S$304,0)),"")</f>
        <v/>
      </c>
      <c r="C811" s="39" t="str">
        <f aca="false">IFERROR(INDEX(对接源_01入库吨位!$C$5:$C$304,MATCH(INT((ROW()-5)/3)+1,对接源_01入库吨位!$S$5:$S$304,0)),"")</f>
        <v/>
      </c>
      <c r="D811" s="40" t="str">
        <f aca="false">IF($B811="","",IF(MOD(ROW()-5,3)=0,"周转打冷",IF(MOD(ROW()-5,3)=1,"仓储加工","装卸费")))</f>
        <v/>
      </c>
      <c r="E811" s="51" t="str">
        <f aca="false">IF($B811="","",IFERROR(IF($D811="周转打冷",N(INDEX(对接源_01入库吨位!$D$5:$D$304,MATCH(INT((ROW()-5)/3)+1,对接源_01入库吨位!$S$5:$S$304,0))),IF($D811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1" s="41" t="str">
        <f aca="false">IF($B811="","",ROUND(IFERROR(IF($D811="周转打冷",N(INDEX(对接源_01入库吨位!$H$5:$H$304,MATCH(INT((ROW()-5)/3)+1,对接源_01入库吨位!$S$5:$S$304,0))),IF($D811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1" s="52" t="str">
        <f aca="false">IF($B811="","",ROUND(N($F811)/1000,3))</f>
        <v/>
      </c>
      <c r="H811" s="74"/>
      <c r="I811" s="44"/>
      <c r="J811" s="75" t="str">
        <f aca="false">IF($B811="","",IF($H811="按筐数×单价",N($E811),IF($H811="按总重KG×单价",N($F811),IF($H811="按吨位×单价",N($G811),0))))</f>
        <v/>
      </c>
      <c r="K811" s="41" t="str">
        <f aca="false">IF($B811="","",ROUND(N($J811)*N($I811),2))</f>
        <v/>
      </c>
      <c r="L811" s="42"/>
      <c r="M811" s="76"/>
      <c r="N811" s="43"/>
      <c r="R811" s="77" t="str">
        <f aca="false">IF($B811="","",$B811)</f>
        <v/>
      </c>
      <c r="S811" s="77" t="n">
        <f aca="false">IF($R811="",0,IF(MATCH($R811,$R$5:$R$904,0)=ROW()-4,1,0))</f>
        <v>0</v>
      </c>
      <c r="T811" s="77" t="n">
        <f aca="false">N(T810)+$S811</f>
        <v>18</v>
      </c>
    </row>
    <row r="812" customFormat="false" ht="13.5" hidden="false" customHeight="false" outlineLevel="0" collapsed="false">
      <c r="A812" s="9" t="str">
        <f aca="false">IF($B812="","",ROW()-4)</f>
        <v/>
      </c>
      <c r="B812" s="39" t="str">
        <f aca="false">IFERROR(INDEX(对接源_01入库吨位!$B$5:$B$304,MATCH(INT((ROW()-5)/3)+1,对接源_01入库吨位!$S$5:$S$304,0)),"")</f>
        <v/>
      </c>
      <c r="C812" s="39" t="str">
        <f aca="false">IFERROR(INDEX(对接源_01入库吨位!$C$5:$C$304,MATCH(INT((ROW()-5)/3)+1,对接源_01入库吨位!$S$5:$S$304,0)),"")</f>
        <v/>
      </c>
      <c r="D812" s="40" t="str">
        <f aca="false">IF($B812="","",IF(MOD(ROW()-5,3)=0,"周转打冷",IF(MOD(ROW()-5,3)=1,"仓储加工","装卸费")))</f>
        <v/>
      </c>
      <c r="E812" s="51" t="str">
        <f aca="false">IF($B812="","",IFERROR(IF($D812="周转打冷",N(INDEX(对接源_01入库吨位!$D$5:$D$304,MATCH(INT((ROW()-5)/3)+1,对接源_01入库吨位!$S$5:$S$304,0))),IF($D812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2" s="41" t="str">
        <f aca="false">IF($B812="","",ROUND(IFERROR(IF($D812="周转打冷",N(INDEX(对接源_01入库吨位!$H$5:$H$304,MATCH(INT((ROW()-5)/3)+1,对接源_01入库吨位!$S$5:$S$304,0))),IF($D812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2" s="52" t="str">
        <f aca="false">IF($B812="","",ROUND(N($F812)/1000,3))</f>
        <v/>
      </c>
      <c r="H812" s="74"/>
      <c r="I812" s="44"/>
      <c r="J812" s="75" t="str">
        <f aca="false">IF($B812="","",IF($H812="按筐数×单价",N($E812),IF($H812="按总重KG×单价",N($F812),IF($H812="按吨位×单价",N($G812),0))))</f>
        <v/>
      </c>
      <c r="K812" s="41" t="str">
        <f aca="false">IF($B812="","",ROUND(N($J812)*N($I812),2))</f>
        <v/>
      </c>
      <c r="L812" s="42"/>
      <c r="M812" s="76"/>
      <c r="N812" s="43"/>
      <c r="R812" s="77" t="str">
        <f aca="false">IF($B812="","",$B812)</f>
        <v/>
      </c>
      <c r="S812" s="77" t="n">
        <f aca="false">IF($R812="",0,IF(MATCH($R812,$R$5:$R$904,0)=ROW()-4,1,0))</f>
        <v>0</v>
      </c>
      <c r="T812" s="77" t="n">
        <f aca="false">N(T811)+$S812</f>
        <v>18</v>
      </c>
    </row>
    <row r="813" customFormat="false" ht="13.5" hidden="false" customHeight="false" outlineLevel="0" collapsed="false">
      <c r="A813" s="9" t="str">
        <f aca="false">IF($B813="","",ROW()-4)</f>
        <v/>
      </c>
      <c r="B813" s="39" t="str">
        <f aca="false">IFERROR(INDEX(对接源_01入库吨位!$B$5:$B$304,MATCH(INT((ROW()-5)/3)+1,对接源_01入库吨位!$S$5:$S$304,0)),"")</f>
        <v/>
      </c>
      <c r="C813" s="39" t="str">
        <f aca="false">IFERROR(INDEX(对接源_01入库吨位!$C$5:$C$304,MATCH(INT((ROW()-5)/3)+1,对接源_01入库吨位!$S$5:$S$304,0)),"")</f>
        <v/>
      </c>
      <c r="D813" s="40" t="str">
        <f aca="false">IF($B813="","",IF(MOD(ROW()-5,3)=0,"周转打冷",IF(MOD(ROW()-5,3)=1,"仓储加工","装卸费")))</f>
        <v/>
      </c>
      <c r="E813" s="51" t="str">
        <f aca="false">IF($B813="","",IFERROR(IF($D813="周转打冷",N(INDEX(对接源_01入库吨位!$D$5:$D$304,MATCH(INT((ROW()-5)/3)+1,对接源_01入库吨位!$S$5:$S$304,0))),IF($D813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3" s="41" t="str">
        <f aca="false">IF($B813="","",ROUND(IFERROR(IF($D813="周转打冷",N(INDEX(对接源_01入库吨位!$H$5:$H$304,MATCH(INT((ROW()-5)/3)+1,对接源_01入库吨位!$S$5:$S$304,0))),IF($D813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3" s="52" t="str">
        <f aca="false">IF($B813="","",ROUND(N($F813)/1000,3))</f>
        <v/>
      </c>
      <c r="H813" s="74"/>
      <c r="I813" s="44"/>
      <c r="J813" s="75" t="str">
        <f aca="false">IF($B813="","",IF($H813="按筐数×单价",N($E813),IF($H813="按总重KG×单价",N($F813),IF($H813="按吨位×单价",N($G813),0))))</f>
        <v/>
      </c>
      <c r="K813" s="41" t="str">
        <f aca="false">IF($B813="","",ROUND(N($J813)*N($I813),2))</f>
        <v/>
      </c>
      <c r="L813" s="42"/>
      <c r="M813" s="76"/>
      <c r="N813" s="43"/>
      <c r="R813" s="77" t="str">
        <f aca="false">IF($B813="","",$B813)</f>
        <v/>
      </c>
      <c r="S813" s="77" t="n">
        <f aca="false">IF($R813="",0,IF(MATCH($R813,$R$5:$R$904,0)=ROW()-4,1,0))</f>
        <v>0</v>
      </c>
      <c r="T813" s="77" t="n">
        <f aca="false">N(T812)+$S813</f>
        <v>18</v>
      </c>
    </row>
    <row r="814" customFormat="false" ht="13.5" hidden="false" customHeight="false" outlineLevel="0" collapsed="false">
      <c r="A814" s="9" t="str">
        <f aca="false">IF($B814="","",ROW()-4)</f>
        <v/>
      </c>
      <c r="B814" s="39" t="str">
        <f aca="false">IFERROR(INDEX(对接源_01入库吨位!$B$5:$B$304,MATCH(INT((ROW()-5)/3)+1,对接源_01入库吨位!$S$5:$S$304,0)),"")</f>
        <v/>
      </c>
      <c r="C814" s="39" t="str">
        <f aca="false">IFERROR(INDEX(对接源_01入库吨位!$C$5:$C$304,MATCH(INT((ROW()-5)/3)+1,对接源_01入库吨位!$S$5:$S$304,0)),"")</f>
        <v/>
      </c>
      <c r="D814" s="40" t="str">
        <f aca="false">IF($B814="","",IF(MOD(ROW()-5,3)=0,"周转打冷",IF(MOD(ROW()-5,3)=1,"仓储加工","装卸费")))</f>
        <v/>
      </c>
      <c r="E814" s="51" t="str">
        <f aca="false">IF($B814="","",IFERROR(IF($D814="周转打冷",N(INDEX(对接源_01入库吨位!$D$5:$D$304,MATCH(INT((ROW()-5)/3)+1,对接源_01入库吨位!$S$5:$S$304,0))),IF($D814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4" s="41" t="str">
        <f aca="false">IF($B814="","",ROUND(IFERROR(IF($D814="周转打冷",N(INDEX(对接源_01入库吨位!$H$5:$H$304,MATCH(INT((ROW()-5)/3)+1,对接源_01入库吨位!$S$5:$S$304,0))),IF($D814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4" s="52" t="str">
        <f aca="false">IF($B814="","",ROUND(N($F814)/1000,3))</f>
        <v/>
      </c>
      <c r="H814" s="74"/>
      <c r="I814" s="44"/>
      <c r="J814" s="75" t="str">
        <f aca="false">IF($B814="","",IF($H814="按筐数×单价",N($E814),IF($H814="按总重KG×单价",N($F814),IF($H814="按吨位×单价",N($G814),0))))</f>
        <v/>
      </c>
      <c r="K814" s="41" t="str">
        <f aca="false">IF($B814="","",ROUND(N($J814)*N($I814),2))</f>
        <v/>
      </c>
      <c r="L814" s="42"/>
      <c r="M814" s="76"/>
      <c r="N814" s="43"/>
      <c r="R814" s="77" t="str">
        <f aca="false">IF($B814="","",$B814)</f>
        <v/>
      </c>
      <c r="S814" s="77" t="n">
        <f aca="false">IF($R814="",0,IF(MATCH($R814,$R$5:$R$904,0)=ROW()-4,1,0))</f>
        <v>0</v>
      </c>
      <c r="T814" s="77" t="n">
        <f aca="false">N(T813)+$S814</f>
        <v>18</v>
      </c>
    </row>
    <row r="815" customFormat="false" ht="13.5" hidden="false" customHeight="false" outlineLevel="0" collapsed="false">
      <c r="A815" s="9" t="str">
        <f aca="false">IF($B815="","",ROW()-4)</f>
        <v/>
      </c>
      <c r="B815" s="39" t="str">
        <f aca="false">IFERROR(INDEX(对接源_01入库吨位!$B$5:$B$304,MATCH(INT((ROW()-5)/3)+1,对接源_01入库吨位!$S$5:$S$304,0)),"")</f>
        <v/>
      </c>
      <c r="C815" s="39" t="str">
        <f aca="false">IFERROR(INDEX(对接源_01入库吨位!$C$5:$C$304,MATCH(INT((ROW()-5)/3)+1,对接源_01入库吨位!$S$5:$S$304,0)),"")</f>
        <v/>
      </c>
      <c r="D815" s="40" t="str">
        <f aca="false">IF($B815="","",IF(MOD(ROW()-5,3)=0,"周转打冷",IF(MOD(ROW()-5,3)=1,"仓储加工","装卸费")))</f>
        <v/>
      </c>
      <c r="E815" s="51" t="str">
        <f aca="false">IF($B815="","",IFERROR(IF($D815="周转打冷",N(INDEX(对接源_01入库吨位!$D$5:$D$304,MATCH(INT((ROW()-5)/3)+1,对接源_01入库吨位!$S$5:$S$304,0))),IF($D815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5" s="41" t="str">
        <f aca="false">IF($B815="","",ROUND(IFERROR(IF($D815="周转打冷",N(INDEX(对接源_01入库吨位!$H$5:$H$304,MATCH(INT((ROW()-5)/3)+1,对接源_01入库吨位!$S$5:$S$304,0))),IF($D815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5" s="52" t="str">
        <f aca="false">IF($B815="","",ROUND(N($F815)/1000,3))</f>
        <v/>
      </c>
      <c r="H815" s="74"/>
      <c r="I815" s="44"/>
      <c r="J815" s="75" t="str">
        <f aca="false">IF($B815="","",IF($H815="按筐数×单价",N($E815),IF($H815="按总重KG×单价",N($F815),IF($H815="按吨位×单价",N($G815),0))))</f>
        <v/>
      </c>
      <c r="K815" s="41" t="str">
        <f aca="false">IF($B815="","",ROUND(N($J815)*N($I815),2))</f>
        <v/>
      </c>
      <c r="L815" s="42"/>
      <c r="M815" s="76"/>
      <c r="N815" s="43"/>
      <c r="R815" s="77" t="str">
        <f aca="false">IF($B815="","",$B815)</f>
        <v/>
      </c>
      <c r="S815" s="77" t="n">
        <f aca="false">IF($R815="",0,IF(MATCH($R815,$R$5:$R$904,0)=ROW()-4,1,0))</f>
        <v>0</v>
      </c>
      <c r="T815" s="77" t="n">
        <f aca="false">N(T814)+$S815</f>
        <v>18</v>
      </c>
    </row>
    <row r="816" customFormat="false" ht="13.5" hidden="false" customHeight="false" outlineLevel="0" collapsed="false">
      <c r="A816" s="9" t="str">
        <f aca="false">IF($B816="","",ROW()-4)</f>
        <v/>
      </c>
      <c r="B816" s="39" t="str">
        <f aca="false">IFERROR(INDEX(对接源_01入库吨位!$B$5:$B$304,MATCH(INT((ROW()-5)/3)+1,对接源_01入库吨位!$S$5:$S$304,0)),"")</f>
        <v/>
      </c>
      <c r="C816" s="39" t="str">
        <f aca="false">IFERROR(INDEX(对接源_01入库吨位!$C$5:$C$304,MATCH(INT((ROW()-5)/3)+1,对接源_01入库吨位!$S$5:$S$304,0)),"")</f>
        <v/>
      </c>
      <c r="D816" s="40" t="str">
        <f aca="false">IF($B816="","",IF(MOD(ROW()-5,3)=0,"周转打冷",IF(MOD(ROW()-5,3)=1,"仓储加工","装卸费")))</f>
        <v/>
      </c>
      <c r="E816" s="51" t="str">
        <f aca="false">IF($B816="","",IFERROR(IF($D816="周转打冷",N(INDEX(对接源_01入库吨位!$D$5:$D$304,MATCH(INT((ROW()-5)/3)+1,对接源_01入库吨位!$S$5:$S$304,0))),IF($D816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6" s="41" t="str">
        <f aca="false">IF($B816="","",ROUND(IFERROR(IF($D816="周转打冷",N(INDEX(对接源_01入库吨位!$H$5:$H$304,MATCH(INT((ROW()-5)/3)+1,对接源_01入库吨位!$S$5:$S$304,0))),IF($D816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6" s="52" t="str">
        <f aca="false">IF($B816="","",ROUND(N($F816)/1000,3))</f>
        <v/>
      </c>
      <c r="H816" s="74"/>
      <c r="I816" s="44"/>
      <c r="J816" s="75" t="str">
        <f aca="false">IF($B816="","",IF($H816="按筐数×单价",N($E816),IF($H816="按总重KG×单价",N($F816),IF($H816="按吨位×单价",N($G816),0))))</f>
        <v/>
      </c>
      <c r="K816" s="41" t="str">
        <f aca="false">IF($B816="","",ROUND(N($J816)*N($I816),2))</f>
        <v/>
      </c>
      <c r="L816" s="42"/>
      <c r="M816" s="76"/>
      <c r="N816" s="43"/>
      <c r="R816" s="77" t="str">
        <f aca="false">IF($B816="","",$B816)</f>
        <v/>
      </c>
      <c r="S816" s="77" t="n">
        <f aca="false">IF($R816="",0,IF(MATCH($R816,$R$5:$R$904,0)=ROW()-4,1,0))</f>
        <v>0</v>
      </c>
      <c r="T816" s="77" t="n">
        <f aca="false">N(T815)+$S816</f>
        <v>18</v>
      </c>
    </row>
    <row r="817" customFormat="false" ht="13.5" hidden="false" customHeight="false" outlineLevel="0" collapsed="false">
      <c r="A817" s="9" t="str">
        <f aca="false">IF($B817="","",ROW()-4)</f>
        <v/>
      </c>
      <c r="B817" s="39" t="str">
        <f aca="false">IFERROR(INDEX(对接源_01入库吨位!$B$5:$B$304,MATCH(INT((ROW()-5)/3)+1,对接源_01入库吨位!$S$5:$S$304,0)),"")</f>
        <v/>
      </c>
      <c r="C817" s="39" t="str">
        <f aca="false">IFERROR(INDEX(对接源_01入库吨位!$C$5:$C$304,MATCH(INT((ROW()-5)/3)+1,对接源_01入库吨位!$S$5:$S$304,0)),"")</f>
        <v/>
      </c>
      <c r="D817" s="40" t="str">
        <f aca="false">IF($B817="","",IF(MOD(ROW()-5,3)=0,"周转打冷",IF(MOD(ROW()-5,3)=1,"仓储加工","装卸费")))</f>
        <v/>
      </c>
      <c r="E817" s="51" t="str">
        <f aca="false">IF($B817="","",IFERROR(IF($D817="周转打冷",N(INDEX(对接源_01入库吨位!$D$5:$D$304,MATCH(INT((ROW()-5)/3)+1,对接源_01入库吨位!$S$5:$S$304,0))),IF($D817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7" s="41" t="str">
        <f aca="false">IF($B817="","",ROUND(IFERROR(IF($D817="周转打冷",N(INDEX(对接源_01入库吨位!$H$5:$H$304,MATCH(INT((ROW()-5)/3)+1,对接源_01入库吨位!$S$5:$S$304,0))),IF($D817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7" s="52" t="str">
        <f aca="false">IF($B817="","",ROUND(N($F817)/1000,3))</f>
        <v/>
      </c>
      <c r="H817" s="74"/>
      <c r="I817" s="44"/>
      <c r="J817" s="75" t="str">
        <f aca="false">IF($B817="","",IF($H817="按筐数×单价",N($E817),IF($H817="按总重KG×单价",N($F817),IF($H817="按吨位×单价",N($G817),0))))</f>
        <v/>
      </c>
      <c r="K817" s="41" t="str">
        <f aca="false">IF($B817="","",ROUND(N($J817)*N($I817),2))</f>
        <v/>
      </c>
      <c r="L817" s="42"/>
      <c r="M817" s="76"/>
      <c r="N817" s="43"/>
      <c r="R817" s="77" t="str">
        <f aca="false">IF($B817="","",$B817)</f>
        <v/>
      </c>
      <c r="S817" s="77" t="n">
        <f aca="false">IF($R817="",0,IF(MATCH($R817,$R$5:$R$904,0)=ROW()-4,1,0))</f>
        <v>0</v>
      </c>
      <c r="T817" s="77" t="n">
        <f aca="false">N(T816)+$S817</f>
        <v>18</v>
      </c>
    </row>
    <row r="818" customFormat="false" ht="13.5" hidden="false" customHeight="false" outlineLevel="0" collapsed="false">
      <c r="A818" s="9" t="str">
        <f aca="false">IF($B818="","",ROW()-4)</f>
        <v/>
      </c>
      <c r="B818" s="39" t="str">
        <f aca="false">IFERROR(INDEX(对接源_01入库吨位!$B$5:$B$304,MATCH(INT((ROW()-5)/3)+1,对接源_01入库吨位!$S$5:$S$304,0)),"")</f>
        <v/>
      </c>
      <c r="C818" s="39" t="str">
        <f aca="false">IFERROR(INDEX(对接源_01入库吨位!$C$5:$C$304,MATCH(INT((ROW()-5)/3)+1,对接源_01入库吨位!$S$5:$S$304,0)),"")</f>
        <v/>
      </c>
      <c r="D818" s="40" t="str">
        <f aca="false">IF($B818="","",IF(MOD(ROW()-5,3)=0,"周转打冷",IF(MOD(ROW()-5,3)=1,"仓储加工","装卸费")))</f>
        <v/>
      </c>
      <c r="E818" s="51" t="str">
        <f aca="false">IF($B818="","",IFERROR(IF($D818="周转打冷",N(INDEX(对接源_01入库吨位!$D$5:$D$304,MATCH(INT((ROW()-5)/3)+1,对接源_01入库吨位!$S$5:$S$304,0))),IF($D818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8" s="41" t="str">
        <f aca="false">IF($B818="","",ROUND(IFERROR(IF($D818="周转打冷",N(INDEX(对接源_01入库吨位!$H$5:$H$304,MATCH(INT((ROW()-5)/3)+1,对接源_01入库吨位!$S$5:$S$304,0))),IF($D818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8" s="52" t="str">
        <f aca="false">IF($B818="","",ROUND(N($F818)/1000,3))</f>
        <v/>
      </c>
      <c r="H818" s="74"/>
      <c r="I818" s="44"/>
      <c r="J818" s="75" t="str">
        <f aca="false">IF($B818="","",IF($H818="按筐数×单价",N($E818),IF($H818="按总重KG×单价",N($F818),IF($H818="按吨位×单价",N($G818),0))))</f>
        <v/>
      </c>
      <c r="K818" s="41" t="str">
        <f aca="false">IF($B818="","",ROUND(N($J818)*N($I818),2))</f>
        <v/>
      </c>
      <c r="L818" s="42"/>
      <c r="M818" s="76"/>
      <c r="N818" s="43"/>
      <c r="R818" s="77" t="str">
        <f aca="false">IF($B818="","",$B818)</f>
        <v/>
      </c>
      <c r="S818" s="77" t="n">
        <f aca="false">IF($R818="",0,IF(MATCH($R818,$R$5:$R$904,0)=ROW()-4,1,0))</f>
        <v>0</v>
      </c>
      <c r="T818" s="77" t="n">
        <f aca="false">N(T817)+$S818</f>
        <v>18</v>
      </c>
    </row>
    <row r="819" customFormat="false" ht="13.5" hidden="false" customHeight="false" outlineLevel="0" collapsed="false">
      <c r="A819" s="9" t="str">
        <f aca="false">IF($B819="","",ROW()-4)</f>
        <v/>
      </c>
      <c r="B819" s="39" t="str">
        <f aca="false">IFERROR(INDEX(对接源_01入库吨位!$B$5:$B$304,MATCH(INT((ROW()-5)/3)+1,对接源_01入库吨位!$S$5:$S$304,0)),"")</f>
        <v/>
      </c>
      <c r="C819" s="39" t="str">
        <f aca="false">IFERROR(INDEX(对接源_01入库吨位!$C$5:$C$304,MATCH(INT((ROW()-5)/3)+1,对接源_01入库吨位!$S$5:$S$304,0)),"")</f>
        <v/>
      </c>
      <c r="D819" s="40" t="str">
        <f aca="false">IF($B819="","",IF(MOD(ROW()-5,3)=0,"周转打冷",IF(MOD(ROW()-5,3)=1,"仓储加工","装卸费")))</f>
        <v/>
      </c>
      <c r="E819" s="51" t="str">
        <f aca="false">IF($B819="","",IFERROR(IF($D819="周转打冷",N(INDEX(对接源_01入库吨位!$D$5:$D$304,MATCH(INT((ROW()-5)/3)+1,对接源_01入库吨位!$S$5:$S$304,0))),IF($D819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19" s="41" t="str">
        <f aca="false">IF($B819="","",ROUND(IFERROR(IF($D819="周转打冷",N(INDEX(对接源_01入库吨位!$H$5:$H$304,MATCH(INT((ROW()-5)/3)+1,对接源_01入库吨位!$S$5:$S$304,0))),IF($D819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19" s="52" t="str">
        <f aca="false">IF($B819="","",ROUND(N($F819)/1000,3))</f>
        <v/>
      </c>
      <c r="H819" s="74"/>
      <c r="I819" s="44"/>
      <c r="J819" s="75" t="str">
        <f aca="false">IF($B819="","",IF($H819="按筐数×单价",N($E819),IF($H819="按总重KG×单价",N($F819),IF($H819="按吨位×单价",N($G819),0))))</f>
        <v/>
      </c>
      <c r="K819" s="41" t="str">
        <f aca="false">IF($B819="","",ROUND(N($J819)*N($I819),2))</f>
        <v/>
      </c>
      <c r="L819" s="42"/>
      <c r="M819" s="76"/>
      <c r="N819" s="43"/>
      <c r="R819" s="77" t="str">
        <f aca="false">IF($B819="","",$B819)</f>
        <v/>
      </c>
      <c r="S819" s="77" t="n">
        <f aca="false">IF($R819="",0,IF(MATCH($R819,$R$5:$R$904,0)=ROW()-4,1,0))</f>
        <v>0</v>
      </c>
      <c r="T819" s="77" t="n">
        <f aca="false">N(T818)+$S819</f>
        <v>18</v>
      </c>
    </row>
    <row r="820" customFormat="false" ht="13.5" hidden="false" customHeight="false" outlineLevel="0" collapsed="false">
      <c r="A820" s="9" t="str">
        <f aca="false">IF($B820="","",ROW()-4)</f>
        <v/>
      </c>
      <c r="B820" s="39" t="str">
        <f aca="false">IFERROR(INDEX(对接源_01入库吨位!$B$5:$B$304,MATCH(INT((ROW()-5)/3)+1,对接源_01入库吨位!$S$5:$S$304,0)),"")</f>
        <v/>
      </c>
      <c r="C820" s="39" t="str">
        <f aca="false">IFERROR(INDEX(对接源_01入库吨位!$C$5:$C$304,MATCH(INT((ROW()-5)/3)+1,对接源_01入库吨位!$S$5:$S$304,0)),"")</f>
        <v/>
      </c>
      <c r="D820" s="40" t="str">
        <f aca="false">IF($B820="","",IF(MOD(ROW()-5,3)=0,"周转打冷",IF(MOD(ROW()-5,3)=1,"仓储加工","装卸费")))</f>
        <v/>
      </c>
      <c r="E820" s="51" t="str">
        <f aca="false">IF($B820="","",IFERROR(IF($D820="周转打冷",N(INDEX(对接源_01入库吨位!$D$5:$D$304,MATCH(INT((ROW()-5)/3)+1,对接源_01入库吨位!$S$5:$S$304,0))),IF($D820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0" s="41" t="str">
        <f aca="false">IF($B820="","",ROUND(IFERROR(IF($D820="周转打冷",N(INDEX(对接源_01入库吨位!$H$5:$H$304,MATCH(INT((ROW()-5)/3)+1,对接源_01入库吨位!$S$5:$S$304,0))),IF($D820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0" s="52" t="str">
        <f aca="false">IF($B820="","",ROUND(N($F820)/1000,3))</f>
        <v/>
      </c>
      <c r="H820" s="74"/>
      <c r="I820" s="44"/>
      <c r="J820" s="75" t="str">
        <f aca="false">IF($B820="","",IF($H820="按筐数×单价",N($E820),IF($H820="按总重KG×单价",N($F820),IF($H820="按吨位×单价",N($G820),0))))</f>
        <v/>
      </c>
      <c r="K820" s="41" t="str">
        <f aca="false">IF($B820="","",ROUND(N($J820)*N($I820),2))</f>
        <v/>
      </c>
      <c r="L820" s="42"/>
      <c r="M820" s="76"/>
      <c r="N820" s="43"/>
      <c r="R820" s="77" t="str">
        <f aca="false">IF($B820="","",$B820)</f>
        <v/>
      </c>
      <c r="S820" s="77" t="n">
        <f aca="false">IF($R820="",0,IF(MATCH($R820,$R$5:$R$904,0)=ROW()-4,1,0))</f>
        <v>0</v>
      </c>
      <c r="T820" s="77" t="n">
        <f aca="false">N(T819)+$S820</f>
        <v>18</v>
      </c>
    </row>
    <row r="821" customFormat="false" ht="13.5" hidden="false" customHeight="false" outlineLevel="0" collapsed="false">
      <c r="A821" s="9" t="str">
        <f aca="false">IF($B821="","",ROW()-4)</f>
        <v/>
      </c>
      <c r="B821" s="39" t="str">
        <f aca="false">IFERROR(INDEX(对接源_01入库吨位!$B$5:$B$304,MATCH(INT((ROW()-5)/3)+1,对接源_01入库吨位!$S$5:$S$304,0)),"")</f>
        <v/>
      </c>
      <c r="C821" s="39" t="str">
        <f aca="false">IFERROR(INDEX(对接源_01入库吨位!$C$5:$C$304,MATCH(INT((ROW()-5)/3)+1,对接源_01入库吨位!$S$5:$S$304,0)),"")</f>
        <v/>
      </c>
      <c r="D821" s="40" t="str">
        <f aca="false">IF($B821="","",IF(MOD(ROW()-5,3)=0,"周转打冷",IF(MOD(ROW()-5,3)=1,"仓储加工","装卸费")))</f>
        <v/>
      </c>
      <c r="E821" s="51" t="str">
        <f aca="false">IF($B821="","",IFERROR(IF($D821="周转打冷",N(INDEX(对接源_01入库吨位!$D$5:$D$304,MATCH(INT((ROW()-5)/3)+1,对接源_01入库吨位!$S$5:$S$304,0))),IF($D821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1" s="41" t="str">
        <f aca="false">IF($B821="","",ROUND(IFERROR(IF($D821="周转打冷",N(INDEX(对接源_01入库吨位!$H$5:$H$304,MATCH(INT((ROW()-5)/3)+1,对接源_01入库吨位!$S$5:$S$304,0))),IF($D821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1" s="52" t="str">
        <f aca="false">IF($B821="","",ROUND(N($F821)/1000,3))</f>
        <v/>
      </c>
      <c r="H821" s="74"/>
      <c r="I821" s="44"/>
      <c r="J821" s="75" t="str">
        <f aca="false">IF($B821="","",IF($H821="按筐数×单价",N($E821),IF($H821="按总重KG×单价",N($F821),IF($H821="按吨位×单价",N($G821),0))))</f>
        <v/>
      </c>
      <c r="K821" s="41" t="str">
        <f aca="false">IF($B821="","",ROUND(N($J821)*N($I821),2))</f>
        <v/>
      </c>
      <c r="L821" s="42"/>
      <c r="M821" s="76"/>
      <c r="N821" s="43"/>
      <c r="R821" s="77" t="str">
        <f aca="false">IF($B821="","",$B821)</f>
        <v/>
      </c>
      <c r="S821" s="77" t="n">
        <f aca="false">IF($R821="",0,IF(MATCH($R821,$R$5:$R$904,0)=ROW()-4,1,0))</f>
        <v>0</v>
      </c>
      <c r="T821" s="77" t="n">
        <f aca="false">N(T820)+$S821</f>
        <v>18</v>
      </c>
    </row>
    <row r="822" customFormat="false" ht="13.5" hidden="false" customHeight="false" outlineLevel="0" collapsed="false">
      <c r="A822" s="9" t="str">
        <f aca="false">IF($B822="","",ROW()-4)</f>
        <v/>
      </c>
      <c r="B822" s="39" t="str">
        <f aca="false">IFERROR(INDEX(对接源_01入库吨位!$B$5:$B$304,MATCH(INT((ROW()-5)/3)+1,对接源_01入库吨位!$S$5:$S$304,0)),"")</f>
        <v/>
      </c>
      <c r="C822" s="39" t="str">
        <f aca="false">IFERROR(INDEX(对接源_01入库吨位!$C$5:$C$304,MATCH(INT((ROW()-5)/3)+1,对接源_01入库吨位!$S$5:$S$304,0)),"")</f>
        <v/>
      </c>
      <c r="D822" s="40" t="str">
        <f aca="false">IF($B822="","",IF(MOD(ROW()-5,3)=0,"周转打冷",IF(MOD(ROW()-5,3)=1,"仓储加工","装卸费")))</f>
        <v/>
      </c>
      <c r="E822" s="51" t="str">
        <f aca="false">IF($B822="","",IFERROR(IF($D822="周转打冷",N(INDEX(对接源_01入库吨位!$D$5:$D$304,MATCH(INT((ROW()-5)/3)+1,对接源_01入库吨位!$S$5:$S$304,0))),IF($D822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2" s="41" t="str">
        <f aca="false">IF($B822="","",ROUND(IFERROR(IF($D822="周转打冷",N(INDEX(对接源_01入库吨位!$H$5:$H$304,MATCH(INT((ROW()-5)/3)+1,对接源_01入库吨位!$S$5:$S$304,0))),IF($D822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2" s="52" t="str">
        <f aca="false">IF($B822="","",ROUND(N($F822)/1000,3))</f>
        <v/>
      </c>
      <c r="H822" s="74"/>
      <c r="I822" s="44"/>
      <c r="J822" s="75" t="str">
        <f aca="false">IF($B822="","",IF($H822="按筐数×单价",N($E822),IF($H822="按总重KG×单价",N($F822),IF($H822="按吨位×单价",N($G822),0))))</f>
        <v/>
      </c>
      <c r="K822" s="41" t="str">
        <f aca="false">IF($B822="","",ROUND(N($J822)*N($I822),2))</f>
        <v/>
      </c>
      <c r="L822" s="42"/>
      <c r="M822" s="76"/>
      <c r="N822" s="43"/>
      <c r="R822" s="77" t="str">
        <f aca="false">IF($B822="","",$B822)</f>
        <v/>
      </c>
      <c r="S822" s="77" t="n">
        <f aca="false">IF($R822="",0,IF(MATCH($R822,$R$5:$R$904,0)=ROW()-4,1,0))</f>
        <v>0</v>
      </c>
      <c r="T822" s="77" t="n">
        <f aca="false">N(T821)+$S822</f>
        <v>18</v>
      </c>
    </row>
    <row r="823" customFormat="false" ht="13.5" hidden="false" customHeight="false" outlineLevel="0" collapsed="false">
      <c r="A823" s="9" t="str">
        <f aca="false">IF($B823="","",ROW()-4)</f>
        <v/>
      </c>
      <c r="B823" s="39" t="str">
        <f aca="false">IFERROR(INDEX(对接源_01入库吨位!$B$5:$B$304,MATCH(INT((ROW()-5)/3)+1,对接源_01入库吨位!$S$5:$S$304,0)),"")</f>
        <v/>
      </c>
      <c r="C823" s="39" t="str">
        <f aca="false">IFERROR(INDEX(对接源_01入库吨位!$C$5:$C$304,MATCH(INT((ROW()-5)/3)+1,对接源_01入库吨位!$S$5:$S$304,0)),"")</f>
        <v/>
      </c>
      <c r="D823" s="40" t="str">
        <f aca="false">IF($B823="","",IF(MOD(ROW()-5,3)=0,"周转打冷",IF(MOD(ROW()-5,3)=1,"仓储加工","装卸费")))</f>
        <v/>
      </c>
      <c r="E823" s="51" t="str">
        <f aca="false">IF($B823="","",IFERROR(IF($D823="周转打冷",N(INDEX(对接源_01入库吨位!$D$5:$D$304,MATCH(INT((ROW()-5)/3)+1,对接源_01入库吨位!$S$5:$S$304,0))),IF($D823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3" s="41" t="str">
        <f aca="false">IF($B823="","",ROUND(IFERROR(IF($D823="周转打冷",N(INDEX(对接源_01入库吨位!$H$5:$H$304,MATCH(INT((ROW()-5)/3)+1,对接源_01入库吨位!$S$5:$S$304,0))),IF($D823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3" s="52" t="str">
        <f aca="false">IF($B823="","",ROUND(N($F823)/1000,3))</f>
        <v/>
      </c>
      <c r="H823" s="74"/>
      <c r="I823" s="44"/>
      <c r="J823" s="75" t="str">
        <f aca="false">IF($B823="","",IF($H823="按筐数×单价",N($E823),IF($H823="按总重KG×单价",N($F823),IF($H823="按吨位×单价",N($G823),0))))</f>
        <v/>
      </c>
      <c r="K823" s="41" t="str">
        <f aca="false">IF($B823="","",ROUND(N($J823)*N($I823),2))</f>
        <v/>
      </c>
      <c r="L823" s="42"/>
      <c r="M823" s="76"/>
      <c r="N823" s="43"/>
      <c r="R823" s="77" t="str">
        <f aca="false">IF($B823="","",$B823)</f>
        <v/>
      </c>
      <c r="S823" s="77" t="n">
        <f aca="false">IF($R823="",0,IF(MATCH($R823,$R$5:$R$904,0)=ROW()-4,1,0))</f>
        <v>0</v>
      </c>
      <c r="T823" s="77" t="n">
        <f aca="false">N(T822)+$S823</f>
        <v>18</v>
      </c>
    </row>
    <row r="824" customFormat="false" ht="13.5" hidden="false" customHeight="false" outlineLevel="0" collapsed="false">
      <c r="A824" s="9" t="str">
        <f aca="false">IF($B824="","",ROW()-4)</f>
        <v/>
      </c>
      <c r="B824" s="39" t="str">
        <f aca="false">IFERROR(INDEX(对接源_01入库吨位!$B$5:$B$304,MATCH(INT((ROW()-5)/3)+1,对接源_01入库吨位!$S$5:$S$304,0)),"")</f>
        <v/>
      </c>
      <c r="C824" s="39" t="str">
        <f aca="false">IFERROR(INDEX(对接源_01入库吨位!$C$5:$C$304,MATCH(INT((ROW()-5)/3)+1,对接源_01入库吨位!$S$5:$S$304,0)),"")</f>
        <v/>
      </c>
      <c r="D824" s="40" t="str">
        <f aca="false">IF($B824="","",IF(MOD(ROW()-5,3)=0,"周转打冷",IF(MOD(ROW()-5,3)=1,"仓储加工","装卸费")))</f>
        <v/>
      </c>
      <c r="E824" s="51" t="str">
        <f aca="false">IF($B824="","",IFERROR(IF($D824="周转打冷",N(INDEX(对接源_01入库吨位!$D$5:$D$304,MATCH(INT((ROW()-5)/3)+1,对接源_01入库吨位!$S$5:$S$304,0))),IF($D824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4" s="41" t="str">
        <f aca="false">IF($B824="","",ROUND(IFERROR(IF($D824="周转打冷",N(INDEX(对接源_01入库吨位!$H$5:$H$304,MATCH(INT((ROW()-5)/3)+1,对接源_01入库吨位!$S$5:$S$304,0))),IF($D824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4" s="52" t="str">
        <f aca="false">IF($B824="","",ROUND(N($F824)/1000,3))</f>
        <v/>
      </c>
      <c r="H824" s="74"/>
      <c r="I824" s="44"/>
      <c r="J824" s="75" t="str">
        <f aca="false">IF($B824="","",IF($H824="按筐数×单价",N($E824),IF($H824="按总重KG×单价",N($F824),IF($H824="按吨位×单价",N($G824),0))))</f>
        <v/>
      </c>
      <c r="K824" s="41" t="str">
        <f aca="false">IF($B824="","",ROUND(N($J824)*N($I824),2))</f>
        <v/>
      </c>
      <c r="L824" s="42"/>
      <c r="M824" s="76"/>
      <c r="N824" s="43"/>
      <c r="R824" s="77" t="str">
        <f aca="false">IF($B824="","",$B824)</f>
        <v/>
      </c>
      <c r="S824" s="77" t="n">
        <f aca="false">IF($R824="",0,IF(MATCH($R824,$R$5:$R$904,0)=ROW()-4,1,0))</f>
        <v>0</v>
      </c>
      <c r="T824" s="77" t="n">
        <f aca="false">N(T823)+$S824</f>
        <v>18</v>
      </c>
    </row>
    <row r="825" customFormat="false" ht="13.5" hidden="false" customHeight="false" outlineLevel="0" collapsed="false">
      <c r="A825" s="9" t="str">
        <f aca="false">IF($B825="","",ROW()-4)</f>
        <v/>
      </c>
      <c r="B825" s="39" t="str">
        <f aca="false">IFERROR(INDEX(对接源_01入库吨位!$B$5:$B$304,MATCH(INT((ROW()-5)/3)+1,对接源_01入库吨位!$S$5:$S$304,0)),"")</f>
        <v/>
      </c>
      <c r="C825" s="39" t="str">
        <f aca="false">IFERROR(INDEX(对接源_01入库吨位!$C$5:$C$304,MATCH(INT((ROW()-5)/3)+1,对接源_01入库吨位!$S$5:$S$304,0)),"")</f>
        <v/>
      </c>
      <c r="D825" s="40" t="str">
        <f aca="false">IF($B825="","",IF(MOD(ROW()-5,3)=0,"周转打冷",IF(MOD(ROW()-5,3)=1,"仓储加工","装卸费")))</f>
        <v/>
      </c>
      <c r="E825" s="51" t="str">
        <f aca="false">IF($B825="","",IFERROR(IF($D825="周转打冷",N(INDEX(对接源_01入库吨位!$D$5:$D$304,MATCH(INT((ROW()-5)/3)+1,对接源_01入库吨位!$S$5:$S$304,0))),IF($D825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5" s="41" t="str">
        <f aca="false">IF($B825="","",ROUND(IFERROR(IF($D825="周转打冷",N(INDEX(对接源_01入库吨位!$H$5:$H$304,MATCH(INT((ROW()-5)/3)+1,对接源_01入库吨位!$S$5:$S$304,0))),IF($D825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5" s="52" t="str">
        <f aca="false">IF($B825="","",ROUND(N($F825)/1000,3))</f>
        <v/>
      </c>
      <c r="H825" s="74"/>
      <c r="I825" s="44"/>
      <c r="J825" s="75" t="str">
        <f aca="false">IF($B825="","",IF($H825="按筐数×单价",N($E825),IF($H825="按总重KG×单价",N($F825),IF($H825="按吨位×单价",N($G825),0))))</f>
        <v/>
      </c>
      <c r="K825" s="41" t="str">
        <f aca="false">IF($B825="","",ROUND(N($J825)*N($I825),2))</f>
        <v/>
      </c>
      <c r="L825" s="42"/>
      <c r="M825" s="76"/>
      <c r="N825" s="43"/>
      <c r="R825" s="77" t="str">
        <f aca="false">IF($B825="","",$B825)</f>
        <v/>
      </c>
      <c r="S825" s="77" t="n">
        <f aca="false">IF($R825="",0,IF(MATCH($R825,$R$5:$R$904,0)=ROW()-4,1,0))</f>
        <v>0</v>
      </c>
      <c r="T825" s="77" t="n">
        <f aca="false">N(T824)+$S825</f>
        <v>18</v>
      </c>
    </row>
    <row r="826" customFormat="false" ht="13.5" hidden="false" customHeight="false" outlineLevel="0" collapsed="false">
      <c r="A826" s="9" t="str">
        <f aca="false">IF($B826="","",ROW()-4)</f>
        <v/>
      </c>
      <c r="B826" s="39" t="str">
        <f aca="false">IFERROR(INDEX(对接源_01入库吨位!$B$5:$B$304,MATCH(INT((ROW()-5)/3)+1,对接源_01入库吨位!$S$5:$S$304,0)),"")</f>
        <v/>
      </c>
      <c r="C826" s="39" t="str">
        <f aca="false">IFERROR(INDEX(对接源_01入库吨位!$C$5:$C$304,MATCH(INT((ROW()-5)/3)+1,对接源_01入库吨位!$S$5:$S$304,0)),"")</f>
        <v/>
      </c>
      <c r="D826" s="40" t="str">
        <f aca="false">IF($B826="","",IF(MOD(ROW()-5,3)=0,"周转打冷",IF(MOD(ROW()-5,3)=1,"仓储加工","装卸费")))</f>
        <v/>
      </c>
      <c r="E826" s="51" t="str">
        <f aca="false">IF($B826="","",IFERROR(IF($D826="周转打冷",N(INDEX(对接源_01入库吨位!$D$5:$D$304,MATCH(INT((ROW()-5)/3)+1,对接源_01入库吨位!$S$5:$S$304,0))),IF($D826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6" s="41" t="str">
        <f aca="false">IF($B826="","",ROUND(IFERROR(IF($D826="周转打冷",N(INDEX(对接源_01入库吨位!$H$5:$H$304,MATCH(INT((ROW()-5)/3)+1,对接源_01入库吨位!$S$5:$S$304,0))),IF($D826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6" s="52" t="str">
        <f aca="false">IF($B826="","",ROUND(N($F826)/1000,3))</f>
        <v/>
      </c>
      <c r="H826" s="74"/>
      <c r="I826" s="44"/>
      <c r="J826" s="75" t="str">
        <f aca="false">IF($B826="","",IF($H826="按筐数×单价",N($E826),IF($H826="按总重KG×单价",N($F826),IF($H826="按吨位×单价",N($G826),0))))</f>
        <v/>
      </c>
      <c r="K826" s="41" t="str">
        <f aca="false">IF($B826="","",ROUND(N($J826)*N($I826),2))</f>
        <v/>
      </c>
      <c r="L826" s="42"/>
      <c r="M826" s="76"/>
      <c r="N826" s="43"/>
      <c r="R826" s="77" t="str">
        <f aca="false">IF($B826="","",$B826)</f>
        <v/>
      </c>
      <c r="S826" s="77" t="n">
        <f aca="false">IF($R826="",0,IF(MATCH($R826,$R$5:$R$904,0)=ROW()-4,1,0))</f>
        <v>0</v>
      </c>
      <c r="T826" s="77" t="n">
        <f aca="false">N(T825)+$S826</f>
        <v>18</v>
      </c>
    </row>
    <row r="827" customFormat="false" ht="13.5" hidden="false" customHeight="false" outlineLevel="0" collapsed="false">
      <c r="A827" s="9" t="str">
        <f aca="false">IF($B827="","",ROW()-4)</f>
        <v/>
      </c>
      <c r="B827" s="39" t="str">
        <f aca="false">IFERROR(INDEX(对接源_01入库吨位!$B$5:$B$304,MATCH(INT((ROW()-5)/3)+1,对接源_01入库吨位!$S$5:$S$304,0)),"")</f>
        <v/>
      </c>
      <c r="C827" s="39" t="str">
        <f aca="false">IFERROR(INDEX(对接源_01入库吨位!$C$5:$C$304,MATCH(INT((ROW()-5)/3)+1,对接源_01入库吨位!$S$5:$S$304,0)),"")</f>
        <v/>
      </c>
      <c r="D827" s="40" t="str">
        <f aca="false">IF($B827="","",IF(MOD(ROW()-5,3)=0,"周转打冷",IF(MOD(ROW()-5,3)=1,"仓储加工","装卸费")))</f>
        <v/>
      </c>
      <c r="E827" s="51" t="str">
        <f aca="false">IF($B827="","",IFERROR(IF($D827="周转打冷",N(INDEX(对接源_01入库吨位!$D$5:$D$304,MATCH(INT((ROW()-5)/3)+1,对接源_01入库吨位!$S$5:$S$304,0))),IF($D827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7" s="41" t="str">
        <f aca="false">IF($B827="","",ROUND(IFERROR(IF($D827="周转打冷",N(INDEX(对接源_01入库吨位!$H$5:$H$304,MATCH(INT((ROW()-5)/3)+1,对接源_01入库吨位!$S$5:$S$304,0))),IF($D827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7" s="52" t="str">
        <f aca="false">IF($B827="","",ROUND(N($F827)/1000,3))</f>
        <v/>
      </c>
      <c r="H827" s="74"/>
      <c r="I827" s="44"/>
      <c r="J827" s="75" t="str">
        <f aca="false">IF($B827="","",IF($H827="按筐数×单价",N($E827),IF($H827="按总重KG×单价",N($F827),IF($H827="按吨位×单价",N($G827),0))))</f>
        <v/>
      </c>
      <c r="K827" s="41" t="str">
        <f aca="false">IF($B827="","",ROUND(N($J827)*N($I827),2))</f>
        <v/>
      </c>
      <c r="L827" s="42"/>
      <c r="M827" s="76"/>
      <c r="N827" s="43"/>
      <c r="R827" s="77" t="str">
        <f aca="false">IF($B827="","",$B827)</f>
        <v/>
      </c>
      <c r="S827" s="77" t="n">
        <f aca="false">IF($R827="",0,IF(MATCH($R827,$R$5:$R$904,0)=ROW()-4,1,0))</f>
        <v>0</v>
      </c>
      <c r="T827" s="77" t="n">
        <f aca="false">N(T826)+$S827</f>
        <v>18</v>
      </c>
    </row>
    <row r="828" customFormat="false" ht="13.5" hidden="false" customHeight="false" outlineLevel="0" collapsed="false">
      <c r="A828" s="9" t="str">
        <f aca="false">IF($B828="","",ROW()-4)</f>
        <v/>
      </c>
      <c r="B828" s="39" t="str">
        <f aca="false">IFERROR(INDEX(对接源_01入库吨位!$B$5:$B$304,MATCH(INT((ROW()-5)/3)+1,对接源_01入库吨位!$S$5:$S$304,0)),"")</f>
        <v/>
      </c>
      <c r="C828" s="39" t="str">
        <f aca="false">IFERROR(INDEX(对接源_01入库吨位!$C$5:$C$304,MATCH(INT((ROW()-5)/3)+1,对接源_01入库吨位!$S$5:$S$304,0)),"")</f>
        <v/>
      </c>
      <c r="D828" s="40" t="str">
        <f aca="false">IF($B828="","",IF(MOD(ROW()-5,3)=0,"周转打冷",IF(MOD(ROW()-5,3)=1,"仓储加工","装卸费")))</f>
        <v/>
      </c>
      <c r="E828" s="51" t="str">
        <f aca="false">IF($B828="","",IFERROR(IF($D828="周转打冷",N(INDEX(对接源_01入库吨位!$D$5:$D$304,MATCH(INT((ROW()-5)/3)+1,对接源_01入库吨位!$S$5:$S$304,0))),IF($D828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8" s="41" t="str">
        <f aca="false">IF($B828="","",ROUND(IFERROR(IF($D828="周转打冷",N(INDEX(对接源_01入库吨位!$H$5:$H$304,MATCH(INT((ROW()-5)/3)+1,对接源_01入库吨位!$S$5:$S$304,0))),IF($D828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8" s="52" t="str">
        <f aca="false">IF($B828="","",ROUND(N($F828)/1000,3))</f>
        <v/>
      </c>
      <c r="H828" s="74"/>
      <c r="I828" s="44"/>
      <c r="J828" s="75" t="str">
        <f aca="false">IF($B828="","",IF($H828="按筐数×单价",N($E828),IF($H828="按总重KG×单价",N($F828),IF($H828="按吨位×单价",N($G828),0))))</f>
        <v/>
      </c>
      <c r="K828" s="41" t="str">
        <f aca="false">IF($B828="","",ROUND(N($J828)*N($I828),2))</f>
        <v/>
      </c>
      <c r="L828" s="42"/>
      <c r="M828" s="76"/>
      <c r="N828" s="43"/>
      <c r="R828" s="77" t="str">
        <f aca="false">IF($B828="","",$B828)</f>
        <v/>
      </c>
      <c r="S828" s="77" t="n">
        <f aca="false">IF($R828="",0,IF(MATCH($R828,$R$5:$R$904,0)=ROW()-4,1,0))</f>
        <v>0</v>
      </c>
      <c r="T828" s="77" t="n">
        <f aca="false">N(T827)+$S828</f>
        <v>18</v>
      </c>
    </row>
    <row r="829" customFormat="false" ht="13.5" hidden="false" customHeight="false" outlineLevel="0" collapsed="false">
      <c r="A829" s="9" t="str">
        <f aca="false">IF($B829="","",ROW()-4)</f>
        <v/>
      </c>
      <c r="B829" s="39" t="str">
        <f aca="false">IFERROR(INDEX(对接源_01入库吨位!$B$5:$B$304,MATCH(INT((ROW()-5)/3)+1,对接源_01入库吨位!$S$5:$S$304,0)),"")</f>
        <v/>
      </c>
      <c r="C829" s="39" t="str">
        <f aca="false">IFERROR(INDEX(对接源_01入库吨位!$C$5:$C$304,MATCH(INT((ROW()-5)/3)+1,对接源_01入库吨位!$S$5:$S$304,0)),"")</f>
        <v/>
      </c>
      <c r="D829" s="40" t="str">
        <f aca="false">IF($B829="","",IF(MOD(ROW()-5,3)=0,"周转打冷",IF(MOD(ROW()-5,3)=1,"仓储加工","装卸费")))</f>
        <v/>
      </c>
      <c r="E829" s="51" t="str">
        <f aca="false">IF($B829="","",IFERROR(IF($D829="周转打冷",N(INDEX(对接源_01入库吨位!$D$5:$D$304,MATCH(INT((ROW()-5)/3)+1,对接源_01入库吨位!$S$5:$S$304,0))),IF($D829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29" s="41" t="str">
        <f aca="false">IF($B829="","",ROUND(IFERROR(IF($D829="周转打冷",N(INDEX(对接源_01入库吨位!$H$5:$H$304,MATCH(INT((ROW()-5)/3)+1,对接源_01入库吨位!$S$5:$S$304,0))),IF($D829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29" s="52" t="str">
        <f aca="false">IF($B829="","",ROUND(N($F829)/1000,3))</f>
        <v/>
      </c>
      <c r="H829" s="74"/>
      <c r="I829" s="44"/>
      <c r="J829" s="75" t="str">
        <f aca="false">IF($B829="","",IF($H829="按筐数×单价",N($E829),IF($H829="按总重KG×单价",N($F829),IF($H829="按吨位×单价",N($G829),0))))</f>
        <v/>
      </c>
      <c r="K829" s="41" t="str">
        <f aca="false">IF($B829="","",ROUND(N($J829)*N($I829),2))</f>
        <v/>
      </c>
      <c r="L829" s="42"/>
      <c r="M829" s="76"/>
      <c r="N829" s="43"/>
      <c r="R829" s="77" t="str">
        <f aca="false">IF($B829="","",$B829)</f>
        <v/>
      </c>
      <c r="S829" s="77" t="n">
        <f aca="false">IF($R829="",0,IF(MATCH($R829,$R$5:$R$904,0)=ROW()-4,1,0))</f>
        <v>0</v>
      </c>
      <c r="T829" s="77" t="n">
        <f aca="false">N(T828)+$S829</f>
        <v>18</v>
      </c>
    </row>
    <row r="830" customFormat="false" ht="13.5" hidden="false" customHeight="false" outlineLevel="0" collapsed="false">
      <c r="A830" s="9" t="str">
        <f aca="false">IF($B830="","",ROW()-4)</f>
        <v/>
      </c>
      <c r="B830" s="39" t="str">
        <f aca="false">IFERROR(INDEX(对接源_01入库吨位!$B$5:$B$304,MATCH(INT((ROW()-5)/3)+1,对接源_01入库吨位!$S$5:$S$304,0)),"")</f>
        <v/>
      </c>
      <c r="C830" s="39" t="str">
        <f aca="false">IFERROR(INDEX(对接源_01入库吨位!$C$5:$C$304,MATCH(INT((ROW()-5)/3)+1,对接源_01入库吨位!$S$5:$S$304,0)),"")</f>
        <v/>
      </c>
      <c r="D830" s="40" t="str">
        <f aca="false">IF($B830="","",IF(MOD(ROW()-5,3)=0,"周转打冷",IF(MOD(ROW()-5,3)=1,"仓储加工","装卸费")))</f>
        <v/>
      </c>
      <c r="E830" s="51" t="str">
        <f aca="false">IF($B830="","",IFERROR(IF($D830="周转打冷",N(INDEX(对接源_01入库吨位!$D$5:$D$304,MATCH(INT((ROW()-5)/3)+1,对接源_01入库吨位!$S$5:$S$304,0))),IF($D830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0" s="41" t="str">
        <f aca="false">IF($B830="","",ROUND(IFERROR(IF($D830="周转打冷",N(INDEX(对接源_01入库吨位!$H$5:$H$304,MATCH(INT((ROW()-5)/3)+1,对接源_01入库吨位!$S$5:$S$304,0))),IF($D830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0" s="52" t="str">
        <f aca="false">IF($B830="","",ROUND(N($F830)/1000,3))</f>
        <v/>
      </c>
      <c r="H830" s="74"/>
      <c r="I830" s="44"/>
      <c r="J830" s="75" t="str">
        <f aca="false">IF($B830="","",IF($H830="按筐数×单价",N($E830),IF($H830="按总重KG×单价",N($F830),IF($H830="按吨位×单价",N($G830),0))))</f>
        <v/>
      </c>
      <c r="K830" s="41" t="str">
        <f aca="false">IF($B830="","",ROUND(N($J830)*N($I830),2))</f>
        <v/>
      </c>
      <c r="L830" s="42"/>
      <c r="M830" s="76"/>
      <c r="N830" s="43"/>
      <c r="R830" s="77" t="str">
        <f aca="false">IF($B830="","",$B830)</f>
        <v/>
      </c>
      <c r="S830" s="77" t="n">
        <f aca="false">IF($R830="",0,IF(MATCH($R830,$R$5:$R$904,0)=ROW()-4,1,0))</f>
        <v>0</v>
      </c>
      <c r="T830" s="77" t="n">
        <f aca="false">N(T829)+$S830</f>
        <v>18</v>
      </c>
    </row>
    <row r="831" customFormat="false" ht="13.5" hidden="false" customHeight="false" outlineLevel="0" collapsed="false">
      <c r="A831" s="9" t="str">
        <f aca="false">IF($B831="","",ROW()-4)</f>
        <v/>
      </c>
      <c r="B831" s="39" t="str">
        <f aca="false">IFERROR(INDEX(对接源_01入库吨位!$B$5:$B$304,MATCH(INT((ROW()-5)/3)+1,对接源_01入库吨位!$S$5:$S$304,0)),"")</f>
        <v/>
      </c>
      <c r="C831" s="39" t="str">
        <f aca="false">IFERROR(INDEX(对接源_01入库吨位!$C$5:$C$304,MATCH(INT((ROW()-5)/3)+1,对接源_01入库吨位!$S$5:$S$304,0)),"")</f>
        <v/>
      </c>
      <c r="D831" s="40" t="str">
        <f aca="false">IF($B831="","",IF(MOD(ROW()-5,3)=0,"周转打冷",IF(MOD(ROW()-5,3)=1,"仓储加工","装卸费")))</f>
        <v/>
      </c>
      <c r="E831" s="51" t="str">
        <f aca="false">IF($B831="","",IFERROR(IF($D831="周转打冷",N(INDEX(对接源_01入库吨位!$D$5:$D$304,MATCH(INT((ROW()-5)/3)+1,对接源_01入库吨位!$S$5:$S$304,0))),IF($D831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1" s="41" t="str">
        <f aca="false">IF($B831="","",ROUND(IFERROR(IF($D831="周转打冷",N(INDEX(对接源_01入库吨位!$H$5:$H$304,MATCH(INT((ROW()-5)/3)+1,对接源_01入库吨位!$S$5:$S$304,0))),IF($D831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1" s="52" t="str">
        <f aca="false">IF($B831="","",ROUND(N($F831)/1000,3))</f>
        <v/>
      </c>
      <c r="H831" s="74"/>
      <c r="I831" s="44"/>
      <c r="J831" s="75" t="str">
        <f aca="false">IF($B831="","",IF($H831="按筐数×单价",N($E831),IF($H831="按总重KG×单价",N($F831),IF($H831="按吨位×单价",N($G831),0))))</f>
        <v/>
      </c>
      <c r="K831" s="41" t="str">
        <f aca="false">IF($B831="","",ROUND(N($J831)*N($I831),2))</f>
        <v/>
      </c>
      <c r="L831" s="42"/>
      <c r="M831" s="76"/>
      <c r="N831" s="43"/>
      <c r="R831" s="77" t="str">
        <f aca="false">IF($B831="","",$B831)</f>
        <v/>
      </c>
      <c r="S831" s="77" t="n">
        <f aca="false">IF($R831="",0,IF(MATCH($R831,$R$5:$R$904,0)=ROW()-4,1,0))</f>
        <v>0</v>
      </c>
      <c r="T831" s="77" t="n">
        <f aca="false">N(T830)+$S831</f>
        <v>18</v>
      </c>
    </row>
    <row r="832" customFormat="false" ht="13.5" hidden="false" customHeight="false" outlineLevel="0" collapsed="false">
      <c r="A832" s="9" t="str">
        <f aca="false">IF($B832="","",ROW()-4)</f>
        <v/>
      </c>
      <c r="B832" s="39" t="str">
        <f aca="false">IFERROR(INDEX(对接源_01入库吨位!$B$5:$B$304,MATCH(INT((ROW()-5)/3)+1,对接源_01入库吨位!$S$5:$S$304,0)),"")</f>
        <v/>
      </c>
      <c r="C832" s="39" t="str">
        <f aca="false">IFERROR(INDEX(对接源_01入库吨位!$C$5:$C$304,MATCH(INT((ROW()-5)/3)+1,对接源_01入库吨位!$S$5:$S$304,0)),"")</f>
        <v/>
      </c>
      <c r="D832" s="40" t="str">
        <f aca="false">IF($B832="","",IF(MOD(ROW()-5,3)=0,"周转打冷",IF(MOD(ROW()-5,3)=1,"仓储加工","装卸费")))</f>
        <v/>
      </c>
      <c r="E832" s="51" t="str">
        <f aca="false">IF($B832="","",IFERROR(IF($D832="周转打冷",N(INDEX(对接源_01入库吨位!$D$5:$D$304,MATCH(INT((ROW()-5)/3)+1,对接源_01入库吨位!$S$5:$S$304,0))),IF($D832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2" s="41" t="str">
        <f aca="false">IF($B832="","",ROUND(IFERROR(IF($D832="周转打冷",N(INDEX(对接源_01入库吨位!$H$5:$H$304,MATCH(INT((ROW()-5)/3)+1,对接源_01入库吨位!$S$5:$S$304,0))),IF($D832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2" s="52" t="str">
        <f aca="false">IF($B832="","",ROUND(N($F832)/1000,3))</f>
        <v/>
      </c>
      <c r="H832" s="74"/>
      <c r="I832" s="44"/>
      <c r="J832" s="75" t="str">
        <f aca="false">IF($B832="","",IF($H832="按筐数×单价",N($E832),IF($H832="按总重KG×单价",N($F832),IF($H832="按吨位×单价",N($G832),0))))</f>
        <v/>
      </c>
      <c r="K832" s="41" t="str">
        <f aca="false">IF($B832="","",ROUND(N($J832)*N($I832),2))</f>
        <v/>
      </c>
      <c r="L832" s="42"/>
      <c r="M832" s="76"/>
      <c r="N832" s="43"/>
      <c r="R832" s="77" t="str">
        <f aca="false">IF($B832="","",$B832)</f>
        <v/>
      </c>
      <c r="S832" s="77" t="n">
        <f aca="false">IF($R832="",0,IF(MATCH($R832,$R$5:$R$904,0)=ROW()-4,1,0))</f>
        <v>0</v>
      </c>
      <c r="T832" s="77" t="n">
        <f aca="false">N(T831)+$S832</f>
        <v>18</v>
      </c>
    </row>
    <row r="833" customFormat="false" ht="13.5" hidden="false" customHeight="false" outlineLevel="0" collapsed="false">
      <c r="A833" s="9" t="str">
        <f aca="false">IF($B833="","",ROW()-4)</f>
        <v/>
      </c>
      <c r="B833" s="39" t="str">
        <f aca="false">IFERROR(INDEX(对接源_01入库吨位!$B$5:$B$304,MATCH(INT((ROW()-5)/3)+1,对接源_01入库吨位!$S$5:$S$304,0)),"")</f>
        <v/>
      </c>
      <c r="C833" s="39" t="str">
        <f aca="false">IFERROR(INDEX(对接源_01入库吨位!$C$5:$C$304,MATCH(INT((ROW()-5)/3)+1,对接源_01入库吨位!$S$5:$S$304,0)),"")</f>
        <v/>
      </c>
      <c r="D833" s="40" t="str">
        <f aca="false">IF($B833="","",IF(MOD(ROW()-5,3)=0,"周转打冷",IF(MOD(ROW()-5,3)=1,"仓储加工","装卸费")))</f>
        <v/>
      </c>
      <c r="E833" s="51" t="str">
        <f aca="false">IF($B833="","",IFERROR(IF($D833="周转打冷",N(INDEX(对接源_01入库吨位!$D$5:$D$304,MATCH(INT((ROW()-5)/3)+1,对接源_01入库吨位!$S$5:$S$304,0))),IF($D833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3" s="41" t="str">
        <f aca="false">IF($B833="","",ROUND(IFERROR(IF($D833="周转打冷",N(INDEX(对接源_01入库吨位!$H$5:$H$304,MATCH(INT((ROW()-5)/3)+1,对接源_01入库吨位!$S$5:$S$304,0))),IF($D833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3" s="52" t="str">
        <f aca="false">IF($B833="","",ROUND(N($F833)/1000,3))</f>
        <v/>
      </c>
      <c r="H833" s="74"/>
      <c r="I833" s="44"/>
      <c r="J833" s="75" t="str">
        <f aca="false">IF($B833="","",IF($H833="按筐数×单价",N($E833),IF($H833="按总重KG×单价",N($F833),IF($H833="按吨位×单价",N($G833),0))))</f>
        <v/>
      </c>
      <c r="K833" s="41" t="str">
        <f aca="false">IF($B833="","",ROUND(N($J833)*N($I833),2))</f>
        <v/>
      </c>
      <c r="L833" s="42"/>
      <c r="M833" s="76"/>
      <c r="N833" s="43"/>
      <c r="R833" s="77" t="str">
        <f aca="false">IF($B833="","",$B833)</f>
        <v/>
      </c>
      <c r="S833" s="77" t="n">
        <f aca="false">IF($R833="",0,IF(MATCH($R833,$R$5:$R$904,0)=ROW()-4,1,0))</f>
        <v>0</v>
      </c>
      <c r="T833" s="77" t="n">
        <f aca="false">N(T832)+$S833</f>
        <v>18</v>
      </c>
    </row>
    <row r="834" customFormat="false" ht="13.5" hidden="false" customHeight="false" outlineLevel="0" collapsed="false">
      <c r="A834" s="9" t="str">
        <f aca="false">IF($B834="","",ROW()-4)</f>
        <v/>
      </c>
      <c r="B834" s="39" t="str">
        <f aca="false">IFERROR(INDEX(对接源_01入库吨位!$B$5:$B$304,MATCH(INT((ROW()-5)/3)+1,对接源_01入库吨位!$S$5:$S$304,0)),"")</f>
        <v/>
      </c>
      <c r="C834" s="39" t="str">
        <f aca="false">IFERROR(INDEX(对接源_01入库吨位!$C$5:$C$304,MATCH(INT((ROW()-5)/3)+1,对接源_01入库吨位!$S$5:$S$304,0)),"")</f>
        <v/>
      </c>
      <c r="D834" s="40" t="str">
        <f aca="false">IF($B834="","",IF(MOD(ROW()-5,3)=0,"周转打冷",IF(MOD(ROW()-5,3)=1,"仓储加工","装卸费")))</f>
        <v/>
      </c>
      <c r="E834" s="51" t="str">
        <f aca="false">IF($B834="","",IFERROR(IF($D834="周转打冷",N(INDEX(对接源_01入库吨位!$D$5:$D$304,MATCH(INT((ROW()-5)/3)+1,对接源_01入库吨位!$S$5:$S$304,0))),IF($D834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4" s="41" t="str">
        <f aca="false">IF($B834="","",ROUND(IFERROR(IF($D834="周转打冷",N(INDEX(对接源_01入库吨位!$H$5:$H$304,MATCH(INT((ROW()-5)/3)+1,对接源_01入库吨位!$S$5:$S$304,0))),IF($D834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4" s="52" t="str">
        <f aca="false">IF($B834="","",ROUND(N($F834)/1000,3))</f>
        <v/>
      </c>
      <c r="H834" s="74"/>
      <c r="I834" s="44"/>
      <c r="J834" s="75" t="str">
        <f aca="false">IF($B834="","",IF($H834="按筐数×单价",N($E834),IF($H834="按总重KG×单价",N($F834),IF($H834="按吨位×单价",N($G834),0))))</f>
        <v/>
      </c>
      <c r="K834" s="41" t="str">
        <f aca="false">IF($B834="","",ROUND(N($J834)*N($I834),2))</f>
        <v/>
      </c>
      <c r="L834" s="42"/>
      <c r="M834" s="76"/>
      <c r="N834" s="43"/>
      <c r="R834" s="77" t="str">
        <f aca="false">IF($B834="","",$B834)</f>
        <v/>
      </c>
      <c r="S834" s="77" t="n">
        <f aca="false">IF($R834="",0,IF(MATCH($R834,$R$5:$R$904,0)=ROW()-4,1,0))</f>
        <v>0</v>
      </c>
      <c r="T834" s="77" t="n">
        <f aca="false">N(T833)+$S834</f>
        <v>18</v>
      </c>
    </row>
    <row r="835" customFormat="false" ht="13.5" hidden="false" customHeight="false" outlineLevel="0" collapsed="false">
      <c r="A835" s="9" t="str">
        <f aca="false">IF($B835="","",ROW()-4)</f>
        <v/>
      </c>
      <c r="B835" s="39" t="str">
        <f aca="false">IFERROR(INDEX(对接源_01入库吨位!$B$5:$B$304,MATCH(INT((ROW()-5)/3)+1,对接源_01入库吨位!$S$5:$S$304,0)),"")</f>
        <v/>
      </c>
      <c r="C835" s="39" t="str">
        <f aca="false">IFERROR(INDEX(对接源_01入库吨位!$C$5:$C$304,MATCH(INT((ROW()-5)/3)+1,对接源_01入库吨位!$S$5:$S$304,0)),"")</f>
        <v/>
      </c>
      <c r="D835" s="40" t="str">
        <f aca="false">IF($B835="","",IF(MOD(ROW()-5,3)=0,"周转打冷",IF(MOD(ROW()-5,3)=1,"仓储加工","装卸费")))</f>
        <v/>
      </c>
      <c r="E835" s="51" t="str">
        <f aca="false">IF($B835="","",IFERROR(IF($D835="周转打冷",N(INDEX(对接源_01入库吨位!$D$5:$D$304,MATCH(INT((ROW()-5)/3)+1,对接源_01入库吨位!$S$5:$S$304,0))),IF($D835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5" s="41" t="str">
        <f aca="false">IF($B835="","",ROUND(IFERROR(IF($D835="周转打冷",N(INDEX(对接源_01入库吨位!$H$5:$H$304,MATCH(INT((ROW()-5)/3)+1,对接源_01入库吨位!$S$5:$S$304,0))),IF($D835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5" s="52" t="str">
        <f aca="false">IF($B835="","",ROUND(N($F835)/1000,3))</f>
        <v/>
      </c>
      <c r="H835" s="74"/>
      <c r="I835" s="44"/>
      <c r="J835" s="75" t="str">
        <f aca="false">IF($B835="","",IF($H835="按筐数×单价",N($E835),IF($H835="按总重KG×单价",N($F835),IF($H835="按吨位×单价",N($G835),0))))</f>
        <v/>
      </c>
      <c r="K835" s="41" t="str">
        <f aca="false">IF($B835="","",ROUND(N($J835)*N($I835),2))</f>
        <v/>
      </c>
      <c r="L835" s="42"/>
      <c r="M835" s="76"/>
      <c r="N835" s="43"/>
      <c r="R835" s="77" t="str">
        <f aca="false">IF($B835="","",$B835)</f>
        <v/>
      </c>
      <c r="S835" s="77" t="n">
        <f aca="false">IF($R835="",0,IF(MATCH($R835,$R$5:$R$904,0)=ROW()-4,1,0))</f>
        <v>0</v>
      </c>
      <c r="T835" s="77" t="n">
        <f aca="false">N(T834)+$S835</f>
        <v>18</v>
      </c>
    </row>
    <row r="836" customFormat="false" ht="13.5" hidden="false" customHeight="false" outlineLevel="0" collapsed="false">
      <c r="A836" s="9" t="str">
        <f aca="false">IF($B836="","",ROW()-4)</f>
        <v/>
      </c>
      <c r="B836" s="39" t="str">
        <f aca="false">IFERROR(INDEX(对接源_01入库吨位!$B$5:$B$304,MATCH(INT((ROW()-5)/3)+1,对接源_01入库吨位!$S$5:$S$304,0)),"")</f>
        <v/>
      </c>
      <c r="C836" s="39" t="str">
        <f aca="false">IFERROR(INDEX(对接源_01入库吨位!$C$5:$C$304,MATCH(INT((ROW()-5)/3)+1,对接源_01入库吨位!$S$5:$S$304,0)),"")</f>
        <v/>
      </c>
      <c r="D836" s="40" t="str">
        <f aca="false">IF($B836="","",IF(MOD(ROW()-5,3)=0,"周转打冷",IF(MOD(ROW()-5,3)=1,"仓储加工","装卸费")))</f>
        <v/>
      </c>
      <c r="E836" s="51" t="str">
        <f aca="false">IF($B836="","",IFERROR(IF($D836="周转打冷",N(INDEX(对接源_01入库吨位!$D$5:$D$304,MATCH(INT((ROW()-5)/3)+1,对接源_01入库吨位!$S$5:$S$304,0))),IF($D836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6" s="41" t="str">
        <f aca="false">IF($B836="","",ROUND(IFERROR(IF($D836="周转打冷",N(INDEX(对接源_01入库吨位!$H$5:$H$304,MATCH(INT((ROW()-5)/3)+1,对接源_01入库吨位!$S$5:$S$304,0))),IF($D836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6" s="52" t="str">
        <f aca="false">IF($B836="","",ROUND(N($F836)/1000,3))</f>
        <v/>
      </c>
      <c r="H836" s="74"/>
      <c r="I836" s="44"/>
      <c r="J836" s="75" t="str">
        <f aca="false">IF($B836="","",IF($H836="按筐数×单价",N($E836),IF($H836="按总重KG×单价",N($F836),IF($H836="按吨位×单价",N($G836),0))))</f>
        <v/>
      </c>
      <c r="K836" s="41" t="str">
        <f aca="false">IF($B836="","",ROUND(N($J836)*N($I836),2))</f>
        <v/>
      </c>
      <c r="L836" s="42"/>
      <c r="M836" s="76"/>
      <c r="N836" s="43"/>
      <c r="R836" s="77" t="str">
        <f aca="false">IF($B836="","",$B836)</f>
        <v/>
      </c>
      <c r="S836" s="77" t="n">
        <f aca="false">IF($R836="",0,IF(MATCH($R836,$R$5:$R$904,0)=ROW()-4,1,0))</f>
        <v>0</v>
      </c>
      <c r="T836" s="77" t="n">
        <f aca="false">N(T835)+$S836</f>
        <v>18</v>
      </c>
    </row>
    <row r="837" customFormat="false" ht="13.5" hidden="false" customHeight="false" outlineLevel="0" collapsed="false">
      <c r="A837" s="9" t="str">
        <f aca="false">IF($B837="","",ROW()-4)</f>
        <v/>
      </c>
      <c r="B837" s="39" t="str">
        <f aca="false">IFERROR(INDEX(对接源_01入库吨位!$B$5:$B$304,MATCH(INT((ROW()-5)/3)+1,对接源_01入库吨位!$S$5:$S$304,0)),"")</f>
        <v/>
      </c>
      <c r="C837" s="39" t="str">
        <f aca="false">IFERROR(INDEX(对接源_01入库吨位!$C$5:$C$304,MATCH(INT((ROW()-5)/3)+1,对接源_01入库吨位!$S$5:$S$304,0)),"")</f>
        <v/>
      </c>
      <c r="D837" s="40" t="str">
        <f aca="false">IF($B837="","",IF(MOD(ROW()-5,3)=0,"周转打冷",IF(MOD(ROW()-5,3)=1,"仓储加工","装卸费")))</f>
        <v/>
      </c>
      <c r="E837" s="51" t="str">
        <f aca="false">IF($B837="","",IFERROR(IF($D837="周转打冷",N(INDEX(对接源_01入库吨位!$D$5:$D$304,MATCH(INT((ROW()-5)/3)+1,对接源_01入库吨位!$S$5:$S$304,0))),IF($D837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7" s="41" t="str">
        <f aca="false">IF($B837="","",ROUND(IFERROR(IF($D837="周转打冷",N(INDEX(对接源_01入库吨位!$H$5:$H$304,MATCH(INT((ROW()-5)/3)+1,对接源_01入库吨位!$S$5:$S$304,0))),IF($D837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7" s="52" t="str">
        <f aca="false">IF($B837="","",ROUND(N($F837)/1000,3))</f>
        <v/>
      </c>
      <c r="H837" s="74"/>
      <c r="I837" s="44"/>
      <c r="J837" s="75" t="str">
        <f aca="false">IF($B837="","",IF($H837="按筐数×单价",N($E837),IF($H837="按总重KG×单价",N($F837),IF($H837="按吨位×单价",N($G837),0))))</f>
        <v/>
      </c>
      <c r="K837" s="41" t="str">
        <f aca="false">IF($B837="","",ROUND(N($J837)*N($I837),2))</f>
        <v/>
      </c>
      <c r="L837" s="42"/>
      <c r="M837" s="76"/>
      <c r="N837" s="43"/>
      <c r="R837" s="77" t="str">
        <f aca="false">IF($B837="","",$B837)</f>
        <v/>
      </c>
      <c r="S837" s="77" t="n">
        <f aca="false">IF($R837="",0,IF(MATCH($R837,$R$5:$R$904,0)=ROW()-4,1,0))</f>
        <v>0</v>
      </c>
      <c r="T837" s="77" t="n">
        <f aca="false">N(T836)+$S837</f>
        <v>18</v>
      </c>
    </row>
    <row r="838" customFormat="false" ht="13.5" hidden="false" customHeight="false" outlineLevel="0" collapsed="false">
      <c r="A838" s="9" t="str">
        <f aca="false">IF($B838="","",ROW()-4)</f>
        <v/>
      </c>
      <c r="B838" s="39" t="str">
        <f aca="false">IFERROR(INDEX(对接源_01入库吨位!$B$5:$B$304,MATCH(INT((ROW()-5)/3)+1,对接源_01入库吨位!$S$5:$S$304,0)),"")</f>
        <v/>
      </c>
      <c r="C838" s="39" t="str">
        <f aca="false">IFERROR(INDEX(对接源_01入库吨位!$C$5:$C$304,MATCH(INT((ROW()-5)/3)+1,对接源_01入库吨位!$S$5:$S$304,0)),"")</f>
        <v/>
      </c>
      <c r="D838" s="40" t="str">
        <f aca="false">IF($B838="","",IF(MOD(ROW()-5,3)=0,"周转打冷",IF(MOD(ROW()-5,3)=1,"仓储加工","装卸费")))</f>
        <v/>
      </c>
      <c r="E838" s="51" t="str">
        <f aca="false">IF($B838="","",IFERROR(IF($D838="周转打冷",N(INDEX(对接源_01入库吨位!$D$5:$D$304,MATCH(INT((ROW()-5)/3)+1,对接源_01入库吨位!$S$5:$S$304,0))),IF($D838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8" s="41" t="str">
        <f aca="false">IF($B838="","",ROUND(IFERROR(IF($D838="周转打冷",N(INDEX(对接源_01入库吨位!$H$5:$H$304,MATCH(INT((ROW()-5)/3)+1,对接源_01入库吨位!$S$5:$S$304,0))),IF($D838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8" s="52" t="str">
        <f aca="false">IF($B838="","",ROUND(N($F838)/1000,3))</f>
        <v/>
      </c>
      <c r="H838" s="74"/>
      <c r="I838" s="44"/>
      <c r="J838" s="75" t="str">
        <f aca="false">IF($B838="","",IF($H838="按筐数×单价",N($E838),IF($H838="按总重KG×单价",N($F838),IF($H838="按吨位×单价",N($G838),0))))</f>
        <v/>
      </c>
      <c r="K838" s="41" t="str">
        <f aca="false">IF($B838="","",ROUND(N($J838)*N($I838),2))</f>
        <v/>
      </c>
      <c r="L838" s="42"/>
      <c r="M838" s="76"/>
      <c r="N838" s="43"/>
      <c r="R838" s="77" t="str">
        <f aca="false">IF($B838="","",$B838)</f>
        <v/>
      </c>
      <c r="S838" s="77" t="n">
        <f aca="false">IF($R838="",0,IF(MATCH($R838,$R$5:$R$904,0)=ROW()-4,1,0))</f>
        <v>0</v>
      </c>
      <c r="T838" s="77" t="n">
        <f aca="false">N(T837)+$S838</f>
        <v>18</v>
      </c>
    </row>
    <row r="839" customFormat="false" ht="13.5" hidden="false" customHeight="false" outlineLevel="0" collapsed="false">
      <c r="A839" s="9" t="str">
        <f aca="false">IF($B839="","",ROW()-4)</f>
        <v/>
      </c>
      <c r="B839" s="39" t="str">
        <f aca="false">IFERROR(INDEX(对接源_01入库吨位!$B$5:$B$304,MATCH(INT((ROW()-5)/3)+1,对接源_01入库吨位!$S$5:$S$304,0)),"")</f>
        <v/>
      </c>
      <c r="C839" s="39" t="str">
        <f aca="false">IFERROR(INDEX(对接源_01入库吨位!$C$5:$C$304,MATCH(INT((ROW()-5)/3)+1,对接源_01入库吨位!$S$5:$S$304,0)),"")</f>
        <v/>
      </c>
      <c r="D839" s="40" t="str">
        <f aca="false">IF($B839="","",IF(MOD(ROW()-5,3)=0,"周转打冷",IF(MOD(ROW()-5,3)=1,"仓储加工","装卸费")))</f>
        <v/>
      </c>
      <c r="E839" s="51" t="str">
        <f aca="false">IF($B839="","",IFERROR(IF($D839="周转打冷",N(INDEX(对接源_01入库吨位!$D$5:$D$304,MATCH(INT((ROW()-5)/3)+1,对接源_01入库吨位!$S$5:$S$304,0))),IF($D839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39" s="41" t="str">
        <f aca="false">IF($B839="","",ROUND(IFERROR(IF($D839="周转打冷",N(INDEX(对接源_01入库吨位!$H$5:$H$304,MATCH(INT((ROW()-5)/3)+1,对接源_01入库吨位!$S$5:$S$304,0))),IF($D839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39" s="52" t="str">
        <f aca="false">IF($B839="","",ROUND(N($F839)/1000,3))</f>
        <v/>
      </c>
      <c r="H839" s="74"/>
      <c r="I839" s="44"/>
      <c r="J839" s="75" t="str">
        <f aca="false">IF($B839="","",IF($H839="按筐数×单价",N($E839),IF($H839="按总重KG×单价",N($F839),IF($H839="按吨位×单价",N($G839),0))))</f>
        <v/>
      </c>
      <c r="K839" s="41" t="str">
        <f aca="false">IF($B839="","",ROUND(N($J839)*N($I839),2))</f>
        <v/>
      </c>
      <c r="L839" s="42"/>
      <c r="M839" s="76"/>
      <c r="N839" s="43"/>
      <c r="R839" s="77" t="str">
        <f aca="false">IF($B839="","",$B839)</f>
        <v/>
      </c>
      <c r="S839" s="77" t="n">
        <f aca="false">IF($R839="",0,IF(MATCH($R839,$R$5:$R$904,0)=ROW()-4,1,0))</f>
        <v>0</v>
      </c>
      <c r="T839" s="77" t="n">
        <f aca="false">N(T838)+$S839</f>
        <v>18</v>
      </c>
    </row>
    <row r="840" customFormat="false" ht="13.5" hidden="false" customHeight="false" outlineLevel="0" collapsed="false">
      <c r="A840" s="9" t="str">
        <f aca="false">IF($B840="","",ROW()-4)</f>
        <v/>
      </c>
      <c r="B840" s="39" t="str">
        <f aca="false">IFERROR(INDEX(对接源_01入库吨位!$B$5:$B$304,MATCH(INT((ROW()-5)/3)+1,对接源_01入库吨位!$S$5:$S$304,0)),"")</f>
        <v/>
      </c>
      <c r="C840" s="39" t="str">
        <f aca="false">IFERROR(INDEX(对接源_01入库吨位!$C$5:$C$304,MATCH(INT((ROW()-5)/3)+1,对接源_01入库吨位!$S$5:$S$304,0)),"")</f>
        <v/>
      </c>
      <c r="D840" s="40" t="str">
        <f aca="false">IF($B840="","",IF(MOD(ROW()-5,3)=0,"周转打冷",IF(MOD(ROW()-5,3)=1,"仓储加工","装卸费")))</f>
        <v/>
      </c>
      <c r="E840" s="51" t="str">
        <f aca="false">IF($B840="","",IFERROR(IF($D840="周转打冷",N(INDEX(对接源_01入库吨位!$D$5:$D$304,MATCH(INT((ROW()-5)/3)+1,对接源_01入库吨位!$S$5:$S$304,0))),IF($D840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0" s="41" t="str">
        <f aca="false">IF($B840="","",ROUND(IFERROR(IF($D840="周转打冷",N(INDEX(对接源_01入库吨位!$H$5:$H$304,MATCH(INT((ROW()-5)/3)+1,对接源_01入库吨位!$S$5:$S$304,0))),IF($D840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0" s="52" t="str">
        <f aca="false">IF($B840="","",ROUND(N($F840)/1000,3))</f>
        <v/>
      </c>
      <c r="H840" s="74"/>
      <c r="I840" s="44"/>
      <c r="J840" s="75" t="str">
        <f aca="false">IF($B840="","",IF($H840="按筐数×单价",N($E840),IF($H840="按总重KG×单价",N($F840),IF($H840="按吨位×单价",N($G840),0))))</f>
        <v/>
      </c>
      <c r="K840" s="41" t="str">
        <f aca="false">IF($B840="","",ROUND(N($J840)*N($I840),2))</f>
        <v/>
      </c>
      <c r="L840" s="42"/>
      <c r="M840" s="76"/>
      <c r="N840" s="43"/>
      <c r="R840" s="77" t="str">
        <f aca="false">IF($B840="","",$B840)</f>
        <v/>
      </c>
      <c r="S840" s="77" t="n">
        <f aca="false">IF($R840="",0,IF(MATCH($R840,$R$5:$R$904,0)=ROW()-4,1,0))</f>
        <v>0</v>
      </c>
      <c r="T840" s="77" t="n">
        <f aca="false">N(T839)+$S840</f>
        <v>18</v>
      </c>
    </row>
    <row r="841" customFormat="false" ht="13.5" hidden="false" customHeight="false" outlineLevel="0" collapsed="false">
      <c r="A841" s="9" t="str">
        <f aca="false">IF($B841="","",ROW()-4)</f>
        <v/>
      </c>
      <c r="B841" s="39" t="str">
        <f aca="false">IFERROR(INDEX(对接源_01入库吨位!$B$5:$B$304,MATCH(INT((ROW()-5)/3)+1,对接源_01入库吨位!$S$5:$S$304,0)),"")</f>
        <v/>
      </c>
      <c r="C841" s="39" t="str">
        <f aca="false">IFERROR(INDEX(对接源_01入库吨位!$C$5:$C$304,MATCH(INT((ROW()-5)/3)+1,对接源_01入库吨位!$S$5:$S$304,0)),"")</f>
        <v/>
      </c>
      <c r="D841" s="40" t="str">
        <f aca="false">IF($B841="","",IF(MOD(ROW()-5,3)=0,"周转打冷",IF(MOD(ROW()-5,3)=1,"仓储加工","装卸费")))</f>
        <v/>
      </c>
      <c r="E841" s="51" t="str">
        <f aca="false">IF($B841="","",IFERROR(IF($D841="周转打冷",N(INDEX(对接源_01入库吨位!$D$5:$D$304,MATCH(INT((ROW()-5)/3)+1,对接源_01入库吨位!$S$5:$S$304,0))),IF($D841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1" s="41" t="str">
        <f aca="false">IF($B841="","",ROUND(IFERROR(IF($D841="周转打冷",N(INDEX(对接源_01入库吨位!$H$5:$H$304,MATCH(INT((ROW()-5)/3)+1,对接源_01入库吨位!$S$5:$S$304,0))),IF($D841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1" s="52" t="str">
        <f aca="false">IF($B841="","",ROUND(N($F841)/1000,3))</f>
        <v/>
      </c>
      <c r="H841" s="74"/>
      <c r="I841" s="44"/>
      <c r="J841" s="75" t="str">
        <f aca="false">IF($B841="","",IF($H841="按筐数×单价",N($E841),IF($H841="按总重KG×单价",N($F841),IF($H841="按吨位×单价",N($G841),0))))</f>
        <v/>
      </c>
      <c r="K841" s="41" t="str">
        <f aca="false">IF($B841="","",ROUND(N($J841)*N($I841),2))</f>
        <v/>
      </c>
      <c r="L841" s="42"/>
      <c r="M841" s="76"/>
      <c r="N841" s="43"/>
      <c r="R841" s="77" t="str">
        <f aca="false">IF($B841="","",$B841)</f>
        <v/>
      </c>
      <c r="S841" s="77" t="n">
        <f aca="false">IF($R841="",0,IF(MATCH($R841,$R$5:$R$904,0)=ROW()-4,1,0))</f>
        <v>0</v>
      </c>
      <c r="T841" s="77" t="n">
        <f aca="false">N(T840)+$S841</f>
        <v>18</v>
      </c>
    </row>
    <row r="842" customFormat="false" ht="13.5" hidden="false" customHeight="false" outlineLevel="0" collapsed="false">
      <c r="A842" s="9" t="str">
        <f aca="false">IF($B842="","",ROW()-4)</f>
        <v/>
      </c>
      <c r="B842" s="39" t="str">
        <f aca="false">IFERROR(INDEX(对接源_01入库吨位!$B$5:$B$304,MATCH(INT((ROW()-5)/3)+1,对接源_01入库吨位!$S$5:$S$304,0)),"")</f>
        <v/>
      </c>
      <c r="C842" s="39" t="str">
        <f aca="false">IFERROR(INDEX(对接源_01入库吨位!$C$5:$C$304,MATCH(INT((ROW()-5)/3)+1,对接源_01入库吨位!$S$5:$S$304,0)),"")</f>
        <v/>
      </c>
      <c r="D842" s="40" t="str">
        <f aca="false">IF($B842="","",IF(MOD(ROW()-5,3)=0,"周转打冷",IF(MOD(ROW()-5,3)=1,"仓储加工","装卸费")))</f>
        <v/>
      </c>
      <c r="E842" s="51" t="str">
        <f aca="false">IF($B842="","",IFERROR(IF($D842="周转打冷",N(INDEX(对接源_01入库吨位!$D$5:$D$304,MATCH(INT((ROW()-5)/3)+1,对接源_01入库吨位!$S$5:$S$304,0))),IF($D842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2" s="41" t="str">
        <f aca="false">IF($B842="","",ROUND(IFERROR(IF($D842="周转打冷",N(INDEX(对接源_01入库吨位!$H$5:$H$304,MATCH(INT((ROW()-5)/3)+1,对接源_01入库吨位!$S$5:$S$304,0))),IF($D842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2" s="52" t="str">
        <f aca="false">IF($B842="","",ROUND(N($F842)/1000,3))</f>
        <v/>
      </c>
      <c r="H842" s="74"/>
      <c r="I842" s="44"/>
      <c r="J842" s="75" t="str">
        <f aca="false">IF($B842="","",IF($H842="按筐数×单价",N($E842),IF($H842="按总重KG×单价",N($F842),IF($H842="按吨位×单价",N($G842),0))))</f>
        <v/>
      </c>
      <c r="K842" s="41" t="str">
        <f aca="false">IF($B842="","",ROUND(N($J842)*N($I842),2))</f>
        <v/>
      </c>
      <c r="L842" s="42"/>
      <c r="M842" s="76"/>
      <c r="N842" s="43"/>
      <c r="R842" s="77" t="str">
        <f aca="false">IF($B842="","",$B842)</f>
        <v/>
      </c>
      <c r="S842" s="77" t="n">
        <f aca="false">IF($R842="",0,IF(MATCH($R842,$R$5:$R$904,0)=ROW()-4,1,0))</f>
        <v>0</v>
      </c>
      <c r="T842" s="77" t="n">
        <f aca="false">N(T841)+$S842</f>
        <v>18</v>
      </c>
    </row>
    <row r="843" customFormat="false" ht="13.5" hidden="false" customHeight="false" outlineLevel="0" collapsed="false">
      <c r="A843" s="9" t="str">
        <f aca="false">IF($B843="","",ROW()-4)</f>
        <v/>
      </c>
      <c r="B843" s="39" t="str">
        <f aca="false">IFERROR(INDEX(对接源_01入库吨位!$B$5:$B$304,MATCH(INT((ROW()-5)/3)+1,对接源_01入库吨位!$S$5:$S$304,0)),"")</f>
        <v/>
      </c>
      <c r="C843" s="39" t="str">
        <f aca="false">IFERROR(INDEX(对接源_01入库吨位!$C$5:$C$304,MATCH(INT((ROW()-5)/3)+1,对接源_01入库吨位!$S$5:$S$304,0)),"")</f>
        <v/>
      </c>
      <c r="D843" s="40" t="str">
        <f aca="false">IF($B843="","",IF(MOD(ROW()-5,3)=0,"周转打冷",IF(MOD(ROW()-5,3)=1,"仓储加工","装卸费")))</f>
        <v/>
      </c>
      <c r="E843" s="51" t="str">
        <f aca="false">IF($B843="","",IFERROR(IF($D843="周转打冷",N(INDEX(对接源_01入库吨位!$D$5:$D$304,MATCH(INT((ROW()-5)/3)+1,对接源_01入库吨位!$S$5:$S$304,0))),IF($D843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3" s="41" t="str">
        <f aca="false">IF($B843="","",ROUND(IFERROR(IF($D843="周转打冷",N(INDEX(对接源_01入库吨位!$H$5:$H$304,MATCH(INT((ROW()-5)/3)+1,对接源_01入库吨位!$S$5:$S$304,0))),IF($D843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3" s="52" t="str">
        <f aca="false">IF($B843="","",ROUND(N($F843)/1000,3))</f>
        <v/>
      </c>
      <c r="H843" s="74"/>
      <c r="I843" s="44"/>
      <c r="J843" s="75" t="str">
        <f aca="false">IF($B843="","",IF($H843="按筐数×单价",N($E843),IF($H843="按总重KG×单价",N($F843),IF($H843="按吨位×单价",N($G843),0))))</f>
        <v/>
      </c>
      <c r="K843" s="41" t="str">
        <f aca="false">IF($B843="","",ROUND(N($J843)*N($I843),2))</f>
        <v/>
      </c>
      <c r="L843" s="42"/>
      <c r="M843" s="76"/>
      <c r="N843" s="43"/>
      <c r="R843" s="77" t="str">
        <f aca="false">IF($B843="","",$B843)</f>
        <v/>
      </c>
      <c r="S843" s="77" t="n">
        <f aca="false">IF($R843="",0,IF(MATCH($R843,$R$5:$R$904,0)=ROW()-4,1,0))</f>
        <v>0</v>
      </c>
      <c r="T843" s="77" t="n">
        <f aca="false">N(T842)+$S843</f>
        <v>18</v>
      </c>
    </row>
    <row r="844" customFormat="false" ht="13.5" hidden="false" customHeight="false" outlineLevel="0" collapsed="false">
      <c r="A844" s="9" t="str">
        <f aca="false">IF($B844="","",ROW()-4)</f>
        <v/>
      </c>
      <c r="B844" s="39" t="str">
        <f aca="false">IFERROR(INDEX(对接源_01入库吨位!$B$5:$B$304,MATCH(INT((ROW()-5)/3)+1,对接源_01入库吨位!$S$5:$S$304,0)),"")</f>
        <v/>
      </c>
      <c r="C844" s="39" t="str">
        <f aca="false">IFERROR(INDEX(对接源_01入库吨位!$C$5:$C$304,MATCH(INT((ROW()-5)/3)+1,对接源_01入库吨位!$S$5:$S$304,0)),"")</f>
        <v/>
      </c>
      <c r="D844" s="40" t="str">
        <f aca="false">IF($B844="","",IF(MOD(ROW()-5,3)=0,"周转打冷",IF(MOD(ROW()-5,3)=1,"仓储加工","装卸费")))</f>
        <v/>
      </c>
      <c r="E844" s="51" t="str">
        <f aca="false">IF($B844="","",IFERROR(IF($D844="周转打冷",N(INDEX(对接源_01入库吨位!$D$5:$D$304,MATCH(INT((ROW()-5)/3)+1,对接源_01入库吨位!$S$5:$S$304,0))),IF($D844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4" s="41" t="str">
        <f aca="false">IF($B844="","",ROUND(IFERROR(IF($D844="周转打冷",N(INDEX(对接源_01入库吨位!$H$5:$H$304,MATCH(INT((ROW()-5)/3)+1,对接源_01入库吨位!$S$5:$S$304,0))),IF($D844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4" s="52" t="str">
        <f aca="false">IF($B844="","",ROUND(N($F844)/1000,3))</f>
        <v/>
      </c>
      <c r="H844" s="74"/>
      <c r="I844" s="44"/>
      <c r="J844" s="75" t="str">
        <f aca="false">IF($B844="","",IF($H844="按筐数×单价",N($E844),IF($H844="按总重KG×单价",N($F844),IF($H844="按吨位×单价",N($G844),0))))</f>
        <v/>
      </c>
      <c r="K844" s="41" t="str">
        <f aca="false">IF($B844="","",ROUND(N($J844)*N($I844),2))</f>
        <v/>
      </c>
      <c r="L844" s="42"/>
      <c r="M844" s="76"/>
      <c r="N844" s="43"/>
      <c r="R844" s="77" t="str">
        <f aca="false">IF($B844="","",$B844)</f>
        <v/>
      </c>
      <c r="S844" s="77" t="n">
        <f aca="false">IF($R844="",0,IF(MATCH($R844,$R$5:$R$904,0)=ROW()-4,1,0))</f>
        <v>0</v>
      </c>
      <c r="T844" s="77" t="n">
        <f aca="false">N(T843)+$S844</f>
        <v>18</v>
      </c>
    </row>
    <row r="845" customFormat="false" ht="13.5" hidden="false" customHeight="false" outlineLevel="0" collapsed="false">
      <c r="A845" s="9" t="str">
        <f aca="false">IF($B845="","",ROW()-4)</f>
        <v/>
      </c>
      <c r="B845" s="39" t="str">
        <f aca="false">IFERROR(INDEX(对接源_01入库吨位!$B$5:$B$304,MATCH(INT((ROW()-5)/3)+1,对接源_01入库吨位!$S$5:$S$304,0)),"")</f>
        <v/>
      </c>
      <c r="C845" s="39" t="str">
        <f aca="false">IFERROR(INDEX(对接源_01入库吨位!$C$5:$C$304,MATCH(INT((ROW()-5)/3)+1,对接源_01入库吨位!$S$5:$S$304,0)),"")</f>
        <v/>
      </c>
      <c r="D845" s="40" t="str">
        <f aca="false">IF($B845="","",IF(MOD(ROW()-5,3)=0,"周转打冷",IF(MOD(ROW()-5,3)=1,"仓储加工","装卸费")))</f>
        <v/>
      </c>
      <c r="E845" s="51" t="str">
        <f aca="false">IF($B845="","",IFERROR(IF($D845="周转打冷",N(INDEX(对接源_01入库吨位!$D$5:$D$304,MATCH(INT((ROW()-5)/3)+1,对接源_01入库吨位!$S$5:$S$304,0))),IF($D845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5" s="41" t="str">
        <f aca="false">IF($B845="","",ROUND(IFERROR(IF($D845="周转打冷",N(INDEX(对接源_01入库吨位!$H$5:$H$304,MATCH(INT((ROW()-5)/3)+1,对接源_01入库吨位!$S$5:$S$304,0))),IF($D845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5" s="52" t="str">
        <f aca="false">IF($B845="","",ROUND(N($F845)/1000,3))</f>
        <v/>
      </c>
      <c r="H845" s="74"/>
      <c r="I845" s="44"/>
      <c r="J845" s="75" t="str">
        <f aca="false">IF($B845="","",IF($H845="按筐数×单价",N($E845),IF($H845="按总重KG×单价",N($F845),IF($H845="按吨位×单价",N($G845),0))))</f>
        <v/>
      </c>
      <c r="K845" s="41" t="str">
        <f aca="false">IF($B845="","",ROUND(N($J845)*N($I845),2))</f>
        <v/>
      </c>
      <c r="L845" s="42"/>
      <c r="M845" s="76"/>
      <c r="N845" s="43"/>
      <c r="R845" s="77" t="str">
        <f aca="false">IF($B845="","",$B845)</f>
        <v/>
      </c>
      <c r="S845" s="77" t="n">
        <f aca="false">IF($R845="",0,IF(MATCH($R845,$R$5:$R$904,0)=ROW()-4,1,0))</f>
        <v>0</v>
      </c>
      <c r="T845" s="77" t="n">
        <f aca="false">N(T844)+$S845</f>
        <v>18</v>
      </c>
    </row>
    <row r="846" customFormat="false" ht="13.5" hidden="false" customHeight="false" outlineLevel="0" collapsed="false">
      <c r="A846" s="9" t="str">
        <f aca="false">IF($B846="","",ROW()-4)</f>
        <v/>
      </c>
      <c r="B846" s="39" t="str">
        <f aca="false">IFERROR(INDEX(对接源_01入库吨位!$B$5:$B$304,MATCH(INT((ROW()-5)/3)+1,对接源_01入库吨位!$S$5:$S$304,0)),"")</f>
        <v/>
      </c>
      <c r="C846" s="39" t="str">
        <f aca="false">IFERROR(INDEX(对接源_01入库吨位!$C$5:$C$304,MATCH(INT((ROW()-5)/3)+1,对接源_01入库吨位!$S$5:$S$304,0)),"")</f>
        <v/>
      </c>
      <c r="D846" s="40" t="str">
        <f aca="false">IF($B846="","",IF(MOD(ROW()-5,3)=0,"周转打冷",IF(MOD(ROW()-5,3)=1,"仓储加工","装卸费")))</f>
        <v/>
      </c>
      <c r="E846" s="51" t="str">
        <f aca="false">IF($B846="","",IFERROR(IF($D846="周转打冷",N(INDEX(对接源_01入库吨位!$D$5:$D$304,MATCH(INT((ROW()-5)/3)+1,对接源_01入库吨位!$S$5:$S$304,0))),IF($D846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6" s="41" t="str">
        <f aca="false">IF($B846="","",ROUND(IFERROR(IF($D846="周转打冷",N(INDEX(对接源_01入库吨位!$H$5:$H$304,MATCH(INT((ROW()-5)/3)+1,对接源_01入库吨位!$S$5:$S$304,0))),IF($D846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6" s="52" t="str">
        <f aca="false">IF($B846="","",ROUND(N($F846)/1000,3))</f>
        <v/>
      </c>
      <c r="H846" s="74"/>
      <c r="I846" s="44"/>
      <c r="J846" s="75" t="str">
        <f aca="false">IF($B846="","",IF($H846="按筐数×单价",N($E846),IF($H846="按总重KG×单价",N($F846),IF($H846="按吨位×单价",N($G846),0))))</f>
        <v/>
      </c>
      <c r="K846" s="41" t="str">
        <f aca="false">IF($B846="","",ROUND(N($J846)*N($I846),2))</f>
        <v/>
      </c>
      <c r="L846" s="42"/>
      <c r="M846" s="76"/>
      <c r="N846" s="43"/>
      <c r="R846" s="77" t="str">
        <f aca="false">IF($B846="","",$B846)</f>
        <v/>
      </c>
      <c r="S846" s="77" t="n">
        <f aca="false">IF($R846="",0,IF(MATCH($R846,$R$5:$R$904,0)=ROW()-4,1,0))</f>
        <v>0</v>
      </c>
      <c r="T846" s="77" t="n">
        <f aca="false">N(T845)+$S846</f>
        <v>18</v>
      </c>
    </row>
    <row r="847" customFormat="false" ht="13.5" hidden="false" customHeight="false" outlineLevel="0" collapsed="false">
      <c r="A847" s="9" t="str">
        <f aca="false">IF($B847="","",ROW()-4)</f>
        <v/>
      </c>
      <c r="B847" s="39" t="str">
        <f aca="false">IFERROR(INDEX(对接源_01入库吨位!$B$5:$B$304,MATCH(INT((ROW()-5)/3)+1,对接源_01入库吨位!$S$5:$S$304,0)),"")</f>
        <v/>
      </c>
      <c r="C847" s="39" t="str">
        <f aca="false">IFERROR(INDEX(对接源_01入库吨位!$C$5:$C$304,MATCH(INT((ROW()-5)/3)+1,对接源_01入库吨位!$S$5:$S$304,0)),"")</f>
        <v/>
      </c>
      <c r="D847" s="40" t="str">
        <f aca="false">IF($B847="","",IF(MOD(ROW()-5,3)=0,"周转打冷",IF(MOD(ROW()-5,3)=1,"仓储加工","装卸费")))</f>
        <v/>
      </c>
      <c r="E847" s="51" t="str">
        <f aca="false">IF($B847="","",IFERROR(IF($D847="周转打冷",N(INDEX(对接源_01入库吨位!$D$5:$D$304,MATCH(INT((ROW()-5)/3)+1,对接源_01入库吨位!$S$5:$S$304,0))),IF($D847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7" s="41" t="str">
        <f aca="false">IF($B847="","",ROUND(IFERROR(IF($D847="周转打冷",N(INDEX(对接源_01入库吨位!$H$5:$H$304,MATCH(INT((ROW()-5)/3)+1,对接源_01入库吨位!$S$5:$S$304,0))),IF($D847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7" s="52" t="str">
        <f aca="false">IF($B847="","",ROUND(N($F847)/1000,3))</f>
        <v/>
      </c>
      <c r="H847" s="74"/>
      <c r="I847" s="44"/>
      <c r="J847" s="75" t="str">
        <f aca="false">IF($B847="","",IF($H847="按筐数×单价",N($E847),IF($H847="按总重KG×单价",N($F847),IF($H847="按吨位×单价",N($G847),0))))</f>
        <v/>
      </c>
      <c r="K847" s="41" t="str">
        <f aca="false">IF($B847="","",ROUND(N($J847)*N($I847),2))</f>
        <v/>
      </c>
      <c r="L847" s="42"/>
      <c r="M847" s="76"/>
      <c r="N847" s="43"/>
      <c r="R847" s="77" t="str">
        <f aca="false">IF($B847="","",$B847)</f>
        <v/>
      </c>
      <c r="S847" s="77" t="n">
        <f aca="false">IF($R847="",0,IF(MATCH($R847,$R$5:$R$904,0)=ROW()-4,1,0))</f>
        <v>0</v>
      </c>
      <c r="T847" s="77" t="n">
        <f aca="false">N(T846)+$S847</f>
        <v>18</v>
      </c>
    </row>
    <row r="848" customFormat="false" ht="13.5" hidden="false" customHeight="false" outlineLevel="0" collapsed="false">
      <c r="A848" s="9" t="str">
        <f aca="false">IF($B848="","",ROW()-4)</f>
        <v/>
      </c>
      <c r="B848" s="39" t="str">
        <f aca="false">IFERROR(INDEX(对接源_01入库吨位!$B$5:$B$304,MATCH(INT((ROW()-5)/3)+1,对接源_01入库吨位!$S$5:$S$304,0)),"")</f>
        <v/>
      </c>
      <c r="C848" s="39" t="str">
        <f aca="false">IFERROR(INDEX(对接源_01入库吨位!$C$5:$C$304,MATCH(INT((ROW()-5)/3)+1,对接源_01入库吨位!$S$5:$S$304,0)),"")</f>
        <v/>
      </c>
      <c r="D848" s="40" t="str">
        <f aca="false">IF($B848="","",IF(MOD(ROW()-5,3)=0,"周转打冷",IF(MOD(ROW()-5,3)=1,"仓储加工","装卸费")))</f>
        <v/>
      </c>
      <c r="E848" s="51" t="str">
        <f aca="false">IF($B848="","",IFERROR(IF($D848="周转打冷",N(INDEX(对接源_01入库吨位!$D$5:$D$304,MATCH(INT((ROW()-5)/3)+1,对接源_01入库吨位!$S$5:$S$304,0))),IF($D848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8" s="41" t="str">
        <f aca="false">IF($B848="","",ROUND(IFERROR(IF($D848="周转打冷",N(INDEX(对接源_01入库吨位!$H$5:$H$304,MATCH(INT((ROW()-5)/3)+1,对接源_01入库吨位!$S$5:$S$304,0))),IF($D848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8" s="52" t="str">
        <f aca="false">IF($B848="","",ROUND(N($F848)/1000,3))</f>
        <v/>
      </c>
      <c r="H848" s="74"/>
      <c r="I848" s="44"/>
      <c r="J848" s="75" t="str">
        <f aca="false">IF($B848="","",IF($H848="按筐数×单价",N($E848),IF($H848="按总重KG×单价",N($F848),IF($H848="按吨位×单价",N($G848),0))))</f>
        <v/>
      </c>
      <c r="K848" s="41" t="str">
        <f aca="false">IF($B848="","",ROUND(N($J848)*N($I848),2))</f>
        <v/>
      </c>
      <c r="L848" s="42"/>
      <c r="M848" s="76"/>
      <c r="N848" s="43"/>
      <c r="R848" s="77" t="str">
        <f aca="false">IF($B848="","",$B848)</f>
        <v/>
      </c>
      <c r="S848" s="77" t="n">
        <f aca="false">IF($R848="",0,IF(MATCH($R848,$R$5:$R$904,0)=ROW()-4,1,0))</f>
        <v>0</v>
      </c>
      <c r="T848" s="77" t="n">
        <f aca="false">N(T847)+$S848</f>
        <v>18</v>
      </c>
    </row>
    <row r="849" customFormat="false" ht="13.5" hidden="false" customHeight="false" outlineLevel="0" collapsed="false">
      <c r="A849" s="9" t="str">
        <f aca="false">IF($B849="","",ROW()-4)</f>
        <v/>
      </c>
      <c r="B849" s="39" t="str">
        <f aca="false">IFERROR(INDEX(对接源_01入库吨位!$B$5:$B$304,MATCH(INT((ROW()-5)/3)+1,对接源_01入库吨位!$S$5:$S$304,0)),"")</f>
        <v/>
      </c>
      <c r="C849" s="39" t="str">
        <f aca="false">IFERROR(INDEX(对接源_01入库吨位!$C$5:$C$304,MATCH(INT((ROW()-5)/3)+1,对接源_01入库吨位!$S$5:$S$304,0)),"")</f>
        <v/>
      </c>
      <c r="D849" s="40" t="str">
        <f aca="false">IF($B849="","",IF(MOD(ROW()-5,3)=0,"周转打冷",IF(MOD(ROW()-5,3)=1,"仓储加工","装卸费")))</f>
        <v/>
      </c>
      <c r="E849" s="51" t="str">
        <f aca="false">IF($B849="","",IFERROR(IF($D849="周转打冷",N(INDEX(对接源_01入库吨位!$D$5:$D$304,MATCH(INT((ROW()-5)/3)+1,对接源_01入库吨位!$S$5:$S$304,0))),IF($D849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49" s="41" t="str">
        <f aca="false">IF($B849="","",ROUND(IFERROR(IF($D849="周转打冷",N(INDEX(对接源_01入库吨位!$H$5:$H$304,MATCH(INT((ROW()-5)/3)+1,对接源_01入库吨位!$S$5:$S$304,0))),IF($D849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49" s="52" t="str">
        <f aca="false">IF($B849="","",ROUND(N($F849)/1000,3))</f>
        <v/>
      </c>
      <c r="H849" s="74"/>
      <c r="I849" s="44"/>
      <c r="J849" s="75" t="str">
        <f aca="false">IF($B849="","",IF($H849="按筐数×单价",N($E849),IF($H849="按总重KG×单价",N($F849),IF($H849="按吨位×单价",N($G849),0))))</f>
        <v/>
      </c>
      <c r="K849" s="41" t="str">
        <f aca="false">IF($B849="","",ROUND(N($J849)*N($I849),2))</f>
        <v/>
      </c>
      <c r="L849" s="42"/>
      <c r="M849" s="76"/>
      <c r="N849" s="43"/>
      <c r="R849" s="77" t="str">
        <f aca="false">IF($B849="","",$B849)</f>
        <v/>
      </c>
      <c r="S849" s="77" t="n">
        <f aca="false">IF($R849="",0,IF(MATCH($R849,$R$5:$R$904,0)=ROW()-4,1,0))</f>
        <v>0</v>
      </c>
      <c r="T849" s="77" t="n">
        <f aca="false">N(T848)+$S849</f>
        <v>18</v>
      </c>
    </row>
    <row r="850" customFormat="false" ht="13.5" hidden="false" customHeight="false" outlineLevel="0" collapsed="false">
      <c r="A850" s="9" t="str">
        <f aca="false">IF($B850="","",ROW()-4)</f>
        <v/>
      </c>
      <c r="B850" s="39" t="str">
        <f aca="false">IFERROR(INDEX(对接源_01入库吨位!$B$5:$B$304,MATCH(INT((ROW()-5)/3)+1,对接源_01入库吨位!$S$5:$S$304,0)),"")</f>
        <v/>
      </c>
      <c r="C850" s="39" t="str">
        <f aca="false">IFERROR(INDEX(对接源_01入库吨位!$C$5:$C$304,MATCH(INT((ROW()-5)/3)+1,对接源_01入库吨位!$S$5:$S$304,0)),"")</f>
        <v/>
      </c>
      <c r="D850" s="40" t="str">
        <f aca="false">IF($B850="","",IF(MOD(ROW()-5,3)=0,"周转打冷",IF(MOD(ROW()-5,3)=1,"仓储加工","装卸费")))</f>
        <v/>
      </c>
      <c r="E850" s="51" t="str">
        <f aca="false">IF($B850="","",IFERROR(IF($D850="周转打冷",N(INDEX(对接源_01入库吨位!$D$5:$D$304,MATCH(INT((ROW()-5)/3)+1,对接源_01入库吨位!$S$5:$S$304,0))),IF($D850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0" s="41" t="str">
        <f aca="false">IF($B850="","",ROUND(IFERROR(IF($D850="周转打冷",N(INDEX(对接源_01入库吨位!$H$5:$H$304,MATCH(INT((ROW()-5)/3)+1,对接源_01入库吨位!$S$5:$S$304,0))),IF($D850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0" s="52" t="str">
        <f aca="false">IF($B850="","",ROUND(N($F850)/1000,3))</f>
        <v/>
      </c>
      <c r="H850" s="74"/>
      <c r="I850" s="44"/>
      <c r="J850" s="75" t="str">
        <f aca="false">IF($B850="","",IF($H850="按筐数×单价",N($E850),IF($H850="按总重KG×单价",N($F850),IF($H850="按吨位×单价",N($G850),0))))</f>
        <v/>
      </c>
      <c r="K850" s="41" t="str">
        <f aca="false">IF($B850="","",ROUND(N($J850)*N($I850),2))</f>
        <v/>
      </c>
      <c r="L850" s="42"/>
      <c r="M850" s="76"/>
      <c r="N850" s="43"/>
      <c r="R850" s="77" t="str">
        <f aca="false">IF($B850="","",$B850)</f>
        <v/>
      </c>
      <c r="S850" s="77" t="n">
        <f aca="false">IF($R850="",0,IF(MATCH($R850,$R$5:$R$904,0)=ROW()-4,1,0))</f>
        <v>0</v>
      </c>
      <c r="T850" s="77" t="n">
        <f aca="false">N(T849)+$S850</f>
        <v>18</v>
      </c>
    </row>
    <row r="851" customFormat="false" ht="13.5" hidden="false" customHeight="false" outlineLevel="0" collapsed="false">
      <c r="A851" s="9" t="str">
        <f aca="false">IF($B851="","",ROW()-4)</f>
        <v/>
      </c>
      <c r="B851" s="39" t="str">
        <f aca="false">IFERROR(INDEX(对接源_01入库吨位!$B$5:$B$304,MATCH(INT((ROW()-5)/3)+1,对接源_01入库吨位!$S$5:$S$304,0)),"")</f>
        <v/>
      </c>
      <c r="C851" s="39" t="str">
        <f aca="false">IFERROR(INDEX(对接源_01入库吨位!$C$5:$C$304,MATCH(INT((ROW()-5)/3)+1,对接源_01入库吨位!$S$5:$S$304,0)),"")</f>
        <v/>
      </c>
      <c r="D851" s="40" t="str">
        <f aca="false">IF($B851="","",IF(MOD(ROW()-5,3)=0,"周转打冷",IF(MOD(ROW()-5,3)=1,"仓储加工","装卸费")))</f>
        <v/>
      </c>
      <c r="E851" s="51" t="str">
        <f aca="false">IF($B851="","",IFERROR(IF($D851="周转打冷",N(INDEX(对接源_01入库吨位!$D$5:$D$304,MATCH(INT((ROW()-5)/3)+1,对接源_01入库吨位!$S$5:$S$304,0))),IF($D851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1" s="41" t="str">
        <f aca="false">IF($B851="","",ROUND(IFERROR(IF($D851="周转打冷",N(INDEX(对接源_01入库吨位!$H$5:$H$304,MATCH(INT((ROW()-5)/3)+1,对接源_01入库吨位!$S$5:$S$304,0))),IF($D851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1" s="52" t="str">
        <f aca="false">IF($B851="","",ROUND(N($F851)/1000,3))</f>
        <v/>
      </c>
      <c r="H851" s="74"/>
      <c r="I851" s="44"/>
      <c r="J851" s="75" t="str">
        <f aca="false">IF($B851="","",IF($H851="按筐数×单价",N($E851),IF($H851="按总重KG×单价",N($F851),IF($H851="按吨位×单价",N($G851),0))))</f>
        <v/>
      </c>
      <c r="K851" s="41" t="str">
        <f aca="false">IF($B851="","",ROUND(N($J851)*N($I851),2))</f>
        <v/>
      </c>
      <c r="L851" s="42"/>
      <c r="M851" s="76"/>
      <c r="N851" s="43"/>
      <c r="R851" s="77" t="str">
        <f aca="false">IF($B851="","",$B851)</f>
        <v/>
      </c>
      <c r="S851" s="77" t="n">
        <f aca="false">IF($R851="",0,IF(MATCH($R851,$R$5:$R$904,0)=ROW()-4,1,0))</f>
        <v>0</v>
      </c>
      <c r="T851" s="77" t="n">
        <f aca="false">N(T850)+$S851</f>
        <v>18</v>
      </c>
    </row>
    <row r="852" customFormat="false" ht="13.5" hidden="false" customHeight="false" outlineLevel="0" collapsed="false">
      <c r="A852" s="9" t="str">
        <f aca="false">IF($B852="","",ROW()-4)</f>
        <v/>
      </c>
      <c r="B852" s="39" t="str">
        <f aca="false">IFERROR(INDEX(对接源_01入库吨位!$B$5:$B$304,MATCH(INT((ROW()-5)/3)+1,对接源_01入库吨位!$S$5:$S$304,0)),"")</f>
        <v/>
      </c>
      <c r="C852" s="39" t="str">
        <f aca="false">IFERROR(INDEX(对接源_01入库吨位!$C$5:$C$304,MATCH(INT((ROW()-5)/3)+1,对接源_01入库吨位!$S$5:$S$304,0)),"")</f>
        <v/>
      </c>
      <c r="D852" s="40" t="str">
        <f aca="false">IF($B852="","",IF(MOD(ROW()-5,3)=0,"周转打冷",IF(MOD(ROW()-5,3)=1,"仓储加工","装卸费")))</f>
        <v/>
      </c>
      <c r="E852" s="51" t="str">
        <f aca="false">IF($B852="","",IFERROR(IF($D852="周转打冷",N(INDEX(对接源_01入库吨位!$D$5:$D$304,MATCH(INT((ROW()-5)/3)+1,对接源_01入库吨位!$S$5:$S$304,0))),IF($D852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2" s="41" t="str">
        <f aca="false">IF($B852="","",ROUND(IFERROR(IF($D852="周转打冷",N(INDEX(对接源_01入库吨位!$H$5:$H$304,MATCH(INT((ROW()-5)/3)+1,对接源_01入库吨位!$S$5:$S$304,0))),IF($D852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2" s="52" t="str">
        <f aca="false">IF($B852="","",ROUND(N($F852)/1000,3))</f>
        <v/>
      </c>
      <c r="H852" s="74"/>
      <c r="I852" s="44"/>
      <c r="J852" s="75" t="str">
        <f aca="false">IF($B852="","",IF($H852="按筐数×单价",N($E852),IF($H852="按总重KG×单价",N($F852),IF($H852="按吨位×单价",N($G852),0))))</f>
        <v/>
      </c>
      <c r="K852" s="41" t="str">
        <f aca="false">IF($B852="","",ROUND(N($J852)*N($I852),2))</f>
        <v/>
      </c>
      <c r="L852" s="42"/>
      <c r="M852" s="76"/>
      <c r="N852" s="43"/>
      <c r="R852" s="77" t="str">
        <f aca="false">IF($B852="","",$B852)</f>
        <v/>
      </c>
      <c r="S852" s="77" t="n">
        <f aca="false">IF($R852="",0,IF(MATCH($R852,$R$5:$R$904,0)=ROW()-4,1,0))</f>
        <v>0</v>
      </c>
      <c r="T852" s="77" t="n">
        <f aca="false">N(T851)+$S852</f>
        <v>18</v>
      </c>
    </row>
    <row r="853" customFormat="false" ht="13.5" hidden="false" customHeight="false" outlineLevel="0" collapsed="false">
      <c r="A853" s="9" t="str">
        <f aca="false">IF($B853="","",ROW()-4)</f>
        <v/>
      </c>
      <c r="B853" s="39" t="str">
        <f aca="false">IFERROR(INDEX(对接源_01入库吨位!$B$5:$B$304,MATCH(INT((ROW()-5)/3)+1,对接源_01入库吨位!$S$5:$S$304,0)),"")</f>
        <v/>
      </c>
      <c r="C853" s="39" t="str">
        <f aca="false">IFERROR(INDEX(对接源_01入库吨位!$C$5:$C$304,MATCH(INT((ROW()-5)/3)+1,对接源_01入库吨位!$S$5:$S$304,0)),"")</f>
        <v/>
      </c>
      <c r="D853" s="40" t="str">
        <f aca="false">IF($B853="","",IF(MOD(ROW()-5,3)=0,"周转打冷",IF(MOD(ROW()-5,3)=1,"仓储加工","装卸费")))</f>
        <v/>
      </c>
      <c r="E853" s="51" t="str">
        <f aca="false">IF($B853="","",IFERROR(IF($D853="周转打冷",N(INDEX(对接源_01入库吨位!$D$5:$D$304,MATCH(INT((ROW()-5)/3)+1,对接源_01入库吨位!$S$5:$S$304,0))),IF($D853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3" s="41" t="str">
        <f aca="false">IF($B853="","",ROUND(IFERROR(IF($D853="周转打冷",N(INDEX(对接源_01入库吨位!$H$5:$H$304,MATCH(INT((ROW()-5)/3)+1,对接源_01入库吨位!$S$5:$S$304,0))),IF($D853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3" s="52" t="str">
        <f aca="false">IF($B853="","",ROUND(N($F853)/1000,3))</f>
        <v/>
      </c>
      <c r="H853" s="74"/>
      <c r="I853" s="44"/>
      <c r="J853" s="75" t="str">
        <f aca="false">IF($B853="","",IF($H853="按筐数×单价",N($E853),IF($H853="按总重KG×单价",N($F853),IF($H853="按吨位×单价",N($G853),0))))</f>
        <v/>
      </c>
      <c r="K853" s="41" t="str">
        <f aca="false">IF($B853="","",ROUND(N($J853)*N($I853),2))</f>
        <v/>
      </c>
      <c r="L853" s="42"/>
      <c r="M853" s="76"/>
      <c r="N853" s="43"/>
      <c r="R853" s="77" t="str">
        <f aca="false">IF($B853="","",$B853)</f>
        <v/>
      </c>
      <c r="S853" s="77" t="n">
        <f aca="false">IF($R853="",0,IF(MATCH($R853,$R$5:$R$904,0)=ROW()-4,1,0))</f>
        <v>0</v>
      </c>
      <c r="T853" s="77" t="n">
        <f aca="false">N(T852)+$S853</f>
        <v>18</v>
      </c>
    </row>
    <row r="854" customFormat="false" ht="13.5" hidden="false" customHeight="false" outlineLevel="0" collapsed="false">
      <c r="A854" s="9" t="str">
        <f aca="false">IF($B854="","",ROW()-4)</f>
        <v/>
      </c>
      <c r="B854" s="39" t="str">
        <f aca="false">IFERROR(INDEX(对接源_01入库吨位!$B$5:$B$304,MATCH(INT((ROW()-5)/3)+1,对接源_01入库吨位!$S$5:$S$304,0)),"")</f>
        <v/>
      </c>
      <c r="C854" s="39" t="str">
        <f aca="false">IFERROR(INDEX(对接源_01入库吨位!$C$5:$C$304,MATCH(INT((ROW()-5)/3)+1,对接源_01入库吨位!$S$5:$S$304,0)),"")</f>
        <v/>
      </c>
      <c r="D854" s="40" t="str">
        <f aca="false">IF($B854="","",IF(MOD(ROW()-5,3)=0,"周转打冷",IF(MOD(ROW()-5,3)=1,"仓储加工","装卸费")))</f>
        <v/>
      </c>
      <c r="E854" s="51" t="str">
        <f aca="false">IF($B854="","",IFERROR(IF($D854="周转打冷",N(INDEX(对接源_01入库吨位!$D$5:$D$304,MATCH(INT((ROW()-5)/3)+1,对接源_01入库吨位!$S$5:$S$304,0))),IF($D854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4" s="41" t="str">
        <f aca="false">IF($B854="","",ROUND(IFERROR(IF($D854="周转打冷",N(INDEX(对接源_01入库吨位!$H$5:$H$304,MATCH(INT((ROW()-5)/3)+1,对接源_01入库吨位!$S$5:$S$304,0))),IF($D854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4" s="52" t="str">
        <f aca="false">IF($B854="","",ROUND(N($F854)/1000,3))</f>
        <v/>
      </c>
      <c r="H854" s="74"/>
      <c r="I854" s="44"/>
      <c r="J854" s="75" t="str">
        <f aca="false">IF($B854="","",IF($H854="按筐数×单价",N($E854),IF($H854="按总重KG×单价",N($F854),IF($H854="按吨位×单价",N($G854),0))))</f>
        <v/>
      </c>
      <c r="K854" s="41" t="str">
        <f aca="false">IF($B854="","",ROUND(N($J854)*N($I854),2))</f>
        <v/>
      </c>
      <c r="L854" s="42"/>
      <c r="M854" s="76"/>
      <c r="N854" s="43"/>
      <c r="R854" s="77" t="str">
        <f aca="false">IF($B854="","",$B854)</f>
        <v/>
      </c>
      <c r="S854" s="77" t="n">
        <f aca="false">IF($R854="",0,IF(MATCH($R854,$R$5:$R$904,0)=ROW()-4,1,0))</f>
        <v>0</v>
      </c>
      <c r="T854" s="77" t="n">
        <f aca="false">N(T853)+$S854</f>
        <v>18</v>
      </c>
    </row>
    <row r="855" customFormat="false" ht="13.5" hidden="false" customHeight="false" outlineLevel="0" collapsed="false">
      <c r="A855" s="9" t="str">
        <f aca="false">IF($B855="","",ROW()-4)</f>
        <v/>
      </c>
      <c r="B855" s="39" t="str">
        <f aca="false">IFERROR(INDEX(对接源_01入库吨位!$B$5:$B$304,MATCH(INT((ROW()-5)/3)+1,对接源_01入库吨位!$S$5:$S$304,0)),"")</f>
        <v/>
      </c>
      <c r="C855" s="39" t="str">
        <f aca="false">IFERROR(INDEX(对接源_01入库吨位!$C$5:$C$304,MATCH(INT((ROW()-5)/3)+1,对接源_01入库吨位!$S$5:$S$304,0)),"")</f>
        <v/>
      </c>
      <c r="D855" s="40" t="str">
        <f aca="false">IF($B855="","",IF(MOD(ROW()-5,3)=0,"周转打冷",IF(MOD(ROW()-5,3)=1,"仓储加工","装卸费")))</f>
        <v/>
      </c>
      <c r="E855" s="51" t="str">
        <f aca="false">IF($B855="","",IFERROR(IF($D855="周转打冷",N(INDEX(对接源_01入库吨位!$D$5:$D$304,MATCH(INT((ROW()-5)/3)+1,对接源_01入库吨位!$S$5:$S$304,0))),IF($D855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5" s="41" t="str">
        <f aca="false">IF($B855="","",ROUND(IFERROR(IF($D855="周转打冷",N(INDEX(对接源_01入库吨位!$H$5:$H$304,MATCH(INT((ROW()-5)/3)+1,对接源_01入库吨位!$S$5:$S$304,0))),IF($D855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5" s="52" t="str">
        <f aca="false">IF($B855="","",ROUND(N($F855)/1000,3))</f>
        <v/>
      </c>
      <c r="H855" s="74"/>
      <c r="I855" s="44"/>
      <c r="J855" s="75" t="str">
        <f aca="false">IF($B855="","",IF($H855="按筐数×单价",N($E855),IF($H855="按总重KG×单价",N($F855),IF($H855="按吨位×单价",N($G855),0))))</f>
        <v/>
      </c>
      <c r="K855" s="41" t="str">
        <f aca="false">IF($B855="","",ROUND(N($J855)*N($I855),2))</f>
        <v/>
      </c>
      <c r="L855" s="42"/>
      <c r="M855" s="76"/>
      <c r="N855" s="43"/>
      <c r="R855" s="77" t="str">
        <f aca="false">IF($B855="","",$B855)</f>
        <v/>
      </c>
      <c r="S855" s="77" t="n">
        <f aca="false">IF($R855="",0,IF(MATCH($R855,$R$5:$R$904,0)=ROW()-4,1,0))</f>
        <v>0</v>
      </c>
      <c r="T855" s="77" t="n">
        <f aca="false">N(T854)+$S855</f>
        <v>18</v>
      </c>
    </row>
    <row r="856" customFormat="false" ht="13.5" hidden="false" customHeight="false" outlineLevel="0" collapsed="false">
      <c r="A856" s="9" t="str">
        <f aca="false">IF($B856="","",ROW()-4)</f>
        <v/>
      </c>
      <c r="B856" s="39" t="str">
        <f aca="false">IFERROR(INDEX(对接源_01入库吨位!$B$5:$B$304,MATCH(INT((ROW()-5)/3)+1,对接源_01入库吨位!$S$5:$S$304,0)),"")</f>
        <v/>
      </c>
      <c r="C856" s="39" t="str">
        <f aca="false">IFERROR(INDEX(对接源_01入库吨位!$C$5:$C$304,MATCH(INT((ROW()-5)/3)+1,对接源_01入库吨位!$S$5:$S$304,0)),"")</f>
        <v/>
      </c>
      <c r="D856" s="40" t="str">
        <f aca="false">IF($B856="","",IF(MOD(ROW()-5,3)=0,"周转打冷",IF(MOD(ROW()-5,3)=1,"仓储加工","装卸费")))</f>
        <v/>
      </c>
      <c r="E856" s="51" t="str">
        <f aca="false">IF($B856="","",IFERROR(IF($D856="周转打冷",N(INDEX(对接源_01入库吨位!$D$5:$D$304,MATCH(INT((ROW()-5)/3)+1,对接源_01入库吨位!$S$5:$S$304,0))),IF($D856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6" s="41" t="str">
        <f aca="false">IF($B856="","",ROUND(IFERROR(IF($D856="周转打冷",N(INDEX(对接源_01入库吨位!$H$5:$H$304,MATCH(INT((ROW()-5)/3)+1,对接源_01入库吨位!$S$5:$S$304,0))),IF($D856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6" s="52" t="str">
        <f aca="false">IF($B856="","",ROUND(N($F856)/1000,3))</f>
        <v/>
      </c>
      <c r="H856" s="74"/>
      <c r="I856" s="44"/>
      <c r="J856" s="75" t="str">
        <f aca="false">IF($B856="","",IF($H856="按筐数×单价",N($E856),IF($H856="按总重KG×单价",N($F856),IF($H856="按吨位×单价",N($G856),0))))</f>
        <v/>
      </c>
      <c r="K856" s="41" t="str">
        <f aca="false">IF($B856="","",ROUND(N($J856)*N($I856),2))</f>
        <v/>
      </c>
      <c r="L856" s="42"/>
      <c r="M856" s="76"/>
      <c r="N856" s="43"/>
      <c r="R856" s="77" t="str">
        <f aca="false">IF($B856="","",$B856)</f>
        <v/>
      </c>
      <c r="S856" s="77" t="n">
        <f aca="false">IF($R856="",0,IF(MATCH($R856,$R$5:$R$904,0)=ROW()-4,1,0))</f>
        <v>0</v>
      </c>
      <c r="T856" s="77" t="n">
        <f aca="false">N(T855)+$S856</f>
        <v>18</v>
      </c>
    </row>
    <row r="857" customFormat="false" ht="13.5" hidden="false" customHeight="false" outlineLevel="0" collapsed="false">
      <c r="A857" s="9" t="str">
        <f aca="false">IF($B857="","",ROW()-4)</f>
        <v/>
      </c>
      <c r="B857" s="39" t="str">
        <f aca="false">IFERROR(INDEX(对接源_01入库吨位!$B$5:$B$304,MATCH(INT((ROW()-5)/3)+1,对接源_01入库吨位!$S$5:$S$304,0)),"")</f>
        <v/>
      </c>
      <c r="C857" s="39" t="str">
        <f aca="false">IFERROR(INDEX(对接源_01入库吨位!$C$5:$C$304,MATCH(INT((ROW()-5)/3)+1,对接源_01入库吨位!$S$5:$S$304,0)),"")</f>
        <v/>
      </c>
      <c r="D857" s="40" t="str">
        <f aca="false">IF($B857="","",IF(MOD(ROW()-5,3)=0,"周转打冷",IF(MOD(ROW()-5,3)=1,"仓储加工","装卸费")))</f>
        <v/>
      </c>
      <c r="E857" s="51" t="str">
        <f aca="false">IF($B857="","",IFERROR(IF($D857="周转打冷",N(INDEX(对接源_01入库吨位!$D$5:$D$304,MATCH(INT((ROW()-5)/3)+1,对接源_01入库吨位!$S$5:$S$304,0))),IF($D857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7" s="41" t="str">
        <f aca="false">IF($B857="","",ROUND(IFERROR(IF($D857="周转打冷",N(INDEX(对接源_01入库吨位!$H$5:$H$304,MATCH(INT((ROW()-5)/3)+1,对接源_01入库吨位!$S$5:$S$304,0))),IF($D857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7" s="52" t="str">
        <f aca="false">IF($B857="","",ROUND(N($F857)/1000,3))</f>
        <v/>
      </c>
      <c r="H857" s="74"/>
      <c r="I857" s="44"/>
      <c r="J857" s="75" t="str">
        <f aca="false">IF($B857="","",IF($H857="按筐数×单价",N($E857),IF($H857="按总重KG×单价",N($F857),IF($H857="按吨位×单价",N($G857),0))))</f>
        <v/>
      </c>
      <c r="K857" s="41" t="str">
        <f aca="false">IF($B857="","",ROUND(N($J857)*N($I857),2))</f>
        <v/>
      </c>
      <c r="L857" s="42"/>
      <c r="M857" s="76"/>
      <c r="N857" s="43"/>
      <c r="R857" s="77" t="str">
        <f aca="false">IF($B857="","",$B857)</f>
        <v/>
      </c>
      <c r="S857" s="77" t="n">
        <f aca="false">IF($R857="",0,IF(MATCH($R857,$R$5:$R$904,0)=ROW()-4,1,0))</f>
        <v>0</v>
      </c>
      <c r="T857" s="77" t="n">
        <f aca="false">N(T856)+$S857</f>
        <v>18</v>
      </c>
    </row>
    <row r="858" customFormat="false" ht="13.5" hidden="false" customHeight="false" outlineLevel="0" collapsed="false">
      <c r="A858" s="9" t="str">
        <f aca="false">IF($B858="","",ROW()-4)</f>
        <v/>
      </c>
      <c r="B858" s="39" t="str">
        <f aca="false">IFERROR(INDEX(对接源_01入库吨位!$B$5:$B$304,MATCH(INT((ROW()-5)/3)+1,对接源_01入库吨位!$S$5:$S$304,0)),"")</f>
        <v/>
      </c>
      <c r="C858" s="39" t="str">
        <f aca="false">IFERROR(INDEX(对接源_01入库吨位!$C$5:$C$304,MATCH(INT((ROW()-5)/3)+1,对接源_01入库吨位!$S$5:$S$304,0)),"")</f>
        <v/>
      </c>
      <c r="D858" s="40" t="str">
        <f aca="false">IF($B858="","",IF(MOD(ROW()-5,3)=0,"周转打冷",IF(MOD(ROW()-5,3)=1,"仓储加工","装卸费")))</f>
        <v/>
      </c>
      <c r="E858" s="51" t="str">
        <f aca="false">IF($B858="","",IFERROR(IF($D858="周转打冷",N(INDEX(对接源_01入库吨位!$D$5:$D$304,MATCH(INT((ROW()-5)/3)+1,对接源_01入库吨位!$S$5:$S$304,0))),IF($D858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8" s="41" t="str">
        <f aca="false">IF($B858="","",ROUND(IFERROR(IF($D858="周转打冷",N(INDEX(对接源_01入库吨位!$H$5:$H$304,MATCH(INT((ROW()-5)/3)+1,对接源_01入库吨位!$S$5:$S$304,0))),IF($D858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8" s="52" t="str">
        <f aca="false">IF($B858="","",ROUND(N($F858)/1000,3))</f>
        <v/>
      </c>
      <c r="H858" s="74"/>
      <c r="I858" s="44"/>
      <c r="J858" s="75" t="str">
        <f aca="false">IF($B858="","",IF($H858="按筐数×单价",N($E858),IF($H858="按总重KG×单价",N($F858),IF($H858="按吨位×单价",N($G858),0))))</f>
        <v/>
      </c>
      <c r="K858" s="41" t="str">
        <f aca="false">IF($B858="","",ROUND(N($J858)*N($I858),2))</f>
        <v/>
      </c>
      <c r="L858" s="42"/>
      <c r="M858" s="76"/>
      <c r="N858" s="43"/>
      <c r="R858" s="77" t="str">
        <f aca="false">IF($B858="","",$B858)</f>
        <v/>
      </c>
      <c r="S858" s="77" t="n">
        <f aca="false">IF($R858="",0,IF(MATCH($R858,$R$5:$R$904,0)=ROW()-4,1,0))</f>
        <v>0</v>
      </c>
      <c r="T858" s="77" t="n">
        <f aca="false">N(T857)+$S858</f>
        <v>18</v>
      </c>
    </row>
    <row r="859" customFormat="false" ht="13.5" hidden="false" customHeight="false" outlineLevel="0" collapsed="false">
      <c r="A859" s="9" t="str">
        <f aca="false">IF($B859="","",ROW()-4)</f>
        <v/>
      </c>
      <c r="B859" s="39" t="str">
        <f aca="false">IFERROR(INDEX(对接源_01入库吨位!$B$5:$B$304,MATCH(INT((ROW()-5)/3)+1,对接源_01入库吨位!$S$5:$S$304,0)),"")</f>
        <v/>
      </c>
      <c r="C859" s="39" t="str">
        <f aca="false">IFERROR(INDEX(对接源_01入库吨位!$C$5:$C$304,MATCH(INT((ROW()-5)/3)+1,对接源_01入库吨位!$S$5:$S$304,0)),"")</f>
        <v/>
      </c>
      <c r="D859" s="40" t="str">
        <f aca="false">IF($B859="","",IF(MOD(ROW()-5,3)=0,"周转打冷",IF(MOD(ROW()-5,3)=1,"仓储加工","装卸费")))</f>
        <v/>
      </c>
      <c r="E859" s="51" t="str">
        <f aca="false">IF($B859="","",IFERROR(IF($D859="周转打冷",N(INDEX(对接源_01入库吨位!$D$5:$D$304,MATCH(INT((ROW()-5)/3)+1,对接源_01入库吨位!$S$5:$S$304,0))),IF($D859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59" s="41" t="str">
        <f aca="false">IF($B859="","",ROUND(IFERROR(IF($D859="周转打冷",N(INDEX(对接源_01入库吨位!$H$5:$H$304,MATCH(INT((ROW()-5)/3)+1,对接源_01入库吨位!$S$5:$S$304,0))),IF($D859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59" s="52" t="str">
        <f aca="false">IF($B859="","",ROUND(N($F859)/1000,3))</f>
        <v/>
      </c>
      <c r="H859" s="74"/>
      <c r="I859" s="44"/>
      <c r="J859" s="75" t="str">
        <f aca="false">IF($B859="","",IF($H859="按筐数×单价",N($E859),IF($H859="按总重KG×单价",N($F859),IF($H859="按吨位×单价",N($G859),0))))</f>
        <v/>
      </c>
      <c r="K859" s="41" t="str">
        <f aca="false">IF($B859="","",ROUND(N($J859)*N($I859),2))</f>
        <v/>
      </c>
      <c r="L859" s="42"/>
      <c r="M859" s="76"/>
      <c r="N859" s="43"/>
      <c r="R859" s="77" t="str">
        <f aca="false">IF($B859="","",$B859)</f>
        <v/>
      </c>
      <c r="S859" s="77" t="n">
        <f aca="false">IF($R859="",0,IF(MATCH($R859,$R$5:$R$904,0)=ROW()-4,1,0))</f>
        <v>0</v>
      </c>
      <c r="T859" s="77" t="n">
        <f aca="false">N(T858)+$S859</f>
        <v>18</v>
      </c>
    </row>
    <row r="860" customFormat="false" ht="13.5" hidden="false" customHeight="false" outlineLevel="0" collapsed="false">
      <c r="A860" s="9" t="str">
        <f aca="false">IF($B860="","",ROW()-4)</f>
        <v/>
      </c>
      <c r="B860" s="39" t="str">
        <f aca="false">IFERROR(INDEX(对接源_01入库吨位!$B$5:$B$304,MATCH(INT((ROW()-5)/3)+1,对接源_01入库吨位!$S$5:$S$304,0)),"")</f>
        <v/>
      </c>
      <c r="C860" s="39" t="str">
        <f aca="false">IFERROR(INDEX(对接源_01入库吨位!$C$5:$C$304,MATCH(INT((ROW()-5)/3)+1,对接源_01入库吨位!$S$5:$S$304,0)),"")</f>
        <v/>
      </c>
      <c r="D860" s="40" t="str">
        <f aca="false">IF($B860="","",IF(MOD(ROW()-5,3)=0,"周转打冷",IF(MOD(ROW()-5,3)=1,"仓储加工","装卸费")))</f>
        <v/>
      </c>
      <c r="E860" s="51" t="str">
        <f aca="false">IF($B860="","",IFERROR(IF($D860="周转打冷",N(INDEX(对接源_01入库吨位!$D$5:$D$304,MATCH(INT((ROW()-5)/3)+1,对接源_01入库吨位!$S$5:$S$304,0))),IF($D860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0" s="41" t="str">
        <f aca="false">IF($B860="","",ROUND(IFERROR(IF($D860="周转打冷",N(INDEX(对接源_01入库吨位!$H$5:$H$304,MATCH(INT((ROW()-5)/3)+1,对接源_01入库吨位!$S$5:$S$304,0))),IF($D860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0" s="52" t="str">
        <f aca="false">IF($B860="","",ROUND(N($F860)/1000,3))</f>
        <v/>
      </c>
      <c r="H860" s="74"/>
      <c r="I860" s="44"/>
      <c r="J860" s="75" t="str">
        <f aca="false">IF($B860="","",IF($H860="按筐数×单价",N($E860),IF($H860="按总重KG×单价",N($F860),IF($H860="按吨位×单价",N($G860),0))))</f>
        <v/>
      </c>
      <c r="K860" s="41" t="str">
        <f aca="false">IF($B860="","",ROUND(N($J860)*N($I860),2))</f>
        <v/>
      </c>
      <c r="L860" s="42"/>
      <c r="M860" s="76"/>
      <c r="N860" s="43"/>
      <c r="R860" s="77" t="str">
        <f aca="false">IF($B860="","",$B860)</f>
        <v/>
      </c>
      <c r="S860" s="77" t="n">
        <f aca="false">IF($R860="",0,IF(MATCH($R860,$R$5:$R$904,0)=ROW()-4,1,0))</f>
        <v>0</v>
      </c>
      <c r="T860" s="77" t="n">
        <f aca="false">N(T859)+$S860</f>
        <v>18</v>
      </c>
    </row>
    <row r="861" customFormat="false" ht="13.5" hidden="false" customHeight="false" outlineLevel="0" collapsed="false">
      <c r="A861" s="9" t="str">
        <f aca="false">IF($B861="","",ROW()-4)</f>
        <v/>
      </c>
      <c r="B861" s="39" t="str">
        <f aca="false">IFERROR(INDEX(对接源_01入库吨位!$B$5:$B$304,MATCH(INT((ROW()-5)/3)+1,对接源_01入库吨位!$S$5:$S$304,0)),"")</f>
        <v/>
      </c>
      <c r="C861" s="39" t="str">
        <f aca="false">IFERROR(INDEX(对接源_01入库吨位!$C$5:$C$304,MATCH(INT((ROW()-5)/3)+1,对接源_01入库吨位!$S$5:$S$304,0)),"")</f>
        <v/>
      </c>
      <c r="D861" s="40" t="str">
        <f aca="false">IF($B861="","",IF(MOD(ROW()-5,3)=0,"周转打冷",IF(MOD(ROW()-5,3)=1,"仓储加工","装卸费")))</f>
        <v/>
      </c>
      <c r="E861" s="51" t="str">
        <f aca="false">IF($B861="","",IFERROR(IF($D861="周转打冷",N(INDEX(对接源_01入库吨位!$D$5:$D$304,MATCH(INT((ROW()-5)/3)+1,对接源_01入库吨位!$S$5:$S$304,0))),IF($D861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1" s="41" t="str">
        <f aca="false">IF($B861="","",ROUND(IFERROR(IF($D861="周转打冷",N(INDEX(对接源_01入库吨位!$H$5:$H$304,MATCH(INT((ROW()-5)/3)+1,对接源_01入库吨位!$S$5:$S$304,0))),IF($D861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1" s="52" t="str">
        <f aca="false">IF($B861="","",ROUND(N($F861)/1000,3))</f>
        <v/>
      </c>
      <c r="H861" s="74"/>
      <c r="I861" s="44"/>
      <c r="J861" s="75" t="str">
        <f aca="false">IF($B861="","",IF($H861="按筐数×单价",N($E861),IF($H861="按总重KG×单价",N($F861),IF($H861="按吨位×单价",N($G861),0))))</f>
        <v/>
      </c>
      <c r="K861" s="41" t="str">
        <f aca="false">IF($B861="","",ROUND(N($J861)*N($I861),2))</f>
        <v/>
      </c>
      <c r="L861" s="42"/>
      <c r="M861" s="76"/>
      <c r="N861" s="43"/>
      <c r="R861" s="77" t="str">
        <f aca="false">IF($B861="","",$B861)</f>
        <v/>
      </c>
      <c r="S861" s="77" t="n">
        <f aca="false">IF($R861="",0,IF(MATCH($R861,$R$5:$R$904,0)=ROW()-4,1,0))</f>
        <v>0</v>
      </c>
      <c r="T861" s="77" t="n">
        <f aca="false">N(T860)+$S861</f>
        <v>18</v>
      </c>
    </row>
    <row r="862" customFormat="false" ht="13.5" hidden="false" customHeight="false" outlineLevel="0" collapsed="false">
      <c r="A862" s="9" t="str">
        <f aca="false">IF($B862="","",ROW()-4)</f>
        <v/>
      </c>
      <c r="B862" s="39" t="str">
        <f aca="false">IFERROR(INDEX(对接源_01入库吨位!$B$5:$B$304,MATCH(INT((ROW()-5)/3)+1,对接源_01入库吨位!$S$5:$S$304,0)),"")</f>
        <v/>
      </c>
      <c r="C862" s="39" t="str">
        <f aca="false">IFERROR(INDEX(对接源_01入库吨位!$C$5:$C$304,MATCH(INT((ROW()-5)/3)+1,对接源_01入库吨位!$S$5:$S$304,0)),"")</f>
        <v/>
      </c>
      <c r="D862" s="40" t="str">
        <f aca="false">IF($B862="","",IF(MOD(ROW()-5,3)=0,"周转打冷",IF(MOD(ROW()-5,3)=1,"仓储加工","装卸费")))</f>
        <v/>
      </c>
      <c r="E862" s="51" t="str">
        <f aca="false">IF($B862="","",IFERROR(IF($D862="周转打冷",N(INDEX(对接源_01入库吨位!$D$5:$D$304,MATCH(INT((ROW()-5)/3)+1,对接源_01入库吨位!$S$5:$S$304,0))),IF($D862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2" s="41" t="str">
        <f aca="false">IF($B862="","",ROUND(IFERROR(IF($D862="周转打冷",N(INDEX(对接源_01入库吨位!$H$5:$H$304,MATCH(INT((ROW()-5)/3)+1,对接源_01入库吨位!$S$5:$S$304,0))),IF($D862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2" s="52" t="str">
        <f aca="false">IF($B862="","",ROUND(N($F862)/1000,3))</f>
        <v/>
      </c>
      <c r="H862" s="74"/>
      <c r="I862" s="44"/>
      <c r="J862" s="75" t="str">
        <f aca="false">IF($B862="","",IF($H862="按筐数×单价",N($E862),IF($H862="按总重KG×单价",N($F862),IF($H862="按吨位×单价",N($G862),0))))</f>
        <v/>
      </c>
      <c r="K862" s="41" t="str">
        <f aca="false">IF($B862="","",ROUND(N($J862)*N($I862),2))</f>
        <v/>
      </c>
      <c r="L862" s="42"/>
      <c r="M862" s="76"/>
      <c r="N862" s="43"/>
      <c r="R862" s="77" t="str">
        <f aca="false">IF($B862="","",$B862)</f>
        <v/>
      </c>
      <c r="S862" s="77" t="n">
        <f aca="false">IF($R862="",0,IF(MATCH($R862,$R$5:$R$904,0)=ROW()-4,1,0))</f>
        <v>0</v>
      </c>
      <c r="T862" s="77" t="n">
        <f aca="false">N(T861)+$S862</f>
        <v>18</v>
      </c>
    </row>
    <row r="863" customFormat="false" ht="13.5" hidden="false" customHeight="false" outlineLevel="0" collapsed="false">
      <c r="A863" s="9" t="str">
        <f aca="false">IF($B863="","",ROW()-4)</f>
        <v/>
      </c>
      <c r="B863" s="39" t="str">
        <f aca="false">IFERROR(INDEX(对接源_01入库吨位!$B$5:$B$304,MATCH(INT((ROW()-5)/3)+1,对接源_01入库吨位!$S$5:$S$304,0)),"")</f>
        <v/>
      </c>
      <c r="C863" s="39" t="str">
        <f aca="false">IFERROR(INDEX(对接源_01入库吨位!$C$5:$C$304,MATCH(INT((ROW()-5)/3)+1,对接源_01入库吨位!$S$5:$S$304,0)),"")</f>
        <v/>
      </c>
      <c r="D863" s="40" t="str">
        <f aca="false">IF($B863="","",IF(MOD(ROW()-5,3)=0,"周转打冷",IF(MOD(ROW()-5,3)=1,"仓储加工","装卸费")))</f>
        <v/>
      </c>
      <c r="E863" s="51" t="str">
        <f aca="false">IF($B863="","",IFERROR(IF($D863="周转打冷",N(INDEX(对接源_01入库吨位!$D$5:$D$304,MATCH(INT((ROW()-5)/3)+1,对接源_01入库吨位!$S$5:$S$304,0))),IF($D863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3" s="41" t="str">
        <f aca="false">IF($B863="","",ROUND(IFERROR(IF($D863="周转打冷",N(INDEX(对接源_01入库吨位!$H$5:$H$304,MATCH(INT((ROW()-5)/3)+1,对接源_01入库吨位!$S$5:$S$304,0))),IF($D863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3" s="52" t="str">
        <f aca="false">IF($B863="","",ROUND(N($F863)/1000,3))</f>
        <v/>
      </c>
      <c r="H863" s="74"/>
      <c r="I863" s="44"/>
      <c r="J863" s="75" t="str">
        <f aca="false">IF($B863="","",IF($H863="按筐数×单价",N($E863),IF($H863="按总重KG×单价",N($F863),IF($H863="按吨位×单价",N($G863),0))))</f>
        <v/>
      </c>
      <c r="K863" s="41" t="str">
        <f aca="false">IF($B863="","",ROUND(N($J863)*N($I863),2))</f>
        <v/>
      </c>
      <c r="L863" s="42"/>
      <c r="M863" s="76"/>
      <c r="N863" s="43"/>
      <c r="R863" s="77" t="str">
        <f aca="false">IF($B863="","",$B863)</f>
        <v/>
      </c>
      <c r="S863" s="77" t="n">
        <f aca="false">IF($R863="",0,IF(MATCH($R863,$R$5:$R$904,0)=ROW()-4,1,0))</f>
        <v>0</v>
      </c>
      <c r="T863" s="77" t="n">
        <f aca="false">N(T862)+$S863</f>
        <v>18</v>
      </c>
    </row>
    <row r="864" customFormat="false" ht="13.5" hidden="false" customHeight="false" outlineLevel="0" collapsed="false">
      <c r="A864" s="9" t="str">
        <f aca="false">IF($B864="","",ROW()-4)</f>
        <v/>
      </c>
      <c r="B864" s="39" t="str">
        <f aca="false">IFERROR(INDEX(对接源_01入库吨位!$B$5:$B$304,MATCH(INT((ROW()-5)/3)+1,对接源_01入库吨位!$S$5:$S$304,0)),"")</f>
        <v/>
      </c>
      <c r="C864" s="39" t="str">
        <f aca="false">IFERROR(INDEX(对接源_01入库吨位!$C$5:$C$304,MATCH(INT((ROW()-5)/3)+1,对接源_01入库吨位!$S$5:$S$304,0)),"")</f>
        <v/>
      </c>
      <c r="D864" s="40" t="str">
        <f aca="false">IF($B864="","",IF(MOD(ROW()-5,3)=0,"周转打冷",IF(MOD(ROW()-5,3)=1,"仓储加工","装卸费")))</f>
        <v/>
      </c>
      <c r="E864" s="51" t="str">
        <f aca="false">IF($B864="","",IFERROR(IF($D864="周转打冷",N(INDEX(对接源_01入库吨位!$D$5:$D$304,MATCH(INT((ROW()-5)/3)+1,对接源_01入库吨位!$S$5:$S$304,0))),IF($D864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4" s="41" t="str">
        <f aca="false">IF($B864="","",ROUND(IFERROR(IF($D864="周转打冷",N(INDEX(对接源_01入库吨位!$H$5:$H$304,MATCH(INT((ROW()-5)/3)+1,对接源_01入库吨位!$S$5:$S$304,0))),IF($D864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4" s="52" t="str">
        <f aca="false">IF($B864="","",ROUND(N($F864)/1000,3))</f>
        <v/>
      </c>
      <c r="H864" s="74"/>
      <c r="I864" s="44"/>
      <c r="J864" s="75" t="str">
        <f aca="false">IF($B864="","",IF($H864="按筐数×单价",N($E864),IF($H864="按总重KG×单价",N($F864),IF($H864="按吨位×单价",N($G864),0))))</f>
        <v/>
      </c>
      <c r="K864" s="41" t="str">
        <f aca="false">IF($B864="","",ROUND(N($J864)*N($I864),2))</f>
        <v/>
      </c>
      <c r="L864" s="42"/>
      <c r="M864" s="76"/>
      <c r="N864" s="43"/>
      <c r="R864" s="77" t="str">
        <f aca="false">IF($B864="","",$B864)</f>
        <v/>
      </c>
      <c r="S864" s="77" t="n">
        <f aca="false">IF($R864="",0,IF(MATCH($R864,$R$5:$R$904,0)=ROW()-4,1,0))</f>
        <v>0</v>
      </c>
      <c r="T864" s="77" t="n">
        <f aca="false">N(T863)+$S864</f>
        <v>18</v>
      </c>
    </row>
    <row r="865" customFormat="false" ht="13.5" hidden="false" customHeight="false" outlineLevel="0" collapsed="false">
      <c r="A865" s="9" t="str">
        <f aca="false">IF($B865="","",ROW()-4)</f>
        <v/>
      </c>
      <c r="B865" s="39" t="str">
        <f aca="false">IFERROR(INDEX(对接源_01入库吨位!$B$5:$B$304,MATCH(INT((ROW()-5)/3)+1,对接源_01入库吨位!$S$5:$S$304,0)),"")</f>
        <v/>
      </c>
      <c r="C865" s="39" t="str">
        <f aca="false">IFERROR(INDEX(对接源_01入库吨位!$C$5:$C$304,MATCH(INT((ROW()-5)/3)+1,对接源_01入库吨位!$S$5:$S$304,0)),"")</f>
        <v/>
      </c>
      <c r="D865" s="40" t="str">
        <f aca="false">IF($B865="","",IF(MOD(ROW()-5,3)=0,"周转打冷",IF(MOD(ROW()-5,3)=1,"仓储加工","装卸费")))</f>
        <v/>
      </c>
      <c r="E865" s="51" t="str">
        <f aca="false">IF($B865="","",IFERROR(IF($D865="周转打冷",N(INDEX(对接源_01入库吨位!$D$5:$D$304,MATCH(INT((ROW()-5)/3)+1,对接源_01入库吨位!$S$5:$S$304,0))),IF($D865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5" s="41" t="str">
        <f aca="false">IF($B865="","",ROUND(IFERROR(IF($D865="周转打冷",N(INDEX(对接源_01入库吨位!$H$5:$H$304,MATCH(INT((ROW()-5)/3)+1,对接源_01入库吨位!$S$5:$S$304,0))),IF($D865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5" s="52" t="str">
        <f aca="false">IF($B865="","",ROUND(N($F865)/1000,3))</f>
        <v/>
      </c>
      <c r="H865" s="74"/>
      <c r="I865" s="44"/>
      <c r="J865" s="75" t="str">
        <f aca="false">IF($B865="","",IF($H865="按筐数×单价",N($E865),IF($H865="按总重KG×单价",N($F865),IF($H865="按吨位×单价",N($G865),0))))</f>
        <v/>
      </c>
      <c r="K865" s="41" t="str">
        <f aca="false">IF($B865="","",ROUND(N($J865)*N($I865),2))</f>
        <v/>
      </c>
      <c r="L865" s="42"/>
      <c r="M865" s="76"/>
      <c r="N865" s="43"/>
      <c r="R865" s="77" t="str">
        <f aca="false">IF($B865="","",$B865)</f>
        <v/>
      </c>
      <c r="S865" s="77" t="n">
        <f aca="false">IF($R865="",0,IF(MATCH($R865,$R$5:$R$904,0)=ROW()-4,1,0))</f>
        <v>0</v>
      </c>
      <c r="T865" s="77" t="n">
        <f aca="false">N(T864)+$S865</f>
        <v>18</v>
      </c>
    </row>
    <row r="866" customFormat="false" ht="13.5" hidden="false" customHeight="false" outlineLevel="0" collapsed="false">
      <c r="A866" s="9" t="str">
        <f aca="false">IF($B866="","",ROW()-4)</f>
        <v/>
      </c>
      <c r="B866" s="39" t="str">
        <f aca="false">IFERROR(INDEX(对接源_01入库吨位!$B$5:$B$304,MATCH(INT((ROW()-5)/3)+1,对接源_01入库吨位!$S$5:$S$304,0)),"")</f>
        <v/>
      </c>
      <c r="C866" s="39" t="str">
        <f aca="false">IFERROR(INDEX(对接源_01入库吨位!$C$5:$C$304,MATCH(INT((ROW()-5)/3)+1,对接源_01入库吨位!$S$5:$S$304,0)),"")</f>
        <v/>
      </c>
      <c r="D866" s="40" t="str">
        <f aca="false">IF($B866="","",IF(MOD(ROW()-5,3)=0,"周转打冷",IF(MOD(ROW()-5,3)=1,"仓储加工","装卸费")))</f>
        <v/>
      </c>
      <c r="E866" s="51" t="str">
        <f aca="false">IF($B866="","",IFERROR(IF($D866="周转打冷",N(INDEX(对接源_01入库吨位!$D$5:$D$304,MATCH(INT((ROW()-5)/3)+1,对接源_01入库吨位!$S$5:$S$304,0))),IF($D866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6" s="41" t="str">
        <f aca="false">IF($B866="","",ROUND(IFERROR(IF($D866="周转打冷",N(INDEX(对接源_01入库吨位!$H$5:$H$304,MATCH(INT((ROW()-5)/3)+1,对接源_01入库吨位!$S$5:$S$304,0))),IF($D866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6" s="52" t="str">
        <f aca="false">IF($B866="","",ROUND(N($F866)/1000,3))</f>
        <v/>
      </c>
      <c r="H866" s="74"/>
      <c r="I866" s="44"/>
      <c r="J866" s="75" t="str">
        <f aca="false">IF($B866="","",IF($H866="按筐数×单价",N($E866),IF($H866="按总重KG×单价",N($F866),IF($H866="按吨位×单价",N($G866),0))))</f>
        <v/>
      </c>
      <c r="K866" s="41" t="str">
        <f aca="false">IF($B866="","",ROUND(N($J866)*N($I866),2))</f>
        <v/>
      </c>
      <c r="L866" s="42"/>
      <c r="M866" s="76"/>
      <c r="N866" s="43"/>
      <c r="R866" s="77" t="str">
        <f aca="false">IF($B866="","",$B866)</f>
        <v/>
      </c>
      <c r="S866" s="77" t="n">
        <f aca="false">IF($R866="",0,IF(MATCH($R866,$R$5:$R$904,0)=ROW()-4,1,0))</f>
        <v>0</v>
      </c>
      <c r="T866" s="77" t="n">
        <f aca="false">N(T865)+$S866</f>
        <v>18</v>
      </c>
    </row>
    <row r="867" customFormat="false" ht="13.5" hidden="false" customHeight="false" outlineLevel="0" collapsed="false">
      <c r="A867" s="9" t="str">
        <f aca="false">IF($B867="","",ROW()-4)</f>
        <v/>
      </c>
      <c r="B867" s="39" t="str">
        <f aca="false">IFERROR(INDEX(对接源_01入库吨位!$B$5:$B$304,MATCH(INT((ROW()-5)/3)+1,对接源_01入库吨位!$S$5:$S$304,0)),"")</f>
        <v/>
      </c>
      <c r="C867" s="39" t="str">
        <f aca="false">IFERROR(INDEX(对接源_01入库吨位!$C$5:$C$304,MATCH(INT((ROW()-5)/3)+1,对接源_01入库吨位!$S$5:$S$304,0)),"")</f>
        <v/>
      </c>
      <c r="D867" s="40" t="str">
        <f aca="false">IF($B867="","",IF(MOD(ROW()-5,3)=0,"周转打冷",IF(MOD(ROW()-5,3)=1,"仓储加工","装卸费")))</f>
        <v/>
      </c>
      <c r="E867" s="51" t="str">
        <f aca="false">IF($B867="","",IFERROR(IF($D867="周转打冷",N(INDEX(对接源_01入库吨位!$D$5:$D$304,MATCH(INT((ROW()-5)/3)+1,对接源_01入库吨位!$S$5:$S$304,0))),IF($D867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7" s="41" t="str">
        <f aca="false">IF($B867="","",ROUND(IFERROR(IF($D867="周转打冷",N(INDEX(对接源_01入库吨位!$H$5:$H$304,MATCH(INT((ROW()-5)/3)+1,对接源_01入库吨位!$S$5:$S$304,0))),IF($D867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7" s="52" t="str">
        <f aca="false">IF($B867="","",ROUND(N($F867)/1000,3))</f>
        <v/>
      </c>
      <c r="H867" s="74"/>
      <c r="I867" s="44"/>
      <c r="J867" s="75" t="str">
        <f aca="false">IF($B867="","",IF($H867="按筐数×单价",N($E867),IF($H867="按总重KG×单价",N($F867),IF($H867="按吨位×单价",N($G867),0))))</f>
        <v/>
      </c>
      <c r="K867" s="41" t="str">
        <f aca="false">IF($B867="","",ROUND(N($J867)*N($I867),2))</f>
        <v/>
      </c>
      <c r="L867" s="42"/>
      <c r="M867" s="76"/>
      <c r="N867" s="43"/>
      <c r="R867" s="77" t="str">
        <f aca="false">IF($B867="","",$B867)</f>
        <v/>
      </c>
      <c r="S867" s="77" t="n">
        <f aca="false">IF($R867="",0,IF(MATCH($R867,$R$5:$R$904,0)=ROW()-4,1,0))</f>
        <v>0</v>
      </c>
      <c r="T867" s="77" t="n">
        <f aca="false">N(T866)+$S867</f>
        <v>18</v>
      </c>
    </row>
    <row r="868" customFormat="false" ht="13.5" hidden="false" customHeight="false" outlineLevel="0" collapsed="false">
      <c r="A868" s="9" t="str">
        <f aca="false">IF($B868="","",ROW()-4)</f>
        <v/>
      </c>
      <c r="B868" s="39" t="str">
        <f aca="false">IFERROR(INDEX(对接源_01入库吨位!$B$5:$B$304,MATCH(INT((ROW()-5)/3)+1,对接源_01入库吨位!$S$5:$S$304,0)),"")</f>
        <v/>
      </c>
      <c r="C868" s="39" t="str">
        <f aca="false">IFERROR(INDEX(对接源_01入库吨位!$C$5:$C$304,MATCH(INT((ROW()-5)/3)+1,对接源_01入库吨位!$S$5:$S$304,0)),"")</f>
        <v/>
      </c>
      <c r="D868" s="40" t="str">
        <f aca="false">IF($B868="","",IF(MOD(ROW()-5,3)=0,"周转打冷",IF(MOD(ROW()-5,3)=1,"仓储加工","装卸费")))</f>
        <v/>
      </c>
      <c r="E868" s="51" t="str">
        <f aca="false">IF($B868="","",IFERROR(IF($D868="周转打冷",N(INDEX(对接源_01入库吨位!$D$5:$D$304,MATCH(INT((ROW()-5)/3)+1,对接源_01入库吨位!$S$5:$S$304,0))),IF($D868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8" s="41" t="str">
        <f aca="false">IF($B868="","",ROUND(IFERROR(IF($D868="周转打冷",N(INDEX(对接源_01入库吨位!$H$5:$H$304,MATCH(INT((ROW()-5)/3)+1,对接源_01入库吨位!$S$5:$S$304,0))),IF($D868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8" s="52" t="str">
        <f aca="false">IF($B868="","",ROUND(N($F868)/1000,3))</f>
        <v/>
      </c>
      <c r="H868" s="74"/>
      <c r="I868" s="44"/>
      <c r="J868" s="75" t="str">
        <f aca="false">IF($B868="","",IF($H868="按筐数×单价",N($E868),IF($H868="按总重KG×单价",N($F868),IF($H868="按吨位×单价",N($G868),0))))</f>
        <v/>
      </c>
      <c r="K868" s="41" t="str">
        <f aca="false">IF($B868="","",ROUND(N($J868)*N($I868),2))</f>
        <v/>
      </c>
      <c r="L868" s="42"/>
      <c r="M868" s="76"/>
      <c r="N868" s="43"/>
      <c r="R868" s="77" t="str">
        <f aca="false">IF($B868="","",$B868)</f>
        <v/>
      </c>
      <c r="S868" s="77" t="n">
        <f aca="false">IF($R868="",0,IF(MATCH($R868,$R$5:$R$904,0)=ROW()-4,1,0))</f>
        <v>0</v>
      </c>
      <c r="T868" s="77" t="n">
        <f aca="false">N(T867)+$S868</f>
        <v>18</v>
      </c>
    </row>
    <row r="869" customFormat="false" ht="13.5" hidden="false" customHeight="false" outlineLevel="0" collapsed="false">
      <c r="A869" s="9" t="str">
        <f aca="false">IF($B869="","",ROW()-4)</f>
        <v/>
      </c>
      <c r="B869" s="39" t="str">
        <f aca="false">IFERROR(INDEX(对接源_01入库吨位!$B$5:$B$304,MATCH(INT((ROW()-5)/3)+1,对接源_01入库吨位!$S$5:$S$304,0)),"")</f>
        <v/>
      </c>
      <c r="C869" s="39" t="str">
        <f aca="false">IFERROR(INDEX(对接源_01入库吨位!$C$5:$C$304,MATCH(INT((ROW()-5)/3)+1,对接源_01入库吨位!$S$5:$S$304,0)),"")</f>
        <v/>
      </c>
      <c r="D869" s="40" t="str">
        <f aca="false">IF($B869="","",IF(MOD(ROW()-5,3)=0,"周转打冷",IF(MOD(ROW()-5,3)=1,"仓储加工","装卸费")))</f>
        <v/>
      </c>
      <c r="E869" s="51" t="str">
        <f aca="false">IF($B869="","",IFERROR(IF($D869="周转打冷",N(INDEX(对接源_01入库吨位!$D$5:$D$304,MATCH(INT((ROW()-5)/3)+1,对接源_01入库吨位!$S$5:$S$304,0))),IF($D869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69" s="41" t="str">
        <f aca="false">IF($B869="","",ROUND(IFERROR(IF($D869="周转打冷",N(INDEX(对接源_01入库吨位!$H$5:$H$304,MATCH(INT((ROW()-5)/3)+1,对接源_01入库吨位!$S$5:$S$304,0))),IF($D869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69" s="52" t="str">
        <f aca="false">IF($B869="","",ROUND(N($F869)/1000,3))</f>
        <v/>
      </c>
      <c r="H869" s="74"/>
      <c r="I869" s="44"/>
      <c r="J869" s="75" t="str">
        <f aca="false">IF($B869="","",IF($H869="按筐数×单价",N($E869),IF($H869="按总重KG×单价",N($F869),IF($H869="按吨位×单价",N($G869),0))))</f>
        <v/>
      </c>
      <c r="K869" s="41" t="str">
        <f aca="false">IF($B869="","",ROUND(N($J869)*N($I869),2))</f>
        <v/>
      </c>
      <c r="L869" s="42"/>
      <c r="M869" s="76"/>
      <c r="N869" s="43"/>
      <c r="R869" s="77" t="str">
        <f aca="false">IF($B869="","",$B869)</f>
        <v/>
      </c>
      <c r="S869" s="77" t="n">
        <f aca="false">IF($R869="",0,IF(MATCH($R869,$R$5:$R$904,0)=ROW()-4,1,0))</f>
        <v>0</v>
      </c>
      <c r="T869" s="77" t="n">
        <f aca="false">N(T868)+$S869</f>
        <v>18</v>
      </c>
    </row>
    <row r="870" customFormat="false" ht="13.5" hidden="false" customHeight="false" outlineLevel="0" collapsed="false">
      <c r="A870" s="9" t="str">
        <f aca="false">IF($B870="","",ROW()-4)</f>
        <v/>
      </c>
      <c r="B870" s="39" t="str">
        <f aca="false">IFERROR(INDEX(对接源_01入库吨位!$B$5:$B$304,MATCH(INT((ROW()-5)/3)+1,对接源_01入库吨位!$S$5:$S$304,0)),"")</f>
        <v/>
      </c>
      <c r="C870" s="39" t="str">
        <f aca="false">IFERROR(INDEX(对接源_01入库吨位!$C$5:$C$304,MATCH(INT((ROW()-5)/3)+1,对接源_01入库吨位!$S$5:$S$304,0)),"")</f>
        <v/>
      </c>
      <c r="D870" s="40" t="str">
        <f aca="false">IF($B870="","",IF(MOD(ROW()-5,3)=0,"周转打冷",IF(MOD(ROW()-5,3)=1,"仓储加工","装卸费")))</f>
        <v/>
      </c>
      <c r="E870" s="51" t="str">
        <f aca="false">IF($B870="","",IFERROR(IF($D870="周转打冷",N(INDEX(对接源_01入库吨位!$D$5:$D$304,MATCH(INT((ROW()-5)/3)+1,对接源_01入库吨位!$S$5:$S$304,0))),IF($D870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0" s="41" t="str">
        <f aca="false">IF($B870="","",ROUND(IFERROR(IF($D870="周转打冷",N(INDEX(对接源_01入库吨位!$H$5:$H$304,MATCH(INT((ROW()-5)/3)+1,对接源_01入库吨位!$S$5:$S$304,0))),IF($D870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0" s="52" t="str">
        <f aca="false">IF($B870="","",ROUND(N($F870)/1000,3))</f>
        <v/>
      </c>
      <c r="H870" s="74"/>
      <c r="I870" s="44"/>
      <c r="J870" s="75" t="str">
        <f aca="false">IF($B870="","",IF($H870="按筐数×单价",N($E870),IF($H870="按总重KG×单价",N($F870),IF($H870="按吨位×单价",N($G870),0))))</f>
        <v/>
      </c>
      <c r="K870" s="41" t="str">
        <f aca="false">IF($B870="","",ROUND(N($J870)*N($I870),2))</f>
        <v/>
      </c>
      <c r="L870" s="42"/>
      <c r="M870" s="76"/>
      <c r="N870" s="43"/>
      <c r="R870" s="77" t="str">
        <f aca="false">IF($B870="","",$B870)</f>
        <v/>
      </c>
      <c r="S870" s="77" t="n">
        <f aca="false">IF($R870="",0,IF(MATCH($R870,$R$5:$R$904,0)=ROW()-4,1,0))</f>
        <v>0</v>
      </c>
      <c r="T870" s="77" t="n">
        <f aca="false">N(T869)+$S870</f>
        <v>18</v>
      </c>
    </row>
    <row r="871" customFormat="false" ht="13.5" hidden="false" customHeight="false" outlineLevel="0" collapsed="false">
      <c r="A871" s="9" t="str">
        <f aca="false">IF($B871="","",ROW()-4)</f>
        <v/>
      </c>
      <c r="B871" s="39" t="str">
        <f aca="false">IFERROR(INDEX(对接源_01入库吨位!$B$5:$B$304,MATCH(INT((ROW()-5)/3)+1,对接源_01入库吨位!$S$5:$S$304,0)),"")</f>
        <v/>
      </c>
      <c r="C871" s="39" t="str">
        <f aca="false">IFERROR(INDEX(对接源_01入库吨位!$C$5:$C$304,MATCH(INT((ROW()-5)/3)+1,对接源_01入库吨位!$S$5:$S$304,0)),"")</f>
        <v/>
      </c>
      <c r="D871" s="40" t="str">
        <f aca="false">IF($B871="","",IF(MOD(ROW()-5,3)=0,"周转打冷",IF(MOD(ROW()-5,3)=1,"仓储加工","装卸费")))</f>
        <v/>
      </c>
      <c r="E871" s="51" t="str">
        <f aca="false">IF($B871="","",IFERROR(IF($D871="周转打冷",N(INDEX(对接源_01入库吨位!$D$5:$D$304,MATCH(INT((ROW()-5)/3)+1,对接源_01入库吨位!$S$5:$S$304,0))),IF($D871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1" s="41" t="str">
        <f aca="false">IF($B871="","",ROUND(IFERROR(IF($D871="周转打冷",N(INDEX(对接源_01入库吨位!$H$5:$H$304,MATCH(INT((ROW()-5)/3)+1,对接源_01入库吨位!$S$5:$S$304,0))),IF($D871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1" s="52" t="str">
        <f aca="false">IF($B871="","",ROUND(N($F871)/1000,3))</f>
        <v/>
      </c>
      <c r="H871" s="74"/>
      <c r="I871" s="44"/>
      <c r="J871" s="75" t="str">
        <f aca="false">IF($B871="","",IF($H871="按筐数×单价",N($E871),IF($H871="按总重KG×单价",N($F871),IF($H871="按吨位×单价",N($G871),0))))</f>
        <v/>
      </c>
      <c r="K871" s="41" t="str">
        <f aca="false">IF($B871="","",ROUND(N($J871)*N($I871),2))</f>
        <v/>
      </c>
      <c r="L871" s="42"/>
      <c r="M871" s="76"/>
      <c r="N871" s="43"/>
      <c r="R871" s="77" t="str">
        <f aca="false">IF($B871="","",$B871)</f>
        <v/>
      </c>
      <c r="S871" s="77" t="n">
        <f aca="false">IF($R871="",0,IF(MATCH($R871,$R$5:$R$904,0)=ROW()-4,1,0))</f>
        <v>0</v>
      </c>
      <c r="T871" s="77" t="n">
        <f aca="false">N(T870)+$S871</f>
        <v>18</v>
      </c>
    </row>
    <row r="872" customFormat="false" ht="13.5" hidden="false" customHeight="false" outlineLevel="0" collapsed="false">
      <c r="A872" s="9" t="str">
        <f aca="false">IF($B872="","",ROW()-4)</f>
        <v/>
      </c>
      <c r="B872" s="39" t="str">
        <f aca="false">IFERROR(INDEX(对接源_01入库吨位!$B$5:$B$304,MATCH(INT((ROW()-5)/3)+1,对接源_01入库吨位!$S$5:$S$304,0)),"")</f>
        <v/>
      </c>
      <c r="C872" s="39" t="str">
        <f aca="false">IFERROR(INDEX(对接源_01入库吨位!$C$5:$C$304,MATCH(INT((ROW()-5)/3)+1,对接源_01入库吨位!$S$5:$S$304,0)),"")</f>
        <v/>
      </c>
      <c r="D872" s="40" t="str">
        <f aca="false">IF($B872="","",IF(MOD(ROW()-5,3)=0,"周转打冷",IF(MOD(ROW()-5,3)=1,"仓储加工","装卸费")))</f>
        <v/>
      </c>
      <c r="E872" s="51" t="str">
        <f aca="false">IF($B872="","",IFERROR(IF($D872="周转打冷",N(INDEX(对接源_01入库吨位!$D$5:$D$304,MATCH(INT((ROW()-5)/3)+1,对接源_01入库吨位!$S$5:$S$304,0))),IF($D872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2" s="41" t="str">
        <f aca="false">IF($B872="","",ROUND(IFERROR(IF($D872="周转打冷",N(INDEX(对接源_01入库吨位!$H$5:$H$304,MATCH(INT((ROW()-5)/3)+1,对接源_01入库吨位!$S$5:$S$304,0))),IF($D872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2" s="52" t="str">
        <f aca="false">IF($B872="","",ROUND(N($F872)/1000,3))</f>
        <v/>
      </c>
      <c r="H872" s="74"/>
      <c r="I872" s="44"/>
      <c r="J872" s="75" t="str">
        <f aca="false">IF($B872="","",IF($H872="按筐数×单价",N($E872),IF($H872="按总重KG×单价",N($F872),IF($H872="按吨位×单价",N($G872),0))))</f>
        <v/>
      </c>
      <c r="K872" s="41" t="str">
        <f aca="false">IF($B872="","",ROUND(N($J872)*N($I872),2))</f>
        <v/>
      </c>
      <c r="L872" s="42"/>
      <c r="M872" s="76"/>
      <c r="N872" s="43"/>
      <c r="R872" s="77" t="str">
        <f aca="false">IF($B872="","",$B872)</f>
        <v/>
      </c>
      <c r="S872" s="77" t="n">
        <f aca="false">IF($R872="",0,IF(MATCH($R872,$R$5:$R$904,0)=ROW()-4,1,0))</f>
        <v>0</v>
      </c>
      <c r="T872" s="77" t="n">
        <f aca="false">N(T871)+$S872</f>
        <v>18</v>
      </c>
    </row>
    <row r="873" customFormat="false" ht="13.5" hidden="false" customHeight="false" outlineLevel="0" collapsed="false">
      <c r="A873" s="9" t="str">
        <f aca="false">IF($B873="","",ROW()-4)</f>
        <v/>
      </c>
      <c r="B873" s="39" t="str">
        <f aca="false">IFERROR(INDEX(对接源_01入库吨位!$B$5:$B$304,MATCH(INT((ROW()-5)/3)+1,对接源_01入库吨位!$S$5:$S$304,0)),"")</f>
        <v/>
      </c>
      <c r="C873" s="39" t="str">
        <f aca="false">IFERROR(INDEX(对接源_01入库吨位!$C$5:$C$304,MATCH(INT((ROW()-5)/3)+1,对接源_01入库吨位!$S$5:$S$304,0)),"")</f>
        <v/>
      </c>
      <c r="D873" s="40" t="str">
        <f aca="false">IF($B873="","",IF(MOD(ROW()-5,3)=0,"周转打冷",IF(MOD(ROW()-5,3)=1,"仓储加工","装卸费")))</f>
        <v/>
      </c>
      <c r="E873" s="51" t="str">
        <f aca="false">IF($B873="","",IFERROR(IF($D873="周转打冷",N(INDEX(对接源_01入库吨位!$D$5:$D$304,MATCH(INT((ROW()-5)/3)+1,对接源_01入库吨位!$S$5:$S$304,0))),IF($D873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3" s="41" t="str">
        <f aca="false">IF($B873="","",ROUND(IFERROR(IF($D873="周转打冷",N(INDEX(对接源_01入库吨位!$H$5:$H$304,MATCH(INT((ROW()-5)/3)+1,对接源_01入库吨位!$S$5:$S$304,0))),IF($D873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3" s="52" t="str">
        <f aca="false">IF($B873="","",ROUND(N($F873)/1000,3))</f>
        <v/>
      </c>
      <c r="H873" s="74"/>
      <c r="I873" s="44"/>
      <c r="J873" s="75" t="str">
        <f aca="false">IF($B873="","",IF($H873="按筐数×单价",N($E873),IF($H873="按总重KG×单价",N($F873),IF($H873="按吨位×单价",N($G873),0))))</f>
        <v/>
      </c>
      <c r="K873" s="41" t="str">
        <f aca="false">IF($B873="","",ROUND(N($J873)*N($I873),2))</f>
        <v/>
      </c>
      <c r="L873" s="42"/>
      <c r="M873" s="76"/>
      <c r="N873" s="43"/>
      <c r="R873" s="77" t="str">
        <f aca="false">IF($B873="","",$B873)</f>
        <v/>
      </c>
      <c r="S873" s="77" t="n">
        <f aca="false">IF($R873="",0,IF(MATCH($R873,$R$5:$R$904,0)=ROW()-4,1,0))</f>
        <v>0</v>
      </c>
      <c r="T873" s="77" t="n">
        <f aca="false">N(T872)+$S873</f>
        <v>18</v>
      </c>
    </row>
    <row r="874" customFormat="false" ht="13.5" hidden="false" customHeight="false" outlineLevel="0" collapsed="false">
      <c r="A874" s="9" t="str">
        <f aca="false">IF($B874="","",ROW()-4)</f>
        <v/>
      </c>
      <c r="B874" s="39" t="str">
        <f aca="false">IFERROR(INDEX(对接源_01入库吨位!$B$5:$B$304,MATCH(INT((ROW()-5)/3)+1,对接源_01入库吨位!$S$5:$S$304,0)),"")</f>
        <v/>
      </c>
      <c r="C874" s="39" t="str">
        <f aca="false">IFERROR(INDEX(对接源_01入库吨位!$C$5:$C$304,MATCH(INT((ROW()-5)/3)+1,对接源_01入库吨位!$S$5:$S$304,0)),"")</f>
        <v/>
      </c>
      <c r="D874" s="40" t="str">
        <f aca="false">IF($B874="","",IF(MOD(ROW()-5,3)=0,"周转打冷",IF(MOD(ROW()-5,3)=1,"仓储加工","装卸费")))</f>
        <v/>
      </c>
      <c r="E874" s="51" t="str">
        <f aca="false">IF($B874="","",IFERROR(IF($D874="周转打冷",N(INDEX(对接源_01入库吨位!$D$5:$D$304,MATCH(INT((ROW()-5)/3)+1,对接源_01入库吨位!$S$5:$S$304,0))),IF($D874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4" s="41" t="str">
        <f aca="false">IF($B874="","",ROUND(IFERROR(IF($D874="周转打冷",N(INDEX(对接源_01入库吨位!$H$5:$H$304,MATCH(INT((ROW()-5)/3)+1,对接源_01入库吨位!$S$5:$S$304,0))),IF($D874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4" s="52" t="str">
        <f aca="false">IF($B874="","",ROUND(N($F874)/1000,3))</f>
        <v/>
      </c>
      <c r="H874" s="74"/>
      <c r="I874" s="44"/>
      <c r="J874" s="75" t="str">
        <f aca="false">IF($B874="","",IF($H874="按筐数×单价",N($E874),IF($H874="按总重KG×单价",N($F874),IF($H874="按吨位×单价",N($G874),0))))</f>
        <v/>
      </c>
      <c r="K874" s="41" t="str">
        <f aca="false">IF($B874="","",ROUND(N($J874)*N($I874),2))</f>
        <v/>
      </c>
      <c r="L874" s="42"/>
      <c r="M874" s="76"/>
      <c r="N874" s="43"/>
      <c r="R874" s="77" t="str">
        <f aca="false">IF($B874="","",$B874)</f>
        <v/>
      </c>
      <c r="S874" s="77" t="n">
        <f aca="false">IF($R874="",0,IF(MATCH($R874,$R$5:$R$904,0)=ROW()-4,1,0))</f>
        <v>0</v>
      </c>
      <c r="T874" s="77" t="n">
        <f aca="false">N(T873)+$S874</f>
        <v>18</v>
      </c>
    </row>
    <row r="875" customFormat="false" ht="13.5" hidden="false" customHeight="false" outlineLevel="0" collapsed="false">
      <c r="A875" s="9" t="str">
        <f aca="false">IF($B875="","",ROW()-4)</f>
        <v/>
      </c>
      <c r="B875" s="39" t="str">
        <f aca="false">IFERROR(INDEX(对接源_01入库吨位!$B$5:$B$304,MATCH(INT((ROW()-5)/3)+1,对接源_01入库吨位!$S$5:$S$304,0)),"")</f>
        <v/>
      </c>
      <c r="C875" s="39" t="str">
        <f aca="false">IFERROR(INDEX(对接源_01入库吨位!$C$5:$C$304,MATCH(INT((ROW()-5)/3)+1,对接源_01入库吨位!$S$5:$S$304,0)),"")</f>
        <v/>
      </c>
      <c r="D875" s="40" t="str">
        <f aca="false">IF($B875="","",IF(MOD(ROW()-5,3)=0,"周转打冷",IF(MOD(ROW()-5,3)=1,"仓储加工","装卸费")))</f>
        <v/>
      </c>
      <c r="E875" s="51" t="str">
        <f aca="false">IF($B875="","",IFERROR(IF($D875="周转打冷",N(INDEX(对接源_01入库吨位!$D$5:$D$304,MATCH(INT((ROW()-5)/3)+1,对接源_01入库吨位!$S$5:$S$304,0))),IF($D875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5" s="41" t="str">
        <f aca="false">IF($B875="","",ROUND(IFERROR(IF($D875="周转打冷",N(INDEX(对接源_01入库吨位!$H$5:$H$304,MATCH(INT((ROW()-5)/3)+1,对接源_01入库吨位!$S$5:$S$304,0))),IF($D875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5" s="52" t="str">
        <f aca="false">IF($B875="","",ROUND(N($F875)/1000,3))</f>
        <v/>
      </c>
      <c r="H875" s="74"/>
      <c r="I875" s="44"/>
      <c r="J875" s="75" t="str">
        <f aca="false">IF($B875="","",IF($H875="按筐数×单价",N($E875),IF($H875="按总重KG×单价",N($F875),IF($H875="按吨位×单价",N($G875),0))))</f>
        <v/>
      </c>
      <c r="K875" s="41" t="str">
        <f aca="false">IF($B875="","",ROUND(N($J875)*N($I875),2))</f>
        <v/>
      </c>
      <c r="L875" s="42"/>
      <c r="M875" s="76"/>
      <c r="N875" s="43"/>
      <c r="R875" s="77" t="str">
        <f aca="false">IF($B875="","",$B875)</f>
        <v/>
      </c>
      <c r="S875" s="77" t="n">
        <f aca="false">IF($R875="",0,IF(MATCH($R875,$R$5:$R$904,0)=ROW()-4,1,0))</f>
        <v>0</v>
      </c>
      <c r="T875" s="77" t="n">
        <f aca="false">N(T874)+$S875</f>
        <v>18</v>
      </c>
    </row>
    <row r="876" customFormat="false" ht="13.5" hidden="false" customHeight="false" outlineLevel="0" collapsed="false">
      <c r="A876" s="9" t="str">
        <f aca="false">IF($B876="","",ROW()-4)</f>
        <v/>
      </c>
      <c r="B876" s="39" t="str">
        <f aca="false">IFERROR(INDEX(对接源_01入库吨位!$B$5:$B$304,MATCH(INT((ROW()-5)/3)+1,对接源_01入库吨位!$S$5:$S$304,0)),"")</f>
        <v/>
      </c>
      <c r="C876" s="39" t="str">
        <f aca="false">IFERROR(INDEX(对接源_01入库吨位!$C$5:$C$304,MATCH(INT((ROW()-5)/3)+1,对接源_01入库吨位!$S$5:$S$304,0)),"")</f>
        <v/>
      </c>
      <c r="D876" s="40" t="str">
        <f aca="false">IF($B876="","",IF(MOD(ROW()-5,3)=0,"周转打冷",IF(MOD(ROW()-5,3)=1,"仓储加工","装卸费")))</f>
        <v/>
      </c>
      <c r="E876" s="51" t="str">
        <f aca="false">IF($B876="","",IFERROR(IF($D876="周转打冷",N(INDEX(对接源_01入库吨位!$D$5:$D$304,MATCH(INT((ROW()-5)/3)+1,对接源_01入库吨位!$S$5:$S$304,0))),IF($D876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6" s="41" t="str">
        <f aca="false">IF($B876="","",ROUND(IFERROR(IF($D876="周转打冷",N(INDEX(对接源_01入库吨位!$H$5:$H$304,MATCH(INT((ROW()-5)/3)+1,对接源_01入库吨位!$S$5:$S$304,0))),IF($D876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6" s="52" t="str">
        <f aca="false">IF($B876="","",ROUND(N($F876)/1000,3))</f>
        <v/>
      </c>
      <c r="H876" s="74"/>
      <c r="I876" s="44"/>
      <c r="J876" s="75" t="str">
        <f aca="false">IF($B876="","",IF($H876="按筐数×单价",N($E876),IF($H876="按总重KG×单价",N($F876),IF($H876="按吨位×单价",N($G876),0))))</f>
        <v/>
      </c>
      <c r="K876" s="41" t="str">
        <f aca="false">IF($B876="","",ROUND(N($J876)*N($I876),2))</f>
        <v/>
      </c>
      <c r="L876" s="42"/>
      <c r="M876" s="76"/>
      <c r="N876" s="43"/>
      <c r="R876" s="77" t="str">
        <f aca="false">IF($B876="","",$B876)</f>
        <v/>
      </c>
      <c r="S876" s="77" t="n">
        <f aca="false">IF($R876="",0,IF(MATCH($R876,$R$5:$R$904,0)=ROW()-4,1,0))</f>
        <v>0</v>
      </c>
      <c r="T876" s="77" t="n">
        <f aca="false">N(T875)+$S876</f>
        <v>18</v>
      </c>
    </row>
    <row r="877" customFormat="false" ht="13.5" hidden="false" customHeight="false" outlineLevel="0" collapsed="false">
      <c r="A877" s="9" t="str">
        <f aca="false">IF($B877="","",ROW()-4)</f>
        <v/>
      </c>
      <c r="B877" s="39" t="str">
        <f aca="false">IFERROR(INDEX(对接源_01入库吨位!$B$5:$B$304,MATCH(INT((ROW()-5)/3)+1,对接源_01入库吨位!$S$5:$S$304,0)),"")</f>
        <v/>
      </c>
      <c r="C877" s="39" t="str">
        <f aca="false">IFERROR(INDEX(对接源_01入库吨位!$C$5:$C$304,MATCH(INT((ROW()-5)/3)+1,对接源_01入库吨位!$S$5:$S$304,0)),"")</f>
        <v/>
      </c>
      <c r="D877" s="40" t="str">
        <f aca="false">IF($B877="","",IF(MOD(ROW()-5,3)=0,"周转打冷",IF(MOD(ROW()-5,3)=1,"仓储加工","装卸费")))</f>
        <v/>
      </c>
      <c r="E877" s="51" t="str">
        <f aca="false">IF($B877="","",IFERROR(IF($D877="周转打冷",N(INDEX(对接源_01入库吨位!$D$5:$D$304,MATCH(INT((ROW()-5)/3)+1,对接源_01入库吨位!$S$5:$S$304,0))),IF($D877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7" s="41" t="str">
        <f aca="false">IF($B877="","",ROUND(IFERROR(IF($D877="周转打冷",N(INDEX(对接源_01入库吨位!$H$5:$H$304,MATCH(INT((ROW()-5)/3)+1,对接源_01入库吨位!$S$5:$S$304,0))),IF($D877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7" s="52" t="str">
        <f aca="false">IF($B877="","",ROUND(N($F877)/1000,3))</f>
        <v/>
      </c>
      <c r="H877" s="74"/>
      <c r="I877" s="44"/>
      <c r="J877" s="75" t="str">
        <f aca="false">IF($B877="","",IF($H877="按筐数×单价",N($E877),IF($H877="按总重KG×单价",N($F877),IF($H877="按吨位×单价",N($G877),0))))</f>
        <v/>
      </c>
      <c r="K877" s="41" t="str">
        <f aca="false">IF($B877="","",ROUND(N($J877)*N($I877),2))</f>
        <v/>
      </c>
      <c r="L877" s="42"/>
      <c r="M877" s="76"/>
      <c r="N877" s="43"/>
      <c r="R877" s="77" t="str">
        <f aca="false">IF($B877="","",$B877)</f>
        <v/>
      </c>
      <c r="S877" s="77" t="n">
        <f aca="false">IF($R877="",0,IF(MATCH($R877,$R$5:$R$904,0)=ROW()-4,1,0))</f>
        <v>0</v>
      </c>
      <c r="T877" s="77" t="n">
        <f aca="false">N(T876)+$S877</f>
        <v>18</v>
      </c>
    </row>
    <row r="878" customFormat="false" ht="13.5" hidden="false" customHeight="false" outlineLevel="0" collapsed="false">
      <c r="A878" s="9" t="str">
        <f aca="false">IF($B878="","",ROW()-4)</f>
        <v/>
      </c>
      <c r="B878" s="39" t="str">
        <f aca="false">IFERROR(INDEX(对接源_01入库吨位!$B$5:$B$304,MATCH(INT((ROW()-5)/3)+1,对接源_01入库吨位!$S$5:$S$304,0)),"")</f>
        <v/>
      </c>
      <c r="C878" s="39" t="str">
        <f aca="false">IFERROR(INDEX(对接源_01入库吨位!$C$5:$C$304,MATCH(INT((ROW()-5)/3)+1,对接源_01入库吨位!$S$5:$S$304,0)),"")</f>
        <v/>
      </c>
      <c r="D878" s="40" t="str">
        <f aca="false">IF($B878="","",IF(MOD(ROW()-5,3)=0,"周转打冷",IF(MOD(ROW()-5,3)=1,"仓储加工","装卸费")))</f>
        <v/>
      </c>
      <c r="E878" s="51" t="str">
        <f aca="false">IF($B878="","",IFERROR(IF($D878="周转打冷",N(INDEX(对接源_01入库吨位!$D$5:$D$304,MATCH(INT((ROW()-5)/3)+1,对接源_01入库吨位!$S$5:$S$304,0))),IF($D878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8" s="41" t="str">
        <f aca="false">IF($B878="","",ROUND(IFERROR(IF($D878="周转打冷",N(INDEX(对接源_01入库吨位!$H$5:$H$304,MATCH(INT((ROW()-5)/3)+1,对接源_01入库吨位!$S$5:$S$304,0))),IF($D878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8" s="52" t="str">
        <f aca="false">IF($B878="","",ROUND(N($F878)/1000,3))</f>
        <v/>
      </c>
      <c r="H878" s="74"/>
      <c r="I878" s="44"/>
      <c r="J878" s="75" t="str">
        <f aca="false">IF($B878="","",IF($H878="按筐数×单价",N($E878),IF($H878="按总重KG×单价",N($F878),IF($H878="按吨位×单价",N($G878),0))))</f>
        <v/>
      </c>
      <c r="K878" s="41" t="str">
        <f aca="false">IF($B878="","",ROUND(N($J878)*N($I878),2))</f>
        <v/>
      </c>
      <c r="L878" s="42"/>
      <c r="M878" s="76"/>
      <c r="N878" s="43"/>
      <c r="R878" s="77" t="str">
        <f aca="false">IF($B878="","",$B878)</f>
        <v/>
      </c>
      <c r="S878" s="77" t="n">
        <f aca="false">IF($R878="",0,IF(MATCH($R878,$R$5:$R$904,0)=ROW()-4,1,0))</f>
        <v>0</v>
      </c>
      <c r="T878" s="77" t="n">
        <f aca="false">N(T877)+$S878</f>
        <v>18</v>
      </c>
    </row>
    <row r="879" customFormat="false" ht="13.5" hidden="false" customHeight="false" outlineLevel="0" collapsed="false">
      <c r="A879" s="9" t="str">
        <f aca="false">IF($B879="","",ROW()-4)</f>
        <v/>
      </c>
      <c r="B879" s="39" t="str">
        <f aca="false">IFERROR(INDEX(对接源_01入库吨位!$B$5:$B$304,MATCH(INT((ROW()-5)/3)+1,对接源_01入库吨位!$S$5:$S$304,0)),"")</f>
        <v/>
      </c>
      <c r="C879" s="39" t="str">
        <f aca="false">IFERROR(INDEX(对接源_01入库吨位!$C$5:$C$304,MATCH(INT((ROW()-5)/3)+1,对接源_01入库吨位!$S$5:$S$304,0)),"")</f>
        <v/>
      </c>
      <c r="D879" s="40" t="str">
        <f aca="false">IF($B879="","",IF(MOD(ROW()-5,3)=0,"周转打冷",IF(MOD(ROW()-5,3)=1,"仓储加工","装卸费")))</f>
        <v/>
      </c>
      <c r="E879" s="51" t="str">
        <f aca="false">IF($B879="","",IFERROR(IF($D879="周转打冷",N(INDEX(对接源_01入库吨位!$D$5:$D$304,MATCH(INT((ROW()-5)/3)+1,对接源_01入库吨位!$S$5:$S$304,0))),IF($D879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79" s="41" t="str">
        <f aca="false">IF($B879="","",ROUND(IFERROR(IF($D879="周转打冷",N(INDEX(对接源_01入库吨位!$H$5:$H$304,MATCH(INT((ROW()-5)/3)+1,对接源_01入库吨位!$S$5:$S$304,0))),IF($D879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79" s="52" t="str">
        <f aca="false">IF($B879="","",ROUND(N($F879)/1000,3))</f>
        <v/>
      </c>
      <c r="H879" s="74"/>
      <c r="I879" s="44"/>
      <c r="J879" s="75" t="str">
        <f aca="false">IF($B879="","",IF($H879="按筐数×单价",N($E879),IF($H879="按总重KG×单价",N($F879),IF($H879="按吨位×单价",N($G879),0))))</f>
        <v/>
      </c>
      <c r="K879" s="41" t="str">
        <f aca="false">IF($B879="","",ROUND(N($J879)*N($I879),2))</f>
        <v/>
      </c>
      <c r="L879" s="42"/>
      <c r="M879" s="76"/>
      <c r="N879" s="43"/>
      <c r="R879" s="77" t="str">
        <f aca="false">IF($B879="","",$B879)</f>
        <v/>
      </c>
      <c r="S879" s="77" t="n">
        <f aca="false">IF($R879="",0,IF(MATCH($R879,$R$5:$R$904,0)=ROW()-4,1,0))</f>
        <v>0</v>
      </c>
      <c r="T879" s="77" t="n">
        <f aca="false">N(T878)+$S879</f>
        <v>18</v>
      </c>
    </row>
    <row r="880" customFormat="false" ht="13.5" hidden="false" customHeight="false" outlineLevel="0" collapsed="false">
      <c r="A880" s="9" t="str">
        <f aca="false">IF($B880="","",ROW()-4)</f>
        <v/>
      </c>
      <c r="B880" s="39" t="str">
        <f aca="false">IFERROR(INDEX(对接源_01入库吨位!$B$5:$B$304,MATCH(INT((ROW()-5)/3)+1,对接源_01入库吨位!$S$5:$S$304,0)),"")</f>
        <v/>
      </c>
      <c r="C880" s="39" t="str">
        <f aca="false">IFERROR(INDEX(对接源_01入库吨位!$C$5:$C$304,MATCH(INT((ROW()-5)/3)+1,对接源_01入库吨位!$S$5:$S$304,0)),"")</f>
        <v/>
      </c>
      <c r="D880" s="40" t="str">
        <f aca="false">IF($B880="","",IF(MOD(ROW()-5,3)=0,"周转打冷",IF(MOD(ROW()-5,3)=1,"仓储加工","装卸费")))</f>
        <v/>
      </c>
      <c r="E880" s="51" t="str">
        <f aca="false">IF($B880="","",IFERROR(IF($D880="周转打冷",N(INDEX(对接源_01入库吨位!$D$5:$D$304,MATCH(INT((ROW()-5)/3)+1,对接源_01入库吨位!$S$5:$S$304,0))),IF($D880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0" s="41" t="str">
        <f aca="false">IF($B880="","",ROUND(IFERROR(IF($D880="周转打冷",N(INDEX(对接源_01入库吨位!$H$5:$H$304,MATCH(INT((ROW()-5)/3)+1,对接源_01入库吨位!$S$5:$S$304,0))),IF($D880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0" s="52" t="str">
        <f aca="false">IF($B880="","",ROUND(N($F880)/1000,3))</f>
        <v/>
      </c>
      <c r="H880" s="74"/>
      <c r="I880" s="44"/>
      <c r="J880" s="75" t="str">
        <f aca="false">IF($B880="","",IF($H880="按筐数×单价",N($E880),IF($H880="按总重KG×单价",N($F880),IF($H880="按吨位×单价",N($G880),0))))</f>
        <v/>
      </c>
      <c r="K880" s="41" t="str">
        <f aca="false">IF($B880="","",ROUND(N($J880)*N($I880),2))</f>
        <v/>
      </c>
      <c r="L880" s="42"/>
      <c r="M880" s="76"/>
      <c r="N880" s="43"/>
      <c r="R880" s="77" t="str">
        <f aca="false">IF($B880="","",$B880)</f>
        <v/>
      </c>
      <c r="S880" s="77" t="n">
        <f aca="false">IF($R880="",0,IF(MATCH($R880,$R$5:$R$904,0)=ROW()-4,1,0))</f>
        <v>0</v>
      </c>
      <c r="T880" s="77" t="n">
        <f aca="false">N(T879)+$S880</f>
        <v>18</v>
      </c>
    </row>
    <row r="881" customFormat="false" ht="13.5" hidden="false" customHeight="false" outlineLevel="0" collapsed="false">
      <c r="A881" s="9" t="str">
        <f aca="false">IF($B881="","",ROW()-4)</f>
        <v/>
      </c>
      <c r="B881" s="39" t="str">
        <f aca="false">IFERROR(INDEX(对接源_01入库吨位!$B$5:$B$304,MATCH(INT((ROW()-5)/3)+1,对接源_01入库吨位!$S$5:$S$304,0)),"")</f>
        <v/>
      </c>
      <c r="C881" s="39" t="str">
        <f aca="false">IFERROR(INDEX(对接源_01入库吨位!$C$5:$C$304,MATCH(INT((ROW()-5)/3)+1,对接源_01入库吨位!$S$5:$S$304,0)),"")</f>
        <v/>
      </c>
      <c r="D881" s="40" t="str">
        <f aca="false">IF($B881="","",IF(MOD(ROW()-5,3)=0,"周转打冷",IF(MOD(ROW()-5,3)=1,"仓储加工","装卸费")))</f>
        <v/>
      </c>
      <c r="E881" s="51" t="str">
        <f aca="false">IF($B881="","",IFERROR(IF($D881="周转打冷",N(INDEX(对接源_01入库吨位!$D$5:$D$304,MATCH(INT((ROW()-5)/3)+1,对接源_01入库吨位!$S$5:$S$304,0))),IF($D881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1" s="41" t="str">
        <f aca="false">IF($B881="","",ROUND(IFERROR(IF($D881="周转打冷",N(INDEX(对接源_01入库吨位!$H$5:$H$304,MATCH(INT((ROW()-5)/3)+1,对接源_01入库吨位!$S$5:$S$304,0))),IF($D881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1" s="52" t="str">
        <f aca="false">IF($B881="","",ROUND(N($F881)/1000,3))</f>
        <v/>
      </c>
      <c r="H881" s="74"/>
      <c r="I881" s="44"/>
      <c r="J881" s="75" t="str">
        <f aca="false">IF($B881="","",IF($H881="按筐数×单价",N($E881),IF($H881="按总重KG×单价",N($F881),IF($H881="按吨位×单价",N($G881),0))))</f>
        <v/>
      </c>
      <c r="K881" s="41" t="str">
        <f aca="false">IF($B881="","",ROUND(N($J881)*N($I881),2))</f>
        <v/>
      </c>
      <c r="L881" s="42"/>
      <c r="M881" s="76"/>
      <c r="N881" s="43"/>
      <c r="R881" s="77" t="str">
        <f aca="false">IF($B881="","",$B881)</f>
        <v/>
      </c>
      <c r="S881" s="77" t="n">
        <f aca="false">IF($R881="",0,IF(MATCH($R881,$R$5:$R$904,0)=ROW()-4,1,0))</f>
        <v>0</v>
      </c>
      <c r="T881" s="77" t="n">
        <f aca="false">N(T880)+$S881</f>
        <v>18</v>
      </c>
    </row>
    <row r="882" customFormat="false" ht="13.5" hidden="false" customHeight="false" outlineLevel="0" collapsed="false">
      <c r="A882" s="9" t="str">
        <f aca="false">IF($B882="","",ROW()-4)</f>
        <v/>
      </c>
      <c r="B882" s="39" t="str">
        <f aca="false">IFERROR(INDEX(对接源_01入库吨位!$B$5:$B$304,MATCH(INT((ROW()-5)/3)+1,对接源_01入库吨位!$S$5:$S$304,0)),"")</f>
        <v/>
      </c>
      <c r="C882" s="39" t="str">
        <f aca="false">IFERROR(INDEX(对接源_01入库吨位!$C$5:$C$304,MATCH(INT((ROW()-5)/3)+1,对接源_01入库吨位!$S$5:$S$304,0)),"")</f>
        <v/>
      </c>
      <c r="D882" s="40" t="str">
        <f aca="false">IF($B882="","",IF(MOD(ROW()-5,3)=0,"周转打冷",IF(MOD(ROW()-5,3)=1,"仓储加工","装卸费")))</f>
        <v/>
      </c>
      <c r="E882" s="51" t="str">
        <f aca="false">IF($B882="","",IFERROR(IF($D882="周转打冷",N(INDEX(对接源_01入库吨位!$D$5:$D$304,MATCH(INT((ROW()-5)/3)+1,对接源_01入库吨位!$S$5:$S$304,0))),IF($D882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2" s="41" t="str">
        <f aca="false">IF($B882="","",ROUND(IFERROR(IF($D882="周转打冷",N(INDEX(对接源_01入库吨位!$H$5:$H$304,MATCH(INT((ROW()-5)/3)+1,对接源_01入库吨位!$S$5:$S$304,0))),IF($D882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2" s="52" t="str">
        <f aca="false">IF($B882="","",ROUND(N($F882)/1000,3))</f>
        <v/>
      </c>
      <c r="H882" s="74"/>
      <c r="I882" s="44"/>
      <c r="J882" s="75" t="str">
        <f aca="false">IF($B882="","",IF($H882="按筐数×单价",N($E882),IF($H882="按总重KG×单价",N($F882),IF($H882="按吨位×单价",N($G882),0))))</f>
        <v/>
      </c>
      <c r="K882" s="41" t="str">
        <f aca="false">IF($B882="","",ROUND(N($J882)*N($I882),2))</f>
        <v/>
      </c>
      <c r="L882" s="42"/>
      <c r="M882" s="76"/>
      <c r="N882" s="43"/>
      <c r="R882" s="77" t="str">
        <f aca="false">IF($B882="","",$B882)</f>
        <v/>
      </c>
      <c r="S882" s="77" t="n">
        <f aca="false">IF($R882="",0,IF(MATCH($R882,$R$5:$R$904,0)=ROW()-4,1,0))</f>
        <v>0</v>
      </c>
      <c r="T882" s="77" t="n">
        <f aca="false">N(T881)+$S882</f>
        <v>18</v>
      </c>
    </row>
    <row r="883" customFormat="false" ht="13.5" hidden="false" customHeight="false" outlineLevel="0" collapsed="false">
      <c r="A883" s="9" t="str">
        <f aca="false">IF($B883="","",ROW()-4)</f>
        <v/>
      </c>
      <c r="B883" s="39" t="str">
        <f aca="false">IFERROR(INDEX(对接源_01入库吨位!$B$5:$B$304,MATCH(INT((ROW()-5)/3)+1,对接源_01入库吨位!$S$5:$S$304,0)),"")</f>
        <v/>
      </c>
      <c r="C883" s="39" t="str">
        <f aca="false">IFERROR(INDEX(对接源_01入库吨位!$C$5:$C$304,MATCH(INT((ROW()-5)/3)+1,对接源_01入库吨位!$S$5:$S$304,0)),"")</f>
        <v/>
      </c>
      <c r="D883" s="40" t="str">
        <f aca="false">IF($B883="","",IF(MOD(ROW()-5,3)=0,"周转打冷",IF(MOD(ROW()-5,3)=1,"仓储加工","装卸费")))</f>
        <v/>
      </c>
      <c r="E883" s="51" t="str">
        <f aca="false">IF($B883="","",IFERROR(IF($D883="周转打冷",N(INDEX(对接源_01入库吨位!$D$5:$D$304,MATCH(INT((ROW()-5)/3)+1,对接源_01入库吨位!$S$5:$S$304,0))),IF($D883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3" s="41" t="str">
        <f aca="false">IF($B883="","",ROUND(IFERROR(IF($D883="周转打冷",N(INDEX(对接源_01入库吨位!$H$5:$H$304,MATCH(INT((ROW()-5)/3)+1,对接源_01入库吨位!$S$5:$S$304,0))),IF($D883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3" s="52" t="str">
        <f aca="false">IF($B883="","",ROUND(N($F883)/1000,3))</f>
        <v/>
      </c>
      <c r="H883" s="74"/>
      <c r="I883" s="44"/>
      <c r="J883" s="75" t="str">
        <f aca="false">IF($B883="","",IF($H883="按筐数×单价",N($E883),IF($H883="按总重KG×单价",N($F883),IF($H883="按吨位×单价",N($G883),0))))</f>
        <v/>
      </c>
      <c r="K883" s="41" t="str">
        <f aca="false">IF($B883="","",ROUND(N($J883)*N($I883),2))</f>
        <v/>
      </c>
      <c r="L883" s="42"/>
      <c r="M883" s="76"/>
      <c r="N883" s="43"/>
      <c r="R883" s="77" t="str">
        <f aca="false">IF($B883="","",$B883)</f>
        <v/>
      </c>
      <c r="S883" s="77" t="n">
        <f aca="false">IF($R883="",0,IF(MATCH($R883,$R$5:$R$904,0)=ROW()-4,1,0))</f>
        <v>0</v>
      </c>
      <c r="T883" s="77" t="n">
        <f aca="false">N(T882)+$S883</f>
        <v>18</v>
      </c>
    </row>
    <row r="884" customFormat="false" ht="13.5" hidden="false" customHeight="false" outlineLevel="0" collapsed="false">
      <c r="A884" s="9" t="str">
        <f aca="false">IF($B884="","",ROW()-4)</f>
        <v/>
      </c>
      <c r="B884" s="39" t="str">
        <f aca="false">IFERROR(INDEX(对接源_01入库吨位!$B$5:$B$304,MATCH(INT((ROW()-5)/3)+1,对接源_01入库吨位!$S$5:$S$304,0)),"")</f>
        <v/>
      </c>
      <c r="C884" s="39" t="str">
        <f aca="false">IFERROR(INDEX(对接源_01入库吨位!$C$5:$C$304,MATCH(INT((ROW()-5)/3)+1,对接源_01入库吨位!$S$5:$S$304,0)),"")</f>
        <v/>
      </c>
      <c r="D884" s="40" t="str">
        <f aca="false">IF($B884="","",IF(MOD(ROW()-5,3)=0,"周转打冷",IF(MOD(ROW()-5,3)=1,"仓储加工","装卸费")))</f>
        <v/>
      </c>
      <c r="E884" s="51" t="str">
        <f aca="false">IF($B884="","",IFERROR(IF($D884="周转打冷",N(INDEX(对接源_01入库吨位!$D$5:$D$304,MATCH(INT((ROW()-5)/3)+1,对接源_01入库吨位!$S$5:$S$304,0))),IF($D884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4" s="41" t="str">
        <f aca="false">IF($B884="","",ROUND(IFERROR(IF($D884="周转打冷",N(INDEX(对接源_01入库吨位!$H$5:$H$304,MATCH(INT((ROW()-5)/3)+1,对接源_01入库吨位!$S$5:$S$304,0))),IF($D884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4" s="52" t="str">
        <f aca="false">IF($B884="","",ROUND(N($F884)/1000,3))</f>
        <v/>
      </c>
      <c r="H884" s="74"/>
      <c r="I884" s="44"/>
      <c r="J884" s="75" t="str">
        <f aca="false">IF($B884="","",IF($H884="按筐数×单价",N($E884),IF($H884="按总重KG×单价",N($F884),IF($H884="按吨位×单价",N($G884),0))))</f>
        <v/>
      </c>
      <c r="K884" s="41" t="str">
        <f aca="false">IF($B884="","",ROUND(N($J884)*N($I884),2))</f>
        <v/>
      </c>
      <c r="L884" s="42"/>
      <c r="M884" s="76"/>
      <c r="N884" s="43"/>
      <c r="R884" s="77" t="str">
        <f aca="false">IF($B884="","",$B884)</f>
        <v/>
      </c>
      <c r="S884" s="77" t="n">
        <f aca="false">IF($R884="",0,IF(MATCH($R884,$R$5:$R$904,0)=ROW()-4,1,0))</f>
        <v>0</v>
      </c>
      <c r="T884" s="77" t="n">
        <f aca="false">N(T883)+$S884</f>
        <v>18</v>
      </c>
    </row>
    <row r="885" customFormat="false" ht="13.5" hidden="false" customHeight="false" outlineLevel="0" collapsed="false">
      <c r="A885" s="9" t="str">
        <f aca="false">IF($B885="","",ROW()-4)</f>
        <v/>
      </c>
      <c r="B885" s="39" t="str">
        <f aca="false">IFERROR(INDEX(对接源_01入库吨位!$B$5:$B$304,MATCH(INT((ROW()-5)/3)+1,对接源_01入库吨位!$S$5:$S$304,0)),"")</f>
        <v/>
      </c>
      <c r="C885" s="39" t="str">
        <f aca="false">IFERROR(INDEX(对接源_01入库吨位!$C$5:$C$304,MATCH(INT((ROW()-5)/3)+1,对接源_01入库吨位!$S$5:$S$304,0)),"")</f>
        <v/>
      </c>
      <c r="D885" s="40" t="str">
        <f aca="false">IF($B885="","",IF(MOD(ROW()-5,3)=0,"周转打冷",IF(MOD(ROW()-5,3)=1,"仓储加工","装卸费")))</f>
        <v/>
      </c>
      <c r="E885" s="51" t="str">
        <f aca="false">IF($B885="","",IFERROR(IF($D885="周转打冷",N(INDEX(对接源_01入库吨位!$D$5:$D$304,MATCH(INT((ROW()-5)/3)+1,对接源_01入库吨位!$S$5:$S$304,0))),IF($D885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5" s="41" t="str">
        <f aca="false">IF($B885="","",ROUND(IFERROR(IF($D885="周转打冷",N(INDEX(对接源_01入库吨位!$H$5:$H$304,MATCH(INT((ROW()-5)/3)+1,对接源_01入库吨位!$S$5:$S$304,0))),IF($D885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5" s="52" t="str">
        <f aca="false">IF($B885="","",ROUND(N($F885)/1000,3))</f>
        <v/>
      </c>
      <c r="H885" s="74"/>
      <c r="I885" s="44"/>
      <c r="J885" s="75" t="str">
        <f aca="false">IF($B885="","",IF($H885="按筐数×单价",N($E885),IF($H885="按总重KG×单价",N($F885),IF($H885="按吨位×单价",N($G885),0))))</f>
        <v/>
      </c>
      <c r="K885" s="41" t="str">
        <f aca="false">IF($B885="","",ROUND(N($J885)*N($I885),2))</f>
        <v/>
      </c>
      <c r="L885" s="42"/>
      <c r="M885" s="76"/>
      <c r="N885" s="43"/>
      <c r="R885" s="77" t="str">
        <f aca="false">IF($B885="","",$B885)</f>
        <v/>
      </c>
      <c r="S885" s="77" t="n">
        <f aca="false">IF($R885="",0,IF(MATCH($R885,$R$5:$R$904,0)=ROW()-4,1,0))</f>
        <v>0</v>
      </c>
      <c r="T885" s="77" t="n">
        <f aca="false">N(T884)+$S885</f>
        <v>18</v>
      </c>
    </row>
    <row r="886" customFormat="false" ht="13.5" hidden="false" customHeight="false" outlineLevel="0" collapsed="false">
      <c r="A886" s="9" t="str">
        <f aca="false">IF($B886="","",ROW()-4)</f>
        <v/>
      </c>
      <c r="B886" s="39" t="str">
        <f aca="false">IFERROR(INDEX(对接源_01入库吨位!$B$5:$B$304,MATCH(INT((ROW()-5)/3)+1,对接源_01入库吨位!$S$5:$S$304,0)),"")</f>
        <v/>
      </c>
      <c r="C886" s="39" t="str">
        <f aca="false">IFERROR(INDEX(对接源_01入库吨位!$C$5:$C$304,MATCH(INT((ROW()-5)/3)+1,对接源_01入库吨位!$S$5:$S$304,0)),"")</f>
        <v/>
      </c>
      <c r="D886" s="40" t="str">
        <f aca="false">IF($B886="","",IF(MOD(ROW()-5,3)=0,"周转打冷",IF(MOD(ROW()-5,3)=1,"仓储加工","装卸费")))</f>
        <v/>
      </c>
      <c r="E886" s="51" t="str">
        <f aca="false">IF($B886="","",IFERROR(IF($D886="周转打冷",N(INDEX(对接源_01入库吨位!$D$5:$D$304,MATCH(INT((ROW()-5)/3)+1,对接源_01入库吨位!$S$5:$S$304,0))),IF($D886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6" s="41" t="str">
        <f aca="false">IF($B886="","",ROUND(IFERROR(IF($D886="周转打冷",N(INDEX(对接源_01入库吨位!$H$5:$H$304,MATCH(INT((ROW()-5)/3)+1,对接源_01入库吨位!$S$5:$S$304,0))),IF($D886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6" s="52" t="str">
        <f aca="false">IF($B886="","",ROUND(N($F886)/1000,3))</f>
        <v/>
      </c>
      <c r="H886" s="74"/>
      <c r="I886" s="44"/>
      <c r="J886" s="75" t="str">
        <f aca="false">IF($B886="","",IF($H886="按筐数×单价",N($E886),IF($H886="按总重KG×单价",N($F886),IF($H886="按吨位×单价",N($G886),0))))</f>
        <v/>
      </c>
      <c r="K886" s="41" t="str">
        <f aca="false">IF($B886="","",ROUND(N($J886)*N($I886),2))</f>
        <v/>
      </c>
      <c r="L886" s="42"/>
      <c r="M886" s="76"/>
      <c r="N886" s="43"/>
      <c r="R886" s="77" t="str">
        <f aca="false">IF($B886="","",$B886)</f>
        <v/>
      </c>
      <c r="S886" s="77" t="n">
        <f aca="false">IF($R886="",0,IF(MATCH($R886,$R$5:$R$904,0)=ROW()-4,1,0))</f>
        <v>0</v>
      </c>
      <c r="T886" s="77" t="n">
        <f aca="false">N(T885)+$S886</f>
        <v>18</v>
      </c>
    </row>
    <row r="887" customFormat="false" ht="13.5" hidden="false" customHeight="false" outlineLevel="0" collapsed="false">
      <c r="A887" s="9" t="str">
        <f aca="false">IF($B887="","",ROW()-4)</f>
        <v/>
      </c>
      <c r="B887" s="39" t="str">
        <f aca="false">IFERROR(INDEX(对接源_01入库吨位!$B$5:$B$304,MATCH(INT((ROW()-5)/3)+1,对接源_01入库吨位!$S$5:$S$304,0)),"")</f>
        <v/>
      </c>
      <c r="C887" s="39" t="str">
        <f aca="false">IFERROR(INDEX(对接源_01入库吨位!$C$5:$C$304,MATCH(INT((ROW()-5)/3)+1,对接源_01入库吨位!$S$5:$S$304,0)),"")</f>
        <v/>
      </c>
      <c r="D887" s="40" t="str">
        <f aca="false">IF($B887="","",IF(MOD(ROW()-5,3)=0,"周转打冷",IF(MOD(ROW()-5,3)=1,"仓储加工","装卸费")))</f>
        <v/>
      </c>
      <c r="E887" s="51" t="str">
        <f aca="false">IF($B887="","",IFERROR(IF($D887="周转打冷",N(INDEX(对接源_01入库吨位!$D$5:$D$304,MATCH(INT((ROW()-5)/3)+1,对接源_01入库吨位!$S$5:$S$304,0))),IF($D887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7" s="41" t="str">
        <f aca="false">IF($B887="","",ROUND(IFERROR(IF($D887="周转打冷",N(INDEX(对接源_01入库吨位!$H$5:$H$304,MATCH(INT((ROW()-5)/3)+1,对接源_01入库吨位!$S$5:$S$304,0))),IF($D887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7" s="52" t="str">
        <f aca="false">IF($B887="","",ROUND(N($F887)/1000,3))</f>
        <v/>
      </c>
      <c r="H887" s="74"/>
      <c r="I887" s="44"/>
      <c r="J887" s="75" t="str">
        <f aca="false">IF($B887="","",IF($H887="按筐数×单价",N($E887),IF($H887="按总重KG×单价",N($F887),IF($H887="按吨位×单价",N($G887),0))))</f>
        <v/>
      </c>
      <c r="K887" s="41" t="str">
        <f aca="false">IF($B887="","",ROUND(N($J887)*N($I887),2))</f>
        <v/>
      </c>
      <c r="L887" s="42"/>
      <c r="M887" s="76"/>
      <c r="N887" s="43"/>
      <c r="R887" s="77" t="str">
        <f aca="false">IF($B887="","",$B887)</f>
        <v/>
      </c>
      <c r="S887" s="77" t="n">
        <f aca="false">IF($R887="",0,IF(MATCH($R887,$R$5:$R$904,0)=ROW()-4,1,0))</f>
        <v>0</v>
      </c>
      <c r="T887" s="77" t="n">
        <f aca="false">N(T886)+$S887</f>
        <v>18</v>
      </c>
    </row>
    <row r="888" customFormat="false" ht="13.5" hidden="false" customHeight="false" outlineLevel="0" collapsed="false">
      <c r="A888" s="9" t="str">
        <f aca="false">IF($B888="","",ROW()-4)</f>
        <v/>
      </c>
      <c r="B888" s="39" t="str">
        <f aca="false">IFERROR(INDEX(对接源_01入库吨位!$B$5:$B$304,MATCH(INT((ROW()-5)/3)+1,对接源_01入库吨位!$S$5:$S$304,0)),"")</f>
        <v/>
      </c>
      <c r="C888" s="39" t="str">
        <f aca="false">IFERROR(INDEX(对接源_01入库吨位!$C$5:$C$304,MATCH(INT((ROW()-5)/3)+1,对接源_01入库吨位!$S$5:$S$304,0)),"")</f>
        <v/>
      </c>
      <c r="D888" s="40" t="str">
        <f aca="false">IF($B888="","",IF(MOD(ROW()-5,3)=0,"周转打冷",IF(MOD(ROW()-5,3)=1,"仓储加工","装卸费")))</f>
        <v/>
      </c>
      <c r="E888" s="51" t="str">
        <f aca="false">IF($B888="","",IFERROR(IF($D888="周转打冷",N(INDEX(对接源_01入库吨位!$D$5:$D$304,MATCH(INT((ROW()-5)/3)+1,对接源_01入库吨位!$S$5:$S$304,0))),IF($D888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8" s="41" t="str">
        <f aca="false">IF($B888="","",ROUND(IFERROR(IF($D888="周转打冷",N(INDEX(对接源_01入库吨位!$H$5:$H$304,MATCH(INT((ROW()-5)/3)+1,对接源_01入库吨位!$S$5:$S$304,0))),IF($D888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8" s="52" t="str">
        <f aca="false">IF($B888="","",ROUND(N($F888)/1000,3))</f>
        <v/>
      </c>
      <c r="H888" s="74"/>
      <c r="I888" s="44"/>
      <c r="J888" s="75" t="str">
        <f aca="false">IF($B888="","",IF($H888="按筐数×单价",N($E888),IF($H888="按总重KG×单价",N($F888),IF($H888="按吨位×单价",N($G888),0))))</f>
        <v/>
      </c>
      <c r="K888" s="41" t="str">
        <f aca="false">IF($B888="","",ROUND(N($J888)*N($I888),2))</f>
        <v/>
      </c>
      <c r="L888" s="42"/>
      <c r="M888" s="76"/>
      <c r="N888" s="43"/>
      <c r="R888" s="77" t="str">
        <f aca="false">IF($B888="","",$B888)</f>
        <v/>
      </c>
      <c r="S888" s="77" t="n">
        <f aca="false">IF($R888="",0,IF(MATCH($R888,$R$5:$R$904,0)=ROW()-4,1,0))</f>
        <v>0</v>
      </c>
      <c r="T888" s="77" t="n">
        <f aca="false">N(T887)+$S888</f>
        <v>18</v>
      </c>
    </row>
    <row r="889" customFormat="false" ht="13.5" hidden="false" customHeight="false" outlineLevel="0" collapsed="false">
      <c r="A889" s="9" t="str">
        <f aca="false">IF($B889="","",ROW()-4)</f>
        <v/>
      </c>
      <c r="B889" s="39" t="str">
        <f aca="false">IFERROR(INDEX(对接源_01入库吨位!$B$5:$B$304,MATCH(INT((ROW()-5)/3)+1,对接源_01入库吨位!$S$5:$S$304,0)),"")</f>
        <v/>
      </c>
      <c r="C889" s="39" t="str">
        <f aca="false">IFERROR(INDEX(对接源_01入库吨位!$C$5:$C$304,MATCH(INT((ROW()-5)/3)+1,对接源_01入库吨位!$S$5:$S$304,0)),"")</f>
        <v/>
      </c>
      <c r="D889" s="40" t="str">
        <f aca="false">IF($B889="","",IF(MOD(ROW()-5,3)=0,"周转打冷",IF(MOD(ROW()-5,3)=1,"仓储加工","装卸费")))</f>
        <v/>
      </c>
      <c r="E889" s="51" t="str">
        <f aca="false">IF($B889="","",IFERROR(IF($D889="周转打冷",N(INDEX(对接源_01入库吨位!$D$5:$D$304,MATCH(INT((ROW()-5)/3)+1,对接源_01入库吨位!$S$5:$S$304,0))),IF($D889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89" s="41" t="str">
        <f aca="false">IF($B889="","",ROUND(IFERROR(IF($D889="周转打冷",N(INDEX(对接源_01入库吨位!$H$5:$H$304,MATCH(INT((ROW()-5)/3)+1,对接源_01入库吨位!$S$5:$S$304,0))),IF($D889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89" s="52" t="str">
        <f aca="false">IF($B889="","",ROUND(N($F889)/1000,3))</f>
        <v/>
      </c>
      <c r="H889" s="74"/>
      <c r="I889" s="44"/>
      <c r="J889" s="75" t="str">
        <f aca="false">IF($B889="","",IF($H889="按筐数×单价",N($E889),IF($H889="按总重KG×单价",N($F889),IF($H889="按吨位×单价",N($G889),0))))</f>
        <v/>
      </c>
      <c r="K889" s="41" t="str">
        <f aca="false">IF($B889="","",ROUND(N($J889)*N($I889),2))</f>
        <v/>
      </c>
      <c r="L889" s="42"/>
      <c r="M889" s="76"/>
      <c r="N889" s="43"/>
      <c r="R889" s="77" t="str">
        <f aca="false">IF($B889="","",$B889)</f>
        <v/>
      </c>
      <c r="S889" s="77" t="n">
        <f aca="false">IF($R889="",0,IF(MATCH($R889,$R$5:$R$904,0)=ROW()-4,1,0))</f>
        <v>0</v>
      </c>
      <c r="T889" s="77" t="n">
        <f aca="false">N(T888)+$S889</f>
        <v>18</v>
      </c>
    </row>
    <row r="890" customFormat="false" ht="13.5" hidden="false" customHeight="false" outlineLevel="0" collapsed="false">
      <c r="A890" s="9" t="str">
        <f aca="false">IF($B890="","",ROW()-4)</f>
        <v/>
      </c>
      <c r="B890" s="39" t="str">
        <f aca="false">IFERROR(INDEX(对接源_01入库吨位!$B$5:$B$304,MATCH(INT((ROW()-5)/3)+1,对接源_01入库吨位!$S$5:$S$304,0)),"")</f>
        <v/>
      </c>
      <c r="C890" s="39" t="str">
        <f aca="false">IFERROR(INDEX(对接源_01入库吨位!$C$5:$C$304,MATCH(INT((ROW()-5)/3)+1,对接源_01入库吨位!$S$5:$S$304,0)),"")</f>
        <v/>
      </c>
      <c r="D890" s="40" t="str">
        <f aca="false">IF($B890="","",IF(MOD(ROW()-5,3)=0,"周转打冷",IF(MOD(ROW()-5,3)=1,"仓储加工","装卸费")))</f>
        <v/>
      </c>
      <c r="E890" s="51" t="str">
        <f aca="false">IF($B890="","",IFERROR(IF($D890="周转打冷",N(INDEX(对接源_01入库吨位!$D$5:$D$304,MATCH(INT((ROW()-5)/3)+1,对接源_01入库吨位!$S$5:$S$304,0))),IF($D890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0" s="41" t="str">
        <f aca="false">IF($B890="","",ROUND(IFERROR(IF($D890="周转打冷",N(INDEX(对接源_01入库吨位!$H$5:$H$304,MATCH(INT((ROW()-5)/3)+1,对接源_01入库吨位!$S$5:$S$304,0))),IF($D890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0" s="52" t="str">
        <f aca="false">IF($B890="","",ROUND(N($F890)/1000,3))</f>
        <v/>
      </c>
      <c r="H890" s="74"/>
      <c r="I890" s="44"/>
      <c r="J890" s="75" t="str">
        <f aca="false">IF($B890="","",IF($H890="按筐数×单价",N($E890),IF($H890="按总重KG×单价",N($F890),IF($H890="按吨位×单价",N($G890),0))))</f>
        <v/>
      </c>
      <c r="K890" s="41" t="str">
        <f aca="false">IF($B890="","",ROUND(N($J890)*N($I890),2))</f>
        <v/>
      </c>
      <c r="L890" s="42"/>
      <c r="M890" s="76"/>
      <c r="N890" s="43"/>
      <c r="R890" s="77" t="str">
        <f aca="false">IF($B890="","",$B890)</f>
        <v/>
      </c>
      <c r="S890" s="77" t="n">
        <f aca="false">IF($R890="",0,IF(MATCH($R890,$R$5:$R$904,0)=ROW()-4,1,0))</f>
        <v>0</v>
      </c>
      <c r="T890" s="77" t="n">
        <f aca="false">N(T889)+$S890</f>
        <v>18</v>
      </c>
    </row>
    <row r="891" customFormat="false" ht="13.5" hidden="false" customHeight="false" outlineLevel="0" collapsed="false">
      <c r="A891" s="9" t="str">
        <f aca="false">IF($B891="","",ROW()-4)</f>
        <v/>
      </c>
      <c r="B891" s="39" t="str">
        <f aca="false">IFERROR(INDEX(对接源_01入库吨位!$B$5:$B$304,MATCH(INT((ROW()-5)/3)+1,对接源_01入库吨位!$S$5:$S$304,0)),"")</f>
        <v/>
      </c>
      <c r="C891" s="39" t="str">
        <f aca="false">IFERROR(INDEX(对接源_01入库吨位!$C$5:$C$304,MATCH(INT((ROW()-5)/3)+1,对接源_01入库吨位!$S$5:$S$304,0)),"")</f>
        <v/>
      </c>
      <c r="D891" s="40" t="str">
        <f aca="false">IF($B891="","",IF(MOD(ROW()-5,3)=0,"周转打冷",IF(MOD(ROW()-5,3)=1,"仓储加工","装卸费")))</f>
        <v/>
      </c>
      <c r="E891" s="51" t="str">
        <f aca="false">IF($B891="","",IFERROR(IF($D891="周转打冷",N(INDEX(对接源_01入库吨位!$D$5:$D$304,MATCH(INT((ROW()-5)/3)+1,对接源_01入库吨位!$S$5:$S$304,0))),IF($D891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1" s="41" t="str">
        <f aca="false">IF($B891="","",ROUND(IFERROR(IF($D891="周转打冷",N(INDEX(对接源_01入库吨位!$H$5:$H$304,MATCH(INT((ROW()-5)/3)+1,对接源_01入库吨位!$S$5:$S$304,0))),IF($D891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1" s="52" t="str">
        <f aca="false">IF($B891="","",ROUND(N($F891)/1000,3))</f>
        <v/>
      </c>
      <c r="H891" s="74"/>
      <c r="I891" s="44"/>
      <c r="J891" s="75" t="str">
        <f aca="false">IF($B891="","",IF($H891="按筐数×单价",N($E891),IF($H891="按总重KG×单价",N($F891),IF($H891="按吨位×单价",N($G891),0))))</f>
        <v/>
      </c>
      <c r="K891" s="41" t="str">
        <f aca="false">IF($B891="","",ROUND(N($J891)*N($I891),2))</f>
        <v/>
      </c>
      <c r="L891" s="42"/>
      <c r="M891" s="76"/>
      <c r="N891" s="43"/>
      <c r="R891" s="77" t="str">
        <f aca="false">IF($B891="","",$B891)</f>
        <v/>
      </c>
      <c r="S891" s="77" t="n">
        <f aca="false">IF($R891="",0,IF(MATCH($R891,$R$5:$R$904,0)=ROW()-4,1,0))</f>
        <v>0</v>
      </c>
      <c r="T891" s="77" t="n">
        <f aca="false">N(T890)+$S891</f>
        <v>18</v>
      </c>
    </row>
    <row r="892" customFormat="false" ht="13.5" hidden="false" customHeight="false" outlineLevel="0" collapsed="false">
      <c r="A892" s="9" t="str">
        <f aca="false">IF($B892="","",ROW()-4)</f>
        <v/>
      </c>
      <c r="B892" s="39" t="str">
        <f aca="false">IFERROR(INDEX(对接源_01入库吨位!$B$5:$B$304,MATCH(INT((ROW()-5)/3)+1,对接源_01入库吨位!$S$5:$S$304,0)),"")</f>
        <v/>
      </c>
      <c r="C892" s="39" t="str">
        <f aca="false">IFERROR(INDEX(对接源_01入库吨位!$C$5:$C$304,MATCH(INT((ROW()-5)/3)+1,对接源_01入库吨位!$S$5:$S$304,0)),"")</f>
        <v/>
      </c>
      <c r="D892" s="40" t="str">
        <f aca="false">IF($B892="","",IF(MOD(ROW()-5,3)=0,"周转打冷",IF(MOD(ROW()-5,3)=1,"仓储加工","装卸费")))</f>
        <v/>
      </c>
      <c r="E892" s="51" t="str">
        <f aca="false">IF($B892="","",IFERROR(IF($D892="周转打冷",N(INDEX(对接源_01入库吨位!$D$5:$D$304,MATCH(INT((ROW()-5)/3)+1,对接源_01入库吨位!$S$5:$S$304,0))),IF($D892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2" s="41" t="str">
        <f aca="false">IF($B892="","",ROUND(IFERROR(IF($D892="周转打冷",N(INDEX(对接源_01入库吨位!$H$5:$H$304,MATCH(INT((ROW()-5)/3)+1,对接源_01入库吨位!$S$5:$S$304,0))),IF($D892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2" s="52" t="str">
        <f aca="false">IF($B892="","",ROUND(N($F892)/1000,3))</f>
        <v/>
      </c>
      <c r="H892" s="74"/>
      <c r="I892" s="44"/>
      <c r="J892" s="75" t="str">
        <f aca="false">IF($B892="","",IF($H892="按筐数×单价",N($E892),IF($H892="按总重KG×单价",N($F892),IF($H892="按吨位×单价",N($G892),0))))</f>
        <v/>
      </c>
      <c r="K892" s="41" t="str">
        <f aca="false">IF($B892="","",ROUND(N($J892)*N($I892),2))</f>
        <v/>
      </c>
      <c r="L892" s="42"/>
      <c r="M892" s="76"/>
      <c r="N892" s="43"/>
      <c r="R892" s="77" t="str">
        <f aca="false">IF($B892="","",$B892)</f>
        <v/>
      </c>
      <c r="S892" s="77" t="n">
        <f aca="false">IF($R892="",0,IF(MATCH($R892,$R$5:$R$904,0)=ROW()-4,1,0))</f>
        <v>0</v>
      </c>
      <c r="T892" s="77" t="n">
        <f aca="false">N(T891)+$S892</f>
        <v>18</v>
      </c>
    </row>
    <row r="893" customFormat="false" ht="13.5" hidden="false" customHeight="false" outlineLevel="0" collapsed="false">
      <c r="A893" s="9" t="str">
        <f aca="false">IF($B893="","",ROW()-4)</f>
        <v/>
      </c>
      <c r="B893" s="39" t="str">
        <f aca="false">IFERROR(INDEX(对接源_01入库吨位!$B$5:$B$304,MATCH(INT((ROW()-5)/3)+1,对接源_01入库吨位!$S$5:$S$304,0)),"")</f>
        <v/>
      </c>
      <c r="C893" s="39" t="str">
        <f aca="false">IFERROR(INDEX(对接源_01入库吨位!$C$5:$C$304,MATCH(INT((ROW()-5)/3)+1,对接源_01入库吨位!$S$5:$S$304,0)),"")</f>
        <v/>
      </c>
      <c r="D893" s="40" t="str">
        <f aca="false">IF($B893="","",IF(MOD(ROW()-5,3)=0,"周转打冷",IF(MOD(ROW()-5,3)=1,"仓储加工","装卸费")))</f>
        <v/>
      </c>
      <c r="E893" s="51" t="str">
        <f aca="false">IF($B893="","",IFERROR(IF($D893="周转打冷",N(INDEX(对接源_01入库吨位!$D$5:$D$304,MATCH(INT((ROW()-5)/3)+1,对接源_01入库吨位!$S$5:$S$304,0))),IF($D893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3" s="41" t="str">
        <f aca="false">IF($B893="","",ROUND(IFERROR(IF($D893="周转打冷",N(INDEX(对接源_01入库吨位!$H$5:$H$304,MATCH(INT((ROW()-5)/3)+1,对接源_01入库吨位!$S$5:$S$304,0))),IF($D893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3" s="52" t="str">
        <f aca="false">IF($B893="","",ROUND(N($F893)/1000,3))</f>
        <v/>
      </c>
      <c r="H893" s="74"/>
      <c r="I893" s="44"/>
      <c r="J893" s="75" t="str">
        <f aca="false">IF($B893="","",IF($H893="按筐数×单价",N($E893),IF($H893="按总重KG×单价",N($F893),IF($H893="按吨位×单价",N($G893),0))))</f>
        <v/>
      </c>
      <c r="K893" s="41" t="str">
        <f aca="false">IF($B893="","",ROUND(N($J893)*N($I893),2))</f>
        <v/>
      </c>
      <c r="L893" s="42"/>
      <c r="M893" s="76"/>
      <c r="N893" s="43"/>
      <c r="R893" s="77" t="str">
        <f aca="false">IF($B893="","",$B893)</f>
        <v/>
      </c>
      <c r="S893" s="77" t="n">
        <f aca="false">IF($R893="",0,IF(MATCH($R893,$R$5:$R$904,0)=ROW()-4,1,0))</f>
        <v>0</v>
      </c>
      <c r="T893" s="77" t="n">
        <f aca="false">N(T892)+$S893</f>
        <v>18</v>
      </c>
    </row>
    <row r="894" customFormat="false" ht="13.5" hidden="false" customHeight="false" outlineLevel="0" collapsed="false">
      <c r="A894" s="9" t="str">
        <f aca="false">IF($B894="","",ROW()-4)</f>
        <v/>
      </c>
      <c r="B894" s="39" t="str">
        <f aca="false">IFERROR(INDEX(对接源_01入库吨位!$B$5:$B$304,MATCH(INT((ROW()-5)/3)+1,对接源_01入库吨位!$S$5:$S$304,0)),"")</f>
        <v/>
      </c>
      <c r="C894" s="39" t="str">
        <f aca="false">IFERROR(INDEX(对接源_01入库吨位!$C$5:$C$304,MATCH(INT((ROW()-5)/3)+1,对接源_01入库吨位!$S$5:$S$304,0)),"")</f>
        <v/>
      </c>
      <c r="D894" s="40" t="str">
        <f aca="false">IF($B894="","",IF(MOD(ROW()-5,3)=0,"周转打冷",IF(MOD(ROW()-5,3)=1,"仓储加工","装卸费")))</f>
        <v/>
      </c>
      <c r="E894" s="51" t="str">
        <f aca="false">IF($B894="","",IFERROR(IF($D894="周转打冷",N(INDEX(对接源_01入库吨位!$D$5:$D$304,MATCH(INT((ROW()-5)/3)+1,对接源_01入库吨位!$S$5:$S$304,0))),IF($D894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4" s="41" t="str">
        <f aca="false">IF($B894="","",ROUND(IFERROR(IF($D894="周转打冷",N(INDEX(对接源_01入库吨位!$H$5:$H$304,MATCH(INT((ROW()-5)/3)+1,对接源_01入库吨位!$S$5:$S$304,0))),IF($D894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4" s="52" t="str">
        <f aca="false">IF($B894="","",ROUND(N($F894)/1000,3))</f>
        <v/>
      </c>
      <c r="H894" s="74"/>
      <c r="I894" s="44"/>
      <c r="J894" s="75" t="str">
        <f aca="false">IF($B894="","",IF($H894="按筐数×单价",N($E894),IF($H894="按总重KG×单价",N($F894),IF($H894="按吨位×单价",N($G894),0))))</f>
        <v/>
      </c>
      <c r="K894" s="41" t="str">
        <f aca="false">IF($B894="","",ROUND(N($J894)*N($I894),2))</f>
        <v/>
      </c>
      <c r="L894" s="42"/>
      <c r="M894" s="76"/>
      <c r="N894" s="43"/>
      <c r="R894" s="77" t="str">
        <f aca="false">IF($B894="","",$B894)</f>
        <v/>
      </c>
      <c r="S894" s="77" t="n">
        <f aca="false">IF($R894="",0,IF(MATCH($R894,$R$5:$R$904,0)=ROW()-4,1,0))</f>
        <v>0</v>
      </c>
      <c r="T894" s="77" t="n">
        <f aca="false">N(T893)+$S894</f>
        <v>18</v>
      </c>
    </row>
    <row r="895" customFormat="false" ht="13.5" hidden="false" customHeight="false" outlineLevel="0" collapsed="false">
      <c r="A895" s="9" t="str">
        <f aca="false">IF($B895="","",ROW()-4)</f>
        <v/>
      </c>
      <c r="B895" s="39" t="str">
        <f aca="false">IFERROR(INDEX(对接源_01入库吨位!$B$5:$B$304,MATCH(INT((ROW()-5)/3)+1,对接源_01入库吨位!$S$5:$S$304,0)),"")</f>
        <v/>
      </c>
      <c r="C895" s="39" t="str">
        <f aca="false">IFERROR(INDEX(对接源_01入库吨位!$C$5:$C$304,MATCH(INT((ROW()-5)/3)+1,对接源_01入库吨位!$S$5:$S$304,0)),"")</f>
        <v/>
      </c>
      <c r="D895" s="40" t="str">
        <f aca="false">IF($B895="","",IF(MOD(ROW()-5,3)=0,"周转打冷",IF(MOD(ROW()-5,3)=1,"仓储加工","装卸费")))</f>
        <v/>
      </c>
      <c r="E895" s="51" t="str">
        <f aca="false">IF($B895="","",IFERROR(IF($D895="周转打冷",N(INDEX(对接源_01入库吨位!$D$5:$D$304,MATCH(INT((ROW()-5)/3)+1,对接源_01入库吨位!$S$5:$S$304,0))),IF($D895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5" s="41" t="str">
        <f aca="false">IF($B895="","",ROUND(IFERROR(IF($D895="周转打冷",N(INDEX(对接源_01入库吨位!$H$5:$H$304,MATCH(INT((ROW()-5)/3)+1,对接源_01入库吨位!$S$5:$S$304,0))),IF($D895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5" s="52" t="str">
        <f aca="false">IF($B895="","",ROUND(N($F895)/1000,3))</f>
        <v/>
      </c>
      <c r="H895" s="74"/>
      <c r="I895" s="44"/>
      <c r="J895" s="75" t="str">
        <f aca="false">IF($B895="","",IF($H895="按筐数×单价",N($E895),IF($H895="按总重KG×单价",N($F895),IF($H895="按吨位×单价",N($G895),0))))</f>
        <v/>
      </c>
      <c r="K895" s="41" t="str">
        <f aca="false">IF($B895="","",ROUND(N($J895)*N($I895),2))</f>
        <v/>
      </c>
      <c r="L895" s="42"/>
      <c r="M895" s="76"/>
      <c r="N895" s="43"/>
      <c r="R895" s="77" t="str">
        <f aca="false">IF($B895="","",$B895)</f>
        <v/>
      </c>
      <c r="S895" s="77" t="n">
        <f aca="false">IF($R895="",0,IF(MATCH($R895,$R$5:$R$904,0)=ROW()-4,1,0))</f>
        <v>0</v>
      </c>
      <c r="T895" s="77" t="n">
        <f aca="false">N(T894)+$S895</f>
        <v>18</v>
      </c>
    </row>
    <row r="896" customFormat="false" ht="13.5" hidden="false" customHeight="false" outlineLevel="0" collapsed="false">
      <c r="A896" s="9" t="str">
        <f aca="false">IF($B896="","",ROW()-4)</f>
        <v/>
      </c>
      <c r="B896" s="39" t="str">
        <f aca="false">IFERROR(INDEX(对接源_01入库吨位!$B$5:$B$304,MATCH(INT((ROW()-5)/3)+1,对接源_01入库吨位!$S$5:$S$304,0)),"")</f>
        <v/>
      </c>
      <c r="C896" s="39" t="str">
        <f aca="false">IFERROR(INDEX(对接源_01入库吨位!$C$5:$C$304,MATCH(INT((ROW()-5)/3)+1,对接源_01入库吨位!$S$5:$S$304,0)),"")</f>
        <v/>
      </c>
      <c r="D896" s="40" t="str">
        <f aca="false">IF($B896="","",IF(MOD(ROW()-5,3)=0,"周转打冷",IF(MOD(ROW()-5,3)=1,"仓储加工","装卸费")))</f>
        <v/>
      </c>
      <c r="E896" s="51" t="str">
        <f aca="false">IF($B896="","",IFERROR(IF($D896="周转打冷",N(INDEX(对接源_01入库吨位!$D$5:$D$304,MATCH(INT((ROW()-5)/3)+1,对接源_01入库吨位!$S$5:$S$304,0))),IF($D896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6" s="41" t="str">
        <f aca="false">IF($B896="","",ROUND(IFERROR(IF($D896="周转打冷",N(INDEX(对接源_01入库吨位!$H$5:$H$304,MATCH(INT((ROW()-5)/3)+1,对接源_01入库吨位!$S$5:$S$304,0))),IF($D896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6" s="52" t="str">
        <f aca="false">IF($B896="","",ROUND(N($F896)/1000,3))</f>
        <v/>
      </c>
      <c r="H896" s="74"/>
      <c r="I896" s="44"/>
      <c r="J896" s="75" t="str">
        <f aca="false">IF($B896="","",IF($H896="按筐数×单价",N($E896),IF($H896="按总重KG×单价",N($F896),IF($H896="按吨位×单价",N($G896),0))))</f>
        <v/>
      </c>
      <c r="K896" s="41" t="str">
        <f aca="false">IF($B896="","",ROUND(N($J896)*N($I896),2))</f>
        <v/>
      </c>
      <c r="L896" s="42"/>
      <c r="M896" s="76"/>
      <c r="N896" s="43"/>
      <c r="R896" s="77" t="str">
        <f aca="false">IF($B896="","",$B896)</f>
        <v/>
      </c>
      <c r="S896" s="77" t="n">
        <f aca="false">IF($R896="",0,IF(MATCH($R896,$R$5:$R$904,0)=ROW()-4,1,0))</f>
        <v>0</v>
      </c>
      <c r="T896" s="77" t="n">
        <f aca="false">N(T895)+$S896</f>
        <v>18</v>
      </c>
    </row>
    <row r="897" customFormat="false" ht="13.5" hidden="false" customHeight="false" outlineLevel="0" collapsed="false">
      <c r="A897" s="9" t="str">
        <f aca="false">IF($B897="","",ROW()-4)</f>
        <v/>
      </c>
      <c r="B897" s="39" t="str">
        <f aca="false">IFERROR(INDEX(对接源_01入库吨位!$B$5:$B$304,MATCH(INT((ROW()-5)/3)+1,对接源_01入库吨位!$S$5:$S$304,0)),"")</f>
        <v/>
      </c>
      <c r="C897" s="39" t="str">
        <f aca="false">IFERROR(INDEX(对接源_01入库吨位!$C$5:$C$304,MATCH(INT((ROW()-5)/3)+1,对接源_01入库吨位!$S$5:$S$304,0)),"")</f>
        <v/>
      </c>
      <c r="D897" s="40" t="str">
        <f aca="false">IF($B897="","",IF(MOD(ROW()-5,3)=0,"周转打冷",IF(MOD(ROW()-5,3)=1,"仓储加工","装卸费")))</f>
        <v/>
      </c>
      <c r="E897" s="51" t="str">
        <f aca="false">IF($B897="","",IFERROR(IF($D897="周转打冷",N(INDEX(对接源_01入库吨位!$D$5:$D$304,MATCH(INT((ROW()-5)/3)+1,对接源_01入库吨位!$S$5:$S$304,0))),IF($D897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7" s="41" t="str">
        <f aca="false">IF($B897="","",ROUND(IFERROR(IF($D897="周转打冷",N(INDEX(对接源_01入库吨位!$H$5:$H$304,MATCH(INT((ROW()-5)/3)+1,对接源_01入库吨位!$S$5:$S$304,0))),IF($D897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7" s="52" t="str">
        <f aca="false">IF($B897="","",ROUND(N($F897)/1000,3))</f>
        <v/>
      </c>
      <c r="H897" s="74"/>
      <c r="I897" s="44"/>
      <c r="J897" s="75" t="str">
        <f aca="false">IF($B897="","",IF($H897="按筐数×单价",N($E897),IF($H897="按总重KG×单价",N($F897),IF($H897="按吨位×单价",N($G897),0))))</f>
        <v/>
      </c>
      <c r="K897" s="41" t="str">
        <f aca="false">IF($B897="","",ROUND(N($J897)*N($I897),2))</f>
        <v/>
      </c>
      <c r="L897" s="42"/>
      <c r="M897" s="76"/>
      <c r="N897" s="43"/>
      <c r="R897" s="77" t="str">
        <f aca="false">IF($B897="","",$B897)</f>
        <v/>
      </c>
      <c r="S897" s="77" t="n">
        <f aca="false">IF($R897="",0,IF(MATCH($R897,$R$5:$R$904,0)=ROW()-4,1,0))</f>
        <v>0</v>
      </c>
      <c r="T897" s="77" t="n">
        <f aca="false">N(T896)+$S897</f>
        <v>18</v>
      </c>
    </row>
    <row r="898" customFormat="false" ht="13.5" hidden="false" customHeight="false" outlineLevel="0" collapsed="false">
      <c r="A898" s="9" t="str">
        <f aca="false">IF($B898="","",ROW()-4)</f>
        <v/>
      </c>
      <c r="B898" s="39" t="str">
        <f aca="false">IFERROR(INDEX(对接源_01入库吨位!$B$5:$B$304,MATCH(INT((ROW()-5)/3)+1,对接源_01入库吨位!$S$5:$S$304,0)),"")</f>
        <v/>
      </c>
      <c r="C898" s="39" t="str">
        <f aca="false">IFERROR(INDEX(对接源_01入库吨位!$C$5:$C$304,MATCH(INT((ROW()-5)/3)+1,对接源_01入库吨位!$S$5:$S$304,0)),"")</f>
        <v/>
      </c>
      <c r="D898" s="40" t="str">
        <f aca="false">IF($B898="","",IF(MOD(ROW()-5,3)=0,"周转打冷",IF(MOD(ROW()-5,3)=1,"仓储加工","装卸费")))</f>
        <v/>
      </c>
      <c r="E898" s="51" t="str">
        <f aca="false">IF($B898="","",IFERROR(IF($D898="周转打冷",N(INDEX(对接源_01入库吨位!$D$5:$D$304,MATCH(INT((ROW()-5)/3)+1,对接源_01入库吨位!$S$5:$S$304,0))),IF($D898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8" s="41" t="str">
        <f aca="false">IF($B898="","",ROUND(IFERROR(IF($D898="周转打冷",N(INDEX(对接源_01入库吨位!$H$5:$H$304,MATCH(INT((ROW()-5)/3)+1,对接源_01入库吨位!$S$5:$S$304,0))),IF($D898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8" s="52" t="str">
        <f aca="false">IF($B898="","",ROUND(N($F898)/1000,3))</f>
        <v/>
      </c>
      <c r="H898" s="74"/>
      <c r="I898" s="44"/>
      <c r="J898" s="75" t="str">
        <f aca="false">IF($B898="","",IF($H898="按筐数×单价",N($E898),IF($H898="按总重KG×单价",N($F898),IF($H898="按吨位×单价",N($G898),0))))</f>
        <v/>
      </c>
      <c r="K898" s="41" t="str">
        <f aca="false">IF($B898="","",ROUND(N($J898)*N($I898),2))</f>
        <v/>
      </c>
      <c r="L898" s="42"/>
      <c r="M898" s="76"/>
      <c r="N898" s="43"/>
      <c r="R898" s="77" t="str">
        <f aca="false">IF($B898="","",$B898)</f>
        <v/>
      </c>
      <c r="S898" s="77" t="n">
        <f aca="false">IF($R898="",0,IF(MATCH($R898,$R$5:$R$904,0)=ROW()-4,1,0))</f>
        <v>0</v>
      </c>
      <c r="T898" s="77" t="n">
        <f aca="false">N(T897)+$S898</f>
        <v>18</v>
      </c>
    </row>
    <row r="899" customFormat="false" ht="13.5" hidden="false" customHeight="false" outlineLevel="0" collapsed="false">
      <c r="A899" s="9" t="str">
        <f aca="false">IF($B899="","",ROW()-4)</f>
        <v/>
      </c>
      <c r="B899" s="39" t="str">
        <f aca="false">IFERROR(INDEX(对接源_01入库吨位!$B$5:$B$304,MATCH(INT((ROW()-5)/3)+1,对接源_01入库吨位!$S$5:$S$304,0)),"")</f>
        <v/>
      </c>
      <c r="C899" s="39" t="str">
        <f aca="false">IFERROR(INDEX(对接源_01入库吨位!$C$5:$C$304,MATCH(INT((ROW()-5)/3)+1,对接源_01入库吨位!$S$5:$S$304,0)),"")</f>
        <v/>
      </c>
      <c r="D899" s="40" t="str">
        <f aca="false">IF($B899="","",IF(MOD(ROW()-5,3)=0,"周转打冷",IF(MOD(ROW()-5,3)=1,"仓储加工","装卸费")))</f>
        <v/>
      </c>
      <c r="E899" s="51" t="str">
        <f aca="false">IF($B899="","",IFERROR(IF($D899="周转打冷",N(INDEX(对接源_01入库吨位!$D$5:$D$304,MATCH(INT((ROW()-5)/3)+1,对接源_01入库吨位!$S$5:$S$304,0))),IF($D899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899" s="41" t="str">
        <f aca="false">IF($B899="","",ROUND(IFERROR(IF($D899="周转打冷",N(INDEX(对接源_01入库吨位!$H$5:$H$304,MATCH(INT((ROW()-5)/3)+1,对接源_01入库吨位!$S$5:$S$304,0))),IF($D899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899" s="52" t="str">
        <f aca="false">IF($B899="","",ROUND(N($F899)/1000,3))</f>
        <v/>
      </c>
      <c r="H899" s="74"/>
      <c r="I899" s="44"/>
      <c r="J899" s="75" t="str">
        <f aca="false">IF($B899="","",IF($H899="按筐数×单价",N($E899),IF($H899="按总重KG×单价",N($F899),IF($H899="按吨位×单价",N($G899),0))))</f>
        <v/>
      </c>
      <c r="K899" s="41" t="str">
        <f aca="false">IF($B899="","",ROUND(N($J899)*N($I899),2))</f>
        <v/>
      </c>
      <c r="L899" s="42"/>
      <c r="M899" s="76"/>
      <c r="N899" s="43"/>
      <c r="R899" s="77" t="str">
        <f aca="false">IF($B899="","",$B899)</f>
        <v/>
      </c>
      <c r="S899" s="77" t="n">
        <f aca="false">IF($R899="",0,IF(MATCH($R899,$R$5:$R$904,0)=ROW()-4,1,0))</f>
        <v>0</v>
      </c>
      <c r="T899" s="77" t="n">
        <f aca="false">N(T898)+$S899</f>
        <v>18</v>
      </c>
    </row>
    <row r="900" customFormat="false" ht="13.5" hidden="false" customHeight="false" outlineLevel="0" collapsed="false">
      <c r="A900" s="9" t="str">
        <f aca="false">IF($B900="","",ROW()-4)</f>
        <v/>
      </c>
      <c r="B900" s="39" t="str">
        <f aca="false">IFERROR(INDEX(对接源_01入库吨位!$B$5:$B$304,MATCH(INT((ROW()-5)/3)+1,对接源_01入库吨位!$S$5:$S$304,0)),"")</f>
        <v/>
      </c>
      <c r="C900" s="39" t="str">
        <f aca="false">IFERROR(INDEX(对接源_01入库吨位!$C$5:$C$304,MATCH(INT((ROW()-5)/3)+1,对接源_01入库吨位!$S$5:$S$304,0)),"")</f>
        <v/>
      </c>
      <c r="D900" s="40" t="str">
        <f aca="false">IF($B900="","",IF(MOD(ROW()-5,3)=0,"周转打冷",IF(MOD(ROW()-5,3)=1,"仓储加工","装卸费")))</f>
        <v/>
      </c>
      <c r="E900" s="51" t="str">
        <f aca="false">IF($B900="","",IFERROR(IF($D900="周转打冷",N(INDEX(对接源_01入库吨位!$D$5:$D$304,MATCH(INT((ROW()-5)/3)+1,对接源_01入库吨位!$S$5:$S$304,0))),IF($D900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0" s="41" t="str">
        <f aca="false">IF($B900="","",ROUND(IFERROR(IF($D900="周转打冷",N(INDEX(对接源_01入库吨位!$H$5:$H$304,MATCH(INT((ROW()-5)/3)+1,对接源_01入库吨位!$S$5:$S$304,0))),IF($D900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0" s="52" t="str">
        <f aca="false">IF($B900="","",ROUND(N($F900)/1000,3))</f>
        <v/>
      </c>
      <c r="H900" s="74"/>
      <c r="I900" s="44"/>
      <c r="J900" s="75" t="str">
        <f aca="false">IF($B900="","",IF($H900="按筐数×单价",N($E900),IF($H900="按总重KG×单价",N($F900),IF($H900="按吨位×单价",N($G900),0))))</f>
        <v/>
      </c>
      <c r="K900" s="41" t="str">
        <f aca="false">IF($B900="","",ROUND(N($J900)*N($I900),2))</f>
        <v/>
      </c>
      <c r="L900" s="42"/>
      <c r="M900" s="76"/>
      <c r="N900" s="43"/>
      <c r="R900" s="77" t="str">
        <f aca="false">IF($B900="","",$B900)</f>
        <v/>
      </c>
      <c r="S900" s="77" t="n">
        <f aca="false">IF($R900="",0,IF(MATCH($R900,$R$5:$R$904,0)=ROW()-4,1,0))</f>
        <v>0</v>
      </c>
      <c r="T900" s="77" t="n">
        <f aca="false">N(T899)+$S900</f>
        <v>18</v>
      </c>
    </row>
    <row r="901" customFormat="false" ht="13.5" hidden="false" customHeight="false" outlineLevel="0" collapsed="false">
      <c r="A901" s="9" t="str">
        <f aca="false">IF($B901="","",ROW()-4)</f>
        <v/>
      </c>
      <c r="B901" s="39" t="str">
        <f aca="false">IFERROR(INDEX(对接源_01入库吨位!$B$5:$B$304,MATCH(INT((ROW()-5)/3)+1,对接源_01入库吨位!$S$5:$S$304,0)),"")</f>
        <v/>
      </c>
      <c r="C901" s="39" t="str">
        <f aca="false">IFERROR(INDEX(对接源_01入库吨位!$C$5:$C$304,MATCH(INT((ROW()-5)/3)+1,对接源_01入库吨位!$S$5:$S$304,0)),"")</f>
        <v/>
      </c>
      <c r="D901" s="40" t="str">
        <f aca="false">IF($B901="","",IF(MOD(ROW()-5,3)=0,"周转打冷",IF(MOD(ROW()-5,3)=1,"仓储加工","装卸费")))</f>
        <v/>
      </c>
      <c r="E901" s="51" t="str">
        <f aca="false">IF($B901="","",IFERROR(IF($D901="周转打冷",N(INDEX(对接源_01入库吨位!$D$5:$D$304,MATCH(INT((ROW()-5)/3)+1,对接源_01入库吨位!$S$5:$S$304,0))),IF($D901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1" s="41" t="str">
        <f aca="false">IF($B901="","",ROUND(IFERROR(IF($D901="周转打冷",N(INDEX(对接源_01入库吨位!$H$5:$H$304,MATCH(INT((ROW()-5)/3)+1,对接源_01入库吨位!$S$5:$S$304,0))),IF($D901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1" s="52" t="str">
        <f aca="false">IF($B901="","",ROUND(N($F901)/1000,3))</f>
        <v/>
      </c>
      <c r="H901" s="74"/>
      <c r="I901" s="44"/>
      <c r="J901" s="75" t="str">
        <f aca="false">IF($B901="","",IF($H901="按筐数×单价",N($E901),IF($H901="按总重KG×单价",N($F901),IF($H901="按吨位×单价",N($G901),0))))</f>
        <v/>
      </c>
      <c r="K901" s="41" t="str">
        <f aca="false">IF($B901="","",ROUND(N($J901)*N($I901),2))</f>
        <v/>
      </c>
      <c r="L901" s="42"/>
      <c r="M901" s="76"/>
      <c r="N901" s="43"/>
      <c r="R901" s="77" t="str">
        <f aca="false">IF($B901="","",$B901)</f>
        <v/>
      </c>
      <c r="S901" s="77" t="n">
        <f aca="false">IF($R901="",0,IF(MATCH($R901,$R$5:$R$904,0)=ROW()-4,1,0))</f>
        <v>0</v>
      </c>
      <c r="T901" s="77" t="n">
        <f aca="false">N(T900)+$S901</f>
        <v>18</v>
      </c>
    </row>
    <row r="902" customFormat="false" ht="13.5" hidden="false" customHeight="false" outlineLevel="0" collapsed="false">
      <c r="A902" s="9" t="str">
        <f aca="false">IF($B902="","",ROW()-4)</f>
        <v/>
      </c>
      <c r="B902" s="39" t="str">
        <f aca="false">IFERROR(INDEX(对接源_01入库吨位!$B$5:$B$304,MATCH(INT((ROW()-5)/3)+1,对接源_01入库吨位!$S$5:$S$304,0)),"")</f>
        <v/>
      </c>
      <c r="C902" s="39" t="str">
        <f aca="false">IFERROR(INDEX(对接源_01入库吨位!$C$5:$C$304,MATCH(INT((ROW()-5)/3)+1,对接源_01入库吨位!$S$5:$S$304,0)),"")</f>
        <v/>
      </c>
      <c r="D902" s="40" t="str">
        <f aca="false">IF($B902="","",IF(MOD(ROW()-5,3)=0,"周转打冷",IF(MOD(ROW()-5,3)=1,"仓储加工","装卸费")))</f>
        <v/>
      </c>
      <c r="E902" s="51" t="str">
        <f aca="false">IF($B902="","",IFERROR(IF($D902="周转打冷",N(INDEX(对接源_01入库吨位!$D$5:$D$304,MATCH(INT((ROW()-5)/3)+1,对接源_01入库吨位!$S$5:$S$304,0))),IF($D902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2" s="41" t="str">
        <f aca="false">IF($B902="","",ROUND(IFERROR(IF($D902="周转打冷",N(INDEX(对接源_01入库吨位!$H$5:$H$304,MATCH(INT((ROW()-5)/3)+1,对接源_01入库吨位!$S$5:$S$304,0))),IF($D902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2" s="52" t="str">
        <f aca="false">IF($B902="","",ROUND(N($F902)/1000,3))</f>
        <v/>
      </c>
      <c r="H902" s="74"/>
      <c r="I902" s="44"/>
      <c r="J902" s="75" t="str">
        <f aca="false">IF($B902="","",IF($H902="按筐数×单价",N($E902),IF($H902="按总重KG×单价",N($F902),IF($H902="按吨位×单价",N($G902),0))))</f>
        <v/>
      </c>
      <c r="K902" s="41" t="str">
        <f aca="false">IF($B902="","",ROUND(N($J902)*N($I902),2))</f>
        <v/>
      </c>
      <c r="L902" s="42"/>
      <c r="M902" s="76"/>
      <c r="N902" s="43"/>
      <c r="R902" s="77" t="str">
        <f aca="false">IF($B902="","",$B902)</f>
        <v/>
      </c>
      <c r="S902" s="77" t="n">
        <f aca="false">IF($R902="",0,IF(MATCH($R902,$R$5:$R$904,0)=ROW()-4,1,0))</f>
        <v>0</v>
      </c>
      <c r="T902" s="77" t="n">
        <f aca="false">N(T901)+$S902</f>
        <v>18</v>
      </c>
    </row>
    <row r="903" customFormat="false" ht="13.5" hidden="false" customHeight="false" outlineLevel="0" collapsed="false">
      <c r="A903" s="9" t="str">
        <f aca="false">IF($B903="","",ROW()-4)</f>
        <v/>
      </c>
      <c r="B903" s="39" t="str">
        <f aca="false">IFERROR(INDEX(对接源_01入库吨位!$B$5:$B$304,MATCH(INT((ROW()-5)/3)+1,对接源_01入库吨位!$S$5:$S$304,0)),"")</f>
        <v/>
      </c>
      <c r="C903" s="39" t="str">
        <f aca="false">IFERROR(INDEX(对接源_01入库吨位!$C$5:$C$304,MATCH(INT((ROW()-5)/3)+1,对接源_01入库吨位!$S$5:$S$304,0)),"")</f>
        <v/>
      </c>
      <c r="D903" s="40" t="str">
        <f aca="false">IF($B903="","",IF(MOD(ROW()-5,3)=0,"周转打冷",IF(MOD(ROW()-5,3)=1,"仓储加工","装卸费")))</f>
        <v/>
      </c>
      <c r="E903" s="51" t="str">
        <f aca="false">IF($B903="","",IFERROR(IF($D903="周转打冷",N(INDEX(对接源_01入库吨位!$D$5:$D$304,MATCH(INT((ROW()-5)/3)+1,对接源_01入库吨位!$S$5:$S$304,0))),IF($D903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3" s="41" t="str">
        <f aca="false">IF($B903="","",ROUND(IFERROR(IF($D903="周转打冷",N(INDEX(对接源_01入库吨位!$H$5:$H$304,MATCH(INT((ROW()-5)/3)+1,对接源_01入库吨位!$S$5:$S$304,0))),IF($D903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3" s="52" t="str">
        <f aca="false">IF($B903="","",ROUND(N($F903)/1000,3))</f>
        <v/>
      </c>
      <c r="H903" s="74"/>
      <c r="I903" s="44"/>
      <c r="J903" s="75" t="str">
        <f aca="false">IF($B903="","",IF($H903="按筐数×单价",N($E903),IF($H903="按总重KG×单价",N($F903),IF($H903="按吨位×单价",N($G903),0))))</f>
        <v/>
      </c>
      <c r="K903" s="41" t="str">
        <f aca="false">IF($B903="","",ROUND(N($J903)*N($I903),2))</f>
        <v/>
      </c>
      <c r="L903" s="42"/>
      <c r="M903" s="76"/>
      <c r="N903" s="43"/>
      <c r="R903" s="77" t="str">
        <f aca="false">IF($B903="","",$B903)</f>
        <v/>
      </c>
      <c r="S903" s="77" t="n">
        <f aca="false">IF($R903="",0,IF(MATCH($R903,$R$5:$R$904,0)=ROW()-4,1,0))</f>
        <v>0</v>
      </c>
      <c r="T903" s="77" t="n">
        <f aca="false">N(T902)+$S903</f>
        <v>18</v>
      </c>
    </row>
    <row r="904" customFormat="false" ht="13.5" hidden="false" customHeight="false" outlineLevel="0" collapsed="false">
      <c r="A904" s="9" t="str">
        <f aca="false">IF($B904="","",ROW()-4)</f>
        <v/>
      </c>
      <c r="B904" s="39" t="str">
        <f aca="false">IFERROR(INDEX(对接源_01入库吨位!$B$5:$B$304,MATCH(INT((ROW()-5)/3)+1,对接源_01入库吨位!$S$5:$S$304,0)),"")</f>
        <v/>
      </c>
      <c r="C904" s="39" t="str">
        <f aca="false">IFERROR(INDEX(对接源_01入库吨位!$C$5:$C$304,MATCH(INT((ROW()-5)/3)+1,对接源_01入库吨位!$S$5:$S$304,0)),"")</f>
        <v/>
      </c>
      <c r="D904" s="40" t="str">
        <f aca="false">IF($B904="","",IF(MOD(ROW()-5,3)=0,"周转打冷",IF(MOD(ROW()-5,3)=1,"仓储加工","装卸费")))</f>
        <v/>
      </c>
      <c r="E904" s="51" t="str">
        <f aca="false">IF($B904="","",IFERROR(IF($D904="周转打冷",N(INDEX(对接源_01入库吨位!$D$5:$D$304,MATCH(INT((ROW()-5)/3)+1,对接源_01入库吨位!$S$5:$S$304,0))),IF($D904="仓储加工",N(INDEX(对接源_01入库吨位!$E$5:$E$304,MATCH(INT((ROW()-5)/3)+1,对接源_01入库吨位!$S$5:$S$304,0))),N(INDEX(对接源_01入库吨位!$D$5:$D$304,MATCH(INT((ROW()-5)/3)+1,对接源_01入库吨位!$S$5:$S$304,0)))+N(INDEX(对接源_01入库吨位!$E$5:$E$304,MATCH(INT((ROW()-5)/3)+1,对接源_01入库吨位!$S$5:$S$304,0))))),0))</f>
        <v/>
      </c>
      <c r="F904" s="41" t="str">
        <f aca="false">IF($B904="","",ROUND(IFERROR(IF($D904="周转打冷",N(INDEX(对接源_01入库吨位!$H$5:$H$304,MATCH(INT((ROW()-5)/3)+1,对接源_01入库吨位!$S$5:$S$304,0))),IF($D904="仓储加工",N(INDEX(对接源_01入库吨位!$I$5:$I$304,MATCH(INT((ROW()-5)/3)+1,对接源_01入库吨位!$S$5:$S$304,0))),N(INDEX(对接源_01入库吨位!$H$5:$H$304,MATCH(INT((ROW()-5)/3)+1,对接源_01入库吨位!$S$5:$S$304,0)))+N(INDEX(对接源_01入库吨位!$I$5:$I$304,MATCH(INT((ROW()-5)/3)+1,对接源_01入库吨位!$S$5:$S$304,0))))),0),2))</f>
        <v/>
      </c>
      <c r="G904" s="52" t="str">
        <f aca="false">IF($B904="","",ROUND(N($F904)/1000,3))</f>
        <v/>
      </c>
      <c r="H904" s="74"/>
      <c r="I904" s="44"/>
      <c r="J904" s="75" t="str">
        <f aca="false">IF($B904="","",IF($H904="按筐数×单价",N($E904),IF($H904="按总重KG×单价",N($F904),IF($H904="按吨位×单价",N($G904),0))))</f>
        <v/>
      </c>
      <c r="K904" s="41" t="str">
        <f aca="false">IF($B904="","",ROUND(N($J904)*N($I904),2))</f>
        <v/>
      </c>
      <c r="L904" s="42"/>
      <c r="M904" s="76"/>
      <c r="N904" s="43"/>
      <c r="R904" s="77" t="str">
        <f aca="false">IF($B904="","",$B904)</f>
        <v/>
      </c>
      <c r="S904" s="77" t="n">
        <f aca="false">IF($R904="",0,IF(MATCH($R904,$R$5:$R$904,0)=ROW()-4,1,0))</f>
        <v>0</v>
      </c>
      <c r="T904" s="77" t="n">
        <f aca="false">N(T903)+$S904</f>
        <v>18</v>
      </c>
    </row>
    <row r="905" customFormat="false" ht="13.5" hidden="false" customHeight="false" outlineLevel="0" collapsed="false">
      <c r="A905" s="79" t="s">
        <v>229</v>
      </c>
      <c r="B905" s="79"/>
      <c r="C905" s="79"/>
      <c r="D905" s="79"/>
      <c r="E905" s="80" t="n">
        <f aca="false">ROUND(SUM(E$5:E$904),2)</f>
        <v>77740</v>
      </c>
      <c r="F905" s="81" t="n">
        <f aca="false">ROUND(SUM(F$5:F$904),2)</f>
        <v>1187201.8</v>
      </c>
      <c r="G905" s="82" t="n">
        <f aca="false">ROUND(SUM(G$5:G$904),3)</f>
        <v>1187.204</v>
      </c>
      <c r="H905" s="83"/>
      <c r="I905" s="83"/>
      <c r="J905" s="83"/>
      <c r="K905" s="81" t="n">
        <f aca="false">ROUND(SUM(K$5:K$904),2)</f>
        <v>12116446.13</v>
      </c>
      <c r="L905" s="83"/>
      <c r="M905" s="83"/>
      <c r="N905" s="83"/>
    </row>
    <row r="907" customFormat="false" ht="19.5" hidden="false" customHeight="true" outlineLevel="0" collapsed="false">
      <c r="A907" s="4" t="s">
        <v>247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customFormat="false" ht="30" hidden="false" customHeight="true" outlineLevel="0" collapsed="false">
      <c r="A908" s="37" t="s">
        <v>3</v>
      </c>
      <c r="B908" s="37" t="s">
        <v>208</v>
      </c>
      <c r="C908" s="37" t="s">
        <v>248</v>
      </c>
      <c r="D908" s="37" t="s">
        <v>249</v>
      </c>
      <c r="E908" s="37" t="s">
        <v>250</v>
      </c>
      <c r="F908" s="37" t="s">
        <v>251</v>
      </c>
      <c r="G908" s="37" t="s">
        <v>252</v>
      </c>
      <c r="H908" s="37" t="s">
        <v>253</v>
      </c>
      <c r="I908" s="37" t="s">
        <v>254</v>
      </c>
      <c r="J908" s="37" t="s">
        <v>194</v>
      </c>
      <c r="K908" s="37" t="s">
        <v>255</v>
      </c>
      <c r="L908" s="37" t="s">
        <v>174</v>
      </c>
    </row>
    <row r="909" customFormat="false" ht="13.5" hidden="false" customHeight="false" outlineLevel="0" collapsed="false">
      <c r="A909" s="40" t="n">
        <f aca="false">IF($B909="","",ROW()-908)</f>
        <v>1</v>
      </c>
      <c r="B909" s="39" t="str">
        <f aca="false">IFERROR(INDEX($U$5:$U$124,ROW()-908),"")</f>
        <v>聂新平</v>
      </c>
      <c r="C909" s="41" t="n">
        <f aca="false">IF($B909="","",ROUND(SUMIFS($K$5:$K$904,$B$5:$B$904,$B909,$D$5:$D$904,"周转打冷"),2))</f>
        <v>3773460.32</v>
      </c>
      <c r="D909" s="41" t="n">
        <f aca="false">IF($B909="","",ROUND(SUMIFS($K$5:$K$904,$B$5:$B$904,$B909,$D$5:$D$904,"仓储加工"),2))</f>
        <v>0</v>
      </c>
      <c r="E909" s="41" t="n">
        <f aca="false">IF($B909="","",ROUND(SUMIFS($K$5:$K$904,$B$5:$B$904,$B909,$D$5:$D$904,"装卸费"),2))</f>
        <v>1886376.8</v>
      </c>
      <c r="F909" s="41" t="n">
        <f aca="false">IF($B909="","",ROUND(N($C909)+N($D909)+N($E909),2))</f>
        <v>5659837.12</v>
      </c>
      <c r="G909" s="51" t="n">
        <f aca="false">IF($B909="","",SUMIFS($E$5:$E$904,$B$5:$B$904,$B909,$D$5:$D$904,"周转打冷"))</f>
        <v>11421</v>
      </c>
      <c r="H909" s="51" t="n">
        <f aca="false">IF($B909="","",SUMIFS($E$5:$E$904,$B$5:$B$904,$B909,$D$5:$D$904,"仓储加工"))</f>
        <v>0</v>
      </c>
      <c r="I909" s="51" t="n">
        <f aca="false">IF($B909="","",N($G909)+N($H909))</f>
        <v>11421</v>
      </c>
      <c r="J909" s="52" t="n">
        <f aca="false">IF($B909="","",ROUND(SUMIFS($G$5:$G$904,$B$5:$B$904,$B909,$D$5:$D$904,"周转打冷")+SUMIFS($G$5:$G$904,$B$5:$B$904,$B909,$D$5:$D$904,"仓储加工"),3))</f>
        <v>73.028</v>
      </c>
      <c r="K909" s="51" t="n">
        <f aca="false">IF($B909="","",COUNTIFS($B$5:$B$904,$B909,$I$5:$I$904,"")+COUNTIFS($B$5:$B$904,$B909,$I$5:$I$904,0))</f>
        <v>2</v>
      </c>
      <c r="L909" s="39" t="str">
        <f aca="false">IF($B909="","",IF(N($K909)&gt;0,"⚠ 有 "&amp;N($K909)&amp;" 行还没填单价","✔ 已全部定价"))</f>
        <v>⚠ 有 2 行还没填单价</v>
      </c>
    </row>
    <row r="910" customFormat="false" ht="13.5" hidden="false" customHeight="false" outlineLevel="0" collapsed="false">
      <c r="A910" s="40" t="n">
        <f aca="false">IF($B910="","",ROW()-908)</f>
        <v>2</v>
      </c>
      <c r="B910" s="39" t="str">
        <f aca="false">IFERROR(INDEX($U$5:$U$124,ROW()-908),"")</f>
        <v>王照雪</v>
      </c>
      <c r="C910" s="41" t="n">
        <f aca="false">IF($B910="","",ROUND(SUMIFS($K$5:$K$904,$B$5:$B$904,$B910,$D$5:$D$904,"周转打冷"),2))</f>
        <v>4183637.9</v>
      </c>
      <c r="D910" s="41" t="n">
        <f aca="false">IF($B910="","",ROUND(SUMIFS($K$5:$K$904,$B$5:$B$904,$B910,$D$5:$D$904,"仓储加工"),2))</f>
        <v>0</v>
      </c>
      <c r="E910" s="41" t="n">
        <f aca="false">IF($B910="","",ROUND(SUMIFS($K$5:$K$904,$B$5:$B$904,$B910,$D$5:$D$904,"装卸费"),2))</f>
        <v>2092631.3</v>
      </c>
      <c r="F910" s="41" t="n">
        <f aca="false">IF($B910="","",ROUND(N($C910)+N($D910)+N($E910),2))</f>
        <v>6276269.2</v>
      </c>
      <c r="G910" s="51" t="n">
        <f aca="false">IF($B910="","",SUMIFS($E$5:$E$904,$B$5:$B$904,$B910,$D$5:$D$904,"周转打冷"))</f>
        <v>2807</v>
      </c>
      <c r="H910" s="51" t="n">
        <f aca="false">IF($B910="","",SUMIFS($E$5:$E$904,$B$5:$B$904,$B910,$D$5:$D$904,"仓储加工"))</f>
        <v>852</v>
      </c>
      <c r="I910" s="51" t="n">
        <f aca="false">IF($B910="","",N($G910)+N($H910))</f>
        <v>3659</v>
      </c>
      <c r="J910" s="52" t="n">
        <f aca="false">IF($B910="","",ROUND(SUMIFS($G$5:$G$904,$B$5:$B$904,$B910,$D$5:$D$904,"周转打冷")+SUMIFS($G$5:$G$904,$B$5:$B$904,$B910,$D$5:$D$904,"仓储加工"),3))</f>
        <v>64.956</v>
      </c>
      <c r="K910" s="51" t="n">
        <f aca="false">IF($B910="","",COUNTIFS($B$5:$B$904,$B910,$I$5:$I$904,"")+COUNTIFS($B$5:$B$904,$B910,$I$5:$I$904,0))</f>
        <v>4</v>
      </c>
      <c r="L910" s="39" t="str">
        <f aca="false">IF($B910="","",IF(N($K910)&gt;0,"⚠ 有 "&amp;N($K910)&amp;" 行还没填单价","✔ 已全部定价"))</f>
        <v>⚠ 有 4 行还没填单价</v>
      </c>
    </row>
    <row r="911" customFormat="false" ht="13.5" hidden="false" customHeight="false" outlineLevel="0" collapsed="false">
      <c r="A911" s="40" t="n">
        <f aca="false">IF($B911="","",ROW()-908)</f>
        <v>3</v>
      </c>
      <c r="B911" s="39" t="str">
        <f aca="false">IFERROR(INDEX($U$5:$U$124,ROW()-908),"")</f>
        <v>伍元虎</v>
      </c>
      <c r="C911" s="41" t="n">
        <f aca="false">IF($B911="","",ROUND(SUMIFS($K$5:$K$904,$B$5:$B$904,$B911,$D$5:$D$904,"周转打冷"),2))</f>
        <v>0</v>
      </c>
      <c r="D911" s="41" t="n">
        <f aca="false">IF($B911="","",ROUND(SUMIFS($K$5:$K$904,$B$5:$B$904,$B911,$D$5:$D$904,"仓储加工"),2))</f>
        <v>0</v>
      </c>
      <c r="E911" s="41" t="n">
        <f aca="false">IF($B911="","",ROUND(SUMIFS($K$5:$K$904,$B$5:$B$904,$B911,$D$5:$D$904,"装卸费"),2))</f>
        <v>97.9</v>
      </c>
      <c r="F911" s="41" t="n">
        <f aca="false">IF($B911="","",ROUND(N($C911)+N($D911)+N($E911),2))</f>
        <v>97.9</v>
      </c>
      <c r="G911" s="51" t="n">
        <f aca="false">IF($B911="","",SUMIFS($E$5:$E$904,$B$5:$B$904,$B911,$D$5:$D$904,"周转打冷"))</f>
        <v>87</v>
      </c>
      <c r="H911" s="51" t="n">
        <f aca="false">IF($B911="","",SUMIFS($E$5:$E$904,$B$5:$B$904,$B911,$D$5:$D$904,"仓储加工"))</f>
        <v>0</v>
      </c>
      <c r="I911" s="51" t="n">
        <f aca="false">IF($B911="","",N($G911)+N($H911))</f>
        <v>87</v>
      </c>
      <c r="J911" s="52" t="n">
        <f aca="false">IF($B911="","",ROUND(SUMIFS($G$5:$G$904,$B$5:$B$904,$B911,$D$5:$D$904,"周转打冷")+SUMIFS($G$5:$G$904,$B$5:$B$904,$B911,$D$5:$D$904,"仓储加工"),3))</f>
        <v>1.958</v>
      </c>
      <c r="K911" s="51" t="n">
        <f aca="false">IF($B911="","",COUNTIFS($B$5:$B$904,$B911,$I$5:$I$904,"")+COUNTIFS($B$5:$B$904,$B911,$I$5:$I$904,0))</f>
        <v>2</v>
      </c>
      <c r="L911" s="39" t="str">
        <f aca="false">IF($B911="","",IF(N($K911)&gt;0,"⚠ 有 "&amp;N($K911)&amp;" 行还没填单价","✔ 已全部定价"))</f>
        <v>⚠ 有 2 行还没填单价</v>
      </c>
    </row>
    <row r="912" customFormat="false" ht="13.5" hidden="false" customHeight="false" outlineLevel="0" collapsed="false">
      <c r="A912" s="40" t="n">
        <f aca="false">IF($B912="","",ROW()-908)</f>
        <v>4</v>
      </c>
      <c r="B912" s="39" t="str">
        <f aca="false">IFERROR(INDEX($U$5:$U$124,ROW()-908),"")</f>
        <v>马锦祥</v>
      </c>
      <c r="C912" s="41" t="n">
        <f aca="false">IF($B912="","",ROUND(SUMIFS($K$5:$K$904,$B$5:$B$904,$B912,$D$5:$D$904,"周转打冷"),2))</f>
        <v>0</v>
      </c>
      <c r="D912" s="41" t="n">
        <f aca="false">IF($B912="","",ROUND(SUMIFS($K$5:$K$904,$B$5:$B$904,$B912,$D$5:$D$904,"仓储加工"),2))</f>
        <v>0</v>
      </c>
      <c r="E912" s="41" t="n">
        <f aca="false">IF($B912="","",ROUND(SUMIFS($K$5:$K$904,$B$5:$B$904,$B912,$D$5:$D$904,"装卸费"),2))</f>
        <v>2366.65</v>
      </c>
      <c r="F912" s="41" t="n">
        <f aca="false">IF($B912="","",ROUND(N($C912)+N($D912)+N($E912),2))</f>
        <v>2366.65</v>
      </c>
      <c r="G912" s="51" t="n">
        <f aca="false">IF($B912="","",SUMIFS($E$5:$E$904,$B$5:$B$904,$B912,$D$5:$D$904,"周转打冷"))</f>
        <v>68</v>
      </c>
      <c r="H912" s="51" t="n">
        <f aca="false">IF($B912="","",SUMIFS($E$5:$E$904,$B$5:$B$904,$B912,$D$5:$D$904,"仓储加工"))</f>
        <v>2491</v>
      </c>
      <c r="I912" s="51" t="n">
        <f aca="false">IF($B912="","",N($G912)+N($H912))</f>
        <v>2559</v>
      </c>
      <c r="J912" s="52" t="n">
        <f aca="false">IF($B912="","",ROUND(SUMIFS($G$5:$G$904,$B$5:$B$904,$B912,$D$5:$D$904,"周转打冷")+SUMIFS($G$5:$G$904,$B$5:$B$904,$B912,$D$5:$D$904,"仓储加工"),3))</f>
        <v>47.333</v>
      </c>
      <c r="K912" s="51" t="n">
        <f aca="false">IF($B912="","",COUNTIFS($B$5:$B$904,$B912,$I$5:$I$904,"")+COUNTIFS($B$5:$B$904,$B912,$I$5:$I$904,0))</f>
        <v>4</v>
      </c>
      <c r="L912" s="39" t="str">
        <f aca="false">IF($B912="","",IF(N($K912)&gt;0,"⚠ 有 "&amp;N($K912)&amp;" 行还没填单价","✔ 已全部定价"))</f>
        <v>⚠ 有 4 行还没填单价</v>
      </c>
    </row>
    <row r="913" customFormat="false" ht="13.5" hidden="false" customHeight="false" outlineLevel="0" collapsed="false">
      <c r="A913" s="40" t="n">
        <f aca="false">IF($B913="","",ROW()-908)</f>
        <v>5</v>
      </c>
      <c r="B913" s="39" t="str">
        <f aca="false">IFERROR(INDEX($U$5:$U$124,ROW()-908),"")</f>
        <v>麦麦提</v>
      </c>
      <c r="C913" s="41" t="n">
        <f aca="false">IF($B913="","",ROUND(SUMIFS($K$5:$K$904,$B$5:$B$904,$B913,$D$5:$D$904,"周转打冷"),2))</f>
        <v>0</v>
      </c>
      <c r="D913" s="41" t="n">
        <f aca="false">IF($B913="","",ROUND(SUMIFS($K$5:$K$904,$B$5:$B$904,$B913,$D$5:$D$904,"仓储加工"),2))</f>
        <v>37900</v>
      </c>
      <c r="E913" s="41" t="n">
        <f aca="false">IF($B913="","",ROUND(SUMIFS($K$5:$K$904,$B$5:$B$904,$B913,$D$5:$D$904,"装卸费"),2))</f>
        <v>3672.65</v>
      </c>
      <c r="F913" s="41" t="n">
        <f aca="false">IF($B913="","",ROUND(N($C913)+N($D913)+N($E913),2))</f>
        <v>41572.65</v>
      </c>
      <c r="G913" s="51" t="n">
        <f aca="false">IF($B913="","",SUMIFS($E$5:$E$904,$B$5:$B$904,$B913,$D$5:$D$904,"周转打冷"))</f>
        <v>0</v>
      </c>
      <c r="H913" s="51" t="n">
        <f aca="false">IF($B913="","",SUMIFS($E$5:$E$904,$B$5:$B$904,$B913,$D$5:$D$904,"仓储加工"))</f>
        <v>3790</v>
      </c>
      <c r="I913" s="51" t="n">
        <f aca="false">IF($B913="","",N($G913)+N($H913))</f>
        <v>3790</v>
      </c>
      <c r="J913" s="52" t="n">
        <f aca="false">IF($B913="","",ROUND(SUMIFS($G$5:$G$904,$B$5:$B$904,$B913,$D$5:$D$904,"周转打冷")+SUMIFS($G$5:$G$904,$B$5:$B$904,$B913,$D$5:$D$904,"仓储加工"),3))</f>
        <v>73.453</v>
      </c>
      <c r="K913" s="51" t="n">
        <f aca="false">IF($B913="","",COUNTIFS($B$5:$B$904,$B913,$I$5:$I$904,"")+COUNTIFS($B$5:$B$904,$B913,$I$5:$I$904,0))</f>
        <v>1</v>
      </c>
      <c r="L913" s="39" t="str">
        <f aca="false">IF($B913="","",IF(N($K913)&gt;0,"⚠ 有 "&amp;N($K913)&amp;" 行还没填单价","✔ 已全部定价"))</f>
        <v>⚠ 有 1 行还没填单价</v>
      </c>
    </row>
    <row r="914" customFormat="false" ht="13.5" hidden="false" customHeight="false" outlineLevel="0" collapsed="false">
      <c r="A914" s="40" t="n">
        <f aca="false">IF($B914="","",ROW()-908)</f>
        <v>6</v>
      </c>
      <c r="B914" s="39" t="str">
        <f aca="false">IFERROR(INDEX($U$5:$U$124,ROW()-908),"")</f>
        <v>吐尔洪</v>
      </c>
      <c r="C914" s="41" t="n">
        <f aca="false">IF($B914="","",ROUND(SUMIFS($K$5:$K$904,$B$5:$B$904,$B914,$D$5:$D$904,"周转打冷"),2))</f>
        <v>0</v>
      </c>
      <c r="D914" s="41" t="n">
        <f aca="false">IF($B914="","",ROUND(SUMIFS($K$5:$K$904,$B$5:$B$904,$B914,$D$5:$D$904,"仓储加工"),2))</f>
        <v>18320</v>
      </c>
      <c r="E914" s="41" t="n">
        <f aca="false">IF($B914="","",ROUND(SUMIFS($K$5:$K$904,$B$5:$B$904,$B914,$D$5:$D$904,"装卸费"),2))</f>
        <v>1807.3</v>
      </c>
      <c r="F914" s="41" t="n">
        <f aca="false">IF($B914="","",ROUND(N($C914)+N($D914)+N($E914),2))</f>
        <v>20127.3</v>
      </c>
      <c r="G914" s="51" t="n">
        <f aca="false">IF($B914="","",SUMIFS($E$5:$E$904,$B$5:$B$904,$B914,$D$5:$D$904,"周转打冷"))</f>
        <v>0</v>
      </c>
      <c r="H914" s="51" t="n">
        <f aca="false">IF($B914="","",SUMIFS($E$5:$E$904,$B$5:$B$904,$B914,$D$5:$D$904,"仓储加工"))</f>
        <v>1832</v>
      </c>
      <c r="I914" s="51" t="n">
        <f aca="false">IF($B914="","",N($G914)+N($H914))</f>
        <v>1832</v>
      </c>
      <c r="J914" s="52" t="n">
        <f aca="false">IF($B914="","",ROUND(SUMIFS($G$5:$G$904,$B$5:$B$904,$B914,$D$5:$D$904,"周转打冷")+SUMIFS($G$5:$G$904,$B$5:$B$904,$B914,$D$5:$D$904,"仓储加工"),3))</f>
        <v>36.146</v>
      </c>
      <c r="K914" s="51" t="n">
        <f aca="false">IF($B914="","",COUNTIFS($B$5:$B$904,$B914,$I$5:$I$904,"")+COUNTIFS($B$5:$B$904,$B914,$I$5:$I$904,0))</f>
        <v>1</v>
      </c>
      <c r="L914" s="39" t="str">
        <f aca="false">IF($B914="","",IF(N($K914)&gt;0,"⚠ 有 "&amp;N($K914)&amp;" 行还没填单价","✔ 已全部定价"))</f>
        <v>⚠ 有 1 行还没填单价</v>
      </c>
    </row>
    <row r="915" customFormat="false" ht="13.5" hidden="false" customHeight="false" outlineLevel="0" collapsed="false">
      <c r="A915" s="40" t="n">
        <f aca="false">IF($B915="","",ROW()-908)</f>
        <v>7</v>
      </c>
      <c r="B915" s="39" t="str">
        <f aca="false">IFERROR(INDEX($U$5:$U$124,ROW()-908),"")</f>
        <v>热合曼</v>
      </c>
      <c r="C915" s="41" t="n">
        <f aca="false">IF($B915="","",ROUND(SUMIFS($K$5:$K$904,$B$5:$B$904,$B915,$D$5:$D$904,"周转打冷"),2))</f>
        <v>0</v>
      </c>
      <c r="D915" s="41" t="n">
        <f aca="false">IF($B915="","",ROUND(SUMIFS($K$5:$K$904,$B$5:$B$904,$B915,$D$5:$D$904,"仓储加工"),2))</f>
        <v>15210</v>
      </c>
      <c r="E915" s="41" t="n">
        <f aca="false">IF($B915="","",ROUND(SUMIFS($K$5:$K$904,$B$5:$B$904,$B915,$D$5:$D$904,"装卸费"),2))</f>
        <v>1472.25</v>
      </c>
      <c r="F915" s="41" t="n">
        <f aca="false">IF($B915="","",ROUND(N($C915)+N($D915)+N($E915),2))</f>
        <v>16682.25</v>
      </c>
      <c r="G915" s="51" t="n">
        <f aca="false">IF($B915="","",SUMIFS($E$5:$E$904,$B$5:$B$904,$B915,$D$5:$D$904,"周转打冷"))</f>
        <v>0</v>
      </c>
      <c r="H915" s="51" t="n">
        <f aca="false">IF($B915="","",SUMIFS($E$5:$E$904,$B$5:$B$904,$B915,$D$5:$D$904,"仓储加工"))</f>
        <v>1521</v>
      </c>
      <c r="I915" s="51" t="n">
        <f aca="false">IF($B915="","",N($G915)+N($H915))</f>
        <v>1521</v>
      </c>
      <c r="J915" s="52" t="n">
        <f aca="false">IF($B915="","",ROUND(SUMIFS($G$5:$G$904,$B$5:$B$904,$B915,$D$5:$D$904,"周转打冷")+SUMIFS($G$5:$G$904,$B$5:$B$904,$B915,$D$5:$D$904,"仓储加工"),3))</f>
        <v>29.445</v>
      </c>
      <c r="K915" s="51" t="n">
        <f aca="false">IF($B915="","",COUNTIFS($B$5:$B$904,$B915,$I$5:$I$904,"")+COUNTIFS($B$5:$B$904,$B915,$I$5:$I$904,0))</f>
        <v>1</v>
      </c>
      <c r="L915" s="39" t="str">
        <f aca="false">IF($B915="","",IF(N($K915)&gt;0,"⚠ 有 "&amp;N($K915)&amp;" 行还没填单价","✔ 已全部定价"))</f>
        <v>⚠ 有 1 行还没填单价</v>
      </c>
    </row>
    <row r="916" customFormat="false" ht="13.5" hidden="false" customHeight="false" outlineLevel="0" collapsed="false">
      <c r="A916" s="40" t="n">
        <f aca="false">IF($B916="","",ROW()-908)</f>
        <v>8</v>
      </c>
      <c r="B916" s="39" t="str">
        <f aca="false">IFERROR(INDEX($U$5:$U$124,ROW()-908),"")</f>
        <v>贾建国</v>
      </c>
      <c r="C916" s="41" t="n">
        <f aca="false">IF($B916="","",ROUND(SUMIFS($K$5:$K$904,$B$5:$B$904,$B916,$D$5:$D$904,"周转打冷"),2))</f>
        <v>0</v>
      </c>
      <c r="D916" s="41" t="n">
        <f aca="false">IF($B916="","",ROUND(SUMIFS($K$5:$K$904,$B$5:$B$904,$B916,$D$5:$D$904,"仓储加工"),2))</f>
        <v>12510</v>
      </c>
      <c r="E916" s="41" t="n">
        <f aca="false">IF($B916="","",ROUND(SUMIFS($K$5:$K$904,$B$5:$B$904,$B916,$D$5:$D$904,"装卸费"),2))</f>
        <v>1429.85</v>
      </c>
      <c r="F916" s="41" t="n">
        <f aca="false">IF($B916="","",ROUND(N($C916)+N($D916)+N($E916),2))</f>
        <v>13939.85</v>
      </c>
      <c r="G916" s="51" t="n">
        <f aca="false">IF($B916="","",SUMIFS($E$5:$E$904,$B$5:$B$904,$B916,$D$5:$D$904,"周转打冷"))</f>
        <v>0</v>
      </c>
      <c r="H916" s="51" t="n">
        <f aca="false">IF($B916="","",SUMIFS($E$5:$E$904,$B$5:$B$904,$B916,$D$5:$D$904,"仓储加工"))</f>
        <v>1390</v>
      </c>
      <c r="I916" s="51" t="n">
        <f aca="false">IF($B916="","",N($G916)+N($H916))</f>
        <v>1390</v>
      </c>
      <c r="J916" s="52" t="n">
        <f aca="false">IF($B916="","",ROUND(SUMIFS($G$5:$G$904,$B$5:$B$904,$B916,$D$5:$D$904,"周转打冷")+SUMIFS($G$5:$G$904,$B$5:$B$904,$B916,$D$5:$D$904,"仓储加工"),3))</f>
        <v>28.597</v>
      </c>
      <c r="K916" s="51" t="n">
        <f aca="false">IF($B916="","",COUNTIFS($B$5:$B$904,$B916,$I$5:$I$904,"")+COUNTIFS($B$5:$B$904,$B916,$I$5:$I$904,0))</f>
        <v>1</v>
      </c>
      <c r="L916" s="39" t="str">
        <f aca="false">IF($B916="","",IF(N($K916)&gt;0,"⚠ 有 "&amp;N($K916)&amp;" 行还没填单价","✔ 已全部定价"))</f>
        <v>⚠ 有 1 行还没填单价</v>
      </c>
    </row>
    <row r="917" customFormat="false" ht="13.5" hidden="false" customHeight="false" outlineLevel="0" collapsed="false">
      <c r="A917" s="40" t="n">
        <f aca="false">IF($B917="","",ROW()-908)</f>
        <v>9</v>
      </c>
      <c r="B917" s="39" t="str">
        <f aca="false">IFERROR(INDEX($U$5:$U$124,ROW()-908),"")</f>
        <v>王灵云</v>
      </c>
      <c r="C917" s="41" t="n">
        <f aca="false">IF($B917="","",ROUND(SUMIFS($K$5:$K$904,$B$5:$B$904,$B917,$D$5:$D$904,"周转打冷"),2))</f>
        <v>8715.41</v>
      </c>
      <c r="D917" s="41" t="n">
        <f aca="false">IF($B917="","",ROUND(SUMIFS($K$5:$K$904,$B$5:$B$904,$B917,$D$5:$D$904,"仓储加工"),2))</f>
        <v>0</v>
      </c>
      <c r="E917" s="41" t="n">
        <f aca="false">IF($B917="","",ROUND(SUMIFS($K$5:$K$904,$B$5:$B$904,$B917,$D$5:$D$904,"装卸费"),2))</f>
        <v>3961.55</v>
      </c>
      <c r="F917" s="41" t="n">
        <f aca="false">IF($B917="","",ROUND(N($C917)+N($D917)+N($E917),2))</f>
        <v>12676.96</v>
      </c>
      <c r="G917" s="51" t="n">
        <f aca="false">IF($B917="","",SUMIFS($E$5:$E$904,$B$5:$B$904,$B917,$D$5:$D$904,"周转打冷"))</f>
        <v>4214</v>
      </c>
      <c r="H917" s="51" t="n">
        <f aca="false">IF($B917="","",SUMIFS($E$5:$E$904,$B$5:$B$904,$B917,$D$5:$D$904,"仓储加工"))</f>
        <v>0</v>
      </c>
      <c r="I917" s="51" t="n">
        <f aca="false">IF($B917="","",N($G917)+N($H917))</f>
        <v>4214</v>
      </c>
      <c r="J917" s="52" t="n">
        <f aca="false">IF($B917="","",ROUND(SUMIFS($G$5:$G$904,$B$5:$B$904,$B917,$D$5:$D$904,"周转打冷")+SUMIFS($G$5:$G$904,$B$5:$B$904,$B917,$D$5:$D$904,"仓储加工"),3))</f>
        <v>79.231</v>
      </c>
      <c r="K917" s="51" t="n">
        <f aca="false">IF($B917="","",COUNTIFS($B$5:$B$904,$B917,$I$5:$I$904,"")+COUNTIFS($B$5:$B$904,$B917,$I$5:$I$904,0))</f>
        <v>1</v>
      </c>
      <c r="L917" s="39" t="str">
        <f aca="false">IF($B917="","",IF(N($K917)&gt;0,"⚠ 有 "&amp;N($K917)&amp;" 行还没填单价","✔ 已全部定价"))</f>
        <v>⚠ 有 1 行还没填单价</v>
      </c>
    </row>
    <row r="918" customFormat="false" ht="13.5" hidden="false" customHeight="false" outlineLevel="0" collapsed="false">
      <c r="A918" s="40" t="n">
        <f aca="false">IF($B918="","",ROW()-908)</f>
        <v>10</v>
      </c>
      <c r="B918" s="39" t="str">
        <f aca="false">IFERROR(INDEX($U$5:$U$124,ROW()-908),"")</f>
        <v>杨艳玲</v>
      </c>
      <c r="C918" s="41" t="n">
        <f aca="false">IF($B918="","",ROUND(SUMIFS($K$5:$K$904,$B$5:$B$904,$B918,$D$5:$D$904,"周转打冷"),2))</f>
        <v>936</v>
      </c>
      <c r="D918" s="41" t="n">
        <f aca="false">IF($B918="","",ROUND(SUMIFS($K$5:$K$904,$B$5:$B$904,$B918,$D$5:$D$904,"仓储加工"),2))</f>
        <v>0</v>
      </c>
      <c r="E918" s="41" t="n">
        <f aca="false">IF($B918="","",ROUND(SUMIFS($K$5:$K$904,$B$5:$B$904,$B918,$D$5:$D$904,"装卸费"),2))</f>
        <v>89.95</v>
      </c>
      <c r="F918" s="41" t="n">
        <f aca="false">IF($B918="","",ROUND(N($C918)+N($D918)+N($E918),2))</f>
        <v>1025.95</v>
      </c>
      <c r="G918" s="51" t="n">
        <f aca="false">IF($B918="","",SUMIFS($E$5:$E$904,$B$5:$B$904,$B918,$D$5:$D$904,"周转打冷"))</f>
        <v>104</v>
      </c>
      <c r="H918" s="51" t="n">
        <f aca="false">IF($B918="","",SUMIFS($E$5:$E$904,$B$5:$B$904,$B918,$D$5:$D$904,"仓储加工"))</f>
        <v>0</v>
      </c>
      <c r="I918" s="51" t="n">
        <f aca="false">IF($B918="","",N($G918)+N($H918))</f>
        <v>104</v>
      </c>
      <c r="J918" s="52" t="n">
        <f aca="false">IF($B918="","",ROUND(SUMIFS($G$5:$G$904,$B$5:$B$904,$B918,$D$5:$D$904,"周转打冷")+SUMIFS($G$5:$G$904,$B$5:$B$904,$B918,$D$5:$D$904,"仓储加工"),3))</f>
        <v>1.799</v>
      </c>
      <c r="K918" s="51" t="n">
        <f aca="false">IF($B918="","",COUNTIFS($B$5:$B$904,$B918,$I$5:$I$904,"")+COUNTIFS($B$5:$B$904,$B918,$I$5:$I$904,0))</f>
        <v>1</v>
      </c>
      <c r="L918" s="39" t="str">
        <f aca="false">IF($B918="","",IF(N($K918)&gt;0,"⚠ 有 "&amp;N($K918)&amp;" 行还没填单价","✔ 已全部定价"))</f>
        <v>⚠ 有 1 行还没填单价</v>
      </c>
    </row>
    <row r="919" customFormat="false" ht="13.5" hidden="false" customHeight="false" outlineLevel="0" collapsed="false">
      <c r="A919" s="40" t="n">
        <f aca="false">IF($B919="","",ROW()-908)</f>
        <v>11</v>
      </c>
      <c r="B919" s="39" t="str">
        <f aca="false">IFERROR(INDEX($U$5:$U$124,ROW()-908),"")</f>
        <v>荆建君</v>
      </c>
      <c r="C919" s="41" t="n">
        <f aca="false">IF($B919="","",ROUND(SUMIFS($K$5:$K$904,$B$5:$B$904,$B919,$D$5:$D$904,"周转打冷"),2))</f>
        <v>0</v>
      </c>
      <c r="D919" s="41" t="n">
        <f aca="false">IF($B919="","",ROUND(SUMIFS($K$5:$K$904,$B$5:$B$904,$B919,$D$5:$D$904,"仓储加工"),2))</f>
        <v>17708</v>
      </c>
      <c r="E919" s="41" t="n">
        <f aca="false">IF($B919="","",ROUND(SUMIFS($K$5:$K$904,$B$5:$B$904,$B919,$D$5:$D$904,"装卸费"),2))</f>
        <v>1705.55</v>
      </c>
      <c r="F919" s="41" t="n">
        <f aca="false">IF($B919="","",ROUND(N($C919)+N($D919)+N($E919),2))</f>
        <v>19413.55</v>
      </c>
      <c r="G919" s="51" t="n">
        <f aca="false">IF($B919="","",SUMIFS($E$5:$E$904,$B$5:$B$904,$B919,$D$5:$D$904,"周转打冷"))</f>
        <v>0</v>
      </c>
      <c r="H919" s="51" t="n">
        <f aca="false">IF($B919="","",SUMIFS($E$5:$E$904,$B$5:$B$904,$B919,$D$5:$D$904,"仓储加工"))</f>
        <v>1864</v>
      </c>
      <c r="I919" s="51" t="n">
        <f aca="false">IF($B919="","",N($G919)+N($H919))</f>
        <v>1864</v>
      </c>
      <c r="J919" s="52" t="n">
        <f aca="false">IF($B919="","",ROUND(SUMIFS($G$5:$G$904,$B$5:$B$904,$B919,$D$5:$D$904,"周转打冷")+SUMIFS($G$5:$G$904,$B$5:$B$904,$B919,$D$5:$D$904,"仓储加工"),3))</f>
        <v>34.111</v>
      </c>
      <c r="K919" s="51" t="n">
        <f aca="false">IF($B919="","",COUNTIFS($B$5:$B$904,$B919,$I$5:$I$904,"")+COUNTIFS($B$5:$B$904,$B919,$I$5:$I$904,0))</f>
        <v>1</v>
      </c>
      <c r="L919" s="39" t="str">
        <f aca="false">IF($B919="","",IF(N($K919)&gt;0,"⚠ 有 "&amp;N($K919)&amp;" 行还没填单价","✔ 已全部定价"))</f>
        <v>⚠ 有 1 行还没填单价</v>
      </c>
    </row>
    <row r="920" customFormat="false" ht="13.5" hidden="false" customHeight="false" outlineLevel="0" collapsed="false">
      <c r="A920" s="40" t="n">
        <f aca="false">IF($B920="","",ROW()-908)</f>
        <v>12</v>
      </c>
      <c r="B920" s="39" t="str">
        <f aca="false">IFERROR(INDEX($U$5:$U$124,ROW()-908),"")</f>
        <v>努尔敦</v>
      </c>
      <c r="C920" s="41" t="n">
        <f aca="false">IF($B920="","",ROUND(SUMIFS($K$5:$K$904,$B$5:$B$904,$B920,$D$5:$D$904,"周转打冷"),2))</f>
        <v>0</v>
      </c>
      <c r="D920" s="41" t="n">
        <f aca="false">IF($B920="","",ROUND(SUMIFS($K$5:$K$904,$B$5:$B$904,$B920,$D$5:$D$904,"仓储加工"),2))</f>
        <v>30618.5</v>
      </c>
      <c r="E920" s="41" t="n">
        <f aca="false">IF($B920="","",ROUND(SUMIFS($K$5:$K$904,$B$5:$B$904,$B920,$D$5:$D$904,"装卸费"),2))</f>
        <v>3119.45</v>
      </c>
      <c r="F920" s="41" t="n">
        <f aca="false">IF($B920="","",ROUND(N($C920)+N($D920)+N($E920),2))</f>
        <v>33737.95</v>
      </c>
      <c r="G920" s="51" t="n">
        <f aca="false">IF($B920="","",SUMIFS($E$5:$E$904,$B$5:$B$904,$B920,$D$5:$D$904,"周转打冷"))</f>
        <v>0</v>
      </c>
      <c r="H920" s="51" t="n">
        <f aca="false">IF($B920="","",SUMIFS($E$5:$E$904,$B$5:$B$904,$B920,$D$5:$D$904,"仓储加工"))</f>
        <v>3223</v>
      </c>
      <c r="I920" s="51" t="n">
        <f aca="false">IF($B920="","",N($G920)+N($H920))</f>
        <v>3223</v>
      </c>
      <c r="J920" s="52" t="n">
        <f aca="false">IF($B920="","",ROUND(SUMIFS($G$5:$G$904,$B$5:$B$904,$B920,$D$5:$D$904,"周转打冷")+SUMIFS($G$5:$G$904,$B$5:$B$904,$B920,$D$5:$D$904,"仓储加工"),3))</f>
        <v>62.389</v>
      </c>
      <c r="K920" s="51" t="n">
        <f aca="false">IF($B920="","",COUNTIFS($B$5:$B$904,$B920,$I$5:$I$904,"")+COUNTIFS($B$5:$B$904,$B920,$I$5:$I$904,0))</f>
        <v>1</v>
      </c>
      <c r="L920" s="39" t="str">
        <f aca="false">IF($B920="","",IF(N($K920)&gt;0,"⚠ 有 "&amp;N($K920)&amp;" 行还没填单价","✔ 已全部定价"))</f>
        <v>⚠ 有 1 行还没填单价</v>
      </c>
    </row>
    <row r="921" customFormat="false" ht="13.5" hidden="false" customHeight="false" outlineLevel="0" collapsed="false">
      <c r="A921" s="40" t="n">
        <f aca="false">IF($B921="","",ROW()-908)</f>
        <v>13</v>
      </c>
      <c r="B921" s="39" t="str">
        <f aca="false">IFERROR(INDEX($U$5:$U$124,ROW()-908),"")</f>
        <v>王浩</v>
      </c>
      <c r="C921" s="41" t="n">
        <f aca="false">IF($B921="","",ROUND(SUMIFS($K$5:$K$904,$B$5:$B$904,$B921,$D$5:$D$904,"周转打冷"),2))</f>
        <v>0</v>
      </c>
      <c r="D921" s="41" t="n">
        <f aca="false">IF($B921="","",ROUND(SUMIFS($K$5:$K$904,$B$5:$B$904,$B921,$D$5:$D$904,"仓储加工"),2))</f>
        <v>9472</v>
      </c>
      <c r="E921" s="41" t="n">
        <f aca="false">IF($B921="","",ROUND(SUMIFS($K$5:$K$904,$B$5:$B$904,$B921,$D$5:$D$904,"装卸费"),2))</f>
        <v>1083.35</v>
      </c>
      <c r="F921" s="41" t="n">
        <f aca="false">IF($B921="","",ROUND(N($C921)+N($D921)+N($E921),2))</f>
        <v>10555.35</v>
      </c>
      <c r="G921" s="51" t="n">
        <f aca="false">IF($B921="","",SUMIFS($E$5:$E$904,$B$5:$B$904,$B921,$D$5:$D$904,"周转打冷"))</f>
        <v>0</v>
      </c>
      <c r="H921" s="51" t="n">
        <f aca="false">IF($B921="","",SUMIFS($E$5:$E$904,$B$5:$B$904,$B921,$D$5:$D$904,"仓储加工"))</f>
        <v>1184</v>
      </c>
      <c r="I921" s="51" t="n">
        <f aca="false">IF($B921="","",N($G921)+N($H921))</f>
        <v>1184</v>
      </c>
      <c r="J921" s="52" t="n">
        <f aca="false">IF($B921="","",ROUND(SUMIFS($G$5:$G$904,$B$5:$B$904,$B921,$D$5:$D$904,"周转打冷")+SUMIFS($G$5:$G$904,$B$5:$B$904,$B921,$D$5:$D$904,"仓储加工"),3))</f>
        <v>21.667</v>
      </c>
      <c r="K921" s="51" t="n">
        <f aca="false">IF($B921="","",COUNTIFS($B$5:$B$904,$B921,$I$5:$I$904,"")+COUNTIFS($B$5:$B$904,$B921,$I$5:$I$904,0))</f>
        <v>1</v>
      </c>
      <c r="L921" s="39" t="str">
        <f aca="false">IF($B921="","",IF(N($K921)&gt;0,"⚠ 有 "&amp;N($K921)&amp;" 行还没填单价","✔ 已全部定价"))</f>
        <v>⚠ 有 1 行还没填单价</v>
      </c>
    </row>
    <row r="922" customFormat="false" ht="13.5" hidden="false" customHeight="false" outlineLevel="0" collapsed="false">
      <c r="A922" s="40" t="n">
        <f aca="false">IF($B922="","",ROW()-908)</f>
        <v>14</v>
      </c>
      <c r="B922" s="39" t="str">
        <f aca="false">IFERROR(INDEX($U$5:$U$124,ROW()-908),"")</f>
        <v>热合曼+艾则孜</v>
      </c>
      <c r="C922" s="41" t="n">
        <f aca="false">IF($B922="","",ROUND(SUMIFS($K$5:$K$904,$B$5:$B$904,$B922,$D$5:$D$904,"周转打冷"),2))</f>
        <v>0</v>
      </c>
      <c r="D922" s="41" t="n">
        <f aca="false">IF($B922="","",ROUND(SUMIFS($K$5:$K$904,$B$5:$B$904,$B922,$D$5:$D$904,"仓储加工"),2))</f>
        <v>5000</v>
      </c>
      <c r="E922" s="41" t="n">
        <f aca="false">IF($B922="","",ROUND(SUMIFS($K$5:$K$904,$B$5:$B$904,$B922,$D$5:$D$904,"装卸费"),2))</f>
        <v>483.7</v>
      </c>
      <c r="F922" s="41" t="n">
        <f aca="false">IF($B922="","",ROUND(N($C922)+N($D922)+N($E922),2))</f>
        <v>5483.7</v>
      </c>
      <c r="G922" s="51" t="n">
        <f aca="false">IF($B922="","",SUMIFS($E$5:$E$904,$B$5:$B$904,$B922,$D$5:$D$904,"周转打冷"))</f>
        <v>0</v>
      </c>
      <c r="H922" s="51" t="n">
        <f aca="false">IF($B922="","",SUMIFS($E$5:$E$904,$B$5:$B$904,$B922,$D$5:$D$904,"仓储加工"))</f>
        <v>500</v>
      </c>
      <c r="I922" s="51" t="n">
        <f aca="false">IF($B922="","",N($G922)+N($H922))</f>
        <v>500</v>
      </c>
      <c r="J922" s="52" t="n">
        <f aca="false">IF($B922="","",ROUND(SUMIFS($G$5:$G$904,$B$5:$B$904,$B922,$D$5:$D$904,"周转打冷")+SUMIFS($G$5:$G$904,$B$5:$B$904,$B922,$D$5:$D$904,"仓储加工"),3))</f>
        <v>9.674</v>
      </c>
      <c r="K922" s="51" t="n">
        <f aca="false">IF($B922="","",COUNTIFS($B$5:$B$904,$B922,$I$5:$I$904,"")+COUNTIFS($B$5:$B$904,$B922,$I$5:$I$904,0))</f>
        <v>1</v>
      </c>
      <c r="L922" s="39" t="str">
        <f aca="false">IF($B922="","",IF(N($K922)&gt;0,"⚠ 有 "&amp;N($K922)&amp;" 行还没填单价","✔ 已全部定价"))</f>
        <v>⚠ 有 1 行还没填单价</v>
      </c>
    </row>
    <row r="923" customFormat="false" ht="13.5" hidden="false" customHeight="false" outlineLevel="0" collapsed="false">
      <c r="A923" s="40" t="n">
        <f aca="false">IF($B923="","",ROW()-908)</f>
        <v>15</v>
      </c>
      <c r="B923" s="39" t="str">
        <f aca="false">IFERROR(INDEX($U$5:$U$124,ROW()-908),"")</f>
        <v>李现东</v>
      </c>
      <c r="C923" s="41" t="n">
        <f aca="false">IF($B923="","",ROUND(SUMIFS($K$5:$K$904,$B$5:$B$904,$B923,$D$5:$D$904,"周转打冷"),2))</f>
        <v>0</v>
      </c>
      <c r="D923" s="41" t="n">
        <f aca="false">IF($B923="","",ROUND(SUMIFS($K$5:$K$904,$B$5:$B$904,$B923,$D$5:$D$904,"仓储加工"),2))</f>
        <v>0</v>
      </c>
      <c r="E923" s="41" t="n">
        <f aca="false">IF($B923="","",ROUND(SUMIFS($K$5:$K$904,$B$5:$B$904,$B923,$D$5:$D$904,"装卸费"),2))</f>
        <v>449.75</v>
      </c>
      <c r="F923" s="41" t="n">
        <f aca="false">IF($B923="","",ROUND(N($C923)+N($D923)+N($E923),2))</f>
        <v>449.75</v>
      </c>
      <c r="G923" s="51" t="n">
        <f aca="false">IF($B923="","",SUMIFS($E$5:$E$904,$B$5:$B$904,$B923,$D$5:$D$904,"周转打冷"))</f>
        <v>0</v>
      </c>
      <c r="H923" s="51" t="n">
        <f aca="false">IF($B923="","",SUMIFS($E$5:$E$904,$B$5:$B$904,$B923,$D$5:$D$904,"仓储加工"))</f>
        <v>469</v>
      </c>
      <c r="I923" s="51" t="n">
        <f aca="false">IF($B923="","",N($G923)+N($H923))</f>
        <v>469</v>
      </c>
      <c r="J923" s="52" t="n">
        <f aca="false">IF($B923="","",ROUND(SUMIFS($G$5:$G$904,$B$5:$B$904,$B923,$D$5:$D$904,"周转打冷")+SUMIFS($G$5:$G$904,$B$5:$B$904,$B923,$D$5:$D$904,"仓储加工"),3))</f>
        <v>8.995</v>
      </c>
      <c r="K923" s="51" t="n">
        <f aca="false">IF($B923="","",COUNTIFS($B$5:$B$904,$B923,$I$5:$I$904,"")+COUNTIFS($B$5:$B$904,$B923,$I$5:$I$904,0))</f>
        <v>2</v>
      </c>
      <c r="L923" s="39" t="str">
        <f aca="false">IF($B923="","",IF(N($K923)&gt;0,"⚠ 有 "&amp;N($K923)&amp;" 行还没填单价","✔ 已全部定价"))</f>
        <v>⚠ 有 2 行还没填单价</v>
      </c>
    </row>
    <row r="924" customFormat="false" ht="13.5" hidden="false" customHeight="false" outlineLevel="0" collapsed="false">
      <c r="A924" s="40" t="n">
        <f aca="false">IF($B924="","",ROW()-908)</f>
        <v>16</v>
      </c>
      <c r="B924" s="39" t="str">
        <f aca="false">IFERROR(INDEX($U$5:$U$124,ROW()-908),"")</f>
        <v>吐尔逊</v>
      </c>
      <c r="C924" s="41" t="n">
        <f aca="false">IF($B924="","",ROUND(SUMIFS($K$5:$K$904,$B$5:$B$904,$B924,$D$5:$D$904,"周转打冷"),2))</f>
        <v>0</v>
      </c>
      <c r="D924" s="41" t="n">
        <f aca="false">IF($B924="","",ROUND(SUMIFS($K$5:$K$904,$B$5:$B$904,$B924,$D$5:$D$904,"仓储加工"),2))</f>
        <v>2000</v>
      </c>
      <c r="E924" s="41" t="n">
        <f aca="false">IF($B924="","",ROUND(SUMIFS($K$5:$K$904,$B$5:$B$904,$B924,$D$5:$D$904,"装卸费"),2))</f>
        <v>210</v>
      </c>
      <c r="F924" s="41" t="n">
        <f aca="false">IF($B924="","",ROUND(N($C924)+N($D924)+N($E924),2))</f>
        <v>2210</v>
      </c>
      <c r="G924" s="51" t="n">
        <f aca="false">IF($B924="","",SUMIFS($E$5:$E$904,$B$5:$B$904,$B924,$D$5:$D$904,"周转打冷"))</f>
        <v>0</v>
      </c>
      <c r="H924" s="51" t="n">
        <f aca="false">IF($B924="","",SUMIFS($E$5:$E$904,$B$5:$B$904,$B924,$D$5:$D$904,"仓储加工"))</f>
        <v>200</v>
      </c>
      <c r="I924" s="51" t="n">
        <f aca="false">IF($B924="","",N($G924)+N($H924))</f>
        <v>200</v>
      </c>
      <c r="J924" s="52" t="n">
        <f aca="false">IF($B924="","",ROUND(SUMIFS($G$5:$G$904,$B$5:$B$904,$B924,$D$5:$D$904,"周转打冷")+SUMIFS($G$5:$G$904,$B$5:$B$904,$B924,$D$5:$D$904,"仓储加工"),3))</f>
        <v>4.2</v>
      </c>
      <c r="K924" s="51" t="n">
        <f aca="false">IF($B924="","",COUNTIFS($B$5:$B$904,$B924,$I$5:$I$904,"")+COUNTIFS($B$5:$B$904,$B924,$I$5:$I$904,0))</f>
        <v>1</v>
      </c>
      <c r="L924" s="39" t="str">
        <f aca="false">IF($B924="","",IF(N($K924)&gt;0,"⚠ 有 "&amp;N($K924)&amp;" 行还没填单价","✔ 已全部定价"))</f>
        <v>⚠ 有 1 行还没填单价</v>
      </c>
    </row>
    <row r="925" customFormat="false" ht="13.5" hidden="false" customHeight="false" outlineLevel="0" collapsed="false">
      <c r="A925" s="40" t="n">
        <f aca="false">IF($B925="","",ROW()-908)</f>
        <v>17</v>
      </c>
      <c r="B925" s="39" t="str">
        <f aca="false">IFERROR(INDEX($U$5:$U$124,ROW()-908),"")</f>
        <v>阿布都</v>
      </c>
      <c r="C925" s="41" t="n">
        <f aca="false">IF($B925="","",ROUND(SUMIFS($K$5:$K$904,$B$5:$B$904,$B925,$D$5:$D$904,"周转打冷"),2))</f>
        <v>0</v>
      </c>
      <c r="D925" s="41" t="n">
        <f aca="false">IF($B925="","",ROUND(SUMIFS($K$5:$K$904,$B$5:$B$904,$B925,$D$5:$D$904,"仓储加工"),2))</f>
        <v>0</v>
      </c>
      <c r="E925" s="41" t="n">
        <f aca="false">IF($B925="","",ROUND(SUMIFS($K$5:$K$904,$B$5:$B$904,$B925,$D$5:$D$904,"装卸费"),2))</f>
        <v>0</v>
      </c>
      <c r="F925" s="41" t="n">
        <f aca="false">IF($B925="","",ROUND(N($C925)+N($D925)+N($E925),2))</f>
        <v>0</v>
      </c>
      <c r="G925" s="51" t="n">
        <f aca="false">IF($B925="","",SUMIFS($E$5:$E$904,$B$5:$B$904,$B925,$D$5:$D$904,"周转打冷"))</f>
        <v>0</v>
      </c>
      <c r="H925" s="51" t="n">
        <f aca="false">IF($B925="","",SUMIFS($E$5:$E$904,$B$5:$B$904,$B925,$D$5:$D$904,"仓储加工"))</f>
        <v>315</v>
      </c>
      <c r="I925" s="51" t="n">
        <f aca="false">IF($B925="","",N($G925)+N($H925))</f>
        <v>315</v>
      </c>
      <c r="J925" s="52" t="n">
        <f aca="false">IF($B925="","",ROUND(SUMIFS($G$5:$G$904,$B$5:$B$904,$B925,$D$5:$D$904,"周转打冷")+SUMIFS($G$5:$G$904,$B$5:$B$904,$B925,$D$5:$D$904,"仓储加工"),3))</f>
        <v>5.973</v>
      </c>
      <c r="K925" s="51" t="n">
        <f aca="false">IF($B925="","",COUNTIFS($B$5:$B$904,$B925,$I$5:$I$904,"")+COUNTIFS($B$5:$B$904,$B925,$I$5:$I$904,0))</f>
        <v>3</v>
      </c>
      <c r="L925" s="39" t="str">
        <f aca="false">IF($B925="","",IF(N($K925)&gt;0,"⚠ 有 "&amp;N($K925)&amp;" 行还没填单价","✔ 已全部定价"))</f>
        <v>⚠ 有 3 行还没填单价</v>
      </c>
    </row>
    <row r="926" customFormat="false" ht="13.5" hidden="false" customHeight="false" outlineLevel="0" collapsed="false">
      <c r="A926" s="40" t="n">
        <f aca="false">IF($B926="","",ROW()-908)</f>
        <v>18</v>
      </c>
      <c r="B926" s="39" t="str">
        <f aca="false">IFERROR(INDEX($U$5:$U$124,ROW()-908),"")</f>
        <v>艾则孜</v>
      </c>
      <c r="C926" s="41" t="n">
        <f aca="false">IF($B926="","",ROUND(SUMIFS($K$5:$K$904,$B$5:$B$904,$B926,$D$5:$D$904,"周转打冷"),2))</f>
        <v>0</v>
      </c>
      <c r="D926" s="41" t="n">
        <f aca="false">IF($B926="","",ROUND(SUMIFS($K$5:$K$904,$B$5:$B$904,$B926,$D$5:$D$904,"仓储加工"),2))</f>
        <v>0</v>
      </c>
      <c r="E926" s="41" t="n">
        <f aca="false">IF($B926="","",ROUND(SUMIFS($K$5:$K$904,$B$5:$B$904,$B926,$D$5:$D$904,"装卸费"),2))</f>
        <v>0</v>
      </c>
      <c r="F926" s="41" t="n">
        <f aca="false">IF($B926="","",ROUND(N($C926)+N($D926)+N($E926),2))</f>
        <v>0</v>
      </c>
      <c r="G926" s="51" t="n">
        <f aca="false">IF($B926="","",SUMIFS($E$5:$E$904,$B$5:$B$904,$B926,$D$5:$D$904,"周转打冷"))</f>
        <v>0</v>
      </c>
      <c r="H926" s="51" t="n">
        <f aca="false">IF($B926="","",SUMIFS($E$5:$E$904,$B$5:$B$904,$B926,$D$5:$D$904,"仓储加工"))</f>
        <v>538</v>
      </c>
      <c r="I926" s="51" t="n">
        <f aca="false">IF($B926="","",N($G926)+N($H926))</f>
        <v>538</v>
      </c>
      <c r="J926" s="52" t="n">
        <f aca="false">IF($B926="","",ROUND(SUMIFS($G$5:$G$904,$B$5:$B$904,$B926,$D$5:$D$904,"周转打冷")+SUMIFS($G$5:$G$904,$B$5:$B$904,$B926,$D$5:$D$904,"仓储加工"),3))</f>
        <v>10.647</v>
      </c>
      <c r="K926" s="51" t="n">
        <f aca="false">IF($B926="","",COUNTIFS($B$5:$B$904,$B926,$I$5:$I$904,"")+COUNTIFS($B$5:$B$904,$B926,$I$5:$I$904,0))</f>
        <v>3</v>
      </c>
      <c r="L926" s="39" t="str">
        <f aca="false">IF($B926="","",IF(N($K926)&gt;0,"⚠ 有 "&amp;N($K926)&amp;" 行还没填单价","✔ 已全部定价"))</f>
        <v>⚠ 有 3 行还没填单价</v>
      </c>
    </row>
    <row r="927" customFormat="false" ht="13.5" hidden="false" customHeight="false" outlineLevel="0" collapsed="false">
      <c r="A927" s="40" t="str">
        <f aca="false">IF($B927="","",ROW()-908)</f>
        <v/>
      </c>
      <c r="B927" s="39" t="str">
        <f aca="false">IFERROR(INDEX($U$5:$U$124,ROW()-908),"")</f>
        <v/>
      </c>
      <c r="C927" s="41" t="str">
        <f aca="false">IF($B927="","",ROUND(SUMIFS($K$5:$K$904,$B$5:$B$904,$B927,$D$5:$D$904,"周转打冷"),2))</f>
        <v/>
      </c>
      <c r="D927" s="41" t="str">
        <f aca="false">IF($B927="","",ROUND(SUMIFS($K$5:$K$904,$B$5:$B$904,$B927,$D$5:$D$904,"仓储加工"),2))</f>
        <v/>
      </c>
      <c r="E927" s="41" t="str">
        <f aca="false">IF($B927="","",ROUND(SUMIFS($K$5:$K$904,$B$5:$B$904,$B927,$D$5:$D$904,"装卸费"),2))</f>
        <v/>
      </c>
      <c r="F927" s="41" t="str">
        <f aca="false">IF($B927="","",ROUND(N($C927)+N($D927)+N($E927),2))</f>
        <v/>
      </c>
      <c r="G927" s="51" t="str">
        <f aca="false">IF($B927="","",SUMIFS($E$5:$E$904,$B$5:$B$904,$B927,$D$5:$D$904,"周转打冷"))</f>
        <v/>
      </c>
      <c r="H927" s="51" t="str">
        <f aca="false">IF($B927="","",SUMIFS($E$5:$E$904,$B$5:$B$904,$B927,$D$5:$D$904,"仓储加工"))</f>
        <v/>
      </c>
      <c r="I927" s="51" t="str">
        <f aca="false">IF($B927="","",N($G927)+N($H927))</f>
        <v/>
      </c>
      <c r="J927" s="52" t="str">
        <f aca="false">IF($B927="","",ROUND(SUMIFS($G$5:$G$904,$B$5:$B$904,$B927,$D$5:$D$904,"周转打冷")+SUMIFS($G$5:$G$904,$B$5:$B$904,$B927,$D$5:$D$904,"仓储加工"),3))</f>
        <v/>
      </c>
      <c r="K927" s="51" t="str">
        <f aca="false">IF($B927="","",COUNTIFS($B$5:$B$904,$B927,$I$5:$I$904,"")+COUNTIFS($B$5:$B$904,$B927,$I$5:$I$904,0))</f>
        <v/>
      </c>
      <c r="L927" s="39" t="str">
        <f aca="false">IF($B927="","",IF(N($K927)&gt;0,"⚠ 有 "&amp;N($K927)&amp;" 行还没填单价","✔ 已全部定价"))</f>
        <v/>
      </c>
    </row>
    <row r="928" customFormat="false" ht="13.5" hidden="false" customHeight="false" outlineLevel="0" collapsed="false">
      <c r="A928" s="40" t="str">
        <f aca="false">IF($B928="","",ROW()-908)</f>
        <v/>
      </c>
      <c r="B928" s="39" t="str">
        <f aca="false">IFERROR(INDEX($U$5:$U$124,ROW()-908),"")</f>
        <v/>
      </c>
      <c r="C928" s="41" t="str">
        <f aca="false">IF($B928="","",ROUND(SUMIFS($K$5:$K$904,$B$5:$B$904,$B928,$D$5:$D$904,"周转打冷"),2))</f>
        <v/>
      </c>
      <c r="D928" s="41" t="str">
        <f aca="false">IF($B928="","",ROUND(SUMIFS($K$5:$K$904,$B$5:$B$904,$B928,$D$5:$D$904,"仓储加工"),2))</f>
        <v/>
      </c>
      <c r="E928" s="41" t="str">
        <f aca="false">IF($B928="","",ROUND(SUMIFS($K$5:$K$904,$B$5:$B$904,$B928,$D$5:$D$904,"装卸费"),2))</f>
        <v/>
      </c>
      <c r="F928" s="41" t="str">
        <f aca="false">IF($B928="","",ROUND(N($C928)+N($D928)+N($E928),2))</f>
        <v/>
      </c>
      <c r="G928" s="51" t="str">
        <f aca="false">IF($B928="","",SUMIFS($E$5:$E$904,$B$5:$B$904,$B928,$D$5:$D$904,"周转打冷"))</f>
        <v/>
      </c>
      <c r="H928" s="51" t="str">
        <f aca="false">IF($B928="","",SUMIFS($E$5:$E$904,$B$5:$B$904,$B928,$D$5:$D$904,"仓储加工"))</f>
        <v/>
      </c>
      <c r="I928" s="51" t="str">
        <f aca="false">IF($B928="","",N($G928)+N($H928))</f>
        <v/>
      </c>
      <c r="J928" s="52" t="str">
        <f aca="false">IF($B928="","",ROUND(SUMIFS($G$5:$G$904,$B$5:$B$904,$B928,$D$5:$D$904,"周转打冷")+SUMIFS($G$5:$G$904,$B$5:$B$904,$B928,$D$5:$D$904,"仓储加工"),3))</f>
        <v/>
      </c>
      <c r="K928" s="51" t="str">
        <f aca="false">IF($B928="","",COUNTIFS($B$5:$B$904,$B928,$I$5:$I$904,"")+COUNTIFS($B$5:$B$904,$B928,$I$5:$I$904,0))</f>
        <v/>
      </c>
      <c r="L928" s="39" t="str">
        <f aca="false">IF($B928="","",IF(N($K928)&gt;0,"⚠ 有 "&amp;N($K928)&amp;" 行还没填单价","✔ 已全部定价"))</f>
        <v/>
      </c>
    </row>
    <row r="929" customFormat="false" ht="13.5" hidden="false" customHeight="false" outlineLevel="0" collapsed="false">
      <c r="A929" s="40" t="str">
        <f aca="false">IF($B929="","",ROW()-908)</f>
        <v/>
      </c>
      <c r="B929" s="39" t="str">
        <f aca="false">IFERROR(INDEX($U$5:$U$124,ROW()-908),"")</f>
        <v/>
      </c>
      <c r="C929" s="41" t="str">
        <f aca="false">IF($B929="","",ROUND(SUMIFS($K$5:$K$904,$B$5:$B$904,$B929,$D$5:$D$904,"周转打冷"),2))</f>
        <v/>
      </c>
      <c r="D929" s="41" t="str">
        <f aca="false">IF($B929="","",ROUND(SUMIFS($K$5:$K$904,$B$5:$B$904,$B929,$D$5:$D$904,"仓储加工"),2))</f>
        <v/>
      </c>
      <c r="E929" s="41" t="str">
        <f aca="false">IF($B929="","",ROUND(SUMIFS($K$5:$K$904,$B$5:$B$904,$B929,$D$5:$D$904,"装卸费"),2))</f>
        <v/>
      </c>
      <c r="F929" s="41" t="str">
        <f aca="false">IF($B929="","",ROUND(N($C929)+N($D929)+N($E929),2))</f>
        <v/>
      </c>
      <c r="G929" s="51" t="str">
        <f aca="false">IF($B929="","",SUMIFS($E$5:$E$904,$B$5:$B$904,$B929,$D$5:$D$904,"周转打冷"))</f>
        <v/>
      </c>
      <c r="H929" s="51" t="str">
        <f aca="false">IF($B929="","",SUMIFS($E$5:$E$904,$B$5:$B$904,$B929,$D$5:$D$904,"仓储加工"))</f>
        <v/>
      </c>
      <c r="I929" s="51" t="str">
        <f aca="false">IF($B929="","",N($G929)+N($H929))</f>
        <v/>
      </c>
      <c r="J929" s="52" t="str">
        <f aca="false">IF($B929="","",ROUND(SUMIFS($G$5:$G$904,$B$5:$B$904,$B929,$D$5:$D$904,"周转打冷")+SUMIFS($G$5:$G$904,$B$5:$B$904,$B929,$D$5:$D$904,"仓储加工"),3))</f>
        <v/>
      </c>
      <c r="K929" s="51" t="str">
        <f aca="false">IF($B929="","",COUNTIFS($B$5:$B$904,$B929,$I$5:$I$904,"")+COUNTIFS($B$5:$B$904,$B929,$I$5:$I$904,0))</f>
        <v/>
      </c>
      <c r="L929" s="39" t="str">
        <f aca="false">IF($B929="","",IF(N($K929)&gt;0,"⚠ 有 "&amp;N($K929)&amp;" 行还没填单价","✔ 已全部定价"))</f>
        <v/>
      </c>
    </row>
    <row r="930" customFormat="false" ht="13.5" hidden="false" customHeight="false" outlineLevel="0" collapsed="false">
      <c r="A930" s="40" t="str">
        <f aca="false">IF($B930="","",ROW()-908)</f>
        <v/>
      </c>
      <c r="B930" s="39" t="str">
        <f aca="false">IFERROR(INDEX($U$5:$U$124,ROW()-908),"")</f>
        <v/>
      </c>
      <c r="C930" s="41" t="str">
        <f aca="false">IF($B930="","",ROUND(SUMIFS($K$5:$K$904,$B$5:$B$904,$B930,$D$5:$D$904,"周转打冷"),2))</f>
        <v/>
      </c>
      <c r="D930" s="41" t="str">
        <f aca="false">IF($B930="","",ROUND(SUMIFS($K$5:$K$904,$B$5:$B$904,$B930,$D$5:$D$904,"仓储加工"),2))</f>
        <v/>
      </c>
      <c r="E930" s="41" t="str">
        <f aca="false">IF($B930="","",ROUND(SUMIFS($K$5:$K$904,$B$5:$B$904,$B930,$D$5:$D$904,"装卸费"),2))</f>
        <v/>
      </c>
      <c r="F930" s="41" t="str">
        <f aca="false">IF($B930="","",ROUND(N($C930)+N($D930)+N($E930),2))</f>
        <v/>
      </c>
      <c r="G930" s="51" t="str">
        <f aca="false">IF($B930="","",SUMIFS($E$5:$E$904,$B$5:$B$904,$B930,$D$5:$D$904,"周转打冷"))</f>
        <v/>
      </c>
      <c r="H930" s="51" t="str">
        <f aca="false">IF($B930="","",SUMIFS($E$5:$E$904,$B$5:$B$904,$B930,$D$5:$D$904,"仓储加工"))</f>
        <v/>
      </c>
      <c r="I930" s="51" t="str">
        <f aca="false">IF($B930="","",N($G930)+N($H930))</f>
        <v/>
      </c>
      <c r="J930" s="52" t="str">
        <f aca="false">IF($B930="","",ROUND(SUMIFS($G$5:$G$904,$B$5:$B$904,$B930,$D$5:$D$904,"周转打冷")+SUMIFS($G$5:$G$904,$B$5:$B$904,$B930,$D$5:$D$904,"仓储加工"),3))</f>
        <v/>
      </c>
      <c r="K930" s="51" t="str">
        <f aca="false">IF($B930="","",COUNTIFS($B$5:$B$904,$B930,$I$5:$I$904,"")+COUNTIFS($B$5:$B$904,$B930,$I$5:$I$904,0))</f>
        <v/>
      </c>
      <c r="L930" s="39" t="str">
        <f aca="false">IF($B930="","",IF(N($K930)&gt;0,"⚠ 有 "&amp;N($K930)&amp;" 行还没填单价","✔ 已全部定价"))</f>
        <v/>
      </c>
    </row>
    <row r="931" customFormat="false" ht="13.5" hidden="false" customHeight="false" outlineLevel="0" collapsed="false">
      <c r="A931" s="40" t="str">
        <f aca="false">IF($B931="","",ROW()-908)</f>
        <v/>
      </c>
      <c r="B931" s="39" t="str">
        <f aca="false">IFERROR(INDEX($U$5:$U$124,ROW()-908),"")</f>
        <v/>
      </c>
      <c r="C931" s="41" t="str">
        <f aca="false">IF($B931="","",ROUND(SUMIFS($K$5:$K$904,$B$5:$B$904,$B931,$D$5:$D$904,"周转打冷"),2))</f>
        <v/>
      </c>
      <c r="D931" s="41" t="str">
        <f aca="false">IF($B931="","",ROUND(SUMIFS($K$5:$K$904,$B$5:$B$904,$B931,$D$5:$D$904,"仓储加工"),2))</f>
        <v/>
      </c>
      <c r="E931" s="41" t="str">
        <f aca="false">IF($B931="","",ROUND(SUMIFS($K$5:$K$904,$B$5:$B$904,$B931,$D$5:$D$904,"装卸费"),2))</f>
        <v/>
      </c>
      <c r="F931" s="41" t="str">
        <f aca="false">IF($B931="","",ROUND(N($C931)+N($D931)+N($E931),2))</f>
        <v/>
      </c>
      <c r="G931" s="51" t="str">
        <f aca="false">IF($B931="","",SUMIFS($E$5:$E$904,$B$5:$B$904,$B931,$D$5:$D$904,"周转打冷"))</f>
        <v/>
      </c>
      <c r="H931" s="51" t="str">
        <f aca="false">IF($B931="","",SUMIFS($E$5:$E$904,$B$5:$B$904,$B931,$D$5:$D$904,"仓储加工"))</f>
        <v/>
      </c>
      <c r="I931" s="51" t="str">
        <f aca="false">IF($B931="","",N($G931)+N($H931))</f>
        <v/>
      </c>
      <c r="J931" s="52" t="str">
        <f aca="false">IF($B931="","",ROUND(SUMIFS($G$5:$G$904,$B$5:$B$904,$B931,$D$5:$D$904,"周转打冷")+SUMIFS($G$5:$G$904,$B$5:$B$904,$B931,$D$5:$D$904,"仓储加工"),3))</f>
        <v/>
      </c>
      <c r="K931" s="51" t="str">
        <f aca="false">IF($B931="","",COUNTIFS($B$5:$B$904,$B931,$I$5:$I$904,"")+COUNTIFS($B$5:$B$904,$B931,$I$5:$I$904,0))</f>
        <v/>
      </c>
      <c r="L931" s="39" t="str">
        <f aca="false">IF($B931="","",IF(N($K931)&gt;0,"⚠ 有 "&amp;N($K931)&amp;" 行还没填单价","✔ 已全部定价"))</f>
        <v/>
      </c>
    </row>
    <row r="932" customFormat="false" ht="13.5" hidden="false" customHeight="false" outlineLevel="0" collapsed="false">
      <c r="A932" s="40" t="str">
        <f aca="false">IF($B932="","",ROW()-908)</f>
        <v/>
      </c>
      <c r="B932" s="39" t="str">
        <f aca="false">IFERROR(INDEX($U$5:$U$124,ROW()-908),"")</f>
        <v/>
      </c>
      <c r="C932" s="41" t="str">
        <f aca="false">IF($B932="","",ROUND(SUMIFS($K$5:$K$904,$B$5:$B$904,$B932,$D$5:$D$904,"周转打冷"),2))</f>
        <v/>
      </c>
      <c r="D932" s="41" t="str">
        <f aca="false">IF($B932="","",ROUND(SUMIFS($K$5:$K$904,$B$5:$B$904,$B932,$D$5:$D$904,"仓储加工"),2))</f>
        <v/>
      </c>
      <c r="E932" s="41" t="str">
        <f aca="false">IF($B932="","",ROUND(SUMIFS($K$5:$K$904,$B$5:$B$904,$B932,$D$5:$D$904,"装卸费"),2))</f>
        <v/>
      </c>
      <c r="F932" s="41" t="str">
        <f aca="false">IF($B932="","",ROUND(N($C932)+N($D932)+N($E932),2))</f>
        <v/>
      </c>
      <c r="G932" s="51" t="str">
        <f aca="false">IF($B932="","",SUMIFS($E$5:$E$904,$B$5:$B$904,$B932,$D$5:$D$904,"周转打冷"))</f>
        <v/>
      </c>
      <c r="H932" s="51" t="str">
        <f aca="false">IF($B932="","",SUMIFS($E$5:$E$904,$B$5:$B$904,$B932,$D$5:$D$904,"仓储加工"))</f>
        <v/>
      </c>
      <c r="I932" s="51" t="str">
        <f aca="false">IF($B932="","",N($G932)+N($H932))</f>
        <v/>
      </c>
      <c r="J932" s="52" t="str">
        <f aca="false">IF($B932="","",ROUND(SUMIFS($G$5:$G$904,$B$5:$B$904,$B932,$D$5:$D$904,"周转打冷")+SUMIFS($G$5:$G$904,$B$5:$B$904,$B932,$D$5:$D$904,"仓储加工"),3))</f>
        <v/>
      </c>
      <c r="K932" s="51" t="str">
        <f aca="false">IF($B932="","",COUNTIFS($B$5:$B$904,$B932,$I$5:$I$904,"")+COUNTIFS($B$5:$B$904,$B932,$I$5:$I$904,0))</f>
        <v/>
      </c>
      <c r="L932" s="39" t="str">
        <f aca="false">IF($B932="","",IF(N($K932)&gt;0,"⚠ 有 "&amp;N($K932)&amp;" 行还没填单价","✔ 已全部定价"))</f>
        <v/>
      </c>
    </row>
    <row r="933" customFormat="false" ht="13.5" hidden="false" customHeight="false" outlineLevel="0" collapsed="false">
      <c r="A933" s="40" t="str">
        <f aca="false">IF($B933="","",ROW()-908)</f>
        <v/>
      </c>
      <c r="B933" s="39" t="str">
        <f aca="false">IFERROR(INDEX($U$5:$U$124,ROW()-908),"")</f>
        <v/>
      </c>
      <c r="C933" s="41" t="str">
        <f aca="false">IF($B933="","",ROUND(SUMIFS($K$5:$K$904,$B$5:$B$904,$B933,$D$5:$D$904,"周转打冷"),2))</f>
        <v/>
      </c>
      <c r="D933" s="41" t="str">
        <f aca="false">IF($B933="","",ROUND(SUMIFS($K$5:$K$904,$B$5:$B$904,$B933,$D$5:$D$904,"仓储加工"),2))</f>
        <v/>
      </c>
      <c r="E933" s="41" t="str">
        <f aca="false">IF($B933="","",ROUND(SUMIFS($K$5:$K$904,$B$5:$B$904,$B933,$D$5:$D$904,"装卸费"),2))</f>
        <v/>
      </c>
      <c r="F933" s="41" t="str">
        <f aca="false">IF($B933="","",ROUND(N($C933)+N($D933)+N($E933),2))</f>
        <v/>
      </c>
      <c r="G933" s="51" t="str">
        <f aca="false">IF($B933="","",SUMIFS($E$5:$E$904,$B$5:$B$904,$B933,$D$5:$D$904,"周转打冷"))</f>
        <v/>
      </c>
      <c r="H933" s="51" t="str">
        <f aca="false">IF($B933="","",SUMIFS($E$5:$E$904,$B$5:$B$904,$B933,$D$5:$D$904,"仓储加工"))</f>
        <v/>
      </c>
      <c r="I933" s="51" t="str">
        <f aca="false">IF($B933="","",N($G933)+N($H933))</f>
        <v/>
      </c>
      <c r="J933" s="52" t="str">
        <f aca="false">IF($B933="","",ROUND(SUMIFS($G$5:$G$904,$B$5:$B$904,$B933,$D$5:$D$904,"周转打冷")+SUMIFS($G$5:$G$904,$B$5:$B$904,$B933,$D$5:$D$904,"仓储加工"),3))</f>
        <v/>
      </c>
      <c r="K933" s="51" t="str">
        <f aca="false">IF($B933="","",COUNTIFS($B$5:$B$904,$B933,$I$5:$I$904,"")+COUNTIFS($B$5:$B$904,$B933,$I$5:$I$904,0))</f>
        <v/>
      </c>
      <c r="L933" s="39" t="str">
        <f aca="false">IF($B933="","",IF(N($K933)&gt;0,"⚠ 有 "&amp;N($K933)&amp;" 行还没填单价","✔ 已全部定价"))</f>
        <v/>
      </c>
    </row>
    <row r="934" customFormat="false" ht="13.5" hidden="false" customHeight="false" outlineLevel="0" collapsed="false">
      <c r="A934" s="40" t="str">
        <f aca="false">IF($B934="","",ROW()-908)</f>
        <v/>
      </c>
      <c r="B934" s="39" t="str">
        <f aca="false">IFERROR(INDEX($U$5:$U$124,ROW()-908),"")</f>
        <v/>
      </c>
      <c r="C934" s="41" t="str">
        <f aca="false">IF($B934="","",ROUND(SUMIFS($K$5:$K$904,$B$5:$B$904,$B934,$D$5:$D$904,"周转打冷"),2))</f>
        <v/>
      </c>
      <c r="D934" s="41" t="str">
        <f aca="false">IF($B934="","",ROUND(SUMIFS($K$5:$K$904,$B$5:$B$904,$B934,$D$5:$D$904,"仓储加工"),2))</f>
        <v/>
      </c>
      <c r="E934" s="41" t="str">
        <f aca="false">IF($B934="","",ROUND(SUMIFS($K$5:$K$904,$B$5:$B$904,$B934,$D$5:$D$904,"装卸费"),2))</f>
        <v/>
      </c>
      <c r="F934" s="41" t="str">
        <f aca="false">IF($B934="","",ROUND(N($C934)+N($D934)+N($E934),2))</f>
        <v/>
      </c>
      <c r="G934" s="51" t="str">
        <f aca="false">IF($B934="","",SUMIFS($E$5:$E$904,$B$5:$B$904,$B934,$D$5:$D$904,"周转打冷"))</f>
        <v/>
      </c>
      <c r="H934" s="51" t="str">
        <f aca="false">IF($B934="","",SUMIFS($E$5:$E$904,$B$5:$B$904,$B934,$D$5:$D$904,"仓储加工"))</f>
        <v/>
      </c>
      <c r="I934" s="51" t="str">
        <f aca="false">IF($B934="","",N($G934)+N($H934))</f>
        <v/>
      </c>
      <c r="J934" s="52" t="str">
        <f aca="false">IF($B934="","",ROUND(SUMIFS($G$5:$G$904,$B$5:$B$904,$B934,$D$5:$D$904,"周转打冷")+SUMIFS($G$5:$G$904,$B$5:$B$904,$B934,$D$5:$D$904,"仓储加工"),3))</f>
        <v/>
      </c>
      <c r="K934" s="51" t="str">
        <f aca="false">IF($B934="","",COUNTIFS($B$5:$B$904,$B934,$I$5:$I$904,"")+COUNTIFS($B$5:$B$904,$B934,$I$5:$I$904,0))</f>
        <v/>
      </c>
      <c r="L934" s="39" t="str">
        <f aca="false">IF($B934="","",IF(N($K934)&gt;0,"⚠ 有 "&amp;N($K934)&amp;" 行还没填单价","✔ 已全部定价"))</f>
        <v/>
      </c>
    </row>
    <row r="935" customFormat="false" ht="13.5" hidden="false" customHeight="false" outlineLevel="0" collapsed="false">
      <c r="A935" s="40" t="str">
        <f aca="false">IF($B935="","",ROW()-908)</f>
        <v/>
      </c>
      <c r="B935" s="39" t="str">
        <f aca="false">IFERROR(INDEX($U$5:$U$124,ROW()-908),"")</f>
        <v/>
      </c>
      <c r="C935" s="41" t="str">
        <f aca="false">IF($B935="","",ROUND(SUMIFS($K$5:$K$904,$B$5:$B$904,$B935,$D$5:$D$904,"周转打冷"),2))</f>
        <v/>
      </c>
      <c r="D935" s="41" t="str">
        <f aca="false">IF($B935="","",ROUND(SUMIFS($K$5:$K$904,$B$5:$B$904,$B935,$D$5:$D$904,"仓储加工"),2))</f>
        <v/>
      </c>
      <c r="E935" s="41" t="str">
        <f aca="false">IF($B935="","",ROUND(SUMIFS($K$5:$K$904,$B$5:$B$904,$B935,$D$5:$D$904,"装卸费"),2))</f>
        <v/>
      </c>
      <c r="F935" s="41" t="str">
        <f aca="false">IF($B935="","",ROUND(N($C935)+N($D935)+N($E935),2))</f>
        <v/>
      </c>
      <c r="G935" s="51" t="str">
        <f aca="false">IF($B935="","",SUMIFS($E$5:$E$904,$B$5:$B$904,$B935,$D$5:$D$904,"周转打冷"))</f>
        <v/>
      </c>
      <c r="H935" s="51" t="str">
        <f aca="false">IF($B935="","",SUMIFS($E$5:$E$904,$B$5:$B$904,$B935,$D$5:$D$904,"仓储加工"))</f>
        <v/>
      </c>
      <c r="I935" s="51" t="str">
        <f aca="false">IF($B935="","",N($G935)+N($H935))</f>
        <v/>
      </c>
      <c r="J935" s="52" t="str">
        <f aca="false">IF($B935="","",ROUND(SUMIFS($G$5:$G$904,$B$5:$B$904,$B935,$D$5:$D$904,"周转打冷")+SUMIFS($G$5:$G$904,$B$5:$B$904,$B935,$D$5:$D$904,"仓储加工"),3))</f>
        <v/>
      </c>
      <c r="K935" s="51" t="str">
        <f aca="false">IF($B935="","",COUNTIFS($B$5:$B$904,$B935,$I$5:$I$904,"")+COUNTIFS($B$5:$B$904,$B935,$I$5:$I$904,0))</f>
        <v/>
      </c>
      <c r="L935" s="39" t="str">
        <f aca="false">IF($B935="","",IF(N($K935)&gt;0,"⚠ 有 "&amp;N($K935)&amp;" 行还没填单价","✔ 已全部定价"))</f>
        <v/>
      </c>
    </row>
    <row r="936" customFormat="false" ht="13.5" hidden="false" customHeight="false" outlineLevel="0" collapsed="false">
      <c r="A936" s="40" t="str">
        <f aca="false">IF($B936="","",ROW()-908)</f>
        <v/>
      </c>
      <c r="B936" s="39" t="str">
        <f aca="false">IFERROR(INDEX($U$5:$U$124,ROW()-908),"")</f>
        <v/>
      </c>
      <c r="C936" s="41" t="str">
        <f aca="false">IF($B936="","",ROUND(SUMIFS($K$5:$K$904,$B$5:$B$904,$B936,$D$5:$D$904,"周转打冷"),2))</f>
        <v/>
      </c>
      <c r="D936" s="41" t="str">
        <f aca="false">IF($B936="","",ROUND(SUMIFS($K$5:$K$904,$B$5:$B$904,$B936,$D$5:$D$904,"仓储加工"),2))</f>
        <v/>
      </c>
      <c r="E936" s="41" t="str">
        <f aca="false">IF($B936="","",ROUND(SUMIFS($K$5:$K$904,$B$5:$B$904,$B936,$D$5:$D$904,"装卸费"),2))</f>
        <v/>
      </c>
      <c r="F936" s="41" t="str">
        <f aca="false">IF($B936="","",ROUND(N($C936)+N($D936)+N($E936),2))</f>
        <v/>
      </c>
      <c r="G936" s="51" t="str">
        <f aca="false">IF($B936="","",SUMIFS($E$5:$E$904,$B$5:$B$904,$B936,$D$5:$D$904,"周转打冷"))</f>
        <v/>
      </c>
      <c r="H936" s="51" t="str">
        <f aca="false">IF($B936="","",SUMIFS($E$5:$E$904,$B$5:$B$904,$B936,$D$5:$D$904,"仓储加工"))</f>
        <v/>
      </c>
      <c r="I936" s="51" t="str">
        <f aca="false">IF($B936="","",N($G936)+N($H936))</f>
        <v/>
      </c>
      <c r="J936" s="52" t="str">
        <f aca="false">IF($B936="","",ROUND(SUMIFS($G$5:$G$904,$B$5:$B$904,$B936,$D$5:$D$904,"周转打冷")+SUMIFS($G$5:$G$904,$B$5:$B$904,$B936,$D$5:$D$904,"仓储加工"),3))</f>
        <v/>
      </c>
      <c r="K936" s="51" t="str">
        <f aca="false">IF($B936="","",COUNTIFS($B$5:$B$904,$B936,$I$5:$I$904,"")+COUNTIFS($B$5:$B$904,$B936,$I$5:$I$904,0))</f>
        <v/>
      </c>
      <c r="L936" s="39" t="str">
        <f aca="false">IF($B936="","",IF(N($K936)&gt;0,"⚠ 有 "&amp;N($K936)&amp;" 行还没填单价","✔ 已全部定价"))</f>
        <v/>
      </c>
    </row>
    <row r="937" customFormat="false" ht="13.5" hidden="false" customHeight="false" outlineLevel="0" collapsed="false">
      <c r="A937" s="40" t="str">
        <f aca="false">IF($B937="","",ROW()-908)</f>
        <v/>
      </c>
      <c r="B937" s="39" t="str">
        <f aca="false">IFERROR(INDEX($U$5:$U$124,ROW()-908),"")</f>
        <v/>
      </c>
      <c r="C937" s="41" t="str">
        <f aca="false">IF($B937="","",ROUND(SUMIFS($K$5:$K$904,$B$5:$B$904,$B937,$D$5:$D$904,"周转打冷"),2))</f>
        <v/>
      </c>
      <c r="D937" s="41" t="str">
        <f aca="false">IF($B937="","",ROUND(SUMIFS($K$5:$K$904,$B$5:$B$904,$B937,$D$5:$D$904,"仓储加工"),2))</f>
        <v/>
      </c>
      <c r="E937" s="41" t="str">
        <f aca="false">IF($B937="","",ROUND(SUMIFS($K$5:$K$904,$B$5:$B$904,$B937,$D$5:$D$904,"装卸费"),2))</f>
        <v/>
      </c>
      <c r="F937" s="41" t="str">
        <f aca="false">IF($B937="","",ROUND(N($C937)+N($D937)+N($E937),2))</f>
        <v/>
      </c>
      <c r="G937" s="51" t="str">
        <f aca="false">IF($B937="","",SUMIFS($E$5:$E$904,$B$5:$B$904,$B937,$D$5:$D$904,"周转打冷"))</f>
        <v/>
      </c>
      <c r="H937" s="51" t="str">
        <f aca="false">IF($B937="","",SUMIFS($E$5:$E$904,$B$5:$B$904,$B937,$D$5:$D$904,"仓储加工"))</f>
        <v/>
      </c>
      <c r="I937" s="51" t="str">
        <f aca="false">IF($B937="","",N($G937)+N($H937))</f>
        <v/>
      </c>
      <c r="J937" s="52" t="str">
        <f aca="false">IF($B937="","",ROUND(SUMIFS($G$5:$G$904,$B$5:$B$904,$B937,$D$5:$D$904,"周转打冷")+SUMIFS($G$5:$G$904,$B$5:$B$904,$B937,$D$5:$D$904,"仓储加工"),3))</f>
        <v/>
      </c>
      <c r="K937" s="51" t="str">
        <f aca="false">IF($B937="","",COUNTIFS($B$5:$B$904,$B937,$I$5:$I$904,"")+COUNTIFS($B$5:$B$904,$B937,$I$5:$I$904,0))</f>
        <v/>
      </c>
      <c r="L937" s="39" t="str">
        <f aca="false">IF($B937="","",IF(N($K937)&gt;0,"⚠ 有 "&amp;N($K937)&amp;" 行还没填单价","✔ 已全部定价"))</f>
        <v/>
      </c>
    </row>
    <row r="938" customFormat="false" ht="13.5" hidden="false" customHeight="false" outlineLevel="0" collapsed="false">
      <c r="A938" s="40" t="str">
        <f aca="false">IF($B938="","",ROW()-908)</f>
        <v/>
      </c>
      <c r="B938" s="39" t="str">
        <f aca="false">IFERROR(INDEX($U$5:$U$124,ROW()-908),"")</f>
        <v/>
      </c>
      <c r="C938" s="41" t="str">
        <f aca="false">IF($B938="","",ROUND(SUMIFS($K$5:$K$904,$B$5:$B$904,$B938,$D$5:$D$904,"周转打冷"),2))</f>
        <v/>
      </c>
      <c r="D938" s="41" t="str">
        <f aca="false">IF($B938="","",ROUND(SUMIFS($K$5:$K$904,$B$5:$B$904,$B938,$D$5:$D$904,"仓储加工"),2))</f>
        <v/>
      </c>
      <c r="E938" s="41" t="str">
        <f aca="false">IF($B938="","",ROUND(SUMIFS($K$5:$K$904,$B$5:$B$904,$B938,$D$5:$D$904,"装卸费"),2))</f>
        <v/>
      </c>
      <c r="F938" s="41" t="str">
        <f aca="false">IF($B938="","",ROUND(N($C938)+N($D938)+N($E938),2))</f>
        <v/>
      </c>
      <c r="G938" s="51" t="str">
        <f aca="false">IF($B938="","",SUMIFS($E$5:$E$904,$B$5:$B$904,$B938,$D$5:$D$904,"周转打冷"))</f>
        <v/>
      </c>
      <c r="H938" s="51" t="str">
        <f aca="false">IF($B938="","",SUMIFS($E$5:$E$904,$B$5:$B$904,$B938,$D$5:$D$904,"仓储加工"))</f>
        <v/>
      </c>
      <c r="I938" s="51" t="str">
        <f aca="false">IF($B938="","",N($G938)+N($H938))</f>
        <v/>
      </c>
      <c r="J938" s="52" t="str">
        <f aca="false">IF($B938="","",ROUND(SUMIFS($G$5:$G$904,$B$5:$B$904,$B938,$D$5:$D$904,"周转打冷")+SUMIFS($G$5:$G$904,$B$5:$B$904,$B938,$D$5:$D$904,"仓储加工"),3))</f>
        <v/>
      </c>
      <c r="K938" s="51" t="str">
        <f aca="false">IF($B938="","",COUNTIFS($B$5:$B$904,$B938,$I$5:$I$904,"")+COUNTIFS($B$5:$B$904,$B938,$I$5:$I$904,0))</f>
        <v/>
      </c>
      <c r="L938" s="39" t="str">
        <f aca="false">IF($B938="","",IF(N($K938)&gt;0,"⚠ 有 "&amp;N($K938)&amp;" 行还没填单价","✔ 已全部定价"))</f>
        <v/>
      </c>
    </row>
    <row r="939" customFormat="false" ht="13.5" hidden="false" customHeight="false" outlineLevel="0" collapsed="false">
      <c r="A939" s="40" t="str">
        <f aca="false">IF($B939="","",ROW()-908)</f>
        <v/>
      </c>
      <c r="B939" s="39" t="str">
        <f aca="false">IFERROR(INDEX($U$5:$U$124,ROW()-908),"")</f>
        <v/>
      </c>
      <c r="C939" s="41" t="str">
        <f aca="false">IF($B939="","",ROUND(SUMIFS($K$5:$K$904,$B$5:$B$904,$B939,$D$5:$D$904,"周转打冷"),2))</f>
        <v/>
      </c>
      <c r="D939" s="41" t="str">
        <f aca="false">IF($B939="","",ROUND(SUMIFS($K$5:$K$904,$B$5:$B$904,$B939,$D$5:$D$904,"仓储加工"),2))</f>
        <v/>
      </c>
      <c r="E939" s="41" t="str">
        <f aca="false">IF($B939="","",ROUND(SUMIFS($K$5:$K$904,$B$5:$B$904,$B939,$D$5:$D$904,"装卸费"),2))</f>
        <v/>
      </c>
      <c r="F939" s="41" t="str">
        <f aca="false">IF($B939="","",ROUND(N($C939)+N($D939)+N($E939),2))</f>
        <v/>
      </c>
      <c r="G939" s="51" t="str">
        <f aca="false">IF($B939="","",SUMIFS($E$5:$E$904,$B$5:$B$904,$B939,$D$5:$D$904,"周转打冷"))</f>
        <v/>
      </c>
      <c r="H939" s="51" t="str">
        <f aca="false">IF($B939="","",SUMIFS($E$5:$E$904,$B$5:$B$904,$B939,$D$5:$D$904,"仓储加工"))</f>
        <v/>
      </c>
      <c r="I939" s="51" t="str">
        <f aca="false">IF($B939="","",N($G939)+N($H939))</f>
        <v/>
      </c>
      <c r="J939" s="52" t="str">
        <f aca="false">IF($B939="","",ROUND(SUMIFS($G$5:$G$904,$B$5:$B$904,$B939,$D$5:$D$904,"周转打冷")+SUMIFS($G$5:$G$904,$B$5:$B$904,$B939,$D$5:$D$904,"仓储加工"),3))</f>
        <v/>
      </c>
      <c r="K939" s="51" t="str">
        <f aca="false">IF($B939="","",COUNTIFS($B$5:$B$904,$B939,$I$5:$I$904,"")+COUNTIFS($B$5:$B$904,$B939,$I$5:$I$904,0))</f>
        <v/>
      </c>
      <c r="L939" s="39" t="str">
        <f aca="false">IF($B939="","",IF(N($K939)&gt;0,"⚠ 有 "&amp;N($K939)&amp;" 行还没填单价","✔ 已全部定价"))</f>
        <v/>
      </c>
    </row>
    <row r="940" customFormat="false" ht="13.5" hidden="false" customHeight="false" outlineLevel="0" collapsed="false">
      <c r="A940" s="40" t="str">
        <f aca="false">IF($B940="","",ROW()-908)</f>
        <v/>
      </c>
      <c r="B940" s="39" t="str">
        <f aca="false">IFERROR(INDEX($U$5:$U$124,ROW()-908),"")</f>
        <v/>
      </c>
      <c r="C940" s="41" t="str">
        <f aca="false">IF($B940="","",ROUND(SUMIFS($K$5:$K$904,$B$5:$B$904,$B940,$D$5:$D$904,"周转打冷"),2))</f>
        <v/>
      </c>
      <c r="D940" s="41" t="str">
        <f aca="false">IF($B940="","",ROUND(SUMIFS($K$5:$K$904,$B$5:$B$904,$B940,$D$5:$D$904,"仓储加工"),2))</f>
        <v/>
      </c>
      <c r="E940" s="41" t="str">
        <f aca="false">IF($B940="","",ROUND(SUMIFS($K$5:$K$904,$B$5:$B$904,$B940,$D$5:$D$904,"装卸费"),2))</f>
        <v/>
      </c>
      <c r="F940" s="41" t="str">
        <f aca="false">IF($B940="","",ROUND(N($C940)+N($D940)+N($E940),2))</f>
        <v/>
      </c>
      <c r="G940" s="51" t="str">
        <f aca="false">IF($B940="","",SUMIFS($E$5:$E$904,$B$5:$B$904,$B940,$D$5:$D$904,"周转打冷"))</f>
        <v/>
      </c>
      <c r="H940" s="51" t="str">
        <f aca="false">IF($B940="","",SUMIFS($E$5:$E$904,$B$5:$B$904,$B940,$D$5:$D$904,"仓储加工"))</f>
        <v/>
      </c>
      <c r="I940" s="51" t="str">
        <f aca="false">IF($B940="","",N($G940)+N($H940))</f>
        <v/>
      </c>
      <c r="J940" s="52" t="str">
        <f aca="false">IF($B940="","",ROUND(SUMIFS($G$5:$G$904,$B$5:$B$904,$B940,$D$5:$D$904,"周转打冷")+SUMIFS($G$5:$G$904,$B$5:$B$904,$B940,$D$5:$D$904,"仓储加工"),3))</f>
        <v/>
      </c>
      <c r="K940" s="51" t="str">
        <f aca="false">IF($B940="","",COUNTIFS($B$5:$B$904,$B940,$I$5:$I$904,"")+COUNTIFS($B$5:$B$904,$B940,$I$5:$I$904,0))</f>
        <v/>
      </c>
      <c r="L940" s="39" t="str">
        <f aca="false">IF($B940="","",IF(N($K940)&gt;0,"⚠ 有 "&amp;N($K940)&amp;" 行还没填单价","✔ 已全部定价"))</f>
        <v/>
      </c>
    </row>
    <row r="941" customFormat="false" ht="13.5" hidden="false" customHeight="false" outlineLevel="0" collapsed="false">
      <c r="A941" s="40" t="str">
        <f aca="false">IF($B941="","",ROW()-908)</f>
        <v/>
      </c>
      <c r="B941" s="39" t="str">
        <f aca="false">IFERROR(INDEX($U$5:$U$124,ROW()-908),"")</f>
        <v/>
      </c>
      <c r="C941" s="41" t="str">
        <f aca="false">IF($B941="","",ROUND(SUMIFS($K$5:$K$904,$B$5:$B$904,$B941,$D$5:$D$904,"周转打冷"),2))</f>
        <v/>
      </c>
      <c r="D941" s="41" t="str">
        <f aca="false">IF($B941="","",ROUND(SUMIFS($K$5:$K$904,$B$5:$B$904,$B941,$D$5:$D$904,"仓储加工"),2))</f>
        <v/>
      </c>
      <c r="E941" s="41" t="str">
        <f aca="false">IF($B941="","",ROUND(SUMIFS($K$5:$K$904,$B$5:$B$904,$B941,$D$5:$D$904,"装卸费"),2))</f>
        <v/>
      </c>
      <c r="F941" s="41" t="str">
        <f aca="false">IF($B941="","",ROUND(N($C941)+N($D941)+N($E941),2))</f>
        <v/>
      </c>
      <c r="G941" s="51" t="str">
        <f aca="false">IF($B941="","",SUMIFS($E$5:$E$904,$B$5:$B$904,$B941,$D$5:$D$904,"周转打冷"))</f>
        <v/>
      </c>
      <c r="H941" s="51" t="str">
        <f aca="false">IF($B941="","",SUMIFS($E$5:$E$904,$B$5:$B$904,$B941,$D$5:$D$904,"仓储加工"))</f>
        <v/>
      </c>
      <c r="I941" s="51" t="str">
        <f aca="false">IF($B941="","",N($G941)+N($H941))</f>
        <v/>
      </c>
      <c r="J941" s="52" t="str">
        <f aca="false">IF($B941="","",ROUND(SUMIFS($G$5:$G$904,$B$5:$B$904,$B941,$D$5:$D$904,"周转打冷")+SUMIFS($G$5:$G$904,$B$5:$B$904,$B941,$D$5:$D$904,"仓储加工"),3))</f>
        <v/>
      </c>
      <c r="K941" s="51" t="str">
        <f aca="false">IF($B941="","",COUNTIFS($B$5:$B$904,$B941,$I$5:$I$904,"")+COUNTIFS($B$5:$B$904,$B941,$I$5:$I$904,0))</f>
        <v/>
      </c>
      <c r="L941" s="39" t="str">
        <f aca="false">IF($B941="","",IF(N($K941)&gt;0,"⚠ 有 "&amp;N($K941)&amp;" 行还没填单价","✔ 已全部定价"))</f>
        <v/>
      </c>
    </row>
    <row r="942" customFormat="false" ht="13.5" hidden="false" customHeight="false" outlineLevel="0" collapsed="false">
      <c r="A942" s="40" t="str">
        <f aca="false">IF($B942="","",ROW()-908)</f>
        <v/>
      </c>
      <c r="B942" s="39" t="str">
        <f aca="false">IFERROR(INDEX($U$5:$U$124,ROW()-908),"")</f>
        <v/>
      </c>
      <c r="C942" s="41" t="str">
        <f aca="false">IF($B942="","",ROUND(SUMIFS($K$5:$K$904,$B$5:$B$904,$B942,$D$5:$D$904,"周转打冷"),2))</f>
        <v/>
      </c>
      <c r="D942" s="41" t="str">
        <f aca="false">IF($B942="","",ROUND(SUMIFS($K$5:$K$904,$B$5:$B$904,$B942,$D$5:$D$904,"仓储加工"),2))</f>
        <v/>
      </c>
      <c r="E942" s="41" t="str">
        <f aca="false">IF($B942="","",ROUND(SUMIFS($K$5:$K$904,$B$5:$B$904,$B942,$D$5:$D$904,"装卸费"),2))</f>
        <v/>
      </c>
      <c r="F942" s="41" t="str">
        <f aca="false">IF($B942="","",ROUND(N($C942)+N($D942)+N($E942),2))</f>
        <v/>
      </c>
      <c r="G942" s="51" t="str">
        <f aca="false">IF($B942="","",SUMIFS($E$5:$E$904,$B$5:$B$904,$B942,$D$5:$D$904,"周转打冷"))</f>
        <v/>
      </c>
      <c r="H942" s="51" t="str">
        <f aca="false">IF($B942="","",SUMIFS($E$5:$E$904,$B$5:$B$904,$B942,$D$5:$D$904,"仓储加工"))</f>
        <v/>
      </c>
      <c r="I942" s="51" t="str">
        <f aca="false">IF($B942="","",N($G942)+N($H942))</f>
        <v/>
      </c>
      <c r="J942" s="52" t="str">
        <f aca="false">IF($B942="","",ROUND(SUMIFS($G$5:$G$904,$B$5:$B$904,$B942,$D$5:$D$904,"周转打冷")+SUMIFS($G$5:$G$904,$B$5:$B$904,$B942,$D$5:$D$904,"仓储加工"),3))</f>
        <v/>
      </c>
      <c r="K942" s="51" t="str">
        <f aca="false">IF($B942="","",COUNTIFS($B$5:$B$904,$B942,$I$5:$I$904,"")+COUNTIFS($B$5:$B$904,$B942,$I$5:$I$904,0))</f>
        <v/>
      </c>
      <c r="L942" s="39" t="str">
        <f aca="false">IF($B942="","",IF(N($K942)&gt;0,"⚠ 有 "&amp;N($K942)&amp;" 行还没填单价","✔ 已全部定价"))</f>
        <v/>
      </c>
    </row>
    <row r="943" customFormat="false" ht="13.5" hidden="false" customHeight="false" outlineLevel="0" collapsed="false">
      <c r="A943" s="40" t="str">
        <f aca="false">IF($B943="","",ROW()-908)</f>
        <v/>
      </c>
      <c r="B943" s="39" t="str">
        <f aca="false">IFERROR(INDEX($U$5:$U$124,ROW()-908),"")</f>
        <v/>
      </c>
      <c r="C943" s="41" t="str">
        <f aca="false">IF($B943="","",ROUND(SUMIFS($K$5:$K$904,$B$5:$B$904,$B943,$D$5:$D$904,"周转打冷"),2))</f>
        <v/>
      </c>
      <c r="D943" s="41" t="str">
        <f aca="false">IF($B943="","",ROUND(SUMIFS($K$5:$K$904,$B$5:$B$904,$B943,$D$5:$D$904,"仓储加工"),2))</f>
        <v/>
      </c>
      <c r="E943" s="41" t="str">
        <f aca="false">IF($B943="","",ROUND(SUMIFS($K$5:$K$904,$B$5:$B$904,$B943,$D$5:$D$904,"装卸费"),2))</f>
        <v/>
      </c>
      <c r="F943" s="41" t="str">
        <f aca="false">IF($B943="","",ROUND(N($C943)+N($D943)+N($E943),2))</f>
        <v/>
      </c>
      <c r="G943" s="51" t="str">
        <f aca="false">IF($B943="","",SUMIFS($E$5:$E$904,$B$5:$B$904,$B943,$D$5:$D$904,"周转打冷"))</f>
        <v/>
      </c>
      <c r="H943" s="51" t="str">
        <f aca="false">IF($B943="","",SUMIFS($E$5:$E$904,$B$5:$B$904,$B943,$D$5:$D$904,"仓储加工"))</f>
        <v/>
      </c>
      <c r="I943" s="51" t="str">
        <f aca="false">IF($B943="","",N($G943)+N($H943))</f>
        <v/>
      </c>
      <c r="J943" s="52" t="str">
        <f aca="false">IF($B943="","",ROUND(SUMIFS($G$5:$G$904,$B$5:$B$904,$B943,$D$5:$D$904,"周转打冷")+SUMIFS($G$5:$G$904,$B$5:$B$904,$B943,$D$5:$D$904,"仓储加工"),3))</f>
        <v/>
      </c>
      <c r="K943" s="51" t="str">
        <f aca="false">IF($B943="","",COUNTIFS($B$5:$B$904,$B943,$I$5:$I$904,"")+COUNTIFS($B$5:$B$904,$B943,$I$5:$I$904,0))</f>
        <v/>
      </c>
      <c r="L943" s="39" t="str">
        <f aca="false">IF($B943="","",IF(N($K943)&gt;0,"⚠ 有 "&amp;N($K943)&amp;" 行还没填单价","✔ 已全部定价"))</f>
        <v/>
      </c>
    </row>
    <row r="944" customFormat="false" ht="13.5" hidden="false" customHeight="false" outlineLevel="0" collapsed="false">
      <c r="A944" s="40" t="str">
        <f aca="false">IF($B944="","",ROW()-908)</f>
        <v/>
      </c>
      <c r="B944" s="39" t="str">
        <f aca="false">IFERROR(INDEX($U$5:$U$124,ROW()-908),"")</f>
        <v/>
      </c>
      <c r="C944" s="41" t="str">
        <f aca="false">IF($B944="","",ROUND(SUMIFS($K$5:$K$904,$B$5:$B$904,$B944,$D$5:$D$904,"周转打冷"),2))</f>
        <v/>
      </c>
      <c r="D944" s="41" t="str">
        <f aca="false">IF($B944="","",ROUND(SUMIFS($K$5:$K$904,$B$5:$B$904,$B944,$D$5:$D$904,"仓储加工"),2))</f>
        <v/>
      </c>
      <c r="E944" s="41" t="str">
        <f aca="false">IF($B944="","",ROUND(SUMIFS($K$5:$K$904,$B$5:$B$904,$B944,$D$5:$D$904,"装卸费"),2))</f>
        <v/>
      </c>
      <c r="F944" s="41" t="str">
        <f aca="false">IF($B944="","",ROUND(N($C944)+N($D944)+N($E944),2))</f>
        <v/>
      </c>
      <c r="G944" s="51" t="str">
        <f aca="false">IF($B944="","",SUMIFS($E$5:$E$904,$B$5:$B$904,$B944,$D$5:$D$904,"周转打冷"))</f>
        <v/>
      </c>
      <c r="H944" s="51" t="str">
        <f aca="false">IF($B944="","",SUMIFS($E$5:$E$904,$B$5:$B$904,$B944,$D$5:$D$904,"仓储加工"))</f>
        <v/>
      </c>
      <c r="I944" s="51" t="str">
        <f aca="false">IF($B944="","",N($G944)+N($H944))</f>
        <v/>
      </c>
      <c r="J944" s="52" t="str">
        <f aca="false">IF($B944="","",ROUND(SUMIFS($G$5:$G$904,$B$5:$B$904,$B944,$D$5:$D$904,"周转打冷")+SUMIFS($G$5:$G$904,$B$5:$B$904,$B944,$D$5:$D$904,"仓储加工"),3))</f>
        <v/>
      </c>
      <c r="K944" s="51" t="str">
        <f aca="false">IF($B944="","",COUNTIFS($B$5:$B$904,$B944,$I$5:$I$904,"")+COUNTIFS($B$5:$B$904,$B944,$I$5:$I$904,0))</f>
        <v/>
      </c>
      <c r="L944" s="39" t="str">
        <f aca="false">IF($B944="","",IF(N($K944)&gt;0,"⚠ 有 "&amp;N($K944)&amp;" 行还没填单价","✔ 已全部定价"))</f>
        <v/>
      </c>
    </row>
    <row r="945" customFormat="false" ht="13.5" hidden="false" customHeight="false" outlineLevel="0" collapsed="false">
      <c r="A945" s="40" t="str">
        <f aca="false">IF($B945="","",ROW()-908)</f>
        <v/>
      </c>
      <c r="B945" s="39" t="str">
        <f aca="false">IFERROR(INDEX($U$5:$U$124,ROW()-908),"")</f>
        <v/>
      </c>
      <c r="C945" s="41" t="str">
        <f aca="false">IF($B945="","",ROUND(SUMIFS($K$5:$K$904,$B$5:$B$904,$B945,$D$5:$D$904,"周转打冷"),2))</f>
        <v/>
      </c>
      <c r="D945" s="41" t="str">
        <f aca="false">IF($B945="","",ROUND(SUMIFS($K$5:$K$904,$B$5:$B$904,$B945,$D$5:$D$904,"仓储加工"),2))</f>
        <v/>
      </c>
      <c r="E945" s="41" t="str">
        <f aca="false">IF($B945="","",ROUND(SUMIFS($K$5:$K$904,$B$5:$B$904,$B945,$D$5:$D$904,"装卸费"),2))</f>
        <v/>
      </c>
      <c r="F945" s="41" t="str">
        <f aca="false">IF($B945="","",ROUND(N($C945)+N($D945)+N($E945),2))</f>
        <v/>
      </c>
      <c r="G945" s="51" t="str">
        <f aca="false">IF($B945="","",SUMIFS($E$5:$E$904,$B$5:$B$904,$B945,$D$5:$D$904,"周转打冷"))</f>
        <v/>
      </c>
      <c r="H945" s="51" t="str">
        <f aca="false">IF($B945="","",SUMIFS($E$5:$E$904,$B$5:$B$904,$B945,$D$5:$D$904,"仓储加工"))</f>
        <v/>
      </c>
      <c r="I945" s="51" t="str">
        <f aca="false">IF($B945="","",N($G945)+N($H945))</f>
        <v/>
      </c>
      <c r="J945" s="52" t="str">
        <f aca="false">IF($B945="","",ROUND(SUMIFS($G$5:$G$904,$B$5:$B$904,$B945,$D$5:$D$904,"周转打冷")+SUMIFS($G$5:$G$904,$B$5:$B$904,$B945,$D$5:$D$904,"仓储加工"),3))</f>
        <v/>
      </c>
      <c r="K945" s="51" t="str">
        <f aca="false">IF($B945="","",COUNTIFS($B$5:$B$904,$B945,$I$5:$I$904,"")+COUNTIFS($B$5:$B$904,$B945,$I$5:$I$904,0))</f>
        <v/>
      </c>
      <c r="L945" s="39" t="str">
        <f aca="false">IF($B945="","",IF(N($K945)&gt;0,"⚠ 有 "&amp;N($K945)&amp;" 行还没填单价","✔ 已全部定价"))</f>
        <v/>
      </c>
    </row>
    <row r="946" customFormat="false" ht="13.5" hidden="false" customHeight="false" outlineLevel="0" collapsed="false">
      <c r="A946" s="40" t="str">
        <f aca="false">IF($B946="","",ROW()-908)</f>
        <v/>
      </c>
      <c r="B946" s="39" t="str">
        <f aca="false">IFERROR(INDEX($U$5:$U$124,ROW()-908),"")</f>
        <v/>
      </c>
      <c r="C946" s="41" t="str">
        <f aca="false">IF($B946="","",ROUND(SUMIFS($K$5:$K$904,$B$5:$B$904,$B946,$D$5:$D$904,"周转打冷"),2))</f>
        <v/>
      </c>
      <c r="D946" s="41" t="str">
        <f aca="false">IF($B946="","",ROUND(SUMIFS($K$5:$K$904,$B$5:$B$904,$B946,$D$5:$D$904,"仓储加工"),2))</f>
        <v/>
      </c>
      <c r="E946" s="41" t="str">
        <f aca="false">IF($B946="","",ROUND(SUMIFS($K$5:$K$904,$B$5:$B$904,$B946,$D$5:$D$904,"装卸费"),2))</f>
        <v/>
      </c>
      <c r="F946" s="41" t="str">
        <f aca="false">IF($B946="","",ROUND(N($C946)+N($D946)+N($E946),2))</f>
        <v/>
      </c>
      <c r="G946" s="51" t="str">
        <f aca="false">IF($B946="","",SUMIFS($E$5:$E$904,$B$5:$B$904,$B946,$D$5:$D$904,"周转打冷"))</f>
        <v/>
      </c>
      <c r="H946" s="51" t="str">
        <f aca="false">IF($B946="","",SUMIFS($E$5:$E$904,$B$5:$B$904,$B946,$D$5:$D$904,"仓储加工"))</f>
        <v/>
      </c>
      <c r="I946" s="51" t="str">
        <f aca="false">IF($B946="","",N($G946)+N($H946))</f>
        <v/>
      </c>
      <c r="J946" s="52" t="str">
        <f aca="false">IF($B946="","",ROUND(SUMIFS($G$5:$G$904,$B$5:$B$904,$B946,$D$5:$D$904,"周转打冷")+SUMIFS($G$5:$G$904,$B$5:$B$904,$B946,$D$5:$D$904,"仓储加工"),3))</f>
        <v/>
      </c>
      <c r="K946" s="51" t="str">
        <f aca="false">IF($B946="","",COUNTIFS($B$5:$B$904,$B946,$I$5:$I$904,"")+COUNTIFS($B$5:$B$904,$B946,$I$5:$I$904,0))</f>
        <v/>
      </c>
      <c r="L946" s="39" t="str">
        <f aca="false">IF($B946="","",IF(N($K946)&gt;0,"⚠ 有 "&amp;N($K946)&amp;" 行还没填单价","✔ 已全部定价"))</f>
        <v/>
      </c>
    </row>
    <row r="947" customFormat="false" ht="13.5" hidden="false" customHeight="false" outlineLevel="0" collapsed="false">
      <c r="A947" s="40" t="str">
        <f aca="false">IF($B947="","",ROW()-908)</f>
        <v/>
      </c>
      <c r="B947" s="39" t="str">
        <f aca="false">IFERROR(INDEX($U$5:$U$124,ROW()-908),"")</f>
        <v/>
      </c>
      <c r="C947" s="41" t="str">
        <f aca="false">IF($B947="","",ROUND(SUMIFS($K$5:$K$904,$B$5:$B$904,$B947,$D$5:$D$904,"周转打冷"),2))</f>
        <v/>
      </c>
      <c r="D947" s="41" t="str">
        <f aca="false">IF($B947="","",ROUND(SUMIFS($K$5:$K$904,$B$5:$B$904,$B947,$D$5:$D$904,"仓储加工"),2))</f>
        <v/>
      </c>
      <c r="E947" s="41" t="str">
        <f aca="false">IF($B947="","",ROUND(SUMIFS($K$5:$K$904,$B$5:$B$904,$B947,$D$5:$D$904,"装卸费"),2))</f>
        <v/>
      </c>
      <c r="F947" s="41" t="str">
        <f aca="false">IF($B947="","",ROUND(N($C947)+N($D947)+N($E947),2))</f>
        <v/>
      </c>
      <c r="G947" s="51" t="str">
        <f aca="false">IF($B947="","",SUMIFS($E$5:$E$904,$B$5:$B$904,$B947,$D$5:$D$904,"周转打冷"))</f>
        <v/>
      </c>
      <c r="H947" s="51" t="str">
        <f aca="false">IF($B947="","",SUMIFS($E$5:$E$904,$B$5:$B$904,$B947,$D$5:$D$904,"仓储加工"))</f>
        <v/>
      </c>
      <c r="I947" s="51" t="str">
        <f aca="false">IF($B947="","",N($G947)+N($H947))</f>
        <v/>
      </c>
      <c r="J947" s="52" t="str">
        <f aca="false">IF($B947="","",ROUND(SUMIFS($G$5:$G$904,$B$5:$B$904,$B947,$D$5:$D$904,"周转打冷")+SUMIFS($G$5:$G$904,$B$5:$B$904,$B947,$D$5:$D$904,"仓储加工"),3))</f>
        <v/>
      </c>
      <c r="K947" s="51" t="str">
        <f aca="false">IF($B947="","",COUNTIFS($B$5:$B$904,$B947,$I$5:$I$904,"")+COUNTIFS($B$5:$B$904,$B947,$I$5:$I$904,0))</f>
        <v/>
      </c>
      <c r="L947" s="39" t="str">
        <f aca="false">IF($B947="","",IF(N($K947)&gt;0,"⚠ 有 "&amp;N($K947)&amp;" 行还没填单价","✔ 已全部定价"))</f>
        <v/>
      </c>
    </row>
    <row r="948" customFormat="false" ht="13.5" hidden="false" customHeight="false" outlineLevel="0" collapsed="false">
      <c r="A948" s="40" t="str">
        <f aca="false">IF($B948="","",ROW()-908)</f>
        <v/>
      </c>
      <c r="B948" s="39" t="str">
        <f aca="false">IFERROR(INDEX($U$5:$U$124,ROW()-908),"")</f>
        <v/>
      </c>
      <c r="C948" s="41" t="str">
        <f aca="false">IF($B948="","",ROUND(SUMIFS($K$5:$K$904,$B$5:$B$904,$B948,$D$5:$D$904,"周转打冷"),2))</f>
        <v/>
      </c>
      <c r="D948" s="41" t="str">
        <f aca="false">IF($B948="","",ROUND(SUMIFS($K$5:$K$904,$B$5:$B$904,$B948,$D$5:$D$904,"仓储加工"),2))</f>
        <v/>
      </c>
      <c r="E948" s="41" t="str">
        <f aca="false">IF($B948="","",ROUND(SUMIFS($K$5:$K$904,$B$5:$B$904,$B948,$D$5:$D$904,"装卸费"),2))</f>
        <v/>
      </c>
      <c r="F948" s="41" t="str">
        <f aca="false">IF($B948="","",ROUND(N($C948)+N($D948)+N($E948),2))</f>
        <v/>
      </c>
      <c r="G948" s="51" t="str">
        <f aca="false">IF($B948="","",SUMIFS($E$5:$E$904,$B$5:$B$904,$B948,$D$5:$D$904,"周转打冷"))</f>
        <v/>
      </c>
      <c r="H948" s="51" t="str">
        <f aca="false">IF($B948="","",SUMIFS($E$5:$E$904,$B$5:$B$904,$B948,$D$5:$D$904,"仓储加工"))</f>
        <v/>
      </c>
      <c r="I948" s="51" t="str">
        <f aca="false">IF($B948="","",N($G948)+N($H948))</f>
        <v/>
      </c>
      <c r="J948" s="52" t="str">
        <f aca="false">IF($B948="","",ROUND(SUMIFS($G$5:$G$904,$B$5:$B$904,$B948,$D$5:$D$904,"周转打冷")+SUMIFS($G$5:$G$904,$B$5:$B$904,$B948,$D$5:$D$904,"仓储加工"),3))</f>
        <v/>
      </c>
      <c r="K948" s="51" t="str">
        <f aca="false">IF($B948="","",COUNTIFS($B$5:$B$904,$B948,$I$5:$I$904,"")+COUNTIFS($B$5:$B$904,$B948,$I$5:$I$904,0))</f>
        <v/>
      </c>
      <c r="L948" s="39" t="str">
        <f aca="false">IF($B948="","",IF(N($K948)&gt;0,"⚠ 有 "&amp;N($K948)&amp;" 行还没填单价","✔ 已全部定价"))</f>
        <v/>
      </c>
    </row>
    <row r="949" customFormat="false" ht="13.5" hidden="false" customHeight="false" outlineLevel="0" collapsed="false">
      <c r="A949" s="40" t="str">
        <f aca="false">IF($B949="","",ROW()-908)</f>
        <v/>
      </c>
      <c r="B949" s="39" t="str">
        <f aca="false">IFERROR(INDEX($U$5:$U$124,ROW()-908),"")</f>
        <v/>
      </c>
      <c r="C949" s="41" t="str">
        <f aca="false">IF($B949="","",ROUND(SUMIFS($K$5:$K$904,$B$5:$B$904,$B949,$D$5:$D$904,"周转打冷"),2))</f>
        <v/>
      </c>
      <c r="D949" s="41" t="str">
        <f aca="false">IF($B949="","",ROUND(SUMIFS($K$5:$K$904,$B$5:$B$904,$B949,$D$5:$D$904,"仓储加工"),2))</f>
        <v/>
      </c>
      <c r="E949" s="41" t="str">
        <f aca="false">IF($B949="","",ROUND(SUMIFS($K$5:$K$904,$B$5:$B$904,$B949,$D$5:$D$904,"装卸费"),2))</f>
        <v/>
      </c>
      <c r="F949" s="41" t="str">
        <f aca="false">IF($B949="","",ROUND(N($C949)+N($D949)+N($E949),2))</f>
        <v/>
      </c>
      <c r="G949" s="51" t="str">
        <f aca="false">IF($B949="","",SUMIFS($E$5:$E$904,$B$5:$B$904,$B949,$D$5:$D$904,"周转打冷"))</f>
        <v/>
      </c>
      <c r="H949" s="51" t="str">
        <f aca="false">IF($B949="","",SUMIFS($E$5:$E$904,$B$5:$B$904,$B949,$D$5:$D$904,"仓储加工"))</f>
        <v/>
      </c>
      <c r="I949" s="51" t="str">
        <f aca="false">IF($B949="","",N($G949)+N($H949))</f>
        <v/>
      </c>
      <c r="J949" s="52" t="str">
        <f aca="false">IF($B949="","",ROUND(SUMIFS($G$5:$G$904,$B$5:$B$904,$B949,$D$5:$D$904,"周转打冷")+SUMIFS($G$5:$G$904,$B$5:$B$904,$B949,$D$5:$D$904,"仓储加工"),3))</f>
        <v/>
      </c>
      <c r="K949" s="51" t="str">
        <f aca="false">IF($B949="","",COUNTIFS($B$5:$B$904,$B949,$I$5:$I$904,"")+COUNTIFS($B$5:$B$904,$B949,$I$5:$I$904,0))</f>
        <v/>
      </c>
      <c r="L949" s="39" t="str">
        <f aca="false">IF($B949="","",IF(N($K949)&gt;0,"⚠ 有 "&amp;N($K949)&amp;" 行还没填单价","✔ 已全部定价"))</f>
        <v/>
      </c>
    </row>
    <row r="950" customFormat="false" ht="13.5" hidden="false" customHeight="false" outlineLevel="0" collapsed="false">
      <c r="A950" s="40" t="str">
        <f aca="false">IF($B950="","",ROW()-908)</f>
        <v/>
      </c>
      <c r="B950" s="39" t="str">
        <f aca="false">IFERROR(INDEX($U$5:$U$124,ROW()-908),"")</f>
        <v/>
      </c>
      <c r="C950" s="41" t="str">
        <f aca="false">IF($B950="","",ROUND(SUMIFS($K$5:$K$904,$B$5:$B$904,$B950,$D$5:$D$904,"周转打冷"),2))</f>
        <v/>
      </c>
      <c r="D950" s="41" t="str">
        <f aca="false">IF($B950="","",ROUND(SUMIFS($K$5:$K$904,$B$5:$B$904,$B950,$D$5:$D$904,"仓储加工"),2))</f>
        <v/>
      </c>
      <c r="E950" s="41" t="str">
        <f aca="false">IF($B950="","",ROUND(SUMIFS($K$5:$K$904,$B$5:$B$904,$B950,$D$5:$D$904,"装卸费"),2))</f>
        <v/>
      </c>
      <c r="F950" s="41" t="str">
        <f aca="false">IF($B950="","",ROUND(N($C950)+N($D950)+N($E950),2))</f>
        <v/>
      </c>
      <c r="G950" s="51" t="str">
        <f aca="false">IF($B950="","",SUMIFS($E$5:$E$904,$B$5:$B$904,$B950,$D$5:$D$904,"周转打冷"))</f>
        <v/>
      </c>
      <c r="H950" s="51" t="str">
        <f aca="false">IF($B950="","",SUMIFS($E$5:$E$904,$B$5:$B$904,$B950,$D$5:$D$904,"仓储加工"))</f>
        <v/>
      </c>
      <c r="I950" s="51" t="str">
        <f aca="false">IF($B950="","",N($G950)+N($H950))</f>
        <v/>
      </c>
      <c r="J950" s="52" t="str">
        <f aca="false">IF($B950="","",ROUND(SUMIFS($G$5:$G$904,$B$5:$B$904,$B950,$D$5:$D$904,"周转打冷")+SUMIFS($G$5:$G$904,$B$5:$B$904,$B950,$D$5:$D$904,"仓储加工"),3))</f>
        <v/>
      </c>
      <c r="K950" s="51" t="str">
        <f aca="false">IF($B950="","",COUNTIFS($B$5:$B$904,$B950,$I$5:$I$904,"")+COUNTIFS($B$5:$B$904,$B950,$I$5:$I$904,0))</f>
        <v/>
      </c>
      <c r="L950" s="39" t="str">
        <f aca="false">IF($B950="","",IF(N($K950)&gt;0,"⚠ 有 "&amp;N($K950)&amp;" 行还没填单价","✔ 已全部定价"))</f>
        <v/>
      </c>
    </row>
    <row r="951" customFormat="false" ht="13.5" hidden="false" customHeight="false" outlineLevel="0" collapsed="false">
      <c r="A951" s="40" t="str">
        <f aca="false">IF($B951="","",ROW()-908)</f>
        <v/>
      </c>
      <c r="B951" s="39" t="str">
        <f aca="false">IFERROR(INDEX($U$5:$U$124,ROW()-908),"")</f>
        <v/>
      </c>
      <c r="C951" s="41" t="str">
        <f aca="false">IF($B951="","",ROUND(SUMIFS($K$5:$K$904,$B$5:$B$904,$B951,$D$5:$D$904,"周转打冷"),2))</f>
        <v/>
      </c>
      <c r="D951" s="41" t="str">
        <f aca="false">IF($B951="","",ROUND(SUMIFS($K$5:$K$904,$B$5:$B$904,$B951,$D$5:$D$904,"仓储加工"),2))</f>
        <v/>
      </c>
      <c r="E951" s="41" t="str">
        <f aca="false">IF($B951="","",ROUND(SUMIFS($K$5:$K$904,$B$5:$B$904,$B951,$D$5:$D$904,"装卸费"),2))</f>
        <v/>
      </c>
      <c r="F951" s="41" t="str">
        <f aca="false">IF($B951="","",ROUND(N($C951)+N($D951)+N($E951),2))</f>
        <v/>
      </c>
      <c r="G951" s="51" t="str">
        <f aca="false">IF($B951="","",SUMIFS($E$5:$E$904,$B$5:$B$904,$B951,$D$5:$D$904,"周转打冷"))</f>
        <v/>
      </c>
      <c r="H951" s="51" t="str">
        <f aca="false">IF($B951="","",SUMIFS($E$5:$E$904,$B$5:$B$904,$B951,$D$5:$D$904,"仓储加工"))</f>
        <v/>
      </c>
      <c r="I951" s="51" t="str">
        <f aca="false">IF($B951="","",N($G951)+N($H951))</f>
        <v/>
      </c>
      <c r="J951" s="52" t="str">
        <f aca="false">IF($B951="","",ROUND(SUMIFS($G$5:$G$904,$B$5:$B$904,$B951,$D$5:$D$904,"周转打冷")+SUMIFS($G$5:$G$904,$B$5:$B$904,$B951,$D$5:$D$904,"仓储加工"),3))</f>
        <v/>
      </c>
      <c r="K951" s="51" t="str">
        <f aca="false">IF($B951="","",COUNTIFS($B$5:$B$904,$B951,$I$5:$I$904,"")+COUNTIFS($B$5:$B$904,$B951,$I$5:$I$904,0))</f>
        <v/>
      </c>
      <c r="L951" s="39" t="str">
        <f aca="false">IF($B951="","",IF(N($K951)&gt;0,"⚠ 有 "&amp;N($K951)&amp;" 行还没填单价","✔ 已全部定价"))</f>
        <v/>
      </c>
    </row>
    <row r="952" customFormat="false" ht="13.5" hidden="false" customHeight="false" outlineLevel="0" collapsed="false">
      <c r="A952" s="40" t="str">
        <f aca="false">IF($B952="","",ROW()-908)</f>
        <v/>
      </c>
      <c r="B952" s="39" t="str">
        <f aca="false">IFERROR(INDEX($U$5:$U$124,ROW()-908),"")</f>
        <v/>
      </c>
      <c r="C952" s="41" t="str">
        <f aca="false">IF($B952="","",ROUND(SUMIFS($K$5:$K$904,$B$5:$B$904,$B952,$D$5:$D$904,"周转打冷"),2))</f>
        <v/>
      </c>
      <c r="D952" s="41" t="str">
        <f aca="false">IF($B952="","",ROUND(SUMIFS($K$5:$K$904,$B$5:$B$904,$B952,$D$5:$D$904,"仓储加工"),2))</f>
        <v/>
      </c>
      <c r="E952" s="41" t="str">
        <f aca="false">IF($B952="","",ROUND(SUMIFS($K$5:$K$904,$B$5:$B$904,$B952,$D$5:$D$904,"装卸费"),2))</f>
        <v/>
      </c>
      <c r="F952" s="41" t="str">
        <f aca="false">IF($B952="","",ROUND(N($C952)+N($D952)+N($E952),2))</f>
        <v/>
      </c>
      <c r="G952" s="51" t="str">
        <f aca="false">IF($B952="","",SUMIFS($E$5:$E$904,$B$5:$B$904,$B952,$D$5:$D$904,"周转打冷"))</f>
        <v/>
      </c>
      <c r="H952" s="51" t="str">
        <f aca="false">IF($B952="","",SUMIFS($E$5:$E$904,$B$5:$B$904,$B952,$D$5:$D$904,"仓储加工"))</f>
        <v/>
      </c>
      <c r="I952" s="51" t="str">
        <f aca="false">IF($B952="","",N($G952)+N($H952))</f>
        <v/>
      </c>
      <c r="J952" s="52" t="str">
        <f aca="false">IF($B952="","",ROUND(SUMIFS($G$5:$G$904,$B$5:$B$904,$B952,$D$5:$D$904,"周转打冷")+SUMIFS($G$5:$G$904,$B$5:$B$904,$B952,$D$5:$D$904,"仓储加工"),3))</f>
        <v/>
      </c>
      <c r="K952" s="51" t="str">
        <f aca="false">IF($B952="","",COUNTIFS($B$5:$B$904,$B952,$I$5:$I$904,"")+COUNTIFS($B$5:$B$904,$B952,$I$5:$I$904,0))</f>
        <v/>
      </c>
      <c r="L952" s="39" t="str">
        <f aca="false">IF($B952="","",IF(N($K952)&gt;0,"⚠ 有 "&amp;N($K952)&amp;" 行还没填单价","✔ 已全部定价"))</f>
        <v/>
      </c>
    </row>
    <row r="953" customFormat="false" ht="13.5" hidden="false" customHeight="false" outlineLevel="0" collapsed="false">
      <c r="A953" s="40" t="str">
        <f aca="false">IF($B953="","",ROW()-908)</f>
        <v/>
      </c>
      <c r="B953" s="39" t="str">
        <f aca="false">IFERROR(INDEX($U$5:$U$124,ROW()-908),"")</f>
        <v/>
      </c>
      <c r="C953" s="41" t="str">
        <f aca="false">IF($B953="","",ROUND(SUMIFS($K$5:$K$904,$B$5:$B$904,$B953,$D$5:$D$904,"周转打冷"),2))</f>
        <v/>
      </c>
      <c r="D953" s="41" t="str">
        <f aca="false">IF($B953="","",ROUND(SUMIFS($K$5:$K$904,$B$5:$B$904,$B953,$D$5:$D$904,"仓储加工"),2))</f>
        <v/>
      </c>
      <c r="E953" s="41" t="str">
        <f aca="false">IF($B953="","",ROUND(SUMIFS($K$5:$K$904,$B$5:$B$904,$B953,$D$5:$D$904,"装卸费"),2))</f>
        <v/>
      </c>
      <c r="F953" s="41" t="str">
        <f aca="false">IF($B953="","",ROUND(N($C953)+N($D953)+N($E953),2))</f>
        <v/>
      </c>
      <c r="G953" s="51" t="str">
        <f aca="false">IF($B953="","",SUMIFS($E$5:$E$904,$B$5:$B$904,$B953,$D$5:$D$904,"周转打冷"))</f>
        <v/>
      </c>
      <c r="H953" s="51" t="str">
        <f aca="false">IF($B953="","",SUMIFS($E$5:$E$904,$B$5:$B$904,$B953,$D$5:$D$904,"仓储加工"))</f>
        <v/>
      </c>
      <c r="I953" s="51" t="str">
        <f aca="false">IF($B953="","",N($G953)+N($H953))</f>
        <v/>
      </c>
      <c r="J953" s="52" t="str">
        <f aca="false">IF($B953="","",ROUND(SUMIFS($G$5:$G$904,$B$5:$B$904,$B953,$D$5:$D$904,"周转打冷")+SUMIFS($G$5:$G$904,$B$5:$B$904,$B953,$D$5:$D$904,"仓储加工"),3))</f>
        <v/>
      </c>
      <c r="K953" s="51" t="str">
        <f aca="false">IF($B953="","",COUNTIFS($B$5:$B$904,$B953,$I$5:$I$904,"")+COUNTIFS($B$5:$B$904,$B953,$I$5:$I$904,0))</f>
        <v/>
      </c>
      <c r="L953" s="39" t="str">
        <f aca="false">IF($B953="","",IF(N($K953)&gt;0,"⚠ 有 "&amp;N($K953)&amp;" 行还没填单价","✔ 已全部定价"))</f>
        <v/>
      </c>
    </row>
    <row r="954" customFormat="false" ht="13.5" hidden="false" customHeight="false" outlineLevel="0" collapsed="false">
      <c r="A954" s="40" t="str">
        <f aca="false">IF($B954="","",ROW()-908)</f>
        <v/>
      </c>
      <c r="B954" s="39" t="str">
        <f aca="false">IFERROR(INDEX($U$5:$U$124,ROW()-908),"")</f>
        <v/>
      </c>
      <c r="C954" s="41" t="str">
        <f aca="false">IF($B954="","",ROUND(SUMIFS($K$5:$K$904,$B$5:$B$904,$B954,$D$5:$D$904,"周转打冷"),2))</f>
        <v/>
      </c>
      <c r="D954" s="41" t="str">
        <f aca="false">IF($B954="","",ROUND(SUMIFS($K$5:$K$904,$B$5:$B$904,$B954,$D$5:$D$904,"仓储加工"),2))</f>
        <v/>
      </c>
      <c r="E954" s="41" t="str">
        <f aca="false">IF($B954="","",ROUND(SUMIFS($K$5:$K$904,$B$5:$B$904,$B954,$D$5:$D$904,"装卸费"),2))</f>
        <v/>
      </c>
      <c r="F954" s="41" t="str">
        <f aca="false">IF($B954="","",ROUND(N($C954)+N($D954)+N($E954),2))</f>
        <v/>
      </c>
      <c r="G954" s="51" t="str">
        <f aca="false">IF($B954="","",SUMIFS($E$5:$E$904,$B$5:$B$904,$B954,$D$5:$D$904,"周转打冷"))</f>
        <v/>
      </c>
      <c r="H954" s="51" t="str">
        <f aca="false">IF($B954="","",SUMIFS($E$5:$E$904,$B$5:$B$904,$B954,$D$5:$D$904,"仓储加工"))</f>
        <v/>
      </c>
      <c r="I954" s="51" t="str">
        <f aca="false">IF($B954="","",N($G954)+N($H954))</f>
        <v/>
      </c>
      <c r="J954" s="52" t="str">
        <f aca="false">IF($B954="","",ROUND(SUMIFS($G$5:$G$904,$B$5:$B$904,$B954,$D$5:$D$904,"周转打冷")+SUMIFS($G$5:$G$904,$B$5:$B$904,$B954,$D$5:$D$904,"仓储加工"),3))</f>
        <v/>
      </c>
      <c r="K954" s="51" t="str">
        <f aca="false">IF($B954="","",COUNTIFS($B$5:$B$904,$B954,$I$5:$I$904,"")+COUNTIFS($B$5:$B$904,$B954,$I$5:$I$904,0))</f>
        <v/>
      </c>
      <c r="L954" s="39" t="str">
        <f aca="false">IF($B954="","",IF(N($K954)&gt;0,"⚠ 有 "&amp;N($K954)&amp;" 行还没填单价","✔ 已全部定价"))</f>
        <v/>
      </c>
    </row>
    <row r="955" customFormat="false" ht="13.5" hidden="false" customHeight="false" outlineLevel="0" collapsed="false">
      <c r="A955" s="40" t="str">
        <f aca="false">IF($B955="","",ROW()-908)</f>
        <v/>
      </c>
      <c r="B955" s="39" t="str">
        <f aca="false">IFERROR(INDEX($U$5:$U$124,ROW()-908),"")</f>
        <v/>
      </c>
      <c r="C955" s="41" t="str">
        <f aca="false">IF($B955="","",ROUND(SUMIFS($K$5:$K$904,$B$5:$B$904,$B955,$D$5:$D$904,"周转打冷"),2))</f>
        <v/>
      </c>
      <c r="D955" s="41" t="str">
        <f aca="false">IF($B955="","",ROUND(SUMIFS($K$5:$K$904,$B$5:$B$904,$B955,$D$5:$D$904,"仓储加工"),2))</f>
        <v/>
      </c>
      <c r="E955" s="41" t="str">
        <f aca="false">IF($B955="","",ROUND(SUMIFS($K$5:$K$904,$B$5:$B$904,$B955,$D$5:$D$904,"装卸费"),2))</f>
        <v/>
      </c>
      <c r="F955" s="41" t="str">
        <f aca="false">IF($B955="","",ROUND(N($C955)+N($D955)+N($E955),2))</f>
        <v/>
      </c>
      <c r="G955" s="51" t="str">
        <f aca="false">IF($B955="","",SUMIFS($E$5:$E$904,$B$5:$B$904,$B955,$D$5:$D$904,"周转打冷"))</f>
        <v/>
      </c>
      <c r="H955" s="51" t="str">
        <f aca="false">IF($B955="","",SUMIFS($E$5:$E$904,$B$5:$B$904,$B955,$D$5:$D$904,"仓储加工"))</f>
        <v/>
      </c>
      <c r="I955" s="51" t="str">
        <f aca="false">IF($B955="","",N($G955)+N($H955))</f>
        <v/>
      </c>
      <c r="J955" s="52" t="str">
        <f aca="false">IF($B955="","",ROUND(SUMIFS($G$5:$G$904,$B$5:$B$904,$B955,$D$5:$D$904,"周转打冷")+SUMIFS($G$5:$G$904,$B$5:$B$904,$B955,$D$5:$D$904,"仓储加工"),3))</f>
        <v/>
      </c>
      <c r="K955" s="51" t="str">
        <f aca="false">IF($B955="","",COUNTIFS($B$5:$B$904,$B955,$I$5:$I$904,"")+COUNTIFS($B$5:$B$904,$B955,$I$5:$I$904,0))</f>
        <v/>
      </c>
      <c r="L955" s="39" t="str">
        <f aca="false">IF($B955="","",IF(N($K955)&gt;0,"⚠ 有 "&amp;N($K955)&amp;" 行还没填单价","✔ 已全部定价"))</f>
        <v/>
      </c>
    </row>
    <row r="956" customFormat="false" ht="13.5" hidden="false" customHeight="false" outlineLevel="0" collapsed="false">
      <c r="A956" s="40" t="str">
        <f aca="false">IF($B956="","",ROW()-908)</f>
        <v/>
      </c>
      <c r="B956" s="39" t="str">
        <f aca="false">IFERROR(INDEX($U$5:$U$124,ROW()-908),"")</f>
        <v/>
      </c>
      <c r="C956" s="41" t="str">
        <f aca="false">IF($B956="","",ROUND(SUMIFS($K$5:$K$904,$B$5:$B$904,$B956,$D$5:$D$904,"周转打冷"),2))</f>
        <v/>
      </c>
      <c r="D956" s="41" t="str">
        <f aca="false">IF($B956="","",ROUND(SUMIFS($K$5:$K$904,$B$5:$B$904,$B956,$D$5:$D$904,"仓储加工"),2))</f>
        <v/>
      </c>
      <c r="E956" s="41" t="str">
        <f aca="false">IF($B956="","",ROUND(SUMIFS($K$5:$K$904,$B$5:$B$904,$B956,$D$5:$D$904,"装卸费"),2))</f>
        <v/>
      </c>
      <c r="F956" s="41" t="str">
        <f aca="false">IF($B956="","",ROUND(N($C956)+N($D956)+N($E956),2))</f>
        <v/>
      </c>
      <c r="G956" s="51" t="str">
        <f aca="false">IF($B956="","",SUMIFS($E$5:$E$904,$B$5:$B$904,$B956,$D$5:$D$904,"周转打冷"))</f>
        <v/>
      </c>
      <c r="H956" s="51" t="str">
        <f aca="false">IF($B956="","",SUMIFS($E$5:$E$904,$B$5:$B$904,$B956,$D$5:$D$904,"仓储加工"))</f>
        <v/>
      </c>
      <c r="I956" s="51" t="str">
        <f aca="false">IF($B956="","",N($G956)+N($H956))</f>
        <v/>
      </c>
      <c r="J956" s="52" t="str">
        <f aca="false">IF($B956="","",ROUND(SUMIFS($G$5:$G$904,$B$5:$B$904,$B956,$D$5:$D$904,"周转打冷")+SUMIFS($G$5:$G$904,$B$5:$B$904,$B956,$D$5:$D$904,"仓储加工"),3))</f>
        <v/>
      </c>
      <c r="K956" s="51" t="str">
        <f aca="false">IF($B956="","",COUNTIFS($B$5:$B$904,$B956,$I$5:$I$904,"")+COUNTIFS($B$5:$B$904,$B956,$I$5:$I$904,0))</f>
        <v/>
      </c>
      <c r="L956" s="39" t="str">
        <f aca="false">IF($B956="","",IF(N($K956)&gt;0,"⚠ 有 "&amp;N($K956)&amp;" 行还没填单价","✔ 已全部定价"))</f>
        <v/>
      </c>
    </row>
    <row r="957" customFormat="false" ht="13.5" hidden="false" customHeight="false" outlineLevel="0" collapsed="false">
      <c r="A957" s="40" t="str">
        <f aca="false">IF($B957="","",ROW()-908)</f>
        <v/>
      </c>
      <c r="B957" s="39" t="str">
        <f aca="false">IFERROR(INDEX($U$5:$U$124,ROW()-908),"")</f>
        <v/>
      </c>
      <c r="C957" s="41" t="str">
        <f aca="false">IF($B957="","",ROUND(SUMIFS($K$5:$K$904,$B$5:$B$904,$B957,$D$5:$D$904,"周转打冷"),2))</f>
        <v/>
      </c>
      <c r="D957" s="41" t="str">
        <f aca="false">IF($B957="","",ROUND(SUMIFS($K$5:$K$904,$B$5:$B$904,$B957,$D$5:$D$904,"仓储加工"),2))</f>
        <v/>
      </c>
      <c r="E957" s="41" t="str">
        <f aca="false">IF($B957="","",ROUND(SUMIFS($K$5:$K$904,$B$5:$B$904,$B957,$D$5:$D$904,"装卸费"),2))</f>
        <v/>
      </c>
      <c r="F957" s="41" t="str">
        <f aca="false">IF($B957="","",ROUND(N($C957)+N($D957)+N($E957),2))</f>
        <v/>
      </c>
      <c r="G957" s="51" t="str">
        <f aca="false">IF($B957="","",SUMIFS($E$5:$E$904,$B$5:$B$904,$B957,$D$5:$D$904,"周转打冷"))</f>
        <v/>
      </c>
      <c r="H957" s="51" t="str">
        <f aca="false">IF($B957="","",SUMIFS($E$5:$E$904,$B$5:$B$904,$B957,$D$5:$D$904,"仓储加工"))</f>
        <v/>
      </c>
      <c r="I957" s="51" t="str">
        <f aca="false">IF($B957="","",N($G957)+N($H957))</f>
        <v/>
      </c>
      <c r="J957" s="52" t="str">
        <f aca="false">IF($B957="","",ROUND(SUMIFS($G$5:$G$904,$B$5:$B$904,$B957,$D$5:$D$904,"周转打冷")+SUMIFS($G$5:$G$904,$B$5:$B$904,$B957,$D$5:$D$904,"仓储加工"),3))</f>
        <v/>
      </c>
      <c r="K957" s="51" t="str">
        <f aca="false">IF($B957="","",COUNTIFS($B$5:$B$904,$B957,$I$5:$I$904,"")+COUNTIFS($B$5:$B$904,$B957,$I$5:$I$904,0))</f>
        <v/>
      </c>
      <c r="L957" s="39" t="str">
        <f aca="false">IF($B957="","",IF(N($K957)&gt;0,"⚠ 有 "&amp;N($K957)&amp;" 行还没填单价","✔ 已全部定价"))</f>
        <v/>
      </c>
    </row>
    <row r="958" customFormat="false" ht="13.5" hidden="false" customHeight="false" outlineLevel="0" collapsed="false">
      <c r="A958" s="40" t="str">
        <f aca="false">IF($B958="","",ROW()-908)</f>
        <v/>
      </c>
      <c r="B958" s="39" t="str">
        <f aca="false">IFERROR(INDEX($U$5:$U$124,ROW()-908),"")</f>
        <v/>
      </c>
      <c r="C958" s="41" t="str">
        <f aca="false">IF($B958="","",ROUND(SUMIFS($K$5:$K$904,$B$5:$B$904,$B958,$D$5:$D$904,"周转打冷"),2))</f>
        <v/>
      </c>
      <c r="D958" s="41" t="str">
        <f aca="false">IF($B958="","",ROUND(SUMIFS($K$5:$K$904,$B$5:$B$904,$B958,$D$5:$D$904,"仓储加工"),2))</f>
        <v/>
      </c>
      <c r="E958" s="41" t="str">
        <f aca="false">IF($B958="","",ROUND(SUMIFS($K$5:$K$904,$B$5:$B$904,$B958,$D$5:$D$904,"装卸费"),2))</f>
        <v/>
      </c>
      <c r="F958" s="41" t="str">
        <f aca="false">IF($B958="","",ROUND(N($C958)+N($D958)+N($E958),2))</f>
        <v/>
      </c>
      <c r="G958" s="51" t="str">
        <f aca="false">IF($B958="","",SUMIFS($E$5:$E$904,$B$5:$B$904,$B958,$D$5:$D$904,"周转打冷"))</f>
        <v/>
      </c>
      <c r="H958" s="51" t="str">
        <f aca="false">IF($B958="","",SUMIFS($E$5:$E$904,$B$5:$B$904,$B958,$D$5:$D$904,"仓储加工"))</f>
        <v/>
      </c>
      <c r="I958" s="51" t="str">
        <f aca="false">IF($B958="","",N($G958)+N($H958))</f>
        <v/>
      </c>
      <c r="J958" s="52" t="str">
        <f aca="false">IF($B958="","",ROUND(SUMIFS($G$5:$G$904,$B$5:$B$904,$B958,$D$5:$D$904,"周转打冷")+SUMIFS($G$5:$G$904,$B$5:$B$904,$B958,$D$5:$D$904,"仓储加工"),3))</f>
        <v/>
      </c>
      <c r="K958" s="51" t="str">
        <f aca="false">IF($B958="","",COUNTIFS($B$5:$B$904,$B958,$I$5:$I$904,"")+COUNTIFS($B$5:$B$904,$B958,$I$5:$I$904,0))</f>
        <v/>
      </c>
      <c r="L958" s="39" t="str">
        <f aca="false">IF($B958="","",IF(N($K958)&gt;0,"⚠ 有 "&amp;N($K958)&amp;" 行还没填单价","✔ 已全部定价"))</f>
        <v/>
      </c>
    </row>
    <row r="959" customFormat="false" ht="13.5" hidden="false" customHeight="false" outlineLevel="0" collapsed="false">
      <c r="A959" s="40" t="str">
        <f aca="false">IF($B959="","",ROW()-908)</f>
        <v/>
      </c>
      <c r="B959" s="39" t="str">
        <f aca="false">IFERROR(INDEX($U$5:$U$124,ROW()-908),"")</f>
        <v/>
      </c>
      <c r="C959" s="41" t="str">
        <f aca="false">IF($B959="","",ROUND(SUMIFS($K$5:$K$904,$B$5:$B$904,$B959,$D$5:$D$904,"周转打冷"),2))</f>
        <v/>
      </c>
      <c r="D959" s="41" t="str">
        <f aca="false">IF($B959="","",ROUND(SUMIFS($K$5:$K$904,$B$5:$B$904,$B959,$D$5:$D$904,"仓储加工"),2))</f>
        <v/>
      </c>
      <c r="E959" s="41" t="str">
        <f aca="false">IF($B959="","",ROUND(SUMIFS($K$5:$K$904,$B$5:$B$904,$B959,$D$5:$D$904,"装卸费"),2))</f>
        <v/>
      </c>
      <c r="F959" s="41" t="str">
        <f aca="false">IF($B959="","",ROUND(N($C959)+N($D959)+N($E959),2))</f>
        <v/>
      </c>
      <c r="G959" s="51" t="str">
        <f aca="false">IF($B959="","",SUMIFS($E$5:$E$904,$B$5:$B$904,$B959,$D$5:$D$904,"周转打冷"))</f>
        <v/>
      </c>
      <c r="H959" s="51" t="str">
        <f aca="false">IF($B959="","",SUMIFS($E$5:$E$904,$B$5:$B$904,$B959,$D$5:$D$904,"仓储加工"))</f>
        <v/>
      </c>
      <c r="I959" s="51" t="str">
        <f aca="false">IF($B959="","",N($G959)+N($H959))</f>
        <v/>
      </c>
      <c r="J959" s="52" t="str">
        <f aca="false">IF($B959="","",ROUND(SUMIFS($G$5:$G$904,$B$5:$B$904,$B959,$D$5:$D$904,"周转打冷")+SUMIFS($G$5:$G$904,$B$5:$B$904,$B959,$D$5:$D$904,"仓储加工"),3))</f>
        <v/>
      </c>
      <c r="K959" s="51" t="str">
        <f aca="false">IF($B959="","",COUNTIFS($B$5:$B$904,$B959,$I$5:$I$904,"")+COUNTIFS($B$5:$B$904,$B959,$I$5:$I$904,0))</f>
        <v/>
      </c>
      <c r="L959" s="39" t="str">
        <f aca="false">IF($B959="","",IF(N($K959)&gt;0,"⚠ 有 "&amp;N($K959)&amp;" 行还没填单价","✔ 已全部定价"))</f>
        <v/>
      </c>
    </row>
    <row r="960" customFormat="false" ht="13.5" hidden="false" customHeight="false" outlineLevel="0" collapsed="false">
      <c r="A960" s="40" t="str">
        <f aca="false">IF($B960="","",ROW()-908)</f>
        <v/>
      </c>
      <c r="B960" s="39" t="str">
        <f aca="false">IFERROR(INDEX($U$5:$U$124,ROW()-908),"")</f>
        <v/>
      </c>
      <c r="C960" s="41" t="str">
        <f aca="false">IF($B960="","",ROUND(SUMIFS($K$5:$K$904,$B$5:$B$904,$B960,$D$5:$D$904,"周转打冷"),2))</f>
        <v/>
      </c>
      <c r="D960" s="41" t="str">
        <f aca="false">IF($B960="","",ROUND(SUMIFS($K$5:$K$904,$B$5:$B$904,$B960,$D$5:$D$904,"仓储加工"),2))</f>
        <v/>
      </c>
      <c r="E960" s="41" t="str">
        <f aca="false">IF($B960="","",ROUND(SUMIFS($K$5:$K$904,$B$5:$B$904,$B960,$D$5:$D$904,"装卸费"),2))</f>
        <v/>
      </c>
      <c r="F960" s="41" t="str">
        <f aca="false">IF($B960="","",ROUND(N($C960)+N($D960)+N($E960),2))</f>
        <v/>
      </c>
      <c r="G960" s="51" t="str">
        <f aca="false">IF($B960="","",SUMIFS($E$5:$E$904,$B$5:$B$904,$B960,$D$5:$D$904,"周转打冷"))</f>
        <v/>
      </c>
      <c r="H960" s="51" t="str">
        <f aca="false">IF($B960="","",SUMIFS($E$5:$E$904,$B$5:$B$904,$B960,$D$5:$D$904,"仓储加工"))</f>
        <v/>
      </c>
      <c r="I960" s="51" t="str">
        <f aca="false">IF($B960="","",N($G960)+N($H960))</f>
        <v/>
      </c>
      <c r="J960" s="52" t="str">
        <f aca="false">IF($B960="","",ROUND(SUMIFS($G$5:$G$904,$B$5:$B$904,$B960,$D$5:$D$904,"周转打冷")+SUMIFS($G$5:$G$904,$B$5:$B$904,$B960,$D$5:$D$904,"仓储加工"),3))</f>
        <v/>
      </c>
      <c r="K960" s="51" t="str">
        <f aca="false">IF($B960="","",COUNTIFS($B$5:$B$904,$B960,$I$5:$I$904,"")+COUNTIFS($B$5:$B$904,$B960,$I$5:$I$904,0))</f>
        <v/>
      </c>
      <c r="L960" s="39" t="str">
        <f aca="false">IF($B960="","",IF(N($K960)&gt;0,"⚠ 有 "&amp;N($K960)&amp;" 行还没填单价","✔ 已全部定价"))</f>
        <v/>
      </c>
    </row>
    <row r="961" customFormat="false" ht="13.5" hidden="false" customHeight="false" outlineLevel="0" collapsed="false">
      <c r="A961" s="40" t="str">
        <f aca="false">IF($B961="","",ROW()-908)</f>
        <v/>
      </c>
      <c r="B961" s="39" t="str">
        <f aca="false">IFERROR(INDEX($U$5:$U$124,ROW()-908),"")</f>
        <v/>
      </c>
      <c r="C961" s="41" t="str">
        <f aca="false">IF($B961="","",ROUND(SUMIFS($K$5:$K$904,$B$5:$B$904,$B961,$D$5:$D$904,"周转打冷"),2))</f>
        <v/>
      </c>
      <c r="D961" s="41" t="str">
        <f aca="false">IF($B961="","",ROUND(SUMIFS($K$5:$K$904,$B$5:$B$904,$B961,$D$5:$D$904,"仓储加工"),2))</f>
        <v/>
      </c>
      <c r="E961" s="41" t="str">
        <f aca="false">IF($B961="","",ROUND(SUMIFS($K$5:$K$904,$B$5:$B$904,$B961,$D$5:$D$904,"装卸费"),2))</f>
        <v/>
      </c>
      <c r="F961" s="41" t="str">
        <f aca="false">IF($B961="","",ROUND(N($C961)+N($D961)+N($E961),2))</f>
        <v/>
      </c>
      <c r="G961" s="51" t="str">
        <f aca="false">IF($B961="","",SUMIFS($E$5:$E$904,$B$5:$B$904,$B961,$D$5:$D$904,"周转打冷"))</f>
        <v/>
      </c>
      <c r="H961" s="51" t="str">
        <f aca="false">IF($B961="","",SUMIFS($E$5:$E$904,$B$5:$B$904,$B961,$D$5:$D$904,"仓储加工"))</f>
        <v/>
      </c>
      <c r="I961" s="51" t="str">
        <f aca="false">IF($B961="","",N($G961)+N($H961))</f>
        <v/>
      </c>
      <c r="J961" s="52" t="str">
        <f aca="false">IF($B961="","",ROUND(SUMIFS($G$5:$G$904,$B$5:$B$904,$B961,$D$5:$D$904,"周转打冷")+SUMIFS($G$5:$G$904,$B$5:$B$904,$B961,$D$5:$D$904,"仓储加工"),3))</f>
        <v/>
      </c>
      <c r="K961" s="51" t="str">
        <f aca="false">IF($B961="","",COUNTIFS($B$5:$B$904,$B961,$I$5:$I$904,"")+COUNTIFS($B$5:$B$904,$B961,$I$5:$I$904,0))</f>
        <v/>
      </c>
      <c r="L961" s="39" t="str">
        <f aca="false">IF($B961="","",IF(N($K961)&gt;0,"⚠ 有 "&amp;N($K961)&amp;" 行还没填单价","✔ 已全部定价"))</f>
        <v/>
      </c>
    </row>
    <row r="962" customFormat="false" ht="13.5" hidden="false" customHeight="false" outlineLevel="0" collapsed="false">
      <c r="A962" s="40" t="str">
        <f aca="false">IF($B962="","",ROW()-908)</f>
        <v/>
      </c>
      <c r="B962" s="39" t="str">
        <f aca="false">IFERROR(INDEX($U$5:$U$124,ROW()-908),"")</f>
        <v/>
      </c>
      <c r="C962" s="41" t="str">
        <f aca="false">IF($B962="","",ROUND(SUMIFS($K$5:$K$904,$B$5:$B$904,$B962,$D$5:$D$904,"周转打冷"),2))</f>
        <v/>
      </c>
      <c r="D962" s="41" t="str">
        <f aca="false">IF($B962="","",ROUND(SUMIFS($K$5:$K$904,$B$5:$B$904,$B962,$D$5:$D$904,"仓储加工"),2))</f>
        <v/>
      </c>
      <c r="E962" s="41" t="str">
        <f aca="false">IF($B962="","",ROUND(SUMIFS($K$5:$K$904,$B$5:$B$904,$B962,$D$5:$D$904,"装卸费"),2))</f>
        <v/>
      </c>
      <c r="F962" s="41" t="str">
        <f aca="false">IF($B962="","",ROUND(N($C962)+N($D962)+N($E962),2))</f>
        <v/>
      </c>
      <c r="G962" s="51" t="str">
        <f aca="false">IF($B962="","",SUMIFS($E$5:$E$904,$B$5:$B$904,$B962,$D$5:$D$904,"周转打冷"))</f>
        <v/>
      </c>
      <c r="H962" s="51" t="str">
        <f aca="false">IF($B962="","",SUMIFS($E$5:$E$904,$B$5:$B$904,$B962,$D$5:$D$904,"仓储加工"))</f>
        <v/>
      </c>
      <c r="I962" s="51" t="str">
        <f aca="false">IF($B962="","",N($G962)+N($H962))</f>
        <v/>
      </c>
      <c r="J962" s="52" t="str">
        <f aca="false">IF($B962="","",ROUND(SUMIFS($G$5:$G$904,$B$5:$B$904,$B962,$D$5:$D$904,"周转打冷")+SUMIFS($G$5:$G$904,$B$5:$B$904,$B962,$D$5:$D$904,"仓储加工"),3))</f>
        <v/>
      </c>
      <c r="K962" s="51" t="str">
        <f aca="false">IF($B962="","",COUNTIFS($B$5:$B$904,$B962,$I$5:$I$904,"")+COUNTIFS($B$5:$B$904,$B962,$I$5:$I$904,0))</f>
        <v/>
      </c>
      <c r="L962" s="39" t="str">
        <f aca="false">IF($B962="","",IF(N($K962)&gt;0,"⚠ 有 "&amp;N($K962)&amp;" 行还没填单价","✔ 已全部定价"))</f>
        <v/>
      </c>
    </row>
    <row r="963" customFormat="false" ht="13.5" hidden="false" customHeight="false" outlineLevel="0" collapsed="false">
      <c r="A963" s="40" t="str">
        <f aca="false">IF($B963="","",ROW()-908)</f>
        <v/>
      </c>
      <c r="B963" s="39" t="str">
        <f aca="false">IFERROR(INDEX($U$5:$U$124,ROW()-908),"")</f>
        <v/>
      </c>
      <c r="C963" s="41" t="str">
        <f aca="false">IF($B963="","",ROUND(SUMIFS($K$5:$K$904,$B$5:$B$904,$B963,$D$5:$D$904,"周转打冷"),2))</f>
        <v/>
      </c>
      <c r="D963" s="41" t="str">
        <f aca="false">IF($B963="","",ROUND(SUMIFS($K$5:$K$904,$B$5:$B$904,$B963,$D$5:$D$904,"仓储加工"),2))</f>
        <v/>
      </c>
      <c r="E963" s="41" t="str">
        <f aca="false">IF($B963="","",ROUND(SUMIFS($K$5:$K$904,$B$5:$B$904,$B963,$D$5:$D$904,"装卸费"),2))</f>
        <v/>
      </c>
      <c r="F963" s="41" t="str">
        <f aca="false">IF($B963="","",ROUND(N($C963)+N($D963)+N($E963),2))</f>
        <v/>
      </c>
      <c r="G963" s="51" t="str">
        <f aca="false">IF($B963="","",SUMIFS($E$5:$E$904,$B$5:$B$904,$B963,$D$5:$D$904,"周转打冷"))</f>
        <v/>
      </c>
      <c r="H963" s="51" t="str">
        <f aca="false">IF($B963="","",SUMIFS($E$5:$E$904,$B$5:$B$904,$B963,$D$5:$D$904,"仓储加工"))</f>
        <v/>
      </c>
      <c r="I963" s="51" t="str">
        <f aca="false">IF($B963="","",N($G963)+N($H963))</f>
        <v/>
      </c>
      <c r="J963" s="52" t="str">
        <f aca="false">IF($B963="","",ROUND(SUMIFS($G$5:$G$904,$B$5:$B$904,$B963,$D$5:$D$904,"周转打冷")+SUMIFS($G$5:$G$904,$B$5:$B$904,$B963,$D$5:$D$904,"仓储加工"),3))</f>
        <v/>
      </c>
      <c r="K963" s="51" t="str">
        <f aca="false">IF($B963="","",COUNTIFS($B$5:$B$904,$B963,$I$5:$I$904,"")+COUNTIFS($B$5:$B$904,$B963,$I$5:$I$904,0))</f>
        <v/>
      </c>
      <c r="L963" s="39" t="str">
        <f aca="false">IF($B963="","",IF(N($K963)&gt;0,"⚠ 有 "&amp;N($K963)&amp;" 行还没填单价","✔ 已全部定价"))</f>
        <v/>
      </c>
    </row>
    <row r="964" customFormat="false" ht="13.5" hidden="false" customHeight="false" outlineLevel="0" collapsed="false">
      <c r="A964" s="40" t="str">
        <f aca="false">IF($B964="","",ROW()-908)</f>
        <v/>
      </c>
      <c r="B964" s="39" t="str">
        <f aca="false">IFERROR(INDEX($U$5:$U$124,ROW()-908),"")</f>
        <v/>
      </c>
      <c r="C964" s="41" t="str">
        <f aca="false">IF($B964="","",ROUND(SUMIFS($K$5:$K$904,$B$5:$B$904,$B964,$D$5:$D$904,"周转打冷"),2))</f>
        <v/>
      </c>
      <c r="D964" s="41" t="str">
        <f aca="false">IF($B964="","",ROUND(SUMIFS($K$5:$K$904,$B$5:$B$904,$B964,$D$5:$D$904,"仓储加工"),2))</f>
        <v/>
      </c>
      <c r="E964" s="41" t="str">
        <f aca="false">IF($B964="","",ROUND(SUMIFS($K$5:$K$904,$B$5:$B$904,$B964,$D$5:$D$904,"装卸费"),2))</f>
        <v/>
      </c>
      <c r="F964" s="41" t="str">
        <f aca="false">IF($B964="","",ROUND(N($C964)+N($D964)+N($E964),2))</f>
        <v/>
      </c>
      <c r="G964" s="51" t="str">
        <f aca="false">IF($B964="","",SUMIFS($E$5:$E$904,$B$5:$B$904,$B964,$D$5:$D$904,"周转打冷"))</f>
        <v/>
      </c>
      <c r="H964" s="51" t="str">
        <f aca="false">IF($B964="","",SUMIFS($E$5:$E$904,$B$5:$B$904,$B964,$D$5:$D$904,"仓储加工"))</f>
        <v/>
      </c>
      <c r="I964" s="51" t="str">
        <f aca="false">IF($B964="","",N($G964)+N($H964))</f>
        <v/>
      </c>
      <c r="J964" s="52" t="str">
        <f aca="false">IF($B964="","",ROUND(SUMIFS($G$5:$G$904,$B$5:$B$904,$B964,$D$5:$D$904,"周转打冷")+SUMIFS($G$5:$G$904,$B$5:$B$904,$B964,$D$5:$D$904,"仓储加工"),3))</f>
        <v/>
      </c>
      <c r="K964" s="51" t="str">
        <f aca="false">IF($B964="","",COUNTIFS($B$5:$B$904,$B964,$I$5:$I$904,"")+COUNTIFS($B$5:$B$904,$B964,$I$5:$I$904,0))</f>
        <v/>
      </c>
      <c r="L964" s="39" t="str">
        <f aca="false">IF($B964="","",IF(N($K964)&gt;0,"⚠ 有 "&amp;N($K964)&amp;" 行还没填单价","✔ 已全部定价"))</f>
        <v/>
      </c>
    </row>
    <row r="965" customFormat="false" ht="13.5" hidden="false" customHeight="false" outlineLevel="0" collapsed="false">
      <c r="A965" s="40" t="str">
        <f aca="false">IF($B965="","",ROW()-908)</f>
        <v/>
      </c>
      <c r="B965" s="39" t="str">
        <f aca="false">IFERROR(INDEX($U$5:$U$124,ROW()-908),"")</f>
        <v/>
      </c>
      <c r="C965" s="41" t="str">
        <f aca="false">IF($B965="","",ROUND(SUMIFS($K$5:$K$904,$B$5:$B$904,$B965,$D$5:$D$904,"周转打冷"),2))</f>
        <v/>
      </c>
      <c r="D965" s="41" t="str">
        <f aca="false">IF($B965="","",ROUND(SUMIFS($K$5:$K$904,$B$5:$B$904,$B965,$D$5:$D$904,"仓储加工"),2))</f>
        <v/>
      </c>
      <c r="E965" s="41" t="str">
        <f aca="false">IF($B965="","",ROUND(SUMIFS($K$5:$K$904,$B$5:$B$904,$B965,$D$5:$D$904,"装卸费"),2))</f>
        <v/>
      </c>
      <c r="F965" s="41" t="str">
        <f aca="false">IF($B965="","",ROUND(N($C965)+N($D965)+N($E965),2))</f>
        <v/>
      </c>
      <c r="G965" s="51" t="str">
        <f aca="false">IF($B965="","",SUMIFS($E$5:$E$904,$B$5:$B$904,$B965,$D$5:$D$904,"周转打冷"))</f>
        <v/>
      </c>
      <c r="H965" s="51" t="str">
        <f aca="false">IF($B965="","",SUMIFS($E$5:$E$904,$B$5:$B$904,$B965,$D$5:$D$904,"仓储加工"))</f>
        <v/>
      </c>
      <c r="I965" s="51" t="str">
        <f aca="false">IF($B965="","",N($G965)+N($H965))</f>
        <v/>
      </c>
      <c r="J965" s="52" t="str">
        <f aca="false">IF($B965="","",ROUND(SUMIFS($G$5:$G$904,$B$5:$B$904,$B965,$D$5:$D$904,"周转打冷")+SUMIFS($G$5:$G$904,$B$5:$B$904,$B965,$D$5:$D$904,"仓储加工"),3))</f>
        <v/>
      </c>
      <c r="K965" s="51" t="str">
        <f aca="false">IF($B965="","",COUNTIFS($B$5:$B$904,$B965,$I$5:$I$904,"")+COUNTIFS($B$5:$B$904,$B965,$I$5:$I$904,0))</f>
        <v/>
      </c>
      <c r="L965" s="39" t="str">
        <f aca="false">IF($B965="","",IF(N($K965)&gt;0,"⚠ 有 "&amp;N($K965)&amp;" 行还没填单价","✔ 已全部定价"))</f>
        <v/>
      </c>
    </row>
    <row r="966" customFormat="false" ht="13.5" hidden="false" customHeight="false" outlineLevel="0" collapsed="false">
      <c r="A966" s="40" t="str">
        <f aca="false">IF($B966="","",ROW()-908)</f>
        <v/>
      </c>
      <c r="B966" s="39" t="str">
        <f aca="false">IFERROR(INDEX($U$5:$U$124,ROW()-908),"")</f>
        <v/>
      </c>
      <c r="C966" s="41" t="str">
        <f aca="false">IF($B966="","",ROUND(SUMIFS($K$5:$K$904,$B$5:$B$904,$B966,$D$5:$D$904,"周转打冷"),2))</f>
        <v/>
      </c>
      <c r="D966" s="41" t="str">
        <f aca="false">IF($B966="","",ROUND(SUMIFS($K$5:$K$904,$B$5:$B$904,$B966,$D$5:$D$904,"仓储加工"),2))</f>
        <v/>
      </c>
      <c r="E966" s="41" t="str">
        <f aca="false">IF($B966="","",ROUND(SUMIFS($K$5:$K$904,$B$5:$B$904,$B966,$D$5:$D$904,"装卸费"),2))</f>
        <v/>
      </c>
      <c r="F966" s="41" t="str">
        <f aca="false">IF($B966="","",ROUND(N($C966)+N($D966)+N($E966),2))</f>
        <v/>
      </c>
      <c r="G966" s="51" t="str">
        <f aca="false">IF($B966="","",SUMIFS($E$5:$E$904,$B$5:$B$904,$B966,$D$5:$D$904,"周转打冷"))</f>
        <v/>
      </c>
      <c r="H966" s="51" t="str">
        <f aca="false">IF($B966="","",SUMIFS($E$5:$E$904,$B$5:$B$904,$B966,$D$5:$D$904,"仓储加工"))</f>
        <v/>
      </c>
      <c r="I966" s="51" t="str">
        <f aca="false">IF($B966="","",N($G966)+N($H966))</f>
        <v/>
      </c>
      <c r="J966" s="52" t="str">
        <f aca="false">IF($B966="","",ROUND(SUMIFS($G$5:$G$904,$B$5:$B$904,$B966,$D$5:$D$904,"周转打冷")+SUMIFS($G$5:$G$904,$B$5:$B$904,$B966,$D$5:$D$904,"仓储加工"),3))</f>
        <v/>
      </c>
      <c r="K966" s="51" t="str">
        <f aca="false">IF($B966="","",COUNTIFS($B$5:$B$904,$B966,$I$5:$I$904,"")+COUNTIFS($B$5:$B$904,$B966,$I$5:$I$904,0))</f>
        <v/>
      </c>
      <c r="L966" s="39" t="str">
        <f aca="false">IF($B966="","",IF(N($K966)&gt;0,"⚠ 有 "&amp;N($K966)&amp;" 行还没填单价","✔ 已全部定价"))</f>
        <v/>
      </c>
    </row>
    <row r="967" customFormat="false" ht="13.5" hidden="false" customHeight="false" outlineLevel="0" collapsed="false">
      <c r="A967" s="40" t="str">
        <f aca="false">IF($B967="","",ROW()-908)</f>
        <v/>
      </c>
      <c r="B967" s="39" t="str">
        <f aca="false">IFERROR(INDEX($U$5:$U$124,ROW()-908),"")</f>
        <v/>
      </c>
      <c r="C967" s="41" t="str">
        <f aca="false">IF($B967="","",ROUND(SUMIFS($K$5:$K$904,$B$5:$B$904,$B967,$D$5:$D$904,"周转打冷"),2))</f>
        <v/>
      </c>
      <c r="D967" s="41" t="str">
        <f aca="false">IF($B967="","",ROUND(SUMIFS($K$5:$K$904,$B$5:$B$904,$B967,$D$5:$D$904,"仓储加工"),2))</f>
        <v/>
      </c>
      <c r="E967" s="41" t="str">
        <f aca="false">IF($B967="","",ROUND(SUMIFS($K$5:$K$904,$B$5:$B$904,$B967,$D$5:$D$904,"装卸费"),2))</f>
        <v/>
      </c>
      <c r="F967" s="41" t="str">
        <f aca="false">IF($B967="","",ROUND(N($C967)+N($D967)+N($E967),2))</f>
        <v/>
      </c>
      <c r="G967" s="51" t="str">
        <f aca="false">IF($B967="","",SUMIFS($E$5:$E$904,$B$5:$B$904,$B967,$D$5:$D$904,"周转打冷"))</f>
        <v/>
      </c>
      <c r="H967" s="51" t="str">
        <f aca="false">IF($B967="","",SUMIFS($E$5:$E$904,$B$5:$B$904,$B967,$D$5:$D$904,"仓储加工"))</f>
        <v/>
      </c>
      <c r="I967" s="51" t="str">
        <f aca="false">IF($B967="","",N($G967)+N($H967))</f>
        <v/>
      </c>
      <c r="J967" s="52" t="str">
        <f aca="false">IF($B967="","",ROUND(SUMIFS($G$5:$G$904,$B$5:$B$904,$B967,$D$5:$D$904,"周转打冷")+SUMIFS($G$5:$G$904,$B$5:$B$904,$B967,$D$5:$D$904,"仓储加工"),3))</f>
        <v/>
      </c>
      <c r="K967" s="51" t="str">
        <f aca="false">IF($B967="","",COUNTIFS($B$5:$B$904,$B967,$I$5:$I$904,"")+COUNTIFS($B$5:$B$904,$B967,$I$5:$I$904,0))</f>
        <v/>
      </c>
      <c r="L967" s="39" t="str">
        <f aca="false">IF($B967="","",IF(N($K967)&gt;0,"⚠ 有 "&amp;N($K967)&amp;" 行还没填单价","✔ 已全部定价"))</f>
        <v/>
      </c>
    </row>
    <row r="968" customFormat="false" ht="13.5" hidden="false" customHeight="false" outlineLevel="0" collapsed="false">
      <c r="A968" s="40" t="str">
        <f aca="false">IF($B968="","",ROW()-908)</f>
        <v/>
      </c>
      <c r="B968" s="39" t="str">
        <f aca="false">IFERROR(INDEX($U$5:$U$124,ROW()-908),"")</f>
        <v/>
      </c>
      <c r="C968" s="41" t="str">
        <f aca="false">IF($B968="","",ROUND(SUMIFS($K$5:$K$904,$B$5:$B$904,$B968,$D$5:$D$904,"周转打冷"),2))</f>
        <v/>
      </c>
      <c r="D968" s="41" t="str">
        <f aca="false">IF($B968="","",ROUND(SUMIFS($K$5:$K$904,$B$5:$B$904,$B968,$D$5:$D$904,"仓储加工"),2))</f>
        <v/>
      </c>
      <c r="E968" s="41" t="str">
        <f aca="false">IF($B968="","",ROUND(SUMIFS($K$5:$K$904,$B$5:$B$904,$B968,$D$5:$D$904,"装卸费"),2))</f>
        <v/>
      </c>
      <c r="F968" s="41" t="str">
        <f aca="false">IF($B968="","",ROUND(N($C968)+N($D968)+N($E968),2))</f>
        <v/>
      </c>
      <c r="G968" s="51" t="str">
        <f aca="false">IF($B968="","",SUMIFS($E$5:$E$904,$B$5:$B$904,$B968,$D$5:$D$904,"周转打冷"))</f>
        <v/>
      </c>
      <c r="H968" s="51" t="str">
        <f aca="false">IF($B968="","",SUMIFS($E$5:$E$904,$B$5:$B$904,$B968,$D$5:$D$904,"仓储加工"))</f>
        <v/>
      </c>
      <c r="I968" s="51" t="str">
        <f aca="false">IF($B968="","",N($G968)+N($H968))</f>
        <v/>
      </c>
      <c r="J968" s="52" t="str">
        <f aca="false">IF($B968="","",ROUND(SUMIFS($G$5:$G$904,$B$5:$B$904,$B968,$D$5:$D$904,"周转打冷")+SUMIFS($G$5:$G$904,$B$5:$B$904,$B968,$D$5:$D$904,"仓储加工"),3))</f>
        <v/>
      </c>
      <c r="K968" s="51" t="str">
        <f aca="false">IF($B968="","",COUNTIFS($B$5:$B$904,$B968,$I$5:$I$904,"")+COUNTIFS($B$5:$B$904,$B968,$I$5:$I$904,0))</f>
        <v/>
      </c>
      <c r="L968" s="39" t="str">
        <f aca="false">IF($B968="","",IF(N($K968)&gt;0,"⚠ 有 "&amp;N($K968)&amp;" 行还没填单价","✔ 已全部定价"))</f>
        <v/>
      </c>
    </row>
    <row r="969" customFormat="false" ht="13.5" hidden="false" customHeight="false" outlineLevel="0" collapsed="false">
      <c r="A969" s="40" t="str">
        <f aca="false">IF($B969="","",ROW()-908)</f>
        <v/>
      </c>
      <c r="B969" s="39" t="str">
        <f aca="false">IFERROR(INDEX($U$5:$U$124,ROW()-908),"")</f>
        <v/>
      </c>
      <c r="C969" s="41" t="str">
        <f aca="false">IF($B969="","",ROUND(SUMIFS($K$5:$K$904,$B$5:$B$904,$B969,$D$5:$D$904,"周转打冷"),2))</f>
        <v/>
      </c>
      <c r="D969" s="41" t="str">
        <f aca="false">IF($B969="","",ROUND(SUMIFS($K$5:$K$904,$B$5:$B$904,$B969,$D$5:$D$904,"仓储加工"),2))</f>
        <v/>
      </c>
      <c r="E969" s="41" t="str">
        <f aca="false">IF($B969="","",ROUND(SUMIFS($K$5:$K$904,$B$5:$B$904,$B969,$D$5:$D$904,"装卸费"),2))</f>
        <v/>
      </c>
      <c r="F969" s="41" t="str">
        <f aca="false">IF($B969="","",ROUND(N($C969)+N($D969)+N($E969),2))</f>
        <v/>
      </c>
      <c r="G969" s="51" t="str">
        <f aca="false">IF($B969="","",SUMIFS($E$5:$E$904,$B$5:$B$904,$B969,$D$5:$D$904,"周转打冷"))</f>
        <v/>
      </c>
      <c r="H969" s="51" t="str">
        <f aca="false">IF($B969="","",SUMIFS($E$5:$E$904,$B$5:$B$904,$B969,$D$5:$D$904,"仓储加工"))</f>
        <v/>
      </c>
      <c r="I969" s="51" t="str">
        <f aca="false">IF($B969="","",N($G969)+N($H969))</f>
        <v/>
      </c>
      <c r="J969" s="52" t="str">
        <f aca="false">IF($B969="","",ROUND(SUMIFS($G$5:$G$904,$B$5:$B$904,$B969,$D$5:$D$904,"周转打冷")+SUMIFS($G$5:$G$904,$B$5:$B$904,$B969,$D$5:$D$904,"仓储加工"),3))</f>
        <v/>
      </c>
      <c r="K969" s="51" t="str">
        <f aca="false">IF($B969="","",COUNTIFS($B$5:$B$904,$B969,$I$5:$I$904,"")+COUNTIFS($B$5:$B$904,$B969,$I$5:$I$904,0))</f>
        <v/>
      </c>
      <c r="L969" s="39" t="str">
        <f aca="false">IF($B969="","",IF(N($K969)&gt;0,"⚠ 有 "&amp;N($K969)&amp;" 行还没填单价","✔ 已全部定价"))</f>
        <v/>
      </c>
    </row>
    <row r="970" customFormat="false" ht="13.5" hidden="false" customHeight="false" outlineLevel="0" collapsed="false">
      <c r="A970" s="40" t="str">
        <f aca="false">IF($B970="","",ROW()-908)</f>
        <v/>
      </c>
      <c r="B970" s="39" t="str">
        <f aca="false">IFERROR(INDEX($U$5:$U$124,ROW()-908),"")</f>
        <v/>
      </c>
      <c r="C970" s="41" t="str">
        <f aca="false">IF($B970="","",ROUND(SUMIFS($K$5:$K$904,$B$5:$B$904,$B970,$D$5:$D$904,"周转打冷"),2))</f>
        <v/>
      </c>
      <c r="D970" s="41" t="str">
        <f aca="false">IF($B970="","",ROUND(SUMIFS($K$5:$K$904,$B$5:$B$904,$B970,$D$5:$D$904,"仓储加工"),2))</f>
        <v/>
      </c>
      <c r="E970" s="41" t="str">
        <f aca="false">IF($B970="","",ROUND(SUMIFS($K$5:$K$904,$B$5:$B$904,$B970,$D$5:$D$904,"装卸费"),2))</f>
        <v/>
      </c>
      <c r="F970" s="41" t="str">
        <f aca="false">IF($B970="","",ROUND(N($C970)+N($D970)+N($E970),2))</f>
        <v/>
      </c>
      <c r="G970" s="51" t="str">
        <f aca="false">IF($B970="","",SUMIFS($E$5:$E$904,$B$5:$B$904,$B970,$D$5:$D$904,"周转打冷"))</f>
        <v/>
      </c>
      <c r="H970" s="51" t="str">
        <f aca="false">IF($B970="","",SUMIFS($E$5:$E$904,$B$5:$B$904,$B970,$D$5:$D$904,"仓储加工"))</f>
        <v/>
      </c>
      <c r="I970" s="51" t="str">
        <f aca="false">IF($B970="","",N($G970)+N($H970))</f>
        <v/>
      </c>
      <c r="J970" s="52" t="str">
        <f aca="false">IF($B970="","",ROUND(SUMIFS($G$5:$G$904,$B$5:$B$904,$B970,$D$5:$D$904,"周转打冷")+SUMIFS($G$5:$G$904,$B$5:$B$904,$B970,$D$5:$D$904,"仓储加工"),3))</f>
        <v/>
      </c>
      <c r="K970" s="51" t="str">
        <f aca="false">IF($B970="","",COUNTIFS($B$5:$B$904,$B970,$I$5:$I$904,"")+COUNTIFS($B$5:$B$904,$B970,$I$5:$I$904,0))</f>
        <v/>
      </c>
      <c r="L970" s="39" t="str">
        <f aca="false">IF($B970="","",IF(N($K970)&gt;0,"⚠ 有 "&amp;N($K970)&amp;" 行还没填单价","✔ 已全部定价"))</f>
        <v/>
      </c>
    </row>
    <row r="971" customFormat="false" ht="13.5" hidden="false" customHeight="false" outlineLevel="0" collapsed="false">
      <c r="A971" s="40" t="str">
        <f aca="false">IF($B971="","",ROW()-908)</f>
        <v/>
      </c>
      <c r="B971" s="39" t="str">
        <f aca="false">IFERROR(INDEX($U$5:$U$124,ROW()-908),"")</f>
        <v/>
      </c>
      <c r="C971" s="41" t="str">
        <f aca="false">IF($B971="","",ROUND(SUMIFS($K$5:$K$904,$B$5:$B$904,$B971,$D$5:$D$904,"周转打冷"),2))</f>
        <v/>
      </c>
      <c r="D971" s="41" t="str">
        <f aca="false">IF($B971="","",ROUND(SUMIFS($K$5:$K$904,$B$5:$B$904,$B971,$D$5:$D$904,"仓储加工"),2))</f>
        <v/>
      </c>
      <c r="E971" s="41" t="str">
        <f aca="false">IF($B971="","",ROUND(SUMIFS($K$5:$K$904,$B$5:$B$904,$B971,$D$5:$D$904,"装卸费"),2))</f>
        <v/>
      </c>
      <c r="F971" s="41" t="str">
        <f aca="false">IF($B971="","",ROUND(N($C971)+N($D971)+N($E971),2))</f>
        <v/>
      </c>
      <c r="G971" s="51" t="str">
        <f aca="false">IF($B971="","",SUMIFS($E$5:$E$904,$B$5:$B$904,$B971,$D$5:$D$904,"周转打冷"))</f>
        <v/>
      </c>
      <c r="H971" s="51" t="str">
        <f aca="false">IF($B971="","",SUMIFS($E$5:$E$904,$B$5:$B$904,$B971,$D$5:$D$904,"仓储加工"))</f>
        <v/>
      </c>
      <c r="I971" s="51" t="str">
        <f aca="false">IF($B971="","",N($G971)+N($H971))</f>
        <v/>
      </c>
      <c r="J971" s="52" t="str">
        <f aca="false">IF($B971="","",ROUND(SUMIFS($G$5:$G$904,$B$5:$B$904,$B971,$D$5:$D$904,"周转打冷")+SUMIFS($G$5:$G$904,$B$5:$B$904,$B971,$D$5:$D$904,"仓储加工"),3))</f>
        <v/>
      </c>
      <c r="K971" s="51" t="str">
        <f aca="false">IF($B971="","",COUNTIFS($B$5:$B$904,$B971,$I$5:$I$904,"")+COUNTIFS($B$5:$B$904,$B971,$I$5:$I$904,0))</f>
        <v/>
      </c>
      <c r="L971" s="39" t="str">
        <f aca="false">IF($B971="","",IF(N($K971)&gt;0,"⚠ 有 "&amp;N($K971)&amp;" 行还没填单价","✔ 已全部定价"))</f>
        <v/>
      </c>
    </row>
    <row r="972" customFormat="false" ht="13.5" hidden="false" customHeight="false" outlineLevel="0" collapsed="false">
      <c r="A972" s="40" t="str">
        <f aca="false">IF($B972="","",ROW()-908)</f>
        <v/>
      </c>
      <c r="B972" s="39" t="str">
        <f aca="false">IFERROR(INDEX($U$5:$U$124,ROW()-908),"")</f>
        <v/>
      </c>
      <c r="C972" s="41" t="str">
        <f aca="false">IF($B972="","",ROUND(SUMIFS($K$5:$K$904,$B$5:$B$904,$B972,$D$5:$D$904,"周转打冷"),2))</f>
        <v/>
      </c>
      <c r="D972" s="41" t="str">
        <f aca="false">IF($B972="","",ROUND(SUMIFS($K$5:$K$904,$B$5:$B$904,$B972,$D$5:$D$904,"仓储加工"),2))</f>
        <v/>
      </c>
      <c r="E972" s="41" t="str">
        <f aca="false">IF($B972="","",ROUND(SUMIFS($K$5:$K$904,$B$5:$B$904,$B972,$D$5:$D$904,"装卸费"),2))</f>
        <v/>
      </c>
      <c r="F972" s="41" t="str">
        <f aca="false">IF($B972="","",ROUND(N($C972)+N($D972)+N($E972),2))</f>
        <v/>
      </c>
      <c r="G972" s="51" t="str">
        <f aca="false">IF($B972="","",SUMIFS($E$5:$E$904,$B$5:$B$904,$B972,$D$5:$D$904,"周转打冷"))</f>
        <v/>
      </c>
      <c r="H972" s="51" t="str">
        <f aca="false">IF($B972="","",SUMIFS($E$5:$E$904,$B$5:$B$904,$B972,$D$5:$D$904,"仓储加工"))</f>
        <v/>
      </c>
      <c r="I972" s="51" t="str">
        <f aca="false">IF($B972="","",N($G972)+N($H972))</f>
        <v/>
      </c>
      <c r="J972" s="52" t="str">
        <f aca="false">IF($B972="","",ROUND(SUMIFS($G$5:$G$904,$B$5:$B$904,$B972,$D$5:$D$904,"周转打冷")+SUMIFS($G$5:$G$904,$B$5:$B$904,$B972,$D$5:$D$904,"仓储加工"),3))</f>
        <v/>
      </c>
      <c r="K972" s="51" t="str">
        <f aca="false">IF($B972="","",COUNTIFS($B$5:$B$904,$B972,$I$5:$I$904,"")+COUNTIFS($B$5:$B$904,$B972,$I$5:$I$904,0))</f>
        <v/>
      </c>
      <c r="L972" s="39" t="str">
        <f aca="false">IF($B972="","",IF(N($K972)&gt;0,"⚠ 有 "&amp;N($K972)&amp;" 行还没填单价","✔ 已全部定价"))</f>
        <v/>
      </c>
    </row>
    <row r="973" customFormat="false" ht="13.5" hidden="false" customHeight="false" outlineLevel="0" collapsed="false">
      <c r="A973" s="40" t="str">
        <f aca="false">IF($B973="","",ROW()-908)</f>
        <v/>
      </c>
      <c r="B973" s="39" t="str">
        <f aca="false">IFERROR(INDEX($U$5:$U$124,ROW()-908),"")</f>
        <v/>
      </c>
      <c r="C973" s="41" t="str">
        <f aca="false">IF($B973="","",ROUND(SUMIFS($K$5:$K$904,$B$5:$B$904,$B973,$D$5:$D$904,"周转打冷"),2))</f>
        <v/>
      </c>
      <c r="D973" s="41" t="str">
        <f aca="false">IF($B973="","",ROUND(SUMIFS($K$5:$K$904,$B$5:$B$904,$B973,$D$5:$D$904,"仓储加工"),2))</f>
        <v/>
      </c>
      <c r="E973" s="41" t="str">
        <f aca="false">IF($B973="","",ROUND(SUMIFS($K$5:$K$904,$B$5:$B$904,$B973,$D$5:$D$904,"装卸费"),2))</f>
        <v/>
      </c>
      <c r="F973" s="41" t="str">
        <f aca="false">IF($B973="","",ROUND(N($C973)+N($D973)+N($E973),2))</f>
        <v/>
      </c>
      <c r="G973" s="51" t="str">
        <f aca="false">IF($B973="","",SUMIFS($E$5:$E$904,$B$5:$B$904,$B973,$D$5:$D$904,"周转打冷"))</f>
        <v/>
      </c>
      <c r="H973" s="51" t="str">
        <f aca="false">IF($B973="","",SUMIFS($E$5:$E$904,$B$5:$B$904,$B973,$D$5:$D$904,"仓储加工"))</f>
        <v/>
      </c>
      <c r="I973" s="51" t="str">
        <f aca="false">IF($B973="","",N($G973)+N($H973))</f>
        <v/>
      </c>
      <c r="J973" s="52" t="str">
        <f aca="false">IF($B973="","",ROUND(SUMIFS($G$5:$G$904,$B$5:$B$904,$B973,$D$5:$D$904,"周转打冷")+SUMIFS($G$5:$G$904,$B$5:$B$904,$B973,$D$5:$D$904,"仓储加工"),3))</f>
        <v/>
      </c>
      <c r="K973" s="51" t="str">
        <f aca="false">IF($B973="","",COUNTIFS($B$5:$B$904,$B973,$I$5:$I$904,"")+COUNTIFS($B$5:$B$904,$B973,$I$5:$I$904,0))</f>
        <v/>
      </c>
      <c r="L973" s="39" t="str">
        <f aca="false">IF($B973="","",IF(N($K973)&gt;0,"⚠ 有 "&amp;N($K973)&amp;" 行还没填单价","✔ 已全部定价"))</f>
        <v/>
      </c>
    </row>
    <row r="974" customFormat="false" ht="13.5" hidden="false" customHeight="false" outlineLevel="0" collapsed="false">
      <c r="A974" s="40" t="str">
        <f aca="false">IF($B974="","",ROW()-908)</f>
        <v/>
      </c>
      <c r="B974" s="39" t="str">
        <f aca="false">IFERROR(INDEX($U$5:$U$124,ROW()-908),"")</f>
        <v/>
      </c>
      <c r="C974" s="41" t="str">
        <f aca="false">IF($B974="","",ROUND(SUMIFS($K$5:$K$904,$B$5:$B$904,$B974,$D$5:$D$904,"周转打冷"),2))</f>
        <v/>
      </c>
      <c r="D974" s="41" t="str">
        <f aca="false">IF($B974="","",ROUND(SUMIFS($K$5:$K$904,$B$5:$B$904,$B974,$D$5:$D$904,"仓储加工"),2))</f>
        <v/>
      </c>
      <c r="E974" s="41" t="str">
        <f aca="false">IF($B974="","",ROUND(SUMIFS($K$5:$K$904,$B$5:$B$904,$B974,$D$5:$D$904,"装卸费"),2))</f>
        <v/>
      </c>
      <c r="F974" s="41" t="str">
        <f aca="false">IF($B974="","",ROUND(N($C974)+N($D974)+N($E974),2))</f>
        <v/>
      </c>
      <c r="G974" s="51" t="str">
        <f aca="false">IF($B974="","",SUMIFS($E$5:$E$904,$B$5:$B$904,$B974,$D$5:$D$904,"周转打冷"))</f>
        <v/>
      </c>
      <c r="H974" s="51" t="str">
        <f aca="false">IF($B974="","",SUMIFS($E$5:$E$904,$B$5:$B$904,$B974,$D$5:$D$904,"仓储加工"))</f>
        <v/>
      </c>
      <c r="I974" s="51" t="str">
        <f aca="false">IF($B974="","",N($G974)+N($H974))</f>
        <v/>
      </c>
      <c r="J974" s="52" t="str">
        <f aca="false">IF($B974="","",ROUND(SUMIFS($G$5:$G$904,$B$5:$B$904,$B974,$D$5:$D$904,"周转打冷")+SUMIFS($G$5:$G$904,$B$5:$B$904,$B974,$D$5:$D$904,"仓储加工"),3))</f>
        <v/>
      </c>
      <c r="K974" s="51" t="str">
        <f aca="false">IF($B974="","",COUNTIFS($B$5:$B$904,$B974,$I$5:$I$904,"")+COUNTIFS($B$5:$B$904,$B974,$I$5:$I$904,0))</f>
        <v/>
      </c>
      <c r="L974" s="39" t="str">
        <f aca="false">IF($B974="","",IF(N($K974)&gt;0,"⚠ 有 "&amp;N($K974)&amp;" 行还没填单价","✔ 已全部定价"))</f>
        <v/>
      </c>
    </row>
    <row r="975" customFormat="false" ht="13.5" hidden="false" customHeight="false" outlineLevel="0" collapsed="false">
      <c r="A975" s="40" t="str">
        <f aca="false">IF($B975="","",ROW()-908)</f>
        <v/>
      </c>
      <c r="B975" s="39" t="str">
        <f aca="false">IFERROR(INDEX($U$5:$U$124,ROW()-908),"")</f>
        <v/>
      </c>
      <c r="C975" s="41" t="str">
        <f aca="false">IF($B975="","",ROUND(SUMIFS($K$5:$K$904,$B$5:$B$904,$B975,$D$5:$D$904,"周转打冷"),2))</f>
        <v/>
      </c>
      <c r="D975" s="41" t="str">
        <f aca="false">IF($B975="","",ROUND(SUMIFS($K$5:$K$904,$B$5:$B$904,$B975,$D$5:$D$904,"仓储加工"),2))</f>
        <v/>
      </c>
      <c r="E975" s="41" t="str">
        <f aca="false">IF($B975="","",ROUND(SUMIFS($K$5:$K$904,$B$5:$B$904,$B975,$D$5:$D$904,"装卸费"),2))</f>
        <v/>
      </c>
      <c r="F975" s="41" t="str">
        <f aca="false">IF($B975="","",ROUND(N($C975)+N($D975)+N($E975),2))</f>
        <v/>
      </c>
      <c r="G975" s="51" t="str">
        <f aca="false">IF($B975="","",SUMIFS($E$5:$E$904,$B$5:$B$904,$B975,$D$5:$D$904,"周转打冷"))</f>
        <v/>
      </c>
      <c r="H975" s="51" t="str">
        <f aca="false">IF($B975="","",SUMIFS($E$5:$E$904,$B$5:$B$904,$B975,$D$5:$D$904,"仓储加工"))</f>
        <v/>
      </c>
      <c r="I975" s="51" t="str">
        <f aca="false">IF($B975="","",N($G975)+N($H975))</f>
        <v/>
      </c>
      <c r="J975" s="52" t="str">
        <f aca="false">IF($B975="","",ROUND(SUMIFS($G$5:$G$904,$B$5:$B$904,$B975,$D$5:$D$904,"周转打冷")+SUMIFS($G$5:$G$904,$B$5:$B$904,$B975,$D$5:$D$904,"仓储加工"),3))</f>
        <v/>
      </c>
      <c r="K975" s="51" t="str">
        <f aca="false">IF($B975="","",COUNTIFS($B$5:$B$904,$B975,$I$5:$I$904,"")+COUNTIFS($B$5:$B$904,$B975,$I$5:$I$904,0))</f>
        <v/>
      </c>
      <c r="L975" s="39" t="str">
        <f aca="false">IF($B975="","",IF(N($K975)&gt;0,"⚠ 有 "&amp;N($K975)&amp;" 行还没填单价","✔ 已全部定价"))</f>
        <v/>
      </c>
    </row>
    <row r="976" customFormat="false" ht="13.5" hidden="false" customHeight="false" outlineLevel="0" collapsed="false">
      <c r="A976" s="40" t="str">
        <f aca="false">IF($B976="","",ROW()-908)</f>
        <v/>
      </c>
      <c r="B976" s="39" t="str">
        <f aca="false">IFERROR(INDEX($U$5:$U$124,ROW()-908),"")</f>
        <v/>
      </c>
      <c r="C976" s="41" t="str">
        <f aca="false">IF($B976="","",ROUND(SUMIFS($K$5:$K$904,$B$5:$B$904,$B976,$D$5:$D$904,"周转打冷"),2))</f>
        <v/>
      </c>
      <c r="D976" s="41" t="str">
        <f aca="false">IF($B976="","",ROUND(SUMIFS($K$5:$K$904,$B$5:$B$904,$B976,$D$5:$D$904,"仓储加工"),2))</f>
        <v/>
      </c>
      <c r="E976" s="41" t="str">
        <f aca="false">IF($B976="","",ROUND(SUMIFS($K$5:$K$904,$B$5:$B$904,$B976,$D$5:$D$904,"装卸费"),2))</f>
        <v/>
      </c>
      <c r="F976" s="41" t="str">
        <f aca="false">IF($B976="","",ROUND(N($C976)+N($D976)+N($E976),2))</f>
        <v/>
      </c>
      <c r="G976" s="51" t="str">
        <f aca="false">IF($B976="","",SUMIFS($E$5:$E$904,$B$5:$B$904,$B976,$D$5:$D$904,"周转打冷"))</f>
        <v/>
      </c>
      <c r="H976" s="51" t="str">
        <f aca="false">IF($B976="","",SUMIFS($E$5:$E$904,$B$5:$B$904,$B976,$D$5:$D$904,"仓储加工"))</f>
        <v/>
      </c>
      <c r="I976" s="51" t="str">
        <f aca="false">IF($B976="","",N($G976)+N($H976))</f>
        <v/>
      </c>
      <c r="J976" s="52" t="str">
        <f aca="false">IF($B976="","",ROUND(SUMIFS($G$5:$G$904,$B$5:$B$904,$B976,$D$5:$D$904,"周转打冷")+SUMIFS($G$5:$G$904,$B$5:$B$904,$B976,$D$5:$D$904,"仓储加工"),3))</f>
        <v/>
      </c>
      <c r="K976" s="51" t="str">
        <f aca="false">IF($B976="","",COUNTIFS($B$5:$B$904,$B976,$I$5:$I$904,"")+COUNTIFS($B$5:$B$904,$B976,$I$5:$I$904,0))</f>
        <v/>
      </c>
      <c r="L976" s="39" t="str">
        <f aca="false">IF($B976="","",IF(N($K976)&gt;0,"⚠ 有 "&amp;N($K976)&amp;" 行还没填单价","✔ 已全部定价"))</f>
        <v/>
      </c>
    </row>
    <row r="977" customFormat="false" ht="13.5" hidden="false" customHeight="false" outlineLevel="0" collapsed="false">
      <c r="A977" s="40" t="str">
        <f aca="false">IF($B977="","",ROW()-908)</f>
        <v/>
      </c>
      <c r="B977" s="39" t="str">
        <f aca="false">IFERROR(INDEX($U$5:$U$124,ROW()-908),"")</f>
        <v/>
      </c>
      <c r="C977" s="41" t="str">
        <f aca="false">IF($B977="","",ROUND(SUMIFS($K$5:$K$904,$B$5:$B$904,$B977,$D$5:$D$904,"周转打冷"),2))</f>
        <v/>
      </c>
      <c r="D977" s="41" t="str">
        <f aca="false">IF($B977="","",ROUND(SUMIFS($K$5:$K$904,$B$5:$B$904,$B977,$D$5:$D$904,"仓储加工"),2))</f>
        <v/>
      </c>
      <c r="E977" s="41" t="str">
        <f aca="false">IF($B977="","",ROUND(SUMIFS($K$5:$K$904,$B$5:$B$904,$B977,$D$5:$D$904,"装卸费"),2))</f>
        <v/>
      </c>
      <c r="F977" s="41" t="str">
        <f aca="false">IF($B977="","",ROUND(N($C977)+N($D977)+N($E977),2))</f>
        <v/>
      </c>
      <c r="G977" s="51" t="str">
        <f aca="false">IF($B977="","",SUMIFS($E$5:$E$904,$B$5:$B$904,$B977,$D$5:$D$904,"周转打冷"))</f>
        <v/>
      </c>
      <c r="H977" s="51" t="str">
        <f aca="false">IF($B977="","",SUMIFS($E$5:$E$904,$B$5:$B$904,$B977,$D$5:$D$904,"仓储加工"))</f>
        <v/>
      </c>
      <c r="I977" s="51" t="str">
        <f aca="false">IF($B977="","",N($G977)+N($H977))</f>
        <v/>
      </c>
      <c r="J977" s="52" t="str">
        <f aca="false">IF($B977="","",ROUND(SUMIFS($G$5:$G$904,$B$5:$B$904,$B977,$D$5:$D$904,"周转打冷")+SUMIFS($G$5:$G$904,$B$5:$B$904,$B977,$D$5:$D$904,"仓储加工"),3))</f>
        <v/>
      </c>
      <c r="K977" s="51" t="str">
        <f aca="false">IF($B977="","",COUNTIFS($B$5:$B$904,$B977,$I$5:$I$904,"")+COUNTIFS($B$5:$B$904,$B977,$I$5:$I$904,0))</f>
        <v/>
      </c>
      <c r="L977" s="39" t="str">
        <f aca="false">IF($B977="","",IF(N($K977)&gt;0,"⚠ 有 "&amp;N($K977)&amp;" 行还没填单价","✔ 已全部定价"))</f>
        <v/>
      </c>
    </row>
    <row r="978" customFormat="false" ht="13.5" hidden="false" customHeight="false" outlineLevel="0" collapsed="false">
      <c r="A978" s="40" t="str">
        <f aca="false">IF($B978="","",ROW()-908)</f>
        <v/>
      </c>
      <c r="B978" s="39" t="str">
        <f aca="false">IFERROR(INDEX($U$5:$U$124,ROW()-908),"")</f>
        <v/>
      </c>
      <c r="C978" s="41" t="str">
        <f aca="false">IF($B978="","",ROUND(SUMIFS($K$5:$K$904,$B$5:$B$904,$B978,$D$5:$D$904,"周转打冷"),2))</f>
        <v/>
      </c>
      <c r="D978" s="41" t="str">
        <f aca="false">IF($B978="","",ROUND(SUMIFS($K$5:$K$904,$B$5:$B$904,$B978,$D$5:$D$904,"仓储加工"),2))</f>
        <v/>
      </c>
      <c r="E978" s="41" t="str">
        <f aca="false">IF($B978="","",ROUND(SUMIFS($K$5:$K$904,$B$5:$B$904,$B978,$D$5:$D$904,"装卸费"),2))</f>
        <v/>
      </c>
      <c r="F978" s="41" t="str">
        <f aca="false">IF($B978="","",ROUND(N($C978)+N($D978)+N($E978),2))</f>
        <v/>
      </c>
      <c r="G978" s="51" t="str">
        <f aca="false">IF($B978="","",SUMIFS($E$5:$E$904,$B$5:$B$904,$B978,$D$5:$D$904,"周转打冷"))</f>
        <v/>
      </c>
      <c r="H978" s="51" t="str">
        <f aca="false">IF($B978="","",SUMIFS($E$5:$E$904,$B$5:$B$904,$B978,$D$5:$D$904,"仓储加工"))</f>
        <v/>
      </c>
      <c r="I978" s="51" t="str">
        <f aca="false">IF($B978="","",N($G978)+N($H978))</f>
        <v/>
      </c>
      <c r="J978" s="52" t="str">
        <f aca="false">IF($B978="","",ROUND(SUMIFS($G$5:$G$904,$B$5:$B$904,$B978,$D$5:$D$904,"周转打冷")+SUMIFS($G$5:$G$904,$B$5:$B$904,$B978,$D$5:$D$904,"仓储加工"),3))</f>
        <v/>
      </c>
      <c r="K978" s="51" t="str">
        <f aca="false">IF($B978="","",COUNTIFS($B$5:$B$904,$B978,$I$5:$I$904,"")+COUNTIFS($B$5:$B$904,$B978,$I$5:$I$904,0))</f>
        <v/>
      </c>
      <c r="L978" s="39" t="str">
        <f aca="false">IF($B978="","",IF(N($K978)&gt;0,"⚠ 有 "&amp;N($K978)&amp;" 行还没填单价","✔ 已全部定价"))</f>
        <v/>
      </c>
    </row>
    <row r="979" customFormat="false" ht="13.5" hidden="false" customHeight="false" outlineLevel="0" collapsed="false">
      <c r="A979" s="40" t="str">
        <f aca="false">IF($B979="","",ROW()-908)</f>
        <v/>
      </c>
      <c r="B979" s="39" t="str">
        <f aca="false">IFERROR(INDEX($U$5:$U$124,ROW()-908),"")</f>
        <v/>
      </c>
      <c r="C979" s="41" t="str">
        <f aca="false">IF($B979="","",ROUND(SUMIFS($K$5:$K$904,$B$5:$B$904,$B979,$D$5:$D$904,"周转打冷"),2))</f>
        <v/>
      </c>
      <c r="D979" s="41" t="str">
        <f aca="false">IF($B979="","",ROUND(SUMIFS($K$5:$K$904,$B$5:$B$904,$B979,$D$5:$D$904,"仓储加工"),2))</f>
        <v/>
      </c>
      <c r="E979" s="41" t="str">
        <f aca="false">IF($B979="","",ROUND(SUMIFS($K$5:$K$904,$B$5:$B$904,$B979,$D$5:$D$904,"装卸费"),2))</f>
        <v/>
      </c>
      <c r="F979" s="41" t="str">
        <f aca="false">IF($B979="","",ROUND(N($C979)+N($D979)+N($E979),2))</f>
        <v/>
      </c>
      <c r="G979" s="51" t="str">
        <f aca="false">IF($B979="","",SUMIFS($E$5:$E$904,$B$5:$B$904,$B979,$D$5:$D$904,"周转打冷"))</f>
        <v/>
      </c>
      <c r="H979" s="51" t="str">
        <f aca="false">IF($B979="","",SUMIFS($E$5:$E$904,$B$5:$B$904,$B979,$D$5:$D$904,"仓储加工"))</f>
        <v/>
      </c>
      <c r="I979" s="51" t="str">
        <f aca="false">IF($B979="","",N($G979)+N($H979))</f>
        <v/>
      </c>
      <c r="J979" s="52" t="str">
        <f aca="false">IF($B979="","",ROUND(SUMIFS($G$5:$G$904,$B$5:$B$904,$B979,$D$5:$D$904,"周转打冷")+SUMIFS($G$5:$G$904,$B$5:$B$904,$B979,$D$5:$D$904,"仓储加工"),3))</f>
        <v/>
      </c>
      <c r="K979" s="51" t="str">
        <f aca="false">IF($B979="","",COUNTIFS($B$5:$B$904,$B979,$I$5:$I$904,"")+COUNTIFS($B$5:$B$904,$B979,$I$5:$I$904,0))</f>
        <v/>
      </c>
      <c r="L979" s="39" t="str">
        <f aca="false">IF($B979="","",IF(N($K979)&gt;0,"⚠ 有 "&amp;N($K979)&amp;" 行还没填单价","✔ 已全部定价"))</f>
        <v/>
      </c>
    </row>
    <row r="980" customFormat="false" ht="13.5" hidden="false" customHeight="false" outlineLevel="0" collapsed="false">
      <c r="A980" s="40" t="str">
        <f aca="false">IF($B980="","",ROW()-908)</f>
        <v/>
      </c>
      <c r="B980" s="39" t="str">
        <f aca="false">IFERROR(INDEX($U$5:$U$124,ROW()-908),"")</f>
        <v/>
      </c>
      <c r="C980" s="41" t="str">
        <f aca="false">IF($B980="","",ROUND(SUMIFS($K$5:$K$904,$B$5:$B$904,$B980,$D$5:$D$904,"周转打冷"),2))</f>
        <v/>
      </c>
      <c r="D980" s="41" t="str">
        <f aca="false">IF($B980="","",ROUND(SUMIFS($K$5:$K$904,$B$5:$B$904,$B980,$D$5:$D$904,"仓储加工"),2))</f>
        <v/>
      </c>
      <c r="E980" s="41" t="str">
        <f aca="false">IF($B980="","",ROUND(SUMIFS($K$5:$K$904,$B$5:$B$904,$B980,$D$5:$D$904,"装卸费"),2))</f>
        <v/>
      </c>
      <c r="F980" s="41" t="str">
        <f aca="false">IF($B980="","",ROUND(N($C980)+N($D980)+N($E980),2))</f>
        <v/>
      </c>
      <c r="G980" s="51" t="str">
        <f aca="false">IF($B980="","",SUMIFS($E$5:$E$904,$B$5:$B$904,$B980,$D$5:$D$904,"周转打冷"))</f>
        <v/>
      </c>
      <c r="H980" s="51" t="str">
        <f aca="false">IF($B980="","",SUMIFS($E$5:$E$904,$B$5:$B$904,$B980,$D$5:$D$904,"仓储加工"))</f>
        <v/>
      </c>
      <c r="I980" s="51" t="str">
        <f aca="false">IF($B980="","",N($G980)+N($H980))</f>
        <v/>
      </c>
      <c r="J980" s="52" t="str">
        <f aca="false">IF($B980="","",ROUND(SUMIFS($G$5:$G$904,$B$5:$B$904,$B980,$D$5:$D$904,"周转打冷")+SUMIFS($G$5:$G$904,$B$5:$B$904,$B980,$D$5:$D$904,"仓储加工"),3))</f>
        <v/>
      </c>
      <c r="K980" s="51" t="str">
        <f aca="false">IF($B980="","",COUNTIFS($B$5:$B$904,$B980,$I$5:$I$904,"")+COUNTIFS($B$5:$B$904,$B980,$I$5:$I$904,0))</f>
        <v/>
      </c>
      <c r="L980" s="39" t="str">
        <f aca="false">IF($B980="","",IF(N($K980)&gt;0,"⚠ 有 "&amp;N($K980)&amp;" 行还没填单价","✔ 已全部定价"))</f>
        <v/>
      </c>
    </row>
    <row r="981" customFormat="false" ht="13.5" hidden="false" customHeight="false" outlineLevel="0" collapsed="false">
      <c r="A981" s="40" t="str">
        <f aca="false">IF($B981="","",ROW()-908)</f>
        <v/>
      </c>
      <c r="B981" s="39" t="str">
        <f aca="false">IFERROR(INDEX($U$5:$U$124,ROW()-908),"")</f>
        <v/>
      </c>
      <c r="C981" s="41" t="str">
        <f aca="false">IF($B981="","",ROUND(SUMIFS($K$5:$K$904,$B$5:$B$904,$B981,$D$5:$D$904,"周转打冷"),2))</f>
        <v/>
      </c>
      <c r="D981" s="41" t="str">
        <f aca="false">IF($B981="","",ROUND(SUMIFS($K$5:$K$904,$B$5:$B$904,$B981,$D$5:$D$904,"仓储加工"),2))</f>
        <v/>
      </c>
      <c r="E981" s="41" t="str">
        <f aca="false">IF($B981="","",ROUND(SUMIFS($K$5:$K$904,$B$5:$B$904,$B981,$D$5:$D$904,"装卸费"),2))</f>
        <v/>
      </c>
      <c r="F981" s="41" t="str">
        <f aca="false">IF($B981="","",ROUND(N($C981)+N($D981)+N($E981),2))</f>
        <v/>
      </c>
      <c r="G981" s="51" t="str">
        <f aca="false">IF($B981="","",SUMIFS($E$5:$E$904,$B$5:$B$904,$B981,$D$5:$D$904,"周转打冷"))</f>
        <v/>
      </c>
      <c r="H981" s="51" t="str">
        <f aca="false">IF($B981="","",SUMIFS($E$5:$E$904,$B$5:$B$904,$B981,$D$5:$D$904,"仓储加工"))</f>
        <v/>
      </c>
      <c r="I981" s="51" t="str">
        <f aca="false">IF($B981="","",N($G981)+N($H981))</f>
        <v/>
      </c>
      <c r="J981" s="52" t="str">
        <f aca="false">IF($B981="","",ROUND(SUMIFS($G$5:$G$904,$B$5:$B$904,$B981,$D$5:$D$904,"周转打冷")+SUMIFS($G$5:$G$904,$B$5:$B$904,$B981,$D$5:$D$904,"仓储加工"),3))</f>
        <v/>
      </c>
      <c r="K981" s="51" t="str">
        <f aca="false">IF($B981="","",COUNTIFS($B$5:$B$904,$B981,$I$5:$I$904,"")+COUNTIFS($B$5:$B$904,$B981,$I$5:$I$904,0))</f>
        <v/>
      </c>
      <c r="L981" s="39" t="str">
        <f aca="false">IF($B981="","",IF(N($K981)&gt;0,"⚠ 有 "&amp;N($K981)&amp;" 行还没填单价","✔ 已全部定价"))</f>
        <v/>
      </c>
    </row>
    <row r="982" customFormat="false" ht="13.5" hidden="false" customHeight="false" outlineLevel="0" collapsed="false">
      <c r="A982" s="40" t="str">
        <f aca="false">IF($B982="","",ROW()-908)</f>
        <v/>
      </c>
      <c r="B982" s="39" t="str">
        <f aca="false">IFERROR(INDEX($U$5:$U$124,ROW()-908),"")</f>
        <v/>
      </c>
      <c r="C982" s="41" t="str">
        <f aca="false">IF($B982="","",ROUND(SUMIFS($K$5:$K$904,$B$5:$B$904,$B982,$D$5:$D$904,"周转打冷"),2))</f>
        <v/>
      </c>
      <c r="D982" s="41" t="str">
        <f aca="false">IF($B982="","",ROUND(SUMIFS($K$5:$K$904,$B$5:$B$904,$B982,$D$5:$D$904,"仓储加工"),2))</f>
        <v/>
      </c>
      <c r="E982" s="41" t="str">
        <f aca="false">IF($B982="","",ROUND(SUMIFS($K$5:$K$904,$B$5:$B$904,$B982,$D$5:$D$904,"装卸费"),2))</f>
        <v/>
      </c>
      <c r="F982" s="41" t="str">
        <f aca="false">IF($B982="","",ROUND(N($C982)+N($D982)+N($E982),2))</f>
        <v/>
      </c>
      <c r="G982" s="51" t="str">
        <f aca="false">IF($B982="","",SUMIFS($E$5:$E$904,$B$5:$B$904,$B982,$D$5:$D$904,"周转打冷"))</f>
        <v/>
      </c>
      <c r="H982" s="51" t="str">
        <f aca="false">IF($B982="","",SUMIFS($E$5:$E$904,$B$5:$B$904,$B982,$D$5:$D$904,"仓储加工"))</f>
        <v/>
      </c>
      <c r="I982" s="51" t="str">
        <f aca="false">IF($B982="","",N($G982)+N($H982))</f>
        <v/>
      </c>
      <c r="J982" s="52" t="str">
        <f aca="false">IF($B982="","",ROUND(SUMIFS($G$5:$G$904,$B$5:$B$904,$B982,$D$5:$D$904,"周转打冷")+SUMIFS($G$5:$G$904,$B$5:$B$904,$B982,$D$5:$D$904,"仓储加工"),3))</f>
        <v/>
      </c>
      <c r="K982" s="51" t="str">
        <f aca="false">IF($B982="","",COUNTIFS($B$5:$B$904,$B982,$I$5:$I$904,"")+COUNTIFS($B$5:$B$904,$B982,$I$5:$I$904,0))</f>
        <v/>
      </c>
      <c r="L982" s="39" t="str">
        <f aca="false">IF($B982="","",IF(N($K982)&gt;0,"⚠ 有 "&amp;N($K982)&amp;" 行还没填单价","✔ 已全部定价"))</f>
        <v/>
      </c>
    </row>
    <row r="983" customFormat="false" ht="13.5" hidden="false" customHeight="false" outlineLevel="0" collapsed="false">
      <c r="A983" s="40" t="str">
        <f aca="false">IF($B983="","",ROW()-908)</f>
        <v/>
      </c>
      <c r="B983" s="39" t="str">
        <f aca="false">IFERROR(INDEX($U$5:$U$124,ROW()-908),"")</f>
        <v/>
      </c>
      <c r="C983" s="41" t="str">
        <f aca="false">IF($B983="","",ROUND(SUMIFS($K$5:$K$904,$B$5:$B$904,$B983,$D$5:$D$904,"周转打冷"),2))</f>
        <v/>
      </c>
      <c r="D983" s="41" t="str">
        <f aca="false">IF($B983="","",ROUND(SUMIFS($K$5:$K$904,$B$5:$B$904,$B983,$D$5:$D$904,"仓储加工"),2))</f>
        <v/>
      </c>
      <c r="E983" s="41" t="str">
        <f aca="false">IF($B983="","",ROUND(SUMIFS($K$5:$K$904,$B$5:$B$904,$B983,$D$5:$D$904,"装卸费"),2))</f>
        <v/>
      </c>
      <c r="F983" s="41" t="str">
        <f aca="false">IF($B983="","",ROUND(N($C983)+N($D983)+N($E983),2))</f>
        <v/>
      </c>
      <c r="G983" s="51" t="str">
        <f aca="false">IF($B983="","",SUMIFS($E$5:$E$904,$B$5:$B$904,$B983,$D$5:$D$904,"周转打冷"))</f>
        <v/>
      </c>
      <c r="H983" s="51" t="str">
        <f aca="false">IF($B983="","",SUMIFS($E$5:$E$904,$B$5:$B$904,$B983,$D$5:$D$904,"仓储加工"))</f>
        <v/>
      </c>
      <c r="I983" s="51" t="str">
        <f aca="false">IF($B983="","",N($G983)+N($H983))</f>
        <v/>
      </c>
      <c r="J983" s="52" t="str">
        <f aca="false">IF($B983="","",ROUND(SUMIFS($G$5:$G$904,$B$5:$B$904,$B983,$D$5:$D$904,"周转打冷")+SUMIFS($G$5:$G$904,$B$5:$B$904,$B983,$D$5:$D$904,"仓储加工"),3))</f>
        <v/>
      </c>
      <c r="K983" s="51" t="str">
        <f aca="false">IF($B983="","",COUNTIFS($B$5:$B$904,$B983,$I$5:$I$904,"")+COUNTIFS($B$5:$B$904,$B983,$I$5:$I$904,0))</f>
        <v/>
      </c>
      <c r="L983" s="39" t="str">
        <f aca="false">IF($B983="","",IF(N($K983)&gt;0,"⚠ 有 "&amp;N($K983)&amp;" 行还没填单价","✔ 已全部定价"))</f>
        <v/>
      </c>
    </row>
    <row r="984" customFormat="false" ht="13.5" hidden="false" customHeight="false" outlineLevel="0" collapsed="false">
      <c r="A984" s="40" t="str">
        <f aca="false">IF($B984="","",ROW()-908)</f>
        <v/>
      </c>
      <c r="B984" s="39" t="str">
        <f aca="false">IFERROR(INDEX($U$5:$U$124,ROW()-908),"")</f>
        <v/>
      </c>
      <c r="C984" s="41" t="str">
        <f aca="false">IF($B984="","",ROUND(SUMIFS($K$5:$K$904,$B$5:$B$904,$B984,$D$5:$D$904,"周转打冷"),2))</f>
        <v/>
      </c>
      <c r="D984" s="41" t="str">
        <f aca="false">IF($B984="","",ROUND(SUMIFS($K$5:$K$904,$B$5:$B$904,$B984,$D$5:$D$904,"仓储加工"),2))</f>
        <v/>
      </c>
      <c r="E984" s="41" t="str">
        <f aca="false">IF($B984="","",ROUND(SUMIFS($K$5:$K$904,$B$5:$B$904,$B984,$D$5:$D$904,"装卸费"),2))</f>
        <v/>
      </c>
      <c r="F984" s="41" t="str">
        <f aca="false">IF($B984="","",ROUND(N($C984)+N($D984)+N($E984),2))</f>
        <v/>
      </c>
      <c r="G984" s="51" t="str">
        <f aca="false">IF($B984="","",SUMIFS($E$5:$E$904,$B$5:$B$904,$B984,$D$5:$D$904,"周转打冷"))</f>
        <v/>
      </c>
      <c r="H984" s="51" t="str">
        <f aca="false">IF($B984="","",SUMIFS($E$5:$E$904,$B$5:$B$904,$B984,$D$5:$D$904,"仓储加工"))</f>
        <v/>
      </c>
      <c r="I984" s="51" t="str">
        <f aca="false">IF($B984="","",N($G984)+N($H984))</f>
        <v/>
      </c>
      <c r="J984" s="52" t="str">
        <f aca="false">IF($B984="","",ROUND(SUMIFS($G$5:$G$904,$B$5:$B$904,$B984,$D$5:$D$904,"周转打冷")+SUMIFS($G$5:$G$904,$B$5:$B$904,$B984,$D$5:$D$904,"仓储加工"),3))</f>
        <v/>
      </c>
      <c r="K984" s="51" t="str">
        <f aca="false">IF($B984="","",COUNTIFS($B$5:$B$904,$B984,$I$5:$I$904,"")+COUNTIFS($B$5:$B$904,$B984,$I$5:$I$904,0))</f>
        <v/>
      </c>
      <c r="L984" s="39" t="str">
        <f aca="false">IF($B984="","",IF(N($K984)&gt;0,"⚠ 有 "&amp;N($K984)&amp;" 行还没填单价","✔ 已全部定价"))</f>
        <v/>
      </c>
    </row>
    <row r="985" customFormat="false" ht="13.5" hidden="false" customHeight="false" outlineLevel="0" collapsed="false">
      <c r="A985" s="40" t="str">
        <f aca="false">IF($B985="","",ROW()-908)</f>
        <v/>
      </c>
      <c r="B985" s="39" t="str">
        <f aca="false">IFERROR(INDEX($U$5:$U$124,ROW()-908),"")</f>
        <v/>
      </c>
      <c r="C985" s="41" t="str">
        <f aca="false">IF($B985="","",ROUND(SUMIFS($K$5:$K$904,$B$5:$B$904,$B985,$D$5:$D$904,"周转打冷"),2))</f>
        <v/>
      </c>
      <c r="D985" s="41" t="str">
        <f aca="false">IF($B985="","",ROUND(SUMIFS($K$5:$K$904,$B$5:$B$904,$B985,$D$5:$D$904,"仓储加工"),2))</f>
        <v/>
      </c>
      <c r="E985" s="41" t="str">
        <f aca="false">IF($B985="","",ROUND(SUMIFS($K$5:$K$904,$B$5:$B$904,$B985,$D$5:$D$904,"装卸费"),2))</f>
        <v/>
      </c>
      <c r="F985" s="41" t="str">
        <f aca="false">IF($B985="","",ROUND(N($C985)+N($D985)+N($E985),2))</f>
        <v/>
      </c>
      <c r="G985" s="51" t="str">
        <f aca="false">IF($B985="","",SUMIFS($E$5:$E$904,$B$5:$B$904,$B985,$D$5:$D$904,"周转打冷"))</f>
        <v/>
      </c>
      <c r="H985" s="51" t="str">
        <f aca="false">IF($B985="","",SUMIFS($E$5:$E$904,$B$5:$B$904,$B985,$D$5:$D$904,"仓储加工"))</f>
        <v/>
      </c>
      <c r="I985" s="51" t="str">
        <f aca="false">IF($B985="","",N($G985)+N($H985))</f>
        <v/>
      </c>
      <c r="J985" s="52" t="str">
        <f aca="false">IF($B985="","",ROUND(SUMIFS($G$5:$G$904,$B$5:$B$904,$B985,$D$5:$D$904,"周转打冷")+SUMIFS($G$5:$G$904,$B$5:$B$904,$B985,$D$5:$D$904,"仓储加工"),3))</f>
        <v/>
      </c>
      <c r="K985" s="51" t="str">
        <f aca="false">IF($B985="","",COUNTIFS($B$5:$B$904,$B985,$I$5:$I$904,"")+COUNTIFS($B$5:$B$904,$B985,$I$5:$I$904,0))</f>
        <v/>
      </c>
      <c r="L985" s="39" t="str">
        <f aca="false">IF($B985="","",IF(N($K985)&gt;0,"⚠ 有 "&amp;N($K985)&amp;" 行还没填单价","✔ 已全部定价"))</f>
        <v/>
      </c>
    </row>
    <row r="986" customFormat="false" ht="13.5" hidden="false" customHeight="false" outlineLevel="0" collapsed="false">
      <c r="A986" s="40" t="str">
        <f aca="false">IF($B986="","",ROW()-908)</f>
        <v/>
      </c>
      <c r="B986" s="39" t="str">
        <f aca="false">IFERROR(INDEX($U$5:$U$124,ROW()-908),"")</f>
        <v/>
      </c>
      <c r="C986" s="41" t="str">
        <f aca="false">IF($B986="","",ROUND(SUMIFS($K$5:$K$904,$B$5:$B$904,$B986,$D$5:$D$904,"周转打冷"),2))</f>
        <v/>
      </c>
      <c r="D986" s="41" t="str">
        <f aca="false">IF($B986="","",ROUND(SUMIFS($K$5:$K$904,$B$5:$B$904,$B986,$D$5:$D$904,"仓储加工"),2))</f>
        <v/>
      </c>
      <c r="E986" s="41" t="str">
        <f aca="false">IF($B986="","",ROUND(SUMIFS($K$5:$K$904,$B$5:$B$904,$B986,$D$5:$D$904,"装卸费"),2))</f>
        <v/>
      </c>
      <c r="F986" s="41" t="str">
        <f aca="false">IF($B986="","",ROUND(N($C986)+N($D986)+N($E986),2))</f>
        <v/>
      </c>
      <c r="G986" s="51" t="str">
        <f aca="false">IF($B986="","",SUMIFS($E$5:$E$904,$B$5:$B$904,$B986,$D$5:$D$904,"周转打冷"))</f>
        <v/>
      </c>
      <c r="H986" s="51" t="str">
        <f aca="false">IF($B986="","",SUMIFS($E$5:$E$904,$B$5:$B$904,$B986,$D$5:$D$904,"仓储加工"))</f>
        <v/>
      </c>
      <c r="I986" s="51" t="str">
        <f aca="false">IF($B986="","",N($G986)+N($H986))</f>
        <v/>
      </c>
      <c r="J986" s="52" t="str">
        <f aca="false">IF($B986="","",ROUND(SUMIFS($G$5:$G$904,$B$5:$B$904,$B986,$D$5:$D$904,"周转打冷")+SUMIFS($G$5:$G$904,$B$5:$B$904,$B986,$D$5:$D$904,"仓储加工"),3))</f>
        <v/>
      </c>
      <c r="K986" s="51" t="str">
        <f aca="false">IF($B986="","",COUNTIFS($B$5:$B$904,$B986,$I$5:$I$904,"")+COUNTIFS($B$5:$B$904,$B986,$I$5:$I$904,0))</f>
        <v/>
      </c>
      <c r="L986" s="39" t="str">
        <f aca="false">IF($B986="","",IF(N($K986)&gt;0,"⚠ 有 "&amp;N($K986)&amp;" 行还没填单价","✔ 已全部定价"))</f>
        <v/>
      </c>
    </row>
    <row r="987" customFormat="false" ht="13.5" hidden="false" customHeight="false" outlineLevel="0" collapsed="false">
      <c r="A987" s="40" t="str">
        <f aca="false">IF($B987="","",ROW()-908)</f>
        <v/>
      </c>
      <c r="B987" s="39" t="str">
        <f aca="false">IFERROR(INDEX($U$5:$U$124,ROW()-908),"")</f>
        <v/>
      </c>
      <c r="C987" s="41" t="str">
        <f aca="false">IF($B987="","",ROUND(SUMIFS($K$5:$K$904,$B$5:$B$904,$B987,$D$5:$D$904,"周转打冷"),2))</f>
        <v/>
      </c>
      <c r="D987" s="41" t="str">
        <f aca="false">IF($B987="","",ROUND(SUMIFS($K$5:$K$904,$B$5:$B$904,$B987,$D$5:$D$904,"仓储加工"),2))</f>
        <v/>
      </c>
      <c r="E987" s="41" t="str">
        <f aca="false">IF($B987="","",ROUND(SUMIFS($K$5:$K$904,$B$5:$B$904,$B987,$D$5:$D$904,"装卸费"),2))</f>
        <v/>
      </c>
      <c r="F987" s="41" t="str">
        <f aca="false">IF($B987="","",ROUND(N($C987)+N($D987)+N($E987),2))</f>
        <v/>
      </c>
      <c r="G987" s="51" t="str">
        <f aca="false">IF($B987="","",SUMIFS($E$5:$E$904,$B$5:$B$904,$B987,$D$5:$D$904,"周转打冷"))</f>
        <v/>
      </c>
      <c r="H987" s="51" t="str">
        <f aca="false">IF($B987="","",SUMIFS($E$5:$E$904,$B$5:$B$904,$B987,$D$5:$D$904,"仓储加工"))</f>
        <v/>
      </c>
      <c r="I987" s="51" t="str">
        <f aca="false">IF($B987="","",N($G987)+N($H987))</f>
        <v/>
      </c>
      <c r="J987" s="52" t="str">
        <f aca="false">IF($B987="","",ROUND(SUMIFS($G$5:$G$904,$B$5:$B$904,$B987,$D$5:$D$904,"周转打冷")+SUMIFS($G$5:$G$904,$B$5:$B$904,$B987,$D$5:$D$904,"仓储加工"),3))</f>
        <v/>
      </c>
      <c r="K987" s="51" t="str">
        <f aca="false">IF($B987="","",COUNTIFS($B$5:$B$904,$B987,$I$5:$I$904,"")+COUNTIFS($B$5:$B$904,$B987,$I$5:$I$904,0))</f>
        <v/>
      </c>
      <c r="L987" s="39" t="str">
        <f aca="false">IF($B987="","",IF(N($K987)&gt;0,"⚠ 有 "&amp;N($K987)&amp;" 行还没填单价","✔ 已全部定价"))</f>
        <v/>
      </c>
    </row>
    <row r="988" customFormat="false" ht="13.5" hidden="false" customHeight="false" outlineLevel="0" collapsed="false">
      <c r="A988" s="40" t="str">
        <f aca="false">IF($B988="","",ROW()-908)</f>
        <v/>
      </c>
      <c r="B988" s="39" t="str">
        <f aca="false">IFERROR(INDEX($U$5:$U$124,ROW()-908),"")</f>
        <v/>
      </c>
      <c r="C988" s="41" t="str">
        <f aca="false">IF($B988="","",ROUND(SUMIFS($K$5:$K$904,$B$5:$B$904,$B988,$D$5:$D$904,"周转打冷"),2))</f>
        <v/>
      </c>
      <c r="D988" s="41" t="str">
        <f aca="false">IF($B988="","",ROUND(SUMIFS($K$5:$K$904,$B$5:$B$904,$B988,$D$5:$D$904,"仓储加工"),2))</f>
        <v/>
      </c>
      <c r="E988" s="41" t="str">
        <f aca="false">IF($B988="","",ROUND(SUMIFS($K$5:$K$904,$B$5:$B$904,$B988,$D$5:$D$904,"装卸费"),2))</f>
        <v/>
      </c>
      <c r="F988" s="41" t="str">
        <f aca="false">IF($B988="","",ROUND(N($C988)+N($D988)+N($E988),2))</f>
        <v/>
      </c>
      <c r="G988" s="51" t="str">
        <f aca="false">IF($B988="","",SUMIFS($E$5:$E$904,$B$5:$B$904,$B988,$D$5:$D$904,"周转打冷"))</f>
        <v/>
      </c>
      <c r="H988" s="51" t="str">
        <f aca="false">IF($B988="","",SUMIFS($E$5:$E$904,$B$5:$B$904,$B988,$D$5:$D$904,"仓储加工"))</f>
        <v/>
      </c>
      <c r="I988" s="51" t="str">
        <f aca="false">IF($B988="","",N($G988)+N($H988))</f>
        <v/>
      </c>
      <c r="J988" s="52" t="str">
        <f aca="false">IF($B988="","",ROUND(SUMIFS($G$5:$G$904,$B$5:$B$904,$B988,$D$5:$D$904,"周转打冷")+SUMIFS($G$5:$G$904,$B$5:$B$904,$B988,$D$5:$D$904,"仓储加工"),3))</f>
        <v/>
      </c>
      <c r="K988" s="51" t="str">
        <f aca="false">IF($B988="","",COUNTIFS($B$5:$B$904,$B988,$I$5:$I$904,"")+COUNTIFS($B$5:$B$904,$B988,$I$5:$I$904,0))</f>
        <v/>
      </c>
      <c r="L988" s="39" t="str">
        <f aca="false">IF($B988="","",IF(N($K988)&gt;0,"⚠ 有 "&amp;N($K988)&amp;" 行还没填单价","✔ 已全部定价"))</f>
        <v/>
      </c>
    </row>
    <row r="989" customFormat="false" ht="13.5" hidden="false" customHeight="false" outlineLevel="0" collapsed="false">
      <c r="A989" s="40" t="str">
        <f aca="false">IF($B989="","",ROW()-908)</f>
        <v/>
      </c>
      <c r="B989" s="39" t="str">
        <f aca="false">IFERROR(INDEX($U$5:$U$124,ROW()-908),"")</f>
        <v/>
      </c>
      <c r="C989" s="41" t="str">
        <f aca="false">IF($B989="","",ROUND(SUMIFS($K$5:$K$904,$B$5:$B$904,$B989,$D$5:$D$904,"周转打冷"),2))</f>
        <v/>
      </c>
      <c r="D989" s="41" t="str">
        <f aca="false">IF($B989="","",ROUND(SUMIFS($K$5:$K$904,$B$5:$B$904,$B989,$D$5:$D$904,"仓储加工"),2))</f>
        <v/>
      </c>
      <c r="E989" s="41" t="str">
        <f aca="false">IF($B989="","",ROUND(SUMIFS($K$5:$K$904,$B$5:$B$904,$B989,$D$5:$D$904,"装卸费"),2))</f>
        <v/>
      </c>
      <c r="F989" s="41" t="str">
        <f aca="false">IF($B989="","",ROUND(N($C989)+N($D989)+N($E989),2))</f>
        <v/>
      </c>
      <c r="G989" s="51" t="str">
        <f aca="false">IF($B989="","",SUMIFS($E$5:$E$904,$B$5:$B$904,$B989,$D$5:$D$904,"周转打冷"))</f>
        <v/>
      </c>
      <c r="H989" s="51" t="str">
        <f aca="false">IF($B989="","",SUMIFS($E$5:$E$904,$B$5:$B$904,$B989,$D$5:$D$904,"仓储加工"))</f>
        <v/>
      </c>
      <c r="I989" s="51" t="str">
        <f aca="false">IF($B989="","",N($G989)+N($H989))</f>
        <v/>
      </c>
      <c r="J989" s="52" t="str">
        <f aca="false">IF($B989="","",ROUND(SUMIFS($G$5:$G$904,$B$5:$B$904,$B989,$D$5:$D$904,"周转打冷")+SUMIFS($G$5:$G$904,$B$5:$B$904,$B989,$D$5:$D$904,"仓储加工"),3))</f>
        <v/>
      </c>
      <c r="K989" s="51" t="str">
        <f aca="false">IF($B989="","",COUNTIFS($B$5:$B$904,$B989,$I$5:$I$904,"")+COUNTIFS($B$5:$B$904,$B989,$I$5:$I$904,0))</f>
        <v/>
      </c>
      <c r="L989" s="39" t="str">
        <f aca="false">IF($B989="","",IF(N($K989)&gt;0,"⚠ 有 "&amp;N($K989)&amp;" 行还没填单价","✔ 已全部定价"))</f>
        <v/>
      </c>
    </row>
    <row r="990" customFormat="false" ht="13.5" hidden="false" customHeight="false" outlineLevel="0" collapsed="false">
      <c r="A990" s="40" t="str">
        <f aca="false">IF($B990="","",ROW()-908)</f>
        <v/>
      </c>
      <c r="B990" s="39" t="str">
        <f aca="false">IFERROR(INDEX($U$5:$U$124,ROW()-908),"")</f>
        <v/>
      </c>
      <c r="C990" s="41" t="str">
        <f aca="false">IF($B990="","",ROUND(SUMIFS($K$5:$K$904,$B$5:$B$904,$B990,$D$5:$D$904,"周转打冷"),2))</f>
        <v/>
      </c>
      <c r="D990" s="41" t="str">
        <f aca="false">IF($B990="","",ROUND(SUMIFS($K$5:$K$904,$B$5:$B$904,$B990,$D$5:$D$904,"仓储加工"),2))</f>
        <v/>
      </c>
      <c r="E990" s="41" t="str">
        <f aca="false">IF($B990="","",ROUND(SUMIFS($K$5:$K$904,$B$5:$B$904,$B990,$D$5:$D$904,"装卸费"),2))</f>
        <v/>
      </c>
      <c r="F990" s="41" t="str">
        <f aca="false">IF($B990="","",ROUND(N($C990)+N($D990)+N($E990),2))</f>
        <v/>
      </c>
      <c r="G990" s="51" t="str">
        <f aca="false">IF($B990="","",SUMIFS($E$5:$E$904,$B$5:$B$904,$B990,$D$5:$D$904,"周转打冷"))</f>
        <v/>
      </c>
      <c r="H990" s="51" t="str">
        <f aca="false">IF($B990="","",SUMIFS($E$5:$E$904,$B$5:$B$904,$B990,$D$5:$D$904,"仓储加工"))</f>
        <v/>
      </c>
      <c r="I990" s="51" t="str">
        <f aca="false">IF($B990="","",N($G990)+N($H990))</f>
        <v/>
      </c>
      <c r="J990" s="52" t="str">
        <f aca="false">IF($B990="","",ROUND(SUMIFS($G$5:$G$904,$B$5:$B$904,$B990,$D$5:$D$904,"周转打冷")+SUMIFS($G$5:$G$904,$B$5:$B$904,$B990,$D$5:$D$904,"仓储加工"),3))</f>
        <v/>
      </c>
      <c r="K990" s="51" t="str">
        <f aca="false">IF($B990="","",COUNTIFS($B$5:$B$904,$B990,$I$5:$I$904,"")+COUNTIFS($B$5:$B$904,$B990,$I$5:$I$904,0))</f>
        <v/>
      </c>
      <c r="L990" s="39" t="str">
        <f aca="false">IF($B990="","",IF(N($K990)&gt;0,"⚠ 有 "&amp;N($K990)&amp;" 行还没填单价","✔ 已全部定价"))</f>
        <v/>
      </c>
    </row>
    <row r="991" customFormat="false" ht="13.5" hidden="false" customHeight="false" outlineLevel="0" collapsed="false">
      <c r="A991" s="40" t="str">
        <f aca="false">IF($B991="","",ROW()-908)</f>
        <v/>
      </c>
      <c r="B991" s="39" t="str">
        <f aca="false">IFERROR(INDEX($U$5:$U$124,ROW()-908),"")</f>
        <v/>
      </c>
      <c r="C991" s="41" t="str">
        <f aca="false">IF($B991="","",ROUND(SUMIFS($K$5:$K$904,$B$5:$B$904,$B991,$D$5:$D$904,"周转打冷"),2))</f>
        <v/>
      </c>
      <c r="D991" s="41" t="str">
        <f aca="false">IF($B991="","",ROUND(SUMIFS($K$5:$K$904,$B$5:$B$904,$B991,$D$5:$D$904,"仓储加工"),2))</f>
        <v/>
      </c>
      <c r="E991" s="41" t="str">
        <f aca="false">IF($B991="","",ROUND(SUMIFS($K$5:$K$904,$B$5:$B$904,$B991,$D$5:$D$904,"装卸费"),2))</f>
        <v/>
      </c>
      <c r="F991" s="41" t="str">
        <f aca="false">IF($B991="","",ROUND(N($C991)+N($D991)+N($E991),2))</f>
        <v/>
      </c>
      <c r="G991" s="51" t="str">
        <f aca="false">IF($B991="","",SUMIFS($E$5:$E$904,$B$5:$B$904,$B991,$D$5:$D$904,"周转打冷"))</f>
        <v/>
      </c>
      <c r="H991" s="51" t="str">
        <f aca="false">IF($B991="","",SUMIFS($E$5:$E$904,$B$5:$B$904,$B991,$D$5:$D$904,"仓储加工"))</f>
        <v/>
      </c>
      <c r="I991" s="51" t="str">
        <f aca="false">IF($B991="","",N($G991)+N($H991))</f>
        <v/>
      </c>
      <c r="J991" s="52" t="str">
        <f aca="false">IF($B991="","",ROUND(SUMIFS($G$5:$G$904,$B$5:$B$904,$B991,$D$5:$D$904,"周转打冷")+SUMIFS($G$5:$G$904,$B$5:$B$904,$B991,$D$5:$D$904,"仓储加工"),3))</f>
        <v/>
      </c>
      <c r="K991" s="51" t="str">
        <f aca="false">IF($B991="","",COUNTIFS($B$5:$B$904,$B991,$I$5:$I$904,"")+COUNTIFS($B$5:$B$904,$B991,$I$5:$I$904,0))</f>
        <v/>
      </c>
      <c r="L991" s="39" t="str">
        <f aca="false">IF($B991="","",IF(N($K991)&gt;0,"⚠ 有 "&amp;N($K991)&amp;" 行还没填单价","✔ 已全部定价"))</f>
        <v/>
      </c>
    </row>
    <row r="992" customFormat="false" ht="13.5" hidden="false" customHeight="false" outlineLevel="0" collapsed="false">
      <c r="A992" s="40" t="str">
        <f aca="false">IF($B992="","",ROW()-908)</f>
        <v/>
      </c>
      <c r="B992" s="39" t="str">
        <f aca="false">IFERROR(INDEX($U$5:$U$124,ROW()-908),"")</f>
        <v/>
      </c>
      <c r="C992" s="41" t="str">
        <f aca="false">IF($B992="","",ROUND(SUMIFS($K$5:$K$904,$B$5:$B$904,$B992,$D$5:$D$904,"周转打冷"),2))</f>
        <v/>
      </c>
      <c r="D992" s="41" t="str">
        <f aca="false">IF($B992="","",ROUND(SUMIFS($K$5:$K$904,$B$5:$B$904,$B992,$D$5:$D$904,"仓储加工"),2))</f>
        <v/>
      </c>
      <c r="E992" s="41" t="str">
        <f aca="false">IF($B992="","",ROUND(SUMIFS($K$5:$K$904,$B$5:$B$904,$B992,$D$5:$D$904,"装卸费"),2))</f>
        <v/>
      </c>
      <c r="F992" s="41" t="str">
        <f aca="false">IF($B992="","",ROUND(N($C992)+N($D992)+N($E992),2))</f>
        <v/>
      </c>
      <c r="G992" s="51" t="str">
        <f aca="false">IF($B992="","",SUMIFS($E$5:$E$904,$B$5:$B$904,$B992,$D$5:$D$904,"周转打冷"))</f>
        <v/>
      </c>
      <c r="H992" s="51" t="str">
        <f aca="false">IF($B992="","",SUMIFS($E$5:$E$904,$B$5:$B$904,$B992,$D$5:$D$904,"仓储加工"))</f>
        <v/>
      </c>
      <c r="I992" s="51" t="str">
        <f aca="false">IF($B992="","",N($G992)+N($H992))</f>
        <v/>
      </c>
      <c r="J992" s="52" t="str">
        <f aca="false">IF($B992="","",ROUND(SUMIFS($G$5:$G$904,$B$5:$B$904,$B992,$D$5:$D$904,"周转打冷")+SUMIFS($G$5:$G$904,$B$5:$B$904,$B992,$D$5:$D$904,"仓储加工"),3))</f>
        <v/>
      </c>
      <c r="K992" s="51" t="str">
        <f aca="false">IF($B992="","",COUNTIFS($B$5:$B$904,$B992,$I$5:$I$904,"")+COUNTIFS($B$5:$B$904,$B992,$I$5:$I$904,0))</f>
        <v/>
      </c>
      <c r="L992" s="39" t="str">
        <f aca="false">IF($B992="","",IF(N($K992)&gt;0,"⚠ 有 "&amp;N($K992)&amp;" 行还没填单价","✔ 已全部定价"))</f>
        <v/>
      </c>
    </row>
    <row r="993" customFormat="false" ht="13.5" hidden="false" customHeight="false" outlineLevel="0" collapsed="false">
      <c r="A993" s="40" t="str">
        <f aca="false">IF($B993="","",ROW()-908)</f>
        <v/>
      </c>
      <c r="B993" s="39" t="str">
        <f aca="false">IFERROR(INDEX($U$5:$U$124,ROW()-908),"")</f>
        <v/>
      </c>
      <c r="C993" s="41" t="str">
        <f aca="false">IF($B993="","",ROUND(SUMIFS($K$5:$K$904,$B$5:$B$904,$B993,$D$5:$D$904,"周转打冷"),2))</f>
        <v/>
      </c>
      <c r="D993" s="41" t="str">
        <f aca="false">IF($B993="","",ROUND(SUMIFS($K$5:$K$904,$B$5:$B$904,$B993,$D$5:$D$904,"仓储加工"),2))</f>
        <v/>
      </c>
      <c r="E993" s="41" t="str">
        <f aca="false">IF($B993="","",ROUND(SUMIFS($K$5:$K$904,$B$5:$B$904,$B993,$D$5:$D$904,"装卸费"),2))</f>
        <v/>
      </c>
      <c r="F993" s="41" t="str">
        <f aca="false">IF($B993="","",ROUND(N($C993)+N($D993)+N($E993),2))</f>
        <v/>
      </c>
      <c r="G993" s="51" t="str">
        <f aca="false">IF($B993="","",SUMIFS($E$5:$E$904,$B$5:$B$904,$B993,$D$5:$D$904,"周转打冷"))</f>
        <v/>
      </c>
      <c r="H993" s="51" t="str">
        <f aca="false">IF($B993="","",SUMIFS($E$5:$E$904,$B$5:$B$904,$B993,$D$5:$D$904,"仓储加工"))</f>
        <v/>
      </c>
      <c r="I993" s="51" t="str">
        <f aca="false">IF($B993="","",N($G993)+N($H993))</f>
        <v/>
      </c>
      <c r="J993" s="52" t="str">
        <f aca="false">IF($B993="","",ROUND(SUMIFS($G$5:$G$904,$B$5:$B$904,$B993,$D$5:$D$904,"周转打冷")+SUMIFS($G$5:$G$904,$B$5:$B$904,$B993,$D$5:$D$904,"仓储加工"),3))</f>
        <v/>
      </c>
      <c r="K993" s="51" t="str">
        <f aca="false">IF($B993="","",COUNTIFS($B$5:$B$904,$B993,$I$5:$I$904,"")+COUNTIFS($B$5:$B$904,$B993,$I$5:$I$904,0))</f>
        <v/>
      </c>
      <c r="L993" s="39" t="str">
        <f aca="false">IF($B993="","",IF(N($K993)&gt;0,"⚠ 有 "&amp;N($K993)&amp;" 行还没填单价","✔ 已全部定价"))</f>
        <v/>
      </c>
    </row>
    <row r="994" customFormat="false" ht="13.5" hidden="false" customHeight="false" outlineLevel="0" collapsed="false">
      <c r="A994" s="40" t="str">
        <f aca="false">IF($B994="","",ROW()-908)</f>
        <v/>
      </c>
      <c r="B994" s="39" t="str">
        <f aca="false">IFERROR(INDEX($U$5:$U$124,ROW()-908),"")</f>
        <v/>
      </c>
      <c r="C994" s="41" t="str">
        <f aca="false">IF($B994="","",ROUND(SUMIFS($K$5:$K$904,$B$5:$B$904,$B994,$D$5:$D$904,"周转打冷"),2))</f>
        <v/>
      </c>
      <c r="D994" s="41" t="str">
        <f aca="false">IF($B994="","",ROUND(SUMIFS($K$5:$K$904,$B$5:$B$904,$B994,$D$5:$D$904,"仓储加工"),2))</f>
        <v/>
      </c>
      <c r="E994" s="41" t="str">
        <f aca="false">IF($B994="","",ROUND(SUMIFS($K$5:$K$904,$B$5:$B$904,$B994,$D$5:$D$904,"装卸费"),2))</f>
        <v/>
      </c>
      <c r="F994" s="41" t="str">
        <f aca="false">IF($B994="","",ROUND(N($C994)+N($D994)+N($E994),2))</f>
        <v/>
      </c>
      <c r="G994" s="51" t="str">
        <f aca="false">IF($B994="","",SUMIFS($E$5:$E$904,$B$5:$B$904,$B994,$D$5:$D$904,"周转打冷"))</f>
        <v/>
      </c>
      <c r="H994" s="51" t="str">
        <f aca="false">IF($B994="","",SUMIFS($E$5:$E$904,$B$5:$B$904,$B994,$D$5:$D$904,"仓储加工"))</f>
        <v/>
      </c>
      <c r="I994" s="51" t="str">
        <f aca="false">IF($B994="","",N($G994)+N($H994))</f>
        <v/>
      </c>
      <c r="J994" s="52" t="str">
        <f aca="false">IF($B994="","",ROUND(SUMIFS($G$5:$G$904,$B$5:$B$904,$B994,$D$5:$D$904,"周转打冷")+SUMIFS($G$5:$G$904,$B$5:$B$904,$B994,$D$5:$D$904,"仓储加工"),3))</f>
        <v/>
      </c>
      <c r="K994" s="51" t="str">
        <f aca="false">IF($B994="","",COUNTIFS($B$5:$B$904,$B994,$I$5:$I$904,"")+COUNTIFS($B$5:$B$904,$B994,$I$5:$I$904,0))</f>
        <v/>
      </c>
      <c r="L994" s="39" t="str">
        <f aca="false">IF($B994="","",IF(N($K994)&gt;0,"⚠ 有 "&amp;N($K994)&amp;" 行还没填单价","✔ 已全部定价"))</f>
        <v/>
      </c>
    </row>
    <row r="995" customFormat="false" ht="13.5" hidden="false" customHeight="false" outlineLevel="0" collapsed="false">
      <c r="A995" s="40" t="str">
        <f aca="false">IF($B995="","",ROW()-908)</f>
        <v/>
      </c>
      <c r="B995" s="39" t="str">
        <f aca="false">IFERROR(INDEX($U$5:$U$124,ROW()-908),"")</f>
        <v/>
      </c>
      <c r="C995" s="41" t="str">
        <f aca="false">IF($B995="","",ROUND(SUMIFS($K$5:$K$904,$B$5:$B$904,$B995,$D$5:$D$904,"周转打冷"),2))</f>
        <v/>
      </c>
      <c r="D995" s="41" t="str">
        <f aca="false">IF($B995="","",ROUND(SUMIFS($K$5:$K$904,$B$5:$B$904,$B995,$D$5:$D$904,"仓储加工"),2))</f>
        <v/>
      </c>
      <c r="E995" s="41" t="str">
        <f aca="false">IF($B995="","",ROUND(SUMIFS($K$5:$K$904,$B$5:$B$904,$B995,$D$5:$D$904,"装卸费"),2))</f>
        <v/>
      </c>
      <c r="F995" s="41" t="str">
        <f aca="false">IF($B995="","",ROUND(N($C995)+N($D995)+N($E995),2))</f>
        <v/>
      </c>
      <c r="G995" s="51" t="str">
        <f aca="false">IF($B995="","",SUMIFS($E$5:$E$904,$B$5:$B$904,$B995,$D$5:$D$904,"周转打冷"))</f>
        <v/>
      </c>
      <c r="H995" s="51" t="str">
        <f aca="false">IF($B995="","",SUMIFS($E$5:$E$904,$B$5:$B$904,$B995,$D$5:$D$904,"仓储加工"))</f>
        <v/>
      </c>
      <c r="I995" s="51" t="str">
        <f aca="false">IF($B995="","",N($G995)+N($H995))</f>
        <v/>
      </c>
      <c r="J995" s="52" t="str">
        <f aca="false">IF($B995="","",ROUND(SUMIFS($G$5:$G$904,$B$5:$B$904,$B995,$D$5:$D$904,"周转打冷")+SUMIFS($G$5:$G$904,$B$5:$B$904,$B995,$D$5:$D$904,"仓储加工"),3))</f>
        <v/>
      </c>
      <c r="K995" s="51" t="str">
        <f aca="false">IF($B995="","",COUNTIFS($B$5:$B$904,$B995,$I$5:$I$904,"")+COUNTIFS($B$5:$B$904,$B995,$I$5:$I$904,0))</f>
        <v/>
      </c>
      <c r="L995" s="39" t="str">
        <f aca="false">IF($B995="","",IF(N($K995)&gt;0,"⚠ 有 "&amp;N($K995)&amp;" 行还没填单价","✔ 已全部定价"))</f>
        <v/>
      </c>
    </row>
    <row r="996" customFormat="false" ht="13.5" hidden="false" customHeight="false" outlineLevel="0" collapsed="false">
      <c r="A996" s="40" t="str">
        <f aca="false">IF($B996="","",ROW()-908)</f>
        <v/>
      </c>
      <c r="B996" s="39" t="str">
        <f aca="false">IFERROR(INDEX($U$5:$U$124,ROW()-908),"")</f>
        <v/>
      </c>
      <c r="C996" s="41" t="str">
        <f aca="false">IF($B996="","",ROUND(SUMIFS($K$5:$K$904,$B$5:$B$904,$B996,$D$5:$D$904,"周转打冷"),2))</f>
        <v/>
      </c>
      <c r="D996" s="41" t="str">
        <f aca="false">IF($B996="","",ROUND(SUMIFS($K$5:$K$904,$B$5:$B$904,$B996,$D$5:$D$904,"仓储加工"),2))</f>
        <v/>
      </c>
      <c r="E996" s="41" t="str">
        <f aca="false">IF($B996="","",ROUND(SUMIFS($K$5:$K$904,$B$5:$B$904,$B996,$D$5:$D$904,"装卸费"),2))</f>
        <v/>
      </c>
      <c r="F996" s="41" t="str">
        <f aca="false">IF($B996="","",ROUND(N($C996)+N($D996)+N($E996),2))</f>
        <v/>
      </c>
      <c r="G996" s="51" t="str">
        <f aca="false">IF($B996="","",SUMIFS($E$5:$E$904,$B$5:$B$904,$B996,$D$5:$D$904,"周转打冷"))</f>
        <v/>
      </c>
      <c r="H996" s="51" t="str">
        <f aca="false">IF($B996="","",SUMIFS($E$5:$E$904,$B$5:$B$904,$B996,$D$5:$D$904,"仓储加工"))</f>
        <v/>
      </c>
      <c r="I996" s="51" t="str">
        <f aca="false">IF($B996="","",N($G996)+N($H996))</f>
        <v/>
      </c>
      <c r="J996" s="52" t="str">
        <f aca="false">IF($B996="","",ROUND(SUMIFS($G$5:$G$904,$B$5:$B$904,$B996,$D$5:$D$904,"周转打冷")+SUMIFS($G$5:$G$904,$B$5:$B$904,$B996,$D$5:$D$904,"仓储加工"),3))</f>
        <v/>
      </c>
      <c r="K996" s="51" t="str">
        <f aca="false">IF($B996="","",COUNTIFS($B$5:$B$904,$B996,$I$5:$I$904,"")+COUNTIFS($B$5:$B$904,$B996,$I$5:$I$904,0))</f>
        <v/>
      </c>
      <c r="L996" s="39" t="str">
        <f aca="false">IF($B996="","",IF(N($K996)&gt;0,"⚠ 有 "&amp;N($K996)&amp;" 行还没填单价","✔ 已全部定价"))</f>
        <v/>
      </c>
    </row>
    <row r="997" customFormat="false" ht="13.5" hidden="false" customHeight="false" outlineLevel="0" collapsed="false">
      <c r="A997" s="40" t="str">
        <f aca="false">IF($B997="","",ROW()-908)</f>
        <v/>
      </c>
      <c r="B997" s="39" t="str">
        <f aca="false">IFERROR(INDEX($U$5:$U$124,ROW()-908),"")</f>
        <v/>
      </c>
      <c r="C997" s="41" t="str">
        <f aca="false">IF($B997="","",ROUND(SUMIFS($K$5:$K$904,$B$5:$B$904,$B997,$D$5:$D$904,"周转打冷"),2))</f>
        <v/>
      </c>
      <c r="D997" s="41" t="str">
        <f aca="false">IF($B997="","",ROUND(SUMIFS($K$5:$K$904,$B$5:$B$904,$B997,$D$5:$D$904,"仓储加工"),2))</f>
        <v/>
      </c>
      <c r="E997" s="41" t="str">
        <f aca="false">IF($B997="","",ROUND(SUMIFS($K$5:$K$904,$B$5:$B$904,$B997,$D$5:$D$904,"装卸费"),2))</f>
        <v/>
      </c>
      <c r="F997" s="41" t="str">
        <f aca="false">IF($B997="","",ROUND(N($C997)+N($D997)+N($E997),2))</f>
        <v/>
      </c>
      <c r="G997" s="51" t="str">
        <f aca="false">IF($B997="","",SUMIFS($E$5:$E$904,$B$5:$B$904,$B997,$D$5:$D$904,"周转打冷"))</f>
        <v/>
      </c>
      <c r="H997" s="51" t="str">
        <f aca="false">IF($B997="","",SUMIFS($E$5:$E$904,$B$5:$B$904,$B997,$D$5:$D$904,"仓储加工"))</f>
        <v/>
      </c>
      <c r="I997" s="51" t="str">
        <f aca="false">IF($B997="","",N($G997)+N($H997))</f>
        <v/>
      </c>
      <c r="J997" s="52" t="str">
        <f aca="false">IF($B997="","",ROUND(SUMIFS($G$5:$G$904,$B$5:$B$904,$B997,$D$5:$D$904,"周转打冷")+SUMIFS($G$5:$G$904,$B$5:$B$904,$B997,$D$5:$D$904,"仓储加工"),3))</f>
        <v/>
      </c>
      <c r="K997" s="51" t="str">
        <f aca="false">IF($B997="","",COUNTIFS($B$5:$B$904,$B997,$I$5:$I$904,"")+COUNTIFS($B$5:$B$904,$B997,$I$5:$I$904,0))</f>
        <v/>
      </c>
      <c r="L997" s="39" t="str">
        <f aca="false">IF($B997="","",IF(N($K997)&gt;0,"⚠ 有 "&amp;N($K997)&amp;" 行还没填单价","✔ 已全部定价"))</f>
        <v/>
      </c>
    </row>
    <row r="998" customFormat="false" ht="13.5" hidden="false" customHeight="false" outlineLevel="0" collapsed="false">
      <c r="A998" s="40" t="str">
        <f aca="false">IF($B998="","",ROW()-908)</f>
        <v/>
      </c>
      <c r="B998" s="39" t="str">
        <f aca="false">IFERROR(INDEX($U$5:$U$124,ROW()-908),"")</f>
        <v/>
      </c>
      <c r="C998" s="41" t="str">
        <f aca="false">IF($B998="","",ROUND(SUMIFS($K$5:$K$904,$B$5:$B$904,$B998,$D$5:$D$904,"周转打冷"),2))</f>
        <v/>
      </c>
      <c r="D998" s="41" t="str">
        <f aca="false">IF($B998="","",ROUND(SUMIFS($K$5:$K$904,$B$5:$B$904,$B998,$D$5:$D$904,"仓储加工"),2))</f>
        <v/>
      </c>
      <c r="E998" s="41" t="str">
        <f aca="false">IF($B998="","",ROUND(SUMIFS($K$5:$K$904,$B$5:$B$904,$B998,$D$5:$D$904,"装卸费"),2))</f>
        <v/>
      </c>
      <c r="F998" s="41" t="str">
        <f aca="false">IF($B998="","",ROUND(N($C998)+N($D998)+N($E998),2))</f>
        <v/>
      </c>
      <c r="G998" s="51" t="str">
        <f aca="false">IF($B998="","",SUMIFS($E$5:$E$904,$B$5:$B$904,$B998,$D$5:$D$904,"周转打冷"))</f>
        <v/>
      </c>
      <c r="H998" s="51" t="str">
        <f aca="false">IF($B998="","",SUMIFS($E$5:$E$904,$B$5:$B$904,$B998,$D$5:$D$904,"仓储加工"))</f>
        <v/>
      </c>
      <c r="I998" s="51" t="str">
        <f aca="false">IF($B998="","",N($G998)+N($H998))</f>
        <v/>
      </c>
      <c r="J998" s="52" t="str">
        <f aca="false">IF($B998="","",ROUND(SUMIFS($G$5:$G$904,$B$5:$B$904,$B998,$D$5:$D$904,"周转打冷")+SUMIFS($G$5:$G$904,$B$5:$B$904,$B998,$D$5:$D$904,"仓储加工"),3))</f>
        <v/>
      </c>
      <c r="K998" s="51" t="str">
        <f aca="false">IF($B998="","",COUNTIFS($B$5:$B$904,$B998,$I$5:$I$904,"")+COUNTIFS($B$5:$B$904,$B998,$I$5:$I$904,0))</f>
        <v/>
      </c>
      <c r="L998" s="39" t="str">
        <f aca="false">IF($B998="","",IF(N($K998)&gt;0,"⚠ 有 "&amp;N($K998)&amp;" 行还没填单价","✔ 已全部定价"))</f>
        <v/>
      </c>
    </row>
    <row r="999" customFormat="false" ht="13.5" hidden="false" customHeight="false" outlineLevel="0" collapsed="false">
      <c r="A999" s="40" t="str">
        <f aca="false">IF($B999="","",ROW()-908)</f>
        <v/>
      </c>
      <c r="B999" s="39" t="str">
        <f aca="false">IFERROR(INDEX($U$5:$U$124,ROW()-908),"")</f>
        <v/>
      </c>
      <c r="C999" s="41" t="str">
        <f aca="false">IF($B999="","",ROUND(SUMIFS($K$5:$K$904,$B$5:$B$904,$B999,$D$5:$D$904,"周转打冷"),2))</f>
        <v/>
      </c>
      <c r="D999" s="41" t="str">
        <f aca="false">IF($B999="","",ROUND(SUMIFS($K$5:$K$904,$B$5:$B$904,$B999,$D$5:$D$904,"仓储加工"),2))</f>
        <v/>
      </c>
      <c r="E999" s="41" t="str">
        <f aca="false">IF($B999="","",ROUND(SUMIFS($K$5:$K$904,$B$5:$B$904,$B999,$D$5:$D$904,"装卸费"),2))</f>
        <v/>
      </c>
      <c r="F999" s="41" t="str">
        <f aca="false">IF($B999="","",ROUND(N($C999)+N($D999)+N($E999),2))</f>
        <v/>
      </c>
      <c r="G999" s="51" t="str">
        <f aca="false">IF($B999="","",SUMIFS($E$5:$E$904,$B$5:$B$904,$B999,$D$5:$D$904,"周转打冷"))</f>
        <v/>
      </c>
      <c r="H999" s="51" t="str">
        <f aca="false">IF($B999="","",SUMIFS($E$5:$E$904,$B$5:$B$904,$B999,$D$5:$D$904,"仓储加工"))</f>
        <v/>
      </c>
      <c r="I999" s="51" t="str">
        <f aca="false">IF($B999="","",N($G999)+N($H999))</f>
        <v/>
      </c>
      <c r="J999" s="52" t="str">
        <f aca="false">IF($B999="","",ROUND(SUMIFS($G$5:$G$904,$B$5:$B$904,$B999,$D$5:$D$904,"周转打冷")+SUMIFS($G$5:$G$904,$B$5:$B$904,$B999,$D$5:$D$904,"仓储加工"),3))</f>
        <v/>
      </c>
      <c r="K999" s="51" t="str">
        <f aca="false">IF($B999="","",COUNTIFS($B$5:$B$904,$B999,$I$5:$I$904,"")+COUNTIFS($B$5:$B$904,$B999,$I$5:$I$904,0))</f>
        <v/>
      </c>
      <c r="L999" s="39" t="str">
        <f aca="false">IF($B999="","",IF(N($K999)&gt;0,"⚠ 有 "&amp;N($K999)&amp;" 行还没填单价","✔ 已全部定价"))</f>
        <v/>
      </c>
    </row>
    <row r="1000" customFormat="false" ht="13.5" hidden="false" customHeight="false" outlineLevel="0" collapsed="false">
      <c r="A1000" s="40" t="str">
        <f aca="false">IF($B1000="","",ROW()-908)</f>
        <v/>
      </c>
      <c r="B1000" s="39" t="str">
        <f aca="false">IFERROR(INDEX($U$5:$U$124,ROW()-908),"")</f>
        <v/>
      </c>
      <c r="C1000" s="41" t="str">
        <f aca="false">IF($B1000="","",ROUND(SUMIFS($K$5:$K$904,$B$5:$B$904,$B1000,$D$5:$D$904,"周转打冷"),2))</f>
        <v/>
      </c>
      <c r="D1000" s="41" t="str">
        <f aca="false">IF($B1000="","",ROUND(SUMIFS($K$5:$K$904,$B$5:$B$904,$B1000,$D$5:$D$904,"仓储加工"),2))</f>
        <v/>
      </c>
      <c r="E1000" s="41" t="str">
        <f aca="false">IF($B1000="","",ROUND(SUMIFS($K$5:$K$904,$B$5:$B$904,$B1000,$D$5:$D$904,"装卸费"),2))</f>
        <v/>
      </c>
      <c r="F1000" s="41" t="str">
        <f aca="false">IF($B1000="","",ROUND(N($C1000)+N($D1000)+N($E1000),2))</f>
        <v/>
      </c>
      <c r="G1000" s="51" t="str">
        <f aca="false">IF($B1000="","",SUMIFS($E$5:$E$904,$B$5:$B$904,$B1000,$D$5:$D$904,"周转打冷"))</f>
        <v/>
      </c>
      <c r="H1000" s="51" t="str">
        <f aca="false">IF($B1000="","",SUMIFS($E$5:$E$904,$B$5:$B$904,$B1000,$D$5:$D$904,"仓储加工"))</f>
        <v/>
      </c>
      <c r="I1000" s="51" t="str">
        <f aca="false">IF($B1000="","",N($G1000)+N($H1000))</f>
        <v/>
      </c>
      <c r="J1000" s="52" t="str">
        <f aca="false">IF($B1000="","",ROUND(SUMIFS($G$5:$G$904,$B$5:$B$904,$B1000,$D$5:$D$904,"周转打冷")+SUMIFS($G$5:$G$904,$B$5:$B$904,$B1000,$D$5:$D$904,"仓储加工"),3))</f>
        <v/>
      </c>
      <c r="K1000" s="51" t="str">
        <f aca="false">IF($B1000="","",COUNTIFS($B$5:$B$904,$B1000,$I$5:$I$904,"")+COUNTIFS($B$5:$B$904,$B1000,$I$5:$I$904,0))</f>
        <v/>
      </c>
      <c r="L1000" s="39" t="str">
        <f aca="false">IF($B1000="","",IF(N($K1000)&gt;0,"⚠ 有 "&amp;N($K1000)&amp;" 行还没填单价","✔ 已全部定价"))</f>
        <v/>
      </c>
    </row>
    <row r="1001" customFormat="false" ht="13.5" hidden="false" customHeight="false" outlineLevel="0" collapsed="false">
      <c r="A1001" s="40" t="str">
        <f aca="false">IF($B1001="","",ROW()-908)</f>
        <v/>
      </c>
      <c r="B1001" s="39" t="str">
        <f aca="false">IFERROR(INDEX($U$5:$U$124,ROW()-908),"")</f>
        <v/>
      </c>
      <c r="C1001" s="41" t="str">
        <f aca="false">IF($B1001="","",ROUND(SUMIFS($K$5:$K$904,$B$5:$B$904,$B1001,$D$5:$D$904,"周转打冷"),2))</f>
        <v/>
      </c>
      <c r="D1001" s="41" t="str">
        <f aca="false">IF($B1001="","",ROUND(SUMIFS($K$5:$K$904,$B$5:$B$904,$B1001,$D$5:$D$904,"仓储加工"),2))</f>
        <v/>
      </c>
      <c r="E1001" s="41" t="str">
        <f aca="false">IF($B1001="","",ROUND(SUMIFS($K$5:$K$904,$B$5:$B$904,$B1001,$D$5:$D$904,"装卸费"),2))</f>
        <v/>
      </c>
      <c r="F1001" s="41" t="str">
        <f aca="false">IF($B1001="","",ROUND(N($C1001)+N($D1001)+N($E1001),2))</f>
        <v/>
      </c>
      <c r="G1001" s="51" t="str">
        <f aca="false">IF($B1001="","",SUMIFS($E$5:$E$904,$B$5:$B$904,$B1001,$D$5:$D$904,"周转打冷"))</f>
        <v/>
      </c>
      <c r="H1001" s="51" t="str">
        <f aca="false">IF($B1001="","",SUMIFS($E$5:$E$904,$B$5:$B$904,$B1001,$D$5:$D$904,"仓储加工"))</f>
        <v/>
      </c>
      <c r="I1001" s="51" t="str">
        <f aca="false">IF($B1001="","",N($G1001)+N($H1001))</f>
        <v/>
      </c>
      <c r="J1001" s="52" t="str">
        <f aca="false">IF($B1001="","",ROUND(SUMIFS($G$5:$G$904,$B$5:$B$904,$B1001,$D$5:$D$904,"周转打冷")+SUMIFS($G$5:$G$904,$B$5:$B$904,$B1001,$D$5:$D$904,"仓储加工"),3))</f>
        <v/>
      </c>
      <c r="K1001" s="51" t="str">
        <f aca="false">IF($B1001="","",COUNTIFS($B$5:$B$904,$B1001,$I$5:$I$904,"")+COUNTIFS($B$5:$B$904,$B1001,$I$5:$I$904,0))</f>
        <v/>
      </c>
      <c r="L1001" s="39" t="str">
        <f aca="false">IF($B1001="","",IF(N($K1001)&gt;0,"⚠ 有 "&amp;N($K1001)&amp;" 行还没填单价","✔ 已全部定价"))</f>
        <v/>
      </c>
    </row>
    <row r="1002" customFormat="false" ht="13.5" hidden="false" customHeight="false" outlineLevel="0" collapsed="false">
      <c r="A1002" s="40" t="str">
        <f aca="false">IF($B1002="","",ROW()-908)</f>
        <v/>
      </c>
      <c r="B1002" s="39" t="str">
        <f aca="false">IFERROR(INDEX($U$5:$U$124,ROW()-908),"")</f>
        <v/>
      </c>
      <c r="C1002" s="41" t="str">
        <f aca="false">IF($B1002="","",ROUND(SUMIFS($K$5:$K$904,$B$5:$B$904,$B1002,$D$5:$D$904,"周转打冷"),2))</f>
        <v/>
      </c>
      <c r="D1002" s="41" t="str">
        <f aca="false">IF($B1002="","",ROUND(SUMIFS($K$5:$K$904,$B$5:$B$904,$B1002,$D$5:$D$904,"仓储加工"),2))</f>
        <v/>
      </c>
      <c r="E1002" s="41" t="str">
        <f aca="false">IF($B1002="","",ROUND(SUMIFS($K$5:$K$904,$B$5:$B$904,$B1002,$D$5:$D$904,"装卸费"),2))</f>
        <v/>
      </c>
      <c r="F1002" s="41" t="str">
        <f aca="false">IF($B1002="","",ROUND(N($C1002)+N($D1002)+N($E1002),2))</f>
        <v/>
      </c>
      <c r="G1002" s="51" t="str">
        <f aca="false">IF($B1002="","",SUMIFS($E$5:$E$904,$B$5:$B$904,$B1002,$D$5:$D$904,"周转打冷"))</f>
        <v/>
      </c>
      <c r="H1002" s="51" t="str">
        <f aca="false">IF($B1002="","",SUMIFS($E$5:$E$904,$B$5:$B$904,$B1002,$D$5:$D$904,"仓储加工"))</f>
        <v/>
      </c>
      <c r="I1002" s="51" t="str">
        <f aca="false">IF($B1002="","",N($G1002)+N($H1002))</f>
        <v/>
      </c>
      <c r="J1002" s="52" t="str">
        <f aca="false">IF($B1002="","",ROUND(SUMIFS($G$5:$G$904,$B$5:$B$904,$B1002,$D$5:$D$904,"周转打冷")+SUMIFS($G$5:$G$904,$B$5:$B$904,$B1002,$D$5:$D$904,"仓储加工"),3))</f>
        <v/>
      </c>
      <c r="K1002" s="51" t="str">
        <f aca="false">IF($B1002="","",COUNTIFS($B$5:$B$904,$B1002,$I$5:$I$904,"")+COUNTIFS($B$5:$B$904,$B1002,$I$5:$I$904,0))</f>
        <v/>
      </c>
      <c r="L1002" s="39" t="str">
        <f aca="false">IF($B1002="","",IF(N($K1002)&gt;0,"⚠ 有 "&amp;N($K1002)&amp;" 行还没填单价","✔ 已全部定价"))</f>
        <v/>
      </c>
    </row>
    <row r="1003" customFormat="false" ht="13.5" hidden="false" customHeight="false" outlineLevel="0" collapsed="false">
      <c r="A1003" s="40" t="str">
        <f aca="false">IF($B1003="","",ROW()-908)</f>
        <v/>
      </c>
      <c r="B1003" s="39" t="str">
        <f aca="false">IFERROR(INDEX($U$5:$U$124,ROW()-908),"")</f>
        <v/>
      </c>
      <c r="C1003" s="41" t="str">
        <f aca="false">IF($B1003="","",ROUND(SUMIFS($K$5:$K$904,$B$5:$B$904,$B1003,$D$5:$D$904,"周转打冷"),2))</f>
        <v/>
      </c>
      <c r="D1003" s="41" t="str">
        <f aca="false">IF($B1003="","",ROUND(SUMIFS($K$5:$K$904,$B$5:$B$904,$B1003,$D$5:$D$904,"仓储加工"),2))</f>
        <v/>
      </c>
      <c r="E1003" s="41" t="str">
        <f aca="false">IF($B1003="","",ROUND(SUMIFS($K$5:$K$904,$B$5:$B$904,$B1003,$D$5:$D$904,"装卸费"),2))</f>
        <v/>
      </c>
      <c r="F1003" s="41" t="str">
        <f aca="false">IF($B1003="","",ROUND(N($C1003)+N($D1003)+N($E1003),2))</f>
        <v/>
      </c>
      <c r="G1003" s="51" t="str">
        <f aca="false">IF($B1003="","",SUMIFS($E$5:$E$904,$B$5:$B$904,$B1003,$D$5:$D$904,"周转打冷"))</f>
        <v/>
      </c>
      <c r="H1003" s="51" t="str">
        <f aca="false">IF($B1003="","",SUMIFS($E$5:$E$904,$B$5:$B$904,$B1003,$D$5:$D$904,"仓储加工"))</f>
        <v/>
      </c>
      <c r="I1003" s="51" t="str">
        <f aca="false">IF($B1003="","",N($G1003)+N($H1003))</f>
        <v/>
      </c>
      <c r="J1003" s="52" t="str">
        <f aca="false">IF($B1003="","",ROUND(SUMIFS($G$5:$G$904,$B$5:$B$904,$B1003,$D$5:$D$904,"周转打冷")+SUMIFS($G$5:$G$904,$B$5:$B$904,$B1003,$D$5:$D$904,"仓储加工"),3))</f>
        <v/>
      </c>
      <c r="K1003" s="51" t="str">
        <f aca="false">IF($B1003="","",COUNTIFS($B$5:$B$904,$B1003,$I$5:$I$904,"")+COUNTIFS($B$5:$B$904,$B1003,$I$5:$I$904,0))</f>
        <v/>
      </c>
      <c r="L1003" s="39" t="str">
        <f aca="false">IF($B1003="","",IF(N($K1003)&gt;0,"⚠ 有 "&amp;N($K1003)&amp;" 行还没填单价","✔ 已全部定价"))</f>
        <v/>
      </c>
    </row>
    <row r="1004" customFormat="false" ht="13.5" hidden="false" customHeight="false" outlineLevel="0" collapsed="false">
      <c r="A1004" s="40" t="str">
        <f aca="false">IF($B1004="","",ROW()-908)</f>
        <v/>
      </c>
      <c r="B1004" s="39" t="str">
        <f aca="false">IFERROR(INDEX($U$5:$U$124,ROW()-908),"")</f>
        <v/>
      </c>
      <c r="C1004" s="41" t="str">
        <f aca="false">IF($B1004="","",ROUND(SUMIFS($K$5:$K$904,$B$5:$B$904,$B1004,$D$5:$D$904,"周转打冷"),2))</f>
        <v/>
      </c>
      <c r="D1004" s="41" t="str">
        <f aca="false">IF($B1004="","",ROUND(SUMIFS($K$5:$K$904,$B$5:$B$904,$B1004,$D$5:$D$904,"仓储加工"),2))</f>
        <v/>
      </c>
      <c r="E1004" s="41" t="str">
        <f aca="false">IF($B1004="","",ROUND(SUMIFS($K$5:$K$904,$B$5:$B$904,$B1004,$D$5:$D$904,"装卸费"),2))</f>
        <v/>
      </c>
      <c r="F1004" s="41" t="str">
        <f aca="false">IF($B1004="","",ROUND(N($C1004)+N($D1004)+N($E1004),2))</f>
        <v/>
      </c>
      <c r="G1004" s="51" t="str">
        <f aca="false">IF($B1004="","",SUMIFS($E$5:$E$904,$B$5:$B$904,$B1004,$D$5:$D$904,"周转打冷"))</f>
        <v/>
      </c>
      <c r="H1004" s="51" t="str">
        <f aca="false">IF($B1004="","",SUMIFS($E$5:$E$904,$B$5:$B$904,$B1004,$D$5:$D$904,"仓储加工"))</f>
        <v/>
      </c>
      <c r="I1004" s="51" t="str">
        <f aca="false">IF($B1004="","",N($G1004)+N($H1004))</f>
        <v/>
      </c>
      <c r="J1004" s="52" t="str">
        <f aca="false">IF($B1004="","",ROUND(SUMIFS($G$5:$G$904,$B$5:$B$904,$B1004,$D$5:$D$904,"周转打冷")+SUMIFS($G$5:$G$904,$B$5:$B$904,$B1004,$D$5:$D$904,"仓储加工"),3))</f>
        <v/>
      </c>
      <c r="K1004" s="51" t="str">
        <f aca="false">IF($B1004="","",COUNTIFS($B$5:$B$904,$B1004,$I$5:$I$904,"")+COUNTIFS($B$5:$B$904,$B1004,$I$5:$I$904,0))</f>
        <v/>
      </c>
      <c r="L1004" s="39" t="str">
        <f aca="false">IF($B1004="","",IF(N($K1004)&gt;0,"⚠ 有 "&amp;N($K1004)&amp;" 行还没填单价","✔ 已全部定价"))</f>
        <v/>
      </c>
    </row>
    <row r="1005" customFormat="false" ht="13.5" hidden="false" customHeight="false" outlineLevel="0" collapsed="false">
      <c r="A1005" s="40" t="str">
        <f aca="false">IF($B1005="","",ROW()-908)</f>
        <v/>
      </c>
      <c r="B1005" s="39" t="str">
        <f aca="false">IFERROR(INDEX($U$5:$U$124,ROW()-908),"")</f>
        <v/>
      </c>
      <c r="C1005" s="41" t="str">
        <f aca="false">IF($B1005="","",ROUND(SUMIFS($K$5:$K$904,$B$5:$B$904,$B1005,$D$5:$D$904,"周转打冷"),2))</f>
        <v/>
      </c>
      <c r="D1005" s="41" t="str">
        <f aca="false">IF($B1005="","",ROUND(SUMIFS($K$5:$K$904,$B$5:$B$904,$B1005,$D$5:$D$904,"仓储加工"),2))</f>
        <v/>
      </c>
      <c r="E1005" s="41" t="str">
        <f aca="false">IF($B1005="","",ROUND(SUMIFS($K$5:$K$904,$B$5:$B$904,$B1005,$D$5:$D$904,"装卸费"),2))</f>
        <v/>
      </c>
      <c r="F1005" s="41" t="str">
        <f aca="false">IF($B1005="","",ROUND(N($C1005)+N($D1005)+N($E1005),2))</f>
        <v/>
      </c>
      <c r="G1005" s="51" t="str">
        <f aca="false">IF($B1005="","",SUMIFS($E$5:$E$904,$B$5:$B$904,$B1005,$D$5:$D$904,"周转打冷"))</f>
        <v/>
      </c>
      <c r="H1005" s="51" t="str">
        <f aca="false">IF($B1005="","",SUMIFS($E$5:$E$904,$B$5:$B$904,$B1005,$D$5:$D$904,"仓储加工"))</f>
        <v/>
      </c>
      <c r="I1005" s="51" t="str">
        <f aca="false">IF($B1005="","",N($G1005)+N($H1005))</f>
        <v/>
      </c>
      <c r="J1005" s="52" t="str">
        <f aca="false">IF($B1005="","",ROUND(SUMIFS($G$5:$G$904,$B$5:$B$904,$B1005,$D$5:$D$904,"周转打冷")+SUMIFS($G$5:$G$904,$B$5:$B$904,$B1005,$D$5:$D$904,"仓储加工"),3))</f>
        <v/>
      </c>
      <c r="K1005" s="51" t="str">
        <f aca="false">IF($B1005="","",COUNTIFS($B$5:$B$904,$B1005,$I$5:$I$904,"")+COUNTIFS($B$5:$B$904,$B1005,$I$5:$I$904,0))</f>
        <v/>
      </c>
      <c r="L1005" s="39" t="str">
        <f aca="false">IF($B1005="","",IF(N($K1005)&gt;0,"⚠ 有 "&amp;N($K1005)&amp;" 行还没填单价","✔ 已全部定价"))</f>
        <v/>
      </c>
    </row>
    <row r="1006" customFormat="false" ht="13.5" hidden="false" customHeight="false" outlineLevel="0" collapsed="false">
      <c r="A1006" s="40" t="str">
        <f aca="false">IF($B1006="","",ROW()-908)</f>
        <v/>
      </c>
      <c r="B1006" s="39" t="str">
        <f aca="false">IFERROR(INDEX($U$5:$U$124,ROW()-908),"")</f>
        <v/>
      </c>
      <c r="C1006" s="41" t="str">
        <f aca="false">IF($B1006="","",ROUND(SUMIFS($K$5:$K$904,$B$5:$B$904,$B1006,$D$5:$D$904,"周转打冷"),2))</f>
        <v/>
      </c>
      <c r="D1006" s="41" t="str">
        <f aca="false">IF($B1006="","",ROUND(SUMIFS($K$5:$K$904,$B$5:$B$904,$B1006,$D$5:$D$904,"仓储加工"),2))</f>
        <v/>
      </c>
      <c r="E1006" s="41" t="str">
        <f aca="false">IF($B1006="","",ROUND(SUMIFS($K$5:$K$904,$B$5:$B$904,$B1006,$D$5:$D$904,"装卸费"),2))</f>
        <v/>
      </c>
      <c r="F1006" s="41" t="str">
        <f aca="false">IF($B1006="","",ROUND(N($C1006)+N($D1006)+N($E1006),2))</f>
        <v/>
      </c>
      <c r="G1006" s="51" t="str">
        <f aca="false">IF($B1006="","",SUMIFS($E$5:$E$904,$B$5:$B$904,$B1006,$D$5:$D$904,"周转打冷"))</f>
        <v/>
      </c>
      <c r="H1006" s="51" t="str">
        <f aca="false">IF($B1006="","",SUMIFS($E$5:$E$904,$B$5:$B$904,$B1006,$D$5:$D$904,"仓储加工"))</f>
        <v/>
      </c>
      <c r="I1006" s="51" t="str">
        <f aca="false">IF($B1006="","",N($G1006)+N($H1006))</f>
        <v/>
      </c>
      <c r="J1006" s="52" t="str">
        <f aca="false">IF($B1006="","",ROUND(SUMIFS($G$5:$G$904,$B$5:$B$904,$B1006,$D$5:$D$904,"周转打冷")+SUMIFS($G$5:$G$904,$B$5:$B$904,$B1006,$D$5:$D$904,"仓储加工"),3))</f>
        <v/>
      </c>
      <c r="K1006" s="51" t="str">
        <f aca="false">IF($B1006="","",COUNTIFS($B$5:$B$904,$B1006,$I$5:$I$904,"")+COUNTIFS($B$5:$B$904,$B1006,$I$5:$I$904,0))</f>
        <v/>
      </c>
      <c r="L1006" s="39" t="str">
        <f aca="false">IF($B1006="","",IF(N($K1006)&gt;0,"⚠ 有 "&amp;N($K1006)&amp;" 行还没填单价","✔ 已全部定价"))</f>
        <v/>
      </c>
    </row>
    <row r="1007" customFormat="false" ht="13.5" hidden="false" customHeight="false" outlineLevel="0" collapsed="false">
      <c r="A1007" s="40" t="str">
        <f aca="false">IF($B1007="","",ROW()-908)</f>
        <v/>
      </c>
      <c r="B1007" s="39" t="str">
        <f aca="false">IFERROR(INDEX($U$5:$U$124,ROW()-908),"")</f>
        <v/>
      </c>
      <c r="C1007" s="41" t="str">
        <f aca="false">IF($B1007="","",ROUND(SUMIFS($K$5:$K$904,$B$5:$B$904,$B1007,$D$5:$D$904,"周转打冷"),2))</f>
        <v/>
      </c>
      <c r="D1007" s="41" t="str">
        <f aca="false">IF($B1007="","",ROUND(SUMIFS($K$5:$K$904,$B$5:$B$904,$B1007,$D$5:$D$904,"仓储加工"),2))</f>
        <v/>
      </c>
      <c r="E1007" s="41" t="str">
        <f aca="false">IF($B1007="","",ROUND(SUMIFS($K$5:$K$904,$B$5:$B$904,$B1007,$D$5:$D$904,"装卸费"),2))</f>
        <v/>
      </c>
      <c r="F1007" s="41" t="str">
        <f aca="false">IF($B1007="","",ROUND(N($C1007)+N($D1007)+N($E1007),2))</f>
        <v/>
      </c>
      <c r="G1007" s="51" t="str">
        <f aca="false">IF($B1007="","",SUMIFS($E$5:$E$904,$B$5:$B$904,$B1007,$D$5:$D$904,"周转打冷"))</f>
        <v/>
      </c>
      <c r="H1007" s="51" t="str">
        <f aca="false">IF($B1007="","",SUMIFS($E$5:$E$904,$B$5:$B$904,$B1007,$D$5:$D$904,"仓储加工"))</f>
        <v/>
      </c>
      <c r="I1007" s="51" t="str">
        <f aca="false">IF($B1007="","",N($G1007)+N($H1007))</f>
        <v/>
      </c>
      <c r="J1007" s="52" t="str">
        <f aca="false">IF($B1007="","",ROUND(SUMIFS($G$5:$G$904,$B$5:$B$904,$B1007,$D$5:$D$904,"周转打冷")+SUMIFS($G$5:$G$904,$B$5:$B$904,$B1007,$D$5:$D$904,"仓储加工"),3))</f>
        <v/>
      </c>
      <c r="K1007" s="51" t="str">
        <f aca="false">IF($B1007="","",COUNTIFS($B$5:$B$904,$B1007,$I$5:$I$904,"")+COUNTIFS($B$5:$B$904,$B1007,$I$5:$I$904,0))</f>
        <v/>
      </c>
      <c r="L1007" s="39" t="str">
        <f aca="false">IF($B1007="","",IF(N($K1007)&gt;0,"⚠ 有 "&amp;N($K1007)&amp;" 行还没填单价","✔ 已全部定价"))</f>
        <v/>
      </c>
    </row>
    <row r="1008" customFormat="false" ht="13.5" hidden="false" customHeight="false" outlineLevel="0" collapsed="false">
      <c r="A1008" s="40" t="str">
        <f aca="false">IF($B1008="","",ROW()-908)</f>
        <v/>
      </c>
      <c r="B1008" s="39" t="str">
        <f aca="false">IFERROR(INDEX($U$5:$U$124,ROW()-908),"")</f>
        <v/>
      </c>
      <c r="C1008" s="41" t="str">
        <f aca="false">IF($B1008="","",ROUND(SUMIFS($K$5:$K$904,$B$5:$B$904,$B1008,$D$5:$D$904,"周转打冷"),2))</f>
        <v/>
      </c>
      <c r="D1008" s="41" t="str">
        <f aca="false">IF($B1008="","",ROUND(SUMIFS($K$5:$K$904,$B$5:$B$904,$B1008,$D$5:$D$904,"仓储加工"),2))</f>
        <v/>
      </c>
      <c r="E1008" s="41" t="str">
        <f aca="false">IF($B1008="","",ROUND(SUMIFS($K$5:$K$904,$B$5:$B$904,$B1008,$D$5:$D$904,"装卸费"),2))</f>
        <v/>
      </c>
      <c r="F1008" s="41" t="str">
        <f aca="false">IF($B1008="","",ROUND(N($C1008)+N($D1008)+N($E1008),2))</f>
        <v/>
      </c>
      <c r="G1008" s="51" t="str">
        <f aca="false">IF($B1008="","",SUMIFS($E$5:$E$904,$B$5:$B$904,$B1008,$D$5:$D$904,"周转打冷"))</f>
        <v/>
      </c>
      <c r="H1008" s="51" t="str">
        <f aca="false">IF($B1008="","",SUMIFS($E$5:$E$904,$B$5:$B$904,$B1008,$D$5:$D$904,"仓储加工"))</f>
        <v/>
      </c>
      <c r="I1008" s="51" t="str">
        <f aca="false">IF($B1008="","",N($G1008)+N($H1008))</f>
        <v/>
      </c>
      <c r="J1008" s="52" t="str">
        <f aca="false">IF($B1008="","",ROUND(SUMIFS($G$5:$G$904,$B$5:$B$904,$B1008,$D$5:$D$904,"周转打冷")+SUMIFS($G$5:$G$904,$B$5:$B$904,$B1008,$D$5:$D$904,"仓储加工"),3))</f>
        <v/>
      </c>
      <c r="K1008" s="51" t="str">
        <f aca="false">IF($B1008="","",COUNTIFS($B$5:$B$904,$B1008,$I$5:$I$904,"")+COUNTIFS($B$5:$B$904,$B1008,$I$5:$I$904,0))</f>
        <v/>
      </c>
      <c r="L1008" s="39" t="str">
        <f aca="false">IF($B1008="","",IF(N($K1008)&gt;0,"⚠ 有 "&amp;N($K1008)&amp;" 行还没填单价","✔ 已全部定价"))</f>
        <v/>
      </c>
    </row>
    <row r="1009" customFormat="false" ht="13.5" hidden="false" customHeight="false" outlineLevel="0" collapsed="false">
      <c r="A1009" s="40" t="str">
        <f aca="false">IF($B1009="","",ROW()-908)</f>
        <v/>
      </c>
      <c r="B1009" s="39" t="str">
        <f aca="false">IFERROR(INDEX($U$5:$U$124,ROW()-908),"")</f>
        <v/>
      </c>
      <c r="C1009" s="41" t="str">
        <f aca="false">IF($B1009="","",ROUND(SUMIFS($K$5:$K$904,$B$5:$B$904,$B1009,$D$5:$D$904,"周转打冷"),2))</f>
        <v/>
      </c>
      <c r="D1009" s="41" t="str">
        <f aca="false">IF($B1009="","",ROUND(SUMIFS($K$5:$K$904,$B$5:$B$904,$B1009,$D$5:$D$904,"仓储加工"),2))</f>
        <v/>
      </c>
      <c r="E1009" s="41" t="str">
        <f aca="false">IF($B1009="","",ROUND(SUMIFS($K$5:$K$904,$B$5:$B$904,$B1009,$D$5:$D$904,"装卸费"),2))</f>
        <v/>
      </c>
      <c r="F1009" s="41" t="str">
        <f aca="false">IF($B1009="","",ROUND(N($C1009)+N($D1009)+N($E1009),2))</f>
        <v/>
      </c>
      <c r="G1009" s="51" t="str">
        <f aca="false">IF($B1009="","",SUMIFS($E$5:$E$904,$B$5:$B$904,$B1009,$D$5:$D$904,"周转打冷"))</f>
        <v/>
      </c>
      <c r="H1009" s="51" t="str">
        <f aca="false">IF($B1009="","",SUMIFS($E$5:$E$904,$B$5:$B$904,$B1009,$D$5:$D$904,"仓储加工"))</f>
        <v/>
      </c>
      <c r="I1009" s="51" t="str">
        <f aca="false">IF($B1009="","",N($G1009)+N($H1009))</f>
        <v/>
      </c>
      <c r="J1009" s="52" t="str">
        <f aca="false">IF($B1009="","",ROUND(SUMIFS($G$5:$G$904,$B$5:$B$904,$B1009,$D$5:$D$904,"周转打冷")+SUMIFS($G$5:$G$904,$B$5:$B$904,$B1009,$D$5:$D$904,"仓储加工"),3))</f>
        <v/>
      </c>
      <c r="K1009" s="51" t="str">
        <f aca="false">IF($B1009="","",COUNTIFS($B$5:$B$904,$B1009,$I$5:$I$904,"")+COUNTIFS($B$5:$B$904,$B1009,$I$5:$I$904,0))</f>
        <v/>
      </c>
      <c r="L1009" s="39" t="str">
        <f aca="false">IF($B1009="","",IF(N($K1009)&gt;0,"⚠ 有 "&amp;N($K1009)&amp;" 行还没填单价","✔ 已全部定价"))</f>
        <v/>
      </c>
    </row>
    <row r="1010" customFormat="false" ht="13.5" hidden="false" customHeight="false" outlineLevel="0" collapsed="false">
      <c r="A1010" s="40" t="str">
        <f aca="false">IF($B1010="","",ROW()-908)</f>
        <v/>
      </c>
      <c r="B1010" s="39" t="str">
        <f aca="false">IFERROR(INDEX($U$5:$U$124,ROW()-908),"")</f>
        <v/>
      </c>
      <c r="C1010" s="41" t="str">
        <f aca="false">IF($B1010="","",ROUND(SUMIFS($K$5:$K$904,$B$5:$B$904,$B1010,$D$5:$D$904,"周转打冷"),2))</f>
        <v/>
      </c>
      <c r="D1010" s="41" t="str">
        <f aca="false">IF($B1010="","",ROUND(SUMIFS($K$5:$K$904,$B$5:$B$904,$B1010,$D$5:$D$904,"仓储加工"),2))</f>
        <v/>
      </c>
      <c r="E1010" s="41" t="str">
        <f aca="false">IF($B1010="","",ROUND(SUMIFS($K$5:$K$904,$B$5:$B$904,$B1010,$D$5:$D$904,"装卸费"),2))</f>
        <v/>
      </c>
      <c r="F1010" s="41" t="str">
        <f aca="false">IF($B1010="","",ROUND(N($C1010)+N($D1010)+N($E1010),2))</f>
        <v/>
      </c>
      <c r="G1010" s="51" t="str">
        <f aca="false">IF($B1010="","",SUMIFS($E$5:$E$904,$B$5:$B$904,$B1010,$D$5:$D$904,"周转打冷"))</f>
        <v/>
      </c>
      <c r="H1010" s="51" t="str">
        <f aca="false">IF($B1010="","",SUMIFS($E$5:$E$904,$B$5:$B$904,$B1010,$D$5:$D$904,"仓储加工"))</f>
        <v/>
      </c>
      <c r="I1010" s="51" t="str">
        <f aca="false">IF($B1010="","",N($G1010)+N($H1010))</f>
        <v/>
      </c>
      <c r="J1010" s="52" t="str">
        <f aca="false">IF($B1010="","",ROUND(SUMIFS($G$5:$G$904,$B$5:$B$904,$B1010,$D$5:$D$904,"周转打冷")+SUMIFS($G$5:$G$904,$B$5:$B$904,$B1010,$D$5:$D$904,"仓储加工"),3))</f>
        <v/>
      </c>
      <c r="K1010" s="51" t="str">
        <f aca="false">IF($B1010="","",COUNTIFS($B$5:$B$904,$B1010,$I$5:$I$904,"")+COUNTIFS($B$5:$B$904,$B1010,$I$5:$I$904,0))</f>
        <v/>
      </c>
      <c r="L1010" s="39" t="str">
        <f aca="false">IF($B1010="","",IF(N($K1010)&gt;0,"⚠ 有 "&amp;N($K1010)&amp;" 行还没填单价","✔ 已全部定价"))</f>
        <v/>
      </c>
    </row>
    <row r="1011" customFormat="false" ht="13.5" hidden="false" customHeight="false" outlineLevel="0" collapsed="false">
      <c r="A1011" s="40" t="str">
        <f aca="false">IF($B1011="","",ROW()-908)</f>
        <v/>
      </c>
      <c r="B1011" s="39" t="str">
        <f aca="false">IFERROR(INDEX($U$5:$U$124,ROW()-908),"")</f>
        <v/>
      </c>
      <c r="C1011" s="41" t="str">
        <f aca="false">IF($B1011="","",ROUND(SUMIFS($K$5:$K$904,$B$5:$B$904,$B1011,$D$5:$D$904,"周转打冷"),2))</f>
        <v/>
      </c>
      <c r="D1011" s="41" t="str">
        <f aca="false">IF($B1011="","",ROUND(SUMIFS($K$5:$K$904,$B$5:$B$904,$B1011,$D$5:$D$904,"仓储加工"),2))</f>
        <v/>
      </c>
      <c r="E1011" s="41" t="str">
        <f aca="false">IF($B1011="","",ROUND(SUMIFS($K$5:$K$904,$B$5:$B$904,$B1011,$D$5:$D$904,"装卸费"),2))</f>
        <v/>
      </c>
      <c r="F1011" s="41" t="str">
        <f aca="false">IF($B1011="","",ROUND(N($C1011)+N($D1011)+N($E1011),2))</f>
        <v/>
      </c>
      <c r="G1011" s="51" t="str">
        <f aca="false">IF($B1011="","",SUMIFS($E$5:$E$904,$B$5:$B$904,$B1011,$D$5:$D$904,"周转打冷"))</f>
        <v/>
      </c>
      <c r="H1011" s="51" t="str">
        <f aca="false">IF($B1011="","",SUMIFS($E$5:$E$904,$B$5:$B$904,$B1011,$D$5:$D$904,"仓储加工"))</f>
        <v/>
      </c>
      <c r="I1011" s="51" t="str">
        <f aca="false">IF($B1011="","",N($G1011)+N($H1011))</f>
        <v/>
      </c>
      <c r="J1011" s="52" t="str">
        <f aca="false">IF($B1011="","",ROUND(SUMIFS($G$5:$G$904,$B$5:$B$904,$B1011,$D$5:$D$904,"周转打冷")+SUMIFS($G$5:$G$904,$B$5:$B$904,$B1011,$D$5:$D$904,"仓储加工"),3))</f>
        <v/>
      </c>
      <c r="K1011" s="51" t="str">
        <f aca="false">IF($B1011="","",COUNTIFS($B$5:$B$904,$B1011,$I$5:$I$904,"")+COUNTIFS($B$5:$B$904,$B1011,$I$5:$I$904,0))</f>
        <v/>
      </c>
      <c r="L1011" s="39" t="str">
        <f aca="false">IF($B1011="","",IF(N($K1011)&gt;0,"⚠ 有 "&amp;N($K1011)&amp;" 行还没填单价","✔ 已全部定价"))</f>
        <v/>
      </c>
    </row>
    <row r="1012" customFormat="false" ht="13.5" hidden="false" customHeight="false" outlineLevel="0" collapsed="false">
      <c r="A1012" s="40" t="str">
        <f aca="false">IF($B1012="","",ROW()-908)</f>
        <v/>
      </c>
      <c r="B1012" s="39" t="str">
        <f aca="false">IFERROR(INDEX($U$5:$U$124,ROW()-908),"")</f>
        <v/>
      </c>
      <c r="C1012" s="41" t="str">
        <f aca="false">IF($B1012="","",ROUND(SUMIFS($K$5:$K$904,$B$5:$B$904,$B1012,$D$5:$D$904,"周转打冷"),2))</f>
        <v/>
      </c>
      <c r="D1012" s="41" t="str">
        <f aca="false">IF($B1012="","",ROUND(SUMIFS($K$5:$K$904,$B$5:$B$904,$B1012,$D$5:$D$904,"仓储加工"),2))</f>
        <v/>
      </c>
      <c r="E1012" s="41" t="str">
        <f aca="false">IF($B1012="","",ROUND(SUMIFS($K$5:$K$904,$B$5:$B$904,$B1012,$D$5:$D$904,"装卸费"),2))</f>
        <v/>
      </c>
      <c r="F1012" s="41" t="str">
        <f aca="false">IF($B1012="","",ROUND(N($C1012)+N($D1012)+N($E1012),2))</f>
        <v/>
      </c>
      <c r="G1012" s="51" t="str">
        <f aca="false">IF($B1012="","",SUMIFS($E$5:$E$904,$B$5:$B$904,$B1012,$D$5:$D$904,"周转打冷"))</f>
        <v/>
      </c>
      <c r="H1012" s="51" t="str">
        <f aca="false">IF($B1012="","",SUMIFS($E$5:$E$904,$B$5:$B$904,$B1012,$D$5:$D$904,"仓储加工"))</f>
        <v/>
      </c>
      <c r="I1012" s="51" t="str">
        <f aca="false">IF($B1012="","",N($G1012)+N($H1012))</f>
        <v/>
      </c>
      <c r="J1012" s="52" t="str">
        <f aca="false">IF($B1012="","",ROUND(SUMIFS($G$5:$G$904,$B$5:$B$904,$B1012,$D$5:$D$904,"周转打冷")+SUMIFS($G$5:$G$904,$B$5:$B$904,$B1012,$D$5:$D$904,"仓储加工"),3))</f>
        <v/>
      </c>
      <c r="K1012" s="51" t="str">
        <f aca="false">IF($B1012="","",COUNTIFS($B$5:$B$904,$B1012,$I$5:$I$904,"")+COUNTIFS($B$5:$B$904,$B1012,$I$5:$I$904,0))</f>
        <v/>
      </c>
      <c r="L1012" s="39" t="str">
        <f aca="false">IF($B1012="","",IF(N($K1012)&gt;0,"⚠ 有 "&amp;N($K1012)&amp;" 行还没填单价","✔ 已全部定价"))</f>
        <v/>
      </c>
    </row>
    <row r="1013" customFormat="false" ht="13.5" hidden="false" customHeight="false" outlineLevel="0" collapsed="false">
      <c r="A1013" s="40" t="str">
        <f aca="false">IF($B1013="","",ROW()-908)</f>
        <v/>
      </c>
      <c r="B1013" s="39" t="str">
        <f aca="false">IFERROR(INDEX($U$5:$U$124,ROW()-908),"")</f>
        <v/>
      </c>
      <c r="C1013" s="41" t="str">
        <f aca="false">IF($B1013="","",ROUND(SUMIFS($K$5:$K$904,$B$5:$B$904,$B1013,$D$5:$D$904,"周转打冷"),2))</f>
        <v/>
      </c>
      <c r="D1013" s="41" t="str">
        <f aca="false">IF($B1013="","",ROUND(SUMIFS($K$5:$K$904,$B$5:$B$904,$B1013,$D$5:$D$904,"仓储加工"),2))</f>
        <v/>
      </c>
      <c r="E1013" s="41" t="str">
        <f aca="false">IF($B1013="","",ROUND(SUMIFS($K$5:$K$904,$B$5:$B$904,$B1013,$D$5:$D$904,"装卸费"),2))</f>
        <v/>
      </c>
      <c r="F1013" s="41" t="str">
        <f aca="false">IF($B1013="","",ROUND(N($C1013)+N($D1013)+N($E1013),2))</f>
        <v/>
      </c>
      <c r="G1013" s="51" t="str">
        <f aca="false">IF($B1013="","",SUMIFS($E$5:$E$904,$B$5:$B$904,$B1013,$D$5:$D$904,"周转打冷"))</f>
        <v/>
      </c>
      <c r="H1013" s="51" t="str">
        <f aca="false">IF($B1013="","",SUMIFS($E$5:$E$904,$B$5:$B$904,$B1013,$D$5:$D$904,"仓储加工"))</f>
        <v/>
      </c>
      <c r="I1013" s="51" t="str">
        <f aca="false">IF($B1013="","",N($G1013)+N($H1013))</f>
        <v/>
      </c>
      <c r="J1013" s="52" t="str">
        <f aca="false">IF($B1013="","",ROUND(SUMIFS($G$5:$G$904,$B$5:$B$904,$B1013,$D$5:$D$904,"周转打冷")+SUMIFS($G$5:$G$904,$B$5:$B$904,$B1013,$D$5:$D$904,"仓储加工"),3))</f>
        <v/>
      </c>
      <c r="K1013" s="51" t="str">
        <f aca="false">IF($B1013="","",COUNTIFS($B$5:$B$904,$B1013,$I$5:$I$904,"")+COUNTIFS($B$5:$B$904,$B1013,$I$5:$I$904,0))</f>
        <v/>
      </c>
      <c r="L1013" s="39" t="str">
        <f aca="false">IF($B1013="","",IF(N($K1013)&gt;0,"⚠ 有 "&amp;N($K1013)&amp;" 行还没填单价","✔ 已全部定价"))</f>
        <v/>
      </c>
    </row>
    <row r="1014" customFormat="false" ht="13.5" hidden="false" customHeight="false" outlineLevel="0" collapsed="false">
      <c r="A1014" s="40" t="str">
        <f aca="false">IF($B1014="","",ROW()-908)</f>
        <v/>
      </c>
      <c r="B1014" s="39" t="str">
        <f aca="false">IFERROR(INDEX($U$5:$U$124,ROW()-908),"")</f>
        <v/>
      </c>
      <c r="C1014" s="41" t="str">
        <f aca="false">IF($B1014="","",ROUND(SUMIFS($K$5:$K$904,$B$5:$B$904,$B1014,$D$5:$D$904,"周转打冷"),2))</f>
        <v/>
      </c>
      <c r="D1014" s="41" t="str">
        <f aca="false">IF($B1014="","",ROUND(SUMIFS($K$5:$K$904,$B$5:$B$904,$B1014,$D$5:$D$904,"仓储加工"),2))</f>
        <v/>
      </c>
      <c r="E1014" s="41" t="str">
        <f aca="false">IF($B1014="","",ROUND(SUMIFS($K$5:$K$904,$B$5:$B$904,$B1014,$D$5:$D$904,"装卸费"),2))</f>
        <v/>
      </c>
      <c r="F1014" s="41" t="str">
        <f aca="false">IF($B1014="","",ROUND(N($C1014)+N($D1014)+N($E1014),2))</f>
        <v/>
      </c>
      <c r="G1014" s="51" t="str">
        <f aca="false">IF($B1014="","",SUMIFS($E$5:$E$904,$B$5:$B$904,$B1014,$D$5:$D$904,"周转打冷"))</f>
        <v/>
      </c>
      <c r="H1014" s="51" t="str">
        <f aca="false">IF($B1014="","",SUMIFS($E$5:$E$904,$B$5:$B$904,$B1014,$D$5:$D$904,"仓储加工"))</f>
        <v/>
      </c>
      <c r="I1014" s="51" t="str">
        <f aca="false">IF($B1014="","",N($G1014)+N($H1014))</f>
        <v/>
      </c>
      <c r="J1014" s="52" t="str">
        <f aca="false">IF($B1014="","",ROUND(SUMIFS($G$5:$G$904,$B$5:$B$904,$B1014,$D$5:$D$904,"周转打冷")+SUMIFS($G$5:$G$904,$B$5:$B$904,$B1014,$D$5:$D$904,"仓储加工"),3))</f>
        <v/>
      </c>
      <c r="K1014" s="51" t="str">
        <f aca="false">IF($B1014="","",COUNTIFS($B$5:$B$904,$B1014,$I$5:$I$904,"")+COUNTIFS($B$5:$B$904,$B1014,$I$5:$I$904,0))</f>
        <v/>
      </c>
      <c r="L1014" s="39" t="str">
        <f aca="false">IF($B1014="","",IF(N($K1014)&gt;0,"⚠ 有 "&amp;N($K1014)&amp;" 行还没填单价","✔ 已全部定价"))</f>
        <v/>
      </c>
    </row>
    <row r="1015" customFormat="false" ht="13.5" hidden="false" customHeight="false" outlineLevel="0" collapsed="false">
      <c r="A1015" s="40" t="str">
        <f aca="false">IF($B1015="","",ROW()-908)</f>
        <v/>
      </c>
      <c r="B1015" s="39" t="str">
        <f aca="false">IFERROR(INDEX($U$5:$U$124,ROW()-908),"")</f>
        <v/>
      </c>
      <c r="C1015" s="41" t="str">
        <f aca="false">IF($B1015="","",ROUND(SUMIFS($K$5:$K$904,$B$5:$B$904,$B1015,$D$5:$D$904,"周转打冷"),2))</f>
        <v/>
      </c>
      <c r="D1015" s="41" t="str">
        <f aca="false">IF($B1015="","",ROUND(SUMIFS($K$5:$K$904,$B$5:$B$904,$B1015,$D$5:$D$904,"仓储加工"),2))</f>
        <v/>
      </c>
      <c r="E1015" s="41" t="str">
        <f aca="false">IF($B1015="","",ROUND(SUMIFS($K$5:$K$904,$B$5:$B$904,$B1015,$D$5:$D$904,"装卸费"),2))</f>
        <v/>
      </c>
      <c r="F1015" s="41" t="str">
        <f aca="false">IF($B1015="","",ROUND(N($C1015)+N($D1015)+N($E1015),2))</f>
        <v/>
      </c>
      <c r="G1015" s="51" t="str">
        <f aca="false">IF($B1015="","",SUMIFS($E$5:$E$904,$B$5:$B$904,$B1015,$D$5:$D$904,"周转打冷"))</f>
        <v/>
      </c>
      <c r="H1015" s="51" t="str">
        <f aca="false">IF($B1015="","",SUMIFS($E$5:$E$904,$B$5:$B$904,$B1015,$D$5:$D$904,"仓储加工"))</f>
        <v/>
      </c>
      <c r="I1015" s="51" t="str">
        <f aca="false">IF($B1015="","",N($G1015)+N($H1015))</f>
        <v/>
      </c>
      <c r="J1015" s="52" t="str">
        <f aca="false">IF($B1015="","",ROUND(SUMIFS($G$5:$G$904,$B$5:$B$904,$B1015,$D$5:$D$904,"周转打冷")+SUMIFS($G$5:$G$904,$B$5:$B$904,$B1015,$D$5:$D$904,"仓储加工"),3))</f>
        <v/>
      </c>
      <c r="K1015" s="51" t="str">
        <f aca="false">IF($B1015="","",COUNTIFS($B$5:$B$904,$B1015,$I$5:$I$904,"")+COUNTIFS($B$5:$B$904,$B1015,$I$5:$I$904,0))</f>
        <v/>
      </c>
      <c r="L1015" s="39" t="str">
        <f aca="false">IF($B1015="","",IF(N($K1015)&gt;0,"⚠ 有 "&amp;N($K1015)&amp;" 行还没填单价","✔ 已全部定价"))</f>
        <v/>
      </c>
    </row>
    <row r="1016" customFormat="false" ht="13.5" hidden="false" customHeight="false" outlineLevel="0" collapsed="false">
      <c r="A1016" s="40" t="str">
        <f aca="false">IF($B1016="","",ROW()-908)</f>
        <v/>
      </c>
      <c r="B1016" s="39" t="str">
        <f aca="false">IFERROR(INDEX($U$5:$U$124,ROW()-908),"")</f>
        <v/>
      </c>
      <c r="C1016" s="41" t="str">
        <f aca="false">IF($B1016="","",ROUND(SUMIFS($K$5:$K$904,$B$5:$B$904,$B1016,$D$5:$D$904,"周转打冷"),2))</f>
        <v/>
      </c>
      <c r="D1016" s="41" t="str">
        <f aca="false">IF($B1016="","",ROUND(SUMIFS($K$5:$K$904,$B$5:$B$904,$B1016,$D$5:$D$904,"仓储加工"),2))</f>
        <v/>
      </c>
      <c r="E1016" s="41" t="str">
        <f aca="false">IF($B1016="","",ROUND(SUMIFS($K$5:$K$904,$B$5:$B$904,$B1016,$D$5:$D$904,"装卸费"),2))</f>
        <v/>
      </c>
      <c r="F1016" s="41" t="str">
        <f aca="false">IF($B1016="","",ROUND(N($C1016)+N($D1016)+N($E1016),2))</f>
        <v/>
      </c>
      <c r="G1016" s="51" t="str">
        <f aca="false">IF($B1016="","",SUMIFS($E$5:$E$904,$B$5:$B$904,$B1016,$D$5:$D$904,"周转打冷"))</f>
        <v/>
      </c>
      <c r="H1016" s="51" t="str">
        <f aca="false">IF($B1016="","",SUMIFS($E$5:$E$904,$B$5:$B$904,$B1016,$D$5:$D$904,"仓储加工"))</f>
        <v/>
      </c>
      <c r="I1016" s="51" t="str">
        <f aca="false">IF($B1016="","",N($G1016)+N($H1016))</f>
        <v/>
      </c>
      <c r="J1016" s="52" t="str">
        <f aca="false">IF($B1016="","",ROUND(SUMIFS($G$5:$G$904,$B$5:$B$904,$B1016,$D$5:$D$904,"周转打冷")+SUMIFS($G$5:$G$904,$B$5:$B$904,$B1016,$D$5:$D$904,"仓储加工"),3))</f>
        <v/>
      </c>
      <c r="K1016" s="51" t="str">
        <f aca="false">IF($B1016="","",COUNTIFS($B$5:$B$904,$B1016,$I$5:$I$904,"")+COUNTIFS($B$5:$B$904,$B1016,$I$5:$I$904,0))</f>
        <v/>
      </c>
      <c r="L1016" s="39" t="str">
        <f aca="false">IF($B1016="","",IF(N($K1016)&gt;0,"⚠ 有 "&amp;N($K1016)&amp;" 行还没填单价","✔ 已全部定价"))</f>
        <v/>
      </c>
    </row>
    <row r="1017" customFormat="false" ht="13.5" hidden="false" customHeight="false" outlineLevel="0" collapsed="false">
      <c r="A1017" s="40" t="str">
        <f aca="false">IF($B1017="","",ROW()-908)</f>
        <v/>
      </c>
      <c r="B1017" s="39" t="str">
        <f aca="false">IFERROR(INDEX($U$5:$U$124,ROW()-908),"")</f>
        <v/>
      </c>
      <c r="C1017" s="41" t="str">
        <f aca="false">IF($B1017="","",ROUND(SUMIFS($K$5:$K$904,$B$5:$B$904,$B1017,$D$5:$D$904,"周转打冷"),2))</f>
        <v/>
      </c>
      <c r="D1017" s="41" t="str">
        <f aca="false">IF($B1017="","",ROUND(SUMIFS($K$5:$K$904,$B$5:$B$904,$B1017,$D$5:$D$904,"仓储加工"),2))</f>
        <v/>
      </c>
      <c r="E1017" s="41" t="str">
        <f aca="false">IF($B1017="","",ROUND(SUMIFS($K$5:$K$904,$B$5:$B$904,$B1017,$D$5:$D$904,"装卸费"),2))</f>
        <v/>
      </c>
      <c r="F1017" s="41" t="str">
        <f aca="false">IF($B1017="","",ROUND(N($C1017)+N($D1017)+N($E1017),2))</f>
        <v/>
      </c>
      <c r="G1017" s="51" t="str">
        <f aca="false">IF($B1017="","",SUMIFS($E$5:$E$904,$B$5:$B$904,$B1017,$D$5:$D$904,"周转打冷"))</f>
        <v/>
      </c>
      <c r="H1017" s="51" t="str">
        <f aca="false">IF($B1017="","",SUMIFS($E$5:$E$904,$B$5:$B$904,$B1017,$D$5:$D$904,"仓储加工"))</f>
        <v/>
      </c>
      <c r="I1017" s="51" t="str">
        <f aca="false">IF($B1017="","",N($G1017)+N($H1017))</f>
        <v/>
      </c>
      <c r="J1017" s="52" t="str">
        <f aca="false">IF($B1017="","",ROUND(SUMIFS($G$5:$G$904,$B$5:$B$904,$B1017,$D$5:$D$904,"周转打冷")+SUMIFS($G$5:$G$904,$B$5:$B$904,$B1017,$D$5:$D$904,"仓储加工"),3))</f>
        <v/>
      </c>
      <c r="K1017" s="51" t="str">
        <f aca="false">IF($B1017="","",COUNTIFS($B$5:$B$904,$B1017,$I$5:$I$904,"")+COUNTIFS($B$5:$B$904,$B1017,$I$5:$I$904,0))</f>
        <v/>
      </c>
      <c r="L1017" s="39" t="str">
        <f aca="false">IF($B1017="","",IF(N($K1017)&gt;0,"⚠ 有 "&amp;N($K1017)&amp;" 行还没填单价","✔ 已全部定价"))</f>
        <v/>
      </c>
    </row>
    <row r="1018" customFormat="false" ht="13.5" hidden="false" customHeight="false" outlineLevel="0" collapsed="false">
      <c r="A1018" s="40" t="str">
        <f aca="false">IF($B1018="","",ROW()-908)</f>
        <v/>
      </c>
      <c r="B1018" s="39" t="str">
        <f aca="false">IFERROR(INDEX($U$5:$U$124,ROW()-908),"")</f>
        <v/>
      </c>
      <c r="C1018" s="41" t="str">
        <f aca="false">IF($B1018="","",ROUND(SUMIFS($K$5:$K$904,$B$5:$B$904,$B1018,$D$5:$D$904,"周转打冷"),2))</f>
        <v/>
      </c>
      <c r="D1018" s="41" t="str">
        <f aca="false">IF($B1018="","",ROUND(SUMIFS($K$5:$K$904,$B$5:$B$904,$B1018,$D$5:$D$904,"仓储加工"),2))</f>
        <v/>
      </c>
      <c r="E1018" s="41" t="str">
        <f aca="false">IF($B1018="","",ROUND(SUMIFS($K$5:$K$904,$B$5:$B$904,$B1018,$D$5:$D$904,"装卸费"),2))</f>
        <v/>
      </c>
      <c r="F1018" s="41" t="str">
        <f aca="false">IF($B1018="","",ROUND(N($C1018)+N($D1018)+N($E1018),2))</f>
        <v/>
      </c>
      <c r="G1018" s="51" t="str">
        <f aca="false">IF($B1018="","",SUMIFS($E$5:$E$904,$B$5:$B$904,$B1018,$D$5:$D$904,"周转打冷"))</f>
        <v/>
      </c>
      <c r="H1018" s="51" t="str">
        <f aca="false">IF($B1018="","",SUMIFS($E$5:$E$904,$B$5:$B$904,$B1018,$D$5:$D$904,"仓储加工"))</f>
        <v/>
      </c>
      <c r="I1018" s="51" t="str">
        <f aca="false">IF($B1018="","",N($G1018)+N($H1018))</f>
        <v/>
      </c>
      <c r="J1018" s="52" t="str">
        <f aca="false">IF($B1018="","",ROUND(SUMIFS($G$5:$G$904,$B$5:$B$904,$B1018,$D$5:$D$904,"周转打冷")+SUMIFS($G$5:$G$904,$B$5:$B$904,$B1018,$D$5:$D$904,"仓储加工"),3))</f>
        <v/>
      </c>
      <c r="K1018" s="51" t="str">
        <f aca="false">IF($B1018="","",COUNTIFS($B$5:$B$904,$B1018,$I$5:$I$904,"")+COUNTIFS($B$5:$B$904,$B1018,$I$5:$I$904,0))</f>
        <v/>
      </c>
      <c r="L1018" s="39" t="str">
        <f aca="false">IF($B1018="","",IF(N($K1018)&gt;0,"⚠ 有 "&amp;N($K1018)&amp;" 行还没填单价","✔ 已全部定价"))</f>
        <v/>
      </c>
    </row>
    <row r="1019" customFormat="false" ht="13.5" hidden="false" customHeight="false" outlineLevel="0" collapsed="false">
      <c r="A1019" s="40" t="str">
        <f aca="false">IF($B1019="","",ROW()-908)</f>
        <v/>
      </c>
      <c r="B1019" s="39" t="str">
        <f aca="false">IFERROR(INDEX($U$5:$U$124,ROW()-908),"")</f>
        <v/>
      </c>
      <c r="C1019" s="41" t="str">
        <f aca="false">IF($B1019="","",ROUND(SUMIFS($K$5:$K$904,$B$5:$B$904,$B1019,$D$5:$D$904,"周转打冷"),2))</f>
        <v/>
      </c>
      <c r="D1019" s="41" t="str">
        <f aca="false">IF($B1019="","",ROUND(SUMIFS($K$5:$K$904,$B$5:$B$904,$B1019,$D$5:$D$904,"仓储加工"),2))</f>
        <v/>
      </c>
      <c r="E1019" s="41" t="str">
        <f aca="false">IF($B1019="","",ROUND(SUMIFS($K$5:$K$904,$B$5:$B$904,$B1019,$D$5:$D$904,"装卸费"),2))</f>
        <v/>
      </c>
      <c r="F1019" s="41" t="str">
        <f aca="false">IF($B1019="","",ROUND(N($C1019)+N($D1019)+N($E1019),2))</f>
        <v/>
      </c>
      <c r="G1019" s="51" t="str">
        <f aca="false">IF($B1019="","",SUMIFS($E$5:$E$904,$B$5:$B$904,$B1019,$D$5:$D$904,"周转打冷"))</f>
        <v/>
      </c>
      <c r="H1019" s="51" t="str">
        <f aca="false">IF($B1019="","",SUMIFS($E$5:$E$904,$B$5:$B$904,$B1019,$D$5:$D$904,"仓储加工"))</f>
        <v/>
      </c>
      <c r="I1019" s="51" t="str">
        <f aca="false">IF($B1019="","",N($G1019)+N($H1019))</f>
        <v/>
      </c>
      <c r="J1019" s="52" t="str">
        <f aca="false">IF($B1019="","",ROUND(SUMIFS($G$5:$G$904,$B$5:$B$904,$B1019,$D$5:$D$904,"周转打冷")+SUMIFS($G$5:$G$904,$B$5:$B$904,$B1019,$D$5:$D$904,"仓储加工"),3))</f>
        <v/>
      </c>
      <c r="K1019" s="51" t="str">
        <f aca="false">IF($B1019="","",COUNTIFS($B$5:$B$904,$B1019,$I$5:$I$904,"")+COUNTIFS($B$5:$B$904,$B1019,$I$5:$I$904,0))</f>
        <v/>
      </c>
      <c r="L1019" s="39" t="str">
        <f aca="false">IF($B1019="","",IF(N($K1019)&gt;0,"⚠ 有 "&amp;N($K1019)&amp;" 行还没填单价","✔ 已全部定价"))</f>
        <v/>
      </c>
    </row>
    <row r="1020" customFormat="false" ht="13.5" hidden="false" customHeight="false" outlineLevel="0" collapsed="false">
      <c r="A1020" s="40" t="str">
        <f aca="false">IF($B1020="","",ROW()-908)</f>
        <v/>
      </c>
      <c r="B1020" s="39" t="str">
        <f aca="false">IFERROR(INDEX($U$5:$U$124,ROW()-908),"")</f>
        <v/>
      </c>
      <c r="C1020" s="41" t="str">
        <f aca="false">IF($B1020="","",ROUND(SUMIFS($K$5:$K$904,$B$5:$B$904,$B1020,$D$5:$D$904,"周转打冷"),2))</f>
        <v/>
      </c>
      <c r="D1020" s="41" t="str">
        <f aca="false">IF($B1020="","",ROUND(SUMIFS($K$5:$K$904,$B$5:$B$904,$B1020,$D$5:$D$904,"仓储加工"),2))</f>
        <v/>
      </c>
      <c r="E1020" s="41" t="str">
        <f aca="false">IF($B1020="","",ROUND(SUMIFS($K$5:$K$904,$B$5:$B$904,$B1020,$D$5:$D$904,"装卸费"),2))</f>
        <v/>
      </c>
      <c r="F1020" s="41" t="str">
        <f aca="false">IF($B1020="","",ROUND(N($C1020)+N($D1020)+N($E1020),2))</f>
        <v/>
      </c>
      <c r="G1020" s="51" t="str">
        <f aca="false">IF($B1020="","",SUMIFS($E$5:$E$904,$B$5:$B$904,$B1020,$D$5:$D$904,"周转打冷"))</f>
        <v/>
      </c>
      <c r="H1020" s="51" t="str">
        <f aca="false">IF($B1020="","",SUMIFS($E$5:$E$904,$B$5:$B$904,$B1020,$D$5:$D$904,"仓储加工"))</f>
        <v/>
      </c>
      <c r="I1020" s="51" t="str">
        <f aca="false">IF($B1020="","",N($G1020)+N($H1020))</f>
        <v/>
      </c>
      <c r="J1020" s="52" t="str">
        <f aca="false">IF($B1020="","",ROUND(SUMIFS($G$5:$G$904,$B$5:$B$904,$B1020,$D$5:$D$904,"周转打冷")+SUMIFS($G$5:$G$904,$B$5:$B$904,$B1020,$D$5:$D$904,"仓储加工"),3))</f>
        <v/>
      </c>
      <c r="K1020" s="51" t="str">
        <f aca="false">IF($B1020="","",COUNTIFS($B$5:$B$904,$B1020,$I$5:$I$904,"")+COUNTIFS($B$5:$B$904,$B1020,$I$5:$I$904,0))</f>
        <v/>
      </c>
      <c r="L1020" s="39" t="str">
        <f aca="false">IF($B1020="","",IF(N($K1020)&gt;0,"⚠ 有 "&amp;N($K1020)&amp;" 行还没填单价","✔ 已全部定价"))</f>
        <v/>
      </c>
    </row>
    <row r="1021" customFormat="false" ht="13.5" hidden="false" customHeight="false" outlineLevel="0" collapsed="false">
      <c r="A1021" s="40" t="str">
        <f aca="false">IF($B1021="","",ROW()-908)</f>
        <v/>
      </c>
      <c r="B1021" s="39" t="str">
        <f aca="false">IFERROR(INDEX($U$5:$U$124,ROW()-908),"")</f>
        <v/>
      </c>
      <c r="C1021" s="41" t="str">
        <f aca="false">IF($B1021="","",ROUND(SUMIFS($K$5:$K$904,$B$5:$B$904,$B1021,$D$5:$D$904,"周转打冷"),2))</f>
        <v/>
      </c>
      <c r="D1021" s="41" t="str">
        <f aca="false">IF($B1021="","",ROUND(SUMIFS($K$5:$K$904,$B$5:$B$904,$B1021,$D$5:$D$904,"仓储加工"),2))</f>
        <v/>
      </c>
      <c r="E1021" s="41" t="str">
        <f aca="false">IF($B1021="","",ROUND(SUMIFS($K$5:$K$904,$B$5:$B$904,$B1021,$D$5:$D$904,"装卸费"),2))</f>
        <v/>
      </c>
      <c r="F1021" s="41" t="str">
        <f aca="false">IF($B1021="","",ROUND(N($C1021)+N($D1021)+N($E1021),2))</f>
        <v/>
      </c>
      <c r="G1021" s="51" t="str">
        <f aca="false">IF($B1021="","",SUMIFS($E$5:$E$904,$B$5:$B$904,$B1021,$D$5:$D$904,"周转打冷"))</f>
        <v/>
      </c>
      <c r="H1021" s="51" t="str">
        <f aca="false">IF($B1021="","",SUMIFS($E$5:$E$904,$B$5:$B$904,$B1021,$D$5:$D$904,"仓储加工"))</f>
        <v/>
      </c>
      <c r="I1021" s="51" t="str">
        <f aca="false">IF($B1021="","",N($G1021)+N($H1021))</f>
        <v/>
      </c>
      <c r="J1021" s="52" t="str">
        <f aca="false">IF($B1021="","",ROUND(SUMIFS($G$5:$G$904,$B$5:$B$904,$B1021,$D$5:$D$904,"周转打冷")+SUMIFS($G$5:$G$904,$B$5:$B$904,$B1021,$D$5:$D$904,"仓储加工"),3))</f>
        <v/>
      </c>
      <c r="K1021" s="51" t="str">
        <f aca="false">IF($B1021="","",COUNTIFS($B$5:$B$904,$B1021,$I$5:$I$904,"")+COUNTIFS($B$5:$B$904,$B1021,$I$5:$I$904,0))</f>
        <v/>
      </c>
      <c r="L1021" s="39" t="str">
        <f aca="false">IF($B1021="","",IF(N($K1021)&gt;0,"⚠ 有 "&amp;N($K1021)&amp;" 行还没填单价","✔ 已全部定价"))</f>
        <v/>
      </c>
    </row>
    <row r="1022" customFormat="false" ht="13.5" hidden="false" customHeight="false" outlineLevel="0" collapsed="false">
      <c r="A1022" s="40" t="str">
        <f aca="false">IF($B1022="","",ROW()-908)</f>
        <v/>
      </c>
      <c r="B1022" s="39" t="str">
        <f aca="false">IFERROR(INDEX($U$5:$U$124,ROW()-908),"")</f>
        <v/>
      </c>
      <c r="C1022" s="41" t="str">
        <f aca="false">IF($B1022="","",ROUND(SUMIFS($K$5:$K$904,$B$5:$B$904,$B1022,$D$5:$D$904,"周转打冷"),2))</f>
        <v/>
      </c>
      <c r="D1022" s="41" t="str">
        <f aca="false">IF($B1022="","",ROUND(SUMIFS($K$5:$K$904,$B$5:$B$904,$B1022,$D$5:$D$904,"仓储加工"),2))</f>
        <v/>
      </c>
      <c r="E1022" s="41" t="str">
        <f aca="false">IF($B1022="","",ROUND(SUMIFS($K$5:$K$904,$B$5:$B$904,$B1022,$D$5:$D$904,"装卸费"),2))</f>
        <v/>
      </c>
      <c r="F1022" s="41" t="str">
        <f aca="false">IF($B1022="","",ROUND(N($C1022)+N($D1022)+N($E1022),2))</f>
        <v/>
      </c>
      <c r="G1022" s="51" t="str">
        <f aca="false">IF($B1022="","",SUMIFS($E$5:$E$904,$B$5:$B$904,$B1022,$D$5:$D$904,"周转打冷"))</f>
        <v/>
      </c>
      <c r="H1022" s="51" t="str">
        <f aca="false">IF($B1022="","",SUMIFS($E$5:$E$904,$B$5:$B$904,$B1022,$D$5:$D$904,"仓储加工"))</f>
        <v/>
      </c>
      <c r="I1022" s="51" t="str">
        <f aca="false">IF($B1022="","",N($G1022)+N($H1022))</f>
        <v/>
      </c>
      <c r="J1022" s="52" t="str">
        <f aca="false">IF($B1022="","",ROUND(SUMIFS($G$5:$G$904,$B$5:$B$904,$B1022,$D$5:$D$904,"周转打冷")+SUMIFS($G$5:$G$904,$B$5:$B$904,$B1022,$D$5:$D$904,"仓储加工"),3))</f>
        <v/>
      </c>
      <c r="K1022" s="51" t="str">
        <f aca="false">IF($B1022="","",COUNTIFS($B$5:$B$904,$B1022,$I$5:$I$904,"")+COUNTIFS($B$5:$B$904,$B1022,$I$5:$I$904,0))</f>
        <v/>
      </c>
      <c r="L1022" s="39" t="str">
        <f aca="false">IF($B1022="","",IF(N($K1022)&gt;0,"⚠ 有 "&amp;N($K1022)&amp;" 行还没填单价","✔ 已全部定价"))</f>
        <v/>
      </c>
    </row>
    <row r="1023" customFormat="false" ht="13.5" hidden="false" customHeight="false" outlineLevel="0" collapsed="false">
      <c r="A1023" s="40" t="str">
        <f aca="false">IF($B1023="","",ROW()-908)</f>
        <v/>
      </c>
      <c r="B1023" s="39" t="str">
        <f aca="false">IFERROR(INDEX($U$5:$U$124,ROW()-908),"")</f>
        <v/>
      </c>
      <c r="C1023" s="41" t="str">
        <f aca="false">IF($B1023="","",ROUND(SUMIFS($K$5:$K$904,$B$5:$B$904,$B1023,$D$5:$D$904,"周转打冷"),2))</f>
        <v/>
      </c>
      <c r="D1023" s="41" t="str">
        <f aca="false">IF($B1023="","",ROUND(SUMIFS($K$5:$K$904,$B$5:$B$904,$B1023,$D$5:$D$904,"仓储加工"),2))</f>
        <v/>
      </c>
      <c r="E1023" s="41" t="str">
        <f aca="false">IF($B1023="","",ROUND(SUMIFS($K$5:$K$904,$B$5:$B$904,$B1023,$D$5:$D$904,"装卸费"),2))</f>
        <v/>
      </c>
      <c r="F1023" s="41" t="str">
        <f aca="false">IF($B1023="","",ROUND(N($C1023)+N($D1023)+N($E1023),2))</f>
        <v/>
      </c>
      <c r="G1023" s="51" t="str">
        <f aca="false">IF($B1023="","",SUMIFS($E$5:$E$904,$B$5:$B$904,$B1023,$D$5:$D$904,"周转打冷"))</f>
        <v/>
      </c>
      <c r="H1023" s="51" t="str">
        <f aca="false">IF($B1023="","",SUMIFS($E$5:$E$904,$B$5:$B$904,$B1023,$D$5:$D$904,"仓储加工"))</f>
        <v/>
      </c>
      <c r="I1023" s="51" t="str">
        <f aca="false">IF($B1023="","",N($G1023)+N($H1023))</f>
        <v/>
      </c>
      <c r="J1023" s="52" t="str">
        <f aca="false">IF($B1023="","",ROUND(SUMIFS($G$5:$G$904,$B$5:$B$904,$B1023,$D$5:$D$904,"周转打冷")+SUMIFS($G$5:$G$904,$B$5:$B$904,$B1023,$D$5:$D$904,"仓储加工"),3))</f>
        <v/>
      </c>
      <c r="K1023" s="51" t="str">
        <f aca="false">IF($B1023="","",COUNTIFS($B$5:$B$904,$B1023,$I$5:$I$904,"")+COUNTIFS($B$5:$B$904,$B1023,$I$5:$I$904,0))</f>
        <v/>
      </c>
      <c r="L1023" s="39" t="str">
        <f aca="false">IF($B1023="","",IF(N($K1023)&gt;0,"⚠ 有 "&amp;N($K1023)&amp;" 行还没填单价","✔ 已全部定价"))</f>
        <v/>
      </c>
    </row>
    <row r="1024" customFormat="false" ht="13.5" hidden="false" customHeight="false" outlineLevel="0" collapsed="false">
      <c r="A1024" s="40" t="str">
        <f aca="false">IF($B1024="","",ROW()-908)</f>
        <v/>
      </c>
      <c r="B1024" s="39" t="str">
        <f aca="false">IFERROR(INDEX($U$5:$U$124,ROW()-908),"")</f>
        <v/>
      </c>
      <c r="C1024" s="41" t="str">
        <f aca="false">IF($B1024="","",ROUND(SUMIFS($K$5:$K$904,$B$5:$B$904,$B1024,$D$5:$D$904,"周转打冷"),2))</f>
        <v/>
      </c>
      <c r="D1024" s="41" t="str">
        <f aca="false">IF($B1024="","",ROUND(SUMIFS($K$5:$K$904,$B$5:$B$904,$B1024,$D$5:$D$904,"仓储加工"),2))</f>
        <v/>
      </c>
      <c r="E1024" s="41" t="str">
        <f aca="false">IF($B1024="","",ROUND(SUMIFS($K$5:$K$904,$B$5:$B$904,$B1024,$D$5:$D$904,"装卸费"),2))</f>
        <v/>
      </c>
      <c r="F1024" s="41" t="str">
        <f aca="false">IF($B1024="","",ROUND(N($C1024)+N($D1024)+N($E1024),2))</f>
        <v/>
      </c>
      <c r="G1024" s="51" t="str">
        <f aca="false">IF($B1024="","",SUMIFS($E$5:$E$904,$B$5:$B$904,$B1024,$D$5:$D$904,"周转打冷"))</f>
        <v/>
      </c>
      <c r="H1024" s="51" t="str">
        <f aca="false">IF($B1024="","",SUMIFS($E$5:$E$904,$B$5:$B$904,$B1024,$D$5:$D$904,"仓储加工"))</f>
        <v/>
      </c>
      <c r="I1024" s="51" t="str">
        <f aca="false">IF($B1024="","",N($G1024)+N($H1024))</f>
        <v/>
      </c>
      <c r="J1024" s="52" t="str">
        <f aca="false">IF($B1024="","",ROUND(SUMIFS($G$5:$G$904,$B$5:$B$904,$B1024,$D$5:$D$904,"周转打冷")+SUMIFS($G$5:$G$904,$B$5:$B$904,$B1024,$D$5:$D$904,"仓储加工"),3))</f>
        <v/>
      </c>
      <c r="K1024" s="51" t="str">
        <f aca="false">IF($B1024="","",COUNTIFS($B$5:$B$904,$B1024,$I$5:$I$904,"")+COUNTIFS($B$5:$B$904,$B1024,$I$5:$I$904,0))</f>
        <v/>
      </c>
      <c r="L1024" s="39" t="str">
        <f aca="false">IF($B1024="","",IF(N($K1024)&gt;0,"⚠ 有 "&amp;N($K1024)&amp;" 行还没填单价","✔ 已全部定价"))</f>
        <v/>
      </c>
    </row>
    <row r="1025" customFormat="false" ht="13.5" hidden="false" customHeight="false" outlineLevel="0" collapsed="false">
      <c r="A1025" s="40" t="str">
        <f aca="false">IF($B1025="","",ROW()-908)</f>
        <v/>
      </c>
      <c r="B1025" s="39" t="str">
        <f aca="false">IFERROR(INDEX($U$5:$U$124,ROW()-908),"")</f>
        <v/>
      </c>
      <c r="C1025" s="41" t="str">
        <f aca="false">IF($B1025="","",ROUND(SUMIFS($K$5:$K$904,$B$5:$B$904,$B1025,$D$5:$D$904,"周转打冷"),2))</f>
        <v/>
      </c>
      <c r="D1025" s="41" t="str">
        <f aca="false">IF($B1025="","",ROUND(SUMIFS($K$5:$K$904,$B$5:$B$904,$B1025,$D$5:$D$904,"仓储加工"),2))</f>
        <v/>
      </c>
      <c r="E1025" s="41" t="str">
        <f aca="false">IF($B1025="","",ROUND(SUMIFS($K$5:$K$904,$B$5:$B$904,$B1025,$D$5:$D$904,"装卸费"),2))</f>
        <v/>
      </c>
      <c r="F1025" s="41" t="str">
        <f aca="false">IF($B1025="","",ROUND(N($C1025)+N($D1025)+N($E1025),2))</f>
        <v/>
      </c>
      <c r="G1025" s="51" t="str">
        <f aca="false">IF($B1025="","",SUMIFS($E$5:$E$904,$B$5:$B$904,$B1025,$D$5:$D$904,"周转打冷"))</f>
        <v/>
      </c>
      <c r="H1025" s="51" t="str">
        <f aca="false">IF($B1025="","",SUMIFS($E$5:$E$904,$B$5:$B$904,$B1025,$D$5:$D$904,"仓储加工"))</f>
        <v/>
      </c>
      <c r="I1025" s="51" t="str">
        <f aca="false">IF($B1025="","",N($G1025)+N($H1025))</f>
        <v/>
      </c>
      <c r="J1025" s="52" t="str">
        <f aca="false">IF($B1025="","",ROUND(SUMIFS($G$5:$G$904,$B$5:$B$904,$B1025,$D$5:$D$904,"周转打冷")+SUMIFS($G$5:$G$904,$B$5:$B$904,$B1025,$D$5:$D$904,"仓储加工"),3))</f>
        <v/>
      </c>
      <c r="K1025" s="51" t="str">
        <f aca="false">IF($B1025="","",COUNTIFS($B$5:$B$904,$B1025,$I$5:$I$904,"")+COUNTIFS($B$5:$B$904,$B1025,$I$5:$I$904,0))</f>
        <v/>
      </c>
      <c r="L1025" s="39" t="str">
        <f aca="false">IF($B1025="","",IF(N($K1025)&gt;0,"⚠ 有 "&amp;N($K1025)&amp;" 行还没填单价","✔ 已全部定价"))</f>
        <v/>
      </c>
    </row>
    <row r="1026" customFormat="false" ht="13.5" hidden="false" customHeight="false" outlineLevel="0" collapsed="false">
      <c r="A1026" s="40" t="str">
        <f aca="false">IF($B1026="","",ROW()-908)</f>
        <v/>
      </c>
      <c r="B1026" s="39" t="str">
        <f aca="false">IFERROR(INDEX($U$5:$U$124,ROW()-908),"")</f>
        <v/>
      </c>
      <c r="C1026" s="41" t="str">
        <f aca="false">IF($B1026="","",ROUND(SUMIFS($K$5:$K$904,$B$5:$B$904,$B1026,$D$5:$D$904,"周转打冷"),2))</f>
        <v/>
      </c>
      <c r="D1026" s="41" t="str">
        <f aca="false">IF($B1026="","",ROUND(SUMIFS($K$5:$K$904,$B$5:$B$904,$B1026,$D$5:$D$904,"仓储加工"),2))</f>
        <v/>
      </c>
      <c r="E1026" s="41" t="str">
        <f aca="false">IF($B1026="","",ROUND(SUMIFS($K$5:$K$904,$B$5:$B$904,$B1026,$D$5:$D$904,"装卸费"),2))</f>
        <v/>
      </c>
      <c r="F1026" s="41" t="str">
        <f aca="false">IF($B1026="","",ROUND(N($C1026)+N($D1026)+N($E1026),2))</f>
        <v/>
      </c>
      <c r="G1026" s="51" t="str">
        <f aca="false">IF($B1026="","",SUMIFS($E$5:$E$904,$B$5:$B$904,$B1026,$D$5:$D$904,"周转打冷"))</f>
        <v/>
      </c>
      <c r="H1026" s="51" t="str">
        <f aca="false">IF($B1026="","",SUMIFS($E$5:$E$904,$B$5:$B$904,$B1026,$D$5:$D$904,"仓储加工"))</f>
        <v/>
      </c>
      <c r="I1026" s="51" t="str">
        <f aca="false">IF($B1026="","",N($G1026)+N($H1026))</f>
        <v/>
      </c>
      <c r="J1026" s="52" t="str">
        <f aca="false">IF($B1026="","",ROUND(SUMIFS($G$5:$G$904,$B$5:$B$904,$B1026,$D$5:$D$904,"周转打冷")+SUMIFS($G$5:$G$904,$B$5:$B$904,$B1026,$D$5:$D$904,"仓储加工"),3))</f>
        <v/>
      </c>
      <c r="K1026" s="51" t="str">
        <f aca="false">IF($B1026="","",COUNTIFS($B$5:$B$904,$B1026,$I$5:$I$904,"")+COUNTIFS($B$5:$B$904,$B1026,$I$5:$I$904,0))</f>
        <v/>
      </c>
      <c r="L1026" s="39" t="str">
        <f aca="false">IF($B1026="","",IF(N($K1026)&gt;0,"⚠ 有 "&amp;N($K1026)&amp;" 行还没填单价","✔ 已全部定价"))</f>
        <v/>
      </c>
    </row>
    <row r="1027" customFormat="false" ht="13.5" hidden="false" customHeight="false" outlineLevel="0" collapsed="false">
      <c r="A1027" s="40" t="str">
        <f aca="false">IF($B1027="","",ROW()-908)</f>
        <v/>
      </c>
      <c r="B1027" s="39" t="str">
        <f aca="false">IFERROR(INDEX($U$5:$U$124,ROW()-908),"")</f>
        <v/>
      </c>
      <c r="C1027" s="41" t="str">
        <f aca="false">IF($B1027="","",ROUND(SUMIFS($K$5:$K$904,$B$5:$B$904,$B1027,$D$5:$D$904,"周转打冷"),2))</f>
        <v/>
      </c>
      <c r="D1027" s="41" t="str">
        <f aca="false">IF($B1027="","",ROUND(SUMIFS($K$5:$K$904,$B$5:$B$904,$B1027,$D$5:$D$904,"仓储加工"),2))</f>
        <v/>
      </c>
      <c r="E1027" s="41" t="str">
        <f aca="false">IF($B1027="","",ROUND(SUMIFS($K$5:$K$904,$B$5:$B$904,$B1027,$D$5:$D$904,"装卸费"),2))</f>
        <v/>
      </c>
      <c r="F1027" s="41" t="str">
        <f aca="false">IF($B1027="","",ROUND(N($C1027)+N($D1027)+N($E1027),2))</f>
        <v/>
      </c>
      <c r="G1027" s="51" t="str">
        <f aca="false">IF($B1027="","",SUMIFS($E$5:$E$904,$B$5:$B$904,$B1027,$D$5:$D$904,"周转打冷"))</f>
        <v/>
      </c>
      <c r="H1027" s="51" t="str">
        <f aca="false">IF($B1027="","",SUMIFS($E$5:$E$904,$B$5:$B$904,$B1027,$D$5:$D$904,"仓储加工"))</f>
        <v/>
      </c>
      <c r="I1027" s="51" t="str">
        <f aca="false">IF($B1027="","",N($G1027)+N($H1027))</f>
        <v/>
      </c>
      <c r="J1027" s="52" t="str">
        <f aca="false">IF($B1027="","",ROUND(SUMIFS($G$5:$G$904,$B$5:$B$904,$B1027,$D$5:$D$904,"周转打冷")+SUMIFS($G$5:$G$904,$B$5:$B$904,$B1027,$D$5:$D$904,"仓储加工"),3))</f>
        <v/>
      </c>
      <c r="K1027" s="51" t="str">
        <f aca="false">IF($B1027="","",COUNTIFS($B$5:$B$904,$B1027,$I$5:$I$904,"")+COUNTIFS($B$5:$B$904,$B1027,$I$5:$I$904,0))</f>
        <v/>
      </c>
      <c r="L1027" s="39" t="str">
        <f aca="false">IF($B1027="","",IF(N($K1027)&gt;0,"⚠ 有 "&amp;N($K1027)&amp;" 行还没填单价","✔ 已全部定价"))</f>
        <v/>
      </c>
    </row>
    <row r="1028" customFormat="false" ht="13.5" hidden="false" customHeight="false" outlineLevel="0" collapsed="false">
      <c r="A1028" s="40" t="str">
        <f aca="false">IF($B1028="","",ROW()-908)</f>
        <v/>
      </c>
      <c r="B1028" s="39" t="str">
        <f aca="false">IFERROR(INDEX($U$5:$U$124,ROW()-908),"")</f>
        <v/>
      </c>
      <c r="C1028" s="41" t="str">
        <f aca="false">IF($B1028="","",ROUND(SUMIFS($K$5:$K$904,$B$5:$B$904,$B1028,$D$5:$D$904,"周转打冷"),2))</f>
        <v/>
      </c>
      <c r="D1028" s="41" t="str">
        <f aca="false">IF($B1028="","",ROUND(SUMIFS($K$5:$K$904,$B$5:$B$904,$B1028,$D$5:$D$904,"仓储加工"),2))</f>
        <v/>
      </c>
      <c r="E1028" s="41" t="str">
        <f aca="false">IF($B1028="","",ROUND(SUMIFS($K$5:$K$904,$B$5:$B$904,$B1028,$D$5:$D$904,"装卸费"),2))</f>
        <v/>
      </c>
      <c r="F1028" s="41" t="str">
        <f aca="false">IF($B1028="","",ROUND(N($C1028)+N($D1028)+N($E1028),2))</f>
        <v/>
      </c>
      <c r="G1028" s="51" t="str">
        <f aca="false">IF($B1028="","",SUMIFS($E$5:$E$904,$B$5:$B$904,$B1028,$D$5:$D$904,"周转打冷"))</f>
        <v/>
      </c>
      <c r="H1028" s="51" t="str">
        <f aca="false">IF($B1028="","",SUMIFS($E$5:$E$904,$B$5:$B$904,$B1028,$D$5:$D$904,"仓储加工"))</f>
        <v/>
      </c>
      <c r="I1028" s="51" t="str">
        <f aca="false">IF($B1028="","",N($G1028)+N($H1028))</f>
        <v/>
      </c>
      <c r="J1028" s="52" t="str">
        <f aca="false">IF($B1028="","",ROUND(SUMIFS($G$5:$G$904,$B$5:$B$904,$B1028,$D$5:$D$904,"周转打冷")+SUMIFS($G$5:$G$904,$B$5:$B$904,$B1028,$D$5:$D$904,"仓储加工"),3))</f>
        <v/>
      </c>
      <c r="K1028" s="51" t="str">
        <f aca="false">IF($B1028="","",COUNTIFS($B$5:$B$904,$B1028,$I$5:$I$904,"")+COUNTIFS($B$5:$B$904,$B1028,$I$5:$I$904,0))</f>
        <v/>
      </c>
      <c r="L1028" s="39" t="str">
        <f aca="false">IF($B1028="","",IF(N($K1028)&gt;0,"⚠ 有 "&amp;N($K1028)&amp;" 行还没填单价","✔ 已全部定价"))</f>
        <v/>
      </c>
    </row>
    <row r="1029" customFormat="false" ht="13.5" hidden="false" customHeight="false" outlineLevel="0" collapsed="false">
      <c r="A1029" s="79" t="s">
        <v>229</v>
      </c>
      <c r="B1029" s="79"/>
      <c r="C1029" s="81" t="n">
        <f aca="false">ROUND(SUM(C$909:C$1028),2)</f>
        <v>7966749.63</v>
      </c>
      <c r="D1029" s="81" t="n">
        <f aca="false">ROUND(SUM(D$909:D$1028),2)</f>
        <v>148738.5</v>
      </c>
      <c r="E1029" s="81" t="n">
        <f aca="false">ROUND(SUM(E$909:E$1028),2)</f>
        <v>4000958</v>
      </c>
      <c r="F1029" s="81" t="n">
        <f aca="false">ROUND(SUM(F$909:F$1028),2)</f>
        <v>12116446.13</v>
      </c>
      <c r="G1029" s="80" t="n">
        <f aca="false">ROUND(SUM(G$909:G$1028),2)</f>
        <v>18701</v>
      </c>
      <c r="H1029" s="80" t="n">
        <f aca="false">ROUND(SUM(H$909:H$1028),2)</f>
        <v>20169</v>
      </c>
      <c r="I1029" s="80" t="n">
        <f aca="false">ROUND(SUM(I$909:I$1028),2)</f>
        <v>38870</v>
      </c>
      <c r="J1029" s="82" t="n">
        <f aca="false">ROUND(SUM(J$909:J$1028),3)</f>
        <v>593.602</v>
      </c>
      <c r="K1029" s="80" t="n">
        <f aca="false">ROUND(SUM(K$909:K$1028),2)</f>
        <v>31</v>
      </c>
      <c r="L1029" s="83"/>
    </row>
  </sheetData>
  <mergeCells count="6">
    <mergeCell ref="A1:N1"/>
    <mergeCell ref="A2:N2"/>
    <mergeCell ref="A3:N3"/>
    <mergeCell ref="A905:D905"/>
    <mergeCell ref="A907:N907"/>
    <mergeCell ref="A1029:B1029"/>
  </mergeCells>
  <dataValidations count="2">
    <dataValidation allowBlank="true" errorStyle="stop" operator="between" showDropDown="false" showErrorMessage="false" showInputMessage="false" sqref="H5:H904" type="list">
      <formula1>"按筐数×单价,按总重KG×单价,按吨位×单价"</formula1>
      <formula2>0</formula2>
    </dataValidation>
    <dataValidation allowBlank="true" errorStyle="stop" operator="between" showDropDown="false" showErrorMessage="false" showInputMessage="false" sqref="L5:L904" type="list">
      <formula1>"应收,应付"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29" activeCellId="0" sqref="G29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28"/>
    <col collapsed="false" customWidth="true" hidden="false" outlineLevel="0" max="7" min="7" style="0" width="40"/>
  </cols>
  <sheetData>
    <row r="1" customFormat="false" ht="30" hidden="false" customHeight="true" outlineLevel="0" collapsed="false">
      <c r="A1" s="20" t="s">
        <v>256</v>
      </c>
      <c r="B1" s="20"/>
      <c r="C1" s="20"/>
      <c r="D1" s="20"/>
      <c r="E1" s="20"/>
      <c r="F1" s="20"/>
      <c r="G1" s="20"/>
    </row>
    <row r="2" customFormat="false" ht="18" hidden="false" customHeight="true" outlineLevel="0" collapsed="false">
      <c r="A2" s="21" t="s">
        <v>257</v>
      </c>
      <c r="B2" s="21"/>
      <c r="C2" s="21"/>
      <c r="D2" s="21"/>
      <c r="E2" s="21"/>
      <c r="F2" s="21"/>
      <c r="G2" s="21"/>
    </row>
    <row r="3" customFormat="false" ht="33.75" hidden="false" customHeight="true" outlineLevel="0" collapsed="false">
      <c r="A3" s="37" t="s">
        <v>3</v>
      </c>
      <c r="B3" s="37" t="s">
        <v>258</v>
      </c>
      <c r="C3" s="37" t="s">
        <v>259</v>
      </c>
      <c r="D3" s="37" t="s">
        <v>260</v>
      </c>
      <c r="E3" s="37" t="s">
        <v>261</v>
      </c>
      <c r="F3" s="37" t="s">
        <v>262</v>
      </c>
      <c r="G3" s="37" t="s">
        <v>263</v>
      </c>
    </row>
    <row r="4" customFormat="false" ht="19.5" hidden="false" customHeight="true" outlineLevel="0" collapsed="false">
      <c r="A4" s="84" t="n">
        <v>1</v>
      </c>
      <c r="B4" s="18" t="s">
        <v>264</v>
      </c>
      <c r="C4" s="19" t="s">
        <v>265</v>
      </c>
      <c r="D4" s="85" t="s">
        <v>266</v>
      </c>
      <c r="E4" s="18" t="s">
        <v>267</v>
      </c>
      <c r="F4" s="18" t="s">
        <v>268</v>
      </c>
      <c r="G4" s="18" t="s">
        <v>269</v>
      </c>
    </row>
    <row r="5" customFormat="false" ht="19.5" hidden="false" customHeight="true" outlineLevel="0" collapsed="false">
      <c r="A5" s="84" t="n">
        <v>2</v>
      </c>
      <c r="B5" s="18" t="s">
        <v>270</v>
      </c>
      <c r="C5" s="19" t="s">
        <v>265</v>
      </c>
      <c r="D5" s="85" t="s">
        <v>266</v>
      </c>
      <c r="E5" s="18" t="s">
        <v>267</v>
      </c>
      <c r="F5" s="18" t="s">
        <v>271</v>
      </c>
      <c r="G5" s="18" t="s">
        <v>272</v>
      </c>
    </row>
    <row r="6" customFormat="false" ht="19.5" hidden="false" customHeight="true" outlineLevel="0" collapsed="false">
      <c r="A6" s="84" t="n">
        <v>3</v>
      </c>
      <c r="B6" s="18" t="s">
        <v>273</v>
      </c>
      <c r="C6" s="19" t="s">
        <v>265</v>
      </c>
      <c r="D6" s="85" t="s">
        <v>266</v>
      </c>
      <c r="E6" s="18" t="s">
        <v>267</v>
      </c>
      <c r="F6" s="18" t="s">
        <v>274</v>
      </c>
      <c r="G6" s="18" t="s">
        <v>275</v>
      </c>
    </row>
    <row r="7" customFormat="false" ht="19.5" hidden="false" customHeight="true" outlineLevel="0" collapsed="false">
      <c r="A7" s="84" t="n">
        <v>4</v>
      </c>
      <c r="B7" s="18" t="s">
        <v>276</v>
      </c>
      <c r="C7" s="19" t="s">
        <v>265</v>
      </c>
      <c r="D7" s="85" t="s">
        <v>266</v>
      </c>
      <c r="E7" s="18" t="s">
        <v>267</v>
      </c>
      <c r="F7" s="18" t="s">
        <v>277</v>
      </c>
      <c r="G7" s="18" t="s">
        <v>278</v>
      </c>
    </row>
    <row r="8" customFormat="false" ht="19.5" hidden="false" customHeight="true" outlineLevel="0" collapsed="false">
      <c r="A8" s="84" t="n">
        <v>5</v>
      </c>
      <c r="B8" s="18" t="s">
        <v>279</v>
      </c>
      <c r="C8" s="19" t="s">
        <v>265</v>
      </c>
      <c r="D8" s="85" t="s">
        <v>266</v>
      </c>
      <c r="E8" s="18" t="s">
        <v>267</v>
      </c>
      <c r="F8" s="18" t="s">
        <v>280</v>
      </c>
      <c r="G8" s="18" t="s">
        <v>281</v>
      </c>
    </row>
    <row r="9" customFormat="false" ht="19.5" hidden="false" customHeight="true" outlineLevel="0" collapsed="false">
      <c r="A9" s="84" t="n">
        <v>6</v>
      </c>
      <c r="B9" s="18" t="s">
        <v>282</v>
      </c>
      <c r="C9" s="19" t="s">
        <v>265</v>
      </c>
      <c r="D9" s="85" t="s">
        <v>266</v>
      </c>
      <c r="E9" s="18" t="s">
        <v>267</v>
      </c>
      <c r="F9" s="18" t="s">
        <v>283</v>
      </c>
      <c r="G9" s="18" t="s">
        <v>284</v>
      </c>
    </row>
    <row r="10" customFormat="false" ht="19.5" hidden="false" customHeight="true" outlineLevel="0" collapsed="false">
      <c r="A10" s="84" t="n">
        <v>7</v>
      </c>
      <c r="B10" s="18" t="s">
        <v>285</v>
      </c>
      <c r="C10" s="19" t="s">
        <v>265</v>
      </c>
      <c r="D10" s="85" t="s">
        <v>266</v>
      </c>
      <c r="E10" s="18" t="s">
        <v>267</v>
      </c>
      <c r="F10" s="18" t="s">
        <v>286</v>
      </c>
      <c r="G10" s="18" t="s">
        <v>287</v>
      </c>
    </row>
    <row r="11" customFormat="false" ht="19.5" hidden="false" customHeight="true" outlineLevel="0" collapsed="false">
      <c r="A11" s="84" t="n">
        <v>8</v>
      </c>
      <c r="B11" s="18" t="s">
        <v>288</v>
      </c>
      <c r="C11" s="19" t="s">
        <v>265</v>
      </c>
      <c r="D11" s="85" t="s">
        <v>266</v>
      </c>
      <c r="E11" s="18" t="s">
        <v>267</v>
      </c>
      <c r="F11" s="18" t="s">
        <v>289</v>
      </c>
      <c r="G11" s="18" t="s">
        <v>290</v>
      </c>
    </row>
    <row r="12" customFormat="false" ht="19.5" hidden="false" customHeight="true" outlineLevel="0" collapsed="false">
      <c r="A12" s="84" t="n">
        <v>9</v>
      </c>
      <c r="B12" s="18" t="s">
        <v>291</v>
      </c>
      <c r="C12" s="19" t="s">
        <v>265</v>
      </c>
      <c r="D12" s="85" t="s">
        <v>266</v>
      </c>
      <c r="E12" s="18" t="s">
        <v>267</v>
      </c>
      <c r="F12" s="18" t="s">
        <v>292</v>
      </c>
      <c r="G12" s="18" t="s">
        <v>293</v>
      </c>
    </row>
    <row r="13" customFormat="false" ht="19.5" hidden="false" customHeight="true" outlineLevel="0" collapsed="false">
      <c r="A13" s="84" t="n">
        <v>10</v>
      </c>
      <c r="B13" s="18" t="s">
        <v>294</v>
      </c>
      <c r="C13" s="19" t="s">
        <v>265</v>
      </c>
      <c r="D13" s="85" t="s">
        <v>266</v>
      </c>
      <c r="E13" s="18" t="s">
        <v>267</v>
      </c>
      <c r="F13" s="18" t="s">
        <v>292</v>
      </c>
      <c r="G13" s="18" t="s">
        <v>295</v>
      </c>
    </row>
    <row r="14" customFormat="false" ht="19.5" hidden="false" customHeight="true" outlineLevel="0" collapsed="false">
      <c r="A14" s="84" t="n">
        <v>11</v>
      </c>
      <c r="B14" s="18" t="s">
        <v>296</v>
      </c>
      <c r="C14" s="19" t="s">
        <v>297</v>
      </c>
      <c r="D14" s="85" t="s">
        <v>266</v>
      </c>
      <c r="E14" s="18"/>
      <c r="F14" s="18"/>
      <c r="G14" s="18" t="s">
        <v>298</v>
      </c>
    </row>
    <row r="15" customFormat="false" ht="19.5" hidden="false" customHeight="true" outlineLevel="0" collapsed="false">
      <c r="A15" s="84" t="n">
        <v>12</v>
      </c>
      <c r="B15" s="18" t="s">
        <v>299</v>
      </c>
      <c r="C15" s="19" t="s">
        <v>297</v>
      </c>
      <c r="D15" s="85" t="s">
        <v>266</v>
      </c>
      <c r="E15" s="18"/>
      <c r="F15" s="18"/>
      <c r="G15" s="18" t="s">
        <v>298</v>
      </c>
    </row>
    <row r="16" customFormat="false" ht="19.5" hidden="false" customHeight="true" outlineLevel="0" collapsed="false">
      <c r="A16" s="84" t="n">
        <v>13</v>
      </c>
      <c r="B16" s="18" t="s">
        <v>300</v>
      </c>
      <c r="C16" s="19" t="s">
        <v>301</v>
      </c>
      <c r="D16" s="85" t="s">
        <v>266</v>
      </c>
      <c r="E16" s="18" t="s">
        <v>302</v>
      </c>
      <c r="F16" s="18" t="s">
        <v>303</v>
      </c>
      <c r="G16" s="18" t="s">
        <v>304</v>
      </c>
    </row>
    <row r="17" customFormat="false" ht="19.5" hidden="false" customHeight="true" outlineLevel="0" collapsed="false">
      <c r="A17" s="84" t="n">
        <v>14</v>
      </c>
      <c r="B17" s="18" t="s">
        <v>305</v>
      </c>
      <c r="C17" s="19" t="s">
        <v>301</v>
      </c>
      <c r="D17" s="85" t="s">
        <v>266</v>
      </c>
      <c r="E17" s="18" t="s">
        <v>306</v>
      </c>
      <c r="F17" s="18" t="s">
        <v>303</v>
      </c>
      <c r="G17" s="18" t="s">
        <v>305</v>
      </c>
    </row>
    <row r="18" customFormat="false" ht="19.5" hidden="false" customHeight="true" outlineLevel="0" collapsed="false">
      <c r="A18" s="84" t="n">
        <v>15</v>
      </c>
      <c r="B18" s="18" t="s">
        <v>307</v>
      </c>
      <c r="C18" s="19" t="s">
        <v>301</v>
      </c>
      <c r="D18" s="85" t="s">
        <v>266</v>
      </c>
      <c r="E18" s="18" t="s">
        <v>308</v>
      </c>
      <c r="F18" s="18" t="s">
        <v>303</v>
      </c>
      <c r="G18" s="18" t="s">
        <v>309</v>
      </c>
    </row>
    <row r="19" customFormat="false" ht="19.5" hidden="false" customHeight="true" outlineLevel="0" collapsed="false">
      <c r="A19" s="84" t="n">
        <v>16</v>
      </c>
      <c r="B19" s="18" t="s">
        <v>310</v>
      </c>
      <c r="C19" s="19" t="s">
        <v>311</v>
      </c>
      <c r="D19" s="85" t="s">
        <v>266</v>
      </c>
      <c r="E19" s="18" t="s">
        <v>312</v>
      </c>
      <c r="F19" s="18" t="s">
        <v>302</v>
      </c>
      <c r="G19" s="18" t="s">
        <v>313</v>
      </c>
    </row>
    <row r="20" customFormat="false" ht="19.5" hidden="false" customHeight="true" outlineLevel="0" collapsed="false">
      <c r="A20" s="84" t="n">
        <v>17</v>
      </c>
      <c r="B20" s="18" t="s">
        <v>314</v>
      </c>
      <c r="C20" s="19" t="s">
        <v>297</v>
      </c>
      <c r="D20" s="85" t="s">
        <v>266</v>
      </c>
      <c r="E20" s="18"/>
      <c r="F20" s="18"/>
      <c r="G20" s="18" t="s">
        <v>315</v>
      </c>
    </row>
    <row r="21" customFormat="false" ht="19.5" hidden="false" customHeight="true" outlineLevel="0" collapsed="false">
      <c r="A21" s="84" t="n">
        <v>18</v>
      </c>
      <c r="B21" s="18" t="s">
        <v>316</v>
      </c>
      <c r="C21" s="19" t="s">
        <v>297</v>
      </c>
      <c r="D21" s="85" t="s">
        <v>266</v>
      </c>
      <c r="E21" s="18"/>
      <c r="F21" s="18"/>
      <c r="G21" s="18" t="s">
        <v>317</v>
      </c>
    </row>
    <row r="22" customFormat="false" ht="19.5" hidden="false" customHeight="true" outlineLevel="0" collapsed="false">
      <c r="A22" s="84" t="n">
        <v>19</v>
      </c>
      <c r="B22" s="18" t="s">
        <v>318</v>
      </c>
      <c r="C22" s="19" t="s">
        <v>297</v>
      </c>
      <c r="D22" s="85" t="s">
        <v>266</v>
      </c>
      <c r="E22" s="18"/>
      <c r="F22" s="18"/>
      <c r="G22" s="18" t="s">
        <v>317</v>
      </c>
    </row>
    <row r="23" customFormat="false" ht="19.5" hidden="false" customHeight="true" outlineLevel="0" collapsed="false">
      <c r="A23" s="84" t="n">
        <v>20</v>
      </c>
      <c r="B23" s="18" t="s">
        <v>319</v>
      </c>
      <c r="C23" s="19" t="s">
        <v>297</v>
      </c>
      <c r="D23" s="85" t="s">
        <v>266</v>
      </c>
      <c r="E23" s="18"/>
      <c r="F23" s="18"/>
      <c r="G23" s="18" t="s">
        <v>317</v>
      </c>
    </row>
    <row r="24" customFormat="false" ht="19.5" hidden="false" customHeight="true" outlineLevel="0" collapsed="false">
      <c r="A24" s="84" t="n">
        <v>21</v>
      </c>
      <c r="B24" s="18" t="s">
        <v>320</v>
      </c>
      <c r="C24" s="19" t="s">
        <v>297</v>
      </c>
      <c r="D24" s="85" t="s">
        <v>266</v>
      </c>
      <c r="E24" s="18"/>
      <c r="F24" s="18"/>
      <c r="G24" s="18" t="s">
        <v>317</v>
      </c>
    </row>
    <row r="25" customFormat="false" ht="19.5" hidden="false" customHeight="true" outlineLevel="0" collapsed="false">
      <c r="A25" s="84" t="n">
        <v>22</v>
      </c>
      <c r="B25" s="18" t="s">
        <v>321</v>
      </c>
      <c r="C25" s="19" t="s">
        <v>297</v>
      </c>
      <c r="D25" s="85" t="s">
        <v>266</v>
      </c>
      <c r="E25" s="18"/>
      <c r="F25" s="18"/>
      <c r="G25" s="18" t="s">
        <v>317</v>
      </c>
    </row>
    <row r="26" customFormat="false" ht="19.5" hidden="false" customHeight="true" outlineLevel="0" collapsed="false">
      <c r="A26" s="84" t="n">
        <v>23</v>
      </c>
      <c r="B26" s="18" t="s">
        <v>322</v>
      </c>
      <c r="C26" s="19" t="s">
        <v>297</v>
      </c>
      <c r="D26" s="85" t="s">
        <v>266</v>
      </c>
      <c r="E26" s="18"/>
      <c r="F26" s="18"/>
      <c r="G26" s="18" t="s">
        <v>317</v>
      </c>
    </row>
    <row r="27" customFormat="false" ht="19.5" hidden="false" customHeight="true" outlineLevel="0" collapsed="false">
      <c r="A27" s="84" t="n">
        <v>24</v>
      </c>
      <c r="B27" s="18" t="s">
        <v>323</v>
      </c>
      <c r="C27" s="19" t="s">
        <v>297</v>
      </c>
      <c r="D27" s="85" t="s">
        <v>266</v>
      </c>
      <c r="E27" s="18"/>
      <c r="F27" s="18"/>
      <c r="G27" s="18" t="s">
        <v>324</v>
      </c>
    </row>
    <row r="28" customFormat="false" ht="19.5" hidden="false" customHeight="true" outlineLevel="0" collapsed="false">
      <c r="A28" s="84"/>
      <c r="B28" s="18"/>
      <c r="C28" s="19"/>
      <c r="D28" s="85"/>
      <c r="E28" s="18"/>
      <c r="F28" s="18"/>
      <c r="G28" s="18"/>
    </row>
    <row r="29" customFormat="false" ht="19.5" hidden="false" customHeight="true" outlineLevel="0" collapsed="false">
      <c r="A29" s="84"/>
      <c r="B29" s="18"/>
      <c r="C29" s="19"/>
      <c r="D29" s="85"/>
      <c r="E29" s="18"/>
      <c r="F29" s="18"/>
      <c r="G29" s="18"/>
    </row>
    <row r="30" customFormat="false" ht="19.5" hidden="false" customHeight="true" outlineLevel="0" collapsed="false">
      <c r="A30" s="84"/>
      <c r="B30" s="18"/>
      <c r="C30" s="19"/>
      <c r="D30" s="85"/>
      <c r="E30" s="18"/>
      <c r="F30" s="18"/>
      <c r="G30" s="18"/>
    </row>
    <row r="31" customFormat="false" ht="19.5" hidden="false" customHeight="true" outlineLevel="0" collapsed="false">
      <c r="A31" s="84"/>
      <c r="B31" s="18"/>
      <c r="C31" s="19"/>
      <c r="D31" s="85"/>
      <c r="E31" s="18"/>
      <c r="F31" s="18"/>
      <c r="G31" s="18"/>
    </row>
    <row r="32" customFormat="false" ht="19.5" hidden="false" customHeight="true" outlineLevel="0" collapsed="false">
      <c r="A32" s="84"/>
      <c r="B32" s="18"/>
      <c r="C32" s="19"/>
      <c r="D32" s="85"/>
      <c r="E32" s="18"/>
      <c r="F32" s="18"/>
      <c r="G32" s="18"/>
    </row>
    <row r="33" customFormat="false" ht="19.5" hidden="false" customHeight="true" outlineLevel="0" collapsed="false">
      <c r="A33" s="84"/>
      <c r="B33" s="18"/>
      <c r="C33" s="19"/>
      <c r="D33" s="85"/>
      <c r="E33" s="18"/>
      <c r="F33" s="18"/>
      <c r="G33" s="18"/>
    </row>
    <row r="34" customFormat="false" ht="19.5" hidden="false" customHeight="true" outlineLevel="0" collapsed="false">
      <c r="A34" s="84"/>
      <c r="B34" s="18"/>
      <c r="C34" s="19"/>
      <c r="D34" s="85"/>
      <c r="E34" s="18"/>
      <c r="F34" s="18"/>
      <c r="G34" s="18"/>
    </row>
  </sheetData>
  <mergeCells count="2">
    <mergeCell ref="A1:G1"/>
    <mergeCell ref="A2:G2"/>
  </mergeCells>
  <dataValidations count="3">
    <dataValidation allowBlank="true" errorStyle="stop" operator="between" showDropDown="false" showErrorMessage="false" showInputMessage="false" sqref="C4:C34" type="list">
      <formula1>科目表!$Q$4:$Q$140</formula1>
      <formula2>0</formula2>
    </dataValidation>
    <dataValidation allowBlank="true" errorStyle="stop" operator="between" showDropDown="false" showErrorMessage="false" showInputMessage="false" sqref="D4:D34" type="list">
      <formula1>科目表!$O$4:$O$140</formula1>
      <formula2>0</formula2>
    </dataValidation>
    <dataValidation allowBlank="true" errorStyle="stop" operator="between" showDropDown="false" showErrorMessage="false" showInputMessage="false" sqref="E4:F34" type="list">
      <formula1>科目表!$B$4:$B$81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144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23" activeCellId="0" sqref="B23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4" min="3" style="0" width="24"/>
    <col collapsed="false" customWidth="true" hidden="false" outlineLevel="0" max="5" min="5" style="0" width="52"/>
  </cols>
  <sheetData>
    <row r="1" customFormat="false" ht="30" hidden="false" customHeight="true" outlineLevel="0" collapsed="false">
      <c r="A1" s="31" t="s">
        <v>325</v>
      </c>
      <c r="B1" s="31"/>
      <c r="C1" s="31"/>
      <c r="D1" s="31"/>
      <c r="E1" s="31"/>
    </row>
    <row r="2" customFormat="false" ht="18" hidden="false" customHeight="true" outlineLevel="0" collapsed="false">
      <c r="A2" s="2" t="s">
        <v>326</v>
      </c>
      <c r="B2" s="2"/>
      <c r="C2" s="2"/>
      <c r="D2" s="2"/>
      <c r="E2" s="2"/>
    </row>
    <row r="3" customFormat="false" ht="30" hidden="false" customHeight="true" outlineLevel="0" collapsed="false">
      <c r="A3" s="37" t="s">
        <v>3</v>
      </c>
      <c r="B3" s="37" t="s">
        <v>327</v>
      </c>
      <c r="C3" s="37" t="s">
        <v>328</v>
      </c>
      <c r="D3" s="37" t="s">
        <v>329</v>
      </c>
      <c r="E3" s="37" t="s">
        <v>263</v>
      </c>
    </row>
    <row r="4" customFormat="false" ht="13.5" hidden="false" customHeight="false" outlineLevel="0" collapsed="false">
      <c r="A4" s="6" t="n">
        <v>1</v>
      </c>
      <c r="B4" s="86" t="s">
        <v>264</v>
      </c>
      <c r="C4" s="87" t="s">
        <v>267</v>
      </c>
      <c r="D4" s="87" t="s">
        <v>267</v>
      </c>
      <c r="E4" s="88" t="s">
        <v>330</v>
      </c>
    </row>
    <row r="5" customFormat="false" ht="13.5" hidden="false" customHeight="false" outlineLevel="0" collapsed="false">
      <c r="A5" s="6" t="n">
        <v>2</v>
      </c>
      <c r="B5" s="86" t="s">
        <v>331</v>
      </c>
      <c r="C5" s="87" t="s">
        <v>267</v>
      </c>
      <c r="D5" s="87" t="s">
        <v>267</v>
      </c>
      <c r="E5" s="88" t="s">
        <v>332</v>
      </c>
    </row>
    <row r="6" customFormat="false" ht="13.5" hidden="false" customHeight="false" outlineLevel="0" collapsed="false">
      <c r="A6" s="6" t="n">
        <v>3</v>
      </c>
      <c r="B6" s="86" t="s">
        <v>273</v>
      </c>
      <c r="C6" s="87" t="s">
        <v>267</v>
      </c>
      <c r="D6" s="87" t="s">
        <v>267</v>
      </c>
      <c r="E6" s="88" t="s">
        <v>333</v>
      </c>
    </row>
    <row r="7" customFormat="false" ht="13.5" hidden="false" customHeight="false" outlineLevel="0" collapsed="false">
      <c r="A7" s="6" t="n">
        <v>4</v>
      </c>
      <c r="B7" s="86" t="s">
        <v>334</v>
      </c>
      <c r="C7" s="87" t="s">
        <v>267</v>
      </c>
      <c r="D7" s="87" t="s">
        <v>267</v>
      </c>
      <c r="E7" s="88" t="s">
        <v>335</v>
      </c>
    </row>
    <row r="8" customFormat="false" ht="13.5" hidden="false" customHeight="false" outlineLevel="0" collapsed="false">
      <c r="A8" s="6" t="n">
        <v>5</v>
      </c>
      <c r="B8" s="86" t="s">
        <v>291</v>
      </c>
      <c r="C8" s="87" t="s">
        <v>267</v>
      </c>
      <c r="D8" s="87" t="s">
        <v>267</v>
      </c>
      <c r="E8" s="88" t="s">
        <v>336</v>
      </c>
    </row>
    <row r="9" customFormat="false" ht="13.5" hidden="false" customHeight="false" outlineLevel="0" collapsed="false">
      <c r="A9" s="6" t="n">
        <v>6</v>
      </c>
      <c r="B9" s="86" t="s">
        <v>285</v>
      </c>
      <c r="C9" s="87" t="s">
        <v>267</v>
      </c>
      <c r="D9" s="87" t="s">
        <v>267</v>
      </c>
      <c r="E9" s="88" t="s">
        <v>337</v>
      </c>
    </row>
    <row r="10" customFormat="false" ht="13.5" hidden="false" customHeight="false" outlineLevel="0" collapsed="false">
      <c r="A10" s="6" t="n">
        <v>7</v>
      </c>
      <c r="B10" s="86" t="s">
        <v>288</v>
      </c>
      <c r="C10" s="87" t="s">
        <v>267</v>
      </c>
      <c r="D10" s="87" t="s">
        <v>267</v>
      </c>
      <c r="E10" s="88" t="s">
        <v>338</v>
      </c>
    </row>
    <row r="11" customFormat="false" ht="13.5" hidden="false" customHeight="false" outlineLevel="0" collapsed="false">
      <c r="A11" s="6" t="n">
        <v>8</v>
      </c>
      <c r="B11" s="86" t="s">
        <v>294</v>
      </c>
      <c r="C11" s="87" t="s">
        <v>267</v>
      </c>
      <c r="D11" s="87" t="s">
        <v>267</v>
      </c>
      <c r="E11" s="88" t="s">
        <v>339</v>
      </c>
    </row>
    <row r="12" customFormat="false" ht="13.5" hidden="false" customHeight="false" outlineLevel="0" collapsed="false">
      <c r="A12" s="6" t="n">
        <v>9</v>
      </c>
      <c r="B12" s="86" t="s">
        <v>276</v>
      </c>
      <c r="C12" s="87" t="s">
        <v>267</v>
      </c>
      <c r="D12" s="87" t="s">
        <v>267</v>
      </c>
      <c r="E12" s="88" t="s">
        <v>340</v>
      </c>
    </row>
    <row r="13" customFormat="false" ht="13.5" hidden="false" customHeight="false" outlineLevel="0" collapsed="false">
      <c r="A13" s="6" t="n">
        <v>10</v>
      </c>
      <c r="B13" s="86" t="s">
        <v>341</v>
      </c>
      <c r="C13" s="87" t="s">
        <v>303</v>
      </c>
      <c r="D13" s="87" t="s">
        <v>303</v>
      </c>
      <c r="E13" s="88" t="s">
        <v>342</v>
      </c>
    </row>
    <row r="14" customFormat="false" ht="13.5" hidden="false" customHeight="false" outlineLevel="0" collapsed="false">
      <c r="A14" s="6" t="n">
        <v>11</v>
      </c>
      <c r="B14" s="86" t="s">
        <v>343</v>
      </c>
      <c r="C14" s="87" t="s">
        <v>303</v>
      </c>
      <c r="D14" s="87" t="s">
        <v>303</v>
      </c>
      <c r="E14" s="88" t="s">
        <v>344</v>
      </c>
    </row>
    <row r="15" customFormat="false" ht="13.5" hidden="false" customHeight="false" outlineLevel="0" collapsed="false">
      <c r="A15" s="6" t="n">
        <v>12</v>
      </c>
      <c r="B15" s="86" t="s">
        <v>345</v>
      </c>
      <c r="C15" s="87" t="s">
        <v>303</v>
      </c>
      <c r="D15" s="87" t="s">
        <v>303</v>
      </c>
      <c r="E15" s="88" t="s">
        <v>346</v>
      </c>
    </row>
    <row r="16" customFormat="false" ht="13.5" hidden="false" customHeight="false" outlineLevel="0" collapsed="false">
      <c r="A16" s="6" t="n">
        <v>13</v>
      </c>
      <c r="B16" s="86" t="s">
        <v>347</v>
      </c>
      <c r="C16" s="87" t="s">
        <v>303</v>
      </c>
      <c r="D16" s="87" t="s">
        <v>303</v>
      </c>
      <c r="E16" s="88" t="s">
        <v>348</v>
      </c>
    </row>
    <row r="17" customFormat="false" ht="13.5" hidden="false" customHeight="false" outlineLevel="0" collapsed="false">
      <c r="A17" s="6" t="n">
        <v>14</v>
      </c>
      <c r="B17" s="86" t="s">
        <v>349</v>
      </c>
      <c r="C17" s="87" t="s">
        <v>303</v>
      </c>
      <c r="D17" s="87" t="s">
        <v>303</v>
      </c>
      <c r="E17" s="88" t="s">
        <v>350</v>
      </c>
    </row>
    <row r="18" customFormat="false" ht="13.5" hidden="false" customHeight="false" outlineLevel="0" collapsed="false">
      <c r="A18" s="6" t="n">
        <v>15</v>
      </c>
      <c r="B18" s="86" t="s">
        <v>351</v>
      </c>
      <c r="C18" s="87" t="s">
        <v>303</v>
      </c>
      <c r="D18" s="87" t="s">
        <v>303</v>
      </c>
      <c r="E18" s="88" t="s">
        <v>352</v>
      </c>
    </row>
    <row r="19" customFormat="false" ht="13.5" hidden="false" customHeight="false" outlineLevel="0" collapsed="false">
      <c r="A19" s="6" t="n">
        <v>16</v>
      </c>
      <c r="B19" s="86" t="s">
        <v>353</v>
      </c>
      <c r="C19" s="87" t="s">
        <v>303</v>
      </c>
      <c r="D19" s="87" t="s">
        <v>303</v>
      </c>
      <c r="E19" s="88" t="s">
        <v>354</v>
      </c>
    </row>
    <row r="20" customFormat="false" ht="13.5" hidden="false" customHeight="false" outlineLevel="0" collapsed="false">
      <c r="A20" s="6" t="n">
        <v>17</v>
      </c>
      <c r="B20" s="86" t="s">
        <v>355</v>
      </c>
      <c r="C20" s="87" t="s">
        <v>356</v>
      </c>
      <c r="D20" s="87" t="s">
        <v>356</v>
      </c>
      <c r="E20" s="88" t="s">
        <v>357</v>
      </c>
    </row>
    <row r="21" customFormat="false" ht="13.5" hidden="false" customHeight="false" outlineLevel="0" collapsed="false">
      <c r="A21" s="6" t="n">
        <v>18</v>
      </c>
      <c r="B21" s="86" t="s">
        <v>358</v>
      </c>
      <c r="C21" s="87" t="s">
        <v>359</v>
      </c>
      <c r="D21" s="87" t="s">
        <v>359</v>
      </c>
      <c r="E21" s="88" t="s">
        <v>360</v>
      </c>
    </row>
    <row r="22" customFormat="false" ht="13.5" hidden="false" customHeight="false" outlineLevel="0" collapsed="false">
      <c r="A22" s="6" t="n">
        <v>19</v>
      </c>
      <c r="B22" s="86" t="s">
        <v>361</v>
      </c>
      <c r="C22" s="87" t="s">
        <v>362</v>
      </c>
      <c r="D22" s="87" t="s">
        <v>362</v>
      </c>
      <c r="E22" s="88" t="s">
        <v>363</v>
      </c>
    </row>
    <row r="23" customFormat="false" ht="13.5" hidden="false" customHeight="false" outlineLevel="0" collapsed="false">
      <c r="A23" s="6" t="n">
        <v>20</v>
      </c>
      <c r="B23" s="86" t="s">
        <v>364</v>
      </c>
      <c r="C23" s="87" t="s">
        <v>267</v>
      </c>
      <c r="D23" s="87" t="s">
        <v>303</v>
      </c>
      <c r="E23" s="88" t="s">
        <v>365</v>
      </c>
    </row>
    <row r="24" customFormat="false" ht="13.5" hidden="false" customHeight="false" outlineLevel="0" collapsed="false">
      <c r="A24" s="6" t="n">
        <v>21</v>
      </c>
      <c r="B24" s="86" t="s">
        <v>366</v>
      </c>
      <c r="C24" s="87" t="s">
        <v>367</v>
      </c>
      <c r="D24" s="87" t="s">
        <v>367</v>
      </c>
      <c r="E24" s="88" t="s">
        <v>368</v>
      </c>
    </row>
    <row r="25" customFormat="false" ht="13.5" hidden="false" customHeight="false" outlineLevel="0" collapsed="false">
      <c r="A25" s="6" t="n">
        <v>22</v>
      </c>
      <c r="B25" s="86" t="s">
        <v>369</v>
      </c>
      <c r="C25" s="87" t="s">
        <v>370</v>
      </c>
      <c r="D25" s="87" t="s">
        <v>371</v>
      </c>
      <c r="E25" s="88" t="s">
        <v>372</v>
      </c>
    </row>
    <row r="26" customFormat="false" ht="13.5" hidden="false" customHeight="false" outlineLevel="0" collapsed="false">
      <c r="A26" s="6" t="n">
        <v>23</v>
      </c>
      <c r="B26" s="86" t="s">
        <v>373</v>
      </c>
      <c r="C26" s="87" t="s">
        <v>371</v>
      </c>
      <c r="D26" s="87" t="s">
        <v>371</v>
      </c>
      <c r="E26" s="88" t="s">
        <v>374</v>
      </c>
    </row>
    <row r="27" customFormat="false" ht="13.5" hidden="false" customHeight="false" outlineLevel="0" collapsed="false">
      <c r="A27" s="6" t="n">
        <v>24</v>
      </c>
      <c r="B27" s="86" t="s">
        <v>270</v>
      </c>
      <c r="C27" s="87" t="s">
        <v>267</v>
      </c>
      <c r="D27" s="87" t="s">
        <v>267</v>
      </c>
      <c r="E27" s="88" t="s">
        <v>375</v>
      </c>
    </row>
    <row r="28" customFormat="false" ht="13.5" hidden="false" customHeight="false" outlineLevel="0" collapsed="false">
      <c r="A28" s="6" t="n">
        <v>25</v>
      </c>
      <c r="B28" s="86" t="s">
        <v>279</v>
      </c>
      <c r="C28" s="87" t="s">
        <v>267</v>
      </c>
      <c r="D28" s="87" t="s">
        <v>303</v>
      </c>
      <c r="E28" s="88" t="s">
        <v>376</v>
      </c>
    </row>
    <row r="29" customFormat="false" ht="13.5" hidden="false" customHeight="false" outlineLevel="0" collapsed="false">
      <c r="A29" s="6" t="n">
        <v>26</v>
      </c>
      <c r="B29" s="86" t="s">
        <v>282</v>
      </c>
      <c r="C29" s="87" t="s">
        <v>267</v>
      </c>
      <c r="D29" s="87" t="s">
        <v>267</v>
      </c>
      <c r="E29" s="88" t="s">
        <v>377</v>
      </c>
    </row>
    <row r="30" customFormat="false" ht="13.5" hidden="false" customHeight="false" outlineLevel="0" collapsed="false">
      <c r="A30" s="6" t="n">
        <v>27</v>
      </c>
      <c r="B30" s="86" t="s">
        <v>296</v>
      </c>
      <c r="C30" s="87" t="s">
        <v>371</v>
      </c>
      <c r="D30" s="87" t="s">
        <v>371</v>
      </c>
      <c r="E30" s="88" t="s">
        <v>378</v>
      </c>
    </row>
    <row r="31" customFormat="false" ht="13.5" hidden="false" customHeight="false" outlineLevel="0" collapsed="false">
      <c r="A31" s="6" t="n">
        <v>28</v>
      </c>
      <c r="B31" s="86" t="s">
        <v>299</v>
      </c>
      <c r="C31" s="87" t="s">
        <v>371</v>
      </c>
      <c r="D31" s="87" t="s">
        <v>371</v>
      </c>
      <c r="E31" s="88" t="s">
        <v>379</v>
      </c>
    </row>
    <row r="32" customFormat="false" ht="13.5" hidden="false" customHeight="false" outlineLevel="0" collapsed="false">
      <c r="A32" s="6" t="n">
        <v>29</v>
      </c>
      <c r="B32" s="86" t="s">
        <v>380</v>
      </c>
      <c r="C32" s="87" t="s">
        <v>303</v>
      </c>
      <c r="D32" s="87" t="s">
        <v>303</v>
      </c>
      <c r="E32" s="88" t="s">
        <v>381</v>
      </c>
    </row>
    <row r="33" customFormat="false" ht="13.5" hidden="false" customHeight="false" outlineLevel="0" collapsed="false">
      <c r="A33" s="6" t="n">
        <v>30</v>
      </c>
      <c r="B33" s="86" t="s">
        <v>382</v>
      </c>
      <c r="C33" s="87" t="s">
        <v>303</v>
      </c>
      <c r="D33" s="87" t="s">
        <v>303</v>
      </c>
      <c r="E33" s="88" t="s">
        <v>383</v>
      </c>
    </row>
    <row r="34" customFormat="false" ht="13.5" hidden="false" customHeight="false" outlineLevel="0" collapsed="false">
      <c r="A34" s="6" t="n">
        <v>31</v>
      </c>
      <c r="B34" s="86" t="s">
        <v>384</v>
      </c>
      <c r="C34" s="87" t="s">
        <v>303</v>
      </c>
      <c r="D34" s="87" t="s">
        <v>303</v>
      </c>
      <c r="E34" s="88" t="s">
        <v>385</v>
      </c>
    </row>
    <row r="35" customFormat="false" ht="13.5" hidden="false" customHeight="false" outlineLevel="0" collapsed="false">
      <c r="A35" s="6" t="n">
        <v>32</v>
      </c>
      <c r="B35" s="86" t="s">
        <v>386</v>
      </c>
      <c r="C35" s="87" t="s">
        <v>370</v>
      </c>
      <c r="D35" s="87" t="s">
        <v>370</v>
      </c>
      <c r="E35" s="88" t="s">
        <v>387</v>
      </c>
    </row>
    <row r="36" customFormat="false" ht="13.5" hidden="false" customHeight="false" outlineLevel="0" collapsed="false">
      <c r="A36" s="6" t="n">
        <v>33</v>
      </c>
      <c r="B36" s="86" t="s">
        <v>388</v>
      </c>
      <c r="C36" s="87" t="s">
        <v>370</v>
      </c>
      <c r="D36" s="87" t="s">
        <v>370</v>
      </c>
      <c r="E36" s="88" t="s">
        <v>389</v>
      </c>
    </row>
    <row r="37" customFormat="false" ht="13.5" hidden="false" customHeight="false" outlineLevel="0" collapsed="false">
      <c r="A37" s="6" t="n">
        <v>34</v>
      </c>
      <c r="B37" s="86" t="s">
        <v>390</v>
      </c>
      <c r="C37" s="87" t="s">
        <v>391</v>
      </c>
      <c r="D37" s="87" t="s">
        <v>391</v>
      </c>
      <c r="E37" s="88" t="s">
        <v>392</v>
      </c>
    </row>
    <row r="38" customFormat="false" ht="13.5" hidden="false" customHeight="false" outlineLevel="0" collapsed="false">
      <c r="A38" s="6" t="n">
        <v>35</v>
      </c>
      <c r="B38" s="86" t="s">
        <v>393</v>
      </c>
      <c r="C38" s="87" t="s">
        <v>391</v>
      </c>
      <c r="D38" s="87" t="s">
        <v>391</v>
      </c>
      <c r="E38" s="88" t="s">
        <v>394</v>
      </c>
    </row>
    <row r="39" customFormat="false" ht="13.5" hidden="false" customHeight="false" outlineLevel="0" collapsed="false">
      <c r="A39" s="6" t="n">
        <v>36</v>
      </c>
      <c r="B39" s="86" t="s">
        <v>395</v>
      </c>
      <c r="C39" s="87" t="s">
        <v>370</v>
      </c>
      <c r="D39" s="87" t="s">
        <v>370</v>
      </c>
      <c r="E39" s="88" t="s">
        <v>396</v>
      </c>
    </row>
    <row r="40" customFormat="false" ht="13.5" hidden="false" customHeight="false" outlineLevel="0" collapsed="false">
      <c r="A40" s="6" t="n">
        <v>37</v>
      </c>
      <c r="B40" s="86" t="s">
        <v>397</v>
      </c>
      <c r="C40" s="87" t="s">
        <v>398</v>
      </c>
      <c r="D40" s="87" t="s">
        <v>398</v>
      </c>
      <c r="E40" s="88" t="s">
        <v>399</v>
      </c>
    </row>
    <row r="41" customFormat="false" ht="13.5" hidden="false" customHeight="false" outlineLevel="0" collapsed="false">
      <c r="A41" s="6" t="n">
        <v>38</v>
      </c>
      <c r="B41" s="86" t="s">
        <v>400</v>
      </c>
      <c r="C41" s="87" t="s">
        <v>391</v>
      </c>
      <c r="D41" s="87" t="s">
        <v>391</v>
      </c>
      <c r="E41" s="88" t="s">
        <v>401</v>
      </c>
    </row>
    <row r="42" customFormat="false" ht="19.5" hidden="false" customHeight="true" outlineLevel="0" collapsed="false">
      <c r="A42" s="6" t="n">
        <v>39</v>
      </c>
      <c r="B42" s="86" t="s">
        <v>402</v>
      </c>
      <c r="C42" s="87" t="s">
        <v>370</v>
      </c>
      <c r="D42" s="87" t="s">
        <v>370</v>
      </c>
      <c r="E42" s="88" t="s">
        <v>403</v>
      </c>
    </row>
    <row r="43" customFormat="false" ht="13.5" hidden="false" customHeight="false" outlineLevel="0" collapsed="false">
      <c r="A43" s="6" t="n">
        <v>40</v>
      </c>
      <c r="B43" s="86" t="s">
        <v>404</v>
      </c>
      <c r="C43" s="87" t="s">
        <v>267</v>
      </c>
      <c r="D43" s="87" t="s">
        <v>267</v>
      </c>
      <c r="E43" s="88" t="s">
        <v>405</v>
      </c>
    </row>
    <row r="44" customFormat="false" ht="13.5" hidden="false" customHeight="false" outlineLevel="0" collapsed="false">
      <c r="A44" s="6" t="n">
        <v>41</v>
      </c>
      <c r="B44" s="86" t="s">
        <v>406</v>
      </c>
      <c r="C44" s="87" t="s">
        <v>370</v>
      </c>
      <c r="D44" s="87" t="s">
        <v>370</v>
      </c>
      <c r="E44" s="88" t="s">
        <v>407</v>
      </c>
    </row>
    <row r="45" customFormat="false" ht="13.5" hidden="false" customHeight="false" outlineLevel="0" collapsed="false">
      <c r="A45" s="6" t="n">
        <v>42</v>
      </c>
      <c r="B45" s="86" t="s">
        <v>408</v>
      </c>
      <c r="C45" s="87" t="s">
        <v>391</v>
      </c>
      <c r="D45" s="87" t="s">
        <v>391</v>
      </c>
      <c r="E45" s="88" t="s">
        <v>409</v>
      </c>
    </row>
    <row r="46" customFormat="false" ht="13.5" hidden="false" customHeight="false" outlineLevel="0" collapsed="false">
      <c r="A46" s="6" t="n">
        <v>43</v>
      </c>
      <c r="B46" s="86" t="s">
        <v>410</v>
      </c>
      <c r="C46" s="87" t="s">
        <v>391</v>
      </c>
      <c r="D46" s="87" t="s">
        <v>391</v>
      </c>
      <c r="E46" s="88" t="s">
        <v>411</v>
      </c>
    </row>
    <row r="47" customFormat="false" ht="13.5" hidden="false" customHeight="false" outlineLevel="0" collapsed="false">
      <c r="A47" s="6" t="n">
        <v>44</v>
      </c>
      <c r="B47" s="86" t="s">
        <v>412</v>
      </c>
      <c r="C47" s="87" t="s">
        <v>413</v>
      </c>
      <c r="D47" s="87" t="s">
        <v>413</v>
      </c>
      <c r="E47" s="88" t="s">
        <v>414</v>
      </c>
    </row>
    <row r="48" customFormat="false" ht="13.5" hidden="false" customHeight="false" outlineLevel="0" collapsed="false">
      <c r="A48" s="6" t="n">
        <v>45</v>
      </c>
      <c r="B48" s="86" t="s">
        <v>415</v>
      </c>
      <c r="C48" s="87" t="s">
        <v>416</v>
      </c>
      <c r="D48" s="87" t="s">
        <v>416</v>
      </c>
      <c r="E48" s="88" t="s">
        <v>417</v>
      </c>
    </row>
    <row r="49" customFormat="false" ht="13.5" hidden="false" customHeight="false" outlineLevel="0" collapsed="false">
      <c r="A49" s="6" t="n">
        <v>46</v>
      </c>
      <c r="B49" s="86" t="s">
        <v>418</v>
      </c>
      <c r="C49" s="87" t="s">
        <v>391</v>
      </c>
      <c r="D49" s="87" t="s">
        <v>391</v>
      </c>
      <c r="E49" s="88" t="s">
        <v>419</v>
      </c>
    </row>
    <row r="50" customFormat="false" ht="13.5" hidden="false" customHeight="false" outlineLevel="0" collapsed="false">
      <c r="A50" s="6" t="n">
        <v>47</v>
      </c>
      <c r="B50" s="86" t="s">
        <v>420</v>
      </c>
      <c r="C50" s="87" t="s">
        <v>413</v>
      </c>
      <c r="D50" s="87" t="s">
        <v>413</v>
      </c>
      <c r="E50" s="88" t="s">
        <v>421</v>
      </c>
    </row>
    <row r="51" customFormat="false" ht="13.5" hidden="false" customHeight="false" outlineLevel="0" collapsed="false">
      <c r="A51" s="6"/>
      <c r="B51" s="86"/>
      <c r="C51" s="87"/>
      <c r="D51" s="87"/>
      <c r="E51" s="88"/>
    </row>
    <row r="52" customFormat="false" ht="13.5" hidden="false" customHeight="false" outlineLevel="0" collapsed="false">
      <c r="A52" s="6"/>
      <c r="B52" s="86"/>
      <c r="C52" s="87"/>
      <c r="D52" s="87"/>
      <c r="E52" s="88"/>
    </row>
    <row r="53" customFormat="false" ht="13.5" hidden="false" customHeight="false" outlineLevel="0" collapsed="false">
      <c r="A53" s="6"/>
      <c r="B53" s="86"/>
      <c r="C53" s="87"/>
      <c r="D53" s="87"/>
      <c r="E53" s="88"/>
    </row>
    <row r="54" customFormat="false" ht="13.5" hidden="false" customHeight="false" outlineLevel="0" collapsed="false">
      <c r="A54" s="6"/>
      <c r="B54" s="86"/>
      <c r="C54" s="87"/>
      <c r="D54" s="87"/>
      <c r="E54" s="88"/>
    </row>
    <row r="55" customFormat="false" ht="13.5" hidden="false" customHeight="false" outlineLevel="0" collapsed="false">
      <c r="A55" s="6"/>
      <c r="B55" s="86"/>
      <c r="C55" s="87"/>
      <c r="D55" s="87"/>
      <c r="E55" s="88"/>
    </row>
    <row r="56" customFormat="false" ht="13.5" hidden="false" customHeight="false" outlineLevel="0" collapsed="false">
      <c r="A56" s="6"/>
      <c r="B56" s="86"/>
      <c r="C56" s="87"/>
      <c r="D56" s="87"/>
      <c r="E56" s="88"/>
    </row>
    <row r="57" customFormat="false" ht="13.5" hidden="false" customHeight="false" outlineLevel="0" collapsed="false">
      <c r="A57" s="6"/>
      <c r="B57" s="86"/>
      <c r="C57" s="87"/>
      <c r="D57" s="87"/>
      <c r="E57" s="88"/>
    </row>
    <row r="58" customFormat="false" ht="13.5" hidden="false" customHeight="false" outlineLevel="0" collapsed="false">
      <c r="A58" s="6"/>
      <c r="B58" s="86"/>
      <c r="C58" s="87"/>
      <c r="D58" s="87"/>
      <c r="E58" s="88"/>
    </row>
    <row r="59" customFormat="false" ht="13.5" hidden="false" customHeight="false" outlineLevel="0" collapsed="false">
      <c r="A59" s="6"/>
      <c r="B59" s="86"/>
      <c r="C59" s="87"/>
      <c r="D59" s="87"/>
      <c r="E59" s="88"/>
    </row>
    <row r="60" customFormat="false" ht="13.5" hidden="false" customHeight="false" outlineLevel="0" collapsed="false">
      <c r="A60" s="6"/>
      <c r="B60" s="86"/>
      <c r="C60" s="87"/>
      <c r="D60" s="87"/>
      <c r="E60" s="88"/>
    </row>
    <row r="61" customFormat="false" ht="13.5" hidden="false" customHeight="false" outlineLevel="0" collapsed="false">
      <c r="A61" s="6"/>
      <c r="B61" s="86"/>
      <c r="C61" s="87"/>
      <c r="D61" s="87"/>
      <c r="E61" s="88"/>
    </row>
    <row r="62" customFormat="false" ht="13.5" hidden="false" customHeight="false" outlineLevel="0" collapsed="false">
      <c r="A62" s="6"/>
      <c r="B62" s="86"/>
      <c r="C62" s="87"/>
      <c r="D62" s="87"/>
      <c r="E62" s="88"/>
    </row>
    <row r="63" customFormat="false" ht="13.5" hidden="false" customHeight="false" outlineLevel="0" collapsed="false">
      <c r="A63" s="6"/>
      <c r="B63" s="86"/>
      <c r="C63" s="87"/>
      <c r="D63" s="87"/>
      <c r="E63" s="88"/>
    </row>
    <row r="64" customFormat="false" ht="13.5" hidden="false" customHeight="false" outlineLevel="0" collapsed="false">
      <c r="A64" s="6"/>
      <c r="B64" s="86"/>
      <c r="C64" s="87"/>
      <c r="D64" s="87"/>
      <c r="E64" s="88"/>
    </row>
    <row r="65" customFormat="false" ht="13.5" hidden="false" customHeight="false" outlineLevel="0" collapsed="false">
      <c r="A65" s="6"/>
      <c r="B65" s="86"/>
      <c r="C65" s="87"/>
      <c r="D65" s="87"/>
      <c r="E65" s="88"/>
    </row>
    <row r="66" customFormat="false" ht="13.5" hidden="false" customHeight="false" outlineLevel="0" collapsed="false">
      <c r="A66" s="6"/>
      <c r="B66" s="86"/>
      <c r="C66" s="87"/>
      <c r="D66" s="87"/>
      <c r="E66" s="88"/>
    </row>
    <row r="67" customFormat="false" ht="13.5" hidden="false" customHeight="false" outlineLevel="0" collapsed="false">
      <c r="A67" s="6"/>
      <c r="B67" s="86"/>
      <c r="C67" s="87"/>
      <c r="D67" s="87"/>
      <c r="E67" s="88"/>
    </row>
    <row r="68" customFormat="false" ht="13.5" hidden="false" customHeight="false" outlineLevel="0" collapsed="false">
      <c r="A68" s="6"/>
      <c r="B68" s="86"/>
      <c r="C68" s="87"/>
      <c r="D68" s="87"/>
      <c r="E68" s="88"/>
    </row>
    <row r="69" customFormat="false" ht="13.5" hidden="false" customHeight="false" outlineLevel="0" collapsed="false">
      <c r="A69" s="6"/>
      <c r="B69" s="86"/>
      <c r="C69" s="87"/>
      <c r="D69" s="87"/>
      <c r="E69" s="88"/>
    </row>
    <row r="70" customFormat="false" ht="13.5" hidden="false" customHeight="false" outlineLevel="0" collapsed="false">
      <c r="A70" s="6"/>
      <c r="B70" s="86"/>
      <c r="C70" s="87"/>
      <c r="D70" s="87"/>
      <c r="E70" s="88"/>
    </row>
    <row r="71" customFormat="false" ht="13.5" hidden="false" customHeight="false" outlineLevel="0" collapsed="false">
      <c r="A71" s="6"/>
      <c r="B71" s="86"/>
      <c r="C71" s="87"/>
      <c r="D71" s="87"/>
      <c r="E71" s="88"/>
    </row>
    <row r="72" customFormat="false" ht="13.5" hidden="false" customHeight="false" outlineLevel="0" collapsed="false">
      <c r="A72" s="6"/>
      <c r="B72" s="86"/>
      <c r="C72" s="87"/>
      <c r="D72" s="87"/>
      <c r="E72" s="88"/>
    </row>
    <row r="73" customFormat="false" ht="13.5" hidden="false" customHeight="false" outlineLevel="0" collapsed="false">
      <c r="A73" s="6"/>
      <c r="B73" s="86"/>
      <c r="C73" s="87"/>
      <c r="D73" s="87"/>
      <c r="E73" s="88"/>
    </row>
    <row r="74" customFormat="false" ht="13.5" hidden="false" customHeight="false" outlineLevel="0" collapsed="false">
      <c r="A74" s="6"/>
      <c r="B74" s="86"/>
      <c r="C74" s="87"/>
      <c r="D74" s="87"/>
      <c r="E74" s="88"/>
    </row>
    <row r="75" customFormat="false" ht="13.5" hidden="false" customHeight="false" outlineLevel="0" collapsed="false">
      <c r="A75" s="6"/>
      <c r="B75" s="86"/>
      <c r="C75" s="87"/>
      <c r="D75" s="87"/>
      <c r="E75" s="88"/>
    </row>
    <row r="76" customFormat="false" ht="13.5" hidden="false" customHeight="false" outlineLevel="0" collapsed="false">
      <c r="A76" s="6"/>
      <c r="B76" s="86"/>
      <c r="C76" s="87"/>
      <c r="D76" s="87"/>
      <c r="E76" s="88"/>
    </row>
    <row r="77" customFormat="false" ht="13.5" hidden="false" customHeight="false" outlineLevel="0" collapsed="false">
      <c r="A77" s="6"/>
      <c r="B77" s="86"/>
      <c r="C77" s="87"/>
      <c r="D77" s="87"/>
      <c r="E77" s="88"/>
    </row>
    <row r="78" customFormat="false" ht="13.5" hidden="false" customHeight="false" outlineLevel="0" collapsed="false">
      <c r="A78" s="6"/>
      <c r="B78" s="86"/>
      <c r="C78" s="87"/>
      <c r="D78" s="87"/>
      <c r="E78" s="88"/>
    </row>
    <row r="79" customFormat="false" ht="13.5" hidden="false" customHeight="false" outlineLevel="0" collapsed="false">
      <c r="A79" s="6"/>
      <c r="B79" s="86"/>
      <c r="C79" s="87"/>
      <c r="D79" s="87"/>
      <c r="E79" s="88"/>
    </row>
    <row r="80" customFormat="false" ht="13.5" hidden="false" customHeight="false" outlineLevel="0" collapsed="false">
      <c r="A80" s="6"/>
      <c r="B80" s="86"/>
      <c r="C80" s="87"/>
      <c r="D80" s="87"/>
      <c r="E80" s="88"/>
    </row>
    <row r="81" customFormat="false" ht="13.5" hidden="false" customHeight="false" outlineLevel="0" collapsed="false">
      <c r="A81" s="6"/>
      <c r="B81" s="86"/>
      <c r="C81" s="87"/>
      <c r="D81" s="87"/>
      <c r="E81" s="88"/>
    </row>
    <row r="82" customFormat="false" ht="13.5" hidden="false" customHeight="false" outlineLevel="0" collapsed="false">
      <c r="A82" s="6"/>
      <c r="B82" s="86"/>
      <c r="C82" s="87"/>
      <c r="D82" s="87"/>
      <c r="E82" s="88"/>
    </row>
    <row r="83" customFormat="false" ht="13.5" hidden="false" customHeight="false" outlineLevel="0" collapsed="false">
      <c r="A83" s="6"/>
      <c r="B83" s="86"/>
      <c r="C83" s="87"/>
      <c r="D83" s="87"/>
      <c r="E83" s="88"/>
    </row>
    <row r="84" customFormat="false" ht="13.5" hidden="false" customHeight="false" outlineLevel="0" collapsed="false">
      <c r="A84" s="6"/>
      <c r="B84" s="86"/>
      <c r="C84" s="87"/>
      <c r="D84" s="87"/>
      <c r="E84" s="88"/>
    </row>
    <row r="85" customFormat="false" ht="13.5" hidden="false" customHeight="false" outlineLevel="0" collapsed="false">
      <c r="A85" s="6"/>
      <c r="B85" s="86"/>
      <c r="C85" s="87"/>
      <c r="D85" s="87"/>
      <c r="E85" s="88"/>
    </row>
    <row r="86" customFormat="false" ht="13.5" hidden="false" customHeight="false" outlineLevel="0" collapsed="false">
      <c r="A86" s="6"/>
      <c r="B86" s="86"/>
      <c r="C86" s="87"/>
      <c r="D86" s="87"/>
      <c r="E86" s="88"/>
    </row>
    <row r="87" customFormat="false" ht="13.5" hidden="false" customHeight="false" outlineLevel="0" collapsed="false">
      <c r="A87" s="6"/>
      <c r="B87" s="86"/>
      <c r="C87" s="87"/>
      <c r="D87" s="87"/>
      <c r="E87" s="88"/>
    </row>
    <row r="88" customFormat="false" ht="13.5" hidden="false" customHeight="false" outlineLevel="0" collapsed="false">
      <c r="A88" s="6"/>
      <c r="B88" s="86"/>
      <c r="C88" s="87"/>
      <c r="D88" s="87"/>
      <c r="E88" s="88"/>
    </row>
    <row r="89" customFormat="false" ht="13.5" hidden="false" customHeight="false" outlineLevel="0" collapsed="false">
      <c r="A89" s="6"/>
      <c r="B89" s="86"/>
      <c r="C89" s="87"/>
      <c r="D89" s="87"/>
      <c r="E89" s="88"/>
    </row>
    <row r="90" customFormat="false" ht="13.5" hidden="false" customHeight="false" outlineLevel="0" collapsed="false">
      <c r="A90" s="6"/>
      <c r="B90" s="86"/>
      <c r="C90" s="87"/>
      <c r="D90" s="87"/>
      <c r="E90" s="88"/>
    </row>
    <row r="91" customFormat="false" ht="13.5" hidden="false" customHeight="false" outlineLevel="0" collapsed="false">
      <c r="A91" s="6"/>
      <c r="B91" s="86"/>
      <c r="C91" s="87"/>
      <c r="D91" s="87"/>
      <c r="E91" s="88"/>
    </row>
    <row r="92" customFormat="false" ht="13.5" hidden="false" customHeight="false" outlineLevel="0" collapsed="false">
      <c r="A92" s="6"/>
      <c r="B92" s="86"/>
      <c r="C92" s="87"/>
      <c r="D92" s="87"/>
      <c r="E92" s="88"/>
    </row>
    <row r="93" customFormat="false" ht="13.5" hidden="false" customHeight="false" outlineLevel="0" collapsed="false">
      <c r="A93" s="6"/>
      <c r="B93" s="86"/>
      <c r="C93" s="87"/>
      <c r="D93" s="87"/>
      <c r="E93" s="88"/>
    </row>
    <row r="94" customFormat="false" ht="13.5" hidden="false" customHeight="false" outlineLevel="0" collapsed="false">
      <c r="A94" s="6"/>
      <c r="B94" s="86"/>
      <c r="C94" s="87"/>
      <c r="D94" s="87"/>
      <c r="E94" s="88"/>
    </row>
    <row r="95" customFormat="false" ht="13.5" hidden="false" customHeight="false" outlineLevel="0" collapsed="false">
      <c r="A95" s="6"/>
      <c r="B95" s="86"/>
      <c r="C95" s="87"/>
      <c r="D95" s="87"/>
      <c r="E95" s="88"/>
    </row>
    <row r="96" customFormat="false" ht="13.5" hidden="false" customHeight="false" outlineLevel="0" collapsed="false">
      <c r="A96" s="6"/>
      <c r="B96" s="86"/>
      <c r="C96" s="87"/>
      <c r="D96" s="87"/>
      <c r="E96" s="88"/>
    </row>
    <row r="97" customFormat="false" ht="13.5" hidden="false" customHeight="false" outlineLevel="0" collapsed="false">
      <c r="A97" s="6"/>
      <c r="B97" s="86"/>
      <c r="C97" s="87"/>
      <c r="D97" s="87"/>
      <c r="E97" s="88"/>
    </row>
    <row r="98" customFormat="false" ht="13.5" hidden="false" customHeight="false" outlineLevel="0" collapsed="false">
      <c r="A98" s="6"/>
      <c r="B98" s="86"/>
      <c r="C98" s="87"/>
      <c r="D98" s="87"/>
      <c r="E98" s="88"/>
    </row>
    <row r="99" customFormat="false" ht="13.5" hidden="false" customHeight="false" outlineLevel="0" collapsed="false">
      <c r="A99" s="6"/>
      <c r="B99" s="86"/>
      <c r="C99" s="87"/>
      <c r="D99" s="87"/>
      <c r="E99" s="88"/>
    </row>
    <row r="100" customFormat="false" ht="13.5" hidden="false" customHeight="false" outlineLevel="0" collapsed="false">
      <c r="A100" s="6"/>
      <c r="B100" s="86"/>
      <c r="C100" s="87"/>
      <c r="D100" s="87"/>
      <c r="E100" s="88"/>
    </row>
    <row r="101" customFormat="false" ht="13.5" hidden="false" customHeight="false" outlineLevel="0" collapsed="false">
      <c r="A101" s="6"/>
      <c r="B101" s="86"/>
      <c r="C101" s="87"/>
      <c r="D101" s="87"/>
      <c r="E101" s="88"/>
    </row>
    <row r="102" customFormat="false" ht="13.5" hidden="false" customHeight="false" outlineLevel="0" collapsed="false">
      <c r="A102" s="6"/>
      <c r="B102" s="86"/>
      <c r="C102" s="87"/>
      <c r="D102" s="87"/>
      <c r="E102" s="88"/>
    </row>
    <row r="103" customFormat="false" ht="13.5" hidden="false" customHeight="false" outlineLevel="0" collapsed="false">
      <c r="A103" s="6"/>
      <c r="B103" s="86"/>
      <c r="C103" s="87"/>
      <c r="D103" s="87"/>
      <c r="E103" s="88"/>
    </row>
    <row r="104" customFormat="false" ht="13.5" hidden="false" customHeight="false" outlineLevel="0" collapsed="false">
      <c r="A104" s="6"/>
      <c r="B104" s="86"/>
      <c r="C104" s="87"/>
      <c r="D104" s="87"/>
      <c r="E104" s="88"/>
    </row>
    <row r="105" customFormat="false" ht="13.5" hidden="false" customHeight="false" outlineLevel="0" collapsed="false">
      <c r="A105" s="6"/>
      <c r="B105" s="86"/>
      <c r="C105" s="87"/>
      <c r="D105" s="87"/>
      <c r="E105" s="88"/>
    </row>
    <row r="106" customFormat="false" ht="13.5" hidden="false" customHeight="false" outlineLevel="0" collapsed="false">
      <c r="A106" s="6"/>
      <c r="B106" s="86"/>
      <c r="C106" s="87"/>
      <c r="D106" s="87"/>
      <c r="E106" s="88"/>
    </row>
    <row r="107" customFormat="false" ht="13.5" hidden="false" customHeight="false" outlineLevel="0" collapsed="false">
      <c r="A107" s="6"/>
      <c r="B107" s="86"/>
      <c r="C107" s="87"/>
      <c r="D107" s="87"/>
      <c r="E107" s="88"/>
    </row>
    <row r="108" customFormat="false" ht="13.5" hidden="false" customHeight="false" outlineLevel="0" collapsed="false">
      <c r="A108" s="6"/>
      <c r="B108" s="86"/>
      <c r="C108" s="87"/>
      <c r="D108" s="87"/>
      <c r="E108" s="88"/>
    </row>
    <row r="109" customFormat="false" ht="13.5" hidden="false" customHeight="false" outlineLevel="0" collapsed="false">
      <c r="A109" s="6"/>
      <c r="B109" s="86"/>
      <c r="C109" s="87"/>
      <c r="D109" s="87"/>
      <c r="E109" s="88"/>
    </row>
    <row r="110" customFormat="false" ht="13.5" hidden="false" customHeight="false" outlineLevel="0" collapsed="false">
      <c r="A110" s="6"/>
      <c r="B110" s="86"/>
      <c r="C110" s="87"/>
      <c r="D110" s="87"/>
      <c r="E110" s="88"/>
    </row>
    <row r="111" customFormat="false" ht="13.5" hidden="false" customHeight="false" outlineLevel="0" collapsed="false">
      <c r="A111" s="6"/>
      <c r="B111" s="86"/>
      <c r="C111" s="87"/>
      <c r="D111" s="87"/>
      <c r="E111" s="88"/>
    </row>
    <row r="112" customFormat="false" ht="13.5" hidden="false" customHeight="false" outlineLevel="0" collapsed="false">
      <c r="A112" s="6"/>
      <c r="B112" s="86"/>
      <c r="C112" s="87"/>
      <c r="D112" s="87"/>
      <c r="E112" s="88"/>
    </row>
    <row r="113" customFormat="false" ht="13.5" hidden="false" customHeight="false" outlineLevel="0" collapsed="false">
      <c r="A113" s="6"/>
      <c r="B113" s="86"/>
      <c r="C113" s="87"/>
      <c r="D113" s="87"/>
      <c r="E113" s="88"/>
    </row>
    <row r="114" customFormat="false" ht="13.5" hidden="false" customHeight="false" outlineLevel="0" collapsed="false">
      <c r="A114" s="6"/>
      <c r="B114" s="86"/>
      <c r="C114" s="87"/>
      <c r="D114" s="87"/>
      <c r="E114" s="88"/>
    </row>
    <row r="115" customFormat="false" ht="13.5" hidden="false" customHeight="false" outlineLevel="0" collapsed="false">
      <c r="A115" s="6"/>
      <c r="B115" s="86"/>
      <c r="C115" s="87"/>
      <c r="D115" s="87"/>
      <c r="E115" s="88"/>
    </row>
    <row r="116" customFormat="false" ht="13.5" hidden="false" customHeight="false" outlineLevel="0" collapsed="false">
      <c r="A116" s="6"/>
      <c r="B116" s="86"/>
      <c r="C116" s="87"/>
      <c r="D116" s="87"/>
      <c r="E116" s="88"/>
    </row>
    <row r="117" customFormat="false" ht="13.5" hidden="false" customHeight="false" outlineLevel="0" collapsed="false">
      <c r="A117" s="6"/>
      <c r="B117" s="86"/>
      <c r="C117" s="87"/>
      <c r="D117" s="87"/>
      <c r="E117" s="88"/>
    </row>
    <row r="118" customFormat="false" ht="13.5" hidden="false" customHeight="false" outlineLevel="0" collapsed="false">
      <c r="A118" s="6"/>
      <c r="B118" s="86"/>
      <c r="C118" s="87"/>
      <c r="D118" s="87"/>
      <c r="E118" s="88"/>
    </row>
    <row r="119" customFormat="false" ht="13.5" hidden="false" customHeight="false" outlineLevel="0" collapsed="false">
      <c r="A119" s="6"/>
      <c r="B119" s="86"/>
      <c r="C119" s="87"/>
      <c r="D119" s="87"/>
      <c r="E119" s="88"/>
    </row>
    <row r="120" customFormat="false" ht="13.5" hidden="false" customHeight="false" outlineLevel="0" collapsed="false">
      <c r="A120" s="6"/>
      <c r="B120" s="86"/>
      <c r="C120" s="87"/>
      <c r="D120" s="87"/>
      <c r="E120" s="88"/>
    </row>
    <row r="121" customFormat="false" ht="13.5" hidden="false" customHeight="false" outlineLevel="0" collapsed="false">
      <c r="A121" s="6"/>
      <c r="B121" s="86"/>
      <c r="C121" s="87"/>
      <c r="D121" s="87"/>
      <c r="E121" s="88"/>
    </row>
    <row r="122" customFormat="false" ht="13.5" hidden="false" customHeight="false" outlineLevel="0" collapsed="false">
      <c r="A122" s="6"/>
      <c r="B122" s="86"/>
      <c r="C122" s="87"/>
      <c r="D122" s="87"/>
      <c r="E122" s="88"/>
    </row>
    <row r="123" customFormat="false" ht="13.5" hidden="false" customHeight="false" outlineLevel="0" collapsed="false">
      <c r="A123" s="6"/>
      <c r="B123" s="86"/>
      <c r="C123" s="87"/>
      <c r="D123" s="87"/>
      <c r="E123" s="88"/>
    </row>
    <row r="124" customFormat="false" ht="13.5" hidden="false" customHeight="false" outlineLevel="0" collapsed="false">
      <c r="A124" s="6"/>
      <c r="B124" s="86"/>
      <c r="C124" s="87"/>
      <c r="D124" s="87"/>
      <c r="E124" s="88"/>
    </row>
    <row r="125" customFormat="false" ht="13.5" hidden="false" customHeight="false" outlineLevel="0" collapsed="false">
      <c r="A125" s="6"/>
      <c r="B125" s="86"/>
      <c r="C125" s="87"/>
      <c r="D125" s="87"/>
      <c r="E125" s="88"/>
    </row>
    <row r="126" customFormat="false" ht="13.5" hidden="false" customHeight="false" outlineLevel="0" collapsed="false">
      <c r="A126" s="6"/>
      <c r="B126" s="86"/>
      <c r="C126" s="87"/>
      <c r="D126" s="87"/>
      <c r="E126" s="88"/>
    </row>
    <row r="127" customFormat="false" ht="13.5" hidden="false" customHeight="false" outlineLevel="0" collapsed="false">
      <c r="A127" s="6"/>
      <c r="B127" s="86"/>
      <c r="C127" s="87"/>
      <c r="D127" s="87"/>
      <c r="E127" s="88"/>
    </row>
    <row r="128" customFormat="false" ht="13.5" hidden="false" customHeight="false" outlineLevel="0" collapsed="false">
      <c r="A128" s="6"/>
      <c r="B128" s="86"/>
      <c r="C128" s="87"/>
      <c r="D128" s="87"/>
      <c r="E128" s="88"/>
    </row>
    <row r="129" customFormat="false" ht="13.5" hidden="false" customHeight="false" outlineLevel="0" collapsed="false">
      <c r="A129" s="6"/>
      <c r="B129" s="86"/>
      <c r="C129" s="87"/>
      <c r="D129" s="87"/>
      <c r="E129" s="88"/>
    </row>
    <row r="130" customFormat="false" ht="13.5" hidden="false" customHeight="false" outlineLevel="0" collapsed="false">
      <c r="A130" s="6"/>
      <c r="B130" s="86"/>
      <c r="C130" s="87"/>
      <c r="D130" s="87"/>
      <c r="E130" s="88"/>
    </row>
    <row r="131" customFormat="false" ht="13.5" hidden="false" customHeight="false" outlineLevel="0" collapsed="false">
      <c r="A131" s="6"/>
      <c r="B131" s="86"/>
      <c r="C131" s="87"/>
      <c r="D131" s="87"/>
      <c r="E131" s="88"/>
    </row>
    <row r="132" customFormat="false" ht="13.5" hidden="false" customHeight="false" outlineLevel="0" collapsed="false">
      <c r="A132" s="6"/>
      <c r="B132" s="86"/>
      <c r="C132" s="87"/>
      <c r="D132" s="87"/>
      <c r="E132" s="88"/>
    </row>
    <row r="133" customFormat="false" ht="13.5" hidden="false" customHeight="false" outlineLevel="0" collapsed="false">
      <c r="A133" s="6"/>
      <c r="B133" s="86"/>
      <c r="C133" s="87"/>
      <c r="D133" s="87"/>
      <c r="E133" s="88"/>
    </row>
    <row r="134" customFormat="false" ht="13.5" hidden="false" customHeight="false" outlineLevel="0" collapsed="false">
      <c r="A134" s="6"/>
      <c r="B134" s="86"/>
      <c r="C134" s="87"/>
      <c r="D134" s="87"/>
      <c r="E134" s="88"/>
    </row>
    <row r="135" customFormat="false" ht="13.5" hidden="false" customHeight="false" outlineLevel="0" collapsed="false">
      <c r="A135" s="6"/>
      <c r="B135" s="86"/>
      <c r="C135" s="87"/>
      <c r="D135" s="87"/>
      <c r="E135" s="88"/>
    </row>
    <row r="136" customFormat="false" ht="13.5" hidden="false" customHeight="false" outlineLevel="0" collapsed="false">
      <c r="A136" s="6"/>
      <c r="B136" s="86"/>
      <c r="C136" s="87"/>
      <c r="D136" s="87"/>
      <c r="E136" s="88"/>
    </row>
    <row r="137" customFormat="false" ht="13.5" hidden="false" customHeight="false" outlineLevel="0" collapsed="false">
      <c r="A137" s="6"/>
      <c r="B137" s="86"/>
      <c r="C137" s="87"/>
      <c r="D137" s="87"/>
      <c r="E137" s="88"/>
    </row>
    <row r="138" customFormat="false" ht="13.5" hidden="false" customHeight="false" outlineLevel="0" collapsed="false">
      <c r="A138" s="6"/>
      <c r="B138" s="86"/>
      <c r="C138" s="87"/>
      <c r="D138" s="87"/>
      <c r="E138" s="88"/>
    </row>
    <row r="139" customFormat="false" ht="13.5" hidden="false" customHeight="false" outlineLevel="0" collapsed="false">
      <c r="A139" s="6"/>
      <c r="B139" s="86"/>
      <c r="C139" s="87"/>
      <c r="D139" s="87"/>
      <c r="E139" s="88"/>
    </row>
    <row r="140" customFormat="false" ht="13.5" hidden="false" customHeight="false" outlineLevel="0" collapsed="false">
      <c r="A140" s="6"/>
      <c r="B140" s="86"/>
      <c r="C140" s="87"/>
      <c r="D140" s="87"/>
      <c r="E140" s="88"/>
    </row>
    <row r="141" customFormat="false" ht="13.5" hidden="false" customHeight="false" outlineLevel="0" collapsed="false">
      <c r="A141" s="6"/>
      <c r="B141" s="86"/>
      <c r="C141" s="87"/>
      <c r="D141" s="87"/>
      <c r="E141" s="88"/>
    </row>
    <row r="142" customFormat="false" ht="13.5" hidden="false" customHeight="false" outlineLevel="0" collapsed="false">
      <c r="A142" s="6"/>
      <c r="B142" s="86"/>
      <c r="C142" s="87"/>
      <c r="D142" s="87"/>
      <c r="E142" s="88"/>
    </row>
    <row r="143" customFormat="false" ht="13.5" hidden="false" customHeight="false" outlineLevel="0" collapsed="false">
      <c r="A143" s="6"/>
      <c r="B143" s="86"/>
      <c r="C143" s="87"/>
      <c r="D143" s="87"/>
      <c r="E143" s="88"/>
    </row>
    <row r="144" customFormat="false" ht="25.35" hidden="false" customHeight="true" outlineLevel="0" collapsed="false">
      <c r="A144" s="89" t="s">
        <v>422</v>
      </c>
      <c r="B144" s="89"/>
      <c r="C144" s="89"/>
      <c r="D144" s="89"/>
      <c r="E144" s="89"/>
    </row>
  </sheetData>
  <mergeCells count="3">
    <mergeCell ref="A1:E1"/>
    <mergeCell ref="A2:E2"/>
    <mergeCell ref="A144:E144"/>
  </mergeCells>
  <dataValidations count="2">
    <dataValidation allowBlank="true" errorStyle="stop" operator="between" showDropDown="false" showErrorMessage="false" showInputMessage="true" sqref="B4:B143" type="list">
      <formula1>业务类型表</formula1>
      <formula2>0</formula2>
    </dataValidation>
    <dataValidation allowBlank="true" errorStyle="stop" operator="between" showDropDown="false" showErrorMessage="false" showInputMessage="true" sqref="C4:D143" type="list">
      <formula1>科目名称表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40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T24" activeCellId="0" sqref="T24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4" min="3" style="0" width="11"/>
    <col collapsed="false" customWidth="true" hidden="false" outlineLevel="0" max="5" min="5" style="0" width="20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10" min="9" style="0" width="15"/>
    <col collapsed="false" customWidth="true" hidden="false" outlineLevel="0" max="13" min="11" style="90" width="15"/>
    <col collapsed="false" customWidth="true" hidden="false" outlineLevel="0" max="17" min="14" style="0" width="15"/>
    <col collapsed="false" customWidth="true" hidden="false" outlineLevel="0" max="19" min="19" style="0" width="18"/>
    <col collapsed="false" customWidth="true" hidden="false" outlineLevel="0" max="20" min="20" style="0" width="20"/>
    <col collapsed="false" customWidth="true" hidden="false" outlineLevel="0" max="21" min="21" style="0" width="16"/>
  </cols>
  <sheetData>
    <row r="1" customFormat="false" ht="30" hidden="false" customHeight="true" outlineLevel="0" collapsed="false">
      <c r="A1" s="20" t="s">
        <v>423</v>
      </c>
      <c r="B1" s="20"/>
      <c r="C1" s="20"/>
      <c r="D1" s="20"/>
      <c r="E1" s="20"/>
      <c r="F1" s="20"/>
      <c r="G1" s="20"/>
    </row>
    <row r="2" customFormat="false" ht="18" hidden="false" customHeight="true" outlineLevel="0" collapsed="false">
      <c r="A2" s="21" t="s">
        <v>424</v>
      </c>
      <c r="B2" s="21"/>
      <c r="C2" s="21"/>
      <c r="D2" s="21"/>
      <c r="E2" s="21"/>
      <c r="F2" s="21"/>
      <c r="G2" s="21"/>
    </row>
    <row r="3" customFormat="false" ht="33.75" hidden="false" customHeight="true" outlineLevel="0" collapsed="false">
      <c r="A3" s="37" t="s">
        <v>425</v>
      </c>
      <c r="B3" s="37" t="s">
        <v>426</v>
      </c>
      <c r="C3" s="37" t="s">
        <v>427</v>
      </c>
      <c r="D3" s="37" t="s">
        <v>428</v>
      </c>
      <c r="E3" s="37" t="s">
        <v>429</v>
      </c>
      <c r="F3" s="37" t="s">
        <v>430</v>
      </c>
      <c r="G3" s="37" t="s">
        <v>174</v>
      </c>
      <c r="I3" s="37" t="s">
        <v>431</v>
      </c>
      <c r="J3" s="37" t="s">
        <v>327</v>
      </c>
      <c r="K3" s="37" t="s">
        <v>432</v>
      </c>
      <c r="L3" s="37" t="s">
        <v>433</v>
      </c>
      <c r="M3" s="37" t="s">
        <v>434</v>
      </c>
      <c r="N3" s="37" t="s">
        <v>435</v>
      </c>
      <c r="O3" s="37" t="s">
        <v>260</v>
      </c>
      <c r="P3" s="37" t="s">
        <v>436</v>
      </c>
      <c r="Q3" s="37" t="s">
        <v>259</v>
      </c>
      <c r="S3" s="91" t="s">
        <v>437</v>
      </c>
      <c r="T3" s="37" t="s">
        <v>438</v>
      </c>
      <c r="U3" s="92" t="s">
        <v>439</v>
      </c>
    </row>
    <row r="4" customFormat="false" ht="18" hidden="false" customHeight="true" outlineLevel="0" collapsed="false">
      <c r="A4" s="93" t="s">
        <v>440</v>
      </c>
      <c r="B4" s="18" t="s">
        <v>441</v>
      </c>
      <c r="C4" s="19" t="s">
        <v>442</v>
      </c>
      <c r="D4" s="19" t="s">
        <v>443</v>
      </c>
      <c r="E4" s="18" t="s">
        <v>444</v>
      </c>
      <c r="F4" s="19"/>
      <c r="G4" s="18"/>
      <c r="I4" s="19" t="s">
        <v>445</v>
      </c>
      <c r="J4" s="19" t="s">
        <v>264</v>
      </c>
      <c r="K4" s="19" t="s">
        <v>441</v>
      </c>
      <c r="L4" s="19" t="s">
        <v>264</v>
      </c>
      <c r="M4" s="19" t="s">
        <v>382</v>
      </c>
      <c r="N4" s="19" t="s">
        <v>446</v>
      </c>
      <c r="O4" s="84" t="s">
        <v>266</v>
      </c>
      <c r="P4" s="19" t="s">
        <v>447</v>
      </c>
      <c r="Q4" s="19" t="s">
        <v>265</v>
      </c>
      <c r="S4" s="19"/>
      <c r="T4" s="19" t="s">
        <v>441</v>
      </c>
      <c r="U4" s="10" t="s">
        <v>312</v>
      </c>
    </row>
    <row r="5" customFormat="false" ht="18" hidden="false" customHeight="true" outlineLevel="0" collapsed="false">
      <c r="A5" s="93" t="s">
        <v>448</v>
      </c>
      <c r="B5" s="18" t="s">
        <v>449</v>
      </c>
      <c r="C5" s="19" t="s">
        <v>442</v>
      </c>
      <c r="D5" s="19" t="s">
        <v>443</v>
      </c>
      <c r="E5" s="18" t="s">
        <v>444</v>
      </c>
      <c r="F5" s="19"/>
      <c r="G5" s="18"/>
      <c r="I5" s="19" t="s">
        <v>450</v>
      </c>
      <c r="J5" s="19" t="s">
        <v>270</v>
      </c>
      <c r="K5" s="94" t="s">
        <v>451</v>
      </c>
      <c r="L5" s="19" t="s">
        <v>270</v>
      </c>
      <c r="M5" s="19" t="s">
        <v>384</v>
      </c>
      <c r="N5" s="19" t="s">
        <v>452</v>
      </c>
      <c r="O5" s="84" t="s">
        <v>453</v>
      </c>
      <c r="P5" s="19" t="s">
        <v>454</v>
      </c>
      <c r="Q5" s="19" t="s">
        <v>301</v>
      </c>
      <c r="S5" s="19"/>
      <c r="T5" s="19" t="s">
        <v>449</v>
      </c>
      <c r="U5" s="10" t="s">
        <v>312</v>
      </c>
    </row>
    <row r="6" customFormat="false" ht="18" hidden="false" customHeight="true" outlineLevel="0" collapsed="false">
      <c r="A6" s="93" t="s">
        <v>455</v>
      </c>
      <c r="B6" s="18" t="s">
        <v>398</v>
      </c>
      <c r="C6" s="19" t="s">
        <v>442</v>
      </c>
      <c r="D6" s="19" t="s">
        <v>443</v>
      </c>
      <c r="E6" s="18" t="s">
        <v>444</v>
      </c>
      <c r="F6" s="19"/>
      <c r="G6" s="18"/>
      <c r="I6" s="19" t="s">
        <v>456</v>
      </c>
      <c r="J6" s="19" t="s">
        <v>273</v>
      </c>
      <c r="K6" s="94" t="s">
        <v>457</v>
      </c>
      <c r="L6" s="19" t="s">
        <v>273</v>
      </c>
      <c r="M6" s="19" t="s">
        <v>458</v>
      </c>
      <c r="N6" s="19" t="s">
        <v>459</v>
      </c>
      <c r="O6" s="84" t="s">
        <v>460</v>
      </c>
      <c r="P6" s="95"/>
      <c r="Q6" s="19" t="s">
        <v>311</v>
      </c>
      <c r="S6" s="19"/>
      <c r="T6" s="19" t="s">
        <v>449</v>
      </c>
      <c r="U6" s="10" t="s">
        <v>312</v>
      </c>
    </row>
    <row r="7" customFormat="false" ht="18" hidden="false" customHeight="true" outlineLevel="0" collapsed="false">
      <c r="A7" s="93" t="s">
        <v>461</v>
      </c>
      <c r="B7" s="18" t="s">
        <v>462</v>
      </c>
      <c r="C7" s="19" t="s">
        <v>442</v>
      </c>
      <c r="D7" s="19" t="s">
        <v>443</v>
      </c>
      <c r="E7" s="18" t="s">
        <v>462</v>
      </c>
      <c r="F7" s="19"/>
      <c r="G7" s="18"/>
      <c r="I7" s="19" t="s">
        <v>463</v>
      </c>
      <c r="J7" s="19" t="s">
        <v>276</v>
      </c>
      <c r="K7" s="94" t="s">
        <v>459</v>
      </c>
      <c r="L7" s="19" t="s">
        <v>276</v>
      </c>
      <c r="M7" s="19" t="s">
        <v>347</v>
      </c>
      <c r="N7" s="19" t="s">
        <v>464</v>
      </c>
      <c r="O7" s="84" t="s">
        <v>465</v>
      </c>
      <c r="P7" s="95"/>
      <c r="Q7" s="19" t="s">
        <v>297</v>
      </c>
      <c r="S7" s="19"/>
      <c r="T7" s="19" t="s">
        <v>398</v>
      </c>
      <c r="U7" s="10" t="s">
        <v>312</v>
      </c>
    </row>
    <row r="8" customFormat="false" ht="18" hidden="false" customHeight="true" outlineLevel="0" collapsed="false">
      <c r="A8" s="93" t="s">
        <v>466</v>
      </c>
      <c r="B8" s="18" t="s">
        <v>267</v>
      </c>
      <c r="C8" s="19" t="s">
        <v>442</v>
      </c>
      <c r="D8" s="19" t="s">
        <v>443</v>
      </c>
      <c r="E8" s="18" t="s">
        <v>267</v>
      </c>
      <c r="F8" s="19"/>
      <c r="G8" s="18"/>
      <c r="I8" s="19" t="s">
        <v>467</v>
      </c>
      <c r="J8" s="19" t="s">
        <v>279</v>
      </c>
      <c r="K8" s="94" t="s">
        <v>464</v>
      </c>
      <c r="L8" s="19" t="s">
        <v>279</v>
      </c>
      <c r="M8" s="19" t="s">
        <v>468</v>
      </c>
      <c r="N8" s="19" t="s">
        <v>469</v>
      </c>
      <c r="O8" s="84" t="s">
        <v>470</v>
      </c>
      <c r="P8" s="95"/>
      <c r="Q8" s="95"/>
      <c r="S8" s="19"/>
      <c r="T8" s="19" t="s">
        <v>398</v>
      </c>
      <c r="U8" s="10" t="s">
        <v>391</v>
      </c>
    </row>
    <row r="9" customFormat="false" ht="18" hidden="false" customHeight="true" outlineLevel="0" collapsed="false">
      <c r="A9" s="93" t="s">
        <v>471</v>
      </c>
      <c r="B9" s="18" t="s">
        <v>416</v>
      </c>
      <c r="C9" s="19" t="s">
        <v>442</v>
      </c>
      <c r="D9" s="19" t="s">
        <v>443</v>
      </c>
      <c r="E9" s="18" t="s">
        <v>472</v>
      </c>
      <c r="F9" s="19"/>
      <c r="G9" s="18"/>
      <c r="I9" s="19" t="s">
        <v>473</v>
      </c>
      <c r="J9" s="19" t="s">
        <v>282</v>
      </c>
      <c r="K9" s="19" t="s">
        <v>469</v>
      </c>
      <c r="L9" s="19" t="s">
        <v>282</v>
      </c>
      <c r="M9" s="19" t="s">
        <v>273</v>
      </c>
      <c r="N9" s="19" t="s">
        <v>474</v>
      </c>
      <c r="O9" s="84" t="s">
        <v>475</v>
      </c>
      <c r="P9" s="95"/>
      <c r="Q9" s="95"/>
      <c r="S9" s="19"/>
      <c r="T9" s="19" t="s">
        <v>462</v>
      </c>
      <c r="U9" s="10" t="s">
        <v>312</v>
      </c>
    </row>
    <row r="10" customFormat="false" ht="18" hidden="false" customHeight="true" outlineLevel="0" collapsed="false">
      <c r="A10" s="93" t="s">
        <v>476</v>
      </c>
      <c r="B10" s="18" t="s">
        <v>477</v>
      </c>
      <c r="C10" s="19" t="s">
        <v>442</v>
      </c>
      <c r="D10" s="19" t="s">
        <v>443</v>
      </c>
      <c r="E10" s="18" t="s">
        <v>477</v>
      </c>
      <c r="F10" s="19"/>
      <c r="G10" s="18"/>
      <c r="I10" s="19" t="s">
        <v>478</v>
      </c>
      <c r="J10" s="19" t="s">
        <v>291</v>
      </c>
      <c r="K10" s="96" t="s">
        <v>479</v>
      </c>
      <c r="L10" s="19" t="s">
        <v>291</v>
      </c>
      <c r="M10" s="19" t="s">
        <v>480</v>
      </c>
      <c r="N10" s="19" t="s">
        <v>481</v>
      </c>
      <c r="O10" s="84" t="s">
        <v>482</v>
      </c>
      <c r="P10" s="95"/>
      <c r="Q10" s="95"/>
      <c r="T10" s="19" t="s">
        <v>449</v>
      </c>
      <c r="U10" s="10" t="s">
        <v>312</v>
      </c>
    </row>
    <row r="11" customFormat="false" ht="18" hidden="false" customHeight="true" outlineLevel="0" collapsed="false">
      <c r="A11" s="93" t="s">
        <v>483</v>
      </c>
      <c r="B11" s="18" t="s">
        <v>484</v>
      </c>
      <c r="C11" s="19" t="s">
        <v>442</v>
      </c>
      <c r="D11" s="19" t="s">
        <v>443</v>
      </c>
      <c r="E11" s="18" t="s">
        <v>484</v>
      </c>
      <c r="F11" s="19"/>
      <c r="G11" s="18"/>
      <c r="I11" s="19" t="s">
        <v>485</v>
      </c>
      <c r="J11" s="19" t="s">
        <v>285</v>
      </c>
      <c r="K11" s="96" t="s">
        <v>486</v>
      </c>
      <c r="L11" s="19" t="s">
        <v>285</v>
      </c>
      <c r="M11" s="19" t="s">
        <v>351</v>
      </c>
      <c r="N11" s="19" t="s">
        <v>487</v>
      </c>
      <c r="O11" s="95"/>
      <c r="P11" s="95"/>
      <c r="Q11" s="95"/>
      <c r="T11" s="19" t="s">
        <v>449</v>
      </c>
      <c r="U11" s="10" t="s">
        <v>312</v>
      </c>
    </row>
    <row r="12" customFormat="false" ht="18" hidden="false" customHeight="true" outlineLevel="0" collapsed="false">
      <c r="A12" s="93" t="s">
        <v>488</v>
      </c>
      <c r="B12" s="18" t="s">
        <v>370</v>
      </c>
      <c r="C12" s="19" t="s">
        <v>442</v>
      </c>
      <c r="D12" s="19" t="s">
        <v>443</v>
      </c>
      <c r="E12" s="18" t="s">
        <v>370</v>
      </c>
      <c r="F12" s="19"/>
      <c r="G12" s="18"/>
      <c r="I12" s="19" t="s">
        <v>489</v>
      </c>
      <c r="J12" s="19" t="s">
        <v>288</v>
      </c>
      <c r="K12" s="96" t="s">
        <v>490</v>
      </c>
      <c r="L12" s="19" t="s">
        <v>288</v>
      </c>
      <c r="M12" s="19" t="s">
        <v>491</v>
      </c>
      <c r="N12" s="95"/>
      <c r="O12" s="95"/>
      <c r="P12" s="95"/>
      <c r="Q12" s="95"/>
      <c r="T12" s="19" t="s">
        <v>398</v>
      </c>
      <c r="U12" s="10" t="s">
        <v>312</v>
      </c>
    </row>
    <row r="13" customFormat="false" ht="18" hidden="false" customHeight="true" outlineLevel="0" collapsed="false">
      <c r="A13" s="93" t="s">
        <v>492</v>
      </c>
      <c r="B13" s="18" t="s">
        <v>493</v>
      </c>
      <c r="C13" s="19" t="s">
        <v>442</v>
      </c>
      <c r="D13" s="19" t="s">
        <v>494</v>
      </c>
      <c r="E13" s="18" t="s">
        <v>267</v>
      </c>
      <c r="F13" s="19"/>
      <c r="G13" s="18"/>
      <c r="I13" s="19" t="s">
        <v>495</v>
      </c>
      <c r="J13" s="19" t="s">
        <v>294</v>
      </c>
      <c r="K13" s="96" t="s">
        <v>496</v>
      </c>
      <c r="L13" s="19" t="s">
        <v>294</v>
      </c>
      <c r="M13" s="19" t="s">
        <v>497</v>
      </c>
      <c r="N13" s="95"/>
      <c r="O13" s="95"/>
      <c r="P13" s="95"/>
      <c r="Q13" s="95"/>
      <c r="T13" s="19" t="s">
        <v>398</v>
      </c>
      <c r="U13" s="10" t="s">
        <v>312</v>
      </c>
    </row>
    <row r="14" customFormat="false" ht="18" hidden="false" customHeight="true" outlineLevel="0" collapsed="false">
      <c r="A14" s="93" t="s">
        <v>498</v>
      </c>
      <c r="B14" s="18" t="s">
        <v>499</v>
      </c>
      <c r="C14" s="19" t="s">
        <v>442</v>
      </c>
      <c r="D14" s="19" t="s">
        <v>443</v>
      </c>
      <c r="E14" s="18" t="s">
        <v>500</v>
      </c>
      <c r="F14" s="19"/>
      <c r="G14" s="18"/>
      <c r="I14" s="19" t="s">
        <v>501</v>
      </c>
      <c r="J14" s="19" t="s">
        <v>341</v>
      </c>
      <c r="K14" s="96"/>
      <c r="L14" s="96" t="s">
        <v>502</v>
      </c>
      <c r="M14" s="19" t="s">
        <v>503</v>
      </c>
      <c r="N14" s="95"/>
      <c r="O14" s="95"/>
      <c r="P14" s="95"/>
      <c r="Q14" s="95"/>
      <c r="U14" s="10" t="s">
        <v>312</v>
      </c>
    </row>
    <row r="15" customFormat="false" ht="18" hidden="false" customHeight="true" outlineLevel="0" collapsed="false">
      <c r="A15" s="93" t="s">
        <v>504</v>
      </c>
      <c r="B15" s="18" t="s">
        <v>306</v>
      </c>
      <c r="C15" s="19" t="s">
        <v>442</v>
      </c>
      <c r="D15" s="19" t="s">
        <v>443</v>
      </c>
      <c r="E15" s="18" t="s">
        <v>500</v>
      </c>
      <c r="F15" s="19"/>
      <c r="G15" s="18"/>
      <c r="I15" s="19" t="s">
        <v>505</v>
      </c>
      <c r="J15" s="19" t="s">
        <v>343</v>
      </c>
      <c r="K15" s="96"/>
      <c r="L15" s="96" t="s">
        <v>506</v>
      </c>
      <c r="M15" s="19" t="s">
        <v>507</v>
      </c>
      <c r="N15" s="95"/>
      <c r="O15" s="95"/>
      <c r="P15" s="95"/>
      <c r="Q15" s="95"/>
      <c r="U15" s="10" t="s">
        <v>312</v>
      </c>
    </row>
    <row r="16" customFormat="false" ht="18" hidden="false" customHeight="true" outlineLevel="0" collapsed="false">
      <c r="A16" s="93" t="s">
        <v>508</v>
      </c>
      <c r="B16" s="18" t="s">
        <v>302</v>
      </c>
      <c r="C16" s="19" t="s">
        <v>442</v>
      </c>
      <c r="D16" s="19" t="s">
        <v>443</v>
      </c>
      <c r="E16" s="18" t="s">
        <v>500</v>
      </c>
      <c r="F16" s="19"/>
      <c r="G16" s="18"/>
      <c r="I16" s="19" t="s">
        <v>509</v>
      </c>
      <c r="J16" s="19" t="s">
        <v>345</v>
      </c>
      <c r="K16" s="96"/>
      <c r="L16" s="96" t="s">
        <v>404</v>
      </c>
      <c r="M16" s="19" t="s">
        <v>510</v>
      </c>
      <c r="N16" s="95"/>
      <c r="O16" s="95"/>
      <c r="P16" s="95"/>
      <c r="Q16" s="95"/>
      <c r="U16" s="10" t="s">
        <v>312</v>
      </c>
    </row>
    <row r="17" customFormat="false" ht="18" hidden="false" customHeight="true" outlineLevel="0" collapsed="false">
      <c r="A17" s="93" t="s">
        <v>511</v>
      </c>
      <c r="B17" s="18" t="s">
        <v>512</v>
      </c>
      <c r="C17" s="19" t="s">
        <v>442</v>
      </c>
      <c r="D17" s="19" t="s">
        <v>443</v>
      </c>
      <c r="E17" s="18" t="s">
        <v>500</v>
      </c>
      <c r="F17" s="19"/>
      <c r="G17" s="18"/>
      <c r="I17" s="19" t="s">
        <v>513</v>
      </c>
      <c r="J17" s="19" t="s">
        <v>296</v>
      </c>
      <c r="K17" s="96"/>
      <c r="L17" s="96" t="s">
        <v>406</v>
      </c>
      <c r="M17" s="19" t="s">
        <v>514</v>
      </c>
      <c r="N17" s="95"/>
      <c r="O17" s="95"/>
      <c r="P17" s="95"/>
      <c r="Q17" s="95"/>
      <c r="U17" s="10" t="s">
        <v>312</v>
      </c>
    </row>
    <row r="18" customFormat="false" ht="18" hidden="false" customHeight="true" outlineLevel="0" collapsed="false">
      <c r="A18" s="93" t="s">
        <v>515</v>
      </c>
      <c r="B18" s="18" t="s">
        <v>308</v>
      </c>
      <c r="C18" s="19" t="s">
        <v>442</v>
      </c>
      <c r="D18" s="19" t="s">
        <v>443</v>
      </c>
      <c r="E18" s="18" t="s">
        <v>500</v>
      </c>
      <c r="F18" s="19"/>
      <c r="G18" s="18"/>
      <c r="I18" s="19" t="s">
        <v>516</v>
      </c>
      <c r="J18" s="19" t="s">
        <v>299</v>
      </c>
      <c r="K18" s="96"/>
      <c r="L18" s="96"/>
      <c r="M18" s="19" t="s">
        <v>517</v>
      </c>
      <c r="N18" s="95"/>
      <c r="O18" s="95"/>
      <c r="P18" s="95"/>
      <c r="Q18" s="95"/>
      <c r="U18" s="10" t="s">
        <v>391</v>
      </c>
    </row>
    <row r="19" customFormat="false" ht="18" hidden="false" customHeight="true" outlineLevel="0" collapsed="false">
      <c r="A19" s="93" t="s">
        <v>518</v>
      </c>
      <c r="B19" s="18" t="s">
        <v>519</v>
      </c>
      <c r="C19" s="19" t="s">
        <v>442</v>
      </c>
      <c r="D19" s="19" t="s">
        <v>494</v>
      </c>
      <c r="E19" s="18" t="s">
        <v>500</v>
      </c>
      <c r="F19" s="19"/>
      <c r="G19" s="18"/>
      <c r="I19" s="19" t="s">
        <v>520</v>
      </c>
      <c r="J19" s="19" t="s">
        <v>347</v>
      </c>
      <c r="K19" s="96"/>
      <c r="L19" s="96"/>
      <c r="M19" s="19" t="s">
        <v>521</v>
      </c>
      <c r="N19" s="95"/>
      <c r="O19" s="95"/>
      <c r="P19" s="95"/>
      <c r="Q19" s="95"/>
      <c r="U19" s="10" t="s">
        <v>391</v>
      </c>
    </row>
    <row r="20" customFormat="false" ht="18" hidden="false" customHeight="true" outlineLevel="0" collapsed="false">
      <c r="A20" s="93" t="s">
        <v>522</v>
      </c>
      <c r="B20" s="18" t="s">
        <v>523</v>
      </c>
      <c r="C20" s="19" t="s">
        <v>442</v>
      </c>
      <c r="D20" s="19" t="s">
        <v>443</v>
      </c>
      <c r="E20" s="18" t="s">
        <v>524</v>
      </c>
      <c r="F20" s="19"/>
      <c r="G20" s="18"/>
      <c r="I20" s="19" t="s">
        <v>525</v>
      </c>
      <c r="J20" s="19" t="s">
        <v>380</v>
      </c>
      <c r="K20" s="96"/>
      <c r="L20" s="96"/>
      <c r="M20" s="19" t="s">
        <v>526</v>
      </c>
      <c r="N20" s="95"/>
      <c r="O20" s="95"/>
      <c r="P20" s="95"/>
      <c r="Q20" s="95"/>
      <c r="U20" s="10" t="s">
        <v>391</v>
      </c>
    </row>
    <row r="21" customFormat="false" ht="18" hidden="false" customHeight="true" outlineLevel="0" collapsed="false">
      <c r="A21" s="93" t="s">
        <v>527</v>
      </c>
      <c r="B21" s="18" t="s">
        <v>356</v>
      </c>
      <c r="C21" s="19" t="s">
        <v>442</v>
      </c>
      <c r="D21" s="19" t="s">
        <v>494</v>
      </c>
      <c r="E21" s="18" t="s">
        <v>356</v>
      </c>
      <c r="F21" s="19"/>
      <c r="G21" s="18"/>
      <c r="I21" s="19" t="s">
        <v>528</v>
      </c>
      <c r="J21" s="19" t="s">
        <v>382</v>
      </c>
      <c r="K21" s="96"/>
      <c r="L21" s="96"/>
      <c r="M21" s="19" t="s">
        <v>529</v>
      </c>
      <c r="N21" s="95"/>
      <c r="O21" s="95"/>
      <c r="P21" s="95"/>
      <c r="Q21" s="95"/>
      <c r="U21" s="10" t="s">
        <v>391</v>
      </c>
    </row>
    <row r="22" customFormat="false" ht="18" hidden="false" customHeight="true" outlineLevel="0" collapsed="false">
      <c r="A22" s="93" t="s">
        <v>530</v>
      </c>
      <c r="B22" s="18" t="s">
        <v>531</v>
      </c>
      <c r="C22" s="19" t="s">
        <v>442</v>
      </c>
      <c r="D22" s="19" t="s">
        <v>443</v>
      </c>
      <c r="E22" s="18" t="s">
        <v>531</v>
      </c>
      <c r="F22" s="19"/>
      <c r="G22" s="18"/>
      <c r="I22" s="19" t="s">
        <v>532</v>
      </c>
      <c r="J22" s="19" t="s">
        <v>384</v>
      </c>
      <c r="K22" s="96"/>
      <c r="L22" s="96"/>
      <c r="M22" s="19" t="s">
        <v>533</v>
      </c>
      <c r="N22" s="95"/>
      <c r="O22" s="95"/>
      <c r="P22" s="95"/>
      <c r="Q22" s="95"/>
      <c r="U22" s="10" t="s">
        <v>391</v>
      </c>
    </row>
    <row r="23" customFormat="false" ht="18" hidden="false" customHeight="true" outlineLevel="0" collapsed="false">
      <c r="A23" s="93" t="s">
        <v>534</v>
      </c>
      <c r="B23" s="18" t="s">
        <v>535</v>
      </c>
      <c r="C23" s="19" t="s">
        <v>442</v>
      </c>
      <c r="D23" s="19" t="s">
        <v>443</v>
      </c>
      <c r="E23" s="18" t="s">
        <v>535</v>
      </c>
      <c r="F23" s="19"/>
      <c r="G23" s="18"/>
      <c r="I23" s="19" t="s">
        <v>536</v>
      </c>
      <c r="J23" s="19" t="s">
        <v>351</v>
      </c>
      <c r="K23" s="96"/>
      <c r="L23" s="96"/>
      <c r="M23" s="19" t="s">
        <v>537</v>
      </c>
      <c r="N23" s="95"/>
      <c r="O23" s="95"/>
      <c r="P23" s="95"/>
      <c r="Q23" s="95"/>
      <c r="U23" s="10" t="s">
        <v>391</v>
      </c>
    </row>
    <row r="24" customFormat="false" ht="18" hidden="false" customHeight="true" outlineLevel="0" collapsed="false">
      <c r="A24" s="93" t="s">
        <v>538</v>
      </c>
      <c r="B24" s="18" t="s">
        <v>539</v>
      </c>
      <c r="C24" s="19" t="s">
        <v>442</v>
      </c>
      <c r="D24" s="19" t="s">
        <v>494</v>
      </c>
      <c r="E24" s="18" t="s">
        <v>535</v>
      </c>
      <c r="F24" s="19"/>
      <c r="G24" s="18"/>
      <c r="I24" s="19" t="s">
        <v>540</v>
      </c>
      <c r="J24" s="19" t="s">
        <v>353</v>
      </c>
      <c r="K24" s="96"/>
      <c r="L24" s="96"/>
      <c r="M24" s="19" t="s">
        <v>541</v>
      </c>
      <c r="N24" s="95"/>
      <c r="O24" s="95"/>
      <c r="P24" s="95"/>
      <c r="Q24" s="95"/>
      <c r="U24" s="10" t="s">
        <v>312</v>
      </c>
    </row>
    <row r="25" customFormat="false" ht="18" hidden="false" customHeight="true" outlineLevel="0" collapsed="false">
      <c r="A25" s="93" t="s">
        <v>542</v>
      </c>
      <c r="B25" s="18" t="s">
        <v>543</v>
      </c>
      <c r="C25" s="19" t="s">
        <v>442</v>
      </c>
      <c r="D25" s="19" t="s">
        <v>443</v>
      </c>
      <c r="E25" s="18" t="s">
        <v>543</v>
      </c>
      <c r="F25" s="19"/>
      <c r="G25" s="18"/>
      <c r="I25" s="19" t="s">
        <v>544</v>
      </c>
      <c r="J25" s="19" t="s">
        <v>355</v>
      </c>
      <c r="K25" s="96"/>
      <c r="L25" s="96"/>
      <c r="M25" s="19" t="s">
        <v>545</v>
      </c>
      <c r="N25" s="95"/>
      <c r="O25" s="95"/>
      <c r="P25" s="95"/>
      <c r="Q25" s="95"/>
      <c r="U25" s="10" t="s">
        <v>391</v>
      </c>
    </row>
    <row r="26" customFormat="false" ht="18" hidden="false" customHeight="true" outlineLevel="0" collapsed="false">
      <c r="A26" s="93" t="s">
        <v>546</v>
      </c>
      <c r="B26" s="18" t="s">
        <v>362</v>
      </c>
      <c r="C26" s="19" t="s">
        <v>547</v>
      </c>
      <c r="D26" s="19" t="s">
        <v>494</v>
      </c>
      <c r="E26" s="18" t="s">
        <v>362</v>
      </c>
      <c r="F26" s="19"/>
      <c r="G26" s="18"/>
      <c r="I26" s="19" t="s">
        <v>548</v>
      </c>
      <c r="J26" s="19" t="s">
        <v>358</v>
      </c>
      <c r="K26" s="96"/>
      <c r="L26" s="96"/>
      <c r="M26" s="19" t="s">
        <v>549</v>
      </c>
      <c r="N26" s="95"/>
      <c r="O26" s="95"/>
      <c r="P26" s="95"/>
      <c r="Q26" s="95"/>
      <c r="U26" s="10" t="s">
        <v>391</v>
      </c>
    </row>
    <row r="27" customFormat="false" ht="18" hidden="false" customHeight="true" outlineLevel="0" collapsed="false">
      <c r="A27" s="93" t="s">
        <v>550</v>
      </c>
      <c r="B27" s="18" t="s">
        <v>551</v>
      </c>
      <c r="C27" s="19" t="s">
        <v>547</v>
      </c>
      <c r="D27" s="19" t="s">
        <v>494</v>
      </c>
      <c r="E27" s="18" t="s">
        <v>551</v>
      </c>
      <c r="F27" s="19"/>
      <c r="G27" s="18"/>
      <c r="I27" s="94" t="s">
        <v>552</v>
      </c>
      <c r="J27" s="19" t="s">
        <v>361</v>
      </c>
      <c r="K27" s="96"/>
      <c r="L27" s="96"/>
      <c r="M27" s="19" t="s">
        <v>553</v>
      </c>
      <c r="N27" s="95"/>
      <c r="O27" s="95"/>
      <c r="P27" s="95"/>
      <c r="Q27" s="95"/>
      <c r="U27" s="10" t="s">
        <v>554</v>
      </c>
    </row>
    <row r="28" customFormat="false" ht="18" hidden="false" customHeight="true" outlineLevel="0" collapsed="false">
      <c r="A28" s="93" t="s">
        <v>555</v>
      </c>
      <c r="B28" s="18" t="s">
        <v>303</v>
      </c>
      <c r="C28" s="19" t="s">
        <v>547</v>
      </c>
      <c r="D28" s="19" t="s">
        <v>494</v>
      </c>
      <c r="E28" s="18" t="s">
        <v>303</v>
      </c>
      <c r="F28" s="19"/>
      <c r="G28" s="18"/>
      <c r="I28" s="94" t="s">
        <v>556</v>
      </c>
      <c r="J28" s="19" t="s">
        <v>364</v>
      </c>
      <c r="K28" s="96"/>
      <c r="L28" s="96"/>
      <c r="M28" s="19" t="s">
        <v>557</v>
      </c>
      <c r="N28" s="95"/>
      <c r="O28" s="95"/>
      <c r="P28" s="95"/>
      <c r="Q28" s="95"/>
      <c r="U28" s="10" t="s">
        <v>391</v>
      </c>
    </row>
    <row r="29" customFormat="false" ht="18" hidden="false" customHeight="true" outlineLevel="0" collapsed="false">
      <c r="A29" s="93" t="s">
        <v>558</v>
      </c>
      <c r="B29" s="18" t="s">
        <v>559</v>
      </c>
      <c r="C29" s="19" t="s">
        <v>547</v>
      </c>
      <c r="D29" s="19" t="s">
        <v>494</v>
      </c>
      <c r="E29" s="18" t="s">
        <v>560</v>
      </c>
      <c r="F29" s="19"/>
      <c r="G29" s="18"/>
      <c r="I29" s="94" t="s">
        <v>561</v>
      </c>
      <c r="J29" s="19" t="s">
        <v>366</v>
      </c>
      <c r="K29" s="96"/>
      <c r="L29" s="96"/>
      <c r="M29" s="19" t="s">
        <v>562</v>
      </c>
      <c r="N29" s="95"/>
      <c r="O29" s="95"/>
      <c r="P29" s="95"/>
      <c r="Q29" s="95"/>
      <c r="U29" s="10" t="s">
        <v>391</v>
      </c>
    </row>
    <row r="30" customFormat="false" ht="18" hidden="false" customHeight="true" outlineLevel="0" collapsed="false">
      <c r="A30" s="93" t="s">
        <v>563</v>
      </c>
      <c r="B30" s="18" t="s">
        <v>564</v>
      </c>
      <c r="C30" s="19" t="s">
        <v>547</v>
      </c>
      <c r="D30" s="19" t="s">
        <v>494</v>
      </c>
      <c r="E30" s="18" t="s">
        <v>564</v>
      </c>
      <c r="F30" s="19"/>
      <c r="G30" s="18"/>
      <c r="I30" s="94" t="s">
        <v>565</v>
      </c>
      <c r="J30" s="19" t="s">
        <v>369</v>
      </c>
      <c r="K30" s="96"/>
      <c r="L30" s="96"/>
      <c r="M30" s="19" t="s">
        <v>566</v>
      </c>
      <c r="N30" s="95"/>
      <c r="O30" s="95"/>
      <c r="P30" s="95"/>
      <c r="Q30" s="95"/>
      <c r="U30" s="10" t="s">
        <v>391</v>
      </c>
    </row>
    <row r="31" customFormat="false" ht="18" hidden="false" customHeight="true" outlineLevel="0" collapsed="false">
      <c r="A31" s="93" t="s">
        <v>567</v>
      </c>
      <c r="B31" s="18" t="s">
        <v>568</v>
      </c>
      <c r="C31" s="19" t="s">
        <v>547</v>
      </c>
      <c r="D31" s="19" t="s">
        <v>494</v>
      </c>
      <c r="E31" s="18" t="s">
        <v>569</v>
      </c>
      <c r="F31" s="19"/>
      <c r="G31" s="18"/>
      <c r="I31" s="94" t="s">
        <v>570</v>
      </c>
      <c r="J31" s="94" t="s">
        <v>386</v>
      </c>
      <c r="K31" s="96"/>
      <c r="L31" s="96"/>
      <c r="M31" s="19" t="s">
        <v>571</v>
      </c>
      <c r="N31" s="95"/>
      <c r="O31" s="95"/>
      <c r="P31" s="95"/>
      <c r="Q31" s="95"/>
      <c r="U31" s="10" t="s">
        <v>391</v>
      </c>
    </row>
    <row r="32" customFormat="false" ht="18" hidden="false" customHeight="true" outlineLevel="0" collapsed="false">
      <c r="A32" s="93" t="s">
        <v>572</v>
      </c>
      <c r="B32" s="18" t="s">
        <v>573</v>
      </c>
      <c r="C32" s="19" t="s">
        <v>547</v>
      </c>
      <c r="D32" s="19" t="s">
        <v>443</v>
      </c>
      <c r="E32" s="18" t="s">
        <v>569</v>
      </c>
      <c r="F32" s="19"/>
      <c r="G32" s="18"/>
      <c r="I32" s="94" t="s">
        <v>574</v>
      </c>
      <c r="J32" s="94" t="s">
        <v>388</v>
      </c>
      <c r="K32" s="96"/>
      <c r="L32" s="96"/>
      <c r="M32" s="19" t="s">
        <v>575</v>
      </c>
      <c r="N32" s="95"/>
      <c r="O32" s="95"/>
      <c r="P32" s="95"/>
      <c r="Q32" s="95"/>
      <c r="U32" s="10" t="s">
        <v>391</v>
      </c>
    </row>
    <row r="33" customFormat="false" ht="18" hidden="false" customHeight="true" outlineLevel="0" collapsed="false">
      <c r="A33" s="93" t="s">
        <v>576</v>
      </c>
      <c r="B33" s="18" t="s">
        <v>359</v>
      </c>
      <c r="C33" s="19" t="s">
        <v>547</v>
      </c>
      <c r="D33" s="19" t="s">
        <v>443</v>
      </c>
      <c r="E33" s="18" t="s">
        <v>569</v>
      </c>
      <c r="F33" s="19"/>
      <c r="G33" s="18"/>
      <c r="I33" s="94" t="s">
        <v>577</v>
      </c>
      <c r="J33" s="97" t="s">
        <v>390</v>
      </c>
      <c r="K33" s="96"/>
      <c r="L33" s="96"/>
      <c r="M33" s="19" t="s">
        <v>578</v>
      </c>
      <c r="N33" s="95"/>
      <c r="O33" s="95"/>
      <c r="P33" s="95"/>
      <c r="Q33" s="95"/>
      <c r="U33" s="10" t="s">
        <v>391</v>
      </c>
    </row>
    <row r="34" customFormat="false" ht="18" hidden="false" customHeight="true" outlineLevel="0" collapsed="false">
      <c r="A34" s="93" t="s">
        <v>579</v>
      </c>
      <c r="B34" s="18" t="s">
        <v>580</v>
      </c>
      <c r="C34" s="19" t="s">
        <v>547</v>
      </c>
      <c r="D34" s="19" t="s">
        <v>494</v>
      </c>
      <c r="E34" s="18" t="s">
        <v>569</v>
      </c>
      <c r="F34" s="19"/>
      <c r="G34" s="18"/>
      <c r="I34" s="94" t="s">
        <v>581</v>
      </c>
      <c r="J34" s="97" t="s">
        <v>393</v>
      </c>
      <c r="K34" s="96"/>
      <c r="L34" s="96"/>
      <c r="M34" s="19" t="s">
        <v>393</v>
      </c>
      <c r="N34" s="95"/>
      <c r="O34" s="95"/>
      <c r="P34" s="95"/>
      <c r="Q34" s="95"/>
      <c r="U34" s="10" t="s">
        <v>391</v>
      </c>
    </row>
    <row r="35" customFormat="false" ht="18" hidden="false" customHeight="true" outlineLevel="0" collapsed="false">
      <c r="A35" s="93" t="s">
        <v>582</v>
      </c>
      <c r="B35" s="18" t="s">
        <v>583</v>
      </c>
      <c r="C35" s="19" t="s">
        <v>547</v>
      </c>
      <c r="D35" s="19" t="s">
        <v>494</v>
      </c>
      <c r="E35" s="18" t="s">
        <v>569</v>
      </c>
      <c r="F35" s="19"/>
      <c r="G35" s="18"/>
      <c r="I35" s="94" t="s">
        <v>584</v>
      </c>
      <c r="J35" s="97" t="s">
        <v>395</v>
      </c>
      <c r="K35" s="96"/>
      <c r="L35" s="96"/>
      <c r="M35" s="19" t="s">
        <v>585</v>
      </c>
      <c r="N35" s="95"/>
      <c r="O35" s="95"/>
      <c r="P35" s="95"/>
      <c r="Q35" s="95"/>
      <c r="U35" s="10" t="s">
        <v>391</v>
      </c>
    </row>
    <row r="36" customFormat="false" ht="18" hidden="false" customHeight="true" outlineLevel="0" collapsed="false">
      <c r="A36" s="93" t="s">
        <v>586</v>
      </c>
      <c r="B36" s="18" t="s">
        <v>587</v>
      </c>
      <c r="C36" s="19" t="s">
        <v>547</v>
      </c>
      <c r="D36" s="19" t="s">
        <v>494</v>
      </c>
      <c r="E36" s="18" t="s">
        <v>569</v>
      </c>
      <c r="F36" s="19"/>
      <c r="G36" s="18"/>
      <c r="I36" s="94" t="s">
        <v>588</v>
      </c>
      <c r="J36" s="97" t="s">
        <v>397</v>
      </c>
      <c r="K36" s="96"/>
      <c r="L36" s="96"/>
      <c r="M36" s="19" t="s">
        <v>589</v>
      </c>
      <c r="N36" s="95"/>
      <c r="O36" s="95"/>
      <c r="P36" s="95"/>
      <c r="Q36" s="95"/>
      <c r="U36" s="10" t="s">
        <v>554</v>
      </c>
    </row>
    <row r="37" customFormat="false" ht="18" hidden="false" customHeight="true" outlineLevel="0" collapsed="false">
      <c r="A37" s="93" t="s">
        <v>590</v>
      </c>
      <c r="B37" s="18" t="s">
        <v>591</v>
      </c>
      <c r="C37" s="19" t="s">
        <v>547</v>
      </c>
      <c r="D37" s="19" t="s">
        <v>494</v>
      </c>
      <c r="E37" s="18" t="s">
        <v>569</v>
      </c>
      <c r="F37" s="19"/>
      <c r="G37" s="18"/>
      <c r="I37" s="94" t="s">
        <v>592</v>
      </c>
      <c r="J37" s="97" t="s">
        <v>400</v>
      </c>
      <c r="K37" s="96"/>
      <c r="L37" s="96"/>
      <c r="M37" s="19" t="s">
        <v>593</v>
      </c>
      <c r="N37" s="95"/>
      <c r="O37" s="95"/>
      <c r="P37" s="95"/>
      <c r="Q37" s="95"/>
      <c r="U37" s="10" t="s">
        <v>391</v>
      </c>
    </row>
    <row r="38" customFormat="false" ht="18" hidden="false" customHeight="true" outlineLevel="0" collapsed="false">
      <c r="A38" s="93" t="s">
        <v>594</v>
      </c>
      <c r="B38" s="18" t="s">
        <v>595</v>
      </c>
      <c r="C38" s="19" t="s">
        <v>547</v>
      </c>
      <c r="D38" s="19" t="s">
        <v>494</v>
      </c>
      <c r="E38" s="18" t="s">
        <v>569</v>
      </c>
      <c r="F38" s="19"/>
      <c r="G38" s="18"/>
      <c r="I38" s="94" t="s">
        <v>596</v>
      </c>
      <c r="J38" s="97" t="s">
        <v>402</v>
      </c>
      <c r="K38" s="96"/>
      <c r="L38" s="96"/>
      <c r="M38" s="19" t="s">
        <v>597</v>
      </c>
      <c r="N38" s="95"/>
      <c r="O38" s="95"/>
      <c r="P38" s="95"/>
      <c r="Q38" s="95"/>
      <c r="U38" s="10" t="s">
        <v>391</v>
      </c>
    </row>
    <row r="39" customFormat="false" ht="18" hidden="false" customHeight="true" outlineLevel="0" collapsed="false">
      <c r="A39" s="93" t="s">
        <v>598</v>
      </c>
      <c r="B39" s="18" t="s">
        <v>599</v>
      </c>
      <c r="C39" s="19" t="s">
        <v>547</v>
      </c>
      <c r="D39" s="19" t="s">
        <v>494</v>
      </c>
      <c r="E39" s="18" t="s">
        <v>569</v>
      </c>
      <c r="F39" s="19"/>
      <c r="G39" s="18"/>
      <c r="I39" s="19"/>
      <c r="J39" s="96" t="s">
        <v>404</v>
      </c>
      <c r="K39" s="96"/>
      <c r="L39" s="96"/>
      <c r="M39" s="98" t="s">
        <v>600</v>
      </c>
      <c r="N39" s="95"/>
      <c r="O39" s="95"/>
      <c r="P39" s="95"/>
      <c r="Q39" s="95"/>
      <c r="U39" s="10" t="s">
        <v>391</v>
      </c>
    </row>
    <row r="40" customFormat="false" ht="18" hidden="false" customHeight="true" outlineLevel="0" collapsed="false">
      <c r="A40" s="93" t="s">
        <v>601</v>
      </c>
      <c r="B40" s="18" t="s">
        <v>602</v>
      </c>
      <c r="C40" s="19" t="s">
        <v>547</v>
      </c>
      <c r="D40" s="19" t="s">
        <v>494</v>
      </c>
      <c r="E40" s="18" t="s">
        <v>569</v>
      </c>
      <c r="F40" s="19"/>
      <c r="G40" s="18"/>
      <c r="I40" s="19"/>
      <c r="J40" s="97" t="s">
        <v>406</v>
      </c>
      <c r="K40" s="96"/>
      <c r="L40" s="96"/>
      <c r="M40" s="98" t="s">
        <v>603</v>
      </c>
      <c r="N40" s="95"/>
      <c r="O40" s="95"/>
      <c r="P40" s="95"/>
      <c r="Q40" s="95"/>
      <c r="U40" s="10" t="s">
        <v>391</v>
      </c>
    </row>
    <row r="41" customFormat="false" ht="18" hidden="false" customHeight="true" outlineLevel="0" collapsed="false">
      <c r="A41" s="93" t="s">
        <v>604</v>
      </c>
      <c r="B41" s="18" t="s">
        <v>605</v>
      </c>
      <c r="C41" s="19" t="s">
        <v>547</v>
      </c>
      <c r="D41" s="19" t="s">
        <v>494</v>
      </c>
      <c r="E41" s="18" t="s">
        <v>605</v>
      </c>
      <c r="F41" s="19"/>
      <c r="G41" s="18"/>
      <c r="I41" s="19"/>
      <c r="J41" s="97" t="s">
        <v>408</v>
      </c>
      <c r="K41" s="96"/>
      <c r="L41" s="96"/>
      <c r="M41" s="98" t="s">
        <v>606</v>
      </c>
      <c r="N41" s="95"/>
      <c r="O41" s="95"/>
      <c r="P41" s="95"/>
      <c r="Q41" s="95"/>
      <c r="U41" s="10" t="s">
        <v>391</v>
      </c>
    </row>
    <row r="42" customFormat="false" ht="18" hidden="false" customHeight="true" outlineLevel="0" collapsed="false">
      <c r="A42" s="93" t="s">
        <v>607</v>
      </c>
      <c r="B42" s="18" t="s">
        <v>608</v>
      </c>
      <c r="C42" s="19" t="s">
        <v>547</v>
      </c>
      <c r="D42" s="19" t="s">
        <v>494</v>
      </c>
      <c r="E42" s="18" t="s">
        <v>608</v>
      </c>
      <c r="F42" s="19"/>
      <c r="G42" s="18"/>
      <c r="I42" s="19"/>
      <c r="J42" s="97" t="s">
        <v>410</v>
      </c>
      <c r="K42" s="96"/>
      <c r="L42" s="96"/>
      <c r="M42" s="98" t="s">
        <v>609</v>
      </c>
      <c r="N42" s="95"/>
      <c r="O42" s="95"/>
      <c r="P42" s="95"/>
      <c r="Q42" s="95"/>
      <c r="U42" s="10" t="s">
        <v>391</v>
      </c>
    </row>
    <row r="43" customFormat="false" ht="18" hidden="false" customHeight="true" outlineLevel="0" collapsed="false">
      <c r="A43" s="93" t="s">
        <v>610</v>
      </c>
      <c r="B43" s="18" t="s">
        <v>371</v>
      </c>
      <c r="C43" s="19" t="s">
        <v>547</v>
      </c>
      <c r="D43" s="19" t="s">
        <v>494</v>
      </c>
      <c r="E43" s="18" t="s">
        <v>371</v>
      </c>
      <c r="F43" s="19"/>
      <c r="G43" s="18"/>
      <c r="I43" s="19"/>
      <c r="J43" s="97" t="s">
        <v>412</v>
      </c>
      <c r="K43" s="96"/>
      <c r="L43" s="96"/>
      <c r="M43" s="98" t="s">
        <v>611</v>
      </c>
      <c r="N43" s="95"/>
      <c r="O43" s="95"/>
      <c r="P43" s="95"/>
      <c r="Q43" s="95"/>
      <c r="U43" s="10" t="s">
        <v>391</v>
      </c>
    </row>
    <row r="44" customFormat="false" ht="18" hidden="false" customHeight="true" outlineLevel="0" collapsed="false">
      <c r="A44" s="93" t="s">
        <v>612</v>
      </c>
      <c r="B44" s="18" t="s">
        <v>613</v>
      </c>
      <c r="C44" s="19" t="s">
        <v>547</v>
      </c>
      <c r="D44" s="19" t="s">
        <v>494</v>
      </c>
      <c r="E44" s="18" t="s">
        <v>613</v>
      </c>
      <c r="F44" s="19"/>
      <c r="G44" s="18"/>
      <c r="I44" s="19"/>
      <c r="J44" s="97" t="s">
        <v>415</v>
      </c>
      <c r="K44" s="96"/>
      <c r="L44" s="96"/>
      <c r="M44" s="98" t="s">
        <v>614</v>
      </c>
      <c r="N44" s="95"/>
      <c r="O44" s="95"/>
      <c r="P44" s="95"/>
      <c r="Q44" s="95"/>
      <c r="U44" s="10" t="s">
        <v>391</v>
      </c>
    </row>
    <row r="45" customFormat="false" ht="18" hidden="false" customHeight="true" outlineLevel="0" collapsed="false">
      <c r="A45" s="93" t="s">
        <v>615</v>
      </c>
      <c r="B45" s="18" t="s">
        <v>616</v>
      </c>
      <c r="C45" s="19" t="s">
        <v>547</v>
      </c>
      <c r="D45" s="19" t="s">
        <v>494</v>
      </c>
      <c r="E45" s="18" t="s">
        <v>616</v>
      </c>
      <c r="F45" s="19"/>
      <c r="G45" s="18"/>
      <c r="I45" s="19"/>
      <c r="J45" s="97" t="s">
        <v>418</v>
      </c>
      <c r="K45" s="96"/>
      <c r="L45" s="96"/>
      <c r="M45" s="98" t="s">
        <v>355</v>
      </c>
      <c r="N45" s="95"/>
      <c r="O45" s="95"/>
      <c r="P45" s="95"/>
      <c r="Q45" s="95"/>
      <c r="U45" s="10" t="s">
        <v>391</v>
      </c>
    </row>
    <row r="46" customFormat="false" ht="18" hidden="false" customHeight="true" outlineLevel="0" collapsed="false">
      <c r="A46" s="93" t="s">
        <v>617</v>
      </c>
      <c r="B46" s="18" t="s">
        <v>618</v>
      </c>
      <c r="C46" s="19" t="s">
        <v>547</v>
      </c>
      <c r="D46" s="19" t="s">
        <v>494</v>
      </c>
      <c r="E46" s="18" t="s">
        <v>618</v>
      </c>
      <c r="F46" s="19"/>
      <c r="G46" s="18"/>
      <c r="I46" s="19"/>
      <c r="J46" s="97" t="s">
        <v>420</v>
      </c>
      <c r="K46" s="96"/>
      <c r="L46" s="96"/>
      <c r="M46" s="98" t="s">
        <v>412</v>
      </c>
      <c r="N46" s="95"/>
      <c r="O46" s="95"/>
      <c r="P46" s="95"/>
      <c r="Q46" s="95"/>
      <c r="U46" s="10" t="s">
        <v>413</v>
      </c>
    </row>
    <row r="47" customFormat="false" ht="18" hidden="false" customHeight="true" outlineLevel="0" collapsed="false">
      <c r="A47" s="93" t="s">
        <v>619</v>
      </c>
      <c r="B47" s="18" t="s">
        <v>367</v>
      </c>
      <c r="C47" s="19" t="s">
        <v>620</v>
      </c>
      <c r="D47" s="19" t="s">
        <v>494</v>
      </c>
      <c r="E47" s="18" t="s">
        <v>367</v>
      </c>
      <c r="F47" s="19"/>
      <c r="G47" s="18"/>
      <c r="I47" s="19"/>
      <c r="J47" s="95"/>
      <c r="K47" s="96"/>
      <c r="L47" s="96"/>
      <c r="M47" s="98" t="s">
        <v>621</v>
      </c>
      <c r="N47" s="95"/>
      <c r="O47" s="95"/>
      <c r="P47" s="95"/>
      <c r="Q47" s="95"/>
      <c r="U47" s="10" t="s">
        <v>413</v>
      </c>
    </row>
    <row r="48" customFormat="false" ht="18" hidden="false" customHeight="true" outlineLevel="0" collapsed="false">
      <c r="A48" s="93" t="s">
        <v>622</v>
      </c>
      <c r="B48" s="18" t="s">
        <v>623</v>
      </c>
      <c r="C48" s="19" t="s">
        <v>620</v>
      </c>
      <c r="D48" s="19" t="s">
        <v>494</v>
      </c>
      <c r="E48" s="18" t="s">
        <v>623</v>
      </c>
      <c r="F48" s="19"/>
      <c r="G48" s="18"/>
      <c r="I48" s="19"/>
      <c r="J48" s="95"/>
      <c r="K48" s="96"/>
      <c r="L48" s="96"/>
      <c r="M48" s="98" t="s">
        <v>624</v>
      </c>
      <c r="N48" s="95"/>
      <c r="O48" s="95"/>
      <c r="P48" s="95"/>
      <c r="Q48" s="95"/>
      <c r="U48" s="10" t="s">
        <v>413</v>
      </c>
    </row>
    <row r="49" customFormat="false" ht="18" hidden="false" customHeight="true" outlineLevel="0" collapsed="false">
      <c r="A49" s="93" t="s">
        <v>625</v>
      </c>
      <c r="B49" s="18" t="s">
        <v>626</v>
      </c>
      <c r="C49" s="19" t="s">
        <v>620</v>
      </c>
      <c r="D49" s="19" t="s">
        <v>494</v>
      </c>
      <c r="E49" s="18" t="s">
        <v>626</v>
      </c>
      <c r="F49" s="19"/>
      <c r="G49" s="18"/>
      <c r="I49" s="19"/>
      <c r="J49" s="95"/>
      <c r="K49" s="96"/>
      <c r="L49" s="96"/>
      <c r="M49" s="98" t="s">
        <v>627</v>
      </c>
      <c r="N49" s="95"/>
      <c r="O49" s="95"/>
      <c r="P49" s="95"/>
      <c r="Q49" s="95"/>
      <c r="U49" s="10" t="s">
        <v>627</v>
      </c>
    </row>
    <row r="50" customFormat="false" ht="18" hidden="false" customHeight="true" outlineLevel="0" collapsed="false">
      <c r="A50" s="93" t="s">
        <v>628</v>
      </c>
      <c r="B50" s="18" t="s">
        <v>629</v>
      </c>
      <c r="C50" s="19" t="s">
        <v>620</v>
      </c>
      <c r="D50" s="19" t="s">
        <v>494</v>
      </c>
      <c r="E50" s="18" t="s">
        <v>630</v>
      </c>
      <c r="F50" s="19"/>
      <c r="G50" s="18"/>
      <c r="I50" s="19"/>
      <c r="J50" s="95"/>
      <c r="K50" s="96"/>
      <c r="L50" s="96"/>
      <c r="M50" s="98" t="s">
        <v>631</v>
      </c>
      <c r="N50" s="95"/>
      <c r="O50" s="95"/>
      <c r="P50" s="95"/>
      <c r="Q50" s="95"/>
      <c r="U50" s="10" t="s">
        <v>312</v>
      </c>
    </row>
    <row r="51" customFormat="false" ht="18" hidden="false" customHeight="true" outlineLevel="0" collapsed="false">
      <c r="A51" s="93" t="s">
        <v>632</v>
      </c>
      <c r="B51" s="18" t="s">
        <v>633</v>
      </c>
      <c r="C51" s="19" t="s">
        <v>620</v>
      </c>
      <c r="D51" s="19" t="s">
        <v>494</v>
      </c>
      <c r="E51" s="18" t="s">
        <v>630</v>
      </c>
      <c r="F51" s="19"/>
      <c r="G51" s="18"/>
      <c r="I51" s="19"/>
      <c r="J51" s="95"/>
      <c r="K51" s="96"/>
      <c r="L51" s="96"/>
      <c r="M51" s="98" t="s">
        <v>369</v>
      </c>
      <c r="N51" s="95"/>
      <c r="O51" s="95"/>
      <c r="P51" s="95"/>
      <c r="Q51" s="95"/>
      <c r="U51" s="10" t="s">
        <v>391</v>
      </c>
    </row>
    <row r="52" customFormat="false" ht="18" hidden="false" customHeight="true" outlineLevel="0" collapsed="false">
      <c r="A52" s="93" t="s">
        <v>634</v>
      </c>
      <c r="B52" s="18" t="s">
        <v>635</v>
      </c>
      <c r="C52" s="19" t="s">
        <v>636</v>
      </c>
      <c r="D52" s="19" t="s">
        <v>494</v>
      </c>
      <c r="E52" s="18" t="s">
        <v>637</v>
      </c>
      <c r="F52" s="19" t="s">
        <v>638</v>
      </c>
      <c r="G52" s="18"/>
      <c r="I52" s="19"/>
      <c r="J52" s="95"/>
      <c r="K52" s="96"/>
      <c r="L52" s="96"/>
      <c r="M52" s="96" t="s">
        <v>639</v>
      </c>
      <c r="N52" s="95"/>
      <c r="O52" s="95"/>
      <c r="P52" s="95"/>
      <c r="Q52" s="95"/>
      <c r="U52" s="10" t="s">
        <v>391</v>
      </c>
    </row>
    <row r="53" customFormat="false" ht="18" hidden="false" customHeight="true" outlineLevel="0" collapsed="false">
      <c r="A53" s="93" t="s">
        <v>640</v>
      </c>
      <c r="B53" s="18" t="s">
        <v>268</v>
      </c>
      <c r="C53" s="19" t="s">
        <v>636</v>
      </c>
      <c r="D53" s="19" t="s">
        <v>494</v>
      </c>
      <c r="E53" s="18" t="s">
        <v>637</v>
      </c>
      <c r="F53" s="19" t="s">
        <v>638</v>
      </c>
      <c r="G53" s="18"/>
      <c r="I53" s="19"/>
      <c r="J53" s="95"/>
      <c r="K53" s="96"/>
      <c r="L53" s="96"/>
      <c r="M53" s="98" t="s">
        <v>641</v>
      </c>
      <c r="N53" s="95"/>
      <c r="O53" s="95"/>
      <c r="P53" s="95"/>
      <c r="Q53" s="95"/>
      <c r="U53" s="10" t="s">
        <v>312</v>
      </c>
    </row>
    <row r="54" customFormat="false" ht="18" hidden="false" customHeight="true" outlineLevel="0" collapsed="false">
      <c r="A54" s="93" t="s">
        <v>642</v>
      </c>
      <c r="B54" s="18" t="s">
        <v>274</v>
      </c>
      <c r="C54" s="19" t="s">
        <v>636</v>
      </c>
      <c r="D54" s="19" t="s">
        <v>494</v>
      </c>
      <c r="E54" s="18" t="s">
        <v>637</v>
      </c>
      <c r="F54" s="19" t="s">
        <v>638</v>
      </c>
      <c r="G54" s="18"/>
      <c r="I54" s="19"/>
      <c r="J54" s="95"/>
      <c r="K54" s="96"/>
      <c r="L54" s="96"/>
      <c r="M54" s="96" t="s">
        <v>361</v>
      </c>
      <c r="N54" s="95"/>
      <c r="O54" s="95"/>
      <c r="P54" s="95"/>
      <c r="Q54" s="95"/>
      <c r="U54" s="10" t="s">
        <v>362</v>
      </c>
    </row>
    <row r="55" customFormat="false" ht="18" hidden="false" customHeight="true" outlineLevel="0" collapsed="false">
      <c r="A55" s="93" t="s">
        <v>643</v>
      </c>
      <c r="B55" s="18" t="s">
        <v>277</v>
      </c>
      <c r="C55" s="19" t="s">
        <v>636</v>
      </c>
      <c r="D55" s="19" t="s">
        <v>494</v>
      </c>
      <c r="E55" s="18" t="s">
        <v>637</v>
      </c>
      <c r="F55" s="19" t="s">
        <v>638</v>
      </c>
      <c r="G55" s="18"/>
      <c r="I55" s="19"/>
      <c r="J55" s="95"/>
      <c r="K55" s="96"/>
      <c r="L55" s="96"/>
      <c r="M55" s="96" t="s">
        <v>644</v>
      </c>
      <c r="N55" s="95"/>
      <c r="O55" s="95"/>
      <c r="P55" s="95"/>
      <c r="Q55" s="95"/>
      <c r="U55" s="10" t="s">
        <v>391</v>
      </c>
    </row>
    <row r="56" customFormat="false" ht="18" hidden="false" customHeight="true" outlineLevel="0" collapsed="false">
      <c r="A56" s="93" t="s">
        <v>645</v>
      </c>
      <c r="B56" s="18" t="s">
        <v>646</v>
      </c>
      <c r="C56" s="19" t="s">
        <v>636</v>
      </c>
      <c r="D56" s="19" t="s">
        <v>494</v>
      </c>
      <c r="E56" s="18" t="s">
        <v>637</v>
      </c>
      <c r="F56" s="19" t="s">
        <v>638</v>
      </c>
      <c r="G56" s="18"/>
      <c r="I56" s="19"/>
      <c r="J56" s="95"/>
      <c r="K56" s="96"/>
      <c r="L56" s="96"/>
      <c r="M56" s="96" t="s">
        <v>276</v>
      </c>
      <c r="N56" s="95"/>
      <c r="O56" s="95"/>
      <c r="P56" s="95"/>
      <c r="Q56" s="95"/>
      <c r="U56" s="10" t="s">
        <v>312</v>
      </c>
    </row>
    <row r="57" customFormat="false" ht="18" hidden="false" customHeight="true" outlineLevel="0" collapsed="false">
      <c r="A57" s="93" t="s">
        <v>647</v>
      </c>
      <c r="B57" s="18" t="s">
        <v>289</v>
      </c>
      <c r="C57" s="19" t="s">
        <v>636</v>
      </c>
      <c r="D57" s="19" t="s">
        <v>494</v>
      </c>
      <c r="E57" s="18" t="s">
        <v>637</v>
      </c>
      <c r="F57" s="19" t="s">
        <v>638</v>
      </c>
      <c r="G57" s="18"/>
      <c r="I57" s="19"/>
      <c r="J57" s="95"/>
      <c r="K57" s="96"/>
      <c r="L57" s="96"/>
      <c r="M57" s="96" t="s">
        <v>364</v>
      </c>
      <c r="N57" s="95"/>
      <c r="O57" s="95"/>
      <c r="P57" s="95"/>
      <c r="Q57" s="95"/>
      <c r="U57" s="10" t="s">
        <v>303</v>
      </c>
    </row>
    <row r="58" customFormat="false" ht="18" hidden="false" customHeight="true" outlineLevel="0" collapsed="false">
      <c r="A58" s="93" t="s">
        <v>648</v>
      </c>
      <c r="B58" s="18" t="s">
        <v>649</v>
      </c>
      <c r="C58" s="19" t="s">
        <v>636</v>
      </c>
      <c r="D58" s="19" t="s">
        <v>494</v>
      </c>
      <c r="E58" s="18" t="s">
        <v>637</v>
      </c>
      <c r="F58" s="19" t="s">
        <v>638</v>
      </c>
      <c r="G58" s="18"/>
      <c r="I58" s="19"/>
      <c r="J58" s="95"/>
      <c r="K58" s="96"/>
      <c r="L58" s="96"/>
      <c r="M58" s="96" t="s">
        <v>650</v>
      </c>
      <c r="N58" s="95"/>
      <c r="O58" s="95"/>
      <c r="P58" s="95"/>
      <c r="Q58" s="95"/>
      <c r="U58" s="10" t="s">
        <v>391</v>
      </c>
    </row>
    <row r="59" customFormat="false" ht="18" hidden="false" customHeight="true" outlineLevel="0" collapsed="false">
      <c r="A59" s="93" t="s">
        <v>651</v>
      </c>
      <c r="B59" s="18" t="s">
        <v>652</v>
      </c>
      <c r="C59" s="19" t="s">
        <v>636</v>
      </c>
      <c r="D59" s="19" t="s">
        <v>494</v>
      </c>
      <c r="E59" s="18" t="s">
        <v>652</v>
      </c>
      <c r="F59" s="19" t="s">
        <v>638</v>
      </c>
      <c r="G59" s="18"/>
      <c r="I59" s="19"/>
      <c r="J59" s="95"/>
      <c r="K59" s="96"/>
      <c r="L59" s="96"/>
      <c r="M59" s="96" t="s">
        <v>653</v>
      </c>
      <c r="N59" s="95"/>
      <c r="O59" s="95"/>
      <c r="P59" s="95"/>
      <c r="Q59" s="95"/>
      <c r="U59" s="10" t="s">
        <v>398</v>
      </c>
    </row>
    <row r="60" customFormat="false" ht="18" hidden="false" customHeight="true" outlineLevel="0" collapsed="false">
      <c r="A60" s="93" t="s">
        <v>654</v>
      </c>
      <c r="B60" s="18" t="s">
        <v>655</v>
      </c>
      <c r="C60" s="19" t="s">
        <v>636</v>
      </c>
      <c r="D60" s="19" t="s">
        <v>494</v>
      </c>
      <c r="E60" s="18" t="s">
        <v>655</v>
      </c>
      <c r="F60" s="19" t="s">
        <v>638</v>
      </c>
      <c r="G60" s="18"/>
      <c r="I60" s="19"/>
      <c r="J60" s="95"/>
      <c r="K60" s="96"/>
      <c r="L60" s="96"/>
      <c r="M60" s="96" t="s">
        <v>400</v>
      </c>
      <c r="N60" s="95"/>
      <c r="O60" s="95"/>
      <c r="P60" s="95"/>
      <c r="Q60" s="95"/>
      <c r="U60" s="10" t="s">
        <v>391</v>
      </c>
    </row>
    <row r="61" customFormat="false" ht="18" hidden="false" customHeight="true" outlineLevel="0" collapsed="false">
      <c r="A61" s="93" t="s">
        <v>656</v>
      </c>
      <c r="B61" s="18" t="s">
        <v>312</v>
      </c>
      <c r="C61" s="19" t="s">
        <v>636</v>
      </c>
      <c r="D61" s="19" t="s">
        <v>443</v>
      </c>
      <c r="E61" s="18" t="s">
        <v>657</v>
      </c>
      <c r="F61" s="19" t="s">
        <v>658</v>
      </c>
      <c r="G61" s="18"/>
      <c r="I61" s="19"/>
      <c r="J61" s="95"/>
      <c r="K61" s="96"/>
      <c r="L61" s="96"/>
      <c r="M61" s="96" t="s">
        <v>659</v>
      </c>
      <c r="N61" s="95"/>
      <c r="O61" s="95"/>
      <c r="P61" s="95"/>
      <c r="Q61" s="95"/>
      <c r="U61" s="10" t="s">
        <v>312</v>
      </c>
    </row>
    <row r="62" customFormat="false" ht="18" hidden="false" customHeight="true" outlineLevel="0" collapsed="false">
      <c r="A62" s="93" t="s">
        <v>660</v>
      </c>
      <c r="B62" s="18" t="s">
        <v>661</v>
      </c>
      <c r="C62" s="19" t="s">
        <v>636</v>
      </c>
      <c r="D62" s="19" t="s">
        <v>443</v>
      </c>
      <c r="E62" s="18" t="s">
        <v>657</v>
      </c>
      <c r="F62" s="19" t="s">
        <v>658</v>
      </c>
      <c r="G62" s="18"/>
      <c r="I62" s="19"/>
      <c r="J62" s="95"/>
      <c r="K62" s="96"/>
      <c r="L62" s="96"/>
      <c r="M62" s="96" t="s">
        <v>662</v>
      </c>
      <c r="N62" s="95"/>
      <c r="O62" s="95"/>
      <c r="P62" s="95"/>
      <c r="Q62" s="95"/>
      <c r="U62" s="10" t="s">
        <v>371</v>
      </c>
    </row>
    <row r="63" customFormat="false" ht="18" hidden="false" customHeight="true" outlineLevel="0" collapsed="false">
      <c r="A63" s="93" t="s">
        <v>663</v>
      </c>
      <c r="B63" s="18" t="s">
        <v>627</v>
      </c>
      <c r="C63" s="19" t="s">
        <v>636</v>
      </c>
      <c r="D63" s="19" t="s">
        <v>443</v>
      </c>
      <c r="E63" s="18" t="s">
        <v>627</v>
      </c>
      <c r="F63" s="19" t="s">
        <v>658</v>
      </c>
      <c r="G63" s="18"/>
      <c r="I63" s="19"/>
      <c r="J63" s="95"/>
      <c r="K63" s="96"/>
      <c r="L63" s="96"/>
      <c r="M63" s="96" t="s">
        <v>664</v>
      </c>
      <c r="N63" s="95"/>
      <c r="O63" s="95"/>
      <c r="P63" s="95"/>
      <c r="Q63" s="95"/>
      <c r="U63" s="10" t="s">
        <v>391</v>
      </c>
    </row>
    <row r="64" customFormat="false" ht="18" hidden="false" customHeight="true" outlineLevel="0" collapsed="false">
      <c r="A64" s="93" t="s">
        <v>665</v>
      </c>
      <c r="B64" s="18" t="s">
        <v>554</v>
      </c>
      <c r="C64" s="19" t="s">
        <v>636</v>
      </c>
      <c r="D64" s="19" t="s">
        <v>443</v>
      </c>
      <c r="E64" s="18" t="s">
        <v>554</v>
      </c>
      <c r="F64" s="19" t="s">
        <v>658</v>
      </c>
      <c r="G64" s="18"/>
      <c r="I64" s="19"/>
      <c r="J64" s="95"/>
      <c r="K64" s="96"/>
      <c r="L64" s="96"/>
      <c r="M64" s="96" t="s">
        <v>402</v>
      </c>
      <c r="N64" s="95"/>
      <c r="O64" s="95"/>
      <c r="P64" s="95"/>
      <c r="Q64" s="95"/>
      <c r="U64" s="10" t="s">
        <v>370</v>
      </c>
    </row>
    <row r="65" customFormat="false" ht="18" hidden="false" customHeight="true" outlineLevel="0" collapsed="false">
      <c r="A65" s="93" t="s">
        <v>666</v>
      </c>
      <c r="B65" s="18" t="s">
        <v>391</v>
      </c>
      <c r="C65" s="19" t="s">
        <v>636</v>
      </c>
      <c r="D65" s="19" t="s">
        <v>443</v>
      </c>
      <c r="E65" s="18" t="s">
        <v>391</v>
      </c>
      <c r="F65" s="19" t="s">
        <v>658</v>
      </c>
      <c r="G65" s="18"/>
      <c r="I65" s="19"/>
      <c r="J65" s="95"/>
      <c r="K65" s="96"/>
      <c r="L65" s="96"/>
      <c r="M65" s="96" t="s">
        <v>667</v>
      </c>
      <c r="N65" s="95"/>
      <c r="O65" s="95"/>
      <c r="P65" s="95"/>
      <c r="Q65" s="95"/>
      <c r="U65" s="10" t="s">
        <v>370</v>
      </c>
    </row>
    <row r="66" customFormat="false" ht="18" hidden="false" customHeight="true" outlineLevel="0" collapsed="false">
      <c r="A66" s="93" t="s">
        <v>668</v>
      </c>
      <c r="B66" s="18" t="s">
        <v>413</v>
      </c>
      <c r="C66" s="19" t="s">
        <v>636</v>
      </c>
      <c r="D66" s="19" t="s">
        <v>443</v>
      </c>
      <c r="E66" s="18" t="s">
        <v>413</v>
      </c>
      <c r="F66" s="19" t="s">
        <v>658</v>
      </c>
      <c r="G66" s="18"/>
      <c r="I66" s="19"/>
      <c r="J66" s="95"/>
      <c r="K66" s="96"/>
      <c r="L66" s="96"/>
      <c r="M66" s="96" t="s">
        <v>669</v>
      </c>
      <c r="N66" s="95"/>
      <c r="O66" s="95"/>
      <c r="P66" s="95"/>
      <c r="Q66" s="95"/>
      <c r="U66" s="10" t="s">
        <v>370</v>
      </c>
    </row>
    <row r="67" customFormat="false" ht="18" hidden="false" customHeight="true" outlineLevel="0" collapsed="false">
      <c r="A67" s="93" t="s">
        <v>670</v>
      </c>
      <c r="B67" s="18" t="s">
        <v>671</v>
      </c>
      <c r="C67" s="19" t="s">
        <v>636</v>
      </c>
      <c r="D67" s="19" t="s">
        <v>443</v>
      </c>
      <c r="E67" s="18" t="s">
        <v>671</v>
      </c>
      <c r="F67" s="19" t="s">
        <v>658</v>
      </c>
      <c r="G67" s="18"/>
      <c r="I67" s="19"/>
      <c r="J67" s="95"/>
      <c r="K67" s="96"/>
      <c r="L67" s="96"/>
      <c r="M67" s="96" t="s">
        <v>672</v>
      </c>
      <c r="N67" s="95"/>
      <c r="O67" s="95"/>
      <c r="P67" s="95"/>
      <c r="Q67" s="95"/>
      <c r="U67" s="10" t="s">
        <v>370</v>
      </c>
    </row>
    <row r="68" customFormat="false" ht="18" hidden="false" customHeight="true" outlineLevel="0" collapsed="false">
      <c r="A68" s="93" t="s">
        <v>673</v>
      </c>
      <c r="B68" s="18" t="s">
        <v>674</v>
      </c>
      <c r="C68" s="19" t="s">
        <v>636</v>
      </c>
      <c r="D68" s="19" t="s">
        <v>443</v>
      </c>
      <c r="E68" s="18" t="s">
        <v>674</v>
      </c>
      <c r="F68" s="19" t="s">
        <v>658</v>
      </c>
      <c r="G68" s="18"/>
      <c r="I68" s="19"/>
      <c r="J68" s="95"/>
      <c r="K68" s="96"/>
      <c r="L68" s="96"/>
      <c r="M68" s="96" t="s">
        <v>675</v>
      </c>
      <c r="N68" s="95"/>
      <c r="O68" s="95"/>
      <c r="P68" s="95"/>
      <c r="Q68" s="95"/>
      <c r="U68" s="10" t="s">
        <v>370</v>
      </c>
    </row>
    <row r="69" customFormat="false" ht="18" hidden="false" customHeight="true" outlineLevel="0" collapsed="false">
      <c r="A69" s="93"/>
      <c r="B69" s="18"/>
      <c r="C69" s="19"/>
      <c r="D69" s="19"/>
      <c r="E69" s="18"/>
      <c r="F69" s="19"/>
      <c r="G69" s="18"/>
      <c r="I69" s="19"/>
      <c r="J69" s="95"/>
      <c r="K69" s="96"/>
      <c r="L69" s="96"/>
      <c r="M69" s="96" t="s">
        <v>676</v>
      </c>
      <c r="N69" s="95"/>
      <c r="O69" s="95"/>
      <c r="P69" s="95"/>
      <c r="Q69" s="95"/>
      <c r="U69" s="10" t="s">
        <v>391</v>
      </c>
    </row>
    <row r="70" customFormat="false" ht="18" hidden="false" customHeight="true" outlineLevel="0" collapsed="false">
      <c r="A70" s="93"/>
      <c r="B70" s="18"/>
      <c r="C70" s="19"/>
      <c r="D70" s="19"/>
      <c r="E70" s="18"/>
      <c r="F70" s="19"/>
      <c r="G70" s="18"/>
      <c r="I70" s="19"/>
      <c r="J70" s="95"/>
      <c r="K70" s="96"/>
      <c r="L70" s="96"/>
      <c r="M70" s="96" t="s">
        <v>677</v>
      </c>
      <c r="N70" s="95"/>
      <c r="O70" s="95"/>
      <c r="P70" s="95"/>
      <c r="Q70" s="95"/>
      <c r="U70" s="10" t="s">
        <v>391</v>
      </c>
    </row>
    <row r="71" customFormat="false" ht="18" hidden="false" customHeight="true" outlineLevel="0" collapsed="false">
      <c r="A71" s="93"/>
      <c r="B71" s="18"/>
      <c r="C71" s="19"/>
      <c r="D71" s="19"/>
      <c r="E71" s="18"/>
      <c r="F71" s="19"/>
      <c r="G71" s="18"/>
      <c r="I71" s="19"/>
      <c r="J71" s="95"/>
      <c r="K71" s="96"/>
      <c r="L71" s="96"/>
      <c r="M71" s="96" t="s">
        <v>678</v>
      </c>
      <c r="N71" s="95"/>
      <c r="O71" s="95"/>
      <c r="P71" s="95"/>
      <c r="Q71" s="95"/>
      <c r="U71" s="10" t="s">
        <v>554</v>
      </c>
    </row>
    <row r="72" customFormat="false" ht="18" hidden="false" customHeight="true" outlineLevel="0" collapsed="false">
      <c r="A72" s="93"/>
      <c r="B72" s="18"/>
      <c r="C72" s="19"/>
      <c r="D72" s="19"/>
      <c r="E72" s="18"/>
      <c r="F72" s="19"/>
      <c r="G72" s="18"/>
      <c r="I72" s="19"/>
      <c r="J72" s="95"/>
      <c r="K72" s="96"/>
      <c r="L72" s="96"/>
      <c r="M72" s="96" t="s">
        <v>679</v>
      </c>
      <c r="N72" s="95"/>
      <c r="O72" s="95"/>
      <c r="P72" s="95"/>
      <c r="Q72" s="95"/>
      <c r="U72" s="10" t="s">
        <v>391</v>
      </c>
    </row>
    <row r="73" customFormat="false" ht="18" hidden="false" customHeight="true" outlineLevel="0" collapsed="false">
      <c r="A73" s="93"/>
      <c r="B73" s="18"/>
      <c r="C73" s="19"/>
      <c r="D73" s="19"/>
      <c r="E73" s="18"/>
      <c r="F73" s="19"/>
      <c r="G73" s="18"/>
      <c r="I73" s="19"/>
      <c r="J73" s="95"/>
      <c r="K73" s="96"/>
      <c r="L73" s="96"/>
      <c r="M73" s="96" t="s">
        <v>680</v>
      </c>
      <c r="N73" s="95"/>
      <c r="O73" s="95"/>
      <c r="P73" s="95"/>
      <c r="Q73" s="95"/>
      <c r="U73" s="10" t="s">
        <v>391</v>
      </c>
    </row>
    <row r="74" customFormat="false" ht="18" hidden="false" customHeight="true" outlineLevel="0" collapsed="false">
      <c r="A74" s="93"/>
      <c r="B74" s="18"/>
      <c r="C74" s="19"/>
      <c r="D74" s="19"/>
      <c r="E74" s="18"/>
      <c r="F74" s="19"/>
      <c r="G74" s="18"/>
      <c r="I74" s="19"/>
      <c r="J74" s="95"/>
      <c r="K74" s="96"/>
      <c r="L74" s="96"/>
      <c r="M74" s="96" t="s">
        <v>681</v>
      </c>
      <c r="N74" s="95"/>
      <c r="O74" s="95"/>
      <c r="P74" s="95"/>
      <c r="Q74" s="95"/>
      <c r="U74" s="10" t="s">
        <v>391</v>
      </c>
    </row>
    <row r="75" customFormat="false" ht="18" hidden="false" customHeight="true" outlineLevel="0" collapsed="false">
      <c r="A75" s="93"/>
      <c r="B75" s="18"/>
      <c r="C75" s="19"/>
      <c r="D75" s="19"/>
      <c r="E75" s="18"/>
      <c r="F75" s="19"/>
      <c r="G75" s="18"/>
      <c r="I75" s="19"/>
      <c r="J75" s="95"/>
      <c r="K75" s="96"/>
      <c r="L75" s="96"/>
      <c r="M75" s="96"/>
      <c r="N75" s="95"/>
      <c r="O75" s="95"/>
      <c r="P75" s="95"/>
      <c r="Q75" s="95"/>
    </row>
    <row r="76" customFormat="false" ht="18" hidden="false" customHeight="true" outlineLevel="0" collapsed="false">
      <c r="A76" s="93"/>
      <c r="B76" s="18"/>
      <c r="C76" s="19"/>
      <c r="D76" s="19"/>
      <c r="E76" s="18"/>
      <c r="F76" s="19"/>
      <c r="G76" s="18"/>
      <c r="I76" s="19"/>
      <c r="J76" s="95"/>
      <c r="K76" s="96"/>
      <c r="L76" s="96"/>
      <c r="M76" s="96"/>
      <c r="N76" s="95"/>
      <c r="O76" s="95"/>
      <c r="P76" s="95"/>
      <c r="Q76" s="95"/>
    </row>
    <row r="77" customFormat="false" ht="18" hidden="false" customHeight="true" outlineLevel="0" collapsed="false">
      <c r="A77" s="93"/>
      <c r="B77" s="18"/>
      <c r="C77" s="19"/>
      <c r="D77" s="19"/>
      <c r="E77" s="18"/>
      <c r="F77" s="19"/>
      <c r="G77" s="18"/>
      <c r="I77" s="19"/>
      <c r="J77" s="95"/>
      <c r="K77" s="96"/>
      <c r="L77" s="96"/>
      <c r="M77" s="96"/>
      <c r="N77" s="95"/>
      <c r="O77" s="95"/>
      <c r="P77" s="95"/>
      <c r="Q77" s="95"/>
    </row>
    <row r="78" customFormat="false" ht="18" hidden="false" customHeight="true" outlineLevel="0" collapsed="false">
      <c r="A78" s="93"/>
      <c r="B78" s="18"/>
      <c r="C78" s="19"/>
      <c r="D78" s="19"/>
      <c r="E78" s="18"/>
      <c r="F78" s="19"/>
      <c r="G78" s="18"/>
      <c r="I78" s="19"/>
      <c r="J78" s="95"/>
      <c r="K78" s="96"/>
      <c r="L78" s="96"/>
      <c r="M78" s="96"/>
      <c r="N78" s="95"/>
      <c r="O78" s="95"/>
      <c r="P78" s="95"/>
      <c r="Q78" s="95"/>
    </row>
    <row r="79" customFormat="false" ht="18" hidden="false" customHeight="true" outlineLevel="0" collapsed="false">
      <c r="A79" s="93"/>
      <c r="B79" s="18"/>
      <c r="C79" s="19"/>
      <c r="D79" s="19"/>
      <c r="E79" s="18"/>
      <c r="F79" s="19"/>
      <c r="G79" s="18"/>
      <c r="I79" s="19"/>
      <c r="J79" s="95"/>
      <c r="K79" s="96"/>
      <c r="L79" s="96"/>
      <c r="M79" s="96"/>
      <c r="N79" s="95"/>
      <c r="O79" s="95"/>
      <c r="P79" s="95"/>
      <c r="Q79" s="95"/>
    </row>
    <row r="80" customFormat="false" ht="18" hidden="false" customHeight="true" outlineLevel="0" collapsed="false">
      <c r="A80" s="93"/>
      <c r="B80" s="18"/>
      <c r="C80" s="19"/>
      <c r="D80" s="19"/>
      <c r="E80" s="18"/>
      <c r="F80" s="19"/>
      <c r="G80" s="18"/>
      <c r="I80" s="19"/>
      <c r="J80" s="95"/>
      <c r="K80" s="96"/>
      <c r="L80" s="96"/>
      <c r="M80" s="96"/>
      <c r="N80" s="95"/>
      <c r="O80" s="95"/>
      <c r="P80" s="95"/>
      <c r="Q80" s="95"/>
    </row>
    <row r="81" customFormat="false" ht="18" hidden="false" customHeight="true" outlineLevel="0" collapsed="false">
      <c r="A81" s="93"/>
      <c r="B81" s="18"/>
      <c r="C81" s="19"/>
      <c r="D81" s="19"/>
      <c r="E81" s="18"/>
      <c r="F81" s="19"/>
      <c r="G81" s="18"/>
      <c r="I81" s="19"/>
      <c r="J81" s="95"/>
      <c r="K81" s="96"/>
      <c r="L81" s="96"/>
      <c r="M81" s="96"/>
      <c r="N81" s="95"/>
      <c r="O81" s="95"/>
      <c r="P81" s="95"/>
      <c r="Q81" s="95"/>
    </row>
    <row r="82" customFormat="false" ht="13.5" hidden="false" customHeight="false" outlineLevel="0" collapsed="false">
      <c r="I82" s="19"/>
      <c r="J82" s="95"/>
      <c r="K82" s="96"/>
      <c r="L82" s="96"/>
      <c r="M82" s="96"/>
      <c r="N82" s="95"/>
      <c r="O82" s="95"/>
      <c r="P82" s="95"/>
      <c r="Q82" s="95"/>
    </row>
    <row r="83" customFormat="false" ht="13.5" hidden="false" customHeight="false" outlineLevel="0" collapsed="false">
      <c r="I83" s="19"/>
      <c r="J83" s="95"/>
      <c r="K83" s="96"/>
      <c r="L83" s="96"/>
      <c r="M83" s="96"/>
      <c r="N83" s="95"/>
      <c r="O83" s="95"/>
      <c r="P83" s="95"/>
      <c r="Q83" s="95"/>
    </row>
    <row r="84" customFormat="false" ht="13.5" hidden="false" customHeight="false" outlineLevel="0" collapsed="false">
      <c r="I84" s="19"/>
      <c r="J84" s="95"/>
      <c r="K84" s="96"/>
      <c r="L84" s="96"/>
      <c r="M84" s="96"/>
      <c r="N84" s="95"/>
      <c r="O84" s="95"/>
      <c r="P84" s="95"/>
      <c r="Q84" s="95"/>
    </row>
    <row r="85" customFormat="false" ht="13.5" hidden="false" customHeight="false" outlineLevel="0" collapsed="false">
      <c r="I85" s="19"/>
      <c r="J85" s="95"/>
      <c r="K85" s="96"/>
      <c r="L85" s="96"/>
      <c r="M85" s="96"/>
      <c r="N85" s="95"/>
      <c r="O85" s="95"/>
      <c r="P85" s="95"/>
      <c r="Q85" s="95"/>
    </row>
    <row r="86" customFormat="false" ht="13.5" hidden="false" customHeight="false" outlineLevel="0" collapsed="false">
      <c r="I86" s="19"/>
      <c r="J86" s="95"/>
      <c r="K86" s="96"/>
      <c r="L86" s="96"/>
      <c r="M86" s="96"/>
      <c r="N86" s="95"/>
      <c r="O86" s="95"/>
      <c r="P86" s="95"/>
      <c r="Q86" s="95"/>
    </row>
    <row r="87" customFormat="false" ht="13.5" hidden="false" customHeight="false" outlineLevel="0" collapsed="false">
      <c r="I87" s="19"/>
      <c r="J87" s="95"/>
      <c r="K87" s="96"/>
      <c r="L87" s="96"/>
      <c r="M87" s="96"/>
      <c r="N87" s="95"/>
      <c r="O87" s="95"/>
      <c r="P87" s="95"/>
      <c r="Q87" s="95"/>
    </row>
    <row r="88" customFormat="false" ht="13.5" hidden="false" customHeight="false" outlineLevel="0" collapsed="false">
      <c r="I88" s="19"/>
      <c r="J88" s="95"/>
      <c r="K88" s="96"/>
      <c r="L88" s="96"/>
      <c r="M88" s="96"/>
      <c r="N88" s="95"/>
      <c r="O88" s="95"/>
      <c r="P88" s="95"/>
      <c r="Q88" s="95"/>
    </row>
    <row r="89" customFormat="false" ht="13.5" hidden="false" customHeight="false" outlineLevel="0" collapsed="false">
      <c r="I89" s="19"/>
      <c r="J89" s="95"/>
      <c r="K89" s="96"/>
      <c r="L89" s="96"/>
      <c r="M89" s="96"/>
      <c r="N89" s="95"/>
      <c r="O89" s="95"/>
      <c r="P89" s="95"/>
      <c r="Q89" s="95"/>
    </row>
    <row r="90" customFormat="false" ht="13.5" hidden="false" customHeight="false" outlineLevel="0" collapsed="false">
      <c r="I90" s="19"/>
      <c r="J90" s="95"/>
      <c r="K90" s="96"/>
      <c r="L90" s="96"/>
      <c r="M90" s="96"/>
      <c r="N90" s="95"/>
      <c r="O90" s="95"/>
      <c r="P90" s="95"/>
      <c r="Q90" s="95"/>
    </row>
    <row r="91" customFormat="false" ht="13.5" hidden="false" customHeight="false" outlineLevel="0" collapsed="false">
      <c r="I91" s="19"/>
      <c r="J91" s="95"/>
      <c r="K91" s="96"/>
      <c r="L91" s="96"/>
      <c r="M91" s="96"/>
      <c r="N91" s="95"/>
      <c r="O91" s="95"/>
      <c r="P91" s="95"/>
      <c r="Q91" s="95"/>
    </row>
    <row r="92" customFormat="false" ht="13.5" hidden="false" customHeight="false" outlineLevel="0" collapsed="false">
      <c r="I92" s="19"/>
      <c r="J92" s="95"/>
      <c r="K92" s="96"/>
      <c r="L92" s="96"/>
      <c r="M92" s="96"/>
      <c r="N92" s="95"/>
      <c r="O92" s="95"/>
      <c r="P92" s="95"/>
      <c r="Q92" s="95"/>
    </row>
    <row r="93" customFormat="false" ht="13.5" hidden="false" customHeight="false" outlineLevel="0" collapsed="false">
      <c r="I93" s="19"/>
      <c r="J93" s="95"/>
      <c r="K93" s="96"/>
      <c r="L93" s="96"/>
      <c r="M93" s="96"/>
      <c r="N93" s="95"/>
      <c r="O93" s="95"/>
      <c r="P93" s="95"/>
      <c r="Q93" s="95"/>
    </row>
    <row r="94" customFormat="false" ht="13.5" hidden="false" customHeight="false" outlineLevel="0" collapsed="false">
      <c r="I94" s="19"/>
      <c r="J94" s="95"/>
      <c r="K94" s="96"/>
      <c r="L94" s="96"/>
      <c r="M94" s="96"/>
      <c r="N94" s="95"/>
      <c r="O94" s="95"/>
      <c r="P94" s="95"/>
      <c r="Q94" s="95"/>
    </row>
    <row r="95" customFormat="false" ht="13.5" hidden="false" customHeight="false" outlineLevel="0" collapsed="false">
      <c r="I95" s="19"/>
      <c r="J95" s="95"/>
      <c r="K95" s="96"/>
      <c r="L95" s="96"/>
      <c r="M95" s="96"/>
      <c r="N95" s="95"/>
      <c r="O95" s="95"/>
      <c r="P95" s="95"/>
      <c r="Q95" s="95"/>
    </row>
    <row r="96" customFormat="false" ht="13.5" hidden="false" customHeight="false" outlineLevel="0" collapsed="false">
      <c r="I96" s="19"/>
      <c r="J96" s="95"/>
      <c r="K96" s="96"/>
      <c r="L96" s="96"/>
      <c r="M96" s="96"/>
      <c r="N96" s="95"/>
      <c r="O96" s="95"/>
      <c r="P96" s="95"/>
      <c r="Q96" s="95"/>
    </row>
    <row r="97" customFormat="false" ht="13.5" hidden="false" customHeight="false" outlineLevel="0" collapsed="false">
      <c r="I97" s="19"/>
      <c r="J97" s="95"/>
      <c r="K97" s="96"/>
      <c r="L97" s="96"/>
      <c r="M97" s="96"/>
      <c r="N97" s="95"/>
      <c r="O97" s="95"/>
      <c r="P97" s="95"/>
      <c r="Q97" s="95"/>
    </row>
    <row r="98" customFormat="false" ht="13.5" hidden="false" customHeight="false" outlineLevel="0" collapsed="false">
      <c r="I98" s="19"/>
      <c r="J98" s="95"/>
      <c r="K98" s="96"/>
      <c r="L98" s="96"/>
      <c r="M98" s="96"/>
      <c r="N98" s="95"/>
      <c r="O98" s="95"/>
      <c r="P98" s="95"/>
      <c r="Q98" s="95"/>
    </row>
    <row r="99" customFormat="false" ht="13.5" hidden="false" customHeight="false" outlineLevel="0" collapsed="false">
      <c r="I99" s="19"/>
      <c r="J99" s="95"/>
      <c r="K99" s="96"/>
      <c r="L99" s="96"/>
      <c r="M99" s="96"/>
      <c r="N99" s="95"/>
      <c r="O99" s="95"/>
      <c r="P99" s="95"/>
      <c r="Q99" s="95"/>
    </row>
    <row r="100" customFormat="false" ht="13.5" hidden="false" customHeight="false" outlineLevel="0" collapsed="false">
      <c r="I100" s="19"/>
      <c r="J100" s="95"/>
      <c r="K100" s="96"/>
      <c r="L100" s="96"/>
      <c r="M100" s="96"/>
      <c r="N100" s="95"/>
      <c r="O100" s="95"/>
      <c r="P100" s="95"/>
      <c r="Q100" s="95"/>
    </row>
    <row r="101" customFormat="false" ht="13.5" hidden="false" customHeight="false" outlineLevel="0" collapsed="false">
      <c r="I101" s="19"/>
      <c r="J101" s="95"/>
      <c r="K101" s="96"/>
      <c r="L101" s="96"/>
      <c r="M101" s="96"/>
      <c r="N101" s="95"/>
      <c r="O101" s="95"/>
      <c r="P101" s="95"/>
      <c r="Q101" s="95"/>
    </row>
    <row r="102" customFormat="false" ht="13.5" hidden="false" customHeight="false" outlineLevel="0" collapsed="false">
      <c r="I102" s="19"/>
      <c r="J102" s="95"/>
      <c r="K102" s="96"/>
      <c r="L102" s="96"/>
      <c r="M102" s="96"/>
      <c r="N102" s="95"/>
      <c r="O102" s="95"/>
      <c r="P102" s="95"/>
      <c r="Q102" s="95"/>
    </row>
    <row r="103" customFormat="false" ht="13.5" hidden="false" customHeight="false" outlineLevel="0" collapsed="false">
      <c r="I103" s="19"/>
      <c r="J103" s="95"/>
      <c r="K103" s="96"/>
      <c r="L103" s="96"/>
      <c r="M103" s="96"/>
      <c r="N103" s="95"/>
      <c r="O103" s="95"/>
      <c r="P103" s="95"/>
      <c r="Q103" s="95"/>
    </row>
    <row r="104" customFormat="false" ht="13.5" hidden="false" customHeight="false" outlineLevel="0" collapsed="false">
      <c r="I104" s="19"/>
      <c r="J104" s="95"/>
      <c r="K104" s="96"/>
      <c r="L104" s="96"/>
      <c r="M104" s="96"/>
      <c r="N104" s="95"/>
      <c r="O104" s="95"/>
      <c r="P104" s="95"/>
      <c r="Q104" s="95"/>
    </row>
    <row r="105" customFormat="false" ht="13.5" hidden="false" customHeight="false" outlineLevel="0" collapsed="false">
      <c r="I105" s="19"/>
      <c r="J105" s="95"/>
      <c r="K105" s="96"/>
      <c r="L105" s="96"/>
      <c r="M105" s="96"/>
      <c r="N105" s="95"/>
      <c r="O105" s="95"/>
      <c r="P105" s="95"/>
      <c r="Q105" s="95"/>
    </row>
    <row r="106" customFormat="false" ht="13.5" hidden="false" customHeight="false" outlineLevel="0" collapsed="false">
      <c r="I106" s="19"/>
      <c r="J106" s="95"/>
      <c r="K106" s="96"/>
      <c r="L106" s="96"/>
      <c r="M106" s="96"/>
      <c r="N106" s="95"/>
      <c r="O106" s="95"/>
      <c r="P106" s="95"/>
      <c r="Q106" s="95"/>
    </row>
    <row r="107" customFormat="false" ht="13.5" hidden="false" customHeight="false" outlineLevel="0" collapsed="false">
      <c r="I107" s="19"/>
      <c r="J107" s="95"/>
      <c r="K107" s="96"/>
      <c r="L107" s="96"/>
      <c r="M107" s="96"/>
      <c r="N107" s="95"/>
      <c r="O107" s="95"/>
      <c r="P107" s="95"/>
      <c r="Q107" s="95"/>
    </row>
    <row r="108" customFormat="false" ht="13.5" hidden="false" customHeight="false" outlineLevel="0" collapsed="false">
      <c r="I108" s="19"/>
      <c r="J108" s="95"/>
      <c r="K108" s="96"/>
      <c r="L108" s="96"/>
      <c r="M108" s="96"/>
      <c r="N108" s="95"/>
      <c r="O108" s="95"/>
      <c r="P108" s="95"/>
      <c r="Q108" s="95"/>
    </row>
    <row r="109" customFormat="false" ht="13.5" hidden="false" customHeight="false" outlineLevel="0" collapsed="false">
      <c r="I109" s="19"/>
      <c r="J109" s="95"/>
      <c r="K109" s="96"/>
      <c r="L109" s="96"/>
      <c r="M109" s="96"/>
      <c r="N109" s="95"/>
      <c r="O109" s="95"/>
      <c r="P109" s="95"/>
      <c r="Q109" s="95"/>
    </row>
    <row r="110" customFormat="false" ht="13.5" hidden="false" customHeight="false" outlineLevel="0" collapsed="false">
      <c r="I110" s="19"/>
      <c r="J110" s="95"/>
      <c r="K110" s="96"/>
      <c r="L110" s="96"/>
      <c r="M110" s="96"/>
      <c r="N110" s="95"/>
      <c r="O110" s="95"/>
      <c r="P110" s="95"/>
      <c r="Q110" s="95"/>
    </row>
    <row r="111" customFormat="false" ht="13.5" hidden="false" customHeight="false" outlineLevel="0" collapsed="false">
      <c r="I111" s="19"/>
      <c r="J111" s="95"/>
      <c r="K111" s="96"/>
      <c r="L111" s="96"/>
      <c r="M111" s="96"/>
      <c r="N111" s="95"/>
      <c r="O111" s="95"/>
      <c r="P111" s="95"/>
      <c r="Q111" s="95"/>
    </row>
    <row r="112" customFormat="false" ht="13.5" hidden="false" customHeight="false" outlineLevel="0" collapsed="false">
      <c r="I112" s="19"/>
      <c r="J112" s="95"/>
      <c r="K112" s="96"/>
      <c r="L112" s="96"/>
      <c r="M112" s="96"/>
      <c r="N112" s="95"/>
      <c r="O112" s="95"/>
      <c r="P112" s="95"/>
      <c r="Q112" s="95"/>
    </row>
    <row r="113" customFormat="false" ht="13.5" hidden="false" customHeight="false" outlineLevel="0" collapsed="false">
      <c r="I113" s="19"/>
      <c r="J113" s="95"/>
      <c r="K113" s="96"/>
      <c r="L113" s="96"/>
      <c r="M113" s="96"/>
      <c r="N113" s="95"/>
      <c r="O113" s="95"/>
      <c r="P113" s="95"/>
      <c r="Q113" s="95"/>
    </row>
    <row r="114" customFormat="false" ht="13.5" hidden="false" customHeight="false" outlineLevel="0" collapsed="false">
      <c r="I114" s="95"/>
      <c r="J114" s="95"/>
      <c r="K114" s="96"/>
      <c r="L114" s="96"/>
      <c r="M114" s="96"/>
      <c r="N114" s="95"/>
      <c r="O114" s="95"/>
      <c r="P114" s="95"/>
      <c r="Q114" s="95"/>
    </row>
    <row r="115" customFormat="false" ht="13.5" hidden="false" customHeight="false" outlineLevel="0" collapsed="false">
      <c r="I115" s="95"/>
      <c r="J115" s="95"/>
      <c r="K115" s="96"/>
      <c r="L115" s="96"/>
      <c r="M115" s="96"/>
      <c r="N115" s="95"/>
      <c r="O115" s="95"/>
      <c r="P115" s="95"/>
      <c r="Q115" s="95"/>
    </row>
    <row r="116" customFormat="false" ht="13.5" hidden="false" customHeight="false" outlineLevel="0" collapsed="false">
      <c r="I116" s="95"/>
      <c r="J116" s="95"/>
      <c r="K116" s="96"/>
      <c r="L116" s="96"/>
      <c r="M116" s="96"/>
      <c r="N116" s="95"/>
      <c r="O116" s="95"/>
      <c r="P116" s="95"/>
      <c r="Q116" s="95"/>
    </row>
    <row r="117" customFormat="false" ht="13.5" hidden="false" customHeight="false" outlineLevel="0" collapsed="false">
      <c r="I117" s="95"/>
      <c r="J117" s="95"/>
      <c r="K117" s="96"/>
      <c r="L117" s="96"/>
      <c r="M117" s="96"/>
      <c r="N117" s="95"/>
      <c r="O117" s="95"/>
      <c r="P117" s="95"/>
      <c r="Q117" s="95"/>
    </row>
    <row r="118" customFormat="false" ht="13.5" hidden="false" customHeight="false" outlineLevel="0" collapsed="false">
      <c r="I118" s="95"/>
      <c r="J118" s="95"/>
      <c r="K118" s="96"/>
      <c r="L118" s="96"/>
      <c r="M118" s="96"/>
      <c r="N118" s="95"/>
      <c r="O118" s="95"/>
      <c r="P118" s="95"/>
      <c r="Q118" s="95"/>
    </row>
    <row r="119" customFormat="false" ht="13.5" hidden="false" customHeight="false" outlineLevel="0" collapsed="false">
      <c r="I119" s="95"/>
      <c r="J119" s="95"/>
      <c r="K119" s="96"/>
      <c r="L119" s="96"/>
      <c r="M119" s="96"/>
      <c r="N119" s="95"/>
      <c r="O119" s="95"/>
      <c r="P119" s="95"/>
      <c r="Q119" s="95"/>
    </row>
    <row r="120" customFormat="false" ht="13.5" hidden="false" customHeight="false" outlineLevel="0" collapsed="false">
      <c r="I120" s="95"/>
      <c r="J120" s="95"/>
      <c r="K120" s="96"/>
      <c r="L120" s="96"/>
      <c r="M120" s="96"/>
      <c r="N120" s="95"/>
      <c r="O120" s="95"/>
      <c r="P120" s="95"/>
      <c r="Q120" s="95"/>
    </row>
    <row r="121" customFormat="false" ht="13.5" hidden="false" customHeight="false" outlineLevel="0" collapsed="false">
      <c r="I121" s="95"/>
      <c r="J121" s="95"/>
      <c r="K121" s="96"/>
      <c r="L121" s="96"/>
      <c r="M121" s="96"/>
      <c r="N121" s="95"/>
      <c r="O121" s="95"/>
      <c r="P121" s="95"/>
      <c r="Q121" s="95"/>
    </row>
    <row r="122" customFormat="false" ht="13.5" hidden="false" customHeight="false" outlineLevel="0" collapsed="false">
      <c r="I122" s="95"/>
      <c r="J122" s="95"/>
      <c r="K122" s="96"/>
      <c r="L122" s="96"/>
      <c r="M122" s="96"/>
      <c r="N122" s="95"/>
      <c r="O122" s="95"/>
      <c r="P122" s="95"/>
      <c r="Q122" s="95"/>
    </row>
    <row r="123" customFormat="false" ht="13.5" hidden="false" customHeight="false" outlineLevel="0" collapsed="false">
      <c r="I123" s="95"/>
      <c r="J123" s="95"/>
      <c r="K123" s="96"/>
      <c r="L123" s="96"/>
      <c r="M123" s="96"/>
      <c r="N123" s="95"/>
      <c r="O123" s="95"/>
      <c r="P123" s="95"/>
      <c r="Q123" s="95"/>
    </row>
    <row r="124" customFormat="false" ht="13.5" hidden="false" customHeight="false" outlineLevel="0" collapsed="false">
      <c r="I124" s="95"/>
      <c r="J124" s="95"/>
      <c r="K124" s="96"/>
      <c r="L124" s="96"/>
      <c r="M124" s="96"/>
      <c r="N124" s="95"/>
      <c r="O124" s="95"/>
      <c r="P124" s="95"/>
      <c r="Q124" s="95"/>
    </row>
    <row r="125" customFormat="false" ht="13.5" hidden="false" customHeight="false" outlineLevel="0" collapsed="false">
      <c r="I125" s="95"/>
      <c r="J125" s="95"/>
      <c r="K125" s="96"/>
      <c r="L125" s="96"/>
      <c r="M125" s="96"/>
      <c r="N125" s="95"/>
      <c r="O125" s="95"/>
      <c r="P125" s="95"/>
      <c r="Q125" s="95"/>
    </row>
    <row r="126" customFormat="false" ht="13.5" hidden="false" customHeight="false" outlineLevel="0" collapsed="false">
      <c r="I126" s="95"/>
      <c r="J126" s="95"/>
      <c r="K126" s="96"/>
      <c r="L126" s="96"/>
      <c r="M126" s="96"/>
      <c r="N126" s="95"/>
      <c r="O126" s="95"/>
      <c r="P126" s="95"/>
      <c r="Q126" s="95"/>
    </row>
    <row r="127" customFormat="false" ht="13.5" hidden="false" customHeight="false" outlineLevel="0" collapsed="false">
      <c r="I127" s="95"/>
      <c r="J127" s="95"/>
      <c r="K127" s="96"/>
      <c r="L127" s="96"/>
      <c r="M127" s="96"/>
      <c r="N127" s="95"/>
      <c r="O127" s="95"/>
      <c r="P127" s="95"/>
      <c r="Q127" s="95"/>
    </row>
    <row r="128" customFormat="false" ht="13.5" hidden="false" customHeight="false" outlineLevel="0" collapsed="false">
      <c r="I128" s="95"/>
      <c r="J128" s="95"/>
      <c r="K128" s="96"/>
      <c r="L128" s="96"/>
      <c r="M128" s="96"/>
      <c r="N128" s="95"/>
      <c r="O128" s="95"/>
      <c r="P128" s="95"/>
      <c r="Q128" s="95"/>
    </row>
    <row r="129" customFormat="false" ht="13.5" hidden="false" customHeight="false" outlineLevel="0" collapsed="false">
      <c r="I129" s="95"/>
      <c r="J129" s="95"/>
      <c r="K129" s="96"/>
      <c r="L129" s="96"/>
      <c r="M129" s="96"/>
      <c r="N129" s="95"/>
      <c r="O129" s="95"/>
      <c r="P129" s="95"/>
      <c r="Q129" s="95"/>
    </row>
    <row r="130" customFormat="false" ht="13.5" hidden="false" customHeight="false" outlineLevel="0" collapsed="false">
      <c r="I130" s="95"/>
      <c r="J130" s="95"/>
      <c r="K130" s="96"/>
      <c r="L130" s="96"/>
      <c r="M130" s="96"/>
      <c r="N130" s="95"/>
      <c r="O130" s="95"/>
      <c r="P130" s="95"/>
      <c r="Q130" s="95"/>
    </row>
    <row r="131" customFormat="false" ht="13.5" hidden="false" customHeight="false" outlineLevel="0" collapsed="false">
      <c r="I131" s="95"/>
      <c r="J131" s="95"/>
      <c r="K131" s="96"/>
      <c r="L131" s="96"/>
      <c r="M131" s="96"/>
      <c r="N131" s="95"/>
      <c r="O131" s="95"/>
      <c r="P131" s="95"/>
      <c r="Q131" s="95"/>
    </row>
    <row r="132" customFormat="false" ht="13.5" hidden="false" customHeight="false" outlineLevel="0" collapsed="false">
      <c r="I132" s="95"/>
      <c r="J132" s="95"/>
      <c r="K132" s="96"/>
      <c r="L132" s="96"/>
      <c r="M132" s="96"/>
      <c r="N132" s="95"/>
      <c r="O132" s="95"/>
      <c r="P132" s="95"/>
      <c r="Q132" s="95"/>
    </row>
    <row r="133" customFormat="false" ht="13.5" hidden="false" customHeight="false" outlineLevel="0" collapsed="false">
      <c r="I133" s="95"/>
      <c r="J133" s="95"/>
      <c r="K133" s="96"/>
      <c r="L133" s="96"/>
      <c r="M133" s="96"/>
      <c r="N133" s="95"/>
      <c r="O133" s="95"/>
      <c r="P133" s="95"/>
      <c r="Q133" s="95"/>
    </row>
    <row r="134" customFormat="false" ht="13.5" hidden="false" customHeight="false" outlineLevel="0" collapsed="false">
      <c r="I134" s="95"/>
      <c r="J134" s="95"/>
      <c r="K134" s="96"/>
      <c r="L134" s="96"/>
      <c r="M134" s="96"/>
      <c r="N134" s="95"/>
      <c r="O134" s="95"/>
      <c r="P134" s="95"/>
      <c r="Q134" s="95"/>
    </row>
    <row r="135" customFormat="false" ht="13.5" hidden="false" customHeight="false" outlineLevel="0" collapsed="false">
      <c r="I135" s="95"/>
      <c r="J135" s="95"/>
      <c r="K135" s="96"/>
      <c r="L135" s="96"/>
      <c r="M135" s="96"/>
      <c r="N135" s="95"/>
      <c r="O135" s="95"/>
      <c r="P135" s="95"/>
      <c r="Q135" s="95"/>
    </row>
    <row r="136" customFormat="false" ht="13.5" hidden="false" customHeight="false" outlineLevel="0" collapsed="false">
      <c r="I136" s="95"/>
      <c r="J136" s="95"/>
      <c r="K136" s="96"/>
      <c r="L136" s="96"/>
      <c r="M136" s="96"/>
      <c r="N136" s="95"/>
      <c r="O136" s="95"/>
      <c r="P136" s="95"/>
      <c r="Q136" s="95"/>
    </row>
    <row r="137" customFormat="false" ht="13.5" hidden="false" customHeight="false" outlineLevel="0" collapsed="false">
      <c r="I137" s="95"/>
      <c r="J137" s="95"/>
      <c r="K137" s="96"/>
      <c r="L137" s="96"/>
      <c r="M137" s="96"/>
      <c r="N137" s="95"/>
      <c r="O137" s="95"/>
      <c r="P137" s="95"/>
      <c r="Q137" s="95"/>
    </row>
    <row r="138" customFormat="false" ht="13.5" hidden="false" customHeight="false" outlineLevel="0" collapsed="false">
      <c r="I138" s="95"/>
      <c r="J138" s="95"/>
      <c r="K138" s="96"/>
      <c r="L138" s="96"/>
      <c r="M138" s="96"/>
      <c r="N138" s="95"/>
      <c r="O138" s="95"/>
      <c r="P138" s="95"/>
      <c r="Q138" s="95"/>
    </row>
    <row r="139" customFormat="false" ht="13.5" hidden="false" customHeight="false" outlineLevel="0" collapsed="false">
      <c r="I139" s="95"/>
      <c r="J139" s="95"/>
      <c r="K139" s="96"/>
      <c r="L139" s="96"/>
      <c r="M139" s="96"/>
      <c r="N139" s="95"/>
      <c r="O139" s="95"/>
      <c r="P139" s="95"/>
      <c r="Q139" s="95"/>
    </row>
    <row r="140" customFormat="false" ht="13.5" hidden="false" customHeight="false" outlineLevel="0" collapsed="false">
      <c r="I140" s="95"/>
      <c r="J140" s="95"/>
      <c r="K140" s="96"/>
      <c r="L140" s="96"/>
      <c r="M140" s="96"/>
      <c r="N140" s="95"/>
      <c r="O140" s="95"/>
      <c r="P140" s="95"/>
      <c r="Q140" s="95"/>
    </row>
  </sheetData>
  <autoFilter ref="A3:G81"/>
  <mergeCells count="2">
    <mergeCell ref="A1:G1"/>
    <mergeCell ref="A2:G2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2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I9" activeCellId="0" sqref="I9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5" min="4" style="0" width="16"/>
    <col collapsed="false" customWidth="true" hidden="false" outlineLevel="0" max="6" min="6" style="0" width="26"/>
    <col collapsed="false" customWidth="true" hidden="false" outlineLevel="0" max="8" min="8" style="0" width="20"/>
    <col collapsed="false" customWidth="true" hidden="false" outlineLevel="0" max="9" min="9" style="0" width="16"/>
  </cols>
  <sheetData>
    <row r="1" customFormat="false" ht="30" hidden="false" customHeight="true" outlineLevel="0" collapsed="false">
      <c r="A1" s="20" t="s">
        <v>682</v>
      </c>
      <c r="B1" s="20"/>
      <c r="C1" s="20"/>
      <c r="D1" s="20"/>
      <c r="E1" s="20"/>
      <c r="F1" s="20"/>
    </row>
    <row r="2" customFormat="false" ht="18" hidden="false" customHeight="true" outlineLevel="0" collapsed="false">
      <c r="A2" s="21" t="s">
        <v>683</v>
      </c>
      <c r="B2" s="21"/>
      <c r="C2" s="21"/>
      <c r="D2" s="21"/>
      <c r="E2" s="21"/>
      <c r="F2" s="21"/>
    </row>
    <row r="3" customFormat="false" ht="33.75" hidden="false" customHeight="true" outlineLevel="0" collapsed="false">
      <c r="A3" s="37" t="s">
        <v>425</v>
      </c>
      <c r="B3" s="37" t="s">
        <v>426</v>
      </c>
      <c r="C3" s="37" t="s">
        <v>427</v>
      </c>
      <c r="D3" s="37" t="s">
        <v>684</v>
      </c>
      <c r="E3" s="37" t="s">
        <v>685</v>
      </c>
      <c r="F3" s="37" t="s">
        <v>174</v>
      </c>
      <c r="H3" s="37" t="s">
        <v>686</v>
      </c>
      <c r="I3" s="37" t="s">
        <v>27</v>
      </c>
    </row>
    <row r="4" customFormat="false" ht="18" hidden="false" customHeight="true" outlineLevel="0" collapsed="false">
      <c r="A4" s="99" t="str">
        <f aca="false">IF($B4="","",IFERROR(INDEX(科目表!$A$4:$A$81,MATCH($B4,科目表!$B$4:$B$81,0)),""))</f>
        <v>1001</v>
      </c>
      <c r="B4" s="18" t="s">
        <v>441</v>
      </c>
      <c r="C4" s="67" t="str">
        <f aca="false">IF($B4="","",IFERROR(INDEX(科目表!$C$4:$C$81,MATCH($B4,科目表!$B$4:$B$81,0)),""))</f>
        <v>资产</v>
      </c>
      <c r="D4" s="100"/>
      <c r="E4" s="100" t="n">
        <v>0</v>
      </c>
      <c r="F4" s="18"/>
      <c r="H4" s="19" t="str">
        <f aca="false">IF(科目表!$K4="","",科目表!$K4)</f>
        <v>库存现金</v>
      </c>
      <c r="I4" s="101"/>
    </row>
    <row r="5" customFormat="false" ht="18" hidden="false" customHeight="true" outlineLevel="0" collapsed="false">
      <c r="A5" s="99" t="str">
        <f aca="false">IF($B5="","",IFERROR(INDEX(科目表!$A$4:$A$81,MATCH($B5,科目表!$B$4:$B$81,0)),""))</f>
        <v>1002</v>
      </c>
      <c r="B5" s="18" t="s">
        <v>449</v>
      </c>
      <c r="C5" s="67" t="str">
        <f aca="false">IF($B5="","",IFERROR(INDEX(科目表!$C$4:$C$81,MATCH($B5,科目表!$B$4:$B$81,0)),""))</f>
        <v>资产</v>
      </c>
      <c r="D5" s="100"/>
      <c r="E5" s="100" t="n">
        <v>0</v>
      </c>
      <c r="F5" s="18"/>
      <c r="H5" s="19" t="str">
        <f aca="false">IF(科目表!$K5="","",科目表!$K5)</f>
        <v>基本户-银行存款</v>
      </c>
      <c r="I5" s="101" t="n">
        <v>62246</v>
      </c>
    </row>
    <row r="6" customFormat="false" ht="18" hidden="false" customHeight="true" outlineLevel="0" collapsed="false">
      <c r="A6" s="99" t="str">
        <f aca="false">IF($B6="","",IFERROR(INDEX(科目表!$A$4:$A$81,MATCH($B6,科目表!$B$4:$B$81,0)),""))</f>
        <v>1012</v>
      </c>
      <c r="B6" s="18" t="s">
        <v>398</v>
      </c>
      <c r="C6" s="67" t="str">
        <f aca="false">IF($B6="","",IFERROR(INDEX(科目表!$C$4:$C$81,MATCH($B6,科目表!$B$4:$B$81,0)),""))</f>
        <v>资产</v>
      </c>
      <c r="D6" s="100"/>
      <c r="E6" s="100"/>
      <c r="F6" s="18"/>
      <c r="H6" s="19" t="str">
        <f aca="false">IF(科目表!$K6="","",科目表!$K6)</f>
        <v>一般户-银行存款</v>
      </c>
      <c r="I6" s="101" t="n">
        <v>0</v>
      </c>
    </row>
    <row r="7" customFormat="false" ht="18" hidden="false" customHeight="true" outlineLevel="0" collapsed="false">
      <c r="A7" s="99" t="str">
        <f aca="false">IF($B7="","",IFERROR(INDEX(科目表!$A$4:$A$81,MATCH($B7,科目表!$B$4:$B$81,0)),""))</f>
        <v>1121</v>
      </c>
      <c r="B7" s="18" t="s">
        <v>462</v>
      </c>
      <c r="C7" s="67" t="str">
        <f aca="false">IF($B7="","",IFERROR(INDEX(科目表!$C$4:$C$81,MATCH($B7,科目表!$B$4:$B$81,0)),""))</f>
        <v>资产</v>
      </c>
      <c r="D7" s="100"/>
      <c r="E7" s="100"/>
      <c r="F7" s="18"/>
      <c r="H7" s="19" t="str">
        <f aca="false">IF(科目表!$K7="","",科目表!$K7)</f>
        <v>微信</v>
      </c>
      <c r="I7" s="101" t="n">
        <v>74812</v>
      </c>
    </row>
    <row r="8" customFormat="false" ht="18" hidden="false" customHeight="true" outlineLevel="0" collapsed="false">
      <c r="A8" s="99" t="str">
        <f aca="false">IF($B8="","",IFERROR(INDEX(科目表!$A$4:$A$81,MATCH($B8,科目表!$B$4:$B$81,0)),""))</f>
        <v>1122</v>
      </c>
      <c r="B8" s="18" t="s">
        <v>267</v>
      </c>
      <c r="C8" s="67" t="str">
        <f aca="false">IF($B8="","",IFERROR(INDEX(科目表!$C$4:$C$81,MATCH($B8,科目表!$B$4:$B$81,0)),""))</f>
        <v>资产</v>
      </c>
      <c r="D8" s="100"/>
      <c r="E8" s="100" t="n">
        <v>0</v>
      </c>
      <c r="F8" s="18"/>
      <c r="H8" s="19" t="str">
        <f aca="false">IF(科目表!$K8="","",科目表!$K8)</f>
        <v>支付宝</v>
      </c>
      <c r="I8" s="101" t="n">
        <v>99017</v>
      </c>
    </row>
    <row r="9" customFormat="false" ht="18" hidden="false" customHeight="true" outlineLevel="0" collapsed="false">
      <c r="A9" s="99" t="str">
        <f aca="false">IF($B9="","",IFERROR(INDEX(科目表!$A$4:$A$81,MATCH($B9,科目表!$B$4:$B$81,0)),""))</f>
        <v>1123</v>
      </c>
      <c r="B9" s="18" t="s">
        <v>416</v>
      </c>
      <c r="C9" s="67" t="str">
        <f aca="false">IF($B9="","",IFERROR(INDEX(科目表!$C$4:$C$81,MATCH($B9,科目表!$B$4:$B$81,0)),""))</f>
        <v>资产</v>
      </c>
      <c r="D9" s="100"/>
      <c r="E9" s="100"/>
      <c r="F9" s="18"/>
      <c r="H9" s="19" t="str">
        <f aca="false">IF(科目表!$K9="","",科目表!$K9)</f>
        <v>承兑汇票</v>
      </c>
      <c r="I9" s="101" t="n">
        <v>0</v>
      </c>
    </row>
    <row r="10" customFormat="false" ht="18" hidden="false" customHeight="true" outlineLevel="0" collapsed="false">
      <c r="A10" s="99" t="str">
        <f aca="false">IF($B10="","",IFERROR(INDEX(科目表!$A$4:$A$81,MATCH($B10,科目表!$B$4:$B$81,0)),""))</f>
        <v>1131</v>
      </c>
      <c r="B10" s="18" t="s">
        <v>477</v>
      </c>
      <c r="C10" s="67" t="str">
        <f aca="false">IF($B10="","",IFERROR(INDEX(科目表!$C$4:$C$81,MATCH($B10,科目表!$B$4:$B$81,0)),""))</f>
        <v>资产</v>
      </c>
      <c r="D10" s="100"/>
      <c r="E10" s="100"/>
      <c r="F10" s="18"/>
      <c r="H10" s="19" t="str">
        <f aca="false">IF(科目表!$K10="","",科目表!$K10)</f>
        <v>工行-姜诗林</v>
      </c>
      <c r="I10" s="101" t="n">
        <v>0</v>
      </c>
    </row>
    <row r="11" customFormat="false" ht="18" hidden="false" customHeight="true" outlineLevel="0" collapsed="false">
      <c r="A11" s="99" t="str">
        <f aca="false">IF($B11="","",IFERROR(INDEX(科目表!$A$4:$A$81,MATCH($B11,科目表!$B$4:$B$81,0)),""))</f>
        <v>1132</v>
      </c>
      <c r="B11" s="18" t="s">
        <v>484</v>
      </c>
      <c r="C11" s="67" t="str">
        <f aca="false">IF($B11="","",IFERROR(INDEX(科目表!$C$4:$C$81,MATCH($B11,科目表!$B$4:$B$81,0)),""))</f>
        <v>资产</v>
      </c>
      <c r="D11" s="100"/>
      <c r="E11" s="100"/>
      <c r="F11" s="18"/>
      <c r="H11" s="19" t="str">
        <f aca="false">IF(科目表!$K11="","",科目表!$K11)</f>
        <v>建行-张涛</v>
      </c>
      <c r="I11" s="101" t="n">
        <v>0</v>
      </c>
    </row>
    <row r="12" customFormat="false" ht="18" hidden="false" customHeight="true" outlineLevel="0" collapsed="false">
      <c r="A12" s="99" t="str">
        <f aca="false">IF($B12="","",IFERROR(INDEX(科目表!$A$4:$A$81,MATCH($B12,科目表!$B$4:$B$81,0)),""))</f>
        <v>1221</v>
      </c>
      <c r="B12" s="18" t="s">
        <v>370</v>
      </c>
      <c r="C12" s="67" t="str">
        <f aca="false">IF($B12="","",IFERROR(INDEX(科目表!$C$4:$C$81,MATCH($B12,科目表!$B$4:$B$81,0)),""))</f>
        <v>资产</v>
      </c>
      <c r="D12" s="100"/>
      <c r="E12" s="100"/>
      <c r="F12" s="18"/>
      <c r="H12" s="19" t="str">
        <f aca="false">IF(科目表!$K12="","",科目表!$K12)</f>
        <v>慢慢微信</v>
      </c>
      <c r="I12" s="101" t="n">
        <v>0</v>
      </c>
    </row>
    <row r="13" customFormat="false" ht="18" hidden="false" customHeight="true" outlineLevel="0" collapsed="false">
      <c r="A13" s="99" t="str">
        <f aca="false">IF($B13="","",IFERROR(INDEX(科目表!$A$4:$A$81,MATCH($B13,科目表!$B$4:$B$81,0)),""))</f>
        <v>1231</v>
      </c>
      <c r="B13" s="18" t="s">
        <v>493</v>
      </c>
      <c r="C13" s="67" t="str">
        <f aca="false">IF($B13="","",IFERROR(INDEX(科目表!$C$4:$C$81,MATCH($B13,科目表!$B$4:$B$81,0)),""))</f>
        <v>资产</v>
      </c>
      <c r="D13" s="100"/>
      <c r="E13" s="100"/>
      <c r="F13" s="18"/>
      <c r="H13" s="19" t="str">
        <f aca="false">IF(科目表!$K13="","",科目表!$K13)</f>
        <v>果然鲜微信</v>
      </c>
      <c r="I13" s="101" t="n">
        <v>0</v>
      </c>
    </row>
    <row r="14" customFormat="false" ht="18" hidden="false" customHeight="true" outlineLevel="0" collapsed="false">
      <c r="A14" s="99" t="str">
        <f aca="false">IF($B14="","",IFERROR(INDEX(科目表!$A$4:$A$81,MATCH($B14,科目表!$B$4:$B$81,0)),""))</f>
        <v>1401</v>
      </c>
      <c r="B14" s="18" t="s">
        <v>499</v>
      </c>
      <c r="C14" s="67" t="str">
        <f aca="false">IF($B14="","",IFERROR(INDEX(科目表!$C$4:$C$81,MATCH($B14,科目表!$B$4:$B$81,0)),""))</f>
        <v>资产</v>
      </c>
      <c r="D14" s="100"/>
      <c r="E14" s="100"/>
      <c r="F14" s="18"/>
      <c r="H14" s="19" t="str">
        <f aca="false">IF(科目表!$K14="","",科目表!$K14)</f>
        <v/>
      </c>
      <c r="I14" s="101"/>
    </row>
    <row r="15" customFormat="false" ht="18" hidden="false" customHeight="true" outlineLevel="0" collapsed="false">
      <c r="A15" s="99" t="str">
        <f aca="false">IF($B15="","",IFERROR(INDEX(科目表!$A$4:$A$81,MATCH($B15,科目表!$B$4:$B$81,0)),""))</f>
        <v>1403</v>
      </c>
      <c r="B15" s="18" t="s">
        <v>306</v>
      </c>
      <c r="C15" s="67" t="str">
        <f aca="false">IF($B15="","",IFERROR(INDEX(科目表!$C$4:$C$81,MATCH($B15,科目表!$B$4:$B$81,0)),""))</f>
        <v>资产</v>
      </c>
      <c r="D15" s="100"/>
      <c r="E15" s="100" t="n">
        <v>0</v>
      </c>
      <c r="F15" s="18"/>
      <c r="H15" s="19" t="str">
        <f aca="false">IF(科目表!$K15="","",科目表!$K15)</f>
        <v/>
      </c>
      <c r="I15" s="101"/>
    </row>
    <row r="16" customFormat="false" ht="18" hidden="false" customHeight="true" outlineLevel="0" collapsed="false">
      <c r="A16" s="99" t="str">
        <f aca="false">IF($B16="","",IFERROR(INDEX(科目表!$A$4:$A$81,MATCH($B16,科目表!$B$4:$B$81,0)),""))</f>
        <v>1405</v>
      </c>
      <c r="B16" s="18" t="s">
        <v>302</v>
      </c>
      <c r="C16" s="67" t="str">
        <f aca="false">IF($B16="","",IFERROR(INDEX(科目表!$C$4:$C$81,MATCH($B16,科目表!$B$4:$B$81,0)),""))</f>
        <v>资产</v>
      </c>
      <c r="D16" s="100"/>
      <c r="E16" s="100"/>
      <c r="F16" s="18"/>
      <c r="H16" s="19" t="str">
        <f aca="false">IF(科目表!$K16="","",科目表!$K16)</f>
        <v/>
      </c>
      <c r="I16" s="101"/>
    </row>
    <row r="17" customFormat="false" ht="18" hidden="false" customHeight="true" outlineLevel="0" collapsed="false">
      <c r="A17" s="99" t="str">
        <f aca="false">IF($B17="","",IFERROR(INDEX(科目表!$A$4:$A$81,MATCH($B17,科目表!$B$4:$B$81,0)),""))</f>
        <v>1406</v>
      </c>
      <c r="B17" s="18" t="s">
        <v>512</v>
      </c>
      <c r="C17" s="67" t="str">
        <f aca="false">IF($B17="","",IFERROR(INDEX(科目表!$C$4:$C$81,MATCH($B17,科目表!$B$4:$B$81,0)),""))</f>
        <v>资产</v>
      </c>
      <c r="D17" s="100"/>
      <c r="E17" s="100"/>
      <c r="F17" s="18"/>
      <c r="H17" s="19" t="str">
        <f aca="false">IF(科目表!$K17="","",科目表!$K17)</f>
        <v/>
      </c>
      <c r="I17" s="101"/>
    </row>
    <row r="18" customFormat="false" ht="18" hidden="false" customHeight="true" outlineLevel="0" collapsed="false">
      <c r="A18" s="99" t="str">
        <f aca="false">IF($B18="","",IFERROR(INDEX(科目表!$A$4:$A$81,MATCH($B18,科目表!$B$4:$B$81,0)),""))</f>
        <v>1407</v>
      </c>
      <c r="B18" s="18" t="s">
        <v>308</v>
      </c>
      <c r="C18" s="67" t="str">
        <f aca="false">IF($B18="","",IFERROR(INDEX(科目表!$C$4:$C$81,MATCH($B18,科目表!$B$4:$B$81,0)),""))</f>
        <v>资产</v>
      </c>
      <c r="D18" s="100"/>
      <c r="E18" s="100" t="n">
        <v>0</v>
      </c>
      <c r="F18" s="18"/>
      <c r="H18" s="19" t="str">
        <f aca="false">IF(科目表!$K18="","",科目表!$K18)</f>
        <v/>
      </c>
      <c r="I18" s="101"/>
    </row>
    <row r="19" customFormat="false" ht="18" hidden="false" customHeight="true" outlineLevel="0" collapsed="false">
      <c r="A19" s="99" t="str">
        <f aca="false">IF($B19="","",IFERROR(INDEX(科目表!$A$4:$A$81,MATCH($B19,科目表!$B$4:$B$81,0)),""))</f>
        <v>1471</v>
      </c>
      <c r="B19" s="18" t="s">
        <v>519</v>
      </c>
      <c r="C19" s="67" t="str">
        <f aca="false">IF($B19="","",IFERROR(INDEX(科目表!$C$4:$C$81,MATCH($B19,科目表!$B$4:$B$81,0)),""))</f>
        <v>资产</v>
      </c>
      <c r="D19" s="100"/>
      <c r="E19" s="100"/>
      <c r="F19" s="18"/>
      <c r="H19" s="19" t="str">
        <f aca="false">IF(科目表!$K19="","",科目表!$K19)</f>
        <v/>
      </c>
      <c r="I19" s="101"/>
    </row>
    <row r="20" customFormat="false" ht="18" hidden="false" customHeight="true" outlineLevel="0" collapsed="false">
      <c r="A20" s="99" t="str">
        <f aca="false">IF($B20="","",IFERROR(INDEX(科目表!$A$4:$A$81,MATCH($B20,科目表!$B$4:$B$81,0)),""))</f>
        <v>1601</v>
      </c>
      <c r="B20" s="18" t="s">
        <v>523</v>
      </c>
      <c r="C20" s="67" t="str">
        <f aca="false">IF($B20="","",IFERROR(INDEX(科目表!$C$4:$C$81,MATCH($B20,科目表!$B$4:$B$81,0)),""))</f>
        <v>资产</v>
      </c>
      <c r="D20" s="100"/>
      <c r="E20" s="100" t="n">
        <v>0</v>
      </c>
      <c r="F20" s="18"/>
      <c r="H20" s="19" t="str">
        <f aca="false">IF(科目表!$K20="","",科目表!$K20)</f>
        <v/>
      </c>
      <c r="I20" s="101"/>
    </row>
    <row r="21" customFormat="false" ht="18" hidden="false" customHeight="true" outlineLevel="0" collapsed="false">
      <c r="A21" s="99" t="str">
        <f aca="false">IF($B21="","",IFERROR(INDEX(科目表!$A$4:$A$81,MATCH($B21,科目表!$B$4:$B$81,0)),""))</f>
        <v>1602</v>
      </c>
      <c r="B21" s="18" t="s">
        <v>356</v>
      </c>
      <c r="C21" s="67" t="str">
        <f aca="false">IF($B21="","",IFERROR(INDEX(科目表!$C$4:$C$81,MATCH($B21,科目表!$B$4:$B$81,0)),""))</f>
        <v>资产</v>
      </c>
      <c r="D21" s="100" t="n">
        <v>0</v>
      </c>
      <c r="E21" s="100"/>
      <c r="F21" s="18"/>
      <c r="H21" s="19" t="str">
        <f aca="false">IF(科目表!$K21="","",科目表!$K21)</f>
        <v/>
      </c>
      <c r="I21" s="101"/>
    </row>
    <row r="22" customFormat="false" ht="18" hidden="false" customHeight="true" outlineLevel="0" collapsed="false">
      <c r="A22" s="99" t="str">
        <f aca="false">IF($B22="","",IFERROR(INDEX(科目表!$A$4:$A$81,MATCH($B22,科目表!$B$4:$B$81,0)),""))</f>
        <v>1604</v>
      </c>
      <c r="B22" s="18" t="s">
        <v>531</v>
      </c>
      <c r="C22" s="67" t="str">
        <f aca="false">IF($B22="","",IFERROR(INDEX(科目表!$C$4:$C$81,MATCH($B22,科目表!$B$4:$B$81,0)),""))</f>
        <v>资产</v>
      </c>
      <c r="D22" s="100"/>
      <c r="E22" s="100"/>
      <c r="F22" s="18"/>
      <c r="H22" s="19" t="str">
        <f aca="false">IF(科目表!$K22="","",科目表!$K22)</f>
        <v/>
      </c>
      <c r="I22" s="101"/>
    </row>
    <row r="23" customFormat="false" ht="18" hidden="false" customHeight="true" outlineLevel="0" collapsed="false">
      <c r="A23" s="99" t="str">
        <f aca="false">IF($B23="","",IFERROR(INDEX(科目表!$A$4:$A$81,MATCH($B23,科目表!$B$4:$B$81,0)),""))</f>
        <v>1701</v>
      </c>
      <c r="B23" s="18" t="s">
        <v>535</v>
      </c>
      <c r="C23" s="67" t="str">
        <f aca="false">IF($B23="","",IFERROR(INDEX(科目表!$C$4:$C$81,MATCH($B23,科目表!$B$4:$B$81,0)),""))</f>
        <v>资产</v>
      </c>
      <c r="D23" s="100"/>
      <c r="E23" s="100"/>
      <c r="F23" s="18"/>
      <c r="H23" s="19" t="str">
        <f aca="false">IF(科目表!$K23="","",科目表!$K23)</f>
        <v/>
      </c>
      <c r="I23" s="101"/>
    </row>
    <row r="24" customFormat="false" ht="18" hidden="false" customHeight="true" outlineLevel="0" collapsed="false">
      <c r="A24" s="99" t="str">
        <f aca="false">IF($B24="","",IFERROR(INDEX(科目表!$A$4:$A$81,MATCH($B24,科目表!$B$4:$B$81,0)),""))</f>
        <v>1702</v>
      </c>
      <c r="B24" s="18" t="s">
        <v>539</v>
      </c>
      <c r="C24" s="67" t="str">
        <f aca="false">IF($B24="","",IFERROR(INDEX(科目表!$C$4:$C$81,MATCH($B24,科目表!$B$4:$B$81,0)),""))</f>
        <v>资产</v>
      </c>
      <c r="D24" s="100"/>
      <c r="E24" s="100"/>
      <c r="F24" s="18"/>
      <c r="H24" s="19" t="str">
        <f aca="false">IF(科目表!$K24="","",科目表!$K24)</f>
        <v/>
      </c>
      <c r="I24" s="101"/>
    </row>
    <row r="25" customFormat="false" ht="18" hidden="false" customHeight="true" outlineLevel="0" collapsed="false">
      <c r="A25" s="99" t="str">
        <f aca="false">IF($B25="","",IFERROR(INDEX(科目表!$A$4:$A$81,MATCH($B25,科目表!$B$4:$B$81,0)),""))</f>
        <v>1801</v>
      </c>
      <c r="B25" s="18" t="s">
        <v>543</v>
      </c>
      <c r="C25" s="67" t="str">
        <f aca="false">IF($B25="","",IFERROR(INDEX(科目表!$C$4:$C$81,MATCH($B25,科目表!$B$4:$B$81,0)),""))</f>
        <v>资产</v>
      </c>
      <c r="D25" s="100"/>
      <c r="E25" s="100"/>
      <c r="F25" s="18"/>
      <c r="H25" s="19" t="str">
        <f aca="false">IF(科目表!$K25="","",科目表!$K25)</f>
        <v/>
      </c>
      <c r="I25" s="101"/>
    </row>
    <row r="26" customFormat="false" ht="18" hidden="false" customHeight="true" outlineLevel="0" collapsed="false">
      <c r="A26" s="99" t="str">
        <f aca="false">IF($B26="","",IFERROR(INDEX(科目表!$A$4:$A$81,MATCH($B26,科目表!$B$4:$B$81,0)),""))</f>
        <v>2001</v>
      </c>
      <c r="B26" s="18" t="s">
        <v>362</v>
      </c>
      <c r="C26" s="67" t="str">
        <f aca="false">IF($B26="","",IFERROR(INDEX(科目表!$C$4:$C$81,MATCH($B26,科目表!$B$4:$B$81,0)),""))</f>
        <v>负债</v>
      </c>
      <c r="D26" s="100"/>
      <c r="E26" s="100"/>
      <c r="F26" s="18"/>
      <c r="H26" s="19" t="str">
        <f aca="false">IF(科目表!$K26="","",科目表!$K26)</f>
        <v/>
      </c>
      <c r="I26" s="101"/>
    </row>
    <row r="27" customFormat="false" ht="18" hidden="false" customHeight="true" outlineLevel="0" collapsed="false">
      <c r="A27" s="99" t="str">
        <f aca="false">IF($B27="","",IFERROR(INDEX(科目表!$A$4:$A$81,MATCH($B27,科目表!$B$4:$B$81,0)),""))</f>
        <v>2201</v>
      </c>
      <c r="B27" s="18" t="s">
        <v>551</v>
      </c>
      <c r="C27" s="67" t="str">
        <f aca="false">IF($B27="","",IFERROR(INDEX(科目表!$C$4:$C$81,MATCH($B27,科目表!$B$4:$B$81,0)),""))</f>
        <v>负债</v>
      </c>
      <c r="D27" s="100"/>
      <c r="E27" s="100"/>
      <c r="F27" s="18"/>
      <c r="H27" s="19" t="str">
        <f aca="false">IF(科目表!$K27="","",科目表!$K27)</f>
        <v/>
      </c>
      <c r="I27" s="101"/>
    </row>
    <row r="28" customFormat="false" ht="18" hidden="false" customHeight="true" outlineLevel="0" collapsed="false">
      <c r="A28" s="99" t="str">
        <f aca="false">IF($B28="","",IFERROR(INDEX(科目表!$A$4:$A$81,MATCH($B28,科目表!$B$4:$B$81,0)),""))</f>
        <v>2202</v>
      </c>
      <c r="B28" s="18" t="s">
        <v>303</v>
      </c>
      <c r="C28" s="67" t="str">
        <f aca="false">IF($B28="","",IFERROR(INDEX(科目表!$C$4:$C$81,MATCH($B28,科目表!$B$4:$B$81,0)),""))</f>
        <v>负债</v>
      </c>
      <c r="D28" s="100" t="n">
        <v>0</v>
      </c>
      <c r="E28" s="100"/>
      <c r="F28" s="18"/>
      <c r="H28" s="19" t="str">
        <f aca="false">IF(科目表!$K28="","",科目表!$K28)</f>
        <v/>
      </c>
      <c r="I28" s="101"/>
    </row>
    <row r="29" customFormat="false" ht="18" hidden="false" customHeight="true" outlineLevel="0" collapsed="false">
      <c r="A29" s="99" t="str">
        <f aca="false">IF($B29="","",IFERROR(INDEX(科目表!$A$4:$A$81,MATCH($B29,科目表!$B$4:$B$81,0)),""))</f>
        <v>2203</v>
      </c>
      <c r="B29" s="18" t="s">
        <v>559</v>
      </c>
      <c r="C29" s="67" t="str">
        <f aca="false">IF($B29="","",IFERROR(INDEX(科目表!$C$4:$C$81,MATCH($B29,科目表!$B$4:$B$81,0)),""))</f>
        <v>负债</v>
      </c>
      <c r="D29" s="100"/>
      <c r="E29" s="100"/>
      <c r="F29" s="18"/>
      <c r="H29" s="19" t="str">
        <f aca="false">IF(科目表!$K29="","",科目表!$K29)</f>
        <v/>
      </c>
      <c r="I29" s="101"/>
    </row>
    <row r="30" customFormat="false" ht="18" hidden="false" customHeight="true" outlineLevel="0" collapsed="false">
      <c r="A30" s="99" t="str">
        <f aca="false">IF($B30="","",IFERROR(INDEX(科目表!$A$4:$A$81,MATCH($B30,科目表!$B$4:$B$81,0)),""))</f>
        <v>2211</v>
      </c>
      <c r="B30" s="18" t="s">
        <v>564</v>
      </c>
      <c r="C30" s="67" t="str">
        <f aca="false">IF($B30="","",IFERROR(INDEX(科目表!$C$4:$C$81,MATCH($B30,科目表!$B$4:$B$81,0)),""))</f>
        <v>负债</v>
      </c>
      <c r="D30" s="100"/>
      <c r="E30" s="100"/>
      <c r="F30" s="18"/>
      <c r="H30" s="19" t="str">
        <f aca="false">IF(科目表!$K30="","",科目表!$K30)</f>
        <v/>
      </c>
      <c r="I30" s="101"/>
    </row>
    <row r="31" customFormat="false" ht="18" hidden="false" customHeight="true" outlineLevel="0" collapsed="false">
      <c r="A31" s="99" t="str">
        <f aca="false">IF($B31="","",IFERROR(INDEX(科目表!$A$4:$A$81,MATCH($B31,科目表!$B$4:$B$81,0)),""))</f>
        <v>222101</v>
      </c>
      <c r="B31" s="18" t="s">
        <v>568</v>
      </c>
      <c r="C31" s="67" t="str">
        <f aca="false">IF($B31="","",IFERROR(INDEX(科目表!$C$4:$C$81,MATCH($B31,科目表!$B$4:$B$81,0)),""))</f>
        <v>负债</v>
      </c>
      <c r="D31" s="100"/>
      <c r="E31" s="100"/>
      <c r="F31" s="18"/>
      <c r="H31" s="19" t="str">
        <f aca="false">IF(科目表!$K31="","",科目表!$K31)</f>
        <v/>
      </c>
      <c r="I31" s="101"/>
    </row>
    <row r="32" customFormat="false" ht="18" hidden="false" customHeight="true" outlineLevel="0" collapsed="false">
      <c r="A32" s="99" t="str">
        <f aca="false">IF($B32="","",IFERROR(INDEX(科目表!$A$4:$A$81,MATCH($B32,科目表!$B$4:$B$81,0)),""))</f>
        <v>222102</v>
      </c>
      <c r="B32" s="18" t="s">
        <v>573</v>
      </c>
      <c r="C32" s="67" t="str">
        <f aca="false">IF($B32="","",IFERROR(INDEX(科目表!$C$4:$C$81,MATCH($B32,科目表!$B$4:$B$81,0)),""))</f>
        <v>负债</v>
      </c>
      <c r="D32" s="100"/>
      <c r="E32" s="100"/>
      <c r="F32" s="18"/>
      <c r="H32" s="19" t="str">
        <f aca="false">IF(科目表!$K32="","",科目表!$K32)</f>
        <v/>
      </c>
      <c r="I32" s="101"/>
    </row>
    <row r="33" customFormat="false" ht="18" hidden="false" customHeight="true" outlineLevel="0" collapsed="false">
      <c r="A33" s="99" t="str">
        <f aca="false">IF($B33="","",IFERROR(INDEX(科目表!$A$4:$A$81,MATCH($B33,科目表!$B$4:$B$81,0)),""))</f>
        <v>222103</v>
      </c>
      <c r="B33" s="18" t="s">
        <v>359</v>
      </c>
      <c r="C33" s="67" t="str">
        <f aca="false">IF($B33="","",IFERROR(INDEX(科目表!$C$4:$C$81,MATCH($B33,科目表!$B$4:$B$81,0)),""))</f>
        <v>负债</v>
      </c>
      <c r="D33" s="100"/>
      <c r="E33" s="100"/>
      <c r="F33" s="18"/>
      <c r="H33" s="19" t="str">
        <f aca="false">IF(科目表!$K33="","",科目表!$K33)</f>
        <v/>
      </c>
      <c r="I33" s="101"/>
    </row>
    <row r="34" customFormat="false" ht="18" hidden="false" customHeight="true" outlineLevel="0" collapsed="false">
      <c r="A34" s="99" t="str">
        <f aca="false">IF($B34="","",IFERROR(INDEX(科目表!$A$4:$A$81,MATCH($B34,科目表!$B$4:$B$81,0)),""))</f>
        <v>222104</v>
      </c>
      <c r="B34" s="18" t="s">
        <v>580</v>
      </c>
      <c r="C34" s="67" t="str">
        <f aca="false">IF($B34="","",IFERROR(INDEX(科目表!$C$4:$C$81,MATCH($B34,科目表!$B$4:$B$81,0)),""))</f>
        <v>负债</v>
      </c>
      <c r="D34" s="100"/>
      <c r="E34" s="100"/>
      <c r="F34" s="18"/>
      <c r="H34" s="19" t="str">
        <f aca="false">IF(科目表!$K34="","",科目表!$K34)</f>
        <v/>
      </c>
      <c r="I34" s="101"/>
    </row>
    <row r="35" customFormat="false" ht="18" hidden="false" customHeight="true" outlineLevel="0" collapsed="false">
      <c r="A35" s="99" t="str">
        <f aca="false">IF($B35="","",IFERROR(INDEX(科目表!$A$4:$A$81,MATCH($B35,科目表!$B$4:$B$81,0)),""))</f>
        <v>222105</v>
      </c>
      <c r="B35" s="18" t="s">
        <v>583</v>
      </c>
      <c r="C35" s="67" t="str">
        <f aca="false">IF($B35="","",IFERROR(INDEX(科目表!$C$4:$C$81,MATCH($B35,科目表!$B$4:$B$81,0)),""))</f>
        <v>负债</v>
      </c>
      <c r="D35" s="100"/>
      <c r="E35" s="100"/>
      <c r="F35" s="18"/>
      <c r="H35" s="19" t="str">
        <f aca="false">IF(科目表!$K35="","",科目表!$K35)</f>
        <v/>
      </c>
      <c r="I35" s="101"/>
    </row>
    <row r="36" customFormat="false" ht="18" hidden="false" customHeight="true" outlineLevel="0" collapsed="false">
      <c r="A36" s="99" t="str">
        <f aca="false">IF($B36="","",IFERROR(INDEX(科目表!$A$4:$A$81,MATCH($B36,科目表!$B$4:$B$81,0)),""))</f>
        <v>222106</v>
      </c>
      <c r="B36" s="18" t="s">
        <v>587</v>
      </c>
      <c r="C36" s="67" t="str">
        <f aca="false">IF($B36="","",IFERROR(INDEX(科目表!$C$4:$C$81,MATCH($B36,科目表!$B$4:$B$81,0)),""))</f>
        <v>负债</v>
      </c>
      <c r="D36" s="100"/>
      <c r="E36" s="100"/>
      <c r="F36" s="18"/>
      <c r="H36" s="19" t="str">
        <f aca="false">IF(科目表!$K36="","",科目表!$K36)</f>
        <v/>
      </c>
      <c r="I36" s="101"/>
    </row>
    <row r="37" customFormat="false" ht="18" hidden="false" customHeight="true" outlineLevel="0" collapsed="false">
      <c r="A37" s="99" t="str">
        <f aca="false">IF($B37="","",IFERROR(INDEX(科目表!$A$4:$A$81,MATCH($B37,科目表!$B$4:$B$81,0)),""))</f>
        <v>222107</v>
      </c>
      <c r="B37" s="18" t="s">
        <v>591</v>
      </c>
      <c r="C37" s="67" t="str">
        <f aca="false">IF($B37="","",IFERROR(INDEX(科目表!$C$4:$C$81,MATCH($B37,科目表!$B$4:$B$81,0)),""))</f>
        <v>负债</v>
      </c>
      <c r="D37" s="100"/>
      <c r="E37" s="100"/>
      <c r="F37" s="18"/>
      <c r="H37" s="19" t="str">
        <f aca="false">IF(科目表!$K37="","",科目表!$K37)</f>
        <v/>
      </c>
      <c r="I37" s="101"/>
    </row>
    <row r="38" customFormat="false" ht="18" hidden="false" customHeight="true" outlineLevel="0" collapsed="false">
      <c r="A38" s="99" t="str">
        <f aca="false">IF($B38="","",IFERROR(INDEX(科目表!$A$4:$A$81,MATCH($B38,科目表!$B$4:$B$81,0)),""))</f>
        <v>222108</v>
      </c>
      <c r="B38" s="18" t="s">
        <v>595</v>
      </c>
      <c r="C38" s="67" t="str">
        <f aca="false">IF($B38="","",IFERROR(INDEX(科目表!$C$4:$C$81,MATCH($B38,科目表!$B$4:$B$81,0)),""))</f>
        <v>负债</v>
      </c>
      <c r="D38" s="100"/>
      <c r="E38" s="100"/>
      <c r="F38" s="18"/>
      <c r="H38" s="19" t="str">
        <f aca="false">IF(科目表!$K38="","",科目表!$K38)</f>
        <v/>
      </c>
      <c r="I38" s="101"/>
    </row>
    <row r="39" customFormat="false" ht="18" hidden="false" customHeight="true" outlineLevel="0" collapsed="false">
      <c r="A39" s="99" t="str">
        <f aca="false">IF($B39="","",IFERROR(INDEX(科目表!$A$4:$A$81,MATCH($B39,科目表!$B$4:$B$81,0)),""))</f>
        <v>222109</v>
      </c>
      <c r="B39" s="18" t="s">
        <v>599</v>
      </c>
      <c r="C39" s="67" t="str">
        <f aca="false">IF($B39="","",IFERROR(INDEX(科目表!$C$4:$C$81,MATCH($B39,科目表!$B$4:$B$81,0)),""))</f>
        <v>负债</v>
      </c>
      <c r="D39" s="100"/>
      <c r="E39" s="100"/>
      <c r="F39" s="18"/>
      <c r="H39" s="19" t="str">
        <f aca="false">IF(科目表!$K39="","",科目表!$K39)</f>
        <v/>
      </c>
      <c r="I39" s="101"/>
    </row>
    <row r="40" customFormat="false" ht="18" hidden="false" customHeight="true" outlineLevel="0" collapsed="false">
      <c r="A40" s="99" t="str">
        <f aca="false">IF($B40="","",IFERROR(INDEX(科目表!$A$4:$A$81,MATCH($B40,科目表!$B$4:$B$81,0)),""))</f>
        <v>222110</v>
      </c>
      <c r="B40" s="18" t="s">
        <v>602</v>
      </c>
      <c r="C40" s="67" t="str">
        <f aca="false">IF($B40="","",IFERROR(INDEX(科目表!$C$4:$C$81,MATCH($B40,科目表!$B$4:$B$81,0)),""))</f>
        <v>负债</v>
      </c>
      <c r="D40" s="100"/>
      <c r="E40" s="100"/>
      <c r="F40" s="18"/>
      <c r="H40" s="19" t="str">
        <f aca="false">IF(科目表!$K40="","",科目表!$K40)</f>
        <v/>
      </c>
      <c r="I40" s="101"/>
    </row>
    <row r="41" customFormat="false" ht="18" hidden="false" customHeight="true" outlineLevel="0" collapsed="false">
      <c r="A41" s="99" t="str">
        <f aca="false">IF($B41="","",IFERROR(INDEX(科目表!$A$4:$A$81,MATCH($B41,科目表!$B$4:$B$81,0)),""))</f>
        <v>2231</v>
      </c>
      <c r="B41" s="18" t="s">
        <v>605</v>
      </c>
      <c r="C41" s="67" t="str">
        <f aca="false">IF($B41="","",IFERROR(INDEX(科目表!$C$4:$C$81,MATCH($B41,科目表!$B$4:$B$81,0)),""))</f>
        <v>负债</v>
      </c>
      <c r="D41" s="100"/>
      <c r="E41" s="100"/>
      <c r="F41" s="18"/>
      <c r="H41" s="19" t="str">
        <f aca="false">IF(科目表!$K41="","",科目表!$K41)</f>
        <v/>
      </c>
      <c r="I41" s="101"/>
    </row>
    <row r="42" customFormat="false" ht="18" hidden="false" customHeight="true" outlineLevel="0" collapsed="false">
      <c r="A42" s="99" t="str">
        <f aca="false">IF($B42="","",IFERROR(INDEX(科目表!$A$4:$A$81,MATCH($B42,科目表!$B$4:$B$81,0)),""))</f>
        <v>2232</v>
      </c>
      <c r="B42" s="18" t="s">
        <v>608</v>
      </c>
      <c r="C42" s="67" t="str">
        <f aca="false">IF($B42="","",IFERROR(INDEX(科目表!$C$4:$C$81,MATCH($B42,科目表!$B$4:$B$81,0)),""))</f>
        <v>负债</v>
      </c>
      <c r="D42" s="100"/>
      <c r="E42" s="100"/>
      <c r="F42" s="18"/>
      <c r="H42" s="19" t="str">
        <f aca="false">IF(科目表!$K42="","",科目表!$K42)</f>
        <v/>
      </c>
      <c r="I42" s="101"/>
    </row>
    <row r="43" customFormat="false" ht="18" hidden="false" customHeight="true" outlineLevel="0" collapsed="false">
      <c r="A43" s="99" t="str">
        <f aca="false">IF($B43="","",IFERROR(INDEX(科目表!$A$4:$A$81,MATCH($B43,科目表!$B$4:$B$81,0)),""))</f>
        <v>2241</v>
      </c>
      <c r="B43" s="18" t="s">
        <v>371</v>
      </c>
      <c r="C43" s="67" t="str">
        <f aca="false">IF($B43="","",IFERROR(INDEX(科目表!$C$4:$C$81,MATCH($B43,科目表!$B$4:$B$81,0)),""))</f>
        <v>负债</v>
      </c>
      <c r="D43" s="100"/>
      <c r="E43" s="100"/>
      <c r="F43" s="18"/>
      <c r="H43" s="19" t="str">
        <f aca="false">IF(科目表!$K43="","",科目表!$K43)</f>
        <v/>
      </c>
      <c r="I43" s="101"/>
    </row>
    <row r="44" customFormat="false" ht="18" hidden="false" customHeight="true" outlineLevel="0" collapsed="false">
      <c r="A44" s="99" t="str">
        <f aca="false">IF($B44="","",IFERROR(INDEX(科目表!$A$4:$A$81,MATCH($B44,科目表!$B$4:$B$81,0)),""))</f>
        <v>2401</v>
      </c>
      <c r="B44" s="18" t="s">
        <v>613</v>
      </c>
      <c r="C44" s="67" t="str">
        <f aca="false">IF($B44="","",IFERROR(INDEX(科目表!$C$4:$C$81,MATCH($B44,科目表!$B$4:$B$81,0)),""))</f>
        <v>负债</v>
      </c>
      <c r="D44" s="100"/>
      <c r="E44" s="100"/>
      <c r="F44" s="18"/>
    </row>
    <row r="45" customFormat="false" ht="18" hidden="false" customHeight="true" outlineLevel="0" collapsed="false">
      <c r="A45" s="99" t="str">
        <f aca="false">IF($B45="","",IFERROR(INDEX(科目表!$A$4:$A$81,MATCH($B45,科目表!$B$4:$B$81,0)),""))</f>
        <v>2501</v>
      </c>
      <c r="B45" s="18" t="s">
        <v>616</v>
      </c>
      <c r="C45" s="67" t="str">
        <f aca="false">IF($B45="","",IFERROR(INDEX(科目表!$C$4:$C$81,MATCH($B45,科目表!$B$4:$B$81,0)),""))</f>
        <v>负债</v>
      </c>
      <c r="D45" s="100"/>
      <c r="E45" s="100"/>
      <c r="F45" s="18"/>
    </row>
    <row r="46" customFormat="false" ht="18" hidden="false" customHeight="true" outlineLevel="0" collapsed="false">
      <c r="A46" s="99" t="str">
        <f aca="false">IF($B46="","",IFERROR(INDEX(科目表!$A$4:$A$81,MATCH($B46,科目表!$B$4:$B$81,0)),""))</f>
        <v>2701</v>
      </c>
      <c r="B46" s="18" t="s">
        <v>618</v>
      </c>
      <c r="C46" s="67" t="str">
        <f aca="false">IF($B46="","",IFERROR(INDEX(科目表!$C$4:$C$81,MATCH($B46,科目表!$B$4:$B$81,0)),""))</f>
        <v>负债</v>
      </c>
      <c r="D46" s="100"/>
      <c r="E46" s="100"/>
      <c r="F46" s="18"/>
    </row>
    <row r="47" customFormat="false" ht="18" hidden="false" customHeight="true" outlineLevel="0" collapsed="false">
      <c r="A47" s="99" t="str">
        <f aca="false">IF($B47="","",IFERROR(INDEX(科目表!$A$4:$A$81,MATCH($B47,科目表!$B$4:$B$81,0)),""))</f>
        <v>3001</v>
      </c>
      <c r="B47" s="18" t="s">
        <v>367</v>
      </c>
      <c r="C47" s="67" t="str">
        <f aca="false">IF($B47="","",IFERROR(INDEX(科目表!$C$4:$C$81,MATCH($B47,科目表!$B$4:$B$81,0)),""))</f>
        <v>权益</v>
      </c>
      <c r="D47" s="100" t="n">
        <v>0</v>
      </c>
      <c r="E47" s="100"/>
      <c r="F47" s="18"/>
    </row>
    <row r="48" customFormat="false" ht="18" hidden="false" customHeight="true" outlineLevel="0" collapsed="false">
      <c r="A48" s="99" t="str">
        <f aca="false">IF($B48="","",IFERROR(INDEX(科目表!$A$4:$A$81,MATCH($B48,科目表!$B$4:$B$81,0)),""))</f>
        <v>3002</v>
      </c>
      <c r="B48" s="18" t="s">
        <v>623</v>
      </c>
      <c r="C48" s="67" t="str">
        <f aca="false">IF($B48="","",IFERROR(INDEX(科目表!$C$4:$C$81,MATCH($B48,科目表!$B$4:$B$81,0)),""))</f>
        <v>权益</v>
      </c>
      <c r="D48" s="100"/>
      <c r="E48" s="100"/>
      <c r="F48" s="18"/>
    </row>
    <row r="49" customFormat="false" ht="18" hidden="false" customHeight="true" outlineLevel="0" collapsed="false">
      <c r="A49" s="99" t="str">
        <f aca="false">IF($B49="","",IFERROR(INDEX(科目表!$A$4:$A$81,MATCH($B49,科目表!$B$4:$B$81,0)),""))</f>
        <v>3101</v>
      </c>
      <c r="B49" s="18" t="s">
        <v>626</v>
      </c>
      <c r="C49" s="67" t="str">
        <f aca="false">IF($B49="","",IFERROR(INDEX(科目表!$C$4:$C$81,MATCH($B49,科目表!$B$4:$B$81,0)),""))</f>
        <v>权益</v>
      </c>
      <c r="D49" s="100"/>
      <c r="E49" s="100"/>
      <c r="F49" s="18"/>
    </row>
    <row r="50" customFormat="false" ht="18" hidden="false" customHeight="true" outlineLevel="0" collapsed="false">
      <c r="A50" s="99" t="str">
        <f aca="false">IF($B50="","",IFERROR(INDEX(科目表!$A$4:$A$81,MATCH($B50,科目表!$B$4:$B$81,0)),""))</f>
        <v>3103</v>
      </c>
      <c r="B50" s="18" t="s">
        <v>629</v>
      </c>
      <c r="C50" s="67" t="str">
        <f aca="false">IF($B50="","",IFERROR(INDEX(科目表!$C$4:$C$81,MATCH($B50,科目表!$B$4:$B$81,0)),""))</f>
        <v>权益</v>
      </c>
      <c r="D50" s="100"/>
      <c r="E50" s="100"/>
      <c r="F50" s="18"/>
    </row>
    <row r="51" customFormat="false" ht="18" hidden="false" customHeight="true" outlineLevel="0" collapsed="false">
      <c r="A51" s="99" t="str">
        <f aca="false">IF($B51="","",IFERROR(INDEX(科目表!$A$4:$A$81,MATCH($B51,科目表!$B$4:$B$81,0)),""))</f>
        <v>3104</v>
      </c>
      <c r="B51" s="18" t="s">
        <v>633</v>
      </c>
      <c r="C51" s="67" t="str">
        <f aca="false">IF($B51="","",IFERROR(INDEX(科目表!$C$4:$C$81,MATCH($B51,科目表!$B$4:$B$81,0)),""))</f>
        <v>权益</v>
      </c>
      <c r="D51" s="100" t="n">
        <v>0</v>
      </c>
      <c r="E51" s="100"/>
      <c r="F51" s="18"/>
    </row>
    <row r="52" customFormat="false" ht="18" hidden="false" customHeight="true" outlineLevel="0" collapsed="false">
      <c r="A52" s="99" t="str">
        <f aca="false">IF($B52="","",IFERROR(INDEX(科目表!$A$4:$A$81,MATCH($B52,科目表!$B$4:$B$81,0)),""))</f>
        <v>5001</v>
      </c>
      <c r="B52" s="18" t="s">
        <v>635</v>
      </c>
      <c r="C52" s="67" t="str">
        <f aca="false">IF($B52="","",IFERROR(INDEX(科目表!$C$4:$C$81,MATCH($B52,科目表!$B$4:$B$81,0)),""))</f>
        <v>损益</v>
      </c>
      <c r="D52" s="100"/>
      <c r="E52" s="100"/>
      <c r="F52" s="18"/>
    </row>
    <row r="53" customFormat="false" ht="18" hidden="false" customHeight="true" outlineLevel="0" collapsed="false">
      <c r="A53" s="99" t="str">
        <f aca="false">IF($B53="","",IFERROR(INDEX(科目表!$A$4:$A$81,MATCH($B53,科目表!$B$4:$B$81,0)),""))</f>
        <v>5002</v>
      </c>
      <c r="B53" s="18" t="s">
        <v>268</v>
      </c>
      <c r="C53" s="67" t="str">
        <f aca="false">IF($B53="","",IFERROR(INDEX(科目表!$C$4:$C$81,MATCH($B53,科目表!$B$4:$B$81,0)),""))</f>
        <v>损益</v>
      </c>
      <c r="D53" s="100"/>
      <c r="E53" s="100"/>
      <c r="F53" s="18"/>
    </row>
    <row r="54" customFormat="false" ht="18" hidden="false" customHeight="true" outlineLevel="0" collapsed="false">
      <c r="A54" s="99" t="str">
        <f aca="false">IF($B54="","",IFERROR(INDEX(科目表!$A$4:$A$81,MATCH($B54,科目表!$B$4:$B$81,0)),""))</f>
        <v>5003</v>
      </c>
      <c r="B54" s="18" t="s">
        <v>274</v>
      </c>
      <c r="C54" s="67" t="str">
        <f aca="false">IF($B54="","",IFERROR(INDEX(科目表!$C$4:$C$81,MATCH($B54,科目表!$B$4:$B$81,0)),""))</f>
        <v>损益</v>
      </c>
      <c r="D54" s="100"/>
      <c r="E54" s="100"/>
      <c r="F54" s="18"/>
    </row>
    <row r="55" customFormat="false" ht="18" hidden="false" customHeight="true" outlineLevel="0" collapsed="false">
      <c r="A55" s="99" t="str">
        <f aca="false">IF($B55="","",IFERROR(INDEX(科目表!$A$4:$A$81,MATCH($B55,科目表!$B$4:$B$81,0)),""))</f>
        <v>5004</v>
      </c>
      <c r="B55" s="18" t="s">
        <v>277</v>
      </c>
      <c r="C55" s="67" t="str">
        <f aca="false">IF($B55="","",IFERROR(INDEX(科目表!$C$4:$C$81,MATCH($B55,科目表!$B$4:$B$81,0)),""))</f>
        <v>损益</v>
      </c>
      <c r="D55" s="100"/>
      <c r="E55" s="100"/>
      <c r="F55" s="18"/>
    </row>
    <row r="56" customFormat="false" ht="18" hidden="false" customHeight="true" outlineLevel="0" collapsed="false">
      <c r="A56" s="99" t="str">
        <f aca="false">IF($B56="","",IFERROR(INDEX(科目表!$A$4:$A$81,MATCH($B56,科目表!$B$4:$B$81,0)),""))</f>
        <v>5051</v>
      </c>
      <c r="B56" s="18" t="s">
        <v>646</v>
      </c>
      <c r="C56" s="67" t="str">
        <f aca="false">IF($B56="","",IFERROR(INDEX(科目表!$C$4:$C$81,MATCH($B56,科目表!$B$4:$B$81,0)),""))</f>
        <v>损益</v>
      </c>
      <c r="D56" s="100"/>
      <c r="E56" s="100"/>
      <c r="F56" s="18"/>
    </row>
    <row r="57" customFormat="false" ht="18" hidden="false" customHeight="true" outlineLevel="0" collapsed="false">
      <c r="A57" s="99" t="str">
        <f aca="false">IF($B57="","",IFERROR(INDEX(科目表!$A$4:$A$81,MATCH($B57,科目表!$B$4:$B$81,0)),""))</f>
        <v>5052</v>
      </c>
      <c r="B57" s="18" t="s">
        <v>289</v>
      </c>
      <c r="C57" s="67" t="str">
        <f aca="false">IF($B57="","",IFERROR(INDEX(科目表!$C$4:$C$81,MATCH($B57,科目表!$B$4:$B$81,0)),""))</f>
        <v>损益</v>
      </c>
      <c r="D57" s="100"/>
      <c r="E57" s="100"/>
      <c r="F57" s="18"/>
    </row>
    <row r="58" customFormat="false" ht="18" hidden="false" customHeight="true" outlineLevel="0" collapsed="false">
      <c r="A58" s="99" t="str">
        <f aca="false">IF($B58="","",IFERROR(INDEX(科目表!$A$4:$A$81,MATCH($B58,科目表!$B$4:$B$81,0)),""))</f>
        <v>5053</v>
      </c>
      <c r="B58" s="18" t="s">
        <v>649</v>
      </c>
      <c r="C58" s="67" t="str">
        <f aca="false">IF($B58="","",IFERROR(INDEX(科目表!$C$4:$C$81,MATCH($B58,科目表!$B$4:$B$81,0)),""))</f>
        <v>损益</v>
      </c>
      <c r="D58" s="100"/>
      <c r="E58" s="100"/>
      <c r="F58" s="18"/>
    </row>
    <row r="59" customFormat="false" ht="18" hidden="false" customHeight="true" outlineLevel="0" collapsed="false">
      <c r="A59" s="99" t="str">
        <f aca="false">IF($B59="","",IFERROR(INDEX(科目表!$A$4:$A$81,MATCH($B59,科目表!$B$4:$B$81,0)),""))</f>
        <v>5111</v>
      </c>
      <c r="B59" s="18" t="s">
        <v>652</v>
      </c>
      <c r="C59" s="67" t="str">
        <f aca="false">IF($B59="","",IFERROR(INDEX(科目表!$C$4:$C$81,MATCH($B59,科目表!$B$4:$B$81,0)),""))</f>
        <v>损益</v>
      </c>
      <c r="D59" s="100"/>
      <c r="E59" s="100"/>
      <c r="F59" s="18"/>
    </row>
    <row r="60" customFormat="false" ht="18" hidden="false" customHeight="true" outlineLevel="0" collapsed="false">
      <c r="A60" s="99" t="str">
        <f aca="false">IF($B60="","",IFERROR(INDEX(科目表!$A$4:$A$81,MATCH($B60,科目表!$B$4:$B$81,0)),""))</f>
        <v>5301</v>
      </c>
      <c r="B60" s="18" t="s">
        <v>655</v>
      </c>
      <c r="C60" s="67" t="str">
        <f aca="false">IF($B60="","",IFERROR(INDEX(科目表!$C$4:$C$81,MATCH($B60,科目表!$B$4:$B$81,0)),""))</f>
        <v>损益</v>
      </c>
      <c r="D60" s="100"/>
      <c r="E60" s="100"/>
      <c r="F60" s="18"/>
    </row>
    <row r="61" customFormat="false" ht="18" hidden="false" customHeight="true" outlineLevel="0" collapsed="false">
      <c r="A61" s="99" t="str">
        <f aca="false">IF($B61="","",IFERROR(INDEX(科目表!$A$4:$A$81,MATCH($B61,科目表!$B$4:$B$81,0)),""))</f>
        <v>5401</v>
      </c>
      <c r="B61" s="18" t="s">
        <v>312</v>
      </c>
      <c r="C61" s="67" t="str">
        <f aca="false">IF($B61="","",IFERROR(INDEX(科目表!$C$4:$C$81,MATCH($B61,科目表!$B$4:$B$81,0)),""))</f>
        <v>损益</v>
      </c>
      <c r="D61" s="100"/>
      <c r="E61" s="100"/>
      <c r="F61" s="18"/>
    </row>
    <row r="62" customFormat="false" ht="18" hidden="false" customHeight="true" outlineLevel="0" collapsed="false">
      <c r="A62" s="99" t="str">
        <f aca="false">IF($B62="","",IFERROR(INDEX(科目表!$A$4:$A$81,MATCH($B62,科目表!$B$4:$B$81,0)),""))</f>
        <v>5402</v>
      </c>
      <c r="B62" s="18" t="s">
        <v>661</v>
      </c>
      <c r="C62" s="67" t="str">
        <f aca="false">IF($B62="","",IFERROR(INDEX(科目表!$C$4:$C$81,MATCH($B62,科目表!$B$4:$B$81,0)),""))</f>
        <v>损益</v>
      </c>
      <c r="D62" s="100"/>
      <c r="E62" s="100"/>
      <c r="F62" s="18"/>
    </row>
    <row r="63" customFormat="false" ht="18" hidden="false" customHeight="true" outlineLevel="0" collapsed="false">
      <c r="A63" s="99" t="str">
        <f aca="false">IF($B63="","",IFERROR(INDEX(科目表!$A$4:$A$81,MATCH($B63,科目表!$B$4:$B$81,0)),""))</f>
        <v>5403</v>
      </c>
      <c r="B63" s="18" t="s">
        <v>627</v>
      </c>
      <c r="C63" s="67" t="str">
        <f aca="false">IF($B63="","",IFERROR(INDEX(科目表!$C$4:$C$81,MATCH($B63,科目表!$B$4:$B$81,0)),""))</f>
        <v>损益</v>
      </c>
      <c r="D63" s="100"/>
      <c r="E63" s="100"/>
      <c r="F63" s="18"/>
    </row>
    <row r="64" customFormat="false" ht="18" hidden="false" customHeight="true" outlineLevel="0" collapsed="false">
      <c r="A64" s="99" t="str">
        <f aca="false">IF($B64="","",IFERROR(INDEX(科目表!$A$4:$A$81,MATCH($B64,科目表!$B$4:$B$81,0)),""))</f>
        <v>5601</v>
      </c>
      <c r="B64" s="18" t="s">
        <v>554</v>
      </c>
      <c r="C64" s="67" t="str">
        <f aca="false">IF($B64="","",IFERROR(INDEX(科目表!$C$4:$C$81,MATCH($B64,科目表!$B$4:$B$81,0)),""))</f>
        <v>损益</v>
      </c>
      <c r="D64" s="100"/>
      <c r="E64" s="100"/>
      <c r="F64" s="18"/>
    </row>
    <row r="65" customFormat="false" ht="18" hidden="false" customHeight="true" outlineLevel="0" collapsed="false">
      <c r="A65" s="99" t="str">
        <f aca="false">IF($B65="","",IFERROR(INDEX(科目表!$A$4:$A$81,MATCH($B65,科目表!$B$4:$B$81,0)),""))</f>
        <v>5602</v>
      </c>
      <c r="B65" s="18" t="s">
        <v>391</v>
      </c>
      <c r="C65" s="67" t="str">
        <f aca="false">IF($B65="","",IFERROR(INDEX(科目表!$C$4:$C$81,MATCH($B65,科目表!$B$4:$B$81,0)),""))</f>
        <v>损益</v>
      </c>
      <c r="D65" s="100"/>
      <c r="E65" s="100"/>
      <c r="F65" s="18"/>
    </row>
    <row r="66" customFormat="false" ht="18" hidden="false" customHeight="true" outlineLevel="0" collapsed="false">
      <c r="A66" s="99" t="str">
        <f aca="false">IF($B66="","",IFERROR(INDEX(科目表!$A$4:$A$81,MATCH($B66,科目表!$B$4:$B$81,0)),""))</f>
        <v>5603</v>
      </c>
      <c r="B66" s="18" t="s">
        <v>413</v>
      </c>
      <c r="C66" s="67" t="str">
        <f aca="false">IF($B66="","",IFERROR(INDEX(科目表!$C$4:$C$81,MATCH($B66,科目表!$B$4:$B$81,0)),""))</f>
        <v>损益</v>
      </c>
      <c r="D66" s="100"/>
      <c r="E66" s="100"/>
      <c r="F66" s="18"/>
    </row>
    <row r="67" customFormat="false" ht="18" hidden="false" customHeight="true" outlineLevel="0" collapsed="false">
      <c r="A67" s="99" t="str">
        <f aca="false">IF($B67="","",IFERROR(INDEX(科目表!$A$4:$A$81,MATCH($B67,科目表!$B$4:$B$81,0)),""))</f>
        <v>5711</v>
      </c>
      <c r="B67" s="18" t="s">
        <v>671</v>
      </c>
      <c r="C67" s="67" t="str">
        <f aca="false">IF($B67="","",IFERROR(INDEX(科目表!$C$4:$C$81,MATCH($B67,科目表!$B$4:$B$81,0)),""))</f>
        <v>损益</v>
      </c>
      <c r="D67" s="100"/>
      <c r="E67" s="100"/>
      <c r="F67" s="18"/>
    </row>
    <row r="68" customFormat="false" ht="18" hidden="false" customHeight="true" outlineLevel="0" collapsed="false">
      <c r="A68" s="99" t="str">
        <f aca="false">IF($B68="","",IFERROR(INDEX(科目表!$A$4:$A$81,MATCH($B68,科目表!$B$4:$B$81,0)),""))</f>
        <v>5801</v>
      </c>
      <c r="B68" s="18" t="s">
        <v>674</v>
      </c>
      <c r="C68" s="67" t="str">
        <f aca="false">IF($B68="","",IFERROR(INDEX(科目表!$C$4:$C$81,MATCH($B68,科目表!$B$4:$B$81,0)),""))</f>
        <v>损益</v>
      </c>
      <c r="D68" s="100"/>
      <c r="E68" s="100"/>
      <c r="F68" s="18"/>
    </row>
    <row r="69" customFormat="false" ht="18" hidden="false" customHeight="true" outlineLevel="0" collapsed="false">
      <c r="A69" s="99" t="str">
        <f aca="false">IF($B69="","",IFERROR(INDEX(科目表!$A$4:$A$81,MATCH($B69,科目表!$B$4:$B$81,0)),""))</f>
        <v/>
      </c>
      <c r="B69" s="18"/>
      <c r="C69" s="67" t="str">
        <f aca="false">IF($B69="","",IFERROR(INDEX(科目表!$C$4:$C$81,MATCH($B69,科目表!$B$4:$B$81,0)),""))</f>
        <v/>
      </c>
      <c r="D69" s="100"/>
      <c r="E69" s="100"/>
      <c r="F69" s="18"/>
    </row>
    <row r="70" customFormat="false" ht="18" hidden="false" customHeight="true" outlineLevel="0" collapsed="false">
      <c r="A70" s="99" t="str">
        <f aca="false">IF($B70="","",IFERROR(INDEX(科目表!$A$4:$A$81,MATCH($B70,科目表!$B$4:$B$81,0)),""))</f>
        <v/>
      </c>
      <c r="B70" s="18"/>
      <c r="C70" s="67" t="str">
        <f aca="false">IF($B70="","",IFERROR(INDEX(科目表!$C$4:$C$81,MATCH($B70,科目表!$B$4:$B$81,0)),""))</f>
        <v/>
      </c>
      <c r="D70" s="100"/>
      <c r="E70" s="100"/>
      <c r="F70" s="18"/>
    </row>
    <row r="71" customFormat="false" ht="18" hidden="false" customHeight="true" outlineLevel="0" collapsed="false">
      <c r="A71" s="99" t="str">
        <f aca="false">IF($B71="","",IFERROR(INDEX(科目表!$A$4:$A$81,MATCH($B71,科目表!$B$4:$B$81,0)),""))</f>
        <v/>
      </c>
      <c r="B71" s="18"/>
      <c r="C71" s="67" t="str">
        <f aca="false">IF($B71="","",IFERROR(INDEX(科目表!$C$4:$C$81,MATCH($B71,科目表!$B$4:$B$81,0)),""))</f>
        <v/>
      </c>
      <c r="D71" s="100"/>
      <c r="E71" s="100"/>
      <c r="F71" s="18"/>
    </row>
    <row r="72" customFormat="false" ht="18" hidden="false" customHeight="true" outlineLevel="0" collapsed="false">
      <c r="A72" s="99" t="str">
        <f aca="false">IF($B72="","",IFERROR(INDEX(科目表!$A$4:$A$81,MATCH($B72,科目表!$B$4:$B$81,0)),""))</f>
        <v/>
      </c>
      <c r="B72" s="18"/>
      <c r="C72" s="67" t="str">
        <f aca="false">IF($B72="","",IFERROR(INDEX(科目表!$C$4:$C$81,MATCH($B72,科目表!$B$4:$B$81,0)),""))</f>
        <v/>
      </c>
      <c r="D72" s="100"/>
      <c r="E72" s="100"/>
      <c r="F72" s="18"/>
    </row>
    <row r="73" customFormat="false" ht="18" hidden="false" customHeight="true" outlineLevel="0" collapsed="false">
      <c r="A73" s="99" t="str">
        <f aca="false">IF($B73="","",IFERROR(INDEX(科目表!$A$4:$A$81,MATCH($B73,科目表!$B$4:$B$81,0)),""))</f>
        <v/>
      </c>
      <c r="B73" s="18"/>
      <c r="C73" s="67" t="str">
        <f aca="false">IF($B73="","",IFERROR(INDEX(科目表!$C$4:$C$81,MATCH($B73,科目表!$B$4:$B$81,0)),""))</f>
        <v/>
      </c>
      <c r="D73" s="100"/>
      <c r="E73" s="100"/>
      <c r="F73" s="18"/>
    </row>
    <row r="74" customFormat="false" ht="18" hidden="false" customHeight="true" outlineLevel="0" collapsed="false">
      <c r="A74" s="99" t="str">
        <f aca="false">IF($B74="","",IFERROR(INDEX(科目表!$A$4:$A$81,MATCH($B74,科目表!$B$4:$B$81,0)),""))</f>
        <v/>
      </c>
      <c r="B74" s="18"/>
      <c r="C74" s="67" t="str">
        <f aca="false">IF($B74="","",IFERROR(INDEX(科目表!$C$4:$C$81,MATCH($B74,科目表!$B$4:$B$81,0)),""))</f>
        <v/>
      </c>
      <c r="D74" s="100"/>
      <c r="E74" s="100"/>
      <c r="F74" s="18"/>
    </row>
    <row r="75" customFormat="false" ht="18" hidden="false" customHeight="true" outlineLevel="0" collapsed="false">
      <c r="A75" s="99" t="str">
        <f aca="false">IF($B75="","",IFERROR(INDEX(科目表!$A$4:$A$81,MATCH($B75,科目表!$B$4:$B$81,0)),""))</f>
        <v/>
      </c>
      <c r="B75" s="18"/>
      <c r="C75" s="67" t="str">
        <f aca="false">IF($B75="","",IFERROR(INDEX(科目表!$C$4:$C$81,MATCH($B75,科目表!$B$4:$B$81,0)),""))</f>
        <v/>
      </c>
      <c r="D75" s="100"/>
      <c r="E75" s="100"/>
      <c r="F75" s="18"/>
    </row>
    <row r="76" customFormat="false" ht="18" hidden="false" customHeight="true" outlineLevel="0" collapsed="false">
      <c r="A76" s="99" t="str">
        <f aca="false">IF($B76="","",IFERROR(INDEX(科目表!$A$4:$A$81,MATCH($B76,科目表!$B$4:$B$81,0)),""))</f>
        <v/>
      </c>
      <c r="B76" s="18"/>
      <c r="C76" s="67" t="str">
        <f aca="false">IF($B76="","",IFERROR(INDEX(科目表!$C$4:$C$81,MATCH($B76,科目表!$B$4:$B$81,0)),""))</f>
        <v/>
      </c>
      <c r="D76" s="100"/>
      <c r="E76" s="100"/>
      <c r="F76" s="18"/>
    </row>
    <row r="77" customFormat="false" ht="18" hidden="false" customHeight="true" outlineLevel="0" collapsed="false">
      <c r="A77" s="99" t="str">
        <f aca="false">IF($B77="","",IFERROR(INDEX(科目表!$A$4:$A$81,MATCH($B77,科目表!$B$4:$B$81,0)),""))</f>
        <v/>
      </c>
      <c r="B77" s="18"/>
      <c r="C77" s="67" t="str">
        <f aca="false">IF($B77="","",IFERROR(INDEX(科目表!$C$4:$C$81,MATCH($B77,科目表!$B$4:$B$81,0)),""))</f>
        <v/>
      </c>
      <c r="D77" s="100"/>
      <c r="E77" s="100"/>
      <c r="F77" s="18"/>
    </row>
    <row r="78" customFormat="false" ht="18" hidden="false" customHeight="true" outlineLevel="0" collapsed="false">
      <c r="A78" s="99" t="str">
        <f aca="false">IF($B78="","",IFERROR(INDEX(科目表!$A$4:$A$81,MATCH($B78,科目表!$B$4:$B$81,0)),""))</f>
        <v/>
      </c>
      <c r="B78" s="18"/>
      <c r="C78" s="67" t="str">
        <f aca="false">IF($B78="","",IFERROR(INDEX(科目表!$C$4:$C$81,MATCH($B78,科目表!$B$4:$B$81,0)),""))</f>
        <v/>
      </c>
      <c r="D78" s="100"/>
      <c r="E78" s="100"/>
      <c r="F78" s="18"/>
    </row>
    <row r="79" customFormat="false" ht="18" hidden="false" customHeight="true" outlineLevel="0" collapsed="false">
      <c r="A79" s="99" t="str">
        <f aca="false">IF($B79="","",IFERROR(INDEX(科目表!$A$4:$A$81,MATCH($B79,科目表!$B$4:$B$81,0)),""))</f>
        <v/>
      </c>
      <c r="B79" s="18"/>
      <c r="C79" s="67" t="str">
        <f aca="false">IF($B79="","",IFERROR(INDEX(科目表!$C$4:$C$81,MATCH($B79,科目表!$B$4:$B$81,0)),""))</f>
        <v/>
      </c>
      <c r="D79" s="100"/>
      <c r="E79" s="100"/>
      <c r="F79" s="18"/>
    </row>
    <row r="80" customFormat="false" ht="18" hidden="false" customHeight="true" outlineLevel="0" collapsed="false">
      <c r="A80" s="99" t="str">
        <f aca="false">IF($B80="","",IFERROR(INDEX(科目表!$A$4:$A$81,MATCH($B80,科目表!$B$4:$B$81,0)),""))</f>
        <v/>
      </c>
      <c r="B80" s="18"/>
      <c r="C80" s="67" t="str">
        <f aca="false">IF($B80="","",IFERROR(INDEX(科目表!$C$4:$C$81,MATCH($B80,科目表!$B$4:$B$81,0)),""))</f>
        <v/>
      </c>
      <c r="D80" s="100"/>
      <c r="E80" s="100"/>
      <c r="F80" s="18"/>
    </row>
    <row r="81" customFormat="false" ht="18" hidden="false" customHeight="true" outlineLevel="0" collapsed="false">
      <c r="A81" s="99" t="str">
        <f aca="false">IF($B81="","",IFERROR(INDEX(科目表!$A$4:$A$81,MATCH($B81,科目表!$B$4:$B$81,0)),""))</f>
        <v/>
      </c>
      <c r="B81" s="18"/>
      <c r="C81" s="67" t="str">
        <f aca="false">IF($B81="","",IFERROR(INDEX(科目表!$C$4:$C$81,MATCH($B81,科目表!$B$4:$B$81,0)),""))</f>
        <v/>
      </c>
      <c r="D81" s="100"/>
      <c r="E81" s="100"/>
      <c r="F81" s="18"/>
    </row>
    <row r="82" customFormat="false" ht="16.5" hidden="false" customHeight="true" outlineLevel="0" collapsed="false">
      <c r="A82" s="71"/>
      <c r="B82" s="72" t="s">
        <v>229</v>
      </c>
      <c r="C82" s="71"/>
      <c r="D82" s="73" t="n">
        <f aca="false">ROUND(SUM(D4:D81),2)</f>
        <v>0</v>
      </c>
      <c r="E82" s="73" t="n">
        <f aca="false">ROUND(SUM(E4:E81),2)</f>
        <v>0</v>
      </c>
      <c r="F82" s="71" t="str">
        <f aca="false">IF(ROUND(D82-E82,2)=0,"✔ 借贷平衡","✘ 差额 "&amp;TEXT(D82-E82,"#,##0.00"))</f>
        <v>✔ 借贷平衡</v>
      </c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B4:B81" type="list">
      <formula1>科目表!$B$4:$B$81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Y603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3" ySplit="3" topLeftCell="D98" activePane="bottomRight" state="frozen"/>
      <selection pane="topLeft" activeCell="A1" activeCellId="0" sqref="A1"/>
      <selection pane="topRight" activeCell="D1" activeCellId="0" sqref="D1"/>
      <selection pane="bottomLeft" activeCell="A98" activeCellId="0" sqref="A98"/>
      <selection pane="bottomRight" activeCell="C105" activeCellId="0" sqref="C105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9" min="5" style="0" width="13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5" style="0" width="20"/>
    <col collapsed="false" customWidth="true" hidden="false" outlineLevel="0" max="17" min="17" style="0" width="24"/>
    <col collapsed="false" customWidth="true" hidden="false" outlineLevel="0" max="19" min="18" style="0" width="13"/>
    <col collapsed="false" customWidth="true" hidden="false" outlineLevel="0" max="20" min="20" style="0" width="18"/>
    <col collapsed="false" customWidth="true" hidden="false" outlineLevel="0" max="21" min="21" style="0" width="22"/>
    <col collapsed="false" customWidth="true" hidden="false" outlineLevel="0" max="22" min="22" style="0" width="12"/>
    <col collapsed="false" customWidth="true" hidden="true" outlineLevel="0" max="23" min="23" style="0" width="18"/>
    <col collapsed="false" customWidth="true" hidden="true" outlineLevel="0" max="24" min="24" style="0" width="22"/>
    <col collapsed="false" customWidth="true" hidden="true" outlineLevel="0" max="25" min="25" style="0" width="12"/>
  </cols>
  <sheetData>
    <row r="1" customFormat="false" ht="30" hidden="false" customHeight="true" outlineLevel="0" collapsed="false">
      <c r="A1" s="20" t="s">
        <v>687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customFormat="false" ht="18" hidden="false" customHeight="true" outlineLevel="0" collapsed="false">
      <c r="A2" s="21" t="s">
        <v>688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customFormat="false" ht="30" hidden="false" customHeight="true" outlineLevel="0" collapsed="false">
      <c r="A3" s="37" t="s">
        <v>3</v>
      </c>
      <c r="B3" s="37" t="s">
        <v>689</v>
      </c>
      <c r="C3" s="37" t="s">
        <v>432</v>
      </c>
      <c r="D3" s="37" t="s">
        <v>690</v>
      </c>
      <c r="E3" s="37" t="s">
        <v>431</v>
      </c>
      <c r="F3" s="37" t="s">
        <v>327</v>
      </c>
      <c r="G3" s="37" t="s">
        <v>434</v>
      </c>
      <c r="H3" s="37" t="s">
        <v>691</v>
      </c>
      <c r="I3" s="37" t="s">
        <v>692</v>
      </c>
      <c r="J3" s="37" t="s">
        <v>693</v>
      </c>
      <c r="K3" s="37" t="s">
        <v>694</v>
      </c>
      <c r="L3" s="37" t="s">
        <v>174</v>
      </c>
      <c r="M3" s="37" t="s">
        <v>695</v>
      </c>
      <c r="N3" s="37" t="s">
        <v>220</v>
      </c>
      <c r="O3" s="37" t="s">
        <v>221</v>
      </c>
      <c r="P3" s="37" t="s">
        <v>222</v>
      </c>
      <c r="Q3" s="37" t="s">
        <v>223</v>
      </c>
      <c r="R3" s="37" t="s">
        <v>224</v>
      </c>
      <c r="S3" s="37" t="s">
        <v>225</v>
      </c>
      <c r="T3" s="37" t="s">
        <v>696</v>
      </c>
      <c r="U3" s="37" t="s">
        <v>697</v>
      </c>
      <c r="V3" s="37" t="s">
        <v>698</v>
      </c>
      <c r="W3" s="102"/>
      <c r="X3" s="37"/>
    </row>
    <row r="4" customFormat="false" ht="18" hidden="false" customHeight="true" outlineLevel="0" collapsed="false">
      <c r="A4" s="9" t="n">
        <f aca="false">IF($C4="","",ROW()-3)</f>
        <v>1</v>
      </c>
      <c r="B4" s="76" t="n">
        <v>46266</v>
      </c>
      <c r="C4" s="74" t="s">
        <v>699</v>
      </c>
      <c r="D4" s="78" t="s">
        <v>700</v>
      </c>
      <c r="E4" s="42"/>
      <c r="F4" s="74" t="s">
        <v>388</v>
      </c>
      <c r="G4" s="74" t="s">
        <v>412</v>
      </c>
      <c r="H4" s="44"/>
      <c r="I4" s="44" t="n">
        <v>260</v>
      </c>
      <c r="J4" s="103" t="n">
        <f aca="false">IF($C4="","",ROUND(IFERROR(INDEX(期初余额!$I$4:$I$43,MATCH($C4,期初余额!$H$4:$H$43,0)),0)+SUMIFS($H$4:$H4,$C$4:$C4,$C4)-SUMIFS($I$4:$I4,$C$4:$C4,$C4),2))</f>
        <v>61986</v>
      </c>
      <c r="K4" s="104" t="str">
        <f aca="false">IF($T4&lt;&gt;"",$T4,IF($C4="","",IF(AND(N($I4)&gt;0,$G4&lt;&gt;""),IF(IFERROR(INDEX(科目表!$U$4:$U$123,MATCH($G4,科目表!$M$4:$M$123,0)),"")&amp;""="","管理费用",INDEX(科目表!$U$4:$U$123,MATCH($G4,科目表!$M$4:$M$123,0))),IF(N($H4)&gt;0,IF(IFERROR(INDEX(自动规则!$C$4:$C$143,MATCH($F4,自动规则!$B$4:$B$143,0)),"")&amp;""="","其他应收款",INDEX(自动规则!$C$4:$C$143,MATCH($F4,自动规则!$B$4:$B$143,0))),IF(IFERROR(INDEX(自动规则!$D$4:$D$143,MATCH($F4,自动规则!$B$4:$B$143,0)),"")&amp;""="","其他应付款",INDEX(自动规则!$D$4:$D$143,MATCH($F4,自动规则!$B$4:$B$143,0)))))))</f>
        <v>财务费用</v>
      </c>
      <c r="L4" s="78" t="s">
        <v>552</v>
      </c>
      <c r="M4" s="105" t="str">
        <f aca="false">IF($C4="","",IF(IFERROR(INDEX(科目表!$T$4:$T$123,MATCH($C4,科目表!$K$4:$K$123,0)),"")&amp;""="","其他货币资金",INDEX(科目表!$T$4:$T$123,MATCH($C4,科目表!$K$4:$K$123,0))))</f>
        <v>银行存款</v>
      </c>
      <c r="N4" s="39" t="str">
        <f aca="false">IF(OR($C4="",ROUND(N($H4)+N($I4),2)=0),"",IF(N($H4)&gt;0,$M4,$K4))</f>
        <v>财务费用</v>
      </c>
      <c r="O4" s="41" t="n">
        <f aca="false">IF($N4="","",ROUND(N($H4)+N($I4),2))</f>
        <v>260</v>
      </c>
      <c r="P4" s="41" t="n">
        <f aca="false">IF($N4="","",0)</f>
        <v>0</v>
      </c>
      <c r="Q4" s="39" t="str">
        <f aca="false">IF($N4="","",IF(N($H4)&gt;0,$K4,$M4))</f>
        <v>银行存款</v>
      </c>
      <c r="R4" s="41" t="n">
        <f aca="false">IF($Q4="","",0)</f>
        <v>0</v>
      </c>
      <c r="S4" s="41" t="n">
        <f aca="false">IF($Q4="","",ROUND(N($H4)+N($I4),2))</f>
        <v>260</v>
      </c>
      <c r="T4" s="42"/>
      <c r="U4" s="44"/>
      <c r="V4" s="41" t="str">
        <f aca="false">IF($B4="","",TEXT($B4,"yyyy年m月"))</f>
        <v>2026年9月</v>
      </c>
      <c r="W4" s="42"/>
      <c r="X4" s="42"/>
      <c r="Y4" s="9"/>
    </row>
    <row r="5" customFormat="false" ht="18" hidden="false" customHeight="true" outlineLevel="0" collapsed="false">
      <c r="A5" s="9" t="n">
        <f aca="false">IF($C5="","",ROW()-3)</f>
        <v>2</v>
      </c>
      <c r="B5" s="76" t="n">
        <v>46267</v>
      </c>
      <c r="C5" s="74" t="s">
        <v>699</v>
      </c>
      <c r="D5" s="78" t="s">
        <v>701</v>
      </c>
      <c r="E5" s="42"/>
      <c r="F5" s="74" t="s">
        <v>347</v>
      </c>
      <c r="G5" s="74" t="s">
        <v>347</v>
      </c>
      <c r="H5" s="44"/>
      <c r="I5" s="44" t="n">
        <v>1500</v>
      </c>
      <c r="J5" s="103" t="n">
        <f aca="false">IF($C5="","",ROUND(IFERROR(INDEX(期初余额!$I$4:$I$43,MATCH($C5,期初余额!$H$4:$H$43,0)),0)+SUMIFS($H$4:$H5,$C$4:$C5,$C5)-SUMIFS($I$4:$I5,$C$4:$C5,$C5),2))</f>
        <v>60486</v>
      </c>
      <c r="K5" s="104" t="str">
        <f aca="false">IF($T5&lt;&gt;"",$T5,IF($C5="","",IF(AND(N($I5)&gt;0,$G5&lt;&gt;""),IF(IFERROR(INDEX(科目表!$U$4:$U$123,MATCH($G5,科目表!$M$4:$M$123,0)),"")&amp;""="","管理费用",INDEX(科目表!$U$4:$U$123,MATCH($G5,科目表!$M$4:$M$123,0))),IF(N($H5)&gt;0,IF(IFERROR(INDEX(自动规则!$C$4:$C$143,MATCH($F5,自动规则!$B$4:$B$143,0)),"")&amp;""="","其他应收款",INDEX(自动规则!$C$4:$C$143,MATCH($F5,自动规则!$B$4:$B$143,0))),IF(IFERROR(INDEX(自动规则!$D$4:$D$143,MATCH($F5,自动规则!$B$4:$B$143,0)),"")&amp;""="","其他应付款",INDEX(自动规则!$D$4:$D$143,MATCH($F5,自动规则!$B$4:$B$143,0)))))))</f>
        <v>主营业务成本</v>
      </c>
      <c r="L5" s="78" t="s">
        <v>702</v>
      </c>
      <c r="M5" s="105" t="str">
        <f aca="false">IF($C5="","",IF(IFERROR(INDEX(科目表!$T$4:$T$123,MATCH($C5,科目表!$K$4:$K$123,0)),"")&amp;""="","其他货币资金",INDEX(科目表!$T$4:$T$123,MATCH($C5,科目表!$K$4:$K$123,0))))</f>
        <v>银行存款</v>
      </c>
      <c r="N5" s="39" t="str">
        <f aca="false">IF(OR($C5="",ROUND(N($H5)+N($I5),2)=0),"",IF(N($H5)&gt;0,$M5,$K5))</f>
        <v>主营业务成本</v>
      </c>
      <c r="O5" s="41" t="n">
        <f aca="false">IF($N5="","",ROUND(N($H5)+N($I5),2))</f>
        <v>1500</v>
      </c>
      <c r="P5" s="41" t="n">
        <f aca="false">IF($N5="","",0)</f>
        <v>0</v>
      </c>
      <c r="Q5" s="39" t="str">
        <f aca="false">IF($N5="","",IF(N($H5)&gt;0,$K5,$M5))</f>
        <v>银行存款</v>
      </c>
      <c r="R5" s="41" t="n">
        <f aca="false">IF($Q5="","",0)</f>
        <v>0</v>
      </c>
      <c r="S5" s="41" t="n">
        <f aca="false">IF($Q5="","",ROUND(N($H5)+N($I5),2))</f>
        <v>1500</v>
      </c>
      <c r="T5" s="42"/>
      <c r="U5" s="44"/>
      <c r="V5" s="41" t="str">
        <f aca="false">IF($B5="","",TEXT($B5,"yyyy年m月"))</f>
        <v>2026年9月</v>
      </c>
      <c r="W5" s="42"/>
      <c r="X5" s="42"/>
      <c r="Y5" s="9"/>
    </row>
    <row r="6" customFormat="false" ht="18" hidden="false" customHeight="true" outlineLevel="0" collapsed="false">
      <c r="A6" s="9" t="n">
        <f aca="false">IF($C6="","",ROW()-3)</f>
        <v>3</v>
      </c>
      <c r="B6" s="76" t="n">
        <v>46268</v>
      </c>
      <c r="C6" s="74" t="s">
        <v>699</v>
      </c>
      <c r="D6" s="78" t="s">
        <v>361</v>
      </c>
      <c r="E6" s="42"/>
      <c r="F6" s="74" t="s">
        <v>361</v>
      </c>
      <c r="G6" s="74" t="s">
        <v>361</v>
      </c>
      <c r="H6" s="44" t="n">
        <v>50000</v>
      </c>
      <c r="I6" s="44"/>
      <c r="J6" s="103" t="n">
        <f aca="false">IF($C6="","",ROUND(IFERROR(INDEX(期初余额!$I$4:$I$43,MATCH($C6,期初余额!$H$4:$H$43,0)),0)+SUMIFS($H$4:$H6,$C$4:$C6,$C6)-SUMIFS($I$4:$I6,$C$4:$C6,$C6),2))</f>
        <v>110486</v>
      </c>
      <c r="K6" s="104" t="str">
        <f aca="false">IF($T6&lt;&gt;"",$T6,IF($C6="","",IF(AND(N($I6)&gt;0,$G6&lt;&gt;""),IF(IFERROR(INDEX(科目表!$U$4:$U$123,MATCH($G6,科目表!$M$4:$M$123,0)),"")&amp;""="","管理费用",INDEX(科目表!$U$4:$U$123,MATCH($G6,科目表!$M$4:$M$123,0))),IF(N($H6)&gt;0,IF(IFERROR(INDEX(自动规则!$C$4:$C$143,MATCH($F6,自动规则!$B$4:$B$143,0)),"")&amp;""="","其他应收款",INDEX(自动规则!$C$4:$C$143,MATCH($F6,自动规则!$B$4:$B$143,0))),IF(IFERROR(INDEX(自动规则!$D$4:$D$143,MATCH($F6,自动规则!$B$4:$B$143,0)),"")&amp;""="","其他应付款",INDEX(自动规则!$D$4:$D$143,MATCH($F6,自动规则!$B$4:$B$143,0)))))))</f>
        <v>短期借款</v>
      </c>
      <c r="L6" s="78" t="s">
        <v>570</v>
      </c>
      <c r="M6" s="105" t="str">
        <f aca="false">IF($C6="","",IF(IFERROR(INDEX(科目表!$T$4:$T$123,MATCH($C6,科目表!$K$4:$K$123,0)),"")&amp;""="","其他货币资金",INDEX(科目表!$T$4:$T$123,MATCH($C6,科目表!$K$4:$K$123,0))))</f>
        <v>银行存款</v>
      </c>
      <c r="N6" s="39" t="str">
        <f aca="false">IF(OR($C6="",ROUND(N($H6)+N($I6),2)=0),"",IF(N($H6)&gt;0,$M6,$K6))</f>
        <v>银行存款</v>
      </c>
      <c r="O6" s="41" t="n">
        <f aca="false">IF($N6="","",ROUND(N($H6)+N($I6),2))</f>
        <v>50000</v>
      </c>
      <c r="P6" s="41" t="n">
        <f aca="false">IF($N6="","",0)</f>
        <v>0</v>
      </c>
      <c r="Q6" s="39" t="str">
        <f aca="false">IF($N6="","",IF(N($H6)&gt;0,$K6,$M6))</f>
        <v>短期借款</v>
      </c>
      <c r="R6" s="41" t="n">
        <f aca="false">IF($Q6="","",0)</f>
        <v>0</v>
      </c>
      <c r="S6" s="41" t="n">
        <f aca="false">IF($Q6="","",ROUND(N($H6)+N($I6),2))</f>
        <v>50000</v>
      </c>
      <c r="T6" s="42"/>
      <c r="U6" s="44"/>
      <c r="V6" s="41" t="str">
        <f aca="false">IF($B6="","",TEXT($B6,"yyyy年m月"))</f>
        <v>2026年9月</v>
      </c>
      <c r="W6" s="42"/>
      <c r="X6" s="42"/>
      <c r="Y6" s="9"/>
    </row>
    <row r="7" customFormat="false" ht="18" hidden="false" customHeight="true" outlineLevel="0" collapsed="false">
      <c r="A7" s="9" t="n">
        <f aca="false">IF($C7="","",ROW()-3)</f>
        <v>4</v>
      </c>
      <c r="B7" s="76" t="n">
        <v>46268</v>
      </c>
      <c r="C7" s="74" t="s">
        <v>699</v>
      </c>
      <c r="D7" s="78" t="s">
        <v>361</v>
      </c>
      <c r="E7" s="42"/>
      <c r="F7" s="74" t="s">
        <v>361</v>
      </c>
      <c r="G7" s="74" t="s">
        <v>361</v>
      </c>
      <c r="H7" s="44" t="n">
        <v>250000</v>
      </c>
      <c r="I7" s="44"/>
      <c r="J7" s="103" t="n">
        <f aca="false">IF($C7="","",ROUND(IFERROR(INDEX(期初余额!$I$4:$I$43,MATCH($C7,期初余额!$H$4:$H$43,0)),0)+SUMIFS($H$4:$H7,$C$4:$C7,$C7)-SUMIFS($I$4:$I7,$C$4:$C7,$C7),2))</f>
        <v>360486</v>
      </c>
      <c r="K7" s="104" t="str">
        <f aca="false">IF($T7&lt;&gt;"",$T7,IF($C7="","",IF(AND(N($I7)&gt;0,$G7&lt;&gt;""),IF(IFERROR(INDEX(科目表!$U$4:$U$123,MATCH($G7,科目表!$M$4:$M$123,0)),"")&amp;""="","管理费用",INDEX(科目表!$U$4:$U$123,MATCH($G7,科目表!$M$4:$M$123,0))),IF(N($H7)&gt;0,IF(IFERROR(INDEX(自动规则!$C$4:$C$143,MATCH($F7,自动规则!$B$4:$B$143,0)),"")&amp;""="","其他应收款",INDEX(自动规则!$C$4:$C$143,MATCH($F7,自动规则!$B$4:$B$143,0))),IF(IFERROR(INDEX(自动规则!$D$4:$D$143,MATCH($F7,自动规则!$B$4:$B$143,0)),"")&amp;""="","其他应付款",INDEX(自动规则!$D$4:$D$143,MATCH($F7,自动规则!$B$4:$B$143,0)))))))</f>
        <v>短期借款</v>
      </c>
      <c r="L7" s="78" t="s">
        <v>581</v>
      </c>
      <c r="M7" s="105" t="str">
        <f aca="false">IF($C7="","",IF(IFERROR(INDEX(科目表!$T$4:$T$123,MATCH($C7,科目表!$K$4:$K$123,0)),"")&amp;""="","其他货币资金",INDEX(科目表!$T$4:$T$123,MATCH($C7,科目表!$K$4:$K$123,0))))</f>
        <v>银行存款</v>
      </c>
      <c r="N7" s="39" t="str">
        <f aca="false">IF(OR($C7="",ROUND(N($H7)+N($I7),2)=0),"",IF(N($H7)&gt;0,$M7,$K7))</f>
        <v>银行存款</v>
      </c>
      <c r="O7" s="41" t="n">
        <f aca="false">IF($N7="","",ROUND(N($H7)+N($I7),2))</f>
        <v>250000</v>
      </c>
      <c r="P7" s="41" t="n">
        <f aca="false">IF($N7="","",0)</f>
        <v>0</v>
      </c>
      <c r="Q7" s="39" t="str">
        <f aca="false">IF($N7="","",IF(N($H7)&gt;0,$K7,$M7))</f>
        <v>短期借款</v>
      </c>
      <c r="R7" s="41" t="n">
        <f aca="false">IF($Q7="","",0)</f>
        <v>0</v>
      </c>
      <c r="S7" s="41" t="n">
        <f aca="false">IF($Q7="","",ROUND(N($H7)+N($I7),2))</f>
        <v>250000</v>
      </c>
      <c r="T7" s="42"/>
      <c r="U7" s="44"/>
      <c r="V7" s="41" t="str">
        <f aca="false">IF($B7="","",TEXT($B7,"yyyy年m月"))</f>
        <v>2026年9月</v>
      </c>
      <c r="W7" s="42"/>
      <c r="X7" s="42"/>
      <c r="Y7" s="9"/>
    </row>
    <row r="8" customFormat="false" ht="18" hidden="false" customHeight="true" outlineLevel="0" collapsed="false">
      <c r="A8" s="9" t="n">
        <f aca="false">IF($C8="","",ROW()-3)</f>
        <v>5</v>
      </c>
      <c r="B8" s="76" t="n">
        <v>46269</v>
      </c>
      <c r="C8" s="74" t="s">
        <v>699</v>
      </c>
      <c r="D8" s="78" t="s">
        <v>490</v>
      </c>
      <c r="E8" s="42"/>
      <c r="F8" s="74" t="s">
        <v>397</v>
      </c>
      <c r="G8" s="74" t="s">
        <v>653</v>
      </c>
      <c r="H8" s="44"/>
      <c r="I8" s="44" t="n">
        <v>60000</v>
      </c>
      <c r="J8" s="103" t="n">
        <f aca="false">IF($C8="","",ROUND(IFERROR(INDEX(期初余额!$I$4:$I$43,MATCH($C8,期初余额!$H$4:$H$43,0)),0)+SUMIFS($H$4:$H8,$C$4:$C8,$C8)-SUMIFS($I$4:$I8,$C$4:$C8,$C8),2))</f>
        <v>300486</v>
      </c>
      <c r="K8" s="104" t="str">
        <f aca="false">IF($T8&lt;&gt;"",$T8,IF($C8="","",IF(AND(N($I8)&gt;0,$G8&lt;&gt;""),IF(IFERROR(INDEX(科目表!$U$4:$U$123,MATCH($G8,科目表!$M$4:$M$123,0)),"")&amp;""="","管理费用",INDEX(科目表!$U$4:$U$123,MATCH($G8,科目表!$M$4:$M$123,0))),IF(N($H8)&gt;0,IF(IFERROR(INDEX(自动规则!$C$4:$C$143,MATCH($F8,自动规则!$B$4:$B$143,0)),"")&amp;""="","其他应收款",INDEX(自动规则!$C$4:$C$143,MATCH($F8,自动规则!$B$4:$B$143,0))),IF(IFERROR(INDEX(自动规则!$D$4:$D$143,MATCH($F8,自动规则!$B$4:$B$143,0)),"")&amp;""="","其他应付款",INDEX(自动规则!$D$4:$D$143,MATCH($F8,自动规则!$B$4:$B$143,0)))))))</f>
        <v>其他货币资金</v>
      </c>
      <c r="L8" s="78" t="s">
        <v>703</v>
      </c>
      <c r="M8" s="105" t="str">
        <f aca="false">IF($C8="","",IF(IFERROR(INDEX(科目表!$T$4:$T$123,MATCH($C8,科目表!$K$4:$K$123,0)),"")&amp;""="","其他货币资金",INDEX(科目表!$T$4:$T$123,MATCH($C8,科目表!$K$4:$K$123,0))))</f>
        <v>银行存款</v>
      </c>
      <c r="N8" s="39" t="str">
        <f aca="false">IF(OR($C8="",ROUND(N($H8)+N($I8),2)=0),"",IF(N($H8)&gt;0,$M8,$K8))</f>
        <v>其他货币资金</v>
      </c>
      <c r="O8" s="41" t="n">
        <f aca="false">IF($N8="","",ROUND(N($H8)+N($I8),2))</f>
        <v>60000</v>
      </c>
      <c r="P8" s="41" t="n">
        <f aca="false">IF($N8="","",0)</f>
        <v>0</v>
      </c>
      <c r="Q8" s="39" t="str">
        <f aca="false">IF($N8="","",IF(N($H8)&gt;0,$K8,$M8))</f>
        <v>银行存款</v>
      </c>
      <c r="R8" s="41" t="n">
        <f aca="false">IF($Q8="","",0)</f>
        <v>0</v>
      </c>
      <c r="S8" s="41" t="n">
        <f aca="false">IF($Q8="","",ROUND(N($H8)+N($I8),2))</f>
        <v>60000</v>
      </c>
      <c r="T8" s="42"/>
      <c r="U8" s="44"/>
      <c r="V8" s="41" t="str">
        <f aca="false">IF($B8="","",TEXT($B8,"yyyy年m月"))</f>
        <v>2026年9月</v>
      </c>
      <c r="W8" s="42"/>
      <c r="X8" s="42"/>
      <c r="Y8" s="9"/>
    </row>
    <row r="9" customFormat="false" ht="18" hidden="false" customHeight="true" outlineLevel="0" collapsed="false">
      <c r="A9" s="9" t="n">
        <f aca="false">IF($C9="","",ROW()-3)</f>
        <v>6</v>
      </c>
      <c r="B9" s="76" t="n">
        <v>46269</v>
      </c>
      <c r="C9" s="74" t="s">
        <v>699</v>
      </c>
      <c r="D9" s="43" t="s">
        <v>704</v>
      </c>
      <c r="E9" s="42"/>
      <c r="F9" s="74" t="s">
        <v>276</v>
      </c>
      <c r="G9" s="74" t="s">
        <v>276</v>
      </c>
      <c r="H9" s="44" t="n">
        <v>17800</v>
      </c>
      <c r="I9" s="44"/>
      <c r="J9" s="103" t="n">
        <f aca="false">IF($C9="","",ROUND(IFERROR(INDEX(期初余额!$I$4:$I$43,MATCH($C9,期初余额!$H$4:$H$43,0)),0)+SUMIFS($H$4:$H9,$C$4:$C9,$C9)-SUMIFS($I$4:$I9,$C$4:$C9,$C9),2))</f>
        <v>318286</v>
      </c>
      <c r="K9" s="104" t="str">
        <f aca="false">IF($T9&lt;&gt;"",$T9,IF($C9="","",IF(AND(N($I9)&gt;0,$G9&lt;&gt;""),IF(IFERROR(INDEX(科目表!$U$4:$U$123,MATCH($G9,科目表!$M$4:$M$123,0)),"")&amp;""="","管理费用",INDEX(科目表!$U$4:$U$123,MATCH($G9,科目表!$M$4:$M$123,0))),IF(N($H9)&gt;0,IF(IFERROR(INDEX(自动规则!$C$4:$C$143,MATCH($F9,自动规则!$B$4:$B$143,0)),"")&amp;""="","其他应收款",INDEX(自动规则!$C$4:$C$143,MATCH($F9,自动规则!$B$4:$B$143,0))),IF(IFERROR(INDEX(自动规则!$D$4:$D$143,MATCH($F9,自动规则!$B$4:$B$143,0)),"")&amp;""="","其他应付款",INDEX(自动规则!$D$4:$D$143,MATCH($F9,自动规则!$B$4:$B$143,0)))))))</f>
        <v>应收账款</v>
      </c>
      <c r="L9" s="78" t="s">
        <v>588</v>
      </c>
      <c r="M9" s="105" t="str">
        <f aca="false">IF($C9="","",IF(IFERROR(INDEX(科目表!$T$4:$T$123,MATCH($C9,科目表!$K$4:$K$123,0)),"")&amp;""="","其他货币资金",INDEX(科目表!$T$4:$T$123,MATCH($C9,科目表!$K$4:$K$123,0))))</f>
        <v>银行存款</v>
      </c>
      <c r="N9" s="39" t="str">
        <f aca="false">IF(OR($C9="",ROUND(N($H9)+N($I9),2)=0),"",IF(N($H9)&gt;0,$M9,$K9))</f>
        <v>银行存款</v>
      </c>
      <c r="O9" s="41" t="n">
        <f aca="false">IF($N9="","",ROUND(N($H9)+N($I9),2))</f>
        <v>17800</v>
      </c>
      <c r="P9" s="41" t="n">
        <f aca="false">IF($N9="","",0)</f>
        <v>0</v>
      </c>
      <c r="Q9" s="39" t="str">
        <f aca="false">IF($N9="","",IF(N($H9)&gt;0,$K9,$M9))</f>
        <v>应收账款</v>
      </c>
      <c r="R9" s="41" t="n">
        <f aca="false">IF($Q9="","",0)</f>
        <v>0</v>
      </c>
      <c r="S9" s="41" t="n">
        <f aca="false">IF($Q9="","",ROUND(N($H9)+N($I9),2))</f>
        <v>17800</v>
      </c>
      <c r="T9" s="42"/>
      <c r="U9" s="44"/>
      <c r="V9" s="41" t="str">
        <f aca="false">IF($B9="","",TEXT($B9,"yyyy年m月"))</f>
        <v>2026年9月</v>
      </c>
      <c r="W9" s="42"/>
      <c r="X9" s="42"/>
      <c r="Y9" s="9"/>
    </row>
    <row r="10" customFormat="false" ht="18" hidden="false" customHeight="true" outlineLevel="0" collapsed="false">
      <c r="A10" s="9" t="n">
        <f aca="false">IF($C10="","",ROW()-3)</f>
        <v>7</v>
      </c>
      <c r="B10" s="76" t="n">
        <v>46269</v>
      </c>
      <c r="C10" s="74" t="s">
        <v>699</v>
      </c>
      <c r="D10" s="43" t="s">
        <v>705</v>
      </c>
      <c r="E10" s="42"/>
      <c r="F10" s="74" t="s">
        <v>276</v>
      </c>
      <c r="G10" s="74" t="s">
        <v>276</v>
      </c>
      <c r="H10" s="44" t="n">
        <v>3000</v>
      </c>
      <c r="I10" s="44"/>
      <c r="J10" s="103" t="n">
        <f aca="false">IF($C10="","",ROUND(IFERROR(INDEX(期初余额!$I$4:$I$43,MATCH($C10,期初余额!$H$4:$H$43,0)),0)+SUMIFS($H$4:$H10,$C$4:$C10,$C10)-SUMIFS($I$4:$I10,$C$4:$C10,$C10),2))</f>
        <v>321286</v>
      </c>
      <c r="K10" s="104" t="str">
        <f aca="false">IF($T10&lt;&gt;"",$T10,IF($C10="","",IF(AND(N($I10)&gt;0,$G10&lt;&gt;""),IF(IFERROR(INDEX(科目表!$U$4:$U$123,MATCH($G10,科目表!$M$4:$M$123,0)),"")&amp;""="","管理费用",INDEX(科目表!$U$4:$U$123,MATCH($G10,科目表!$M$4:$M$123,0))),IF(N($H10)&gt;0,IF(IFERROR(INDEX(自动规则!$C$4:$C$143,MATCH($F10,自动规则!$B$4:$B$143,0)),"")&amp;""="","其他应收款",INDEX(自动规则!$C$4:$C$143,MATCH($F10,自动规则!$B$4:$B$143,0))),IF(IFERROR(INDEX(自动规则!$D$4:$D$143,MATCH($F10,自动规则!$B$4:$B$143,0)),"")&amp;""="","其他应付款",INDEX(自动规则!$D$4:$D$143,MATCH($F10,自动规则!$B$4:$B$143,0)))))))</f>
        <v>应收账款</v>
      </c>
      <c r="L10" s="78" t="s">
        <v>588</v>
      </c>
      <c r="M10" s="105" t="str">
        <f aca="false">IF($C10="","",IF(IFERROR(INDEX(科目表!$T$4:$T$123,MATCH($C10,科目表!$K$4:$K$123,0)),"")&amp;""="","其他货币资金",INDEX(科目表!$T$4:$T$123,MATCH($C10,科目表!$K$4:$K$123,0))))</f>
        <v>银行存款</v>
      </c>
      <c r="N10" s="39" t="str">
        <f aca="false">IF(OR($C10="",ROUND(N($H10)+N($I10),2)=0),"",IF(N($H10)&gt;0,$M10,$K10))</f>
        <v>银行存款</v>
      </c>
      <c r="O10" s="41" t="n">
        <f aca="false">IF($N10="","",ROUND(N($H10)+N($I10),2))</f>
        <v>3000</v>
      </c>
      <c r="P10" s="41" t="n">
        <f aca="false">IF($N10="","",0)</f>
        <v>0</v>
      </c>
      <c r="Q10" s="39" t="str">
        <f aca="false">IF($N10="","",IF(N($H10)&gt;0,$K10,$M10))</f>
        <v>应收账款</v>
      </c>
      <c r="R10" s="41" t="n">
        <f aca="false">IF($Q10="","",0)</f>
        <v>0</v>
      </c>
      <c r="S10" s="41" t="n">
        <f aca="false">IF($Q10="","",ROUND(N($H10)+N($I10),2))</f>
        <v>3000</v>
      </c>
      <c r="T10" s="42"/>
      <c r="U10" s="44"/>
      <c r="V10" s="41" t="str">
        <f aca="false">IF($B10="","",TEXT($B10,"yyyy年m月"))</f>
        <v>2026年9月</v>
      </c>
      <c r="W10" s="42"/>
      <c r="X10" s="42"/>
      <c r="Y10" s="9"/>
    </row>
    <row r="11" customFormat="false" ht="18" hidden="false" customHeight="true" outlineLevel="0" collapsed="false">
      <c r="A11" s="9" t="n">
        <f aca="false">IF($C11="","",ROW()-3)</f>
        <v>8</v>
      </c>
      <c r="B11" s="76" t="n">
        <v>46269</v>
      </c>
      <c r="C11" s="74" t="s">
        <v>699</v>
      </c>
      <c r="D11" s="78" t="s">
        <v>706</v>
      </c>
      <c r="E11" s="42"/>
      <c r="F11" s="74" t="s">
        <v>276</v>
      </c>
      <c r="G11" s="74" t="s">
        <v>650</v>
      </c>
      <c r="H11" s="44"/>
      <c r="I11" s="44" t="n">
        <v>3000</v>
      </c>
      <c r="J11" s="103" t="n">
        <f aca="false">IF($C11="","",ROUND(IFERROR(INDEX(期初余额!$I$4:$I$43,MATCH($C11,期初余额!$H$4:$H$43,0)),0)+SUMIFS($H$4:$H11,$C$4:$C11,$C11)-SUMIFS($I$4:$I11,$C$4:$C11,$C11),2))</f>
        <v>318286</v>
      </c>
      <c r="K11" s="104" t="str">
        <f aca="false">IF($T11&lt;&gt;"",$T11,IF($C11="","",IF(AND(N($I11)&gt;0,$G11&lt;&gt;""),IF(IFERROR(INDEX(科目表!$U$4:$U$123,MATCH($G11,科目表!$M$4:$M$123,0)),"")&amp;""="","管理费用",INDEX(科目表!$U$4:$U$123,MATCH($G11,科目表!$M$4:$M$123,0))),IF(N($H11)&gt;0,IF(IFERROR(INDEX(自动规则!$C$4:$C$143,MATCH($F11,自动规则!$B$4:$B$143,0)),"")&amp;""="","其他应收款",INDEX(自动规则!$C$4:$C$143,MATCH($F11,自动规则!$B$4:$B$143,0))),IF(IFERROR(INDEX(自动规则!$D$4:$D$143,MATCH($F11,自动规则!$B$4:$B$143,0)),"")&amp;""="","其他应付款",INDEX(自动规则!$D$4:$D$143,MATCH($F11,自动规则!$B$4:$B$143,0)))))))</f>
        <v>管理费用</v>
      </c>
      <c r="L11" s="78" t="s">
        <v>592</v>
      </c>
      <c r="M11" s="105" t="str">
        <f aca="false">IF($C11="","",IF(IFERROR(INDEX(科目表!$T$4:$T$123,MATCH($C11,科目表!$K$4:$K$123,0)),"")&amp;""="","其他货币资金",INDEX(科目表!$T$4:$T$123,MATCH($C11,科目表!$K$4:$K$123,0))))</f>
        <v>银行存款</v>
      </c>
      <c r="N11" s="39" t="str">
        <f aca="false">IF(OR($C11="",ROUND(N($H11)+N($I11),2)=0),"",IF(N($H11)&gt;0,$M11,$K11))</f>
        <v>管理费用</v>
      </c>
      <c r="O11" s="41" t="n">
        <f aca="false">IF($N11="","",ROUND(N($H11)+N($I11),2))</f>
        <v>3000</v>
      </c>
      <c r="P11" s="41" t="n">
        <f aca="false">IF($N11="","",0)</f>
        <v>0</v>
      </c>
      <c r="Q11" s="39" t="str">
        <f aca="false">IF($N11="","",IF(N($H11)&gt;0,$K11,$M11))</f>
        <v>银行存款</v>
      </c>
      <c r="R11" s="41" t="n">
        <f aca="false">IF($Q11="","",0)</f>
        <v>0</v>
      </c>
      <c r="S11" s="41" t="n">
        <f aca="false">IF($Q11="","",ROUND(N($H11)+N($I11),2))</f>
        <v>3000</v>
      </c>
      <c r="T11" s="42"/>
      <c r="U11" s="44"/>
      <c r="V11" s="41" t="str">
        <f aca="false">IF($B11="","",TEXT($B11,"yyyy年m月"))</f>
        <v>2026年9月</v>
      </c>
      <c r="W11" s="42"/>
      <c r="X11" s="42"/>
      <c r="Y11" s="9"/>
    </row>
    <row r="12" customFormat="false" ht="18" hidden="false" customHeight="true" outlineLevel="0" collapsed="false">
      <c r="A12" s="9" t="n">
        <f aca="false">IF($C12="","",ROW()-3)</f>
        <v>9</v>
      </c>
      <c r="B12" s="76" t="n">
        <v>46274</v>
      </c>
      <c r="C12" s="74" t="s">
        <v>699</v>
      </c>
      <c r="D12" s="78" t="s">
        <v>707</v>
      </c>
      <c r="E12" s="42"/>
      <c r="F12" s="74" t="s">
        <v>390</v>
      </c>
      <c r="G12" s="74" t="s">
        <v>585</v>
      </c>
      <c r="H12" s="44"/>
      <c r="I12" s="44" t="n">
        <v>2640</v>
      </c>
      <c r="J12" s="103" t="n">
        <f aca="false">IF($C12="","",ROUND(IFERROR(INDEX(期初余额!$I$4:$I$43,MATCH($C12,期初余额!$H$4:$H$43,0)),0)+SUMIFS($H$4:$H12,$C$4:$C12,$C12)-SUMIFS($I$4:$I12,$C$4:$C12,$C12),2))</f>
        <v>315646</v>
      </c>
      <c r="K12" s="104" t="str">
        <f aca="false">IF($T12&lt;&gt;"",$T12,IF($C12="","",IF(AND(N($I12)&gt;0,$G12&lt;&gt;""),IF(IFERROR(INDEX(科目表!$U$4:$U$123,MATCH($G12,科目表!$M$4:$M$123,0)),"")&amp;""="","管理费用",INDEX(科目表!$U$4:$U$123,MATCH($G12,科目表!$M$4:$M$123,0))),IF(N($H12)&gt;0,IF(IFERROR(INDEX(自动规则!$C$4:$C$143,MATCH($F12,自动规则!$B$4:$B$143,0)),"")&amp;""="","其他应收款",INDEX(自动规则!$C$4:$C$143,MATCH($F12,自动规则!$B$4:$B$143,0))),IF(IFERROR(INDEX(自动规则!$D$4:$D$143,MATCH($F12,自动规则!$B$4:$B$143,0)),"")&amp;""="","其他应付款",INDEX(自动规则!$D$4:$D$143,MATCH($F12,自动规则!$B$4:$B$143,0)))))))</f>
        <v>管理费用</v>
      </c>
      <c r="L12" s="78" t="s">
        <v>708</v>
      </c>
      <c r="M12" s="105" t="str">
        <f aca="false">IF($C12="","",IF(IFERROR(INDEX(科目表!$T$4:$T$123,MATCH($C12,科目表!$K$4:$K$123,0)),"")&amp;""="","其他货币资金",INDEX(科目表!$T$4:$T$123,MATCH($C12,科目表!$K$4:$K$123,0))))</f>
        <v>银行存款</v>
      </c>
      <c r="N12" s="39" t="str">
        <f aca="false">IF(OR($C12="",ROUND(N($H12)+N($I12),2)=0),"",IF(N($H12)&gt;0,$M12,$K12))</f>
        <v>管理费用</v>
      </c>
      <c r="O12" s="41" t="n">
        <f aca="false">IF($N12="","",ROUND(N($H12)+N($I12),2))</f>
        <v>2640</v>
      </c>
      <c r="P12" s="41" t="n">
        <f aca="false">IF($N12="","",0)</f>
        <v>0</v>
      </c>
      <c r="Q12" s="39" t="str">
        <f aca="false">IF($N12="","",IF(N($H12)&gt;0,$K12,$M12))</f>
        <v>银行存款</v>
      </c>
      <c r="R12" s="41" t="n">
        <f aca="false">IF($Q12="","",0)</f>
        <v>0</v>
      </c>
      <c r="S12" s="41" t="n">
        <f aca="false">IF($Q12="","",ROUND(N($H12)+N($I12),2))</f>
        <v>2640</v>
      </c>
      <c r="T12" s="42"/>
      <c r="U12" s="44"/>
      <c r="V12" s="41" t="str">
        <f aca="false">IF($B12="","",TEXT($B12,"yyyy年m月"))</f>
        <v>2026年9月</v>
      </c>
      <c r="W12" s="42"/>
      <c r="X12" s="42"/>
      <c r="Y12" s="9"/>
    </row>
    <row r="13" customFormat="false" ht="18" hidden="false" customHeight="true" outlineLevel="0" collapsed="false">
      <c r="A13" s="9" t="n">
        <f aca="false">IF($C13="","",ROW()-3)</f>
        <v>10</v>
      </c>
      <c r="B13" s="76" t="n">
        <v>46266</v>
      </c>
      <c r="C13" s="74" t="s">
        <v>459</v>
      </c>
      <c r="D13" s="78" t="s">
        <v>606</v>
      </c>
      <c r="E13" s="42"/>
      <c r="F13" s="74" t="s">
        <v>386</v>
      </c>
      <c r="G13" s="74" t="s">
        <v>606</v>
      </c>
      <c r="H13" s="44"/>
      <c r="I13" s="44" t="n">
        <v>2</v>
      </c>
      <c r="J13" s="103" t="n">
        <f aca="false">IF($C13="","",ROUND(IFERROR(INDEX(期初余额!$I$4:$I$43,MATCH($C13,期初余额!$H$4:$H$43,0)),0)+SUMIFS($H$4:$H13,$C$4:$C13,$C13)-SUMIFS($I$4:$I13,$C$4:$C13,$C13),2))</f>
        <v>74810</v>
      </c>
      <c r="K13" s="104" t="str">
        <f aca="false">IF($T13&lt;&gt;"",$T13,IF($C13="","",IF(AND(N($I13)&gt;0,$G13&lt;&gt;""),IF(IFERROR(INDEX(科目表!$U$4:$U$123,MATCH($G13,科目表!$M$4:$M$123,0)),"")&amp;""="","管理费用",INDEX(科目表!$U$4:$U$123,MATCH($G13,科目表!$M$4:$M$123,0))),IF(N($H13)&gt;0,IF(IFERROR(INDEX(自动规则!$C$4:$C$143,MATCH($F13,自动规则!$B$4:$B$143,0)),"")&amp;""="","其他应收款",INDEX(自动规则!$C$4:$C$143,MATCH($F13,自动规则!$B$4:$B$143,0))),IF(IFERROR(INDEX(自动规则!$D$4:$D$143,MATCH($F13,自动规则!$B$4:$B$143,0)),"")&amp;""="","其他应付款",INDEX(自动规则!$D$4:$D$143,MATCH($F13,自动规则!$B$4:$B$143,0)))))))</f>
        <v>管理费用</v>
      </c>
      <c r="L13" s="43" t="n">
        <v>2778</v>
      </c>
      <c r="M13" s="105" t="str">
        <f aca="false">IF($C13="","",IF(IFERROR(INDEX(科目表!$T$4:$T$123,MATCH($C13,科目表!$K$4:$K$123,0)),"")&amp;""="","其他货币资金",INDEX(科目表!$T$4:$T$123,MATCH($C13,科目表!$K$4:$K$123,0))))</f>
        <v>其他货币资金</v>
      </c>
      <c r="N13" s="39" t="str">
        <f aca="false">IF(OR($C13="",ROUND(N($H13)+N($I13),2)=0),"",IF(N($H13)&gt;0,$M13,$K13))</f>
        <v>管理费用</v>
      </c>
      <c r="O13" s="41" t="n">
        <f aca="false">IF($N13="","",ROUND(N($H13)+N($I13),2))</f>
        <v>2</v>
      </c>
      <c r="P13" s="41" t="n">
        <f aca="false">IF($N13="","",0)</f>
        <v>0</v>
      </c>
      <c r="Q13" s="39" t="str">
        <f aca="false">IF($N13="","",IF(N($H13)&gt;0,$K13,$M13))</f>
        <v>其他货币资金</v>
      </c>
      <c r="R13" s="41" t="n">
        <f aca="false">IF($Q13="","",0)</f>
        <v>0</v>
      </c>
      <c r="S13" s="41" t="n">
        <f aca="false">IF($Q13="","",ROUND(N($H13)+N($I13),2))</f>
        <v>2</v>
      </c>
      <c r="T13" s="42"/>
      <c r="U13" s="44"/>
      <c r="V13" s="41" t="str">
        <f aca="false">IF($B13="","",TEXT($B13,"yyyy年m月"))</f>
        <v>2026年9月</v>
      </c>
      <c r="W13" s="42"/>
      <c r="X13" s="42"/>
      <c r="Y13" s="9"/>
    </row>
    <row r="14" customFormat="false" ht="18" hidden="false" customHeight="true" outlineLevel="0" collapsed="false">
      <c r="A14" s="9" t="n">
        <f aca="false">IF($C14="","",ROW()-3)</f>
        <v>11</v>
      </c>
      <c r="B14" s="76" t="n">
        <v>46266</v>
      </c>
      <c r="C14" s="74" t="s">
        <v>459</v>
      </c>
      <c r="D14" s="78" t="s">
        <v>709</v>
      </c>
      <c r="E14" s="42"/>
      <c r="F14" s="74" t="s">
        <v>386</v>
      </c>
      <c r="G14" s="74" t="s">
        <v>386</v>
      </c>
      <c r="H14" s="44"/>
      <c r="I14" s="44" t="n">
        <v>30</v>
      </c>
      <c r="J14" s="103" t="n">
        <f aca="false">IF($C14="","",ROUND(IFERROR(INDEX(期初余额!$I$4:$I$43,MATCH($C14,期初余额!$H$4:$H$43,0)),0)+SUMIFS($H$4:$H14,$C$4:$C14,$C14)-SUMIFS($I$4:$I14,$C$4:$C14,$C14),2))</f>
        <v>74780</v>
      </c>
      <c r="K14" s="104" t="str">
        <f aca="false">IF($T14&lt;&gt;"",$T14,IF($C14="","",IF(AND(N($I14)&gt;0,$G14&lt;&gt;""),IF(IFERROR(INDEX(科目表!$U$4:$U$123,MATCH($G14,科目表!$M$4:$M$123,0)),"")&amp;""="","管理费用",INDEX(科目表!$U$4:$U$123,MATCH($G14,科目表!$M$4:$M$123,0))),IF(N($H14)&gt;0,IF(IFERROR(INDEX(自动规则!$C$4:$C$143,MATCH($F14,自动规则!$B$4:$B$143,0)),"")&amp;""="","其他应收款",INDEX(自动规则!$C$4:$C$143,MATCH($F14,自动规则!$B$4:$B$143,0))),IF(IFERROR(INDEX(自动规则!$D$4:$D$143,MATCH($F14,自动规则!$B$4:$B$143,0)),"")&amp;""="","其他应付款",INDEX(自动规则!$D$4:$D$143,MATCH($F14,自动规则!$B$4:$B$143,0)))))))</f>
        <v>管理费用</v>
      </c>
      <c r="L14" s="78" t="s">
        <v>710</v>
      </c>
      <c r="M14" s="105" t="str">
        <f aca="false">IF($C14="","",IF(IFERROR(INDEX(科目表!$T$4:$T$123,MATCH($C14,科目表!$K$4:$K$123,0)),"")&amp;""="","其他货币资金",INDEX(科目表!$T$4:$T$123,MATCH($C14,科目表!$K$4:$K$123,0))))</f>
        <v>其他货币资金</v>
      </c>
      <c r="N14" s="39" t="str">
        <f aca="false">IF(OR($C14="",ROUND(N($H14)+N($I14),2)=0),"",IF(N($H14)&gt;0,$M14,$K14))</f>
        <v>管理费用</v>
      </c>
      <c r="O14" s="41" t="n">
        <f aca="false">IF($N14="","",ROUND(N($H14)+N($I14),2))</f>
        <v>30</v>
      </c>
      <c r="P14" s="41" t="n">
        <f aca="false">IF($N14="","",0)</f>
        <v>0</v>
      </c>
      <c r="Q14" s="39" t="str">
        <f aca="false">IF($N14="","",IF(N($H14)&gt;0,$K14,$M14))</f>
        <v>其他货币资金</v>
      </c>
      <c r="R14" s="41" t="n">
        <f aca="false">IF($Q14="","",0)</f>
        <v>0</v>
      </c>
      <c r="S14" s="41" t="n">
        <f aca="false">IF($Q14="","",ROUND(N($H14)+N($I14),2))</f>
        <v>30</v>
      </c>
      <c r="T14" s="42"/>
      <c r="U14" s="44"/>
      <c r="V14" s="41" t="str">
        <f aca="false">IF($B14="","",TEXT($B14,"yyyy年m月"))</f>
        <v>2026年9月</v>
      </c>
      <c r="W14" s="42"/>
      <c r="X14" s="42"/>
      <c r="Y14" s="9"/>
    </row>
    <row r="15" customFormat="false" ht="18" hidden="false" customHeight="true" outlineLevel="0" collapsed="false">
      <c r="A15" s="9" t="n">
        <f aca="false">IF($C15="","",ROW()-3)</f>
        <v>12</v>
      </c>
      <c r="B15" s="76" t="n">
        <v>46266</v>
      </c>
      <c r="C15" s="74" t="s">
        <v>459</v>
      </c>
      <c r="D15" s="78" t="s">
        <v>711</v>
      </c>
      <c r="E15" s="42"/>
      <c r="F15" s="74" t="s">
        <v>400</v>
      </c>
      <c r="G15" s="74" t="s">
        <v>644</v>
      </c>
      <c r="H15" s="44"/>
      <c r="I15" s="44" t="n">
        <v>24.6</v>
      </c>
      <c r="J15" s="103" t="n">
        <f aca="false">IF($C15="","",ROUND(IFERROR(INDEX(期初余额!$I$4:$I$43,MATCH($C15,期初余额!$H$4:$H$43,0)),0)+SUMIFS($H$4:$H15,$C$4:$C15,$C15)-SUMIFS($I$4:$I15,$C$4:$C15,$C15),2))</f>
        <v>74755.4</v>
      </c>
      <c r="K15" s="104" t="str">
        <f aca="false">IF($T15&lt;&gt;"",$T15,IF($C15="","",IF(AND(N($I15)&gt;0,$G15&lt;&gt;""),IF(IFERROR(INDEX(科目表!$U$4:$U$123,MATCH($G15,科目表!$M$4:$M$123,0)),"")&amp;""="","管理费用",INDEX(科目表!$U$4:$U$123,MATCH($G15,科目表!$M$4:$M$123,0))),IF(N($H15)&gt;0,IF(IFERROR(INDEX(自动规则!$C$4:$C$143,MATCH($F15,自动规则!$B$4:$B$143,0)),"")&amp;""="","其他应收款",INDEX(自动规则!$C$4:$C$143,MATCH($F15,自动规则!$B$4:$B$143,0))),IF(IFERROR(INDEX(自动规则!$D$4:$D$143,MATCH($F15,自动规则!$B$4:$B$143,0)),"")&amp;""="","其他应付款",INDEX(自动规则!$D$4:$D$143,MATCH($F15,自动规则!$B$4:$B$143,0)))))))</f>
        <v>管理费用</v>
      </c>
      <c r="L15" s="43" t="n">
        <v>2778</v>
      </c>
      <c r="M15" s="105" t="str">
        <f aca="false">IF($C15="","",IF(IFERROR(INDEX(科目表!$T$4:$T$123,MATCH($C15,科目表!$K$4:$K$123,0)),"")&amp;""="","其他货币资金",INDEX(科目表!$T$4:$T$123,MATCH($C15,科目表!$K$4:$K$123,0))))</f>
        <v>其他货币资金</v>
      </c>
      <c r="N15" s="39" t="str">
        <f aca="false">IF(OR($C15="",ROUND(N($H15)+N($I15),2)=0),"",IF(N($H15)&gt;0,$M15,$K15))</f>
        <v>管理费用</v>
      </c>
      <c r="O15" s="41" t="n">
        <f aca="false">IF($N15="","",ROUND(N($H15)+N($I15),2))</f>
        <v>24.6</v>
      </c>
      <c r="P15" s="41" t="n">
        <f aca="false">IF($N15="","",0)</f>
        <v>0</v>
      </c>
      <c r="Q15" s="39" t="str">
        <f aca="false">IF($N15="","",IF(N($H15)&gt;0,$K15,$M15))</f>
        <v>其他货币资金</v>
      </c>
      <c r="R15" s="41" t="n">
        <f aca="false">IF($Q15="","",0)</f>
        <v>0</v>
      </c>
      <c r="S15" s="41" t="n">
        <f aca="false">IF($Q15="","",ROUND(N($H15)+N($I15),2))</f>
        <v>24.6</v>
      </c>
      <c r="T15" s="42"/>
      <c r="U15" s="44"/>
      <c r="V15" s="41" t="str">
        <f aca="false">IF($B15="","",TEXT($B15,"yyyy年m月"))</f>
        <v>2026年9月</v>
      </c>
      <c r="W15" s="42"/>
      <c r="X15" s="42"/>
      <c r="Y15" s="9"/>
    </row>
    <row r="16" customFormat="false" ht="18" hidden="false" customHeight="true" outlineLevel="0" collapsed="false">
      <c r="A16" s="9" t="n">
        <f aca="false">IF($C16="","",ROW()-3)</f>
        <v>13</v>
      </c>
      <c r="B16" s="76" t="n">
        <v>46267</v>
      </c>
      <c r="C16" s="74" t="s">
        <v>459</v>
      </c>
      <c r="D16" s="78" t="s">
        <v>712</v>
      </c>
      <c r="E16" s="42"/>
      <c r="F16" s="74" t="s">
        <v>386</v>
      </c>
      <c r="G16" s="74" t="s">
        <v>402</v>
      </c>
      <c r="H16" s="44"/>
      <c r="I16" s="44" t="n">
        <v>309</v>
      </c>
      <c r="J16" s="103" t="n">
        <f aca="false">IF($C16="","",ROUND(IFERROR(INDEX(期初余额!$I$4:$I$43,MATCH($C16,期初余额!$H$4:$H$43,0)),0)+SUMIFS($H$4:$H16,$C$4:$C16,$C16)-SUMIFS($I$4:$I16,$C$4:$C16,$C16),2))</f>
        <v>74446.4</v>
      </c>
      <c r="K16" s="104" t="str">
        <f aca="false">IF($T16&lt;&gt;"",$T16,IF($C16="","",IF(AND(N($I16)&gt;0,$G16&lt;&gt;""),IF(IFERROR(INDEX(科目表!$U$4:$U$123,MATCH($G16,科目表!$M$4:$M$123,0)),"")&amp;""="","管理费用",INDEX(科目表!$U$4:$U$123,MATCH($G16,科目表!$M$4:$M$123,0))),IF(N($H16)&gt;0,IF(IFERROR(INDEX(自动规则!$C$4:$C$143,MATCH($F16,自动规则!$B$4:$B$143,0)),"")&amp;""="","其他应收款",INDEX(自动规则!$C$4:$C$143,MATCH($F16,自动规则!$B$4:$B$143,0))),IF(IFERROR(INDEX(自动规则!$D$4:$D$143,MATCH($F16,自动规则!$B$4:$B$143,0)),"")&amp;""="","其他应付款",INDEX(自动规则!$D$4:$D$143,MATCH($F16,自动规则!$B$4:$B$143,0)))))))</f>
        <v>其他应收款</v>
      </c>
      <c r="L16" s="78" t="s">
        <v>713</v>
      </c>
      <c r="M16" s="105" t="str">
        <f aca="false">IF($C16="","",IF(IFERROR(INDEX(科目表!$T$4:$T$123,MATCH($C16,科目表!$K$4:$K$123,0)),"")&amp;""="","其他货币资金",INDEX(科目表!$T$4:$T$123,MATCH($C16,科目表!$K$4:$K$123,0))))</f>
        <v>其他货币资金</v>
      </c>
      <c r="N16" s="39" t="str">
        <f aca="false">IF(OR($C16="",ROUND(N($H16)+N($I16),2)=0),"",IF(N($H16)&gt;0,$M16,$K16))</f>
        <v>其他应收款</v>
      </c>
      <c r="O16" s="41" t="n">
        <f aca="false">IF($N16="","",ROUND(N($H16)+N($I16),2))</f>
        <v>309</v>
      </c>
      <c r="P16" s="41" t="n">
        <f aca="false">IF($N16="","",0)</f>
        <v>0</v>
      </c>
      <c r="Q16" s="39" t="str">
        <f aca="false">IF($N16="","",IF(N($H16)&gt;0,$K16,$M16))</f>
        <v>其他货币资金</v>
      </c>
      <c r="R16" s="41" t="n">
        <f aca="false">IF($Q16="","",0)</f>
        <v>0</v>
      </c>
      <c r="S16" s="41" t="n">
        <f aca="false">IF($Q16="","",ROUND(N($H16)+N($I16),2))</f>
        <v>309</v>
      </c>
      <c r="T16" s="42"/>
      <c r="U16" s="44"/>
      <c r="V16" s="41" t="str">
        <f aca="false">IF($B16="","",TEXT($B16,"yyyy年m月"))</f>
        <v>2026年9月</v>
      </c>
      <c r="W16" s="42"/>
      <c r="X16" s="42"/>
      <c r="Y16" s="9"/>
    </row>
    <row r="17" customFormat="false" ht="18" hidden="false" customHeight="true" outlineLevel="0" collapsed="false">
      <c r="A17" s="9" t="n">
        <f aca="false">IF($C17="","",ROW()-3)</f>
        <v>14</v>
      </c>
      <c r="B17" s="76" t="n">
        <v>46267</v>
      </c>
      <c r="C17" s="74" t="s">
        <v>459</v>
      </c>
      <c r="D17" s="78" t="s">
        <v>714</v>
      </c>
      <c r="E17" s="42"/>
      <c r="F17" s="74" t="s">
        <v>386</v>
      </c>
      <c r="G17" s="74" t="s">
        <v>667</v>
      </c>
      <c r="H17" s="44"/>
      <c r="I17" s="44" t="n">
        <v>50</v>
      </c>
      <c r="J17" s="103" t="n">
        <f aca="false">IF($C17="","",ROUND(IFERROR(INDEX(期初余额!$I$4:$I$43,MATCH($C17,期初余额!$H$4:$H$43,0)),0)+SUMIFS($H$4:$H17,$C$4:$C17,$C17)-SUMIFS($I$4:$I17,$C$4:$C17,$C17),2))</f>
        <v>74396.4</v>
      </c>
      <c r="K17" s="104" t="str">
        <f aca="false">IF($T17&lt;&gt;"",$T17,IF($C17="","",IF(AND(N($I17)&gt;0,$G17&lt;&gt;""),IF(IFERROR(INDEX(科目表!$U$4:$U$123,MATCH($G17,科目表!$M$4:$M$123,0)),"")&amp;""="","管理费用",INDEX(科目表!$U$4:$U$123,MATCH($G17,科目表!$M$4:$M$123,0))),IF(N($H17)&gt;0,IF(IFERROR(INDEX(自动规则!$C$4:$C$143,MATCH($F17,自动规则!$B$4:$B$143,0)),"")&amp;""="","其他应收款",INDEX(自动规则!$C$4:$C$143,MATCH($F17,自动规则!$B$4:$B$143,0))),IF(IFERROR(INDEX(自动规则!$D$4:$D$143,MATCH($F17,自动规则!$B$4:$B$143,0)),"")&amp;""="","其他应付款",INDEX(自动规则!$D$4:$D$143,MATCH($F17,自动规则!$B$4:$B$143,0)))))))</f>
        <v>其他应收款</v>
      </c>
      <c r="L17" s="78" t="s">
        <v>710</v>
      </c>
      <c r="M17" s="105" t="str">
        <f aca="false">IF($C17="","",IF(IFERROR(INDEX(科目表!$T$4:$T$123,MATCH($C17,科目表!$K$4:$K$123,0)),"")&amp;""="","其他货币资金",INDEX(科目表!$T$4:$T$123,MATCH($C17,科目表!$K$4:$K$123,0))))</f>
        <v>其他货币资金</v>
      </c>
      <c r="N17" s="39" t="str">
        <f aca="false">IF(OR($C17="",ROUND(N($H17)+N($I17),2)=0),"",IF(N($H17)&gt;0,$M17,$K17))</f>
        <v>其他应收款</v>
      </c>
      <c r="O17" s="41" t="n">
        <f aca="false">IF($N17="","",ROUND(N($H17)+N($I17),2))</f>
        <v>50</v>
      </c>
      <c r="P17" s="41" t="n">
        <f aca="false">IF($N17="","",0)</f>
        <v>0</v>
      </c>
      <c r="Q17" s="39" t="str">
        <f aca="false">IF($N17="","",IF(N($H17)&gt;0,$K17,$M17))</f>
        <v>其他货币资金</v>
      </c>
      <c r="R17" s="41" t="n">
        <f aca="false">IF($Q17="","",0)</f>
        <v>0</v>
      </c>
      <c r="S17" s="41" t="n">
        <f aca="false">IF($Q17="","",ROUND(N($H17)+N($I17),2))</f>
        <v>50</v>
      </c>
      <c r="T17" s="42"/>
      <c r="U17" s="44"/>
      <c r="V17" s="41" t="str">
        <f aca="false">IF($B17="","",TEXT($B17,"yyyy年m月"))</f>
        <v>2026年9月</v>
      </c>
      <c r="W17" s="42"/>
      <c r="X17" s="42"/>
      <c r="Y17" s="9"/>
    </row>
    <row r="18" customFormat="false" ht="18" hidden="false" customHeight="true" outlineLevel="0" collapsed="false">
      <c r="A18" s="9" t="n">
        <f aca="false">IF($C18="","",ROW()-3)</f>
        <v>15</v>
      </c>
      <c r="B18" s="76" t="n">
        <v>46267</v>
      </c>
      <c r="C18" s="74" t="s">
        <v>459</v>
      </c>
      <c r="D18" s="78" t="s">
        <v>566</v>
      </c>
      <c r="E18" s="42"/>
      <c r="F18" s="74" t="s">
        <v>386</v>
      </c>
      <c r="G18" s="74" t="s">
        <v>566</v>
      </c>
      <c r="H18" s="44"/>
      <c r="I18" s="44" t="n">
        <v>7</v>
      </c>
      <c r="J18" s="103" t="n">
        <f aca="false">IF($C18="","",ROUND(IFERROR(INDEX(期初余额!$I$4:$I$43,MATCH($C18,期初余额!$H$4:$H$43,0)),0)+SUMIFS($H$4:$H18,$C$4:$C18,$C18)-SUMIFS($I$4:$I18,$C$4:$C18,$C18),2))</f>
        <v>74389.4</v>
      </c>
      <c r="K18" s="104" t="str">
        <f aca="false">IF($T18&lt;&gt;"",$T18,IF($C18="","",IF(AND(N($I18)&gt;0,$G18&lt;&gt;""),IF(IFERROR(INDEX(科目表!$U$4:$U$123,MATCH($G18,科目表!$M$4:$M$123,0)),"")&amp;""="","管理费用",INDEX(科目表!$U$4:$U$123,MATCH($G18,科目表!$M$4:$M$123,0))),IF(N($H18)&gt;0,IF(IFERROR(INDEX(自动规则!$C$4:$C$143,MATCH($F18,自动规则!$B$4:$B$143,0)),"")&amp;""="","其他应收款",INDEX(自动规则!$C$4:$C$143,MATCH($F18,自动规则!$B$4:$B$143,0))),IF(IFERROR(INDEX(自动规则!$D$4:$D$143,MATCH($F18,自动规则!$B$4:$B$143,0)),"")&amp;""="","其他应付款",INDEX(自动规则!$D$4:$D$143,MATCH($F18,自动规则!$B$4:$B$143,0)))))))</f>
        <v>管理费用</v>
      </c>
      <c r="L18" s="43"/>
      <c r="M18" s="105" t="str">
        <f aca="false">IF($C18="","",IF(IFERROR(INDEX(科目表!$T$4:$T$123,MATCH($C18,科目表!$K$4:$K$123,0)),"")&amp;""="","其他货币资金",INDEX(科目表!$T$4:$T$123,MATCH($C18,科目表!$K$4:$K$123,0))))</f>
        <v>其他货币资金</v>
      </c>
      <c r="N18" s="39" t="str">
        <f aca="false">IF(OR($C18="",ROUND(N($H18)+N($I18),2)=0),"",IF(N($H18)&gt;0,$M18,$K18))</f>
        <v>管理费用</v>
      </c>
      <c r="O18" s="41" t="n">
        <f aca="false">IF($N18="","",ROUND(N($H18)+N($I18),2))</f>
        <v>7</v>
      </c>
      <c r="P18" s="41" t="n">
        <f aca="false">IF($N18="","",0)</f>
        <v>0</v>
      </c>
      <c r="Q18" s="39" t="str">
        <f aca="false">IF($N18="","",IF(N($H18)&gt;0,$K18,$M18))</f>
        <v>其他货币资金</v>
      </c>
      <c r="R18" s="41" t="n">
        <f aca="false">IF($Q18="","",0)</f>
        <v>0</v>
      </c>
      <c r="S18" s="41" t="n">
        <f aca="false">IF($Q18="","",ROUND(N($H18)+N($I18),2))</f>
        <v>7</v>
      </c>
      <c r="T18" s="42"/>
      <c r="U18" s="44"/>
      <c r="V18" s="41" t="str">
        <f aca="false">IF($B18="","",TEXT($B18,"yyyy年m月"))</f>
        <v>2026年9月</v>
      </c>
      <c r="W18" s="42"/>
      <c r="X18" s="42"/>
      <c r="Y18" s="9"/>
    </row>
    <row r="19" customFormat="false" ht="18" hidden="false" customHeight="true" outlineLevel="0" collapsed="false">
      <c r="A19" s="9" t="n">
        <f aca="false">IF($C19="","",ROW()-3)</f>
        <v>16</v>
      </c>
      <c r="B19" s="76" t="n">
        <v>46267</v>
      </c>
      <c r="C19" s="74" t="s">
        <v>459</v>
      </c>
      <c r="D19" s="78" t="s">
        <v>715</v>
      </c>
      <c r="E19" s="42"/>
      <c r="F19" s="74" t="s">
        <v>386</v>
      </c>
      <c r="G19" s="74" t="s">
        <v>676</v>
      </c>
      <c r="H19" s="44"/>
      <c r="I19" s="44" t="n">
        <v>11.2</v>
      </c>
      <c r="J19" s="103" t="n">
        <f aca="false">IF($C19="","",ROUND(IFERROR(INDEX(期初余额!$I$4:$I$43,MATCH($C19,期初余额!$H$4:$H$43,0)),0)+SUMIFS($H$4:$H19,$C$4:$C19,$C19)-SUMIFS($I$4:$I19,$C$4:$C19,$C19),2))</f>
        <v>74378.2</v>
      </c>
      <c r="K19" s="104" t="str">
        <f aca="false">IF($T19&lt;&gt;"",$T19,IF($C19="","",IF(AND(N($I19)&gt;0,$G19&lt;&gt;""),IF(IFERROR(INDEX(科目表!$U$4:$U$123,MATCH($G19,科目表!$M$4:$M$123,0)),"")&amp;""="","管理费用",INDEX(科目表!$U$4:$U$123,MATCH($G19,科目表!$M$4:$M$123,0))),IF(N($H19)&gt;0,IF(IFERROR(INDEX(自动规则!$C$4:$C$143,MATCH($F19,自动规则!$B$4:$B$143,0)),"")&amp;""="","其他应收款",INDEX(自动规则!$C$4:$C$143,MATCH($F19,自动规则!$B$4:$B$143,0))),IF(IFERROR(INDEX(自动规则!$D$4:$D$143,MATCH($F19,自动规则!$B$4:$B$143,0)),"")&amp;""="","其他应付款",INDEX(自动规则!$D$4:$D$143,MATCH($F19,自动规则!$B$4:$B$143,0)))))))</f>
        <v>管理费用</v>
      </c>
      <c r="L19" s="43"/>
      <c r="M19" s="105" t="str">
        <f aca="false">IF($C19="","",IF(IFERROR(INDEX(科目表!$T$4:$T$123,MATCH($C19,科目表!$K$4:$K$123,0)),"")&amp;""="","其他货币资金",INDEX(科目表!$T$4:$T$123,MATCH($C19,科目表!$K$4:$K$123,0))))</f>
        <v>其他货币资金</v>
      </c>
      <c r="N19" s="39" t="str">
        <f aca="false">IF(OR($C19="",ROUND(N($H19)+N($I19),2)=0),"",IF(N($H19)&gt;0,$M19,$K19))</f>
        <v>管理费用</v>
      </c>
      <c r="O19" s="41" t="n">
        <f aca="false">IF($N19="","",ROUND(N($H19)+N($I19),2))</f>
        <v>11.2</v>
      </c>
      <c r="P19" s="41" t="n">
        <f aca="false">IF($N19="","",0)</f>
        <v>0</v>
      </c>
      <c r="Q19" s="39" t="str">
        <f aca="false">IF($N19="","",IF(N($H19)&gt;0,$K19,$M19))</f>
        <v>其他货币资金</v>
      </c>
      <c r="R19" s="41" t="n">
        <f aca="false">IF($Q19="","",0)</f>
        <v>0</v>
      </c>
      <c r="S19" s="41" t="n">
        <f aca="false">IF($Q19="","",ROUND(N($H19)+N($I19),2))</f>
        <v>11.2</v>
      </c>
      <c r="T19" s="42"/>
      <c r="U19" s="44"/>
      <c r="V19" s="41" t="str">
        <f aca="false">IF($B19="","",TEXT($B19,"yyyy年m月"))</f>
        <v>2026年9月</v>
      </c>
      <c r="W19" s="42"/>
      <c r="X19" s="42"/>
      <c r="Y19" s="9"/>
    </row>
    <row r="20" customFormat="false" ht="18" hidden="false" customHeight="true" outlineLevel="0" collapsed="false">
      <c r="A20" s="9" t="n">
        <f aca="false">IF($C20="","",ROW()-3)</f>
        <v>17</v>
      </c>
      <c r="B20" s="76" t="n">
        <v>46267</v>
      </c>
      <c r="C20" s="74" t="s">
        <v>459</v>
      </c>
      <c r="D20" s="78" t="s">
        <v>677</v>
      </c>
      <c r="E20" s="42"/>
      <c r="F20" s="74" t="s">
        <v>386</v>
      </c>
      <c r="G20" s="74" t="s">
        <v>676</v>
      </c>
      <c r="H20" s="44"/>
      <c r="I20" s="44" t="n">
        <v>8</v>
      </c>
      <c r="J20" s="103" t="n">
        <f aca="false">IF($C20="","",ROUND(IFERROR(INDEX(期初余额!$I$4:$I$43,MATCH($C20,期初余额!$H$4:$H$43,0)),0)+SUMIFS($H$4:$H20,$C$4:$C20,$C20)-SUMIFS($I$4:$I20,$C$4:$C20,$C20),2))</f>
        <v>74370.2</v>
      </c>
      <c r="K20" s="104" t="str">
        <f aca="false">IF($T20&lt;&gt;"",$T20,IF($C20="","",IF(AND(N($I20)&gt;0,$G20&lt;&gt;""),IF(IFERROR(INDEX(科目表!$U$4:$U$123,MATCH($G20,科目表!$M$4:$M$123,0)),"")&amp;""="","管理费用",INDEX(科目表!$U$4:$U$123,MATCH($G20,科目表!$M$4:$M$123,0))),IF(N($H20)&gt;0,IF(IFERROR(INDEX(自动规则!$C$4:$C$143,MATCH($F20,自动规则!$B$4:$B$143,0)),"")&amp;""="","其他应收款",INDEX(自动规则!$C$4:$C$143,MATCH($F20,自动规则!$B$4:$B$143,0))),IF(IFERROR(INDEX(自动规则!$D$4:$D$143,MATCH($F20,自动规则!$B$4:$B$143,0)),"")&amp;""="","其他应付款",INDEX(自动规则!$D$4:$D$143,MATCH($F20,自动规则!$B$4:$B$143,0)))))))</f>
        <v>管理费用</v>
      </c>
      <c r="L20" s="43"/>
      <c r="M20" s="105" t="str">
        <f aca="false">IF($C20="","",IF(IFERROR(INDEX(科目表!$T$4:$T$123,MATCH($C20,科目表!$K$4:$K$123,0)),"")&amp;""="","其他货币资金",INDEX(科目表!$T$4:$T$123,MATCH($C20,科目表!$K$4:$K$123,0))))</f>
        <v>其他货币资金</v>
      </c>
      <c r="N20" s="39" t="str">
        <f aca="false">IF(OR($C20="",ROUND(N($H20)+N($I20),2)=0),"",IF(N($H20)&gt;0,$M20,$K20))</f>
        <v>管理费用</v>
      </c>
      <c r="O20" s="41" t="n">
        <f aca="false">IF($N20="","",ROUND(N($H20)+N($I20),2))</f>
        <v>8</v>
      </c>
      <c r="P20" s="41" t="n">
        <f aca="false">IF($N20="","",0)</f>
        <v>0</v>
      </c>
      <c r="Q20" s="39" t="str">
        <f aca="false">IF($N20="","",IF(N($H20)&gt;0,$K20,$M20))</f>
        <v>其他货币资金</v>
      </c>
      <c r="R20" s="41" t="n">
        <f aca="false">IF($Q20="","",0)</f>
        <v>0</v>
      </c>
      <c r="S20" s="41" t="n">
        <f aca="false">IF($Q20="","",ROUND(N($H20)+N($I20),2))</f>
        <v>8</v>
      </c>
      <c r="T20" s="42"/>
      <c r="U20" s="44"/>
      <c r="V20" s="41" t="str">
        <f aca="false">IF($B20="","",TEXT($B20,"yyyy年m月"))</f>
        <v>2026年9月</v>
      </c>
      <c r="W20" s="42"/>
      <c r="X20" s="42"/>
      <c r="Y20" s="9"/>
    </row>
    <row r="21" customFormat="false" ht="18" hidden="false" customHeight="true" outlineLevel="0" collapsed="false">
      <c r="A21" s="9" t="n">
        <f aca="false">IF($C21="","",ROW()-3)</f>
        <v>18</v>
      </c>
      <c r="B21" s="76" t="n">
        <v>46268</v>
      </c>
      <c r="C21" s="74" t="s">
        <v>459</v>
      </c>
      <c r="D21" s="78" t="s">
        <v>716</v>
      </c>
      <c r="E21" s="42"/>
      <c r="F21" s="74" t="s">
        <v>406</v>
      </c>
      <c r="G21" s="74"/>
      <c r="H21" s="44" t="n">
        <v>111</v>
      </c>
      <c r="I21" s="44"/>
      <c r="J21" s="103" t="n">
        <f aca="false">IF($C21="","",ROUND(IFERROR(INDEX(期初余额!$I$4:$I$43,MATCH($C21,期初余额!$H$4:$H$43,0)),0)+SUMIFS($H$4:$H21,$C$4:$C21,$C21)-SUMIFS($I$4:$I21,$C$4:$C21,$C21),2))</f>
        <v>74481.2</v>
      </c>
      <c r="K21" s="104" t="str">
        <f aca="false">IF($T21&lt;&gt;"",$T21,IF($C21="","",IF(AND(N($I21)&gt;0,$G21&lt;&gt;""),IF(IFERROR(INDEX(科目表!$U$4:$U$123,MATCH($G21,科目表!$M$4:$M$123,0)),"")&amp;""="","管理费用",INDEX(科目表!$U$4:$U$123,MATCH($G21,科目表!$M$4:$M$123,0))),IF(N($H21)&gt;0,IF(IFERROR(INDEX(自动规则!$C$4:$C$143,MATCH($F21,自动规则!$B$4:$B$143,0)),"")&amp;""="","其他应收款",INDEX(自动规则!$C$4:$C$143,MATCH($F21,自动规则!$B$4:$B$143,0))),IF(IFERROR(INDEX(自动规则!$D$4:$D$143,MATCH($F21,自动规则!$B$4:$B$143,0)),"")&amp;""="","其他应付款",INDEX(自动规则!$D$4:$D$143,MATCH($F21,自动规则!$B$4:$B$143,0)))))))</f>
        <v>其他应收款</v>
      </c>
      <c r="L21" s="43"/>
      <c r="M21" s="105" t="str">
        <f aca="false">IF($C21="","",IF(IFERROR(INDEX(科目表!$T$4:$T$123,MATCH($C21,科目表!$K$4:$K$123,0)),"")&amp;""="","其他货币资金",INDEX(科目表!$T$4:$T$123,MATCH($C21,科目表!$K$4:$K$123,0))))</f>
        <v>其他货币资金</v>
      </c>
      <c r="N21" s="39" t="str">
        <f aca="false">IF(OR($C21="",ROUND(N($H21)+N($I21),2)=0),"",IF(N($H21)&gt;0,$M21,$K21))</f>
        <v>其他货币资金</v>
      </c>
      <c r="O21" s="41" t="n">
        <f aca="false">IF($N21="","",ROUND(N($H21)+N($I21),2))</f>
        <v>111</v>
      </c>
      <c r="P21" s="41" t="n">
        <f aca="false">IF($N21="","",0)</f>
        <v>0</v>
      </c>
      <c r="Q21" s="39" t="str">
        <f aca="false">IF($N21="","",IF(N($H21)&gt;0,$K21,$M21))</f>
        <v>其他应收款</v>
      </c>
      <c r="R21" s="41" t="n">
        <f aca="false">IF($Q21="","",0)</f>
        <v>0</v>
      </c>
      <c r="S21" s="41" t="n">
        <f aca="false">IF($Q21="","",ROUND(N($H21)+N($I21),2))</f>
        <v>111</v>
      </c>
      <c r="T21" s="42"/>
      <c r="U21" s="44"/>
      <c r="V21" s="41" t="str">
        <f aca="false">IF($B21="","",TEXT($B21,"yyyy年m月"))</f>
        <v>2026年9月</v>
      </c>
      <c r="W21" s="42"/>
      <c r="X21" s="42"/>
      <c r="Y21" s="9"/>
    </row>
    <row r="22" customFormat="false" ht="18" hidden="false" customHeight="true" outlineLevel="0" collapsed="false">
      <c r="A22" s="9" t="n">
        <f aca="false">IF($C22="","",ROW()-3)</f>
        <v>19</v>
      </c>
      <c r="B22" s="76" t="n">
        <v>46268</v>
      </c>
      <c r="C22" s="74" t="s">
        <v>459</v>
      </c>
      <c r="D22" s="78" t="s">
        <v>717</v>
      </c>
      <c r="E22" s="42"/>
      <c r="F22" s="74" t="s">
        <v>404</v>
      </c>
      <c r="G22" s="74" t="s">
        <v>659</v>
      </c>
      <c r="H22" s="44" t="n">
        <v>96</v>
      </c>
      <c r="I22" s="44"/>
      <c r="J22" s="103" t="n">
        <f aca="false">IF($C22="","",ROUND(IFERROR(INDEX(期初余额!$I$4:$I$43,MATCH($C22,期初余额!$H$4:$H$43,0)),0)+SUMIFS($H$4:$H22,$C$4:$C22,$C22)-SUMIFS($I$4:$I22,$C$4:$C22,$C22),2))</f>
        <v>74577.2</v>
      </c>
      <c r="K22" s="104" t="str">
        <f aca="false">IF($T22&lt;&gt;"",$T22,IF($C22="","",IF(AND(N($I22)&gt;0,$G22&lt;&gt;""),IF(IFERROR(INDEX(科目表!$U$4:$U$123,MATCH($G22,科目表!$M$4:$M$123,0)),"")&amp;""="","管理费用",INDEX(科目表!$U$4:$U$123,MATCH($G22,科目表!$M$4:$M$123,0))),IF(N($H22)&gt;0,IF(IFERROR(INDEX(自动规则!$C$4:$C$143,MATCH($F22,自动规则!$B$4:$B$143,0)),"")&amp;""="","其他应收款",INDEX(自动规则!$C$4:$C$143,MATCH($F22,自动规则!$B$4:$B$143,0))),IF(IFERROR(INDEX(自动规则!$D$4:$D$143,MATCH($F22,自动规则!$B$4:$B$143,0)),"")&amp;""="","其他应付款",INDEX(自动规则!$D$4:$D$143,MATCH($F22,自动规则!$B$4:$B$143,0)))))))</f>
        <v>应收账款</v>
      </c>
      <c r="L22" s="78" t="s">
        <v>463</v>
      </c>
      <c r="M22" s="105" t="str">
        <f aca="false">IF($C22="","",IF(IFERROR(INDEX(科目表!$T$4:$T$123,MATCH($C22,科目表!$K$4:$K$123,0)),"")&amp;""="","其他货币资金",INDEX(科目表!$T$4:$T$123,MATCH($C22,科目表!$K$4:$K$123,0))))</f>
        <v>其他货币资金</v>
      </c>
      <c r="N22" s="39" t="str">
        <f aca="false">IF(OR($C22="",ROUND(N($H22)+N($I22),2)=0),"",IF(N($H22)&gt;0,$M22,$K22))</f>
        <v>其他货币资金</v>
      </c>
      <c r="O22" s="41" t="n">
        <f aca="false">IF($N22="","",ROUND(N($H22)+N($I22),2))</f>
        <v>96</v>
      </c>
      <c r="P22" s="41" t="n">
        <f aca="false">IF($N22="","",0)</f>
        <v>0</v>
      </c>
      <c r="Q22" s="39" t="str">
        <f aca="false">IF($N22="","",IF(N($H22)&gt;0,$K22,$M22))</f>
        <v>应收账款</v>
      </c>
      <c r="R22" s="41" t="n">
        <f aca="false">IF($Q22="","",0)</f>
        <v>0</v>
      </c>
      <c r="S22" s="41" t="n">
        <f aca="false">IF($Q22="","",ROUND(N($H22)+N($I22),2))</f>
        <v>96</v>
      </c>
      <c r="T22" s="42"/>
      <c r="U22" s="44"/>
      <c r="V22" s="41" t="str">
        <f aca="false">IF($B22="","",TEXT($B22,"yyyy年m月"))</f>
        <v>2026年9月</v>
      </c>
      <c r="W22" s="42"/>
      <c r="X22" s="42"/>
      <c r="Y22" s="9"/>
    </row>
    <row r="23" customFormat="false" ht="18" hidden="false" customHeight="true" outlineLevel="0" collapsed="false">
      <c r="A23" s="9" t="n">
        <f aca="false">IF($C23="","",ROW()-3)</f>
        <v>20</v>
      </c>
      <c r="B23" s="76" t="n">
        <v>46268</v>
      </c>
      <c r="C23" s="74" t="s">
        <v>459</v>
      </c>
      <c r="D23" s="78" t="s">
        <v>717</v>
      </c>
      <c r="E23" s="42"/>
      <c r="F23" s="74" t="s">
        <v>404</v>
      </c>
      <c r="G23" s="74" t="s">
        <v>659</v>
      </c>
      <c r="H23" s="44" t="n">
        <v>96</v>
      </c>
      <c r="I23" s="44"/>
      <c r="J23" s="103" t="n">
        <f aca="false">IF($C23="","",ROUND(IFERROR(INDEX(期初余额!$I$4:$I$43,MATCH($C23,期初余额!$H$4:$H$43,0)),0)+SUMIFS($H$4:$H23,$C$4:$C23,$C23)-SUMIFS($I$4:$I23,$C$4:$C23,$C23),2))</f>
        <v>74673.2</v>
      </c>
      <c r="K23" s="104" t="str">
        <f aca="false">IF($T23&lt;&gt;"",$T23,IF($C23="","",IF(AND(N($I23)&gt;0,$G23&lt;&gt;""),IF(IFERROR(INDEX(科目表!$U$4:$U$123,MATCH($G23,科目表!$M$4:$M$123,0)),"")&amp;""="","管理费用",INDEX(科目表!$U$4:$U$123,MATCH($G23,科目表!$M$4:$M$123,0))),IF(N($H23)&gt;0,IF(IFERROR(INDEX(自动规则!$C$4:$C$143,MATCH($F23,自动规则!$B$4:$B$143,0)),"")&amp;""="","其他应收款",INDEX(自动规则!$C$4:$C$143,MATCH($F23,自动规则!$B$4:$B$143,0))),IF(IFERROR(INDEX(自动规则!$D$4:$D$143,MATCH($F23,自动规则!$B$4:$B$143,0)),"")&amp;""="","其他应付款",INDEX(自动规则!$D$4:$D$143,MATCH($F23,自动规则!$B$4:$B$143,0)))))))</f>
        <v>应收账款</v>
      </c>
      <c r="L23" s="78" t="s">
        <v>718</v>
      </c>
      <c r="M23" s="105" t="str">
        <f aca="false">IF($C23="","",IF(IFERROR(INDEX(科目表!$T$4:$T$123,MATCH($C23,科目表!$K$4:$K$123,0)),"")&amp;""="","其他货币资金",INDEX(科目表!$T$4:$T$123,MATCH($C23,科目表!$K$4:$K$123,0))))</f>
        <v>其他货币资金</v>
      </c>
      <c r="N23" s="39" t="str">
        <f aca="false">IF(OR($C23="",ROUND(N($H23)+N($I23),2)=0),"",IF(N($H23)&gt;0,$M23,$K23))</f>
        <v>其他货币资金</v>
      </c>
      <c r="O23" s="41" t="n">
        <f aca="false">IF($N23="","",ROUND(N($H23)+N($I23),2))</f>
        <v>96</v>
      </c>
      <c r="P23" s="41" t="n">
        <f aca="false">IF($N23="","",0)</f>
        <v>0</v>
      </c>
      <c r="Q23" s="39" t="str">
        <f aca="false">IF($N23="","",IF(N($H23)&gt;0,$K23,$M23))</f>
        <v>应收账款</v>
      </c>
      <c r="R23" s="41" t="n">
        <f aca="false">IF($Q23="","",0)</f>
        <v>0</v>
      </c>
      <c r="S23" s="41" t="n">
        <f aca="false">IF($Q23="","",ROUND(N($H23)+N($I23),2))</f>
        <v>96</v>
      </c>
      <c r="T23" s="42"/>
      <c r="U23" s="44"/>
      <c r="V23" s="41" t="str">
        <f aca="false">IF($B23="","",TEXT($B23,"yyyy年m月"))</f>
        <v>2026年9月</v>
      </c>
      <c r="W23" s="42"/>
      <c r="X23" s="42"/>
      <c r="Y23" s="9"/>
    </row>
    <row r="24" customFormat="false" ht="18" hidden="false" customHeight="true" outlineLevel="0" collapsed="false">
      <c r="A24" s="9" t="n">
        <f aca="false">IF($C24="","",ROW()-3)</f>
        <v>21</v>
      </c>
      <c r="B24" s="76" t="n">
        <v>46268</v>
      </c>
      <c r="C24" s="74" t="s">
        <v>459</v>
      </c>
      <c r="D24" s="78" t="s">
        <v>678</v>
      </c>
      <c r="E24" s="42"/>
      <c r="F24" s="74" t="s">
        <v>386</v>
      </c>
      <c r="G24" s="74" t="s">
        <v>678</v>
      </c>
      <c r="H24" s="44"/>
      <c r="I24" s="44" t="n">
        <v>14</v>
      </c>
      <c r="J24" s="103" t="n">
        <f aca="false">IF($C24="","",ROUND(IFERROR(INDEX(期初余额!$I$4:$I$43,MATCH($C24,期初余额!$H$4:$H$43,0)),0)+SUMIFS($H$4:$H24,$C$4:$C24,$C24)-SUMIFS($I$4:$I24,$C$4:$C24,$C24),2))</f>
        <v>74659.2</v>
      </c>
      <c r="K24" s="104" t="str">
        <f aca="false">IF($T24&lt;&gt;"",$T24,IF($C24="","",IF(AND(N($I24)&gt;0,$G24&lt;&gt;""),IF(IFERROR(INDEX(科目表!$U$4:$U$123,MATCH($G24,科目表!$M$4:$M$123,0)),"")&amp;""="","管理费用",INDEX(科目表!$U$4:$U$123,MATCH($G24,科目表!$M$4:$M$123,0))),IF(N($H24)&gt;0,IF(IFERROR(INDEX(自动规则!$C$4:$C$143,MATCH($F24,自动规则!$B$4:$B$143,0)),"")&amp;""="","其他应收款",INDEX(自动规则!$C$4:$C$143,MATCH($F24,自动规则!$B$4:$B$143,0))),IF(IFERROR(INDEX(自动规则!$D$4:$D$143,MATCH($F24,自动规则!$B$4:$B$143,0)),"")&amp;""="","其他应付款",INDEX(自动规则!$D$4:$D$143,MATCH($F24,自动规则!$B$4:$B$143,0)))))))</f>
        <v>销售费用</v>
      </c>
      <c r="L24" s="43"/>
      <c r="M24" s="105" t="str">
        <f aca="false">IF($C24="","",IF(IFERROR(INDEX(科目表!$T$4:$T$123,MATCH($C24,科目表!$K$4:$K$123,0)),"")&amp;""="","其他货币资金",INDEX(科目表!$T$4:$T$123,MATCH($C24,科目表!$K$4:$K$123,0))))</f>
        <v>其他货币资金</v>
      </c>
      <c r="N24" s="39" t="str">
        <f aca="false">IF(OR($C24="",ROUND(N($H24)+N($I24),2)=0),"",IF(N($H24)&gt;0,$M24,$K24))</f>
        <v>销售费用</v>
      </c>
      <c r="O24" s="41" t="n">
        <f aca="false">IF($N24="","",ROUND(N($H24)+N($I24),2))</f>
        <v>14</v>
      </c>
      <c r="P24" s="41" t="n">
        <f aca="false">IF($N24="","",0)</f>
        <v>0</v>
      </c>
      <c r="Q24" s="39" t="str">
        <f aca="false">IF($N24="","",IF(N($H24)&gt;0,$K24,$M24))</f>
        <v>其他货币资金</v>
      </c>
      <c r="R24" s="41" t="n">
        <f aca="false">IF($Q24="","",0)</f>
        <v>0</v>
      </c>
      <c r="S24" s="41" t="n">
        <f aca="false">IF($Q24="","",ROUND(N($H24)+N($I24),2))</f>
        <v>14</v>
      </c>
      <c r="T24" s="42"/>
      <c r="U24" s="44"/>
      <c r="V24" s="41" t="str">
        <f aca="false">IF($B24="","",TEXT($B24,"yyyy年m月"))</f>
        <v>2026年9月</v>
      </c>
      <c r="W24" s="42"/>
      <c r="X24" s="42"/>
      <c r="Y24" s="9"/>
    </row>
    <row r="25" customFormat="false" ht="18" hidden="false" customHeight="true" outlineLevel="0" collapsed="false">
      <c r="A25" s="9" t="n">
        <f aca="false">IF($C25="","",ROW()-3)</f>
        <v>22</v>
      </c>
      <c r="B25" s="76" t="n">
        <v>46268</v>
      </c>
      <c r="C25" s="74" t="s">
        <v>459</v>
      </c>
      <c r="D25" s="78" t="s">
        <v>719</v>
      </c>
      <c r="E25" s="42"/>
      <c r="F25" s="74" t="s">
        <v>412</v>
      </c>
      <c r="G25" s="74" t="s">
        <v>412</v>
      </c>
      <c r="H25" s="44"/>
      <c r="I25" s="44" t="n">
        <v>30</v>
      </c>
      <c r="J25" s="103" t="n">
        <f aca="false">IF($C25="","",ROUND(IFERROR(INDEX(期初余额!$I$4:$I$43,MATCH($C25,期初余额!$H$4:$H$43,0)),0)+SUMIFS($H$4:$H25,$C$4:$C25,$C25)-SUMIFS($I$4:$I25,$C$4:$C25,$C25),2))</f>
        <v>74629.2</v>
      </c>
      <c r="K25" s="104" t="str">
        <f aca="false">IF($T25&lt;&gt;"",$T25,IF($C25="","",IF(AND(N($I25)&gt;0,$G25&lt;&gt;""),IF(IFERROR(INDEX(科目表!$U$4:$U$123,MATCH($G25,科目表!$M$4:$M$123,0)),"")&amp;""="","管理费用",INDEX(科目表!$U$4:$U$123,MATCH($G25,科目表!$M$4:$M$123,0))),IF(N($H25)&gt;0,IF(IFERROR(INDEX(自动规则!$C$4:$C$143,MATCH($F25,自动规则!$B$4:$B$143,0)),"")&amp;""="","其他应收款",INDEX(自动规则!$C$4:$C$143,MATCH($F25,自动规则!$B$4:$B$143,0))),IF(IFERROR(INDEX(自动规则!$D$4:$D$143,MATCH($F25,自动规则!$B$4:$B$143,0)),"")&amp;""="","其他应付款",INDEX(自动规则!$D$4:$D$143,MATCH($F25,自动规则!$B$4:$B$143,0)))))))</f>
        <v>财务费用</v>
      </c>
      <c r="L25" s="43"/>
      <c r="M25" s="105" t="str">
        <f aca="false">IF($C25="","",IF(IFERROR(INDEX(科目表!$T$4:$T$123,MATCH($C25,科目表!$K$4:$K$123,0)),"")&amp;""="","其他货币资金",INDEX(科目表!$T$4:$T$123,MATCH($C25,科目表!$K$4:$K$123,0))))</f>
        <v>其他货币资金</v>
      </c>
      <c r="N25" s="39" t="str">
        <f aca="false">IF(OR($C25="",ROUND(N($H25)+N($I25),2)=0),"",IF(N($H25)&gt;0,$M25,$K25))</f>
        <v>财务费用</v>
      </c>
      <c r="O25" s="41" t="n">
        <f aca="false">IF($N25="","",ROUND(N($H25)+N($I25),2))</f>
        <v>30</v>
      </c>
      <c r="P25" s="41" t="n">
        <f aca="false">IF($N25="","",0)</f>
        <v>0</v>
      </c>
      <c r="Q25" s="39" t="str">
        <f aca="false">IF($N25="","",IF(N($H25)&gt;0,$K25,$M25))</f>
        <v>其他货币资金</v>
      </c>
      <c r="R25" s="41" t="n">
        <f aca="false">IF($Q25="","",0)</f>
        <v>0</v>
      </c>
      <c r="S25" s="41" t="n">
        <f aca="false">IF($Q25="","",ROUND(N($H25)+N($I25),2))</f>
        <v>30</v>
      </c>
      <c r="T25" s="42"/>
      <c r="U25" s="44"/>
      <c r="V25" s="41" t="str">
        <f aca="false">IF($B25="","",TEXT($B25,"yyyy年m月"))</f>
        <v>2026年9月</v>
      </c>
      <c r="W25" s="42"/>
      <c r="X25" s="42"/>
      <c r="Y25" s="9"/>
    </row>
    <row r="26" customFormat="false" ht="18" hidden="false" customHeight="true" outlineLevel="0" collapsed="false">
      <c r="A26" s="9" t="n">
        <f aca="false">IF($C26="","",ROW()-3)</f>
        <v>23</v>
      </c>
      <c r="B26" s="76" t="n">
        <v>46269</v>
      </c>
      <c r="C26" s="74" t="s">
        <v>459</v>
      </c>
      <c r="D26" s="78" t="s">
        <v>720</v>
      </c>
      <c r="E26" s="42"/>
      <c r="F26" s="74" t="s">
        <v>397</v>
      </c>
      <c r="G26" s="74" t="s">
        <v>653</v>
      </c>
      <c r="H26" s="44" t="n">
        <v>60000</v>
      </c>
      <c r="I26" s="44"/>
      <c r="J26" s="103" t="n">
        <f aca="false">IF($C26="","",ROUND(IFERROR(INDEX(期初余额!$I$4:$I$43,MATCH($C26,期初余额!$H$4:$H$43,0)),0)+SUMIFS($H$4:$H26,$C$4:$C26,$C26)-SUMIFS($I$4:$I26,$C$4:$C26,$C26),2))</f>
        <v>134629.2</v>
      </c>
      <c r="K26" s="104" t="str">
        <f aca="false">IF($T26&lt;&gt;"",$T26,IF($C26="","",IF(AND(N($I26)&gt;0,$G26&lt;&gt;""),IF(IFERROR(INDEX(科目表!$U$4:$U$123,MATCH($G26,科目表!$M$4:$M$123,0)),"")&amp;""="","管理费用",INDEX(科目表!$U$4:$U$123,MATCH($G26,科目表!$M$4:$M$123,0))),IF(N($H26)&gt;0,IF(IFERROR(INDEX(自动规则!$C$4:$C$143,MATCH($F26,自动规则!$B$4:$B$143,0)),"")&amp;""="","其他应收款",INDEX(自动规则!$C$4:$C$143,MATCH($F26,自动规则!$B$4:$B$143,0))),IF(IFERROR(INDEX(自动规则!$D$4:$D$143,MATCH($F26,自动规则!$B$4:$B$143,0)),"")&amp;""="","其他应付款",INDEX(自动规则!$D$4:$D$143,MATCH($F26,自动规则!$B$4:$B$143,0)))))))</f>
        <v>其他货币资金</v>
      </c>
      <c r="L26" s="43"/>
      <c r="M26" s="105" t="str">
        <f aca="false">IF($C26="","",IF(IFERROR(INDEX(科目表!$T$4:$T$123,MATCH($C26,科目表!$K$4:$K$123,0)),"")&amp;""="","其他货币资金",INDEX(科目表!$T$4:$T$123,MATCH($C26,科目表!$K$4:$K$123,0))))</f>
        <v>其他货币资金</v>
      </c>
      <c r="N26" s="39" t="str">
        <f aca="false">IF(OR($C26="",ROUND(N($H26)+N($I26),2)=0),"",IF(N($H26)&gt;0,$M26,$K26))</f>
        <v>其他货币资金</v>
      </c>
      <c r="O26" s="41" t="n">
        <f aca="false">IF($N26="","",ROUND(N($H26)+N($I26),2))</f>
        <v>60000</v>
      </c>
      <c r="P26" s="41" t="n">
        <f aca="false">IF($N26="","",0)</f>
        <v>0</v>
      </c>
      <c r="Q26" s="39" t="str">
        <f aca="false">IF($N26="","",IF(N($H26)&gt;0,$K26,$M26))</f>
        <v>其他货币资金</v>
      </c>
      <c r="R26" s="41" t="n">
        <f aca="false">IF($Q26="","",0)</f>
        <v>0</v>
      </c>
      <c r="S26" s="41" t="n">
        <f aca="false">IF($Q26="","",ROUND(N($H26)+N($I26),2))</f>
        <v>60000</v>
      </c>
      <c r="T26" s="42"/>
      <c r="U26" s="44"/>
      <c r="V26" s="41" t="str">
        <f aca="false">IF($B26="","",TEXT($B26,"yyyy年m月"))</f>
        <v>2026年9月</v>
      </c>
      <c r="W26" s="42"/>
      <c r="X26" s="42"/>
      <c r="Y26" s="9"/>
    </row>
    <row r="27" customFormat="false" ht="18" hidden="false" customHeight="true" outlineLevel="0" collapsed="false">
      <c r="A27" s="9" t="n">
        <f aca="false">IF($C27="","",ROW()-3)</f>
        <v>24</v>
      </c>
      <c r="B27" s="76" t="n">
        <v>46269</v>
      </c>
      <c r="C27" s="74" t="s">
        <v>459</v>
      </c>
      <c r="D27" s="78" t="s">
        <v>364</v>
      </c>
      <c r="E27" s="42"/>
      <c r="F27" s="74" t="s">
        <v>395</v>
      </c>
      <c r="G27" s="74" t="s">
        <v>364</v>
      </c>
      <c r="H27" s="44"/>
      <c r="I27" s="44" t="n">
        <v>100000</v>
      </c>
      <c r="J27" s="103" t="n">
        <f aca="false">IF($C27="","",ROUND(IFERROR(INDEX(期初余额!$I$4:$I$43,MATCH($C27,期初余额!$H$4:$H$43,0)),0)+SUMIFS($H$4:$H27,$C$4:$C27,$C27)-SUMIFS($I$4:$I27,$C$4:$C27,$C27),2))</f>
        <v>34629.2</v>
      </c>
      <c r="K27" s="104" t="str">
        <f aca="false">IF($T27&lt;&gt;"",$T27,IF($C27="","",IF(AND(N($I27)&gt;0,$G27&lt;&gt;""),IF(IFERROR(INDEX(科目表!$U$4:$U$123,MATCH($G27,科目表!$M$4:$M$123,0)),"")&amp;""="","管理费用",INDEX(科目表!$U$4:$U$123,MATCH($G27,科目表!$M$4:$M$123,0))),IF(N($H27)&gt;0,IF(IFERROR(INDEX(自动规则!$C$4:$C$143,MATCH($F27,自动规则!$B$4:$B$143,0)),"")&amp;""="","其他应收款",INDEX(自动规则!$C$4:$C$143,MATCH($F27,自动规则!$B$4:$B$143,0))),IF(IFERROR(INDEX(自动规则!$D$4:$D$143,MATCH($F27,自动规则!$B$4:$B$143,0)),"")&amp;""="","其他应付款",INDEX(自动规则!$D$4:$D$143,MATCH($F27,自动规则!$B$4:$B$143,0)))))))</f>
        <v>应付账款</v>
      </c>
      <c r="L27" s="78" t="s">
        <v>577</v>
      </c>
      <c r="M27" s="105" t="str">
        <f aca="false">IF($C27="","",IF(IFERROR(INDEX(科目表!$T$4:$T$123,MATCH($C27,科目表!$K$4:$K$123,0)),"")&amp;""="","其他货币资金",INDEX(科目表!$T$4:$T$123,MATCH($C27,科目表!$K$4:$K$123,0))))</f>
        <v>其他货币资金</v>
      </c>
      <c r="N27" s="39" t="str">
        <f aca="false">IF(OR($C27="",ROUND(N($H27)+N($I27),2)=0),"",IF(N($H27)&gt;0,$M27,$K27))</f>
        <v>应付账款</v>
      </c>
      <c r="O27" s="41" t="n">
        <f aca="false">IF($N27="","",ROUND(N($H27)+N($I27),2))</f>
        <v>100000</v>
      </c>
      <c r="P27" s="41" t="n">
        <f aca="false">IF($N27="","",0)</f>
        <v>0</v>
      </c>
      <c r="Q27" s="39" t="str">
        <f aca="false">IF($N27="","",IF(N($H27)&gt;0,$K27,$M27))</f>
        <v>其他货币资金</v>
      </c>
      <c r="R27" s="41" t="n">
        <f aca="false">IF($Q27="","",0)</f>
        <v>0</v>
      </c>
      <c r="S27" s="41" t="n">
        <f aca="false">IF($Q27="","",ROUND(N($H27)+N($I27),2))</f>
        <v>100000</v>
      </c>
      <c r="T27" s="42"/>
      <c r="U27" s="44"/>
      <c r="V27" s="41" t="str">
        <f aca="false">IF($B27="","",TEXT($B27,"yyyy年m月"))</f>
        <v>2026年9月</v>
      </c>
      <c r="W27" s="42"/>
      <c r="X27" s="42"/>
      <c r="Y27" s="9"/>
    </row>
    <row r="28" customFormat="false" ht="18" hidden="false" customHeight="true" outlineLevel="0" collapsed="false">
      <c r="A28" s="9" t="n">
        <f aca="false">IF($C28="","",ROW()-3)</f>
        <v>25</v>
      </c>
      <c r="B28" s="76" t="n">
        <v>46269</v>
      </c>
      <c r="C28" s="74" t="s">
        <v>459</v>
      </c>
      <c r="D28" s="43"/>
      <c r="E28" s="42"/>
      <c r="F28" s="74" t="s">
        <v>386</v>
      </c>
      <c r="G28" s="74" t="s">
        <v>402</v>
      </c>
      <c r="H28" s="44"/>
      <c r="I28" s="44" t="n">
        <v>600</v>
      </c>
      <c r="J28" s="103" t="n">
        <f aca="false">IF($C28="","",ROUND(IFERROR(INDEX(期初余额!$I$4:$I$43,MATCH($C28,期初余额!$H$4:$H$43,0)),0)+SUMIFS($H$4:$H28,$C$4:$C28,$C28)-SUMIFS($I$4:$I28,$C$4:$C28,$C28),2))</f>
        <v>34029.2</v>
      </c>
      <c r="K28" s="104" t="str">
        <f aca="false">IF($T28&lt;&gt;"",$T28,IF($C28="","",IF(AND(N($I28)&gt;0,$G28&lt;&gt;""),IF(IFERROR(INDEX(科目表!$U$4:$U$123,MATCH($G28,科目表!$M$4:$M$123,0)),"")&amp;""="","管理费用",INDEX(科目表!$U$4:$U$123,MATCH($G28,科目表!$M$4:$M$123,0))),IF(N($H28)&gt;0,IF(IFERROR(INDEX(自动规则!$C$4:$C$143,MATCH($F28,自动规则!$B$4:$B$143,0)),"")&amp;""="","其他应收款",INDEX(自动规则!$C$4:$C$143,MATCH($F28,自动规则!$B$4:$B$143,0))),IF(IFERROR(INDEX(自动规则!$D$4:$D$143,MATCH($F28,自动规则!$B$4:$B$143,0)),"")&amp;""="","其他应付款",INDEX(自动规则!$D$4:$D$143,MATCH($F28,自动规则!$B$4:$B$143,0)))))))</f>
        <v>其他应收款</v>
      </c>
      <c r="L28" s="78" t="s">
        <v>721</v>
      </c>
      <c r="M28" s="105" t="str">
        <f aca="false">IF($C28="","",IF(IFERROR(INDEX(科目表!$T$4:$T$123,MATCH($C28,科目表!$K$4:$K$123,0)),"")&amp;""="","其他货币资金",INDEX(科目表!$T$4:$T$123,MATCH($C28,科目表!$K$4:$K$123,0))))</f>
        <v>其他货币资金</v>
      </c>
      <c r="N28" s="39" t="str">
        <f aca="false">IF(OR($C28="",ROUND(N($H28)+N($I28),2)=0),"",IF(N($H28)&gt;0,$M28,$K28))</f>
        <v>其他应收款</v>
      </c>
      <c r="O28" s="41" t="n">
        <f aca="false">IF($N28="","",ROUND(N($H28)+N($I28),2))</f>
        <v>600</v>
      </c>
      <c r="P28" s="41" t="n">
        <f aca="false">IF($N28="","",0)</f>
        <v>0</v>
      </c>
      <c r="Q28" s="39" t="str">
        <f aca="false">IF($N28="","",IF(N($H28)&gt;0,$K28,$M28))</f>
        <v>其他货币资金</v>
      </c>
      <c r="R28" s="41" t="n">
        <f aca="false">IF($Q28="","",0)</f>
        <v>0</v>
      </c>
      <c r="S28" s="41" t="n">
        <f aca="false">IF($Q28="","",ROUND(N($H28)+N($I28),2))</f>
        <v>600</v>
      </c>
      <c r="T28" s="42"/>
      <c r="U28" s="44"/>
      <c r="V28" s="41" t="str">
        <f aca="false">IF($B28="","",TEXT($B28,"yyyy年m月"))</f>
        <v>2026年9月</v>
      </c>
      <c r="W28" s="42"/>
      <c r="X28" s="42"/>
      <c r="Y28" s="9"/>
    </row>
    <row r="29" customFormat="false" ht="18" hidden="false" customHeight="true" outlineLevel="0" collapsed="false">
      <c r="A29" s="9" t="n">
        <f aca="false">IF($C29="","",ROW()-3)</f>
        <v>26</v>
      </c>
      <c r="B29" s="76" t="n">
        <v>46269</v>
      </c>
      <c r="C29" s="74" t="s">
        <v>459</v>
      </c>
      <c r="D29" s="78" t="s">
        <v>662</v>
      </c>
      <c r="E29" s="42"/>
      <c r="F29" s="74" t="s">
        <v>386</v>
      </c>
      <c r="G29" s="74" t="s">
        <v>662</v>
      </c>
      <c r="H29" s="44"/>
      <c r="I29" s="44" t="n">
        <v>800</v>
      </c>
      <c r="J29" s="103" t="n">
        <f aca="false">IF($C29="","",ROUND(IFERROR(INDEX(期初余额!$I$4:$I$43,MATCH($C29,期初余额!$H$4:$H$43,0)),0)+SUMIFS($H$4:$H29,$C$4:$C29,$C29)-SUMIFS($I$4:$I29,$C$4:$C29,$C29),2))</f>
        <v>33229.2</v>
      </c>
      <c r="K29" s="104" t="str">
        <f aca="false">IF($T29&lt;&gt;"",$T29,IF($C29="","",IF(AND(N($I29)&gt;0,$G29&lt;&gt;""),IF(IFERROR(INDEX(科目表!$U$4:$U$123,MATCH($G29,科目表!$M$4:$M$123,0)),"")&amp;""="","管理费用",INDEX(科目表!$U$4:$U$123,MATCH($G29,科目表!$M$4:$M$123,0))),IF(N($H29)&gt;0,IF(IFERROR(INDEX(自动规则!$C$4:$C$143,MATCH($F29,自动规则!$B$4:$B$143,0)),"")&amp;""="","其他应收款",INDEX(自动规则!$C$4:$C$143,MATCH($F29,自动规则!$B$4:$B$143,0))),IF(IFERROR(INDEX(自动规则!$D$4:$D$143,MATCH($F29,自动规则!$B$4:$B$143,0)),"")&amp;""="","其他应付款",INDEX(自动规则!$D$4:$D$143,MATCH($F29,自动规则!$B$4:$B$143,0)))))))</f>
        <v>其他应付款</v>
      </c>
      <c r="L29" s="43"/>
      <c r="M29" s="105" t="str">
        <f aca="false">IF($C29="","",IF(IFERROR(INDEX(科目表!$T$4:$T$123,MATCH($C29,科目表!$K$4:$K$123,0)),"")&amp;""="","其他货币资金",INDEX(科目表!$T$4:$T$123,MATCH($C29,科目表!$K$4:$K$123,0))))</f>
        <v>其他货币资金</v>
      </c>
      <c r="N29" s="39" t="str">
        <f aca="false">IF(OR($C29="",ROUND(N($H29)+N($I29),2)=0),"",IF(N($H29)&gt;0,$M29,$K29))</f>
        <v>其他应付款</v>
      </c>
      <c r="O29" s="41" t="n">
        <f aca="false">IF($N29="","",ROUND(N($H29)+N($I29),2))</f>
        <v>800</v>
      </c>
      <c r="P29" s="41" t="n">
        <f aca="false">IF($N29="","",0)</f>
        <v>0</v>
      </c>
      <c r="Q29" s="39" t="str">
        <f aca="false">IF($N29="","",IF(N($H29)&gt;0,$K29,$M29))</f>
        <v>其他货币资金</v>
      </c>
      <c r="R29" s="41" t="n">
        <f aca="false">IF($Q29="","",0)</f>
        <v>0</v>
      </c>
      <c r="S29" s="41" t="n">
        <f aca="false">IF($Q29="","",ROUND(N($H29)+N($I29),2))</f>
        <v>800</v>
      </c>
      <c r="T29" s="42"/>
      <c r="U29" s="44"/>
      <c r="V29" s="41" t="str">
        <f aca="false">IF($B29="","",TEXT($B29,"yyyy年m月"))</f>
        <v>2026年9月</v>
      </c>
      <c r="W29" s="42"/>
      <c r="X29" s="42"/>
      <c r="Y29" s="9"/>
    </row>
    <row r="30" customFormat="false" ht="18" hidden="false" customHeight="true" outlineLevel="0" collapsed="false">
      <c r="A30" s="9" t="n">
        <f aca="false">IF($C30="","",ROW()-3)</f>
        <v>27</v>
      </c>
      <c r="B30" s="76" t="n">
        <v>46270</v>
      </c>
      <c r="C30" s="74" t="s">
        <v>459</v>
      </c>
      <c r="D30" s="78" t="s">
        <v>722</v>
      </c>
      <c r="E30" s="42"/>
      <c r="F30" s="74" t="s">
        <v>386</v>
      </c>
      <c r="G30" s="74" t="s">
        <v>664</v>
      </c>
      <c r="H30" s="44"/>
      <c r="I30" s="44" t="n">
        <v>21</v>
      </c>
      <c r="J30" s="103" t="n">
        <f aca="false">IF($C30="","",ROUND(IFERROR(INDEX(期初余额!$I$4:$I$43,MATCH($C30,期初余额!$H$4:$H$43,0)),0)+SUMIFS($H$4:$H30,$C$4:$C30,$C30)-SUMIFS($I$4:$I30,$C$4:$C30,$C30),2))</f>
        <v>33208.2</v>
      </c>
      <c r="K30" s="104" t="str">
        <f aca="false">IF($T30&lt;&gt;"",$T30,IF($C30="","",IF(AND(N($I30)&gt;0,$G30&lt;&gt;""),IF(IFERROR(INDEX(科目表!$U$4:$U$123,MATCH($G30,科目表!$M$4:$M$123,0)),"")&amp;""="","管理费用",INDEX(科目表!$U$4:$U$123,MATCH($G30,科目表!$M$4:$M$123,0))),IF(N($H30)&gt;0,IF(IFERROR(INDEX(自动规则!$C$4:$C$143,MATCH($F30,自动规则!$B$4:$B$143,0)),"")&amp;""="","其他应收款",INDEX(自动规则!$C$4:$C$143,MATCH($F30,自动规则!$B$4:$B$143,0))),IF(IFERROR(INDEX(自动规则!$D$4:$D$143,MATCH($F30,自动规则!$B$4:$B$143,0)),"")&amp;""="","其他应付款",INDEX(自动规则!$D$4:$D$143,MATCH($F30,自动规则!$B$4:$B$143,0)))))))</f>
        <v>管理费用</v>
      </c>
      <c r="L30" s="78" t="s">
        <v>710</v>
      </c>
      <c r="M30" s="105" t="str">
        <f aca="false">IF($C30="","",IF(IFERROR(INDEX(科目表!$T$4:$T$123,MATCH($C30,科目表!$K$4:$K$123,0)),"")&amp;""="","其他货币资金",INDEX(科目表!$T$4:$T$123,MATCH($C30,科目表!$K$4:$K$123,0))))</f>
        <v>其他货币资金</v>
      </c>
      <c r="N30" s="39" t="str">
        <f aca="false">IF(OR($C30="",ROUND(N($H30)+N($I30),2)=0),"",IF(N($H30)&gt;0,$M30,$K30))</f>
        <v>管理费用</v>
      </c>
      <c r="O30" s="41" t="n">
        <f aca="false">IF($N30="","",ROUND(N($H30)+N($I30),2))</f>
        <v>21</v>
      </c>
      <c r="P30" s="41" t="n">
        <f aca="false">IF($N30="","",0)</f>
        <v>0</v>
      </c>
      <c r="Q30" s="39" t="str">
        <f aca="false">IF($N30="","",IF(N($H30)&gt;0,$K30,$M30))</f>
        <v>其他货币资金</v>
      </c>
      <c r="R30" s="41" t="n">
        <f aca="false">IF($Q30="","",0)</f>
        <v>0</v>
      </c>
      <c r="S30" s="41" t="n">
        <f aca="false">IF($Q30="","",ROUND(N($H30)+N($I30),2))</f>
        <v>21</v>
      </c>
      <c r="T30" s="42"/>
      <c r="U30" s="44"/>
      <c r="V30" s="41" t="str">
        <f aca="false">IF($B30="","",TEXT($B30,"yyyy年m月"))</f>
        <v>2026年9月</v>
      </c>
      <c r="W30" s="42"/>
      <c r="X30" s="42"/>
      <c r="Y30" s="9"/>
    </row>
    <row r="31" customFormat="false" ht="18" hidden="false" customHeight="true" outlineLevel="0" collapsed="false">
      <c r="A31" s="9" t="n">
        <f aca="false">IF($C31="","",ROW()-3)</f>
        <v>28</v>
      </c>
      <c r="B31" s="76" t="n">
        <v>46270</v>
      </c>
      <c r="C31" s="74" t="s">
        <v>459</v>
      </c>
      <c r="D31" s="78" t="s">
        <v>722</v>
      </c>
      <c r="E31" s="42"/>
      <c r="F31" s="74" t="s">
        <v>386</v>
      </c>
      <c r="G31" s="74" t="s">
        <v>664</v>
      </c>
      <c r="H31" s="44"/>
      <c r="I31" s="44" t="n">
        <v>7.44</v>
      </c>
      <c r="J31" s="103" t="n">
        <f aca="false">IF($C31="","",ROUND(IFERROR(INDEX(期初余额!$I$4:$I$43,MATCH($C31,期初余额!$H$4:$H$43,0)),0)+SUMIFS($H$4:$H31,$C$4:$C31,$C31)-SUMIFS($I$4:$I31,$C$4:$C31,$C31),2))</f>
        <v>33200.76</v>
      </c>
      <c r="K31" s="104" t="str">
        <f aca="false">IF($T31&lt;&gt;"",$T31,IF($C31="","",IF(AND(N($I31)&gt;0,$G31&lt;&gt;""),IF(IFERROR(INDEX(科目表!$U$4:$U$123,MATCH($G31,科目表!$M$4:$M$123,0)),"")&amp;""="","管理费用",INDEX(科目表!$U$4:$U$123,MATCH($G31,科目表!$M$4:$M$123,0))),IF(N($H31)&gt;0,IF(IFERROR(INDEX(自动规则!$C$4:$C$143,MATCH($F31,自动规则!$B$4:$B$143,0)),"")&amp;""="","其他应收款",INDEX(自动规则!$C$4:$C$143,MATCH($F31,自动规则!$B$4:$B$143,0))),IF(IFERROR(INDEX(自动规则!$D$4:$D$143,MATCH($F31,自动规则!$B$4:$B$143,0)),"")&amp;""="","其他应付款",INDEX(自动规则!$D$4:$D$143,MATCH($F31,自动规则!$B$4:$B$143,0)))))))</f>
        <v>管理费用</v>
      </c>
      <c r="L31" s="78" t="s">
        <v>710</v>
      </c>
      <c r="M31" s="105" t="str">
        <f aca="false">IF($C31="","",IF(IFERROR(INDEX(科目表!$T$4:$T$123,MATCH($C31,科目表!$K$4:$K$123,0)),"")&amp;""="","其他货币资金",INDEX(科目表!$T$4:$T$123,MATCH($C31,科目表!$K$4:$K$123,0))))</f>
        <v>其他货币资金</v>
      </c>
      <c r="N31" s="39" t="str">
        <f aca="false">IF(OR($C31="",ROUND(N($H31)+N($I31),2)=0),"",IF(N($H31)&gt;0,$M31,$K31))</f>
        <v>管理费用</v>
      </c>
      <c r="O31" s="41" t="n">
        <f aca="false">IF($N31="","",ROUND(N($H31)+N($I31),2))</f>
        <v>7.44</v>
      </c>
      <c r="P31" s="41" t="n">
        <f aca="false">IF($N31="","",0)</f>
        <v>0</v>
      </c>
      <c r="Q31" s="39" t="str">
        <f aca="false">IF($N31="","",IF(N($H31)&gt;0,$K31,$M31))</f>
        <v>其他货币资金</v>
      </c>
      <c r="R31" s="41" t="n">
        <f aca="false">IF($Q31="","",0)</f>
        <v>0</v>
      </c>
      <c r="S31" s="41" t="n">
        <f aca="false">IF($Q31="","",ROUND(N($H31)+N($I31),2))</f>
        <v>7.44</v>
      </c>
      <c r="T31" s="42"/>
      <c r="U31" s="44"/>
      <c r="V31" s="41" t="str">
        <f aca="false">IF($B31="","",TEXT($B31,"yyyy年m月"))</f>
        <v>2026年9月</v>
      </c>
      <c r="W31" s="42"/>
      <c r="X31" s="42"/>
      <c r="Y31" s="9"/>
    </row>
    <row r="32" customFormat="false" ht="18" hidden="false" customHeight="true" outlineLevel="0" collapsed="false">
      <c r="A32" s="9" t="n">
        <f aca="false">IF($C32="","",ROW()-3)</f>
        <v>29</v>
      </c>
      <c r="B32" s="76" t="n">
        <v>46270</v>
      </c>
      <c r="C32" s="74" t="s">
        <v>459</v>
      </c>
      <c r="D32" s="78" t="s">
        <v>722</v>
      </c>
      <c r="E32" s="42"/>
      <c r="F32" s="74" t="s">
        <v>386</v>
      </c>
      <c r="G32" s="74" t="s">
        <v>664</v>
      </c>
      <c r="H32" s="44"/>
      <c r="I32" s="44" t="n">
        <v>8.3</v>
      </c>
      <c r="J32" s="103" t="n">
        <f aca="false">IF($C32="","",ROUND(IFERROR(INDEX(期初余额!$I$4:$I$43,MATCH($C32,期初余额!$H$4:$H$43,0)),0)+SUMIFS($H$4:$H32,$C$4:$C32,$C32)-SUMIFS($I$4:$I32,$C$4:$C32,$C32),2))</f>
        <v>33192.46</v>
      </c>
      <c r="K32" s="104" t="str">
        <f aca="false">IF($T32&lt;&gt;"",$T32,IF($C32="","",IF(AND(N($I32)&gt;0,$G32&lt;&gt;""),IF(IFERROR(INDEX(科目表!$U$4:$U$123,MATCH($G32,科目表!$M$4:$M$123,0)),"")&amp;""="","管理费用",INDEX(科目表!$U$4:$U$123,MATCH($G32,科目表!$M$4:$M$123,0))),IF(N($H32)&gt;0,IF(IFERROR(INDEX(自动规则!$C$4:$C$143,MATCH($F32,自动规则!$B$4:$B$143,0)),"")&amp;""="","其他应收款",INDEX(自动规则!$C$4:$C$143,MATCH($F32,自动规则!$B$4:$B$143,0))),IF(IFERROR(INDEX(自动规则!$D$4:$D$143,MATCH($F32,自动规则!$B$4:$B$143,0)),"")&amp;""="","其他应付款",INDEX(自动规则!$D$4:$D$143,MATCH($F32,自动规则!$B$4:$B$143,0)))))))</f>
        <v>管理费用</v>
      </c>
      <c r="L32" s="78" t="s">
        <v>710</v>
      </c>
      <c r="M32" s="105" t="str">
        <f aca="false">IF($C32="","",IF(IFERROR(INDEX(科目表!$T$4:$T$123,MATCH($C32,科目表!$K$4:$K$123,0)),"")&amp;""="","其他货币资金",INDEX(科目表!$T$4:$T$123,MATCH($C32,科目表!$K$4:$K$123,0))))</f>
        <v>其他货币资金</v>
      </c>
      <c r="N32" s="39" t="str">
        <f aca="false">IF(OR($C32="",ROUND(N($H32)+N($I32),2)=0),"",IF(N($H32)&gt;0,$M32,$K32))</f>
        <v>管理费用</v>
      </c>
      <c r="O32" s="41" t="n">
        <f aca="false">IF($N32="","",ROUND(N($H32)+N($I32),2))</f>
        <v>8.3</v>
      </c>
      <c r="P32" s="41" t="n">
        <f aca="false">IF($N32="","",0)</f>
        <v>0</v>
      </c>
      <c r="Q32" s="39" t="str">
        <f aca="false">IF($N32="","",IF(N($H32)&gt;0,$K32,$M32))</f>
        <v>其他货币资金</v>
      </c>
      <c r="R32" s="41" t="n">
        <f aca="false">IF($Q32="","",0)</f>
        <v>0</v>
      </c>
      <c r="S32" s="41" t="n">
        <f aca="false">IF($Q32="","",ROUND(N($H32)+N($I32),2))</f>
        <v>8.3</v>
      </c>
      <c r="T32" s="42"/>
      <c r="U32" s="44"/>
      <c r="V32" s="41" t="str">
        <f aca="false">IF($B32="","",TEXT($B32,"yyyy年m月"))</f>
        <v>2026年9月</v>
      </c>
      <c r="W32" s="42"/>
      <c r="X32" s="42"/>
      <c r="Y32" s="9"/>
    </row>
    <row r="33" customFormat="false" ht="18" hidden="false" customHeight="true" outlineLevel="0" collapsed="false">
      <c r="A33" s="9" t="n">
        <f aca="false">IF($C33="","",ROW()-3)</f>
        <v>30</v>
      </c>
      <c r="B33" s="76" t="n">
        <v>46270</v>
      </c>
      <c r="C33" s="74" t="s">
        <v>459</v>
      </c>
      <c r="D33" s="78" t="s">
        <v>723</v>
      </c>
      <c r="E33" s="42"/>
      <c r="F33" s="74"/>
      <c r="G33" s="74" t="s">
        <v>566</v>
      </c>
      <c r="H33" s="44"/>
      <c r="I33" s="44" t="n">
        <v>20</v>
      </c>
      <c r="J33" s="103" t="n">
        <f aca="false">IF($C33="","",ROUND(IFERROR(INDEX(期初余额!$I$4:$I$43,MATCH($C33,期初余额!$H$4:$H$43,0)),0)+SUMIFS($H$4:$H33,$C$4:$C33,$C33)-SUMIFS($I$4:$I33,$C$4:$C33,$C33),2))</f>
        <v>33172.46</v>
      </c>
      <c r="K33" s="104" t="str">
        <f aca="false">IF($T33&lt;&gt;"",$T33,IF($C33="","",IF(AND(N($I33)&gt;0,$G33&lt;&gt;""),IF(IFERROR(INDEX(科目表!$U$4:$U$123,MATCH($G33,科目表!$M$4:$M$123,0)),"")&amp;""="","管理费用",INDEX(科目表!$U$4:$U$123,MATCH($G33,科目表!$M$4:$M$123,0))),IF(N($H33)&gt;0,IF(IFERROR(INDEX(自动规则!$C$4:$C$143,MATCH($F33,自动规则!$B$4:$B$143,0)),"")&amp;""="","其他应收款",INDEX(自动规则!$C$4:$C$143,MATCH($F33,自动规则!$B$4:$B$143,0))),IF(IFERROR(INDEX(自动规则!$D$4:$D$143,MATCH($F33,自动规则!$B$4:$B$143,0)),"")&amp;""="","其他应付款",INDEX(自动规则!$D$4:$D$143,MATCH($F33,自动规则!$B$4:$B$143,0)))))))</f>
        <v>管理费用</v>
      </c>
      <c r="L33" s="43"/>
      <c r="M33" s="105" t="str">
        <f aca="false">IF($C33="","",IF(IFERROR(INDEX(科目表!$T$4:$T$123,MATCH($C33,科目表!$K$4:$K$123,0)),"")&amp;""="","其他货币资金",INDEX(科目表!$T$4:$T$123,MATCH($C33,科目表!$K$4:$K$123,0))))</f>
        <v>其他货币资金</v>
      </c>
      <c r="N33" s="39" t="str">
        <f aca="false">IF(OR($C33="",ROUND(N($H33)+N($I33),2)=0),"",IF(N($H33)&gt;0,$M33,$K33))</f>
        <v>管理费用</v>
      </c>
      <c r="O33" s="41" t="n">
        <f aca="false">IF($N33="","",ROUND(N($H33)+N($I33),2))</f>
        <v>20</v>
      </c>
      <c r="P33" s="41" t="n">
        <f aca="false">IF($N33="","",0)</f>
        <v>0</v>
      </c>
      <c r="Q33" s="39" t="str">
        <f aca="false">IF($N33="","",IF(N($H33)&gt;0,$K33,$M33))</f>
        <v>其他货币资金</v>
      </c>
      <c r="R33" s="41" t="n">
        <f aca="false">IF($Q33="","",0)</f>
        <v>0</v>
      </c>
      <c r="S33" s="41" t="n">
        <f aca="false">IF($Q33="","",ROUND(N($H33)+N($I33),2))</f>
        <v>20</v>
      </c>
      <c r="T33" s="42"/>
      <c r="U33" s="44"/>
      <c r="V33" s="41" t="str">
        <f aca="false">IF($B33="","",TEXT($B33,"yyyy年m月"))</f>
        <v>2026年9月</v>
      </c>
      <c r="W33" s="42"/>
      <c r="X33" s="42"/>
      <c r="Y33" s="9"/>
    </row>
    <row r="34" customFormat="false" ht="18" hidden="false" customHeight="true" outlineLevel="0" collapsed="false">
      <c r="A34" s="9" t="n">
        <f aca="false">IF($C34="","",ROW()-3)</f>
        <v>31</v>
      </c>
      <c r="B34" s="76" t="n">
        <v>46270</v>
      </c>
      <c r="C34" s="74" t="s">
        <v>459</v>
      </c>
      <c r="D34" s="78" t="s">
        <v>724</v>
      </c>
      <c r="E34" s="42"/>
      <c r="F34" s="74" t="s">
        <v>386</v>
      </c>
      <c r="G34" s="74" t="s">
        <v>667</v>
      </c>
      <c r="H34" s="44"/>
      <c r="I34" s="44" t="n">
        <v>9800</v>
      </c>
      <c r="J34" s="103" t="n">
        <f aca="false">IF($C34="","",ROUND(IFERROR(INDEX(期初余额!$I$4:$I$43,MATCH($C34,期初余额!$H$4:$H$43,0)),0)+SUMIFS($H$4:$H34,$C$4:$C34,$C34)-SUMIFS($I$4:$I34,$C$4:$C34,$C34),2))</f>
        <v>23372.46</v>
      </c>
      <c r="K34" s="104" t="str">
        <f aca="false">IF($T34&lt;&gt;"",$T34,IF($C34="","",IF(AND(N($I34)&gt;0,$G34&lt;&gt;""),IF(IFERROR(INDEX(科目表!$U$4:$U$123,MATCH($G34,科目表!$M$4:$M$123,0)),"")&amp;""="","管理费用",INDEX(科目表!$U$4:$U$123,MATCH($G34,科目表!$M$4:$M$123,0))),IF(N($H34)&gt;0,IF(IFERROR(INDEX(自动规则!$C$4:$C$143,MATCH($F34,自动规则!$B$4:$B$143,0)),"")&amp;""="","其他应收款",INDEX(自动规则!$C$4:$C$143,MATCH($F34,自动规则!$B$4:$B$143,0))),IF(IFERROR(INDEX(自动规则!$D$4:$D$143,MATCH($F34,自动规则!$B$4:$B$143,0)),"")&amp;""="","其他应付款",INDEX(自动规则!$D$4:$D$143,MATCH($F34,自动规则!$B$4:$B$143,0)))))))</f>
        <v>其他应收款</v>
      </c>
      <c r="L34" s="43"/>
      <c r="M34" s="105" t="str">
        <f aca="false">IF($C34="","",IF(IFERROR(INDEX(科目表!$T$4:$T$123,MATCH($C34,科目表!$K$4:$K$123,0)),"")&amp;""="","其他货币资金",INDEX(科目表!$T$4:$T$123,MATCH($C34,科目表!$K$4:$K$123,0))))</f>
        <v>其他货币资金</v>
      </c>
      <c r="N34" s="39" t="str">
        <f aca="false">IF(OR($C34="",ROUND(N($H34)+N($I34),2)=0),"",IF(N($H34)&gt;0,$M34,$K34))</f>
        <v>其他应收款</v>
      </c>
      <c r="O34" s="41" t="n">
        <f aca="false">IF($N34="","",ROUND(N($H34)+N($I34),2))</f>
        <v>9800</v>
      </c>
      <c r="P34" s="41" t="n">
        <f aca="false">IF($N34="","",0)</f>
        <v>0</v>
      </c>
      <c r="Q34" s="39" t="str">
        <f aca="false">IF($N34="","",IF(N($H34)&gt;0,$K34,$M34))</f>
        <v>其他货币资金</v>
      </c>
      <c r="R34" s="41" t="n">
        <f aca="false">IF($Q34="","",0)</f>
        <v>0</v>
      </c>
      <c r="S34" s="41" t="n">
        <f aca="false">IF($Q34="","",ROUND(N($H34)+N($I34),2))</f>
        <v>9800</v>
      </c>
      <c r="T34" s="42"/>
      <c r="U34" s="44"/>
      <c r="V34" s="41" t="str">
        <f aca="false">IF($B34="","",TEXT($B34,"yyyy年m月"))</f>
        <v>2026年9月</v>
      </c>
      <c r="W34" s="42"/>
      <c r="X34" s="42"/>
      <c r="Y34" s="9"/>
    </row>
    <row r="35" customFormat="false" ht="18" hidden="false" customHeight="true" outlineLevel="0" collapsed="false">
      <c r="A35" s="9" t="n">
        <f aca="false">IF($C35="","",ROW()-3)</f>
        <v>32</v>
      </c>
      <c r="B35" s="76" t="n">
        <v>46270</v>
      </c>
      <c r="C35" s="74" t="s">
        <v>459</v>
      </c>
      <c r="D35" s="78" t="s">
        <v>724</v>
      </c>
      <c r="E35" s="42"/>
      <c r="F35" s="74" t="s">
        <v>386</v>
      </c>
      <c r="G35" s="74" t="s">
        <v>667</v>
      </c>
      <c r="H35" s="44"/>
      <c r="I35" s="44" t="n">
        <v>6999</v>
      </c>
      <c r="J35" s="103" t="n">
        <f aca="false">IF($C35="","",ROUND(IFERROR(INDEX(期初余额!$I$4:$I$43,MATCH($C35,期初余额!$H$4:$H$43,0)),0)+SUMIFS($H$4:$H35,$C$4:$C35,$C35)-SUMIFS($I$4:$I35,$C$4:$C35,$C35),2))</f>
        <v>16373.46</v>
      </c>
      <c r="K35" s="104" t="str">
        <f aca="false">IF($T35&lt;&gt;"",$T35,IF($C35="","",IF(AND(N($I35)&gt;0,$G35&lt;&gt;""),IF(IFERROR(INDEX(科目表!$U$4:$U$123,MATCH($G35,科目表!$M$4:$M$123,0)),"")&amp;""="","管理费用",INDEX(科目表!$U$4:$U$123,MATCH($G35,科目表!$M$4:$M$123,0))),IF(N($H35)&gt;0,IF(IFERROR(INDEX(自动规则!$C$4:$C$143,MATCH($F35,自动规则!$B$4:$B$143,0)),"")&amp;""="","其他应收款",INDEX(自动规则!$C$4:$C$143,MATCH($F35,自动规则!$B$4:$B$143,0))),IF(IFERROR(INDEX(自动规则!$D$4:$D$143,MATCH($F35,自动规则!$B$4:$B$143,0)),"")&amp;""="","其他应付款",INDEX(自动规则!$D$4:$D$143,MATCH($F35,自动规则!$B$4:$B$143,0)))))))</f>
        <v>其他应收款</v>
      </c>
      <c r="L35" s="43"/>
      <c r="M35" s="105" t="str">
        <f aca="false">IF($C35="","",IF(IFERROR(INDEX(科目表!$T$4:$T$123,MATCH($C35,科目表!$K$4:$K$123,0)),"")&amp;""="","其他货币资金",INDEX(科目表!$T$4:$T$123,MATCH($C35,科目表!$K$4:$K$123,0))))</f>
        <v>其他货币资金</v>
      </c>
      <c r="N35" s="39" t="str">
        <f aca="false">IF(OR($C35="",ROUND(N($H35)+N($I35),2)=0),"",IF(N($H35)&gt;0,$M35,$K35))</f>
        <v>其他应收款</v>
      </c>
      <c r="O35" s="41" t="n">
        <f aca="false">IF($N35="","",ROUND(N($H35)+N($I35),2))</f>
        <v>6999</v>
      </c>
      <c r="P35" s="41" t="n">
        <f aca="false">IF($N35="","",0)</f>
        <v>0</v>
      </c>
      <c r="Q35" s="39" t="str">
        <f aca="false">IF($N35="","",IF(N($H35)&gt;0,$K35,$M35))</f>
        <v>其他货币资金</v>
      </c>
      <c r="R35" s="41" t="n">
        <f aca="false">IF($Q35="","",0)</f>
        <v>0</v>
      </c>
      <c r="S35" s="41" t="n">
        <f aca="false">IF($Q35="","",ROUND(N($H35)+N($I35),2))</f>
        <v>6999</v>
      </c>
      <c r="T35" s="42"/>
      <c r="U35" s="44"/>
      <c r="V35" s="41" t="str">
        <f aca="false">IF($B35="","",TEXT($B35,"yyyy年m月"))</f>
        <v>2026年9月</v>
      </c>
      <c r="W35" s="42"/>
      <c r="X35" s="42"/>
      <c r="Y35" s="9"/>
    </row>
    <row r="36" customFormat="false" ht="18" hidden="false" customHeight="true" outlineLevel="0" collapsed="false">
      <c r="A36" s="9" t="n">
        <f aca="false">IF($C36="","",ROW()-3)</f>
        <v>33</v>
      </c>
      <c r="B36" s="76" t="n">
        <v>46270</v>
      </c>
      <c r="C36" s="74" t="s">
        <v>459</v>
      </c>
      <c r="D36" s="78" t="s">
        <v>724</v>
      </c>
      <c r="E36" s="42"/>
      <c r="F36" s="74" t="s">
        <v>386</v>
      </c>
      <c r="G36" s="74" t="s">
        <v>667</v>
      </c>
      <c r="H36" s="44"/>
      <c r="I36" s="44" t="n">
        <v>1300</v>
      </c>
      <c r="J36" s="103" t="n">
        <f aca="false">IF($C36="","",ROUND(IFERROR(INDEX(期初余额!$I$4:$I$43,MATCH($C36,期初余额!$H$4:$H$43,0)),0)+SUMIFS($H$4:$H36,$C$4:$C36,$C36)-SUMIFS($I$4:$I36,$C$4:$C36,$C36),2))</f>
        <v>15073.46</v>
      </c>
      <c r="K36" s="104" t="str">
        <f aca="false">IF($T36&lt;&gt;"",$T36,IF($C36="","",IF(AND(N($I36)&gt;0,$G36&lt;&gt;""),IF(IFERROR(INDEX(科目表!$U$4:$U$123,MATCH($G36,科目表!$M$4:$M$123,0)),"")&amp;""="","管理费用",INDEX(科目表!$U$4:$U$123,MATCH($G36,科目表!$M$4:$M$123,0))),IF(N($H36)&gt;0,IF(IFERROR(INDEX(自动规则!$C$4:$C$143,MATCH($F36,自动规则!$B$4:$B$143,0)),"")&amp;""="","其他应收款",INDEX(自动规则!$C$4:$C$143,MATCH($F36,自动规则!$B$4:$B$143,0))),IF(IFERROR(INDEX(自动规则!$D$4:$D$143,MATCH($F36,自动规则!$B$4:$B$143,0)),"")&amp;""="","其他应付款",INDEX(自动规则!$D$4:$D$143,MATCH($F36,自动规则!$B$4:$B$143,0)))))))</f>
        <v>其他应收款</v>
      </c>
      <c r="L36" s="43"/>
      <c r="M36" s="105" t="str">
        <f aca="false">IF($C36="","",IF(IFERROR(INDEX(科目表!$T$4:$T$123,MATCH($C36,科目表!$K$4:$K$123,0)),"")&amp;""="","其他货币资金",INDEX(科目表!$T$4:$T$123,MATCH($C36,科目表!$K$4:$K$123,0))))</f>
        <v>其他货币资金</v>
      </c>
      <c r="N36" s="39" t="str">
        <f aca="false">IF(OR($C36="",ROUND(N($H36)+N($I36),2)=0),"",IF(N($H36)&gt;0,$M36,$K36))</f>
        <v>其他应收款</v>
      </c>
      <c r="O36" s="41" t="n">
        <f aca="false">IF($N36="","",ROUND(N($H36)+N($I36),2))</f>
        <v>1300</v>
      </c>
      <c r="P36" s="41" t="n">
        <f aca="false">IF($N36="","",0)</f>
        <v>0</v>
      </c>
      <c r="Q36" s="39" t="str">
        <f aca="false">IF($N36="","",IF(N($H36)&gt;0,$K36,$M36))</f>
        <v>其他货币资金</v>
      </c>
      <c r="R36" s="41" t="n">
        <f aca="false">IF($Q36="","",0)</f>
        <v>0</v>
      </c>
      <c r="S36" s="41" t="n">
        <f aca="false">IF($Q36="","",ROUND(N($H36)+N($I36),2))</f>
        <v>1300</v>
      </c>
      <c r="T36" s="42"/>
      <c r="U36" s="44"/>
      <c r="V36" s="41" t="str">
        <f aca="false">IF($B36="","",TEXT($B36,"yyyy年m月"))</f>
        <v>2026年9月</v>
      </c>
      <c r="W36" s="42"/>
      <c r="X36" s="42"/>
      <c r="Y36" s="9"/>
    </row>
    <row r="37" customFormat="false" ht="18" hidden="false" customHeight="true" outlineLevel="0" collapsed="false">
      <c r="A37" s="9" t="n">
        <f aca="false">IF($C37="","",ROW()-3)</f>
        <v>34</v>
      </c>
      <c r="B37" s="76" t="n">
        <v>46270</v>
      </c>
      <c r="C37" s="74" t="s">
        <v>459</v>
      </c>
      <c r="D37" s="78" t="s">
        <v>606</v>
      </c>
      <c r="E37" s="42"/>
      <c r="F37" s="74"/>
      <c r="G37" s="74" t="s">
        <v>606</v>
      </c>
      <c r="H37" s="44"/>
      <c r="I37" s="44" t="n">
        <v>2</v>
      </c>
      <c r="J37" s="103" t="n">
        <f aca="false">IF($C37="","",ROUND(IFERROR(INDEX(期初余额!$I$4:$I$43,MATCH($C37,期初余额!$H$4:$H$43,0)),0)+SUMIFS($H$4:$H37,$C$4:$C37,$C37)-SUMIFS($I$4:$I37,$C$4:$C37,$C37),2))</f>
        <v>15071.46</v>
      </c>
      <c r="K37" s="104" t="str">
        <f aca="false">IF($T37&lt;&gt;"",$T37,IF($C37="","",IF(AND(N($I37)&gt;0,$G37&lt;&gt;""),IF(IFERROR(INDEX(科目表!$U$4:$U$123,MATCH($G37,科目表!$M$4:$M$123,0)),"")&amp;""="","管理费用",INDEX(科目表!$U$4:$U$123,MATCH($G37,科目表!$M$4:$M$123,0))),IF(N($H37)&gt;0,IF(IFERROR(INDEX(自动规则!$C$4:$C$143,MATCH($F37,自动规则!$B$4:$B$143,0)),"")&amp;""="","其他应收款",INDEX(自动规则!$C$4:$C$143,MATCH($F37,自动规则!$B$4:$B$143,0))),IF(IFERROR(INDEX(自动规则!$D$4:$D$143,MATCH($F37,自动规则!$B$4:$B$143,0)),"")&amp;""="","其他应付款",INDEX(自动规则!$D$4:$D$143,MATCH($F37,自动规则!$B$4:$B$143,0)))))))</f>
        <v>管理费用</v>
      </c>
      <c r="L37" s="43"/>
      <c r="M37" s="105" t="str">
        <f aca="false">IF($C37="","",IF(IFERROR(INDEX(科目表!$T$4:$T$123,MATCH($C37,科目表!$K$4:$K$123,0)),"")&amp;""="","其他货币资金",INDEX(科目表!$T$4:$T$123,MATCH($C37,科目表!$K$4:$K$123,0))))</f>
        <v>其他货币资金</v>
      </c>
      <c r="N37" s="39" t="str">
        <f aca="false">IF(OR($C37="",ROUND(N($H37)+N($I37),2)=0),"",IF(N($H37)&gt;0,$M37,$K37))</f>
        <v>管理费用</v>
      </c>
      <c r="O37" s="41" t="n">
        <f aca="false">IF($N37="","",ROUND(N($H37)+N($I37),2))</f>
        <v>2</v>
      </c>
      <c r="P37" s="41" t="n">
        <f aca="false">IF($N37="","",0)</f>
        <v>0</v>
      </c>
      <c r="Q37" s="39" t="str">
        <f aca="false">IF($N37="","",IF(N($H37)&gt;0,$K37,$M37))</f>
        <v>其他货币资金</v>
      </c>
      <c r="R37" s="41" t="n">
        <f aca="false">IF($Q37="","",0)</f>
        <v>0</v>
      </c>
      <c r="S37" s="41" t="n">
        <f aca="false">IF($Q37="","",ROUND(N($H37)+N($I37),2))</f>
        <v>2</v>
      </c>
      <c r="T37" s="42"/>
      <c r="U37" s="44"/>
      <c r="V37" s="41" t="str">
        <f aca="false">IF($B37="","",TEXT($B37,"yyyy年m月"))</f>
        <v>2026年9月</v>
      </c>
      <c r="W37" s="42"/>
      <c r="X37" s="42"/>
      <c r="Y37" s="9"/>
    </row>
    <row r="38" customFormat="false" ht="18" hidden="false" customHeight="true" outlineLevel="0" collapsed="false">
      <c r="A38" s="9" t="n">
        <f aca="false">IF($C38="","",ROW()-3)</f>
        <v>35</v>
      </c>
      <c r="B38" s="76" t="n">
        <v>46270</v>
      </c>
      <c r="C38" s="74" t="s">
        <v>459</v>
      </c>
      <c r="D38" s="78" t="s">
        <v>725</v>
      </c>
      <c r="E38" s="42"/>
      <c r="F38" s="74" t="s">
        <v>386</v>
      </c>
      <c r="G38" s="74" t="s">
        <v>667</v>
      </c>
      <c r="H38" s="44"/>
      <c r="I38" s="44" t="n">
        <v>51.5</v>
      </c>
      <c r="J38" s="103" t="n">
        <f aca="false">IF($C38="","",ROUND(IFERROR(INDEX(期初余额!$I$4:$I$43,MATCH($C38,期初余额!$H$4:$H$43,0)),0)+SUMIFS($H$4:$H38,$C$4:$C38,$C38)-SUMIFS($I$4:$I38,$C$4:$C38,$C38),2))</f>
        <v>15019.96</v>
      </c>
      <c r="K38" s="104" t="str">
        <f aca="false">IF($T38&lt;&gt;"",$T38,IF($C38="","",IF(AND(N($I38)&gt;0,$G38&lt;&gt;""),IF(IFERROR(INDEX(科目表!$U$4:$U$123,MATCH($G38,科目表!$M$4:$M$123,0)),"")&amp;""="","管理费用",INDEX(科目表!$U$4:$U$123,MATCH($G38,科目表!$M$4:$M$123,0))),IF(N($H38)&gt;0,IF(IFERROR(INDEX(自动规则!$C$4:$C$143,MATCH($F38,自动规则!$B$4:$B$143,0)),"")&amp;""="","其他应收款",INDEX(自动规则!$C$4:$C$143,MATCH($F38,自动规则!$B$4:$B$143,0))),IF(IFERROR(INDEX(自动规则!$D$4:$D$143,MATCH($F38,自动规则!$B$4:$B$143,0)),"")&amp;""="","其他应付款",INDEX(自动规则!$D$4:$D$143,MATCH($F38,自动规则!$B$4:$B$143,0)))))))</f>
        <v>其他应收款</v>
      </c>
      <c r="L38" s="43"/>
      <c r="M38" s="105" t="str">
        <f aca="false">IF($C38="","",IF(IFERROR(INDEX(科目表!$T$4:$T$123,MATCH($C38,科目表!$K$4:$K$123,0)),"")&amp;""="","其他货币资金",INDEX(科目表!$T$4:$T$123,MATCH($C38,科目表!$K$4:$K$123,0))))</f>
        <v>其他货币资金</v>
      </c>
      <c r="N38" s="39" t="str">
        <f aca="false">IF(OR($C38="",ROUND(N($H38)+N($I38),2)=0),"",IF(N($H38)&gt;0,$M38,$K38))</f>
        <v>其他应收款</v>
      </c>
      <c r="O38" s="41" t="n">
        <f aca="false">IF($N38="","",ROUND(N($H38)+N($I38),2))</f>
        <v>51.5</v>
      </c>
      <c r="P38" s="41" t="n">
        <f aca="false">IF($N38="","",0)</f>
        <v>0</v>
      </c>
      <c r="Q38" s="39" t="str">
        <f aca="false">IF($N38="","",IF(N($H38)&gt;0,$K38,$M38))</f>
        <v>其他货币资金</v>
      </c>
      <c r="R38" s="41" t="n">
        <f aca="false">IF($Q38="","",0)</f>
        <v>0</v>
      </c>
      <c r="S38" s="41" t="n">
        <f aca="false">IF($Q38="","",ROUND(N($H38)+N($I38),2))</f>
        <v>51.5</v>
      </c>
      <c r="T38" s="42"/>
      <c r="U38" s="44"/>
      <c r="V38" s="41" t="str">
        <f aca="false">IF($B38="","",TEXT($B38,"yyyy年m月"))</f>
        <v>2026年9月</v>
      </c>
      <c r="W38" s="42"/>
      <c r="X38" s="42"/>
      <c r="Y38" s="9"/>
    </row>
    <row r="39" customFormat="false" ht="18" hidden="false" customHeight="true" outlineLevel="0" collapsed="false">
      <c r="A39" s="9" t="n">
        <f aca="false">IF($C39="","",ROW()-3)</f>
        <v>36</v>
      </c>
      <c r="B39" s="76" t="n">
        <v>46270</v>
      </c>
      <c r="C39" s="74" t="s">
        <v>459</v>
      </c>
      <c r="D39" s="78" t="s">
        <v>726</v>
      </c>
      <c r="E39" s="42"/>
      <c r="F39" s="74" t="s">
        <v>386</v>
      </c>
      <c r="G39" s="74" t="s">
        <v>667</v>
      </c>
      <c r="H39" s="44"/>
      <c r="I39" s="44" t="n">
        <v>100</v>
      </c>
      <c r="J39" s="103" t="n">
        <f aca="false">IF($C39="","",ROUND(IFERROR(INDEX(期初余额!$I$4:$I$43,MATCH($C39,期初余额!$H$4:$H$43,0)),0)+SUMIFS($H$4:$H39,$C$4:$C39,$C39)-SUMIFS($I$4:$I39,$C$4:$C39,$C39),2))</f>
        <v>14919.96</v>
      </c>
      <c r="K39" s="104" t="str">
        <f aca="false">IF($T39&lt;&gt;"",$T39,IF($C39="","",IF(AND(N($I39)&gt;0,$G39&lt;&gt;""),IF(IFERROR(INDEX(科目表!$U$4:$U$123,MATCH($G39,科目表!$M$4:$M$123,0)),"")&amp;""="","管理费用",INDEX(科目表!$U$4:$U$123,MATCH($G39,科目表!$M$4:$M$123,0))),IF(N($H39)&gt;0,IF(IFERROR(INDEX(自动规则!$C$4:$C$143,MATCH($F39,自动规则!$B$4:$B$143,0)),"")&amp;""="","其他应收款",INDEX(自动规则!$C$4:$C$143,MATCH($F39,自动规则!$B$4:$B$143,0))),IF(IFERROR(INDEX(自动规则!$D$4:$D$143,MATCH($F39,自动规则!$B$4:$B$143,0)),"")&amp;""="","其他应付款",INDEX(自动规则!$D$4:$D$143,MATCH($F39,自动规则!$B$4:$B$143,0)))))))</f>
        <v>其他应收款</v>
      </c>
      <c r="L39" s="43"/>
      <c r="M39" s="105" t="str">
        <f aca="false">IF($C39="","",IF(IFERROR(INDEX(科目表!$T$4:$T$123,MATCH($C39,科目表!$K$4:$K$123,0)),"")&amp;""="","其他货币资金",INDEX(科目表!$T$4:$T$123,MATCH($C39,科目表!$K$4:$K$123,0))))</f>
        <v>其他货币资金</v>
      </c>
      <c r="N39" s="39" t="str">
        <f aca="false">IF(OR($C39="",ROUND(N($H39)+N($I39),2)=0),"",IF(N($H39)&gt;0,$M39,$K39))</f>
        <v>其他应收款</v>
      </c>
      <c r="O39" s="41" t="n">
        <f aca="false">IF($N39="","",ROUND(N($H39)+N($I39),2))</f>
        <v>100</v>
      </c>
      <c r="P39" s="41" t="n">
        <f aca="false">IF($N39="","",0)</f>
        <v>0</v>
      </c>
      <c r="Q39" s="39" t="str">
        <f aca="false">IF($N39="","",IF(N($H39)&gt;0,$K39,$M39))</f>
        <v>其他货币资金</v>
      </c>
      <c r="R39" s="41" t="n">
        <f aca="false">IF($Q39="","",0)</f>
        <v>0</v>
      </c>
      <c r="S39" s="41" t="n">
        <f aca="false">IF($Q39="","",ROUND(N($H39)+N($I39),2))</f>
        <v>100</v>
      </c>
      <c r="T39" s="42"/>
      <c r="U39" s="44"/>
      <c r="V39" s="41" t="str">
        <f aca="false">IF($B39="","",TEXT($B39,"yyyy年m月"))</f>
        <v>2026年9月</v>
      </c>
      <c r="W39" s="42"/>
      <c r="X39" s="42"/>
      <c r="Y39" s="9"/>
    </row>
    <row r="40" customFormat="false" ht="18" hidden="false" customHeight="true" outlineLevel="0" collapsed="false">
      <c r="A40" s="9" t="n">
        <f aca="false">IF($C40="","",ROW()-3)</f>
        <v>37</v>
      </c>
      <c r="B40" s="76" t="n">
        <v>46270</v>
      </c>
      <c r="C40" s="74" t="s">
        <v>459</v>
      </c>
      <c r="D40" s="78" t="s">
        <v>566</v>
      </c>
      <c r="E40" s="42"/>
      <c r="F40" s="74"/>
      <c r="G40" s="74" t="s">
        <v>566</v>
      </c>
      <c r="H40" s="44"/>
      <c r="I40" s="44" t="n">
        <v>28</v>
      </c>
      <c r="J40" s="103" t="n">
        <f aca="false">IF($C40="","",ROUND(IFERROR(INDEX(期初余额!$I$4:$I$43,MATCH($C40,期初余额!$H$4:$H$43,0)),0)+SUMIFS($H$4:$H40,$C$4:$C40,$C40)-SUMIFS($I$4:$I40,$C$4:$C40,$C40),2))</f>
        <v>14891.96</v>
      </c>
      <c r="K40" s="104" t="str">
        <f aca="false">IF($T40&lt;&gt;"",$T40,IF($C40="","",IF(AND(N($I40)&gt;0,$G40&lt;&gt;""),IF(IFERROR(INDEX(科目表!$U$4:$U$123,MATCH($G40,科目表!$M$4:$M$123,0)),"")&amp;""="","管理费用",INDEX(科目表!$U$4:$U$123,MATCH($G40,科目表!$M$4:$M$123,0))),IF(N($H40)&gt;0,IF(IFERROR(INDEX(自动规则!$C$4:$C$143,MATCH($F40,自动规则!$B$4:$B$143,0)),"")&amp;""="","其他应收款",INDEX(自动规则!$C$4:$C$143,MATCH($F40,自动规则!$B$4:$B$143,0))),IF(IFERROR(INDEX(自动规则!$D$4:$D$143,MATCH($F40,自动规则!$B$4:$B$143,0)),"")&amp;""="","其他应付款",INDEX(自动规则!$D$4:$D$143,MATCH($F40,自动规则!$B$4:$B$143,0)))))))</f>
        <v>管理费用</v>
      </c>
      <c r="L40" s="43"/>
      <c r="M40" s="105" t="str">
        <f aca="false">IF($C40="","",IF(IFERROR(INDEX(科目表!$T$4:$T$123,MATCH($C40,科目表!$K$4:$K$123,0)),"")&amp;""="","其他货币资金",INDEX(科目表!$T$4:$T$123,MATCH($C40,科目表!$K$4:$K$123,0))))</f>
        <v>其他货币资金</v>
      </c>
      <c r="N40" s="39" t="str">
        <f aca="false">IF(OR($C40="",ROUND(N($H40)+N($I40),2)=0),"",IF(N($H40)&gt;0,$M40,$K40))</f>
        <v>管理费用</v>
      </c>
      <c r="O40" s="41" t="n">
        <f aca="false">IF($N40="","",ROUND(N($H40)+N($I40),2))</f>
        <v>28</v>
      </c>
      <c r="P40" s="41" t="n">
        <f aca="false">IF($N40="","",0)</f>
        <v>0</v>
      </c>
      <c r="Q40" s="39" t="str">
        <f aca="false">IF($N40="","",IF(N($H40)&gt;0,$K40,$M40))</f>
        <v>其他货币资金</v>
      </c>
      <c r="R40" s="41" t="n">
        <f aca="false">IF($Q40="","",0)</f>
        <v>0</v>
      </c>
      <c r="S40" s="41" t="n">
        <f aca="false">IF($Q40="","",ROUND(N($H40)+N($I40),2))</f>
        <v>28</v>
      </c>
      <c r="T40" s="42"/>
      <c r="U40" s="44"/>
      <c r="V40" s="41" t="str">
        <f aca="false">IF($B40="","",TEXT($B40,"yyyy年m月"))</f>
        <v>2026年9月</v>
      </c>
      <c r="W40" s="42"/>
      <c r="X40" s="42"/>
      <c r="Y40" s="9"/>
    </row>
    <row r="41" customFormat="false" ht="18" hidden="false" customHeight="true" outlineLevel="0" collapsed="false">
      <c r="A41" s="9" t="n">
        <f aca="false">IF($C41="","",ROW()-3)</f>
        <v>38</v>
      </c>
      <c r="B41" s="76" t="n">
        <v>46270</v>
      </c>
      <c r="C41" s="74" t="s">
        <v>459</v>
      </c>
      <c r="D41" s="78" t="s">
        <v>566</v>
      </c>
      <c r="E41" s="42"/>
      <c r="F41" s="74"/>
      <c r="G41" s="74" t="s">
        <v>566</v>
      </c>
      <c r="H41" s="44"/>
      <c r="I41" s="44" t="n">
        <v>12</v>
      </c>
      <c r="J41" s="103" t="n">
        <f aca="false">IF($C41="","",ROUND(IFERROR(INDEX(期初余额!$I$4:$I$43,MATCH($C41,期初余额!$H$4:$H$43,0)),0)+SUMIFS($H$4:$H41,$C$4:$C41,$C41)-SUMIFS($I$4:$I41,$C$4:$C41,$C41),2))</f>
        <v>14879.96</v>
      </c>
      <c r="K41" s="104" t="str">
        <f aca="false">IF($T41&lt;&gt;"",$T41,IF($C41="","",IF(AND(N($I41)&gt;0,$G41&lt;&gt;""),IF(IFERROR(INDEX(科目表!$U$4:$U$123,MATCH($G41,科目表!$M$4:$M$123,0)),"")&amp;""="","管理费用",INDEX(科目表!$U$4:$U$123,MATCH($G41,科目表!$M$4:$M$123,0))),IF(N($H41)&gt;0,IF(IFERROR(INDEX(自动规则!$C$4:$C$143,MATCH($F41,自动规则!$B$4:$B$143,0)),"")&amp;""="","其他应收款",INDEX(自动规则!$C$4:$C$143,MATCH($F41,自动规则!$B$4:$B$143,0))),IF(IFERROR(INDEX(自动规则!$D$4:$D$143,MATCH($F41,自动规则!$B$4:$B$143,0)),"")&amp;""="","其他应付款",INDEX(自动规则!$D$4:$D$143,MATCH($F41,自动规则!$B$4:$B$143,0)))))))</f>
        <v>管理费用</v>
      </c>
      <c r="L41" s="43"/>
      <c r="M41" s="105" t="str">
        <f aca="false">IF($C41="","",IF(IFERROR(INDEX(科目表!$T$4:$T$123,MATCH($C41,科目表!$K$4:$K$123,0)),"")&amp;""="","其他货币资金",INDEX(科目表!$T$4:$T$123,MATCH($C41,科目表!$K$4:$K$123,0))))</f>
        <v>其他货币资金</v>
      </c>
      <c r="N41" s="39" t="str">
        <f aca="false">IF(OR($C41="",ROUND(N($H41)+N($I41),2)=0),"",IF(N($H41)&gt;0,$M41,$K41))</f>
        <v>管理费用</v>
      </c>
      <c r="O41" s="41" t="n">
        <f aca="false">IF($N41="","",ROUND(N($H41)+N($I41),2))</f>
        <v>12</v>
      </c>
      <c r="P41" s="41" t="n">
        <f aca="false">IF($N41="","",0)</f>
        <v>0</v>
      </c>
      <c r="Q41" s="39" t="str">
        <f aca="false">IF($N41="","",IF(N($H41)&gt;0,$K41,$M41))</f>
        <v>其他货币资金</v>
      </c>
      <c r="R41" s="41" t="n">
        <f aca="false">IF($Q41="","",0)</f>
        <v>0</v>
      </c>
      <c r="S41" s="41" t="n">
        <f aca="false">IF($Q41="","",ROUND(N($H41)+N($I41),2))</f>
        <v>12</v>
      </c>
      <c r="T41" s="42"/>
      <c r="U41" s="44"/>
      <c r="V41" s="41" t="str">
        <f aca="false">IF($B41="","",TEXT($B41,"yyyy年m月"))</f>
        <v>2026年9月</v>
      </c>
      <c r="W41" s="42"/>
      <c r="X41" s="42"/>
      <c r="Y41" s="9"/>
    </row>
    <row r="42" customFormat="false" ht="18" hidden="false" customHeight="true" outlineLevel="0" collapsed="false">
      <c r="A42" s="9" t="n">
        <f aca="false">IF($C42="","",ROW()-3)</f>
        <v>39</v>
      </c>
      <c r="B42" s="76" t="n">
        <v>46270</v>
      </c>
      <c r="C42" s="74" t="s">
        <v>459</v>
      </c>
      <c r="D42" s="78" t="s">
        <v>566</v>
      </c>
      <c r="E42" s="42"/>
      <c r="F42" s="74"/>
      <c r="G42" s="74" t="s">
        <v>566</v>
      </c>
      <c r="H42" s="44"/>
      <c r="I42" s="44" t="n">
        <v>120</v>
      </c>
      <c r="J42" s="103" t="n">
        <f aca="false">IF($C42="","",ROUND(IFERROR(INDEX(期初余额!$I$4:$I$43,MATCH($C42,期初余额!$H$4:$H$43,0)),0)+SUMIFS($H$4:$H42,$C$4:$C42,$C42)-SUMIFS($I$4:$I42,$C$4:$C42,$C42),2))</f>
        <v>14759.96</v>
      </c>
      <c r="K42" s="104" t="str">
        <f aca="false">IF($T42&lt;&gt;"",$T42,IF($C42="","",IF(AND(N($I42)&gt;0,$G42&lt;&gt;""),IF(IFERROR(INDEX(科目表!$U$4:$U$123,MATCH($G42,科目表!$M$4:$M$123,0)),"")&amp;""="","管理费用",INDEX(科目表!$U$4:$U$123,MATCH($G42,科目表!$M$4:$M$123,0))),IF(N($H42)&gt;0,IF(IFERROR(INDEX(自动规则!$C$4:$C$143,MATCH($F42,自动规则!$B$4:$B$143,0)),"")&amp;""="","其他应收款",INDEX(自动规则!$C$4:$C$143,MATCH($F42,自动规则!$B$4:$B$143,0))),IF(IFERROR(INDEX(自动规则!$D$4:$D$143,MATCH($F42,自动规则!$B$4:$B$143,0)),"")&amp;""="","其他应付款",INDEX(自动规则!$D$4:$D$143,MATCH($F42,自动规则!$B$4:$B$143,0)))))))</f>
        <v>管理费用</v>
      </c>
      <c r="L42" s="43"/>
      <c r="M42" s="105" t="str">
        <f aca="false">IF($C42="","",IF(IFERROR(INDEX(科目表!$T$4:$T$123,MATCH($C42,科目表!$K$4:$K$123,0)),"")&amp;""="","其他货币资金",INDEX(科目表!$T$4:$T$123,MATCH($C42,科目表!$K$4:$K$123,0))))</f>
        <v>其他货币资金</v>
      </c>
      <c r="N42" s="39" t="str">
        <f aca="false">IF(OR($C42="",ROUND(N($H42)+N($I42),2)=0),"",IF(N($H42)&gt;0,$M42,$K42))</f>
        <v>管理费用</v>
      </c>
      <c r="O42" s="41" t="n">
        <f aca="false">IF($N42="","",ROUND(N($H42)+N($I42),2))</f>
        <v>120</v>
      </c>
      <c r="P42" s="41" t="n">
        <f aca="false">IF($N42="","",0)</f>
        <v>0</v>
      </c>
      <c r="Q42" s="39" t="str">
        <f aca="false">IF($N42="","",IF(N($H42)&gt;0,$K42,$M42))</f>
        <v>其他货币资金</v>
      </c>
      <c r="R42" s="41" t="n">
        <f aca="false">IF($Q42="","",0)</f>
        <v>0</v>
      </c>
      <c r="S42" s="41" t="n">
        <f aca="false">IF($Q42="","",ROUND(N($H42)+N($I42),2))</f>
        <v>120</v>
      </c>
      <c r="T42" s="42"/>
      <c r="U42" s="44"/>
      <c r="V42" s="41" t="str">
        <f aca="false">IF($B42="","",TEXT($B42,"yyyy年m月"))</f>
        <v>2026年9月</v>
      </c>
      <c r="W42" s="42"/>
      <c r="X42" s="42"/>
      <c r="Y42" s="9"/>
    </row>
    <row r="43" customFormat="false" ht="18" hidden="false" customHeight="true" outlineLevel="0" collapsed="false">
      <c r="A43" s="9" t="n">
        <f aca="false">IF($C43="","",ROW()-3)</f>
        <v>40</v>
      </c>
      <c r="B43" s="76" t="n">
        <v>46271</v>
      </c>
      <c r="C43" s="74" t="s">
        <v>459</v>
      </c>
      <c r="D43" s="78" t="s">
        <v>662</v>
      </c>
      <c r="E43" s="42"/>
      <c r="F43" s="74" t="s">
        <v>386</v>
      </c>
      <c r="G43" s="74" t="s">
        <v>662</v>
      </c>
      <c r="H43" s="44"/>
      <c r="I43" s="44" t="n">
        <v>10010</v>
      </c>
      <c r="J43" s="103" t="n">
        <f aca="false">IF($C43="","",ROUND(IFERROR(INDEX(期初余额!$I$4:$I$43,MATCH($C43,期初余额!$H$4:$H$43,0)),0)+SUMIFS($H$4:$H43,$C$4:$C43,$C43)-SUMIFS($I$4:$I43,$C$4:$C43,$C43),2))</f>
        <v>4749.96</v>
      </c>
      <c r="K43" s="104" t="str">
        <f aca="false">IF($T43&lt;&gt;"",$T43,IF($C43="","",IF(AND(N($I43)&gt;0,$G43&lt;&gt;""),IF(IFERROR(INDEX(科目表!$U$4:$U$123,MATCH($G43,科目表!$M$4:$M$123,0)),"")&amp;""="","管理费用",INDEX(科目表!$U$4:$U$123,MATCH($G43,科目表!$M$4:$M$123,0))),IF(N($H43)&gt;0,IF(IFERROR(INDEX(自动规则!$C$4:$C$143,MATCH($F43,自动规则!$B$4:$B$143,0)),"")&amp;""="","其他应收款",INDEX(自动规则!$C$4:$C$143,MATCH($F43,自动规则!$B$4:$B$143,0))),IF(IFERROR(INDEX(自动规则!$D$4:$D$143,MATCH($F43,自动规则!$B$4:$B$143,0)),"")&amp;""="","其他应付款",INDEX(自动规则!$D$4:$D$143,MATCH($F43,自动规则!$B$4:$B$143,0)))))))</f>
        <v>其他应付款</v>
      </c>
      <c r="L43" s="43"/>
      <c r="M43" s="105" t="str">
        <f aca="false">IF($C43="","",IF(IFERROR(INDEX(科目表!$T$4:$T$123,MATCH($C43,科目表!$K$4:$K$123,0)),"")&amp;""="","其他货币资金",INDEX(科目表!$T$4:$T$123,MATCH($C43,科目表!$K$4:$K$123,0))))</f>
        <v>其他货币资金</v>
      </c>
      <c r="N43" s="39" t="str">
        <f aca="false">IF(OR($C43="",ROUND(N($H43)+N($I43),2)=0),"",IF(N($H43)&gt;0,$M43,$K43))</f>
        <v>其他应付款</v>
      </c>
      <c r="O43" s="41" t="n">
        <f aca="false">IF($N43="","",ROUND(N($H43)+N($I43),2))</f>
        <v>10010</v>
      </c>
      <c r="P43" s="41" t="n">
        <f aca="false">IF($N43="","",0)</f>
        <v>0</v>
      </c>
      <c r="Q43" s="39" t="str">
        <f aca="false">IF($N43="","",IF(N($H43)&gt;0,$K43,$M43))</f>
        <v>其他货币资金</v>
      </c>
      <c r="R43" s="41" t="n">
        <f aca="false">IF($Q43="","",0)</f>
        <v>0</v>
      </c>
      <c r="S43" s="41" t="n">
        <f aca="false">IF($Q43="","",ROUND(N($H43)+N($I43),2))</f>
        <v>10010</v>
      </c>
      <c r="T43" s="42"/>
      <c r="U43" s="44"/>
      <c r="V43" s="41" t="str">
        <f aca="false">IF($B43="","",TEXT($B43,"yyyy年m月"))</f>
        <v>2026年9月</v>
      </c>
      <c r="W43" s="42"/>
      <c r="X43" s="42"/>
      <c r="Y43" s="9"/>
    </row>
    <row r="44" customFormat="false" ht="18" hidden="false" customHeight="true" outlineLevel="0" collapsed="false">
      <c r="A44" s="9" t="n">
        <f aca="false">IF($C44="","",ROW()-3)</f>
        <v>41</v>
      </c>
      <c r="B44" s="76" t="n">
        <v>46271</v>
      </c>
      <c r="C44" s="74" t="s">
        <v>459</v>
      </c>
      <c r="D44" s="78" t="s">
        <v>722</v>
      </c>
      <c r="E44" s="42"/>
      <c r="F44" s="74" t="s">
        <v>386</v>
      </c>
      <c r="G44" s="74" t="s">
        <v>664</v>
      </c>
      <c r="H44" s="44"/>
      <c r="I44" s="44" t="n">
        <v>6.69</v>
      </c>
      <c r="J44" s="103" t="n">
        <f aca="false">IF($C44="","",ROUND(IFERROR(INDEX(期初余额!$I$4:$I$43,MATCH($C44,期初余额!$H$4:$H$43,0)),0)+SUMIFS($H$4:$H44,$C$4:$C44,$C44)-SUMIFS($I$4:$I44,$C$4:$C44,$C44),2))</f>
        <v>4743.27</v>
      </c>
      <c r="K44" s="104" t="str">
        <f aca="false">IF($T44&lt;&gt;"",$T44,IF($C44="","",IF(AND(N($I44)&gt;0,$G44&lt;&gt;""),IF(IFERROR(INDEX(科目表!$U$4:$U$123,MATCH($G44,科目表!$M$4:$M$123,0)),"")&amp;""="","管理费用",INDEX(科目表!$U$4:$U$123,MATCH($G44,科目表!$M$4:$M$123,0))),IF(N($H44)&gt;0,IF(IFERROR(INDEX(自动规则!$C$4:$C$143,MATCH($F44,自动规则!$B$4:$B$143,0)),"")&amp;""="","其他应收款",INDEX(自动规则!$C$4:$C$143,MATCH($F44,自动规则!$B$4:$B$143,0))),IF(IFERROR(INDEX(自动规则!$D$4:$D$143,MATCH($F44,自动规则!$B$4:$B$143,0)),"")&amp;""="","其他应付款",INDEX(自动规则!$D$4:$D$143,MATCH($F44,自动规则!$B$4:$B$143,0)))))))</f>
        <v>管理费用</v>
      </c>
      <c r="L44" s="78" t="s">
        <v>710</v>
      </c>
      <c r="M44" s="105" t="str">
        <f aca="false">IF($C44="","",IF(IFERROR(INDEX(科目表!$T$4:$T$123,MATCH($C44,科目表!$K$4:$K$123,0)),"")&amp;""="","其他货币资金",INDEX(科目表!$T$4:$T$123,MATCH($C44,科目表!$K$4:$K$123,0))))</f>
        <v>其他货币资金</v>
      </c>
      <c r="N44" s="39" t="str">
        <f aca="false">IF(OR($C44="",ROUND(N($H44)+N($I44),2)=0),"",IF(N($H44)&gt;0,$M44,$K44))</f>
        <v>管理费用</v>
      </c>
      <c r="O44" s="41" t="n">
        <f aca="false">IF($N44="","",ROUND(N($H44)+N($I44),2))</f>
        <v>6.69</v>
      </c>
      <c r="P44" s="41" t="n">
        <f aca="false">IF($N44="","",0)</f>
        <v>0</v>
      </c>
      <c r="Q44" s="39" t="str">
        <f aca="false">IF($N44="","",IF(N($H44)&gt;0,$K44,$M44))</f>
        <v>其他货币资金</v>
      </c>
      <c r="R44" s="41" t="n">
        <f aca="false">IF($Q44="","",0)</f>
        <v>0</v>
      </c>
      <c r="S44" s="41" t="n">
        <f aca="false">IF($Q44="","",ROUND(N($H44)+N($I44),2))</f>
        <v>6.69</v>
      </c>
      <c r="T44" s="42"/>
      <c r="U44" s="44"/>
      <c r="V44" s="41" t="str">
        <f aca="false">IF($B44="","",TEXT($B44,"yyyy年m月"))</f>
        <v>2026年9月</v>
      </c>
      <c r="W44" s="42"/>
      <c r="X44" s="42"/>
      <c r="Y44" s="9"/>
    </row>
    <row r="45" customFormat="false" ht="18" hidden="false" customHeight="true" outlineLevel="0" collapsed="false">
      <c r="A45" s="9" t="n">
        <f aca="false">IF($C45="","",ROW()-3)</f>
        <v>42</v>
      </c>
      <c r="B45" s="76" t="n">
        <v>46271</v>
      </c>
      <c r="C45" s="74" t="s">
        <v>459</v>
      </c>
      <c r="D45" s="78" t="s">
        <v>727</v>
      </c>
      <c r="E45" s="42"/>
      <c r="F45" s="74" t="s">
        <v>364</v>
      </c>
      <c r="G45" s="74"/>
      <c r="H45" s="44" t="n">
        <v>10000</v>
      </c>
      <c r="I45" s="44"/>
      <c r="J45" s="103" t="n">
        <f aca="false">IF($C45="","",ROUND(IFERROR(INDEX(期初余额!$I$4:$I$43,MATCH($C45,期初余额!$H$4:$H$43,0)),0)+SUMIFS($H$4:$H45,$C$4:$C45,$C45)-SUMIFS($I$4:$I45,$C$4:$C45,$C45),2))</f>
        <v>14743.27</v>
      </c>
      <c r="K45" s="104" t="str">
        <f aca="false">IF($T45&lt;&gt;"",$T45,IF($C45="","",IF(AND(N($I45)&gt;0,$G45&lt;&gt;""),IF(IFERROR(INDEX(科目表!$U$4:$U$123,MATCH($G45,科目表!$M$4:$M$123,0)),"")&amp;""="","管理费用",INDEX(科目表!$U$4:$U$123,MATCH($G45,科目表!$M$4:$M$123,0))),IF(N($H45)&gt;0,IF(IFERROR(INDEX(自动规则!$C$4:$C$143,MATCH($F45,自动规则!$B$4:$B$143,0)),"")&amp;""="","其他应收款",INDEX(自动规则!$C$4:$C$143,MATCH($F45,自动规则!$B$4:$B$143,0))),IF(IFERROR(INDEX(自动规则!$D$4:$D$143,MATCH($F45,自动规则!$B$4:$B$143,0)),"")&amp;""="","其他应付款",INDEX(自动规则!$D$4:$D$143,MATCH($F45,自动规则!$B$4:$B$143,0)))))))</f>
        <v>应收账款</v>
      </c>
      <c r="L45" s="43"/>
      <c r="M45" s="105" t="str">
        <f aca="false">IF($C45="","",IF(IFERROR(INDEX(科目表!$T$4:$T$123,MATCH($C45,科目表!$K$4:$K$123,0)),"")&amp;""="","其他货币资金",INDEX(科目表!$T$4:$T$123,MATCH($C45,科目表!$K$4:$K$123,0))))</f>
        <v>其他货币资金</v>
      </c>
      <c r="N45" s="39" t="str">
        <f aca="false">IF(OR($C45="",ROUND(N($H45)+N($I45),2)=0),"",IF(N($H45)&gt;0,$M45,$K45))</f>
        <v>其他货币资金</v>
      </c>
      <c r="O45" s="41" t="n">
        <f aca="false">IF($N45="","",ROUND(N($H45)+N($I45),2))</f>
        <v>10000</v>
      </c>
      <c r="P45" s="41" t="n">
        <f aca="false">IF($N45="","",0)</f>
        <v>0</v>
      </c>
      <c r="Q45" s="39" t="str">
        <f aca="false">IF($N45="","",IF(N($H45)&gt;0,$K45,$M45))</f>
        <v>应收账款</v>
      </c>
      <c r="R45" s="41" t="n">
        <f aca="false">IF($Q45="","",0)</f>
        <v>0</v>
      </c>
      <c r="S45" s="41" t="n">
        <f aca="false">IF($Q45="","",ROUND(N($H45)+N($I45),2))</f>
        <v>10000</v>
      </c>
      <c r="T45" s="42"/>
      <c r="U45" s="44"/>
      <c r="V45" s="41" t="str">
        <f aca="false">IF($B45="","",TEXT($B45,"yyyy年m月"))</f>
        <v>2026年9月</v>
      </c>
      <c r="W45" s="42"/>
      <c r="X45" s="42"/>
      <c r="Y45" s="9"/>
    </row>
    <row r="46" customFormat="false" ht="18" hidden="false" customHeight="true" outlineLevel="0" collapsed="false">
      <c r="A46" s="9" t="n">
        <f aca="false">IF($C46="","",ROW()-3)</f>
        <v>43</v>
      </c>
      <c r="B46" s="76" t="n">
        <v>46271</v>
      </c>
      <c r="C46" s="74" t="s">
        <v>459</v>
      </c>
      <c r="D46" s="78" t="s">
        <v>727</v>
      </c>
      <c r="E46" s="42"/>
      <c r="F46" s="74" t="s">
        <v>364</v>
      </c>
      <c r="G46" s="74"/>
      <c r="H46" s="44" t="n">
        <v>4000</v>
      </c>
      <c r="I46" s="44"/>
      <c r="J46" s="103" t="n">
        <f aca="false">IF($C46="","",ROUND(IFERROR(INDEX(期初余额!$I$4:$I$43,MATCH($C46,期初余额!$H$4:$H$43,0)),0)+SUMIFS($H$4:$H46,$C$4:$C46,$C46)-SUMIFS($I$4:$I46,$C$4:$C46,$C46),2))</f>
        <v>18743.27</v>
      </c>
      <c r="K46" s="104" t="str">
        <f aca="false">IF($T46&lt;&gt;"",$T46,IF($C46="","",IF(AND(N($I46)&gt;0,$G46&lt;&gt;""),IF(IFERROR(INDEX(科目表!$U$4:$U$123,MATCH($G46,科目表!$M$4:$M$123,0)),"")&amp;""="","管理费用",INDEX(科目表!$U$4:$U$123,MATCH($G46,科目表!$M$4:$M$123,0))),IF(N($H46)&gt;0,IF(IFERROR(INDEX(自动规则!$C$4:$C$143,MATCH($F46,自动规则!$B$4:$B$143,0)),"")&amp;""="","其他应收款",INDEX(自动规则!$C$4:$C$143,MATCH($F46,自动规则!$B$4:$B$143,0))),IF(IFERROR(INDEX(自动规则!$D$4:$D$143,MATCH($F46,自动规则!$B$4:$B$143,0)),"")&amp;""="","其他应付款",INDEX(自动规则!$D$4:$D$143,MATCH($F46,自动规则!$B$4:$B$143,0)))))))</f>
        <v>应收账款</v>
      </c>
      <c r="L46" s="43"/>
      <c r="M46" s="105" t="str">
        <f aca="false">IF($C46="","",IF(IFERROR(INDEX(科目表!$T$4:$T$123,MATCH($C46,科目表!$K$4:$K$123,0)),"")&amp;""="","其他货币资金",INDEX(科目表!$T$4:$T$123,MATCH($C46,科目表!$K$4:$K$123,0))))</f>
        <v>其他货币资金</v>
      </c>
      <c r="N46" s="39" t="str">
        <f aca="false">IF(OR($C46="",ROUND(N($H46)+N($I46),2)=0),"",IF(N($H46)&gt;0,$M46,$K46))</f>
        <v>其他货币资金</v>
      </c>
      <c r="O46" s="41" t="n">
        <f aca="false">IF($N46="","",ROUND(N($H46)+N($I46),2))</f>
        <v>4000</v>
      </c>
      <c r="P46" s="41" t="n">
        <f aca="false">IF($N46="","",0)</f>
        <v>0</v>
      </c>
      <c r="Q46" s="39" t="str">
        <f aca="false">IF($N46="","",IF(N($H46)&gt;0,$K46,$M46))</f>
        <v>应收账款</v>
      </c>
      <c r="R46" s="41" t="n">
        <f aca="false">IF($Q46="","",0)</f>
        <v>0</v>
      </c>
      <c r="S46" s="41" t="n">
        <f aca="false">IF($Q46="","",ROUND(N($H46)+N($I46),2))</f>
        <v>4000</v>
      </c>
      <c r="T46" s="42"/>
      <c r="U46" s="44"/>
      <c r="V46" s="41" t="str">
        <f aca="false">IF($B46="","",TEXT($B46,"yyyy年m月"))</f>
        <v>2026年9月</v>
      </c>
      <c r="W46" s="42"/>
      <c r="X46" s="42"/>
      <c r="Y46" s="9"/>
    </row>
    <row r="47" customFormat="false" ht="18" hidden="false" customHeight="true" outlineLevel="0" collapsed="false">
      <c r="A47" s="9" t="n">
        <f aca="false">IF($C47="","",ROW()-3)</f>
        <v>44</v>
      </c>
      <c r="B47" s="76" t="n">
        <v>46271</v>
      </c>
      <c r="C47" s="74" t="s">
        <v>459</v>
      </c>
      <c r="D47" s="78" t="s">
        <v>722</v>
      </c>
      <c r="E47" s="42"/>
      <c r="F47" s="74"/>
      <c r="G47" s="74" t="s">
        <v>664</v>
      </c>
      <c r="H47" s="44"/>
      <c r="I47" s="44" t="n">
        <v>8.39</v>
      </c>
      <c r="J47" s="103" t="n">
        <f aca="false">IF($C47="","",ROUND(IFERROR(INDEX(期初余额!$I$4:$I$43,MATCH($C47,期初余额!$H$4:$H$43,0)),0)+SUMIFS($H$4:$H47,$C$4:$C47,$C47)-SUMIFS($I$4:$I47,$C$4:$C47,$C47),2))</f>
        <v>18734.88</v>
      </c>
      <c r="K47" s="104" t="str">
        <f aca="false">IF($T47&lt;&gt;"",$T47,IF($C47="","",IF(AND(N($I47)&gt;0,$G47&lt;&gt;""),IF(IFERROR(INDEX(科目表!$U$4:$U$123,MATCH($G47,科目表!$M$4:$M$123,0)),"")&amp;""="","管理费用",INDEX(科目表!$U$4:$U$123,MATCH($G47,科目表!$M$4:$M$123,0))),IF(N($H47)&gt;0,IF(IFERROR(INDEX(自动规则!$C$4:$C$143,MATCH($F47,自动规则!$B$4:$B$143,0)),"")&amp;""="","其他应收款",INDEX(自动规则!$C$4:$C$143,MATCH($F47,自动规则!$B$4:$B$143,0))),IF(IFERROR(INDEX(自动规则!$D$4:$D$143,MATCH($F47,自动规则!$B$4:$B$143,0)),"")&amp;""="","其他应付款",INDEX(自动规则!$D$4:$D$143,MATCH($F47,自动规则!$B$4:$B$143,0)))))))</f>
        <v>管理费用</v>
      </c>
      <c r="L47" s="78" t="s">
        <v>710</v>
      </c>
      <c r="M47" s="105" t="str">
        <f aca="false">IF($C47="","",IF(IFERROR(INDEX(科目表!$T$4:$T$123,MATCH($C47,科目表!$K$4:$K$123,0)),"")&amp;""="","其他货币资金",INDEX(科目表!$T$4:$T$123,MATCH($C47,科目表!$K$4:$K$123,0))))</f>
        <v>其他货币资金</v>
      </c>
      <c r="N47" s="39" t="str">
        <f aca="false">IF(OR($C47="",ROUND(N($H47)+N($I47),2)=0),"",IF(N($H47)&gt;0,$M47,$K47))</f>
        <v>管理费用</v>
      </c>
      <c r="O47" s="41" t="n">
        <f aca="false">IF($N47="","",ROUND(N($H47)+N($I47),2))</f>
        <v>8.39</v>
      </c>
      <c r="P47" s="41" t="n">
        <f aca="false">IF($N47="","",0)</f>
        <v>0</v>
      </c>
      <c r="Q47" s="39" t="str">
        <f aca="false">IF($N47="","",IF(N($H47)&gt;0,$K47,$M47))</f>
        <v>其他货币资金</v>
      </c>
      <c r="R47" s="41" t="n">
        <f aca="false">IF($Q47="","",0)</f>
        <v>0</v>
      </c>
      <c r="S47" s="41" t="n">
        <f aca="false">IF($Q47="","",ROUND(N($H47)+N($I47),2))</f>
        <v>8.39</v>
      </c>
      <c r="T47" s="42"/>
      <c r="U47" s="44"/>
      <c r="V47" s="41" t="str">
        <f aca="false">IF($B47="","",TEXT($B47,"yyyy年m月"))</f>
        <v>2026年9月</v>
      </c>
      <c r="W47" s="42"/>
      <c r="X47" s="42"/>
      <c r="Y47" s="9"/>
    </row>
    <row r="48" customFormat="false" ht="18" hidden="false" customHeight="true" outlineLevel="0" collapsed="false">
      <c r="A48" s="9" t="n">
        <f aca="false">IF($C48="","",ROW()-3)</f>
        <v>45</v>
      </c>
      <c r="B48" s="76" t="n">
        <v>46271</v>
      </c>
      <c r="C48" s="74" t="s">
        <v>459</v>
      </c>
      <c r="D48" s="78" t="s">
        <v>728</v>
      </c>
      <c r="E48" s="42"/>
      <c r="F48" s="74" t="s">
        <v>386</v>
      </c>
      <c r="G48" s="74" t="s">
        <v>679</v>
      </c>
      <c r="H48" s="44"/>
      <c r="I48" s="44" t="n">
        <v>300</v>
      </c>
      <c r="J48" s="103" t="n">
        <f aca="false">IF($C48="","",ROUND(IFERROR(INDEX(期初余额!$I$4:$I$43,MATCH($C48,期初余额!$H$4:$H$43,0)),0)+SUMIFS($H$4:$H48,$C$4:$C48,$C48)-SUMIFS($I$4:$I48,$C$4:$C48,$C48),2))</f>
        <v>18434.88</v>
      </c>
      <c r="K48" s="104" t="str">
        <f aca="false">IF($T48&lt;&gt;"",$T48,IF($C48="","",IF(AND(N($I48)&gt;0,$G48&lt;&gt;""),IF(IFERROR(INDEX(科目表!$U$4:$U$123,MATCH($G48,科目表!$M$4:$M$123,0)),"")&amp;""="","管理费用",INDEX(科目表!$U$4:$U$123,MATCH($G48,科目表!$M$4:$M$123,0))),IF(N($H48)&gt;0,IF(IFERROR(INDEX(自动规则!$C$4:$C$143,MATCH($F48,自动规则!$B$4:$B$143,0)),"")&amp;""="","其他应收款",INDEX(自动规则!$C$4:$C$143,MATCH($F48,自动规则!$B$4:$B$143,0))),IF(IFERROR(INDEX(自动规则!$D$4:$D$143,MATCH($F48,自动规则!$B$4:$B$143,0)),"")&amp;""="","其他应付款",INDEX(自动规则!$D$4:$D$143,MATCH($F48,自动规则!$B$4:$B$143,0)))))))</f>
        <v>管理费用</v>
      </c>
      <c r="L48" s="78" t="s">
        <v>710</v>
      </c>
      <c r="M48" s="105" t="str">
        <f aca="false">IF($C48="","",IF(IFERROR(INDEX(科目表!$T$4:$T$123,MATCH($C48,科目表!$K$4:$K$123,0)),"")&amp;""="","其他货币资金",INDEX(科目表!$T$4:$T$123,MATCH($C48,科目表!$K$4:$K$123,0))))</f>
        <v>其他货币资金</v>
      </c>
      <c r="N48" s="39" t="str">
        <f aca="false">IF(OR($C48="",ROUND(N($H48)+N($I48),2)=0),"",IF(N($H48)&gt;0,$M48,$K48))</f>
        <v>管理费用</v>
      </c>
      <c r="O48" s="41" t="n">
        <f aca="false">IF($N48="","",ROUND(N($H48)+N($I48),2))</f>
        <v>300</v>
      </c>
      <c r="P48" s="41" t="n">
        <f aca="false">IF($N48="","",0)</f>
        <v>0</v>
      </c>
      <c r="Q48" s="39" t="str">
        <f aca="false">IF($N48="","",IF(N($H48)&gt;0,$K48,$M48))</f>
        <v>其他货币资金</v>
      </c>
      <c r="R48" s="41" t="n">
        <f aca="false">IF($Q48="","",0)</f>
        <v>0</v>
      </c>
      <c r="S48" s="41" t="n">
        <f aca="false">IF($Q48="","",ROUND(N($H48)+N($I48),2))</f>
        <v>300</v>
      </c>
      <c r="T48" s="42"/>
      <c r="U48" s="44"/>
      <c r="V48" s="41" t="str">
        <f aca="false">IF($B48="","",TEXT($B48,"yyyy年m月"))</f>
        <v>2026年9月</v>
      </c>
      <c r="W48" s="42"/>
      <c r="X48" s="42"/>
      <c r="Y48" s="9"/>
    </row>
    <row r="49" customFormat="false" ht="18" hidden="false" customHeight="true" outlineLevel="0" collapsed="false">
      <c r="A49" s="9" t="n">
        <f aca="false">IF($C49="","",ROW()-3)</f>
        <v>46</v>
      </c>
      <c r="B49" s="76" t="n">
        <v>46271</v>
      </c>
      <c r="C49" s="74" t="s">
        <v>459</v>
      </c>
      <c r="D49" s="78" t="s">
        <v>729</v>
      </c>
      <c r="E49" s="42"/>
      <c r="F49" s="74" t="s">
        <v>386</v>
      </c>
      <c r="G49" s="74" t="s">
        <v>667</v>
      </c>
      <c r="H49" s="44"/>
      <c r="I49" s="44" t="n">
        <v>25</v>
      </c>
      <c r="J49" s="103" t="n">
        <f aca="false">IF($C49="","",ROUND(IFERROR(INDEX(期初余额!$I$4:$I$43,MATCH($C49,期初余额!$H$4:$H$43,0)),0)+SUMIFS($H$4:$H49,$C$4:$C49,$C49)-SUMIFS($I$4:$I49,$C$4:$C49,$C49),2))</f>
        <v>18409.88</v>
      </c>
      <c r="K49" s="104" t="str">
        <f aca="false">IF($T49&lt;&gt;"",$T49,IF($C49="","",IF(AND(N($I49)&gt;0,$G49&lt;&gt;""),IF(IFERROR(INDEX(科目表!$U$4:$U$123,MATCH($G49,科目表!$M$4:$M$123,0)),"")&amp;""="","管理费用",INDEX(科目表!$U$4:$U$123,MATCH($G49,科目表!$M$4:$M$123,0))),IF(N($H49)&gt;0,IF(IFERROR(INDEX(自动规则!$C$4:$C$143,MATCH($F49,自动规则!$B$4:$B$143,0)),"")&amp;""="","其他应收款",INDEX(自动规则!$C$4:$C$143,MATCH($F49,自动规则!$B$4:$B$143,0))),IF(IFERROR(INDEX(自动规则!$D$4:$D$143,MATCH($F49,自动规则!$B$4:$B$143,0)),"")&amp;""="","其他应付款",INDEX(自动规则!$D$4:$D$143,MATCH($F49,自动规则!$B$4:$B$143,0)))))))</f>
        <v>其他应收款</v>
      </c>
      <c r="L49" s="43"/>
      <c r="M49" s="105" t="str">
        <f aca="false">IF($C49="","",IF(IFERROR(INDEX(科目表!$T$4:$T$123,MATCH($C49,科目表!$K$4:$K$123,0)),"")&amp;""="","其他货币资金",INDEX(科目表!$T$4:$T$123,MATCH($C49,科目表!$K$4:$K$123,0))))</f>
        <v>其他货币资金</v>
      </c>
      <c r="N49" s="39" t="str">
        <f aca="false">IF(OR($C49="",ROUND(N($H49)+N($I49),2)=0),"",IF(N($H49)&gt;0,$M49,$K49))</f>
        <v>其他应收款</v>
      </c>
      <c r="O49" s="41" t="n">
        <f aca="false">IF($N49="","",ROUND(N($H49)+N($I49),2))</f>
        <v>25</v>
      </c>
      <c r="P49" s="41" t="n">
        <f aca="false">IF($N49="","",0)</f>
        <v>0</v>
      </c>
      <c r="Q49" s="39" t="str">
        <f aca="false">IF($N49="","",IF(N($H49)&gt;0,$K49,$M49))</f>
        <v>其他货币资金</v>
      </c>
      <c r="R49" s="41" t="n">
        <f aca="false">IF($Q49="","",0)</f>
        <v>0</v>
      </c>
      <c r="S49" s="41" t="n">
        <f aca="false">IF($Q49="","",ROUND(N($H49)+N($I49),2))</f>
        <v>25</v>
      </c>
      <c r="T49" s="42"/>
      <c r="U49" s="44"/>
      <c r="V49" s="41" t="str">
        <f aca="false">IF($B49="","",TEXT($B49,"yyyy年m月"))</f>
        <v>2026年9月</v>
      </c>
      <c r="W49" s="42"/>
      <c r="X49" s="42"/>
      <c r="Y49" s="9"/>
    </row>
    <row r="50" customFormat="false" ht="18" hidden="false" customHeight="true" outlineLevel="0" collapsed="false">
      <c r="A50" s="9" t="n">
        <f aca="false">IF($C50="","",ROW()-3)</f>
        <v>47</v>
      </c>
      <c r="B50" s="76" t="n">
        <v>46272</v>
      </c>
      <c r="C50" s="74" t="s">
        <v>459</v>
      </c>
      <c r="D50" s="78" t="s">
        <v>730</v>
      </c>
      <c r="E50" s="42"/>
      <c r="F50" s="74" t="s">
        <v>386</v>
      </c>
      <c r="G50" s="74"/>
      <c r="H50" s="44"/>
      <c r="I50" s="44" t="n">
        <v>48</v>
      </c>
      <c r="J50" s="103" t="n">
        <f aca="false">IF($C50="","",ROUND(IFERROR(INDEX(期初余额!$I$4:$I$43,MATCH($C50,期初余额!$H$4:$H$43,0)),0)+SUMIFS($H$4:$H50,$C$4:$C50,$C50)-SUMIFS($I$4:$I50,$C$4:$C50,$C50),2))</f>
        <v>18361.88</v>
      </c>
      <c r="K50" s="104" t="str">
        <f aca="false">IF($T50&lt;&gt;"",$T50,IF($C50="","",IF(AND(N($I50)&gt;0,$G50&lt;&gt;""),IF(IFERROR(INDEX(科目表!$U$4:$U$123,MATCH($G50,科目表!$M$4:$M$123,0)),"")&amp;""="","管理费用",INDEX(科目表!$U$4:$U$123,MATCH($G50,科目表!$M$4:$M$123,0))),IF(N($H50)&gt;0,IF(IFERROR(INDEX(自动规则!$C$4:$C$143,MATCH($F50,自动规则!$B$4:$B$143,0)),"")&amp;""="","其他应收款",INDEX(自动规则!$C$4:$C$143,MATCH($F50,自动规则!$B$4:$B$143,0))),IF(IFERROR(INDEX(自动规则!$D$4:$D$143,MATCH($F50,自动规则!$B$4:$B$143,0)),"")&amp;""="","其他应付款",INDEX(自动规则!$D$4:$D$143,MATCH($F50,自动规则!$B$4:$B$143,0)))))))</f>
        <v>其他应收款</v>
      </c>
      <c r="L50" s="43"/>
      <c r="M50" s="105" t="str">
        <f aca="false">IF($C50="","",IF(IFERROR(INDEX(科目表!$T$4:$T$123,MATCH($C50,科目表!$K$4:$K$123,0)),"")&amp;""="","其他货币资金",INDEX(科目表!$T$4:$T$123,MATCH($C50,科目表!$K$4:$K$123,0))))</f>
        <v>其他货币资金</v>
      </c>
      <c r="N50" s="39" t="str">
        <f aca="false">IF(OR($C50="",ROUND(N($H50)+N($I50),2)=0),"",IF(N($H50)&gt;0,$M50,$K50))</f>
        <v>其他应收款</v>
      </c>
      <c r="O50" s="41" t="n">
        <f aca="false">IF($N50="","",ROUND(N($H50)+N($I50),2))</f>
        <v>48</v>
      </c>
      <c r="P50" s="41" t="n">
        <f aca="false">IF($N50="","",0)</f>
        <v>0</v>
      </c>
      <c r="Q50" s="39" t="str">
        <f aca="false">IF($N50="","",IF(N($H50)&gt;0,$K50,$M50))</f>
        <v>其他货币资金</v>
      </c>
      <c r="R50" s="41" t="n">
        <f aca="false">IF($Q50="","",0)</f>
        <v>0</v>
      </c>
      <c r="S50" s="41" t="n">
        <f aca="false">IF($Q50="","",ROUND(N($H50)+N($I50),2))</f>
        <v>48</v>
      </c>
      <c r="T50" s="42"/>
      <c r="U50" s="44"/>
      <c r="V50" s="41" t="str">
        <f aca="false">IF($B50="","",TEXT($B50,"yyyy年m月"))</f>
        <v>2026年9月</v>
      </c>
      <c r="W50" s="42"/>
      <c r="X50" s="42"/>
      <c r="Y50" s="9"/>
    </row>
    <row r="51" customFormat="false" ht="18" hidden="false" customHeight="true" outlineLevel="0" collapsed="false">
      <c r="A51" s="9" t="n">
        <f aca="false">IF($C51="","",ROW()-3)</f>
        <v>48</v>
      </c>
      <c r="B51" s="76" t="n">
        <v>46272</v>
      </c>
      <c r="C51" s="74" t="s">
        <v>459</v>
      </c>
      <c r="D51" s="78" t="s">
        <v>606</v>
      </c>
      <c r="E51" s="42"/>
      <c r="F51" s="74"/>
      <c r="G51" s="74" t="s">
        <v>606</v>
      </c>
      <c r="H51" s="44"/>
      <c r="I51" s="44" t="n">
        <v>6</v>
      </c>
      <c r="J51" s="103" t="n">
        <f aca="false">IF($C51="","",ROUND(IFERROR(INDEX(期初余额!$I$4:$I$43,MATCH($C51,期初余额!$H$4:$H$43,0)),0)+SUMIFS($H$4:$H51,$C$4:$C51,$C51)-SUMIFS($I$4:$I51,$C$4:$C51,$C51),2))</f>
        <v>18355.88</v>
      </c>
      <c r="K51" s="104" t="str">
        <f aca="false">IF($T51&lt;&gt;"",$T51,IF($C51="","",IF(AND(N($I51)&gt;0,$G51&lt;&gt;""),IF(IFERROR(INDEX(科目表!$U$4:$U$123,MATCH($G51,科目表!$M$4:$M$123,0)),"")&amp;""="","管理费用",INDEX(科目表!$U$4:$U$123,MATCH($G51,科目表!$M$4:$M$123,0))),IF(N($H51)&gt;0,IF(IFERROR(INDEX(自动规则!$C$4:$C$143,MATCH($F51,自动规则!$B$4:$B$143,0)),"")&amp;""="","其他应收款",INDEX(自动规则!$C$4:$C$143,MATCH($F51,自动规则!$B$4:$B$143,0))),IF(IFERROR(INDEX(自动规则!$D$4:$D$143,MATCH($F51,自动规则!$B$4:$B$143,0)),"")&amp;""="","其他应付款",INDEX(自动规则!$D$4:$D$143,MATCH($F51,自动规则!$B$4:$B$143,0)))))))</f>
        <v>管理费用</v>
      </c>
      <c r="L51" s="43"/>
      <c r="M51" s="105" t="str">
        <f aca="false">IF($C51="","",IF(IFERROR(INDEX(科目表!$T$4:$T$123,MATCH($C51,科目表!$K$4:$K$123,0)),"")&amp;""="","其他货币资金",INDEX(科目表!$T$4:$T$123,MATCH($C51,科目表!$K$4:$K$123,0))))</f>
        <v>其他货币资金</v>
      </c>
      <c r="N51" s="39" t="str">
        <f aca="false">IF(OR($C51="",ROUND(N($H51)+N($I51),2)=0),"",IF(N($H51)&gt;0,$M51,$K51))</f>
        <v>管理费用</v>
      </c>
      <c r="O51" s="41" t="n">
        <f aca="false">IF($N51="","",ROUND(N($H51)+N($I51),2))</f>
        <v>6</v>
      </c>
      <c r="P51" s="41" t="n">
        <f aca="false">IF($N51="","",0)</f>
        <v>0</v>
      </c>
      <c r="Q51" s="39" t="str">
        <f aca="false">IF($N51="","",IF(N($H51)&gt;0,$K51,$M51))</f>
        <v>其他货币资金</v>
      </c>
      <c r="R51" s="41" t="n">
        <f aca="false">IF($Q51="","",0)</f>
        <v>0</v>
      </c>
      <c r="S51" s="41" t="n">
        <f aca="false">IF($Q51="","",ROUND(N($H51)+N($I51),2))</f>
        <v>6</v>
      </c>
      <c r="T51" s="42"/>
      <c r="U51" s="44"/>
      <c r="V51" s="41" t="str">
        <f aca="false">IF($B51="","",TEXT($B51,"yyyy年m月"))</f>
        <v>2026年9月</v>
      </c>
      <c r="W51" s="42"/>
      <c r="X51" s="42"/>
      <c r="Y51" s="9"/>
    </row>
    <row r="52" customFormat="false" ht="18" hidden="false" customHeight="true" outlineLevel="0" collapsed="false">
      <c r="A52" s="9" t="n">
        <f aca="false">IF($C52="","",ROW()-3)</f>
        <v>49</v>
      </c>
      <c r="B52" s="76" t="n">
        <v>46272</v>
      </c>
      <c r="C52" s="74" t="s">
        <v>459</v>
      </c>
      <c r="D52" s="43"/>
      <c r="E52" s="42"/>
      <c r="F52" s="74"/>
      <c r="G52" s="74" t="s">
        <v>566</v>
      </c>
      <c r="H52" s="44"/>
      <c r="I52" s="44" t="n">
        <v>34</v>
      </c>
      <c r="J52" s="103" t="n">
        <f aca="false">IF($C52="","",ROUND(IFERROR(INDEX(期初余额!$I$4:$I$43,MATCH($C52,期初余额!$H$4:$H$43,0)),0)+SUMIFS($H$4:$H52,$C$4:$C52,$C52)-SUMIFS($I$4:$I52,$C$4:$C52,$C52),2))</f>
        <v>18321.88</v>
      </c>
      <c r="K52" s="104" t="str">
        <f aca="false">IF($T52&lt;&gt;"",$T52,IF($C52="","",IF(AND(N($I52)&gt;0,$G52&lt;&gt;""),IF(IFERROR(INDEX(科目表!$U$4:$U$123,MATCH($G52,科目表!$M$4:$M$123,0)),"")&amp;""="","管理费用",INDEX(科目表!$U$4:$U$123,MATCH($G52,科目表!$M$4:$M$123,0))),IF(N($H52)&gt;0,IF(IFERROR(INDEX(自动规则!$C$4:$C$143,MATCH($F52,自动规则!$B$4:$B$143,0)),"")&amp;""="","其他应收款",INDEX(自动规则!$C$4:$C$143,MATCH($F52,自动规则!$B$4:$B$143,0))),IF(IFERROR(INDEX(自动规则!$D$4:$D$143,MATCH($F52,自动规则!$B$4:$B$143,0)),"")&amp;""="","其他应付款",INDEX(自动规则!$D$4:$D$143,MATCH($F52,自动规则!$B$4:$B$143,0)))))))</f>
        <v>管理费用</v>
      </c>
      <c r="L52" s="43"/>
      <c r="M52" s="105" t="str">
        <f aca="false">IF($C52="","",IF(IFERROR(INDEX(科目表!$T$4:$T$123,MATCH($C52,科目表!$K$4:$K$123,0)),"")&amp;""="","其他货币资金",INDEX(科目表!$T$4:$T$123,MATCH($C52,科目表!$K$4:$K$123,0))))</f>
        <v>其他货币资金</v>
      </c>
      <c r="N52" s="39" t="str">
        <f aca="false">IF(OR($C52="",ROUND(N($H52)+N($I52),2)=0),"",IF(N($H52)&gt;0,$M52,$K52))</f>
        <v>管理费用</v>
      </c>
      <c r="O52" s="41" t="n">
        <f aca="false">IF($N52="","",ROUND(N($H52)+N($I52),2))</f>
        <v>34</v>
      </c>
      <c r="P52" s="41" t="n">
        <f aca="false">IF($N52="","",0)</f>
        <v>0</v>
      </c>
      <c r="Q52" s="39" t="str">
        <f aca="false">IF($N52="","",IF(N($H52)&gt;0,$K52,$M52))</f>
        <v>其他货币资金</v>
      </c>
      <c r="R52" s="41" t="n">
        <f aca="false">IF($Q52="","",0)</f>
        <v>0</v>
      </c>
      <c r="S52" s="41" t="n">
        <f aca="false">IF($Q52="","",ROUND(N($H52)+N($I52),2))</f>
        <v>34</v>
      </c>
      <c r="T52" s="42"/>
      <c r="U52" s="44"/>
      <c r="V52" s="41" t="str">
        <f aca="false">IF($B52="","",TEXT($B52,"yyyy年m月"))</f>
        <v>2026年9月</v>
      </c>
      <c r="W52" s="42"/>
      <c r="X52" s="42"/>
      <c r="Y52" s="9"/>
    </row>
    <row r="53" customFormat="false" ht="18" hidden="false" customHeight="true" outlineLevel="0" collapsed="false">
      <c r="A53" s="9" t="n">
        <f aca="false">IF($C53="","",ROW()-3)</f>
        <v>50</v>
      </c>
      <c r="B53" s="76" t="n">
        <v>46272</v>
      </c>
      <c r="C53" s="74" t="s">
        <v>459</v>
      </c>
      <c r="D53" s="43"/>
      <c r="E53" s="42"/>
      <c r="F53" s="74"/>
      <c r="G53" s="74" t="s">
        <v>566</v>
      </c>
      <c r="H53" s="44"/>
      <c r="I53" s="44" t="n">
        <v>6</v>
      </c>
      <c r="J53" s="103" t="n">
        <f aca="false">IF($C53="","",ROUND(IFERROR(INDEX(期初余额!$I$4:$I$43,MATCH($C53,期初余额!$H$4:$H$43,0)),0)+SUMIFS($H$4:$H53,$C$4:$C53,$C53)-SUMIFS($I$4:$I53,$C$4:$C53,$C53),2))</f>
        <v>18315.88</v>
      </c>
      <c r="K53" s="104" t="str">
        <f aca="false">IF($T53&lt;&gt;"",$T53,IF($C53="","",IF(AND(N($I53)&gt;0,$G53&lt;&gt;""),IF(IFERROR(INDEX(科目表!$U$4:$U$123,MATCH($G53,科目表!$M$4:$M$123,0)),"")&amp;""="","管理费用",INDEX(科目表!$U$4:$U$123,MATCH($G53,科目表!$M$4:$M$123,0))),IF(N($H53)&gt;0,IF(IFERROR(INDEX(自动规则!$C$4:$C$143,MATCH($F53,自动规则!$B$4:$B$143,0)),"")&amp;""="","其他应收款",INDEX(自动规则!$C$4:$C$143,MATCH($F53,自动规则!$B$4:$B$143,0))),IF(IFERROR(INDEX(自动规则!$D$4:$D$143,MATCH($F53,自动规则!$B$4:$B$143,0)),"")&amp;""="","其他应付款",INDEX(自动规则!$D$4:$D$143,MATCH($F53,自动规则!$B$4:$B$143,0)))))))</f>
        <v>管理费用</v>
      </c>
      <c r="L53" s="43"/>
      <c r="M53" s="105" t="str">
        <f aca="false">IF($C53="","",IF(IFERROR(INDEX(科目表!$T$4:$T$123,MATCH($C53,科目表!$K$4:$K$123,0)),"")&amp;""="","其他货币资金",INDEX(科目表!$T$4:$T$123,MATCH($C53,科目表!$K$4:$K$123,0))))</f>
        <v>其他货币资金</v>
      </c>
      <c r="N53" s="39" t="str">
        <f aca="false">IF(OR($C53="",ROUND(N($H53)+N($I53),2)=0),"",IF(N($H53)&gt;0,$M53,$K53))</f>
        <v>管理费用</v>
      </c>
      <c r="O53" s="41" t="n">
        <f aca="false">IF($N53="","",ROUND(N($H53)+N($I53),2))</f>
        <v>6</v>
      </c>
      <c r="P53" s="41" t="n">
        <f aca="false">IF($N53="","",0)</f>
        <v>0</v>
      </c>
      <c r="Q53" s="39" t="str">
        <f aca="false">IF($N53="","",IF(N($H53)&gt;0,$K53,$M53))</f>
        <v>其他货币资金</v>
      </c>
      <c r="R53" s="41" t="n">
        <f aca="false">IF($Q53="","",0)</f>
        <v>0</v>
      </c>
      <c r="S53" s="41" t="n">
        <f aca="false">IF($Q53="","",ROUND(N($H53)+N($I53),2))</f>
        <v>6</v>
      </c>
      <c r="T53" s="42"/>
      <c r="U53" s="44"/>
      <c r="V53" s="41" t="str">
        <f aca="false">IF($B53="","",TEXT($B53,"yyyy年m月"))</f>
        <v>2026年9月</v>
      </c>
      <c r="W53" s="42"/>
      <c r="X53" s="42"/>
      <c r="Y53" s="9"/>
    </row>
    <row r="54" customFormat="false" ht="18" hidden="false" customHeight="true" outlineLevel="0" collapsed="false">
      <c r="A54" s="9" t="n">
        <f aca="false">IF($C54="","",ROW()-3)</f>
        <v>51</v>
      </c>
      <c r="B54" s="76" t="n">
        <v>46272</v>
      </c>
      <c r="C54" s="74" t="s">
        <v>459</v>
      </c>
      <c r="D54" s="43"/>
      <c r="E54" s="42"/>
      <c r="F54" s="74"/>
      <c r="G54" s="74" t="s">
        <v>606</v>
      </c>
      <c r="H54" s="44"/>
      <c r="I54" s="44" t="n">
        <v>150</v>
      </c>
      <c r="J54" s="103" t="n">
        <f aca="false">IF($C54="","",ROUND(IFERROR(INDEX(期初余额!$I$4:$I$43,MATCH($C54,期初余额!$H$4:$H$43,0)),0)+SUMIFS($H$4:$H54,$C$4:$C54,$C54)-SUMIFS($I$4:$I54,$C$4:$C54,$C54),2))</f>
        <v>18165.88</v>
      </c>
      <c r="K54" s="104" t="str">
        <f aca="false">IF($T54&lt;&gt;"",$T54,IF($C54="","",IF(AND(N($I54)&gt;0,$G54&lt;&gt;""),IF(IFERROR(INDEX(科目表!$U$4:$U$123,MATCH($G54,科目表!$M$4:$M$123,0)),"")&amp;""="","管理费用",INDEX(科目表!$U$4:$U$123,MATCH($G54,科目表!$M$4:$M$123,0))),IF(N($H54)&gt;0,IF(IFERROR(INDEX(自动规则!$C$4:$C$143,MATCH($F54,自动规则!$B$4:$B$143,0)),"")&amp;""="","其他应收款",INDEX(自动规则!$C$4:$C$143,MATCH($F54,自动规则!$B$4:$B$143,0))),IF(IFERROR(INDEX(自动规则!$D$4:$D$143,MATCH($F54,自动规则!$B$4:$B$143,0)),"")&amp;""="","其他应付款",INDEX(自动规则!$D$4:$D$143,MATCH($F54,自动规则!$B$4:$B$143,0)))))))</f>
        <v>管理费用</v>
      </c>
      <c r="L54" s="43"/>
      <c r="M54" s="105" t="str">
        <f aca="false">IF($C54="","",IF(IFERROR(INDEX(科目表!$T$4:$T$123,MATCH($C54,科目表!$K$4:$K$123,0)),"")&amp;""="","其他货币资金",INDEX(科目表!$T$4:$T$123,MATCH($C54,科目表!$K$4:$K$123,0))))</f>
        <v>其他货币资金</v>
      </c>
      <c r="N54" s="39" t="str">
        <f aca="false">IF(OR($C54="",ROUND(N($H54)+N($I54),2)=0),"",IF(N($H54)&gt;0,$M54,$K54))</f>
        <v>管理费用</v>
      </c>
      <c r="O54" s="41" t="n">
        <f aca="false">IF($N54="","",ROUND(N($H54)+N($I54),2))</f>
        <v>150</v>
      </c>
      <c r="P54" s="41" t="n">
        <f aca="false">IF($N54="","",0)</f>
        <v>0</v>
      </c>
      <c r="Q54" s="39" t="str">
        <f aca="false">IF($N54="","",IF(N($H54)&gt;0,$K54,$M54))</f>
        <v>其他货币资金</v>
      </c>
      <c r="R54" s="41" t="n">
        <f aca="false">IF($Q54="","",0)</f>
        <v>0</v>
      </c>
      <c r="S54" s="41" t="n">
        <f aca="false">IF($Q54="","",ROUND(N($H54)+N($I54),2))</f>
        <v>150</v>
      </c>
      <c r="T54" s="42"/>
      <c r="U54" s="44"/>
      <c r="V54" s="41" t="str">
        <f aca="false">IF($B54="","",TEXT($B54,"yyyy年m月"))</f>
        <v>2026年9月</v>
      </c>
      <c r="W54" s="42"/>
      <c r="X54" s="42"/>
      <c r="Y54" s="9"/>
    </row>
    <row r="55" customFormat="false" ht="18" hidden="false" customHeight="true" outlineLevel="0" collapsed="false">
      <c r="A55" s="9" t="n">
        <f aca="false">IF($C55="","",ROW()-3)</f>
        <v>52</v>
      </c>
      <c r="B55" s="76" t="n">
        <v>46273</v>
      </c>
      <c r="C55" s="74" t="s">
        <v>459</v>
      </c>
      <c r="D55" s="43"/>
      <c r="E55" s="74" t="s">
        <v>456</v>
      </c>
      <c r="F55" s="74" t="s">
        <v>273</v>
      </c>
      <c r="G55" s="74" t="s">
        <v>273</v>
      </c>
      <c r="H55" s="44" t="n">
        <v>836</v>
      </c>
      <c r="I55" s="44"/>
      <c r="J55" s="103" t="n">
        <f aca="false">IF($C55="","",ROUND(IFERROR(INDEX(期初余额!$I$4:$I$43,MATCH($C55,期初余额!$H$4:$H$43,0)),0)+SUMIFS($H$4:$H55,$C$4:$C55,$C55)-SUMIFS($I$4:$I55,$C$4:$C55,$C55),2))</f>
        <v>19001.88</v>
      </c>
      <c r="K55" s="104" t="str">
        <f aca="false">IF($T55&lt;&gt;"",$T55,IF($C55="","",IF(AND(N($I55)&gt;0,$G55&lt;&gt;""),IF(IFERROR(INDEX(科目表!$U$4:$U$123,MATCH($G55,科目表!$M$4:$M$123,0)),"")&amp;""="","管理费用",INDEX(科目表!$U$4:$U$123,MATCH($G55,科目表!$M$4:$M$123,0))),IF(N($H55)&gt;0,IF(IFERROR(INDEX(自动规则!$C$4:$C$143,MATCH($F55,自动规则!$B$4:$B$143,0)),"")&amp;""="","其他应收款",INDEX(自动规则!$C$4:$C$143,MATCH($F55,自动规则!$B$4:$B$143,0))),IF(IFERROR(INDEX(自动规则!$D$4:$D$143,MATCH($F55,自动规则!$B$4:$B$143,0)),"")&amp;""="","其他应付款",INDEX(自动规则!$D$4:$D$143,MATCH($F55,自动规则!$B$4:$B$143,0)))))))</f>
        <v>应收账款</v>
      </c>
      <c r="L55" s="43"/>
      <c r="M55" s="105" t="str">
        <f aca="false">IF($C55="","",IF(IFERROR(INDEX(科目表!$T$4:$T$123,MATCH($C55,科目表!$K$4:$K$123,0)),"")&amp;""="","其他货币资金",INDEX(科目表!$T$4:$T$123,MATCH($C55,科目表!$K$4:$K$123,0))))</f>
        <v>其他货币资金</v>
      </c>
      <c r="N55" s="39" t="str">
        <f aca="false">IF(OR($C55="",ROUND(N($H55)+N($I55),2)=0),"",IF(N($H55)&gt;0,$M55,$K55))</f>
        <v>其他货币资金</v>
      </c>
      <c r="O55" s="41" t="n">
        <f aca="false">IF($N55="","",ROUND(N($H55)+N($I55),2))</f>
        <v>836</v>
      </c>
      <c r="P55" s="41" t="n">
        <f aca="false">IF($N55="","",0)</f>
        <v>0</v>
      </c>
      <c r="Q55" s="39" t="str">
        <f aca="false">IF($N55="","",IF(N($H55)&gt;0,$K55,$M55))</f>
        <v>应收账款</v>
      </c>
      <c r="R55" s="41" t="n">
        <f aca="false">IF($Q55="","",0)</f>
        <v>0</v>
      </c>
      <c r="S55" s="41" t="n">
        <f aca="false">IF($Q55="","",ROUND(N($H55)+N($I55),2))</f>
        <v>836</v>
      </c>
      <c r="T55" s="42"/>
      <c r="U55" s="44"/>
      <c r="V55" s="41" t="str">
        <f aca="false">IF($B55="","",TEXT($B55,"yyyy年m月"))</f>
        <v>2026年9月</v>
      </c>
      <c r="W55" s="42"/>
      <c r="X55" s="42"/>
      <c r="Y55" s="9"/>
    </row>
    <row r="56" customFormat="false" ht="18" hidden="false" customHeight="true" outlineLevel="0" collapsed="false">
      <c r="A56" s="9" t="n">
        <f aca="false">IF($C56="","",ROW()-3)</f>
        <v>53</v>
      </c>
      <c r="B56" s="76" t="n">
        <v>46273</v>
      </c>
      <c r="C56" s="74" t="s">
        <v>459</v>
      </c>
      <c r="D56" s="78" t="s">
        <v>731</v>
      </c>
      <c r="E56" s="42"/>
      <c r="F56" s="74"/>
      <c r="G56" s="74" t="s">
        <v>566</v>
      </c>
      <c r="H56" s="44"/>
      <c r="I56" s="44" t="n">
        <v>265</v>
      </c>
      <c r="J56" s="103" t="n">
        <f aca="false">IF($C56="","",ROUND(IFERROR(INDEX(期初余额!$I$4:$I$43,MATCH($C56,期初余额!$H$4:$H$43,0)),0)+SUMIFS($H$4:$H56,$C$4:$C56,$C56)-SUMIFS($I$4:$I56,$C$4:$C56,$C56),2))</f>
        <v>18736.88</v>
      </c>
      <c r="K56" s="104" t="str">
        <f aca="false">IF($T56&lt;&gt;"",$T56,IF($C56="","",IF(AND(N($I56)&gt;0,$G56&lt;&gt;""),IF(IFERROR(INDEX(科目表!$U$4:$U$123,MATCH($G56,科目表!$M$4:$M$123,0)),"")&amp;""="","管理费用",INDEX(科目表!$U$4:$U$123,MATCH($G56,科目表!$M$4:$M$123,0))),IF(N($H56)&gt;0,IF(IFERROR(INDEX(自动规则!$C$4:$C$143,MATCH($F56,自动规则!$B$4:$B$143,0)),"")&amp;""="","其他应收款",INDEX(自动规则!$C$4:$C$143,MATCH($F56,自动规则!$B$4:$B$143,0))),IF(IFERROR(INDEX(自动规则!$D$4:$D$143,MATCH($F56,自动规则!$B$4:$B$143,0)),"")&amp;""="","其他应付款",INDEX(自动规则!$D$4:$D$143,MATCH($F56,自动规则!$B$4:$B$143,0)))))))</f>
        <v>管理费用</v>
      </c>
      <c r="L56" s="43"/>
      <c r="M56" s="105" t="str">
        <f aca="false">IF($C56="","",IF(IFERROR(INDEX(科目表!$T$4:$T$123,MATCH($C56,科目表!$K$4:$K$123,0)),"")&amp;""="","其他货币资金",INDEX(科目表!$T$4:$T$123,MATCH($C56,科目表!$K$4:$K$123,0))))</f>
        <v>其他货币资金</v>
      </c>
      <c r="N56" s="39" t="str">
        <f aca="false">IF(OR($C56="",ROUND(N($H56)+N($I56),2)=0),"",IF(N($H56)&gt;0,$M56,$K56))</f>
        <v>管理费用</v>
      </c>
      <c r="O56" s="41" t="n">
        <f aca="false">IF($N56="","",ROUND(N($H56)+N($I56),2))</f>
        <v>265</v>
      </c>
      <c r="P56" s="41" t="n">
        <f aca="false">IF($N56="","",0)</f>
        <v>0</v>
      </c>
      <c r="Q56" s="39" t="str">
        <f aca="false">IF($N56="","",IF(N($H56)&gt;0,$K56,$M56))</f>
        <v>其他货币资金</v>
      </c>
      <c r="R56" s="41" t="n">
        <f aca="false">IF($Q56="","",0)</f>
        <v>0</v>
      </c>
      <c r="S56" s="41" t="n">
        <f aca="false">IF($Q56="","",ROUND(N($H56)+N($I56),2))</f>
        <v>265</v>
      </c>
      <c r="T56" s="42"/>
      <c r="U56" s="44"/>
      <c r="V56" s="41" t="str">
        <f aca="false">IF($B56="","",TEXT($B56,"yyyy年m月"))</f>
        <v>2026年9月</v>
      </c>
      <c r="W56" s="42"/>
      <c r="X56" s="42"/>
      <c r="Y56" s="9"/>
    </row>
    <row r="57" customFormat="false" ht="18" hidden="false" customHeight="true" outlineLevel="0" collapsed="false">
      <c r="A57" s="9" t="n">
        <f aca="false">IF($C57="","",ROW()-3)</f>
        <v>54</v>
      </c>
      <c r="B57" s="76" t="n">
        <v>46274</v>
      </c>
      <c r="C57" s="74" t="s">
        <v>459</v>
      </c>
      <c r="D57" s="78" t="s">
        <v>732</v>
      </c>
      <c r="E57" s="74" t="s">
        <v>509</v>
      </c>
      <c r="F57" s="74" t="s">
        <v>415</v>
      </c>
      <c r="G57" s="74"/>
      <c r="H57" s="44" t="n">
        <v>2000</v>
      </c>
      <c r="I57" s="44"/>
      <c r="J57" s="103" t="n">
        <f aca="false">IF($C57="","",ROUND(IFERROR(INDEX(期初余额!$I$4:$I$43,MATCH($C57,期初余额!$H$4:$H$43,0)),0)+SUMIFS($H$4:$H57,$C$4:$C57,$C57)-SUMIFS($I$4:$I57,$C$4:$C57,$C57),2))</f>
        <v>20736.88</v>
      </c>
      <c r="K57" s="104" t="str">
        <f aca="false">IF($T57&lt;&gt;"",$T57,IF($C57="","",IF(AND(N($I57)&gt;0,$G57&lt;&gt;""),IF(IFERROR(INDEX(科目表!$U$4:$U$123,MATCH($G57,科目表!$M$4:$M$123,0)),"")&amp;""="","管理费用",INDEX(科目表!$U$4:$U$123,MATCH($G57,科目表!$M$4:$M$123,0))),IF(N($H57)&gt;0,IF(IFERROR(INDEX(自动规则!$C$4:$C$143,MATCH($F57,自动规则!$B$4:$B$143,0)),"")&amp;""="","其他应收款",INDEX(自动规则!$C$4:$C$143,MATCH($F57,自动规则!$B$4:$B$143,0))),IF(IFERROR(INDEX(自动规则!$D$4:$D$143,MATCH($F57,自动规则!$B$4:$B$143,0)),"")&amp;""="","其他应付款",INDEX(自动规则!$D$4:$D$143,MATCH($F57,自动规则!$B$4:$B$143,0)))))))</f>
        <v>预付账款</v>
      </c>
      <c r="L57" s="43"/>
      <c r="M57" s="105" t="str">
        <f aca="false">IF($C57="","",IF(IFERROR(INDEX(科目表!$T$4:$T$123,MATCH($C57,科目表!$K$4:$K$123,0)),"")&amp;""="","其他货币资金",INDEX(科目表!$T$4:$T$123,MATCH($C57,科目表!$K$4:$K$123,0))))</f>
        <v>其他货币资金</v>
      </c>
      <c r="N57" s="39" t="str">
        <f aca="false">IF(OR($C57="",ROUND(N($H57)+N($I57),2)=0),"",IF(N($H57)&gt;0,$M57,$K57))</f>
        <v>其他货币资金</v>
      </c>
      <c r="O57" s="41" t="n">
        <f aca="false">IF($N57="","",ROUND(N($H57)+N($I57),2))</f>
        <v>2000</v>
      </c>
      <c r="P57" s="41" t="n">
        <f aca="false">IF($N57="","",0)</f>
        <v>0</v>
      </c>
      <c r="Q57" s="39" t="str">
        <f aca="false">IF($N57="","",IF(N($H57)&gt;0,$K57,$M57))</f>
        <v>预付账款</v>
      </c>
      <c r="R57" s="41" t="n">
        <f aca="false">IF($Q57="","",0)</f>
        <v>0</v>
      </c>
      <c r="S57" s="41" t="n">
        <f aca="false">IF($Q57="","",ROUND(N($H57)+N($I57),2))</f>
        <v>2000</v>
      </c>
      <c r="T57" s="42"/>
      <c r="U57" s="44"/>
      <c r="V57" s="41" t="str">
        <f aca="false">IF($B57="","",TEXT($B57,"yyyy年m月"))</f>
        <v>2026年9月</v>
      </c>
      <c r="W57" s="42"/>
      <c r="X57" s="42"/>
      <c r="Y57" s="9"/>
    </row>
    <row r="58" customFormat="false" ht="18" hidden="false" customHeight="true" outlineLevel="0" collapsed="false">
      <c r="A58" s="9" t="n">
        <f aca="false">IF($C58="","",ROW()-3)</f>
        <v>55</v>
      </c>
      <c r="B58" s="76" t="n">
        <v>46274</v>
      </c>
      <c r="C58" s="74" t="s">
        <v>459</v>
      </c>
      <c r="D58" s="43"/>
      <c r="E58" s="42"/>
      <c r="F58" s="74"/>
      <c r="G58" s="74" t="s">
        <v>566</v>
      </c>
      <c r="H58" s="44"/>
      <c r="I58" s="44" t="n">
        <v>190</v>
      </c>
      <c r="J58" s="103" t="n">
        <f aca="false">IF($C58="","",ROUND(IFERROR(INDEX(期初余额!$I$4:$I$43,MATCH($C58,期初余额!$H$4:$H$43,0)),0)+SUMIFS($H$4:$H58,$C$4:$C58,$C58)-SUMIFS($I$4:$I58,$C$4:$C58,$C58),2))</f>
        <v>20546.88</v>
      </c>
      <c r="K58" s="104" t="str">
        <f aca="false">IF($T58&lt;&gt;"",$T58,IF($C58="","",IF(AND(N($I58)&gt;0,$G58&lt;&gt;""),IF(IFERROR(INDEX(科目表!$U$4:$U$123,MATCH($G58,科目表!$M$4:$M$123,0)),"")&amp;""="","管理费用",INDEX(科目表!$U$4:$U$123,MATCH($G58,科目表!$M$4:$M$123,0))),IF(N($H58)&gt;0,IF(IFERROR(INDEX(自动规则!$C$4:$C$143,MATCH($F58,自动规则!$B$4:$B$143,0)),"")&amp;""="","其他应收款",INDEX(自动规则!$C$4:$C$143,MATCH($F58,自动规则!$B$4:$B$143,0))),IF(IFERROR(INDEX(自动规则!$D$4:$D$143,MATCH($F58,自动规则!$B$4:$B$143,0)),"")&amp;""="","其他应付款",INDEX(自动规则!$D$4:$D$143,MATCH($F58,自动规则!$B$4:$B$143,0)))))))</f>
        <v>管理费用</v>
      </c>
      <c r="L58" s="43"/>
      <c r="M58" s="105" t="str">
        <f aca="false">IF($C58="","",IF(IFERROR(INDEX(科目表!$T$4:$T$123,MATCH($C58,科目表!$K$4:$K$123,0)),"")&amp;""="","其他货币资金",INDEX(科目表!$T$4:$T$123,MATCH($C58,科目表!$K$4:$K$123,0))))</f>
        <v>其他货币资金</v>
      </c>
      <c r="N58" s="39" t="str">
        <f aca="false">IF(OR($C58="",ROUND(N($H58)+N($I58),2)=0),"",IF(N($H58)&gt;0,$M58,$K58))</f>
        <v>管理费用</v>
      </c>
      <c r="O58" s="41" t="n">
        <f aca="false">IF($N58="","",ROUND(N($H58)+N($I58),2))</f>
        <v>190</v>
      </c>
      <c r="P58" s="41" t="n">
        <f aca="false">IF($N58="","",0)</f>
        <v>0</v>
      </c>
      <c r="Q58" s="39" t="str">
        <f aca="false">IF($N58="","",IF(N($H58)&gt;0,$K58,$M58))</f>
        <v>其他货币资金</v>
      </c>
      <c r="R58" s="41" t="n">
        <f aca="false">IF($Q58="","",0)</f>
        <v>0</v>
      </c>
      <c r="S58" s="41" t="n">
        <f aca="false">IF($Q58="","",ROUND(N($H58)+N($I58),2))</f>
        <v>190</v>
      </c>
      <c r="T58" s="42"/>
      <c r="U58" s="44"/>
      <c r="V58" s="41" t="str">
        <f aca="false">IF($B58="","",TEXT($B58,"yyyy年m月"))</f>
        <v>2026年9月</v>
      </c>
      <c r="W58" s="42"/>
      <c r="X58" s="42"/>
      <c r="Y58" s="9"/>
    </row>
    <row r="59" customFormat="false" ht="18" hidden="false" customHeight="true" outlineLevel="0" collapsed="false">
      <c r="A59" s="9" t="n">
        <f aca="false">IF($C59="","",ROW()-3)</f>
        <v>56</v>
      </c>
      <c r="B59" s="76" t="n">
        <v>46274</v>
      </c>
      <c r="C59" s="74" t="s">
        <v>459</v>
      </c>
      <c r="D59" s="43"/>
      <c r="E59" s="42"/>
      <c r="F59" s="74"/>
      <c r="G59" s="74" t="s">
        <v>606</v>
      </c>
      <c r="H59" s="44"/>
      <c r="I59" s="44" t="n">
        <v>3</v>
      </c>
      <c r="J59" s="103" t="n">
        <f aca="false">IF($C59="","",ROUND(IFERROR(INDEX(期初余额!$I$4:$I$43,MATCH($C59,期初余额!$H$4:$H$43,0)),0)+SUMIFS($H$4:$H59,$C$4:$C59,$C59)-SUMIFS($I$4:$I59,$C$4:$C59,$C59),2))</f>
        <v>20543.88</v>
      </c>
      <c r="K59" s="104" t="str">
        <f aca="false">IF($T59&lt;&gt;"",$T59,IF($C59="","",IF(AND(N($I59)&gt;0,$G59&lt;&gt;""),IF(IFERROR(INDEX(科目表!$U$4:$U$123,MATCH($G59,科目表!$M$4:$M$123,0)),"")&amp;""="","管理费用",INDEX(科目表!$U$4:$U$123,MATCH($G59,科目表!$M$4:$M$123,0))),IF(N($H59)&gt;0,IF(IFERROR(INDEX(自动规则!$C$4:$C$143,MATCH($F59,自动规则!$B$4:$B$143,0)),"")&amp;""="","其他应收款",INDEX(自动规则!$C$4:$C$143,MATCH($F59,自动规则!$B$4:$B$143,0))),IF(IFERROR(INDEX(自动规则!$D$4:$D$143,MATCH($F59,自动规则!$B$4:$B$143,0)),"")&amp;""="","其他应付款",INDEX(自动规则!$D$4:$D$143,MATCH($F59,自动规则!$B$4:$B$143,0)))))))</f>
        <v>管理费用</v>
      </c>
      <c r="L59" s="43"/>
      <c r="M59" s="105" t="str">
        <f aca="false">IF($C59="","",IF(IFERROR(INDEX(科目表!$T$4:$T$123,MATCH($C59,科目表!$K$4:$K$123,0)),"")&amp;""="","其他货币资金",INDEX(科目表!$T$4:$T$123,MATCH($C59,科目表!$K$4:$K$123,0))))</f>
        <v>其他货币资金</v>
      </c>
      <c r="N59" s="39" t="str">
        <f aca="false">IF(OR($C59="",ROUND(N($H59)+N($I59),2)=0),"",IF(N($H59)&gt;0,$M59,$K59))</f>
        <v>管理费用</v>
      </c>
      <c r="O59" s="41" t="n">
        <f aca="false">IF($N59="","",ROUND(N($H59)+N($I59),2))</f>
        <v>3</v>
      </c>
      <c r="P59" s="41" t="n">
        <f aca="false">IF($N59="","",0)</f>
        <v>0</v>
      </c>
      <c r="Q59" s="39" t="str">
        <f aca="false">IF($N59="","",IF(N($H59)&gt;0,$K59,$M59))</f>
        <v>其他货币资金</v>
      </c>
      <c r="R59" s="41" t="n">
        <f aca="false">IF($Q59="","",0)</f>
        <v>0</v>
      </c>
      <c r="S59" s="41" t="n">
        <f aca="false">IF($Q59="","",ROUND(N($H59)+N($I59),2))</f>
        <v>3</v>
      </c>
      <c r="T59" s="42"/>
      <c r="U59" s="44"/>
      <c r="V59" s="41" t="str">
        <f aca="false">IF($B59="","",TEXT($B59,"yyyy年m月"))</f>
        <v>2026年9月</v>
      </c>
      <c r="W59" s="42"/>
      <c r="X59" s="42"/>
      <c r="Y59" s="9"/>
    </row>
    <row r="60" customFormat="false" ht="18" hidden="false" customHeight="true" outlineLevel="0" collapsed="false">
      <c r="A60" s="9" t="n">
        <f aca="false">IF($C60="","",ROW()-3)</f>
        <v>57</v>
      </c>
      <c r="B60" s="76" t="n">
        <v>46274</v>
      </c>
      <c r="C60" s="74" t="s">
        <v>459</v>
      </c>
      <c r="D60" s="78" t="s">
        <v>733</v>
      </c>
      <c r="E60" s="42"/>
      <c r="F60" s="74" t="s">
        <v>386</v>
      </c>
      <c r="G60" s="74" t="s">
        <v>585</v>
      </c>
      <c r="H60" s="44"/>
      <c r="I60" s="44" t="n">
        <v>520</v>
      </c>
      <c r="J60" s="103" t="n">
        <f aca="false">IF($C60="","",ROUND(IFERROR(INDEX(期初余额!$I$4:$I$43,MATCH($C60,期初余额!$H$4:$H$43,0)),0)+SUMIFS($H$4:$H60,$C$4:$C60,$C60)-SUMIFS($I$4:$I60,$C$4:$C60,$C60),2))</f>
        <v>20023.88</v>
      </c>
      <c r="K60" s="104" t="str">
        <f aca="false">IF($T60&lt;&gt;"",$T60,IF($C60="","",IF(AND(N($I60)&gt;0,$G60&lt;&gt;""),IF(IFERROR(INDEX(科目表!$U$4:$U$123,MATCH($G60,科目表!$M$4:$M$123,0)),"")&amp;""="","管理费用",INDEX(科目表!$U$4:$U$123,MATCH($G60,科目表!$M$4:$M$123,0))),IF(N($H60)&gt;0,IF(IFERROR(INDEX(自动规则!$C$4:$C$143,MATCH($F60,自动规则!$B$4:$B$143,0)),"")&amp;""="","其他应收款",INDEX(自动规则!$C$4:$C$143,MATCH($F60,自动规则!$B$4:$B$143,0))),IF(IFERROR(INDEX(自动规则!$D$4:$D$143,MATCH($F60,自动规则!$B$4:$B$143,0)),"")&amp;""="","其他应付款",INDEX(自动规则!$D$4:$D$143,MATCH($F60,自动规则!$B$4:$B$143,0)))))))</f>
        <v>管理费用</v>
      </c>
      <c r="L60" s="43"/>
      <c r="M60" s="105" t="str">
        <f aca="false">IF($C60="","",IF(IFERROR(INDEX(科目表!$T$4:$T$123,MATCH($C60,科目表!$K$4:$K$123,0)),"")&amp;""="","其他货币资金",INDEX(科目表!$T$4:$T$123,MATCH($C60,科目表!$K$4:$K$123,0))))</f>
        <v>其他货币资金</v>
      </c>
      <c r="N60" s="39" t="str">
        <f aca="false">IF(OR($C60="",ROUND(N($H60)+N($I60),2)=0),"",IF(N($H60)&gt;0,$M60,$K60))</f>
        <v>管理费用</v>
      </c>
      <c r="O60" s="41" t="n">
        <f aca="false">IF($N60="","",ROUND(N($H60)+N($I60),2))</f>
        <v>520</v>
      </c>
      <c r="P60" s="41" t="n">
        <f aca="false">IF($N60="","",0)</f>
        <v>0</v>
      </c>
      <c r="Q60" s="39" t="str">
        <f aca="false">IF($N60="","",IF(N($H60)&gt;0,$K60,$M60))</f>
        <v>其他货币资金</v>
      </c>
      <c r="R60" s="41" t="n">
        <f aca="false">IF($Q60="","",0)</f>
        <v>0</v>
      </c>
      <c r="S60" s="41" t="n">
        <f aca="false">IF($Q60="","",ROUND(N($H60)+N($I60),2))</f>
        <v>520</v>
      </c>
      <c r="T60" s="42"/>
      <c r="U60" s="44"/>
      <c r="V60" s="41" t="str">
        <f aca="false">IF($B60="","",TEXT($B60,"yyyy年m月"))</f>
        <v>2026年9月</v>
      </c>
      <c r="W60" s="42"/>
      <c r="X60" s="42"/>
      <c r="Y60" s="9"/>
    </row>
    <row r="61" customFormat="false" ht="18" hidden="false" customHeight="true" outlineLevel="0" collapsed="false">
      <c r="A61" s="9" t="n">
        <f aca="false">IF($C61="","",ROW()-3)</f>
        <v>58</v>
      </c>
      <c r="B61" s="76" t="n">
        <v>46275</v>
      </c>
      <c r="C61" s="74" t="s">
        <v>459</v>
      </c>
      <c r="D61" s="43"/>
      <c r="E61" s="42"/>
      <c r="F61" s="74" t="s">
        <v>418</v>
      </c>
      <c r="G61" s="74" t="s">
        <v>549</v>
      </c>
      <c r="H61" s="44"/>
      <c r="I61" s="44" t="n">
        <v>32</v>
      </c>
      <c r="J61" s="103" t="n">
        <f aca="false">IF($C61="","",ROUND(IFERROR(INDEX(期初余额!$I$4:$I$43,MATCH($C61,期初余额!$H$4:$H$43,0)),0)+SUMIFS($H$4:$H61,$C$4:$C61,$C61)-SUMIFS($I$4:$I61,$C$4:$C61,$C61),2))</f>
        <v>19991.88</v>
      </c>
      <c r="K61" s="104" t="str">
        <f aca="false">IF($T61&lt;&gt;"",$T61,IF($C61="","",IF(AND(N($I61)&gt;0,$G61&lt;&gt;""),IF(IFERROR(INDEX(科目表!$U$4:$U$123,MATCH($G61,科目表!$M$4:$M$123,0)),"")&amp;""="","管理费用",INDEX(科目表!$U$4:$U$123,MATCH($G61,科目表!$M$4:$M$123,0))),IF(N($H61)&gt;0,IF(IFERROR(INDEX(自动规则!$C$4:$C$143,MATCH($F61,自动规则!$B$4:$B$143,0)),"")&amp;""="","其他应收款",INDEX(自动规则!$C$4:$C$143,MATCH($F61,自动规则!$B$4:$B$143,0))),IF(IFERROR(INDEX(自动规则!$D$4:$D$143,MATCH($F61,自动规则!$B$4:$B$143,0)),"")&amp;""="","其他应付款",INDEX(自动规则!$D$4:$D$143,MATCH($F61,自动规则!$B$4:$B$143,0)))))))</f>
        <v>管理费用</v>
      </c>
      <c r="L61" s="43"/>
      <c r="M61" s="105" t="str">
        <f aca="false">IF($C61="","",IF(IFERROR(INDEX(科目表!$T$4:$T$123,MATCH($C61,科目表!$K$4:$K$123,0)),"")&amp;""="","其他货币资金",INDEX(科目表!$T$4:$T$123,MATCH($C61,科目表!$K$4:$K$123,0))))</f>
        <v>其他货币资金</v>
      </c>
      <c r="N61" s="39" t="str">
        <f aca="false">IF(OR($C61="",ROUND(N($H61)+N($I61),2)=0),"",IF(N($H61)&gt;0,$M61,$K61))</f>
        <v>管理费用</v>
      </c>
      <c r="O61" s="41" t="n">
        <f aca="false">IF($N61="","",ROUND(N($H61)+N($I61),2))</f>
        <v>32</v>
      </c>
      <c r="P61" s="41" t="n">
        <f aca="false">IF($N61="","",0)</f>
        <v>0</v>
      </c>
      <c r="Q61" s="39" t="str">
        <f aca="false">IF($N61="","",IF(N($H61)&gt;0,$K61,$M61))</f>
        <v>其他货币资金</v>
      </c>
      <c r="R61" s="41" t="n">
        <f aca="false">IF($Q61="","",0)</f>
        <v>0</v>
      </c>
      <c r="S61" s="41" t="n">
        <f aca="false">IF($Q61="","",ROUND(N($H61)+N($I61),2))</f>
        <v>32</v>
      </c>
      <c r="T61" s="42"/>
      <c r="U61" s="44"/>
      <c r="V61" s="41" t="str">
        <f aca="false">IF($B61="","",TEXT($B61,"yyyy年m月"))</f>
        <v>2026年9月</v>
      </c>
      <c r="W61" s="42"/>
      <c r="X61" s="42"/>
      <c r="Y61" s="9"/>
    </row>
    <row r="62" customFormat="false" ht="18" hidden="false" customHeight="true" outlineLevel="0" collapsed="false">
      <c r="A62" s="9" t="n">
        <f aca="false">IF($C62="","",ROW()-3)</f>
        <v>59</v>
      </c>
      <c r="B62" s="76" t="n">
        <v>46275</v>
      </c>
      <c r="C62" s="74" t="s">
        <v>459</v>
      </c>
      <c r="D62" s="43"/>
      <c r="E62" s="42"/>
      <c r="F62" s="74" t="s">
        <v>386</v>
      </c>
      <c r="G62" s="74" t="s">
        <v>662</v>
      </c>
      <c r="H62" s="44"/>
      <c r="I62" s="44" t="n">
        <v>8300</v>
      </c>
      <c r="J62" s="103" t="n">
        <f aca="false">IF($C62="","",ROUND(IFERROR(INDEX(期初余额!$I$4:$I$43,MATCH($C62,期初余额!$H$4:$H$43,0)),0)+SUMIFS($H$4:$H62,$C$4:$C62,$C62)-SUMIFS($I$4:$I62,$C$4:$C62,$C62),2))</f>
        <v>11691.88</v>
      </c>
      <c r="K62" s="104" t="str">
        <f aca="false">IF($T62&lt;&gt;"",$T62,IF($C62="","",IF(AND(N($I62)&gt;0,$G62&lt;&gt;""),IF(IFERROR(INDEX(科目表!$U$4:$U$123,MATCH($G62,科目表!$M$4:$M$123,0)),"")&amp;""="","管理费用",INDEX(科目表!$U$4:$U$123,MATCH($G62,科目表!$M$4:$M$123,0))),IF(N($H62)&gt;0,IF(IFERROR(INDEX(自动规则!$C$4:$C$143,MATCH($F62,自动规则!$B$4:$B$143,0)),"")&amp;""="","其他应收款",INDEX(自动规则!$C$4:$C$143,MATCH($F62,自动规则!$B$4:$B$143,0))),IF(IFERROR(INDEX(自动规则!$D$4:$D$143,MATCH($F62,自动规则!$B$4:$B$143,0)),"")&amp;""="","其他应付款",INDEX(自动规则!$D$4:$D$143,MATCH($F62,自动规则!$B$4:$B$143,0)))))))</f>
        <v>其他应付款</v>
      </c>
      <c r="L62" s="43"/>
      <c r="M62" s="105" t="str">
        <f aca="false">IF($C62="","",IF(IFERROR(INDEX(科目表!$T$4:$T$123,MATCH($C62,科目表!$K$4:$K$123,0)),"")&amp;""="","其他货币资金",INDEX(科目表!$T$4:$T$123,MATCH($C62,科目表!$K$4:$K$123,0))))</f>
        <v>其他货币资金</v>
      </c>
      <c r="N62" s="39" t="str">
        <f aca="false">IF(OR($C62="",ROUND(N($H62)+N($I62),2)=0),"",IF(N($H62)&gt;0,$M62,$K62))</f>
        <v>其他应付款</v>
      </c>
      <c r="O62" s="41" t="n">
        <f aca="false">IF($N62="","",ROUND(N($H62)+N($I62),2))</f>
        <v>8300</v>
      </c>
      <c r="P62" s="41" t="n">
        <f aca="false">IF($N62="","",0)</f>
        <v>0</v>
      </c>
      <c r="Q62" s="39" t="str">
        <f aca="false">IF($N62="","",IF(N($H62)&gt;0,$K62,$M62))</f>
        <v>其他货币资金</v>
      </c>
      <c r="R62" s="41" t="n">
        <f aca="false">IF($Q62="","",0)</f>
        <v>0</v>
      </c>
      <c r="S62" s="41" t="n">
        <f aca="false">IF($Q62="","",ROUND(N($H62)+N($I62),2))</f>
        <v>8300</v>
      </c>
      <c r="T62" s="42"/>
      <c r="U62" s="44"/>
      <c r="V62" s="41" t="str">
        <f aca="false">IF($B62="","",TEXT($B62,"yyyy年m月"))</f>
        <v>2026年9月</v>
      </c>
      <c r="W62" s="42"/>
      <c r="X62" s="42"/>
      <c r="Y62" s="9"/>
    </row>
    <row r="63" customFormat="false" ht="18" hidden="false" customHeight="true" outlineLevel="0" collapsed="false">
      <c r="A63" s="9" t="n">
        <f aca="false">IF($C63="","",ROW()-3)</f>
        <v>60</v>
      </c>
      <c r="B63" s="76" t="n">
        <v>46275</v>
      </c>
      <c r="C63" s="74" t="s">
        <v>459</v>
      </c>
      <c r="D63" s="43"/>
      <c r="E63" s="42"/>
      <c r="F63" s="74" t="s">
        <v>386</v>
      </c>
      <c r="G63" s="74" t="s">
        <v>662</v>
      </c>
      <c r="H63" s="44"/>
      <c r="I63" s="44" t="n">
        <v>10010</v>
      </c>
      <c r="J63" s="103" t="n">
        <f aca="false">IF($C63="","",ROUND(IFERROR(INDEX(期初余额!$I$4:$I$43,MATCH($C63,期初余额!$H$4:$H$43,0)),0)+SUMIFS($H$4:$H63,$C$4:$C63,$C63)-SUMIFS($I$4:$I63,$C$4:$C63,$C63),2))</f>
        <v>1681.88</v>
      </c>
      <c r="K63" s="104" t="str">
        <f aca="false">IF($T63&lt;&gt;"",$T63,IF($C63="","",IF(AND(N($I63)&gt;0,$G63&lt;&gt;""),IF(IFERROR(INDEX(科目表!$U$4:$U$123,MATCH($G63,科目表!$M$4:$M$123,0)),"")&amp;""="","管理费用",INDEX(科目表!$U$4:$U$123,MATCH($G63,科目表!$M$4:$M$123,0))),IF(N($H63)&gt;0,IF(IFERROR(INDEX(自动规则!$C$4:$C$143,MATCH($F63,自动规则!$B$4:$B$143,0)),"")&amp;""="","其他应收款",INDEX(自动规则!$C$4:$C$143,MATCH($F63,自动规则!$B$4:$B$143,0))),IF(IFERROR(INDEX(自动规则!$D$4:$D$143,MATCH($F63,自动规则!$B$4:$B$143,0)),"")&amp;""="","其他应付款",INDEX(自动规则!$D$4:$D$143,MATCH($F63,自动规则!$B$4:$B$143,0)))))))</f>
        <v>其他应付款</v>
      </c>
      <c r="L63" s="43"/>
      <c r="M63" s="105" t="str">
        <f aca="false">IF($C63="","",IF(IFERROR(INDEX(科目表!$T$4:$T$123,MATCH($C63,科目表!$K$4:$K$123,0)),"")&amp;""="","其他货币资金",INDEX(科目表!$T$4:$T$123,MATCH($C63,科目表!$K$4:$K$123,0))))</f>
        <v>其他货币资金</v>
      </c>
      <c r="N63" s="39" t="str">
        <f aca="false">IF(OR($C63="",ROUND(N($H63)+N($I63),2)=0),"",IF(N($H63)&gt;0,$M63,$K63))</f>
        <v>其他应付款</v>
      </c>
      <c r="O63" s="41" t="n">
        <f aca="false">IF($N63="","",ROUND(N($H63)+N($I63),2))</f>
        <v>10010</v>
      </c>
      <c r="P63" s="41" t="n">
        <f aca="false">IF($N63="","",0)</f>
        <v>0</v>
      </c>
      <c r="Q63" s="39" t="str">
        <f aca="false">IF($N63="","",IF(N($H63)&gt;0,$K63,$M63))</f>
        <v>其他货币资金</v>
      </c>
      <c r="R63" s="41" t="n">
        <f aca="false">IF($Q63="","",0)</f>
        <v>0</v>
      </c>
      <c r="S63" s="41" t="n">
        <f aca="false">IF($Q63="","",ROUND(N($H63)+N($I63),2))</f>
        <v>10010</v>
      </c>
      <c r="T63" s="42"/>
      <c r="U63" s="44"/>
      <c r="V63" s="41" t="str">
        <f aca="false">IF($B63="","",TEXT($B63,"yyyy年m月"))</f>
        <v>2026年9月</v>
      </c>
      <c r="W63" s="42"/>
      <c r="X63" s="42"/>
      <c r="Y63" s="9"/>
    </row>
    <row r="64" customFormat="false" ht="18" hidden="false" customHeight="true" outlineLevel="0" collapsed="false">
      <c r="A64" s="9" t="n">
        <f aca="false">IF($C64="","",ROW()-3)</f>
        <v>61</v>
      </c>
      <c r="B64" s="76" t="n">
        <v>46275</v>
      </c>
      <c r="C64" s="74" t="s">
        <v>459</v>
      </c>
      <c r="D64" s="43"/>
      <c r="E64" s="42"/>
      <c r="F64" s="74" t="s">
        <v>420</v>
      </c>
      <c r="G64" s="74"/>
      <c r="H64" s="44" t="n">
        <v>6</v>
      </c>
      <c r="I64" s="44"/>
      <c r="J64" s="103" t="n">
        <f aca="false">IF($C64="","",ROUND(IFERROR(INDEX(期初余额!$I$4:$I$43,MATCH($C64,期初余额!$H$4:$H$43,0)),0)+SUMIFS($H$4:$H64,$C$4:$C64,$C64)-SUMIFS($I$4:$I64,$C$4:$C64,$C64),2))</f>
        <v>1687.88</v>
      </c>
      <c r="K64" s="104" t="str">
        <f aca="false">IF($T64&lt;&gt;"",$T64,IF($C64="","",IF(AND(N($I64)&gt;0,$G64&lt;&gt;""),IF(IFERROR(INDEX(科目表!$U$4:$U$123,MATCH($G64,科目表!$M$4:$M$123,0)),"")&amp;""="","管理费用",INDEX(科目表!$U$4:$U$123,MATCH($G64,科目表!$M$4:$M$123,0))),IF(N($H64)&gt;0,IF(IFERROR(INDEX(自动规则!$C$4:$C$143,MATCH($F64,自动规则!$B$4:$B$143,0)),"")&amp;""="","其他应收款",INDEX(自动规则!$C$4:$C$143,MATCH($F64,自动规则!$B$4:$B$143,0))),IF(IFERROR(INDEX(自动规则!$D$4:$D$143,MATCH($F64,自动规则!$B$4:$B$143,0)),"")&amp;""="","其他应付款",INDEX(自动规则!$D$4:$D$143,MATCH($F64,自动规则!$B$4:$B$143,0)))))))</f>
        <v>财务费用</v>
      </c>
      <c r="L64" s="43"/>
      <c r="M64" s="105" t="str">
        <f aca="false">IF($C64="","",IF(IFERROR(INDEX(科目表!$T$4:$T$123,MATCH($C64,科目表!$K$4:$K$123,0)),"")&amp;""="","其他货币资金",INDEX(科目表!$T$4:$T$123,MATCH($C64,科目表!$K$4:$K$123,0))))</f>
        <v>其他货币资金</v>
      </c>
      <c r="N64" s="39" t="str">
        <f aca="false">IF(OR($C64="",ROUND(N($H64)+N($I64),2)=0),"",IF(N($H64)&gt;0,$M64,$K64))</f>
        <v>其他货币资金</v>
      </c>
      <c r="O64" s="41" t="n">
        <f aca="false">IF($N64="","",ROUND(N($H64)+N($I64),2))</f>
        <v>6</v>
      </c>
      <c r="P64" s="41" t="n">
        <f aca="false">IF($N64="","",0)</f>
        <v>0</v>
      </c>
      <c r="Q64" s="39" t="str">
        <f aca="false">IF($N64="","",IF(N($H64)&gt;0,$K64,$M64))</f>
        <v>财务费用</v>
      </c>
      <c r="R64" s="41" t="n">
        <f aca="false">IF($Q64="","",0)</f>
        <v>0</v>
      </c>
      <c r="S64" s="41" t="n">
        <f aca="false">IF($Q64="","",ROUND(N($H64)+N($I64),2))</f>
        <v>6</v>
      </c>
      <c r="T64" s="42"/>
      <c r="U64" s="44"/>
      <c r="V64" s="41" t="str">
        <f aca="false">IF($B64="","",TEXT($B64,"yyyy年m月"))</f>
        <v>2026年9月</v>
      </c>
      <c r="W64" s="42"/>
      <c r="X64" s="42"/>
      <c r="Y64" s="9"/>
    </row>
    <row r="65" customFormat="false" ht="18" hidden="false" customHeight="true" outlineLevel="0" collapsed="false">
      <c r="A65" s="9" t="n">
        <f aca="false">IF($C65="","",ROW()-3)</f>
        <v>62</v>
      </c>
      <c r="B65" s="76" t="n">
        <v>46276</v>
      </c>
      <c r="C65" s="74" t="s">
        <v>459</v>
      </c>
      <c r="D65" s="78" t="s">
        <v>734</v>
      </c>
      <c r="E65" s="42"/>
      <c r="F65" s="74"/>
      <c r="G65" s="74" t="s">
        <v>553</v>
      </c>
      <c r="H65" s="44"/>
      <c r="I65" s="44" t="n">
        <v>160</v>
      </c>
      <c r="J65" s="103" t="n">
        <f aca="false">IF($C65="","",ROUND(IFERROR(INDEX(期初余额!$I$4:$I$43,MATCH($C65,期初余额!$H$4:$H$43,0)),0)+SUMIFS($H$4:$H65,$C$4:$C65,$C65)-SUMIFS($I$4:$I65,$C$4:$C65,$C65),2))</f>
        <v>1527.88</v>
      </c>
      <c r="K65" s="104" t="str">
        <f aca="false">IF($T65&lt;&gt;"",$T65,IF($C65="","",IF(AND(N($I65)&gt;0,$G65&lt;&gt;""),IF(IFERROR(INDEX(科目表!$U$4:$U$123,MATCH($G65,科目表!$M$4:$M$123,0)),"")&amp;""="","管理费用",INDEX(科目表!$U$4:$U$123,MATCH($G65,科目表!$M$4:$M$123,0))),IF(N($H65)&gt;0,IF(IFERROR(INDEX(自动规则!$C$4:$C$143,MATCH($F65,自动规则!$B$4:$B$143,0)),"")&amp;""="","其他应收款",INDEX(自动规则!$C$4:$C$143,MATCH($F65,自动规则!$B$4:$B$143,0))),IF(IFERROR(INDEX(自动规则!$D$4:$D$143,MATCH($F65,自动规则!$B$4:$B$143,0)),"")&amp;""="","其他应付款",INDEX(自动规则!$D$4:$D$143,MATCH($F65,自动规则!$B$4:$B$143,0)))))))</f>
        <v>销售费用</v>
      </c>
      <c r="L65" s="43"/>
      <c r="M65" s="105" t="str">
        <f aca="false">IF($C65="","",IF(IFERROR(INDEX(科目表!$T$4:$T$123,MATCH($C65,科目表!$K$4:$K$123,0)),"")&amp;""="","其他货币资金",INDEX(科目表!$T$4:$T$123,MATCH($C65,科目表!$K$4:$K$123,0))))</f>
        <v>其他货币资金</v>
      </c>
      <c r="N65" s="39" t="str">
        <f aca="false">IF(OR($C65="",ROUND(N($H65)+N($I65),2)=0),"",IF(N($H65)&gt;0,$M65,$K65))</f>
        <v>销售费用</v>
      </c>
      <c r="O65" s="41" t="n">
        <f aca="false">IF($N65="","",ROUND(N($H65)+N($I65),2))</f>
        <v>160</v>
      </c>
      <c r="P65" s="41" t="n">
        <f aca="false">IF($N65="","",0)</f>
        <v>0</v>
      </c>
      <c r="Q65" s="39" t="str">
        <f aca="false">IF($N65="","",IF(N($H65)&gt;0,$K65,$M65))</f>
        <v>其他货币资金</v>
      </c>
      <c r="R65" s="41" t="n">
        <f aca="false">IF($Q65="","",0)</f>
        <v>0</v>
      </c>
      <c r="S65" s="41" t="n">
        <f aca="false">IF($Q65="","",ROUND(N($H65)+N($I65),2))</f>
        <v>160</v>
      </c>
      <c r="T65" s="42"/>
      <c r="U65" s="44"/>
      <c r="V65" s="41" t="str">
        <f aca="false">IF($B65="","",TEXT($B65,"yyyy年m月"))</f>
        <v>2026年9月</v>
      </c>
      <c r="W65" s="42"/>
      <c r="X65" s="42"/>
      <c r="Y65" s="9"/>
    </row>
    <row r="66" customFormat="false" ht="18" hidden="false" customHeight="true" outlineLevel="0" collapsed="false">
      <c r="A66" s="9" t="n">
        <f aca="false">IF($C66="","",ROW()-3)</f>
        <v>63</v>
      </c>
      <c r="B66" s="76" t="n">
        <v>46276</v>
      </c>
      <c r="C66" s="74" t="s">
        <v>459</v>
      </c>
      <c r="D66" s="43"/>
      <c r="E66" s="42"/>
      <c r="F66" s="74"/>
      <c r="G66" s="74" t="s">
        <v>566</v>
      </c>
      <c r="H66" s="44"/>
      <c r="I66" s="44" t="n">
        <v>48</v>
      </c>
      <c r="J66" s="103" t="n">
        <f aca="false">IF($C66="","",ROUND(IFERROR(INDEX(期初余额!$I$4:$I$43,MATCH($C66,期初余额!$H$4:$H$43,0)),0)+SUMIFS($H$4:$H66,$C$4:$C66,$C66)-SUMIFS($I$4:$I66,$C$4:$C66,$C66),2))</f>
        <v>1479.88</v>
      </c>
      <c r="K66" s="104" t="str">
        <f aca="false">IF($T66&lt;&gt;"",$T66,IF($C66="","",IF(AND(N($I66)&gt;0,$G66&lt;&gt;""),IF(IFERROR(INDEX(科目表!$U$4:$U$123,MATCH($G66,科目表!$M$4:$M$123,0)),"")&amp;""="","管理费用",INDEX(科目表!$U$4:$U$123,MATCH($G66,科目表!$M$4:$M$123,0))),IF(N($H66)&gt;0,IF(IFERROR(INDEX(自动规则!$C$4:$C$143,MATCH($F66,自动规则!$B$4:$B$143,0)),"")&amp;""="","其他应收款",INDEX(自动规则!$C$4:$C$143,MATCH($F66,自动规则!$B$4:$B$143,0))),IF(IFERROR(INDEX(自动规则!$D$4:$D$143,MATCH($F66,自动规则!$B$4:$B$143,0)),"")&amp;""="","其他应付款",INDEX(自动规则!$D$4:$D$143,MATCH($F66,自动规则!$B$4:$B$143,0)))))))</f>
        <v>管理费用</v>
      </c>
      <c r="L66" s="43"/>
      <c r="M66" s="105" t="str">
        <f aca="false">IF($C66="","",IF(IFERROR(INDEX(科目表!$T$4:$T$123,MATCH($C66,科目表!$K$4:$K$123,0)),"")&amp;""="","其他货币资金",INDEX(科目表!$T$4:$T$123,MATCH($C66,科目表!$K$4:$K$123,0))))</f>
        <v>其他货币资金</v>
      </c>
      <c r="N66" s="39" t="str">
        <f aca="false">IF(OR($C66="",ROUND(N($H66)+N($I66),2)=0),"",IF(N($H66)&gt;0,$M66,$K66))</f>
        <v>管理费用</v>
      </c>
      <c r="O66" s="41" t="n">
        <f aca="false">IF($N66="","",ROUND(N($H66)+N($I66),2))</f>
        <v>48</v>
      </c>
      <c r="P66" s="41" t="n">
        <f aca="false">IF($N66="","",0)</f>
        <v>0</v>
      </c>
      <c r="Q66" s="39" t="str">
        <f aca="false">IF($N66="","",IF(N($H66)&gt;0,$K66,$M66))</f>
        <v>其他货币资金</v>
      </c>
      <c r="R66" s="41" t="n">
        <f aca="false">IF($Q66="","",0)</f>
        <v>0</v>
      </c>
      <c r="S66" s="41" t="n">
        <f aca="false">IF($Q66="","",ROUND(N($H66)+N($I66),2))</f>
        <v>48</v>
      </c>
      <c r="T66" s="42"/>
      <c r="U66" s="44"/>
      <c r="V66" s="41" t="str">
        <f aca="false">IF($B66="","",TEXT($B66,"yyyy年m月"))</f>
        <v>2026年9月</v>
      </c>
      <c r="W66" s="42"/>
      <c r="X66" s="42"/>
      <c r="Y66" s="9"/>
    </row>
    <row r="67" customFormat="false" ht="18" hidden="false" customHeight="true" outlineLevel="0" collapsed="false">
      <c r="A67" s="9" t="n">
        <f aca="false">IF($C67="","",ROW()-3)</f>
        <v>64</v>
      </c>
      <c r="B67" s="76" t="n">
        <v>46276</v>
      </c>
      <c r="C67" s="74" t="s">
        <v>459</v>
      </c>
      <c r="D67" s="43"/>
      <c r="E67" s="42"/>
      <c r="F67" s="74"/>
      <c r="G67" s="74" t="s">
        <v>566</v>
      </c>
      <c r="H67" s="44"/>
      <c r="I67" s="44" t="n">
        <v>23</v>
      </c>
      <c r="J67" s="103" t="n">
        <f aca="false">IF($C67="","",ROUND(IFERROR(INDEX(期初余额!$I$4:$I$43,MATCH($C67,期初余额!$H$4:$H$43,0)),0)+SUMIFS($H$4:$H67,$C$4:$C67,$C67)-SUMIFS($I$4:$I67,$C$4:$C67,$C67),2))</f>
        <v>1456.88</v>
      </c>
      <c r="K67" s="104" t="str">
        <f aca="false">IF($T67&lt;&gt;"",$T67,IF($C67="","",IF(AND(N($I67)&gt;0,$G67&lt;&gt;""),IF(IFERROR(INDEX(科目表!$U$4:$U$123,MATCH($G67,科目表!$M$4:$M$123,0)),"")&amp;""="","管理费用",INDEX(科目表!$U$4:$U$123,MATCH($G67,科目表!$M$4:$M$123,0))),IF(N($H67)&gt;0,IF(IFERROR(INDEX(自动规则!$C$4:$C$143,MATCH($F67,自动规则!$B$4:$B$143,0)),"")&amp;""="","其他应收款",INDEX(自动规则!$C$4:$C$143,MATCH($F67,自动规则!$B$4:$B$143,0))),IF(IFERROR(INDEX(自动规则!$D$4:$D$143,MATCH($F67,自动规则!$B$4:$B$143,0)),"")&amp;""="","其他应付款",INDEX(自动规则!$D$4:$D$143,MATCH($F67,自动规则!$B$4:$B$143,0)))))))</f>
        <v>管理费用</v>
      </c>
      <c r="L67" s="43"/>
      <c r="M67" s="105" t="str">
        <f aca="false">IF($C67="","",IF(IFERROR(INDEX(科目表!$T$4:$T$123,MATCH($C67,科目表!$K$4:$K$123,0)),"")&amp;""="","其他货币资金",INDEX(科目表!$T$4:$T$123,MATCH($C67,科目表!$K$4:$K$123,0))))</f>
        <v>其他货币资金</v>
      </c>
      <c r="N67" s="39" t="str">
        <f aca="false">IF(OR($C67="",ROUND(N($H67)+N($I67),2)=0),"",IF(N($H67)&gt;0,$M67,$K67))</f>
        <v>管理费用</v>
      </c>
      <c r="O67" s="41" t="n">
        <f aca="false">IF($N67="","",ROUND(N($H67)+N($I67),2))</f>
        <v>23</v>
      </c>
      <c r="P67" s="41" t="n">
        <f aca="false">IF($N67="","",0)</f>
        <v>0</v>
      </c>
      <c r="Q67" s="39" t="str">
        <f aca="false">IF($N67="","",IF(N($H67)&gt;0,$K67,$M67))</f>
        <v>其他货币资金</v>
      </c>
      <c r="R67" s="41" t="n">
        <f aca="false">IF($Q67="","",0)</f>
        <v>0</v>
      </c>
      <c r="S67" s="41" t="n">
        <f aca="false">IF($Q67="","",ROUND(N($H67)+N($I67),2))</f>
        <v>23</v>
      </c>
      <c r="T67" s="42"/>
      <c r="U67" s="44"/>
      <c r="V67" s="41" t="str">
        <f aca="false">IF($B67="","",TEXT($B67,"yyyy年m月"))</f>
        <v>2026年9月</v>
      </c>
      <c r="W67" s="42"/>
      <c r="X67" s="42"/>
      <c r="Y67" s="9"/>
    </row>
    <row r="68" customFormat="false" ht="18" hidden="false" customHeight="true" outlineLevel="0" collapsed="false">
      <c r="A68" s="9" t="n">
        <f aca="false">IF($C68="","",ROW()-3)</f>
        <v>65</v>
      </c>
      <c r="B68" s="76" t="n">
        <v>46278</v>
      </c>
      <c r="C68" s="74" t="s">
        <v>459</v>
      </c>
      <c r="D68" s="43"/>
      <c r="E68" s="42"/>
      <c r="F68" s="74"/>
      <c r="G68" s="74" t="s">
        <v>644</v>
      </c>
      <c r="H68" s="44"/>
      <c r="I68" s="44" t="n">
        <v>47.38</v>
      </c>
      <c r="J68" s="103" t="n">
        <f aca="false">IF($C68="","",ROUND(IFERROR(INDEX(期初余额!$I$4:$I$43,MATCH($C68,期初余额!$H$4:$H$43,0)),0)+SUMIFS($H$4:$H68,$C$4:$C68,$C68)-SUMIFS($I$4:$I68,$C$4:$C68,$C68),2))</f>
        <v>1409.5</v>
      </c>
      <c r="K68" s="104" t="str">
        <f aca="false">IF($T68&lt;&gt;"",$T68,IF($C68="","",IF(AND(N($I68)&gt;0,$G68&lt;&gt;""),IF(IFERROR(INDEX(科目表!$U$4:$U$123,MATCH($G68,科目表!$M$4:$M$123,0)),"")&amp;""="","管理费用",INDEX(科目表!$U$4:$U$123,MATCH($G68,科目表!$M$4:$M$123,0))),IF(N($H68)&gt;0,IF(IFERROR(INDEX(自动规则!$C$4:$C$143,MATCH($F68,自动规则!$B$4:$B$143,0)),"")&amp;""="","其他应收款",INDEX(自动规则!$C$4:$C$143,MATCH($F68,自动规则!$B$4:$B$143,0))),IF(IFERROR(INDEX(自动规则!$D$4:$D$143,MATCH($F68,自动规则!$B$4:$B$143,0)),"")&amp;""="","其他应付款",INDEX(自动规则!$D$4:$D$143,MATCH($F68,自动规则!$B$4:$B$143,0)))))))</f>
        <v>管理费用</v>
      </c>
      <c r="L68" s="43"/>
      <c r="M68" s="105" t="str">
        <f aca="false">IF($C68="","",IF(IFERROR(INDEX(科目表!$T$4:$T$123,MATCH($C68,科目表!$K$4:$K$123,0)),"")&amp;""="","其他货币资金",INDEX(科目表!$T$4:$T$123,MATCH($C68,科目表!$K$4:$K$123,0))))</f>
        <v>其他货币资金</v>
      </c>
      <c r="N68" s="39" t="str">
        <f aca="false">IF(OR($C68="",ROUND(N($H68)+N($I68),2)=0),"",IF(N($H68)&gt;0,$M68,$K68))</f>
        <v>管理费用</v>
      </c>
      <c r="O68" s="41" t="n">
        <f aca="false">IF($N68="","",ROUND(N($H68)+N($I68),2))</f>
        <v>47.38</v>
      </c>
      <c r="P68" s="41" t="n">
        <f aca="false">IF($N68="","",0)</f>
        <v>0</v>
      </c>
      <c r="Q68" s="39" t="str">
        <f aca="false">IF($N68="","",IF(N($H68)&gt;0,$K68,$M68))</f>
        <v>其他货币资金</v>
      </c>
      <c r="R68" s="41" t="n">
        <f aca="false">IF($Q68="","",0)</f>
        <v>0</v>
      </c>
      <c r="S68" s="41" t="n">
        <f aca="false">IF($Q68="","",ROUND(N($H68)+N($I68),2))</f>
        <v>47.38</v>
      </c>
      <c r="T68" s="42"/>
      <c r="U68" s="44"/>
      <c r="V68" s="41" t="str">
        <f aca="false">IF($B68="","",TEXT($B68,"yyyy年m月"))</f>
        <v>2026年9月</v>
      </c>
      <c r="W68" s="42"/>
      <c r="X68" s="42"/>
      <c r="Y68" s="9"/>
    </row>
    <row r="69" customFormat="false" ht="18" hidden="false" customHeight="true" outlineLevel="0" collapsed="false">
      <c r="A69" s="9" t="n">
        <f aca="false">IF($C69="","",ROW()-3)</f>
        <v>66</v>
      </c>
      <c r="B69" s="76" t="n">
        <v>46278</v>
      </c>
      <c r="C69" s="74" t="s">
        <v>459</v>
      </c>
      <c r="D69" s="43"/>
      <c r="E69" s="42"/>
      <c r="F69" s="74"/>
      <c r="G69" s="74" t="s">
        <v>562</v>
      </c>
      <c r="H69" s="44"/>
      <c r="I69" s="44" t="n">
        <v>40</v>
      </c>
      <c r="J69" s="103" t="n">
        <f aca="false">IF($C69="","",ROUND(IFERROR(INDEX(期初余额!$I$4:$I$43,MATCH($C69,期初余额!$H$4:$H$43,0)),0)+SUMIFS($H$4:$H69,$C$4:$C69,$C69)-SUMIFS($I$4:$I69,$C$4:$C69,$C69),2))</f>
        <v>1369.5</v>
      </c>
      <c r="K69" s="104" t="str">
        <f aca="false">IF($T69&lt;&gt;"",$T69,IF($C69="","",IF(AND(N($I69)&gt;0,$G69&lt;&gt;""),IF(IFERROR(INDEX(科目表!$U$4:$U$123,MATCH($G69,科目表!$M$4:$M$123,0)),"")&amp;""="","管理费用",INDEX(科目表!$U$4:$U$123,MATCH($G69,科目表!$M$4:$M$123,0))),IF(N($H69)&gt;0,IF(IFERROR(INDEX(自动规则!$C$4:$C$143,MATCH($F69,自动规则!$B$4:$B$143,0)),"")&amp;""="","其他应收款",INDEX(自动规则!$C$4:$C$143,MATCH($F69,自动规则!$B$4:$B$143,0))),IF(IFERROR(INDEX(自动规则!$D$4:$D$143,MATCH($F69,自动规则!$B$4:$B$143,0)),"")&amp;""="","其他应付款",INDEX(自动规则!$D$4:$D$143,MATCH($F69,自动规则!$B$4:$B$143,0)))))))</f>
        <v>管理费用</v>
      </c>
      <c r="L69" s="43"/>
      <c r="M69" s="105" t="str">
        <f aca="false">IF($C69="","",IF(IFERROR(INDEX(科目表!$T$4:$T$123,MATCH($C69,科目表!$K$4:$K$123,0)),"")&amp;""="","其他货币资金",INDEX(科目表!$T$4:$T$123,MATCH($C69,科目表!$K$4:$K$123,0))))</f>
        <v>其他货币资金</v>
      </c>
      <c r="N69" s="39" t="str">
        <f aca="false">IF(OR($C69="",ROUND(N($H69)+N($I69),2)=0),"",IF(N($H69)&gt;0,$M69,$K69))</f>
        <v>管理费用</v>
      </c>
      <c r="O69" s="41" t="n">
        <f aca="false">IF($N69="","",ROUND(N($H69)+N($I69),2))</f>
        <v>40</v>
      </c>
      <c r="P69" s="41" t="n">
        <f aca="false">IF($N69="","",0)</f>
        <v>0</v>
      </c>
      <c r="Q69" s="39" t="str">
        <f aca="false">IF($N69="","",IF(N($H69)&gt;0,$K69,$M69))</f>
        <v>其他货币资金</v>
      </c>
      <c r="R69" s="41" t="n">
        <f aca="false">IF($Q69="","",0)</f>
        <v>0</v>
      </c>
      <c r="S69" s="41" t="n">
        <f aca="false">IF($Q69="","",ROUND(N($H69)+N($I69),2))</f>
        <v>40</v>
      </c>
      <c r="T69" s="42"/>
      <c r="U69" s="44"/>
      <c r="V69" s="41" t="str">
        <f aca="false">IF($B69="","",TEXT($B69,"yyyy年m月"))</f>
        <v>2026年9月</v>
      </c>
      <c r="W69" s="42"/>
      <c r="X69" s="42"/>
      <c r="Y69" s="9"/>
    </row>
    <row r="70" customFormat="false" ht="18" hidden="false" customHeight="true" outlineLevel="0" collapsed="false">
      <c r="A70" s="9" t="n">
        <f aca="false">IF($C70="","",ROW()-3)</f>
        <v>67</v>
      </c>
      <c r="B70" s="76" t="n">
        <v>46278</v>
      </c>
      <c r="C70" s="74" t="s">
        <v>459</v>
      </c>
      <c r="D70" s="43"/>
      <c r="E70" s="42"/>
      <c r="F70" s="74"/>
      <c r="G70" s="74" t="s">
        <v>562</v>
      </c>
      <c r="H70" s="44"/>
      <c r="I70" s="44" t="n">
        <v>18</v>
      </c>
      <c r="J70" s="103" t="n">
        <f aca="false">IF($C70="","",ROUND(IFERROR(INDEX(期初余额!$I$4:$I$43,MATCH($C70,期初余额!$H$4:$H$43,0)),0)+SUMIFS($H$4:$H70,$C$4:$C70,$C70)-SUMIFS($I$4:$I70,$C$4:$C70,$C70),2))</f>
        <v>1351.5</v>
      </c>
      <c r="K70" s="104" t="str">
        <f aca="false">IF($T70&lt;&gt;"",$T70,IF($C70="","",IF(AND(N($I70)&gt;0,$G70&lt;&gt;""),IF(IFERROR(INDEX(科目表!$U$4:$U$123,MATCH($G70,科目表!$M$4:$M$123,0)),"")&amp;""="","管理费用",INDEX(科目表!$U$4:$U$123,MATCH($G70,科目表!$M$4:$M$123,0))),IF(N($H70)&gt;0,IF(IFERROR(INDEX(自动规则!$C$4:$C$143,MATCH($F70,自动规则!$B$4:$B$143,0)),"")&amp;""="","其他应收款",INDEX(自动规则!$C$4:$C$143,MATCH($F70,自动规则!$B$4:$B$143,0))),IF(IFERROR(INDEX(自动规则!$D$4:$D$143,MATCH($F70,自动规则!$B$4:$B$143,0)),"")&amp;""="","其他应付款",INDEX(自动规则!$D$4:$D$143,MATCH($F70,自动规则!$B$4:$B$143,0)))))))</f>
        <v>管理费用</v>
      </c>
      <c r="L70" s="43"/>
      <c r="M70" s="105" t="str">
        <f aca="false">IF($C70="","",IF(IFERROR(INDEX(科目表!$T$4:$T$123,MATCH($C70,科目表!$K$4:$K$123,0)),"")&amp;""="","其他货币资金",INDEX(科目表!$T$4:$T$123,MATCH($C70,科目表!$K$4:$K$123,0))))</f>
        <v>其他货币资金</v>
      </c>
      <c r="N70" s="39" t="str">
        <f aca="false">IF(OR($C70="",ROUND(N($H70)+N($I70),2)=0),"",IF(N($H70)&gt;0,$M70,$K70))</f>
        <v>管理费用</v>
      </c>
      <c r="O70" s="41" t="n">
        <f aca="false">IF($N70="","",ROUND(N($H70)+N($I70),2))</f>
        <v>18</v>
      </c>
      <c r="P70" s="41" t="n">
        <f aca="false">IF($N70="","",0)</f>
        <v>0</v>
      </c>
      <c r="Q70" s="39" t="str">
        <f aca="false">IF($N70="","",IF(N($H70)&gt;0,$K70,$M70))</f>
        <v>其他货币资金</v>
      </c>
      <c r="R70" s="41" t="n">
        <f aca="false">IF($Q70="","",0)</f>
        <v>0</v>
      </c>
      <c r="S70" s="41" t="n">
        <f aca="false">IF($Q70="","",ROUND(N($H70)+N($I70),2))</f>
        <v>18</v>
      </c>
      <c r="T70" s="42"/>
      <c r="U70" s="44"/>
      <c r="V70" s="41" t="str">
        <f aca="false">IF($B70="","",TEXT($B70,"yyyy年m月"))</f>
        <v>2026年9月</v>
      </c>
      <c r="W70" s="42"/>
      <c r="X70" s="42"/>
      <c r="Y70" s="9"/>
    </row>
    <row r="71" customFormat="false" ht="18" hidden="false" customHeight="true" outlineLevel="0" collapsed="false">
      <c r="A71" s="9" t="n">
        <f aca="false">IF($C71="","",ROW()-3)</f>
        <v>68</v>
      </c>
      <c r="B71" s="76" t="n">
        <v>46278</v>
      </c>
      <c r="C71" s="74" t="s">
        <v>459</v>
      </c>
      <c r="D71" s="43"/>
      <c r="E71" s="42"/>
      <c r="F71" s="74"/>
      <c r="G71" s="74" t="s">
        <v>566</v>
      </c>
      <c r="H71" s="44"/>
      <c r="I71" s="44" t="n">
        <v>22</v>
      </c>
      <c r="J71" s="103" t="n">
        <f aca="false">IF($C71="","",ROUND(IFERROR(INDEX(期初余额!$I$4:$I$43,MATCH($C71,期初余额!$H$4:$H$43,0)),0)+SUMIFS($H$4:$H71,$C$4:$C71,$C71)-SUMIFS($I$4:$I71,$C$4:$C71,$C71),2))</f>
        <v>1329.5</v>
      </c>
      <c r="K71" s="104" t="str">
        <f aca="false">IF($T71&lt;&gt;"",$T71,IF($C71="","",IF(AND(N($I71)&gt;0,$G71&lt;&gt;""),IF(IFERROR(INDEX(科目表!$U$4:$U$123,MATCH($G71,科目表!$M$4:$M$123,0)),"")&amp;""="","管理费用",INDEX(科目表!$U$4:$U$123,MATCH($G71,科目表!$M$4:$M$123,0))),IF(N($H71)&gt;0,IF(IFERROR(INDEX(自动规则!$C$4:$C$143,MATCH($F71,自动规则!$B$4:$B$143,0)),"")&amp;""="","其他应收款",INDEX(自动规则!$C$4:$C$143,MATCH($F71,自动规则!$B$4:$B$143,0))),IF(IFERROR(INDEX(自动规则!$D$4:$D$143,MATCH($F71,自动规则!$B$4:$B$143,0)),"")&amp;""="","其他应付款",INDEX(自动规则!$D$4:$D$143,MATCH($F71,自动规则!$B$4:$B$143,0)))))))</f>
        <v>管理费用</v>
      </c>
      <c r="L71" s="43"/>
      <c r="M71" s="105" t="str">
        <f aca="false">IF($C71="","",IF(IFERROR(INDEX(科目表!$T$4:$T$123,MATCH($C71,科目表!$K$4:$K$123,0)),"")&amp;""="","其他货币资金",INDEX(科目表!$T$4:$T$123,MATCH($C71,科目表!$K$4:$K$123,0))))</f>
        <v>其他货币资金</v>
      </c>
      <c r="N71" s="39" t="str">
        <f aca="false">IF(OR($C71="",ROUND(N($H71)+N($I71),2)=0),"",IF(N($H71)&gt;0,$M71,$K71))</f>
        <v>管理费用</v>
      </c>
      <c r="O71" s="41" t="n">
        <f aca="false">IF($N71="","",ROUND(N($H71)+N($I71),2))</f>
        <v>22</v>
      </c>
      <c r="P71" s="41" t="n">
        <f aca="false">IF($N71="","",0)</f>
        <v>0</v>
      </c>
      <c r="Q71" s="39" t="str">
        <f aca="false">IF($N71="","",IF(N($H71)&gt;0,$K71,$M71))</f>
        <v>其他货币资金</v>
      </c>
      <c r="R71" s="41" t="n">
        <f aca="false">IF($Q71="","",0)</f>
        <v>0</v>
      </c>
      <c r="S71" s="41" t="n">
        <f aca="false">IF($Q71="","",ROUND(N($H71)+N($I71),2))</f>
        <v>22</v>
      </c>
      <c r="T71" s="42"/>
      <c r="U71" s="44"/>
      <c r="V71" s="41" t="str">
        <f aca="false">IF($B71="","",TEXT($B71,"yyyy年m月"))</f>
        <v>2026年9月</v>
      </c>
      <c r="W71" s="42"/>
      <c r="X71" s="42"/>
      <c r="Y71" s="9"/>
    </row>
    <row r="72" customFormat="false" ht="18" hidden="false" customHeight="true" outlineLevel="0" collapsed="false">
      <c r="A72" s="9" t="n">
        <f aca="false">IF($C72="","",ROW()-3)</f>
        <v>69</v>
      </c>
      <c r="B72" s="76" t="n">
        <v>46278</v>
      </c>
      <c r="C72" s="74" t="s">
        <v>459</v>
      </c>
      <c r="D72" s="43"/>
      <c r="E72" s="42"/>
      <c r="F72" s="74"/>
      <c r="G72" s="74" t="s">
        <v>566</v>
      </c>
      <c r="H72" s="44"/>
      <c r="I72" s="44" t="n">
        <v>46</v>
      </c>
      <c r="J72" s="103" t="n">
        <f aca="false">IF($C72="","",ROUND(IFERROR(INDEX(期初余额!$I$4:$I$43,MATCH($C72,期初余额!$H$4:$H$43,0)),0)+SUMIFS($H$4:$H72,$C$4:$C72,$C72)-SUMIFS($I$4:$I72,$C$4:$C72,$C72),2))</f>
        <v>1283.5</v>
      </c>
      <c r="K72" s="104" t="str">
        <f aca="false">IF($T72&lt;&gt;"",$T72,IF($C72="","",IF(AND(N($I72)&gt;0,$G72&lt;&gt;""),IF(IFERROR(INDEX(科目表!$U$4:$U$123,MATCH($G72,科目表!$M$4:$M$123,0)),"")&amp;""="","管理费用",INDEX(科目表!$U$4:$U$123,MATCH($G72,科目表!$M$4:$M$123,0))),IF(N($H72)&gt;0,IF(IFERROR(INDEX(自动规则!$C$4:$C$143,MATCH($F72,自动规则!$B$4:$B$143,0)),"")&amp;""="","其他应收款",INDEX(自动规则!$C$4:$C$143,MATCH($F72,自动规则!$B$4:$B$143,0))),IF(IFERROR(INDEX(自动规则!$D$4:$D$143,MATCH($F72,自动规则!$B$4:$B$143,0)),"")&amp;""="","其他应付款",INDEX(自动规则!$D$4:$D$143,MATCH($F72,自动规则!$B$4:$B$143,0)))))))</f>
        <v>管理费用</v>
      </c>
      <c r="L72" s="43"/>
      <c r="M72" s="105" t="str">
        <f aca="false">IF($C72="","",IF(IFERROR(INDEX(科目表!$T$4:$T$123,MATCH($C72,科目表!$K$4:$K$123,0)),"")&amp;""="","其他货币资金",INDEX(科目表!$T$4:$T$123,MATCH($C72,科目表!$K$4:$K$123,0))))</f>
        <v>其他货币资金</v>
      </c>
      <c r="N72" s="39" t="str">
        <f aca="false">IF(OR($C72="",ROUND(N($H72)+N($I72),2)=0),"",IF(N($H72)&gt;0,$M72,$K72))</f>
        <v>管理费用</v>
      </c>
      <c r="O72" s="41" t="n">
        <f aca="false">IF($N72="","",ROUND(N($H72)+N($I72),2))</f>
        <v>46</v>
      </c>
      <c r="P72" s="41" t="n">
        <f aca="false">IF($N72="","",0)</f>
        <v>0</v>
      </c>
      <c r="Q72" s="39" t="str">
        <f aca="false">IF($N72="","",IF(N($H72)&gt;0,$K72,$M72))</f>
        <v>其他货币资金</v>
      </c>
      <c r="R72" s="41" t="n">
        <f aca="false">IF($Q72="","",0)</f>
        <v>0</v>
      </c>
      <c r="S72" s="41" t="n">
        <f aca="false">IF($Q72="","",ROUND(N($H72)+N($I72),2))</f>
        <v>46</v>
      </c>
      <c r="T72" s="42"/>
      <c r="U72" s="44"/>
      <c r="V72" s="41" t="str">
        <f aca="false">IF($B72="","",TEXT($B72,"yyyy年m月"))</f>
        <v>2026年9月</v>
      </c>
      <c r="W72" s="42"/>
      <c r="X72" s="42"/>
      <c r="Y72" s="9"/>
    </row>
    <row r="73" customFormat="false" ht="18" hidden="false" customHeight="true" outlineLevel="0" collapsed="false">
      <c r="A73" s="9" t="n">
        <f aca="false">IF($C73="","",ROW()-3)</f>
        <v>70</v>
      </c>
      <c r="B73" s="76" t="n">
        <v>46278</v>
      </c>
      <c r="C73" s="74" t="s">
        <v>459</v>
      </c>
      <c r="D73" s="43"/>
      <c r="E73" s="42"/>
      <c r="F73" s="74"/>
      <c r="G73" s="74" t="s">
        <v>541</v>
      </c>
      <c r="H73" s="44"/>
      <c r="I73" s="44" t="n">
        <v>180</v>
      </c>
      <c r="J73" s="103" t="n">
        <f aca="false">IF($C73="","",ROUND(IFERROR(INDEX(期初余额!$I$4:$I$43,MATCH($C73,期初余额!$H$4:$H$43,0)),0)+SUMIFS($H$4:$H73,$C$4:$C73,$C73)-SUMIFS($I$4:$I73,$C$4:$C73,$C73),2))</f>
        <v>1103.5</v>
      </c>
      <c r="K73" s="104" t="str">
        <f aca="false">IF($T73&lt;&gt;"",$T73,IF($C73="","",IF(AND(N($I73)&gt;0,$G73&lt;&gt;""),IF(IFERROR(INDEX(科目表!$U$4:$U$123,MATCH($G73,科目表!$M$4:$M$123,0)),"")&amp;""="","管理费用",INDEX(科目表!$U$4:$U$123,MATCH($G73,科目表!$M$4:$M$123,0))),IF(N($H73)&gt;0,IF(IFERROR(INDEX(自动规则!$C$4:$C$143,MATCH($F73,自动规则!$B$4:$B$143,0)),"")&amp;""="","其他应收款",INDEX(自动规则!$C$4:$C$143,MATCH($F73,自动规则!$B$4:$B$143,0))),IF(IFERROR(INDEX(自动规则!$D$4:$D$143,MATCH($F73,自动规则!$B$4:$B$143,0)),"")&amp;""="","其他应付款",INDEX(自动规则!$D$4:$D$143,MATCH($F73,自动规则!$B$4:$B$143,0)))))))</f>
        <v>主营业务成本</v>
      </c>
      <c r="L73" s="43"/>
      <c r="M73" s="105" t="str">
        <f aca="false">IF($C73="","",IF(IFERROR(INDEX(科目表!$T$4:$T$123,MATCH($C73,科目表!$K$4:$K$123,0)),"")&amp;""="","其他货币资金",INDEX(科目表!$T$4:$T$123,MATCH($C73,科目表!$K$4:$K$123,0))))</f>
        <v>其他货币资金</v>
      </c>
      <c r="N73" s="39" t="str">
        <f aca="false">IF(OR($C73="",ROUND(N($H73)+N($I73),2)=0),"",IF(N($H73)&gt;0,$M73,$K73))</f>
        <v>主营业务成本</v>
      </c>
      <c r="O73" s="41" t="n">
        <f aca="false">IF($N73="","",ROUND(N($H73)+N($I73),2))</f>
        <v>180</v>
      </c>
      <c r="P73" s="41" t="n">
        <f aca="false">IF($N73="","",0)</f>
        <v>0</v>
      </c>
      <c r="Q73" s="39" t="str">
        <f aca="false">IF($N73="","",IF(N($H73)&gt;0,$K73,$M73))</f>
        <v>其他货币资金</v>
      </c>
      <c r="R73" s="41" t="n">
        <f aca="false">IF($Q73="","",0)</f>
        <v>0</v>
      </c>
      <c r="S73" s="41" t="n">
        <f aca="false">IF($Q73="","",ROUND(N($H73)+N($I73),2))</f>
        <v>180</v>
      </c>
      <c r="T73" s="42"/>
      <c r="U73" s="44"/>
      <c r="V73" s="41" t="str">
        <f aca="false">IF($B73="","",TEXT($B73,"yyyy年m月"))</f>
        <v>2026年9月</v>
      </c>
      <c r="W73" s="42"/>
      <c r="X73" s="42"/>
      <c r="Y73" s="9"/>
    </row>
    <row r="74" customFormat="false" ht="18" hidden="false" customHeight="true" outlineLevel="0" collapsed="false">
      <c r="A74" s="9" t="n">
        <f aca="false">IF($C74="","",ROW()-3)</f>
        <v>71</v>
      </c>
      <c r="B74" s="76" t="n">
        <v>46278</v>
      </c>
      <c r="C74" s="74" t="s">
        <v>459</v>
      </c>
      <c r="D74" s="43"/>
      <c r="E74" s="42"/>
      <c r="F74" s="74"/>
      <c r="G74" s="74" t="s">
        <v>566</v>
      </c>
      <c r="H74" s="44"/>
      <c r="I74" s="44" t="n">
        <v>18</v>
      </c>
      <c r="J74" s="103" t="n">
        <f aca="false">IF($C74="","",ROUND(IFERROR(INDEX(期初余额!$I$4:$I$43,MATCH($C74,期初余额!$H$4:$H$43,0)),0)+SUMIFS($H$4:$H74,$C$4:$C74,$C74)-SUMIFS($I$4:$I74,$C$4:$C74,$C74),2))</f>
        <v>1085.5</v>
      </c>
      <c r="K74" s="104" t="str">
        <f aca="false">IF($T74&lt;&gt;"",$T74,IF($C74="","",IF(AND(N($I74)&gt;0,$G74&lt;&gt;""),IF(IFERROR(INDEX(科目表!$U$4:$U$123,MATCH($G74,科目表!$M$4:$M$123,0)),"")&amp;""="","管理费用",INDEX(科目表!$U$4:$U$123,MATCH($G74,科目表!$M$4:$M$123,0))),IF(N($H74)&gt;0,IF(IFERROR(INDEX(自动规则!$C$4:$C$143,MATCH($F74,自动规则!$B$4:$B$143,0)),"")&amp;""="","其他应收款",INDEX(自动规则!$C$4:$C$143,MATCH($F74,自动规则!$B$4:$B$143,0))),IF(IFERROR(INDEX(自动规则!$D$4:$D$143,MATCH($F74,自动规则!$B$4:$B$143,0)),"")&amp;""="","其他应付款",INDEX(自动规则!$D$4:$D$143,MATCH($F74,自动规则!$B$4:$B$143,0)))))))</f>
        <v>管理费用</v>
      </c>
      <c r="L74" s="43"/>
      <c r="M74" s="105" t="str">
        <f aca="false">IF($C74="","",IF(IFERROR(INDEX(科目表!$T$4:$T$123,MATCH($C74,科目表!$K$4:$K$123,0)),"")&amp;""="","其他货币资金",INDEX(科目表!$T$4:$T$123,MATCH($C74,科目表!$K$4:$K$123,0))))</f>
        <v>其他货币资金</v>
      </c>
      <c r="N74" s="39" t="str">
        <f aca="false">IF(OR($C74="",ROUND(N($H74)+N($I74),2)=0),"",IF(N($H74)&gt;0,$M74,$K74))</f>
        <v>管理费用</v>
      </c>
      <c r="O74" s="41" t="n">
        <f aca="false">IF($N74="","",ROUND(N($H74)+N($I74),2))</f>
        <v>18</v>
      </c>
      <c r="P74" s="41" t="n">
        <f aca="false">IF($N74="","",0)</f>
        <v>0</v>
      </c>
      <c r="Q74" s="39" t="str">
        <f aca="false">IF($N74="","",IF(N($H74)&gt;0,$K74,$M74))</f>
        <v>其他货币资金</v>
      </c>
      <c r="R74" s="41" t="n">
        <f aca="false">IF($Q74="","",0)</f>
        <v>0</v>
      </c>
      <c r="S74" s="41" t="n">
        <f aca="false">IF($Q74="","",ROUND(N($H74)+N($I74),2))</f>
        <v>18</v>
      </c>
      <c r="T74" s="42"/>
      <c r="U74" s="44"/>
      <c r="V74" s="41" t="str">
        <f aca="false">IF($B74="","",TEXT($B74,"yyyy年m月"))</f>
        <v>2026年9月</v>
      </c>
      <c r="W74" s="42"/>
      <c r="X74" s="42"/>
      <c r="Y74" s="9"/>
    </row>
    <row r="75" customFormat="false" ht="18" hidden="false" customHeight="true" outlineLevel="0" collapsed="false">
      <c r="A75" s="9" t="n">
        <f aca="false">IF($C75="","",ROW()-3)</f>
        <v>72</v>
      </c>
      <c r="B75" s="76" t="n">
        <v>46278</v>
      </c>
      <c r="C75" s="74" t="s">
        <v>459</v>
      </c>
      <c r="D75" s="43"/>
      <c r="E75" s="42"/>
      <c r="F75" s="74" t="s">
        <v>386</v>
      </c>
      <c r="G75" s="74" t="s">
        <v>384</v>
      </c>
      <c r="H75" s="44"/>
      <c r="I75" s="44" t="n">
        <v>600</v>
      </c>
      <c r="J75" s="103" t="n">
        <f aca="false">IF($C75="","",ROUND(IFERROR(INDEX(期初余额!$I$4:$I$43,MATCH($C75,期初余额!$H$4:$H$43,0)),0)+SUMIFS($H$4:$H75,$C$4:$C75,$C75)-SUMIFS($I$4:$I75,$C$4:$C75,$C75),2))</f>
        <v>485.5</v>
      </c>
      <c r="K75" s="104" t="str">
        <f aca="false">IF($T75&lt;&gt;"",$T75,IF($C75="","",IF(AND(N($I75)&gt;0,$G75&lt;&gt;""),IF(IFERROR(INDEX(科目表!$U$4:$U$123,MATCH($G75,科目表!$M$4:$M$123,0)),"")&amp;""="","管理费用",INDEX(科目表!$U$4:$U$123,MATCH($G75,科目表!$M$4:$M$123,0))),IF(N($H75)&gt;0,IF(IFERROR(INDEX(自动规则!$C$4:$C$143,MATCH($F75,自动规则!$B$4:$B$143,0)),"")&amp;""="","其他应收款",INDEX(自动规则!$C$4:$C$143,MATCH($F75,自动规则!$B$4:$B$143,0))),IF(IFERROR(INDEX(自动规则!$D$4:$D$143,MATCH($F75,自动规则!$B$4:$B$143,0)),"")&amp;""="","其他应付款",INDEX(自动规则!$D$4:$D$143,MATCH($F75,自动规则!$B$4:$B$143,0)))))))</f>
        <v>主营业务成本</v>
      </c>
      <c r="L75" s="43"/>
      <c r="M75" s="105" t="str">
        <f aca="false">IF($C75="","",IF(IFERROR(INDEX(科目表!$T$4:$T$123,MATCH($C75,科目表!$K$4:$K$123,0)),"")&amp;""="","其他货币资金",INDEX(科目表!$T$4:$T$123,MATCH($C75,科目表!$K$4:$K$123,0))))</f>
        <v>其他货币资金</v>
      </c>
      <c r="N75" s="39" t="str">
        <f aca="false">IF(OR($C75="",ROUND(N($H75)+N($I75),2)=0),"",IF(N($H75)&gt;0,$M75,$K75))</f>
        <v>主营业务成本</v>
      </c>
      <c r="O75" s="41" t="n">
        <f aca="false">IF($N75="","",ROUND(N($H75)+N($I75),2))</f>
        <v>600</v>
      </c>
      <c r="P75" s="41" t="n">
        <f aca="false">IF($N75="","",0)</f>
        <v>0</v>
      </c>
      <c r="Q75" s="39" t="str">
        <f aca="false">IF($N75="","",IF(N($H75)&gt;0,$K75,$M75))</f>
        <v>其他货币资金</v>
      </c>
      <c r="R75" s="41" t="n">
        <f aca="false">IF($Q75="","",0)</f>
        <v>0</v>
      </c>
      <c r="S75" s="41" t="n">
        <f aca="false">IF($Q75="","",ROUND(N($H75)+N($I75),2))</f>
        <v>600</v>
      </c>
      <c r="T75" s="42"/>
      <c r="U75" s="44"/>
      <c r="V75" s="41" t="str">
        <f aca="false">IF($B75="","",TEXT($B75,"yyyy年m月"))</f>
        <v>2026年9月</v>
      </c>
      <c r="W75" s="42"/>
      <c r="X75" s="42"/>
      <c r="Y75" s="9"/>
    </row>
    <row r="76" customFormat="false" ht="18" hidden="false" customHeight="true" outlineLevel="0" collapsed="false">
      <c r="A76" s="9" t="n">
        <f aca="false">IF($C76="","",ROW()-3)</f>
        <v>73</v>
      </c>
      <c r="B76" s="76" t="n">
        <v>46278</v>
      </c>
      <c r="C76" s="74" t="s">
        <v>459</v>
      </c>
      <c r="D76" s="78" t="s">
        <v>726</v>
      </c>
      <c r="E76" s="42"/>
      <c r="F76" s="74" t="s">
        <v>386</v>
      </c>
      <c r="G76" s="74" t="s">
        <v>667</v>
      </c>
      <c r="H76" s="44"/>
      <c r="I76" s="44" t="n">
        <v>100</v>
      </c>
      <c r="J76" s="103" t="n">
        <f aca="false">IF($C76="","",ROUND(IFERROR(INDEX(期初余额!$I$4:$I$43,MATCH($C76,期初余额!$H$4:$H$43,0)),0)+SUMIFS($H$4:$H76,$C$4:$C76,$C76)-SUMIFS($I$4:$I76,$C$4:$C76,$C76),2))</f>
        <v>385.5</v>
      </c>
      <c r="K76" s="104" t="str">
        <f aca="false">IF($T76&lt;&gt;"",$T76,IF($C76="","",IF(AND(N($I76)&gt;0,$G76&lt;&gt;""),IF(IFERROR(INDEX(科目表!$U$4:$U$123,MATCH($G76,科目表!$M$4:$M$123,0)),"")&amp;""="","管理费用",INDEX(科目表!$U$4:$U$123,MATCH($G76,科目表!$M$4:$M$123,0))),IF(N($H76)&gt;0,IF(IFERROR(INDEX(自动规则!$C$4:$C$143,MATCH($F76,自动规则!$B$4:$B$143,0)),"")&amp;""="","其他应收款",INDEX(自动规则!$C$4:$C$143,MATCH($F76,自动规则!$B$4:$B$143,0))),IF(IFERROR(INDEX(自动规则!$D$4:$D$143,MATCH($F76,自动规则!$B$4:$B$143,0)),"")&amp;""="","其他应付款",INDEX(自动规则!$D$4:$D$143,MATCH($F76,自动规则!$B$4:$B$143,0)))))))</f>
        <v>其他应收款</v>
      </c>
      <c r="L76" s="43"/>
      <c r="M76" s="105" t="str">
        <f aca="false">IF($C76="","",IF(IFERROR(INDEX(科目表!$T$4:$T$123,MATCH($C76,科目表!$K$4:$K$123,0)),"")&amp;""="","其他货币资金",INDEX(科目表!$T$4:$T$123,MATCH($C76,科目表!$K$4:$K$123,0))))</f>
        <v>其他货币资金</v>
      </c>
      <c r="N76" s="39" t="str">
        <f aca="false">IF(OR($C76="",ROUND(N($H76)+N($I76),2)=0),"",IF(N($H76)&gt;0,$M76,$K76))</f>
        <v>其他应收款</v>
      </c>
      <c r="O76" s="41" t="n">
        <f aca="false">IF($N76="","",ROUND(N($H76)+N($I76),2))</f>
        <v>100</v>
      </c>
      <c r="P76" s="41" t="n">
        <f aca="false">IF($N76="","",0)</f>
        <v>0</v>
      </c>
      <c r="Q76" s="39" t="str">
        <f aca="false">IF($N76="","",IF(N($H76)&gt;0,$K76,$M76))</f>
        <v>其他货币资金</v>
      </c>
      <c r="R76" s="41" t="n">
        <f aca="false">IF($Q76="","",0)</f>
        <v>0</v>
      </c>
      <c r="S76" s="41" t="n">
        <f aca="false">IF($Q76="","",ROUND(N($H76)+N($I76),2))</f>
        <v>100</v>
      </c>
      <c r="T76" s="42"/>
      <c r="U76" s="44"/>
      <c r="V76" s="41" t="str">
        <f aca="false">IF($B76="","",TEXT($B76,"yyyy年m月"))</f>
        <v>2026年9月</v>
      </c>
      <c r="W76" s="42"/>
      <c r="X76" s="42"/>
      <c r="Y76" s="9"/>
    </row>
    <row r="77" customFormat="false" ht="18" hidden="false" customHeight="true" outlineLevel="0" collapsed="false">
      <c r="A77" s="9" t="n">
        <f aca="false">IF($C77="","",ROW()-3)</f>
        <v>74</v>
      </c>
      <c r="B77" s="76" t="n">
        <v>46279</v>
      </c>
      <c r="C77" s="74" t="s">
        <v>459</v>
      </c>
      <c r="D77" s="78" t="s">
        <v>735</v>
      </c>
      <c r="E77" s="42"/>
      <c r="F77" s="74" t="s">
        <v>296</v>
      </c>
      <c r="G77" s="74"/>
      <c r="H77" s="44" t="n">
        <v>500</v>
      </c>
      <c r="I77" s="44"/>
      <c r="J77" s="103" t="n">
        <f aca="false">IF($C77="","",ROUND(IFERROR(INDEX(期初余额!$I$4:$I$43,MATCH($C77,期初余额!$H$4:$H$43,0)),0)+SUMIFS($H$4:$H77,$C$4:$C77,$C77)-SUMIFS($I$4:$I77,$C$4:$C77,$C77),2))</f>
        <v>885.5</v>
      </c>
      <c r="K77" s="104" t="str">
        <f aca="false">IF($T77&lt;&gt;"",$T77,IF($C77="","",IF(AND(N($I77)&gt;0,$G77&lt;&gt;""),IF(IFERROR(INDEX(科目表!$U$4:$U$123,MATCH($G77,科目表!$M$4:$M$123,0)),"")&amp;""="","管理费用",INDEX(科目表!$U$4:$U$123,MATCH($G77,科目表!$M$4:$M$123,0))),IF(N($H77)&gt;0,IF(IFERROR(INDEX(自动规则!$C$4:$C$143,MATCH($F77,自动规则!$B$4:$B$143,0)),"")&amp;""="","其他应收款",INDEX(自动规则!$C$4:$C$143,MATCH($F77,自动规则!$B$4:$B$143,0))),IF(IFERROR(INDEX(自动规则!$D$4:$D$143,MATCH($F77,自动规则!$B$4:$B$143,0)),"")&amp;""="","其他应付款",INDEX(自动规则!$D$4:$D$143,MATCH($F77,自动规则!$B$4:$B$143,0)))))))</f>
        <v>其他应付款</v>
      </c>
      <c r="L77" s="43"/>
      <c r="M77" s="105" t="str">
        <f aca="false">IF($C77="","",IF(IFERROR(INDEX(科目表!$T$4:$T$123,MATCH($C77,科目表!$K$4:$K$123,0)),"")&amp;""="","其他货币资金",INDEX(科目表!$T$4:$T$123,MATCH($C77,科目表!$K$4:$K$123,0))))</f>
        <v>其他货币资金</v>
      </c>
      <c r="N77" s="39" t="str">
        <f aca="false">IF(OR($C77="",ROUND(N($H77)+N($I77),2)=0),"",IF(N($H77)&gt;0,$M77,$K77))</f>
        <v>其他货币资金</v>
      </c>
      <c r="O77" s="41" t="n">
        <f aca="false">IF($N77="","",ROUND(N($H77)+N($I77),2))</f>
        <v>500</v>
      </c>
      <c r="P77" s="41" t="n">
        <f aca="false">IF($N77="","",0)</f>
        <v>0</v>
      </c>
      <c r="Q77" s="39" t="str">
        <f aca="false">IF($N77="","",IF(N($H77)&gt;0,$K77,$M77))</f>
        <v>其他应付款</v>
      </c>
      <c r="R77" s="41" t="n">
        <f aca="false">IF($Q77="","",0)</f>
        <v>0</v>
      </c>
      <c r="S77" s="41" t="n">
        <f aca="false">IF($Q77="","",ROUND(N($H77)+N($I77),2))</f>
        <v>500</v>
      </c>
      <c r="T77" s="42"/>
      <c r="U77" s="44"/>
      <c r="V77" s="41" t="str">
        <f aca="false">IF($B77="","",TEXT($B77,"yyyy年m月"))</f>
        <v>2026年9月</v>
      </c>
      <c r="W77" s="42"/>
      <c r="X77" s="42"/>
      <c r="Y77" s="9"/>
    </row>
    <row r="78" customFormat="false" ht="18" hidden="false" customHeight="true" outlineLevel="0" collapsed="false">
      <c r="A78" s="9" t="n">
        <f aca="false">IF($C78="","",ROW()-3)</f>
        <v>75</v>
      </c>
      <c r="B78" s="76" t="n">
        <v>46280</v>
      </c>
      <c r="C78" s="74" t="s">
        <v>459</v>
      </c>
      <c r="D78" s="43"/>
      <c r="E78" s="42"/>
      <c r="F78" s="74" t="s">
        <v>386</v>
      </c>
      <c r="G78" s="74" t="s">
        <v>653</v>
      </c>
      <c r="H78" s="44" t="n">
        <v>5000</v>
      </c>
      <c r="I78" s="44"/>
      <c r="J78" s="103" t="n">
        <f aca="false">IF($C78="","",ROUND(IFERROR(INDEX(期初余额!$I$4:$I$43,MATCH($C78,期初余额!$H$4:$H$43,0)),0)+SUMIFS($H$4:$H78,$C$4:$C78,$C78)-SUMIFS($I$4:$I78,$C$4:$C78,$C78),2))</f>
        <v>5885.5</v>
      </c>
      <c r="K78" s="104" t="str">
        <f aca="false">IF($T78&lt;&gt;"",$T78,IF($C78="","",IF(AND(N($I78)&gt;0,$G78&lt;&gt;""),IF(IFERROR(INDEX(科目表!$U$4:$U$123,MATCH($G78,科目表!$M$4:$M$123,0)),"")&amp;""="","管理费用",INDEX(科目表!$U$4:$U$123,MATCH($G78,科目表!$M$4:$M$123,0))),IF(N($H78)&gt;0,IF(IFERROR(INDEX(自动规则!$C$4:$C$143,MATCH($F78,自动规则!$B$4:$B$143,0)),"")&amp;""="","其他应收款",INDEX(自动规则!$C$4:$C$143,MATCH($F78,自动规则!$B$4:$B$143,0))),IF(IFERROR(INDEX(自动规则!$D$4:$D$143,MATCH($F78,自动规则!$B$4:$B$143,0)),"")&amp;""="","其他应付款",INDEX(自动规则!$D$4:$D$143,MATCH($F78,自动规则!$B$4:$B$143,0)))))))</f>
        <v>其他应收款</v>
      </c>
      <c r="L78" s="43"/>
      <c r="M78" s="105" t="str">
        <f aca="false">IF($C78="","",IF(IFERROR(INDEX(科目表!$T$4:$T$123,MATCH($C78,科目表!$K$4:$K$123,0)),"")&amp;""="","其他货币资金",INDEX(科目表!$T$4:$T$123,MATCH($C78,科目表!$K$4:$K$123,0))))</f>
        <v>其他货币资金</v>
      </c>
      <c r="N78" s="39" t="str">
        <f aca="false">IF(OR($C78="",ROUND(N($H78)+N($I78),2)=0),"",IF(N($H78)&gt;0,$M78,$K78))</f>
        <v>其他货币资金</v>
      </c>
      <c r="O78" s="41" t="n">
        <f aca="false">IF($N78="","",ROUND(N($H78)+N($I78),2))</f>
        <v>5000</v>
      </c>
      <c r="P78" s="41" t="n">
        <f aca="false">IF($N78="","",0)</f>
        <v>0</v>
      </c>
      <c r="Q78" s="39" t="str">
        <f aca="false">IF($N78="","",IF(N($H78)&gt;0,$K78,$M78))</f>
        <v>其他应收款</v>
      </c>
      <c r="R78" s="41" t="n">
        <f aca="false">IF($Q78="","",0)</f>
        <v>0</v>
      </c>
      <c r="S78" s="41" t="n">
        <f aca="false">IF($Q78="","",ROUND(N($H78)+N($I78),2))</f>
        <v>5000</v>
      </c>
      <c r="T78" s="42"/>
      <c r="U78" s="44"/>
      <c r="V78" s="41" t="str">
        <f aca="false">IF($B78="","",TEXT($B78,"yyyy年m月"))</f>
        <v>2026年9月</v>
      </c>
      <c r="W78" s="42"/>
      <c r="X78" s="42"/>
      <c r="Y78" s="9"/>
    </row>
    <row r="79" customFormat="false" ht="18" hidden="false" customHeight="true" outlineLevel="0" collapsed="false">
      <c r="A79" s="9" t="n">
        <f aca="false">IF($C79="","",ROW()-3)</f>
        <v>76</v>
      </c>
      <c r="B79" s="76" t="n">
        <v>46280</v>
      </c>
      <c r="C79" s="74" t="s">
        <v>459</v>
      </c>
      <c r="D79" s="78" t="s">
        <v>736</v>
      </c>
      <c r="E79" s="42"/>
      <c r="F79" s="74"/>
      <c r="G79" s="74" t="s">
        <v>566</v>
      </c>
      <c r="H79" s="44"/>
      <c r="I79" s="44" t="n">
        <v>1000</v>
      </c>
      <c r="J79" s="103" t="n">
        <f aca="false">IF($C79="","",ROUND(IFERROR(INDEX(期初余额!$I$4:$I$43,MATCH($C79,期初余额!$H$4:$H$43,0)),0)+SUMIFS($H$4:$H79,$C$4:$C79,$C79)-SUMIFS($I$4:$I79,$C$4:$C79,$C79),2))</f>
        <v>4885.5</v>
      </c>
      <c r="K79" s="104" t="str">
        <f aca="false">IF($T79&lt;&gt;"",$T79,IF($C79="","",IF(AND(N($I79)&gt;0,$G79&lt;&gt;""),IF(IFERROR(INDEX(科目表!$U$4:$U$123,MATCH($G79,科目表!$M$4:$M$123,0)),"")&amp;""="","管理费用",INDEX(科目表!$U$4:$U$123,MATCH($G79,科目表!$M$4:$M$123,0))),IF(N($H79)&gt;0,IF(IFERROR(INDEX(自动规则!$C$4:$C$143,MATCH($F79,自动规则!$B$4:$B$143,0)),"")&amp;""="","其他应收款",INDEX(自动规则!$C$4:$C$143,MATCH($F79,自动规则!$B$4:$B$143,0))),IF(IFERROR(INDEX(自动规则!$D$4:$D$143,MATCH($F79,自动规则!$B$4:$B$143,0)),"")&amp;""="","其他应付款",INDEX(自动规则!$D$4:$D$143,MATCH($F79,自动规则!$B$4:$B$143,0)))))))</f>
        <v>管理费用</v>
      </c>
      <c r="L79" s="43"/>
      <c r="M79" s="105" t="str">
        <f aca="false">IF($C79="","",IF(IFERROR(INDEX(科目表!$T$4:$T$123,MATCH($C79,科目表!$K$4:$K$123,0)),"")&amp;""="","其他货币资金",INDEX(科目表!$T$4:$T$123,MATCH($C79,科目表!$K$4:$K$123,0))))</f>
        <v>其他货币资金</v>
      </c>
      <c r="N79" s="39" t="str">
        <f aca="false">IF(OR($C79="",ROUND(N($H79)+N($I79),2)=0),"",IF(N($H79)&gt;0,$M79,$K79))</f>
        <v>管理费用</v>
      </c>
      <c r="O79" s="41" t="n">
        <f aca="false">IF($N79="","",ROUND(N($H79)+N($I79),2))</f>
        <v>1000</v>
      </c>
      <c r="P79" s="41" t="n">
        <f aca="false">IF($N79="","",0)</f>
        <v>0</v>
      </c>
      <c r="Q79" s="39" t="str">
        <f aca="false">IF($N79="","",IF(N($H79)&gt;0,$K79,$M79))</f>
        <v>其他货币资金</v>
      </c>
      <c r="R79" s="41" t="n">
        <f aca="false">IF($Q79="","",0)</f>
        <v>0</v>
      </c>
      <c r="S79" s="41" t="n">
        <f aca="false">IF($Q79="","",ROUND(N($H79)+N($I79),2))</f>
        <v>1000</v>
      </c>
      <c r="T79" s="42"/>
      <c r="U79" s="44"/>
      <c r="V79" s="41" t="str">
        <f aca="false">IF($B79="","",TEXT($B79,"yyyy年m月"))</f>
        <v>2026年9月</v>
      </c>
      <c r="W79" s="42"/>
      <c r="X79" s="42"/>
      <c r="Y79" s="9"/>
    </row>
    <row r="80" customFormat="false" ht="18" hidden="false" customHeight="true" outlineLevel="0" collapsed="false">
      <c r="A80" s="9" t="n">
        <f aca="false">IF($C80="","",ROW()-3)</f>
        <v>77</v>
      </c>
      <c r="B80" s="76" t="n">
        <v>46281</v>
      </c>
      <c r="C80" s="74" t="s">
        <v>459</v>
      </c>
      <c r="D80" s="78" t="s">
        <v>737</v>
      </c>
      <c r="E80" s="42"/>
      <c r="F80" s="74"/>
      <c r="G80" s="74" t="s">
        <v>566</v>
      </c>
      <c r="H80" s="44"/>
      <c r="I80" s="44" t="n">
        <v>85.7</v>
      </c>
      <c r="J80" s="103" t="n">
        <f aca="false">IF($C80="","",ROUND(IFERROR(INDEX(期初余额!$I$4:$I$43,MATCH($C80,期初余额!$H$4:$H$43,0)),0)+SUMIFS($H$4:$H80,$C$4:$C80,$C80)-SUMIFS($I$4:$I80,$C$4:$C80,$C80),2))</f>
        <v>4799.8</v>
      </c>
      <c r="K80" s="104" t="str">
        <f aca="false">IF($T80&lt;&gt;"",$T80,IF($C80="","",IF(AND(N($I80)&gt;0,$G80&lt;&gt;""),IF(IFERROR(INDEX(科目表!$U$4:$U$123,MATCH($G80,科目表!$M$4:$M$123,0)),"")&amp;""="","管理费用",INDEX(科目表!$U$4:$U$123,MATCH($G80,科目表!$M$4:$M$123,0))),IF(N($H80)&gt;0,IF(IFERROR(INDEX(自动规则!$C$4:$C$143,MATCH($F80,自动规则!$B$4:$B$143,0)),"")&amp;""="","其他应收款",INDEX(自动规则!$C$4:$C$143,MATCH($F80,自动规则!$B$4:$B$143,0))),IF(IFERROR(INDEX(自动规则!$D$4:$D$143,MATCH($F80,自动规则!$B$4:$B$143,0)),"")&amp;""="","其他应付款",INDEX(自动规则!$D$4:$D$143,MATCH($F80,自动规则!$B$4:$B$143,0)))))))</f>
        <v>管理费用</v>
      </c>
      <c r="L80" s="43"/>
      <c r="M80" s="105" t="str">
        <f aca="false">IF($C80="","",IF(IFERROR(INDEX(科目表!$T$4:$T$123,MATCH($C80,科目表!$K$4:$K$123,0)),"")&amp;""="","其他货币资金",INDEX(科目表!$T$4:$T$123,MATCH($C80,科目表!$K$4:$K$123,0))))</f>
        <v>其他货币资金</v>
      </c>
      <c r="N80" s="39" t="str">
        <f aca="false">IF(OR($C80="",ROUND(N($H80)+N($I80),2)=0),"",IF(N($H80)&gt;0,$M80,$K80))</f>
        <v>管理费用</v>
      </c>
      <c r="O80" s="41" t="n">
        <f aca="false">IF($N80="","",ROUND(N($H80)+N($I80),2))</f>
        <v>85.7</v>
      </c>
      <c r="P80" s="41" t="n">
        <f aca="false">IF($N80="","",0)</f>
        <v>0</v>
      </c>
      <c r="Q80" s="39" t="str">
        <f aca="false">IF($N80="","",IF(N($H80)&gt;0,$K80,$M80))</f>
        <v>其他货币资金</v>
      </c>
      <c r="R80" s="41" t="n">
        <f aca="false">IF($Q80="","",0)</f>
        <v>0</v>
      </c>
      <c r="S80" s="41" t="n">
        <f aca="false">IF($Q80="","",ROUND(N($H80)+N($I80),2))</f>
        <v>85.7</v>
      </c>
      <c r="T80" s="42"/>
      <c r="U80" s="44"/>
      <c r="V80" s="41" t="str">
        <f aca="false">IF($B80="","",TEXT($B80,"yyyy年m月"))</f>
        <v>2026年9月</v>
      </c>
      <c r="W80" s="42"/>
      <c r="X80" s="42"/>
      <c r="Y80" s="9"/>
    </row>
    <row r="81" customFormat="false" ht="18" hidden="false" customHeight="true" outlineLevel="0" collapsed="false">
      <c r="A81" s="9" t="n">
        <f aca="false">IF($C81="","",ROW()-3)</f>
        <v>78</v>
      </c>
      <c r="B81" s="76" t="n">
        <v>46281</v>
      </c>
      <c r="C81" s="74" t="s">
        <v>459</v>
      </c>
      <c r="D81" s="78" t="s">
        <v>737</v>
      </c>
      <c r="E81" s="42"/>
      <c r="F81" s="74"/>
      <c r="G81" s="74" t="s">
        <v>680</v>
      </c>
      <c r="H81" s="44"/>
      <c r="I81" s="44" t="n">
        <v>130</v>
      </c>
      <c r="J81" s="103" t="n">
        <f aca="false">IF($C81="","",ROUND(IFERROR(INDEX(期初余额!$I$4:$I$43,MATCH($C81,期初余额!$H$4:$H$43,0)),0)+SUMIFS($H$4:$H81,$C$4:$C81,$C81)-SUMIFS($I$4:$I81,$C$4:$C81,$C81),2))</f>
        <v>4669.8</v>
      </c>
      <c r="K81" s="104" t="str">
        <f aca="false">IF($T81&lt;&gt;"",$T81,IF($C81="","",IF(AND(N($I81)&gt;0,$G81&lt;&gt;""),IF(IFERROR(INDEX(科目表!$U$4:$U$123,MATCH($G81,科目表!$M$4:$M$123,0)),"")&amp;""="","管理费用",INDEX(科目表!$U$4:$U$123,MATCH($G81,科目表!$M$4:$M$123,0))),IF(N($H81)&gt;0,IF(IFERROR(INDEX(自动规则!$C$4:$C$143,MATCH($F81,自动规则!$B$4:$B$143,0)),"")&amp;""="","其他应收款",INDEX(自动规则!$C$4:$C$143,MATCH($F81,自动规则!$B$4:$B$143,0))),IF(IFERROR(INDEX(自动规则!$D$4:$D$143,MATCH($F81,自动规则!$B$4:$B$143,0)),"")&amp;""="","其他应付款",INDEX(自动规则!$D$4:$D$143,MATCH($F81,自动规则!$B$4:$B$143,0)))))))</f>
        <v>管理费用</v>
      </c>
      <c r="L81" s="43"/>
      <c r="M81" s="105" t="str">
        <f aca="false">IF($C81="","",IF(IFERROR(INDEX(科目表!$T$4:$T$123,MATCH($C81,科目表!$K$4:$K$123,0)),"")&amp;""="","其他货币资金",INDEX(科目表!$T$4:$T$123,MATCH($C81,科目表!$K$4:$K$123,0))))</f>
        <v>其他货币资金</v>
      </c>
      <c r="N81" s="39" t="str">
        <f aca="false">IF(OR($C81="",ROUND(N($H81)+N($I81),2)=0),"",IF(N($H81)&gt;0,$M81,$K81))</f>
        <v>管理费用</v>
      </c>
      <c r="O81" s="41" t="n">
        <f aca="false">IF($N81="","",ROUND(N($H81)+N($I81),2))</f>
        <v>130</v>
      </c>
      <c r="P81" s="41" t="n">
        <f aca="false">IF($N81="","",0)</f>
        <v>0</v>
      </c>
      <c r="Q81" s="39" t="str">
        <f aca="false">IF($N81="","",IF(N($H81)&gt;0,$K81,$M81))</f>
        <v>其他货币资金</v>
      </c>
      <c r="R81" s="41" t="n">
        <f aca="false">IF($Q81="","",0)</f>
        <v>0</v>
      </c>
      <c r="S81" s="41" t="n">
        <f aca="false">IF($Q81="","",ROUND(N($H81)+N($I81),2))</f>
        <v>130</v>
      </c>
      <c r="T81" s="42"/>
      <c r="U81" s="44"/>
      <c r="V81" s="41" t="str">
        <f aca="false">IF($B81="","",TEXT($B81,"yyyy年m月"))</f>
        <v>2026年9月</v>
      </c>
      <c r="W81" s="42"/>
      <c r="X81" s="42"/>
      <c r="Y81" s="9"/>
    </row>
    <row r="82" customFormat="false" ht="18" hidden="false" customHeight="true" outlineLevel="0" collapsed="false">
      <c r="A82" s="9" t="n">
        <f aca="false">IF($C82="","",ROW()-3)</f>
        <v>79</v>
      </c>
      <c r="B82" s="76" t="n">
        <v>46281</v>
      </c>
      <c r="C82" s="74" t="s">
        <v>459</v>
      </c>
      <c r="D82" s="43"/>
      <c r="E82" s="42"/>
      <c r="F82" s="74"/>
      <c r="G82" s="74" t="s">
        <v>644</v>
      </c>
      <c r="H82" s="44"/>
      <c r="I82" s="44" t="n">
        <v>31.56</v>
      </c>
      <c r="J82" s="103" t="n">
        <f aca="false">IF($C82="","",ROUND(IFERROR(INDEX(期初余额!$I$4:$I$43,MATCH($C82,期初余额!$H$4:$H$43,0)),0)+SUMIFS($H$4:$H82,$C$4:$C82,$C82)-SUMIFS($I$4:$I82,$C$4:$C82,$C82),2))</f>
        <v>4638.24</v>
      </c>
      <c r="K82" s="104" t="str">
        <f aca="false">IF($T82&lt;&gt;"",$T82,IF($C82="","",IF(AND(N($I82)&gt;0,$G82&lt;&gt;""),IF(IFERROR(INDEX(科目表!$U$4:$U$123,MATCH($G82,科目表!$M$4:$M$123,0)),"")&amp;""="","管理费用",INDEX(科目表!$U$4:$U$123,MATCH($G82,科目表!$M$4:$M$123,0))),IF(N($H82)&gt;0,IF(IFERROR(INDEX(自动规则!$C$4:$C$143,MATCH($F82,自动规则!$B$4:$B$143,0)),"")&amp;""="","其他应收款",INDEX(自动规则!$C$4:$C$143,MATCH($F82,自动规则!$B$4:$B$143,0))),IF(IFERROR(INDEX(自动规则!$D$4:$D$143,MATCH($F82,自动规则!$B$4:$B$143,0)),"")&amp;""="","其他应付款",INDEX(自动规则!$D$4:$D$143,MATCH($F82,自动规则!$B$4:$B$143,0)))))))</f>
        <v>管理费用</v>
      </c>
      <c r="L82" s="43"/>
      <c r="M82" s="105" t="str">
        <f aca="false">IF($C82="","",IF(IFERROR(INDEX(科目表!$T$4:$T$123,MATCH($C82,科目表!$K$4:$K$123,0)),"")&amp;""="","其他货币资金",INDEX(科目表!$T$4:$T$123,MATCH($C82,科目表!$K$4:$K$123,0))))</f>
        <v>其他货币资金</v>
      </c>
      <c r="N82" s="39" t="str">
        <f aca="false">IF(OR($C82="",ROUND(N($H82)+N($I82),2)=0),"",IF(N($H82)&gt;0,$M82,$K82))</f>
        <v>管理费用</v>
      </c>
      <c r="O82" s="41" t="n">
        <f aca="false">IF($N82="","",ROUND(N($H82)+N($I82),2))</f>
        <v>31.56</v>
      </c>
      <c r="P82" s="41" t="n">
        <f aca="false">IF($N82="","",0)</f>
        <v>0</v>
      </c>
      <c r="Q82" s="39" t="str">
        <f aca="false">IF($N82="","",IF(N($H82)&gt;0,$K82,$M82))</f>
        <v>其他货币资金</v>
      </c>
      <c r="R82" s="41" t="n">
        <f aca="false">IF($Q82="","",0)</f>
        <v>0</v>
      </c>
      <c r="S82" s="41" t="n">
        <f aca="false">IF($Q82="","",ROUND(N($H82)+N($I82),2))</f>
        <v>31.56</v>
      </c>
      <c r="T82" s="42"/>
      <c r="U82" s="44"/>
      <c r="V82" s="41" t="str">
        <f aca="false">IF($B82="","",TEXT($B82,"yyyy年m月"))</f>
        <v>2026年9月</v>
      </c>
      <c r="W82" s="42"/>
      <c r="X82" s="42"/>
      <c r="Y82" s="9"/>
    </row>
    <row r="83" customFormat="false" ht="18" hidden="false" customHeight="true" outlineLevel="0" collapsed="false">
      <c r="A83" s="9" t="n">
        <f aca="false">IF($C83="","",ROW()-3)</f>
        <v>80</v>
      </c>
      <c r="B83" s="76" t="n">
        <v>46281</v>
      </c>
      <c r="C83" s="74" t="s">
        <v>459</v>
      </c>
      <c r="D83" s="78" t="s">
        <v>715</v>
      </c>
      <c r="E83" s="42"/>
      <c r="F83" s="74"/>
      <c r="G83" s="74" t="s">
        <v>676</v>
      </c>
      <c r="H83" s="44"/>
      <c r="I83" s="44" t="n">
        <v>4.8</v>
      </c>
      <c r="J83" s="103" t="n">
        <f aca="false">IF($C83="","",ROUND(IFERROR(INDEX(期初余额!$I$4:$I$43,MATCH($C83,期初余额!$H$4:$H$43,0)),0)+SUMIFS($H$4:$H83,$C$4:$C83,$C83)-SUMIFS($I$4:$I83,$C$4:$C83,$C83),2))</f>
        <v>4633.44</v>
      </c>
      <c r="K83" s="104" t="str">
        <f aca="false">IF($T83&lt;&gt;"",$T83,IF($C83="","",IF(AND(N($I83)&gt;0,$G83&lt;&gt;""),IF(IFERROR(INDEX(科目表!$U$4:$U$123,MATCH($G83,科目表!$M$4:$M$123,0)),"")&amp;""="","管理费用",INDEX(科目表!$U$4:$U$123,MATCH($G83,科目表!$M$4:$M$123,0))),IF(N($H83)&gt;0,IF(IFERROR(INDEX(自动规则!$C$4:$C$143,MATCH($F83,自动规则!$B$4:$B$143,0)),"")&amp;""="","其他应收款",INDEX(自动规则!$C$4:$C$143,MATCH($F83,自动规则!$B$4:$B$143,0))),IF(IFERROR(INDEX(自动规则!$D$4:$D$143,MATCH($F83,自动规则!$B$4:$B$143,0)),"")&amp;""="","其他应付款",INDEX(自动规则!$D$4:$D$143,MATCH($F83,自动规则!$B$4:$B$143,0)))))))</f>
        <v>管理费用</v>
      </c>
      <c r="L83" s="43"/>
      <c r="M83" s="105" t="str">
        <f aca="false">IF($C83="","",IF(IFERROR(INDEX(科目表!$T$4:$T$123,MATCH($C83,科目表!$K$4:$K$123,0)),"")&amp;""="","其他货币资金",INDEX(科目表!$T$4:$T$123,MATCH($C83,科目表!$K$4:$K$123,0))))</f>
        <v>其他货币资金</v>
      </c>
      <c r="N83" s="39" t="str">
        <f aca="false">IF(OR($C83="",ROUND(N($H83)+N($I83),2)=0),"",IF(N($H83)&gt;0,$M83,$K83))</f>
        <v>管理费用</v>
      </c>
      <c r="O83" s="41" t="n">
        <f aca="false">IF($N83="","",ROUND(N($H83)+N($I83),2))</f>
        <v>4.8</v>
      </c>
      <c r="P83" s="41" t="n">
        <f aca="false">IF($N83="","",0)</f>
        <v>0</v>
      </c>
      <c r="Q83" s="39" t="str">
        <f aca="false">IF($N83="","",IF(N($H83)&gt;0,$K83,$M83))</f>
        <v>其他货币资金</v>
      </c>
      <c r="R83" s="41" t="n">
        <f aca="false">IF($Q83="","",0)</f>
        <v>0</v>
      </c>
      <c r="S83" s="41" t="n">
        <f aca="false">IF($Q83="","",ROUND(N($H83)+N($I83),2))</f>
        <v>4.8</v>
      </c>
      <c r="T83" s="42"/>
      <c r="U83" s="44"/>
      <c r="V83" s="41" t="str">
        <f aca="false">IF($B83="","",TEXT($B83,"yyyy年m月"))</f>
        <v>2026年9月</v>
      </c>
      <c r="W83" s="42"/>
      <c r="X83" s="42"/>
      <c r="Y83" s="9"/>
    </row>
    <row r="84" customFormat="false" ht="18" hidden="false" customHeight="true" outlineLevel="0" collapsed="false">
      <c r="A84" s="9" t="n">
        <f aca="false">IF($C84="","",ROW()-3)</f>
        <v>81</v>
      </c>
      <c r="B84" s="76" t="n">
        <v>46281</v>
      </c>
      <c r="C84" s="74" t="s">
        <v>459</v>
      </c>
      <c r="D84" s="78" t="s">
        <v>738</v>
      </c>
      <c r="E84" s="42"/>
      <c r="F84" s="74"/>
      <c r="G84" s="74" t="s">
        <v>566</v>
      </c>
      <c r="H84" s="44"/>
      <c r="I84" s="44" t="n">
        <v>14</v>
      </c>
      <c r="J84" s="103" t="n">
        <f aca="false">IF($C84="","",ROUND(IFERROR(INDEX(期初余额!$I$4:$I$43,MATCH($C84,期初余额!$H$4:$H$43,0)),0)+SUMIFS($H$4:$H84,$C$4:$C84,$C84)-SUMIFS($I$4:$I84,$C$4:$C84,$C84),2))</f>
        <v>4619.44</v>
      </c>
      <c r="K84" s="104" t="str">
        <f aca="false">IF($T84&lt;&gt;"",$T84,IF($C84="","",IF(AND(N($I84)&gt;0,$G84&lt;&gt;""),IF(IFERROR(INDEX(科目表!$U$4:$U$123,MATCH($G84,科目表!$M$4:$M$123,0)),"")&amp;""="","管理费用",INDEX(科目表!$U$4:$U$123,MATCH($G84,科目表!$M$4:$M$123,0))),IF(N($H84)&gt;0,IF(IFERROR(INDEX(自动规则!$C$4:$C$143,MATCH($F84,自动规则!$B$4:$B$143,0)),"")&amp;""="","其他应收款",INDEX(自动规则!$C$4:$C$143,MATCH($F84,自动规则!$B$4:$B$143,0))),IF(IFERROR(INDEX(自动规则!$D$4:$D$143,MATCH($F84,自动规则!$B$4:$B$143,0)),"")&amp;""="","其他应付款",INDEX(自动规则!$D$4:$D$143,MATCH($F84,自动规则!$B$4:$B$143,0)))))))</f>
        <v>管理费用</v>
      </c>
      <c r="L84" s="43"/>
      <c r="M84" s="105" t="str">
        <f aca="false">IF($C84="","",IF(IFERROR(INDEX(科目表!$T$4:$T$123,MATCH($C84,科目表!$K$4:$K$123,0)),"")&amp;""="","其他货币资金",INDEX(科目表!$T$4:$T$123,MATCH($C84,科目表!$K$4:$K$123,0))))</f>
        <v>其他货币资金</v>
      </c>
      <c r="N84" s="39" t="str">
        <f aca="false">IF(OR($C84="",ROUND(N($H84)+N($I84),2)=0),"",IF(N($H84)&gt;0,$M84,$K84))</f>
        <v>管理费用</v>
      </c>
      <c r="O84" s="41" t="n">
        <f aca="false">IF($N84="","",ROUND(N($H84)+N($I84),2))</f>
        <v>14</v>
      </c>
      <c r="P84" s="41" t="n">
        <f aca="false">IF($N84="","",0)</f>
        <v>0</v>
      </c>
      <c r="Q84" s="39" t="str">
        <f aca="false">IF($N84="","",IF(N($H84)&gt;0,$K84,$M84))</f>
        <v>其他货币资金</v>
      </c>
      <c r="R84" s="41" t="n">
        <f aca="false">IF($Q84="","",0)</f>
        <v>0</v>
      </c>
      <c r="S84" s="41" t="n">
        <f aca="false">IF($Q84="","",ROUND(N($H84)+N($I84),2))</f>
        <v>14</v>
      </c>
      <c r="T84" s="42"/>
      <c r="U84" s="44"/>
      <c r="V84" s="41" t="str">
        <f aca="false">IF($B84="","",TEXT($B84,"yyyy年m月"))</f>
        <v>2026年9月</v>
      </c>
      <c r="W84" s="42"/>
      <c r="X84" s="42"/>
      <c r="Y84" s="9"/>
    </row>
    <row r="85" customFormat="false" ht="18" hidden="false" customHeight="true" outlineLevel="0" collapsed="false">
      <c r="A85" s="9" t="n">
        <f aca="false">IF($C85="","",ROW()-3)</f>
        <v>82</v>
      </c>
      <c r="B85" s="76" t="n">
        <v>46281</v>
      </c>
      <c r="C85" s="74" t="s">
        <v>459</v>
      </c>
      <c r="D85" s="78" t="s">
        <v>739</v>
      </c>
      <c r="E85" s="42"/>
      <c r="F85" s="74"/>
      <c r="G85" s="74" t="s">
        <v>566</v>
      </c>
      <c r="H85" s="44"/>
      <c r="I85" s="44" t="n">
        <v>65</v>
      </c>
      <c r="J85" s="103" t="n">
        <f aca="false">IF($C85="","",ROUND(IFERROR(INDEX(期初余额!$I$4:$I$43,MATCH($C85,期初余额!$H$4:$H$43,0)),0)+SUMIFS($H$4:$H85,$C$4:$C85,$C85)-SUMIFS($I$4:$I85,$C$4:$C85,$C85),2))</f>
        <v>4554.44</v>
      </c>
      <c r="K85" s="104" t="str">
        <f aca="false">IF($T85&lt;&gt;"",$T85,IF($C85="","",IF(AND(N($I85)&gt;0,$G85&lt;&gt;""),IF(IFERROR(INDEX(科目表!$U$4:$U$123,MATCH($G85,科目表!$M$4:$M$123,0)),"")&amp;""="","管理费用",INDEX(科目表!$U$4:$U$123,MATCH($G85,科目表!$M$4:$M$123,0))),IF(N($H85)&gt;0,IF(IFERROR(INDEX(自动规则!$C$4:$C$143,MATCH($F85,自动规则!$B$4:$B$143,0)),"")&amp;""="","其他应收款",INDEX(自动规则!$C$4:$C$143,MATCH($F85,自动规则!$B$4:$B$143,0))),IF(IFERROR(INDEX(自动规则!$D$4:$D$143,MATCH($F85,自动规则!$B$4:$B$143,0)),"")&amp;""="","其他应付款",INDEX(自动规则!$D$4:$D$143,MATCH($F85,自动规则!$B$4:$B$143,0)))))))</f>
        <v>管理费用</v>
      </c>
      <c r="L85" s="43"/>
      <c r="M85" s="105" t="str">
        <f aca="false">IF($C85="","",IF(IFERROR(INDEX(科目表!$T$4:$T$123,MATCH($C85,科目表!$K$4:$K$123,0)),"")&amp;""="","其他货币资金",INDEX(科目表!$T$4:$T$123,MATCH($C85,科目表!$K$4:$K$123,0))))</f>
        <v>其他货币资金</v>
      </c>
      <c r="N85" s="39" t="str">
        <f aca="false">IF(OR($C85="",ROUND(N($H85)+N($I85),2)=0),"",IF(N($H85)&gt;0,$M85,$K85))</f>
        <v>管理费用</v>
      </c>
      <c r="O85" s="41" t="n">
        <f aca="false">IF($N85="","",ROUND(N($H85)+N($I85),2))</f>
        <v>65</v>
      </c>
      <c r="P85" s="41" t="n">
        <f aca="false">IF($N85="","",0)</f>
        <v>0</v>
      </c>
      <c r="Q85" s="39" t="str">
        <f aca="false">IF($N85="","",IF(N($H85)&gt;0,$K85,$M85))</f>
        <v>其他货币资金</v>
      </c>
      <c r="R85" s="41" t="n">
        <f aca="false">IF($Q85="","",0)</f>
        <v>0</v>
      </c>
      <c r="S85" s="41" t="n">
        <f aca="false">IF($Q85="","",ROUND(N($H85)+N($I85),2))</f>
        <v>65</v>
      </c>
      <c r="T85" s="42"/>
      <c r="U85" s="44"/>
      <c r="V85" s="41" t="str">
        <f aca="false">IF($B85="","",TEXT($B85,"yyyy年m月"))</f>
        <v>2026年9月</v>
      </c>
      <c r="W85" s="42"/>
      <c r="X85" s="42"/>
      <c r="Y85" s="9"/>
    </row>
    <row r="86" customFormat="false" ht="18" hidden="false" customHeight="true" outlineLevel="0" collapsed="false">
      <c r="A86" s="9" t="n">
        <f aca="false">IF($C86="","",ROW()-3)</f>
        <v>83</v>
      </c>
      <c r="B86" s="76" t="n">
        <v>46281</v>
      </c>
      <c r="C86" s="74" t="s">
        <v>459</v>
      </c>
      <c r="D86" s="78" t="s">
        <v>715</v>
      </c>
      <c r="E86" s="42"/>
      <c r="F86" s="74"/>
      <c r="G86" s="74" t="s">
        <v>676</v>
      </c>
      <c r="H86" s="44"/>
      <c r="I86" s="44" t="n">
        <v>9.6</v>
      </c>
      <c r="J86" s="103" t="n">
        <f aca="false">IF($C86="","",ROUND(IFERROR(INDEX(期初余额!$I$4:$I$43,MATCH($C86,期初余额!$H$4:$H$43,0)),0)+SUMIFS($H$4:$H86,$C$4:$C86,$C86)-SUMIFS($I$4:$I86,$C$4:$C86,$C86),2))</f>
        <v>4544.84</v>
      </c>
      <c r="K86" s="104" t="str">
        <f aca="false">IF($T86&lt;&gt;"",$T86,IF($C86="","",IF(AND(N($I86)&gt;0,$G86&lt;&gt;""),IF(IFERROR(INDEX(科目表!$U$4:$U$123,MATCH($G86,科目表!$M$4:$M$123,0)),"")&amp;""="","管理费用",INDEX(科目表!$U$4:$U$123,MATCH($G86,科目表!$M$4:$M$123,0))),IF(N($H86)&gt;0,IF(IFERROR(INDEX(自动规则!$C$4:$C$143,MATCH($F86,自动规则!$B$4:$B$143,0)),"")&amp;""="","其他应收款",INDEX(自动规则!$C$4:$C$143,MATCH($F86,自动规则!$B$4:$B$143,0))),IF(IFERROR(INDEX(自动规则!$D$4:$D$143,MATCH($F86,自动规则!$B$4:$B$143,0)),"")&amp;""="","其他应付款",INDEX(自动规则!$D$4:$D$143,MATCH($F86,自动规则!$B$4:$B$143,0)))))))</f>
        <v>管理费用</v>
      </c>
      <c r="L86" s="43"/>
      <c r="M86" s="105" t="str">
        <f aca="false">IF($C86="","",IF(IFERROR(INDEX(科目表!$T$4:$T$123,MATCH($C86,科目表!$K$4:$K$123,0)),"")&amp;""="","其他货币资金",INDEX(科目表!$T$4:$T$123,MATCH($C86,科目表!$K$4:$K$123,0))))</f>
        <v>其他货币资金</v>
      </c>
      <c r="N86" s="39" t="str">
        <f aca="false">IF(OR($C86="",ROUND(N($H86)+N($I86),2)=0),"",IF(N($H86)&gt;0,$M86,$K86))</f>
        <v>管理费用</v>
      </c>
      <c r="O86" s="41" t="n">
        <f aca="false">IF($N86="","",ROUND(N($H86)+N($I86),2))</f>
        <v>9.6</v>
      </c>
      <c r="P86" s="41" t="n">
        <f aca="false">IF($N86="","",0)</f>
        <v>0</v>
      </c>
      <c r="Q86" s="39" t="str">
        <f aca="false">IF($N86="","",IF(N($H86)&gt;0,$K86,$M86))</f>
        <v>其他货币资金</v>
      </c>
      <c r="R86" s="41" t="n">
        <f aca="false">IF($Q86="","",0)</f>
        <v>0</v>
      </c>
      <c r="S86" s="41" t="n">
        <f aca="false">IF($Q86="","",ROUND(N($H86)+N($I86),2))</f>
        <v>9.6</v>
      </c>
      <c r="T86" s="42"/>
      <c r="U86" s="44"/>
      <c r="V86" s="41" t="str">
        <f aca="false">IF($B86="","",TEXT($B86,"yyyy年m月"))</f>
        <v>2026年9月</v>
      </c>
      <c r="W86" s="42"/>
      <c r="X86" s="42"/>
      <c r="Y86" s="9"/>
    </row>
    <row r="87" customFormat="false" ht="18" hidden="false" customHeight="true" outlineLevel="0" collapsed="false">
      <c r="A87" s="9" t="n">
        <f aca="false">IF($C87="","",ROW()-3)</f>
        <v>84</v>
      </c>
      <c r="B87" s="76" t="n">
        <v>46281</v>
      </c>
      <c r="C87" s="74" t="s">
        <v>459</v>
      </c>
      <c r="D87" s="43"/>
      <c r="E87" s="42"/>
      <c r="F87" s="74"/>
      <c r="G87" s="74" t="s">
        <v>606</v>
      </c>
      <c r="H87" s="44"/>
      <c r="I87" s="44" t="n">
        <v>3</v>
      </c>
      <c r="J87" s="103" t="n">
        <f aca="false">IF($C87="","",ROUND(IFERROR(INDEX(期初余额!$I$4:$I$43,MATCH($C87,期初余额!$H$4:$H$43,0)),0)+SUMIFS($H$4:$H87,$C$4:$C87,$C87)-SUMIFS($I$4:$I87,$C$4:$C87,$C87),2))</f>
        <v>4541.84</v>
      </c>
      <c r="K87" s="104" t="str">
        <f aca="false">IF($T87&lt;&gt;"",$T87,IF($C87="","",IF(AND(N($I87)&gt;0,$G87&lt;&gt;""),IF(IFERROR(INDEX(科目表!$U$4:$U$123,MATCH($G87,科目表!$M$4:$M$123,0)),"")&amp;""="","管理费用",INDEX(科目表!$U$4:$U$123,MATCH($G87,科目表!$M$4:$M$123,0))),IF(N($H87)&gt;0,IF(IFERROR(INDEX(自动规则!$C$4:$C$143,MATCH($F87,自动规则!$B$4:$B$143,0)),"")&amp;""="","其他应收款",INDEX(自动规则!$C$4:$C$143,MATCH($F87,自动规则!$B$4:$B$143,0))),IF(IFERROR(INDEX(自动规则!$D$4:$D$143,MATCH($F87,自动规则!$B$4:$B$143,0)),"")&amp;""="","其他应付款",INDEX(自动规则!$D$4:$D$143,MATCH($F87,自动规则!$B$4:$B$143,0)))))))</f>
        <v>管理费用</v>
      </c>
      <c r="L87" s="43"/>
      <c r="M87" s="105" t="str">
        <f aca="false">IF($C87="","",IF(IFERROR(INDEX(科目表!$T$4:$T$123,MATCH($C87,科目表!$K$4:$K$123,0)),"")&amp;""="","其他货币资金",INDEX(科目表!$T$4:$T$123,MATCH($C87,科目表!$K$4:$K$123,0))))</f>
        <v>其他货币资金</v>
      </c>
      <c r="N87" s="39" t="str">
        <f aca="false">IF(OR($C87="",ROUND(N($H87)+N($I87),2)=0),"",IF(N($H87)&gt;0,$M87,$K87))</f>
        <v>管理费用</v>
      </c>
      <c r="O87" s="41" t="n">
        <f aca="false">IF($N87="","",ROUND(N($H87)+N($I87),2))</f>
        <v>3</v>
      </c>
      <c r="P87" s="41" t="n">
        <f aca="false">IF($N87="","",0)</f>
        <v>0</v>
      </c>
      <c r="Q87" s="39" t="str">
        <f aca="false">IF($N87="","",IF(N($H87)&gt;0,$K87,$M87))</f>
        <v>其他货币资金</v>
      </c>
      <c r="R87" s="41" t="n">
        <f aca="false">IF($Q87="","",0)</f>
        <v>0</v>
      </c>
      <c r="S87" s="41" t="n">
        <f aca="false">IF($Q87="","",ROUND(N($H87)+N($I87),2))</f>
        <v>3</v>
      </c>
      <c r="T87" s="42"/>
      <c r="U87" s="44"/>
      <c r="V87" s="41" t="str">
        <f aca="false">IF($B87="","",TEXT($B87,"yyyy年m月"))</f>
        <v>2026年9月</v>
      </c>
      <c r="W87" s="42"/>
      <c r="X87" s="42"/>
      <c r="Y87" s="9"/>
    </row>
    <row r="88" customFormat="false" ht="18" hidden="false" customHeight="true" outlineLevel="0" collapsed="false">
      <c r="A88" s="9" t="n">
        <f aca="false">IF($C88="","",ROW()-3)</f>
        <v>85</v>
      </c>
      <c r="B88" s="76" t="n">
        <v>46282</v>
      </c>
      <c r="C88" s="74" t="s">
        <v>459</v>
      </c>
      <c r="D88" s="78" t="s">
        <v>715</v>
      </c>
      <c r="E88" s="42"/>
      <c r="F88" s="74"/>
      <c r="G88" s="74" t="s">
        <v>676</v>
      </c>
      <c r="H88" s="44"/>
      <c r="I88" s="44" t="n">
        <v>20</v>
      </c>
      <c r="J88" s="103" t="n">
        <f aca="false">IF($C88="","",ROUND(IFERROR(INDEX(期初余额!$I$4:$I$43,MATCH($C88,期初余额!$H$4:$H$43,0)),0)+SUMIFS($H$4:$H88,$C$4:$C88,$C88)-SUMIFS($I$4:$I88,$C$4:$C88,$C88),2))</f>
        <v>4521.84</v>
      </c>
      <c r="K88" s="104" t="str">
        <f aca="false">IF($T88&lt;&gt;"",$T88,IF($C88="","",IF(AND(N($I88)&gt;0,$G88&lt;&gt;""),IF(IFERROR(INDEX(科目表!$U$4:$U$123,MATCH($G88,科目表!$M$4:$M$123,0)),"")&amp;""="","管理费用",INDEX(科目表!$U$4:$U$123,MATCH($G88,科目表!$M$4:$M$123,0))),IF(N($H88)&gt;0,IF(IFERROR(INDEX(自动规则!$C$4:$C$143,MATCH($F88,自动规则!$B$4:$B$143,0)),"")&amp;""="","其他应收款",INDEX(自动规则!$C$4:$C$143,MATCH($F88,自动规则!$B$4:$B$143,0))),IF(IFERROR(INDEX(自动规则!$D$4:$D$143,MATCH($F88,自动规则!$B$4:$B$143,0)),"")&amp;""="","其他应付款",INDEX(自动规则!$D$4:$D$143,MATCH($F88,自动规则!$B$4:$B$143,0)))))))</f>
        <v>管理费用</v>
      </c>
      <c r="L88" s="43"/>
      <c r="M88" s="105" t="str">
        <f aca="false">IF($C88="","",IF(IFERROR(INDEX(科目表!$T$4:$T$123,MATCH($C88,科目表!$K$4:$K$123,0)),"")&amp;""="","其他货币资金",INDEX(科目表!$T$4:$T$123,MATCH($C88,科目表!$K$4:$K$123,0))))</f>
        <v>其他货币资金</v>
      </c>
      <c r="N88" s="39" t="str">
        <f aca="false">IF(OR($C88="",ROUND(N($H88)+N($I88),2)=0),"",IF(N($H88)&gt;0,$M88,$K88))</f>
        <v>管理费用</v>
      </c>
      <c r="O88" s="41" t="n">
        <f aca="false">IF($N88="","",ROUND(N($H88)+N($I88),2))</f>
        <v>20</v>
      </c>
      <c r="P88" s="41" t="n">
        <f aca="false">IF($N88="","",0)</f>
        <v>0</v>
      </c>
      <c r="Q88" s="39" t="str">
        <f aca="false">IF($N88="","",IF(N($H88)&gt;0,$K88,$M88))</f>
        <v>其他货币资金</v>
      </c>
      <c r="R88" s="41" t="n">
        <f aca="false">IF($Q88="","",0)</f>
        <v>0</v>
      </c>
      <c r="S88" s="41" t="n">
        <f aca="false">IF($Q88="","",ROUND(N($H88)+N($I88),2))</f>
        <v>20</v>
      </c>
      <c r="T88" s="42"/>
      <c r="U88" s="44"/>
      <c r="V88" s="41" t="str">
        <f aca="false">IF($B88="","",TEXT($B88,"yyyy年m月"))</f>
        <v>2026年9月</v>
      </c>
      <c r="W88" s="42"/>
      <c r="X88" s="42"/>
      <c r="Y88" s="9"/>
    </row>
    <row r="89" customFormat="false" ht="18" hidden="false" customHeight="true" outlineLevel="0" collapsed="false">
      <c r="A89" s="9" t="n">
        <f aca="false">IF($C89="","",ROW()-3)</f>
        <v>86</v>
      </c>
      <c r="B89" s="76" t="n">
        <v>46282</v>
      </c>
      <c r="C89" s="74" t="s">
        <v>459</v>
      </c>
      <c r="D89" s="78" t="s">
        <v>740</v>
      </c>
      <c r="E89" s="42"/>
      <c r="F89" s="74"/>
      <c r="G89" s="74" t="s">
        <v>566</v>
      </c>
      <c r="H89" s="44"/>
      <c r="I89" s="44" t="n">
        <v>9.5</v>
      </c>
      <c r="J89" s="103" t="n">
        <f aca="false">IF($C89="","",ROUND(IFERROR(INDEX(期初余额!$I$4:$I$43,MATCH($C89,期初余额!$H$4:$H$43,0)),0)+SUMIFS($H$4:$H89,$C$4:$C89,$C89)-SUMIFS($I$4:$I89,$C$4:$C89,$C89),2))</f>
        <v>4512.34</v>
      </c>
      <c r="K89" s="104" t="str">
        <f aca="false">IF($T89&lt;&gt;"",$T89,IF($C89="","",IF(AND(N($I89)&gt;0,$G89&lt;&gt;""),IF(IFERROR(INDEX(科目表!$U$4:$U$123,MATCH($G89,科目表!$M$4:$M$123,0)),"")&amp;""="","管理费用",INDEX(科目表!$U$4:$U$123,MATCH($G89,科目表!$M$4:$M$123,0))),IF(N($H89)&gt;0,IF(IFERROR(INDEX(自动规则!$C$4:$C$143,MATCH($F89,自动规则!$B$4:$B$143,0)),"")&amp;""="","其他应收款",INDEX(自动规则!$C$4:$C$143,MATCH($F89,自动规则!$B$4:$B$143,0))),IF(IFERROR(INDEX(自动规则!$D$4:$D$143,MATCH($F89,自动规则!$B$4:$B$143,0)),"")&amp;""="","其他应付款",INDEX(自动规则!$D$4:$D$143,MATCH($F89,自动规则!$B$4:$B$143,0)))))))</f>
        <v>管理费用</v>
      </c>
      <c r="L89" s="43"/>
      <c r="M89" s="105" t="str">
        <f aca="false">IF($C89="","",IF(IFERROR(INDEX(科目表!$T$4:$T$123,MATCH($C89,科目表!$K$4:$K$123,0)),"")&amp;""="","其他货币资金",INDEX(科目表!$T$4:$T$123,MATCH($C89,科目表!$K$4:$K$123,0))))</f>
        <v>其他货币资金</v>
      </c>
      <c r="N89" s="39" t="str">
        <f aca="false">IF(OR($C89="",ROUND(N($H89)+N($I89),2)=0),"",IF(N($H89)&gt;0,$M89,$K89))</f>
        <v>管理费用</v>
      </c>
      <c r="O89" s="41" t="n">
        <f aca="false">IF($N89="","",ROUND(N($H89)+N($I89),2))</f>
        <v>9.5</v>
      </c>
      <c r="P89" s="41" t="n">
        <f aca="false">IF($N89="","",0)</f>
        <v>0</v>
      </c>
      <c r="Q89" s="39" t="str">
        <f aca="false">IF($N89="","",IF(N($H89)&gt;0,$K89,$M89))</f>
        <v>其他货币资金</v>
      </c>
      <c r="R89" s="41" t="n">
        <f aca="false">IF($Q89="","",0)</f>
        <v>0</v>
      </c>
      <c r="S89" s="41" t="n">
        <f aca="false">IF($Q89="","",ROUND(N($H89)+N($I89),2))</f>
        <v>9.5</v>
      </c>
      <c r="T89" s="42"/>
      <c r="U89" s="44"/>
      <c r="V89" s="41" t="str">
        <f aca="false">IF($B89="","",TEXT($B89,"yyyy年m月"))</f>
        <v>2026年9月</v>
      </c>
      <c r="W89" s="42"/>
      <c r="X89" s="42"/>
      <c r="Y89" s="9"/>
    </row>
    <row r="90" customFormat="false" ht="18" hidden="false" customHeight="true" outlineLevel="0" collapsed="false">
      <c r="A90" s="9" t="n">
        <f aca="false">IF($C90="","",ROW()-3)</f>
        <v>87</v>
      </c>
      <c r="B90" s="76" t="n">
        <v>46282</v>
      </c>
      <c r="C90" s="74" t="s">
        <v>459</v>
      </c>
      <c r="D90" s="78" t="s">
        <v>741</v>
      </c>
      <c r="E90" s="42"/>
      <c r="F90" s="74"/>
      <c r="G90" s="74" t="s">
        <v>566</v>
      </c>
      <c r="H90" s="44"/>
      <c r="I90" s="44" t="n">
        <v>41</v>
      </c>
      <c r="J90" s="103" t="n">
        <f aca="false">IF($C90="","",ROUND(IFERROR(INDEX(期初余额!$I$4:$I$43,MATCH($C90,期初余额!$H$4:$H$43,0)),0)+SUMIFS($H$4:$H90,$C$4:$C90,$C90)-SUMIFS($I$4:$I90,$C$4:$C90,$C90),2))</f>
        <v>4471.34</v>
      </c>
      <c r="K90" s="104" t="str">
        <f aca="false">IF($T90&lt;&gt;"",$T90,IF($C90="","",IF(AND(N($I90)&gt;0,$G90&lt;&gt;""),IF(IFERROR(INDEX(科目表!$U$4:$U$123,MATCH($G90,科目表!$M$4:$M$123,0)),"")&amp;""="","管理费用",INDEX(科目表!$U$4:$U$123,MATCH($G90,科目表!$M$4:$M$123,0))),IF(N($H90)&gt;0,IF(IFERROR(INDEX(自动规则!$C$4:$C$143,MATCH($F90,自动规则!$B$4:$B$143,0)),"")&amp;""="","其他应收款",INDEX(自动规则!$C$4:$C$143,MATCH($F90,自动规则!$B$4:$B$143,0))),IF(IFERROR(INDEX(自动规则!$D$4:$D$143,MATCH($F90,自动规则!$B$4:$B$143,0)),"")&amp;""="","其他应付款",INDEX(自动规则!$D$4:$D$143,MATCH($F90,自动规则!$B$4:$B$143,0)))))))</f>
        <v>管理费用</v>
      </c>
      <c r="L90" s="43"/>
      <c r="M90" s="105" t="str">
        <f aca="false">IF($C90="","",IF(IFERROR(INDEX(科目表!$T$4:$T$123,MATCH($C90,科目表!$K$4:$K$123,0)),"")&amp;""="","其他货币资金",INDEX(科目表!$T$4:$T$123,MATCH($C90,科目表!$K$4:$K$123,0))))</f>
        <v>其他货币资金</v>
      </c>
      <c r="N90" s="39" t="str">
        <f aca="false">IF(OR($C90="",ROUND(N($H90)+N($I90),2)=0),"",IF(N($H90)&gt;0,$M90,$K90))</f>
        <v>管理费用</v>
      </c>
      <c r="O90" s="41" t="n">
        <f aca="false">IF($N90="","",ROUND(N($H90)+N($I90),2))</f>
        <v>41</v>
      </c>
      <c r="P90" s="41" t="n">
        <f aca="false">IF($N90="","",0)</f>
        <v>0</v>
      </c>
      <c r="Q90" s="39" t="str">
        <f aca="false">IF($N90="","",IF(N($H90)&gt;0,$K90,$M90))</f>
        <v>其他货币资金</v>
      </c>
      <c r="R90" s="41" t="n">
        <f aca="false">IF($Q90="","",0)</f>
        <v>0</v>
      </c>
      <c r="S90" s="41" t="n">
        <f aca="false">IF($Q90="","",ROUND(N($H90)+N($I90),2))</f>
        <v>41</v>
      </c>
      <c r="T90" s="42"/>
      <c r="U90" s="44"/>
      <c r="V90" s="41" t="str">
        <f aca="false">IF($B90="","",TEXT($B90,"yyyy年m月"))</f>
        <v>2026年9月</v>
      </c>
      <c r="W90" s="42"/>
      <c r="X90" s="42"/>
      <c r="Y90" s="9"/>
    </row>
    <row r="91" customFormat="false" ht="18" hidden="false" customHeight="true" outlineLevel="0" collapsed="false">
      <c r="A91" s="9" t="n">
        <f aca="false">IF($C91="","",ROW()-3)</f>
        <v>88</v>
      </c>
      <c r="B91" s="76" t="n">
        <v>46282</v>
      </c>
      <c r="C91" s="74" t="s">
        <v>459</v>
      </c>
      <c r="D91" s="78" t="s">
        <v>742</v>
      </c>
      <c r="E91" s="42"/>
      <c r="F91" s="74"/>
      <c r="G91" s="74" t="s">
        <v>402</v>
      </c>
      <c r="H91" s="44"/>
      <c r="I91" s="44" t="n">
        <v>1</v>
      </c>
      <c r="J91" s="103" t="n">
        <f aca="false">IF($C91="","",ROUND(IFERROR(INDEX(期初余额!$I$4:$I$43,MATCH($C91,期初余额!$H$4:$H$43,0)),0)+SUMIFS($H$4:$H91,$C$4:$C91,$C91)-SUMIFS($I$4:$I91,$C$4:$C91,$C91),2))</f>
        <v>4470.34</v>
      </c>
      <c r="K91" s="104" t="str">
        <f aca="false">IF($T91&lt;&gt;"",$T91,IF($C91="","",IF(AND(N($I91)&gt;0,$G91&lt;&gt;""),IF(IFERROR(INDEX(科目表!$U$4:$U$123,MATCH($G91,科目表!$M$4:$M$123,0)),"")&amp;""="","管理费用",INDEX(科目表!$U$4:$U$123,MATCH($G91,科目表!$M$4:$M$123,0))),IF(N($H91)&gt;0,IF(IFERROR(INDEX(自动规则!$C$4:$C$143,MATCH($F91,自动规则!$B$4:$B$143,0)),"")&amp;""="","其他应收款",INDEX(自动规则!$C$4:$C$143,MATCH($F91,自动规则!$B$4:$B$143,0))),IF(IFERROR(INDEX(自动规则!$D$4:$D$143,MATCH($F91,自动规则!$B$4:$B$143,0)),"")&amp;""="","其他应付款",INDEX(自动规则!$D$4:$D$143,MATCH($F91,自动规则!$B$4:$B$143,0)))))))</f>
        <v>其他应收款</v>
      </c>
      <c r="L91" s="43"/>
      <c r="M91" s="105" t="str">
        <f aca="false">IF($C91="","",IF(IFERROR(INDEX(科目表!$T$4:$T$123,MATCH($C91,科目表!$K$4:$K$123,0)),"")&amp;""="","其他货币资金",INDEX(科目表!$T$4:$T$123,MATCH($C91,科目表!$K$4:$K$123,0))))</f>
        <v>其他货币资金</v>
      </c>
      <c r="N91" s="39" t="str">
        <f aca="false">IF(OR($C91="",ROUND(N($H91)+N($I91),2)=0),"",IF(N($H91)&gt;0,$M91,$K91))</f>
        <v>其他应收款</v>
      </c>
      <c r="O91" s="41" t="n">
        <f aca="false">IF($N91="","",ROUND(N($H91)+N($I91),2))</f>
        <v>1</v>
      </c>
      <c r="P91" s="41" t="n">
        <f aca="false">IF($N91="","",0)</f>
        <v>0</v>
      </c>
      <c r="Q91" s="39" t="str">
        <f aca="false">IF($N91="","",IF(N($H91)&gt;0,$K91,$M91))</f>
        <v>其他货币资金</v>
      </c>
      <c r="R91" s="41" t="n">
        <f aca="false">IF($Q91="","",0)</f>
        <v>0</v>
      </c>
      <c r="S91" s="41" t="n">
        <f aca="false">IF($Q91="","",ROUND(N($H91)+N($I91),2))</f>
        <v>1</v>
      </c>
      <c r="T91" s="42"/>
      <c r="U91" s="44"/>
      <c r="V91" s="41" t="str">
        <f aca="false">IF($B91="","",TEXT($B91,"yyyy年m月"))</f>
        <v>2026年9月</v>
      </c>
      <c r="W91" s="42"/>
      <c r="X91" s="42"/>
      <c r="Y91" s="9"/>
    </row>
    <row r="92" customFormat="false" ht="18" hidden="false" customHeight="true" outlineLevel="0" collapsed="false">
      <c r="A92" s="9" t="n">
        <f aca="false">IF($C92="","",ROW()-3)</f>
        <v>89</v>
      </c>
      <c r="B92" s="76" t="n">
        <v>46282</v>
      </c>
      <c r="C92" s="74" t="s">
        <v>459</v>
      </c>
      <c r="D92" s="78" t="s">
        <v>715</v>
      </c>
      <c r="E92" s="42"/>
      <c r="F92" s="74"/>
      <c r="G92" s="74" t="s">
        <v>676</v>
      </c>
      <c r="H92" s="44"/>
      <c r="I92" s="44" t="n">
        <v>5</v>
      </c>
      <c r="J92" s="103" t="n">
        <f aca="false">IF($C92="","",ROUND(IFERROR(INDEX(期初余额!$I$4:$I$43,MATCH($C92,期初余额!$H$4:$H$43,0)),0)+SUMIFS($H$4:$H92,$C$4:$C92,$C92)-SUMIFS($I$4:$I92,$C$4:$C92,$C92),2))</f>
        <v>4465.34</v>
      </c>
      <c r="K92" s="104" t="str">
        <f aca="false">IF($T92&lt;&gt;"",$T92,IF($C92="","",IF(AND(N($I92)&gt;0,$G92&lt;&gt;""),IF(IFERROR(INDEX(科目表!$U$4:$U$123,MATCH($G92,科目表!$M$4:$M$123,0)),"")&amp;""="","管理费用",INDEX(科目表!$U$4:$U$123,MATCH($G92,科目表!$M$4:$M$123,0))),IF(N($H92)&gt;0,IF(IFERROR(INDEX(自动规则!$C$4:$C$143,MATCH($F92,自动规则!$B$4:$B$143,0)),"")&amp;""="","其他应收款",INDEX(自动规则!$C$4:$C$143,MATCH($F92,自动规则!$B$4:$B$143,0))),IF(IFERROR(INDEX(自动规则!$D$4:$D$143,MATCH($F92,自动规则!$B$4:$B$143,0)),"")&amp;""="","其他应付款",INDEX(自动规则!$D$4:$D$143,MATCH($F92,自动规则!$B$4:$B$143,0)))))))</f>
        <v>管理费用</v>
      </c>
      <c r="L92" s="43"/>
      <c r="M92" s="105" t="str">
        <f aca="false">IF($C92="","",IF(IFERROR(INDEX(科目表!$T$4:$T$123,MATCH($C92,科目表!$K$4:$K$123,0)),"")&amp;""="","其他货币资金",INDEX(科目表!$T$4:$T$123,MATCH($C92,科目表!$K$4:$K$123,0))))</f>
        <v>其他货币资金</v>
      </c>
      <c r="N92" s="39" t="str">
        <f aca="false">IF(OR($C92="",ROUND(N($H92)+N($I92),2)=0),"",IF(N($H92)&gt;0,$M92,$K92))</f>
        <v>管理费用</v>
      </c>
      <c r="O92" s="41" t="n">
        <f aca="false">IF($N92="","",ROUND(N($H92)+N($I92),2))</f>
        <v>5</v>
      </c>
      <c r="P92" s="41" t="n">
        <f aca="false">IF($N92="","",0)</f>
        <v>0</v>
      </c>
      <c r="Q92" s="39" t="str">
        <f aca="false">IF($N92="","",IF(N($H92)&gt;0,$K92,$M92))</f>
        <v>其他货币资金</v>
      </c>
      <c r="R92" s="41" t="n">
        <f aca="false">IF($Q92="","",0)</f>
        <v>0</v>
      </c>
      <c r="S92" s="41" t="n">
        <f aca="false">IF($Q92="","",ROUND(N($H92)+N($I92),2))</f>
        <v>5</v>
      </c>
      <c r="T92" s="42"/>
      <c r="U92" s="44"/>
      <c r="V92" s="41" t="str">
        <f aca="false">IF($B92="","",TEXT($B92,"yyyy年m月"))</f>
        <v>2026年9月</v>
      </c>
      <c r="W92" s="42"/>
      <c r="X92" s="42"/>
      <c r="Y92" s="9"/>
    </row>
    <row r="93" customFormat="false" ht="18" hidden="false" customHeight="true" outlineLevel="0" collapsed="false">
      <c r="A93" s="9" t="n">
        <f aca="false">IF($C93="","",ROW()-3)</f>
        <v>90</v>
      </c>
      <c r="B93" s="76" t="n">
        <v>46282</v>
      </c>
      <c r="C93" s="74" t="s">
        <v>459</v>
      </c>
      <c r="D93" s="78" t="s">
        <v>715</v>
      </c>
      <c r="E93" s="42"/>
      <c r="F93" s="74"/>
      <c r="G93" s="74" t="s">
        <v>676</v>
      </c>
      <c r="H93" s="44"/>
      <c r="I93" s="44" t="n">
        <v>15</v>
      </c>
      <c r="J93" s="103" t="n">
        <f aca="false">IF($C93="","",ROUND(IFERROR(INDEX(期初余额!$I$4:$I$43,MATCH($C93,期初余额!$H$4:$H$43,0)),0)+SUMIFS($H$4:$H93,$C$4:$C93,$C93)-SUMIFS($I$4:$I93,$C$4:$C93,$C93),2))</f>
        <v>4450.34</v>
      </c>
      <c r="K93" s="104" t="str">
        <f aca="false">IF($T93&lt;&gt;"",$T93,IF($C93="","",IF(AND(N($I93)&gt;0,$G93&lt;&gt;""),IF(IFERROR(INDEX(科目表!$U$4:$U$123,MATCH($G93,科目表!$M$4:$M$123,0)),"")&amp;""="","管理费用",INDEX(科目表!$U$4:$U$123,MATCH($G93,科目表!$M$4:$M$123,0))),IF(N($H93)&gt;0,IF(IFERROR(INDEX(自动规则!$C$4:$C$143,MATCH($F93,自动规则!$B$4:$B$143,0)),"")&amp;""="","其他应收款",INDEX(自动规则!$C$4:$C$143,MATCH($F93,自动规则!$B$4:$B$143,0))),IF(IFERROR(INDEX(自动规则!$D$4:$D$143,MATCH($F93,自动规则!$B$4:$B$143,0)),"")&amp;""="","其他应付款",INDEX(自动规则!$D$4:$D$143,MATCH($F93,自动规则!$B$4:$B$143,0)))))))</f>
        <v>管理费用</v>
      </c>
      <c r="L93" s="43"/>
      <c r="M93" s="105" t="str">
        <f aca="false">IF($C93="","",IF(IFERROR(INDEX(科目表!$T$4:$T$123,MATCH($C93,科目表!$K$4:$K$123,0)),"")&amp;""="","其他货币资金",INDEX(科目表!$T$4:$T$123,MATCH($C93,科目表!$K$4:$K$123,0))))</f>
        <v>其他货币资金</v>
      </c>
      <c r="N93" s="39" t="str">
        <f aca="false">IF(OR($C93="",ROUND(N($H93)+N($I93),2)=0),"",IF(N($H93)&gt;0,$M93,$K93))</f>
        <v>管理费用</v>
      </c>
      <c r="O93" s="41" t="n">
        <f aca="false">IF($N93="","",ROUND(N($H93)+N($I93),2))</f>
        <v>15</v>
      </c>
      <c r="P93" s="41" t="n">
        <f aca="false">IF($N93="","",0)</f>
        <v>0</v>
      </c>
      <c r="Q93" s="39" t="str">
        <f aca="false">IF($N93="","",IF(N($H93)&gt;0,$K93,$M93))</f>
        <v>其他货币资金</v>
      </c>
      <c r="R93" s="41" t="n">
        <f aca="false">IF($Q93="","",0)</f>
        <v>0</v>
      </c>
      <c r="S93" s="41" t="n">
        <f aca="false">IF($Q93="","",ROUND(N($H93)+N($I93),2))</f>
        <v>15</v>
      </c>
      <c r="T93" s="42"/>
      <c r="U93" s="44"/>
      <c r="V93" s="41" t="str">
        <f aca="false">IF($B93="","",TEXT($B93,"yyyy年m月"))</f>
        <v>2026年9月</v>
      </c>
      <c r="W93" s="42"/>
      <c r="X93" s="42"/>
      <c r="Y93" s="9"/>
    </row>
    <row r="94" customFormat="false" ht="18" hidden="false" customHeight="true" outlineLevel="0" collapsed="false">
      <c r="A94" s="9" t="n">
        <f aca="false">IF($C94="","",ROW()-3)</f>
        <v>91</v>
      </c>
      <c r="B94" s="76" t="n">
        <v>46282</v>
      </c>
      <c r="C94" s="74" t="s">
        <v>459</v>
      </c>
      <c r="D94" s="43"/>
      <c r="E94" s="42"/>
      <c r="F94" s="74"/>
      <c r="G94" s="74" t="s">
        <v>644</v>
      </c>
      <c r="H94" s="44"/>
      <c r="I94" s="44" t="n">
        <v>32.85</v>
      </c>
      <c r="J94" s="103" t="n">
        <f aca="false">IF($C94="","",ROUND(IFERROR(INDEX(期初余额!$I$4:$I$43,MATCH($C94,期初余额!$H$4:$H$43,0)),0)+SUMIFS($H$4:$H94,$C$4:$C94,$C94)-SUMIFS($I$4:$I94,$C$4:$C94,$C94),2))</f>
        <v>4417.49</v>
      </c>
      <c r="K94" s="104" t="str">
        <f aca="false">IF($T94&lt;&gt;"",$T94,IF($C94="","",IF(AND(N($I94)&gt;0,$G94&lt;&gt;""),IF(IFERROR(INDEX(科目表!$U$4:$U$123,MATCH($G94,科目表!$M$4:$M$123,0)),"")&amp;""="","管理费用",INDEX(科目表!$U$4:$U$123,MATCH($G94,科目表!$M$4:$M$123,0))),IF(N($H94)&gt;0,IF(IFERROR(INDEX(自动规则!$C$4:$C$143,MATCH($F94,自动规则!$B$4:$B$143,0)),"")&amp;""="","其他应收款",INDEX(自动规则!$C$4:$C$143,MATCH($F94,自动规则!$B$4:$B$143,0))),IF(IFERROR(INDEX(自动规则!$D$4:$D$143,MATCH($F94,自动规则!$B$4:$B$143,0)),"")&amp;""="","其他应付款",INDEX(自动规则!$D$4:$D$143,MATCH($F94,自动规则!$B$4:$B$143,0)))))))</f>
        <v>管理费用</v>
      </c>
      <c r="L94" s="43"/>
      <c r="M94" s="105" t="str">
        <f aca="false">IF($C94="","",IF(IFERROR(INDEX(科目表!$T$4:$T$123,MATCH($C94,科目表!$K$4:$K$123,0)),"")&amp;""="","其他货币资金",INDEX(科目表!$T$4:$T$123,MATCH($C94,科目表!$K$4:$K$123,0))))</f>
        <v>其他货币资金</v>
      </c>
      <c r="N94" s="39" t="str">
        <f aca="false">IF(OR($C94="",ROUND(N($H94)+N($I94),2)=0),"",IF(N($H94)&gt;0,$M94,$K94))</f>
        <v>管理费用</v>
      </c>
      <c r="O94" s="41" t="n">
        <f aca="false">IF($N94="","",ROUND(N($H94)+N($I94),2))</f>
        <v>32.85</v>
      </c>
      <c r="P94" s="41" t="n">
        <f aca="false">IF($N94="","",0)</f>
        <v>0</v>
      </c>
      <c r="Q94" s="39" t="str">
        <f aca="false">IF($N94="","",IF(N($H94)&gt;0,$K94,$M94))</f>
        <v>其他货币资金</v>
      </c>
      <c r="R94" s="41" t="n">
        <f aca="false">IF($Q94="","",0)</f>
        <v>0</v>
      </c>
      <c r="S94" s="41" t="n">
        <f aca="false">IF($Q94="","",ROUND(N($H94)+N($I94),2))</f>
        <v>32.85</v>
      </c>
      <c r="T94" s="42"/>
      <c r="U94" s="44"/>
      <c r="V94" s="41" t="str">
        <f aca="false">IF($B94="","",TEXT($B94,"yyyy年m月"))</f>
        <v>2026年9月</v>
      </c>
      <c r="W94" s="42"/>
      <c r="X94" s="42"/>
      <c r="Y94" s="9"/>
    </row>
    <row r="95" customFormat="false" ht="18" hidden="false" customHeight="true" outlineLevel="0" collapsed="false">
      <c r="A95" s="9" t="n">
        <f aca="false">IF($C95="","",ROW()-3)</f>
        <v>92</v>
      </c>
      <c r="B95" s="76" t="n">
        <v>46267</v>
      </c>
      <c r="C95" s="74" t="s">
        <v>464</v>
      </c>
      <c r="D95" s="43"/>
      <c r="E95" s="42"/>
      <c r="F95" s="74"/>
      <c r="G95" s="74" t="s">
        <v>681</v>
      </c>
      <c r="H95" s="44"/>
      <c r="I95" s="44" t="n">
        <v>700</v>
      </c>
      <c r="J95" s="103" t="n">
        <f aca="false">IF($C95="","",ROUND(IFERROR(INDEX(期初余额!$I$4:$I$43,MATCH($C95,期初余额!$H$4:$H$43,0)),0)+SUMIFS($H$4:$H95,$C$4:$C95,$C95)-SUMIFS($I$4:$I95,$C$4:$C95,$C95),2))</f>
        <v>98317</v>
      </c>
      <c r="K95" s="104" t="str">
        <f aca="false">IF($T95&lt;&gt;"",$T95,IF($C95="","",IF(AND(N($I95)&gt;0,$G95&lt;&gt;""),IF(IFERROR(INDEX(科目表!$U$4:$U$123,MATCH($G95,科目表!$M$4:$M$123,0)),"")&amp;""="","管理费用",INDEX(科目表!$U$4:$U$123,MATCH($G95,科目表!$M$4:$M$123,0))),IF(N($H95)&gt;0,IF(IFERROR(INDEX(自动规则!$C$4:$C$143,MATCH($F95,自动规则!$B$4:$B$143,0)),"")&amp;""="","其他应收款",INDEX(自动规则!$C$4:$C$143,MATCH($F95,自动规则!$B$4:$B$143,0))),IF(IFERROR(INDEX(自动规则!$D$4:$D$143,MATCH($F95,自动规则!$B$4:$B$143,0)),"")&amp;""="","其他应付款",INDEX(自动规则!$D$4:$D$143,MATCH($F95,自动规则!$B$4:$B$143,0)))))))</f>
        <v>管理费用</v>
      </c>
      <c r="L95" s="43"/>
      <c r="M95" s="105" t="str">
        <f aca="false">IF($C95="","",IF(IFERROR(INDEX(科目表!$T$4:$T$123,MATCH($C95,科目表!$K$4:$K$123,0)),"")&amp;""="","其他货币资金",INDEX(科目表!$T$4:$T$123,MATCH($C95,科目表!$K$4:$K$123,0))))</f>
        <v>其他货币资金</v>
      </c>
      <c r="N95" s="39" t="str">
        <f aca="false">IF(OR($C95="",ROUND(N($H95)+N($I95),2)=0),"",IF(N($H95)&gt;0,$M95,$K95))</f>
        <v>管理费用</v>
      </c>
      <c r="O95" s="41" t="n">
        <f aca="false">IF($N95="","",ROUND(N($H95)+N($I95),2))</f>
        <v>700</v>
      </c>
      <c r="P95" s="41" t="n">
        <f aca="false">IF($N95="","",0)</f>
        <v>0</v>
      </c>
      <c r="Q95" s="39" t="str">
        <f aca="false">IF($N95="","",IF(N($H95)&gt;0,$K95,$M95))</f>
        <v>其他货币资金</v>
      </c>
      <c r="R95" s="41" t="n">
        <f aca="false">IF($Q95="","",0)</f>
        <v>0</v>
      </c>
      <c r="S95" s="41" t="n">
        <f aca="false">IF($Q95="","",ROUND(N($H95)+N($I95),2))</f>
        <v>700</v>
      </c>
      <c r="T95" s="42"/>
      <c r="U95" s="44"/>
      <c r="V95" s="41" t="str">
        <f aca="false">IF($B95="","",TEXT($B95,"yyyy年m月"))</f>
        <v>2026年9月</v>
      </c>
      <c r="W95" s="42"/>
      <c r="X95" s="42"/>
      <c r="Y95" s="9"/>
    </row>
    <row r="96" customFormat="false" ht="18" hidden="false" customHeight="true" outlineLevel="0" collapsed="false">
      <c r="A96" s="9" t="n">
        <f aca="false">IF($C96="","",ROW()-3)</f>
        <v>93</v>
      </c>
      <c r="B96" s="76" t="n">
        <v>46267</v>
      </c>
      <c r="C96" s="74" t="s">
        <v>464</v>
      </c>
      <c r="D96" s="78" t="s">
        <v>743</v>
      </c>
      <c r="E96" s="74" t="s">
        <v>485</v>
      </c>
      <c r="F96" s="74" t="s">
        <v>415</v>
      </c>
      <c r="G96" s="74"/>
      <c r="H96" s="44" t="n">
        <v>2000</v>
      </c>
      <c r="I96" s="44"/>
      <c r="J96" s="103" t="n">
        <f aca="false">IF($C96="","",ROUND(IFERROR(INDEX(期初余额!$I$4:$I$43,MATCH($C96,期初余额!$H$4:$H$43,0)),0)+SUMIFS($H$4:$H96,$C$4:$C96,$C96)-SUMIFS($I$4:$I96,$C$4:$C96,$C96),2))</f>
        <v>100317</v>
      </c>
      <c r="K96" s="104" t="str">
        <f aca="false">IF($T96&lt;&gt;"",$T96,IF($C96="","",IF(AND(N($I96)&gt;0,$G96&lt;&gt;""),IF(IFERROR(INDEX(科目表!$U$4:$U$123,MATCH($G96,科目表!$M$4:$M$123,0)),"")&amp;""="","管理费用",INDEX(科目表!$U$4:$U$123,MATCH($G96,科目表!$M$4:$M$123,0))),IF(N($H96)&gt;0,IF(IFERROR(INDEX(自动规则!$C$4:$C$143,MATCH($F96,自动规则!$B$4:$B$143,0)),"")&amp;""="","其他应收款",INDEX(自动规则!$C$4:$C$143,MATCH($F96,自动规则!$B$4:$B$143,0))),IF(IFERROR(INDEX(自动规则!$D$4:$D$143,MATCH($F96,自动规则!$B$4:$B$143,0)),"")&amp;""="","其他应付款",INDEX(自动规则!$D$4:$D$143,MATCH($F96,自动规则!$B$4:$B$143,0)))))))</f>
        <v>预付账款</v>
      </c>
      <c r="L96" s="43"/>
      <c r="M96" s="105" t="str">
        <f aca="false">IF($C96="","",IF(IFERROR(INDEX(科目表!$T$4:$T$123,MATCH($C96,科目表!$K$4:$K$123,0)),"")&amp;""="","其他货币资金",INDEX(科目表!$T$4:$T$123,MATCH($C96,科目表!$K$4:$K$123,0))))</f>
        <v>其他货币资金</v>
      </c>
      <c r="N96" s="39" t="str">
        <f aca="false">IF(OR($C96="",ROUND(N($H96)+N($I96),2)=0),"",IF(N($H96)&gt;0,$M96,$K96))</f>
        <v>其他货币资金</v>
      </c>
      <c r="O96" s="41" t="n">
        <f aca="false">IF($N96="","",ROUND(N($H96)+N($I96),2))</f>
        <v>2000</v>
      </c>
      <c r="P96" s="41" t="n">
        <f aca="false">IF($N96="","",0)</f>
        <v>0</v>
      </c>
      <c r="Q96" s="39" t="str">
        <f aca="false">IF($N96="","",IF(N($H96)&gt;0,$K96,$M96))</f>
        <v>预付账款</v>
      </c>
      <c r="R96" s="41" t="n">
        <f aca="false">IF($Q96="","",0)</f>
        <v>0</v>
      </c>
      <c r="S96" s="41" t="n">
        <f aca="false">IF($Q96="","",ROUND(N($H96)+N($I96),2))</f>
        <v>2000</v>
      </c>
      <c r="T96" s="42"/>
      <c r="U96" s="44"/>
      <c r="V96" s="41" t="str">
        <f aca="false">IF($B96="","",TEXT($B96,"yyyy年m月"))</f>
        <v>2026年9月</v>
      </c>
      <c r="W96" s="42"/>
      <c r="X96" s="42"/>
      <c r="Y96" s="9"/>
    </row>
    <row r="97" customFormat="false" ht="18" hidden="false" customHeight="true" outlineLevel="0" collapsed="false">
      <c r="A97" s="9" t="n">
        <f aca="false">IF($C97="","",ROW()-3)</f>
        <v>94</v>
      </c>
      <c r="B97" s="76" t="n">
        <v>46267</v>
      </c>
      <c r="C97" s="74" t="s">
        <v>464</v>
      </c>
      <c r="D97" s="78" t="s">
        <v>744</v>
      </c>
      <c r="E97" s="42"/>
      <c r="F97" s="74" t="s">
        <v>296</v>
      </c>
      <c r="G97" s="74"/>
      <c r="H97" s="44" t="n">
        <v>3000</v>
      </c>
      <c r="I97" s="44"/>
      <c r="J97" s="103" t="n">
        <f aca="false">IF($C97="","",ROUND(IFERROR(INDEX(期初余额!$I$4:$I$43,MATCH($C97,期初余额!$H$4:$H$43,0)),0)+SUMIFS($H$4:$H97,$C$4:$C97,$C97)-SUMIFS($I$4:$I97,$C$4:$C97,$C97),2))</f>
        <v>103317</v>
      </c>
      <c r="K97" s="104" t="str">
        <f aca="false">IF($T97&lt;&gt;"",$T97,IF($C97="","",IF(AND(N($I97)&gt;0,$G97&lt;&gt;""),IF(IFERROR(INDEX(科目表!$U$4:$U$123,MATCH($G97,科目表!$M$4:$M$123,0)),"")&amp;""="","管理费用",INDEX(科目表!$U$4:$U$123,MATCH($G97,科目表!$M$4:$M$123,0))),IF(N($H97)&gt;0,IF(IFERROR(INDEX(自动规则!$C$4:$C$143,MATCH($F97,自动规则!$B$4:$B$143,0)),"")&amp;""="","其他应收款",INDEX(自动规则!$C$4:$C$143,MATCH($F97,自动规则!$B$4:$B$143,0))),IF(IFERROR(INDEX(自动规则!$D$4:$D$143,MATCH($F97,自动规则!$B$4:$B$143,0)),"")&amp;""="","其他应付款",INDEX(自动规则!$D$4:$D$143,MATCH($F97,自动规则!$B$4:$B$143,0)))))))</f>
        <v>其他应付款</v>
      </c>
      <c r="L97" s="43"/>
      <c r="M97" s="105" t="str">
        <f aca="false">IF($C97="","",IF(IFERROR(INDEX(科目表!$T$4:$T$123,MATCH($C97,科目表!$K$4:$K$123,0)),"")&amp;""="","其他货币资金",INDEX(科目表!$T$4:$T$123,MATCH($C97,科目表!$K$4:$K$123,0))))</f>
        <v>其他货币资金</v>
      </c>
      <c r="N97" s="39" t="str">
        <f aca="false">IF(OR($C97="",ROUND(N($H97)+N($I97),2)=0),"",IF(N($H97)&gt;0,$M97,$K97))</f>
        <v>其他货币资金</v>
      </c>
      <c r="O97" s="41" t="n">
        <f aca="false">IF($N97="","",ROUND(N($H97)+N($I97),2))</f>
        <v>3000</v>
      </c>
      <c r="P97" s="41" t="n">
        <f aca="false">IF($N97="","",0)</f>
        <v>0</v>
      </c>
      <c r="Q97" s="39" t="str">
        <f aca="false">IF($N97="","",IF(N($H97)&gt;0,$K97,$M97))</f>
        <v>其他应付款</v>
      </c>
      <c r="R97" s="41" t="n">
        <f aca="false">IF($Q97="","",0)</f>
        <v>0</v>
      </c>
      <c r="S97" s="41" t="n">
        <f aca="false">IF($Q97="","",ROUND(N($H97)+N($I97),2))</f>
        <v>3000</v>
      </c>
      <c r="T97" s="42"/>
      <c r="U97" s="44"/>
      <c r="V97" s="41" t="str">
        <f aca="false">IF($B97="","",TEXT($B97,"yyyy年m月"))</f>
        <v>2026年9月</v>
      </c>
      <c r="W97" s="42"/>
      <c r="X97" s="42"/>
      <c r="Y97" s="9"/>
    </row>
    <row r="98" customFormat="false" ht="18" hidden="false" customHeight="true" outlineLevel="0" collapsed="false">
      <c r="A98" s="9" t="n">
        <f aca="false">IF($C98="","",ROW()-3)</f>
        <v>95</v>
      </c>
      <c r="B98" s="76" t="n">
        <v>46267</v>
      </c>
      <c r="C98" s="74" t="s">
        <v>464</v>
      </c>
      <c r="D98" s="78" t="s">
        <v>745</v>
      </c>
      <c r="E98" s="42"/>
      <c r="F98" s="74" t="s">
        <v>296</v>
      </c>
      <c r="G98" s="74"/>
      <c r="H98" s="44" t="n">
        <v>2000</v>
      </c>
      <c r="I98" s="44"/>
      <c r="J98" s="103" t="n">
        <f aca="false">IF($C98="","",ROUND(IFERROR(INDEX(期初余额!$I$4:$I$43,MATCH($C98,期初余额!$H$4:$H$43,0)),0)+SUMIFS($H$4:$H98,$C$4:$C98,$C98)-SUMIFS($I$4:$I98,$C$4:$C98,$C98),2))</f>
        <v>105317</v>
      </c>
      <c r="K98" s="104" t="str">
        <f aca="false">IF($T98&lt;&gt;"",$T98,IF($C98="","",IF(AND(N($I98)&gt;0,$G98&lt;&gt;""),IF(IFERROR(INDEX(科目表!$U$4:$U$123,MATCH($G98,科目表!$M$4:$M$123,0)),"")&amp;""="","管理费用",INDEX(科目表!$U$4:$U$123,MATCH($G98,科目表!$M$4:$M$123,0))),IF(N($H98)&gt;0,IF(IFERROR(INDEX(自动规则!$C$4:$C$143,MATCH($F98,自动规则!$B$4:$B$143,0)),"")&amp;""="","其他应收款",INDEX(自动规则!$C$4:$C$143,MATCH($F98,自动规则!$B$4:$B$143,0))),IF(IFERROR(INDEX(自动规则!$D$4:$D$143,MATCH($F98,自动规则!$B$4:$B$143,0)),"")&amp;""="","其他应付款",INDEX(自动规则!$D$4:$D$143,MATCH($F98,自动规则!$B$4:$B$143,0)))))))</f>
        <v>其他应付款</v>
      </c>
      <c r="L98" s="43"/>
      <c r="M98" s="105" t="str">
        <f aca="false">IF($C98="","",IF(IFERROR(INDEX(科目表!$T$4:$T$123,MATCH($C98,科目表!$K$4:$K$123,0)),"")&amp;""="","其他货币资金",INDEX(科目表!$T$4:$T$123,MATCH($C98,科目表!$K$4:$K$123,0))))</f>
        <v>其他货币资金</v>
      </c>
      <c r="N98" s="39" t="str">
        <f aca="false">IF(OR($C98="",ROUND(N($H98)+N($I98),2)=0),"",IF(N($H98)&gt;0,$M98,$K98))</f>
        <v>其他货币资金</v>
      </c>
      <c r="O98" s="41" t="n">
        <f aca="false">IF($N98="","",ROUND(N($H98)+N($I98),2))</f>
        <v>2000</v>
      </c>
      <c r="P98" s="41" t="n">
        <f aca="false">IF($N98="","",0)</f>
        <v>0</v>
      </c>
      <c r="Q98" s="39" t="str">
        <f aca="false">IF($N98="","",IF(N($H98)&gt;0,$K98,$M98))</f>
        <v>其他应付款</v>
      </c>
      <c r="R98" s="41" t="n">
        <f aca="false">IF($Q98="","",0)</f>
        <v>0</v>
      </c>
      <c r="S98" s="41" t="n">
        <f aca="false">IF($Q98="","",ROUND(N($H98)+N($I98),2))</f>
        <v>2000</v>
      </c>
      <c r="T98" s="42"/>
      <c r="U98" s="44"/>
      <c r="V98" s="41" t="str">
        <f aca="false">IF($B98="","",TEXT($B98,"yyyy年m月"))</f>
        <v>2026年9月</v>
      </c>
      <c r="W98" s="42"/>
      <c r="X98" s="42"/>
      <c r="Y98" s="9"/>
    </row>
    <row r="99" customFormat="false" ht="18" hidden="false" customHeight="true" outlineLevel="0" collapsed="false">
      <c r="A99" s="9" t="n">
        <f aca="false">IF($C99="","",ROW()-3)</f>
        <v>96</v>
      </c>
      <c r="B99" s="76" t="n">
        <v>46268</v>
      </c>
      <c r="C99" s="74" t="s">
        <v>464</v>
      </c>
      <c r="D99" s="78" t="s">
        <v>746</v>
      </c>
      <c r="E99" s="74" t="s">
        <v>473</v>
      </c>
      <c r="F99" s="74" t="s">
        <v>296</v>
      </c>
      <c r="G99" s="74"/>
      <c r="H99" s="44" t="n">
        <v>3000</v>
      </c>
      <c r="I99" s="44"/>
      <c r="J99" s="103" t="n">
        <f aca="false">IF($C99="","",ROUND(IFERROR(INDEX(期初余额!$I$4:$I$43,MATCH($C99,期初余额!$H$4:$H$43,0)),0)+SUMIFS($H$4:$H99,$C$4:$C99,$C99)-SUMIFS($I$4:$I99,$C$4:$C99,$C99),2))</f>
        <v>108317</v>
      </c>
      <c r="K99" s="104" t="str">
        <f aca="false">IF($T99&lt;&gt;"",$T99,IF($C99="","",IF(AND(N($I99)&gt;0,$G99&lt;&gt;""),IF(IFERROR(INDEX(科目表!$U$4:$U$123,MATCH($G99,科目表!$M$4:$M$123,0)),"")&amp;""="","管理费用",INDEX(科目表!$U$4:$U$123,MATCH($G99,科目表!$M$4:$M$123,0))),IF(N($H99)&gt;0,IF(IFERROR(INDEX(自动规则!$C$4:$C$143,MATCH($F99,自动规则!$B$4:$B$143,0)),"")&amp;""="","其他应收款",INDEX(自动规则!$C$4:$C$143,MATCH($F99,自动规则!$B$4:$B$143,0))),IF(IFERROR(INDEX(自动规则!$D$4:$D$143,MATCH($F99,自动规则!$B$4:$B$143,0)),"")&amp;""="","其他应付款",INDEX(自动规则!$D$4:$D$143,MATCH($F99,自动规则!$B$4:$B$143,0)))))))</f>
        <v>其他应付款</v>
      </c>
      <c r="L99" s="43"/>
      <c r="M99" s="105" t="str">
        <f aca="false">IF($C99="","",IF(IFERROR(INDEX(科目表!$T$4:$T$123,MATCH($C99,科目表!$K$4:$K$123,0)),"")&amp;""="","其他货币资金",INDEX(科目表!$T$4:$T$123,MATCH($C99,科目表!$K$4:$K$123,0))))</f>
        <v>其他货币资金</v>
      </c>
      <c r="N99" s="39" t="str">
        <f aca="false">IF(OR($C99="",ROUND(N($H99)+N($I99),2)=0),"",IF(N($H99)&gt;0,$M99,$K99))</f>
        <v>其他货币资金</v>
      </c>
      <c r="O99" s="41" t="n">
        <f aca="false">IF($N99="","",ROUND(N($H99)+N($I99),2))</f>
        <v>3000</v>
      </c>
      <c r="P99" s="41" t="n">
        <f aca="false">IF($N99="","",0)</f>
        <v>0</v>
      </c>
      <c r="Q99" s="39" t="str">
        <f aca="false">IF($N99="","",IF(N($H99)&gt;0,$K99,$M99))</f>
        <v>其他应付款</v>
      </c>
      <c r="R99" s="41" t="n">
        <f aca="false">IF($Q99="","",0)</f>
        <v>0</v>
      </c>
      <c r="S99" s="41" t="n">
        <f aca="false">IF($Q99="","",ROUND(N($H99)+N($I99),2))</f>
        <v>3000</v>
      </c>
      <c r="T99" s="42"/>
      <c r="U99" s="44"/>
      <c r="V99" s="41" t="str">
        <f aca="false">IF($B99="","",TEXT($B99,"yyyy年m月"))</f>
        <v>2026年9月</v>
      </c>
      <c r="W99" s="42"/>
      <c r="X99" s="42"/>
      <c r="Y99" s="9"/>
    </row>
    <row r="100" customFormat="false" ht="18" hidden="false" customHeight="true" outlineLevel="0" collapsed="false">
      <c r="A100" s="9" t="n">
        <f aca="false">IF($C100="","",ROW()-3)</f>
        <v>97</v>
      </c>
      <c r="B100" s="76" t="n">
        <v>46269</v>
      </c>
      <c r="C100" s="74" t="s">
        <v>464</v>
      </c>
      <c r="D100" s="78" t="s">
        <v>747</v>
      </c>
      <c r="E100" s="42"/>
      <c r="F100" s="74" t="s">
        <v>299</v>
      </c>
      <c r="G100" s="74"/>
      <c r="H100" s="44"/>
      <c r="I100" s="44" t="n">
        <v>2000</v>
      </c>
      <c r="J100" s="103" t="n">
        <f aca="false">IF($C100="","",ROUND(IFERROR(INDEX(期初余额!$I$4:$I$43,MATCH($C100,期初余额!$H$4:$H$43,0)),0)+SUMIFS($H$4:$H100,$C$4:$C100,$C100)-SUMIFS($I$4:$I100,$C$4:$C100,$C100),2))</f>
        <v>106317</v>
      </c>
      <c r="K100" s="104" t="str">
        <f aca="false">IF($T100&lt;&gt;"",$T100,IF($C100="","",IF(AND(N($I100)&gt;0,$G100&lt;&gt;""),IF(IFERROR(INDEX(科目表!$U$4:$U$123,MATCH($G100,科目表!$M$4:$M$123,0)),"")&amp;""="","管理费用",INDEX(科目表!$U$4:$U$123,MATCH($G100,科目表!$M$4:$M$123,0))),IF(N($H100)&gt;0,IF(IFERROR(INDEX(自动规则!$C$4:$C$143,MATCH($F100,自动规则!$B$4:$B$143,0)),"")&amp;""="","其他应收款",INDEX(自动规则!$C$4:$C$143,MATCH($F100,自动规则!$B$4:$B$143,0))),IF(IFERROR(INDEX(自动规则!$D$4:$D$143,MATCH($F100,自动规则!$B$4:$B$143,0)),"")&amp;""="","其他应付款",INDEX(自动规则!$D$4:$D$143,MATCH($F100,自动规则!$B$4:$B$143,0)))))))</f>
        <v>其他应付款</v>
      </c>
      <c r="L100" s="43"/>
      <c r="M100" s="105" t="str">
        <f aca="false">IF($C100="","",IF(IFERROR(INDEX(科目表!$T$4:$T$123,MATCH($C100,科目表!$K$4:$K$123,0)),"")&amp;""="","其他货币资金",INDEX(科目表!$T$4:$T$123,MATCH($C100,科目表!$K$4:$K$123,0))))</f>
        <v>其他货币资金</v>
      </c>
      <c r="N100" s="39" t="str">
        <f aca="false">IF(OR($C100="",ROUND(N($H100)+N($I100),2)=0),"",IF(N($H100)&gt;0,$M100,$K100))</f>
        <v>其他应付款</v>
      </c>
      <c r="O100" s="41" t="n">
        <f aca="false">IF($N100="","",ROUND(N($H100)+N($I100),2))</f>
        <v>2000</v>
      </c>
      <c r="P100" s="41" t="n">
        <f aca="false">IF($N100="","",0)</f>
        <v>0</v>
      </c>
      <c r="Q100" s="39" t="str">
        <f aca="false">IF($N100="","",IF(N($H100)&gt;0,$K100,$M100))</f>
        <v>其他货币资金</v>
      </c>
      <c r="R100" s="41" t="n">
        <f aca="false">IF($Q100="","",0)</f>
        <v>0</v>
      </c>
      <c r="S100" s="41" t="n">
        <f aca="false">IF($Q100="","",ROUND(N($H100)+N($I100),2))</f>
        <v>2000</v>
      </c>
      <c r="T100" s="42"/>
      <c r="U100" s="44"/>
      <c r="V100" s="41" t="str">
        <f aca="false">IF($B100="","",TEXT($B100,"yyyy年m月"))</f>
        <v>2026年9月</v>
      </c>
      <c r="W100" s="42"/>
      <c r="X100" s="42"/>
      <c r="Y100" s="9"/>
    </row>
    <row r="101" customFormat="false" ht="18" hidden="false" customHeight="true" outlineLevel="0" collapsed="false">
      <c r="A101" s="9" t="n">
        <f aca="false">IF($C101="","",ROW()-3)</f>
        <v>98</v>
      </c>
      <c r="B101" s="76" t="n">
        <v>46270</v>
      </c>
      <c r="C101" s="74" t="s">
        <v>464</v>
      </c>
      <c r="D101" s="78" t="s">
        <v>748</v>
      </c>
      <c r="E101" s="42"/>
      <c r="F101" s="74" t="s">
        <v>361</v>
      </c>
      <c r="G101" s="74"/>
      <c r="H101" s="44" t="n">
        <v>30000</v>
      </c>
      <c r="I101" s="44"/>
      <c r="J101" s="103" t="n">
        <f aca="false">IF($C101="","",ROUND(IFERROR(INDEX(期初余额!$I$4:$I$43,MATCH($C101,期初余额!$H$4:$H$43,0)),0)+SUMIFS($H$4:$H101,$C$4:$C101,$C101)-SUMIFS($I$4:$I101,$C$4:$C101,$C101),2))</f>
        <v>136317</v>
      </c>
      <c r="K101" s="104" t="str">
        <f aca="false">IF($T101&lt;&gt;"",$T101,IF($C101="","",IF(AND(N($I101)&gt;0,$G101&lt;&gt;""),IF(IFERROR(INDEX(科目表!$U$4:$U$123,MATCH($G101,科目表!$M$4:$M$123,0)),"")&amp;""="","管理费用",INDEX(科目表!$U$4:$U$123,MATCH($G101,科目表!$M$4:$M$123,0))),IF(N($H101)&gt;0,IF(IFERROR(INDEX(自动规则!$C$4:$C$143,MATCH($F101,自动规则!$B$4:$B$143,0)),"")&amp;""="","其他应收款",INDEX(自动规则!$C$4:$C$143,MATCH($F101,自动规则!$B$4:$B$143,0))),IF(IFERROR(INDEX(自动规则!$D$4:$D$143,MATCH($F101,自动规则!$B$4:$B$143,0)),"")&amp;""="","其他应付款",INDEX(自动规则!$D$4:$D$143,MATCH($F101,自动规则!$B$4:$B$143,0)))))))</f>
        <v>短期借款</v>
      </c>
      <c r="L101" s="43"/>
      <c r="M101" s="105" t="str">
        <f aca="false">IF($C101="","",IF(IFERROR(INDEX(科目表!$T$4:$T$123,MATCH($C101,科目表!$K$4:$K$123,0)),"")&amp;""="","其他货币资金",INDEX(科目表!$T$4:$T$123,MATCH($C101,科目表!$K$4:$K$123,0))))</f>
        <v>其他货币资金</v>
      </c>
      <c r="N101" s="39" t="str">
        <f aca="false">IF(OR($C101="",ROUND(N($H101)+N($I101),2)=0),"",IF(N($H101)&gt;0,$M101,$K101))</f>
        <v>其他货币资金</v>
      </c>
      <c r="O101" s="41" t="n">
        <f aca="false">IF($N101="","",ROUND(N($H101)+N($I101),2))</f>
        <v>30000</v>
      </c>
      <c r="P101" s="41" t="n">
        <f aca="false">IF($N101="","",0)</f>
        <v>0</v>
      </c>
      <c r="Q101" s="39" t="str">
        <f aca="false">IF($N101="","",IF(N($H101)&gt;0,$K101,$M101))</f>
        <v>短期借款</v>
      </c>
      <c r="R101" s="41" t="n">
        <f aca="false">IF($Q101="","",0)</f>
        <v>0</v>
      </c>
      <c r="S101" s="41" t="n">
        <f aca="false">IF($Q101="","",ROUND(N($H101)+N($I101),2))</f>
        <v>30000</v>
      </c>
      <c r="T101" s="42"/>
      <c r="U101" s="44"/>
      <c r="V101" s="41" t="str">
        <f aca="false">IF($B101="","",TEXT($B101,"yyyy年m月"))</f>
        <v>2026年9月</v>
      </c>
      <c r="W101" s="42"/>
      <c r="X101" s="42"/>
      <c r="Y101" s="9"/>
    </row>
    <row r="102" customFormat="false" ht="18" hidden="false" customHeight="true" outlineLevel="0" collapsed="false">
      <c r="A102" s="9" t="n">
        <f aca="false">IF($C102="","",ROW()-3)</f>
        <v>99</v>
      </c>
      <c r="B102" s="76" t="n">
        <v>46270</v>
      </c>
      <c r="C102" s="74" t="s">
        <v>464</v>
      </c>
      <c r="D102" s="43"/>
      <c r="E102" s="42"/>
      <c r="F102" s="74"/>
      <c r="G102" s="74" t="s">
        <v>562</v>
      </c>
      <c r="H102" s="44"/>
      <c r="I102" s="44" t="n">
        <v>256</v>
      </c>
      <c r="J102" s="103" t="n">
        <f aca="false">IF($C102="","",ROUND(IFERROR(INDEX(期初余额!$I$4:$I$43,MATCH($C102,期初余额!$H$4:$H$43,0)),0)+SUMIFS($H$4:$H102,$C$4:$C102,$C102)-SUMIFS($I$4:$I102,$C$4:$C102,$C102),2))</f>
        <v>136061</v>
      </c>
      <c r="K102" s="104" t="str">
        <f aca="false">IF($T102&lt;&gt;"",$T102,IF($C102="","",IF(AND(N($I102)&gt;0,$G102&lt;&gt;""),IF(IFERROR(INDEX(科目表!$U$4:$U$123,MATCH($G102,科目表!$M$4:$M$123,0)),"")&amp;""="","管理费用",INDEX(科目表!$U$4:$U$123,MATCH($G102,科目表!$M$4:$M$123,0))),IF(N($H102)&gt;0,IF(IFERROR(INDEX(自动规则!$C$4:$C$143,MATCH($F102,自动规则!$B$4:$B$143,0)),"")&amp;""="","其他应收款",INDEX(自动规则!$C$4:$C$143,MATCH($F102,自动规则!$B$4:$B$143,0))),IF(IFERROR(INDEX(自动规则!$D$4:$D$143,MATCH($F102,自动规则!$B$4:$B$143,0)),"")&amp;""="","其他应付款",INDEX(自动规则!$D$4:$D$143,MATCH($F102,自动规则!$B$4:$B$143,0)))))))</f>
        <v>管理费用</v>
      </c>
      <c r="L102" s="43"/>
      <c r="M102" s="105" t="str">
        <f aca="false">IF($C102="","",IF(IFERROR(INDEX(科目表!$T$4:$T$123,MATCH($C102,科目表!$K$4:$K$123,0)),"")&amp;""="","其他货币资金",INDEX(科目表!$T$4:$T$123,MATCH($C102,科目表!$K$4:$K$123,0))))</f>
        <v>其他货币资金</v>
      </c>
      <c r="N102" s="39" t="str">
        <f aca="false">IF(OR($C102="",ROUND(N($H102)+N($I102),2)=0),"",IF(N($H102)&gt;0,$M102,$K102))</f>
        <v>管理费用</v>
      </c>
      <c r="O102" s="41" t="n">
        <f aca="false">IF($N102="","",ROUND(N($H102)+N($I102),2))</f>
        <v>256</v>
      </c>
      <c r="P102" s="41" t="n">
        <f aca="false">IF($N102="","",0)</f>
        <v>0</v>
      </c>
      <c r="Q102" s="39" t="str">
        <f aca="false">IF($N102="","",IF(N($H102)&gt;0,$K102,$M102))</f>
        <v>其他货币资金</v>
      </c>
      <c r="R102" s="41" t="n">
        <f aca="false">IF($Q102="","",0)</f>
        <v>0</v>
      </c>
      <c r="S102" s="41" t="n">
        <f aca="false">IF($Q102="","",ROUND(N($H102)+N($I102),2))</f>
        <v>256</v>
      </c>
      <c r="T102" s="42"/>
      <c r="U102" s="44"/>
      <c r="V102" s="41" t="str">
        <f aca="false">IF($B102="","",TEXT($B102,"yyyy年m月"))</f>
        <v>2026年9月</v>
      </c>
      <c r="W102" s="42"/>
      <c r="X102" s="42"/>
      <c r="Y102" s="9"/>
    </row>
    <row r="103" customFormat="false" ht="18" hidden="false" customHeight="true" outlineLevel="0" collapsed="false">
      <c r="A103" s="9" t="n">
        <f aca="false">IF($C103="","",ROW()-3)</f>
        <v>100</v>
      </c>
      <c r="B103" s="76" t="n">
        <v>46271</v>
      </c>
      <c r="C103" s="74" t="s">
        <v>464</v>
      </c>
      <c r="D103" s="78" t="s">
        <v>556</v>
      </c>
      <c r="E103" s="42"/>
      <c r="F103" s="74"/>
      <c r="G103" s="74" t="s">
        <v>347</v>
      </c>
      <c r="H103" s="44"/>
      <c r="I103" s="44" t="n">
        <v>13500</v>
      </c>
      <c r="J103" s="103" t="n">
        <f aca="false">IF($C103="","",ROUND(IFERROR(INDEX(期初余额!$I$4:$I$43,MATCH($C103,期初余额!$H$4:$H$43,0)),0)+SUMIFS($H$4:$H103,$C$4:$C103,$C103)-SUMIFS($I$4:$I103,$C$4:$C103,$C103),2))</f>
        <v>122561</v>
      </c>
      <c r="K103" s="104" t="str">
        <f aca="false">IF($T103&lt;&gt;"",$T103,IF($C103="","",IF(AND(N($I103)&gt;0,$G103&lt;&gt;""),IF(IFERROR(INDEX(科目表!$U$4:$U$123,MATCH($G103,科目表!$M$4:$M$123,0)),"")&amp;""="","管理费用",INDEX(科目表!$U$4:$U$123,MATCH($G103,科目表!$M$4:$M$123,0))),IF(N($H103)&gt;0,IF(IFERROR(INDEX(自动规则!$C$4:$C$143,MATCH($F103,自动规则!$B$4:$B$143,0)),"")&amp;""="","其他应收款",INDEX(自动规则!$C$4:$C$143,MATCH($F103,自动规则!$B$4:$B$143,0))),IF(IFERROR(INDEX(自动规则!$D$4:$D$143,MATCH($F103,自动规则!$B$4:$B$143,0)),"")&amp;""="","其他应付款",INDEX(自动规则!$D$4:$D$143,MATCH($F103,自动规则!$B$4:$B$143,0)))))))</f>
        <v>主营业务成本</v>
      </c>
      <c r="L103" s="43"/>
      <c r="M103" s="105" t="str">
        <f aca="false">IF($C103="","",IF(IFERROR(INDEX(科目表!$T$4:$T$123,MATCH($C103,科目表!$K$4:$K$123,0)),"")&amp;""="","其他货币资金",INDEX(科目表!$T$4:$T$123,MATCH($C103,科目表!$K$4:$K$123,0))))</f>
        <v>其他货币资金</v>
      </c>
      <c r="N103" s="39" t="str">
        <f aca="false">IF(OR($C103="",ROUND(N($H103)+N($I103),2)=0),"",IF(N($H103)&gt;0,$M103,$K103))</f>
        <v>主营业务成本</v>
      </c>
      <c r="O103" s="41" t="n">
        <f aca="false">IF($N103="","",ROUND(N($H103)+N($I103),2))</f>
        <v>13500</v>
      </c>
      <c r="P103" s="41" t="n">
        <f aca="false">IF($N103="","",0)</f>
        <v>0</v>
      </c>
      <c r="Q103" s="39" t="str">
        <f aca="false">IF($N103="","",IF(N($H103)&gt;0,$K103,$M103))</f>
        <v>其他货币资金</v>
      </c>
      <c r="R103" s="41" t="n">
        <f aca="false">IF($Q103="","",0)</f>
        <v>0</v>
      </c>
      <c r="S103" s="41" t="n">
        <f aca="false">IF($Q103="","",ROUND(N($H103)+N($I103),2))</f>
        <v>13500</v>
      </c>
      <c r="T103" s="42"/>
      <c r="U103" s="44"/>
      <c r="V103" s="41" t="str">
        <f aca="false">IF($B103="","",TEXT($B103,"yyyy年m月"))</f>
        <v>2026年9月</v>
      </c>
      <c r="W103" s="42"/>
      <c r="X103" s="42"/>
      <c r="Y103" s="9"/>
    </row>
    <row r="104" customFormat="false" ht="18" hidden="false" customHeight="true" outlineLevel="0" collapsed="false">
      <c r="A104" s="9" t="n">
        <f aca="false">IF($C104="","",ROW()-3)</f>
        <v>101</v>
      </c>
      <c r="B104" s="76" t="n">
        <v>46271</v>
      </c>
      <c r="C104" s="74" t="s">
        <v>464</v>
      </c>
      <c r="D104" s="78" t="s">
        <v>749</v>
      </c>
      <c r="E104" s="42"/>
      <c r="F104" s="74"/>
      <c r="G104" s="74" t="s">
        <v>347</v>
      </c>
      <c r="H104" s="44"/>
      <c r="I104" s="44" t="n">
        <v>5000</v>
      </c>
      <c r="J104" s="103" t="n">
        <f aca="false">IF($C104="","",ROUND(IFERROR(INDEX(期初余额!$I$4:$I$43,MATCH($C104,期初余额!$H$4:$H$43,0)),0)+SUMIFS($H$4:$H104,$C$4:$C104,$C104)-SUMIFS($I$4:$I104,$C$4:$C104,$C104),2))</f>
        <v>117561</v>
      </c>
      <c r="K104" s="104" t="str">
        <f aca="false">IF($T104&lt;&gt;"",$T104,IF($C104="","",IF(AND(N($I104)&gt;0,$G104&lt;&gt;""),IF(IFERROR(INDEX(科目表!$U$4:$U$123,MATCH($G104,科目表!$M$4:$M$123,0)),"")&amp;""="","管理费用",INDEX(科目表!$U$4:$U$123,MATCH($G104,科目表!$M$4:$M$123,0))),IF(N($H104)&gt;0,IF(IFERROR(INDEX(自动规则!$C$4:$C$143,MATCH($F104,自动规则!$B$4:$B$143,0)),"")&amp;""="","其他应收款",INDEX(自动规则!$C$4:$C$143,MATCH($F104,自动规则!$B$4:$B$143,0))),IF(IFERROR(INDEX(自动规则!$D$4:$D$143,MATCH($F104,自动规则!$B$4:$B$143,0)),"")&amp;""="","其他应付款",INDEX(自动规则!$D$4:$D$143,MATCH($F104,自动规则!$B$4:$B$143,0)))))))</f>
        <v>主营业务成本</v>
      </c>
      <c r="L104" s="43"/>
      <c r="M104" s="105" t="str">
        <f aca="false">IF($C104="","",IF(IFERROR(INDEX(科目表!$T$4:$T$123,MATCH($C104,科目表!$K$4:$K$123,0)),"")&amp;""="","其他货币资金",INDEX(科目表!$T$4:$T$123,MATCH($C104,科目表!$K$4:$K$123,0))))</f>
        <v>其他货币资金</v>
      </c>
      <c r="N104" s="39" t="str">
        <f aca="false">IF(OR($C104="",ROUND(N($H104)+N($I104),2)=0),"",IF(N($H104)&gt;0,$M104,$K104))</f>
        <v>主营业务成本</v>
      </c>
      <c r="O104" s="41" t="n">
        <f aca="false">IF($N104="","",ROUND(N($H104)+N($I104),2))</f>
        <v>5000</v>
      </c>
      <c r="P104" s="41" t="n">
        <f aca="false">IF($N104="","",0)</f>
        <v>0</v>
      </c>
      <c r="Q104" s="39" t="str">
        <f aca="false">IF($N104="","",IF(N($H104)&gt;0,$K104,$M104))</f>
        <v>其他货币资金</v>
      </c>
      <c r="R104" s="41" t="n">
        <f aca="false">IF($Q104="","",0)</f>
        <v>0</v>
      </c>
      <c r="S104" s="41" t="n">
        <f aca="false">IF($Q104="","",ROUND(N($H104)+N($I104),2))</f>
        <v>5000</v>
      </c>
      <c r="T104" s="42"/>
      <c r="U104" s="44"/>
      <c r="V104" s="41" t="str">
        <f aca="false">IF($B104="","",TEXT($B104,"yyyy年m月"))</f>
        <v>2026年9月</v>
      </c>
      <c r="W104" s="42"/>
      <c r="X104" s="42"/>
      <c r="Y104" s="9"/>
    </row>
    <row r="105" customFormat="false" ht="18" hidden="false" customHeight="true" outlineLevel="0" collapsed="false">
      <c r="A105" s="9" t="n">
        <f aca="false">IF($C105="","",ROW()-3)</f>
        <v>102</v>
      </c>
      <c r="B105" s="76" t="n">
        <v>46271</v>
      </c>
      <c r="C105" s="74" t="s">
        <v>464</v>
      </c>
      <c r="D105" s="78" t="s">
        <v>750</v>
      </c>
      <c r="E105" s="42"/>
      <c r="F105" s="74" t="s">
        <v>364</v>
      </c>
      <c r="G105" s="74" t="s">
        <v>347</v>
      </c>
      <c r="H105" s="44" t="n">
        <v>1500</v>
      </c>
      <c r="I105" s="44"/>
      <c r="J105" s="103" t="n">
        <f aca="false">IF($C105="","",ROUND(IFERROR(INDEX(期初余额!$I$4:$I$43,MATCH($C105,期初余额!$H$4:$H$43,0)),0)+SUMIFS($H$4:$H105,$C$4:$C105,$C105)-SUMIFS($I$4:$I105,$C$4:$C105,$C105),2))</f>
        <v>119061</v>
      </c>
      <c r="K105" s="104" t="str">
        <f aca="false">IF($T105&lt;&gt;"",$T105,IF($C105="","",IF(AND(N($I105)&gt;0,$G105&lt;&gt;""),IF(IFERROR(INDEX(科目表!$U$4:$U$123,MATCH($G105,科目表!$M$4:$M$123,0)),"")&amp;""="","管理费用",INDEX(科目表!$U$4:$U$123,MATCH($G105,科目表!$M$4:$M$123,0))),IF(N($H105)&gt;0,IF(IFERROR(INDEX(自动规则!$C$4:$C$143,MATCH($F105,自动规则!$B$4:$B$143,0)),"")&amp;""="","其他应收款",INDEX(自动规则!$C$4:$C$143,MATCH($F105,自动规则!$B$4:$B$143,0))),IF(IFERROR(INDEX(自动规则!$D$4:$D$143,MATCH($F105,自动规则!$B$4:$B$143,0)),"")&amp;""="","其他应付款",INDEX(自动规则!$D$4:$D$143,MATCH($F105,自动规则!$B$4:$B$143,0)))))))</f>
        <v>应收账款</v>
      </c>
      <c r="L105" s="43"/>
      <c r="M105" s="105" t="str">
        <f aca="false">IF($C105="","",IF(IFERROR(INDEX(科目表!$T$4:$T$123,MATCH($C105,科目表!$K$4:$K$123,0)),"")&amp;""="","其他货币资金",INDEX(科目表!$T$4:$T$123,MATCH($C105,科目表!$K$4:$K$123,0))))</f>
        <v>其他货币资金</v>
      </c>
      <c r="N105" s="39" t="str">
        <f aca="false">IF(OR($C105="",ROUND(N($H105)+N($I105),2)=0),"",IF(N($H105)&gt;0,$M105,$K105))</f>
        <v>其他货币资金</v>
      </c>
      <c r="O105" s="41" t="n">
        <f aca="false">IF($N105="","",ROUND(N($H105)+N($I105),2))</f>
        <v>1500</v>
      </c>
      <c r="P105" s="41" t="n">
        <f aca="false">IF($N105="","",0)</f>
        <v>0</v>
      </c>
      <c r="Q105" s="39" t="str">
        <f aca="false">IF($N105="","",IF(N($H105)&gt;0,$K105,$M105))</f>
        <v>应收账款</v>
      </c>
      <c r="R105" s="41" t="n">
        <f aca="false">IF($Q105="","",0)</f>
        <v>0</v>
      </c>
      <c r="S105" s="41" t="n">
        <f aca="false">IF($Q105="","",ROUND(N($H105)+N($I105),2))</f>
        <v>1500</v>
      </c>
      <c r="T105" s="42"/>
      <c r="U105" s="44"/>
      <c r="V105" s="41" t="str">
        <f aca="false">IF($B105="","",TEXT($B105,"yyyy年m月"))</f>
        <v>2026年9月</v>
      </c>
      <c r="W105" s="42"/>
      <c r="X105" s="42"/>
      <c r="Y105" s="9"/>
    </row>
    <row r="106" customFormat="false" ht="18" hidden="false" customHeight="true" outlineLevel="0" collapsed="false">
      <c r="A106" s="9" t="n">
        <f aca="false">IF($C106="","",ROW()-3)</f>
        <v>103</v>
      </c>
      <c r="B106" s="76" t="n">
        <v>46274</v>
      </c>
      <c r="C106" s="74" t="s">
        <v>464</v>
      </c>
      <c r="D106" s="43"/>
      <c r="E106" s="42"/>
      <c r="F106" s="74"/>
      <c r="G106" s="74" t="s">
        <v>562</v>
      </c>
      <c r="H106" s="44"/>
      <c r="I106" s="44" t="n">
        <v>280</v>
      </c>
      <c r="J106" s="103" t="n">
        <f aca="false">IF($C106="","",ROUND(IFERROR(INDEX(期初余额!$I$4:$I$43,MATCH($C106,期初余额!$H$4:$H$43,0)),0)+SUMIFS($H$4:$H106,$C$4:$C106,$C106)-SUMIFS($I$4:$I106,$C$4:$C106,$C106),2))</f>
        <v>118781</v>
      </c>
      <c r="K106" s="104" t="str">
        <f aca="false">IF($T106&lt;&gt;"",$T106,IF($C106="","",IF(AND(N($I106)&gt;0,$G106&lt;&gt;""),IF(IFERROR(INDEX(科目表!$U$4:$U$123,MATCH($G106,科目表!$M$4:$M$123,0)),"")&amp;""="","管理费用",INDEX(科目表!$U$4:$U$123,MATCH($G106,科目表!$M$4:$M$123,0))),IF(N($H106)&gt;0,IF(IFERROR(INDEX(自动规则!$C$4:$C$143,MATCH($F106,自动规则!$B$4:$B$143,0)),"")&amp;""="","其他应收款",INDEX(自动规则!$C$4:$C$143,MATCH($F106,自动规则!$B$4:$B$143,0))),IF(IFERROR(INDEX(自动规则!$D$4:$D$143,MATCH($F106,自动规则!$B$4:$B$143,0)),"")&amp;""="","其他应付款",INDEX(自动规则!$D$4:$D$143,MATCH($F106,自动规则!$B$4:$B$143,0)))))))</f>
        <v>管理费用</v>
      </c>
      <c r="L106" s="43"/>
      <c r="M106" s="105" t="str">
        <f aca="false">IF($C106="","",IF(IFERROR(INDEX(科目表!$T$4:$T$123,MATCH($C106,科目表!$K$4:$K$123,0)),"")&amp;""="","其他货币资金",INDEX(科目表!$T$4:$T$123,MATCH($C106,科目表!$K$4:$K$123,0))))</f>
        <v>其他货币资金</v>
      </c>
      <c r="N106" s="39" t="str">
        <f aca="false">IF(OR($C106="",ROUND(N($H106)+N($I106),2)=0),"",IF(N($H106)&gt;0,$M106,$K106))</f>
        <v>管理费用</v>
      </c>
      <c r="O106" s="41" t="n">
        <f aca="false">IF($N106="","",ROUND(N($H106)+N($I106),2))</f>
        <v>280</v>
      </c>
      <c r="P106" s="41" t="n">
        <f aca="false">IF($N106="","",0)</f>
        <v>0</v>
      </c>
      <c r="Q106" s="39" t="str">
        <f aca="false">IF($N106="","",IF(N($H106)&gt;0,$K106,$M106))</f>
        <v>其他货币资金</v>
      </c>
      <c r="R106" s="41" t="n">
        <f aca="false">IF($Q106="","",0)</f>
        <v>0</v>
      </c>
      <c r="S106" s="41" t="n">
        <f aca="false">IF($Q106="","",ROUND(N($H106)+N($I106),2))</f>
        <v>280</v>
      </c>
      <c r="T106" s="42"/>
      <c r="U106" s="44"/>
      <c r="V106" s="41" t="str">
        <f aca="false">IF($B106="","",TEXT($B106,"yyyy年m月"))</f>
        <v>2026年9月</v>
      </c>
      <c r="W106" s="42"/>
      <c r="X106" s="42"/>
      <c r="Y106" s="9"/>
    </row>
    <row r="107" customFormat="false" ht="18" hidden="false" customHeight="true" outlineLevel="0" collapsed="false">
      <c r="A107" s="9" t="n">
        <f aca="false">IF($C107="","",ROW()-3)</f>
        <v>104</v>
      </c>
      <c r="B107" s="76" t="n">
        <v>46275</v>
      </c>
      <c r="C107" s="74" t="s">
        <v>464</v>
      </c>
      <c r="D107" s="43"/>
      <c r="E107" s="42"/>
      <c r="F107" s="74"/>
      <c r="G107" s="74" t="s">
        <v>517</v>
      </c>
      <c r="H107" s="44"/>
      <c r="I107" s="44" t="n">
        <v>480</v>
      </c>
      <c r="J107" s="103" t="n">
        <f aca="false">IF($C107="","",ROUND(IFERROR(INDEX(期初余额!$I$4:$I$43,MATCH($C107,期初余额!$H$4:$H$43,0)),0)+SUMIFS($H$4:$H107,$C$4:$C107,$C107)-SUMIFS($I$4:$I107,$C$4:$C107,$C107),2))</f>
        <v>118301</v>
      </c>
      <c r="K107" s="104" t="str">
        <f aca="false">IF($T107&lt;&gt;"",$T107,IF($C107="","",IF(AND(N($I107)&gt;0,$G107&lt;&gt;""),IF(IFERROR(INDEX(科目表!$U$4:$U$123,MATCH($G107,科目表!$M$4:$M$123,0)),"")&amp;""="","管理费用",INDEX(科目表!$U$4:$U$123,MATCH($G107,科目表!$M$4:$M$123,0))),IF(N($H107)&gt;0,IF(IFERROR(INDEX(自动规则!$C$4:$C$143,MATCH($F107,自动规则!$B$4:$B$143,0)),"")&amp;""="","其他应收款",INDEX(自动规则!$C$4:$C$143,MATCH($F107,自动规则!$B$4:$B$143,0))),IF(IFERROR(INDEX(自动规则!$D$4:$D$143,MATCH($F107,自动规则!$B$4:$B$143,0)),"")&amp;""="","其他应付款",INDEX(自动规则!$D$4:$D$143,MATCH($F107,自动规则!$B$4:$B$143,0)))))))</f>
        <v>管理费用</v>
      </c>
      <c r="L107" s="43"/>
      <c r="M107" s="105" t="str">
        <f aca="false">IF($C107="","",IF(IFERROR(INDEX(科目表!$T$4:$T$123,MATCH($C107,科目表!$K$4:$K$123,0)),"")&amp;""="","其他货币资金",INDEX(科目表!$T$4:$T$123,MATCH($C107,科目表!$K$4:$K$123,0))))</f>
        <v>其他货币资金</v>
      </c>
      <c r="N107" s="39" t="str">
        <f aca="false">IF(OR($C107="",ROUND(N($H107)+N($I107),2)=0),"",IF(N($H107)&gt;0,$M107,$K107))</f>
        <v>管理费用</v>
      </c>
      <c r="O107" s="41" t="n">
        <f aca="false">IF($N107="","",ROUND(N($H107)+N($I107),2))</f>
        <v>480</v>
      </c>
      <c r="P107" s="41" t="n">
        <f aca="false">IF($N107="","",0)</f>
        <v>0</v>
      </c>
      <c r="Q107" s="39" t="str">
        <f aca="false">IF($N107="","",IF(N($H107)&gt;0,$K107,$M107))</f>
        <v>其他货币资金</v>
      </c>
      <c r="R107" s="41" t="n">
        <f aca="false">IF($Q107="","",0)</f>
        <v>0</v>
      </c>
      <c r="S107" s="41" t="n">
        <f aca="false">IF($Q107="","",ROUND(N($H107)+N($I107),2))</f>
        <v>480</v>
      </c>
      <c r="T107" s="42"/>
      <c r="U107" s="44"/>
      <c r="V107" s="41" t="str">
        <f aca="false">IF($B107="","",TEXT($B107,"yyyy年m月"))</f>
        <v>2026年9月</v>
      </c>
      <c r="W107" s="42"/>
      <c r="X107" s="42"/>
      <c r="Y107" s="9"/>
    </row>
    <row r="108" customFormat="false" ht="18" hidden="false" customHeight="true" outlineLevel="0" collapsed="false">
      <c r="A108" s="9" t="n">
        <f aca="false">IF($C108="","",ROW()-3)</f>
        <v>105</v>
      </c>
      <c r="B108" s="76" t="n">
        <v>46275</v>
      </c>
      <c r="C108" s="74" t="s">
        <v>464</v>
      </c>
      <c r="D108" s="78" t="s">
        <v>751</v>
      </c>
      <c r="E108" s="74" t="s">
        <v>473</v>
      </c>
      <c r="F108" s="74" t="s">
        <v>299</v>
      </c>
      <c r="G108" s="74"/>
      <c r="H108" s="44"/>
      <c r="I108" s="44" t="n">
        <v>3000</v>
      </c>
      <c r="J108" s="103" t="n">
        <f aca="false">IF($C108="","",ROUND(IFERROR(INDEX(期初余额!$I$4:$I$43,MATCH($C108,期初余额!$H$4:$H$43,0)),0)+SUMIFS($H$4:$H108,$C$4:$C108,$C108)-SUMIFS($I$4:$I108,$C$4:$C108,$C108),2))</f>
        <v>115301</v>
      </c>
      <c r="K108" s="104" t="str">
        <f aca="false">IF($T108&lt;&gt;"",$T108,IF($C108="","",IF(AND(N($I108)&gt;0,$G108&lt;&gt;""),IF(IFERROR(INDEX(科目表!$U$4:$U$123,MATCH($G108,科目表!$M$4:$M$123,0)),"")&amp;""="","管理费用",INDEX(科目表!$U$4:$U$123,MATCH($G108,科目表!$M$4:$M$123,0))),IF(N($H108)&gt;0,IF(IFERROR(INDEX(自动规则!$C$4:$C$143,MATCH($F108,自动规则!$B$4:$B$143,0)),"")&amp;""="","其他应收款",INDEX(自动规则!$C$4:$C$143,MATCH($F108,自动规则!$B$4:$B$143,0))),IF(IFERROR(INDEX(自动规则!$D$4:$D$143,MATCH($F108,自动规则!$B$4:$B$143,0)),"")&amp;""="","其他应付款",INDEX(自动规则!$D$4:$D$143,MATCH($F108,自动规则!$B$4:$B$143,0)))))))</f>
        <v>其他应付款</v>
      </c>
      <c r="L108" s="43"/>
      <c r="M108" s="105" t="str">
        <f aca="false">IF($C108="","",IF(IFERROR(INDEX(科目表!$T$4:$T$123,MATCH($C108,科目表!$K$4:$K$123,0)),"")&amp;""="","其他货币资金",INDEX(科目表!$T$4:$T$123,MATCH($C108,科目表!$K$4:$K$123,0))))</f>
        <v>其他货币资金</v>
      </c>
      <c r="N108" s="39" t="str">
        <f aca="false">IF(OR($C108="",ROUND(N($H108)+N($I108),2)=0),"",IF(N($H108)&gt;0,$M108,$K108))</f>
        <v>其他应付款</v>
      </c>
      <c r="O108" s="41" t="n">
        <f aca="false">IF($N108="","",ROUND(N($H108)+N($I108),2))</f>
        <v>3000</v>
      </c>
      <c r="P108" s="41" t="n">
        <f aca="false">IF($N108="","",0)</f>
        <v>0</v>
      </c>
      <c r="Q108" s="39" t="str">
        <f aca="false">IF($N108="","",IF(N($H108)&gt;0,$K108,$M108))</f>
        <v>其他货币资金</v>
      </c>
      <c r="R108" s="41" t="n">
        <f aca="false">IF($Q108="","",0)</f>
        <v>0</v>
      </c>
      <c r="S108" s="41" t="n">
        <f aca="false">IF($Q108="","",ROUND(N($H108)+N($I108),2))</f>
        <v>3000</v>
      </c>
      <c r="T108" s="42"/>
      <c r="U108" s="44"/>
      <c r="V108" s="41" t="str">
        <f aca="false">IF($B108="","",TEXT($B108,"yyyy年m月"))</f>
        <v>2026年9月</v>
      </c>
      <c r="W108" s="42"/>
      <c r="X108" s="42"/>
      <c r="Y108" s="9"/>
    </row>
    <row r="109" customFormat="false" ht="18" hidden="false" customHeight="true" outlineLevel="0" collapsed="false">
      <c r="A109" s="9" t="n">
        <f aca="false">IF($C109="","",ROW()-3)</f>
        <v>106</v>
      </c>
      <c r="B109" s="76" t="n">
        <v>46275</v>
      </c>
      <c r="C109" s="74" t="s">
        <v>464</v>
      </c>
      <c r="D109" s="43"/>
      <c r="E109" s="74" t="s">
        <v>445</v>
      </c>
      <c r="F109" s="74" t="s">
        <v>420</v>
      </c>
      <c r="G109" s="74"/>
      <c r="H109" s="44" t="n">
        <v>12000</v>
      </c>
      <c r="I109" s="44"/>
      <c r="J109" s="103" t="n">
        <f aca="false">IF($C109="","",ROUND(IFERROR(INDEX(期初余额!$I$4:$I$43,MATCH($C109,期初余额!$H$4:$H$43,0)),0)+SUMIFS($H$4:$H109,$C$4:$C109,$C109)-SUMIFS($I$4:$I109,$C$4:$C109,$C109),2))</f>
        <v>127301</v>
      </c>
      <c r="K109" s="104" t="str">
        <f aca="false">IF($T109&lt;&gt;"",$T109,IF($C109="","",IF(AND(N($I109)&gt;0,$G109&lt;&gt;""),IF(IFERROR(INDEX(科目表!$U$4:$U$123,MATCH($G109,科目表!$M$4:$M$123,0)),"")&amp;""="","管理费用",INDEX(科目表!$U$4:$U$123,MATCH($G109,科目表!$M$4:$M$123,0))),IF(N($H109)&gt;0,IF(IFERROR(INDEX(自动规则!$C$4:$C$143,MATCH($F109,自动规则!$B$4:$B$143,0)),"")&amp;""="","其他应收款",INDEX(自动规则!$C$4:$C$143,MATCH($F109,自动规则!$B$4:$B$143,0))),IF(IFERROR(INDEX(自动规则!$D$4:$D$143,MATCH($F109,自动规则!$B$4:$B$143,0)),"")&amp;""="","其他应付款",INDEX(自动规则!$D$4:$D$143,MATCH($F109,自动规则!$B$4:$B$143,0)))))))</f>
        <v>财务费用</v>
      </c>
      <c r="L109" s="43"/>
      <c r="M109" s="105" t="str">
        <f aca="false">IF($C109="","",IF(IFERROR(INDEX(科目表!$T$4:$T$123,MATCH($C109,科目表!$K$4:$K$123,0)),"")&amp;""="","其他货币资金",INDEX(科目表!$T$4:$T$123,MATCH($C109,科目表!$K$4:$K$123,0))))</f>
        <v>其他货币资金</v>
      </c>
      <c r="N109" s="39" t="str">
        <f aca="false">IF(OR($C109="",ROUND(N($H109)+N($I109),2)=0),"",IF(N($H109)&gt;0,$M109,$K109))</f>
        <v>其他货币资金</v>
      </c>
      <c r="O109" s="41" t="n">
        <f aca="false">IF($N109="","",ROUND(N($H109)+N($I109),2))</f>
        <v>12000</v>
      </c>
      <c r="P109" s="41" t="n">
        <f aca="false">IF($N109="","",0)</f>
        <v>0</v>
      </c>
      <c r="Q109" s="39" t="str">
        <f aca="false">IF($N109="","",IF(N($H109)&gt;0,$K109,$M109))</f>
        <v>财务费用</v>
      </c>
      <c r="R109" s="41" t="n">
        <f aca="false">IF($Q109="","",0)</f>
        <v>0</v>
      </c>
      <c r="S109" s="41" t="n">
        <f aca="false">IF($Q109="","",ROUND(N($H109)+N($I109),2))</f>
        <v>12000</v>
      </c>
      <c r="T109" s="42"/>
      <c r="U109" s="44"/>
      <c r="V109" s="41" t="str">
        <f aca="false">IF($B109="","",TEXT($B109,"yyyy年m月"))</f>
        <v>2026年9月</v>
      </c>
      <c r="W109" s="42"/>
      <c r="X109" s="42"/>
      <c r="Y109" s="9"/>
    </row>
    <row r="110" customFormat="false" ht="18" hidden="false" customHeight="true" outlineLevel="0" collapsed="false">
      <c r="A110" s="9" t="n">
        <f aca="false">IF($C110="","",ROW()-3)</f>
        <v>107</v>
      </c>
      <c r="B110" s="76" t="n">
        <v>46275</v>
      </c>
      <c r="C110" s="74" t="s">
        <v>464</v>
      </c>
      <c r="D110" s="43"/>
      <c r="E110" s="42"/>
      <c r="F110" s="74" t="s">
        <v>420</v>
      </c>
      <c r="G110" s="74"/>
      <c r="H110" s="44" t="n">
        <v>60</v>
      </c>
      <c r="I110" s="44"/>
      <c r="J110" s="103" t="n">
        <f aca="false">IF($C110="","",ROUND(IFERROR(INDEX(期初余额!$I$4:$I$43,MATCH($C110,期初余额!$H$4:$H$43,0)),0)+SUMIFS($H$4:$H110,$C$4:$C110,$C110)-SUMIFS($I$4:$I110,$C$4:$C110,$C110),2))</f>
        <v>127361</v>
      </c>
      <c r="K110" s="104" t="str">
        <f aca="false">IF($T110&lt;&gt;"",$T110,IF($C110="","",IF(AND(N($I110)&gt;0,$G110&lt;&gt;""),IF(IFERROR(INDEX(科目表!$U$4:$U$123,MATCH($G110,科目表!$M$4:$M$123,0)),"")&amp;""="","管理费用",INDEX(科目表!$U$4:$U$123,MATCH($G110,科目表!$M$4:$M$123,0))),IF(N($H110)&gt;0,IF(IFERROR(INDEX(自动规则!$C$4:$C$143,MATCH($F110,自动规则!$B$4:$B$143,0)),"")&amp;""="","其他应收款",INDEX(自动规则!$C$4:$C$143,MATCH($F110,自动规则!$B$4:$B$143,0))),IF(IFERROR(INDEX(自动规则!$D$4:$D$143,MATCH($F110,自动规则!$B$4:$B$143,0)),"")&amp;""="","其他应付款",INDEX(自动规则!$D$4:$D$143,MATCH($F110,自动规则!$B$4:$B$143,0)))))))</f>
        <v>财务费用</v>
      </c>
      <c r="L110" s="43"/>
      <c r="M110" s="105" t="str">
        <f aca="false">IF($C110="","",IF(IFERROR(INDEX(科目表!$T$4:$T$123,MATCH($C110,科目表!$K$4:$K$123,0)),"")&amp;""="","其他货币资金",INDEX(科目表!$T$4:$T$123,MATCH($C110,科目表!$K$4:$K$123,0))))</f>
        <v>其他货币资金</v>
      </c>
      <c r="N110" s="39" t="str">
        <f aca="false">IF(OR($C110="",ROUND(N($H110)+N($I110),2)=0),"",IF(N($H110)&gt;0,$M110,$K110))</f>
        <v>其他货币资金</v>
      </c>
      <c r="O110" s="41" t="n">
        <f aca="false">IF($N110="","",ROUND(N($H110)+N($I110),2))</f>
        <v>60</v>
      </c>
      <c r="P110" s="41" t="n">
        <f aca="false">IF($N110="","",0)</f>
        <v>0</v>
      </c>
      <c r="Q110" s="39" t="str">
        <f aca="false">IF($N110="","",IF(N($H110)&gt;0,$K110,$M110))</f>
        <v>财务费用</v>
      </c>
      <c r="R110" s="41" t="n">
        <f aca="false">IF($Q110="","",0)</f>
        <v>0</v>
      </c>
      <c r="S110" s="41" t="n">
        <f aca="false">IF($Q110="","",ROUND(N($H110)+N($I110),2))</f>
        <v>60</v>
      </c>
      <c r="T110" s="42"/>
      <c r="U110" s="44"/>
      <c r="V110" s="41" t="str">
        <f aca="false">IF($B110="","",TEXT($B110,"yyyy年m月"))</f>
        <v>2026年9月</v>
      </c>
      <c r="W110" s="42"/>
      <c r="X110" s="42"/>
      <c r="Y110" s="9"/>
    </row>
    <row r="111" customFormat="false" ht="18" hidden="false" customHeight="true" outlineLevel="0" collapsed="false">
      <c r="A111" s="9" t="n">
        <f aca="false">IF($C111="","",ROW()-3)</f>
        <v>108</v>
      </c>
      <c r="B111" s="76" t="n">
        <v>46277</v>
      </c>
      <c r="C111" s="74" t="s">
        <v>464</v>
      </c>
      <c r="D111" s="78" t="s">
        <v>752</v>
      </c>
      <c r="E111" s="42"/>
      <c r="F111" s="74"/>
      <c r="G111" s="74" t="s">
        <v>585</v>
      </c>
      <c r="H111" s="44"/>
      <c r="I111" s="44" t="n">
        <v>1600</v>
      </c>
      <c r="J111" s="103" t="n">
        <f aca="false">IF($C111="","",ROUND(IFERROR(INDEX(期初余额!$I$4:$I$43,MATCH($C111,期初余额!$H$4:$H$43,0)),0)+SUMIFS($H$4:$H111,$C$4:$C111,$C111)-SUMIFS($I$4:$I111,$C$4:$C111,$C111),2))</f>
        <v>125761</v>
      </c>
      <c r="K111" s="104" t="str">
        <f aca="false">IF($T111&lt;&gt;"",$T111,IF($C111="","",IF(AND(N($I111)&gt;0,$G111&lt;&gt;""),IF(IFERROR(INDEX(科目表!$U$4:$U$123,MATCH($G111,科目表!$M$4:$M$123,0)),"")&amp;""="","管理费用",INDEX(科目表!$U$4:$U$123,MATCH($G111,科目表!$M$4:$M$123,0))),IF(N($H111)&gt;0,IF(IFERROR(INDEX(自动规则!$C$4:$C$143,MATCH($F111,自动规则!$B$4:$B$143,0)),"")&amp;""="","其他应收款",INDEX(自动规则!$C$4:$C$143,MATCH($F111,自动规则!$B$4:$B$143,0))),IF(IFERROR(INDEX(自动规则!$D$4:$D$143,MATCH($F111,自动规则!$B$4:$B$143,0)),"")&amp;""="","其他应付款",INDEX(自动规则!$D$4:$D$143,MATCH($F111,自动规则!$B$4:$B$143,0)))))))</f>
        <v>管理费用</v>
      </c>
      <c r="L111" s="43"/>
      <c r="M111" s="105" t="str">
        <f aca="false">IF($C111="","",IF(IFERROR(INDEX(科目表!$T$4:$T$123,MATCH($C111,科目表!$K$4:$K$123,0)),"")&amp;""="","其他货币资金",INDEX(科目表!$T$4:$T$123,MATCH($C111,科目表!$K$4:$K$123,0))))</f>
        <v>其他货币资金</v>
      </c>
      <c r="N111" s="39" t="str">
        <f aca="false">IF(OR($C111="",ROUND(N($H111)+N($I111),2)=0),"",IF(N($H111)&gt;0,$M111,$K111))</f>
        <v>管理费用</v>
      </c>
      <c r="O111" s="41" t="n">
        <f aca="false">IF($N111="","",ROUND(N($H111)+N($I111),2))</f>
        <v>1600</v>
      </c>
      <c r="P111" s="41" t="n">
        <f aca="false">IF($N111="","",0)</f>
        <v>0</v>
      </c>
      <c r="Q111" s="39" t="str">
        <f aca="false">IF($N111="","",IF(N($H111)&gt;0,$K111,$M111))</f>
        <v>其他货币资金</v>
      </c>
      <c r="R111" s="41" t="n">
        <f aca="false">IF($Q111="","",0)</f>
        <v>0</v>
      </c>
      <c r="S111" s="41" t="n">
        <f aca="false">IF($Q111="","",ROUND(N($H111)+N($I111),2))</f>
        <v>1600</v>
      </c>
      <c r="T111" s="42"/>
      <c r="U111" s="44"/>
      <c r="V111" s="41" t="str">
        <f aca="false">IF($B111="","",TEXT($B111,"yyyy年m月"))</f>
        <v>2026年9月</v>
      </c>
      <c r="W111" s="42"/>
      <c r="X111" s="42"/>
      <c r="Y111" s="9"/>
    </row>
    <row r="112" customFormat="false" ht="18" hidden="false" customHeight="true" outlineLevel="0" collapsed="false">
      <c r="A112" s="9" t="n">
        <f aca="false">IF($C112="","",ROW()-3)</f>
        <v>109</v>
      </c>
      <c r="B112" s="76" t="n">
        <v>46277</v>
      </c>
      <c r="C112" s="74" t="s">
        <v>464</v>
      </c>
      <c r="D112" s="43"/>
      <c r="E112" s="42"/>
      <c r="F112" s="74"/>
      <c r="G112" s="74" t="s">
        <v>562</v>
      </c>
      <c r="H112" s="44"/>
      <c r="I112" s="44" t="n">
        <v>200</v>
      </c>
      <c r="J112" s="103" t="n">
        <f aca="false">IF($C112="","",ROUND(IFERROR(INDEX(期初余额!$I$4:$I$43,MATCH($C112,期初余额!$H$4:$H$43,0)),0)+SUMIFS($H$4:$H112,$C$4:$C112,$C112)-SUMIFS($I$4:$I112,$C$4:$C112,$C112),2))</f>
        <v>125561</v>
      </c>
      <c r="K112" s="104" t="str">
        <f aca="false">IF($T112&lt;&gt;"",$T112,IF($C112="","",IF(AND(N($I112)&gt;0,$G112&lt;&gt;""),IF(IFERROR(INDEX(科目表!$U$4:$U$123,MATCH($G112,科目表!$M$4:$M$123,0)),"")&amp;""="","管理费用",INDEX(科目表!$U$4:$U$123,MATCH($G112,科目表!$M$4:$M$123,0))),IF(N($H112)&gt;0,IF(IFERROR(INDEX(自动规则!$C$4:$C$143,MATCH($F112,自动规则!$B$4:$B$143,0)),"")&amp;""="","其他应收款",INDEX(自动规则!$C$4:$C$143,MATCH($F112,自动规则!$B$4:$B$143,0))),IF(IFERROR(INDEX(自动规则!$D$4:$D$143,MATCH($F112,自动规则!$B$4:$B$143,0)),"")&amp;""="","其他应付款",INDEX(自动规则!$D$4:$D$143,MATCH($F112,自动规则!$B$4:$B$143,0)))))))</f>
        <v>管理费用</v>
      </c>
      <c r="L112" s="43"/>
      <c r="M112" s="105" t="str">
        <f aca="false">IF($C112="","",IF(IFERROR(INDEX(科目表!$T$4:$T$123,MATCH($C112,科目表!$K$4:$K$123,0)),"")&amp;""="","其他货币资金",INDEX(科目表!$T$4:$T$123,MATCH($C112,科目表!$K$4:$K$123,0))))</f>
        <v>其他货币资金</v>
      </c>
      <c r="N112" s="39" t="str">
        <f aca="false">IF(OR($C112="",ROUND(N($H112)+N($I112),2)=0),"",IF(N($H112)&gt;0,$M112,$K112))</f>
        <v>管理费用</v>
      </c>
      <c r="O112" s="41" t="n">
        <f aca="false">IF($N112="","",ROUND(N($H112)+N($I112),2))</f>
        <v>200</v>
      </c>
      <c r="P112" s="41" t="n">
        <f aca="false">IF($N112="","",0)</f>
        <v>0</v>
      </c>
      <c r="Q112" s="39" t="str">
        <f aca="false">IF($N112="","",IF(N($H112)&gt;0,$K112,$M112))</f>
        <v>其他货币资金</v>
      </c>
      <c r="R112" s="41" t="n">
        <f aca="false">IF($Q112="","",0)</f>
        <v>0</v>
      </c>
      <c r="S112" s="41" t="n">
        <f aca="false">IF($Q112="","",ROUND(N($H112)+N($I112),2))</f>
        <v>200</v>
      </c>
      <c r="T112" s="42"/>
      <c r="U112" s="44"/>
      <c r="V112" s="41" t="str">
        <f aca="false">IF($B112="","",TEXT($B112,"yyyy年m月"))</f>
        <v>2026年9月</v>
      </c>
      <c r="W112" s="42"/>
      <c r="X112" s="42"/>
      <c r="Y112" s="9"/>
    </row>
    <row r="113" customFormat="false" ht="18" hidden="false" customHeight="true" outlineLevel="0" collapsed="false">
      <c r="A113" s="9" t="n">
        <f aca="false">IF($C113="","",ROW()-3)</f>
        <v>110</v>
      </c>
      <c r="B113" s="76" t="n">
        <v>46278</v>
      </c>
      <c r="C113" s="74" t="s">
        <v>464</v>
      </c>
      <c r="D113" s="78" t="s">
        <v>752</v>
      </c>
      <c r="E113" s="42"/>
      <c r="F113" s="74"/>
      <c r="G113" s="74" t="s">
        <v>585</v>
      </c>
      <c r="H113" s="44"/>
      <c r="I113" s="44" t="n">
        <v>3000</v>
      </c>
      <c r="J113" s="103" t="n">
        <f aca="false">IF($C113="","",ROUND(IFERROR(INDEX(期初余额!$I$4:$I$43,MATCH($C113,期初余额!$H$4:$H$43,0)),0)+SUMIFS($H$4:$H113,$C$4:$C113,$C113)-SUMIFS($I$4:$I113,$C$4:$C113,$C113),2))</f>
        <v>122561</v>
      </c>
      <c r="K113" s="104" t="str">
        <f aca="false">IF($T113&lt;&gt;"",$T113,IF($C113="","",IF(AND(N($I113)&gt;0,$G113&lt;&gt;""),IF(IFERROR(INDEX(科目表!$U$4:$U$123,MATCH($G113,科目表!$M$4:$M$123,0)),"")&amp;""="","管理费用",INDEX(科目表!$U$4:$U$123,MATCH($G113,科目表!$M$4:$M$123,0))),IF(N($H113)&gt;0,IF(IFERROR(INDEX(自动规则!$C$4:$C$143,MATCH($F113,自动规则!$B$4:$B$143,0)),"")&amp;""="","其他应收款",INDEX(自动规则!$C$4:$C$143,MATCH($F113,自动规则!$B$4:$B$143,0))),IF(IFERROR(INDEX(自动规则!$D$4:$D$143,MATCH($F113,自动规则!$B$4:$B$143,0)),"")&amp;""="","其他应付款",INDEX(自动规则!$D$4:$D$143,MATCH($F113,自动规则!$B$4:$B$143,0)))))))</f>
        <v>管理费用</v>
      </c>
      <c r="L113" s="43"/>
      <c r="M113" s="105" t="str">
        <f aca="false">IF($C113="","",IF(IFERROR(INDEX(科目表!$T$4:$T$123,MATCH($C113,科目表!$K$4:$K$123,0)),"")&amp;""="","其他货币资金",INDEX(科目表!$T$4:$T$123,MATCH($C113,科目表!$K$4:$K$123,0))))</f>
        <v>其他货币资金</v>
      </c>
      <c r="N113" s="39" t="str">
        <f aca="false">IF(OR($C113="",ROUND(N($H113)+N($I113),2)=0),"",IF(N($H113)&gt;0,$M113,$K113))</f>
        <v>管理费用</v>
      </c>
      <c r="O113" s="41" t="n">
        <f aca="false">IF($N113="","",ROUND(N($H113)+N($I113),2))</f>
        <v>3000</v>
      </c>
      <c r="P113" s="41" t="n">
        <f aca="false">IF($N113="","",0)</f>
        <v>0</v>
      </c>
      <c r="Q113" s="39" t="str">
        <f aca="false">IF($N113="","",IF(N($H113)&gt;0,$K113,$M113))</f>
        <v>其他货币资金</v>
      </c>
      <c r="R113" s="41" t="n">
        <f aca="false">IF($Q113="","",0)</f>
        <v>0</v>
      </c>
      <c r="S113" s="41" t="n">
        <f aca="false">IF($Q113="","",ROUND(N($H113)+N($I113),2))</f>
        <v>3000</v>
      </c>
      <c r="T113" s="42"/>
      <c r="U113" s="44"/>
      <c r="V113" s="41" t="str">
        <f aca="false">IF($B113="","",TEXT($B113,"yyyy年m月"))</f>
        <v>2026年9月</v>
      </c>
      <c r="W113" s="42"/>
      <c r="X113" s="42"/>
      <c r="Y113" s="9"/>
    </row>
    <row r="114" customFormat="false" ht="18" hidden="false" customHeight="true" outlineLevel="0" collapsed="false">
      <c r="A114" s="9" t="n">
        <f aca="false">IF($C114="","",ROW()-3)</f>
        <v>111</v>
      </c>
      <c r="B114" s="76" t="n">
        <v>46278</v>
      </c>
      <c r="C114" s="74" t="s">
        <v>464</v>
      </c>
      <c r="D114" s="43"/>
      <c r="E114" s="74" t="s">
        <v>467</v>
      </c>
      <c r="F114" s="74" t="s">
        <v>299</v>
      </c>
      <c r="G114" s="74"/>
      <c r="H114" s="44"/>
      <c r="I114" s="44" t="n">
        <v>2000</v>
      </c>
      <c r="J114" s="103" t="n">
        <f aca="false">IF($C114="","",ROUND(IFERROR(INDEX(期初余额!$I$4:$I$43,MATCH($C114,期初余额!$H$4:$H$43,0)),0)+SUMIFS($H$4:$H114,$C$4:$C114,$C114)-SUMIFS($I$4:$I114,$C$4:$C114,$C114),2))</f>
        <v>120561</v>
      </c>
      <c r="K114" s="104" t="str">
        <f aca="false">IF($T114&lt;&gt;"",$T114,IF($C114="","",IF(AND(N($I114)&gt;0,$G114&lt;&gt;""),IF(IFERROR(INDEX(科目表!$U$4:$U$123,MATCH($G114,科目表!$M$4:$M$123,0)),"")&amp;""="","管理费用",INDEX(科目表!$U$4:$U$123,MATCH($G114,科目表!$M$4:$M$123,0))),IF(N($H114)&gt;0,IF(IFERROR(INDEX(自动规则!$C$4:$C$143,MATCH($F114,自动规则!$B$4:$B$143,0)),"")&amp;""="","其他应收款",INDEX(自动规则!$C$4:$C$143,MATCH($F114,自动规则!$B$4:$B$143,0))),IF(IFERROR(INDEX(自动规则!$D$4:$D$143,MATCH($F114,自动规则!$B$4:$B$143,0)),"")&amp;""="","其他应付款",INDEX(自动规则!$D$4:$D$143,MATCH($F114,自动规则!$B$4:$B$143,0)))))))</f>
        <v>其他应付款</v>
      </c>
      <c r="L114" s="43"/>
      <c r="M114" s="105" t="str">
        <f aca="false">IF($C114="","",IF(IFERROR(INDEX(科目表!$T$4:$T$123,MATCH($C114,科目表!$K$4:$K$123,0)),"")&amp;""="","其他货币资金",INDEX(科目表!$T$4:$T$123,MATCH($C114,科目表!$K$4:$K$123,0))))</f>
        <v>其他货币资金</v>
      </c>
      <c r="N114" s="39" t="str">
        <f aca="false">IF(OR($C114="",ROUND(N($H114)+N($I114),2)=0),"",IF(N($H114)&gt;0,$M114,$K114))</f>
        <v>其他应付款</v>
      </c>
      <c r="O114" s="41" t="n">
        <f aca="false">IF($N114="","",ROUND(N($H114)+N($I114),2))</f>
        <v>2000</v>
      </c>
      <c r="P114" s="41" t="n">
        <f aca="false">IF($N114="","",0)</f>
        <v>0</v>
      </c>
      <c r="Q114" s="39" t="str">
        <f aca="false">IF($N114="","",IF(N($H114)&gt;0,$K114,$M114))</f>
        <v>其他货币资金</v>
      </c>
      <c r="R114" s="41" t="n">
        <f aca="false">IF($Q114="","",0)</f>
        <v>0</v>
      </c>
      <c r="S114" s="41" t="n">
        <f aca="false">IF($Q114="","",ROUND(N($H114)+N($I114),2))</f>
        <v>2000</v>
      </c>
      <c r="T114" s="42"/>
      <c r="U114" s="44"/>
      <c r="V114" s="41" t="str">
        <f aca="false">IF($B114="","",TEXT($B114,"yyyy年m月"))</f>
        <v>2026年9月</v>
      </c>
      <c r="W114" s="42"/>
      <c r="X114" s="42"/>
      <c r="Y114" s="9"/>
    </row>
    <row r="115" customFormat="false" ht="18" hidden="false" customHeight="true" outlineLevel="0" collapsed="false">
      <c r="A115" s="9" t="n">
        <f aca="false">IF($C115="","",ROW()-3)</f>
        <v>112</v>
      </c>
      <c r="B115" s="76" t="n">
        <v>46278</v>
      </c>
      <c r="C115" s="74" t="s">
        <v>464</v>
      </c>
      <c r="D115" s="43"/>
      <c r="E115" s="74" t="s">
        <v>463</v>
      </c>
      <c r="F115" s="74" t="s">
        <v>299</v>
      </c>
      <c r="G115" s="74"/>
      <c r="H115" s="44"/>
      <c r="I115" s="44" t="n">
        <v>2000</v>
      </c>
      <c r="J115" s="103" t="n">
        <f aca="false">IF($C115="","",ROUND(IFERROR(INDEX(期初余额!$I$4:$I$43,MATCH($C115,期初余额!$H$4:$H$43,0)),0)+SUMIFS($H$4:$H115,$C$4:$C115,$C115)-SUMIFS($I$4:$I115,$C$4:$C115,$C115),2))</f>
        <v>118561</v>
      </c>
      <c r="K115" s="104" t="str">
        <f aca="false">IF($T115&lt;&gt;"",$T115,IF($C115="","",IF(AND(N($I115)&gt;0,$G115&lt;&gt;""),IF(IFERROR(INDEX(科目表!$U$4:$U$123,MATCH($G115,科目表!$M$4:$M$123,0)),"")&amp;""="","管理费用",INDEX(科目表!$U$4:$U$123,MATCH($G115,科目表!$M$4:$M$123,0))),IF(N($H115)&gt;0,IF(IFERROR(INDEX(自动规则!$C$4:$C$143,MATCH($F115,自动规则!$B$4:$B$143,0)),"")&amp;""="","其他应收款",INDEX(自动规则!$C$4:$C$143,MATCH($F115,自动规则!$B$4:$B$143,0))),IF(IFERROR(INDEX(自动规则!$D$4:$D$143,MATCH($F115,自动规则!$B$4:$B$143,0)),"")&amp;""="","其他应付款",INDEX(自动规则!$D$4:$D$143,MATCH($F115,自动规则!$B$4:$B$143,0)))))))</f>
        <v>其他应付款</v>
      </c>
      <c r="L115" s="43"/>
      <c r="M115" s="105" t="str">
        <f aca="false">IF($C115="","",IF(IFERROR(INDEX(科目表!$T$4:$T$123,MATCH($C115,科目表!$K$4:$K$123,0)),"")&amp;""="","其他货币资金",INDEX(科目表!$T$4:$T$123,MATCH($C115,科目表!$K$4:$K$123,0))))</f>
        <v>其他货币资金</v>
      </c>
      <c r="N115" s="39" t="str">
        <f aca="false">IF(OR($C115="",ROUND(N($H115)+N($I115),2)=0),"",IF(N($H115)&gt;0,$M115,$K115))</f>
        <v>其他应付款</v>
      </c>
      <c r="O115" s="41" t="n">
        <f aca="false">IF($N115="","",ROUND(N($H115)+N($I115),2))</f>
        <v>2000</v>
      </c>
      <c r="P115" s="41" t="n">
        <f aca="false">IF($N115="","",0)</f>
        <v>0</v>
      </c>
      <c r="Q115" s="39" t="str">
        <f aca="false">IF($N115="","",IF(N($H115)&gt;0,$K115,$M115))</f>
        <v>其他货币资金</v>
      </c>
      <c r="R115" s="41" t="n">
        <f aca="false">IF($Q115="","",0)</f>
        <v>0</v>
      </c>
      <c r="S115" s="41" t="n">
        <f aca="false">IF($Q115="","",ROUND(N($H115)+N($I115),2))</f>
        <v>2000</v>
      </c>
      <c r="T115" s="42"/>
      <c r="U115" s="44"/>
      <c r="V115" s="41" t="str">
        <f aca="false">IF($B115="","",TEXT($B115,"yyyy年m月"))</f>
        <v>2026年9月</v>
      </c>
      <c r="W115" s="42"/>
      <c r="X115" s="42"/>
      <c r="Y115" s="9"/>
    </row>
    <row r="116" customFormat="false" ht="18" hidden="false" customHeight="true" outlineLevel="0" collapsed="false">
      <c r="A116" s="9" t="n">
        <f aca="false">IF($C116="","",ROW()-3)</f>
        <v>113</v>
      </c>
      <c r="B116" s="76" t="n">
        <v>46278</v>
      </c>
      <c r="C116" s="74" t="s">
        <v>464</v>
      </c>
      <c r="D116" s="43"/>
      <c r="E116" s="74" t="s">
        <v>489</v>
      </c>
      <c r="F116" s="74" t="s">
        <v>299</v>
      </c>
      <c r="G116" s="74"/>
      <c r="H116" s="44"/>
      <c r="I116" s="44" t="n">
        <v>2000</v>
      </c>
      <c r="J116" s="103" t="n">
        <f aca="false">IF($C116="","",ROUND(IFERROR(INDEX(期初余额!$I$4:$I$43,MATCH($C116,期初余额!$H$4:$H$43,0)),0)+SUMIFS($H$4:$H116,$C$4:$C116,$C116)-SUMIFS($I$4:$I116,$C$4:$C116,$C116),2))</f>
        <v>116561</v>
      </c>
      <c r="K116" s="104" t="str">
        <f aca="false">IF($T116&lt;&gt;"",$T116,IF($C116="","",IF(AND(N($I116)&gt;0,$G116&lt;&gt;""),IF(IFERROR(INDEX(科目表!$U$4:$U$123,MATCH($G116,科目表!$M$4:$M$123,0)),"")&amp;""="","管理费用",INDEX(科目表!$U$4:$U$123,MATCH($G116,科目表!$M$4:$M$123,0))),IF(N($H116)&gt;0,IF(IFERROR(INDEX(自动规则!$C$4:$C$143,MATCH($F116,自动规则!$B$4:$B$143,0)),"")&amp;""="","其他应收款",INDEX(自动规则!$C$4:$C$143,MATCH($F116,自动规则!$B$4:$B$143,0))),IF(IFERROR(INDEX(自动规则!$D$4:$D$143,MATCH($F116,自动规则!$B$4:$B$143,0)),"")&amp;""="","其他应付款",INDEX(自动规则!$D$4:$D$143,MATCH($F116,自动规则!$B$4:$B$143,0)))))))</f>
        <v>其他应付款</v>
      </c>
      <c r="L116" s="43"/>
      <c r="M116" s="105" t="str">
        <f aca="false">IF($C116="","",IF(IFERROR(INDEX(科目表!$T$4:$T$123,MATCH($C116,科目表!$K$4:$K$123,0)),"")&amp;""="","其他货币资金",INDEX(科目表!$T$4:$T$123,MATCH($C116,科目表!$K$4:$K$123,0))))</f>
        <v>其他货币资金</v>
      </c>
      <c r="N116" s="39" t="str">
        <f aca="false">IF(OR($C116="",ROUND(N($H116)+N($I116),2)=0),"",IF(N($H116)&gt;0,$M116,$K116))</f>
        <v>其他应付款</v>
      </c>
      <c r="O116" s="41" t="n">
        <f aca="false">IF($N116="","",ROUND(N($H116)+N($I116),2))</f>
        <v>2000</v>
      </c>
      <c r="P116" s="41" t="n">
        <f aca="false">IF($N116="","",0)</f>
        <v>0</v>
      </c>
      <c r="Q116" s="39" t="str">
        <f aca="false">IF($N116="","",IF(N($H116)&gt;0,$K116,$M116))</f>
        <v>其他货币资金</v>
      </c>
      <c r="R116" s="41" t="n">
        <f aca="false">IF($Q116="","",0)</f>
        <v>0</v>
      </c>
      <c r="S116" s="41" t="n">
        <f aca="false">IF($Q116="","",ROUND(N($H116)+N($I116),2))</f>
        <v>2000</v>
      </c>
      <c r="T116" s="42"/>
      <c r="U116" s="44"/>
      <c r="V116" s="41" t="str">
        <f aca="false">IF($B116="","",TEXT($B116,"yyyy年m月"))</f>
        <v>2026年9月</v>
      </c>
      <c r="W116" s="42"/>
      <c r="X116" s="42"/>
      <c r="Y116" s="9"/>
    </row>
    <row r="117" customFormat="false" ht="18" hidden="false" customHeight="true" outlineLevel="0" collapsed="false">
      <c r="A117" s="9" t="n">
        <f aca="false">IF($C117="","",ROW()-3)</f>
        <v>114</v>
      </c>
      <c r="B117" s="76" t="n">
        <v>46279</v>
      </c>
      <c r="C117" s="74" t="s">
        <v>464</v>
      </c>
      <c r="D117" s="78" t="s">
        <v>753</v>
      </c>
      <c r="E117" s="42"/>
      <c r="F117" s="74" t="s">
        <v>299</v>
      </c>
      <c r="G117" s="74"/>
      <c r="H117" s="44"/>
      <c r="I117" s="44" t="n">
        <v>3000</v>
      </c>
      <c r="J117" s="103" t="n">
        <f aca="false">IF($C117="","",ROUND(IFERROR(INDEX(期初余额!$I$4:$I$43,MATCH($C117,期初余额!$H$4:$H$43,0)),0)+SUMIFS($H$4:$H117,$C$4:$C117,$C117)-SUMIFS($I$4:$I117,$C$4:$C117,$C117),2))</f>
        <v>113561</v>
      </c>
      <c r="K117" s="104" t="str">
        <f aca="false">IF($T117&lt;&gt;"",$T117,IF($C117="","",IF(AND(N($I117)&gt;0,$G117&lt;&gt;""),IF(IFERROR(INDEX(科目表!$U$4:$U$123,MATCH($G117,科目表!$M$4:$M$123,0)),"")&amp;""="","管理费用",INDEX(科目表!$U$4:$U$123,MATCH($G117,科目表!$M$4:$M$123,0))),IF(N($H117)&gt;0,IF(IFERROR(INDEX(自动规则!$C$4:$C$143,MATCH($F117,自动规则!$B$4:$B$143,0)),"")&amp;""="","其他应收款",INDEX(自动规则!$C$4:$C$143,MATCH($F117,自动规则!$B$4:$B$143,0))),IF(IFERROR(INDEX(自动规则!$D$4:$D$143,MATCH($F117,自动规则!$B$4:$B$143,0)),"")&amp;""="","其他应付款",INDEX(自动规则!$D$4:$D$143,MATCH($F117,自动规则!$B$4:$B$143,0)))))))</f>
        <v>其他应付款</v>
      </c>
      <c r="L117" s="43"/>
      <c r="M117" s="105" t="str">
        <f aca="false">IF($C117="","",IF(IFERROR(INDEX(科目表!$T$4:$T$123,MATCH($C117,科目表!$K$4:$K$123,0)),"")&amp;""="","其他货币资金",INDEX(科目表!$T$4:$T$123,MATCH($C117,科目表!$K$4:$K$123,0))))</f>
        <v>其他货币资金</v>
      </c>
      <c r="N117" s="39" t="str">
        <f aca="false">IF(OR($C117="",ROUND(N($H117)+N($I117),2)=0),"",IF(N($H117)&gt;0,$M117,$K117))</f>
        <v>其他应付款</v>
      </c>
      <c r="O117" s="41" t="n">
        <f aca="false">IF($N117="","",ROUND(N($H117)+N($I117),2))</f>
        <v>3000</v>
      </c>
      <c r="P117" s="41" t="n">
        <f aca="false">IF($N117="","",0)</f>
        <v>0</v>
      </c>
      <c r="Q117" s="39" t="str">
        <f aca="false">IF($N117="","",IF(N($H117)&gt;0,$K117,$M117))</f>
        <v>其他货币资金</v>
      </c>
      <c r="R117" s="41" t="n">
        <f aca="false">IF($Q117="","",0)</f>
        <v>0</v>
      </c>
      <c r="S117" s="41" t="n">
        <f aca="false">IF($Q117="","",ROUND(N($H117)+N($I117),2))</f>
        <v>3000</v>
      </c>
      <c r="T117" s="42"/>
      <c r="U117" s="44"/>
      <c r="V117" s="41" t="str">
        <f aca="false">IF($B117="","",TEXT($B117,"yyyy年m月"))</f>
        <v>2026年9月</v>
      </c>
      <c r="W117" s="42"/>
      <c r="X117" s="42"/>
      <c r="Y117" s="9"/>
    </row>
    <row r="118" customFormat="false" ht="18" hidden="false" customHeight="true" outlineLevel="0" collapsed="false">
      <c r="A118" s="9" t="n">
        <f aca="false">IF($C118="","",ROW()-3)</f>
        <v>115</v>
      </c>
      <c r="B118" s="76" t="n">
        <v>46280</v>
      </c>
      <c r="C118" s="74" t="s">
        <v>464</v>
      </c>
      <c r="D118" s="78" t="s">
        <v>754</v>
      </c>
      <c r="E118" s="42"/>
      <c r="F118" s="74" t="s">
        <v>296</v>
      </c>
      <c r="G118" s="74"/>
      <c r="H118" s="44" t="n">
        <v>100</v>
      </c>
      <c r="I118" s="44"/>
      <c r="J118" s="103" t="n">
        <f aca="false">IF($C118="","",ROUND(IFERROR(INDEX(期初余额!$I$4:$I$43,MATCH($C118,期初余额!$H$4:$H$43,0)),0)+SUMIFS($H$4:$H118,$C$4:$C118,$C118)-SUMIFS($I$4:$I118,$C$4:$C118,$C118),2))</f>
        <v>113661</v>
      </c>
      <c r="K118" s="104" t="str">
        <f aca="false">IF($T118&lt;&gt;"",$T118,IF($C118="","",IF(AND(N($I118)&gt;0,$G118&lt;&gt;""),IF(IFERROR(INDEX(科目表!$U$4:$U$123,MATCH($G118,科目表!$M$4:$M$123,0)),"")&amp;""="","管理费用",INDEX(科目表!$U$4:$U$123,MATCH($G118,科目表!$M$4:$M$123,0))),IF(N($H118)&gt;0,IF(IFERROR(INDEX(自动规则!$C$4:$C$143,MATCH($F118,自动规则!$B$4:$B$143,0)),"")&amp;""="","其他应收款",INDEX(自动规则!$C$4:$C$143,MATCH($F118,自动规则!$B$4:$B$143,0))),IF(IFERROR(INDEX(自动规则!$D$4:$D$143,MATCH($F118,自动规则!$B$4:$B$143,0)),"")&amp;""="","其他应付款",INDEX(自动规则!$D$4:$D$143,MATCH($F118,自动规则!$B$4:$B$143,0)))))))</f>
        <v>其他应付款</v>
      </c>
      <c r="L118" s="43"/>
      <c r="M118" s="105" t="str">
        <f aca="false">IF($C118="","",IF(IFERROR(INDEX(科目表!$T$4:$T$123,MATCH($C118,科目表!$K$4:$K$123,0)),"")&amp;""="","其他货币资金",INDEX(科目表!$T$4:$T$123,MATCH($C118,科目表!$K$4:$K$123,0))))</f>
        <v>其他货币资金</v>
      </c>
      <c r="N118" s="39" t="str">
        <f aca="false">IF(OR($C118="",ROUND(N($H118)+N($I118),2)=0),"",IF(N($H118)&gt;0,$M118,$K118))</f>
        <v>其他货币资金</v>
      </c>
      <c r="O118" s="41" t="n">
        <f aca="false">IF($N118="","",ROUND(N($H118)+N($I118),2))</f>
        <v>100</v>
      </c>
      <c r="P118" s="41" t="n">
        <f aca="false">IF($N118="","",0)</f>
        <v>0</v>
      </c>
      <c r="Q118" s="39" t="str">
        <f aca="false">IF($N118="","",IF(N($H118)&gt;0,$K118,$M118))</f>
        <v>其他应付款</v>
      </c>
      <c r="R118" s="41" t="n">
        <f aca="false">IF($Q118="","",0)</f>
        <v>0</v>
      </c>
      <c r="S118" s="41" t="n">
        <f aca="false">IF($Q118="","",ROUND(N($H118)+N($I118),2))</f>
        <v>100</v>
      </c>
      <c r="T118" s="42"/>
      <c r="U118" s="44"/>
      <c r="V118" s="41" t="str">
        <f aca="false">IF($B118="","",TEXT($B118,"yyyy年m月"))</f>
        <v>2026年9月</v>
      </c>
      <c r="W118" s="42"/>
      <c r="X118" s="42"/>
      <c r="Y118" s="9"/>
    </row>
    <row r="119" customFormat="false" ht="18" hidden="false" customHeight="true" outlineLevel="0" collapsed="false">
      <c r="A119" s="9" t="n">
        <f aca="false">IF($C119="","",ROW()-3)</f>
        <v>116</v>
      </c>
      <c r="B119" s="76" t="n">
        <v>46281</v>
      </c>
      <c r="C119" s="74" t="s">
        <v>464</v>
      </c>
      <c r="D119" s="43"/>
      <c r="E119" s="42"/>
      <c r="F119" s="74"/>
      <c r="G119" s="74" t="s">
        <v>510</v>
      </c>
      <c r="H119" s="44"/>
      <c r="I119" s="44" t="n">
        <v>1800</v>
      </c>
      <c r="J119" s="103" t="n">
        <f aca="false">IF($C119="","",ROUND(IFERROR(INDEX(期初余额!$I$4:$I$43,MATCH($C119,期初余额!$H$4:$H$43,0)),0)+SUMIFS($H$4:$H119,$C$4:$C119,$C119)-SUMIFS($I$4:$I119,$C$4:$C119,$C119),2))</f>
        <v>111861</v>
      </c>
      <c r="K119" s="104" t="str">
        <f aca="false">IF($T119&lt;&gt;"",$T119,IF($C119="","",IF(AND(N($I119)&gt;0,$G119&lt;&gt;""),IF(IFERROR(INDEX(科目表!$U$4:$U$123,MATCH($G119,科目表!$M$4:$M$123,0)),"")&amp;""="","管理费用",INDEX(科目表!$U$4:$U$123,MATCH($G119,科目表!$M$4:$M$123,0))),IF(N($H119)&gt;0,IF(IFERROR(INDEX(自动规则!$C$4:$C$143,MATCH($F119,自动规则!$B$4:$B$143,0)),"")&amp;""="","其他应收款",INDEX(自动规则!$C$4:$C$143,MATCH($F119,自动规则!$B$4:$B$143,0))),IF(IFERROR(INDEX(自动规则!$D$4:$D$143,MATCH($F119,自动规则!$B$4:$B$143,0)),"")&amp;""="","其他应付款",INDEX(自动规则!$D$4:$D$143,MATCH($F119,自动规则!$B$4:$B$143,0)))))))</f>
        <v>主营业务成本</v>
      </c>
      <c r="L119" s="43"/>
      <c r="M119" s="105" t="str">
        <f aca="false">IF($C119="","",IF(IFERROR(INDEX(科目表!$T$4:$T$123,MATCH($C119,科目表!$K$4:$K$123,0)),"")&amp;""="","其他货币资金",INDEX(科目表!$T$4:$T$123,MATCH($C119,科目表!$K$4:$K$123,0))))</f>
        <v>其他货币资金</v>
      </c>
      <c r="N119" s="39" t="str">
        <f aca="false">IF(OR($C119="",ROUND(N($H119)+N($I119),2)=0),"",IF(N($H119)&gt;0,$M119,$K119))</f>
        <v>主营业务成本</v>
      </c>
      <c r="O119" s="41" t="n">
        <f aca="false">IF($N119="","",ROUND(N($H119)+N($I119),2))</f>
        <v>1800</v>
      </c>
      <c r="P119" s="41" t="n">
        <f aca="false">IF($N119="","",0)</f>
        <v>0</v>
      </c>
      <c r="Q119" s="39" t="str">
        <f aca="false">IF($N119="","",IF(N($H119)&gt;0,$K119,$M119))</f>
        <v>其他货币资金</v>
      </c>
      <c r="R119" s="41" t="n">
        <f aca="false">IF($Q119="","",0)</f>
        <v>0</v>
      </c>
      <c r="S119" s="41" t="n">
        <f aca="false">IF($Q119="","",ROUND(N($H119)+N($I119),2))</f>
        <v>1800</v>
      </c>
      <c r="T119" s="42"/>
      <c r="U119" s="44"/>
      <c r="V119" s="41" t="str">
        <f aca="false">IF($B119="","",TEXT($B119,"yyyy年m月"))</f>
        <v>2026年9月</v>
      </c>
      <c r="W119" s="42"/>
      <c r="X119" s="42"/>
      <c r="Y119" s="9"/>
    </row>
    <row r="120" customFormat="false" ht="18" hidden="false" customHeight="true" outlineLevel="0" collapsed="false">
      <c r="A120" s="9" t="n">
        <f aca="false">IF($C120="","",ROW()-3)</f>
        <v>117</v>
      </c>
      <c r="B120" s="76" t="n">
        <v>46281</v>
      </c>
      <c r="C120" s="74" t="s">
        <v>464</v>
      </c>
      <c r="D120" s="78" t="s">
        <v>755</v>
      </c>
      <c r="E120" s="42"/>
      <c r="F120" s="74" t="s">
        <v>299</v>
      </c>
      <c r="G120" s="74"/>
      <c r="H120" s="44"/>
      <c r="I120" s="44" t="n">
        <v>100</v>
      </c>
      <c r="J120" s="103" t="n">
        <f aca="false">IF($C120="","",ROUND(IFERROR(INDEX(期初余额!$I$4:$I$43,MATCH($C120,期初余额!$H$4:$H$43,0)),0)+SUMIFS($H$4:$H120,$C$4:$C120,$C120)-SUMIFS($I$4:$I120,$C$4:$C120,$C120),2))</f>
        <v>111761</v>
      </c>
      <c r="K120" s="104" t="str">
        <f aca="false">IF($T120&lt;&gt;"",$T120,IF($C120="","",IF(AND(N($I120)&gt;0,$G120&lt;&gt;""),IF(IFERROR(INDEX(科目表!$U$4:$U$123,MATCH($G120,科目表!$M$4:$M$123,0)),"")&amp;""="","管理费用",INDEX(科目表!$U$4:$U$123,MATCH($G120,科目表!$M$4:$M$123,0))),IF(N($H120)&gt;0,IF(IFERROR(INDEX(自动规则!$C$4:$C$143,MATCH($F120,自动规则!$B$4:$B$143,0)),"")&amp;""="","其他应收款",INDEX(自动规则!$C$4:$C$143,MATCH($F120,自动规则!$B$4:$B$143,0))),IF(IFERROR(INDEX(自动规则!$D$4:$D$143,MATCH($F120,自动规则!$B$4:$B$143,0)),"")&amp;""="","其他应付款",INDEX(自动规则!$D$4:$D$143,MATCH($F120,自动规则!$B$4:$B$143,0)))))))</f>
        <v>其他应付款</v>
      </c>
      <c r="L120" s="43"/>
      <c r="M120" s="105" t="str">
        <f aca="false">IF($C120="","",IF(IFERROR(INDEX(科目表!$T$4:$T$123,MATCH($C120,科目表!$K$4:$K$123,0)),"")&amp;""="","其他货币资金",INDEX(科目表!$T$4:$T$123,MATCH($C120,科目表!$K$4:$K$123,0))))</f>
        <v>其他货币资金</v>
      </c>
      <c r="N120" s="39" t="str">
        <f aca="false">IF(OR($C120="",ROUND(N($H120)+N($I120),2)=0),"",IF(N($H120)&gt;0,$M120,$K120))</f>
        <v>其他应付款</v>
      </c>
      <c r="O120" s="41" t="n">
        <f aca="false">IF($N120="","",ROUND(N($H120)+N($I120),2))</f>
        <v>100</v>
      </c>
      <c r="P120" s="41" t="n">
        <f aca="false">IF($N120="","",0)</f>
        <v>0</v>
      </c>
      <c r="Q120" s="39" t="str">
        <f aca="false">IF($N120="","",IF(N($H120)&gt;0,$K120,$M120))</f>
        <v>其他货币资金</v>
      </c>
      <c r="R120" s="41" t="n">
        <f aca="false">IF($Q120="","",0)</f>
        <v>0</v>
      </c>
      <c r="S120" s="41" t="n">
        <f aca="false">IF($Q120="","",ROUND(N($H120)+N($I120),2))</f>
        <v>100</v>
      </c>
      <c r="T120" s="42"/>
      <c r="U120" s="44"/>
      <c r="V120" s="41" t="str">
        <f aca="false">IF($B120="","",TEXT($B120,"yyyy年m月"))</f>
        <v>2026年9月</v>
      </c>
      <c r="W120" s="42"/>
      <c r="X120" s="42"/>
      <c r="Y120" s="9"/>
    </row>
    <row r="121" customFormat="false" ht="18" hidden="false" customHeight="true" outlineLevel="0" collapsed="false">
      <c r="A121" s="9" t="n">
        <f aca="false">IF($C121="","",ROW()-3)</f>
        <v>118</v>
      </c>
      <c r="B121" s="76" t="n">
        <v>46281</v>
      </c>
      <c r="C121" s="74" t="s">
        <v>464</v>
      </c>
      <c r="D121" s="43"/>
      <c r="E121" s="42"/>
      <c r="F121" s="74" t="s">
        <v>380</v>
      </c>
      <c r="G121" s="74"/>
      <c r="H121" s="44"/>
      <c r="I121" s="44" t="n">
        <v>2000</v>
      </c>
      <c r="J121" s="103" t="n">
        <f aca="false">IF($C121="","",ROUND(IFERROR(INDEX(期初余额!$I$4:$I$43,MATCH($C121,期初余额!$H$4:$H$43,0)),0)+SUMIFS($H$4:$H121,$C$4:$C121,$C121)-SUMIFS($I$4:$I121,$C$4:$C121,$C121),2))</f>
        <v>109761</v>
      </c>
      <c r="K121" s="104" t="str">
        <f aca="false">IF($T121&lt;&gt;"",$T121,IF($C121="","",IF(AND(N($I121)&gt;0,$G121&lt;&gt;""),IF(IFERROR(INDEX(科目表!$U$4:$U$123,MATCH($G121,科目表!$M$4:$M$123,0)),"")&amp;""="","管理费用",INDEX(科目表!$U$4:$U$123,MATCH($G121,科目表!$M$4:$M$123,0))),IF(N($H121)&gt;0,IF(IFERROR(INDEX(自动规则!$C$4:$C$143,MATCH($F121,自动规则!$B$4:$B$143,0)),"")&amp;""="","其他应收款",INDEX(自动规则!$C$4:$C$143,MATCH($F121,自动规则!$B$4:$B$143,0))),IF(IFERROR(INDEX(自动规则!$D$4:$D$143,MATCH($F121,自动规则!$B$4:$B$143,0)),"")&amp;""="","其他应付款",INDEX(自动规则!$D$4:$D$143,MATCH($F121,自动规则!$B$4:$B$143,0)))))))</f>
        <v>应付账款</v>
      </c>
      <c r="L121" s="43"/>
      <c r="M121" s="105" t="str">
        <f aca="false">IF($C121="","",IF(IFERROR(INDEX(科目表!$T$4:$T$123,MATCH($C121,科目表!$K$4:$K$123,0)),"")&amp;""="","其他货币资金",INDEX(科目表!$T$4:$T$123,MATCH($C121,科目表!$K$4:$K$123,0))))</f>
        <v>其他货币资金</v>
      </c>
      <c r="N121" s="39" t="str">
        <f aca="false">IF(OR($C121="",ROUND(N($H121)+N($I121),2)=0),"",IF(N($H121)&gt;0,$M121,$K121))</f>
        <v>应付账款</v>
      </c>
      <c r="O121" s="41" t="n">
        <f aca="false">IF($N121="","",ROUND(N($H121)+N($I121),2))</f>
        <v>2000</v>
      </c>
      <c r="P121" s="41" t="n">
        <f aca="false">IF($N121="","",0)</f>
        <v>0</v>
      </c>
      <c r="Q121" s="39" t="str">
        <f aca="false">IF($N121="","",IF(N($H121)&gt;0,$K121,$M121))</f>
        <v>其他货币资金</v>
      </c>
      <c r="R121" s="41" t="n">
        <f aca="false">IF($Q121="","",0)</f>
        <v>0</v>
      </c>
      <c r="S121" s="41" t="n">
        <f aca="false">IF($Q121="","",ROUND(N($H121)+N($I121),2))</f>
        <v>2000</v>
      </c>
      <c r="T121" s="42"/>
      <c r="U121" s="44"/>
      <c r="V121" s="41" t="str">
        <f aca="false">IF($B121="","",TEXT($B121,"yyyy年m月"))</f>
        <v>2026年9月</v>
      </c>
      <c r="W121" s="42"/>
      <c r="X121" s="42"/>
      <c r="Y121" s="9"/>
    </row>
    <row r="122" customFormat="false" ht="18" hidden="false" customHeight="true" outlineLevel="0" collapsed="false">
      <c r="A122" s="9" t="n">
        <f aca="false">IF($C122="","",ROW()-3)</f>
        <v>119</v>
      </c>
      <c r="B122" s="76" t="n">
        <v>46281</v>
      </c>
      <c r="C122" s="74" t="s">
        <v>464</v>
      </c>
      <c r="D122" s="43"/>
      <c r="E122" s="42"/>
      <c r="F122" s="74" t="s">
        <v>380</v>
      </c>
      <c r="G122" s="74"/>
      <c r="H122" s="44"/>
      <c r="I122" s="44" t="n">
        <v>3000</v>
      </c>
      <c r="J122" s="103" t="n">
        <f aca="false">IF($C122="","",ROUND(IFERROR(INDEX(期初余额!$I$4:$I$43,MATCH($C122,期初余额!$H$4:$H$43,0)),0)+SUMIFS($H$4:$H122,$C$4:$C122,$C122)-SUMIFS($I$4:$I122,$C$4:$C122,$C122),2))</f>
        <v>106761</v>
      </c>
      <c r="K122" s="104" t="str">
        <f aca="false">IF($T122&lt;&gt;"",$T122,IF($C122="","",IF(AND(N($I122)&gt;0,$G122&lt;&gt;""),IF(IFERROR(INDEX(科目表!$U$4:$U$123,MATCH($G122,科目表!$M$4:$M$123,0)),"")&amp;""="","管理费用",INDEX(科目表!$U$4:$U$123,MATCH($G122,科目表!$M$4:$M$123,0))),IF(N($H122)&gt;0,IF(IFERROR(INDEX(自动规则!$C$4:$C$143,MATCH($F122,自动规则!$B$4:$B$143,0)),"")&amp;""="","其他应收款",INDEX(自动规则!$C$4:$C$143,MATCH($F122,自动规则!$B$4:$B$143,0))),IF(IFERROR(INDEX(自动规则!$D$4:$D$143,MATCH($F122,自动规则!$B$4:$B$143,0)),"")&amp;""="","其他应付款",INDEX(自动规则!$D$4:$D$143,MATCH($F122,自动规则!$B$4:$B$143,0)))))))</f>
        <v>应付账款</v>
      </c>
      <c r="L122" s="43"/>
      <c r="M122" s="105" t="str">
        <f aca="false">IF($C122="","",IF(IFERROR(INDEX(科目表!$T$4:$T$123,MATCH($C122,科目表!$K$4:$K$123,0)),"")&amp;""="","其他货币资金",INDEX(科目表!$T$4:$T$123,MATCH($C122,科目表!$K$4:$K$123,0))))</f>
        <v>其他货币资金</v>
      </c>
      <c r="N122" s="39" t="str">
        <f aca="false">IF(OR($C122="",ROUND(N($H122)+N($I122),2)=0),"",IF(N($H122)&gt;0,$M122,$K122))</f>
        <v>应付账款</v>
      </c>
      <c r="O122" s="41" t="n">
        <f aca="false">IF($N122="","",ROUND(N($H122)+N($I122),2))</f>
        <v>3000</v>
      </c>
      <c r="P122" s="41" t="n">
        <f aca="false">IF($N122="","",0)</f>
        <v>0</v>
      </c>
      <c r="Q122" s="39" t="str">
        <f aca="false">IF($N122="","",IF(N($H122)&gt;0,$K122,$M122))</f>
        <v>其他货币资金</v>
      </c>
      <c r="R122" s="41" t="n">
        <f aca="false">IF($Q122="","",0)</f>
        <v>0</v>
      </c>
      <c r="S122" s="41" t="n">
        <f aca="false">IF($Q122="","",ROUND(N($H122)+N($I122),2))</f>
        <v>3000</v>
      </c>
      <c r="T122" s="42"/>
      <c r="U122" s="44"/>
      <c r="V122" s="41" t="str">
        <f aca="false">IF($B122="","",TEXT($B122,"yyyy年m月"))</f>
        <v>2026年9月</v>
      </c>
      <c r="W122" s="42"/>
      <c r="X122" s="42"/>
      <c r="Y122" s="9"/>
    </row>
    <row r="123" customFormat="false" ht="18" hidden="false" customHeight="true" outlineLevel="0" collapsed="false">
      <c r="A123" s="9" t="n">
        <f aca="false">IF($C123="","",ROW()-3)</f>
        <v>120</v>
      </c>
      <c r="B123" s="76" t="n">
        <v>46281</v>
      </c>
      <c r="C123" s="74" t="s">
        <v>464</v>
      </c>
      <c r="D123" s="43"/>
      <c r="E123" s="42"/>
      <c r="F123" s="74"/>
      <c r="G123" s="74" t="s">
        <v>562</v>
      </c>
      <c r="H123" s="44"/>
      <c r="I123" s="44" t="n">
        <v>229</v>
      </c>
      <c r="J123" s="103" t="n">
        <f aca="false">IF($C123="","",ROUND(IFERROR(INDEX(期初余额!$I$4:$I$43,MATCH($C123,期初余额!$H$4:$H$43,0)),0)+SUMIFS($H$4:$H123,$C$4:$C123,$C123)-SUMIFS($I$4:$I123,$C$4:$C123,$C123),2))</f>
        <v>106532</v>
      </c>
      <c r="K123" s="104" t="str">
        <f aca="false">IF($T123&lt;&gt;"",$T123,IF($C123="","",IF(AND(N($I123)&gt;0,$G123&lt;&gt;""),IF(IFERROR(INDEX(科目表!$U$4:$U$123,MATCH($G123,科目表!$M$4:$M$123,0)),"")&amp;""="","管理费用",INDEX(科目表!$U$4:$U$123,MATCH($G123,科目表!$M$4:$M$123,0))),IF(N($H123)&gt;0,IF(IFERROR(INDEX(自动规则!$C$4:$C$143,MATCH($F123,自动规则!$B$4:$B$143,0)),"")&amp;""="","其他应收款",INDEX(自动规则!$C$4:$C$143,MATCH($F123,自动规则!$B$4:$B$143,0))),IF(IFERROR(INDEX(自动规则!$D$4:$D$143,MATCH($F123,自动规则!$B$4:$B$143,0)),"")&amp;""="","其他应付款",INDEX(自动规则!$D$4:$D$143,MATCH($F123,自动规则!$B$4:$B$143,0)))))))</f>
        <v>管理费用</v>
      </c>
      <c r="L123" s="43"/>
      <c r="M123" s="105" t="str">
        <f aca="false">IF($C123="","",IF(IFERROR(INDEX(科目表!$T$4:$T$123,MATCH($C123,科目表!$K$4:$K$123,0)),"")&amp;""="","其他货币资金",INDEX(科目表!$T$4:$T$123,MATCH($C123,科目表!$K$4:$K$123,0))))</f>
        <v>其他货币资金</v>
      </c>
      <c r="N123" s="39" t="str">
        <f aca="false">IF(OR($C123="",ROUND(N($H123)+N($I123),2)=0),"",IF(N($H123)&gt;0,$M123,$K123))</f>
        <v>管理费用</v>
      </c>
      <c r="O123" s="41" t="n">
        <f aca="false">IF($N123="","",ROUND(N($H123)+N($I123),2))</f>
        <v>229</v>
      </c>
      <c r="P123" s="41" t="n">
        <f aca="false">IF($N123="","",0)</f>
        <v>0</v>
      </c>
      <c r="Q123" s="39" t="str">
        <f aca="false">IF($N123="","",IF(N($H123)&gt;0,$K123,$M123))</f>
        <v>其他货币资金</v>
      </c>
      <c r="R123" s="41" t="n">
        <f aca="false">IF($Q123="","",0)</f>
        <v>0</v>
      </c>
      <c r="S123" s="41" t="n">
        <f aca="false">IF($Q123="","",ROUND(N($H123)+N($I123),2))</f>
        <v>229</v>
      </c>
      <c r="T123" s="42"/>
      <c r="U123" s="44"/>
      <c r="V123" s="41" t="str">
        <f aca="false">IF($B123="","",TEXT($B123,"yyyy年m月"))</f>
        <v>2026年9月</v>
      </c>
      <c r="W123" s="42"/>
      <c r="X123" s="42"/>
      <c r="Y123" s="9"/>
    </row>
    <row r="124" customFormat="false" ht="18" hidden="false" customHeight="true" outlineLevel="0" collapsed="false">
      <c r="A124" s="9" t="n">
        <f aca="false">IF($C124="","",ROW()-3)</f>
        <v>121</v>
      </c>
      <c r="B124" s="76" t="n">
        <v>46282</v>
      </c>
      <c r="C124" s="74" t="s">
        <v>464</v>
      </c>
      <c r="D124" s="78" t="s">
        <v>756</v>
      </c>
      <c r="E124" s="42"/>
      <c r="F124" s="74" t="s">
        <v>296</v>
      </c>
      <c r="G124" s="74"/>
      <c r="H124" s="44" t="n">
        <v>375</v>
      </c>
      <c r="I124" s="44"/>
      <c r="J124" s="103" t="n">
        <f aca="false">IF($C124="","",ROUND(IFERROR(INDEX(期初余额!$I$4:$I$43,MATCH($C124,期初余额!$H$4:$H$43,0)),0)+SUMIFS($H$4:$H124,$C$4:$C124,$C124)-SUMIFS($I$4:$I124,$C$4:$C124,$C124),2))</f>
        <v>106907</v>
      </c>
      <c r="K124" s="104" t="str">
        <f aca="false">IF($T124&lt;&gt;"",$T124,IF($C124="","",IF(AND(N($I124)&gt;0,$G124&lt;&gt;""),IF(IFERROR(INDEX(科目表!$U$4:$U$123,MATCH($G124,科目表!$M$4:$M$123,0)),"")&amp;""="","管理费用",INDEX(科目表!$U$4:$U$123,MATCH($G124,科目表!$M$4:$M$123,0))),IF(N($H124)&gt;0,IF(IFERROR(INDEX(自动规则!$C$4:$C$143,MATCH($F124,自动规则!$B$4:$B$143,0)),"")&amp;""="","其他应收款",INDEX(自动规则!$C$4:$C$143,MATCH($F124,自动规则!$B$4:$B$143,0))),IF(IFERROR(INDEX(自动规则!$D$4:$D$143,MATCH($F124,自动规则!$B$4:$B$143,0)),"")&amp;""="","其他应付款",INDEX(自动规则!$D$4:$D$143,MATCH($F124,自动规则!$B$4:$B$143,0)))))))</f>
        <v>其他应付款</v>
      </c>
      <c r="L124" s="43"/>
      <c r="M124" s="105" t="str">
        <f aca="false">IF($C124="","",IF(IFERROR(INDEX(科目表!$T$4:$T$123,MATCH($C124,科目表!$K$4:$K$123,0)),"")&amp;""="","其他货币资金",INDEX(科目表!$T$4:$T$123,MATCH($C124,科目表!$K$4:$K$123,0))))</f>
        <v>其他货币资金</v>
      </c>
      <c r="N124" s="39" t="str">
        <f aca="false">IF(OR($C124="",ROUND(N($H124)+N($I124),2)=0),"",IF(N($H124)&gt;0,$M124,$K124))</f>
        <v>其他货币资金</v>
      </c>
      <c r="O124" s="41" t="n">
        <f aca="false">IF($N124="","",ROUND(N($H124)+N($I124),2))</f>
        <v>375</v>
      </c>
      <c r="P124" s="41" t="n">
        <f aca="false">IF($N124="","",0)</f>
        <v>0</v>
      </c>
      <c r="Q124" s="39" t="str">
        <f aca="false">IF($N124="","",IF(N($H124)&gt;0,$K124,$M124))</f>
        <v>其他应付款</v>
      </c>
      <c r="R124" s="41" t="n">
        <f aca="false">IF($Q124="","",0)</f>
        <v>0</v>
      </c>
      <c r="S124" s="41" t="n">
        <f aca="false">IF($Q124="","",ROUND(N($H124)+N($I124),2))</f>
        <v>375</v>
      </c>
      <c r="T124" s="42"/>
      <c r="U124" s="44"/>
      <c r="V124" s="41" t="str">
        <f aca="false">IF($B124="","",TEXT($B124,"yyyy年m月"))</f>
        <v>2026年9月</v>
      </c>
      <c r="W124" s="42"/>
      <c r="X124" s="42"/>
      <c r="Y124" s="9"/>
    </row>
    <row r="125" customFormat="false" ht="18" hidden="false" customHeight="true" outlineLevel="0" collapsed="false">
      <c r="A125" s="9" t="n">
        <f aca="false">IF($C125="","",ROW()-3)</f>
        <v>122</v>
      </c>
      <c r="B125" s="76" t="n">
        <v>46282</v>
      </c>
      <c r="C125" s="74" t="s">
        <v>464</v>
      </c>
      <c r="D125" s="78" t="s">
        <v>757</v>
      </c>
      <c r="E125" s="42"/>
      <c r="F125" s="74"/>
      <c r="G125" s="74" t="s">
        <v>585</v>
      </c>
      <c r="H125" s="44"/>
      <c r="I125" s="44" t="n">
        <v>1160</v>
      </c>
      <c r="J125" s="103" t="n">
        <f aca="false">IF($C125="","",ROUND(IFERROR(INDEX(期初余额!$I$4:$I$43,MATCH($C125,期初余额!$H$4:$H$43,0)),0)+SUMIFS($H$4:$H125,$C$4:$C125,$C125)-SUMIFS($I$4:$I125,$C$4:$C125,$C125),2))</f>
        <v>105747</v>
      </c>
      <c r="K125" s="104" t="str">
        <f aca="false">IF($T125&lt;&gt;"",$T125,IF($C125="","",IF(AND(N($I125)&gt;0,$G125&lt;&gt;""),IF(IFERROR(INDEX(科目表!$U$4:$U$123,MATCH($G125,科目表!$M$4:$M$123,0)),"")&amp;""="","管理费用",INDEX(科目表!$U$4:$U$123,MATCH($G125,科目表!$M$4:$M$123,0))),IF(N($H125)&gt;0,IF(IFERROR(INDEX(自动规则!$C$4:$C$143,MATCH($F125,自动规则!$B$4:$B$143,0)),"")&amp;""="","其他应收款",INDEX(自动规则!$C$4:$C$143,MATCH($F125,自动规则!$B$4:$B$143,0))),IF(IFERROR(INDEX(自动规则!$D$4:$D$143,MATCH($F125,自动规则!$B$4:$B$143,0)),"")&amp;""="","其他应付款",INDEX(自动规则!$D$4:$D$143,MATCH($F125,自动规则!$B$4:$B$143,0)))))))</f>
        <v>管理费用</v>
      </c>
      <c r="L125" s="43"/>
      <c r="M125" s="105" t="str">
        <f aca="false">IF($C125="","",IF(IFERROR(INDEX(科目表!$T$4:$T$123,MATCH($C125,科目表!$K$4:$K$123,0)),"")&amp;""="","其他货币资金",INDEX(科目表!$T$4:$T$123,MATCH($C125,科目表!$K$4:$K$123,0))))</f>
        <v>其他货币资金</v>
      </c>
      <c r="N125" s="39" t="str">
        <f aca="false">IF(OR($C125="",ROUND(N($H125)+N($I125),2)=0),"",IF(N($H125)&gt;0,$M125,$K125))</f>
        <v>管理费用</v>
      </c>
      <c r="O125" s="41" t="n">
        <f aca="false">IF($N125="","",ROUND(N($H125)+N($I125),2))</f>
        <v>1160</v>
      </c>
      <c r="P125" s="41" t="n">
        <f aca="false">IF($N125="","",0)</f>
        <v>0</v>
      </c>
      <c r="Q125" s="39" t="str">
        <f aca="false">IF($N125="","",IF(N($H125)&gt;0,$K125,$M125))</f>
        <v>其他货币资金</v>
      </c>
      <c r="R125" s="41" t="n">
        <f aca="false">IF($Q125="","",0)</f>
        <v>0</v>
      </c>
      <c r="S125" s="41" t="n">
        <f aca="false">IF($Q125="","",ROUND(N($H125)+N($I125),2))</f>
        <v>1160</v>
      </c>
      <c r="T125" s="42"/>
      <c r="U125" s="44"/>
      <c r="V125" s="41" t="str">
        <f aca="false">IF($B125="","",TEXT($B125,"yyyy年m月"))</f>
        <v>2026年9月</v>
      </c>
      <c r="W125" s="42"/>
      <c r="X125" s="42"/>
      <c r="Y125" s="9"/>
    </row>
    <row r="126" customFormat="false" ht="18" hidden="false" customHeight="true" outlineLevel="0" collapsed="false">
      <c r="A126" s="9" t="n">
        <f aca="false">IF($C126="","",ROW()-3)</f>
        <v>123</v>
      </c>
      <c r="B126" s="76" t="n">
        <v>46282</v>
      </c>
      <c r="C126" s="74" t="s">
        <v>464</v>
      </c>
      <c r="D126" s="78" t="s">
        <v>752</v>
      </c>
      <c r="E126" s="42"/>
      <c r="F126" s="74"/>
      <c r="G126" s="74" t="s">
        <v>585</v>
      </c>
      <c r="H126" s="44"/>
      <c r="I126" s="44" t="n">
        <v>1200</v>
      </c>
      <c r="J126" s="103" t="n">
        <f aca="false">IF($C126="","",ROUND(IFERROR(INDEX(期初余额!$I$4:$I$43,MATCH($C126,期初余额!$H$4:$H$43,0)),0)+SUMIFS($H$4:$H126,$C$4:$C126,$C126)-SUMIFS($I$4:$I126,$C$4:$C126,$C126),2))</f>
        <v>104547</v>
      </c>
      <c r="K126" s="104" t="str">
        <f aca="false">IF($T126&lt;&gt;"",$T126,IF($C126="","",IF(AND(N($I126)&gt;0,$G126&lt;&gt;""),IF(IFERROR(INDEX(科目表!$U$4:$U$123,MATCH($G126,科目表!$M$4:$M$123,0)),"")&amp;""="","管理费用",INDEX(科目表!$U$4:$U$123,MATCH($G126,科目表!$M$4:$M$123,0))),IF(N($H126)&gt;0,IF(IFERROR(INDEX(自动规则!$C$4:$C$143,MATCH($F126,自动规则!$B$4:$B$143,0)),"")&amp;""="","其他应收款",INDEX(自动规则!$C$4:$C$143,MATCH($F126,自动规则!$B$4:$B$143,0))),IF(IFERROR(INDEX(自动规则!$D$4:$D$143,MATCH($F126,自动规则!$B$4:$B$143,0)),"")&amp;""="","其他应付款",INDEX(自动规则!$D$4:$D$143,MATCH($F126,自动规则!$B$4:$B$143,0)))))))</f>
        <v>管理费用</v>
      </c>
      <c r="L126" s="43"/>
      <c r="M126" s="105" t="str">
        <f aca="false">IF($C126="","",IF(IFERROR(INDEX(科目表!$T$4:$T$123,MATCH($C126,科目表!$K$4:$K$123,0)),"")&amp;""="","其他货币资金",INDEX(科目表!$T$4:$T$123,MATCH($C126,科目表!$K$4:$K$123,0))))</f>
        <v>其他货币资金</v>
      </c>
      <c r="N126" s="39" t="str">
        <f aca="false">IF(OR($C126="",ROUND(N($H126)+N($I126),2)=0),"",IF(N($H126)&gt;0,$M126,$K126))</f>
        <v>管理费用</v>
      </c>
      <c r="O126" s="41" t="n">
        <f aca="false">IF($N126="","",ROUND(N($H126)+N($I126),2))</f>
        <v>1200</v>
      </c>
      <c r="P126" s="41" t="n">
        <f aca="false">IF($N126="","",0)</f>
        <v>0</v>
      </c>
      <c r="Q126" s="39" t="str">
        <f aca="false">IF($N126="","",IF(N($H126)&gt;0,$K126,$M126))</f>
        <v>其他货币资金</v>
      </c>
      <c r="R126" s="41" t="n">
        <f aca="false">IF($Q126="","",0)</f>
        <v>0</v>
      </c>
      <c r="S126" s="41" t="n">
        <f aca="false">IF($Q126="","",ROUND(N($H126)+N($I126),2))</f>
        <v>1200</v>
      </c>
      <c r="T126" s="42"/>
      <c r="U126" s="44"/>
      <c r="V126" s="41" t="str">
        <f aca="false">IF($B126="","",TEXT($B126,"yyyy年m月"))</f>
        <v>2026年9月</v>
      </c>
      <c r="W126" s="42"/>
      <c r="X126" s="42"/>
      <c r="Y126" s="9"/>
    </row>
    <row r="127" customFormat="false" ht="18" hidden="false" customHeight="true" outlineLevel="0" collapsed="false">
      <c r="A127" s="9" t="n">
        <f aca="false">IF($C127="","",ROW()-3)</f>
        <v>124</v>
      </c>
      <c r="B127" s="76" t="n">
        <v>46283</v>
      </c>
      <c r="C127" s="74" t="s">
        <v>464</v>
      </c>
      <c r="D127" s="43"/>
      <c r="E127" s="42"/>
      <c r="F127" s="74"/>
      <c r="G127" s="74" t="s">
        <v>681</v>
      </c>
      <c r="H127" s="44"/>
      <c r="I127" s="44" t="n">
        <v>100</v>
      </c>
      <c r="J127" s="103" t="n">
        <f aca="false">IF($C127="","",ROUND(IFERROR(INDEX(期初余额!$I$4:$I$43,MATCH($C127,期初余额!$H$4:$H$43,0)),0)+SUMIFS($H$4:$H127,$C$4:$C127,$C127)-SUMIFS($I$4:$I127,$C$4:$C127,$C127),2))</f>
        <v>104447</v>
      </c>
      <c r="K127" s="104" t="str">
        <f aca="false">IF($T127&lt;&gt;"",$T127,IF($C127="","",IF(AND(N($I127)&gt;0,$G127&lt;&gt;""),IF(IFERROR(INDEX(科目表!$U$4:$U$123,MATCH($G127,科目表!$M$4:$M$123,0)),"")&amp;""="","管理费用",INDEX(科目表!$U$4:$U$123,MATCH($G127,科目表!$M$4:$M$123,0))),IF(N($H127)&gt;0,IF(IFERROR(INDEX(自动规则!$C$4:$C$143,MATCH($F127,自动规则!$B$4:$B$143,0)),"")&amp;""="","其他应收款",INDEX(自动规则!$C$4:$C$143,MATCH($F127,自动规则!$B$4:$B$143,0))),IF(IFERROR(INDEX(自动规则!$D$4:$D$143,MATCH($F127,自动规则!$B$4:$B$143,0)),"")&amp;""="","其他应付款",INDEX(自动规则!$D$4:$D$143,MATCH($F127,自动规则!$B$4:$B$143,0)))))))</f>
        <v>管理费用</v>
      </c>
      <c r="L127" s="43"/>
      <c r="M127" s="105" t="str">
        <f aca="false">IF($C127="","",IF(IFERROR(INDEX(科目表!$T$4:$T$123,MATCH($C127,科目表!$K$4:$K$123,0)),"")&amp;""="","其他货币资金",INDEX(科目表!$T$4:$T$123,MATCH($C127,科目表!$K$4:$K$123,0))))</f>
        <v>其他货币资金</v>
      </c>
      <c r="N127" s="39" t="str">
        <f aca="false">IF(OR($C127="",ROUND(N($H127)+N($I127),2)=0),"",IF(N($H127)&gt;0,$M127,$K127))</f>
        <v>管理费用</v>
      </c>
      <c r="O127" s="41" t="n">
        <f aca="false">IF($N127="","",ROUND(N($H127)+N($I127),2))</f>
        <v>100</v>
      </c>
      <c r="P127" s="41" t="n">
        <f aca="false">IF($N127="","",0)</f>
        <v>0</v>
      </c>
      <c r="Q127" s="39" t="str">
        <f aca="false">IF($N127="","",IF(N($H127)&gt;0,$K127,$M127))</f>
        <v>其他货币资金</v>
      </c>
      <c r="R127" s="41" t="n">
        <f aca="false">IF($Q127="","",0)</f>
        <v>0</v>
      </c>
      <c r="S127" s="41" t="n">
        <f aca="false">IF($Q127="","",ROUND(N($H127)+N($I127),2))</f>
        <v>100</v>
      </c>
      <c r="T127" s="42"/>
      <c r="U127" s="44"/>
      <c r="V127" s="41" t="str">
        <f aca="false">IF($B127="","",TEXT($B127,"yyyy年m月"))</f>
        <v>2026年9月</v>
      </c>
      <c r="W127" s="42"/>
      <c r="X127" s="42"/>
      <c r="Y127" s="9"/>
    </row>
    <row r="128" customFormat="false" ht="18" hidden="false" customHeight="true" outlineLevel="0" collapsed="false">
      <c r="A128" s="9" t="n">
        <f aca="false">IF($C128="","",ROW()-3)</f>
        <v>125</v>
      </c>
      <c r="B128" s="76" t="n">
        <v>46283</v>
      </c>
      <c r="C128" s="74" t="s">
        <v>464</v>
      </c>
      <c r="D128" s="78" t="s">
        <v>758</v>
      </c>
      <c r="E128" s="42"/>
      <c r="F128" s="74" t="s">
        <v>343</v>
      </c>
      <c r="G128" s="74"/>
      <c r="H128" s="44"/>
      <c r="I128" s="44" t="n">
        <v>8000</v>
      </c>
      <c r="J128" s="103" t="n">
        <f aca="false">IF($C128="","",ROUND(IFERROR(INDEX(期初余额!$I$4:$I$43,MATCH($C128,期初余额!$H$4:$H$43,0)),0)+SUMIFS($H$4:$H128,$C$4:$C128,$C128)-SUMIFS($I$4:$I128,$C$4:$C128,$C128),2))</f>
        <v>96447</v>
      </c>
      <c r="K128" s="104" t="str">
        <f aca="false">IF($T128&lt;&gt;"",$T128,IF($C128="","",IF(AND(N($I128)&gt;0,$G128&lt;&gt;""),IF(IFERROR(INDEX(科目表!$U$4:$U$123,MATCH($G128,科目表!$M$4:$M$123,0)),"")&amp;""="","管理费用",INDEX(科目表!$U$4:$U$123,MATCH($G128,科目表!$M$4:$M$123,0))),IF(N($H128)&gt;0,IF(IFERROR(INDEX(自动规则!$C$4:$C$143,MATCH($F128,自动规则!$B$4:$B$143,0)),"")&amp;""="","其他应收款",INDEX(自动规则!$C$4:$C$143,MATCH($F128,自动规则!$B$4:$B$143,0))),IF(IFERROR(INDEX(自动规则!$D$4:$D$143,MATCH($F128,自动规则!$B$4:$B$143,0)),"")&amp;""="","其他应付款",INDEX(自动规则!$D$4:$D$143,MATCH($F128,自动规则!$B$4:$B$143,0)))))))</f>
        <v>应付账款</v>
      </c>
      <c r="L128" s="43"/>
      <c r="M128" s="105" t="str">
        <f aca="false">IF($C128="","",IF(IFERROR(INDEX(科目表!$T$4:$T$123,MATCH($C128,科目表!$K$4:$K$123,0)),"")&amp;""="","其他货币资金",INDEX(科目表!$T$4:$T$123,MATCH($C128,科目表!$K$4:$K$123,0))))</f>
        <v>其他货币资金</v>
      </c>
      <c r="N128" s="39" t="str">
        <f aca="false">IF(OR($C128="",ROUND(N($H128)+N($I128),2)=0),"",IF(N($H128)&gt;0,$M128,$K128))</f>
        <v>应付账款</v>
      </c>
      <c r="O128" s="41" t="n">
        <f aca="false">IF($N128="","",ROUND(N($H128)+N($I128),2))</f>
        <v>8000</v>
      </c>
      <c r="P128" s="41" t="n">
        <f aca="false">IF($N128="","",0)</f>
        <v>0</v>
      </c>
      <c r="Q128" s="39" t="str">
        <f aca="false">IF($N128="","",IF(N($H128)&gt;0,$K128,$M128))</f>
        <v>其他货币资金</v>
      </c>
      <c r="R128" s="41" t="n">
        <f aca="false">IF($Q128="","",0)</f>
        <v>0</v>
      </c>
      <c r="S128" s="41" t="n">
        <f aca="false">IF($Q128="","",ROUND(N($H128)+N($I128),2))</f>
        <v>8000</v>
      </c>
      <c r="T128" s="42"/>
      <c r="U128" s="44"/>
      <c r="V128" s="41" t="str">
        <f aca="false">IF($B128="","",TEXT($B128,"yyyy年m月"))</f>
        <v>2026年9月</v>
      </c>
      <c r="W128" s="42"/>
      <c r="X128" s="42"/>
      <c r="Y128" s="9"/>
    </row>
    <row r="129" customFormat="false" ht="18" hidden="false" customHeight="true" outlineLevel="0" collapsed="false">
      <c r="A129" s="9" t="str">
        <f aca="false">IF($C129="","",ROW()-3)</f>
        <v/>
      </c>
      <c r="B129" s="76"/>
      <c r="C129" s="74"/>
      <c r="D129" s="43"/>
      <c r="E129" s="42"/>
      <c r="F129" s="74"/>
      <c r="G129" s="74"/>
      <c r="H129" s="44"/>
      <c r="I129" s="44"/>
      <c r="J129" s="103" t="str">
        <f aca="false">IF($C129="","",ROUND(IFERROR(INDEX(期初余额!$I$4:$I$43,MATCH($C129,期初余额!$H$4:$H$43,0)),0)+SUMIFS($H$4:$H129,$C$4:$C129,$C129)-SUMIFS($I$4:$I129,$C$4:$C129,$C129),2))</f>
        <v/>
      </c>
      <c r="K129" s="104" t="str">
        <f aca="false">IF($T129&lt;&gt;"",$T129,IF($C129="","",IF(AND(N($I129)&gt;0,$G129&lt;&gt;""),IF(IFERROR(INDEX(科目表!$U$4:$U$123,MATCH($G129,科目表!$M$4:$M$123,0)),"")&amp;""="","管理费用",INDEX(科目表!$U$4:$U$123,MATCH($G129,科目表!$M$4:$M$123,0))),IF(N($H129)&gt;0,IF(IFERROR(INDEX(自动规则!$C$4:$C$143,MATCH($F129,自动规则!$B$4:$B$143,0)),"")&amp;""="","其他应收款",INDEX(自动规则!$C$4:$C$143,MATCH($F129,自动规则!$B$4:$B$143,0))),IF(IFERROR(INDEX(自动规则!$D$4:$D$143,MATCH($F129,自动规则!$B$4:$B$143,0)),"")&amp;""="","其他应付款",INDEX(自动规则!$D$4:$D$143,MATCH($F129,自动规则!$B$4:$B$143,0)))))))</f>
        <v/>
      </c>
      <c r="L129" s="43"/>
      <c r="M129" s="105" t="str">
        <f aca="false">IF($C129="","",IF(IFERROR(INDEX(科目表!$T$4:$T$123,MATCH($C129,科目表!$K$4:$K$123,0)),"")&amp;""="","其他货币资金",INDEX(科目表!$T$4:$T$123,MATCH($C129,科目表!$K$4:$K$123,0))))</f>
        <v/>
      </c>
      <c r="N129" s="39" t="str">
        <f aca="false">IF(OR($C129="",ROUND(N($H129)+N($I129),2)=0),"",IF(N($H129)&gt;0,$M129,$K129))</f>
        <v/>
      </c>
      <c r="O129" s="41" t="str">
        <f aca="false">IF($N129="","",ROUND(N($H129)+N($I129),2))</f>
        <v/>
      </c>
      <c r="P129" s="41" t="str">
        <f aca="false">IF($N129="","",0)</f>
        <v/>
      </c>
      <c r="Q129" s="39" t="str">
        <f aca="false">IF($N129="","",IF(N($H129)&gt;0,$K129,$M129))</f>
        <v/>
      </c>
      <c r="R129" s="41" t="str">
        <f aca="false">IF($Q129="","",0)</f>
        <v/>
      </c>
      <c r="S129" s="41" t="str">
        <f aca="false">IF($Q129="","",ROUND(N($H129)+N($I129),2))</f>
        <v/>
      </c>
      <c r="T129" s="42"/>
      <c r="U129" s="44"/>
      <c r="V129" s="41" t="str">
        <f aca="false">IF($B129="","",TEXT($B129,"yyyy年m月"))</f>
        <v/>
      </c>
      <c r="W129" s="42"/>
      <c r="X129" s="42"/>
      <c r="Y129" s="9"/>
    </row>
    <row r="130" customFormat="false" ht="18" hidden="false" customHeight="true" outlineLevel="0" collapsed="false">
      <c r="A130" s="9" t="str">
        <f aca="false">IF($C130="","",ROW()-3)</f>
        <v/>
      </c>
      <c r="B130" s="76"/>
      <c r="C130" s="74"/>
      <c r="D130" s="43"/>
      <c r="E130" s="42"/>
      <c r="F130" s="74"/>
      <c r="G130" s="74"/>
      <c r="H130" s="44"/>
      <c r="I130" s="44"/>
      <c r="J130" s="103" t="str">
        <f aca="false">IF($C130="","",ROUND(IFERROR(INDEX(期初余额!$I$4:$I$43,MATCH($C130,期初余额!$H$4:$H$43,0)),0)+SUMIFS($H$4:$H130,$C$4:$C130,$C130)-SUMIFS($I$4:$I130,$C$4:$C130,$C130),2))</f>
        <v/>
      </c>
      <c r="K130" s="104" t="str">
        <f aca="false">IF($T130&lt;&gt;"",$T130,IF($C130="","",IF(AND(N($I130)&gt;0,$G130&lt;&gt;""),IF(IFERROR(INDEX(科目表!$U$4:$U$123,MATCH($G130,科目表!$M$4:$M$123,0)),"")&amp;""="","管理费用",INDEX(科目表!$U$4:$U$123,MATCH($G130,科目表!$M$4:$M$123,0))),IF(N($H130)&gt;0,IF(IFERROR(INDEX(自动规则!$C$4:$C$143,MATCH($F130,自动规则!$B$4:$B$143,0)),"")&amp;""="","其他应收款",INDEX(自动规则!$C$4:$C$143,MATCH($F130,自动规则!$B$4:$B$143,0))),IF(IFERROR(INDEX(自动规则!$D$4:$D$143,MATCH($F130,自动规则!$B$4:$B$143,0)),"")&amp;""="","其他应付款",INDEX(自动规则!$D$4:$D$143,MATCH($F130,自动规则!$B$4:$B$143,0)))))))</f>
        <v/>
      </c>
      <c r="L130" s="43"/>
      <c r="M130" s="105" t="str">
        <f aca="false">IF($C130="","",IF(IFERROR(INDEX(科目表!$T$4:$T$123,MATCH($C130,科目表!$K$4:$K$123,0)),"")&amp;""="","其他货币资金",INDEX(科目表!$T$4:$T$123,MATCH($C130,科目表!$K$4:$K$123,0))))</f>
        <v/>
      </c>
      <c r="N130" s="39" t="str">
        <f aca="false">IF(OR($C130="",ROUND(N($H130)+N($I130),2)=0),"",IF(N($H130)&gt;0,$M130,$K130))</f>
        <v/>
      </c>
      <c r="O130" s="41" t="str">
        <f aca="false">IF($N130="","",ROUND(N($H130)+N($I130),2))</f>
        <v/>
      </c>
      <c r="P130" s="41" t="str">
        <f aca="false">IF($N130="","",0)</f>
        <v/>
      </c>
      <c r="Q130" s="39" t="str">
        <f aca="false">IF($N130="","",IF(N($H130)&gt;0,$K130,$M130))</f>
        <v/>
      </c>
      <c r="R130" s="41" t="str">
        <f aca="false">IF($Q130="","",0)</f>
        <v/>
      </c>
      <c r="S130" s="41" t="str">
        <f aca="false">IF($Q130="","",ROUND(N($H130)+N($I130),2))</f>
        <v/>
      </c>
      <c r="T130" s="42"/>
      <c r="U130" s="44"/>
      <c r="V130" s="41" t="str">
        <f aca="false">IF($B130="","",TEXT($B130,"yyyy年m月"))</f>
        <v/>
      </c>
      <c r="W130" s="42"/>
      <c r="X130" s="42"/>
      <c r="Y130" s="9"/>
    </row>
    <row r="131" customFormat="false" ht="18" hidden="false" customHeight="true" outlineLevel="0" collapsed="false">
      <c r="A131" s="9" t="str">
        <f aca="false">IF($C131="","",ROW()-3)</f>
        <v/>
      </c>
      <c r="B131" s="76"/>
      <c r="C131" s="74"/>
      <c r="D131" s="43"/>
      <c r="E131" s="42"/>
      <c r="F131" s="74"/>
      <c r="G131" s="74"/>
      <c r="H131" s="44"/>
      <c r="I131" s="44"/>
      <c r="J131" s="103" t="str">
        <f aca="false">IF($C131="","",ROUND(IFERROR(INDEX(期初余额!$I$4:$I$43,MATCH($C131,期初余额!$H$4:$H$43,0)),0)+SUMIFS($H$4:$H131,$C$4:$C131,$C131)-SUMIFS($I$4:$I131,$C$4:$C131,$C131),2))</f>
        <v/>
      </c>
      <c r="K131" s="104" t="str">
        <f aca="false">IF($T131&lt;&gt;"",$T131,IF($C131="","",IF(AND(N($I131)&gt;0,$G131&lt;&gt;""),IF(IFERROR(INDEX(科目表!$U$4:$U$123,MATCH($G131,科目表!$M$4:$M$123,0)),"")&amp;""="","管理费用",INDEX(科目表!$U$4:$U$123,MATCH($G131,科目表!$M$4:$M$123,0))),IF(N($H131)&gt;0,IF(IFERROR(INDEX(自动规则!$C$4:$C$143,MATCH($F131,自动规则!$B$4:$B$143,0)),"")&amp;""="","其他应收款",INDEX(自动规则!$C$4:$C$143,MATCH($F131,自动规则!$B$4:$B$143,0))),IF(IFERROR(INDEX(自动规则!$D$4:$D$143,MATCH($F131,自动规则!$B$4:$B$143,0)),"")&amp;""="","其他应付款",INDEX(自动规则!$D$4:$D$143,MATCH($F131,自动规则!$B$4:$B$143,0)))))))</f>
        <v/>
      </c>
      <c r="L131" s="43"/>
      <c r="M131" s="105" t="str">
        <f aca="false">IF($C131="","",IF(IFERROR(INDEX(科目表!$T$4:$T$123,MATCH($C131,科目表!$K$4:$K$123,0)),"")&amp;""="","其他货币资金",INDEX(科目表!$T$4:$T$123,MATCH($C131,科目表!$K$4:$K$123,0))))</f>
        <v/>
      </c>
      <c r="N131" s="39" t="str">
        <f aca="false">IF(OR($C131="",ROUND(N($H131)+N($I131),2)=0),"",IF(N($H131)&gt;0,$M131,$K131))</f>
        <v/>
      </c>
      <c r="O131" s="41" t="str">
        <f aca="false">IF($N131="","",ROUND(N($H131)+N($I131),2))</f>
        <v/>
      </c>
      <c r="P131" s="41" t="str">
        <f aca="false">IF($N131="","",0)</f>
        <v/>
      </c>
      <c r="Q131" s="39" t="str">
        <f aca="false">IF($N131="","",IF(N($H131)&gt;0,$K131,$M131))</f>
        <v/>
      </c>
      <c r="R131" s="41" t="str">
        <f aca="false">IF($Q131="","",0)</f>
        <v/>
      </c>
      <c r="S131" s="41" t="str">
        <f aca="false">IF($Q131="","",ROUND(N($H131)+N($I131),2))</f>
        <v/>
      </c>
      <c r="T131" s="42"/>
      <c r="U131" s="44"/>
      <c r="V131" s="41" t="str">
        <f aca="false">IF($B131="","",TEXT($B131,"yyyy年m月"))</f>
        <v/>
      </c>
      <c r="W131" s="42"/>
      <c r="X131" s="42"/>
      <c r="Y131" s="9"/>
    </row>
    <row r="132" customFormat="false" ht="18" hidden="false" customHeight="true" outlineLevel="0" collapsed="false">
      <c r="A132" s="9" t="str">
        <f aca="false">IF($C132="","",ROW()-3)</f>
        <v/>
      </c>
      <c r="B132" s="76"/>
      <c r="C132" s="74"/>
      <c r="D132" s="43"/>
      <c r="E132" s="42"/>
      <c r="F132" s="74"/>
      <c r="G132" s="74"/>
      <c r="H132" s="44"/>
      <c r="I132" s="44"/>
      <c r="J132" s="103" t="str">
        <f aca="false">IF($C132="","",ROUND(IFERROR(INDEX(期初余额!$I$4:$I$43,MATCH($C132,期初余额!$H$4:$H$43,0)),0)+SUMIFS($H$4:$H132,$C$4:$C132,$C132)-SUMIFS($I$4:$I132,$C$4:$C132,$C132),2))</f>
        <v/>
      </c>
      <c r="K132" s="104" t="str">
        <f aca="false">IF($T132&lt;&gt;"",$T132,IF($C132="","",IF(AND(N($I132)&gt;0,$G132&lt;&gt;""),IF(IFERROR(INDEX(科目表!$U$4:$U$123,MATCH($G132,科目表!$M$4:$M$123,0)),"")&amp;""="","管理费用",INDEX(科目表!$U$4:$U$123,MATCH($G132,科目表!$M$4:$M$123,0))),IF(N($H132)&gt;0,IF(IFERROR(INDEX(自动规则!$C$4:$C$143,MATCH($F132,自动规则!$B$4:$B$143,0)),"")&amp;""="","其他应收款",INDEX(自动规则!$C$4:$C$143,MATCH($F132,自动规则!$B$4:$B$143,0))),IF(IFERROR(INDEX(自动规则!$D$4:$D$143,MATCH($F132,自动规则!$B$4:$B$143,0)),"")&amp;""="","其他应付款",INDEX(自动规则!$D$4:$D$143,MATCH($F132,自动规则!$B$4:$B$143,0)))))))</f>
        <v/>
      </c>
      <c r="L132" s="43"/>
      <c r="M132" s="105" t="str">
        <f aca="false">IF($C132="","",IF(IFERROR(INDEX(科目表!$T$4:$T$123,MATCH($C132,科目表!$K$4:$K$123,0)),"")&amp;""="","其他货币资金",INDEX(科目表!$T$4:$T$123,MATCH($C132,科目表!$K$4:$K$123,0))))</f>
        <v/>
      </c>
      <c r="N132" s="39" t="str">
        <f aca="false">IF(OR($C132="",ROUND(N($H132)+N($I132),2)=0),"",IF(N($H132)&gt;0,$M132,$K132))</f>
        <v/>
      </c>
      <c r="O132" s="41" t="str">
        <f aca="false">IF($N132="","",ROUND(N($H132)+N($I132),2))</f>
        <v/>
      </c>
      <c r="P132" s="41" t="str">
        <f aca="false">IF($N132="","",0)</f>
        <v/>
      </c>
      <c r="Q132" s="39" t="str">
        <f aca="false">IF($N132="","",IF(N($H132)&gt;0,$K132,$M132))</f>
        <v/>
      </c>
      <c r="R132" s="41" t="str">
        <f aca="false">IF($Q132="","",0)</f>
        <v/>
      </c>
      <c r="S132" s="41" t="str">
        <f aca="false">IF($Q132="","",ROUND(N($H132)+N($I132),2))</f>
        <v/>
      </c>
      <c r="T132" s="42"/>
      <c r="U132" s="44"/>
      <c r="V132" s="41" t="str">
        <f aca="false">IF($B132="","",TEXT($B132,"yyyy年m月"))</f>
        <v/>
      </c>
      <c r="W132" s="42"/>
      <c r="X132" s="42"/>
      <c r="Y132" s="9"/>
    </row>
    <row r="133" customFormat="false" ht="18" hidden="false" customHeight="true" outlineLevel="0" collapsed="false">
      <c r="A133" s="9" t="str">
        <f aca="false">IF($C133="","",ROW()-3)</f>
        <v/>
      </c>
      <c r="B133" s="76"/>
      <c r="C133" s="74"/>
      <c r="D133" s="43"/>
      <c r="E133" s="42"/>
      <c r="F133" s="74"/>
      <c r="G133" s="74"/>
      <c r="H133" s="44"/>
      <c r="I133" s="44"/>
      <c r="J133" s="103" t="str">
        <f aca="false">IF($C133="","",ROUND(IFERROR(INDEX(期初余额!$I$4:$I$43,MATCH($C133,期初余额!$H$4:$H$43,0)),0)+SUMIFS($H$4:$H133,$C$4:$C133,$C133)-SUMIFS($I$4:$I133,$C$4:$C133,$C133),2))</f>
        <v/>
      </c>
      <c r="K133" s="104" t="str">
        <f aca="false">IF($T133&lt;&gt;"",$T133,IF($C133="","",IF(AND(N($I133)&gt;0,$G133&lt;&gt;""),IF(IFERROR(INDEX(科目表!$U$4:$U$123,MATCH($G133,科目表!$M$4:$M$123,0)),"")&amp;""="","管理费用",INDEX(科目表!$U$4:$U$123,MATCH($G133,科目表!$M$4:$M$123,0))),IF(N($H133)&gt;0,IF(IFERROR(INDEX(自动规则!$C$4:$C$143,MATCH($F133,自动规则!$B$4:$B$143,0)),"")&amp;""="","其他应收款",INDEX(自动规则!$C$4:$C$143,MATCH($F133,自动规则!$B$4:$B$143,0))),IF(IFERROR(INDEX(自动规则!$D$4:$D$143,MATCH($F133,自动规则!$B$4:$B$143,0)),"")&amp;""="","其他应付款",INDEX(自动规则!$D$4:$D$143,MATCH($F133,自动规则!$B$4:$B$143,0)))))))</f>
        <v/>
      </c>
      <c r="L133" s="43"/>
      <c r="M133" s="105" t="str">
        <f aca="false">IF($C133="","",IF(IFERROR(INDEX(科目表!$T$4:$T$123,MATCH($C133,科目表!$K$4:$K$123,0)),"")&amp;""="","其他货币资金",INDEX(科目表!$T$4:$T$123,MATCH($C133,科目表!$K$4:$K$123,0))))</f>
        <v/>
      </c>
      <c r="N133" s="39" t="str">
        <f aca="false">IF(OR($C133="",ROUND(N($H133)+N($I133),2)=0),"",IF(N($H133)&gt;0,$M133,$K133))</f>
        <v/>
      </c>
      <c r="O133" s="41" t="str">
        <f aca="false">IF($N133="","",ROUND(N($H133)+N($I133),2))</f>
        <v/>
      </c>
      <c r="P133" s="41" t="str">
        <f aca="false">IF($N133="","",0)</f>
        <v/>
      </c>
      <c r="Q133" s="39" t="str">
        <f aca="false">IF($N133="","",IF(N($H133)&gt;0,$K133,$M133))</f>
        <v/>
      </c>
      <c r="R133" s="41" t="str">
        <f aca="false">IF($Q133="","",0)</f>
        <v/>
      </c>
      <c r="S133" s="41" t="str">
        <f aca="false">IF($Q133="","",ROUND(N($H133)+N($I133),2))</f>
        <v/>
      </c>
      <c r="T133" s="42"/>
      <c r="U133" s="44"/>
      <c r="V133" s="41" t="str">
        <f aca="false">IF($B133="","",TEXT($B133,"yyyy年m月"))</f>
        <v/>
      </c>
      <c r="W133" s="42"/>
      <c r="X133" s="42"/>
      <c r="Y133" s="9"/>
    </row>
    <row r="134" customFormat="false" ht="18" hidden="false" customHeight="true" outlineLevel="0" collapsed="false">
      <c r="A134" s="9" t="str">
        <f aca="false">IF($C134="","",ROW()-3)</f>
        <v/>
      </c>
      <c r="B134" s="76"/>
      <c r="C134" s="74"/>
      <c r="D134" s="43"/>
      <c r="E134" s="42"/>
      <c r="F134" s="74"/>
      <c r="G134" s="74"/>
      <c r="H134" s="44"/>
      <c r="I134" s="44"/>
      <c r="J134" s="103" t="str">
        <f aca="false">IF($C134="","",ROUND(IFERROR(INDEX(期初余额!$I$4:$I$43,MATCH($C134,期初余额!$H$4:$H$43,0)),0)+SUMIFS($H$4:$H134,$C$4:$C134,$C134)-SUMIFS($I$4:$I134,$C$4:$C134,$C134),2))</f>
        <v/>
      </c>
      <c r="K134" s="104" t="str">
        <f aca="false">IF($T134&lt;&gt;"",$T134,IF($C134="","",IF(AND(N($I134)&gt;0,$G134&lt;&gt;""),IF(IFERROR(INDEX(科目表!$U$4:$U$123,MATCH($G134,科目表!$M$4:$M$123,0)),"")&amp;""="","管理费用",INDEX(科目表!$U$4:$U$123,MATCH($G134,科目表!$M$4:$M$123,0))),IF(N($H134)&gt;0,IF(IFERROR(INDEX(自动规则!$C$4:$C$143,MATCH($F134,自动规则!$B$4:$B$143,0)),"")&amp;""="","其他应收款",INDEX(自动规则!$C$4:$C$143,MATCH($F134,自动规则!$B$4:$B$143,0))),IF(IFERROR(INDEX(自动规则!$D$4:$D$143,MATCH($F134,自动规则!$B$4:$B$143,0)),"")&amp;""="","其他应付款",INDEX(自动规则!$D$4:$D$143,MATCH($F134,自动规则!$B$4:$B$143,0)))))))</f>
        <v/>
      </c>
      <c r="L134" s="43"/>
      <c r="M134" s="105" t="str">
        <f aca="false">IF($C134="","",IF(IFERROR(INDEX(科目表!$T$4:$T$123,MATCH($C134,科目表!$K$4:$K$123,0)),"")&amp;""="","其他货币资金",INDEX(科目表!$T$4:$T$123,MATCH($C134,科目表!$K$4:$K$123,0))))</f>
        <v/>
      </c>
      <c r="N134" s="39" t="str">
        <f aca="false">IF(OR($C134="",ROUND(N($H134)+N($I134),2)=0),"",IF(N($H134)&gt;0,$M134,$K134))</f>
        <v/>
      </c>
      <c r="O134" s="41" t="str">
        <f aca="false">IF($N134="","",ROUND(N($H134)+N($I134),2))</f>
        <v/>
      </c>
      <c r="P134" s="41" t="str">
        <f aca="false">IF($N134="","",0)</f>
        <v/>
      </c>
      <c r="Q134" s="39" t="str">
        <f aca="false">IF($N134="","",IF(N($H134)&gt;0,$K134,$M134))</f>
        <v/>
      </c>
      <c r="R134" s="41" t="str">
        <f aca="false">IF($Q134="","",0)</f>
        <v/>
      </c>
      <c r="S134" s="41" t="str">
        <f aca="false">IF($Q134="","",ROUND(N($H134)+N($I134),2))</f>
        <v/>
      </c>
      <c r="T134" s="42"/>
      <c r="U134" s="44"/>
      <c r="V134" s="41" t="str">
        <f aca="false">IF($B134="","",TEXT($B134,"yyyy年m月"))</f>
        <v/>
      </c>
      <c r="W134" s="42"/>
      <c r="X134" s="42"/>
      <c r="Y134" s="9"/>
    </row>
    <row r="135" customFormat="false" ht="18" hidden="false" customHeight="true" outlineLevel="0" collapsed="false">
      <c r="A135" s="9" t="str">
        <f aca="false">IF($C135="","",ROW()-3)</f>
        <v/>
      </c>
      <c r="B135" s="76"/>
      <c r="C135" s="74"/>
      <c r="D135" s="43"/>
      <c r="E135" s="42"/>
      <c r="F135" s="74"/>
      <c r="G135" s="74"/>
      <c r="H135" s="44"/>
      <c r="I135" s="44"/>
      <c r="J135" s="103" t="str">
        <f aca="false">IF($C135="","",ROUND(IFERROR(INDEX(期初余额!$I$4:$I$43,MATCH($C135,期初余额!$H$4:$H$43,0)),0)+SUMIFS($H$4:$H135,$C$4:$C135,$C135)-SUMIFS($I$4:$I135,$C$4:$C135,$C135),2))</f>
        <v/>
      </c>
      <c r="K135" s="104" t="str">
        <f aca="false">IF($T135&lt;&gt;"",$T135,IF($C135="","",IF(AND(N($I135)&gt;0,$G135&lt;&gt;""),IF(IFERROR(INDEX(科目表!$U$4:$U$123,MATCH($G135,科目表!$M$4:$M$123,0)),"")&amp;""="","管理费用",INDEX(科目表!$U$4:$U$123,MATCH($G135,科目表!$M$4:$M$123,0))),IF(N($H135)&gt;0,IF(IFERROR(INDEX(自动规则!$C$4:$C$143,MATCH($F135,自动规则!$B$4:$B$143,0)),"")&amp;""="","其他应收款",INDEX(自动规则!$C$4:$C$143,MATCH($F135,自动规则!$B$4:$B$143,0))),IF(IFERROR(INDEX(自动规则!$D$4:$D$143,MATCH($F135,自动规则!$B$4:$B$143,0)),"")&amp;""="","其他应付款",INDEX(自动规则!$D$4:$D$143,MATCH($F135,自动规则!$B$4:$B$143,0)))))))</f>
        <v/>
      </c>
      <c r="L135" s="43"/>
      <c r="M135" s="105" t="str">
        <f aca="false">IF($C135="","",IF(IFERROR(INDEX(科目表!$T$4:$T$123,MATCH($C135,科目表!$K$4:$K$123,0)),"")&amp;""="","其他货币资金",INDEX(科目表!$T$4:$T$123,MATCH($C135,科目表!$K$4:$K$123,0))))</f>
        <v/>
      </c>
      <c r="N135" s="39" t="str">
        <f aca="false">IF(OR($C135="",ROUND(N($H135)+N($I135),2)=0),"",IF(N($H135)&gt;0,$M135,$K135))</f>
        <v/>
      </c>
      <c r="O135" s="41" t="str">
        <f aca="false">IF($N135="","",ROUND(N($H135)+N($I135),2))</f>
        <v/>
      </c>
      <c r="P135" s="41" t="str">
        <f aca="false">IF($N135="","",0)</f>
        <v/>
      </c>
      <c r="Q135" s="39" t="str">
        <f aca="false">IF($N135="","",IF(N($H135)&gt;0,$K135,$M135))</f>
        <v/>
      </c>
      <c r="R135" s="41" t="str">
        <f aca="false">IF($Q135="","",0)</f>
        <v/>
      </c>
      <c r="S135" s="41" t="str">
        <f aca="false">IF($Q135="","",ROUND(N($H135)+N($I135),2))</f>
        <v/>
      </c>
      <c r="T135" s="42"/>
      <c r="U135" s="44"/>
      <c r="V135" s="41" t="str">
        <f aca="false">IF($B135="","",TEXT($B135,"yyyy年m月"))</f>
        <v/>
      </c>
      <c r="W135" s="42"/>
      <c r="X135" s="42"/>
      <c r="Y135" s="9"/>
    </row>
    <row r="136" customFormat="false" ht="18" hidden="false" customHeight="true" outlineLevel="0" collapsed="false">
      <c r="A136" s="9" t="str">
        <f aca="false">IF($C136="","",ROW()-3)</f>
        <v/>
      </c>
      <c r="B136" s="76"/>
      <c r="C136" s="74"/>
      <c r="D136" s="43"/>
      <c r="E136" s="42"/>
      <c r="F136" s="74"/>
      <c r="G136" s="74"/>
      <c r="H136" s="44"/>
      <c r="I136" s="44"/>
      <c r="J136" s="103" t="str">
        <f aca="false">IF($C136="","",ROUND(IFERROR(INDEX(期初余额!$I$4:$I$43,MATCH($C136,期初余额!$H$4:$H$43,0)),0)+SUMIFS($H$4:$H136,$C$4:$C136,$C136)-SUMIFS($I$4:$I136,$C$4:$C136,$C136),2))</f>
        <v/>
      </c>
      <c r="K136" s="104" t="str">
        <f aca="false">IF($T136&lt;&gt;"",$T136,IF($C136="","",IF(AND(N($I136)&gt;0,$G136&lt;&gt;""),IF(IFERROR(INDEX(科目表!$U$4:$U$123,MATCH($G136,科目表!$M$4:$M$123,0)),"")&amp;""="","管理费用",INDEX(科目表!$U$4:$U$123,MATCH($G136,科目表!$M$4:$M$123,0))),IF(N($H136)&gt;0,IF(IFERROR(INDEX(自动规则!$C$4:$C$143,MATCH($F136,自动规则!$B$4:$B$143,0)),"")&amp;""="","其他应收款",INDEX(自动规则!$C$4:$C$143,MATCH($F136,自动规则!$B$4:$B$143,0))),IF(IFERROR(INDEX(自动规则!$D$4:$D$143,MATCH($F136,自动规则!$B$4:$B$143,0)),"")&amp;""="","其他应付款",INDEX(自动规则!$D$4:$D$143,MATCH($F136,自动规则!$B$4:$B$143,0)))))))</f>
        <v/>
      </c>
      <c r="L136" s="43"/>
      <c r="M136" s="105" t="str">
        <f aca="false">IF($C136="","",IF(IFERROR(INDEX(科目表!$T$4:$T$123,MATCH($C136,科目表!$K$4:$K$123,0)),"")&amp;""="","其他货币资金",INDEX(科目表!$T$4:$T$123,MATCH($C136,科目表!$K$4:$K$123,0))))</f>
        <v/>
      </c>
      <c r="N136" s="39" t="str">
        <f aca="false">IF(OR($C136="",ROUND(N($H136)+N($I136),2)=0),"",IF(N($H136)&gt;0,$M136,$K136))</f>
        <v/>
      </c>
      <c r="O136" s="41" t="str">
        <f aca="false">IF($N136="","",ROUND(N($H136)+N($I136),2))</f>
        <v/>
      </c>
      <c r="P136" s="41" t="str">
        <f aca="false">IF($N136="","",0)</f>
        <v/>
      </c>
      <c r="Q136" s="39" t="str">
        <f aca="false">IF($N136="","",IF(N($H136)&gt;0,$K136,$M136))</f>
        <v/>
      </c>
      <c r="R136" s="41" t="str">
        <f aca="false">IF($Q136="","",0)</f>
        <v/>
      </c>
      <c r="S136" s="41" t="str">
        <f aca="false">IF($Q136="","",ROUND(N($H136)+N($I136),2))</f>
        <v/>
      </c>
      <c r="T136" s="42"/>
      <c r="U136" s="44"/>
      <c r="V136" s="41" t="str">
        <f aca="false">IF($B136="","",TEXT($B136,"yyyy年m月"))</f>
        <v/>
      </c>
      <c r="W136" s="42"/>
      <c r="X136" s="42"/>
      <c r="Y136" s="9"/>
    </row>
    <row r="137" customFormat="false" ht="18" hidden="false" customHeight="true" outlineLevel="0" collapsed="false">
      <c r="A137" s="9" t="str">
        <f aca="false">IF($C137="","",ROW()-3)</f>
        <v/>
      </c>
      <c r="B137" s="76"/>
      <c r="C137" s="74"/>
      <c r="D137" s="43"/>
      <c r="E137" s="42"/>
      <c r="F137" s="74"/>
      <c r="G137" s="74"/>
      <c r="H137" s="44"/>
      <c r="I137" s="44"/>
      <c r="J137" s="103" t="str">
        <f aca="false">IF($C137="","",ROUND(IFERROR(INDEX(期初余额!$I$4:$I$43,MATCH($C137,期初余额!$H$4:$H$43,0)),0)+SUMIFS($H$4:$H137,$C$4:$C137,$C137)-SUMIFS($I$4:$I137,$C$4:$C137,$C137),2))</f>
        <v/>
      </c>
      <c r="K137" s="104" t="str">
        <f aca="false">IF($T137&lt;&gt;"",$T137,IF($C137="","",IF(AND(N($I137)&gt;0,$G137&lt;&gt;""),IF(IFERROR(INDEX(科目表!$U$4:$U$123,MATCH($G137,科目表!$M$4:$M$123,0)),"")&amp;""="","管理费用",INDEX(科目表!$U$4:$U$123,MATCH($G137,科目表!$M$4:$M$123,0))),IF(N($H137)&gt;0,IF(IFERROR(INDEX(自动规则!$C$4:$C$143,MATCH($F137,自动规则!$B$4:$B$143,0)),"")&amp;""="","其他应收款",INDEX(自动规则!$C$4:$C$143,MATCH($F137,自动规则!$B$4:$B$143,0))),IF(IFERROR(INDEX(自动规则!$D$4:$D$143,MATCH($F137,自动规则!$B$4:$B$143,0)),"")&amp;""="","其他应付款",INDEX(自动规则!$D$4:$D$143,MATCH($F137,自动规则!$B$4:$B$143,0)))))))</f>
        <v/>
      </c>
      <c r="L137" s="43"/>
      <c r="M137" s="105" t="str">
        <f aca="false">IF($C137="","",IF(IFERROR(INDEX(科目表!$T$4:$T$123,MATCH($C137,科目表!$K$4:$K$123,0)),"")&amp;""="","其他货币资金",INDEX(科目表!$T$4:$T$123,MATCH($C137,科目表!$K$4:$K$123,0))))</f>
        <v/>
      </c>
      <c r="N137" s="39" t="str">
        <f aca="false">IF(OR($C137="",ROUND(N($H137)+N($I137),2)=0),"",IF(N($H137)&gt;0,$M137,$K137))</f>
        <v/>
      </c>
      <c r="O137" s="41" t="str">
        <f aca="false">IF($N137="","",ROUND(N($H137)+N($I137),2))</f>
        <v/>
      </c>
      <c r="P137" s="41" t="str">
        <f aca="false">IF($N137="","",0)</f>
        <v/>
      </c>
      <c r="Q137" s="39" t="str">
        <f aca="false">IF($N137="","",IF(N($H137)&gt;0,$K137,$M137))</f>
        <v/>
      </c>
      <c r="R137" s="41" t="str">
        <f aca="false">IF($Q137="","",0)</f>
        <v/>
      </c>
      <c r="S137" s="41" t="str">
        <f aca="false">IF($Q137="","",ROUND(N($H137)+N($I137),2))</f>
        <v/>
      </c>
      <c r="T137" s="42"/>
      <c r="U137" s="44"/>
      <c r="V137" s="41" t="str">
        <f aca="false">IF($B137="","",TEXT($B137,"yyyy年m月"))</f>
        <v/>
      </c>
      <c r="W137" s="42"/>
      <c r="X137" s="42"/>
      <c r="Y137" s="9"/>
    </row>
    <row r="138" customFormat="false" ht="18" hidden="false" customHeight="true" outlineLevel="0" collapsed="false">
      <c r="A138" s="9" t="str">
        <f aca="false">IF($C138="","",ROW()-3)</f>
        <v/>
      </c>
      <c r="B138" s="76"/>
      <c r="C138" s="74"/>
      <c r="D138" s="43"/>
      <c r="E138" s="42"/>
      <c r="F138" s="74"/>
      <c r="G138" s="74"/>
      <c r="H138" s="44"/>
      <c r="I138" s="44"/>
      <c r="J138" s="103" t="str">
        <f aca="false">IF($C138="","",ROUND(IFERROR(INDEX(期初余额!$I$4:$I$43,MATCH($C138,期初余额!$H$4:$H$43,0)),0)+SUMIFS($H$4:$H138,$C$4:$C138,$C138)-SUMIFS($I$4:$I138,$C$4:$C138,$C138),2))</f>
        <v/>
      </c>
      <c r="K138" s="104" t="str">
        <f aca="false">IF($T138&lt;&gt;"",$T138,IF($C138="","",IF(AND(N($I138)&gt;0,$G138&lt;&gt;""),IF(IFERROR(INDEX(科目表!$U$4:$U$123,MATCH($G138,科目表!$M$4:$M$123,0)),"")&amp;""="","管理费用",INDEX(科目表!$U$4:$U$123,MATCH($G138,科目表!$M$4:$M$123,0))),IF(N($H138)&gt;0,IF(IFERROR(INDEX(自动规则!$C$4:$C$143,MATCH($F138,自动规则!$B$4:$B$143,0)),"")&amp;""="","其他应收款",INDEX(自动规则!$C$4:$C$143,MATCH($F138,自动规则!$B$4:$B$143,0))),IF(IFERROR(INDEX(自动规则!$D$4:$D$143,MATCH($F138,自动规则!$B$4:$B$143,0)),"")&amp;""="","其他应付款",INDEX(自动规则!$D$4:$D$143,MATCH($F138,自动规则!$B$4:$B$143,0)))))))</f>
        <v/>
      </c>
      <c r="L138" s="43"/>
      <c r="M138" s="105" t="str">
        <f aca="false">IF($C138="","",IF(IFERROR(INDEX(科目表!$T$4:$T$123,MATCH($C138,科目表!$K$4:$K$123,0)),"")&amp;""="","其他货币资金",INDEX(科目表!$T$4:$T$123,MATCH($C138,科目表!$K$4:$K$123,0))))</f>
        <v/>
      </c>
      <c r="N138" s="39" t="str">
        <f aca="false">IF(OR($C138="",ROUND(N($H138)+N($I138),2)=0),"",IF(N($H138)&gt;0,$M138,$K138))</f>
        <v/>
      </c>
      <c r="O138" s="41" t="str">
        <f aca="false">IF($N138="","",ROUND(N($H138)+N($I138),2))</f>
        <v/>
      </c>
      <c r="P138" s="41" t="str">
        <f aca="false">IF($N138="","",0)</f>
        <v/>
      </c>
      <c r="Q138" s="39" t="str">
        <f aca="false">IF($N138="","",IF(N($H138)&gt;0,$K138,$M138))</f>
        <v/>
      </c>
      <c r="R138" s="41" t="str">
        <f aca="false">IF($Q138="","",0)</f>
        <v/>
      </c>
      <c r="S138" s="41" t="str">
        <f aca="false">IF($Q138="","",ROUND(N($H138)+N($I138),2))</f>
        <v/>
      </c>
      <c r="T138" s="42"/>
      <c r="U138" s="44"/>
      <c r="V138" s="41" t="str">
        <f aca="false">IF($B138="","",TEXT($B138,"yyyy年m月"))</f>
        <v/>
      </c>
      <c r="W138" s="42"/>
      <c r="X138" s="42"/>
      <c r="Y138" s="9"/>
    </row>
    <row r="139" customFormat="false" ht="18" hidden="false" customHeight="true" outlineLevel="0" collapsed="false">
      <c r="A139" s="9" t="str">
        <f aca="false">IF($C139="","",ROW()-3)</f>
        <v/>
      </c>
      <c r="B139" s="76"/>
      <c r="C139" s="74"/>
      <c r="D139" s="43"/>
      <c r="E139" s="42"/>
      <c r="F139" s="74"/>
      <c r="G139" s="74"/>
      <c r="H139" s="44"/>
      <c r="I139" s="44"/>
      <c r="J139" s="103" t="str">
        <f aca="false">IF($C139="","",ROUND(IFERROR(INDEX(期初余额!$I$4:$I$43,MATCH($C139,期初余额!$H$4:$H$43,0)),0)+SUMIFS($H$4:$H139,$C$4:$C139,$C139)-SUMIFS($I$4:$I139,$C$4:$C139,$C139),2))</f>
        <v/>
      </c>
      <c r="K139" s="104" t="str">
        <f aca="false">IF($T139&lt;&gt;"",$T139,IF($C139="","",IF(AND(N($I139)&gt;0,$G139&lt;&gt;""),IF(IFERROR(INDEX(科目表!$U$4:$U$123,MATCH($G139,科目表!$M$4:$M$123,0)),"")&amp;""="","管理费用",INDEX(科目表!$U$4:$U$123,MATCH($G139,科目表!$M$4:$M$123,0))),IF(N($H139)&gt;0,IF(IFERROR(INDEX(自动规则!$C$4:$C$143,MATCH($F139,自动规则!$B$4:$B$143,0)),"")&amp;""="","其他应收款",INDEX(自动规则!$C$4:$C$143,MATCH($F139,自动规则!$B$4:$B$143,0))),IF(IFERROR(INDEX(自动规则!$D$4:$D$143,MATCH($F139,自动规则!$B$4:$B$143,0)),"")&amp;""="","其他应付款",INDEX(自动规则!$D$4:$D$143,MATCH($F139,自动规则!$B$4:$B$143,0)))))))</f>
        <v/>
      </c>
      <c r="L139" s="43"/>
      <c r="M139" s="105" t="str">
        <f aca="false">IF($C139="","",IF(IFERROR(INDEX(科目表!$T$4:$T$123,MATCH($C139,科目表!$K$4:$K$123,0)),"")&amp;""="","其他货币资金",INDEX(科目表!$T$4:$T$123,MATCH($C139,科目表!$K$4:$K$123,0))))</f>
        <v/>
      </c>
      <c r="N139" s="39" t="str">
        <f aca="false">IF(OR($C139="",ROUND(N($H139)+N($I139),2)=0),"",IF(N($H139)&gt;0,$M139,$K139))</f>
        <v/>
      </c>
      <c r="O139" s="41" t="str">
        <f aca="false">IF($N139="","",ROUND(N($H139)+N($I139),2))</f>
        <v/>
      </c>
      <c r="P139" s="41" t="str">
        <f aca="false">IF($N139="","",0)</f>
        <v/>
      </c>
      <c r="Q139" s="39" t="str">
        <f aca="false">IF($N139="","",IF(N($H139)&gt;0,$K139,$M139))</f>
        <v/>
      </c>
      <c r="R139" s="41" t="str">
        <f aca="false">IF($Q139="","",0)</f>
        <v/>
      </c>
      <c r="S139" s="41" t="str">
        <f aca="false">IF($Q139="","",ROUND(N($H139)+N($I139),2))</f>
        <v/>
      </c>
      <c r="T139" s="42"/>
      <c r="U139" s="44"/>
      <c r="V139" s="41" t="str">
        <f aca="false">IF($B139="","",TEXT($B139,"yyyy年m月"))</f>
        <v/>
      </c>
      <c r="W139" s="42"/>
      <c r="X139" s="42"/>
      <c r="Y139" s="9"/>
    </row>
    <row r="140" customFormat="false" ht="18" hidden="false" customHeight="true" outlineLevel="0" collapsed="false">
      <c r="A140" s="9" t="str">
        <f aca="false">IF($C140="","",ROW()-3)</f>
        <v/>
      </c>
      <c r="B140" s="76"/>
      <c r="C140" s="74"/>
      <c r="D140" s="43"/>
      <c r="E140" s="42"/>
      <c r="F140" s="74"/>
      <c r="G140" s="74"/>
      <c r="H140" s="44"/>
      <c r="I140" s="44"/>
      <c r="J140" s="103" t="str">
        <f aca="false">IF($C140="","",ROUND(IFERROR(INDEX(期初余额!$I$4:$I$43,MATCH($C140,期初余额!$H$4:$H$43,0)),0)+SUMIFS($H$4:$H140,$C$4:$C140,$C140)-SUMIFS($I$4:$I140,$C$4:$C140,$C140),2))</f>
        <v/>
      </c>
      <c r="K140" s="104" t="str">
        <f aca="false">IF($T140&lt;&gt;"",$T140,IF($C140="","",IF(AND(N($I140)&gt;0,$G140&lt;&gt;""),IF(IFERROR(INDEX(科目表!$U$4:$U$123,MATCH($G140,科目表!$M$4:$M$123,0)),"")&amp;""="","管理费用",INDEX(科目表!$U$4:$U$123,MATCH($G140,科目表!$M$4:$M$123,0))),IF(N($H140)&gt;0,IF(IFERROR(INDEX(自动规则!$C$4:$C$143,MATCH($F140,自动规则!$B$4:$B$143,0)),"")&amp;""="","其他应收款",INDEX(自动规则!$C$4:$C$143,MATCH($F140,自动规则!$B$4:$B$143,0))),IF(IFERROR(INDEX(自动规则!$D$4:$D$143,MATCH($F140,自动规则!$B$4:$B$143,0)),"")&amp;""="","其他应付款",INDEX(自动规则!$D$4:$D$143,MATCH($F140,自动规则!$B$4:$B$143,0)))))))</f>
        <v/>
      </c>
      <c r="L140" s="43"/>
      <c r="M140" s="105" t="str">
        <f aca="false">IF($C140="","",IF(IFERROR(INDEX(科目表!$T$4:$T$123,MATCH($C140,科目表!$K$4:$K$123,0)),"")&amp;""="","其他货币资金",INDEX(科目表!$T$4:$T$123,MATCH($C140,科目表!$K$4:$K$123,0))))</f>
        <v/>
      </c>
      <c r="N140" s="39" t="str">
        <f aca="false">IF(OR($C140="",ROUND(N($H140)+N($I140),2)=0),"",IF(N($H140)&gt;0,$M140,$K140))</f>
        <v/>
      </c>
      <c r="O140" s="41" t="str">
        <f aca="false">IF($N140="","",ROUND(N($H140)+N($I140),2))</f>
        <v/>
      </c>
      <c r="P140" s="41" t="str">
        <f aca="false">IF($N140="","",0)</f>
        <v/>
      </c>
      <c r="Q140" s="39" t="str">
        <f aca="false">IF($N140="","",IF(N($H140)&gt;0,$K140,$M140))</f>
        <v/>
      </c>
      <c r="R140" s="41" t="str">
        <f aca="false">IF($Q140="","",0)</f>
        <v/>
      </c>
      <c r="S140" s="41" t="str">
        <f aca="false">IF($Q140="","",ROUND(N($H140)+N($I140),2))</f>
        <v/>
      </c>
      <c r="T140" s="42"/>
      <c r="U140" s="44"/>
      <c r="V140" s="41" t="str">
        <f aca="false">IF($B140="","",TEXT($B140,"yyyy年m月"))</f>
        <v/>
      </c>
      <c r="W140" s="42"/>
      <c r="X140" s="42"/>
      <c r="Y140" s="9"/>
    </row>
    <row r="141" customFormat="false" ht="18" hidden="false" customHeight="true" outlineLevel="0" collapsed="false">
      <c r="A141" s="9" t="str">
        <f aca="false">IF($C141="","",ROW()-3)</f>
        <v/>
      </c>
      <c r="B141" s="76"/>
      <c r="C141" s="74"/>
      <c r="D141" s="43"/>
      <c r="E141" s="42"/>
      <c r="F141" s="74"/>
      <c r="G141" s="74"/>
      <c r="H141" s="44"/>
      <c r="I141" s="44"/>
      <c r="J141" s="103" t="str">
        <f aca="false">IF($C141="","",ROUND(IFERROR(INDEX(期初余额!$I$4:$I$43,MATCH($C141,期初余额!$H$4:$H$43,0)),0)+SUMIFS($H$4:$H141,$C$4:$C141,$C141)-SUMIFS($I$4:$I141,$C$4:$C141,$C141),2))</f>
        <v/>
      </c>
      <c r="K141" s="104" t="str">
        <f aca="false">IF($T141&lt;&gt;"",$T141,IF($C141="","",IF(AND(N($I141)&gt;0,$G141&lt;&gt;""),IF(IFERROR(INDEX(科目表!$U$4:$U$123,MATCH($G141,科目表!$M$4:$M$123,0)),"")&amp;""="","管理费用",INDEX(科目表!$U$4:$U$123,MATCH($G141,科目表!$M$4:$M$123,0))),IF(N($H141)&gt;0,IF(IFERROR(INDEX(自动规则!$C$4:$C$143,MATCH($F141,自动规则!$B$4:$B$143,0)),"")&amp;""="","其他应收款",INDEX(自动规则!$C$4:$C$143,MATCH($F141,自动规则!$B$4:$B$143,0))),IF(IFERROR(INDEX(自动规则!$D$4:$D$143,MATCH($F141,自动规则!$B$4:$B$143,0)),"")&amp;""="","其他应付款",INDEX(自动规则!$D$4:$D$143,MATCH($F141,自动规则!$B$4:$B$143,0)))))))</f>
        <v/>
      </c>
      <c r="L141" s="43"/>
      <c r="M141" s="105" t="str">
        <f aca="false">IF($C141="","",IF(IFERROR(INDEX(科目表!$T$4:$T$123,MATCH($C141,科目表!$K$4:$K$123,0)),"")&amp;""="","其他货币资金",INDEX(科目表!$T$4:$T$123,MATCH($C141,科目表!$K$4:$K$123,0))))</f>
        <v/>
      </c>
      <c r="N141" s="39" t="str">
        <f aca="false">IF(OR($C141="",ROUND(N($H141)+N($I141),2)=0),"",IF(N($H141)&gt;0,$M141,$K141))</f>
        <v/>
      </c>
      <c r="O141" s="41" t="str">
        <f aca="false">IF($N141="","",ROUND(N($H141)+N($I141),2))</f>
        <v/>
      </c>
      <c r="P141" s="41" t="str">
        <f aca="false">IF($N141="","",0)</f>
        <v/>
      </c>
      <c r="Q141" s="39" t="str">
        <f aca="false">IF($N141="","",IF(N($H141)&gt;0,$K141,$M141))</f>
        <v/>
      </c>
      <c r="R141" s="41" t="str">
        <f aca="false">IF($Q141="","",0)</f>
        <v/>
      </c>
      <c r="S141" s="41" t="str">
        <f aca="false">IF($Q141="","",ROUND(N($H141)+N($I141),2))</f>
        <v/>
      </c>
      <c r="T141" s="42"/>
      <c r="U141" s="44"/>
      <c r="V141" s="41" t="str">
        <f aca="false">IF($B141="","",TEXT($B141,"yyyy年m月"))</f>
        <v/>
      </c>
      <c r="W141" s="42"/>
      <c r="X141" s="42"/>
      <c r="Y141" s="9"/>
    </row>
    <row r="142" customFormat="false" ht="18" hidden="false" customHeight="true" outlineLevel="0" collapsed="false">
      <c r="A142" s="9" t="str">
        <f aca="false">IF($C142="","",ROW()-3)</f>
        <v/>
      </c>
      <c r="B142" s="76"/>
      <c r="C142" s="74"/>
      <c r="D142" s="43"/>
      <c r="E142" s="42"/>
      <c r="F142" s="74"/>
      <c r="G142" s="74"/>
      <c r="H142" s="44"/>
      <c r="I142" s="44"/>
      <c r="J142" s="103" t="str">
        <f aca="false">IF($C142="","",ROUND(IFERROR(INDEX(期初余额!$I$4:$I$43,MATCH($C142,期初余额!$H$4:$H$43,0)),0)+SUMIFS($H$4:$H142,$C$4:$C142,$C142)-SUMIFS($I$4:$I142,$C$4:$C142,$C142),2))</f>
        <v/>
      </c>
      <c r="K142" s="104" t="str">
        <f aca="false">IF($T142&lt;&gt;"",$T142,IF($C142="","",IF(AND(N($I142)&gt;0,$G142&lt;&gt;""),IF(IFERROR(INDEX(科目表!$U$4:$U$123,MATCH($G142,科目表!$M$4:$M$123,0)),"")&amp;""="","管理费用",INDEX(科目表!$U$4:$U$123,MATCH($G142,科目表!$M$4:$M$123,0))),IF(N($H142)&gt;0,IF(IFERROR(INDEX(自动规则!$C$4:$C$143,MATCH($F142,自动规则!$B$4:$B$143,0)),"")&amp;""="","其他应收款",INDEX(自动规则!$C$4:$C$143,MATCH($F142,自动规则!$B$4:$B$143,0))),IF(IFERROR(INDEX(自动规则!$D$4:$D$143,MATCH($F142,自动规则!$B$4:$B$143,0)),"")&amp;""="","其他应付款",INDEX(自动规则!$D$4:$D$143,MATCH($F142,自动规则!$B$4:$B$143,0)))))))</f>
        <v/>
      </c>
      <c r="L142" s="43"/>
      <c r="M142" s="105" t="str">
        <f aca="false">IF($C142="","",IF(IFERROR(INDEX(科目表!$T$4:$T$123,MATCH($C142,科目表!$K$4:$K$123,0)),"")&amp;""="","其他货币资金",INDEX(科目表!$T$4:$T$123,MATCH($C142,科目表!$K$4:$K$123,0))))</f>
        <v/>
      </c>
      <c r="N142" s="39" t="str">
        <f aca="false">IF(OR($C142="",ROUND(N($H142)+N($I142),2)=0),"",IF(N($H142)&gt;0,$M142,$K142))</f>
        <v/>
      </c>
      <c r="O142" s="41" t="str">
        <f aca="false">IF($N142="","",ROUND(N($H142)+N($I142),2))</f>
        <v/>
      </c>
      <c r="P142" s="41" t="str">
        <f aca="false">IF($N142="","",0)</f>
        <v/>
      </c>
      <c r="Q142" s="39" t="str">
        <f aca="false">IF($N142="","",IF(N($H142)&gt;0,$K142,$M142))</f>
        <v/>
      </c>
      <c r="R142" s="41" t="str">
        <f aca="false">IF($Q142="","",0)</f>
        <v/>
      </c>
      <c r="S142" s="41" t="str">
        <f aca="false">IF($Q142="","",ROUND(N($H142)+N($I142),2))</f>
        <v/>
      </c>
      <c r="T142" s="42"/>
      <c r="U142" s="44"/>
      <c r="V142" s="41" t="str">
        <f aca="false">IF($B142="","",TEXT($B142,"yyyy年m月"))</f>
        <v/>
      </c>
      <c r="W142" s="42"/>
      <c r="X142" s="42"/>
      <c r="Y142" s="9"/>
    </row>
    <row r="143" customFormat="false" ht="18" hidden="false" customHeight="true" outlineLevel="0" collapsed="false">
      <c r="A143" s="9" t="str">
        <f aca="false">IF($C143="","",ROW()-3)</f>
        <v/>
      </c>
      <c r="B143" s="76"/>
      <c r="C143" s="74"/>
      <c r="D143" s="43"/>
      <c r="E143" s="42"/>
      <c r="F143" s="74"/>
      <c r="G143" s="74"/>
      <c r="H143" s="44"/>
      <c r="I143" s="44"/>
      <c r="J143" s="103" t="str">
        <f aca="false">IF($C143="","",ROUND(IFERROR(INDEX(期初余额!$I$4:$I$43,MATCH($C143,期初余额!$H$4:$H$43,0)),0)+SUMIFS($H$4:$H143,$C$4:$C143,$C143)-SUMIFS($I$4:$I143,$C$4:$C143,$C143),2))</f>
        <v/>
      </c>
      <c r="K143" s="104" t="str">
        <f aca="false">IF($T143&lt;&gt;"",$T143,IF($C143="","",IF(AND(N($I143)&gt;0,$G143&lt;&gt;""),IF(IFERROR(INDEX(科目表!$U$4:$U$123,MATCH($G143,科目表!$M$4:$M$123,0)),"")&amp;""="","管理费用",INDEX(科目表!$U$4:$U$123,MATCH($G143,科目表!$M$4:$M$123,0))),IF(N($H143)&gt;0,IF(IFERROR(INDEX(自动规则!$C$4:$C$143,MATCH($F143,自动规则!$B$4:$B$143,0)),"")&amp;""="","其他应收款",INDEX(自动规则!$C$4:$C$143,MATCH($F143,自动规则!$B$4:$B$143,0))),IF(IFERROR(INDEX(自动规则!$D$4:$D$143,MATCH($F143,自动规则!$B$4:$B$143,0)),"")&amp;""="","其他应付款",INDEX(自动规则!$D$4:$D$143,MATCH($F143,自动规则!$B$4:$B$143,0)))))))</f>
        <v/>
      </c>
      <c r="L143" s="43"/>
      <c r="M143" s="105" t="str">
        <f aca="false">IF($C143="","",IF(IFERROR(INDEX(科目表!$T$4:$T$123,MATCH($C143,科目表!$K$4:$K$123,0)),"")&amp;""="","其他货币资金",INDEX(科目表!$T$4:$T$123,MATCH($C143,科目表!$K$4:$K$123,0))))</f>
        <v/>
      </c>
      <c r="N143" s="39" t="str">
        <f aca="false">IF(OR($C143="",ROUND(N($H143)+N($I143),2)=0),"",IF(N($H143)&gt;0,$M143,$K143))</f>
        <v/>
      </c>
      <c r="O143" s="41" t="str">
        <f aca="false">IF($N143="","",ROUND(N($H143)+N($I143),2))</f>
        <v/>
      </c>
      <c r="P143" s="41" t="str">
        <f aca="false">IF($N143="","",0)</f>
        <v/>
      </c>
      <c r="Q143" s="39" t="str">
        <f aca="false">IF($N143="","",IF(N($H143)&gt;0,$K143,$M143))</f>
        <v/>
      </c>
      <c r="R143" s="41" t="str">
        <f aca="false">IF($Q143="","",0)</f>
        <v/>
      </c>
      <c r="S143" s="41" t="str">
        <f aca="false">IF($Q143="","",ROUND(N($H143)+N($I143),2))</f>
        <v/>
      </c>
      <c r="T143" s="42"/>
      <c r="U143" s="44"/>
      <c r="V143" s="41" t="str">
        <f aca="false">IF($B143="","",TEXT($B143,"yyyy年m月"))</f>
        <v/>
      </c>
      <c r="W143" s="42"/>
      <c r="X143" s="42"/>
      <c r="Y143" s="9"/>
    </row>
    <row r="144" customFormat="false" ht="18" hidden="false" customHeight="true" outlineLevel="0" collapsed="false">
      <c r="A144" s="9" t="str">
        <f aca="false">IF($C144="","",ROW()-3)</f>
        <v/>
      </c>
      <c r="B144" s="76"/>
      <c r="C144" s="74"/>
      <c r="D144" s="43"/>
      <c r="E144" s="42"/>
      <c r="F144" s="74"/>
      <c r="G144" s="74"/>
      <c r="H144" s="44"/>
      <c r="I144" s="44"/>
      <c r="J144" s="103" t="str">
        <f aca="false">IF($C144="","",ROUND(IFERROR(INDEX(期初余额!$I$4:$I$43,MATCH($C144,期初余额!$H$4:$H$43,0)),0)+SUMIFS($H$4:$H144,$C$4:$C144,$C144)-SUMIFS($I$4:$I144,$C$4:$C144,$C144),2))</f>
        <v/>
      </c>
      <c r="K144" s="104" t="str">
        <f aca="false">IF($T144&lt;&gt;"",$T144,IF($C144="","",IF(AND(N($I144)&gt;0,$G144&lt;&gt;""),IF(IFERROR(INDEX(科目表!$U$4:$U$123,MATCH($G144,科目表!$M$4:$M$123,0)),"")&amp;""="","管理费用",INDEX(科目表!$U$4:$U$123,MATCH($G144,科目表!$M$4:$M$123,0))),IF(N($H144)&gt;0,IF(IFERROR(INDEX(自动规则!$C$4:$C$143,MATCH($F144,自动规则!$B$4:$B$143,0)),"")&amp;""="","其他应收款",INDEX(自动规则!$C$4:$C$143,MATCH($F144,自动规则!$B$4:$B$143,0))),IF(IFERROR(INDEX(自动规则!$D$4:$D$143,MATCH($F144,自动规则!$B$4:$B$143,0)),"")&amp;""="","其他应付款",INDEX(自动规则!$D$4:$D$143,MATCH($F144,自动规则!$B$4:$B$143,0)))))))</f>
        <v/>
      </c>
      <c r="L144" s="43"/>
      <c r="M144" s="105" t="str">
        <f aca="false">IF($C144="","",IF(IFERROR(INDEX(科目表!$T$4:$T$123,MATCH($C144,科目表!$K$4:$K$123,0)),"")&amp;""="","其他货币资金",INDEX(科目表!$T$4:$T$123,MATCH($C144,科目表!$K$4:$K$123,0))))</f>
        <v/>
      </c>
      <c r="N144" s="39" t="str">
        <f aca="false">IF(OR($C144="",ROUND(N($H144)+N($I144),2)=0),"",IF(N($H144)&gt;0,$M144,$K144))</f>
        <v/>
      </c>
      <c r="O144" s="41" t="str">
        <f aca="false">IF($N144="","",ROUND(N($H144)+N($I144),2))</f>
        <v/>
      </c>
      <c r="P144" s="41" t="str">
        <f aca="false">IF($N144="","",0)</f>
        <v/>
      </c>
      <c r="Q144" s="39" t="str">
        <f aca="false">IF($N144="","",IF(N($H144)&gt;0,$K144,$M144))</f>
        <v/>
      </c>
      <c r="R144" s="41" t="str">
        <f aca="false">IF($Q144="","",0)</f>
        <v/>
      </c>
      <c r="S144" s="41" t="str">
        <f aca="false">IF($Q144="","",ROUND(N($H144)+N($I144),2))</f>
        <v/>
      </c>
      <c r="T144" s="42"/>
      <c r="U144" s="44"/>
      <c r="V144" s="41" t="str">
        <f aca="false">IF($B144="","",TEXT($B144,"yyyy年m月"))</f>
        <v/>
      </c>
      <c r="W144" s="42"/>
      <c r="X144" s="42"/>
      <c r="Y144" s="9"/>
    </row>
    <row r="145" customFormat="false" ht="18" hidden="false" customHeight="true" outlineLevel="0" collapsed="false">
      <c r="A145" s="9" t="str">
        <f aca="false">IF($C145="","",ROW()-3)</f>
        <v/>
      </c>
      <c r="B145" s="76"/>
      <c r="C145" s="74"/>
      <c r="D145" s="43"/>
      <c r="E145" s="42"/>
      <c r="F145" s="74"/>
      <c r="G145" s="74"/>
      <c r="H145" s="44"/>
      <c r="I145" s="44"/>
      <c r="J145" s="103" t="str">
        <f aca="false">IF($C145="","",ROUND(IFERROR(INDEX(期初余额!$I$4:$I$43,MATCH($C145,期初余额!$H$4:$H$43,0)),0)+SUMIFS($H$4:$H145,$C$4:$C145,$C145)-SUMIFS($I$4:$I145,$C$4:$C145,$C145),2))</f>
        <v/>
      </c>
      <c r="K145" s="104" t="str">
        <f aca="false">IF($T145&lt;&gt;"",$T145,IF($C145="","",IF(AND(N($I145)&gt;0,$G145&lt;&gt;""),IF(IFERROR(INDEX(科目表!$U$4:$U$123,MATCH($G145,科目表!$M$4:$M$123,0)),"")&amp;""="","管理费用",INDEX(科目表!$U$4:$U$123,MATCH($G145,科目表!$M$4:$M$123,0))),IF(N($H145)&gt;0,IF(IFERROR(INDEX(自动规则!$C$4:$C$143,MATCH($F145,自动规则!$B$4:$B$143,0)),"")&amp;""="","其他应收款",INDEX(自动规则!$C$4:$C$143,MATCH($F145,自动规则!$B$4:$B$143,0))),IF(IFERROR(INDEX(自动规则!$D$4:$D$143,MATCH($F145,自动规则!$B$4:$B$143,0)),"")&amp;""="","其他应付款",INDEX(自动规则!$D$4:$D$143,MATCH($F145,自动规则!$B$4:$B$143,0)))))))</f>
        <v/>
      </c>
      <c r="L145" s="43"/>
      <c r="M145" s="105" t="str">
        <f aca="false">IF($C145="","",IF(IFERROR(INDEX(科目表!$T$4:$T$123,MATCH($C145,科目表!$K$4:$K$123,0)),"")&amp;""="","其他货币资金",INDEX(科目表!$T$4:$T$123,MATCH($C145,科目表!$K$4:$K$123,0))))</f>
        <v/>
      </c>
      <c r="N145" s="39" t="str">
        <f aca="false">IF(OR($C145="",ROUND(N($H145)+N($I145),2)=0),"",IF(N($H145)&gt;0,$M145,$K145))</f>
        <v/>
      </c>
      <c r="O145" s="41" t="str">
        <f aca="false">IF($N145="","",ROUND(N($H145)+N($I145),2))</f>
        <v/>
      </c>
      <c r="P145" s="41" t="str">
        <f aca="false">IF($N145="","",0)</f>
        <v/>
      </c>
      <c r="Q145" s="39" t="str">
        <f aca="false">IF($N145="","",IF(N($H145)&gt;0,$K145,$M145))</f>
        <v/>
      </c>
      <c r="R145" s="41" t="str">
        <f aca="false">IF($Q145="","",0)</f>
        <v/>
      </c>
      <c r="S145" s="41" t="str">
        <f aca="false">IF($Q145="","",ROUND(N($H145)+N($I145),2))</f>
        <v/>
      </c>
      <c r="T145" s="42"/>
      <c r="U145" s="44"/>
      <c r="V145" s="41" t="str">
        <f aca="false">IF($B145="","",TEXT($B145,"yyyy年m月"))</f>
        <v/>
      </c>
      <c r="W145" s="42"/>
      <c r="X145" s="42"/>
      <c r="Y145" s="9"/>
    </row>
    <row r="146" customFormat="false" ht="18" hidden="false" customHeight="true" outlineLevel="0" collapsed="false">
      <c r="A146" s="9" t="str">
        <f aca="false">IF($C146="","",ROW()-3)</f>
        <v/>
      </c>
      <c r="B146" s="76"/>
      <c r="C146" s="74"/>
      <c r="D146" s="43"/>
      <c r="E146" s="42"/>
      <c r="F146" s="74"/>
      <c r="G146" s="74"/>
      <c r="H146" s="44"/>
      <c r="I146" s="44"/>
      <c r="J146" s="103" t="str">
        <f aca="false">IF($C146="","",ROUND(IFERROR(INDEX(期初余额!$I$4:$I$43,MATCH($C146,期初余额!$H$4:$H$43,0)),0)+SUMIFS($H$4:$H146,$C$4:$C146,$C146)-SUMIFS($I$4:$I146,$C$4:$C146,$C146),2))</f>
        <v/>
      </c>
      <c r="K146" s="104" t="str">
        <f aca="false">IF($T146&lt;&gt;"",$T146,IF($C146="","",IF(AND(N($I146)&gt;0,$G146&lt;&gt;""),IF(IFERROR(INDEX(科目表!$U$4:$U$123,MATCH($G146,科目表!$M$4:$M$123,0)),"")&amp;""="","管理费用",INDEX(科目表!$U$4:$U$123,MATCH($G146,科目表!$M$4:$M$123,0))),IF(N($H146)&gt;0,IF(IFERROR(INDEX(自动规则!$C$4:$C$143,MATCH($F146,自动规则!$B$4:$B$143,0)),"")&amp;""="","其他应收款",INDEX(自动规则!$C$4:$C$143,MATCH($F146,自动规则!$B$4:$B$143,0))),IF(IFERROR(INDEX(自动规则!$D$4:$D$143,MATCH($F146,自动规则!$B$4:$B$143,0)),"")&amp;""="","其他应付款",INDEX(自动规则!$D$4:$D$143,MATCH($F146,自动规则!$B$4:$B$143,0)))))))</f>
        <v/>
      </c>
      <c r="L146" s="43"/>
      <c r="M146" s="105" t="str">
        <f aca="false">IF($C146="","",IF(IFERROR(INDEX(科目表!$T$4:$T$123,MATCH($C146,科目表!$K$4:$K$123,0)),"")&amp;""="","其他货币资金",INDEX(科目表!$T$4:$T$123,MATCH($C146,科目表!$K$4:$K$123,0))))</f>
        <v/>
      </c>
      <c r="N146" s="39" t="str">
        <f aca="false">IF(OR($C146="",ROUND(N($H146)+N($I146),2)=0),"",IF(N($H146)&gt;0,$M146,$K146))</f>
        <v/>
      </c>
      <c r="O146" s="41" t="str">
        <f aca="false">IF($N146="","",ROUND(N($H146)+N($I146),2))</f>
        <v/>
      </c>
      <c r="P146" s="41" t="str">
        <f aca="false">IF($N146="","",0)</f>
        <v/>
      </c>
      <c r="Q146" s="39" t="str">
        <f aca="false">IF($N146="","",IF(N($H146)&gt;0,$K146,$M146))</f>
        <v/>
      </c>
      <c r="R146" s="41" t="str">
        <f aca="false">IF($Q146="","",0)</f>
        <v/>
      </c>
      <c r="S146" s="41" t="str">
        <f aca="false">IF($Q146="","",ROUND(N($H146)+N($I146),2))</f>
        <v/>
      </c>
      <c r="T146" s="42"/>
      <c r="U146" s="44"/>
      <c r="V146" s="41" t="str">
        <f aca="false">IF($B146="","",TEXT($B146,"yyyy年m月"))</f>
        <v/>
      </c>
      <c r="W146" s="42"/>
      <c r="X146" s="42"/>
      <c r="Y146" s="9"/>
    </row>
    <row r="147" customFormat="false" ht="18" hidden="false" customHeight="true" outlineLevel="0" collapsed="false">
      <c r="A147" s="9" t="str">
        <f aca="false">IF($C147="","",ROW()-3)</f>
        <v/>
      </c>
      <c r="B147" s="76"/>
      <c r="C147" s="74"/>
      <c r="D147" s="43"/>
      <c r="E147" s="42"/>
      <c r="F147" s="74"/>
      <c r="G147" s="74"/>
      <c r="H147" s="44"/>
      <c r="I147" s="44"/>
      <c r="J147" s="103" t="str">
        <f aca="false">IF($C147="","",ROUND(IFERROR(INDEX(期初余额!$I$4:$I$43,MATCH($C147,期初余额!$H$4:$H$43,0)),0)+SUMIFS($H$4:$H147,$C$4:$C147,$C147)-SUMIFS($I$4:$I147,$C$4:$C147,$C147),2))</f>
        <v/>
      </c>
      <c r="K147" s="104" t="str">
        <f aca="false">IF($T147&lt;&gt;"",$T147,IF($C147="","",IF(AND(N($I147)&gt;0,$G147&lt;&gt;""),IF(IFERROR(INDEX(科目表!$U$4:$U$123,MATCH($G147,科目表!$M$4:$M$123,0)),"")&amp;""="","管理费用",INDEX(科目表!$U$4:$U$123,MATCH($G147,科目表!$M$4:$M$123,0))),IF(N($H147)&gt;0,IF(IFERROR(INDEX(自动规则!$C$4:$C$143,MATCH($F147,自动规则!$B$4:$B$143,0)),"")&amp;""="","其他应收款",INDEX(自动规则!$C$4:$C$143,MATCH($F147,自动规则!$B$4:$B$143,0))),IF(IFERROR(INDEX(自动规则!$D$4:$D$143,MATCH($F147,自动规则!$B$4:$B$143,0)),"")&amp;""="","其他应付款",INDEX(自动规则!$D$4:$D$143,MATCH($F147,自动规则!$B$4:$B$143,0)))))))</f>
        <v/>
      </c>
      <c r="L147" s="43"/>
      <c r="M147" s="105" t="str">
        <f aca="false">IF($C147="","",IF(IFERROR(INDEX(科目表!$T$4:$T$123,MATCH($C147,科目表!$K$4:$K$123,0)),"")&amp;""="","其他货币资金",INDEX(科目表!$T$4:$T$123,MATCH($C147,科目表!$K$4:$K$123,0))))</f>
        <v/>
      </c>
      <c r="N147" s="39" t="str">
        <f aca="false">IF(OR($C147="",ROUND(N($H147)+N($I147),2)=0),"",IF(N($H147)&gt;0,$M147,$K147))</f>
        <v/>
      </c>
      <c r="O147" s="41" t="str">
        <f aca="false">IF($N147="","",ROUND(N($H147)+N($I147),2))</f>
        <v/>
      </c>
      <c r="P147" s="41" t="str">
        <f aca="false">IF($N147="","",0)</f>
        <v/>
      </c>
      <c r="Q147" s="39" t="str">
        <f aca="false">IF($N147="","",IF(N($H147)&gt;0,$K147,$M147))</f>
        <v/>
      </c>
      <c r="R147" s="41" t="str">
        <f aca="false">IF($Q147="","",0)</f>
        <v/>
      </c>
      <c r="S147" s="41" t="str">
        <f aca="false">IF($Q147="","",ROUND(N($H147)+N($I147),2))</f>
        <v/>
      </c>
      <c r="T147" s="42"/>
      <c r="U147" s="44"/>
      <c r="V147" s="41" t="str">
        <f aca="false">IF($B147="","",TEXT($B147,"yyyy年m月"))</f>
        <v/>
      </c>
      <c r="W147" s="42"/>
      <c r="X147" s="42"/>
      <c r="Y147" s="9"/>
    </row>
    <row r="148" customFormat="false" ht="18" hidden="false" customHeight="true" outlineLevel="0" collapsed="false">
      <c r="A148" s="9" t="str">
        <f aca="false">IF($C148="","",ROW()-3)</f>
        <v/>
      </c>
      <c r="B148" s="76"/>
      <c r="C148" s="74"/>
      <c r="D148" s="43"/>
      <c r="E148" s="42"/>
      <c r="F148" s="74"/>
      <c r="G148" s="74"/>
      <c r="H148" s="44"/>
      <c r="I148" s="44"/>
      <c r="J148" s="103" t="str">
        <f aca="false">IF($C148="","",ROUND(IFERROR(INDEX(期初余额!$I$4:$I$43,MATCH($C148,期初余额!$H$4:$H$43,0)),0)+SUMIFS($H$4:$H148,$C$4:$C148,$C148)-SUMIFS($I$4:$I148,$C$4:$C148,$C148),2))</f>
        <v/>
      </c>
      <c r="K148" s="104" t="str">
        <f aca="false">IF($T148&lt;&gt;"",$T148,IF($C148="","",IF(AND(N($I148)&gt;0,$G148&lt;&gt;""),IF(IFERROR(INDEX(科目表!$U$4:$U$123,MATCH($G148,科目表!$M$4:$M$123,0)),"")&amp;""="","管理费用",INDEX(科目表!$U$4:$U$123,MATCH($G148,科目表!$M$4:$M$123,0))),IF(N($H148)&gt;0,IF(IFERROR(INDEX(自动规则!$C$4:$C$143,MATCH($F148,自动规则!$B$4:$B$143,0)),"")&amp;""="","其他应收款",INDEX(自动规则!$C$4:$C$143,MATCH($F148,自动规则!$B$4:$B$143,0))),IF(IFERROR(INDEX(自动规则!$D$4:$D$143,MATCH($F148,自动规则!$B$4:$B$143,0)),"")&amp;""="","其他应付款",INDEX(自动规则!$D$4:$D$143,MATCH($F148,自动规则!$B$4:$B$143,0)))))))</f>
        <v/>
      </c>
      <c r="L148" s="43"/>
      <c r="M148" s="105" t="str">
        <f aca="false">IF($C148="","",IF(IFERROR(INDEX(科目表!$T$4:$T$123,MATCH($C148,科目表!$K$4:$K$123,0)),"")&amp;""="","其他货币资金",INDEX(科目表!$T$4:$T$123,MATCH($C148,科目表!$K$4:$K$123,0))))</f>
        <v/>
      </c>
      <c r="N148" s="39" t="str">
        <f aca="false">IF(OR($C148="",ROUND(N($H148)+N($I148),2)=0),"",IF(N($H148)&gt;0,$M148,$K148))</f>
        <v/>
      </c>
      <c r="O148" s="41" t="str">
        <f aca="false">IF($N148="","",ROUND(N($H148)+N($I148),2))</f>
        <v/>
      </c>
      <c r="P148" s="41" t="str">
        <f aca="false">IF($N148="","",0)</f>
        <v/>
      </c>
      <c r="Q148" s="39" t="str">
        <f aca="false">IF($N148="","",IF(N($H148)&gt;0,$K148,$M148))</f>
        <v/>
      </c>
      <c r="R148" s="41" t="str">
        <f aca="false">IF($Q148="","",0)</f>
        <v/>
      </c>
      <c r="S148" s="41" t="str">
        <f aca="false">IF($Q148="","",ROUND(N($H148)+N($I148),2))</f>
        <v/>
      </c>
      <c r="T148" s="42"/>
      <c r="U148" s="44"/>
      <c r="V148" s="41" t="str">
        <f aca="false">IF($B148="","",TEXT($B148,"yyyy年m月"))</f>
        <v/>
      </c>
      <c r="W148" s="42"/>
      <c r="X148" s="42"/>
      <c r="Y148" s="9"/>
    </row>
    <row r="149" customFormat="false" ht="18" hidden="false" customHeight="true" outlineLevel="0" collapsed="false">
      <c r="A149" s="9" t="str">
        <f aca="false">IF($C149="","",ROW()-3)</f>
        <v/>
      </c>
      <c r="B149" s="76"/>
      <c r="C149" s="74"/>
      <c r="D149" s="43"/>
      <c r="E149" s="42"/>
      <c r="F149" s="74"/>
      <c r="G149" s="74"/>
      <c r="H149" s="44"/>
      <c r="I149" s="44"/>
      <c r="J149" s="103" t="str">
        <f aca="false">IF($C149="","",ROUND(IFERROR(INDEX(期初余额!$I$4:$I$43,MATCH($C149,期初余额!$H$4:$H$43,0)),0)+SUMIFS($H$4:$H149,$C$4:$C149,$C149)-SUMIFS($I$4:$I149,$C$4:$C149,$C149),2))</f>
        <v/>
      </c>
      <c r="K149" s="104" t="str">
        <f aca="false">IF($T149&lt;&gt;"",$T149,IF($C149="","",IF(AND(N($I149)&gt;0,$G149&lt;&gt;""),IF(IFERROR(INDEX(科目表!$U$4:$U$123,MATCH($G149,科目表!$M$4:$M$123,0)),"")&amp;""="","管理费用",INDEX(科目表!$U$4:$U$123,MATCH($G149,科目表!$M$4:$M$123,0))),IF(N($H149)&gt;0,IF(IFERROR(INDEX(自动规则!$C$4:$C$143,MATCH($F149,自动规则!$B$4:$B$143,0)),"")&amp;""="","其他应收款",INDEX(自动规则!$C$4:$C$143,MATCH($F149,自动规则!$B$4:$B$143,0))),IF(IFERROR(INDEX(自动规则!$D$4:$D$143,MATCH($F149,自动规则!$B$4:$B$143,0)),"")&amp;""="","其他应付款",INDEX(自动规则!$D$4:$D$143,MATCH($F149,自动规则!$B$4:$B$143,0)))))))</f>
        <v/>
      </c>
      <c r="L149" s="43"/>
      <c r="M149" s="105" t="str">
        <f aca="false">IF($C149="","",IF(IFERROR(INDEX(科目表!$T$4:$T$123,MATCH($C149,科目表!$K$4:$K$123,0)),"")&amp;""="","其他货币资金",INDEX(科目表!$T$4:$T$123,MATCH($C149,科目表!$K$4:$K$123,0))))</f>
        <v/>
      </c>
      <c r="N149" s="39" t="str">
        <f aca="false">IF(OR($C149="",ROUND(N($H149)+N($I149),2)=0),"",IF(N($H149)&gt;0,$M149,$K149))</f>
        <v/>
      </c>
      <c r="O149" s="41" t="str">
        <f aca="false">IF($N149="","",ROUND(N($H149)+N($I149),2))</f>
        <v/>
      </c>
      <c r="P149" s="41" t="str">
        <f aca="false">IF($N149="","",0)</f>
        <v/>
      </c>
      <c r="Q149" s="39" t="str">
        <f aca="false">IF($N149="","",IF(N($H149)&gt;0,$K149,$M149))</f>
        <v/>
      </c>
      <c r="R149" s="41" t="str">
        <f aca="false">IF($Q149="","",0)</f>
        <v/>
      </c>
      <c r="S149" s="41" t="str">
        <f aca="false">IF($Q149="","",ROUND(N($H149)+N($I149),2))</f>
        <v/>
      </c>
      <c r="T149" s="42"/>
      <c r="U149" s="44"/>
      <c r="V149" s="41" t="str">
        <f aca="false">IF($B149="","",TEXT($B149,"yyyy年m月"))</f>
        <v/>
      </c>
      <c r="W149" s="42"/>
      <c r="X149" s="42"/>
      <c r="Y149" s="9"/>
    </row>
    <row r="150" customFormat="false" ht="18" hidden="false" customHeight="true" outlineLevel="0" collapsed="false">
      <c r="A150" s="9" t="str">
        <f aca="false">IF($C150="","",ROW()-3)</f>
        <v/>
      </c>
      <c r="B150" s="76"/>
      <c r="C150" s="74"/>
      <c r="D150" s="43"/>
      <c r="E150" s="42"/>
      <c r="F150" s="74"/>
      <c r="G150" s="74"/>
      <c r="H150" s="44"/>
      <c r="I150" s="44"/>
      <c r="J150" s="103" t="str">
        <f aca="false">IF($C150="","",ROUND(IFERROR(INDEX(期初余额!$I$4:$I$43,MATCH($C150,期初余额!$H$4:$H$43,0)),0)+SUMIFS($H$4:$H150,$C$4:$C150,$C150)-SUMIFS($I$4:$I150,$C$4:$C150,$C150),2))</f>
        <v/>
      </c>
      <c r="K150" s="104" t="str">
        <f aca="false">IF($T150&lt;&gt;"",$T150,IF($C150="","",IF(AND(N($I150)&gt;0,$G150&lt;&gt;""),IF(IFERROR(INDEX(科目表!$U$4:$U$123,MATCH($G150,科目表!$M$4:$M$123,0)),"")&amp;""="","管理费用",INDEX(科目表!$U$4:$U$123,MATCH($G150,科目表!$M$4:$M$123,0))),IF(N($H150)&gt;0,IF(IFERROR(INDEX(自动规则!$C$4:$C$143,MATCH($F150,自动规则!$B$4:$B$143,0)),"")&amp;""="","其他应收款",INDEX(自动规则!$C$4:$C$143,MATCH($F150,自动规则!$B$4:$B$143,0))),IF(IFERROR(INDEX(自动规则!$D$4:$D$143,MATCH($F150,自动规则!$B$4:$B$143,0)),"")&amp;""="","其他应付款",INDEX(自动规则!$D$4:$D$143,MATCH($F150,自动规则!$B$4:$B$143,0)))))))</f>
        <v/>
      </c>
      <c r="L150" s="43"/>
      <c r="M150" s="105" t="str">
        <f aca="false">IF($C150="","",IF(IFERROR(INDEX(科目表!$T$4:$T$123,MATCH($C150,科目表!$K$4:$K$123,0)),"")&amp;""="","其他货币资金",INDEX(科目表!$T$4:$T$123,MATCH($C150,科目表!$K$4:$K$123,0))))</f>
        <v/>
      </c>
      <c r="N150" s="39" t="str">
        <f aca="false">IF(OR($C150="",ROUND(N($H150)+N($I150),2)=0),"",IF(N($H150)&gt;0,$M150,$K150))</f>
        <v/>
      </c>
      <c r="O150" s="41" t="str">
        <f aca="false">IF($N150="","",ROUND(N($H150)+N($I150),2))</f>
        <v/>
      </c>
      <c r="P150" s="41" t="str">
        <f aca="false">IF($N150="","",0)</f>
        <v/>
      </c>
      <c r="Q150" s="39" t="str">
        <f aca="false">IF($N150="","",IF(N($H150)&gt;0,$K150,$M150))</f>
        <v/>
      </c>
      <c r="R150" s="41" t="str">
        <f aca="false">IF($Q150="","",0)</f>
        <v/>
      </c>
      <c r="S150" s="41" t="str">
        <f aca="false">IF($Q150="","",ROUND(N($H150)+N($I150),2))</f>
        <v/>
      </c>
      <c r="T150" s="42"/>
      <c r="U150" s="44"/>
      <c r="V150" s="41" t="str">
        <f aca="false">IF($B150="","",TEXT($B150,"yyyy年m月"))</f>
        <v/>
      </c>
      <c r="W150" s="42"/>
      <c r="X150" s="42"/>
      <c r="Y150" s="9"/>
    </row>
    <row r="151" customFormat="false" ht="18" hidden="false" customHeight="true" outlineLevel="0" collapsed="false">
      <c r="A151" s="9" t="str">
        <f aca="false">IF($C151="","",ROW()-3)</f>
        <v/>
      </c>
      <c r="B151" s="76"/>
      <c r="C151" s="74"/>
      <c r="D151" s="43"/>
      <c r="E151" s="42"/>
      <c r="F151" s="74"/>
      <c r="G151" s="74"/>
      <c r="H151" s="44"/>
      <c r="I151" s="44"/>
      <c r="J151" s="103" t="str">
        <f aca="false">IF($C151="","",ROUND(IFERROR(INDEX(期初余额!$I$4:$I$43,MATCH($C151,期初余额!$H$4:$H$43,0)),0)+SUMIFS($H$4:$H151,$C$4:$C151,$C151)-SUMIFS($I$4:$I151,$C$4:$C151,$C151),2))</f>
        <v/>
      </c>
      <c r="K151" s="104" t="str">
        <f aca="false">IF($T151&lt;&gt;"",$T151,IF($C151="","",IF(AND(N($I151)&gt;0,$G151&lt;&gt;""),IF(IFERROR(INDEX(科目表!$U$4:$U$123,MATCH($G151,科目表!$M$4:$M$123,0)),"")&amp;""="","管理费用",INDEX(科目表!$U$4:$U$123,MATCH($G151,科目表!$M$4:$M$123,0))),IF(N($H151)&gt;0,IF(IFERROR(INDEX(自动规则!$C$4:$C$143,MATCH($F151,自动规则!$B$4:$B$143,0)),"")&amp;""="","其他应收款",INDEX(自动规则!$C$4:$C$143,MATCH($F151,自动规则!$B$4:$B$143,0))),IF(IFERROR(INDEX(自动规则!$D$4:$D$143,MATCH($F151,自动规则!$B$4:$B$143,0)),"")&amp;""="","其他应付款",INDEX(自动规则!$D$4:$D$143,MATCH($F151,自动规则!$B$4:$B$143,0)))))))</f>
        <v/>
      </c>
      <c r="L151" s="43"/>
      <c r="M151" s="105" t="str">
        <f aca="false">IF($C151="","",IF(IFERROR(INDEX(科目表!$T$4:$T$123,MATCH($C151,科目表!$K$4:$K$123,0)),"")&amp;""="","其他货币资金",INDEX(科目表!$T$4:$T$123,MATCH($C151,科目表!$K$4:$K$123,0))))</f>
        <v/>
      </c>
      <c r="N151" s="39" t="str">
        <f aca="false">IF(OR($C151="",ROUND(N($H151)+N($I151),2)=0),"",IF(N($H151)&gt;0,$M151,$K151))</f>
        <v/>
      </c>
      <c r="O151" s="41" t="str">
        <f aca="false">IF($N151="","",ROUND(N($H151)+N($I151),2))</f>
        <v/>
      </c>
      <c r="P151" s="41" t="str">
        <f aca="false">IF($N151="","",0)</f>
        <v/>
      </c>
      <c r="Q151" s="39" t="str">
        <f aca="false">IF($N151="","",IF(N($H151)&gt;0,$K151,$M151))</f>
        <v/>
      </c>
      <c r="R151" s="41" t="str">
        <f aca="false">IF($Q151="","",0)</f>
        <v/>
      </c>
      <c r="S151" s="41" t="str">
        <f aca="false">IF($Q151="","",ROUND(N($H151)+N($I151),2))</f>
        <v/>
      </c>
      <c r="T151" s="42"/>
      <c r="U151" s="44"/>
      <c r="V151" s="41" t="str">
        <f aca="false">IF($B151="","",TEXT($B151,"yyyy年m月"))</f>
        <v/>
      </c>
      <c r="W151" s="42"/>
      <c r="X151" s="42"/>
      <c r="Y151" s="9"/>
    </row>
    <row r="152" customFormat="false" ht="18" hidden="false" customHeight="true" outlineLevel="0" collapsed="false">
      <c r="A152" s="9" t="str">
        <f aca="false">IF($C152="","",ROW()-3)</f>
        <v/>
      </c>
      <c r="B152" s="76"/>
      <c r="C152" s="74"/>
      <c r="D152" s="43"/>
      <c r="E152" s="42"/>
      <c r="F152" s="74"/>
      <c r="G152" s="74"/>
      <c r="H152" s="44"/>
      <c r="I152" s="44"/>
      <c r="J152" s="103" t="str">
        <f aca="false">IF($C152="","",ROUND(IFERROR(INDEX(期初余额!$I$4:$I$43,MATCH($C152,期初余额!$H$4:$H$43,0)),0)+SUMIFS($H$4:$H152,$C$4:$C152,$C152)-SUMIFS($I$4:$I152,$C$4:$C152,$C152),2))</f>
        <v/>
      </c>
      <c r="K152" s="104" t="str">
        <f aca="false">IF($T152&lt;&gt;"",$T152,IF($C152="","",IF(AND(N($I152)&gt;0,$G152&lt;&gt;""),IF(IFERROR(INDEX(科目表!$U$4:$U$123,MATCH($G152,科目表!$M$4:$M$123,0)),"")&amp;""="","管理费用",INDEX(科目表!$U$4:$U$123,MATCH($G152,科目表!$M$4:$M$123,0))),IF(N($H152)&gt;0,IF(IFERROR(INDEX(自动规则!$C$4:$C$143,MATCH($F152,自动规则!$B$4:$B$143,0)),"")&amp;""="","其他应收款",INDEX(自动规则!$C$4:$C$143,MATCH($F152,自动规则!$B$4:$B$143,0))),IF(IFERROR(INDEX(自动规则!$D$4:$D$143,MATCH($F152,自动规则!$B$4:$B$143,0)),"")&amp;""="","其他应付款",INDEX(自动规则!$D$4:$D$143,MATCH($F152,自动规则!$B$4:$B$143,0)))))))</f>
        <v/>
      </c>
      <c r="L152" s="43"/>
      <c r="M152" s="105" t="str">
        <f aca="false">IF($C152="","",IF(IFERROR(INDEX(科目表!$T$4:$T$123,MATCH($C152,科目表!$K$4:$K$123,0)),"")&amp;""="","其他货币资金",INDEX(科目表!$T$4:$T$123,MATCH($C152,科目表!$K$4:$K$123,0))))</f>
        <v/>
      </c>
      <c r="N152" s="39" t="str">
        <f aca="false">IF(OR($C152="",ROUND(N($H152)+N($I152),2)=0),"",IF(N($H152)&gt;0,$M152,$K152))</f>
        <v/>
      </c>
      <c r="O152" s="41" t="str">
        <f aca="false">IF($N152="","",ROUND(N($H152)+N($I152),2))</f>
        <v/>
      </c>
      <c r="P152" s="41" t="str">
        <f aca="false">IF($N152="","",0)</f>
        <v/>
      </c>
      <c r="Q152" s="39" t="str">
        <f aca="false">IF($N152="","",IF(N($H152)&gt;0,$K152,$M152))</f>
        <v/>
      </c>
      <c r="R152" s="41" t="str">
        <f aca="false">IF($Q152="","",0)</f>
        <v/>
      </c>
      <c r="S152" s="41" t="str">
        <f aca="false">IF($Q152="","",ROUND(N($H152)+N($I152),2))</f>
        <v/>
      </c>
      <c r="T152" s="42"/>
      <c r="U152" s="44"/>
      <c r="V152" s="41" t="str">
        <f aca="false">IF($B152="","",TEXT($B152,"yyyy年m月"))</f>
        <v/>
      </c>
      <c r="W152" s="42"/>
      <c r="X152" s="42"/>
      <c r="Y152" s="9"/>
    </row>
    <row r="153" customFormat="false" ht="18" hidden="false" customHeight="true" outlineLevel="0" collapsed="false">
      <c r="A153" s="9" t="str">
        <f aca="false">IF($C153="","",ROW()-3)</f>
        <v/>
      </c>
      <c r="B153" s="76"/>
      <c r="C153" s="74"/>
      <c r="D153" s="43"/>
      <c r="E153" s="42"/>
      <c r="F153" s="74"/>
      <c r="G153" s="74"/>
      <c r="H153" s="44"/>
      <c r="I153" s="44"/>
      <c r="J153" s="103" t="str">
        <f aca="false">IF($C153="","",ROUND(IFERROR(INDEX(期初余额!$I$4:$I$43,MATCH($C153,期初余额!$H$4:$H$43,0)),0)+SUMIFS($H$4:$H153,$C$4:$C153,$C153)-SUMIFS($I$4:$I153,$C$4:$C153,$C153),2))</f>
        <v/>
      </c>
      <c r="K153" s="104" t="str">
        <f aca="false">IF($T153&lt;&gt;"",$T153,IF($C153="","",IF(AND(N($I153)&gt;0,$G153&lt;&gt;""),IF(IFERROR(INDEX(科目表!$U$4:$U$123,MATCH($G153,科目表!$M$4:$M$123,0)),"")&amp;""="","管理费用",INDEX(科目表!$U$4:$U$123,MATCH($G153,科目表!$M$4:$M$123,0))),IF(N($H153)&gt;0,IF(IFERROR(INDEX(自动规则!$C$4:$C$143,MATCH($F153,自动规则!$B$4:$B$143,0)),"")&amp;""="","其他应收款",INDEX(自动规则!$C$4:$C$143,MATCH($F153,自动规则!$B$4:$B$143,0))),IF(IFERROR(INDEX(自动规则!$D$4:$D$143,MATCH($F153,自动规则!$B$4:$B$143,0)),"")&amp;""="","其他应付款",INDEX(自动规则!$D$4:$D$143,MATCH($F153,自动规则!$B$4:$B$143,0)))))))</f>
        <v/>
      </c>
      <c r="L153" s="43"/>
      <c r="M153" s="105" t="str">
        <f aca="false">IF($C153="","",IF(IFERROR(INDEX(科目表!$T$4:$T$123,MATCH($C153,科目表!$K$4:$K$123,0)),"")&amp;""="","其他货币资金",INDEX(科目表!$T$4:$T$123,MATCH($C153,科目表!$K$4:$K$123,0))))</f>
        <v/>
      </c>
      <c r="N153" s="39" t="str">
        <f aca="false">IF(OR($C153="",ROUND(N($H153)+N($I153),2)=0),"",IF(N($H153)&gt;0,$M153,$K153))</f>
        <v/>
      </c>
      <c r="O153" s="41" t="str">
        <f aca="false">IF($N153="","",ROUND(N($H153)+N($I153),2))</f>
        <v/>
      </c>
      <c r="P153" s="41" t="str">
        <f aca="false">IF($N153="","",0)</f>
        <v/>
      </c>
      <c r="Q153" s="39" t="str">
        <f aca="false">IF($N153="","",IF(N($H153)&gt;0,$K153,$M153))</f>
        <v/>
      </c>
      <c r="R153" s="41" t="str">
        <f aca="false">IF($Q153="","",0)</f>
        <v/>
      </c>
      <c r="S153" s="41" t="str">
        <f aca="false">IF($Q153="","",ROUND(N($H153)+N($I153),2))</f>
        <v/>
      </c>
      <c r="T153" s="42"/>
      <c r="U153" s="44"/>
      <c r="V153" s="41" t="str">
        <f aca="false">IF($B153="","",TEXT($B153,"yyyy年m月"))</f>
        <v/>
      </c>
      <c r="W153" s="42"/>
      <c r="X153" s="42"/>
      <c r="Y153" s="9"/>
    </row>
    <row r="154" customFormat="false" ht="18" hidden="false" customHeight="true" outlineLevel="0" collapsed="false">
      <c r="A154" s="9" t="str">
        <f aca="false">IF($C154="","",ROW()-3)</f>
        <v/>
      </c>
      <c r="B154" s="76"/>
      <c r="C154" s="74"/>
      <c r="D154" s="43"/>
      <c r="E154" s="42"/>
      <c r="F154" s="74"/>
      <c r="G154" s="74"/>
      <c r="H154" s="44"/>
      <c r="I154" s="44"/>
      <c r="J154" s="103" t="str">
        <f aca="false">IF($C154="","",ROUND(IFERROR(INDEX(期初余额!$I$4:$I$43,MATCH($C154,期初余额!$H$4:$H$43,0)),0)+SUMIFS($H$4:$H154,$C$4:$C154,$C154)-SUMIFS($I$4:$I154,$C$4:$C154,$C154),2))</f>
        <v/>
      </c>
      <c r="K154" s="104" t="str">
        <f aca="false">IF($T154&lt;&gt;"",$T154,IF($C154="","",IF(AND(N($I154)&gt;0,$G154&lt;&gt;""),IF(IFERROR(INDEX(科目表!$U$4:$U$123,MATCH($G154,科目表!$M$4:$M$123,0)),"")&amp;""="","管理费用",INDEX(科目表!$U$4:$U$123,MATCH($G154,科目表!$M$4:$M$123,0))),IF(N($H154)&gt;0,IF(IFERROR(INDEX(自动规则!$C$4:$C$143,MATCH($F154,自动规则!$B$4:$B$143,0)),"")&amp;""="","其他应收款",INDEX(自动规则!$C$4:$C$143,MATCH($F154,自动规则!$B$4:$B$143,0))),IF(IFERROR(INDEX(自动规则!$D$4:$D$143,MATCH($F154,自动规则!$B$4:$B$143,0)),"")&amp;""="","其他应付款",INDEX(自动规则!$D$4:$D$143,MATCH($F154,自动规则!$B$4:$B$143,0)))))))</f>
        <v/>
      </c>
      <c r="L154" s="43"/>
      <c r="M154" s="105" t="str">
        <f aca="false">IF($C154="","",IF(IFERROR(INDEX(科目表!$T$4:$T$123,MATCH($C154,科目表!$K$4:$K$123,0)),"")&amp;""="","其他货币资金",INDEX(科目表!$T$4:$T$123,MATCH($C154,科目表!$K$4:$K$123,0))))</f>
        <v/>
      </c>
      <c r="N154" s="39" t="str">
        <f aca="false">IF(OR($C154="",ROUND(N($H154)+N($I154),2)=0),"",IF(N($H154)&gt;0,$M154,$K154))</f>
        <v/>
      </c>
      <c r="O154" s="41" t="str">
        <f aca="false">IF($N154="","",ROUND(N($H154)+N($I154),2))</f>
        <v/>
      </c>
      <c r="P154" s="41" t="str">
        <f aca="false">IF($N154="","",0)</f>
        <v/>
      </c>
      <c r="Q154" s="39" t="str">
        <f aca="false">IF($N154="","",IF(N($H154)&gt;0,$K154,$M154))</f>
        <v/>
      </c>
      <c r="R154" s="41" t="str">
        <f aca="false">IF($Q154="","",0)</f>
        <v/>
      </c>
      <c r="S154" s="41" t="str">
        <f aca="false">IF($Q154="","",ROUND(N($H154)+N($I154),2))</f>
        <v/>
      </c>
      <c r="T154" s="42"/>
      <c r="U154" s="44"/>
      <c r="V154" s="41" t="str">
        <f aca="false">IF($B154="","",TEXT($B154,"yyyy年m月"))</f>
        <v/>
      </c>
      <c r="W154" s="42"/>
      <c r="X154" s="42"/>
      <c r="Y154" s="9"/>
    </row>
    <row r="155" customFormat="false" ht="18" hidden="false" customHeight="true" outlineLevel="0" collapsed="false">
      <c r="A155" s="9" t="str">
        <f aca="false">IF($C155="","",ROW()-3)</f>
        <v/>
      </c>
      <c r="B155" s="76"/>
      <c r="C155" s="74"/>
      <c r="D155" s="43"/>
      <c r="E155" s="42"/>
      <c r="F155" s="74"/>
      <c r="G155" s="74"/>
      <c r="H155" s="44"/>
      <c r="I155" s="44"/>
      <c r="J155" s="103" t="str">
        <f aca="false">IF($C155="","",ROUND(IFERROR(INDEX(期初余额!$I$4:$I$43,MATCH($C155,期初余额!$H$4:$H$43,0)),0)+SUMIFS($H$4:$H155,$C$4:$C155,$C155)-SUMIFS($I$4:$I155,$C$4:$C155,$C155),2))</f>
        <v/>
      </c>
      <c r="K155" s="104" t="str">
        <f aca="false">IF($T155&lt;&gt;"",$T155,IF($C155="","",IF(AND(N($I155)&gt;0,$G155&lt;&gt;""),IF(IFERROR(INDEX(科目表!$U$4:$U$123,MATCH($G155,科目表!$M$4:$M$123,0)),"")&amp;""="","管理费用",INDEX(科目表!$U$4:$U$123,MATCH($G155,科目表!$M$4:$M$123,0))),IF(N($H155)&gt;0,IF(IFERROR(INDEX(自动规则!$C$4:$C$143,MATCH($F155,自动规则!$B$4:$B$143,0)),"")&amp;""="","其他应收款",INDEX(自动规则!$C$4:$C$143,MATCH($F155,自动规则!$B$4:$B$143,0))),IF(IFERROR(INDEX(自动规则!$D$4:$D$143,MATCH($F155,自动规则!$B$4:$B$143,0)),"")&amp;""="","其他应付款",INDEX(自动规则!$D$4:$D$143,MATCH($F155,自动规则!$B$4:$B$143,0)))))))</f>
        <v/>
      </c>
      <c r="L155" s="43"/>
      <c r="M155" s="105" t="str">
        <f aca="false">IF($C155="","",IF(IFERROR(INDEX(科目表!$T$4:$T$123,MATCH($C155,科目表!$K$4:$K$123,0)),"")&amp;""="","其他货币资金",INDEX(科目表!$T$4:$T$123,MATCH($C155,科目表!$K$4:$K$123,0))))</f>
        <v/>
      </c>
      <c r="N155" s="39" t="str">
        <f aca="false">IF(OR($C155="",ROUND(N($H155)+N($I155),2)=0),"",IF(N($H155)&gt;0,$M155,$K155))</f>
        <v/>
      </c>
      <c r="O155" s="41" t="str">
        <f aca="false">IF($N155="","",ROUND(N($H155)+N($I155),2))</f>
        <v/>
      </c>
      <c r="P155" s="41" t="str">
        <f aca="false">IF($N155="","",0)</f>
        <v/>
      </c>
      <c r="Q155" s="39" t="str">
        <f aca="false">IF($N155="","",IF(N($H155)&gt;0,$K155,$M155))</f>
        <v/>
      </c>
      <c r="R155" s="41" t="str">
        <f aca="false">IF($Q155="","",0)</f>
        <v/>
      </c>
      <c r="S155" s="41" t="str">
        <f aca="false">IF($Q155="","",ROUND(N($H155)+N($I155),2))</f>
        <v/>
      </c>
      <c r="T155" s="42"/>
      <c r="U155" s="44"/>
      <c r="V155" s="41" t="str">
        <f aca="false">IF($B155="","",TEXT($B155,"yyyy年m月"))</f>
        <v/>
      </c>
      <c r="W155" s="42"/>
      <c r="X155" s="42"/>
      <c r="Y155" s="9"/>
    </row>
    <row r="156" customFormat="false" ht="18" hidden="false" customHeight="true" outlineLevel="0" collapsed="false">
      <c r="A156" s="9" t="str">
        <f aca="false">IF($C156="","",ROW()-3)</f>
        <v/>
      </c>
      <c r="B156" s="76"/>
      <c r="C156" s="74"/>
      <c r="D156" s="43"/>
      <c r="E156" s="42"/>
      <c r="F156" s="74"/>
      <c r="G156" s="74"/>
      <c r="H156" s="44"/>
      <c r="I156" s="44"/>
      <c r="J156" s="103" t="str">
        <f aca="false">IF($C156="","",ROUND(IFERROR(INDEX(期初余额!$I$4:$I$43,MATCH($C156,期初余额!$H$4:$H$43,0)),0)+SUMIFS($H$4:$H156,$C$4:$C156,$C156)-SUMIFS($I$4:$I156,$C$4:$C156,$C156),2))</f>
        <v/>
      </c>
      <c r="K156" s="104" t="str">
        <f aca="false">IF($T156&lt;&gt;"",$T156,IF($C156="","",IF(AND(N($I156)&gt;0,$G156&lt;&gt;""),IF(IFERROR(INDEX(科目表!$U$4:$U$123,MATCH($G156,科目表!$M$4:$M$123,0)),"")&amp;""="","管理费用",INDEX(科目表!$U$4:$U$123,MATCH($G156,科目表!$M$4:$M$123,0))),IF(N($H156)&gt;0,IF(IFERROR(INDEX(自动规则!$C$4:$C$143,MATCH($F156,自动规则!$B$4:$B$143,0)),"")&amp;""="","其他应收款",INDEX(自动规则!$C$4:$C$143,MATCH($F156,自动规则!$B$4:$B$143,0))),IF(IFERROR(INDEX(自动规则!$D$4:$D$143,MATCH($F156,自动规则!$B$4:$B$143,0)),"")&amp;""="","其他应付款",INDEX(自动规则!$D$4:$D$143,MATCH($F156,自动规则!$B$4:$B$143,0)))))))</f>
        <v/>
      </c>
      <c r="L156" s="43"/>
      <c r="M156" s="105" t="str">
        <f aca="false">IF($C156="","",IF(IFERROR(INDEX(科目表!$T$4:$T$123,MATCH($C156,科目表!$K$4:$K$123,0)),"")&amp;""="","其他货币资金",INDEX(科目表!$T$4:$T$123,MATCH($C156,科目表!$K$4:$K$123,0))))</f>
        <v/>
      </c>
      <c r="N156" s="39" t="str">
        <f aca="false">IF(OR($C156="",ROUND(N($H156)+N($I156),2)=0),"",IF(N($H156)&gt;0,$M156,$K156))</f>
        <v/>
      </c>
      <c r="O156" s="41" t="str">
        <f aca="false">IF($N156="","",ROUND(N($H156)+N($I156),2))</f>
        <v/>
      </c>
      <c r="P156" s="41" t="str">
        <f aca="false">IF($N156="","",0)</f>
        <v/>
      </c>
      <c r="Q156" s="39" t="str">
        <f aca="false">IF($N156="","",IF(N($H156)&gt;0,$K156,$M156))</f>
        <v/>
      </c>
      <c r="R156" s="41" t="str">
        <f aca="false">IF($Q156="","",0)</f>
        <v/>
      </c>
      <c r="S156" s="41" t="str">
        <f aca="false">IF($Q156="","",ROUND(N($H156)+N($I156),2))</f>
        <v/>
      </c>
      <c r="T156" s="42"/>
      <c r="U156" s="44"/>
      <c r="V156" s="41" t="str">
        <f aca="false">IF($B156="","",TEXT($B156,"yyyy年m月"))</f>
        <v/>
      </c>
      <c r="W156" s="42"/>
      <c r="X156" s="42"/>
      <c r="Y156" s="9"/>
    </row>
    <row r="157" customFormat="false" ht="18" hidden="false" customHeight="true" outlineLevel="0" collapsed="false">
      <c r="A157" s="9" t="str">
        <f aca="false">IF($C157="","",ROW()-3)</f>
        <v/>
      </c>
      <c r="B157" s="76"/>
      <c r="C157" s="74"/>
      <c r="D157" s="43"/>
      <c r="E157" s="42"/>
      <c r="F157" s="74"/>
      <c r="G157" s="74"/>
      <c r="H157" s="44"/>
      <c r="I157" s="44"/>
      <c r="J157" s="103" t="str">
        <f aca="false">IF($C157="","",ROUND(IFERROR(INDEX(期初余额!$I$4:$I$43,MATCH($C157,期初余额!$H$4:$H$43,0)),0)+SUMIFS($H$4:$H157,$C$4:$C157,$C157)-SUMIFS($I$4:$I157,$C$4:$C157,$C157),2))</f>
        <v/>
      </c>
      <c r="K157" s="104" t="str">
        <f aca="false">IF($T157&lt;&gt;"",$T157,IF($C157="","",IF(AND(N($I157)&gt;0,$G157&lt;&gt;""),IF(IFERROR(INDEX(科目表!$U$4:$U$123,MATCH($G157,科目表!$M$4:$M$123,0)),"")&amp;""="","管理费用",INDEX(科目表!$U$4:$U$123,MATCH($G157,科目表!$M$4:$M$123,0))),IF(N($H157)&gt;0,IF(IFERROR(INDEX(自动规则!$C$4:$C$143,MATCH($F157,自动规则!$B$4:$B$143,0)),"")&amp;""="","其他应收款",INDEX(自动规则!$C$4:$C$143,MATCH($F157,自动规则!$B$4:$B$143,0))),IF(IFERROR(INDEX(自动规则!$D$4:$D$143,MATCH($F157,自动规则!$B$4:$B$143,0)),"")&amp;""="","其他应付款",INDEX(自动规则!$D$4:$D$143,MATCH($F157,自动规则!$B$4:$B$143,0)))))))</f>
        <v/>
      </c>
      <c r="L157" s="43"/>
      <c r="M157" s="105" t="str">
        <f aca="false">IF($C157="","",IF(IFERROR(INDEX(科目表!$T$4:$T$123,MATCH($C157,科目表!$K$4:$K$123,0)),"")&amp;""="","其他货币资金",INDEX(科目表!$T$4:$T$123,MATCH($C157,科目表!$K$4:$K$123,0))))</f>
        <v/>
      </c>
      <c r="N157" s="39" t="str">
        <f aca="false">IF(OR($C157="",ROUND(N($H157)+N($I157),2)=0),"",IF(N($H157)&gt;0,$M157,$K157))</f>
        <v/>
      </c>
      <c r="O157" s="41" t="str">
        <f aca="false">IF($N157="","",ROUND(N($H157)+N($I157),2))</f>
        <v/>
      </c>
      <c r="P157" s="41" t="str">
        <f aca="false">IF($N157="","",0)</f>
        <v/>
      </c>
      <c r="Q157" s="39" t="str">
        <f aca="false">IF($N157="","",IF(N($H157)&gt;0,$K157,$M157))</f>
        <v/>
      </c>
      <c r="R157" s="41" t="str">
        <f aca="false">IF($Q157="","",0)</f>
        <v/>
      </c>
      <c r="S157" s="41" t="str">
        <f aca="false">IF($Q157="","",ROUND(N($H157)+N($I157),2))</f>
        <v/>
      </c>
      <c r="T157" s="42"/>
      <c r="U157" s="44"/>
      <c r="V157" s="41" t="str">
        <f aca="false">IF($B157="","",TEXT($B157,"yyyy年m月"))</f>
        <v/>
      </c>
      <c r="W157" s="42"/>
      <c r="X157" s="42"/>
      <c r="Y157" s="9"/>
    </row>
    <row r="158" customFormat="false" ht="18" hidden="false" customHeight="true" outlineLevel="0" collapsed="false">
      <c r="A158" s="9" t="str">
        <f aca="false">IF($C158="","",ROW()-3)</f>
        <v/>
      </c>
      <c r="B158" s="76"/>
      <c r="C158" s="74"/>
      <c r="D158" s="43"/>
      <c r="E158" s="42"/>
      <c r="F158" s="74"/>
      <c r="G158" s="74"/>
      <c r="H158" s="44"/>
      <c r="I158" s="44"/>
      <c r="J158" s="103" t="str">
        <f aca="false">IF($C158="","",ROUND(IFERROR(INDEX(期初余额!$I$4:$I$43,MATCH($C158,期初余额!$H$4:$H$43,0)),0)+SUMIFS($H$4:$H158,$C$4:$C158,$C158)-SUMIFS($I$4:$I158,$C$4:$C158,$C158),2))</f>
        <v/>
      </c>
      <c r="K158" s="104" t="str">
        <f aca="false">IF($T158&lt;&gt;"",$T158,IF($C158="","",IF(AND(N($I158)&gt;0,$G158&lt;&gt;""),IF(IFERROR(INDEX(科目表!$U$4:$U$123,MATCH($G158,科目表!$M$4:$M$123,0)),"")&amp;""="","管理费用",INDEX(科目表!$U$4:$U$123,MATCH($G158,科目表!$M$4:$M$123,0))),IF(N($H158)&gt;0,IF(IFERROR(INDEX(自动规则!$C$4:$C$143,MATCH($F158,自动规则!$B$4:$B$143,0)),"")&amp;""="","其他应收款",INDEX(自动规则!$C$4:$C$143,MATCH($F158,自动规则!$B$4:$B$143,0))),IF(IFERROR(INDEX(自动规则!$D$4:$D$143,MATCH($F158,自动规则!$B$4:$B$143,0)),"")&amp;""="","其他应付款",INDEX(自动规则!$D$4:$D$143,MATCH($F158,自动规则!$B$4:$B$143,0)))))))</f>
        <v/>
      </c>
      <c r="L158" s="43"/>
      <c r="M158" s="105" t="str">
        <f aca="false">IF($C158="","",IF(IFERROR(INDEX(科目表!$T$4:$T$123,MATCH($C158,科目表!$K$4:$K$123,0)),"")&amp;""="","其他货币资金",INDEX(科目表!$T$4:$T$123,MATCH($C158,科目表!$K$4:$K$123,0))))</f>
        <v/>
      </c>
      <c r="N158" s="39" t="str">
        <f aca="false">IF(OR($C158="",ROUND(N($H158)+N($I158),2)=0),"",IF(N($H158)&gt;0,$M158,$K158))</f>
        <v/>
      </c>
      <c r="O158" s="41" t="str">
        <f aca="false">IF($N158="","",ROUND(N($H158)+N($I158),2))</f>
        <v/>
      </c>
      <c r="P158" s="41" t="str">
        <f aca="false">IF($N158="","",0)</f>
        <v/>
      </c>
      <c r="Q158" s="39" t="str">
        <f aca="false">IF($N158="","",IF(N($H158)&gt;0,$K158,$M158))</f>
        <v/>
      </c>
      <c r="R158" s="41" t="str">
        <f aca="false">IF($Q158="","",0)</f>
        <v/>
      </c>
      <c r="S158" s="41" t="str">
        <f aca="false">IF($Q158="","",ROUND(N($H158)+N($I158),2))</f>
        <v/>
      </c>
      <c r="T158" s="42"/>
      <c r="U158" s="44"/>
      <c r="V158" s="41" t="str">
        <f aca="false">IF($B158="","",TEXT($B158,"yyyy年m月"))</f>
        <v/>
      </c>
      <c r="W158" s="42"/>
      <c r="X158" s="42"/>
      <c r="Y158" s="9"/>
    </row>
    <row r="159" customFormat="false" ht="18" hidden="false" customHeight="true" outlineLevel="0" collapsed="false">
      <c r="A159" s="9" t="str">
        <f aca="false">IF($C159="","",ROW()-3)</f>
        <v/>
      </c>
      <c r="B159" s="76"/>
      <c r="C159" s="74"/>
      <c r="D159" s="43"/>
      <c r="E159" s="42"/>
      <c r="F159" s="74"/>
      <c r="G159" s="74"/>
      <c r="H159" s="44"/>
      <c r="I159" s="44"/>
      <c r="J159" s="103" t="str">
        <f aca="false">IF($C159="","",ROUND(IFERROR(INDEX(期初余额!$I$4:$I$43,MATCH($C159,期初余额!$H$4:$H$43,0)),0)+SUMIFS($H$4:$H159,$C$4:$C159,$C159)-SUMIFS($I$4:$I159,$C$4:$C159,$C159),2))</f>
        <v/>
      </c>
      <c r="K159" s="104" t="str">
        <f aca="false">IF($T159&lt;&gt;"",$T159,IF($C159="","",IF(AND(N($I159)&gt;0,$G159&lt;&gt;""),IF(IFERROR(INDEX(科目表!$U$4:$U$123,MATCH($G159,科目表!$M$4:$M$123,0)),"")&amp;""="","管理费用",INDEX(科目表!$U$4:$U$123,MATCH($G159,科目表!$M$4:$M$123,0))),IF(N($H159)&gt;0,IF(IFERROR(INDEX(自动规则!$C$4:$C$143,MATCH($F159,自动规则!$B$4:$B$143,0)),"")&amp;""="","其他应收款",INDEX(自动规则!$C$4:$C$143,MATCH($F159,自动规则!$B$4:$B$143,0))),IF(IFERROR(INDEX(自动规则!$D$4:$D$143,MATCH($F159,自动规则!$B$4:$B$143,0)),"")&amp;""="","其他应付款",INDEX(自动规则!$D$4:$D$143,MATCH($F159,自动规则!$B$4:$B$143,0)))))))</f>
        <v/>
      </c>
      <c r="L159" s="43"/>
      <c r="M159" s="105" t="str">
        <f aca="false">IF($C159="","",IF(IFERROR(INDEX(科目表!$T$4:$T$123,MATCH($C159,科目表!$K$4:$K$123,0)),"")&amp;""="","其他货币资金",INDEX(科目表!$T$4:$T$123,MATCH($C159,科目表!$K$4:$K$123,0))))</f>
        <v/>
      </c>
      <c r="N159" s="39" t="str">
        <f aca="false">IF(OR($C159="",ROUND(N($H159)+N($I159),2)=0),"",IF(N($H159)&gt;0,$M159,$K159))</f>
        <v/>
      </c>
      <c r="O159" s="41" t="str">
        <f aca="false">IF($N159="","",ROUND(N($H159)+N($I159),2))</f>
        <v/>
      </c>
      <c r="P159" s="41" t="str">
        <f aca="false">IF($N159="","",0)</f>
        <v/>
      </c>
      <c r="Q159" s="39" t="str">
        <f aca="false">IF($N159="","",IF(N($H159)&gt;0,$K159,$M159))</f>
        <v/>
      </c>
      <c r="R159" s="41" t="str">
        <f aca="false">IF($Q159="","",0)</f>
        <v/>
      </c>
      <c r="S159" s="41" t="str">
        <f aca="false">IF($Q159="","",ROUND(N($H159)+N($I159),2))</f>
        <v/>
      </c>
      <c r="T159" s="42"/>
      <c r="U159" s="44"/>
      <c r="V159" s="41" t="str">
        <f aca="false">IF($B159="","",TEXT($B159,"yyyy年m月"))</f>
        <v/>
      </c>
      <c r="W159" s="42"/>
      <c r="X159" s="42"/>
      <c r="Y159" s="9"/>
    </row>
    <row r="160" customFormat="false" ht="18" hidden="false" customHeight="true" outlineLevel="0" collapsed="false">
      <c r="A160" s="9" t="str">
        <f aca="false">IF($C160="","",ROW()-3)</f>
        <v/>
      </c>
      <c r="B160" s="76"/>
      <c r="C160" s="74"/>
      <c r="D160" s="43"/>
      <c r="E160" s="42"/>
      <c r="F160" s="74"/>
      <c r="G160" s="74"/>
      <c r="H160" s="44"/>
      <c r="I160" s="44"/>
      <c r="J160" s="103" t="str">
        <f aca="false">IF($C160="","",ROUND(IFERROR(INDEX(期初余额!$I$4:$I$43,MATCH($C160,期初余额!$H$4:$H$43,0)),0)+SUMIFS($H$4:$H160,$C$4:$C160,$C160)-SUMIFS($I$4:$I160,$C$4:$C160,$C160),2))</f>
        <v/>
      </c>
      <c r="K160" s="104" t="str">
        <f aca="false">IF($T160&lt;&gt;"",$T160,IF($C160="","",IF(AND(N($I160)&gt;0,$G160&lt;&gt;""),IF(IFERROR(INDEX(科目表!$U$4:$U$123,MATCH($G160,科目表!$M$4:$M$123,0)),"")&amp;""="","管理费用",INDEX(科目表!$U$4:$U$123,MATCH($G160,科目表!$M$4:$M$123,0))),IF(N($H160)&gt;0,IF(IFERROR(INDEX(自动规则!$C$4:$C$143,MATCH($F160,自动规则!$B$4:$B$143,0)),"")&amp;""="","其他应收款",INDEX(自动规则!$C$4:$C$143,MATCH($F160,自动规则!$B$4:$B$143,0))),IF(IFERROR(INDEX(自动规则!$D$4:$D$143,MATCH($F160,自动规则!$B$4:$B$143,0)),"")&amp;""="","其他应付款",INDEX(自动规则!$D$4:$D$143,MATCH($F160,自动规则!$B$4:$B$143,0)))))))</f>
        <v/>
      </c>
      <c r="L160" s="43"/>
      <c r="M160" s="105" t="str">
        <f aca="false">IF($C160="","",IF(IFERROR(INDEX(科目表!$T$4:$T$123,MATCH($C160,科目表!$K$4:$K$123,0)),"")&amp;""="","其他货币资金",INDEX(科目表!$T$4:$T$123,MATCH($C160,科目表!$K$4:$K$123,0))))</f>
        <v/>
      </c>
      <c r="N160" s="39" t="str">
        <f aca="false">IF(OR($C160="",ROUND(N($H160)+N($I160),2)=0),"",IF(N($H160)&gt;0,$M160,$K160))</f>
        <v/>
      </c>
      <c r="O160" s="41" t="str">
        <f aca="false">IF($N160="","",ROUND(N($H160)+N($I160),2))</f>
        <v/>
      </c>
      <c r="P160" s="41" t="str">
        <f aca="false">IF($N160="","",0)</f>
        <v/>
      </c>
      <c r="Q160" s="39" t="str">
        <f aca="false">IF($N160="","",IF(N($H160)&gt;0,$K160,$M160))</f>
        <v/>
      </c>
      <c r="R160" s="41" t="str">
        <f aca="false">IF($Q160="","",0)</f>
        <v/>
      </c>
      <c r="S160" s="41" t="str">
        <f aca="false">IF($Q160="","",ROUND(N($H160)+N($I160),2))</f>
        <v/>
      </c>
      <c r="T160" s="42"/>
      <c r="U160" s="44"/>
      <c r="V160" s="41" t="str">
        <f aca="false">IF($B160="","",TEXT($B160,"yyyy年m月"))</f>
        <v/>
      </c>
      <c r="W160" s="42"/>
      <c r="X160" s="42"/>
      <c r="Y160" s="9"/>
    </row>
    <row r="161" customFormat="false" ht="18" hidden="false" customHeight="true" outlineLevel="0" collapsed="false">
      <c r="A161" s="9" t="str">
        <f aca="false">IF($C161="","",ROW()-3)</f>
        <v/>
      </c>
      <c r="B161" s="76"/>
      <c r="C161" s="74"/>
      <c r="D161" s="43"/>
      <c r="E161" s="42"/>
      <c r="F161" s="74"/>
      <c r="G161" s="74"/>
      <c r="H161" s="44"/>
      <c r="I161" s="44"/>
      <c r="J161" s="103" t="str">
        <f aca="false">IF($C161="","",ROUND(IFERROR(INDEX(期初余额!$I$4:$I$43,MATCH($C161,期初余额!$H$4:$H$43,0)),0)+SUMIFS($H$4:$H161,$C$4:$C161,$C161)-SUMIFS($I$4:$I161,$C$4:$C161,$C161),2))</f>
        <v/>
      </c>
      <c r="K161" s="104" t="str">
        <f aca="false">IF($T161&lt;&gt;"",$T161,IF($C161="","",IF(AND(N($I161)&gt;0,$G161&lt;&gt;""),IF(IFERROR(INDEX(科目表!$U$4:$U$123,MATCH($G161,科目表!$M$4:$M$123,0)),"")&amp;""="","管理费用",INDEX(科目表!$U$4:$U$123,MATCH($G161,科目表!$M$4:$M$123,0))),IF(N($H161)&gt;0,IF(IFERROR(INDEX(自动规则!$C$4:$C$143,MATCH($F161,自动规则!$B$4:$B$143,0)),"")&amp;""="","其他应收款",INDEX(自动规则!$C$4:$C$143,MATCH($F161,自动规则!$B$4:$B$143,0))),IF(IFERROR(INDEX(自动规则!$D$4:$D$143,MATCH($F161,自动规则!$B$4:$B$143,0)),"")&amp;""="","其他应付款",INDEX(自动规则!$D$4:$D$143,MATCH($F161,自动规则!$B$4:$B$143,0)))))))</f>
        <v/>
      </c>
      <c r="L161" s="43"/>
      <c r="M161" s="105" t="str">
        <f aca="false">IF($C161="","",IF(IFERROR(INDEX(科目表!$T$4:$T$123,MATCH($C161,科目表!$K$4:$K$123,0)),"")&amp;""="","其他货币资金",INDEX(科目表!$T$4:$T$123,MATCH($C161,科目表!$K$4:$K$123,0))))</f>
        <v/>
      </c>
      <c r="N161" s="39" t="str">
        <f aca="false">IF(OR($C161="",ROUND(N($H161)+N($I161),2)=0),"",IF(N($H161)&gt;0,$M161,$K161))</f>
        <v/>
      </c>
      <c r="O161" s="41" t="str">
        <f aca="false">IF($N161="","",ROUND(N($H161)+N($I161),2))</f>
        <v/>
      </c>
      <c r="P161" s="41" t="str">
        <f aca="false">IF($N161="","",0)</f>
        <v/>
      </c>
      <c r="Q161" s="39" t="str">
        <f aca="false">IF($N161="","",IF(N($H161)&gt;0,$K161,$M161))</f>
        <v/>
      </c>
      <c r="R161" s="41" t="str">
        <f aca="false">IF($Q161="","",0)</f>
        <v/>
      </c>
      <c r="S161" s="41" t="str">
        <f aca="false">IF($Q161="","",ROUND(N($H161)+N($I161),2))</f>
        <v/>
      </c>
      <c r="T161" s="42"/>
      <c r="U161" s="44"/>
      <c r="V161" s="41" t="str">
        <f aca="false">IF($B161="","",TEXT($B161,"yyyy年m月"))</f>
        <v/>
      </c>
      <c r="W161" s="42"/>
      <c r="X161" s="42"/>
      <c r="Y161" s="9"/>
    </row>
    <row r="162" customFormat="false" ht="18" hidden="false" customHeight="true" outlineLevel="0" collapsed="false">
      <c r="A162" s="9" t="str">
        <f aca="false">IF($C162="","",ROW()-3)</f>
        <v/>
      </c>
      <c r="B162" s="76"/>
      <c r="C162" s="74"/>
      <c r="D162" s="43"/>
      <c r="E162" s="42"/>
      <c r="F162" s="74"/>
      <c r="G162" s="74"/>
      <c r="H162" s="44"/>
      <c r="I162" s="44"/>
      <c r="J162" s="103" t="str">
        <f aca="false">IF($C162="","",ROUND(IFERROR(INDEX(期初余额!$I$4:$I$43,MATCH($C162,期初余额!$H$4:$H$43,0)),0)+SUMIFS($H$4:$H162,$C$4:$C162,$C162)-SUMIFS($I$4:$I162,$C$4:$C162,$C162),2))</f>
        <v/>
      </c>
      <c r="K162" s="104" t="str">
        <f aca="false">IF($T162&lt;&gt;"",$T162,IF($C162="","",IF(AND(N($I162)&gt;0,$G162&lt;&gt;""),IF(IFERROR(INDEX(科目表!$U$4:$U$123,MATCH($G162,科目表!$M$4:$M$123,0)),"")&amp;""="","管理费用",INDEX(科目表!$U$4:$U$123,MATCH($G162,科目表!$M$4:$M$123,0))),IF(N($H162)&gt;0,IF(IFERROR(INDEX(自动规则!$C$4:$C$143,MATCH($F162,自动规则!$B$4:$B$143,0)),"")&amp;""="","其他应收款",INDEX(自动规则!$C$4:$C$143,MATCH($F162,自动规则!$B$4:$B$143,0))),IF(IFERROR(INDEX(自动规则!$D$4:$D$143,MATCH($F162,自动规则!$B$4:$B$143,0)),"")&amp;""="","其他应付款",INDEX(自动规则!$D$4:$D$143,MATCH($F162,自动规则!$B$4:$B$143,0)))))))</f>
        <v/>
      </c>
      <c r="L162" s="43"/>
      <c r="M162" s="105" t="str">
        <f aca="false">IF($C162="","",IF(IFERROR(INDEX(科目表!$T$4:$T$123,MATCH($C162,科目表!$K$4:$K$123,0)),"")&amp;""="","其他货币资金",INDEX(科目表!$T$4:$T$123,MATCH($C162,科目表!$K$4:$K$123,0))))</f>
        <v/>
      </c>
      <c r="N162" s="39" t="str">
        <f aca="false">IF(OR($C162="",ROUND(N($H162)+N($I162),2)=0),"",IF(N($H162)&gt;0,$M162,$K162))</f>
        <v/>
      </c>
      <c r="O162" s="41" t="str">
        <f aca="false">IF($N162="","",ROUND(N($H162)+N($I162),2))</f>
        <v/>
      </c>
      <c r="P162" s="41" t="str">
        <f aca="false">IF($N162="","",0)</f>
        <v/>
      </c>
      <c r="Q162" s="39" t="str">
        <f aca="false">IF($N162="","",IF(N($H162)&gt;0,$K162,$M162))</f>
        <v/>
      </c>
      <c r="R162" s="41" t="str">
        <f aca="false">IF($Q162="","",0)</f>
        <v/>
      </c>
      <c r="S162" s="41" t="str">
        <f aca="false">IF($Q162="","",ROUND(N($H162)+N($I162),2))</f>
        <v/>
      </c>
      <c r="T162" s="42"/>
      <c r="U162" s="44"/>
      <c r="V162" s="41" t="str">
        <f aca="false">IF($B162="","",TEXT($B162,"yyyy年m月"))</f>
        <v/>
      </c>
      <c r="W162" s="42"/>
      <c r="X162" s="42"/>
      <c r="Y162" s="9"/>
    </row>
    <row r="163" customFormat="false" ht="18" hidden="false" customHeight="true" outlineLevel="0" collapsed="false">
      <c r="A163" s="9" t="str">
        <f aca="false">IF($C163="","",ROW()-3)</f>
        <v/>
      </c>
      <c r="B163" s="76"/>
      <c r="C163" s="74"/>
      <c r="D163" s="43"/>
      <c r="E163" s="42"/>
      <c r="F163" s="74"/>
      <c r="G163" s="74"/>
      <c r="H163" s="44"/>
      <c r="I163" s="44"/>
      <c r="J163" s="103" t="str">
        <f aca="false">IF($C163="","",ROUND(IFERROR(INDEX(期初余额!$I$4:$I$43,MATCH($C163,期初余额!$H$4:$H$43,0)),0)+SUMIFS($H$4:$H163,$C$4:$C163,$C163)-SUMIFS($I$4:$I163,$C$4:$C163,$C163),2))</f>
        <v/>
      </c>
      <c r="K163" s="104" t="str">
        <f aca="false">IF($T163&lt;&gt;"",$T163,IF($C163="","",IF(AND(N($I163)&gt;0,$G163&lt;&gt;""),IF(IFERROR(INDEX(科目表!$U$4:$U$123,MATCH($G163,科目表!$M$4:$M$123,0)),"")&amp;""="","管理费用",INDEX(科目表!$U$4:$U$123,MATCH($G163,科目表!$M$4:$M$123,0))),IF(N($H163)&gt;0,IF(IFERROR(INDEX(自动规则!$C$4:$C$143,MATCH($F163,自动规则!$B$4:$B$143,0)),"")&amp;""="","其他应收款",INDEX(自动规则!$C$4:$C$143,MATCH($F163,自动规则!$B$4:$B$143,0))),IF(IFERROR(INDEX(自动规则!$D$4:$D$143,MATCH($F163,自动规则!$B$4:$B$143,0)),"")&amp;""="","其他应付款",INDEX(自动规则!$D$4:$D$143,MATCH($F163,自动规则!$B$4:$B$143,0)))))))</f>
        <v/>
      </c>
      <c r="L163" s="43"/>
      <c r="M163" s="105" t="str">
        <f aca="false">IF($C163="","",IF(IFERROR(INDEX(科目表!$T$4:$T$123,MATCH($C163,科目表!$K$4:$K$123,0)),"")&amp;""="","其他货币资金",INDEX(科目表!$T$4:$T$123,MATCH($C163,科目表!$K$4:$K$123,0))))</f>
        <v/>
      </c>
      <c r="N163" s="39" t="str">
        <f aca="false">IF(OR($C163="",ROUND(N($H163)+N($I163),2)=0),"",IF(N($H163)&gt;0,$M163,$K163))</f>
        <v/>
      </c>
      <c r="O163" s="41" t="str">
        <f aca="false">IF($N163="","",ROUND(N($H163)+N($I163),2))</f>
        <v/>
      </c>
      <c r="P163" s="41" t="str">
        <f aca="false">IF($N163="","",0)</f>
        <v/>
      </c>
      <c r="Q163" s="39" t="str">
        <f aca="false">IF($N163="","",IF(N($H163)&gt;0,$K163,$M163))</f>
        <v/>
      </c>
      <c r="R163" s="41" t="str">
        <f aca="false">IF($Q163="","",0)</f>
        <v/>
      </c>
      <c r="S163" s="41" t="str">
        <f aca="false">IF($Q163="","",ROUND(N($H163)+N($I163),2))</f>
        <v/>
      </c>
      <c r="T163" s="42"/>
      <c r="U163" s="44"/>
      <c r="V163" s="41" t="str">
        <f aca="false">IF($B163="","",TEXT($B163,"yyyy年m月"))</f>
        <v/>
      </c>
      <c r="W163" s="42"/>
      <c r="X163" s="42"/>
      <c r="Y163" s="9"/>
    </row>
    <row r="164" customFormat="false" ht="18" hidden="false" customHeight="true" outlineLevel="0" collapsed="false">
      <c r="A164" s="9" t="str">
        <f aca="false">IF($C164="","",ROW()-3)</f>
        <v/>
      </c>
      <c r="B164" s="76"/>
      <c r="C164" s="74"/>
      <c r="D164" s="43"/>
      <c r="E164" s="42"/>
      <c r="F164" s="74"/>
      <c r="G164" s="74"/>
      <c r="H164" s="44"/>
      <c r="I164" s="44"/>
      <c r="J164" s="103" t="str">
        <f aca="false">IF($C164="","",ROUND(IFERROR(INDEX(期初余额!$I$4:$I$43,MATCH($C164,期初余额!$H$4:$H$43,0)),0)+SUMIFS($H$4:$H164,$C$4:$C164,$C164)-SUMIFS($I$4:$I164,$C$4:$C164,$C164),2))</f>
        <v/>
      </c>
      <c r="K164" s="104" t="str">
        <f aca="false">IF($T164&lt;&gt;"",$T164,IF($C164="","",IF(AND(N($I164)&gt;0,$G164&lt;&gt;""),IF(IFERROR(INDEX(科目表!$U$4:$U$123,MATCH($G164,科目表!$M$4:$M$123,0)),"")&amp;""="","管理费用",INDEX(科目表!$U$4:$U$123,MATCH($G164,科目表!$M$4:$M$123,0))),IF(N($H164)&gt;0,IF(IFERROR(INDEX(自动规则!$C$4:$C$143,MATCH($F164,自动规则!$B$4:$B$143,0)),"")&amp;""="","其他应收款",INDEX(自动规则!$C$4:$C$143,MATCH($F164,自动规则!$B$4:$B$143,0))),IF(IFERROR(INDEX(自动规则!$D$4:$D$143,MATCH($F164,自动规则!$B$4:$B$143,0)),"")&amp;""="","其他应付款",INDEX(自动规则!$D$4:$D$143,MATCH($F164,自动规则!$B$4:$B$143,0)))))))</f>
        <v/>
      </c>
      <c r="L164" s="43"/>
      <c r="M164" s="105" t="str">
        <f aca="false">IF($C164="","",IF(IFERROR(INDEX(科目表!$T$4:$T$123,MATCH($C164,科目表!$K$4:$K$123,0)),"")&amp;""="","其他货币资金",INDEX(科目表!$T$4:$T$123,MATCH($C164,科目表!$K$4:$K$123,0))))</f>
        <v/>
      </c>
      <c r="N164" s="39" t="str">
        <f aca="false">IF(OR($C164="",ROUND(N($H164)+N($I164),2)=0),"",IF(N($H164)&gt;0,$M164,$K164))</f>
        <v/>
      </c>
      <c r="O164" s="41" t="str">
        <f aca="false">IF($N164="","",ROUND(N($H164)+N($I164),2))</f>
        <v/>
      </c>
      <c r="P164" s="41" t="str">
        <f aca="false">IF($N164="","",0)</f>
        <v/>
      </c>
      <c r="Q164" s="39" t="str">
        <f aca="false">IF($N164="","",IF(N($H164)&gt;0,$K164,$M164))</f>
        <v/>
      </c>
      <c r="R164" s="41" t="str">
        <f aca="false">IF($Q164="","",0)</f>
        <v/>
      </c>
      <c r="S164" s="41" t="str">
        <f aca="false">IF($Q164="","",ROUND(N($H164)+N($I164),2))</f>
        <v/>
      </c>
      <c r="T164" s="42"/>
      <c r="U164" s="44"/>
      <c r="V164" s="41" t="str">
        <f aca="false">IF($B164="","",TEXT($B164,"yyyy年m月"))</f>
        <v/>
      </c>
      <c r="W164" s="42"/>
      <c r="X164" s="42"/>
      <c r="Y164" s="9"/>
    </row>
    <row r="165" customFormat="false" ht="18" hidden="false" customHeight="true" outlineLevel="0" collapsed="false">
      <c r="A165" s="9" t="str">
        <f aca="false">IF($C165="","",ROW()-3)</f>
        <v/>
      </c>
      <c r="B165" s="76"/>
      <c r="C165" s="74"/>
      <c r="D165" s="43"/>
      <c r="E165" s="42"/>
      <c r="F165" s="74"/>
      <c r="G165" s="74"/>
      <c r="H165" s="44"/>
      <c r="I165" s="44"/>
      <c r="J165" s="103" t="str">
        <f aca="false">IF($C165="","",ROUND(IFERROR(INDEX(期初余额!$I$4:$I$43,MATCH($C165,期初余额!$H$4:$H$43,0)),0)+SUMIFS($H$4:$H165,$C$4:$C165,$C165)-SUMIFS($I$4:$I165,$C$4:$C165,$C165),2))</f>
        <v/>
      </c>
      <c r="K165" s="104" t="str">
        <f aca="false">IF($T165&lt;&gt;"",$T165,IF($C165="","",IF(AND(N($I165)&gt;0,$G165&lt;&gt;""),IF(IFERROR(INDEX(科目表!$U$4:$U$123,MATCH($G165,科目表!$M$4:$M$123,0)),"")&amp;""="","管理费用",INDEX(科目表!$U$4:$U$123,MATCH($G165,科目表!$M$4:$M$123,0))),IF(N($H165)&gt;0,IF(IFERROR(INDEX(自动规则!$C$4:$C$143,MATCH($F165,自动规则!$B$4:$B$143,0)),"")&amp;""="","其他应收款",INDEX(自动规则!$C$4:$C$143,MATCH($F165,自动规则!$B$4:$B$143,0))),IF(IFERROR(INDEX(自动规则!$D$4:$D$143,MATCH($F165,自动规则!$B$4:$B$143,0)),"")&amp;""="","其他应付款",INDEX(自动规则!$D$4:$D$143,MATCH($F165,自动规则!$B$4:$B$143,0)))))))</f>
        <v/>
      </c>
      <c r="L165" s="43"/>
      <c r="M165" s="105" t="str">
        <f aca="false">IF($C165="","",IF(IFERROR(INDEX(科目表!$T$4:$T$123,MATCH($C165,科目表!$K$4:$K$123,0)),"")&amp;""="","其他货币资金",INDEX(科目表!$T$4:$T$123,MATCH($C165,科目表!$K$4:$K$123,0))))</f>
        <v/>
      </c>
      <c r="N165" s="39" t="str">
        <f aca="false">IF(OR($C165="",ROUND(N($H165)+N($I165),2)=0),"",IF(N($H165)&gt;0,$M165,$K165))</f>
        <v/>
      </c>
      <c r="O165" s="41" t="str">
        <f aca="false">IF($N165="","",ROUND(N($H165)+N($I165),2))</f>
        <v/>
      </c>
      <c r="P165" s="41" t="str">
        <f aca="false">IF($N165="","",0)</f>
        <v/>
      </c>
      <c r="Q165" s="39" t="str">
        <f aca="false">IF($N165="","",IF(N($H165)&gt;0,$K165,$M165))</f>
        <v/>
      </c>
      <c r="R165" s="41" t="str">
        <f aca="false">IF($Q165="","",0)</f>
        <v/>
      </c>
      <c r="S165" s="41" t="str">
        <f aca="false">IF($Q165="","",ROUND(N($H165)+N($I165),2))</f>
        <v/>
      </c>
      <c r="T165" s="42"/>
      <c r="U165" s="44"/>
      <c r="V165" s="41" t="str">
        <f aca="false">IF($B165="","",TEXT($B165,"yyyy年m月"))</f>
        <v/>
      </c>
      <c r="W165" s="42"/>
      <c r="X165" s="42"/>
      <c r="Y165" s="9"/>
    </row>
    <row r="166" customFormat="false" ht="18" hidden="false" customHeight="true" outlineLevel="0" collapsed="false">
      <c r="A166" s="9" t="str">
        <f aca="false">IF($C166="","",ROW()-3)</f>
        <v/>
      </c>
      <c r="B166" s="76"/>
      <c r="C166" s="74"/>
      <c r="D166" s="43"/>
      <c r="E166" s="42"/>
      <c r="F166" s="74"/>
      <c r="G166" s="74"/>
      <c r="H166" s="44"/>
      <c r="I166" s="44"/>
      <c r="J166" s="103" t="str">
        <f aca="false">IF($C166="","",ROUND(IFERROR(INDEX(期初余额!$I$4:$I$43,MATCH($C166,期初余额!$H$4:$H$43,0)),0)+SUMIFS($H$4:$H166,$C$4:$C166,$C166)-SUMIFS($I$4:$I166,$C$4:$C166,$C166),2))</f>
        <v/>
      </c>
      <c r="K166" s="104" t="str">
        <f aca="false">IF($T166&lt;&gt;"",$T166,IF($C166="","",IF(AND(N($I166)&gt;0,$G166&lt;&gt;""),IF(IFERROR(INDEX(科目表!$U$4:$U$123,MATCH($G166,科目表!$M$4:$M$123,0)),"")&amp;""="","管理费用",INDEX(科目表!$U$4:$U$123,MATCH($G166,科目表!$M$4:$M$123,0))),IF(N($H166)&gt;0,IF(IFERROR(INDEX(自动规则!$C$4:$C$143,MATCH($F166,自动规则!$B$4:$B$143,0)),"")&amp;""="","其他应收款",INDEX(自动规则!$C$4:$C$143,MATCH($F166,自动规则!$B$4:$B$143,0))),IF(IFERROR(INDEX(自动规则!$D$4:$D$143,MATCH($F166,自动规则!$B$4:$B$143,0)),"")&amp;""="","其他应付款",INDEX(自动规则!$D$4:$D$143,MATCH($F166,自动规则!$B$4:$B$143,0)))))))</f>
        <v/>
      </c>
      <c r="L166" s="43"/>
      <c r="M166" s="105" t="str">
        <f aca="false">IF($C166="","",IF(IFERROR(INDEX(科目表!$T$4:$T$123,MATCH($C166,科目表!$K$4:$K$123,0)),"")&amp;""="","其他货币资金",INDEX(科目表!$T$4:$T$123,MATCH($C166,科目表!$K$4:$K$123,0))))</f>
        <v/>
      </c>
      <c r="N166" s="39" t="str">
        <f aca="false">IF(OR($C166="",ROUND(N($H166)+N($I166),2)=0),"",IF(N($H166)&gt;0,$M166,$K166))</f>
        <v/>
      </c>
      <c r="O166" s="41" t="str">
        <f aca="false">IF($N166="","",ROUND(N($H166)+N($I166),2))</f>
        <v/>
      </c>
      <c r="P166" s="41" t="str">
        <f aca="false">IF($N166="","",0)</f>
        <v/>
      </c>
      <c r="Q166" s="39" t="str">
        <f aca="false">IF($N166="","",IF(N($H166)&gt;0,$K166,$M166))</f>
        <v/>
      </c>
      <c r="R166" s="41" t="str">
        <f aca="false">IF($Q166="","",0)</f>
        <v/>
      </c>
      <c r="S166" s="41" t="str">
        <f aca="false">IF($Q166="","",ROUND(N($H166)+N($I166),2))</f>
        <v/>
      </c>
      <c r="T166" s="42"/>
      <c r="U166" s="44"/>
      <c r="V166" s="41" t="str">
        <f aca="false">IF($B166="","",TEXT($B166,"yyyy年m月"))</f>
        <v/>
      </c>
      <c r="W166" s="42"/>
      <c r="X166" s="42"/>
      <c r="Y166" s="9"/>
    </row>
    <row r="167" customFormat="false" ht="18" hidden="false" customHeight="true" outlineLevel="0" collapsed="false">
      <c r="A167" s="9" t="str">
        <f aca="false">IF($C167="","",ROW()-3)</f>
        <v/>
      </c>
      <c r="B167" s="76"/>
      <c r="C167" s="74"/>
      <c r="D167" s="43"/>
      <c r="E167" s="42"/>
      <c r="F167" s="74"/>
      <c r="G167" s="74"/>
      <c r="H167" s="44"/>
      <c r="I167" s="44"/>
      <c r="J167" s="103" t="str">
        <f aca="false">IF($C167="","",ROUND(IFERROR(INDEX(期初余额!$I$4:$I$43,MATCH($C167,期初余额!$H$4:$H$43,0)),0)+SUMIFS($H$4:$H167,$C$4:$C167,$C167)-SUMIFS($I$4:$I167,$C$4:$C167,$C167),2))</f>
        <v/>
      </c>
      <c r="K167" s="104" t="str">
        <f aca="false">IF($T167&lt;&gt;"",$T167,IF($C167="","",IF(AND(N($I167)&gt;0,$G167&lt;&gt;""),IF(IFERROR(INDEX(科目表!$U$4:$U$123,MATCH($G167,科目表!$M$4:$M$123,0)),"")&amp;""="","管理费用",INDEX(科目表!$U$4:$U$123,MATCH($G167,科目表!$M$4:$M$123,0))),IF(N($H167)&gt;0,IF(IFERROR(INDEX(自动规则!$C$4:$C$143,MATCH($F167,自动规则!$B$4:$B$143,0)),"")&amp;""="","其他应收款",INDEX(自动规则!$C$4:$C$143,MATCH($F167,自动规则!$B$4:$B$143,0))),IF(IFERROR(INDEX(自动规则!$D$4:$D$143,MATCH($F167,自动规则!$B$4:$B$143,0)),"")&amp;""="","其他应付款",INDEX(自动规则!$D$4:$D$143,MATCH($F167,自动规则!$B$4:$B$143,0)))))))</f>
        <v/>
      </c>
      <c r="L167" s="43"/>
      <c r="M167" s="105" t="str">
        <f aca="false">IF($C167="","",IF(IFERROR(INDEX(科目表!$T$4:$T$123,MATCH($C167,科目表!$K$4:$K$123,0)),"")&amp;""="","其他货币资金",INDEX(科目表!$T$4:$T$123,MATCH($C167,科目表!$K$4:$K$123,0))))</f>
        <v/>
      </c>
      <c r="N167" s="39" t="str">
        <f aca="false">IF(OR($C167="",ROUND(N($H167)+N($I167),2)=0),"",IF(N($H167)&gt;0,$M167,$K167))</f>
        <v/>
      </c>
      <c r="O167" s="41" t="str">
        <f aca="false">IF($N167="","",ROUND(N($H167)+N($I167),2))</f>
        <v/>
      </c>
      <c r="P167" s="41" t="str">
        <f aca="false">IF($N167="","",0)</f>
        <v/>
      </c>
      <c r="Q167" s="39" t="str">
        <f aca="false">IF($N167="","",IF(N($H167)&gt;0,$K167,$M167))</f>
        <v/>
      </c>
      <c r="R167" s="41" t="str">
        <f aca="false">IF($Q167="","",0)</f>
        <v/>
      </c>
      <c r="S167" s="41" t="str">
        <f aca="false">IF($Q167="","",ROUND(N($H167)+N($I167),2))</f>
        <v/>
      </c>
      <c r="T167" s="42"/>
      <c r="U167" s="44"/>
      <c r="V167" s="41" t="str">
        <f aca="false">IF($B167="","",TEXT($B167,"yyyy年m月"))</f>
        <v/>
      </c>
      <c r="W167" s="42"/>
      <c r="X167" s="42"/>
      <c r="Y167" s="9"/>
    </row>
    <row r="168" customFormat="false" ht="18" hidden="false" customHeight="true" outlineLevel="0" collapsed="false">
      <c r="A168" s="9" t="str">
        <f aca="false">IF($C168="","",ROW()-3)</f>
        <v/>
      </c>
      <c r="B168" s="76"/>
      <c r="C168" s="74"/>
      <c r="D168" s="43"/>
      <c r="E168" s="42"/>
      <c r="F168" s="74"/>
      <c r="G168" s="74"/>
      <c r="H168" s="44"/>
      <c r="I168" s="44"/>
      <c r="J168" s="103" t="str">
        <f aca="false">IF($C168="","",ROUND(IFERROR(INDEX(期初余额!$I$4:$I$43,MATCH($C168,期初余额!$H$4:$H$43,0)),0)+SUMIFS($H$4:$H168,$C$4:$C168,$C168)-SUMIFS($I$4:$I168,$C$4:$C168,$C168),2))</f>
        <v/>
      </c>
      <c r="K168" s="104" t="str">
        <f aca="false">IF($T168&lt;&gt;"",$T168,IF($C168="","",IF(AND(N($I168)&gt;0,$G168&lt;&gt;""),IF(IFERROR(INDEX(科目表!$U$4:$U$123,MATCH($G168,科目表!$M$4:$M$123,0)),"")&amp;""="","管理费用",INDEX(科目表!$U$4:$U$123,MATCH($G168,科目表!$M$4:$M$123,0))),IF(N($H168)&gt;0,IF(IFERROR(INDEX(自动规则!$C$4:$C$143,MATCH($F168,自动规则!$B$4:$B$143,0)),"")&amp;""="","其他应收款",INDEX(自动规则!$C$4:$C$143,MATCH($F168,自动规则!$B$4:$B$143,0))),IF(IFERROR(INDEX(自动规则!$D$4:$D$143,MATCH($F168,自动规则!$B$4:$B$143,0)),"")&amp;""="","其他应付款",INDEX(自动规则!$D$4:$D$143,MATCH($F168,自动规则!$B$4:$B$143,0)))))))</f>
        <v/>
      </c>
      <c r="L168" s="43"/>
      <c r="M168" s="105" t="str">
        <f aca="false">IF($C168="","",IF(IFERROR(INDEX(科目表!$T$4:$T$123,MATCH($C168,科目表!$K$4:$K$123,0)),"")&amp;""="","其他货币资金",INDEX(科目表!$T$4:$T$123,MATCH($C168,科目表!$K$4:$K$123,0))))</f>
        <v/>
      </c>
      <c r="N168" s="39" t="str">
        <f aca="false">IF(OR($C168="",ROUND(N($H168)+N($I168),2)=0),"",IF(N($H168)&gt;0,$M168,$K168))</f>
        <v/>
      </c>
      <c r="O168" s="41" t="str">
        <f aca="false">IF($N168="","",ROUND(N($H168)+N($I168),2))</f>
        <v/>
      </c>
      <c r="P168" s="41" t="str">
        <f aca="false">IF($N168="","",0)</f>
        <v/>
      </c>
      <c r="Q168" s="39" t="str">
        <f aca="false">IF($N168="","",IF(N($H168)&gt;0,$K168,$M168))</f>
        <v/>
      </c>
      <c r="R168" s="41" t="str">
        <f aca="false">IF($Q168="","",0)</f>
        <v/>
      </c>
      <c r="S168" s="41" t="str">
        <f aca="false">IF($Q168="","",ROUND(N($H168)+N($I168),2))</f>
        <v/>
      </c>
      <c r="T168" s="42"/>
      <c r="U168" s="44"/>
      <c r="V168" s="41" t="str">
        <f aca="false">IF($B168="","",TEXT($B168,"yyyy年m月"))</f>
        <v/>
      </c>
      <c r="W168" s="42"/>
      <c r="X168" s="42"/>
      <c r="Y168" s="9"/>
    </row>
    <row r="169" customFormat="false" ht="18" hidden="false" customHeight="true" outlineLevel="0" collapsed="false">
      <c r="A169" s="9" t="str">
        <f aca="false">IF($C169="","",ROW()-3)</f>
        <v/>
      </c>
      <c r="B169" s="76"/>
      <c r="C169" s="74"/>
      <c r="D169" s="43"/>
      <c r="E169" s="42"/>
      <c r="F169" s="74"/>
      <c r="G169" s="74"/>
      <c r="H169" s="44"/>
      <c r="I169" s="44"/>
      <c r="J169" s="103" t="str">
        <f aca="false">IF($C169="","",ROUND(IFERROR(INDEX(期初余额!$I$4:$I$43,MATCH($C169,期初余额!$H$4:$H$43,0)),0)+SUMIFS($H$4:$H169,$C$4:$C169,$C169)-SUMIFS($I$4:$I169,$C$4:$C169,$C169),2))</f>
        <v/>
      </c>
      <c r="K169" s="104" t="str">
        <f aca="false">IF($T169&lt;&gt;"",$T169,IF($C169="","",IF(AND(N($I169)&gt;0,$G169&lt;&gt;""),IF(IFERROR(INDEX(科目表!$U$4:$U$123,MATCH($G169,科目表!$M$4:$M$123,0)),"")&amp;""="","管理费用",INDEX(科目表!$U$4:$U$123,MATCH($G169,科目表!$M$4:$M$123,0))),IF(N($H169)&gt;0,IF(IFERROR(INDEX(自动规则!$C$4:$C$143,MATCH($F169,自动规则!$B$4:$B$143,0)),"")&amp;""="","其他应收款",INDEX(自动规则!$C$4:$C$143,MATCH($F169,自动规则!$B$4:$B$143,0))),IF(IFERROR(INDEX(自动规则!$D$4:$D$143,MATCH($F169,自动规则!$B$4:$B$143,0)),"")&amp;""="","其他应付款",INDEX(自动规则!$D$4:$D$143,MATCH($F169,自动规则!$B$4:$B$143,0)))))))</f>
        <v/>
      </c>
      <c r="L169" s="43"/>
      <c r="M169" s="105" t="str">
        <f aca="false">IF($C169="","",IF(IFERROR(INDEX(科目表!$T$4:$T$123,MATCH($C169,科目表!$K$4:$K$123,0)),"")&amp;""="","其他货币资金",INDEX(科目表!$T$4:$T$123,MATCH($C169,科目表!$K$4:$K$123,0))))</f>
        <v/>
      </c>
      <c r="N169" s="39" t="str">
        <f aca="false">IF(OR($C169="",ROUND(N($H169)+N($I169),2)=0),"",IF(N($H169)&gt;0,$M169,$K169))</f>
        <v/>
      </c>
      <c r="O169" s="41" t="str">
        <f aca="false">IF($N169="","",ROUND(N($H169)+N($I169),2))</f>
        <v/>
      </c>
      <c r="P169" s="41" t="str">
        <f aca="false">IF($N169="","",0)</f>
        <v/>
      </c>
      <c r="Q169" s="39" t="str">
        <f aca="false">IF($N169="","",IF(N($H169)&gt;0,$K169,$M169))</f>
        <v/>
      </c>
      <c r="R169" s="41" t="str">
        <f aca="false">IF($Q169="","",0)</f>
        <v/>
      </c>
      <c r="S169" s="41" t="str">
        <f aca="false">IF($Q169="","",ROUND(N($H169)+N($I169),2))</f>
        <v/>
      </c>
      <c r="T169" s="42"/>
      <c r="U169" s="44"/>
      <c r="V169" s="41" t="str">
        <f aca="false">IF($B169="","",TEXT($B169,"yyyy年m月"))</f>
        <v/>
      </c>
      <c r="W169" s="42"/>
      <c r="X169" s="42"/>
      <c r="Y169" s="9"/>
    </row>
    <row r="170" customFormat="false" ht="18" hidden="false" customHeight="true" outlineLevel="0" collapsed="false">
      <c r="A170" s="9" t="str">
        <f aca="false">IF($C170="","",ROW()-3)</f>
        <v/>
      </c>
      <c r="B170" s="76"/>
      <c r="C170" s="74"/>
      <c r="D170" s="43"/>
      <c r="E170" s="42"/>
      <c r="F170" s="74"/>
      <c r="G170" s="74"/>
      <c r="H170" s="44"/>
      <c r="I170" s="44"/>
      <c r="J170" s="103" t="str">
        <f aca="false">IF($C170="","",ROUND(IFERROR(INDEX(期初余额!$I$4:$I$43,MATCH($C170,期初余额!$H$4:$H$43,0)),0)+SUMIFS($H$4:$H170,$C$4:$C170,$C170)-SUMIFS($I$4:$I170,$C$4:$C170,$C170),2))</f>
        <v/>
      </c>
      <c r="K170" s="104" t="str">
        <f aca="false">IF($T170&lt;&gt;"",$T170,IF($C170="","",IF(AND(N($I170)&gt;0,$G170&lt;&gt;""),IF(IFERROR(INDEX(科目表!$U$4:$U$123,MATCH($G170,科目表!$M$4:$M$123,0)),"")&amp;""="","管理费用",INDEX(科目表!$U$4:$U$123,MATCH($G170,科目表!$M$4:$M$123,0))),IF(N($H170)&gt;0,IF(IFERROR(INDEX(自动规则!$C$4:$C$143,MATCH($F170,自动规则!$B$4:$B$143,0)),"")&amp;""="","其他应收款",INDEX(自动规则!$C$4:$C$143,MATCH($F170,自动规则!$B$4:$B$143,0))),IF(IFERROR(INDEX(自动规则!$D$4:$D$143,MATCH($F170,自动规则!$B$4:$B$143,0)),"")&amp;""="","其他应付款",INDEX(自动规则!$D$4:$D$143,MATCH($F170,自动规则!$B$4:$B$143,0)))))))</f>
        <v/>
      </c>
      <c r="L170" s="43"/>
      <c r="M170" s="105" t="str">
        <f aca="false">IF($C170="","",IF(IFERROR(INDEX(科目表!$T$4:$T$123,MATCH($C170,科目表!$K$4:$K$123,0)),"")&amp;""="","其他货币资金",INDEX(科目表!$T$4:$T$123,MATCH($C170,科目表!$K$4:$K$123,0))))</f>
        <v/>
      </c>
      <c r="N170" s="39" t="str">
        <f aca="false">IF(OR($C170="",ROUND(N($H170)+N($I170),2)=0),"",IF(N($H170)&gt;0,$M170,$K170))</f>
        <v/>
      </c>
      <c r="O170" s="41" t="str">
        <f aca="false">IF($N170="","",ROUND(N($H170)+N($I170),2))</f>
        <v/>
      </c>
      <c r="P170" s="41" t="str">
        <f aca="false">IF($N170="","",0)</f>
        <v/>
      </c>
      <c r="Q170" s="39" t="str">
        <f aca="false">IF($N170="","",IF(N($H170)&gt;0,$K170,$M170))</f>
        <v/>
      </c>
      <c r="R170" s="41" t="str">
        <f aca="false">IF($Q170="","",0)</f>
        <v/>
      </c>
      <c r="S170" s="41" t="str">
        <f aca="false">IF($Q170="","",ROUND(N($H170)+N($I170),2))</f>
        <v/>
      </c>
      <c r="T170" s="42"/>
      <c r="U170" s="44"/>
      <c r="V170" s="41" t="str">
        <f aca="false">IF($B170="","",TEXT($B170,"yyyy年m月"))</f>
        <v/>
      </c>
      <c r="W170" s="42"/>
      <c r="X170" s="42"/>
      <c r="Y170" s="9"/>
    </row>
    <row r="171" customFormat="false" ht="18" hidden="false" customHeight="true" outlineLevel="0" collapsed="false">
      <c r="A171" s="9" t="str">
        <f aca="false">IF($C171="","",ROW()-3)</f>
        <v/>
      </c>
      <c r="B171" s="76"/>
      <c r="C171" s="74"/>
      <c r="D171" s="43"/>
      <c r="E171" s="42"/>
      <c r="F171" s="74"/>
      <c r="G171" s="74"/>
      <c r="H171" s="44"/>
      <c r="I171" s="44"/>
      <c r="J171" s="103" t="str">
        <f aca="false">IF($C171="","",ROUND(IFERROR(INDEX(期初余额!$I$4:$I$43,MATCH($C171,期初余额!$H$4:$H$43,0)),0)+SUMIFS($H$4:$H171,$C$4:$C171,$C171)-SUMIFS($I$4:$I171,$C$4:$C171,$C171),2))</f>
        <v/>
      </c>
      <c r="K171" s="104" t="str">
        <f aca="false">IF($T171&lt;&gt;"",$T171,IF($C171="","",IF(AND(N($I171)&gt;0,$G171&lt;&gt;""),IF(IFERROR(INDEX(科目表!$U$4:$U$123,MATCH($G171,科目表!$M$4:$M$123,0)),"")&amp;""="","管理费用",INDEX(科目表!$U$4:$U$123,MATCH($G171,科目表!$M$4:$M$123,0))),IF(N($H171)&gt;0,IF(IFERROR(INDEX(自动规则!$C$4:$C$143,MATCH($F171,自动规则!$B$4:$B$143,0)),"")&amp;""="","其他应收款",INDEX(自动规则!$C$4:$C$143,MATCH($F171,自动规则!$B$4:$B$143,0))),IF(IFERROR(INDEX(自动规则!$D$4:$D$143,MATCH($F171,自动规则!$B$4:$B$143,0)),"")&amp;""="","其他应付款",INDEX(自动规则!$D$4:$D$143,MATCH($F171,自动规则!$B$4:$B$143,0)))))))</f>
        <v/>
      </c>
      <c r="L171" s="43"/>
      <c r="M171" s="105" t="str">
        <f aca="false">IF($C171="","",IF(IFERROR(INDEX(科目表!$T$4:$T$123,MATCH($C171,科目表!$K$4:$K$123,0)),"")&amp;""="","其他货币资金",INDEX(科目表!$T$4:$T$123,MATCH($C171,科目表!$K$4:$K$123,0))))</f>
        <v/>
      </c>
      <c r="N171" s="39" t="str">
        <f aca="false">IF(OR($C171="",ROUND(N($H171)+N($I171),2)=0),"",IF(N($H171)&gt;0,$M171,$K171))</f>
        <v/>
      </c>
      <c r="O171" s="41" t="str">
        <f aca="false">IF($N171="","",ROUND(N($H171)+N($I171),2))</f>
        <v/>
      </c>
      <c r="P171" s="41" t="str">
        <f aca="false">IF($N171="","",0)</f>
        <v/>
      </c>
      <c r="Q171" s="39" t="str">
        <f aca="false">IF($N171="","",IF(N($H171)&gt;0,$K171,$M171))</f>
        <v/>
      </c>
      <c r="R171" s="41" t="str">
        <f aca="false">IF($Q171="","",0)</f>
        <v/>
      </c>
      <c r="S171" s="41" t="str">
        <f aca="false">IF($Q171="","",ROUND(N($H171)+N($I171),2))</f>
        <v/>
      </c>
      <c r="T171" s="42"/>
      <c r="U171" s="44"/>
      <c r="V171" s="41" t="str">
        <f aca="false">IF($B171="","",TEXT($B171,"yyyy年m月"))</f>
        <v/>
      </c>
      <c r="W171" s="42"/>
      <c r="X171" s="42"/>
      <c r="Y171" s="9"/>
    </row>
    <row r="172" customFormat="false" ht="18" hidden="false" customHeight="true" outlineLevel="0" collapsed="false">
      <c r="A172" s="9" t="str">
        <f aca="false">IF($C172="","",ROW()-3)</f>
        <v/>
      </c>
      <c r="B172" s="76"/>
      <c r="C172" s="74"/>
      <c r="D172" s="43"/>
      <c r="E172" s="42"/>
      <c r="F172" s="74"/>
      <c r="G172" s="74"/>
      <c r="H172" s="44"/>
      <c r="I172" s="44"/>
      <c r="J172" s="103" t="str">
        <f aca="false">IF($C172="","",ROUND(IFERROR(INDEX(期初余额!$I$4:$I$43,MATCH($C172,期初余额!$H$4:$H$43,0)),0)+SUMIFS($H$4:$H172,$C$4:$C172,$C172)-SUMIFS($I$4:$I172,$C$4:$C172,$C172),2))</f>
        <v/>
      </c>
      <c r="K172" s="104" t="str">
        <f aca="false">IF($T172&lt;&gt;"",$T172,IF($C172="","",IF(AND(N($I172)&gt;0,$G172&lt;&gt;""),IF(IFERROR(INDEX(科目表!$U$4:$U$123,MATCH($G172,科目表!$M$4:$M$123,0)),"")&amp;""="","管理费用",INDEX(科目表!$U$4:$U$123,MATCH($G172,科目表!$M$4:$M$123,0))),IF(N($H172)&gt;0,IF(IFERROR(INDEX(自动规则!$C$4:$C$143,MATCH($F172,自动规则!$B$4:$B$143,0)),"")&amp;""="","其他应收款",INDEX(自动规则!$C$4:$C$143,MATCH($F172,自动规则!$B$4:$B$143,0))),IF(IFERROR(INDEX(自动规则!$D$4:$D$143,MATCH($F172,自动规则!$B$4:$B$143,0)),"")&amp;""="","其他应付款",INDEX(自动规则!$D$4:$D$143,MATCH($F172,自动规则!$B$4:$B$143,0)))))))</f>
        <v/>
      </c>
      <c r="L172" s="43"/>
      <c r="M172" s="105" t="str">
        <f aca="false">IF($C172="","",IF(IFERROR(INDEX(科目表!$T$4:$T$123,MATCH($C172,科目表!$K$4:$K$123,0)),"")&amp;""="","其他货币资金",INDEX(科目表!$T$4:$T$123,MATCH($C172,科目表!$K$4:$K$123,0))))</f>
        <v/>
      </c>
      <c r="N172" s="39" t="str">
        <f aca="false">IF(OR($C172="",ROUND(N($H172)+N($I172),2)=0),"",IF(N($H172)&gt;0,$M172,$K172))</f>
        <v/>
      </c>
      <c r="O172" s="41" t="str">
        <f aca="false">IF($N172="","",ROUND(N($H172)+N($I172),2))</f>
        <v/>
      </c>
      <c r="P172" s="41" t="str">
        <f aca="false">IF($N172="","",0)</f>
        <v/>
      </c>
      <c r="Q172" s="39" t="str">
        <f aca="false">IF($N172="","",IF(N($H172)&gt;0,$K172,$M172))</f>
        <v/>
      </c>
      <c r="R172" s="41" t="str">
        <f aca="false">IF($Q172="","",0)</f>
        <v/>
      </c>
      <c r="S172" s="41" t="str">
        <f aca="false">IF($Q172="","",ROUND(N($H172)+N($I172),2))</f>
        <v/>
      </c>
      <c r="T172" s="42"/>
      <c r="U172" s="44"/>
      <c r="V172" s="41" t="str">
        <f aca="false">IF($B172="","",TEXT($B172,"yyyy年m月"))</f>
        <v/>
      </c>
      <c r="W172" s="42"/>
      <c r="X172" s="42"/>
      <c r="Y172" s="9"/>
    </row>
    <row r="173" customFormat="false" ht="18" hidden="false" customHeight="true" outlineLevel="0" collapsed="false">
      <c r="A173" s="9" t="str">
        <f aca="false">IF($C173="","",ROW()-3)</f>
        <v/>
      </c>
      <c r="B173" s="76"/>
      <c r="C173" s="74"/>
      <c r="D173" s="43"/>
      <c r="E173" s="42"/>
      <c r="F173" s="74"/>
      <c r="G173" s="74"/>
      <c r="H173" s="44"/>
      <c r="I173" s="44"/>
      <c r="J173" s="103" t="str">
        <f aca="false">IF($C173="","",ROUND(IFERROR(INDEX(期初余额!$I$4:$I$43,MATCH($C173,期初余额!$H$4:$H$43,0)),0)+SUMIFS($H$4:$H173,$C$4:$C173,$C173)-SUMIFS($I$4:$I173,$C$4:$C173,$C173),2))</f>
        <v/>
      </c>
      <c r="K173" s="104" t="str">
        <f aca="false">IF($T173&lt;&gt;"",$T173,IF($C173="","",IF(AND(N($I173)&gt;0,$G173&lt;&gt;""),IF(IFERROR(INDEX(科目表!$U$4:$U$123,MATCH($G173,科目表!$M$4:$M$123,0)),"")&amp;""="","管理费用",INDEX(科目表!$U$4:$U$123,MATCH($G173,科目表!$M$4:$M$123,0))),IF(N($H173)&gt;0,IF(IFERROR(INDEX(自动规则!$C$4:$C$143,MATCH($F173,自动规则!$B$4:$B$143,0)),"")&amp;""="","其他应收款",INDEX(自动规则!$C$4:$C$143,MATCH($F173,自动规则!$B$4:$B$143,0))),IF(IFERROR(INDEX(自动规则!$D$4:$D$143,MATCH($F173,自动规则!$B$4:$B$143,0)),"")&amp;""="","其他应付款",INDEX(自动规则!$D$4:$D$143,MATCH($F173,自动规则!$B$4:$B$143,0)))))))</f>
        <v/>
      </c>
      <c r="L173" s="43"/>
      <c r="M173" s="105" t="str">
        <f aca="false">IF($C173="","",IF(IFERROR(INDEX(科目表!$T$4:$T$123,MATCH($C173,科目表!$K$4:$K$123,0)),"")&amp;""="","其他货币资金",INDEX(科目表!$T$4:$T$123,MATCH($C173,科目表!$K$4:$K$123,0))))</f>
        <v/>
      </c>
      <c r="N173" s="39" t="str">
        <f aca="false">IF(OR($C173="",ROUND(N($H173)+N($I173),2)=0),"",IF(N($H173)&gt;0,$M173,$K173))</f>
        <v/>
      </c>
      <c r="O173" s="41" t="str">
        <f aca="false">IF($N173="","",ROUND(N($H173)+N($I173),2))</f>
        <v/>
      </c>
      <c r="P173" s="41" t="str">
        <f aca="false">IF($N173="","",0)</f>
        <v/>
      </c>
      <c r="Q173" s="39" t="str">
        <f aca="false">IF($N173="","",IF(N($H173)&gt;0,$K173,$M173))</f>
        <v/>
      </c>
      <c r="R173" s="41" t="str">
        <f aca="false">IF($Q173="","",0)</f>
        <v/>
      </c>
      <c r="S173" s="41" t="str">
        <f aca="false">IF($Q173="","",ROUND(N($H173)+N($I173),2))</f>
        <v/>
      </c>
      <c r="T173" s="42"/>
      <c r="U173" s="44"/>
      <c r="V173" s="41" t="str">
        <f aca="false">IF($B173="","",TEXT($B173,"yyyy年m月"))</f>
        <v/>
      </c>
      <c r="W173" s="42"/>
      <c r="X173" s="42"/>
      <c r="Y173" s="9"/>
    </row>
    <row r="174" customFormat="false" ht="18" hidden="false" customHeight="true" outlineLevel="0" collapsed="false">
      <c r="A174" s="9" t="str">
        <f aca="false">IF($C174="","",ROW()-3)</f>
        <v/>
      </c>
      <c r="B174" s="76"/>
      <c r="C174" s="74"/>
      <c r="D174" s="43"/>
      <c r="E174" s="42"/>
      <c r="F174" s="74"/>
      <c r="G174" s="74"/>
      <c r="H174" s="44"/>
      <c r="I174" s="44"/>
      <c r="J174" s="103" t="str">
        <f aca="false">IF($C174="","",ROUND(IFERROR(INDEX(期初余额!$I$4:$I$43,MATCH($C174,期初余额!$H$4:$H$43,0)),0)+SUMIFS($H$4:$H174,$C$4:$C174,$C174)-SUMIFS($I$4:$I174,$C$4:$C174,$C174),2))</f>
        <v/>
      </c>
      <c r="K174" s="104" t="str">
        <f aca="false">IF($T174&lt;&gt;"",$T174,IF($C174="","",IF(AND(N($I174)&gt;0,$G174&lt;&gt;""),IF(IFERROR(INDEX(科目表!$U$4:$U$123,MATCH($G174,科目表!$M$4:$M$123,0)),"")&amp;""="","管理费用",INDEX(科目表!$U$4:$U$123,MATCH($G174,科目表!$M$4:$M$123,0))),IF(N($H174)&gt;0,IF(IFERROR(INDEX(自动规则!$C$4:$C$143,MATCH($F174,自动规则!$B$4:$B$143,0)),"")&amp;""="","其他应收款",INDEX(自动规则!$C$4:$C$143,MATCH($F174,自动规则!$B$4:$B$143,0))),IF(IFERROR(INDEX(自动规则!$D$4:$D$143,MATCH($F174,自动规则!$B$4:$B$143,0)),"")&amp;""="","其他应付款",INDEX(自动规则!$D$4:$D$143,MATCH($F174,自动规则!$B$4:$B$143,0)))))))</f>
        <v/>
      </c>
      <c r="L174" s="43"/>
      <c r="M174" s="105" t="str">
        <f aca="false">IF($C174="","",IF(IFERROR(INDEX(科目表!$T$4:$T$123,MATCH($C174,科目表!$K$4:$K$123,0)),"")&amp;""="","其他货币资金",INDEX(科目表!$T$4:$T$123,MATCH($C174,科目表!$K$4:$K$123,0))))</f>
        <v/>
      </c>
      <c r="N174" s="39" t="str">
        <f aca="false">IF(OR($C174="",ROUND(N($H174)+N($I174),2)=0),"",IF(N($H174)&gt;0,$M174,$K174))</f>
        <v/>
      </c>
      <c r="O174" s="41" t="str">
        <f aca="false">IF($N174="","",ROUND(N($H174)+N($I174),2))</f>
        <v/>
      </c>
      <c r="P174" s="41" t="str">
        <f aca="false">IF($N174="","",0)</f>
        <v/>
      </c>
      <c r="Q174" s="39" t="str">
        <f aca="false">IF($N174="","",IF(N($H174)&gt;0,$K174,$M174))</f>
        <v/>
      </c>
      <c r="R174" s="41" t="str">
        <f aca="false">IF($Q174="","",0)</f>
        <v/>
      </c>
      <c r="S174" s="41" t="str">
        <f aca="false">IF($Q174="","",ROUND(N($H174)+N($I174),2))</f>
        <v/>
      </c>
      <c r="T174" s="42"/>
      <c r="U174" s="44"/>
      <c r="V174" s="41" t="str">
        <f aca="false">IF($B174="","",TEXT($B174,"yyyy年m月"))</f>
        <v/>
      </c>
      <c r="W174" s="42"/>
      <c r="X174" s="42"/>
      <c r="Y174" s="9"/>
    </row>
    <row r="175" customFormat="false" ht="18" hidden="false" customHeight="true" outlineLevel="0" collapsed="false">
      <c r="A175" s="9" t="str">
        <f aca="false">IF($C175="","",ROW()-3)</f>
        <v/>
      </c>
      <c r="B175" s="76"/>
      <c r="C175" s="74"/>
      <c r="D175" s="43"/>
      <c r="E175" s="42"/>
      <c r="F175" s="74"/>
      <c r="G175" s="74"/>
      <c r="H175" s="44"/>
      <c r="I175" s="44"/>
      <c r="J175" s="103" t="str">
        <f aca="false">IF($C175="","",ROUND(IFERROR(INDEX(期初余额!$I$4:$I$43,MATCH($C175,期初余额!$H$4:$H$43,0)),0)+SUMIFS($H$4:$H175,$C$4:$C175,$C175)-SUMIFS($I$4:$I175,$C$4:$C175,$C175),2))</f>
        <v/>
      </c>
      <c r="K175" s="104" t="str">
        <f aca="false">IF($T175&lt;&gt;"",$T175,IF($C175="","",IF(AND(N($I175)&gt;0,$G175&lt;&gt;""),IF(IFERROR(INDEX(科目表!$U$4:$U$123,MATCH($G175,科目表!$M$4:$M$123,0)),"")&amp;""="","管理费用",INDEX(科目表!$U$4:$U$123,MATCH($G175,科目表!$M$4:$M$123,0))),IF(N($H175)&gt;0,IF(IFERROR(INDEX(自动规则!$C$4:$C$143,MATCH($F175,自动规则!$B$4:$B$143,0)),"")&amp;""="","其他应收款",INDEX(自动规则!$C$4:$C$143,MATCH($F175,自动规则!$B$4:$B$143,0))),IF(IFERROR(INDEX(自动规则!$D$4:$D$143,MATCH($F175,自动规则!$B$4:$B$143,0)),"")&amp;""="","其他应付款",INDEX(自动规则!$D$4:$D$143,MATCH($F175,自动规则!$B$4:$B$143,0)))))))</f>
        <v/>
      </c>
      <c r="L175" s="43"/>
      <c r="M175" s="105" t="str">
        <f aca="false">IF($C175="","",IF(IFERROR(INDEX(科目表!$T$4:$T$123,MATCH($C175,科目表!$K$4:$K$123,0)),"")&amp;""="","其他货币资金",INDEX(科目表!$T$4:$T$123,MATCH($C175,科目表!$K$4:$K$123,0))))</f>
        <v/>
      </c>
      <c r="N175" s="39" t="str">
        <f aca="false">IF(OR($C175="",ROUND(N($H175)+N($I175),2)=0),"",IF(N($H175)&gt;0,$M175,$K175))</f>
        <v/>
      </c>
      <c r="O175" s="41" t="str">
        <f aca="false">IF($N175="","",ROUND(N($H175)+N($I175),2))</f>
        <v/>
      </c>
      <c r="P175" s="41" t="str">
        <f aca="false">IF($N175="","",0)</f>
        <v/>
      </c>
      <c r="Q175" s="39" t="str">
        <f aca="false">IF($N175="","",IF(N($H175)&gt;0,$K175,$M175))</f>
        <v/>
      </c>
      <c r="R175" s="41" t="str">
        <f aca="false">IF($Q175="","",0)</f>
        <v/>
      </c>
      <c r="S175" s="41" t="str">
        <f aca="false">IF($Q175="","",ROUND(N($H175)+N($I175),2))</f>
        <v/>
      </c>
      <c r="T175" s="42"/>
      <c r="U175" s="44"/>
      <c r="V175" s="41" t="str">
        <f aca="false">IF($B175="","",TEXT($B175,"yyyy年m月"))</f>
        <v/>
      </c>
      <c r="W175" s="42"/>
      <c r="X175" s="42"/>
      <c r="Y175" s="9"/>
    </row>
    <row r="176" customFormat="false" ht="18" hidden="false" customHeight="true" outlineLevel="0" collapsed="false">
      <c r="A176" s="9" t="str">
        <f aca="false">IF($C176="","",ROW()-3)</f>
        <v/>
      </c>
      <c r="B176" s="76"/>
      <c r="C176" s="74"/>
      <c r="D176" s="43"/>
      <c r="E176" s="42"/>
      <c r="F176" s="74"/>
      <c r="G176" s="74"/>
      <c r="H176" s="44"/>
      <c r="I176" s="44"/>
      <c r="J176" s="103" t="str">
        <f aca="false">IF($C176="","",ROUND(IFERROR(INDEX(期初余额!$I$4:$I$43,MATCH($C176,期初余额!$H$4:$H$43,0)),0)+SUMIFS($H$4:$H176,$C$4:$C176,$C176)-SUMIFS($I$4:$I176,$C$4:$C176,$C176),2))</f>
        <v/>
      </c>
      <c r="K176" s="104" t="str">
        <f aca="false">IF($T176&lt;&gt;"",$T176,IF($C176="","",IF(AND(N($I176)&gt;0,$G176&lt;&gt;""),IF(IFERROR(INDEX(科目表!$U$4:$U$123,MATCH($G176,科目表!$M$4:$M$123,0)),"")&amp;""="","管理费用",INDEX(科目表!$U$4:$U$123,MATCH($G176,科目表!$M$4:$M$123,0))),IF(N($H176)&gt;0,IF(IFERROR(INDEX(自动规则!$C$4:$C$143,MATCH($F176,自动规则!$B$4:$B$143,0)),"")&amp;""="","其他应收款",INDEX(自动规则!$C$4:$C$143,MATCH($F176,自动规则!$B$4:$B$143,0))),IF(IFERROR(INDEX(自动规则!$D$4:$D$143,MATCH($F176,自动规则!$B$4:$B$143,0)),"")&amp;""="","其他应付款",INDEX(自动规则!$D$4:$D$143,MATCH($F176,自动规则!$B$4:$B$143,0)))))))</f>
        <v/>
      </c>
      <c r="L176" s="43"/>
      <c r="M176" s="105" t="str">
        <f aca="false">IF($C176="","",IF(IFERROR(INDEX(科目表!$T$4:$T$123,MATCH($C176,科目表!$K$4:$K$123,0)),"")&amp;""="","其他货币资金",INDEX(科目表!$T$4:$T$123,MATCH($C176,科目表!$K$4:$K$123,0))))</f>
        <v/>
      </c>
      <c r="N176" s="39" t="str">
        <f aca="false">IF(OR($C176="",ROUND(N($H176)+N($I176),2)=0),"",IF(N($H176)&gt;0,$M176,$K176))</f>
        <v/>
      </c>
      <c r="O176" s="41" t="str">
        <f aca="false">IF($N176="","",ROUND(N($H176)+N($I176),2))</f>
        <v/>
      </c>
      <c r="P176" s="41" t="str">
        <f aca="false">IF($N176="","",0)</f>
        <v/>
      </c>
      <c r="Q176" s="39" t="str">
        <f aca="false">IF($N176="","",IF(N($H176)&gt;0,$K176,$M176))</f>
        <v/>
      </c>
      <c r="R176" s="41" t="str">
        <f aca="false">IF($Q176="","",0)</f>
        <v/>
      </c>
      <c r="S176" s="41" t="str">
        <f aca="false">IF($Q176="","",ROUND(N($H176)+N($I176),2))</f>
        <v/>
      </c>
      <c r="T176" s="42"/>
      <c r="U176" s="44"/>
      <c r="V176" s="41" t="str">
        <f aca="false">IF($B176="","",TEXT($B176,"yyyy年m月"))</f>
        <v/>
      </c>
      <c r="W176" s="42"/>
      <c r="X176" s="42"/>
      <c r="Y176" s="9"/>
    </row>
    <row r="177" customFormat="false" ht="18" hidden="false" customHeight="true" outlineLevel="0" collapsed="false">
      <c r="A177" s="9" t="str">
        <f aca="false">IF($C177="","",ROW()-3)</f>
        <v/>
      </c>
      <c r="B177" s="76"/>
      <c r="C177" s="74"/>
      <c r="D177" s="43"/>
      <c r="E177" s="42"/>
      <c r="F177" s="74"/>
      <c r="G177" s="74"/>
      <c r="H177" s="44"/>
      <c r="I177" s="44"/>
      <c r="J177" s="103" t="str">
        <f aca="false">IF($C177="","",ROUND(IFERROR(INDEX(期初余额!$I$4:$I$43,MATCH($C177,期初余额!$H$4:$H$43,0)),0)+SUMIFS($H$4:$H177,$C$4:$C177,$C177)-SUMIFS($I$4:$I177,$C$4:$C177,$C177),2))</f>
        <v/>
      </c>
      <c r="K177" s="104" t="str">
        <f aca="false">IF($T177&lt;&gt;"",$T177,IF($C177="","",IF(AND(N($I177)&gt;0,$G177&lt;&gt;""),IF(IFERROR(INDEX(科目表!$U$4:$U$123,MATCH($G177,科目表!$M$4:$M$123,0)),"")&amp;""="","管理费用",INDEX(科目表!$U$4:$U$123,MATCH($G177,科目表!$M$4:$M$123,0))),IF(N($H177)&gt;0,IF(IFERROR(INDEX(自动规则!$C$4:$C$143,MATCH($F177,自动规则!$B$4:$B$143,0)),"")&amp;""="","其他应收款",INDEX(自动规则!$C$4:$C$143,MATCH($F177,自动规则!$B$4:$B$143,0))),IF(IFERROR(INDEX(自动规则!$D$4:$D$143,MATCH($F177,自动规则!$B$4:$B$143,0)),"")&amp;""="","其他应付款",INDEX(自动规则!$D$4:$D$143,MATCH($F177,自动规则!$B$4:$B$143,0)))))))</f>
        <v/>
      </c>
      <c r="L177" s="43"/>
      <c r="M177" s="105" t="str">
        <f aca="false">IF($C177="","",IF(IFERROR(INDEX(科目表!$T$4:$T$123,MATCH($C177,科目表!$K$4:$K$123,0)),"")&amp;""="","其他货币资金",INDEX(科目表!$T$4:$T$123,MATCH($C177,科目表!$K$4:$K$123,0))))</f>
        <v/>
      </c>
      <c r="N177" s="39" t="str">
        <f aca="false">IF(OR($C177="",ROUND(N($H177)+N($I177),2)=0),"",IF(N($H177)&gt;0,$M177,$K177))</f>
        <v/>
      </c>
      <c r="O177" s="41" t="str">
        <f aca="false">IF($N177="","",ROUND(N($H177)+N($I177),2))</f>
        <v/>
      </c>
      <c r="P177" s="41" t="str">
        <f aca="false">IF($N177="","",0)</f>
        <v/>
      </c>
      <c r="Q177" s="39" t="str">
        <f aca="false">IF($N177="","",IF(N($H177)&gt;0,$K177,$M177))</f>
        <v/>
      </c>
      <c r="R177" s="41" t="str">
        <f aca="false">IF($Q177="","",0)</f>
        <v/>
      </c>
      <c r="S177" s="41" t="str">
        <f aca="false">IF($Q177="","",ROUND(N($H177)+N($I177),2))</f>
        <v/>
      </c>
      <c r="T177" s="42"/>
      <c r="U177" s="44"/>
      <c r="V177" s="41" t="str">
        <f aca="false">IF($B177="","",TEXT($B177,"yyyy年m月"))</f>
        <v/>
      </c>
      <c r="W177" s="42"/>
      <c r="X177" s="42"/>
      <c r="Y177" s="9"/>
    </row>
    <row r="178" customFormat="false" ht="18" hidden="false" customHeight="true" outlineLevel="0" collapsed="false">
      <c r="A178" s="9" t="str">
        <f aca="false">IF($C178="","",ROW()-3)</f>
        <v/>
      </c>
      <c r="B178" s="76"/>
      <c r="C178" s="74"/>
      <c r="D178" s="43"/>
      <c r="E178" s="42"/>
      <c r="F178" s="74"/>
      <c r="G178" s="74"/>
      <c r="H178" s="44"/>
      <c r="I178" s="44"/>
      <c r="J178" s="103" t="str">
        <f aca="false">IF($C178="","",ROUND(IFERROR(INDEX(期初余额!$I$4:$I$43,MATCH($C178,期初余额!$H$4:$H$43,0)),0)+SUMIFS($H$4:$H178,$C$4:$C178,$C178)-SUMIFS($I$4:$I178,$C$4:$C178,$C178),2))</f>
        <v/>
      </c>
      <c r="K178" s="104" t="str">
        <f aca="false">IF($T178&lt;&gt;"",$T178,IF($C178="","",IF(AND(N($I178)&gt;0,$G178&lt;&gt;""),IF(IFERROR(INDEX(科目表!$U$4:$U$123,MATCH($G178,科目表!$M$4:$M$123,0)),"")&amp;""="","管理费用",INDEX(科目表!$U$4:$U$123,MATCH($G178,科目表!$M$4:$M$123,0))),IF(N($H178)&gt;0,IF(IFERROR(INDEX(自动规则!$C$4:$C$143,MATCH($F178,自动规则!$B$4:$B$143,0)),"")&amp;""="","其他应收款",INDEX(自动规则!$C$4:$C$143,MATCH($F178,自动规则!$B$4:$B$143,0))),IF(IFERROR(INDEX(自动规则!$D$4:$D$143,MATCH($F178,自动规则!$B$4:$B$143,0)),"")&amp;""="","其他应付款",INDEX(自动规则!$D$4:$D$143,MATCH($F178,自动规则!$B$4:$B$143,0)))))))</f>
        <v/>
      </c>
      <c r="L178" s="43"/>
      <c r="M178" s="105" t="str">
        <f aca="false">IF($C178="","",IF(IFERROR(INDEX(科目表!$T$4:$T$123,MATCH($C178,科目表!$K$4:$K$123,0)),"")&amp;""="","其他货币资金",INDEX(科目表!$T$4:$T$123,MATCH($C178,科目表!$K$4:$K$123,0))))</f>
        <v/>
      </c>
      <c r="N178" s="39" t="str">
        <f aca="false">IF(OR($C178="",ROUND(N($H178)+N($I178),2)=0),"",IF(N($H178)&gt;0,$M178,$K178))</f>
        <v/>
      </c>
      <c r="O178" s="41" t="str">
        <f aca="false">IF($N178="","",ROUND(N($H178)+N($I178),2))</f>
        <v/>
      </c>
      <c r="P178" s="41" t="str">
        <f aca="false">IF($N178="","",0)</f>
        <v/>
      </c>
      <c r="Q178" s="39" t="str">
        <f aca="false">IF($N178="","",IF(N($H178)&gt;0,$K178,$M178))</f>
        <v/>
      </c>
      <c r="R178" s="41" t="str">
        <f aca="false">IF($Q178="","",0)</f>
        <v/>
      </c>
      <c r="S178" s="41" t="str">
        <f aca="false">IF($Q178="","",ROUND(N($H178)+N($I178),2))</f>
        <v/>
      </c>
      <c r="T178" s="42"/>
      <c r="U178" s="44"/>
      <c r="V178" s="41" t="str">
        <f aca="false">IF($B178="","",TEXT($B178,"yyyy年m月"))</f>
        <v/>
      </c>
      <c r="W178" s="42"/>
      <c r="X178" s="42"/>
      <c r="Y178" s="9"/>
    </row>
    <row r="179" customFormat="false" ht="18" hidden="false" customHeight="true" outlineLevel="0" collapsed="false">
      <c r="A179" s="9" t="str">
        <f aca="false">IF($C179="","",ROW()-3)</f>
        <v/>
      </c>
      <c r="B179" s="76"/>
      <c r="C179" s="74"/>
      <c r="D179" s="43"/>
      <c r="E179" s="42"/>
      <c r="F179" s="74"/>
      <c r="G179" s="74"/>
      <c r="H179" s="44"/>
      <c r="I179" s="44"/>
      <c r="J179" s="103" t="str">
        <f aca="false">IF($C179="","",ROUND(IFERROR(INDEX(期初余额!$I$4:$I$43,MATCH($C179,期初余额!$H$4:$H$43,0)),0)+SUMIFS($H$4:$H179,$C$4:$C179,$C179)-SUMIFS($I$4:$I179,$C$4:$C179,$C179),2))</f>
        <v/>
      </c>
      <c r="K179" s="104" t="str">
        <f aca="false">IF($T179&lt;&gt;"",$T179,IF($C179="","",IF(AND(N($I179)&gt;0,$G179&lt;&gt;""),IF(IFERROR(INDEX(科目表!$U$4:$U$123,MATCH($G179,科目表!$M$4:$M$123,0)),"")&amp;""="","管理费用",INDEX(科目表!$U$4:$U$123,MATCH($G179,科目表!$M$4:$M$123,0))),IF(N($H179)&gt;0,IF(IFERROR(INDEX(自动规则!$C$4:$C$143,MATCH($F179,自动规则!$B$4:$B$143,0)),"")&amp;""="","其他应收款",INDEX(自动规则!$C$4:$C$143,MATCH($F179,自动规则!$B$4:$B$143,0))),IF(IFERROR(INDEX(自动规则!$D$4:$D$143,MATCH($F179,自动规则!$B$4:$B$143,0)),"")&amp;""="","其他应付款",INDEX(自动规则!$D$4:$D$143,MATCH($F179,自动规则!$B$4:$B$143,0)))))))</f>
        <v/>
      </c>
      <c r="L179" s="43"/>
      <c r="M179" s="105" t="str">
        <f aca="false">IF($C179="","",IF(IFERROR(INDEX(科目表!$T$4:$T$123,MATCH($C179,科目表!$K$4:$K$123,0)),"")&amp;""="","其他货币资金",INDEX(科目表!$T$4:$T$123,MATCH($C179,科目表!$K$4:$K$123,0))))</f>
        <v/>
      </c>
      <c r="N179" s="39" t="str">
        <f aca="false">IF(OR($C179="",ROUND(N($H179)+N($I179),2)=0),"",IF(N($H179)&gt;0,$M179,$K179))</f>
        <v/>
      </c>
      <c r="O179" s="41" t="str">
        <f aca="false">IF($N179="","",ROUND(N($H179)+N($I179),2))</f>
        <v/>
      </c>
      <c r="P179" s="41" t="str">
        <f aca="false">IF($N179="","",0)</f>
        <v/>
      </c>
      <c r="Q179" s="39" t="str">
        <f aca="false">IF($N179="","",IF(N($H179)&gt;0,$K179,$M179))</f>
        <v/>
      </c>
      <c r="R179" s="41" t="str">
        <f aca="false">IF($Q179="","",0)</f>
        <v/>
      </c>
      <c r="S179" s="41" t="str">
        <f aca="false">IF($Q179="","",ROUND(N($H179)+N($I179),2))</f>
        <v/>
      </c>
      <c r="T179" s="42"/>
      <c r="U179" s="44"/>
      <c r="V179" s="41" t="str">
        <f aca="false">IF($B179="","",TEXT($B179,"yyyy年m月"))</f>
        <v/>
      </c>
      <c r="W179" s="42"/>
      <c r="X179" s="42"/>
      <c r="Y179" s="9"/>
    </row>
    <row r="180" customFormat="false" ht="18" hidden="false" customHeight="true" outlineLevel="0" collapsed="false">
      <c r="A180" s="9" t="str">
        <f aca="false">IF($C180="","",ROW()-3)</f>
        <v/>
      </c>
      <c r="B180" s="76"/>
      <c r="C180" s="74"/>
      <c r="D180" s="43"/>
      <c r="E180" s="42"/>
      <c r="F180" s="74"/>
      <c r="G180" s="74"/>
      <c r="H180" s="44"/>
      <c r="I180" s="44"/>
      <c r="J180" s="103" t="str">
        <f aca="false">IF($C180="","",ROUND(IFERROR(INDEX(期初余额!$I$4:$I$43,MATCH($C180,期初余额!$H$4:$H$43,0)),0)+SUMIFS($H$4:$H180,$C$4:$C180,$C180)-SUMIFS($I$4:$I180,$C$4:$C180,$C180),2))</f>
        <v/>
      </c>
      <c r="K180" s="104" t="str">
        <f aca="false">IF($T180&lt;&gt;"",$T180,IF($C180="","",IF(AND(N($I180)&gt;0,$G180&lt;&gt;""),IF(IFERROR(INDEX(科目表!$U$4:$U$123,MATCH($G180,科目表!$M$4:$M$123,0)),"")&amp;""="","管理费用",INDEX(科目表!$U$4:$U$123,MATCH($G180,科目表!$M$4:$M$123,0))),IF(N($H180)&gt;0,IF(IFERROR(INDEX(自动规则!$C$4:$C$143,MATCH($F180,自动规则!$B$4:$B$143,0)),"")&amp;""="","其他应收款",INDEX(自动规则!$C$4:$C$143,MATCH($F180,自动规则!$B$4:$B$143,0))),IF(IFERROR(INDEX(自动规则!$D$4:$D$143,MATCH($F180,自动规则!$B$4:$B$143,0)),"")&amp;""="","其他应付款",INDEX(自动规则!$D$4:$D$143,MATCH($F180,自动规则!$B$4:$B$143,0)))))))</f>
        <v/>
      </c>
      <c r="L180" s="43"/>
      <c r="M180" s="105" t="str">
        <f aca="false">IF($C180="","",IF(IFERROR(INDEX(科目表!$T$4:$T$123,MATCH($C180,科目表!$K$4:$K$123,0)),"")&amp;""="","其他货币资金",INDEX(科目表!$T$4:$T$123,MATCH($C180,科目表!$K$4:$K$123,0))))</f>
        <v/>
      </c>
      <c r="N180" s="39" t="str">
        <f aca="false">IF(OR($C180="",ROUND(N($H180)+N($I180),2)=0),"",IF(N($H180)&gt;0,$M180,$K180))</f>
        <v/>
      </c>
      <c r="O180" s="41" t="str">
        <f aca="false">IF($N180="","",ROUND(N($H180)+N($I180),2))</f>
        <v/>
      </c>
      <c r="P180" s="41" t="str">
        <f aca="false">IF($N180="","",0)</f>
        <v/>
      </c>
      <c r="Q180" s="39" t="str">
        <f aca="false">IF($N180="","",IF(N($H180)&gt;0,$K180,$M180))</f>
        <v/>
      </c>
      <c r="R180" s="41" t="str">
        <f aca="false">IF($Q180="","",0)</f>
        <v/>
      </c>
      <c r="S180" s="41" t="str">
        <f aca="false">IF($Q180="","",ROUND(N($H180)+N($I180),2))</f>
        <v/>
      </c>
      <c r="T180" s="42"/>
      <c r="U180" s="44"/>
      <c r="V180" s="41" t="str">
        <f aca="false">IF($B180="","",TEXT($B180,"yyyy年m月"))</f>
        <v/>
      </c>
      <c r="W180" s="42"/>
      <c r="X180" s="42"/>
      <c r="Y180" s="9"/>
    </row>
    <row r="181" customFormat="false" ht="18" hidden="false" customHeight="true" outlineLevel="0" collapsed="false">
      <c r="A181" s="9" t="str">
        <f aca="false">IF($C181="","",ROW()-3)</f>
        <v/>
      </c>
      <c r="B181" s="76"/>
      <c r="C181" s="74"/>
      <c r="D181" s="43"/>
      <c r="E181" s="42"/>
      <c r="F181" s="74"/>
      <c r="G181" s="74"/>
      <c r="H181" s="44"/>
      <c r="I181" s="44"/>
      <c r="J181" s="103" t="str">
        <f aca="false">IF($C181="","",ROUND(IFERROR(INDEX(期初余额!$I$4:$I$43,MATCH($C181,期初余额!$H$4:$H$43,0)),0)+SUMIFS($H$4:$H181,$C$4:$C181,$C181)-SUMIFS($I$4:$I181,$C$4:$C181,$C181),2))</f>
        <v/>
      </c>
      <c r="K181" s="104" t="str">
        <f aca="false">IF($T181&lt;&gt;"",$T181,IF($C181="","",IF(AND(N($I181)&gt;0,$G181&lt;&gt;""),IF(IFERROR(INDEX(科目表!$U$4:$U$123,MATCH($G181,科目表!$M$4:$M$123,0)),"")&amp;""="","管理费用",INDEX(科目表!$U$4:$U$123,MATCH($G181,科目表!$M$4:$M$123,0))),IF(N($H181)&gt;0,IF(IFERROR(INDEX(自动规则!$C$4:$C$143,MATCH($F181,自动规则!$B$4:$B$143,0)),"")&amp;""="","其他应收款",INDEX(自动规则!$C$4:$C$143,MATCH($F181,自动规则!$B$4:$B$143,0))),IF(IFERROR(INDEX(自动规则!$D$4:$D$143,MATCH($F181,自动规则!$B$4:$B$143,0)),"")&amp;""="","其他应付款",INDEX(自动规则!$D$4:$D$143,MATCH($F181,自动规则!$B$4:$B$143,0)))))))</f>
        <v/>
      </c>
      <c r="L181" s="43"/>
      <c r="M181" s="105" t="str">
        <f aca="false">IF($C181="","",IF(IFERROR(INDEX(科目表!$T$4:$T$123,MATCH($C181,科目表!$K$4:$K$123,0)),"")&amp;""="","其他货币资金",INDEX(科目表!$T$4:$T$123,MATCH($C181,科目表!$K$4:$K$123,0))))</f>
        <v/>
      </c>
      <c r="N181" s="39" t="str">
        <f aca="false">IF(OR($C181="",ROUND(N($H181)+N($I181),2)=0),"",IF(N($H181)&gt;0,$M181,$K181))</f>
        <v/>
      </c>
      <c r="O181" s="41" t="str">
        <f aca="false">IF($N181="","",ROUND(N($H181)+N($I181),2))</f>
        <v/>
      </c>
      <c r="P181" s="41" t="str">
        <f aca="false">IF($N181="","",0)</f>
        <v/>
      </c>
      <c r="Q181" s="39" t="str">
        <f aca="false">IF($N181="","",IF(N($H181)&gt;0,$K181,$M181))</f>
        <v/>
      </c>
      <c r="R181" s="41" t="str">
        <f aca="false">IF($Q181="","",0)</f>
        <v/>
      </c>
      <c r="S181" s="41" t="str">
        <f aca="false">IF($Q181="","",ROUND(N($H181)+N($I181),2))</f>
        <v/>
      </c>
      <c r="T181" s="42"/>
      <c r="U181" s="44"/>
      <c r="V181" s="41" t="str">
        <f aca="false">IF($B181="","",TEXT($B181,"yyyy年m月"))</f>
        <v/>
      </c>
      <c r="W181" s="42"/>
      <c r="X181" s="42"/>
      <c r="Y181" s="9"/>
    </row>
    <row r="182" customFormat="false" ht="18" hidden="false" customHeight="true" outlineLevel="0" collapsed="false">
      <c r="A182" s="9" t="str">
        <f aca="false">IF($C182="","",ROW()-3)</f>
        <v/>
      </c>
      <c r="B182" s="76"/>
      <c r="C182" s="74"/>
      <c r="D182" s="43"/>
      <c r="E182" s="42"/>
      <c r="F182" s="74"/>
      <c r="G182" s="74"/>
      <c r="H182" s="44"/>
      <c r="I182" s="44"/>
      <c r="J182" s="103" t="str">
        <f aca="false">IF($C182="","",ROUND(IFERROR(INDEX(期初余额!$I$4:$I$43,MATCH($C182,期初余额!$H$4:$H$43,0)),0)+SUMIFS($H$4:$H182,$C$4:$C182,$C182)-SUMIFS($I$4:$I182,$C$4:$C182,$C182),2))</f>
        <v/>
      </c>
      <c r="K182" s="104" t="str">
        <f aca="false">IF($T182&lt;&gt;"",$T182,IF($C182="","",IF(AND(N($I182)&gt;0,$G182&lt;&gt;""),IF(IFERROR(INDEX(科目表!$U$4:$U$123,MATCH($G182,科目表!$M$4:$M$123,0)),"")&amp;""="","管理费用",INDEX(科目表!$U$4:$U$123,MATCH($G182,科目表!$M$4:$M$123,0))),IF(N($H182)&gt;0,IF(IFERROR(INDEX(自动规则!$C$4:$C$143,MATCH($F182,自动规则!$B$4:$B$143,0)),"")&amp;""="","其他应收款",INDEX(自动规则!$C$4:$C$143,MATCH($F182,自动规则!$B$4:$B$143,0))),IF(IFERROR(INDEX(自动规则!$D$4:$D$143,MATCH($F182,自动规则!$B$4:$B$143,0)),"")&amp;""="","其他应付款",INDEX(自动规则!$D$4:$D$143,MATCH($F182,自动规则!$B$4:$B$143,0)))))))</f>
        <v/>
      </c>
      <c r="L182" s="43"/>
      <c r="M182" s="105" t="str">
        <f aca="false">IF($C182="","",IF(IFERROR(INDEX(科目表!$T$4:$T$123,MATCH($C182,科目表!$K$4:$K$123,0)),"")&amp;""="","其他货币资金",INDEX(科目表!$T$4:$T$123,MATCH($C182,科目表!$K$4:$K$123,0))))</f>
        <v/>
      </c>
      <c r="N182" s="39" t="str">
        <f aca="false">IF(OR($C182="",ROUND(N($H182)+N($I182),2)=0),"",IF(N($H182)&gt;0,$M182,$K182))</f>
        <v/>
      </c>
      <c r="O182" s="41" t="str">
        <f aca="false">IF($N182="","",ROUND(N($H182)+N($I182),2))</f>
        <v/>
      </c>
      <c r="P182" s="41" t="str">
        <f aca="false">IF($N182="","",0)</f>
        <v/>
      </c>
      <c r="Q182" s="39" t="str">
        <f aca="false">IF($N182="","",IF(N($H182)&gt;0,$K182,$M182))</f>
        <v/>
      </c>
      <c r="R182" s="41" t="str">
        <f aca="false">IF($Q182="","",0)</f>
        <v/>
      </c>
      <c r="S182" s="41" t="str">
        <f aca="false">IF($Q182="","",ROUND(N($H182)+N($I182),2))</f>
        <v/>
      </c>
      <c r="T182" s="42"/>
      <c r="U182" s="44"/>
      <c r="V182" s="41" t="str">
        <f aca="false">IF($B182="","",TEXT($B182,"yyyy年m月"))</f>
        <v/>
      </c>
      <c r="W182" s="42"/>
      <c r="X182" s="42"/>
      <c r="Y182" s="9"/>
    </row>
    <row r="183" customFormat="false" ht="18" hidden="false" customHeight="true" outlineLevel="0" collapsed="false">
      <c r="A183" s="9" t="str">
        <f aca="false">IF($C183="","",ROW()-3)</f>
        <v/>
      </c>
      <c r="B183" s="76"/>
      <c r="C183" s="74"/>
      <c r="D183" s="43"/>
      <c r="E183" s="42"/>
      <c r="F183" s="74"/>
      <c r="G183" s="74"/>
      <c r="H183" s="44"/>
      <c r="I183" s="44"/>
      <c r="J183" s="103" t="str">
        <f aca="false">IF($C183="","",ROUND(IFERROR(INDEX(期初余额!$I$4:$I$43,MATCH($C183,期初余额!$H$4:$H$43,0)),0)+SUMIFS($H$4:$H183,$C$4:$C183,$C183)-SUMIFS($I$4:$I183,$C$4:$C183,$C183),2))</f>
        <v/>
      </c>
      <c r="K183" s="104" t="str">
        <f aca="false">IF($T183&lt;&gt;"",$T183,IF($C183="","",IF(AND(N($I183)&gt;0,$G183&lt;&gt;""),IF(IFERROR(INDEX(科目表!$U$4:$U$123,MATCH($G183,科目表!$M$4:$M$123,0)),"")&amp;""="","管理费用",INDEX(科目表!$U$4:$U$123,MATCH($G183,科目表!$M$4:$M$123,0))),IF(N($H183)&gt;0,IF(IFERROR(INDEX(自动规则!$C$4:$C$143,MATCH($F183,自动规则!$B$4:$B$143,0)),"")&amp;""="","其他应收款",INDEX(自动规则!$C$4:$C$143,MATCH($F183,自动规则!$B$4:$B$143,0))),IF(IFERROR(INDEX(自动规则!$D$4:$D$143,MATCH($F183,自动规则!$B$4:$B$143,0)),"")&amp;""="","其他应付款",INDEX(自动规则!$D$4:$D$143,MATCH($F183,自动规则!$B$4:$B$143,0)))))))</f>
        <v/>
      </c>
      <c r="L183" s="43"/>
      <c r="M183" s="105" t="str">
        <f aca="false">IF($C183="","",IF(IFERROR(INDEX(科目表!$T$4:$T$123,MATCH($C183,科目表!$K$4:$K$123,0)),"")&amp;""="","其他货币资金",INDEX(科目表!$T$4:$T$123,MATCH($C183,科目表!$K$4:$K$123,0))))</f>
        <v/>
      </c>
      <c r="N183" s="39" t="str">
        <f aca="false">IF(OR($C183="",ROUND(N($H183)+N($I183),2)=0),"",IF(N($H183)&gt;0,$M183,$K183))</f>
        <v/>
      </c>
      <c r="O183" s="41" t="str">
        <f aca="false">IF($N183="","",ROUND(N($H183)+N($I183),2))</f>
        <v/>
      </c>
      <c r="P183" s="41" t="str">
        <f aca="false">IF($N183="","",0)</f>
        <v/>
      </c>
      <c r="Q183" s="39" t="str">
        <f aca="false">IF($N183="","",IF(N($H183)&gt;0,$K183,$M183))</f>
        <v/>
      </c>
      <c r="R183" s="41" t="str">
        <f aca="false">IF($Q183="","",0)</f>
        <v/>
      </c>
      <c r="S183" s="41" t="str">
        <f aca="false">IF($Q183="","",ROUND(N($H183)+N($I183),2))</f>
        <v/>
      </c>
      <c r="T183" s="42"/>
      <c r="U183" s="44"/>
      <c r="V183" s="41" t="str">
        <f aca="false">IF($B183="","",TEXT($B183,"yyyy年m月"))</f>
        <v/>
      </c>
      <c r="W183" s="42"/>
      <c r="X183" s="42"/>
      <c r="Y183" s="9"/>
    </row>
    <row r="184" customFormat="false" ht="18" hidden="false" customHeight="true" outlineLevel="0" collapsed="false">
      <c r="A184" s="9" t="str">
        <f aca="false">IF($C184="","",ROW()-3)</f>
        <v/>
      </c>
      <c r="B184" s="76"/>
      <c r="C184" s="74"/>
      <c r="D184" s="43"/>
      <c r="E184" s="42"/>
      <c r="F184" s="74"/>
      <c r="G184" s="74"/>
      <c r="H184" s="44"/>
      <c r="I184" s="44"/>
      <c r="J184" s="103" t="str">
        <f aca="false">IF($C184="","",ROUND(IFERROR(INDEX(期初余额!$I$4:$I$43,MATCH($C184,期初余额!$H$4:$H$43,0)),0)+SUMIFS($H$4:$H184,$C$4:$C184,$C184)-SUMIFS($I$4:$I184,$C$4:$C184,$C184),2))</f>
        <v/>
      </c>
      <c r="K184" s="104" t="str">
        <f aca="false">IF($T184&lt;&gt;"",$T184,IF($C184="","",IF(AND(N($I184)&gt;0,$G184&lt;&gt;""),IF(IFERROR(INDEX(科目表!$U$4:$U$123,MATCH($G184,科目表!$M$4:$M$123,0)),"")&amp;""="","管理费用",INDEX(科目表!$U$4:$U$123,MATCH($G184,科目表!$M$4:$M$123,0))),IF(N($H184)&gt;0,IF(IFERROR(INDEX(自动规则!$C$4:$C$143,MATCH($F184,自动规则!$B$4:$B$143,0)),"")&amp;""="","其他应收款",INDEX(自动规则!$C$4:$C$143,MATCH($F184,自动规则!$B$4:$B$143,0))),IF(IFERROR(INDEX(自动规则!$D$4:$D$143,MATCH($F184,自动规则!$B$4:$B$143,0)),"")&amp;""="","其他应付款",INDEX(自动规则!$D$4:$D$143,MATCH($F184,自动规则!$B$4:$B$143,0)))))))</f>
        <v/>
      </c>
      <c r="L184" s="43"/>
      <c r="M184" s="105" t="str">
        <f aca="false">IF($C184="","",IF(IFERROR(INDEX(科目表!$T$4:$T$123,MATCH($C184,科目表!$K$4:$K$123,0)),"")&amp;""="","其他货币资金",INDEX(科目表!$T$4:$T$123,MATCH($C184,科目表!$K$4:$K$123,0))))</f>
        <v/>
      </c>
      <c r="N184" s="39" t="str">
        <f aca="false">IF(OR($C184="",ROUND(N($H184)+N($I184),2)=0),"",IF(N($H184)&gt;0,$M184,$K184))</f>
        <v/>
      </c>
      <c r="O184" s="41" t="str">
        <f aca="false">IF($N184="","",ROUND(N($H184)+N($I184),2))</f>
        <v/>
      </c>
      <c r="P184" s="41" t="str">
        <f aca="false">IF($N184="","",0)</f>
        <v/>
      </c>
      <c r="Q184" s="39" t="str">
        <f aca="false">IF($N184="","",IF(N($H184)&gt;0,$K184,$M184))</f>
        <v/>
      </c>
      <c r="R184" s="41" t="str">
        <f aca="false">IF($Q184="","",0)</f>
        <v/>
      </c>
      <c r="S184" s="41" t="str">
        <f aca="false">IF($Q184="","",ROUND(N($H184)+N($I184),2))</f>
        <v/>
      </c>
      <c r="T184" s="42"/>
      <c r="U184" s="44"/>
      <c r="V184" s="41" t="str">
        <f aca="false">IF($B184="","",TEXT($B184,"yyyy年m月"))</f>
        <v/>
      </c>
      <c r="W184" s="42"/>
      <c r="X184" s="42"/>
      <c r="Y184" s="9"/>
    </row>
    <row r="185" customFormat="false" ht="18" hidden="false" customHeight="true" outlineLevel="0" collapsed="false">
      <c r="A185" s="9" t="str">
        <f aca="false">IF($C185="","",ROW()-3)</f>
        <v/>
      </c>
      <c r="B185" s="76"/>
      <c r="C185" s="74"/>
      <c r="D185" s="43"/>
      <c r="E185" s="42"/>
      <c r="F185" s="74"/>
      <c r="G185" s="74"/>
      <c r="H185" s="44"/>
      <c r="I185" s="44"/>
      <c r="J185" s="103" t="str">
        <f aca="false">IF($C185="","",ROUND(IFERROR(INDEX(期初余额!$I$4:$I$43,MATCH($C185,期初余额!$H$4:$H$43,0)),0)+SUMIFS($H$4:$H185,$C$4:$C185,$C185)-SUMIFS($I$4:$I185,$C$4:$C185,$C185),2))</f>
        <v/>
      </c>
      <c r="K185" s="104" t="str">
        <f aca="false">IF($T185&lt;&gt;"",$T185,IF($C185="","",IF(AND(N($I185)&gt;0,$G185&lt;&gt;""),IF(IFERROR(INDEX(科目表!$U$4:$U$123,MATCH($G185,科目表!$M$4:$M$123,0)),"")&amp;""="","管理费用",INDEX(科目表!$U$4:$U$123,MATCH($G185,科目表!$M$4:$M$123,0))),IF(N($H185)&gt;0,IF(IFERROR(INDEX(自动规则!$C$4:$C$143,MATCH($F185,自动规则!$B$4:$B$143,0)),"")&amp;""="","其他应收款",INDEX(自动规则!$C$4:$C$143,MATCH($F185,自动规则!$B$4:$B$143,0))),IF(IFERROR(INDEX(自动规则!$D$4:$D$143,MATCH($F185,自动规则!$B$4:$B$143,0)),"")&amp;""="","其他应付款",INDEX(自动规则!$D$4:$D$143,MATCH($F185,自动规则!$B$4:$B$143,0)))))))</f>
        <v/>
      </c>
      <c r="L185" s="43"/>
      <c r="M185" s="105" t="str">
        <f aca="false">IF($C185="","",IF(IFERROR(INDEX(科目表!$T$4:$T$123,MATCH($C185,科目表!$K$4:$K$123,0)),"")&amp;""="","其他货币资金",INDEX(科目表!$T$4:$T$123,MATCH($C185,科目表!$K$4:$K$123,0))))</f>
        <v/>
      </c>
      <c r="N185" s="39" t="str">
        <f aca="false">IF(OR($C185="",ROUND(N($H185)+N($I185),2)=0),"",IF(N($H185)&gt;0,$M185,$K185))</f>
        <v/>
      </c>
      <c r="O185" s="41" t="str">
        <f aca="false">IF($N185="","",ROUND(N($H185)+N($I185),2))</f>
        <v/>
      </c>
      <c r="P185" s="41" t="str">
        <f aca="false">IF($N185="","",0)</f>
        <v/>
      </c>
      <c r="Q185" s="39" t="str">
        <f aca="false">IF($N185="","",IF(N($H185)&gt;0,$K185,$M185))</f>
        <v/>
      </c>
      <c r="R185" s="41" t="str">
        <f aca="false">IF($Q185="","",0)</f>
        <v/>
      </c>
      <c r="S185" s="41" t="str">
        <f aca="false">IF($Q185="","",ROUND(N($H185)+N($I185),2))</f>
        <v/>
      </c>
      <c r="T185" s="42"/>
      <c r="U185" s="44"/>
      <c r="V185" s="41" t="str">
        <f aca="false">IF($B185="","",TEXT($B185,"yyyy年m月"))</f>
        <v/>
      </c>
      <c r="W185" s="42"/>
      <c r="X185" s="42"/>
      <c r="Y185" s="9"/>
    </row>
    <row r="186" customFormat="false" ht="18" hidden="false" customHeight="true" outlineLevel="0" collapsed="false">
      <c r="A186" s="9" t="str">
        <f aca="false">IF($C186="","",ROW()-3)</f>
        <v/>
      </c>
      <c r="B186" s="76"/>
      <c r="C186" s="74"/>
      <c r="D186" s="43"/>
      <c r="E186" s="42"/>
      <c r="F186" s="74"/>
      <c r="G186" s="74"/>
      <c r="H186" s="44"/>
      <c r="I186" s="44"/>
      <c r="J186" s="103" t="str">
        <f aca="false">IF($C186="","",ROUND(IFERROR(INDEX(期初余额!$I$4:$I$43,MATCH($C186,期初余额!$H$4:$H$43,0)),0)+SUMIFS($H$4:$H186,$C$4:$C186,$C186)-SUMIFS($I$4:$I186,$C$4:$C186,$C186),2))</f>
        <v/>
      </c>
      <c r="K186" s="104" t="str">
        <f aca="false">IF($T186&lt;&gt;"",$T186,IF($C186="","",IF(AND(N($I186)&gt;0,$G186&lt;&gt;""),IF(IFERROR(INDEX(科目表!$U$4:$U$123,MATCH($G186,科目表!$M$4:$M$123,0)),"")&amp;""="","管理费用",INDEX(科目表!$U$4:$U$123,MATCH($G186,科目表!$M$4:$M$123,0))),IF(N($H186)&gt;0,IF(IFERROR(INDEX(自动规则!$C$4:$C$143,MATCH($F186,自动规则!$B$4:$B$143,0)),"")&amp;""="","其他应收款",INDEX(自动规则!$C$4:$C$143,MATCH($F186,自动规则!$B$4:$B$143,0))),IF(IFERROR(INDEX(自动规则!$D$4:$D$143,MATCH($F186,自动规则!$B$4:$B$143,0)),"")&amp;""="","其他应付款",INDEX(自动规则!$D$4:$D$143,MATCH($F186,自动规则!$B$4:$B$143,0)))))))</f>
        <v/>
      </c>
      <c r="L186" s="43"/>
      <c r="M186" s="105" t="str">
        <f aca="false">IF($C186="","",IF(IFERROR(INDEX(科目表!$T$4:$T$123,MATCH($C186,科目表!$K$4:$K$123,0)),"")&amp;""="","其他货币资金",INDEX(科目表!$T$4:$T$123,MATCH($C186,科目表!$K$4:$K$123,0))))</f>
        <v/>
      </c>
      <c r="N186" s="39" t="str">
        <f aca="false">IF(OR($C186="",ROUND(N($H186)+N($I186),2)=0),"",IF(N($H186)&gt;0,$M186,$K186))</f>
        <v/>
      </c>
      <c r="O186" s="41" t="str">
        <f aca="false">IF($N186="","",ROUND(N($H186)+N($I186),2))</f>
        <v/>
      </c>
      <c r="P186" s="41" t="str">
        <f aca="false">IF($N186="","",0)</f>
        <v/>
      </c>
      <c r="Q186" s="39" t="str">
        <f aca="false">IF($N186="","",IF(N($H186)&gt;0,$K186,$M186))</f>
        <v/>
      </c>
      <c r="R186" s="41" t="str">
        <f aca="false">IF($Q186="","",0)</f>
        <v/>
      </c>
      <c r="S186" s="41" t="str">
        <f aca="false">IF($Q186="","",ROUND(N($H186)+N($I186),2))</f>
        <v/>
      </c>
      <c r="T186" s="42"/>
      <c r="U186" s="44"/>
      <c r="V186" s="41" t="str">
        <f aca="false">IF($B186="","",TEXT($B186,"yyyy年m月"))</f>
        <v/>
      </c>
      <c r="W186" s="42"/>
      <c r="X186" s="42"/>
      <c r="Y186" s="9"/>
    </row>
    <row r="187" customFormat="false" ht="18" hidden="false" customHeight="true" outlineLevel="0" collapsed="false">
      <c r="A187" s="9" t="str">
        <f aca="false">IF($C187="","",ROW()-3)</f>
        <v/>
      </c>
      <c r="B187" s="76"/>
      <c r="C187" s="74"/>
      <c r="D187" s="43"/>
      <c r="E187" s="42"/>
      <c r="F187" s="74"/>
      <c r="G187" s="74"/>
      <c r="H187" s="44"/>
      <c r="I187" s="44"/>
      <c r="J187" s="103" t="str">
        <f aca="false">IF($C187="","",ROUND(IFERROR(INDEX(期初余额!$I$4:$I$43,MATCH($C187,期初余额!$H$4:$H$43,0)),0)+SUMIFS($H$4:$H187,$C$4:$C187,$C187)-SUMIFS($I$4:$I187,$C$4:$C187,$C187),2))</f>
        <v/>
      </c>
      <c r="K187" s="104" t="str">
        <f aca="false">IF($T187&lt;&gt;"",$T187,IF($C187="","",IF(AND(N($I187)&gt;0,$G187&lt;&gt;""),IF(IFERROR(INDEX(科目表!$U$4:$U$123,MATCH($G187,科目表!$M$4:$M$123,0)),"")&amp;""="","管理费用",INDEX(科目表!$U$4:$U$123,MATCH($G187,科目表!$M$4:$M$123,0))),IF(N($H187)&gt;0,IF(IFERROR(INDEX(自动规则!$C$4:$C$143,MATCH($F187,自动规则!$B$4:$B$143,0)),"")&amp;""="","其他应收款",INDEX(自动规则!$C$4:$C$143,MATCH($F187,自动规则!$B$4:$B$143,0))),IF(IFERROR(INDEX(自动规则!$D$4:$D$143,MATCH($F187,自动规则!$B$4:$B$143,0)),"")&amp;""="","其他应付款",INDEX(自动规则!$D$4:$D$143,MATCH($F187,自动规则!$B$4:$B$143,0)))))))</f>
        <v/>
      </c>
      <c r="L187" s="43"/>
      <c r="M187" s="105" t="str">
        <f aca="false">IF($C187="","",IF(IFERROR(INDEX(科目表!$T$4:$T$123,MATCH($C187,科目表!$K$4:$K$123,0)),"")&amp;""="","其他货币资金",INDEX(科目表!$T$4:$T$123,MATCH($C187,科目表!$K$4:$K$123,0))))</f>
        <v/>
      </c>
      <c r="N187" s="39" t="str">
        <f aca="false">IF(OR($C187="",ROUND(N($H187)+N($I187),2)=0),"",IF(N($H187)&gt;0,$M187,$K187))</f>
        <v/>
      </c>
      <c r="O187" s="41" t="str">
        <f aca="false">IF($N187="","",ROUND(N($H187)+N($I187),2))</f>
        <v/>
      </c>
      <c r="P187" s="41" t="str">
        <f aca="false">IF($N187="","",0)</f>
        <v/>
      </c>
      <c r="Q187" s="39" t="str">
        <f aca="false">IF($N187="","",IF(N($H187)&gt;0,$K187,$M187))</f>
        <v/>
      </c>
      <c r="R187" s="41" t="str">
        <f aca="false">IF($Q187="","",0)</f>
        <v/>
      </c>
      <c r="S187" s="41" t="str">
        <f aca="false">IF($Q187="","",ROUND(N($H187)+N($I187),2))</f>
        <v/>
      </c>
      <c r="T187" s="42"/>
      <c r="U187" s="44"/>
      <c r="V187" s="41" t="str">
        <f aca="false">IF($B187="","",TEXT($B187,"yyyy年m月"))</f>
        <v/>
      </c>
      <c r="W187" s="42"/>
      <c r="X187" s="42"/>
      <c r="Y187" s="9"/>
    </row>
    <row r="188" customFormat="false" ht="18" hidden="false" customHeight="true" outlineLevel="0" collapsed="false">
      <c r="A188" s="9" t="str">
        <f aca="false">IF($C188="","",ROW()-3)</f>
        <v/>
      </c>
      <c r="B188" s="76"/>
      <c r="C188" s="74"/>
      <c r="D188" s="43"/>
      <c r="E188" s="42"/>
      <c r="F188" s="74"/>
      <c r="G188" s="74"/>
      <c r="H188" s="44"/>
      <c r="I188" s="44"/>
      <c r="J188" s="103" t="str">
        <f aca="false">IF($C188="","",ROUND(IFERROR(INDEX(期初余额!$I$4:$I$43,MATCH($C188,期初余额!$H$4:$H$43,0)),0)+SUMIFS($H$4:$H188,$C$4:$C188,$C188)-SUMIFS($I$4:$I188,$C$4:$C188,$C188),2))</f>
        <v/>
      </c>
      <c r="K188" s="104" t="str">
        <f aca="false">IF($T188&lt;&gt;"",$T188,IF($C188="","",IF(AND(N($I188)&gt;0,$G188&lt;&gt;""),IF(IFERROR(INDEX(科目表!$U$4:$U$123,MATCH($G188,科目表!$M$4:$M$123,0)),"")&amp;""="","管理费用",INDEX(科目表!$U$4:$U$123,MATCH($G188,科目表!$M$4:$M$123,0))),IF(N($H188)&gt;0,IF(IFERROR(INDEX(自动规则!$C$4:$C$143,MATCH($F188,自动规则!$B$4:$B$143,0)),"")&amp;""="","其他应收款",INDEX(自动规则!$C$4:$C$143,MATCH($F188,自动规则!$B$4:$B$143,0))),IF(IFERROR(INDEX(自动规则!$D$4:$D$143,MATCH($F188,自动规则!$B$4:$B$143,0)),"")&amp;""="","其他应付款",INDEX(自动规则!$D$4:$D$143,MATCH($F188,自动规则!$B$4:$B$143,0)))))))</f>
        <v/>
      </c>
      <c r="L188" s="43"/>
      <c r="M188" s="105" t="str">
        <f aca="false">IF($C188="","",IF(IFERROR(INDEX(科目表!$T$4:$T$123,MATCH($C188,科目表!$K$4:$K$123,0)),"")&amp;""="","其他货币资金",INDEX(科目表!$T$4:$T$123,MATCH($C188,科目表!$K$4:$K$123,0))))</f>
        <v/>
      </c>
      <c r="N188" s="39" t="str">
        <f aca="false">IF(OR($C188="",ROUND(N($H188)+N($I188),2)=0),"",IF(N($H188)&gt;0,$M188,$K188))</f>
        <v/>
      </c>
      <c r="O188" s="41" t="str">
        <f aca="false">IF($N188="","",ROUND(N($H188)+N($I188),2))</f>
        <v/>
      </c>
      <c r="P188" s="41" t="str">
        <f aca="false">IF($N188="","",0)</f>
        <v/>
      </c>
      <c r="Q188" s="39" t="str">
        <f aca="false">IF($N188="","",IF(N($H188)&gt;0,$K188,$M188))</f>
        <v/>
      </c>
      <c r="R188" s="41" t="str">
        <f aca="false">IF($Q188="","",0)</f>
        <v/>
      </c>
      <c r="S188" s="41" t="str">
        <f aca="false">IF($Q188="","",ROUND(N($H188)+N($I188),2))</f>
        <v/>
      </c>
      <c r="T188" s="42"/>
      <c r="U188" s="44"/>
      <c r="V188" s="41" t="str">
        <f aca="false">IF($B188="","",TEXT($B188,"yyyy年m月"))</f>
        <v/>
      </c>
      <c r="W188" s="42"/>
      <c r="X188" s="42"/>
      <c r="Y188" s="9"/>
    </row>
    <row r="189" customFormat="false" ht="18" hidden="false" customHeight="true" outlineLevel="0" collapsed="false">
      <c r="A189" s="9" t="str">
        <f aca="false">IF($C189="","",ROW()-3)</f>
        <v/>
      </c>
      <c r="B189" s="76"/>
      <c r="C189" s="74"/>
      <c r="D189" s="43"/>
      <c r="E189" s="42"/>
      <c r="F189" s="74"/>
      <c r="G189" s="74"/>
      <c r="H189" s="44"/>
      <c r="I189" s="44"/>
      <c r="J189" s="103" t="str">
        <f aca="false">IF($C189="","",ROUND(IFERROR(INDEX(期初余额!$I$4:$I$43,MATCH($C189,期初余额!$H$4:$H$43,0)),0)+SUMIFS($H$4:$H189,$C$4:$C189,$C189)-SUMIFS($I$4:$I189,$C$4:$C189,$C189),2))</f>
        <v/>
      </c>
      <c r="K189" s="104" t="str">
        <f aca="false">IF($T189&lt;&gt;"",$T189,IF($C189="","",IF(AND(N($I189)&gt;0,$G189&lt;&gt;""),IF(IFERROR(INDEX(科目表!$U$4:$U$123,MATCH($G189,科目表!$M$4:$M$123,0)),"")&amp;""="","管理费用",INDEX(科目表!$U$4:$U$123,MATCH($G189,科目表!$M$4:$M$123,0))),IF(N($H189)&gt;0,IF(IFERROR(INDEX(自动规则!$C$4:$C$143,MATCH($F189,自动规则!$B$4:$B$143,0)),"")&amp;""="","其他应收款",INDEX(自动规则!$C$4:$C$143,MATCH($F189,自动规则!$B$4:$B$143,0))),IF(IFERROR(INDEX(自动规则!$D$4:$D$143,MATCH($F189,自动规则!$B$4:$B$143,0)),"")&amp;""="","其他应付款",INDEX(自动规则!$D$4:$D$143,MATCH($F189,自动规则!$B$4:$B$143,0)))))))</f>
        <v/>
      </c>
      <c r="L189" s="43"/>
      <c r="M189" s="105" t="str">
        <f aca="false">IF($C189="","",IF(IFERROR(INDEX(科目表!$T$4:$T$123,MATCH($C189,科目表!$K$4:$K$123,0)),"")&amp;""="","其他货币资金",INDEX(科目表!$T$4:$T$123,MATCH($C189,科目表!$K$4:$K$123,0))))</f>
        <v/>
      </c>
      <c r="N189" s="39" t="str">
        <f aca="false">IF(OR($C189="",ROUND(N($H189)+N($I189),2)=0),"",IF(N($H189)&gt;0,$M189,$K189))</f>
        <v/>
      </c>
      <c r="O189" s="41" t="str">
        <f aca="false">IF($N189="","",ROUND(N($H189)+N($I189),2))</f>
        <v/>
      </c>
      <c r="P189" s="41" t="str">
        <f aca="false">IF($N189="","",0)</f>
        <v/>
      </c>
      <c r="Q189" s="39" t="str">
        <f aca="false">IF($N189="","",IF(N($H189)&gt;0,$K189,$M189))</f>
        <v/>
      </c>
      <c r="R189" s="41" t="str">
        <f aca="false">IF($Q189="","",0)</f>
        <v/>
      </c>
      <c r="S189" s="41" t="str">
        <f aca="false">IF($Q189="","",ROUND(N($H189)+N($I189),2))</f>
        <v/>
      </c>
      <c r="T189" s="42"/>
      <c r="U189" s="44"/>
      <c r="V189" s="41" t="str">
        <f aca="false">IF($B189="","",TEXT($B189,"yyyy年m月"))</f>
        <v/>
      </c>
      <c r="W189" s="42"/>
      <c r="X189" s="42"/>
      <c r="Y189" s="9"/>
    </row>
    <row r="190" customFormat="false" ht="18" hidden="false" customHeight="true" outlineLevel="0" collapsed="false">
      <c r="A190" s="9" t="str">
        <f aca="false">IF($C190="","",ROW()-3)</f>
        <v/>
      </c>
      <c r="B190" s="76"/>
      <c r="C190" s="74"/>
      <c r="D190" s="43"/>
      <c r="E190" s="42"/>
      <c r="F190" s="74"/>
      <c r="G190" s="74"/>
      <c r="H190" s="44"/>
      <c r="I190" s="44"/>
      <c r="J190" s="103" t="str">
        <f aca="false">IF($C190="","",ROUND(IFERROR(INDEX(期初余额!$I$4:$I$43,MATCH($C190,期初余额!$H$4:$H$43,0)),0)+SUMIFS($H$4:$H190,$C$4:$C190,$C190)-SUMIFS($I$4:$I190,$C$4:$C190,$C190),2))</f>
        <v/>
      </c>
      <c r="K190" s="104" t="str">
        <f aca="false">IF($T190&lt;&gt;"",$T190,IF($C190="","",IF(AND(N($I190)&gt;0,$G190&lt;&gt;""),IF(IFERROR(INDEX(科目表!$U$4:$U$123,MATCH($G190,科目表!$M$4:$M$123,0)),"")&amp;""="","管理费用",INDEX(科目表!$U$4:$U$123,MATCH($G190,科目表!$M$4:$M$123,0))),IF(N($H190)&gt;0,IF(IFERROR(INDEX(自动规则!$C$4:$C$143,MATCH($F190,自动规则!$B$4:$B$143,0)),"")&amp;""="","其他应收款",INDEX(自动规则!$C$4:$C$143,MATCH($F190,自动规则!$B$4:$B$143,0))),IF(IFERROR(INDEX(自动规则!$D$4:$D$143,MATCH($F190,自动规则!$B$4:$B$143,0)),"")&amp;""="","其他应付款",INDEX(自动规则!$D$4:$D$143,MATCH($F190,自动规则!$B$4:$B$143,0)))))))</f>
        <v/>
      </c>
      <c r="L190" s="43"/>
      <c r="M190" s="105" t="str">
        <f aca="false">IF($C190="","",IF(IFERROR(INDEX(科目表!$T$4:$T$123,MATCH($C190,科目表!$K$4:$K$123,0)),"")&amp;""="","其他货币资金",INDEX(科目表!$T$4:$T$123,MATCH($C190,科目表!$K$4:$K$123,0))))</f>
        <v/>
      </c>
      <c r="N190" s="39" t="str">
        <f aca="false">IF(OR($C190="",ROUND(N($H190)+N($I190),2)=0),"",IF(N($H190)&gt;0,$M190,$K190))</f>
        <v/>
      </c>
      <c r="O190" s="41" t="str">
        <f aca="false">IF($N190="","",ROUND(N($H190)+N($I190),2))</f>
        <v/>
      </c>
      <c r="P190" s="41" t="str">
        <f aca="false">IF($N190="","",0)</f>
        <v/>
      </c>
      <c r="Q190" s="39" t="str">
        <f aca="false">IF($N190="","",IF(N($H190)&gt;0,$K190,$M190))</f>
        <v/>
      </c>
      <c r="R190" s="41" t="str">
        <f aca="false">IF($Q190="","",0)</f>
        <v/>
      </c>
      <c r="S190" s="41" t="str">
        <f aca="false">IF($Q190="","",ROUND(N($H190)+N($I190),2))</f>
        <v/>
      </c>
      <c r="T190" s="42"/>
      <c r="U190" s="44"/>
      <c r="V190" s="41" t="str">
        <f aca="false">IF($B190="","",TEXT($B190,"yyyy年m月"))</f>
        <v/>
      </c>
      <c r="W190" s="42"/>
      <c r="X190" s="42"/>
      <c r="Y190" s="9"/>
    </row>
    <row r="191" customFormat="false" ht="18" hidden="false" customHeight="true" outlineLevel="0" collapsed="false">
      <c r="A191" s="9" t="str">
        <f aca="false">IF($C191="","",ROW()-3)</f>
        <v/>
      </c>
      <c r="B191" s="76"/>
      <c r="C191" s="74"/>
      <c r="D191" s="43"/>
      <c r="E191" s="42"/>
      <c r="F191" s="74"/>
      <c r="G191" s="74"/>
      <c r="H191" s="44"/>
      <c r="I191" s="44"/>
      <c r="J191" s="103" t="str">
        <f aca="false">IF($C191="","",ROUND(IFERROR(INDEX(期初余额!$I$4:$I$43,MATCH($C191,期初余额!$H$4:$H$43,0)),0)+SUMIFS($H$4:$H191,$C$4:$C191,$C191)-SUMIFS($I$4:$I191,$C$4:$C191,$C191),2))</f>
        <v/>
      </c>
      <c r="K191" s="104" t="str">
        <f aca="false">IF($T191&lt;&gt;"",$T191,IF($C191="","",IF(AND(N($I191)&gt;0,$G191&lt;&gt;""),IF(IFERROR(INDEX(科目表!$U$4:$U$123,MATCH($G191,科目表!$M$4:$M$123,0)),"")&amp;""="","管理费用",INDEX(科目表!$U$4:$U$123,MATCH($G191,科目表!$M$4:$M$123,0))),IF(N($H191)&gt;0,IF(IFERROR(INDEX(自动规则!$C$4:$C$143,MATCH($F191,自动规则!$B$4:$B$143,0)),"")&amp;""="","其他应收款",INDEX(自动规则!$C$4:$C$143,MATCH($F191,自动规则!$B$4:$B$143,0))),IF(IFERROR(INDEX(自动规则!$D$4:$D$143,MATCH($F191,自动规则!$B$4:$B$143,0)),"")&amp;""="","其他应付款",INDEX(自动规则!$D$4:$D$143,MATCH($F191,自动规则!$B$4:$B$143,0)))))))</f>
        <v/>
      </c>
      <c r="L191" s="43"/>
      <c r="M191" s="105" t="str">
        <f aca="false">IF($C191="","",IF(IFERROR(INDEX(科目表!$T$4:$T$123,MATCH($C191,科目表!$K$4:$K$123,0)),"")&amp;""="","其他货币资金",INDEX(科目表!$T$4:$T$123,MATCH($C191,科目表!$K$4:$K$123,0))))</f>
        <v/>
      </c>
      <c r="N191" s="39" t="str">
        <f aca="false">IF(OR($C191="",ROUND(N($H191)+N($I191),2)=0),"",IF(N($H191)&gt;0,$M191,$K191))</f>
        <v/>
      </c>
      <c r="O191" s="41" t="str">
        <f aca="false">IF($N191="","",ROUND(N($H191)+N($I191),2))</f>
        <v/>
      </c>
      <c r="P191" s="41" t="str">
        <f aca="false">IF($N191="","",0)</f>
        <v/>
      </c>
      <c r="Q191" s="39" t="str">
        <f aca="false">IF($N191="","",IF(N($H191)&gt;0,$K191,$M191))</f>
        <v/>
      </c>
      <c r="R191" s="41" t="str">
        <f aca="false">IF($Q191="","",0)</f>
        <v/>
      </c>
      <c r="S191" s="41" t="str">
        <f aca="false">IF($Q191="","",ROUND(N($H191)+N($I191),2))</f>
        <v/>
      </c>
      <c r="T191" s="42"/>
      <c r="U191" s="44"/>
      <c r="V191" s="41" t="str">
        <f aca="false">IF($B191="","",TEXT($B191,"yyyy年m月"))</f>
        <v/>
      </c>
      <c r="W191" s="42"/>
      <c r="X191" s="42"/>
      <c r="Y191" s="9"/>
    </row>
    <row r="192" customFormat="false" ht="18" hidden="false" customHeight="true" outlineLevel="0" collapsed="false">
      <c r="A192" s="9" t="str">
        <f aca="false">IF($C192="","",ROW()-3)</f>
        <v/>
      </c>
      <c r="B192" s="76"/>
      <c r="C192" s="74"/>
      <c r="D192" s="43"/>
      <c r="E192" s="42"/>
      <c r="F192" s="74"/>
      <c r="G192" s="74"/>
      <c r="H192" s="44"/>
      <c r="I192" s="44"/>
      <c r="J192" s="103" t="str">
        <f aca="false">IF($C192="","",ROUND(IFERROR(INDEX(期初余额!$I$4:$I$43,MATCH($C192,期初余额!$H$4:$H$43,0)),0)+SUMIFS($H$4:$H192,$C$4:$C192,$C192)-SUMIFS($I$4:$I192,$C$4:$C192,$C192),2))</f>
        <v/>
      </c>
      <c r="K192" s="104" t="str">
        <f aca="false">IF($T192&lt;&gt;"",$T192,IF($C192="","",IF(AND(N($I192)&gt;0,$G192&lt;&gt;""),IF(IFERROR(INDEX(科目表!$U$4:$U$123,MATCH($G192,科目表!$M$4:$M$123,0)),"")&amp;""="","管理费用",INDEX(科目表!$U$4:$U$123,MATCH($G192,科目表!$M$4:$M$123,0))),IF(N($H192)&gt;0,IF(IFERROR(INDEX(自动规则!$C$4:$C$143,MATCH($F192,自动规则!$B$4:$B$143,0)),"")&amp;""="","其他应收款",INDEX(自动规则!$C$4:$C$143,MATCH($F192,自动规则!$B$4:$B$143,0))),IF(IFERROR(INDEX(自动规则!$D$4:$D$143,MATCH($F192,自动规则!$B$4:$B$143,0)),"")&amp;""="","其他应付款",INDEX(自动规则!$D$4:$D$143,MATCH($F192,自动规则!$B$4:$B$143,0)))))))</f>
        <v/>
      </c>
      <c r="L192" s="43"/>
      <c r="M192" s="105" t="str">
        <f aca="false">IF($C192="","",IF(IFERROR(INDEX(科目表!$T$4:$T$123,MATCH($C192,科目表!$K$4:$K$123,0)),"")&amp;""="","其他货币资金",INDEX(科目表!$T$4:$T$123,MATCH($C192,科目表!$K$4:$K$123,0))))</f>
        <v/>
      </c>
      <c r="N192" s="39" t="str">
        <f aca="false">IF(OR($C192="",ROUND(N($H192)+N($I192),2)=0),"",IF(N($H192)&gt;0,$M192,$K192))</f>
        <v/>
      </c>
      <c r="O192" s="41" t="str">
        <f aca="false">IF($N192="","",ROUND(N($H192)+N($I192),2))</f>
        <v/>
      </c>
      <c r="P192" s="41" t="str">
        <f aca="false">IF($N192="","",0)</f>
        <v/>
      </c>
      <c r="Q192" s="39" t="str">
        <f aca="false">IF($N192="","",IF(N($H192)&gt;0,$K192,$M192))</f>
        <v/>
      </c>
      <c r="R192" s="41" t="str">
        <f aca="false">IF($Q192="","",0)</f>
        <v/>
      </c>
      <c r="S192" s="41" t="str">
        <f aca="false">IF($Q192="","",ROUND(N($H192)+N($I192),2))</f>
        <v/>
      </c>
      <c r="T192" s="42"/>
      <c r="U192" s="44"/>
      <c r="V192" s="41" t="str">
        <f aca="false">IF($B192="","",TEXT($B192,"yyyy年m月"))</f>
        <v/>
      </c>
      <c r="W192" s="42"/>
      <c r="X192" s="42"/>
      <c r="Y192" s="9"/>
    </row>
    <row r="193" customFormat="false" ht="18" hidden="false" customHeight="true" outlineLevel="0" collapsed="false">
      <c r="A193" s="9" t="str">
        <f aca="false">IF($C193="","",ROW()-3)</f>
        <v/>
      </c>
      <c r="B193" s="76"/>
      <c r="C193" s="74"/>
      <c r="D193" s="43"/>
      <c r="E193" s="42"/>
      <c r="F193" s="74"/>
      <c r="G193" s="74"/>
      <c r="H193" s="44"/>
      <c r="I193" s="44"/>
      <c r="J193" s="103" t="str">
        <f aca="false">IF($C193="","",ROUND(IFERROR(INDEX(期初余额!$I$4:$I$43,MATCH($C193,期初余额!$H$4:$H$43,0)),0)+SUMIFS($H$4:$H193,$C$4:$C193,$C193)-SUMIFS($I$4:$I193,$C$4:$C193,$C193),2))</f>
        <v/>
      </c>
      <c r="K193" s="104" t="str">
        <f aca="false">IF($T193&lt;&gt;"",$T193,IF($C193="","",IF(AND(N($I193)&gt;0,$G193&lt;&gt;""),IF(IFERROR(INDEX(科目表!$U$4:$U$123,MATCH($G193,科目表!$M$4:$M$123,0)),"")&amp;""="","管理费用",INDEX(科目表!$U$4:$U$123,MATCH($G193,科目表!$M$4:$M$123,0))),IF(N($H193)&gt;0,IF(IFERROR(INDEX(自动规则!$C$4:$C$143,MATCH($F193,自动规则!$B$4:$B$143,0)),"")&amp;""="","其他应收款",INDEX(自动规则!$C$4:$C$143,MATCH($F193,自动规则!$B$4:$B$143,0))),IF(IFERROR(INDEX(自动规则!$D$4:$D$143,MATCH($F193,自动规则!$B$4:$B$143,0)),"")&amp;""="","其他应付款",INDEX(自动规则!$D$4:$D$143,MATCH($F193,自动规则!$B$4:$B$143,0)))))))</f>
        <v/>
      </c>
      <c r="L193" s="43"/>
      <c r="M193" s="105" t="str">
        <f aca="false">IF($C193="","",IF(IFERROR(INDEX(科目表!$T$4:$T$123,MATCH($C193,科目表!$K$4:$K$123,0)),"")&amp;""="","其他货币资金",INDEX(科目表!$T$4:$T$123,MATCH($C193,科目表!$K$4:$K$123,0))))</f>
        <v/>
      </c>
      <c r="N193" s="39" t="str">
        <f aca="false">IF(OR($C193="",ROUND(N($H193)+N($I193),2)=0),"",IF(N($H193)&gt;0,$M193,$K193))</f>
        <v/>
      </c>
      <c r="O193" s="41" t="str">
        <f aca="false">IF($N193="","",ROUND(N($H193)+N($I193),2))</f>
        <v/>
      </c>
      <c r="P193" s="41" t="str">
        <f aca="false">IF($N193="","",0)</f>
        <v/>
      </c>
      <c r="Q193" s="39" t="str">
        <f aca="false">IF($N193="","",IF(N($H193)&gt;0,$K193,$M193))</f>
        <v/>
      </c>
      <c r="R193" s="41" t="str">
        <f aca="false">IF($Q193="","",0)</f>
        <v/>
      </c>
      <c r="S193" s="41" t="str">
        <f aca="false">IF($Q193="","",ROUND(N($H193)+N($I193),2))</f>
        <v/>
      </c>
      <c r="T193" s="42"/>
      <c r="U193" s="44"/>
      <c r="V193" s="41" t="str">
        <f aca="false">IF($B193="","",TEXT($B193,"yyyy年m月"))</f>
        <v/>
      </c>
      <c r="W193" s="42"/>
      <c r="X193" s="42"/>
      <c r="Y193" s="9"/>
    </row>
    <row r="194" customFormat="false" ht="18" hidden="false" customHeight="true" outlineLevel="0" collapsed="false">
      <c r="A194" s="9" t="str">
        <f aca="false">IF($C194="","",ROW()-3)</f>
        <v/>
      </c>
      <c r="B194" s="76"/>
      <c r="C194" s="74"/>
      <c r="D194" s="43"/>
      <c r="E194" s="42"/>
      <c r="F194" s="74"/>
      <c r="G194" s="74"/>
      <c r="H194" s="44"/>
      <c r="I194" s="44"/>
      <c r="J194" s="103" t="str">
        <f aca="false">IF($C194="","",ROUND(IFERROR(INDEX(期初余额!$I$4:$I$43,MATCH($C194,期初余额!$H$4:$H$43,0)),0)+SUMIFS($H$4:$H194,$C$4:$C194,$C194)-SUMIFS($I$4:$I194,$C$4:$C194,$C194),2))</f>
        <v/>
      </c>
      <c r="K194" s="104" t="str">
        <f aca="false">IF($T194&lt;&gt;"",$T194,IF($C194="","",IF(AND(N($I194)&gt;0,$G194&lt;&gt;""),IF(IFERROR(INDEX(科目表!$U$4:$U$123,MATCH($G194,科目表!$M$4:$M$123,0)),"")&amp;""="","管理费用",INDEX(科目表!$U$4:$U$123,MATCH($G194,科目表!$M$4:$M$123,0))),IF(N($H194)&gt;0,IF(IFERROR(INDEX(自动规则!$C$4:$C$143,MATCH($F194,自动规则!$B$4:$B$143,0)),"")&amp;""="","其他应收款",INDEX(自动规则!$C$4:$C$143,MATCH($F194,自动规则!$B$4:$B$143,0))),IF(IFERROR(INDEX(自动规则!$D$4:$D$143,MATCH($F194,自动规则!$B$4:$B$143,0)),"")&amp;""="","其他应付款",INDEX(自动规则!$D$4:$D$143,MATCH($F194,自动规则!$B$4:$B$143,0)))))))</f>
        <v/>
      </c>
      <c r="L194" s="43"/>
      <c r="M194" s="105" t="str">
        <f aca="false">IF($C194="","",IF(IFERROR(INDEX(科目表!$T$4:$T$123,MATCH($C194,科目表!$K$4:$K$123,0)),"")&amp;""="","其他货币资金",INDEX(科目表!$T$4:$T$123,MATCH($C194,科目表!$K$4:$K$123,0))))</f>
        <v/>
      </c>
      <c r="N194" s="39" t="str">
        <f aca="false">IF(OR($C194="",ROUND(N($H194)+N($I194),2)=0),"",IF(N($H194)&gt;0,$M194,$K194))</f>
        <v/>
      </c>
      <c r="O194" s="41" t="str">
        <f aca="false">IF($N194="","",ROUND(N($H194)+N($I194),2))</f>
        <v/>
      </c>
      <c r="P194" s="41" t="str">
        <f aca="false">IF($N194="","",0)</f>
        <v/>
      </c>
      <c r="Q194" s="39" t="str">
        <f aca="false">IF($N194="","",IF(N($H194)&gt;0,$K194,$M194))</f>
        <v/>
      </c>
      <c r="R194" s="41" t="str">
        <f aca="false">IF($Q194="","",0)</f>
        <v/>
      </c>
      <c r="S194" s="41" t="str">
        <f aca="false">IF($Q194="","",ROUND(N($H194)+N($I194),2))</f>
        <v/>
      </c>
      <c r="T194" s="42"/>
      <c r="U194" s="44"/>
      <c r="V194" s="41" t="str">
        <f aca="false">IF($B194="","",TEXT($B194,"yyyy年m月"))</f>
        <v/>
      </c>
      <c r="W194" s="42"/>
      <c r="X194" s="42"/>
      <c r="Y194" s="9"/>
    </row>
    <row r="195" customFormat="false" ht="18" hidden="false" customHeight="true" outlineLevel="0" collapsed="false">
      <c r="A195" s="9" t="str">
        <f aca="false">IF($C195="","",ROW()-3)</f>
        <v/>
      </c>
      <c r="B195" s="76"/>
      <c r="C195" s="74"/>
      <c r="D195" s="43"/>
      <c r="E195" s="42"/>
      <c r="F195" s="74"/>
      <c r="G195" s="74"/>
      <c r="H195" s="44"/>
      <c r="I195" s="44"/>
      <c r="J195" s="103" t="str">
        <f aca="false">IF($C195="","",ROUND(IFERROR(INDEX(期初余额!$I$4:$I$43,MATCH($C195,期初余额!$H$4:$H$43,0)),0)+SUMIFS($H$4:$H195,$C$4:$C195,$C195)-SUMIFS($I$4:$I195,$C$4:$C195,$C195),2))</f>
        <v/>
      </c>
      <c r="K195" s="104" t="str">
        <f aca="false">IF($T195&lt;&gt;"",$T195,IF($C195="","",IF(AND(N($I195)&gt;0,$G195&lt;&gt;""),IF(IFERROR(INDEX(科目表!$U$4:$U$123,MATCH($G195,科目表!$M$4:$M$123,0)),"")&amp;""="","管理费用",INDEX(科目表!$U$4:$U$123,MATCH($G195,科目表!$M$4:$M$123,0))),IF(N($H195)&gt;0,IF(IFERROR(INDEX(自动规则!$C$4:$C$143,MATCH($F195,自动规则!$B$4:$B$143,0)),"")&amp;""="","其他应收款",INDEX(自动规则!$C$4:$C$143,MATCH($F195,自动规则!$B$4:$B$143,0))),IF(IFERROR(INDEX(自动规则!$D$4:$D$143,MATCH($F195,自动规则!$B$4:$B$143,0)),"")&amp;""="","其他应付款",INDEX(自动规则!$D$4:$D$143,MATCH($F195,自动规则!$B$4:$B$143,0)))))))</f>
        <v/>
      </c>
      <c r="L195" s="43"/>
      <c r="M195" s="105" t="str">
        <f aca="false">IF($C195="","",IF(IFERROR(INDEX(科目表!$T$4:$T$123,MATCH($C195,科目表!$K$4:$K$123,0)),"")&amp;""="","其他货币资金",INDEX(科目表!$T$4:$T$123,MATCH($C195,科目表!$K$4:$K$123,0))))</f>
        <v/>
      </c>
      <c r="N195" s="39" t="str">
        <f aca="false">IF(OR($C195="",ROUND(N($H195)+N($I195),2)=0),"",IF(N($H195)&gt;0,$M195,$K195))</f>
        <v/>
      </c>
      <c r="O195" s="41" t="str">
        <f aca="false">IF($N195="","",ROUND(N($H195)+N($I195),2))</f>
        <v/>
      </c>
      <c r="P195" s="41" t="str">
        <f aca="false">IF($N195="","",0)</f>
        <v/>
      </c>
      <c r="Q195" s="39" t="str">
        <f aca="false">IF($N195="","",IF(N($H195)&gt;0,$K195,$M195))</f>
        <v/>
      </c>
      <c r="R195" s="41" t="str">
        <f aca="false">IF($Q195="","",0)</f>
        <v/>
      </c>
      <c r="S195" s="41" t="str">
        <f aca="false">IF($Q195="","",ROUND(N($H195)+N($I195),2))</f>
        <v/>
      </c>
      <c r="T195" s="42"/>
      <c r="U195" s="44"/>
      <c r="V195" s="41" t="str">
        <f aca="false">IF($B195="","",TEXT($B195,"yyyy年m月"))</f>
        <v/>
      </c>
      <c r="W195" s="42"/>
      <c r="X195" s="42"/>
      <c r="Y195" s="9"/>
    </row>
    <row r="196" customFormat="false" ht="18" hidden="false" customHeight="true" outlineLevel="0" collapsed="false">
      <c r="A196" s="9" t="str">
        <f aca="false">IF($C196="","",ROW()-3)</f>
        <v/>
      </c>
      <c r="B196" s="76"/>
      <c r="C196" s="74"/>
      <c r="D196" s="43"/>
      <c r="E196" s="42"/>
      <c r="F196" s="74"/>
      <c r="G196" s="74"/>
      <c r="H196" s="44"/>
      <c r="I196" s="44"/>
      <c r="J196" s="103" t="str">
        <f aca="false">IF($C196="","",ROUND(IFERROR(INDEX(期初余额!$I$4:$I$43,MATCH($C196,期初余额!$H$4:$H$43,0)),0)+SUMIFS($H$4:$H196,$C$4:$C196,$C196)-SUMIFS($I$4:$I196,$C$4:$C196,$C196),2))</f>
        <v/>
      </c>
      <c r="K196" s="104" t="str">
        <f aca="false">IF($T196&lt;&gt;"",$T196,IF($C196="","",IF(AND(N($I196)&gt;0,$G196&lt;&gt;""),IF(IFERROR(INDEX(科目表!$U$4:$U$123,MATCH($G196,科目表!$M$4:$M$123,0)),"")&amp;""="","管理费用",INDEX(科目表!$U$4:$U$123,MATCH($G196,科目表!$M$4:$M$123,0))),IF(N($H196)&gt;0,IF(IFERROR(INDEX(自动规则!$C$4:$C$143,MATCH($F196,自动规则!$B$4:$B$143,0)),"")&amp;""="","其他应收款",INDEX(自动规则!$C$4:$C$143,MATCH($F196,自动规则!$B$4:$B$143,0))),IF(IFERROR(INDEX(自动规则!$D$4:$D$143,MATCH($F196,自动规则!$B$4:$B$143,0)),"")&amp;""="","其他应付款",INDEX(自动规则!$D$4:$D$143,MATCH($F196,自动规则!$B$4:$B$143,0)))))))</f>
        <v/>
      </c>
      <c r="L196" s="43"/>
      <c r="M196" s="105" t="str">
        <f aca="false">IF($C196="","",IF(IFERROR(INDEX(科目表!$T$4:$T$123,MATCH($C196,科目表!$K$4:$K$123,0)),"")&amp;""="","其他货币资金",INDEX(科目表!$T$4:$T$123,MATCH($C196,科目表!$K$4:$K$123,0))))</f>
        <v/>
      </c>
      <c r="N196" s="39" t="str">
        <f aca="false">IF(OR($C196="",ROUND(N($H196)+N($I196),2)=0),"",IF(N($H196)&gt;0,$M196,$K196))</f>
        <v/>
      </c>
      <c r="O196" s="41" t="str">
        <f aca="false">IF($N196="","",ROUND(N($H196)+N($I196),2))</f>
        <v/>
      </c>
      <c r="P196" s="41" t="str">
        <f aca="false">IF($N196="","",0)</f>
        <v/>
      </c>
      <c r="Q196" s="39" t="str">
        <f aca="false">IF($N196="","",IF(N($H196)&gt;0,$K196,$M196))</f>
        <v/>
      </c>
      <c r="R196" s="41" t="str">
        <f aca="false">IF($Q196="","",0)</f>
        <v/>
      </c>
      <c r="S196" s="41" t="str">
        <f aca="false">IF($Q196="","",ROUND(N($H196)+N($I196),2))</f>
        <v/>
      </c>
      <c r="T196" s="42"/>
      <c r="U196" s="44"/>
      <c r="V196" s="41" t="str">
        <f aca="false">IF($B196="","",TEXT($B196,"yyyy年m月"))</f>
        <v/>
      </c>
      <c r="W196" s="42"/>
      <c r="X196" s="42"/>
      <c r="Y196" s="9"/>
    </row>
    <row r="197" customFormat="false" ht="18" hidden="false" customHeight="true" outlineLevel="0" collapsed="false">
      <c r="A197" s="9" t="str">
        <f aca="false">IF($C197="","",ROW()-3)</f>
        <v/>
      </c>
      <c r="B197" s="76"/>
      <c r="C197" s="74"/>
      <c r="D197" s="43"/>
      <c r="E197" s="42"/>
      <c r="F197" s="74"/>
      <c r="G197" s="74"/>
      <c r="H197" s="44"/>
      <c r="I197" s="44"/>
      <c r="J197" s="103" t="str">
        <f aca="false">IF($C197="","",ROUND(IFERROR(INDEX(期初余额!$I$4:$I$43,MATCH($C197,期初余额!$H$4:$H$43,0)),0)+SUMIFS($H$4:$H197,$C$4:$C197,$C197)-SUMIFS($I$4:$I197,$C$4:$C197,$C197),2))</f>
        <v/>
      </c>
      <c r="K197" s="104" t="str">
        <f aca="false">IF($T197&lt;&gt;"",$T197,IF($C197="","",IF(AND(N($I197)&gt;0,$G197&lt;&gt;""),IF(IFERROR(INDEX(科目表!$U$4:$U$123,MATCH($G197,科目表!$M$4:$M$123,0)),"")&amp;""="","管理费用",INDEX(科目表!$U$4:$U$123,MATCH($G197,科目表!$M$4:$M$123,0))),IF(N($H197)&gt;0,IF(IFERROR(INDEX(自动规则!$C$4:$C$143,MATCH($F197,自动规则!$B$4:$B$143,0)),"")&amp;""="","其他应收款",INDEX(自动规则!$C$4:$C$143,MATCH($F197,自动规则!$B$4:$B$143,0))),IF(IFERROR(INDEX(自动规则!$D$4:$D$143,MATCH($F197,自动规则!$B$4:$B$143,0)),"")&amp;""="","其他应付款",INDEX(自动规则!$D$4:$D$143,MATCH($F197,自动规则!$B$4:$B$143,0)))))))</f>
        <v/>
      </c>
      <c r="L197" s="43"/>
      <c r="M197" s="105" t="str">
        <f aca="false">IF($C197="","",IF(IFERROR(INDEX(科目表!$T$4:$T$123,MATCH($C197,科目表!$K$4:$K$123,0)),"")&amp;""="","其他货币资金",INDEX(科目表!$T$4:$T$123,MATCH($C197,科目表!$K$4:$K$123,0))))</f>
        <v/>
      </c>
      <c r="N197" s="39" t="str">
        <f aca="false">IF(OR($C197="",ROUND(N($H197)+N($I197),2)=0),"",IF(N($H197)&gt;0,$M197,$K197))</f>
        <v/>
      </c>
      <c r="O197" s="41" t="str">
        <f aca="false">IF($N197="","",ROUND(N($H197)+N($I197),2))</f>
        <v/>
      </c>
      <c r="P197" s="41" t="str">
        <f aca="false">IF($N197="","",0)</f>
        <v/>
      </c>
      <c r="Q197" s="39" t="str">
        <f aca="false">IF($N197="","",IF(N($H197)&gt;0,$K197,$M197))</f>
        <v/>
      </c>
      <c r="R197" s="41" t="str">
        <f aca="false">IF($Q197="","",0)</f>
        <v/>
      </c>
      <c r="S197" s="41" t="str">
        <f aca="false">IF($Q197="","",ROUND(N($H197)+N($I197),2))</f>
        <v/>
      </c>
      <c r="T197" s="42"/>
      <c r="U197" s="44"/>
      <c r="V197" s="41" t="str">
        <f aca="false">IF($B197="","",TEXT($B197,"yyyy年m月"))</f>
        <v/>
      </c>
      <c r="W197" s="42"/>
      <c r="X197" s="42"/>
      <c r="Y197" s="9"/>
    </row>
    <row r="198" customFormat="false" ht="18" hidden="false" customHeight="true" outlineLevel="0" collapsed="false">
      <c r="A198" s="9" t="str">
        <f aca="false">IF($C198="","",ROW()-3)</f>
        <v/>
      </c>
      <c r="B198" s="76"/>
      <c r="C198" s="74"/>
      <c r="D198" s="43"/>
      <c r="E198" s="42"/>
      <c r="F198" s="74"/>
      <c r="G198" s="74"/>
      <c r="H198" s="44"/>
      <c r="I198" s="44"/>
      <c r="J198" s="103" t="str">
        <f aca="false">IF($C198="","",ROUND(IFERROR(INDEX(期初余额!$I$4:$I$43,MATCH($C198,期初余额!$H$4:$H$43,0)),0)+SUMIFS($H$4:$H198,$C$4:$C198,$C198)-SUMIFS($I$4:$I198,$C$4:$C198,$C198),2))</f>
        <v/>
      </c>
      <c r="K198" s="104" t="str">
        <f aca="false">IF($T198&lt;&gt;"",$T198,IF($C198="","",IF(AND(N($I198)&gt;0,$G198&lt;&gt;""),IF(IFERROR(INDEX(科目表!$U$4:$U$123,MATCH($G198,科目表!$M$4:$M$123,0)),"")&amp;""="","管理费用",INDEX(科目表!$U$4:$U$123,MATCH($G198,科目表!$M$4:$M$123,0))),IF(N($H198)&gt;0,IF(IFERROR(INDEX(自动规则!$C$4:$C$143,MATCH($F198,自动规则!$B$4:$B$143,0)),"")&amp;""="","其他应收款",INDEX(自动规则!$C$4:$C$143,MATCH($F198,自动规则!$B$4:$B$143,0))),IF(IFERROR(INDEX(自动规则!$D$4:$D$143,MATCH($F198,自动规则!$B$4:$B$143,0)),"")&amp;""="","其他应付款",INDEX(自动规则!$D$4:$D$143,MATCH($F198,自动规则!$B$4:$B$143,0)))))))</f>
        <v/>
      </c>
      <c r="L198" s="43"/>
      <c r="M198" s="105" t="str">
        <f aca="false">IF($C198="","",IF(IFERROR(INDEX(科目表!$T$4:$T$123,MATCH($C198,科目表!$K$4:$K$123,0)),"")&amp;""="","其他货币资金",INDEX(科目表!$T$4:$T$123,MATCH($C198,科目表!$K$4:$K$123,0))))</f>
        <v/>
      </c>
      <c r="N198" s="39" t="str">
        <f aca="false">IF(OR($C198="",ROUND(N($H198)+N($I198),2)=0),"",IF(N($H198)&gt;0,$M198,$K198))</f>
        <v/>
      </c>
      <c r="O198" s="41" t="str">
        <f aca="false">IF($N198="","",ROUND(N($H198)+N($I198),2))</f>
        <v/>
      </c>
      <c r="P198" s="41" t="str">
        <f aca="false">IF($N198="","",0)</f>
        <v/>
      </c>
      <c r="Q198" s="39" t="str">
        <f aca="false">IF($N198="","",IF(N($H198)&gt;0,$K198,$M198))</f>
        <v/>
      </c>
      <c r="R198" s="41" t="str">
        <f aca="false">IF($Q198="","",0)</f>
        <v/>
      </c>
      <c r="S198" s="41" t="str">
        <f aca="false">IF($Q198="","",ROUND(N($H198)+N($I198),2))</f>
        <v/>
      </c>
      <c r="T198" s="42"/>
      <c r="U198" s="44"/>
      <c r="V198" s="41" t="str">
        <f aca="false">IF($B198="","",TEXT($B198,"yyyy年m月"))</f>
        <v/>
      </c>
      <c r="W198" s="42"/>
      <c r="X198" s="42"/>
      <c r="Y198" s="9"/>
    </row>
    <row r="199" customFormat="false" ht="18" hidden="false" customHeight="true" outlineLevel="0" collapsed="false">
      <c r="A199" s="9" t="str">
        <f aca="false">IF($C199="","",ROW()-3)</f>
        <v/>
      </c>
      <c r="B199" s="76"/>
      <c r="C199" s="74"/>
      <c r="D199" s="43"/>
      <c r="E199" s="42"/>
      <c r="F199" s="74"/>
      <c r="G199" s="74"/>
      <c r="H199" s="44"/>
      <c r="I199" s="44"/>
      <c r="J199" s="103" t="str">
        <f aca="false">IF($C199="","",ROUND(IFERROR(INDEX(期初余额!$I$4:$I$43,MATCH($C199,期初余额!$H$4:$H$43,0)),0)+SUMIFS($H$4:$H199,$C$4:$C199,$C199)-SUMIFS($I$4:$I199,$C$4:$C199,$C199),2))</f>
        <v/>
      </c>
      <c r="K199" s="104" t="str">
        <f aca="false">IF($T199&lt;&gt;"",$T199,IF($C199="","",IF(AND(N($I199)&gt;0,$G199&lt;&gt;""),IF(IFERROR(INDEX(科目表!$U$4:$U$123,MATCH($G199,科目表!$M$4:$M$123,0)),"")&amp;""="","管理费用",INDEX(科目表!$U$4:$U$123,MATCH($G199,科目表!$M$4:$M$123,0))),IF(N($H199)&gt;0,IF(IFERROR(INDEX(自动规则!$C$4:$C$143,MATCH($F199,自动规则!$B$4:$B$143,0)),"")&amp;""="","其他应收款",INDEX(自动规则!$C$4:$C$143,MATCH($F199,自动规则!$B$4:$B$143,0))),IF(IFERROR(INDEX(自动规则!$D$4:$D$143,MATCH($F199,自动规则!$B$4:$B$143,0)),"")&amp;""="","其他应付款",INDEX(自动规则!$D$4:$D$143,MATCH($F199,自动规则!$B$4:$B$143,0)))))))</f>
        <v/>
      </c>
      <c r="L199" s="43"/>
      <c r="M199" s="105" t="str">
        <f aca="false">IF($C199="","",IF(IFERROR(INDEX(科目表!$T$4:$T$123,MATCH($C199,科目表!$K$4:$K$123,0)),"")&amp;""="","其他货币资金",INDEX(科目表!$T$4:$T$123,MATCH($C199,科目表!$K$4:$K$123,0))))</f>
        <v/>
      </c>
      <c r="N199" s="39" t="str">
        <f aca="false">IF(OR($C199="",ROUND(N($H199)+N($I199),2)=0),"",IF(N($H199)&gt;0,$M199,$K199))</f>
        <v/>
      </c>
      <c r="O199" s="41" t="str">
        <f aca="false">IF($N199="","",ROUND(N($H199)+N($I199),2))</f>
        <v/>
      </c>
      <c r="P199" s="41" t="str">
        <f aca="false">IF($N199="","",0)</f>
        <v/>
      </c>
      <c r="Q199" s="39" t="str">
        <f aca="false">IF($N199="","",IF(N($H199)&gt;0,$K199,$M199))</f>
        <v/>
      </c>
      <c r="R199" s="41" t="str">
        <f aca="false">IF($Q199="","",0)</f>
        <v/>
      </c>
      <c r="S199" s="41" t="str">
        <f aca="false">IF($Q199="","",ROUND(N($H199)+N($I199),2))</f>
        <v/>
      </c>
      <c r="T199" s="42"/>
      <c r="U199" s="44"/>
      <c r="V199" s="41" t="str">
        <f aca="false">IF($B199="","",TEXT($B199,"yyyy年m月"))</f>
        <v/>
      </c>
      <c r="W199" s="42"/>
      <c r="X199" s="42"/>
      <c r="Y199" s="9"/>
    </row>
    <row r="200" customFormat="false" ht="18" hidden="false" customHeight="true" outlineLevel="0" collapsed="false">
      <c r="A200" s="9" t="str">
        <f aca="false">IF($C200="","",ROW()-3)</f>
        <v/>
      </c>
      <c r="B200" s="76"/>
      <c r="C200" s="74"/>
      <c r="D200" s="43"/>
      <c r="E200" s="42"/>
      <c r="F200" s="74"/>
      <c r="G200" s="74"/>
      <c r="H200" s="44"/>
      <c r="I200" s="44"/>
      <c r="J200" s="103" t="str">
        <f aca="false">IF($C200="","",ROUND(IFERROR(INDEX(期初余额!$I$4:$I$43,MATCH($C200,期初余额!$H$4:$H$43,0)),0)+SUMIFS($H$4:$H200,$C$4:$C200,$C200)-SUMIFS($I$4:$I200,$C$4:$C200,$C200),2))</f>
        <v/>
      </c>
      <c r="K200" s="104" t="str">
        <f aca="false">IF($T200&lt;&gt;"",$T200,IF($C200="","",IF(AND(N($I200)&gt;0,$G200&lt;&gt;""),IF(IFERROR(INDEX(科目表!$U$4:$U$123,MATCH($G200,科目表!$M$4:$M$123,0)),"")&amp;""="","管理费用",INDEX(科目表!$U$4:$U$123,MATCH($G200,科目表!$M$4:$M$123,0))),IF(N($H200)&gt;0,IF(IFERROR(INDEX(自动规则!$C$4:$C$143,MATCH($F200,自动规则!$B$4:$B$143,0)),"")&amp;""="","其他应收款",INDEX(自动规则!$C$4:$C$143,MATCH($F200,自动规则!$B$4:$B$143,0))),IF(IFERROR(INDEX(自动规则!$D$4:$D$143,MATCH($F200,自动规则!$B$4:$B$143,0)),"")&amp;""="","其他应付款",INDEX(自动规则!$D$4:$D$143,MATCH($F200,自动规则!$B$4:$B$143,0)))))))</f>
        <v/>
      </c>
      <c r="L200" s="43"/>
      <c r="M200" s="105" t="str">
        <f aca="false">IF($C200="","",IF(IFERROR(INDEX(科目表!$T$4:$T$123,MATCH($C200,科目表!$K$4:$K$123,0)),"")&amp;""="","其他货币资金",INDEX(科目表!$T$4:$T$123,MATCH($C200,科目表!$K$4:$K$123,0))))</f>
        <v/>
      </c>
      <c r="N200" s="39" t="str">
        <f aca="false">IF(OR($C200="",ROUND(N($H200)+N($I200),2)=0),"",IF(N($H200)&gt;0,$M200,$K200))</f>
        <v/>
      </c>
      <c r="O200" s="41" t="str">
        <f aca="false">IF($N200="","",ROUND(N($H200)+N($I200),2))</f>
        <v/>
      </c>
      <c r="P200" s="41" t="str">
        <f aca="false">IF($N200="","",0)</f>
        <v/>
      </c>
      <c r="Q200" s="39" t="str">
        <f aca="false">IF($N200="","",IF(N($H200)&gt;0,$K200,$M200))</f>
        <v/>
      </c>
      <c r="R200" s="41" t="str">
        <f aca="false">IF($Q200="","",0)</f>
        <v/>
      </c>
      <c r="S200" s="41" t="str">
        <f aca="false">IF($Q200="","",ROUND(N($H200)+N($I200),2))</f>
        <v/>
      </c>
      <c r="T200" s="42"/>
      <c r="U200" s="44"/>
      <c r="V200" s="41" t="str">
        <f aca="false">IF($B200="","",TEXT($B200,"yyyy年m月"))</f>
        <v/>
      </c>
      <c r="W200" s="42"/>
      <c r="X200" s="42"/>
      <c r="Y200" s="9"/>
    </row>
    <row r="201" customFormat="false" ht="18" hidden="false" customHeight="true" outlineLevel="0" collapsed="false">
      <c r="A201" s="9" t="str">
        <f aca="false">IF($C201="","",ROW()-3)</f>
        <v/>
      </c>
      <c r="B201" s="76"/>
      <c r="C201" s="74"/>
      <c r="D201" s="43"/>
      <c r="E201" s="42"/>
      <c r="F201" s="74"/>
      <c r="G201" s="74"/>
      <c r="H201" s="44"/>
      <c r="I201" s="44"/>
      <c r="J201" s="103" t="str">
        <f aca="false">IF($C201="","",ROUND(IFERROR(INDEX(期初余额!$I$4:$I$43,MATCH($C201,期初余额!$H$4:$H$43,0)),0)+SUMIFS($H$4:$H201,$C$4:$C201,$C201)-SUMIFS($I$4:$I201,$C$4:$C201,$C201),2))</f>
        <v/>
      </c>
      <c r="K201" s="104" t="str">
        <f aca="false">IF($T201&lt;&gt;"",$T201,IF($C201="","",IF(AND(N($I201)&gt;0,$G201&lt;&gt;""),IF(IFERROR(INDEX(科目表!$U$4:$U$123,MATCH($G201,科目表!$M$4:$M$123,0)),"")&amp;""="","管理费用",INDEX(科目表!$U$4:$U$123,MATCH($G201,科目表!$M$4:$M$123,0))),IF(N($H201)&gt;0,IF(IFERROR(INDEX(自动规则!$C$4:$C$143,MATCH($F201,自动规则!$B$4:$B$143,0)),"")&amp;""="","其他应收款",INDEX(自动规则!$C$4:$C$143,MATCH($F201,自动规则!$B$4:$B$143,0))),IF(IFERROR(INDEX(自动规则!$D$4:$D$143,MATCH($F201,自动规则!$B$4:$B$143,0)),"")&amp;""="","其他应付款",INDEX(自动规则!$D$4:$D$143,MATCH($F201,自动规则!$B$4:$B$143,0)))))))</f>
        <v/>
      </c>
      <c r="L201" s="43"/>
      <c r="M201" s="105" t="str">
        <f aca="false">IF($C201="","",IF(IFERROR(INDEX(科目表!$T$4:$T$123,MATCH($C201,科目表!$K$4:$K$123,0)),"")&amp;""="","其他货币资金",INDEX(科目表!$T$4:$T$123,MATCH($C201,科目表!$K$4:$K$123,0))))</f>
        <v/>
      </c>
      <c r="N201" s="39" t="str">
        <f aca="false">IF(OR($C201="",ROUND(N($H201)+N($I201),2)=0),"",IF(N($H201)&gt;0,$M201,$K201))</f>
        <v/>
      </c>
      <c r="O201" s="41" t="str">
        <f aca="false">IF($N201="","",ROUND(N($H201)+N($I201),2))</f>
        <v/>
      </c>
      <c r="P201" s="41" t="str">
        <f aca="false">IF($N201="","",0)</f>
        <v/>
      </c>
      <c r="Q201" s="39" t="str">
        <f aca="false">IF($N201="","",IF(N($H201)&gt;0,$K201,$M201))</f>
        <v/>
      </c>
      <c r="R201" s="41" t="str">
        <f aca="false">IF($Q201="","",0)</f>
        <v/>
      </c>
      <c r="S201" s="41" t="str">
        <f aca="false">IF($Q201="","",ROUND(N($H201)+N($I201),2))</f>
        <v/>
      </c>
      <c r="T201" s="42"/>
      <c r="U201" s="44"/>
      <c r="V201" s="41" t="str">
        <f aca="false">IF($B201="","",TEXT($B201,"yyyy年m月"))</f>
        <v/>
      </c>
      <c r="W201" s="42"/>
      <c r="X201" s="42"/>
      <c r="Y201" s="9"/>
    </row>
    <row r="202" customFormat="false" ht="18" hidden="false" customHeight="true" outlineLevel="0" collapsed="false">
      <c r="A202" s="9" t="str">
        <f aca="false">IF($C202="","",ROW()-3)</f>
        <v/>
      </c>
      <c r="B202" s="76"/>
      <c r="C202" s="74"/>
      <c r="D202" s="43"/>
      <c r="E202" s="42"/>
      <c r="F202" s="74"/>
      <c r="G202" s="74"/>
      <c r="H202" s="44"/>
      <c r="I202" s="44"/>
      <c r="J202" s="103" t="str">
        <f aca="false">IF($C202="","",ROUND(IFERROR(INDEX(期初余额!$I$4:$I$43,MATCH($C202,期初余额!$H$4:$H$43,0)),0)+SUMIFS($H$4:$H202,$C$4:$C202,$C202)-SUMIFS($I$4:$I202,$C$4:$C202,$C202),2))</f>
        <v/>
      </c>
      <c r="K202" s="104" t="str">
        <f aca="false">IF($T202&lt;&gt;"",$T202,IF($C202="","",IF(AND(N($I202)&gt;0,$G202&lt;&gt;""),IF(IFERROR(INDEX(科目表!$U$4:$U$123,MATCH($G202,科目表!$M$4:$M$123,0)),"")&amp;""="","管理费用",INDEX(科目表!$U$4:$U$123,MATCH($G202,科目表!$M$4:$M$123,0))),IF(N($H202)&gt;0,IF(IFERROR(INDEX(自动规则!$C$4:$C$143,MATCH($F202,自动规则!$B$4:$B$143,0)),"")&amp;""="","其他应收款",INDEX(自动规则!$C$4:$C$143,MATCH($F202,自动规则!$B$4:$B$143,0))),IF(IFERROR(INDEX(自动规则!$D$4:$D$143,MATCH($F202,自动规则!$B$4:$B$143,0)),"")&amp;""="","其他应付款",INDEX(自动规则!$D$4:$D$143,MATCH($F202,自动规则!$B$4:$B$143,0)))))))</f>
        <v/>
      </c>
      <c r="L202" s="43"/>
      <c r="M202" s="105" t="str">
        <f aca="false">IF($C202="","",IF(IFERROR(INDEX(科目表!$T$4:$T$123,MATCH($C202,科目表!$K$4:$K$123,0)),"")&amp;""="","其他货币资金",INDEX(科目表!$T$4:$T$123,MATCH($C202,科目表!$K$4:$K$123,0))))</f>
        <v/>
      </c>
      <c r="N202" s="39" t="str">
        <f aca="false">IF(OR($C202="",ROUND(N($H202)+N($I202),2)=0),"",IF(N($H202)&gt;0,$M202,$K202))</f>
        <v/>
      </c>
      <c r="O202" s="41" t="str">
        <f aca="false">IF($N202="","",ROUND(N($H202)+N($I202),2))</f>
        <v/>
      </c>
      <c r="P202" s="41" t="str">
        <f aca="false">IF($N202="","",0)</f>
        <v/>
      </c>
      <c r="Q202" s="39" t="str">
        <f aca="false">IF($N202="","",IF(N($H202)&gt;0,$K202,$M202))</f>
        <v/>
      </c>
      <c r="R202" s="41" t="str">
        <f aca="false">IF($Q202="","",0)</f>
        <v/>
      </c>
      <c r="S202" s="41" t="str">
        <f aca="false">IF($Q202="","",ROUND(N($H202)+N($I202),2))</f>
        <v/>
      </c>
      <c r="T202" s="42"/>
      <c r="U202" s="44"/>
      <c r="V202" s="41" t="str">
        <f aca="false">IF($B202="","",TEXT($B202,"yyyy年m月"))</f>
        <v/>
      </c>
      <c r="W202" s="42"/>
      <c r="X202" s="42"/>
      <c r="Y202" s="9"/>
    </row>
    <row r="203" customFormat="false" ht="18" hidden="false" customHeight="true" outlineLevel="0" collapsed="false">
      <c r="A203" s="9" t="str">
        <f aca="false">IF($C203="","",ROW()-3)</f>
        <v/>
      </c>
      <c r="B203" s="76"/>
      <c r="C203" s="74"/>
      <c r="D203" s="43"/>
      <c r="E203" s="42"/>
      <c r="F203" s="74"/>
      <c r="G203" s="74"/>
      <c r="H203" s="44"/>
      <c r="I203" s="44"/>
      <c r="J203" s="103" t="str">
        <f aca="false">IF($C203="","",ROUND(IFERROR(INDEX(期初余额!$I$4:$I$43,MATCH($C203,期初余额!$H$4:$H$43,0)),0)+SUMIFS($H$4:$H203,$C$4:$C203,$C203)-SUMIFS($I$4:$I203,$C$4:$C203,$C203),2))</f>
        <v/>
      </c>
      <c r="K203" s="104" t="str">
        <f aca="false">IF($T203&lt;&gt;"",$T203,IF($C203="","",IF(AND(N($I203)&gt;0,$G203&lt;&gt;""),IF(IFERROR(INDEX(科目表!$U$4:$U$123,MATCH($G203,科目表!$M$4:$M$123,0)),"")&amp;""="","管理费用",INDEX(科目表!$U$4:$U$123,MATCH($G203,科目表!$M$4:$M$123,0))),IF(N($H203)&gt;0,IF(IFERROR(INDEX(自动规则!$C$4:$C$143,MATCH($F203,自动规则!$B$4:$B$143,0)),"")&amp;""="","其他应收款",INDEX(自动规则!$C$4:$C$143,MATCH($F203,自动规则!$B$4:$B$143,0))),IF(IFERROR(INDEX(自动规则!$D$4:$D$143,MATCH($F203,自动规则!$B$4:$B$143,0)),"")&amp;""="","其他应付款",INDEX(自动规则!$D$4:$D$143,MATCH($F203,自动规则!$B$4:$B$143,0)))))))</f>
        <v/>
      </c>
      <c r="L203" s="43"/>
      <c r="M203" s="105" t="str">
        <f aca="false">IF($C203="","",IF(IFERROR(INDEX(科目表!$T$4:$T$123,MATCH($C203,科目表!$K$4:$K$123,0)),"")&amp;""="","其他货币资金",INDEX(科目表!$T$4:$T$123,MATCH($C203,科目表!$K$4:$K$123,0))))</f>
        <v/>
      </c>
      <c r="N203" s="39" t="str">
        <f aca="false">IF(OR($C203="",ROUND(N($H203)+N($I203),2)=0),"",IF(N($H203)&gt;0,$M203,$K203))</f>
        <v/>
      </c>
      <c r="O203" s="41" t="str">
        <f aca="false">IF($N203="","",ROUND(N($H203)+N($I203),2))</f>
        <v/>
      </c>
      <c r="P203" s="41" t="str">
        <f aca="false">IF($N203="","",0)</f>
        <v/>
      </c>
      <c r="Q203" s="39" t="str">
        <f aca="false">IF($N203="","",IF(N($H203)&gt;0,$K203,$M203))</f>
        <v/>
      </c>
      <c r="R203" s="41" t="str">
        <f aca="false">IF($Q203="","",0)</f>
        <v/>
      </c>
      <c r="S203" s="41" t="str">
        <f aca="false">IF($Q203="","",ROUND(N($H203)+N($I203),2))</f>
        <v/>
      </c>
      <c r="T203" s="42"/>
      <c r="U203" s="44"/>
      <c r="V203" s="41" t="str">
        <f aca="false">IF($B203="","",TEXT($B203,"yyyy年m月"))</f>
        <v/>
      </c>
      <c r="W203" s="42"/>
      <c r="X203" s="42"/>
      <c r="Y203" s="9"/>
    </row>
    <row r="204" customFormat="false" ht="18" hidden="false" customHeight="true" outlineLevel="0" collapsed="false">
      <c r="A204" s="9" t="str">
        <f aca="false">IF($C204="","",ROW()-3)</f>
        <v/>
      </c>
      <c r="B204" s="76"/>
      <c r="C204" s="74"/>
      <c r="D204" s="43"/>
      <c r="E204" s="42"/>
      <c r="F204" s="74"/>
      <c r="G204" s="74"/>
      <c r="H204" s="44"/>
      <c r="I204" s="44"/>
      <c r="J204" s="103" t="str">
        <f aca="false">IF($C204="","",ROUND(IFERROR(INDEX(期初余额!$I$4:$I$43,MATCH($C204,期初余额!$H$4:$H$43,0)),0)+SUMIFS($H$4:$H204,$C$4:$C204,$C204)-SUMIFS($I$4:$I204,$C$4:$C204,$C204),2))</f>
        <v/>
      </c>
      <c r="K204" s="104" t="str">
        <f aca="false">IF($T204&lt;&gt;"",$T204,IF($C204="","",IF(AND(N($I204)&gt;0,$G204&lt;&gt;""),IF(IFERROR(INDEX(科目表!$U$4:$U$123,MATCH($G204,科目表!$M$4:$M$123,0)),"")&amp;""="","管理费用",INDEX(科目表!$U$4:$U$123,MATCH($G204,科目表!$M$4:$M$123,0))),IF(N($H204)&gt;0,IF(IFERROR(INDEX(自动规则!$C$4:$C$143,MATCH($F204,自动规则!$B$4:$B$143,0)),"")&amp;""="","其他应收款",INDEX(自动规则!$C$4:$C$143,MATCH($F204,自动规则!$B$4:$B$143,0))),IF(IFERROR(INDEX(自动规则!$D$4:$D$143,MATCH($F204,自动规则!$B$4:$B$143,0)),"")&amp;""="","其他应付款",INDEX(自动规则!$D$4:$D$143,MATCH($F204,自动规则!$B$4:$B$143,0)))))))</f>
        <v/>
      </c>
      <c r="L204" s="43"/>
      <c r="M204" s="105" t="str">
        <f aca="false">IF($C204="","",IF(IFERROR(INDEX(科目表!$T$4:$T$123,MATCH($C204,科目表!$K$4:$K$123,0)),"")&amp;""="","其他货币资金",INDEX(科目表!$T$4:$T$123,MATCH($C204,科目表!$K$4:$K$123,0))))</f>
        <v/>
      </c>
      <c r="N204" s="39" t="str">
        <f aca="false">IF(OR($C204="",ROUND(N($H204)+N($I204),2)=0),"",IF(N($H204)&gt;0,$M204,$K204))</f>
        <v/>
      </c>
      <c r="O204" s="41" t="str">
        <f aca="false">IF($N204="","",ROUND(N($H204)+N($I204),2))</f>
        <v/>
      </c>
      <c r="P204" s="41" t="str">
        <f aca="false">IF($N204="","",0)</f>
        <v/>
      </c>
      <c r="Q204" s="39" t="str">
        <f aca="false">IF($N204="","",IF(N($H204)&gt;0,$K204,$M204))</f>
        <v/>
      </c>
      <c r="R204" s="41" t="str">
        <f aca="false">IF($Q204="","",0)</f>
        <v/>
      </c>
      <c r="S204" s="41" t="str">
        <f aca="false">IF($Q204="","",ROUND(N($H204)+N($I204),2))</f>
        <v/>
      </c>
      <c r="T204" s="42"/>
      <c r="U204" s="44"/>
      <c r="V204" s="41" t="str">
        <f aca="false">IF($B204="","",TEXT($B204,"yyyy年m月"))</f>
        <v/>
      </c>
      <c r="W204" s="42"/>
      <c r="X204" s="42"/>
      <c r="Y204" s="9"/>
    </row>
    <row r="205" customFormat="false" ht="18" hidden="false" customHeight="true" outlineLevel="0" collapsed="false">
      <c r="A205" s="9" t="str">
        <f aca="false">IF($C205="","",ROW()-3)</f>
        <v/>
      </c>
      <c r="B205" s="76"/>
      <c r="C205" s="74"/>
      <c r="D205" s="43"/>
      <c r="E205" s="42"/>
      <c r="F205" s="74"/>
      <c r="G205" s="74"/>
      <c r="H205" s="44"/>
      <c r="I205" s="44"/>
      <c r="J205" s="103" t="str">
        <f aca="false">IF($C205="","",ROUND(IFERROR(INDEX(期初余额!$I$4:$I$43,MATCH($C205,期初余额!$H$4:$H$43,0)),0)+SUMIFS($H$4:$H205,$C$4:$C205,$C205)-SUMIFS($I$4:$I205,$C$4:$C205,$C205),2))</f>
        <v/>
      </c>
      <c r="K205" s="104" t="str">
        <f aca="false">IF($T205&lt;&gt;"",$T205,IF($C205="","",IF(AND(N($I205)&gt;0,$G205&lt;&gt;""),IF(IFERROR(INDEX(科目表!$U$4:$U$123,MATCH($G205,科目表!$M$4:$M$123,0)),"")&amp;""="","管理费用",INDEX(科目表!$U$4:$U$123,MATCH($G205,科目表!$M$4:$M$123,0))),IF(N($H205)&gt;0,IF(IFERROR(INDEX(自动规则!$C$4:$C$143,MATCH($F205,自动规则!$B$4:$B$143,0)),"")&amp;""="","其他应收款",INDEX(自动规则!$C$4:$C$143,MATCH($F205,自动规则!$B$4:$B$143,0))),IF(IFERROR(INDEX(自动规则!$D$4:$D$143,MATCH($F205,自动规则!$B$4:$B$143,0)),"")&amp;""="","其他应付款",INDEX(自动规则!$D$4:$D$143,MATCH($F205,自动规则!$B$4:$B$143,0)))))))</f>
        <v/>
      </c>
      <c r="L205" s="43"/>
      <c r="M205" s="105" t="str">
        <f aca="false">IF($C205="","",IF(IFERROR(INDEX(科目表!$T$4:$T$123,MATCH($C205,科目表!$K$4:$K$123,0)),"")&amp;""="","其他货币资金",INDEX(科目表!$T$4:$T$123,MATCH($C205,科目表!$K$4:$K$123,0))))</f>
        <v/>
      </c>
      <c r="N205" s="39" t="str">
        <f aca="false">IF(OR($C205="",ROUND(N($H205)+N($I205),2)=0),"",IF(N($H205)&gt;0,$M205,$K205))</f>
        <v/>
      </c>
      <c r="O205" s="41" t="str">
        <f aca="false">IF($N205="","",ROUND(N($H205)+N($I205),2))</f>
        <v/>
      </c>
      <c r="P205" s="41" t="str">
        <f aca="false">IF($N205="","",0)</f>
        <v/>
      </c>
      <c r="Q205" s="39" t="str">
        <f aca="false">IF($N205="","",IF(N($H205)&gt;0,$K205,$M205))</f>
        <v/>
      </c>
      <c r="R205" s="41" t="str">
        <f aca="false">IF($Q205="","",0)</f>
        <v/>
      </c>
      <c r="S205" s="41" t="str">
        <f aca="false">IF($Q205="","",ROUND(N($H205)+N($I205),2))</f>
        <v/>
      </c>
      <c r="T205" s="42"/>
      <c r="U205" s="44"/>
      <c r="V205" s="41" t="str">
        <f aca="false">IF($B205="","",TEXT($B205,"yyyy年m月"))</f>
        <v/>
      </c>
      <c r="W205" s="42"/>
      <c r="X205" s="42"/>
      <c r="Y205" s="9"/>
    </row>
    <row r="206" customFormat="false" ht="18" hidden="false" customHeight="true" outlineLevel="0" collapsed="false">
      <c r="A206" s="9" t="str">
        <f aca="false">IF($C206="","",ROW()-3)</f>
        <v/>
      </c>
      <c r="B206" s="76"/>
      <c r="C206" s="74"/>
      <c r="D206" s="43"/>
      <c r="E206" s="42"/>
      <c r="F206" s="74"/>
      <c r="G206" s="74"/>
      <c r="H206" s="44"/>
      <c r="I206" s="44"/>
      <c r="J206" s="103" t="str">
        <f aca="false">IF($C206="","",ROUND(IFERROR(INDEX(期初余额!$I$4:$I$43,MATCH($C206,期初余额!$H$4:$H$43,0)),0)+SUMIFS($H$4:$H206,$C$4:$C206,$C206)-SUMIFS($I$4:$I206,$C$4:$C206,$C206),2))</f>
        <v/>
      </c>
      <c r="K206" s="104" t="str">
        <f aca="false">IF($T206&lt;&gt;"",$T206,IF($C206="","",IF(AND(N($I206)&gt;0,$G206&lt;&gt;""),IF(IFERROR(INDEX(科目表!$U$4:$U$123,MATCH($G206,科目表!$M$4:$M$123,0)),"")&amp;""="","管理费用",INDEX(科目表!$U$4:$U$123,MATCH($G206,科目表!$M$4:$M$123,0))),IF(N($H206)&gt;0,IF(IFERROR(INDEX(自动规则!$C$4:$C$143,MATCH($F206,自动规则!$B$4:$B$143,0)),"")&amp;""="","其他应收款",INDEX(自动规则!$C$4:$C$143,MATCH($F206,自动规则!$B$4:$B$143,0))),IF(IFERROR(INDEX(自动规则!$D$4:$D$143,MATCH($F206,自动规则!$B$4:$B$143,0)),"")&amp;""="","其他应付款",INDEX(自动规则!$D$4:$D$143,MATCH($F206,自动规则!$B$4:$B$143,0)))))))</f>
        <v/>
      </c>
      <c r="L206" s="43"/>
      <c r="M206" s="105" t="str">
        <f aca="false">IF($C206="","",IF(IFERROR(INDEX(科目表!$T$4:$T$123,MATCH($C206,科目表!$K$4:$K$123,0)),"")&amp;""="","其他货币资金",INDEX(科目表!$T$4:$T$123,MATCH($C206,科目表!$K$4:$K$123,0))))</f>
        <v/>
      </c>
      <c r="N206" s="39" t="str">
        <f aca="false">IF(OR($C206="",ROUND(N($H206)+N($I206),2)=0),"",IF(N($H206)&gt;0,$M206,$K206))</f>
        <v/>
      </c>
      <c r="O206" s="41" t="str">
        <f aca="false">IF($N206="","",ROUND(N($H206)+N($I206),2))</f>
        <v/>
      </c>
      <c r="P206" s="41" t="str">
        <f aca="false">IF($N206="","",0)</f>
        <v/>
      </c>
      <c r="Q206" s="39" t="str">
        <f aca="false">IF($N206="","",IF(N($H206)&gt;0,$K206,$M206))</f>
        <v/>
      </c>
      <c r="R206" s="41" t="str">
        <f aca="false">IF($Q206="","",0)</f>
        <v/>
      </c>
      <c r="S206" s="41" t="str">
        <f aca="false">IF($Q206="","",ROUND(N($H206)+N($I206),2))</f>
        <v/>
      </c>
      <c r="T206" s="42"/>
      <c r="U206" s="44"/>
      <c r="V206" s="41" t="str">
        <f aca="false">IF($B206="","",TEXT($B206,"yyyy年m月"))</f>
        <v/>
      </c>
      <c r="W206" s="42"/>
      <c r="X206" s="42"/>
      <c r="Y206" s="9"/>
    </row>
    <row r="207" customFormat="false" ht="18" hidden="false" customHeight="true" outlineLevel="0" collapsed="false">
      <c r="A207" s="9" t="str">
        <f aca="false">IF($C207="","",ROW()-3)</f>
        <v/>
      </c>
      <c r="B207" s="76"/>
      <c r="C207" s="74"/>
      <c r="D207" s="43"/>
      <c r="E207" s="42"/>
      <c r="F207" s="74"/>
      <c r="G207" s="74"/>
      <c r="H207" s="44"/>
      <c r="I207" s="44"/>
      <c r="J207" s="103" t="str">
        <f aca="false">IF($C207="","",ROUND(IFERROR(INDEX(期初余额!$I$4:$I$43,MATCH($C207,期初余额!$H$4:$H$43,0)),0)+SUMIFS($H$4:$H207,$C$4:$C207,$C207)-SUMIFS($I$4:$I207,$C$4:$C207,$C207),2))</f>
        <v/>
      </c>
      <c r="K207" s="104" t="str">
        <f aca="false">IF($T207&lt;&gt;"",$T207,IF($C207="","",IF(AND(N($I207)&gt;0,$G207&lt;&gt;""),IF(IFERROR(INDEX(科目表!$U$4:$U$123,MATCH($G207,科目表!$M$4:$M$123,0)),"")&amp;""="","管理费用",INDEX(科目表!$U$4:$U$123,MATCH($G207,科目表!$M$4:$M$123,0))),IF(N($H207)&gt;0,IF(IFERROR(INDEX(自动规则!$C$4:$C$143,MATCH($F207,自动规则!$B$4:$B$143,0)),"")&amp;""="","其他应收款",INDEX(自动规则!$C$4:$C$143,MATCH($F207,自动规则!$B$4:$B$143,0))),IF(IFERROR(INDEX(自动规则!$D$4:$D$143,MATCH($F207,自动规则!$B$4:$B$143,0)),"")&amp;""="","其他应付款",INDEX(自动规则!$D$4:$D$143,MATCH($F207,自动规则!$B$4:$B$143,0)))))))</f>
        <v/>
      </c>
      <c r="L207" s="43"/>
      <c r="M207" s="105" t="str">
        <f aca="false">IF($C207="","",IF(IFERROR(INDEX(科目表!$T$4:$T$123,MATCH($C207,科目表!$K$4:$K$123,0)),"")&amp;""="","其他货币资金",INDEX(科目表!$T$4:$T$123,MATCH($C207,科目表!$K$4:$K$123,0))))</f>
        <v/>
      </c>
      <c r="N207" s="39" t="str">
        <f aca="false">IF(OR($C207="",ROUND(N($H207)+N($I207),2)=0),"",IF(N($H207)&gt;0,$M207,$K207))</f>
        <v/>
      </c>
      <c r="O207" s="41" t="str">
        <f aca="false">IF($N207="","",ROUND(N($H207)+N($I207),2))</f>
        <v/>
      </c>
      <c r="P207" s="41" t="str">
        <f aca="false">IF($N207="","",0)</f>
        <v/>
      </c>
      <c r="Q207" s="39" t="str">
        <f aca="false">IF($N207="","",IF(N($H207)&gt;0,$K207,$M207))</f>
        <v/>
      </c>
      <c r="R207" s="41" t="str">
        <f aca="false">IF($Q207="","",0)</f>
        <v/>
      </c>
      <c r="S207" s="41" t="str">
        <f aca="false">IF($Q207="","",ROUND(N($H207)+N($I207),2))</f>
        <v/>
      </c>
      <c r="T207" s="42"/>
      <c r="U207" s="44"/>
      <c r="V207" s="41" t="str">
        <f aca="false">IF($B207="","",TEXT($B207,"yyyy年m月"))</f>
        <v/>
      </c>
      <c r="W207" s="42"/>
      <c r="X207" s="42"/>
      <c r="Y207" s="9"/>
    </row>
    <row r="208" customFormat="false" ht="18" hidden="false" customHeight="true" outlineLevel="0" collapsed="false">
      <c r="A208" s="9" t="str">
        <f aca="false">IF($C208="","",ROW()-3)</f>
        <v/>
      </c>
      <c r="B208" s="76"/>
      <c r="C208" s="74"/>
      <c r="D208" s="43"/>
      <c r="E208" s="42"/>
      <c r="F208" s="74"/>
      <c r="G208" s="74"/>
      <c r="H208" s="44"/>
      <c r="I208" s="44"/>
      <c r="J208" s="103" t="str">
        <f aca="false">IF($C208="","",ROUND(IFERROR(INDEX(期初余额!$I$4:$I$43,MATCH($C208,期初余额!$H$4:$H$43,0)),0)+SUMIFS($H$4:$H208,$C$4:$C208,$C208)-SUMIFS($I$4:$I208,$C$4:$C208,$C208),2))</f>
        <v/>
      </c>
      <c r="K208" s="104" t="str">
        <f aca="false">IF($T208&lt;&gt;"",$T208,IF($C208="","",IF(AND(N($I208)&gt;0,$G208&lt;&gt;""),IF(IFERROR(INDEX(科目表!$U$4:$U$123,MATCH($G208,科目表!$M$4:$M$123,0)),"")&amp;""="","管理费用",INDEX(科目表!$U$4:$U$123,MATCH($G208,科目表!$M$4:$M$123,0))),IF(N($H208)&gt;0,IF(IFERROR(INDEX(自动规则!$C$4:$C$143,MATCH($F208,自动规则!$B$4:$B$143,0)),"")&amp;""="","其他应收款",INDEX(自动规则!$C$4:$C$143,MATCH($F208,自动规则!$B$4:$B$143,0))),IF(IFERROR(INDEX(自动规则!$D$4:$D$143,MATCH($F208,自动规则!$B$4:$B$143,0)),"")&amp;""="","其他应付款",INDEX(自动规则!$D$4:$D$143,MATCH($F208,自动规则!$B$4:$B$143,0)))))))</f>
        <v/>
      </c>
      <c r="L208" s="43"/>
      <c r="M208" s="105" t="str">
        <f aca="false">IF($C208="","",IF(IFERROR(INDEX(科目表!$T$4:$T$123,MATCH($C208,科目表!$K$4:$K$123,0)),"")&amp;""="","其他货币资金",INDEX(科目表!$T$4:$T$123,MATCH($C208,科目表!$K$4:$K$123,0))))</f>
        <v/>
      </c>
      <c r="N208" s="39" t="str">
        <f aca="false">IF(OR($C208="",ROUND(N($H208)+N($I208),2)=0),"",IF(N($H208)&gt;0,$M208,$K208))</f>
        <v/>
      </c>
      <c r="O208" s="41" t="str">
        <f aca="false">IF($N208="","",ROUND(N($H208)+N($I208),2))</f>
        <v/>
      </c>
      <c r="P208" s="41" t="str">
        <f aca="false">IF($N208="","",0)</f>
        <v/>
      </c>
      <c r="Q208" s="39" t="str">
        <f aca="false">IF($N208="","",IF(N($H208)&gt;0,$K208,$M208))</f>
        <v/>
      </c>
      <c r="R208" s="41" t="str">
        <f aca="false">IF($Q208="","",0)</f>
        <v/>
      </c>
      <c r="S208" s="41" t="str">
        <f aca="false">IF($Q208="","",ROUND(N($H208)+N($I208),2))</f>
        <v/>
      </c>
      <c r="T208" s="42"/>
      <c r="U208" s="44"/>
      <c r="V208" s="41" t="str">
        <f aca="false">IF($B208="","",TEXT($B208,"yyyy年m月"))</f>
        <v/>
      </c>
      <c r="W208" s="42"/>
      <c r="X208" s="42"/>
      <c r="Y208" s="9"/>
    </row>
    <row r="209" customFormat="false" ht="18" hidden="false" customHeight="true" outlineLevel="0" collapsed="false">
      <c r="A209" s="9" t="str">
        <f aca="false">IF($C209="","",ROW()-3)</f>
        <v/>
      </c>
      <c r="B209" s="76"/>
      <c r="C209" s="74"/>
      <c r="D209" s="43"/>
      <c r="E209" s="42"/>
      <c r="F209" s="74"/>
      <c r="G209" s="74"/>
      <c r="H209" s="44"/>
      <c r="I209" s="44"/>
      <c r="J209" s="103" t="str">
        <f aca="false">IF($C209="","",ROUND(IFERROR(INDEX(期初余额!$I$4:$I$43,MATCH($C209,期初余额!$H$4:$H$43,0)),0)+SUMIFS($H$4:$H209,$C$4:$C209,$C209)-SUMIFS($I$4:$I209,$C$4:$C209,$C209),2))</f>
        <v/>
      </c>
      <c r="K209" s="104" t="str">
        <f aca="false">IF($T209&lt;&gt;"",$T209,IF($C209="","",IF(AND(N($I209)&gt;0,$G209&lt;&gt;""),IF(IFERROR(INDEX(科目表!$U$4:$U$123,MATCH($G209,科目表!$M$4:$M$123,0)),"")&amp;""="","管理费用",INDEX(科目表!$U$4:$U$123,MATCH($G209,科目表!$M$4:$M$123,0))),IF(N($H209)&gt;0,IF(IFERROR(INDEX(自动规则!$C$4:$C$143,MATCH($F209,自动规则!$B$4:$B$143,0)),"")&amp;""="","其他应收款",INDEX(自动规则!$C$4:$C$143,MATCH($F209,自动规则!$B$4:$B$143,0))),IF(IFERROR(INDEX(自动规则!$D$4:$D$143,MATCH($F209,自动规则!$B$4:$B$143,0)),"")&amp;""="","其他应付款",INDEX(自动规则!$D$4:$D$143,MATCH($F209,自动规则!$B$4:$B$143,0)))))))</f>
        <v/>
      </c>
      <c r="L209" s="43"/>
      <c r="M209" s="105" t="str">
        <f aca="false">IF($C209="","",IF(IFERROR(INDEX(科目表!$T$4:$T$123,MATCH($C209,科目表!$K$4:$K$123,0)),"")&amp;""="","其他货币资金",INDEX(科目表!$T$4:$T$123,MATCH($C209,科目表!$K$4:$K$123,0))))</f>
        <v/>
      </c>
      <c r="N209" s="39" t="str">
        <f aca="false">IF(OR($C209="",ROUND(N($H209)+N($I209),2)=0),"",IF(N($H209)&gt;0,$M209,$K209))</f>
        <v/>
      </c>
      <c r="O209" s="41" t="str">
        <f aca="false">IF($N209="","",ROUND(N($H209)+N($I209),2))</f>
        <v/>
      </c>
      <c r="P209" s="41" t="str">
        <f aca="false">IF($N209="","",0)</f>
        <v/>
      </c>
      <c r="Q209" s="39" t="str">
        <f aca="false">IF($N209="","",IF(N($H209)&gt;0,$K209,$M209))</f>
        <v/>
      </c>
      <c r="R209" s="41" t="str">
        <f aca="false">IF($Q209="","",0)</f>
        <v/>
      </c>
      <c r="S209" s="41" t="str">
        <f aca="false">IF($Q209="","",ROUND(N($H209)+N($I209),2))</f>
        <v/>
      </c>
      <c r="T209" s="42"/>
      <c r="U209" s="44"/>
      <c r="V209" s="41" t="str">
        <f aca="false">IF($B209="","",TEXT($B209,"yyyy年m月"))</f>
        <v/>
      </c>
      <c r="W209" s="42"/>
      <c r="X209" s="42"/>
      <c r="Y209" s="9"/>
    </row>
    <row r="210" customFormat="false" ht="18" hidden="false" customHeight="true" outlineLevel="0" collapsed="false">
      <c r="A210" s="9" t="str">
        <f aca="false">IF($C210="","",ROW()-3)</f>
        <v/>
      </c>
      <c r="B210" s="76"/>
      <c r="C210" s="74"/>
      <c r="D210" s="43"/>
      <c r="E210" s="42"/>
      <c r="F210" s="74"/>
      <c r="G210" s="74"/>
      <c r="H210" s="44"/>
      <c r="I210" s="44"/>
      <c r="J210" s="103" t="str">
        <f aca="false">IF($C210="","",ROUND(IFERROR(INDEX(期初余额!$I$4:$I$43,MATCH($C210,期初余额!$H$4:$H$43,0)),0)+SUMIFS($H$4:$H210,$C$4:$C210,$C210)-SUMIFS($I$4:$I210,$C$4:$C210,$C210),2))</f>
        <v/>
      </c>
      <c r="K210" s="104" t="str">
        <f aca="false">IF($T210&lt;&gt;"",$T210,IF($C210="","",IF(AND(N($I210)&gt;0,$G210&lt;&gt;""),IF(IFERROR(INDEX(科目表!$U$4:$U$123,MATCH($G210,科目表!$M$4:$M$123,0)),"")&amp;""="","管理费用",INDEX(科目表!$U$4:$U$123,MATCH($G210,科目表!$M$4:$M$123,0))),IF(N($H210)&gt;0,IF(IFERROR(INDEX(自动规则!$C$4:$C$143,MATCH($F210,自动规则!$B$4:$B$143,0)),"")&amp;""="","其他应收款",INDEX(自动规则!$C$4:$C$143,MATCH($F210,自动规则!$B$4:$B$143,0))),IF(IFERROR(INDEX(自动规则!$D$4:$D$143,MATCH($F210,自动规则!$B$4:$B$143,0)),"")&amp;""="","其他应付款",INDEX(自动规则!$D$4:$D$143,MATCH($F210,自动规则!$B$4:$B$143,0)))))))</f>
        <v/>
      </c>
      <c r="L210" s="43"/>
      <c r="M210" s="105" t="str">
        <f aca="false">IF($C210="","",IF(IFERROR(INDEX(科目表!$T$4:$T$123,MATCH($C210,科目表!$K$4:$K$123,0)),"")&amp;""="","其他货币资金",INDEX(科目表!$T$4:$T$123,MATCH($C210,科目表!$K$4:$K$123,0))))</f>
        <v/>
      </c>
      <c r="N210" s="39" t="str">
        <f aca="false">IF(OR($C210="",ROUND(N($H210)+N($I210),2)=0),"",IF(N($H210)&gt;0,$M210,$K210))</f>
        <v/>
      </c>
      <c r="O210" s="41" t="str">
        <f aca="false">IF($N210="","",ROUND(N($H210)+N($I210),2))</f>
        <v/>
      </c>
      <c r="P210" s="41" t="str">
        <f aca="false">IF($N210="","",0)</f>
        <v/>
      </c>
      <c r="Q210" s="39" t="str">
        <f aca="false">IF($N210="","",IF(N($H210)&gt;0,$K210,$M210))</f>
        <v/>
      </c>
      <c r="R210" s="41" t="str">
        <f aca="false">IF($Q210="","",0)</f>
        <v/>
      </c>
      <c r="S210" s="41" t="str">
        <f aca="false">IF($Q210="","",ROUND(N($H210)+N($I210),2))</f>
        <v/>
      </c>
      <c r="T210" s="42"/>
      <c r="U210" s="44"/>
      <c r="V210" s="41" t="str">
        <f aca="false">IF($B210="","",TEXT($B210,"yyyy年m月"))</f>
        <v/>
      </c>
      <c r="W210" s="42"/>
      <c r="X210" s="42"/>
      <c r="Y210" s="9"/>
    </row>
    <row r="211" customFormat="false" ht="18" hidden="false" customHeight="true" outlineLevel="0" collapsed="false">
      <c r="A211" s="9" t="str">
        <f aca="false">IF($C211="","",ROW()-3)</f>
        <v/>
      </c>
      <c r="B211" s="76"/>
      <c r="C211" s="74"/>
      <c r="D211" s="43"/>
      <c r="E211" s="42"/>
      <c r="F211" s="74"/>
      <c r="G211" s="74"/>
      <c r="H211" s="44"/>
      <c r="I211" s="44"/>
      <c r="J211" s="103" t="str">
        <f aca="false">IF($C211="","",ROUND(IFERROR(INDEX(期初余额!$I$4:$I$43,MATCH($C211,期初余额!$H$4:$H$43,0)),0)+SUMIFS($H$4:$H211,$C$4:$C211,$C211)-SUMIFS($I$4:$I211,$C$4:$C211,$C211),2))</f>
        <v/>
      </c>
      <c r="K211" s="104" t="str">
        <f aca="false">IF($T211&lt;&gt;"",$T211,IF($C211="","",IF(AND(N($I211)&gt;0,$G211&lt;&gt;""),IF(IFERROR(INDEX(科目表!$U$4:$U$123,MATCH($G211,科目表!$M$4:$M$123,0)),"")&amp;""="","管理费用",INDEX(科目表!$U$4:$U$123,MATCH($G211,科目表!$M$4:$M$123,0))),IF(N($H211)&gt;0,IF(IFERROR(INDEX(自动规则!$C$4:$C$143,MATCH($F211,自动规则!$B$4:$B$143,0)),"")&amp;""="","其他应收款",INDEX(自动规则!$C$4:$C$143,MATCH($F211,自动规则!$B$4:$B$143,0))),IF(IFERROR(INDEX(自动规则!$D$4:$D$143,MATCH($F211,自动规则!$B$4:$B$143,0)),"")&amp;""="","其他应付款",INDEX(自动规则!$D$4:$D$143,MATCH($F211,自动规则!$B$4:$B$143,0)))))))</f>
        <v/>
      </c>
      <c r="L211" s="43"/>
      <c r="M211" s="105" t="str">
        <f aca="false">IF($C211="","",IF(IFERROR(INDEX(科目表!$T$4:$T$123,MATCH($C211,科目表!$K$4:$K$123,0)),"")&amp;""="","其他货币资金",INDEX(科目表!$T$4:$T$123,MATCH($C211,科目表!$K$4:$K$123,0))))</f>
        <v/>
      </c>
      <c r="N211" s="39" t="str">
        <f aca="false">IF(OR($C211="",ROUND(N($H211)+N($I211),2)=0),"",IF(N($H211)&gt;0,$M211,$K211))</f>
        <v/>
      </c>
      <c r="O211" s="41" t="str">
        <f aca="false">IF($N211="","",ROUND(N($H211)+N($I211),2))</f>
        <v/>
      </c>
      <c r="P211" s="41" t="str">
        <f aca="false">IF($N211="","",0)</f>
        <v/>
      </c>
      <c r="Q211" s="39" t="str">
        <f aca="false">IF($N211="","",IF(N($H211)&gt;0,$K211,$M211))</f>
        <v/>
      </c>
      <c r="R211" s="41" t="str">
        <f aca="false">IF($Q211="","",0)</f>
        <v/>
      </c>
      <c r="S211" s="41" t="str">
        <f aca="false">IF($Q211="","",ROUND(N($H211)+N($I211),2))</f>
        <v/>
      </c>
      <c r="T211" s="42"/>
      <c r="U211" s="44"/>
      <c r="V211" s="41" t="str">
        <f aca="false">IF($B211="","",TEXT($B211,"yyyy年m月"))</f>
        <v/>
      </c>
      <c r="W211" s="42"/>
      <c r="X211" s="42"/>
      <c r="Y211" s="9"/>
    </row>
    <row r="212" customFormat="false" ht="18" hidden="false" customHeight="true" outlineLevel="0" collapsed="false">
      <c r="A212" s="9" t="str">
        <f aca="false">IF($C212="","",ROW()-3)</f>
        <v/>
      </c>
      <c r="B212" s="76"/>
      <c r="C212" s="74"/>
      <c r="D212" s="43"/>
      <c r="E212" s="42"/>
      <c r="F212" s="74"/>
      <c r="G212" s="74"/>
      <c r="H212" s="44"/>
      <c r="I212" s="44"/>
      <c r="J212" s="103" t="str">
        <f aca="false">IF($C212="","",ROUND(IFERROR(INDEX(期初余额!$I$4:$I$43,MATCH($C212,期初余额!$H$4:$H$43,0)),0)+SUMIFS($H$4:$H212,$C$4:$C212,$C212)-SUMIFS($I$4:$I212,$C$4:$C212,$C212),2))</f>
        <v/>
      </c>
      <c r="K212" s="104" t="str">
        <f aca="false">IF($T212&lt;&gt;"",$T212,IF($C212="","",IF(AND(N($I212)&gt;0,$G212&lt;&gt;""),IF(IFERROR(INDEX(科目表!$U$4:$U$123,MATCH($G212,科目表!$M$4:$M$123,0)),"")&amp;""="","管理费用",INDEX(科目表!$U$4:$U$123,MATCH($G212,科目表!$M$4:$M$123,0))),IF(N($H212)&gt;0,IF(IFERROR(INDEX(自动规则!$C$4:$C$143,MATCH($F212,自动规则!$B$4:$B$143,0)),"")&amp;""="","其他应收款",INDEX(自动规则!$C$4:$C$143,MATCH($F212,自动规则!$B$4:$B$143,0))),IF(IFERROR(INDEX(自动规则!$D$4:$D$143,MATCH($F212,自动规则!$B$4:$B$143,0)),"")&amp;""="","其他应付款",INDEX(自动规则!$D$4:$D$143,MATCH($F212,自动规则!$B$4:$B$143,0)))))))</f>
        <v/>
      </c>
      <c r="L212" s="43"/>
      <c r="M212" s="105" t="str">
        <f aca="false">IF($C212="","",IF(IFERROR(INDEX(科目表!$T$4:$T$123,MATCH($C212,科目表!$K$4:$K$123,0)),"")&amp;""="","其他货币资金",INDEX(科目表!$T$4:$T$123,MATCH($C212,科目表!$K$4:$K$123,0))))</f>
        <v/>
      </c>
      <c r="N212" s="39" t="str">
        <f aca="false">IF(OR($C212="",ROUND(N($H212)+N($I212),2)=0),"",IF(N($H212)&gt;0,$M212,$K212))</f>
        <v/>
      </c>
      <c r="O212" s="41" t="str">
        <f aca="false">IF($N212="","",ROUND(N($H212)+N($I212),2))</f>
        <v/>
      </c>
      <c r="P212" s="41" t="str">
        <f aca="false">IF($N212="","",0)</f>
        <v/>
      </c>
      <c r="Q212" s="39" t="str">
        <f aca="false">IF($N212="","",IF(N($H212)&gt;0,$K212,$M212))</f>
        <v/>
      </c>
      <c r="R212" s="41" t="str">
        <f aca="false">IF($Q212="","",0)</f>
        <v/>
      </c>
      <c r="S212" s="41" t="str">
        <f aca="false">IF($Q212="","",ROUND(N($H212)+N($I212),2))</f>
        <v/>
      </c>
      <c r="T212" s="42"/>
      <c r="U212" s="44"/>
      <c r="V212" s="41" t="str">
        <f aca="false">IF($B212="","",TEXT($B212,"yyyy年m月"))</f>
        <v/>
      </c>
      <c r="W212" s="42"/>
      <c r="X212" s="42"/>
      <c r="Y212" s="9"/>
    </row>
    <row r="213" customFormat="false" ht="18" hidden="false" customHeight="true" outlineLevel="0" collapsed="false">
      <c r="A213" s="9" t="str">
        <f aca="false">IF($C213="","",ROW()-3)</f>
        <v/>
      </c>
      <c r="B213" s="76"/>
      <c r="C213" s="74"/>
      <c r="D213" s="43"/>
      <c r="E213" s="42"/>
      <c r="F213" s="74"/>
      <c r="G213" s="74"/>
      <c r="H213" s="44"/>
      <c r="I213" s="44"/>
      <c r="J213" s="103" t="str">
        <f aca="false">IF($C213="","",ROUND(IFERROR(INDEX(期初余额!$I$4:$I$43,MATCH($C213,期初余额!$H$4:$H$43,0)),0)+SUMIFS($H$4:$H213,$C$4:$C213,$C213)-SUMIFS($I$4:$I213,$C$4:$C213,$C213),2))</f>
        <v/>
      </c>
      <c r="K213" s="104" t="str">
        <f aca="false">IF($T213&lt;&gt;"",$T213,IF($C213="","",IF(AND(N($I213)&gt;0,$G213&lt;&gt;""),IF(IFERROR(INDEX(科目表!$U$4:$U$123,MATCH($G213,科目表!$M$4:$M$123,0)),"")&amp;""="","管理费用",INDEX(科目表!$U$4:$U$123,MATCH($G213,科目表!$M$4:$M$123,0))),IF(N($H213)&gt;0,IF(IFERROR(INDEX(自动规则!$C$4:$C$143,MATCH($F213,自动规则!$B$4:$B$143,0)),"")&amp;""="","其他应收款",INDEX(自动规则!$C$4:$C$143,MATCH($F213,自动规则!$B$4:$B$143,0))),IF(IFERROR(INDEX(自动规则!$D$4:$D$143,MATCH($F213,自动规则!$B$4:$B$143,0)),"")&amp;""="","其他应付款",INDEX(自动规则!$D$4:$D$143,MATCH($F213,自动规则!$B$4:$B$143,0)))))))</f>
        <v/>
      </c>
      <c r="L213" s="43"/>
      <c r="M213" s="105" t="str">
        <f aca="false">IF($C213="","",IF(IFERROR(INDEX(科目表!$T$4:$T$123,MATCH($C213,科目表!$K$4:$K$123,0)),"")&amp;""="","其他货币资金",INDEX(科目表!$T$4:$T$123,MATCH($C213,科目表!$K$4:$K$123,0))))</f>
        <v/>
      </c>
      <c r="N213" s="39" t="str">
        <f aca="false">IF(OR($C213="",ROUND(N($H213)+N($I213),2)=0),"",IF(N($H213)&gt;0,$M213,$K213))</f>
        <v/>
      </c>
      <c r="O213" s="41" t="str">
        <f aca="false">IF($N213="","",ROUND(N($H213)+N($I213),2))</f>
        <v/>
      </c>
      <c r="P213" s="41" t="str">
        <f aca="false">IF($N213="","",0)</f>
        <v/>
      </c>
      <c r="Q213" s="39" t="str">
        <f aca="false">IF($N213="","",IF(N($H213)&gt;0,$K213,$M213))</f>
        <v/>
      </c>
      <c r="R213" s="41" t="str">
        <f aca="false">IF($Q213="","",0)</f>
        <v/>
      </c>
      <c r="S213" s="41" t="str">
        <f aca="false">IF($Q213="","",ROUND(N($H213)+N($I213),2))</f>
        <v/>
      </c>
      <c r="T213" s="42"/>
      <c r="U213" s="44"/>
      <c r="V213" s="41" t="str">
        <f aca="false">IF($B213="","",TEXT($B213,"yyyy年m月"))</f>
        <v/>
      </c>
      <c r="W213" s="42"/>
      <c r="X213" s="42"/>
      <c r="Y213" s="9"/>
    </row>
    <row r="214" customFormat="false" ht="18" hidden="false" customHeight="true" outlineLevel="0" collapsed="false">
      <c r="A214" s="9" t="str">
        <f aca="false">IF($C214="","",ROW()-3)</f>
        <v/>
      </c>
      <c r="B214" s="76"/>
      <c r="C214" s="74"/>
      <c r="D214" s="43"/>
      <c r="E214" s="42"/>
      <c r="F214" s="74"/>
      <c r="G214" s="74"/>
      <c r="H214" s="44"/>
      <c r="I214" s="44"/>
      <c r="J214" s="103" t="str">
        <f aca="false">IF($C214="","",ROUND(IFERROR(INDEX(期初余额!$I$4:$I$43,MATCH($C214,期初余额!$H$4:$H$43,0)),0)+SUMIFS($H$4:$H214,$C$4:$C214,$C214)-SUMIFS($I$4:$I214,$C$4:$C214,$C214),2))</f>
        <v/>
      </c>
      <c r="K214" s="104" t="str">
        <f aca="false">IF($T214&lt;&gt;"",$T214,IF($C214="","",IF(AND(N($I214)&gt;0,$G214&lt;&gt;""),IF(IFERROR(INDEX(科目表!$U$4:$U$123,MATCH($G214,科目表!$M$4:$M$123,0)),"")&amp;""="","管理费用",INDEX(科目表!$U$4:$U$123,MATCH($G214,科目表!$M$4:$M$123,0))),IF(N($H214)&gt;0,IF(IFERROR(INDEX(自动规则!$C$4:$C$143,MATCH($F214,自动规则!$B$4:$B$143,0)),"")&amp;""="","其他应收款",INDEX(自动规则!$C$4:$C$143,MATCH($F214,自动规则!$B$4:$B$143,0))),IF(IFERROR(INDEX(自动规则!$D$4:$D$143,MATCH($F214,自动规则!$B$4:$B$143,0)),"")&amp;""="","其他应付款",INDEX(自动规则!$D$4:$D$143,MATCH($F214,自动规则!$B$4:$B$143,0)))))))</f>
        <v/>
      </c>
      <c r="L214" s="43"/>
      <c r="M214" s="105" t="str">
        <f aca="false">IF($C214="","",IF(IFERROR(INDEX(科目表!$T$4:$T$123,MATCH($C214,科目表!$K$4:$K$123,0)),"")&amp;""="","其他货币资金",INDEX(科目表!$T$4:$T$123,MATCH($C214,科目表!$K$4:$K$123,0))))</f>
        <v/>
      </c>
      <c r="N214" s="39" t="str">
        <f aca="false">IF(OR($C214="",ROUND(N($H214)+N($I214),2)=0),"",IF(N($H214)&gt;0,$M214,$K214))</f>
        <v/>
      </c>
      <c r="O214" s="41" t="str">
        <f aca="false">IF($N214="","",ROUND(N($H214)+N($I214),2))</f>
        <v/>
      </c>
      <c r="P214" s="41" t="str">
        <f aca="false">IF($N214="","",0)</f>
        <v/>
      </c>
      <c r="Q214" s="39" t="str">
        <f aca="false">IF($N214="","",IF(N($H214)&gt;0,$K214,$M214))</f>
        <v/>
      </c>
      <c r="R214" s="41" t="str">
        <f aca="false">IF($Q214="","",0)</f>
        <v/>
      </c>
      <c r="S214" s="41" t="str">
        <f aca="false">IF($Q214="","",ROUND(N($H214)+N($I214),2))</f>
        <v/>
      </c>
      <c r="T214" s="42"/>
      <c r="U214" s="44"/>
      <c r="V214" s="41" t="str">
        <f aca="false">IF($B214="","",TEXT($B214,"yyyy年m月"))</f>
        <v/>
      </c>
      <c r="W214" s="42"/>
      <c r="X214" s="42"/>
      <c r="Y214" s="9"/>
    </row>
    <row r="215" customFormat="false" ht="18" hidden="false" customHeight="true" outlineLevel="0" collapsed="false">
      <c r="A215" s="9" t="str">
        <f aca="false">IF($C215="","",ROW()-3)</f>
        <v/>
      </c>
      <c r="B215" s="76"/>
      <c r="C215" s="74"/>
      <c r="D215" s="43"/>
      <c r="E215" s="42"/>
      <c r="F215" s="74"/>
      <c r="G215" s="74"/>
      <c r="H215" s="44"/>
      <c r="I215" s="44"/>
      <c r="J215" s="103" t="str">
        <f aca="false">IF($C215="","",ROUND(IFERROR(INDEX(期初余额!$I$4:$I$43,MATCH($C215,期初余额!$H$4:$H$43,0)),0)+SUMIFS($H$4:$H215,$C$4:$C215,$C215)-SUMIFS($I$4:$I215,$C$4:$C215,$C215),2))</f>
        <v/>
      </c>
      <c r="K215" s="104" t="str">
        <f aca="false">IF($T215&lt;&gt;"",$T215,IF($C215="","",IF(AND(N($I215)&gt;0,$G215&lt;&gt;""),IF(IFERROR(INDEX(科目表!$U$4:$U$123,MATCH($G215,科目表!$M$4:$M$123,0)),"")&amp;""="","管理费用",INDEX(科目表!$U$4:$U$123,MATCH($G215,科目表!$M$4:$M$123,0))),IF(N($H215)&gt;0,IF(IFERROR(INDEX(自动规则!$C$4:$C$143,MATCH($F215,自动规则!$B$4:$B$143,0)),"")&amp;""="","其他应收款",INDEX(自动规则!$C$4:$C$143,MATCH($F215,自动规则!$B$4:$B$143,0))),IF(IFERROR(INDEX(自动规则!$D$4:$D$143,MATCH($F215,自动规则!$B$4:$B$143,0)),"")&amp;""="","其他应付款",INDEX(自动规则!$D$4:$D$143,MATCH($F215,自动规则!$B$4:$B$143,0)))))))</f>
        <v/>
      </c>
      <c r="L215" s="43"/>
      <c r="M215" s="105" t="str">
        <f aca="false">IF($C215="","",IF(IFERROR(INDEX(科目表!$T$4:$T$123,MATCH($C215,科目表!$K$4:$K$123,0)),"")&amp;""="","其他货币资金",INDEX(科目表!$T$4:$T$123,MATCH($C215,科目表!$K$4:$K$123,0))))</f>
        <v/>
      </c>
      <c r="N215" s="39" t="str">
        <f aca="false">IF(OR($C215="",ROUND(N($H215)+N($I215),2)=0),"",IF(N($H215)&gt;0,$M215,$K215))</f>
        <v/>
      </c>
      <c r="O215" s="41" t="str">
        <f aca="false">IF($N215="","",ROUND(N($H215)+N($I215),2))</f>
        <v/>
      </c>
      <c r="P215" s="41" t="str">
        <f aca="false">IF($N215="","",0)</f>
        <v/>
      </c>
      <c r="Q215" s="39" t="str">
        <f aca="false">IF($N215="","",IF(N($H215)&gt;0,$K215,$M215))</f>
        <v/>
      </c>
      <c r="R215" s="41" t="str">
        <f aca="false">IF($Q215="","",0)</f>
        <v/>
      </c>
      <c r="S215" s="41" t="str">
        <f aca="false">IF($Q215="","",ROUND(N($H215)+N($I215),2))</f>
        <v/>
      </c>
      <c r="T215" s="42"/>
      <c r="U215" s="44"/>
      <c r="V215" s="41" t="str">
        <f aca="false">IF($B215="","",TEXT($B215,"yyyy年m月"))</f>
        <v/>
      </c>
      <c r="W215" s="42"/>
      <c r="X215" s="42"/>
      <c r="Y215" s="9"/>
    </row>
    <row r="216" customFormat="false" ht="18" hidden="false" customHeight="true" outlineLevel="0" collapsed="false">
      <c r="A216" s="9" t="str">
        <f aca="false">IF($C216="","",ROW()-3)</f>
        <v/>
      </c>
      <c r="B216" s="76"/>
      <c r="C216" s="74"/>
      <c r="D216" s="43"/>
      <c r="E216" s="42"/>
      <c r="F216" s="74"/>
      <c r="G216" s="74"/>
      <c r="H216" s="44"/>
      <c r="I216" s="44"/>
      <c r="J216" s="103" t="str">
        <f aca="false">IF($C216="","",ROUND(IFERROR(INDEX(期初余额!$I$4:$I$43,MATCH($C216,期初余额!$H$4:$H$43,0)),0)+SUMIFS($H$4:$H216,$C$4:$C216,$C216)-SUMIFS($I$4:$I216,$C$4:$C216,$C216),2))</f>
        <v/>
      </c>
      <c r="K216" s="104" t="str">
        <f aca="false">IF($T216&lt;&gt;"",$T216,IF($C216="","",IF(AND(N($I216)&gt;0,$G216&lt;&gt;""),IF(IFERROR(INDEX(科目表!$U$4:$U$123,MATCH($G216,科目表!$M$4:$M$123,0)),"")&amp;""="","管理费用",INDEX(科目表!$U$4:$U$123,MATCH($G216,科目表!$M$4:$M$123,0))),IF(N($H216)&gt;0,IF(IFERROR(INDEX(自动规则!$C$4:$C$143,MATCH($F216,自动规则!$B$4:$B$143,0)),"")&amp;""="","其他应收款",INDEX(自动规则!$C$4:$C$143,MATCH($F216,自动规则!$B$4:$B$143,0))),IF(IFERROR(INDEX(自动规则!$D$4:$D$143,MATCH($F216,自动规则!$B$4:$B$143,0)),"")&amp;""="","其他应付款",INDEX(自动规则!$D$4:$D$143,MATCH($F216,自动规则!$B$4:$B$143,0)))))))</f>
        <v/>
      </c>
      <c r="L216" s="43"/>
      <c r="M216" s="105" t="str">
        <f aca="false">IF($C216="","",IF(IFERROR(INDEX(科目表!$T$4:$T$123,MATCH($C216,科目表!$K$4:$K$123,0)),"")&amp;""="","其他货币资金",INDEX(科目表!$T$4:$T$123,MATCH($C216,科目表!$K$4:$K$123,0))))</f>
        <v/>
      </c>
      <c r="N216" s="39" t="str">
        <f aca="false">IF(OR($C216="",ROUND(N($H216)+N($I216),2)=0),"",IF(N($H216)&gt;0,$M216,$K216))</f>
        <v/>
      </c>
      <c r="O216" s="41" t="str">
        <f aca="false">IF($N216="","",ROUND(N($H216)+N($I216),2))</f>
        <v/>
      </c>
      <c r="P216" s="41" t="str">
        <f aca="false">IF($N216="","",0)</f>
        <v/>
      </c>
      <c r="Q216" s="39" t="str">
        <f aca="false">IF($N216="","",IF(N($H216)&gt;0,$K216,$M216))</f>
        <v/>
      </c>
      <c r="R216" s="41" t="str">
        <f aca="false">IF($Q216="","",0)</f>
        <v/>
      </c>
      <c r="S216" s="41" t="str">
        <f aca="false">IF($Q216="","",ROUND(N($H216)+N($I216),2))</f>
        <v/>
      </c>
      <c r="T216" s="42"/>
      <c r="U216" s="44"/>
      <c r="V216" s="41" t="str">
        <f aca="false">IF($B216="","",TEXT($B216,"yyyy年m月"))</f>
        <v/>
      </c>
      <c r="W216" s="42"/>
      <c r="X216" s="42"/>
      <c r="Y216" s="9"/>
    </row>
    <row r="217" customFormat="false" ht="18" hidden="false" customHeight="true" outlineLevel="0" collapsed="false">
      <c r="A217" s="9" t="str">
        <f aca="false">IF($C217="","",ROW()-3)</f>
        <v/>
      </c>
      <c r="B217" s="76"/>
      <c r="C217" s="74"/>
      <c r="D217" s="43"/>
      <c r="E217" s="42"/>
      <c r="F217" s="74"/>
      <c r="G217" s="74"/>
      <c r="H217" s="44"/>
      <c r="I217" s="44"/>
      <c r="J217" s="103" t="str">
        <f aca="false">IF($C217="","",ROUND(IFERROR(INDEX(期初余额!$I$4:$I$43,MATCH($C217,期初余额!$H$4:$H$43,0)),0)+SUMIFS($H$4:$H217,$C$4:$C217,$C217)-SUMIFS($I$4:$I217,$C$4:$C217,$C217),2))</f>
        <v/>
      </c>
      <c r="K217" s="104" t="str">
        <f aca="false">IF($T217&lt;&gt;"",$T217,IF($C217="","",IF(AND(N($I217)&gt;0,$G217&lt;&gt;""),IF(IFERROR(INDEX(科目表!$U$4:$U$123,MATCH($G217,科目表!$M$4:$M$123,0)),"")&amp;""="","管理费用",INDEX(科目表!$U$4:$U$123,MATCH($G217,科目表!$M$4:$M$123,0))),IF(N($H217)&gt;0,IF(IFERROR(INDEX(自动规则!$C$4:$C$143,MATCH($F217,自动规则!$B$4:$B$143,0)),"")&amp;""="","其他应收款",INDEX(自动规则!$C$4:$C$143,MATCH($F217,自动规则!$B$4:$B$143,0))),IF(IFERROR(INDEX(自动规则!$D$4:$D$143,MATCH($F217,自动规则!$B$4:$B$143,0)),"")&amp;""="","其他应付款",INDEX(自动规则!$D$4:$D$143,MATCH($F217,自动规则!$B$4:$B$143,0)))))))</f>
        <v/>
      </c>
      <c r="L217" s="43"/>
      <c r="M217" s="105" t="str">
        <f aca="false">IF($C217="","",IF(IFERROR(INDEX(科目表!$T$4:$T$123,MATCH($C217,科目表!$K$4:$K$123,0)),"")&amp;""="","其他货币资金",INDEX(科目表!$T$4:$T$123,MATCH($C217,科目表!$K$4:$K$123,0))))</f>
        <v/>
      </c>
      <c r="N217" s="39" t="str">
        <f aca="false">IF(OR($C217="",ROUND(N($H217)+N($I217),2)=0),"",IF(N($H217)&gt;0,$M217,$K217))</f>
        <v/>
      </c>
      <c r="O217" s="41" t="str">
        <f aca="false">IF($N217="","",ROUND(N($H217)+N($I217),2))</f>
        <v/>
      </c>
      <c r="P217" s="41" t="str">
        <f aca="false">IF($N217="","",0)</f>
        <v/>
      </c>
      <c r="Q217" s="39" t="str">
        <f aca="false">IF($N217="","",IF(N($H217)&gt;0,$K217,$M217))</f>
        <v/>
      </c>
      <c r="R217" s="41" t="str">
        <f aca="false">IF($Q217="","",0)</f>
        <v/>
      </c>
      <c r="S217" s="41" t="str">
        <f aca="false">IF($Q217="","",ROUND(N($H217)+N($I217),2))</f>
        <v/>
      </c>
      <c r="T217" s="42"/>
      <c r="U217" s="44"/>
      <c r="V217" s="41" t="str">
        <f aca="false">IF($B217="","",TEXT($B217,"yyyy年m月"))</f>
        <v/>
      </c>
      <c r="W217" s="42"/>
      <c r="X217" s="42"/>
      <c r="Y217" s="9"/>
    </row>
    <row r="218" customFormat="false" ht="18" hidden="false" customHeight="true" outlineLevel="0" collapsed="false">
      <c r="A218" s="9" t="str">
        <f aca="false">IF($C218="","",ROW()-3)</f>
        <v/>
      </c>
      <c r="B218" s="76"/>
      <c r="C218" s="74"/>
      <c r="D218" s="43"/>
      <c r="E218" s="42"/>
      <c r="F218" s="74"/>
      <c r="G218" s="74"/>
      <c r="H218" s="44"/>
      <c r="I218" s="44"/>
      <c r="J218" s="103" t="str">
        <f aca="false">IF($C218="","",ROUND(IFERROR(INDEX(期初余额!$I$4:$I$43,MATCH($C218,期初余额!$H$4:$H$43,0)),0)+SUMIFS($H$4:$H218,$C$4:$C218,$C218)-SUMIFS($I$4:$I218,$C$4:$C218,$C218),2))</f>
        <v/>
      </c>
      <c r="K218" s="104" t="str">
        <f aca="false">IF($T218&lt;&gt;"",$T218,IF($C218="","",IF(AND(N($I218)&gt;0,$G218&lt;&gt;""),IF(IFERROR(INDEX(科目表!$U$4:$U$123,MATCH($G218,科目表!$M$4:$M$123,0)),"")&amp;""="","管理费用",INDEX(科目表!$U$4:$U$123,MATCH($G218,科目表!$M$4:$M$123,0))),IF(N($H218)&gt;0,IF(IFERROR(INDEX(自动规则!$C$4:$C$143,MATCH($F218,自动规则!$B$4:$B$143,0)),"")&amp;""="","其他应收款",INDEX(自动规则!$C$4:$C$143,MATCH($F218,自动规则!$B$4:$B$143,0))),IF(IFERROR(INDEX(自动规则!$D$4:$D$143,MATCH($F218,自动规则!$B$4:$B$143,0)),"")&amp;""="","其他应付款",INDEX(自动规则!$D$4:$D$143,MATCH($F218,自动规则!$B$4:$B$143,0)))))))</f>
        <v/>
      </c>
      <c r="L218" s="43"/>
      <c r="M218" s="105" t="str">
        <f aca="false">IF($C218="","",IF(IFERROR(INDEX(科目表!$T$4:$T$123,MATCH($C218,科目表!$K$4:$K$123,0)),"")&amp;""="","其他货币资金",INDEX(科目表!$T$4:$T$123,MATCH($C218,科目表!$K$4:$K$123,0))))</f>
        <v/>
      </c>
      <c r="N218" s="39" t="str">
        <f aca="false">IF(OR($C218="",ROUND(N($H218)+N($I218),2)=0),"",IF(N($H218)&gt;0,$M218,$K218))</f>
        <v/>
      </c>
      <c r="O218" s="41" t="str">
        <f aca="false">IF($N218="","",ROUND(N($H218)+N($I218),2))</f>
        <v/>
      </c>
      <c r="P218" s="41" t="str">
        <f aca="false">IF($N218="","",0)</f>
        <v/>
      </c>
      <c r="Q218" s="39" t="str">
        <f aca="false">IF($N218="","",IF(N($H218)&gt;0,$K218,$M218))</f>
        <v/>
      </c>
      <c r="R218" s="41" t="str">
        <f aca="false">IF($Q218="","",0)</f>
        <v/>
      </c>
      <c r="S218" s="41" t="str">
        <f aca="false">IF($Q218="","",ROUND(N($H218)+N($I218),2))</f>
        <v/>
      </c>
      <c r="T218" s="42"/>
      <c r="U218" s="44"/>
      <c r="V218" s="41" t="str">
        <f aca="false">IF($B218="","",TEXT($B218,"yyyy年m月"))</f>
        <v/>
      </c>
      <c r="W218" s="42"/>
      <c r="X218" s="42"/>
      <c r="Y218" s="9"/>
    </row>
    <row r="219" customFormat="false" ht="18" hidden="false" customHeight="true" outlineLevel="0" collapsed="false">
      <c r="A219" s="9" t="str">
        <f aca="false">IF($C219="","",ROW()-3)</f>
        <v/>
      </c>
      <c r="B219" s="76"/>
      <c r="C219" s="74"/>
      <c r="D219" s="43"/>
      <c r="E219" s="42"/>
      <c r="F219" s="74"/>
      <c r="G219" s="74"/>
      <c r="H219" s="44"/>
      <c r="I219" s="44"/>
      <c r="J219" s="103" t="str">
        <f aca="false">IF($C219="","",ROUND(IFERROR(INDEX(期初余额!$I$4:$I$43,MATCH($C219,期初余额!$H$4:$H$43,0)),0)+SUMIFS($H$4:$H219,$C$4:$C219,$C219)-SUMIFS($I$4:$I219,$C$4:$C219,$C219),2))</f>
        <v/>
      </c>
      <c r="K219" s="104" t="str">
        <f aca="false">IF($T219&lt;&gt;"",$T219,IF($C219="","",IF(AND(N($I219)&gt;0,$G219&lt;&gt;""),IF(IFERROR(INDEX(科目表!$U$4:$U$123,MATCH($G219,科目表!$M$4:$M$123,0)),"")&amp;""="","管理费用",INDEX(科目表!$U$4:$U$123,MATCH($G219,科目表!$M$4:$M$123,0))),IF(N($H219)&gt;0,IF(IFERROR(INDEX(自动规则!$C$4:$C$143,MATCH($F219,自动规则!$B$4:$B$143,0)),"")&amp;""="","其他应收款",INDEX(自动规则!$C$4:$C$143,MATCH($F219,自动规则!$B$4:$B$143,0))),IF(IFERROR(INDEX(自动规则!$D$4:$D$143,MATCH($F219,自动规则!$B$4:$B$143,0)),"")&amp;""="","其他应付款",INDEX(自动规则!$D$4:$D$143,MATCH($F219,自动规则!$B$4:$B$143,0)))))))</f>
        <v/>
      </c>
      <c r="L219" s="43"/>
      <c r="M219" s="105" t="str">
        <f aca="false">IF($C219="","",IF(IFERROR(INDEX(科目表!$T$4:$T$123,MATCH($C219,科目表!$K$4:$K$123,0)),"")&amp;""="","其他货币资金",INDEX(科目表!$T$4:$T$123,MATCH($C219,科目表!$K$4:$K$123,0))))</f>
        <v/>
      </c>
      <c r="N219" s="39" t="str">
        <f aca="false">IF(OR($C219="",ROUND(N($H219)+N($I219),2)=0),"",IF(N($H219)&gt;0,$M219,$K219))</f>
        <v/>
      </c>
      <c r="O219" s="41" t="str">
        <f aca="false">IF($N219="","",ROUND(N($H219)+N($I219),2))</f>
        <v/>
      </c>
      <c r="P219" s="41" t="str">
        <f aca="false">IF($N219="","",0)</f>
        <v/>
      </c>
      <c r="Q219" s="39" t="str">
        <f aca="false">IF($N219="","",IF(N($H219)&gt;0,$K219,$M219))</f>
        <v/>
      </c>
      <c r="R219" s="41" t="str">
        <f aca="false">IF($Q219="","",0)</f>
        <v/>
      </c>
      <c r="S219" s="41" t="str">
        <f aca="false">IF($Q219="","",ROUND(N($H219)+N($I219),2))</f>
        <v/>
      </c>
      <c r="T219" s="42"/>
      <c r="U219" s="44"/>
      <c r="V219" s="41" t="str">
        <f aca="false">IF($B219="","",TEXT($B219,"yyyy年m月"))</f>
        <v/>
      </c>
      <c r="W219" s="42"/>
      <c r="X219" s="42"/>
      <c r="Y219" s="9"/>
    </row>
    <row r="220" customFormat="false" ht="18" hidden="false" customHeight="true" outlineLevel="0" collapsed="false">
      <c r="A220" s="9" t="str">
        <f aca="false">IF($C220="","",ROW()-3)</f>
        <v/>
      </c>
      <c r="B220" s="76"/>
      <c r="C220" s="74"/>
      <c r="D220" s="43"/>
      <c r="E220" s="42"/>
      <c r="F220" s="74"/>
      <c r="G220" s="74"/>
      <c r="H220" s="44"/>
      <c r="I220" s="44"/>
      <c r="J220" s="103" t="str">
        <f aca="false">IF($C220="","",ROUND(IFERROR(INDEX(期初余额!$I$4:$I$43,MATCH($C220,期初余额!$H$4:$H$43,0)),0)+SUMIFS($H$4:$H220,$C$4:$C220,$C220)-SUMIFS($I$4:$I220,$C$4:$C220,$C220),2))</f>
        <v/>
      </c>
      <c r="K220" s="104" t="str">
        <f aca="false">IF($T220&lt;&gt;"",$T220,IF($C220="","",IF(AND(N($I220)&gt;0,$G220&lt;&gt;""),IF(IFERROR(INDEX(科目表!$U$4:$U$123,MATCH($G220,科目表!$M$4:$M$123,0)),"")&amp;""="","管理费用",INDEX(科目表!$U$4:$U$123,MATCH($G220,科目表!$M$4:$M$123,0))),IF(N($H220)&gt;0,IF(IFERROR(INDEX(自动规则!$C$4:$C$143,MATCH($F220,自动规则!$B$4:$B$143,0)),"")&amp;""="","其他应收款",INDEX(自动规则!$C$4:$C$143,MATCH($F220,自动规则!$B$4:$B$143,0))),IF(IFERROR(INDEX(自动规则!$D$4:$D$143,MATCH($F220,自动规则!$B$4:$B$143,0)),"")&amp;""="","其他应付款",INDEX(自动规则!$D$4:$D$143,MATCH($F220,自动规则!$B$4:$B$143,0)))))))</f>
        <v/>
      </c>
      <c r="L220" s="43"/>
      <c r="M220" s="105" t="str">
        <f aca="false">IF($C220="","",IF(IFERROR(INDEX(科目表!$T$4:$T$123,MATCH($C220,科目表!$K$4:$K$123,0)),"")&amp;""="","其他货币资金",INDEX(科目表!$T$4:$T$123,MATCH($C220,科目表!$K$4:$K$123,0))))</f>
        <v/>
      </c>
      <c r="N220" s="39" t="str">
        <f aca="false">IF(OR($C220="",ROUND(N($H220)+N($I220),2)=0),"",IF(N($H220)&gt;0,$M220,$K220))</f>
        <v/>
      </c>
      <c r="O220" s="41" t="str">
        <f aca="false">IF($N220="","",ROUND(N($H220)+N($I220),2))</f>
        <v/>
      </c>
      <c r="P220" s="41" t="str">
        <f aca="false">IF($N220="","",0)</f>
        <v/>
      </c>
      <c r="Q220" s="39" t="str">
        <f aca="false">IF($N220="","",IF(N($H220)&gt;0,$K220,$M220))</f>
        <v/>
      </c>
      <c r="R220" s="41" t="str">
        <f aca="false">IF($Q220="","",0)</f>
        <v/>
      </c>
      <c r="S220" s="41" t="str">
        <f aca="false">IF($Q220="","",ROUND(N($H220)+N($I220),2))</f>
        <v/>
      </c>
      <c r="T220" s="42"/>
      <c r="U220" s="44"/>
      <c r="V220" s="41" t="str">
        <f aca="false">IF($B220="","",TEXT($B220,"yyyy年m月"))</f>
        <v/>
      </c>
      <c r="W220" s="42"/>
      <c r="X220" s="42"/>
      <c r="Y220" s="9"/>
    </row>
    <row r="221" customFormat="false" ht="18" hidden="false" customHeight="true" outlineLevel="0" collapsed="false">
      <c r="A221" s="9" t="str">
        <f aca="false">IF($C221="","",ROW()-3)</f>
        <v/>
      </c>
      <c r="B221" s="76"/>
      <c r="C221" s="74"/>
      <c r="D221" s="43"/>
      <c r="E221" s="42"/>
      <c r="F221" s="74"/>
      <c r="G221" s="74"/>
      <c r="H221" s="44"/>
      <c r="I221" s="44"/>
      <c r="J221" s="103" t="str">
        <f aca="false">IF($C221="","",ROUND(IFERROR(INDEX(期初余额!$I$4:$I$43,MATCH($C221,期初余额!$H$4:$H$43,0)),0)+SUMIFS($H$4:$H221,$C$4:$C221,$C221)-SUMIFS($I$4:$I221,$C$4:$C221,$C221),2))</f>
        <v/>
      </c>
      <c r="K221" s="104" t="str">
        <f aca="false">IF($T221&lt;&gt;"",$T221,IF($C221="","",IF(AND(N($I221)&gt;0,$G221&lt;&gt;""),IF(IFERROR(INDEX(科目表!$U$4:$U$123,MATCH($G221,科目表!$M$4:$M$123,0)),"")&amp;""="","管理费用",INDEX(科目表!$U$4:$U$123,MATCH($G221,科目表!$M$4:$M$123,0))),IF(N($H221)&gt;0,IF(IFERROR(INDEX(自动规则!$C$4:$C$143,MATCH($F221,自动规则!$B$4:$B$143,0)),"")&amp;""="","其他应收款",INDEX(自动规则!$C$4:$C$143,MATCH($F221,自动规则!$B$4:$B$143,0))),IF(IFERROR(INDEX(自动规则!$D$4:$D$143,MATCH($F221,自动规则!$B$4:$B$143,0)),"")&amp;""="","其他应付款",INDEX(自动规则!$D$4:$D$143,MATCH($F221,自动规则!$B$4:$B$143,0)))))))</f>
        <v/>
      </c>
      <c r="L221" s="43"/>
      <c r="M221" s="105" t="str">
        <f aca="false">IF($C221="","",IF(IFERROR(INDEX(科目表!$T$4:$T$123,MATCH($C221,科目表!$K$4:$K$123,0)),"")&amp;""="","其他货币资金",INDEX(科目表!$T$4:$T$123,MATCH($C221,科目表!$K$4:$K$123,0))))</f>
        <v/>
      </c>
      <c r="N221" s="39" t="str">
        <f aca="false">IF(OR($C221="",ROUND(N($H221)+N($I221),2)=0),"",IF(N($H221)&gt;0,$M221,$K221))</f>
        <v/>
      </c>
      <c r="O221" s="41" t="str">
        <f aca="false">IF($N221="","",ROUND(N($H221)+N($I221),2))</f>
        <v/>
      </c>
      <c r="P221" s="41" t="str">
        <f aca="false">IF($N221="","",0)</f>
        <v/>
      </c>
      <c r="Q221" s="39" t="str">
        <f aca="false">IF($N221="","",IF(N($H221)&gt;0,$K221,$M221))</f>
        <v/>
      </c>
      <c r="R221" s="41" t="str">
        <f aca="false">IF($Q221="","",0)</f>
        <v/>
      </c>
      <c r="S221" s="41" t="str">
        <f aca="false">IF($Q221="","",ROUND(N($H221)+N($I221),2))</f>
        <v/>
      </c>
      <c r="T221" s="42"/>
      <c r="U221" s="44"/>
      <c r="V221" s="41" t="str">
        <f aca="false">IF($B221="","",TEXT($B221,"yyyy年m月"))</f>
        <v/>
      </c>
      <c r="W221" s="42"/>
      <c r="X221" s="42"/>
      <c r="Y221" s="9"/>
    </row>
    <row r="222" customFormat="false" ht="18" hidden="false" customHeight="true" outlineLevel="0" collapsed="false">
      <c r="A222" s="9" t="str">
        <f aca="false">IF($C222="","",ROW()-3)</f>
        <v/>
      </c>
      <c r="B222" s="76"/>
      <c r="C222" s="74"/>
      <c r="D222" s="43"/>
      <c r="E222" s="42"/>
      <c r="F222" s="74"/>
      <c r="G222" s="74"/>
      <c r="H222" s="44"/>
      <c r="I222" s="44"/>
      <c r="J222" s="103" t="str">
        <f aca="false">IF($C222="","",ROUND(IFERROR(INDEX(期初余额!$I$4:$I$43,MATCH($C222,期初余额!$H$4:$H$43,0)),0)+SUMIFS($H$4:$H222,$C$4:$C222,$C222)-SUMIFS($I$4:$I222,$C$4:$C222,$C222),2))</f>
        <v/>
      </c>
      <c r="K222" s="104" t="str">
        <f aca="false">IF($T222&lt;&gt;"",$T222,IF($C222="","",IF(AND(N($I222)&gt;0,$G222&lt;&gt;""),IF(IFERROR(INDEX(科目表!$U$4:$U$123,MATCH($G222,科目表!$M$4:$M$123,0)),"")&amp;""="","管理费用",INDEX(科目表!$U$4:$U$123,MATCH($G222,科目表!$M$4:$M$123,0))),IF(N($H222)&gt;0,IF(IFERROR(INDEX(自动规则!$C$4:$C$143,MATCH($F222,自动规则!$B$4:$B$143,0)),"")&amp;""="","其他应收款",INDEX(自动规则!$C$4:$C$143,MATCH($F222,自动规则!$B$4:$B$143,0))),IF(IFERROR(INDEX(自动规则!$D$4:$D$143,MATCH($F222,自动规则!$B$4:$B$143,0)),"")&amp;""="","其他应付款",INDEX(自动规则!$D$4:$D$143,MATCH($F222,自动规则!$B$4:$B$143,0)))))))</f>
        <v/>
      </c>
      <c r="L222" s="43"/>
      <c r="M222" s="105" t="str">
        <f aca="false">IF($C222="","",IF(IFERROR(INDEX(科目表!$T$4:$T$123,MATCH($C222,科目表!$K$4:$K$123,0)),"")&amp;""="","其他货币资金",INDEX(科目表!$T$4:$T$123,MATCH($C222,科目表!$K$4:$K$123,0))))</f>
        <v/>
      </c>
      <c r="N222" s="39" t="str">
        <f aca="false">IF(OR($C222="",ROUND(N($H222)+N($I222),2)=0),"",IF(N($H222)&gt;0,$M222,$K222))</f>
        <v/>
      </c>
      <c r="O222" s="41" t="str">
        <f aca="false">IF($N222="","",ROUND(N($H222)+N($I222),2))</f>
        <v/>
      </c>
      <c r="P222" s="41" t="str">
        <f aca="false">IF($N222="","",0)</f>
        <v/>
      </c>
      <c r="Q222" s="39" t="str">
        <f aca="false">IF($N222="","",IF(N($H222)&gt;0,$K222,$M222))</f>
        <v/>
      </c>
      <c r="R222" s="41" t="str">
        <f aca="false">IF($Q222="","",0)</f>
        <v/>
      </c>
      <c r="S222" s="41" t="str">
        <f aca="false">IF($Q222="","",ROUND(N($H222)+N($I222),2))</f>
        <v/>
      </c>
      <c r="T222" s="42"/>
      <c r="U222" s="44"/>
      <c r="V222" s="41" t="str">
        <f aca="false">IF($B222="","",TEXT($B222,"yyyy年m月"))</f>
        <v/>
      </c>
      <c r="W222" s="42"/>
      <c r="X222" s="42"/>
      <c r="Y222" s="9"/>
    </row>
    <row r="223" customFormat="false" ht="18" hidden="false" customHeight="true" outlineLevel="0" collapsed="false">
      <c r="A223" s="9" t="str">
        <f aca="false">IF($C223="","",ROW()-3)</f>
        <v/>
      </c>
      <c r="B223" s="76"/>
      <c r="C223" s="74"/>
      <c r="D223" s="43"/>
      <c r="E223" s="42"/>
      <c r="F223" s="74"/>
      <c r="G223" s="74"/>
      <c r="H223" s="44"/>
      <c r="I223" s="44"/>
      <c r="J223" s="103" t="str">
        <f aca="false">IF($C223="","",ROUND(IFERROR(INDEX(期初余额!$I$4:$I$43,MATCH($C223,期初余额!$H$4:$H$43,0)),0)+SUMIFS($H$4:$H223,$C$4:$C223,$C223)-SUMIFS($I$4:$I223,$C$4:$C223,$C223),2))</f>
        <v/>
      </c>
      <c r="K223" s="104" t="str">
        <f aca="false">IF($T223&lt;&gt;"",$T223,IF($C223="","",IF(AND(N($I223)&gt;0,$G223&lt;&gt;""),IF(IFERROR(INDEX(科目表!$U$4:$U$123,MATCH($G223,科目表!$M$4:$M$123,0)),"")&amp;""="","管理费用",INDEX(科目表!$U$4:$U$123,MATCH($G223,科目表!$M$4:$M$123,0))),IF(N($H223)&gt;0,IF(IFERROR(INDEX(自动规则!$C$4:$C$143,MATCH($F223,自动规则!$B$4:$B$143,0)),"")&amp;""="","其他应收款",INDEX(自动规则!$C$4:$C$143,MATCH($F223,自动规则!$B$4:$B$143,0))),IF(IFERROR(INDEX(自动规则!$D$4:$D$143,MATCH($F223,自动规则!$B$4:$B$143,0)),"")&amp;""="","其他应付款",INDEX(自动规则!$D$4:$D$143,MATCH($F223,自动规则!$B$4:$B$143,0)))))))</f>
        <v/>
      </c>
      <c r="L223" s="43"/>
      <c r="M223" s="105" t="str">
        <f aca="false">IF($C223="","",IF(IFERROR(INDEX(科目表!$T$4:$T$123,MATCH($C223,科目表!$K$4:$K$123,0)),"")&amp;""="","其他货币资金",INDEX(科目表!$T$4:$T$123,MATCH($C223,科目表!$K$4:$K$123,0))))</f>
        <v/>
      </c>
      <c r="N223" s="39" t="str">
        <f aca="false">IF(OR($C223="",ROUND(N($H223)+N($I223),2)=0),"",IF(N($H223)&gt;0,$M223,$K223))</f>
        <v/>
      </c>
      <c r="O223" s="41" t="str">
        <f aca="false">IF($N223="","",ROUND(N($H223)+N($I223),2))</f>
        <v/>
      </c>
      <c r="P223" s="41" t="str">
        <f aca="false">IF($N223="","",0)</f>
        <v/>
      </c>
      <c r="Q223" s="39" t="str">
        <f aca="false">IF($N223="","",IF(N($H223)&gt;0,$K223,$M223))</f>
        <v/>
      </c>
      <c r="R223" s="41" t="str">
        <f aca="false">IF($Q223="","",0)</f>
        <v/>
      </c>
      <c r="S223" s="41" t="str">
        <f aca="false">IF($Q223="","",ROUND(N($H223)+N($I223),2))</f>
        <v/>
      </c>
      <c r="T223" s="42"/>
      <c r="U223" s="44"/>
      <c r="V223" s="41" t="str">
        <f aca="false">IF($B223="","",TEXT($B223,"yyyy年m月"))</f>
        <v/>
      </c>
      <c r="W223" s="42"/>
      <c r="X223" s="42"/>
      <c r="Y223" s="9"/>
    </row>
    <row r="224" customFormat="false" ht="18" hidden="false" customHeight="true" outlineLevel="0" collapsed="false">
      <c r="A224" s="9" t="str">
        <f aca="false">IF($C224="","",ROW()-3)</f>
        <v/>
      </c>
      <c r="B224" s="76"/>
      <c r="C224" s="74"/>
      <c r="D224" s="43"/>
      <c r="E224" s="42"/>
      <c r="F224" s="74"/>
      <c r="G224" s="74"/>
      <c r="H224" s="44"/>
      <c r="I224" s="44"/>
      <c r="J224" s="103" t="str">
        <f aca="false">IF($C224="","",ROUND(IFERROR(INDEX(期初余额!$I$4:$I$43,MATCH($C224,期初余额!$H$4:$H$43,0)),0)+SUMIFS($H$4:$H224,$C$4:$C224,$C224)-SUMIFS($I$4:$I224,$C$4:$C224,$C224),2))</f>
        <v/>
      </c>
      <c r="K224" s="104" t="str">
        <f aca="false">IF($T224&lt;&gt;"",$T224,IF($C224="","",IF(AND(N($I224)&gt;0,$G224&lt;&gt;""),IF(IFERROR(INDEX(科目表!$U$4:$U$123,MATCH($G224,科目表!$M$4:$M$123,0)),"")&amp;""="","管理费用",INDEX(科目表!$U$4:$U$123,MATCH($G224,科目表!$M$4:$M$123,0))),IF(N($H224)&gt;0,IF(IFERROR(INDEX(自动规则!$C$4:$C$143,MATCH($F224,自动规则!$B$4:$B$143,0)),"")&amp;""="","其他应收款",INDEX(自动规则!$C$4:$C$143,MATCH($F224,自动规则!$B$4:$B$143,0))),IF(IFERROR(INDEX(自动规则!$D$4:$D$143,MATCH($F224,自动规则!$B$4:$B$143,0)),"")&amp;""="","其他应付款",INDEX(自动规则!$D$4:$D$143,MATCH($F224,自动规则!$B$4:$B$143,0)))))))</f>
        <v/>
      </c>
      <c r="L224" s="43"/>
      <c r="M224" s="105" t="str">
        <f aca="false">IF($C224="","",IF(IFERROR(INDEX(科目表!$T$4:$T$123,MATCH($C224,科目表!$K$4:$K$123,0)),"")&amp;""="","其他货币资金",INDEX(科目表!$T$4:$T$123,MATCH($C224,科目表!$K$4:$K$123,0))))</f>
        <v/>
      </c>
      <c r="N224" s="39" t="str">
        <f aca="false">IF(OR($C224="",ROUND(N($H224)+N($I224),2)=0),"",IF(N($H224)&gt;0,$M224,$K224))</f>
        <v/>
      </c>
      <c r="O224" s="41" t="str">
        <f aca="false">IF($N224="","",ROUND(N($H224)+N($I224),2))</f>
        <v/>
      </c>
      <c r="P224" s="41" t="str">
        <f aca="false">IF($N224="","",0)</f>
        <v/>
      </c>
      <c r="Q224" s="39" t="str">
        <f aca="false">IF($N224="","",IF(N($H224)&gt;0,$K224,$M224))</f>
        <v/>
      </c>
      <c r="R224" s="41" t="str">
        <f aca="false">IF($Q224="","",0)</f>
        <v/>
      </c>
      <c r="S224" s="41" t="str">
        <f aca="false">IF($Q224="","",ROUND(N($H224)+N($I224),2))</f>
        <v/>
      </c>
      <c r="T224" s="42"/>
      <c r="U224" s="44"/>
      <c r="V224" s="41" t="str">
        <f aca="false">IF($B224="","",TEXT($B224,"yyyy年m月"))</f>
        <v/>
      </c>
      <c r="W224" s="42"/>
      <c r="X224" s="42"/>
      <c r="Y224" s="9"/>
    </row>
    <row r="225" customFormat="false" ht="18" hidden="false" customHeight="true" outlineLevel="0" collapsed="false">
      <c r="A225" s="9" t="str">
        <f aca="false">IF($C225="","",ROW()-3)</f>
        <v/>
      </c>
      <c r="B225" s="76"/>
      <c r="C225" s="74"/>
      <c r="D225" s="43"/>
      <c r="E225" s="42"/>
      <c r="F225" s="74"/>
      <c r="G225" s="74"/>
      <c r="H225" s="44"/>
      <c r="I225" s="44"/>
      <c r="J225" s="103" t="str">
        <f aca="false">IF($C225="","",ROUND(IFERROR(INDEX(期初余额!$I$4:$I$43,MATCH($C225,期初余额!$H$4:$H$43,0)),0)+SUMIFS($H$4:$H225,$C$4:$C225,$C225)-SUMIFS($I$4:$I225,$C$4:$C225,$C225),2))</f>
        <v/>
      </c>
      <c r="K225" s="104" t="str">
        <f aca="false">IF($T225&lt;&gt;"",$T225,IF($C225="","",IF(AND(N($I225)&gt;0,$G225&lt;&gt;""),IF(IFERROR(INDEX(科目表!$U$4:$U$123,MATCH($G225,科目表!$M$4:$M$123,0)),"")&amp;""="","管理费用",INDEX(科目表!$U$4:$U$123,MATCH($G225,科目表!$M$4:$M$123,0))),IF(N($H225)&gt;0,IF(IFERROR(INDEX(自动规则!$C$4:$C$143,MATCH($F225,自动规则!$B$4:$B$143,0)),"")&amp;""="","其他应收款",INDEX(自动规则!$C$4:$C$143,MATCH($F225,自动规则!$B$4:$B$143,0))),IF(IFERROR(INDEX(自动规则!$D$4:$D$143,MATCH($F225,自动规则!$B$4:$B$143,0)),"")&amp;""="","其他应付款",INDEX(自动规则!$D$4:$D$143,MATCH($F225,自动规则!$B$4:$B$143,0)))))))</f>
        <v/>
      </c>
      <c r="L225" s="43"/>
      <c r="M225" s="105" t="str">
        <f aca="false">IF($C225="","",IF(IFERROR(INDEX(科目表!$T$4:$T$123,MATCH($C225,科目表!$K$4:$K$123,0)),"")&amp;""="","其他货币资金",INDEX(科目表!$T$4:$T$123,MATCH($C225,科目表!$K$4:$K$123,0))))</f>
        <v/>
      </c>
      <c r="N225" s="39" t="str">
        <f aca="false">IF(OR($C225="",ROUND(N($H225)+N($I225),2)=0),"",IF(N($H225)&gt;0,$M225,$K225))</f>
        <v/>
      </c>
      <c r="O225" s="41" t="str">
        <f aca="false">IF($N225="","",ROUND(N($H225)+N($I225),2))</f>
        <v/>
      </c>
      <c r="P225" s="41" t="str">
        <f aca="false">IF($N225="","",0)</f>
        <v/>
      </c>
      <c r="Q225" s="39" t="str">
        <f aca="false">IF($N225="","",IF(N($H225)&gt;0,$K225,$M225))</f>
        <v/>
      </c>
      <c r="R225" s="41" t="str">
        <f aca="false">IF($Q225="","",0)</f>
        <v/>
      </c>
      <c r="S225" s="41" t="str">
        <f aca="false">IF($Q225="","",ROUND(N($H225)+N($I225),2))</f>
        <v/>
      </c>
      <c r="T225" s="42"/>
      <c r="U225" s="44"/>
      <c r="V225" s="41" t="str">
        <f aca="false">IF($B225="","",TEXT($B225,"yyyy年m月"))</f>
        <v/>
      </c>
      <c r="W225" s="42"/>
      <c r="X225" s="42"/>
      <c r="Y225" s="9"/>
    </row>
    <row r="226" customFormat="false" ht="18" hidden="false" customHeight="true" outlineLevel="0" collapsed="false">
      <c r="A226" s="9" t="str">
        <f aca="false">IF($C226="","",ROW()-3)</f>
        <v/>
      </c>
      <c r="B226" s="76"/>
      <c r="C226" s="74"/>
      <c r="D226" s="43"/>
      <c r="E226" s="42"/>
      <c r="F226" s="74"/>
      <c r="G226" s="74"/>
      <c r="H226" s="44"/>
      <c r="I226" s="44"/>
      <c r="J226" s="103" t="str">
        <f aca="false">IF($C226="","",ROUND(IFERROR(INDEX(期初余额!$I$4:$I$43,MATCH($C226,期初余额!$H$4:$H$43,0)),0)+SUMIFS($H$4:$H226,$C$4:$C226,$C226)-SUMIFS($I$4:$I226,$C$4:$C226,$C226),2))</f>
        <v/>
      </c>
      <c r="K226" s="104" t="str">
        <f aca="false">IF($T226&lt;&gt;"",$T226,IF($C226="","",IF(AND(N($I226)&gt;0,$G226&lt;&gt;""),IF(IFERROR(INDEX(科目表!$U$4:$U$123,MATCH($G226,科目表!$M$4:$M$123,0)),"")&amp;""="","管理费用",INDEX(科目表!$U$4:$U$123,MATCH($G226,科目表!$M$4:$M$123,0))),IF(N($H226)&gt;0,IF(IFERROR(INDEX(自动规则!$C$4:$C$143,MATCH($F226,自动规则!$B$4:$B$143,0)),"")&amp;""="","其他应收款",INDEX(自动规则!$C$4:$C$143,MATCH($F226,自动规则!$B$4:$B$143,0))),IF(IFERROR(INDEX(自动规则!$D$4:$D$143,MATCH($F226,自动规则!$B$4:$B$143,0)),"")&amp;""="","其他应付款",INDEX(自动规则!$D$4:$D$143,MATCH($F226,自动规则!$B$4:$B$143,0)))))))</f>
        <v/>
      </c>
      <c r="L226" s="43"/>
      <c r="M226" s="105" t="str">
        <f aca="false">IF($C226="","",IF(IFERROR(INDEX(科目表!$T$4:$T$123,MATCH($C226,科目表!$K$4:$K$123,0)),"")&amp;""="","其他货币资金",INDEX(科目表!$T$4:$T$123,MATCH($C226,科目表!$K$4:$K$123,0))))</f>
        <v/>
      </c>
      <c r="N226" s="39" t="str">
        <f aca="false">IF(OR($C226="",ROUND(N($H226)+N($I226),2)=0),"",IF(N($H226)&gt;0,$M226,$K226))</f>
        <v/>
      </c>
      <c r="O226" s="41" t="str">
        <f aca="false">IF($N226="","",ROUND(N($H226)+N($I226),2))</f>
        <v/>
      </c>
      <c r="P226" s="41" t="str">
        <f aca="false">IF($N226="","",0)</f>
        <v/>
      </c>
      <c r="Q226" s="39" t="str">
        <f aca="false">IF($N226="","",IF(N($H226)&gt;0,$K226,$M226))</f>
        <v/>
      </c>
      <c r="R226" s="41" t="str">
        <f aca="false">IF($Q226="","",0)</f>
        <v/>
      </c>
      <c r="S226" s="41" t="str">
        <f aca="false">IF($Q226="","",ROUND(N($H226)+N($I226),2))</f>
        <v/>
      </c>
      <c r="T226" s="42"/>
      <c r="U226" s="44"/>
      <c r="V226" s="41" t="str">
        <f aca="false">IF($B226="","",TEXT($B226,"yyyy年m月"))</f>
        <v/>
      </c>
      <c r="W226" s="42"/>
      <c r="X226" s="42"/>
      <c r="Y226" s="9"/>
    </row>
    <row r="227" customFormat="false" ht="18" hidden="false" customHeight="true" outlineLevel="0" collapsed="false">
      <c r="A227" s="9" t="str">
        <f aca="false">IF($C227="","",ROW()-3)</f>
        <v/>
      </c>
      <c r="B227" s="76"/>
      <c r="C227" s="74"/>
      <c r="D227" s="43"/>
      <c r="E227" s="42"/>
      <c r="F227" s="74"/>
      <c r="G227" s="74"/>
      <c r="H227" s="44"/>
      <c r="I227" s="44"/>
      <c r="J227" s="103" t="str">
        <f aca="false">IF($C227="","",ROUND(IFERROR(INDEX(期初余额!$I$4:$I$43,MATCH($C227,期初余额!$H$4:$H$43,0)),0)+SUMIFS($H$4:$H227,$C$4:$C227,$C227)-SUMIFS($I$4:$I227,$C$4:$C227,$C227),2))</f>
        <v/>
      </c>
      <c r="K227" s="104" t="str">
        <f aca="false">IF($T227&lt;&gt;"",$T227,IF($C227="","",IF(AND(N($I227)&gt;0,$G227&lt;&gt;""),IF(IFERROR(INDEX(科目表!$U$4:$U$123,MATCH($G227,科目表!$M$4:$M$123,0)),"")&amp;""="","管理费用",INDEX(科目表!$U$4:$U$123,MATCH($G227,科目表!$M$4:$M$123,0))),IF(N($H227)&gt;0,IF(IFERROR(INDEX(自动规则!$C$4:$C$143,MATCH($F227,自动规则!$B$4:$B$143,0)),"")&amp;""="","其他应收款",INDEX(自动规则!$C$4:$C$143,MATCH($F227,自动规则!$B$4:$B$143,0))),IF(IFERROR(INDEX(自动规则!$D$4:$D$143,MATCH($F227,自动规则!$B$4:$B$143,0)),"")&amp;""="","其他应付款",INDEX(自动规则!$D$4:$D$143,MATCH($F227,自动规则!$B$4:$B$143,0)))))))</f>
        <v/>
      </c>
      <c r="L227" s="43"/>
      <c r="M227" s="105" t="str">
        <f aca="false">IF($C227="","",IF(IFERROR(INDEX(科目表!$T$4:$T$123,MATCH($C227,科目表!$K$4:$K$123,0)),"")&amp;""="","其他货币资金",INDEX(科目表!$T$4:$T$123,MATCH($C227,科目表!$K$4:$K$123,0))))</f>
        <v/>
      </c>
      <c r="N227" s="39" t="str">
        <f aca="false">IF(OR($C227="",ROUND(N($H227)+N($I227),2)=0),"",IF(N($H227)&gt;0,$M227,$K227))</f>
        <v/>
      </c>
      <c r="O227" s="41" t="str">
        <f aca="false">IF($N227="","",ROUND(N($H227)+N($I227),2))</f>
        <v/>
      </c>
      <c r="P227" s="41" t="str">
        <f aca="false">IF($N227="","",0)</f>
        <v/>
      </c>
      <c r="Q227" s="39" t="str">
        <f aca="false">IF($N227="","",IF(N($H227)&gt;0,$K227,$M227))</f>
        <v/>
      </c>
      <c r="R227" s="41" t="str">
        <f aca="false">IF($Q227="","",0)</f>
        <v/>
      </c>
      <c r="S227" s="41" t="str">
        <f aca="false">IF($Q227="","",ROUND(N($H227)+N($I227),2))</f>
        <v/>
      </c>
      <c r="T227" s="42"/>
      <c r="U227" s="44"/>
      <c r="V227" s="41" t="str">
        <f aca="false">IF($B227="","",TEXT($B227,"yyyy年m月"))</f>
        <v/>
      </c>
      <c r="W227" s="42"/>
      <c r="X227" s="42"/>
      <c r="Y227" s="9"/>
    </row>
    <row r="228" customFormat="false" ht="18" hidden="false" customHeight="true" outlineLevel="0" collapsed="false">
      <c r="A228" s="9" t="str">
        <f aca="false">IF($C228="","",ROW()-3)</f>
        <v/>
      </c>
      <c r="B228" s="76"/>
      <c r="C228" s="74"/>
      <c r="D228" s="43"/>
      <c r="E228" s="42"/>
      <c r="F228" s="74"/>
      <c r="G228" s="74"/>
      <c r="H228" s="44"/>
      <c r="I228" s="44"/>
      <c r="J228" s="103" t="str">
        <f aca="false">IF($C228="","",ROUND(IFERROR(INDEX(期初余额!$I$4:$I$43,MATCH($C228,期初余额!$H$4:$H$43,0)),0)+SUMIFS($H$4:$H228,$C$4:$C228,$C228)-SUMIFS($I$4:$I228,$C$4:$C228,$C228),2))</f>
        <v/>
      </c>
      <c r="K228" s="104" t="str">
        <f aca="false">IF($T228&lt;&gt;"",$T228,IF($C228="","",IF(AND(N($I228)&gt;0,$G228&lt;&gt;""),IF(IFERROR(INDEX(科目表!$U$4:$U$123,MATCH($G228,科目表!$M$4:$M$123,0)),"")&amp;""="","管理费用",INDEX(科目表!$U$4:$U$123,MATCH($G228,科目表!$M$4:$M$123,0))),IF(N($H228)&gt;0,IF(IFERROR(INDEX(自动规则!$C$4:$C$143,MATCH($F228,自动规则!$B$4:$B$143,0)),"")&amp;""="","其他应收款",INDEX(自动规则!$C$4:$C$143,MATCH($F228,自动规则!$B$4:$B$143,0))),IF(IFERROR(INDEX(自动规则!$D$4:$D$143,MATCH($F228,自动规则!$B$4:$B$143,0)),"")&amp;""="","其他应付款",INDEX(自动规则!$D$4:$D$143,MATCH($F228,自动规则!$B$4:$B$143,0)))))))</f>
        <v/>
      </c>
      <c r="L228" s="43"/>
      <c r="M228" s="105" t="str">
        <f aca="false">IF($C228="","",IF(IFERROR(INDEX(科目表!$T$4:$T$123,MATCH($C228,科目表!$K$4:$K$123,0)),"")&amp;""="","其他货币资金",INDEX(科目表!$T$4:$T$123,MATCH($C228,科目表!$K$4:$K$123,0))))</f>
        <v/>
      </c>
      <c r="N228" s="39" t="str">
        <f aca="false">IF(OR($C228="",ROUND(N($H228)+N($I228),2)=0),"",IF(N($H228)&gt;0,$M228,$K228))</f>
        <v/>
      </c>
      <c r="O228" s="41" t="str">
        <f aca="false">IF($N228="","",ROUND(N($H228)+N($I228),2))</f>
        <v/>
      </c>
      <c r="P228" s="41" t="str">
        <f aca="false">IF($N228="","",0)</f>
        <v/>
      </c>
      <c r="Q228" s="39" t="str">
        <f aca="false">IF($N228="","",IF(N($H228)&gt;0,$K228,$M228))</f>
        <v/>
      </c>
      <c r="R228" s="41" t="str">
        <f aca="false">IF($Q228="","",0)</f>
        <v/>
      </c>
      <c r="S228" s="41" t="str">
        <f aca="false">IF($Q228="","",ROUND(N($H228)+N($I228),2))</f>
        <v/>
      </c>
      <c r="T228" s="42"/>
      <c r="U228" s="44"/>
      <c r="V228" s="41" t="str">
        <f aca="false">IF($B228="","",TEXT($B228,"yyyy年m月"))</f>
        <v/>
      </c>
      <c r="W228" s="42"/>
      <c r="X228" s="42"/>
      <c r="Y228" s="9"/>
    </row>
    <row r="229" customFormat="false" ht="18" hidden="false" customHeight="true" outlineLevel="0" collapsed="false">
      <c r="A229" s="9" t="str">
        <f aca="false">IF($C229="","",ROW()-3)</f>
        <v/>
      </c>
      <c r="B229" s="76"/>
      <c r="C229" s="74"/>
      <c r="D229" s="43"/>
      <c r="E229" s="42"/>
      <c r="F229" s="74"/>
      <c r="G229" s="74"/>
      <c r="H229" s="44"/>
      <c r="I229" s="44"/>
      <c r="J229" s="103" t="str">
        <f aca="false">IF($C229="","",ROUND(IFERROR(INDEX(期初余额!$I$4:$I$43,MATCH($C229,期初余额!$H$4:$H$43,0)),0)+SUMIFS($H$4:$H229,$C$4:$C229,$C229)-SUMIFS($I$4:$I229,$C$4:$C229,$C229),2))</f>
        <v/>
      </c>
      <c r="K229" s="104" t="str">
        <f aca="false">IF($T229&lt;&gt;"",$T229,IF($C229="","",IF(AND(N($I229)&gt;0,$G229&lt;&gt;""),IF(IFERROR(INDEX(科目表!$U$4:$U$123,MATCH($G229,科目表!$M$4:$M$123,0)),"")&amp;""="","管理费用",INDEX(科目表!$U$4:$U$123,MATCH($G229,科目表!$M$4:$M$123,0))),IF(N($H229)&gt;0,IF(IFERROR(INDEX(自动规则!$C$4:$C$143,MATCH($F229,自动规则!$B$4:$B$143,0)),"")&amp;""="","其他应收款",INDEX(自动规则!$C$4:$C$143,MATCH($F229,自动规则!$B$4:$B$143,0))),IF(IFERROR(INDEX(自动规则!$D$4:$D$143,MATCH($F229,自动规则!$B$4:$B$143,0)),"")&amp;""="","其他应付款",INDEX(自动规则!$D$4:$D$143,MATCH($F229,自动规则!$B$4:$B$143,0)))))))</f>
        <v/>
      </c>
      <c r="L229" s="43"/>
      <c r="M229" s="105" t="str">
        <f aca="false">IF($C229="","",IF(IFERROR(INDEX(科目表!$T$4:$T$123,MATCH($C229,科目表!$K$4:$K$123,0)),"")&amp;""="","其他货币资金",INDEX(科目表!$T$4:$T$123,MATCH($C229,科目表!$K$4:$K$123,0))))</f>
        <v/>
      </c>
      <c r="N229" s="39" t="str">
        <f aca="false">IF(OR($C229="",ROUND(N($H229)+N($I229),2)=0),"",IF(N($H229)&gt;0,$M229,$K229))</f>
        <v/>
      </c>
      <c r="O229" s="41" t="str">
        <f aca="false">IF($N229="","",ROUND(N($H229)+N($I229),2))</f>
        <v/>
      </c>
      <c r="P229" s="41" t="str">
        <f aca="false">IF($N229="","",0)</f>
        <v/>
      </c>
      <c r="Q229" s="39" t="str">
        <f aca="false">IF($N229="","",IF(N($H229)&gt;0,$K229,$M229))</f>
        <v/>
      </c>
      <c r="R229" s="41" t="str">
        <f aca="false">IF($Q229="","",0)</f>
        <v/>
      </c>
      <c r="S229" s="41" t="str">
        <f aca="false">IF($Q229="","",ROUND(N($H229)+N($I229),2))</f>
        <v/>
      </c>
      <c r="T229" s="42"/>
      <c r="U229" s="44"/>
      <c r="V229" s="41" t="str">
        <f aca="false">IF($B229="","",TEXT($B229,"yyyy年m月"))</f>
        <v/>
      </c>
      <c r="W229" s="42"/>
      <c r="X229" s="42"/>
      <c r="Y229" s="9"/>
    </row>
    <row r="230" customFormat="false" ht="18" hidden="false" customHeight="true" outlineLevel="0" collapsed="false">
      <c r="A230" s="9" t="str">
        <f aca="false">IF($C230="","",ROW()-3)</f>
        <v/>
      </c>
      <c r="B230" s="76"/>
      <c r="C230" s="74"/>
      <c r="D230" s="43"/>
      <c r="E230" s="42"/>
      <c r="F230" s="74"/>
      <c r="G230" s="74"/>
      <c r="H230" s="44"/>
      <c r="I230" s="44"/>
      <c r="J230" s="103" t="str">
        <f aca="false">IF($C230="","",ROUND(IFERROR(INDEX(期初余额!$I$4:$I$43,MATCH($C230,期初余额!$H$4:$H$43,0)),0)+SUMIFS($H$4:$H230,$C$4:$C230,$C230)-SUMIFS($I$4:$I230,$C$4:$C230,$C230),2))</f>
        <v/>
      </c>
      <c r="K230" s="104" t="str">
        <f aca="false">IF($T230&lt;&gt;"",$T230,IF($C230="","",IF(AND(N($I230)&gt;0,$G230&lt;&gt;""),IF(IFERROR(INDEX(科目表!$U$4:$U$123,MATCH($G230,科目表!$M$4:$M$123,0)),"")&amp;""="","管理费用",INDEX(科目表!$U$4:$U$123,MATCH($G230,科目表!$M$4:$M$123,0))),IF(N($H230)&gt;0,IF(IFERROR(INDEX(自动规则!$C$4:$C$143,MATCH($F230,自动规则!$B$4:$B$143,0)),"")&amp;""="","其他应收款",INDEX(自动规则!$C$4:$C$143,MATCH($F230,自动规则!$B$4:$B$143,0))),IF(IFERROR(INDEX(自动规则!$D$4:$D$143,MATCH($F230,自动规则!$B$4:$B$143,0)),"")&amp;""="","其他应付款",INDEX(自动规则!$D$4:$D$143,MATCH($F230,自动规则!$B$4:$B$143,0)))))))</f>
        <v/>
      </c>
      <c r="L230" s="43"/>
      <c r="M230" s="105" t="str">
        <f aca="false">IF($C230="","",IF(IFERROR(INDEX(科目表!$T$4:$T$123,MATCH($C230,科目表!$K$4:$K$123,0)),"")&amp;""="","其他货币资金",INDEX(科目表!$T$4:$T$123,MATCH($C230,科目表!$K$4:$K$123,0))))</f>
        <v/>
      </c>
      <c r="N230" s="39" t="str">
        <f aca="false">IF(OR($C230="",ROUND(N($H230)+N($I230),2)=0),"",IF(N($H230)&gt;0,$M230,$K230))</f>
        <v/>
      </c>
      <c r="O230" s="41" t="str">
        <f aca="false">IF($N230="","",ROUND(N($H230)+N($I230),2))</f>
        <v/>
      </c>
      <c r="P230" s="41" t="str">
        <f aca="false">IF($N230="","",0)</f>
        <v/>
      </c>
      <c r="Q230" s="39" t="str">
        <f aca="false">IF($N230="","",IF(N($H230)&gt;0,$K230,$M230))</f>
        <v/>
      </c>
      <c r="R230" s="41" t="str">
        <f aca="false">IF($Q230="","",0)</f>
        <v/>
      </c>
      <c r="S230" s="41" t="str">
        <f aca="false">IF($Q230="","",ROUND(N($H230)+N($I230),2))</f>
        <v/>
      </c>
      <c r="T230" s="42"/>
      <c r="U230" s="44"/>
      <c r="V230" s="41" t="str">
        <f aca="false">IF($B230="","",TEXT($B230,"yyyy年m月"))</f>
        <v/>
      </c>
      <c r="W230" s="42"/>
      <c r="X230" s="42"/>
      <c r="Y230" s="9"/>
    </row>
    <row r="231" customFormat="false" ht="18" hidden="false" customHeight="true" outlineLevel="0" collapsed="false">
      <c r="A231" s="9" t="str">
        <f aca="false">IF($C231="","",ROW()-3)</f>
        <v/>
      </c>
      <c r="B231" s="76"/>
      <c r="C231" s="74"/>
      <c r="D231" s="43"/>
      <c r="E231" s="42"/>
      <c r="F231" s="74"/>
      <c r="G231" s="74"/>
      <c r="H231" s="44"/>
      <c r="I231" s="44"/>
      <c r="J231" s="103" t="str">
        <f aca="false">IF($C231="","",ROUND(IFERROR(INDEX(期初余额!$I$4:$I$43,MATCH($C231,期初余额!$H$4:$H$43,0)),0)+SUMIFS($H$4:$H231,$C$4:$C231,$C231)-SUMIFS($I$4:$I231,$C$4:$C231,$C231),2))</f>
        <v/>
      </c>
      <c r="K231" s="104" t="str">
        <f aca="false">IF($T231&lt;&gt;"",$T231,IF($C231="","",IF(AND(N($I231)&gt;0,$G231&lt;&gt;""),IF(IFERROR(INDEX(科目表!$U$4:$U$123,MATCH($G231,科目表!$M$4:$M$123,0)),"")&amp;""="","管理费用",INDEX(科目表!$U$4:$U$123,MATCH($G231,科目表!$M$4:$M$123,0))),IF(N($H231)&gt;0,IF(IFERROR(INDEX(自动规则!$C$4:$C$143,MATCH($F231,自动规则!$B$4:$B$143,0)),"")&amp;""="","其他应收款",INDEX(自动规则!$C$4:$C$143,MATCH($F231,自动规则!$B$4:$B$143,0))),IF(IFERROR(INDEX(自动规则!$D$4:$D$143,MATCH($F231,自动规则!$B$4:$B$143,0)),"")&amp;""="","其他应付款",INDEX(自动规则!$D$4:$D$143,MATCH($F231,自动规则!$B$4:$B$143,0)))))))</f>
        <v/>
      </c>
      <c r="L231" s="43"/>
      <c r="M231" s="105" t="str">
        <f aca="false">IF($C231="","",IF(IFERROR(INDEX(科目表!$T$4:$T$123,MATCH($C231,科目表!$K$4:$K$123,0)),"")&amp;""="","其他货币资金",INDEX(科目表!$T$4:$T$123,MATCH($C231,科目表!$K$4:$K$123,0))))</f>
        <v/>
      </c>
      <c r="N231" s="39" t="str">
        <f aca="false">IF(OR($C231="",ROUND(N($H231)+N($I231),2)=0),"",IF(N($H231)&gt;0,$M231,$K231))</f>
        <v/>
      </c>
      <c r="O231" s="41" t="str">
        <f aca="false">IF($N231="","",ROUND(N($H231)+N($I231),2))</f>
        <v/>
      </c>
      <c r="P231" s="41" t="str">
        <f aca="false">IF($N231="","",0)</f>
        <v/>
      </c>
      <c r="Q231" s="39" t="str">
        <f aca="false">IF($N231="","",IF(N($H231)&gt;0,$K231,$M231))</f>
        <v/>
      </c>
      <c r="R231" s="41" t="str">
        <f aca="false">IF($Q231="","",0)</f>
        <v/>
      </c>
      <c r="S231" s="41" t="str">
        <f aca="false">IF($Q231="","",ROUND(N($H231)+N($I231),2))</f>
        <v/>
      </c>
      <c r="T231" s="42"/>
      <c r="U231" s="44"/>
      <c r="V231" s="41" t="str">
        <f aca="false">IF($B231="","",TEXT($B231,"yyyy年m月"))</f>
        <v/>
      </c>
      <c r="W231" s="42"/>
      <c r="X231" s="42"/>
      <c r="Y231" s="9"/>
    </row>
    <row r="232" customFormat="false" ht="18" hidden="false" customHeight="true" outlineLevel="0" collapsed="false">
      <c r="A232" s="9" t="str">
        <f aca="false">IF($C232="","",ROW()-3)</f>
        <v/>
      </c>
      <c r="B232" s="76"/>
      <c r="C232" s="74"/>
      <c r="D232" s="43"/>
      <c r="E232" s="42"/>
      <c r="F232" s="74"/>
      <c r="G232" s="74"/>
      <c r="H232" s="44"/>
      <c r="I232" s="44"/>
      <c r="J232" s="103" t="str">
        <f aca="false">IF($C232="","",ROUND(IFERROR(INDEX(期初余额!$I$4:$I$43,MATCH($C232,期初余额!$H$4:$H$43,0)),0)+SUMIFS($H$4:$H232,$C$4:$C232,$C232)-SUMIFS($I$4:$I232,$C$4:$C232,$C232),2))</f>
        <v/>
      </c>
      <c r="K232" s="104" t="str">
        <f aca="false">IF($T232&lt;&gt;"",$T232,IF($C232="","",IF(AND(N($I232)&gt;0,$G232&lt;&gt;""),IF(IFERROR(INDEX(科目表!$U$4:$U$123,MATCH($G232,科目表!$M$4:$M$123,0)),"")&amp;""="","管理费用",INDEX(科目表!$U$4:$U$123,MATCH($G232,科目表!$M$4:$M$123,0))),IF(N($H232)&gt;0,IF(IFERROR(INDEX(自动规则!$C$4:$C$143,MATCH($F232,自动规则!$B$4:$B$143,0)),"")&amp;""="","其他应收款",INDEX(自动规则!$C$4:$C$143,MATCH($F232,自动规则!$B$4:$B$143,0))),IF(IFERROR(INDEX(自动规则!$D$4:$D$143,MATCH($F232,自动规则!$B$4:$B$143,0)),"")&amp;""="","其他应付款",INDEX(自动规则!$D$4:$D$143,MATCH($F232,自动规则!$B$4:$B$143,0)))))))</f>
        <v/>
      </c>
      <c r="L232" s="43"/>
      <c r="M232" s="105" t="str">
        <f aca="false">IF($C232="","",IF(IFERROR(INDEX(科目表!$T$4:$T$123,MATCH($C232,科目表!$K$4:$K$123,0)),"")&amp;""="","其他货币资金",INDEX(科目表!$T$4:$T$123,MATCH($C232,科目表!$K$4:$K$123,0))))</f>
        <v/>
      </c>
      <c r="N232" s="39" t="str">
        <f aca="false">IF(OR($C232="",ROUND(N($H232)+N($I232),2)=0),"",IF(N($H232)&gt;0,$M232,$K232))</f>
        <v/>
      </c>
      <c r="O232" s="41" t="str">
        <f aca="false">IF($N232="","",ROUND(N($H232)+N($I232),2))</f>
        <v/>
      </c>
      <c r="P232" s="41" t="str">
        <f aca="false">IF($N232="","",0)</f>
        <v/>
      </c>
      <c r="Q232" s="39" t="str">
        <f aca="false">IF($N232="","",IF(N($H232)&gt;0,$K232,$M232))</f>
        <v/>
      </c>
      <c r="R232" s="41" t="str">
        <f aca="false">IF($Q232="","",0)</f>
        <v/>
      </c>
      <c r="S232" s="41" t="str">
        <f aca="false">IF($Q232="","",ROUND(N($H232)+N($I232),2))</f>
        <v/>
      </c>
      <c r="T232" s="42"/>
      <c r="U232" s="44"/>
      <c r="V232" s="41" t="str">
        <f aca="false">IF($B232="","",TEXT($B232,"yyyy年m月"))</f>
        <v/>
      </c>
      <c r="W232" s="42"/>
      <c r="X232" s="42"/>
      <c r="Y232" s="9"/>
    </row>
    <row r="233" customFormat="false" ht="18" hidden="false" customHeight="true" outlineLevel="0" collapsed="false">
      <c r="A233" s="9" t="str">
        <f aca="false">IF($C233="","",ROW()-3)</f>
        <v/>
      </c>
      <c r="B233" s="76"/>
      <c r="C233" s="74"/>
      <c r="D233" s="43"/>
      <c r="E233" s="42"/>
      <c r="F233" s="74"/>
      <c r="G233" s="74"/>
      <c r="H233" s="44"/>
      <c r="I233" s="44"/>
      <c r="J233" s="103" t="str">
        <f aca="false">IF($C233="","",ROUND(IFERROR(INDEX(期初余额!$I$4:$I$43,MATCH($C233,期初余额!$H$4:$H$43,0)),0)+SUMIFS($H$4:$H233,$C$4:$C233,$C233)-SUMIFS($I$4:$I233,$C$4:$C233,$C233),2))</f>
        <v/>
      </c>
      <c r="K233" s="104" t="str">
        <f aca="false">IF($T233&lt;&gt;"",$T233,IF($C233="","",IF(AND(N($I233)&gt;0,$G233&lt;&gt;""),IF(IFERROR(INDEX(科目表!$U$4:$U$123,MATCH($G233,科目表!$M$4:$M$123,0)),"")&amp;""="","管理费用",INDEX(科目表!$U$4:$U$123,MATCH($G233,科目表!$M$4:$M$123,0))),IF(N($H233)&gt;0,IF(IFERROR(INDEX(自动规则!$C$4:$C$143,MATCH($F233,自动规则!$B$4:$B$143,0)),"")&amp;""="","其他应收款",INDEX(自动规则!$C$4:$C$143,MATCH($F233,自动规则!$B$4:$B$143,0))),IF(IFERROR(INDEX(自动规则!$D$4:$D$143,MATCH($F233,自动规则!$B$4:$B$143,0)),"")&amp;""="","其他应付款",INDEX(自动规则!$D$4:$D$143,MATCH($F233,自动规则!$B$4:$B$143,0)))))))</f>
        <v/>
      </c>
      <c r="L233" s="43"/>
      <c r="M233" s="105" t="str">
        <f aca="false">IF($C233="","",IF(IFERROR(INDEX(科目表!$T$4:$T$123,MATCH($C233,科目表!$K$4:$K$123,0)),"")&amp;""="","其他货币资金",INDEX(科目表!$T$4:$T$123,MATCH($C233,科目表!$K$4:$K$123,0))))</f>
        <v/>
      </c>
      <c r="N233" s="39" t="str">
        <f aca="false">IF(OR($C233="",ROUND(N($H233)+N($I233),2)=0),"",IF(N($H233)&gt;0,$M233,$K233))</f>
        <v/>
      </c>
      <c r="O233" s="41" t="str">
        <f aca="false">IF($N233="","",ROUND(N($H233)+N($I233),2))</f>
        <v/>
      </c>
      <c r="P233" s="41" t="str">
        <f aca="false">IF($N233="","",0)</f>
        <v/>
      </c>
      <c r="Q233" s="39" t="str">
        <f aca="false">IF($N233="","",IF(N($H233)&gt;0,$K233,$M233))</f>
        <v/>
      </c>
      <c r="R233" s="41" t="str">
        <f aca="false">IF($Q233="","",0)</f>
        <v/>
      </c>
      <c r="S233" s="41" t="str">
        <f aca="false">IF($Q233="","",ROUND(N($H233)+N($I233),2))</f>
        <v/>
      </c>
      <c r="T233" s="42"/>
      <c r="U233" s="44"/>
      <c r="V233" s="41" t="str">
        <f aca="false">IF($B233="","",TEXT($B233,"yyyy年m月"))</f>
        <v/>
      </c>
      <c r="W233" s="42"/>
      <c r="X233" s="42"/>
      <c r="Y233" s="9"/>
    </row>
    <row r="234" customFormat="false" ht="18" hidden="false" customHeight="true" outlineLevel="0" collapsed="false">
      <c r="A234" s="9" t="str">
        <f aca="false">IF($C234="","",ROW()-3)</f>
        <v/>
      </c>
      <c r="B234" s="76"/>
      <c r="C234" s="74"/>
      <c r="D234" s="43"/>
      <c r="E234" s="42"/>
      <c r="F234" s="74"/>
      <c r="G234" s="74"/>
      <c r="H234" s="44"/>
      <c r="I234" s="44"/>
      <c r="J234" s="103" t="str">
        <f aca="false">IF($C234="","",ROUND(IFERROR(INDEX(期初余额!$I$4:$I$43,MATCH($C234,期初余额!$H$4:$H$43,0)),0)+SUMIFS($H$4:$H234,$C$4:$C234,$C234)-SUMIFS($I$4:$I234,$C$4:$C234,$C234),2))</f>
        <v/>
      </c>
      <c r="K234" s="104" t="str">
        <f aca="false">IF($T234&lt;&gt;"",$T234,IF($C234="","",IF(AND(N($I234)&gt;0,$G234&lt;&gt;""),IF(IFERROR(INDEX(科目表!$U$4:$U$123,MATCH($G234,科目表!$M$4:$M$123,0)),"")&amp;""="","管理费用",INDEX(科目表!$U$4:$U$123,MATCH($G234,科目表!$M$4:$M$123,0))),IF(N($H234)&gt;0,IF(IFERROR(INDEX(自动规则!$C$4:$C$143,MATCH($F234,自动规则!$B$4:$B$143,0)),"")&amp;""="","其他应收款",INDEX(自动规则!$C$4:$C$143,MATCH($F234,自动规则!$B$4:$B$143,0))),IF(IFERROR(INDEX(自动规则!$D$4:$D$143,MATCH($F234,自动规则!$B$4:$B$143,0)),"")&amp;""="","其他应付款",INDEX(自动规则!$D$4:$D$143,MATCH($F234,自动规则!$B$4:$B$143,0)))))))</f>
        <v/>
      </c>
      <c r="L234" s="43"/>
      <c r="M234" s="105" t="str">
        <f aca="false">IF($C234="","",IF(IFERROR(INDEX(科目表!$T$4:$T$123,MATCH($C234,科目表!$K$4:$K$123,0)),"")&amp;""="","其他货币资金",INDEX(科目表!$T$4:$T$123,MATCH($C234,科目表!$K$4:$K$123,0))))</f>
        <v/>
      </c>
      <c r="N234" s="39" t="str">
        <f aca="false">IF(OR($C234="",ROUND(N($H234)+N($I234),2)=0),"",IF(N($H234)&gt;0,$M234,$K234))</f>
        <v/>
      </c>
      <c r="O234" s="41" t="str">
        <f aca="false">IF($N234="","",ROUND(N($H234)+N($I234),2))</f>
        <v/>
      </c>
      <c r="P234" s="41" t="str">
        <f aca="false">IF($N234="","",0)</f>
        <v/>
      </c>
      <c r="Q234" s="39" t="str">
        <f aca="false">IF($N234="","",IF(N($H234)&gt;0,$K234,$M234))</f>
        <v/>
      </c>
      <c r="R234" s="41" t="str">
        <f aca="false">IF($Q234="","",0)</f>
        <v/>
      </c>
      <c r="S234" s="41" t="str">
        <f aca="false">IF($Q234="","",ROUND(N($H234)+N($I234),2))</f>
        <v/>
      </c>
      <c r="T234" s="42"/>
      <c r="U234" s="44"/>
      <c r="V234" s="41" t="str">
        <f aca="false">IF($B234="","",TEXT($B234,"yyyy年m月"))</f>
        <v/>
      </c>
      <c r="W234" s="42"/>
      <c r="X234" s="42"/>
      <c r="Y234" s="9"/>
    </row>
    <row r="235" customFormat="false" ht="18" hidden="false" customHeight="true" outlineLevel="0" collapsed="false">
      <c r="A235" s="9" t="str">
        <f aca="false">IF($C235="","",ROW()-3)</f>
        <v/>
      </c>
      <c r="B235" s="76"/>
      <c r="C235" s="74"/>
      <c r="D235" s="43"/>
      <c r="E235" s="42"/>
      <c r="F235" s="74"/>
      <c r="G235" s="74"/>
      <c r="H235" s="44"/>
      <c r="I235" s="44"/>
      <c r="J235" s="103" t="str">
        <f aca="false">IF($C235="","",ROUND(IFERROR(INDEX(期初余额!$I$4:$I$43,MATCH($C235,期初余额!$H$4:$H$43,0)),0)+SUMIFS($H$4:$H235,$C$4:$C235,$C235)-SUMIFS($I$4:$I235,$C$4:$C235,$C235),2))</f>
        <v/>
      </c>
      <c r="K235" s="104" t="str">
        <f aca="false">IF($T235&lt;&gt;"",$T235,IF($C235="","",IF(AND(N($I235)&gt;0,$G235&lt;&gt;""),IF(IFERROR(INDEX(科目表!$U$4:$U$123,MATCH($G235,科目表!$M$4:$M$123,0)),"")&amp;""="","管理费用",INDEX(科目表!$U$4:$U$123,MATCH($G235,科目表!$M$4:$M$123,0))),IF(N($H235)&gt;0,IF(IFERROR(INDEX(自动规则!$C$4:$C$143,MATCH($F235,自动规则!$B$4:$B$143,0)),"")&amp;""="","其他应收款",INDEX(自动规则!$C$4:$C$143,MATCH($F235,自动规则!$B$4:$B$143,0))),IF(IFERROR(INDEX(自动规则!$D$4:$D$143,MATCH($F235,自动规则!$B$4:$B$143,0)),"")&amp;""="","其他应付款",INDEX(自动规则!$D$4:$D$143,MATCH($F235,自动规则!$B$4:$B$143,0)))))))</f>
        <v/>
      </c>
      <c r="L235" s="43"/>
      <c r="M235" s="105" t="str">
        <f aca="false">IF($C235="","",IF(IFERROR(INDEX(科目表!$T$4:$T$123,MATCH($C235,科目表!$K$4:$K$123,0)),"")&amp;""="","其他货币资金",INDEX(科目表!$T$4:$T$123,MATCH($C235,科目表!$K$4:$K$123,0))))</f>
        <v/>
      </c>
      <c r="N235" s="39" t="str">
        <f aca="false">IF(OR($C235="",ROUND(N($H235)+N($I235),2)=0),"",IF(N($H235)&gt;0,$M235,$K235))</f>
        <v/>
      </c>
      <c r="O235" s="41" t="str">
        <f aca="false">IF($N235="","",ROUND(N($H235)+N($I235),2))</f>
        <v/>
      </c>
      <c r="P235" s="41" t="str">
        <f aca="false">IF($N235="","",0)</f>
        <v/>
      </c>
      <c r="Q235" s="39" t="str">
        <f aca="false">IF($N235="","",IF(N($H235)&gt;0,$K235,$M235))</f>
        <v/>
      </c>
      <c r="R235" s="41" t="str">
        <f aca="false">IF($Q235="","",0)</f>
        <v/>
      </c>
      <c r="S235" s="41" t="str">
        <f aca="false">IF($Q235="","",ROUND(N($H235)+N($I235),2))</f>
        <v/>
      </c>
      <c r="T235" s="42"/>
      <c r="U235" s="44"/>
      <c r="V235" s="41" t="str">
        <f aca="false">IF($B235="","",TEXT($B235,"yyyy年m月"))</f>
        <v/>
      </c>
      <c r="W235" s="42"/>
      <c r="X235" s="42"/>
      <c r="Y235" s="9"/>
    </row>
    <row r="236" customFormat="false" ht="18" hidden="false" customHeight="true" outlineLevel="0" collapsed="false">
      <c r="A236" s="9" t="str">
        <f aca="false">IF($C236="","",ROW()-3)</f>
        <v/>
      </c>
      <c r="B236" s="76"/>
      <c r="C236" s="74"/>
      <c r="D236" s="43"/>
      <c r="E236" s="42"/>
      <c r="F236" s="74"/>
      <c r="G236" s="74"/>
      <c r="H236" s="44"/>
      <c r="I236" s="44"/>
      <c r="J236" s="103" t="str">
        <f aca="false">IF($C236="","",ROUND(IFERROR(INDEX(期初余额!$I$4:$I$43,MATCH($C236,期初余额!$H$4:$H$43,0)),0)+SUMIFS($H$4:$H236,$C$4:$C236,$C236)-SUMIFS($I$4:$I236,$C$4:$C236,$C236),2))</f>
        <v/>
      </c>
      <c r="K236" s="104" t="str">
        <f aca="false">IF($T236&lt;&gt;"",$T236,IF($C236="","",IF(AND(N($I236)&gt;0,$G236&lt;&gt;""),IF(IFERROR(INDEX(科目表!$U$4:$U$123,MATCH($G236,科目表!$M$4:$M$123,0)),"")&amp;""="","管理费用",INDEX(科目表!$U$4:$U$123,MATCH($G236,科目表!$M$4:$M$123,0))),IF(N($H236)&gt;0,IF(IFERROR(INDEX(自动规则!$C$4:$C$143,MATCH($F236,自动规则!$B$4:$B$143,0)),"")&amp;""="","其他应收款",INDEX(自动规则!$C$4:$C$143,MATCH($F236,自动规则!$B$4:$B$143,0))),IF(IFERROR(INDEX(自动规则!$D$4:$D$143,MATCH($F236,自动规则!$B$4:$B$143,0)),"")&amp;""="","其他应付款",INDEX(自动规则!$D$4:$D$143,MATCH($F236,自动规则!$B$4:$B$143,0)))))))</f>
        <v/>
      </c>
      <c r="L236" s="43"/>
      <c r="M236" s="105" t="str">
        <f aca="false">IF($C236="","",IF(IFERROR(INDEX(科目表!$T$4:$T$123,MATCH($C236,科目表!$K$4:$K$123,0)),"")&amp;""="","其他货币资金",INDEX(科目表!$T$4:$T$123,MATCH($C236,科目表!$K$4:$K$123,0))))</f>
        <v/>
      </c>
      <c r="N236" s="39" t="str">
        <f aca="false">IF(OR($C236="",ROUND(N($H236)+N($I236),2)=0),"",IF(N($H236)&gt;0,$M236,$K236))</f>
        <v/>
      </c>
      <c r="O236" s="41" t="str">
        <f aca="false">IF($N236="","",ROUND(N($H236)+N($I236),2))</f>
        <v/>
      </c>
      <c r="P236" s="41" t="str">
        <f aca="false">IF($N236="","",0)</f>
        <v/>
      </c>
      <c r="Q236" s="39" t="str">
        <f aca="false">IF($N236="","",IF(N($H236)&gt;0,$K236,$M236))</f>
        <v/>
      </c>
      <c r="R236" s="41" t="str">
        <f aca="false">IF($Q236="","",0)</f>
        <v/>
      </c>
      <c r="S236" s="41" t="str">
        <f aca="false">IF($Q236="","",ROUND(N($H236)+N($I236),2))</f>
        <v/>
      </c>
      <c r="T236" s="42"/>
      <c r="U236" s="44"/>
      <c r="V236" s="41" t="str">
        <f aca="false">IF($B236="","",TEXT($B236,"yyyy年m月"))</f>
        <v/>
      </c>
      <c r="W236" s="42"/>
      <c r="X236" s="42"/>
      <c r="Y236" s="9"/>
    </row>
    <row r="237" customFormat="false" ht="18" hidden="false" customHeight="true" outlineLevel="0" collapsed="false">
      <c r="A237" s="9" t="str">
        <f aca="false">IF($C237="","",ROW()-3)</f>
        <v/>
      </c>
      <c r="B237" s="76"/>
      <c r="C237" s="74"/>
      <c r="D237" s="43"/>
      <c r="E237" s="42"/>
      <c r="F237" s="74"/>
      <c r="G237" s="74"/>
      <c r="H237" s="44"/>
      <c r="I237" s="44"/>
      <c r="J237" s="103" t="str">
        <f aca="false">IF($C237="","",ROUND(IFERROR(INDEX(期初余额!$I$4:$I$43,MATCH($C237,期初余额!$H$4:$H$43,0)),0)+SUMIFS($H$4:$H237,$C$4:$C237,$C237)-SUMIFS($I$4:$I237,$C$4:$C237,$C237),2))</f>
        <v/>
      </c>
      <c r="K237" s="104" t="str">
        <f aca="false">IF($T237&lt;&gt;"",$T237,IF($C237="","",IF(AND(N($I237)&gt;0,$G237&lt;&gt;""),IF(IFERROR(INDEX(科目表!$U$4:$U$123,MATCH($G237,科目表!$M$4:$M$123,0)),"")&amp;""="","管理费用",INDEX(科目表!$U$4:$U$123,MATCH($G237,科目表!$M$4:$M$123,0))),IF(N($H237)&gt;0,IF(IFERROR(INDEX(自动规则!$C$4:$C$143,MATCH($F237,自动规则!$B$4:$B$143,0)),"")&amp;""="","其他应收款",INDEX(自动规则!$C$4:$C$143,MATCH($F237,自动规则!$B$4:$B$143,0))),IF(IFERROR(INDEX(自动规则!$D$4:$D$143,MATCH($F237,自动规则!$B$4:$B$143,0)),"")&amp;""="","其他应付款",INDEX(自动规则!$D$4:$D$143,MATCH($F237,自动规则!$B$4:$B$143,0)))))))</f>
        <v/>
      </c>
      <c r="L237" s="43"/>
      <c r="M237" s="105" t="str">
        <f aca="false">IF($C237="","",IF(IFERROR(INDEX(科目表!$T$4:$T$123,MATCH($C237,科目表!$K$4:$K$123,0)),"")&amp;""="","其他货币资金",INDEX(科目表!$T$4:$T$123,MATCH($C237,科目表!$K$4:$K$123,0))))</f>
        <v/>
      </c>
      <c r="N237" s="39" t="str">
        <f aca="false">IF(OR($C237="",ROUND(N($H237)+N($I237),2)=0),"",IF(N($H237)&gt;0,$M237,$K237))</f>
        <v/>
      </c>
      <c r="O237" s="41" t="str">
        <f aca="false">IF($N237="","",ROUND(N($H237)+N($I237),2))</f>
        <v/>
      </c>
      <c r="P237" s="41" t="str">
        <f aca="false">IF($N237="","",0)</f>
        <v/>
      </c>
      <c r="Q237" s="39" t="str">
        <f aca="false">IF($N237="","",IF(N($H237)&gt;0,$K237,$M237))</f>
        <v/>
      </c>
      <c r="R237" s="41" t="str">
        <f aca="false">IF($Q237="","",0)</f>
        <v/>
      </c>
      <c r="S237" s="41" t="str">
        <f aca="false">IF($Q237="","",ROUND(N($H237)+N($I237),2))</f>
        <v/>
      </c>
      <c r="T237" s="42"/>
      <c r="U237" s="44"/>
      <c r="V237" s="41" t="str">
        <f aca="false">IF($B237="","",TEXT($B237,"yyyy年m月"))</f>
        <v/>
      </c>
      <c r="W237" s="42"/>
      <c r="X237" s="42"/>
      <c r="Y237" s="9"/>
    </row>
    <row r="238" customFormat="false" ht="18" hidden="false" customHeight="true" outlineLevel="0" collapsed="false">
      <c r="A238" s="9" t="str">
        <f aca="false">IF($C238="","",ROW()-3)</f>
        <v/>
      </c>
      <c r="B238" s="76"/>
      <c r="C238" s="74"/>
      <c r="D238" s="43"/>
      <c r="E238" s="42"/>
      <c r="F238" s="74"/>
      <c r="G238" s="74"/>
      <c r="H238" s="44"/>
      <c r="I238" s="44"/>
      <c r="J238" s="103" t="str">
        <f aca="false">IF($C238="","",ROUND(IFERROR(INDEX(期初余额!$I$4:$I$43,MATCH($C238,期初余额!$H$4:$H$43,0)),0)+SUMIFS($H$4:$H238,$C$4:$C238,$C238)-SUMIFS($I$4:$I238,$C$4:$C238,$C238),2))</f>
        <v/>
      </c>
      <c r="K238" s="104" t="str">
        <f aca="false">IF($T238&lt;&gt;"",$T238,IF($C238="","",IF(AND(N($I238)&gt;0,$G238&lt;&gt;""),IF(IFERROR(INDEX(科目表!$U$4:$U$123,MATCH($G238,科目表!$M$4:$M$123,0)),"")&amp;""="","管理费用",INDEX(科目表!$U$4:$U$123,MATCH($G238,科目表!$M$4:$M$123,0))),IF(N($H238)&gt;0,IF(IFERROR(INDEX(自动规则!$C$4:$C$143,MATCH($F238,自动规则!$B$4:$B$143,0)),"")&amp;""="","其他应收款",INDEX(自动规则!$C$4:$C$143,MATCH($F238,自动规则!$B$4:$B$143,0))),IF(IFERROR(INDEX(自动规则!$D$4:$D$143,MATCH($F238,自动规则!$B$4:$B$143,0)),"")&amp;""="","其他应付款",INDEX(自动规则!$D$4:$D$143,MATCH($F238,自动规则!$B$4:$B$143,0)))))))</f>
        <v/>
      </c>
      <c r="L238" s="43"/>
      <c r="M238" s="105" t="str">
        <f aca="false">IF($C238="","",IF(IFERROR(INDEX(科目表!$T$4:$T$123,MATCH($C238,科目表!$K$4:$K$123,0)),"")&amp;""="","其他货币资金",INDEX(科目表!$T$4:$T$123,MATCH($C238,科目表!$K$4:$K$123,0))))</f>
        <v/>
      </c>
      <c r="N238" s="39" t="str">
        <f aca="false">IF(OR($C238="",ROUND(N($H238)+N($I238),2)=0),"",IF(N($H238)&gt;0,$M238,$K238))</f>
        <v/>
      </c>
      <c r="O238" s="41" t="str">
        <f aca="false">IF($N238="","",ROUND(N($H238)+N($I238),2))</f>
        <v/>
      </c>
      <c r="P238" s="41" t="str">
        <f aca="false">IF($N238="","",0)</f>
        <v/>
      </c>
      <c r="Q238" s="39" t="str">
        <f aca="false">IF($N238="","",IF(N($H238)&gt;0,$K238,$M238))</f>
        <v/>
      </c>
      <c r="R238" s="41" t="str">
        <f aca="false">IF($Q238="","",0)</f>
        <v/>
      </c>
      <c r="S238" s="41" t="str">
        <f aca="false">IF($Q238="","",ROUND(N($H238)+N($I238),2))</f>
        <v/>
      </c>
      <c r="T238" s="42"/>
      <c r="U238" s="44"/>
      <c r="V238" s="41" t="str">
        <f aca="false">IF($B238="","",TEXT($B238,"yyyy年m月"))</f>
        <v/>
      </c>
      <c r="W238" s="42"/>
      <c r="X238" s="42"/>
      <c r="Y238" s="9"/>
    </row>
    <row r="239" customFormat="false" ht="18" hidden="false" customHeight="true" outlineLevel="0" collapsed="false">
      <c r="A239" s="9" t="str">
        <f aca="false">IF($C239="","",ROW()-3)</f>
        <v/>
      </c>
      <c r="B239" s="76"/>
      <c r="C239" s="74"/>
      <c r="D239" s="43"/>
      <c r="E239" s="42"/>
      <c r="F239" s="74"/>
      <c r="G239" s="74"/>
      <c r="H239" s="44"/>
      <c r="I239" s="44"/>
      <c r="J239" s="103" t="str">
        <f aca="false">IF($C239="","",ROUND(IFERROR(INDEX(期初余额!$I$4:$I$43,MATCH($C239,期初余额!$H$4:$H$43,0)),0)+SUMIFS($H$4:$H239,$C$4:$C239,$C239)-SUMIFS($I$4:$I239,$C$4:$C239,$C239),2))</f>
        <v/>
      </c>
      <c r="K239" s="104" t="str">
        <f aca="false">IF($T239&lt;&gt;"",$T239,IF($C239="","",IF(AND(N($I239)&gt;0,$G239&lt;&gt;""),IF(IFERROR(INDEX(科目表!$U$4:$U$123,MATCH($G239,科目表!$M$4:$M$123,0)),"")&amp;""="","管理费用",INDEX(科目表!$U$4:$U$123,MATCH($G239,科目表!$M$4:$M$123,0))),IF(N($H239)&gt;0,IF(IFERROR(INDEX(自动规则!$C$4:$C$143,MATCH($F239,自动规则!$B$4:$B$143,0)),"")&amp;""="","其他应收款",INDEX(自动规则!$C$4:$C$143,MATCH($F239,自动规则!$B$4:$B$143,0))),IF(IFERROR(INDEX(自动规则!$D$4:$D$143,MATCH($F239,自动规则!$B$4:$B$143,0)),"")&amp;""="","其他应付款",INDEX(自动规则!$D$4:$D$143,MATCH($F239,自动规则!$B$4:$B$143,0)))))))</f>
        <v/>
      </c>
      <c r="L239" s="43"/>
      <c r="M239" s="105" t="str">
        <f aca="false">IF($C239="","",IF(IFERROR(INDEX(科目表!$T$4:$T$123,MATCH($C239,科目表!$K$4:$K$123,0)),"")&amp;""="","其他货币资金",INDEX(科目表!$T$4:$T$123,MATCH($C239,科目表!$K$4:$K$123,0))))</f>
        <v/>
      </c>
      <c r="N239" s="39" t="str">
        <f aca="false">IF(OR($C239="",ROUND(N($H239)+N($I239),2)=0),"",IF(N($H239)&gt;0,$M239,$K239))</f>
        <v/>
      </c>
      <c r="O239" s="41" t="str">
        <f aca="false">IF($N239="","",ROUND(N($H239)+N($I239),2))</f>
        <v/>
      </c>
      <c r="P239" s="41" t="str">
        <f aca="false">IF($N239="","",0)</f>
        <v/>
      </c>
      <c r="Q239" s="39" t="str">
        <f aca="false">IF($N239="","",IF(N($H239)&gt;0,$K239,$M239))</f>
        <v/>
      </c>
      <c r="R239" s="41" t="str">
        <f aca="false">IF($Q239="","",0)</f>
        <v/>
      </c>
      <c r="S239" s="41" t="str">
        <f aca="false">IF($Q239="","",ROUND(N($H239)+N($I239),2))</f>
        <v/>
      </c>
      <c r="T239" s="42"/>
      <c r="U239" s="44"/>
      <c r="V239" s="41" t="str">
        <f aca="false">IF($B239="","",TEXT($B239,"yyyy年m月"))</f>
        <v/>
      </c>
      <c r="W239" s="42"/>
      <c r="X239" s="42"/>
      <c r="Y239" s="9"/>
    </row>
    <row r="240" customFormat="false" ht="18" hidden="false" customHeight="true" outlineLevel="0" collapsed="false">
      <c r="A240" s="9" t="str">
        <f aca="false">IF($C240="","",ROW()-3)</f>
        <v/>
      </c>
      <c r="B240" s="76"/>
      <c r="C240" s="74"/>
      <c r="D240" s="43"/>
      <c r="E240" s="42"/>
      <c r="F240" s="74"/>
      <c r="G240" s="74"/>
      <c r="H240" s="44"/>
      <c r="I240" s="44"/>
      <c r="J240" s="103" t="str">
        <f aca="false">IF($C240="","",ROUND(IFERROR(INDEX(期初余额!$I$4:$I$43,MATCH($C240,期初余额!$H$4:$H$43,0)),0)+SUMIFS($H$4:$H240,$C$4:$C240,$C240)-SUMIFS($I$4:$I240,$C$4:$C240,$C240),2))</f>
        <v/>
      </c>
      <c r="K240" s="104" t="str">
        <f aca="false">IF($T240&lt;&gt;"",$T240,IF($C240="","",IF(AND(N($I240)&gt;0,$G240&lt;&gt;""),IF(IFERROR(INDEX(科目表!$U$4:$U$123,MATCH($G240,科目表!$M$4:$M$123,0)),"")&amp;""="","管理费用",INDEX(科目表!$U$4:$U$123,MATCH($G240,科目表!$M$4:$M$123,0))),IF(N($H240)&gt;0,IF(IFERROR(INDEX(自动规则!$C$4:$C$143,MATCH($F240,自动规则!$B$4:$B$143,0)),"")&amp;""="","其他应收款",INDEX(自动规则!$C$4:$C$143,MATCH($F240,自动规则!$B$4:$B$143,0))),IF(IFERROR(INDEX(自动规则!$D$4:$D$143,MATCH($F240,自动规则!$B$4:$B$143,0)),"")&amp;""="","其他应付款",INDEX(自动规则!$D$4:$D$143,MATCH($F240,自动规则!$B$4:$B$143,0)))))))</f>
        <v/>
      </c>
      <c r="L240" s="43"/>
      <c r="M240" s="105" t="str">
        <f aca="false">IF($C240="","",IF(IFERROR(INDEX(科目表!$T$4:$T$123,MATCH($C240,科目表!$K$4:$K$123,0)),"")&amp;""="","其他货币资金",INDEX(科目表!$T$4:$T$123,MATCH($C240,科目表!$K$4:$K$123,0))))</f>
        <v/>
      </c>
      <c r="N240" s="39" t="str">
        <f aca="false">IF(OR($C240="",ROUND(N($H240)+N($I240),2)=0),"",IF(N($H240)&gt;0,$M240,$K240))</f>
        <v/>
      </c>
      <c r="O240" s="41" t="str">
        <f aca="false">IF($N240="","",ROUND(N($H240)+N($I240),2))</f>
        <v/>
      </c>
      <c r="P240" s="41" t="str">
        <f aca="false">IF($N240="","",0)</f>
        <v/>
      </c>
      <c r="Q240" s="39" t="str">
        <f aca="false">IF($N240="","",IF(N($H240)&gt;0,$K240,$M240))</f>
        <v/>
      </c>
      <c r="R240" s="41" t="str">
        <f aca="false">IF($Q240="","",0)</f>
        <v/>
      </c>
      <c r="S240" s="41" t="str">
        <f aca="false">IF($Q240="","",ROUND(N($H240)+N($I240),2))</f>
        <v/>
      </c>
      <c r="T240" s="42"/>
      <c r="U240" s="44"/>
      <c r="V240" s="41" t="str">
        <f aca="false">IF($B240="","",TEXT($B240,"yyyy年m月"))</f>
        <v/>
      </c>
      <c r="W240" s="42"/>
      <c r="X240" s="42"/>
      <c r="Y240" s="9"/>
    </row>
    <row r="241" customFormat="false" ht="18" hidden="false" customHeight="true" outlineLevel="0" collapsed="false">
      <c r="A241" s="9" t="str">
        <f aca="false">IF($C241="","",ROW()-3)</f>
        <v/>
      </c>
      <c r="B241" s="76"/>
      <c r="C241" s="74"/>
      <c r="D241" s="43"/>
      <c r="E241" s="42"/>
      <c r="F241" s="74"/>
      <c r="G241" s="74"/>
      <c r="H241" s="44"/>
      <c r="I241" s="44"/>
      <c r="J241" s="103" t="str">
        <f aca="false">IF($C241="","",ROUND(IFERROR(INDEX(期初余额!$I$4:$I$43,MATCH($C241,期初余额!$H$4:$H$43,0)),0)+SUMIFS($H$4:$H241,$C$4:$C241,$C241)-SUMIFS($I$4:$I241,$C$4:$C241,$C241),2))</f>
        <v/>
      </c>
      <c r="K241" s="104" t="str">
        <f aca="false">IF($T241&lt;&gt;"",$T241,IF($C241="","",IF(AND(N($I241)&gt;0,$G241&lt;&gt;""),IF(IFERROR(INDEX(科目表!$U$4:$U$123,MATCH($G241,科目表!$M$4:$M$123,0)),"")&amp;""="","管理费用",INDEX(科目表!$U$4:$U$123,MATCH($G241,科目表!$M$4:$M$123,0))),IF(N($H241)&gt;0,IF(IFERROR(INDEX(自动规则!$C$4:$C$143,MATCH($F241,自动规则!$B$4:$B$143,0)),"")&amp;""="","其他应收款",INDEX(自动规则!$C$4:$C$143,MATCH($F241,自动规则!$B$4:$B$143,0))),IF(IFERROR(INDEX(自动规则!$D$4:$D$143,MATCH($F241,自动规则!$B$4:$B$143,0)),"")&amp;""="","其他应付款",INDEX(自动规则!$D$4:$D$143,MATCH($F241,自动规则!$B$4:$B$143,0)))))))</f>
        <v/>
      </c>
      <c r="L241" s="43"/>
      <c r="M241" s="105" t="str">
        <f aca="false">IF($C241="","",IF(IFERROR(INDEX(科目表!$T$4:$T$123,MATCH($C241,科目表!$K$4:$K$123,0)),"")&amp;""="","其他货币资金",INDEX(科目表!$T$4:$T$123,MATCH($C241,科目表!$K$4:$K$123,0))))</f>
        <v/>
      </c>
      <c r="N241" s="39" t="str">
        <f aca="false">IF(OR($C241="",ROUND(N($H241)+N($I241),2)=0),"",IF(N($H241)&gt;0,$M241,$K241))</f>
        <v/>
      </c>
      <c r="O241" s="41" t="str">
        <f aca="false">IF($N241="","",ROUND(N($H241)+N($I241),2))</f>
        <v/>
      </c>
      <c r="P241" s="41" t="str">
        <f aca="false">IF($N241="","",0)</f>
        <v/>
      </c>
      <c r="Q241" s="39" t="str">
        <f aca="false">IF($N241="","",IF(N($H241)&gt;0,$K241,$M241))</f>
        <v/>
      </c>
      <c r="R241" s="41" t="str">
        <f aca="false">IF($Q241="","",0)</f>
        <v/>
      </c>
      <c r="S241" s="41" t="str">
        <f aca="false">IF($Q241="","",ROUND(N($H241)+N($I241),2))</f>
        <v/>
      </c>
      <c r="T241" s="42"/>
      <c r="U241" s="44"/>
      <c r="V241" s="41" t="str">
        <f aca="false">IF($B241="","",TEXT($B241,"yyyy年m月"))</f>
        <v/>
      </c>
      <c r="W241" s="42"/>
      <c r="X241" s="42"/>
      <c r="Y241" s="9"/>
    </row>
    <row r="242" customFormat="false" ht="18" hidden="false" customHeight="true" outlineLevel="0" collapsed="false">
      <c r="A242" s="9" t="str">
        <f aca="false">IF($C242="","",ROW()-3)</f>
        <v/>
      </c>
      <c r="B242" s="76"/>
      <c r="C242" s="74"/>
      <c r="D242" s="43"/>
      <c r="E242" s="42"/>
      <c r="F242" s="74"/>
      <c r="G242" s="74"/>
      <c r="H242" s="44"/>
      <c r="I242" s="44"/>
      <c r="J242" s="103" t="str">
        <f aca="false">IF($C242="","",ROUND(IFERROR(INDEX(期初余额!$I$4:$I$43,MATCH($C242,期初余额!$H$4:$H$43,0)),0)+SUMIFS($H$4:$H242,$C$4:$C242,$C242)-SUMIFS($I$4:$I242,$C$4:$C242,$C242),2))</f>
        <v/>
      </c>
      <c r="K242" s="104" t="str">
        <f aca="false">IF($T242&lt;&gt;"",$T242,IF($C242="","",IF(AND(N($I242)&gt;0,$G242&lt;&gt;""),IF(IFERROR(INDEX(科目表!$U$4:$U$123,MATCH($G242,科目表!$M$4:$M$123,0)),"")&amp;""="","管理费用",INDEX(科目表!$U$4:$U$123,MATCH($G242,科目表!$M$4:$M$123,0))),IF(N($H242)&gt;0,IF(IFERROR(INDEX(自动规则!$C$4:$C$143,MATCH($F242,自动规则!$B$4:$B$143,0)),"")&amp;""="","其他应收款",INDEX(自动规则!$C$4:$C$143,MATCH($F242,自动规则!$B$4:$B$143,0))),IF(IFERROR(INDEX(自动规则!$D$4:$D$143,MATCH($F242,自动规则!$B$4:$B$143,0)),"")&amp;""="","其他应付款",INDEX(自动规则!$D$4:$D$143,MATCH($F242,自动规则!$B$4:$B$143,0)))))))</f>
        <v/>
      </c>
      <c r="L242" s="43"/>
      <c r="M242" s="105" t="str">
        <f aca="false">IF($C242="","",IF(IFERROR(INDEX(科目表!$T$4:$T$123,MATCH($C242,科目表!$K$4:$K$123,0)),"")&amp;""="","其他货币资金",INDEX(科目表!$T$4:$T$123,MATCH($C242,科目表!$K$4:$K$123,0))))</f>
        <v/>
      </c>
      <c r="N242" s="39" t="str">
        <f aca="false">IF(OR($C242="",ROUND(N($H242)+N($I242),2)=0),"",IF(N($H242)&gt;0,$M242,$K242))</f>
        <v/>
      </c>
      <c r="O242" s="41" t="str">
        <f aca="false">IF($N242="","",ROUND(N($H242)+N($I242),2))</f>
        <v/>
      </c>
      <c r="P242" s="41" t="str">
        <f aca="false">IF($N242="","",0)</f>
        <v/>
      </c>
      <c r="Q242" s="39" t="str">
        <f aca="false">IF($N242="","",IF(N($H242)&gt;0,$K242,$M242))</f>
        <v/>
      </c>
      <c r="R242" s="41" t="str">
        <f aca="false">IF($Q242="","",0)</f>
        <v/>
      </c>
      <c r="S242" s="41" t="str">
        <f aca="false">IF($Q242="","",ROUND(N($H242)+N($I242),2))</f>
        <v/>
      </c>
      <c r="T242" s="42"/>
      <c r="U242" s="44"/>
      <c r="V242" s="41" t="str">
        <f aca="false">IF($B242="","",TEXT($B242,"yyyy年m月"))</f>
        <v/>
      </c>
      <c r="W242" s="42"/>
      <c r="X242" s="42"/>
      <c r="Y242" s="9"/>
    </row>
    <row r="243" customFormat="false" ht="18" hidden="false" customHeight="true" outlineLevel="0" collapsed="false">
      <c r="A243" s="9" t="str">
        <f aca="false">IF($C243="","",ROW()-3)</f>
        <v/>
      </c>
      <c r="B243" s="76"/>
      <c r="C243" s="74"/>
      <c r="D243" s="43"/>
      <c r="E243" s="42"/>
      <c r="F243" s="74"/>
      <c r="G243" s="74"/>
      <c r="H243" s="44"/>
      <c r="I243" s="44"/>
      <c r="J243" s="103" t="str">
        <f aca="false">IF($C243="","",ROUND(IFERROR(INDEX(期初余额!$I$4:$I$43,MATCH($C243,期初余额!$H$4:$H$43,0)),0)+SUMIFS($H$4:$H243,$C$4:$C243,$C243)-SUMIFS($I$4:$I243,$C$4:$C243,$C243),2))</f>
        <v/>
      </c>
      <c r="K243" s="104" t="str">
        <f aca="false">IF($T243&lt;&gt;"",$T243,IF($C243="","",IF(AND(N($I243)&gt;0,$G243&lt;&gt;""),IF(IFERROR(INDEX(科目表!$U$4:$U$123,MATCH($G243,科目表!$M$4:$M$123,0)),"")&amp;""="","管理费用",INDEX(科目表!$U$4:$U$123,MATCH($G243,科目表!$M$4:$M$123,0))),IF(N($H243)&gt;0,IF(IFERROR(INDEX(自动规则!$C$4:$C$143,MATCH($F243,自动规则!$B$4:$B$143,0)),"")&amp;""="","其他应收款",INDEX(自动规则!$C$4:$C$143,MATCH($F243,自动规则!$B$4:$B$143,0))),IF(IFERROR(INDEX(自动规则!$D$4:$D$143,MATCH($F243,自动规则!$B$4:$B$143,0)),"")&amp;""="","其他应付款",INDEX(自动规则!$D$4:$D$143,MATCH($F243,自动规则!$B$4:$B$143,0)))))))</f>
        <v/>
      </c>
      <c r="L243" s="43"/>
      <c r="M243" s="105" t="str">
        <f aca="false">IF($C243="","",IF(IFERROR(INDEX(科目表!$T$4:$T$123,MATCH($C243,科目表!$K$4:$K$123,0)),"")&amp;""="","其他货币资金",INDEX(科目表!$T$4:$T$123,MATCH($C243,科目表!$K$4:$K$123,0))))</f>
        <v/>
      </c>
      <c r="N243" s="39" t="str">
        <f aca="false">IF(OR($C243="",ROUND(N($H243)+N($I243),2)=0),"",IF(N($H243)&gt;0,$M243,$K243))</f>
        <v/>
      </c>
      <c r="O243" s="41" t="str">
        <f aca="false">IF($N243="","",ROUND(N($H243)+N($I243),2))</f>
        <v/>
      </c>
      <c r="P243" s="41" t="str">
        <f aca="false">IF($N243="","",0)</f>
        <v/>
      </c>
      <c r="Q243" s="39" t="str">
        <f aca="false">IF($N243="","",IF(N($H243)&gt;0,$K243,$M243))</f>
        <v/>
      </c>
      <c r="R243" s="41" t="str">
        <f aca="false">IF($Q243="","",0)</f>
        <v/>
      </c>
      <c r="S243" s="41" t="str">
        <f aca="false">IF($Q243="","",ROUND(N($H243)+N($I243),2))</f>
        <v/>
      </c>
      <c r="T243" s="42"/>
      <c r="U243" s="44"/>
      <c r="V243" s="41" t="str">
        <f aca="false">IF($B243="","",TEXT($B243,"yyyy年m月"))</f>
        <v/>
      </c>
      <c r="W243" s="42"/>
      <c r="X243" s="42"/>
      <c r="Y243" s="9"/>
    </row>
    <row r="244" customFormat="false" ht="18" hidden="false" customHeight="true" outlineLevel="0" collapsed="false">
      <c r="A244" s="9" t="str">
        <f aca="false">IF($C244="","",ROW()-3)</f>
        <v/>
      </c>
      <c r="B244" s="76"/>
      <c r="C244" s="74"/>
      <c r="D244" s="43"/>
      <c r="E244" s="42"/>
      <c r="F244" s="74"/>
      <c r="G244" s="74"/>
      <c r="H244" s="44"/>
      <c r="I244" s="44"/>
      <c r="J244" s="103" t="str">
        <f aca="false">IF($C244="","",ROUND(IFERROR(INDEX(期初余额!$I$4:$I$43,MATCH($C244,期初余额!$H$4:$H$43,0)),0)+SUMIFS($H$4:$H244,$C$4:$C244,$C244)-SUMIFS($I$4:$I244,$C$4:$C244,$C244),2))</f>
        <v/>
      </c>
      <c r="K244" s="104" t="str">
        <f aca="false">IF($T244&lt;&gt;"",$T244,IF($C244="","",IF(AND(N($I244)&gt;0,$G244&lt;&gt;""),IF(IFERROR(INDEX(科目表!$U$4:$U$123,MATCH($G244,科目表!$M$4:$M$123,0)),"")&amp;""="","管理费用",INDEX(科目表!$U$4:$U$123,MATCH($G244,科目表!$M$4:$M$123,0))),IF(N($H244)&gt;0,IF(IFERROR(INDEX(自动规则!$C$4:$C$143,MATCH($F244,自动规则!$B$4:$B$143,0)),"")&amp;""="","其他应收款",INDEX(自动规则!$C$4:$C$143,MATCH($F244,自动规则!$B$4:$B$143,0))),IF(IFERROR(INDEX(自动规则!$D$4:$D$143,MATCH($F244,自动规则!$B$4:$B$143,0)),"")&amp;""="","其他应付款",INDEX(自动规则!$D$4:$D$143,MATCH($F244,自动规则!$B$4:$B$143,0)))))))</f>
        <v/>
      </c>
      <c r="L244" s="43"/>
      <c r="M244" s="105" t="str">
        <f aca="false">IF($C244="","",IF(IFERROR(INDEX(科目表!$T$4:$T$123,MATCH($C244,科目表!$K$4:$K$123,0)),"")&amp;""="","其他货币资金",INDEX(科目表!$T$4:$T$123,MATCH($C244,科目表!$K$4:$K$123,0))))</f>
        <v/>
      </c>
      <c r="N244" s="39" t="str">
        <f aca="false">IF(OR($C244="",ROUND(N($H244)+N($I244),2)=0),"",IF(N($H244)&gt;0,$M244,$K244))</f>
        <v/>
      </c>
      <c r="O244" s="41" t="str">
        <f aca="false">IF($N244="","",ROUND(N($H244)+N($I244),2))</f>
        <v/>
      </c>
      <c r="P244" s="41" t="str">
        <f aca="false">IF($N244="","",0)</f>
        <v/>
      </c>
      <c r="Q244" s="39" t="str">
        <f aca="false">IF($N244="","",IF(N($H244)&gt;0,$K244,$M244))</f>
        <v/>
      </c>
      <c r="R244" s="41" t="str">
        <f aca="false">IF($Q244="","",0)</f>
        <v/>
      </c>
      <c r="S244" s="41" t="str">
        <f aca="false">IF($Q244="","",ROUND(N($H244)+N($I244),2))</f>
        <v/>
      </c>
      <c r="T244" s="42"/>
      <c r="U244" s="44"/>
      <c r="V244" s="41" t="str">
        <f aca="false">IF($B244="","",TEXT($B244,"yyyy年m月"))</f>
        <v/>
      </c>
      <c r="W244" s="42"/>
      <c r="X244" s="42"/>
      <c r="Y244" s="9"/>
    </row>
    <row r="245" customFormat="false" ht="18" hidden="false" customHeight="true" outlineLevel="0" collapsed="false">
      <c r="A245" s="9" t="str">
        <f aca="false">IF($C245="","",ROW()-3)</f>
        <v/>
      </c>
      <c r="B245" s="76"/>
      <c r="C245" s="74"/>
      <c r="D245" s="43"/>
      <c r="E245" s="42"/>
      <c r="F245" s="74"/>
      <c r="G245" s="74"/>
      <c r="H245" s="44"/>
      <c r="I245" s="44"/>
      <c r="J245" s="103" t="str">
        <f aca="false">IF($C245="","",ROUND(IFERROR(INDEX(期初余额!$I$4:$I$43,MATCH($C245,期初余额!$H$4:$H$43,0)),0)+SUMIFS($H$4:$H245,$C$4:$C245,$C245)-SUMIFS($I$4:$I245,$C$4:$C245,$C245),2))</f>
        <v/>
      </c>
      <c r="K245" s="104" t="str">
        <f aca="false">IF($T245&lt;&gt;"",$T245,IF($C245="","",IF(AND(N($I245)&gt;0,$G245&lt;&gt;""),IF(IFERROR(INDEX(科目表!$U$4:$U$123,MATCH($G245,科目表!$M$4:$M$123,0)),"")&amp;""="","管理费用",INDEX(科目表!$U$4:$U$123,MATCH($G245,科目表!$M$4:$M$123,0))),IF(N($H245)&gt;0,IF(IFERROR(INDEX(自动规则!$C$4:$C$143,MATCH($F245,自动规则!$B$4:$B$143,0)),"")&amp;""="","其他应收款",INDEX(自动规则!$C$4:$C$143,MATCH($F245,自动规则!$B$4:$B$143,0))),IF(IFERROR(INDEX(自动规则!$D$4:$D$143,MATCH($F245,自动规则!$B$4:$B$143,0)),"")&amp;""="","其他应付款",INDEX(自动规则!$D$4:$D$143,MATCH($F245,自动规则!$B$4:$B$143,0)))))))</f>
        <v/>
      </c>
      <c r="L245" s="43"/>
      <c r="M245" s="105" t="str">
        <f aca="false">IF($C245="","",IF(IFERROR(INDEX(科目表!$T$4:$T$123,MATCH($C245,科目表!$K$4:$K$123,0)),"")&amp;""="","其他货币资金",INDEX(科目表!$T$4:$T$123,MATCH($C245,科目表!$K$4:$K$123,0))))</f>
        <v/>
      </c>
      <c r="N245" s="39" t="str">
        <f aca="false">IF(OR($C245="",ROUND(N($H245)+N($I245),2)=0),"",IF(N($H245)&gt;0,$M245,$K245))</f>
        <v/>
      </c>
      <c r="O245" s="41" t="str">
        <f aca="false">IF($N245="","",ROUND(N($H245)+N($I245),2))</f>
        <v/>
      </c>
      <c r="P245" s="41" t="str">
        <f aca="false">IF($N245="","",0)</f>
        <v/>
      </c>
      <c r="Q245" s="39" t="str">
        <f aca="false">IF($N245="","",IF(N($H245)&gt;0,$K245,$M245))</f>
        <v/>
      </c>
      <c r="R245" s="41" t="str">
        <f aca="false">IF($Q245="","",0)</f>
        <v/>
      </c>
      <c r="S245" s="41" t="str">
        <f aca="false">IF($Q245="","",ROUND(N($H245)+N($I245),2))</f>
        <v/>
      </c>
      <c r="T245" s="42"/>
      <c r="U245" s="44"/>
      <c r="V245" s="41" t="str">
        <f aca="false">IF($B245="","",TEXT($B245,"yyyy年m月"))</f>
        <v/>
      </c>
      <c r="W245" s="42"/>
      <c r="X245" s="42"/>
      <c r="Y245" s="9"/>
    </row>
    <row r="246" customFormat="false" ht="18" hidden="false" customHeight="true" outlineLevel="0" collapsed="false">
      <c r="A246" s="9" t="str">
        <f aca="false">IF($C246="","",ROW()-3)</f>
        <v/>
      </c>
      <c r="B246" s="76"/>
      <c r="C246" s="74"/>
      <c r="D246" s="43"/>
      <c r="E246" s="42"/>
      <c r="F246" s="74"/>
      <c r="G246" s="74"/>
      <c r="H246" s="44"/>
      <c r="I246" s="44"/>
      <c r="J246" s="103" t="str">
        <f aca="false">IF($C246="","",ROUND(IFERROR(INDEX(期初余额!$I$4:$I$43,MATCH($C246,期初余额!$H$4:$H$43,0)),0)+SUMIFS($H$4:$H246,$C$4:$C246,$C246)-SUMIFS($I$4:$I246,$C$4:$C246,$C246),2))</f>
        <v/>
      </c>
      <c r="K246" s="104" t="str">
        <f aca="false">IF($T246&lt;&gt;"",$T246,IF($C246="","",IF(AND(N($I246)&gt;0,$G246&lt;&gt;""),IF(IFERROR(INDEX(科目表!$U$4:$U$123,MATCH($G246,科目表!$M$4:$M$123,0)),"")&amp;""="","管理费用",INDEX(科目表!$U$4:$U$123,MATCH($G246,科目表!$M$4:$M$123,0))),IF(N($H246)&gt;0,IF(IFERROR(INDEX(自动规则!$C$4:$C$143,MATCH($F246,自动规则!$B$4:$B$143,0)),"")&amp;""="","其他应收款",INDEX(自动规则!$C$4:$C$143,MATCH($F246,自动规则!$B$4:$B$143,0))),IF(IFERROR(INDEX(自动规则!$D$4:$D$143,MATCH($F246,自动规则!$B$4:$B$143,0)),"")&amp;""="","其他应付款",INDEX(自动规则!$D$4:$D$143,MATCH($F246,自动规则!$B$4:$B$143,0)))))))</f>
        <v/>
      </c>
      <c r="L246" s="43"/>
      <c r="M246" s="105" t="str">
        <f aca="false">IF($C246="","",IF(IFERROR(INDEX(科目表!$T$4:$T$123,MATCH($C246,科目表!$K$4:$K$123,0)),"")&amp;""="","其他货币资金",INDEX(科目表!$T$4:$T$123,MATCH($C246,科目表!$K$4:$K$123,0))))</f>
        <v/>
      </c>
      <c r="N246" s="39" t="str">
        <f aca="false">IF(OR($C246="",ROUND(N($H246)+N($I246),2)=0),"",IF(N($H246)&gt;0,$M246,$K246))</f>
        <v/>
      </c>
      <c r="O246" s="41" t="str">
        <f aca="false">IF($N246="","",ROUND(N($H246)+N($I246),2))</f>
        <v/>
      </c>
      <c r="P246" s="41" t="str">
        <f aca="false">IF($N246="","",0)</f>
        <v/>
      </c>
      <c r="Q246" s="39" t="str">
        <f aca="false">IF($N246="","",IF(N($H246)&gt;0,$K246,$M246))</f>
        <v/>
      </c>
      <c r="R246" s="41" t="str">
        <f aca="false">IF($Q246="","",0)</f>
        <v/>
      </c>
      <c r="S246" s="41" t="str">
        <f aca="false">IF($Q246="","",ROUND(N($H246)+N($I246),2))</f>
        <v/>
      </c>
      <c r="T246" s="42"/>
      <c r="U246" s="44"/>
      <c r="V246" s="41" t="str">
        <f aca="false">IF($B246="","",TEXT($B246,"yyyy年m月"))</f>
        <v/>
      </c>
      <c r="W246" s="42"/>
      <c r="X246" s="42"/>
      <c r="Y246" s="9"/>
    </row>
    <row r="247" customFormat="false" ht="18" hidden="false" customHeight="true" outlineLevel="0" collapsed="false">
      <c r="A247" s="9" t="str">
        <f aca="false">IF($C247="","",ROW()-3)</f>
        <v/>
      </c>
      <c r="B247" s="76"/>
      <c r="C247" s="74"/>
      <c r="D247" s="43"/>
      <c r="E247" s="42"/>
      <c r="F247" s="74"/>
      <c r="G247" s="74"/>
      <c r="H247" s="44"/>
      <c r="I247" s="44"/>
      <c r="J247" s="103" t="str">
        <f aca="false">IF($C247="","",ROUND(IFERROR(INDEX(期初余额!$I$4:$I$43,MATCH($C247,期初余额!$H$4:$H$43,0)),0)+SUMIFS($H$4:$H247,$C$4:$C247,$C247)-SUMIFS($I$4:$I247,$C$4:$C247,$C247),2))</f>
        <v/>
      </c>
      <c r="K247" s="104" t="str">
        <f aca="false">IF($T247&lt;&gt;"",$T247,IF($C247="","",IF(AND(N($I247)&gt;0,$G247&lt;&gt;""),IF(IFERROR(INDEX(科目表!$U$4:$U$123,MATCH($G247,科目表!$M$4:$M$123,0)),"")&amp;""="","管理费用",INDEX(科目表!$U$4:$U$123,MATCH($G247,科目表!$M$4:$M$123,0))),IF(N($H247)&gt;0,IF(IFERROR(INDEX(自动规则!$C$4:$C$143,MATCH($F247,自动规则!$B$4:$B$143,0)),"")&amp;""="","其他应收款",INDEX(自动规则!$C$4:$C$143,MATCH($F247,自动规则!$B$4:$B$143,0))),IF(IFERROR(INDEX(自动规则!$D$4:$D$143,MATCH($F247,自动规则!$B$4:$B$143,0)),"")&amp;""="","其他应付款",INDEX(自动规则!$D$4:$D$143,MATCH($F247,自动规则!$B$4:$B$143,0)))))))</f>
        <v/>
      </c>
      <c r="L247" s="43"/>
      <c r="M247" s="105" t="str">
        <f aca="false">IF($C247="","",IF(IFERROR(INDEX(科目表!$T$4:$T$123,MATCH($C247,科目表!$K$4:$K$123,0)),"")&amp;""="","其他货币资金",INDEX(科目表!$T$4:$T$123,MATCH($C247,科目表!$K$4:$K$123,0))))</f>
        <v/>
      </c>
      <c r="N247" s="39" t="str">
        <f aca="false">IF(OR($C247="",ROUND(N($H247)+N($I247),2)=0),"",IF(N($H247)&gt;0,$M247,$K247))</f>
        <v/>
      </c>
      <c r="O247" s="41" t="str">
        <f aca="false">IF($N247="","",ROUND(N($H247)+N($I247),2))</f>
        <v/>
      </c>
      <c r="P247" s="41" t="str">
        <f aca="false">IF($N247="","",0)</f>
        <v/>
      </c>
      <c r="Q247" s="39" t="str">
        <f aca="false">IF($N247="","",IF(N($H247)&gt;0,$K247,$M247))</f>
        <v/>
      </c>
      <c r="R247" s="41" t="str">
        <f aca="false">IF($Q247="","",0)</f>
        <v/>
      </c>
      <c r="S247" s="41" t="str">
        <f aca="false">IF($Q247="","",ROUND(N($H247)+N($I247),2))</f>
        <v/>
      </c>
      <c r="T247" s="42"/>
      <c r="U247" s="44"/>
      <c r="V247" s="41" t="str">
        <f aca="false">IF($B247="","",TEXT($B247,"yyyy年m月"))</f>
        <v/>
      </c>
      <c r="W247" s="42"/>
      <c r="X247" s="42"/>
      <c r="Y247" s="9"/>
    </row>
    <row r="248" customFormat="false" ht="18" hidden="false" customHeight="true" outlineLevel="0" collapsed="false">
      <c r="A248" s="9" t="str">
        <f aca="false">IF($C248="","",ROW()-3)</f>
        <v/>
      </c>
      <c r="B248" s="76"/>
      <c r="C248" s="74"/>
      <c r="D248" s="43"/>
      <c r="E248" s="42"/>
      <c r="F248" s="74"/>
      <c r="G248" s="74"/>
      <c r="H248" s="44"/>
      <c r="I248" s="44"/>
      <c r="J248" s="103" t="str">
        <f aca="false">IF($C248="","",ROUND(IFERROR(INDEX(期初余额!$I$4:$I$43,MATCH($C248,期初余额!$H$4:$H$43,0)),0)+SUMIFS($H$4:$H248,$C$4:$C248,$C248)-SUMIFS($I$4:$I248,$C$4:$C248,$C248),2))</f>
        <v/>
      </c>
      <c r="K248" s="104" t="str">
        <f aca="false">IF($T248&lt;&gt;"",$T248,IF($C248="","",IF(AND(N($I248)&gt;0,$G248&lt;&gt;""),IF(IFERROR(INDEX(科目表!$U$4:$U$123,MATCH($G248,科目表!$M$4:$M$123,0)),"")&amp;""="","管理费用",INDEX(科目表!$U$4:$U$123,MATCH($G248,科目表!$M$4:$M$123,0))),IF(N($H248)&gt;0,IF(IFERROR(INDEX(自动规则!$C$4:$C$143,MATCH($F248,自动规则!$B$4:$B$143,0)),"")&amp;""="","其他应收款",INDEX(自动规则!$C$4:$C$143,MATCH($F248,自动规则!$B$4:$B$143,0))),IF(IFERROR(INDEX(自动规则!$D$4:$D$143,MATCH($F248,自动规则!$B$4:$B$143,0)),"")&amp;""="","其他应付款",INDEX(自动规则!$D$4:$D$143,MATCH($F248,自动规则!$B$4:$B$143,0)))))))</f>
        <v/>
      </c>
      <c r="L248" s="43"/>
      <c r="M248" s="105" t="str">
        <f aca="false">IF($C248="","",IF(IFERROR(INDEX(科目表!$T$4:$T$123,MATCH($C248,科目表!$K$4:$K$123,0)),"")&amp;""="","其他货币资金",INDEX(科目表!$T$4:$T$123,MATCH($C248,科目表!$K$4:$K$123,0))))</f>
        <v/>
      </c>
      <c r="N248" s="39" t="str">
        <f aca="false">IF(OR($C248="",ROUND(N($H248)+N($I248),2)=0),"",IF(N($H248)&gt;0,$M248,$K248))</f>
        <v/>
      </c>
      <c r="O248" s="41" t="str">
        <f aca="false">IF($N248="","",ROUND(N($H248)+N($I248),2))</f>
        <v/>
      </c>
      <c r="P248" s="41" t="str">
        <f aca="false">IF($N248="","",0)</f>
        <v/>
      </c>
      <c r="Q248" s="39" t="str">
        <f aca="false">IF($N248="","",IF(N($H248)&gt;0,$K248,$M248))</f>
        <v/>
      </c>
      <c r="R248" s="41" t="str">
        <f aca="false">IF($Q248="","",0)</f>
        <v/>
      </c>
      <c r="S248" s="41" t="str">
        <f aca="false">IF($Q248="","",ROUND(N($H248)+N($I248),2))</f>
        <v/>
      </c>
      <c r="T248" s="42"/>
      <c r="U248" s="44"/>
      <c r="V248" s="41" t="str">
        <f aca="false">IF($B248="","",TEXT($B248,"yyyy年m月"))</f>
        <v/>
      </c>
      <c r="W248" s="42"/>
      <c r="X248" s="42"/>
      <c r="Y248" s="9"/>
    </row>
    <row r="249" customFormat="false" ht="18" hidden="false" customHeight="true" outlineLevel="0" collapsed="false">
      <c r="A249" s="9" t="str">
        <f aca="false">IF($C249="","",ROW()-3)</f>
        <v/>
      </c>
      <c r="B249" s="76"/>
      <c r="C249" s="74"/>
      <c r="D249" s="43"/>
      <c r="E249" s="42"/>
      <c r="F249" s="74"/>
      <c r="G249" s="74"/>
      <c r="H249" s="44"/>
      <c r="I249" s="44"/>
      <c r="J249" s="103" t="str">
        <f aca="false">IF($C249="","",ROUND(IFERROR(INDEX(期初余额!$I$4:$I$43,MATCH($C249,期初余额!$H$4:$H$43,0)),0)+SUMIFS($H$4:$H249,$C$4:$C249,$C249)-SUMIFS($I$4:$I249,$C$4:$C249,$C249),2))</f>
        <v/>
      </c>
      <c r="K249" s="104" t="str">
        <f aca="false">IF($T249&lt;&gt;"",$T249,IF($C249="","",IF(AND(N($I249)&gt;0,$G249&lt;&gt;""),IF(IFERROR(INDEX(科目表!$U$4:$U$123,MATCH($G249,科目表!$M$4:$M$123,0)),"")&amp;""="","管理费用",INDEX(科目表!$U$4:$U$123,MATCH($G249,科目表!$M$4:$M$123,0))),IF(N($H249)&gt;0,IF(IFERROR(INDEX(自动规则!$C$4:$C$143,MATCH($F249,自动规则!$B$4:$B$143,0)),"")&amp;""="","其他应收款",INDEX(自动规则!$C$4:$C$143,MATCH($F249,自动规则!$B$4:$B$143,0))),IF(IFERROR(INDEX(自动规则!$D$4:$D$143,MATCH($F249,自动规则!$B$4:$B$143,0)),"")&amp;""="","其他应付款",INDEX(自动规则!$D$4:$D$143,MATCH($F249,自动规则!$B$4:$B$143,0)))))))</f>
        <v/>
      </c>
      <c r="L249" s="43"/>
      <c r="M249" s="105" t="str">
        <f aca="false">IF($C249="","",IF(IFERROR(INDEX(科目表!$T$4:$T$123,MATCH($C249,科目表!$K$4:$K$123,0)),"")&amp;""="","其他货币资金",INDEX(科目表!$T$4:$T$123,MATCH($C249,科目表!$K$4:$K$123,0))))</f>
        <v/>
      </c>
      <c r="N249" s="39" t="str">
        <f aca="false">IF(OR($C249="",ROUND(N($H249)+N($I249),2)=0),"",IF(N($H249)&gt;0,$M249,$K249))</f>
        <v/>
      </c>
      <c r="O249" s="41" t="str">
        <f aca="false">IF($N249="","",ROUND(N($H249)+N($I249),2))</f>
        <v/>
      </c>
      <c r="P249" s="41" t="str">
        <f aca="false">IF($N249="","",0)</f>
        <v/>
      </c>
      <c r="Q249" s="39" t="str">
        <f aca="false">IF($N249="","",IF(N($H249)&gt;0,$K249,$M249))</f>
        <v/>
      </c>
      <c r="R249" s="41" t="str">
        <f aca="false">IF($Q249="","",0)</f>
        <v/>
      </c>
      <c r="S249" s="41" t="str">
        <f aca="false">IF($Q249="","",ROUND(N($H249)+N($I249),2))</f>
        <v/>
      </c>
      <c r="T249" s="42"/>
      <c r="U249" s="44"/>
      <c r="V249" s="41" t="str">
        <f aca="false">IF($B249="","",TEXT($B249,"yyyy年m月"))</f>
        <v/>
      </c>
      <c r="W249" s="42"/>
      <c r="X249" s="42"/>
      <c r="Y249" s="9"/>
    </row>
    <row r="250" customFormat="false" ht="18" hidden="false" customHeight="true" outlineLevel="0" collapsed="false">
      <c r="A250" s="9" t="str">
        <f aca="false">IF($C250="","",ROW()-3)</f>
        <v/>
      </c>
      <c r="B250" s="76"/>
      <c r="C250" s="74"/>
      <c r="D250" s="43"/>
      <c r="E250" s="42"/>
      <c r="F250" s="74"/>
      <c r="G250" s="74"/>
      <c r="H250" s="44"/>
      <c r="I250" s="44"/>
      <c r="J250" s="103" t="str">
        <f aca="false">IF($C250="","",ROUND(IFERROR(INDEX(期初余额!$I$4:$I$43,MATCH($C250,期初余额!$H$4:$H$43,0)),0)+SUMIFS($H$4:$H250,$C$4:$C250,$C250)-SUMIFS($I$4:$I250,$C$4:$C250,$C250),2))</f>
        <v/>
      </c>
      <c r="K250" s="104" t="str">
        <f aca="false">IF($T250&lt;&gt;"",$T250,IF($C250="","",IF(AND(N($I250)&gt;0,$G250&lt;&gt;""),IF(IFERROR(INDEX(科目表!$U$4:$U$123,MATCH($G250,科目表!$M$4:$M$123,0)),"")&amp;""="","管理费用",INDEX(科目表!$U$4:$U$123,MATCH($G250,科目表!$M$4:$M$123,0))),IF(N($H250)&gt;0,IF(IFERROR(INDEX(自动规则!$C$4:$C$143,MATCH($F250,自动规则!$B$4:$B$143,0)),"")&amp;""="","其他应收款",INDEX(自动规则!$C$4:$C$143,MATCH($F250,自动规则!$B$4:$B$143,0))),IF(IFERROR(INDEX(自动规则!$D$4:$D$143,MATCH($F250,自动规则!$B$4:$B$143,0)),"")&amp;""="","其他应付款",INDEX(自动规则!$D$4:$D$143,MATCH($F250,自动规则!$B$4:$B$143,0)))))))</f>
        <v/>
      </c>
      <c r="L250" s="43"/>
      <c r="M250" s="105" t="str">
        <f aca="false">IF($C250="","",IF(IFERROR(INDEX(科目表!$T$4:$T$123,MATCH($C250,科目表!$K$4:$K$123,0)),"")&amp;""="","其他货币资金",INDEX(科目表!$T$4:$T$123,MATCH($C250,科目表!$K$4:$K$123,0))))</f>
        <v/>
      </c>
      <c r="N250" s="39" t="str">
        <f aca="false">IF(OR($C250="",ROUND(N($H250)+N($I250),2)=0),"",IF(N($H250)&gt;0,$M250,$K250))</f>
        <v/>
      </c>
      <c r="O250" s="41" t="str">
        <f aca="false">IF($N250="","",ROUND(N($H250)+N($I250),2))</f>
        <v/>
      </c>
      <c r="P250" s="41" t="str">
        <f aca="false">IF($N250="","",0)</f>
        <v/>
      </c>
      <c r="Q250" s="39" t="str">
        <f aca="false">IF($N250="","",IF(N($H250)&gt;0,$K250,$M250))</f>
        <v/>
      </c>
      <c r="R250" s="41" t="str">
        <f aca="false">IF($Q250="","",0)</f>
        <v/>
      </c>
      <c r="S250" s="41" t="str">
        <f aca="false">IF($Q250="","",ROUND(N($H250)+N($I250),2))</f>
        <v/>
      </c>
      <c r="T250" s="42"/>
      <c r="U250" s="44"/>
      <c r="V250" s="41" t="str">
        <f aca="false">IF($B250="","",TEXT($B250,"yyyy年m月"))</f>
        <v/>
      </c>
      <c r="W250" s="42"/>
      <c r="X250" s="42"/>
      <c r="Y250" s="9"/>
    </row>
    <row r="251" customFormat="false" ht="18" hidden="false" customHeight="true" outlineLevel="0" collapsed="false">
      <c r="A251" s="9" t="str">
        <f aca="false">IF($C251="","",ROW()-3)</f>
        <v/>
      </c>
      <c r="B251" s="76"/>
      <c r="C251" s="74"/>
      <c r="D251" s="43"/>
      <c r="E251" s="42"/>
      <c r="F251" s="74"/>
      <c r="G251" s="74"/>
      <c r="H251" s="44"/>
      <c r="I251" s="44"/>
      <c r="J251" s="103" t="str">
        <f aca="false">IF($C251="","",ROUND(IFERROR(INDEX(期初余额!$I$4:$I$43,MATCH($C251,期初余额!$H$4:$H$43,0)),0)+SUMIFS($H$4:$H251,$C$4:$C251,$C251)-SUMIFS($I$4:$I251,$C$4:$C251,$C251),2))</f>
        <v/>
      </c>
      <c r="K251" s="104" t="str">
        <f aca="false">IF($T251&lt;&gt;"",$T251,IF($C251="","",IF(AND(N($I251)&gt;0,$G251&lt;&gt;""),IF(IFERROR(INDEX(科目表!$U$4:$U$123,MATCH($G251,科目表!$M$4:$M$123,0)),"")&amp;""="","管理费用",INDEX(科目表!$U$4:$U$123,MATCH($G251,科目表!$M$4:$M$123,0))),IF(N($H251)&gt;0,IF(IFERROR(INDEX(自动规则!$C$4:$C$143,MATCH($F251,自动规则!$B$4:$B$143,0)),"")&amp;""="","其他应收款",INDEX(自动规则!$C$4:$C$143,MATCH($F251,自动规则!$B$4:$B$143,0))),IF(IFERROR(INDEX(自动规则!$D$4:$D$143,MATCH($F251,自动规则!$B$4:$B$143,0)),"")&amp;""="","其他应付款",INDEX(自动规则!$D$4:$D$143,MATCH($F251,自动规则!$B$4:$B$143,0)))))))</f>
        <v/>
      </c>
      <c r="L251" s="43"/>
      <c r="M251" s="105" t="str">
        <f aca="false">IF($C251="","",IF(IFERROR(INDEX(科目表!$T$4:$T$123,MATCH($C251,科目表!$K$4:$K$123,0)),"")&amp;""="","其他货币资金",INDEX(科目表!$T$4:$T$123,MATCH($C251,科目表!$K$4:$K$123,0))))</f>
        <v/>
      </c>
      <c r="N251" s="39" t="str">
        <f aca="false">IF(OR($C251="",ROUND(N($H251)+N($I251),2)=0),"",IF(N($H251)&gt;0,$M251,$K251))</f>
        <v/>
      </c>
      <c r="O251" s="41" t="str">
        <f aca="false">IF($N251="","",ROUND(N($H251)+N($I251),2))</f>
        <v/>
      </c>
      <c r="P251" s="41" t="str">
        <f aca="false">IF($N251="","",0)</f>
        <v/>
      </c>
      <c r="Q251" s="39" t="str">
        <f aca="false">IF($N251="","",IF(N($H251)&gt;0,$K251,$M251))</f>
        <v/>
      </c>
      <c r="R251" s="41" t="str">
        <f aca="false">IF($Q251="","",0)</f>
        <v/>
      </c>
      <c r="S251" s="41" t="str">
        <f aca="false">IF($Q251="","",ROUND(N($H251)+N($I251),2))</f>
        <v/>
      </c>
      <c r="T251" s="42"/>
      <c r="U251" s="44"/>
      <c r="V251" s="41" t="str">
        <f aca="false">IF($B251="","",TEXT($B251,"yyyy年m月"))</f>
        <v/>
      </c>
      <c r="W251" s="42"/>
      <c r="X251" s="42"/>
      <c r="Y251" s="9"/>
    </row>
    <row r="252" customFormat="false" ht="18" hidden="false" customHeight="true" outlineLevel="0" collapsed="false">
      <c r="A252" s="9" t="str">
        <f aca="false">IF($C252="","",ROW()-3)</f>
        <v/>
      </c>
      <c r="B252" s="76"/>
      <c r="C252" s="74"/>
      <c r="D252" s="43"/>
      <c r="E252" s="42"/>
      <c r="F252" s="74"/>
      <c r="G252" s="74"/>
      <c r="H252" s="44"/>
      <c r="I252" s="44"/>
      <c r="J252" s="103" t="str">
        <f aca="false">IF($C252="","",ROUND(IFERROR(INDEX(期初余额!$I$4:$I$43,MATCH($C252,期初余额!$H$4:$H$43,0)),0)+SUMIFS($H$4:$H252,$C$4:$C252,$C252)-SUMIFS($I$4:$I252,$C$4:$C252,$C252),2))</f>
        <v/>
      </c>
      <c r="K252" s="104" t="str">
        <f aca="false">IF($T252&lt;&gt;"",$T252,IF($C252="","",IF(AND(N($I252)&gt;0,$G252&lt;&gt;""),IF(IFERROR(INDEX(科目表!$U$4:$U$123,MATCH($G252,科目表!$M$4:$M$123,0)),"")&amp;""="","管理费用",INDEX(科目表!$U$4:$U$123,MATCH($G252,科目表!$M$4:$M$123,0))),IF(N($H252)&gt;0,IF(IFERROR(INDEX(自动规则!$C$4:$C$143,MATCH($F252,自动规则!$B$4:$B$143,0)),"")&amp;""="","其他应收款",INDEX(自动规则!$C$4:$C$143,MATCH($F252,自动规则!$B$4:$B$143,0))),IF(IFERROR(INDEX(自动规则!$D$4:$D$143,MATCH($F252,自动规则!$B$4:$B$143,0)),"")&amp;""="","其他应付款",INDEX(自动规则!$D$4:$D$143,MATCH($F252,自动规则!$B$4:$B$143,0)))))))</f>
        <v/>
      </c>
      <c r="L252" s="43"/>
      <c r="M252" s="105" t="str">
        <f aca="false">IF($C252="","",IF(IFERROR(INDEX(科目表!$T$4:$T$123,MATCH($C252,科目表!$K$4:$K$123,0)),"")&amp;""="","其他货币资金",INDEX(科目表!$T$4:$T$123,MATCH($C252,科目表!$K$4:$K$123,0))))</f>
        <v/>
      </c>
      <c r="N252" s="39" t="str">
        <f aca="false">IF(OR($C252="",ROUND(N($H252)+N($I252),2)=0),"",IF(N($H252)&gt;0,$M252,$K252))</f>
        <v/>
      </c>
      <c r="O252" s="41" t="str">
        <f aca="false">IF($N252="","",ROUND(N($H252)+N($I252),2))</f>
        <v/>
      </c>
      <c r="P252" s="41" t="str">
        <f aca="false">IF($N252="","",0)</f>
        <v/>
      </c>
      <c r="Q252" s="39" t="str">
        <f aca="false">IF($N252="","",IF(N($H252)&gt;0,$K252,$M252))</f>
        <v/>
      </c>
      <c r="R252" s="41" t="str">
        <f aca="false">IF($Q252="","",0)</f>
        <v/>
      </c>
      <c r="S252" s="41" t="str">
        <f aca="false">IF($Q252="","",ROUND(N($H252)+N($I252),2))</f>
        <v/>
      </c>
      <c r="T252" s="42"/>
      <c r="U252" s="44"/>
      <c r="V252" s="41" t="str">
        <f aca="false">IF($B252="","",TEXT($B252,"yyyy年m月"))</f>
        <v/>
      </c>
      <c r="W252" s="42"/>
      <c r="X252" s="42"/>
      <c r="Y252" s="9"/>
    </row>
    <row r="253" customFormat="false" ht="18" hidden="false" customHeight="true" outlineLevel="0" collapsed="false">
      <c r="A253" s="9" t="str">
        <f aca="false">IF($C253="","",ROW()-3)</f>
        <v/>
      </c>
      <c r="B253" s="76"/>
      <c r="C253" s="74"/>
      <c r="D253" s="43"/>
      <c r="E253" s="42"/>
      <c r="F253" s="74"/>
      <c r="G253" s="74"/>
      <c r="H253" s="44"/>
      <c r="I253" s="44"/>
      <c r="J253" s="103" t="str">
        <f aca="false">IF($C253="","",ROUND(IFERROR(INDEX(期初余额!$I$4:$I$43,MATCH($C253,期初余额!$H$4:$H$43,0)),0)+SUMIFS($H$4:$H253,$C$4:$C253,$C253)-SUMIFS($I$4:$I253,$C$4:$C253,$C253),2))</f>
        <v/>
      </c>
      <c r="K253" s="104" t="str">
        <f aca="false">IF($T253&lt;&gt;"",$T253,IF($C253="","",IF(AND(N($I253)&gt;0,$G253&lt;&gt;""),IF(IFERROR(INDEX(科目表!$U$4:$U$123,MATCH($G253,科目表!$M$4:$M$123,0)),"")&amp;""="","管理费用",INDEX(科目表!$U$4:$U$123,MATCH($G253,科目表!$M$4:$M$123,0))),IF(N($H253)&gt;0,IF(IFERROR(INDEX(自动规则!$C$4:$C$143,MATCH($F253,自动规则!$B$4:$B$143,0)),"")&amp;""="","其他应收款",INDEX(自动规则!$C$4:$C$143,MATCH($F253,自动规则!$B$4:$B$143,0))),IF(IFERROR(INDEX(自动规则!$D$4:$D$143,MATCH($F253,自动规则!$B$4:$B$143,0)),"")&amp;""="","其他应付款",INDEX(自动规则!$D$4:$D$143,MATCH($F253,自动规则!$B$4:$B$143,0)))))))</f>
        <v/>
      </c>
      <c r="L253" s="43"/>
      <c r="M253" s="105" t="str">
        <f aca="false">IF($C253="","",IF(IFERROR(INDEX(科目表!$T$4:$T$123,MATCH($C253,科目表!$K$4:$K$123,0)),"")&amp;""="","其他货币资金",INDEX(科目表!$T$4:$T$123,MATCH($C253,科目表!$K$4:$K$123,0))))</f>
        <v/>
      </c>
      <c r="N253" s="39" t="str">
        <f aca="false">IF(OR($C253="",ROUND(N($H253)+N($I253),2)=0),"",IF(N($H253)&gt;0,$M253,$K253))</f>
        <v/>
      </c>
      <c r="O253" s="41" t="str">
        <f aca="false">IF($N253="","",ROUND(N($H253)+N($I253),2))</f>
        <v/>
      </c>
      <c r="P253" s="41" t="str">
        <f aca="false">IF($N253="","",0)</f>
        <v/>
      </c>
      <c r="Q253" s="39" t="str">
        <f aca="false">IF($N253="","",IF(N($H253)&gt;0,$K253,$M253))</f>
        <v/>
      </c>
      <c r="R253" s="41" t="str">
        <f aca="false">IF($Q253="","",0)</f>
        <v/>
      </c>
      <c r="S253" s="41" t="str">
        <f aca="false">IF($Q253="","",ROUND(N($H253)+N($I253),2))</f>
        <v/>
      </c>
      <c r="T253" s="42"/>
      <c r="U253" s="44"/>
      <c r="V253" s="41" t="str">
        <f aca="false">IF($B253="","",TEXT($B253,"yyyy年m月"))</f>
        <v/>
      </c>
      <c r="W253" s="42"/>
      <c r="X253" s="42"/>
      <c r="Y253" s="9"/>
    </row>
    <row r="254" customFormat="false" ht="18" hidden="false" customHeight="true" outlineLevel="0" collapsed="false">
      <c r="A254" s="9" t="str">
        <f aca="false">IF($C254="","",ROW()-3)</f>
        <v/>
      </c>
      <c r="B254" s="76"/>
      <c r="C254" s="74"/>
      <c r="D254" s="43"/>
      <c r="E254" s="42"/>
      <c r="F254" s="74"/>
      <c r="G254" s="74"/>
      <c r="H254" s="44"/>
      <c r="I254" s="44"/>
      <c r="J254" s="103" t="str">
        <f aca="false">IF($C254="","",ROUND(IFERROR(INDEX(期初余额!$I$4:$I$43,MATCH($C254,期初余额!$H$4:$H$43,0)),0)+SUMIFS($H$4:$H254,$C$4:$C254,$C254)-SUMIFS($I$4:$I254,$C$4:$C254,$C254),2))</f>
        <v/>
      </c>
      <c r="K254" s="104" t="str">
        <f aca="false">IF($T254&lt;&gt;"",$T254,IF($C254="","",IF(AND(N($I254)&gt;0,$G254&lt;&gt;""),IF(IFERROR(INDEX(科目表!$U$4:$U$123,MATCH($G254,科目表!$M$4:$M$123,0)),"")&amp;""="","管理费用",INDEX(科目表!$U$4:$U$123,MATCH($G254,科目表!$M$4:$M$123,0))),IF(N($H254)&gt;0,IF(IFERROR(INDEX(自动规则!$C$4:$C$143,MATCH($F254,自动规则!$B$4:$B$143,0)),"")&amp;""="","其他应收款",INDEX(自动规则!$C$4:$C$143,MATCH($F254,自动规则!$B$4:$B$143,0))),IF(IFERROR(INDEX(自动规则!$D$4:$D$143,MATCH($F254,自动规则!$B$4:$B$143,0)),"")&amp;""="","其他应付款",INDEX(自动规则!$D$4:$D$143,MATCH($F254,自动规则!$B$4:$B$143,0)))))))</f>
        <v/>
      </c>
      <c r="L254" s="43"/>
      <c r="M254" s="105" t="str">
        <f aca="false">IF($C254="","",IF(IFERROR(INDEX(科目表!$T$4:$T$123,MATCH($C254,科目表!$K$4:$K$123,0)),"")&amp;""="","其他货币资金",INDEX(科目表!$T$4:$T$123,MATCH($C254,科目表!$K$4:$K$123,0))))</f>
        <v/>
      </c>
      <c r="N254" s="39" t="str">
        <f aca="false">IF(OR($C254="",ROUND(N($H254)+N($I254),2)=0),"",IF(N($H254)&gt;0,$M254,$K254))</f>
        <v/>
      </c>
      <c r="O254" s="41" t="str">
        <f aca="false">IF($N254="","",ROUND(N($H254)+N($I254),2))</f>
        <v/>
      </c>
      <c r="P254" s="41" t="str">
        <f aca="false">IF($N254="","",0)</f>
        <v/>
      </c>
      <c r="Q254" s="39" t="str">
        <f aca="false">IF($N254="","",IF(N($H254)&gt;0,$K254,$M254))</f>
        <v/>
      </c>
      <c r="R254" s="41" t="str">
        <f aca="false">IF($Q254="","",0)</f>
        <v/>
      </c>
      <c r="S254" s="41" t="str">
        <f aca="false">IF($Q254="","",ROUND(N($H254)+N($I254),2))</f>
        <v/>
      </c>
      <c r="T254" s="42"/>
      <c r="U254" s="44"/>
      <c r="V254" s="41" t="str">
        <f aca="false">IF($B254="","",TEXT($B254,"yyyy年m月"))</f>
        <v/>
      </c>
      <c r="W254" s="42"/>
      <c r="X254" s="42"/>
      <c r="Y254" s="9"/>
    </row>
    <row r="255" customFormat="false" ht="18" hidden="false" customHeight="true" outlineLevel="0" collapsed="false">
      <c r="A255" s="9" t="str">
        <f aca="false">IF($C255="","",ROW()-3)</f>
        <v/>
      </c>
      <c r="B255" s="76"/>
      <c r="C255" s="74"/>
      <c r="D255" s="43"/>
      <c r="E255" s="42"/>
      <c r="F255" s="74"/>
      <c r="G255" s="74"/>
      <c r="H255" s="44"/>
      <c r="I255" s="44"/>
      <c r="J255" s="103" t="str">
        <f aca="false">IF($C255="","",ROUND(IFERROR(INDEX(期初余额!$I$4:$I$43,MATCH($C255,期初余额!$H$4:$H$43,0)),0)+SUMIFS($H$4:$H255,$C$4:$C255,$C255)-SUMIFS($I$4:$I255,$C$4:$C255,$C255),2))</f>
        <v/>
      </c>
      <c r="K255" s="104" t="str">
        <f aca="false">IF($T255&lt;&gt;"",$T255,IF($C255="","",IF(AND(N($I255)&gt;0,$G255&lt;&gt;""),IF(IFERROR(INDEX(科目表!$U$4:$U$123,MATCH($G255,科目表!$M$4:$M$123,0)),"")&amp;""="","管理费用",INDEX(科目表!$U$4:$U$123,MATCH($G255,科目表!$M$4:$M$123,0))),IF(N($H255)&gt;0,IF(IFERROR(INDEX(自动规则!$C$4:$C$143,MATCH($F255,自动规则!$B$4:$B$143,0)),"")&amp;""="","其他应收款",INDEX(自动规则!$C$4:$C$143,MATCH($F255,自动规则!$B$4:$B$143,0))),IF(IFERROR(INDEX(自动规则!$D$4:$D$143,MATCH($F255,自动规则!$B$4:$B$143,0)),"")&amp;""="","其他应付款",INDEX(自动规则!$D$4:$D$143,MATCH($F255,自动规则!$B$4:$B$143,0)))))))</f>
        <v/>
      </c>
      <c r="L255" s="43"/>
      <c r="M255" s="105" t="str">
        <f aca="false">IF($C255="","",IF(IFERROR(INDEX(科目表!$T$4:$T$123,MATCH($C255,科目表!$K$4:$K$123,0)),"")&amp;""="","其他货币资金",INDEX(科目表!$T$4:$T$123,MATCH($C255,科目表!$K$4:$K$123,0))))</f>
        <v/>
      </c>
      <c r="N255" s="39" t="str">
        <f aca="false">IF(OR($C255="",ROUND(N($H255)+N($I255),2)=0),"",IF(N($H255)&gt;0,$M255,$K255))</f>
        <v/>
      </c>
      <c r="O255" s="41" t="str">
        <f aca="false">IF($N255="","",ROUND(N($H255)+N($I255),2))</f>
        <v/>
      </c>
      <c r="P255" s="41" t="str">
        <f aca="false">IF($N255="","",0)</f>
        <v/>
      </c>
      <c r="Q255" s="39" t="str">
        <f aca="false">IF($N255="","",IF(N($H255)&gt;0,$K255,$M255))</f>
        <v/>
      </c>
      <c r="R255" s="41" t="str">
        <f aca="false">IF($Q255="","",0)</f>
        <v/>
      </c>
      <c r="S255" s="41" t="str">
        <f aca="false">IF($Q255="","",ROUND(N($H255)+N($I255),2))</f>
        <v/>
      </c>
      <c r="T255" s="42"/>
      <c r="U255" s="44"/>
      <c r="V255" s="41" t="str">
        <f aca="false">IF($B255="","",TEXT($B255,"yyyy年m月"))</f>
        <v/>
      </c>
      <c r="W255" s="42"/>
      <c r="X255" s="42"/>
      <c r="Y255" s="9"/>
    </row>
    <row r="256" customFormat="false" ht="18" hidden="false" customHeight="true" outlineLevel="0" collapsed="false">
      <c r="A256" s="9" t="str">
        <f aca="false">IF($C256="","",ROW()-3)</f>
        <v/>
      </c>
      <c r="B256" s="76"/>
      <c r="C256" s="74"/>
      <c r="D256" s="43"/>
      <c r="E256" s="42"/>
      <c r="F256" s="74"/>
      <c r="G256" s="74"/>
      <c r="H256" s="44"/>
      <c r="I256" s="44"/>
      <c r="J256" s="103" t="str">
        <f aca="false">IF($C256="","",ROUND(IFERROR(INDEX(期初余额!$I$4:$I$43,MATCH($C256,期初余额!$H$4:$H$43,0)),0)+SUMIFS($H$4:$H256,$C$4:$C256,$C256)-SUMIFS($I$4:$I256,$C$4:$C256,$C256),2))</f>
        <v/>
      </c>
      <c r="K256" s="104" t="str">
        <f aca="false">IF($T256&lt;&gt;"",$T256,IF($C256="","",IF(AND(N($I256)&gt;0,$G256&lt;&gt;""),IF(IFERROR(INDEX(科目表!$U$4:$U$123,MATCH($G256,科目表!$M$4:$M$123,0)),"")&amp;""="","管理费用",INDEX(科目表!$U$4:$U$123,MATCH($G256,科目表!$M$4:$M$123,0))),IF(N($H256)&gt;0,IF(IFERROR(INDEX(自动规则!$C$4:$C$143,MATCH($F256,自动规则!$B$4:$B$143,0)),"")&amp;""="","其他应收款",INDEX(自动规则!$C$4:$C$143,MATCH($F256,自动规则!$B$4:$B$143,0))),IF(IFERROR(INDEX(自动规则!$D$4:$D$143,MATCH($F256,自动规则!$B$4:$B$143,0)),"")&amp;""="","其他应付款",INDEX(自动规则!$D$4:$D$143,MATCH($F256,自动规则!$B$4:$B$143,0)))))))</f>
        <v/>
      </c>
      <c r="L256" s="43"/>
      <c r="M256" s="105" t="str">
        <f aca="false">IF($C256="","",IF(IFERROR(INDEX(科目表!$T$4:$T$123,MATCH($C256,科目表!$K$4:$K$123,0)),"")&amp;""="","其他货币资金",INDEX(科目表!$T$4:$T$123,MATCH($C256,科目表!$K$4:$K$123,0))))</f>
        <v/>
      </c>
      <c r="N256" s="39" t="str">
        <f aca="false">IF(OR($C256="",ROUND(N($H256)+N($I256),2)=0),"",IF(N($H256)&gt;0,$M256,$K256))</f>
        <v/>
      </c>
      <c r="O256" s="41" t="str">
        <f aca="false">IF($N256="","",ROUND(N($H256)+N($I256),2))</f>
        <v/>
      </c>
      <c r="P256" s="41" t="str">
        <f aca="false">IF($N256="","",0)</f>
        <v/>
      </c>
      <c r="Q256" s="39" t="str">
        <f aca="false">IF($N256="","",IF(N($H256)&gt;0,$K256,$M256))</f>
        <v/>
      </c>
      <c r="R256" s="41" t="str">
        <f aca="false">IF($Q256="","",0)</f>
        <v/>
      </c>
      <c r="S256" s="41" t="str">
        <f aca="false">IF($Q256="","",ROUND(N($H256)+N($I256),2))</f>
        <v/>
      </c>
      <c r="T256" s="42"/>
      <c r="U256" s="44"/>
      <c r="V256" s="41" t="str">
        <f aca="false">IF($B256="","",TEXT($B256,"yyyy年m月"))</f>
        <v/>
      </c>
      <c r="W256" s="42"/>
      <c r="X256" s="42"/>
      <c r="Y256" s="9"/>
    </row>
    <row r="257" customFormat="false" ht="18" hidden="false" customHeight="true" outlineLevel="0" collapsed="false">
      <c r="A257" s="9" t="str">
        <f aca="false">IF($C257="","",ROW()-3)</f>
        <v/>
      </c>
      <c r="B257" s="76"/>
      <c r="C257" s="74"/>
      <c r="D257" s="43"/>
      <c r="E257" s="42"/>
      <c r="F257" s="74"/>
      <c r="G257" s="74"/>
      <c r="H257" s="44"/>
      <c r="I257" s="44"/>
      <c r="J257" s="103" t="str">
        <f aca="false">IF($C257="","",ROUND(IFERROR(INDEX(期初余额!$I$4:$I$43,MATCH($C257,期初余额!$H$4:$H$43,0)),0)+SUMIFS($H$4:$H257,$C$4:$C257,$C257)-SUMIFS($I$4:$I257,$C$4:$C257,$C257),2))</f>
        <v/>
      </c>
      <c r="K257" s="104" t="str">
        <f aca="false">IF($T257&lt;&gt;"",$T257,IF($C257="","",IF(AND(N($I257)&gt;0,$G257&lt;&gt;""),IF(IFERROR(INDEX(科目表!$U$4:$U$123,MATCH($G257,科目表!$M$4:$M$123,0)),"")&amp;""="","管理费用",INDEX(科目表!$U$4:$U$123,MATCH($G257,科目表!$M$4:$M$123,0))),IF(N($H257)&gt;0,IF(IFERROR(INDEX(自动规则!$C$4:$C$143,MATCH($F257,自动规则!$B$4:$B$143,0)),"")&amp;""="","其他应收款",INDEX(自动规则!$C$4:$C$143,MATCH($F257,自动规则!$B$4:$B$143,0))),IF(IFERROR(INDEX(自动规则!$D$4:$D$143,MATCH($F257,自动规则!$B$4:$B$143,0)),"")&amp;""="","其他应付款",INDEX(自动规则!$D$4:$D$143,MATCH($F257,自动规则!$B$4:$B$143,0)))))))</f>
        <v/>
      </c>
      <c r="L257" s="43"/>
      <c r="M257" s="105" t="str">
        <f aca="false">IF($C257="","",IF(IFERROR(INDEX(科目表!$T$4:$T$123,MATCH($C257,科目表!$K$4:$K$123,0)),"")&amp;""="","其他货币资金",INDEX(科目表!$T$4:$T$123,MATCH($C257,科目表!$K$4:$K$123,0))))</f>
        <v/>
      </c>
      <c r="N257" s="39" t="str">
        <f aca="false">IF(OR($C257="",ROUND(N($H257)+N($I257),2)=0),"",IF(N($H257)&gt;0,$M257,$K257))</f>
        <v/>
      </c>
      <c r="O257" s="41" t="str">
        <f aca="false">IF($N257="","",ROUND(N($H257)+N($I257),2))</f>
        <v/>
      </c>
      <c r="P257" s="41" t="str">
        <f aca="false">IF($N257="","",0)</f>
        <v/>
      </c>
      <c r="Q257" s="39" t="str">
        <f aca="false">IF($N257="","",IF(N($H257)&gt;0,$K257,$M257))</f>
        <v/>
      </c>
      <c r="R257" s="41" t="str">
        <f aca="false">IF($Q257="","",0)</f>
        <v/>
      </c>
      <c r="S257" s="41" t="str">
        <f aca="false">IF($Q257="","",ROUND(N($H257)+N($I257),2))</f>
        <v/>
      </c>
      <c r="T257" s="42"/>
      <c r="U257" s="44"/>
      <c r="V257" s="41" t="str">
        <f aca="false">IF($B257="","",TEXT($B257,"yyyy年m月"))</f>
        <v/>
      </c>
      <c r="W257" s="42"/>
      <c r="X257" s="42"/>
      <c r="Y257" s="9"/>
    </row>
    <row r="258" customFormat="false" ht="18" hidden="false" customHeight="true" outlineLevel="0" collapsed="false">
      <c r="A258" s="9" t="str">
        <f aca="false">IF($C258="","",ROW()-3)</f>
        <v/>
      </c>
      <c r="B258" s="76"/>
      <c r="C258" s="74"/>
      <c r="D258" s="43"/>
      <c r="E258" s="42"/>
      <c r="F258" s="74"/>
      <c r="G258" s="74"/>
      <c r="H258" s="44"/>
      <c r="I258" s="44"/>
      <c r="J258" s="103" t="str">
        <f aca="false">IF($C258="","",ROUND(IFERROR(INDEX(期初余额!$I$4:$I$43,MATCH($C258,期初余额!$H$4:$H$43,0)),0)+SUMIFS($H$4:$H258,$C$4:$C258,$C258)-SUMIFS($I$4:$I258,$C$4:$C258,$C258),2))</f>
        <v/>
      </c>
      <c r="K258" s="104" t="str">
        <f aca="false">IF($T258&lt;&gt;"",$T258,IF($C258="","",IF(AND(N($I258)&gt;0,$G258&lt;&gt;""),IF(IFERROR(INDEX(科目表!$U$4:$U$123,MATCH($G258,科目表!$M$4:$M$123,0)),"")&amp;""="","管理费用",INDEX(科目表!$U$4:$U$123,MATCH($G258,科目表!$M$4:$M$123,0))),IF(N($H258)&gt;0,IF(IFERROR(INDEX(自动规则!$C$4:$C$143,MATCH($F258,自动规则!$B$4:$B$143,0)),"")&amp;""="","其他应收款",INDEX(自动规则!$C$4:$C$143,MATCH($F258,自动规则!$B$4:$B$143,0))),IF(IFERROR(INDEX(自动规则!$D$4:$D$143,MATCH($F258,自动规则!$B$4:$B$143,0)),"")&amp;""="","其他应付款",INDEX(自动规则!$D$4:$D$143,MATCH($F258,自动规则!$B$4:$B$143,0)))))))</f>
        <v/>
      </c>
      <c r="L258" s="43"/>
      <c r="M258" s="105" t="str">
        <f aca="false">IF($C258="","",IF(IFERROR(INDEX(科目表!$T$4:$T$123,MATCH($C258,科目表!$K$4:$K$123,0)),"")&amp;""="","其他货币资金",INDEX(科目表!$T$4:$T$123,MATCH($C258,科目表!$K$4:$K$123,0))))</f>
        <v/>
      </c>
      <c r="N258" s="39" t="str">
        <f aca="false">IF(OR($C258="",ROUND(N($H258)+N($I258),2)=0),"",IF(N($H258)&gt;0,$M258,$K258))</f>
        <v/>
      </c>
      <c r="O258" s="41" t="str">
        <f aca="false">IF($N258="","",ROUND(N($H258)+N($I258),2))</f>
        <v/>
      </c>
      <c r="P258" s="41" t="str">
        <f aca="false">IF($N258="","",0)</f>
        <v/>
      </c>
      <c r="Q258" s="39" t="str">
        <f aca="false">IF($N258="","",IF(N($H258)&gt;0,$K258,$M258))</f>
        <v/>
      </c>
      <c r="R258" s="41" t="str">
        <f aca="false">IF($Q258="","",0)</f>
        <v/>
      </c>
      <c r="S258" s="41" t="str">
        <f aca="false">IF($Q258="","",ROUND(N($H258)+N($I258),2))</f>
        <v/>
      </c>
      <c r="T258" s="42"/>
      <c r="U258" s="44"/>
      <c r="V258" s="41" t="str">
        <f aca="false">IF($B258="","",TEXT($B258,"yyyy年m月"))</f>
        <v/>
      </c>
      <c r="W258" s="42"/>
      <c r="X258" s="42"/>
      <c r="Y258" s="9"/>
    </row>
    <row r="259" customFormat="false" ht="18" hidden="false" customHeight="true" outlineLevel="0" collapsed="false">
      <c r="A259" s="9" t="str">
        <f aca="false">IF($C259="","",ROW()-3)</f>
        <v/>
      </c>
      <c r="B259" s="76"/>
      <c r="C259" s="74"/>
      <c r="D259" s="43"/>
      <c r="E259" s="42"/>
      <c r="F259" s="74"/>
      <c r="G259" s="74"/>
      <c r="H259" s="44"/>
      <c r="I259" s="44"/>
      <c r="J259" s="103" t="str">
        <f aca="false">IF($C259="","",ROUND(IFERROR(INDEX(期初余额!$I$4:$I$43,MATCH($C259,期初余额!$H$4:$H$43,0)),0)+SUMIFS($H$4:$H259,$C$4:$C259,$C259)-SUMIFS($I$4:$I259,$C$4:$C259,$C259),2))</f>
        <v/>
      </c>
      <c r="K259" s="104" t="str">
        <f aca="false">IF($T259&lt;&gt;"",$T259,IF($C259="","",IF(AND(N($I259)&gt;0,$G259&lt;&gt;""),IF(IFERROR(INDEX(科目表!$U$4:$U$123,MATCH($G259,科目表!$M$4:$M$123,0)),"")&amp;""="","管理费用",INDEX(科目表!$U$4:$U$123,MATCH($G259,科目表!$M$4:$M$123,0))),IF(N($H259)&gt;0,IF(IFERROR(INDEX(自动规则!$C$4:$C$143,MATCH($F259,自动规则!$B$4:$B$143,0)),"")&amp;""="","其他应收款",INDEX(自动规则!$C$4:$C$143,MATCH($F259,自动规则!$B$4:$B$143,0))),IF(IFERROR(INDEX(自动规则!$D$4:$D$143,MATCH($F259,自动规则!$B$4:$B$143,0)),"")&amp;""="","其他应付款",INDEX(自动规则!$D$4:$D$143,MATCH($F259,自动规则!$B$4:$B$143,0)))))))</f>
        <v/>
      </c>
      <c r="L259" s="43"/>
      <c r="M259" s="105" t="str">
        <f aca="false">IF($C259="","",IF(IFERROR(INDEX(科目表!$T$4:$T$123,MATCH($C259,科目表!$K$4:$K$123,0)),"")&amp;""="","其他货币资金",INDEX(科目表!$T$4:$T$123,MATCH($C259,科目表!$K$4:$K$123,0))))</f>
        <v/>
      </c>
      <c r="N259" s="39" t="str">
        <f aca="false">IF(OR($C259="",ROUND(N($H259)+N($I259),2)=0),"",IF(N($H259)&gt;0,$M259,$K259))</f>
        <v/>
      </c>
      <c r="O259" s="41" t="str">
        <f aca="false">IF($N259="","",ROUND(N($H259)+N($I259),2))</f>
        <v/>
      </c>
      <c r="P259" s="41" t="str">
        <f aca="false">IF($N259="","",0)</f>
        <v/>
      </c>
      <c r="Q259" s="39" t="str">
        <f aca="false">IF($N259="","",IF(N($H259)&gt;0,$K259,$M259))</f>
        <v/>
      </c>
      <c r="R259" s="41" t="str">
        <f aca="false">IF($Q259="","",0)</f>
        <v/>
      </c>
      <c r="S259" s="41" t="str">
        <f aca="false">IF($Q259="","",ROUND(N($H259)+N($I259),2))</f>
        <v/>
      </c>
      <c r="T259" s="42"/>
      <c r="U259" s="44"/>
      <c r="V259" s="41" t="str">
        <f aca="false">IF($B259="","",TEXT($B259,"yyyy年m月"))</f>
        <v/>
      </c>
      <c r="W259" s="42"/>
      <c r="X259" s="42"/>
      <c r="Y259" s="9"/>
    </row>
    <row r="260" customFormat="false" ht="18" hidden="false" customHeight="true" outlineLevel="0" collapsed="false">
      <c r="A260" s="9" t="str">
        <f aca="false">IF($C260="","",ROW()-3)</f>
        <v/>
      </c>
      <c r="B260" s="76"/>
      <c r="C260" s="74"/>
      <c r="D260" s="43"/>
      <c r="E260" s="42"/>
      <c r="F260" s="74"/>
      <c r="G260" s="74"/>
      <c r="H260" s="44"/>
      <c r="I260" s="44"/>
      <c r="J260" s="103" t="str">
        <f aca="false">IF($C260="","",ROUND(IFERROR(INDEX(期初余额!$I$4:$I$43,MATCH($C260,期初余额!$H$4:$H$43,0)),0)+SUMIFS($H$4:$H260,$C$4:$C260,$C260)-SUMIFS($I$4:$I260,$C$4:$C260,$C260),2))</f>
        <v/>
      </c>
      <c r="K260" s="104" t="str">
        <f aca="false">IF($T260&lt;&gt;"",$T260,IF($C260="","",IF(AND(N($I260)&gt;0,$G260&lt;&gt;""),IF(IFERROR(INDEX(科目表!$U$4:$U$123,MATCH($G260,科目表!$M$4:$M$123,0)),"")&amp;""="","管理费用",INDEX(科目表!$U$4:$U$123,MATCH($G260,科目表!$M$4:$M$123,0))),IF(N($H260)&gt;0,IF(IFERROR(INDEX(自动规则!$C$4:$C$143,MATCH($F260,自动规则!$B$4:$B$143,0)),"")&amp;""="","其他应收款",INDEX(自动规则!$C$4:$C$143,MATCH($F260,自动规则!$B$4:$B$143,0))),IF(IFERROR(INDEX(自动规则!$D$4:$D$143,MATCH($F260,自动规则!$B$4:$B$143,0)),"")&amp;""="","其他应付款",INDEX(自动规则!$D$4:$D$143,MATCH($F260,自动规则!$B$4:$B$143,0)))))))</f>
        <v/>
      </c>
      <c r="L260" s="43"/>
      <c r="M260" s="105" t="str">
        <f aca="false">IF($C260="","",IF(IFERROR(INDEX(科目表!$T$4:$T$123,MATCH($C260,科目表!$K$4:$K$123,0)),"")&amp;""="","其他货币资金",INDEX(科目表!$T$4:$T$123,MATCH($C260,科目表!$K$4:$K$123,0))))</f>
        <v/>
      </c>
      <c r="N260" s="39" t="str">
        <f aca="false">IF(OR($C260="",ROUND(N($H260)+N($I260),2)=0),"",IF(N($H260)&gt;0,$M260,$K260))</f>
        <v/>
      </c>
      <c r="O260" s="41" t="str">
        <f aca="false">IF($N260="","",ROUND(N($H260)+N($I260),2))</f>
        <v/>
      </c>
      <c r="P260" s="41" t="str">
        <f aca="false">IF($N260="","",0)</f>
        <v/>
      </c>
      <c r="Q260" s="39" t="str">
        <f aca="false">IF($N260="","",IF(N($H260)&gt;0,$K260,$M260))</f>
        <v/>
      </c>
      <c r="R260" s="41" t="str">
        <f aca="false">IF($Q260="","",0)</f>
        <v/>
      </c>
      <c r="S260" s="41" t="str">
        <f aca="false">IF($Q260="","",ROUND(N($H260)+N($I260),2))</f>
        <v/>
      </c>
      <c r="T260" s="42"/>
      <c r="U260" s="44"/>
      <c r="V260" s="41" t="str">
        <f aca="false">IF($B260="","",TEXT($B260,"yyyy年m月"))</f>
        <v/>
      </c>
      <c r="W260" s="42"/>
      <c r="X260" s="42"/>
      <c r="Y260" s="9"/>
    </row>
    <row r="261" customFormat="false" ht="18" hidden="false" customHeight="true" outlineLevel="0" collapsed="false">
      <c r="A261" s="9" t="str">
        <f aca="false">IF($C261="","",ROW()-3)</f>
        <v/>
      </c>
      <c r="B261" s="76"/>
      <c r="C261" s="74"/>
      <c r="D261" s="43"/>
      <c r="E261" s="42"/>
      <c r="F261" s="74"/>
      <c r="G261" s="74"/>
      <c r="H261" s="44"/>
      <c r="I261" s="44"/>
      <c r="J261" s="103" t="str">
        <f aca="false">IF($C261="","",ROUND(IFERROR(INDEX(期初余额!$I$4:$I$43,MATCH($C261,期初余额!$H$4:$H$43,0)),0)+SUMIFS($H$4:$H261,$C$4:$C261,$C261)-SUMIFS($I$4:$I261,$C$4:$C261,$C261),2))</f>
        <v/>
      </c>
      <c r="K261" s="104" t="str">
        <f aca="false">IF($T261&lt;&gt;"",$T261,IF($C261="","",IF(AND(N($I261)&gt;0,$G261&lt;&gt;""),IF(IFERROR(INDEX(科目表!$U$4:$U$123,MATCH($G261,科目表!$M$4:$M$123,0)),"")&amp;""="","管理费用",INDEX(科目表!$U$4:$U$123,MATCH($G261,科目表!$M$4:$M$123,0))),IF(N($H261)&gt;0,IF(IFERROR(INDEX(自动规则!$C$4:$C$143,MATCH($F261,自动规则!$B$4:$B$143,0)),"")&amp;""="","其他应收款",INDEX(自动规则!$C$4:$C$143,MATCH($F261,自动规则!$B$4:$B$143,0))),IF(IFERROR(INDEX(自动规则!$D$4:$D$143,MATCH($F261,自动规则!$B$4:$B$143,0)),"")&amp;""="","其他应付款",INDEX(自动规则!$D$4:$D$143,MATCH($F261,自动规则!$B$4:$B$143,0)))))))</f>
        <v/>
      </c>
      <c r="L261" s="43"/>
      <c r="M261" s="105" t="str">
        <f aca="false">IF($C261="","",IF(IFERROR(INDEX(科目表!$T$4:$T$123,MATCH($C261,科目表!$K$4:$K$123,0)),"")&amp;""="","其他货币资金",INDEX(科目表!$T$4:$T$123,MATCH($C261,科目表!$K$4:$K$123,0))))</f>
        <v/>
      </c>
      <c r="N261" s="39" t="str">
        <f aca="false">IF(OR($C261="",ROUND(N($H261)+N($I261),2)=0),"",IF(N($H261)&gt;0,$M261,$K261))</f>
        <v/>
      </c>
      <c r="O261" s="41" t="str">
        <f aca="false">IF($N261="","",ROUND(N($H261)+N($I261),2))</f>
        <v/>
      </c>
      <c r="P261" s="41" t="str">
        <f aca="false">IF($N261="","",0)</f>
        <v/>
      </c>
      <c r="Q261" s="39" t="str">
        <f aca="false">IF($N261="","",IF(N($H261)&gt;0,$K261,$M261))</f>
        <v/>
      </c>
      <c r="R261" s="41" t="str">
        <f aca="false">IF($Q261="","",0)</f>
        <v/>
      </c>
      <c r="S261" s="41" t="str">
        <f aca="false">IF($Q261="","",ROUND(N($H261)+N($I261),2))</f>
        <v/>
      </c>
      <c r="T261" s="42"/>
      <c r="U261" s="44"/>
      <c r="V261" s="41" t="str">
        <f aca="false">IF($B261="","",TEXT($B261,"yyyy年m月"))</f>
        <v/>
      </c>
      <c r="W261" s="42"/>
      <c r="X261" s="42"/>
      <c r="Y261" s="9"/>
    </row>
    <row r="262" customFormat="false" ht="18" hidden="false" customHeight="true" outlineLevel="0" collapsed="false">
      <c r="A262" s="9" t="str">
        <f aca="false">IF($C262="","",ROW()-3)</f>
        <v/>
      </c>
      <c r="B262" s="76"/>
      <c r="C262" s="74"/>
      <c r="D262" s="43"/>
      <c r="E262" s="42"/>
      <c r="F262" s="74"/>
      <c r="G262" s="74"/>
      <c r="H262" s="44"/>
      <c r="I262" s="44"/>
      <c r="J262" s="103" t="str">
        <f aca="false">IF($C262="","",ROUND(IFERROR(INDEX(期初余额!$I$4:$I$43,MATCH($C262,期初余额!$H$4:$H$43,0)),0)+SUMIFS($H$4:$H262,$C$4:$C262,$C262)-SUMIFS($I$4:$I262,$C$4:$C262,$C262),2))</f>
        <v/>
      </c>
      <c r="K262" s="104" t="str">
        <f aca="false">IF($T262&lt;&gt;"",$T262,IF($C262="","",IF(AND(N($I262)&gt;0,$G262&lt;&gt;""),IF(IFERROR(INDEX(科目表!$U$4:$U$123,MATCH($G262,科目表!$M$4:$M$123,0)),"")&amp;""="","管理费用",INDEX(科目表!$U$4:$U$123,MATCH($G262,科目表!$M$4:$M$123,0))),IF(N($H262)&gt;0,IF(IFERROR(INDEX(自动规则!$C$4:$C$143,MATCH($F262,自动规则!$B$4:$B$143,0)),"")&amp;""="","其他应收款",INDEX(自动规则!$C$4:$C$143,MATCH($F262,自动规则!$B$4:$B$143,0))),IF(IFERROR(INDEX(自动规则!$D$4:$D$143,MATCH($F262,自动规则!$B$4:$B$143,0)),"")&amp;""="","其他应付款",INDEX(自动规则!$D$4:$D$143,MATCH($F262,自动规则!$B$4:$B$143,0)))))))</f>
        <v/>
      </c>
      <c r="L262" s="43"/>
      <c r="M262" s="105" t="str">
        <f aca="false">IF($C262="","",IF(IFERROR(INDEX(科目表!$T$4:$T$123,MATCH($C262,科目表!$K$4:$K$123,0)),"")&amp;""="","其他货币资金",INDEX(科目表!$T$4:$T$123,MATCH($C262,科目表!$K$4:$K$123,0))))</f>
        <v/>
      </c>
      <c r="N262" s="39" t="str">
        <f aca="false">IF(OR($C262="",ROUND(N($H262)+N($I262),2)=0),"",IF(N($H262)&gt;0,$M262,$K262))</f>
        <v/>
      </c>
      <c r="O262" s="41" t="str">
        <f aca="false">IF($N262="","",ROUND(N($H262)+N($I262),2))</f>
        <v/>
      </c>
      <c r="P262" s="41" t="str">
        <f aca="false">IF($N262="","",0)</f>
        <v/>
      </c>
      <c r="Q262" s="39" t="str">
        <f aca="false">IF($N262="","",IF(N($H262)&gt;0,$K262,$M262))</f>
        <v/>
      </c>
      <c r="R262" s="41" t="str">
        <f aca="false">IF($Q262="","",0)</f>
        <v/>
      </c>
      <c r="S262" s="41" t="str">
        <f aca="false">IF($Q262="","",ROUND(N($H262)+N($I262),2))</f>
        <v/>
      </c>
      <c r="T262" s="42"/>
      <c r="U262" s="44"/>
      <c r="V262" s="41" t="str">
        <f aca="false">IF($B262="","",TEXT($B262,"yyyy年m月"))</f>
        <v/>
      </c>
      <c r="W262" s="42"/>
      <c r="X262" s="42"/>
      <c r="Y262" s="9"/>
    </row>
    <row r="263" customFormat="false" ht="18" hidden="false" customHeight="true" outlineLevel="0" collapsed="false">
      <c r="A263" s="9" t="str">
        <f aca="false">IF($C263="","",ROW()-3)</f>
        <v/>
      </c>
      <c r="B263" s="76"/>
      <c r="C263" s="74"/>
      <c r="D263" s="43"/>
      <c r="E263" s="42"/>
      <c r="F263" s="74"/>
      <c r="G263" s="74"/>
      <c r="H263" s="44"/>
      <c r="I263" s="44"/>
      <c r="J263" s="103" t="str">
        <f aca="false">IF($C263="","",ROUND(IFERROR(INDEX(期初余额!$I$4:$I$43,MATCH($C263,期初余额!$H$4:$H$43,0)),0)+SUMIFS($H$4:$H263,$C$4:$C263,$C263)-SUMIFS($I$4:$I263,$C$4:$C263,$C263),2))</f>
        <v/>
      </c>
      <c r="K263" s="104" t="str">
        <f aca="false">IF($T263&lt;&gt;"",$T263,IF($C263="","",IF(AND(N($I263)&gt;0,$G263&lt;&gt;""),IF(IFERROR(INDEX(科目表!$U$4:$U$123,MATCH($G263,科目表!$M$4:$M$123,0)),"")&amp;""="","管理费用",INDEX(科目表!$U$4:$U$123,MATCH($G263,科目表!$M$4:$M$123,0))),IF(N($H263)&gt;0,IF(IFERROR(INDEX(自动规则!$C$4:$C$143,MATCH($F263,自动规则!$B$4:$B$143,0)),"")&amp;""="","其他应收款",INDEX(自动规则!$C$4:$C$143,MATCH($F263,自动规则!$B$4:$B$143,0))),IF(IFERROR(INDEX(自动规则!$D$4:$D$143,MATCH($F263,自动规则!$B$4:$B$143,0)),"")&amp;""="","其他应付款",INDEX(自动规则!$D$4:$D$143,MATCH($F263,自动规则!$B$4:$B$143,0)))))))</f>
        <v/>
      </c>
      <c r="L263" s="43"/>
      <c r="M263" s="105" t="str">
        <f aca="false">IF($C263="","",IF(IFERROR(INDEX(科目表!$T$4:$T$123,MATCH($C263,科目表!$K$4:$K$123,0)),"")&amp;""="","其他货币资金",INDEX(科目表!$T$4:$T$123,MATCH($C263,科目表!$K$4:$K$123,0))))</f>
        <v/>
      </c>
      <c r="N263" s="39" t="str">
        <f aca="false">IF(OR($C263="",ROUND(N($H263)+N($I263),2)=0),"",IF(N($H263)&gt;0,$M263,$K263))</f>
        <v/>
      </c>
      <c r="O263" s="41" t="str">
        <f aca="false">IF($N263="","",ROUND(N($H263)+N($I263),2))</f>
        <v/>
      </c>
      <c r="P263" s="41" t="str">
        <f aca="false">IF($N263="","",0)</f>
        <v/>
      </c>
      <c r="Q263" s="39" t="str">
        <f aca="false">IF($N263="","",IF(N($H263)&gt;0,$K263,$M263))</f>
        <v/>
      </c>
      <c r="R263" s="41" t="str">
        <f aca="false">IF($Q263="","",0)</f>
        <v/>
      </c>
      <c r="S263" s="41" t="str">
        <f aca="false">IF($Q263="","",ROUND(N($H263)+N($I263),2))</f>
        <v/>
      </c>
      <c r="T263" s="42"/>
      <c r="U263" s="44"/>
      <c r="V263" s="41" t="str">
        <f aca="false">IF($B263="","",TEXT($B263,"yyyy年m月"))</f>
        <v/>
      </c>
      <c r="W263" s="42"/>
      <c r="X263" s="42"/>
      <c r="Y263" s="9"/>
    </row>
    <row r="264" customFormat="false" ht="18" hidden="false" customHeight="true" outlineLevel="0" collapsed="false">
      <c r="A264" s="9" t="str">
        <f aca="false">IF($C264="","",ROW()-3)</f>
        <v/>
      </c>
      <c r="B264" s="76"/>
      <c r="C264" s="74"/>
      <c r="D264" s="43"/>
      <c r="E264" s="42"/>
      <c r="F264" s="74"/>
      <c r="G264" s="74"/>
      <c r="H264" s="44"/>
      <c r="I264" s="44"/>
      <c r="J264" s="103" t="str">
        <f aca="false">IF($C264="","",ROUND(IFERROR(INDEX(期初余额!$I$4:$I$43,MATCH($C264,期初余额!$H$4:$H$43,0)),0)+SUMIFS($H$4:$H264,$C$4:$C264,$C264)-SUMIFS($I$4:$I264,$C$4:$C264,$C264),2))</f>
        <v/>
      </c>
      <c r="K264" s="104" t="str">
        <f aca="false">IF($T264&lt;&gt;"",$T264,IF($C264="","",IF(AND(N($I264)&gt;0,$G264&lt;&gt;""),IF(IFERROR(INDEX(科目表!$U$4:$U$123,MATCH($G264,科目表!$M$4:$M$123,0)),"")&amp;""="","管理费用",INDEX(科目表!$U$4:$U$123,MATCH($G264,科目表!$M$4:$M$123,0))),IF(N($H264)&gt;0,IF(IFERROR(INDEX(自动规则!$C$4:$C$143,MATCH($F264,自动规则!$B$4:$B$143,0)),"")&amp;""="","其他应收款",INDEX(自动规则!$C$4:$C$143,MATCH($F264,自动规则!$B$4:$B$143,0))),IF(IFERROR(INDEX(自动规则!$D$4:$D$143,MATCH($F264,自动规则!$B$4:$B$143,0)),"")&amp;""="","其他应付款",INDEX(自动规则!$D$4:$D$143,MATCH($F264,自动规则!$B$4:$B$143,0)))))))</f>
        <v/>
      </c>
      <c r="L264" s="43"/>
      <c r="M264" s="105" t="str">
        <f aca="false">IF($C264="","",IF(IFERROR(INDEX(科目表!$T$4:$T$123,MATCH($C264,科目表!$K$4:$K$123,0)),"")&amp;""="","其他货币资金",INDEX(科目表!$T$4:$T$123,MATCH($C264,科目表!$K$4:$K$123,0))))</f>
        <v/>
      </c>
      <c r="N264" s="39" t="str">
        <f aca="false">IF(OR($C264="",ROUND(N($H264)+N($I264),2)=0),"",IF(N($H264)&gt;0,$M264,$K264))</f>
        <v/>
      </c>
      <c r="O264" s="41" t="str">
        <f aca="false">IF($N264="","",ROUND(N($H264)+N($I264),2))</f>
        <v/>
      </c>
      <c r="P264" s="41" t="str">
        <f aca="false">IF($N264="","",0)</f>
        <v/>
      </c>
      <c r="Q264" s="39" t="str">
        <f aca="false">IF($N264="","",IF(N($H264)&gt;0,$K264,$M264))</f>
        <v/>
      </c>
      <c r="R264" s="41" t="str">
        <f aca="false">IF($Q264="","",0)</f>
        <v/>
      </c>
      <c r="S264" s="41" t="str">
        <f aca="false">IF($Q264="","",ROUND(N($H264)+N($I264),2))</f>
        <v/>
      </c>
      <c r="T264" s="42"/>
      <c r="U264" s="44"/>
      <c r="V264" s="41" t="str">
        <f aca="false">IF($B264="","",TEXT($B264,"yyyy年m月"))</f>
        <v/>
      </c>
      <c r="W264" s="42"/>
      <c r="X264" s="42"/>
      <c r="Y264" s="9"/>
    </row>
    <row r="265" customFormat="false" ht="18" hidden="false" customHeight="true" outlineLevel="0" collapsed="false">
      <c r="A265" s="9" t="str">
        <f aca="false">IF($C265="","",ROW()-3)</f>
        <v/>
      </c>
      <c r="B265" s="76"/>
      <c r="C265" s="74"/>
      <c r="D265" s="43"/>
      <c r="E265" s="42"/>
      <c r="F265" s="74"/>
      <c r="G265" s="74"/>
      <c r="H265" s="44"/>
      <c r="I265" s="44"/>
      <c r="J265" s="103" t="str">
        <f aca="false">IF($C265="","",ROUND(IFERROR(INDEX(期初余额!$I$4:$I$43,MATCH($C265,期初余额!$H$4:$H$43,0)),0)+SUMIFS($H$4:$H265,$C$4:$C265,$C265)-SUMIFS($I$4:$I265,$C$4:$C265,$C265),2))</f>
        <v/>
      </c>
      <c r="K265" s="104" t="str">
        <f aca="false">IF($T265&lt;&gt;"",$T265,IF($C265="","",IF(AND(N($I265)&gt;0,$G265&lt;&gt;""),IF(IFERROR(INDEX(科目表!$U$4:$U$123,MATCH($G265,科目表!$M$4:$M$123,0)),"")&amp;""="","管理费用",INDEX(科目表!$U$4:$U$123,MATCH($G265,科目表!$M$4:$M$123,0))),IF(N($H265)&gt;0,IF(IFERROR(INDEX(自动规则!$C$4:$C$143,MATCH($F265,自动规则!$B$4:$B$143,0)),"")&amp;""="","其他应收款",INDEX(自动规则!$C$4:$C$143,MATCH($F265,自动规则!$B$4:$B$143,0))),IF(IFERROR(INDEX(自动规则!$D$4:$D$143,MATCH($F265,自动规则!$B$4:$B$143,0)),"")&amp;""="","其他应付款",INDEX(自动规则!$D$4:$D$143,MATCH($F265,自动规则!$B$4:$B$143,0)))))))</f>
        <v/>
      </c>
      <c r="L265" s="43"/>
      <c r="M265" s="105" t="str">
        <f aca="false">IF($C265="","",IF(IFERROR(INDEX(科目表!$T$4:$T$123,MATCH($C265,科目表!$K$4:$K$123,0)),"")&amp;""="","其他货币资金",INDEX(科目表!$T$4:$T$123,MATCH($C265,科目表!$K$4:$K$123,0))))</f>
        <v/>
      </c>
      <c r="N265" s="39" t="str">
        <f aca="false">IF(OR($C265="",ROUND(N($H265)+N($I265),2)=0),"",IF(N($H265)&gt;0,$M265,$K265))</f>
        <v/>
      </c>
      <c r="O265" s="41" t="str">
        <f aca="false">IF($N265="","",ROUND(N($H265)+N($I265),2))</f>
        <v/>
      </c>
      <c r="P265" s="41" t="str">
        <f aca="false">IF($N265="","",0)</f>
        <v/>
      </c>
      <c r="Q265" s="39" t="str">
        <f aca="false">IF($N265="","",IF(N($H265)&gt;0,$K265,$M265))</f>
        <v/>
      </c>
      <c r="R265" s="41" t="str">
        <f aca="false">IF($Q265="","",0)</f>
        <v/>
      </c>
      <c r="S265" s="41" t="str">
        <f aca="false">IF($Q265="","",ROUND(N($H265)+N($I265),2))</f>
        <v/>
      </c>
      <c r="T265" s="42"/>
      <c r="U265" s="44"/>
      <c r="V265" s="41" t="str">
        <f aca="false">IF($B265="","",TEXT($B265,"yyyy年m月"))</f>
        <v/>
      </c>
      <c r="W265" s="42"/>
      <c r="X265" s="42"/>
      <c r="Y265" s="9"/>
    </row>
    <row r="266" customFormat="false" ht="18" hidden="false" customHeight="true" outlineLevel="0" collapsed="false">
      <c r="A266" s="9" t="str">
        <f aca="false">IF($C266="","",ROW()-3)</f>
        <v/>
      </c>
      <c r="B266" s="76"/>
      <c r="C266" s="74"/>
      <c r="D266" s="43"/>
      <c r="E266" s="42"/>
      <c r="F266" s="74"/>
      <c r="G266" s="74"/>
      <c r="H266" s="44"/>
      <c r="I266" s="44"/>
      <c r="J266" s="103" t="str">
        <f aca="false">IF($C266="","",ROUND(IFERROR(INDEX(期初余额!$I$4:$I$43,MATCH($C266,期初余额!$H$4:$H$43,0)),0)+SUMIFS($H$4:$H266,$C$4:$C266,$C266)-SUMIFS($I$4:$I266,$C$4:$C266,$C266),2))</f>
        <v/>
      </c>
      <c r="K266" s="104" t="str">
        <f aca="false">IF($T266&lt;&gt;"",$T266,IF($C266="","",IF(AND(N($I266)&gt;0,$G266&lt;&gt;""),IF(IFERROR(INDEX(科目表!$U$4:$U$123,MATCH($G266,科目表!$M$4:$M$123,0)),"")&amp;""="","管理费用",INDEX(科目表!$U$4:$U$123,MATCH($G266,科目表!$M$4:$M$123,0))),IF(N($H266)&gt;0,IF(IFERROR(INDEX(自动规则!$C$4:$C$143,MATCH($F266,自动规则!$B$4:$B$143,0)),"")&amp;""="","其他应收款",INDEX(自动规则!$C$4:$C$143,MATCH($F266,自动规则!$B$4:$B$143,0))),IF(IFERROR(INDEX(自动规则!$D$4:$D$143,MATCH($F266,自动规则!$B$4:$B$143,0)),"")&amp;""="","其他应付款",INDEX(自动规则!$D$4:$D$143,MATCH($F266,自动规则!$B$4:$B$143,0)))))))</f>
        <v/>
      </c>
      <c r="L266" s="43"/>
      <c r="M266" s="105" t="str">
        <f aca="false">IF($C266="","",IF(IFERROR(INDEX(科目表!$T$4:$T$123,MATCH($C266,科目表!$K$4:$K$123,0)),"")&amp;""="","其他货币资金",INDEX(科目表!$T$4:$T$123,MATCH($C266,科目表!$K$4:$K$123,0))))</f>
        <v/>
      </c>
      <c r="N266" s="39" t="str">
        <f aca="false">IF(OR($C266="",ROUND(N($H266)+N($I266),2)=0),"",IF(N($H266)&gt;0,$M266,$K266))</f>
        <v/>
      </c>
      <c r="O266" s="41" t="str">
        <f aca="false">IF($N266="","",ROUND(N($H266)+N($I266),2))</f>
        <v/>
      </c>
      <c r="P266" s="41" t="str">
        <f aca="false">IF($N266="","",0)</f>
        <v/>
      </c>
      <c r="Q266" s="39" t="str">
        <f aca="false">IF($N266="","",IF(N($H266)&gt;0,$K266,$M266))</f>
        <v/>
      </c>
      <c r="R266" s="41" t="str">
        <f aca="false">IF($Q266="","",0)</f>
        <v/>
      </c>
      <c r="S266" s="41" t="str">
        <f aca="false">IF($Q266="","",ROUND(N($H266)+N($I266),2))</f>
        <v/>
      </c>
      <c r="T266" s="42"/>
      <c r="U266" s="44"/>
      <c r="V266" s="41" t="str">
        <f aca="false">IF($B266="","",TEXT($B266,"yyyy年m月"))</f>
        <v/>
      </c>
      <c r="W266" s="42"/>
      <c r="X266" s="42"/>
      <c r="Y266" s="9"/>
    </row>
    <row r="267" customFormat="false" ht="18" hidden="false" customHeight="true" outlineLevel="0" collapsed="false">
      <c r="A267" s="9" t="str">
        <f aca="false">IF($C267="","",ROW()-3)</f>
        <v/>
      </c>
      <c r="B267" s="76"/>
      <c r="C267" s="74"/>
      <c r="D267" s="43"/>
      <c r="E267" s="42"/>
      <c r="F267" s="74"/>
      <c r="G267" s="74"/>
      <c r="H267" s="44"/>
      <c r="I267" s="44"/>
      <c r="J267" s="103" t="str">
        <f aca="false">IF($C267="","",ROUND(IFERROR(INDEX(期初余额!$I$4:$I$43,MATCH($C267,期初余额!$H$4:$H$43,0)),0)+SUMIFS($H$4:$H267,$C$4:$C267,$C267)-SUMIFS($I$4:$I267,$C$4:$C267,$C267),2))</f>
        <v/>
      </c>
      <c r="K267" s="104" t="str">
        <f aca="false">IF($T267&lt;&gt;"",$T267,IF($C267="","",IF(AND(N($I267)&gt;0,$G267&lt;&gt;""),IF(IFERROR(INDEX(科目表!$U$4:$U$123,MATCH($G267,科目表!$M$4:$M$123,0)),"")&amp;""="","管理费用",INDEX(科目表!$U$4:$U$123,MATCH($G267,科目表!$M$4:$M$123,0))),IF(N($H267)&gt;0,IF(IFERROR(INDEX(自动规则!$C$4:$C$143,MATCH($F267,自动规则!$B$4:$B$143,0)),"")&amp;""="","其他应收款",INDEX(自动规则!$C$4:$C$143,MATCH($F267,自动规则!$B$4:$B$143,0))),IF(IFERROR(INDEX(自动规则!$D$4:$D$143,MATCH($F267,自动规则!$B$4:$B$143,0)),"")&amp;""="","其他应付款",INDEX(自动规则!$D$4:$D$143,MATCH($F267,自动规则!$B$4:$B$143,0)))))))</f>
        <v/>
      </c>
      <c r="L267" s="43"/>
      <c r="M267" s="105" t="str">
        <f aca="false">IF($C267="","",IF(IFERROR(INDEX(科目表!$T$4:$T$123,MATCH($C267,科目表!$K$4:$K$123,0)),"")&amp;""="","其他货币资金",INDEX(科目表!$T$4:$T$123,MATCH($C267,科目表!$K$4:$K$123,0))))</f>
        <v/>
      </c>
      <c r="N267" s="39" t="str">
        <f aca="false">IF(OR($C267="",ROUND(N($H267)+N($I267),2)=0),"",IF(N($H267)&gt;0,$M267,$K267))</f>
        <v/>
      </c>
      <c r="O267" s="41" t="str">
        <f aca="false">IF($N267="","",ROUND(N($H267)+N($I267),2))</f>
        <v/>
      </c>
      <c r="P267" s="41" t="str">
        <f aca="false">IF($N267="","",0)</f>
        <v/>
      </c>
      <c r="Q267" s="39" t="str">
        <f aca="false">IF($N267="","",IF(N($H267)&gt;0,$K267,$M267))</f>
        <v/>
      </c>
      <c r="R267" s="41" t="str">
        <f aca="false">IF($Q267="","",0)</f>
        <v/>
      </c>
      <c r="S267" s="41" t="str">
        <f aca="false">IF($Q267="","",ROUND(N($H267)+N($I267),2))</f>
        <v/>
      </c>
      <c r="T267" s="42"/>
      <c r="U267" s="44"/>
      <c r="V267" s="41" t="str">
        <f aca="false">IF($B267="","",TEXT($B267,"yyyy年m月"))</f>
        <v/>
      </c>
      <c r="W267" s="42"/>
      <c r="X267" s="42"/>
      <c r="Y267" s="9"/>
    </row>
    <row r="268" customFormat="false" ht="18" hidden="false" customHeight="true" outlineLevel="0" collapsed="false">
      <c r="A268" s="9" t="str">
        <f aca="false">IF($C268="","",ROW()-3)</f>
        <v/>
      </c>
      <c r="B268" s="76"/>
      <c r="C268" s="74"/>
      <c r="D268" s="43"/>
      <c r="E268" s="42"/>
      <c r="F268" s="74"/>
      <c r="G268" s="74"/>
      <c r="H268" s="44"/>
      <c r="I268" s="44"/>
      <c r="J268" s="103" t="str">
        <f aca="false">IF($C268="","",ROUND(IFERROR(INDEX(期初余额!$I$4:$I$43,MATCH($C268,期初余额!$H$4:$H$43,0)),0)+SUMIFS($H$4:$H268,$C$4:$C268,$C268)-SUMIFS($I$4:$I268,$C$4:$C268,$C268),2))</f>
        <v/>
      </c>
      <c r="K268" s="104" t="str">
        <f aca="false">IF($T268&lt;&gt;"",$T268,IF($C268="","",IF(AND(N($I268)&gt;0,$G268&lt;&gt;""),IF(IFERROR(INDEX(科目表!$U$4:$U$123,MATCH($G268,科目表!$M$4:$M$123,0)),"")&amp;""="","管理费用",INDEX(科目表!$U$4:$U$123,MATCH($G268,科目表!$M$4:$M$123,0))),IF(N($H268)&gt;0,IF(IFERROR(INDEX(自动规则!$C$4:$C$143,MATCH($F268,自动规则!$B$4:$B$143,0)),"")&amp;""="","其他应收款",INDEX(自动规则!$C$4:$C$143,MATCH($F268,自动规则!$B$4:$B$143,0))),IF(IFERROR(INDEX(自动规则!$D$4:$D$143,MATCH($F268,自动规则!$B$4:$B$143,0)),"")&amp;""="","其他应付款",INDEX(自动规则!$D$4:$D$143,MATCH($F268,自动规则!$B$4:$B$143,0)))))))</f>
        <v/>
      </c>
      <c r="L268" s="43"/>
      <c r="M268" s="105" t="str">
        <f aca="false">IF($C268="","",IF(IFERROR(INDEX(科目表!$T$4:$T$123,MATCH($C268,科目表!$K$4:$K$123,0)),"")&amp;""="","其他货币资金",INDEX(科目表!$T$4:$T$123,MATCH($C268,科目表!$K$4:$K$123,0))))</f>
        <v/>
      </c>
      <c r="N268" s="39" t="str">
        <f aca="false">IF(OR($C268="",ROUND(N($H268)+N($I268),2)=0),"",IF(N($H268)&gt;0,$M268,$K268))</f>
        <v/>
      </c>
      <c r="O268" s="41" t="str">
        <f aca="false">IF($N268="","",ROUND(N($H268)+N($I268),2))</f>
        <v/>
      </c>
      <c r="P268" s="41" t="str">
        <f aca="false">IF($N268="","",0)</f>
        <v/>
      </c>
      <c r="Q268" s="39" t="str">
        <f aca="false">IF($N268="","",IF(N($H268)&gt;0,$K268,$M268))</f>
        <v/>
      </c>
      <c r="R268" s="41" t="str">
        <f aca="false">IF($Q268="","",0)</f>
        <v/>
      </c>
      <c r="S268" s="41" t="str">
        <f aca="false">IF($Q268="","",ROUND(N($H268)+N($I268),2))</f>
        <v/>
      </c>
      <c r="T268" s="42"/>
      <c r="U268" s="44"/>
      <c r="V268" s="41" t="str">
        <f aca="false">IF($B268="","",TEXT($B268,"yyyy年m月"))</f>
        <v/>
      </c>
      <c r="W268" s="42"/>
      <c r="X268" s="42"/>
      <c r="Y268" s="9"/>
    </row>
    <row r="269" customFormat="false" ht="18" hidden="false" customHeight="true" outlineLevel="0" collapsed="false">
      <c r="A269" s="9" t="str">
        <f aca="false">IF($C269="","",ROW()-3)</f>
        <v/>
      </c>
      <c r="B269" s="76"/>
      <c r="C269" s="74"/>
      <c r="D269" s="43"/>
      <c r="E269" s="42"/>
      <c r="F269" s="74"/>
      <c r="G269" s="74"/>
      <c r="H269" s="44"/>
      <c r="I269" s="44"/>
      <c r="J269" s="103" t="str">
        <f aca="false">IF($C269="","",ROUND(IFERROR(INDEX(期初余额!$I$4:$I$43,MATCH($C269,期初余额!$H$4:$H$43,0)),0)+SUMIFS($H$4:$H269,$C$4:$C269,$C269)-SUMIFS($I$4:$I269,$C$4:$C269,$C269),2))</f>
        <v/>
      </c>
      <c r="K269" s="104" t="str">
        <f aca="false">IF($T269&lt;&gt;"",$T269,IF($C269="","",IF(AND(N($I269)&gt;0,$G269&lt;&gt;""),IF(IFERROR(INDEX(科目表!$U$4:$U$123,MATCH($G269,科目表!$M$4:$M$123,0)),"")&amp;""="","管理费用",INDEX(科目表!$U$4:$U$123,MATCH($G269,科目表!$M$4:$M$123,0))),IF(N($H269)&gt;0,IF(IFERROR(INDEX(自动规则!$C$4:$C$143,MATCH($F269,自动规则!$B$4:$B$143,0)),"")&amp;""="","其他应收款",INDEX(自动规则!$C$4:$C$143,MATCH($F269,自动规则!$B$4:$B$143,0))),IF(IFERROR(INDEX(自动规则!$D$4:$D$143,MATCH($F269,自动规则!$B$4:$B$143,0)),"")&amp;""="","其他应付款",INDEX(自动规则!$D$4:$D$143,MATCH($F269,自动规则!$B$4:$B$143,0)))))))</f>
        <v/>
      </c>
      <c r="L269" s="43"/>
      <c r="M269" s="105" t="str">
        <f aca="false">IF($C269="","",IF(IFERROR(INDEX(科目表!$T$4:$T$123,MATCH($C269,科目表!$K$4:$K$123,0)),"")&amp;""="","其他货币资金",INDEX(科目表!$T$4:$T$123,MATCH($C269,科目表!$K$4:$K$123,0))))</f>
        <v/>
      </c>
      <c r="N269" s="39" t="str">
        <f aca="false">IF(OR($C269="",ROUND(N($H269)+N($I269),2)=0),"",IF(N($H269)&gt;0,$M269,$K269))</f>
        <v/>
      </c>
      <c r="O269" s="41" t="str">
        <f aca="false">IF($N269="","",ROUND(N($H269)+N($I269),2))</f>
        <v/>
      </c>
      <c r="P269" s="41" t="str">
        <f aca="false">IF($N269="","",0)</f>
        <v/>
      </c>
      <c r="Q269" s="39" t="str">
        <f aca="false">IF($N269="","",IF(N($H269)&gt;0,$K269,$M269))</f>
        <v/>
      </c>
      <c r="R269" s="41" t="str">
        <f aca="false">IF($Q269="","",0)</f>
        <v/>
      </c>
      <c r="S269" s="41" t="str">
        <f aca="false">IF($Q269="","",ROUND(N($H269)+N($I269),2))</f>
        <v/>
      </c>
      <c r="T269" s="42"/>
      <c r="U269" s="44"/>
      <c r="V269" s="41" t="str">
        <f aca="false">IF($B269="","",TEXT($B269,"yyyy年m月"))</f>
        <v/>
      </c>
      <c r="W269" s="42"/>
      <c r="X269" s="42"/>
      <c r="Y269" s="9"/>
    </row>
    <row r="270" customFormat="false" ht="18" hidden="false" customHeight="true" outlineLevel="0" collapsed="false">
      <c r="A270" s="9" t="str">
        <f aca="false">IF($C270="","",ROW()-3)</f>
        <v/>
      </c>
      <c r="B270" s="76"/>
      <c r="C270" s="74"/>
      <c r="D270" s="43"/>
      <c r="E270" s="42"/>
      <c r="F270" s="74"/>
      <c r="G270" s="74"/>
      <c r="H270" s="44"/>
      <c r="I270" s="44"/>
      <c r="J270" s="103" t="str">
        <f aca="false">IF($C270="","",ROUND(IFERROR(INDEX(期初余额!$I$4:$I$43,MATCH($C270,期初余额!$H$4:$H$43,0)),0)+SUMIFS($H$4:$H270,$C$4:$C270,$C270)-SUMIFS($I$4:$I270,$C$4:$C270,$C270),2))</f>
        <v/>
      </c>
      <c r="K270" s="104" t="str">
        <f aca="false">IF($T270&lt;&gt;"",$T270,IF($C270="","",IF(AND(N($I270)&gt;0,$G270&lt;&gt;""),IF(IFERROR(INDEX(科目表!$U$4:$U$123,MATCH($G270,科目表!$M$4:$M$123,0)),"")&amp;""="","管理费用",INDEX(科目表!$U$4:$U$123,MATCH($G270,科目表!$M$4:$M$123,0))),IF(N($H270)&gt;0,IF(IFERROR(INDEX(自动规则!$C$4:$C$143,MATCH($F270,自动规则!$B$4:$B$143,0)),"")&amp;""="","其他应收款",INDEX(自动规则!$C$4:$C$143,MATCH($F270,自动规则!$B$4:$B$143,0))),IF(IFERROR(INDEX(自动规则!$D$4:$D$143,MATCH($F270,自动规则!$B$4:$B$143,0)),"")&amp;""="","其他应付款",INDEX(自动规则!$D$4:$D$143,MATCH($F270,自动规则!$B$4:$B$143,0)))))))</f>
        <v/>
      </c>
      <c r="L270" s="43"/>
      <c r="M270" s="105" t="str">
        <f aca="false">IF($C270="","",IF(IFERROR(INDEX(科目表!$T$4:$T$123,MATCH($C270,科目表!$K$4:$K$123,0)),"")&amp;""="","其他货币资金",INDEX(科目表!$T$4:$T$123,MATCH($C270,科目表!$K$4:$K$123,0))))</f>
        <v/>
      </c>
      <c r="N270" s="39" t="str">
        <f aca="false">IF(OR($C270="",ROUND(N($H270)+N($I270),2)=0),"",IF(N($H270)&gt;0,$M270,$K270))</f>
        <v/>
      </c>
      <c r="O270" s="41" t="str">
        <f aca="false">IF($N270="","",ROUND(N($H270)+N($I270),2))</f>
        <v/>
      </c>
      <c r="P270" s="41" t="str">
        <f aca="false">IF($N270="","",0)</f>
        <v/>
      </c>
      <c r="Q270" s="39" t="str">
        <f aca="false">IF($N270="","",IF(N($H270)&gt;0,$K270,$M270))</f>
        <v/>
      </c>
      <c r="R270" s="41" t="str">
        <f aca="false">IF($Q270="","",0)</f>
        <v/>
      </c>
      <c r="S270" s="41" t="str">
        <f aca="false">IF($Q270="","",ROUND(N($H270)+N($I270),2))</f>
        <v/>
      </c>
      <c r="T270" s="42"/>
      <c r="U270" s="44"/>
      <c r="V270" s="41" t="str">
        <f aca="false">IF($B270="","",TEXT($B270,"yyyy年m月"))</f>
        <v/>
      </c>
      <c r="W270" s="42"/>
      <c r="X270" s="42"/>
      <c r="Y270" s="9"/>
    </row>
    <row r="271" customFormat="false" ht="18" hidden="false" customHeight="true" outlineLevel="0" collapsed="false">
      <c r="A271" s="9" t="str">
        <f aca="false">IF($C271="","",ROW()-3)</f>
        <v/>
      </c>
      <c r="B271" s="76"/>
      <c r="C271" s="74"/>
      <c r="D271" s="43"/>
      <c r="E271" s="42"/>
      <c r="F271" s="74"/>
      <c r="G271" s="74"/>
      <c r="H271" s="44"/>
      <c r="I271" s="44"/>
      <c r="J271" s="103" t="str">
        <f aca="false">IF($C271="","",ROUND(IFERROR(INDEX(期初余额!$I$4:$I$43,MATCH($C271,期初余额!$H$4:$H$43,0)),0)+SUMIFS($H$4:$H271,$C$4:$C271,$C271)-SUMIFS($I$4:$I271,$C$4:$C271,$C271),2))</f>
        <v/>
      </c>
      <c r="K271" s="104" t="str">
        <f aca="false">IF($T271&lt;&gt;"",$T271,IF($C271="","",IF(AND(N($I271)&gt;0,$G271&lt;&gt;""),IF(IFERROR(INDEX(科目表!$U$4:$U$123,MATCH($G271,科目表!$M$4:$M$123,0)),"")&amp;""="","管理费用",INDEX(科目表!$U$4:$U$123,MATCH($G271,科目表!$M$4:$M$123,0))),IF(N($H271)&gt;0,IF(IFERROR(INDEX(自动规则!$C$4:$C$143,MATCH($F271,自动规则!$B$4:$B$143,0)),"")&amp;""="","其他应收款",INDEX(自动规则!$C$4:$C$143,MATCH($F271,自动规则!$B$4:$B$143,0))),IF(IFERROR(INDEX(自动规则!$D$4:$D$143,MATCH($F271,自动规则!$B$4:$B$143,0)),"")&amp;""="","其他应付款",INDEX(自动规则!$D$4:$D$143,MATCH($F271,自动规则!$B$4:$B$143,0)))))))</f>
        <v/>
      </c>
      <c r="L271" s="43"/>
      <c r="M271" s="105" t="str">
        <f aca="false">IF($C271="","",IF(IFERROR(INDEX(科目表!$T$4:$T$123,MATCH($C271,科目表!$K$4:$K$123,0)),"")&amp;""="","其他货币资金",INDEX(科目表!$T$4:$T$123,MATCH($C271,科目表!$K$4:$K$123,0))))</f>
        <v/>
      </c>
      <c r="N271" s="39" t="str">
        <f aca="false">IF(OR($C271="",ROUND(N($H271)+N($I271),2)=0),"",IF(N($H271)&gt;0,$M271,$K271))</f>
        <v/>
      </c>
      <c r="O271" s="41" t="str">
        <f aca="false">IF($N271="","",ROUND(N($H271)+N($I271),2))</f>
        <v/>
      </c>
      <c r="P271" s="41" t="str">
        <f aca="false">IF($N271="","",0)</f>
        <v/>
      </c>
      <c r="Q271" s="39" t="str">
        <f aca="false">IF($N271="","",IF(N($H271)&gt;0,$K271,$M271))</f>
        <v/>
      </c>
      <c r="R271" s="41" t="str">
        <f aca="false">IF($Q271="","",0)</f>
        <v/>
      </c>
      <c r="S271" s="41" t="str">
        <f aca="false">IF($Q271="","",ROUND(N($H271)+N($I271),2))</f>
        <v/>
      </c>
      <c r="T271" s="42"/>
      <c r="U271" s="44"/>
      <c r="V271" s="41" t="str">
        <f aca="false">IF($B271="","",TEXT($B271,"yyyy年m月"))</f>
        <v/>
      </c>
      <c r="W271" s="42"/>
      <c r="X271" s="42"/>
      <c r="Y271" s="9"/>
    </row>
    <row r="272" customFormat="false" ht="18" hidden="false" customHeight="true" outlineLevel="0" collapsed="false">
      <c r="A272" s="9" t="str">
        <f aca="false">IF($C272="","",ROW()-3)</f>
        <v/>
      </c>
      <c r="B272" s="76"/>
      <c r="C272" s="74"/>
      <c r="D272" s="43"/>
      <c r="E272" s="42"/>
      <c r="F272" s="74"/>
      <c r="G272" s="74"/>
      <c r="H272" s="44"/>
      <c r="I272" s="44"/>
      <c r="J272" s="103" t="str">
        <f aca="false">IF($C272="","",ROUND(IFERROR(INDEX(期初余额!$I$4:$I$43,MATCH($C272,期初余额!$H$4:$H$43,0)),0)+SUMIFS($H$4:$H272,$C$4:$C272,$C272)-SUMIFS($I$4:$I272,$C$4:$C272,$C272),2))</f>
        <v/>
      </c>
      <c r="K272" s="104" t="str">
        <f aca="false">IF($T272&lt;&gt;"",$T272,IF($C272="","",IF(AND(N($I272)&gt;0,$G272&lt;&gt;""),IF(IFERROR(INDEX(科目表!$U$4:$U$123,MATCH($G272,科目表!$M$4:$M$123,0)),"")&amp;""="","管理费用",INDEX(科目表!$U$4:$U$123,MATCH($G272,科目表!$M$4:$M$123,0))),IF(N($H272)&gt;0,IF(IFERROR(INDEX(自动规则!$C$4:$C$143,MATCH($F272,自动规则!$B$4:$B$143,0)),"")&amp;""="","其他应收款",INDEX(自动规则!$C$4:$C$143,MATCH($F272,自动规则!$B$4:$B$143,0))),IF(IFERROR(INDEX(自动规则!$D$4:$D$143,MATCH($F272,自动规则!$B$4:$B$143,0)),"")&amp;""="","其他应付款",INDEX(自动规则!$D$4:$D$143,MATCH($F272,自动规则!$B$4:$B$143,0)))))))</f>
        <v/>
      </c>
      <c r="L272" s="43"/>
      <c r="M272" s="105" t="str">
        <f aca="false">IF($C272="","",IF(IFERROR(INDEX(科目表!$T$4:$T$123,MATCH($C272,科目表!$K$4:$K$123,0)),"")&amp;""="","其他货币资金",INDEX(科目表!$T$4:$T$123,MATCH($C272,科目表!$K$4:$K$123,0))))</f>
        <v/>
      </c>
      <c r="N272" s="39" t="str">
        <f aca="false">IF(OR($C272="",ROUND(N($H272)+N($I272),2)=0),"",IF(N($H272)&gt;0,$M272,$K272))</f>
        <v/>
      </c>
      <c r="O272" s="41" t="str">
        <f aca="false">IF($N272="","",ROUND(N($H272)+N($I272),2))</f>
        <v/>
      </c>
      <c r="P272" s="41" t="str">
        <f aca="false">IF($N272="","",0)</f>
        <v/>
      </c>
      <c r="Q272" s="39" t="str">
        <f aca="false">IF($N272="","",IF(N($H272)&gt;0,$K272,$M272))</f>
        <v/>
      </c>
      <c r="R272" s="41" t="str">
        <f aca="false">IF($Q272="","",0)</f>
        <v/>
      </c>
      <c r="S272" s="41" t="str">
        <f aca="false">IF($Q272="","",ROUND(N($H272)+N($I272),2))</f>
        <v/>
      </c>
      <c r="T272" s="42"/>
      <c r="U272" s="44"/>
      <c r="V272" s="41" t="str">
        <f aca="false">IF($B272="","",TEXT($B272,"yyyy年m月"))</f>
        <v/>
      </c>
      <c r="W272" s="42"/>
      <c r="X272" s="42"/>
      <c r="Y272" s="9"/>
    </row>
    <row r="273" customFormat="false" ht="18" hidden="false" customHeight="true" outlineLevel="0" collapsed="false">
      <c r="A273" s="9" t="str">
        <f aca="false">IF($C273="","",ROW()-3)</f>
        <v/>
      </c>
      <c r="B273" s="76"/>
      <c r="C273" s="74"/>
      <c r="D273" s="43"/>
      <c r="E273" s="42"/>
      <c r="F273" s="74"/>
      <c r="G273" s="74"/>
      <c r="H273" s="44"/>
      <c r="I273" s="44"/>
      <c r="J273" s="103" t="str">
        <f aca="false">IF($C273="","",ROUND(IFERROR(INDEX(期初余额!$I$4:$I$43,MATCH($C273,期初余额!$H$4:$H$43,0)),0)+SUMIFS($H$4:$H273,$C$4:$C273,$C273)-SUMIFS($I$4:$I273,$C$4:$C273,$C273),2))</f>
        <v/>
      </c>
      <c r="K273" s="104" t="str">
        <f aca="false">IF($T273&lt;&gt;"",$T273,IF($C273="","",IF(AND(N($I273)&gt;0,$G273&lt;&gt;""),IF(IFERROR(INDEX(科目表!$U$4:$U$123,MATCH($G273,科目表!$M$4:$M$123,0)),"")&amp;""="","管理费用",INDEX(科目表!$U$4:$U$123,MATCH($G273,科目表!$M$4:$M$123,0))),IF(N($H273)&gt;0,IF(IFERROR(INDEX(自动规则!$C$4:$C$143,MATCH($F273,自动规则!$B$4:$B$143,0)),"")&amp;""="","其他应收款",INDEX(自动规则!$C$4:$C$143,MATCH($F273,自动规则!$B$4:$B$143,0))),IF(IFERROR(INDEX(自动规则!$D$4:$D$143,MATCH($F273,自动规则!$B$4:$B$143,0)),"")&amp;""="","其他应付款",INDEX(自动规则!$D$4:$D$143,MATCH($F273,自动规则!$B$4:$B$143,0)))))))</f>
        <v/>
      </c>
      <c r="L273" s="43"/>
      <c r="M273" s="105" t="str">
        <f aca="false">IF($C273="","",IF(IFERROR(INDEX(科目表!$T$4:$T$123,MATCH($C273,科目表!$K$4:$K$123,0)),"")&amp;""="","其他货币资金",INDEX(科目表!$T$4:$T$123,MATCH($C273,科目表!$K$4:$K$123,0))))</f>
        <v/>
      </c>
      <c r="N273" s="39" t="str">
        <f aca="false">IF(OR($C273="",ROUND(N($H273)+N($I273),2)=0),"",IF(N($H273)&gt;0,$M273,$K273))</f>
        <v/>
      </c>
      <c r="O273" s="41" t="str">
        <f aca="false">IF($N273="","",ROUND(N($H273)+N($I273),2))</f>
        <v/>
      </c>
      <c r="P273" s="41" t="str">
        <f aca="false">IF($N273="","",0)</f>
        <v/>
      </c>
      <c r="Q273" s="39" t="str">
        <f aca="false">IF($N273="","",IF(N($H273)&gt;0,$K273,$M273))</f>
        <v/>
      </c>
      <c r="R273" s="41" t="str">
        <f aca="false">IF($Q273="","",0)</f>
        <v/>
      </c>
      <c r="S273" s="41" t="str">
        <f aca="false">IF($Q273="","",ROUND(N($H273)+N($I273),2))</f>
        <v/>
      </c>
      <c r="T273" s="42"/>
      <c r="U273" s="44"/>
      <c r="V273" s="41" t="str">
        <f aca="false">IF($B273="","",TEXT($B273,"yyyy年m月"))</f>
        <v/>
      </c>
      <c r="W273" s="42"/>
      <c r="X273" s="42"/>
      <c r="Y273" s="9"/>
    </row>
    <row r="274" customFormat="false" ht="18" hidden="false" customHeight="true" outlineLevel="0" collapsed="false">
      <c r="A274" s="9" t="str">
        <f aca="false">IF($C274="","",ROW()-3)</f>
        <v/>
      </c>
      <c r="B274" s="76"/>
      <c r="C274" s="74"/>
      <c r="D274" s="43"/>
      <c r="E274" s="42"/>
      <c r="F274" s="74"/>
      <c r="G274" s="74"/>
      <c r="H274" s="44"/>
      <c r="I274" s="44"/>
      <c r="J274" s="103" t="str">
        <f aca="false">IF($C274="","",ROUND(IFERROR(INDEX(期初余额!$I$4:$I$43,MATCH($C274,期初余额!$H$4:$H$43,0)),0)+SUMIFS($H$4:$H274,$C$4:$C274,$C274)-SUMIFS($I$4:$I274,$C$4:$C274,$C274),2))</f>
        <v/>
      </c>
      <c r="K274" s="104" t="str">
        <f aca="false">IF($T274&lt;&gt;"",$T274,IF($C274="","",IF(AND(N($I274)&gt;0,$G274&lt;&gt;""),IF(IFERROR(INDEX(科目表!$U$4:$U$123,MATCH($G274,科目表!$M$4:$M$123,0)),"")&amp;""="","管理费用",INDEX(科目表!$U$4:$U$123,MATCH($G274,科目表!$M$4:$M$123,0))),IF(N($H274)&gt;0,IF(IFERROR(INDEX(自动规则!$C$4:$C$143,MATCH($F274,自动规则!$B$4:$B$143,0)),"")&amp;""="","其他应收款",INDEX(自动规则!$C$4:$C$143,MATCH($F274,自动规则!$B$4:$B$143,0))),IF(IFERROR(INDEX(自动规则!$D$4:$D$143,MATCH($F274,自动规则!$B$4:$B$143,0)),"")&amp;""="","其他应付款",INDEX(自动规则!$D$4:$D$143,MATCH($F274,自动规则!$B$4:$B$143,0)))))))</f>
        <v/>
      </c>
      <c r="L274" s="43"/>
      <c r="M274" s="105" t="str">
        <f aca="false">IF($C274="","",IF(IFERROR(INDEX(科目表!$T$4:$T$123,MATCH($C274,科目表!$K$4:$K$123,0)),"")&amp;""="","其他货币资金",INDEX(科目表!$T$4:$T$123,MATCH($C274,科目表!$K$4:$K$123,0))))</f>
        <v/>
      </c>
      <c r="N274" s="39" t="str">
        <f aca="false">IF(OR($C274="",ROUND(N($H274)+N($I274),2)=0),"",IF(N($H274)&gt;0,$M274,$K274))</f>
        <v/>
      </c>
      <c r="O274" s="41" t="str">
        <f aca="false">IF($N274="","",ROUND(N($H274)+N($I274),2))</f>
        <v/>
      </c>
      <c r="P274" s="41" t="str">
        <f aca="false">IF($N274="","",0)</f>
        <v/>
      </c>
      <c r="Q274" s="39" t="str">
        <f aca="false">IF($N274="","",IF(N($H274)&gt;0,$K274,$M274))</f>
        <v/>
      </c>
      <c r="R274" s="41" t="str">
        <f aca="false">IF($Q274="","",0)</f>
        <v/>
      </c>
      <c r="S274" s="41" t="str">
        <f aca="false">IF($Q274="","",ROUND(N($H274)+N($I274),2))</f>
        <v/>
      </c>
      <c r="T274" s="42"/>
      <c r="U274" s="44"/>
      <c r="V274" s="41" t="str">
        <f aca="false">IF($B274="","",TEXT($B274,"yyyy年m月"))</f>
        <v/>
      </c>
      <c r="W274" s="42"/>
      <c r="X274" s="42"/>
      <c r="Y274" s="9"/>
    </row>
    <row r="275" customFormat="false" ht="18" hidden="false" customHeight="true" outlineLevel="0" collapsed="false">
      <c r="A275" s="9" t="str">
        <f aca="false">IF($C275="","",ROW()-3)</f>
        <v/>
      </c>
      <c r="B275" s="76"/>
      <c r="C275" s="74"/>
      <c r="D275" s="43"/>
      <c r="E275" s="42"/>
      <c r="F275" s="74"/>
      <c r="G275" s="74"/>
      <c r="H275" s="44"/>
      <c r="I275" s="44"/>
      <c r="J275" s="103" t="str">
        <f aca="false">IF($C275="","",ROUND(IFERROR(INDEX(期初余额!$I$4:$I$43,MATCH($C275,期初余额!$H$4:$H$43,0)),0)+SUMIFS($H$4:$H275,$C$4:$C275,$C275)-SUMIFS($I$4:$I275,$C$4:$C275,$C275),2))</f>
        <v/>
      </c>
      <c r="K275" s="104" t="str">
        <f aca="false">IF($T275&lt;&gt;"",$T275,IF($C275="","",IF(AND(N($I275)&gt;0,$G275&lt;&gt;""),IF(IFERROR(INDEX(科目表!$U$4:$U$123,MATCH($G275,科目表!$M$4:$M$123,0)),"")&amp;""="","管理费用",INDEX(科目表!$U$4:$U$123,MATCH($G275,科目表!$M$4:$M$123,0))),IF(N($H275)&gt;0,IF(IFERROR(INDEX(自动规则!$C$4:$C$143,MATCH($F275,自动规则!$B$4:$B$143,0)),"")&amp;""="","其他应收款",INDEX(自动规则!$C$4:$C$143,MATCH($F275,自动规则!$B$4:$B$143,0))),IF(IFERROR(INDEX(自动规则!$D$4:$D$143,MATCH($F275,自动规则!$B$4:$B$143,0)),"")&amp;""="","其他应付款",INDEX(自动规则!$D$4:$D$143,MATCH($F275,自动规则!$B$4:$B$143,0)))))))</f>
        <v/>
      </c>
      <c r="L275" s="43"/>
      <c r="M275" s="105" t="str">
        <f aca="false">IF($C275="","",IF(IFERROR(INDEX(科目表!$T$4:$T$123,MATCH($C275,科目表!$K$4:$K$123,0)),"")&amp;""="","其他货币资金",INDEX(科目表!$T$4:$T$123,MATCH($C275,科目表!$K$4:$K$123,0))))</f>
        <v/>
      </c>
      <c r="N275" s="39" t="str">
        <f aca="false">IF(OR($C275="",ROUND(N($H275)+N($I275),2)=0),"",IF(N($H275)&gt;0,$M275,$K275))</f>
        <v/>
      </c>
      <c r="O275" s="41" t="str">
        <f aca="false">IF($N275="","",ROUND(N($H275)+N($I275),2))</f>
        <v/>
      </c>
      <c r="P275" s="41" t="str">
        <f aca="false">IF($N275="","",0)</f>
        <v/>
      </c>
      <c r="Q275" s="39" t="str">
        <f aca="false">IF($N275="","",IF(N($H275)&gt;0,$K275,$M275))</f>
        <v/>
      </c>
      <c r="R275" s="41" t="str">
        <f aca="false">IF($Q275="","",0)</f>
        <v/>
      </c>
      <c r="S275" s="41" t="str">
        <f aca="false">IF($Q275="","",ROUND(N($H275)+N($I275),2))</f>
        <v/>
      </c>
      <c r="T275" s="42"/>
      <c r="U275" s="44"/>
      <c r="V275" s="41" t="str">
        <f aca="false">IF($B275="","",TEXT($B275,"yyyy年m月"))</f>
        <v/>
      </c>
      <c r="W275" s="42"/>
      <c r="X275" s="42"/>
      <c r="Y275" s="9"/>
    </row>
    <row r="276" customFormat="false" ht="18" hidden="false" customHeight="true" outlineLevel="0" collapsed="false">
      <c r="A276" s="9" t="str">
        <f aca="false">IF($C276="","",ROW()-3)</f>
        <v/>
      </c>
      <c r="B276" s="76"/>
      <c r="C276" s="74"/>
      <c r="D276" s="43"/>
      <c r="E276" s="42"/>
      <c r="F276" s="74"/>
      <c r="G276" s="74"/>
      <c r="H276" s="44"/>
      <c r="I276" s="44"/>
      <c r="J276" s="103" t="str">
        <f aca="false">IF($C276="","",ROUND(IFERROR(INDEX(期初余额!$I$4:$I$43,MATCH($C276,期初余额!$H$4:$H$43,0)),0)+SUMIFS($H$4:$H276,$C$4:$C276,$C276)-SUMIFS($I$4:$I276,$C$4:$C276,$C276),2))</f>
        <v/>
      </c>
      <c r="K276" s="104" t="str">
        <f aca="false">IF($T276&lt;&gt;"",$T276,IF($C276="","",IF(AND(N($I276)&gt;0,$G276&lt;&gt;""),IF(IFERROR(INDEX(科目表!$U$4:$U$123,MATCH($G276,科目表!$M$4:$M$123,0)),"")&amp;""="","管理费用",INDEX(科目表!$U$4:$U$123,MATCH($G276,科目表!$M$4:$M$123,0))),IF(N($H276)&gt;0,IF(IFERROR(INDEX(自动规则!$C$4:$C$143,MATCH($F276,自动规则!$B$4:$B$143,0)),"")&amp;""="","其他应收款",INDEX(自动规则!$C$4:$C$143,MATCH($F276,自动规则!$B$4:$B$143,0))),IF(IFERROR(INDEX(自动规则!$D$4:$D$143,MATCH($F276,自动规则!$B$4:$B$143,0)),"")&amp;""="","其他应付款",INDEX(自动规则!$D$4:$D$143,MATCH($F276,自动规则!$B$4:$B$143,0)))))))</f>
        <v/>
      </c>
      <c r="L276" s="43"/>
      <c r="M276" s="105" t="str">
        <f aca="false">IF($C276="","",IF(IFERROR(INDEX(科目表!$T$4:$T$123,MATCH($C276,科目表!$K$4:$K$123,0)),"")&amp;""="","其他货币资金",INDEX(科目表!$T$4:$T$123,MATCH($C276,科目表!$K$4:$K$123,0))))</f>
        <v/>
      </c>
      <c r="N276" s="39" t="str">
        <f aca="false">IF(OR($C276="",ROUND(N($H276)+N($I276),2)=0),"",IF(N($H276)&gt;0,$M276,$K276))</f>
        <v/>
      </c>
      <c r="O276" s="41" t="str">
        <f aca="false">IF($N276="","",ROUND(N($H276)+N($I276),2))</f>
        <v/>
      </c>
      <c r="P276" s="41" t="str">
        <f aca="false">IF($N276="","",0)</f>
        <v/>
      </c>
      <c r="Q276" s="39" t="str">
        <f aca="false">IF($N276="","",IF(N($H276)&gt;0,$K276,$M276))</f>
        <v/>
      </c>
      <c r="R276" s="41" t="str">
        <f aca="false">IF($Q276="","",0)</f>
        <v/>
      </c>
      <c r="S276" s="41" t="str">
        <f aca="false">IF($Q276="","",ROUND(N($H276)+N($I276),2))</f>
        <v/>
      </c>
      <c r="T276" s="42"/>
      <c r="U276" s="44"/>
      <c r="V276" s="41" t="str">
        <f aca="false">IF($B276="","",TEXT($B276,"yyyy年m月"))</f>
        <v/>
      </c>
      <c r="W276" s="42"/>
      <c r="X276" s="42"/>
      <c r="Y276" s="9"/>
    </row>
    <row r="277" customFormat="false" ht="18" hidden="false" customHeight="true" outlineLevel="0" collapsed="false">
      <c r="A277" s="9" t="str">
        <f aca="false">IF($C277="","",ROW()-3)</f>
        <v/>
      </c>
      <c r="B277" s="76"/>
      <c r="C277" s="74"/>
      <c r="D277" s="43"/>
      <c r="E277" s="42"/>
      <c r="F277" s="74"/>
      <c r="G277" s="74"/>
      <c r="H277" s="44"/>
      <c r="I277" s="44"/>
      <c r="J277" s="103" t="str">
        <f aca="false">IF($C277="","",ROUND(IFERROR(INDEX(期初余额!$I$4:$I$43,MATCH($C277,期初余额!$H$4:$H$43,0)),0)+SUMIFS($H$4:$H277,$C$4:$C277,$C277)-SUMIFS($I$4:$I277,$C$4:$C277,$C277),2))</f>
        <v/>
      </c>
      <c r="K277" s="104" t="str">
        <f aca="false">IF($T277&lt;&gt;"",$T277,IF($C277="","",IF(AND(N($I277)&gt;0,$G277&lt;&gt;""),IF(IFERROR(INDEX(科目表!$U$4:$U$123,MATCH($G277,科目表!$M$4:$M$123,0)),"")&amp;""="","管理费用",INDEX(科目表!$U$4:$U$123,MATCH($G277,科目表!$M$4:$M$123,0))),IF(N($H277)&gt;0,IF(IFERROR(INDEX(自动规则!$C$4:$C$143,MATCH($F277,自动规则!$B$4:$B$143,0)),"")&amp;""="","其他应收款",INDEX(自动规则!$C$4:$C$143,MATCH($F277,自动规则!$B$4:$B$143,0))),IF(IFERROR(INDEX(自动规则!$D$4:$D$143,MATCH($F277,自动规则!$B$4:$B$143,0)),"")&amp;""="","其他应付款",INDEX(自动规则!$D$4:$D$143,MATCH($F277,自动规则!$B$4:$B$143,0)))))))</f>
        <v/>
      </c>
      <c r="L277" s="43"/>
      <c r="M277" s="105" t="str">
        <f aca="false">IF($C277="","",IF(IFERROR(INDEX(科目表!$T$4:$T$123,MATCH($C277,科目表!$K$4:$K$123,0)),"")&amp;""="","其他货币资金",INDEX(科目表!$T$4:$T$123,MATCH($C277,科目表!$K$4:$K$123,0))))</f>
        <v/>
      </c>
      <c r="N277" s="39" t="str">
        <f aca="false">IF(OR($C277="",ROUND(N($H277)+N($I277),2)=0),"",IF(N($H277)&gt;0,$M277,$K277))</f>
        <v/>
      </c>
      <c r="O277" s="41" t="str">
        <f aca="false">IF($N277="","",ROUND(N($H277)+N($I277),2))</f>
        <v/>
      </c>
      <c r="P277" s="41" t="str">
        <f aca="false">IF($N277="","",0)</f>
        <v/>
      </c>
      <c r="Q277" s="39" t="str">
        <f aca="false">IF($N277="","",IF(N($H277)&gt;0,$K277,$M277))</f>
        <v/>
      </c>
      <c r="R277" s="41" t="str">
        <f aca="false">IF($Q277="","",0)</f>
        <v/>
      </c>
      <c r="S277" s="41" t="str">
        <f aca="false">IF($Q277="","",ROUND(N($H277)+N($I277),2))</f>
        <v/>
      </c>
      <c r="T277" s="42"/>
      <c r="U277" s="44"/>
      <c r="V277" s="41" t="str">
        <f aca="false">IF($B277="","",TEXT($B277,"yyyy年m月"))</f>
        <v/>
      </c>
      <c r="W277" s="42"/>
      <c r="X277" s="42"/>
      <c r="Y277" s="9"/>
    </row>
    <row r="278" customFormat="false" ht="18" hidden="false" customHeight="true" outlineLevel="0" collapsed="false">
      <c r="A278" s="9" t="str">
        <f aca="false">IF($C278="","",ROW()-3)</f>
        <v/>
      </c>
      <c r="B278" s="76"/>
      <c r="C278" s="74"/>
      <c r="D278" s="43"/>
      <c r="E278" s="42"/>
      <c r="F278" s="74"/>
      <c r="G278" s="74"/>
      <c r="H278" s="44"/>
      <c r="I278" s="44"/>
      <c r="J278" s="103" t="str">
        <f aca="false">IF($C278="","",ROUND(IFERROR(INDEX(期初余额!$I$4:$I$43,MATCH($C278,期初余额!$H$4:$H$43,0)),0)+SUMIFS($H$4:$H278,$C$4:$C278,$C278)-SUMIFS($I$4:$I278,$C$4:$C278,$C278),2))</f>
        <v/>
      </c>
      <c r="K278" s="104" t="str">
        <f aca="false">IF($T278&lt;&gt;"",$T278,IF($C278="","",IF(AND(N($I278)&gt;0,$G278&lt;&gt;""),IF(IFERROR(INDEX(科目表!$U$4:$U$123,MATCH($G278,科目表!$M$4:$M$123,0)),"")&amp;""="","管理费用",INDEX(科目表!$U$4:$U$123,MATCH($G278,科目表!$M$4:$M$123,0))),IF(N($H278)&gt;0,IF(IFERROR(INDEX(自动规则!$C$4:$C$143,MATCH($F278,自动规则!$B$4:$B$143,0)),"")&amp;""="","其他应收款",INDEX(自动规则!$C$4:$C$143,MATCH($F278,自动规则!$B$4:$B$143,0))),IF(IFERROR(INDEX(自动规则!$D$4:$D$143,MATCH($F278,自动规则!$B$4:$B$143,0)),"")&amp;""="","其他应付款",INDEX(自动规则!$D$4:$D$143,MATCH($F278,自动规则!$B$4:$B$143,0)))))))</f>
        <v/>
      </c>
      <c r="L278" s="43"/>
      <c r="M278" s="105" t="str">
        <f aca="false">IF($C278="","",IF(IFERROR(INDEX(科目表!$T$4:$T$123,MATCH($C278,科目表!$K$4:$K$123,0)),"")&amp;""="","其他货币资金",INDEX(科目表!$T$4:$T$123,MATCH($C278,科目表!$K$4:$K$123,0))))</f>
        <v/>
      </c>
      <c r="N278" s="39" t="str">
        <f aca="false">IF(OR($C278="",ROUND(N($H278)+N($I278),2)=0),"",IF(N($H278)&gt;0,$M278,$K278))</f>
        <v/>
      </c>
      <c r="O278" s="41" t="str">
        <f aca="false">IF($N278="","",ROUND(N($H278)+N($I278),2))</f>
        <v/>
      </c>
      <c r="P278" s="41" t="str">
        <f aca="false">IF($N278="","",0)</f>
        <v/>
      </c>
      <c r="Q278" s="39" t="str">
        <f aca="false">IF($N278="","",IF(N($H278)&gt;0,$K278,$M278))</f>
        <v/>
      </c>
      <c r="R278" s="41" t="str">
        <f aca="false">IF($Q278="","",0)</f>
        <v/>
      </c>
      <c r="S278" s="41" t="str">
        <f aca="false">IF($Q278="","",ROUND(N($H278)+N($I278),2))</f>
        <v/>
      </c>
      <c r="T278" s="42"/>
      <c r="U278" s="44"/>
      <c r="V278" s="41" t="str">
        <f aca="false">IF($B278="","",TEXT($B278,"yyyy年m月"))</f>
        <v/>
      </c>
      <c r="W278" s="42"/>
      <c r="X278" s="42"/>
      <c r="Y278" s="9"/>
    </row>
    <row r="279" customFormat="false" ht="18" hidden="false" customHeight="true" outlineLevel="0" collapsed="false">
      <c r="A279" s="9" t="str">
        <f aca="false">IF($C279="","",ROW()-3)</f>
        <v/>
      </c>
      <c r="B279" s="76"/>
      <c r="C279" s="74"/>
      <c r="D279" s="43"/>
      <c r="E279" s="42"/>
      <c r="F279" s="74"/>
      <c r="G279" s="74"/>
      <c r="H279" s="44"/>
      <c r="I279" s="44"/>
      <c r="J279" s="103" t="str">
        <f aca="false">IF($C279="","",ROUND(IFERROR(INDEX(期初余额!$I$4:$I$43,MATCH($C279,期初余额!$H$4:$H$43,0)),0)+SUMIFS($H$4:$H279,$C$4:$C279,$C279)-SUMIFS($I$4:$I279,$C$4:$C279,$C279),2))</f>
        <v/>
      </c>
      <c r="K279" s="104" t="str">
        <f aca="false">IF($T279&lt;&gt;"",$T279,IF($C279="","",IF(AND(N($I279)&gt;0,$G279&lt;&gt;""),IF(IFERROR(INDEX(科目表!$U$4:$U$123,MATCH($G279,科目表!$M$4:$M$123,0)),"")&amp;""="","管理费用",INDEX(科目表!$U$4:$U$123,MATCH($G279,科目表!$M$4:$M$123,0))),IF(N($H279)&gt;0,IF(IFERROR(INDEX(自动规则!$C$4:$C$143,MATCH($F279,自动规则!$B$4:$B$143,0)),"")&amp;""="","其他应收款",INDEX(自动规则!$C$4:$C$143,MATCH($F279,自动规则!$B$4:$B$143,0))),IF(IFERROR(INDEX(自动规则!$D$4:$D$143,MATCH($F279,自动规则!$B$4:$B$143,0)),"")&amp;""="","其他应付款",INDEX(自动规则!$D$4:$D$143,MATCH($F279,自动规则!$B$4:$B$143,0)))))))</f>
        <v/>
      </c>
      <c r="L279" s="43"/>
      <c r="M279" s="105" t="str">
        <f aca="false">IF($C279="","",IF(IFERROR(INDEX(科目表!$T$4:$T$123,MATCH($C279,科目表!$K$4:$K$123,0)),"")&amp;""="","其他货币资金",INDEX(科目表!$T$4:$T$123,MATCH($C279,科目表!$K$4:$K$123,0))))</f>
        <v/>
      </c>
      <c r="N279" s="39" t="str">
        <f aca="false">IF(OR($C279="",ROUND(N($H279)+N($I279),2)=0),"",IF(N($H279)&gt;0,$M279,$K279))</f>
        <v/>
      </c>
      <c r="O279" s="41" t="str">
        <f aca="false">IF($N279="","",ROUND(N($H279)+N($I279),2))</f>
        <v/>
      </c>
      <c r="P279" s="41" t="str">
        <f aca="false">IF($N279="","",0)</f>
        <v/>
      </c>
      <c r="Q279" s="39" t="str">
        <f aca="false">IF($N279="","",IF(N($H279)&gt;0,$K279,$M279))</f>
        <v/>
      </c>
      <c r="R279" s="41" t="str">
        <f aca="false">IF($Q279="","",0)</f>
        <v/>
      </c>
      <c r="S279" s="41" t="str">
        <f aca="false">IF($Q279="","",ROUND(N($H279)+N($I279),2))</f>
        <v/>
      </c>
      <c r="T279" s="42"/>
      <c r="U279" s="44"/>
      <c r="V279" s="41" t="str">
        <f aca="false">IF($B279="","",TEXT($B279,"yyyy年m月"))</f>
        <v/>
      </c>
      <c r="W279" s="42"/>
      <c r="X279" s="42"/>
      <c r="Y279" s="9"/>
    </row>
    <row r="280" customFormat="false" ht="18" hidden="false" customHeight="true" outlineLevel="0" collapsed="false">
      <c r="A280" s="9" t="str">
        <f aca="false">IF($C280="","",ROW()-3)</f>
        <v/>
      </c>
      <c r="B280" s="76"/>
      <c r="C280" s="74"/>
      <c r="D280" s="43"/>
      <c r="E280" s="42"/>
      <c r="F280" s="74"/>
      <c r="G280" s="74"/>
      <c r="H280" s="44"/>
      <c r="I280" s="44"/>
      <c r="J280" s="103" t="str">
        <f aca="false">IF($C280="","",ROUND(IFERROR(INDEX(期初余额!$I$4:$I$43,MATCH($C280,期初余额!$H$4:$H$43,0)),0)+SUMIFS($H$4:$H280,$C$4:$C280,$C280)-SUMIFS($I$4:$I280,$C$4:$C280,$C280),2))</f>
        <v/>
      </c>
      <c r="K280" s="104" t="str">
        <f aca="false">IF($T280&lt;&gt;"",$T280,IF($C280="","",IF(AND(N($I280)&gt;0,$G280&lt;&gt;""),IF(IFERROR(INDEX(科目表!$U$4:$U$123,MATCH($G280,科目表!$M$4:$M$123,0)),"")&amp;""="","管理费用",INDEX(科目表!$U$4:$U$123,MATCH($G280,科目表!$M$4:$M$123,0))),IF(N($H280)&gt;0,IF(IFERROR(INDEX(自动规则!$C$4:$C$143,MATCH($F280,自动规则!$B$4:$B$143,0)),"")&amp;""="","其他应收款",INDEX(自动规则!$C$4:$C$143,MATCH($F280,自动规则!$B$4:$B$143,0))),IF(IFERROR(INDEX(自动规则!$D$4:$D$143,MATCH($F280,自动规则!$B$4:$B$143,0)),"")&amp;""="","其他应付款",INDEX(自动规则!$D$4:$D$143,MATCH($F280,自动规则!$B$4:$B$143,0)))))))</f>
        <v/>
      </c>
      <c r="L280" s="43"/>
      <c r="M280" s="105" t="str">
        <f aca="false">IF($C280="","",IF(IFERROR(INDEX(科目表!$T$4:$T$123,MATCH($C280,科目表!$K$4:$K$123,0)),"")&amp;""="","其他货币资金",INDEX(科目表!$T$4:$T$123,MATCH($C280,科目表!$K$4:$K$123,0))))</f>
        <v/>
      </c>
      <c r="N280" s="39" t="str">
        <f aca="false">IF(OR($C280="",ROUND(N($H280)+N($I280),2)=0),"",IF(N($H280)&gt;0,$M280,$K280))</f>
        <v/>
      </c>
      <c r="O280" s="41" t="str">
        <f aca="false">IF($N280="","",ROUND(N($H280)+N($I280),2))</f>
        <v/>
      </c>
      <c r="P280" s="41" t="str">
        <f aca="false">IF($N280="","",0)</f>
        <v/>
      </c>
      <c r="Q280" s="39" t="str">
        <f aca="false">IF($N280="","",IF(N($H280)&gt;0,$K280,$M280))</f>
        <v/>
      </c>
      <c r="R280" s="41" t="str">
        <f aca="false">IF($Q280="","",0)</f>
        <v/>
      </c>
      <c r="S280" s="41" t="str">
        <f aca="false">IF($Q280="","",ROUND(N($H280)+N($I280),2))</f>
        <v/>
      </c>
      <c r="T280" s="42"/>
      <c r="U280" s="44"/>
      <c r="V280" s="41" t="str">
        <f aca="false">IF($B280="","",TEXT($B280,"yyyy年m月"))</f>
        <v/>
      </c>
      <c r="W280" s="42"/>
      <c r="X280" s="42"/>
      <c r="Y280" s="9"/>
    </row>
    <row r="281" customFormat="false" ht="18" hidden="false" customHeight="true" outlineLevel="0" collapsed="false">
      <c r="A281" s="9" t="str">
        <f aca="false">IF($C281="","",ROW()-3)</f>
        <v/>
      </c>
      <c r="B281" s="76"/>
      <c r="C281" s="74"/>
      <c r="D281" s="43"/>
      <c r="E281" s="42"/>
      <c r="F281" s="74"/>
      <c r="G281" s="74"/>
      <c r="H281" s="44"/>
      <c r="I281" s="44"/>
      <c r="J281" s="103" t="str">
        <f aca="false">IF($C281="","",ROUND(IFERROR(INDEX(期初余额!$I$4:$I$43,MATCH($C281,期初余额!$H$4:$H$43,0)),0)+SUMIFS($H$4:$H281,$C$4:$C281,$C281)-SUMIFS($I$4:$I281,$C$4:$C281,$C281),2))</f>
        <v/>
      </c>
      <c r="K281" s="104" t="str">
        <f aca="false">IF($T281&lt;&gt;"",$T281,IF($C281="","",IF(AND(N($I281)&gt;0,$G281&lt;&gt;""),IF(IFERROR(INDEX(科目表!$U$4:$U$123,MATCH($G281,科目表!$M$4:$M$123,0)),"")&amp;""="","管理费用",INDEX(科目表!$U$4:$U$123,MATCH($G281,科目表!$M$4:$M$123,0))),IF(N($H281)&gt;0,IF(IFERROR(INDEX(自动规则!$C$4:$C$143,MATCH($F281,自动规则!$B$4:$B$143,0)),"")&amp;""="","其他应收款",INDEX(自动规则!$C$4:$C$143,MATCH($F281,自动规则!$B$4:$B$143,0))),IF(IFERROR(INDEX(自动规则!$D$4:$D$143,MATCH($F281,自动规则!$B$4:$B$143,0)),"")&amp;""="","其他应付款",INDEX(自动规则!$D$4:$D$143,MATCH($F281,自动规则!$B$4:$B$143,0)))))))</f>
        <v/>
      </c>
      <c r="L281" s="43"/>
      <c r="M281" s="105" t="str">
        <f aca="false">IF($C281="","",IF(IFERROR(INDEX(科目表!$T$4:$T$123,MATCH($C281,科目表!$K$4:$K$123,0)),"")&amp;""="","其他货币资金",INDEX(科目表!$T$4:$T$123,MATCH($C281,科目表!$K$4:$K$123,0))))</f>
        <v/>
      </c>
      <c r="N281" s="39" t="str">
        <f aca="false">IF(OR($C281="",ROUND(N($H281)+N($I281),2)=0),"",IF(N($H281)&gt;0,$M281,$K281))</f>
        <v/>
      </c>
      <c r="O281" s="41" t="str">
        <f aca="false">IF($N281="","",ROUND(N($H281)+N($I281),2))</f>
        <v/>
      </c>
      <c r="P281" s="41" t="str">
        <f aca="false">IF($N281="","",0)</f>
        <v/>
      </c>
      <c r="Q281" s="39" t="str">
        <f aca="false">IF($N281="","",IF(N($H281)&gt;0,$K281,$M281))</f>
        <v/>
      </c>
      <c r="R281" s="41" t="str">
        <f aca="false">IF($Q281="","",0)</f>
        <v/>
      </c>
      <c r="S281" s="41" t="str">
        <f aca="false">IF($Q281="","",ROUND(N($H281)+N($I281),2))</f>
        <v/>
      </c>
      <c r="T281" s="42"/>
      <c r="U281" s="44"/>
      <c r="V281" s="41" t="str">
        <f aca="false">IF($B281="","",TEXT($B281,"yyyy年m月"))</f>
        <v/>
      </c>
      <c r="W281" s="42"/>
      <c r="X281" s="42"/>
      <c r="Y281" s="9"/>
    </row>
    <row r="282" customFormat="false" ht="18" hidden="false" customHeight="true" outlineLevel="0" collapsed="false">
      <c r="A282" s="9" t="str">
        <f aca="false">IF($C282="","",ROW()-3)</f>
        <v/>
      </c>
      <c r="B282" s="76"/>
      <c r="C282" s="74"/>
      <c r="D282" s="43"/>
      <c r="E282" s="42"/>
      <c r="F282" s="74"/>
      <c r="G282" s="74"/>
      <c r="H282" s="44"/>
      <c r="I282" s="44"/>
      <c r="J282" s="103" t="str">
        <f aca="false">IF($C282="","",ROUND(IFERROR(INDEX(期初余额!$I$4:$I$43,MATCH($C282,期初余额!$H$4:$H$43,0)),0)+SUMIFS($H$4:$H282,$C$4:$C282,$C282)-SUMIFS($I$4:$I282,$C$4:$C282,$C282),2))</f>
        <v/>
      </c>
      <c r="K282" s="104" t="str">
        <f aca="false">IF($T282&lt;&gt;"",$T282,IF($C282="","",IF(AND(N($I282)&gt;0,$G282&lt;&gt;""),IF(IFERROR(INDEX(科目表!$U$4:$U$123,MATCH($G282,科目表!$M$4:$M$123,0)),"")&amp;""="","管理费用",INDEX(科目表!$U$4:$U$123,MATCH($G282,科目表!$M$4:$M$123,0))),IF(N($H282)&gt;0,IF(IFERROR(INDEX(自动规则!$C$4:$C$143,MATCH($F282,自动规则!$B$4:$B$143,0)),"")&amp;""="","其他应收款",INDEX(自动规则!$C$4:$C$143,MATCH($F282,自动规则!$B$4:$B$143,0))),IF(IFERROR(INDEX(自动规则!$D$4:$D$143,MATCH($F282,自动规则!$B$4:$B$143,0)),"")&amp;""="","其他应付款",INDEX(自动规则!$D$4:$D$143,MATCH($F282,自动规则!$B$4:$B$143,0)))))))</f>
        <v/>
      </c>
      <c r="L282" s="43"/>
      <c r="M282" s="105" t="str">
        <f aca="false">IF($C282="","",IF(IFERROR(INDEX(科目表!$T$4:$T$123,MATCH($C282,科目表!$K$4:$K$123,0)),"")&amp;""="","其他货币资金",INDEX(科目表!$T$4:$T$123,MATCH($C282,科目表!$K$4:$K$123,0))))</f>
        <v/>
      </c>
      <c r="N282" s="39" t="str">
        <f aca="false">IF(OR($C282="",ROUND(N($H282)+N($I282),2)=0),"",IF(N($H282)&gt;0,$M282,$K282))</f>
        <v/>
      </c>
      <c r="O282" s="41" t="str">
        <f aca="false">IF($N282="","",ROUND(N($H282)+N($I282),2))</f>
        <v/>
      </c>
      <c r="P282" s="41" t="str">
        <f aca="false">IF($N282="","",0)</f>
        <v/>
      </c>
      <c r="Q282" s="39" t="str">
        <f aca="false">IF($N282="","",IF(N($H282)&gt;0,$K282,$M282))</f>
        <v/>
      </c>
      <c r="R282" s="41" t="str">
        <f aca="false">IF($Q282="","",0)</f>
        <v/>
      </c>
      <c r="S282" s="41" t="str">
        <f aca="false">IF($Q282="","",ROUND(N($H282)+N($I282),2))</f>
        <v/>
      </c>
      <c r="T282" s="42"/>
      <c r="U282" s="44"/>
      <c r="V282" s="41" t="str">
        <f aca="false">IF($B282="","",TEXT($B282,"yyyy年m月"))</f>
        <v/>
      </c>
      <c r="W282" s="42"/>
      <c r="X282" s="42"/>
      <c r="Y282" s="9"/>
    </row>
    <row r="283" customFormat="false" ht="18" hidden="false" customHeight="true" outlineLevel="0" collapsed="false">
      <c r="A283" s="9" t="str">
        <f aca="false">IF($C283="","",ROW()-3)</f>
        <v/>
      </c>
      <c r="B283" s="76"/>
      <c r="C283" s="74"/>
      <c r="D283" s="43"/>
      <c r="E283" s="42"/>
      <c r="F283" s="74"/>
      <c r="G283" s="74"/>
      <c r="H283" s="44"/>
      <c r="I283" s="44"/>
      <c r="J283" s="103" t="str">
        <f aca="false">IF($C283="","",ROUND(IFERROR(INDEX(期初余额!$I$4:$I$43,MATCH($C283,期初余额!$H$4:$H$43,0)),0)+SUMIFS($H$4:$H283,$C$4:$C283,$C283)-SUMIFS($I$4:$I283,$C$4:$C283,$C283),2))</f>
        <v/>
      </c>
      <c r="K283" s="104" t="str">
        <f aca="false">IF($T283&lt;&gt;"",$T283,IF($C283="","",IF(AND(N($I283)&gt;0,$G283&lt;&gt;""),IF(IFERROR(INDEX(科目表!$U$4:$U$123,MATCH($G283,科目表!$M$4:$M$123,0)),"")&amp;""="","管理费用",INDEX(科目表!$U$4:$U$123,MATCH($G283,科目表!$M$4:$M$123,0))),IF(N($H283)&gt;0,IF(IFERROR(INDEX(自动规则!$C$4:$C$143,MATCH($F283,自动规则!$B$4:$B$143,0)),"")&amp;""="","其他应收款",INDEX(自动规则!$C$4:$C$143,MATCH($F283,自动规则!$B$4:$B$143,0))),IF(IFERROR(INDEX(自动规则!$D$4:$D$143,MATCH($F283,自动规则!$B$4:$B$143,0)),"")&amp;""="","其他应付款",INDEX(自动规则!$D$4:$D$143,MATCH($F283,自动规则!$B$4:$B$143,0)))))))</f>
        <v/>
      </c>
      <c r="L283" s="43"/>
      <c r="M283" s="105" t="str">
        <f aca="false">IF($C283="","",IF(IFERROR(INDEX(科目表!$T$4:$T$123,MATCH($C283,科目表!$K$4:$K$123,0)),"")&amp;""="","其他货币资金",INDEX(科目表!$T$4:$T$123,MATCH($C283,科目表!$K$4:$K$123,0))))</f>
        <v/>
      </c>
      <c r="N283" s="39" t="str">
        <f aca="false">IF(OR($C283="",ROUND(N($H283)+N($I283),2)=0),"",IF(N($H283)&gt;0,$M283,$K283))</f>
        <v/>
      </c>
      <c r="O283" s="41" t="str">
        <f aca="false">IF($N283="","",ROUND(N($H283)+N($I283),2))</f>
        <v/>
      </c>
      <c r="P283" s="41" t="str">
        <f aca="false">IF($N283="","",0)</f>
        <v/>
      </c>
      <c r="Q283" s="39" t="str">
        <f aca="false">IF($N283="","",IF(N($H283)&gt;0,$K283,$M283))</f>
        <v/>
      </c>
      <c r="R283" s="41" t="str">
        <f aca="false">IF($Q283="","",0)</f>
        <v/>
      </c>
      <c r="S283" s="41" t="str">
        <f aca="false">IF($Q283="","",ROUND(N($H283)+N($I283),2))</f>
        <v/>
      </c>
      <c r="T283" s="42"/>
      <c r="U283" s="44"/>
      <c r="V283" s="41" t="str">
        <f aca="false">IF($B283="","",TEXT($B283,"yyyy年m月"))</f>
        <v/>
      </c>
      <c r="W283" s="42"/>
      <c r="X283" s="42"/>
      <c r="Y283" s="9"/>
    </row>
    <row r="284" customFormat="false" ht="18" hidden="false" customHeight="true" outlineLevel="0" collapsed="false">
      <c r="A284" s="9" t="str">
        <f aca="false">IF($C284="","",ROW()-3)</f>
        <v/>
      </c>
      <c r="B284" s="76"/>
      <c r="C284" s="74"/>
      <c r="D284" s="43"/>
      <c r="E284" s="42"/>
      <c r="F284" s="74"/>
      <c r="G284" s="74"/>
      <c r="H284" s="44"/>
      <c r="I284" s="44"/>
      <c r="J284" s="103" t="str">
        <f aca="false">IF($C284="","",ROUND(IFERROR(INDEX(期初余额!$I$4:$I$43,MATCH($C284,期初余额!$H$4:$H$43,0)),0)+SUMIFS($H$4:$H284,$C$4:$C284,$C284)-SUMIFS($I$4:$I284,$C$4:$C284,$C284),2))</f>
        <v/>
      </c>
      <c r="K284" s="104" t="str">
        <f aca="false">IF($T284&lt;&gt;"",$T284,IF($C284="","",IF(AND(N($I284)&gt;0,$G284&lt;&gt;""),IF(IFERROR(INDEX(科目表!$U$4:$U$123,MATCH($G284,科目表!$M$4:$M$123,0)),"")&amp;""="","管理费用",INDEX(科目表!$U$4:$U$123,MATCH($G284,科目表!$M$4:$M$123,0))),IF(N($H284)&gt;0,IF(IFERROR(INDEX(自动规则!$C$4:$C$143,MATCH($F284,自动规则!$B$4:$B$143,0)),"")&amp;""="","其他应收款",INDEX(自动规则!$C$4:$C$143,MATCH($F284,自动规则!$B$4:$B$143,0))),IF(IFERROR(INDEX(自动规则!$D$4:$D$143,MATCH($F284,自动规则!$B$4:$B$143,0)),"")&amp;""="","其他应付款",INDEX(自动规则!$D$4:$D$143,MATCH($F284,自动规则!$B$4:$B$143,0)))))))</f>
        <v/>
      </c>
      <c r="L284" s="43"/>
      <c r="M284" s="105" t="str">
        <f aca="false">IF($C284="","",IF(IFERROR(INDEX(科目表!$T$4:$T$123,MATCH($C284,科目表!$K$4:$K$123,0)),"")&amp;""="","其他货币资金",INDEX(科目表!$T$4:$T$123,MATCH($C284,科目表!$K$4:$K$123,0))))</f>
        <v/>
      </c>
      <c r="N284" s="39" t="str">
        <f aca="false">IF(OR($C284="",ROUND(N($H284)+N($I284),2)=0),"",IF(N($H284)&gt;0,$M284,$K284))</f>
        <v/>
      </c>
      <c r="O284" s="41" t="str">
        <f aca="false">IF($N284="","",ROUND(N($H284)+N($I284),2))</f>
        <v/>
      </c>
      <c r="P284" s="41" t="str">
        <f aca="false">IF($N284="","",0)</f>
        <v/>
      </c>
      <c r="Q284" s="39" t="str">
        <f aca="false">IF($N284="","",IF(N($H284)&gt;0,$K284,$M284))</f>
        <v/>
      </c>
      <c r="R284" s="41" t="str">
        <f aca="false">IF($Q284="","",0)</f>
        <v/>
      </c>
      <c r="S284" s="41" t="str">
        <f aca="false">IF($Q284="","",ROUND(N($H284)+N($I284),2))</f>
        <v/>
      </c>
      <c r="T284" s="42"/>
      <c r="U284" s="44"/>
      <c r="V284" s="41" t="str">
        <f aca="false">IF($B284="","",TEXT($B284,"yyyy年m月"))</f>
        <v/>
      </c>
      <c r="W284" s="42"/>
      <c r="X284" s="42"/>
      <c r="Y284" s="9"/>
    </row>
    <row r="285" customFormat="false" ht="18" hidden="false" customHeight="true" outlineLevel="0" collapsed="false">
      <c r="A285" s="9" t="str">
        <f aca="false">IF($C285="","",ROW()-3)</f>
        <v/>
      </c>
      <c r="B285" s="76"/>
      <c r="C285" s="74"/>
      <c r="D285" s="43"/>
      <c r="E285" s="42"/>
      <c r="F285" s="74"/>
      <c r="G285" s="74"/>
      <c r="H285" s="44"/>
      <c r="I285" s="44"/>
      <c r="J285" s="103" t="str">
        <f aca="false">IF($C285="","",ROUND(IFERROR(INDEX(期初余额!$I$4:$I$43,MATCH($C285,期初余额!$H$4:$H$43,0)),0)+SUMIFS($H$4:$H285,$C$4:$C285,$C285)-SUMIFS($I$4:$I285,$C$4:$C285,$C285),2))</f>
        <v/>
      </c>
      <c r="K285" s="104" t="str">
        <f aca="false">IF($T285&lt;&gt;"",$T285,IF($C285="","",IF(AND(N($I285)&gt;0,$G285&lt;&gt;""),IF(IFERROR(INDEX(科目表!$U$4:$U$123,MATCH($G285,科目表!$M$4:$M$123,0)),"")&amp;""="","管理费用",INDEX(科目表!$U$4:$U$123,MATCH($G285,科目表!$M$4:$M$123,0))),IF(N($H285)&gt;0,IF(IFERROR(INDEX(自动规则!$C$4:$C$143,MATCH($F285,自动规则!$B$4:$B$143,0)),"")&amp;""="","其他应收款",INDEX(自动规则!$C$4:$C$143,MATCH($F285,自动规则!$B$4:$B$143,0))),IF(IFERROR(INDEX(自动规则!$D$4:$D$143,MATCH($F285,自动规则!$B$4:$B$143,0)),"")&amp;""="","其他应付款",INDEX(自动规则!$D$4:$D$143,MATCH($F285,自动规则!$B$4:$B$143,0)))))))</f>
        <v/>
      </c>
      <c r="L285" s="43"/>
      <c r="M285" s="105" t="str">
        <f aca="false">IF($C285="","",IF(IFERROR(INDEX(科目表!$T$4:$T$123,MATCH($C285,科目表!$K$4:$K$123,0)),"")&amp;""="","其他货币资金",INDEX(科目表!$T$4:$T$123,MATCH($C285,科目表!$K$4:$K$123,0))))</f>
        <v/>
      </c>
      <c r="N285" s="39" t="str">
        <f aca="false">IF(OR($C285="",ROUND(N($H285)+N($I285),2)=0),"",IF(N($H285)&gt;0,$M285,$K285))</f>
        <v/>
      </c>
      <c r="O285" s="41" t="str">
        <f aca="false">IF($N285="","",ROUND(N($H285)+N($I285),2))</f>
        <v/>
      </c>
      <c r="P285" s="41" t="str">
        <f aca="false">IF($N285="","",0)</f>
        <v/>
      </c>
      <c r="Q285" s="39" t="str">
        <f aca="false">IF($N285="","",IF(N($H285)&gt;0,$K285,$M285))</f>
        <v/>
      </c>
      <c r="R285" s="41" t="str">
        <f aca="false">IF($Q285="","",0)</f>
        <v/>
      </c>
      <c r="S285" s="41" t="str">
        <f aca="false">IF($Q285="","",ROUND(N($H285)+N($I285),2))</f>
        <v/>
      </c>
      <c r="T285" s="42"/>
      <c r="U285" s="44"/>
      <c r="V285" s="41" t="str">
        <f aca="false">IF($B285="","",TEXT($B285,"yyyy年m月"))</f>
        <v/>
      </c>
      <c r="W285" s="42"/>
      <c r="X285" s="42"/>
      <c r="Y285" s="9"/>
    </row>
    <row r="286" customFormat="false" ht="18" hidden="false" customHeight="true" outlineLevel="0" collapsed="false">
      <c r="A286" s="9" t="str">
        <f aca="false">IF($C286="","",ROW()-3)</f>
        <v/>
      </c>
      <c r="B286" s="76"/>
      <c r="C286" s="74"/>
      <c r="D286" s="43"/>
      <c r="E286" s="42"/>
      <c r="F286" s="74"/>
      <c r="G286" s="74"/>
      <c r="H286" s="44"/>
      <c r="I286" s="44"/>
      <c r="J286" s="103" t="str">
        <f aca="false">IF($C286="","",ROUND(IFERROR(INDEX(期初余额!$I$4:$I$43,MATCH($C286,期初余额!$H$4:$H$43,0)),0)+SUMIFS($H$4:$H286,$C$4:$C286,$C286)-SUMIFS($I$4:$I286,$C$4:$C286,$C286),2))</f>
        <v/>
      </c>
      <c r="K286" s="104" t="str">
        <f aca="false">IF($T286&lt;&gt;"",$T286,IF($C286="","",IF(AND(N($I286)&gt;0,$G286&lt;&gt;""),IF(IFERROR(INDEX(科目表!$U$4:$U$123,MATCH($G286,科目表!$M$4:$M$123,0)),"")&amp;""="","管理费用",INDEX(科目表!$U$4:$U$123,MATCH($G286,科目表!$M$4:$M$123,0))),IF(N($H286)&gt;0,IF(IFERROR(INDEX(自动规则!$C$4:$C$143,MATCH($F286,自动规则!$B$4:$B$143,0)),"")&amp;""="","其他应收款",INDEX(自动规则!$C$4:$C$143,MATCH($F286,自动规则!$B$4:$B$143,0))),IF(IFERROR(INDEX(自动规则!$D$4:$D$143,MATCH($F286,自动规则!$B$4:$B$143,0)),"")&amp;""="","其他应付款",INDEX(自动规则!$D$4:$D$143,MATCH($F286,自动规则!$B$4:$B$143,0)))))))</f>
        <v/>
      </c>
      <c r="L286" s="43"/>
      <c r="M286" s="105" t="str">
        <f aca="false">IF($C286="","",IF(IFERROR(INDEX(科目表!$T$4:$T$123,MATCH($C286,科目表!$K$4:$K$123,0)),"")&amp;""="","其他货币资金",INDEX(科目表!$T$4:$T$123,MATCH($C286,科目表!$K$4:$K$123,0))))</f>
        <v/>
      </c>
      <c r="N286" s="39" t="str">
        <f aca="false">IF(OR($C286="",ROUND(N($H286)+N($I286),2)=0),"",IF(N($H286)&gt;0,$M286,$K286))</f>
        <v/>
      </c>
      <c r="O286" s="41" t="str">
        <f aca="false">IF($N286="","",ROUND(N($H286)+N($I286),2))</f>
        <v/>
      </c>
      <c r="P286" s="41" t="str">
        <f aca="false">IF($N286="","",0)</f>
        <v/>
      </c>
      <c r="Q286" s="39" t="str">
        <f aca="false">IF($N286="","",IF(N($H286)&gt;0,$K286,$M286))</f>
        <v/>
      </c>
      <c r="R286" s="41" t="str">
        <f aca="false">IF($Q286="","",0)</f>
        <v/>
      </c>
      <c r="S286" s="41" t="str">
        <f aca="false">IF($Q286="","",ROUND(N($H286)+N($I286),2))</f>
        <v/>
      </c>
      <c r="T286" s="42"/>
      <c r="U286" s="44"/>
      <c r="V286" s="41" t="str">
        <f aca="false">IF($B286="","",TEXT($B286,"yyyy年m月"))</f>
        <v/>
      </c>
      <c r="W286" s="42"/>
      <c r="X286" s="42"/>
      <c r="Y286" s="9"/>
    </row>
    <row r="287" customFormat="false" ht="18" hidden="false" customHeight="true" outlineLevel="0" collapsed="false">
      <c r="A287" s="9" t="str">
        <f aca="false">IF($C287="","",ROW()-3)</f>
        <v/>
      </c>
      <c r="B287" s="76"/>
      <c r="C287" s="74"/>
      <c r="D287" s="43"/>
      <c r="E287" s="42"/>
      <c r="F287" s="74"/>
      <c r="G287" s="74"/>
      <c r="H287" s="44"/>
      <c r="I287" s="44"/>
      <c r="J287" s="103" t="str">
        <f aca="false">IF($C287="","",ROUND(IFERROR(INDEX(期初余额!$I$4:$I$43,MATCH($C287,期初余额!$H$4:$H$43,0)),0)+SUMIFS($H$4:$H287,$C$4:$C287,$C287)-SUMIFS($I$4:$I287,$C$4:$C287,$C287),2))</f>
        <v/>
      </c>
      <c r="K287" s="104" t="str">
        <f aca="false">IF($T287&lt;&gt;"",$T287,IF($C287="","",IF(AND(N($I287)&gt;0,$G287&lt;&gt;""),IF(IFERROR(INDEX(科目表!$U$4:$U$123,MATCH($G287,科目表!$M$4:$M$123,0)),"")&amp;""="","管理费用",INDEX(科目表!$U$4:$U$123,MATCH($G287,科目表!$M$4:$M$123,0))),IF(N($H287)&gt;0,IF(IFERROR(INDEX(自动规则!$C$4:$C$143,MATCH($F287,自动规则!$B$4:$B$143,0)),"")&amp;""="","其他应收款",INDEX(自动规则!$C$4:$C$143,MATCH($F287,自动规则!$B$4:$B$143,0))),IF(IFERROR(INDEX(自动规则!$D$4:$D$143,MATCH($F287,自动规则!$B$4:$B$143,0)),"")&amp;""="","其他应付款",INDEX(自动规则!$D$4:$D$143,MATCH($F287,自动规则!$B$4:$B$143,0)))))))</f>
        <v/>
      </c>
      <c r="L287" s="43"/>
      <c r="M287" s="105" t="str">
        <f aca="false">IF($C287="","",IF(IFERROR(INDEX(科目表!$T$4:$T$123,MATCH($C287,科目表!$K$4:$K$123,0)),"")&amp;""="","其他货币资金",INDEX(科目表!$T$4:$T$123,MATCH($C287,科目表!$K$4:$K$123,0))))</f>
        <v/>
      </c>
      <c r="N287" s="39" t="str">
        <f aca="false">IF(OR($C287="",ROUND(N($H287)+N($I287),2)=0),"",IF(N($H287)&gt;0,$M287,$K287))</f>
        <v/>
      </c>
      <c r="O287" s="41" t="str">
        <f aca="false">IF($N287="","",ROUND(N($H287)+N($I287),2))</f>
        <v/>
      </c>
      <c r="P287" s="41" t="str">
        <f aca="false">IF($N287="","",0)</f>
        <v/>
      </c>
      <c r="Q287" s="39" t="str">
        <f aca="false">IF($N287="","",IF(N($H287)&gt;0,$K287,$M287))</f>
        <v/>
      </c>
      <c r="R287" s="41" t="str">
        <f aca="false">IF($Q287="","",0)</f>
        <v/>
      </c>
      <c r="S287" s="41" t="str">
        <f aca="false">IF($Q287="","",ROUND(N($H287)+N($I287),2))</f>
        <v/>
      </c>
      <c r="T287" s="42"/>
      <c r="U287" s="44"/>
      <c r="V287" s="41" t="str">
        <f aca="false">IF($B287="","",TEXT($B287,"yyyy年m月"))</f>
        <v/>
      </c>
      <c r="W287" s="42"/>
      <c r="X287" s="42"/>
      <c r="Y287" s="9"/>
    </row>
    <row r="288" customFormat="false" ht="18" hidden="false" customHeight="true" outlineLevel="0" collapsed="false">
      <c r="A288" s="9" t="str">
        <f aca="false">IF($C288="","",ROW()-3)</f>
        <v/>
      </c>
      <c r="B288" s="76"/>
      <c r="C288" s="74"/>
      <c r="D288" s="43"/>
      <c r="E288" s="42"/>
      <c r="F288" s="74"/>
      <c r="G288" s="74"/>
      <c r="H288" s="44"/>
      <c r="I288" s="44"/>
      <c r="J288" s="103" t="str">
        <f aca="false">IF($C288="","",ROUND(IFERROR(INDEX(期初余额!$I$4:$I$43,MATCH($C288,期初余额!$H$4:$H$43,0)),0)+SUMIFS($H$4:$H288,$C$4:$C288,$C288)-SUMIFS($I$4:$I288,$C$4:$C288,$C288),2))</f>
        <v/>
      </c>
      <c r="K288" s="104" t="str">
        <f aca="false">IF($T288&lt;&gt;"",$T288,IF($C288="","",IF(AND(N($I288)&gt;0,$G288&lt;&gt;""),IF(IFERROR(INDEX(科目表!$U$4:$U$123,MATCH($G288,科目表!$M$4:$M$123,0)),"")&amp;""="","管理费用",INDEX(科目表!$U$4:$U$123,MATCH($G288,科目表!$M$4:$M$123,0))),IF(N($H288)&gt;0,IF(IFERROR(INDEX(自动规则!$C$4:$C$143,MATCH($F288,自动规则!$B$4:$B$143,0)),"")&amp;""="","其他应收款",INDEX(自动规则!$C$4:$C$143,MATCH($F288,自动规则!$B$4:$B$143,0))),IF(IFERROR(INDEX(自动规则!$D$4:$D$143,MATCH($F288,自动规则!$B$4:$B$143,0)),"")&amp;""="","其他应付款",INDEX(自动规则!$D$4:$D$143,MATCH($F288,自动规则!$B$4:$B$143,0)))))))</f>
        <v/>
      </c>
      <c r="L288" s="43"/>
      <c r="M288" s="105" t="str">
        <f aca="false">IF($C288="","",IF(IFERROR(INDEX(科目表!$T$4:$T$123,MATCH($C288,科目表!$K$4:$K$123,0)),"")&amp;""="","其他货币资金",INDEX(科目表!$T$4:$T$123,MATCH($C288,科目表!$K$4:$K$123,0))))</f>
        <v/>
      </c>
      <c r="N288" s="39" t="str">
        <f aca="false">IF(OR($C288="",ROUND(N($H288)+N($I288),2)=0),"",IF(N($H288)&gt;0,$M288,$K288))</f>
        <v/>
      </c>
      <c r="O288" s="41" t="str">
        <f aca="false">IF($N288="","",ROUND(N($H288)+N($I288),2))</f>
        <v/>
      </c>
      <c r="P288" s="41" t="str">
        <f aca="false">IF($N288="","",0)</f>
        <v/>
      </c>
      <c r="Q288" s="39" t="str">
        <f aca="false">IF($N288="","",IF(N($H288)&gt;0,$K288,$M288))</f>
        <v/>
      </c>
      <c r="R288" s="41" t="str">
        <f aca="false">IF($Q288="","",0)</f>
        <v/>
      </c>
      <c r="S288" s="41" t="str">
        <f aca="false">IF($Q288="","",ROUND(N($H288)+N($I288),2))</f>
        <v/>
      </c>
      <c r="T288" s="42"/>
      <c r="U288" s="44"/>
      <c r="V288" s="41" t="str">
        <f aca="false">IF($B288="","",TEXT($B288,"yyyy年m月"))</f>
        <v/>
      </c>
      <c r="W288" s="42"/>
      <c r="X288" s="42"/>
      <c r="Y288" s="9"/>
    </row>
    <row r="289" customFormat="false" ht="18" hidden="false" customHeight="true" outlineLevel="0" collapsed="false">
      <c r="A289" s="9" t="str">
        <f aca="false">IF($C289="","",ROW()-3)</f>
        <v/>
      </c>
      <c r="B289" s="76"/>
      <c r="C289" s="74"/>
      <c r="D289" s="43"/>
      <c r="E289" s="42"/>
      <c r="F289" s="74"/>
      <c r="G289" s="74"/>
      <c r="H289" s="44"/>
      <c r="I289" s="44"/>
      <c r="J289" s="103" t="str">
        <f aca="false">IF($C289="","",ROUND(IFERROR(INDEX(期初余额!$I$4:$I$43,MATCH($C289,期初余额!$H$4:$H$43,0)),0)+SUMIFS($H$4:$H289,$C$4:$C289,$C289)-SUMIFS($I$4:$I289,$C$4:$C289,$C289),2))</f>
        <v/>
      </c>
      <c r="K289" s="104" t="str">
        <f aca="false">IF($T289&lt;&gt;"",$T289,IF($C289="","",IF(AND(N($I289)&gt;0,$G289&lt;&gt;""),IF(IFERROR(INDEX(科目表!$U$4:$U$123,MATCH($G289,科目表!$M$4:$M$123,0)),"")&amp;""="","管理费用",INDEX(科目表!$U$4:$U$123,MATCH($G289,科目表!$M$4:$M$123,0))),IF(N($H289)&gt;0,IF(IFERROR(INDEX(自动规则!$C$4:$C$143,MATCH($F289,自动规则!$B$4:$B$143,0)),"")&amp;""="","其他应收款",INDEX(自动规则!$C$4:$C$143,MATCH($F289,自动规则!$B$4:$B$143,0))),IF(IFERROR(INDEX(自动规则!$D$4:$D$143,MATCH($F289,自动规则!$B$4:$B$143,0)),"")&amp;""="","其他应付款",INDEX(自动规则!$D$4:$D$143,MATCH($F289,自动规则!$B$4:$B$143,0)))))))</f>
        <v/>
      </c>
      <c r="L289" s="43"/>
      <c r="M289" s="105" t="str">
        <f aca="false">IF($C289="","",IF(IFERROR(INDEX(科目表!$T$4:$T$123,MATCH($C289,科目表!$K$4:$K$123,0)),"")&amp;""="","其他货币资金",INDEX(科目表!$T$4:$T$123,MATCH($C289,科目表!$K$4:$K$123,0))))</f>
        <v/>
      </c>
      <c r="N289" s="39" t="str">
        <f aca="false">IF(OR($C289="",ROUND(N($H289)+N($I289),2)=0),"",IF(N($H289)&gt;0,$M289,$K289))</f>
        <v/>
      </c>
      <c r="O289" s="41" t="str">
        <f aca="false">IF($N289="","",ROUND(N($H289)+N($I289),2))</f>
        <v/>
      </c>
      <c r="P289" s="41" t="str">
        <f aca="false">IF($N289="","",0)</f>
        <v/>
      </c>
      <c r="Q289" s="39" t="str">
        <f aca="false">IF($N289="","",IF(N($H289)&gt;0,$K289,$M289))</f>
        <v/>
      </c>
      <c r="R289" s="41" t="str">
        <f aca="false">IF($Q289="","",0)</f>
        <v/>
      </c>
      <c r="S289" s="41" t="str">
        <f aca="false">IF($Q289="","",ROUND(N($H289)+N($I289),2))</f>
        <v/>
      </c>
      <c r="T289" s="42"/>
      <c r="U289" s="44"/>
      <c r="V289" s="41" t="str">
        <f aca="false">IF($B289="","",TEXT($B289,"yyyy年m月"))</f>
        <v/>
      </c>
      <c r="W289" s="42"/>
      <c r="X289" s="42"/>
      <c r="Y289" s="9"/>
    </row>
    <row r="290" customFormat="false" ht="18" hidden="false" customHeight="true" outlineLevel="0" collapsed="false">
      <c r="A290" s="9" t="str">
        <f aca="false">IF($C290="","",ROW()-3)</f>
        <v/>
      </c>
      <c r="B290" s="76"/>
      <c r="C290" s="74"/>
      <c r="D290" s="43"/>
      <c r="E290" s="42"/>
      <c r="F290" s="74"/>
      <c r="G290" s="74"/>
      <c r="H290" s="44"/>
      <c r="I290" s="44"/>
      <c r="J290" s="103" t="str">
        <f aca="false">IF($C290="","",ROUND(IFERROR(INDEX(期初余额!$I$4:$I$43,MATCH($C290,期初余额!$H$4:$H$43,0)),0)+SUMIFS($H$4:$H290,$C$4:$C290,$C290)-SUMIFS($I$4:$I290,$C$4:$C290,$C290),2))</f>
        <v/>
      </c>
      <c r="K290" s="104" t="str">
        <f aca="false">IF($T290&lt;&gt;"",$T290,IF($C290="","",IF(AND(N($I290)&gt;0,$G290&lt;&gt;""),IF(IFERROR(INDEX(科目表!$U$4:$U$123,MATCH($G290,科目表!$M$4:$M$123,0)),"")&amp;""="","管理费用",INDEX(科目表!$U$4:$U$123,MATCH($G290,科目表!$M$4:$M$123,0))),IF(N($H290)&gt;0,IF(IFERROR(INDEX(自动规则!$C$4:$C$143,MATCH($F290,自动规则!$B$4:$B$143,0)),"")&amp;""="","其他应收款",INDEX(自动规则!$C$4:$C$143,MATCH($F290,自动规则!$B$4:$B$143,0))),IF(IFERROR(INDEX(自动规则!$D$4:$D$143,MATCH($F290,自动规则!$B$4:$B$143,0)),"")&amp;""="","其他应付款",INDEX(自动规则!$D$4:$D$143,MATCH($F290,自动规则!$B$4:$B$143,0)))))))</f>
        <v/>
      </c>
      <c r="L290" s="43"/>
      <c r="M290" s="105" t="str">
        <f aca="false">IF($C290="","",IF(IFERROR(INDEX(科目表!$T$4:$T$123,MATCH($C290,科目表!$K$4:$K$123,0)),"")&amp;""="","其他货币资金",INDEX(科目表!$T$4:$T$123,MATCH($C290,科目表!$K$4:$K$123,0))))</f>
        <v/>
      </c>
      <c r="N290" s="39" t="str">
        <f aca="false">IF(OR($C290="",ROUND(N($H290)+N($I290),2)=0),"",IF(N($H290)&gt;0,$M290,$K290))</f>
        <v/>
      </c>
      <c r="O290" s="41" t="str">
        <f aca="false">IF($N290="","",ROUND(N($H290)+N($I290),2))</f>
        <v/>
      </c>
      <c r="P290" s="41" t="str">
        <f aca="false">IF($N290="","",0)</f>
        <v/>
      </c>
      <c r="Q290" s="39" t="str">
        <f aca="false">IF($N290="","",IF(N($H290)&gt;0,$K290,$M290))</f>
        <v/>
      </c>
      <c r="R290" s="41" t="str">
        <f aca="false">IF($Q290="","",0)</f>
        <v/>
      </c>
      <c r="S290" s="41" t="str">
        <f aca="false">IF($Q290="","",ROUND(N($H290)+N($I290),2))</f>
        <v/>
      </c>
      <c r="T290" s="42"/>
      <c r="U290" s="44"/>
      <c r="V290" s="41" t="str">
        <f aca="false">IF($B290="","",TEXT($B290,"yyyy年m月"))</f>
        <v/>
      </c>
      <c r="W290" s="42"/>
      <c r="X290" s="42"/>
      <c r="Y290" s="9"/>
    </row>
    <row r="291" customFormat="false" ht="18" hidden="false" customHeight="true" outlineLevel="0" collapsed="false">
      <c r="A291" s="9" t="str">
        <f aca="false">IF($C291="","",ROW()-3)</f>
        <v/>
      </c>
      <c r="B291" s="76"/>
      <c r="C291" s="74"/>
      <c r="D291" s="43"/>
      <c r="E291" s="42"/>
      <c r="F291" s="74"/>
      <c r="G291" s="74"/>
      <c r="H291" s="44"/>
      <c r="I291" s="44"/>
      <c r="J291" s="103" t="str">
        <f aca="false">IF($C291="","",ROUND(IFERROR(INDEX(期初余额!$I$4:$I$43,MATCH($C291,期初余额!$H$4:$H$43,0)),0)+SUMIFS($H$4:$H291,$C$4:$C291,$C291)-SUMIFS($I$4:$I291,$C$4:$C291,$C291),2))</f>
        <v/>
      </c>
      <c r="K291" s="104" t="str">
        <f aca="false">IF($T291&lt;&gt;"",$T291,IF($C291="","",IF(AND(N($I291)&gt;0,$G291&lt;&gt;""),IF(IFERROR(INDEX(科目表!$U$4:$U$123,MATCH($G291,科目表!$M$4:$M$123,0)),"")&amp;""="","管理费用",INDEX(科目表!$U$4:$U$123,MATCH($G291,科目表!$M$4:$M$123,0))),IF(N($H291)&gt;0,IF(IFERROR(INDEX(自动规则!$C$4:$C$143,MATCH($F291,自动规则!$B$4:$B$143,0)),"")&amp;""="","其他应收款",INDEX(自动规则!$C$4:$C$143,MATCH($F291,自动规则!$B$4:$B$143,0))),IF(IFERROR(INDEX(自动规则!$D$4:$D$143,MATCH($F291,自动规则!$B$4:$B$143,0)),"")&amp;""="","其他应付款",INDEX(自动规则!$D$4:$D$143,MATCH($F291,自动规则!$B$4:$B$143,0)))))))</f>
        <v/>
      </c>
      <c r="L291" s="43"/>
      <c r="M291" s="105" t="str">
        <f aca="false">IF($C291="","",IF(IFERROR(INDEX(科目表!$T$4:$T$123,MATCH($C291,科目表!$K$4:$K$123,0)),"")&amp;""="","其他货币资金",INDEX(科目表!$T$4:$T$123,MATCH($C291,科目表!$K$4:$K$123,0))))</f>
        <v/>
      </c>
      <c r="N291" s="39" t="str">
        <f aca="false">IF(OR($C291="",ROUND(N($H291)+N($I291),2)=0),"",IF(N($H291)&gt;0,$M291,$K291))</f>
        <v/>
      </c>
      <c r="O291" s="41" t="str">
        <f aca="false">IF($N291="","",ROUND(N($H291)+N($I291),2))</f>
        <v/>
      </c>
      <c r="P291" s="41" t="str">
        <f aca="false">IF($N291="","",0)</f>
        <v/>
      </c>
      <c r="Q291" s="39" t="str">
        <f aca="false">IF($N291="","",IF(N($H291)&gt;0,$K291,$M291))</f>
        <v/>
      </c>
      <c r="R291" s="41" t="str">
        <f aca="false">IF($Q291="","",0)</f>
        <v/>
      </c>
      <c r="S291" s="41" t="str">
        <f aca="false">IF($Q291="","",ROUND(N($H291)+N($I291),2))</f>
        <v/>
      </c>
      <c r="T291" s="42"/>
      <c r="U291" s="44"/>
      <c r="V291" s="41" t="str">
        <f aca="false">IF($B291="","",TEXT($B291,"yyyy年m月"))</f>
        <v/>
      </c>
      <c r="W291" s="42"/>
      <c r="X291" s="42"/>
      <c r="Y291" s="9"/>
    </row>
    <row r="292" customFormat="false" ht="18" hidden="false" customHeight="true" outlineLevel="0" collapsed="false">
      <c r="A292" s="9" t="str">
        <f aca="false">IF($C292="","",ROW()-3)</f>
        <v/>
      </c>
      <c r="B292" s="76"/>
      <c r="C292" s="74"/>
      <c r="D292" s="43"/>
      <c r="E292" s="42"/>
      <c r="F292" s="74"/>
      <c r="G292" s="74"/>
      <c r="H292" s="44"/>
      <c r="I292" s="44"/>
      <c r="J292" s="103" t="str">
        <f aca="false">IF($C292="","",ROUND(IFERROR(INDEX(期初余额!$I$4:$I$43,MATCH($C292,期初余额!$H$4:$H$43,0)),0)+SUMIFS($H$4:$H292,$C$4:$C292,$C292)-SUMIFS($I$4:$I292,$C$4:$C292,$C292),2))</f>
        <v/>
      </c>
      <c r="K292" s="104" t="str">
        <f aca="false">IF($T292&lt;&gt;"",$T292,IF($C292="","",IF(AND(N($I292)&gt;0,$G292&lt;&gt;""),IF(IFERROR(INDEX(科目表!$U$4:$U$123,MATCH($G292,科目表!$M$4:$M$123,0)),"")&amp;""="","管理费用",INDEX(科目表!$U$4:$U$123,MATCH($G292,科目表!$M$4:$M$123,0))),IF(N($H292)&gt;0,IF(IFERROR(INDEX(自动规则!$C$4:$C$143,MATCH($F292,自动规则!$B$4:$B$143,0)),"")&amp;""="","其他应收款",INDEX(自动规则!$C$4:$C$143,MATCH($F292,自动规则!$B$4:$B$143,0))),IF(IFERROR(INDEX(自动规则!$D$4:$D$143,MATCH($F292,自动规则!$B$4:$B$143,0)),"")&amp;""="","其他应付款",INDEX(自动规则!$D$4:$D$143,MATCH($F292,自动规则!$B$4:$B$143,0)))))))</f>
        <v/>
      </c>
      <c r="L292" s="43"/>
      <c r="M292" s="105" t="str">
        <f aca="false">IF($C292="","",IF(IFERROR(INDEX(科目表!$T$4:$T$123,MATCH($C292,科目表!$K$4:$K$123,0)),"")&amp;""="","其他货币资金",INDEX(科目表!$T$4:$T$123,MATCH($C292,科目表!$K$4:$K$123,0))))</f>
        <v/>
      </c>
      <c r="N292" s="39" t="str">
        <f aca="false">IF(OR($C292="",ROUND(N($H292)+N($I292),2)=0),"",IF(N($H292)&gt;0,$M292,$K292))</f>
        <v/>
      </c>
      <c r="O292" s="41" t="str">
        <f aca="false">IF($N292="","",ROUND(N($H292)+N($I292),2))</f>
        <v/>
      </c>
      <c r="P292" s="41" t="str">
        <f aca="false">IF($N292="","",0)</f>
        <v/>
      </c>
      <c r="Q292" s="39" t="str">
        <f aca="false">IF($N292="","",IF(N($H292)&gt;0,$K292,$M292))</f>
        <v/>
      </c>
      <c r="R292" s="41" t="str">
        <f aca="false">IF($Q292="","",0)</f>
        <v/>
      </c>
      <c r="S292" s="41" t="str">
        <f aca="false">IF($Q292="","",ROUND(N($H292)+N($I292),2))</f>
        <v/>
      </c>
      <c r="T292" s="42"/>
      <c r="U292" s="44"/>
      <c r="V292" s="41" t="str">
        <f aca="false">IF($B292="","",TEXT($B292,"yyyy年m月"))</f>
        <v/>
      </c>
      <c r="W292" s="42"/>
      <c r="X292" s="42"/>
      <c r="Y292" s="9"/>
    </row>
    <row r="293" customFormat="false" ht="18" hidden="false" customHeight="true" outlineLevel="0" collapsed="false">
      <c r="A293" s="9" t="str">
        <f aca="false">IF($C293="","",ROW()-3)</f>
        <v/>
      </c>
      <c r="B293" s="76"/>
      <c r="C293" s="74"/>
      <c r="D293" s="43"/>
      <c r="E293" s="42"/>
      <c r="F293" s="74"/>
      <c r="G293" s="74"/>
      <c r="H293" s="44"/>
      <c r="I293" s="44"/>
      <c r="J293" s="103" t="str">
        <f aca="false">IF($C293="","",ROUND(IFERROR(INDEX(期初余额!$I$4:$I$43,MATCH($C293,期初余额!$H$4:$H$43,0)),0)+SUMIFS($H$4:$H293,$C$4:$C293,$C293)-SUMIFS($I$4:$I293,$C$4:$C293,$C293),2))</f>
        <v/>
      </c>
      <c r="K293" s="104" t="str">
        <f aca="false">IF($T293&lt;&gt;"",$T293,IF($C293="","",IF(AND(N($I293)&gt;0,$G293&lt;&gt;""),IF(IFERROR(INDEX(科目表!$U$4:$U$123,MATCH($G293,科目表!$M$4:$M$123,0)),"")&amp;""="","管理费用",INDEX(科目表!$U$4:$U$123,MATCH($G293,科目表!$M$4:$M$123,0))),IF(N($H293)&gt;0,IF(IFERROR(INDEX(自动规则!$C$4:$C$143,MATCH($F293,自动规则!$B$4:$B$143,0)),"")&amp;""="","其他应收款",INDEX(自动规则!$C$4:$C$143,MATCH($F293,自动规则!$B$4:$B$143,0))),IF(IFERROR(INDEX(自动规则!$D$4:$D$143,MATCH($F293,自动规则!$B$4:$B$143,0)),"")&amp;""="","其他应付款",INDEX(自动规则!$D$4:$D$143,MATCH($F293,自动规则!$B$4:$B$143,0)))))))</f>
        <v/>
      </c>
      <c r="L293" s="43"/>
      <c r="M293" s="105" t="str">
        <f aca="false">IF($C293="","",IF(IFERROR(INDEX(科目表!$T$4:$T$123,MATCH($C293,科目表!$K$4:$K$123,0)),"")&amp;""="","其他货币资金",INDEX(科目表!$T$4:$T$123,MATCH($C293,科目表!$K$4:$K$123,0))))</f>
        <v/>
      </c>
      <c r="N293" s="39" t="str">
        <f aca="false">IF(OR($C293="",ROUND(N($H293)+N($I293),2)=0),"",IF(N($H293)&gt;0,$M293,$K293))</f>
        <v/>
      </c>
      <c r="O293" s="41" t="str">
        <f aca="false">IF($N293="","",ROUND(N($H293)+N($I293),2))</f>
        <v/>
      </c>
      <c r="P293" s="41" t="str">
        <f aca="false">IF($N293="","",0)</f>
        <v/>
      </c>
      <c r="Q293" s="39" t="str">
        <f aca="false">IF($N293="","",IF(N($H293)&gt;0,$K293,$M293))</f>
        <v/>
      </c>
      <c r="R293" s="41" t="str">
        <f aca="false">IF($Q293="","",0)</f>
        <v/>
      </c>
      <c r="S293" s="41" t="str">
        <f aca="false">IF($Q293="","",ROUND(N($H293)+N($I293),2))</f>
        <v/>
      </c>
      <c r="T293" s="42"/>
      <c r="U293" s="44"/>
      <c r="V293" s="41" t="str">
        <f aca="false">IF($B293="","",TEXT($B293,"yyyy年m月"))</f>
        <v/>
      </c>
      <c r="W293" s="42"/>
      <c r="X293" s="42"/>
      <c r="Y293" s="9"/>
    </row>
    <row r="294" customFormat="false" ht="18" hidden="false" customHeight="true" outlineLevel="0" collapsed="false">
      <c r="A294" s="9" t="str">
        <f aca="false">IF($C294="","",ROW()-3)</f>
        <v/>
      </c>
      <c r="B294" s="76"/>
      <c r="C294" s="74"/>
      <c r="D294" s="43"/>
      <c r="E294" s="42"/>
      <c r="F294" s="74"/>
      <c r="G294" s="74"/>
      <c r="H294" s="44"/>
      <c r="I294" s="44"/>
      <c r="J294" s="103" t="str">
        <f aca="false">IF($C294="","",ROUND(IFERROR(INDEX(期初余额!$I$4:$I$43,MATCH($C294,期初余额!$H$4:$H$43,0)),0)+SUMIFS($H$4:$H294,$C$4:$C294,$C294)-SUMIFS($I$4:$I294,$C$4:$C294,$C294),2))</f>
        <v/>
      </c>
      <c r="K294" s="104" t="str">
        <f aca="false">IF($T294&lt;&gt;"",$T294,IF($C294="","",IF(AND(N($I294)&gt;0,$G294&lt;&gt;""),IF(IFERROR(INDEX(科目表!$U$4:$U$123,MATCH($G294,科目表!$M$4:$M$123,0)),"")&amp;""="","管理费用",INDEX(科目表!$U$4:$U$123,MATCH($G294,科目表!$M$4:$M$123,0))),IF(N($H294)&gt;0,IF(IFERROR(INDEX(自动规则!$C$4:$C$143,MATCH($F294,自动规则!$B$4:$B$143,0)),"")&amp;""="","其他应收款",INDEX(自动规则!$C$4:$C$143,MATCH($F294,自动规则!$B$4:$B$143,0))),IF(IFERROR(INDEX(自动规则!$D$4:$D$143,MATCH($F294,自动规则!$B$4:$B$143,0)),"")&amp;""="","其他应付款",INDEX(自动规则!$D$4:$D$143,MATCH($F294,自动规则!$B$4:$B$143,0)))))))</f>
        <v/>
      </c>
      <c r="L294" s="43"/>
      <c r="M294" s="105" t="str">
        <f aca="false">IF($C294="","",IF(IFERROR(INDEX(科目表!$T$4:$T$123,MATCH($C294,科目表!$K$4:$K$123,0)),"")&amp;""="","其他货币资金",INDEX(科目表!$T$4:$T$123,MATCH($C294,科目表!$K$4:$K$123,0))))</f>
        <v/>
      </c>
      <c r="N294" s="39" t="str">
        <f aca="false">IF(OR($C294="",ROUND(N($H294)+N($I294),2)=0),"",IF(N($H294)&gt;0,$M294,$K294))</f>
        <v/>
      </c>
      <c r="O294" s="41" t="str">
        <f aca="false">IF($N294="","",ROUND(N($H294)+N($I294),2))</f>
        <v/>
      </c>
      <c r="P294" s="41" t="str">
        <f aca="false">IF($N294="","",0)</f>
        <v/>
      </c>
      <c r="Q294" s="39" t="str">
        <f aca="false">IF($N294="","",IF(N($H294)&gt;0,$K294,$M294))</f>
        <v/>
      </c>
      <c r="R294" s="41" t="str">
        <f aca="false">IF($Q294="","",0)</f>
        <v/>
      </c>
      <c r="S294" s="41" t="str">
        <f aca="false">IF($Q294="","",ROUND(N($H294)+N($I294),2))</f>
        <v/>
      </c>
      <c r="T294" s="42"/>
      <c r="U294" s="44"/>
      <c r="V294" s="41" t="str">
        <f aca="false">IF($B294="","",TEXT($B294,"yyyy年m月"))</f>
        <v/>
      </c>
      <c r="W294" s="42"/>
      <c r="X294" s="42"/>
      <c r="Y294" s="9"/>
    </row>
    <row r="295" customFormat="false" ht="18" hidden="false" customHeight="true" outlineLevel="0" collapsed="false">
      <c r="A295" s="9" t="str">
        <f aca="false">IF($C295="","",ROW()-3)</f>
        <v/>
      </c>
      <c r="B295" s="76"/>
      <c r="C295" s="74"/>
      <c r="D295" s="43"/>
      <c r="E295" s="42"/>
      <c r="F295" s="74"/>
      <c r="G295" s="74"/>
      <c r="H295" s="44"/>
      <c r="I295" s="44"/>
      <c r="J295" s="103" t="str">
        <f aca="false">IF($C295="","",ROUND(IFERROR(INDEX(期初余额!$I$4:$I$43,MATCH($C295,期初余额!$H$4:$H$43,0)),0)+SUMIFS($H$4:$H295,$C$4:$C295,$C295)-SUMIFS($I$4:$I295,$C$4:$C295,$C295),2))</f>
        <v/>
      </c>
      <c r="K295" s="104" t="str">
        <f aca="false">IF($T295&lt;&gt;"",$T295,IF($C295="","",IF(AND(N($I295)&gt;0,$G295&lt;&gt;""),IF(IFERROR(INDEX(科目表!$U$4:$U$123,MATCH($G295,科目表!$M$4:$M$123,0)),"")&amp;""="","管理费用",INDEX(科目表!$U$4:$U$123,MATCH($G295,科目表!$M$4:$M$123,0))),IF(N($H295)&gt;0,IF(IFERROR(INDEX(自动规则!$C$4:$C$143,MATCH($F295,自动规则!$B$4:$B$143,0)),"")&amp;""="","其他应收款",INDEX(自动规则!$C$4:$C$143,MATCH($F295,自动规则!$B$4:$B$143,0))),IF(IFERROR(INDEX(自动规则!$D$4:$D$143,MATCH($F295,自动规则!$B$4:$B$143,0)),"")&amp;""="","其他应付款",INDEX(自动规则!$D$4:$D$143,MATCH($F295,自动规则!$B$4:$B$143,0)))))))</f>
        <v/>
      </c>
      <c r="L295" s="43"/>
      <c r="M295" s="105" t="str">
        <f aca="false">IF($C295="","",IF(IFERROR(INDEX(科目表!$T$4:$T$123,MATCH($C295,科目表!$K$4:$K$123,0)),"")&amp;""="","其他货币资金",INDEX(科目表!$T$4:$T$123,MATCH($C295,科目表!$K$4:$K$123,0))))</f>
        <v/>
      </c>
      <c r="N295" s="39" t="str">
        <f aca="false">IF(OR($C295="",ROUND(N($H295)+N($I295),2)=0),"",IF(N($H295)&gt;0,$M295,$K295))</f>
        <v/>
      </c>
      <c r="O295" s="41" t="str">
        <f aca="false">IF($N295="","",ROUND(N($H295)+N($I295),2))</f>
        <v/>
      </c>
      <c r="P295" s="41" t="str">
        <f aca="false">IF($N295="","",0)</f>
        <v/>
      </c>
      <c r="Q295" s="39" t="str">
        <f aca="false">IF($N295="","",IF(N($H295)&gt;0,$K295,$M295))</f>
        <v/>
      </c>
      <c r="R295" s="41" t="str">
        <f aca="false">IF($Q295="","",0)</f>
        <v/>
      </c>
      <c r="S295" s="41" t="str">
        <f aca="false">IF($Q295="","",ROUND(N($H295)+N($I295),2))</f>
        <v/>
      </c>
      <c r="T295" s="42"/>
      <c r="U295" s="44"/>
      <c r="V295" s="41" t="str">
        <f aca="false">IF($B295="","",TEXT($B295,"yyyy年m月"))</f>
        <v/>
      </c>
      <c r="W295" s="42"/>
      <c r="X295" s="42"/>
      <c r="Y295" s="9"/>
    </row>
    <row r="296" customFormat="false" ht="18" hidden="false" customHeight="true" outlineLevel="0" collapsed="false">
      <c r="A296" s="9" t="str">
        <f aca="false">IF($C296="","",ROW()-3)</f>
        <v/>
      </c>
      <c r="B296" s="76"/>
      <c r="C296" s="74"/>
      <c r="D296" s="43"/>
      <c r="E296" s="42"/>
      <c r="F296" s="74"/>
      <c r="G296" s="74"/>
      <c r="H296" s="44"/>
      <c r="I296" s="44"/>
      <c r="J296" s="103" t="str">
        <f aca="false">IF($C296="","",ROUND(IFERROR(INDEX(期初余额!$I$4:$I$43,MATCH($C296,期初余额!$H$4:$H$43,0)),0)+SUMIFS($H$4:$H296,$C$4:$C296,$C296)-SUMIFS($I$4:$I296,$C$4:$C296,$C296),2))</f>
        <v/>
      </c>
      <c r="K296" s="104" t="str">
        <f aca="false">IF($T296&lt;&gt;"",$T296,IF($C296="","",IF(AND(N($I296)&gt;0,$G296&lt;&gt;""),IF(IFERROR(INDEX(科目表!$U$4:$U$123,MATCH($G296,科目表!$M$4:$M$123,0)),"")&amp;""="","管理费用",INDEX(科目表!$U$4:$U$123,MATCH($G296,科目表!$M$4:$M$123,0))),IF(N($H296)&gt;0,IF(IFERROR(INDEX(自动规则!$C$4:$C$143,MATCH($F296,自动规则!$B$4:$B$143,0)),"")&amp;""="","其他应收款",INDEX(自动规则!$C$4:$C$143,MATCH($F296,自动规则!$B$4:$B$143,0))),IF(IFERROR(INDEX(自动规则!$D$4:$D$143,MATCH($F296,自动规则!$B$4:$B$143,0)),"")&amp;""="","其他应付款",INDEX(自动规则!$D$4:$D$143,MATCH($F296,自动规则!$B$4:$B$143,0)))))))</f>
        <v/>
      </c>
      <c r="L296" s="43"/>
      <c r="M296" s="105" t="str">
        <f aca="false">IF($C296="","",IF(IFERROR(INDEX(科目表!$T$4:$T$123,MATCH($C296,科目表!$K$4:$K$123,0)),"")&amp;""="","其他货币资金",INDEX(科目表!$T$4:$T$123,MATCH($C296,科目表!$K$4:$K$123,0))))</f>
        <v/>
      </c>
      <c r="N296" s="39" t="str">
        <f aca="false">IF(OR($C296="",ROUND(N($H296)+N($I296),2)=0),"",IF(N($H296)&gt;0,$M296,$K296))</f>
        <v/>
      </c>
      <c r="O296" s="41" t="str">
        <f aca="false">IF($N296="","",ROUND(N($H296)+N($I296),2))</f>
        <v/>
      </c>
      <c r="P296" s="41" t="str">
        <f aca="false">IF($N296="","",0)</f>
        <v/>
      </c>
      <c r="Q296" s="39" t="str">
        <f aca="false">IF($N296="","",IF(N($H296)&gt;0,$K296,$M296))</f>
        <v/>
      </c>
      <c r="R296" s="41" t="str">
        <f aca="false">IF($Q296="","",0)</f>
        <v/>
      </c>
      <c r="S296" s="41" t="str">
        <f aca="false">IF($Q296="","",ROUND(N($H296)+N($I296),2))</f>
        <v/>
      </c>
      <c r="T296" s="42"/>
      <c r="U296" s="44"/>
      <c r="V296" s="41" t="str">
        <f aca="false">IF($B296="","",TEXT($B296,"yyyy年m月"))</f>
        <v/>
      </c>
      <c r="W296" s="42"/>
      <c r="X296" s="42"/>
      <c r="Y296" s="9"/>
    </row>
    <row r="297" customFormat="false" ht="18" hidden="false" customHeight="true" outlineLevel="0" collapsed="false">
      <c r="A297" s="9" t="str">
        <f aca="false">IF($C297="","",ROW()-3)</f>
        <v/>
      </c>
      <c r="B297" s="76"/>
      <c r="C297" s="74"/>
      <c r="D297" s="43"/>
      <c r="E297" s="42"/>
      <c r="F297" s="74"/>
      <c r="G297" s="74"/>
      <c r="H297" s="44"/>
      <c r="I297" s="44"/>
      <c r="J297" s="103" t="str">
        <f aca="false">IF($C297="","",ROUND(IFERROR(INDEX(期初余额!$I$4:$I$43,MATCH($C297,期初余额!$H$4:$H$43,0)),0)+SUMIFS($H$4:$H297,$C$4:$C297,$C297)-SUMIFS($I$4:$I297,$C$4:$C297,$C297),2))</f>
        <v/>
      </c>
      <c r="K297" s="104" t="str">
        <f aca="false">IF($T297&lt;&gt;"",$T297,IF($C297="","",IF(AND(N($I297)&gt;0,$G297&lt;&gt;""),IF(IFERROR(INDEX(科目表!$U$4:$U$123,MATCH($G297,科目表!$M$4:$M$123,0)),"")&amp;""="","管理费用",INDEX(科目表!$U$4:$U$123,MATCH($G297,科目表!$M$4:$M$123,0))),IF(N($H297)&gt;0,IF(IFERROR(INDEX(自动规则!$C$4:$C$143,MATCH($F297,自动规则!$B$4:$B$143,0)),"")&amp;""="","其他应收款",INDEX(自动规则!$C$4:$C$143,MATCH($F297,自动规则!$B$4:$B$143,0))),IF(IFERROR(INDEX(自动规则!$D$4:$D$143,MATCH($F297,自动规则!$B$4:$B$143,0)),"")&amp;""="","其他应付款",INDEX(自动规则!$D$4:$D$143,MATCH($F297,自动规则!$B$4:$B$143,0)))))))</f>
        <v/>
      </c>
      <c r="L297" s="43"/>
      <c r="M297" s="105" t="str">
        <f aca="false">IF($C297="","",IF(IFERROR(INDEX(科目表!$T$4:$T$123,MATCH($C297,科目表!$K$4:$K$123,0)),"")&amp;""="","其他货币资金",INDEX(科目表!$T$4:$T$123,MATCH($C297,科目表!$K$4:$K$123,0))))</f>
        <v/>
      </c>
      <c r="N297" s="39" t="str">
        <f aca="false">IF(OR($C297="",ROUND(N($H297)+N($I297),2)=0),"",IF(N($H297)&gt;0,$M297,$K297))</f>
        <v/>
      </c>
      <c r="O297" s="41" t="str">
        <f aca="false">IF($N297="","",ROUND(N($H297)+N($I297),2))</f>
        <v/>
      </c>
      <c r="P297" s="41" t="str">
        <f aca="false">IF($N297="","",0)</f>
        <v/>
      </c>
      <c r="Q297" s="39" t="str">
        <f aca="false">IF($N297="","",IF(N($H297)&gt;0,$K297,$M297))</f>
        <v/>
      </c>
      <c r="R297" s="41" t="str">
        <f aca="false">IF($Q297="","",0)</f>
        <v/>
      </c>
      <c r="S297" s="41" t="str">
        <f aca="false">IF($Q297="","",ROUND(N($H297)+N($I297),2))</f>
        <v/>
      </c>
      <c r="T297" s="42"/>
      <c r="U297" s="44"/>
      <c r="V297" s="41" t="str">
        <f aca="false">IF($B297="","",TEXT($B297,"yyyy年m月"))</f>
        <v/>
      </c>
      <c r="W297" s="42"/>
      <c r="X297" s="42"/>
      <c r="Y297" s="9"/>
    </row>
    <row r="298" customFormat="false" ht="18" hidden="false" customHeight="true" outlineLevel="0" collapsed="false">
      <c r="A298" s="9" t="str">
        <f aca="false">IF($C298="","",ROW()-3)</f>
        <v/>
      </c>
      <c r="B298" s="76"/>
      <c r="C298" s="74"/>
      <c r="D298" s="43"/>
      <c r="E298" s="42"/>
      <c r="F298" s="74"/>
      <c r="G298" s="74"/>
      <c r="H298" s="44"/>
      <c r="I298" s="44"/>
      <c r="J298" s="103" t="str">
        <f aca="false">IF($C298="","",ROUND(IFERROR(INDEX(期初余额!$I$4:$I$43,MATCH($C298,期初余额!$H$4:$H$43,0)),0)+SUMIFS($H$4:$H298,$C$4:$C298,$C298)-SUMIFS($I$4:$I298,$C$4:$C298,$C298),2))</f>
        <v/>
      </c>
      <c r="K298" s="104" t="str">
        <f aca="false">IF($T298&lt;&gt;"",$T298,IF($C298="","",IF(AND(N($I298)&gt;0,$G298&lt;&gt;""),IF(IFERROR(INDEX(科目表!$U$4:$U$123,MATCH($G298,科目表!$M$4:$M$123,0)),"")&amp;""="","管理费用",INDEX(科目表!$U$4:$U$123,MATCH($G298,科目表!$M$4:$M$123,0))),IF(N($H298)&gt;0,IF(IFERROR(INDEX(自动规则!$C$4:$C$143,MATCH($F298,自动规则!$B$4:$B$143,0)),"")&amp;""="","其他应收款",INDEX(自动规则!$C$4:$C$143,MATCH($F298,自动规则!$B$4:$B$143,0))),IF(IFERROR(INDEX(自动规则!$D$4:$D$143,MATCH($F298,自动规则!$B$4:$B$143,0)),"")&amp;""="","其他应付款",INDEX(自动规则!$D$4:$D$143,MATCH($F298,自动规则!$B$4:$B$143,0)))))))</f>
        <v/>
      </c>
      <c r="L298" s="43"/>
      <c r="M298" s="105" t="str">
        <f aca="false">IF($C298="","",IF(IFERROR(INDEX(科目表!$T$4:$T$123,MATCH($C298,科目表!$K$4:$K$123,0)),"")&amp;""="","其他货币资金",INDEX(科目表!$T$4:$T$123,MATCH($C298,科目表!$K$4:$K$123,0))))</f>
        <v/>
      </c>
      <c r="N298" s="39" t="str">
        <f aca="false">IF(OR($C298="",ROUND(N($H298)+N($I298),2)=0),"",IF(N($H298)&gt;0,$M298,$K298))</f>
        <v/>
      </c>
      <c r="O298" s="41" t="str">
        <f aca="false">IF($N298="","",ROUND(N($H298)+N($I298),2))</f>
        <v/>
      </c>
      <c r="P298" s="41" t="str">
        <f aca="false">IF($N298="","",0)</f>
        <v/>
      </c>
      <c r="Q298" s="39" t="str">
        <f aca="false">IF($N298="","",IF(N($H298)&gt;0,$K298,$M298))</f>
        <v/>
      </c>
      <c r="R298" s="41" t="str">
        <f aca="false">IF($Q298="","",0)</f>
        <v/>
      </c>
      <c r="S298" s="41" t="str">
        <f aca="false">IF($Q298="","",ROUND(N($H298)+N($I298),2))</f>
        <v/>
      </c>
      <c r="T298" s="42"/>
      <c r="U298" s="44"/>
      <c r="V298" s="41" t="str">
        <f aca="false">IF($B298="","",TEXT($B298,"yyyy年m月"))</f>
        <v/>
      </c>
      <c r="W298" s="42"/>
      <c r="X298" s="42"/>
      <c r="Y298" s="9"/>
    </row>
    <row r="299" customFormat="false" ht="18" hidden="false" customHeight="true" outlineLevel="0" collapsed="false">
      <c r="A299" s="9" t="str">
        <f aca="false">IF($C299="","",ROW()-3)</f>
        <v/>
      </c>
      <c r="B299" s="76"/>
      <c r="C299" s="74"/>
      <c r="D299" s="43"/>
      <c r="E299" s="42"/>
      <c r="F299" s="74"/>
      <c r="G299" s="74"/>
      <c r="H299" s="44"/>
      <c r="I299" s="44"/>
      <c r="J299" s="103" t="str">
        <f aca="false">IF($C299="","",ROUND(IFERROR(INDEX(期初余额!$I$4:$I$43,MATCH($C299,期初余额!$H$4:$H$43,0)),0)+SUMIFS($H$4:$H299,$C$4:$C299,$C299)-SUMIFS($I$4:$I299,$C$4:$C299,$C299),2))</f>
        <v/>
      </c>
      <c r="K299" s="104" t="str">
        <f aca="false">IF($T299&lt;&gt;"",$T299,IF($C299="","",IF(AND(N($I299)&gt;0,$G299&lt;&gt;""),IF(IFERROR(INDEX(科目表!$U$4:$U$123,MATCH($G299,科目表!$M$4:$M$123,0)),"")&amp;""="","管理费用",INDEX(科目表!$U$4:$U$123,MATCH($G299,科目表!$M$4:$M$123,0))),IF(N($H299)&gt;0,IF(IFERROR(INDEX(自动规则!$C$4:$C$143,MATCH($F299,自动规则!$B$4:$B$143,0)),"")&amp;""="","其他应收款",INDEX(自动规则!$C$4:$C$143,MATCH($F299,自动规则!$B$4:$B$143,0))),IF(IFERROR(INDEX(自动规则!$D$4:$D$143,MATCH($F299,自动规则!$B$4:$B$143,0)),"")&amp;""="","其他应付款",INDEX(自动规则!$D$4:$D$143,MATCH($F299,自动规则!$B$4:$B$143,0)))))))</f>
        <v/>
      </c>
      <c r="L299" s="43"/>
      <c r="M299" s="105" t="str">
        <f aca="false">IF($C299="","",IF(IFERROR(INDEX(科目表!$T$4:$T$123,MATCH($C299,科目表!$K$4:$K$123,0)),"")&amp;""="","其他货币资金",INDEX(科目表!$T$4:$T$123,MATCH($C299,科目表!$K$4:$K$123,0))))</f>
        <v/>
      </c>
      <c r="N299" s="39" t="str">
        <f aca="false">IF(OR($C299="",ROUND(N($H299)+N($I299),2)=0),"",IF(N($H299)&gt;0,$M299,$K299))</f>
        <v/>
      </c>
      <c r="O299" s="41" t="str">
        <f aca="false">IF($N299="","",ROUND(N($H299)+N($I299),2))</f>
        <v/>
      </c>
      <c r="P299" s="41" t="str">
        <f aca="false">IF($N299="","",0)</f>
        <v/>
      </c>
      <c r="Q299" s="39" t="str">
        <f aca="false">IF($N299="","",IF(N($H299)&gt;0,$K299,$M299))</f>
        <v/>
      </c>
      <c r="R299" s="41" t="str">
        <f aca="false">IF($Q299="","",0)</f>
        <v/>
      </c>
      <c r="S299" s="41" t="str">
        <f aca="false">IF($Q299="","",ROUND(N($H299)+N($I299),2))</f>
        <v/>
      </c>
      <c r="T299" s="42"/>
      <c r="U299" s="44"/>
      <c r="V299" s="41" t="str">
        <f aca="false">IF($B299="","",TEXT($B299,"yyyy年m月"))</f>
        <v/>
      </c>
      <c r="W299" s="42"/>
      <c r="X299" s="42"/>
      <c r="Y299" s="9"/>
    </row>
    <row r="300" customFormat="false" ht="18" hidden="false" customHeight="true" outlineLevel="0" collapsed="false">
      <c r="A300" s="9" t="str">
        <f aca="false">IF($C300="","",ROW()-3)</f>
        <v/>
      </c>
      <c r="B300" s="76"/>
      <c r="C300" s="74"/>
      <c r="D300" s="43"/>
      <c r="E300" s="42"/>
      <c r="F300" s="74"/>
      <c r="G300" s="74"/>
      <c r="H300" s="44"/>
      <c r="I300" s="44"/>
      <c r="J300" s="103" t="str">
        <f aca="false">IF($C300="","",ROUND(IFERROR(INDEX(期初余额!$I$4:$I$43,MATCH($C300,期初余额!$H$4:$H$43,0)),0)+SUMIFS($H$4:$H300,$C$4:$C300,$C300)-SUMIFS($I$4:$I300,$C$4:$C300,$C300),2))</f>
        <v/>
      </c>
      <c r="K300" s="104" t="str">
        <f aca="false">IF($T300&lt;&gt;"",$T300,IF($C300="","",IF(AND(N($I300)&gt;0,$G300&lt;&gt;""),IF(IFERROR(INDEX(科目表!$U$4:$U$123,MATCH($G300,科目表!$M$4:$M$123,0)),"")&amp;""="","管理费用",INDEX(科目表!$U$4:$U$123,MATCH($G300,科目表!$M$4:$M$123,0))),IF(N($H300)&gt;0,IF(IFERROR(INDEX(自动规则!$C$4:$C$143,MATCH($F300,自动规则!$B$4:$B$143,0)),"")&amp;""="","其他应收款",INDEX(自动规则!$C$4:$C$143,MATCH($F300,自动规则!$B$4:$B$143,0))),IF(IFERROR(INDEX(自动规则!$D$4:$D$143,MATCH($F300,自动规则!$B$4:$B$143,0)),"")&amp;""="","其他应付款",INDEX(自动规则!$D$4:$D$143,MATCH($F300,自动规则!$B$4:$B$143,0)))))))</f>
        <v/>
      </c>
      <c r="L300" s="43"/>
      <c r="M300" s="105" t="str">
        <f aca="false">IF($C300="","",IF(IFERROR(INDEX(科目表!$T$4:$T$123,MATCH($C300,科目表!$K$4:$K$123,0)),"")&amp;""="","其他货币资金",INDEX(科目表!$T$4:$T$123,MATCH($C300,科目表!$K$4:$K$123,0))))</f>
        <v/>
      </c>
      <c r="N300" s="39" t="str">
        <f aca="false">IF(OR($C300="",ROUND(N($H300)+N($I300),2)=0),"",IF(N($H300)&gt;0,$M300,$K300))</f>
        <v/>
      </c>
      <c r="O300" s="41" t="str">
        <f aca="false">IF($N300="","",ROUND(N($H300)+N($I300),2))</f>
        <v/>
      </c>
      <c r="P300" s="41" t="str">
        <f aca="false">IF($N300="","",0)</f>
        <v/>
      </c>
      <c r="Q300" s="39" t="str">
        <f aca="false">IF($N300="","",IF(N($H300)&gt;0,$K300,$M300))</f>
        <v/>
      </c>
      <c r="R300" s="41" t="str">
        <f aca="false">IF($Q300="","",0)</f>
        <v/>
      </c>
      <c r="S300" s="41" t="str">
        <f aca="false">IF($Q300="","",ROUND(N($H300)+N($I300),2))</f>
        <v/>
      </c>
      <c r="T300" s="42"/>
      <c r="U300" s="44"/>
      <c r="V300" s="41" t="str">
        <f aca="false">IF($B300="","",TEXT($B300,"yyyy年m月"))</f>
        <v/>
      </c>
      <c r="W300" s="42"/>
      <c r="X300" s="42"/>
      <c r="Y300" s="9"/>
    </row>
    <row r="301" customFormat="false" ht="18" hidden="false" customHeight="true" outlineLevel="0" collapsed="false">
      <c r="A301" s="9" t="str">
        <f aca="false">IF($C301="","",ROW()-3)</f>
        <v/>
      </c>
      <c r="B301" s="76"/>
      <c r="C301" s="74"/>
      <c r="D301" s="43"/>
      <c r="E301" s="42"/>
      <c r="F301" s="74"/>
      <c r="G301" s="74"/>
      <c r="H301" s="44"/>
      <c r="I301" s="44"/>
      <c r="J301" s="103" t="str">
        <f aca="false">IF($C301="","",ROUND(IFERROR(INDEX(期初余额!$I$4:$I$43,MATCH($C301,期初余额!$H$4:$H$43,0)),0)+SUMIFS($H$4:$H301,$C$4:$C301,$C301)-SUMIFS($I$4:$I301,$C$4:$C301,$C301),2))</f>
        <v/>
      </c>
      <c r="K301" s="104" t="str">
        <f aca="false">IF($T301&lt;&gt;"",$T301,IF($C301="","",IF(AND(N($I301)&gt;0,$G301&lt;&gt;""),IF(IFERROR(INDEX(科目表!$U$4:$U$123,MATCH($G301,科目表!$M$4:$M$123,0)),"")&amp;""="","管理费用",INDEX(科目表!$U$4:$U$123,MATCH($G301,科目表!$M$4:$M$123,0))),IF(N($H301)&gt;0,IF(IFERROR(INDEX(自动规则!$C$4:$C$143,MATCH($F301,自动规则!$B$4:$B$143,0)),"")&amp;""="","其他应收款",INDEX(自动规则!$C$4:$C$143,MATCH($F301,自动规则!$B$4:$B$143,0))),IF(IFERROR(INDEX(自动规则!$D$4:$D$143,MATCH($F301,自动规则!$B$4:$B$143,0)),"")&amp;""="","其他应付款",INDEX(自动规则!$D$4:$D$143,MATCH($F301,自动规则!$B$4:$B$143,0)))))))</f>
        <v/>
      </c>
      <c r="L301" s="43"/>
      <c r="M301" s="105" t="str">
        <f aca="false">IF($C301="","",IF(IFERROR(INDEX(科目表!$T$4:$T$123,MATCH($C301,科目表!$K$4:$K$123,0)),"")&amp;""="","其他货币资金",INDEX(科目表!$T$4:$T$123,MATCH($C301,科目表!$K$4:$K$123,0))))</f>
        <v/>
      </c>
      <c r="N301" s="39" t="str">
        <f aca="false">IF(OR($C301="",ROUND(N($H301)+N($I301),2)=0),"",IF(N($H301)&gt;0,$M301,$K301))</f>
        <v/>
      </c>
      <c r="O301" s="41" t="str">
        <f aca="false">IF($N301="","",ROUND(N($H301)+N($I301),2))</f>
        <v/>
      </c>
      <c r="P301" s="41" t="str">
        <f aca="false">IF($N301="","",0)</f>
        <v/>
      </c>
      <c r="Q301" s="39" t="str">
        <f aca="false">IF($N301="","",IF(N($H301)&gt;0,$K301,$M301))</f>
        <v/>
      </c>
      <c r="R301" s="41" t="str">
        <f aca="false">IF($Q301="","",0)</f>
        <v/>
      </c>
      <c r="S301" s="41" t="str">
        <f aca="false">IF($Q301="","",ROUND(N($H301)+N($I301),2))</f>
        <v/>
      </c>
      <c r="T301" s="42"/>
      <c r="U301" s="44"/>
      <c r="V301" s="41" t="str">
        <f aca="false">IF($B301="","",TEXT($B301,"yyyy年m月"))</f>
        <v/>
      </c>
      <c r="W301" s="42"/>
      <c r="X301" s="42"/>
      <c r="Y301" s="9"/>
    </row>
    <row r="302" customFormat="false" ht="18" hidden="false" customHeight="true" outlineLevel="0" collapsed="false">
      <c r="A302" s="9" t="str">
        <f aca="false">IF($C302="","",ROW()-3)</f>
        <v/>
      </c>
      <c r="B302" s="76"/>
      <c r="C302" s="74"/>
      <c r="D302" s="43"/>
      <c r="E302" s="42"/>
      <c r="F302" s="74"/>
      <c r="G302" s="74"/>
      <c r="H302" s="44"/>
      <c r="I302" s="44"/>
      <c r="J302" s="103" t="str">
        <f aca="false">IF($C302="","",ROUND(IFERROR(INDEX(期初余额!$I$4:$I$43,MATCH($C302,期初余额!$H$4:$H$43,0)),0)+SUMIFS($H$4:$H302,$C$4:$C302,$C302)-SUMIFS($I$4:$I302,$C$4:$C302,$C302),2))</f>
        <v/>
      </c>
      <c r="K302" s="104" t="str">
        <f aca="false">IF($T302&lt;&gt;"",$T302,IF($C302="","",IF(AND(N($I302)&gt;0,$G302&lt;&gt;""),IF(IFERROR(INDEX(科目表!$U$4:$U$123,MATCH($G302,科目表!$M$4:$M$123,0)),"")&amp;""="","管理费用",INDEX(科目表!$U$4:$U$123,MATCH($G302,科目表!$M$4:$M$123,0))),IF(N($H302)&gt;0,IF(IFERROR(INDEX(自动规则!$C$4:$C$143,MATCH($F302,自动规则!$B$4:$B$143,0)),"")&amp;""="","其他应收款",INDEX(自动规则!$C$4:$C$143,MATCH($F302,自动规则!$B$4:$B$143,0))),IF(IFERROR(INDEX(自动规则!$D$4:$D$143,MATCH($F302,自动规则!$B$4:$B$143,0)),"")&amp;""="","其他应付款",INDEX(自动规则!$D$4:$D$143,MATCH($F302,自动规则!$B$4:$B$143,0)))))))</f>
        <v/>
      </c>
      <c r="L302" s="43"/>
      <c r="M302" s="105" t="str">
        <f aca="false">IF($C302="","",IF(IFERROR(INDEX(科目表!$T$4:$T$123,MATCH($C302,科目表!$K$4:$K$123,0)),"")&amp;""="","其他货币资金",INDEX(科目表!$T$4:$T$123,MATCH($C302,科目表!$K$4:$K$123,0))))</f>
        <v/>
      </c>
      <c r="N302" s="39" t="str">
        <f aca="false">IF(OR($C302="",ROUND(N($H302)+N($I302),2)=0),"",IF(N($H302)&gt;0,$M302,$K302))</f>
        <v/>
      </c>
      <c r="O302" s="41" t="str">
        <f aca="false">IF($N302="","",ROUND(N($H302)+N($I302),2))</f>
        <v/>
      </c>
      <c r="P302" s="41" t="str">
        <f aca="false">IF($N302="","",0)</f>
        <v/>
      </c>
      <c r="Q302" s="39" t="str">
        <f aca="false">IF($N302="","",IF(N($H302)&gt;0,$K302,$M302))</f>
        <v/>
      </c>
      <c r="R302" s="41" t="str">
        <f aca="false">IF($Q302="","",0)</f>
        <v/>
      </c>
      <c r="S302" s="41" t="str">
        <f aca="false">IF($Q302="","",ROUND(N($H302)+N($I302),2))</f>
        <v/>
      </c>
      <c r="T302" s="42"/>
      <c r="U302" s="44"/>
      <c r="V302" s="41" t="str">
        <f aca="false">IF($B302="","",TEXT($B302,"yyyy年m月"))</f>
        <v/>
      </c>
      <c r="W302" s="42"/>
      <c r="X302" s="42"/>
      <c r="Y302" s="9"/>
    </row>
    <row r="303" customFormat="false" ht="18" hidden="false" customHeight="true" outlineLevel="0" collapsed="false">
      <c r="A303" s="9" t="str">
        <f aca="false">IF($C303="","",ROW()-3)</f>
        <v/>
      </c>
      <c r="B303" s="76"/>
      <c r="C303" s="74"/>
      <c r="D303" s="43"/>
      <c r="E303" s="42"/>
      <c r="F303" s="74"/>
      <c r="G303" s="74"/>
      <c r="H303" s="44"/>
      <c r="I303" s="44"/>
      <c r="J303" s="103" t="str">
        <f aca="false">IF($C303="","",ROUND(IFERROR(INDEX(期初余额!$I$4:$I$43,MATCH($C303,期初余额!$H$4:$H$43,0)),0)+SUMIFS($H$4:$H303,$C$4:$C303,$C303)-SUMIFS($I$4:$I303,$C$4:$C303,$C303),2))</f>
        <v/>
      </c>
      <c r="K303" s="104" t="str">
        <f aca="false">IF($T303&lt;&gt;"",$T303,IF($C303="","",IF(AND(N($I303)&gt;0,$G303&lt;&gt;""),IF(IFERROR(INDEX(科目表!$U$4:$U$123,MATCH($G303,科目表!$M$4:$M$123,0)),"")&amp;""="","管理费用",INDEX(科目表!$U$4:$U$123,MATCH($G303,科目表!$M$4:$M$123,0))),IF(N($H303)&gt;0,IF(IFERROR(INDEX(自动规则!$C$4:$C$143,MATCH($F303,自动规则!$B$4:$B$143,0)),"")&amp;""="","其他应收款",INDEX(自动规则!$C$4:$C$143,MATCH($F303,自动规则!$B$4:$B$143,0))),IF(IFERROR(INDEX(自动规则!$D$4:$D$143,MATCH($F303,自动规则!$B$4:$B$143,0)),"")&amp;""="","其他应付款",INDEX(自动规则!$D$4:$D$143,MATCH($F303,自动规则!$B$4:$B$143,0)))))))</f>
        <v/>
      </c>
      <c r="L303" s="43"/>
      <c r="M303" s="105" t="str">
        <f aca="false">IF($C303="","",IF(IFERROR(INDEX(科目表!$T$4:$T$123,MATCH($C303,科目表!$K$4:$K$123,0)),"")&amp;""="","其他货币资金",INDEX(科目表!$T$4:$T$123,MATCH($C303,科目表!$K$4:$K$123,0))))</f>
        <v/>
      </c>
      <c r="N303" s="39" t="str">
        <f aca="false">IF(OR($C303="",ROUND(N($H303)+N($I303),2)=0),"",IF(N($H303)&gt;0,$M303,$K303))</f>
        <v/>
      </c>
      <c r="O303" s="41" t="str">
        <f aca="false">IF($N303="","",ROUND(N($H303)+N($I303),2))</f>
        <v/>
      </c>
      <c r="P303" s="41" t="str">
        <f aca="false">IF($N303="","",0)</f>
        <v/>
      </c>
      <c r="Q303" s="39" t="str">
        <f aca="false">IF($N303="","",IF(N($H303)&gt;0,$K303,$M303))</f>
        <v/>
      </c>
      <c r="R303" s="41" t="str">
        <f aca="false">IF($Q303="","",0)</f>
        <v/>
      </c>
      <c r="S303" s="41" t="str">
        <f aca="false">IF($Q303="","",ROUND(N($H303)+N($I303),2))</f>
        <v/>
      </c>
      <c r="T303" s="42"/>
      <c r="U303" s="44"/>
      <c r="V303" s="41" t="str">
        <f aca="false">IF($B303="","",TEXT($B303,"yyyy年m月"))</f>
        <v/>
      </c>
      <c r="W303" s="42"/>
      <c r="X303" s="42"/>
      <c r="Y303" s="9"/>
    </row>
    <row r="304" customFormat="false" ht="18" hidden="false" customHeight="true" outlineLevel="0" collapsed="false">
      <c r="A304" s="9" t="str">
        <f aca="false">IF($C304="","",ROW()-3)</f>
        <v/>
      </c>
      <c r="B304" s="76"/>
      <c r="C304" s="74"/>
      <c r="D304" s="43"/>
      <c r="E304" s="42"/>
      <c r="F304" s="74"/>
      <c r="G304" s="74"/>
      <c r="H304" s="44"/>
      <c r="I304" s="44"/>
      <c r="J304" s="103" t="str">
        <f aca="false">IF($C304="","",ROUND(IFERROR(INDEX(期初余额!$I$4:$I$43,MATCH($C304,期初余额!$H$4:$H$43,0)),0)+SUMIFS($H$4:$H304,$C$4:$C304,$C304)-SUMIFS($I$4:$I304,$C$4:$C304,$C304),2))</f>
        <v/>
      </c>
      <c r="K304" s="104" t="str">
        <f aca="false">IF($T304&lt;&gt;"",$T304,IF($C304="","",IF(AND(N($I304)&gt;0,$G304&lt;&gt;""),IF(IFERROR(INDEX(科目表!$U$4:$U$123,MATCH($G304,科目表!$M$4:$M$123,0)),"")&amp;""="","管理费用",INDEX(科目表!$U$4:$U$123,MATCH($G304,科目表!$M$4:$M$123,0))),IF(N($H304)&gt;0,IF(IFERROR(INDEX(自动规则!$C$4:$C$143,MATCH($F304,自动规则!$B$4:$B$143,0)),"")&amp;""="","其他应收款",INDEX(自动规则!$C$4:$C$143,MATCH($F304,自动规则!$B$4:$B$143,0))),IF(IFERROR(INDEX(自动规则!$D$4:$D$143,MATCH($F304,自动规则!$B$4:$B$143,0)),"")&amp;""="","其他应付款",INDEX(自动规则!$D$4:$D$143,MATCH($F304,自动规则!$B$4:$B$143,0)))))))</f>
        <v/>
      </c>
      <c r="L304" s="43"/>
      <c r="M304" s="105" t="str">
        <f aca="false">IF($C304="","",IF(IFERROR(INDEX(科目表!$T$4:$T$123,MATCH($C304,科目表!$K$4:$K$123,0)),"")&amp;""="","其他货币资金",INDEX(科目表!$T$4:$T$123,MATCH($C304,科目表!$K$4:$K$123,0))))</f>
        <v/>
      </c>
      <c r="N304" s="39" t="str">
        <f aca="false">IF(OR($C304="",ROUND(N($H304)+N($I304),2)=0),"",IF(N($H304)&gt;0,$M304,$K304))</f>
        <v/>
      </c>
      <c r="O304" s="41" t="str">
        <f aca="false">IF($N304="","",ROUND(N($H304)+N($I304),2))</f>
        <v/>
      </c>
      <c r="P304" s="41" t="str">
        <f aca="false">IF($N304="","",0)</f>
        <v/>
      </c>
      <c r="Q304" s="39" t="str">
        <f aca="false">IF($N304="","",IF(N($H304)&gt;0,$K304,$M304))</f>
        <v/>
      </c>
      <c r="R304" s="41" t="str">
        <f aca="false">IF($Q304="","",0)</f>
        <v/>
      </c>
      <c r="S304" s="41" t="str">
        <f aca="false">IF($Q304="","",ROUND(N($H304)+N($I304),2))</f>
        <v/>
      </c>
      <c r="T304" s="42"/>
      <c r="U304" s="44"/>
      <c r="V304" s="41" t="str">
        <f aca="false">IF($B304="","",TEXT($B304,"yyyy年m月"))</f>
        <v/>
      </c>
      <c r="W304" s="42"/>
      <c r="X304" s="42"/>
      <c r="Y304" s="9"/>
    </row>
    <row r="305" customFormat="false" ht="18" hidden="false" customHeight="true" outlineLevel="0" collapsed="false">
      <c r="A305" s="9" t="str">
        <f aca="false">IF($C305="","",ROW()-3)</f>
        <v/>
      </c>
      <c r="B305" s="76"/>
      <c r="C305" s="74"/>
      <c r="D305" s="43"/>
      <c r="E305" s="42"/>
      <c r="F305" s="74"/>
      <c r="G305" s="74"/>
      <c r="H305" s="44"/>
      <c r="I305" s="44"/>
      <c r="J305" s="103" t="str">
        <f aca="false">IF($C305="","",ROUND(IFERROR(INDEX(期初余额!$I$4:$I$43,MATCH($C305,期初余额!$H$4:$H$43,0)),0)+SUMIFS($H$4:$H305,$C$4:$C305,$C305)-SUMIFS($I$4:$I305,$C$4:$C305,$C305),2))</f>
        <v/>
      </c>
      <c r="K305" s="104" t="str">
        <f aca="false">IF($T305&lt;&gt;"",$T305,IF($C305="","",IF(AND(N($I305)&gt;0,$G305&lt;&gt;""),IF(IFERROR(INDEX(科目表!$U$4:$U$123,MATCH($G305,科目表!$M$4:$M$123,0)),"")&amp;""="","管理费用",INDEX(科目表!$U$4:$U$123,MATCH($G305,科目表!$M$4:$M$123,0))),IF(N($H305)&gt;0,IF(IFERROR(INDEX(自动规则!$C$4:$C$143,MATCH($F305,自动规则!$B$4:$B$143,0)),"")&amp;""="","其他应收款",INDEX(自动规则!$C$4:$C$143,MATCH($F305,自动规则!$B$4:$B$143,0))),IF(IFERROR(INDEX(自动规则!$D$4:$D$143,MATCH($F305,自动规则!$B$4:$B$143,0)),"")&amp;""="","其他应付款",INDEX(自动规则!$D$4:$D$143,MATCH($F305,自动规则!$B$4:$B$143,0)))))))</f>
        <v/>
      </c>
      <c r="L305" s="43"/>
      <c r="M305" s="105" t="str">
        <f aca="false">IF($C305="","",IF(IFERROR(INDEX(科目表!$T$4:$T$123,MATCH($C305,科目表!$K$4:$K$123,0)),"")&amp;""="","其他货币资金",INDEX(科目表!$T$4:$T$123,MATCH($C305,科目表!$K$4:$K$123,0))))</f>
        <v/>
      </c>
      <c r="N305" s="39" t="str">
        <f aca="false">IF(OR($C305="",ROUND(N($H305)+N($I305),2)=0),"",IF(N($H305)&gt;0,$M305,$K305))</f>
        <v/>
      </c>
      <c r="O305" s="41" t="str">
        <f aca="false">IF($N305="","",ROUND(N($H305)+N($I305),2))</f>
        <v/>
      </c>
      <c r="P305" s="41" t="str">
        <f aca="false">IF($N305="","",0)</f>
        <v/>
      </c>
      <c r="Q305" s="39" t="str">
        <f aca="false">IF($N305="","",IF(N($H305)&gt;0,$K305,$M305))</f>
        <v/>
      </c>
      <c r="R305" s="41" t="str">
        <f aca="false">IF($Q305="","",0)</f>
        <v/>
      </c>
      <c r="S305" s="41" t="str">
        <f aca="false">IF($Q305="","",ROUND(N($H305)+N($I305),2))</f>
        <v/>
      </c>
      <c r="T305" s="42"/>
      <c r="U305" s="44"/>
      <c r="V305" s="41" t="str">
        <f aca="false">IF($B305="","",TEXT($B305,"yyyy年m月"))</f>
        <v/>
      </c>
      <c r="W305" s="42"/>
      <c r="X305" s="42"/>
      <c r="Y305" s="9"/>
    </row>
    <row r="306" customFormat="false" ht="18" hidden="false" customHeight="true" outlineLevel="0" collapsed="false">
      <c r="A306" s="9" t="str">
        <f aca="false">IF($C306="","",ROW()-3)</f>
        <v/>
      </c>
      <c r="B306" s="76"/>
      <c r="C306" s="74"/>
      <c r="D306" s="43"/>
      <c r="E306" s="42"/>
      <c r="F306" s="74"/>
      <c r="G306" s="74"/>
      <c r="H306" s="44"/>
      <c r="I306" s="44"/>
      <c r="J306" s="103" t="str">
        <f aca="false">IF($C306="","",ROUND(IFERROR(INDEX(期初余额!$I$4:$I$43,MATCH($C306,期初余额!$H$4:$H$43,0)),0)+SUMIFS($H$4:$H306,$C$4:$C306,$C306)-SUMIFS($I$4:$I306,$C$4:$C306,$C306),2))</f>
        <v/>
      </c>
      <c r="K306" s="104" t="str">
        <f aca="false">IF($T306&lt;&gt;"",$T306,IF($C306="","",IF(AND(N($I306)&gt;0,$G306&lt;&gt;""),IF(IFERROR(INDEX(科目表!$U$4:$U$123,MATCH($G306,科目表!$M$4:$M$123,0)),"")&amp;""="","管理费用",INDEX(科目表!$U$4:$U$123,MATCH($G306,科目表!$M$4:$M$123,0))),IF(N($H306)&gt;0,IF(IFERROR(INDEX(自动规则!$C$4:$C$143,MATCH($F306,自动规则!$B$4:$B$143,0)),"")&amp;""="","其他应收款",INDEX(自动规则!$C$4:$C$143,MATCH($F306,自动规则!$B$4:$B$143,0))),IF(IFERROR(INDEX(自动规则!$D$4:$D$143,MATCH($F306,自动规则!$B$4:$B$143,0)),"")&amp;""="","其他应付款",INDEX(自动规则!$D$4:$D$143,MATCH($F306,自动规则!$B$4:$B$143,0)))))))</f>
        <v/>
      </c>
      <c r="L306" s="43"/>
      <c r="M306" s="105" t="str">
        <f aca="false">IF($C306="","",IF(IFERROR(INDEX(科目表!$T$4:$T$123,MATCH($C306,科目表!$K$4:$K$123,0)),"")&amp;""="","其他货币资金",INDEX(科目表!$T$4:$T$123,MATCH($C306,科目表!$K$4:$K$123,0))))</f>
        <v/>
      </c>
      <c r="N306" s="39" t="str">
        <f aca="false">IF(OR($C306="",ROUND(N($H306)+N($I306),2)=0),"",IF(N($H306)&gt;0,$M306,$K306))</f>
        <v/>
      </c>
      <c r="O306" s="41" t="str">
        <f aca="false">IF($N306="","",ROUND(N($H306)+N($I306),2))</f>
        <v/>
      </c>
      <c r="P306" s="41" t="str">
        <f aca="false">IF($N306="","",0)</f>
        <v/>
      </c>
      <c r="Q306" s="39" t="str">
        <f aca="false">IF($N306="","",IF(N($H306)&gt;0,$K306,$M306))</f>
        <v/>
      </c>
      <c r="R306" s="41" t="str">
        <f aca="false">IF($Q306="","",0)</f>
        <v/>
      </c>
      <c r="S306" s="41" t="str">
        <f aca="false">IF($Q306="","",ROUND(N($H306)+N($I306),2))</f>
        <v/>
      </c>
      <c r="T306" s="42"/>
      <c r="U306" s="44"/>
      <c r="V306" s="41" t="str">
        <f aca="false">IF($B306="","",TEXT($B306,"yyyy年m月"))</f>
        <v/>
      </c>
      <c r="W306" s="42"/>
      <c r="X306" s="42"/>
      <c r="Y306" s="9"/>
    </row>
    <row r="307" customFormat="false" ht="18" hidden="false" customHeight="true" outlineLevel="0" collapsed="false">
      <c r="A307" s="9" t="str">
        <f aca="false">IF($C307="","",ROW()-3)</f>
        <v/>
      </c>
      <c r="B307" s="76"/>
      <c r="C307" s="74"/>
      <c r="D307" s="43"/>
      <c r="E307" s="42"/>
      <c r="F307" s="74"/>
      <c r="G307" s="74"/>
      <c r="H307" s="44"/>
      <c r="I307" s="44"/>
      <c r="J307" s="103" t="str">
        <f aca="false">IF($C307="","",ROUND(IFERROR(INDEX(期初余额!$I$4:$I$43,MATCH($C307,期初余额!$H$4:$H$43,0)),0)+SUMIFS($H$4:$H307,$C$4:$C307,$C307)-SUMIFS($I$4:$I307,$C$4:$C307,$C307),2))</f>
        <v/>
      </c>
      <c r="K307" s="104" t="str">
        <f aca="false">IF($T307&lt;&gt;"",$T307,IF($C307="","",IF(AND(N($I307)&gt;0,$G307&lt;&gt;""),IF(IFERROR(INDEX(科目表!$U$4:$U$123,MATCH($G307,科目表!$M$4:$M$123,0)),"")&amp;""="","管理费用",INDEX(科目表!$U$4:$U$123,MATCH($G307,科目表!$M$4:$M$123,0))),IF(N($H307)&gt;0,IF(IFERROR(INDEX(自动规则!$C$4:$C$143,MATCH($F307,自动规则!$B$4:$B$143,0)),"")&amp;""="","其他应收款",INDEX(自动规则!$C$4:$C$143,MATCH($F307,自动规则!$B$4:$B$143,0))),IF(IFERROR(INDEX(自动规则!$D$4:$D$143,MATCH($F307,自动规则!$B$4:$B$143,0)),"")&amp;""="","其他应付款",INDEX(自动规则!$D$4:$D$143,MATCH($F307,自动规则!$B$4:$B$143,0)))))))</f>
        <v/>
      </c>
      <c r="L307" s="43"/>
      <c r="M307" s="105" t="str">
        <f aca="false">IF($C307="","",IF(IFERROR(INDEX(科目表!$T$4:$T$123,MATCH($C307,科目表!$K$4:$K$123,0)),"")&amp;""="","其他货币资金",INDEX(科目表!$T$4:$T$123,MATCH($C307,科目表!$K$4:$K$123,0))))</f>
        <v/>
      </c>
      <c r="N307" s="39" t="str">
        <f aca="false">IF(OR($C307="",ROUND(N($H307)+N($I307),2)=0),"",IF(N($H307)&gt;0,$M307,$K307))</f>
        <v/>
      </c>
      <c r="O307" s="41" t="str">
        <f aca="false">IF($N307="","",ROUND(N($H307)+N($I307),2))</f>
        <v/>
      </c>
      <c r="P307" s="41" t="str">
        <f aca="false">IF($N307="","",0)</f>
        <v/>
      </c>
      <c r="Q307" s="39" t="str">
        <f aca="false">IF($N307="","",IF(N($H307)&gt;0,$K307,$M307))</f>
        <v/>
      </c>
      <c r="R307" s="41" t="str">
        <f aca="false">IF($Q307="","",0)</f>
        <v/>
      </c>
      <c r="S307" s="41" t="str">
        <f aca="false">IF($Q307="","",ROUND(N($H307)+N($I307),2))</f>
        <v/>
      </c>
      <c r="T307" s="42"/>
      <c r="U307" s="44"/>
      <c r="V307" s="41" t="str">
        <f aca="false">IF($B307="","",TEXT($B307,"yyyy年m月"))</f>
        <v/>
      </c>
      <c r="W307" s="42"/>
      <c r="X307" s="42"/>
      <c r="Y307" s="9"/>
    </row>
    <row r="308" customFormat="false" ht="18" hidden="false" customHeight="true" outlineLevel="0" collapsed="false">
      <c r="A308" s="9" t="str">
        <f aca="false">IF($C308="","",ROW()-3)</f>
        <v/>
      </c>
      <c r="B308" s="76"/>
      <c r="C308" s="74"/>
      <c r="D308" s="43"/>
      <c r="E308" s="42"/>
      <c r="F308" s="74"/>
      <c r="G308" s="74"/>
      <c r="H308" s="44"/>
      <c r="I308" s="44"/>
      <c r="J308" s="103" t="str">
        <f aca="false">IF($C308="","",ROUND(IFERROR(INDEX(期初余额!$I$4:$I$43,MATCH($C308,期初余额!$H$4:$H$43,0)),0)+SUMIFS($H$4:$H308,$C$4:$C308,$C308)-SUMIFS($I$4:$I308,$C$4:$C308,$C308),2))</f>
        <v/>
      </c>
      <c r="K308" s="104" t="str">
        <f aca="false">IF($T308&lt;&gt;"",$T308,IF($C308="","",IF(AND(N($I308)&gt;0,$G308&lt;&gt;""),IF(IFERROR(INDEX(科目表!$U$4:$U$123,MATCH($G308,科目表!$M$4:$M$123,0)),"")&amp;""="","管理费用",INDEX(科目表!$U$4:$U$123,MATCH($G308,科目表!$M$4:$M$123,0))),IF(N($H308)&gt;0,IF(IFERROR(INDEX(自动规则!$C$4:$C$143,MATCH($F308,自动规则!$B$4:$B$143,0)),"")&amp;""="","其他应收款",INDEX(自动规则!$C$4:$C$143,MATCH($F308,自动规则!$B$4:$B$143,0))),IF(IFERROR(INDEX(自动规则!$D$4:$D$143,MATCH($F308,自动规则!$B$4:$B$143,0)),"")&amp;""="","其他应付款",INDEX(自动规则!$D$4:$D$143,MATCH($F308,自动规则!$B$4:$B$143,0)))))))</f>
        <v/>
      </c>
      <c r="L308" s="43"/>
      <c r="M308" s="105" t="str">
        <f aca="false">IF($C308="","",IF(IFERROR(INDEX(科目表!$T$4:$T$123,MATCH($C308,科目表!$K$4:$K$123,0)),"")&amp;""="","其他货币资金",INDEX(科目表!$T$4:$T$123,MATCH($C308,科目表!$K$4:$K$123,0))))</f>
        <v/>
      </c>
      <c r="N308" s="39" t="str">
        <f aca="false">IF(OR($C308="",ROUND(N($H308)+N($I308),2)=0),"",IF(N($H308)&gt;0,$M308,$K308))</f>
        <v/>
      </c>
      <c r="O308" s="41" t="str">
        <f aca="false">IF($N308="","",ROUND(N($H308)+N($I308),2))</f>
        <v/>
      </c>
      <c r="P308" s="41" t="str">
        <f aca="false">IF($N308="","",0)</f>
        <v/>
      </c>
      <c r="Q308" s="39" t="str">
        <f aca="false">IF($N308="","",IF(N($H308)&gt;0,$K308,$M308))</f>
        <v/>
      </c>
      <c r="R308" s="41" t="str">
        <f aca="false">IF($Q308="","",0)</f>
        <v/>
      </c>
      <c r="S308" s="41" t="str">
        <f aca="false">IF($Q308="","",ROUND(N($H308)+N($I308),2))</f>
        <v/>
      </c>
      <c r="T308" s="42"/>
      <c r="U308" s="44"/>
      <c r="V308" s="41" t="str">
        <f aca="false">IF($B308="","",TEXT($B308,"yyyy年m月"))</f>
        <v/>
      </c>
      <c r="W308" s="42"/>
      <c r="X308" s="42"/>
      <c r="Y308" s="9"/>
    </row>
    <row r="309" customFormat="false" ht="18" hidden="false" customHeight="true" outlineLevel="0" collapsed="false">
      <c r="A309" s="9" t="str">
        <f aca="false">IF($C309="","",ROW()-3)</f>
        <v/>
      </c>
      <c r="B309" s="76"/>
      <c r="C309" s="74"/>
      <c r="D309" s="43"/>
      <c r="E309" s="42"/>
      <c r="F309" s="74"/>
      <c r="G309" s="74"/>
      <c r="H309" s="44"/>
      <c r="I309" s="44"/>
      <c r="J309" s="103" t="str">
        <f aca="false">IF($C309="","",ROUND(IFERROR(INDEX(期初余额!$I$4:$I$43,MATCH($C309,期初余额!$H$4:$H$43,0)),0)+SUMIFS($H$4:$H309,$C$4:$C309,$C309)-SUMIFS($I$4:$I309,$C$4:$C309,$C309),2))</f>
        <v/>
      </c>
      <c r="K309" s="104" t="str">
        <f aca="false">IF($T309&lt;&gt;"",$T309,IF($C309="","",IF(AND(N($I309)&gt;0,$G309&lt;&gt;""),IF(IFERROR(INDEX(科目表!$U$4:$U$123,MATCH($G309,科目表!$M$4:$M$123,0)),"")&amp;""="","管理费用",INDEX(科目表!$U$4:$U$123,MATCH($G309,科目表!$M$4:$M$123,0))),IF(N($H309)&gt;0,IF(IFERROR(INDEX(自动规则!$C$4:$C$143,MATCH($F309,自动规则!$B$4:$B$143,0)),"")&amp;""="","其他应收款",INDEX(自动规则!$C$4:$C$143,MATCH($F309,自动规则!$B$4:$B$143,0))),IF(IFERROR(INDEX(自动规则!$D$4:$D$143,MATCH($F309,自动规则!$B$4:$B$143,0)),"")&amp;""="","其他应付款",INDEX(自动规则!$D$4:$D$143,MATCH($F309,自动规则!$B$4:$B$143,0)))))))</f>
        <v/>
      </c>
      <c r="L309" s="43"/>
      <c r="M309" s="105" t="str">
        <f aca="false">IF($C309="","",IF(IFERROR(INDEX(科目表!$T$4:$T$123,MATCH($C309,科目表!$K$4:$K$123,0)),"")&amp;""="","其他货币资金",INDEX(科目表!$T$4:$T$123,MATCH($C309,科目表!$K$4:$K$123,0))))</f>
        <v/>
      </c>
      <c r="N309" s="39" t="str">
        <f aca="false">IF(OR($C309="",ROUND(N($H309)+N($I309),2)=0),"",IF(N($H309)&gt;0,$M309,$K309))</f>
        <v/>
      </c>
      <c r="O309" s="41" t="str">
        <f aca="false">IF($N309="","",ROUND(N($H309)+N($I309),2))</f>
        <v/>
      </c>
      <c r="P309" s="41" t="str">
        <f aca="false">IF($N309="","",0)</f>
        <v/>
      </c>
      <c r="Q309" s="39" t="str">
        <f aca="false">IF($N309="","",IF(N($H309)&gt;0,$K309,$M309))</f>
        <v/>
      </c>
      <c r="R309" s="41" t="str">
        <f aca="false">IF($Q309="","",0)</f>
        <v/>
      </c>
      <c r="S309" s="41" t="str">
        <f aca="false">IF($Q309="","",ROUND(N($H309)+N($I309),2))</f>
        <v/>
      </c>
      <c r="T309" s="42"/>
      <c r="U309" s="44"/>
      <c r="V309" s="41" t="str">
        <f aca="false">IF($B309="","",TEXT($B309,"yyyy年m月"))</f>
        <v/>
      </c>
      <c r="W309" s="42"/>
      <c r="X309" s="42"/>
      <c r="Y309" s="9"/>
    </row>
    <row r="310" customFormat="false" ht="18" hidden="false" customHeight="true" outlineLevel="0" collapsed="false">
      <c r="A310" s="9" t="str">
        <f aca="false">IF($C310="","",ROW()-3)</f>
        <v/>
      </c>
      <c r="B310" s="76"/>
      <c r="C310" s="74"/>
      <c r="D310" s="43"/>
      <c r="E310" s="42"/>
      <c r="F310" s="74"/>
      <c r="G310" s="74"/>
      <c r="H310" s="44"/>
      <c r="I310" s="44"/>
      <c r="J310" s="103" t="str">
        <f aca="false">IF($C310="","",ROUND(IFERROR(INDEX(期初余额!$I$4:$I$43,MATCH($C310,期初余额!$H$4:$H$43,0)),0)+SUMIFS($H$4:$H310,$C$4:$C310,$C310)-SUMIFS($I$4:$I310,$C$4:$C310,$C310),2))</f>
        <v/>
      </c>
      <c r="K310" s="104" t="str">
        <f aca="false">IF($T310&lt;&gt;"",$T310,IF($C310="","",IF(AND(N($I310)&gt;0,$G310&lt;&gt;""),IF(IFERROR(INDEX(科目表!$U$4:$U$123,MATCH($G310,科目表!$M$4:$M$123,0)),"")&amp;""="","管理费用",INDEX(科目表!$U$4:$U$123,MATCH($G310,科目表!$M$4:$M$123,0))),IF(N($H310)&gt;0,IF(IFERROR(INDEX(自动规则!$C$4:$C$143,MATCH($F310,自动规则!$B$4:$B$143,0)),"")&amp;""="","其他应收款",INDEX(自动规则!$C$4:$C$143,MATCH($F310,自动规则!$B$4:$B$143,0))),IF(IFERROR(INDEX(自动规则!$D$4:$D$143,MATCH($F310,自动规则!$B$4:$B$143,0)),"")&amp;""="","其他应付款",INDEX(自动规则!$D$4:$D$143,MATCH($F310,自动规则!$B$4:$B$143,0)))))))</f>
        <v/>
      </c>
      <c r="L310" s="43"/>
      <c r="M310" s="105" t="str">
        <f aca="false">IF($C310="","",IF(IFERROR(INDEX(科目表!$T$4:$T$123,MATCH($C310,科目表!$K$4:$K$123,0)),"")&amp;""="","其他货币资金",INDEX(科目表!$T$4:$T$123,MATCH($C310,科目表!$K$4:$K$123,0))))</f>
        <v/>
      </c>
      <c r="N310" s="39" t="str">
        <f aca="false">IF(OR($C310="",ROUND(N($H310)+N($I310),2)=0),"",IF(N($H310)&gt;0,$M310,$K310))</f>
        <v/>
      </c>
      <c r="O310" s="41" t="str">
        <f aca="false">IF($N310="","",ROUND(N($H310)+N($I310),2))</f>
        <v/>
      </c>
      <c r="P310" s="41" t="str">
        <f aca="false">IF($N310="","",0)</f>
        <v/>
      </c>
      <c r="Q310" s="39" t="str">
        <f aca="false">IF($N310="","",IF(N($H310)&gt;0,$K310,$M310))</f>
        <v/>
      </c>
      <c r="R310" s="41" t="str">
        <f aca="false">IF($Q310="","",0)</f>
        <v/>
      </c>
      <c r="S310" s="41" t="str">
        <f aca="false">IF($Q310="","",ROUND(N($H310)+N($I310),2))</f>
        <v/>
      </c>
      <c r="T310" s="42"/>
      <c r="U310" s="44"/>
      <c r="V310" s="41" t="str">
        <f aca="false">IF($B310="","",TEXT($B310,"yyyy年m月"))</f>
        <v/>
      </c>
      <c r="W310" s="42"/>
      <c r="X310" s="42"/>
      <c r="Y310" s="9"/>
    </row>
    <row r="311" customFormat="false" ht="18" hidden="false" customHeight="true" outlineLevel="0" collapsed="false">
      <c r="A311" s="9" t="str">
        <f aca="false">IF($C311="","",ROW()-3)</f>
        <v/>
      </c>
      <c r="B311" s="76"/>
      <c r="C311" s="74"/>
      <c r="D311" s="43"/>
      <c r="E311" s="42"/>
      <c r="F311" s="74"/>
      <c r="G311" s="74"/>
      <c r="H311" s="44"/>
      <c r="I311" s="44"/>
      <c r="J311" s="103" t="str">
        <f aca="false">IF($C311="","",ROUND(IFERROR(INDEX(期初余额!$I$4:$I$43,MATCH($C311,期初余额!$H$4:$H$43,0)),0)+SUMIFS($H$4:$H311,$C$4:$C311,$C311)-SUMIFS($I$4:$I311,$C$4:$C311,$C311),2))</f>
        <v/>
      </c>
      <c r="K311" s="104" t="str">
        <f aca="false">IF($T311&lt;&gt;"",$T311,IF($C311="","",IF(AND(N($I311)&gt;0,$G311&lt;&gt;""),IF(IFERROR(INDEX(科目表!$U$4:$U$123,MATCH($G311,科目表!$M$4:$M$123,0)),"")&amp;""="","管理费用",INDEX(科目表!$U$4:$U$123,MATCH($G311,科目表!$M$4:$M$123,0))),IF(N($H311)&gt;0,IF(IFERROR(INDEX(自动规则!$C$4:$C$143,MATCH($F311,自动规则!$B$4:$B$143,0)),"")&amp;""="","其他应收款",INDEX(自动规则!$C$4:$C$143,MATCH($F311,自动规则!$B$4:$B$143,0))),IF(IFERROR(INDEX(自动规则!$D$4:$D$143,MATCH($F311,自动规则!$B$4:$B$143,0)),"")&amp;""="","其他应付款",INDEX(自动规则!$D$4:$D$143,MATCH($F311,自动规则!$B$4:$B$143,0)))))))</f>
        <v/>
      </c>
      <c r="L311" s="43"/>
      <c r="M311" s="105" t="str">
        <f aca="false">IF($C311="","",IF(IFERROR(INDEX(科目表!$T$4:$T$123,MATCH($C311,科目表!$K$4:$K$123,0)),"")&amp;""="","其他货币资金",INDEX(科目表!$T$4:$T$123,MATCH($C311,科目表!$K$4:$K$123,0))))</f>
        <v/>
      </c>
      <c r="N311" s="39" t="str">
        <f aca="false">IF(OR($C311="",ROUND(N($H311)+N($I311),2)=0),"",IF(N($H311)&gt;0,$M311,$K311))</f>
        <v/>
      </c>
      <c r="O311" s="41" t="str">
        <f aca="false">IF($N311="","",ROUND(N($H311)+N($I311),2))</f>
        <v/>
      </c>
      <c r="P311" s="41" t="str">
        <f aca="false">IF($N311="","",0)</f>
        <v/>
      </c>
      <c r="Q311" s="39" t="str">
        <f aca="false">IF($N311="","",IF(N($H311)&gt;0,$K311,$M311))</f>
        <v/>
      </c>
      <c r="R311" s="41" t="str">
        <f aca="false">IF($Q311="","",0)</f>
        <v/>
      </c>
      <c r="S311" s="41" t="str">
        <f aca="false">IF($Q311="","",ROUND(N($H311)+N($I311),2))</f>
        <v/>
      </c>
      <c r="T311" s="42"/>
      <c r="U311" s="44"/>
      <c r="V311" s="41" t="str">
        <f aca="false">IF($B311="","",TEXT($B311,"yyyy年m月"))</f>
        <v/>
      </c>
      <c r="W311" s="42"/>
      <c r="X311" s="42"/>
      <c r="Y311" s="9"/>
    </row>
    <row r="312" customFormat="false" ht="18" hidden="false" customHeight="true" outlineLevel="0" collapsed="false">
      <c r="A312" s="9" t="str">
        <f aca="false">IF($C312="","",ROW()-3)</f>
        <v/>
      </c>
      <c r="B312" s="76"/>
      <c r="C312" s="74"/>
      <c r="D312" s="43"/>
      <c r="E312" s="42"/>
      <c r="F312" s="74"/>
      <c r="G312" s="74"/>
      <c r="H312" s="44"/>
      <c r="I312" s="44"/>
      <c r="J312" s="103" t="str">
        <f aca="false">IF($C312="","",ROUND(IFERROR(INDEX(期初余额!$I$4:$I$43,MATCH($C312,期初余额!$H$4:$H$43,0)),0)+SUMIFS($H$4:$H312,$C$4:$C312,$C312)-SUMIFS($I$4:$I312,$C$4:$C312,$C312),2))</f>
        <v/>
      </c>
      <c r="K312" s="104" t="str">
        <f aca="false">IF($T312&lt;&gt;"",$T312,IF($C312="","",IF(AND(N($I312)&gt;0,$G312&lt;&gt;""),IF(IFERROR(INDEX(科目表!$U$4:$U$123,MATCH($G312,科目表!$M$4:$M$123,0)),"")&amp;""="","管理费用",INDEX(科目表!$U$4:$U$123,MATCH($G312,科目表!$M$4:$M$123,0))),IF(N($H312)&gt;0,IF(IFERROR(INDEX(自动规则!$C$4:$C$143,MATCH($F312,自动规则!$B$4:$B$143,0)),"")&amp;""="","其他应收款",INDEX(自动规则!$C$4:$C$143,MATCH($F312,自动规则!$B$4:$B$143,0))),IF(IFERROR(INDEX(自动规则!$D$4:$D$143,MATCH($F312,自动规则!$B$4:$B$143,0)),"")&amp;""="","其他应付款",INDEX(自动规则!$D$4:$D$143,MATCH($F312,自动规则!$B$4:$B$143,0)))))))</f>
        <v/>
      </c>
      <c r="L312" s="43"/>
      <c r="M312" s="105" t="str">
        <f aca="false">IF($C312="","",IF(IFERROR(INDEX(科目表!$T$4:$T$123,MATCH($C312,科目表!$K$4:$K$123,0)),"")&amp;""="","其他货币资金",INDEX(科目表!$T$4:$T$123,MATCH($C312,科目表!$K$4:$K$123,0))))</f>
        <v/>
      </c>
      <c r="N312" s="39" t="str">
        <f aca="false">IF(OR($C312="",ROUND(N($H312)+N($I312),2)=0),"",IF(N($H312)&gt;0,$M312,$K312))</f>
        <v/>
      </c>
      <c r="O312" s="41" t="str">
        <f aca="false">IF($N312="","",ROUND(N($H312)+N($I312),2))</f>
        <v/>
      </c>
      <c r="P312" s="41" t="str">
        <f aca="false">IF($N312="","",0)</f>
        <v/>
      </c>
      <c r="Q312" s="39" t="str">
        <f aca="false">IF($N312="","",IF(N($H312)&gt;0,$K312,$M312))</f>
        <v/>
      </c>
      <c r="R312" s="41" t="str">
        <f aca="false">IF($Q312="","",0)</f>
        <v/>
      </c>
      <c r="S312" s="41" t="str">
        <f aca="false">IF($Q312="","",ROUND(N($H312)+N($I312),2))</f>
        <v/>
      </c>
      <c r="T312" s="42"/>
      <c r="U312" s="44"/>
      <c r="V312" s="41" t="str">
        <f aca="false">IF($B312="","",TEXT($B312,"yyyy年m月"))</f>
        <v/>
      </c>
      <c r="W312" s="42"/>
      <c r="X312" s="42"/>
      <c r="Y312" s="9"/>
    </row>
    <row r="313" customFormat="false" ht="18" hidden="false" customHeight="true" outlineLevel="0" collapsed="false">
      <c r="A313" s="9" t="str">
        <f aca="false">IF($C313="","",ROW()-3)</f>
        <v/>
      </c>
      <c r="B313" s="76"/>
      <c r="C313" s="74"/>
      <c r="D313" s="43"/>
      <c r="E313" s="42"/>
      <c r="F313" s="74"/>
      <c r="G313" s="74"/>
      <c r="H313" s="44"/>
      <c r="I313" s="44"/>
      <c r="J313" s="103" t="str">
        <f aca="false">IF($C313="","",ROUND(IFERROR(INDEX(期初余额!$I$4:$I$43,MATCH($C313,期初余额!$H$4:$H$43,0)),0)+SUMIFS($H$4:$H313,$C$4:$C313,$C313)-SUMIFS($I$4:$I313,$C$4:$C313,$C313),2))</f>
        <v/>
      </c>
      <c r="K313" s="104" t="str">
        <f aca="false">IF($T313&lt;&gt;"",$T313,IF($C313="","",IF(AND(N($I313)&gt;0,$G313&lt;&gt;""),IF(IFERROR(INDEX(科目表!$U$4:$U$123,MATCH($G313,科目表!$M$4:$M$123,0)),"")&amp;""="","管理费用",INDEX(科目表!$U$4:$U$123,MATCH($G313,科目表!$M$4:$M$123,0))),IF(N($H313)&gt;0,IF(IFERROR(INDEX(自动规则!$C$4:$C$143,MATCH($F313,自动规则!$B$4:$B$143,0)),"")&amp;""="","其他应收款",INDEX(自动规则!$C$4:$C$143,MATCH($F313,自动规则!$B$4:$B$143,0))),IF(IFERROR(INDEX(自动规则!$D$4:$D$143,MATCH($F313,自动规则!$B$4:$B$143,0)),"")&amp;""="","其他应付款",INDEX(自动规则!$D$4:$D$143,MATCH($F313,自动规则!$B$4:$B$143,0)))))))</f>
        <v/>
      </c>
      <c r="L313" s="43"/>
      <c r="M313" s="105" t="str">
        <f aca="false">IF($C313="","",IF(IFERROR(INDEX(科目表!$T$4:$T$123,MATCH($C313,科目表!$K$4:$K$123,0)),"")&amp;""="","其他货币资金",INDEX(科目表!$T$4:$T$123,MATCH($C313,科目表!$K$4:$K$123,0))))</f>
        <v/>
      </c>
      <c r="N313" s="39" t="str">
        <f aca="false">IF(OR($C313="",ROUND(N($H313)+N($I313),2)=0),"",IF(N($H313)&gt;0,$M313,$K313))</f>
        <v/>
      </c>
      <c r="O313" s="41" t="str">
        <f aca="false">IF($N313="","",ROUND(N($H313)+N($I313),2))</f>
        <v/>
      </c>
      <c r="P313" s="41" t="str">
        <f aca="false">IF($N313="","",0)</f>
        <v/>
      </c>
      <c r="Q313" s="39" t="str">
        <f aca="false">IF($N313="","",IF(N($H313)&gt;0,$K313,$M313))</f>
        <v/>
      </c>
      <c r="R313" s="41" t="str">
        <f aca="false">IF($Q313="","",0)</f>
        <v/>
      </c>
      <c r="S313" s="41" t="str">
        <f aca="false">IF($Q313="","",ROUND(N($H313)+N($I313),2))</f>
        <v/>
      </c>
      <c r="T313" s="42"/>
      <c r="U313" s="44"/>
      <c r="V313" s="41" t="str">
        <f aca="false">IF($B313="","",TEXT($B313,"yyyy年m月"))</f>
        <v/>
      </c>
      <c r="W313" s="42"/>
      <c r="X313" s="42"/>
      <c r="Y313" s="9"/>
    </row>
    <row r="314" customFormat="false" ht="18" hidden="false" customHeight="true" outlineLevel="0" collapsed="false">
      <c r="A314" s="9" t="str">
        <f aca="false">IF($C314="","",ROW()-3)</f>
        <v/>
      </c>
      <c r="B314" s="76"/>
      <c r="C314" s="74"/>
      <c r="D314" s="43"/>
      <c r="E314" s="42"/>
      <c r="F314" s="74"/>
      <c r="G314" s="74"/>
      <c r="H314" s="44"/>
      <c r="I314" s="44"/>
      <c r="J314" s="103" t="str">
        <f aca="false">IF($C314="","",ROUND(IFERROR(INDEX(期初余额!$I$4:$I$43,MATCH($C314,期初余额!$H$4:$H$43,0)),0)+SUMIFS($H$4:$H314,$C$4:$C314,$C314)-SUMIFS($I$4:$I314,$C$4:$C314,$C314),2))</f>
        <v/>
      </c>
      <c r="K314" s="104" t="str">
        <f aca="false">IF($T314&lt;&gt;"",$T314,IF($C314="","",IF(AND(N($I314)&gt;0,$G314&lt;&gt;""),IF(IFERROR(INDEX(科目表!$U$4:$U$123,MATCH($G314,科目表!$M$4:$M$123,0)),"")&amp;""="","管理费用",INDEX(科目表!$U$4:$U$123,MATCH($G314,科目表!$M$4:$M$123,0))),IF(N($H314)&gt;0,IF(IFERROR(INDEX(自动规则!$C$4:$C$143,MATCH($F314,自动规则!$B$4:$B$143,0)),"")&amp;""="","其他应收款",INDEX(自动规则!$C$4:$C$143,MATCH($F314,自动规则!$B$4:$B$143,0))),IF(IFERROR(INDEX(自动规则!$D$4:$D$143,MATCH($F314,自动规则!$B$4:$B$143,0)),"")&amp;""="","其他应付款",INDEX(自动规则!$D$4:$D$143,MATCH($F314,自动规则!$B$4:$B$143,0)))))))</f>
        <v/>
      </c>
      <c r="L314" s="43"/>
      <c r="M314" s="105" t="str">
        <f aca="false">IF($C314="","",IF(IFERROR(INDEX(科目表!$T$4:$T$123,MATCH($C314,科目表!$K$4:$K$123,0)),"")&amp;""="","其他货币资金",INDEX(科目表!$T$4:$T$123,MATCH($C314,科目表!$K$4:$K$123,0))))</f>
        <v/>
      </c>
      <c r="N314" s="39" t="str">
        <f aca="false">IF(OR($C314="",ROUND(N($H314)+N($I314),2)=0),"",IF(N($H314)&gt;0,$M314,$K314))</f>
        <v/>
      </c>
      <c r="O314" s="41" t="str">
        <f aca="false">IF($N314="","",ROUND(N($H314)+N($I314),2))</f>
        <v/>
      </c>
      <c r="P314" s="41" t="str">
        <f aca="false">IF($N314="","",0)</f>
        <v/>
      </c>
      <c r="Q314" s="39" t="str">
        <f aca="false">IF($N314="","",IF(N($H314)&gt;0,$K314,$M314))</f>
        <v/>
      </c>
      <c r="R314" s="41" t="str">
        <f aca="false">IF($Q314="","",0)</f>
        <v/>
      </c>
      <c r="S314" s="41" t="str">
        <f aca="false">IF($Q314="","",ROUND(N($H314)+N($I314),2))</f>
        <v/>
      </c>
      <c r="T314" s="42"/>
      <c r="U314" s="44"/>
      <c r="V314" s="41" t="str">
        <f aca="false">IF($B314="","",TEXT($B314,"yyyy年m月"))</f>
        <v/>
      </c>
      <c r="W314" s="42"/>
      <c r="X314" s="42"/>
      <c r="Y314" s="9"/>
    </row>
    <row r="315" customFormat="false" ht="18" hidden="false" customHeight="true" outlineLevel="0" collapsed="false">
      <c r="A315" s="9" t="str">
        <f aca="false">IF($C315="","",ROW()-3)</f>
        <v/>
      </c>
      <c r="B315" s="76"/>
      <c r="C315" s="74"/>
      <c r="D315" s="43"/>
      <c r="E315" s="42"/>
      <c r="F315" s="74"/>
      <c r="G315" s="74"/>
      <c r="H315" s="44"/>
      <c r="I315" s="44"/>
      <c r="J315" s="103" t="str">
        <f aca="false">IF($C315="","",ROUND(IFERROR(INDEX(期初余额!$I$4:$I$43,MATCH($C315,期初余额!$H$4:$H$43,0)),0)+SUMIFS($H$4:$H315,$C$4:$C315,$C315)-SUMIFS($I$4:$I315,$C$4:$C315,$C315),2))</f>
        <v/>
      </c>
      <c r="K315" s="104" t="str">
        <f aca="false">IF($T315&lt;&gt;"",$T315,IF($C315="","",IF(AND(N($I315)&gt;0,$G315&lt;&gt;""),IF(IFERROR(INDEX(科目表!$U$4:$U$123,MATCH($G315,科目表!$M$4:$M$123,0)),"")&amp;""="","管理费用",INDEX(科目表!$U$4:$U$123,MATCH($G315,科目表!$M$4:$M$123,0))),IF(N($H315)&gt;0,IF(IFERROR(INDEX(自动规则!$C$4:$C$143,MATCH($F315,自动规则!$B$4:$B$143,0)),"")&amp;""="","其他应收款",INDEX(自动规则!$C$4:$C$143,MATCH($F315,自动规则!$B$4:$B$143,0))),IF(IFERROR(INDEX(自动规则!$D$4:$D$143,MATCH($F315,自动规则!$B$4:$B$143,0)),"")&amp;""="","其他应付款",INDEX(自动规则!$D$4:$D$143,MATCH($F315,自动规则!$B$4:$B$143,0)))))))</f>
        <v/>
      </c>
      <c r="L315" s="43"/>
      <c r="M315" s="105" t="str">
        <f aca="false">IF($C315="","",IF(IFERROR(INDEX(科目表!$T$4:$T$123,MATCH($C315,科目表!$K$4:$K$123,0)),"")&amp;""="","其他货币资金",INDEX(科目表!$T$4:$T$123,MATCH($C315,科目表!$K$4:$K$123,0))))</f>
        <v/>
      </c>
      <c r="N315" s="39" t="str">
        <f aca="false">IF(OR($C315="",ROUND(N($H315)+N($I315),2)=0),"",IF(N($H315)&gt;0,$M315,$K315))</f>
        <v/>
      </c>
      <c r="O315" s="41" t="str">
        <f aca="false">IF($N315="","",ROUND(N($H315)+N($I315),2))</f>
        <v/>
      </c>
      <c r="P315" s="41" t="str">
        <f aca="false">IF($N315="","",0)</f>
        <v/>
      </c>
      <c r="Q315" s="39" t="str">
        <f aca="false">IF($N315="","",IF(N($H315)&gt;0,$K315,$M315))</f>
        <v/>
      </c>
      <c r="R315" s="41" t="str">
        <f aca="false">IF($Q315="","",0)</f>
        <v/>
      </c>
      <c r="S315" s="41" t="str">
        <f aca="false">IF($Q315="","",ROUND(N($H315)+N($I315),2))</f>
        <v/>
      </c>
      <c r="T315" s="42"/>
      <c r="U315" s="44"/>
      <c r="V315" s="41" t="str">
        <f aca="false">IF($B315="","",TEXT($B315,"yyyy年m月"))</f>
        <v/>
      </c>
      <c r="W315" s="42"/>
      <c r="X315" s="42"/>
      <c r="Y315" s="9"/>
    </row>
    <row r="316" customFormat="false" ht="18" hidden="false" customHeight="true" outlineLevel="0" collapsed="false">
      <c r="A316" s="9" t="str">
        <f aca="false">IF($C316="","",ROW()-3)</f>
        <v/>
      </c>
      <c r="B316" s="76"/>
      <c r="C316" s="74"/>
      <c r="D316" s="43"/>
      <c r="E316" s="42"/>
      <c r="F316" s="74"/>
      <c r="G316" s="74"/>
      <c r="H316" s="44"/>
      <c r="I316" s="44"/>
      <c r="J316" s="103" t="str">
        <f aca="false">IF($C316="","",ROUND(IFERROR(INDEX(期初余额!$I$4:$I$43,MATCH($C316,期初余额!$H$4:$H$43,0)),0)+SUMIFS($H$4:$H316,$C$4:$C316,$C316)-SUMIFS($I$4:$I316,$C$4:$C316,$C316),2))</f>
        <v/>
      </c>
      <c r="K316" s="104" t="str">
        <f aca="false">IF($T316&lt;&gt;"",$T316,IF($C316="","",IF(AND(N($I316)&gt;0,$G316&lt;&gt;""),IF(IFERROR(INDEX(科目表!$U$4:$U$123,MATCH($G316,科目表!$M$4:$M$123,0)),"")&amp;""="","管理费用",INDEX(科目表!$U$4:$U$123,MATCH($G316,科目表!$M$4:$M$123,0))),IF(N($H316)&gt;0,IF(IFERROR(INDEX(自动规则!$C$4:$C$143,MATCH($F316,自动规则!$B$4:$B$143,0)),"")&amp;""="","其他应收款",INDEX(自动规则!$C$4:$C$143,MATCH($F316,自动规则!$B$4:$B$143,0))),IF(IFERROR(INDEX(自动规则!$D$4:$D$143,MATCH($F316,自动规则!$B$4:$B$143,0)),"")&amp;""="","其他应付款",INDEX(自动规则!$D$4:$D$143,MATCH($F316,自动规则!$B$4:$B$143,0)))))))</f>
        <v/>
      </c>
      <c r="L316" s="43"/>
      <c r="M316" s="105" t="str">
        <f aca="false">IF($C316="","",IF(IFERROR(INDEX(科目表!$T$4:$T$123,MATCH($C316,科目表!$K$4:$K$123,0)),"")&amp;""="","其他货币资金",INDEX(科目表!$T$4:$T$123,MATCH($C316,科目表!$K$4:$K$123,0))))</f>
        <v/>
      </c>
      <c r="N316" s="39" t="str">
        <f aca="false">IF(OR($C316="",ROUND(N($H316)+N($I316),2)=0),"",IF(N($H316)&gt;0,$M316,$K316))</f>
        <v/>
      </c>
      <c r="O316" s="41" t="str">
        <f aca="false">IF($N316="","",ROUND(N($H316)+N($I316),2))</f>
        <v/>
      </c>
      <c r="P316" s="41" t="str">
        <f aca="false">IF($N316="","",0)</f>
        <v/>
      </c>
      <c r="Q316" s="39" t="str">
        <f aca="false">IF($N316="","",IF(N($H316)&gt;0,$K316,$M316))</f>
        <v/>
      </c>
      <c r="R316" s="41" t="str">
        <f aca="false">IF($Q316="","",0)</f>
        <v/>
      </c>
      <c r="S316" s="41" t="str">
        <f aca="false">IF($Q316="","",ROUND(N($H316)+N($I316),2))</f>
        <v/>
      </c>
      <c r="T316" s="42"/>
      <c r="U316" s="44"/>
      <c r="V316" s="41" t="str">
        <f aca="false">IF($B316="","",TEXT($B316,"yyyy年m月"))</f>
        <v/>
      </c>
      <c r="W316" s="42"/>
      <c r="X316" s="42"/>
      <c r="Y316" s="9"/>
    </row>
    <row r="317" customFormat="false" ht="18" hidden="false" customHeight="true" outlineLevel="0" collapsed="false">
      <c r="A317" s="9" t="str">
        <f aca="false">IF($C317="","",ROW()-3)</f>
        <v/>
      </c>
      <c r="B317" s="76"/>
      <c r="C317" s="74"/>
      <c r="D317" s="43"/>
      <c r="E317" s="42"/>
      <c r="F317" s="74"/>
      <c r="G317" s="74"/>
      <c r="H317" s="44"/>
      <c r="I317" s="44"/>
      <c r="J317" s="103" t="str">
        <f aca="false">IF($C317="","",ROUND(IFERROR(INDEX(期初余额!$I$4:$I$43,MATCH($C317,期初余额!$H$4:$H$43,0)),0)+SUMIFS($H$4:$H317,$C$4:$C317,$C317)-SUMIFS($I$4:$I317,$C$4:$C317,$C317),2))</f>
        <v/>
      </c>
      <c r="K317" s="104" t="str">
        <f aca="false">IF($T317&lt;&gt;"",$T317,IF($C317="","",IF(AND(N($I317)&gt;0,$G317&lt;&gt;""),IF(IFERROR(INDEX(科目表!$U$4:$U$123,MATCH($G317,科目表!$M$4:$M$123,0)),"")&amp;""="","管理费用",INDEX(科目表!$U$4:$U$123,MATCH($G317,科目表!$M$4:$M$123,0))),IF(N($H317)&gt;0,IF(IFERROR(INDEX(自动规则!$C$4:$C$143,MATCH($F317,自动规则!$B$4:$B$143,0)),"")&amp;""="","其他应收款",INDEX(自动规则!$C$4:$C$143,MATCH($F317,自动规则!$B$4:$B$143,0))),IF(IFERROR(INDEX(自动规则!$D$4:$D$143,MATCH($F317,自动规则!$B$4:$B$143,0)),"")&amp;""="","其他应付款",INDEX(自动规则!$D$4:$D$143,MATCH($F317,自动规则!$B$4:$B$143,0)))))))</f>
        <v/>
      </c>
      <c r="L317" s="43"/>
      <c r="M317" s="105" t="str">
        <f aca="false">IF($C317="","",IF(IFERROR(INDEX(科目表!$T$4:$T$123,MATCH($C317,科目表!$K$4:$K$123,0)),"")&amp;""="","其他货币资金",INDEX(科目表!$T$4:$T$123,MATCH($C317,科目表!$K$4:$K$123,0))))</f>
        <v/>
      </c>
      <c r="N317" s="39" t="str">
        <f aca="false">IF(OR($C317="",ROUND(N($H317)+N($I317),2)=0),"",IF(N($H317)&gt;0,$M317,$K317))</f>
        <v/>
      </c>
      <c r="O317" s="41" t="str">
        <f aca="false">IF($N317="","",ROUND(N($H317)+N($I317),2))</f>
        <v/>
      </c>
      <c r="P317" s="41" t="str">
        <f aca="false">IF($N317="","",0)</f>
        <v/>
      </c>
      <c r="Q317" s="39" t="str">
        <f aca="false">IF($N317="","",IF(N($H317)&gt;0,$K317,$M317))</f>
        <v/>
      </c>
      <c r="R317" s="41" t="str">
        <f aca="false">IF($Q317="","",0)</f>
        <v/>
      </c>
      <c r="S317" s="41" t="str">
        <f aca="false">IF($Q317="","",ROUND(N($H317)+N($I317),2))</f>
        <v/>
      </c>
      <c r="T317" s="42"/>
      <c r="U317" s="44"/>
      <c r="V317" s="41" t="str">
        <f aca="false">IF($B317="","",TEXT($B317,"yyyy年m月"))</f>
        <v/>
      </c>
      <c r="W317" s="42"/>
      <c r="X317" s="42"/>
      <c r="Y317" s="9"/>
    </row>
    <row r="318" customFormat="false" ht="18" hidden="false" customHeight="true" outlineLevel="0" collapsed="false">
      <c r="A318" s="9" t="str">
        <f aca="false">IF($C318="","",ROW()-3)</f>
        <v/>
      </c>
      <c r="B318" s="76"/>
      <c r="C318" s="74"/>
      <c r="D318" s="43"/>
      <c r="E318" s="42"/>
      <c r="F318" s="74"/>
      <c r="G318" s="74"/>
      <c r="H318" s="44"/>
      <c r="I318" s="44"/>
      <c r="J318" s="103" t="str">
        <f aca="false">IF($C318="","",ROUND(IFERROR(INDEX(期初余额!$I$4:$I$43,MATCH($C318,期初余额!$H$4:$H$43,0)),0)+SUMIFS($H$4:$H318,$C$4:$C318,$C318)-SUMIFS($I$4:$I318,$C$4:$C318,$C318),2))</f>
        <v/>
      </c>
      <c r="K318" s="104" t="str">
        <f aca="false">IF($T318&lt;&gt;"",$T318,IF($C318="","",IF(AND(N($I318)&gt;0,$G318&lt;&gt;""),IF(IFERROR(INDEX(科目表!$U$4:$U$123,MATCH($G318,科目表!$M$4:$M$123,0)),"")&amp;""="","管理费用",INDEX(科目表!$U$4:$U$123,MATCH($G318,科目表!$M$4:$M$123,0))),IF(N($H318)&gt;0,IF(IFERROR(INDEX(自动规则!$C$4:$C$143,MATCH($F318,自动规则!$B$4:$B$143,0)),"")&amp;""="","其他应收款",INDEX(自动规则!$C$4:$C$143,MATCH($F318,自动规则!$B$4:$B$143,0))),IF(IFERROR(INDEX(自动规则!$D$4:$D$143,MATCH($F318,自动规则!$B$4:$B$143,0)),"")&amp;""="","其他应付款",INDEX(自动规则!$D$4:$D$143,MATCH($F318,自动规则!$B$4:$B$143,0)))))))</f>
        <v/>
      </c>
      <c r="L318" s="43"/>
      <c r="M318" s="105" t="str">
        <f aca="false">IF($C318="","",IF(IFERROR(INDEX(科目表!$T$4:$T$123,MATCH($C318,科目表!$K$4:$K$123,0)),"")&amp;""="","其他货币资金",INDEX(科目表!$T$4:$T$123,MATCH($C318,科目表!$K$4:$K$123,0))))</f>
        <v/>
      </c>
      <c r="N318" s="39" t="str">
        <f aca="false">IF(OR($C318="",ROUND(N($H318)+N($I318),2)=0),"",IF(N($H318)&gt;0,$M318,$K318))</f>
        <v/>
      </c>
      <c r="O318" s="41" t="str">
        <f aca="false">IF($N318="","",ROUND(N($H318)+N($I318),2))</f>
        <v/>
      </c>
      <c r="P318" s="41" t="str">
        <f aca="false">IF($N318="","",0)</f>
        <v/>
      </c>
      <c r="Q318" s="39" t="str">
        <f aca="false">IF($N318="","",IF(N($H318)&gt;0,$K318,$M318))</f>
        <v/>
      </c>
      <c r="R318" s="41" t="str">
        <f aca="false">IF($Q318="","",0)</f>
        <v/>
      </c>
      <c r="S318" s="41" t="str">
        <f aca="false">IF($Q318="","",ROUND(N($H318)+N($I318),2))</f>
        <v/>
      </c>
      <c r="T318" s="42"/>
      <c r="U318" s="44"/>
      <c r="V318" s="41" t="str">
        <f aca="false">IF($B318="","",TEXT($B318,"yyyy年m月"))</f>
        <v/>
      </c>
      <c r="W318" s="42"/>
      <c r="X318" s="42"/>
      <c r="Y318" s="9"/>
    </row>
    <row r="319" customFormat="false" ht="18" hidden="false" customHeight="true" outlineLevel="0" collapsed="false">
      <c r="A319" s="9" t="str">
        <f aca="false">IF($C319="","",ROW()-3)</f>
        <v/>
      </c>
      <c r="B319" s="76"/>
      <c r="C319" s="74"/>
      <c r="D319" s="43"/>
      <c r="E319" s="42"/>
      <c r="F319" s="74"/>
      <c r="G319" s="74"/>
      <c r="H319" s="44"/>
      <c r="I319" s="44"/>
      <c r="J319" s="103" t="str">
        <f aca="false">IF($C319="","",ROUND(IFERROR(INDEX(期初余额!$I$4:$I$43,MATCH($C319,期初余额!$H$4:$H$43,0)),0)+SUMIFS($H$4:$H319,$C$4:$C319,$C319)-SUMIFS($I$4:$I319,$C$4:$C319,$C319),2))</f>
        <v/>
      </c>
      <c r="K319" s="104" t="str">
        <f aca="false">IF($T319&lt;&gt;"",$T319,IF($C319="","",IF(AND(N($I319)&gt;0,$G319&lt;&gt;""),IF(IFERROR(INDEX(科目表!$U$4:$U$123,MATCH($G319,科目表!$M$4:$M$123,0)),"")&amp;""="","管理费用",INDEX(科目表!$U$4:$U$123,MATCH($G319,科目表!$M$4:$M$123,0))),IF(N($H319)&gt;0,IF(IFERROR(INDEX(自动规则!$C$4:$C$143,MATCH($F319,自动规则!$B$4:$B$143,0)),"")&amp;""="","其他应收款",INDEX(自动规则!$C$4:$C$143,MATCH($F319,自动规则!$B$4:$B$143,0))),IF(IFERROR(INDEX(自动规则!$D$4:$D$143,MATCH($F319,自动规则!$B$4:$B$143,0)),"")&amp;""="","其他应付款",INDEX(自动规则!$D$4:$D$143,MATCH($F319,自动规则!$B$4:$B$143,0)))))))</f>
        <v/>
      </c>
      <c r="L319" s="43"/>
      <c r="M319" s="105" t="str">
        <f aca="false">IF($C319="","",IF(IFERROR(INDEX(科目表!$T$4:$T$123,MATCH($C319,科目表!$K$4:$K$123,0)),"")&amp;""="","其他货币资金",INDEX(科目表!$T$4:$T$123,MATCH($C319,科目表!$K$4:$K$123,0))))</f>
        <v/>
      </c>
      <c r="N319" s="39" t="str">
        <f aca="false">IF(OR($C319="",ROUND(N($H319)+N($I319),2)=0),"",IF(N($H319)&gt;0,$M319,$K319))</f>
        <v/>
      </c>
      <c r="O319" s="41" t="str">
        <f aca="false">IF($N319="","",ROUND(N($H319)+N($I319),2))</f>
        <v/>
      </c>
      <c r="P319" s="41" t="str">
        <f aca="false">IF($N319="","",0)</f>
        <v/>
      </c>
      <c r="Q319" s="39" t="str">
        <f aca="false">IF($N319="","",IF(N($H319)&gt;0,$K319,$M319))</f>
        <v/>
      </c>
      <c r="R319" s="41" t="str">
        <f aca="false">IF($Q319="","",0)</f>
        <v/>
      </c>
      <c r="S319" s="41" t="str">
        <f aca="false">IF($Q319="","",ROUND(N($H319)+N($I319),2))</f>
        <v/>
      </c>
      <c r="T319" s="42"/>
      <c r="U319" s="44"/>
      <c r="V319" s="41" t="str">
        <f aca="false">IF($B319="","",TEXT($B319,"yyyy年m月"))</f>
        <v/>
      </c>
      <c r="W319" s="42"/>
      <c r="X319" s="42"/>
      <c r="Y319" s="9"/>
    </row>
    <row r="320" customFormat="false" ht="18" hidden="false" customHeight="true" outlineLevel="0" collapsed="false">
      <c r="A320" s="9" t="str">
        <f aca="false">IF($C320="","",ROW()-3)</f>
        <v/>
      </c>
      <c r="B320" s="76"/>
      <c r="C320" s="74"/>
      <c r="D320" s="43"/>
      <c r="E320" s="42"/>
      <c r="F320" s="74"/>
      <c r="G320" s="74"/>
      <c r="H320" s="44"/>
      <c r="I320" s="44"/>
      <c r="J320" s="103" t="str">
        <f aca="false">IF($C320="","",ROUND(IFERROR(INDEX(期初余额!$I$4:$I$43,MATCH($C320,期初余额!$H$4:$H$43,0)),0)+SUMIFS($H$4:$H320,$C$4:$C320,$C320)-SUMIFS($I$4:$I320,$C$4:$C320,$C320),2))</f>
        <v/>
      </c>
      <c r="K320" s="104" t="str">
        <f aca="false">IF($T320&lt;&gt;"",$T320,IF($C320="","",IF(AND(N($I320)&gt;0,$G320&lt;&gt;""),IF(IFERROR(INDEX(科目表!$U$4:$U$123,MATCH($G320,科目表!$M$4:$M$123,0)),"")&amp;""="","管理费用",INDEX(科目表!$U$4:$U$123,MATCH($G320,科目表!$M$4:$M$123,0))),IF(N($H320)&gt;0,IF(IFERROR(INDEX(自动规则!$C$4:$C$143,MATCH($F320,自动规则!$B$4:$B$143,0)),"")&amp;""="","其他应收款",INDEX(自动规则!$C$4:$C$143,MATCH($F320,自动规则!$B$4:$B$143,0))),IF(IFERROR(INDEX(自动规则!$D$4:$D$143,MATCH($F320,自动规则!$B$4:$B$143,0)),"")&amp;""="","其他应付款",INDEX(自动规则!$D$4:$D$143,MATCH($F320,自动规则!$B$4:$B$143,0)))))))</f>
        <v/>
      </c>
      <c r="L320" s="43"/>
      <c r="M320" s="105" t="str">
        <f aca="false">IF($C320="","",IF(IFERROR(INDEX(科目表!$T$4:$T$123,MATCH($C320,科目表!$K$4:$K$123,0)),"")&amp;""="","其他货币资金",INDEX(科目表!$T$4:$T$123,MATCH($C320,科目表!$K$4:$K$123,0))))</f>
        <v/>
      </c>
      <c r="N320" s="39" t="str">
        <f aca="false">IF(OR($C320="",ROUND(N($H320)+N($I320),2)=0),"",IF(N($H320)&gt;0,$M320,$K320))</f>
        <v/>
      </c>
      <c r="O320" s="41" t="str">
        <f aca="false">IF($N320="","",ROUND(N($H320)+N($I320),2))</f>
        <v/>
      </c>
      <c r="P320" s="41" t="str">
        <f aca="false">IF($N320="","",0)</f>
        <v/>
      </c>
      <c r="Q320" s="39" t="str">
        <f aca="false">IF($N320="","",IF(N($H320)&gt;0,$K320,$M320))</f>
        <v/>
      </c>
      <c r="R320" s="41" t="str">
        <f aca="false">IF($Q320="","",0)</f>
        <v/>
      </c>
      <c r="S320" s="41" t="str">
        <f aca="false">IF($Q320="","",ROUND(N($H320)+N($I320),2))</f>
        <v/>
      </c>
      <c r="T320" s="42"/>
      <c r="U320" s="44"/>
      <c r="V320" s="41" t="str">
        <f aca="false">IF($B320="","",TEXT($B320,"yyyy年m月"))</f>
        <v/>
      </c>
      <c r="W320" s="42"/>
      <c r="X320" s="42"/>
      <c r="Y320" s="9"/>
    </row>
    <row r="321" customFormat="false" ht="18" hidden="false" customHeight="true" outlineLevel="0" collapsed="false">
      <c r="A321" s="9" t="str">
        <f aca="false">IF($C321="","",ROW()-3)</f>
        <v/>
      </c>
      <c r="B321" s="76"/>
      <c r="C321" s="74"/>
      <c r="D321" s="43"/>
      <c r="E321" s="42"/>
      <c r="F321" s="74"/>
      <c r="G321" s="74"/>
      <c r="H321" s="44"/>
      <c r="I321" s="44"/>
      <c r="J321" s="103" t="str">
        <f aca="false">IF($C321="","",ROUND(IFERROR(INDEX(期初余额!$I$4:$I$43,MATCH($C321,期初余额!$H$4:$H$43,0)),0)+SUMIFS($H$4:$H321,$C$4:$C321,$C321)-SUMIFS($I$4:$I321,$C$4:$C321,$C321),2))</f>
        <v/>
      </c>
      <c r="K321" s="104" t="str">
        <f aca="false">IF($T321&lt;&gt;"",$T321,IF($C321="","",IF(AND(N($I321)&gt;0,$G321&lt;&gt;""),IF(IFERROR(INDEX(科目表!$U$4:$U$123,MATCH($G321,科目表!$M$4:$M$123,0)),"")&amp;""="","管理费用",INDEX(科目表!$U$4:$U$123,MATCH($G321,科目表!$M$4:$M$123,0))),IF(N($H321)&gt;0,IF(IFERROR(INDEX(自动规则!$C$4:$C$143,MATCH($F321,自动规则!$B$4:$B$143,0)),"")&amp;""="","其他应收款",INDEX(自动规则!$C$4:$C$143,MATCH($F321,自动规则!$B$4:$B$143,0))),IF(IFERROR(INDEX(自动规则!$D$4:$D$143,MATCH($F321,自动规则!$B$4:$B$143,0)),"")&amp;""="","其他应付款",INDEX(自动规则!$D$4:$D$143,MATCH($F321,自动规则!$B$4:$B$143,0)))))))</f>
        <v/>
      </c>
      <c r="L321" s="43"/>
      <c r="M321" s="105" t="str">
        <f aca="false">IF($C321="","",IF(IFERROR(INDEX(科目表!$T$4:$T$123,MATCH($C321,科目表!$K$4:$K$123,0)),"")&amp;""="","其他货币资金",INDEX(科目表!$T$4:$T$123,MATCH($C321,科目表!$K$4:$K$123,0))))</f>
        <v/>
      </c>
      <c r="N321" s="39" t="str">
        <f aca="false">IF(OR($C321="",ROUND(N($H321)+N($I321),2)=0),"",IF(N($H321)&gt;0,$M321,$K321))</f>
        <v/>
      </c>
      <c r="O321" s="41" t="str">
        <f aca="false">IF($N321="","",ROUND(N($H321)+N($I321),2))</f>
        <v/>
      </c>
      <c r="P321" s="41" t="str">
        <f aca="false">IF($N321="","",0)</f>
        <v/>
      </c>
      <c r="Q321" s="39" t="str">
        <f aca="false">IF($N321="","",IF(N($H321)&gt;0,$K321,$M321))</f>
        <v/>
      </c>
      <c r="R321" s="41" t="str">
        <f aca="false">IF($Q321="","",0)</f>
        <v/>
      </c>
      <c r="S321" s="41" t="str">
        <f aca="false">IF($Q321="","",ROUND(N($H321)+N($I321),2))</f>
        <v/>
      </c>
      <c r="T321" s="42"/>
      <c r="U321" s="44"/>
      <c r="V321" s="41" t="str">
        <f aca="false">IF($B321="","",TEXT($B321,"yyyy年m月"))</f>
        <v/>
      </c>
      <c r="W321" s="42"/>
      <c r="X321" s="42"/>
      <c r="Y321" s="9"/>
    </row>
    <row r="322" customFormat="false" ht="18" hidden="false" customHeight="true" outlineLevel="0" collapsed="false">
      <c r="A322" s="9" t="str">
        <f aca="false">IF($C322="","",ROW()-3)</f>
        <v/>
      </c>
      <c r="B322" s="76"/>
      <c r="C322" s="74"/>
      <c r="D322" s="43"/>
      <c r="E322" s="42"/>
      <c r="F322" s="74"/>
      <c r="G322" s="74"/>
      <c r="H322" s="44"/>
      <c r="I322" s="44"/>
      <c r="J322" s="103" t="str">
        <f aca="false">IF($C322="","",ROUND(IFERROR(INDEX(期初余额!$I$4:$I$43,MATCH($C322,期初余额!$H$4:$H$43,0)),0)+SUMIFS($H$4:$H322,$C$4:$C322,$C322)-SUMIFS($I$4:$I322,$C$4:$C322,$C322),2))</f>
        <v/>
      </c>
      <c r="K322" s="104" t="str">
        <f aca="false">IF($T322&lt;&gt;"",$T322,IF($C322="","",IF(AND(N($I322)&gt;0,$G322&lt;&gt;""),IF(IFERROR(INDEX(科目表!$U$4:$U$123,MATCH($G322,科目表!$M$4:$M$123,0)),"")&amp;""="","管理费用",INDEX(科目表!$U$4:$U$123,MATCH($G322,科目表!$M$4:$M$123,0))),IF(N($H322)&gt;0,IF(IFERROR(INDEX(自动规则!$C$4:$C$143,MATCH($F322,自动规则!$B$4:$B$143,0)),"")&amp;""="","其他应收款",INDEX(自动规则!$C$4:$C$143,MATCH($F322,自动规则!$B$4:$B$143,0))),IF(IFERROR(INDEX(自动规则!$D$4:$D$143,MATCH($F322,自动规则!$B$4:$B$143,0)),"")&amp;""="","其他应付款",INDEX(自动规则!$D$4:$D$143,MATCH($F322,自动规则!$B$4:$B$143,0)))))))</f>
        <v/>
      </c>
      <c r="L322" s="43"/>
      <c r="M322" s="105" t="str">
        <f aca="false">IF($C322="","",IF(IFERROR(INDEX(科目表!$T$4:$T$123,MATCH($C322,科目表!$K$4:$K$123,0)),"")&amp;""="","其他货币资金",INDEX(科目表!$T$4:$T$123,MATCH($C322,科目表!$K$4:$K$123,0))))</f>
        <v/>
      </c>
      <c r="N322" s="39" t="str">
        <f aca="false">IF(OR($C322="",ROUND(N($H322)+N($I322),2)=0),"",IF(N($H322)&gt;0,$M322,$K322))</f>
        <v/>
      </c>
      <c r="O322" s="41" t="str">
        <f aca="false">IF($N322="","",ROUND(N($H322)+N($I322),2))</f>
        <v/>
      </c>
      <c r="P322" s="41" t="str">
        <f aca="false">IF($N322="","",0)</f>
        <v/>
      </c>
      <c r="Q322" s="39" t="str">
        <f aca="false">IF($N322="","",IF(N($H322)&gt;0,$K322,$M322))</f>
        <v/>
      </c>
      <c r="R322" s="41" t="str">
        <f aca="false">IF($Q322="","",0)</f>
        <v/>
      </c>
      <c r="S322" s="41" t="str">
        <f aca="false">IF($Q322="","",ROUND(N($H322)+N($I322),2))</f>
        <v/>
      </c>
      <c r="T322" s="42"/>
      <c r="U322" s="44"/>
      <c r="V322" s="41" t="str">
        <f aca="false">IF($B322="","",TEXT($B322,"yyyy年m月"))</f>
        <v/>
      </c>
      <c r="W322" s="42"/>
      <c r="X322" s="42"/>
      <c r="Y322" s="9"/>
    </row>
    <row r="323" customFormat="false" ht="18" hidden="false" customHeight="true" outlineLevel="0" collapsed="false">
      <c r="A323" s="9" t="str">
        <f aca="false">IF($C323="","",ROW()-3)</f>
        <v/>
      </c>
      <c r="B323" s="76"/>
      <c r="C323" s="74"/>
      <c r="D323" s="43"/>
      <c r="E323" s="42"/>
      <c r="F323" s="74"/>
      <c r="G323" s="74"/>
      <c r="H323" s="44"/>
      <c r="I323" s="44"/>
      <c r="J323" s="103" t="str">
        <f aca="false">IF($C323="","",ROUND(IFERROR(INDEX(期初余额!$I$4:$I$43,MATCH($C323,期初余额!$H$4:$H$43,0)),0)+SUMIFS($H$4:$H323,$C$4:$C323,$C323)-SUMIFS($I$4:$I323,$C$4:$C323,$C323),2))</f>
        <v/>
      </c>
      <c r="K323" s="104" t="str">
        <f aca="false">IF($T323&lt;&gt;"",$T323,IF($C323="","",IF(AND(N($I323)&gt;0,$G323&lt;&gt;""),IF(IFERROR(INDEX(科目表!$U$4:$U$123,MATCH($G323,科目表!$M$4:$M$123,0)),"")&amp;""="","管理费用",INDEX(科目表!$U$4:$U$123,MATCH($G323,科目表!$M$4:$M$123,0))),IF(N($H323)&gt;0,IF(IFERROR(INDEX(自动规则!$C$4:$C$143,MATCH($F323,自动规则!$B$4:$B$143,0)),"")&amp;""="","其他应收款",INDEX(自动规则!$C$4:$C$143,MATCH($F323,自动规则!$B$4:$B$143,0))),IF(IFERROR(INDEX(自动规则!$D$4:$D$143,MATCH($F323,自动规则!$B$4:$B$143,0)),"")&amp;""="","其他应付款",INDEX(自动规则!$D$4:$D$143,MATCH($F323,自动规则!$B$4:$B$143,0)))))))</f>
        <v/>
      </c>
      <c r="L323" s="43"/>
      <c r="M323" s="105" t="str">
        <f aca="false">IF($C323="","",IF(IFERROR(INDEX(科目表!$T$4:$T$123,MATCH($C323,科目表!$K$4:$K$123,0)),"")&amp;""="","其他货币资金",INDEX(科目表!$T$4:$T$123,MATCH($C323,科目表!$K$4:$K$123,0))))</f>
        <v/>
      </c>
      <c r="N323" s="39" t="str">
        <f aca="false">IF(OR($C323="",ROUND(N($H323)+N($I323),2)=0),"",IF(N($H323)&gt;0,$M323,$K323))</f>
        <v/>
      </c>
      <c r="O323" s="41" t="str">
        <f aca="false">IF($N323="","",ROUND(N($H323)+N($I323),2))</f>
        <v/>
      </c>
      <c r="P323" s="41" t="str">
        <f aca="false">IF($N323="","",0)</f>
        <v/>
      </c>
      <c r="Q323" s="39" t="str">
        <f aca="false">IF($N323="","",IF(N($H323)&gt;0,$K323,$M323))</f>
        <v/>
      </c>
      <c r="R323" s="41" t="str">
        <f aca="false">IF($Q323="","",0)</f>
        <v/>
      </c>
      <c r="S323" s="41" t="str">
        <f aca="false">IF($Q323="","",ROUND(N($H323)+N($I323),2))</f>
        <v/>
      </c>
      <c r="T323" s="42"/>
      <c r="U323" s="44"/>
      <c r="V323" s="41" t="str">
        <f aca="false">IF($B323="","",TEXT($B323,"yyyy年m月"))</f>
        <v/>
      </c>
      <c r="W323" s="42"/>
      <c r="X323" s="42"/>
      <c r="Y323" s="9"/>
    </row>
    <row r="324" customFormat="false" ht="18" hidden="false" customHeight="true" outlineLevel="0" collapsed="false">
      <c r="A324" s="9" t="str">
        <f aca="false">IF($C324="","",ROW()-3)</f>
        <v/>
      </c>
      <c r="B324" s="76"/>
      <c r="C324" s="74"/>
      <c r="D324" s="43"/>
      <c r="E324" s="42"/>
      <c r="F324" s="74"/>
      <c r="G324" s="74"/>
      <c r="H324" s="44"/>
      <c r="I324" s="44"/>
      <c r="J324" s="103" t="str">
        <f aca="false">IF($C324="","",ROUND(IFERROR(INDEX(期初余额!$I$4:$I$43,MATCH($C324,期初余额!$H$4:$H$43,0)),0)+SUMIFS($H$4:$H324,$C$4:$C324,$C324)-SUMIFS($I$4:$I324,$C$4:$C324,$C324),2))</f>
        <v/>
      </c>
      <c r="K324" s="104" t="str">
        <f aca="false">IF($T324&lt;&gt;"",$T324,IF($C324="","",IF(AND(N($I324)&gt;0,$G324&lt;&gt;""),IF(IFERROR(INDEX(科目表!$U$4:$U$123,MATCH($G324,科目表!$M$4:$M$123,0)),"")&amp;""="","管理费用",INDEX(科目表!$U$4:$U$123,MATCH($G324,科目表!$M$4:$M$123,0))),IF(N($H324)&gt;0,IF(IFERROR(INDEX(自动规则!$C$4:$C$143,MATCH($F324,自动规则!$B$4:$B$143,0)),"")&amp;""="","其他应收款",INDEX(自动规则!$C$4:$C$143,MATCH($F324,自动规则!$B$4:$B$143,0))),IF(IFERROR(INDEX(自动规则!$D$4:$D$143,MATCH($F324,自动规则!$B$4:$B$143,0)),"")&amp;""="","其他应付款",INDEX(自动规则!$D$4:$D$143,MATCH($F324,自动规则!$B$4:$B$143,0)))))))</f>
        <v/>
      </c>
      <c r="L324" s="43"/>
      <c r="M324" s="105" t="str">
        <f aca="false">IF($C324="","",IF(IFERROR(INDEX(科目表!$T$4:$T$123,MATCH($C324,科目表!$K$4:$K$123,0)),"")&amp;""="","其他货币资金",INDEX(科目表!$T$4:$T$123,MATCH($C324,科目表!$K$4:$K$123,0))))</f>
        <v/>
      </c>
      <c r="N324" s="39" t="str">
        <f aca="false">IF(OR($C324="",ROUND(N($H324)+N($I324),2)=0),"",IF(N($H324)&gt;0,$M324,$K324))</f>
        <v/>
      </c>
      <c r="O324" s="41" t="str">
        <f aca="false">IF($N324="","",ROUND(N($H324)+N($I324),2))</f>
        <v/>
      </c>
      <c r="P324" s="41" t="str">
        <f aca="false">IF($N324="","",0)</f>
        <v/>
      </c>
      <c r="Q324" s="39" t="str">
        <f aca="false">IF($N324="","",IF(N($H324)&gt;0,$K324,$M324))</f>
        <v/>
      </c>
      <c r="R324" s="41" t="str">
        <f aca="false">IF($Q324="","",0)</f>
        <v/>
      </c>
      <c r="S324" s="41" t="str">
        <f aca="false">IF($Q324="","",ROUND(N($H324)+N($I324),2))</f>
        <v/>
      </c>
      <c r="T324" s="42"/>
      <c r="U324" s="44"/>
      <c r="V324" s="41" t="str">
        <f aca="false">IF($B324="","",TEXT($B324,"yyyy年m月"))</f>
        <v/>
      </c>
      <c r="W324" s="42"/>
      <c r="X324" s="42"/>
      <c r="Y324" s="9"/>
    </row>
    <row r="325" customFormat="false" ht="18" hidden="false" customHeight="true" outlineLevel="0" collapsed="false">
      <c r="A325" s="9" t="str">
        <f aca="false">IF($C325="","",ROW()-3)</f>
        <v/>
      </c>
      <c r="B325" s="76"/>
      <c r="C325" s="74"/>
      <c r="D325" s="43"/>
      <c r="E325" s="42"/>
      <c r="F325" s="74"/>
      <c r="G325" s="74"/>
      <c r="H325" s="44"/>
      <c r="I325" s="44"/>
      <c r="J325" s="103" t="str">
        <f aca="false">IF($C325="","",ROUND(IFERROR(INDEX(期初余额!$I$4:$I$43,MATCH($C325,期初余额!$H$4:$H$43,0)),0)+SUMIFS($H$4:$H325,$C$4:$C325,$C325)-SUMIFS($I$4:$I325,$C$4:$C325,$C325),2))</f>
        <v/>
      </c>
      <c r="K325" s="104" t="str">
        <f aca="false">IF($T325&lt;&gt;"",$T325,IF($C325="","",IF(AND(N($I325)&gt;0,$G325&lt;&gt;""),IF(IFERROR(INDEX(科目表!$U$4:$U$123,MATCH($G325,科目表!$M$4:$M$123,0)),"")&amp;""="","管理费用",INDEX(科目表!$U$4:$U$123,MATCH($G325,科目表!$M$4:$M$123,0))),IF(N($H325)&gt;0,IF(IFERROR(INDEX(自动规则!$C$4:$C$143,MATCH($F325,自动规则!$B$4:$B$143,0)),"")&amp;""="","其他应收款",INDEX(自动规则!$C$4:$C$143,MATCH($F325,自动规则!$B$4:$B$143,0))),IF(IFERROR(INDEX(自动规则!$D$4:$D$143,MATCH($F325,自动规则!$B$4:$B$143,0)),"")&amp;""="","其他应付款",INDEX(自动规则!$D$4:$D$143,MATCH($F325,自动规则!$B$4:$B$143,0)))))))</f>
        <v/>
      </c>
      <c r="L325" s="43"/>
      <c r="M325" s="105" t="str">
        <f aca="false">IF($C325="","",IF(IFERROR(INDEX(科目表!$T$4:$T$123,MATCH($C325,科目表!$K$4:$K$123,0)),"")&amp;""="","其他货币资金",INDEX(科目表!$T$4:$T$123,MATCH($C325,科目表!$K$4:$K$123,0))))</f>
        <v/>
      </c>
      <c r="N325" s="39" t="str">
        <f aca="false">IF(OR($C325="",ROUND(N($H325)+N($I325),2)=0),"",IF(N($H325)&gt;0,$M325,$K325))</f>
        <v/>
      </c>
      <c r="O325" s="41" t="str">
        <f aca="false">IF($N325="","",ROUND(N($H325)+N($I325),2))</f>
        <v/>
      </c>
      <c r="P325" s="41" t="str">
        <f aca="false">IF($N325="","",0)</f>
        <v/>
      </c>
      <c r="Q325" s="39" t="str">
        <f aca="false">IF($N325="","",IF(N($H325)&gt;0,$K325,$M325))</f>
        <v/>
      </c>
      <c r="R325" s="41" t="str">
        <f aca="false">IF($Q325="","",0)</f>
        <v/>
      </c>
      <c r="S325" s="41" t="str">
        <f aca="false">IF($Q325="","",ROUND(N($H325)+N($I325),2))</f>
        <v/>
      </c>
      <c r="T325" s="42"/>
      <c r="U325" s="44"/>
      <c r="V325" s="41" t="str">
        <f aca="false">IF($B325="","",TEXT($B325,"yyyy年m月"))</f>
        <v/>
      </c>
      <c r="W325" s="42"/>
      <c r="X325" s="42"/>
      <c r="Y325" s="9"/>
    </row>
    <row r="326" customFormat="false" ht="18" hidden="false" customHeight="true" outlineLevel="0" collapsed="false">
      <c r="A326" s="9" t="str">
        <f aca="false">IF($C326="","",ROW()-3)</f>
        <v/>
      </c>
      <c r="B326" s="76"/>
      <c r="C326" s="74"/>
      <c r="D326" s="43"/>
      <c r="E326" s="42"/>
      <c r="F326" s="74"/>
      <c r="G326" s="74"/>
      <c r="H326" s="44"/>
      <c r="I326" s="44"/>
      <c r="J326" s="103" t="str">
        <f aca="false">IF($C326="","",ROUND(IFERROR(INDEX(期初余额!$I$4:$I$43,MATCH($C326,期初余额!$H$4:$H$43,0)),0)+SUMIFS($H$4:$H326,$C$4:$C326,$C326)-SUMIFS($I$4:$I326,$C$4:$C326,$C326),2))</f>
        <v/>
      </c>
      <c r="K326" s="104" t="str">
        <f aca="false">IF($T326&lt;&gt;"",$T326,IF($C326="","",IF(AND(N($I326)&gt;0,$G326&lt;&gt;""),IF(IFERROR(INDEX(科目表!$U$4:$U$123,MATCH($G326,科目表!$M$4:$M$123,0)),"")&amp;""="","管理费用",INDEX(科目表!$U$4:$U$123,MATCH($G326,科目表!$M$4:$M$123,0))),IF(N($H326)&gt;0,IF(IFERROR(INDEX(自动规则!$C$4:$C$143,MATCH($F326,自动规则!$B$4:$B$143,0)),"")&amp;""="","其他应收款",INDEX(自动规则!$C$4:$C$143,MATCH($F326,自动规则!$B$4:$B$143,0))),IF(IFERROR(INDEX(自动规则!$D$4:$D$143,MATCH($F326,自动规则!$B$4:$B$143,0)),"")&amp;""="","其他应付款",INDEX(自动规则!$D$4:$D$143,MATCH($F326,自动规则!$B$4:$B$143,0)))))))</f>
        <v/>
      </c>
      <c r="L326" s="43"/>
      <c r="M326" s="105" t="str">
        <f aca="false">IF($C326="","",IF(IFERROR(INDEX(科目表!$T$4:$T$123,MATCH($C326,科目表!$K$4:$K$123,0)),"")&amp;""="","其他货币资金",INDEX(科目表!$T$4:$T$123,MATCH($C326,科目表!$K$4:$K$123,0))))</f>
        <v/>
      </c>
      <c r="N326" s="39" t="str">
        <f aca="false">IF(OR($C326="",ROUND(N($H326)+N($I326),2)=0),"",IF(N($H326)&gt;0,$M326,$K326))</f>
        <v/>
      </c>
      <c r="O326" s="41" t="str">
        <f aca="false">IF($N326="","",ROUND(N($H326)+N($I326),2))</f>
        <v/>
      </c>
      <c r="P326" s="41" t="str">
        <f aca="false">IF($N326="","",0)</f>
        <v/>
      </c>
      <c r="Q326" s="39" t="str">
        <f aca="false">IF($N326="","",IF(N($H326)&gt;0,$K326,$M326))</f>
        <v/>
      </c>
      <c r="R326" s="41" t="str">
        <f aca="false">IF($Q326="","",0)</f>
        <v/>
      </c>
      <c r="S326" s="41" t="str">
        <f aca="false">IF($Q326="","",ROUND(N($H326)+N($I326),2))</f>
        <v/>
      </c>
      <c r="T326" s="42"/>
      <c r="U326" s="44"/>
      <c r="V326" s="41" t="str">
        <f aca="false">IF($B326="","",TEXT($B326,"yyyy年m月"))</f>
        <v/>
      </c>
      <c r="W326" s="42"/>
      <c r="X326" s="42"/>
      <c r="Y326" s="9"/>
    </row>
    <row r="327" customFormat="false" ht="18" hidden="false" customHeight="true" outlineLevel="0" collapsed="false">
      <c r="A327" s="9" t="str">
        <f aca="false">IF($C327="","",ROW()-3)</f>
        <v/>
      </c>
      <c r="B327" s="76"/>
      <c r="C327" s="74"/>
      <c r="D327" s="43"/>
      <c r="E327" s="42"/>
      <c r="F327" s="74"/>
      <c r="G327" s="74"/>
      <c r="H327" s="44"/>
      <c r="I327" s="44"/>
      <c r="J327" s="103" t="str">
        <f aca="false">IF($C327="","",ROUND(IFERROR(INDEX(期初余额!$I$4:$I$43,MATCH($C327,期初余额!$H$4:$H$43,0)),0)+SUMIFS($H$4:$H327,$C$4:$C327,$C327)-SUMIFS($I$4:$I327,$C$4:$C327,$C327),2))</f>
        <v/>
      </c>
      <c r="K327" s="104" t="str">
        <f aca="false">IF($T327&lt;&gt;"",$T327,IF($C327="","",IF(AND(N($I327)&gt;0,$G327&lt;&gt;""),IF(IFERROR(INDEX(科目表!$U$4:$U$123,MATCH($G327,科目表!$M$4:$M$123,0)),"")&amp;""="","管理费用",INDEX(科目表!$U$4:$U$123,MATCH($G327,科目表!$M$4:$M$123,0))),IF(N($H327)&gt;0,IF(IFERROR(INDEX(自动规则!$C$4:$C$143,MATCH($F327,自动规则!$B$4:$B$143,0)),"")&amp;""="","其他应收款",INDEX(自动规则!$C$4:$C$143,MATCH($F327,自动规则!$B$4:$B$143,0))),IF(IFERROR(INDEX(自动规则!$D$4:$D$143,MATCH($F327,自动规则!$B$4:$B$143,0)),"")&amp;""="","其他应付款",INDEX(自动规则!$D$4:$D$143,MATCH($F327,自动规则!$B$4:$B$143,0)))))))</f>
        <v/>
      </c>
      <c r="L327" s="43"/>
      <c r="M327" s="105" t="str">
        <f aca="false">IF($C327="","",IF(IFERROR(INDEX(科目表!$T$4:$T$123,MATCH($C327,科目表!$K$4:$K$123,0)),"")&amp;""="","其他货币资金",INDEX(科目表!$T$4:$T$123,MATCH($C327,科目表!$K$4:$K$123,0))))</f>
        <v/>
      </c>
      <c r="N327" s="39" t="str">
        <f aca="false">IF(OR($C327="",ROUND(N($H327)+N($I327),2)=0),"",IF(N($H327)&gt;0,$M327,$K327))</f>
        <v/>
      </c>
      <c r="O327" s="41" t="str">
        <f aca="false">IF($N327="","",ROUND(N($H327)+N($I327),2))</f>
        <v/>
      </c>
      <c r="P327" s="41" t="str">
        <f aca="false">IF($N327="","",0)</f>
        <v/>
      </c>
      <c r="Q327" s="39" t="str">
        <f aca="false">IF($N327="","",IF(N($H327)&gt;0,$K327,$M327))</f>
        <v/>
      </c>
      <c r="R327" s="41" t="str">
        <f aca="false">IF($Q327="","",0)</f>
        <v/>
      </c>
      <c r="S327" s="41" t="str">
        <f aca="false">IF($Q327="","",ROUND(N($H327)+N($I327),2))</f>
        <v/>
      </c>
      <c r="T327" s="42"/>
      <c r="U327" s="44"/>
      <c r="V327" s="41" t="str">
        <f aca="false">IF($B327="","",TEXT($B327,"yyyy年m月"))</f>
        <v/>
      </c>
      <c r="W327" s="42"/>
      <c r="X327" s="42"/>
      <c r="Y327" s="9"/>
    </row>
    <row r="328" customFormat="false" ht="18" hidden="false" customHeight="true" outlineLevel="0" collapsed="false">
      <c r="A328" s="9" t="str">
        <f aca="false">IF($C328="","",ROW()-3)</f>
        <v/>
      </c>
      <c r="B328" s="76"/>
      <c r="C328" s="74"/>
      <c r="D328" s="43"/>
      <c r="E328" s="42"/>
      <c r="F328" s="74"/>
      <c r="G328" s="74"/>
      <c r="H328" s="44"/>
      <c r="I328" s="44"/>
      <c r="J328" s="103" t="str">
        <f aca="false">IF($C328="","",ROUND(IFERROR(INDEX(期初余额!$I$4:$I$43,MATCH($C328,期初余额!$H$4:$H$43,0)),0)+SUMIFS($H$4:$H328,$C$4:$C328,$C328)-SUMIFS($I$4:$I328,$C$4:$C328,$C328),2))</f>
        <v/>
      </c>
      <c r="K328" s="104" t="str">
        <f aca="false">IF($T328&lt;&gt;"",$T328,IF($C328="","",IF(AND(N($I328)&gt;0,$G328&lt;&gt;""),IF(IFERROR(INDEX(科目表!$U$4:$U$123,MATCH($G328,科目表!$M$4:$M$123,0)),"")&amp;""="","管理费用",INDEX(科目表!$U$4:$U$123,MATCH($G328,科目表!$M$4:$M$123,0))),IF(N($H328)&gt;0,IF(IFERROR(INDEX(自动规则!$C$4:$C$143,MATCH($F328,自动规则!$B$4:$B$143,0)),"")&amp;""="","其他应收款",INDEX(自动规则!$C$4:$C$143,MATCH($F328,自动规则!$B$4:$B$143,0))),IF(IFERROR(INDEX(自动规则!$D$4:$D$143,MATCH($F328,自动规则!$B$4:$B$143,0)),"")&amp;""="","其他应付款",INDEX(自动规则!$D$4:$D$143,MATCH($F328,自动规则!$B$4:$B$143,0)))))))</f>
        <v/>
      </c>
      <c r="L328" s="43"/>
      <c r="M328" s="105" t="str">
        <f aca="false">IF($C328="","",IF(IFERROR(INDEX(科目表!$T$4:$T$123,MATCH($C328,科目表!$K$4:$K$123,0)),"")&amp;""="","其他货币资金",INDEX(科目表!$T$4:$T$123,MATCH($C328,科目表!$K$4:$K$123,0))))</f>
        <v/>
      </c>
      <c r="N328" s="39" t="str">
        <f aca="false">IF(OR($C328="",ROUND(N($H328)+N($I328),2)=0),"",IF(N($H328)&gt;0,$M328,$K328))</f>
        <v/>
      </c>
      <c r="O328" s="41" t="str">
        <f aca="false">IF($N328="","",ROUND(N($H328)+N($I328),2))</f>
        <v/>
      </c>
      <c r="P328" s="41" t="str">
        <f aca="false">IF($N328="","",0)</f>
        <v/>
      </c>
      <c r="Q328" s="39" t="str">
        <f aca="false">IF($N328="","",IF(N($H328)&gt;0,$K328,$M328))</f>
        <v/>
      </c>
      <c r="R328" s="41" t="str">
        <f aca="false">IF($Q328="","",0)</f>
        <v/>
      </c>
      <c r="S328" s="41" t="str">
        <f aca="false">IF($Q328="","",ROUND(N($H328)+N($I328),2))</f>
        <v/>
      </c>
      <c r="T328" s="42"/>
      <c r="U328" s="44"/>
      <c r="V328" s="41" t="str">
        <f aca="false">IF($B328="","",TEXT($B328,"yyyy年m月"))</f>
        <v/>
      </c>
      <c r="W328" s="42"/>
      <c r="X328" s="42"/>
      <c r="Y328" s="9"/>
    </row>
    <row r="329" customFormat="false" ht="18" hidden="false" customHeight="true" outlineLevel="0" collapsed="false">
      <c r="A329" s="9" t="str">
        <f aca="false">IF($C329="","",ROW()-3)</f>
        <v/>
      </c>
      <c r="B329" s="76"/>
      <c r="C329" s="74"/>
      <c r="D329" s="43"/>
      <c r="E329" s="42"/>
      <c r="F329" s="74"/>
      <c r="G329" s="74"/>
      <c r="H329" s="44"/>
      <c r="I329" s="44"/>
      <c r="J329" s="103" t="str">
        <f aca="false">IF($C329="","",ROUND(IFERROR(INDEX(期初余额!$I$4:$I$43,MATCH($C329,期初余额!$H$4:$H$43,0)),0)+SUMIFS($H$4:$H329,$C$4:$C329,$C329)-SUMIFS($I$4:$I329,$C$4:$C329,$C329),2))</f>
        <v/>
      </c>
      <c r="K329" s="104" t="str">
        <f aca="false">IF($T329&lt;&gt;"",$T329,IF($C329="","",IF(AND(N($I329)&gt;0,$G329&lt;&gt;""),IF(IFERROR(INDEX(科目表!$U$4:$U$123,MATCH($G329,科目表!$M$4:$M$123,0)),"")&amp;""="","管理费用",INDEX(科目表!$U$4:$U$123,MATCH($G329,科目表!$M$4:$M$123,0))),IF(N($H329)&gt;0,IF(IFERROR(INDEX(自动规则!$C$4:$C$143,MATCH($F329,自动规则!$B$4:$B$143,0)),"")&amp;""="","其他应收款",INDEX(自动规则!$C$4:$C$143,MATCH($F329,自动规则!$B$4:$B$143,0))),IF(IFERROR(INDEX(自动规则!$D$4:$D$143,MATCH($F329,自动规则!$B$4:$B$143,0)),"")&amp;""="","其他应付款",INDEX(自动规则!$D$4:$D$143,MATCH($F329,自动规则!$B$4:$B$143,0)))))))</f>
        <v/>
      </c>
      <c r="L329" s="43"/>
      <c r="M329" s="105" t="str">
        <f aca="false">IF($C329="","",IF(IFERROR(INDEX(科目表!$T$4:$T$123,MATCH($C329,科目表!$K$4:$K$123,0)),"")&amp;""="","其他货币资金",INDEX(科目表!$T$4:$T$123,MATCH($C329,科目表!$K$4:$K$123,0))))</f>
        <v/>
      </c>
      <c r="N329" s="39" t="str">
        <f aca="false">IF(OR($C329="",ROUND(N($H329)+N($I329),2)=0),"",IF(N($H329)&gt;0,$M329,$K329))</f>
        <v/>
      </c>
      <c r="O329" s="41" t="str">
        <f aca="false">IF($N329="","",ROUND(N($H329)+N($I329),2))</f>
        <v/>
      </c>
      <c r="P329" s="41" t="str">
        <f aca="false">IF($N329="","",0)</f>
        <v/>
      </c>
      <c r="Q329" s="39" t="str">
        <f aca="false">IF($N329="","",IF(N($H329)&gt;0,$K329,$M329))</f>
        <v/>
      </c>
      <c r="R329" s="41" t="str">
        <f aca="false">IF($Q329="","",0)</f>
        <v/>
      </c>
      <c r="S329" s="41" t="str">
        <f aca="false">IF($Q329="","",ROUND(N($H329)+N($I329),2))</f>
        <v/>
      </c>
      <c r="T329" s="42"/>
      <c r="U329" s="44"/>
      <c r="V329" s="41" t="str">
        <f aca="false">IF($B329="","",TEXT($B329,"yyyy年m月"))</f>
        <v/>
      </c>
      <c r="W329" s="42"/>
      <c r="X329" s="42"/>
      <c r="Y329" s="9"/>
    </row>
    <row r="330" customFormat="false" ht="18" hidden="false" customHeight="true" outlineLevel="0" collapsed="false">
      <c r="A330" s="9" t="str">
        <f aca="false">IF($C330="","",ROW()-3)</f>
        <v/>
      </c>
      <c r="B330" s="76"/>
      <c r="C330" s="74"/>
      <c r="D330" s="43"/>
      <c r="E330" s="42"/>
      <c r="F330" s="74"/>
      <c r="G330" s="74"/>
      <c r="H330" s="44"/>
      <c r="I330" s="44"/>
      <c r="J330" s="103" t="str">
        <f aca="false">IF($C330="","",ROUND(IFERROR(INDEX(期初余额!$I$4:$I$43,MATCH($C330,期初余额!$H$4:$H$43,0)),0)+SUMIFS($H$4:$H330,$C$4:$C330,$C330)-SUMIFS($I$4:$I330,$C$4:$C330,$C330),2))</f>
        <v/>
      </c>
      <c r="K330" s="104" t="str">
        <f aca="false">IF($T330&lt;&gt;"",$T330,IF($C330="","",IF(AND(N($I330)&gt;0,$G330&lt;&gt;""),IF(IFERROR(INDEX(科目表!$U$4:$U$123,MATCH($G330,科目表!$M$4:$M$123,0)),"")&amp;""="","管理费用",INDEX(科目表!$U$4:$U$123,MATCH($G330,科目表!$M$4:$M$123,0))),IF(N($H330)&gt;0,IF(IFERROR(INDEX(自动规则!$C$4:$C$143,MATCH($F330,自动规则!$B$4:$B$143,0)),"")&amp;""="","其他应收款",INDEX(自动规则!$C$4:$C$143,MATCH($F330,自动规则!$B$4:$B$143,0))),IF(IFERROR(INDEX(自动规则!$D$4:$D$143,MATCH($F330,自动规则!$B$4:$B$143,0)),"")&amp;""="","其他应付款",INDEX(自动规则!$D$4:$D$143,MATCH($F330,自动规则!$B$4:$B$143,0)))))))</f>
        <v/>
      </c>
      <c r="L330" s="43"/>
      <c r="M330" s="105" t="str">
        <f aca="false">IF($C330="","",IF(IFERROR(INDEX(科目表!$T$4:$T$123,MATCH($C330,科目表!$K$4:$K$123,0)),"")&amp;""="","其他货币资金",INDEX(科目表!$T$4:$T$123,MATCH($C330,科目表!$K$4:$K$123,0))))</f>
        <v/>
      </c>
      <c r="N330" s="39" t="str">
        <f aca="false">IF(OR($C330="",ROUND(N($H330)+N($I330),2)=0),"",IF(N($H330)&gt;0,$M330,$K330))</f>
        <v/>
      </c>
      <c r="O330" s="41" t="str">
        <f aca="false">IF($N330="","",ROUND(N($H330)+N($I330),2))</f>
        <v/>
      </c>
      <c r="P330" s="41" t="str">
        <f aca="false">IF($N330="","",0)</f>
        <v/>
      </c>
      <c r="Q330" s="39" t="str">
        <f aca="false">IF($N330="","",IF(N($H330)&gt;0,$K330,$M330))</f>
        <v/>
      </c>
      <c r="R330" s="41" t="str">
        <f aca="false">IF($Q330="","",0)</f>
        <v/>
      </c>
      <c r="S330" s="41" t="str">
        <f aca="false">IF($Q330="","",ROUND(N($H330)+N($I330),2))</f>
        <v/>
      </c>
      <c r="T330" s="42"/>
      <c r="U330" s="44"/>
      <c r="V330" s="41" t="str">
        <f aca="false">IF($B330="","",TEXT($B330,"yyyy年m月"))</f>
        <v/>
      </c>
      <c r="W330" s="42"/>
      <c r="X330" s="42"/>
      <c r="Y330" s="9"/>
    </row>
    <row r="331" customFormat="false" ht="18" hidden="false" customHeight="true" outlineLevel="0" collapsed="false">
      <c r="A331" s="9" t="str">
        <f aca="false">IF($C331="","",ROW()-3)</f>
        <v/>
      </c>
      <c r="B331" s="76"/>
      <c r="C331" s="74"/>
      <c r="D331" s="43"/>
      <c r="E331" s="42"/>
      <c r="F331" s="74"/>
      <c r="G331" s="74"/>
      <c r="H331" s="44"/>
      <c r="I331" s="44"/>
      <c r="J331" s="103" t="str">
        <f aca="false">IF($C331="","",ROUND(IFERROR(INDEX(期初余额!$I$4:$I$43,MATCH($C331,期初余额!$H$4:$H$43,0)),0)+SUMIFS($H$4:$H331,$C$4:$C331,$C331)-SUMIFS($I$4:$I331,$C$4:$C331,$C331),2))</f>
        <v/>
      </c>
      <c r="K331" s="104" t="str">
        <f aca="false">IF($T331&lt;&gt;"",$T331,IF($C331="","",IF(AND(N($I331)&gt;0,$G331&lt;&gt;""),IF(IFERROR(INDEX(科目表!$U$4:$U$123,MATCH($G331,科目表!$M$4:$M$123,0)),"")&amp;""="","管理费用",INDEX(科目表!$U$4:$U$123,MATCH($G331,科目表!$M$4:$M$123,0))),IF(N($H331)&gt;0,IF(IFERROR(INDEX(自动规则!$C$4:$C$143,MATCH($F331,自动规则!$B$4:$B$143,0)),"")&amp;""="","其他应收款",INDEX(自动规则!$C$4:$C$143,MATCH($F331,自动规则!$B$4:$B$143,0))),IF(IFERROR(INDEX(自动规则!$D$4:$D$143,MATCH($F331,自动规则!$B$4:$B$143,0)),"")&amp;""="","其他应付款",INDEX(自动规则!$D$4:$D$143,MATCH($F331,自动规则!$B$4:$B$143,0)))))))</f>
        <v/>
      </c>
      <c r="L331" s="43"/>
      <c r="M331" s="105" t="str">
        <f aca="false">IF($C331="","",IF(IFERROR(INDEX(科目表!$T$4:$T$123,MATCH($C331,科目表!$K$4:$K$123,0)),"")&amp;""="","其他货币资金",INDEX(科目表!$T$4:$T$123,MATCH($C331,科目表!$K$4:$K$123,0))))</f>
        <v/>
      </c>
      <c r="N331" s="39" t="str">
        <f aca="false">IF(OR($C331="",ROUND(N($H331)+N($I331),2)=0),"",IF(N($H331)&gt;0,$M331,$K331))</f>
        <v/>
      </c>
      <c r="O331" s="41" t="str">
        <f aca="false">IF($N331="","",ROUND(N($H331)+N($I331),2))</f>
        <v/>
      </c>
      <c r="P331" s="41" t="str">
        <f aca="false">IF($N331="","",0)</f>
        <v/>
      </c>
      <c r="Q331" s="39" t="str">
        <f aca="false">IF($N331="","",IF(N($H331)&gt;0,$K331,$M331))</f>
        <v/>
      </c>
      <c r="R331" s="41" t="str">
        <f aca="false">IF($Q331="","",0)</f>
        <v/>
      </c>
      <c r="S331" s="41" t="str">
        <f aca="false">IF($Q331="","",ROUND(N($H331)+N($I331),2))</f>
        <v/>
      </c>
      <c r="T331" s="42"/>
      <c r="U331" s="44"/>
      <c r="V331" s="41" t="str">
        <f aca="false">IF($B331="","",TEXT($B331,"yyyy年m月"))</f>
        <v/>
      </c>
      <c r="W331" s="42"/>
      <c r="X331" s="42"/>
      <c r="Y331" s="9"/>
    </row>
    <row r="332" customFormat="false" ht="18" hidden="false" customHeight="true" outlineLevel="0" collapsed="false">
      <c r="A332" s="9" t="str">
        <f aca="false">IF($C332="","",ROW()-3)</f>
        <v/>
      </c>
      <c r="B332" s="76"/>
      <c r="C332" s="74"/>
      <c r="D332" s="43"/>
      <c r="E332" s="42"/>
      <c r="F332" s="74"/>
      <c r="G332" s="74"/>
      <c r="H332" s="44"/>
      <c r="I332" s="44"/>
      <c r="J332" s="103" t="str">
        <f aca="false">IF($C332="","",ROUND(IFERROR(INDEX(期初余额!$I$4:$I$43,MATCH($C332,期初余额!$H$4:$H$43,0)),0)+SUMIFS($H$4:$H332,$C$4:$C332,$C332)-SUMIFS($I$4:$I332,$C$4:$C332,$C332),2))</f>
        <v/>
      </c>
      <c r="K332" s="104" t="str">
        <f aca="false">IF($T332&lt;&gt;"",$T332,IF($C332="","",IF(AND(N($I332)&gt;0,$G332&lt;&gt;""),IF(IFERROR(INDEX(科目表!$U$4:$U$123,MATCH($G332,科目表!$M$4:$M$123,0)),"")&amp;""="","管理费用",INDEX(科目表!$U$4:$U$123,MATCH($G332,科目表!$M$4:$M$123,0))),IF(N($H332)&gt;0,IF(IFERROR(INDEX(自动规则!$C$4:$C$143,MATCH($F332,自动规则!$B$4:$B$143,0)),"")&amp;""="","其他应收款",INDEX(自动规则!$C$4:$C$143,MATCH($F332,自动规则!$B$4:$B$143,0))),IF(IFERROR(INDEX(自动规则!$D$4:$D$143,MATCH($F332,自动规则!$B$4:$B$143,0)),"")&amp;""="","其他应付款",INDEX(自动规则!$D$4:$D$143,MATCH($F332,自动规则!$B$4:$B$143,0)))))))</f>
        <v/>
      </c>
      <c r="L332" s="43"/>
      <c r="M332" s="105" t="str">
        <f aca="false">IF($C332="","",IF(IFERROR(INDEX(科目表!$T$4:$T$123,MATCH($C332,科目表!$K$4:$K$123,0)),"")&amp;""="","其他货币资金",INDEX(科目表!$T$4:$T$123,MATCH($C332,科目表!$K$4:$K$123,0))))</f>
        <v/>
      </c>
      <c r="N332" s="39" t="str">
        <f aca="false">IF(OR($C332="",ROUND(N($H332)+N($I332),2)=0),"",IF(N($H332)&gt;0,$M332,$K332))</f>
        <v/>
      </c>
      <c r="O332" s="41" t="str">
        <f aca="false">IF($N332="","",ROUND(N($H332)+N($I332),2))</f>
        <v/>
      </c>
      <c r="P332" s="41" t="str">
        <f aca="false">IF($N332="","",0)</f>
        <v/>
      </c>
      <c r="Q332" s="39" t="str">
        <f aca="false">IF($N332="","",IF(N($H332)&gt;0,$K332,$M332))</f>
        <v/>
      </c>
      <c r="R332" s="41" t="str">
        <f aca="false">IF($Q332="","",0)</f>
        <v/>
      </c>
      <c r="S332" s="41" t="str">
        <f aca="false">IF($Q332="","",ROUND(N($H332)+N($I332),2))</f>
        <v/>
      </c>
      <c r="T332" s="42"/>
      <c r="U332" s="44"/>
      <c r="V332" s="41" t="str">
        <f aca="false">IF($B332="","",TEXT($B332,"yyyy年m月"))</f>
        <v/>
      </c>
      <c r="W332" s="42"/>
      <c r="X332" s="42"/>
      <c r="Y332" s="9"/>
    </row>
    <row r="333" customFormat="false" ht="18" hidden="false" customHeight="true" outlineLevel="0" collapsed="false">
      <c r="A333" s="9" t="str">
        <f aca="false">IF($C333="","",ROW()-3)</f>
        <v/>
      </c>
      <c r="B333" s="76"/>
      <c r="C333" s="74"/>
      <c r="D333" s="43"/>
      <c r="E333" s="42"/>
      <c r="F333" s="74"/>
      <c r="G333" s="74"/>
      <c r="H333" s="44"/>
      <c r="I333" s="44"/>
      <c r="J333" s="103" t="str">
        <f aca="false">IF($C333="","",ROUND(IFERROR(INDEX(期初余额!$I$4:$I$43,MATCH($C333,期初余额!$H$4:$H$43,0)),0)+SUMIFS($H$4:$H333,$C$4:$C333,$C333)-SUMIFS($I$4:$I333,$C$4:$C333,$C333),2))</f>
        <v/>
      </c>
      <c r="K333" s="104" t="str">
        <f aca="false">IF($T333&lt;&gt;"",$T333,IF($C333="","",IF(AND(N($I333)&gt;0,$G333&lt;&gt;""),IF(IFERROR(INDEX(科目表!$U$4:$U$123,MATCH($G333,科目表!$M$4:$M$123,0)),"")&amp;""="","管理费用",INDEX(科目表!$U$4:$U$123,MATCH($G333,科目表!$M$4:$M$123,0))),IF(N($H333)&gt;0,IF(IFERROR(INDEX(自动规则!$C$4:$C$143,MATCH($F333,自动规则!$B$4:$B$143,0)),"")&amp;""="","其他应收款",INDEX(自动规则!$C$4:$C$143,MATCH($F333,自动规则!$B$4:$B$143,0))),IF(IFERROR(INDEX(自动规则!$D$4:$D$143,MATCH($F333,自动规则!$B$4:$B$143,0)),"")&amp;""="","其他应付款",INDEX(自动规则!$D$4:$D$143,MATCH($F333,自动规则!$B$4:$B$143,0)))))))</f>
        <v/>
      </c>
      <c r="L333" s="43"/>
      <c r="M333" s="105" t="str">
        <f aca="false">IF($C333="","",IF(IFERROR(INDEX(科目表!$T$4:$T$123,MATCH($C333,科目表!$K$4:$K$123,0)),"")&amp;""="","其他货币资金",INDEX(科目表!$T$4:$T$123,MATCH($C333,科目表!$K$4:$K$123,0))))</f>
        <v/>
      </c>
      <c r="N333" s="39" t="str">
        <f aca="false">IF(OR($C333="",ROUND(N($H333)+N($I333),2)=0),"",IF(N($H333)&gt;0,$M333,$K333))</f>
        <v/>
      </c>
      <c r="O333" s="41" t="str">
        <f aca="false">IF($N333="","",ROUND(N($H333)+N($I333),2))</f>
        <v/>
      </c>
      <c r="P333" s="41" t="str">
        <f aca="false">IF($N333="","",0)</f>
        <v/>
      </c>
      <c r="Q333" s="39" t="str">
        <f aca="false">IF($N333="","",IF(N($H333)&gt;0,$K333,$M333))</f>
        <v/>
      </c>
      <c r="R333" s="41" t="str">
        <f aca="false">IF($Q333="","",0)</f>
        <v/>
      </c>
      <c r="S333" s="41" t="str">
        <f aca="false">IF($Q333="","",ROUND(N($H333)+N($I333),2))</f>
        <v/>
      </c>
      <c r="T333" s="42"/>
      <c r="U333" s="44"/>
      <c r="V333" s="41" t="str">
        <f aca="false">IF($B333="","",TEXT($B333,"yyyy年m月"))</f>
        <v/>
      </c>
      <c r="W333" s="42"/>
      <c r="X333" s="42"/>
      <c r="Y333" s="9"/>
    </row>
    <row r="334" customFormat="false" ht="18" hidden="false" customHeight="true" outlineLevel="0" collapsed="false">
      <c r="A334" s="9" t="str">
        <f aca="false">IF($C334="","",ROW()-3)</f>
        <v/>
      </c>
      <c r="B334" s="76"/>
      <c r="C334" s="74"/>
      <c r="D334" s="43"/>
      <c r="E334" s="42"/>
      <c r="F334" s="74"/>
      <c r="G334" s="74"/>
      <c r="H334" s="44"/>
      <c r="I334" s="44"/>
      <c r="J334" s="103" t="str">
        <f aca="false">IF($C334="","",ROUND(IFERROR(INDEX(期初余额!$I$4:$I$43,MATCH($C334,期初余额!$H$4:$H$43,0)),0)+SUMIFS($H$4:$H334,$C$4:$C334,$C334)-SUMIFS($I$4:$I334,$C$4:$C334,$C334),2))</f>
        <v/>
      </c>
      <c r="K334" s="104" t="str">
        <f aca="false">IF($T334&lt;&gt;"",$T334,IF($C334="","",IF(AND(N($I334)&gt;0,$G334&lt;&gt;""),IF(IFERROR(INDEX(科目表!$U$4:$U$123,MATCH($G334,科目表!$M$4:$M$123,0)),"")&amp;""="","管理费用",INDEX(科目表!$U$4:$U$123,MATCH($G334,科目表!$M$4:$M$123,0))),IF(N($H334)&gt;0,IF(IFERROR(INDEX(自动规则!$C$4:$C$143,MATCH($F334,自动规则!$B$4:$B$143,0)),"")&amp;""="","其他应收款",INDEX(自动规则!$C$4:$C$143,MATCH($F334,自动规则!$B$4:$B$143,0))),IF(IFERROR(INDEX(自动规则!$D$4:$D$143,MATCH($F334,自动规则!$B$4:$B$143,0)),"")&amp;""="","其他应付款",INDEX(自动规则!$D$4:$D$143,MATCH($F334,自动规则!$B$4:$B$143,0)))))))</f>
        <v/>
      </c>
      <c r="L334" s="43"/>
      <c r="M334" s="105" t="str">
        <f aca="false">IF($C334="","",IF(IFERROR(INDEX(科目表!$T$4:$T$123,MATCH($C334,科目表!$K$4:$K$123,0)),"")&amp;""="","其他货币资金",INDEX(科目表!$T$4:$T$123,MATCH($C334,科目表!$K$4:$K$123,0))))</f>
        <v/>
      </c>
      <c r="N334" s="39" t="str">
        <f aca="false">IF(OR($C334="",ROUND(N($H334)+N($I334),2)=0),"",IF(N($H334)&gt;0,$M334,$K334))</f>
        <v/>
      </c>
      <c r="O334" s="41" t="str">
        <f aca="false">IF($N334="","",ROUND(N($H334)+N($I334),2))</f>
        <v/>
      </c>
      <c r="P334" s="41" t="str">
        <f aca="false">IF($N334="","",0)</f>
        <v/>
      </c>
      <c r="Q334" s="39" t="str">
        <f aca="false">IF($N334="","",IF(N($H334)&gt;0,$K334,$M334))</f>
        <v/>
      </c>
      <c r="R334" s="41" t="str">
        <f aca="false">IF($Q334="","",0)</f>
        <v/>
      </c>
      <c r="S334" s="41" t="str">
        <f aca="false">IF($Q334="","",ROUND(N($H334)+N($I334),2))</f>
        <v/>
      </c>
      <c r="T334" s="42"/>
      <c r="U334" s="44"/>
      <c r="V334" s="41" t="str">
        <f aca="false">IF($B334="","",TEXT($B334,"yyyy年m月"))</f>
        <v/>
      </c>
      <c r="W334" s="42"/>
      <c r="X334" s="42"/>
      <c r="Y334" s="9"/>
    </row>
    <row r="335" customFormat="false" ht="18" hidden="false" customHeight="true" outlineLevel="0" collapsed="false">
      <c r="A335" s="9" t="str">
        <f aca="false">IF($C335="","",ROW()-3)</f>
        <v/>
      </c>
      <c r="B335" s="76"/>
      <c r="C335" s="74"/>
      <c r="D335" s="43"/>
      <c r="E335" s="42"/>
      <c r="F335" s="74"/>
      <c r="G335" s="74"/>
      <c r="H335" s="44"/>
      <c r="I335" s="44"/>
      <c r="J335" s="103" t="str">
        <f aca="false">IF($C335="","",ROUND(IFERROR(INDEX(期初余额!$I$4:$I$43,MATCH($C335,期初余额!$H$4:$H$43,0)),0)+SUMIFS($H$4:$H335,$C$4:$C335,$C335)-SUMIFS($I$4:$I335,$C$4:$C335,$C335),2))</f>
        <v/>
      </c>
      <c r="K335" s="104" t="str">
        <f aca="false">IF($T335&lt;&gt;"",$T335,IF($C335="","",IF(AND(N($I335)&gt;0,$G335&lt;&gt;""),IF(IFERROR(INDEX(科目表!$U$4:$U$123,MATCH($G335,科目表!$M$4:$M$123,0)),"")&amp;""="","管理费用",INDEX(科目表!$U$4:$U$123,MATCH($G335,科目表!$M$4:$M$123,0))),IF(N($H335)&gt;0,IF(IFERROR(INDEX(自动规则!$C$4:$C$143,MATCH($F335,自动规则!$B$4:$B$143,0)),"")&amp;""="","其他应收款",INDEX(自动规则!$C$4:$C$143,MATCH($F335,自动规则!$B$4:$B$143,0))),IF(IFERROR(INDEX(自动规则!$D$4:$D$143,MATCH($F335,自动规则!$B$4:$B$143,0)),"")&amp;""="","其他应付款",INDEX(自动规则!$D$4:$D$143,MATCH($F335,自动规则!$B$4:$B$143,0)))))))</f>
        <v/>
      </c>
      <c r="L335" s="43"/>
      <c r="M335" s="105" t="str">
        <f aca="false">IF($C335="","",IF(IFERROR(INDEX(科目表!$T$4:$T$123,MATCH($C335,科目表!$K$4:$K$123,0)),"")&amp;""="","其他货币资金",INDEX(科目表!$T$4:$T$123,MATCH($C335,科目表!$K$4:$K$123,0))))</f>
        <v/>
      </c>
      <c r="N335" s="39" t="str">
        <f aca="false">IF(OR($C335="",ROUND(N($H335)+N($I335),2)=0),"",IF(N($H335)&gt;0,$M335,$K335))</f>
        <v/>
      </c>
      <c r="O335" s="41" t="str">
        <f aca="false">IF($N335="","",ROUND(N($H335)+N($I335),2))</f>
        <v/>
      </c>
      <c r="P335" s="41" t="str">
        <f aca="false">IF($N335="","",0)</f>
        <v/>
      </c>
      <c r="Q335" s="39" t="str">
        <f aca="false">IF($N335="","",IF(N($H335)&gt;0,$K335,$M335))</f>
        <v/>
      </c>
      <c r="R335" s="41" t="str">
        <f aca="false">IF($Q335="","",0)</f>
        <v/>
      </c>
      <c r="S335" s="41" t="str">
        <f aca="false">IF($Q335="","",ROUND(N($H335)+N($I335),2))</f>
        <v/>
      </c>
      <c r="T335" s="42"/>
      <c r="U335" s="44"/>
      <c r="V335" s="41" t="str">
        <f aca="false">IF($B335="","",TEXT($B335,"yyyy年m月"))</f>
        <v/>
      </c>
      <c r="W335" s="42"/>
      <c r="X335" s="42"/>
      <c r="Y335" s="9"/>
    </row>
    <row r="336" customFormat="false" ht="18" hidden="false" customHeight="true" outlineLevel="0" collapsed="false">
      <c r="A336" s="9" t="str">
        <f aca="false">IF($C336="","",ROW()-3)</f>
        <v/>
      </c>
      <c r="B336" s="76"/>
      <c r="C336" s="74"/>
      <c r="D336" s="43"/>
      <c r="E336" s="42"/>
      <c r="F336" s="74"/>
      <c r="G336" s="74"/>
      <c r="H336" s="44"/>
      <c r="I336" s="44"/>
      <c r="J336" s="103" t="str">
        <f aca="false">IF($C336="","",ROUND(IFERROR(INDEX(期初余额!$I$4:$I$43,MATCH($C336,期初余额!$H$4:$H$43,0)),0)+SUMIFS($H$4:$H336,$C$4:$C336,$C336)-SUMIFS($I$4:$I336,$C$4:$C336,$C336),2))</f>
        <v/>
      </c>
      <c r="K336" s="104" t="str">
        <f aca="false">IF($T336&lt;&gt;"",$T336,IF($C336="","",IF(AND(N($I336)&gt;0,$G336&lt;&gt;""),IF(IFERROR(INDEX(科目表!$U$4:$U$123,MATCH($G336,科目表!$M$4:$M$123,0)),"")&amp;""="","管理费用",INDEX(科目表!$U$4:$U$123,MATCH($G336,科目表!$M$4:$M$123,0))),IF(N($H336)&gt;0,IF(IFERROR(INDEX(自动规则!$C$4:$C$143,MATCH($F336,自动规则!$B$4:$B$143,0)),"")&amp;""="","其他应收款",INDEX(自动规则!$C$4:$C$143,MATCH($F336,自动规则!$B$4:$B$143,0))),IF(IFERROR(INDEX(自动规则!$D$4:$D$143,MATCH($F336,自动规则!$B$4:$B$143,0)),"")&amp;""="","其他应付款",INDEX(自动规则!$D$4:$D$143,MATCH($F336,自动规则!$B$4:$B$143,0)))))))</f>
        <v/>
      </c>
      <c r="L336" s="43"/>
      <c r="M336" s="105" t="str">
        <f aca="false">IF($C336="","",IF(IFERROR(INDEX(科目表!$T$4:$T$123,MATCH($C336,科目表!$K$4:$K$123,0)),"")&amp;""="","其他货币资金",INDEX(科目表!$T$4:$T$123,MATCH($C336,科目表!$K$4:$K$123,0))))</f>
        <v/>
      </c>
      <c r="N336" s="39" t="str">
        <f aca="false">IF(OR($C336="",ROUND(N($H336)+N($I336),2)=0),"",IF(N($H336)&gt;0,$M336,$K336))</f>
        <v/>
      </c>
      <c r="O336" s="41" t="str">
        <f aca="false">IF($N336="","",ROUND(N($H336)+N($I336),2))</f>
        <v/>
      </c>
      <c r="P336" s="41" t="str">
        <f aca="false">IF($N336="","",0)</f>
        <v/>
      </c>
      <c r="Q336" s="39" t="str">
        <f aca="false">IF($N336="","",IF(N($H336)&gt;0,$K336,$M336))</f>
        <v/>
      </c>
      <c r="R336" s="41" t="str">
        <f aca="false">IF($Q336="","",0)</f>
        <v/>
      </c>
      <c r="S336" s="41" t="str">
        <f aca="false">IF($Q336="","",ROUND(N($H336)+N($I336),2))</f>
        <v/>
      </c>
      <c r="T336" s="42"/>
      <c r="U336" s="44"/>
      <c r="V336" s="41" t="str">
        <f aca="false">IF($B336="","",TEXT($B336,"yyyy年m月"))</f>
        <v/>
      </c>
      <c r="W336" s="42"/>
      <c r="X336" s="42"/>
      <c r="Y336" s="9"/>
    </row>
    <row r="337" customFormat="false" ht="18" hidden="false" customHeight="true" outlineLevel="0" collapsed="false">
      <c r="A337" s="9" t="str">
        <f aca="false">IF($C337="","",ROW()-3)</f>
        <v/>
      </c>
      <c r="B337" s="76"/>
      <c r="C337" s="74"/>
      <c r="D337" s="43"/>
      <c r="E337" s="42"/>
      <c r="F337" s="74"/>
      <c r="G337" s="74"/>
      <c r="H337" s="44"/>
      <c r="I337" s="44"/>
      <c r="J337" s="103" t="str">
        <f aca="false">IF($C337="","",ROUND(IFERROR(INDEX(期初余额!$I$4:$I$43,MATCH($C337,期初余额!$H$4:$H$43,0)),0)+SUMIFS($H$4:$H337,$C$4:$C337,$C337)-SUMIFS($I$4:$I337,$C$4:$C337,$C337),2))</f>
        <v/>
      </c>
      <c r="K337" s="104" t="str">
        <f aca="false">IF($T337&lt;&gt;"",$T337,IF($C337="","",IF(AND(N($I337)&gt;0,$G337&lt;&gt;""),IF(IFERROR(INDEX(科目表!$U$4:$U$123,MATCH($G337,科目表!$M$4:$M$123,0)),"")&amp;""="","管理费用",INDEX(科目表!$U$4:$U$123,MATCH($G337,科目表!$M$4:$M$123,0))),IF(N($H337)&gt;0,IF(IFERROR(INDEX(自动规则!$C$4:$C$143,MATCH($F337,自动规则!$B$4:$B$143,0)),"")&amp;""="","其他应收款",INDEX(自动规则!$C$4:$C$143,MATCH($F337,自动规则!$B$4:$B$143,0))),IF(IFERROR(INDEX(自动规则!$D$4:$D$143,MATCH($F337,自动规则!$B$4:$B$143,0)),"")&amp;""="","其他应付款",INDEX(自动规则!$D$4:$D$143,MATCH($F337,自动规则!$B$4:$B$143,0)))))))</f>
        <v/>
      </c>
      <c r="L337" s="43"/>
      <c r="M337" s="105" t="str">
        <f aca="false">IF($C337="","",IF(IFERROR(INDEX(科目表!$T$4:$T$123,MATCH($C337,科目表!$K$4:$K$123,0)),"")&amp;""="","其他货币资金",INDEX(科目表!$T$4:$T$123,MATCH($C337,科目表!$K$4:$K$123,0))))</f>
        <v/>
      </c>
      <c r="N337" s="39" t="str">
        <f aca="false">IF(OR($C337="",ROUND(N($H337)+N($I337),2)=0),"",IF(N($H337)&gt;0,$M337,$K337))</f>
        <v/>
      </c>
      <c r="O337" s="41" t="str">
        <f aca="false">IF($N337="","",ROUND(N($H337)+N($I337),2))</f>
        <v/>
      </c>
      <c r="P337" s="41" t="str">
        <f aca="false">IF($N337="","",0)</f>
        <v/>
      </c>
      <c r="Q337" s="39" t="str">
        <f aca="false">IF($N337="","",IF(N($H337)&gt;0,$K337,$M337))</f>
        <v/>
      </c>
      <c r="R337" s="41" t="str">
        <f aca="false">IF($Q337="","",0)</f>
        <v/>
      </c>
      <c r="S337" s="41" t="str">
        <f aca="false">IF($Q337="","",ROUND(N($H337)+N($I337),2))</f>
        <v/>
      </c>
      <c r="T337" s="42"/>
      <c r="U337" s="44"/>
      <c r="V337" s="41" t="str">
        <f aca="false">IF($B337="","",TEXT($B337,"yyyy年m月"))</f>
        <v/>
      </c>
      <c r="W337" s="42"/>
      <c r="X337" s="42"/>
      <c r="Y337" s="9"/>
    </row>
    <row r="338" customFormat="false" ht="18" hidden="false" customHeight="true" outlineLevel="0" collapsed="false">
      <c r="A338" s="9" t="str">
        <f aca="false">IF($C338="","",ROW()-3)</f>
        <v/>
      </c>
      <c r="B338" s="76"/>
      <c r="C338" s="74"/>
      <c r="D338" s="43"/>
      <c r="E338" s="42"/>
      <c r="F338" s="74"/>
      <c r="G338" s="74"/>
      <c r="H338" s="44"/>
      <c r="I338" s="44"/>
      <c r="J338" s="103" t="str">
        <f aca="false">IF($C338="","",ROUND(IFERROR(INDEX(期初余额!$I$4:$I$43,MATCH($C338,期初余额!$H$4:$H$43,0)),0)+SUMIFS($H$4:$H338,$C$4:$C338,$C338)-SUMIFS($I$4:$I338,$C$4:$C338,$C338),2))</f>
        <v/>
      </c>
      <c r="K338" s="104" t="str">
        <f aca="false">IF($T338&lt;&gt;"",$T338,IF($C338="","",IF(AND(N($I338)&gt;0,$G338&lt;&gt;""),IF(IFERROR(INDEX(科目表!$U$4:$U$123,MATCH($G338,科目表!$M$4:$M$123,0)),"")&amp;""="","管理费用",INDEX(科目表!$U$4:$U$123,MATCH($G338,科目表!$M$4:$M$123,0))),IF(N($H338)&gt;0,IF(IFERROR(INDEX(自动规则!$C$4:$C$143,MATCH($F338,自动规则!$B$4:$B$143,0)),"")&amp;""="","其他应收款",INDEX(自动规则!$C$4:$C$143,MATCH($F338,自动规则!$B$4:$B$143,0))),IF(IFERROR(INDEX(自动规则!$D$4:$D$143,MATCH($F338,自动规则!$B$4:$B$143,0)),"")&amp;""="","其他应付款",INDEX(自动规则!$D$4:$D$143,MATCH($F338,自动规则!$B$4:$B$143,0)))))))</f>
        <v/>
      </c>
      <c r="L338" s="43"/>
      <c r="M338" s="105" t="str">
        <f aca="false">IF($C338="","",IF(IFERROR(INDEX(科目表!$T$4:$T$123,MATCH($C338,科目表!$K$4:$K$123,0)),"")&amp;""="","其他货币资金",INDEX(科目表!$T$4:$T$123,MATCH($C338,科目表!$K$4:$K$123,0))))</f>
        <v/>
      </c>
      <c r="N338" s="39" t="str">
        <f aca="false">IF(OR($C338="",ROUND(N($H338)+N($I338),2)=0),"",IF(N($H338)&gt;0,$M338,$K338))</f>
        <v/>
      </c>
      <c r="O338" s="41" t="str">
        <f aca="false">IF($N338="","",ROUND(N($H338)+N($I338),2))</f>
        <v/>
      </c>
      <c r="P338" s="41" t="str">
        <f aca="false">IF($N338="","",0)</f>
        <v/>
      </c>
      <c r="Q338" s="39" t="str">
        <f aca="false">IF($N338="","",IF(N($H338)&gt;0,$K338,$M338))</f>
        <v/>
      </c>
      <c r="R338" s="41" t="str">
        <f aca="false">IF($Q338="","",0)</f>
        <v/>
      </c>
      <c r="S338" s="41" t="str">
        <f aca="false">IF($Q338="","",ROUND(N($H338)+N($I338),2))</f>
        <v/>
      </c>
      <c r="T338" s="42"/>
      <c r="U338" s="44"/>
      <c r="V338" s="41" t="str">
        <f aca="false">IF($B338="","",TEXT($B338,"yyyy年m月"))</f>
        <v/>
      </c>
      <c r="W338" s="42"/>
      <c r="X338" s="42"/>
      <c r="Y338" s="9"/>
    </row>
    <row r="339" customFormat="false" ht="18" hidden="false" customHeight="true" outlineLevel="0" collapsed="false">
      <c r="A339" s="9" t="str">
        <f aca="false">IF($C339="","",ROW()-3)</f>
        <v/>
      </c>
      <c r="B339" s="76"/>
      <c r="C339" s="74"/>
      <c r="D339" s="43"/>
      <c r="E339" s="42"/>
      <c r="F339" s="74"/>
      <c r="G339" s="74"/>
      <c r="H339" s="44"/>
      <c r="I339" s="44"/>
      <c r="J339" s="103" t="str">
        <f aca="false">IF($C339="","",ROUND(IFERROR(INDEX(期初余额!$I$4:$I$43,MATCH($C339,期初余额!$H$4:$H$43,0)),0)+SUMIFS($H$4:$H339,$C$4:$C339,$C339)-SUMIFS($I$4:$I339,$C$4:$C339,$C339),2))</f>
        <v/>
      </c>
      <c r="K339" s="104" t="str">
        <f aca="false">IF($T339&lt;&gt;"",$T339,IF($C339="","",IF(AND(N($I339)&gt;0,$G339&lt;&gt;""),IF(IFERROR(INDEX(科目表!$U$4:$U$123,MATCH($G339,科目表!$M$4:$M$123,0)),"")&amp;""="","管理费用",INDEX(科目表!$U$4:$U$123,MATCH($G339,科目表!$M$4:$M$123,0))),IF(N($H339)&gt;0,IF(IFERROR(INDEX(自动规则!$C$4:$C$143,MATCH($F339,自动规则!$B$4:$B$143,0)),"")&amp;""="","其他应收款",INDEX(自动规则!$C$4:$C$143,MATCH($F339,自动规则!$B$4:$B$143,0))),IF(IFERROR(INDEX(自动规则!$D$4:$D$143,MATCH($F339,自动规则!$B$4:$B$143,0)),"")&amp;""="","其他应付款",INDEX(自动规则!$D$4:$D$143,MATCH($F339,自动规则!$B$4:$B$143,0)))))))</f>
        <v/>
      </c>
      <c r="L339" s="43"/>
      <c r="M339" s="105" t="str">
        <f aca="false">IF($C339="","",IF(IFERROR(INDEX(科目表!$T$4:$T$123,MATCH($C339,科目表!$K$4:$K$123,0)),"")&amp;""="","其他货币资金",INDEX(科目表!$T$4:$T$123,MATCH($C339,科目表!$K$4:$K$123,0))))</f>
        <v/>
      </c>
      <c r="N339" s="39" t="str">
        <f aca="false">IF(OR($C339="",ROUND(N($H339)+N($I339),2)=0),"",IF(N($H339)&gt;0,$M339,$K339))</f>
        <v/>
      </c>
      <c r="O339" s="41" t="str">
        <f aca="false">IF($N339="","",ROUND(N($H339)+N($I339),2))</f>
        <v/>
      </c>
      <c r="P339" s="41" t="str">
        <f aca="false">IF($N339="","",0)</f>
        <v/>
      </c>
      <c r="Q339" s="39" t="str">
        <f aca="false">IF($N339="","",IF(N($H339)&gt;0,$K339,$M339))</f>
        <v/>
      </c>
      <c r="R339" s="41" t="str">
        <f aca="false">IF($Q339="","",0)</f>
        <v/>
      </c>
      <c r="S339" s="41" t="str">
        <f aca="false">IF($Q339="","",ROUND(N($H339)+N($I339),2))</f>
        <v/>
      </c>
      <c r="T339" s="42"/>
      <c r="U339" s="44"/>
      <c r="V339" s="41" t="str">
        <f aca="false">IF($B339="","",TEXT($B339,"yyyy年m月"))</f>
        <v/>
      </c>
      <c r="W339" s="42"/>
      <c r="X339" s="42"/>
      <c r="Y339" s="9"/>
    </row>
    <row r="340" customFormat="false" ht="18" hidden="false" customHeight="true" outlineLevel="0" collapsed="false">
      <c r="A340" s="9" t="str">
        <f aca="false">IF($C340="","",ROW()-3)</f>
        <v/>
      </c>
      <c r="B340" s="76"/>
      <c r="C340" s="74"/>
      <c r="D340" s="43"/>
      <c r="E340" s="42"/>
      <c r="F340" s="74"/>
      <c r="G340" s="74"/>
      <c r="H340" s="44"/>
      <c r="I340" s="44"/>
      <c r="J340" s="103" t="str">
        <f aca="false">IF($C340="","",ROUND(IFERROR(INDEX(期初余额!$I$4:$I$43,MATCH($C340,期初余额!$H$4:$H$43,0)),0)+SUMIFS($H$4:$H340,$C$4:$C340,$C340)-SUMIFS($I$4:$I340,$C$4:$C340,$C340),2))</f>
        <v/>
      </c>
      <c r="K340" s="104" t="str">
        <f aca="false">IF($T340&lt;&gt;"",$T340,IF($C340="","",IF(AND(N($I340)&gt;0,$G340&lt;&gt;""),IF(IFERROR(INDEX(科目表!$U$4:$U$123,MATCH($G340,科目表!$M$4:$M$123,0)),"")&amp;""="","管理费用",INDEX(科目表!$U$4:$U$123,MATCH($G340,科目表!$M$4:$M$123,0))),IF(N($H340)&gt;0,IF(IFERROR(INDEX(自动规则!$C$4:$C$143,MATCH($F340,自动规则!$B$4:$B$143,0)),"")&amp;""="","其他应收款",INDEX(自动规则!$C$4:$C$143,MATCH($F340,自动规则!$B$4:$B$143,0))),IF(IFERROR(INDEX(自动规则!$D$4:$D$143,MATCH($F340,自动规则!$B$4:$B$143,0)),"")&amp;""="","其他应付款",INDEX(自动规则!$D$4:$D$143,MATCH($F340,自动规则!$B$4:$B$143,0)))))))</f>
        <v/>
      </c>
      <c r="L340" s="43"/>
      <c r="M340" s="105" t="str">
        <f aca="false">IF($C340="","",IF(IFERROR(INDEX(科目表!$T$4:$T$123,MATCH($C340,科目表!$K$4:$K$123,0)),"")&amp;""="","其他货币资金",INDEX(科目表!$T$4:$T$123,MATCH($C340,科目表!$K$4:$K$123,0))))</f>
        <v/>
      </c>
      <c r="N340" s="39" t="str">
        <f aca="false">IF(OR($C340="",ROUND(N($H340)+N($I340),2)=0),"",IF(N($H340)&gt;0,$M340,$K340))</f>
        <v/>
      </c>
      <c r="O340" s="41" t="str">
        <f aca="false">IF($N340="","",ROUND(N($H340)+N($I340),2))</f>
        <v/>
      </c>
      <c r="P340" s="41" t="str">
        <f aca="false">IF($N340="","",0)</f>
        <v/>
      </c>
      <c r="Q340" s="39" t="str">
        <f aca="false">IF($N340="","",IF(N($H340)&gt;0,$K340,$M340))</f>
        <v/>
      </c>
      <c r="R340" s="41" t="str">
        <f aca="false">IF($Q340="","",0)</f>
        <v/>
      </c>
      <c r="S340" s="41" t="str">
        <f aca="false">IF($Q340="","",ROUND(N($H340)+N($I340),2))</f>
        <v/>
      </c>
      <c r="T340" s="42"/>
      <c r="U340" s="44"/>
      <c r="V340" s="41" t="str">
        <f aca="false">IF($B340="","",TEXT($B340,"yyyy年m月"))</f>
        <v/>
      </c>
      <c r="W340" s="42"/>
      <c r="X340" s="42"/>
      <c r="Y340" s="9"/>
    </row>
    <row r="341" customFormat="false" ht="18" hidden="false" customHeight="true" outlineLevel="0" collapsed="false">
      <c r="A341" s="9" t="str">
        <f aca="false">IF($C341="","",ROW()-3)</f>
        <v/>
      </c>
      <c r="B341" s="76"/>
      <c r="C341" s="74"/>
      <c r="D341" s="43"/>
      <c r="E341" s="42"/>
      <c r="F341" s="74"/>
      <c r="G341" s="74"/>
      <c r="H341" s="44"/>
      <c r="I341" s="44"/>
      <c r="J341" s="103" t="str">
        <f aca="false">IF($C341="","",ROUND(IFERROR(INDEX(期初余额!$I$4:$I$43,MATCH($C341,期初余额!$H$4:$H$43,0)),0)+SUMIFS($H$4:$H341,$C$4:$C341,$C341)-SUMIFS($I$4:$I341,$C$4:$C341,$C341),2))</f>
        <v/>
      </c>
      <c r="K341" s="104" t="str">
        <f aca="false">IF($T341&lt;&gt;"",$T341,IF($C341="","",IF(AND(N($I341)&gt;0,$G341&lt;&gt;""),IF(IFERROR(INDEX(科目表!$U$4:$U$123,MATCH($G341,科目表!$M$4:$M$123,0)),"")&amp;""="","管理费用",INDEX(科目表!$U$4:$U$123,MATCH($G341,科目表!$M$4:$M$123,0))),IF(N($H341)&gt;0,IF(IFERROR(INDEX(自动规则!$C$4:$C$143,MATCH($F341,自动规则!$B$4:$B$143,0)),"")&amp;""="","其他应收款",INDEX(自动规则!$C$4:$C$143,MATCH($F341,自动规则!$B$4:$B$143,0))),IF(IFERROR(INDEX(自动规则!$D$4:$D$143,MATCH($F341,自动规则!$B$4:$B$143,0)),"")&amp;""="","其他应付款",INDEX(自动规则!$D$4:$D$143,MATCH($F341,自动规则!$B$4:$B$143,0)))))))</f>
        <v/>
      </c>
      <c r="L341" s="43"/>
      <c r="M341" s="105" t="str">
        <f aca="false">IF($C341="","",IF(IFERROR(INDEX(科目表!$T$4:$T$123,MATCH($C341,科目表!$K$4:$K$123,0)),"")&amp;""="","其他货币资金",INDEX(科目表!$T$4:$T$123,MATCH($C341,科目表!$K$4:$K$123,0))))</f>
        <v/>
      </c>
      <c r="N341" s="39" t="str">
        <f aca="false">IF(OR($C341="",ROUND(N($H341)+N($I341),2)=0),"",IF(N($H341)&gt;0,$M341,$K341))</f>
        <v/>
      </c>
      <c r="O341" s="41" t="str">
        <f aca="false">IF($N341="","",ROUND(N($H341)+N($I341),2))</f>
        <v/>
      </c>
      <c r="P341" s="41" t="str">
        <f aca="false">IF($N341="","",0)</f>
        <v/>
      </c>
      <c r="Q341" s="39" t="str">
        <f aca="false">IF($N341="","",IF(N($H341)&gt;0,$K341,$M341))</f>
        <v/>
      </c>
      <c r="R341" s="41" t="str">
        <f aca="false">IF($Q341="","",0)</f>
        <v/>
      </c>
      <c r="S341" s="41" t="str">
        <f aca="false">IF($Q341="","",ROUND(N($H341)+N($I341),2))</f>
        <v/>
      </c>
      <c r="T341" s="42"/>
      <c r="U341" s="44"/>
      <c r="V341" s="41" t="str">
        <f aca="false">IF($B341="","",TEXT($B341,"yyyy年m月"))</f>
        <v/>
      </c>
      <c r="W341" s="42"/>
      <c r="X341" s="42"/>
      <c r="Y341" s="9"/>
    </row>
    <row r="342" customFormat="false" ht="18" hidden="false" customHeight="true" outlineLevel="0" collapsed="false">
      <c r="A342" s="9" t="str">
        <f aca="false">IF($C342="","",ROW()-3)</f>
        <v/>
      </c>
      <c r="B342" s="76"/>
      <c r="C342" s="74"/>
      <c r="D342" s="43"/>
      <c r="E342" s="42"/>
      <c r="F342" s="74"/>
      <c r="G342" s="74"/>
      <c r="H342" s="44"/>
      <c r="I342" s="44"/>
      <c r="J342" s="103" t="str">
        <f aca="false">IF($C342="","",ROUND(IFERROR(INDEX(期初余额!$I$4:$I$43,MATCH($C342,期初余额!$H$4:$H$43,0)),0)+SUMIFS($H$4:$H342,$C$4:$C342,$C342)-SUMIFS($I$4:$I342,$C$4:$C342,$C342),2))</f>
        <v/>
      </c>
      <c r="K342" s="104" t="str">
        <f aca="false">IF($T342&lt;&gt;"",$T342,IF($C342="","",IF(AND(N($I342)&gt;0,$G342&lt;&gt;""),IF(IFERROR(INDEX(科目表!$U$4:$U$123,MATCH($G342,科目表!$M$4:$M$123,0)),"")&amp;""="","管理费用",INDEX(科目表!$U$4:$U$123,MATCH($G342,科目表!$M$4:$M$123,0))),IF(N($H342)&gt;0,IF(IFERROR(INDEX(自动规则!$C$4:$C$143,MATCH($F342,自动规则!$B$4:$B$143,0)),"")&amp;""="","其他应收款",INDEX(自动规则!$C$4:$C$143,MATCH($F342,自动规则!$B$4:$B$143,0))),IF(IFERROR(INDEX(自动规则!$D$4:$D$143,MATCH($F342,自动规则!$B$4:$B$143,0)),"")&amp;""="","其他应付款",INDEX(自动规则!$D$4:$D$143,MATCH($F342,自动规则!$B$4:$B$143,0)))))))</f>
        <v/>
      </c>
      <c r="L342" s="43"/>
      <c r="M342" s="105" t="str">
        <f aca="false">IF($C342="","",IF(IFERROR(INDEX(科目表!$T$4:$T$123,MATCH($C342,科目表!$K$4:$K$123,0)),"")&amp;""="","其他货币资金",INDEX(科目表!$T$4:$T$123,MATCH($C342,科目表!$K$4:$K$123,0))))</f>
        <v/>
      </c>
      <c r="N342" s="39" t="str">
        <f aca="false">IF(OR($C342="",ROUND(N($H342)+N($I342),2)=0),"",IF(N($H342)&gt;0,$M342,$K342))</f>
        <v/>
      </c>
      <c r="O342" s="41" t="str">
        <f aca="false">IF($N342="","",ROUND(N($H342)+N($I342),2))</f>
        <v/>
      </c>
      <c r="P342" s="41" t="str">
        <f aca="false">IF($N342="","",0)</f>
        <v/>
      </c>
      <c r="Q342" s="39" t="str">
        <f aca="false">IF($N342="","",IF(N($H342)&gt;0,$K342,$M342))</f>
        <v/>
      </c>
      <c r="R342" s="41" t="str">
        <f aca="false">IF($Q342="","",0)</f>
        <v/>
      </c>
      <c r="S342" s="41" t="str">
        <f aca="false">IF($Q342="","",ROUND(N($H342)+N($I342),2))</f>
        <v/>
      </c>
      <c r="T342" s="42"/>
      <c r="U342" s="44"/>
      <c r="V342" s="41" t="str">
        <f aca="false">IF($B342="","",TEXT($B342,"yyyy年m月"))</f>
        <v/>
      </c>
      <c r="W342" s="42"/>
      <c r="X342" s="42"/>
      <c r="Y342" s="9"/>
    </row>
    <row r="343" customFormat="false" ht="18" hidden="false" customHeight="true" outlineLevel="0" collapsed="false">
      <c r="A343" s="9" t="str">
        <f aca="false">IF($C343="","",ROW()-3)</f>
        <v/>
      </c>
      <c r="B343" s="76"/>
      <c r="C343" s="74"/>
      <c r="D343" s="43"/>
      <c r="E343" s="42"/>
      <c r="F343" s="74"/>
      <c r="G343" s="74"/>
      <c r="H343" s="44"/>
      <c r="I343" s="44"/>
      <c r="J343" s="103" t="str">
        <f aca="false">IF($C343="","",ROUND(IFERROR(INDEX(期初余额!$I$4:$I$43,MATCH($C343,期初余额!$H$4:$H$43,0)),0)+SUMIFS($H$4:$H343,$C$4:$C343,$C343)-SUMIFS($I$4:$I343,$C$4:$C343,$C343),2))</f>
        <v/>
      </c>
      <c r="K343" s="104" t="str">
        <f aca="false">IF($T343&lt;&gt;"",$T343,IF($C343="","",IF(AND(N($I343)&gt;0,$G343&lt;&gt;""),IF(IFERROR(INDEX(科目表!$U$4:$U$123,MATCH($G343,科目表!$M$4:$M$123,0)),"")&amp;""="","管理费用",INDEX(科目表!$U$4:$U$123,MATCH($G343,科目表!$M$4:$M$123,0))),IF(N($H343)&gt;0,IF(IFERROR(INDEX(自动规则!$C$4:$C$143,MATCH($F343,自动规则!$B$4:$B$143,0)),"")&amp;""="","其他应收款",INDEX(自动规则!$C$4:$C$143,MATCH($F343,自动规则!$B$4:$B$143,0))),IF(IFERROR(INDEX(自动规则!$D$4:$D$143,MATCH($F343,自动规则!$B$4:$B$143,0)),"")&amp;""="","其他应付款",INDEX(自动规则!$D$4:$D$143,MATCH($F343,自动规则!$B$4:$B$143,0)))))))</f>
        <v/>
      </c>
      <c r="L343" s="43"/>
      <c r="M343" s="105" t="str">
        <f aca="false">IF($C343="","",IF(IFERROR(INDEX(科目表!$T$4:$T$123,MATCH($C343,科目表!$K$4:$K$123,0)),"")&amp;""="","其他货币资金",INDEX(科目表!$T$4:$T$123,MATCH($C343,科目表!$K$4:$K$123,0))))</f>
        <v/>
      </c>
      <c r="N343" s="39" t="str">
        <f aca="false">IF(OR($C343="",ROUND(N($H343)+N($I343),2)=0),"",IF(N($H343)&gt;0,$M343,$K343))</f>
        <v/>
      </c>
      <c r="O343" s="41" t="str">
        <f aca="false">IF($N343="","",ROUND(N($H343)+N($I343),2))</f>
        <v/>
      </c>
      <c r="P343" s="41" t="str">
        <f aca="false">IF($N343="","",0)</f>
        <v/>
      </c>
      <c r="Q343" s="39" t="str">
        <f aca="false">IF($N343="","",IF(N($H343)&gt;0,$K343,$M343))</f>
        <v/>
      </c>
      <c r="R343" s="41" t="str">
        <f aca="false">IF($Q343="","",0)</f>
        <v/>
      </c>
      <c r="S343" s="41" t="str">
        <f aca="false">IF($Q343="","",ROUND(N($H343)+N($I343),2))</f>
        <v/>
      </c>
      <c r="T343" s="42"/>
      <c r="U343" s="44"/>
      <c r="V343" s="41" t="str">
        <f aca="false">IF($B343="","",TEXT($B343,"yyyy年m月"))</f>
        <v/>
      </c>
      <c r="W343" s="42"/>
      <c r="X343" s="42"/>
      <c r="Y343" s="9"/>
    </row>
    <row r="344" customFormat="false" ht="18" hidden="false" customHeight="true" outlineLevel="0" collapsed="false">
      <c r="A344" s="9" t="str">
        <f aca="false">IF($C344="","",ROW()-3)</f>
        <v/>
      </c>
      <c r="B344" s="76"/>
      <c r="C344" s="74"/>
      <c r="D344" s="43"/>
      <c r="E344" s="42"/>
      <c r="F344" s="74"/>
      <c r="G344" s="74"/>
      <c r="H344" s="44"/>
      <c r="I344" s="44"/>
      <c r="J344" s="103" t="str">
        <f aca="false">IF($C344="","",ROUND(IFERROR(INDEX(期初余额!$I$4:$I$43,MATCH($C344,期初余额!$H$4:$H$43,0)),0)+SUMIFS($H$4:$H344,$C$4:$C344,$C344)-SUMIFS($I$4:$I344,$C$4:$C344,$C344),2))</f>
        <v/>
      </c>
      <c r="K344" s="104" t="str">
        <f aca="false">IF($T344&lt;&gt;"",$T344,IF($C344="","",IF(AND(N($I344)&gt;0,$G344&lt;&gt;""),IF(IFERROR(INDEX(科目表!$U$4:$U$123,MATCH($G344,科目表!$M$4:$M$123,0)),"")&amp;""="","管理费用",INDEX(科目表!$U$4:$U$123,MATCH($G344,科目表!$M$4:$M$123,0))),IF(N($H344)&gt;0,IF(IFERROR(INDEX(自动规则!$C$4:$C$143,MATCH($F344,自动规则!$B$4:$B$143,0)),"")&amp;""="","其他应收款",INDEX(自动规则!$C$4:$C$143,MATCH($F344,自动规则!$B$4:$B$143,0))),IF(IFERROR(INDEX(自动规则!$D$4:$D$143,MATCH($F344,自动规则!$B$4:$B$143,0)),"")&amp;""="","其他应付款",INDEX(自动规则!$D$4:$D$143,MATCH($F344,自动规则!$B$4:$B$143,0)))))))</f>
        <v/>
      </c>
      <c r="L344" s="43"/>
      <c r="M344" s="105" t="str">
        <f aca="false">IF($C344="","",IF(IFERROR(INDEX(科目表!$T$4:$T$123,MATCH($C344,科目表!$K$4:$K$123,0)),"")&amp;""="","其他货币资金",INDEX(科目表!$T$4:$T$123,MATCH($C344,科目表!$K$4:$K$123,0))))</f>
        <v/>
      </c>
      <c r="N344" s="39" t="str">
        <f aca="false">IF(OR($C344="",ROUND(N($H344)+N($I344),2)=0),"",IF(N($H344)&gt;0,$M344,$K344))</f>
        <v/>
      </c>
      <c r="O344" s="41" t="str">
        <f aca="false">IF($N344="","",ROUND(N($H344)+N($I344),2))</f>
        <v/>
      </c>
      <c r="P344" s="41" t="str">
        <f aca="false">IF($N344="","",0)</f>
        <v/>
      </c>
      <c r="Q344" s="39" t="str">
        <f aca="false">IF($N344="","",IF(N($H344)&gt;0,$K344,$M344))</f>
        <v/>
      </c>
      <c r="R344" s="41" t="str">
        <f aca="false">IF($Q344="","",0)</f>
        <v/>
      </c>
      <c r="S344" s="41" t="str">
        <f aca="false">IF($Q344="","",ROUND(N($H344)+N($I344),2))</f>
        <v/>
      </c>
      <c r="T344" s="42"/>
      <c r="U344" s="44"/>
      <c r="V344" s="41" t="str">
        <f aca="false">IF($B344="","",TEXT($B344,"yyyy年m月"))</f>
        <v/>
      </c>
      <c r="W344" s="42"/>
      <c r="X344" s="42"/>
      <c r="Y344" s="9"/>
    </row>
    <row r="345" customFormat="false" ht="18" hidden="false" customHeight="true" outlineLevel="0" collapsed="false">
      <c r="A345" s="9" t="str">
        <f aca="false">IF($C345="","",ROW()-3)</f>
        <v/>
      </c>
      <c r="B345" s="76"/>
      <c r="C345" s="74"/>
      <c r="D345" s="43"/>
      <c r="E345" s="42"/>
      <c r="F345" s="74"/>
      <c r="G345" s="74"/>
      <c r="H345" s="44"/>
      <c r="I345" s="44"/>
      <c r="J345" s="103" t="str">
        <f aca="false">IF($C345="","",ROUND(IFERROR(INDEX(期初余额!$I$4:$I$43,MATCH($C345,期初余额!$H$4:$H$43,0)),0)+SUMIFS($H$4:$H345,$C$4:$C345,$C345)-SUMIFS($I$4:$I345,$C$4:$C345,$C345),2))</f>
        <v/>
      </c>
      <c r="K345" s="104" t="str">
        <f aca="false">IF($T345&lt;&gt;"",$T345,IF($C345="","",IF(AND(N($I345)&gt;0,$G345&lt;&gt;""),IF(IFERROR(INDEX(科目表!$U$4:$U$123,MATCH($G345,科目表!$M$4:$M$123,0)),"")&amp;""="","管理费用",INDEX(科目表!$U$4:$U$123,MATCH($G345,科目表!$M$4:$M$123,0))),IF(N($H345)&gt;0,IF(IFERROR(INDEX(自动规则!$C$4:$C$143,MATCH($F345,自动规则!$B$4:$B$143,0)),"")&amp;""="","其他应收款",INDEX(自动规则!$C$4:$C$143,MATCH($F345,自动规则!$B$4:$B$143,0))),IF(IFERROR(INDEX(自动规则!$D$4:$D$143,MATCH($F345,自动规则!$B$4:$B$143,0)),"")&amp;""="","其他应付款",INDEX(自动规则!$D$4:$D$143,MATCH($F345,自动规则!$B$4:$B$143,0)))))))</f>
        <v/>
      </c>
      <c r="L345" s="43"/>
      <c r="M345" s="105" t="str">
        <f aca="false">IF($C345="","",IF(IFERROR(INDEX(科目表!$T$4:$T$123,MATCH($C345,科目表!$K$4:$K$123,0)),"")&amp;""="","其他货币资金",INDEX(科目表!$T$4:$T$123,MATCH($C345,科目表!$K$4:$K$123,0))))</f>
        <v/>
      </c>
      <c r="N345" s="39" t="str">
        <f aca="false">IF(OR($C345="",ROUND(N($H345)+N($I345),2)=0),"",IF(N($H345)&gt;0,$M345,$K345))</f>
        <v/>
      </c>
      <c r="O345" s="41" t="str">
        <f aca="false">IF($N345="","",ROUND(N($H345)+N($I345),2))</f>
        <v/>
      </c>
      <c r="P345" s="41" t="str">
        <f aca="false">IF($N345="","",0)</f>
        <v/>
      </c>
      <c r="Q345" s="39" t="str">
        <f aca="false">IF($N345="","",IF(N($H345)&gt;0,$K345,$M345))</f>
        <v/>
      </c>
      <c r="R345" s="41" t="str">
        <f aca="false">IF($Q345="","",0)</f>
        <v/>
      </c>
      <c r="S345" s="41" t="str">
        <f aca="false">IF($Q345="","",ROUND(N($H345)+N($I345),2))</f>
        <v/>
      </c>
      <c r="T345" s="42"/>
      <c r="U345" s="44"/>
      <c r="V345" s="41" t="str">
        <f aca="false">IF($B345="","",TEXT($B345,"yyyy年m月"))</f>
        <v/>
      </c>
      <c r="W345" s="42"/>
      <c r="X345" s="42"/>
      <c r="Y345" s="9"/>
    </row>
    <row r="346" customFormat="false" ht="18" hidden="false" customHeight="true" outlineLevel="0" collapsed="false">
      <c r="A346" s="9" t="str">
        <f aca="false">IF($C346="","",ROW()-3)</f>
        <v/>
      </c>
      <c r="B346" s="76"/>
      <c r="C346" s="74"/>
      <c r="D346" s="43"/>
      <c r="E346" s="42"/>
      <c r="F346" s="74"/>
      <c r="G346" s="74"/>
      <c r="H346" s="44"/>
      <c r="I346" s="44"/>
      <c r="J346" s="103" t="str">
        <f aca="false">IF($C346="","",ROUND(IFERROR(INDEX(期初余额!$I$4:$I$43,MATCH($C346,期初余额!$H$4:$H$43,0)),0)+SUMIFS($H$4:$H346,$C$4:$C346,$C346)-SUMIFS($I$4:$I346,$C$4:$C346,$C346),2))</f>
        <v/>
      </c>
      <c r="K346" s="104" t="str">
        <f aca="false">IF($T346&lt;&gt;"",$T346,IF($C346="","",IF(AND(N($I346)&gt;0,$G346&lt;&gt;""),IF(IFERROR(INDEX(科目表!$U$4:$U$123,MATCH($G346,科目表!$M$4:$M$123,0)),"")&amp;""="","管理费用",INDEX(科目表!$U$4:$U$123,MATCH($G346,科目表!$M$4:$M$123,0))),IF(N($H346)&gt;0,IF(IFERROR(INDEX(自动规则!$C$4:$C$143,MATCH($F346,自动规则!$B$4:$B$143,0)),"")&amp;""="","其他应收款",INDEX(自动规则!$C$4:$C$143,MATCH($F346,自动规则!$B$4:$B$143,0))),IF(IFERROR(INDEX(自动规则!$D$4:$D$143,MATCH($F346,自动规则!$B$4:$B$143,0)),"")&amp;""="","其他应付款",INDEX(自动规则!$D$4:$D$143,MATCH($F346,自动规则!$B$4:$B$143,0)))))))</f>
        <v/>
      </c>
      <c r="L346" s="43"/>
      <c r="M346" s="105" t="str">
        <f aca="false">IF($C346="","",IF(IFERROR(INDEX(科目表!$T$4:$T$123,MATCH($C346,科目表!$K$4:$K$123,0)),"")&amp;""="","其他货币资金",INDEX(科目表!$T$4:$T$123,MATCH($C346,科目表!$K$4:$K$123,0))))</f>
        <v/>
      </c>
      <c r="N346" s="39" t="str">
        <f aca="false">IF(OR($C346="",ROUND(N($H346)+N($I346),2)=0),"",IF(N($H346)&gt;0,$M346,$K346))</f>
        <v/>
      </c>
      <c r="O346" s="41" t="str">
        <f aca="false">IF($N346="","",ROUND(N($H346)+N($I346),2))</f>
        <v/>
      </c>
      <c r="P346" s="41" t="str">
        <f aca="false">IF($N346="","",0)</f>
        <v/>
      </c>
      <c r="Q346" s="39" t="str">
        <f aca="false">IF($N346="","",IF(N($H346)&gt;0,$K346,$M346))</f>
        <v/>
      </c>
      <c r="R346" s="41" t="str">
        <f aca="false">IF($Q346="","",0)</f>
        <v/>
      </c>
      <c r="S346" s="41" t="str">
        <f aca="false">IF($Q346="","",ROUND(N($H346)+N($I346),2))</f>
        <v/>
      </c>
      <c r="T346" s="42"/>
      <c r="U346" s="44"/>
      <c r="V346" s="41" t="str">
        <f aca="false">IF($B346="","",TEXT($B346,"yyyy年m月"))</f>
        <v/>
      </c>
      <c r="W346" s="42"/>
      <c r="X346" s="42"/>
      <c r="Y346" s="9"/>
    </row>
    <row r="347" customFormat="false" ht="18" hidden="false" customHeight="true" outlineLevel="0" collapsed="false">
      <c r="A347" s="9" t="str">
        <f aca="false">IF($C347="","",ROW()-3)</f>
        <v/>
      </c>
      <c r="B347" s="76"/>
      <c r="C347" s="74"/>
      <c r="D347" s="43"/>
      <c r="E347" s="42"/>
      <c r="F347" s="74"/>
      <c r="G347" s="74"/>
      <c r="H347" s="44"/>
      <c r="I347" s="44"/>
      <c r="J347" s="103" t="str">
        <f aca="false">IF($C347="","",ROUND(IFERROR(INDEX(期初余额!$I$4:$I$43,MATCH($C347,期初余额!$H$4:$H$43,0)),0)+SUMIFS($H$4:$H347,$C$4:$C347,$C347)-SUMIFS($I$4:$I347,$C$4:$C347,$C347),2))</f>
        <v/>
      </c>
      <c r="K347" s="104" t="str">
        <f aca="false">IF($T347&lt;&gt;"",$T347,IF($C347="","",IF(AND(N($I347)&gt;0,$G347&lt;&gt;""),IF(IFERROR(INDEX(科目表!$U$4:$U$123,MATCH($G347,科目表!$M$4:$M$123,0)),"")&amp;""="","管理费用",INDEX(科目表!$U$4:$U$123,MATCH($G347,科目表!$M$4:$M$123,0))),IF(N($H347)&gt;0,IF(IFERROR(INDEX(自动规则!$C$4:$C$143,MATCH($F347,自动规则!$B$4:$B$143,0)),"")&amp;""="","其他应收款",INDEX(自动规则!$C$4:$C$143,MATCH($F347,自动规则!$B$4:$B$143,0))),IF(IFERROR(INDEX(自动规则!$D$4:$D$143,MATCH($F347,自动规则!$B$4:$B$143,0)),"")&amp;""="","其他应付款",INDEX(自动规则!$D$4:$D$143,MATCH($F347,自动规则!$B$4:$B$143,0)))))))</f>
        <v/>
      </c>
      <c r="L347" s="43"/>
      <c r="M347" s="105" t="str">
        <f aca="false">IF($C347="","",IF(IFERROR(INDEX(科目表!$T$4:$T$123,MATCH($C347,科目表!$K$4:$K$123,0)),"")&amp;""="","其他货币资金",INDEX(科目表!$T$4:$T$123,MATCH($C347,科目表!$K$4:$K$123,0))))</f>
        <v/>
      </c>
      <c r="N347" s="39" t="str">
        <f aca="false">IF(OR($C347="",ROUND(N($H347)+N($I347),2)=0),"",IF(N($H347)&gt;0,$M347,$K347))</f>
        <v/>
      </c>
      <c r="O347" s="41" t="str">
        <f aca="false">IF($N347="","",ROUND(N($H347)+N($I347),2))</f>
        <v/>
      </c>
      <c r="P347" s="41" t="str">
        <f aca="false">IF($N347="","",0)</f>
        <v/>
      </c>
      <c r="Q347" s="39" t="str">
        <f aca="false">IF($N347="","",IF(N($H347)&gt;0,$K347,$M347))</f>
        <v/>
      </c>
      <c r="R347" s="41" t="str">
        <f aca="false">IF($Q347="","",0)</f>
        <v/>
      </c>
      <c r="S347" s="41" t="str">
        <f aca="false">IF($Q347="","",ROUND(N($H347)+N($I347),2))</f>
        <v/>
      </c>
      <c r="T347" s="42"/>
      <c r="U347" s="44"/>
      <c r="V347" s="41" t="str">
        <f aca="false">IF($B347="","",TEXT($B347,"yyyy年m月"))</f>
        <v/>
      </c>
      <c r="W347" s="42"/>
      <c r="X347" s="42"/>
      <c r="Y347" s="9"/>
    </row>
    <row r="348" customFormat="false" ht="18" hidden="false" customHeight="true" outlineLevel="0" collapsed="false">
      <c r="A348" s="9" t="str">
        <f aca="false">IF($C348="","",ROW()-3)</f>
        <v/>
      </c>
      <c r="B348" s="76"/>
      <c r="C348" s="74"/>
      <c r="D348" s="43"/>
      <c r="E348" s="42"/>
      <c r="F348" s="74"/>
      <c r="G348" s="74"/>
      <c r="H348" s="44"/>
      <c r="I348" s="44"/>
      <c r="J348" s="103" t="str">
        <f aca="false">IF($C348="","",ROUND(IFERROR(INDEX(期初余额!$I$4:$I$43,MATCH($C348,期初余额!$H$4:$H$43,0)),0)+SUMIFS($H$4:$H348,$C$4:$C348,$C348)-SUMIFS($I$4:$I348,$C$4:$C348,$C348),2))</f>
        <v/>
      </c>
      <c r="K348" s="104" t="str">
        <f aca="false">IF($T348&lt;&gt;"",$T348,IF($C348="","",IF(AND(N($I348)&gt;0,$G348&lt;&gt;""),IF(IFERROR(INDEX(科目表!$U$4:$U$123,MATCH($G348,科目表!$M$4:$M$123,0)),"")&amp;""="","管理费用",INDEX(科目表!$U$4:$U$123,MATCH($G348,科目表!$M$4:$M$123,0))),IF(N($H348)&gt;0,IF(IFERROR(INDEX(自动规则!$C$4:$C$143,MATCH($F348,自动规则!$B$4:$B$143,0)),"")&amp;""="","其他应收款",INDEX(自动规则!$C$4:$C$143,MATCH($F348,自动规则!$B$4:$B$143,0))),IF(IFERROR(INDEX(自动规则!$D$4:$D$143,MATCH($F348,自动规则!$B$4:$B$143,0)),"")&amp;""="","其他应付款",INDEX(自动规则!$D$4:$D$143,MATCH($F348,自动规则!$B$4:$B$143,0)))))))</f>
        <v/>
      </c>
      <c r="L348" s="43"/>
      <c r="M348" s="105" t="str">
        <f aca="false">IF($C348="","",IF(IFERROR(INDEX(科目表!$T$4:$T$123,MATCH($C348,科目表!$K$4:$K$123,0)),"")&amp;""="","其他货币资金",INDEX(科目表!$T$4:$T$123,MATCH($C348,科目表!$K$4:$K$123,0))))</f>
        <v/>
      </c>
      <c r="N348" s="39" t="str">
        <f aca="false">IF(OR($C348="",ROUND(N($H348)+N($I348),2)=0),"",IF(N($H348)&gt;0,$M348,$K348))</f>
        <v/>
      </c>
      <c r="O348" s="41" t="str">
        <f aca="false">IF($N348="","",ROUND(N($H348)+N($I348),2))</f>
        <v/>
      </c>
      <c r="P348" s="41" t="str">
        <f aca="false">IF($N348="","",0)</f>
        <v/>
      </c>
      <c r="Q348" s="39" t="str">
        <f aca="false">IF($N348="","",IF(N($H348)&gt;0,$K348,$M348))</f>
        <v/>
      </c>
      <c r="R348" s="41" t="str">
        <f aca="false">IF($Q348="","",0)</f>
        <v/>
      </c>
      <c r="S348" s="41" t="str">
        <f aca="false">IF($Q348="","",ROUND(N($H348)+N($I348),2))</f>
        <v/>
      </c>
      <c r="T348" s="42"/>
      <c r="U348" s="44"/>
      <c r="V348" s="41" t="str">
        <f aca="false">IF($B348="","",TEXT($B348,"yyyy年m月"))</f>
        <v/>
      </c>
      <c r="W348" s="42"/>
      <c r="X348" s="42"/>
      <c r="Y348" s="9"/>
    </row>
    <row r="349" customFormat="false" ht="18" hidden="false" customHeight="true" outlineLevel="0" collapsed="false">
      <c r="A349" s="9" t="str">
        <f aca="false">IF($C349="","",ROW()-3)</f>
        <v/>
      </c>
      <c r="B349" s="76"/>
      <c r="C349" s="74"/>
      <c r="D349" s="43"/>
      <c r="E349" s="42"/>
      <c r="F349" s="74"/>
      <c r="G349" s="74"/>
      <c r="H349" s="44"/>
      <c r="I349" s="44"/>
      <c r="J349" s="103" t="str">
        <f aca="false">IF($C349="","",ROUND(IFERROR(INDEX(期初余额!$I$4:$I$43,MATCH($C349,期初余额!$H$4:$H$43,0)),0)+SUMIFS($H$4:$H349,$C$4:$C349,$C349)-SUMIFS($I$4:$I349,$C$4:$C349,$C349),2))</f>
        <v/>
      </c>
      <c r="K349" s="104" t="str">
        <f aca="false">IF($T349&lt;&gt;"",$T349,IF($C349="","",IF(AND(N($I349)&gt;0,$G349&lt;&gt;""),IF(IFERROR(INDEX(科目表!$U$4:$U$123,MATCH($G349,科目表!$M$4:$M$123,0)),"")&amp;""="","管理费用",INDEX(科目表!$U$4:$U$123,MATCH($G349,科目表!$M$4:$M$123,0))),IF(N($H349)&gt;0,IF(IFERROR(INDEX(自动规则!$C$4:$C$143,MATCH($F349,自动规则!$B$4:$B$143,0)),"")&amp;""="","其他应收款",INDEX(自动规则!$C$4:$C$143,MATCH($F349,自动规则!$B$4:$B$143,0))),IF(IFERROR(INDEX(自动规则!$D$4:$D$143,MATCH($F349,自动规则!$B$4:$B$143,0)),"")&amp;""="","其他应付款",INDEX(自动规则!$D$4:$D$143,MATCH($F349,自动规则!$B$4:$B$143,0)))))))</f>
        <v/>
      </c>
      <c r="L349" s="43"/>
      <c r="M349" s="105" t="str">
        <f aca="false">IF($C349="","",IF(IFERROR(INDEX(科目表!$T$4:$T$123,MATCH($C349,科目表!$K$4:$K$123,0)),"")&amp;""="","其他货币资金",INDEX(科目表!$T$4:$T$123,MATCH($C349,科目表!$K$4:$K$123,0))))</f>
        <v/>
      </c>
      <c r="N349" s="39" t="str">
        <f aca="false">IF(OR($C349="",ROUND(N($H349)+N($I349),2)=0),"",IF(N($H349)&gt;0,$M349,$K349))</f>
        <v/>
      </c>
      <c r="O349" s="41" t="str">
        <f aca="false">IF($N349="","",ROUND(N($H349)+N($I349),2))</f>
        <v/>
      </c>
      <c r="P349" s="41" t="str">
        <f aca="false">IF($N349="","",0)</f>
        <v/>
      </c>
      <c r="Q349" s="39" t="str">
        <f aca="false">IF($N349="","",IF(N($H349)&gt;0,$K349,$M349))</f>
        <v/>
      </c>
      <c r="R349" s="41" t="str">
        <f aca="false">IF($Q349="","",0)</f>
        <v/>
      </c>
      <c r="S349" s="41" t="str">
        <f aca="false">IF($Q349="","",ROUND(N($H349)+N($I349),2))</f>
        <v/>
      </c>
      <c r="T349" s="42"/>
      <c r="U349" s="44"/>
      <c r="V349" s="41" t="str">
        <f aca="false">IF($B349="","",TEXT($B349,"yyyy年m月"))</f>
        <v/>
      </c>
      <c r="W349" s="42"/>
      <c r="X349" s="42"/>
      <c r="Y349" s="9"/>
    </row>
    <row r="350" customFormat="false" ht="18" hidden="false" customHeight="true" outlineLevel="0" collapsed="false">
      <c r="A350" s="9" t="str">
        <f aca="false">IF($C350="","",ROW()-3)</f>
        <v/>
      </c>
      <c r="B350" s="76"/>
      <c r="C350" s="74"/>
      <c r="D350" s="43"/>
      <c r="E350" s="42"/>
      <c r="F350" s="74"/>
      <c r="G350" s="74"/>
      <c r="H350" s="44"/>
      <c r="I350" s="44"/>
      <c r="J350" s="103" t="str">
        <f aca="false">IF($C350="","",ROUND(IFERROR(INDEX(期初余额!$I$4:$I$43,MATCH($C350,期初余额!$H$4:$H$43,0)),0)+SUMIFS($H$4:$H350,$C$4:$C350,$C350)-SUMIFS($I$4:$I350,$C$4:$C350,$C350),2))</f>
        <v/>
      </c>
      <c r="K350" s="104" t="str">
        <f aca="false">IF($T350&lt;&gt;"",$T350,IF($C350="","",IF(AND(N($I350)&gt;0,$G350&lt;&gt;""),IF(IFERROR(INDEX(科目表!$U$4:$U$123,MATCH($G350,科目表!$M$4:$M$123,0)),"")&amp;""="","管理费用",INDEX(科目表!$U$4:$U$123,MATCH($G350,科目表!$M$4:$M$123,0))),IF(N($H350)&gt;0,IF(IFERROR(INDEX(自动规则!$C$4:$C$143,MATCH($F350,自动规则!$B$4:$B$143,0)),"")&amp;""="","其他应收款",INDEX(自动规则!$C$4:$C$143,MATCH($F350,自动规则!$B$4:$B$143,0))),IF(IFERROR(INDEX(自动规则!$D$4:$D$143,MATCH($F350,自动规则!$B$4:$B$143,0)),"")&amp;""="","其他应付款",INDEX(自动规则!$D$4:$D$143,MATCH($F350,自动规则!$B$4:$B$143,0)))))))</f>
        <v/>
      </c>
      <c r="L350" s="43"/>
      <c r="M350" s="105" t="str">
        <f aca="false">IF($C350="","",IF(IFERROR(INDEX(科目表!$T$4:$T$123,MATCH($C350,科目表!$K$4:$K$123,0)),"")&amp;""="","其他货币资金",INDEX(科目表!$T$4:$T$123,MATCH($C350,科目表!$K$4:$K$123,0))))</f>
        <v/>
      </c>
      <c r="N350" s="39" t="str">
        <f aca="false">IF(OR($C350="",ROUND(N($H350)+N($I350),2)=0),"",IF(N($H350)&gt;0,$M350,$K350))</f>
        <v/>
      </c>
      <c r="O350" s="41" t="str">
        <f aca="false">IF($N350="","",ROUND(N($H350)+N($I350),2))</f>
        <v/>
      </c>
      <c r="P350" s="41" t="str">
        <f aca="false">IF($N350="","",0)</f>
        <v/>
      </c>
      <c r="Q350" s="39" t="str">
        <f aca="false">IF($N350="","",IF(N($H350)&gt;0,$K350,$M350))</f>
        <v/>
      </c>
      <c r="R350" s="41" t="str">
        <f aca="false">IF($Q350="","",0)</f>
        <v/>
      </c>
      <c r="S350" s="41" t="str">
        <f aca="false">IF($Q350="","",ROUND(N($H350)+N($I350),2))</f>
        <v/>
      </c>
      <c r="T350" s="42"/>
      <c r="U350" s="44"/>
      <c r="V350" s="41" t="str">
        <f aca="false">IF($B350="","",TEXT($B350,"yyyy年m月"))</f>
        <v/>
      </c>
      <c r="W350" s="42"/>
      <c r="X350" s="42"/>
      <c r="Y350" s="9"/>
    </row>
    <row r="351" customFormat="false" ht="18" hidden="false" customHeight="true" outlineLevel="0" collapsed="false">
      <c r="A351" s="9" t="str">
        <f aca="false">IF($C351="","",ROW()-3)</f>
        <v/>
      </c>
      <c r="B351" s="76"/>
      <c r="C351" s="74"/>
      <c r="D351" s="43"/>
      <c r="E351" s="42"/>
      <c r="F351" s="74"/>
      <c r="G351" s="74"/>
      <c r="H351" s="44"/>
      <c r="I351" s="44"/>
      <c r="J351" s="103" t="str">
        <f aca="false">IF($C351="","",ROUND(IFERROR(INDEX(期初余额!$I$4:$I$43,MATCH($C351,期初余额!$H$4:$H$43,0)),0)+SUMIFS($H$4:$H351,$C$4:$C351,$C351)-SUMIFS($I$4:$I351,$C$4:$C351,$C351),2))</f>
        <v/>
      </c>
      <c r="K351" s="104" t="str">
        <f aca="false">IF($T351&lt;&gt;"",$T351,IF($C351="","",IF(AND(N($I351)&gt;0,$G351&lt;&gt;""),IF(IFERROR(INDEX(科目表!$U$4:$U$123,MATCH($G351,科目表!$M$4:$M$123,0)),"")&amp;""="","管理费用",INDEX(科目表!$U$4:$U$123,MATCH($G351,科目表!$M$4:$M$123,0))),IF(N($H351)&gt;0,IF(IFERROR(INDEX(自动规则!$C$4:$C$143,MATCH($F351,自动规则!$B$4:$B$143,0)),"")&amp;""="","其他应收款",INDEX(自动规则!$C$4:$C$143,MATCH($F351,自动规则!$B$4:$B$143,0))),IF(IFERROR(INDEX(自动规则!$D$4:$D$143,MATCH($F351,自动规则!$B$4:$B$143,0)),"")&amp;""="","其他应付款",INDEX(自动规则!$D$4:$D$143,MATCH($F351,自动规则!$B$4:$B$143,0)))))))</f>
        <v/>
      </c>
      <c r="L351" s="43"/>
      <c r="M351" s="105" t="str">
        <f aca="false">IF($C351="","",IF(IFERROR(INDEX(科目表!$T$4:$T$123,MATCH($C351,科目表!$K$4:$K$123,0)),"")&amp;""="","其他货币资金",INDEX(科目表!$T$4:$T$123,MATCH($C351,科目表!$K$4:$K$123,0))))</f>
        <v/>
      </c>
      <c r="N351" s="39" t="str">
        <f aca="false">IF(OR($C351="",ROUND(N($H351)+N($I351),2)=0),"",IF(N($H351)&gt;0,$M351,$K351))</f>
        <v/>
      </c>
      <c r="O351" s="41" t="str">
        <f aca="false">IF($N351="","",ROUND(N($H351)+N($I351),2))</f>
        <v/>
      </c>
      <c r="P351" s="41" t="str">
        <f aca="false">IF($N351="","",0)</f>
        <v/>
      </c>
      <c r="Q351" s="39" t="str">
        <f aca="false">IF($N351="","",IF(N($H351)&gt;0,$K351,$M351))</f>
        <v/>
      </c>
      <c r="R351" s="41" t="str">
        <f aca="false">IF($Q351="","",0)</f>
        <v/>
      </c>
      <c r="S351" s="41" t="str">
        <f aca="false">IF($Q351="","",ROUND(N($H351)+N($I351),2))</f>
        <v/>
      </c>
      <c r="T351" s="42"/>
      <c r="U351" s="44"/>
      <c r="V351" s="41" t="str">
        <f aca="false">IF($B351="","",TEXT($B351,"yyyy年m月"))</f>
        <v/>
      </c>
      <c r="W351" s="42"/>
      <c r="X351" s="42"/>
      <c r="Y351" s="9"/>
    </row>
    <row r="352" customFormat="false" ht="18" hidden="false" customHeight="true" outlineLevel="0" collapsed="false">
      <c r="A352" s="9" t="str">
        <f aca="false">IF($C352="","",ROW()-3)</f>
        <v/>
      </c>
      <c r="B352" s="76"/>
      <c r="C352" s="74"/>
      <c r="D352" s="43"/>
      <c r="E352" s="42"/>
      <c r="F352" s="74"/>
      <c r="G352" s="74"/>
      <c r="H352" s="44"/>
      <c r="I352" s="44"/>
      <c r="J352" s="103" t="str">
        <f aca="false">IF($C352="","",ROUND(IFERROR(INDEX(期初余额!$I$4:$I$43,MATCH($C352,期初余额!$H$4:$H$43,0)),0)+SUMIFS($H$4:$H352,$C$4:$C352,$C352)-SUMIFS($I$4:$I352,$C$4:$C352,$C352),2))</f>
        <v/>
      </c>
      <c r="K352" s="104" t="str">
        <f aca="false">IF($T352&lt;&gt;"",$T352,IF($C352="","",IF(AND(N($I352)&gt;0,$G352&lt;&gt;""),IF(IFERROR(INDEX(科目表!$U$4:$U$123,MATCH($G352,科目表!$M$4:$M$123,0)),"")&amp;""="","管理费用",INDEX(科目表!$U$4:$U$123,MATCH($G352,科目表!$M$4:$M$123,0))),IF(N($H352)&gt;0,IF(IFERROR(INDEX(自动规则!$C$4:$C$143,MATCH($F352,自动规则!$B$4:$B$143,0)),"")&amp;""="","其他应收款",INDEX(自动规则!$C$4:$C$143,MATCH($F352,自动规则!$B$4:$B$143,0))),IF(IFERROR(INDEX(自动规则!$D$4:$D$143,MATCH($F352,自动规则!$B$4:$B$143,0)),"")&amp;""="","其他应付款",INDEX(自动规则!$D$4:$D$143,MATCH($F352,自动规则!$B$4:$B$143,0)))))))</f>
        <v/>
      </c>
      <c r="L352" s="43"/>
      <c r="M352" s="105" t="str">
        <f aca="false">IF($C352="","",IF(IFERROR(INDEX(科目表!$T$4:$T$123,MATCH($C352,科目表!$K$4:$K$123,0)),"")&amp;""="","其他货币资金",INDEX(科目表!$T$4:$T$123,MATCH($C352,科目表!$K$4:$K$123,0))))</f>
        <v/>
      </c>
      <c r="N352" s="39" t="str">
        <f aca="false">IF(OR($C352="",ROUND(N($H352)+N($I352),2)=0),"",IF(N($H352)&gt;0,$M352,$K352))</f>
        <v/>
      </c>
      <c r="O352" s="41" t="str">
        <f aca="false">IF($N352="","",ROUND(N($H352)+N($I352),2))</f>
        <v/>
      </c>
      <c r="P352" s="41" t="str">
        <f aca="false">IF($N352="","",0)</f>
        <v/>
      </c>
      <c r="Q352" s="39" t="str">
        <f aca="false">IF($N352="","",IF(N($H352)&gt;0,$K352,$M352))</f>
        <v/>
      </c>
      <c r="R352" s="41" t="str">
        <f aca="false">IF($Q352="","",0)</f>
        <v/>
      </c>
      <c r="S352" s="41" t="str">
        <f aca="false">IF($Q352="","",ROUND(N($H352)+N($I352),2))</f>
        <v/>
      </c>
      <c r="T352" s="42"/>
      <c r="U352" s="44"/>
      <c r="V352" s="41" t="str">
        <f aca="false">IF($B352="","",TEXT($B352,"yyyy年m月"))</f>
        <v/>
      </c>
      <c r="W352" s="42"/>
      <c r="X352" s="42"/>
      <c r="Y352" s="9"/>
    </row>
    <row r="353" customFormat="false" ht="18" hidden="false" customHeight="true" outlineLevel="0" collapsed="false">
      <c r="A353" s="9" t="str">
        <f aca="false">IF($C353="","",ROW()-3)</f>
        <v/>
      </c>
      <c r="B353" s="76"/>
      <c r="C353" s="74"/>
      <c r="D353" s="43"/>
      <c r="E353" s="42"/>
      <c r="F353" s="74"/>
      <c r="G353" s="74"/>
      <c r="H353" s="44"/>
      <c r="I353" s="44"/>
      <c r="J353" s="103" t="str">
        <f aca="false">IF($C353="","",ROUND(IFERROR(INDEX(期初余额!$I$4:$I$43,MATCH($C353,期初余额!$H$4:$H$43,0)),0)+SUMIFS($H$4:$H353,$C$4:$C353,$C353)-SUMIFS($I$4:$I353,$C$4:$C353,$C353),2))</f>
        <v/>
      </c>
      <c r="K353" s="104" t="str">
        <f aca="false">IF($T353&lt;&gt;"",$T353,IF($C353="","",IF(AND(N($I353)&gt;0,$G353&lt;&gt;""),IF(IFERROR(INDEX(科目表!$U$4:$U$123,MATCH($G353,科目表!$M$4:$M$123,0)),"")&amp;""="","管理费用",INDEX(科目表!$U$4:$U$123,MATCH($G353,科目表!$M$4:$M$123,0))),IF(N($H353)&gt;0,IF(IFERROR(INDEX(自动规则!$C$4:$C$143,MATCH($F353,自动规则!$B$4:$B$143,0)),"")&amp;""="","其他应收款",INDEX(自动规则!$C$4:$C$143,MATCH($F353,自动规则!$B$4:$B$143,0))),IF(IFERROR(INDEX(自动规则!$D$4:$D$143,MATCH($F353,自动规则!$B$4:$B$143,0)),"")&amp;""="","其他应付款",INDEX(自动规则!$D$4:$D$143,MATCH($F353,自动规则!$B$4:$B$143,0)))))))</f>
        <v/>
      </c>
      <c r="L353" s="43"/>
      <c r="M353" s="105" t="str">
        <f aca="false">IF($C353="","",IF(IFERROR(INDEX(科目表!$T$4:$T$123,MATCH($C353,科目表!$K$4:$K$123,0)),"")&amp;""="","其他货币资金",INDEX(科目表!$T$4:$T$123,MATCH($C353,科目表!$K$4:$K$123,0))))</f>
        <v/>
      </c>
      <c r="N353" s="39" t="str">
        <f aca="false">IF(OR($C353="",ROUND(N($H353)+N($I353),2)=0),"",IF(N($H353)&gt;0,$M353,$K353))</f>
        <v/>
      </c>
      <c r="O353" s="41" t="str">
        <f aca="false">IF($N353="","",ROUND(N($H353)+N($I353),2))</f>
        <v/>
      </c>
      <c r="P353" s="41" t="str">
        <f aca="false">IF($N353="","",0)</f>
        <v/>
      </c>
      <c r="Q353" s="39" t="str">
        <f aca="false">IF($N353="","",IF(N($H353)&gt;0,$K353,$M353))</f>
        <v/>
      </c>
      <c r="R353" s="41" t="str">
        <f aca="false">IF($Q353="","",0)</f>
        <v/>
      </c>
      <c r="S353" s="41" t="str">
        <f aca="false">IF($Q353="","",ROUND(N($H353)+N($I353),2))</f>
        <v/>
      </c>
      <c r="T353" s="42"/>
      <c r="U353" s="44"/>
      <c r="V353" s="41" t="str">
        <f aca="false">IF($B353="","",TEXT($B353,"yyyy年m月"))</f>
        <v/>
      </c>
      <c r="W353" s="42"/>
      <c r="X353" s="42"/>
      <c r="Y353" s="9"/>
    </row>
    <row r="354" customFormat="false" ht="18" hidden="false" customHeight="true" outlineLevel="0" collapsed="false">
      <c r="A354" s="9" t="str">
        <f aca="false">IF($C354="","",ROW()-3)</f>
        <v/>
      </c>
      <c r="B354" s="76"/>
      <c r="C354" s="74"/>
      <c r="D354" s="43"/>
      <c r="E354" s="42"/>
      <c r="F354" s="74"/>
      <c r="G354" s="74"/>
      <c r="H354" s="44"/>
      <c r="I354" s="44"/>
      <c r="J354" s="103" t="str">
        <f aca="false">IF($C354="","",ROUND(IFERROR(INDEX(期初余额!$I$4:$I$43,MATCH($C354,期初余额!$H$4:$H$43,0)),0)+SUMIFS($H$4:$H354,$C$4:$C354,$C354)-SUMIFS($I$4:$I354,$C$4:$C354,$C354),2))</f>
        <v/>
      </c>
      <c r="K354" s="104" t="str">
        <f aca="false">IF($T354&lt;&gt;"",$T354,IF($C354="","",IF(AND(N($I354)&gt;0,$G354&lt;&gt;""),IF(IFERROR(INDEX(科目表!$U$4:$U$123,MATCH($G354,科目表!$M$4:$M$123,0)),"")&amp;""="","管理费用",INDEX(科目表!$U$4:$U$123,MATCH($G354,科目表!$M$4:$M$123,0))),IF(N($H354)&gt;0,IF(IFERROR(INDEX(自动规则!$C$4:$C$143,MATCH($F354,自动规则!$B$4:$B$143,0)),"")&amp;""="","其他应收款",INDEX(自动规则!$C$4:$C$143,MATCH($F354,自动规则!$B$4:$B$143,0))),IF(IFERROR(INDEX(自动规则!$D$4:$D$143,MATCH($F354,自动规则!$B$4:$B$143,0)),"")&amp;""="","其他应付款",INDEX(自动规则!$D$4:$D$143,MATCH($F354,自动规则!$B$4:$B$143,0)))))))</f>
        <v/>
      </c>
      <c r="L354" s="43"/>
      <c r="M354" s="105" t="str">
        <f aca="false">IF($C354="","",IF(IFERROR(INDEX(科目表!$T$4:$T$123,MATCH($C354,科目表!$K$4:$K$123,0)),"")&amp;""="","其他货币资金",INDEX(科目表!$T$4:$T$123,MATCH($C354,科目表!$K$4:$K$123,0))))</f>
        <v/>
      </c>
      <c r="N354" s="39" t="str">
        <f aca="false">IF(OR($C354="",ROUND(N($H354)+N($I354),2)=0),"",IF(N($H354)&gt;0,$M354,$K354))</f>
        <v/>
      </c>
      <c r="O354" s="41" t="str">
        <f aca="false">IF($N354="","",ROUND(N($H354)+N($I354),2))</f>
        <v/>
      </c>
      <c r="P354" s="41" t="str">
        <f aca="false">IF($N354="","",0)</f>
        <v/>
      </c>
      <c r="Q354" s="39" t="str">
        <f aca="false">IF($N354="","",IF(N($H354)&gt;0,$K354,$M354))</f>
        <v/>
      </c>
      <c r="R354" s="41" t="str">
        <f aca="false">IF($Q354="","",0)</f>
        <v/>
      </c>
      <c r="S354" s="41" t="str">
        <f aca="false">IF($Q354="","",ROUND(N($H354)+N($I354),2))</f>
        <v/>
      </c>
      <c r="T354" s="42"/>
      <c r="U354" s="44"/>
      <c r="V354" s="41" t="str">
        <f aca="false">IF($B354="","",TEXT($B354,"yyyy年m月"))</f>
        <v/>
      </c>
      <c r="W354" s="42"/>
      <c r="X354" s="42"/>
      <c r="Y354" s="9"/>
    </row>
    <row r="355" customFormat="false" ht="18" hidden="false" customHeight="true" outlineLevel="0" collapsed="false">
      <c r="A355" s="9" t="str">
        <f aca="false">IF($C355="","",ROW()-3)</f>
        <v/>
      </c>
      <c r="B355" s="76"/>
      <c r="C355" s="74"/>
      <c r="D355" s="43"/>
      <c r="E355" s="42"/>
      <c r="F355" s="74"/>
      <c r="G355" s="74"/>
      <c r="H355" s="44"/>
      <c r="I355" s="44"/>
      <c r="J355" s="103" t="str">
        <f aca="false">IF($C355="","",ROUND(IFERROR(INDEX(期初余额!$I$4:$I$43,MATCH($C355,期初余额!$H$4:$H$43,0)),0)+SUMIFS($H$4:$H355,$C$4:$C355,$C355)-SUMIFS($I$4:$I355,$C$4:$C355,$C355),2))</f>
        <v/>
      </c>
      <c r="K355" s="104" t="str">
        <f aca="false">IF($T355&lt;&gt;"",$T355,IF($C355="","",IF(AND(N($I355)&gt;0,$G355&lt;&gt;""),IF(IFERROR(INDEX(科目表!$U$4:$U$123,MATCH($G355,科目表!$M$4:$M$123,0)),"")&amp;""="","管理费用",INDEX(科目表!$U$4:$U$123,MATCH($G355,科目表!$M$4:$M$123,0))),IF(N($H355)&gt;0,IF(IFERROR(INDEX(自动规则!$C$4:$C$143,MATCH($F355,自动规则!$B$4:$B$143,0)),"")&amp;""="","其他应收款",INDEX(自动规则!$C$4:$C$143,MATCH($F355,自动规则!$B$4:$B$143,0))),IF(IFERROR(INDEX(自动规则!$D$4:$D$143,MATCH($F355,自动规则!$B$4:$B$143,0)),"")&amp;""="","其他应付款",INDEX(自动规则!$D$4:$D$143,MATCH($F355,自动规则!$B$4:$B$143,0)))))))</f>
        <v/>
      </c>
      <c r="L355" s="43"/>
      <c r="M355" s="105" t="str">
        <f aca="false">IF($C355="","",IF(IFERROR(INDEX(科目表!$T$4:$T$123,MATCH($C355,科目表!$K$4:$K$123,0)),"")&amp;""="","其他货币资金",INDEX(科目表!$T$4:$T$123,MATCH($C355,科目表!$K$4:$K$123,0))))</f>
        <v/>
      </c>
      <c r="N355" s="39" t="str">
        <f aca="false">IF(OR($C355="",ROUND(N($H355)+N($I355),2)=0),"",IF(N($H355)&gt;0,$M355,$K355))</f>
        <v/>
      </c>
      <c r="O355" s="41" t="str">
        <f aca="false">IF($N355="","",ROUND(N($H355)+N($I355),2))</f>
        <v/>
      </c>
      <c r="P355" s="41" t="str">
        <f aca="false">IF($N355="","",0)</f>
        <v/>
      </c>
      <c r="Q355" s="39" t="str">
        <f aca="false">IF($N355="","",IF(N($H355)&gt;0,$K355,$M355))</f>
        <v/>
      </c>
      <c r="R355" s="41" t="str">
        <f aca="false">IF($Q355="","",0)</f>
        <v/>
      </c>
      <c r="S355" s="41" t="str">
        <f aca="false">IF($Q355="","",ROUND(N($H355)+N($I355),2))</f>
        <v/>
      </c>
      <c r="T355" s="42"/>
      <c r="U355" s="44"/>
      <c r="V355" s="41" t="str">
        <f aca="false">IF($B355="","",TEXT($B355,"yyyy年m月"))</f>
        <v/>
      </c>
      <c r="W355" s="42"/>
      <c r="X355" s="42"/>
      <c r="Y355" s="9"/>
    </row>
    <row r="356" customFormat="false" ht="18" hidden="false" customHeight="true" outlineLevel="0" collapsed="false">
      <c r="A356" s="9" t="str">
        <f aca="false">IF($C356="","",ROW()-3)</f>
        <v/>
      </c>
      <c r="B356" s="76"/>
      <c r="C356" s="74"/>
      <c r="D356" s="43"/>
      <c r="E356" s="42"/>
      <c r="F356" s="74"/>
      <c r="G356" s="74"/>
      <c r="H356" s="44"/>
      <c r="I356" s="44"/>
      <c r="J356" s="103" t="str">
        <f aca="false">IF($C356="","",ROUND(IFERROR(INDEX(期初余额!$I$4:$I$43,MATCH($C356,期初余额!$H$4:$H$43,0)),0)+SUMIFS($H$4:$H356,$C$4:$C356,$C356)-SUMIFS($I$4:$I356,$C$4:$C356,$C356),2))</f>
        <v/>
      </c>
      <c r="K356" s="104" t="str">
        <f aca="false">IF($T356&lt;&gt;"",$T356,IF($C356="","",IF(AND(N($I356)&gt;0,$G356&lt;&gt;""),IF(IFERROR(INDEX(科目表!$U$4:$U$123,MATCH($G356,科目表!$M$4:$M$123,0)),"")&amp;""="","管理费用",INDEX(科目表!$U$4:$U$123,MATCH($G356,科目表!$M$4:$M$123,0))),IF(N($H356)&gt;0,IF(IFERROR(INDEX(自动规则!$C$4:$C$143,MATCH($F356,自动规则!$B$4:$B$143,0)),"")&amp;""="","其他应收款",INDEX(自动规则!$C$4:$C$143,MATCH($F356,自动规则!$B$4:$B$143,0))),IF(IFERROR(INDEX(自动规则!$D$4:$D$143,MATCH($F356,自动规则!$B$4:$B$143,0)),"")&amp;""="","其他应付款",INDEX(自动规则!$D$4:$D$143,MATCH($F356,自动规则!$B$4:$B$143,0)))))))</f>
        <v/>
      </c>
      <c r="L356" s="43"/>
      <c r="M356" s="105" t="str">
        <f aca="false">IF($C356="","",IF(IFERROR(INDEX(科目表!$T$4:$T$123,MATCH($C356,科目表!$K$4:$K$123,0)),"")&amp;""="","其他货币资金",INDEX(科目表!$T$4:$T$123,MATCH($C356,科目表!$K$4:$K$123,0))))</f>
        <v/>
      </c>
      <c r="N356" s="39" t="str">
        <f aca="false">IF(OR($C356="",ROUND(N($H356)+N($I356),2)=0),"",IF(N($H356)&gt;0,$M356,$K356))</f>
        <v/>
      </c>
      <c r="O356" s="41" t="str">
        <f aca="false">IF($N356="","",ROUND(N($H356)+N($I356),2))</f>
        <v/>
      </c>
      <c r="P356" s="41" t="str">
        <f aca="false">IF($N356="","",0)</f>
        <v/>
      </c>
      <c r="Q356" s="39" t="str">
        <f aca="false">IF($N356="","",IF(N($H356)&gt;0,$K356,$M356))</f>
        <v/>
      </c>
      <c r="R356" s="41" t="str">
        <f aca="false">IF($Q356="","",0)</f>
        <v/>
      </c>
      <c r="S356" s="41" t="str">
        <f aca="false">IF($Q356="","",ROUND(N($H356)+N($I356),2))</f>
        <v/>
      </c>
      <c r="T356" s="42"/>
      <c r="U356" s="44"/>
      <c r="V356" s="41" t="str">
        <f aca="false">IF($B356="","",TEXT($B356,"yyyy年m月"))</f>
        <v/>
      </c>
      <c r="W356" s="42"/>
      <c r="X356" s="42"/>
      <c r="Y356" s="9"/>
    </row>
    <row r="357" customFormat="false" ht="18" hidden="false" customHeight="true" outlineLevel="0" collapsed="false">
      <c r="A357" s="9" t="str">
        <f aca="false">IF($C357="","",ROW()-3)</f>
        <v/>
      </c>
      <c r="B357" s="76"/>
      <c r="C357" s="74"/>
      <c r="D357" s="43"/>
      <c r="E357" s="42"/>
      <c r="F357" s="74"/>
      <c r="G357" s="74"/>
      <c r="H357" s="44"/>
      <c r="I357" s="44"/>
      <c r="J357" s="103" t="str">
        <f aca="false">IF($C357="","",ROUND(IFERROR(INDEX(期初余额!$I$4:$I$43,MATCH($C357,期初余额!$H$4:$H$43,0)),0)+SUMIFS($H$4:$H357,$C$4:$C357,$C357)-SUMIFS($I$4:$I357,$C$4:$C357,$C357),2))</f>
        <v/>
      </c>
      <c r="K357" s="104" t="str">
        <f aca="false">IF($T357&lt;&gt;"",$T357,IF($C357="","",IF(AND(N($I357)&gt;0,$G357&lt;&gt;""),IF(IFERROR(INDEX(科目表!$U$4:$U$123,MATCH($G357,科目表!$M$4:$M$123,0)),"")&amp;""="","管理费用",INDEX(科目表!$U$4:$U$123,MATCH($G357,科目表!$M$4:$M$123,0))),IF(N($H357)&gt;0,IF(IFERROR(INDEX(自动规则!$C$4:$C$143,MATCH($F357,自动规则!$B$4:$B$143,0)),"")&amp;""="","其他应收款",INDEX(自动规则!$C$4:$C$143,MATCH($F357,自动规则!$B$4:$B$143,0))),IF(IFERROR(INDEX(自动规则!$D$4:$D$143,MATCH($F357,自动规则!$B$4:$B$143,0)),"")&amp;""="","其他应付款",INDEX(自动规则!$D$4:$D$143,MATCH($F357,自动规则!$B$4:$B$143,0)))))))</f>
        <v/>
      </c>
      <c r="L357" s="43"/>
      <c r="M357" s="105" t="str">
        <f aca="false">IF($C357="","",IF(IFERROR(INDEX(科目表!$T$4:$T$123,MATCH($C357,科目表!$K$4:$K$123,0)),"")&amp;""="","其他货币资金",INDEX(科目表!$T$4:$T$123,MATCH($C357,科目表!$K$4:$K$123,0))))</f>
        <v/>
      </c>
      <c r="N357" s="39" t="str">
        <f aca="false">IF(OR($C357="",ROUND(N($H357)+N($I357),2)=0),"",IF(N($H357)&gt;0,$M357,$K357))</f>
        <v/>
      </c>
      <c r="O357" s="41" t="str">
        <f aca="false">IF($N357="","",ROUND(N($H357)+N($I357),2))</f>
        <v/>
      </c>
      <c r="P357" s="41" t="str">
        <f aca="false">IF($N357="","",0)</f>
        <v/>
      </c>
      <c r="Q357" s="39" t="str">
        <f aca="false">IF($N357="","",IF(N($H357)&gt;0,$K357,$M357))</f>
        <v/>
      </c>
      <c r="R357" s="41" t="str">
        <f aca="false">IF($Q357="","",0)</f>
        <v/>
      </c>
      <c r="S357" s="41" t="str">
        <f aca="false">IF($Q357="","",ROUND(N($H357)+N($I357),2))</f>
        <v/>
      </c>
      <c r="T357" s="42"/>
      <c r="U357" s="44"/>
      <c r="V357" s="41" t="str">
        <f aca="false">IF($B357="","",TEXT($B357,"yyyy年m月"))</f>
        <v/>
      </c>
      <c r="W357" s="42"/>
      <c r="X357" s="42"/>
      <c r="Y357" s="9"/>
    </row>
    <row r="358" customFormat="false" ht="18" hidden="false" customHeight="true" outlineLevel="0" collapsed="false">
      <c r="A358" s="9" t="str">
        <f aca="false">IF($C358="","",ROW()-3)</f>
        <v/>
      </c>
      <c r="B358" s="76"/>
      <c r="C358" s="74"/>
      <c r="D358" s="43"/>
      <c r="E358" s="42"/>
      <c r="F358" s="74"/>
      <c r="G358" s="74"/>
      <c r="H358" s="44"/>
      <c r="I358" s="44"/>
      <c r="J358" s="103" t="str">
        <f aca="false">IF($C358="","",ROUND(IFERROR(INDEX(期初余额!$I$4:$I$43,MATCH($C358,期初余额!$H$4:$H$43,0)),0)+SUMIFS($H$4:$H358,$C$4:$C358,$C358)-SUMIFS($I$4:$I358,$C$4:$C358,$C358),2))</f>
        <v/>
      </c>
      <c r="K358" s="104" t="str">
        <f aca="false">IF($T358&lt;&gt;"",$T358,IF($C358="","",IF(AND(N($I358)&gt;0,$G358&lt;&gt;""),IF(IFERROR(INDEX(科目表!$U$4:$U$123,MATCH($G358,科目表!$M$4:$M$123,0)),"")&amp;""="","管理费用",INDEX(科目表!$U$4:$U$123,MATCH($G358,科目表!$M$4:$M$123,0))),IF(N($H358)&gt;0,IF(IFERROR(INDEX(自动规则!$C$4:$C$143,MATCH($F358,自动规则!$B$4:$B$143,0)),"")&amp;""="","其他应收款",INDEX(自动规则!$C$4:$C$143,MATCH($F358,自动规则!$B$4:$B$143,0))),IF(IFERROR(INDEX(自动规则!$D$4:$D$143,MATCH($F358,自动规则!$B$4:$B$143,0)),"")&amp;""="","其他应付款",INDEX(自动规则!$D$4:$D$143,MATCH($F358,自动规则!$B$4:$B$143,0)))))))</f>
        <v/>
      </c>
      <c r="L358" s="43"/>
      <c r="M358" s="105" t="str">
        <f aca="false">IF($C358="","",IF(IFERROR(INDEX(科目表!$T$4:$T$123,MATCH($C358,科目表!$K$4:$K$123,0)),"")&amp;""="","其他货币资金",INDEX(科目表!$T$4:$T$123,MATCH($C358,科目表!$K$4:$K$123,0))))</f>
        <v/>
      </c>
      <c r="N358" s="39" t="str">
        <f aca="false">IF(OR($C358="",ROUND(N($H358)+N($I358),2)=0),"",IF(N($H358)&gt;0,$M358,$K358))</f>
        <v/>
      </c>
      <c r="O358" s="41" t="str">
        <f aca="false">IF($N358="","",ROUND(N($H358)+N($I358),2))</f>
        <v/>
      </c>
      <c r="P358" s="41" t="str">
        <f aca="false">IF($N358="","",0)</f>
        <v/>
      </c>
      <c r="Q358" s="39" t="str">
        <f aca="false">IF($N358="","",IF(N($H358)&gt;0,$K358,$M358))</f>
        <v/>
      </c>
      <c r="R358" s="41" t="str">
        <f aca="false">IF($Q358="","",0)</f>
        <v/>
      </c>
      <c r="S358" s="41" t="str">
        <f aca="false">IF($Q358="","",ROUND(N($H358)+N($I358),2))</f>
        <v/>
      </c>
      <c r="T358" s="42"/>
      <c r="U358" s="44"/>
      <c r="V358" s="41" t="str">
        <f aca="false">IF($B358="","",TEXT($B358,"yyyy年m月"))</f>
        <v/>
      </c>
      <c r="W358" s="42"/>
      <c r="X358" s="42"/>
      <c r="Y358" s="9"/>
    </row>
    <row r="359" customFormat="false" ht="18" hidden="false" customHeight="true" outlineLevel="0" collapsed="false">
      <c r="A359" s="9" t="str">
        <f aca="false">IF($C359="","",ROW()-3)</f>
        <v/>
      </c>
      <c r="B359" s="76"/>
      <c r="C359" s="74"/>
      <c r="D359" s="43"/>
      <c r="E359" s="42"/>
      <c r="F359" s="74"/>
      <c r="G359" s="74"/>
      <c r="H359" s="44"/>
      <c r="I359" s="44"/>
      <c r="J359" s="103" t="str">
        <f aca="false">IF($C359="","",ROUND(IFERROR(INDEX(期初余额!$I$4:$I$43,MATCH($C359,期初余额!$H$4:$H$43,0)),0)+SUMIFS($H$4:$H359,$C$4:$C359,$C359)-SUMIFS($I$4:$I359,$C$4:$C359,$C359),2))</f>
        <v/>
      </c>
      <c r="K359" s="104" t="str">
        <f aca="false">IF($T359&lt;&gt;"",$T359,IF($C359="","",IF(AND(N($I359)&gt;0,$G359&lt;&gt;""),IF(IFERROR(INDEX(科目表!$U$4:$U$123,MATCH($G359,科目表!$M$4:$M$123,0)),"")&amp;""="","管理费用",INDEX(科目表!$U$4:$U$123,MATCH($G359,科目表!$M$4:$M$123,0))),IF(N($H359)&gt;0,IF(IFERROR(INDEX(自动规则!$C$4:$C$143,MATCH($F359,自动规则!$B$4:$B$143,0)),"")&amp;""="","其他应收款",INDEX(自动规则!$C$4:$C$143,MATCH($F359,自动规则!$B$4:$B$143,0))),IF(IFERROR(INDEX(自动规则!$D$4:$D$143,MATCH($F359,自动规则!$B$4:$B$143,0)),"")&amp;""="","其他应付款",INDEX(自动规则!$D$4:$D$143,MATCH($F359,自动规则!$B$4:$B$143,0)))))))</f>
        <v/>
      </c>
      <c r="L359" s="43"/>
      <c r="M359" s="105" t="str">
        <f aca="false">IF($C359="","",IF(IFERROR(INDEX(科目表!$T$4:$T$123,MATCH($C359,科目表!$K$4:$K$123,0)),"")&amp;""="","其他货币资金",INDEX(科目表!$T$4:$T$123,MATCH($C359,科目表!$K$4:$K$123,0))))</f>
        <v/>
      </c>
      <c r="N359" s="39" t="str">
        <f aca="false">IF(OR($C359="",ROUND(N($H359)+N($I359),2)=0),"",IF(N($H359)&gt;0,$M359,$K359))</f>
        <v/>
      </c>
      <c r="O359" s="41" t="str">
        <f aca="false">IF($N359="","",ROUND(N($H359)+N($I359),2))</f>
        <v/>
      </c>
      <c r="P359" s="41" t="str">
        <f aca="false">IF($N359="","",0)</f>
        <v/>
      </c>
      <c r="Q359" s="39" t="str">
        <f aca="false">IF($N359="","",IF(N($H359)&gt;0,$K359,$M359))</f>
        <v/>
      </c>
      <c r="R359" s="41" t="str">
        <f aca="false">IF($Q359="","",0)</f>
        <v/>
      </c>
      <c r="S359" s="41" t="str">
        <f aca="false">IF($Q359="","",ROUND(N($H359)+N($I359),2))</f>
        <v/>
      </c>
      <c r="T359" s="42"/>
      <c r="U359" s="44"/>
      <c r="V359" s="41" t="str">
        <f aca="false">IF($B359="","",TEXT($B359,"yyyy年m月"))</f>
        <v/>
      </c>
      <c r="W359" s="42"/>
      <c r="X359" s="42"/>
      <c r="Y359" s="9"/>
    </row>
    <row r="360" customFormat="false" ht="18" hidden="false" customHeight="true" outlineLevel="0" collapsed="false">
      <c r="A360" s="9" t="str">
        <f aca="false">IF($C360="","",ROW()-3)</f>
        <v/>
      </c>
      <c r="B360" s="76"/>
      <c r="C360" s="74"/>
      <c r="D360" s="43"/>
      <c r="E360" s="42"/>
      <c r="F360" s="74"/>
      <c r="G360" s="74"/>
      <c r="H360" s="44"/>
      <c r="I360" s="44"/>
      <c r="J360" s="103" t="str">
        <f aca="false">IF($C360="","",ROUND(IFERROR(INDEX(期初余额!$I$4:$I$43,MATCH($C360,期初余额!$H$4:$H$43,0)),0)+SUMIFS($H$4:$H360,$C$4:$C360,$C360)-SUMIFS($I$4:$I360,$C$4:$C360,$C360),2))</f>
        <v/>
      </c>
      <c r="K360" s="104" t="str">
        <f aca="false">IF($T360&lt;&gt;"",$T360,IF($C360="","",IF(AND(N($I360)&gt;0,$G360&lt;&gt;""),IF(IFERROR(INDEX(科目表!$U$4:$U$123,MATCH($G360,科目表!$M$4:$M$123,0)),"")&amp;""="","管理费用",INDEX(科目表!$U$4:$U$123,MATCH($G360,科目表!$M$4:$M$123,0))),IF(N($H360)&gt;0,IF(IFERROR(INDEX(自动规则!$C$4:$C$143,MATCH($F360,自动规则!$B$4:$B$143,0)),"")&amp;""="","其他应收款",INDEX(自动规则!$C$4:$C$143,MATCH($F360,自动规则!$B$4:$B$143,0))),IF(IFERROR(INDEX(自动规则!$D$4:$D$143,MATCH($F360,自动规则!$B$4:$B$143,0)),"")&amp;""="","其他应付款",INDEX(自动规则!$D$4:$D$143,MATCH($F360,自动规则!$B$4:$B$143,0)))))))</f>
        <v/>
      </c>
      <c r="L360" s="43"/>
      <c r="M360" s="105" t="str">
        <f aca="false">IF($C360="","",IF(IFERROR(INDEX(科目表!$T$4:$T$123,MATCH($C360,科目表!$K$4:$K$123,0)),"")&amp;""="","其他货币资金",INDEX(科目表!$T$4:$T$123,MATCH($C360,科目表!$K$4:$K$123,0))))</f>
        <v/>
      </c>
      <c r="N360" s="39" t="str">
        <f aca="false">IF(OR($C360="",ROUND(N($H360)+N($I360),2)=0),"",IF(N($H360)&gt;0,$M360,$K360))</f>
        <v/>
      </c>
      <c r="O360" s="41" t="str">
        <f aca="false">IF($N360="","",ROUND(N($H360)+N($I360),2))</f>
        <v/>
      </c>
      <c r="P360" s="41" t="str">
        <f aca="false">IF($N360="","",0)</f>
        <v/>
      </c>
      <c r="Q360" s="39" t="str">
        <f aca="false">IF($N360="","",IF(N($H360)&gt;0,$K360,$M360))</f>
        <v/>
      </c>
      <c r="R360" s="41" t="str">
        <f aca="false">IF($Q360="","",0)</f>
        <v/>
      </c>
      <c r="S360" s="41" t="str">
        <f aca="false">IF($Q360="","",ROUND(N($H360)+N($I360),2))</f>
        <v/>
      </c>
      <c r="T360" s="42"/>
      <c r="U360" s="44"/>
      <c r="V360" s="41" t="str">
        <f aca="false">IF($B360="","",TEXT($B360,"yyyy年m月"))</f>
        <v/>
      </c>
      <c r="W360" s="42"/>
      <c r="X360" s="42"/>
      <c r="Y360" s="9"/>
    </row>
    <row r="361" customFormat="false" ht="18" hidden="false" customHeight="true" outlineLevel="0" collapsed="false">
      <c r="A361" s="9" t="str">
        <f aca="false">IF($C361="","",ROW()-3)</f>
        <v/>
      </c>
      <c r="B361" s="76"/>
      <c r="C361" s="74"/>
      <c r="D361" s="43"/>
      <c r="E361" s="42"/>
      <c r="F361" s="74"/>
      <c r="G361" s="74"/>
      <c r="H361" s="44"/>
      <c r="I361" s="44"/>
      <c r="J361" s="103" t="str">
        <f aca="false">IF($C361="","",ROUND(IFERROR(INDEX(期初余额!$I$4:$I$43,MATCH($C361,期初余额!$H$4:$H$43,0)),0)+SUMIFS($H$4:$H361,$C$4:$C361,$C361)-SUMIFS($I$4:$I361,$C$4:$C361,$C361),2))</f>
        <v/>
      </c>
      <c r="K361" s="104" t="str">
        <f aca="false">IF($T361&lt;&gt;"",$T361,IF($C361="","",IF(AND(N($I361)&gt;0,$G361&lt;&gt;""),IF(IFERROR(INDEX(科目表!$U$4:$U$123,MATCH($G361,科目表!$M$4:$M$123,0)),"")&amp;""="","管理费用",INDEX(科目表!$U$4:$U$123,MATCH($G361,科目表!$M$4:$M$123,0))),IF(N($H361)&gt;0,IF(IFERROR(INDEX(自动规则!$C$4:$C$143,MATCH($F361,自动规则!$B$4:$B$143,0)),"")&amp;""="","其他应收款",INDEX(自动规则!$C$4:$C$143,MATCH($F361,自动规则!$B$4:$B$143,0))),IF(IFERROR(INDEX(自动规则!$D$4:$D$143,MATCH($F361,自动规则!$B$4:$B$143,0)),"")&amp;""="","其他应付款",INDEX(自动规则!$D$4:$D$143,MATCH($F361,自动规则!$B$4:$B$143,0)))))))</f>
        <v/>
      </c>
      <c r="L361" s="43"/>
      <c r="M361" s="105" t="str">
        <f aca="false">IF($C361="","",IF(IFERROR(INDEX(科目表!$T$4:$T$123,MATCH($C361,科目表!$K$4:$K$123,0)),"")&amp;""="","其他货币资金",INDEX(科目表!$T$4:$T$123,MATCH($C361,科目表!$K$4:$K$123,0))))</f>
        <v/>
      </c>
      <c r="N361" s="39" t="str">
        <f aca="false">IF(OR($C361="",ROUND(N($H361)+N($I361),2)=0),"",IF(N($H361)&gt;0,$M361,$K361))</f>
        <v/>
      </c>
      <c r="O361" s="41" t="str">
        <f aca="false">IF($N361="","",ROUND(N($H361)+N($I361),2))</f>
        <v/>
      </c>
      <c r="P361" s="41" t="str">
        <f aca="false">IF($N361="","",0)</f>
        <v/>
      </c>
      <c r="Q361" s="39" t="str">
        <f aca="false">IF($N361="","",IF(N($H361)&gt;0,$K361,$M361))</f>
        <v/>
      </c>
      <c r="R361" s="41" t="str">
        <f aca="false">IF($Q361="","",0)</f>
        <v/>
      </c>
      <c r="S361" s="41" t="str">
        <f aca="false">IF($Q361="","",ROUND(N($H361)+N($I361),2))</f>
        <v/>
      </c>
      <c r="T361" s="42"/>
      <c r="U361" s="44"/>
      <c r="V361" s="41" t="str">
        <f aca="false">IF($B361="","",TEXT($B361,"yyyy年m月"))</f>
        <v/>
      </c>
      <c r="W361" s="42"/>
      <c r="X361" s="42"/>
      <c r="Y361" s="9"/>
    </row>
    <row r="362" customFormat="false" ht="18" hidden="false" customHeight="true" outlineLevel="0" collapsed="false">
      <c r="A362" s="9" t="str">
        <f aca="false">IF($C362="","",ROW()-3)</f>
        <v/>
      </c>
      <c r="B362" s="76"/>
      <c r="C362" s="74"/>
      <c r="D362" s="43"/>
      <c r="E362" s="42"/>
      <c r="F362" s="74"/>
      <c r="G362" s="74"/>
      <c r="H362" s="44"/>
      <c r="I362" s="44"/>
      <c r="J362" s="103" t="str">
        <f aca="false">IF($C362="","",ROUND(IFERROR(INDEX(期初余额!$I$4:$I$43,MATCH($C362,期初余额!$H$4:$H$43,0)),0)+SUMIFS($H$4:$H362,$C$4:$C362,$C362)-SUMIFS($I$4:$I362,$C$4:$C362,$C362),2))</f>
        <v/>
      </c>
      <c r="K362" s="104" t="str">
        <f aca="false">IF($T362&lt;&gt;"",$T362,IF($C362="","",IF(AND(N($I362)&gt;0,$G362&lt;&gt;""),IF(IFERROR(INDEX(科目表!$U$4:$U$123,MATCH($G362,科目表!$M$4:$M$123,0)),"")&amp;""="","管理费用",INDEX(科目表!$U$4:$U$123,MATCH($G362,科目表!$M$4:$M$123,0))),IF(N($H362)&gt;0,IF(IFERROR(INDEX(自动规则!$C$4:$C$143,MATCH($F362,自动规则!$B$4:$B$143,0)),"")&amp;""="","其他应收款",INDEX(自动规则!$C$4:$C$143,MATCH($F362,自动规则!$B$4:$B$143,0))),IF(IFERROR(INDEX(自动规则!$D$4:$D$143,MATCH($F362,自动规则!$B$4:$B$143,0)),"")&amp;""="","其他应付款",INDEX(自动规则!$D$4:$D$143,MATCH($F362,自动规则!$B$4:$B$143,0)))))))</f>
        <v/>
      </c>
      <c r="L362" s="43"/>
      <c r="M362" s="105" t="str">
        <f aca="false">IF($C362="","",IF(IFERROR(INDEX(科目表!$T$4:$T$123,MATCH($C362,科目表!$K$4:$K$123,0)),"")&amp;""="","其他货币资金",INDEX(科目表!$T$4:$T$123,MATCH($C362,科目表!$K$4:$K$123,0))))</f>
        <v/>
      </c>
      <c r="N362" s="39" t="str">
        <f aca="false">IF(OR($C362="",ROUND(N($H362)+N($I362),2)=0),"",IF(N($H362)&gt;0,$M362,$K362))</f>
        <v/>
      </c>
      <c r="O362" s="41" t="str">
        <f aca="false">IF($N362="","",ROUND(N($H362)+N($I362),2))</f>
        <v/>
      </c>
      <c r="P362" s="41" t="str">
        <f aca="false">IF($N362="","",0)</f>
        <v/>
      </c>
      <c r="Q362" s="39" t="str">
        <f aca="false">IF($N362="","",IF(N($H362)&gt;0,$K362,$M362))</f>
        <v/>
      </c>
      <c r="R362" s="41" t="str">
        <f aca="false">IF($Q362="","",0)</f>
        <v/>
      </c>
      <c r="S362" s="41" t="str">
        <f aca="false">IF($Q362="","",ROUND(N($H362)+N($I362),2))</f>
        <v/>
      </c>
      <c r="T362" s="42"/>
      <c r="U362" s="44"/>
      <c r="V362" s="41" t="str">
        <f aca="false">IF($B362="","",TEXT($B362,"yyyy年m月"))</f>
        <v/>
      </c>
      <c r="W362" s="42"/>
      <c r="X362" s="42"/>
      <c r="Y362" s="9"/>
    </row>
    <row r="363" customFormat="false" ht="18" hidden="false" customHeight="true" outlineLevel="0" collapsed="false">
      <c r="A363" s="9" t="str">
        <f aca="false">IF($C363="","",ROW()-3)</f>
        <v/>
      </c>
      <c r="B363" s="76"/>
      <c r="C363" s="74"/>
      <c r="D363" s="43"/>
      <c r="E363" s="42"/>
      <c r="F363" s="74"/>
      <c r="G363" s="74"/>
      <c r="H363" s="44"/>
      <c r="I363" s="44"/>
      <c r="J363" s="103" t="str">
        <f aca="false">IF($C363="","",ROUND(IFERROR(INDEX(期初余额!$I$4:$I$43,MATCH($C363,期初余额!$H$4:$H$43,0)),0)+SUMIFS($H$4:$H363,$C$4:$C363,$C363)-SUMIFS($I$4:$I363,$C$4:$C363,$C363),2))</f>
        <v/>
      </c>
      <c r="K363" s="104" t="str">
        <f aca="false">IF($T363&lt;&gt;"",$T363,IF($C363="","",IF(AND(N($I363)&gt;0,$G363&lt;&gt;""),IF(IFERROR(INDEX(科目表!$U$4:$U$123,MATCH($G363,科目表!$M$4:$M$123,0)),"")&amp;""="","管理费用",INDEX(科目表!$U$4:$U$123,MATCH($G363,科目表!$M$4:$M$123,0))),IF(N($H363)&gt;0,IF(IFERROR(INDEX(自动规则!$C$4:$C$143,MATCH($F363,自动规则!$B$4:$B$143,0)),"")&amp;""="","其他应收款",INDEX(自动规则!$C$4:$C$143,MATCH($F363,自动规则!$B$4:$B$143,0))),IF(IFERROR(INDEX(自动规则!$D$4:$D$143,MATCH($F363,自动规则!$B$4:$B$143,0)),"")&amp;""="","其他应付款",INDEX(自动规则!$D$4:$D$143,MATCH($F363,自动规则!$B$4:$B$143,0)))))))</f>
        <v/>
      </c>
      <c r="L363" s="43"/>
      <c r="M363" s="105" t="str">
        <f aca="false">IF($C363="","",IF(IFERROR(INDEX(科目表!$T$4:$T$123,MATCH($C363,科目表!$K$4:$K$123,0)),"")&amp;""="","其他货币资金",INDEX(科目表!$T$4:$T$123,MATCH($C363,科目表!$K$4:$K$123,0))))</f>
        <v/>
      </c>
      <c r="N363" s="39" t="str">
        <f aca="false">IF(OR($C363="",ROUND(N($H363)+N($I363),2)=0),"",IF(N($H363)&gt;0,$M363,$K363))</f>
        <v/>
      </c>
      <c r="O363" s="41" t="str">
        <f aca="false">IF($N363="","",ROUND(N($H363)+N($I363),2))</f>
        <v/>
      </c>
      <c r="P363" s="41" t="str">
        <f aca="false">IF($N363="","",0)</f>
        <v/>
      </c>
      <c r="Q363" s="39" t="str">
        <f aca="false">IF($N363="","",IF(N($H363)&gt;0,$K363,$M363))</f>
        <v/>
      </c>
      <c r="R363" s="41" t="str">
        <f aca="false">IF($Q363="","",0)</f>
        <v/>
      </c>
      <c r="S363" s="41" t="str">
        <f aca="false">IF($Q363="","",ROUND(N($H363)+N($I363),2))</f>
        <v/>
      </c>
      <c r="T363" s="42"/>
      <c r="U363" s="44"/>
      <c r="V363" s="41" t="str">
        <f aca="false">IF($B363="","",TEXT($B363,"yyyy年m月"))</f>
        <v/>
      </c>
      <c r="W363" s="42"/>
      <c r="X363" s="42"/>
      <c r="Y363" s="9"/>
    </row>
    <row r="364" customFormat="false" ht="18" hidden="false" customHeight="true" outlineLevel="0" collapsed="false">
      <c r="A364" s="9" t="str">
        <f aca="false">IF($C364="","",ROW()-3)</f>
        <v/>
      </c>
      <c r="B364" s="76"/>
      <c r="C364" s="74"/>
      <c r="D364" s="43"/>
      <c r="E364" s="42"/>
      <c r="F364" s="74"/>
      <c r="G364" s="74"/>
      <c r="H364" s="44"/>
      <c r="I364" s="44"/>
      <c r="J364" s="103" t="str">
        <f aca="false">IF($C364="","",ROUND(IFERROR(INDEX(期初余额!$I$4:$I$43,MATCH($C364,期初余额!$H$4:$H$43,0)),0)+SUMIFS($H$4:$H364,$C$4:$C364,$C364)-SUMIFS($I$4:$I364,$C$4:$C364,$C364),2))</f>
        <v/>
      </c>
      <c r="K364" s="104" t="str">
        <f aca="false">IF($T364&lt;&gt;"",$T364,IF($C364="","",IF(AND(N($I364)&gt;0,$G364&lt;&gt;""),IF(IFERROR(INDEX(科目表!$U$4:$U$123,MATCH($G364,科目表!$M$4:$M$123,0)),"")&amp;""="","管理费用",INDEX(科目表!$U$4:$U$123,MATCH($G364,科目表!$M$4:$M$123,0))),IF(N($H364)&gt;0,IF(IFERROR(INDEX(自动规则!$C$4:$C$143,MATCH($F364,自动规则!$B$4:$B$143,0)),"")&amp;""="","其他应收款",INDEX(自动规则!$C$4:$C$143,MATCH($F364,自动规则!$B$4:$B$143,0))),IF(IFERROR(INDEX(自动规则!$D$4:$D$143,MATCH($F364,自动规则!$B$4:$B$143,0)),"")&amp;""="","其他应付款",INDEX(自动规则!$D$4:$D$143,MATCH($F364,自动规则!$B$4:$B$143,0)))))))</f>
        <v/>
      </c>
      <c r="L364" s="43"/>
      <c r="M364" s="105" t="str">
        <f aca="false">IF($C364="","",IF(IFERROR(INDEX(科目表!$T$4:$T$123,MATCH($C364,科目表!$K$4:$K$123,0)),"")&amp;""="","其他货币资金",INDEX(科目表!$T$4:$T$123,MATCH($C364,科目表!$K$4:$K$123,0))))</f>
        <v/>
      </c>
      <c r="N364" s="39" t="str">
        <f aca="false">IF(OR($C364="",ROUND(N($H364)+N($I364),2)=0),"",IF(N($H364)&gt;0,$M364,$K364))</f>
        <v/>
      </c>
      <c r="O364" s="41" t="str">
        <f aca="false">IF($N364="","",ROUND(N($H364)+N($I364),2))</f>
        <v/>
      </c>
      <c r="P364" s="41" t="str">
        <f aca="false">IF($N364="","",0)</f>
        <v/>
      </c>
      <c r="Q364" s="39" t="str">
        <f aca="false">IF($N364="","",IF(N($H364)&gt;0,$K364,$M364))</f>
        <v/>
      </c>
      <c r="R364" s="41" t="str">
        <f aca="false">IF($Q364="","",0)</f>
        <v/>
      </c>
      <c r="S364" s="41" t="str">
        <f aca="false">IF($Q364="","",ROUND(N($H364)+N($I364),2))</f>
        <v/>
      </c>
      <c r="T364" s="42"/>
      <c r="U364" s="44"/>
      <c r="V364" s="41" t="str">
        <f aca="false">IF($B364="","",TEXT($B364,"yyyy年m月"))</f>
        <v/>
      </c>
      <c r="W364" s="42"/>
      <c r="X364" s="42"/>
      <c r="Y364" s="9"/>
    </row>
    <row r="365" customFormat="false" ht="18" hidden="false" customHeight="true" outlineLevel="0" collapsed="false">
      <c r="A365" s="9" t="str">
        <f aca="false">IF($C365="","",ROW()-3)</f>
        <v/>
      </c>
      <c r="B365" s="76"/>
      <c r="C365" s="74"/>
      <c r="D365" s="43"/>
      <c r="E365" s="42"/>
      <c r="F365" s="74"/>
      <c r="G365" s="74"/>
      <c r="H365" s="44"/>
      <c r="I365" s="44"/>
      <c r="J365" s="103" t="str">
        <f aca="false">IF($C365="","",ROUND(IFERROR(INDEX(期初余额!$I$4:$I$43,MATCH($C365,期初余额!$H$4:$H$43,0)),0)+SUMIFS($H$4:$H365,$C$4:$C365,$C365)-SUMIFS($I$4:$I365,$C$4:$C365,$C365),2))</f>
        <v/>
      </c>
      <c r="K365" s="104" t="str">
        <f aca="false">IF($T365&lt;&gt;"",$T365,IF($C365="","",IF(AND(N($I365)&gt;0,$G365&lt;&gt;""),IF(IFERROR(INDEX(科目表!$U$4:$U$123,MATCH($G365,科目表!$M$4:$M$123,0)),"")&amp;""="","管理费用",INDEX(科目表!$U$4:$U$123,MATCH($G365,科目表!$M$4:$M$123,0))),IF(N($H365)&gt;0,IF(IFERROR(INDEX(自动规则!$C$4:$C$143,MATCH($F365,自动规则!$B$4:$B$143,0)),"")&amp;""="","其他应收款",INDEX(自动规则!$C$4:$C$143,MATCH($F365,自动规则!$B$4:$B$143,0))),IF(IFERROR(INDEX(自动规则!$D$4:$D$143,MATCH($F365,自动规则!$B$4:$B$143,0)),"")&amp;""="","其他应付款",INDEX(自动规则!$D$4:$D$143,MATCH($F365,自动规则!$B$4:$B$143,0)))))))</f>
        <v/>
      </c>
      <c r="L365" s="43"/>
      <c r="M365" s="105" t="str">
        <f aca="false">IF($C365="","",IF(IFERROR(INDEX(科目表!$T$4:$T$123,MATCH($C365,科目表!$K$4:$K$123,0)),"")&amp;""="","其他货币资金",INDEX(科目表!$T$4:$T$123,MATCH($C365,科目表!$K$4:$K$123,0))))</f>
        <v/>
      </c>
      <c r="N365" s="39" t="str">
        <f aca="false">IF(OR($C365="",ROUND(N($H365)+N($I365),2)=0),"",IF(N($H365)&gt;0,$M365,$K365))</f>
        <v/>
      </c>
      <c r="O365" s="41" t="str">
        <f aca="false">IF($N365="","",ROUND(N($H365)+N($I365),2))</f>
        <v/>
      </c>
      <c r="P365" s="41" t="str">
        <f aca="false">IF($N365="","",0)</f>
        <v/>
      </c>
      <c r="Q365" s="39" t="str">
        <f aca="false">IF($N365="","",IF(N($H365)&gt;0,$K365,$M365))</f>
        <v/>
      </c>
      <c r="R365" s="41" t="str">
        <f aca="false">IF($Q365="","",0)</f>
        <v/>
      </c>
      <c r="S365" s="41" t="str">
        <f aca="false">IF($Q365="","",ROUND(N($H365)+N($I365),2))</f>
        <v/>
      </c>
      <c r="T365" s="42"/>
      <c r="U365" s="44"/>
      <c r="V365" s="41" t="str">
        <f aca="false">IF($B365="","",TEXT($B365,"yyyy年m月"))</f>
        <v/>
      </c>
      <c r="W365" s="42"/>
      <c r="X365" s="42"/>
      <c r="Y365" s="9"/>
    </row>
    <row r="366" customFormat="false" ht="18" hidden="false" customHeight="true" outlineLevel="0" collapsed="false">
      <c r="A366" s="9" t="str">
        <f aca="false">IF($C366="","",ROW()-3)</f>
        <v/>
      </c>
      <c r="B366" s="76"/>
      <c r="C366" s="74"/>
      <c r="D366" s="43"/>
      <c r="E366" s="42"/>
      <c r="F366" s="74"/>
      <c r="G366" s="74"/>
      <c r="H366" s="44"/>
      <c r="I366" s="44"/>
      <c r="J366" s="103" t="str">
        <f aca="false">IF($C366="","",ROUND(IFERROR(INDEX(期初余额!$I$4:$I$43,MATCH($C366,期初余额!$H$4:$H$43,0)),0)+SUMIFS($H$4:$H366,$C$4:$C366,$C366)-SUMIFS($I$4:$I366,$C$4:$C366,$C366),2))</f>
        <v/>
      </c>
      <c r="K366" s="104" t="str">
        <f aca="false">IF($T366&lt;&gt;"",$T366,IF($C366="","",IF(AND(N($I366)&gt;0,$G366&lt;&gt;""),IF(IFERROR(INDEX(科目表!$U$4:$U$123,MATCH($G366,科目表!$M$4:$M$123,0)),"")&amp;""="","管理费用",INDEX(科目表!$U$4:$U$123,MATCH($G366,科目表!$M$4:$M$123,0))),IF(N($H366)&gt;0,IF(IFERROR(INDEX(自动规则!$C$4:$C$143,MATCH($F366,自动规则!$B$4:$B$143,0)),"")&amp;""="","其他应收款",INDEX(自动规则!$C$4:$C$143,MATCH($F366,自动规则!$B$4:$B$143,0))),IF(IFERROR(INDEX(自动规则!$D$4:$D$143,MATCH($F366,自动规则!$B$4:$B$143,0)),"")&amp;""="","其他应付款",INDEX(自动规则!$D$4:$D$143,MATCH($F366,自动规则!$B$4:$B$143,0)))))))</f>
        <v/>
      </c>
      <c r="L366" s="43"/>
      <c r="M366" s="105" t="str">
        <f aca="false">IF($C366="","",IF(IFERROR(INDEX(科目表!$T$4:$T$123,MATCH($C366,科目表!$K$4:$K$123,0)),"")&amp;""="","其他货币资金",INDEX(科目表!$T$4:$T$123,MATCH($C366,科目表!$K$4:$K$123,0))))</f>
        <v/>
      </c>
      <c r="N366" s="39" t="str">
        <f aca="false">IF(OR($C366="",ROUND(N($H366)+N($I366),2)=0),"",IF(N($H366)&gt;0,$M366,$K366))</f>
        <v/>
      </c>
      <c r="O366" s="41" t="str">
        <f aca="false">IF($N366="","",ROUND(N($H366)+N($I366),2))</f>
        <v/>
      </c>
      <c r="P366" s="41" t="str">
        <f aca="false">IF($N366="","",0)</f>
        <v/>
      </c>
      <c r="Q366" s="39" t="str">
        <f aca="false">IF($N366="","",IF(N($H366)&gt;0,$K366,$M366))</f>
        <v/>
      </c>
      <c r="R366" s="41" t="str">
        <f aca="false">IF($Q366="","",0)</f>
        <v/>
      </c>
      <c r="S366" s="41" t="str">
        <f aca="false">IF($Q366="","",ROUND(N($H366)+N($I366),2))</f>
        <v/>
      </c>
      <c r="T366" s="42"/>
      <c r="U366" s="44"/>
      <c r="V366" s="41" t="str">
        <f aca="false">IF($B366="","",TEXT($B366,"yyyy年m月"))</f>
        <v/>
      </c>
      <c r="W366" s="42"/>
      <c r="X366" s="42"/>
      <c r="Y366" s="9"/>
    </row>
    <row r="367" customFormat="false" ht="18" hidden="false" customHeight="true" outlineLevel="0" collapsed="false">
      <c r="A367" s="9" t="str">
        <f aca="false">IF($C367="","",ROW()-3)</f>
        <v/>
      </c>
      <c r="B367" s="76"/>
      <c r="C367" s="74"/>
      <c r="D367" s="43"/>
      <c r="E367" s="42"/>
      <c r="F367" s="74"/>
      <c r="G367" s="74"/>
      <c r="H367" s="44"/>
      <c r="I367" s="44"/>
      <c r="J367" s="103" t="str">
        <f aca="false">IF($C367="","",ROUND(IFERROR(INDEX(期初余额!$I$4:$I$43,MATCH($C367,期初余额!$H$4:$H$43,0)),0)+SUMIFS($H$4:$H367,$C$4:$C367,$C367)-SUMIFS($I$4:$I367,$C$4:$C367,$C367),2))</f>
        <v/>
      </c>
      <c r="K367" s="104" t="str">
        <f aca="false">IF($T367&lt;&gt;"",$T367,IF($C367="","",IF(AND(N($I367)&gt;0,$G367&lt;&gt;""),IF(IFERROR(INDEX(科目表!$U$4:$U$123,MATCH($G367,科目表!$M$4:$M$123,0)),"")&amp;""="","管理费用",INDEX(科目表!$U$4:$U$123,MATCH($G367,科目表!$M$4:$M$123,0))),IF(N($H367)&gt;0,IF(IFERROR(INDEX(自动规则!$C$4:$C$143,MATCH($F367,自动规则!$B$4:$B$143,0)),"")&amp;""="","其他应收款",INDEX(自动规则!$C$4:$C$143,MATCH($F367,自动规则!$B$4:$B$143,0))),IF(IFERROR(INDEX(自动规则!$D$4:$D$143,MATCH($F367,自动规则!$B$4:$B$143,0)),"")&amp;""="","其他应付款",INDEX(自动规则!$D$4:$D$143,MATCH($F367,自动规则!$B$4:$B$143,0)))))))</f>
        <v/>
      </c>
      <c r="L367" s="43"/>
      <c r="M367" s="105" t="str">
        <f aca="false">IF($C367="","",IF(IFERROR(INDEX(科目表!$T$4:$T$123,MATCH($C367,科目表!$K$4:$K$123,0)),"")&amp;""="","其他货币资金",INDEX(科目表!$T$4:$T$123,MATCH($C367,科目表!$K$4:$K$123,0))))</f>
        <v/>
      </c>
      <c r="N367" s="39" t="str">
        <f aca="false">IF(OR($C367="",ROUND(N($H367)+N($I367),2)=0),"",IF(N($H367)&gt;0,$M367,$K367))</f>
        <v/>
      </c>
      <c r="O367" s="41" t="str">
        <f aca="false">IF($N367="","",ROUND(N($H367)+N($I367),2))</f>
        <v/>
      </c>
      <c r="P367" s="41" t="str">
        <f aca="false">IF($N367="","",0)</f>
        <v/>
      </c>
      <c r="Q367" s="39" t="str">
        <f aca="false">IF($N367="","",IF(N($H367)&gt;0,$K367,$M367))</f>
        <v/>
      </c>
      <c r="R367" s="41" t="str">
        <f aca="false">IF($Q367="","",0)</f>
        <v/>
      </c>
      <c r="S367" s="41" t="str">
        <f aca="false">IF($Q367="","",ROUND(N($H367)+N($I367),2))</f>
        <v/>
      </c>
      <c r="T367" s="42"/>
      <c r="U367" s="44"/>
      <c r="V367" s="41" t="str">
        <f aca="false">IF($B367="","",TEXT($B367,"yyyy年m月"))</f>
        <v/>
      </c>
      <c r="W367" s="42"/>
      <c r="X367" s="42"/>
      <c r="Y367" s="9"/>
    </row>
    <row r="368" customFormat="false" ht="18" hidden="false" customHeight="true" outlineLevel="0" collapsed="false">
      <c r="A368" s="9" t="str">
        <f aca="false">IF($C368="","",ROW()-3)</f>
        <v/>
      </c>
      <c r="B368" s="76"/>
      <c r="C368" s="74"/>
      <c r="D368" s="43"/>
      <c r="E368" s="42"/>
      <c r="F368" s="74"/>
      <c r="G368" s="74"/>
      <c r="H368" s="44"/>
      <c r="I368" s="44"/>
      <c r="J368" s="103" t="str">
        <f aca="false">IF($C368="","",ROUND(IFERROR(INDEX(期初余额!$I$4:$I$43,MATCH($C368,期初余额!$H$4:$H$43,0)),0)+SUMIFS($H$4:$H368,$C$4:$C368,$C368)-SUMIFS($I$4:$I368,$C$4:$C368,$C368),2))</f>
        <v/>
      </c>
      <c r="K368" s="104" t="str">
        <f aca="false">IF($T368&lt;&gt;"",$T368,IF($C368="","",IF(AND(N($I368)&gt;0,$G368&lt;&gt;""),IF(IFERROR(INDEX(科目表!$U$4:$U$123,MATCH($G368,科目表!$M$4:$M$123,0)),"")&amp;""="","管理费用",INDEX(科目表!$U$4:$U$123,MATCH($G368,科目表!$M$4:$M$123,0))),IF(N($H368)&gt;0,IF(IFERROR(INDEX(自动规则!$C$4:$C$143,MATCH($F368,自动规则!$B$4:$B$143,0)),"")&amp;""="","其他应收款",INDEX(自动规则!$C$4:$C$143,MATCH($F368,自动规则!$B$4:$B$143,0))),IF(IFERROR(INDEX(自动规则!$D$4:$D$143,MATCH($F368,自动规则!$B$4:$B$143,0)),"")&amp;""="","其他应付款",INDEX(自动规则!$D$4:$D$143,MATCH($F368,自动规则!$B$4:$B$143,0)))))))</f>
        <v/>
      </c>
      <c r="L368" s="43"/>
      <c r="M368" s="105" t="str">
        <f aca="false">IF($C368="","",IF(IFERROR(INDEX(科目表!$T$4:$T$123,MATCH($C368,科目表!$K$4:$K$123,0)),"")&amp;""="","其他货币资金",INDEX(科目表!$T$4:$T$123,MATCH($C368,科目表!$K$4:$K$123,0))))</f>
        <v/>
      </c>
      <c r="N368" s="39" t="str">
        <f aca="false">IF(OR($C368="",ROUND(N($H368)+N($I368),2)=0),"",IF(N($H368)&gt;0,$M368,$K368))</f>
        <v/>
      </c>
      <c r="O368" s="41" t="str">
        <f aca="false">IF($N368="","",ROUND(N($H368)+N($I368),2))</f>
        <v/>
      </c>
      <c r="P368" s="41" t="str">
        <f aca="false">IF($N368="","",0)</f>
        <v/>
      </c>
      <c r="Q368" s="39" t="str">
        <f aca="false">IF($N368="","",IF(N($H368)&gt;0,$K368,$M368))</f>
        <v/>
      </c>
      <c r="R368" s="41" t="str">
        <f aca="false">IF($Q368="","",0)</f>
        <v/>
      </c>
      <c r="S368" s="41" t="str">
        <f aca="false">IF($Q368="","",ROUND(N($H368)+N($I368),2))</f>
        <v/>
      </c>
      <c r="T368" s="42"/>
      <c r="U368" s="44"/>
      <c r="V368" s="41" t="str">
        <f aca="false">IF($B368="","",TEXT($B368,"yyyy年m月"))</f>
        <v/>
      </c>
      <c r="W368" s="42"/>
      <c r="X368" s="42"/>
      <c r="Y368" s="9"/>
    </row>
    <row r="369" customFormat="false" ht="18" hidden="false" customHeight="true" outlineLevel="0" collapsed="false">
      <c r="A369" s="9" t="str">
        <f aca="false">IF($C369="","",ROW()-3)</f>
        <v/>
      </c>
      <c r="B369" s="76"/>
      <c r="C369" s="74"/>
      <c r="D369" s="43"/>
      <c r="E369" s="42"/>
      <c r="F369" s="74"/>
      <c r="G369" s="74"/>
      <c r="H369" s="44"/>
      <c r="I369" s="44"/>
      <c r="J369" s="103" t="str">
        <f aca="false">IF($C369="","",ROUND(IFERROR(INDEX(期初余额!$I$4:$I$43,MATCH($C369,期初余额!$H$4:$H$43,0)),0)+SUMIFS($H$4:$H369,$C$4:$C369,$C369)-SUMIFS($I$4:$I369,$C$4:$C369,$C369),2))</f>
        <v/>
      </c>
      <c r="K369" s="104" t="str">
        <f aca="false">IF($T369&lt;&gt;"",$T369,IF($C369="","",IF(AND(N($I369)&gt;0,$G369&lt;&gt;""),IF(IFERROR(INDEX(科目表!$U$4:$U$123,MATCH($G369,科目表!$M$4:$M$123,0)),"")&amp;""="","管理费用",INDEX(科目表!$U$4:$U$123,MATCH($G369,科目表!$M$4:$M$123,0))),IF(N($H369)&gt;0,IF(IFERROR(INDEX(自动规则!$C$4:$C$143,MATCH($F369,自动规则!$B$4:$B$143,0)),"")&amp;""="","其他应收款",INDEX(自动规则!$C$4:$C$143,MATCH($F369,自动规则!$B$4:$B$143,0))),IF(IFERROR(INDEX(自动规则!$D$4:$D$143,MATCH($F369,自动规则!$B$4:$B$143,0)),"")&amp;""="","其他应付款",INDEX(自动规则!$D$4:$D$143,MATCH($F369,自动规则!$B$4:$B$143,0)))))))</f>
        <v/>
      </c>
      <c r="L369" s="43"/>
      <c r="M369" s="105" t="str">
        <f aca="false">IF($C369="","",IF(IFERROR(INDEX(科目表!$T$4:$T$123,MATCH($C369,科目表!$K$4:$K$123,0)),"")&amp;""="","其他货币资金",INDEX(科目表!$T$4:$T$123,MATCH($C369,科目表!$K$4:$K$123,0))))</f>
        <v/>
      </c>
      <c r="N369" s="39" t="str">
        <f aca="false">IF(OR($C369="",ROUND(N($H369)+N($I369),2)=0),"",IF(N($H369)&gt;0,$M369,$K369))</f>
        <v/>
      </c>
      <c r="O369" s="41" t="str">
        <f aca="false">IF($N369="","",ROUND(N($H369)+N($I369),2))</f>
        <v/>
      </c>
      <c r="P369" s="41" t="str">
        <f aca="false">IF($N369="","",0)</f>
        <v/>
      </c>
      <c r="Q369" s="39" t="str">
        <f aca="false">IF($N369="","",IF(N($H369)&gt;0,$K369,$M369))</f>
        <v/>
      </c>
      <c r="R369" s="41" t="str">
        <f aca="false">IF($Q369="","",0)</f>
        <v/>
      </c>
      <c r="S369" s="41" t="str">
        <f aca="false">IF($Q369="","",ROUND(N($H369)+N($I369),2))</f>
        <v/>
      </c>
      <c r="T369" s="42"/>
      <c r="U369" s="44"/>
      <c r="V369" s="41" t="str">
        <f aca="false">IF($B369="","",TEXT($B369,"yyyy年m月"))</f>
        <v/>
      </c>
      <c r="W369" s="42"/>
      <c r="X369" s="42"/>
      <c r="Y369" s="9"/>
    </row>
    <row r="370" customFormat="false" ht="18" hidden="false" customHeight="true" outlineLevel="0" collapsed="false">
      <c r="A370" s="9" t="str">
        <f aca="false">IF($C370="","",ROW()-3)</f>
        <v/>
      </c>
      <c r="B370" s="76"/>
      <c r="C370" s="74"/>
      <c r="D370" s="43"/>
      <c r="E370" s="42"/>
      <c r="F370" s="74"/>
      <c r="G370" s="74"/>
      <c r="H370" s="44"/>
      <c r="I370" s="44"/>
      <c r="J370" s="103" t="str">
        <f aca="false">IF($C370="","",ROUND(IFERROR(INDEX(期初余额!$I$4:$I$43,MATCH($C370,期初余额!$H$4:$H$43,0)),0)+SUMIFS($H$4:$H370,$C$4:$C370,$C370)-SUMIFS($I$4:$I370,$C$4:$C370,$C370),2))</f>
        <v/>
      </c>
      <c r="K370" s="104" t="str">
        <f aca="false">IF($T370&lt;&gt;"",$T370,IF($C370="","",IF(AND(N($I370)&gt;0,$G370&lt;&gt;""),IF(IFERROR(INDEX(科目表!$U$4:$U$123,MATCH($G370,科目表!$M$4:$M$123,0)),"")&amp;""="","管理费用",INDEX(科目表!$U$4:$U$123,MATCH($G370,科目表!$M$4:$M$123,0))),IF(N($H370)&gt;0,IF(IFERROR(INDEX(自动规则!$C$4:$C$143,MATCH($F370,自动规则!$B$4:$B$143,0)),"")&amp;""="","其他应收款",INDEX(自动规则!$C$4:$C$143,MATCH($F370,自动规则!$B$4:$B$143,0))),IF(IFERROR(INDEX(自动规则!$D$4:$D$143,MATCH($F370,自动规则!$B$4:$B$143,0)),"")&amp;""="","其他应付款",INDEX(自动规则!$D$4:$D$143,MATCH($F370,自动规则!$B$4:$B$143,0)))))))</f>
        <v/>
      </c>
      <c r="L370" s="43"/>
      <c r="M370" s="105" t="str">
        <f aca="false">IF($C370="","",IF(IFERROR(INDEX(科目表!$T$4:$T$123,MATCH($C370,科目表!$K$4:$K$123,0)),"")&amp;""="","其他货币资金",INDEX(科目表!$T$4:$T$123,MATCH($C370,科目表!$K$4:$K$123,0))))</f>
        <v/>
      </c>
      <c r="N370" s="39" t="str">
        <f aca="false">IF(OR($C370="",ROUND(N($H370)+N($I370),2)=0),"",IF(N($H370)&gt;0,$M370,$K370))</f>
        <v/>
      </c>
      <c r="O370" s="41" t="str">
        <f aca="false">IF($N370="","",ROUND(N($H370)+N($I370),2))</f>
        <v/>
      </c>
      <c r="P370" s="41" t="str">
        <f aca="false">IF($N370="","",0)</f>
        <v/>
      </c>
      <c r="Q370" s="39" t="str">
        <f aca="false">IF($N370="","",IF(N($H370)&gt;0,$K370,$M370))</f>
        <v/>
      </c>
      <c r="R370" s="41" t="str">
        <f aca="false">IF($Q370="","",0)</f>
        <v/>
      </c>
      <c r="S370" s="41" t="str">
        <f aca="false">IF($Q370="","",ROUND(N($H370)+N($I370),2))</f>
        <v/>
      </c>
      <c r="T370" s="42"/>
      <c r="U370" s="44"/>
      <c r="V370" s="41" t="str">
        <f aca="false">IF($B370="","",TEXT($B370,"yyyy年m月"))</f>
        <v/>
      </c>
      <c r="W370" s="42"/>
      <c r="X370" s="42"/>
      <c r="Y370" s="9"/>
    </row>
    <row r="371" customFormat="false" ht="18" hidden="false" customHeight="true" outlineLevel="0" collapsed="false">
      <c r="A371" s="9" t="str">
        <f aca="false">IF($C371="","",ROW()-3)</f>
        <v/>
      </c>
      <c r="B371" s="76"/>
      <c r="C371" s="74"/>
      <c r="D371" s="43"/>
      <c r="E371" s="42"/>
      <c r="F371" s="74"/>
      <c r="G371" s="74"/>
      <c r="H371" s="44"/>
      <c r="I371" s="44"/>
      <c r="J371" s="103" t="str">
        <f aca="false">IF($C371="","",ROUND(IFERROR(INDEX(期初余额!$I$4:$I$43,MATCH($C371,期初余额!$H$4:$H$43,0)),0)+SUMIFS($H$4:$H371,$C$4:$C371,$C371)-SUMIFS($I$4:$I371,$C$4:$C371,$C371),2))</f>
        <v/>
      </c>
      <c r="K371" s="104" t="str">
        <f aca="false">IF($T371&lt;&gt;"",$T371,IF($C371="","",IF(AND(N($I371)&gt;0,$G371&lt;&gt;""),IF(IFERROR(INDEX(科目表!$U$4:$U$123,MATCH($G371,科目表!$M$4:$M$123,0)),"")&amp;""="","管理费用",INDEX(科目表!$U$4:$U$123,MATCH($G371,科目表!$M$4:$M$123,0))),IF(N($H371)&gt;0,IF(IFERROR(INDEX(自动规则!$C$4:$C$143,MATCH($F371,自动规则!$B$4:$B$143,0)),"")&amp;""="","其他应收款",INDEX(自动规则!$C$4:$C$143,MATCH($F371,自动规则!$B$4:$B$143,0))),IF(IFERROR(INDEX(自动规则!$D$4:$D$143,MATCH($F371,自动规则!$B$4:$B$143,0)),"")&amp;""="","其他应付款",INDEX(自动规则!$D$4:$D$143,MATCH($F371,自动规则!$B$4:$B$143,0)))))))</f>
        <v/>
      </c>
      <c r="L371" s="43"/>
      <c r="M371" s="105" t="str">
        <f aca="false">IF($C371="","",IF(IFERROR(INDEX(科目表!$T$4:$T$123,MATCH($C371,科目表!$K$4:$K$123,0)),"")&amp;""="","其他货币资金",INDEX(科目表!$T$4:$T$123,MATCH($C371,科目表!$K$4:$K$123,0))))</f>
        <v/>
      </c>
      <c r="N371" s="39" t="str">
        <f aca="false">IF(OR($C371="",ROUND(N($H371)+N($I371),2)=0),"",IF(N($H371)&gt;0,$M371,$K371))</f>
        <v/>
      </c>
      <c r="O371" s="41" t="str">
        <f aca="false">IF($N371="","",ROUND(N($H371)+N($I371),2))</f>
        <v/>
      </c>
      <c r="P371" s="41" t="str">
        <f aca="false">IF($N371="","",0)</f>
        <v/>
      </c>
      <c r="Q371" s="39" t="str">
        <f aca="false">IF($N371="","",IF(N($H371)&gt;0,$K371,$M371))</f>
        <v/>
      </c>
      <c r="R371" s="41" t="str">
        <f aca="false">IF($Q371="","",0)</f>
        <v/>
      </c>
      <c r="S371" s="41" t="str">
        <f aca="false">IF($Q371="","",ROUND(N($H371)+N($I371),2))</f>
        <v/>
      </c>
      <c r="T371" s="42"/>
      <c r="U371" s="44"/>
      <c r="V371" s="41" t="str">
        <f aca="false">IF($B371="","",TEXT($B371,"yyyy年m月"))</f>
        <v/>
      </c>
      <c r="W371" s="42"/>
      <c r="X371" s="42"/>
      <c r="Y371" s="9"/>
    </row>
    <row r="372" customFormat="false" ht="18" hidden="false" customHeight="true" outlineLevel="0" collapsed="false">
      <c r="A372" s="9" t="str">
        <f aca="false">IF($C372="","",ROW()-3)</f>
        <v/>
      </c>
      <c r="B372" s="76"/>
      <c r="C372" s="74"/>
      <c r="D372" s="43"/>
      <c r="E372" s="42"/>
      <c r="F372" s="74"/>
      <c r="G372" s="74"/>
      <c r="H372" s="44"/>
      <c r="I372" s="44"/>
      <c r="J372" s="103" t="str">
        <f aca="false">IF($C372="","",ROUND(IFERROR(INDEX(期初余额!$I$4:$I$43,MATCH($C372,期初余额!$H$4:$H$43,0)),0)+SUMIFS($H$4:$H372,$C$4:$C372,$C372)-SUMIFS($I$4:$I372,$C$4:$C372,$C372),2))</f>
        <v/>
      </c>
      <c r="K372" s="104" t="str">
        <f aca="false">IF($T372&lt;&gt;"",$T372,IF($C372="","",IF(AND(N($I372)&gt;0,$G372&lt;&gt;""),IF(IFERROR(INDEX(科目表!$U$4:$U$123,MATCH($G372,科目表!$M$4:$M$123,0)),"")&amp;""="","管理费用",INDEX(科目表!$U$4:$U$123,MATCH($G372,科目表!$M$4:$M$123,0))),IF(N($H372)&gt;0,IF(IFERROR(INDEX(自动规则!$C$4:$C$143,MATCH($F372,自动规则!$B$4:$B$143,0)),"")&amp;""="","其他应收款",INDEX(自动规则!$C$4:$C$143,MATCH($F372,自动规则!$B$4:$B$143,0))),IF(IFERROR(INDEX(自动规则!$D$4:$D$143,MATCH($F372,自动规则!$B$4:$B$143,0)),"")&amp;""="","其他应付款",INDEX(自动规则!$D$4:$D$143,MATCH($F372,自动规则!$B$4:$B$143,0)))))))</f>
        <v/>
      </c>
      <c r="L372" s="43"/>
      <c r="M372" s="105" t="str">
        <f aca="false">IF($C372="","",IF(IFERROR(INDEX(科目表!$T$4:$T$123,MATCH($C372,科目表!$K$4:$K$123,0)),"")&amp;""="","其他货币资金",INDEX(科目表!$T$4:$T$123,MATCH($C372,科目表!$K$4:$K$123,0))))</f>
        <v/>
      </c>
      <c r="N372" s="39" t="str">
        <f aca="false">IF(OR($C372="",ROUND(N($H372)+N($I372),2)=0),"",IF(N($H372)&gt;0,$M372,$K372))</f>
        <v/>
      </c>
      <c r="O372" s="41" t="str">
        <f aca="false">IF($N372="","",ROUND(N($H372)+N($I372),2))</f>
        <v/>
      </c>
      <c r="P372" s="41" t="str">
        <f aca="false">IF($N372="","",0)</f>
        <v/>
      </c>
      <c r="Q372" s="39" t="str">
        <f aca="false">IF($N372="","",IF(N($H372)&gt;0,$K372,$M372))</f>
        <v/>
      </c>
      <c r="R372" s="41" t="str">
        <f aca="false">IF($Q372="","",0)</f>
        <v/>
      </c>
      <c r="S372" s="41" t="str">
        <f aca="false">IF($Q372="","",ROUND(N($H372)+N($I372),2))</f>
        <v/>
      </c>
      <c r="T372" s="42"/>
      <c r="U372" s="44"/>
      <c r="V372" s="41" t="str">
        <f aca="false">IF($B372="","",TEXT($B372,"yyyy年m月"))</f>
        <v/>
      </c>
      <c r="W372" s="42"/>
      <c r="X372" s="42"/>
      <c r="Y372" s="9"/>
    </row>
    <row r="373" customFormat="false" ht="18" hidden="false" customHeight="true" outlineLevel="0" collapsed="false">
      <c r="A373" s="9" t="str">
        <f aca="false">IF($C373="","",ROW()-3)</f>
        <v/>
      </c>
      <c r="B373" s="76"/>
      <c r="C373" s="74"/>
      <c r="D373" s="43"/>
      <c r="E373" s="42"/>
      <c r="F373" s="74"/>
      <c r="G373" s="74"/>
      <c r="H373" s="44"/>
      <c r="I373" s="44"/>
      <c r="J373" s="103" t="str">
        <f aca="false">IF($C373="","",ROUND(IFERROR(INDEX(期初余额!$I$4:$I$43,MATCH($C373,期初余额!$H$4:$H$43,0)),0)+SUMIFS($H$4:$H373,$C$4:$C373,$C373)-SUMIFS($I$4:$I373,$C$4:$C373,$C373),2))</f>
        <v/>
      </c>
      <c r="K373" s="104" t="str">
        <f aca="false">IF($T373&lt;&gt;"",$T373,IF($C373="","",IF(AND(N($I373)&gt;0,$G373&lt;&gt;""),IF(IFERROR(INDEX(科目表!$U$4:$U$123,MATCH($G373,科目表!$M$4:$M$123,0)),"")&amp;""="","管理费用",INDEX(科目表!$U$4:$U$123,MATCH($G373,科目表!$M$4:$M$123,0))),IF(N($H373)&gt;0,IF(IFERROR(INDEX(自动规则!$C$4:$C$143,MATCH($F373,自动规则!$B$4:$B$143,0)),"")&amp;""="","其他应收款",INDEX(自动规则!$C$4:$C$143,MATCH($F373,自动规则!$B$4:$B$143,0))),IF(IFERROR(INDEX(自动规则!$D$4:$D$143,MATCH($F373,自动规则!$B$4:$B$143,0)),"")&amp;""="","其他应付款",INDEX(自动规则!$D$4:$D$143,MATCH($F373,自动规则!$B$4:$B$143,0)))))))</f>
        <v/>
      </c>
      <c r="L373" s="43"/>
      <c r="M373" s="105" t="str">
        <f aca="false">IF($C373="","",IF(IFERROR(INDEX(科目表!$T$4:$T$123,MATCH($C373,科目表!$K$4:$K$123,0)),"")&amp;""="","其他货币资金",INDEX(科目表!$T$4:$T$123,MATCH($C373,科目表!$K$4:$K$123,0))))</f>
        <v/>
      </c>
      <c r="N373" s="39" t="str">
        <f aca="false">IF(OR($C373="",ROUND(N($H373)+N($I373),2)=0),"",IF(N($H373)&gt;0,$M373,$K373))</f>
        <v/>
      </c>
      <c r="O373" s="41" t="str">
        <f aca="false">IF($N373="","",ROUND(N($H373)+N($I373),2))</f>
        <v/>
      </c>
      <c r="P373" s="41" t="str">
        <f aca="false">IF($N373="","",0)</f>
        <v/>
      </c>
      <c r="Q373" s="39" t="str">
        <f aca="false">IF($N373="","",IF(N($H373)&gt;0,$K373,$M373))</f>
        <v/>
      </c>
      <c r="R373" s="41" t="str">
        <f aca="false">IF($Q373="","",0)</f>
        <v/>
      </c>
      <c r="S373" s="41" t="str">
        <f aca="false">IF($Q373="","",ROUND(N($H373)+N($I373),2))</f>
        <v/>
      </c>
      <c r="T373" s="42"/>
      <c r="U373" s="44"/>
      <c r="V373" s="41" t="str">
        <f aca="false">IF($B373="","",TEXT($B373,"yyyy年m月"))</f>
        <v/>
      </c>
      <c r="W373" s="42"/>
      <c r="X373" s="42"/>
      <c r="Y373" s="9"/>
    </row>
    <row r="374" customFormat="false" ht="18" hidden="false" customHeight="true" outlineLevel="0" collapsed="false">
      <c r="A374" s="9" t="str">
        <f aca="false">IF($C374="","",ROW()-3)</f>
        <v/>
      </c>
      <c r="B374" s="76"/>
      <c r="C374" s="74"/>
      <c r="D374" s="43"/>
      <c r="E374" s="42"/>
      <c r="F374" s="74"/>
      <c r="G374" s="74"/>
      <c r="H374" s="44"/>
      <c r="I374" s="44"/>
      <c r="J374" s="103" t="str">
        <f aca="false">IF($C374="","",ROUND(IFERROR(INDEX(期初余额!$I$4:$I$43,MATCH($C374,期初余额!$H$4:$H$43,0)),0)+SUMIFS($H$4:$H374,$C$4:$C374,$C374)-SUMIFS($I$4:$I374,$C$4:$C374,$C374),2))</f>
        <v/>
      </c>
      <c r="K374" s="104" t="str">
        <f aca="false">IF($T374&lt;&gt;"",$T374,IF($C374="","",IF(AND(N($I374)&gt;0,$G374&lt;&gt;""),IF(IFERROR(INDEX(科目表!$U$4:$U$123,MATCH($G374,科目表!$M$4:$M$123,0)),"")&amp;""="","管理费用",INDEX(科目表!$U$4:$U$123,MATCH($G374,科目表!$M$4:$M$123,0))),IF(N($H374)&gt;0,IF(IFERROR(INDEX(自动规则!$C$4:$C$143,MATCH($F374,自动规则!$B$4:$B$143,0)),"")&amp;""="","其他应收款",INDEX(自动规则!$C$4:$C$143,MATCH($F374,自动规则!$B$4:$B$143,0))),IF(IFERROR(INDEX(自动规则!$D$4:$D$143,MATCH($F374,自动规则!$B$4:$B$143,0)),"")&amp;""="","其他应付款",INDEX(自动规则!$D$4:$D$143,MATCH($F374,自动规则!$B$4:$B$143,0)))))))</f>
        <v/>
      </c>
      <c r="L374" s="43"/>
      <c r="M374" s="105" t="str">
        <f aca="false">IF($C374="","",IF(IFERROR(INDEX(科目表!$T$4:$T$123,MATCH($C374,科目表!$K$4:$K$123,0)),"")&amp;""="","其他货币资金",INDEX(科目表!$T$4:$T$123,MATCH($C374,科目表!$K$4:$K$123,0))))</f>
        <v/>
      </c>
      <c r="N374" s="39" t="str">
        <f aca="false">IF(OR($C374="",ROUND(N($H374)+N($I374),2)=0),"",IF(N($H374)&gt;0,$M374,$K374))</f>
        <v/>
      </c>
      <c r="O374" s="41" t="str">
        <f aca="false">IF($N374="","",ROUND(N($H374)+N($I374),2))</f>
        <v/>
      </c>
      <c r="P374" s="41" t="str">
        <f aca="false">IF($N374="","",0)</f>
        <v/>
      </c>
      <c r="Q374" s="39" t="str">
        <f aca="false">IF($N374="","",IF(N($H374)&gt;0,$K374,$M374))</f>
        <v/>
      </c>
      <c r="R374" s="41" t="str">
        <f aca="false">IF($Q374="","",0)</f>
        <v/>
      </c>
      <c r="S374" s="41" t="str">
        <f aca="false">IF($Q374="","",ROUND(N($H374)+N($I374),2))</f>
        <v/>
      </c>
      <c r="T374" s="42"/>
      <c r="U374" s="44"/>
      <c r="V374" s="41" t="str">
        <f aca="false">IF($B374="","",TEXT($B374,"yyyy年m月"))</f>
        <v/>
      </c>
      <c r="W374" s="42"/>
      <c r="X374" s="42"/>
      <c r="Y374" s="9"/>
    </row>
    <row r="375" customFormat="false" ht="18" hidden="false" customHeight="true" outlineLevel="0" collapsed="false">
      <c r="A375" s="9" t="str">
        <f aca="false">IF($C375="","",ROW()-3)</f>
        <v/>
      </c>
      <c r="B375" s="76"/>
      <c r="C375" s="74"/>
      <c r="D375" s="43"/>
      <c r="E375" s="42"/>
      <c r="F375" s="74"/>
      <c r="G375" s="74"/>
      <c r="H375" s="44"/>
      <c r="I375" s="44"/>
      <c r="J375" s="103" t="str">
        <f aca="false">IF($C375="","",ROUND(IFERROR(INDEX(期初余额!$I$4:$I$43,MATCH($C375,期初余额!$H$4:$H$43,0)),0)+SUMIFS($H$4:$H375,$C$4:$C375,$C375)-SUMIFS($I$4:$I375,$C$4:$C375,$C375),2))</f>
        <v/>
      </c>
      <c r="K375" s="104" t="str">
        <f aca="false">IF($T375&lt;&gt;"",$T375,IF($C375="","",IF(AND(N($I375)&gt;0,$G375&lt;&gt;""),IF(IFERROR(INDEX(科目表!$U$4:$U$123,MATCH($G375,科目表!$M$4:$M$123,0)),"")&amp;""="","管理费用",INDEX(科目表!$U$4:$U$123,MATCH($G375,科目表!$M$4:$M$123,0))),IF(N($H375)&gt;0,IF(IFERROR(INDEX(自动规则!$C$4:$C$143,MATCH($F375,自动规则!$B$4:$B$143,0)),"")&amp;""="","其他应收款",INDEX(自动规则!$C$4:$C$143,MATCH($F375,自动规则!$B$4:$B$143,0))),IF(IFERROR(INDEX(自动规则!$D$4:$D$143,MATCH($F375,自动规则!$B$4:$B$143,0)),"")&amp;""="","其他应付款",INDEX(自动规则!$D$4:$D$143,MATCH($F375,自动规则!$B$4:$B$143,0)))))))</f>
        <v/>
      </c>
      <c r="L375" s="43"/>
      <c r="M375" s="105" t="str">
        <f aca="false">IF($C375="","",IF(IFERROR(INDEX(科目表!$T$4:$T$123,MATCH($C375,科目表!$K$4:$K$123,0)),"")&amp;""="","其他货币资金",INDEX(科目表!$T$4:$T$123,MATCH($C375,科目表!$K$4:$K$123,0))))</f>
        <v/>
      </c>
      <c r="N375" s="39" t="str">
        <f aca="false">IF(OR($C375="",ROUND(N($H375)+N($I375),2)=0),"",IF(N($H375)&gt;0,$M375,$K375))</f>
        <v/>
      </c>
      <c r="O375" s="41" t="str">
        <f aca="false">IF($N375="","",ROUND(N($H375)+N($I375),2))</f>
        <v/>
      </c>
      <c r="P375" s="41" t="str">
        <f aca="false">IF($N375="","",0)</f>
        <v/>
      </c>
      <c r="Q375" s="39" t="str">
        <f aca="false">IF($N375="","",IF(N($H375)&gt;0,$K375,$M375))</f>
        <v/>
      </c>
      <c r="R375" s="41" t="str">
        <f aca="false">IF($Q375="","",0)</f>
        <v/>
      </c>
      <c r="S375" s="41" t="str">
        <f aca="false">IF($Q375="","",ROUND(N($H375)+N($I375),2))</f>
        <v/>
      </c>
      <c r="T375" s="42"/>
      <c r="U375" s="44"/>
      <c r="V375" s="41" t="str">
        <f aca="false">IF($B375="","",TEXT($B375,"yyyy年m月"))</f>
        <v/>
      </c>
      <c r="W375" s="42"/>
      <c r="X375" s="42"/>
      <c r="Y375" s="9"/>
    </row>
    <row r="376" customFormat="false" ht="18" hidden="false" customHeight="true" outlineLevel="0" collapsed="false">
      <c r="A376" s="9" t="str">
        <f aca="false">IF($C376="","",ROW()-3)</f>
        <v/>
      </c>
      <c r="B376" s="76"/>
      <c r="C376" s="74"/>
      <c r="D376" s="43"/>
      <c r="E376" s="42"/>
      <c r="F376" s="74"/>
      <c r="G376" s="74"/>
      <c r="H376" s="44"/>
      <c r="I376" s="44"/>
      <c r="J376" s="103" t="str">
        <f aca="false">IF($C376="","",ROUND(IFERROR(INDEX(期初余额!$I$4:$I$43,MATCH($C376,期初余额!$H$4:$H$43,0)),0)+SUMIFS($H$4:$H376,$C$4:$C376,$C376)-SUMIFS($I$4:$I376,$C$4:$C376,$C376),2))</f>
        <v/>
      </c>
      <c r="K376" s="104" t="str">
        <f aca="false">IF($T376&lt;&gt;"",$T376,IF($C376="","",IF(AND(N($I376)&gt;0,$G376&lt;&gt;""),IF(IFERROR(INDEX(科目表!$U$4:$U$123,MATCH($G376,科目表!$M$4:$M$123,0)),"")&amp;""="","管理费用",INDEX(科目表!$U$4:$U$123,MATCH($G376,科目表!$M$4:$M$123,0))),IF(N($H376)&gt;0,IF(IFERROR(INDEX(自动规则!$C$4:$C$143,MATCH($F376,自动规则!$B$4:$B$143,0)),"")&amp;""="","其他应收款",INDEX(自动规则!$C$4:$C$143,MATCH($F376,自动规则!$B$4:$B$143,0))),IF(IFERROR(INDEX(自动规则!$D$4:$D$143,MATCH($F376,自动规则!$B$4:$B$143,0)),"")&amp;""="","其他应付款",INDEX(自动规则!$D$4:$D$143,MATCH($F376,自动规则!$B$4:$B$143,0)))))))</f>
        <v/>
      </c>
      <c r="L376" s="43"/>
      <c r="M376" s="105" t="str">
        <f aca="false">IF($C376="","",IF(IFERROR(INDEX(科目表!$T$4:$T$123,MATCH($C376,科目表!$K$4:$K$123,0)),"")&amp;""="","其他货币资金",INDEX(科目表!$T$4:$T$123,MATCH($C376,科目表!$K$4:$K$123,0))))</f>
        <v/>
      </c>
      <c r="N376" s="39" t="str">
        <f aca="false">IF(OR($C376="",ROUND(N($H376)+N($I376),2)=0),"",IF(N($H376)&gt;0,$M376,$K376))</f>
        <v/>
      </c>
      <c r="O376" s="41" t="str">
        <f aca="false">IF($N376="","",ROUND(N($H376)+N($I376),2))</f>
        <v/>
      </c>
      <c r="P376" s="41" t="str">
        <f aca="false">IF($N376="","",0)</f>
        <v/>
      </c>
      <c r="Q376" s="39" t="str">
        <f aca="false">IF($N376="","",IF(N($H376)&gt;0,$K376,$M376))</f>
        <v/>
      </c>
      <c r="R376" s="41" t="str">
        <f aca="false">IF($Q376="","",0)</f>
        <v/>
      </c>
      <c r="S376" s="41" t="str">
        <f aca="false">IF($Q376="","",ROUND(N($H376)+N($I376),2))</f>
        <v/>
      </c>
      <c r="T376" s="42"/>
      <c r="U376" s="44"/>
      <c r="V376" s="41" t="str">
        <f aca="false">IF($B376="","",TEXT($B376,"yyyy年m月"))</f>
        <v/>
      </c>
      <c r="W376" s="42"/>
      <c r="X376" s="42"/>
      <c r="Y376" s="9"/>
    </row>
    <row r="377" customFormat="false" ht="18" hidden="false" customHeight="true" outlineLevel="0" collapsed="false">
      <c r="A377" s="9" t="str">
        <f aca="false">IF($C377="","",ROW()-3)</f>
        <v/>
      </c>
      <c r="B377" s="76"/>
      <c r="C377" s="74"/>
      <c r="D377" s="43"/>
      <c r="E377" s="42"/>
      <c r="F377" s="74"/>
      <c r="G377" s="74"/>
      <c r="H377" s="44"/>
      <c r="I377" s="44"/>
      <c r="J377" s="103" t="str">
        <f aca="false">IF($C377="","",ROUND(IFERROR(INDEX(期初余额!$I$4:$I$43,MATCH($C377,期初余额!$H$4:$H$43,0)),0)+SUMIFS($H$4:$H377,$C$4:$C377,$C377)-SUMIFS($I$4:$I377,$C$4:$C377,$C377),2))</f>
        <v/>
      </c>
      <c r="K377" s="104" t="str">
        <f aca="false">IF($T377&lt;&gt;"",$T377,IF($C377="","",IF(AND(N($I377)&gt;0,$G377&lt;&gt;""),IF(IFERROR(INDEX(科目表!$U$4:$U$123,MATCH($G377,科目表!$M$4:$M$123,0)),"")&amp;""="","管理费用",INDEX(科目表!$U$4:$U$123,MATCH($G377,科目表!$M$4:$M$123,0))),IF(N($H377)&gt;0,IF(IFERROR(INDEX(自动规则!$C$4:$C$143,MATCH($F377,自动规则!$B$4:$B$143,0)),"")&amp;""="","其他应收款",INDEX(自动规则!$C$4:$C$143,MATCH($F377,自动规则!$B$4:$B$143,0))),IF(IFERROR(INDEX(自动规则!$D$4:$D$143,MATCH($F377,自动规则!$B$4:$B$143,0)),"")&amp;""="","其他应付款",INDEX(自动规则!$D$4:$D$143,MATCH($F377,自动规则!$B$4:$B$143,0)))))))</f>
        <v/>
      </c>
      <c r="L377" s="43"/>
      <c r="M377" s="105" t="str">
        <f aca="false">IF($C377="","",IF(IFERROR(INDEX(科目表!$T$4:$T$123,MATCH($C377,科目表!$K$4:$K$123,0)),"")&amp;""="","其他货币资金",INDEX(科目表!$T$4:$T$123,MATCH($C377,科目表!$K$4:$K$123,0))))</f>
        <v/>
      </c>
      <c r="N377" s="39" t="str">
        <f aca="false">IF(OR($C377="",ROUND(N($H377)+N($I377),2)=0),"",IF(N($H377)&gt;0,$M377,$K377))</f>
        <v/>
      </c>
      <c r="O377" s="41" t="str">
        <f aca="false">IF($N377="","",ROUND(N($H377)+N($I377),2))</f>
        <v/>
      </c>
      <c r="P377" s="41" t="str">
        <f aca="false">IF($N377="","",0)</f>
        <v/>
      </c>
      <c r="Q377" s="39" t="str">
        <f aca="false">IF($N377="","",IF(N($H377)&gt;0,$K377,$M377))</f>
        <v/>
      </c>
      <c r="R377" s="41" t="str">
        <f aca="false">IF($Q377="","",0)</f>
        <v/>
      </c>
      <c r="S377" s="41" t="str">
        <f aca="false">IF($Q377="","",ROUND(N($H377)+N($I377),2))</f>
        <v/>
      </c>
      <c r="T377" s="42"/>
      <c r="U377" s="44"/>
      <c r="V377" s="41" t="str">
        <f aca="false">IF($B377="","",TEXT($B377,"yyyy年m月"))</f>
        <v/>
      </c>
      <c r="W377" s="42"/>
      <c r="X377" s="42"/>
      <c r="Y377" s="9"/>
    </row>
    <row r="378" customFormat="false" ht="18" hidden="false" customHeight="true" outlineLevel="0" collapsed="false">
      <c r="A378" s="9" t="str">
        <f aca="false">IF($C378="","",ROW()-3)</f>
        <v/>
      </c>
      <c r="B378" s="76"/>
      <c r="C378" s="74"/>
      <c r="D378" s="43"/>
      <c r="E378" s="42"/>
      <c r="F378" s="74"/>
      <c r="G378" s="74"/>
      <c r="H378" s="44"/>
      <c r="I378" s="44"/>
      <c r="J378" s="103" t="str">
        <f aca="false">IF($C378="","",ROUND(IFERROR(INDEX(期初余额!$I$4:$I$43,MATCH($C378,期初余额!$H$4:$H$43,0)),0)+SUMIFS($H$4:$H378,$C$4:$C378,$C378)-SUMIFS($I$4:$I378,$C$4:$C378,$C378),2))</f>
        <v/>
      </c>
      <c r="K378" s="104" t="str">
        <f aca="false">IF($T378&lt;&gt;"",$T378,IF($C378="","",IF(AND(N($I378)&gt;0,$G378&lt;&gt;""),IF(IFERROR(INDEX(科目表!$U$4:$U$123,MATCH($G378,科目表!$M$4:$M$123,0)),"")&amp;""="","管理费用",INDEX(科目表!$U$4:$U$123,MATCH($G378,科目表!$M$4:$M$123,0))),IF(N($H378)&gt;0,IF(IFERROR(INDEX(自动规则!$C$4:$C$143,MATCH($F378,自动规则!$B$4:$B$143,0)),"")&amp;""="","其他应收款",INDEX(自动规则!$C$4:$C$143,MATCH($F378,自动规则!$B$4:$B$143,0))),IF(IFERROR(INDEX(自动规则!$D$4:$D$143,MATCH($F378,自动规则!$B$4:$B$143,0)),"")&amp;""="","其他应付款",INDEX(自动规则!$D$4:$D$143,MATCH($F378,自动规则!$B$4:$B$143,0)))))))</f>
        <v/>
      </c>
      <c r="L378" s="43"/>
      <c r="M378" s="105" t="str">
        <f aca="false">IF($C378="","",IF(IFERROR(INDEX(科目表!$T$4:$T$123,MATCH($C378,科目表!$K$4:$K$123,0)),"")&amp;""="","其他货币资金",INDEX(科目表!$T$4:$T$123,MATCH($C378,科目表!$K$4:$K$123,0))))</f>
        <v/>
      </c>
      <c r="N378" s="39" t="str">
        <f aca="false">IF(OR($C378="",ROUND(N($H378)+N($I378),2)=0),"",IF(N($H378)&gt;0,$M378,$K378))</f>
        <v/>
      </c>
      <c r="O378" s="41" t="str">
        <f aca="false">IF($N378="","",ROUND(N($H378)+N($I378),2))</f>
        <v/>
      </c>
      <c r="P378" s="41" t="str">
        <f aca="false">IF($N378="","",0)</f>
        <v/>
      </c>
      <c r="Q378" s="39" t="str">
        <f aca="false">IF($N378="","",IF(N($H378)&gt;0,$K378,$M378))</f>
        <v/>
      </c>
      <c r="R378" s="41" t="str">
        <f aca="false">IF($Q378="","",0)</f>
        <v/>
      </c>
      <c r="S378" s="41" t="str">
        <f aca="false">IF($Q378="","",ROUND(N($H378)+N($I378),2))</f>
        <v/>
      </c>
      <c r="T378" s="42"/>
      <c r="U378" s="44"/>
      <c r="V378" s="41" t="str">
        <f aca="false">IF($B378="","",TEXT($B378,"yyyy年m月"))</f>
        <v/>
      </c>
      <c r="W378" s="42"/>
      <c r="X378" s="42"/>
      <c r="Y378" s="9"/>
    </row>
    <row r="379" customFormat="false" ht="18" hidden="false" customHeight="true" outlineLevel="0" collapsed="false">
      <c r="A379" s="9" t="str">
        <f aca="false">IF($C379="","",ROW()-3)</f>
        <v/>
      </c>
      <c r="B379" s="76"/>
      <c r="C379" s="74"/>
      <c r="D379" s="43"/>
      <c r="E379" s="42"/>
      <c r="F379" s="74"/>
      <c r="G379" s="74"/>
      <c r="H379" s="44"/>
      <c r="I379" s="44"/>
      <c r="J379" s="103" t="str">
        <f aca="false">IF($C379="","",ROUND(IFERROR(INDEX(期初余额!$I$4:$I$43,MATCH($C379,期初余额!$H$4:$H$43,0)),0)+SUMIFS($H$4:$H379,$C$4:$C379,$C379)-SUMIFS($I$4:$I379,$C$4:$C379,$C379),2))</f>
        <v/>
      </c>
      <c r="K379" s="104" t="str">
        <f aca="false">IF($T379&lt;&gt;"",$T379,IF($C379="","",IF(AND(N($I379)&gt;0,$G379&lt;&gt;""),IF(IFERROR(INDEX(科目表!$U$4:$U$123,MATCH($G379,科目表!$M$4:$M$123,0)),"")&amp;""="","管理费用",INDEX(科目表!$U$4:$U$123,MATCH($G379,科目表!$M$4:$M$123,0))),IF(N($H379)&gt;0,IF(IFERROR(INDEX(自动规则!$C$4:$C$143,MATCH($F379,自动规则!$B$4:$B$143,0)),"")&amp;""="","其他应收款",INDEX(自动规则!$C$4:$C$143,MATCH($F379,自动规则!$B$4:$B$143,0))),IF(IFERROR(INDEX(自动规则!$D$4:$D$143,MATCH($F379,自动规则!$B$4:$B$143,0)),"")&amp;""="","其他应付款",INDEX(自动规则!$D$4:$D$143,MATCH($F379,自动规则!$B$4:$B$143,0)))))))</f>
        <v/>
      </c>
      <c r="L379" s="43"/>
      <c r="M379" s="105" t="str">
        <f aca="false">IF($C379="","",IF(IFERROR(INDEX(科目表!$T$4:$T$123,MATCH($C379,科目表!$K$4:$K$123,0)),"")&amp;""="","其他货币资金",INDEX(科目表!$T$4:$T$123,MATCH($C379,科目表!$K$4:$K$123,0))))</f>
        <v/>
      </c>
      <c r="N379" s="39" t="str">
        <f aca="false">IF(OR($C379="",ROUND(N($H379)+N($I379),2)=0),"",IF(N($H379)&gt;0,$M379,$K379))</f>
        <v/>
      </c>
      <c r="O379" s="41" t="str">
        <f aca="false">IF($N379="","",ROUND(N($H379)+N($I379),2))</f>
        <v/>
      </c>
      <c r="P379" s="41" t="str">
        <f aca="false">IF($N379="","",0)</f>
        <v/>
      </c>
      <c r="Q379" s="39" t="str">
        <f aca="false">IF($N379="","",IF(N($H379)&gt;0,$K379,$M379))</f>
        <v/>
      </c>
      <c r="R379" s="41" t="str">
        <f aca="false">IF($Q379="","",0)</f>
        <v/>
      </c>
      <c r="S379" s="41" t="str">
        <f aca="false">IF($Q379="","",ROUND(N($H379)+N($I379),2))</f>
        <v/>
      </c>
      <c r="T379" s="42"/>
      <c r="U379" s="44"/>
      <c r="V379" s="41" t="str">
        <f aca="false">IF($B379="","",TEXT($B379,"yyyy年m月"))</f>
        <v/>
      </c>
      <c r="W379" s="42"/>
      <c r="X379" s="42"/>
      <c r="Y379" s="9"/>
    </row>
    <row r="380" customFormat="false" ht="18" hidden="false" customHeight="true" outlineLevel="0" collapsed="false">
      <c r="A380" s="9" t="str">
        <f aca="false">IF($C380="","",ROW()-3)</f>
        <v/>
      </c>
      <c r="B380" s="76"/>
      <c r="C380" s="74"/>
      <c r="D380" s="43"/>
      <c r="E380" s="42"/>
      <c r="F380" s="74"/>
      <c r="G380" s="74"/>
      <c r="H380" s="44"/>
      <c r="I380" s="44"/>
      <c r="J380" s="103" t="str">
        <f aca="false">IF($C380="","",ROUND(IFERROR(INDEX(期初余额!$I$4:$I$43,MATCH($C380,期初余额!$H$4:$H$43,0)),0)+SUMIFS($H$4:$H380,$C$4:$C380,$C380)-SUMIFS($I$4:$I380,$C$4:$C380,$C380),2))</f>
        <v/>
      </c>
      <c r="K380" s="104" t="str">
        <f aca="false">IF($T380&lt;&gt;"",$T380,IF($C380="","",IF(AND(N($I380)&gt;0,$G380&lt;&gt;""),IF(IFERROR(INDEX(科目表!$U$4:$U$123,MATCH($G380,科目表!$M$4:$M$123,0)),"")&amp;""="","管理费用",INDEX(科目表!$U$4:$U$123,MATCH($G380,科目表!$M$4:$M$123,0))),IF(N($H380)&gt;0,IF(IFERROR(INDEX(自动规则!$C$4:$C$143,MATCH($F380,自动规则!$B$4:$B$143,0)),"")&amp;""="","其他应收款",INDEX(自动规则!$C$4:$C$143,MATCH($F380,自动规则!$B$4:$B$143,0))),IF(IFERROR(INDEX(自动规则!$D$4:$D$143,MATCH($F380,自动规则!$B$4:$B$143,0)),"")&amp;""="","其他应付款",INDEX(自动规则!$D$4:$D$143,MATCH($F380,自动规则!$B$4:$B$143,0)))))))</f>
        <v/>
      </c>
      <c r="L380" s="43"/>
      <c r="M380" s="105" t="str">
        <f aca="false">IF($C380="","",IF(IFERROR(INDEX(科目表!$T$4:$T$123,MATCH($C380,科目表!$K$4:$K$123,0)),"")&amp;""="","其他货币资金",INDEX(科目表!$T$4:$T$123,MATCH($C380,科目表!$K$4:$K$123,0))))</f>
        <v/>
      </c>
      <c r="N380" s="39" t="str">
        <f aca="false">IF(OR($C380="",ROUND(N($H380)+N($I380),2)=0),"",IF(N($H380)&gt;0,$M380,$K380))</f>
        <v/>
      </c>
      <c r="O380" s="41" t="str">
        <f aca="false">IF($N380="","",ROUND(N($H380)+N($I380),2))</f>
        <v/>
      </c>
      <c r="P380" s="41" t="str">
        <f aca="false">IF($N380="","",0)</f>
        <v/>
      </c>
      <c r="Q380" s="39" t="str">
        <f aca="false">IF($N380="","",IF(N($H380)&gt;0,$K380,$M380))</f>
        <v/>
      </c>
      <c r="R380" s="41" t="str">
        <f aca="false">IF($Q380="","",0)</f>
        <v/>
      </c>
      <c r="S380" s="41" t="str">
        <f aca="false">IF($Q380="","",ROUND(N($H380)+N($I380),2))</f>
        <v/>
      </c>
      <c r="T380" s="42"/>
      <c r="U380" s="44"/>
      <c r="V380" s="41" t="str">
        <f aca="false">IF($B380="","",TEXT($B380,"yyyy年m月"))</f>
        <v/>
      </c>
      <c r="W380" s="42"/>
      <c r="X380" s="42"/>
      <c r="Y380" s="9"/>
    </row>
    <row r="381" customFormat="false" ht="18" hidden="false" customHeight="true" outlineLevel="0" collapsed="false">
      <c r="A381" s="9" t="str">
        <f aca="false">IF($C381="","",ROW()-3)</f>
        <v/>
      </c>
      <c r="B381" s="76"/>
      <c r="C381" s="74"/>
      <c r="D381" s="43"/>
      <c r="E381" s="42"/>
      <c r="F381" s="74"/>
      <c r="G381" s="74"/>
      <c r="H381" s="44"/>
      <c r="I381" s="44"/>
      <c r="J381" s="103" t="str">
        <f aca="false">IF($C381="","",ROUND(IFERROR(INDEX(期初余额!$I$4:$I$43,MATCH($C381,期初余额!$H$4:$H$43,0)),0)+SUMIFS($H$4:$H381,$C$4:$C381,$C381)-SUMIFS($I$4:$I381,$C$4:$C381,$C381),2))</f>
        <v/>
      </c>
      <c r="K381" s="104" t="str">
        <f aca="false">IF($T381&lt;&gt;"",$T381,IF($C381="","",IF(AND(N($I381)&gt;0,$G381&lt;&gt;""),IF(IFERROR(INDEX(科目表!$U$4:$U$123,MATCH($G381,科目表!$M$4:$M$123,0)),"")&amp;""="","管理费用",INDEX(科目表!$U$4:$U$123,MATCH($G381,科目表!$M$4:$M$123,0))),IF(N($H381)&gt;0,IF(IFERROR(INDEX(自动规则!$C$4:$C$143,MATCH($F381,自动规则!$B$4:$B$143,0)),"")&amp;""="","其他应收款",INDEX(自动规则!$C$4:$C$143,MATCH($F381,自动规则!$B$4:$B$143,0))),IF(IFERROR(INDEX(自动规则!$D$4:$D$143,MATCH($F381,自动规则!$B$4:$B$143,0)),"")&amp;""="","其他应付款",INDEX(自动规则!$D$4:$D$143,MATCH($F381,自动规则!$B$4:$B$143,0)))))))</f>
        <v/>
      </c>
      <c r="L381" s="43"/>
      <c r="M381" s="105" t="str">
        <f aca="false">IF($C381="","",IF(IFERROR(INDEX(科目表!$T$4:$T$123,MATCH($C381,科目表!$K$4:$K$123,0)),"")&amp;""="","其他货币资金",INDEX(科目表!$T$4:$T$123,MATCH($C381,科目表!$K$4:$K$123,0))))</f>
        <v/>
      </c>
      <c r="N381" s="39" t="str">
        <f aca="false">IF(OR($C381="",ROUND(N($H381)+N($I381),2)=0),"",IF(N($H381)&gt;0,$M381,$K381))</f>
        <v/>
      </c>
      <c r="O381" s="41" t="str">
        <f aca="false">IF($N381="","",ROUND(N($H381)+N($I381),2))</f>
        <v/>
      </c>
      <c r="P381" s="41" t="str">
        <f aca="false">IF($N381="","",0)</f>
        <v/>
      </c>
      <c r="Q381" s="39" t="str">
        <f aca="false">IF($N381="","",IF(N($H381)&gt;0,$K381,$M381))</f>
        <v/>
      </c>
      <c r="R381" s="41" t="str">
        <f aca="false">IF($Q381="","",0)</f>
        <v/>
      </c>
      <c r="S381" s="41" t="str">
        <f aca="false">IF($Q381="","",ROUND(N($H381)+N($I381),2))</f>
        <v/>
      </c>
      <c r="T381" s="42"/>
      <c r="U381" s="44"/>
      <c r="V381" s="41" t="str">
        <f aca="false">IF($B381="","",TEXT($B381,"yyyy年m月"))</f>
        <v/>
      </c>
      <c r="W381" s="42"/>
      <c r="X381" s="42"/>
      <c r="Y381" s="9"/>
    </row>
    <row r="382" customFormat="false" ht="18" hidden="false" customHeight="true" outlineLevel="0" collapsed="false">
      <c r="A382" s="9" t="str">
        <f aca="false">IF($C382="","",ROW()-3)</f>
        <v/>
      </c>
      <c r="B382" s="76"/>
      <c r="C382" s="74"/>
      <c r="D382" s="43"/>
      <c r="E382" s="42"/>
      <c r="F382" s="74"/>
      <c r="G382" s="74"/>
      <c r="H382" s="44"/>
      <c r="I382" s="44"/>
      <c r="J382" s="103" t="str">
        <f aca="false">IF($C382="","",ROUND(IFERROR(INDEX(期初余额!$I$4:$I$43,MATCH($C382,期初余额!$H$4:$H$43,0)),0)+SUMIFS($H$4:$H382,$C$4:$C382,$C382)-SUMIFS($I$4:$I382,$C$4:$C382,$C382),2))</f>
        <v/>
      </c>
      <c r="K382" s="104" t="str">
        <f aca="false">IF($T382&lt;&gt;"",$T382,IF($C382="","",IF(AND(N($I382)&gt;0,$G382&lt;&gt;""),IF(IFERROR(INDEX(科目表!$U$4:$U$123,MATCH($G382,科目表!$M$4:$M$123,0)),"")&amp;""="","管理费用",INDEX(科目表!$U$4:$U$123,MATCH($G382,科目表!$M$4:$M$123,0))),IF(N($H382)&gt;0,IF(IFERROR(INDEX(自动规则!$C$4:$C$143,MATCH($F382,自动规则!$B$4:$B$143,0)),"")&amp;""="","其他应收款",INDEX(自动规则!$C$4:$C$143,MATCH($F382,自动规则!$B$4:$B$143,0))),IF(IFERROR(INDEX(自动规则!$D$4:$D$143,MATCH($F382,自动规则!$B$4:$B$143,0)),"")&amp;""="","其他应付款",INDEX(自动规则!$D$4:$D$143,MATCH($F382,自动规则!$B$4:$B$143,0)))))))</f>
        <v/>
      </c>
      <c r="L382" s="43"/>
      <c r="M382" s="105" t="str">
        <f aca="false">IF($C382="","",IF(IFERROR(INDEX(科目表!$T$4:$T$123,MATCH($C382,科目表!$K$4:$K$123,0)),"")&amp;""="","其他货币资金",INDEX(科目表!$T$4:$T$123,MATCH($C382,科目表!$K$4:$K$123,0))))</f>
        <v/>
      </c>
      <c r="N382" s="39" t="str">
        <f aca="false">IF(OR($C382="",ROUND(N($H382)+N($I382),2)=0),"",IF(N($H382)&gt;0,$M382,$K382))</f>
        <v/>
      </c>
      <c r="O382" s="41" t="str">
        <f aca="false">IF($N382="","",ROUND(N($H382)+N($I382),2))</f>
        <v/>
      </c>
      <c r="P382" s="41" t="str">
        <f aca="false">IF($N382="","",0)</f>
        <v/>
      </c>
      <c r="Q382" s="39" t="str">
        <f aca="false">IF($N382="","",IF(N($H382)&gt;0,$K382,$M382))</f>
        <v/>
      </c>
      <c r="R382" s="41" t="str">
        <f aca="false">IF($Q382="","",0)</f>
        <v/>
      </c>
      <c r="S382" s="41" t="str">
        <f aca="false">IF($Q382="","",ROUND(N($H382)+N($I382),2))</f>
        <v/>
      </c>
      <c r="T382" s="42"/>
      <c r="U382" s="44"/>
      <c r="V382" s="41" t="str">
        <f aca="false">IF($B382="","",TEXT($B382,"yyyy年m月"))</f>
        <v/>
      </c>
      <c r="W382" s="42"/>
      <c r="X382" s="42"/>
      <c r="Y382" s="9"/>
    </row>
    <row r="383" customFormat="false" ht="18" hidden="false" customHeight="true" outlineLevel="0" collapsed="false">
      <c r="A383" s="9" t="str">
        <f aca="false">IF($C383="","",ROW()-3)</f>
        <v/>
      </c>
      <c r="B383" s="76"/>
      <c r="C383" s="74"/>
      <c r="D383" s="43"/>
      <c r="E383" s="42"/>
      <c r="F383" s="74"/>
      <c r="G383" s="74"/>
      <c r="H383" s="44"/>
      <c r="I383" s="44"/>
      <c r="J383" s="103" t="str">
        <f aca="false">IF($C383="","",ROUND(IFERROR(INDEX(期初余额!$I$4:$I$43,MATCH($C383,期初余额!$H$4:$H$43,0)),0)+SUMIFS($H$4:$H383,$C$4:$C383,$C383)-SUMIFS($I$4:$I383,$C$4:$C383,$C383),2))</f>
        <v/>
      </c>
      <c r="K383" s="104" t="str">
        <f aca="false">IF($T383&lt;&gt;"",$T383,IF($C383="","",IF(AND(N($I383)&gt;0,$G383&lt;&gt;""),IF(IFERROR(INDEX(科目表!$U$4:$U$123,MATCH($G383,科目表!$M$4:$M$123,0)),"")&amp;""="","管理费用",INDEX(科目表!$U$4:$U$123,MATCH($G383,科目表!$M$4:$M$123,0))),IF(N($H383)&gt;0,IF(IFERROR(INDEX(自动规则!$C$4:$C$143,MATCH($F383,自动规则!$B$4:$B$143,0)),"")&amp;""="","其他应收款",INDEX(自动规则!$C$4:$C$143,MATCH($F383,自动规则!$B$4:$B$143,0))),IF(IFERROR(INDEX(自动规则!$D$4:$D$143,MATCH($F383,自动规则!$B$4:$B$143,0)),"")&amp;""="","其他应付款",INDEX(自动规则!$D$4:$D$143,MATCH($F383,自动规则!$B$4:$B$143,0)))))))</f>
        <v/>
      </c>
      <c r="L383" s="43"/>
      <c r="M383" s="105" t="str">
        <f aca="false">IF($C383="","",IF(IFERROR(INDEX(科目表!$T$4:$T$123,MATCH($C383,科目表!$K$4:$K$123,0)),"")&amp;""="","其他货币资金",INDEX(科目表!$T$4:$T$123,MATCH($C383,科目表!$K$4:$K$123,0))))</f>
        <v/>
      </c>
      <c r="N383" s="39" t="str">
        <f aca="false">IF(OR($C383="",ROUND(N($H383)+N($I383),2)=0),"",IF(N($H383)&gt;0,$M383,$K383))</f>
        <v/>
      </c>
      <c r="O383" s="41" t="str">
        <f aca="false">IF($N383="","",ROUND(N($H383)+N($I383),2))</f>
        <v/>
      </c>
      <c r="P383" s="41" t="str">
        <f aca="false">IF($N383="","",0)</f>
        <v/>
      </c>
      <c r="Q383" s="39" t="str">
        <f aca="false">IF($N383="","",IF(N($H383)&gt;0,$K383,$M383))</f>
        <v/>
      </c>
      <c r="R383" s="41" t="str">
        <f aca="false">IF($Q383="","",0)</f>
        <v/>
      </c>
      <c r="S383" s="41" t="str">
        <f aca="false">IF($Q383="","",ROUND(N($H383)+N($I383),2))</f>
        <v/>
      </c>
      <c r="T383" s="42"/>
      <c r="U383" s="44"/>
      <c r="V383" s="41" t="str">
        <f aca="false">IF($B383="","",TEXT($B383,"yyyy年m月"))</f>
        <v/>
      </c>
      <c r="W383" s="42"/>
      <c r="X383" s="42"/>
      <c r="Y383" s="9"/>
    </row>
    <row r="384" customFormat="false" ht="18" hidden="false" customHeight="true" outlineLevel="0" collapsed="false">
      <c r="A384" s="9" t="str">
        <f aca="false">IF($C384="","",ROW()-3)</f>
        <v/>
      </c>
      <c r="B384" s="76"/>
      <c r="C384" s="74"/>
      <c r="D384" s="43"/>
      <c r="E384" s="42"/>
      <c r="F384" s="74"/>
      <c r="G384" s="74"/>
      <c r="H384" s="44"/>
      <c r="I384" s="44"/>
      <c r="J384" s="103" t="str">
        <f aca="false">IF($C384="","",ROUND(IFERROR(INDEX(期初余额!$I$4:$I$43,MATCH($C384,期初余额!$H$4:$H$43,0)),0)+SUMIFS($H$4:$H384,$C$4:$C384,$C384)-SUMIFS($I$4:$I384,$C$4:$C384,$C384),2))</f>
        <v/>
      </c>
      <c r="K384" s="104" t="str">
        <f aca="false">IF($T384&lt;&gt;"",$T384,IF($C384="","",IF(AND(N($I384)&gt;0,$G384&lt;&gt;""),IF(IFERROR(INDEX(科目表!$U$4:$U$123,MATCH($G384,科目表!$M$4:$M$123,0)),"")&amp;""="","管理费用",INDEX(科目表!$U$4:$U$123,MATCH($G384,科目表!$M$4:$M$123,0))),IF(N($H384)&gt;0,IF(IFERROR(INDEX(自动规则!$C$4:$C$143,MATCH($F384,自动规则!$B$4:$B$143,0)),"")&amp;""="","其他应收款",INDEX(自动规则!$C$4:$C$143,MATCH($F384,自动规则!$B$4:$B$143,0))),IF(IFERROR(INDEX(自动规则!$D$4:$D$143,MATCH($F384,自动规则!$B$4:$B$143,0)),"")&amp;""="","其他应付款",INDEX(自动规则!$D$4:$D$143,MATCH($F384,自动规则!$B$4:$B$143,0)))))))</f>
        <v/>
      </c>
      <c r="L384" s="43"/>
      <c r="M384" s="105" t="str">
        <f aca="false">IF($C384="","",IF(IFERROR(INDEX(科目表!$T$4:$T$123,MATCH($C384,科目表!$K$4:$K$123,0)),"")&amp;""="","其他货币资金",INDEX(科目表!$T$4:$T$123,MATCH($C384,科目表!$K$4:$K$123,0))))</f>
        <v/>
      </c>
      <c r="N384" s="39" t="str">
        <f aca="false">IF(OR($C384="",ROUND(N($H384)+N($I384),2)=0),"",IF(N($H384)&gt;0,$M384,$K384))</f>
        <v/>
      </c>
      <c r="O384" s="41" t="str">
        <f aca="false">IF($N384="","",ROUND(N($H384)+N($I384),2))</f>
        <v/>
      </c>
      <c r="P384" s="41" t="str">
        <f aca="false">IF($N384="","",0)</f>
        <v/>
      </c>
      <c r="Q384" s="39" t="str">
        <f aca="false">IF($N384="","",IF(N($H384)&gt;0,$K384,$M384))</f>
        <v/>
      </c>
      <c r="R384" s="41" t="str">
        <f aca="false">IF($Q384="","",0)</f>
        <v/>
      </c>
      <c r="S384" s="41" t="str">
        <f aca="false">IF($Q384="","",ROUND(N($H384)+N($I384),2))</f>
        <v/>
      </c>
      <c r="T384" s="42"/>
      <c r="U384" s="44"/>
      <c r="V384" s="41" t="str">
        <f aca="false">IF($B384="","",TEXT($B384,"yyyy年m月"))</f>
        <v/>
      </c>
      <c r="W384" s="42"/>
      <c r="X384" s="42"/>
      <c r="Y384" s="9"/>
    </row>
    <row r="385" customFormat="false" ht="18" hidden="false" customHeight="true" outlineLevel="0" collapsed="false">
      <c r="A385" s="9" t="str">
        <f aca="false">IF($C385="","",ROW()-3)</f>
        <v/>
      </c>
      <c r="B385" s="76"/>
      <c r="C385" s="74"/>
      <c r="D385" s="43"/>
      <c r="E385" s="42"/>
      <c r="F385" s="74"/>
      <c r="G385" s="74"/>
      <c r="H385" s="44"/>
      <c r="I385" s="44"/>
      <c r="J385" s="103" t="str">
        <f aca="false">IF($C385="","",ROUND(IFERROR(INDEX(期初余额!$I$4:$I$43,MATCH($C385,期初余额!$H$4:$H$43,0)),0)+SUMIFS($H$4:$H385,$C$4:$C385,$C385)-SUMIFS($I$4:$I385,$C$4:$C385,$C385),2))</f>
        <v/>
      </c>
      <c r="K385" s="104" t="str">
        <f aca="false">IF($T385&lt;&gt;"",$T385,IF($C385="","",IF(AND(N($I385)&gt;0,$G385&lt;&gt;""),IF(IFERROR(INDEX(科目表!$U$4:$U$123,MATCH($G385,科目表!$M$4:$M$123,0)),"")&amp;""="","管理费用",INDEX(科目表!$U$4:$U$123,MATCH($G385,科目表!$M$4:$M$123,0))),IF(N($H385)&gt;0,IF(IFERROR(INDEX(自动规则!$C$4:$C$143,MATCH($F385,自动规则!$B$4:$B$143,0)),"")&amp;""="","其他应收款",INDEX(自动规则!$C$4:$C$143,MATCH($F385,自动规则!$B$4:$B$143,0))),IF(IFERROR(INDEX(自动规则!$D$4:$D$143,MATCH($F385,自动规则!$B$4:$B$143,0)),"")&amp;""="","其他应付款",INDEX(自动规则!$D$4:$D$143,MATCH($F385,自动规则!$B$4:$B$143,0)))))))</f>
        <v/>
      </c>
      <c r="L385" s="43"/>
      <c r="M385" s="105" t="str">
        <f aca="false">IF($C385="","",IF(IFERROR(INDEX(科目表!$T$4:$T$123,MATCH($C385,科目表!$K$4:$K$123,0)),"")&amp;""="","其他货币资金",INDEX(科目表!$T$4:$T$123,MATCH($C385,科目表!$K$4:$K$123,0))))</f>
        <v/>
      </c>
      <c r="N385" s="39" t="str">
        <f aca="false">IF(OR($C385="",ROUND(N($H385)+N($I385),2)=0),"",IF(N($H385)&gt;0,$M385,$K385))</f>
        <v/>
      </c>
      <c r="O385" s="41" t="str">
        <f aca="false">IF($N385="","",ROUND(N($H385)+N($I385),2))</f>
        <v/>
      </c>
      <c r="P385" s="41" t="str">
        <f aca="false">IF($N385="","",0)</f>
        <v/>
      </c>
      <c r="Q385" s="39" t="str">
        <f aca="false">IF($N385="","",IF(N($H385)&gt;0,$K385,$M385))</f>
        <v/>
      </c>
      <c r="R385" s="41" t="str">
        <f aca="false">IF($Q385="","",0)</f>
        <v/>
      </c>
      <c r="S385" s="41" t="str">
        <f aca="false">IF($Q385="","",ROUND(N($H385)+N($I385),2))</f>
        <v/>
      </c>
      <c r="T385" s="42"/>
      <c r="U385" s="44"/>
      <c r="V385" s="41" t="str">
        <f aca="false">IF($B385="","",TEXT($B385,"yyyy年m月"))</f>
        <v/>
      </c>
      <c r="W385" s="42"/>
      <c r="X385" s="42"/>
      <c r="Y385" s="9"/>
    </row>
    <row r="386" customFormat="false" ht="18" hidden="false" customHeight="true" outlineLevel="0" collapsed="false">
      <c r="A386" s="9" t="str">
        <f aca="false">IF($C386="","",ROW()-3)</f>
        <v/>
      </c>
      <c r="B386" s="76"/>
      <c r="C386" s="74"/>
      <c r="D386" s="43"/>
      <c r="E386" s="42"/>
      <c r="F386" s="74"/>
      <c r="G386" s="74"/>
      <c r="H386" s="44"/>
      <c r="I386" s="44"/>
      <c r="J386" s="103" t="str">
        <f aca="false">IF($C386="","",ROUND(IFERROR(INDEX(期初余额!$I$4:$I$43,MATCH($C386,期初余额!$H$4:$H$43,0)),0)+SUMIFS($H$4:$H386,$C$4:$C386,$C386)-SUMIFS($I$4:$I386,$C$4:$C386,$C386),2))</f>
        <v/>
      </c>
      <c r="K386" s="104" t="str">
        <f aca="false">IF($T386&lt;&gt;"",$T386,IF($C386="","",IF(AND(N($I386)&gt;0,$G386&lt;&gt;""),IF(IFERROR(INDEX(科目表!$U$4:$U$123,MATCH($G386,科目表!$M$4:$M$123,0)),"")&amp;""="","管理费用",INDEX(科目表!$U$4:$U$123,MATCH($G386,科目表!$M$4:$M$123,0))),IF(N($H386)&gt;0,IF(IFERROR(INDEX(自动规则!$C$4:$C$143,MATCH($F386,自动规则!$B$4:$B$143,0)),"")&amp;""="","其他应收款",INDEX(自动规则!$C$4:$C$143,MATCH($F386,自动规则!$B$4:$B$143,0))),IF(IFERROR(INDEX(自动规则!$D$4:$D$143,MATCH($F386,自动规则!$B$4:$B$143,0)),"")&amp;""="","其他应付款",INDEX(自动规则!$D$4:$D$143,MATCH($F386,自动规则!$B$4:$B$143,0)))))))</f>
        <v/>
      </c>
      <c r="L386" s="43"/>
      <c r="M386" s="105" t="str">
        <f aca="false">IF($C386="","",IF(IFERROR(INDEX(科目表!$T$4:$T$123,MATCH($C386,科目表!$K$4:$K$123,0)),"")&amp;""="","其他货币资金",INDEX(科目表!$T$4:$T$123,MATCH($C386,科目表!$K$4:$K$123,0))))</f>
        <v/>
      </c>
      <c r="N386" s="39" t="str">
        <f aca="false">IF(OR($C386="",ROUND(N($H386)+N($I386),2)=0),"",IF(N($H386)&gt;0,$M386,$K386))</f>
        <v/>
      </c>
      <c r="O386" s="41" t="str">
        <f aca="false">IF($N386="","",ROUND(N($H386)+N($I386),2))</f>
        <v/>
      </c>
      <c r="P386" s="41" t="str">
        <f aca="false">IF($N386="","",0)</f>
        <v/>
      </c>
      <c r="Q386" s="39" t="str">
        <f aca="false">IF($N386="","",IF(N($H386)&gt;0,$K386,$M386))</f>
        <v/>
      </c>
      <c r="R386" s="41" t="str">
        <f aca="false">IF($Q386="","",0)</f>
        <v/>
      </c>
      <c r="S386" s="41" t="str">
        <f aca="false">IF($Q386="","",ROUND(N($H386)+N($I386),2))</f>
        <v/>
      </c>
      <c r="T386" s="42"/>
      <c r="U386" s="44"/>
      <c r="V386" s="41" t="str">
        <f aca="false">IF($B386="","",TEXT($B386,"yyyy年m月"))</f>
        <v/>
      </c>
      <c r="W386" s="42"/>
      <c r="X386" s="42"/>
      <c r="Y386" s="9"/>
    </row>
    <row r="387" customFormat="false" ht="18" hidden="false" customHeight="true" outlineLevel="0" collapsed="false">
      <c r="A387" s="9" t="str">
        <f aca="false">IF($C387="","",ROW()-3)</f>
        <v/>
      </c>
      <c r="B387" s="76"/>
      <c r="C387" s="74"/>
      <c r="D387" s="43"/>
      <c r="E387" s="42"/>
      <c r="F387" s="74"/>
      <c r="G387" s="74"/>
      <c r="H387" s="44"/>
      <c r="I387" s="44"/>
      <c r="J387" s="103" t="str">
        <f aca="false">IF($C387="","",ROUND(IFERROR(INDEX(期初余额!$I$4:$I$43,MATCH($C387,期初余额!$H$4:$H$43,0)),0)+SUMIFS($H$4:$H387,$C$4:$C387,$C387)-SUMIFS($I$4:$I387,$C$4:$C387,$C387),2))</f>
        <v/>
      </c>
      <c r="K387" s="104" t="str">
        <f aca="false">IF($T387&lt;&gt;"",$T387,IF($C387="","",IF(AND(N($I387)&gt;0,$G387&lt;&gt;""),IF(IFERROR(INDEX(科目表!$U$4:$U$123,MATCH($G387,科目表!$M$4:$M$123,0)),"")&amp;""="","管理费用",INDEX(科目表!$U$4:$U$123,MATCH($G387,科目表!$M$4:$M$123,0))),IF(N($H387)&gt;0,IF(IFERROR(INDEX(自动规则!$C$4:$C$143,MATCH($F387,自动规则!$B$4:$B$143,0)),"")&amp;""="","其他应收款",INDEX(自动规则!$C$4:$C$143,MATCH($F387,自动规则!$B$4:$B$143,0))),IF(IFERROR(INDEX(自动规则!$D$4:$D$143,MATCH($F387,自动规则!$B$4:$B$143,0)),"")&amp;""="","其他应付款",INDEX(自动规则!$D$4:$D$143,MATCH($F387,自动规则!$B$4:$B$143,0)))))))</f>
        <v/>
      </c>
      <c r="L387" s="43"/>
      <c r="M387" s="105" t="str">
        <f aca="false">IF($C387="","",IF(IFERROR(INDEX(科目表!$T$4:$T$123,MATCH($C387,科目表!$K$4:$K$123,0)),"")&amp;""="","其他货币资金",INDEX(科目表!$T$4:$T$123,MATCH($C387,科目表!$K$4:$K$123,0))))</f>
        <v/>
      </c>
      <c r="N387" s="39" t="str">
        <f aca="false">IF(OR($C387="",ROUND(N($H387)+N($I387),2)=0),"",IF(N($H387)&gt;0,$M387,$K387))</f>
        <v/>
      </c>
      <c r="O387" s="41" t="str">
        <f aca="false">IF($N387="","",ROUND(N($H387)+N($I387),2))</f>
        <v/>
      </c>
      <c r="P387" s="41" t="str">
        <f aca="false">IF($N387="","",0)</f>
        <v/>
      </c>
      <c r="Q387" s="39" t="str">
        <f aca="false">IF($N387="","",IF(N($H387)&gt;0,$K387,$M387))</f>
        <v/>
      </c>
      <c r="R387" s="41" t="str">
        <f aca="false">IF($Q387="","",0)</f>
        <v/>
      </c>
      <c r="S387" s="41" t="str">
        <f aca="false">IF($Q387="","",ROUND(N($H387)+N($I387),2))</f>
        <v/>
      </c>
      <c r="T387" s="42"/>
      <c r="U387" s="44"/>
      <c r="V387" s="41" t="str">
        <f aca="false">IF($B387="","",TEXT($B387,"yyyy年m月"))</f>
        <v/>
      </c>
      <c r="W387" s="42"/>
      <c r="X387" s="42"/>
      <c r="Y387" s="9"/>
    </row>
    <row r="388" customFormat="false" ht="18" hidden="false" customHeight="true" outlineLevel="0" collapsed="false">
      <c r="A388" s="9" t="str">
        <f aca="false">IF($C388="","",ROW()-3)</f>
        <v/>
      </c>
      <c r="B388" s="76"/>
      <c r="C388" s="74"/>
      <c r="D388" s="43"/>
      <c r="E388" s="42"/>
      <c r="F388" s="74"/>
      <c r="G388" s="74"/>
      <c r="H388" s="44"/>
      <c r="I388" s="44"/>
      <c r="J388" s="103" t="str">
        <f aca="false">IF($C388="","",ROUND(IFERROR(INDEX(期初余额!$I$4:$I$43,MATCH($C388,期初余额!$H$4:$H$43,0)),0)+SUMIFS($H$4:$H388,$C$4:$C388,$C388)-SUMIFS($I$4:$I388,$C$4:$C388,$C388),2))</f>
        <v/>
      </c>
      <c r="K388" s="104" t="str">
        <f aca="false">IF($T388&lt;&gt;"",$T388,IF($C388="","",IF(AND(N($I388)&gt;0,$G388&lt;&gt;""),IF(IFERROR(INDEX(科目表!$U$4:$U$123,MATCH($G388,科目表!$M$4:$M$123,0)),"")&amp;""="","管理费用",INDEX(科目表!$U$4:$U$123,MATCH($G388,科目表!$M$4:$M$123,0))),IF(N($H388)&gt;0,IF(IFERROR(INDEX(自动规则!$C$4:$C$143,MATCH($F388,自动规则!$B$4:$B$143,0)),"")&amp;""="","其他应收款",INDEX(自动规则!$C$4:$C$143,MATCH($F388,自动规则!$B$4:$B$143,0))),IF(IFERROR(INDEX(自动规则!$D$4:$D$143,MATCH($F388,自动规则!$B$4:$B$143,0)),"")&amp;""="","其他应付款",INDEX(自动规则!$D$4:$D$143,MATCH($F388,自动规则!$B$4:$B$143,0)))))))</f>
        <v/>
      </c>
      <c r="L388" s="43"/>
      <c r="M388" s="105" t="str">
        <f aca="false">IF($C388="","",IF(IFERROR(INDEX(科目表!$T$4:$T$123,MATCH($C388,科目表!$K$4:$K$123,0)),"")&amp;""="","其他货币资金",INDEX(科目表!$T$4:$T$123,MATCH($C388,科目表!$K$4:$K$123,0))))</f>
        <v/>
      </c>
      <c r="N388" s="39" t="str">
        <f aca="false">IF(OR($C388="",ROUND(N($H388)+N($I388),2)=0),"",IF(N($H388)&gt;0,$M388,$K388))</f>
        <v/>
      </c>
      <c r="O388" s="41" t="str">
        <f aca="false">IF($N388="","",ROUND(N($H388)+N($I388),2))</f>
        <v/>
      </c>
      <c r="P388" s="41" t="str">
        <f aca="false">IF($N388="","",0)</f>
        <v/>
      </c>
      <c r="Q388" s="39" t="str">
        <f aca="false">IF($N388="","",IF(N($H388)&gt;0,$K388,$M388))</f>
        <v/>
      </c>
      <c r="R388" s="41" t="str">
        <f aca="false">IF($Q388="","",0)</f>
        <v/>
      </c>
      <c r="S388" s="41" t="str">
        <f aca="false">IF($Q388="","",ROUND(N($H388)+N($I388),2))</f>
        <v/>
      </c>
      <c r="T388" s="42"/>
      <c r="U388" s="44"/>
      <c r="V388" s="41" t="str">
        <f aca="false">IF($B388="","",TEXT($B388,"yyyy年m月"))</f>
        <v/>
      </c>
      <c r="W388" s="42"/>
      <c r="X388" s="42"/>
      <c r="Y388" s="9"/>
    </row>
    <row r="389" customFormat="false" ht="18" hidden="false" customHeight="true" outlineLevel="0" collapsed="false">
      <c r="A389" s="9" t="str">
        <f aca="false">IF($C389="","",ROW()-3)</f>
        <v/>
      </c>
      <c r="B389" s="76"/>
      <c r="C389" s="74"/>
      <c r="D389" s="43"/>
      <c r="E389" s="42"/>
      <c r="F389" s="74"/>
      <c r="G389" s="74"/>
      <c r="H389" s="44"/>
      <c r="I389" s="44"/>
      <c r="J389" s="103" t="str">
        <f aca="false">IF($C389="","",ROUND(IFERROR(INDEX(期初余额!$I$4:$I$43,MATCH($C389,期初余额!$H$4:$H$43,0)),0)+SUMIFS($H$4:$H389,$C$4:$C389,$C389)-SUMIFS($I$4:$I389,$C$4:$C389,$C389),2))</f>
        <v/>
      </c>
      <c r="K389" s="104" t="str">
        <f aca="false">IF($T389&lt;&gt;"",$T389,IF($C389="","",IF(AND(N($I389)&gt;0,$G389&lt;&gt;""),IF(IFERROR(INDEX(科目表!$U$4:$U$123,MATCH($G389,科目表!$M$4:$M$123,0)),"")&amp;""="","管理费用",INDEX(科目表!$U$4:$U$123,MATCH($G389,科目表!$M$4:$M$123,0))),IF(N($H389)&gt;0,IF(IFERROR(INDEX(自动规则!$C$4:$C$143,MATCH($F389,自动规则!$B$4:$B$143,0)),"")&amp;""="","其他应收款",INDEX(自动规则!$C$4:$C$143,MATCH($F389,自动规则!$B$4:$B$143,0))),IF(IFERROR(INDEX(自动规则!$D$4:$D$143,MATCH($F389,自动规则!$B$4:$B$143,0)),"")&amp;""="","其他应付款",INDEX(自动规则!$D$4:$D$143,MATCH($F389,自动规则!$B$4:$B$143,0)))))))</f>
        <v/>
      </c>
      <c r="L389" s="43"/>
      <c r="M389" s="105" t="str">
        <f aca="false">IF($C389="","",IF(IFERROR(INDEX(科目表!$T$4:$T$123,MATCH($C389,科目表!$K$4:$K$123,0)),"")&amp;""="","其他货币资金",INDEX(科目表!$T$4:$T$123,MATCH($C389,科目表!$K$4:$K$123,0))))</f>
        <v/>
      </c>
      <c r="N389" s="39" t="str">
        <f aca="false">IF(OR($C389="",ROUND(N($H389)+N($I389),2)=0),"",IF(N($H389)&gt;0,$M389,$K389))</f>
        <v/>
      </c>
      <c r="O389" s="41" t="str">
        <f aca="false">IF($N389="","",ROUND(N($H389)+N($I389),2))</f>
        <v/>
      </c>
      <c r="P389" s="41" t="str">
        <f aca="false">IF($N389="","",0)</f>
        <v/>
      </c>
      <c r="Q389" s="39" t="str">
        <f aca="false">IF($N389="","",IF(N($H389)&gt;0,$K389,$M389))</f>
        <v/>
      </c>
      <c r="R389" s="41" t="str">
        <f aca="false">IF($Q389="","",0)</f>
        <v/>
      </c>
      <c r="S389" s="41" t="str">
        <f aca="false">IF($Q389="","",ROUND(N($H389)+N($I389),2))</f>
        <v/>
      </c>
      <c r="T389" s="42"/>
      <c r="U389" s="44"/>
      <c r="V389" s="41" t="str">
        <f aca="false">IF($B389="","",TEXT($B389,"yyyy年m月"))</f>
        <v/>
      </c>
      <c r="W389" s="42"/>
      <c r="X389" s="42"/>
      <c r="Y389" s="9"/>
    </row>
    <row r="390" customFormat="false" ht="18" hidden="false" customHeight="true" outlineLevel="0" collapsed="false">
      <c r="A390" s="9" t="str">
        <f aca="false">IF($C390="","",ROW()-3)</f>
        <v/>
      </c>
      <c r="B390" s="76"/>
      <c r="C390" s="74"/>
      <c r="D390" s="43"/>
      <c r="E390" s="42"/>
      <c r="F390" s="74"/>
      <c r="G390" s="74"/>
      <c r="H390" s="44"/>
      <c r="I390" s="44"/>
      <c r="J390" s="103" t="str">
        <f aca="false">IF($C390="","",ROUND(IFERROR(INDEX(期初余额!$I$4:$I$43,MATCH($C390,期初余额!$H$4:$H$43,0)),0)+SUMIFS($H$4:$H390,$C$4:$C390,$C390)-SUMIFS($I$4:$I390,$C$4:$C390,$C390),2))</f>
        <v/>
      </c>
      <c r="K390" s="104" t="str">
        <f aca="false">IF($T390&lt;&gt;"",$T390,IF($C390="","",IF(AND(N($I390)&gt;0,$G390&lt;&gt;""),IF(IFERROR(INDEX(科目表!$U$4:$U$123,MATCH($G390,科目表!$M$4:$M$123,0)),"")&amp;""="","管理费用",INDEX(科目表!$U$4:$U$123,MATCH($G390,科目表!$M$4:$M$123,0))),IF(N($H390)&gt;0,IF(IFERROR(INDEX(自动规则!$C$4:$C$143,MATCH($F390,自动规则!$B$4:$B$143,0)),"")&amp;""="","其他应收款",INDEX(自动规则!$C$4:$C$143,MATCH($F390,自动规则!$B$4:$B$143,0))),IF(IFERROR(INDEX(自动规则!$D$4:$D$143,MATCH($F390,自动规则!$B$4:$B$143,0)),"")&amp;""="","其他应付款",INDEX(自动规则!$D$4:$D$143,MATCH($F390,自动规则!$B$4:$B$143,0)))))))</f>
        <v/>
      </c>
      <c r="L390" s="43"/>
      <c r="M390" s="105" t="str">
        <f aca="false">IF($C390="","",IF(IFERROR(INDEX(科目表!$T$4:$T$123,MATCH($C390,科目表!$K$4:$K$123,0)),"")&amp;""="","其他货币资金",INDEX(科目表!$T$4:$T$123,MATCH($C390,科目表!$K$4:$K$123,0))))</f>
        <v/>
      </c>
      <c r="N390" s="39" t="str">
        <f aca="false">IF(OR($C390="",ROUND(N($H390)+N($I390),2)=0),"",IF(N($H390)&gt;0,$M390,$K390))</f>
        <v/>
      </c>
      <c r="O390" s="41" t="str">
        <f aca="false">IF($N390="","",ROUND(N($H390)+N($I390),2))</f>
        <v/>
      </c>
      <c r="P390" s="41" t="str">
        <f aca="false">IF($N390="","",0)</f>
        <v/>
      </c>
      <c r="Q390" s="39" t="str">
        <f aca="false">IF($N390="","",IF(N($H390)&gt;0,$K390,$M390))</f>
        <v/>
      </c>
      <c r="R390" s="41" t="str">
        <f aca="false">IF($Q390="","",0)</f>
        <v/>
      </c>
      <c r="S390" s="41" t="str">
        <f aca="false">IF($Q390="","",ROUND(N($H390)+N($I390),2))</f>
        <v/>
      </c>
      <c r="T390" s="42"/>
      <c r="U390" s="44"/>
      <c r="V390" s="41" t="str">
        <f aca="false">IF($B390="","",TEXT($B390,"yyyy年m月"))</f>
        <v/>
      </c>
      <c r="W390" s="42"/>
      <c r="X390" s="42"/>
      <c r="Y390" s="9"/>
    </row>
    <row r="391" customFormat="false" ht="18" hidden="false" customHeight="true" outlineLevel="0" collapsed="false">
      <c r="A391" s="9" t="str">
        <f aca="false">IF($C391="","",ROW()-3)</f>
        <v/>
      </c>
      <c r="B391" s="76"/>
      <c r="C391" s="74"/>
      <c r="D391" s="43"/>
      <c r="E391" s="42"/>
      <c r="F391" s="74"/>
      <c r="G391" s="74"/>
      <c r="H391" s="44"/>
      <c r="I391" s="44"/>
      <c r="J391" s="103" t="str">
        <f aca="false">IF($C391="","",ROUND(IFERROR(INDEX(期初余额!$I$4:$I$43,MATCH($C391,期初余额!$H$4:$H$43,0)),0)+SUMIFS($H$4:$H391,$C$4:$C391,$C391)-SUMIFS($I$4:$I391,$C$4:$C391,$C391),2))</f>
        <v/>
      </c>
      <c r="K391" s="104" t="str">
        <f aca="false">IF($T391&lt;&gt;"",$T391,IF($C391="","",IF(AND(N($I391)&gt;0,$G391&lt;&gt;""),IF(IFERROR(INDEX(科目表!$U$4:$U$123,MATCH($G391,科目表!$M$4:$M$123,0)),"")&amp;""="","管理费用",INDEX(科目表!$U$4:$U$123,MATCH($G391,科目表!$M$4:$M$123,0))),IF(N($H391)&gt;0,IF(IFERROR(INDEX(自动规则!$C$4:$C$143,MATCH($F391,自动规则!$B$4:$B$143,0)),"")&amp;""="","其他应收款",INDEX(自动规则!$C$4:$C$143,MATCH($F391,自动规则!$B$4:$B$143,0))),IF(IFERROR(INDEX(自动规则!$D$4:$D$143,MATCH($F391,自动规则!$B$4:$B$143,0)),"")&amp;""="","其他应付款",INDEX(自动规则!$D$4:$D$143,MATCH($F391,自动规则!$B$4:$B$143,0)))))))</f>
        <v/>
      </c>
      <c r="L391" s="43"/>
      <c r="M391" s="105" t="str">
        <f aca="false">IF($C391="","",IF(IFERROR(INDEX(科目表!$T$4:$T$123,MATCH($C391,科目表!$K$4:$K$123,0)),"")&amp;""="","其他货币资金",INDEX(科目表!$T$4:$T$123,MATCH($C391,科目表!$K$4:$K$123,0))))</f>
        <v/>
      </c>
      <c r="N391" s="39" t="str">
        <f aca="false">IF(OR($C391="",ROUND(N($H391)+N($I391),2)=0),"",IF(N($H391)&gt;0,$M391,$K391))</f>
        <v/>
      </c>
      <c r="O391" s="41" t="str">
        <f aca="false">IF($N391="","",ROUND(N($H391)+N($I391),2))</f>
        <v/>
      </c>
      <c r="P391" s="41" t="str">
        <f aca="false">IF($N391="","",0)</f>
        <v/>
      </c>
      <c r="Q391" s="39" t="str">
        <f aca="false">IF($N391="","",IF(N($H391)&gt;0,$K391,$M391))</f>
        <v/>
      </c>
      <c r="R391" s="41" t="str">
        <f aca="false">IF($Q391="","",0)</f>
        <v/>
      </c>
      <c r="S391" s="41" t="str">
        <f aca="false">IF($Q391="","",ROUND(N($H391)+N($I391),2))</f>
        <v/>
      </c>
      <c r="T391" s="42"/>
      <c r="U391" s="44"/>
      <c r="V391" s="41" t="str">
        <f aca="false">IF($B391="","",TEXT($B391,"yyyy年m月"))</f>
        <v/>
      </c>
      <c r="W391" s="42"/>
      <c r="X391" s="42"/>
      <c r="Y391" s="9"/>
    </row>
    <row r="392" customFormat="false" ht="18" hidden="false" customHeight="true" outlineLevel="0" collapsed="false">
      <c r="A392" s="9" t="str">
        <f aca="false">IF($C392="","",ROW()-3)</f>
        <v/>
      </c>
      <c r="B392" s="76"/>
      <c r="C392" s="74"/>
      <c r="D392" s="43"/>
      <c r="E392" s="42"/>
      <c r="F392" s="74"/>
      <c r="G392" s="74"/>
      <c r="H392" s="44"/>
      <c r="I392" s="44"/>
      <c r="J392" s="103" t="str">
        <f aca="false">IF($C392="","",ROUND(IFERROR(INDEX(期初余额!$I$4:$I$43,MATCH($C392,期初余额!$H$4:$H$43,0)),0)+SUMIFS($H$4:$H392,$C$4:$C392,$C392)-SUMIFS($I$4:$I392,$C$4:$C392,$C392),2))</f>
        <v/>
      </c>
      <c r="K392" s="104" t="str">
        <f aca="false">IF($T392&lt;&gt;"",$T392,IF($C392="","",IF(AND(N($I392)&gt;0,$G392&lt;&gt;""),IF(IFERROR(INDEX(科目表!$U$4:$U$123,MATCH($G392,科目表!$M$4:$M$123,0)),"")&amp;""="","管理费用",INDEX(科目表!$U$4:$U$123,MATCH($G392,科目表!$M$4:$M$123,0))),IF(N($H392)&gt;0,IF(IFERROR(INDEX(自动规则!$C$4:$C$143,MATCH($F392,自动规则!$B$4:$B$143,0)),"")&amp;""="","其他应收款",INDEX(自动规则!$C$4:$C$143,MATCH($F392,自动规则!$B$4:$B$143,0))),IF(IFERROR(INDEX(自动规则!$D$4:$D$143,MATCH($F392,自动规则!$B$4:$B$143,0)),"")&amp;""="","其他应付款",INDEX(自动规则!$D$4:$D$143,MATCH($F392,自动规则!$B$4:$B$143,0)))))))</f>
        <v/>
      </c>
      <c r="L392" s="43"/>
      <c r="M392" s="105" t="str">
        <f aca="false">IF($C392="","",IF(IFERROR(INDEX(科目表!$T$4:$T$123,MATCH($C392,科目表!$K$4:$K$123,0)),"")&amp;""="","其他货币资金",INDEX(科目表!$T$4:$T$123,MATCH($C392,科目表!$K$4:$K$123,0))))</f>
        <v/>
      </c>
      <c r="N392" s="39" t="str">
        <f aca="false">IF(OR($C392="",ROUND(N($H392)+N($I392),2)=0),"",IF(N($H392)&gt;0,$M392,$K392))</f>
        <v/>
      </c>
      <c r="O392" s="41" t="str">
        <f aca="false">IF($N392="","",ROUND(N($H392)+N($I392),2))</f>
        <v/>
      </c>
      <c r="P392" s="41" t="str">
        <f aca="false">IF($N392="","",0)</f>
        <v/>
      </c>
      <c r="Q392" s="39" t="str">
        <f aca="false">IF($N392="","",IF(N($H392)&gt;0,$K392,$M392))</f>
        <v/>
      </c>
      <c r="R392" s="41" t="str">
        <f aca="false">IF($Q392="","",0)</f>
        <v/>
      </c>
      <c r="S392" s="41" t="str">
        <f aca="false">IF($Q392="","",ROUND(N($H392)+N($I392),2))</f>
        <v/>
      </c>
      <c r="T392" s="42"/>
      <c r="U392" s="44"/>
      <c r="V392" s="41" t="str">
        <f aca="false">IF($B392="","",TEXT($B392,"yyyy年m月"))</f>
        <v/>
      </c>
      <c r="W392" s="42"/>
      <c r="X392" s="42"/>
      <c r="Y392" s="9"/>
    </row>
    <row r="393" customFormat="false" ht="18" hidden="false" customHeight="true" outlineLevel="0" collapsed="false">
      <c r="A393" s="9" t="str">
        <f aca="false">IF($C393="","",ROW()-3)</f>
        <v/>
      </c>
      <c r="B393" s="76"/>
      <c r="C393" s="74"/>
      <c r="D393" s="43"/>
      <c r="E393" s="42"/>
      <c r="F393" s="74"/>
      <c r="G393" s="74"/>
      <c r="H393" s="44"/>
      <c r="I393" s="44"/>
      <c r="J393" s="103" t="str">
        <f aca="false">IF($C393="","",ROUND(IFERROR(INDEX(期初余额!$I$4:$I$43,MATCH($C393,期初余额!$H$4:$H$43,0)),0)+SUMIFS($H$4:$H393,$C$4:$C393,$C393)-SUMIFS($I$4:$I393,$C$4:$C393,$C393),2))</f>
        <v/>
      </c>
      <c r="K393" s="104" t="str">
        <f aca="false">IF($T393&lt;&gt;"",$T393,IF($C393="","",IF(AND(N($I393)&gt;0,$G393&lt;&gt;""),IF(IFERROR(INDEX(科目表!$U$4:$U$123,MATCH($G393,科目表!$M$4:$M$123,0)),"")&amp;""="","管理费用",INDEX(科目表!$U$4:$U$123,MATCH($G393,科目表!$M$4:$M$123,0))),IF(N($H393)&gt;0,IF(IFERROR(INDEX(自动规则!$C$4:$C$143,MATCH($F393,自动规则!$B$4:$B$143,0)),"")&amp;""="","其他应收款",INDEX(自动规则!$C$4:$C$143,MATCH($F393,自动规则!$B$4:$B$143,0))),IF(IFERROR(INDEX(自动规则!$D$4:$D$143,MATCH($F393,自动规则!$B$4:$B$143,0)),"")&amp;""="","其他应付款",INDEX(自动规则!$D$4:$D$143,MATCH($F393,自动规则!$B$4:$B$143,0)))))))</f>
        <v/>
      </c>
      <c r="L393" s="43"/>
      <c r="M393" s="105" t="str">
        <f aca="false">IF($C393="","",IF(IFERROR(INDEX(科目表!$T$4:$T$123,MATCH($C393,科目表!$K$4:$K$123,0)),"")&amp;""="","其他货币资金",INDEX(科目表!$T$4:$T$123,MATCH($C393,科目表!$K$4:$K$123,0))))</f>
        <v/>
      </c>
      <c r="N393" s="39" t="str">
        <f aca="false">IF(OR($C393="",ROUND(N($H393)+N($I393),2)=0),"",IF(N($H393)&gt;0,$M393,$K393))</f>
        <v/>
      </c>
      <c r="O393" s="41" t="str">
        <f aca="false">IF($N393="","",ROUND(N($H393)+N($I393),2))</f>
        <v/>
      </c>
      <c r="P393" s="41" t="str">
        <f aca="false">IF($N393="","",0)</f>
        <v/>
      </c>
      <c r="Q393" s="39" t="str">
        <f aca="false">IF($N393="","",IF(N($H393)&gt;0,$K393,$M393))</f>
        <v/>
      </c>
      <c r="R393" s="41" t="str">
        <f aca="false">IF($Q393="","",0)</f>
        <v/>
      </c>
      <c r="S393" s="41" t="str">
        <f aca="false">IF($Q393="","",ROUND(N($H393)+N($I393),2))</f>
        <v/>
      </c>
      <c r="T393" s="42"/>
      <c r="U393" s="44"/>
      <c r="V393" s="41" t="str">
        <f aca="false">IF($B393="","",TEXT($B393,"yyyy年m月"))</f>
        <v/>
      </c>
      <c r="W393" s="42"/>
      <c r="X393" s="42"/>
      <c r="Y393" s="9"/>
    </row>
    <row r="394" customFormat="false" ht="18" hidden="false" customHeight="true" outlineLevel="0" collapsed="false">
      <c r="A394" s="9" t="str">
        <f aca="false">IF($C394="","",ROW()-3)</f>
        <v/>
      </c>
      <c r="B394" s="76"/>
      <c r="C394" s="74"/>
      <c r="D394" s="43"/>
      <c r="E394" s="42"/>
      <c r="F394" s="74"/>
      <c r="G394" s="74"/>
      <c r="H394" s="44"/>
      <c r="I394" s="44"/>
      <c r="J394" s="103" t="str">
        <f aca="false">IF($C394="","",ROUND(IFERROR(INDEX(期初余额!$I$4:$I$43,MATCH($C394,期初余额!$H$4:$H$43,0)),0)+SUMIFS($H$4:$H394,$C$4:$C394,$C394)-SUMIFS($I$4:$I394,$C$4:$C394,$C394),2))</f>
        <v/>
      </c>
      <c r="K394" s="104" t="str">
        <f aca="false">IF($T394&lt;&gt;"",$T394,IF($C394="","",IF(AND(N($I394)&gt;0,$G394&lt;&gt;""),IF(IFERROR(INDEX(科目表!$U$4:$U$123,MATCH($G394,科目表!$M$4:$M$123,0)),"")&amp;""="","管理费用",INDEX(科目表!$U$4:$U$123,MATCH($G394,科目表!$M$4:$M$123,0))),IF(N($H394)&gt;0,IF(IFERROR(INDEX(自动规则!$C$4:$C$143,MATCH($F394,自动规则!$B$4:$B$143,0)),"")&amp;""="","其他应收款",INDEX(自动规则!$C$4:$C$143,MATCH($F394,自动规则!$B$4:$B$143,0))),IF(IFERROR(INDEX(自动规则!$D$4:$D$143,MATCH($F394,自动规则!$B$4:$B$143,0)),"")&amp;""="","其他应付款",INDEX(自动规则!$D$4:$D$143,MATCH($F394,自动规则!$B$4:$B$143,0)))))))</f>
        <v/>
      </c>
      <c r="L394" s="43"/>
      <c r="M394" s="105" t="str">
        <f aca="false">IF($C394="","",IF(IFERROR(INDEX(科目表!$T$4:$T$123,MATCH($C394,科目表!$K$4:$K$123,0)),"")&amp;""="","其他货币资金",INDEX(科目表!$T$4:$T$123,MATCH($C394,科目表!$K$4:$K$123,0))))</f>
        <v/>
      </c>
      <c r="N394" s="39" t="str">
        <f aca="false">IF(OR($C394="",ROUND(N($H394)+N($I394),2)=0),"",IF(N($H394)&gt;0,$M394,$K394))</f>
        <v/>
      </c>
      <c r="O394" s="41" t="str">
        <f aca="false">IF($N394="","",ROUND(N($H394)+N($I394),2))</f>
        <v/>
      </c>
      <c r="P394" s="41" t="str">
        <f aca="false">IF($N394="","",0)</f>
        <v/>
      </c>
      <c r="Q394" s="39" t="str">
        <f aca="false">IF($N394="","",IF(N($H394)&gt;0,$K394,$M394))</f>
        <v/>
      </c>
      <c r="R394" s="41" t="str">
        <f aca="false">IF($Q394="","",0)</f>
        <v/>
      </c>
      <c r="S394" s="41" t="str">
        <f aca="false">IF($Q394="","",ROUND(N($H394)+N($I394),2))</f>
        <v/>
      </c>
      <c r="T394" s="42"/>
      <c r="U394" s="44"/>
      <c r="V394" s="41" t="str">
        <f aca="false">IF($B394="","",TEXT($B394,"yyyy年m月"))</f>
        <v/>
      </c>
      <c r="W394" s="42"/>
      <c r="X394" s="42"/>
      <c r="Y394" s="9"/>
    </row>
    <row r="395" customFormat="false" ht="18" hidden="false" customHeight="true" outlineLevel="0" collapsed="false">
      <c r="A395" s="9" t="str">
        <f aca="false">IF($C395="","",ROW()-3)</f>
        <v/>
      </c>
      <c r="B395" s="76"/>
      <c r="C395" s="74"/>
      <c r="D395" s="43"/>
      <c r="E395" s="42"/>
      <c r="F395" s="74"/>
      <c r="G395" s="74"/>
      <c r="H395" s="44"/>
      <c r="I395" s="44"/>
      <c r="J395" s="103" t="str">
        <f aca="false">IF($C395="","",ROUND(IFERROR(INDEX(期初余额!$I$4:$I$43,MATCH($C395,期初余额!$H$4:$H$43,0)),0)+SUMIFS($H$4:$H395,$C$4:$C395,$C395)-SUMIFS($I$4:$I395,$C$4:$C395,$C395),2))</f>
        <v/>
      </c>
      <c r="K395" s="104" t="str">
        <f aca="false">IF($T395&lt;&gt;"",$T395,IF($C395="","",IF(AND(N($I395)&gt;0,$G395&lt;&gt;""),IF(IFERROR(INDEX(科目表!$U$4:$U$123,MATCH($G395,科目表!$M$4:$M$123,0)),"")&amp;""="","管理费用",INDEX(科目表!$U$4:$U$123,MATCH($G395,科目表!$M$4:$M$123,0))),IF(N($H395)&gt;0,IF(IFERROR(INDEX(自动规则!$C$4:$C$143,MATCH($F395,自动规则!$B$4:$B$143,0)),"")&amp;""="","其他应收款",INDEX(自动规则!$C$4:$C$143,MATCH($F395,自动规则!$B$4:$B$143,0))),IF(IFERROR(INDEX(自动规则!$D$4:$D$143,MATCH($F395,自动规则!$B$4:$B$143,0)),"")&amp;""="","其他应付款",INDEX(自动规则!$D$4:$D$143,MATCH($F395,自动规则!$B$4:$B$143,0)))))))</f>
        <v/>
      </c>
      <c r="L395" s="43"/>
      <c r="M395" s="105" t="str">
        <f aca="false">IF($C395="","",IF(IFERROR(INDEX(科目表!$T$4:$T$123,MATCH($C395,科目表!$K$4:$K$123,0)),"")&amp;""="","其他货币资金",INDEX(科目表!$T$4:$T$123,MATCH($C395,科目表!$K$4:$K$123,0))))</f>
        <v/>
      </c>
      <c r="N395" s="39" t="str">
        <f aca="false">IF(OR($C395="",ROUND(N($H395)+N($I395),2)=0),"",IF(N($H395)&gt;0,$M395,$K395))</f>
        <v/>
      </c>
      <c r="O395" s="41" t="str">
        <f aca="false">IF($N395="","",ROUND(N($H395)+N($I395),2))</f>
        <v/>
      </c>
      <c r="P395" s="41" t="str">
        <f aca="false">IF($N395="","",0)</f>
        <v/>
      </c>
      <c r="Q395" s="39" t="str">
        <f aca="false">IF($N395="","",IF(N($H395)&gt;0,$K395,$M395))</f>
        <v/>
      </c>
      <c r="R395" s="41" t="str">
        <f aca="false">IF($Q395="","",0)</f>
        <v/>
      </c>
      <c r="S395" s="41" t="str">
        <f aca="false">IF($Q395="","",ROUND(N($H395)+N($I395),2))</f>
        <v/>
      </c>
      <c r="T395" s="42"/>
      <c r="U395" s="44"/>
      <c r="V395" s="41" t="str">
        <f aca="false">IF($B395="","",TEXT($B395,"yyyy年m月"))</f>
        <v/>
      </c>
      <c r="W395" s="42"/>
      <c r="X395" s="42"/>
      <c r="Y395" s="9"/>
    </row>
    <row r="396" customFormat="false" ht="18" hidden="false" customHeight="true" outlineLevel="0" collapsed="false">
      <c r="A396" s="9" t="str">
        <f aca="false">IF($C396="","",ROW()-3)</f>
        <v/>
      </c>
      <c r="B396" s="76"/>
      <c r="C396" s="74"/>
      <c r="D396" s="43"/>
      <c r="E396" s="42"/>
      <c r="F396" s="74"/>
      <c r="G396" s="74"/>
      <c r="H396" s="44"/>
      <c r="I396" s="44"/>
      <c r="J396" s="103" t="str">
        <f aca="false">IF($C396="","",ROUND(IFERROR(INDEX(期初余额!$I$4:$I$43,MATCH($C396,期初余额!$H$4:$H$43,0)),0)+SUMIFS($H$4:$H396,$C$4:$C396,$C396)-SUMIFS($I$4:$I396,$C$4:$C396,$C396),2))</f>
        <v/>
      </c>
      <c r="K396" s="104" t="str">
        <f aca="false">IF($T396&lt;&gt;"",$T396,IF($C396="","",IF(AND(N($I396)&gt;0,$G396&lt;&gt;""),IF(IFERROR(INDEX(科目表!$U$4:$U$123,MATCH($G396,科目表!$M$4:$M$123,0)),"")&amp;""="","管理费用",INDEX(科目表!$U$4:$U$123,MATCH($G396,科目表!$M$4:$M$123,0))),IF(N($H396)&gt;0,IF(IFERROR(INDEX(自动规则!$C$4:$C$143,MATCH($F396,自动规则!$B$4:$B$143,0)),"")&amp;""="","其他应收款",INDEX(自动规则!$C$4:$C$143,MATCH($F396,自动规则!$B$4:$B$143,0))),IF(IFERROR(INDEX(自动规则!$D$4:$D$143,MATCH($F396,自动规则!$B$4:$B$143,0)),"")&amp;""="","其他应付款",INDEX(自动规则!$D$4:$D$143,MATCH($F396,自动规则!$B$4:$B$143,0)))))))</f>
        <v/>
      </c>
      <c r="L396" s="43"/>
      <c r="M396" s="105" t="str">
        <f aca="false">IF($C396="","",IF(IFERROR(INDEX(科目表!$T$4:$T$123,MATCH($C396,科目表!$K$4:$K$123,0)),"")&amp;""="","其他货币资金",INDEX(科目表!$T$4:$T$123,MATCH($C396,科目表!$K$4:$K$123,0))))</f>
        <v/>
      </c>
      <c r="N396" s="39" t="str">
        <f aca="false">IF(OR($C396="",ROUND(N($H396)+N($I396),2)=0),"",IF(N($H396)&gt;0,$M396,$K396))</f>
        <v/>
      </c>
      <c r="O396" s="41" t="str">
        <f aca="false">IF($N396="","",ROUND(N($H396)+N($I396),2))</f>
        <v/>
      </c>
      <c r="P396" s="41" t="str">
        <f aca="false">IF($N396="","",0)</f>
        <v/>
      </c>
      <c r="Q396" s="39" t="str">
        <f aca="false">IF($N396="","",IF(N($H396)&gt;0,$K396,$M396))</f>
        <v/>
      </c>
      <c r="R396" s="41" t="str">
        <f aca="false">IF($Q396="","",0)</f>
        <v/>
      </c>
      <c r="S396" s="41" t="str">
        <f aca="false">IF($Q396="","",ROUND(N($H396)+N($I396),2))</f>
        <v/>
      </c>
      <c r="T396" s="42"/>
      <c r="U396" s="44"/>
      <c r="V396" s="41" t="str">
        <f aca="false">IF($B396="","",TEXT($B396,"yyyy年m月"))</f>
        <v/>
      </c>
      <c r="W396" s="42"/>
      <c r="X396" s="42"/>
      <c r="Y396" s="9"/>
    </row>
    <row r="397" customFormat="false" ht="18" hidden="false" customHeight="true" outlineLevel="0" collapsed="false">
      <c r="A397" s="9" t="str">
        <f aca="false">IF($C397="","",ROW()-3)</f>
        <v/>
      </c>
      <c r="B397" s="76"/>
      <c r="C397" s="74"/>
      <c r="D397" s="43"/>
      <c r="E397" s="42"/>
      <c r="F397" s="74"/>
      <c r="G397" s="74"/>
      <c r="H397" s="44"/>
      <c r="I397" s="44"/>
      <c r="J397" s="103" t="str">
        <f aca="false">IF($C397="","",ROUND(IFERROR(INDEX(期初余额!$I$4:$I$43,MATCH($C397,期初余额!$H$4:$H$43,0)),0)+SUMIFS($H$4:$H397,$C$4:$C397,$C397)-SUMIFS($I$4:$I397,$C$4:$C397,$C397),2))</f>
        <v/>
      </c>
      <c r="K397" s="104" t="str">
        <f aca="false">IF($T397&lt;&gt;"",$T397,IF($C397="","",IF(AND(N($I397)&gt;0,$G397&lt;&gt;""),IF(IFERROR(INDEX(科目表!$U$4:$U$123,MATCH($G397,科目表!$M$4:$M$123,0)),"")&amp;""="","管理费用",INDEX(科目表!$U$4:$U$123,MATCH($G397,科目表!$M$4:$M$123,0))),IF(N($H397)&gt;0,IF(IFERROR(INDEX(自动规则!$C$4:$C$143,MATCH($F397,自动规则!$B$4:$B$143,0)),"")&amp;""="","其他应收款",INDEX(自动规则!$C$4:$C$143,MATCH($F397,自动规则!$B$4:$B$143,0))),IF(IFERROR(INDEX(自动规则!$D$4:$D$143,MATCH($F397,自动规则!$B$4:$B$143,0)),"")&amp;""="","其他应付款",INDEX(自动规则!$D$4:$D$143,MATCH($F397,自动规则!$B$4:$B$143,0)))))))</f>
        <v/>
      </c>
      <c r="L397" s="43"/>
      <c r="M397" s="105" t="str">
        <f aca="false">IF($C397="","",IF(IFERROR(INDEX(科目表!$T$4:$T$123,MATCH($C397,科目表!$K$4:$K$123,0)),"")&amp;""="","其他货币资金",INDEX(科目表!$T$4:$T$123,MATCH($C397,科目表!$K$4:$K$123,0))))</f>
        <v/>
      </c>
      <c r="N397" s="39" t="str">
        <f aca="false">IF(OR($C397="",ROUND(N($H397)+N($I397),2)=0),"",IF(N($H397)&gt;0,$M397,$K397))</f>
        <v/>
      </c>
      <c r="O397" s="41" t="str">
        <f aca="false">IF($N397="","",ROUND(N($H397)+N($I397),2))</f>
        <v/>
      </c>
      <c r="P397" s="41" t="str">
        <f aca="false">IF($N397="","",0)</f>
        <v/>
      </c>
      <c r="Q397" s="39" t="str">
        <f aca="false">IF($N397="","",IF(N($H397)&gt;0,$K397,$M397))</f>
        <v/>
      </c>
      <c r="R397" s="41" t="str">
        <f aca="false">IF($Q397="","",0)</f>
        <v/>
      </c>
      <c r="S397" s="41" t="str">
        <f aca="false">IF($Q397="","",ROUND(N($H397)+N($I397),2))</f>
        <v/>
      </c>
      <c r="T397" s="42"/>
      <c r="U397" s="44"/>
      <c r="V397" s="41" t="str">
        <f aca="false">IF($B397="","",TEXT($B397,"yyyy年m月"))</f>
        <v/>
      </c>
      <c r="W397" s="42"/>
      <c r="X397" s="42"/>
      <c r="Y397" s="9"/>
    </row>
    <row r="398" customFormat="false" ht="18" hidden="false" customHeight="true" outlineLevel="0" collapsed="false">
      <c r="A398" s="9" t="str">
        <f aca="false">IF($C398="","",ROW()-3)</f>
        <v/>
      </c>
      <c r="B398" s="76"/>
      <c r="C398" s="74"/>
      <c r="D398" s="43"/>
      <c r="E398" s="42"/>
      <c r="F398" s="74"/>
      <c r="G398" s="74"/>
      <c r="H398" s="44"/>
      <c r="I398" s="44"/>
      <c r="J398" s="103" t="str">
        <f aca="false">IF($C398="","",ROUND(IFERROR(INDEX(期初余额!$I$4:$I$43,MATCH($C398,期初余额!$H$4:$H$43,0)),0)+SUMIFS($H$4:$H398,$C$4:$C398,$C398)-SUMIFS($I$4:$I398,$C$4:$C398,$C398),2))</f>
        <v/>
      </c>
      <c r="K398" s="104" t="str">
        <f aca="false">IF($T398&lt;&gt;"",$T398,IF($C398="","",IF(AND(N($I398)&gt;0,$G398&lt;&gt;""),IF(IFERROR(INDEX(科目表!$U$4:$U$123,MATCH($G398,科目表!$M$4:$M$123,0)),"")&amp;""="","管理费用",INDEX(科目表!$U$4:$U$123,MATCH($G398,科目表!$M$4:$M$123,0))),IF(N($H398)&gt;0,IF(IFERROR(INDEX(自动规则!$C$4:$C$143,MATCH($F398,自动规则!$B$4:$B$143,0)),"")&amp;""="","其他应收款",INDEX(自动规则!$C$4:$C$143,MATCH($F398,自动规则!$B$4:$B$143,0))),IF(IFERROR(INDEX(自动规则!$D$4:$D$143,MATCH($F398,自动规则!$B$4:$B$143,0)),"")&amp;""="","其他应付款",INDEX(自动规则!$D$4:$D$143,MATCH($F398,自动规则!$B$4:$B$143,0)))))))</f>
        <v/>
      </c>
      <c r="L398" s="43"/>
      <c r="M398" s="105" t="str">
        <f aca="false">IF($C398="","",IF(IFERROR(INDEX(科目表!$T$4:$T$123,MATCH($C398,科目表!$K$4:$K$123,0)),"")&amp;""="","其他货币资金",INDEX(科目表!$T$4:$T$123,MATCH($C398,科目表!$K$4:$K$123,0))))</f>
        <v/>
      </c>
      <c r="N398" s="39" t="str">
        <f aca="false">IF(OR($C398="",ROUND(N($H398)+N($I398),2)=0),"",IF(N($H398)&gt;0,$M398,$K398))</f>
        <v/>
      </c>
      <c r="O398" s="41" t="str">
        <f aca="false">IF($N398="","",ROUND(N($H398)+N($I398),2))</f>
        <v/>
      </c>
      <c r="P398" s="41" t="str">
        <f aca="false">IF($N398="","",0)</f>
        <v/>
      </c>
      <c r="Q398" s="39" t="str">
        <f aca="false">IF($N398="","",IF(N($H398)&gt;0,$K398,$M398))</f>
        <v/>
      </c>
      <c r="R398" s="41" t="str">
        <f aca="false">IF($Q398="","",0)</f>
        <v/>
      </c>
      <c r="S398" s="41" t="str">
        <f aca="false">IF($Q398="","",ROUND(N($H398)+N($I398),2))</f>
        <v/>
      </c>
      <c r="T398" s="42"/>
      <c r="U398" s="44"/>
      <c r="V398" s="41" t="str">
        <f aca="false">IF($B398="","",TEXT($B398,"yyyy年m月"))</f>
        <v/>
      </c>
      <c r="W398" s="42"/>
      <c r="X398" s="42"/>
      <c r="Y398" s="9"/>
    </row>
    <row r="399" customFormat="false" ht="18" hidden="false" customHeight="true" outlineLevel="0" collapsed="false">
      <c r="A399" s="9" t="str">
        <f aca="false">IF($C399="","",ROW()-3)</f>
        <v/>
      </c>
      <c r="B399" s="76"/>
      <c r="C399" s="74"/>
      <c r="D399" s="43"/>
      <c r="E399" s="42"/>
      <c r="F399" s="74"/>
      <c r="G399" s="74"/>
      <c r="H399" s="44"/>
      <c r="I399" s="44"/>
      <c r="J399" s="103" t="str">
        <f aca="false">IF($C399="","",ROUND(IFERROR(INDEX(期初余额!$I$4:$I$43,MATCH($C399,期初余额!$H$4:$H$43,0)),0)+SUMIFS($H$4:$H399,$C$4:$C399,$C399)-SUMIFS($I$4:$I399,$C$4:$C399,$C399),2))</f>
        <v/>
      </c>
      <c r="K399" s="104" t="str">
        <f aca="false">IF($T399&lt;&gt;"",$T399,IF($C399="","",IF(AND(N($I399)&gt;0,$G399&lt;&gt;""),IF(IFERROR(INDEX(科目表!$U$4:$U$123,MATCH($G399,科目表!$M$4:$M$123,0)),"")&amp;""="","管理费用",INDEX(科目表!$U$4:$U$123,MATCH($G399,科目表!$M$4:$M$123,0))),IF(N($H399)&gt;0,IF(IFERROR(INDEX(自动规则!$C$4:$C$143,MATCH($F399,自动规则!$B$4:$B$143,0)),"")&amp;""="","其他应收款",INDEX(自动规则!$C$4:$C$143,MATCH($F399,自动规则!$B$4:$B$143,0))),IF(IFERROR(INDEX(自动规则!$D$4:$D$143,MATCH($F399,自动规则!$B$4:$B$143,0)),"")&amp;""="","其他应付款",INDEX(自动规则!$D$4:$D$143,MATCH($F399,自动规则!$B$4:$B$143,0)))))))</f>
        <v/>
      </c>
      <c r="L399" s="43"/>
      <c r="M399" s="105" t="str">
        <f aca="false">IF($C399="","",IF(IFERROR(INDEX(科目表!$T$4:$T$123,MATCH($C399,科目表!$K$4:$K$123,0)),"")&amp;""="","其他货币资金",INDEX(科目表!$T$4:$T$123,MATCH($C399,科目表!$K$4:$K$123,0))))</f>
        <v/>
      </c>
      <c r="N399" s="39" t="str">
        <f aca="false">IF(OR($C399="",ROUND(N($H399)+N($I399),2)=0),"",IF(N($H399)&gt;0,$M399,$K399))</f>
        <v/>
      </c>
      <c r="O399" s="41" t="str">
        <f aca="false">IF($N399="","",ROUND(N($H399)+N($I399),2))</f>
        <v/>
      </c>
      <c r="P399" s="41" t="str">
        <f aca="false">IF($N399="","",0)</f>
        <v/>
      </c>
      <c r="Q399" s="39" t="str">
        <f aca="false">IF($N399="","",IF(N($H399)&gt;0,$K399,$M399))</f>
        <v/>
      </c>
      <c r="R399" s="41" t="str">
        <f aca="false">IF($Q399="","",0)</f>
        <v/>
      </c>
      <c r="S399" s="41" t="str">
        <f aca="false">IF($Q399="","",ROUND(N($H399)+N($I399),2))</f>
        <v/>
      </c>
      <c r="T399" s="42"/>
      <c r="U399" s="44"/>
      <c r="V399" s="41" t="str">
        <f aca="false">IF($B399="","",TEXT($B399,"yyyy年m月"))</f>
        <v/>
      </c>
      <c r="W399" s="42"/>
      <c r="X399" s="42"/>
      <c r="Y399" s="9"/>
    </row>
    <row r="400" customFormat="false" ht="18" hidden="false" customHeight="true" outlineLevel="0" collapsed="false">
      <c r="A400" s="9" t="str">
        <f aca="false">IF($C400="","",ROW()-3)</f>
        <v/>
      </c>
      <c r="B400" s="76"/>
      <c r="C400" s="74"/>
      <c r="D400" s="43"/>
      <c r="E400" s="42"/>
      <c r="F400" s="74"/>
      <c r="G400" s="74"/>
      <c r="H400" s="44"/>
      <c r="I400" s="44"/>
      <c r="J400" s="103" t="str">
        <f aca="false">IF($C400="","",ROUND(IFERROR(INDEX(期初余额!$I$4:$I$43,MATCH($C400,期初余额!$H$4:$H$43,0)),0)+SUMIFS($H$4:$H400,$C$4:$C400,$C400)-SUMIFS($I$4:$I400,$C$4:$C400,$C400),2))</f>
        <v/>
      </c>
      <c r="K400" s="104" t="str">
        <f aca="false">IF($T400&lt;&gt;"",$T400,IF($C400="","",IF(AND(N($I400)&gt;0,$G400&lt;&gt;""),IF(IFERROR(INDEX(科目表!$U$4:$U$123,MATCH($G400,科目表!$M$4:$M$123,0)),"")&amp;""="","管理费用",INDEX(科目表!$U$4:$U$123,MATCH($G400,科目表!$M$4:$M$123,0))),IF(N($H400)&gt;0,IF(IFERROR(INDEX(自动规则!$C$4:$C$143,MATCH($F400,自动规则!$B$4:$B$143,0)),"")&amp;""="","其他应收款",INDEX(自动规则!$C$4:$C$143,MATCH($F400,自动规则!$B$4:$B$143,0))),IF(IFERROR(INDEX(自动规则!$D$4:$D$143,MATCH($F400,自动规则!$B$4:$B$143,0)),"")&amp;""="","其他应付款",INDEX(自动规则!$D$4:$D$143,MATCH($F400,自动规则!$B$4:$B$143,0)))))))</f>
        <v/>
      </c>
      <c r="L400" s="43"/>
      <c r="M400" s="105" t="str">
        <f aca="false">IF($C400="","",IF(IFERROR(INDEX(科目表!$T$4:$T$123,MATCH($C400,科目表!$K$4:$K$123,0)),"")&amp;""="","其他货币资金",INDEX(科目表!$T$4:$T$123,MATCH($C400,科目表!$K$4:$K$123,0))))</f>
        <v/>
      </c>
      <c r="N400" s="39" t="str">
        <f aca="false">IF(OR($C400="",ROUND(N($H400)+N($I400),2)=0),"",IF(N($H400)&gt;0,$M400,$K400))</f>
        <v/>
      </c>
      <c r="O400" s="41" t="str">
        <f aca="false">IF($N400="","",ROUND(N($H400)+N($I400),2))</f>
        <v/>
      </c>
      <c r="P400" s="41" t="str">
        <f aca="false">IF($N400="","",0)</f>
        <v/>
      </c>
      <c r="Q400" s="39" t="str">
        <f aca="false">IF($N400="","",IF(N($H400)&gt;0,$K400,$M400))</f>
        <v/>
      </c>
      <c r="R400" s="41" t="str">
        <f aca="false">IF($Q400="","",0)</f>
        <v/>
      </c>
      <c r="S400" s="41" t="str">
        <f aca="false">IF($Q400="","",ROUND(N($H400)+N($I400),2))</f>
        <v/>
      </c>
      <c r="T400" s="42"/>
      <c r="U400" s="44"/>
      <c r="V400" s="41" t="str">
        <f aca="false">IF($B400="","",TEXT($B400,"yyyy年m月"))</f>
        <v/>
      </c>
      <c r="W400" s="42"/>
      <c r="X400" s="42"/>
      <c r="Y400" s="9"/>
    </row>
    <row r="401" customFormat="false" ht="18" hidden="false" customHeight="true" outlineLevel="0" collapsed="false">
      <c r="A401" s="9" t="str">
        <f aca="false">IF($C401="","",ROW()-3)</f>
        <v/>
      </c>
      <c r="B401" s="76"/>
      <c r="C401" s="74"/>
      <c r="D401" s="43"/>
      <c r="E401" s="42"/>
      <c r="F401" s="74"/>
      <c r="G401" s="74"/>
      <c r="H401" s="44"/>
      <c r="I401" s="44"/>
      <c r="J401" s="103" t="str">
        <f aca="false">IF($C401="","",ROUND(IFERROR(INDEX(期初余额!$I$4:$I$43,MATCH($C401,期初余额!$H$4:$H$43,0)),0)+SUMIFS($H$4:$H401,$C$4:$C401,$C401)-SUMIFS($I$4:$I401,$C$4:$C401,$C401),2))</f>
        <v/>
      </c>
      <c r="K401" s="104" t="str">
        <f aca="false">IF($T401&lt;&gt;"",$T401,IF($C401="","",IF(AND(N($I401)&gt;0,$G401&lt;&gt;""),IF(IFERROR(INDEX(科目表!$U$4:$U$123,MATCH($G401,科目表!$M$4:$M$123,0)),"")&amp;""="","管理费用",INDEX(科目表!$U$4:$U$123,MATCH($G401,科目表!$M$4:$M$123,0))),IF(N($H401)&gt;0,IF(IFERROR(INDEX(自动规则!$C$4:$C$143,MATCH($F401,自动规则!$B$4:$B$143,0)),"")&amp;""="","其他应收款",INDEX(自动规则!$C$4:$C$143,MATCH($F401,自动规则!$B$4:$B$143,0))),IF(IFERROR(INDEX(自动规则!$D$4:$D$143,MATCH($F401,自动规则!$B$4:$B$143,0)),"")&amp;""="","其他应付款",INDEX(自动规则!$D$4:$D$143,MATCH($F401,自动规则!$B$4:$B$143,0)))))))</f>
        <v/>
      </c>
      <c r="L401" s="43"/>
      <c r="M401" s="105" t="str">
        <f aca="false">IF($C401="","",IF(IFERROR(INDEX(科目表!$T$4:$T$123,MATCH($C401,科目表!$K$4:$K$123,0)),"")&amp;""="","其他货币资金",INDEX(科目表!$T$4:$T$123,MATCH($C401,科目表!$K$4:$K$123,0))))</f>
        <v/>
      </c>
      <c r="N401" s="39" t="str">
        <f aca="false">IF(OR($C401="",ROUND(N($H401)+N($I401),2)=0),"",IF(N($H401)&gt;0,$M401,$K401))</f>
        <v/>
      </c>
      <c r="O401" s="41" t="str">
        <f aca="false">IF($N401="","",ROUND(N($H401)+N($I401),2))</f>
        <v/>
      </c>
      <c r="P401" s="41" t="str">
        <f aca="false">IF($N401="","",0)</f>
        <v/>
      </c>
      <c r="Q401" s="39" t="str">
        <f aca="false">IF($N401="","",IF(N($H401)&gt;0,$K401,$M401))</f>
        <v/>
      </c>
      <c r="R401" s="41" t="str">
        <f aca="false">IF($Q401="","",0)</f>
        <v/>
      </c>
      <c r="S401" s="41" t="str">
        <f aca="false">IF($Q401="","",ROUND(N($H401)+N($I401),2))</f>
        <v/>
      </c>
      <c r="T401" s="42"/>
      <c r="U401" s="44"/>
      <c r="V401" s="41" t="str">
        <f aca="false">IF($B401="","",TEXT($B401,"yyyy年m月"))</f>
        <v/>
      </c>
      <c r="W401" s="42"/>
      <c r="X401" s="42"/>
      <c r="Y401" s="9"/>
    </row>
    <row r="402" customFormat="false" ht="18" hidden="false" customHeight="true" outlineLevel="0" collapsed="false">
      <c r="A402" s="9" t="str">
        <f aca="false">IF($C402="","",ROW()-3)</f>
        <v/>
      </c>
      <c r="B402" s="76"/>
      <c r="C402" s="74"/>
      <c r="D402" s="43"/>
      <c r="E402" s="42"/>
      <c r="F402" s="74"/>
      <c r="G402" s="74"/>
      <c r="H402" s="44"/>
      <c r="I402" s="44"/>
      <c r="J402" s="103" t="str">
        <f aca="false">IF($C402="","",ROUND(IFERROR(INDEX(期初余额!$I$4:$I$43,MATCH($C402,期初余额!$H$4:$H$43,0)),0)+SUMIFS($H$4:$H402,$C$4:$C402,$C402)-SUMIFS($I$4:$I402,$C$4:$C402,$C402),2))</f>
        <v/>
      </c>
      <c r="K402" s="104" t="str">
        <f aca="false">IF($T402&lt;&gt;"",$T402,IF($C402="","",IF(AND(N($I402)&gt;0,$G402&lt;&gt;""),IF(IFERROR(INDEX(科目表!$U$4:$U$123,MATCH($G402,科目表!$M$4:$M$123,0)),"")&amp;""="","管理费用",INDEX(科目表!$U$4:$U$123,MATCH($G402,科目表!$M$4:$M$123,0))),IF(N($H402)&gt;0,IF(IFERROR(INDEX(自动规则!$C$4:$C$143,MATCH($F402,自动规则!$B$4:$B$143,0)),"")&amp;""="","其他应收款",INDEX(自动规则!$C$4:$C$143,MATCH($F402,自动规则!$B$4:$B$143,0))),IF(IFERROR(INDEX(自动规则!$D$4:$D$143,MATCH($F402,自动规则!$B$4:$B$143,0)),"")&amp;""="","其他应付款",INDEX(自动规则!$D$4:$D$143,MATCH($F402,自动规则!$B$4:$B$143,0)))))))</f>
        <v/>
      </c>
      <c r="L402" s="43"/>
      <c r="M402" s="105" t="str">
        <f aca="false">IF($C402="","",IF(IFERROR(INDEX(科目表!$T$4:$T$123,MATCH($C402,科目表!$K$4:$K$123,0)),"")&amp;""="","其他货币资金",INDEX(科目表!$T$4:$T$123,MATCH($C402,科目表!$K$4:$K$123,0))))</f>
        <v/>
      </c>
      <c r="N402" s="39" t="str">
        <f aca="false">IF(OR($C402="",ROUND(N($H402)+N($I402),2)=0),"",IF(N($H402)&gt;0,$M402,$K402))</f>
        <v/>
      </c>
      <c r="O402" s="41" t="str">
        <f aca="false">IF($N402="","",ROUND(N($H402)+N($I402),2))</f>
        <v/>
      </c>
      <c r="P402" s="41" t="str">
        <f aca="false">IF($N402="","",0)</f>
        <v/>
      </c>
      <c r="Q402" s="39" t="str">
        <f aca="false">IF($N402="","",IF(N($H402)&gt;0,$K402,$M402))</f>
        <v/>
      </c>
      <c r="R402" s="41" t="str">
        <f aca="false">IF($Q402="","",0)</f>
        <v/>
      </c>
      <c r="S402" s="41" t="str">
        <f aca="false">IF($Q402="","",ROUND(N($H402)+N($I402),2))</f>
        <v/>
      </c>
      <c r="T402" s="42"/>
      <c r="U402" s="44"/>
      <c r="V402" s="41" t="str">
        <f aca="false">IF($B402="","",TEXT($B402,"yyyy年m月"))</f>
        <v/>
      </c>
      <c r="W402" s="42"/>
      <c r="X402" s="42"/>
      <c r="Y402" s="9"/>
    </row>
    <row r="403" customFormat="false" ht="18" hidden="false" customHeight="true" outlineLevel="0" collapsed="false">
      <c r="A403" s="9" t="str">
        <f aca="false">IF($C403="","",ROW()-3)</f>
        <v/>
      </c>
      <c r="B403" s="76"/>
      <c r="C403" s="74"/>
      <c r="D403" s="43"/>
      <c r="E403" s="42"/>
      <c r="F403" s="74"/>
      <c r="G403" s="74"/>
      <c r="H403" s="44"/>
      <c r="I403" s="44"/>
      <c r="J403" s="103" t="str">
        <f aca="false">IF($C403="","",ROUND(IFERROR(INDEX(期初余额!$I$4:$I$43,MATCH($C403,期初余额!$H$4:$H$43,0)),0)+SUMIFS($H$4:$H403,$C$4:$C403,$C403)-SUMIFS($I$4:$I403,$C$4:$C403,$C403),2))</f>
        <v/>
      </c>
      <c r="K403" s="104" t="str">
        <f aca="false">IF($T403&lt;&gt;"",$T403,IF($C403="","",IF(AND(N($I403)&gt;0,$G403&lt;&gt;""),IF(IFERROR(INDEX(科目表!$U$4:$U$123,MATCH($G403,科目表!$M$4:$M$123,0)),"")&amp;""="","管理费用",INDEX(科目表!$U$4:$U$123,MATCH($G403,科目表!$M$4:$M$123,0))),IF(N($H403)&gt;0,IF(IFERROR(INDEX(自动规则!$C$4:$C$143,MATCH($F403,自动规则!$B$4:$B$143,0)),"")&amp;""="","其他应收款",INDEX(自动规则!$C$4:$C$143,MATCH($F403,自动规则!$B$4:$B$143,0))),IF(IFERROR(INDEX(自动规则!$D$4:$D$143,MATCH($F403,自动规则!$B$4:$B$143,0)),"")&amp;""="","其他应付款",INDEX(自动规则!$D$4:$D$143,MATCH($F403,自动规则!$B$4:$B$143,0)))))))</f>
        <v/>
      </c>
      <c r="L403" s="43"/>
      <c r="M403" s="105" t="str">
        <f aca="false">IF($C403="","",IF(IFERROR(INDEX(科目表!$T$4:$T$123,MATCH($C403,科目表!$K$4:$K$123,0)),"")&amp;""="","其他货币资金",INDEX(科目表!$T$4:$T$123,MATCH($C403,科目表!$K$4:$K$123,0))))</f>
        <v/>
      </c>
      <c r="N403" s="39" t="str">
        <f aca="false">IF(OR($C403="",ROUND(N($H403)+N($I403),2)=0),"",IF(N($H403)&gt;0,$M403,$K403))</f>
        <v/>
      </c>
      <c r="O403" s="41" t="str">
        <f aca="false">IF($N403="","",ROUND(N($H403)+N($I403),2))</f>
        <v/>
      </c>
      <c r="P403" s="41" t="str">
        <f aca="false">IF($N403="","",0)</f>
        <v/>
      </c>
      <c r="Q403" s="39" t="str">
        <f aca="false">IF($N403="","",IF(N($H403)&gt;0,$K403,$M403))</f>
        <v/>
      </c>
      <c r="R403" s="41" t="str">
        <f aca="false">IF($Q403="","",0)</f>
        <v/>
      </c>
      <c r="S403" s="41" t="str">
        <f aca="false">IF($Q403="","",ROUND(N($H403)+N($I403),2))</f>
        <v/>
      </c>
      <c r="T403" s="42"/>
      <c r="U403" s="44"/>
      <c r="V403" s="41" t="str">
        <f aca="false">IF($B403="","",TEXT($B403,"yyyy年m月"))</f>
        <v/>
      </c>
      <c r="W403" s="42"/>
      <c r="X403" s="42"/>
      <c r="Y403" s="9"/>
    </row>
    <row r="404" customFormat="false" ht="18" hidden="false" customHeight="true" outlineLevel="0" collapsed="false">
      <c r="A404" s="9" t="str">
        <f aca="false">IF($C404="","",ROW()-3)</f>
        <v/>
      </c>
      <c r="B404" s="76"/>
      <c r="C404" s="74"/>
      <c r="D404" s="43"/>
      <c r="E404" s="42"/>
      <c r="F404" s="74"/>
      <c r="G404" s="74"/>
      <c r="H404" s="44"/>
      <c r="I404" s="44"/>
      <c r="J404" s="103" t="str">
        <f aca="false">IF($C404="","",ROUND(IFERROR(INDEX(期初余额!$I$4:$I$43,MATCH($C404,期初余额!$H$4:$H$43,0)),0)+SUMIFS($H$4:$H404,$C$4:$C404,$C404)-SUMIFS($I$4:$I404,$C$4:$C404,$C404),2))</f>
        <v/>
      </c>
      <c r="K404" s="104" t="str">
        <f aca="false">IF($T404&lt;&gt;"",$T404,IF($C404="","",IF(AND(N($I404)&gt;0,$G404&lt;&gt;""),IF(IFERROR(INDEX(科目表!$U$4:$U$123,MATCH($G404,科目表!$M$4:$M$123,0)),"")&amp;""="","管理费用",INDEX(科目表!$U$4:$U$123,MATCH($G404,科目表!$M$4:$M$123,0))),IF(N($H404)&gt;0,IF(IFERROR(INDEX(自动规则!$C$4:$C$143,MATCH($F404,自动规则!$B$4:$B$143,0)),"")&amp;""="","其他应收款",INDEX(自动规则!$C$4:$C$143,MATCH($F404,自动规则!$B$4:$B$143,0))),IF(IFERROR(INDEX(自动规则!$D$4:$D$143,MATCH($F404,自动规则!$B$4:$B$143,0)),"")&amp;""="","其他应付款",INDEX(自动规则!$D$4:$D$143,MATCH($F404,自动规则!$B$4:$B$143,0)))))))</f>
        <v/>
      </c>
      <c r="L404" s="43"/>
      <c r="M404" s="105" t="str">
        <f aca="false">IF($C404="","",IF(IFERROR(INDEX(科目表!$T$4:$T$123,MATCH($C404,科目表!$K$4:$K$123,0)),"")&amp;""="","其他货币资金",INDEX(科目表!$T$4:$T$123,MATCH($C404,科目表!$K$4:$K$123,0))))</f>
        <v/>
      </c>
      <c r="N404" s="39" t="str">
        <f aca="false">IF(OR($C404="",ROUND(N($H404)+N($I404),2)=0),"",IF(N($H404)&gt;0,$M404,$K404))</f>
        <v/>
      </c>
      <c r="O404" s="41" t="str">
        <f aca="false">IF($N404="","",ROUND(N($H404)+N($I404),2))</f>
        <v/>
      </c>
      <c r="P404" s="41" t="str">
        <f aca="false">IF($N404="","",0)</f>
        <v/>
      </c>
      <c r="Q404" s="39" t="str">
        <f aca="false">IF($N404="","",IF(N($H404)&gt;0,$K404,$M404))</f>
        <v/>
      </c>
      <c r="R404" s="41" t="str">
        <f aca="false">IF($Q404="","",0)</f>
        <v/>
      </c>
      <c r="S404" s="41" t="str">
        <f aca="false">IF($Q404="","",ROUND(N($H404)+N($I404),2))</f>
        <v/>
      </c>
      <c r="T404" s="42"/>
      <c r="U404" s="44"/>
      <c r="V404" s="41" t="str">
        <f aca="false">IF($B404="","",TEXT($B404,"yyyy年m月"))</f>
        <v/>
      </c>
      <c r="W404" s="42"/>
      <c r="X404" s="42"/>
      <c r="Y404" s="9"/>
    </row>
    <row r="405" customFormat="false" ht="18" hidden="false" customHeight="true" outlineLevel="0" collapsed="false">
      <c r="A405" s="9" t="str">
        <f aca="false">IF($C405="","",ROW()-3)</f>
        <v/>
      </c>
      <c r="B405" s="76"/>
      <c r="C405" s="74"/>
      <c r="D405" s="43"/>
      <c r="E405" s="42"/>
      <c r="F405" s="74"/>
      <c r="G405" s="74"/>
      <c r="H405" s="44"/>
      <c r="I405" s="44"/>
      <c r="J405" s="103" t="str">
        <f aca="false">IF($C405="","",ROUND(IFERROR(INDEX(期初余额!$I$4:$I$43,MATCH($C405,期初余额!$H$4:$H$43,0)),0)+SUMIFS($H$4:$H405,$C$4:$C405,$C405)-SUMIFS($I$4:$I405,$C$4:$C405,$C405),2))</f>
        <v/>
      </c>
      <c r="K405" s="104" t="str">
        <f aca="false">IF($T405&lt;&gt;"",$T405,IF($C405="","",IF(AND(N($I405)&gt;0,$G405&lt;&gt;""),IF(IFERROR(INDEX(科目表!$U$4:$U$123,MATCH($G405,科目表!$M$4:$M$123,0)),"")&amp;""="","管理费用",INDEX(科目表!$U$4:$U$123,MATCH($G405,科目表!$M$4:$M$123,0))),IF(N($H405)&gt;0,IF(IFERROR(INDEX(自动规则!$C$4:$C$143,MATCH($F405,自动规则!$B$4:$B$143,0)),"")&amp;""="","其他应收款",INDEX(自动规则!$C$4:$C$143,MATCH($F405,自动规则!$B$4:$B$143,0))),IF(IFERROR(INDEX(自动规则!$D$4:$D$143,MATCH($F405,自动规则!$B$4:$B$143,0)),"")&amp;""="","其他应付款",INDEX(自动规则!$D$4:$D$143,MATCH($F405,自动规则!$B$4:$B$143,0)))))))</f>
        <v/>
      </c>
      <c r="L405" s="43"/>
      <c r="M405" s="105" t="str">
        <f aca="false">IF($C405="","",IF(IFERROR(INDEX(科目表!$T$4:$T$123,MATCH($C405,科目表!$K$4:$K$123,0)),"")&amp;""="","其他货币资金",INDEX(科目表!$T$4:$T$123,MATCH($C405,科目表!$K$4:$K$123,0))))</f>
        <v/>
      </c>
      <c r="N405" s="39" t="str">
        <f aca="false">IF(OR($C405="",ROUND(N($H405)+N($I405),2)=0),"",IF(N($H405)&gt;0,$M405,$K405))</f>
        <v/>
      </c>
      <c r="O405" s="41" t="str">
        <f aca="false">IF($N405="","",ROUND(N($H405)+N($I405),2))</f>
        <v/>
      </c>
      <c r="P405" s="41" t="str">
        <f aca="false">IF($N405="","",0)</f>
        <v/>
      </c>
      <c r="Q405" s="39" t="str">
        <f aca="false">IF($N405="","",IF(N($H405)&gt;0,$K405,$M405))</f>
        <v/>
      </c>
      <c r="R405" s="41" t="str">
        <f aca="false">IF($Q405="","",0)</f>
        <v/>
      </c>
      <c r="S405" s="41" t="str">
        <f aca="false">IF($Q405="","",ROUND(N($H405)+N($I405),2))</f>
        <v/>
      </c>
      <c r="T405" s="42"/>
      <c r="U405" s="44"/>
      <c r="V405" s="41" t="str">
        <f aca="false">IF($B405="","",TEXT($B405,"yyyy年m月"))</f>
        <v/>
      </c>
      <c r="W405" s="42"/>
      <c r="X405" s="42"/>
      <c r="Y405" s="9"/>
    </row>
    <row r="406" customFormat="false" ht="18" hidden="false" customHeight="true" outlineLevel="0" collapsed="false">
      <c r="A406" s="9" t="str">
        <f aca="false">IF($C406="","",ROW()-3)</f>
        <v/>
      </c>
      <c r="B406" s="76"/>
      <c r="C406" s="74"/>
      <c r="D406" s="43"/>
      <c r="E406" s="42"/>
      <c r="F406" s="74"/>
      <c r="G406" s="74"/>
      <c r="H406" s="44"/>
      <c r="I406" s="44"/>
      <c r="J406" s="103" t="str">
        <f aca="false">IF($C406="","",ROUND(IFERROR(INDEX(期初余额!$I$4:$I$43,MATCH($C406,期初余额!$H$4:$H$43,0)),0)+SUMIFS($H$4:$H406,$C$4:$C406,$C406)-SUMIFS($I$4:$I406,$C$4:$C406,$C406),2))</f>
        <v/>
      </c>
      <c r="K406" s="104" t="str">
        <f aca="false">IF($T406&lt;&gt;"",$T406,IF($C406="","",IF(AND(N($I406)&gt;0,$G406&lt;&gt;""),IF(IFERROR(INDEX(科目表!$U$4:$U$123,MATCH($G406,科目表!$M$4:$M$123,0)),"")&amp;""="","管理费用",INDEX(科目表!$U$4:$U$123,MATCH($G406,科目表!$M$4:$M$123,0))),IF(N($H406)&gt;0,IF(IFERROR(INDEX(自动规则!$C$4:$C$143,MATCH($F406,自动规则!$B$4:$B$143,0)),"")&amp;""="","其他应收款",INDEX(自动规则!$C$4:$C$143,MATCH($F406,自动规则!$B$4:$B$143,0))),IF(IFERROR(INDEX(自动规则!$D$4:$D$143,MATCH($F406,自动规则!$B$4:$B$143,0)),"")&amp;""="","其他应付款",INDEX(自动规则!$D$4:$D$143,MATCH($F406,自动规则!$B$4:$B$143,0)))))))</f>
        <v/>
      </c>
      <c r="L406" s="43"/>
      <c r="M406" s="105" t="str">
        <f aca="false">IF($C406="","",IF(IFERROR(INDEX(科目表!$T$4:$T$123,MATCH($C406,科目表!$K$4:$K$123,0)),"")&amp;""="","其他货币资金",INDEX(科目表!$T$4:$T$123,MATCH($C406,科目表!$K$4:$K$123,0))))</f>
        <v/>
      </c>
      <c r="N406" s="39" t="str">
        <f aca="false">IF(OR($C406="",ROUND(N($H406)+N($I406),2)=0),"",IF(N($H406)&gt;0,$M406,$K406))</f>
        <v/>
      </c>
      <c r="O406" s="41" t="str">
        <f aca="false">IF($N406="","",ROUND(N($H406)+N($I406),2))</f>
        <v/>
      </c>
      <c r="P406" s="41" t="str">
        <f aca="false">IF($N406="","",0)</f>
        <v/>
      </c>
      <c r="Q406" s="39" t="str">
        <f aca="false">IF($N406="","",IF(N($H406)&gt;0,$K406,$M406))</f>
        <v/>
      </c>
      <c r="R406" s="41" t="str">
        <f aca="false">IF($Q406="","",0)</f>
        <v/>
      </c>
      <c r="S406" s="41" t="str">
        <f aca="false">IF($Q406="","",ROUND(N($H406)+N($I406),2))</f>
        <v/>
      </c>
      <c r="T406" s="42"/>
      <c r="U406" s="44"/>
      <c r="V406" s="41" t="str">
        <f aca="false">IF($B406="","",TEXT($B406,"yyyy年m月"))</f>
        <v/>
      </c>
      <c r="W406" s="42"/>
      <c r="X406" s="42"/>
      <c r="Y406" s="9"/>
    </row>
    <row r="407" customFormat="false" ht="18" hidden="false" customHeight="true" outlineLevel="0" collapsed="false">
      <c r="A407" s="9" t="str">
        <f aca="false">IF($C407="","",ROW()-3)</f>
        <v/>
      </c>
      <c r="B407" s="76"/>
      <c r="C407" s="74"/>
      <c r="D407" s="43"/>
      <c r="E407" s="42"/>
      <c r="F407" s="74"/>
      <c r="G407" s="74"/>
      <c r="H407" s="44"/>
      <c r="I407" s="44"/>
      <c r="J407" s="103" t="str">
        <f aca="false">IF($C407="","",ROUND(IFERROR(INDEX(期初余额!$I$4:$I$43,MATCH($C407,期初余额!$H$4:$H$43,0)),0)+SUMIFS($H$4:$H407,$C$4:$C407,$C407)-SUMIFS($I$4:$I407,$C$4:$C407,$C407),2))</f>
        <v/>
      </c>
      <c r="K407" s="104" t="str">
        <f aca="false">IF($T407&lt;&gt;"",$T407,IF($C407="","",IF(AND(N($I407)&gt;0,$G407&lt;&gt;""),IF(IFERROR(INDEX(科目表!$U$4:$U$123,MATCH($G407,科目表!$M$4:$M$123,0)),"")&amp;""="","管理费用",INDEX(科目表!$U$4:$U$123,MATCH($G407,科目表!$M$4:$M$123,0))),IF(N($H407)&gt;0,IF(IFERROR(INDEX(自动规则!$C$4:$C$143,MATCH($F407,自动规则!$B$4:$B$143,0)),"")&amp;""="","其他应收款",INDEX(自动规则!$C$4:$C$143,MATCH($F407,自动规则!$B$4:$B$143,0))),IF(IFERROR(INDEX(自动规则!$D$4:$D$143,MATCH($F407,自动规则!$B$4:$B$143,0)),"")&amp;""="","其他应付款",INDEX(自动规则!$D$4:$D$143,MATCH($F407,自动规则!$B$4:$B$143,0)))))))</f>
        <v/>
      </c>
      <c r="L407" s="43"/>
      <c r="M407" s="105" t="str">
        <f aca="false">IF($C407="","",IF(IFERROR(INDEX(科目表!$T$4:$T$123,MATCH($C407,科目表!$K$4:$K$123,0)),"")&amp;""="","其他货币资金",INDEX(科目表!$T$4:$T$123,MATCH($C407,科目表!$K$4:$K$123,0))))</f>
        <v/>
      </c>
      <c r="N407" s="39" t="str">
        <f aca="false">IF(OR($C407="",ROUND(N($H407)+N($I407),2)=0),"",IF(N($H407)&gt;0,$M407,$K407))</f>
        <v/>
      </c>
      <c r="O407" s="41" t="str">
        <f aca="false">IF($N407="","",ROUND(N($H407)+N($I407),2))</f>
        <v/>
      </c>
      <c r="P407" s="41" t="str">
        <f aca="false">IF($N407="","",0)</f>
        <v/>
      </c>
      <c r="Q407" s="39" t="str">
        <f aca="false">IF($N407="","",IF(N($H407)&gt;0,$K407,$M407))</f>
        <v/>
      </c>
      <c r="R407" s="41" t="str">
        <f aca="false">IF($Q407="","",0)</f>
        <v/>
      </c>
      <c r="S407" s="41" t="str">
        <f aca="false">IF($Q407="","",ROUND(N($H407)+N($I407),2))</f>
        <v/>
      </c>
      <c r="T407" s="42"/>
      <c r="U407" s="44"/>
      <c r="V407" s="41" t="str">
        <f aca="false">IF($B407="","",TEXT($B407,"yyyy年m月"))</f>
        <v/>
      </c>
      <c r="W407" s="42"/>
      <c r="X407" s="42"/>
      <c r="Y407" s="9"/>
    </row>
    <row r="408" customFormat="false" ht="18" hidden="false" customHeight="true" outlineLevel="0" collapsed="false">
      <c r="A408" s="9" t="str">
        <f aca="false">IF($C408="","",ROW()-3)</f>
        <v/>
      </c>
      <c r="B408" s="76"/>
      <c r="C408" s="74"/>
      <c r="D408" s="43"/>
      <c r="E408" s="42"/>
      <c r="F408" s="74"/>
      <c r="G408" s="74"/>
      <c r="H408" s="44"/>
      <c r="I408" s="44"/>
      <c r="J408" s="103" t="str">
        <f aca="false">IF($C408="","",ROUND(IFERROR(INDEX(期初余额!$I$4:$I$43,MATCH($C408,期初余额!$H$4:$H$43,0)),0)+SUMIFS($H$4:$H408,$C$4:$C408,$C408)-SUMIFS($I$4:$I408,$C$4:$C408,$C408),2))</f>
        <v/>
      </c>
      <c r="K408" s="104" t="str">
        <f aca="false">IF($T408&lt;&gt;"",$T408,IF($C408="","",IF(AND(N($I408)&gt;0,$G408&lt;&gt;""),IF(IFERROR(INDEX(科目表!$U$4:$U$123,MATCH($G408,科目表!$M$4:$M$123,0)),"")&amp;""="","管理费用",INDEX(科目表!$U$4:$U$123,MATCH($G408,科目表!$M$4:$M$123,0))),IF(N($H408)&gt;0,IF(IFERROR(INDEX(自动规则!$C$4:$C$143,MATCH($F408,自动规则!$B$4:$B$143,0)),"")&amp;""="","其他应收款",INDEX(自动规则!$C$4:$C$143,MATCH($F408,自动规则!$B$4:$B$143,0))),IF(IFERROR(INDEX(自动规则!$D$4:$D$143,MATCH($F408,自动规则!$B$4:$B$143,0)),"")&amp;""="","其他应付款",INDEX(自动规则!$D$4:$D$143,MATCH($F408,自动规则!$B$4:$B$143,0)))))))</f>
        <v/>
      </c>
      <c r="L408" s="43"/>
      <c r="M408" s="105" t="str">
        <f aca="false">IF($C408="","",IF(IFERROR(INDEX(科目表!$T$4:$T$123,MATCH($C408,科目表!$K$4:$K$123,0)),"")&amp;""="","其他货币资金",INDEX(科目表!$T$4:$T$123,MATCH($C408,科目表!$K$4:$K$123,0))))</f>
        <v/>
      </c>
      <c r="N408" s="39" t="str">
        <f aca="false">IF(OR($C408="",ROUND(N($H408)+N($I408),2)=0),"",IF(N($H408)&gt;0,$M408,$K408))</f>
        <v/>
      </c>
      <c r="O408" s="41" t="str">
        <f aca="false">IF($N408="","",ROUND(N($H408)+N($I408),2))</f>
        <v/>
      </c>
      <c r="P408" s="41" t="str">
        <f aca="false">IF($N408="","",0)</f>
        <v/>
      </c>
      <c r="Q408" s="39" t="str">
        <f aca="false">IF($N408="","",IF(N($H408)&gt;0,$K408,$M408))</f>
        <v/>
      </c>
      <c r="R408" s="41" t="str">
        <f aca="false">IF($Q408="","",0)</f>
        <v/>
      </c>
      <c r="S408" s="41" t="str">
        <f aca="false">IF($Q408="","",ROUND(N($H408)+N($I408),2))</f>
        <v/>
      </c>
      <c r="T408" s="42"/>
      <c r="U408" s="44"/>
      <c r="V408" s="41" t="str">
        <f aca="false">IF($B408="","",TEXT($B408,"yyyy年m月"))</f>
        <v/>
      </c>
      <c r="W408" s="42"/>
      <c r="X408" s="42"/>
      <c r="Y408" s="9"/>
    </row>
    <row r="409" customFormat="false" ht="18" hidden="false" customHeight="true" outlineLevel="0" collapsed="false">
      <c r="A409" s="9" t="str">
        <f aca="false">IF($C409="","",ROW()-3)</f>
        <v/>
      </c>
      <c r="B409" s="76"/>
      <c r="C409" s="74"/>
      <c r="D409" s="43"/>
      <c r="E409" s="42"/>
      <c r="F409" s="74"/>
      <c r="G409" s="74"/>
      <c r="H409" s="44"/>
      <c r="I409" s="44"/>
      <c r="J409" s="103" t="str">
        <f aca="false">IF($C409="","",ROUND(IFERROR(INDEX(期初余额!$I$4:$I$43,MATCH($C409,期初余额!$H$4:$H$43,0)),0)+SUMIFS($H$4:$H409,$C$4:$C409,$C409)-SUMIFS($I$4:$I409,$C$4:$C409,$C409),2))</f>
        <v/>
      </c>
      <c r="K409" s="104" t="str">
        <f aca="false">IF($T409&lt;&gt;"",$T409,IF($C409="","",IF(AND(N($I409)&gt;0,$G409&lt;&gt;""),IF(IFERROR(INDEX(科目表!$U$4:$U$123,MATCH($G409,科目表!$M$4:$M$123,0)),"")&amp;""="","管理费用",INDEX(科目表!$U$4:$U$123,MATCH($G409,科目表!$M$4:$M$123,0))),IF(N($H409)&gt;0,IF(IFERROR(INDEX(自动规则!$C$4:$C$143,MATCH($F409,自动规则!$B$4:$B$143,0)),"")&amp;""="","其他应收款",INDEX(自动规则!$C$4:$C$143,MATCH($F409,自动规则!$B$4:$B$143,0))),IF(IFERROR(INDEX(自动规则!$D$4:$D$143,MATCH($F409,自动规则!$B$4:$B$143,0)),"")&amp;""="","其他应付款",INDEX(自动规则!$D$4:$D$143,MATCH($F409,自动规则!$B$4:$B$143,0)))))))</f>
        <v/>
      </c>
      <c r="L409" s="43"/>
      <c r="M409" s="105" t="str">
        <f aca="false">IF($C409="","",IF(IFERROR(INDEX(科目表!$T$4:$T$123,MATCH($C409,科目表!$K$4:$K$123,0)),"")&amp;""="","其他货币资金",INDEX(科目表!$T$4:$T$123,MATCH($C409,科目表!$K$4:$K$123,0))))</f>
        <v/>
      </c>
      <c r="N409" s="39" t="str">
        <f aca="false">IF(OR($C409="",ROUND(N($H409)+N($I409),2)=0),"",IF(N($H409)&gt;0,$M409,$K409))</f>
        <v/>
      </c>
      <c r="O409" s="41" t="str">
        <f aca="false">IF($N409="","",ROUND(N($H409)+N($I409),2))</f>
        <v/>
      </c>
      <c r="P409" s="41" t="str">
        <f aca="false">IF($N409="","",0)</f>
        <v/>
      </c>
      <c r="Q409" s="39" t="str">
        <f aca="false">IF($N409="","",IF(N($H409)&gt;0,$K409,$M409))</f>
        <v/>
      </c>
      <c r="R409" s="41" t="str">
        <f aca="false">IF($Q409="","",0)</f>
        <v/>
      </c>
      <c r="S409" s="41" t="str">
        <f aca="false">IF($Q409="","",ROUND(N($H409)+N($I409),2))</f>
        <v/>
      </c>
      <c r="T409" s="42"/>
      <c r="U409" s="44"/>
      <c r="V409" s="41" t="str">
        <f aca="false">IF($B409="","",TEXT($B409,"yyyy年m月"))</f>
        <v/>
      </c>
      <c r="W409" s="42"/>
      <c r="X409" s="42"/>
      <c r="Y409" s="9"/>
    </row>
    <row r="410" customFormat="false" ht="18" hidden="false" customHeight="true" outlineLevel="0" collapsed="false">
      <c r="A410" s="9" t="str">
        <f aca="false">IF($C410="","",ROW()-3)</f>
        <v/>
      </c>
      <c r="B410" s="76"/>
      <c r="C410" s="74"/>
      <c r="D410" s="43"/>
      <c r="E410" s="42"/>
      <c r="F410" s="74"/>
      <c r="G410" s="74"/>
      <c r="H410" s="44"/>
      <c r="I410" s="44"/>
      <c r="J410" s="103" t="str">
        <f aca="false">IF($C410="","",ROUND(IFERROR(INDEX(期初余额!$I$4:$I$43,MATCH($C410,期初余额!$H$4:$H$43,0)),0)+SUMIFS($H$4:$H410,$C$4:$C410,$C410)-SUMIFS($I$4:$I410,$C$4:$C410,$C410),2))</f>
        <v/>
      </c>
      <c r="K410" s="104" t="str">
        <f aca="false">IF($T410&lt;&gt;"",$T410,IF($C410="","",IF(AND(N($I410)&gt;0,$G410&lt;&gt;""),IF(IFERROR(INDEX(科目表!$U$4:$U$123,MATCH($G410,科目表!$M$4:$M$123,0)),"")&amp;""="","管理费用",INDEX(科目表!$U$4:$U$123,MATCH($G410,科目表!$M$4:$M$123,0))),IF(N($H410)&gt;0,IF(IFERROR(INDEX(自动规则!$C$4:$C$143,MATCH($F410,自动规则!$B$4:$B$143,0)),"")&amp;""="","其他应收款",INDEX(自动规则!$C$4:$C$143,MATCH($F410,自动规则!$B$4:$B$143,0))),IF(IFERROR(INDEX(自动规则!$D$4:$D$143,MATCH($F410,自动规则!$B$4:$B$143,0)),"")&amp;""="","其他应付款",INDEX(自动规则!$D$4:$D$143,MATCH($F410,自动规则!$B$4:$B$143,0)))))))</f>
        <v/>
      </c>
      <c r="L410" s="43"/>
      <c r="M410" s="105" t="str">
        <f aca="false">IF($C410="","",IF(IFERROR(INDEX(科目表!$T$4:$T$123,MATCH($C410,科目表!$K$4:$K$123,0)),"")&amp;""="","其他货币资金",INDEX(科目表!$T$4:$T$123,MATCH($C410,科目表!$K$4:$K$123,0))))</f>
        <v/>
      </c>
      <c r="N410" s="39" t="str">
        <f aca="false">IF(OR($C410="",ROUND(N($H410)+N($I410),2)=0),"",IF(N($H410)&gt;0,$M410,$K410))</f>
        <v/>
      </c>
      <c r="O410" s="41" t="str">
        <f aca="false">IF($N410="","",ROUND(N($H410)+N($I410),2))</f>
        <v/>
      </c>
      <c r="P410" s="41" t="str">
        <f aca="false">IF($N410="","",0)</f>
        <v/>
      </c>
      <c r="Q410" s="39" t="str">
        <f aca="false">IF($N410="","",IF(N($H410)&gt;0,$K410,$M410))</f>
        <v/>
      </c>
      <c r="R410" s="41" t="str">
        <f aca="false">IF($Q410="","",0)</f>
        <v/>
      </c>
      <c r="S410" s="41" t="str">
        <f aca="false">IF($Q410="","",ROUND(N($H410)+N($I410),2))</f>
        <v/>
      </c>
      <c r="T410" s="42"/>
      <c r="U410" s="44"/>
      <c r="V410" s="41" t="str">
        <f aca="false">IF($B410="","",TEXT($B410,"yyyy年m月"))</f>
        <v/>
      </c>
      <c r="W410" s="42"/>
      <c r="X410" s="42"/>
      <c r="Y410" s="9"/>
    </row>
    <row r="411" customFormat="false" ht="18" hidden="false" customHeight="true" outlineLevel="0" collapsed="false">
      <c r="A411" s="9" t="str">
        <f aca="false">IF($C411="","",ROW()-3)</f>
        <v/>
      </c>
      <c r="B411" s="76"/>
      <c r="C411" s="74"/>
      <c r="D411" s="43"/>
      <c r="E411" s="42"/>
      <c r="F411" s="74"/>
      <c r="G411" s="74"/>
      <c r="H411" s="44"/>
      <c r="I411" s="44"/>
      <c r="J411" s="103" t="str">
        <f aca="false">IF($C411="","",ROUND(IFERROR(INDEX(期初余额!$I$4:$I$43,MATCH($C411,期初余额!$H$4:$H$43,0)),0)+SUMIFS($H$4:$H411,$C$4:$C411,$C411)-SUMIFS($I$4:$I411,$C$4:$C411,$C411),2))</f>
        <v/>
      </c>
      <c r="K411" s="104" t="str">
        <f aca="false">IF($T411&lt;&gt;"",$T411,IF($C411="","",IF(AND(N($I411)&gt;0,$G411&lt;&gt;""),IF(IFERROR(INDEX(科目表!$U$4:$U$123,MATCH($G411,科目表!$M$4:$M$123,0)),"")&amp;""="","管理费用",INDEX(科目表!$U$4:$U$123,MATCH($G411,科目表!$M$4:$M$123,0))),IF(N($H411)&gt;0,IF(IFERROR(INDEX(自动规则!$C$4:$C$143,MATCH($F411,自动规则!$B$4:$B$143,0)),"")&amp;""="","其他应收款",INDEX(自动规则!$C$4:$C$143,MATCH($F411,自动规则!$B$4:$B$143,0))),IF(IFERROR(INDEX(自动规则!$D$4:$D$143,MATCH($F411,自动规则!$B$4:$B$143,0)),"")&amp;""="","其他应付款",INDEX(自动规则!$D$4:$D$143,MATCH($F411,自动规则!$B$4:$B$143,0)))))))</f>
        <v/>
      </c>
      <c r="L411" s="43"/>
      <c r="M411" s="105" t="str">
        <f aca="false">IF($C411="","",IF(IFERROR(INDEX(科目表!$T$4:$T$123,MATCH($C411,科目表!$K$4:$K$123,0)),"")&amp;""="","其他货币资金",INDEX(科目表!$T$4:$T$123,MATCH($C411,科目表!$K$4:$K$123,0))))</f>
        <v/>
      </c>
      <c r="N411" s="39" t="str">
        <f aca="false">IF(OR($C411="",ROUND(N($H411)+N($I411),2)=0),"",IF(N($H411)&gt;0,$M411,$K411))</f>
        <v/>
      </c>
      <c r="O411" s="41" t="str">
        <f aca="false">IF($N411="","",ROUND(N($H411)+N($I411),2))</f>
        <v/>
      </c>
      <c r="P411" s="41" t="str">
        <f aca="false">IF($N411="","",0)</f>
        <v/>
      </c>
      <c r="Q411" s="39" t="str">
        <f aca="false">IF($N411="","",IF(N($H411)&gt;0,$K411,$M411))</f>
        <v/>
      </c>
      <c r="R411" s="41" t="str">
        <f aca="false">IF($Q411="","",0)</f>
        <v/>
      </c>
      <c r="S411" s="41" t="str">
        <f aca="false">IF($Q411="","",ROUND(N($H411)+N($I411),2))</f>
        <v/>
      </c>
      <c r="T411" s="42"/>
      <c r="U411" s="44"/>
      <c r="V411" s="41" t="str">
        <f aca="false">IF($B411="","",TEXT($B411,"yyyy年m月"))</f>
        <v/>
      </c>
      <c r="W411" s="42"/>
      <c r="X411" s="42"/>
      <c r="Y411" s="9"/>
    </row>
    <row r="412" customFormat="false" ht="18" hidden="false" customHeight="true" outlineLevel="0" collapsed="false">
      <c r="A412" s="9" t="str">
        <f aca="false">IF($C412="","",ROW()-3)</f>
        <v/>
      </c>
      <c r="B412" s="76"/>
      <c r="C412" s="74"/>
      <c r="D412" s="43"/>
      <c r="E412" s="42"/>
      <c r="F412" s="74"/>
      <c r="G412" s="74"/>
      <c r="H412" s="44"/>
      <c r="I412" s="44"/>
      <c r="J412" s="103" t="str">
        <f aca="false">IF($C412="","",ROUND(IFERROR(INDEX(期初余额!$I$4:$I$43,MATCH($C412,期初余额!$H$4:$H$43,0)),0)+SUMIFS($H$4:$H412,$C$4:$C412,$C412)-SUMIFS($I$4:$I412,$C$4:$C412,$C412),2))</f>
        <v/>
      </c>
      <c r="K412" s="104" t="str">
        <f aca="false">IF($T412&lt;&gt;"",$T412,IF($C412="","",IF(AND(N($I412)&gt;0,$G412&lt;&gt;""),IF(IFERROR(INDEX(科目表!$U$4:$U$123,MATCH($G412,科目表!$M$4:$M$123,0)),"")&amp;""="","管理费用",INDEX(科目表!$U$4:$U$123,MATCH($G412,科目表!$M$4:$M$123,0))),IF(N($H412)&gt;0,IF(IFERROR(INDEX(自动规则!$C$4:$C$143,MATCH($F412,自动规则!$B$4:$B$143,0)),"")&amp;""="","其他应收款",INDEX(自动规则!$C$4:$C$143,MATCH($F412,自动规则!$B$4:$B$143,0))),IF(IFERROR(INDEX(自动规则!$D$4:$D$143,MATCH($F412,自动规则!$B$4:$B$143,0)),"")&amp;""="","其他应付款",INDEX(自动规则!$D$4:$D$143,MATCH($F412,自动规则!$B$4:$B$143,0)))))))</f>
        <v/>
      </c>
      <c r="L412" s="43"/>
      <c r="M412" s="105" t="str">
        <f aca="false">IF($C412="","",IF(IFERROR(INDEX(科目表!$T$4:$T$123,MATCH($C412,科目表!$K$4:$K$123,0)),"")&amp;""="","其他货币资金",INDEX(科目表!$T$4:$T$123,MATCH($C412,科目表!$K$4:$K$123,0))))</f>
        <v/>
      </c>
      <c r="N412" s="39" t="str">
        <f aca="false">IF(OR($C412="",ROUND(N($H412)+N($I412),2)=0),"",IF(N($H412)&gt;0,$M412,$K412))</f>
        <v/>
      </c>
      <c r="O412" s="41" t="str">
        <f aca="false">IF($N412="","",ROUND(N($H412)+N($I412),2))</f>
        <v/>
      </c>
      <c r="P412" s="41" t="str">
        <f aca="false">IF($N412="","",0)</f>
        <v/>
      </c>
      <c r="Q412" s="39" t="str">
        <f aca="false">IF($N412="","",IF(N($H412)&gt;0,$K412,$M412))</f>
        <v/>
      </c>
      <c r="R412" s="41" t="str">
        <f aca="false">IF($Q412="","",0)</f>
        <v/>
      </c>
      <c r="S412" s="41" t="str">
        <f aca="false">IF($Q412="","",ROUND(N($H412)+N($I412),2))</f>
        <v/>
      </c>
      <c r="T412" s="42"/>
      <c r="U412" s="44"/>
      <c r="V412" s="41" t="str">
        <f aca="false">IF($B412="","",TEXT($B412,"yyyy年m月"))</f>
        <v/>
      </c>
      <c r="W412" s="42"/>
      <c r="X412" s="42"/>
      <c r="Y412" s="9"/>
    </row>
    <row r="413" customFormat="false" ht="18" hidden="false" customHeight="true" outlineLevel="0" collapsed="false">
      <c r="A413" s="9" t="str">
        <f aca="false">IF($C413="","",ROW()-3)</f>
        <v/>
      </c>
      <c r="B413" s="76"/>
      <c r="C413" s="74"/>
      <c r="D413" s="43"/>
      <c r="E413" s="42"/>
      <c r="F413" s="74"/>
      <c r="G413" s="74"/>
      <c r="H413" s="44"/>
      <c r="I413" s="44"/>
      <c r="J413" s="103" t="str">
        <f aca="false">IF($C413="","",ROUND(IFERROR(INDEX(期初余额!$I$4:$I$43,MATCH($C413,期初余额!$H$4:$H$43,0)),0)+SUMIFS($H$4:$H413,$C$4:$C413,$C413)-SUMIFS($I$4:$I413,$C$4:$C413,$C413),2))</f>
        <v/>
      </c>
      <c r="K413" s="104" t="str">
        <f aca="false">IF($T413&lt;&gt;"",$T413,IF($C413="","",IF(AND(N($I413)&gt;0,$G413&lt;&gt;""),IF(IFERROR(INDEX(科目表!$U$4:$U$123,MATCH($G413,科目表!$M$4:$M$123,0)),"")&amp;""="","管理费用",INDEX(科目表!$U$4:$U$123,MATCH($G413,科目表!$M$4:$M$123,0))),IF(N($H413)&gt;0,IF(IFERROR(INDEX(自动规则!$C$4:$C$143,MATCH($F413,自动规则!$B$4:$B$143,0)),"")&amp;""="","其他应收款",INDEX(自动规则!$C$4:$C$143,MATCH($F413,自动规则!$B$4:$B$143,0))),IF(IFERROR(INDEX(自动规则!$D$4:$D$143,MATCH($F413,自动规则!$B$4:$B$143,0)),"")&amp;""="","其他应付款",INDEX(自动规则!$D$4:$D$143,MATCH($F413,自动规则!$B$4:$B$143,0)))))))</f>
        <v/>
      </c>
      <c r="L413" s="43"/>
      <c r="M413" s="105" t="str">
        <f aca="false">IF($C413="","",IF(IFERROR(INDEX(科目表!$T$4:$T$123,MATCH($C413,科目表!$K$4:$K$123,0)),"")&amp;""="","其他货币资金",INDEX(科目表!$T$4:$T$123,MATCH($C413,科目表!$K$4:$K$123,0))))</f>
        <v/>
      </c>
      <c r="N413" s="39" t="str">
        <f aca="false">IF(OR($C413="",ROUND(N($H413)+N($I413),2)=0),"",IF(N($H413)&gt;0,$M413,$K413))</f>
        <v/>
      </c>
      <c r="O413" s="41" t="str">
        <f aca="false">IF($N413="","",ROUND(N($H413)+N($I413),2))</f>
        <v/>
      </c>
      <c r="P413" s="41" t="str">
        <f aca="false">IF($N413="","",0)</f>
        <v/>
      </c>
      <c r="Q413" s="39" t="str">
        <f aca="false">IF($N413="","",IF(N($H413)&gt;0,$K413,$M413))</f>
        <v/>
      </c>
      <c r="R413" s="41" t="str">
        <f aca="false">IF($Q413="","",0)</f>
        <v/>
      </c>
      <c r="S413" s="41" t="str">
        <f aca="false">IF($Q413="","",ROUND(N($H413)+N($I413),2))</f>
        <v/>
      </c>
      <c r="T413" s="42"/>
      <c r="U413" s="44"/>
      <c r="V413" s="41" t="str">
        <f aca="false">IF($B413="","",TEXT($B413,"yyyy年m月"))</f>
        <v/>
      </c>
      <c r="W413" s="42"/>
      <c r="X413" s="42"/>
      <c r="Y413" s="9"/>
    </row>
    <row r="414" customFormat="false" ht="18" hidden="false" customHeight="true" outlineLevel="0" collapsed="false">
      <c r="A414" s="9" t="str">
        <f aca="false">IF($C414="","",ROW()-3)</f>
        <v/>
      </c>
      <c r="B414" s="76"/>
      <c r="C414" s="74"/>
      <c r="D414" s="43"/>
      <c r="E414" s="42"/>
      <c r="F414" s="74"/>
      <c r="G414" s="74"/>
      <c r="H414" s="44"/>
      <c r="I414" s="44"/>
      <c r="J414" s="103" t="str">
        <f aca="false">IF($C414="","",ROUND(IFERROR(INDEX(期初余额!$I$4:$I$43,MATCH($C414,期初余额!$H$4:$H$43,0)),0)+SUMIFS($H$4:$H414,$C$4:$C414,$C414)-SUMIFS($I$4:$I414,$C$4:$C414,$C414),2))</f>
        <v/>
      </c>
      <c r="K414" s="104" t="str">
        <f aca="false">IF($T414&lt;&gt;"",$T414,IF($C414="","",IF(AND(N($I414)&gt;0,$G414&lt;&gt;""),IF(IFERROR(INDEX(科目表!$U$4:$U$123,MATCH($G414,科目表!$M$4:$M$123,0)),"")&amp;""="","管理费用",INDEX(科目表!$U$4:$U$123,MATCH($G414,科目表!$M$4:$M$123,0))),IF(N($H414)&gt;0,IF(IFERROR(INDEX(自动规则!$C$4:$C$143,MATCH($F414,自动规则!$B$4:$B$143,0)),"")&amp;""="","其他应收款",INDEX(自动规则!$C$4:$C$143,MATCH($F414,自动规则!$B$4:$B$143,0))),IF(IFERROR(INDEX(自动规则!$D$4:$D$143,MATCH($F414,自动规则!$B$4:$B$143,0)),"")&amp;""="","其他应付款",INDEX(自动规则!$D$4:$D$143,MATCH($F414,自动规则!$B$4:$B$143,0)))))))</f>
        <v/>
      </c>
      <c r="L414" s="43"/>
      <c r="M414" s="105" t="str">
        <f aca="false">IF($C414="","",IF(IFERROR(INDEX(科目表!$T$4:$T$123,MATCH($C414,科目表!$K$4:$K$123,0)),"")&amp;""="","其他货币资金",INDEX(科目表!$T$4:$T$123,MATCH($C414,科目表!$K$4:$K$123,0))))</f>
        <v/>
      </c>
      <c r="N414" s="39" t="str">
        <f aca="false">IF(OR($C414="",ROUND(N($H414)+N($I414),2)=0),"",IF(N($H414)&gt;0,$M414,$K414))</f>
        <v/>
      </c>
      <c r="O414" s="41" t="str">
        <f aca="false">IF($N414="","",ROUND(N($H414)+N($I414),2))</f>
        <v/>
      </c>
      <c r="P414" s="41" t="str">
        <f aca="false">IF($N414="","",0)</f>
        <v/>
      </c>
      <c r="Q414" s="39" t="str">
        <f aca="false">IF($N414="","",IF(N($H414)&gt;0,$K414,$M414))</f>
        <v/>
      </c>
      <c r="R414" s="41" t="str">
        <f aca="false">IF($Q414="","",0)</f>
        <v/>
      </c>
      <c r="S414" s="41" t="str">
        <f aca="false">IF($Q414="","",ROUND(N($H414)+N($I414),2))</f>
        <v/>
      </c>
      <c r="T414" s="42"/>
      <c r="U414" s="44"/>
      <c r="V414" s="41" t="str">
        <f aca="false">IF($B414="","",TEXT($B414,"yyyy年m月"))</f>
        <v/>
      </c>
      <c r="W414" s="42"/>
      <c r="X414" s="42"/>
      <c r="Y414" s="9"/>
    </row>
    <row r="415" customFormat="false" ht="18" hidden="false" customHeight="true" outlineLevel="0" collapsed="false">
      <c r="A415" s="9" t="str">
        <f aca="false">IF($C415="","",ROW()-3)</f>
        <v/>
      </c>
      <c r="B415" s="76"/>
      <c r="C415" s="74"/>
      <c r="D415" s="43"/>
      <c r="E415" s="42"/>
      <c r="F415" s="74"/>
      <c r="G415" s="74"/>
      <c r="H415" s="44"/>
      <c r="I415" s="44"/>
      <c r="J415" s="103" t="str">
        <f aca="false">IF($C415="","",ROUND(IFERROR(INDEX(期初余额!$I$4:$I$43,MATCH($C415,期初余额!$H$4:$H$43,0)),0)+SUMIFS($H$4:$H415,$C$4:$C415,$C415)-SUMIFS($I$4:$I415,$C$4:$C415,$C415),2))</f>
        <v/>
      </c>
      <c r="K415" s="104" t="str">
        <f aca="false">IF($T415&lt;&gt;"",$T415,IF($C415="","",IF(AND(N($I415)&gt;0,$G415&lt;&gt;""),IF(IFERROR(INDEX(科目表!$U$4:$U$123,MATCH($G415,科目表!$M$4:$M$123,0)),"")&amp;""="","管理费用",INDEX(科目表!$U$4:$U$123,MATCH($G415,科目表!$M$4:$M$123,0))),IF(N($H415)&gt;0,IF(IFERROR(INDEX(自动规则!$C$4:$C$143,MATCH($F415,自动规则!$B$4:$B$143,0)),"")&amp;""="","其他应收款",INDEX(自动规则!$C$4:$C$143,MATCH($F415,自动规则!$B$4:$B$143,0))),IF(IFERROR(INDEX(自动规则!$D$4:$D$143,MATCH($F415,自动规则!$B$4:$B$143,0)),"")&amp;""="","其他应付款",INDEX(自动规则!$D$4:$D$143,MATCH($F415,自动规则!$B$4:$B$143,0)))))))</f>
        <v/>
      </c>
      <c r="L415" s="43"/>
      <c r="M415" s="105" t="str">
        <f aca="false">IF($C415="","",IF(IFERROR(INDEX(科目表!$T$4:$T$123,MATCH($C415,科目表!$K$4:$K$123,0)),"")&amp;""="","其他货币资金",INDEX(科目表!$T$4:$T$123,MATCH($C415,科目表!$K$4:$K$123,0))))</f>
        <v/>
      </c>
      <c r="N415" s="39" t="str">
        <f aca="false">IF(OR($C415="",ROUND(N($H415)+N($I415),2)=0),"",IF(N($H415)&gt;0,$M415,$K415))</f>
        <v/>
      </c>
      <c r="O415" s="41" t="str">
        <f aca="false">IF($N415="","",ROUND(N($H415)+N($I415),2))</f>
        <v/>
      </c>
      <c r="P415" s="41" t="str">
        <f aca="false">IF($N415="","",0)</f>
        <v/>
      </c>
      <c r="Q415" s="39" t="str">
        <f aca="false">IF($N415="","",IF(N($H415)&gt;0,$K415,$M415))</f>
        <v/>
      </c>
      <c r="R415" s="41" t="str">
        <f aca="false">IF($Q415="","",0)</f>
        <v/>
      </c>
      <c r="S415" s="41" t="str">
        <f aca="false">IF($Q415="","",ROUND(N($H415)+N($I415),2))</f>
        <v/>
      </c>
      <c r="T415" s="42"/>
      <c r="U415" s="44"/>
      <c r="V415" s="41" t="str">
        <f aca="false">IF($B415="","",TEXT($B415,"yyyy年m月"))</f>
        <v/>
      </c>
      <c r="W415" s="42"/>
      <c r="X415" s="42"/>
      <c r="Y415" s="9"/>
    </row>
    <row r="416" customFormat="false" ht="18" hidden="false" customHeight="true" outlineLevel="0" collapsed="false">
      <c r="A416" s="9" t="str">
        <f aca="false">IF($C416="","",ROW()-3)</f>
        <v/>
      </c>
      <c r="B416" s="76"/>
      <c r="C416" s="74"/>
      <c r="D416" s="43"/>
      <c r="E416" s="42"/>
      <c r="F416" s="74"/>
      <c r="G416" s="74"/>
      <c r="H416" s="44"/>
      <c r="I416" s="44"/>
      <c r="J416" s="103" t="str">
        <f aca="false">IF($C416="","",ROUND(IFERROR(INDEX(期初余额!$I$4:$I$43,MATCH($C416,期初余额!$H$4:$H$43,0)),0)+SUMIFS($H$4:$H416,$C$4:$C416,$C416)-SUMIFS($I$4:$I416,$C$4:$C416,$C416),2))</f>
        <v/>
      </c>
      <c r="K416" s="104" t="str">
        <f aca="false">IF($T416&lt;&gt;"",$T416,IF($C416="","",IF(AND(N($I416)&gt;0,$G416&lt;&gt;""),IF(IFERROR(INDEX(科目表!$U$4:$U$123,MATCH($G416,科目表!$M$4:$M$123,0)),"")&amp;""="","管理费用",INDEX(科目表!$U$4:$U$123,MATCH($G416,科目表!$M$4:$M$123,0))),IF(N($H416)&gt;0,IF(IFERROR(INDEX(自动规则!$C$4:$C$143,MATCH($F416,自动规则!$B$4:$B$143,0)),"")&amp;""="","其他应收款",INDEX(自动规则!$C$4:$C$143,MATCH($F416,自动规则!$B$4:$B$143,0))),IF(IFERROR(INDEX(自动规则!$D$4:$D$143,MATCH($F416,自动规则!$B$4:$B$143,0)),"")&amp;""="","其他应付款",INDEX(自动规则!$D$4:$D$143,MATCH($F416,自动规则!$B$4:$B$143,0)))))))</f>
        <v/>
      </c>
      <c r="L416" s="43"/>
      <c r="M416" s="105" t="str">
        <f aca="false">IF($C416="","",IF(IFERROR(INDEX(科目表!$T$4:$T$123,MATCH($C416,科目表!$K$4:$K$123,0)),"")&amp;""="","其他货币资金",INDEX(科目表!$T$4:$T$123,MATCH($C416,科目表!$K$4:$K$123,0))))</f>
        <v/>
      </c>
      <c r="N416" s="39" t="str">
        <f aca="false">IF(OR($C416="",ROUND(N($H416)+N($I416),2)=0),"",IF(N($H416)&gt;0,$M416,$K416))</f>
        <v/>
      </c>
      <c r="O416" s="41" t="str">
        <f aca="false">IF($N416="","",ROUND(N($H416)+N($I416),2))</f>
        <v/>
      </c>
      <c r="P416" s="41" t="str">
        <f aca="false">IF($N416="","",0)</f>
        <v/>
      </c>
      <c r="Q416" s="39" t="str">
        <f aca="false">IF($N416="","",IF(N($H416)&gt;0,$K416,$M416))</f>
        <v/>
      </c>
      <c r="R416" s="41" t="str">
        <f aca="false">IF($Q416="","",0)</f>
        <v/>
      </c>
      <c r="S416" s="41" t="str">
        <f aca="false">IF($Q416="","",ROUND(N($H416)+N($I416),2))</f>
        <v/>
      </c>
      <c r="T416" s="42"/>
      <c r="U416" s="44"/>
      <c r="V416" s="41" t="str">
        <f aca="false">IF($B416="","",TEXT($B416,"yyyy年m月"))</f>
        <v/>
      </c>
      <c r="W416" s="42"/>
      <c r="X416" s="42"/>
      <c r="Y416" s="9"/>
    </row>
    <row r="417" customFormat="false" ht="18" hidden="false" customHeight="true" outlineLevel="0" collapsed="false">
      <c r="A417" s="9" t="str">
        <f aca="false">IF($C417="","",ROW()-3)</f>
        <v/>
      </c>
      <c r="B417" s="76"/>
      <c r="C417" s="74"/>
      <c r="D417" s="43"/>
      <c r="E417" s="42"/>
      <c r="F417" s="74"/>
      <c r="G417" s="74"/>
      <c r="H417" s="44"/>
      <c r="I417" s="44"/>
      <c r="J417" s="103" t="str">
        <f aca="false">IF($C417="","",ROUND(IFERROR(INDEX(期初余额!$I$4:$I$43,MATCH($C417,期初余额!$H$4:$H$43,0)),0)+SUMIFS($H$4:$H417,$C$4:$C417,$C417)-SUMIFS($I$4:$I417,$C$4:$C417,$C417),2))</f>
        <v/>
      </c>
      <c r="K417" s="104" t="str">
        <f aca="false">IF($T417&lt;&gt;"",$T417,IF($C417="","",IF(AND(N($I417)&gt;0,$G417&lt;&gt;""),IF(IFERROR(INDEX(科目表!$U$4:$U$123,MATCH($G417,科目表!$M$4:$M$123,0)),"")&amp;""="","管理费用",INDEX(科目表!$U$4:$U$123,MATCH($G417,科目表!$M$4:$M$123,0))),IF(N($H417)&gt;0,IF(IFERROR(INDEX(自动规则!$C$4:$C$143,MATCH($F417,自动规则!$B$4:$B$143,0)),"")&amp;""="","其他应收款",INDEX(自动规则!$C$4:$C$143,MATCH($F417,自动规则!$B$4:$B$143,0))),IF(IFERROR(INDEX(自动规则!$D$4:$D$143,MATCH($F417,自动规则!$B$4:$B$143,0)),"")&amp;""="","其他应付款",INDEX(自动规则!$D$4:$D$143,MATCH($F417,自动规则!$B$4:$B$143,0)))))))</f>
        <v/>
      </c>
      <c r="L417" s="43"/>
      <c r="M417" s="105" t="str">
        <f aca="false">IF($C417="","",IF(IFERROR(INDEX(科目表!$T$4:$T$123,MATCH($C417,科目表!$K$4:$K$123,0)),"")&amp;""="","其他货币资金",INDEX(科目表!$T$4:$T$123,MATCH($C417,科目表!$K$4:$K$123,0))))</f>
        <v/>
      </c>
      <c r="N417" s="39" t="str">
        <f aca="false">IF(OR($C417="",ROUND(N($H417)+N($I417),2)=0),"",IF(N($H417)&gt;0,$M417,$K417))</f>
        <v/>
      </c>
      <c r="O417" s="41" t="str">
        <f aca="false">IF($N417="","",ROUND(N($H417)+N($I417),2))</f>
        <v/>
      </c>
      <c r="P417" s="41" t="str">
        <f aca="false">IF($N417="","",0)</f>
        <v/>
      </c>
      <c r="Q417" s="39" t="str">
        <f aca="false">IF($N417="","",IF(N($H417)&gt;0,$K417,$M417))</f>
        <v/>
      </c>
      <c r="R417" s="41" t="str">
        <f aca="false">IF($Q417="","",0)</f>
        <v/>
      </c>
      <c r="S417" s="41" t="str">
        <f aca="false">IF($Q417="","",ROUND(N($H417)+N($I417),2))</f>
        <v/>
      </c>
      <c r="T417" s="42"/>
      <c r="U417" s="44"/>
      <c r="V417" s="41" t="str">
        <f aca="false">IF($B417="","",TEXT($B417,"yyyy年m月"))</f>
        <v/>
      </c>
      <c r="W417" s="42"/>
      <c r="X417" s="42"/>
      <c r="Y417" s="9"/>
    </row>
    <row r="418" customFormat="false" ht="18" hidden="false" customHeight="true" outlineLevel="0" collapsed="false">
      <c r="A418" s="9" t="str">
        <f aca="false">IF($C418="","",ROW()-3)</f>
        <v/>
      </c>
      <c r="B418" s="76"/>
      <c r="C418" s="74"/>
      <c r="D418" s="43"/>
      <c r="E418" s="42"/>
      <c r="F418" s="74"/>
      <c r="G418" s="74"/>
      <c r="H418" s="44"/>
      <c r="I418" s="44"/>
      <c r="J418" s="103" t="str">
        <f aca="false">IF($C418="","",ROUND(IFERROR(INDEX(期初余额!$I$4:$I$43,MATCH($C418,期初余额!$H$4:$H$43,0)),0)+SUMIFS($H$4:$H418,$C$4:$C418,$C418)-SUMIFS($I$4:$I418,$C$4:$C418,$C418),2))</f>
        <v/>
      </c>
      <c r="K418" s="104" t="str">
        <f aca="false">IF($T418&lt;&gt;"",$T418,IF($C418="","",IF(AND(N($I418)&gt;0,$G418&lt;&gt;""),IF(IFERROR(INDEX(科目表!$U$4:$U$123,MATCH($G418,科目表!$M$4:$M$123,0)),"")&amp;""="","管理费用",INDEX(科目表!$U$4:$U$123,MATCH($G418,科目表!$M$4:$M$123,0))),IF(N($H418)&gt;0,IF(IFERROR(INDEX(自动规则!$C$4:$C$143,MATCH($F418,自动规则!$B$4:$B$143,0)),"")&amp;""="","其他应收款",INDEX(自动规则!$C$4:$C$143,MATCH($F418,自动规则!$B$4:$B$143,0))),IF(IFERROR(INDEX(自动规则!$D$4:$D$143,MATCH($F418,自动规则!$B$4:$B$143,0)),"")&amp;""="","其他应付款",INDEX(自动规则!$D$4:$D$143,MATCH($F418,自动规则!$B$4:$B$143,0)))))))</f>
        <v/>
      </c>
      <c r="L418" s="43"/>
      <c r="M418" s="105" t="str">
        <f aca="false">IF($C418="","",IF(IFERROR(INDEX(科目表!$T$4:$T$123,MATCH($C418,科目表!$K$4:$K$123,0)),"")&amp;""="","其他货币资金",INDEX(科目表!$T$4:$T$123,MATCH($C418,科目表!$K$4:$K$123,0))))</f>
        <v/>
      </c>
      <c r="N418" s="39" t="str">
        <f aca="false">IF(OR($C418="",ROUND(N($H418)+N($I418),2)=0),"",IF(N($H418)&gt;0,$M418,$K418))</f>
        <v/>
      </c>
      <c r="O418" s="41" t="str">
        <f aca="false">IF($N418="","",ROUND(N($H418)+N($I418),2))</f>
        <v/>
      </c>
      <c r="P418" s="41" t="str">
        <f aca="false">IF($N418="","",0)</f>
        <v/>
      </c>
      <c r="Q418" s="39" t="str">
        <f aca="false">IF($N418="","",IF(N($H418)&gt;0,$K418,$M418))</f>
        <v/>
      </c>
      <c r="R418" s="41" t="str">
        <f aca="false">IF($Q418="","",0)</f>
        <v/>
      </c>
      <c r="S418" s="41" t="str">
        <f aca="false">IF($Q418="","",ROUND(N($H418)+N($I418),2))</f>
        <v/>
      </c>
      <c r="T418" s="42"/>
      <c r="U418" s="44"/>
      <c r="V418" s="41" t="str">
        <f aca="false">IF($B418="","",TEXT($B418,"yyyy年m月"))</f>
        <v/>
      </c>
      <c r="W418" s="42"/>
      <c r="X418" s="42"/>
      <c r="Y418" s="9"/>
    </row>
    <row r="419" customFormat="false" ht="18" hidden="false" customHeight="true" outlineLevel="0" collapsed="false">
      <c r="A419" s="9" t="str">
        <f aca="false">IF($C419="","",ROW()-3)</f>
        <v/>
      </c>
      <c r="B419" s="76"/>
      <c r="C419" s="74"/>
      <c r="D419" s="43"/>
      <c r="E419" s="42"/>
      <c r="F419" s="74"/>
      <c r="G419" s="74"/>
      <c r="H419" s="44"/>
      <c r="I419" s="44"/>
      <c r="J419" s="103" t="str">
        <f aca="false">IF($C419="","",ROUND(IFERROR(INDEX(期初余额!$I$4:$I$43,MATCH($C419,期初余额!$H$4:$H$43,0)),0)+SUMIFS($H$4:$H419,$C$4:$C419,$C419)-SUMIFS($I$4:$I419,$C$4:$C419,$C419),2))</f>
        <v/>
      </c>
      <c r="K419" s="104" t="str">
        <f aca="false">IF($T419&lt;&gt;"",$T419,IF($C419="","",IF(AND(N($I419)&gt;0,$G419&lt;&gt;""),IF(IFERROR(INDEX(科目表!$U$4:$U$123,MATCH($G419,科目表!$M$4:$M$123,0)),"")&amp;""="","管理费用",INDEX(科目表!$U$4:$U$123,MATCH($G419,科目表!$M$4:$M$123,0))),IF(N($H419)&gt;0,IF(IFERROR(INDEX(自动规则!$C$4:$C$143,MATCH($F419,自动规则!$B$4:$B$143,0)),"")&amp;""="","其他应收款",INDEX(自动规则!$C$4:$C$143,MATCH($F419,自动规则!$B$4:$B$143,0))),IF(IFERROR(INDEX(自动规则!$D$4:$D$143,MATCH($F419,自动规则!$B$4:$B$143,0)),"")&amp;""="","其他应付款",INDEX(自动规则!$D$4:$D$143,MATCH($F419,自动规则!$B$4:$B$143,0)))))))</f>
        <v/>
      </c>
      <c r="L419" s="43"/>
      <c r="M419" s="105" t="str">
        <f aca="false">IF($C419="","",IF(IFERROR(INDEX(科目表!$T$4:$T$123,MATCH($C419,科目表!$K$4:$K$123,0)),"")&amp;""="","其他货币资金",INDEX(科目表!$T$4:$T$123,MATCH($C419,科目表!$K$4:$K$123,0))))</f>
        <v/>
      </c>
      <c r="N419" s="39" t="str">
        <f aca="false">IF(OR($C419="",ROUND(N($H419)+N($I419),2)=0),"",IF(N($H419)&gt;0,$M419,$K419))</f>
        <v/>
      </c>
      <c r="O419" s="41" t="str">
        <f aca="false">IF($N419="","",ROUND(N($H419)+N($I419),2))</f>
        <v/>
      </c>
      <c r="P419" s="41" t="str">
        <f aca="false">IF($N419="","",0)</f>
        <v/>
      </c>
      <c r="Q419" s="39" t="str">
        <f aca="false">IF($N419="","",IF(N($H419)&gt;0,$K419,$M419))</f>
        <v/>
      </c>
      <c r="R419" s="41" t="str">
        <f aca="false">IF($Q419="","",0)</f>
        <v/>
      </c>
      <c r="S419" s="41" t="str">
        <f aca="false">IF($Q419="","",ROUND(N($H419)+N($I419),2))</f>
        <v/>
      </c>
      <c r="T419" s="42"/>
      <c r="U419" s="44"/>
      <c r="V419" s="41" t="str">
        <f aca="false">IF($B419="","",TEXT($B419,"yyyy年m月"))</f>
        <v/>
      </c>
      <c r="W419" s="42"/>
      <c r="X419" s="42"/>
      <c r="Y419" s="9"/>
    </row>
    <row r="420" customFormat="false" ht="18" hidden="false" customHeight="true" outlineLevel="0" collapsed="false">
      <c r="A420" s="9" t="str">
        <f aca="false">IF($C420="","",ROW()-3)</f>
        <v/>
      </c>
      <c r="B420" s="76"/>
      <c r="C420" s="74"/>
      <c r="D420" s="43"/>
      <c r="E420" s="42"/>
      <c r="F420" s="74"/>
      <c r="G420" s="74"/>
      <c r="H420" s="44"/>
      <c r="I420" s="44"/>
      <c r="J420" s="103" t="str">
        <f aca="false">IF($C420="","",ROUND(IFERROR(INDEX(期初余额!$I$4:$I$43,MATCH($C420,期初余额!$H$4:$H$43,0)),0)+SUMIFS($H$4:$H420,$C$4:$C420,$C420)-SUMIFS($I$4:$I420,$C$4:$C420,$C420),2))</f>
        <v/>
      </c>
      <c r="K420" s="104" t="str">
        <f aca="false">IF($T420&lt;&gt;"",$T420,IF($C420="","",IF(AND(N($I420)&gt;0,$G420&lt;&gt;""),IF(IFERROR(INDEX(科目表!$U$4:$U$123,MATCH($G420,科目表!$M$4:$M$123,0)),"")&amp;""="","管理费用",INDEX(科目表!$U$4:$U$123,MATCH($G420,科目表!$M$4:$M$123,0))),IF(N($H420)&gt;0,IF(IFERROR(INDEX(自动规则!$C$4:$C$143,MATCH($F420,自动规则!$B$4:$B$143,0)),"")&amp;""="","其他应收款",INDEX(自动规则!$C$4:$C$143,MATCH($F420,自动规则!$B$4:$B$143,0))),IF(IFERROR(INDEX(自动规则!$D$4:$D$143,MATCH($F420,自动规则!$B$4:$B$143,0)),"")&amp;""="","其他应付款",INDEX(自动规则!$D$4:$D$143,MATCH($F420,自动规则!$B$4:$B$143,0)))))))</f>
        <v/>
      </c>
      <c r="L420" s="43"/>
      <c r="M420" s="105" t="str">
        <f aca="false">IF($C420="","",IF(IFERROR(INDEX(科目表!$T$4:$T$123,MATCH($C420,科目表!$K$4:$K$123,0)),"")&amp;""="","其他货币资金",INDEX(科目表!$T$4:$T$123,MATCH($C420,科目表!$K$4:$K$123,0))))</f>
        <v/>
      </c>
      <c r="N420" s="39" t="str">
        <f aca="false">IF(OR($C420="",ROUND(N($H420)+N($I420),2)=0),"",IF(N($H420)&gt;0,$M420,$K420))</f>
        <v/>
      </c>
      <c r="O420" s="41" t="str">
        <f aca="false">IF($N420="","",ROUND(N($H420)+N($I420),2))</f>
        <v/>
      </c>
      <c r="P420" s="41" t="str">
        <f aca="false">IF($N420="","",0)</f>
        <v/>
      </c>
      <c r="Q420" s="39" t="str">
        <f aca="false">IF($N420="","",IF(N($H420)&gt;0,$K420,$M420))</f>
        <v/>
      </c>
      <c r="R420" s="41" t="str">
        <f aca="false">IF($Q420="","",0)</f>
        <v/>
      </c>
      <c r="S420" s="41" t="str">
        <f aca="false">IF($Q420="","",ROUND(N($H420)+N($I420),2))</f>
        <v/>
      </c>
      <c r="T420" s="42"/>
      <c r="U420" s="44"/>
      <c r="V420" s="41" t="str">
        <f aca="false">IF($B420="","",TEXT($B420,"yyyy年m月"))</f>
        <v/>
      </c>
      <c r="W420" s="42"/>
      <c r="X420" s="42"/>
      <c r="Y420" s="9"/>
    </row>
    <row r="421" customFormat="false" ht="18" hidden="false" customHeight="true" outlineLevel="0" collapsed="false">
      <c r="A421" s="9" t="str">
        <f aca="false">IF($C421="","",ROW()-3)</f>
        <v/>
      </c>
      <c r="B421" s="76"/>
      <c r="C421" s="74"/>
      <c r="D421" s="43"/>
      <c r="E421" s="42"/>
      <c r="F421" s="74"/>
      <c r="G421" s="74"/>
      <c r="H421" s="44"/>
      <c r="I421" s="44"/>
      <c r="J421" s="103" t="str">
        <f aca="false">IF($C421="","",ROUND(IFERROR(INDEX(期初余额!$I$4:$I$43,MATCH($C421,期初余额!$H$4:$H$43,0)),0)+SUMIFS($H$4:$H421,$C$4:$C421,$C421)-SUMIFS($I$4:$I421,$C$4:$C421,$C421),2))</f>
        <v/>
      </c>
      <c r="K421" s="104" t="str">
        <f aca="false">IF($T421&lt;&gt;"",$T421,IF($C421="","",IF(AND(N($I421)&gt;0,$G421&lt;&gt;""),IF(IFERROR(INDEX(科目表!$U$4:$U$123,MATCH($G421,科目表!$M$4:$M$123,0)),"")&amp;""="","管理费用",INDEX(科目表!$U$4:$U$123,MATCH($G421,科目表!$M$4:$M$123,0))),IF(N($H421)&gt;0,IF(IFERROR(INDEX(自动规则!$C$4:$C$143,MATCH($F421,自动规则!$B$4:$B$143,0)),"")&amp;""="","其他应收款",INDEX(自动规则!$C$4:$C$143,MATCH($F421,自动规则!$B$4:$B$143,0))),IF(IFERROR(INDEX(自动规则!$D$4:$D$143,MATCH($F421,自动规则!$B$4:$B$143,0)),"")&amp;""="","其他应付款",INDEX(自动规则!$D$4:$D$143,MATCH($F421,自动规则!$B$4:$B$143,0)))))))</f>
        <v/>
      </c>
      <c r="L421" s="43"/>
      <c r="M421" s="105" t="str">
        <f aca="false">IF($C421="","",IF(IFERROR(INDEX(科目表!$T$4:$T$123,MATCH($C421,科目表!$K$4:$K$123,0)),"")&amp;""="","其他货币资金",INDEX(科目表!$T$4:$T$123,MATCH($C421,科目表!$K$4:$K$123,0))))</f>
        <v/>
      </c>
      <c r="N421" s="39" t="str">
        <f aca="false">IF(OR($C421="",ROUND(N($H421)+N($I421),2)=0),"",IF(N($H421)&gt;0,$M421,$K421))</f>
        <v/>
      </c>
      <c r="O421" s="41" t="str">
        <f aca="false">IF($N421="","",ROUND(N($H421)+N($I421),2))</f>
        <v/>
      </c>
      <c r="P421" s="41" t="str">
        <f aca="false">IF($N421="","",0)</f>
        <v/>
      </c>
      <c r="Q421" s="39" t="str">
        <f aca="false">IF($N421="","",IF(N($H421)&gt;0,$K421,$M421))</f>
        <v/>
      </c>
      <c r="R421" s="41" t="str">
        <f aca="false">IF($Q421="","",0)</f>
        <v/>
      </c>
      <c r="S421" s="41" t="str">
        <f aca="false">IF($Q421="","",ROUND(N($H421)+N($I421),2))</f>
        <v/>
      </c>
      <c r="T421" s="42"/>
      <c r="U421" s="44"/>
      <c r="V421" s="41" t="str">
        <f aca="false">IF($B421="","",TEXT($B421,"yyyy年m月"))</f>
        <v/>
      </c>
      <c r="W421" s="42"/>
      <c r="X421" s="42"/>
      <c r="Y421" s="9"/>
    </row>
    <row r="422" customFormat="false" ht="18" hidden="false" customHeight="true" outlineLevel="0" collapsed="false">
      <c r="A422" s="9" t="str">
        <f aca="false">IF($C422="","",ROW()-3)</f>
        <v/>
      </c>
      <c r="B422" s="76"/>
      <c r="C422" s="74"/>
      <c r="D422" s="43"/>
      <c r="E422" s="42"/>
      <c r="F422" s="74"/>
      <c r="G422" s="74"/>
      <c r="H422" s="44"/>
      <c r="I422" s="44"/>
      <c r="J422" s="103" t="str">
        <f aca="false">IF($C422="","",ROUND(IFERROR(INDEX(期初余额!$I$4:$I$43,MATCH($C422,期初余额!$H$4:$H$43,0)),0)+SUMIFS($H$4:$H422,$C$4:$C422,$C422)-SUMIFS($I$4:$I422,$C$4:$C422,$C422),2))</f>
        <v/>
      </c>
      <c r="K422" s="104" t="str">
        <f aca="false">IF($T422&lt;&gt;"",$T422,IF($C422="","",IF(AND(N($I422)&gt;0,$G422&lt;&gt;""),IF(IFERROR(INDEX(科目表!$U$4:$U$123,MATCH($G422,科目表!$M$4:$M$123,0)),"")&amp;""="","管理费用",INDEX(科目表!$U$4:$U$123,MATCH($G422,科目表!$M$4:$M$123,0))),IF(N($H422)&gt;0,IF(IFERROR(INDEX(自动规则!$C$4:$C$143,MATCH($F422,自动规则!$B$4:$B$143,0)),"")&amp;""="","其他应收款",INDEX(自动规则!$C$4:$C$143,MATCH($F422,自动规则!$B$4:$B$143,0))),IF(IFERROR(INDEX(自动规则!$D$4:$D$143,MATCH($F422,自动规则!$B$4:$B$143,0)),"")&amp;""="","其他应付款",INDEX(自动规则!$D$4:$D$143,MATCH($F422,自动规则!$B$4:$B$143,0)))))))</f>
        <v/>
      </c>
      <c r="L422" s="43"/>
      <c r="M422" s="105" t="str">
        <f aca="false">IF($C422="","",IF(IFERROR(INDEX(科目表!$T$4:$T$123,MATCH($C422,科目表!$K$4:$K$123,0)),"")&amp;""="","其他货币资金",INDEX(科目表!$T$4:$T$123,MATCH($C422,科目表!$K$4:$K$123,0))))</f>
        <v/>
      </c>
      <c r="N422" s="39" t="str">
        <f aca="false">IF(OR($C422="",ROUND(N($H422)+N($I422),2)=0),"",IF(N($H422)&gt;0,$M422,$K422))</f>
        <v/>
      </c>
      <c r="O422" s="41" t="str">
        <f aca="false">IF($N422="","",ROUND(N($H422)+N($I422),2))</f>
        <v/>
      </c>
      <c r="P422" s="41" t="str">
        <f aca="false">IF($N422="","",0)</f>
        <v/>
      </c>
      <c r="Q422" s="39" t="str">
        <f aca="false">IF($N422="","",IF(N($H422)&gt;0,$K422,$M422))</f>
        <v/>
      </c>
      <c r="R422" s="41" t="str">
        <f aca="false">IF($Q422="","",0)</f>
        <v/>
      </c>
      <c r="S422" s="41" t="str">
        <f aca="false">IF($Q422="","",ROUND(N($H422)+N($I422),2))</f>
        <v/>
      </c>
      <c r="T422" s="42"/>
      <c r="U422" s="44"/>
      <c r="V422" s="41" t="str">
        <f aca="false">IF($B422="","",TEXT($B422,"yyyy年m月"))</f>
        <v/>
      </c>
      <c r="W422" s="42"/>
      <c r="X422" s="42"/>
      <c r="Y422" s="9"/>
    </row>
    <row r="423" customFormat="false" ht="18" hidden="false" customHeight="true" outlineLevel="0" collapsed="false">
      <c r="A423" s="9" t="str">
        <f aca="false">IF($C423="","",ROW()-3)</f>
        <v/>
      </c>
      <c r="B423" s="76"/>
      <c r="C423" s="74"/>
      <c r="D423" s="43"/>
      <c r="E423" s="42"/>
      <c r="F423" s="74"/>
      <c r="G423" s="74"/>
      <c r="H423" s="44"/>
      <c r="I423" s="44"/>
      <c r="J423" s="103" t="str">
        <f aca="false">IF($C423="","",ROUND(IFERROR(INDEX(期初余额!$I$4:$I$43,MATCH($C423,期初余额!$H$4:$H$43,0)),0)+SUMIFS($H$4:$H423,$C$4:$C423,$C423)-SUMIFS($I$4:$I423,$C$4:$C423,$C423),2))</f>
        <v/>
      </c>
      <c r="K423" s="104" t="str">
        <f aca="false">IF($T423&lt;&gt;"",$T423,IF($C423="","",IF(AND(N($I423)&gt;0,$G423&lt;&gt;""),IF(IFERROR(INDEX(科目表!$U$4:$U$123,MATCH($G423,科目表!$M$4:$M$123,0)),"")&amp;""="","管理费用",INDEX(科目表!$U$4:$U$123,MATCH($G423,科目表!$M$4:$M$123,0))),IF(N($H423)&gt;0,IF(IFERROR(INDEX(自动规则!$C$4:$C$143,MATCH($F423,自动规则!$B$4:$B$143,0)),"")&amp;""="","其他应收款",INDEX(自动规则!$C$4:$C$143,MATCH($F423,自动规则!$B$4:$B$143,0))),IF(IFERROR(INDEX(自动规则!$D$4:$D$143,MATCH($F423,自动规则!$B$4:$B$143,0)),"")&amp;""="","其他应付款",INDEX(自动规则!$D$4:$D$143,MATCH($F423,自动规则!$B$4:$B$143,0)))))))</f>
        <v/>
      </c>
      <c r="L423" s="43"/>
      <c r="M423" s="105" t="str">
        <f aca="false">IF($C423="","",IF(IFERROR(INDEX(科目表!$T$4:$T$123,MATCH($C423,科目表!$K$4:$K$123,0)),"")&amp;""="","其他货币资金",INDEX(科目表!$T$4:$T$123,MATCH($C423,科目表!$K$4:$K$123,0))))</f>
        <v/>
      </c>
      <c r="N423" s="39" t="str">
        <f aca="false">IF(OR($C423="",ROUND(N($H423)+N($I423),2)=0),"",IF(N($H423)&gt;0,$M423,$K423))</f>
        <v/>
      </c>
      <c r="O423" s="41" t="str">
        <f aca="false">IF($N423="","",ROUND(N($H423)+N($I423),2))</f>
        <v/>
      </c>
      <c r="P423" s="41" t="str">
        <f aca="false">IF($N423="","",0)</f>
        <v/>
      </c>
      <c r="Q423" s="39" t="str">
        <f aca="false">IF($N423="","",IF(N($H423)&gt;0,$K423,$M423))</f>
        <v/>
      </c>
      <c r="R423" s="41" t="str">
        <f aca="false">IF($Q423="","",0)</f>
        <v/>
      </c>
      <c r="S423" s="41" t="str">
        <f aca="false">IF($Q423="","",ROUND(N($H423)+N($I423),2))</f>
        <v/>
      </c>
      <c r="T423" s="42"/>
      <c r="U423" s="44"/>
      <c r="V423" s="41" t="str">
        <f aca="false">IF($B423="","",TEXT($B423,"yyyy年m月"))</f>
        <v/>
      </c>
      <c r="W423" s="42"/>
      <c r="X423" s="42"/>
      <c r="Y423" s="9"/>
    </row>
    <row r="424" customFormat="false" ht="18" hidden="false" customHeight="true" outlineLevel="0" collapsed="false">
      <c r="A424" s="9" t="str">
        <f aca="false">IF($C424="","",ROW()-3)</f>
        <v/>
      </c>
      <c r="B424" s="76"/>
      <c r="C424" s="74"/>
      <c r="D424" s="43"/>
      <c r="E424" s="42"/>
      <c r="F424" s="74"/>
      <c r="G424" s="74"/>
      <c r="H424" s="44"/>
      <c r="I424" s="44"/>
      <c r="J424" s="103" t="str">
        <f aca="false">IF($C424="","",ROUND(IFERROR(INDEX(期初余额!$I$4:$I$43,MATCH($C424,期初余额!$H$4:$H$43,0)),0)+SUMIFS($H$4:$H424,$C$4:$C424,$C424)-SUMIFS($I$4:$I424,$C$4:$C424,$C424),2))</f>
        <v/>
      </c>
      <c r="K424" s="104" t="str">
        <f aca="false">IF($T424&lt;&gt;"",$T424,IF($C424="","",IF(AND(N($I424)&gt;0,$G424&lt;&gt;""),IF(IFERROR(INDEX(科目表!$U$4:$U$123,MATCH($G424,科目表!$M$4:$M$123,0)),"")&amp;""="","管理费用",INDEX(科目表!$U$4:$U$123,MATCH($G424,科目表!$M$4:$M$123,0))),IF(N($H424)&gt;0,IF(IFERROR(INDEX(自动规则!$C$4:$C$143,MATCH($F424,自动规则!$B$4:$B$143,0)),"")&amp;""="","其他应收款",INDEX(自动规则!$C$4:$C$143,MATCH($F424,自动规则!$B$4:$B$143,0))),IF(IFERROR(INDEX(自动规则!$D$4:$D$143,MATCH($F424,自动规则!$B$4:$B$143,0)),"")&amp;""="","其他应付款",INDEX(自动规则!$D$4:$D$143,MATCH($F424,自动规则!$B$4:$B$143,0)))))))</f>
        <v/>
      </c>
      <c r="L424" s="43"/>
      <c r="M424" s="105" t="str">
        <f aca="false">IF($C424="","",IF(IFERROR(INDEX(科目表!$T$4:$T$123,MATCH($C424,科目表!$K$4:$K$123,0)),"")&amp;""="","其他货币资金",INDEX(科目表!$T$4:$T$123,MATCH($C424,科目表!$K$4:$K$123,0))))</f>
        <v/>
      </c>
      <c r="N424" s="39" t="str">
        <f aca="false">IF(OR($C424="",ROUND(N($H424)+N($I424),2)=0),"",IF(N($H424)&gt;0,$M424,$K424))</f>
        <v/>
      </c>
      <c r="O424" s="41" t="str">
        <f aca="false">IF($N424="","",ROUND(N($H424)+N($I424),2))</f>
        <v/>
      </c>
      <c r="P424" s="41" t="str">
        <f aca="false">IF($N424="","",0)</f>
        <v/>
      </c>
      <c r="Q424" s="39" t="str">
        <f aca="false">IF($N424="","",IF(N($H424)&gt;0,$K424,$M424))</f>
        <v/>
      </c>
      <c r="R424" s="41" t="str">
        <f aca="false">IF($Q424="","",0)</f>
        <v/>
      </c>
      <c r="S424" s="41" t="str">
        <f aca="false">IF($Q424="","",ROUND(N($H424)+N($I424),2))</f>
        <v/>
      </c>
      <c r="T424" s="42"/>
      <c r="U424" s="44"/>
      <c r="V424" s="41" t="str">
        <f aca="false">IF($B424="","",TEXT($B424,"yyyy年m月"))</f>
        <v/>
      </c>
      <c r="W424" s="42"/>
      <c r="X424" s="42"/>
      <c r="Y424" s="9"/>
    </row>
    <row r="425" customFormat="false" ht="18" hidden="false" customHeight="true" outlineLevel="0" collapsed="false">
      <c r="A425" s="9" t="str">
        <f aca="false">IF($C425="","",ROW()-3)</f>
        <v/>
      </c>
      <c r="B425" s="76"/>
      <c r="C425" s="74"/>
      <c r="D425" s="43"/>
      <c r="E425" s="42"/>
      <c r="F425" s="74"/>
      <c r="G425" s="74"/>
      <c r="H425" s="44"/>
      <c r="I425" s="44"/>
      <c r="J425" s="103" t="str">
        <f aca="false">IF($C425="","",ROUND(IFERROR(INDEX(期初余额!$I$4:$I$43,MATCH($C425,期初余额!$H$4:$H$43,0)),0)+SUMIFS($H$4:$H425,$C$4:$C425,$C425)-SUMIFS($I$4:$I425,$C$4:$C425,$C425),2))</f>
        <v/>
      </c>
      <c r="K425" s="104" t="str">
        <f aca="false">IF($T425&lt;&gt;"",$T425,IF($C425="","",IF(AND(N($I425)&gt;0,$G425&lt;&gt;""),IF(IFERROR(INDEX(科目表!$U$4:$U$123,MATCH($G425,科目表!$M$4:$M$123,0)),"")&amp;""="","管理费用",INDEX(科目表!$U$4:$U$123,MATCH($G425,科目表!$M$4:$M$123,0))),IF(N($H425)&gt;0,IF(IFERROR(INDEX(自动规则!$C$4:$C$143,MATCH($F425,自动规则!$B$4:$B$143,0)),"")&amp;""="","其他应收款",INDEX(自动规则!$C$4:$C$143,MATCH($F425,自动规则!$B$4:$B$143,0))),IF(IFERROR(INDEX(自动规则!$D$4:$D$143,MATCH($F425,自动规则!$B$4:$B$143,0)),"")&amp;""="","其他应付款",INDEX(自动规则!$D$4:$D$143,MATCH($F425,自动规则!$B$4:$B$143,0)))))))</f>
        <v/>
      </c>
      <c r="L425" s="43"/>
      <c r="M425" s="105" t="str">
        <f aca="false">IF($C425="","",IF(IFERROR(INDEX(科目表!$T$4:$T$123,MATCH($C425,科目表!$K$4:$K$123,0)),"")&amp;""="","其他货币资金",INDEX(科目表!$T$4:$T$123,MATCH($C425,科目表!$K$4:$K$123,0))))</f>
        <v/>
      </c>
      <c r="N425" s="39" t="str">
        <f aca="false">IF(OR($C425="",ROUND(N($H425)+N($I425),2)=0),"",IF(N($H425)&gt;0,$M425,$K425))</f>
        <v/>
      </c>
      <c r="O425" s="41" t="str">
        <f aca="false">IF($N425="","",ROUND(N($H425)+N($I425),2))</f>
        <v/>
      </c>
      <c r="P425" s="41" t="str">
        <f aca="false">IF($N425="","",0)</f>
        <v/>
      </c>
      <c r="Q425" s="39" t="str">
        <f aca="false">IF($N425="","",IF(N($H425)&gt;0,$K425,$M425))</f>
        <v/>
      </c>
      <c r="R425" s="41" t="str">
        <f aca="false">IF($Q425="","",0)</f>
        <v/>
      </c>
      <c r="S425" s="41" t="str">
        <f aca="false">IF($Q425="","",ROUND(N($H425)+N($I425),2))</f>
        <v/>
      </c>
      <c r="T425" s="42"/>
      <c r="U425" s="44"/>
      <c r="V425" s="41" t="str">
        <f aca="false">IF($B425="","",TEXT($B425,"yyyy年m月"))</f>
        <v/>
      </c>
      <c r="W425" s="42"/>
      <c r="X425" s="42"/>
      <c r="Y425" s="9"/>
    </row>
    <row r="426" customFormat="false" ht="18" hidden="false" customHeight="true" outlineLevel="0" collapsed="false">
      <c r="A426" s="9" t="str">
        <f aca="false">IF($C426="","",ROW()-3)</f>
        <v/>
      </c>
      <c r="B426" s="76"/>
      <c r="C426" s="74"/>
      <c r="D426" s="43"/>
      <c r="E426" s="42"/>
      <c r="F426" s="74"/>
      <c r="G426" s="74"/>
      <c r="H426" s="44"/>
      <c r="I426" s="44"/>
      <c r="J426" s="103" t="str">
        <f aca="false">IF($C426="","",ROUND(IFERROR(INDEX(期初余额!$I$4:$I$43,MATCH($C426,期初余额!$H$4:$H$43,0)),0)+SUMIFS($H$4:$H426,$C$4:$C426,$C426)-SUMIFS($I$4:$I426,$C$4:$C426,$C426),2))</f>
        <v/>
      </c>
      <c r="K426" s="104" t="str">
        <f aca="false">IF($T426&lt;&gt;"",$T426,IF($C426="","",IF(AND(N($I426)&gt;0,$G426&lt;&gt;""),IF(IFERROR(INDEX(科目表!$U$4:$U$123,MATCH($G426,科目表!$M$4:$M$123,0)),"")&amp;""="","管理费用",INDEX(科目表!$U$4:$U$123,MATCH($G426,科目表!$M$4:$M$123,0))),IF(N($H426)&gt;0,IF(IFERROR(INDEX(自动规则!$C$4:$C$143,MATCH($F426,自动规则!$B$4:$B$143,0)),"")&amp;""="","其他应收款",INDEX(自动规则!$C$4:$C$143,MATCH($F426,自动规则!$B$4:$B$143,0))),IF(IFERROR(INDEX(自动规则!$D$4:$D$143,MATCH($F426,自动规则!$B$4:$B$143,0)),"")&amp;""="","其他应付款",INDEX(自动规则!$D$4:$D$143,MATCH($F426,自动规则!$B$4:$B$143,0)))))))</f>
        <v/>
      </c>
      <c r="L426" s="43"/>
      <c r="M426" s="105" t="str">
        <f aca="false">IF($C426="","",IF(IFERROR(INDEX(科目表!$T$4:$T$123,MATCH($C426,科目表!$K$4:$K$123,0)),"")&amp;""="","其他货币资金",INDEX(科目表!$T$4:$T$123,MATCH($C426,科目表!$K$4:$K$123,0))))</f>
        <v/>
      </c>
      <c r="N426" s="39" t="str">
        <f aca="false">IF(OR($C426="",ROUND(N($H426)+N($I426),2)=0),"",IF(N($H426)&gt;0,$M426,$K426))</f>
        <v/>
      </c>
      <c r="O426" s="41" t="str">
        <f aca="false">IF($N426="","",ROUND(N($H426)+N($I426),2))</f>
        <v/>
      </c>
      <c r="P426" s="41" t="str">
        <f aca="false">IF($N426="","",0)</f>
        <v/>
      </c>
      <c r="Q426" s="39" t="str">
        <f aca="false">IF($N426="","",IF(N($H426)&gt;0,$K426,$M426))</f>
        <v/>
      </c>
      <c r="R426" s="41" t="str">
        <f aca="false">IF($Q426="","",0)</f>
        <v/>
      </c>
      <c r="S426" s="41" t="str">
        <f aca="false">IF($Q426="","",ROUND(N($H426)+N($I426),2))</f>
        <v/>
      </c>
      <c r="T426" s="42"/>
      <c r="U426" s="44"/>
      <c r="V426" s="41" t="str">
        <f aca="false">IF($B426="","",TEXT($B426,"yyyy年m月"))</f>
        <v/>
      </c>
      <c r="W426" s="42"/>
      <c r="X426" s="42"/>
      <c r="Y426" s="9"/>
    </row>
    <row r="427" customFormat="false" ht="18" hidden="false" customHeight="true" outlineLevel="0" collapsed="false">
      <c r="A427" s="9" t="str">
        <f aca="false">IF($C427="","",ROW()-3)</f>
        <v/>
      </c>
      <c r="B427" s="76"/>
      <c r="C427" s="74"/>
      <c r="D427" s="43"/>
      <c r="E427" s="42"/>
      <c r="F427" s="74"/>
      <c r="G427" s="74"/>
      <c r="H427" s="44"/>
      <c r="I427" s="44"/>
      <c r="J427" s="103" t="str">
        <f aca="false">IF($C427="","",ROUND(IFERROR(INDEX(期初余额!$I$4:$I$43,MATCH($C427,期初余额!$H$4:$H$43,0)),0)+SUMIFS($H$4:$H427,$C$4:$C427,$C427)-SUMIFS($I$4:$I427,$C$4:$C427,$C427),2))</f>
        <v/>
      </c>
      <c r="K427" s="104" t="str">
        <f aca="false">IF($T427&lt;&gt;"",$T427,IF($C427="","",IF(AND(N($I427)&gt;0,$G427&lt;&gt;""),IF(IFERROR(INDEX(科目表!$U$4:$U$123,MATCH($G427,科目表!$M$4:$M$123,0)),"")&amp;""="","管理费用",INDEX(科目表!$U$4:$U$123,MATCH($G427,科目表!$M$4:$M$123,0))),IF(N($H427)&gt;0,IF(IFERROR(INDEX(自动规则!$C$4:$C$143,MATCH($F427,自动规则!$B$4:$B$143,0)),"")&amp;""="","其他应收款",INDEX(自动规则!$C$4:$C$143,MATCH($F427,自动规则!$B$4:$B$143,0))),IF(IFERROR(INDEX(自动规则!$D$4:$D$143,MATCH($F427,自动规则!$B$4:$B$143,0)),"")&amp;""="","其他应付款",INDEX(自动规则!$D$4:$D$143,MATCH($F427,自动规则!$B$4:$B$143,0)))))))</f>
        <v/>
      </c>
      <c r="L427" s="43"/>
      <c r="M427" s="105" t="str">
        <f aca="false">IF($C427="","",IF(IFERROR(INDEX(科目表!$T$4:$T$123,MATCH($C427,科目表!$K$4:$K$123,0)),"")&amp;""="","其他货币资金",INDEX(科目表!$T$4:$T$123,MATCH($C427,科目表!$K$4:$K$123,0))))</f>
        <v/>
      </c>
      <c r="N427" s="39" t="str">
        <f aca="false">IF(OR($C427="",ROUND(N($H427)+N($I427),2)=0),"",IF(N($H427)&gt;0,$M427,$K427))</f>
        <v/>
      </c>
      <c r="O427" s="41" t="str">
        <f aca="false">IF($N427="","",ROUND(N($H427)+N($I427),2))</f>
        <v/>
      </c>
      <c r="P427" s="41" t="str">
        <f aca="false">IF($N427="","",0)</f>
        <v/>
      </c>
      <c r="Q427" s="39" t="str">
        <f aca="false">IF($N427="","",IF(N($H427)&gt;0,$K427,$M427))</f>
        <v/>
      </c>
      <c r="R427" s="41" t="str">
        <f aca="false">IF($Q427="","",0)</f>
        <v/>
      </c>
      <c r="S427" s="41" t="str">
        <f aca="false">IF($Q427="","",ROUND(N($H427)+N($I427),2))</f>
        <v/>
      </c>
      <c r="T427" s="42"/>
      <c r="U427" s="44"/>
      <c r="V427" s="41" t="str">
        <f aca="false">IF($B427="","",TEXT($B427,"yyyy年m月"))</f>
        <v/>
      </c>
      <c r="W427" s="42"/>
      <c r="X427" s="42"/>
      <c r="Y427" s="9"/>
    </row>
    <row r="428" customFormat="false" ht="18" hidden="false" customHeight="true" outlineLevel="0" collapsed="false">
      <c r="A428" s="9" t="str">
        <f aca="false">IF($C428="","",ROW()-3)</f>
        <v/>
      </c>
      <c r="B428" s="76"/>
      <c r="C428" s="74"/>
      <c r="D428" s="43"/>
      <c r="E428" s="42"/>
      <c r="F428" s="74"/>
      <c r="G428" s="74"/>
      <c r="H428" s="44"/>
      <c r="I428" s="44"/>
      <c r="J428" s="103" t="str">
        <f aca="false">IF($C428="","",ROUND(IFERROR(INDEX(期初余额!$I$4:$I$43,MATCH($C428,期初余额!$H$4:$H$43,0)),0)+SUMIFS($H$4:$H428,$C$4:$C428,$C428)-SUMIFS($I$4:$I428,$C$4:$C428,$C428),2))</f>
        <v/>
      </c>
      <c r="K428" s="104" t="str">
        <f aca="false">IF($T428&lt;&gt;"",$T428,IF($C428="","",IF(AND(N($I428)&gt;0,$G428&lt;&gt;""),IF(IFERROR(INDEX(科目表!$U$4:$U$123,MATCH($G428,科目表!$M$4:$M$123,0)),"")&amp;""="","管理费用",INDEX(科目表!$U$4:$U$123,MATCH($G428,科目表!$M$4:$M$123,0))),IF(N($H428)&gt;0,IF(IFERROR(INDEX(自动规则!$C$4:$C$143,MATCH($F428,自动规则!$B$4:$B$143,0)),"")&amp;""="","其他应收款",INDEX(自动规则!$C$4:$C$143,MATCH($F428,自动规则!$B$4:$B$143,0))),IF(IFERROR(INDEX(自动规则!$D$4:$D$143,MATCH($F428,自动规则!$B$4:$B$143,0)),"")&amp;""="","其他应付款",INDEX(自动规则!$D$4:$D$143,MATCH($F428,自动规则!$B$4:$B$143,0)))))))</f>
        <v/>
      </c>
      <c r="L428" s="43"/>
      <c r="M428" s="105" t="str">
        <f aca="false">IF($C428="","",IF(IFERROR(INDEX(科目表!$T$4:$T$123,MATCH($C428,科目表!$K$4:$K$123,0)),"")&amp;""="","其他货币资金",INDEX(科目表!$T$4:$T$123,MATCH($C428,科目表!$K$4:$K$123,0))))</f>
        <v/>
      </c>
      <c r="N428" s="39" t="str">
        <f aca="false">IF(OR($C428="",ROUND(N($H428)+N($I428),2)=0),"",IF(N($H428)&gt;0,$M428,$K428))</f>
        <v/>
      </c>
      <c r="O428" s="41" t="str">
        <f aca="false">IF($N428="","",ROUND(N($H428)+N($I428),2))</f>
        <v/>
      </c>
      <c r="P428" s="41" t="str">
        <f aca="false">IF($N428="","",0)</f>
        <v/>
      </c>
      <c r="Q428" s="39" t="str">
        <f aca="false">IF($N428="","",IF(N($H428)&gt;0,$K428,$M428))</f>
        <v/>
      </c>
      <c r="R428" s="41" t="str">
        <f aca="false">IF($Q428="","",0)</f>
        <v/>
      </c>
      <c r="S428" s="41" t="str">
        <f aca="false">IF($Q428="","",ROUND(N($H428)+N($I428),2))</f>
        <v/>
      </c>
      <c r="T428" s="42"/>
      <c r="U428" s="44"/>
      <c r="V428" s="41" t="str">
        <f aca="false">IF($B428="","",TEXT($B428,"yyyy年m月"))</f>
        <v/>
      </c>
      <c r="W428" s="42"/>
      <c r="X428" s="42"/>
      <c r="Y428" s="9"/>
    </row>
    <row r="429" customFormat="false" ht="18" hidden="false" customHeight="true" outlineLevel="0" collapsed="false">
      <c r="A429" s="9" t="str">
        <f aca="false">IF($C429="","",ROW()-3)</f>
        <v/>
      </c>
      <c r="B429" s="76"/>
      <c r="C429" s="74"/>
      <c r="D429" s="43"/>
      <c r="E429" s="42"/>
      <c r="F429" s="74"/>
      <c r="G429" s="74"/>
      <c r="H429" s="44"/>
      <c r="I429" s="44"/>
      <c r="J429" s="103" t="str">
        <f aca="false">IF($C429="","",ROUND(IFERROR(INDEX(期初余额!$I$4:$I$43,MATCH($C429,期初余额!$H$4:$H$43,0)),0)+SUMIFS($H$4:$H429,$C$4:$C429,$C429)-SUMIFS($I$4:$I429,$C$4:$C429,$C429),2))</f>
        <v/>
      </c>
      <c r="K429" s="104" t="str">
        <f aca="false">IF($T429&lt;&gt;"",$T429,IF($C429="","",IF(AND(N($I429)&gt;0,$G429&lt;&gt;""),IF(IFERROR(INDEX(科目表!$U$4:$U$123,MATCH($G429,科目表!$M$4:$M$123,0)),"")&amp;""="","管理费用",INDEX(科目表!$U$4:$U$123,MATCH($G429,科目表!$M$4:$M$123,0))),IF(N($H429)&gt;0,IF(IFERROR(INDEX(自动规则!$C$4:$C$143,MATCH($F429,自动规则!$B$4:$B$143,0)),"")&amp;""="","其他应收款",INDEX(自动规则!$C$4:$C$143,MATCH($F429,自动规则!$B$4:$B$143,0))),IF(IFERROR(INDEX(自动规则!$D$4:$D$143,MATCH($F429,自动规则!$B$4:$B$143,0)),"")&amp;""="","其他应付款",INDEX(自动规则!$D$4:$D$143,MATCH($F429,自动规则!$B$4:$B$143,0)))))))</f>
        <v/>
      </c>
      <c r="L429" s="43"/>
      <c r="M429" s="105" t="str">
        <f aca="false">IF($C429="","",IF(IFERROR(INDEX(科目表!$T$4:$T$123,MATCH($C429,科目表!$K$4:$K$123,0)),"")&amp;""="","其他货币资金",INDEX(科目表!$T$4:$T$123,MATCH($C429,科目表!$K$4:$K$123,0))))</f>
        <v/>
      </c>
      <c r="N429" s="39" t="str">
        <f aca="false">IF(OR($C429="",ROUND(N($H429)+N($I429),2)=0),"",IF(N($H429)&gt;0,$M429,$K429))</f>
        <v/>
      </c>
      <c r="O429" s="41" t="str">
        <f aca="false">IF($N429="","",ROUND(N($H429)+N($I429),2))</f>
        <v/>
      </c>
      <c r="P429" s="41" t="str">
        <f aca="false">IF($N429="","",0)</f>
        <v/>
      </c>
      <c r="Q429" s="39" t="str">
        <f aca="false">IF($N429="","",IF(N($H429)&gt;0,$K429,$M429))</f>
        <v/>
      </c>
      <c r="R429" s="41" t="str">
        <f aca="false">IF($Q429="","",0)</f>
        <v/>
      </c>
      <c r="S429" s="41" t="str">
        <f aca="false">IF($Q429="","",ROUND(N($H429)+N($I429),2))</f>
        <v/>
      </c>
      <c r="T429" s="42"/>
      <c r="U429" s="44"/>
      <c r="V429" s="41" t="str">
        <f aca="false">IF($B429="","",TEXT($B429,"yyyy年m月"))</f>
        <v/>
      </c>
      <c r="W429" s="42"/>
      <c r="X429" s="42"/>
      <c r="Y429" s="9"/>
    </row>
    <row r="430" customFormat="false" ht="18" hidden="false" customHeight="true" outlineLevel="0" collapsed="false">
      <c r="A430" s="9" t="str">
        <f aca="false">IF($C430="","",ROW()-3)</f>
        <v/>
      </c>
      <c r="B430" s="76"/>
      <c r="C430" s="74"/>
      <c r="D430" s="43"/>
      <c r="E430" s="42"/>
      <c r="F430" s="74"/>
      <c r="G430" s="74"/>
      <c r="H430" s="44"/>
      <c r="I430" s="44"/>
      <c r="J430" s="103" t="str">
        <f aca="false">IF($C430="","",ROUND(IFERROR(INDEX(期初余额!$I$4:$I$43,MATCH($C430,期初余额!$H$4:$H$43,0)),0)+SUMIFS($H$4:$H430,$C$4:$C430,$C430)-SUMIFS($I$4:$I430,$C$4:$C430,$C430),2))</f>
        <v/>
      </c>
      <c r="K430" s="104" t="str">
        <f aca="false">IF($T430&lt;&gt;"",$T430,IF($C430="","",IF(AND(N($I430)&gt;0,$G430&lt;&gt;""),IF(IFERROR(INDEX(科目表!$U$4:$U$123,MATCH($G430,科目表!$M$4:$M$123,0)),"")&amp;""="","管理费用",INDEX(科目表!$U$4:$U$123,MATCH($G430,科目表!$M$4:$M$123,0))),IF(N($H430)&gt;0,IF(IFERROR(INDEX(自动规则!$C$4:$C$143,MATCH($F430,自动规则!$B$4:$B$143,0)),"")&amp;""="","其他应收款",INDEX(自动规则!$C$4:$C$143,MATCH($F430,自动规则!$B$4:$B$143,0))),IF(IFERROR(INDEX(自动规则!$D$4:$D$143,MATCH($F430,自动规则!$B$4:$B$143,0)),"")&amp;""="","其他应付款",INDEX(自动规则!$D$4:$D$143,MATCH($F430,自动规则!$B$4:$B$143,0)))))))</f>
        <v/>
      </c>
      <c r="L430" s="43"/>
      <c r="M430" s="105" t="str">
        <f aca="false">IF($C430="","",IF(IFERROR(INDEX(科目表!$T$4:$T$123,MATCH($C430,科目表!$K$4:$K$123,0)),"")&amp;""="","其他货币资金",INDEX(科目表!$T$4:$T$123,MATCH($C430,科目表!$K$4:$K$123,0))))</f>
        <v/>
      </c>
      <c r="N430" s="39" t="str">
        <f aca="false">IF(OR($C430="",ROUND(N($H430)+N($I430),2)=0),"",IF(N($H430)&gt;0,$M430,$K430))</f>
        <v/>
      </c>
      <c r="O430" s="41" t="str">
        <f aca="false">IF($N430="","",ROUND(N($H430)+N($I430),2))</f>
        <v/>
      </c>
      <c r="P430" s="41" t="str">
        <f aca="false">IF($N430="","",0)</f>
        <v/>
      </c>
      <c r="Q430" s="39" t="str">
        <f aca="false">IF($N430="","",IF(N($H430)&gt;0,$K430,$M430))</f>
        <v/>
      </c>
      <c r="R430" s="41" t="str">
        <f aca="false">IF($Q430="","",0)</f>
        <v/>
      </c>
      <c r="S430" s="41" t="str">
        <f aca="false">IF($Q430="","",ROUND(N($H430)+N($I430),2))</f>
        <v/>
      </c>
      <c r="T430" s="42"/>
      <c r="U430" s="44"/>
      <c r="V430" s="41" t="str">
        <f aca="false">IF($B430="","",TEXT($B430,"yyyy年m月"))</f>
        <v/>
      </c>
      <c r="W430" s="42"/>
      <c r="X430" s="42"/>
      <c r="Y430" s="9"/>
    </row>
    <row r="431" customFormat="false" ht="18" hidden="false" customHeight="true" outlineLevel="0" collapsed="false">
      <c r="A431" s="9" t="str">
        <f aca="false">IF($C431="","",ROW()-3)</f>
        <v/>
      </c>
      <c r="B431" s="76"/>
      <c r="C431" s="74"/>
      <c r="D431" s="43"/>
      <c r="E431" s="42"/>
      <c r="F431" s="74"/>
      <c r="G431" s="74"/>
      <c r="H431" s="44"/>
      <c r="I431" s="44"/>
      <c r="J431" s="103" t="str">
        <f aca="false">IF($C431="","",ROUND(IFERROR(INDEX(期初余额!$I$4:$I$43,MATCH($C431,期初余额!$H$4:$H$43,0)),0)+SUMIFS($H$4:$H431,$C$4:$C431,$C431)-SUMIFS($I$4:$I431,$C$4:$C431,$C431),2))</f>
        <v/>
      </c>
      <c r="K431" s="104" t="str">
        <f aca="false">IF($T431&lt;&gt;"",$T431,IF($C431="","",IF(AND(N($I431)&gt;0,$G431&lt;&gt;""),IF(IFERROR(INDEX(科目表!$U$4:$U$123,MATCH($G431,科目表!$M$4:$M$123,0)),"")&amp;""="","管理费用",INDEX(科目表!$U$4:$U$123,MATCH($G431,科目表!$M$4:$M$123,0))),IF(N($H431)&gt;0,IF(IFERROR(INDEX(自动规则!$C$4:$C$143,MATCH($F431,自动规则!$B$4:$B$143,0)),"")&amp;""="","其他应收款",INDEX(自动规则!$C$4:$C$143,MATCH($F431,自动规则!$B$4:$B$143,0))),IF(IFERROR(INDEX(自动规则!$D$4:$D$143,MATCH($F431,自动规则!$B$4:$B$143,0)),"")&amp;""="","其他应付款",INDEX(自动规则!$D$4:$D$143,MATCH($F431,自动规则!$B$4:$B$143,0)))))))</f>
        <v/>
      </c>
      <c r="L431" s="43"/>
      <c r="M431" s="105" t="str">
        <f aca="false">IF($C431="","",IF(IFERROR(INDEX(科目表!$T$4:$T$123,MATCH($C431,科目表!$K$4:$K$123,0)),"")&amp;""="","其他货币资金",INDEX(科目表!$T$4:$T$123,MATCH($C431,科目表!$K$4:$K$123,0))))</f>
        <v/>
      </c>
      <c r="N431" s="39" t="str">
        <f aca="false">IF(OR($C431="",ROUND(N($H431)+N($I431),2)=0),"",IF(N($H431)&gt;0,$M431,$K431))</f>
        <v/>
      </c>
      <c r="O431" s="41" t="str">
        <f aca="false">IF($N431="","",ROUND(N($H431)+N($I431),2))</f>
        <v/>
      </c>
      <c r="P431" s="41" t="str">
        <f aca="false">IF($N431="","",0)</f>
        <v/>
      </c>
      <c r="Q431" s="39" t="str">
        <f aca="false">IF($N431="","",IF(N($H431)&gt;0,$K431,$M431))</f>
        <v/>
      </c>
      <c r="R431" s="41" t="str">
        <f aca="false">IF($Q431="","",0)</f>
        <v/>
      </c>
      <c r="S431" s="41" t="str">
        <f aca="false">IF($Q431="","",ROUND(N($H431)+N($I431),2))</f>
        <v/>
      </c>
      <c r="T431" s="42"/>
      <c r="U431" s="44"/>
      <c r="V431" s="41" t="str">
        <f aca="false">IF($B431="","",TEXT($B431,"yyyy年m月"))</f>
        <v/>
      </c>
      <c r="W431" s="42"/>
      <c r="X431" s="42"/>
      <c r="Y431" s="9"/>
    </row>
    <row r="432" customFormat="false" ht="18" hidden="false" customHeight="true" outlineLevel="0" collapsed="false">
      <c r="A432" s="9" t="str">
        <f aca="false">IF($C432="","",ROW()-3)</f>
        <v/>
      </c>
      <c r="B432" s="76"/>
      <c r="C432" s="74"/>
      <c r="D432" s="43"/>
      <c r="E432" s="42"/>
      <c r="F432" s="74"/>
      <c r="G432" s="74"/>
      <c r="H432" s="44"/>
      <c r="I432" s="44"/>
      <c r="J432" s="103" t="str">
        <f aca="false">IF($C432="","",ROUND(IFERROR(INDEX(期初余额!$I$4:$I$43,MATCH($C432,期初余额!$H$4:$H$43,0)),0)+SUMIFS($H$4:$H432,$C$4:$C432,$C432)-SUMIFS($I$4:$I432,$C$4:$C432,$C432),2))</f>
        <v/>
      </c>
      <c r="K432" s="104" t="str">
        <f aca="false">IF($T432&lt;&gt;"",$T432,IF($C432="","",IF(AND(N($I432)&gt;0,$G432&lt;&gt;""),IF(IFERROR(INDEX(科目表!$U$4:$U$123,MATCH($G432,科目表!$M$4:$M$123,0)),"")&amp;""="","管理费用",INDEX(科目表!$U$4:$U$123,MATCH($G432,科目表!$M$4:$M$123,0))),IF(N($H432)&gt;0,IF(IFERROR(INDEX(自动规则!$C$4:$C$143,MATCH($F432,自动规则!$B$4:$B$143,0)),"")&amp;""="","其他应收款",INDEX(自动规则!$C$4:$C$143,MATCH($F432,自动规则!$B$4:$B$143,0))),IF(IFERROR(INDEX(自动规则!$D$4:$D$143,MATCH($F432,自动规则!$B$4:$B$143,0)),"")&amp;""="","其他应付款",INDEX(自动规则!$D$4:$D$143,MATCH($F432,自动规则!$B$4:$B$143,0)))))))</f>
        <v/>
      </c>
      <c r="L432" s="43"/>
      <c r="M432" s="105" t="str">
        <f aca="false">IF($C432="","",IF(IFERROR(INDEX(科目表!$T$4:$T$123,MATCH($C432,科目表!$K$4:$K$123,0)),"")&amp;""="","其他货币资金",INDEX(科目表!$T$4:$T$123,MATCH($C432,科目表!$K$4:$K$123,0))))</f>
        <v/>
      </c>
      <c r="N432" s="39" t="str">
        <f aca="false">IF(OR($C432="",ROUND(N($H432)+N($I432),2)=0),"",IF(N($H432)&gt;0,$M432,$K432))</f>
        <v/>
      </c>
      <c r="O432" s="41" t="str">
        <f aca="false">IF($N432="","",ROUND(N($H432)+N($I432),2))</f>
        <v/>
      </c>
      <c r="P432" s="41" t="str">
        <f aca="false">IF($N432="","",0)</f>
        <v/>
      </c>
      <c r="Q432" s="39" t="str">
        <f aca="false">IF($N432="","",IF(N($H432)&gt;0,$K432,$M432))</f>
        <v/>
      </c>
      <c r="R432" s="41" t="str">
        <f aca="false">IF($Q432="","",0)</f>
        <v/>
      </c>
      <c r="S432" s="41" t="str">
        <f aca="false">IF($Q432="","",ROUND(N($H432)+N($I432),2))</f>
        <v/>
      </c>
      <c r="T432" s="42"/>
      <c r="U432" s="44"/>
      <c r="V432" s="41" t="str">
        <f aca="false">IF($B432="","",TEXT($B432,"yyyy年m月"))</f>
        <v/>
      </c>
      <c r="W432" s="42"/>
      <c r="X432" s="42"/>
      <c r="Y432" s="9"/>
    </row>
    <row r="433" customFormat="false" ht="18" hidden="false" customHeight="true" outlineLevel="0" collapsed="false">
      <c r="A433" s="9" t="str">
        <f aca="false">IF($C433="","",ROW()-3)</f>
        <v/>
      </c>
      <c r="B433" s="76"/>
      <c r="C433" s="74"/>
      <c r="D433" s="43"/>
      <c r="E433" s="42"/>
      <c r="F433" s="74"/>
      <c r="G433" s="74"/>
      <c r="H433" s="44"/>
      <c r="I433" s="44"/>
      <c r="J433" s="103" t="str">
        <f aca="false">IF($C433="","",ROUND(IFERROR(INDEX(期初余额!$I$4:$I$43,MATCH($C433,期初余额!$H$4:$H$43,0)),0)+SUMIFS($H$4:$H433,$C$4:$C433,$C433)-SUMIFS($I$4:$I433,$C$4:$C433,$C433),2))</f>
        <v/>
      </c>
      <c r="K433" s="104" t="str">
        <f aca="false">IF($T433&lt;&gt;"",$T433,IF($C433="","",IF(AND(N($I433)&gt;0,$G433&lt;&gt;""),IF(IFERROR(INDEX(科目表!$U$4:$U$123,MATCH($G433,科目表!$M$4:$M$123,0)),"")&amp;""="","管理费用",INDEX(科目表!$U$4:$U$123,MATCH($G433,科目表!$M$4:$M$123,0))),IF(N($H433)&gt;0,IF(IFERROR(INDEX(自动规则!$C$4:$C$143,MATCH($F433,自动规则!$B$4:$B$143,0)),"")&amp;""="","其他应收款",INDEX(自动规则!$C$4:$C$143,MATCH($F433,自动规则!$B$4:$B$143,0))),IF(IFERROR(INDEX(自动规则!$D$4:$D$143,MATCH($F433,自动规则!$B$4:$B$143,0)),"")&amp;""="","其他应付款",INDEX(自动规则!$D$4:$D$143,MATCH($F433,自动规则!$B$4:$B$143,0)))))))</f>
        <v/>
      </c>
      <c r="L433" s="43"/>
      <c r="M433" s="105" t="str">
        <f aca="false">IF($C433="","",IF(IFERROR(INDEX(科目表!$T$4:$T$123,MATCH($C433,科目表!$K$4:$K$123,0)),"")&amp;""="","其他货币资金",INDEX(科目表!$T$4:$T$123,MATCH($C433,科目表!$K$4:$K$123,0))))</f>
        <v/>
      </c>
      <c r="N433" s="39" t="str">
        <f aca="false">IF(OR($C433="",ROUND(N($H433)+N($I433),2)=0),"",IF(N($H433)&gt;0,$M433,$K433))</f>
        <v/>
      </c>
      <c r="O433" s="41" t="str">
        <f aca="false">IF($N433="","",ROUND(N($H433)+N($I433),2))</f>
        <v/>
      </c>
      <c r="P433" s="41" t="str">
        <f aca="false">IF($N433="","",0)</f>
        <v/>
      </c>
      <c r="Q433" s="39" t="str">
        <f aca="false">IF($N433="","",IF(N($H433)&gt;0,$K433,$M433))</f>
        <v/>
      </c>
      <c r="R433" s="41" t="str">
        <f aca="false">IF($Q433="","",0)</f>
        <v/>
      </c>
      <c r="S433" s="41" t="str">
        <f aca="false">IF($Q433="","",ROUND(N($H433)+N($I433),2))</f>
        <v/>
      </c>
      <c r="T433" s="42"/>
      <c r="U433" s="44"/>
      <c r="V433" s="41" t="str">
        <f aca="false">IF($B433="","",TEXT($B433,"yyyy年m月"))</f>
        <v/>
      </c>
      <c r="W433" s="42"/>
      <c r="X433" s="42"/>
      <c r="Y433" s="9"/>
    </row>
    <row r="434" customFormat="false" ht="18" hidden="false" customHeight="true" outlineLevel="0" collapsed="false">
      <c r="A434" s="9" t="str">
        <f aca="false">IF($C434="","",ROW()-3)</f>
        <v/>
      </c>
      <c r="B434" s="76"/>
      <c r="C434" s="74"/>
      <c r="D434" s="43"/>
      <c r="E434" s="42"/>
      <c r="F434" s="74"/>
      <c r="G434" s="74"/>
      <c r="H434" s="44"/>
      <c r="I434" s="44"/>
      <c r="J434" s="103" t="str">
        <f aca="false">IF($C434="","",ROUND(IFERROR(INDEX(期初余额!$I$4:$I$43,MATCH($C434,期初余额!$H$4:$H$43,0)),0)+SUMIFS($H$4:$H434,$C$4:$C434,$C434)-SUMIFS($I$4:$I434,$C$4:$C434,$C434),2))</f>
        <v/>
      </c>
      <c r="K434" s="104" t="str">
        <f aca="false">IF($T434&lt;&gt;"",$T434,IF($C434="","",IF(AND(N($I434)&gt;0,$G434&lt;&gt;""),IF(IFERROR(INDEX(科目表!$U$4:$U$123,MATCH($G434,科目表!$M$4:$M$123,0)),"")&amp;""="","管理费用",INDEX(科目表!$U$4:$U$123,MATCH($G434,科目表!$M$4:$M$123,0))),IF(N($H434)&gt;0,IF(IFERROR(INDEX(自动规则!$C$4:$C$143,MATCH($F434,自动规则!$B$4:$B$143,0)),"")&amp;""="","其他应收款",INDEX(自动规则!$C$4:$C$143,MATCH($F434,自动规则!$B$4:$B$143,0))),IF(IFERROR(INDEX(自动规则!$D$4:$D$143,MATCH($F434,自动规则!$B$4:$B$143,0)),"")&amp;""="","其他应付款",INDEX(自动规则!$D$4:$D$143,MATCH($F434,自动规则!$B$4:$B$143,0)))))))</f>
        <v/>
      </c>
      <c r="L434" s="43"/>
      <c r="M434" s="105" t="str">
        <f aca="false">IF($C434="","",IF(IFERROR(INDEX(科目表!$T$4:$T$123,MATCH($C434,科目表!$K$4:$K$123,0)),"")&amp;""="","其他货币资金",INDEX(科目表!$T$4:$T$123,MATCH($C434,科目表!$K$4:$K$123,0))))</f>
        <v/>
      </c>
      <c r="N434" s="39" t="str">
        <f aca="false">IF(OR($C434="",ROUND(N($H434)+N($I434),2)=0),"",IF(N($H434)&gt;0,$M434,$K434))</f>
        <v/>
      </c>
      <c r="O434" s="41" t="str">
        <f aca="false">IF($N434="","",ROUND(N($H434)+N($I434),2))</f>
        <v/>
      </c>
      <c r="P434" s="41" t="str">
        <f aca="false">IF($N434="","",0)</f>
        <v/>
      </c>
      <c r="Q434" s="39" t="str">
        <f aca="false">IF($N434="","",IF(N($H434)&gt;0,$K434,$M434))</f>
        <v/>
      </c>
      <c r="R434" s="41" t="str">
        <f aca="false">IF($Q434="","",0)</f>
        <v/>
      </c>
      <c r="S434" s="41" t="str">
        <f aca="false">IF($Q434="","",ROUND(N($H434)+N($I434),2))</f>
        <v/>
      </c>
      <c r="T434" s="42"/>
      <c r="U434" s="44"/>
      <c r="V434" s="41" t="str">
        <f aca="false">IF($B434="","",TEXT($B434,"yyyy年m月"))</f>
        <v/>
      </c>
      <c r="W434" s="42"/>
      <c r="X434" s="42"/>
      <c r="Y434" s="9"/>
    </row>
    <row r="435" customFormat="false" ht="18" hidden="false" customHeight="true" outlineLevel="0" collapsed="false">
      <c r="A435" s="9" t="str">
        <f aca="false">IF($C435="","",ROW()-3)</f>
        <v/>
      </c>
      <c r="B435" s="76"/>
      <c r="C435" s="74"/>
      <c r="D435" s="43"/>
      <c r="E435" s="42"/>
      <c r="F435" s="74"/>
      <c r="G435" s="74"/>
      <c r="H435" s="44"/>
      <c r="I435" s="44"/>
      <c r="J435" s="103" t="str">
        <f aca="false">IF($C435="","",ROUND(IFERROR(INDEX(期初余额!$I$4:$I$43,MATCH($C435,期初余额!$H$4:$H$43,0)),0)+SUMIFS($H$4:$H435,$C$4:$C435,$C435)-SUMIFS($I$4:$I435,$C$4:$C435,$C435),2))</f>
        <v/>
      </c>
      <c r="K435" s="104" t="str">
        <f aca="false">IF($T435&lt;&gt;"",$T435,IF($C435="","",IF(AND(N($I435)&gt;0,$G435&lt;&gt;""),IF(IFERROR(INDEX(科目表!$U$4:$U$123,MATCH($G435,科目表!$M$4:$M$123,0)),"")&amp;""="","管理费用",INDEX(科目表!$U$4:$U$123,MATCH($G435,科目表!$M$4:$M$123,0))),IF(N($H435)&gt;0,IF(IFERROR(INDEX(自动规则!$C$4:$C$143,MATCH($F435,自动规则!$B$4:$B$143,0)),"")&amp;""="","其他应收款",INDEX(自动规则!$C$4:$C$143,MATCH($F435,自动规则!$B$4:$B$143,0))),IF(IFERROR(INDEX(自动规则!$D$4:$D$143,MATCH($F435,自动规则!$B$4:$B$143,0)),"")&amp;""="","其他应付款",INDEX(自动规则!$D$4:$D$143,MATCH($F435,自动规则!$B$4:$B$143,0)))))))</f>
        <v/>
      </c>
      <c r="L435" s="43"/>
      <c r="M435" s="105" t="str">
        <f aca="false">IF($C435="","",IF(IFERROR(INDEX(科目表!$T$4:$T$123,MATCH($C435,科目表!$K$4:$K$123,0)),"")&amp;""="","其他货币资金",INDEX(科目表!$T$4:$T$123,MATCH($C435,科目表!$K$4:$K$123,0))))</f>
        <v/>
      </c>
      <c r="N435" s="39" t="str">
        <f aca="false">IF(OR($C435="",ROUND(N($H435)+N($I435),2)=0),"",IF(N($H435)&gt;0,$M435,$K435))</f>
        <v/>
      </c>
      <c r="O435" s="41" t="str">
        <f aca="false">IF($N435="","",ROUND(N($H435)+N($I435),2))</f>
        <v/>
      </c>
      <c r="P435" s="41" t="str">
        <f aca="false">IF($N435="","",0)</f>
        <v/>
      </c>
      <c r="Q435" s="39" t="str">
        <f aca="false">IF($N435="","",IF(N($H435)&gt;0,$K435,$M435))</f>
        <v/>
      </c>
      <c r="R435" s="41" t="str">
        <f aca="false">IF($Q435="","",0)</f>
        <v/>
      </c>
      <c r="S435" s="41" t="str">
        <f aca="false">IF($Q435="","",ROUND(N($H435)+N($I435),2))</f>
        <v/>
      </c>
      <c r="T435" s="42"/>
      <c r="U435" s="44"/>
      <c r="V435" s="41" t="str">
        <f aca="false">IF($B435="","",TEXT($B435,"yyyy年m月"))</f>
        <v/>
      </c>
      <c r="W435" s="42"/>
      <c r="X435" s="42"/>
      <c r="Y435" s="9"/>
    </row>
    <row r="436" customFormat="false" ht="18" hidden="false" customHeight="true" outlineLevel="0" collapsed="false">
      <c r="A436" s="9" t="str">
        <f aca="false">IF($C436="","",ROW()-3)</f>
        <v/>
      </c>
      <c r="B436" s="76"/>
      <c r="C436" s="74"/>
      <c r="D436" s="43"/>
      <c r="E436" s="42"/>
      <c r="F436" s="74"/>
      <c r="G436" s="74"/>
      <c r="H436" s="44"/>
      <c r="I436" s="44"/>
      <c r="J436" s="103" t="str">
        <f aca="false">IF($C436="","",ROUND(IFERROR(INDEX(期初余额!$I$4:$I$43,MATCH($C436,期初余额!$H$4:$H$43,0)),0)+SUMIFS($H$4:$H436,$C$4:$C436,$C436)-SUMIFS($I$4:$I436,$C$4:$C436,$C436),2))</f>
        <v/>
      </c>
      <c r="K436" s="104" t="str">
        <f aca="false">IF($T436&lt;&gt;"",$T436,IF($C436="","",IF(AND(N($I436)&gt;0,$G436&lt;&gt;""),IF(IFERROR(INDEX(科目表!$U$4:$U$123,MATCH($G436,科目表!$M$4:$M$123,0)),"")&amp;""="","管理费用",INDEX(科目表!$U$4:$U$123,MATCH($G436,科目表!$M$4:$M$123,0))),IF(N($H436)&gt;0,IF(IFERROR(INDEX(自动规则!$C$4:$C$143,MATCH($F436,自动规则!$B$4:$B$143,0)),"")&amp;""="","其他应收款",INDEX(自动规则!$C$4:$C$143,MATCH($F436,自动规则!$B$4:$B$143,0))),IF(IFERROR(INDEX(自动规则!$D$4:$D$143,MATCH($F436,自动规则!$B$4:$B$143,0)),"")&amp;""="","其他应付款",INDEX(自动规则!$D$4:$D$143,MATCH($F436,自动规则!$B$4:$B$143,0)))))))</f>
        <v/>
      </c>
      <c r="L436" s="43"/>
      <c r="M436" s="105" t="str">
        <f aca="false">IF($C436="","",IF(IFERROR(INDEX(科目表!$T$4:$T$123,MATCH($C436,科目表!$K$4:$K$123,0)),"")&amp;""="","其他货币资金",INDEX(科目表!$T$4:$T$123,MATCH($C436,科目表!$K$4:$K$123,0))))</f>
        <v/>
      </c>
      <c r="N436" s="39" t="str">
        <f aca="false">IF(OR($C436="",ROUND(N($H436)+N($I436),2)=0),"",IF(N($H436)&gt;0,$M436,$K436))</f>
        <v/>
      </c>
      <c r="O436" s="41" t="str">
        <f aca="false">IF($N436="","",ROUND(N($H436)+N($I436),2))</f>
        <v/>
      </c>
      <c r="P436" s="41" t="str">
        <f aca="false">IF($N436="","",0)</f>
        <v/>
      </c>
      <c r="Q436" s="39" t="str">
        <f aca="false">IF($N436="","",IF(N($H436)&gt;0,$K436,$M436))</f>
        <v/>
      </c>
      <c r="R436" s="41" t="str">
        <f aca="false">IF($Q436="","",0)</f>
        <v/>
      </c>
      <c r="S436" s="41" t="str">
        <f aca="false">IF($Q436="","",ROUND(N($H436)+N($I436),2))</f>
        <v/>
      </c>
      <c r="T436" s="42"/>
      <c r="U436" s="44"/>
      <c r="V436" s="41" t="str">
        <f aca="false">IF($B436="","",TEXT($B436,"yyyy年m月"))</f>
        <v/>
      </c>
      <c r="W436" s="42"/>
      <c r="X436" s="42"/>
      <c r="Y436" s="9"/>
    </row>
    <row r="437" customFormat="false" ht="18" hidden="false" customHeight="true" outlineLevel="0" collapsed="false">
      <c r="A437" s="9" t="str">
        <f aca="false">IF($C437="","",ROW()-3)</f>
        <v/>
      </c>
      <c r="B437" s="76"/>
      <c r="C437" s="74"/>
      <c r="D437" s="43"/>
      <c r="E437" s="42"/>
      <c r="F437" s="74"/>
      <c r="G437" s="74"/>
      <c r="H437" s="44"/>
      <c r="I437" s="44"/>
      <c r="J437" s="103" t="str">
        <f aca="false">IF($C437="","",ROUND(IFERROR(INDEX(期初余额!$I$4:$I$43,MATCH($C437,期初余额!$H$4:$H$43,0)),0)+SUMIFS($H$4:$H437,$C$4:$C437,$C437)-SUMIFS($I$4:$I437,$C$4:$C437,$C437),2))</f>
        <v/>
      </c>
      <c r="K437" s="104" t="str">
        <f aca="false">IF($T437&lt;&gt;"",$T437,IF($C437="","",IF(AND(N($I437)&gt;0,$G437&lt;&gt;""),IF(IFERROR(INDEX(科目表!$U$4:$U$123,MATCH($G437,科目表!$M$4:$M$123,0)),"")&amp;""="","管理费用",INDEX(科目表!$U$4:$U$123,MATCH($G437,科目表!$M$4:$M$123,0))),IF(N($H437)&gt;0,IF(IFERROR(INDEX(自动规则!$C$4:$C$143,MATCH($F437,自动规则!$B$4:$B$143,0)),"")&amp;""="","其他应收款",INDEX(自动规则!$C$4:$C$143,MATCH($F437,自动规则!$B$4:$B$143,0))),IF(IFERROR(INDEX(自动规则!$D$4:$D$143,MATCH($F437,自动规则!$B$4:$B$143,0)),"")&amp;""="","其他应付款",INDEX(自动规则!$D$4:$D$143,MATCH($F437,自动规则!$B$4:$B$143,0)))))))</f>
        <v/>
      </c>
      <c r="L437" s="43"/>
      <c r="M437" s="105" t="str">
        <f aca="false">IF($C437="","",IF(IFERROR(INDEX(科目表!$T$4:$T$123,MATCH($C437,科目表!$K$4:$K$123,0)),"")&amp;""="","其他货币资金",INDEX(科目表!$T$4:$T$123,MATCH($C437,科目表!$K$4:$K$123,0))))</f>
        <v/>
      </c>
      <c r="N437" s="39" t="str">
        <f aca="false">IF(OR($C437="",ROUND(N($H437)+N($I437),2)=0),"",IF(N($H437)&gt;0,$M437,$K437))</f>
        <v/>
      </c>
      <c r="O437" s="41" t="str">
        <f aca="false">IF($N437="","",ROUND(N($H437)+N($I437),2))</f>
        <v/>
      </c>
      <c r="P437" s="41" t="str">
        <f aca="false">IF($N437="","",0)</f>
        <v/>
      </c>
      <c r="Q437" s="39" t="str">
        <f aca="false">IF($N437="","",IF(N($H437)&gt;0,$K437,$M437))</f>
        <v/>
      </c>
      <c r="R437" s="41" t="str">
        <f aca="false">IF($Q437="","",0)</f>
        <v/>
      </c>
      <c r="S437" s="41" t="str">
        <f aca="false">IF($Q437="","",ROUND(N($H437)+N($I437),2))</f>
        <v/>
      </c>
      <c r="T437" s="42"/>
      <c r="U437" s="44"/>
      <c r="V437" s="41" t="str">
        <f aca="false">IF($B437="","",TEXT($B437,"yyyy年m月"))</f>
        <v/>
      </c>
      <c r="W437" s="42"/>
      <c r="X437" s="42"/>
      <c r="Y437" s="9"/>
    </row>
    <row r="438" customFormat="false" ht="18" hidden="false" customHeight="true" outlineLevel="0" collapsed="false">
      <c r="A438" s="9" t="str">
        <f aca="false">IF($C438="","",ROW()-3)</f>
        <v/>
      </c>
      <c r="B438" s="76"/>
      <c r="C438" s="74"/>
      <c r="D438" s="43"/>
      <c r="E438" s="42"/>
      <c r="F438" s="74"/>
      <c r="G438" s="74"/>
      <c r="H438" s="44"/>
      <c r="I438" s="44"/>
      <c r="J438" s="103" t="str">
        <f aca="false">IF($C438="","",ROUND(IFERROR(INDEX(期初余额!$I$4:$I$43,MATCH($C438,期初余额!$H$4:$H$43,0)),0)+SUMIFS($H$4:$H438,$C$4:$C438,$C438)-SUMIFS($I$4:$I438,$C$4:$C438,$C438),2))</f>
        <v/>
      </c>
      <c r="K438" s="104" t="str">
        <f aca="false">IF($T438&lt;&gt;"",$T438,IF($C438="","",IF(AND(N($I438)&gt;0,$G438&lt;&gt;""),IF(IFERROR(INDEX(科目表!$U$4:$U$123,MATCH($G438,科目表!$M$4:$M$123,0)),"")&amp;""="","管理费用",INDEX(科目表!$U$4:$U$123,MATCH($G438,科目表!$M$4:$M$123,0))),IF(N($H438)&gt;0,IF(IFERROR(INDEX(自动规则!$C$4:$C$143,MATCH($F438,自动规则!$B$4:$B$143,0)),"")&amp;""="","其他应收款",INDEX(自动规则!$C$4:$C$143,MATCH($F438,自动规则!$B$4:$B$143,0))),IF(IFERROR(INDEX(自动规则!$D$4:$D$143,MATCH($F438,自动规则!$B$4:$B$143,0)),"")&amp;""="","其他应付款",INDEX(自动规则!$D$4:$D$143,MATCH($F438,自动规则!$B$4:$B$143,0)))))))</f>
        <v/>
      </c>
      <c r="L438" s="43"/>
      <c r="M438" s="105" t="str">
        <f aca="false">IF($C438="","",IF(IFERROR(INDEX(科目表!$T$4:$T$123,MATCH($C438,科目表!$K$4:$K$123,0)),"")&amp;""="","其他货币资金",INDEX(科目表!$T$4:$T$123,MATCH($C438,科目表!$K$4:$K$123,0))))</f>
        <v/>
      </c>
      <c r="N438" s="39" t="str">
        <f aca="false">IF(OR($C438="",ROUND(N($H438)+N($I438),2)=0),"",IF(N($H438)&gt;0,$M438,$K438))</f>
        <v/>
      </c>
      <c r="O438" s="41" t="str">
        <f aca="false">IF($N438="","",ROUND(N($H438)+N($I438),2))</f>
        <v/>
      </c>
      <c r="P438" s="41" t="str">
        <f aca="false">IF($N438="","",0)</f>
        <v/>
      </c>
      <c r="Q438" s="39" t="str">
        <f aca="false">IF($N438="","",IF(N($H438)&gt;0,$K438,$M438))</f>
        <v/>
      </c>
      <c r="R438" s="41" t="str">
        <f aca="false">IF($Q438="","",0)</f>
        <v/>
      </c>
      <c r="S438" s="41" t="str">
        <f aca="false">IF($Q438="","",ROUND(N($H438)+N($I438),2))</f>
        <v/>
      </c>
      <c r="T438" s="42"/>
      <c r="U438" s="44"/>
      <c r="V438" s="41" t="str">
        <f aca="false">IF($B438="","",TEXT($B438,"yyyy年m月"))</f>
        <v/>
      </c>
      <c r="W438" s="42"/>
      <c r="X438" s="42"/>
      <c r="Y438" s="9"/>
    </row>
    <row r="439" customFormat="false" ht="18" hidden="false" customHeight="true" outlineLevel="0" collapsed="false">
      <c r="A439" s="9" t="str">
        <f aca="false">IF($C439="","",ROW()-3)</f>
        <v/>
      </c>
      <c r="B439" s="76"/>
      <c r="C439" s="74"/>
      <c r="D439" s="43"/>
      <c r="E439" s="42"/>
      <c r="F439" s="74"/>
      <c r="G439" s="74"/>
      <c r="H439" s="44"/>
      <c r="I439" s="44"/>
      <c r="J439" s="103" t="str">
        <f aca="false">IF($C439="","",ROUND(IFERROR(INDEX(期初余额!$I$4:$I$43,MATCH($C439,期初余额!$H$4:$H$43,0)),0)+SUMIFS($H$4:$H439,$C$4:$C439,$C439)-SUMIFS($I$4:$I439,$C$4:$C439,$C439),2))</f>
        <v/>
      </c>
      <c r="K439" s="104" t="str">
        <f aca="false">IF($T439&lt;&gt;"",$T439,IF($C439="","",IF(AND(N($I439)&gt;0,$G439&lt;&gt;""),IF(IFERROR(INDEX(科目表!$U$4:$U$123,MATCH($G439,科目表!$M$4:$M$123,0)),"")&amp;""="","管理费用",INDEX(科目表!$U$4:$U$123,MATCH($G439,科目表!$M$4:$M$123,0))),IF(N($H439)&gt;0,IF(IFERROR(INDEX(自动规则!$C$4:$C$143,MATCH($F439,自动规则!$B$4:$B$143,0)),"")&amp;""="","其他应收款",INDEX(自动规则!$C$4:$C$143,MATCH($F439,自动规则!$B$4:$B$143,0))),IF(IFERROR(INDEX(自动规则!$D$4:$D$143,MATCH($F439,自动规则!$B$4:$B$143,0)),"")&amp;""="","其他应付款",INDEX(自动规则!$D$4:$D$143,MATCH($F439,自动规则!$B$4:$B$143,0)))))))</f>
        <v/>
      </c>
      <c r="L439" s="43"/>
      <c r="M439" s="105" t="str">
        <f aca="false">IF($C439="","",IF(IFERROR(INDEX(科目表!$T$4:$T$123,MATCH($C439,科目表!$K$4:$K$123,0)),"")&amp;""="","其他货币资金",INDEX(科目表!$T$4:$T$123,MATCH($C439,科目表!$K$4:$K$123,0))))</f>
        <v/>
      </c>
      <c r="N439" s="39" t="str">
        <f aca="false">IF(OR($C439="",ROUND(N($H439)+N($I439),2)=0),"",IF(N($H439)&gt;0,$M439,$K439))</f>
        <v/>
      </c>
      <c r="O439" s="41" t="str">
        <f aca="false">IF($N439="","",ROUND(N($H439)+N($I439),2))</f>
        <v/>
      </c>
      <c r="P439" s="41" t="str">
        <f aca="false">IF($N439="","",0)</f>
        <v/>
      </c>
      <c r="Q439" s="39" t="str">
        <f aca="false">IF($N439="","",IF(N($H439)&gt;0,$K439,$M439))</f>
        <v/>
      </c>
      <c r="R439" s="41" t="str">
        <f aca="false">IF($Q439="","",0)</f>
        <v/>
      </c>
      <c r="S439" s="41" t="str">
        <f aca="false">IF($Q439="","",ROUND(N($H439)+N($I439),2))</f>
        <v/>
      </c>
      <c r="T439" s="42"/>
      <c r="U439" s="44"/>
      <c r="V439" s="41" t="str">
        <f aca="false">IF($B439="","",TEXT($B439,"yyyy年m月"))</f>
        <v/>
      </c>
      <c r="W439" s="42"/>
      <c r="X439" s="42"/>
      <c r="Y439" s="9"/>
    </row>
    <row r="440" customFormat="false" ht="18" hidden="false" customHeight="true" outlineLevel="0" collapsed="false">
      <c r="A440" s="9" t="str">
        <f aca="false">IF($C440="","",ROW()-3)</f>
        <v/>
      </c>
      <c r="B440" s="76"/>
      <c r="C440" s="74"/>
      <c r="D440" s="43"/>
      <c r="E440" s="42"/>
      <c r="F440" s="74"/>
      <c r="G440" s="74"/>
      <c r="H440" s="44"/>
      <c r="I440" s="44"/>
      <c r="J440" s="103" t="str">
        <f aca="false">IF($C440="","",ROUND(IFERROR(INDEX(期初余额!$I$4:$I$43,MATCH($C440,期初余额!$H$4:$H$43,0)),0)+SUMIFS($H$4:$H440,$C$4:$C440,$C440)-SUMIFS($I$4:$I440,$C$4:$C440,$C440),2))</f>
        <v/>
      </c>
      <c r="K440" s="104" t="str">
        <f aca="false">IF($T440&lt;&gt;"",$T440,IF($C440="","",IF(AND(N($I440)&gt;0,$G440&lt;&gt;""),IF(IFERROR(INDEX(科目表!$U$4:$U$123,MATCH($G440,科目表!$M$4:$M$123,0)),"")&amp;""="","管理费用",INDEX(科目表!$U$4:$U$123,MATCH($G440,科目表!$M$4:$M$123,0))),IF(N($H440)&gt;0,IF(IFERROR(INDEX(自动规则!$C$4:$C$143,MATCH($F440,自动规则!$B$4:$B$143,0)),"")&amp;""="","其他应收款",INDEX(自动规则!$C$4:$C$143,MATCH($F440,自动规则!$B$4:$B$143,0))),IF(IFERROR(INDEX(自动规则!$D$4:$D$143,MATCH($F440,自动规则!$B$4:$B$143,0)),"")&amp;""="","其他应付款",INDEX(自动规则!$D$4:$D$143,MATCH($F440,自动规则!$B$4:$B$143,0)))))))</f>
        <v/>
      </c>
      <c r="L440" s="43"/>
      <c r="M440" s="105" t="str">
        <f aca="false">IF($C440="","",IF(IFERROR(INDEX(科目表!$T$4:$T$123,MATCH($C440,科目表!$K$4:$K$123,0)),"")&amp;""="","其他货币资金",INDEX(科目表!$T$4:$T$123,MATCH($C440,科目表!$K$4:$K$123,0))))</f>
        <v/>
      </c>
      <c r="N440" s="39" t="str">
        <f aca="false">IF(OR($C440="",ROUND(N($H440)+N($I440),2)=0),"",IF(N($H440)&gt;0,$M440,$K440))</f>
        <v/>
      </c>
      <c r="O440" s="41" t="str">
        <f aca="false">IF($N440="","",ROUND(N($H440)+N($I440),2))</f>
        <v/>
      </c>
      <c r="P440" s="41" t="str">
        <f aca="false">IF($N440="","",0)</f>
        <v/>
      </c>
      <c r="Q440" s="39" t="str">
        <f aca="false">IF($N440="","",IF(N($H440)&gt;0,$K440,$M440))</f>
        <v/>
      </c>
      <c r="R440" s="41" t="str">
        <f aca="false">IF($Q440="","",0)</f>
        <v/>
      </c>
      <c r="S440" s="41" t="str">
        <f aca="false">IF($Q440="","",ROUND(N($H440)+N($I440),2))</f>
        <v/>
      </c>
      <c r="T440" s="42"/>
      <c r="U440" s="44"/>
      <c r="V440" s="41" t="str">
        <f aca="false">IF($B440="","",TEXT($B440,"yyyy年m月"))</f>
        <v/>
      </c>
      <c r="W440" s="42"/>
      <c r="X440" s="42"/>
      <c r="Y440" s="9"/>
    </row>
    <row r="441" customFormat="false" ht="18" hidden="false" customHeight="true" outlineLevel="0" collapsed="false">
      <c r="A441" s="9" t="str">
        <f aca="false">IF($C441="","",ROW()-3)</f>
        <v/>
      </c>
      <c r="B441" s="76"/>
      <c r="C441" s="74"/>
      <c r="D441" s="43"/>
      <c r="E441" s="42"/>
      <c r="F441" s="74"/>
      <c r="G441" s="74"/>
      <c r="H441" s="44"/>
      <c r="I441" s="44"/>
      <c r="J441" s="103" t="str">
        <f aca="false">IF($C441="","",ROUND(IFERROR(INDEX(期初余额!$I$4:$I$43,MATCH($C441,期初余额!$H$4:$H$43,0)),0)+SUMIFS($H$4:$H441,$C$4:$C441,$C441)-SUMIFS($I$4:$I441,$C$4:$C441,$C441),2))</f>
        <v/>
      </c>
      <c r="K441" s="104" t="str">
        <f aca="false">IF($T441&lt;&gt;"",$T441,IF($C441="","",IF(AND(N($I441)&gt;0,$G441&lt;&gt;""),IF(IFERROR(INDEX(科目表!$U$4:$U$123,MATCH($G441,科目表!$M$4:$M$123,0)),"")&amp;""="","管理费用",INDEX(科目表!$U$4:$U$123,MATCH($G441,科目表!$M$4:$M$123,0))),IF(N($H441)&gt;0,IF(IFERROR(INDEX(自动规则!$C$4:$C$143,MATCH($F441,自动规则!$B$4:$B$143,0)),"")&amp;""="","其他应收款",INDEX(自动规则!$C$4:$C$143,MATCH($F441,自动规则!$B$4:$B$143,0))),IF(IFERROR(INDEX(自动规则!$D$4:$D$143,MATCH($F441,自动规则!$B$4:$B$143,0)),"")&amp;""="","其他应付款",INDEX(自动规则!$D$4:$D$143,MATCH($F441,自动规则!$B$4:$B$143,0)))))))</f>
        <v/>
      </c>
      <c r="L441" s="43"/>
      <c r="M441" s="105" t="str">
        <f aca="false">IF($C441="","",IF(IFERROR(INDEX(科目表!$T$4:$T$123,MATCH($C441,科目表!$K$4:$K$123,0)),"")&amp;""="","其他货币资金",INDEX(科目表!$T$4:$T$123,MATCH($C441,科目表!$K$4:$K$123,0))))</f>
        <v/>
      </c>
      <c r="N441" s="39" t="str">
        <f aca="false">IF(OR($C441="",ROUND(N($H441)+N($I441),2)=0),"",IF(N($H441)&gt;0,$M441,$K441))</f>
        <v/>
      </c>
      <c r="O441" s="41" t="str">
        <f aca="false">IF($N441="","",ROUND(N($H441)+N($I441),2))</f>
        <v/>
      </c>
      <c r="P441" s="41" t="str">
        <f aca="false">IF($N441="","",0)</f>
        <v/>
      </c>
      <c r="Q441" s="39" t="str">
        <f aca="false">IF($N441="","",IF(N($H441)&gt;0,$K441,$M441))</f>
        <v/>
      </c>
      <c r="R441" s="41" t="str">
        <f aca="false">IF($Q441="","",0)</f>
        <v/>
      </c>
      <c r="S441" s="41" t="str">
        <f aca="false">IF($Q441="","",ROUND(N($H441)+N($I441),2))</f>
        <v/>
      </c>
      <c r="T441" s="42"/>
      <c r="U441" s="44"/>
      <c r="V441" s="41" t="str">
        <f aca="false">IF($B441="","",TEXT($B441,"yyyy年m月"))</f>
        <v/>
      </c>
      <c r="W441" s="42"/>
      <c r="X441" s="42"/>
      <c r="Y441" s="9"/>
    </row>
    <row r="442" customFormat="false" ht="18" hidden="false" customHeight="true" outlineLevel="0" collapsed="false">
      <c r="A442" s="9" t="str">
        <f aca="false">IF($C442="","",ROW()-3)</f>
        <v/>
      </c>
      <c r="B442" s="76"/>
      <c r="C442" s="74"/>
      <c r="D442" s="43"/>
      <c r="E442" s="42"/>
      <c r="F442" s="74"/>
      <c r="G442" s="74"/>
      <c r="H442" s="44"/>
      <c r="I442" s="44"/>
      <c r="J442" s="103" t="str">
        <f aca="false">IF($C442="","",ROUND(IFERROR(INDEX(期初余额!$I$4:$I$43,MATCH($C442,期初余额!$H$4:$H$43,0)),0)+SUMIFS($H$4:$H442,$C$4:$C442,$C442)-SUMIFS($I$4:$I442,$C$4:$C442,$C442),2))</f>
        <v/>
      </c>
      <c r="K442" s="104" t="str">
        <f aca="false">IF($T442&lt;&gt;"",$T442,IF($C442="","",IF(AND(N($I442)&gt;0,$G442&lt;&gt;""),IF(IFERROR(INDEX(科目表!$U$4:$U$123,MATCH($G442,科目表!$M$4:$M$123,0)),"")&amp;""="","管理费用",INDEX(科目表!$U$4:$U$123,MATCH($G442,科目表!$M$4:$M$123,0))),IF(N($H442)&gt;0,IF(IFERROR(INDEX(自动规则!$C$4:$C$143,MATCH($F442,自动规则!$B$4:$B$143,0)),"")&amp;""="","其他应收款",INDEX(自动规则!$C$4:$C$143,MATCH($F442,自动规则!$B$4:$B$143,0))),IF(IFERROR(INDEX(自动规则!$D$4:$D$143,MATCH($F442,自动规则!$B$4:$B$143,0)),"")&amp;""="","其他应付款",INDEX(自动规则!$D$4:$D$143,MATCH($F442,自动规则!$B$4:$B$143,0)))))))</f>
        <v/>
      </c>
      <c r="L442" s="43"/>
      <c r="M442" s="105" t="str">
        <f aca="false">IF($C442="","",IF(IFERROR(INDEX(科目表!$T$4:$T$123,MATCH($C442,科目表!$K$4:$K$123,0)),"")&amp;""="","其他货币资金",INDEX(科目表!$T$4:$T$123,MATCH($C442,科目表!$K$4:$K$123,0))))</f>
        <v/>
      </c>
      <c r="N442" s="39" t="str">
        <f aca="false">IF(OR($C442="",ROUND(N($H442)+N($I442),2)=0),"",IF(N($H442)&gt;0,$M442,$K442))</f>
        <v/>
      </c>
      <c r="O442" s="41" t="str">
        <f aca="false">IF($N442="","",ROUND(N($H442)+N($I442),2))</f>
        <v/>
      </c>
      <c r="P442" s="41" t="str">
        <f aca="false">IF($N442="","",0)</f>
        <v/>
      </c>
      <c r="Q442" s="39" t="str">
        <f aca="false">IF($N442="","",IF(N($H442)&gt;0,$K442,$M442))</f>
        <v/>
      </c>
      <c r="R442" s="41" t="str">
        <f aca="false">IF($Q442="","",0)</f>
        <v/>
      </c>
      <c r="S442" s="41" t="str">
        <f aca="false">IF($Q442="","",ROUND(N($H442)+N($I442),2))</f>
        <v/>
      </c>
      <c r="T442" s="42"/>
      <c r="U442" s="44"/>
      <c r="V442" s="41" t="str">
        <f aca="false">IF($B442="","",TEXT($B442,"yyyy年m月"))</f>
        <v/>
      </c>
      <c r="W442" s="42"/>
      <c r="X442" s="42"/>
      <c r="Y442" s="9"/>
    </row>
    <row r="443" customFormat="false" ht="18" hidden="false" customHeight="true" outlineLevel="0" collapsed="false">
      <c r="A443" s="9" t="str">
        <f aca="false">IF($C443="","",ROW()-3)</f>
        <v/>
      </c>
      <c r="B443" s="76"/>
      <c r="C443" s="74"/>
      <c r="D443" s="43"/>
      <c r="E443" s="42"/>
      <c r="F443" s="74"/>
      <c r="G443" s="74"/>
      <c r="H443" s="44"/>
      <c r="I443" s="44"/>
      <c r="J443" s="103" t="str">
        <f aca="false">IF($C443="","",ROUND(IFERROR(INDEX(期初余额!$I$4:$I$43,MATCH($C443,期初余额!$H$4:$H$43,0)),0)+SUMIFS($H$4:$H443,$C$4:$C443,$C443)-SUMIFS($I$4:$I443,$C$4:$C443,$C443),2))</f>
        <v/>
      </c>
      <c r="K443" s="104" t="str">
        <f aca="false">IF($T443&lt;&gt;"",$T443,IF($C443="","",IF(AND(N($I443)&gt;0,$G443&lt;&gt;""),IF(IFERROR(INDEX(科目表!$U$4:$U$123,MATCH($G443,科目表!$M$4:$M$123,0)),"")&amp;""="","管理费用",INDEX(科目表!$U$4:$U$123,MATCH($G443,科目表!$M$4:$M$123,0))),IF(N($H443)&gt;0,IF(IFERROR(INDEX(自动规则!$C$4:$C$143,MATCH($F443,自动规则!$B$4:$B$143,0)),"")&amp;""="","其他应收款",INDEX(自动规则!$C$4:$C$143,MATCH($F443,自动规则!$B$4:$B$143,0))),IF(IFERROR(INDEX(自动规则!$D$4:$D$143,MATCH($F443,自动规则!$B$4:$B$143,0)),"")&amp;""="","其他应付款",INDEX(自动规则!$D$4:$D$143,MATCH($F443,自动规则!$B$4:$B$143,0)))))))</f>
        <v/>
      </c>
      <c r="L443" s="43"/>
      <c r="M443" s="105" t="str">
        <f aca="false">IF($C443="","",IF(IFERROR(INDEX(科目表!$T$4:$T$123,MATCH($C443,科目表!$K$4:$K$123,0)),"")&amp;""="","其他货币资金",INDEX(科目表!$T$4:$T$123,MATCH($C443,科目表!$K$4:$K$123,0))))</f>
        <v/>
      </c>
      <c r="N443" s="39" t="str">
        <f aca="false">IF(OR($C443="",ROUND(N($H443)+N($I443),2)=0),"",IF(N($H443)&gt;0,$M443,$K443))</f>
        <v/>
      </c>
      <c r="O443" s="41" t="str">
        <f aca="false">IF($N443="","",ROUND(N($H443)+N($I443),2))</f>
        <v/>
      </c>
      <c r="P443" s="41" t="str">
        <f aca="false">IF($N443="","",0)</f>
        <v/>
      </c>
      <c r="Q443" s="39" t="str">
        <f aca="false">IF($N443="","",IF(N($H443)&gt;0,$K443,$M443))</f>
        <v/>
      </c>
      <c r="R443" s="41" t="str">
        <f aca="false">IF($Q443="","",0)</f>
        <v/>
      </c>
      <c r="S443" s="41" t="str">
        <f aca="false">IF($Q443="","",ROUND(N($H443)+N($I443),2))</f>
        <v/>
      </c>
      <c r="T443" s="42"/>
      <c r="U443" s="44"/>
      <c r="V443" s="41" t="str">
        <f aca="false">IF($B443="","",TEXT($B443,"yyyy年m月"))</f>
        <v/>
      </c>
      <c r="W443" s="42"/>
      <c r="X443" s="42"/>
      <c r="Y443" s="9"/>
    </row>
    <row r="444" customFormat="false" ht="18" hidden="false" customHeight="true" outlineLevel="0" collapsed="false">
      <c r="A444" s="9" t="str">
        <f aca="false">IF($C444="","",ROW()-3)</f>
        <v/>
      </c>
      <c r="B444" s="76"/>
      <c r="C444" s="74"/>
      <c r="D444" s="43"/>
      <c r="E444" s="42"/>
      <c r="F444" s="74"/>
      <c r="G444" s="74"/>
      <c r="H444" s="44"/>
      <c r="I444" s="44"/>
      <c r="J444" s="103" t="str">
        <f aca="false">IF($C444="","",ROUND(IFERROR(INDEX(期初余额!$I$4:$I$43,MATCH($C444,期初余额!$H$4:$H$43,0)),0)+SUMIFS($H$4:$H444,$C$4:$C444,$C444)-SUMIFS($I$4:$I444,$C$4:$C444,$C444),2))</f>
        <v/>
      </c>
      <c r="K444" s="104" t="str">
        <f aca="false">IF($T444&lt;&gt;"",$T444,IF($C444="","",IF(AND(N($I444)&gt;0,$G444&lt;&gt;""),IF(IFERROR(INDEX(科目表!$U$4:$U$123,MATCH($G444,科目表!$M$4:$M$123,0)),"")&amp;""="","管理费用",INDEX(科目表!$U$4:$U$123,MATCH($G444,科目表!$M$4:$M$123,0))),IF(N($H444)&gt;0,IF(IFERROR(INDEX(自动规则!$C$4:$C$143,MATCH($F444,自动规则!$B$4:$B$143,0)),"")&amp;""="","其他应收款",INDEX(自动规则!$C$4:$C$143,MATCH($F444,自动规则!$B$4:$B$143,0))),IF(IFERROR(INDEX(自动规则!$D$4:$D$143,MATCH($F444,自动规则!$B$4:$B$143,0)),"")&amp;""="","其他应付款",INDEX(自动规则!$D$4:$D$143,MATCH($F444,自动规则!$B$4:$B$143,0)))))))</f>
        <v/>
      </c>
      <c r="L444" s="43"/>
      <c r="M444" s="105" t="str">
        <f aca="false">IF($C444="","",IF(IFERROR(INDEX(科目表!$T$4:$T$123,MATCH($C444,科目表!$K$4:$K$123,0)),"")&amp;""="","其他货币资金",INDEX(科目表!$T$4:$T$123,MATCH($C444,科目表!$K$4:$K$123,0))))</f>
        <v/>
      </c>
      <c r="N444" s="39" t="str">
        <f aca="false">IF(OR($C444="",ROUND(N($H444)+N($I444),2)=0),"",IF(N($H444)&gt;0,$M444,$K444))</f>
        <v/>
      </c>
      <c r="O444" s="41" t="str">
        <f aca="false">IF($N444="","",ROUND(N($H444)+N($I444),2))</f>
        <v/>
      </c>
      <c r="P444" s="41" t="str">
        <f aca="false">IF($N444="","",0)</f>
        <v/>
      </c>
      <c r="Q444" s="39" t="str">
        <f aca="false">IF($N444="","",IF(N($H444)&gt;0,$K444,$M444))</f>
        <v/>
      </c>
      <c r="R444" s="41" t="str">
        <f aca="false">IF($Q444="","",0)</f>
        <v/>
      </c>
      <c r="S444" s="41" t="str">
        <f aca="false">IF($Q444="","",ROUND(N($H444)+N($I444),2))</f>
        <v/>
      </c>
      <c r="T444" s="42"/>
      <c r="U444" s="44"/>
      <c r="V444" s="41" t="str">
        <f aca="false">IF($B444="","",TEXT($B444,"yyyy年m月"))</f>
        <v/>
      </c>
      <c r="W444" s="42"/>
      <c r="X444" s="42"/>
      <c r="Y444" s="9"/>
    </row>
    <row r="445" customFormat="false" ht="18" hidden="false" customHeight="true" outlineLevel="0" collapsed="false">
      <c r="A445" s="9" t="str">
        <f aca="false">IF($C445="","",ROW()-3)</f>
        <v/>
      </c>
      <c r="B445" s="76"/>
      <c r="C445" s="74"/>
      <c r="D445" s="43"/>
      <c r="E445" s="42"/>
      <c r="F445" s="74"/>
      <c r="G445" s="74"/>
      <c r="H445" s="44"/>
      <c r="I445" s="44"/>
      <c r="J445" s="103" t="str">
        <f aca="false">IF($C445="","",ROUND(IFERROR(INDEX(期初余额!$I$4:$I$43,MATCH($C445,期初余额!$H$4:$H$43,0)),0)+SUMIFS($H$4:$H445,$C$4:$C445,$C445)-SUMIFS($I$4:$I445,$C$4:$C445,$C445),2))</f>
        <v/>
      </c>
      <c r="K445" s="104" t="str">
        <f aca="false">IF($T445&lt;&gt;"",$T445,IF($C445="","",IF(AND(N($I445)&gt;0,$G445&lt;&gt;""),IF(IFERROR(INDEX(科目表!$U$4:$U$123,MATCH($G445,科目表!$M$4:$M$123,0)),"")&amp;""="","管理费用",INDEX(科目表!$U$4:$U$123,MATCH($G445,科目表!$M$4:$M$123,0))),IF(N($H445)&gt;0,IF(IFERROR(INDEX(自动规则!$C$4:$C$143,MATCH($F445,自动规则!$B$4:$B$143,0)),"")&amp;""="","其他应收款",INDEX(自动规则!$C$4:$C$143,MATCH($F445,自动规则!$B$4:$B$143,0))),IF(IFERROR(INDEX(自动规则!$D$4:$D$143,MATCH($F445,自动规则!$B$4:$B$143,0)),"")&amp;""="","其他应付款",INDEX(自动规则!$D$4:$D$143,MATCH($F445,自动规则!$B$4:$B$143,0)))))))</f>
        <v/>
      </c>
      <c r="L445" s="43"/>
      <c r="M445" s="105" t="str">
        <f aca="false">IF($C445="","",IF(IFERROR(INDEX(科目表!$T$4:$T$123,MATCH($C445,科目表!$K$4:$K$123,0)),"")&amp;""="","其他货币资金",INDEX(科目表!$T$4:$T$123,MATCH($C445,科目表!$K$4:$K$123,0))))</f>
        <v/>
      </c>
      <c r="N445" s="39" t="str">
        <f aca="false">IF(OR($C445="",ROUND(N($H445)+N($I445),2)=0),"",IF(N($H445)&gt;0,$M445,$K445))</f>
        <v/>
      </c>
      <c r="O445" s="41" t="str">
        <f aca="false">IF($N445="","",ROUND(N($H445)+N($I445),2))</f>
        <v/>
      </c>
      <c r="P445" s="41" t="str">
        <f aca="false">IF($N445="","",0)</f>
        <v/>
      </c>
      <c r="Q445" s="39" t="str">
        <f aca="false">IF($N445="","",IF(N($H445)&gt;0,$K445,$M445))</f>
        <v/>
      </c>
      <c r="R445" s="41" t="str">
        <f aca="false">IF($Q445="","",0)</f>
        <v/>
      </c>
      <c r="S445" s="41" t="str">
        <f aca="false">IF($Q445="","",ROUND(N($H445)+N($I445),2))</f>
        <v/>
      </c>
      <c r="T445" s="42"/>
      <c r="U445" s="44"/>
      <c r="V445" s="41" t="str">
        <f aca="false">IF($B445="","",TEXT($B445,"yyyy年m月"))</f>
        <v/>
      </c>
      <c r="W445" s="42"/>
      <c r="X445" s="42"/>
      <c r="Y445" s="9"/>
    </row>
    <row r="446" customFormat="false" ht="18" hidden="false" customHeight="true" outlineLevel="0" collapsed="false">
      <c r="A446" s="9" t="str">
        <f aca="false">IF($C446="","",ROW()-3)</f>
        <v/>
      </c>
      <c r="B446" s="76"/>
      <c r="C446" s="74"/>
      <c r="D446" s="43"/>
      <c r="E446" s="42"/>
      <c r="F446" s="74"/>
      <c r="G446" s="74"/>
      <c r="H446" s="44"/>
      <c r="I446" s="44"/>
      <c r="J446" s="103" t="str">
        <f aca="false">IF($C446="","",ROUND(IFERROR(INDEX(期初余额!$I$4:$I$43,MATCH($C446,期初余额!$H$4:$H$43,0)),0)+SUMIFS($H$4:$H446,$C$4:$C446,$C446)-SUMIFS($I$4:$I446,$C$4:$C446,$C446),2))</f>
        <v/>
      </c>
      <c r="K446" s="104" t="str">
        <f aca="false">IF($T446&lt;&gt;"",$T446,IF($C446="","",IF(AND(N($I446)&gt;0,$G446&lt;&gt;""),IF(IFERROR(INDEX(科目表!$U$4:$U$123,MATCH($G446,科目表!$M$4:$M$123,0)),"")&amp;""="","管理费用",INDEX(科目表!$U$4:$U$123,MATCH($G446,科目表!$M$4:$M$123,0))),IF(N($H446)&gt;0,IF(IFERROR(INDEX(自动规则!$C$4:$C$143,MATCH($F446,自动规则!$B$4:$B$143,0)),"")&amp;""="","其他应收款",INDEX(自动规则!$C$4:$C$143,MATCH($F446,自动规则!$B$4:$B$143,0))),IF(IFERROR(INDEX(自动规则!$D$4:$D$143,MATCH($F446,自动规则!$B$4:$B$143,0)),"")&amp;""="","其他应付款",INDEX(自动规则!$D$4:$D$143,MATCH($F446,自动规则!$B$4:$B$143,0)))))))</f>
        <v/>
      </c>
      <c r="L446" s="43"/>
      <c r="M446" s="105" t="str">
        <f aca="false">IF($C446="","",IF(IFERROR(INDEX(科目表!$T$4:$T$123,MATCH($C446,科目表!$K$4:$K$123,0)),"")&amp;""="","其他货币资金",INDEX(科目表!$T$4:$T$123,MATCH($C446,科目表!$K$4:$K$123,0))))</f>
        <v/>
      </c>
      <c r="N446" s="39" t="str">
        <f aca="false">IF(OR($C446="",ROUND(N($H446)+N($I446),2)=0),"",IF(N($H446)&gt;0,$M446,$K446))</f>
        <v/>
      </c>
      <c r="O446" s="41" t="str">
        <f aca="false">IF($N446="","",ROUND(N($H446)+N($I446),2))</f>
        <v/>
      </c>
      <c r="P446" s="41" t="str">
        <f aca="false">IF($N446="","",0)</f>
        <v/>
      </c>
      <c r="Q446" s="39" t="str">
        <f aca="false">IF($N446="","",IF(N($H446)&gt;0,$K446,$M446))</f>
        <v/>
      </c>
      <c r="R446" s="41" t="str">
        <f aca="false">IF($Q446="","",0)</f>
        <v/>
      </c>
      <c r="S446" s="41" t="str">
        <f aca="false">IF($Q446="","",ROUND(N($H446)+N($I446),2))</f>
        <v/>
      </c>
      <c r="T446" s="42"/>
      <c r="U446" s="44"/>
      <c r="V446" s="41" t="str">
        <f aca="false">IF($B446="","",TEXT($B446,"yyyy年m月"))</f>
        <v/>
      </c>
      <c r="W446" s="42"/>
      <c r="X446" s="42"/>
      <c r="Y446" s="9"/>
    </row>
    <row r="447" customFormat="false" ht="18" hidden="false" customHeight="true" outlineLevel="0" collapsed="false">
      <c r="A447" s="9" t="str">
        <f aca="false">IF($C447="","",ROW()-3)</f>
        <v/>
      </c>
      <c r="B447" s="76"/>
      <c r="C447" s="74"/>
      <c r="D447" s="43"/>
      <c r="E447" s="42"/>
      <c r="F447" s="74"/>
      <c r="G447" s="74"/>
      <c r="H447" s="44"/>
      <c r="I447" s="44"/>
      <c r="J447" s="103" t="str">
        <f aca="false">IF($C447="","",ROUND(IFERROR(INDEX(期初余额!$I$4:$I$43,MATCH($C447,期初余额!$H$4:$H$43,0)),0)+SUMIFS($H$4:$H447,$C$4:$C447,$C447)-SUMIFS($I$4:$I447,$C$4:$C447,$C447),2))</f>
        <v/>
      </c>
      <c r="K447" s="104" t="str">
        <f aca="false">IF($T447&lt;&gt;"",$T447,IF($C447="","",IF(AND(N($I447)&gt;0,$G447&lt;&gt;""),IF(IFERROR(INDEX(科目表!$U$4:$U$123,MATCH($G447,科目表!$M$4:$M$123,0)),"")&amp;""="","管理费用",INDEX(科目表!$U$4:$U$123,MATCH($G447,科目表!$M$4:$M$123,0))),IF(N($H447)&gt;0,IF(IFERROR(INDEX(自动规则!$C$4:$C$143,MATCH($F447,自动规则!$B$4:$B$143,0)),"")&amp;""="","其他应收款",INDEX(自动规则!$C$4:$C$143,MATCH($F447,自动规则!$B$4:$B$143,0))),IF(IFERROR(INDEX(自动规则!$D$4:$D$143,MATCH($F447,自动规则!$B$4:$B$143,0)),"")&amp;""="","其他应付款",INDEX(自动规则!$D$4:$D$143,MATCH($F447,自动规则!$B$4:$B$143,0)))))))</f>
        <v/>
      </c>
      <c r="L447" s="43"/>
      <c r="M447" s="105" t="str">
        <f aca="false">IF($C447="","",IF(IFERROR(INDEX(科目表!$T$4:$T$123,MATCH($C447,科目表!$K$4:$K$123,0)),"")&amp;""="","其他货币资金",INDEX(科目表!$T$4:$T$123,MATCH($C447,科目表!$K$4:$K$123,0))))</f>
        <v/>
      </c>
      <c r="N447" s="39" t="str">
        <f aca="false">IF(OR($C447="",ROUND(N($H447)+N($I447),2)=0),"",IF(N($H447)&gt;0,$M447,$K447))</f>
        <v/>
      </c>
      <c r="O447" s="41" t="str">
        <f aca="false">IF($N447="","",ROUND(N($H447)+N($I447),2))</f>
        <v/>
      </c>
      <c r="P447" s="41" t="str">
        <f aca="false">IF($N447="","",0)</f>
        <v/>
      </c>
      <c r="Q447" s="39" t="str">
        <f aca="false">IF($N447="","",IF(N($H447)&gt;0,$K447,$M447))</f>
        <v/>
      </c>
      <c r="R447" s="41" t="str">
        <f aca="false">IF($Q447="","",0)</f>
        <v/>
      </c>
      <c r="S447" s="41" t="str">
        <f aca="false">IF($Q447="","",ROUND(N($H447)+N($I447),2))</f>
        <v/>
      </c>
      <c r="T447" s="42"/>
      <c r="U447" s="44"/>
      <c r="V447" s="41" t="str">
        <f aca="false">IF($B447="","",TEXT($B447,"yyyy年m月"))</f>
        <v/>
      </c>
      <c r="W447" s="42"/>
      <c r="X447" s="42"/>
      <c r="Y447" s="9"/>
    </row>
    <row r="448" customFormat="false" ht="18" hidden="false" customHeight="true" outlineLevel="0" collapsed="false">
      <c r="A448" s="9" t="str">
        <f aca="false">IF($C448="","",ROW()-3)</f>
        <v/>
      </c>
      <c r="B448" s="76"/>
      <c r="C448" s="74"/>
      <c r="D448" s="43"/>
      <c r="E448" s="42"/>
      <c r="F448" s="74"/>
      <c r="G448" s="74"/>
      <c r="H448" s="44"/>
      <c r="I448" s="44"/>
      <c r="J448" s="103" t="str">
        <f aca="false">IF($C448="","",ROUND(IFERROR(INDEX(期初余额!$I$4:$I$43,MATCH($C448,期初余额!$H$4:$H$43,0)),0)+SUMIFS($H$4:$H448,$C$4:$C448,$C448)-SUMIFS($I$4:$I448,$C$4:$C448,$C448),2))</f>
        <v/>
      </c>
      <c r="K448" s="104" t="str">
        <f aca="false">IF($T448&lt;&gt;"",$T448,IF($C448="","",IF(AND(N($I448)&gt;0,$G448&lt;&gt;""),IF(IFERROR(INDEX(科目表!$U$4:$U$123,MATCH($G448,科目表!$M$4:$M$123,0)),"")&amp;""="","管理费用",INDEX(科目表!$U$4:$U$123,MATCH($G448,科目表!$M$4:$M$123,0))),IF(N($H448)&gt;0,IF(IFERROR(INDEX(自动规则!$C$4:$C$143,MATCH($F448,自动规则!$B$4:$B$143,0)),"")&amp;""="","其他应收款",INDEX(自动规则!$C$4:$C$143,MATCH($F448,自动规则!$B$4:$B$143,0))),IF(IFERROR(INDEX(自动规则!$D$4:$D$143,MATCH($F448,自动规则!$B$4:$B$143,0)),"")&amp;""="","其他应付款",INDEX(自动规则!$D$4:$D$143,MATCH($F448,自动规则!$B$4:$B$143,0)))))))</f>
        <v/>
      </c>
      <c r="L448" s="43"/>
      <c r="M448" s="105" t="str">
        <f aca="false">IF($C448="","",IF(IFERROR(INDEX(科目表!$T$4:$T$123,MATCH($C448,科目表!$K$4:$K$123,0)),"")&amp;""="","其他货币资金",INDEX(科目表!$T$4:$T$123,MATCH($C448,科目表!$K$4:$K$123,0))))</f>
        <v/>
      </c>
      <c r="N448" s="39" t="str">
        <f aca="false">IF(OR($C448="",ROUND(N($H448)+N($I448),2)=0),"",IF(N($H448)&gt;0,$M448,$K448))</f>
        <v/>
      </c>
      <c r="O448" s="41" t="str">
        <f aca="false">IF($N448="","",ROUND(N($H448)+N($I448),2))</f>
        <v/>
      </c>
      <c r="P448" s="41" t="str">
        <f aca="false">IF($N448="","",0)</f>
        <v/>
      </c>
      <c r="Q448" s="39" t="str">
        <f aca="false">IF($N448="","",IF(N($H448)&gt;0,$K448,$M448))</f>
        <v/>
      </c>
      <c r="R448" s="41" t="str">
        <f aca="false">IF($Q448="","",0)</f>
        <v/>
      </c>
      <c r="S448" s="41" t="str">
        <f aca="false">IF($Q448="","",ROUND(N($H448)+N($I448),2))</f>
        <v/>
      </c>
      <c r="T448" s="42"/>
      <c r="U448" s="44"/>
      <c r="V448" s="41" t="str">
        <f aca="false">IF($B448="","",TEXT($B448,"yyyy年m月"))</f>
        <v/>
      </c>
      <c r="W448" s="42"/>
      <c r="X448" s="42"/>
      <c r="Y448" s="9"/>
    </row>
    <row r="449" customFormat="false" ht="18" hidden="false" customHeight="true" outlineLevel="0" collapsed="false">
      <c r="A449" s="9" t="str">
        <f aca="false">IF($C449="","",ROW()-3)</f>
        <v/>
      </c>
      <c r="B449" s="76"/>
      <c r="C449" s="74"/>
      <c r="D449" s="43"/>
      <c r="E449" s="42"/>
      <c r="F449" s="74"/>
      <c r="G449" s="74"/>
      <c r="H449" s="44"/>
      <c r="I449" s="44"/>
      <c r="J449" s="103" t="str">
        <f aca="false">IF($C449="","",ROUND(IFERROR(INDEX(期初余额!$I$4:$I$43,MATCH($C449,期初余额!$H$4:$H$43,0)),0)+SUMIFS($H$4:$H449,$C$4:$C449,$C449)-SUMIFS($I$4:$I449,$C$4:$C449,$C449),2))</f>
        <v/>
      </c>
      <c r="K449" s="104" t="str">
        <f aca="false">IF($T449&lt;&gt;"",$T449,IF($C449="","",IF(AND(N($I449)&gt;0,$G449&lt;&gt;""),IF(IFERROR(INDEX(科目表!$U$4:$U$123,MATCH($G449,科目表!$M$4:$M$123,0)),"")&amp;""="","管理费用",INDEX(科目表!$U$4:$U$123,MATCH($G449,科目表!$M$4:$M$123,0))),IF(N($H449)&gt;0,IF(IFERROR(INDEX(自动规则!$C$4:$C$143,MATCH($F449,自动规则!$B$4:$B$143,0)),"")&amp;""="","其他应收款",INDEX(自动规则!$C$4:$C$143,MATCH($F449,自动规则!$B$4:$B$143,0))),IF(IFERROR(INDEX(自动规则!$D$4:$D$143,MATCH($F449,自动规则!$B$4:$B$143,0)),"")&amp;""="","其他应付款",INDEX(自动规则!$D$4:$D$143,MATCH($F449,自动规则!$B$4:$B$143,0)))))))</f>
        <v/>
      </c>
      <c r="L449" s="43"/>
      <c r="M449" s="105" t="str">
        <f aca="false">IF($C449="","",IF(IFERROR(INDEX(科目表!$T$4:$T$123,MATCH($C449,科目表!$K$4:$K$123,0)),"")&amp;""="","其他货币资金",INDEX(科目表!$T$4:$T$123,MATCH($C449,科目表!$K$4:$K$123,0))))</f>
        <v/>
      </c>
      <c r="N449" s="39" t="str">
        <f aca="false">IF(OR($C449="",ROUND(N($H449)+N($I449),2)=0),"",IF(N($H449)&gt;0,$M449,$K449))</f>
        <v/>
      </c>
      <c r="O449" s="41" t="str">
        <f aca="false">IF($N449="","",ROUND(N($H449)+N($I449),2))</f>
        <v/>
      </c>
      <c r="P449" s="41" t="str">
        <f aca="false">IF($N449="","",0)</f>
        <v/>
      </c>
      <c r="Q449" s="39" t="str">
        <f aca="false">IF($N449="","",IF(N($H449)&gt;0,$K449,$M449))</f>
        <v/>
      </c>
      <c r="R449" s="41" t="str">
        <f aca="false">IF($Q449="","",0)</f>
        <v/>
      </c>
      <c r="S449" s="41" t="str">
        <f aca="false">IF($Q449="","",ROUND(N($H449)+N($I449),2))</f>
        <v/>
      </c>
      <c r="T449" s="42"/>
      <c r="U449" s="44"/>
      <c r="V449" s="41" t="str">
        <f aca="false">IF($B449="","",TEXT($B449,"yyyy年m月"))</f>
        <v/>
      </c>
      <c r="W449" s="42"/>
      <c r="X449" s="42"/>
      <c r="Y449" s="9"/>
    </row>
    <row r="450" customFormat="false" ht="18" hidden="false" customHeight="true" outlineLevel="0" collapsed="false">
      <c r="A450" s="9" t="str">
        <f aca="false">IF($C450="","",ROW()-3)</f>
        <v/>
      </c>
      <c r="B450" s="76"/>
      <c r="C450" s="74"/>
      <c r="D450" s="43"/>
      <c r="E450" s="42"/>
      <c r="F450" s="74"/>
      <c r="G450" s="74"/>
      <c r="H450" s="44"/>
      <c r="I450" s="44"/>
      <c r="J450" s="103" t="str">
        <f aca="false">IF($C450="","",ROUND(IFERROR(INDEX(期初余额!$I$4:$I$43,MATCH($C450,期初余额!$H$4:$H$43,0)),0)+SUMIFS($H$4:$H450,$C$4:$C450,$C450)-SUMIFS($I$4:$I450,$C$4:$C450,$C450),2))</f>
        <v/>
      </c>
      <c r="K450" s="104" t="str">
        <f aca="false">IF($T450&lt;&gt;"",$T450,IF($C450="","",IF(AND(N($I450)&gt;0,$G450&lt;&gt;""),IF(IFERROR(INDEX(科目表!$U$4:$U$123,MATCH($G450,科目表!$M$4:$M$123,0)),"")&amp;""="","管理费用",INDEX(科目表!$U$4:$U$123,MATCH($G450,科目表!$M$4:$M$123,0))),IF(N($H450)&gt;0,IF(IFERROR(INDEX(自动规则!$C$4:$C$143,MATCH($F450,自动规则!$B$4:$B$143,0)),"")&amp;""="","其他应收款",INDEX(自动规则!$C$4:$C$143,MATCH($F450,自动规则!$B$4:$B$143,0))),IF(IFERROR(INDEX(自动规则!$D$4:$D$143,MATCH($F450,自动规则!$B$4:$B$143,0)),"")&amp;""="","其他应付款",INDEX(自动规则!$D$4:$D$143,MATCH($F450,自动规则!$B$4:$B$143,0)))))))</f>
        <v/>
      </c>
      <c r="L450" s="43"/>
      <c r="M450" s="105" t="str">
        <f aca="false">IF($C450="","",IF(IFERROR(INDEX(科目表!$T$4:$T$123,MATCH($C450,科目表!$K$4:$K$123,0)),"")&amp;""="","其他货币资金",INDEX(科目表!$T$4:$T$123,MATCH($C450,科目表!$K$4:$K$123,0))))</f>
        <v/>
      </c>
      <c r="N450" s="39" t="str">
        <f aca="false">IF(OR($C450="",ROUND(N($H450)+N($I450),2)=0),"",IF(N($H450)&gt;0,$M450,$K450))</f>
        <v/>
      </c>
      <c r="O450" s="41" t="str">
        <f aca="false">IF($N450="","",ROUND(N($H450)+N($I450),2))</f>
        <v/>
      </c>
      <c r="P450" s="41" t="str">
        <f aca="false">IF($N450="","",0)</f>
        <v/>
      </c>
      <c r="Q450" s="39" t="str">
        <f aca="false">IF($N450="","",IF(N($H450)&gt;0,$K450,$M450))</f>
        <v/>
      </c>
      <c r="R450" s="41" t="str">
        <f aca="false">IF($Q450="","",0)</f>
        <v/>
      </c>
      <c r="S450" s="41" t="str">
        <f aca="false">IF($Q450="","",ROUND(N($H450)+N($I450),2))</f>
        <v/>
      </c>
      <c r="T450" s="42"/>
      <c r="U450" s="44"/>
      <c r="V450" s="41" t="str">
        <f aca="false">IF($B450="","",TEXT($B450,"yyyy年m月"))</f>
        <v/>
      </c>
      <c r="W450" s="42"/>
      <c r="X450" s="42"/>
      <c r="Y450" s="9"/>
    </row>
    <row r="451" customFormat="false" ht="18" hidden="false" customHeight="true" outlineLevel="0" collapsed="false">
      <c r="A451" s="9" t="str">
        <f aca="false">IF($C451="","",ROW()-3)</f>
        <v/>
      </c>
      <c r="B451" s="76"/>
      <c r="C451" s="74"/>
      <c r="D451" s="43"/>
      <c r="E451" s="42"/>
      <c r="F451" s="74"/>
      <c r="G451" s="74"/>
      <c r="H451" s="44"/>
      <c r="I451" s="44"/>
      <c r="J451" s="103" t="str">
        <f aca="false">IF($C451="","",ROUND(IFERROR(INDEX(期初余额!$I$4:$I$43,MATCH($C451,期初余额!$H$4:$H$43,0)),0)+SUMIFS($H$4:$H451,$C$4:$C451,$C451)-SUMIFS($I$4:$I451,$C$4:$C451,$C451),2))</f>
        <v/>
      </c>
      <c r="K451" s="104" t="str">
        <f aca="false">IF($T451&lt;&gt;"",$T451,IF($C451="","",IF(AND(N($I451)&gt;0,$G451&lt;&gt;""),IF(IFERROR(INDEX(科目表!$U$4:$U$123,MATCH($G451,科目表!$M$4:$M$123,0)),"")&amp;""="","管理费用",INDEX(科目表!$U$4:$U$123,MATCH($G451,科目表!$M$4:$M$123,0))),IF(N($H451)&gt;0,IF(IFERROR(INDEX(自动规则!$C$4:$C$143,MATCH($F451,自动规则!$B$4:$B$143,0)),"")&amp;""="","其他应收款",INDEX(自动规则!$C$4:$C$143,MATCH($F451,自动规则!$B$4:$B$143,0))),IF(IFERROR(INDEX(自动规则!$D$4:$D$143,MATCH($F451,自动规则!$B$4:$B$143,0)),"")&amp;""="","其他应付款",INDEX(自动规则!$D$4:$D$143,MATCH($F451,自动规则!$B$4:$B$143,0)))))))</f>
        <v/>
      </c>
      <c r="L451" s="43"/>
      <c r="M451" s="105" t="str">
        <f aca="false">IF($C451="","",IF(IFERROR(INDEX(科目表!$T$4:$T$123,MATCH($C451,科目表!$K$4:$K$123,0)),"")&amp;""="","其他货币资金",INDEX(科目表!$T$4:$T$123,MATCH($C451,科目表!$K$4:$K$123,0))))</f>
        <v/>
      </c>
      <c r="N451" s="39" t="str">
        <f aca="false">IF(OR($C451="",ROUND(N($H451)+N($I451),2)=0),"",IF(N($H451)&gt;0,$M451,$K451))</f>
        <v/>
      </c>
      <c r="O451" s="41" t="str">
        <f aca="false">IF($N451="","",ROUND(N($H451)+N($I451),2))</f>
        <v/>
      </c>
      <c r="P451" s="41" t="str">
        <f aca="false">IF($N451="","",0)</f>
        <v/>
      </c>
      <c r="Q451" s="39" t="str">
        <f aca="false">IF($N451="","",IF(N($H451)&gt;0,$K451,$M451))</f>
        <v/>
      </c>
      <c r="R451" s="41" t="str">
        <f aca="false">IF($Q451="","",0)</f>
        <v/>
      </c>
      <c r="S451" s="41" t="str">
        <f aca="false">IF($Q451="","",ROUND(N($H451)+N($I451),2))</f>
        <v/>
      </c>
      <c r="T451" s="42"/>
      <c r="U451" s="44"/>
      <c r="V451" s="41" t="str">
        <f aca="false">IF($B451="","",TEXT($B451,"yyyy年m月"))</f>
        <v/>
      </c>
      <c r="W451" s="42"/>
      <c r="X451" s="42"/>
      <c r="Y451" s="9"/>
    </row>
    <row r="452" customFormat="false" ht="18" hidden="false" customHeight="true" outlineLevel="0" collapsed="false">
      <c r="A452" s="9" t="str">
        <f aca="false">IF($C452="","",ROW()-3)</f>
        <v/>
      </c>
      <c r="B452" s="76"/>
      <c r="C452" s="74"/>
      <c r="D452" s="43"/>
      <c r="E452" s="42"/>
      <c r="F452" s="74"/>
      <c r="G452" s="74"/>
      <c r="H452" s="44"/>
      <c r="I452" s="44"/>
      <c r="J452" s="103" t="str">
        <f aca="false">IF($C452="","",ROUND(IFERROR(INDEX(期初余额!$I$4:$I$43,MATCH($C452,期初余额!$H$4:$H$43,0)),0)+SUMIFS($H$4:$H452,$C$4:$C452,$C452)-SUMIFS($I$4:$I452,$C$4:$C452,$C452),2))</f>
        <v/>
      </c>
      <c r="K452" s="104" t="str">
        <f aca="false">IF($T452&lt;&gt;"",$T452,IF($C452="","",IF(AND(N($I452)&gt;0,$G452&lt;&gt;""),IF(IFERROR(INDEX(科目表!$U$4:$U$123,MATCH($G452,科目表!$M$4:$M$123,0)),"")&amp;""="","管理费用",INDEX(科目表!$U$4:$U$123,MATCH($G452,科目表!$M$4:$M$123,0))),IF(N($H452)&gt;0,IF(IFERROR(INDEX(自动规则!$C$4:$C$143,MATCH($F452,自动规则!$B$4:$B$143,0)),"")&amp;""="","其他应收款",INDEX(自动规则!$C$4:$C$143,MATCH($F452,自动规则!$B$4:$B$143,0))),IF(IFERROR(INDEX(自动规则!$D$4:$D$143,MATCH($F452,自动规则!$B$4:$B$143,0)),"")&amp;""="","其他应付款",INDEX(自动规则!$D$4:$D$143,MATCH($F452,自动规则!$B$4:$B$143,0)))))))</f>
        <v/>
      </c>
      <c r="L452" s="43"/>
      <c r="M452" s="105" t="str">
        <f aca="false">IF($C452="","",IF(IFERROR(INDEX(科目表!$T$4:$T$123,MATCH($C452,科目表!$K$4:$K$123,0)),"")&amp;""="","其他货币资金",INDEX(科目表!$T$4:$T$123,MATCH($C452,科目表!$K$4:$K$123,0))))</f>
        <v/>
      </c>
      <c r="N452" s="39" t="str">
        <f aca="false">IF(OR($C452="",ROUND(N($H452)+N($I452),2)=0),"",IF(N($H452)&gt;0,$M452,$K452))</f>
        <v/>
      </c>
      <c r="O452" s="41" t="str">
        <f aca="false">IF($N452="","",ROUND(N($H452)+N($I452),2))</f>
        <v/>
      </c>
      <c r="P452" s="41" t="str">
        <f aca="false">IF($N452="","",0)</f>
        <v/>
      </c>
      <c r="Q452" s="39" t="str">
        <f aca="false">IF($N452="","",IF(N($H452)&gt;0,$K452,$M452))</f>
        <v/>
      </c>
      <c r="R452" s="41" t="str">
        <f aca="false">IF($Q452="","",0)</f>
        <v/>
      </c>
      <c r="S452" s="41" t="str">
        <f aca="false">IF($Q452="","",ROUND(N($H452)+N($I452),2))</f>
        <v/>
      </c>
      <c r="T452" s="42"/>
      <c r="U452" s="44"/>
      <c r="V452" s="41" t="str">
        <f aca="false">IF($B452="","",TEXT($B452,"yyyy年m月"))</f>
        <v/>
      </c>
      <c r="W452" s="42"/>
      <c r="X452" s="42"/>
      <c r="Y452" s="9"/>
    </row>
    <row r="453" customFormat="false" ht="18" hidden="false" customHeight="true" outlineLevel="0" collapsed="false">
      <c r="A453" s="9" t="str">
        <f aca="false">IF($C453="","",ROW()-3)</f>
        <v/>
      </c>
      <c r="B453" s="76"/>
      <c r="C453" s="74"/>
      <c r="D453" s="43"/>
      <c r="E453" s="42"/>
      <c r="F453" s="74"/>
      <c r="G453" s="74"/>
      <c r="H453" s="44"/>
      <c r="I453" s="44"/>
      <c r="J453" s="103" t="str">
        <f aca="false">IF($C453="","",ROUND(IFERROR(INDEX(期初余额!$I$4:$I$43,MATCH($C453,期初余额!$H$4:$H$43,0)),0)+SUMIFS($H$4:$H453,$C$4:$C453,$C453)-SUMIFS($I$4:$I453,$C$4:$C453,$C453),2))</f>
        <v/>
      </c>
      <c r="K453" s="104" t="str">
        <f aca="false">IF($T453&lt;&gt;"",$T453,IF($C453="","",IF(AND(N($I453)&gt;0,$G453&lt;&gt;""),IF(IFERROR(INDEX(科目表!$U$4:$U$123,MATCH($G453,科目表!$M$4:$M$123,0)),"")&amp;""="","管理费用",INDEX(科目表!$U$4:$U$123,MATCH($G453,科目表!$M$4:$M$123,0))),IF(N($H453)&gt;0,IF(IFERROR(INDEX(自动规则!$C$4:$C$143,MATCH($F453,自动规则!$B$4:$B$143,0)),"")&amp;""="","其他应收款",INDEX(自动规则!$C$4:$C$143,MATCH($F453,自动规则!$B$4:$B$143,0))),IF(IFERROR(INDEX(自动规则!$D$4:$D$143,MATCH($F453,自动规则!$B$4:$B$143,0)),"")&amp;""="","其他应付款",INDEX(自动规则!$D$4:$D$143,MATCH($F453,自动规则!$B$4:$B$143,0)))))))</f>
        <v/>
      </c>
      <c r="L453" s="43"/>
      <c r="M453" s="105" t="str">
        <f aca="false">IF($C453="","",IF(IFERROR(INDEX(科目表!$T$4:$T$123,MATCH($C453,科目表!$K$4:$K$123,0)),"")&amp;""="","其他货币资金",INDEX(科目表!$T$4:$T$123,MATCH($C453,科目表!$K$4:$K$123,0))))</f>
        <v/>
      </c>
      <c r="N453" s="39" t="str">
        <f aca="false">IF(OR($C453="",ROUND(N($H453)+N($I453),2)=0),"",IF(N($H453)&gt;0,$M453,$K453))</f>
        <v/>
      </c>
      <c r="O453" s="41" t="str">
        <f aca="false">IF($N453="","",ROUND(N($H453)+N($I453),2))</f>
        <v/>
      </c>
      <c r="P453" s="41" t="str">
        <f aca="false">IF($N453="","",0)</f>
        <v/>
      </c>
      <c r="Q453" s="39" t="str">
        <f aca="false">IF($N453="","",IF(N($H453)&gt;0,$K453,$M453))</f>
        <v/>
      </c>
      <c r="R453" s="41" t="str">
        <f aca="false">IF($Q453="","",0)</f>
        <v/>
      </c>
      <c r="S453" s="41" t="str">
        <f aca="false">IF($Q453="","",ROUND(N($H453)+N($I453),2))</f>
        <v/>
      </c>
      <c r="T453" s="42"/>
      <c r="U453" s="44"/>
      <c r="V453" s="41" t="str">
        <f aca="false">IF($B453="","",TEXT($B453,"yyyy年m月"))</f>
        <v/>
      </c>
      <c r="W453" s="42"/>
      <c r="X453" s="42"/>
      <c r="Y453" s="9"/>
    </row>
    <row r="454" customFormat="false" ht="18" hidden="false" customHeight="true" outlineLevel="0" collapsed="false">
      <c r="A454" s="9" t="str">
        <f aca="false">IF($C454="","",ROW()-3)</f>
        <v/>
      </c>
      <c r="B454" s="76"/>
      <c r="C454" s="74"/>
      <c r="D454" s="43"/>
      <c r="E454" s="42"/>
      <c r="F454" s="74"/>
      <c r="G454" s="74"/>
      <c r="H454" s="44"/>
      <c r="I454" s="44"/>
      <c r="J454" s="103" t="str">
        <f aca="false">IF($C454="","",ROUND(IFERROR(INDEX(期初余额!$I$4:$I$43,MATCH($C454,期初余额!$H$4:$H$43,0)),0)+SUMIFS($H$4:$H454,$C$4:$C454,$C454)-SUMIFS($I$4:$I454,$C$4:$C454,$C454),2))</f>
        <v/>
      </c>
      <c r="K454" s="104" t="str">
        <f aca="false">IF($T454&lt;&gt;"",$T454,IF($C454="","",IF(AND(N($I454)&gt;0,$G454&lt;&gt;""),IF(IFERROR(INDEX(科目表!$U$4:$U$123,MATCH($G454,科目表!$M$4:$M$123,0)),"")&amp;""="","管理费用",INDEX(科目表!$U$4:$U$123,MATCH($G454,科目表!$M$4:$M$123,0))),IF(N($H454)&gt;0,IF(IFERROR(INDEX(自动规则!$C$4:$C$143,MATCH($F454,自动规则!$B$4:$B$143,0)),"")&amp;""="","其他应收款",INDEX(自动规则!$C$4:$C$143,MATCH($F454,自动规则!$B$4:$B$143,0))),IF(IFERROR(INDEX(自动规则!$D$4:$D$143,MATCH($F454,自动规则!$B$4:$B$143,0)),"")&amp;""="","其他应付款",INDEX(自动规则!$D$4:$D$143,MATCH($F454,自动规则!$B$4:$B$143,0)))))))</f>
        <v/>
      </c>
      <c r="L454" s="43"/>
      <c r="M454" s="105" t="str">
        <f aca="false">IF($C454="","",IF(IFERROR(INDEX(科目表!$T$4:$T$123,MATCH($C454,科目表!$K$4:$K$123,0)),"")&amp;""="","其他货币资金",INDEX(科目表!$T$4:$T$123,MATCH($C454,科目表!$K$4:$K$123,0))))</f>
        <v/>
      </c>
      <c r="N454" s="39" t="str">
        <f aca="false">IF(OR($C454="",ROUND(N($H454)+N($I454),2)=0),"",IF(N($H454)&gt;0,$M454,$K454))</f>
        <v/>
      </c>
      <c r="O454" s="41" t="str">
        <f aca="false">IF($N454="","",ROUND(N($H454)+N($I454),2))</f>
        <v/>
      </c>
      <c r="P454" s="41" t="str">
        <f aca="false">IF($N454="","",0)</f>
        <v/>
      </c>
      <c r="Q454" s="39" t="str">
        <f aca="false">IF($N454="","",IF(N($H454)&gt;0,$K454,$M454))</f>
        <v/>
      </c>
      <c r="R454" s="41" t="str">
        <f aca="false">IF($Q454="","",0)</f>
        <v/>
      </c>
      <c r="S454" s="41" t="str">
        <f aca="false">IF($Q454="","",ROUND(N($H454)+N($I454),2))</f>
        <v/>
      </c>
      <c r="T454" s="42"/>
      <c r="U454" s="44"/>
      <c r="V454" s="41" t="str">
        <f aca="false">IF($B454="","",TEXT($B454,"yyyy年m月"))</f>
        <v/>
      </c>
      <c r="W454" s="42"/>
      <c r="X454" s="42"/>
      <c r="Y454" s="9"/>
    </row>
    <row r="455" customFormat="false" ht="18" hidden="false" customHeight="true" outlineLevel="0" collapsed="false">
      <c r="A455" s="9" t="str">
        <f aca="false">IF($C455="","",ROW()-3)</f>
        <v/>
      </c>
      <c r="B455" s="76"/>
      <c r="C455" s="74"/>
      <c r="D455" s="43"/>
      <c r="E455" s="42"/>
      <c r="F455" s="74"/>
      <c r="G455" s="74"/>
      <c r="H455" s="44"/>
      <c r="I455" s="44"/>
      <c r="J455" s="103" t="str">
        <f aca="false">IF($C455="","",ROUND(IFERROR(INDEX(期初余额!$I$4:$I$43,MATCH($C455,期初余额!$H$4:$H$43,0)),0)+SUMIFS($H$4:$H455,$C$4:$C455,$C455)-SUMIFS($I$4:$I455,$C$4:$C455,$C455),2))</f>
        <v/>
      </c>
      <c r="K455" s="104" t="str">
        <f aca="false">IF($T455&lt;&gt;"",$T455,IF($C455="","",IF(AND(N($I455)&gt;0,$G455&lt;&gt;""),IF(IFERROR(INDEX(科目表!$U$4:$U$123,MATCH($G455,科目表!$M$4:$M$123,0)),"")&amp;""="","管理费用",INDEX(科目表!$U$4:$U$123,MATCH($G455,科目表!$M$4:$M$123,0))),IF(N($H455)&gt;0,IF(IFERROR(INDEX(自动规则!$C$4:$C$143,MATCH($F455,自动规则!$B$4:$B$143,0)),"")&amp;""="","其他应收款",INDEX(自动规则!$C$4:$C$143,MATCH($F455,自动规则!$B$4:$B$143,0))),IF(IFERROR(INDEX(自动规则!$D$4:$D$143,MATCH($F455,自动规则!$B$4:$B$143,0)),"")&amp;""="","其他应付款",INDEX(自动规则!$D$4:$D$143,MATCH($F455,自动规则!$B$4:$B$143,0)))))))</f>
        <v/>
      </c>
      <c r="L455" s="43"/>
      <c r="M455" s="105" t="str">
        <f aca="false">IF($C455="","",IF(IFERROR(INDEX(科目表!$T$4:$T$123,MATCH($C455,科目表!$K$4:$K$123,0)),"")&amp;""="","其他货币资金",INDEX(科目表!$T$4:$T$123,MATCH($C455,科目表!$K$4:$K$123,0))))</f>
        <v/>
      </c>
      <c r="N455" s="39" t="str">
        <f aca="false">IF(OR($C455="",ROUND(N($H455)+N($I455),2)=0),"",IF(N($H455)&gt;0,$M455,$K455))</f>
        <v/>
      </c>
      <c r="O455" s="41" t="str">
        <f aca="false">IF($N455="","",ROUND(N($H455)+N($I455),2))</f>
        <v/>
      </c>
      <c r="P455" s="41" t="str">
        <f aca="false">IF($N455="","",0)</f>
        <v/>
      </c>
      <c r="Q455" s="39" t="str">
        <f aca="false">IF($N455="","",IF(N($H455)&gt;0,$K455,$M455))</f>
        <v/>
      </c>
      <c r="R455" s="41" t="str">
        <f aca="false">IF($Q455="","",0)</f>
        <v/>
      </c>
      <c r="S455" s="41" t="str">
        <f aca="false">IF($Q455="","",ROUND(N($H455)+N($I455),2))</f>
        <v/>
      </c>
      <c r="T455" s="42"/>
      <c r="U455" s="44"/>
      <c r="V455" s="41" t="str">
        <f aca="false">IF($B455="","",TEXT($B455,"yyyy年m月"))</f>
        <v/>
      </c>
      <c r="W455" s="42"/>
      <c r="X455" s="42"/>
      <c r="Y455" s="9"/>
    </row>
    <row r="456" customFormat="false" ht="18" hidden="false" customHeight="true" outlineLevel="0" collapsed="false">
      <c r="A456" s="9" t="str">
        <f aca="false">IF($C456="","",ROW()-3)</f>
        <v/>
      </c>
      <c r="B456" s="76"/>
      <c r="C456" s="74"/>
      <c r="D456" s="43"/>
      <c r="E456" s="42"/>
      <c r="F456" s="74"/>
      <c r="G456" s="74"/>
      <c r="H456" s="44"/>
      <c r="I456" s="44"/>
      <c r="J456" s="103" t="str">
        <f aca="false">IF($C456="","",ROUND(IFERROR(INDEX(期初余额!$I$4:$I$43,MATCH($C456,期初余额!$H$4:$H$43,0)),0)+SUMIFS($H$4:$H456,$C$4:$C456,$C456)-SUMIFS($I$4:$I456,$C$4:$C456,$C456),2))</f>
        <v/>
      </c>
      <c r="K456" s="104" t="str">
        <f aca="false">IF($T456&lt;&gt;"",$T456,IF($C456="","",IF(AND(N($I456)&gt;0,$G456&lt;&gt;""),IF(IFERROR(INDEX(科目表!$U$4:$U$123,MATCH($G456,科目表!$M$4:$M$123,0)),"")&amp;""="","管理费用",INDEX(科目表!$U$4:$U$123,MATCH($G456,科目表!$M$4:$M$123,0))),IF(N($H456)&gt;0,IF(IFERROR(INDEX(自动规则!$C$4:$C$143,MATCH($F456,自动规则!$B$4:$B$143,0)),"")&amp;""="","其他应收款",INDEX(自动规则!$C$4:$C$143,MATCH($F456,自动规则!$B$4:$B$143,0))),IF(IFERROR(INDEX(自动规则!$D$4:$D$143,MATCH($F456,自动规则!$B$4:$B$143,0)),"")&amp;""="","其他应付款",INDEX(自动规则!$D$4:$D$143,MATCH($F456,自动规则!$B$4:$B$143,0)))))))</f>
        <v/>
      </c>
      <c r="L456" s="43"/>
      <c r="M456" s="105" t="str">
        <f aca="false">IF($C456="","",IF(IFERROR(INDEX(科目表!$T$4:$T$123,MATCH($C456,科目表!$K$4:$K$123,0)),"")&amp;""="","其他货币资金",INDEX(科目表!$T$4:$T$123,MATCH($C456,科目表!$K$4:$K$123,0))))</f>
        <v/>
      </c>
      <c r="N456" s="39" t="str">
        <f aca="false">IF(OR($C456="",ROUND(N($H456)+N($I456),2)=0),"",IF(N($H456)&gt;0,$M456,$K456))</f>
        <v/>
      </c>
      <c r="O456" s="41" t="str">
        <f aca="false">IF($N456="","",ROUND(N($H456)+N($I456),2))</f>
        <v/>
      </c>
      <c r="P456" s="41" t="str">
        <f aca="false">IF($N456="","",0)</f>
        <v/>
      </c>
      <c r="Q456" s="39" t="str">
        <f aca="false">IF($N456="","",IF(N($H456)&gt;0,$K456,$M456))</f>
        <v/>
      </c>
      <c r="R456" s="41" t="str">
        <f aca="false">IF($Q456="","",0)</f>
        <v/>
      </c>
      <c r="S456" s="41" t="str">
        <f aca="false">IF($Q456="","",ROUND(N($H456)+N($I456),2))</f>
        <v/>
      </c>
      <c r="T456" s="42"/>
      <c r="U456" s="44"/>
      <c r="V456" s="41" t="str">
        <f aca="false">IF($B456="","",TEXT($B456,"yyyy年m月"))</f>
        <v/>
      </c>
      <c r="W456" s="42"/>
      <c r="X456" s="42"/>
      <c r="Y456" s="9"/>
    </row>
    <row r="457" customFormat="false" ht="18" hidden="false" customHeight="true" outlineLevel="0" collapsed="false">
      <c r="A457" s="9" t="str">
        <f aca="false">IF($C457="","",ROW()-3)</f>
        <v/>
      </c>
      <c r="B457" s="76"/>
      <c r="C457" s="74"/>
      <c r="D457" s="43"/>
      <c r="E457" s="42"/>
      <c r="F457" s="74"/>
      <c r="G457" s="74"/>
      <c r="H457" s="44"/>
      <c r="I457" s="44"/>
      <c r="J457" s="103" t="str">
        <f aca="false">IF($C457="","",ROUND(IFERROR(INDEX(期初余额!$I$4:$I$43,MATCH($C457,期初余额!$H$4:$H$43,0)),0)+SUMIFS($H$4:$H457,$C$4:$C457,$C457)-SUMIFS($I$4:$I457,$C$4:$C457,$C457),2))</f>
        <v/>
      </c>
      <c r="K457" s="104" t="str">
        <f aca="false">IF($T457&lt;&gt;"",$T457,IF($C457="","",IF(AND(N($I457)&gt;0,$G457&lt;&gt;""),IF(IFERROR(INDEX(科目表!$U$4:$U$123,MATCH($G457,科目表!$M$4:$M$123,0)),"")&amp;""="","管理费用",INDEX(科目表!$U$4:$U$123,MATCH($G457,科目表!$M$4:$M$123,0))),IF(N($H457)&gt;0,IF(IFERROR(INDEX(自动规则!$C$4:$C$143,MATCH($F457,自动规则!$B$4:$B$143,0)),"")&amp;""="","其他应收款",INDEX(自动规则!$C$4:$C$143,MATCH($F457,自动规则!$B$4:$B$143,0))),IF(IFERROR(INDEX(自动规则!$D$4:$D$143,MATCH($F457,自动规则!$B$4:$B$143,0)),"")&amp;""="","其他应付款",INDEX(自动规则!$D$4:$D$143,MATCH($F457,自动规则!$B$4:$B$143,0)))))))</f>
        <v/>
      </c>
      <c r="L457" s="43"/>
      <c r="M457" s="105" t="str">
        <f aca="false">IF($C457="","",IF(IFERROR(INDEX(科目表!$T$4:$T$123,MATCH($C457,科目表!$K$4:$K$123,0)),"")&amp;""="","其他货币资金",INDEX(科目表!$T$4:$T$123,MATCH($C457,科目表!$K$4:$K$123,0))))</f>
        <v/>
      </c>
      <c r="N457" s="39" t="str">
        <f aca="false">IF(OR($C457="",ROUND(N($H457)+N($I457),2)=0),"",IF(N($H457)&gt;0,$M457,$K457))</f>
        <v/>
      </c>
      <c r="O457" s="41" t="str">
        <f aca="false">IF($N457="","",ROUND(N($H457)+N($I457),2))</f>
        <v/>
      </c>
      <c r="P457" s="41" t="str">
        <f aca="false">IF($N457="","",0)</f>
        <v/>
      </c>
      <c r="Q457" s="39" t="str">
        <f aca="false">IF($N457="","",IF(N($H457)&gt;0,$K457,$M457))</f>
        <v/>
      </c>
      <c r="R457" s="41" t="str">
        <f aca="false">IF($Q457="","",0)</f>
        <v/>
      </c>
      <c r="S457" s="41" t="str">
        <f aca="false">IF($Q457="","",ROUND(N($H457)+N($I457),2))</f>
        <v/>
      </c>
      <c r="T457" s="42"/>
      <c r="U457" s="44"/>
      <c r="V457" s="41" t="str">
        <f aca="false">IF($B457="","",TEXT($B457,"yyyy年m月"))</f>
        <v/>
      </c>
      <c r="W457" s="42"/>
      <c r="X457" s="42"/>
      <c r="Y457" s="9"/>
    </row>
    <row r="458" customFormat="false" ht="18" hidden="false" customHeight="true" outlineLevel="0" collapsed="false">
      <c r="A458" s="9" t="str">
        <f aca="false">IF($C458="","",ROW()-3)</f>
        <v/>
      </c>
      <c r="B458" s="76"/>
      <c r="C458" s="74"/>
      <c r="D458" s="43"/>
      <c r="E458" s="42"/>
      <c r="F458" s="74"/>
      <c r="G458" s="74"/>
      <c r="H458" s="44"/>
      <c r="I458" s="44"/>
      <c r="J458" s="103" t="str">
        <f aca="false">IF($C458="","",ROUND(IFERROR(INDEX(期初余额!$I$4:$I$43,MATCH($C458,期初余额!$H$4:$H$43,0)),0)+SUMIFS($H$4:$H458,$C$4:$C458,$C458)-SUMIFS($I$4:$I458,$C$4:$C458,$C458),2))</f>
        <v/>
      </c>
      <c r="K458" s="104" t="str">
        <f aca="false">IF($T458&lt;&gt;"",$T458,IF($C458="","",IF(AND(N($I458)&gt;0,$G458&lt;&gt;""),IF(IFERROR(INDEX(科目表!$U$4:$U$123,MATCH($G458,科目表!$M$4:$M$123,0)),"")&amp;""="","管理费用",INDEX(科目表!$U$4:$U$123,MATCH($G458,科目表!$M$4:$M$123,0))),IF(N($H458)&gt;0,IF(IFERROR(INDEX(自动规则!$C$4:$C$143,MATCH($F458,自动规则!$B$4:$B$143,0)),"")&amp;""="","其他应收款",INDEX(自动规则!$C$4:$C$143,MATCH($F458,自动规则!$B$4:$B$143,0))),IF(IFERROR(INDEX(自动规则!$D$4:$D$143,MATCH($F458,自动规则!$B$4:$B$143,0)),"")&amp;""="","其他应付款",INDEX(自动规则!$D$4:$D$143,MATCH($F458,自动规则!$B$4:$B$143,0)))))))</f>
        <v/>
      </c>
      <c r="L458" s="43"/>
      <c r="M458" s="105" t="str">
        <f aca="false">IF($C458="","",IF(IFERROR(INDEX(科目表!$T$4:$T$123,MATCH($C458,科目表!$K$4:$K$123,0)),"")&amp;""="","其他货币资金",INDEX(科目表!$T$4:$T$123,MATCH($C458,科目表!$K$4:$K$123,0))))</f>
        <v/>
      </c>
      <c r="N458" s="39" t="str">
        <f aca="false">IF(OR($C458="",ROUND(N($H458)+N($I458),2)=0),"",IF(N($H458)&gt;0,$M458,$K458))</f>
        <v/>
      </c>
      <c r="O458" s="41" t="str">
        <f aca="false">IF($N458="","",ROUND(N($H458)+N($I458),2))</f>
        <v/>
      </c>
      <c r="P458" s="41" t="str">
        <f aca="false">IF($N458="","",0)</f>
        <v/>
      </c>
      <c r="Q458" s="39" t="str">
        <f aca="false">IF($N458="","",IF(N($H458)&gt;0,$K458,$M458))</f>
        <v/>
      </c>
      <c r="R458" s="41" t="str">
        <f aca="false">IF($Q458="","",0)</f>
        <v/>
      </c>
      <c r="S458" s="41" t="str">
        <f aca="false">IF($Q458="","",ROUND(N($H458)+N($I458),2))</f>
        <v/>
      </c>
      <c r="T458" s="42"/>
      <c r="U458" s="44"/>
      <c r="V458" s="41" t="str">
        <f aca="false">IF($B458="","",TEXT($B458,"yyyy年m月"))</f>
        <v/>
      </c>
      <c r="W458" s="42"/>
      <c r="X458" s="42"/>
      <c r="Y458" s="9"/>
    </row>
    <row r="459" customFormat="false" ht="18" hidden="false" customHeight="true" outlineLevel="0" collapsed="false">
      <c r="A459" s="9" t="str">
        <f aca="false">IF($C459="","",ROW()-3)</f>
        <v/>
      </c>
      <c r="B459" s="76"/>
      <c r="C459" s="74"/>
      <c r="D459" s="43"/>
      <c r="E459" s="42"/>
      <c r="F459" s="74"/>
      <c r="G459" s="74"/>
      <c r="H459" s="44"/>
      <c r="I459" s="44"/>
      <c r="J459" s="103" t="str">
        <f aca="false">IF($C459="","",ROUND(IFERROR(INDEX(期初余额!$I$4:$I$43,MATCH($C459,期初余额!$H$4:$H$43,0)),0)+SUMIFS($H$4:$H459,$C$4:$C459,$C459)-SUMIFS($I$4:$I459,$C$4:$C459,$C459),2))</f>
        <v/>
      </c>
      <c r="K459" s="104" t="str">
        <f aca="false">IF($T459&lt;&gt;"",$T459,IF($C459="","",IF(AND(N($I459)&gt;0,$G459&lt;&gt;""),IF(IFERROR(INDEX(科目表!$U$4:$U$123,MATCH($G459,科目表!$M$4:$M$123,0)),"")&amp;""="","管理费用",INDEX(科目表!$U$4:$U$123,MATCH($G459,科目表!$M$4:$M$123,0))),IF(N($H459)&gt;0,IF(IFERROR(INDEX(自动规则!$C$4:$C$143,MATCH($F459,自动规则!$B$4:$B$143,0)),"")&amp;""="","其他应收款",INDEX(自动规则!$C$4:$C$143,MATCH($F459,自动规则!$B$4:$B$143,0))),IF(IFERROR(INDEX(自动规则!$D$4:$D$143,MATCH($F459,自动规则!$B$4:$B$143,0)),"")&amp;""="","其他应付款",INDEX(自动规则!$D$4:$D$143,MATCH($F459,自动规则!$B$4:$B$143,0)))))))</f>
        <v/>
      </c>
      <c r="L459" s="43"/>
      <c r="M459" s="105" t="str">
        <f aca="false">IF($C459="","",IF(IFERROR(INDEX(科目表!$T$4:$T$123,MATCH($C459,科目表!$K$4:$K$123,0)),"")&amp;""="","其他货币资金",INDEX(科目表!$T$4:$T$123,MATCH($C459,科目表!$K$4:$K$123,0))))</f>
        <v/>
      </c>
      <c r="N459" s="39" t="str">
        <f aca="false">IF(OR($C459="",ROUND(N($H459)+N($I459),2)=0),"",IF(N($H459)&gt;0,$M459,$K459))</f>
        <v/>
      </c>
      <c r="O459" s="41" t="str">
        <f aca="false">IF($N459="","",ROUND(N($H459)+N($I459),2))</f>
        <v/>
      </c>
      <c r="P459" s="41" t="str">
        <f aca="false">IF($N459="","",0)</f>
        <v/>
      </c>
      <c r="Q459" s="39" t="str">
        <f aca="false">IF($N459="","",IF(N($H459)&gt;0,$K459,$M459))</f>
        <v/>
      </c>
      <c r="R459" s="41" t="str">
        <f aca="false">IF($Q459="","",0)</f>
        <v/>
      </c>
      <c r="S459" s="41" t="str">
        <f aca="false">IF($Q459="","",ROUND(N($H459)+N($I459),2))</f>
        <v/>
      </c>
      <c r="T459" s="42"/>
      <c r="U459" s="44"/>
      <c r="V459" s="41" t="str">
        <f aca="false">IF($B459="","",TEXT($B459,"yyyy年m月"))</f>
        <v/>
      </c>
      <c r="W459" s="42"/>
      <c r="X459" s="42"/>
      <c r="Y459" s="9"/>
    </row>
    <row r="460" customFormat="false" ht="18" hidden="false" customHeight="true" outlineLevel="0" collapsed="false">
      <c r="A460" s="9" t="str">
        <f aca="false">IF($C460="","",ROW()-3)</f>
        <v/>
      </c>
      <c r="B460" s="76"/>
      <c r="C460" s="74"/>
      <c r="D460" s="43"/>
      <c r="E460" s="42"/>
      <c r="F460" s="74"/>
      <c r="G460" s="74"/>
      <c r="H460" s="44"/>
      <c r="I460" s="44"/>
      <c r="J460" s="103" t="str">
        <f aca="false">IF($C460="","",ROUND(IFERROR(INDEX(期初余额!$I$4:$I$43,MATCH($C460,期初余额!$H$4:$H$43,0)),0)+SUMIFS($H$4:$H460,$C$4:$C460,$C460)-SUMIFS($I$4:$I460,$C$4:$C460,$C460),2))</f>
        <v/>
      </c>
      <c r="K460" s="104" t="str">
        <f aca="false">IF($T460&lt;&gt;"",$T460,IF($C460="","",IF(AND(N($I460)&gt;0,$G460&lt;&gt;""),IF(IFERROR(INDEX(科目表!$U$4:$U$123,MATCH($G460,科目表!$M$4:$M$123,0)),"")&amp;""="","管理费用",INDEX(科目表!$U$4:$U$123,MATCH($G460,科目表!$M$4:$M$123,0))),IF(N($H460)&gt;0,IF(IFERROR(INDEX(自动规则!$C$4:$C$143,MATCH($F460,自动规则!$B$4:$B$143,0)),"")&amp;""="","其他应收款",INDEX(自动规则!$C$4:$C$143,MATCH($F460,自动规则!$B$4:$B$143,0))),IF(IFERROR(INDEX(自动规则!$D$4:$D$143,MATCH($F460,自动规则!$B$4:$B$143,0)),"")&amp;""="","其他应付款",INDEX(自动规则!$D$4:$D$143,MATCH($F460,自动规则!$B$4:$B$143,0)))))))</f>
        <v/>
      </c>
      <c r="L460" s="43"/>
      <c r="M460" s="105" t="str">
        <f aca="false">IF($C460="","",IF(IFERROR(INDEX(科目表!$T$4:$T$123,MATCH($C460,科目表!$K$4:$K$123,0)),"")&amp;""="","其他货币资金",INDEX(科目表!$T$4:$T$123,MATCH($C460,科目表!$K$4:$K$123,0))))</f>
        <v/>
      </c>
      <c r="N460" s="39" t="str">
        <f aca="false">IF(OR($C460="",ROUND(N($H460)+N($I460),2)=0),"",IF(N($H460)&gt;0,$M460,$K460))</f>
        <v/>
      </c>
      <c r="O460" s="41" t="str">
        <f aca="false">IF($N460="","",ROUND(N($H460)+N($I460),2))</f>
        <v/>
      </c>
      <c r="P460" s="41" t="str">
        <f aca="false">IF($N460="","",0)</f>
        <v/>
      </c>
      <c r="Q460" s="39" t="str">
        <f aca="false">IF($N460="","",IF(N($H460)&gt;0,$K460,$M460))</f>
        <v/>
      </c>
      <c r="R460" s="41" t="str">
        <f aca="false">IF($Q460="","",0)</f>
        <v/>
      </c>
      <c r="S460" s="41" t="str">
        <f aca="false">IF($Q460="","",ROUND(N($H460)+N($I460),2))</f>
        <v/>
      </c>
      <c r="T460" s="42"/>
      <c r="U460" s="44"/>
      <c r="V460" s="41" t="str">
        <f aca="false">IF($B460="","",TEXT($B460,"yyyy年m月"))</f>
        <v/>
      </c>
      <c r="W460" s="42"/>
      <c r="X460" s="42"/>
      <c r="Y460" s="9"/>
    </row>
    <row r="461" customFormat="false" ht="18" hidden="false" customHeight="true" outlineLevel="0" collapsed="false">
      <c r="A461" s="9" t="str">
        <f aca="false">IF($C461="","",ROW()-3)</f>
        <v/>
      </c>
      <c r="B461" s="76"/>
      <c r="C461" s="74"/>
      <c r="D461" s="43"/>
      <c r="E461" s="42"/>
      <c r="F461" s="74"/>
      <c r="G461" s="74"/>
      <c r="H461" s="44"/>
      <c r="I461" s="44"/>
      <c r="J461" s="103" t="str">
        <f aca="false">IF($C461="","",ROUND(IFERROR(INDEX(期初余额!$I$4:$I$43,MATCH($C461,期初余额!$H$4:$H$43,0)),0)+SUMIFS($H$4:$H461,$C$4:$C461,$C461)-SUMIFS($I$4:$I461,$C$4:$C461,$C461),2))</f>
        <v/>
      </c>
      <c r="K461" s="104" t="str">
        <f aca="false">IF($T461&lt;&gt;"",$T461,IF($C461="","",IF(AND(N($I461)&gt;0,$G461&lt;&gt;""),IF(IFERROR(INDEX(科目表!$U$4:$U$123,MATCH($G461,科目表!$M$4:$M$123,0)),"")&amp;""="","管理费用",INDEX(科目表!$U$4:$U$123,MATCH($G461,科目表!$M$4:$M$123,0))),IF(N($H461)&gt;0,IF(IFERROR(INDEX(自动规则!$C$4:$C$143,MATCH($F461,自动规则!$B$4:$B$143,0)),"")&amp;""="","其他应收款",INDEX(自动规则!$C$4:$C$143,MATCH($F461,自动规则!$B$4:$B$143,0))),IF(IFERROR(INDEX(自动规则!$D$4:$D$143,MATCH($F461,自动规则!$B$4:$B$143,0)),"")&amp;""="","其他应付款",INDEX(自动规则!$D$4:$D$143,MATCH($F461,自动规则!$B$4:$B$143,0)))))))</f>
        <v/>
      </c>
      <c r="L461" s="43"/>
      <c r="M461" s="105" t="str">
        <f aca="false">IF($C461="","",IF(IFERROR(INDEX(科目表!$T$4:$T$123,MATCH($C461,科目表!$K$4:$K$123,0)),"")&amp;""="","其他货币资金",INDEX(科目表!$T$4:$T$123,MATCH($C461,科目表!$K$4:$K$123,0))))</f>
        <v/>
      </c>
      <c r="N461" s="39" t="str">
        <f aca="false">IF(OR($C461="",ROUND(N($H461)+N($I461),2)=0),"",IF(N($H461)&gt;0,$M461,$K461))</f>
        <v/>
      </c>
      <c r="O461" s="41" t="str">
        <f aca="false">IF($N461="","",ROUND(N($H461)+N($I461),2))</f>
        <v/>
      </c>
      <c r="P461" s="41" t="str">
        <f aca="false">IF($N461="","",0)</f>
        <v/>
      </c>
      <c r="Q461" s="39" t="str">
        <f aca="false">IF($N461="","",IF(N($H461)&gt;0,$K461,$M461))</f>
        <v/>
      </c>
      <c r="R461" s="41" t="str">
        <f aca="false">IF($Q461="","",0)</f>
        <v/>
      </c>
      <c r="S461" s="41" t="str">
        <f aca="false">IF($Q461="","",ROUND(N($H461)+N($I461),2))</f>
        <v/>
      </c>
      <c r="T461" s="42"/>
      <c r="U461" s="44"/>
      <c r="V461" s="41" t="str">
        <f aca="false">IF($B461="","",TEXT($B461,"yyyy年m月"))</f>
        <v/>
      </c>
      <c r="W461" s="42"/>
      <c r="X461" s="42"/>
      <c r="Y461" s="9"/>
    </row>
    <row r="462" customFormat="false" ht="18" hidden="false" customHeight="true" outlineLevel="0" collapsed="false">
      <c r="A462" s="9" t="str">
        <f aca="false">IF($C462="","",ROW()-3)</f>
        <v/>
      </c>
      <c r="B462" s="76"/>
      <c r="C462" s="74"/>
      <c r="D462" s="43"/>
      <c r="E462" s="42"/>
      <c r="F462" s="74"/>
      <c r="G462" s="74"/>
      <c r="H462" s="44"/>
      <c r="I462" s="44"/>
      <c r="J462" s="103" t="str">
        <f aca="false">IF($C462="","",ROUND(IFERROR(INDEX(期初余额!$I$4:$I$43,MATCH($C462,期初余额!$H$4:$H$43,0)),0)+SUMIFS($H$4:$H462,$C$4:$C462,$C462)-SUMIFS($I$4:$I462,$C$4:$C462,$C462),2))</f>
        <v/>
      </c>
      <c r="K462" s="104" t="str">
        <f aca="false">IF($T462&lt;&gt;"",$T462,IF($C462="","",IF(AND(N($I462)&gt;0,$G462&lt;&gt;""),IF(IFERROR(INDEX(科目表!$U$4:$U$123,MATCH($G462,科目表!$M$4:$M$123,0)),"")&amp;""="","管理费用",INDEX(科目表!$U$4:$U$123,MATCH($G462,科目表!$M$4:$M$123,0))),IF(N($H462)&gt;0,IF(IFERROR(INDEX(自动规则!$C$4:$C$143,MATCH($F462,自动规则!$B$4:$B$143,0)),"")&amp;""="","其他应收款",INDEX(自动规则!$C$4:$C$143,MATCH($F462,自动规则!$B$4:$B$143,0))),IF(IFERROR(INDEX(自动规则!$D$4:$D$143,MATCH($F462,自动规则!$B$4:$B$143,0)),"")&amp;""="","其他应付款",INDEX(自动规则!$D$4:$D$143,MATCH($F462,自动规则!$B$4:$B$143,0)))))))</f>
        <v/>
      </c>
      <c r="L462" s="43"/>
      <c r="M462" s="105" t="str">
        <f aca="false">IF($C462="","",IF(IFERROR(INDEX(科目表!$T$4:$T$123,MATCH($C462,科目表!$K$4:$K$123,0)),"")&amp;""="","其他货币资金",INDEX(科目表!$T$4:$T$123,MATCH($C462,科目表!$K$4:$K$123,0))))</f>
        <v/>
      </c>
      <c r="N462" s="39" t="str">
        <f aca="false">IF(OR($C462="",ROUND(N($H462)+N($I462),2)=0),"",IF(N($H462)&gt;0,$M462,$K462))</f>
        <v/>
      </c>
      <c r="O462" s="41" t="str">
        <f aca="false">IF($N462="","",ROUND(N($H462)+N($I462),2))</f>
        <v/>
      </c>
      <c r="P462" s="41" t="str">
        <f aca="false">IF($N462="","",0)</f>
        <v/>
      </c>
      <c r="Q462" s="39" t="str">
        <f aca="false">IF($N462="","",IF(N($H462)&gt;0,$K462,$M462))</f>
        <v/>
      </c>
      <c r="R462" s="41" t="str">
        <f aca="false">IF($Q462="","",0)</f>
        <v/>
      </c>
      <c r="S462" s="41" t="str">
        <f aca="false">IF($Q462="","",ROUND(N($H462)+N($I462),2))</f>
        <v/>
      </c>
      <c r="T462" s="42"/>
      <c r="U462" s="44"/>
      <c r="V462" s="41" t="str">
        <f aca="false">IF($B462="","",TEXT($B462,"yyyy年m月"))</f>
        <v/>
      </c>
      <c r="W462" s="42"/>
      <c r="X462" s="42"/>
      <c r="Y462" s="9"/>
    </row>
    <row r="463" customFormat="false" ht="18" hidden="false" customHeight="true" outlineLevel="0" collapsed="false">
      <c r="A463" s="9" t="str">
        <f aca="false">IF($C463="","",ROW()-3)</f>
        <v/>
      </c>
      <c r="B463" s="76"/>
      <c r="C463" s="74"/>
      <c r="D463" s="43"/>
      <c r="E463" s="42"/>
      <c r="F463" s="74"/>
      <c r="G463" s="74"/>
      <c r="H463" s="44"/>
      <c r="I463" s="44"/>
      <c r="J463" s="103" t="str">
        <f aca="false">IF($C463="","",ROUND(IFERROR(INDEX(期初余额!$I$4:$I$43,MATCH($C463,期初余额!$H$4:$H$43,0)),0)+SUMIFS($H$4:$H463,$C$4:$C463,$C463)-SUMIFS($I$4:$I463,$C$4:$C463,$C463),2))</f>
        <v/>
      </c>
      <c r="K463" s="104" t="str">
        <f aca="false">IF($T463&lt;&gt;"",$T463,IF($C463="","",IF(AND(N($I463)&gt;0,$G463&lt;&gt;""),IF(IFERROR(INDEX(科目表!$U$4:$U$123,MATCH($G463,科目表!$M$4:$M$123,0)),"")&amp;""="","管理费用",INDEX(科目表!$U$4:$U$123,MATCH($G463,科目表!$M$4:$M$123,0))),IF(N($H463)&gt;0,IF(IFERROR(INDEX(自动规则!$C$4:$C$143,MATCH($F463,自动规则!$B$4:$B$143,0)),"")&amp;""="","其他应收款",INDEX(自动规则!$C$4:$C$143,MATCH($F463,自动规则!$B$4:$B$143,0))),IF(IFERROR(INDEX(自动规则!$D$4:$D$143,MATCH($F463,自动规则!$B$4:$B$143,0)),"")&amp;""="","其他应付款",INDEX(自动规则!$D$4:$D$143,MATCH($F463,自动规则!$B$4:$B$143,0)))))))</f>
        <v/>
      </c>
      <c r="L463" s="43"/>
      <c r="M463" s="105" t="str">
        <f aca="false">IF($C463="","",IF(IFERROR(INDEX(科目表!$T$4:$T$123,MATCH($C463,科目表!$K$4:$K$123,0)),"")&amp;""="","其他货币资金",INDEX(科目表!$T$4:$T$123,MATCH($C463,科目表!$K$4:$K$123,0))))</f>
        <v/>
      </c>
      <c r="N463" s="39" t="str">
        <f aca="false">IF(OR($C463="",ROUND(N($H463)+N($I463),2)=0),"",IF(N($H463)&gt;0,$M463,$K463))</f>
        <v/>
      </c>
      <c r="O463" s="41" t="str">
        <f aca="false">IF($N463="","",ROUND(N($H463)+N($I463),2))</f>
        <v/>
      </c>
      <c r="P463" s="41" t="str">
        <f aca="false">IF($N463="","",0)</f>
        <v/>
      </c>
      <c r="Q463" s="39" t="str">
        <f aca="false">IF($N463="","",IF(N($H463)&gt;0,$K463,$M463))</f>
        <v/>
      </c>
      <c r="R463" s="41" t="str">
        <f aca="false">IF($Q463="","",0)</f>
        <v/>
      </c>
      <c r="S463" s="41" t="str">
        <f aca="false">IF($Q463="","",ROUND(N($H463)+N($I463),2))</f>
        <v/>
      </c>
      <c r="T463" s="42"/>
      <c r="U463" s="44"/>
      <c r="V463" s="41" t="str">
        <f aca="false">IF($B463="","",TEXT($B463,"yyyy年m月"))</f>
        <v/>
      </c>
      <c r="W463" s="42"/>
      <c r="X463" s="42"/>
      <c r="Y463" s="9"/>
    </row>
    <row r="464" customFormat="false" ht="18" hidden="false" customHeight="true" outlineLevel="0" collapsed="false">
      <c r="A464" s="9" t="str">
        <f aca="false">IF($C464="","",ROW()-3)</f>
        <v/>
      </c>
      <c r="B464" s="76"/>
      <c r="C464" s="74"/>
      <c r="D464" s="43"/>
      <c r="E464" s="42"/>
      <c r="F464" s="74"/>
      <c r="G464" s="74"/>
      <c r="H464" s="44"/>
      <c r="I464" s="44"/>
      <c r="J464" s="103" t="str">
        <f aca="false">IF($C464="","",ROUND(IFERROR(INDEX(期初余额!$I$4:$I$43,MATCH($C464,期初余额!$H$4:$H$43,0)),0)+SUMIFS($H$4:$H464,$C$4:$C464,$C464)-SUMIFS($I$4:$I464,$C$4:$C464,$C464),2))</f>
        <v/>
      </c>
      <c r="K464" s="104" t="str">
        <f aca="false">IF($T464&lt;&gt;"",$T464,IF($C464="","",IF(AND(N($I464)&gt;0,$G464&lt;&gt;""),IF(IFERROR(INDEX(科目表!$U$4:$U$123,MATCH($G464,科目表!$M$4:$M$123,0)),"")&amp;""="","管理费用",INDEX(科目表!$U$4:$U$123,MATCH($G464,科目表!$M$4:$M$123,0))),IF(N($H464)&gt;0,IF(IFERROR(INDEX(自动规则!$C$4:$C$143,MATCH($F464,自动规则!$B$4:$B$143,0)),"")&amp;""="","其他应收款",INDEX(自动规则!$C$4:$C$143,MATCH($F464,自动规则!$B$4:$B$143,0))),IF(IFERROR(INDEX(自动规则!$D$4:$D$143,MATCH($F464,自动规则!$B$4:$B$143,0)),"")&amp;""="","其他应付款",INDEX(自动规则!$D$4:$D$143,MATCH($F464,自动规则!$B$4:$B$143,0)))))))</f>
        <v/>
      </c>
      <c r="L464" s="43"/>
      <c r="M464" s="105" t="str">
        <f aca="false">IF($C464="","",IF(IFERROR(INDEX(科目表!$T$4:$T$123,MATCH($C464,科目表!$K$4:$K$123,0)),"")&amp;""="","其他货币资金",INDEX(科目表!$T$4:$T$123,MATCH($C464,科目表!$K$4:$K$123,0))))</f>
        <v/>
      </c>
      <c r="N464" s="39" t="str">
        <f aca="false">IF(OR($C464="",ROUND(N($H464)+N($I464),2)=0),"",IF(N($H464)&gt;0,$M464,$K464))</f>
        <v/>
      </c>
      <c r="O464" s="41" t="str">
        <f aca="false">IF($N464="","",ROUND(N($H464)+N($I464),2))</f>
        <v/>
      </c>
      <c r="P464" s="41" t="str">
        <f aca="false">IF($N464="","",0)</f>
        <v/>
      </c>
      <c r="Q464" s="39" t="str">
        <f aca="false">IF($N464="","",IF(N($H464)&gt;0,$K464,$M464))</f>
        <v/>
      </c>
      <c r="R464" s="41" t="str">
        <f aca="false">IF($Q464="","",0)</f>
        <v/>
      </c>
      <c r="S464" s="41" t="str">
        <f aca="false">IF($Q464="","",ROUND(N($H464)+N($I464),2))</f>
        <v/>
      </c>
      <c r="T464" s="42"/>
      <c r="U464" s="44"/>
      <c r="V464" s="41" t="str">
        <f aca="false">IF($B464="","",TEXT($B464,"yyyy年m月"))</f>
        <v/>
      </c>
      <c r="W464" s="42"/>
      <c r="X464" s="42"/>
      <c r="Y464" s="9"/>
    </row>
    <row r="465" customFormat="false" ht="18" hidden="false" customHeight="true" outlineLevel="0" collapsed="false">
      <c r="A465" s="9" t="str">
        <f aca="false">IF($C465="","",ROW()-3)</f>
        <v/>
      </c>
      <c r="B465" s="76"/>
      <c r="C465" s="74"/>
      <c r="D465" s="43"/>
      <c r="E465" s="42"/>
      <c r="F465" s="74"/>
      <c r="G465" s="74"/>
      <c r="H465" s="44"/>
      <c r="I465" s="44"/>
      <c r="J465" s="103" t="str">
        <f aca="false">IF($C465="","",ROUND(IFERROR(INDEX(期初余额!$I$4:$I$43,MATCH($C465,期初余额!$H$4:$H$43,0)),0)+SUMIFS($H$4:$H465,$C$4:$C465,$C465)-SUMIFS($I$4:$I465,$C$4:$C465,$C465),2))</f>
        <v/>
      </c>
      <c r="K465" s="104" t="str">
        <f aca="false">IF($T465&lt;&gt;"",$T465,IF($C465="","",IF(AND(N($I465)&gt;0,$G465&lt;&gt;""),IF(IFERROR(INDEX(科目表!$U$4:$U$123,MATCH($G465,科目表!$M$4:$M$123,0)),"")&amp;""="","管理费用",INDEX(科目表!$U$4:$U$123,MATCH($G465,科目表!$M$4:$M$123,0))),IF(N($H465)&gt;0,IF(IFERROR(INDEX(自动规则!$C$4:$C$143,MATCH($F465,自动规则!$B$4:$B$143,0)),"")&amp;""="","其他应收款",INDEX(自动规则!$C$4:$C$143,MATCH($F465,自动规则!$B$4:$B$143,0))),IF(IFERROR(INDEX(自动规则!$D$4:$D$143,MATCH($F465,自动规则!$B$4:$B$143,0)),"")&amp;""="","其他应付款",INDEX(自动规则!$D$4:$D$143,MATCH($F465,自动规则!$B$4:$B$143,0)))))))</f>
        <v/>
      </c>
      <c r="L465" s="43"/>
      <c r="M465" s="105" t="str">
        <f aca="false">IF($C465="","",IF(IFERROR(INDEX(科目表!$T$4:$T$123,MATCH($C465,科目表!$K$4:$K$123,0)),"")&amp;""="","其他货币资金",INDEX(科目表!$T$4:$T$123,MATCH($C465,科目表!$K$4:$K$123,0))))</f>
        <v/>
      </c>
      <c r="N465" s="39" t="str">
        <f aca="false">IF(OR($C465="",ROUND(N($H465)+N($I465),2)=0),"",IF(N($H465)&gt;0,$M465,$K465))</f>
        <v/>
      </c>
      <c r="O465" s="41" t="str">
        <f aca="false">IF($N465="","",ROUND(N($H465)+N($I465),2))</f>
        <v/>
      </c>
      <c r="P465" s="41" t="str">
        <f aca="false">IF($N465="","",0)</f>
        <v/>
      </c>
      <c r="Q465" s="39" t="str">
        <f aca="false">IF($N465="","",IF(N($H465)&gt;0,$K465,$M465))</f>
        <v/>
      </c>
      <c r="R465" s="41" t="str">
        <f aca="false">IF($Q465="","",0)</f>
        <v/>
      </c>
      <c r="S465" s="41" t="str">
        <f aca="false">IF($Q465="","",ROUND(N($H465)+N($I465),2))</f>
        <v/>
      </c>
      <c r="T465" s="42"/>
      <c r="U465" s="44"/>
      <c r="V465" s="41" t="str">
        <f aca="false">IF($B465="","",TEXT($B465,"yyyy年m月"))</f>
        <v/>
      </c>
      <c r="W465" s="42"/>
      <c r="X465" s="42"/>
      <c r="Y465" s="9"/>
    </row>
    <row r="466" customFormat="false" ht="18" hidden="false" customHeight="true" outlineLevel="0" collapsed="false">
      <c r="A466" s="9" t="str">
        <f aca="false">IF($C466="","",ROW()-3)</f>
        <v/>
      </c>
      <c r="B466" s="76"/>
      <c r="C466" s="74"/>
      <c r="D466" s="43"/>
      <c r="E466" s="42"/>
      <c r="F466" s="74"/>
      <c r="G466" s="74"/>
      <c r="H466" s="44"/>
      <c r="I466" s="44"/>
      <c r="J466" s="103" t="str">
        <f aca="false">IF($C466="","",ROUND(IFERROR(INDEX(期初余额!$I$4:$I$43,MATCH($C466,期初余额!$H$4:$H$43,0)),0)+SUMIFS($H$4:$H466,$C$4:$C466,$C466)-SUMIFS($I$4:$I466,$C$4:$C466,$C466),2))</f>
        <v/>
      </c>
      <c r="K466" s="104" t="str">
        <f aca="false">IF($T466&lt;&gt;"",$T466,IF($C466="","",IF(AND(N($I466)&gt;0,$G466&lt;&gt;""),IF(IFERROR(INDEX(科目表!$U$4:$U$123,MATCH($G466,科目表!$M$4:$M$123,0)),"")&amp;""="","管理费用",INDEX(科目表!$U$4:$U$123,MATCH($G466,科目表!$M$4:$M$123,0))),IF(N($H466)&gt;0,IF(IFERROR(INDEX(自动规则!$C$4:$C$143,MATCH($F466,自动规则!$B$4:$B$143,0)),"")&amp;""="","其他应收款",INDEX(自动规则!$C$4:$C$143,MATCH($F466,自动规则!$B$4:$B$143,0))),IF(IFERROR(INDEX(自动规则!$D$4:$D$143,MATCH($F466,自动规则!$B$4:$B$143,0)),"")&amp;""="","其他应付款",INDEX(自动规则!$D$4:$D$143,MATCH($F466,自动规则!$B$4:$B$143,0)))))))</f>
        <v/>
      </c>
      <c r="L466" s="43"/>
      <c r="M466" s="105" t="str">
        <f aca="false">IF($C466="","",IF(IFERROR(INDEX(科目表!$T$4:$T$123,MATCH($C466,科目表!$K$4:$K$123,0)),"")&amp;""="","其他货币资金",INDEX(科目表!$T$4:$T$123,MATCH($C466,科目表!$K$4:$K$123,0))))</f>
        <v/>
      </c>
      <c r="N466" s="39" t="str">
        <f aca="false">IF(OR($C466="",ROUND(N($H466)+N($I466),2)=0),"",IF(N($H466)&gt;0,$M466,$K466))</f>
        <v/>
      </c>
      <c r="O466" s="41" t="str">
        <f aca="false">IF($N466="","",ROUND(N($H466)+N($I466),2))</f>
        <v/>
      </c>
      <c r="P466" s="41" t="str">
        <f aca="false">IF($N466="","",0)</f>
        <v/>
      </c>
      <c r="Q466" s="39" t="str">
        <f aca="false">IF($N466="","",IF(N($H466)&gt;0,$K466,$M466))</f>
        <v/>
      </c>
      <c r="R466" s="41" t="str">
        <f aca="false">IF($Q466="","",0)</f>
        <v/>
      </c>
      <c r="S466" s="41" t="str">
        <f aca="false">IF($Q466="","",ROUND(N($H466)+N($I466),2))</f>
        <v/>
      </c>
      <c r="T466" s="42"/>
      <c r="U466" s="44"/>
      <c r="V466" s="41" t="str">
        <f aca="false">IF($B466="","",TEXT($B466,"yyyy年m月"))</f>
        <v/>
      </c>
      <c r="W466" s="42"/>
      <c r="X466" s="42"/>
      <c r="Y466" s="9"/>
    </row>
    <row r="467" customFormat="false" ht="18" hidden="false" customHeight="true" outlineLevel="0" collapsed="false">
      <c r="A467" s="9" t="str">
        <f aca="false">IF($C467="","",ROW()-3)</f>
        <v/>
      </c>
      <c r="B467" s="76"/>
      <c r="C467" s="74"/>
      <c r="D467" s="43"/>
      <c r="E467" s="42"/>
      <c r="F467" s="74"/>
      <c r="G467" s="74"/>
      <c r="H467" s="44"/>
      <c r="I467" s="44"/>
      <c r="J467" s="103" t="str">
        <f aca="false">IF($C467="","",ROUND(IFERROR(INDEX(期初余额!$I$4:$I$43,MATCH($C467,期初余额!$H$4:$H$43,0)),0)+SUMIFS($H$4:$H467,$C$4:$C467,$C467)-SUMIFS($I$4:$I467,$C$4:$C467,$C467),2))</f>
        <v/>
      </c>
      <c r="K467" s="104" t="str">
        <f aca="false">IF($T467&lt;&gt;"",$T467,IF($C467="","",IF(AND(N($I467)&gt;0,$G467&lt;&gt;""),IF(IFERROR(INDEX(科目表!$U$4:$U$123,MATCH($G467,科目表!$M$4:$M$123,0)),"")&amp;""="","管理费用",INDEX(科目表!$U$4:$U$123,MATCH($G467,科目表!$M$4:$M$123,0))),IF(N($H467)&gt;0,IF(IFERROR(INDEX(自动规则!$C$4:$C$143,MATCH($F467,自动规则!$B$4:$B$143,0)),"")&amp;""="","其他应收款",INDEX(自动规则!$C$4:$C$143,MATCH($F467,自动规则!$B$4:$B$143,0))),IF(IFERROR(INDEX(自动规则!$D$4:$D$143,MATCH($F467,自动规则!$B$4:$B$143,0)),"")&amp;""="","其他应付款",INDEX(自动规则!$D$4:$D$143,MATCH($F467,自动规则!$B$4:$B$143,0)))))))</f>
        <v/>
      </c>
      <c r="L467" s="43"/>
      <c r="M467" s="105" t="str">
        <f aca="false">IF($C467="","",IF(IFERROR(INDEX(科目表!$T$4:$T$123,MATCH($C467,科目表!$K$4:$K$123,0)),"")&amp;""="","其他货币资金",INDEX(科目表!$T$4:$T$123,MATCH($C467,科目表!$K$4:$K$123,0))))</f>
        <v/>
      </c>
      <c r="N467" s="39" t="str">
        <f aca="false">IF(OR($C467="",ROUND(N($H467)+N($I467),2)=0),"",IF(N($H467)&gt;0,$M467,$K467))</f>
        <v/>
      </c>
      <c r="O467" s="41" t="str">
        <f aca="false">IF($N467="","",ROUND(N($H467)+N($I467),2))</f>
        <v/>
      </c>
      <c r="P467" s="41" t="str">
        <f aca="false">IF($N467="","",0)</f>
        <v/>
      </c>
      <c r="Q467" s="39" t="str">
        <f aca="false">IF($N467="","",IF(N($H467)&gt;0,$K467,$M467))</f>
        <v/>
      </c>
      <c r="R467" s="41" t="str">
        <f aca="false">IF($Q467="","",0)</f>
        <v/>
      </c>
      <c r="S467" s="41" t="str">
        <f aca="false">IF($Q467="","",ROUND(N($H467)+N($I467),2))</f>
        <v/>
      </c>
      <c r="T467" s="42"/>
      <c r="U467" s="44"/>
      <c r="V467" s="41" t="str">
        <f aca="false">IF($B467="","",TEXT($B467,"yyyy年m月"))</f>
        <v/>
      </c>
      <c r="W467" s="42"/>
      <c r="X467" s="42"/>
      <c r="Y467" s="9"/>
    </row>
    <row r="468" customFormat="false" ht="18" hidden="false" customHeight="true" outlineLevel="0" collapsed="false">
      <c r="A468" s="9" t="str">
        <f aca="false">IF($C468="","",ROW()-3)</f>
        <v/>
      </c>
      <c r="B468" s="76"/>
      <c r="C468" s="74"/>
      <c r="D468" s="43"/>
      <c r="E468" s="42"/>
      <c r="F468" s="74"/>
      <c r="G468" s="74"/>
      <c r="H468" s="44"/>
      <c r="I468" s="44"/>
      <c r="J468" s="103" t="str">
        <f aca="false">IF($C468="","",ROUND(IFERROR(INDEX(期初余额!$I$4:$I$43,MATCH($C468,期初余额!$H$4:$H$43,0)),0)+SUMIFS($H$4:$H468,$C$4:$C468,$C468)-SUMIFS($I$4:$I468,$C$4:$C468,$C468),2))</f>
        <v/>
      </c>
      <c r="K468" s="104" t="str">
        <f aca="false">IF($T468&lt;&gt;"",$T468,IF($C468="","",IF(AND(N($I468)&gt;0,$G468&lt;&gt;""),IF(IFERROR(INDEX(科目表!$U$4:$U$123,MATCH($G468,科目表!$M$4:$M$123,0)),"")&amp;""="","管理费用",INDEX(科目表!$U$4:$U$123,MATCH($G468,科目表!$M$4:$M$123,0))),IF(N($H468)&gt;0,IF(IFERROR(INDEX(自动规则!$C$4:$C$143,MATCH($F468,自动规则!$B$4:$B$143,0)),"")&amp;""="","其他应收款",INDEX(自动规则!$C$4:$C$143,MATCH($F468,自动规则!$B$4:$B$143,0))),IF(IFERROR(INDEX(自动规则!$D$4:$D$143,MATCH($F468,自动规则!$B$4:$B$143,0)),"")&amp;""="","其他应付款",INDEX(自动规则!$D$4:$D$143,MATCH($F468,自动规则!$B$4:$B$143,0)))))))</f>
        <v/>
      </c>
      <c r="L468" s="43"/>
      <c r="M468" s="105" t="str">
        <f aca="false">IF($C468="","",IF(IFERROR(INDEX(科目表!$T$4:$T$123,MATCH($C468,科目表!$K$4:$K$123,0)),"")&amp;""="","其他货币资金",INDEX(科目表!$T$4:$T$123,MATCH($C468,科目表!$K$4:$K$123,0))))</f>
        <v/>
      </c>
      <c r="N468" s="39" t="str">
        <f aca="false">IF(OR($C468="",ROUND(N($H468)+N($I468),2)=0),"",IF(N($H468)&gt;0,$M468,$K468))</f>
        <v/>
      </c>
      <c r="O468" s="41" t="str">
        <f aca="false">IF($N468="","",ROUND(N($H468)+N($I468),2))</f>
        <v/>
      </c>
      <c r="P468" s="41" t="str">
        <f aca="false">IF($N468="","",0)</f>
        <v/>
      </c>
      <c r="Q468" s="39" t="str">
        <f aca="false">IF($N468="","",IF(N($H468)&gt;0,$K468,$M468))</f>
        <v/>
      </c>
      <c r="R468" s="41" t="str">
        <f aca="false">IF($Q468="","",0)</f>
        <v/>
      </c>
      <c r="S468" s="41" t="str">
        <f aca="false">IF($Q468="","",ROUND(N($H468)+N($I468),2))</f>
        <v/>
      </c>
      <c r="T468" s="42"/>
      <c r="U468" s="44"/>
      <c r="V468" s="41" t="str">
        <f aca="false">IF($B468="","",TEXT($B468,"yyyy年m月"))</f>
        <v/>
      </c>
      <c r="W468" s="42"/>
      <c r="X468" s="42"/>
      <c r="Y468" s="9"/>
    </row>
    <row r="469" customFormat="false" ht="18" hidden="false" customHeight="true" outlineLevel="0" collapsed="false">
      <c r="A469" s="9" t="str">
        <f aca="false">IF($C469="","",ROW()-3)</f>
        <v/>
      </c>
      <c r="B469" s="76"/>
      <c r="C469" s="74"/>
      <c r="D469" s="43"/>
      <c r="E469" s="42"/>
      <c r="F469" s="74"/>
      <c r="G469" s="74"/>
      <c r="H469" s="44"/>
      <c r="I469" s="44"/>
      <c r="J469" s="103" t="str">
        <f aca="false">IF($C469="","",ROUND(IFERROR(INDEX(期初余额!$I$4:$I$43,MATCH($C469,期初余额!$H$4:$H$43,0)),0)+SUMIFS($H$4:$H469,$C$4:$C469,$C469)-SUMIFS($I$4:$I469,$C$4:$C469,$C469),2))</f>
        <v/>
      </c>
      <c r="K469" s="104" t="str">
        <f aca="false">IF($T469&lt;&gt;"",$T469,IF($C469="","",IF(AND(N($I469)&gt;0,$G469&lt;&gt;""),IF(IFERROR(INDEX(科目表!$U$4:$U$123,MATCH($G469,科目表!$M$4:$M$123,0)),"")&amp;""="","管理费用",INDEX(科目表!$U$4:$U$123,MATCH($G469,科目表!$M$4:$M$123,0))),IF(N($H469)&gt;0,IF(IFERROR(INDEX(自动规则!$C$4:$C$143,MATCH($F469,自动规则!$B$4:$B$143,0)),"")&amp;""="","其他应收款",INDEX(自动规则!$C$4:$C$143,MATCH($F469,自动规则!$B$4:$B$143,0))),IF(IFERROR(INDEX(自动规则!$D$4:$D$143,MATCH($F469,自动规则!$B$4:$B$143,0)),"")&amp;""="","其他应付款",INDEX(自动规则!$D$4:$D$143,MATCH($F469,自动规则!$B$4:$B$143,0)))))))</f>
        <v/>
      </c>
      <c r="L469" s="43"/>
      <c r="M469" s="105" t="str">
        <f aca="false">IF($C469="","",IF(IFERROR(INDEX(科目表!$T$4:$T$123,MATCH($C469,科目表!$K$4:$K$123,0)),"")&amp;""="","其他货币资金",INDEX(科目表!$T$4:$T$123,MATCH($C469,科目表!$K$4:$K$123,0))))</f>
        <v/>
      </c>
      <c r="N469" s="39" t="str">
        <f aca="false">IF(OR($C469="",ROUND(N($H469)+N($I469),2)=0),"",IF(N($H469)&gt;0,$M469,$K469))</f>
        <v/>
      </c>
      <c r="O469" s="41" t="str">
        <f aca="false">IF($N469="","",ROUND(N($H469)+N($I469),2))</f>
        <v/>
      </c>
      <c r="P469" s="41" t="str">
        <f aca="false">IF($N469="","",0)</f>
        <v/>
      </c>
      <c r="Q469" s="39" t="str">
        <f aca="false">IF($N469="","",IF(N($H469)&gt;0,$K469,$M469))</f>
        <v/>
      </c>
      <c r="R469" s="41" t="str">
        <f aca="false">IF($Q469="","",0)</f>
        <v/>
      </c>
      <c r="S469" s="41" t="str">
        <f aca="false">IF($Q469="","",ROUND(N($H469)+N($I469),2))</f>
        <v/>
      </c>
      <c r="T469" s="42"/>
      <c r="U469" s="44"/>
      <c r="V469" s="41" t="str">
        <f aca="false">IF($B469="","",TEXT($B469,"yyyy年m月"))</f>
        <v/>
      </c>
      <c r="W469" s="42"/>
      <c r="X469" s="42"/>
      <c r="Y469" s="9"/>
    </row>
    <row r="470" customFormat="false" ht="18" hidden="false" customHeight="true" outlineLevel="0" collapsed="false">
      <c r="A470" s="9" t="str">
        <f aca="false">IF($C470="","",ROW()-3)</f>
        <v/>
      </c>
      <c r="B470" s="76"/>
      <c r="C470" s="74"/>
      <c r="D470" s="43"/>
      <c r="E470" s="42"/>
      <c r="F470" s="74"/>
      <c r="G470" s="74"/>
      <c r="H470" s="44"/>
      <c r="I470" s="44"/>
      <c r="J470" s="103" t="str">
        <f aca="false">IF($C470="","",ROUND(IFERROR(INDEX(期初余额!$I$4:$I$43,MATCH($C470,期初余额!$H$4:$H$43,0)),0)+SUMIFS($H$4:$H470,$C$4:$C470,$C470)-SUMIFS($I$4:$I470,$C$4:$C470,$C470),2))</f>
        <v/>
      </c>
      <c r="K470" s="104" t="str">
        <f aca="false">IF($T470&lt;&gt;"",$T470,IF($C470="","",IF(AND(N($I470)&gt;0,$G470&lt;&gt;""),IF(IFERROR(INDEX(科目表!$U$4:$U$123,MATCH($G470,科目表!$M$4:$M$123,0)),"")&amp;""="","管理费用",INDEX(科目表!$U$4:$U$123,MATCH($G470,科目表!$M$4:$M$123,0))),IF(N($H470)&gt;0,IF(IFERROR(INDEX(自动规则!$C$4:$C$143,MATCH($F470,自动规则!$B$4:$B$143,0)),"")&amp;""="","其他应收款",INDEX(自动规则!$C$4:$C$143,MATCH($F470,自动规则!$B$4:$B$143,0))),IF(IFERROR(INDEX(自动规则!$D$4:$D$143,MATCH($F470,自动规则!$B$4:$B$143,0)),"")&amp;""="","其他应付款",INDEX(自动规则!$D$4:$D$143,MATCH($F470,自动规则!$B$4:$B$143,0)))))))</f>
        <v/>
      </c>
      <c r="L470" s="43"/>
      <c r="M470" s="105" t="str">
        <f aca="false">IF($C470="","",IF(IFERROR(INDEX(科目表!$T$4:$T$123,MATCH($C470,科目表!$K$4:$K$123,0)),"")&amp;""="","其他货币资金",INDEX(科目表!$T$4:$T$123,MATCH($C470,科目表!$K$4:$K$123,0))))</f>
        <v/>
      </c>
      <c r="N470" s="39" t="str">
        <f aca="false">IF(OR($C470="",ROUND(N($H470)+N($I470),2)=0),"",IF(N($H470)&gt;0,$M470,$K470))</f>
        <v/>
      </c>
      <c r="O470" s="41" t="str">
        <f aca="false">IF($N470="","",ROUND(N($H470)+N($I470),2))</f>
        <v/>
      </c>
      <c r="P470" s="41" t="str">
        <f aca="false">IF($N470="","",0)</f>
        <v/>
      </c>
      <c r="Q470" s="39" t="str">
        <f aca="false">IF($N470="","",IF(N($H470)&gt;0,$K470,$M470))</f>
        <v/>
      </c>
      <c r="R470" s="41" t="str">
        <f aca="false">IF($Q470="","",0)</f>
        <v/>
      </c>
      <c r="S470" s="41" t="str">
        <f aca="false">IF($Q470="","",ROUND(N($H470)+N($I470),2))</f>
        <v/>
      </c>
      <c r="T470" s="42"/>
      <c r="U470" s="44"/>
      <c r="V470" s="41" t="str">
        <f aca="false">IF($B470="","",TEXT($B470,"yyyy年m月"))</f>
        <v/>
      </c>
      <c r="W470" s="42"/>
      <c r="X470" s="42"/>
      <c r="Y470" s="9"/>
    </row>
    <row r="471" customFormat="false" ht="18" hidden="false" customHeight="true" outlineLevel="0" collapsed="false">
      <c r="A471" s="9" t="str">
        <f aca="false">IF($C471="","",ROW()-3)</f>
        <v/>
      </c>
      <c r="B471" s="76"/>
      <c r="C471" s="74"/>
      <c r="D471" s="43"/>
      <c r="E471" s="42"/>
      <c r="F471" s="74"/>
      <c r="G471" s="74"/>
      <c r="H471" s="44"/>
      <c r="I471" s="44"/>
      <c r="J471" s="103" t="str">
        <f aca="false">IF($C471="","",ROUND(IFERROR(INDEX(期初余额!$I$4:$I$43,MATCH($C471,期初余额!$H$4:$H$43,0)),0)+SUMIFS($H$4:$H471,$C$4:$C471,$C471)-SUMIFS($I$4:$I471,$C$4:$C471,$C471),2))</f>
        <v/>
      </c>
      <c r="K471" s="104" t="str">
        <f aca="false">IF($T471&lt;&gt;"",$T471,IF($C471="","",IF(AND(N($I471)&gt;0,$G471&lt;&gt;""),IF(IFERROR(INDEX(科目表!$U$4:$U$123,MATCH($G471,科目表!$M$4:$M$123,0)),"")&amp;""="","管理费用",INDEX(科目表!$U$4:$U$123,MATCH($G471,科目表!$M$4:$M$123,0))),IF(N($H471)&gt;0,IF(IFERROR(INDEX(自动规则!$C$4:$C$143,MATCH($F471,自动规则!$B$4:$B$143,0)),"")&amp;""="","其他应收款",INDEX(自动规则!$C$4:$C$143,MATCH($F471,自动规则!$B$4:$B$143,0))),IF(IFERROR(INDEX(自动规则!$D$4:$D$143,MATCH($F471,自动规则!$B$4:$B$143,0)),"")&amp;""="","其他应付款",INDEX(自动规则!$D$4:$D$143,MATCH($F471,自动规则!$B$4:$B$143,0)))))))</f>
        <v/>
      </c>
      <c r="L471" s="43"/>
      <c r="M471" s="105" t="str">
        <f aca="false">IF($C471="","",IF(IFERROR(INDEX(科目表!$T$4:$T$123,MATCH($C471,科目表!$K$4:$K$123,0)),"")&amp;""="","其他货币资金",INDEX(科目表!$T$4:$T$123,MATCH($C471,科目表!$K$4:$K$123,0))))</f>
        <v/>
      </c>
      <c r="N471" s="39" t="str">
        <f aca="false">IF(OR($C471="",ROUND(N($H471)+N($I471),2)=0),"",IF(N($H471)&gt;0,$M471,$K471))</f>
        <v/>
      </c>
      <c r="O471" s="41" t="str">
        <f aca="false">IF($N471="","",ROUND(N($H471)+N($I471),2))</f>
        <v/>
      </c>
      <c r="P471" s="41" t="str">
        <f aca="false">IF($N471="","",0)</f>
        <v/>
      </c>
      <c r="Q471" s="39" t="str">
        <f aca="false">IF($N471="","",IF(N($H471)&gt;0,$K471,$M471))</f>
        <v/>
      </c>
      <c r="R471" s="41" t="str">
        <f aca="false">IF($Q471="","",0)</f>
        <v/>
      </c>
      <c r="S471" s="41" t="str">
        <f aca="false">IF($Q471="","",ROUND(N($H471)+N($I471),2))</f>
        <v/>
      </c>
      <c r="T471" s="42"/>
      <c r="U471" s="44"/>
      <c r="V471" s="41" t="str">
        <f aca="false">IF($B471="","",TEXT($B471,"yyyy年m月"))</f>
        <v/>
      </c>
      <c r="W471" s="42"/>
      <c r="X471" s="42"/>
      <c r="Y471" s="9"/>
    </row>
    <row r="472" customFormat="false" ht="18" hidden="false" customHeight="true" outlineLevel="0" collapsed="false">
      <c r="A472" s="9" t="str">
        <f aca="false">IF($C472="","",ROW()-3)</f>
        <v/>
      </c>
      <c r="B472" s="76"/>
      <c r="C472" s="74"/>
      <c r="D472" s="43"/>
      <c r="E472" s="42"/>
      <c r="F472" s="74"/>
      <c r="G472" s="74"/>
      <c r="H472" s="44"/>
      <c r="I472" s="44"/>
      <c r="J472" s="103" t="str">
        <f aca="false">IF($C472="","",ROUND(IFERROR(INDEX(期初余额!$I$4:$I$43,MATCH($C472,期初余额!$H$4:$H$43,0)),0)+SUMIFS($H$4:$H472,$C$4:$C472,$C472)-SUMIFS($I$4:$I472,$C$4:$C472,$C472),2))</f>
        <v/>
      </c>
      <c r="K472" s="104" t="str">
        <f aca="false">IF($T472&lt;&gt;"",$T472,IF($C472="","",IF(AND(N($I472)&gt;0,$G472&lt;&gt;""),IF(IFERROR(INDEX(科目表!$U$4:$U$123,MATCH($G472,科目表!$M$4:$M$123,0)),"")&amp;""="","管理费用",INDEX(科目表!$U$4:$U$123,MATCH($G472,科目表!$M$4:$M$123,0))),IF(N($H472)&gt;0,IF(IFERROR(INDEX(自动规则!$C$4:$C$143,MATCH($F472,自动规则!$B$4:$B$143,0)),"")&amp;""="","其他应收款",INDEX(自动规则!$C$4:$C$143,MATCH($F472,自动规则!$B$4:$B$143,0))),IF(IFERROR(INDEX(自动规则!$D$4:$D$143,MATCH($F472,自动规则!$B$4:$B$143,0)),"")&amp;""="","其他应付款",INDEX(自动规则!$D$4:$D$143,MATCH($F472,自动规则!$B$4:$B$143,0)))))))</f>
        <v/>
      </c>
      <c r="L472" s="43"/>
      <c r="M472" s="105" t="str">
        <f aca="false">IF($C472="","",IF(IFERROR(INDEX(科目表!$T$4:$T$123,MATCH($C472,科目表!$K$4:$K$123,0)),"")&amp;""="","其他货币资金",INDEX(科目表!$T$4:$T$123,MATCH($C472,科目表!$K$4:$K$123,0))))</f>
        <v/>
      </c>
      <c r="N472" s="39" t="str">
        <f aca="false">IF(OR($C472="",ROUND(N($H472)+N($I472),2)=0),"",IF(N($H472)&gt;0,$M472,$K472))</f>
        <v/>
      </c>
      <c r="O472" s="41" t="str">
        <f aca="false">IF($N472="","",ROUND(N($H472)+N($I472),2))</f>
        <v/>
      </c>
      <c r="P472" s="41" t="str">
        <f aca="false">IF($N472="","",0)</f>
        <v/>
      </c>
      <c r="Q472" s="39" t="str">
        <f aca="false">IF($N472="","",IF(N($H472)&gt;0,$K472,$M472))</f>
        <v/>
      </c>
      <c r="R472" s="41" t="str">
        <f aca="false">IF($Q472="","",0)</f>
        <v/>
      </c>
      <c r="S472" s="41" t="str">
        <f aca="false">IF($Q472="","",ROUND(N($H472)+N($I472),2))</f>
        <v/>
      </c>
      <c r="T472" s="42"/>
      <c r="U472" s="44"/>
      <c r="V472" s="41" t="str">
        <f aca="false">IF($B472="","",TEXT($B472,"yyyy年m月"))</f>
        <v/>
      </c>
      <c r="W472" s="42"/>
      <c r="X472" s="42"/>
      <c r="Y472" s="9"/>
    </row>
    <row r="473" customFormat="false" ht="18" hidden="false" customHeight="true" outlineLevel="0" collapsed="false">
      <c r="A473" s="9" t="str">
        <f aca="false">IF($C473="","",ROW()-3)</f>
        <v/>
      </c>
      <c r="B473" s="76"/>
      <c r="C473" s="74"/>
      <c r="D473" s="43"/>
      <c r="E473" s="42"/>
      <c r="F473" s="74"/>
      <c r="G473" s="74"/>
      <c r="H473" s="44"/>
      <c r="I473" s="44"/>
      <c r="J473" s="103" t="str">
        <f aca="false">IF($C473="","",ROUND(IFERROR(INDEX(期初余额!$I$4:$I$43,MATCH($C473,期初余额!$H$4:$H$43,0)),0)+SUMIFS($H$4:$H473,$C$4:$C473,$C473)-SUMIFS($I$4:$I473,$C$4:$C473,$C473),2))</f>
        <v/>
      </c>
      <c r="K473" s="104" t="str">
        <f aca="false">IF($T473&lt;&gt;"",$T473,IF($C473="","",IF(AND(N($I473)&gt;0,$G473&lt;&gt;""),IF(IFERROR(INDEX(科目表!$U$4:$U$123,MATCH($G473,科目表!$M$4:$M$123,0)),"")&amp;""="","管理费用",INDEX(科目表!$U$4:$U$123,MATCH($G473,科目表!$M$4:$M$123,0))),IF(N($H473)&gt;0,IF(IFERROR(INDEX(自动规则!$C$4:$C$143,MATCH($F473,自动规则!$B$4:$B$143,0)),"")&amp;""="","其他应收款",INDEX(自动规则!$C$4:$C$143,MATCH($F473,自动规则!$B$4:$B$143,0))),IF(IFERROR(INDEX(自动规则!$D$4:$D$143,MATCH($F473,自动规则!$B$4:$B$143,0)),"")&amp;""="","其他应付款",INDEX(自动规则!$D$4:$D$143,MATCH($F473,自动规则!$B$4:$B$143,0)))))))</f>
        <v/>
      </c>
      <c r="L473" s="43"/>
      <c r="M473" s="105" t="str">
        <f aca="false">IF($C473="","",IF(IFERROR(INDEX(科目表!$T$4:$T$123,MATCH($C473,科目表!$K$4:$K$123,0)),"")&amp;""="","其他货币资金",INDEX(科目表!$T$4:$T$123,MATCH($C473,科目表!$K$4:$K$123,0))))</f>
        <v/>
      </c>
      <c r="N473" s="39" t="str">
        <f aca="false">IF(OR($C473="",ROUND(N($H473)+N($I473),2)=0),"",IF(N($H473)&gt;0,$M473,$K473))</f>
        <v/>
      </c>
      <c r="O473" s="41" t="str">
        <f aca="false">IF($N473="","",ROUND(N($H473)+N($I473),2))</f>
        <v/>
      </c>
      <c r="P473" s="41" t="str">
        <f aca="false">IF($N473="","",0)</f>
        <v/>
      </c>
      <c r="Q473" s="39" t="str">
        <f aca="false">IF($N473="","",IF(N($H473)&gt;0,$K473,$M473))</f>
        <v/>
      </c>
      <c r="R473" s="41" t="str">
        <f aca="false">IF($Q473="","",0)</f>
        <v/>
      </c>
      <c r="S473" s="41" t="str">
        <f aca="false">IF($Q473="","",ROUND(N($H473)+N($I473),2))</f>
        <v/>
      </c>
      <c r="T473" s="42"/>
      <c r="U473" s="44"/>
      <c r="V473" s="41" t="str">
        <f aca="false">IF($B473="","",TEXT($B473,"yyyy年m月"))</f>
        <v/>
      </c>
      <c r="W473" s="42"/>
      <c r="X473" s="42"/>
      <c r="Y473" s="9"/>
    </row>
    <row r="474" customFormat="false" ht="18" hidden="false" customHeight="true" outlineLevel="0" collapsed="false">
      <c r="A474" s="9" t="str">
        <f aca="false">IF($C474="","",ROW()-3)</f>
        <v/>
      </c>
      <c r="B474" s="76"/>
      <c r="C474" s="74"/>
      <c r="D474" s="43"/>
      <c r="E474" s="42"/>
      <c r="F474" s="74"/>
      <c r="G474" s="74"/>
      <c r="H474" s="44"/>
      <c r="I474" s="44"/>
      <c r="J474" s="103" t="str">
        <f aca="false">IF($C474="","",ROUND(IFERROR(INDEX(期初余额!$I$4:$I$43,MATCH($C474,期初余额!$H$4:$H$43,0)),0)+SUMIFS($H$4:$H474,$C$4:$C474,$C474)-SUMIFS($I$4:$I474,$C$4:$C474,$C474),2))</f>
        <v/>
      </c>
      <c r="K474" s="104" t="str">
        <f aca="false">IF($T474&lt;&gt;"",$T474,IF($C474="","",IF(AND(N($I474)&gt;0,$G474&lt;&gt;""),IF(IFERROR(INDEX(科目表!$U$4:$U$123,MATCH($G474,科目表!$M$4:$M$123,0)),"")&amp;""="","管理费用",INDEX(科目表!$U$4:$U$123,MATCH($G474,科目表!$M$4:$M$123,0))),IF(N($H474)&gt;0,IF(IFERROR(INDEX(自动规则!$C$4:$C$143,MATCH($F474,自动规则!$B$4:$B$143,0)),"")&amp;""="","其他应收款",INDEX(自动规则!$C$4:$C$143,MATCH($F474,自动规则!$B$4:$B$143,0))),IF(IFERROR(INDEX(自动规则!$D$4:$D$143,MATCH($F474,自动规则!$B$4:$B$143,0)),"")&amp;""="","其他应付款",INDEX(自动规则!$D$4:$D$143,MATCH($F474,自动规则!$B$4:$B$143,0)))))))</f>
        <v/>
      </c>
      <c r="L474" s="43"/>
      <c r="M474" s="105" t="str">
        <f aca="false">IF($C474="","",IF(IFERROR(INDEX(科目表!$T$4:$T$123,MATCH($C474,科目表!$K$4:$K$123,0)),"")&amp;""="","其他货币资金",INDEX(科目表!$T$4:$T$123,MATCH($C474,科目表!$K$4:$K$123,0))))</f>
        <v/>
      </c>
      <c r="N474" s="39" t="str">
        <f aca="false">IF(OR($C474="",ROUND(N($H474)+N($I474),2)=0),"",IF(N($H474)&gt;0,$M474,$K474))</f>
        <v/>
      </c>
      <c r="O474" s="41" t="str">
        <f aca="false">IF($N474="","",ROUND(N($H474)+N($I474),2))</f>
        <v/>
      </c>
      <c r="P474" s="41" t="str">
        <f aca="false">IF($N474="","",0)</f>
        <v/>
      </c>
      <c r="Q474" s="39" t="str">
        <f aca="false">IF($N474="","",IF(N($H474)&gt;0,$K474,$M474))</f>
        <v/>
      </c>
      <c r="R474" s="41" t="str">
        <f aca="false">IF($Q474="","",0)</f>
        <v/>
      </c>
      <c r="S474" s="41" t="str">
        <f aca="false">IF($Q474="","",ROUND(N($H474)+N($I474),2))</f>
        <v/>
      </c>
      <c r="T474" s="42"/>
      <c r="U474" s="44"/>
      <c r="V474" s="41" t="str">
        <f aca="false">IF($B474="","",TEXT($B474,"yyyy年m月"))</f>
        <v/>
      </c>
      <c r="W474" s="42"/>
      <c r="X474" s="42"/>
      <c r="Y474" s="9"/>
    </row>
    <row r="475" customFormat="false" ht="18" hidden="false" customHeight="true" outlineLevel="0" collapsed="false">
      <c r="A475" s="9" t="str">
        <f aca="false">IF($C475="","",ROW()-3)</f>
        <v/>
      </c>
      <c r="B475" s="76"/>
      <c r="C475" s="74"/>
      <c r="D475" s="43"/>
      <c r="E475" s="42"/>
      <c r="F475" s="74"/>
      <c r="G475" s="74"/>
      <c r="H475" s="44"/>
      <c r="I475" s="44"/>
      <c r="J475" s="103" t="str">
        <f aca="false">IF($C475="","",ROUND(IFERROR(INDEX(期初余额!$I$4:$I$43,MATCH($C475,期初余额!$H$4:$H$43,0)),0)+SUMIFS($H$4:$H475,$C$4:$C475,$C475)-SUMIFS($I$4:$I475,$C$4:$C475,$C475),2))</f>
        <v/>
      </c>
      <c r="K475" s="104" t="str">
        <f aca="false">IF($T475&lt;&gt;"",$T475,IF($C475="","",IF(AND(N($I475)&gt;0,$G475&lt;&gt;""),IF(IFERROR(INDEX(科目表!$U$4:$U$123,MATCH($G475,科目表!$M$4:$M$123,0)),"")&amp;""="","管理费用",INDEX(科目表!$U$4:$U$123,MATCH($G475,科目表!$M$4:$M$123,0))),IF(N($H475)&gt;0,IF(IFERROR(INDEX(自动规则!$C$4:$C$143,MATCH($F475,自动规则!$B$4:$B$143,0)),"")&amp;""="","其他应收款",INDEX(自动规则!$C$4:$C$143,MATCH($F475,自动规则!$B$4:$B$143,0))),IF(IFERROR(INDEX(自动规则!$D$4:$D$143,MATCH($F475,自动规则!$B$4:$B$143,0)),"")&amp;""="","其他应付款",INDEX(自动规则!$D$4:$D$143,MATCH($F475,自动规则!$B$4:$B$143,0)))))))</f>
        <v/>
      </c>
      <c r="L475" s="43"/>
      <c r="M475" s="105" t="str">
        <f aca="false">IF($C475="","",IF(IFERROR(INDEX(科目表!$T$4:$T$123,MATCH($C475,科目表!$K$4:$K$123,0)),"")&amp;""="","其他货币资金",INDEX(科目表!$T$4:$T$123,MATCH($C475,科目表!$K$4:$K$123,0))))</f>
        <v/>
      </c>
      <c r="N475" s="39" t="str">
        <f aca="false">IF(OR($C475="",ROUND(N($H475)+N($I475),2)=0),"",IF(N($H475)&gt;0,$M475,$K475))</f>
        <v/>
      </c>
      <c r="O475" s="41" t="str">
        <f aca="false">IF($N475="","",ROUND(N($H475)+N($I475),2))</f>
        <v/>
      </c>
      <c r="P475" s="41" t="str">
        <f aca="false">IF($N475="","",0)</f>
        <v/>
      </c>
      <c r="Q475" s="39" t="str">
        <f aca="false">IF($N475="","",IF(N($H475)&gt;0,$K475,$M475))</f>
        <v/>
      </c>
      <c r="R475" s="41" t="str">
        <f aca="false">IF($Q475="","",0)</f>
        <v/>
      </c>
      <c r="S475" s="41" t="str">
        <f aca="false">IF($Q475="","",ROUND(N($H475)+N($I475),2))</f>
        <v/>
      </c>
      <c r="T475" s="42"/>
      <c r="U475" s="44"/>
      <c r="V475" s="41" t="str">
        <f aca="false">IF($B475="","",TEXT($B475,"yyyy年m月"))</f>
        <v/>
      </c>
      <c r="W475" s="42"/>
      <c r="X475" s="42"/>
      <c r="Y475" s="9"/>
    </row>
    <row r="476" customFormat="false" ht="18" hidden="false" customHeight="true" outlineLevel="0" collapsed="false">
      <c r="A476" s="9" t="str">
        <f aca="false">IF($C476="","",ROW()-3)</f>
        <v/>
      </c>
      <c r="B476" s="76"/>
      <c r="C476" s="74"/>
      <c r="D476" s="43"/>
      <c r="E476" s="42"/>
      <c r="F476" s="74"/>
      <c r="G476" s="74"/>
      <c r="H476" s="44"/>
      <c r="I476" s="44"/>
      <c r="J476" s="103" t="str">
        <f aca="false">IF($C476="","",ROUND(IFERROR(INDEX(期初余额!$I$4:$I$43,MATCH($C476,期初余额!$H$4:$H$43,0)),0)+SUMIFS($H$4:$H476,$C$4:$C476,$C476)-SUMIFS($I$4:$I476,$C$4:$C476,$C476),2))</f>
        <v/>
      </c>
      <c r="K476" s="104" t="str">
        <f aca="false">IF($T476&lt;&gt;"",$T476,IF($C476="","",IF(AND(N($I476)&gt;0,$G476&lt;&gt;""),IF(IFERROR(INDEX(科目表!$U$4:$U$123,MATCH($G476,科目表!$M$4:$M$123,0)),"")&amp;""="","管理费用",INDEX(科目表!$U$4:$U$123,MATCH($G476,科目表!$M$4:$M$123,0))),IF(N($H476)&gt;0,IF(IFERROR(INDEX(自动规则!$C$4:$C$143,MATCH($F476,自动规则!$B$4:$B$143,0)),"")&amp;""="","其他应收款",INDEX(自动规则!$C$4:$C$143,MATCH($F476,自动规则!$B$4:$B$143,0))),IF(IFERROR(INDEX(自动规则!$D$4:$D$143,MATCH($F476,自动规则!$B$4:$B$143,0)),"")&amp;""="","其他应付款",INDEX(自动规则!$D$4:$D$143,MATCH($F476,自动规则!$B$4:$B$143,0)))))))</f>
        <v/>
      </c>
      <c r="L476" s="43"/>
      <c r="M476" s="105" t="str">
        <f aca="false">IF($C476="","",IF(IFERROR(INDEX(科目表!$T$4:$T$123,MATCH($C476,科目表!$K$4:$K$123,0)),"")&amp;""="","其他货币资金",INDEX(科目表!$T$4:$T$123,MATCH($C476,科目表!$K$4:$K$123,0))))</f>
        <v/>
      </c>
      <c r="N476" s="39" t="str">
        <f aca="false">IF(OR($C476="",ROUND(N($H476)+N($I476),2)=0),"",IF(N($H476)&gt;0,$M476,$K476))</f>
        <v/>
      </c>
      <c r="O476" s="41" t="str">
        <f aca="false">IF($N476="","",ROUND(N($H476)+N($I476),2))</f>
        <v/>
      </c>
      <c r="P476" s="41" t="str">
        <f aca="false">IF($N476="","",0)</f>
        <v/>
      </c>
      <c r="Q476" s="39" t="str">
        <f aca="false">IF($N476="","",IF(N($H476)&gt;0,$K476,$M476))</f>
        <v/>
      </c>
      <c r="R476" s="41" t="str">
        <f aca="false">IF($Q476="","",0)</f>
        <v/>
      </c>
      <c r="S476" s="41" t="str">
        <f aca="false">IF($Q476="","",ROUND(N($H476)+N($I476),2))</f>
        <v/>
      </c>
      <c r="T476" s="42"/>
      <c r="U476" s="44"/>
      <c r="V476" s="41" t="str">
        <f aca="false">IF($B476="","",TEXT($B476,"yyyy年m月"))</f>
        <v/>
      </c>
      <c r="W476" s="42"/>
      <c r="X476" s="42"/>
      <c r="Y476" s="9"/>
    </row>
    <row r="477" customFormat="false" ht="18" hidden="false" customHeight="true" outlineLevel="0" collapsed="false">
      <c r="A477" s="9" t="str">
        <f aca="false">IF($C477="","",ROW()-3)</f>
        <v/>
      </c>
      <c r="B477" s="76"/>
      <c r="C477" s="74"/>
      <c r="D477" s="43"/>
      <c r="E477" s="42"/>
      <c r="F477" s="74"/>
      <c r="G477" s="74"/>
      <c r="H477" s="44"/>
      <c r="I477" s="44"/>
      <c r="J477" s="103" t="str">
        <f aca="false">IF($C477="","",ROUND(IFERROR(INDEX(期初余额!$I$4:$I$43,MATCH($C477,期初余额!$H$4:$H$43,0)),0)+SUMIFS($H$4:$H477,$C$4:$C477,$C477)-SUMIFS($I$4:$I477,$C$4:$C477,$C477),2))</f>
        <v/>
      </c>
      <c r="K477" s="104" t="str">
        <f aca="false">IF($T477&lt;&gt;"",$T477,IF($C477="","",IF(AND(N($I477)&gt;0,$G477&lt;&gt;""),IF(IFERROR(INDEX(科目表!$U$4:$U$123,MATCH($G477,科目表!$M$4:$M$123,0)),"")&amp;""="","管理费用",INDEX(科目表!$U$4:$U$123,MATCH($G477,科目表!$M$4:$M$123,0))),IF(N($H477)&gt;0,IF(IFERROR(INDEX(自动规则!$C$4:$C$143,MATCH($F477,自动规则!$B$4:$B$143,0)),"")&amp;""="","其他应收款",INDEX(自动规则!$C$4:$C$143,MATCH($F477,自动规则!$B$4:$B$143,0))),IF(IFERROR(INDEX(自动规则!$D$4:$D$143,MATCH($F477,自动规则!$B$4:$B$143,0)),"")&amp;""="","其他应付款",INDEX(自动规则!$D$4:$D$143,MATCH($F477,自动规则!$B$4:$B$143,0)))))))</f>
        <v/>
      </c>
      <c r="L477" s="43"/>
      <c r="M477" s="105" t="str">
        <f aca="false">IF($C477="","",IF(IFERROR(INDEX(科目表!$T$4:$T$123,MATCH($C477,科目表!$K$4:$K$123,0)),"")&amp;""="","其他货币资金",INDEX(科目表!$T$4:$T$123,MATCH($C477,科目表!$K$4:$K$123,0))))</f>
        <v/>
      </c>
      <c r="N477" s="39" t="str">
        <f aca="false">IF(OR($C477="",ROUND(N($H477)+N($I477),2)=0),"",IF(N($H477)&gt;0,$M477,$K477))</f>
        <v/>
      </c>
      <c r="O477" s="41" t="str">
        <f aca="false">IF($N477="","",ROUND(N($H477)+N($I477),2))</f>
        <v/>
      </c>
      <c r="P477" s="41" t="str">
        <f aca="false">IF($N477="","",0)</f>
        <v/>
      </c>
      <c r="Q477" s="39" t="str">
        <f aca="false">IF($N477="","",IF(N($H477)&gt;0,$K477,$M477))</f>
        <v/>
      </c>
      <c r="R477" s="41" t="str">
        <f aca="false">IF($Q477="","",0)</f>
        <v/>
      </c>
      <c r="S477" s="41" t="str">
        <f aca="false">IF($Q477="","",ROUND(N($H477)+N($I477),2))</f>
        <v/>
      </c>
      <c r="T477" s="42"/>
      <c r="U477" s="44"/>
      <c r="V477" s="41" t="str">
        <f aca="false">IF($B477="","",TEXT($B477,"yyyy年m月"))</f>
        <v/>
      </c>
      <c r="W477" s="42"/>
      <c r="X477" s="42"/>
      <c r="Y477" s="9"/>
    </row>
    <row r="478" customFormat="false" ht="18" hidden="false" customHeight="true" outlineLevel="0" collapsed="false">
      <c r="A478" s="9" t="str">
        <f aca="false">IF($C478="","",ROW()-3)</f>
        <v/>
      </c>
      <c r="B478" s="76"/>
      <c r="C478" s="74"/>
      <c r="D478" s="43"/>
      <c r="E478" s="42"/>
      <c r="F478" s="74"/>
      <c r="G478" s="74"/>
      <c r="H478" s="44"/>
      <c r="I478" s="44"/>
      <c r="J478" s="103" t="str">
        <f aca="false">IF($C478="","",ROUND(IFERROR(INDEX(期初余额!$I$4:$I$43,MATCH($C478,期初余额!$H$4:$H$43,0)),0)+SUMIFS($H$4:$H478,$C$4:$C478,$C478)-SUMIFS($I$4:$I478,$C$4:$C478,$C478),2))</f>
        <v/>
      </c>
      <c r="K478" s="104" t="str">
        <f aca="false">IF($T478&lt;&gt;"",$T478,IF($C478="","",IF(AND(N($I478)&gt;0,$G478&lt;&gt;""),IF(IFERROR(INDEX(科目表!$U$4:$U$123,MATCH($G478,科目表!$M$4:$M$123,0)),"")&amp;""="","管理费用",INDEX(科目表!$U$4:$U$123,MATCH($G478,科目表!$M$4:$M$123,0))),IF(N($H478)&gt;0,IF(IFERROR(INDEX(自动规则!$C$4:$C$143,MATCH($F478,自动规则!$B$4:$B$143,0)),"")&amp;""="","其他应收款",INDEX(自动规则!$C$4:$C$143,MATCH($F478,自动规则!$B$4:$B$143,0))),IF(IFERROR(INDEX(自动规则!$D$4:$D$143,MATCH($F478,自动规则!$B$4:$B$143,0)),"")&amp;""="","其他应付款",INDEX(自动规则!$D$4:$D$143,MATCH($F478,自动规则!$B$4:$B$143,0)))))))</f>
        <v/>
      </c>
      <c r="L478" s="43"/>
      <c r="M478" s="105" t="str">
        <f aca="false">IF($C478="","",IF(IFERROR(INDEX(科目表!$T$4:$T$123,MATCH($C478,科目表!$K$4:$K$123,0)),"")&amp;""="","其他货币资金",INDEX(科目表!$T$4:$T$123,MATCH($C478,科目表!$K$4:$K$123,0))))</f>
        <v/>
      </c>
      <c r="N478" s="39" t="str">
        <f aca="false">IF(OR($C478="",ROUND(N($H478)+N($I478),2)=0),"",IF(N($H478)&gt;0,$M478,$K478))</f>
        <v/>
      </c>
      <c r="O478" s="41" t="str">
        <f aca="false">IF($N478="","",ROUND(N($H478)+N($I478),2))</f>
        <v/>
      </c>
      <c r="P478" s="41" t="str">
        <f aca="false">IF($N478="","",0)</f>
        <v/>
      </c>
      <c r="Q478" s="39" t="str">
        <f aca="false">IF($N478="","",IF(N($H478)&gt;0,$K478,$M478))</f>
        <v/>
      </c>
      <c r="R478" s="41" t="str">
        <f aca="false">IF($Q478="","",0)</f>
        <v/>
      </c>
      <c r="S478" s="41" t="str">
        <f aca="false">IF($Q478="","",ROUND(N($H478)+N($I478),2))</f>
        <v/>
      </c>
      <c r="T478" s="42"/>
      <c r="U478" s="44"/>
      <c r="V478" s="41" t="str">
        <f aca="false">IF($B478="","",TEXT($B478,"yyyy年m月"))</f>
        <v/>
      </c>
      <c r="W478" s="42"/>
      <c r="X478" s="42"/>
      <c r="Y478" s="9"/>
    </row>
    <row r="479" customFormat="false" ht="18" hidden="false" customHeight="true" outlineLevel="0" collapsed="false">
      <c r="A479" s="9" t="str">
        <f aca="false">IF($C479="","",ROW()-3)</f>
        <v/>
      </c>
      <c r="B479" s="76"/>
      <c r="C479" s="74"/>
      <c r="D479" s="43"/>
      <c r="E479" s="42"/>
      <c r="F479" s="74"/>
      <c r="G479" s="74"/>
      <c r="H479" s="44"/>
      <c r="I479" s="44"/>
      <c r="J479" s="103" t="str">
        <f aca="false">IF($C479="","",ROUND(IFERROR(INDEX(期初余额!$I$4:$I$43,MATCH($C479,期初余额!$H$4:$H$43,0)),0)+SUMIFS($H$4:$H479,$C$4:$C479,$C479)-SUMIFS($I$4:$I479,$C$4:$C479,$C479),2))</f>
        <v/>
      </c>
      <c r="K479" s="104" t="str">
        <f aca="false">IF($T479&lt;&gt;"",$T479,IF($C479="","",IF(AND(N($I479)&gt;0,$G479&lt;&gt;""),IF(IFERROR(INDEX(科目表!$U$4:$U$123,MATCH($G479,科目表!$M$4:$M$123,0)),"")&amp;""="","管理费用",INDEX(科目表!$U$4:$U$123,MATCH($G479,科目表!$M$4:$M$123,0))),IF(N($H479)&gt;0,IF(IFERROR(INDEX(自动规则!$C$4:$C$143,MATCH($F479,自动规则!$B$4:$B$143,0)),"")&amp;""="","其他应收款",INDEX(自动规则!$C$4:$C$143,MATCH($F479,自动规则!$B$4:$B$143,0))),IF(IFERROR(INDEX(自动规则!$D$4:$D$143,MATCH($F479,自动规则!$B$4:$B$143,0)),"")&amp;""="","其他应付款",INDEX(自动规则!$D$4:$D$143,MATCH($F479,自动规则!$B$4:$B$143,0)))))))</f>
        <v/>
      </c>
      <c r="L479" s="43"/>
      <c r="M479" s="105" t="str">
        <f aca="false">IF($C479="","",IF(IFERROR(INDEX(科目表!$T$4:$T$123,MATCH($C479,科目表!$K$4:$K$123,0)),"")&amp;""="","其他货币资金",INDEX(科目表!$T$4:$T$123,MATCH($C479,科目表!$K$4:$K$123,0))))</f>
        <v/>
      </c>
      <c r="N479" s="39" t="str">
        <f aca="false">IF(OR($C479="",ROUND(N($H479)+N($I479),2)=0),"",IF(N($H479)&gt;0,$M479,$K479))</f>
        <v/>
      </c>
      <c r="O479" s="41" t="str">
        <f aca="false">IF($N479="","",ROUND(N($H479)+N($I479),2))</f>
        <v/>
      </c>
      <c r="P479" s="41" t="str">
        <f aca="false">IF($N479="","",0)</f>
        <v/>
      </c>
      <c r="Q479" s="39" t="str">
        <f aca="false">IF($N479="","",IF(N($H479)&gt;0,$K479,$M479))</f>
        <v/>
      </c>
      <c r="R479" s="41" t="str">
        <f aca="false">IF($Q479="","",0)</f>
        <v/>
      </c>
      <c r="S479" s="41" t="str">
        <f aca="false">IF($Q479="","",ROUND(N($H479)+N($I479),2))</f>
        <v/>
      </c>
      <c r="T479" s="42"/>
      <c r="U479" s="44"/>
      <c r="V479" s="41" t="str">
        <f aca="false">IF($B479="","",TEXT($B479,"yyyy年m月"))</f>
        <v/>
      </c>
      <c r="W479" s="42"/>
      <c r="X479" s="42"/>
      <c r="Y479" s="9"/>
    </row>
    <row r="480" customFormat="false" ht="18" hidden="false" customHeight="true" outlineLevel="0" collapsed="false">
      <c r="A480" s="9" t="str">
        <f aca="false">IF($C480="","",ROW()-3)</f>
        <v/>
      </c>
      <c r="B480" s="76"/>
      <c r="C480" s="74"/>
      <c r="D480" s="43"/>
      <c r="E480" s="42"/>
      <c r="F480" s="74"/>
      <c r="G480" s="74"/>
      <c r="H480" s="44"/>
      <c r="I480" s="44"/>
      <c r="J480" s="103" t="str">
        <f aca="false">IF($C480="","",ROUND(IFERROR(INDEX(期初余额!$I$4:$I$43,MATCH($C480,期初余额!$H$4:$H$43,0)),0)+SUMIFS($H$4:$H480,$C$4:$C480,$C480)-SUMIFS($I$4:$I480,$C$4:$C480,$C480),2))</f>
        <v/>
      </c>
      <c r="K480" s="104" t="str">
        <f aca="false">IF($T480&lt;&gt;"",$T480,IF($C480="","",IF(AND(N($I480)&gt;0,$G480&lt;&gt;""),IF(IFERROR(INDEX(科目表!$U$4:$U$123,MATCH($G480,科目表!$M$4:$M$123,0)),"")&amp;""="","管理费用",INDEX(科目表!$U$4:$U$123,MATCH($G480,科目表!$M$4:$M$123,0))),IF(N($H480)&gt;0,IF(IFERROR(INDEX(自动规则!$C$4:$C$143,MATCH($F480,自动规则!$B$4:$B$143,0)),"")&amp;""="","其他应收款",INDEX(自动规则!$C$4:$C$143,MATCH($F480,自动规则!$B$4:$B$143,0))),IF(IFERROR(INDEX(自动规则!$D$4:$D$143,MATCH($F480,自动规则!$B$4:$B$143,0)),"")&amp;""="","其他应付款",INDEX(自动规则!$D$4:$D$143,MATCH($F480,自动规则!$B$4:$B$143,0)))))))</f>
        <v/>
      </c>
      <c r="L480" s="43"/>
      <c r="M480" s="105" t="str">
        <f aca="false">IF($C480="","",IF(IFERROR(INDEX(科目表!$T$4:$T$123,MATCH($C480,科目表!$K$4:$K$123,0)),"")&amp;""="","其他货币资金",INDEX(科目表!$T$4:$T$123,MATCH($C480,科目表!$K$4:$K$123,0))))</f>
        <v/>
      </c>
      <c r="N480" s="39" t="str">
        <f aca="false">IF(OR($C480="",ROUND(N($H480)+N($I480),2)=0),"",IF(N($H480)&gt;0,$M480,$K480))</f>
        <v/>
      </c>
      <c r="O480" s="41" t="str">
        <f aca="false">IF($N480="","",ROUND(N($H480)+N($I480),2))</f>
        <v/>
      </c>
      <c r="P480" s="41" t="str">
        <f aca="false">IF($N480="","",0)</f>
        <v/>
      </c>
      <c r="Q480" s="39" t="str">
        <f aca="false">IF($N480="","",IF(N($H480)&gt;0,$K480,$M480))</f>
        <v/>
      </c>
      <c r="R480" s="41" t="str">
        <f aca="false">IF($Q480="","",0)</f>
        <v/>
      </c>
      <c r="S480" s="41" t="str">
        <f aca="false">IF($Q480="","",ROUND(N($H480)+N($I480),2))</f>
        <v/>
      </c>
      <c r="T480" s="42"/>
      <c r="U480" s="44"/>
      <c r="V480" s="41" t="str">
        <f aca="false">IF($B480="","",TEXT($B480,"yyyy年m月"))</f>
        <v/>
      </c>
      <c r="W480" s="42"/>
      <c r="X480" s="42"/>
      <c r="Y480" s="9"/>
    </row>
    <row r="481" customFormat="false" ht="18" hidden="false" customHeight="true" outlineLevel="0" collapsed="false">
      <c r="A481" s="9" t="str">
        <f aca="false">IF($C481="","",ROW()-3)</f>
        <v/>
      </c>
      <c r="B481" s="76"/>
      <c r="C481" s="74"/>
      <c r="D481" s="43"/>
      <c r="E481" s="42"/>
      <c r="F481" s="74"/>
      <c r="G481" s="74"/>
      <c r="H481" s="44"/>
      <c r="I481" s="44"/>
      <c r="J481" s="103" t="str">
        <f aca="false">IF($C481="","",ROUND(IFERROR(INDEX(期初余额!$I$4:$I$43,MATCH($C481,期初余额!$H$4:$H$43,0)),0)+SUMIFS($H$4:$H481,$C$4:$C481,$C481)-SUMIFS($I$4:$I481,$C$4:$C481,$C481),2))</f>
        <v/>
      </c>
      <c r="K481" s="104" t="str">
        <f aca="false">IF($T481&lt;&gt;"",$T481,IF($C481="","",IF(AND(N($I481)&gt;0,$G481&lt;&gt;""),IF(IFERROR(INDEX(科目表!$U$4:$U$123,MATCH($G481,科目表!$M$4:$M$123,0)),"")&amp;""="","管理费用",INDEX(科目表!$U$4:$U$123,MATCH($G481,科目表!$M$4:$M$123,0))),IF(N($H481)&gt;0,IF(IFERROR(INDEX(自动规则!$C$4:$C$143,MATCH($F481,自动规则!$B$4:$B$143,0)),"")&amp;""="","其他应收款",INDEX(自动规则!$C$4:$C$143,MATCH($F481,自动规则!$B$4:$B$143,0))),IF(IFERROR(INDEX(自动规则!$D$4:$D$143,MATCH($F481,自动规则!$B$4:$B$143,0)),"")&amp;""="","其他应付款",INDEX(自动规则!$D$4:$D$143,MATCH($F481,自动规则!$B$4:$B$143,0)))))))</f>
        <v/>
      </c>
      <c r="L481" s="43"/>
      <c r="M481" s="105" t="str">
        <f aca="false">IF($C481="","",IF(IFERROR(INDEX(科目表!$T$4:$T$123,MATCH($C481,科目表!$K$4:$K$123,0)),"")&amp;""="","其他货币资金",INDEX(科目表!$T$4:$T$123,MATCH($C481,科目表!$K$4:$K$123,0))))</f>
        <v/>
      </c>
      <c r="N481" s="39" t="str">
        <f aca="false">IF(OR($C481="",ROUND(N($H481)+N($I481),2)=0),"",IF(N($H481)&gt;0,$M481,$K481))</f>
        <v/>
      </c>
      <c r="O481" s="41" t="str">
        <f aca="false">IF($N481="","",ROUND(N($H481)+N($I481),2))</f>
        <v/>
      </c>
      <c r="P481" s="41" t="str">
        <f aca="false">IF($N481="","",0)</f>
        <v/>
      </c>
      <c r="Q481" s="39" t="str">
        <f aca="false">IF($N481="","",IF(N($H481)&gt;0,$K481,$M481))</f>
        <v/>
      </c>
      <c r="R481" s="41" t="str">
        <f aca="false">IF($Q481="","",0)</f>
        <v/>
      </c>
      <c r="S481" s="41" t="str">
        <f aca="false">IF($Q481="","",ROUND(N($H481)+N($I481),2))</f>
        <v/>
      </c>
      <c r="T481" s="42"/>
      <c r="U481" s="44"/>
      <c r="V481" s="41" t="str">
        <f aca="false">IF($B481="","",TEXT($B481,"yyyy年m月"))</f>
        <v/>
      </c>
      <c r="W481" s="42"/>
      <c r="X481" s="42"/>
      <c r="Y481" s="9"/>
    </row>
    <row r="482" customFormat="false" ht="18" hidden="false" customHeight="true" outlineLevel="0" collapsed="false">
      <c r="A482" s="9" t="str">
        <f aca="false">IF($C482="","",ROW()-3)</f>
        <v/>
      </c>
      <c r="B482" s="76"/>
      <c r="C482" s="74"/>
      <c r="D482" s="43"/>
      <c r="E482" s="42"/>
      <c r="F482" s="74"/>
      <c r="G482" s="74"/>
      <c r="H482" s="44"/>
      <c r="I482" s="44"/>
      <c r="J482" s="103" t="str">
        <f aca="false">IF($C482="","",ROUND(IFERROR(INDEX(期初余额!$I$4:$I$43,MATCH($C482,期初余额!$H$4:$H$43,0)),0)+SUMIFS($H$4:$H482,$C$4:$C482,$C482)-SUMIFS($I$4:$I482,$C$4:$C482,$C482),2))</f>
        <v/>
      </c>
      <c r="K482" s="104" t="str">
        <f aca="false">IF($T482&lt;&gt;"",$T482,IF($C482="","",IF(AND(N($I482)&gt;0,$G482&lt;&gt;""),IF(IFERROR(INDEX(科目表!$U$4:$U$123,MATCH($G482,科目表!$M$4:$M$123,0)),"")&amp;""="","管理费用",INDEX(科目表!$U$4:$U$123,MATCH($G482,科目表!$M$4:$M$123,0))),IF(N($H482)&gt;0,IF(IFERROR(INDEX(自动规则!$C$4:$C$143,MATCH($F482,自动规则!$B$4:$B$143,0)),"")&amp;""="","其他应收款",INDEX(自动规则!$C$4:$C$143,MATCH($F482,自动规则!$B$4:$B$143,0))),IF(IFERROR(INDEX(自动规则!$D$4:$D$143,MATCH($F482,自动规则!$B$4:$B$143,0)),"")&amp;""="","其他应付款",INDEX(自动规则!$D$4:$D$143,MATCH($F482,自动规则!$B$4:$B$143,0)))))))</f>
        <v/>
      </c>
      <c r="L482" s="43"/>
      <c r="M482" s="105" t="str">
        <f aca="false">IF($C482="","",IF(IFERROR(INDEX(科目表!$T$4:$T$123,MATCH($C482,科目表!$K$4:$K$123,0)),"")&amp;""="","其他货币资金",INDEX(科目表!$T$4:$T$123,MATCH($C482,科目表!$K$4:$K$123,0))))</f>
        <v/>
      </c>
      <c r="N482" s="39" t="str">
        <f aca="false">IF(OR($C482="",ROUND(N($H482)+N($I482),2)=0),"",IF(N($H482)&gt;0,$M482,$K482))</f>
        <v/>
      </c>
      <c r="O482" s="41" t="str">
        <f aca="false">IF($N482="","",ROUND(N($H482)+N($I482),2))</f>
        <v/>
      </c>
      <c r="P482" s="41" t="str">
        <f aca="false">IF($N482="","",0)</f>
        <v/>
      </c>
      <c r="Q482" s="39" t="str">
        <f aca="false">IF($N482="","",IF(N($H482)&gt;0,$K482,$M482))</f>
        <v/>
      </c>
      <c r="R482" s="41" t="str">
        <f aca="false">IF($Q482="","",0)</f>
        <v/>
      </c>
      <c r="S482" s="41" t="str">
        <f aca="false">IF($Q482="","",ROUND(N($H482)+N($I482),2))</f>
        <v/>
      </c>
      <c r="T482" s="42"/>
      <c r="U482" s="44"/>
      <c r="V482" s="41" t="str">
        <f aca="false">IF($B482="","",TEXT($B482,"yyyy年m月"))</f>
        <v/>
      </c>
      <c r="W482" s="42"/>
      <c r="X482" s="42"/>
      <c r="Y482" s="9"/>
    </row>
    <row r="483" customFormat="false" ht="18" hidden="false" customHeight="true" outlineLevel="0" collapsed="false">
      <c r="A483" s="9" t="str">
        <f aca="false">IF($C483="","",ROW()-3)</f>
        <v/>
      </c>
      <c r="B483" s="76"/>
      <c r="C483" s="74"/>
      <c r="D483" s="43"/>
      <c r="E483" s="42"/>
      <c r="F483" s="74"/>
      <c r="G483" s="74"/>
      <c r="H483" s="44"/>
      <c r="I483" s="44"/>
      <c r="J483" s="103" t="str">
        <f aca="false">IF($C483="","",ROUND(IFERROR(INDEX(期初余额!$I$4:$I$43,MATCH($C483,期初余额!$H$4:$H$43,0)),0)+SUMIFS($H$4:$H483,$C$4:$C483,$C483)-SUMIFS($I$4:$I483,$C$4:$C483,$C483),2))</f>
        <v/>
      </c>
      <c r="K483" s="104" t="str">
        <f aca="false">IF($T483&lt;&gt;"",$T483,IF($C483="","",IF(AND(N($I483)&gt;0,$G483&lt;&gt;""),IF(IFERROR(INDEX(科目表!$U$4:$U$123,MATCH($G483,科目表!$M$4:$M$123,0)),"")&amp;""="","管理费用",INDEX(科目表!$U$4:$U$123,MATCH($G483,科目表!$M$4:$M$123,0))),IF(N($H483)&gt;0,IF(IFERROR(INDEX(自动规则!$C$4:$C$143,MATCH($F483,自动规则!$B$4:$B$143,0)),"")&amp;""="","其他应收款",INDEX(自动规则!$C$4:$C$143,MATCH($F483,自动规则!$B$4:$B$143,0))),IF(IFERROR(INDEX(自动规则!$D$4:$D$143,MATCH($F483,自动规则!$B$4:$B$143,0)),"")&amp;""="","其他应付款",INDEX(自动规则!$D$4:$D$143,MATCH($F483,自动规则!$B$4:$B$143,0)))))))</f>
        <v/>
      </c>
      <c r="L483" s="43"/>
      <c r="M483" s="105" t="str">
        <f aca="false">IF($C483="","",IF(IFERROR(INDEX(科目表!$T$4:$T$123,MATCH($C483,科目表!$K$4:$K$123,0)),"")&amp;""="","其他货币资金",INDEX(科目表!$T$4:$T$123,MATCH($C483,科目表!$K$4:$K$123,0))))</f>
        <v/>
      </c>
      <c r="N483" s="39" t="str">
        <f aca="false">IF(OR($C483="",ROUND(N($H483)+N($I483),2)=0),"",IF(N($H483)&gt;0,$M483,$K483))</f>
        <v/>
      </c>
      <c r="O483" s="41" t="str">
        <f aca="false">IF($N483="","",ROUND(N($H483)+N($I483),2))</f>
        <v/>
      </c>
      <c r="P483" s="41" t="str">
        <f aca="false">IF($N483="","",0)</f>
        <v/>
      </c>
      <c r="Q483" s="39" t="str">
        <f aca="false">IF($N483="","",IF(N($H483)&gt;0,$K483,$M483))</f>
        <v/>
      </c>
      <c r="R483" s="41" t="str">
        <f aca="false">IF($Q483="","",0)</f>
        <v/>
      </c>
      <c r="S483" s="41" t="str">
        <f aca="false">IF($Q483="","",ROUND(N($H483)+N($I483),2))</f>
        <v/>
      </c>
      <c r="T483" s="42"/>
      <c r="U483" s="44"/>
      <c r="V483" s="41" t="str">
        <f aca="false">IF($B483="","",TEXT($B483,"yyyy年m月"))</f>
        <v/>
      </c>
      <c r="W483" s="42"/>
      <c r="X483" s="42"/>
      <c r="Y483" s="9"/>
    </row>
    <row r="484" customFormat="false" ht="18" hidden="false" customHeight="true" outlineLevel="0" collapsed="false">
      <c r="A484" s="9" t="str">
        <f aca="false">IF($C484="","",ROW()-3)</f>
        <v/>
      </c>
      <c r="B484" s="76"/>
      <c r="C484" s="74"/>
      <c r="D484" s="43"/>
      <c r="E484" s="42"/>
      <c r="F484" s="74"/>
      <c r="G484" s="74"/>
      <c r="H484" s="44"/>
      <c r="I484" s="44"/>
      <c r="J484" s="103" t="str">
        <f aca="false">IF($C484="","",ROUND(IFERROR(INDEX(期初余额!$I$4:$I$43,MATCH($C484,期初余额!$H$4:$H$43,0)),0)+SUMIFS($H$4:$H484,$C$4:$C484,$C484)-SUMIFS($I$4:$I484,$C$4:$C484,$C484),2))</f>
        <v/>
      </c>
      <c r="K484" s="104" t="str">
        <f aca="false">IF($T484&lt;&gt;"",$T484,IF($C484="","",IF(AND(N($I484)&gt;0,$G484&lt;&gt;""),IF(IFERROR(INDEX(科目表!$U$4:$U$123,MATCH($G484,科目表!$M$4:$M$123,0)),"")&amp;""="","管理费用",INDEX(科目表!$U$4:$U$123,MATCH($G484,科目表!$M$4:$M$123,0))),IF(N($H484)&gt;0,IF(IFERROR(INDEX(自动规则!$C$4:$C$143,MATCH($F484,自动规则!$B$4:$B$143,0)),"")&amp;""="","其他应收款",INDEX(自动规则!$C$4:$C$143,MATCH($F484,自动规则!$B$4:$B$143,0))),IF(IFERROR(INDEX(自动规则!$D$4:$D$143,MATCH($F484,自动规则!$B$4:$B$143,0)),"")&amp;""="","其他应付款",INDEX(自动规则!$D$4:$D$143,MATCH($F484,自动规则!$B$4:$B$143,0)))))))</f>
        <v/>
      </c>
      <c r="L484" s="43"/>
      <c r="M484" s="105" t="str">
        <f aca="false">IF($C484="","",IF(IFERROR(INDEX(科目表!$T$4:$T$123,MATCH($C484,科目表!$K$4:$K$123,0)),"")&amp;""="","其他货币资金",INDEX(科目表!$T$4:$T$123,MATCH($C484,科目表!$K$4:$K$123,0))))</f>
        <v/>
      </c>
      <c r="N484" s="39" t="str">
        <f aca="false">IF(OR($C484="",ROUND(N($H484)+N($I484),2)=0),"",IF(N($H484)&gt;0,$M484,$K484))</f>
        <v/>
      </c>
      <c r="O484" s="41" t="str">
        <f aca="false">IF($N484="","",ROUND(N($H484)+N($I484),2))</f>
        <v/>
      </c>
      <c r="P484" s="41" t="str">
        <f aca="false">IF($N484="","",0)</f>
        <v/>
      </c>
      <c r="Q484" s="39" t="str">
        <f aca="false">IF($N484="","",IF(N($H484)&gt;0,$K484,$M484))</f>
        <v/>
      </c>
      <c r="R484" s="41" t="str">
        <f aca="false">IF($Q484="","",0)</f>
        <v/>
      </c>
      <c r="S484" s="41" t="str">
        <f aca="false">IF($Q484="","",ROUND(N($H484)+N($I484),2))</f>
        <v/>
      </c>
      <c r="T484" s="42"/>
      <c r="U484" s="44"/>
      <c r="V484" s="41" t="str">
        <f aca="false">IF($B484="","",TEXT($B484,"yyyy年m月"))</f>
        <v/>
      </c>
      <c r="W484" s="42"/>
      <c r="X484" s="42"/>
      <c r="Y484" s="9"/>
    </row>
    <row r="485" customFormat="false" ht="18" hidden="false" customHeight="true" outlineLevel="0" collapsed="false">
      <c r="A485" s="9" t="str">
        <f aca="false">IF($C485="","",ROW()-3)</f>
        <v/>
      </c>
      <c r="B485" s="76"/>
      <c r="C485" s="74"/>
      <c r="D485" s="43"/>
      <c r="E485" s="42"/>
      <c r="F485" s="74"/>
      <c r="G485" s="74"/>
      <c r="H485" s="44"/>
      <c r="I485" s="44"/>
      <c r="J485" s="103" t="str">
        <f aca="false">IF($C485="","",ROUND(IFERROR(INDEX(期初余额!$I$4:$I$43,MATCH($C485,期初余额!$H$4:$H$43,0)),0)+SUMIFS($H$4:$H485,$C$4:$C485,$C485)-SUMIFS($I$4:$I485,$C$4:$C485,$C485),2))</f>
        <v/>
      </c>
      <c r="K485" s="104" t="str">
        <f aca="false">IF($T485&lt;&gt;"",$T485,IF($C485="","",IF(AND(N($I485)&gt;0,$G485&lt;&gt;""),IF(IFERROR(INDEX(科目表!$U$4:$U$123,MATCH($G485,科目表!$M$4:$M$123,0)),"")&amp;""="","管理费用",INDEX(科目表!$U$4:$U$123,MATCH($G485,科目表!$M$4:$M$123,0))),IF(N($H485)&gt;0,IF(IFERROR(INDEX(自动规则!$C$4:$C$143,MATCH($F485,自动规则!$B$4:$B$143,0)),"")&amp;""="","其他应收款",INDEX(自动规则!$C$4:$C$143,MATCH($F485,自动规则!$B$4:$B$143,0))),IF(IFERROR(INDEX(自动规则!$D$4:$D$143,MATCH($F485,自动规则!$B$4:$B$143,0)),"")&amp;""="","其他应付款",INDEX(自动规则!$D$4:$D$143,MATCH($F485,自动规则!$B$4:$B$143,0)))))))</f>
        <v/>
      </c>
      <c r="L485" s="43"/>
      <c r="M485" s="105" t="str">
        <f aca="false">IF($C485="","",IF(IFERROR(INDEX(科目表!$T$4:$T$123,MATCH($C485,科目表!$K$4:$K$123,0)),"")&amp;""="","其他货币资金",INDEX(科目表!$T$4:$T$123,MATCH($C485,科目表!$K$4:$K$123,0))))</f>
        <v/>
      </c>
      <c r="N485" s="39" t="str">
        <f aca="false">IF(OR($C485="",ROUND(N($H485)+N($I485),2)=0),"",IF(N($H485)&gt;0,$M485,$K485))</f>
        <v/>
      </c>
      <c r="O485" s="41" t="str">
        <f aca="false">IF($N485="","",ROUND(N($H485)+N($I485),2))</f>
        <v/>
      </c>
      <c r="P485" s="41" t="str">
        <f aca="false">IF($N485="","",0)</f>
        <v/>
      </c>
      <c r="Q485" s="39" t="str">
        <f aca="false">IF($N485="","",IF(N($H485)&gt;0,$K485,$M485))</f>
        <v/>
      </c>
      <c r="R485" s="41" t="str">
        <f aca="false">IF($Q485="","",0)</f>
        <v/>
      </c>
      <c r="S485" s="41" t="str">
        <f aca="false">IF($Q485="","",ROUND(N($H485)+N($I485),2))</f>
        <v/>
      </c>
      <c r="T485" s="42"/>
      <c r="U485" s="44"/>
      <c r="V485" s="41" t="str">
        <f aca="false">IF($B485="","",TEXT($B485,"yyyy年m月"))</f>
        <v/>
      </c>
      <c r="W485" s="42"/>
      <c r="X485" s="42"/>
      <c r="Y485" s="9"/>
    </row>
    <row r="486" customFormat="false" ht="18" hidden="false" customHeight="true" outlineLevel="0" collapsed="false">
      <c r="A486" s="9" t="str">
        <f aca="false">IF($C486="","",ROW()-3)</f>
        <v/>
      </c>
      <c r="B486" s="76"/>
      <c r="C486" s="74"/>
      <c r="D486" s="43"/>
      <c r="E486" s="42"/>
      <c r="F486" s="74"/>
      <c r="G486" s="74"/>
      <c r="H486" s="44"/>
      <c r="I486" s="44"/>
      <c r="J486" s="103" t="str">
        <f aca="false">IF($C486="","",ROUND(IFERROR(INDEX(期初余额!$I$4:$I$43,MATCH($C486,期初余额!$H$4:$H$43,0)),0)+SUMIFS($H$4:$H486,$C$4:$C486,$C486)-SUMIFS($I$4:$I486,$C$4:$C486,$C486),2))</f>
        <v/>
      </c>
      <c r="K486" s="104" t="str">
        <f aca="false">IF($T486&lt;&gt;"",$T486,IF($C486="","",IF(AND(N($I486)&gt;0,$G486&lt;&gt;""),IF(IFERROR(INDEX(科目表!$U$4:$U$123,MATCH($G486,科目表!$M$4:$M$123,0)),"")&amp;""="","管理费用",INDEX(科目表!$U$4:$U$123,MATCH($G486,科目表!$M$4:$M$123,0))),IF(N($H486)&gt;0,IF(IFERROR(INDEX(自动规则!$C$4:$C$143,MATCH($F486,自动规则!$B$4:$B$143,0)),"")&amp;""="","其他应收款",INDEX(自动规则!$C$4:$C$143,MATCH($F486,自动规则!$B$4:$B$143,0))),IF(IFERROR(INDEX(自动规则!$D$4:$D$143,MATCH($F486,自动规则!$B$4:$B$143,0)),"")&amp;""="","其他应付款",INDEX(自动规则!$D$4:$D$143,MATCH($F486,自动规则!$B$4:$B$143,0)))))))</f>
        <v/>
      </c>
      <c r="L486" s="43"/>
      <c r="M486" s="105" t="str">
        <f aca="false">IF($C486="","",IF(IFERROR(INDEX(科目表!$T$4:$T$123,MATCH($C486,科目表!$K$4:$K$123,0)),"")&amp;""="","其他货币资金",INDEX(科目表!$T$4:$T$123,MATCH($C486,科目表!$K$4:$K$123,0))))</f>
        <v/>
      </c>
      <c r="N486" s="39" t="str">
        <f aca="false">IF(OR($C486="",ROUND(N($H486)+N($I486),2)=0),"",IF(N($H486)&gt;0,$M486,$K486))</f>
        <v/>
      </c>
      <c r="O486" s="41" t="str">
        <f aca="false">IF($N486="","",ROUND(N($H486)+N($I486),2))</f>
        <v/>
      </c>
      <c r="P486" s="41" t="str">
        <f aca="false">IF($N486="","",0)</f>
        <v/>
      </c>
      <c r="Q486" s="39" t="str">
        <f aca="false">IF($N486="","",IF(N($H486)&gt;0,$K486,$M486))</f>
        <v/>
      </c>
      <c r="R486" s="41" t="str">
        <f aca="false">IF($Q486="","",0)</f>
        <v/>
      </c>
      <c r="S486" s="41" t="str">
        <f aca="false">IF($Q486="","",ROUND(N($H486)+N($I486),2))</f>
        <v/>
      </c>
      <c r="T486" s="42"/>
      <c r="U486" s="44"/>
      <c r="V486" s="41" t="str">
        <f aca="false">IF($B486="","",TEXT($B486,"yyyy年m月"))</f>
        <v/>
      </c>
      <c r="W486" s="42"/>
      <c r="X486" s="42"/>
      <c r="Y486" s="9"/>
    </row>
    <row r="487" customFormat="false" ht="18" hidden="false" customHeight="true" outlineLevel="0" collapsed="false">
      <c r="A487" s="9" t="str">
        <f aca="false">IF($C487="","",ROW()-3)</f>
        <v/>
      </c>
      <c r="B487" s="76"/>
      <c r="C487" s="74"/>
      <c r="D487" s="43"/>
      <c r="E487" s="42"/>
      <c r="F487" s="74"/>
      <c r="G487" s="74"/>
      <c r="H487" s="44"/>
      <c r="I487" s="44"/>
      <c r="J487" s="103" t="str">
        <f aca="false">IF($C487="","",ROUND(IFERROR(INDEX(期初余额!$I$4:$I$43,MATCH($C487,期初余额!$H$4:$H$43,0)),0)+SUMIFS($H$4:$H487,$C$4:$C487,$C487)-SUMIFS($I$4:$I487,$C$4:$C487,$C487),2))</f>
        <v/>
      </c>
      <c r="K487" s="104" t="str">
        <f aca="false">IF($T487&lt;&gt;"",$T487,IF($C487="","",IF(AND(N($I487)&gt;0,$G487&lt;&gt;""),IF(IFERROR(INDEX(科目表!$U$4:$U$123,MATCH($G487,科目表!$M$4:$M$123,0)),"")&amp;""="","管理费用",INDEX(科目表!$U$4:$U$123,MATCH($G487,科目表!$M$4:$M$123,0))),IF(N($H487)&gt;0,IF(IFERROR(INDEX(自动规则!$C$4:$C$143,MATCH($F487,自动规则!$B$4:$B$143,0)),"")&amp;""="","其他应收款",INDEX(自动规则!$C$4:$C$143,MATCH($F487,自动规则!$B$4:$B$143,0))),IF(IFERROR(INDEX(自动规则!$D$4:$D$143,MATCH($F487,自动规则!$B$4:$B$143,0)),"")&amp;""="","其他应付款",INDEX(自动规则!$D$4:$D$143,MATCH($F487,自动规则!$B$4:$B$143,0)))))))</f>
        <v/>
      </c>
      <c r="L487" s="43"/>
      <c r="M487" s="105" t="str">
        <f aca="false">IF($C487="","",IF(IFERROR(INDEX(科目表!$T$4:$T$123,MATCH($C487,科目表!$K$4:$K$123,0)),"")&amp;""="","其他货币资金",INDEX(科目表!$T$4:$T$123,MATCH($C487,科目表!$K$4:$K$123,0))))</f>
        <v/>
      </c>
      <c r="N487" s="39" t="str">
        <f aca="false">IF(OR($C487="",ROUND(N($H487)+N($I487),2)=0),"",IF(N($H487)&gt;0,$M487,$K487))</f>
        <v/>
      </c>
      <c r="O487" s="41" t="str">
        <f aca="false">IF($N487="","",ROUND(N($H487)+N($I487),2))</f>
        <v/>
      </c>
      <c r="P487" s="41" t="str">
        <f aca="false">IF($N487="","",0)</f>
        <v/>
      </c>
      <c r="Q487" s="39" t="str">
        <f aca="false">IF($N487="","",IF(N($H487)&gt;0,$K487,$M487))</f>
        <v/>
      </c>
      <c r="R487" s="41" t="str">
        <f aca="false">IF($Q487="","",0)</f>
        <v/>
      </c>
      <c r="S487" s="41" t="str">
        <f aca="false">IF($Q487="","",ROUND(N($H487)+N($I487),2))</f>
        <v/>
      </c>
      <c r="T487" s="42"/>
      <c r="U487" s="44"/>
      <c r="V487" s="41" t="str">
        <f aca="false">IF($B487="","",TEXT($B487,"yyyy年m月"))</f>
        <v/>
      </c>
      <c r="W487" s="42"/>
      <c r="X487" s="42"/>
      <c r="Y487" s="9"/>
    </row>
    <row r="488" customFormat="false" ht="18" hidden="false" customHeight="true" outlineLevel="0" collapsed="false">
      <c r="A488" s="9" t="str">
        <f aca="false">IF($C488="","",ROW()-3)</f>
        <v/>
      </c>
      <c r="B488" s="76"/>
      <c r="C488" s="74"/>
      <c r="D488" s="43"/>
      <c r="E488" s="42"/>
      <c r="F488" s="74"/>
      <c r="G488" s="74"/>
      <c r="H488" s="44"/>
      <c r="I488" s="44"/>
      <c r="J488" s="103" t="str">
        <f aca="false">IF($C488="","",ROUND(IFERROR(INDEX(期初余额!$I$4:$I$43,MATCH($C488,期初余额!$H$4:$H$43,0)),0)+SUMIFS($H$4:$H488,$C$4:$C488,$C488)-SUMIFS($I$4:$I488,$C$4:$C488,$C488),2))</f>
        <v/>
      </c>
      <c r="K488" s="104" t="str">
        <f aca="false">IF($T488&lt;&gt;"",$T488,IF($C488="","",IF(AND(N($I488)&gt;0,$G488&lt;&gt;""),IF(IFERROR(INDEX(科目表!$U$4:$U$123,MATCH($G488,科目表!$M$4:$M$123,0)),"")&amp;""="","管理费用",INDEX(科目表!$U$4:$U$123,MATCH($G488,科目表!$M$4:$M$123,0))),IF(N($H488)&gt;0,IF(IFERROR(INDEX(自动规则!$C$4:$C$143,MATCH($F488,自动规则!$B$4:$B$143,0)),"")&amp;""="","其他应收款",INDEX(自动规则!$C$4:$C$143,MATCH($F488,自动规则!$B$4:$B$143,0))),IF(IFERROR(INDEX(自动规则!$D$4:$D$143,MATCH($F488,自动规则!$B$4:$B$143,0)),"")&amp;""="","其他应付款",INDEX(自动规则!$D$4:$D$143,MATCH($F488,自动规则!$B$4:$B$143,0)))))))</f>
        <v/>
      </c>
      <c r="L488" s="43"/>
      <c r="M488" s="105" t="str">
        <f aca="false">IF($C488="","",IF(IFERROR(INDEX(科目表!$T$4:$T$123,MATCH($C488,科目表!$K$4:$K$123,0)),"")&amp;""="","其他货币资金",INDEX(科目表!$T$4:$T$123,MATCH($C488,科目表!$K$4:$K$123,0))))</f>
        <v/>
      </c>
      <c r="N488" s="39" t="str">
        <f aca="false">IF(OR($C488="",ROUND(N($H488)+N($I488),2)=0),"",IF(N($H488)&gt;0,$M488,$K488))</f>
        <v/>
      </c>
      <c r="O488" s="41" t="str">
        <f aca="false">IF($N488="","",ROUND(N($H488)+N($I488),2))</f>
        <v/>
      </c>
      <c r="P488" s="41" t="str">
        <f aca="false">IF($N488="","",0)</f>
        <v/>
      </c>
      <c r="Q488" s="39" t="str">
        <f aca="false">IF($N488="","",IF(N($H488)&gt;0,$K488,$M488))</f>
        <v/>
      </c>
      <c r="R488" s="41" t="str">
        <f aca="false">IF($Q488="","",0)</f>
        <v/>
      </c>
      <c r="S488" s="41" t="str">
        <f aca="false">IF($Q488="","",ROUND(N($H488)+N($I488),2))</f>
        <v/>
      </c>
      <c r="T488" s="42"/>
      <c r="U488" s="44"/>
      <c r="V488" s="41" t="str">
        <f aca="false">IF($B488="","",TEXT($B488,"yyyy年m月"))</f>
        <v/>
      </c>
      <c r="W488" s="42"/>
      <c r="X488" s="42"/>
      <c r="Y488" s="9"/>
    </row>
    <row r="489" customFormat="false" ht="18" hidden="false" customHeight="true" outlineLevel="0" collapsed="false">
      <c r="A489" s="9" t="str">
        <f aca="false">IF($C489="","",ROW()-3)</f>
        <v/>
      </c>
      <c r="B489" s="76"/>
      <c r="C489" s="74"/>
      <c r="D489" s="43"/>
      <c r="E489" s="42"/>
      <c r="F489" s="74"/>
      <c r="G489" s="74"/>
      <c r="H489" s="44"/>
      <c r="I489" s="44"/>
      <c r="J489" s="103" t="str">
        <f aca="false">IF($C489="","",ROUND(IFERROR(INDEX(期初余额!$I$4:$I$43,MATCH($C489,期初余额!$H$4:$H$43,0)),0)+SUMIFS($H$4:$H489,$C$4:$C489,$C489)-SUMIFS($I$4:$I489,$C$4:$C489,$C489),2))</f>
        <v/>
      </c>
      <c r="K489" s="104" t="str">
        <f aca="false">IF($T489&lt;&gt;"",$T489,IF($C489="","",IF(AND(N($I489)&gt;0,$G489&lt;&gt;""),IF(IFERROR(INDEX(科目表!$U$4:$U$123,MATCH($G489,科目表!$M$4:$M$123,0)),"")&amp;""="","管理费用",INDEX(科目表!$U$4:$U$123,MATCH($G489,科目表!$M$4:$M$123,0))),IF(N($H489)&gt;0,IF(IFERROR(INDEX(自动规则!$C$4:$C$143,MATCH($F489,自动规则!$B$4:$B$143,0)),"")&amp;""="","其他应收款",INDEX(自动规则!$C$4:$C$143,MATCH($F489,自动规则!$B$4:$B$143,0))),IF(IFERROR(INDEX(自动规则!$D$4:$D$143,MATCH($F489,自动规则!$B$4:$B$143,0)),"")&amp;""="","其他应付款",INDEX(自动规则!$D$4:$D$143,MATCH($F489,自动规则!$B$4:$B$143,0)))))))</f>
        <v/>
      </c>
      <c r="L489" s="43"/>
      <c r="M489" s="105" t="str">
        <f aca="false">IF($C489="","",IF(IFERROR(INDEX(科目表!$T$4:$T$123,MATCH($C489,科目表!$K$4:$K$123,0)),"")&amp;""="","其他货币资金",INDEX(科目表!$T$4:$T$123,MATCH($C489,科目表!$K$4:$K$123,0))))</f>
        <v/>
      </c>
      <c r="N489" s="39" t="str">
        <f aca="false">IF(OR($C489="",ROUND(N($H489)+N($I489),2)=0),"",IF(N($H489)&gt;0,$M489,$K489))</f>
        <v/>
      </c>
      <c r="O489" s="41" t="str">
        <f aca="false">IF($N489="","",ROUND(N($H489)+N($I489),2))</f>
        <v/>
      </c>
      <c r="P489" s="41" t="str">
        <f aca="false">IF($N489="","",0)</f>
        <v/>
      </c>
      <c r="Q489" s="39" t="str">
        <f aca="false">IF($N489="","",IF(N($H489)&gt;0,$K489,$M489))</f>
        <v/>
      </c>
      <c r="R489" s="41" t="str">
        <f aca="false">IF($Q489="","",0)</f>
        <v/>
      </c>
      <c r="S489" s="41" t="str">
        <f aca="false">IF($Q489="","",ROUND(N($H489)+N($I489),2))</f>
        <v/>
      </c>
      <c r="T489" s="42"/>
      <c r="U489" s="44"/>
      <c r="V489" s="41" t="str">
        <f aca="false">IF($B489="","",TEXT($B489,"yyyy年m月"))</f>
        <v/>
      </c>
      <c r="W489" s="42"/>
      <c r="X489" s="42"/>
      <c r="Y489" s="9"/>
    </row>
    <row r="490" customFormat="false" ht="18" hidden="false" customHeight="true" outlineLevel="0" collapsed="false">
      <c r="A490" s="9" t="str">
        <f aca="false">IF($C490="","",ROW()-3)</f>
        <v/>
      </c>
      <c r="B490" s="76"/>
      <c r="C490" s="74"/>
      <c r="D490" s="43"/>
      <c r="E490" s="42"/>
      <c r="F490" s="74"/>
      <c r="G490" s="74"/>
      <c r="H490" s="44"/>
      <c r="I490" s="44"/>
      <c r="J490" s="103" t="str">
        <f aca="false">IF($C490="","",ROUND(IFERROR(INDEX(期初余额!$I$4:$I$43,MATCH($C490,期初余额!$H$4:$H$43,0)),0)+SUMIFS($H$4:$H490,$C$4:$C490,$C490)-SUMIFS($I$4:$I490,$C$4:$C490,$C490),2))</f>
        <v/>
      </c>
      <c r="K490" s="104" t="str">
        <f aca="false">IF($T490&lt;&gt;"",$T490,IF($C490="","",IF(AND(N($I490)&gt;0,$G490&lt;&gt;""),IF(IFERROR(INDEX(科目表!$U$4:$U$123,MATCH($G490,科目表!$M$4:$M$123,0)),"")&amp;""="","管理费用",INDEX(科目表!$U$4:$U$123,MATCH($G490,科目表!$M$4:$M$123,0))),IF(N($H490)&gt;0,IF(IFERROR(INDEX(自动规则!$C$4:$C$143,MATCH($F490,自动规则!$B$4:$B$143,0)),"")&amp;""="","其他应收款",INDEX(自动规则!$C$4:$C$143,MATCH($F490,自动规则!$B$4:$B$143,0))),IF(IFERROR(INDEX(自动规则!$D$4:$D$143,MATCH($F490,自动规则!$B$4:$B$143,0)),"")&amp;""="","其他应付款",INDEX(自动规则!$D$4:$D$143,MATCH($F490,自动规则!$B$4:$B$143,0)))))))</f>
        <v/>
      </c>
      <c r="L490" s="43"/>
      <c r="M490" s="105" t="str">
        <f aca="false">IF($C490="","",IF(IFERROR(INDEX(科目表!$T$4:$T$123,MATCH($C490,科目表!$K$4:$K$123,0)),"")&amp;""="","其他货币资金",INDEX(科目表!$T$4:$T$123,MATCH($C490,科目表!$K$4:$K$123,0))))</f>
        <v/>
      </c>
      <c r="N490" s="39" t="str">
        <f aca="false">IF(OR($C490="",ROUND(N($H490)+N($I490),2)=0),"",IF(N($H490)&gt;0,$M490,$K490))</f>
        <v/>
      </c>
      <c r="O490" s="41" t="str">
        <f aca="false">IF($N490="","",ROUND(N($H490)+N($I490),2))</f>
        <v/>
      </c>
      <c r="P490" s="41" t="str">
        <f aca="false">IF($N490="","",0)</f>
        <v/>
      </c>
      <c r="Q490" s="39" t="str">
        <f aca="false">IF($N490="","",IF(N($H490)&gt;0,$K490,$M490))</f>
        <v/>
      </c>
      <c r="R490" s="41" t="str">
        <f aca="false">IF($Q490="","",0)</f>
        <v/>
      </c>
      <c r="S490" s="41" t="str">
        <f aca="false">IF($Q490="","",ROUND(N($H490)+N($I490),2))</f>
        <v/>
      </c>
      <c r="T490" s="42"/>
      <c r="U490" s="44"/>
      <c r="V490" s="41" t="str">
        <f aca="false">IF($B490="","",TEXT($B490,"yyyy年m月"))</f>
        <v/>
      </c>
      <c r="W490" s="42"/>
      <c r="X490" s="42"/>
      <c r="Y490" s="9"/>
    </row>
    <row r="491" customFormat="false" ht="18" hidden="false" customHeight="true" outlineLevel="0" collapsed="false">
      <c r="A491" s="9" t="str">
        <f aca="false">IF($C491="","",ROW()-3)</f>
        <v/>
      </c>
      <c r="B491" s="76"/>
      <c r="C491" s="74"/>
      <c r="D491" s="43"/>
      <c r="E491" s="42"/>
      <c r="F491" s="74"/>
      <c r="G491" s="74"/>
      <c r="H491" s="44"/>
      <c r="I491" s="44"/>
      <c r="J491" s="103" t="str">
        <f aca="false">IF($C491="","",ROUND(IFERROR(INDEX(期初余额!$I$4:$I$43,MATCH($C491,期初余额!$H$4:$H$43,0)),0)+SUMIFS($H$4:$H491,$C$4:$C491,$C491)-SUMIFS($I$4:$I491,$C$4:$C491,$C491),2))</f>
        <v/>
      </c>
      <c r="K491" s="104" t="str">
        <f aca="false">IF($T491&lt;&gt;"",$T491,IF($C491="","",IF(AND(N($I491)&gt;0,$G491&lt;&gt;""),IF(IFERROR(INDEX(科目表!$U$4:$U$123,MATCH($G491,科目表!$M$4:$M$123,0)),"")&amp;""="","管理费用",INDEX(科目表!$U$4:$U$123,MATCH($G491,科目表!$M$4:$M$123,0))),IF(N($H491)&gt;0,IF(IFERROR(INDEX(自动规则!$C$4:$C$143,MATCH($F491,自动规则!$B$4:$B$143,0)),"")&amp;""="","其他应收款",INDEX(自动规则!$C$4:$C$143,MATCH($F491,自动规则!$B$4:$B$143,0))),IF(IFERROR(INDEX(自动规则!$D$4:$D$143,MATCH($F491,自动规则!$B$4:$B$143,0)),"")&amp;""="","其他应付款",INDEX(自动规则!$D$4:$D$143,MATCH($F491,自动规则!$B$4:$B$143,0)))))))</f>
        <v/>
      </c>
      <c r="L491" s="43"/>
      <c r="M491" s="105" t="str">
        <f aca="false">IF($C491="","",IF(IFERROR(INDEX(科目表!$T$4:$T$123,MATCH($C491,科目表!$K$4:$K$123,0)),"")&amp;""="","其他货币资金",INDEX(科目表!$T$4:$T$123,MATCH($C491,科目表!$K$4:$K$123,0))))</f>
        <v/>
      </c>
      <c r="N491" s="39" t="str">
        <f aca="false">IF(OR($C491="",ROUND(N($H491)+N($I491),2)=0),"",IF(N($H491)&gt;0,$M491,$K491))</f>
        <v/>
      </c>
      <c r="O491" s="41" t="str">
        <f aca="false">IF($N491="","",ROUND(N($H491)+N($I491),2))</f>
        <v/>
      </c>
      <c r="P491" s="41" t="str">
        <f aca="false">IF($N491="","",0)</f>
        <v/>
      </c>
      <c r="Q491" s="39" t="str">
        <f aca="false">IF($N491="","",IF(N($H491)&gt;0,$K491,$M491))</f>
        <v/>
      </c>
      <c r="R491" s="41" t="str">
        <f aca="false">IF($Q491="","",0)</f>
        <v/>
      </c>
      <c r="S491" s="41" t="str">
        <f aca="false">IF($Q491="","",ROUND(N($H491)+N($I491),2))</f>
        <v/>
      </c>
      <c r="T491" s="42"/>
      <c r="U491" s="44"/>
      <c r="V491" s="41" t="str">
        <f aca="false">IF($B491="","",TEXT($B491,"yyyy年m月"))</f>
        <v/>
      </c>
      <c r="W491" s="42"/>
      <c r="X491" s="42"/>
      <c r="Y491" s="9"/>
    </row>
    <row r="492" customFormat="false" ht="18" hidden="false" customHeight="true" outlineLevel="0" collapsed="false">
      <c r="A492" s="9" t="str">
        <f aca="false">IF($C492="","",ROW()-3)</f>
        <v/>
      </c>
      <c r="B492" s="76"/>
      <c r="C492" s="74"/>
      <c r="D492" s="43"/>
      <c r="E492" s="42"/>
      <c r="F492" s="74"/>
      <c r="G492" s="74"/>
      <c r="H492" s="44"/>
      <c r="I492" s="44"/>
      <c r="J492" s="103" t="str">
        <f aca="false">IF($C492="","",ROUND(IFERROR(INDEX(期初余额!$I$4:$I$43,MATCH($C492,期初余额!$H$4:$H$43,0)),0)+SUMIFS($H$4:$H492,$C$4:$C492,$C492)-SUMIFS($I$4:$I492,$C$4:$C492,$C492),2))</f>
        <v/>
      </c>
      <c r="K492" s="104" t="str">
        <f aca="false">IF($T492&lt;&gt;"",$T492,IF($C492="","",IF(AND(N($I492)&gt;0,$G492&lt;&gt;""),IF(IFERROR(INDEX(科目表!$U$4:$U$123,MATCH($G492,科目表!$M$4:$M$123,0)),"")&amp;""="","管理费用",INDEX(科目表!$U$4:$U$123,MATCH($G492,科目表!$M$4:$M$123,0))),IF(N($H492)&gt;0,IF(IFERROR(INDEX(自动规则!$C$4:$C$143,MATCH($F492,自动规则!$B$4:$B$143,0)),"")&amp;""="","其他应收款",INDEX(自动规则!$C$4:$C$143,MATCH($F492,自动规则!$B$4:$B$143,0))),IF(IFERROR(INDEX(自动规则!$D$4:$D$143,MATCH($F492,自动规则!$B$4:$B$143,0)),"")&amp;""="","其他应付款",INDEX(自动规则!$D$4:$D$143,MATCH($F492,自动规则!$B$4:$B$143,0)))))))</f>
        <v/>
      </c>
      <c r="L492" s="43"/>
      <c r="M492" s="105" t="str">
        <f aca="false">IF($C492="","",IF(IFERROR(INDEX(科目表!$T$4:$T$123,MATCH($C492,科目表!$K$4:$K$123,0)),"")&amp;""="","其他货币资金",INDEX(科目表!$T$4:$T$123,MATCH($C492,科目表!$K$4:$K$123,0))))</f>
        <v/>
      </c>
      <c r="N492" s="39" t="str">
        <f aca="false">IF(OR($C492="",ROUND(N($H492)+N($I492),2)=0),"",IF(N($H492)&gt;0,$M492,$K492))</f>
        <v/>
      </c>
      <c r="O492" s="41" t="str">
        <f aca="false">IF($N492="","",ROUND(N($H492)+N($I492),2))</f>
        <v/>
      </c>
      <c r="P492" s="41" t="str">
        <f aca="false">IF($N492="","",0)</f>
        <v/>
      </c>
      <c r="Q492" s="39" t="str">
        <f aca="false">IF($N492="","",IF(N($H492)&gt;0,$K492,$M492))</f>
        <v/>
      </c>
      <c r="R492" s="41" t="str">
        <f aca="false">IF($Q492="","",0)</f>
        <v/>
      </c>
      <c r="S492" s="41" t="str">
        <f aca="false">IF($Q492="","",ROUND(N($H492)+N($I492),2))</f>
        <v/>
      </c>
      <c r="T492" s="42"/>
      <c r="U492" s="44"/>
      <c r="V492" s="41" t="str">
        <f aca="false">IF($B492="","",TEXT($B492,"yyyy年m月"))</f>
        <v/>
      </c>
      <c r="W492" s="42"/>
      <c r="X492" s="42"/>
      <c r="Y492" s="9"/>
    </row>
    <row r="493" customFormat="false" ht="18" hidden="false" customHeight="true" outlineLevel="0" collapsed="false">
      <c r="A493" s="9" t="str">
        <f aca="false">IF($C493="","",ROW()-3)</f>
        <v/>
      </c>
      <c r="B493" s="76"/>
      <c r="C493" s="74"/>
      <c r="D493" s="43"/>
      <c r="E493" s="42"/>
      <c r="F493" s="74"/>
      <c r="G493" s="74"/>
      <c r="H493" s="44"/>
      <c r="I493" s="44"/>
      <c r="J493" s="103" t="str">
        <f aca="false">IF($C493="","",ROUND(IFERROR(INDEX(期初余额!$I$4:$I$43,MATCH($C493,期初余额!$H$4:$H$43,0)),0)+SUMIFS($H$4:$H493,$C$4:$C493,$C493)-SUMIFS($I$4:$I493,$C$4:$C493,$C493),2))</f>
        <v/>
      </c>
      <c r="K493" s="104" t="str">
        <f aca="false">IF($T493&lt;&gt;"",$T493,IF($C493="","",IF(AND(N($I493)&gt;0,$G493&lt;&gt;""),IF(IFERROR(INDEX(科目表!$U$4:$U$123,MATCH($G493,科目表!$M$4:$M$123,0)),"")&amp;""="","管理费用",INDEX(科目表!$U$4:$U$123,MATCH($G493,科目表!$M$4:$M$123,0))),IF(N($H493)&gt;0,IF(IFERROR(INDEX(自动规则!$C$4:$C$143,MATCH($F493,自动规则!$B$4:$B$143,0)),"")&amp;""="","其他应收款",INDEX(自动规则!$C$4:$C$143,MATCH($F493,自动规则!$B$4:$B$143,0))),IF(IFERROR(INDEX(自动规则!$D$4:$D$143,MATCH($F493,自动规则!$B$4:$B$143,0)),"")&amp;""="","其他应付款",INDEX(自动规则!$D$4:$D$143,MATCH($F493,自动规则!$B$4:$B$143,0)))))))</f>
        <v/>
      </c>
      <c r="L493" s="43"/>
      <c r="M493" s="105" t="str">
        <f aca="false">IF($C493="","",IF(IFERROR(INDEX(科目表!$T$4:$T$123,MATCH($C493,科目表!$K$4:$K$123,0)),"")&amp;""="","其他货币资金",INDEX(科目表!$T$4:$T$123,MATCH($C493,科目表!$K$4:$K$123,0))))</f>
        <v/>
      </c>
      <c r="N493" s="39" t="str">
        <f aca="false">IF(OR($C493="",ROUND(N($H493)+N($I493),2)=0),"",IF(N($H493)&gt;0,$M493,$K493))</f>
        <v/>
      </c>
      <c r="O493" s="41" t="str">
        <f aca="false">IF($N493="","",ROUND(N($H493)+N($I493),2))</f>
        <v/>
      </c>
      <c r="P493" s="41" t="str">
        <f aca="false">IF($N493="","",0)</f>
        <v/>
      </c>
      <c r="Q493" s="39" t="str">
        <f aca="false">IF($N493="","",IF(N($H493)&gt;0,$K493,$M493))</f>
        <v/>
      </c>
      <c r="R493" s="41" t="str">
        <f aca="false">IF($Q493="","",0)</f>
        <v/>
      </c>
      <c r="S493" s="41" t="str">
        <f aca="false">IF($Q493="","",ROUND(N($H493)+N($I493),2))</f>
        <v/>
      </c>
      <c r="T493" s="42"/>
      <c r="U493" s="44"/>
      <c r="V493" s="41" t="str">
        <f aca="false">IF($B493="","",TEXT($B493,"yyyy年m月"))</f>
        <v/>
      </c>
      <c r="W493" s="42"/>
      <c r="X493" s="42"/>
      <c r="Y493" s="9"/>
    </row>
    <row r="494" customFormat="false" ht="18" hidden="false" customHeight="true" outlineLevel="0" collapsed="false">
      <c r="A494" s="9" t="str">
        <f aca="false">IF($C494="","",ROW()-3)</f>
        <v/>
      </c>
      <c r="B494" s="76"/>
      <c r="C494" s="74"/>
      <c r="D494" s="43"/>
      <c r="E494" s="42"/>
      <c r="F494" s="74"/>
      <c r="G494" s="74"/>
      <c r="H494" s="44"/>
      <c r="I494" s="44"/>
      <c r="J494" s="103" t="str">
        <f aca="false">IF($C494="","",ROUND(IFERROR(INDEX(期初余额!$I$4:$I$43,MATCH($C494,期初余额!$H$4:$H$43,0)),0)+SUMIFS($H$4:$H494,$C$4:$C494,$C494)-SUMIFS($I$4:$I494,$C$4:$C494,$C494),2))</f>
        <v/>
      </c>
      <c r="K494" s="104" t="str">
        <f aca="false">IF($T494&lt;&gt;"",$T494,IF($C494="","",IF(AND(N($I494)&gt;0,$G494&lt;&gt;""),IF(IFERROR(INDEX(科目表!$U$4:$U$123,MATCH($G494,科目表!$M$4:$M$123,0)),"")&amp;""="","管理费用",INDEX(科目表!$U$4:$U$123,MATCH($G494,科目表!$M$4:$M$123,0))),IF(N($H494)&gt;0,IF(IFERROR(INDEX(自动规则!$C$4:$C$143,MATCH($F494,自动规则!$B$4:$B$143,0)),"")&amp;""="","其他应收款",INDEX(自动规则!$C$4:$C$143,MATCH($F494,自动规则!$B$4:$B$143,0))),IF(IFERROR(INDEX(自动规则!$D$4:$D$143,MATCH($F494,自动规则!$B$4:$B$143,0)),"")&amp;""="","其他应付款",INDEX(自动规则!$D$4:$D$143,MATCH($F494,自动规则!$B$4:$B$143,0)))))))</f>
        <v/>
      </c>
      <c r="L494" s="43"/>
      <c r="M494" s="105" t="str">
        <f aca="false">IF($C494="","",IF(IFERROR(INDEX(科目表!$T$4:$T$123,MATCH($C494,科目表!$K$4:$K$123,0)),"")&amp;""="","其他货币资金",INDEX(科目表!$T$4:$T$123,MATCH($C494,科目表!$K$4:$K$123,0))))</f>
        <v/>
      </c>
      <c r="N494" s="39" t="str">
        <f aca="false">IF(OR($C494="",ROUND(N($H494)+N($I494),2)=0),"",IF(N($H494)&gt;0,$M494,$K494))</f>
        <v/>
      </c>
      <c r="O494" s="41" t="str">
        <f aca="false">IF($N494="","",ROUND(N($H494)+N($I494),2))</f>
        <v/>
      </c>
      <c r="P494" s="41" t="str">
        <f aca="false">IF($N494="","",0)</f>
        <v/>
      </c>
      <c r="Q494" s="39" t="str">
        <f aca="false">IF($N494="","",IF(N($H494)&gt;0,$K494,$M494))</f>
        <v/>
      </c>
      <c r="R494" s="41" t="str">
        <f aca="false">IF($Q494="","",0)</f>
        <v/>
      </c>
      <c r="S494" s="41" t="str">
        <f aca="false">IF($Q494="","",ROUND(N($H494)+N($I494),2))</f>
        <v/>
      </c>
      <c r="T494" s="42"/>
      <c r="U494" s="44"/>
      <c r="V494" s="41" t="str">
        <f aca="false">IF($B494="","",TEXT($B494,"yyyy年m月"))</f>
        <v/>
      </c>
      <c r="W494" s="42"/>
      <c r="X494" s="42"/>
      <c r="Y494" s="9"/>
    </row>
    <row r="495" customFormat="false" ht="18" hidden="false" customHeight="true" outlineLevel="0" collapsed="false">
      <c r="A495" s="9" t="str">
        <f aca="false">IF($C495="","",ROW()-3)</f>
        <v/>
      </c>
      <c r="B495" s="76"/>
      <c r="C495" s="74"/>
      <c r="D495" s="43"/>
      <c r="E495" s="42"/>
      <c r="F495" s="74"/>
      <c r="G495" s="74"/>
      <c r="H495" s="44"/>
      <c r="I495" s="44"/>
      <c r="J495" s="103" t="str">
        <f aca="false">IF($C495="","",ROUND(IFERROR(INDEX(期初余额!$I$4:$I$43,MATCH($C495,期初余额!$H$4:$H$43,0)),0)+SUMIFS($H$4:$H495,$C$4:$C495,$C495)-SUMIFS($I$4:$I495,$C$4:$C495,$C495),2))</f>
        <v/>
      </c>
      <c r="K495" s="104" t="str">
        <f aca="false">IF($T495&lt;&gt;"",$T495,IF($C495="","",IF(AND(N($I495)&gt;0,$G495&lt;&gt;""),IF(IFERROR(INDEX(科目表!$U$4:$U$123,MATCH($G495,科目表!$M$4:$M$123,0)),"")&amp;""="","管理费用",INDEX(科目表!$U$4:$U$123,MATCH($G495,科目表!$M$4:$M$123,0))),IF(N($H495)&gt;0,IF(IFERROR(INDEX(自动规则!$C$4:$C$143,MATCH($F495,自动规则!$B$4:$B$143,0)),"")&amp;""="","其他应收款",INDEX(自动规则!$C$4:$C$143,MATCH($F495,自动规则!$B$4:$B$143,0))),IF(IFERROR(INDEX(自动规则!$D$4:$D$143,MATCH($F495,自动规则!$B$4:$B$143,0)),"")&amp;""="","其他应付款",INDEX(自动规则!$D$4:$D$143,MATCH($F495,自动规则!$B$4:$B$143,0)))))))</f>
        <v/>
      </c>
      <c r="L495" s="43"/>
      <c r="M495" s="105" t="str">
        <f aca="false">IF($C495="","",IF(IFERROR(INDEX(科目表!$T$4:$T$123,MATCH($C495,科目表!$K$4:$K$123,0)),"")&amp;""="","其他货币资金",INDEX(科目表!$T$4:$T$123,MATCH($C495,科目表!$K$4:$K$123,0))))</f>
        <v/>
      </c>
      <c r="N495" s="39" t="str">
        <f aca="false">IF(OR($C495="",ROUND(N($H495)+N($I495),2)=0),"",IF(N($H495)&gt;0,$M495,$K495))</f>
        <v/>
      </c>
      <c r="O495" s="41" t="str">
        <f aca="false">IF($N495="","",ROUND(N($H495)+N($I495),2))</f>
        <v/>
      </c>
      <c r="P495" s="41" t="str">
        <f aca="false">IF($N495="","",0)</f>
        <v/>
      </c>
      <c r="Q495" s="39" t="str">
        <f aca="false">IF($N495="","",IF(N($H495)&gt;0,$K495,$M495))</f>
        <v/>
      </c>
      <c r="R495" s="41" t="str">
        <f aca="false">IF($Q495="","",0)</f>
        <v/>
      </c>
      <c r="S495" s="41" t="str">
        <f aca="false">IF($Q495="","",ROUND(N($H495)+N($I495),2))</f>
        <v/>
      </c>
      <c r="T495" s="42"/>
      <c r="U495" s="44"/>
      <c r="V495" s="41" t="str">
        <f aca="false">IF($B495="","",TEXT($B495,"yyyy年m月"))</f>
        <v/>
      </c>
      <c r="W495" s="42"/>
      <c r="X495" s="42"/>
      <c r="Y495" s="9"/>
    </row>
    <row r="496" customFormat="false" ht="18" hidden="false" customHeight="true" outlineLevel="0" collapsed="false">
      <c r="A496" s="9" t="str">
        <f aca="false">IF($C496="","",ROW()-3)</f>
        <v/>
      </c>
      <c r="B496" s="76"/>
      <c r="C496" s="74"/>
      <c r="D496" s="43"/>
      <c r="E496" s="42"/>
      <c r="F496" s="74"/>
      <c r="G496" s="74"/>
      <c r="H496" s="44"/>
      <c r="I496" s="44"/>
      <c r="J496" s="103" t="str">
        <f aca="false">IF($C496="","",ROUND(IFERROR(INDEX(期初余额!$I$4:$I$43,MATCH($C496,期初余额!$H$4:$H$43,0)),0)+SUMIFS($H$4:$H496,$C$4:$C496,$C496)-SUMIFS($I$4:$I496,$C$4:$C496,$C496),2))</f>
        <v/>
      </c>
      <c r="K496" s="104" t="str">
        <f aca="false">IF($T496&lt;&gt;"",$T496,IF($C496="","",IF(AND(N($I496)&gt;0,$G496&lt;&gt;""),IF(IFERROR(INDEX(科目表!$U$4:$U$123,MATCH($G496,科目表!$M$4:$M$123,0)),"")&amp;""="","管理费用",INDEX(科目表!$U$4:$U$123,MATCH($G496,科目表!$M$4:$M$123,0))),IF(N($H496)&gt;0,IF(IFERROR(INDEX(自动规则!$C$4:$C$143,MATCH($F496,自动规则!$B$4:$B$143,0)),"")&amp;""="","其他应收款",INDEX(自动规则!$C$4:$C$143,MATCH($F496,自动规则!$B$4:$B$143,0))),IF(IFERROR(INDEX(自动规则!$D$4:$D$143,MATCH($F496,自动规则!$B$4:$B$143,0)),"")&amp;""="","其他应付款",INDEX(自动规则!$D$4:$D$143,MATCH($F496,自动规则!$B$4:$B$143,0)))))))</f>
        <v/>
      </c>
      <c r="L496" s="43"/>
      <c r="M496" s="105" t="str">
        <f aca="false">IF($C496="","",IF(IFERROR(INDEX(科目表!$T$4:$T$123,MATCH($C496,科目表!$K$4:$K$123,0)),"")&amp;""="","其他货币资金",INDEX(科目表!$T$4:$T$123,MATCH($C496,科目表!$K$4:$K$123,0))))</f>
        <v/>
      </c>
      <c r="N496" s="39" t="str">
        <f aca="false">IF(OR($C496="",ROUND(N($H496)+N($I496),2)=0),"",IF(N($H496)&gt;0,$M496,$K496))</f>
        <v/>
      </c>
      <c r="O496" s="41" t="str">
        <f aca="false">IF($N496="","",ROUND(N($H496)+N($I496),2))</f>
        <v/>
      </c>
      <c r="P496" s="41" t="str">
        <f aca="false">IF($N496="","",0)</f>
        <v/>
      </c>
      <c r="Q496" s="39" t="str">
        <f aca="false">IF($N496="","",IF(N($H496)&gt;0,$K496,$M496))</f>
        <v/>
      </c>
      <c r="R496" s="41" t="str">
        <f aca="false">IF($Q496="","",0)</f>
        <v/>
      </c>
      <c r="S496" s="41" t="str">
        <f aca="false">IF($Q496="","",ROUND(N($H496)+N($I496),2))</f>
        <v/>
      </c>
      <c r="T496" s="42"/>
      <c r="U496" s="44"/>
      <c r="V496" s="41" t="str">
        <f aca="false">IF($B496="","",TEXT($B496,"yyyy年m月"))</f>
        <v/>
      </c>
      <c r="W496" s="42"/>
      <c r="X496" s="42"/>
      <c r="Y496" s="9"/>
    </row>
    <row r="497" customFormat="false" ht="18" hidden="false" customHeight="true" outlineLevel="0" collapsed="false">
      <c r="A497" s="9" t="str">
        <f aca="false">IF($C497="","",ROW()-3)</f>
        <v/>
      </c>
      <c r="B497" s="76"/>
      <c r="C497" s="74"/>
      <c r="D497" s="43"/>
      <c r="E497" s="42"/>
      <c r="F497" s="74"/>
      <c r="G497" s="74"/>
      <c r="H497" s="44"/>
      <c r="I497" s="44"/>
      <c r="J497" s="103" t="str">
        <f aca="false">IF($C497="","",ROUND(IFERROR(INDEX(期初余额!$I$4:$I$43,MATCH($C497,期初余额!$H$4:$H$43,0)),0)+SUMIFS($H$4:$H497,$C$4:$C497,$C497)-SUMIFS($I$4:$I497,$C$4:$C497,$C497),2))</f>
        <v/>
      </c>
      <c r="K497" s="104" t="str">
        <f aca="false">IF($T497&lt;&gt;"",$T497,IF($C497="","",IF(AND(N($I497)&gt;0,$G497&lt;&gt;""),IF(IFERROR(INDEX(科目表!$U$4:$U$123,MATCH($G497,科目表!$M$4:$M$123,0)),"")&amp;""="","管理费用",INDEX(科目表!$U$4:$U$123,MATCH($G497,科目表!$M$4:$M$123,0))),IF(N($H497)&gt;0,IF(IFERROR(INDEX(自动规则!$C$4:$C$143,MATCH($F497,自动规则!$B$4:$B$143,0)),"")&amp;""="","其他应收款",INDEX(自动规则!$C$4:$C$143,MATCH($F497,自动规则!$B$4:$B$143,0))),IF(IFERROR(INDEX(自动规则!$D$4:$D$143,MATCH($F497,自动规则!$B$4:$B$143,0)),"")&amp;""="","其他应付款",INDEX(自动规则!$D$4:$D$143,MATCH($F497,自动规则!$B$4:$B$143,0)))))))</f>
        <v/>
      </c>
      <c r="L497" s="43"/>
      <c r="M497" s="105" t="str">
        <f aca="false">IF($C497="","",IF(IFERROR(INDEX(科目表!$T$4:$T$123,MATCH($C497,科目表!$K$4:$K$123,0)),"")&amp;""="","其他货币资金",INDEX(科目表!$T$4:$T$123,MATCH($C497,科目表!$K$4:$K$123,0))))</f>
        <v/>
      </c>
      <c r="N497" s="39" t="str">
        <f aca="false">IF(OR($C497="",ROUND(N($H497)+N($I497),2)=0),"",IF(N($H497)&gt;0,$M497,$K497))</f>
        <v/>
      </c>
      <c r="O497" s="41" t="str">
        <f aca="false">IF($N497="","",ROUND(N($H497)+N($I497),2))</f>
        <v/>
      </c>
      <c r="P497" s="41" t="str">
        <f aca="false">IF($N497="","",0)</f>
        <v/>
      </c>
      <c r="Q497" s="39" t="str">
        <f aca="false">IF($N497="","",IF(N($H497)&gt;0,$K497,$M497))</f>
        <v/>
      </c>
      <c r="R497" s="41" t="str">
        <f aca="false">IF($Q497="","",0)</f>
        <v/>
      </c>
      <c r="S497" s="41" t="str">
        <f aca="false">IF($Q497="","",ROUND(N($H497)+N($I497),2))</f>
        <v/>
      </c>
      <c r="T497" s="42"/>
      <c r="U497" s="44"/>
      <c r="V497" s="41" t="str">
        <f aca="false">IF($B497="","",TEXT($B497,"yyyy年m月"))</f>
        <v/>
      </c>
      <c r="W497" s="42"/>
      <c r="X497" s="42"/>
      <c r="Y497" s="9"/>
    </row>
    <row r="498" customFormat="false" ht="18" hidden="false" customHeight="true" outlineLevel="0" collapsed="false">
      <c r="A498" s="9" t="str">
        <f aca="false">IF($C498="","",ROW()-3)</f>
        <v/>
      </c>
      <c r="B498" s="76"/>
      <c r="C498" s="74"/>
      <c r="D498" s="43"/>
      <c r="E498" s="42"/>
      <c r="F498" s="74"/>
      <c r="G498" s="74"/>
      <c r="H498" s="44"/>
      <c r="I498" s="44"/>
      <c r="J498" s="103" t="str">
        <f aca="false">IF($C498="","",ROUND(IFERROR(INDEX(期初余额!$I$4:$I$43,MATCH($C498,期初余额!$H$4:$H$43,0)),0)+SUMIFS($H$4:$H498,$C$4:$C498,$C498)-SUMIFS($I$4:$I498,$C$4:$C498,$C498),2))</f>
        <v/>
      </c>
      <c r="K498" s="104" t="str">
        <f aca="false">IF($T498&lt;&gt;"",$T498,IF($C498="","",IF(AND(N($I498)&gt;0,$G498&lt;&gt;""),IF(IFERROR(INDEX(科目表!$U$4:$U$123,MATCH($G498,科目表!$M$4:$M$123,0)),"")&amp;""="","管理费用",INDEX(科目表!$U$4:$U$123,MATCH($G498,科目表!$M$4:$M$123,0))),IF(N($H498)&gt;0,IF(IFERROR(INDEX(自动规则!$C$4:$C$143,MATCH($F498,自动规则!$B$4:$B$143,0)),"")&amp;""="","其他应收款",INDEX(自动规则!$C$4:$C$143,MATCH($F498,自动规则!$B$4:$B$143,0))),IF(IFERROR(INDEX(自动规则!$D$4:$D$143,MATCH($F498,自动规则!$B$4:$B$143,0)),"")&amp;""="","其他应付款",INDEX(自动规则!$D$4:$D$143,MATCH($F498,自动规则!$B$4:$B$143,0)))))))</f>
        <v/>
      </c>
      <c r="L498" s="43"/>
      <c r="M498" s="105" t="str">
        <f aca="false">IF($C498="","",IF(IFERROR(INDEX(科目表!$T$4:$T$123,MATCH($C498,科目表!$K$4:$K$123,0)),"")&amp;""="","其他货币资金",INDEX(科目表!$T$4:$T$123,MATCH($C498,科目表!$K$4:$K$123,0))))</f>
        <v/>
      </c>
      <c r="N498" s="39" t="str">
        <f aca="false">IF(OR($C498="",ROUND(N($H498)+N($I498),2)=0),"",IF(N($H498)&gt;0,$M498,$K498))</f>
        <v/>
      </c>
      <c r="O498" s="41" t="str">
        <f aca="false">IF($N498="","",ROUND(N($H498)+N($I498),2))</f>
        <v/>
      </c>
      <c r="P498" s="41" t="str">
        <f aca="false">IF($N498="","",0)</f>
        <v/>
      </c>
      <c r="Q498" s="39" t="str">
        <f aca="false">IF($N498="","",IF(N($H498)&gt;0,$K498,$M498))</f>
        <v/>
      </c>
      <c r="R498" s="41" t="str">
        <f aca="false">IF($Q498="","",0)</f>
        <v/>
      </c>
      <c r="S498" s="41" t="str">
        <f aca="false">IF($Q498="","",ROUND(N($H498)+N($I498),2))</f>
        <v/>
      </c>
      <c r="T498" s="42"/>
      <c r="U498" s="44"/>
      <c r="V498" s="41" t="str">
        <f aca="false">IF($B498="","",TEXT($B498,"yyyy年m月"))</f>
        <v/>
      </c>
      <c r="W498" s="42"/>
      <c r="X498" s="42"/>
      <c r="Y498" s="9"/>
    </row>
    <row r="499" customFormat="false" ht="18" hidden="false" customHeight="true" outlineLevel="0" collapsed="false">
      <c r="A499" s="9" t="str">
        <f aca="false">IF($C499="","",ROW()-3)</f>
        <v/>
      </c>
      <c r="B499" s="76"/>
      <c r="C499" s="74"/>
      <c r="D499" s="43"/>
      <c r="E499" s="42"/>
      <c r="F499" s="74"/>
      <c r="G499" s="74"/>
      <c r="H499" s="44"/>
      <c r="I499" s="44"/>
      <c r="J499" s="103" t="str">
        <f aca="false">IF($C499="","",ROUND(IFERROR(INDEX(期初余额!$I$4:$I$43,MATCH($C499,期初余额!$H$4:$H$43,0)),0)+SUMIFS($H$4:$H499,$C$4:$C499,$C499)-SUMIFS($I$4:$I499,$C$4:$C499,$C499),2))</f>
        <v/>
      </c>
      <c r="K499" s="104" t="str">
        <f aca="false">IF($T499&lt;&gt;"",$T499,IF($C499="","",IF(AND(N($I499)&gt;0,$G499&lt;&gt;""),IF(IFERROR(INDEX(科目表!$U$4:$U$123,MATCH($G499,科目表!$M$4:$M$123,0)),"")&amp;""="","管理费用",INDEX(科目表!$U$4:$U$123,MATCH($G499,科目表!$M$4:$M$123,0))),IF(N($H499)&gt;0,IF(IFERROR(INDEX(自动规则!$C$4:$C$143,MATCH($F499,自动规则!$B$4:$B$143,0)),"")&amp;""="","其他应收款",INDEX(自动规则!$C$4:$C$143,MATCH($F499,自动规则!$B$4:$B$143,0))),IF(IFERROR(INDEX(自动规则!$D$4:$D$143,MATCH($F499,自动规则!$B$4:$B$143,0)),"")&amp;""="","其他应付款",INDEX(自动规则!$D$4:$D$143,MATCH($F499,自动规则!$B$4:$B$143,0)))))))</f>
        <v/>
      </c>
      <c r="L499" s="43"/>
      <c r="M499" s="105" t="str">
        <f aca="false">IF($C499="","",IF(IFERROR(INDEX(科目表!$T$4:$T$123,MATCH($C499,科目表!$K$4:$K$123,0)),"")&amp;""="","其他货币资金",INDEX(科目表!$T$4:$T$123,MATCH($C499,科目表!$K$4:$K$123,0))))</f>
        <v/>
      </c>
      <c r="N499" s="39" t="str">
        <f aca="false">IF(OR($C499="",ROUND(N($H499)+N($I499),2)=0),"",IF(N($H499)&gt;0,$M499,$K499))</f>
        <v/>
      </c>
      <c r="O499" s="41" t="str">
        <f aca="false">IF($N499="","",ROUND(N($H499)+N($I499),2))</f>
        <v/>
      </c>
      <c r="P499" s="41" t="str">
        <f aca="false">IF($N499="","",0)</f>
        <v/>
      </c>
      <c r="Q499" s="39" t="str">
        <f aca="false">IF($N499="","",IF(N($H499)&gt;0,$K499,$M499))</f>
        <v/>
      </c>
      <c r="R499" s="41" t="str">
        <f aca="false">IF($Q499="","",0)</f>
        <v/>
      </c>
      <c r="S499" s="41" t="str">
        <f aca="false">IF($Q499="","",ROUND(N($H499)+N($I499),2))</f>
        <v/>
      </c>
      <c r="T499" s="42"/>
      <c r="U499" s="44"/>
      <c r="V499" s="41" t="str">
        <f aca="false">IF($B499="","",TEXT($B499,"yyyy年m月"))</f>
        <v/>
      </c>
      <c r="W499" s="42"/>
      <c r="X499" s="42"/>
      <c r="Y499" s="9"/>
    </row>
    <row r="500" customFormat="false" ht="18" hidden="false" customHeight="true" outlineLevel="0" collapsed="false">
      <c r="A500" s="9" t="str">
        <f aca="false">IF($C500="","",ROW()-3)</f>
        <v/>
      </c>
      <c r="B500" s="76"/>
      <c r="C500" s="74"/>
      <c r="D500" s="43"/>
      <c r="E500" s="42"/>
      <c r="F500" s="74"/>
      <c r="G500" s="74"/>
      <c r="H500" s="44"/>
      <c r="I500" s="44"/>
      <c r="J500" s="103" t="str">
        <f aca="false">IF($C500="","",ROUND(IFERROR(INDEX(期初余额!$I$4:$I$43,MATCH($C500,期初余额!$H$4:$H$43,0)),0)+SUMIFS($H$4:$H500,$C$4:$C500,$C500)-SUMIFS($I$4:$I500,$C$4:$C500,$C500),2))</f>
        <v/>
      </c>
      <c r="K500" s="104" t="str">
        <f aca="false">IF($T500&lt;&gt;"",$T500,IF($C500="","",IF(AND(N($I500)&gt;0,$G500&lt;&gt;""),IF(IFERROR(INDEX(科目表!$U$4:$U$123,MATCH($G500,科目表!$M$4:$M$123,0)),"")&amp;""="","管理费用",INDEX(科目表!$U$4:$U$123,MATCH($G500,科目表!$M$4:$M$123,0))),IF(N($H500)&gt;0,IF(IFERROR(INDEX(自动规则!$C$4:$C$143,MATCH($F500,自动规则!$B$4:$B$143,0)),"")&amp;""="","其他应收款",INDEX(自动规则!$C$4:$C$143,MATCH($F500,自动规则!$B$4:$B$143,0))),IF(IFERROR(INDEX(自动规则!$D$4:$D$143,MATCH($F500,自动规则!$B$4:$B$143,0)),"")&amp;""="","其他应付款",INDEX(自动规则!$D$4:$D$143,MATCH($F500,自动规则!$B$4:$B$143,0)))))))</f>
        <v/>
      </c>
      <c r="L500" s="43"/>
      <c r="M500" s="105" t="str">
        <f aca="false">IF($C500="","",IF(IFERROR(INDEX(科目表!$T$4:$T$123,MATCH($C500,科目表!$K$4:$K$123,0)),"")&amp;""="","其他货币资金",INDEX(科目表!$T$4:$T$123,MATCH($C500,科目表!$K$4:$K$123,0))))</f>
        <v/>
      </c>
      <c r="N500" s="39" t="str">
        <f aca="false">IF(OR($C500="",ROUND(N($H500)+N($I500),2)=0),"",IF(N($H500)&gt;0,$M500,$K500))</f>
        <v/>
      </c>
      <c r="O500" s="41" t="str">
        <f aca="false">IF($N500="","",ROUND(N($H500)+N($I500),2))</f>
        <v/>
      </c>
      <c r="P500" s="41" t="str">
        <f aca="false">IF($N500="","",0)</f>
        <v/>
      </c>
      <c r="Q500" s="39" t="str">
        <f aca="false">IF($N500="","",IF(N($H500)&gt;0,$K500,$M500))</f>
        <v/>
      </c>
      <c r="R500" s="41" t="str">
        <f aca="false">IF($Q500="","",0)</f>
        <v/>
      </c>
      <c r="S500" s="41" t="str">
        <f aca="false">IF($Q500="","",ROUND(N($H500)+N($I500),2))</f>
        <v/>
      </c>
      <c r="T500" s="42"/>
      <c r="U500" s="44"/>
      <c r="V500" s="41" t="str">
        <f aca="false">IF($B500="","",TEXT($B500,"yyyy年m月"))</f>
        <v/>
      </c>
      <c r="W500" s="42"/>
      <c r="X500" s="42"/>
      <c r="Y500" s="9"/>
    </row>
    <row r="501" customFormat="false" ht="18" hidden="false" customHeight="true" outlineLevel="0" collapsed="false">
      <c r="A501" s="9" t="str">
        <f aca="false">IF($C501="","",ROW()-3)</f>
        <v/>
      </c>
      <c r="B501" s="76"/>
      <c r="C501" s="74"/>
      <c r="D501" s="43"/>
      <c r="E501" s="42"/>
      <c r="F501" s="74"/>
      <c r="G501" s="74"/>
      <c r="H501" s="44"/>
      <c r="I501" s="44"/>
      <c r="J501" s="103" t="str">
        <f aca="false">IF($C501="","",ROUND(IFERROR(INDEX(期初余额!$I$4:$I$43,MATCH($C501,期初余额!$H$4:$H$43,0)),0)+SUMIFS($H$4:$H501,$C$4:$C501,$C501)-SUMIFS($I$4:$I501,$C$4:$C501,$C501),2))</f>
        <v/>
      </c>
      <c r="K501" s="104" t="str">
        <f aca="false">IF($T501&lt;&gt;"",$T501,IF($C501="","",IF(AND(N($I501)&gt;0,$G501&lt;&gt;""),IF(IFERROR(INDEX(科目表!$U$4:$U$123,MATCH($G501,科目表!$M$4:$M$123,0)),"")&amp;""="","管理费用",INDEX(科目表!$U$4:$U$123,MATCH($G501,科目表!$M$4:$M$123,0))),IF(N($H501)&gt;0,IF(IFERROR(INDEX(自动规则!$C$4:$C$143,MATCH($F501,自动规则!$B$4:$B$143,0)),"")&amp;""="","其他应收款",INDEX(自动规则!$C$4:$C$143,MATCH($F501,自动规则!$B$4:$B$143,0))),IF(IFERROR(INDEX(自动规则!$D$4:$D$143,MATCH($F501,自动规则!$B$4:$B$143,0)),"")&amp;""="","其他应付款",INDEX(自动规则!$D$4:$D$143,MATCH($F501,自动规则!$B$4:$B$143,0)))))))</f>
        <v/>
      </c>
      <c r="L501" s="43"/>
      <c r="M501" s="105" t="str">
        <f aca="false">IF($C501="","",IF(IFERROR(INDEX(科目表!$T$4:$T$123,MATCH($C501,科目表!$K$4:$K$123,0)),"")&amp;""="","其他货币资金",INDEX(科目表!$T$4:$T$123,MATCH($C501,科目表!$K$4:$K$123,0))))</f>
        <v/>
      </c>
      <c r="N501" s="39" t="str">
        <f aca="false">IF(OR($C501="",ROUND(N($H501)+N($I501),2)=0),"",IF(N($H501)&gt;0,$M501,$K501))</f>
        <v/>
      </c>
      <c r="O501" s="41" t="str">
        <f aca="false">IF($N501="","",ROUND(N($H501)+N($I501),2))</f>
        <v/>
      </c>
      <c r="P501" s="41" t="str">
        <f aca="false">IF($N501="","",0)</f>
        <v/>
      </c>
      <c r="Q501" s="39" t="str">
        <f aca="false">IF($N501="","",IF(N($H501)&gt;0,$K501,$M501))</f>
        <v/>
      </c>
      <c r="R501" s="41" t="str">
        <f aca="false">IF($Q501="","",0)</f>
        <v/>
      </c>
      <c r="S501" s="41" t="str">
        <f aca="false">IF($Q501="","",ROUND(N($H501)+N($I501),2))</f>
        <v/>
      </c>
      <c r="T501" s="42"/>
      <c r="U501" s="44"/>
      <c r="V501" s="41" t="str">
        <f aca="false">IF($B501="","",TEXT($B501,"yyyy年m月"))</f>
        <v/>
      </c>
      <c r="W501" s="42"/>
      <c r="X501" s="42"/>
      <c r="Y501" s="9"/>
    </row>
    <row r="502" customFormat="false" ht="18" hidden="false" customHeight="true" outlineLevel="0" collapsed="false">
      <c r="A502" s="9" t="str">
        <f aca="false">IF($C502="","",ROW()-3)</f>
        <v/>
      </c>
      <c r="B502" s="76"/>
      <c r="C502" s="74"/>
      <c r="D502" s="43"/>
      <c r="E502" s="42"/>
      <c r="F502" s="74"/>
      <c r="G502" s="74"/>
      <c r="H502" s="44"/>
      <c r="I502" s="44"/>
      <c r="J502" s="103" t="str">
        <f aca="false">IF($C502="","",ROUND(IFERROR(INDEX(期初余额!$I$4:$I$43,MATCH($C502,期初余额!$H$4:$H$43,0)),0)+SUMIFS($H$4:$H502,$C$4:$C502,$C502)-SUMIFS($I$4:$I502,$C$4:$C502,$C502),2))</f>
        <v/>
      </c>
      <c r="K502" s="104" t="str">
        <f aca="false">IF($T502&lt;&gt;"",$T502,IF($C502="","",IF(AND(N($I502)&gt;0,$G502&lt;&gt;""),IF(IFERROR(INDEX(科目表!$U$4:$U$123,MATCH($G502,科目表!$M$4:$M$123,0)),"")&amp;""="","管理费用",INDEX(科目表!$U$4:$U$123,MATCH($G502,科目表!$M$4:$M$123,0))),IF(N($H502)&gt;0,IF(IFERROR(INDEX(自动规则!$C$4:$C$143,MATCH($F502,自动规则!$B$4:$B$143,0)),"")&amp;""="","其他应收款",INDEX(自动规则!$C$4:$C$143,MATCH($F502,自动规则!$B$4:$B$143,0))),IF(IFERROR(INDEX(自动规则!$D$4:$D$143,MATCH($F502,自动规则!$B$4:$B$143,0)),"")&amp;""="","其他应付款",INDEX(自动规则!$D$4:$D$143,MATCH($F502,自动规则!$B$4:$B$143,0)))))))</f>
        <v/>
      </c>
      <c r="L502" s="43"/>
      <c r="M502" s="105" t="str">
        <f aca="false">IF($C502="","",IF(IFERROR(INDEX(科目表!$T$4:$T$123,MATCH($C502,科目表!$K$4:$K$123,0)),"")&amp;""="","其他货币资金",INDEX(科目表!$T$4:$T$123,MATCH($C502,科目表!$K$4:$K$123,0))))</f>
        <v/>
      </c>
      <c r="N502" s="39" t="str">
        <f aca="false">IF(OR($C502="",ROUND(N($H502)+N($I502),2)=0),"",IF(N($H502)&gt;0,$M502,$K502))</f>
        <v/>
      </c>
      <c r="O502" s="41" t="str">
        <f aca="false">IF($N502="","",ROUND(N($H502)+N($I502),2))</f>
        <v/>
      </c>
      <c r="P502" s="41" t="str">
        <f aca="false">IF($N502="","",0)</f>
        <v/>
      </c>
      <c r="Q502" s="39" t="str">
        <f aca="false">IF($N502="","",IF(N($H502)&gt;0,$K502,$M502))</f>
        <v/>
      </c>
      <c r="R502" s="41" t="str">
        <f aca="false">IF($Q502="","",0)</f>
        <v/>
      </c>
      <c r="S502" s="41" t="str">
        <f aca="false">IF($Q502="","",ROUND(N($H502)+N($I502),2))</f>
        <v/>
      </c>
      <c r="T502" s="42"/>
      <c r="U502" s="44"/>
      <c r="V502" s="41" t="str">
        <f aca="false">IF($B502="","",TEXT($B502,"yyyy年m月"))</f>
        <v/>
      </c>
      <c r="W502" s="42"/>
      <c r="X502" s="42"/>
      <c r="Y502" s="9"/>
    </row>
    <row r="503" customFormat="false" ht="18" hidden="false" customHeight="true" outlineLevel="0" collapsed="false">
      <c r="A503" s="9" t="str">
        <f aca="false">IF($C503="","",ROW()-3)</f>
        <v/>
      </c>
      <c r="B503" s="76"/>
      <c r="C503" s="74"/>
      <c r="D503" s="43"/>
      <c r="E503" s="42"/>
      <c r="F503" s="74"/>
      <c r="G503" s="74"/>
      <c r="H503" s="44"/>
      <c r="I503" s="44"/>
      <c r="J503" s="103" t="str">
        <f aca="false">IF($C503="","",ROUND(IFERROR(INDEX(期初余额!$I$4:$I$43,MATCH($C503,期初余额!$H$4:$H$43,0)),0)+SUMIFS($H$4:$H503,$C$4:$C503,$C503)-SUMIFS($I$4:$I503,$C$4:$C503,$C503),2))</f>
        <v/>
      </c>
      <c r="K503" s="104" t="str">
        <f aca="false">IF($T503&lt;&gt;"",$T503,IF($C503="","",IF(AND(N($I503)&gt;0,$G503&lt;&gt;""),IF(IFERROR(INDEX(科目表!$U$4:$U$123,MATCH($G503,科目表!$M$4:$M$123,0)),"")&amp;""="","管理费用",INDEX(科目表!$U$4:$U$123,MATCH($G503,科目表!$M$4:$M$123,0))),IF(N($H503)&gt;0,IF(IFERROR(INDEX(自动规则!$C$4:$C$143,MATCH($F503,自动规则!$B$4:$B$143,0)),"")&amp;""="","其他应收款",INDEX(自动规则!$C$4:$C$143,MATCH($F503,自动规则!$B$4:$B$143,0))),IF(IFERROR(INDEX(自动规则!$D$4:$D$143,MATCH($F503,自动规则!$B$4:$B$143,0)),"")&amp;""="","其他应付款",INDEX(自动规则!$D$4:$D$143,MATCH($F503,自动规则!$B$4:$B$143,0)))))))</f>
        <v/>
      </c>
      <c r="L503" s="43"/>
      <c r="M503" s="105" t="str">
        <f aca="false">IF($C503="","",IF(IFERROR(INDEX(科目表!$T$4:$T$123,MATCH($C503,科目表!$K$4:$K$123,0)),"")&amp;""="","其他货币资金",INDEX(科目表!$T$4:$T$123,MATCH($C503,科目表!$K$4:$K$123,0))))</f>
        <v/>
      </c>
      <c r="N503" s="39" t="str">
        <f aca="false">IF(OR($C503="",ROUND(N($H503)+N($I503),2)=0),"",IF(N($H503)&gt;0,$M503,$K503))</f>
        <v/>
      </c>
      <c r="O503" s="41" t="str">
        <f aca="false">IF($N503="","",ROUND(N($H503)+N($I503),2))</f>
        <v/>
      </c>
      <c r="P503" s="41" t="str">
        <f aca="false">IF($N503="","",0)</f>
        <v/>
      </c>
      <c r="Q503" s="39" t="str">
        <f aca="false">IF($N503="","",IF(N($H503)&gt;0,$K503,$M503))</f>
        <v/>
      </c>
      <c r="R503" s="41" t="str">
        <f aca="false">IF($Q503="","",0)</f>
        <v/>
      </c>
      <c r="S503" s="41" t="str">
        <f aca="false">IF($Q503="","",ROUND(N($H503)+N($I503),2))</f>
        <v/>
      </c>
      <c r="T503" s="42"/>
      <c r="U503" s="44"/>
      <c r="V503" s="41" t="str">
        <f aca="false">IF($B503="","",TEXT($B503,"yyyy年m月"))</f>
        <v/>
      </c>
      <c r="W503" s="42"/>
      <c r="X503" s="42"/>
      <c r="Y503" s="9"/>
    </row>
    <row r="504" customFormat="false" ht="18" hidden="false" customHeight="true" outlineLevel="0" collapsed="false">
      <c r="A504" s="9" t="str">
        <f aca="false">IF($C504="","",ROW()-3)</f>
        <v/>
      </c>
      <c r="B504" s="76"/>
      <c r="C504" s="74"/>
      <c r="D504" s="43"/>
      <c r="E504" s="42"/>
      <c r="F504" s="74"/>
      <c r="G504" s="74"/>
      <c r="H504" s="44"/>
      <c r="I504" s="44"/>
      <c r="J504" s="103" t="str">
        <f aca="false">IF($C504="","",ROUND(IFERROR(INDEX(期初余额!$I$4:$I$43,MATCH($C504,期初余额!$H$4:$H$43,0)),0)+SUMIFS($H$4:$H504,$C$4:$C504,$C504)-SUMIFS($I$4:$I504,$C$4:$C504,$C504),2))</f>
        <v/>
      </c>
      <c r="K504" s="104" t="str">
        <f aca="false">IF($T504&lt;&gt;"",$T504,IF($C504="","",IF(AND(N($I504)&gt;0,$G504&lt;&gt;""),IF(IFERROR(INDEX(科目表!$U$4:$U$123,MATCH($G504,科目表!$M$4:$M$123,0)),"")&amp;""="","管理费用",INDEX(科目表!$U$4:$U$123,MATCH($G504,科目表!$M$4:$M$123,0))),IF(N($H504)&gt;0,IF(IFERROR(INDEX(自动规则!$C$4:$C$143,MATCH($F504,自动规则!$B$4:$B$143,0)),"")&amp;""="","其他应收款",INDEX(自动规则!$C$4:$C$143,MATCH($F504,自动规则!$B$4:$B$143,0))),IF(IFERROR(INDEX(自动规则!$D$4:$D$143,MATCH($F504,自动规则!$B$4:$B$143,0)),"")&amp;""="","其他应付款",INDEX(自动规则!$D$4:$D$143,MATCH($F504,自动规则!$B$4:$B$143,0)))))))</f>
        <v/>
      </c>
      <c r="L504" s="43"/>
      <c r="M504" s="105" t="str">
        <f aca="false">IF($C504="","",IF(IFERROR(INDEX(科目表!$T$4:$T$123,MATCH($C504,科目表!$K$4:$K$123,0)),"")&amp;""="","其他货币资金",INDEX(科目表!$T$4:$T$123,MATCH($C504,科目表!$K$4:$K$123,0))))</f>
        <v/>
      </c>
      <c r="N504" s="39" t="str">
        <f aca="false">IF(OR($C504="",ROUND(N($H504)+N($I504),2)=0),"",IF(N($H504)&gt;0,$M504,$K504))</f>
        <v/>
      </c>
      <c r="O504" s="41" t="str">
        <f aca="false">IF($N504="","",ROUND(N($H504)+N($I504),2))</f>
        <v/>
      </c>
      <c r="P504" s="41" t="str">
        <f aca="false">IF($N504="","",0)</f>
        <v/>
      </c>
      <c r="Q504" s="39" t="str">
        <f aca="false">IF($N504="","",IF(N($H504)&gt;0,$K504,$M504))</f>
        <v/>
      </c>
      <c r="R504" s="41" t="str">
        <f aca="false">IF($Q504="","",0)</f>
        <v/>
      </c>
      <c r="S504" s="41" t="str">
        <f aca="false">IF($Q504="","",ROUND(N($H504)+N($I504),2))</f>
        <v/>
      </c>
      <c r="T504" s="42"/>
      <c r="U504" s="44"/>
      <c r="V504" s="41" t="str">
        <f aca="false">IF($B504="","",TEXT($B504,"yyyy年m月"))</f>
        <v/>
      </c>
      <c r="W504" s="42"/>
      <c r="X504" s="42"/>
      <c r="Y504" s="9"/>
    </row>
    <row r="505" customFormat="false" ht="18" hidden="false" customHeight="true" outlineLevel="0" collapsed="false">
      <c r="A505" s="9" t="str">
        <f aca="false">IF($C505="","",ROW()-3)</f>
        <v/>
      </c>
      <c r="B505" s="76"/>
      <c r="C505" s="74"/>
      <c r="D505" s="43"/>
      <c r="E505" s="42"/>
      <c r="F505" s="74"/>
      <c r="G505" s="74"/>
      <c r="H505" s="44"/>
      <c r="I505" s="44"/>
      <c r="J505" s="103" t="str">
        <f aca="false">IF($C505="","",ROUND(IFERROR(INDEX(期初余额!$I$4:$I$43,MATCH($C505,期初余额!$H$4:$H$43,0)),0)+SUMIFS($H$4:$H505,$C$4:$C505,$C505)-SUMIFS($I$4:$I505,$C$4:$C505,$C505),2))</f>
        <v/>
      </c>
      <c r="K505" s="104" t="str">
        <f aca="false">IF($T505&lt;&gt;"",$T505,IF($C505="","",IF(AND(N($I505)&gt;0,$G505&lt;&gt;""),IF(IFERROR(INDEX(科目表!$U$4:$U$123,MATCH($G505,科目表!$M$4:$M$123,0)),"")&amp;""="","管理费用",INDEX(科目表!$U$4:$U$123,MATCH($G505,科目表!$M$4:$M$123,0))),IF(N($H505)&gt;0,IF(IFERROR(INDEX(自动规则!$C$4:$C$143,MATCH($F505,自动规则!$B$4:$B$143,0)),"")&amp;""="","其他应收款",INDEX(自动规则!$C$4:$C$143,MATCH($F505,自动规则!$B$4:$B$143,0))),IF(IFERROR(INDEX(自动规则!$D$4:$D$143,MATCH($F505,自动规则!$B$4:$B$143,0)),"")&amp;""="","其他应付款",INDEX(自动规则!$D$4:$D$143,MATCH($F505,自动规则!$B$4:$B$143,0)))))))</f>
        <v/>
      </c>
      <c r="L505" s="43"/>
      <c r="M505" s="105" t="str">
        <f aca="false">IF($C505="","",IF(IFERROR(INDEX(科目表!$T$4:$T$123,MATCH($C505,科目表!$K$4:$K$123,0)),"")&amp;""="","其他货币资金",INDEX(科目表!$T$4:$T$123,MATCH($C505,科目表!$K$4:$K$123,0))))</f>
        <v/>
      </c>
      <c r="N505" s="39" t="str">
        <f aca="false">IF(OR($C505="",ROUND(N($H505)+N($I505),2)=0),"",IF(N($H505)&gt;0,$M505,$K505))</f>
        <v/>
      </c>
      <c r="O505" s="41" t="str">
        <f aca="false">IF($N505="","",ROUND(N($H505)+N($I505),2))</f>
        <v/>
      </c>
      <c r="P505" s="41" t="str">
        <f aca="false">IF($N505="","",0)</f>
        <v/>
      </c>
      <c r="Q505" s="39" t="str">
        <f aca="false">IF($N505="","",IF(N($H505)&gt;0,$K505,$M505))</f>
        <v/>
      </c>
      <c r="R505" s="41" t="str">
        <f aca="false">IF($Q505="","",0)</f>
        <v/>
      </c>
      <c r="S505" s="41" t="str">
        <f aca="false">IF($Q505="","",ROUND(N($H505)+N($I505),2))</f>
        <v/>
      </c>
      <c r="T505" s="42"/>
      <c r="U505" s="44"/>
      <c r="V505" s="41" t="str">
        <f aca="false">IF($B505="","",TEXT($B505,"yyyy年m月"))</f>
        <v/>
      </c>
      <c r="W505" s="42"/>
      <c r="X505" s="42"/>
      <c r="Y505" s="9"/>
    </row>
    <row r="506" customFormat="false" ht="18" hidden="false" customHeight="true" outlineLevel="0" collapsed="false">
      <c r="A506" s="9" t="str">
        <f aca="false">IF($C506="","",ROW()-3)</f>
        <v/>
      </c>
      <c r="B506" s="76"/>
      <c r="C506" s="74"/>
      <c r="D506" s="43"/>
      <c r="E506" s="42"/>
      <c r="F506" s="74"/>
      <c r="G506" s="74"/>
      <c r="H506" s="44"/>
      <c r="I506" s="44"/>
      <c r="J506" s="103" t="str">
        <f aca="false">IF($C506="","",ROUND(IFERROR(INDEX(期初余额!$I$4:$I$43,MATCH($C506,期初余额!$H$4:$H$43,0)),0)+SUMIFS($H$4:$H506,$C$4:$C506,$C506)-SUMIFS($I$4:$I506,$C$4:$C506,$C506),2))</f>
        <v/>
      </c>
      <c r="K506" s="104" t="str">
        <f aca="false">IF($T506&lt;&gt;"",$T506,IF($C506="","",IF(AND(N($I506)&gt;0,$G506&lt;&gt;""),IF(IFERROR(INDEX(科目表!$U$4:$U$123,MATCH($G506,科目表!$M$4:$M$123,0)),"")&amp;""="","管理费用",INDEX(科目表!$U$4:$U$123,MATCH($G506,科目表!$M$4:$M$123,0))),IF(N($H506)&gt;0,IF(IFERROR(INDEX(自动规则!$C$4:$C$143,MATCH($F506,自动规则!$B$4:$B$143,0)),"")&amp;""="","其他应收款",INDEX(自动规则!$C$4:$C$143,MATCH($F506,自动规则!$B$4:$B$143,0))),IF(IFERROR(INDEX(自动规则!$D$4:$D$143,MATCH($F506,自动规则!$B$4:$B$143,0)),"")&amp;""="","其他应付款",INDEX(自动规则!$D$4:$D$143,MATCH($F506,自动规则!$B$4:$B$143,0)))))))</f>
        <v/>
      </c>
      <c r="L506" s="43"/>
      <c r="M506" s="105" t="str">
        <f aca="false">IF($C506="","",IF(IFERROR(INDEX(科目表!$T$4:$T$123,MATCH($C506,科目表!$K$4:$K$123,0)),"")&amp;""="","其他货币资金",INDEX(科目表!$T$4:$T$123,MATCH($C506,科目表!$K$4:$K$123,0))))</f>
        <v/>
      </c>
      <c r="N506" s="39" t="str">
        <f aca="false">IF(OR($C506="",ROUND(N($H506)+N($I506),2)=0),"",IF(N($H506)&gt;0,$M506,$K506))</f>
        <v/>
      </c>
      <c r="O506" s="41" t="str">
        <f aca="false">IF($N506="","",ROUND(N($H506)+N($I506),2))</f>
        <v/>
      </c>
      <c r="P506" s="41" t="str">
        <f aca="false">IF($N506="","",0)</f>
        <v/>
      </c>
      <c r="Q506" s="39" t="str">
        <f aca="false">IF($N506="","",IF(N($H506)&gt;0,$K506,$M506))</f>
        <v/>
      </c>
      <c r="R506" s="41" t="str">
        <f aca="false">IF($Q506="","",0)</f>
        <v/>
      </c>
      <c r="S506" s="41" t="str">
        <f aca="false">IF($Q506="","",ROUND(N($H506)+N($I506),2))</f>
        <v/>
      </c>
      <c r="T506" s="42"/>
      <c r="U506" s="44"/>
      <c r="V506" s="41" t="str">
        <f aca="false">IF($B506="","",TEXT($B506,"yyyy年m月"))</f>
        <v/>
      </c>
      <c r="W506" s="42"/>
      <c r="X506" s="42"/>
      <c r="Y506" s="9"/>
    </row>
    <row r="507" customFormat="false" ht="18" hidden="false" customHeight="true" outlineLevel="0" collapsed="false">
      <c r="A507" s="9" t="str">
        <f aca="false">IF($C507="","",ROW()-3)</f>
        <v/>
      </c>
      <c r="B507" s="76"/>
      <c r="C507" s="74"/>
      <c r="D507" s="43"/>
      <c r="E507" s="42"/>
      <c r="F507" s="74"/>
      <c r="G507" s="74"/>
      <c r="H507" s="44"/>
      <c r="I507" s="44"/>
      <c r="J507" s="103" t="str">
        <f aca="false">IF($C507="","",ROUND(IFERROR(INDEX(期初余额!$I$4:$I$43,MATCH($C507,期初余额!$H$4:$H$43,0)),0)+SUMIFS($H$4:$H507,$C$4:$C507,$C507)-SUMIFS($I$4:$I507,$C$4:$C507,$C507),2))</f>
        <v/>
      </c>
      <c r="K507" s="104" t="str">
        <f aca="false">IF($T507&lt;&gt;"",$T507,IF($C507="","",IF(AND(N($I507)&gt;0,$G507&lt;&gt;""),IF(IFERROR(INDEX(科目表!$U$4:$U$123,MATCH($G507,科目表!$M$4:$M$123,0)),"")&amp;""="","管理费用",INDEX(科目表!$U$4:$U$123,MATCH($G507,科目表!$M$4:$M$123,0))),IF(N($H507)&gt;0,IF(IFERROR(INDEX(自动规则!$C$4:$C$143,MATCH($F507,自动规则!$B$4:$B$143,0)),"")&amp;""="","其他应收款",INDEX(自动规则!$C$4:$C$143,MATCH($F507,自动规则!$B$4:$B$143,0))),IF(IFERROR(INDEX(自动规则!$D$4:$D$143,MATCH($F507,自动规则!$B$4:$B$143,0)),"")&amp;""="","其他应付款",INDEX(自动规则!$D$4:$D$143,MATCH($F507,自动规则!$B$4:$B$143,0)))))))</f>
        <v/>
      </c>
      <c r="L507" s="43"/>
      <c r="M507" s="105" t="str">
        <f aca="false">IF($C507="","",IF(IFERROR(INDEX(科目表!$T$4:$T$123,MATCH($C507,科目表!$K$4:$K$123,0)),"")&amp;""="","其他货币资金",INDEX(科目表!$T$4:$T$123,MATCH($C507,科目表!$K$4:$K$123,0))))</f>
        <v/>
      </c>
      <c r="N507" s="39" t="str">
        <f aca="false">IF(OR($C507="",ROUND(N($H507)+N($I507),2)=0),"",IF(N($H507)&gt;0,$M507,$K507))</f>
        <v/>
      </c>
      <c r="O507" s="41" t="str">
        <f aca="false">IF($N507="","",ROUND(N($H507)+N($I507),2))</f>
        <v/>
      </c>
      <c r="P507" s="41" t="str">
        <f aca="false">IF($N507="","",0)</f>
        <v/>
      </c>
      <c r="Q507" s="39" t="str">
        <f aca="false">IF($N507="","",IF(N($H507)&gt;0,$K507,$M507))</f>
        <v/>
      </c>
      <c r="R507" s="41" t="str">
        <f aca="false">IF($Q507="","",0)</f>
        <v/>
      </c>
      <c r="S507" s="41" t="str">
        <f aca="false">IF($Q507="","",ROUND(N($H507)+N($I507),2))</f>
        <v/>
      </c>
      <c r="T507" s="42"/>
      <c r="U507" s="44"/>
      <c r="V507" s="41" t="str">
        <f aca="false">IF($B507="","",TEXT($B507,"yyyy年m月"))</f>
        <v/>
      </c>
      <c r="W507" s="42"/>
      <c r="X507" s="42"/>
      <c r="Y507" s="9"/>
    </row>
    <row r="508" customFormat="false" ht="18" hidden="false" customHeight="true" outlineLevel="0" collapsed="false">
      <c r="A508" s="9" t="str">
        <f aca="false">IF($C508="","",ROW()-3)</f>
        <v/>
      </c>
      <c r="B508" s="76"/>
      <c r="C508" s="74"/>
      <c r="D508" s="43"/>
      <c r="E508" s="42"/>
      <c r="F508" s="74"/>
      <c r="G508" s="74"/>
      <c r="H508" s="44"/>
      <c r="I508" s="44"/>
      <c r="J508" s="103" t="str">
        <f aca="false">IF($C508="","",ROUND(IFERROR(INDEX(期初余额!$I$4:$I$43,MATCH($C508,期初余额!$H$4:$H$43,0)),0)+SUMIFS($H$4:$H508,$C$4:$C508,$C508)-SUMIFS($I$4:$I508,$C$4:$C508,$C508),2))</f>
        <v/>
      </c>
      <c r="K508" s="104" t="str">
        <f aca="false">IF($T508&lt;&gt;"",$T508,IF($C508="","",IF(AND(N($I508)&gt;0,$G508&lt;&gt;""),IF(IFERROR(INDEX(科目表!$U$4:$U$123,MATCH($G508,科目表!$M$4:$M$123,0)),"")&amp;""="","管理费用",INDEX(科目表!$U$4:$U$123,MATCH($G508,科目表!$M$4:$M$123,0))),IF(N($H508)&gt;0,IF(IFERROR(INDEX(自动规则!$C$4:$C$143,MATCH($F508,自动规则!$B$4:$B$143,0)),"")&amp;""="","其他应收款",INDEX(自动规则!$C$4:$C$143,MATCH($F508,自动规则!$B$4:$B$143,0))),IF(IFERROR(INDEX(自动规则!$D$4:$D$143,MATCH($F508,自动规则!$B$4:$B$143,0)),"")&amp;""="","其他应付款",INDEX(自动规则!$D$4:$D$143,MATCH($F508,自动规则!$B$4:$B$143,0)))))))</f>
        <v/>
      </c>
      <c r="L508" s="43"/>
      <c r="M508" s="105" t="str">
        <f aca="false">IF($C508="","",IF(IFERROR(INDEX(科目表!$T$4:$T$123,MATCH($C508,科目表!$K$4:$K$123,0)),"")&amp;""="","其他货币资金",INDEX(科目表!$T$4:$T$123,MATCH($C508,科目表!$K$4:$K$123,0))))</f>
        <v/>
      </c>
      <c r="N508" s="39" t="str">
        <f aca="false">IF(OR($C508="",ROUND(N($H508)+N($I508),2)=0),"",IF(N($H508)&gt;0,$M508,$K508))</f>
        <v/>
      </c>
      <c r="O508" s="41" t="str">
        <f aca="false">IF($N508="","",ROUND(N($H508)+N($I508),2))</f>
        <v/>
      </c>
      <c r="P508" s="41" t="str">
        <f aca="false">IF($N508="","",0)</f>
        <v/>
      </c>
      <c r="Q508" s="39" t="str">
        <f aca="false">IF($N508="","",IF(N($H508)&gt;0,$K508,$M508))</f>
        <v/>
      </c>
      <c r="R508" s="41" t="str">
        <f aca="false">IF($Q508="","",0)</f>
        <v/>
      </c>
      <c r="S508" s="41" t="str">
        <f aca="false">IF($Q508="","",ROUND(N($H508)+N($I508),2))</f>
        <v/>
      </c>
      <c r="T508" s="42"/>
      <c r="U508" s="44"/>
      <c r="V508" s="41" t="str">
        <f aca="false">IF($B508="","",TEXT($B508,"yyyy年m月"))</f>
        <v/>
      </c>
      <c r="W508" s="42"/>
      <c r="X508" s="42"/>
      <c r="Y508" s="9"/>
    </row>
    <row r="509" customFormat="false" ht="18" hidden="false" customHeight="true" outlineLevel="0" collapsed="false">
      <c r="A509" s="9" t="str">
        <f aca="false">IF($C509="","",ROW()-3)</f>
        <v/>
      </c>
      <c r="B509" s="76"/>
      <c r="C509" s="74"/>
      <c r="D509" s="43"/>
      <c r="E509" s="42"/>
      <c r="F509" s="74"/>
      <c r="G509" s="74"/>
      <c r="H509" s="44"/>
      <c r="I509" s="44"/>
      <c r="J509" s="103" t="str">
        <f aca="false">IF($C509="","",ROUND(IFERROR(INDEX(期初余额!$I$4:$I$43,MATCH($C509,期初余额!$H$4:$H$43,0)),0)+SUMIFS($H$4:$H509,$C$4:$C509,$C509)-SUMIFS($I$4:$I509,$C$4:$C509,$C509),2))</f>
        <v/>
      </c>
      <c r="K509" s="104" t="str">
        <f aca="false">IF($T509&lt;&gt;"",$T509,IF($C509="","",IF(AND(N($I509)&gt;0,$G509&lt;&gt;""),IF(IFERROR(INDEX(科目表!$U$4:$U$123,MATCH($G509,科目表!$M$4:$M$123,0)),"")&amp;""="","管理费用",INDEX(科目表!$U$4:$U$123,MATCH($G509,科目表!$M$4:$M$123,0))),IF(N($H509)&gt;0,IF(IFERROR(INDEX(自动规则!$C$4:$C$143,MATCH($F509,自动规则!$B$4:$B$143,0)),"")&amp;""="","其他应收款",INDEX(自动规则!$C$4:$C$143,MATCH($F509,自动规则!$B$4:$B$143,0))),IF(IFERROR(INDEX(自动规则!$D$4:$D$143,MATCH($F509,自动规则!$B$4:$B$143,0)),"")&amp;""="","其他应付款",INDEX(自动规则!$D$4:$D$143,MATCH($F509,自动规则!$B$4:$B$143,0)))))))</f>
        <v/>
      </c>
      <c r="L509" s="43"/>
      <c r="M509" s="105" t="str">
        <f aca="false">IF($C509="","",IF(IFERROR(INDEX(科目表!$T$4:$T$123,MATCH($C509,科目表!$K$4:$K$123,0)),"")&amp;""="","其他货币资金",INDEX(科目表!$T$4:$T$123,MATCH($C509,科目表!$K$4:$K$123,0))))</f>
        <v/>
      </c>
      <c r="N509" s="39" t="str">
        <f aca="false">IF(OR($C509="",ROUND(N($H509)+N($I509),2)=0),"",IF(N($H509)&gt;0,$M509,$K509))</f>
        <v/>
      </c>
      <c r="O509" s="41" t="str">
        <f aca="false">IF($N509="","",ROUND(N($H509)+N($I509),2))</f>
        <v/>
      </c>
      <c r="P509" s="41" t="str">
        <f aca="false">IF($N509="","",0)</f>
        <v/>
      </c>
      <c r="Q509" s="39" t="str">
        <f aca="false">IF($N509="","",IF(N($H509)&gt;0,$K509,$M509))</f>
        <v/>
      </c>
      <c r="R509" s="41" t="str">
        <f aca="false">IF($Q509="","",0)</f>
        <v/>
      </c>
      <c r="S509" s="41" t="str">
        <f aca="false">IF($Q509="","",ROUND(N($H509)+N($I509),2))</f>
        <v/>
      </c>
      <c r="T509" s="42"/>
      <c r="U509" s="44"/>
      <c r="V509" s="41" t="str">
        <f aca="false">IF($B509="","",TEXT($B509,"yyyy年m月"))</f>
        <v/>
      </c>
      <c r="W509" s="42"/>
      <c r="X509" s="42"/>
      <c r="Y509" s="9"/>
    </row>
    <row r="510" customFormat="false" ht="18" hidden="false" customHeight="true" outlineLevel="0" collapsed="false">
      <c r="A510" s="9" t="str">
        <f aca="false">IF($C510="","",ROW()-3)</f>
        <v/>
      </c>
      <c r="B510" s="76"/>
      <c r="C510" s="74"/>
      <c r="D510" s="43"/>
      <c r="E510" s="42"/>
      <c r="F510" s="74"/>
      <c r="G510" s="74"/>
      <c r="H510" s="44"/>
      <c r="I510" s="44"/>
      <c r="J510" s="103" t="str">
        <f aca="false">IF($C510="","",ROUND(IFERROR(INDEX(期初余额!$I$4:$I$43,MATCH($C510,期初余额!$H$4:$H$43,0)),0)+SUMIFS($H$4:$H510,$C$4:$C510,$C510)-SUMIFS($I$4:$I510,$C$4:$C510,$C510),2))</f>
        <v/>
      </c>
      <c r="K510" s="104" t="str">
        <f aca="false">IF($T510&lt;&gt;"",$T510,IF($C510="","",IF(AND(N($I510)&gt;0,$G510&lt;&gt;""),IF(IFERROR(INDEX(科目表!$U$4:$U$123,MATCH($G510,科目表!$M$4:$M$123,0)),"")&amp;""="","管理费用",INDEX(科目表!$U$4:$U$123,MATCH($G510,科目表!$M$4:$M$123,0))),IF(N($H510)&gt;0,IF(IFERROR(INDEX(自动规则!$C$4:$C$143,MATCH($F510,自动规则!$B$4:$B$143,0)),"")&amp;""="","其他应收款",INDEX(自动规则!$C$4:$C$143,MATCH($F510,自动规则!$B$4:$B$143,0))),IF(IFERROR(INDEX(自动规则!$D$4:$D$143,MATCH($F510,自动规则!$B$4:$B$143,0)),"")&amp;""="","其他应付款",INDEX(自动规则!$D$4:$D$143,MATCH($F510,自动规则!$B$4:$B$143,0)))))))</f>
        <v/>
      </c>
      <c r="L510" s="43"/>
      <c r="M510" s="105" t="str">
        <f aca="false">IF($C510="","",IF(IFERROR(INDEX(科目表!$T$4:$T$123,MATCH($C510,科目表!$K$4:$K$123,0)),"")&amp;""="","其他货币资金",INDEX(科目表!$T$4:$T$123,MATCH($C510,科目表!$K$4:$K$123,0))))</f>
        <v/>
      </c>
      <c r="N510" s="39" t="str">
        <f aca="false">IF(OR($C510="",ROUND(N($H510)+N($I510),2)=0),"",IF(N($H510)&gt;0,$M510,$K510))</f>
        <v/>
      </c>
      <c r="O510" s="41" t="str">
        <f aca="false">IF($N510="","",ROUND(N($H510)+N($I510),2))</f>
        <v/>
      </c>
      <c r="P510" s="41" t="str">
        <f aca="false">IF($N510="","",0)</f>
        <v/>
      </c>
      <c r="Q510" s="39" t="str">
        <f aca="false">IF($N510="","",IF(N($H510)&gt;0,$K510,$M510))</f>
        <v/>
      </c>
      <c r="R510" s="41" t="str">
        <f aca="false">IF($Q510="","",0)</f>
        <v/>
      </c>
      <c r="S510" s="41" t="str">
        <f aca="false">IF($Q510="","",ROUND(N($H510)+N($I510),2))</f>
        <v/>
      </c>
      <c r="T510" s="42"/>
      <c r="U510" s="44"/>
      <c r="V510" s="41" t="str">
        <f aca="false">IF($B510="","",TEXT($B510,"yyyy年m月"))</f>
        <v/>
      </c>
      <c r="W510" s="42"/>
      <c r="X510" s="42"/>
      <c r="Y510" s="9"/>
    </row>
    <row r="511" customFormat="false" ht="18" hidden="false" customHeight="true" outlineLevel="0" collapsed="false">
      <c r="A511" s="9" t="str">
        <f aca="false">IF($C511="","",ROW()-3)</f>
        <v/>
      </c>
      <c r="B511" s="76"/>
      <c r="C511" s="74"/>
      <c r="D511" s="43"/>
      <c r="E511" s="42"/>
      <c r="F511" s="74"/>
      <c r="G511" s="74"/>
      <c r="H511" s="44"/>
      <c r="I511" s="44"/>
      <c r="J511" s="103" t="str">
        <f aca="false">IF($C511="","",ROUND(IFERROR(INDEX(期初余额!$I$4:$I$43,MATCH($C511,期初余额!$H$4:$H$43,0)),0)+SUMIFS($H$4:$H511,$C$4:$C511,$C511)-SUMIFS($I$4:$I511,$C$4:$C511,$C511),2))</f>
        <v/>
      </c>
      <c r="K511" s="104" t="str">
        <f aca="false">IF($T511&lt;&gt;"",$T511,IF($C511="","",IF(AND(N($I511)&gt;0,$G511&lt;&gt;""),IF(IFERROR(INDEX(科目表!$U$4:$U$123,MATCH($G511,科目表!$M$4:$M$123,0)),"")&amp;""="","管理费用",INDEX(科目表!$U$4:$U$123,MATCH($G511,科目表!$M$4:$M$123,0))),IF(N($H511)&gt;0,IF(IFERROR(INDEX(自动规则!$C$4:$C$143,MATCH($F511,自动规则!$B$4:$B$143,0)),"")&amp;""="","其他应收款",INDEX(自动规则!$C$4:$C$143,MATCH($F511,自动规则!$B$4:$B$143,0))),IF(IFERROR(INDEX(自动规则!$D$4:$D$143,MATCH($F511,自动规则!$B$4:$B$143,0)),"")&amp;""="","其他应付款",INDEX(自动规则!$D$4:$D$143,MATCH($F511,自动规则!$B$4:$B$143,0)))))))</f>
        <v/>
      </c>
      <c r="L511" s="43"/>
      <c r="M511" s="105" t="str">
        <f aca="false">IF($C511="","",IF(IFERROR(INDEX(科目表!$T$4:$T$123,MATCH($C511,科目表!$K$4:$K$123,0)),"")&amp;""="","其他货币资金",INDEX(科目表!$T$4:$T$123,MATCH($C511,科目表!$K$4:$K$123,0))))</f>
        <v/>
      </c>
      <c r="N511" s="39" t="str">
        <f aca="false">IF(OR($C511="",ROUND(N($H511)+N($I511),2)=0),"",IF(N($H511)&gt;0,$M511,$K511))</f>
        <v/>
      </c>
      <c r="O511" s="41" t="str">
        <f aca="false">IF($N511="","",ROUND(N($H511)+N($I511),2))</f>
        <v/>
      </c>
      <c r="P511" s="41" t="str">
        <f aca="false">IF($N511="","",0)</f>
        <v/>
      </c>
      <c r="Q511" s="39" t="str">
        <f aca="false">IF($N511="","",IF(N($H511)&gt;0,$K511,$M511))</f>
        <v/>
      </c>
      <c r="R511" s="41" t="str">
        <f aca="false">IF($Q511="","",0)</f>
        <v/>
      </c>
      <c r="S511" s="41" t="str">
        <f aca="false">IF($Q511="","",ROUND(N($H511)+N($I511),2))</f>
        <v/>
      </c>
      <c r="T511" s="42"/>
      <c r="U511" s="44"/>
      <c r="V511" s="41" t="str">
        <f aca="false">IF($B511="","",TEXT($B511,"yyyy年m月"))</f>
        <v/>
      </c>
      <c r="W511" s="42"/>
      <c r="X511" s="42"/>
      <c r="Y511" s="9"/>
    </row>
    <row r="512" customFormat="false" ht="18" hidden="false" customHeight="true" outlineLevel="0" collapsed="false">
      <c r="A512" s="9" t="str">
        <f aca="false">IF($C512="","",ROW()-3)</f>
        <v/>
      </c>
      <c r="B512" s="76"/>
      <c r="C512" s="74"/>
      <c r="D512" s="43"/>
      <c r="E512" s="42"/>
      <c r="F512" s="74"/>
      <c r="G512" s="74"/>
      <c r="H512" s="44"/>
      <c r="I512" s="44"/>
      <c r="J512" s="103" t="str">
        <f aca="false">IF($C512="","",ROUND(IFERROR(INDEX(期初余额!$I$4:$I$43,MATCH($C512,期初余额!$H$4:$H$43,0)),0)+SUMIFS($H$4:$H512,$C$4:$C512,$C512)-SUMIFS($I$4:$I512,$C$4:$C512,$C512),2))</f>
        <v/>
      </c>
      <c r="K512" s="104" t="str">
        <f aca="false">IF($T512&lt;&gt;"",$T512,IF($C512="","",IF(AND(N($I512)&gt;0,$G512&lt;&gt;""),IF(IFERROR(INDEX(科目表!$U$4:$U$123,MATCH($G512,科目表!$M$4:$M$123,0)),"")&amp;""="","管理费用",INDEX(科目表!$U$4:$U$123,MATCH($G512,科目表!$M$4:$M$123,0))),IF(N($H512)&gt;0,IF(IFERROR(INDEX(自动规则!$C$4:$C$143,MATCH($F512,自动规则!$B$4:$B$143,0)),"")&amp;""="","其他应收款",INDEX(自动规则!$C$4:$C$143,MATCH($F512,自动规则!$B$4:$B$143,0))),IF(IFERROR(INDEX(自动规则!$D$4:$D$143,MATCH($F512,自动规则!$B$4:$B$143,0)),"")&amp;""="","其他应付款",INDEX(自动规则!$D$4:$D$143,MATCH($F512,自动规则!$B$4:$B$143,0)))))))</f>
        <v/>
      </c>
      <c r="L512" s="43"/>
      <c r="M512" s="105" t="str">
        <f aca="false">IF($C512="","",IF(IFERROR(INDEX(科目表!$T$4:$T$123,MATCH($C512,科目表!$K$4:$K$123,0)),"")&amp;""="","其他货币资金",INDEX(科目表!$T$4:$T$123,MATCH($C512,科目表!$K$4:$K$123,0))))</f>
        <v/>
      </c>
      <c r="N512" s="39" t="str">
        <f aca="false">IF(OR($C512="",ROUND(N($H512)+N($I512),2)=0),"",IF(N($H512)&gt;0,$M512,$K512))</f>
        <v/>
      </c>
      <c r="O512" s="41" t="str">
        <f aca="false">IF($N512="","",ROUND(N($H512)+N($I512),2))</f>
        <v/>
      </c>
      <c r="P512" s="41" t="str">
        <f aca="false">IF($N512="","",0)</f>
        <v/>
      </c>
      <c r="Q512" s="39" t="str">
        <f aca="false">IF($N512="","",IF(N($H512)&gt;0,$K512,$M512))</f>
        <v/>
      </c>
      <c r="R512" s="41" t="str">
        <f aca="false">IF($Q512="","",0)</f>
        <v/>
      </c>
      <c r="S512" s="41" t="str">
        <f aca="false">IF($Q512="","",ROUND(N($H512)+N($I512),2))</f>
        <v/>
      </c>
      <c r="T512" s="42"/>
      <c r="U512" s="44"/>
      <c r="V512" s="41" t="str">
        <f aca="false">IF($B512="","",TEXT($B512,"yyyy年m月"))</f>
        <v/>
      </c>
      <c r="W512" s="42"/>
      <c r="X512" s="42"/>
      <c r="Y512" s="9"/>
    </row>
    <row r="513" customFormat="false" ht="18" hidden="false" customHeight="true" outlineLevel="0" collapsed="false">
      <c r="A513" s="9" t="str">
        <f aca="false">IF($C513="","",ROW()-3)</f>
        <v/>
      </c>
      <c r="B513" s="76"/>
      <c r="C513" s="74"/>
      <c r="D513" s="43"/>
      <c r="E513" s="42"/>
      <c r="F513" s="74"/>
      <c r="G513" s="74"/>
      <c r="H513" s="44"/>
      <c r="I513" s="44"/>
      <c r="J513" s="103" t="str">
        <f aca="false">IF($C513="","",ROUND(IFERROR(INDEX(期初余额!$I$4:$I$43,MATCH($C513,期初余额!$H$4:$H$43,0)),0)+SUMIFS($H$4:$H513,$C$4:$C513,$C513)-SUMIFS($I$4:$I513,$C$4:$C513,$C513),2))</f>
        <v/>
      </c>
      <c r="K513" s="104" t="str">
        <f aca="false">IF($T513&lt;&gt;"",$T513,IF($C513="","",IF(AND(N($I513)&gt;0,$G513&lt;&gt;""),IF(IFERROR(INDEX(科目表!$U$4:$U$123,MATCH($G513,科目表!$M$4:$M$123,0)),"")&amp;""="","管理费用",INDEX(科目表!$U$4:$U$123,MATCH($G513,科目表!$M$4:$M$123,0))),IF(N($H513)&gt;0,IF(IFERROR(INDEX(自动规则!$C$4:$C$143,MATCH($F513,自动规则!$B$4:$B$143,0)),"")&amp;""="","其他应收款",INDEX(自动规则!$C$4:$C$143,MATCH($F513,自动规则!$B$4:$B$143,0))),IF(IFERROR(INDEX(自动规则!$D$4:$D$143,MATCH($F513,自动规则!$B$4:$B$143,0)),"")&amp;""="","其他应付款",INDEX(自动规则!$D$4:$D$143,MATCH($F513,自动规则!$B$4:$B$143,0)))))))</f>
        <v/>
      </c>
      <c r="L513" s="43"/>
      <c r="M513" s="105" t="str">
        <f aca="false">IF($C513="","",IF(IFERROR(INDEX(科目表!$T$4:$T$123,MATCH($C513,科目表!$K$4:$K$123,0)),"")&amp;""="","其他货币资金",INDEX(科目表!$T$4:$T$123,MATCH($C513,科目表!$K$4:$K$123,0))))</f>
        <v/>
      </c>
      <c r="N513" s="39" t="str">
        <f aca="false">IF(OR($C513="",ROUND(N($H513)+N($I513),2)=0),"",IF(N($H513)&gt;0,$M513,$K513))</f>
        <v/>
      </c>
      <c r="O513" s="41" t="str">
        <f aca="false">IF($N513="","",ROUND(N($H513)+N($I513),2))</f>
        <v/>
      </c>
      <c r="P513" s="41" t="str">
        <f aca="false">IF($N513="","",0)</f>
        <v/>
      </c>
      <c r="Q513" s="39" t="str">
        <f aca="false">IF($N513="","",IF(N($H513)&gt;0,$K513,$M513))</f>
        <v/>
      </c>
      <c r="R513" s="41" t="str">
        <f aca="false">IF($Q513="","",0)</f>
        <v/>
      </c>
      <c r="S513" s="41" t="str">
        <f aca="false">IF($Q513="","",ROUND(N($H513)+N($I513),2))</f>
        <v/>
      </c>
      <c r="T513" s="42"/>
      <c r="U513" s="44"/>
      <c r="V513" s="41" t="str">
        <f aca="false">IF($B513="","",TEXT($B513,"yyyy年m月"))</f>
        <v/>
      </c>
      <c r="W513" s="42"/>
      <c r="X513" s="42"/>
      <c r="Y513" s="9"/>
    </row>
    <row r="514" customFormat="false" ht="18" hidden="false" customHeight="true" outlineLevel="0" collapsed="false">
      <c r="A514" s="9" t="str">
        <f aca="false">IF($C514="","",ROW()-3)</f>
        <v/>
      </c>
      <c r="B514" s="76"/>
      <c r="C514" s="74"/>
      <c r="D514" s="43"/>
      <c r="E514" s="42"/>
      <c r="F514" s="74"/>
      <c r="G514" s="74"/>
      <c r="H514" s="44"/>
      <c r="I514" s="44"/>
      <c r="J514" s="103" t="str">
        <f aca="false">IF($C514="","",ROUND(IFERROR(INDEX(期初余额!$I$4:$I$43,MATCH($C514,期初余额!$H$4:$H$43,0)),0)+SUMIFS($H$4:$H514,$C$4:$C514,$C514)-SUMIFS($I$4:$I514,$C$4:$C514,$C514),2))</f>
        <v/>
      </c>
      <c r="K514" s="104" t="str">
        <f aca="false">IF($T514&lt;&gt;"",$T514,IF($C514="","",IF(AND(N($I514)&gt;0,$G514&lt;&gt;""),IF(IFERROR(INDEX(科目表!$U$4:$U$123,MATCH($G514,科目表!$M$4:$M$123,0)),"")&amp;""="","管理费用",INDEX(科目表!$U$4:$U$123,MATCH($G514,科目表!$M$4:$M$123,0))),IF(N($H514)&gt;0,IF(IFERROR(INDEX(自动规则!$C$4:$C$143,MATCH($F514,自动规则!$B$4:$B$143,0)),"")&amp;""="","其他应收款",INDEX(自动规则!$C$4:$C$143,MATCH($F514,自动规则!$B$4:$B$143,0))),IF(IFERROR(INDEX(自动规则!$D$4:$D$143,MATCH($F514,自动规则!$B$4:$B$143,0)),"")&amp;""="","其他应付款",INDEX(自动规则!$D$4:$D$143,MATCH($F514,自动规则!$B$4:$B$143,0)))))))</f>
        <v/>
      </c>
      <c r="L514" s="43"/>
      <c r="M514" s="105" t="str">
        <f aca="false">IF($C514="","",IF(IFERROR(INDEX(科目表!$T$4:$T$123,MATCH($C514,科目表!$K$4:$K$123,0)),"")&amp;""="","其他货币资金",INDEX(科目表!$T$4:$T$123,MATCH($C514,科目表!$K$4:$K$123,0))))</f>
        <v/>
      </c>
      <c r="N514" s="39" t="str">
        <f aca="false">IF(OR($C514="",ROUND(N($H514)+N($I514),2)=0),"",IF(N($H514)&gt;0,$M514,$K514))</f>
        <v/>
      </c>
      <c r="O514" s="41" t="str">
        <f aca="false">IF($N514="","",ROUND(N($H514)+N($I514),2))</f>
        <v/>
      </c>
      <c r="P514" s="41" t="str">
        <f aca="false">IF($N514="","",0)</f>
        <v/>
      </c>
      <c r="Q514" s="39" t="str">
        <f aca="false">IF($N514="","",IF(N($H514)&gt;0,$K514,$M514))</f>
        <v/>
      </c>
      <c r="R514" s="41" t="str">
        <f aca="false">IF($Q514="","",0)</f>
        <v/>
      </c>
      <c r="S514" s="41" t="str">
        <f aca="false">IF($Q514="","",ROUND(N($H514)+N($I514),2))</f>
        <v/>
      </c>
      <c r="T514" s="42"/>
      <c r="U514" s="44"/>
      <c r="V514" s="41" t="str">
        <f aca="false">IF($B514="","",TEXT($B514,"yyyy年m月"))</f>
        <v/>
      </c>
      <c r="W514" s="42"/>
      <c r="X514" s="42"/>
      <c r="Y514" s="9"/>
    </row>
    <row r="515" customFormat="false" ht="18" hidden="false" customHeight="true" outlineLevel="0" collapsed="false">
      <c r="A515" s="9" t="str">
        <f aca="false">IF($C515="","",ROW()-3)</f>
        <v/>
      </c>
      <c r="B515" s="76"/>
      <c r="C515" s="74"/>
      <c r="D515" s="43"/>
      <c r="E515" s="42"/>
      <c r="F515" s="74"/>
      <c r="G515" s="74"/>
      <c r="H515" s="44"/>
      <c r="I515" s="44"/>
      <c r="J515" s="103" t="str">
        <f aca="false">IF($C515="","",ROUND(IFERROR(INDEX(期初余额!$I$4:$I$43,MATCH($C515,期初余额!$H$4:$H$43,0)),0)+SUMIFS($H$4:$H515,$C$4:$C515,$C515)-SUMIFS($I$4:$I515,$C$4:$C515,$C515),2))</f>
        <v/>
      </c>
      <c r="K515" s="104" t="str">
        <f aca="false">IF($T515&lt;&gt;"",$T515,IF($C515="","",IF(AND(N($I515)&gt;0,$G515&lt;&gt;""),IF(IFERROR(INDEX(科目表!$U$4:$U$123,MATCH($G515,科目表!$M$4:$M$123,0)),"")&amp;""="","管理费用",INDEX(科目表!$U$4:$U$123,MATCH($G515,科目表!$M$4:$M$123,0))),IF(N($H515)&gt;0,IF(IFERROR(INDEX(自动规则!$C$4:$C$143,MATCH($F515,自动规则!$B$4:$B$143,0)),"")&amp;""="","其他应收款",INDEX(自动规则!$C$4:$C$143,MATCH($F515,自动规则!$B$4:$B$143,0))),IF(IFERROR(INDEX(自动规则!$D$4:$D$143,MATCH($F515,自动规则!$B$4:$B$143,0)),"")&amp;""="","其他应付款",INDEX(自动规则!$D$4:$D$143,MATCH($F515,自动规则!$B$4:$B$143,0)))))))</f>
        <v/>
      </c>
      <c r="L515" s="43"/>
      <c r="M515" s="105" t="str">
        <f aca="false">IF($C515="","",IF(IFERROR(INDEX(科目表!$T$4:$T$123,MATCH($C515,科目表!$K$4:$K$123,0)),"")&amp;""="","其他货币资金",INDEX(科目表!$T$4:$T$123,MATCH($C515,科目表!$K$4:$K$123,0))))</f>
        <v/>
      </c>
      <c r="N515" s="39" t="str">
        <f aca="false">IF(OR($C515="",ROUND(N($H515)+N($I515),2)=0),"",IF(N($H515)&gt;0,$M515,$K515))</f>
        <v/>
      </c>
      <c r="O515" s="41" t="str">
        <f aca="false">IF($N515="","",ROUND(N($H515)+N($I515),2))</f>
        <v/>
      </c>
      <c r="P515" s="41" t="str">
        <f aca="false">IF($N515="","",0)</f>
        <v/>
      </c>
      <c r="Q515" s="39" t="str">
        <f aca="false">IF($N515="","",IF(N($H515)&gt;0,$K515,$M515))</f>
        <v/>
      </c>
      <c r="R515" s="41" t="str">
        <f aca="false">IF($Q515="","",0)</f>
        <v/>
      </c>
      <c r="S515" s="41" t="str">
        <f aca="false">IF($Q515="","",ROUND(N($H515)+N($I515),2))</f>
        <v/>
      </c>
      <c r="T515" s="42"/>
      <c r="U515" s="44"/>
      <c r="V515" s="41" t="str">
        <f aca="false">IF($B515="","",TEXT($B515,"yyyy年m月"))</f>
        <v/>
      </c>
      <c r="W515" s="42"/>
      <c r="X515" s="42"/>
      <c r="Y515" s="9"/>
    </row>
    <row r="516" customFormat="false" ht="18" hidden="false" customHeight="true" outlineLevel="0" collapsed="false">
      <c r="A516" s="9" t="str">
        <f aca="false">IF($C516="","",ROW()-3)</f>
        <v/>
      </c>
      <c r="B516" s="76"/>
      <c r="C516" s="74"/>
      <c r="D516" s="43"/>
      <c r="E516" s="42"/>
      <c r="F516" s="74"/>
      <c r="G516" s="74"/>
      <c r="H516" s="44"/>
      <c r="I516" s="44"/>
      <c r="J516" s="103" t="str">
        <f aca="false">IF($C516="","",ROUND(IFERROR(INDEX(期初余额!$I$4:$I$43,MATCH($C516,期初余额!$H$4:$H$43,0)),0)+SUMIFS($H$4:$H516,$C$4:$C516,$C516)-SUMIFS($I$4:$I516,$C$4:$C516,$C516),2))</f>
        <v/>
      </c>
      <c r="K516" s="104" t="str">
        <f aca="false">IF($T516&lt;&gt;"",$T516,IF($C516="","",IF(AND(N($I516)&gt;0,$G516&lt;&gt;""),IF(IFERROR(INDEX(科目表!$U$4:$U$123,MATCH($G516,科目表!$M$4:$M$123,0)),"")&amp;""="","管理费用",INDEX(科目表!$U$4:$U$123,MATCH($G516,科目表!$M$4:$M$123,0))),IF(N($H516)&gt;0,IF(IFERROR(INDEX(自动规则!$C$4:$C$143,MATCH($F516,自动规则!$B$4:$B$143,0)),"")&amp;""="","其他应收款",INDEX(自动规则!$C$4:$C$143,MATCH($F516,自动规则!$B$4:$B$143,0))),IF(IFERROR(INDEX(自动规则!$D$4:$D$143,MATCH($F516,自动规则!$B$4:$B$143,0)),"")&amp;""="","其他应付款",INDEX(自动规则!$D$4:$D$143,MATCH($F516,自动规则!$B$4:$B$143,0)))))))</f>
        <v/>
      </c>
      <c r="L516" s="43"/>
      <c r="M516" s="105" t="str">
        <f aca="false">IF($C516="","",IF(IFERROR(INDEX(科目表!$T$4:$T$123,MATCH($C516,科目表!$K$4:$K$123,0)),"")&amp;""="","其他货币资金",INDEX(科目表!$T$4:$T$123,MATCH($C516,科目表!$K$4:$K$123,0))))</f>
        <v/>
      </c>
      <c r="N516" s="39" t="str">
        <f aca="false">IF(OR($C516="",ROUND(N($H516)+N($I516),2)=0),"",IF(N($H516)&gt;0,$M516,$K516))</f>
        <v/>
      </c>
      <c r="O516" s="41" t="str">
        <f aca="false">IF($N516="","",ROUND(N($H516)+N($I516),2))</f>
        <v/>
      </c>
      <c r="P516" s="41" t="str">
        <f aca="false">IF($N516="","",0)</f>
        <v/>
      </c>
      <c r="Q516" s="39" t="str">
        <f aca="false">IF($N516="","",IF(N($H516)&gt;0,$K516,$M516))</f>
        <v/>
      </c>
      <c r="R516" s="41" t="str">
        <f aca="false">IF($Q516="","",0)</f>
        <v/>
      </c>
      <c r="S516" s="41" t="str">
        <f aca="false">IF($Q516="","",ROUND(N($H516)+N($I516),2))</f>
        <v/>
      </c>
      <c r="T516" s="42"/>
      <c r="U516" s="44"/>
      <c r="V516" s="41" t="str">
        <f aca="false">IF($B516="","",TEXT($B516,"yyyy年m月"))</f>
        <v/>
      </c>
      <c r="W516" s="42"/>
      <c r="X516" s="42"/>
      <c r="Y516" s="9"/>
    </row>
    <row r="517" customFormat="false" ht="18" hidden="false" customHeight="true" outlineLevel="0" collapsed="false">
      <c r="A517" s="9" t="str">
        <f aca="false">IF($C517="","",ROW()-3)</f>
        <v/>
      </c>
      <c r="B517" s="76"/>
      <c r="C517" s="74"/>
      <c r="D517" s="43"/>
      <c r="E517" s="42"/>
      <c r="F517" s="74"/>
      <c r="G517" s="74"/>
      <c r="H517" s="44"/>
      <c r="I517" s="44"/>
      <c r="J517" s="103" t="str">
        <f aca="false">IF($C517="","",ROUND(IFERROR(INDEX(期初余额!$I$4:$I$43,MATCH($C517,期初余额!$H$4:$H$43,0)),0)+SUMIFS($H$4:$H517,$C$4:$C517,$C517)-SUMIFS($I$4:$I517,$C$4:$C517,$C517),2))</f>
        <v/>
      </c>
      <c r="K517" s="104" t="str">
        <f aca="false">IF($T517&lt;&gt;"",$T517,IF($C517="","",IF(AND(N($I517)&gt;0,$G517&lt;&gt;""),IF(IFERROR(INDEX(科目表!$U$4:$U$123,MATCH($G517,科目表!$M$4:$M$123,0)),"")&amp;""="","管理费用",INDEX(科目表!$U$4:$U$123,MATCH($G517,科目表!$M$4:$M$123,0))),IF(N($H517)&gt;0,IF(IFERROR(INDEX(自动规则!$C$4:$C$143,MATCH($F517,自动规则!$B$4:$B$143,0)),"")&amp;""="","其他应收款",INDEX(自动规则!$C$4:$C$143,MATCH($F517,自动规则!$B$4:$B$143,0))),IF(IFERROR(INDEX(自动规则!$D$4:$D$143,MATCH($F517,自动规则!$B$4:$B$143,0)),"")&amp;""="","其他应付款",INDEX(自动规则!$D$4:$D$143,MATCH($F517,自动规则!$B$4:$B$143,0)))))))</f>
        <v/>
      </c>
      <c r="L517" s="43"/>
      <c r="M517" s="105" t="str">
        <f aca="false">IF($C517="","",IF(IFERROR(INDEX(科目表!$T$4:$T$123,MATCH($C517,科目表!$K$4:$K$123,0)),"")&amp;""="","其他货币资金",INDEX(科目表!$T$4:$T$123,MATCH($C517,科目表!$K$4:$K$123,0))))</f>
        <v/>
      </c>
      <c r="N517" s="39" t="str">
        <f aca="false">IF(OR($C517="",ROUND(N($H517)+N($I517),2)=0),"",IF(N($H517)&gt;0,$M517,$K517))</f>
        <v/>
      </c>
      <c r="O517" s="41" t="str">
        <f aca="false">IF($N517="","",ROUND(N($H517)+N($I517),2))</f>
        <v/>
      </c>
      <c r="P517" s="41" t="str">
        <f aca="false">IF($N517="","",0)</f>
        <v/>
      </c>
      <c r="Q517" s="39" t="str">
        <f aca="false">IF($N517="","",IF(N($H517)&gt;0,$K517,$M517))</f>
        <v/>
      </c>
      <c r="R517" s="41" t="str">
        <f aca="false">IF($Q517="","",0)</f>
        <v/>
      </c>
      <c r="S517" s="41" t="str">
        <f aca="false">IF($Q517="","",ROUND(N($H517)+N($I517),2))</f>
        <v/>
      </c>
      <c r="T517" s="42"/>
      <c r="U517" s="44"/>
      <c r="V517" s="41" t="str">
        <f aca="false">IF($B517="","",TEXT($B517,"yyyy年m月"))</f>
        <v/>
      </c>
      <c r="W517" s="42"/>
      <c r="X517" s="42"/>
      <c r="Y517" s="9"/>
    </row>
    <row r="518" customFormat="false" ht="18" hidden="false" customHeight="true" outlineLevel="0" collapsed="false">
      <c r="A518" s="9" t="str">
        <f aca="false">IF($C518="","",ROW()-3)</f>
        <v/>
      </c>
      <c r="B518" s="76"/>
      <c r="C518" s="74"/>
      <c r="D518" s="43"/>
      <c r="E518" s="42"/>
      <c r="F518" s="74"/>
      <c r="G518" s="74"/>
      <c r="H518" s="44"/>
      <c r="I518" s="44"/>
      <c r="J518" s="103" t="str">
        <f aca="false">IF($C518="","",ROUND(IFERROR(INDEX(期初余额!$I$4:$I$43,MATCH($C518,期初余额!$H$4:$H$43,0)),0)+SUMIFS($H$4:$H518,$C$4:$C518,$C518)-SUMIFS($I$4:$I518,$C$4:$C518,$C518),2))</f>
        <v/>
      </c>
      <c r="K518" s="104" t="str">
        <f aca="false">IF($T518&lt;&gt;"",$T518,IF($C518="","",IF(AND(N($I518)&gt;0,$G518&lt;&gt;""),IF(IFERROR(INDEX(科目表!$U$4:$U$123,MATCH($G518,科目表!$M$4:$M$123,0)),"")&amp;""="","管理费用",INDEX(科目表!$U$4:$U$123,MATCH($G518,科目表!$M$4:$M$123,0))),IF(N($H518)&gt;0,IF(IFERROR(INDEX(自动规则!$C$4:$C$143,MATCH($F518,自动规则!$B$4:$B$143,0)),"")&amp;""="","其他应收款",INDEX(自动规则!$C$4:$C$143,MATCH($F518,自动规则!$B$4:$B$143,0))),IF(IFERROR(INDEX(自动规则!$D$4:$D$143,MATCH($F518,自动规则!$B$4:$B$143,0)),"")&amp;""="","其他应付款",INDEX(自动规则!$D$4:$D$143,MATCH($F518,自动规则!$B$4:$B$143,0)))))))</f>
        <v/>
      </c>
      <c r="L518" s="43"/>
      <c r="M518" s="105" t="str">
        <f aca="false">IF($C518="","",IF(IFERROR(INDEX(科目表!$T$4:$T$123,MATCH($C518,科目表!$K$4:$K$123,0)),"")&amp;""="","其他货币资金",INDEX(科目表!$T$4:$T$123,MATCH($C518,科目表!$K$4:$K$123,0))))</f>
        <v/>
      </c>
      <c r="N518" s="39" t="str">
        <f aca="false">IF(OR($C518="",ROUND(N($H518)+N($I518),2)=0),"",IF(N($H518)&gt;0,$M518,$K518))</f>
        <v/>
      </c>
      <c r="O518" s="41" t="str">
        <f aca="false">IF($N518="","",ROUND(N($H518)+N($I518),2))</f>
        <v/>
      </c>
      <c r="P518" s="41" t="str">
        <f aca="false">IF($N518="","",0)</f>
        <v/>
      </c>
      <c r="Q518" s="39" t="str">
        <f aca="false">IF($N518="","",IF(N($H518)&gt;0,$K518,$M518))</f>
        <v/>
      </c>
      <c r="R518" s="41" t="str">
        <f aca="false">IF($Q518="","",0)</f>
        <v/>
      </c>
      <c r="S518" s="41" t="str">
        <f aca="false">IF($Q518="","",ROUND(N($H518)+N($I518),2))</f>
        <v/>
      </c>
      <c r="T518" s="42"/>
      <c r="U518" s="44"/>
      <c r="V518" s="41" t="str">
        <f aca="false">IF($B518="","",TEXT($B518,"yyyy年m月"))</f>
        <v/>
      </c>
      <c r="W518" s="42"/>
      <c r="X518" s="42"/>
      <c r="Y518" s="9"/>
    </row>
    <row r="519" customFormat="false" ht="18" hidden="false" customHeight="true" outlineLevel="0" collapsed="false">
      <c r="A519" s="9" t="str">
        <f aca="false">IF($C519="","",ROW()-3)</f>
        <v/>
      </c>
      <c r="B519" s="76"/>
      <c r="C519" s="74"/>
      <c r="D519" s="43"/>
      <c r="E519" s="42"/>
      <c r="F519" s="74"/>
      <c r="G519" s="74"/>
      <c r="H519" s="44"/>
      <c r="I519" s="44"/>
      <c r="J519" s="103" t="str">
        <f aca="false">IF($C519="","",ROUND(IFERROR(INDEX(期初余额!$I$4:$I$43,MATCH($C519,期初余额!$H$4:$H$43,0)),0)+SUMIFS($H$4:$H519,$C$4:$C519,$C519)-SUMIFS($I$4:$I519,$C$4:$C519,$C519),2))</f>
        <v/>
      </c>
      <c r="K519" s="104" t="str">
        <f aca="false">IF($T519&lt;&gt;"",$T519,IF($C519="","",IF(AND(N($I519)&gt;0,$G519&lt;&gt;""),IF(IFERROR(INDEX(科目表!$U$4:$U$123,MATCH($G519,科目表!$M$4:$M$123,0)),"")&amp;""="","管理费用",INDEX(科目表!$U$4:$U$123,MATCH($G519,科目表!$M$4:$M$123,0))),IF(N($H519)&gt;0,IF(IFERROR(INDEX(自动规则!$C$4:$C$143,MATCH($F519,自动规则!$B$4:$B$143,0)),"")&amp;""="","其他应收款",INDEX(自动规则!$C$4:$C$143,MATCH($F519,自动规则!$B$4:$B$143,0))),IF(IFERROR(INDEX(自动规则!$D$4:$D$143,MATCH($F519,自动规则!$B$4:$B$143,0)),"")&amp;""="","其他应付款",INDEX(自动规则!$D$4:$D$143,MATCH($F519,自动规则!$B$4:$B$143,0)))))))</f>
        <v/>
      </c>
      <c r="L519" s="43"/>
      <c r="M519" s="105" t="str">
        <f aca="false">IF($C519="","",IF(IFERROR(INDEX(科目表!$T$4:$T$123,MATCH($C519,科目表!$K$4:$K$123,0)),"")&amp;""="","其他货币资金",INDEX(科目表!$T$4:$T$123,MATCH($C519,科目表!$K$4:$K$123,0))))</f>
        <v/>
      </c>
      <c r="N519" s="39" t="str">
        <f aca="false">IF(OR($C519="",ROUND(N($H519)+N($I519),2)=0),"",IF(N($H519)&gt;0,$M519,$K519))</f>
        <v/>
      </c>
      <c r="O519" s="41" t="str">
        <f aca="false">IF($N519="","",ROUND(N($H519)+N($I519),2))</f>
        <v/>
      </c>
      <c r="P519" s="41" t="str">
        <f aca="false">IF($N519="","",0)</f>
        <v/>
      </c>
      <c r="Q519" s="39" t="str">
        <f aca="false">IF($N519="","",IF(N($H519)&gt;0,$K519,$M519))</f>
        <v/>
      </c>
      <c r="R519" s="41" t="str">
        <f aca="false">IF($Q519="","",0)</f>
        <v/>
      </c>
      <c r="S519" s="41" t="str">
        <f aca="false">IF($Q519="","",ROUND(N($H519)+N($I519),2))</f>
        <v/>
      </c>
      <c r="T519" s="42"/>
      <c r="U519" s="44"/>
      <c r="V519" s="41" t="str">
        <f aca="false">IF($B519="","",TEXT($B519,"yyyy年m月"))</f>
        <v/>
      </c>
      <c r="W519" s="42"/>
      <c r="X519" s="42"/>
      <c r="Y519" s="9"/>
    </row>
    <row r="520" customFormat="false" ht="18" hidden="false" customHeight="true" outlineLevel="0" collapsed="false">
      <c r="A520" s="9" t="str">
        <f aca="false">IF($C520="","",ROW()-3)</f>
        <v/>
      </c>
      <c r="B520" s="76"/>
      <c r="C520" s="74"/>
      <c r="D520" s="43"/>
      <c r="E520" s="42"/>
      <c r="F520" s="74"/>
      <c r="G520" s="74"/>
      <c r="H520" s="44"/>
      <c r="I520" s="44"/>
      <c r="J520" s="103" t="str">
        <f aca="false">IF($C520="","",ROUND(IFERROR(INDEX(期初余额!$I$4:$I$43,MATCH($C520,期初余额!$H$4:$H$43,0)),0)+SUMIFS($H$4:$H520,$C$4:$C520,$C520)-SUMIFS($I$4:$I520,$C$4:$C520,$C520),2))</f>
        <v/>
      </c>
      <c r="K520" s="104" t="str">
        <f aca="false">IF($T520&lt;&gt;"",$T520,IF($C520="","",IF(AND(N($I520)&gt;0,$G520&lt;&gt;""),IF(IFERROR(INDEX(科目表!$U$4:$U$123,MATCH($G520,科目表!$M$4:$M$123,0)),"")&amp;""="","管理费用",INDEX(科目表!$U$4:$U$123,MATCH($G520,科目表!$M$4:$M$123,0))),IF(N($H520)&gt;0,IF(IFERROR(INDEX(自动规则!$C$4:$C$143,MATCH($F520,自动规则!$B$4:$B$143,0)),"")&amp;""="","其他应收款",INDEX(自动规则!$C$4:$C$143,MATCH($F520,自动规则!$B$4:$B$143,0))),IF(IFERROR(INDEX(自动规则!$D$4:$D$143,MATCH($F520,自动规则!$B$4:$B$143,0)),"")&amp;""="","其他应付款",INDEX(自动规则!$D$4:$D$143,MATCH($F520,自动规则!$B$4:$B$143,0)))))))</f>
        <v/>
      </c>
      <c r="L520" s="43"/>
      <c r="M520" s="105" t="str">
        <f aca="false">IF($C520="","",IF(IFERROR(INDEX(科目表!$T$4:$T$123,MATCH($C520,科目表!$K$4:$K$123,0)),"")&amp;""="","其他货币资金",INDEX(科目表!$T$4:$T$123,MATCH($C520,科目表!$K$4:$K$123,0))))</f>
        <v/>
      </c>
      <c r="N520" s="39" t="str">
        <f aca="false">IF(OR($C520="",ROUND(N($H520)+N($I520),2)=0),"",IF(N($H520)&gt;0,$M520,$K520))</f>
        <v/>
      </c>
      <c r="O520" s="41" t="str">
        <f aca="false">IF($N520="","",ROUND(N($H520)+N($I520),2))</f>
        <v/>
      </c>
      <c r="P520" s="41" t="str">
        <f aca="false">IF($N520="","",0)</f>
        <v/>
      </c>
      <c r="Q520" s="39" t="str">
        <f aca="false">IF($N520="","",IF(N($H520)&gt;0,$K520,$M520))</f>
        <v/>
      </c>
      <c r="R520" s="41" t="str">
        <f aca="false">IF($Q520="","",0)</f>
        <v/>
      </c>
      <c r="S520" s="41" t="str">
        <f aca="false">IF($Q520="","",ROUND(N($H520)+N($I520),2))</f>
        <v/>
      </c>
      <c r="T520" s="42"/>
      <c r="U520" s="44"/>
      <c r="V520" s="41" t="str">
        <f aca="false">IF($B520="","",TEXT($B520,"yyyy年m月"))</f>
        <v/>
      </c>
      <c r="W520" s="42"/>
      <c r="X520" s="42"/>
      <c r="Y520" s="9"/>
    </row>
    <row r="521" customFormat="false" ht="18" hidden="false" customHeight="true" outlineLevel="0" collapsed="false">
      <c r="A521" s="9" t="str">
        <f aca="false">IF($C521="","",ROW()-3)</f>
        <v/>
      </c>
      <c r="B521" s="76"/>
      <c r="C521" s="74"/>
      <c r="D521" s="43"/>
      <c r="E521" s="42"/>
      <c r="F521" s="74"/>
      <c r="G521" s="74"/>
      <c r="H521" s="44"/>
      <c r="I521" s="44"/>
      <c r="J521" s="103" t="str">
        <f aca="false">IF($C521="","",ROUND(IFERROR(INDEX(期初余额!$I$4:$I$43,MATCH($C521,期初余额!$H$4:$H$43,0)),0)+SUMIFS($H$4:$H521,$C$4:$C521,$C521)-SUMIFS($I$4:$I521,$C$4:$C521,$C521),2))</f>
        <v/>
      </c>
      <c r="K521" s="104" t="str">
        <f aca="false">IF($T521&lt;&gt;"",$T521,IF($C521="","",IF(AND(N($I521)&gt;0,$G521&lt;&gt;""),IF(IFERROR(INDEX(科目表!$U$4:$U$123,MATCH($G521,科目表!$M$4:$M$123,0)),"")&amp;""="","管理费用",INDEX(科目表!$U$4:$U$123,MATCH($G521,科目表!$M$4:$M$123,0))),IF(N($H521)&gt;0,IF(IFERROR(INDEX(自动规则!$C$4:$C$143,MATCH($F521,自动规则!$B$4:$B$143,0)),"")&amp;""="","其他应收款",INDEX(自动规则!$C$4:$C$143,MATCH($F521,自动规则!$B$4:$B$143,0))),IF(IFERROR(INDEX(自动规则!$D$4:$D$143,MATCH($F521,自动规则!$B$4:$B$143,0)),"")&amp;""="","其他应付款",INDEX(自动规则!$D$4:$D$143,MATCH($F521,自动规则!$B$4:$B$143,0)))))))</f>
        <v/>
      </c>
      <c r="L521" s="43"/>
      <c r="M521" s="105" t="str">
        <f aca="false">IF($C521="","",IF(IFERROR(INDEX(科目表!$T$4:$T$123,MATCH($C521,科目表!$K$4:$K$123,0)),"")&amp;""="","其他货币资金",INDEX(科目表!$T$4:$T$123,MATCH($C521,科目表!$K$4:$K$123,0))))</f>
        <v/>
      </c>
      <c r="N521" s="39" t="str">
        <f aca="false">IF(OR($C521="",ROUND(N($H521)+N($I521),2)=0),"",IF(N($H521)&gt;0,$M521,$K521))</f>
        <v/>
      </c>
      <c r="O521" s="41" t="str">
        <f aca="false">IF($N521="","",ROUND(N($H521)+N($I521),2))</f>
        <v/>
      </c>
      <c r="P521" s="41" t="str">
        <f aca="false">IF($N521="","",0)</f>
        <v/>
      </c>
      <c r="Q521" s="39" t="str">
        <f aca="false">IF($N521="","",IF(N($H521)&gt;0,$K521,$M521))</f>
        <v/>
      </c>
      <c r="R521" s="41" t="str">
        <f aca="false">IF($Q521="","",0)</f>
        <v/>
      </c>
      <c r="S521" s="41" t="str">
        <f aca="false">IF($Q521="","",ROUND(N($H521)+N($I521),2))</f>
        <v/>
      </c>
      <c r="T521" s="42"/>
      <c r="U521" s="44"/>
      <c r="V521" s="41" t="str">
        <f aca="false">IF($B521="","",TEXT($B521,"yyyy年m月"))</f>
        <v/>
      </c>
      <c r="W521" s="42"/>
      <c r="X521" s="42"/>
      <c r="Y521" s="9"/>
    </row>
    <row r="522" customFormat="false" ht="18" hidden="false" customHeight="true" outlineLevel="0" collapsed="false">
      <c r="A522" s="9" t="str">
        <f aca="false">IF($C522="","",ROW()-3)</f>
        <v/>
      </c>
      <c r="B522" s="76"/>
      <c r="C522" s="74"/>
      <c r="D522" s="43"/>
      <c r="E522" s="42"/>
      <c r="F522" s="74"/>
      <c r="G522" s="74"/>
      <c r="H522" s="44"/>
      <c r="I522" s="44"/>
      <c r="J522" s="103" t="str">
        <f aca="false">IF($C522="","",ROUND(IFERROR(INDEX(期初余额!$I$4:$I$43,MATCH($C522,期初余额!$H$4:$H$43,0)),0)+SUMIFS($H$4:$H522,$C$4:$C522,$C522)-SUMIFS($I$4:$I522,$C$4:$C522,$C522),2))</f>
        <v/>
      </c>
      <c r="K522" s="104" t="str">
        <f aca="false">IF($T522&lt;&gt;"",$T522,IF($C522="","",IF(AND(N($I522)&gt;0,$G522&lt;&gt;""),IF(IFERROR(INDEX(科目表!$U$4:$U$123,MATCH($G522,科目表!$M$4:$M$123,0)),"")&amp;""="","管理费用",INDEX(科目表!$U$4:$U$123,MATCH($G522,科目表!$M$4:$M$123,0))),IF(N($H522)&gt;0,IF(IFERROR(INDEX(自动规则!$C$4:$C$143,MATCH($F522,自动规则!$B$4:$B$143,0)),"")&amp;""="","其他应收款",INDEX(自动规则!$C$4:$C$143,MATCH($F522,自动规则!$B$4:$B$143,0))),IF(IFERROR(INDEX(自动规则!$D$4:$D$143,MATCH($F522,自动规则!$B$4:$B$143,0)),"")&amp;""="","其他应付款",INDEX(自动规则!$D$4:$D$143,MATCH($F522,自动规则!$B$4:$B$143,0)))))))</f>
        <v/>
      </c>
      <c r="L522" s="43"/>
      <c r="M522" s="105" t="str">
        <f aca="false">IF($C522="","",IF(IFERROR(INDEX(科目表!$T$4:$T$123,MATCH($C522,科目表!$K$4:$K$123,0)),"")&amp;""="","其他货币资金",INDEX(科目表!$T$4:$T$123,MATCH($C522,科目表!$K$4:$K$123,0))))</f>
        <v/>
      </c>
      <c r="N522" s="39" t="str">
        <f aca="false">IF(OR($C522="",ROUND(N($H522)+N($I522),2)=0),"",IF(N($H522)&gt;0,$M522,$K522))</f>
        <v/>
      </c>
      <c r="O522" s="41" t="str">
        <f aca="false">IF($N522="","",ROUND(N($H522)+N($I522),2))</f>
        <v/>
      </c>
      <c r="P522" s="41" t="str">
        <f aca="false">IF($N522="","",0)</f>
        <v/>
      </c>
      <c r="Q522" s="39" t="str">
        <f aca="false">IF($N522="","",IF(N($H522)&gt;0,$K522,$M522))</f>
        <v/>
      </c>
      <c r="R522" s="41" t="str">
        <f aca="false">IF($Q522="","",0)</f>
        <v/>
      </c>
      <c r="S522" s="41" t="str">
        <f aca="false">IF($Q522="","",ROUND(N($H522)+N($I522),2))</f>
        <v/>
      </c>
      <c r="T522" s="42"/>
      <c r="U522" s="44"/>
      <c r="V522" s="41" t="str">
        <f aca="false">IF($B522="","",TEXT($B522,"yyyy年m月"))</f>
        <v/>
      </c>
      <c r="W522" s="42"/>
      <c r="X522" s="42"/>
      <c r="Y522" s="9"/>
    </row>
    <row r="523" customFormat="false" ht="18" hidden="false" customHeight="true" outlineLevel="0" collapsed="false">
      <c r="A523" s="9" t="str">
        <f aca="false">IF($C523="","",ROW()-3)</f>
        <v/>
      </c>
      <c r="B523" s="76"/>
      <c r="C523" s="74"/>
      <c r="D523" s="43"/>
      <c r="E523" s="42"/>
      <c r="F523" s="74"/>
      <c r="G523" s="74"/>
      <c r="H523" s="44"/>
      <c r="I523" s="44"/>
      <c r="J523" s="103" t="str">
        <f aca="false">IF($C523="","",ROUND(IFERROR(INDEX(期初余额!$I$4:$I$43,MATCH($C523,期初余额!$H$4:$H$43,0)),0)+SUMIFS($H$4:$H523,$C$4:$C523,$C523)-SUMIFS($I$4:$I523,$C$4:$C523,$C523),2))</f>
        <v/>
      </c>
      <c r="K523" s="104" t="str">
        <f aca="false">IF($T523&lt;&gt;"",$T523,IF($C523="","",IF(AND(N($I523)&gt;0,$G523&lt;&gt;""),IF(IFERROR(INDEX(科目表!$U$4:$U$123,MATCH($G523,科目表!$M$4:$M$123,0)),"")&amp;""="","管理费用",INDEX(科目表!$U$4:$U$123,MATCH($G523,科目表!$M$4:$M$123,0))),IF(N($H523)&gt;0,IF(IFERROR(INDEX(自动规则!$C$4:$C$143,MATCH($F523,自动规则!$B$4:$B$143,0)),"")&amp;""="","其他应收款",INDEX(自动规则!$C$4:$C$143,MATCH($F523,自动规则!$B$4:$B$143,0))),IF(IFERROR(INDEX(自动规则!$D$4:$D$143,MATCH($F523,自动规则!$B$4:$B$143,0)),"")&amp;""="","其他应付款",INDEX(自动规则!$D$4:$D$143,MATCH($F523,自动规则!$B$4:$B$143,0)))))))</f>
        <v/>
      </c>
      <c r="L523" s="43"/>
      <c r="M523" s="105" t="str">
        <f aca="false">IF($C523="","",IF(IFERROR(INDEX(科目表!$T$4:$T$123,MATCH($C523,科目表!$K$4:$K$123,0)),"")&amp;""="","其他货币资金",INDEX(科目表!$T$4:$T$123,MATCH($C523,科目表!$K$4:$K$123,0))))</f>
        <v/>
      </c>
      <c r="N523" s="39" t="str">
        <f aca="false">IF(OR($C523="",ROUND(N($H523)+N($I523),2)=0),"",IF(N($H523)&gt;0,$M523,$K523))</f>
        <v/>
      </c>
      <c r="O523" s="41" t="str">
        <f aca="false">IF($N523="","",ROUND(N($H523)+N($I523),2))</f>
        <v/>
      </c>
      <c r="P523" s="41" t="str">
        <f aca="false">IF($N523="","",0)</f>
        <v/>
      </c>
      <c r="Q523" s="39" t="str">
        <f aca="false">IF($N523="","",IF(N($H523)&gt;0,$K523,$M523))</f>
        <v/>
      </c>
      <c r="R523" s="41" t="str">
        <f aca="false">IF($Q523="","",0)</f>
        <v/>
      </c>
      <c r="S523" s="41" t="str">
        <f aca="false">IF($Q523="","",ROUND(N($H523)+N($I523),2))</f>
        <v/>
      </c>
      <c r="T523" s="42"/>
      <c r="U523" s="44"/>
      <c r="V523" s="41" t="str">
        <f aca="false">IF($B523="","",TEXT($B523,"yyyy年m月"))</f>
        <v/>
      </c>
      <c r="W523" s="42"/>
      <c r="X523" s="42"/>
      <c r="Y523" s="9"/>
    </row>
    <row r="524" customFormat="false" ht="18" hidden="false" customHeight="true" outlineLevel="0" collapsed="false">
      <c r="A524" s="9" t="str">
        <f aca="false">IF($C524="","",ROW()-3)</f>
        <v/>
      </c>
      <c r="B524" s="76"/>
      <c r="C524" s="74"/>
      <c r="D524" s="43"/>
      <c r="E524" s="42"/>
      <c r="F524" s="74"/>
      <c r="G524" s="74"/>
      <c r="H524" s="44"/>
      <c r="I524" s="44"/>
      <c r="J524" s="103" t="str">
        <f aca="false">IF($C524="","",ROUND(IFERROR(INDEX(期初余额!$I$4:$I$43,MATCH($C524,期初余额!$H$4:$H$43,0)),0)+SUMIFS($H$4:$H524,$C$4:$C524,$C524)-SUMIFS($I$4:$I524,$C$4:$C524,$C524),2))</f>
        <v/>
      </c>
      <c r="K524" s="104" t="str">
        <f aca="false">IF($T524&lt;&gt;"",$T524,IF($C524="","",IF(AND(N($I524)&gt;0,$G524&lt;&gt;""),IF(IFERROR(INDEX(科目表!$U$4:$U$123,MATCH($G524,科目表!$M$4:$M$123,0)),"")&amp;""="","管理费用",INDEX(科目表!$U$4:$U$123,MATCH($G524,科目表!$M$4:$M$123,0))),IF(N($H524)&gt;0,IF(IFERROR(INDEX(自动规则!$C$4:$C$143,MATCH($F524,自动规则!$B$4:$B$143,0)),"")&amp;""="","其他应收款",INDEX(自动规则!$C$4:$C$143,MATCH($F524,自动规则!$B$4:$B$143,0))),IF(IFERROR(INDEX(自动规则!$D$4:$D$143,MATCH($F524,自动规则!$B$4:$B$143,0)),"")&amp;""="","其他应付款",INDEX(自动规则!$D$4:$D$143,MATCH($F524,自动规则!$B$4:$B$143,0)))))))</f>
        <v/>
      </c>
      <c r="L524" s="43"/>
      <c r="M524" s="105" t="str">
        <f aca="false">IF($C524="","",IF(IFERROR(INDEX(科目表!$T$4:$T$123,MATCH($C524,科目表!$K$4:$K$123,0)),"")&amp;""="","其他货币资金",INDEX(科目表!$T$4:$T$123,MATCH($C524,科目表!$K$4:$K$123,0))))</f>
        <v/>
      </c>
      <c r="N524" s="39" t="str">
        <f aca="false">IF(OR($C524="",ROUND(N($H524)+N($I524),2)=0),"",IF(N($H524)&gt;0,$M524,$K524))</f>
        <v/>
      </c>
      <c r="O524" s="41" t="str">
        <f aca="false">IF($N524="","",ROUND(N($H524)+N($I524),2))</f>
        <v/>
      </c>
      <c r="P524" s="41" t="str">
        <f aca="false">IF($N524="","",0)</f>
        <v/>
      </c>
      <c r="Q524" s="39" t="str">
        <f aca="false">IF($N524="","",IF(N($H524)&gt;0,$K524,$M524))</f>
        <v/>
      </c>
      <c r="R524" s="41" t="str">
        <f aca="false">IF($Q524="","",0)</f>
        <v/>
      </c>
      <c r="S524" s="41" t="str">
        <f aca="false">IF($Q524="","",ROUND(N($H524)+N($I524),2))</f>
        <v/>
      </c>
      <c r="T524" s="42"/>
      <c r="U524" s="44"/>
      <c r="V524" s="41" t="str">
        <f aca="false">IF($B524="","",TEXT($B524,"yyyy年m月"))</f>
        <v/>
      </c>
      <c r="W524" s="42"/>
      <c r="X524" s="42"/>
      <c r="Y524" s="9"/>
    </row>
    <row r="525" customFormat="false" ht="18" hidden="false" customHeight="true" outlineLevel="0" collapsed="false">
      <c r="A525" s="9" t="str">
        <f aca="false">IF($C525="","",ROW()-3)</f>
        <v/>
      </c>
      <c r="B525" s="76"/>
      <c r="C525" s="74"/>
      <c r="D525" s="43"/>
      <c r="E525" s="42"/>
      <c r="F525" s="74"/>
      <c r="G525" s="74"/>
      <c r="H525" s="44"/>
      <c r="I525" s="44"/>
      <c r="J525" s="103" t="str">
        <f aca="false">IF($C525="","",ROUND(IFERROR(INDEX(期初余额!$I$4:$I$43,MATCH($C525,期初余额!$H$4:$H$43,0)),0)+SUMIFS($H$4:$H525,$C$4:$C525,$C525)-SUMIFS($I$4:$I525,$C$4:$C525,$C525),2))</f>
        <v/>
      </c>
      <c r="K525" s="104" t="str">
        <f aca="false">IF($T525&lt;&gt;"",$T525,IF($C525="","",IF(AND(N($I525)&gt;0,$G525&lt;&gt;""),IF(IFERROR(INDEX(科目表!$U$4:$U$123,MATCH($G525,科目表!$M$4:$M$123,0)),"")&amp;""="","管理费用",INDEX(科目表!$U$4:$U$123,MATCH($G525,科目表!$M$4:$M$123,0))),IF(N($H525)&gt;0,IF(IFERROR(INDEX(自动规则!$C$4:$C$143,MATCH($F525,自动规则!$B$4:$B$143,0)),"")&amp;""="","其他应收款",INDEX(自动规则!$C$4:$C$143,MATCH($F525,自动规则!$B$4:$B$143,0))),IF(IFERROR(INDEX(自动规则!$D$4:$D$143,MATCH($F525,自动规则!$B$4:$B$143,0)),"")&amp;""="","其他应付款",INDEX(自动规则!$D$4:$D$143,MATCH($F525,自动规则!$B$4:$B$143,0)))))))</f>
        <v/>
      </c>
      <c r="L525" s="43"/>
      <c r="M525" s="105" t="str">
        <f aca="false">IF($C525="","",IF(IFERROR(INDEX(科目表!$T$4:$T$123,MATCH($C525,科目表!$K$4:$K$123,0)),"")&amp;""="","其他货币资金",INDEX(科目表!$T$4:$T$123,MATCH($C525,科目表!$K$4:$K$123,0))))</f>
        <v/>
      </c>
      <c r="N525" s="39" t="str">
        <f aca="false">IF(OR($C525="",ROUND(N($H525)+N($I525),2)=0),"",IF(N($H525)&gt;0,$M525,$K525))</f>
        <v/>
      </c>
      <c r="O525" s="41" t="str">
        <f aca="false">IF($N525="","",ROUND(N($H525)+N($I525),2))</f>
        <v/>
      </c>
      <c r="P525" s="41" t="str">
        <f aca="false">IF($N525="","",0)</f>
        <v/>
      </c>
      <c r="Q525" s="39" t="str">
        <f aca="false">IF($N525="","",IF(N($H525)&gt;0,$K525,$M525))</f>
        <v/>
      </c>
      <c r="R525" s="41" t="str">
        <f aca="false">IF($Q525="","",0)</f>
        <v/>
      </c>
      <c r="S525" s="41" t="str">
        <f aca="false">IF($Q525="","",ROUND(N($H525)+N($I525),2))</f>
        <v/>
      </c>
      <c r="T525" s="42"/>
      <c r="U525" s="44"/>
      <c r="V525" s="41" t="str">
        <f aca="false">IF($B525="","",TEXT($B525,"yyyy年m月"))</f>
        <v/>
      </c>
      <c r="W525" s="42"/>
      <c r="X525" s="42"/>
      <c r="Y525" s="9"/>
    </row>
    <row r="526" customFormat="false" ht="18" hidden="false" customHeight="true" outlineLevel="0" collapsed="false">
      <c r="A526" s="9" t="str">
        <f aca="false">IF($C526="","",ROW()-3)</f>
        <v/>
      </c>
      <c r="B526" s="76"/>
      <c r="C526" s="74"/>
      <c r="D526" s="43"/>
      <c r="E526" s="42"/>
      <c r="F526" s="74"/>
      <c r="G526" s="74"/>
      <c r="H526" s="44"/>
      <c r="I526" s="44"/>
      <c r="J526" s="103" t="str">
        <f aca="false">IF($C526="","",ROUND(IFERROR(INDEX(期初余额!$I$4:$I$43,MATCH($C526,期初余额!$H$4:$H$43,0)),0)+SUMIFS($H$4:$H526,$C$4:$C526,$C526)-SUMIFS($I$4:$I526,$C$4:$C526,$C526),2))</f>
        <v/>
      </c>
      <c r="K526" s="104" t="str">
        <f aca="false">IF($T526&lt;&gt;"",$T526,IF($C526="","",IF(AND(N($I526)&gt;0,$G526&lt;&gt;""),IF(IFERROR(INDEX(科目表!$U$4:$U$123,MATCH($G526,科目表!$M$4:$M$123,0)),"")&amp;""="","管理费用",INDEX(科目表!$U$4:$U$123,MATCH($G526,科目表!$M$4:$M$123,0))),IF(N($H526)&gt;0,IF(IFERROR(INDEX(自动规则!$C$4:$C$143,MATCH($F526,自动规则!$B$4:$B$143,0)),"")&amp;""="","其他应收款",INDEX(自动规则!$C$4:$C$143,MATCH($F526,自动规则!$B$4:$B$143,0))),IF(IFERROR(INDEX(自动规则!$D$4:$D$143,MATCH($F526,自动规则!$B$4:$B$143,0)),"")&amp;""="","其他应付款",INDEX(自动规则!$D$4:$D$143,MATCH($F526,自动规则!$B$4:$B$143,0)))))))</f>
        <v/>
      </c>
      <c r="L526" s="43"/>
      <c r="M526" s="105" t="str">
        <f aca="false">IF($C526="","",IF(IFERROR(INDEX(科目表!$T$4:$T$123,MATCH($C526,科目表!$K$4:$K$123,0)),"")&amp;""="","其他货币资金",INDEX(科目表!$T$4:$T$123,MATCH($C526,科目表!$K$4:$K$123,0))))</f>
        <v/>
      </c>
      <c r="N526" s="39" t="str">
        <f aca="false">IF(OR($C526="",ROUND(N($H526)+N($I526),2)=0),"",IF(N($H526)&gt;0,$M526,$K526))</f>
        <v/>
      </c>
      <c r="O526" s="41" t="str">
        <f aca="false">IF($N526="","",ROUND(N($H526)+N($I526),2))</f>
        <v/>
      </c>
      <c r="P526" s="41" t="str">
        <f aca="false">IF($N526="","",0)</f>
        <v/>
      </c>
      <c r="Q526" s="39" t="str">
        <f aca="false">IF($N526="","",IF(N($H526)&gt;0,$K526,$M526))</f>
        <v/>
      </c>
      <c r="R526" s="41" t="str">
        <f aca="false">IF($Q526="","",0)</f>
        <v/>
      </c>
      <c r="S526" s="41" t="str">
        <f aca="false">IF($Q526="","",ROUND(N($H526)+N($I526),2))</f>
        <v/>
      </c>
      <c r="T526" s="42"/>
      <c r="U526" s="44"/>
      <c r="V526" s="41" t="str">
        <f aca="false">IF($B526="","",TEXT($B526,"yyyy年m月"))</f>
        <v/>
      </c>
      <c r="W526" s="42"/>
      <c r="X526" s="42"/>
      <c r="Y526" s="9"/>
    </row>
    <row r="527" customFormat="false" ht="18" hidden="false" customHeight="true" outlineLevel="0" collapsed="false">
      <c r="A527" s="9" t="str">
        <f aca="false">IF($C527="","",ROW()-3)</f>
        <v/>
      </c>
      <c r="B527" s="76"/>
      <c r="C527" s="74"/>
      <c r="D527" s="43"/>
      <c r="E527" s="42"/>
      <c r="F527" s="74"/>
      <c r="G527" s="74"/>
      <c r="H527" s="44"/>
      <c r="I527" s="44"/>
      <c r="J527" s="103" t="str">
        <f aca="false">IF($C527="","",ROUND(IFERROR(INDEX(期初余额!$I$4:$I$43,MATCH($C527,期初余额!$H$4:$H$43,0)),0)+SUMIFS($H$4:$H527,$C$4:$C527,$C527)-SUMIFS($I$4:$I527,$C$4:$C527,$C527),2))</f>
        <v/>
      </c>
      <c r="K527" s="104" t="str">
        <f aca="false">IF($T527&lt;&gt;"",$T527,IF($C527="","",IF(AND(N($I527)&gt;0,$G527&lt;&gt;""),IF(IFERROR(INDEX(科目表!$U$4:$U$123,MATCH($G527,科目表!$M$4:$M$123,0)),"")&amp;""="","管理费用",INDEX(科目表!$U$4:$U$123,MATCH($G527,科目表!$M$4:$M$123,0))),IF(N($H527)&gt;0,IF(IFERROR(INDEX(自动规则!$C$4:$C$143,MATCH($F527,自动规则!$B$4:$B$143,0)),"")&amp;""="","其他应收款",INDEX(自动规则!$C$4:$C$143,MATCH($F527,自动规则!$B$4:$B$143,0))),IF(IFERROR(INDEX(自动规则!$D$4:$D$143,MATCH($F527,自动规则!$B$4:$B$143,0)),"")&amp;""="","其他应付款",INDEX(自动规则!$D$4:$D$143,MATCH($F527,自动规则!$B$4:$B$143,0)))))))</f>
        <v/>
      </c>
      <c r="L527" s="43"/>
      <c r="M527" s="105" t="str">
        <f aca="false">IF($C527="","",IF(IFERROR(INDEX(科目表!$T$4:$T$123,MATCH($C527,科目表!$K$4:$K$123,0)),"")&amp;""="","其他货币资金",INDEX(科目表!$T$4:$T$123,MATCH($C527,科目表!$K$4:$K$123,0))))</f>
        <v/>
      </c>
      <c r="N527" s="39" t="str">
        <f aca="false">IF(OR($C527="",ROUND(N($H527)+N($I527),2)=0),"",IF(N($H527)&gt;0,$M527,$K527))</f>
        <v/>
      </c>
      <c r="O527" s="41" t="str">
        <f aca="false">IF($N527="","",ROUND(N($H527)+N($I527),2))</f>
        <v/>
      </c>
      <c r="P527" s="41" t="str">
        <f aca="false">IF($N527="","",0)</f>
        <v/>
      </c>
      <c r="Q527" s="39" t="str">
        <f aca="false">IF($N527="","",IF(N($H527)&gt;0,$K527,$M527))</f>
        <v/>
      </c>
      <c r="R527" s="41" t="str">
        <f aca="false">IF($Q527="","",0)</f>
        <v/>
      </c>
      <c r="S527" s="41" t="str">
        <f aca="false">IF($Q527="","",ROUND(N($H527)+N($I527),2))</f>
        <v/>
      </c>
      <c r="T527" s="42"/>
      <c r="U527" s="44"/>
      <c r="V527" s="41" t="str">
        <f aca="false">IF($B527="","",TEXT($B527,"yyyy年m月"))</f>
        <v/>
      </c>
      <c r="W527" s="42"/>
      <c r="X527" s="42"/>
      <c r="Y527" s="9"/>
    </row>
    <row r="528" customFormat="false" ht="18" hidden="false" customHeight="true" outlineLevel="0" collapsed="false">
      <c r="A528" s="9" t="str">
        <f aca="false">IF($C528="","",ROW()-3)</f>
        <v/>
      </c>
      <c r="B528" s="76"/>
      <c r="C528" s="74"/>
      <c r="D528" s="43"/>
      <c r="E528" s="42"/>
      <c r="F528" s="74"/>
      <c r="G528" s="74"/>
      <c r="H528" s="44"/>
      <c r="I528" s="44"/>
      <c r="J528" s="103" t="str">
        <f aca="false">IF($C528="","",ROUND(IFERROR(INDEX(期初余额!$I$4:$I$43,MATCH($C528,期初余额!$H$4:$H$43,0)),0)+SUMIFS($H$4:$H528,$C$4:$C528,$C528)-SUMIFS($I$4:$I528,$C$4:$C528,$C528),2))</f>
        <v/>
      </c>
      <c r="K528" s="104" t="str">
        <f aca="false">IF($T528&lt;&gt;"",$T528,IF($C528="","",IF(AND(N($I528)&gt;0,$G528&lt;&gt;""),IF(IFERROR(INDEX(科目表!$U$4:$U$123,MATCH($G528,科目表!$M$4:$M$123,0)),"")&amp;""="","管理费用",INDEX(科目表!$U$4:$U$123,MATCH($G528,科目表!$M$4:$M$123,0))),IF(N($H528)&gt;0,IF(IFERROR(INDEX(自动规则!$C$4:$C$143,MATCH($F528,自动规则!$B$4:$B$143,0)),"")&amp;""="","其他应收款",INDEX(自动规则!$C$4:$C$143,MATCH($F528,自动规则!$B$4:$B$143,0))),IF(IFERROR(INDEX(自动规则!$D$4:$D$143,MATCH($F528,自动规则!$B$4:$B$143,0)),"")&amp;""="","其他应付款",INDEX(自动规则!$D$4:$D$143,MATCH($F528,自动规则!$B$4:$B$143,0)))))))</f>
        <v/>
      </c>
      <c r="L528" s="43"/>
      <c r="M528" s="105" t="str">
        <f aca="false">IF($C528="","",IF(IFERROR(INDEX(科目表!$T$4:$T$123,MATCH($C528,科目表!$K$4:$K$123,0)),"")&amp;""="","其他货币资金",INDEX(科目表!$T$4:$T$123,MATCH($C528,科目表!$K$4:$K$123,0))))</f>
        <v/>
      </c>
      <c r="N528" s="39" t="str">
        <f aca="false">IF(OR($C528="",ROUND(N($H528)+N($I528),2)=0),"",IF(N($H528)&gt;0,$M528,$K528))</f>
        <v/>
      </c>
      <c r="O528" s="41" t="str">
        <f aca="false">IF($N528="","",ROUND(N($H528)+N($I528),2))</f>
        <v/>
      </c>
      <c r="P528" s="41" t="str">
        <f aca="false">IF($N528="","",0)</f>
        <v/>
      </c>
      <c r="Q528" s="39" t="str">
        <f aca="false">IF($N528="","",IF(N($H528)&gt;0,$K528,$M528))</f>
        <v/>
      </c>
      <c r="R528" s="41" t="str">
        <f aca="false">IF($Q528="","",0)</f>
        <v/>
      </c>
      <c r="S528" s="41" t="str">
        <f aca="false">IF($Q528="","",ROUND(N($H528)+N($I528),2))</f>
        <v/>
      </c>
      <c r="T528" s="42"/>
      <c r="U528" s="44"/>
      <c r="V528" s="41" t="str">
        <f aca="false">IF($B528="","",TEXT($B528,"yyyy年m月"))</f>
        <v/>
      </c>
      <c r="W528" s="42"/>
      <c r="X528" s="42"/>
      <c r="Y528" s="9"/>
    </row>
    <row r="529" customFormat="false" ht="18" hidden="false" customHeight="true" outlineLevel="0" collapsed="false">
      <c r="A529" s="9" t="str">
        <f aca="false">IF($C529="","",ROW()-3)</f>
        <v/>
      </c>
      <c r="B529" s="76"/>
      <c r="C529" s="74"/>
      <c r="D529" s="43"/>
      <c r="E529" s="42"/>
      <c r="F529" s="74"/>
      <c r="G529" s="74"/>
      <c r="H529" s="44"/>
      <c r="I529" s="44"/>
      <c r="J529" s="103" t="str">
        <f aca="false">IF($C529="","",ROUND(IFERROR(INDEX(期初余额!$I$4:$I$43,MATCH($C529,期初余额!$H$4:$H$43,0)),0)+SUMIFS($H$4:$H529,$C$4:$C529,$C529)-SUMIFS($I$4:$I529,$C$4:$C529,$C529),2))</f>
        <v/>
      </c>
      <c r="K529" s="104" t="str">
        <f aca="false">IF($T529&lt;&gt;"",$T529,IF($C529="","",IF(AND(N($I529)&gt;0,$G529&lt;&gt;""),IF(IFERROR(INDEX(科目表!$U$4:$U$123,MATCH($G529,科目表!$M$4:$M$123,0)),"")&amp;""="","管理费用",INDEX(科目表!$U$4:$U$123,MATCH($G529,科目表!$M$4:$M$123,0))),IF(N($H529)&gt;0,IF(IFERROR(INDEX(自动规则!$C$4:$C$143,MATCH($F529,自动规则!$B$4:$B$143,0)),"")&amp;""="","其他应收款",INDEX(自动规则!$C$4:$C$143,MATCH($F529,自动规则!$B$4:$B$143,0))),IF(IFERROR(INDEX(自动规则!$D$4:$D$143,MATCH($F529,自动规则!$B$4:$B$143,0)),"")&amp;""="","其他应付款",INDEX(自动规则!$D$4:$D$143,MATCH($F529,自动规则!$B$4:$B$143,0)))))))</f>
        <v/>
      </c>
      <c r="L529" s="43"/>
      <c r="M529" s="105" t="str">
        <f aca="false">IF($C529="","",IF(IFERROR(INDEX(科目表!$T$4:$T$123,MATCH($C529,科目表!$K$4:$K$123,0)),"")&amp;""="","其他货币资金",INDEX(科目表!$T$4:$T$123,MATCH($C529,科目表!$K$4:$K$123,0))))</f>
        <v/>
      </c>
      <c r="N529" s="39" t="str">
        <f aca="false">IF(OR($C529="",ROUND(N($H529)+N($I529),2)=0),"",IF(N($H529)&gt;0,$M529,$K529))</f>
        <v/>
      </c>
      <c r="O529" s="41" t="str">
        <f aca="false">IF($N529="","",ROUND(N($H529)+N($I529),2))</f>
        <v/>
      </c>
      <c r="P529" s="41" t="str">
        <f aca="false">IF($N529="","",0)</f>
        <v/>
      </c>
      <c r="Q529" s="39" t="str">
        <f aca="false">IF($N529="","",IF(N($H529)&gt;0,$K529,$M529))</f>
        <v/>
      </c>
      <c r="R529" s="41" t="str">
        <f aca="false">IF($Q529="","",0)</f>
        <v/>
      </c>
      <c r="S529" s="41" t="str">
        <f aca="false">IF($Q529="","",ROUND(N($H529)+N($I529),2))</f>
        <v/>
      </c>
      <c r="T529" s="42"/>
      <c r="U529" s="44"/>
      <c r="V529" s="41" t="str">
        <f aca="false">IF($B529="","",TEXT($B529,"yyyy年m月"))</f>
        <v/>
      </c>
      <c r="W529" s="42"/>
      <c r="X529" s="42"/>
      <c r="Y529" s="9"/>
    </row>
    <row r="530" customFormat="false" ht="18" hidden="false" customHeight="true" outlineLevel="0" collapsed="false">
      <c r="A530" s="9" t="str">
        <f aca="false">IF($C530="","",ROW()-3)</f>
        <v/>
      </c>
      <c r="B530" s="76"/>
      <c r="C530" s="74"/>
      <c r="D530" s="43"/>
      <c r="E530" s="42"/>
      <c r="F530" s="74"/>
      <c r="G530" s="74"/>
      <c r="H530" s="44"/>
      <c r="I530" s="44"/>
      <c r="J530" s="103" t="str">
        <f aca="false">IF($C530="","",ROUND(IFERROR(INDEX(期初余额!$I$4:$I$43,MATCH($C530,期初余额!$H$4:$H$43,0)),0)+SUMIFS($H$4:$H530,$C$4:$C530,$C530)-SUMIFS($I$4:$I530,$C$4:$C530,$C530),2))</f>
        <v/>
      </c>
      <c r="K530" s="104" t="str">
        <f aca="false">IF($T530&lt;&gt;"",$T530,IF($C530="","",IF(AND(N($I530)&gt;0,$G530&lt;&gt;""),IF(IFERROR(INDEX(科目表!$U$4:$U$123,MATCH($G530,科目表!$M$4:$M$123,0)),"")&amp;""="","管理费用",INDEX(科目表!$U$4:$U$123,MATCH($G530,科目表!$M$4:$M$123,0))),IF(N($H530)&gt;0,IF(IFERROR(INDEX(自动规则!$C$4:$C$143,MATCH($F530,自动规则!$B$4:$B$143,0)),"")&amp;""="","其他应收款",INDEX(自动规则!$C$4:$C$143,MATCH($F530,自动规则!$B$4:$B$143,0))),IF(IFERROR(INDEX(自动规则!$D$4:$D$143,MATCH($F530,自动规则!$B$4:$B$143,0)),"")&amp;""="","其他应付款",INDEX(自动规则!$D$4:$D$143,MATCH($F530,自动规则!$B$4:$B$143,0)))))))</f>
        <v/>
      </c>
      <c r="L530" s="43"/>
      <c r="M530" s="105" t="str">
        <f aca="false">IF($C530="","",IF(IFERROR(INDEX(科目表!$T$4:$T$123,MATCH($C530,科目表!$K$4:$K$123,0)),"")&amp;""="","其他货币资金",INDEX(科目表!$T$4:$T$123,MATCH($C530,科目表!$K$4:$K$123,0))))</f>
        <v/>
      </c>
      <c r="N530" s="39" t="str">
        <f aca="false">IF(OR($C530="",ROUND(N($H530)+N($I530),2)=0),"",IF(N($H530)&gt;0,$M530,$K530))</f>
        <v/>
      </c>
      <c r="O530" s="41" t="str">
        <f aca="false">IF($N530="","",ROUND(N($H530)+N($I530),2))</f>
        <v/>
      </c>
      <c r="P530" s="41" t="str">
        <f aca="false">IF($N530="","",0)</f>
        <v/>
      </c>
      <c r="Q530" s="39" t="str">
        <f aca="false">IF($N530="","",IF(N($H530)&gt;0,$K530,$M530))</f>
        <v/>
      </c>
      <c r="R530" s="41" t="str">
        <f aca="false">IF($Q530="","",0)</f>
        <v/>
      </c>
      <c r="S530" s="41" t="str">
        <f aca="false">IF($Q530="","",ROUND(N($H530)+N($I530),2))</f>
        <v/>
      </c>
      <c r="T530" s="42"/>
      <c r="U530" s="44"/>
      <c r="V530" s="41" t="str">
        <f aca="false">IF($B530="","",TEXT($B530,"yyyy年m月"))</f>
        <v/>
      </c>
      <c r="W530" s="42"/>
      <c r="X530" s="42"/>
      <c r="Y530" s="9"/>
    </row>
    <row r="531" customFormat="false" ht="18" hidden="false" customHeight="true" outlineLevel="0" collapsed="false">
      <c r="A531" s="9" t="str">
        <f aca="false">IF($C531="","",ROW()-3)</f>
        <v/>
      </c>
      <c r="B531" s="76"/>
      <c r="C531" s="74"/>
      <c r="D531" s="43"/>
      <c r="E531" s="42"/>
      <c r="F531" s="74"/>
      <c r="G531" s="74"/>
      <c r="H531" s="44"/>
      <c r="I531" s="44"/>
      <c r="J531" s="103" t="str">
        <f aca="false">IF($C531="","",ROUND(IFERROR(INDEX(期初余额!$I$4:$I$43,MATCH($C531,期初余额!$H$4:$H$43,0)),0)+SUMIFS($H$4:$H531,$C$4:$C531,$C531)-SUMIFS($I$4:$I531,$C$4:$C531,$C531),2))</f>
        <v/>
      </c>
      <c r="K531" s="104" t="str">
        <f aca="false">IF($T531&lt;&gt;"",$T531,IF($C531="","",IF(AND(N($I531)&gt;0,$G531&lt;&gt;""),IF(IFERROR(INDEX(科目表!$U$4:$U$123,MATCH($G531,科目表!$M$4:$M$123,0)),"")&amp;""="","管理费用",INDEX(科目表!$U$4:$U$123,MATCH($G531,科目表!$M$4:$M$123,0))),IF(N($H531)&gt;0,IF(IFERROR(INDEX(自动规则!$C$4:$C$143,MATCH($F531,自动规则!$B$4:$B$143,0)),"")&amp;""="","其他应收款",INDEX(自动规则!$C$4:$C$143,MATCH($F531,自动规则!$B$4:$B$143,0))),IF(IFERROR(INDEX(自动规则!$D$4:$D$143,MATCH($F531,自动规则!$B$4:$B$143,0)),"")&amp;""="","其他应付款",INDEX(自动规则!$D$4:$D$143,MATCH($F531,自动规则!$B$4:$B$143,0)))))))</f>
        <v/>
      </c>
      <c r="L531" s="43"/>
      <c r="M531" s="105" t="str">
        <f aca="false">IF($C531="","",IF(IFERROR(INDEX(科目表!$T$4:$T$123,MATCH($C531,科目表!$K$4:$K$123,0)),"")&amp;""="","其他货币资金",INDEX(科目表!$T$4:$T$123,MATCH($C531,科目表!$K$4:$K$123,0))))</f>
        <v/>
      </c>
      <c r="N531" s="39" t="str">
        <f aca="false">IF(OR($C531="",ROUND(N($H531)+N($I531),2)=0),"",IF(N($H531)&gt;0,$M531,$K531))</f>
        <v/>
      </c>
      <c r="O531" s="41" t="str">
        <f aca="false">IF($N531="","",ROUND(N($H531)+N($I531),2))</f>
        <v/>
      </c>
      <c r="P531" s="41" t="str">
        <f aca="false">IF($N531="","",0)</f>
        <v/>
      </c>
      <c r="Q531" s="39" t="str">
        <f aca="false">IF($N531="","",IF(N($H531)&gt;0,$K531,$M531))</f>
        <v/>
      </c>
      <c r="R531" s="41" t="str">
        <f aca="false">IF($Q531="","",0)</f>
        <v/>
      </c>
      <c r="S531" s="41" t="str">
        <f aca="false">IF($Q531="","",ROUND(N($H531)+N($I531),2))</f>
        <v/>
      </c>
      <c r="T531" s="42"/>
      <c r="U531" s="44"/>
      <c r="V531" s="41" t="str">
        <f aca="false">IF($B531="","",TEXT($B531,"yyyy年m月"))</f>
        <v/>
      </c>
      <c r="W531" s="42"/>
      <c r="X531" s="42"/>
      <c r="Y531" s="9"/>
    </row>
    <row r="532" customFormat="false" ht="18" hidden="false" customHeight="true" outlineLevel="0" collapsed="false">
      <c r="A532" s="9" t="str">
        <f aca="false">IF($C532="","",ROW()-3)</f>
        <v/>
      </c>
      <c r="B532" s="76"/>
      <c r="C532" s="74"/>
      <c r="D532" s="43"/>
      <c r="E532" s="42"/>
      <c r="F532" s="74"/>
      <c r="G532" s="74"/>
      <c r="H532" s="44"/>
      <c r="I532" s="44"/>
      <c r="J532" s="103" t="str">
        <f aca="false">IF($C532="","",ROUND(IFERROR(INDEX(期初余额!$I$4:$I$43,MATCH($C532,期初余额!$H$4:$H$43,0)),0)+SUMIFS($H$4:$H532,$C$4:$C532,$C532)-SUMIFS($I$4:$I532,$C$4:$C532,$C532),2))</f>
        <v/>
      </c>
      <c r="K532" s="104" t="str">
        <f aca="false">IF($T532&lt;&gt;"",$T532,IF($C532="","",IF(AND(N($I532)&gt;0,$G532&lt;&gt;""),IF(IFERROR(INDEX(科目表!$U$4:$U$123,MATCH($G532,科目表!$M$4:$M$123,0)),"")&amp;""="","管理费用",INDEX(科目表!$U$4:$U$123,MATCH($G532,科目表!$M$4:$M$123,0))),IF(N($H532)&gt;0,IF(IFERROR(INDEX(自动规则!$C$4:$C$143,MATCH($F532,自动规则!$B$4:$B$143,0)),"")&amp;""="","其他应收款",INDEX(自动规则!$C$4:$C$143,MATCH($F532,自动规则!$B$4:$B$143,0))),IF(IFERROR(INDEX(自动规则!$D$4:$D$143,MATCH($F532,自动规则!$B$4:$B$143,0)),"")&amp;""="","其他应付款",INDEX(自动规则!$D$4:$D$143,MATCH($F532,自动规则!$B$4:$B$143,0)))))))</f>
        <v/>
      </c>
      <c r="L532" s="43"/>
      <c r="M532" s="105" t="str">
        <f aca="false">IF($C532="","",IF(IFERROR(INDEX(科目表!$T$4:$T$123,MATCH($C532,科目表!$K$4:$K$123,0)),"")&amp;""="","其他货币资金",INDEX(科目表!$T$4:$T$123,MATCH($C532,科目表!$K$4:$K$123,0))))</f>
        <v/>
      </c>
      <c r="N532" s="39" t="str">
        <f aca="false">IF(OR($C532="",ROUND(N($H532)+N($I532),2)=0),"",IF(N($H532)&gt;0,$M532,$K532))</f>
        <v/>
      </c>
      <c r="O532" s="41" t="str">
        <f aca="false">IF($N532="","",ROUND(N($H532)+N($I532),2))</f>
        <v/>
      </c>
      <c r="P532" s="41" t="str">
        <f aca="false">IF($N532="","",0)</f>
        <v/>
      </c>
      <c r="Q532" s="39" t="str">
        <f aca="false">IF($N532="","",IF(N($H532)&gt;0,$K532,$M532))</f>
        <v/>
      </c>
      <c r="R532" s="41" t="str">
        <f aca="false">IF($Q532="","",0)</f>
        <v/>
      </c>
      <c r="S532" s="41" t="str">
        <f aca="false">IF($Q532="","",ROUND(N($H532)+N($I532),2))</f>
        <v/>
      </c>
      <c r="T532" s="42"/>
      <c r="U532" s="44"/>
      <c r="V532" s="41" t="str">
        <f aca="false">IF($B532="","",TEXT($B532,"yyyy年m月"))</f>
        <v/>
      </c>
      <c r="W532" s="42"/>
      <c r="X532" s="42"/>
      <c r="Y532" s="9"/>
    </row>
    <row r="533" customFormat="false" ht="18" hidden="false" customHeight="true" outlineLevel="0" collapsed="false">
      <c r="A533" s="9" t="str">
        <f aca="false">IF($C533="","",ROW()-3)</f>
        <v/>
      </c>
      <c r="B533" s="76"/>
      <c r="C533" s="74"/>
      <c r="D533" s="43"/>
      <c r="E533" s="42"/>
      <c r="F533" s="74"/>
      <c r="G533" s="74"/>
      <c r="H533" s="44"/>
      <c r="I533" s="44"/>
      <c r="J533" s="103" t="str">
        <f aca="false">IF($C533="","",ROUND(IFERROR(INDEX(期初余额!$I$4:$I$43,MATCH($C533,期初余额!$H$4:$H$43,0)),0)+SUMIFS($H$4:$H533,$C$4:$C533,$C533)-SUMIFS($I$4:$I533,$C$4:$C533,$C533),2))</f>
        <v/>
      </c>
      <c r="K533" s="104" t="str">
        <f aca="false">IF($T533&lt;&gt;"",$T533,IF($C533="","",IF(AND(N($I533)&gt;0,$G533&lt;&gt;""),IF(IFERROR(INDEX(科目表!$U$4:$U$123,MATCH($G533,科目表!$M$4:$M$123,0)),"")&amp;""="","管理费用",INDEX(科目表!$U$4:$U$123,MATCH($G533,科目表!$M$4:$M$123,0))),IF(N($H533)&gt;0,IF(IFERROR(INDEX(自动规则!$C$4:$C$143,MATCH($F533,自动规则!$B$4:$B$143,0)),"")&amp;""="","其他应收款",INDEX(自动规则!$C$4:$C$143,MATCH($F533,自动规则!$B$4:$B$143,0))),IF(IFERROR(INDEX(自动规则!$D$4:$D$143,MATCH($F533,自动规则!$B$4:$B$143,0)),"")&amp;""="","其他应付款",INDEX(自动规则!$D$4:$D$143,MATCH($F533,自动规则!$B$4:$B$143,0)))))))</f>
        <v/>
      </c>
      <c r="L533" s="43"/>
      <c r="M533" s="105" t="str">
        <f aca="false">IF($C533="","",IF(IFERROR(INDEX(科目表!$T$4:$T$123,MATCH($C533,科目表!$K$4:$K$123,0)),"")&amp;""="","其他货币资金",INDEX(科目表!$T$4:$T$123,MATCH($C533,科目表!$K$4:$K$123,0))))</f>
        <v/>
      </c>
      <c r="N533" s="39" t="str">
        <f aca="false">IF(OR($C533="",ROUND(N($H533)+N($I533),2)=0),"",IF(N($H533)&gt;0,$M533,$K533))</f>
        <v/>
      </c>
      <c r="O533" s="41" t="str">
        <f aca="false">IF($N533="","",ROUND(N($H533)+N($I533),2))</f>
        <v/>
      </c>
      <c r="P533" s="41" t="str">
        <f aca="false">IF($N533="","",0)</f>
        <v/>
      </c>
      <c r="Q533" s="39" t="str">
        <f aca="false">IF($N533="","",IF(N($H533)&gt;0,$K533,$M533))</f>
        <v/>
      </c>
      <c r="R533" s="41" t="str">
        <f aca="false">IF($Q533="","",0)</f>
        <v/>
      </c>
      <c r="S533" s="41" t="str">
        <f aca="false">IF($Q533="","",ROUND(N($H533)+N($I533),2))</f>
        <v/>
      </c>
      <c r="T533" s="42"/>
      <c r="U533" s="44"/>
      <c r="V533" s="41" t="str">
        <f aca="false">IF($B533="","",TEXT($B533,"yyyy年m月"))</f>
        <v/>
      </c>
      <c r="W533" s="42"/>
      <c r="X533" s="42"/>
      <c r="Y533" s="9"/>
    </row>
    <row r="534" customFormat="false" ht="18" hidden="false" customHeight="true" outlineLevel="0" collapsed="false">
      <c r="A534" s="9" t="str">
        <f aca="false">IF($C534="","",ROW()-3)</f>
        <v/>
      </c>
      <c r="B534" s="76"/>
      <c r="C534" s="74"/>
      <c r="D534" s="43"/>
      <c r="E534" s="42"/>
      <c r="F534" s="74"/>
      <c r="G534" s="74"/>
      <c r="H534" s="44"/>
      <c r="I534" s="44"/>
      <c r="J534" s="103" t="str">
        <f aca="false">IF($C534="","",ROUND(IFERROR(INDEX(期初余额!$I$4:$I$43,MATCH($C534,期初余额!$H$4:$H$43,0)),0)+SUMIFS($H$4:$H534,$C$4:$C534,$C534)-SUMIFS($I$4:$I534,$C$4:$C534,$C534),2))</f>
        <v/>
      </c>
      <c r="K534" s="104" t="str">
        <f aca="false">IF($T534&lt;&gt;"",$T534,IF($C534="","",IF(AND(N($I534)&gt;0,$G534&lt;&gt;""),IF(IFERROR(INDEX(科目表!$U$4:$U$123,MATCH($G534,科目表!$M$4:$M$123,0)),"")&amp;""="","管理费用",INDEX(科目表!$U$4:$U$123,MATCH($G534,科目表!$M$4:$M$123,0))),IF(N($H534)&gt;0,IF(IFERROR(INDEX(自动规则!$C$4:$C$143,MATCH($F534,自动规则!$B$4:$B$143,0)),"")&amp;""="","其他应收款",INDEX(自动规则!$C$4:$C$143,MATCH($F534,自动规则!$B$4:$B$143,0))),IF(IFERROR(INDEX(自动规则!$D$4:$D$143,MATCH($F534,自动规则!$B$4:$B$143,0)),"")&amp;""="","其他应付款",INDEX(自动规则!$D$4:$D$143,MATCH($F534,自动规则!$B$4:$B$143,0)))))))</f>
        <v/>
      </c>
      <c r="L534" s="43"/>
      <c r="M534" s="105" t="str">
        <f aca="false">IF($C534="","",IF(IFERROR(INDEX(科目表!$T$4:$T$123,MATCH($C534,科目表!$K$4:$K$123,0)),"")&amp;""="","其他货币资金",INDEX(科目表!$T$4:$T$123,MATCH($C534,科目表!$K$4:$K$123,0))))</f>
        <v/>
      </c>
      <c r="N534" s="39" t="str">
        <f aca="false">IF(OR($C534="",ROUND(N($H534)+N($I534),2)=0),"",IF(N($H534)&gt;0,$M534,$K534))</f>
        <v/>
      </c>
      <c r="O534" s="41" t="str">
        <f aca="false">IF($N534="","",ROUND(N($H534)+N($I534),2))</f>
        <v/>
      </c>
      <c r="P534" s="41" t="str">
        <f aca="false">IF($N534="","",0)</f>
        <v/>
      </c>
      <c r="Q534" s="39" t="str">
        <f aca="false">IF($N534="","",IF(N($H534)&gt;0,$K534,$M534))</f>
        <v/>
      </c>
      <c r="R534" s="41" t="str">
        <f aca="false">IF($Q534="","",0)</f>
        <v/>
      </c>
      <c r="S534" s="41" t="str">
        <f aca="false">IF($Q534="","",ROUND(N($H534)+N($I534),2))</f>
        <v/>
      </c>
      <c r="T534" s="42"/>
      <c r="U534" s="44"/>
      <c r="V534" s="41" t="str">
        <f aca="false">IF($B534="","",TEXT($B534,"yyyy年m月"))</f>
        <v/>
      </c>
      <c r="W534" s="42"/>
      <c r="X534" s="42"/>
      <c r="Y534" s="9"/>
    </row>
    <row r="535" customFormat="false" ht="18" hidden="false" customHeight="true" outlineLevel="0" collapsed="false">
      <c r="A535" s="9" t="str">
        <f aca="false">IF($C535="","",ROW()-3)</f>
        <v/>
      </c>
      <c r="B535" s="76"/>
      <c r="C535" s="74"/>
      <c r="D535" s="43"/>
      <c r="E535" s="42"/>
      <c r="F535" s="74"/>
      <c r="G535" s="74"/>
      <c r="H535" s="44"/>
      <c r="I535" s="44"/>
      <c r="J535" s="103" t="str">
        <f aca="false">IF($C535="","",ROUND(IFERROR(INDEX(期初余额!$I$4:$I$43,MATCH($C535,期初余额!$H$4:$H$43,0)),0)+SUMIFS($H$4:$H535,$C$4:$C535,$C535)-SUMIFS($I$4:$I535,$C$4:$C535,$C535),2))</f>
        <v/>
      </c>
      <c r="K535" s="104" t="str">
        <f aca="false">IF($T535&lt;&gt;"",$T535,IF($C535="","",IF(AND(N($I535)&gt;0,$G535&lt;&gt;""),IF(IFERROR(INDEX(科目表!$U$4:$U$123,MATCH($G535,科目表!$M$4:$M$123,0)),"")&amp;""="","管理费用",INDEX(科目表!$U$4:$U$123,MATCH($G535,科目表!$M$4:$M$123,0))),IF(N($H535)&gt;0,IF(IFERROR(INDEX(自动规则!$C$4:$C$143,MATCH($F535,自动规则!$B$4:$B$143,0)),"")&amp;""="","其他应收款",INDEX(自动规则!$C$4:$C$143,MATCH($F535,自动规则!$B$4:$B$143,0))),IF(IFERROR(INDEX(自动规则!$D$4:$D$143,MATCH($F535,自动规则!$B$4:$B$143,0)),"")&amp;""="","其他应付款",INDEX(自动规则!$D$4:$D$143,MATCH($F535,自动规则!$B$4:$B$143,0)))))))</f>
        <v/>
      </c>
      <c r="L535" s="43"/>
      <c r="M535" s="105" t="str">
        <f aca="false">IF($C535="","",IF(IFERROR(INDEX(科目表!$T$4:$T$123,MATCH($C535,科目表!$K$4:$K$123,0)),"")&amp;""="","其他货币资金",INDEX(科目表!$T$4:$T$123,MATCH($C535,科目表!$K$4:$K$123,0))))</f>
        <v/>
      </c>
      <c r="N535" s="39" t="str">
        <f aca="false">IF(OR($C535="",ROUND(N($H535)+N($I535),2)=0),"",IF(N($H535)&gt;0,$M535,$K535))</f>
        <v/>
      </c>
      <c r="O535" s="41" t="str">
        <f aca="false">IF($N535="","",ROUND(N($H535)+N($I535),2))</f>
        <v/>
      </c>
      <c r="P535" s="41" t="str">
        <f aca="false">IF($N535="","",0)</f>
        <v/>
      </c>
      <c r="Q535" s="39" t="str">
        <f aca="false">IF($N535="","",IF(N($H535)&gt;0,$K535,$M535))</f>
        <v/>
      </c>
      <c r="R535" s="41" t="str">
        <f aca="false">IF($Q535="","",0)</f>
        <v/>
      </c>
      <c r="S535" s="41" t="str">
        <f aca="false">IF($Q535="","",ROUND(N($H535)+N($I535),2))</f>
        <v/>
      </c>
      <c r="T535" s="42"/>
      <c r="U535" s="44"/>
      <c r="V535" s="41" t="str">
        <f aca="false">IF($B535="","",TEXT($B535,"yyyy年m月"))</f>
        <v/>
      </c>
      <c r="W535" s="42"/>
      <c r="X535" s="42"/>
      <c r="Y535" s="9"/>
    </row>
    <row r="536" customFormat="false" ht="18" hidden="false" customHeight="true" outlineLevel="0" collapsed="false">
      <c r="A536" s="9" t="str">
        <f aca="false">IF($C536="","",ROW()-3)</f>
        <v/>
      </c>
      <c r="B536" s="76"/>
      <c r="C536" s="74"/>
      <c r="D536" s="43"/>
      <c r="E536" s="42"/>
      <c r="F536" s="74"/>
      <c r="G536" s="74"/>
      <c r="H536" s="44"/>
      <c r="I536" s="44"/>
      <c r="J536" s="103" t="str">
        <f aca="false">IF($C536="","",ROUND(IFERROR(INDEX(期初余额!$I$4:$I$43,MATCH($C536,期初余额!$H$4:$H$43,0)),0)+SUMIFS($H$4:$H536,$C$4:$C536,$C536)-SUMIFS($I$4:$I536,$C$4:$C536,$C536),2))</f>
        <v/>
      </c>
      <c r="K536" s="104" t="str">
        <f aca="false">IF($T536&lt;&gt;"",$T536,IF($C536="","",IF(AND(N($I536)&gt;0,$G536&lt;&gt;""),IF(IFERROR(INDEX(科目表!$U$4:$U$123,MATCH($G536,科目表!$M$4:$M$123,0)),"")&amp;""="","管理费用",INDEX(科目表!$U$4:$U$123,MATCH($G536,科目表!$M$4:$M$123,0))),IF(N($H536)&gt;0,IF(IFERROR(INDEX(自动规则!$C$4:$C$143,MATCH($F536,自动规则!$B$4:$B$143,0)),"")&amp;""="","其他应收款",INDEX(自动规则!$C$4:$C$143,MATCH($F536,自动规则!$B$4:$B$143,0))),IF(IFERROR(INDEX(自动规则!$D$4:$D$143,MATCH($F536,自动规则!$B$4:$B$143,0)),"")&amp;""="","其他应付款",INDEX(自动规则!$D$4:$D$143,MATCH($F536,自动规则!$B$4:$B$143,0)))))))</f>
        <v/>
      </c>
      <c r="L536" s="43"/>
      <c r="M536" s="105" t="str">
        <f aca="false">IF($C536="","",IF(IFERROR(INDEX(科目表!$T$4:$T$123,MATCH($C536,科目表!$K$4:$K$123,0)),"")&amp;""="","其他货币资金",INDEX(科目表!$T$4:$T$123,MATCH($C536,科目表!$K$4:$K$123,0))))</f>
        <v/>
      </c>
      <c r="N536" s="39" t="str">
        <f aca="false">IF(OR($C536="",ROUND(N($H536)+N($I536),2)=0),"",IF(N($H536)&gt;0,$M536,$K536))</f>
        <v/>
      </c>
      <c r="O536" s="41" t="str">
        <f aca="false">IF($N536="","",ROUND(N($H536)+N($I536),2))</f>
        <v/>
      </c>
      <c r="P536" s="41" t="str">
        <f aca="false">IF($N536="","",0)</f>
        <v/>
      </c>
      <c r="Q536" s="39" t="str">
        <f aca="false">IF($N536="","",IF(N($H536)&gt;0,$K536,$M536))</f>
        <v/>
      </c>
      <c r="R536" s="41" t="str">
        <f aca="false">IF($Q536="","",0)</f>
        <v/>
      </c>
      <c r="S536" s="41" t="str">
        <f aca="false">IF($Q536="","",ROUND(N($H536)+N($I536),2))</f>
        <v/>
      </c>
      <c r="T536" s="42"/>
      <c r="U536" s="44"/>
      <c r="V536" s="41" t="str">
        <f aca="false">IF($B536="","",TEXT($B536,"yyyy年m月"))</f>
        <v/>
      </c>
      <c r="W536" s="42"/>
      <c r="X536" s="42"/>
      <c r="Y536" s="9"/>
    </row>
    <row r="537" customFormat="false" ht="18" hidden="false" customHeight="true" outlineLevel="0" collapsed="false">
      <c r="A537" s="9" t="str">
        <f aca="false">IF($C537="","",ROW()-3)</f>
        <v/>
      </c>
      <c r="B537" s="76"/>
      <c r="C537" s="74"/>
      <c r="D537" s="43"/>
      <c r="E537" s="42"/>
      <c r="F537" s="74"/>
      <c r="G537" s="74"/>
      <c r="H537" s="44"/>
      <c r="I537" s="44"/>
      <c r="J537" s="103" t="str">
        <f aca="false">IF($C537="","",ROUND(IFERROR(INDEX(期初余额!$I$4:$I$43,MATCH($C537,期初余额!$H$4:$H$43,0)),0)+SUMIFS($H$4:$H537,$C$4:$C537,$C537)-SUMIFS($I$4:$I537,$C$4:$C537,$C537),2))</f>
        <v/>
      </c>
      <c r="K537" s="104" t="str">
        <f aca="false">IF($T537&lt;&gt;"",$T537,IF($C537="","",IF(AND(N($I537)&gt;0,$G537&lt;&gt;""),IF(IFERROR(INDEX(科目表!$U$4:$U$123,MATCH($G537,科目表!$M$4:$M$123,0)),"")&amp;""="","管理费用",INDEX(科目表!$U$4:$U$123,MATCH($G537,科目表!$M$4:$M$123,0))),IF(N($H537)&gt;0,IF(IFERROR(INDEX(自动规则!$C$4:$C$143,MATCH($F537,自动规则!$B$4:$B$143,0)),"")&amp;""="","其他应收款",INDEX(自动规则!$C$4:$C$143,MATCH($F537,自动规则!$B$4:$B$143,0))),IF(IFERROR(INDEX(自动规则!$D$4:$D$143,MATCH($F537,自动规则!$B$4:$B$143,0)),"")&amp;""="","其他应付款",INDEX(自动规则!$D$4:$D$143,MATCH($F537,自动规则!$B$4:$B$143,0)))))))</f>
        <v/>
      </c>
      <c r="L537" s="43"/>
      <c r="M537" s="105" t="str">
        <f aca="false">IF($C537="","",IF(IFERROR(INDEX(科目表!$T$4:$T$123,MATCH($C537,科目表!$K$4:$K$123,0)),"")&amp;""="","其他货币资金",INDEX(科目表!$T$4:$T$123,MATCH($C537,科目表!$K$4:$K$123,0))))</f>
        <v/>
      </c>
      <c r="N537" s="39" t="str">
        <f aca="false">IF(OR($C537="",ROUND(N($H537)+N($I537),2)=0),"",IF(N($H537)&gt;0,$M537,$K537))</f>
        <v/>
      </c>
      <c r="O537" s="41" t="str">
        <f aca="false">IF($N537="","",ROUND(N($H537)+N($I537),2))</f>
        <v/>
      </c>
      <c r="P537" s="41" t="str">
        <f aca="false">IF($N537="","",0)</f>
        <v/>
      </c>
      <c r="Q537" s="39" t="str">
        <f aca="false">IF($N537="","",IF(N($H537)&gt;0,$K537,$M537))</f>
        <v/>
      </c>
      <c r="R537" s="41" t="str">
        <f aca="false">IF($Q537="","",0)</f>
        <v/>
      </c>
      <c r="S537" s="41" t="str">
        <f aca="false">IF($Q537="","",ROUND(N($H537)+N($I537),2))</f>
        <v/>
      </c>
      <c r="T537" s="42"/>
      <c r="U537" s="44"/>
      <c r="V537" s="41" t="str">
        <f aca="false">IF($B537="","",TEXT($B537,"yyyy年m月"))</f>
        <v/>
      </c>
      <c r="W537" s="42"/>
      <c r="X537" s="42"/>
      <c r="Y537" s="9"/>
    </row>
    <row r="538" customFormat="false" ht="18" hidden="false" customHeight="true" outlineLevel="0" collapsed="false">
      <c r="A538" s="9" t="str">
        <f aca="false">IF($C538="","",ROW()-3)</f>
        <v/>
      </c>
      <c r="B538" s="76"/>
      <c r="C538" s="74"/>
      <c r="D538" s="43"/>
      <c r="E538" s="42"/>
      <c r="F538" s="74"/>
      <c r="G538" s="74"/>
      <c r="H538" s="44"/>
      <c r="I538" s="44"/>
      <c r="J538" s="103" t="str">
        <f aca="false">IF($C538="","",ROUND(IFERROR(INDEX(期初余额!$I$4:$I$43,MATCH($C538,期初余额!$H$4:$H$43,0)),0)+SUMIFS($H$4:$H538,$C$4:$C538,$C538)-SUMIFS($I$4:$I538,$C$4:$C538,$C538),2))</f>
        <v/>
      </c>
      <c r="K538" s="104" t="str">
        <f aca="false">IF($T538&lt;&gt;"",$T538,IF($C538="","",IF(AND(N($I538)&gt;0,$G538&lt;&gt;""),IF(IFERROR(INDEX(科目表!$U$4:$U$123,MATCH($G538,科目表!$M$4:$M$123,0)),"")&amp;""="","管理费用",INDEX(科目表!$U$4:$U$123,MATCH($G538,科目表!$M$4:$M$123,0))),IF(N($H538)&gt;0,IF(IFERROR(INDEX(自动规则!$C$4:$C$143,MATCH($F538,自动规则!$B$4:$B$143,0)),"")&amp;""="","其他应收款",INDEX(自动规则!$C$4:$C$143,MATCH($F538,自动规则!$B$4:$B$143,0))),IF(IFERROR(INDEX(自动规则!$D$4:$D$143,MATCH($F538,自动规则!$B$4:$B$143,0)),"")&amp;""="","其他应付款",INDEX(自动规则!$D$4:$D$143,MATCH($F538,自动规则!$B$4:$B$143,0)))))))</f>
        <v/>
      </c>
      <c r="L538" s="43"/>
      <c r="M538" s="105" t="str">
        <f aca="false">IF($C538="","",IF(IFERROR(INDEX(科目表!$T$4:$T$123,MATCH($C538,科目表!$K$4:$K$123,0)),"")&amp;""="","其他货币资金",INDEX(科目表!$T$4:$T$123,MATCH($C538,科目表!$K$4:$K$123,0))))</f>
        <v/>
      </c>
      <c r="N538" s="39" t="str">
        <f aca="false">IF(OR($C538="",ROUND(N($H538)+N($I538),2)=0),"",IF(N($H538)&gt;0,$M538,$K538))</f>
        <v/>
      </c>
      <c r="O538" s="41" t="str">
        <f aca="false">IF($N538="","",ROUND(N($H538)+N($I538),2))</f>
        <v/>
      </c>
      <c r="P538" s="41" t="str">
        <f aca="false">IF($N538="","",0)</f>
        <v/>
      </c>
      <c r="Q538" s="39" t="str">
        <f aca="false">IF($N538="","",IF(N($H538)&gt;0,$K538,$M538))</f>
        <v/>
      </c>
      <c r="R538" s="41" t="str">
        <f aca="false">IF($Q538="","",0)</f>
        <v/>
      </c>
      <c r="S538" s="41" t="str">
        <f aca="false">IF($Q538="","",ROUND(N($H538)+N($I538),2))</f>
        <v/>
      </c>
      <c r="T538" s="42"/>
      <c r="U538" s="44"/>
      <c r="V538" s="41" t="str">
        <f aca="false">IF($B538="","",TEXT($B538,"yyyy年m月"))</f>
        <v/>
      </c>
      <c r="W538" s="42"/>
      <c r="X538" s="42"/>
      <c r="Y538" s="9"/>
    </row>
    <row r="539" customFormat="false" ht="18" hidden="false" customHeight="true" outlineLevel="0" collapsed="false">
      <c r="A539" s="9" t="str">
        <f aca="false">IF($C539="","",ROW()-3)</f>
        <v/>
      </c>
      <c r="B539" s="76"/>
      <c r="C539" s="74"/>
      <c r="D539" s="43"/>
      <c r="E539" s="42"/>
      <c r="F539" s="74"/>
      <c r="G539" s="74"/>
      <c r="H539" s="44"/>
      <c r="I539" s="44"/>
      <c r="J539" s="103" t="str">
        <f aca="false">IF($C539="","",ROUND(IFERROR(INDEX(期初余额!$I$4:$I$43,MATCH($C539,期初余额!$H$4:$H$43,0)),0)+SUMIFS($H$4:$H539,$C$4:$C539,$C539)-SUMIFS($I$4:$I539,$C$4:$C539,$C539),2))</f>
        <v/>
      </c>
      <c r="K539" s="104" t="str">
        <f aca="false">IF($T539&lt;&gt;"",$T539,IF($C539="","",IF(AND(N($I539)&gt;0,$G539&lt;&gt;""),IF(IFERROR(INDEX(科目表!$U$4:$U$123,MATCH($G539,科目表!$M$4:$M$123,0)),"")&amp;""="","管理费用",INDEX(科目表!$U$4:$U$123,MATCH($G539,科目表!$M$4:$M$123,0))),IF(N($H539)&gt;0,IF(IFERROR(INDEX(自动规则!$C$4:$C$143,MATCH($F539,自动规则!$B$4:$B$143,0)),"")&amp;""="","其他应收款",INDEX(自动规则!$C$4:$C$143,MATCH($F539,自动规则!$B$4:$B$143,0))),IF(IFERROR(INDEX(自动规则!$D$4:$D$143,MATCH($F539,自动规则!$B$4:$B$143,0)),"")&amp;""="","其他应付款",INDEX(自动规则!$D$4:$D$143,MATCH($F539,自动规则!$B$4:$B$143,0)))))))</f>
        <v/>
      </c>
      <c r="L539" s="43"/>
      <c r="M539" s="105" t="str">
        <f aca="false">IF($C539="","",IF(IFERROR(INDEX(科目表!$T$4:$T$123,MATCH($C539,科目表!$K$4:$K$123,0)),"")&amp;""="","其他货币资金",INDEX(科目表!$T$4:$T$123,MATCH($C539,科目表!$K$4:$K$123,0))))</f>
        <v/>
      </c>
      <c r="N539" s="39" t="str">
        <f aca="false">IF(OR($C539="",ROUND(N($H539)+N($I539),2)=0),"",IF(N($H539)&gt;0,$M539,$K539))</f>
        <v/>
      </c>
      <c r="O539" s="41" t="str">
        <f aca="false">IF($N539="","",ROUND(N($H539)+N($I539),2))</f>
        <v/>
      </c>
      <c r="P539" s="41" t="str">
        <f aca="false">IF($N539="","",0)</f>
        <v/>
      </c>
      <c r="Q539" s="39" t="str">
        <f aca="false">IF($N539="","",IF(N($H539)&gt;0,$K539,$M539))</f>
        <v/>
      </c>
      <c r="R539" s="41" t="str">
        <f aca="false">IF($Q539="","",0)</f>
        <v/>
      </c>
      <c r="S539" s="41" t="str">
        <f aca="false">IF($Q539="","",ROUND(N($H539)+N($I539),2))</f>
        <v/>
      </c>
      <c r="T539" s="42"/>
      <c r="U539" s="44"/>
      <c r="V539" s="41" t="str">
        <f aca="false">IF($B539="","",TEXT($B539,"yyyy年m月"))</f>
        <v/>
      </c>
      <c r="W539" s="42"/>
      <c r="X539" s="42"/>
      <c r="Y539" s="9"/>
    </row>
    <row r="540" customFormat="false" ht="18" hidden="false" customHeight="true" outlineLevel="0" collapsed="false">
      <c r="A540" s="9" t="str">
        <f aca="false">IF($C540="","",ROW()-3)</f>
        <v/>
      </c>
      <c r="B540" s="76"/>
      <c r="C540" s="74"/>
      <c r="D540" s="43"/>
      <c r="E540" s="42"/>
      <c r="F540" s="74"/>
      <c r="G540" s="74"/>
      <c r="H540" s="44"/>
      <c r="I540" s="44"/>
      <c r="J540" s="103" t="str">
        <f aca="false">IF($C540="","",ROUND(IFERROR(INDEX(期初余额!$I$4:$I$43,MATCH($C540,期初余额!$H$4:$H$43,0)),0)+SUMIFS($H$4:$H540,$C$4:$C540,$C540)-SUMIFS($I$4:$I540,$C$4:$C540,$C540),2))</f>
        <v/>
      </c>
      <c r="K540" s="104" t="str">
        <f aca="false">IF($T540&lt;&gt;"",$T540,IF($C540="","",IF(AND(N($I540)&gt;0,$G540&lt;&gt;""),IF(IFERROR(INDEX(科目表!$U$4:$U$123,MATCH($G540,科目表!$M$4:$M$123,0)),"")&amp;""="","管理费用",INDEX(科目表!$U$4:$U$123,MATCH($G540,科目表!$M$4:$M$123,0))),IF(N($H540)&gt;0,IF(IFERROR(INDEX(自动规则!$C$4:$C$143,MATCH($F540,自动规则!$B$4:$B$143,0)),"")&amp;""="","其他应收款",INDEX(自动规则!$C$4:$C$143,MATCH($F540,自动规则!$B$4:$B$143,0))),IF(IFERROR(INDEX(自动规则!$D$4:$D$143,MATCH($F540,自动规则!$B$4:$B$143,0)),"")&amp;""="","其他应付款",INDEX(自动规则!$D$4:$D$143,MATCH($F540,自动规则!$B$4:$B$143,0)))))))</f>
        <v/>
      </c>
      <c r="L540" s="43"/>
      <c r="M540" s="105" t="str">
        <f aca="false">IF($C540="","",IF(IFERROR(INDEX(科目表!$T$4:$T$123,MATCH($C540,科目表!$K$4:$K$123,0)),"")&amp;""="","其他货币资金",INDEX(科目表!$T$4:$T$123,MATCH($C540,科目表!$K$4:$K$123,0))))</f>
        <v/>
      </c>
      <c r="N540" s="39" t="str">
        <f aca="false">IF(OR($C540="",ROUND(N($H540)+N($I540),2)=0),"",IF(N($H540)&gt;0,$M540,$K540))</f>
        <v/>
      </c>
      <c r="O540" s="41" t="str">
        <f aca="false">IF($N540="","",ROUND(N($H540)+N($I540),2))</f>
        <v/>
      </c>
      <c r="P540" s="41" t="str">
        <f aca="false">IF($N540="","",0)</f>
        <v/>
      </c>
      <c r="Q540" s="39" t="str">
        <f aca="false">IF($N540="","",IF(N($H540)&gt;0,$K540,$M540))</f>
        <v/>
      </c>
      <c r="R540" s="41" t="str">
        <f aca="false">IF($Q540="","",0)</f>
        <v/>
      </c>
      <c r="S540" s="41" t="str">
        <f aca="false">IF($Q540="","",ROUND(N($H540)+N($I540),2))</f>
        <v/>
      </c>
      <c r="T540" s="42"/>
      <c r="U540" s="44"/>
      <c r="V540" s="41" t="str">
        <f aca="false">IF($B540="","",TEXT($B540,"yyyy年m月"))</f>
        <v/>
      </c>
      <c r="W540" s="42"/>
      <c r="X540" s="42"/>
      <c r="Y540" s="9"/>
    </row>
    <row r="541" customFormat="false" ht="18" hidden="false" customHeight="true" outlineLevel="0" collapsed="false">
      <c r="A541" s="9" t="str">
        <f aca="false">IF($C541="","",ROW()-3)</f>
        <v/>
      </c>
      <c r="B541" s="76"/>
      <c r="C541" s="74"/>
      <c r="D541" s="43"/>
      <c r="E541" s="42"/>
      <c r="F541" s="74"/>
      <c r="G541" s="74"/>
      <c r="H541" s="44"/>
      <c r="I541" s="44"/>
      <c r="J541" s="103" t="str">
        <f aca="false">IF($C541="","",ROUND(IFERROR(INDEX(期初余额!$I$4:$I$43,MATCH($C541,期初余额!$H$4:$H$43,0)),0)+SUMIFS($H$4:$H541,$C$4:$C541,$C541)-SUMIFS($I$4:$I541,$C$4:$C541,$C541),2))</f>
        <v/>
      </c>
      <c r="K541" s="104" t="str">
        <f aca="false">IF($T541&lt;&gt;"",$T541,IF($C541="","",IF(AND(N($I541)&gt;0,$G541&lt;&gt;""),IF(IFERROR(INDEX(科目表!$U$4:$U$123,MATCH($G541,科目表!$M$4:$M$123,0)),"")&amp;""="","管理费用",INDEX(科目表!$U$4:$U$123,MATCH($G541,科目表!$M$4:$M$123,0))),IF(N($H541)&gt;0,IF(IFERROR(INDEX(自动规则!$C$4:$C$143,MATCH($F541,自动规则!$B$4:$B$143,0)),"")&amp;""="","其他应收款",INDEX(自动规则!$C$4:$C$143,MATCH($F541,自动规则!$B$4:$B$143,0))),IF(IFERROR(INDEX(自动规则!$D$4:$D$143,MATCH($F541,自动规则!$B$4:$B$143,0)),"")&amp;""="","其他应付款",INDEX(自动规则!$D$4:$D$143,MATCH($F541,自动规则!$B$4:$B$143,0)))))))</f>
        <v/>
      </c>
      <c r="L541" s="43"/>
      <c r="M541" s="105" t="str">
        <f aca="false">IF($C541="","",IF(IFERROR(INDEX(科目表!$T$4:$T$123,MATCH($C541,科目表!$K$4:$K$123,0)),"")&amp;""="","其他货币资金",INDEX(科目表!$T$4:$T$123,MATCH($C541,科目表!$K$4:$K$123,0))))</f>
        <v/>
      </c>
      <c r="N541" s="39" t="str">
        <f aca="false">IF(OR($C541="",ROUND(N($H541)+N($I541),2)=0),"",IF(N($H541)&gt;0,$M541,$K541))</f>
        <v/>
      </c>
      <c r="O541" s="41" t="str">
        <f aca="false">IF($N541="","",ROUND(N($H541)+N($I541),2))</f>
        <v/>
      </c>
      <c r="P541" s="41" t="str">
        <f aca="false">IF($N541="","",0)</f>
        <v/>
      </c>
      <c r="Q541" s="39" t="str">
        <f aca="false">IF($N541="","",IF(N($H541)&gt;0,$K541,$M541))</f>
        <v/>
      </c>
      <c r="R541" s="41" t="str">
        <f aca="false">IF($Q541="","",0)</f>
        <v/>
      </c>
      <c r="S541" s="41" t="str">
        <f aca="false">IF($Q541="","",ROUND(N($H541)+N($I541),2))</f>
        <v/>
      </c>
      <c r="T541" s="42"/>
      <c r="U541" s="44"/>
      <c r="V541" s="41" t="str">
        <f aca="false">IF($B541="","",TEXT($B541,"yyyy年m月"))</f>
        <v/>
      </c>
      <c r="W541" s="42"/>
      <c r="X541" s="42"/>
      <c r="Y541" s="9"/>
    </row>
    <row r="542" customFormat="false" ht="18" hidden="false" customHeight="true" outlineLevel="0" collapsed="false">
      <c r="A542" s="9" t="str">
        <f aca="false">IF($C542="","",ROW()-3)</f>
        <v/>
      </c>
      <c r="B542" s="76"/>
      <c r="C542" s="74"/>
      <c r="D542" s="43"/>
      <c r="E542" s="42"/>
      <c r="F542" s="74"/>
      <c r="G542" s="74"/>
      <c r="H542" s="44"/>
      <c r="I542" s="44"/>
      <c r="J542" s="103" t="str">
        <f aca="false">IF($C542="","",ROUND(IFERROR(INDEX(期初余额!$I$4:$I$43,MATCH($C542,期初余额!$H$4:$H$43,0)),0)+SUMIFS($H$4:$H542,$C$4:$C542,$C542)-SUMIFS($I$4:$I542,$C$4:$C542,$C542),2))</f>
        <v/>
      </c>
      <c r="K542" s="104" t="str">
        <f aca="false">IF($T542&lt;&gt;"",$T542,IF($C542="","",IF(AND(N($I542)&gt;0,$G542&lt;&gt;""),IF(IFERROR(INDEX(科目表!$U$4:$U$123,MATCH($G542,科目表!$M$4:$M$123,0)),"")&amp;""="","管理费用",INDEX(科目表!$U$4:$U$123,MATCH($G542,科目表!$M$4:$M$123,0))),IF(N($H542)&gt;0,IF(IFERROR(INDEX(自动规则!$C$4:$C$143,MATCH($F542,自动规则!$B$4:$B$143,0)),"")&amp;""="","其他应收款",INDEX(自动规则!$C$4:$C$143,MATCH($F542,自动规则!$B$4:$B$143,0))),IF(IFERROR(INDEX(自动规则!$D$4:$D$143,MATCH($F542,自动规则!$B$4:$B$143,0)),"")&amp;""="","其他应付款",INDEX(自动规则!$D$4:$D$143,MATCH($F542,自动规则!$B$4:$B$143,0)))))))</f>
        <v/>
      </c>
      <c r="L542" s="43"/>
      <c r="M542" s="105" t="str">
        <f aca="false">IF($C542="","",IF(IFERROR(INDEX(科目表!$T$4:$T$123,MATCH($C542,科目表!$K$4:$K$123,0)),"")&amp;""="","其他货币资金",INDEX(科目表!$T$4:$T$123,MATCH($C542,科目表!$K$4:$K$123,0))))</f>
        <v/>
      </c>
      <c r="N542" s="39" t="str">
        <f aca="false">IF(OR($C542="",ROUND(N($H542)+N($I542),2)=0),"",IF(N($H542)&gt;0,$M542,$K542))</f>
        <v/>
      </c>
      <c r="O542" s="41" t="str">
        <f aca="false">IF($N542="","",ROUND(N($H542)+N($I542),2))</f>
        <v/>
      </c>
      <c r="P542" s="41" t="str">
        <f aca="false">IF($N542="","",0)</f>
        <v/>
      </c>
      <c r="Q542" s="39" t="str">
        <f aca="false">IF($N542="","",IF(N($H542)&gt;0,$K542,$M542))</f>
        <v/>
      </c>
      <c r="R542" s="41" t="str">
        <f aca="false">IF($Q542="","",0)</f>
        <v/>
      </c>
      <c r="S542" s="41" t="str">
        <f aca="false">IF($Q542="","",ROUND(N($H542)+N($I542),2))</f>
        <v/>
      </c>
      <c r="T542" s="42"/>
      <c r="U542" s="44"/>
      <c r="V542" s="41" t="str">
        <f aca="false">IF($B542="","",TEXT($B542,"yyyy年m月"))</f>
        <v/>
      </c>
      <c r="W542" s="42"/>
      <c r="X542" s="42"/>
      <c r="Y542" s="9"/>
    </row>
    <row r="543" customFormat="false" ht="18" hidden="false" customHeight="true" outlineLevel="0" collapsed="false">
      <c r="A543" s="9" t="str">
        <f aca="false">IF($C543="","",ROW()-3)</f>
        <v/>
      </c>
      <c r="B543" s="76"/>
      <c r="C543" s="74"/>
      <c r="D543" s="43"/>
      <c r="E543" s="42"/>
      <c r="F543" s="74"/>
      <c r="G543" s="74"/>
      <c r="H543" s="44"/>
      <c r="I543" s="44"/>
      <c r="J543" s="103" t="str">
        <f aca="false">IF($C543="","",ROUND(IFERROR(INDEX(期初余额!$I$4:$I$43,MATCH($C543,期初余额!$H$4:$H$43,0)),0)+SUMIFS($H$4:$H543,$C$4:$C543,$C543)-SUMIFS($I$4:$I543,$C$4:$C543,$C543),2))</f>
        <v/>
      </c>
      <c r="K543" s="104" t="str">
        <f aca="false">IF($T543&lt;&gt;"",$T543,IF($C543="","",IF(AND(N($I543)&gt;0,$G543&lt;&gt;""),IF(IFERROR(INDEX(科目表!$U$4:$U$123,MATCH($G543,科目表!$M$4:$M$123,0)),"")&amp;""="","管理费用",INDEX(科目表!$U$4:$U$123,MATCH($G543,科目表!$M$4:$M$123,0))),IF(N($H543)&gt;0,IF(IFERROR(INDEX(自动规则!$C$4:$C$143,MATCH($F543,自动规则!$B$4:$B$143,0)),"")&amp;""="","其他应收款",INDEX(自动规则!$C$4:$C$143,MATCH($F543,自动规则!$B$4:$B$143,0))),IF(IFERROR(INDEX(自动规则!$D$4:$D$143,MATCH($F543,自动规则!$B$4:$B$143,0)),"")&amp;""="","其他应付款",INDEX(自动规则!$D$4:$D$143,MATCH($F543,自动规则!$B$4:$B$143,0)))))))</f>
        <v/>
      </c>
      <c r="L543" s="43"/>
      <c r="M543" s="105" t="str">
        <f aca="false">IF($C543="","",IF(IFERROR(INDEX(科目表!$T$4:$T$123,MATCH($C543,科目表!$K$4:$K$123,0)),"")&amp;""="","其他货币资金",INDEX(科目表!$T$4:$T$123,MATCH($C543,科目表!$K$4:$K$123,0))))</f>
        <v/>
      </c>
      <c r="N543" s="39" t="str">
        <f aca="false">IF(OR($C543="",ROUND(N($H543)+N($I543),2)=0),"",IF(N($H543)&gt;0,$M543,$K543))</f>
        <v/>
      </c>
      <c r="O543" s="41" t="str">
        <f aca="false">IF($N543="","",ROUND(N($H543)+N($I543),2))</f>
        <v/>
      </c>
      <c r="P543" s="41" t="str">
        <f aca="false">IF($N543="","",0)</f>
        <v/>
      </c>
      <c r="Q543" s="39" t="str">
        <f aca="false">IF($N543="","",IF(N($H543)&gt;0,$K543,$M543))</f>
        <v/>
      </c>
      <c r="R543" s="41" t="str">
        <f aca="false">IF($Q543="","",0)</f>
        <v/>
      </c>
      <c r="S543" s="41" t="str">
        <f aca="false">IF($Q543="","",ROUND(N($H543)+N($I543),2))</f>
        <v/>
      </c>
      <c r="T543" s="42"/>
      <c r="U543" s="44"/>
      <c r="V543" s="41" t="str">
        <f aca="false">IF($B543="","",TEXT($B543,"yyyy年m月"))</f>
        <v/>
      </c>
      <c r="W543" s="42"/>
      <c r="X543" s="42"/>
      <c r="Y543" s="9"/>
    </row>
    <row r="544" customFormat="false" ht="18" hidden="false" customHeight="true" outlineLevel="0" collapsed="false">
      <c r="A544" s="9" t="str">
        <f aca="false">IF($C544="","",ROW()-3)</f>
        <v/>
      </c>
      <c r="B544" s="76"/>
      <c r="C544" s="74"/>
      <c r="D544" s="43"/>
      <c r="E544" s="42"/>
      <c r="F544" s="74"/>
      <c r="G544" s="74"/>
      <c r="H544" s="44"/>
      <c r="I544" s="44"/>
      <c r="J544" s="103" t="str">
        <f aca="false">IF($C544="","",ROUND(IFERROR(INDEX(期初余额!$I$4:$I$43,MATCH($C544,期初余额!$H$4:$H$43,0)),0)+SUMIFS($H$4:$H544,$C$4:$C544,$C544)-SUMIFS($I$4:$I544,$C$4:$C544,$C544),2))</f>
        <v/>
      </c>
      <c r="K544" s="104" t="str">
        <f aca="false">IF($T544&lt;&gt;"",$T544,IF($C544="","",IF(AND(N($I544)&gt;0,$G544&lt;&gt;""),IF(IFERROR(INDEX(科目表!$U$4:$U$123,MATCH($G544,科目表!$M$4:$M$123,0)),"")&amp;""="","管理费用",INDEX(科目表!$U$4:$U$123,MATCH($G544,科目表!$M$4:$M$123,0))),IF(N($H544)&gt;0,IF(IFERROR(INDEX(自动规则!$C$4:$C$143,MATCH($F544,自动规则!$B$4:$B$143,0)),"")&amp;""="","其他应收款",INDEX(自动规则!$C$4:$C$143,MATCH($F544,自动规则!$B$4:$B$143,0))),IF(IFERROR(INDEX(自动规则!$D$4:$D$143,MATCH($F544,自动规则!$B$4:$B$143,0)),"")&amp;""="","其他应付款",INDEX(自动规则!$D$4:$D$143,MATCH($F544,自动规则!$B$4:$B$143,0)))))))</f>
        <v/>
      </c>
      <c r="L544" s="43"/>
      <c r="M544" s="105" t="str">
        <f aca="false">IF($C544="","",IF(IFERROR(INDEX(科目表!$T$4:$T$123,MATCH($C544,科目表!$K$4:$K$123,0)),"")&amp;""="","其他货币资金",INDEX(科目表!$T$4:$T$123,MATCH($C544,科目表!$K$4:$K$123,0))))</f>
        <v/>
      </c>
      <c r="N544" s="39" t="str">
        <f aca="false">IF(OR($C544="",ROUND(N($H544)+N($I544),2)=0),"",IF(N($H544)&gt;0,$M544,$K544))</f>
        <v/>
      </c>
      <c r="O544" s="41" t="str">
        <f aca="false">IF($N544="","",ROUND(N($H544)+N($I544),2))</f>
        <v/>
      </c>
      <c r="P544" s="41" t="str">
        <f aca="false">IF($N544="","",0)</f>
        <v/>
      </c>
      <c r="Q544" s="39" t="str">
        <f aca="false">IF($N544="","",IF(N($H544)&gt;0,$K544,$M544))</f>
        <v/>
      </c>
      <c r="R544" s="41" t="str">
        <f aca="false">IF($Q544="","",0)</f>
        <v/>
      </c>
      <c r="S544" s="41" t="str">
        <f aca="false">IF($Q544="","",ROUND(N($H544)+N($I544),2))</f>
        <v/>
      </c>
      <c r="T544" s="42"/>
      <c r="U544" s="44"/>
      <c r="V544" s="41" t="str">
        <f aca="false">IF($B544="","",TEXT($B544,"yyyy年m月"))</f>
        <v/>
      </c>
      <c r="W544" s="42"/>
      <c r="X544" s="42"/>
      <c r="Y544" s="9"/>
    </row>
    <row r="545" customFormat="false" ht="18" hidden="false" customHeight="true" outlineLevel="0" collapsed="false">
      <c r="A545" s="9" t="str">
        <f aca="false">IF($C545="","",ROW()-3)</f>
        <v/>
      </c>
      <c r="B545" s="76"/>
      <c r="C545" s="74"/>
      <c r="D545" s="43"/>
      <c r="E545" s="42"/>
      <c r="F545" s="74"/>
      <c r="G545" s="74"/>
      <c r="H545" s="44"/>
      <c r="I545" s="44"/>
      <c r="J545" s="103" t="str">
        <f aca="false">IF($C545="","",ROUND(IFERROR(INDEX(期初余额!$I$4:$I$43,MATCH($C545,期初余额!$H$4:$H$43,0)),0)+SUMIFS($H$4:$H545,$C$4:$C545,$C545)-SUMIFS($I$4:$I545,$C$4:$C545,$C545),2))</f>
        <v/>
      </c>
      <c r="K545" s="104" t="str">
        <f aca="false">IF($T545&lt;&gt;"",$T545,IF($C545="","",IF(AND(N($I545)&gt;0,$G545&lt;&gt;""),IF(IFERROR(INDEX(科目表!$U$4:$U$123,MATCH($G545,科目表!$M$4:$M$123,0)),"")&amp;""="","管理费用",INDEX(科目表!$U$4:$U$123,MATCH($G545,科目表!$M$4:$M$123,0))),IF(N($H545)&gt;0,IF(IFERROR(INDEX(自动规则!$C$4:$C$143,MATCH($F545,自动规则!$B$4:$B$143,0)),"")&amp;""="","其他应收款",INDEX(自动规则!$C$4:$C$143,MATCH($F545,自动规则!$B$4:$B$143,0))),IF(IFERROR(INDEX(自动规则!$D$4:$D$143,MATCH($F545,自动规则!$B$4:$B$143,0)),"")&amp;""="","其他应付款",INDEX(自动规则!$D$4:$D$143,MATCH($F545,自动规则!$B$4:$B$143,0)))))))</f>
        <v/>
      </c>
      <c r="L545" s="43"/>
      <c r="M545" s="105" t="str">
        <f aca="false">IF($C545="","",IF(IFERROR(INDEX(科目表!$T$4:$T$123,MATCH($C545,科目表!$K$4:$K$123,0)),"")&amp;""="","其他货币资金",INDEX(科目表!$T$4:$T$123,MATCH($C545,科目表!$K$4:$K$123,0))))</f>
        <v/>
      </c>
      <c r="N545" s="39" t="str">
        <f aca="false">IF(OR($C545="",ROUND(N($H545)+N($I545),2)=0),"",IF(N($H545)&gt;0,$M545,$K545))</f>
        <v/>
      </c>
      <c r="O545" s="41" t="str">
        <f aca="false">IF($N545="","",ROUND(N($H545)+N($I545),2))</f>
        <v/>
      </c>
      <c r="P545" s="41" t="str">
        <f aca="false">IF($N545="","",0)</f>
        <v/>
      </c>
      <c r="Q545" s="39" t="str">
        <f aca="false">IF($N545="","",IF(N($H545)&gt;0,$K545,$M545))</f>
        <v/>
      </c>
      <c r="R545" s="41" t="str">
        <f aca="false">IF($Q545="","",0)</f>
        <v/>
      </c>
      <c r="S545" s="41" t="str">
        <f aca="false">IF($Q545="","",ROUND(N($H545)+N($I545),2))</f>
        <v/>
      </c>
      <c r="T545" s="42"/>
      <c r="U545" s="44"/>
      <c r="V545" s="41" t="str">
        <f aca="false">IF($B545="","",TEXT($B545,"yyyy年m月"))</f>
        <v/>
      </c>
      <c r="W545" s="42"/>
      <c r="X545" s="42"/>
      <c r="Y545" s="9"/>
    </row>
    <row r="546" customFormat="false" ht="18" hidden="false" customHeight="true" outlineLevel="0" collapsed="false">
      <c r="A546" s="9" t="str">
        <f aca="false">IF($C546="","",ROW()-3)</f>
        <v/>
      </c>
      <c r="B546" s="76"/>
      <c r="C546" s="74"/>
      <c r="D546" s="43"/>
      <c r="E546" s="42"/>
      <c r="F546" s="74"/>
      <c r="G546" s="74"/>
      <c r="H546" s="44"/>
      <c r="I546" s="44"/>
      <c r="J546" s="103" t="str">
        <f aca="false">IF($C546="","",ROUND(IFERROR(INDEX(期初余额!$I$4:$I$43,MATCH($C546,期初余额!$H$4:$H$43,0)),0)+SUMIFS($H$4:$H546,$C$4:$C546,$C546)-SUMIFS($I$4:$I546,$C$4:$C546,$C546),2))</f>
        <v/>
      </c>
      <c r="K546" s="104" t="str">
        <f aca="false">IF($T546&lt;&gt;"",$T546,IF($C546="","",IF(AND(N($I546)&gt;0,$G546&lt;&gt;""),IF(IFERROR(INDEX(科目表!$U$4:$U$123,MATCH($G546,科目表!$M$4:$M$123,0)),"")&amp;""="","管理费用",INDEX(科目表!$U$4:$U$123,MATCH($G546,科目表!$M$4:$M$123,0))),IF(N($H546)&gt;0,IF(IFERROR(INDEX(自动规则!$C$4:$C$143,MATCH($F546,自动规则!$B$4:$B$143,0)),"")&amp;""="","其他应收款",INDEX(自动规则!$C$4:$C$143,MATCH($F546,自动规则!$B$4:$B$143,0))),IF(IFERROR(INDEX(自动规则!$D$4:$D$143,MATCH($F546,自动规则!$B$4:$B$143,0)),"")&amp;""="","其他应付款",INDEX(自动规则!$D$4:$D$143,MATCH($F546,自动规则!$B$4:$B$143,0)))))))</f>
        <v/>
      </c>
      <c r="L546" s="43"/>
      <c r="M546" s="105" t="str">
        <f aca="false">IF($C546="","",IF(IFERROR(INDEX(科目表!$T$4:$T$123,MATCH($C546,科目表!$K$4:$K$123,0)),"")&amp;""="","其他货币资金",INDEX(科目表!$T$4:$T$123,MATCH($C546,科目表!$K$4:$K$123,0))))</f>
        <v/>
      </c>
      <c r="N546" s="39" t="str">
        <f aca="false">IF(OR($C546="",ROUND(N($H546)+N($I546),2)=0),"",IF(N($H546)&gt;0,$M546,$K546))</f>
        <v/>
      </c>
      <c r="O546" s="41" t="str">
        <f aca="false">IF($N546="","",ROUND(N($H546)+N($I546),2))</f>
        <v/>
      </c>
      <c r="P546" s="41" t="str">
        <f aca="false">IF($N546="","",0)</f>
        <v/>
      </c>
      <c r="Q546" s="39" t="str">
        <f aca="false">IF($N546="","",IF(N($H546)&gt;0,$K546,$M546))</f>
        <v/>
      </c>
      <c r="R546" s="41" t="str">
        <f aca="false">IF($Q546="","",0)</f>
        <v/>
      </c>
      <c r="S546" s="41" t="str">
        <f aca="false">IF($Q546="","",ROUND(N($H546)+N($I546),2))</f>
        <v/>
      </c>
      <c r="T546" s="42"/>
      <c r="U546" s="44"/>
      <c r="V546" s="41" t="str">
        <f aca="false">IF($B546="","",TEXT($B546,"yyyy年m月"))</f>
        <v/>
      </c>
      <c r="W546" s="42"/>
      <c r="X546" s="42"/>
      <c r="Y546" s="9"/>
    </row>
    <row r="547" customFormat="false" ht="18" hidden="false" customHeight="true" outlineLevel="0" collapsed="false">
      <c r="A547" s="9" t="str">
        <f aca="false">IF($C547="","",ROW()-3)</f>
        <v/>
      </c>
      <c r="B547" s="76"/>
      <c r="C547" s="74"/>
      <c r="D547" s="43"/>
      <c r="E547" s="42"/>
      <c r="F547" s="74"/>
      <c r="G547" s="74"/>
      <c r="H547" s="44"/>
      <c r="I547" s="44"/>
      <c r="J547" s="103" t="str">
        <f aca="false">IF($C547="","",ROUND(IFERROR(INDEX(期初余额!$I$4:$I$43,MATCH($C547,期初余额!$H$4:$H$43,0)),0)+SUMIFS($H$4:$H547,$C$4:$C547,$C547)-SUMIFS($I$4:$I547,$C$4:$C547,$C547),2))</f>
        <v/>
      </c>
      <c r="K547" s="104" t="str">
        <f aca="false">IF($T547&lt;&gt;"",$T547,IF($C547="","",IF(AND(N($I547)&gt;0,$G547&lt;&gt;""),IF(IFERROR(INDEX(科目表!$U$4:$U$123,MATCH($G547,科目表!$M$4:$M$123,0)),"")&amp;""="","管理费用",INDEX(科目表!$U$4:$U$123,MATCH($G547,科目表!$M$4:$M$123,0))),IF(N($H547)&gt;0,IF(IFERROR(INDEX(自动规则!$C$4:$C$143,MATCH($F547,自动规则!$B$4:$B$143,0)),"")&amp;""="","其他应收款",INDEX(自动规则!$C$4:$C$143,MATCH($F547,自动规则!$B$4:$B$143,0))),IF(IFERROR(INDEX(自动规则!$D$4:$D$143,MATCH($F547,自动规则!$B$4:$B$143,0)),"")&amp;""="","其他应付款",INDEX(自动规则!$D$4:$D$143,MATCH($F547,自动规则!$B$4:$B$143,0)))))))</f>
        <v/>
      </c>
      <c r="L547" s="43"/>
      <c r="M547" s="105" t="str">
        <f aca="false">IF($C547="","",IF(IFERROR(INDEX(科目表!$T$4:$T$123,MATCH($C547,科目表!$K$4:$K$123,0)),"")&amp;""="","其他货币资金",INDEX(科目表!$T$4:$T$123,MATCH($C547,科目表!$K$4:$K$123,0))))</f>
        <v/>
      </c>
      <c r="N547" s="39" t="str">
        <f aca="false">IF(OR($C547="",ROUND(N($H547)+N($I547),2)=0),"",IF(N($H547)&gt;0,$M547,$K547))</f>
        <v/>
      </c>
      <c r="O547" s="41" t="str">
        <f aca="false">IF($N547="","",ROUND(N($H547)+N($I547),2))</f>
        <v/>
      </c>
      <c r="P547" s="41" t="str">
        <f aca="false">IF($N547="","",0)</f>
        <v/>
      </c>
      <c r="Q547" s="39" t="str">
        <f aca="false">IF($N547="","",IF(N($H547)&gt;0,$K547,$M547))</f>
        <v/>
      </c>
      <c r="R547" s="41" t="str">
        <f aca="false">IF($Q547="","",0)</f>
        <v/>
      </c>
      <c r="S547" s="41" t="str">
        <f aca="false">IF($Q547="","",ROUND(N($H547)+N($I547),2))</f>
        <v/>
      </c>
      <c r="T547" s="42"/>
      <c r="U547" s="44"/>
      <c r="V547" s="41" t="str">
        <f aca="false">IF($B547="","",TEXT($B547,"yyyy年m月"))</f>
        <v/>
      </c>
      <c r="W547" s="42"/>
      <c r="X547" s="42"/>
      <c r="Y547" s="9"/>
    </row>
    <row r="548" customFormat="false" ht="18" hidden="false" customHeight="true" outlineLevel="0" collapsed="false">
      <c r="A548" s="9" t="str">
        <f aca="false">IF($C548="","",ROW()-3)</f>
        <v/>
      </c>
      <c r="B548" s="76"/>
      <c r="C548" s="74"/>
      <c r="D548" s="43"/>
      <c r="E548" s="42"/>
      <c r="F548" s="74"/>
      <c r="G548" s="74"/>
      <c r="H548" s="44"/>
      <c r="I548" s="44"/>
      <c r="J548" s="103" t="str">
        <f aca="false">IF($C548="","",ROUND(IFERROR(INDEX(期初余额!$I$4:$I$43,MATCH($C548,期初余额!$H$4:$H$43,0)),0)+SUMIFS($H$4:$H548,$C$4:$C548,$C548)-SUMIFS($I$4:$I548,$C$4:$C548,$C548),2))</f>
        <v/>
      </c>
      <c r="K548" s="104" t="str">
        <f aca="false">IF($T548&lt;&gt;"",$T548,IF($C548="","",IF(AND(N($I548)&gt;0,$G548&lt;&gt;""),IF(IFERROR(INDEX(科目表!$U$4:$U$123,MATCH($G548,科目表!$M$4:$M$123,0)),"")&amp;""="","管理费用",INDEX(科目表!$U$4:$U$123,MATCH($G548,科目表!$M$4:$M$123,0))),IF(N($H548)&gt;0,IF(IFERROR(INDEX(自动规则!$C$4:$C$143,MATCH($F548,自动规则!$B$4:$B$143,0)),"")&amp;""="","其他应收款",INDEX(自动规则!$C$4:$C$143,MATCH($F548,自动规则!$B$4:$B$143,0))),IF(IFERROR(INDEX(自动规则!$D$4:$D$143,MATCH($F548,自动规则!$B$4:$B$143,0)),"")&amp;""="","其他应付款",INDEX(自动规则!$D$4:$D$143,MATCH($F548,自动规则!$B$4:$B$143,0)))))))</f>
        <v/>
      </c>
      <c r="L548" s="43"/>
      <c r="M548" s="105" t="str">
        <f aca="false">IF($C548="","",IF(IFERROR(INDEX(科目表!$T$4:$T$123,MATCH($C548,科目表!$K$4:$K$123,0)),"")&amp;""="","其他货币资金",INDEX(科目表!$T$4:$T$123,MATCH($C548,科目表!$K$4:$K$123,0))))</f>
        <v/>
      </c>
      <c r="N548" s="39" t="str">
        <f aca="false">IF(OR($C548="",ROUND(N($H548)+N($I548),2)=0),"",IF(N($H548)&gt;0,$M548,$K548))</f>
        <v/>
      </c>
      <c r="O548" s="41" t="str">
        <f aca="false">IF($N548="","",ROUND(N($H548)+N($I548),2))</f>
        <v/>
      </c>
      <c r="P548" s="41" t="str">
        <f aca="false">IF($N548="","",0)</f>
        <v/>
      </c>
      <c r="Q548" s="39" t="str">
        <f aca="false">IF($N548="","",IF(N($H548)&gt;0,$K548,$M548))</f>
        <v/>
      </c>
      <c r="R548" s="41" t="str">
        <f aca="false">IF($Q548="","",0)</f>
        <v/>
      </c>
      <c r="S548" s="41" t="str">
        <f aca="false">IF($Q548="","",ROUND(N($H548)+N($I548),2))</f>
        <v/>
      </c>
      <c r="T548" s="42"/>
      <c r="U548" s="44"/>
      <c r="V548" s="41" t="str">
        <f aca="false">IF($B548="","",TEXT($B548,"yyyy年m月"))</f>
        <v/>
      </c>
      <c r="W548" s="42"/>
      <c r="X548" s="42"/>
      <c r="Y548" s="9"/>
    </row>
    <row r="549" customFormat="false" ht="18" hidden="false" customHeight="true" outlineLevel="0" collapsed="false">
      <c r="A549" s="9" t="str">
        <f aca="false">IF($C549="","",ROW()-3)</f>
        <v/>
      </c>
      <c r="B549" s="76"/>
      <c r="C549" s="74"/>
      <c r="D549" s="43"/>
      <c r="E549" s="42"/>
      <c r="F549" s="74"/>
      <c r="G549" s="74"/>
      <c r="H549" s="44"/>
      <c r="I549" s="44"/>
      <c r="J549" s="103" t="str">
        <f aca="false">IF($C549="","",ROUND(IFERROR(INDEX(期初余额!$I$4:$I$43,MATCH($C549,期初余额!$H$4:$H$43,0)),0)+SUMIFS($H$4:$H549,$C$4:$C549,$C549)-SUMIFS($I$4:$I549,$C$4:$C549,$C549),2))</f>
        <v/>
      </c>
      <c r="K549" s="104" t="str">
        <f aca="false">IF($T549&lt;&gt;"",$T549,IF($C549="","",IF(AND(N($I549)&gt;0,$G549&lt;&gt;""),IF(IFERROR(INDEX(科目表!$U$4:$U$123,MATCH($G549,科目表!$M$4:$M$123,0)),"")&amp;""="","管理费用",INDEX(科目表!$U$4:$U$123,MATCH($G549,科目表!$M$4:$M$123,0))),IF(N($H549)&gt;0,IF(IFERROR(INDEX(自动规则!$C$4:$C$143,MATCH($F549,自动规则!$B$4:$B$143,0)),"")&amp;""="","其他应收款",INDEX(自动规则!$C$4:$C$143,MATCH($F549,自动规则!$B$4:$B$143,0))),IF(IFERROR(INDEX(自动规则!$D$4:$D$143,MATCH($F549,自动规则!$B$4:$B$143,0)),"")&amp;""="","其他应付款",INDEX(自动规则!$D$4:$D$143,MATCH($F549,自动规则!$B$4:$B$143,0)))))))</f>
        <v/>
      </c>
      <c r="L549" s="43"/>
      <c r="M549" s="105" t="str">
        <f aca="false">IF($C549="","",IF(IFERROR(INDEX(科目表!$T$4:$T$123,MATCH($C549,科目表!$K$4:$K$123,0)),"")&amp;""="","其他货币资金",INDEX(科目表!$T$4:$T$123,MATCH($C549,科目表!$K$4:$K$123,0))))</f>
        <v/>
      </c>
      <c r="N549" s="39" t="str">
        <f aca="false">IF(OR($C549="",ROUND(N($H549)+N($I549),2)=0),"",IF(N($H549)&gt;0,$M549,$K549))</f>
        <v/>
      </c>
      <c r="O549" s="41" t="str">
        <f aca="false">IF($N549="","",ROUND(N($H549)+N($I549),2))</f>
        <v/>
      </c>
      <c r="P549" s="41" t="str">
        <f aca="false">IF($N549="","",0)</f>
        <v/>
      </c>
      <c r="Q549" s="39" t="str">
        <f aca="false">IF($N549="","",IF(N($H549)&gt;0,$K549,$M549))</f>
        <v/>
      </c>
      <c r="R549" s="41" t="str">
        <f aca="false">IF($Q549="","",0)</f>
        <v/>
      </c>
      <c r="S549" s="41" t="str">
        <f aca="false">IF($Q549="","",ROUND(N($H549)+N($I549),2))</f>
        <v/>
      </c>
      <c r="T549" s="42"/>
      <c r="U549" s="44"/>
      <c r="V549" s="41" t="str">
        <f aca="false">IF($B549="","",TEXT($B549,"yyyy年m月"))</f>
        <v/>
      </c>
      <c r="W549" s="42"/>
      <c r="X549" s="42"/>
      <c r="Y549" s="9"/>
    </row>
    <row r="550" customFormat="false" ht="18" hidden="false" customHeight="true" outlineLevel="0" collapsed="false">
      <c r="A550" s="9" t="str">
        <f aca="false">IF($C550="","",ROW()-3)</f>
        <v/>
      </c>
      <c r="B550" s="76"/>
      <c r="C550" s="74"/>
      <c r="D550" s="43"/>
      <c r="E550" s="42"/>
      <c r="F550" s="74"/>
      <c r="G550" s="74"/>
      <c r="H550" s="44"/>
      <c r="I550" s="44"/>
      <c r="J550" s="103" t="str">
        <f aca="false">IF($C550="","",ROUND(IFERROR(INDEX(期初余额!$I$4:$I$43,MATCH($C550,期初余额!$H$4:$H$43,0)),0)+SUMIFS($H$4:$H550,$C$4:$C550,$C550)-SUMIFS($I$4:$I550,$C$4:$C550,$C550),2))</f>
        <v/>
      </c>
      <c r="K550" s="104" t="str">
        <f aca="false">IF($T550&lt;&gt;"",$T550,IF($C550="","",IF(AND(N($I550)&gt;0,$G550&lt;&gt;""),IF(IFERROR(INDEX(科目表!$U$4:$U$123,MATCH($G550,科目表!$M$4:$M$123,0)),"")&amp;""="","管理费用",INDEX(科目表!$U$4:$U$123,MATCH($G550,科目表!$M$4:$M$123,0))),IF(N($H550)&gt;0,IF(IFERROR(INDEX(自动规则!$C$4:$C$143,MATCH($F550,自动规则!$B$4:$B$143,0)),"")&amp;""="","其他应收款",INDEX(自动规则!$C$4:$C$143,MATCH($F550,自动规则!$B$4:$B$143,0))),IF(IFERROR(INDEX(自动规则!$D$4:$D$143,MATCH($F550,自动规则!$B$4:$B$143,0)),"")&amp;""="","其他应付款",INDEX(自动规则!$D$4:$D$143,MATCH($F550,自动规则!$B$4:$B$143,0)))))))</f>
        <v/>
      </c>
      <c r="L550" s="43"/>
      <c r="M550" s="105" t="str">
        <f aca="false">IF($C550="","",IF(IFERROR(INDEX(科目表!$T$4:$T$123,MATCH($C550,科目表!$K$4:$K$123,0)),"")&amp;""="","其他货币资金",INDEX(科目表!$T$4:$T$123,MATCH($C550,科目表!$K$4:$K$123,0))))</f>
        <v/>
      </c>
      <c r="N550" s="39" t="str">
        <f aca="false">IF(OR($C550="",ROUND(N($H550)+N($I550),2)=0),"",IF(N($H550)&gt;0,$M550,$K550))</f>
        <v/>
      </c>
      <c r="O550" s="41" t="str">
        <f aca="false">IF($N550="","",ROUND(N($H550)+N($I550),2))</f>
        <v/>
      </c>
      <c r="P550" s="41" t="str">
        <f aca="false">IF($N550="","",0)</f>
        <v/>
      </c>
      <c r="Q550" s="39" t="str">
        <f aca="false">IF($N550="","",IF(N($H550)&gt;0,$K550,$M550))</f>
        <v/>
      </c>
      <c r="R550" s="41" t="str">
        <f aca="false">IF($Q550="","",0)</f>
        <v/>
      </c>
      <c r="S550" s="41" t="str">
        <f aca="false">IF($Q550="","",ROUND(N($H550)+N($I550),2))</f>
        <v/>
      </c>
      <c r="T550" s="42"/>
      <c r="U550" s="44"/>
      <c r="V550" s="41" t="str">
        <f aca="false">IF($B550="","",TEXT($B550,"yyyy年m月"))</f>
        <v/>
      </c>
      <c r="W550" s="42"/>
      <c r="X550" s="42"/>
      <c r="Y550" s="9"/>
    </row>
    <row r="551" customFormat="false" ht="18" hidden="false" customHeight="true" outlineLevel="0" collapsed="false">
      <c r="A551" s="9" t="str">
        <f aca="false">IF($C551="","",ROW()-3)</f>
        <v/>
      </c>
      <c r="B551" s="76"/>
      <c r="C551" s="74"/>
      <c r="D551" s="43"/>
      <c r="E551" s="42"/>
      <c r="F551" s="74"/>
      <c r="G551" s="74"/>
      <c r="H551" s="44"/>
      <c r="I551" s="44"/>
      <c r="J551" s="103" t="str">
        <f aca="false">IF($C551="","",ROUND(IFERROR(INDEX(期初余额!$I$4:$I$43,MATCH($C551,期初余额!$H$4:$H$43,0)),0)+SUMIFS($H$4:$H551,$C$4:$C551,$C551)-SUMIFS($I$4:$I551,$C$4:$C551,$C551),2))</f>
        <v/>
      </c>
      <c r="K551" s="104" t="str">
        <f aca="false">IF($T551&lt;&gt;"",$T551,IF($C551="","",IF(AND(N($I551)&gt;0,$G551&lt;&gt;""),IF(IFERROR(INDEX(科目表!$U$4:$U$123,MATCH($G551,科目表!$M$4:$M$123,0)),"")&amp;""="","管理费用",INDEX(科目表!$U$4:$U$123,MATCH($G551,科目表!$M$4:$M$123,0))),IF(N($H551)&gt;0,IF(IFERROR(INDEX(自动规则!$C$4:$C$143,MATCH($F551,自动规则!$B$4:$B$143,0)),"")&amp;""="","其他应收款",INDEX(自动规则!$C$4:$C$143,MATCH($F551,自动规则!$B$4:$B$143,0))),IF(IFERROR(INDEX(自动规则!$D$4:$D$143,MATCH($F551,自动规则!$B$4:$B$143,0)),"")&amp;""="","其他应付款",INDEX(自动规则!$D$4:$D$143,MATCH($F551,自动规则!$B$4:$B$143,0)))))))</f>
        <v/>
      </c>
      <c r="L551" s="43"/>
      <c r="M551" s="105" t="str">
        <f aca="false">IF($C551="","",IF(IFERROR(INDEX(科目表!$T$4:$T$123,MATCH($C551,科目表!$K$4:$K$123,0)),"")&amp;""="","其他货币资金",INDEX(科目表!$T$4:$T$123,MATCH($C551,科目表!$K$4:$K$123,0))))</f>
        <v/>
      </c>
      <c r="N551" s="39" t="str">
        <f aca="false">IF(OR($C551="",ROUND(N($H551)+N($I551),2)=0),"",IF(N($H551)&gt;0,$M551,$K551))</f>
        <v/>
      </c>
      <c r="O551" s="41" t="str">
        <f aca="false">IF($N551="","",ROUND(N($H551)+N($I551),2))</f>
        <v/>
      </c>
      <c r="P551" s="41" t="str">
        <f aca="false">IF($N551="","",0)</f>
        <v/>
      </c>
      <c r="Q551" s="39" t="str">
        <f aca="false">IF($N551="","",IF(N($H551)&gt;0,$K551,$M551))</f>
        <v/>
      </c>
      <c r="R551" s="41" t="str">
        <f aca="false">IF($Q551="","",0)</f>
        <v/>
      </c>
      <c r="S551" s="41" t="str">
        <f aca="false">IF($Q551="","",ROUND(N($H551)+N($I551),2))</f>
        <v/>
      </c>
      <c r="T551" s="42"/>
      <c r="U551" s="44"/>
      <c r="V551" s="41" t="str">
        <f aca="false">IF($B551="","",TEXT($B551,"yyyy年m月"))</f>
        <v/>
      </c>
      <c r="W551" s="42"/>
      <c r="X551" s="42"/>
      <c r="Y551" s="9"/>
    </row>
    <row r="552" customFormat="false" ht="18" hidden="false" customHeight="true" outlineLevel="0" collapsed="false">
      <c r="A552" s="9" t="str">
        <f aca="false">IF($C552="","",ROW()-3)</f>
        <v/>
      </c>
      <c r="B552" s="76"/>
      <c r="C552" s="74"/>
      <c r="D552" s="43"/>
      <c r="E552" s="42"/>
      <c r="F552" s="74"/>
      <c r="G552" s="74"/>
      <c r="H552" s="44"/>
      <c r="I552" s="44"/>
      <c r="J552" s="103" t="str">
        <f aca="false">IF($C552="","",ROUND(IFERROR(INDEX(期初余额!$I$4:$I$43,MATCH($C552,期初余额!$H$4:$H$43,0)),0)+SUMIFS($H$4:$H552,$C$4:$C552,$C552)-SUMIFS($I$4:$I552,$C$4:$C552,$C552),2))</f>
        <v/>
      </c>
      <c r="K552" s="104" t="str">
        <f aca="false">IF($T552&lt;&gt;"",$T552,IF($C552="","",IF(AND(N($I552)&gt;0,$G552&lt;&gt;""),IF(IFERROR(INDEX(科目表!$U$4:$U$123,MATCH($G552,科目表!$M$4:$M$123,0)),"")&amp;""="","管理费用",INDEX(科目表!$U$4:$U$123,MATCH($G552,科目表!$M$4:$M$123,0))),IF(N($H552)&gt;0,IF(IFERROR(INDEX(自动规则!$C$4:$C$143,MATCH($F552,自动规则!$B$4:$B$143,0)),"")&amp;""="","其他应收款",INDEX(自动规则!$C$4:$C$143,MATCH($F552,自动规则!$B$4:$B$143,0))),IF(IFERROR(INDEX(自动规则!$D$4:$D$143,MATCH($F552,自动规则!$B$4:$B$143,0)),"")&amp;""="","其他应付款",INDEX(自动规则!$D$4:$D$143,MATCH($F552,自动规则!$B$4:$B$143,0)))))))</f>
        <v/>
      </c>
      <c r="L552" s="43"/>
      <c r="M552" s="105" t="str">
        <f aca="false">IF($C552="","",IF(IFERROR(INDEX(科目表!$T$4:$T$123,MATCH($C552,科目表!$K$4:$K$123,0)),"")&amp;""="","其他货币资金",INDEX(科目表!$T$4:$T$123,MATCH($C552,科目表!$K$4:$K$123,0))))</f>
        <v/>
      </c>
      <c r="N552" s="39" t="str">
        <f aca="false">IF(OR($C552="",ROUND(N($H552)+N($I552),2)=0),"",IF(N($H552)&gt;0,$M552,$K552))</f>
        <v/>
      </c>
      <c r="O552" s="41" t="str">
        <f aca="false">IF($N552="","",ROUND(N($H552)+N($I552),2))</f>
        <v/>
      </c>
      <c r="P552" s="41" t="str">
        <f aca="false">IF($N552="","",0)</f>
        <v/>
      </c>
      <c r="Q552" s="39" t="str">
        <f aca="false">IF($N552="","",IF(N($H552)&gt;0,$K552,$M552))</f>
        <v/>
      </c>
      <c r="R552" s="41" t="str">
        <f aca="false">IF($Q552="","",0)</f>
        <v/>
      </c>
      <c r="S552" s="41" t="str">
        <f aca="false">IF($Q552="","",ROUND(N($H552)+N($I552),2))</f>
        <v/>
      </c>
      <c r="T552" s="42"/>
      <c r="U552" s="44"/>
      <c r="V552" s="41" t="str">
        <f aca="false">IF($B552="","",TEXT($B552,"yyyy年m月"))</f>
        <v/>
      </c>
      <c r="W552" s="42"/>
      <c r="X552" s="42"/>
      <c r="Y552" s="9"/>
    </row>
    <row r="553" customFormat="false" ht="18" hidden="false" customHeight="true" outlineLevel="0" collapsed="false">
      <c r="A553" s="9" t="str">
        <f aca="false">IF($C553="","",ROW()-3)</f>
        <v/>
      </c>
      <c r="B553" s="76"/>
      <c r="C553" s="74"/>
      <c r="D553" s="43"/>
      <c r="E553" s="42"/>
      <c r="F553" s="74"/>
      <c r="G553" s="74"/>
      <c r="H553" s="44"/>
      <c r="I553" s="44"/>
      <c r="J553" s="103" t="str">
        <f aca="false">IF($C553="","",ROUND(IFERROR(INDEX(期初余额!$I$4:$I$43,MATCH($C553,期初余额!$H$4:$H$43,0)),0)+SUMIFS($H$4:$H553,$C$4:$C553,$C553)-SUMIFS($I$4:$I553,$C$4:$C553,$C553),2))</f>
        <v/>
      </c>
      <c r="K553" s="104" t="str">
        <f aca="false">IF($T553&lt;&gt;"",$T553,IF($C553="","",IF(AND(N($I553)&gt;0,$G553&lt;&gt;""),IF(IFERROR(INDEX(科目表!$U$4:$U$123,MATCH($G553,科目表!$M$4:$M$123,0)),"")&amp;""="","管理费用",INDEX(科目表!$U$4:$U$123,MATCH($G553,科目表!$M$4:$M$123,0))),IF(N($H553)&gt;0,IF(IFERROR(INDEX(自动规则!$C$4:$C$143,MATCH($F553,自动规则!$B$4:$B$143,0)),"")&amp;""="","其他应收款",INDEX(自动规则!$C$4:$C$143,MATCH($F553,自动规则!$B$4:$B$143,0))),IF(IFERROR(INDEX(自动规则!$D$4:$D$143,MATCH($F553,自动规则!$B$4:$B$143,0)),"")&amp;""="","其他应付款",INDEX(自动规则!$D$4:$D$143,MATCH($F553,自动规则!$B$4:$B$143,0)))))))</f>
        <v/>
      </c>
      <c r="L553" s="43"/>
      <c r="M553" s="105" t="str">
        <f aca="false">IF($C553="","",IF(IFERROR(INDEX(科目表!$T$4:$T$123,MATCH($C553,科目表!$K$4:$K$123,0)),"")&amp;""="","其他货币资金",INDEX(科目表!$T$4:$T$123,MATCH($C553,科目表!$K$4:$K$123,0))))</f>
        <v/>
      </c>
      <c r="N553" s="39" t="str">
        <f aca="false">IF(OR($C553="",ROUND(N($H553)+N($I553),2)=0),"",IF(N($H553)&gt;0,$M553,$K553))</f>
        <v/>
      </c>
      <c r="O553" s="41" t="str">
        <f aca="false">IF($N553="","",ROUND(N($H553)+N($I553),2))</f>
        <v/>
      </c>
      <c r="P553" s="41" t="str">
        <f aca="false">IF($N553="","",0)</f>
        <v/>
      </c>
      <c r="Q553" s="39" t="str">
        <f aca="false">IF($N553="","",IF(N($H553)&gt;0,$K553,$M553))</f>
        <v/>
      </c>
      <c r="R553" s="41" t="str">
        <f aca="false">IF($Q553="","",0)</f>
        <v/>
      </c>
      <c r="S553" s="41" t="str">
        <f aca="false">IF($Q553="","",ROUND(N($H553)+N($I553),2))</f>
        <v/>
      </c>
      <c r="T553" s="42"/>
      <c r="U553" s="44"/>
      <c r="V553" s="41" t="str">
        <f aca="false">IF($B553="","",TEXT($B553,"yyyy年m月"))</f>
        <v/>
      </c>
      <c r="W553" s="42"/>
      <c r="X553" s="42"/>
      <c r="Y553" s="9"/>
    </row>
    <row r="554" customFormat="false" ht="18" hidden="false" customHeight="true" outlineLevel="0" collapsed="false">
      <c r="A554" s="9" t="str">
        <f aca="false">IF($C554="","",ROW()-3)</f>
        <v/>
      </c>
      <c r="B554" s="76"/>
      <c r="C554" s="74"/>
      <c r="D554" s="43"/>
      <c r="E554" s="42"/>
      <c r="F554" s="74"/>
      <c r="G554" s="74"/>
      <c r="H554" s="44"/>
      <c r="I554" s="44"/>
      <c r="J554" s="103" t="str">
        <f aca="false">IF($C554="","",ROUND(IFERROR(INDEX(期初余额!$I$4:$I$43,MATCH($C554,期初余额!$H$4:$H$43,0)),0)+SUMIFS($H$4:$H554,$C$4:$C554,$C554)-SUMIFS($I$4:$I554,$C$4:$C554,$C554),2))</f>
        <v/>
      </c>
      <c r="K554" s="104" t="str">
        <f aca="false">IF($T554&lt;&gt;"",$T554,IF($C554="","",IF(AND(N($I554)&gt;0,$G554&lt;&gt;""),IF(IFERROR(INDEX(科目表!$U$4:$U$123,MATCH($G554,科目表!$M$4:$M$123,0)),"")&amp;""="","管理费用",INDEX(科目表!$U$4:$U$123,MATCH($G554,科目表!$M$4:$M$123,0))),IF(N($H554)&gt;0,IF(IFERROR(INDEX(自动规则!$C$4:$C$143,MATCH($F554,自动规则!$B$4:$B$143,0)),"")&amp;""="","其他应收款",INDEX(自动规则!$C$4:$C$143,MATCH($F554,自动规则!$B$4:$B$143,0))),IF(IFERROR(INDEX(自动规则!$D$4:$D$143,MATCH($F554,自动规则!$B$4:$B$143,0)),"")&amp;""="","其他应付款",INDEX(自动规则!$D$4:$D$143,MATCH($F554,自动规则!$B$4:$B$143,0)))))))</f>
        <v/>
      </c>
      <c r="L554" s="43"/>
      <c r="M554" s="105" t="str">
        <f aca="false">IF($C554="","",IF(IFERROR(INDEX(科目表!$T$4:$T$123,MATCH($C554,科目表!$K$4:$K$123,0)),"")&amp;""="","其他货币资金",INDEX(科目表!$T$4:$T$123,MATCH($C554,科目表!$K$4:$K$123,0))))</f>
        <v/>
      </c>
      <c r="N554" s="39" t="str">
        <f aca="false">IF(OR($C554="",ROUND(N($H554)+N($I554),2)=0),"",IF(N($H554)&gt;0,$M554,$K554))</f>
        <v/>
      </c>
      <c r="O554" s="41" t="str">
        <f aca="false">IF($N554="","",ROUND(N($H554)+N($I554),2))</f>
        <v/>
      </c>
      <c r="P554" s="41" t="str">
        <f aca="false">IF($N554="","",0)</f>
        <v/>
      </c>
      <c r="Q554" s="39" t="str">
        <f aca="false">IF($N554="","",IF(N($H554)&gt;0,$K554,$M554))</f>
        <v/>
      </c>
      <c r="R554" s="41" t="str">
        <f aca="false">IF($Q554="","",0)</f>
        <v/>
      </c>
      <c r="S554" s="41" t="str">
        <f aca="false">IF($Q554="","",ROUND(N($H554)+N($I554),2))</f>
        <v/>
      </c>
      <c r="T554" s="42"/>
      <c r="U554" s="44"/>
      <c r="V554" s="41" t="str">
        <f aca="false">IF($B554="","",TEXT($B554,"yyyy年m月"))</f>
        <v/>
      </c>
      <c r="W554" s="42"/>
      <c r="X554" s="42"/>
      <c r="Y554" s="9"/>
    </row>
    <row r="555" customFormat="false" ht="18" hidden="false" customHeight="true" outlineLevel="0" collapsed="false">
      <c r="A555" s="9" t="str">
        <f aca="false">IF($C555="","",ROW()-3)</f>
        <v/>
      </c>
      <c r="B555" s="76"/>
      <c r="C555" s="74"/>
      <c r="D555" s="43"/>
      <c r="E555" s="42"/>
      <c r="F555" s="74"/>
      <c r="G555" s="74"/>
      <c r="H555" s="44"/>
      <c r="I555" s="44"/>
      <c r="J555" s="103" t="str">
        <f aca="false">IF($C555="","",ROUND(IFERROR(INDEX(期初余额!$I$4:$I$43,MATCH($C555,期初余额!$H$4:$H$43,0)),0)+SUMIFS($H$4:$H555,$C$4:$C555,$C555)-SUMIFS($I$4:$I555,$C$4:$C555,$C555),2))</f>
        <v/>
      </c>
      <c r="K555" s="104" t="str">
        <f aca="false">IF($T555&lt;&gt;"",$T555,IF($C555="","",IF(AND(N($I555)&gt;0,$G555&lt;&gt;""),IF(IFERROR(INDEX(科目表!$U$4:$U$123,MATCH($G555,科目表!$M$4:$M$123,0)),"")&amp;""="","管理费用",INDEX(科目表!$U$4:$U$123,MATCH($G555,科目表!$M$4:$M$123,0))),IF(N($H555)&gt;0,IF(IFERROR(INDEX(自动规则!$C$4:$C$143,MATCH($F555,自动规则!$B$4:$B$143,0)),"")&amp;""="","其他应收款",INDEX(自动规则!$C$4:$C$143,MATCH($F555,自动规则!$B$4:$B$143,0))),IF(IFERROR(INDEX(自动规则!$D$4:$D$143,MATCH($F555,自动规则!$B$4:$B$143,0)),"")&amp;""="","其他应付款",INDEX(自动规则!$D$4:$D$143,MATCH($F555,自动规则!$B$4:$B$143,0)))))))</f>
        <v/>
      </c>
      <c r="L555" s="43"/>
      <c r="M555" s="105" t="str">
        <f aca="false">IF($C555="","",IF(IFERROR(INDEX(科目表!$T$4:$T$123,MATCH($C555,科目表!$K$4:$K$123,0)),"")&amp;""="","其他货币资金",INDEX(科目表!$T$4:$T$123,MATCH($C555,科目表!$K$4:$K$123,0))))</f>
        <v/>
      </c>
      <c r="N555" s="39" t="str">
        <f aca="false">IF(OR($C555="",ROUND(N($H555)+N($I555),2)=0),"",IF(N($H555)&gt;0,$M555,$K555))</f>
        <v/>
      </c>
      <c r="O555" s="41" t="str">
        <f aca="false">IF($N555="","",ROUND(N($H555)+N($I555),2))</f>
        <v/>
      </c>
      <c r="P555" s="41" t="str">
        <f aca="false">IF($N555="","",0)</f>
        <v/>
      </c>
      <c r="Q555" s="39" t="str">
        <f aca="false">IF($N555="","",IF(N($H555)&gt;0,$K555,$M555))</f>
        <v/>
      </c>
      <c r="R555" s="41" t="str">
        <f aca="false">IF($Q555="","",0)</f>
        <v/>
      </c>
      <c r="S555" s="41" t="str">
        <f aca="false">IF($Q555="","",ROUND(N($H555)+N($I555),2))</f>
        <v/>
      </c>
      <c r="T555" s="42"/>
      <c r="U555" s="44"/>
      <c r="V555" s="41" t="str">
        <f aca="false">IF($B555="","",TEXT($B555,"yyyy年m月"))</f>
        <v/>
      </c>
      <c r="W555" s="42"/>
      <c r="X555" s="42"/>
      <c r="Y555" s="9"/>
    </row>
    <row r="556" customFormat="false" ht="18" hidden="false" customHeight="true" outlineLevel="0" collapsed="false">
      <c r="A556" s="9" t="str">
        <f aca="false">IF($C556="","",ROW()-3)</f>
        <v/>
      </c>
      <c r="B556" s="76"/>
      <c r="C556" s="74"/>
      <c r="D556" s="43"/>
      <c r="E556" s="42"/>
      <c r="F556" s="74"/>
      <c r="G556" s="74"/>
      <c r="H556" s="44"/>
      <c r="I556" s="44"/>
      <c r="J556" s="103" t="str">
        <f aca="false">IF($C556="","",ROUND(IFERROR(INDEX(期初余额!$I$4:$I$43,MATCH($C556,期初余额!$H$4:$H$43,0)),0)+SUMIFS($H$4:$H556,$C$4:$C556,$C556)-SUMIFS($I$4:$I556,$C$4:$C556,$C556),2))</f>
        <v/>
      </c>
      <c r="K556" s="104" t="str">
        <f aca="false">IF($T556&lt;&gt;"",$T556,IF($C556="","",IF(AND(N($I556)&gt;0,$G556&lt;&gt;""),IF(IFERROR(INDEX(科目表!$U$4:$U$123,MATCH($G556,科目表!$M$4:$M$123,0)),"")&amp;""="","管理费用",INDEX(科目表!$U$4:$U$123,MATCH($G556,科目表!$M$4:$M$123,0))),IF(N($H556)&gt;0,IF(IFERROR(INDEX(自动规则!$C$4:$C$143,MATCH($F556,自动规则!$B$4:$B$143,0)),"")&amp;""="","其他应收款",INDEX(自动规则!$C$4:$C$143,MATCH($F556,自动规则!$B$4:$B$143,0))),IF(IFERROR(INDEX(自动规则!$D$4:$D$143,MATCH($F556,自动规则!$B$4:$B$143,0)),"")&amp;""="","其他应付款",INDEX(自动规则!$D$4:$D$143,MATCH($F556,自动规则!$B$4:$B$143,0)))))))</f>
        <v/>
      </c>
      <c r="L556" s="43"/>
      <c r="M556" s="105" t="str">
        <f aca="false">IF($C556="","",IF(IFERROR(INDEX(科目表!$T$4:$T$123,MATCH($C556,科目表!$K$4:$K$123,0)),"")&amp;""="","其他货币资金",INDEX(科目表!$T$4:$T$123,MATCH($C556,科目表!$K$4:$K$123,0))))</f>
        <v/>
      </c>
      <c r="N556" s="39" t="str">
        <f aca="false">IF(OR($C556="",ROUND(N($H556)+N($I556),2)=0),"",IF(N($H556)&gt;0,$M556,$K556))</f>
        <v/>
      </c>
      <c r="O556" s="41" t="str">
        <f aca="false">IF($N556="","",ROUND(N($H556)+N($I556),2))</f>
        <v/>
      </c>
      <c r="P556" s="41" t="str">
        <f aca="false">IF($N556="","",0)</f>
        <v/>
      </c>
      <c r="Q556" s="39" t="str">
        <f aca="false">IF($N556="","",IF(N($H556)&gt;0,$K556,$M556))</f>
        <v/>
      </c>
      <c r="R556" s="41" t="str">
        <f aca="false">IF($Q556="","",0)</f>
        <v/>
      </c>
      <c r="S556" s="41" t="str">
        <f aca="false">IF($Q556="","",ROUND(N($H556)+N($I556),2))</f>
        <v/>
      </c>
      <c r="T556" s="42"/>
      <c r="U556" s="44"/>
      <c r="V556" s="41" t="str">
        <f aca="false">IF($B556="","",TEXT($B556,"yyyy年m月"))</f>
        <v/>
      </c>
      <c r="W556" s="42"/>
      <c r="X556" s="42"/>
      <c r="Y556" s="9"/>
    </row>
    <row r="557" customFormat="false" ht="18" hidden="false" customHeight="true" outlineLevel="0" collapsed="false">
      <c r="A557" s="9" t="str">
        <f aca="false">IF($C557="","",ROW()-3)</f>
        <v/>
      </c>
      <c r="B557" s="76"/>
      <c r="C557" s="74"/>
      <c r="D557" s="43"/>
      <c r="E557" s="42"/>
      <c r="F557" s="74"/>
      <c r="G557" s="74"/>
      <c r="H557" s="44"/>
      <c r="I557" s="44"/>
      <c r="J557" s="103" t="str">
        <f aca="false">IF($C557="","",ROUND(IFERROR(INDEX(期初余额!$I$4:$I$43,MATCH($C557,期初余额!$H$4:$H$43,0)),0)+SUMIFS($H$4:$H557,$C$4:$C557,$C557)-SUMIFS($I$4:$I557,$C$4:$C557,$C557),2))</f>
        <v/>
      </c>
      <c r="K557" s="104" t="str">
        <f aca="false">IF($T557&lt;&gt;"",$T557,IF($C557="","",IF(AND(N($I557)&gt;0,$G557&lt;&gt;""),IF(IFERROR(INDEX(科目表!$U$4:$U$123,MATCH($G557,科目表!$M$4:$M$123,0)),"")&amp;""="","管理费用",INDEX(科目表!$U$4:$U$123,MATCH($G557,科目表!$M$4:$M$123,0))),IF(N($H557)&gt;0,IF(IFERROR(INDEX(自动规则!$C$4:$C$143,MATCH($F557,自动规则!$B$4:$B$143,0)),"")&amp;""="","其他应收款",INDEX(自动规则!$C$4:$C$143,MATCH($F557,自动规则!$B$4:$B$143,0))),IF(IFERROR(INDEX(自动规则!$D$4:$D$143,MATCH($F557,自动规则!$B$4:$B$143,0)),"")&amp;""="","其他应付款",INDEX(自动规则!$D$4:$D$143,MATCH($F557,自动规则!$B$4:$B$143,0)))))))</f>
        <v/>
      </c>
      <c r="L557" s="43"/>
      <c r="M557" s="105" t="str">
        <f aca="false">IF($C557="","",IF(IFERROR(INDEX(科目表!$T$4:$T$123,MATCH($C557,科目表!$K$4:$K$123,0)),"")&amp;""="","其他货币资金",INDEX(科目表!$T$4:$T$123,MATCH($C557,科目表!$K$4:$K$123,0))))</f>
        <v/>
      </c>
      <c r="N557" s="39" t="str">
        <f aca="false">IF(OR($C557="",ROUND(N($H557)+N($I557),2)=0),"",IF(N($H557)&gt;0,$M557,$K557))</f>
        <v/>
      </c>
      <c r="O557" s="41" t="str">
        <f aca="false">IF($N557="","",ROUND(N($H557)+N($I557),2))</f>
        <v/>
      </c>
      <c r="P557" s="41" t="str">
        <f aca="false">IF($N557="","",0)</f>
        <v/>
      </c>
      <c r="Q557" s="39" t="str">
        <f aca="false">IF($N557="","",IF(N($H557)&gt;0,$K557,$M557))</f>
        <v/>
      </c>
      <c r="R557" s="41" t="str">
        <f aca="false">IF($Q557="","",0)</f>
        <v/>
      </c>
      <c r="S557" s="41" t="str">
        <f aca="false">IF($Q557="","",ROUND(N($H557)+N($I557),2))</f>
        <v/>
      </c>
      <c r="T557" s="42"/>
      <c r="U557" s="44"/>
      <c r="V557" s="41" t="str">
        <f aca="false">IF($B557="","",TEXT($B557,"yyyy年m月"))</f>
        <v/>
      </c>
      <c r="W557" s="42"/>
      <c r="X557" s="42"/>
      <c r="Y557" s="9"/>
    </row>
    <row r="558" customFormat="false" ht="18" hidden="false" customHeight="true" outlineLevel="0" collapsed="false">
      <c r="A558" s="9" t="str">
        <f aca="false">IF($C558="","",ROW()-3)</f>
        <v/>
      </c>
      <c r="B558" s="76"/>
      <c r="C558" s="74"/>
      <c r="D558" s="43"/>
      <c r="E558" s="42"/>
      <c r="F558" s="74"/>
      <c r="G558" s="74"/>
      <c r="H558" s="44"/>
      <c r="I558" s="44"/>
      <c r="J558" s="103" t="str">
        <f aca="false">IF($C558="","",ROUND(IFERROR(INDEX(期初余额!$I$4:$I$43,MATCH($C558,期初余额!$H$4:$H$43,0)),0)+SUMIFS($H$4:$H558,$C$4:$C558,$C558)-SUMIFS($I$4:$I558,$C$4:$C558,$C558),2))</f>
        <v/>
      </c>
      <c r="K558" s="104" t="str">
        <f aca="false">IF($T558&lt;&gt;"",$T558,IF($C558="","",IF(AND(N($I558)&gt;0,$G558&lt;&gt;""),IF(IFERROR(INDEX(科目表!$U$4:$U$123,MATCH($G558,科目表!$M$4:$M$123,0)),"")&amp;""="","管理费用",INDEX(科目表!$U$4:$U$123,MATCH($G558,科目表!$M$4:$M$123,0))),IF(N($H558)&gt;0,IF(IFERROR(INDEX(自动规则!$C$4:$C$143,MATCH($F558,自动规则!$B$4:$B$143,0)),"")&amp;""="","其他应收款",INDEX(自动规则!$C$4:$C$143,MATCH($F558,自动规则!$B$4:$B$143,0))),IF(IFERROR(INDEX(自动规则!$D$4:$D$143,MATCH($F558,自动规则!$B$4:$B$143,0)),"")&amp;""="","其他应付款",INDEX(自动规则!$D$4:$D$143,MATCH($F558,自动规则!$B$4:$B$143,0)))))))</f>
        <v/>
      </c>
      <c r="L558" s="43"/>
      <c r="M558" s="105" t="str">
        <f aca="false">IF($C558="","",IF(IFERROR(INDEX(科目表!$T$4:$T$123,MATCH($C558,科目表!$K$4:$K$123,0)),"")&amp;""="","其他货币资金",INDEX(科目表!$T$4:$T$123,MATCH($C558,科目表!$K$4:$K$123,0))))</f>
        <v/>
      </c>
      <c r="N558" s="39" t="str">
        <f aca="false">IF(OR($C558="",ROUND(N($H558)+N($I558),2)=0),"",IF(N($H558)&gt;0,$M558,$K558))</f>
        <v/>
      </c>
      <c r="O558" s="41" t="str">
        <f aca="false">IF($N558="","",ROUND(N($H558)+N($I558),2))</f>
        <v/>
      </c>
      <c r="P558" s="41" t="str">
        <f aca="false">IF($N558="","",0)</f>
        <v/>
      </c>
      <c r="Q558" s="39" t="str">
        <f aca="false">IF($N558="","",IF(N($H558)&gt;0,$K558,$M558))</f>
        <v/>
      </c>
      <c r="R558" s="41" t="str">
        <f aca="false">IF($Q558="","",0)</f>
        <v/>
      </c>
      <c r="S558" s="41" t="str">
        <f aca="false">IF($Q558="","",ROUND(N($H558)+N($I558),2))</f>
        <v/>
      </c>
      <c r="T558" s="42"/>
      <c r="U558" s="44"/>
      <c r="V558" s="41" t="str">
        <f aca="false">IF($B558="","",TEXT($B558,"yyyy年m月"))</f>
        <v/>
      </c>
      <c r="W558" s="42"/>
      <c r="X558" s="42"/>
      <c r="Y558" s="9"/>
    </row>
    <row r="559" customFormat="false" ht="18" hidden="false" customHeight="true" outlineLevel="0" collapsed="false">
      <c r="A559" s="9" t="str">
        <f aca="false">IF($C559="","",ROW()-3)</f>
        <v/>
      </c>
      <c r="B559" s="76"/>
      <c r="C559" s="74"/>
      <c r="D559" s="43"/>
      <c r="E559" s="42"/>
      <c r="F559" s="74"/>
      <c r="G559" s="74"/>
      <c r="H559" s="44"/>
      <c r="I559" s="44"/>
      <c r="J559" s="103" t="str">
        <f aca="false">IF($C559="","",ROUND(IFERROR(INDEX(期初余额!$I$4:$I$43,MATCH($C559,期初余额!$H$4:$H$43,0)),0)+SUMIFS($H$4:$H559,$C$4:$C559,$C559)-SUMIFS($I$4:$I559,$C$4:$C559,$C559),2))</f>
        <v/>
      </c>
      <c r="K559" s="104" t="str">
        <f aca="false">IF($T559&lt;&gt;"",$T559,IF($C559="","",IF(AND(N($I559)&gt;0,$G559&lt;&gt;""),IF(IFERROR(INDEX(科目表!$U$4:$U$123,MATCH($G559,科目表!$M$4:$M$123,0)),"")&amp;""="","管理费用",INDEX(科目表!$U$4:$U$123,MATCH($G559,科目表!$M$4:$M$123,0))),IF(N($H559)&gt;0,IF(IFERROR(INDEX(自动规则!$C$4:$C$143,MATCH($F559,自动规则!$B$4:$B$143,0)),"")&amp;""="","其他应收款",INDEX(自动规则!$C$4:$C$143,MATCH($F559,自动规则!$B$4:$B$143,0))),IF(IFERROR(INDEX(自动规则!$D$4:$D$143,MATCH($F559,自动规则!$B$4:$B$143,0)),"")&amp;""="","其他应付款",INDEX(自动规则!$D$4:$D$143,MATCH($F559,自动规则!$B$4:$B$143,0)))))))</f>
        <v/>
      </c>
      <c r="L559" s="43"/>
      <c r="M559" s="105" t="str">
        <f aca="false">IF($C559="","",IF(IFERROR(INDEX(科目表!$T$4:$T$123,MATCH($C559,科目表!$K$4:$K$123,0)),"")&amp;""="","其他货币资金",INDEX(科目表!$T$4:$T$123,MATCH($C559,科目表!$K$4:$K$123,0))))</f>
        <v/>
      </c>
      <c r="N559" s="39" t="str">
        <f aca="false">IF(OR($C559="",ROUND(N($H559)+N($I559),2)=0),"",IF(N($H559)&gt;0,$M559,$K559))</f>
        <v/>
      </c>
      <c r="O559" s="41" t="str">
        <f aca="false">IF($N559="","",ROUND(N($H559)+N($I559),2))</f>
        <v/>
      </c>
      <c r="P559" s="41" t="str">
        <f aca="false">IF($N559="","",0)</f>
        <v/>
      </c>
      <c r="Q559" s="39" t="str">
        <f aca="false">IF($N559="","",IF(N($H559)&gt;0,$K559,$M559))</f>
        <v/>
      </c>
      <c r="R559" s="41" t="str">
        <f aca="false">IF($Q559="","",0)</f>
        <v/>
      </c>
      <c r="S559" s="41" t="str">
        <f aca="false">IF($Q559="","",ROUND(N($H559)+N($I559),2))</f>
        <v/>
      </c>
      <c r="T559" s="42"/>
      <c r="U559" s="44"/>
      <c r="V559" s="41" t="str">
        <f aca="false">IF($B559="","",TEXT($B559,"yyyy年m月"))</f>
        <v/>
      </c>
      <c r="W559" s="42"/>
      <c r="X559" s="42"/>
      <c r="Y559" s="9"/>
    </row>
    <row r="560" customFormat="false" ht="18" hidden="false" customHeight="true" outlineLevel="0" collapsed="false">
      <c r="A560" s="9" t="str">
        <f aca="false">IF($C560="","",ROW()-3)</f>
        <v/>
      </c>
      <c r="B560" s="76"/>
      <c r="C560" s="74"/>
      <c r="D560" s="43"/>
      <c r="E560" s="42"/>
      <c r="F560" s="74"/>
      <c r="G560" s="74"/>
      <c r="H560" s="44"/>
      <c r="I560" s="44"/>
      <c r="J560" s="103" t="str">
        <f aca="false">IF($C560="","",ROUND(IFERROR(INDEX(期初余额!$I$4:$I$43,MATCH($C560,期初余额!$H$4:$H$43,0)),0)+SUMIFS($H$4:$H560,$C$4:$C560,$C560)-SUMIFS($I$4:$I560,$C$4:$C560,$C560),2))</f>
        <v/>
      </c>
      <c r="K560" s="104" t="str">
        <f aca="false">IF($T560&lt;&gt;"",$T560,IF($C560="","",IF(AND(N($I560)&gt;0,$G560&lt;&gt;""),IF(IFERROR(INDEX(科目表!$U$4:$U$123,MATCH($G560,科目表!$M$4:$M$123,0)),"")&amp;""="","管理费用",INDEX(科目表!$U$4:$U$123,MATCH($G560,科目表!$M$4:$M$123,0))),IF(N($H560)&gt;0,IF(IFERROR(INDEX(自动规则!$C$4:$C$143,MATCH($F560,自动规则!$B$4:$B$143,0)),"")&amp;""="","其他应收款",INDEX(自动规则!$C$4:$C$143,MATCH($F560,自动规则!$B$4:$B$143,0))),IF(IFERROR(INDEX(自动规则!$D$4:$D$143,MATCH($F560,自动规则!$B$4:$B$143,0)),"")&amp;""="","其他应付款",INDEX(自动规则!$D$4:$D$143,MATCH($F560,自动规则!$B$4:$B$143,0)))))))</f>
        <v/>
      </c>
      <c r="L560" s="43"/>
      <c r="M560" s="105" t="str">
        <f aca="false">IF($C560="","",IF(IFERROR(INDEX(科目表!$T$4:$T$123,MATCH($C560,科目表!$K$4:$K$123,0)),"")&amp;""="","其他货币资金",INDEX(科目表!$T$4:$T$123,MATCH($C560,科目表!$K$4:$K$123,0))))</f>
        <v/>
      </c>
      <c r="N560" s="39" t="str">
        <f aca="false">IF(OR($C560="",ROUND(N($H560)+N($I560),2)=0),"",IF(N($H560)&gt;0,$M560,$K560))</f>
        <v/>
      </c>
      <c r="O560" s="41" t="str">
        <f aca="false">IF($N560="","",ROUND(N($H560)+N($I560),2))</f>
        <v/>
      </c>
      <c r="P560" s="41" t="str">
        <f aca="false">IF($N560="","",0)</f>
        <v/>
      </c>
      <c r="Q560" s="39" t="str">
        <f aca="false">IF($N560="","",IF(N($H560)&gt;0,$K560,$M560))</f>
        <v/>
      </c>
      <c r="R560" s="41" t="str">
        <f aca="false">IF($Q560="","",0)</f>
        <v/>
      </c>
      <c r="S560" s="41" t="str">
        <f aca="false">IF($Q560="","",ROUND(N($H560)+N($I560),2))</f>
        <v/>
      </c>
      <c r="T560" s="42"/>
      <c r="U560" s="44"/>
      <c r="V560" s="41" t="str">
        <f aca="false">IF($B560="","",TEXT($B560,"yyyy年m月"))</f>
        <v/>
      </c>
      <c r="W560" s="42"/>
      <c r="X560" s="42"/>
      <c r="Y560" s="9"/>
    </row>
    <row r="561" customFormat="false" ht="18" hidden="false" customHeight="true" outlineLevel="0" collapsed="false">
      <c r="A561" s="9" t="str">
        <f aca="false">IF($C561="","",ROW()-3)</f>
        <v/>
      </c>
      <c r="B561" s="76"/>
      <c r="C561" s="74"/>
      <c r="D561" s="43"/>
      <c r="E561" s="42"/>
      <c r="F561" s="74"/>
      <c r="G561" s="74"/>
      <c r="H561" s="44"/>
      <c r="I561" s="44"/>
      <c r="J561" s="103" t="str">
        <f aca="false">IF($C561="","",ROUND(IFERROR(INDEX(期初余额!$I$4:$I$43,MATCH($C561,期初余额!$H$4:$H$43,0)),0)+SUMIFS($H$4:$H561,$C$4:$C561,$C561)-SUMIFS($I$4:$I561,$C$4:$C561,$C561),2))</f>
        <v/>
      </c>
      <c r="K561" s="104" t="str">
        <f aca="false">IF($T561&lt;&gt;"",$T561,IF($C561="","",IF(AND(N($I561)&gt;0,$G561&lt;&gt;""),IF(IFERROR(INDEX(科目表!$U$4:$U$123,MATCH($G561,科目表!$M$4:$M$123,0)),"")&amp;""="","管理费用",INDEX(科目表!$U$4:$U$123,MATCH($G561,科目表!$M$4:$M$123,0))),IF(N($H561)&gt;0,IF(IFERROR(INDEX(自动规则!$C$4:$C$143,MATCH($F561,自动规则!$B$4:$B$143,0)),"")&amp;""="","其他应收款",INDEX(自动规则!$C$4:$C$143,MATCH($F561,自动规则!$B$4:$B$143,0))),IF(IFERROR(INDEX(自动规则!$D$4:$D$143,MATCH($F561,自动规则!$B$4:$B$143,0)),"")&amp;""="","其他应付款",INDEX(自动规则!$D$4:$D$143,MATCH($F561,自动规则!$B$4:$B$143,0)))))))</f>
        <v/>
      </c>
      <c r="L561" s="43"/>
      <c r="M561" s="105" t="str">
        <f aca="false">IF($C561="","",IF(IFERROR(INDEX(科目表!$T$4:$T$123,MATCH($C561,科目表!$K$4:$K$123,0)),"")&amp;""="","其他货币资金",INDEX(科目表!$T$4:$T$123,MATCH($C561,科目表!$K$4:$K$123,0))))</f>
        <v/>
      </c>
      <c r="N561" s="39" t="str">
        <f aca="false">IF(OR($C561="",ROUND(N($H561)+N($I561),2)=0),"",IF(N($H561)&gt;0,$M561,$K561))</f>
        <v/>
      </c>
      <c r="O561" s="41" t="str">
        <f aca="false">IF($N561="","",ROUND(N($H561)+N($I561),2))</f>
        <v/>
      </c>
      <c r="P561" s="41" t="str">
        <f aca="false">IF($N561="","",0)</f>
        <v/>
      </c>
      <c r="Q561" s="39" t="str">
        <f aca="false">IF($N561="","",IF(N($H561)&gt;0,$K561,$M561))</f>
        <v/>
      </c>
      <c r="R561" s="41" t="str">
        <f aca="false">IF($Q561="","",0)</f>
        <v/>
      </c>
      <c r="S561" s="41" t="str">
        <f aca="false">IF($Q561="","",ROUND(N($H561)+N($I561),2))</f>
        <v/>
      </c>
      <c r="T561" s="42"/>
      <c r="U561" s="44"/>
      <c r="V561" s="41" t="str">
        <f aca="false">IF($B561="","",TEXT($B561,"yyyy年m月"))</f>
        <v/>
      </c>
      <c r="W561" s="42"/>
      <c r="X561" s="42"/>
      <c r="Y561" s="9"/>
    </row>
    <row r="562" customFormat="false" ht="18" hidden="false" customHeight="true" outlineLevel="0" collapsed="false">
      <c r="A562" s="9" t="str">
        <f aca="false">IF($C562="","",ROW()-3)</f>
        <v/>
      </c>
      <c r="B562" s="76"/>
      <c r="C562" s="74"/>
      <c r="D562" s="43"/>
      <c r="E562" s="42"/>
      <c r="F562" s="74"/>
      <c r="G562" s="74"/>
      <c r="H562" s="44"/>
      <c r="I562" s="44"/>
      <c r="J562" s="103" t="str">
        <f aca="false">IF($C562="","",ROUND(IFERROR(INDEX(期初余额!$I$4:$I$43,MATCH($C562,期初余额!$H$4:$H$43,0)),0)+SUMIFS($H$4:$H562,$C$4:$C562,$C562)-SUMIFS($I$4:$I562,$C$4:$C562,$C562),2))</f>
        <v/>
      </c>
      <c r="K562" s="104" t="str">
        <f aca="false">IF($T562&lt;&gt;"",$T562,IF($C562="","",IF(AND(N($I562)&gt;0,$G562&lt;&gt;""),IF(IFERROR(INDEX(科目表!$U$4:$U$123,MATCH($G562,科目表!$M$4:$M$123,0)),"")&amp;""="","管理费用",INDEX(科目表!$U$4:$U$123,MATCH($G562,科目表!$M$4:$M$123,0))),IF(N($H562)&gt;0,IF(IFERROR(INDEX(自动规则!$C$4:$C$143,MATCH($F562,自动规则!$B$4:$B$143,0)),"")&amp;""="","其他应收款",INDEX(自动规则!$C$4:$C$143,MATCH($F562,自动规则!$B$4:$B$143,0))),IF(IFERROR(INDEX(自动规则!$D$4:$D$143,MATCH($F562,自动规则!$B$4:$B$143,0)),"")&amp;""="","其他应付款",INDEX(自动规则!$D$4:$D$143,MATCH($F562,自动规则!$B$4:$B$143,0)))))))</f>
        <v/>
      </c>
      <c r="L562" s="43"/>
      <c r="M562" s="105" t="str">
        <f aca="false">IF($C562="","",IF(IFERROR(INDEX(科目表!$T$4:$T$123,MATCH($C562,科目表!$K$4:$K$123,0)),"")&amp;""="","其他货币资金",INDEX(科目表!$T$4:$T$123,MATCH($C562,科目表!$K$4:$K$123,0))))</f>
        <v/>
      </c>
      <c r="N562" s="39" t="str">
        <f aca="false">IF(OR($C562="",ROUND(N($H562)+N($I562),2)=0),"",IF(N($H562)&gt;0,$M562,$K562))</f>
        <v/>
      </c>
      <c r="O562" s="41" t="str">
        <f aca="false">IF($N562="","",ROUND(N($H562)+N($I562),2))</f>
        <v/>
      </c>
      <c r="P562" s="41" t="str">
        <f aca="false">IF($N562="","",0)</f>
        <v/>
      </c>
      <c r="Q562" s="39" t="str">
        <f aca="false">IF($N562="","",IF(N($H562)&gt;0,$K562,$M562))</f>
        <v/>
      </c>
      <c r="R562" s="41" t="str">
        <f aca="false">IF($Q562="","",0)</f>
        <v/>
      </c>
      <c r="S562" s="41" t="str">
        <f aca="false">IF($Q562="","",ROUND(N($H562)+N($I562),2))</f>
        <v/>
      </c>
      <c r="T562" s="42"/>
      <c r="U562" s="44"/>
      <c r="V562" s="41" t="str">
        <f aca="false">IF($B562="","",TEXT($B562,"yyyy年m月"))</f>
        <v/>
      </c>
      <c r="W562" s="42"/>
      <c r="X562" s="42"/>
      <c r="Y562" s="9"/>
    </row>
    <row r="563" customFormat="false" ht="18" hidden="false" customHeight="true" outlineLevel="0" collapsed="false">
      <c r="A563" s="9" t="str">
        <f aca="false">IF($C563="","",ROW()-3)</f>
        <v/>
      </c>
      <c r="B563" s="76"/>
      <c r="C563" s="74"/>
      <c r="D563" s="43"/>
      <c r="E563" s="42"/>
      <c r="F563" s="74"/>
      <c r="G563" s="74"/>
      <c r="H563" s="44"/>
      <c r="I563" s="44"/>
      <c r="J563" s="103" t="str">
        <f aca="false">IF($C563="","",ROUND(IFERROR(INDEX(期初余额!$I$4:$I$43,MATCH($C563,期初余额!$H$4:$H$43,0)),0)+SUMIFS($H$4:$H563,$C$4:$C563,$C563)-SUMIFS($I$4:$I563,$C$4:$C563,$C563),2))</f>
        <v/>
      </c>
      <c r="K563" s="104" t="str">
        <f aca="false">IF($T563&lt;&gt;"",$T563,IF($C563="","",IF(AND(N($I563)&gt;0,$G563&lt;&gt;""),IF(IFERROR(INDEX(科目表!$U$4:$U$123,MATCH($G563,科目表!$M$4:$M$123,0)),"")&amp;""="","管理费用",INDEX(科目表!$U$4:$U$123,MATCH($G563,科目表!$M$4:$M$123,0))),IF(N($H563)&gt;0,IF(IFERROR(INDEX(自动规则!$C$4:$C$143,MATCH($F563,自动规则!$B$4:$B$143,0)),"")&amp;""="","其他应收款",INDEX(自动规则!$C$4:$C$143,MATCH($F563,自动规则!$B$4:$B$143,0))),IF(IFERROR(INDEX(自动规则!$D$4:$D$143,MATCH($F563,自动规则!$B$4:$B$143,0)),"")&amp;""="","其他应付款",INDEX(自动规则!$D$4:$D$143,MATCH($F563,自动规则!$B$4:$B$143,0)))))))</f>
        <v/>
      </c>
      <c r="L563" s="43"/>
      <c r="M563" s="105" t="str">
        <f aca="false">IF($C563="","",IF(IFERROR(INDEX(科目表!$T$4:$T$123,MATCH($C563,科目表!$K$4:$K$123,0)),"")&amp;""="","其他货币资金",INDEX(科目表!$T$4:$T$123,MATCH($C563,科目表!$K$4:$K$123,0))))</f>
        <v/>
      </c>
      <c r="N563" s="39" t="str">
        <f aca="false">IF(OR($C563="",ROUND(N($H563)+N($I563),2)=0),"",IF(N($H563)&gt;0,$M563,$K563))</f>
        <v/>
      </c>
      <c r="O563" s="41" t="str">
        <f aca="false">IF($N563="","",ROUND(N($H563)+N($I563),2))</f>
        <v/>
      </c>
      <c r="P563" s="41" t="str">
        <f aca="false">IF($N563="","",0)</f>
        <v/>
      </c>
      <c r="Q563" s="39" t="str">
        <f aca="false">IF($N563="","",IF(N($H563)&gt;0,$K563,$M563))</f>
        <v/>
      </c>
      <c r="R563" s="41" t="str">
        <f aca="false">IF($Q563="","",0)</f>
        <v/>
      </c>
      <c r="S563" s="41" t="str">
        <f aca="false">IF($Q563="","",ROUND(N($H563)+N($I563),2))</f>
        <v/>
      </c>
      <c r="T563" s="42"/>
      <c r="U563" s="44"/>
      <c r="V563" s="41" t="str">
        <f aca="false">IF($B563="","",TEXT($B563,"yyyy年m月"))</f>
        <v/>
      </c>
      <c r="W563" s="42"/>
      <c r="X563" s="42"/>
      <c r="Y563" s="9"/>
    </row>
    <row r="564" customFormat="false" ht="18" hidden="false" customHeight="true" outlineLevel="0" collapsed="false">
      <c r="A564" s="9" t="str">
        <f aca="false">IF($C564="","",ROW()-3)</f>
        <v/>
      </c>
      <c r="B564" s="76"/>
      <c r="C564" s="74"/>
      <c r="D564" s="43"/>
      <c r="E564" s="42"/>
      <c r="F564" s="74"/>
      <c r="G564" s="74"/>
      <c r="H564" s="44"/>
      <c r="I564" s="44"/>
      <c r="J564" s="103" t="str">
        <f aca="false">IF($C564="","",ROUND(IFERROR(INDEX(期初余额!$I$4:$I$43,MATCH($C564,期初余额!$H$4:$H$43,0)),0)+SUMIFS($H$4:$H564,$C$4:$C564,$C564)-SUMIFS($I$4:$I564,$C$4:$C564,$C564),2))</f>
        <v/>
      </c>
      <c r="K564" s="104" t="str">
        <f aca="false">IF($T564&lt;&gt;"",$T564,IF($C564="","",IF(AND(N($I564)&gt;0,$G564&lt;&gt;""),IF(IFERROR(INDEX(科目表!$U$4:$U$123,MATCH($G564,科目表!$M$4:$M$123,0)),"")&amp;""="","管理费用",INDEX(科目表!$U$4:$U$123,MATCH($G564,科目表!$M$4:$M$123,0))),IF(N($H564)&gt;0,IF(IFERROR(INDEX(自动规则!$C$4:$C$143,MATCH($F564,自动规则!$B$4:$B$143,0)),"")&amp;""="","其他应收款",INDEX(自动规则!$C$4:$C$143,MATCH($F564,自动规则!$B$4:$B$143,0))),IF(IFERROR(INDEX(自动规则!$D$4:$D$143,MATCH($F564,自动规则!$B$4:$B$143,0)),"")&amp;""="","其他应付款",INDEX(自动规则!$D$4:$D$143,MATCH($F564,自动规则!$B$4:$B$143,0)))))))</f>
        <v/>
      </c>
      <c r="L564" s="43"/>
      <c r="M564" s="105" t="str">
        <f aca="false">IF($C564="","",IF(IFERROR(INDEX(科目表!$T$4:$T$123,MATCH($C564,科目表!$K$4:$K$123,0)),"")&amp;""="","其他货币资金",INDEX(科目表!$T$4:$T$123,MATCH($C564,科目表!$K$4:$K$123,0))))</f>
        <v/>
      </c>
      <c r="N564" s="39" t="str">
        <f aca="false">IF(OR($C564="",ROUND(N($H564)+N($I564),2)=0),"",IF(N($H564)&gt;0,$M564,$K564))</f>
        <v/>
      </c>
      <c r="O564" s="41" t="str">
        <f aca="false">IF($N564="","",ROUND(N($H564)+N($I564),2))</f>
        <v/>
      </c>
      <c r="P564" s="41" t="str">
        <f aca="false">IF($N564="","",0)</f>
        <v/>
      </c>
      <c r="Q564" s="39" t="str">
        <f aca="false">IF($N564="","",IF(N($H564)&gt;0,$K564,$M564))</f>
        <v/>
      </c>
      <c r="R564" s="41" t="str">
        <f aca="false">IF($Q564="","",0)</f>
        <v/>
      </c>
      <c r="S564" s="41" t="str">
        <f aca="false">IF($Q564="","",ROUND(N($H564)+N($I564),2))</f>
        <v/>
      </c>
      <c r="T564" s="42"/>
      <c r="U564" s="44"/>
      <c r="V564" s="41" t="str">
        <f aca="false">IF($B564="","",TEXT($B564,"yyyy年m月"))</f>
        <v/>
      </c>
      <c r="W564" s="42"/>
      <c r="X564" s="42"/>
      <c r="Y564" s="9"/>
    </row>
    <row r="565" customFormat="false" ht="18" hidden="false" customHeight="true" outlineLevel="0" collapsed="false">
      <c r="A565" s="9" t="str">
        <f aca="false">IF($C565="","",ROW()-3)</f>
        <v/>
      </c>
      <c r="B565" s="76"/>
      <c r="C565" s="74"/>
      <c r="D565" s="43"/>
      <c r="E565" s="42"/>
      <c r="F565" s="74"/>
      <c r="G565" s="74"/>
      <c r="H565" s="44"/>
      <c r="I565" s="44"/>
      <c r="J565" s="103" t="str">
        <f aca="false">IF($C565="","",ROUND(IFERROR(INDEX(期初余额!$I$4:$I$43,MATCH($C565,期初余额!$H$4:$H$43,0)),0)+SUMIFS($H$4:$H565,$C$4:$C565,$C565)-SUMIFS($I$4:$I565,$C$4:$C565,$C565),2))</f>
        <v/>
      </c>
      <c r="K565" s="104" t="str">
        <f aca="false">IF($T565&lt;&gt;"",$T565,IF($C565="","",IF(AND(N($I565)&gt;0,$G565&lt;&gt;""),IF(IFERROR(INDEX(科目表!$U$4:$U$123,MATCH($G565,科目表!$M$4:$M$123,0)),"")&amp;""="","管理费用",INDEX(科目表!$U$4:$U$123,MATCH($G565,科目表!$M$4:$M$123,0))),IF(N($H565)&gt;0,IF(IFERROR(INDEX(自动规则!$C$4:$C$143,MATCH($F565,自动规则!$B$4:$B$143,0)),"")&amp;""="","其他应收款",INDEX(自动规则!$C$4:$C$143,MATCH($F565,自动规则!$B$4:$B$143,0))),IF(IFERROR(INDEX(自动规则!$D$4:$D$143,MATCH($F565,自动规则!$B$4:$B$143,0)),"")&amp;""="","其他应付款",INDEX(自动规则!$D$4:$D$143,MATCH($F565,自动规则!$B$4:$B$143,0)))))))</f>
        <v/>
      </c>
      <c r="L565" s="43"/>
      <c r="M565" s="105" t="str">
        <f aca="false">IF($C565="","",IF(IFERROR(INDEX(科目表!$T$4:$T$123,MATCH($C565,科目表!$K$4:$K$123,0)),"")&amp;""="","其他货币资金",INDEX(科目表!$T$4:$T$123,MATCH($C565,科目表!$K$4:$K$123,0))))</f>
        <v/>
      </c>
      <c r="N565" s="39" t="str">
        <f aca="false">IF(OR($C565="",ROUND(N($H565)+N($I565),2)=0),"",IF(N($H565)&gt;0,$M565,$K565))</f>
        <v/>
      </c>
      <c r="O565" s="41" t="str">
        <f aca="false">IF($N565="","",ROUND(N($H565)+N($I565),2))</f>
        <v/>
      </c>
      <c r="P565" s="41" t="str">
        <f aca="false">IF($N565="","",0)</f>
        <v/>
      </c>
      <c r="Q565" s="39" t="str">
        <f aca="false">IF($N565="","",IF(N($H565)&gt;0,$K565,$M565))</f>
        <v/>
      </c>
      <c r="R565" s="41" t="str">
        <f aca="false">IF($Q565="","",0)</f>
        <v/>
      </c>
      <c r="S565" s="41" t="str">
        <f aca="false">IF($Q565="","",ROUND(N($H565)+N($I565),2))</f>
        <v/>
      </c>
      <c r="T565" s="42"/>
      <c r="U565" s="44"/>
      <c r="V565" s="41" t="str">
        <f aca="false">IF($B565="","",TEXT($B565,"yyyy年m月"))</f>
        <v/>
      </c>
      <c r="W565" s="42"/>
      <c r="X565" s="42"/>
      <c r="Y565" s="9"/>
    </row>
    <row r="566" customFormat="false" ht="18" hidden="false" customHeight="true" outlineLevel="0" collapsed="false">
      <c r="A566" s="9" t="str">
        <f aca="false">IF($C566="","",ROW()-3)</f>
        <v/>
      </c>
      <c r="B566" s="76"/>
      <c r="C566" s="74"/>
      <c r="D566" s="43"/>
      <c r="E566" s="42"/>
      <c r="F566" s="74"/>
      <c r="G566" s="74"/>
      <c r="H566" s="44"/>
      <c r="I566" s="44"/>
      <c r="J566" s="103" t="str">
        <f aca="false">IF($C566="","",ROUND(IFERROR(INDEX(期初余额!$I$4:$I$43,MATCH($C566,期初余额!$H$4:$H$43,0)),0)+SUMIFS($H$4:$H566,$C$4:$C566,$C566)-SUMIFS($I$4:$I566,$C$4:$C566,$C566),2))</f>
        <v/>
      </c>
      <c r="K566" s="104" t="str">
        <f aca="false">IF($T566&lt;&gt;"",$T566,IF($C566="","",IF(AND(N($I566)&gt;0,$G566&lt;&gt;""),IF(IFERROR(INDEX(科目表!$U$4:$U$123,MATCH($G566,科目表!$M$4:$M$123,0)),"")&amp;""="","管理费用",INDEX(科目表!$U$4:$U$123,MATCH($G566,科目表!$M$4:$M$123,0))),IF(N($H566)&gt;0,IF(IFERROR(INDEX(自动规则!$C$4:$C$143,MATCH($F566,自动规则!$B$4:$B$143,0)),"")&amp;""="","其他应收款",INDEX(自动规则!$C$4:$C$143,MATCH($F566,自动规则!$B$4:$B$143,0))),IF(IFERROR(INDEX(自动规则!$D$4:$D$143,MATCH($F566,自动规则!$B$4:$B$143,0)),"")&amp;""="","其他应付款",INDEX(自动规则!$D$4:$D$143,MATCH($F566,自动规则!$B$4:$B$143,0)))))))</f>
        <v/>
      </c>
      <c r="L566" s="43"/>
      <c r="M566" s="105" t="str">
        <f aca="false">IF($C566="","",IF(IFERROR(INDEX(科目表!$T$4:$T$123,MATCH($C566,科目表!$K$4:$K$123,0)),"")&amp;""="","其他货币资金",INDEX(科目表!$T$4:$T$123,MATCH($C566,科目表!$K$4:$K$123,0))))</f>
        <v/>
      </c>
      <c r="N566" s="39" t="str">
        <f aca="false">IF(OR($C566="",ROUND(N($H566)+N($I566),2)=0),"",IF(N($H566)&gt;0,$M566,$K566))</f>
        <v/>
      </c>
      <c r="O566" s="41" t="str">
        <f aca="false">IF($N566="","",ROUND(N($H566)+N($I566),2))</f>
        <v/>
      </c>
      <c r="P566" s="41" t="str">
        <f aca="false">IF($N566="","",0)</f>
        <v/>
      </c>
      <c r="Q566" s="39" t="str">
        <f aca="false">IF($N566="","",IF(N($H566)&gt;0,$K566,$M566))</f>
        <v/>
      </c>
      <c r="R566" s="41" t="str">
        <f aca="false">IF($Q566="","",0)</f>
        <v/>
      </c>
      <c r="S566" s="41" t="str">
        <f aca="false">IF($Q566="","",ROUND(N($H566)+N($I566),2))</f>
        <v/>
      </c>
      <c r="T566" s="42"/>
      <c r="U566" s="44"/>
      <c r="V566" s="41" t="str">
        <f aca="false">IF($B566="","",TEXT($B566,"yyyy年m月"))</f>
        <v/>
      </c>
      <c r="W566" s="42"/>
      <c r="X566" s="42"/>
      <c r="Y566" s="9"/>
    </row>
    <row r="567" customFormat="false" ht="18" hidden="false" customHeight="true" outlineLevel="0" collapsed="false">
      <c r="A567" s="9" t="str">
        <f aca="false">IF($C567="","",ROW()-3)</f>
        <v/>
      </c>
      <c r="B567" s="76"/>
      <c r="C567" s="74"/>
      <c r="D567" s="43"/>
      <c r="E567" s="42"/>
      <c r="F567" s="74"/>
      <c r="G567" s="74"/>
      <c r="H567" s="44"/>
      <c r="I567" s="44"/>
      <c r="J567" s="103" t="str">
        <f aca="false">IF($C567="","",ROUND(IFERROR(INDEX(期初余额!$I$4:$I$43,MATCH($C567,期初余额!$H$4:$H$43,0)),0)+SUMIFS($H$4:$H567,$C$4:$C567,$C567)-SUMIFS($I$4:$I567,$C$4:$C567,$C567),2))</f>
        <v/>
      </c>
      <c r="K567" s="104" t="str">
        <f aca="false">IF($T567&lt;&gt;"",$T567,IF($C567="","",IF(AND(N($I567)&gt;0,$G567&lt;&gt;""),IF(IFERROR(INDEX(科目表!$U$4:$U$123,MATCH($G567,科目表!$M$4:$M$123,0)),"")&amp;""="","管理费用",INDEX(科目表!$U$4:$U$123,MATCH($G567,科目表!$M$4:$M$123,0))),IF(N($H567)&gt;0,IF(IFERROR(INDEX(自动规则!$C$4:$C$143,MATCH($F567,自动规则!$B$4:$B$143,0)),"")&amp;""="","其他应收款",INDEX(自动规则!$C$4:$C$143,MATCH($F567,自动规则!$B$4:$B$143,0))),IF(IFERROR(INDEX(自动规则!$D$4:$D$143,MATCH($F567,自动规则!$B$4:$B$143,0)),"")&amp;""="","其他应付款",INDEX(自动规则!$D$4:$D$143,MATCH($F567,自动规则!$B$4:$B$143,0)))))))</f>
        <v/>
      </c>
      <c r="L567" s="43"/>
      <c r="M567" s="105" t="str">
        <f aca="false">IF($C567="","",IF(IFERROR(INDEX(科目表!$T$4:$T$123,MATCH($C567,科目表!$K$4:$K$123,0)),"")&amp;""="","其他货币资金",INDEX(科目表!$T$4:$T$123,MATCH($C567,科目表!$K$4:$K$123,0))))</f>
        <v/>
      </c>
      <c r="N567" s="39" t="str">
        <f aca="false">IF(OR($C567="",ROUND(N($H567)+N($I567),2)=0),"",IF(N($H567)&gt;0,$M567,$K567))</f>
        <v/>
      </c>
      <c r="O567" s="41" t="str">
        <f aca="false">IF($N567="","",ROUND(N($H567)+N($I567),2))</f>
        <v/>
      </c>
      <c r="P567" s="41" t="str">
        <f aca="false">IF($N567="","",0)</f>
        <v/>
      </c>
      <c r="Q567" s="39" t="str">
        <f aca="false">IF($N567="","",IF(N($H567)&gt;0,$K567,$M567))</f>
        <v/>
      </c>
      <c r="R567" s="41" t="str">
        <f aca="false">IF($Q567="","",0)</f>
        <v/>
      </c>
      <c r="S567" s="41" t="str">
        <f aca="false">IF($Q567="","",ROUND(N($H567)+N($I567),2))</f>
        <v/>
      </c>
      <c r="T567" s="42"/>
      <c r="U567" s="44"/>
      <c r="V567" s="41" t="str">
        <f aca="false">IF($B567="","",TEXT($B567,"yyyy年m月"))</f>
        <v/>
      </c>
      <c r="W567" s="42"/>
      <c r="X567" s="42"/>
      <c r="Y567" s="9"/>
    </row>
    <row r="568" customFormat="false" ht="18" hidden="false" customHeight="true" outlineLevel="0" collapsed="false">
      <c r="A568" s="9" t="str">
        <f aca="false">IF($C568="","",ROW()-3)</f>
        <v/>
      </c>
      <c r="B568" s="76"/>
      <c r="C568" s="74"/>
      <c r="D568" s="43"/>
      <c r="E568" s="42"/>
      <c r="F568" s="74"/>
      <c r="G568" s="74"/>
      <c r="H568" s="44"/>
      <c r="I568" s="44"/>
      <c r="J568" s="103" t="str">
        <f aca="false">IF($C568="","",ROUND(IFERROR(INDEX(期初余额!$I$4:$I$43,MATCH($C568,期初余额!$H$4:$H$43,0)),0)+SUMIFS($H$4:$H568,$C$4:$C568,$C568)-SUMIFS($I$4:$I568,$C$4:$C568,$C568),2))</f>
        <v/>
      </c>
      <c r="K568" s="104" t="str">
        <f aca="false">IF($T568&lt;&gt;"",$T568,IF($C568="","",IF(AND(N($I568)&gt;0,$G568&lt;&gt;""),IF(IFERROR(INDEX(科目表!$U$4:$U$123,MATCH($G568,科目表!$M$4:$M$123,0)),"")&amp;""="","管理费用",INDEX(科目表!$U$4:$U$123,MATCH($G568,科目表!$M$4:$M$123,0))),IF(N($H568)&gt;0,IF(IFERROR(INDEX(自动规则!$C$4:$C$143,MATCH($F568,自动规则!$B$4:$B$143,0)),"")&amp;""="","其他应收款",INDEX(自动规则!$C$4:$C$143,MATCH($F568,自动规则!$B$4:$B$143,0))),IF(IFERROR(INDEX(自动规则!$D$4:$D$143,MATCH($F568,自动规则!$B$4:$B$143,0)),"")&amp;""="","其他应付款",INDEX(自动规则!$D$4:$D$143,MATCH($F568,自动规则!$B$4:$B$143,0)))))))</f>
        <v/>
      </c>
      <c r="L568" s="43"/>
      <c r="M568" s="105" t="str">
        <f aca="false">IF($C568="","",IF(IFERROR(INDEX(科目表!$T$4:$T$123,MATCH($C568,科目表!$K$4:$K$123,0)),"")&amp;""="","其他货币资金",INDEX(科目表!$T$4:$T$123,MATCH($C568,科目表!$K$4:$K$123,0))))</f>
        <v/>
      </c>
      <c r="N568" s="39" t="str">
        <f aca="false">IF(OR($C568="",ROUND(N($H568)+N($I568),2)=0),"",IF(N($H568)&gt;0,$M568,$K568))</f>
        <v/>
      </c>
      <c r="O568" s="41" t="str">
        <f aca="false">IF($N568="","",ROUND(N($H568)+N($I568),2))</f>
        <v/>
      </c>
      <c r="P568" s="41" t="str">
        <f aca="false">IF($N568="","",0)</f>
        <v/>
      </c>
      <c r="Q568" s="39" t="str">
        <f aca="false">IF($N568="","",IF(N($H568)&gt;0,$K568,$M568))</f>
        <v/>
      </c>
      <c r="R568" s="41" t="str">
        <f aca="false">IF($Q568="","",0)</f>
        <v/>
      </c>
      <c r="S568" s="41" t="str">
        <f aca="false">IF($Q568="","",ROUND(N($H568)+N($I568),2))</f>
        <v/>
      </c>
      <c r="T568" s="42"/>
      <c r="U568" s="44"/>
      <c r="V568" s="41" t="str">
        <f aca="false">IF($B568="","",TEXT($B568,"yyyy年m月"))</f>
        <v/>
      </c>
      <c r="W568" s="42"/>
      <c r="X568" s="42"/>
      <c r="Y568" s="9"/>
    </row>
    <row r="569" customFormat="false" ht="18" hidden="false" customHeight="true" outlineLevel="0" collapsed="false">
      <c r="A569" s="9" t="str">
        <f aca="false">IF($C569="","",ROW()-3)</f>
        <v/>
      </c>
      <c r="B569" s="76"/>
      <c r="C569" s="74"/>
      <c r="D569" s="43"/>
      <c r="E569" s="42"/>
      <c r="F569" s="74"/>
      <c r="G569" s="74"/>
      <c r="H569" s="44"/>
      <c r="I569" s="44"/>
      <c r="J569" s="103" t="str">
        <f aca="false">IF($C569="","",ROUND(IFERROR(INDEX(期初余额!$I$4:$I$43,MATCH($C569,期初余额!$H$4:$H$43,0)),0)+SUMIFS($H$4:$H569,$C$4:$C569,$C569)-SUMIFS($I$4:$I569,$C$4:$C569,$C569),2))</f>
        <v/>
      </c>
      <c r="K569" s="104" t="str">
        <f aca="false">IF($T569&lt;&gt;"",$T569,IF($C569="","",IF(AND(N($I569)&gt;0,$G569&lt;&gt;""),IF(IFERROR(INDEX(科目表!$U$4:$U$123,MATCH($G569,科目表!$M$4:$M$123,0)),"")&amp;""="","管理费用",INDEX(科目表!$U$4:$U$123,MATCH($G569,科目表!$M$4:$M$123,0))),IF(N($H569)&gt;0,IF(IFERROR(INDEX(自动规则!$C$4:$C$143,MATCH($F569,自动规则!$B$4:$B$143,0)),"")&amp;""="","其他应收款",INDEX(自动规则!$C$4:$C$143,MATCH($F569,自动规则!$B$4:$B$143,0))),IF(IFERROR(INDEX(自动规则!$D$4:$D$143,MATCH($F569,自动规则!$B$4:$B$143,0)),"")&amp;""="","其他应付款",INDEX(自动规则!$D$4:$D$143,MATCH($F569,自动规则!$B$4:$B$143,0)))))))</f>
        <v/>
      </c>
      <c r="L569" s="43"/>
      <c r="M569" s="105" t="str">
        <f aca="false">IF($C569="","",IF(IFERROR(INDEX(科目表!$T$4:$T$123,MATCH($C569,科目表!$K$4:$K$123,0)),"")&amp;""="","其他货币资金",INDEX(科目表!$T$4:$T$123,MATCH($C569,科目表!$K$4:$K$123,0))))</f>
        <v/>
      </c>
      <c r="N569" s="39" t="str">
        <f aca="false">IF(OR($C569="",ROUND(N($H569)+N($I569),2)=0),"",IF(N($H569)&gt;0,$M569,$K569))</f>
        <v/>
      </c>
      <c r="O569" s="41" t="str">
        <f aca="false">IF($N569="","",ROUND(N($H569)+N($I569),2))</f>
        <v/>
      </c>
      <c r="P569" s="41" t="str">
        <f aca="false">IF($N569="","",0)</f>
        <v/>
      </c>
      <c r="Q569" s="39" t="str">
        <f aca="false">IF($N569="","",IF(N($H569)&gt;0,$K569,$M569))</f>
        <v/>
      </c>
      <c r="R569" s="41" t="str">
        <f aca="false">IF($Q569="","",0)</f>
        <v/>
      </c>
      <c r="S569" s="41" t="str">
        <f aca="false">IF($Q569="","",ROUND(N($H569)+N($I569),2))</f>
        <v/>
      </c>
      <c r="T569" s="42"/>
      <c r="U569" s="44"/>
      <c r="V569" s="41" t="str">
        <f aca="false">IF($B569="","",TEXT($B569,"yyyy年m月"))</f>
        <v/>
      </c>
      <c r="W569" s="42"/>
      <c r="X569" s="42"/>
      <c r="Y569" s="9"/>
    </row>
    <row r="570" customFormat="false" ht="18" hidden="false" customHeight="true" outlineLevel="0" collapsed="false">
      <c r="A570" s="9" t="str">
        <f aca="false">IF($C570="","",ROW()-3)</f>
        <v/>
      </c>
      <c r="B570" s="76"/>
      <c r="C570" s="74"/>
      <c r="D570" s="43"/>
      <c r="E570" s="42"/>
      <c r="F570" s="74"/>
      <c r="G570" s="74"/>
      <c r="H570" s="44"/>
      <c r="I570" s="44"/>
      <c r="J570" s="103" t="str">
        <f aca="false">IF($C570="","",ROUND(IFERROR(INDEX(期初余额!$I$4:$I$43,MATCH($C570,期初余额!$H$4:$H$43,0)),0)+SUMIFS($H$4:$H570,$C$4:$C570,$C570)-SUMIFS($I$4:$I570,$C$4:$C570,$C570),2))</f>
        <v/>
      </c>
      <c r="K570" s="104" t="str">
        <f aca="false">IF($T570&lt;&gt;"",$T570,IF($C570="","",IF(AND(N($I570)&gt;0,$G570&lt;&gt;""),IF(IFERROR(INDEX(科目表!$U$4:$U$123,MATCH($G570,科目表!$M$4:$M$123,0)),"")&amp;""="","管理费用",INDEX(科目表!$U$4:$U$123,MATCH($G570,科目表!$M$4:$M$123,0))),IF(N($H570)&gt;0,IF(IFERROR(INDEX(自动规则!$C$4:$C$143,MATCH($F570,自动规则!$B$4:$B$143,0)),"")&amp;""="","其他应收款",INDEX(自动规则!$C$4:$C$143,MATCH($F570,自动规则!$B$4:$B$143,0))),IF(IFERROR(INDEX(自动规则!$D$4:$D$143,MATCH($F570,自动规则!$B$4:$B$143,0)),"")&amp;""="","其他应付款",INDEX(自动规则!$D$4:$D$143,MATCH($F570,自动规则!$B$4:$B$143,0)))))))</f>
        <v/>
      </c>
      <c r="L570" s="43"/>
      <c r="M570" s="105" t="str">
        <f aca="false">IF($C570="","",IF(IFERROR(INDEX(科目表!$T$4:$T$123,MATCH($C570,科目表!$K$4:$K$123,0)),"")&amp;""="","其他货币资金",INDEX(科目表!$T$4:$T$123,MATCH($C570,科目表!$K$4:$K$123,0))))</f>
        <v/>
      </c>
      <c r="N570" s="39" t="str">
        <f aca="false">IF(OR($C570="",ROUND(N($H570)+N($I570),2)=0),"",IF(N($H570)&gt;0,$M570,$K570))</f>
        <v/>
      </c>
      <c r="O570" s="41" t="str">
        <f aca="false">IF($N570="","",ROUND(N($H570)+N($I570),2))</f>
        <v/>
      </c>
      <c r="P570" s="41" t="str">
        <f aca="false">IF($N570="","",0)</f>
        <v/>
      </c>
      <c r="Q570" s="39" t="str">
        <f aca="false">IF($N570="","",IF(N($H570)&gt;0,$K570,$M570))</f>
        <v/>
      </c>
      <c r="R570" s="41" t="str">
        <f aca="false">IF($Q570="","",0)</f>
        <v/>
      </c>
      <c r="S570" s="41" t="str">
        <f aca="false">IF($Q570="","",ROUND(N($H570)+N($I570),2))</f>
        <v/>
      </c>
      <c r="T570" s="42"/>
      <c r="U570" s="44"/>
      <c r="V570" s="41" t="str">
        <f aca="false">IF($B570="","",TEXT($B570,"yyyy年m月"))</f>
        <v/>
      </c>
      <c r="W570" s="42"/>
      <c r="X570" s="42"/>
      <c r="Y570" s="9"/>
    </row>
    <row r="571" customFormat="false" ht="18" hidden="false" customHeight="true" outlineLevel="0" collapsed="false">
      <c r="A571" s="9" t="str">
        <f aca="false">IF($C571="","",ROW()-3)</f>
        <v/>
      </c>
      <c r="B571" s="76"/>
      <c r="C571" s="74"/>
      <c r="D571" s="43"/>
      <c r="E571" s="42"/>
      <c r="F571" s="74"/>
      <c r="G571" s="74"/>
      <c r="H571" s="44"/>
      <c r="I571" s="44"/>
      <c r="J571" s="103" t="str">
        <f aca="false">IF($C571="","",ROUND(IFERROR(INDEX(期初余额!$I$4:$I$43,MATCH($C571,期初余额!$H$4:$H$43,0)),0)+SUMIFS($H$4:$H571,$C$4:$C571,$C571)-SUMIFS($I$4:$I571,$C$4:$C571,$C571),2))</f>
        <v/>
      </c>
      <c r="K571" s="104" t="str">
        <f aca="false">IF($T571&lt;&gt;"",$T571,IF($C571="","",IF(AND(N($I571)&gt;0,$G571&lt;&gt;""),IF(IFERROR(INDEX(科目表!$U$4:$U$123,MATCH($G571,科目表!$M$4:$M$123,0)),"")&amp;""="","管理费用",INDEX(科目表!$U$4:$U$123,MATCH($G571,科目表!$M$4:$M$123,0))),IF(N($H571)&gt;0,IF(IFERROR(INDEX(自动规则!$C$4:$C$143,MATCH($F571,自动规则!$B$4:$B$143,0)),"")&amp;""="","其他应收款",INDEX(自动规则!$C$4:$C$143,MATCH($F571,自动规则!$B$4:$B$143,0))),IF(IFERROR(INDEX(自动规则!$D$4:$D$143,MATCH($F571,自动规则!$B$4:$B$143,0)),"")&amp;""="","其他应付款",INDEX(自动规则!$D$4:$D$143,MATCH($F571,自动规则!$B$4:$B$143,0)))))))</f>
        <v/>
      </c>
      <c r="L571" s="43"/>
      <c r="M571" s="105" t="str">
        <f aca="false">IF($C571="","",IF(IFERROR(INDEX(科目表!$T$4:$T$123,MATCH($C571,科目表!$K$4:$K$123,0)),"")&amp;""="","其他货币资金",INDEX(科目表!$T$4:$T$123,MATCH($C571,科目表!$K$4:$K$123,0))))</f>
        <v/>
      </c>
      <c r="N571" s="39" t="str">
        <f aca="false">IF(OR($C571="",ROUND(N($H571)+N($I571),2)=0),"",IF(N($H571)&gt;0,$M571,$K571))</f>
        <v/>
      </c>
      <c r="O571" s="41" t="str">
        <f aca="false">IF($N571="","",ROUND(N($H571)+N($I571),2))</f>
        <v/>
      </c>
      <c r="P571" s="41" t="str">
        <f aca="false">IF($N571="","",0)</f>
        <v/>
      </c>
      <c r="Q571" s="39" t="str">
        <f aca="false">IF($N571="","",IF(N($H571)&gt;0,$K571,$M571))</f>
        <v/>
      </c>
      <c r="R571" s="41" t="str">
        <f aca="false">IF($Q571="","",0)</f>
        <v/>
      </c>
      <c r="S571" s="41" t="str">
        <f aca="false">IF($Q571="","",ROUND(N($H571)+N($I571),2))</f>
        <v/>
      </c>
      <c r="T571" s="42"/>
      <c r="U571" s="44"/>
      <c r="V571" s="41" t="str">
        <f aca="false">IF($B571="","",TEXT($B571,"yyyy年m月"))</f>
        <v/>
      </c>
      <c r="W571" s="42"/>
      <c r="X571" s="42"/>
      <c r="Y571" s="9"/>
    </row>
    <row r="572" customFormat="false" ht="18" hidden="false" customHeight="true" outlineLevel="0" collapsed="false">
      <c r="A572" s="9" t="str">
        <f aca="false">IF($C572="","",ROW()-3)</f>
        <v/>
      </c>
      <c r="B572" s="76"/>
      <c r="C572" s="74"/>
      <c r="D572" s="43"/>
      <c r="E572" s="42"/>
      <c r="F572" s="74"/>
      <c r="G572" s="74"/>
      <c r="H572" s="44"/>
      <c r="I572" s="44"/>
      <c r="J572" s="103" t="str">
        <f aca="false">IF($C572="","",ROUND(IFERROR(INDEX(期初余额!$I$4:$I$43,MATCH($C572,期初余额!$H$4:$H$43,0)),0)+SUMIFS($H$4:$H572,$C$4:$C572,$C572)-SUMIFS($I$4:$I572,$C$4:$C572,$C572),2))</f>
        <v/>
      </c>
      <c r="K572" s="104" t="str">
        <f aca="false">IF($T572&lt;&gt;"",$T572,IF($C572="","",IF(AND(N($I572)&gt;0,$G572&lt;&gt;""),IF(IFERROR(INDEX(科目表!$U$4:$U$123,MATCH($G572,科目表!$M$4:$M$123,0)),"")&amp;""="","管理费用",INDEX(科目表!$U$4:$U$123,MATCH($G572,科目表!$M$4:$M$123,0))),IF(N($H572)&gt;0,IF(IFERROR(INDEX(自动规则!$C$4:$C$143,MATCH($F572,自动规则!$B$4:$B$143,0)),"")&amp;""="","其他应收款",INDEX(自动规则!$C$4:$C$143,MATCH($F572,自动规则!$B$4:$B$143,0))),IF(IFERROR(INDEX(自动规则!$D$4:$D$143,MATCH($F572,自动规则!$B$4:$B$143,0)),"")&amp;""="","其他应付款",INDEX(自动规则!$D$4:$D$143,MATCH($F572,自动规则!$B$4:$B$143,0)))))))</f>
        <v/>
      </c>
      <c r="L572" s="43"/>
      <c r="M572" s="105" t="str">
        <f aca="false">IF($C572="","",IF(IFERROR(INDEX(科目表!$T$4:$T$123,MATCH($C572,科目表!$K$4:$K$123,0)),"")&amp;""="","其他货币资金",INDEX(科目表!$T$4:$T$123,MATCH($C572,科目表!$K$4:$K$123,0))))</f>
        <v/>
      </c>
      <c r="N572" s="39" t="str">
        <f aca="false">IF(OR($C572="",ROUND(N($H572)+N($I572),2)=0),"",IF(N($H572)&gt;0,$M572,$K572))</f>
        <v/>
      </c>
      <c r="O572" s="41" t="str">
        <f aca="false">IF($N572="","",ROUND(N($H572)+N($I572),2))</f>
        <v/>
      </c>
      <c r="P572" s="41" t="str">
        <f aca="false">IF($N572="","",0)</f>
        <v/>
      </c>
      <c r="Q572" s="39" t="str">
        <f aca="false">IF($N572="","",IF(N($H572)&gt;0,$K572,$M572))</f>
        <v/>
      </c>
      <c r="R572" s="41" t="str">
        <f aca="false">IF($Q572="","",0)</f>
        <v/>
      </c>
      <c r="S572" s="41" t="str">
        <f aca="false">IF($Q572="","",ROUND(N($H572)+N($I572),2))</f>
        <v/>
      </c>
      <c r="T572" s="42"/>
      <c r="U572" s="44"/>
      <c r="V572" s="41" t="str">
        <f aca="false">IF($B572="","",TEXT($B572,"yyyy年m月"))</f>
        <v/>
      </c>
      <c r="W572" s="42"/>
      <c r="X572" s="42"/>
      <c r="Y572" s="9"/>
    </row>
    <row r="573" customFormat="false" ht="18" hidden="false" customHeight="true" outlineLevel="0" collapsed="false">
      <c r="A573" s="9" t="str">
        <f aca="false">IF($C573="","",ROW()-3)</f>
        <v/>
      </c>
      <c r="B573" s="76"/>
      <c r="C573" s="74"/>
      <c r="D573" s="43"/>
      <c r="E573" s="42"/>
      <c r="F573" s="74"/>
      <c r="G573" s="74"/>
      <c r="H573" s="44"/>
      <c r="I573" s="44"/>
      <c r="J573" s="103" t="str">
        <f aca="false">IF($C573="","",ROUND(IFERROR(INDEX(期初余额!$I$4:$I$43,MATCH($C573,期初余额!$H$4:$H$43,0)),0)+SUMIFS($H$4:$H573,$C$4:$C573,$C573)-SUMIFS($I$4:$I573,$C$4:$C573,$C573),2))</f>
        <v/>
      </c>
      <c r="K573" s="104" t="str">
        <f aca="false">IF($T573&lt;&gt;"",$T573,IF($C573="","",IF(AND(N($I573)&gt;0,$G573&lt;&gt;""),IF(IFERROR(INDEX(科目表!$U$4:$U$123,MATCH($G573,科目表!$M$4:$M$123,0)),"")&amp;""="","管理费用",INDEX(科目表!$U$4:$U$123,MATCH($G573,科目表!$M$4:$M$123,0))),IF(N($H573)&gt;0,IF(IFERROR(INDEX(自动规则!$C$4:$C$143,MATCH($F573,自动规则!$B$4:$B$143,0)),"")&amp;""="","其他应收款",INDEX(自动规则!$C$4:$C$143,MATCH($F573,自动规则!$B$4:$B$143,0))),IF(IFERROR(INDEX(自动规则!$D$4:$D$143,MATCH($F573,自动规则!$B$4:$B$143,0)),"")&amp;""="","其他应付款",INDEX(自动规则!$D$4:$D$143,MATCH($F573,自动规则!$B$4:$B$143,0)))))))</f>
        <v/>
      </c>
      <c r="L573" s="43"/>
      <c r="M573" s="105" t="str">
        <f aca="false">IF($C573="","",IF(IFERROR(INDEX(科目表!$T$4:$T$123,MATCH($C573,科目表!$K$4:$K$123,0)),"")&amp;""="","其他货币资金",INDEX(科目表!$T$4:$T$123,MATCH($C573,科目表!$K$4:$K$123,0))))</f>
        <v/>
      </c>
      <c r="N573" s="39" t="str">
        <f aca="false">IF(OR($C573="",ROUND(N($H573)+N($I573),2)=0),"",IF(N($H573)&gt;0,$M573,$K573))</f>
        <v/>
      </c>
      <c r="O573" s="41" t="str">
        <f aca="false">IF($N573="","",ROUND(N($H573)+N($I573),2))</f>
        <v/>
      </c>
      <c r="P573" s="41" t="str">
        <f aca="false">IF($N573="","",0)</f>
        <v/>
      </c>
      <c r="Q573" s="39" t="str">
        <f aca="false">IF($N573="","",IF(N($H573)&gt;0,$K573,$M573))</f>
        <v/>
      </c>
      <c r="R573" s="41" t="str">
        <f aca="false">IF($Q573="","",0)</f>
        <v/>
      </c>
      <c r="S573" s="41" t="str">
        <f aca="false">IF($Q573="","",ROUND(N($H573)+N($I573),2))</f>
        <v/>
      </c>
      <c r="T573" s="42"/>
      <c r="U573" s="44"/>
      <c r="V573" s="41" t="str">
        <f aca="false">IF($B573="","",TEXT($B573,"yyyy年m月"))</f>
        <v/>
      </c>
      <c r="W573" s="42"/>
      <c r="X573" s="42"/>
      <c r="Y573" s="9"/>
    </row>
    <row r="574" customFormat="false" ht="18" hidden="false" customHeight="true" outlineLevel="0" collapsed="false">
      <c r="A574" s="9" t="str">
        <f aca="false">IF($C574="","",ROW()-3)</f>
        <v/>
      </c>
      <c r="B574" s="76"/>
      <c r="C574" s="74"/>
      <c r="D574" s="43"/>
      <c r="E574" s="42"/>
      <c r="F574" s="74"/>
      <c r="G574" s="74"/>
      <c r="H574" s="44"/>
      <c r="I574" s="44"/>
      <c r="J574" s="103" t="str">
        <f aca="false">IF($C574="","",ROUND(IFERROR(INDEX(期初余额!$I$4:$I$43,MATCH($C574,期初余额!$H$4:$H$43,0)),0)+SUMIFS($H$4:$H574,$C$4:$C574,$C574)-SUMIFS($I$4:$I574,$C$4:$C574,$C574),2))</f>
        <v/>
      </c>
      <c r="K574" s="104" t="str">
        <f aca="false">IF($T574&lt;&gt;"",$T574,IF($C574="","",IF(AND(N($I574)&gt;0,$G574&lt;&gt;""),IF(IFERROR(INDEX(科目表!$U$4:$U$123,MATCH($G574,科目表!$M$4:$M$123,0)),"")&amp;""="","管理费用",INDEX(科目表!$U$4:$U$123,MATCH($G574,科目表!$M$4:$M$123,0))),IF(N($H574)&gt;0,IF(IFERROR(INDEX(自动规则!$C$4:$C$143,MATCH($F574,自动规则!$B$4:$B$143,0)),"")&amp;""="","其他应收款",INDEX(自动规则!$C$4:$C$143,MATCH($F574,自动规则!$B$4:$B$143,0))),IF(IFERROR(INDEX(自动规则!$D$4:$D$143,MATCH($F574,自动规则!$B$4:$B$143,0)),"")&amp;""="","其他应付款",INDEX(自动规则!$D$4:$D$143,MATCH($F574,自动规则!$B$4:$B$143,0)))))))</f>
        <v/>
      </c>
      <c r="L574" s="43"/>
      <c r="M574" s="105" t="str">
        <f aca="false">IF($C574="","",IF(IFERROR(INDEX(科目表!$T$4:$T$123,MATCH($C574,科目表!$K$4:$K$123,0)),"")&amp;""="","其他货币资金",INDEX(科目表!$T$4:$T$123,MATCH($C574,科目表!$K$4:$K$123,0))))</f>
        <v/>
      </c>
      <c r="N574" s="39" t="str">
        <f aca="false">IF(OR($C574="",ROUND(N($H574)+N($I574),2)=0),"",IF(N($H574)&gt;0,$M574,$K574))</f>
        <v/>
      </c>
      <c r="O574" s="41" t="str">
        <f aca="false">IF($N574="","",ROUND(N($H574)+N($I574),2))</f>
        <v/>
      </c>
      <c r="P574" s="41" t="str">
        <f aca="false">IF($N574="","",0)</f>
        <v/>
      </c>
      <c r="Q574" s="39" t="str">
        <f aca="false">IF($N574="","",IF(N($H574)&gt;0,$K574,$M574))</f>
        <v/>
      </c>
      <c r="R574" s="41" t="str">
        <f aca="false">IF($Q574="","",0)</f>
        <v/>
      </c>
      <c r="S574" s="41" t="str">
        <f aca="false">IF($Q574="","",ROUND(N($H574)+N($I574),2))</f>
        <v/>
      </c>
      <c r="T574" s="42"/>
      <c r="U574" s="44"/>
      <c r="V574" s="41" t="str">
        <f aca="false">IF($B574="","",TEXT($B574,"yyyy年m月"))</f>
        <v/>
      </c>
      <c r="W574" s="42"/>
      <c r="X574" s="42"/>
      <c r="Y574" s="9"/>
    </row>
    <row r="575" customFormat="false" ht="18" hidden="false" customHeight="true" outlineLevel="0" collapsed="false">
      <c r="A575" s="9" t="str">
        <f aca="false">IF($C575="","",ROW()-3)</f>
        <v/>
      </c>
      <c r="B575" s="76"/>
      <c r="C575" s="74"/>
      <c r="D575" s="43"/>
      <c r="E575" s="42"/>
      <c r="F575" s="74"/>
      <c r="G575" s="74"/>
      <c r="H575" s="44"/>
      <c r="I575" s="44"/>
      <c r="J575" s="103" t="str">
        <f aca="false">IF($C575="","",ROUND(IFERROR(INDEX(期初余额!$I$4:$I$43,MATCH($C575,期初余额!$H$4:$H$43,0)),0)+SUMIFS($H$4:$H575,$C$4:$C575,$C575)-SUMIFS($I$4:$I575,$C$4:$C575,$C575),2))</f>
        <v/>
      </c>
      <c r="K575" s="104" t="str">
        <f aca="false">IF($T575&lt;&gt;"",$T575,IF($C575="","",IF(AND(N($I575)&gt;0,$G575&lt;&gt;""),IF(IFERROR(INDEX(科目表!$U$4:$U$123,MATCH($G575,科目表!$M$4:$M$123,0)),"")&amp;""="","管理费用",INDEX(科目表!$U$4:$U$123,MATCH($G575,科目表!$M$4:$M$123,0))),IF(N($H575)&gt;0,IF(IFERROR(INDEX(自动规则!$C$4:$C$143,MATCH($F575,自动规则!$B$4:$B$143,0)),"")&amp;""="","其他应收款",INDEX(自动规则!$C$4:$C$143,MATCH($F575,自动规则!$B$4:$B$143,0))),IF(IFERROR(INDEX(自动规则!$D$4:$D$143,MATCH($F575,自动规则!$B$4:$B$143,0)),"")&amp;""="","其他应付款",INDEX(自动规则!$D$4:$D$143,MATCH($F575,自动规则!$B$4:$B$143,0)))))))</f>
        <v/>
      </c>
      <c r="L575" s="43"/>
      <c r="M575" s="105" t="str">
        <f aca="false">IF($C575="","",IF(IFERROR(INDEX(科目表!$T$4:$T$123,MATCH($C575,科目表!$K$4:$K$123,0)),"")&amp;""="","其他货币资金",INDEX(科目表!$T$4:$T$123,MATCH($C575,科目表!$K$4:$K$123,0))))</f>
        <v/>
      </c>
      <c r="N575" s="39" t="str">
        <f aca="false">IF(OR($C575="",ROUND(N($H575)+N($I575),2)=0),"",IF(N($H575)&gt;0,$M575,$K575))</f>
        <v/>
      </c>
      <c r="O575" s="41" t="str">
        <f aca="false">IF($N575="","",ROUND(N($H575)+N($I575),2))</f>
        <v/>
      </c>
      <c r="P575" s="41" t="str">
        <f aca="false">IF($N575="","",0)</f>
        <v/>
      </c>
      <c r="Q575" s="39" t="str">
        <f aca="false">IF($N575="","",IF(N($H575)&gt;0,$K575,$M575))</f>
        <v/>
      </c>
      <c r="R575" s="41" t="str">
        <f aca="false">IF($Q575="","",0)</f>
        <v/>
      </c>
      <c r="S575" s="41" t="str">
        <f aca="false">IF($Q575="","",ROUND(N($H575)+N($I575),2))</f>
        <v/>
      </c>
      <c r="T575" s="42"/>
      <c r="U575" s="44"/>
      <c r="V575" s="41" t="str">
        <f aca="false">IF($B575="","",TEXT($B575,"yyyy年m月"))</f>
        <v/>
      </c>
      <c r="W575" s="42"/>
      <c r="X575" s="42"/>
      <c r="Y575" s="9"/>
    </row>
    <row r="576" customFormat="false" ht="18" hidden="false" customHeight="true" outlineLevel="0" collapsed="false">
      <c r="A576" s="9" t="str">
        <f aca="false">IF($C576="","",ROW()-3)</f>
        <v/>
      </c>
      <c r="B576" s="76"/>
      <c r="C576" s="74"/>
      <c r="D576" s="43"/>
      <c r="E576" s="42"/>
      <c r="F576" s="74"/>
      <c r="G576" s="74"/>
      <c r="H576" s="44"/>
      <c r="I576" s="44"/>
      <c r="J576" s="103" t="str">
        <f aca="false">IF($C576="","",ROUND(IFERROR(INDEX(期初余额!$I$4:$I$43,MATCH($C576,期初余额!$H$4:$H$43,0)),0)+SUMIFS($H$4:$H576,$C$4:$C576,$C576)-SUMIFS($I$4:$I576,$C$4:$C576,$C576),2))</f>
        <v/>
      </c>
      <c r="K576" s="104" t="str">
        <f aca="false">IF($T576&lt;&gt;"",$T576,IF($C576="","",IF(AND(N($I576)&gt;0,$G576&lt;&gt;""),IF(IFERROR(INDEX(科目表!$U$4:$U$123,MATCH($G576,科目表!$M$4:$M$123,0)),"")&amp;""="","管理费用",INDEX(科目表!$U$4:$U$123,MATCH($G576,科目表!$M$4:$M$123,0))),IF(N($H576)&gt;0,IF(IFERROR(INDEX(自动规则!$C$4:$C$143,MATCH($F576,自动规则!$B$4:$B$143,0)),"")&amp;""="","其他应收款",INDEX(自动规则!$C$4:$C$143,MATCH($F576,自动规则!$B$4:$B$143,0))),IF(IFERROR(INDEX(自动规则!$D$4:$D$143,MATCH($F576,自动规则!$B$4:$B$143,0)),"")&amp;""="","其他应付款",INDEX(自动规则!$D$4:$D$143,MATCH($F576,自动规则!$B$4:$B$143,0)))))))</f>
        <v/>
      </c>
      <c r="L576" s="43"/>
      <c r="M576" s="105" t="str">
        <f aca="false">IF($C576="","",IF(IFERROR(INDEX(科目表!$T$4:$T$123,MATCH($C576,科目表!$K$4:$K$123,0)),"")&amp;""="","其他货币资金",INDEX(科目表!$T$4:$T$123,MATCH($C576,科目表!$K$4:$K$123,0))))</f>
        <v/>
      </c>
      <c r="N576" s="39" t="str">
        <f aca="false">IF(OR($C576="",ROUND(N($H576)+N($I576),2)=0),"",IF(N($H576)&gt;0,$M576,$K576))</f>
        <v/>
      </c>
      <c r="O576" s="41" t="str">
        <f aca="false">IF($N576="","",ROUND(N($H576)+N($I576),2))</f>
        <v/>
      </c>
      <c r="P576" s="41" t="str">
        <f aca="false">IF($N576="","",0)</f>
        <v/>
      </c>
      <c r="Q576" s="39" t="str">
        <f aca="false">IF($N576="","",IF(N($H576)&gt;0,$K576,$M576))</f>
        <v/>
      </c>
      <c r="R576" s="41" t="str">
        <f aca="false">IF($Q576="","",0)</f>
        <v/>
      </c>
      <c r="S576" s="41" t="str">
        <f aca="false">IF($Q576="","",ROUND(N($H576)+N($I576),2))</f>
        <v/>
      </c>
      <c r="T576" s="42"/>
      <c r="U576" s="44"/>
      <c r="V576" s="41" t="str">
        <f aca="false">IF($B576="","",TEXT($B576,"yyyy年m月"))</f>
        <v/>
      </c>
      <c r="W576" s="42"/>
      <c r="X576" s="42"/>
      <c r="Y576" s="9"/>
    </row>
    <row r="577" customFormat="false" ht="18" hidden="false" customHeight="true" outlineLevel="0" collapsed="false">
      <c r="A577" s="9" t="str">
        <f aca="false">IF($C577="","",ROW()-3)</f>
        <v/>
      </c>
      <c r="B577" s="76"/>
      <c r="C577" s="74"/>
      <c r="D577" s="43"/>
      <c r="E577" s="42"/>
      <c r="F577" s="74"/>
      <c r="G577" s="74"/>
      <c r="H577" s="44"/>
      <c r="I577" s="44"/>
      <c r="J577" s="103" t="str">
        <f aca="false">IF($C577="","",ROUND(IFERROR(INDEX(期初余额!$I$4:$I$43,MATCH($C577,期初余额!$H$4:$H$43,0)),0)+SUMIFS($H$4:$H577,$C$4:$C577,$C577)-SUMIFS($I$4:$I577,$C$4:$C577,$C577),2))</f>
        <v/>
      </c>
      <c r="K577" s="104" t="str">
        <f aca="false">IF($T577&lt;&gt;"",$T577,IF($C577="","",IF(AND(N($I577)&gt;0,$G577&lt;&gt;""),IF(IFERROR(INDEX(科目表!$U$4:$U$123,MATCH($G577,科目表!$M$4:$M$123,0)),"")&amp;""="","管理费用",INDEX(科目表!$U$4:$U$123,MATCH($G577,科目表!$M$4:$M$123,0))),IF(N($H577)&gt;0,IF(IFERROR(INDEX(自动规则!$C$4:$C$143,MATCH($F577,自动规则!$B$4:$B$143,0)),"")&amp;""="","其他应收款",INDEX(自动规则!$C$4:$C$143,MATCH($F577,自动规则!$B$4:$B$143,0))),IF(IFERROR(INDEX(自动规则!$D$4:$D$143,MATCH($F577,自动规则!$B$4:$B$143,0)),"")&amp;""="","其他应付款",INDEX(自动规则!$D$4:$D$143,MATCH($F577,自动规则!$B$4:$B$143,0)))))))</f>
        <v/>
      </c>
      <c r="L577" s="43"/>
      <c r="M577" s="105" t="str">
        <f aca="false">IF($C577="","",IF(IFERROR(INDEX(科目表!$T$4:$T$123,MATCH($C577,科目表!$K$4:$K$123,0)),"")&amp;""="","其他货币资金",INDEX(科目表!$T$4:$T$123,MATCH($C577,科目表!$K$4:$K$123,0))))</f>
        <v/>
      </c>
      <c r="N577" s="39" t="str">
        <f aca="false">IF(OR($C577="",ROUND(N($H577)+N($I577),2)=0),"",IF(N($H577)&gt;0,$M577,$K577))</f>
        <v/>
      </c>
      <c r="O577" s="41" t="str">
        <f aca="false">IF($N577="","",ROUND(N($H577)+N($I577),2))</f>
        <v/>
      </c>
      <c r="P577" s="41" t="str">
        <f aca="false">IF($N577="","",0)</f>
        <v/>
      </c>
      <c r="Q577" s="39" t="str">
        <f aca="false">IF($N577="","",IF(N($H577)&gt;0,$K577,$M577))</f>
        <v/>
      </c>
      <c r="R577" s="41" t="str">
        <f aca="false">IF($Q577="","",0)</f>
        <v/>
      </c>
      <c r="S577" s="41" t="str">
        <f aca="false">IF($Q577="","",ROUND(N($H577)+N($I577),2))</f>
        <v/>
      </c>
      <c r="T577" s="42"/>
      <c r="U577" s="44"/>
      <c r="V577" s="41" t="str">
        <f aca="false">IF($B577="","",TEXT($B577,"yyyy年m月"))</f>
        <v/>
      </c>
      <c r="W577" s="42"/>
      <c r="X577" s="42"/>
      <c r="Y577" s="9"/>
    </row>
    <row r="578" customFormat="false" ht="18" hidden="false" customHeight="true" outlineLevel="0" collapsed="false">
      <c r="A578" s="9" t="str">
        <f aca="false">IF($C578="","",ROW()-3)</f>
        <v/>
      </c>
      <c r="B578" s="76"/>
      <c r="C578" s="74"/>
      <c r="D578" s="43"/>
      <c r="E578" s="42"/>
      <c r="F578" s="74"/>
      <c r="G578" s="74"/>
      <c r="H578" s="44"/>
      <c r="I578" s="44"/>
      <c r="J578" s="103" t="str">
        <f aca="false">IF($C578="","",ROUND(IFERROR(INDEX(期初余额!$I$4:$I$43,MATCH($C578,期初余额!$H$4:$H$43,0)),0)+SUMIFS($H$4:$H578,$C$4:$C578,$C578)-SUMIFS($I$4:$I578,$C$4:$C578,$C578),2))</f>
        <v/>
      </c>
      <c r="K578" s="104" t="str">
        <f aca="false">IF($T578&lt;&gt;"",$T578,IF($C578="","",IF(AND(N($I578)&gt;0,$G578&lt;&gt;""),IF(IFERROR(INDEX(科目表!$U$4:$U$123,MATCH($G578,科目表!$M$4:$M$123,0)),"")&amp;""="","管理费用",INDEX(科目表!$U$4:$U$123,MATCH($G578,科目表!$M$4:$M$123,0))),IF(N($H578)&gt;0,IF(IFERROR(INDEX(自动规则!$C$4:$C$143,MATCH($F578,自动规则!$B$4:$B$143,0)),"")&amp;""="","其他应收款",INDEX(自动规则!$C$4:$C$143,MATCH($F578,自动规则!$B$4:$B$143,0))),IF(IFERROR(INDEX(自动规则!$D$4:$D$143,MATCH($F578,自动规则!$B$4:$B$143,0)),"")&amp;""="","其他应付款",INDEX(自动规则!$D$4:$D$143,MATCH($F578,自动规则!$B$4:$B$143,0)))))))</f>
        <v/>
      </c>
      <c r="L578" s="43"/>
      <c r="M578" s="105" t="str">
        <f aca="false">IF($C578="","",IF(IFERROR(INDEX(科目表!$T$4:$T$123,MATCH($C578,科目表!$K$4:$K$123,0)),"")&amp;""="","其他货币资金",INDEX(科目表!$T$4:$T$123,MATCH($C578,科目表!$K$4:$K$123,0))))</f>
        <v/>
      </c>
      <c r="N578" s="39" t="str">
        <f aca="false">IF(OR($C578="",ROUND(N($H578)+N($I578),2)=0),"",IF(N($H578)&gt;0,$M578,$K578))</f>
        <v/>
      </c>
      <c r="O578" s="41" t="str">
        <f aca="false">IF($N578="","",ROUND(N($H578)+N($I578),2))</f>
        <v/>
      </c>
      <c r="P578" s="41" t="str">
        <f aca="false">IF($N578="","",0)</f>
        <v/>
      </c>
      <c r="Q578" s="39" t="str">
        <f aca="false">IF($N578="","",IF(N($H578)&gt;0,$K578,$M578))</f>
        <v/>
      </c>
      <c r="R578" s="41" t="str">
        <f aca="false">IF($Q578="","",0)</f>
        <v/>
      </c>
      <c r="S578" s="41" t="str">
        <f aca="false">IF($Q578="","",ROUND(N($H578)+N($I578),2))</f>
        <v/>
      </c>
      <c r="T578" s="42"/>
      <c r="U578" s="44"/>
      <c r="V578" s="41" t="str">
        <f aca="false">IF($B578="","",TEXT($B578,"yyyy年m月"))</f>
        <v/>
      </c>
      <c r="W578" s="42"/>
      <c r="X578" s="42"/>
      <c r="Y578" s="9"/>
    </row>
    <row r="579" customFormat="false" ht="18" hidden="false" customHeight="true" outlineLevel="0" collapsed="false">
      <c r="A579" s="9" t="str">
        <f aca="false">IF($C579="","",ROW()-3)</f>
        <v/>
      </c>
      <c r="B579" s="76"/>
      <c r="C579" s="74"/>
      <c r="D579" s="43"/>
      <c r="E579" s="42"/>
      <c r="F579" s="74"/>
      <c r="G579" s="74"/>
      <c r="H579" s="44"/>
      <c r="I579" s="44"/>
      <c r="J579" s="103" t="str">
        <f aca="false">IF($C579="","",ROUND(IFERROR(INDEX(期初余额!$I$4:$I$43,MATCH($C579,期初余额!$H$4:$H$43,0)),0)+SUMIFS($H$4:$H579,$C$4:$C579,$C579)-SUMIFS($I$4:$I579,$C$4:$C579,$C579),2))</f>
        <v/>
      </c>
      <c r="K579" s="104" t="str">
        <f aca="false">IF($T579&lt;&gt;"",$T579,IF($C579="","",IF(AND(N($I579)&gt;0,$G579&lt;&gt;""),IF(IFERROR(INDEX(科目表!$U$4:$U$123,MATCH($G579,科目表!$M$4:$M$123,0)),"")&amp;""="","管理费用",INDEX(科目表!$U$4:$U$123,MATCH($G579,科目表!$M$4:$M$123,0))),IF(N($H579)&gt;0,IF(IFERROR(INDEX(自动规则!$C$4:$C$143,MATCH($F579,自动规则!$B$4:$B$143,0)),"")&amp;""="","其他应收款",INDEX(自动规则!$C$4:$C$143,MATCH($F579,自动规则!$B$4:$B$143,0))),IF(IFERROR(INDEX(自动规则!$D$4:$D$143,MATCH($F579,自动规则!$B$4:$B$143,0)),"")&amp;""="","其他应付款",INDEX(自动规则!$D$4:$D$143,MATCH($F579,自动规则!$B$4:$B$143,0)))))))</f>
        <v/>
      </c>
      <c r="L579" s="43"/>
      <c r="M579" s="105" t="str">
        <f aca="false">IF($C579="","",IF(IFERROR(INDEX(科目表!$T$4:$T$123,MATCH($C579,科目表!$K$4:$K$123,0)),"")&amp;""="","其他货币资金",INDEX(科目表!$T$4:$T$123,MATCH($C579,科目表!$K$4:$K$123,0))))</f>
        <v/>
      </c>
      <c r="N579" s="39" t="str">
        <f aca="false">IF(OR($C579="",ROUND(N($H579)+N($I579),2)=0),"",IF(N($H579)&gt;0,$M579,$K579))</f>
        <v/>
      </c>
      <c r="O579" s="41" t="str">
        <f aca="false">IF($N579="","",ROUND(N($H579)+N($I579),2))</f>
        <v/>
      </c>
      <c r="P579" s="41" t="str">
        <f aca="false">IF($N579="","",0)</f>
        <v/>
      </c>
      <c r="Q579" s="39" t="str">
        <f aca="false">IF($N579="","",IF(N($H579)&gt;0,$K579,$M579))</f>
        <v/>
      </c>
      <c r="R579" s="41" t="str">
        <f aca="false">IF($Q579="","",0)</f>
        <v/>
      </c>
      <c r="S579" s="41" t="str">
        <f aca="false">IF($Q579="","",ROUND(N($H579)+N($I579),2))</f>
        <v/>
      </c>
      <c r="T579" s="42"/>
      <c r="U579" s="44"/>
      <c r="V579" s="41" t="str">
        <f aca="false">IF($B579="","",TEXT($B579,"yyyy年m月"))</f>
        <v/>
      </c>
      <c r="W579" s="42"/>
      <c r="X579" s="42"/>
      <c r="Y579" s="9"/>
    </row>
    <row r="580" customFormat="false" ht="18" hidden="false" customHeight="true" outlineLevel="0" collapsed="false">
      <c r="A580" s="9" t="str">
        <f aca="false">IF($C580="","",ROW()-3)</f>
        <v/>
      </c>
      <c r="B580" s="76"/>
      <c r="C580" s="74"/>
      <c r="D580" s="43"/>
      <c r="E580" s="42"/>
      <c r="F580" s="74"/>
      <c r="G580" s="74"/>
      <c r="H580" s="44"/>
      <c r="I580" s="44"/>
      <c r="J580" s="103" t="str">
        <f aca="false">IF($C580="","",ROUND(IFERROR(INDEX(期初余额!$I$4:$I$43,MATCH($C580,期初余额!$H$4:$H$43,0)),0)+SUMIFS($H$4:$H580,$C$4:$C580,$C580)-SUMIFS($I$4:$I580,$C$4:$C580,$C580),2))</f>
        <v/>
      </c>
      <c r="K580" s="104" t="str">
        <f aca="false">IF($T580&lt;&gt;"",$T580,IF($C580="","",IF(AND(N($I580)&gt;0,$G580&lt;&gt;""),IF(IFERROR(INDEX(科目表!$U$4:$U$123,MATCH($G580,科目表!$M$4:$M$123,0)),"")&amp;""="","管理费用",INDEX(科目表!$U$4:$U$123,MATCH($G580,科目表!$M$4:$M$123,0))),IF(N($H580)&gt;0,IF(IFERROR(INDEX(自动规则!$C$4:$C$143,MATCH($F580,自动规则!$B$4:$B$143,0)),"")&amp;""="","其他应收款",INDEX(自动规则!$C$4:$C$143,MATCH($F580,自动规则!$B$4:$B$143,0))),IF(IFERROR(INDEX(自动规则!$D$4:$D$143,MATCH($F580,自动规则!$B$4:$B$143,0)),"")&amp;""="","其他应付款",INDEX(自动规则!$D$4:$D$143,MATCH($F580,自动规则!$B$4:$B$143,0)))))))</f>
        <v/>
      </c>
      <c r="L580" s="43"/>
      <c r="M580" s="105" t="str">
        <f aca="false">IF($C580="","",IF(IFERROR(INDEX(科目表!$T$4:$T$123,MATCH($C580,科目表!$K$4:$K$123,0)),"")&amp;""="","其他货币资金",INDEX(科目表!$T$4:$T$123,MATCH($C580,科目表!$K$4:$K$123,0))))</f>
        <v/>
      </c>
      <c r="N580" s="39" t="str">
        <f aca="false">IF(OR($C580="",ROUND(N($H580)+N($I580),2)=0),"",IF(N($H580)&gt;0,$M580,$K580))</f>
        <v/>
      </c>
      <c r="O580" s="41" t="str">
        <f aca="false">IF($N580="","",ROUND(N($H580)+N($I580),2))</f>
        <v/>
      </c>
      <c r="P580" s="41" t="str">
        <f aca="false">IF($N580="","",0)</f>
        <v/>
      </c>
      <c r="Q580" s="39" t="str">
        <f aca="false">IF($N580="","",IF(N($H580)&gt;0,$K580,$M580))</f>
        <v/>
      </c>
      <c r="R580" s="41" t="str">
        <f aca="false">IF($Q580="","",0)</f>
        <v/>
      </c>
      <c r="S580" s="41" t="str">
        <f aca="false">IF($Q580="","",ROUND(N($H580)+N($I580),2))</f>
        <v/>
      </c>
      <c r="T580" s="42"/>
      <c r="U580" s="44"/>
      <c r="V580" s="41" t="str">
        <f aca="false">IF($B580="","",TEXT($B580,"yyyy年m月"))</f>
        <v/>
      </c>
      <c r="W580" s="42"/>
      <c r="X580" s="42"/>
      <c r="Y580" s="9"/>
    </row>
    <row r="581" customFormat="false" ht="18" hidden="false" customHeight="true" outlineLevel="0" collapsed="false">
      <c r="A581" s="9" t="str">
        <f aca="false">IF($C581="","",ROW()-3)</f>
        <v/>
      </c>
      <c r="B581" s="76"/>
      <c r="C581" s="74"/>
      <c r="D581" s="43"/>
      <c r="E581" s="42"/>
      <c r="F581" s="74"/>
      <c r="G581" s="74"/>
      <c r="H581" s="44"/>
      <c r="I581" s="44"/>
      <c r="J581" s="103" t="str">
        <f aca="false">IF($C581="","",ROUND(IFERROR(INDEX(期初余额!$I$4:$I$43,MATCH($C581,期初余额!$H$4:$H$43,0)),0)+SUMIFS($H$4:$H581,$C$4:$C581,$C581)-SUMIFS($I$4:$I581,$C$4:$C581,$C581),2))</f>
        <v/>
      </c>
      <c r="K581" s="104" t="str">
        <f aca="false">IF($T581&lt;&gt;"",$T581,IF($C581="","",IF(AND(N($I581)&gt;0,$G581&lt;&gt;""),IF(IFERROR(INDEX(科目表!$U$4:$U$123,MATCH($G581,科目表!$M$4:$M$123,0)),"")&amp;""="","管理费用",INDEX(科目表!$U$4:$U$123,MATCH($G581,科目表!$M$4:$M$123,0))),IF(N($H581)&gt;0,IF(IFERROR(INDEX(自动规则!$C$4:$C$143,MATCH($F581,自动规则!$B$4:$B$143,0)),"")&amp;""="","其他应收款",INDEX(自动规则!$C$4:$C$143,MATCH($F581,自动规则!$B$4:$B$143,0))),IF(IFERROR(INDEX(自动规则!$D$4:$D$143,MATCH($F581,自动规则!$B$4:$B$143,0)),"")&amp;""="","其他应付款",INDEX(自动规则!$D$4:$D$143,MATCH($F581,自动规则!$B$4:$B$143,0)))))))</f>
        <v/>
      </c>
      <c r="L581" s="43"/>
      <c r="M581" s="105" t="str">
        <f aca="false">IF($C581="","",IF(IFERROR(INDEX(科目表!$T$4:$T$123,MATCH($C581,科目表!$K$4:$K$123,0)),"")&amp;""="","其他货币资金",INDEX(科目表!$T$4:$T$123,MATCH($C581,科目表!$K$4:$K$123,0))))</f>
        <v/>
      </c>
      <c r="N581" s="39" t="str">
        <f aca="false">IF(OR($C581="",ROUND(N($H581)+N($I581),2)=0),"",IF(N($H581)&gt;0,$M581,$K581))</f>
        <v/>
      </c>
      <c r="O581" s="41" t="str">
        <f aca="false">IF($N581="","",ROUND(N($H581)+N($I581),2))</f>
        <v/>
      </c>
      <c r="P581" s="41" t="str">
        <f aca="false">IF($N581="","",0)</f>
        <v/>
      </c>
      <c r="Q581" s="39" t="str">
        <f aca="false">IF($N581="","",IF(N($H581)&gt;0,$K581,$M581))</f>
        <v/>
      </c>
      <c r="R581" s="41" t="str">
        <f aca="false">IF($Q581="","",0)</f>
        <v/>
      </c>
      <c r="S581" s="41" t="str">
        <f aca="false">IF($Q581="","",ROUND(N($H581)+N($I581),2))</f>
        <v/>
      </c>
      <c r="T581" s="42"/>
      <c r="U581" s="44"/>
      <c r="V581" s="41" t="str">
        <f aca="false">IF($B581="","",TEXT($B581,"yyyy年m月"))</f>
        <v/>
      </c>
      <c r="W581" s="42"/>
      <c r="X581" s="42"/>
      <c r="Y581" s="9"/>
    </row>
    <row r="582" customFormat="false" ht="18" hidden="false" customHeight="true" outlineLevel="0" collapsed="false">
      <c r="A582" s="9" t="str">
        <f aca="false">IF($C582="","",ROW()-3)</f>
        <v/>
      </c>
      <c r="B582" s="76"/>
      <c r="C582" s="74"/>
      <c r="D582" s="43"/>
      <c r="E582" s="42"/>
      <c r="F582" s="74"/>
      <c r="G582" s="74"/>
      <c r="H582" s="44"/>
      <c r="I582" s="44"/>
      <c r="J582" s="103" t="str">
        <f aca="false">IF($C582="","",ROUND(IFERROR(INDEX(期初余额!$I$4:$I$43,MATCH($C582,期初余额!$H$4:$H$43,0)),0)+SUMIFS($H$4:$H582,$C$4:$C582,$C582)-SUMIFS($I$4:$I582,$C$4:$C582,$C582),2))</f>
        <v/>
      </c>
      <c r="K582" s="104" t="str">
        <f aca="false">IF($T582&lt;&gt;"",$T582,IF($C582="","",IF(AND(N($I582)&gt;0,$G582&lt;&gt;""),IF(IFERROR(INDEX(科目表!$U$4:$U$123,MATCH($G582,科目表!$M$4:$M$123,0)),"")&amp;""="","管理费用",INDEX(科目表!$U$4:$U$123,MATCH($G582,科目表!$M$4:$M$123,0))),IF(N($H582)&gt;0,IF(IFERROR(INDEX(自动规则!$C$4:$C$143,MATCH($F582,自动规则!$B$4:$B$143,0)),"")&amp;""="","其他应收款",INDEX(自动规则!$C$4:$C$143,MATCH($F582,自动规则!$B$4:$B$143,0))),IF(IFERROR(INDEX(自动规则!$D$4:$D$143,MATCH($F582,自动规则!$B$4:$B$143,0)),"")&amp;""="","其他应付款",INDEX(自动规则!$D$4:$D$143,MATCH($F582,自动规则!$B$4:$B$143,0)))))))</f>
        <v/>
      </c>
      <c r="L582" s="43"/>
      <c r="M582" s="105" t="str">
        <f aca="false">IF($C582="","",IF(IFERROR(INDEX(科目表!$T$4:$T$123,MATCH($C582,科目表!$K$4:$K$123,0)),"")&amp;""="","其他货币资金",INDEX(科目表!$T$4:$T$123,MATCH($C582,科目表!$K$4:$K$123,0))))</f>
        <v/>
      </c>
      <c r="N582" s="39" t="str">
        <f aca="false">IF(OR($C582="",ROUND(N($H582)+N($I582),2)=0),"",IF(N($H582)&gt;0,$M582,$K582))</f>
        <v/>
      </c>
      <c r="O582" s="41" t="str">
        <f aca="false">IF($N582="","",ROUND(N($H582)+N($I582),2))</f>
        <v/>
      </c>
      <c r="P582" s="41" t="str">
        <f aca="false">IF($N582="","",0)</f>
        <v/>
      </c>
      <c r="Q582" s="39" t="str">
        <f aca="false">IF($N582="","",IF(N($H582)&gt;0,$K582,$M582))</f>
        <v/>
      </c>
      <c r="R582" s="41" t="str">
        <f aca="false">IF($Q582="","",0)</f>
        <v/>
      </c>
      <c r="S582" s="41" t="str">
        <f aca="false">IF($Q582="","",ROUND(N($H582)+N($I582),2))</f>
        <v/>
      </c>
      <c r="T582" s="42"/>
      <c r="U582" s="44"/>
      <c r="V582" s="41" t="str">
        <f aca="false">IF($B582="","",TEXT($B582,"yyyy年m月"))</f>
        <v/>
      </c>
      <c r="W582" s="42"/>
      <c r="X582" s="42"/>
      <c r="Y582" s="9"/>
    </row>
    <row r="583" customFormat="false" ht="18" hidden="false" customHeight="true" outlineLevel="0" collapsed="false">
      <c r="A583" s="9" t="str">
        <f aca="false">IF($C583="","",ROW()-3)</f>
        <v/>
      </c>
      <c r="B583" s="76"/>
      <c r="C583" s="74"/>
      <c r="D583" s="43"/>
      <c r="E583" s="42"/>
      <c r="F583" s="74"/>
      <c r="G583" s="74"/>
      <c r="H583" s="44"/>
      <c r="I583" s="44"/>
      <c r="J583" s="103" t="str">
        <f aca="false">IF($C583="","",ROUND(IFERROR(INDEX(期初余额!$I$4:$I$43,MATCH($C583,期初余额!$H$4:$H$43,0)),0)+SUMIFS($H$4:$H583,$C$4:$C583,$C583)-SUMIFS($I$4:$I583,$C$4:$C583,$C583),2))</f>
        <v/>
      </c>
      <c r="K583" s="104" t="str">
        <f aca="false">IF($T583&lt;&gt;"",$T583,IF($C583="","",IF(AND(N($I583)&gt;0,$G583&lt;&gt;""),IF(IFERROR(INDEX(科目表!$U$4:$U$123,MATCH($G583,科目表!$M$4:$M$123,0)),"")&amp;""="","管理费用",INDEX(科目表!$U$4:$U$123,MATCH($G583,科目表!$M$4:$M$123,0))),IF(N($H583)&gt;0,IF(IFERROR(INDEX(自动规则!$C$4:$C$143,MATCH($F583,自动规则!$B$4:$B$143,0)),"")&amp;""="","其他应收款",INDEX(自动规则!$C$4:$C$143,MATCH($F583,自动规则!$B$4:$B$143,0))),IF(IFERROR(INDEX(自动规则!$D$4:$D$143,MATCH($F583,自动规则!$B$4:$B$143,0)),"")&amp;""="","其他应付款",INDEX(自动规则!$D$4:$D$143,MATCH($F583,自动规则!$B$4:$B$143,0)))))))</f>
        <v/>
      </c>
      <c r="L583" s="43"/>
      <c r="M583" s="105" t="str">
        <f aca="false">IF($C583="","",IF(IFERROR(INDEX(科目表!$T$4:$T$123,MATCH($C583,科目表!$K$4:$K$123,0)),"")&amp;""="","其他货币资金",INDEX(科目表!$T$4:$T$123,MATCH($C583,科目表!$K$4:$K$123,0))))</f>
        <v/>
      </c>
      <c r="N583" s="39" t="str">
        <f aca="false">IF(OR($C583="",ROUND(N($H583)+N($I583),2)=0),"",IF(N($H583)&gt;0,$M583,$K583))</f>
        <v/>
      </c>
      <c r="O583" s="41" t="str">
        <f aca="false">IF($N583="","",ROUND(N($H583)+N($I583),2))</f>
        <v/>
      </c>
      <c r="P583" s="41" t="str">
        <f aca="false">IF($N583="","",0)</f>
        <v/>
      </c>
      <c r="Q583" s="39" t="str">
        <f aca="false">IF($N583="","",IF(N($H583)&gt;0,$K583,$M583))</f>
        <v/>
      </c>
      <c r="R583" s="41" t="str">
        <f aca="false">IF($Q583="","",0)</f>
        <v/>
      </c>
      <c r="S583" s="41" t="str">
        <f aca="false">IF($Q583="","",ROUND(N($H583)+N($I583),2))</f>
        <v/>
      </c>
      <c r="T583" s="42"/>
      <c r="U583" s="44"/>
      <c r="V583" s="41" t="str">
        <f aca="false">IF($B583="","",TEXT($B583,"yyyy年m月"))</f>
        <v/>
      </c>
      <c r="W583" s="42"/>
      <c r="X583" s="42"/>
      <c r="Y583" s="9"/>
    </row>
    <row r="584" customFormat="false" ht="18" hidden="false" customHeight="true" outlineLevel="0" collapsed="false">
      <c r="A584" s="9" t="str">
        <f aca="false">IF($C584="","",ROW()-3)</f>
        <v/>
      </c>
      <c r="B584" s="76"/>
      <c r="C584" s="74"/>
      <c r="D584" s="43"/>
      <c r="E584" s="42"/>
      <c r="F584" s="74"/>
      <c r="G584" s="74"/>
      <c r="H584" s="44"/>
      <c r="I584" s="44"/>
      <c r="J584" s="103" t="str">
        <f aca="false">IF($C584="","",ROUND(IFERROR(INDEX(期初余额!$I$4:$I$43,MATCH($C584,期初余额!$H$4:$H$43,0)),0)+SUMIFS($H$4:$H584,$C$4:$C584,$C584)-SUMIFS($I$4:$I584,$C$4:$C584,$C584),2))</f>
        <v/>
      </c>
      <c r="K584" s="104" t="str">
        <f aca="false">IF($T584&lt;&gt;"",$T584,IF($C584="","",IF(AND(N($I584)&gt;0,$G584&lt;&gt;""),IF(IFERROR(INDEX(科目表!$U$4:$U$123,MATCH($G584,科目表!$M$4:$M$123,0)),"")&amp;""="","管理费用",INDEX(科目表!$U$4:$U$123,MATCH($G584,科目表!$M$4:$M$123,0))),IF(N($H584)&gt;0,IF(IFERROR(INDEX(自动规则!$C$4:$C$143,MATCH($F584,自动规则!$B$4:$B$143,0)),"")&amp;""="","其他应收款",INDEX(自动规则!$C$4:$C$143,MATCH($F584,自动规则!$B$4:$B$143,0))),IF(IFERROR(INDEX(自动规则!$D$4:$D$143,MATCH($F584,自动规则!$B$4:$B$143,0)),"")&amp;""="","其他应付款",INDEX(自动规则!$D$4:$D$143,MATCH($F584,自动规则!$B$4:$B$143,0)))))))</f>
        <v/>
      </c>
      <c r="L584" s="43"/>
      <c r="M584" s="105" t="str">
        <f aca="false">IF($C584="","",IF(IFERROR(INDEX(科目表!$T$4:$T$123,MATCH($C584,科目表!$K$4:$K$123,0)),"")&amp;""="","其他货币资金",INDEX(科目表!$T$4:$T$123,MATCH($C584,科目表!$K$4:$K$123,0))))</f>
        <v/>
      </c>
      <c r="N584" s="39" t="str">
        <f aca="false">IF(OR($C584="",ROUND(N($H584)+N($I584),2)=0),"",IF(N($H584)&gt;0,$M584,$K584))</f>
        <v/>
      </c>
      <c r="O584" s="41" t="str">
        <f aca="false">IF($N584="","",ROUND(N($H584)+N($I584),2))</f>
        <v/>
      </c>
      <c r="P584" s="41" t="str">
        <f aca="false">IF($N584="","",0)</f>
        <v/>
      </c>
      <c r="Q584" s="39" t="str">
        <f aca="false">IF($N584="","",IF(N($H584)&gt;0,$K584,$M584))</f>
        <v/>
      </c>
      <c r="R584" s="41" t="str">
        <f aca="false">IF($Q584="","",0)</f>
        <v/>
      </c>
      <c r="S584" s="41" t="str">
        <f aca="false">IF($Q584="","",ROUND(N($H584)+N($I584),2))</f>
        <v/>
      </c>
      <c r="T584" s="42"/>
      <c r="U584" s="44"/>
      <c r="V584" s="41" t="str">
        <f aca="false">IF($B584="","",TEXT($B584,"yyyy年m月"))</f>
        <v/>
      </c>
      <c r="W584" s="42"/>
      <c r="X584" s="42"/>
      <c r="Y584" s="9"/>
    </row>
    <row r="585" customFormat="false" ht="18" hidden="false" customHeight="true" outlineLevel="0" collapsed="false">
      <c r="A585" s="9" t="str">
        <f aca="false">IF($C585="","",ROW()-3)</f>
        <v/>
      </c>
      <c r="B585" s="76"/>
      <c r="C585" s="74"/>
      <c r="D585" s="43"/>
      <c r="E585" s="42"/>
      <c r="F585" s="74"/>
      <c r="G585" s="74"/>
      <c r="H585" s="44"/>
      <c r="I585" s="44"/>
      <c r="J585" s="103" t="str">
        <f aca="false">IF($C585="","",ROUND(IFERROR(INDEX(期初余额!$I$4:$I$43,MATCH($C585,期初余额!$H$4:$H$43,0)),0)+SUMIFS($H$4:$H585,$C$4:$C585,$C585)-SUMIFS($I$4:$I585,$C$4:$C585,$C585),2))</f>
        <v/>
      </c>
      <c r="K585" s="104" t="str">
        <f aca="false">IF($T585&lt;&gt;"",$T585,IF($C585="","",IF(AND(N($I585)&gt;0,$G585&lt;&gt;""),IF(IFERROR(INDEX(科目表!$U$4:$U$123,MATCH($G585,科目表!$M$4:$M$123,0)),"")&amp;""="","管理费用",INDEX(科目表!$U$4:$U$123,MATCH($G585,科目表!$M$4:$M$123,0))),IF(N($H585)&gt;0,IF(IFERROR(INDEX(自动规则!$C$4:$C$143,MATCH($F585,自动规则!$B$4:$B$143,0)),"")&amp;""="","其他应收款",INDEX(自动规则!$C$4:$C$143,MATCH($F585,自动规则!$B$4:$B$143,0))),IF(IFERROR(INDEX(自动规则!$D$4:$D$143,MATCH($F585,自动规则!$B$4:$B$143,0)),"")&amp;""="","其他应付款",INDEX(自动规则!$D$4:$D$143,MATCH($F585,自动规则!$B$4:$B$143,0)))))))</f>
        <v/>
      </c>
      <c r="L585" s="43"/>
      <c r="M585" s="105" t="str">
        <f aca="false">IF($C585="","",IF(IFERROR(INDEX(科目表!$T$4:$T$123,MATCH($C585,科目表!$K$4:$K$123,0)),"")&amp;""="","其他货币资金",INDEX(科目表!$T$4:$T$123,MATCH($C585,科目表!$K$4:$K$123,0))))</f>
        <v/>
      </c>
      <c r="N585" s="39" t="str">
        <f aca="false">IF(OR($C585="",ROUND(N($H585)+N($I585),2)=0),"",IF(N($H585)&gt;0,$M585,$K585))</f>
        <v/>
      </c>
      <c r="O585" s="41" t="str">
        <f aca="false">IF($N585="","",ROUND(N($H585)+N($I585),2))</f>
        <v/>
      </c>
      <c r="P585" s="41" t="str">
        <f aca="false">IF($N585="","",0)</f>
        <v/>
      </c>
      <c r="Q585" s="39" t="str">
        <f aca="false">IF($N585="","",IF(N($H585)&gt;0,$K585,$M585))</f>
        <v/>
      </c>
      <c r="R585" s="41" t="str">
        <f aca="false">IF($Q585="","",0)</f>
        <v/>
      </c>
      <c r="S585" s="41" t="str">
        <f aca="false">IF($Q585="","",ROUND(N($H585)+N($I585),2))</f>
        <v/>
      </c>
      <c r="T585" s="42"/>
      <c r="U585" s="44"/>
      <c r="V585" s="41" t="str">
        <f aca="false">IF($B585="","",TEXT($B585,"yyyy年m月"))</f>
        <v/>
      </c>
      <c r="W585" s="42"/>
      <c r="X585" s="42"/>
      <c r="Y585" s="9"/>
    </row>
    <row r="586" customFormat="false" ht="18" hidden="false" customHeight="true" outlineLevel="0" collapsed="false">
      <c r="A586" s="9" t="str">
        <f aca="false">IF($C586="","",ROW()-3)</f>
        <v/>
      </c>
      <c r="B586" s="76"/>
      <c r="C586" s="74"/>
      <c r="D586" s="43"/>
      <c r="E586" s="42"/>
      <c r="F586" s="74"/>
      <c r="G586" s="74"/>
      <c r="H586" s="44"/>
      <c r="I586" s="44"/>
      <c r="J586" s="103" t="str">
        <f aca="false">IF($C586="","",ROUND(IFERROR(INDEX(期初余额!$I$4:$I$43,MATCH($C586,期初余额!$H$4:$H$43,0)),0)+SUMIFS($H$4:$H586,$C$4:$C586,$C586)-SUMIFS($I$4:$I586,$C$4:$C586,$C586),2))</f>
        <v/>
      </c>
      <c r="K586" s="104" t="str">
        <f aca="false">IF($T586&lt;&gt;"",$T586,IF($C586="","",IF(AND(N($I586)&gt;0,$G586&lt;&gt;""),IF(IFERROR(INDEX(科目表!$U$4:$U$123,MATCH($G586,科目表!$M$4:$M$123,0)),"")&amp;""="","管理费用",INDEX(科目表!$U$4:$U$123,MATCH($G586,科目表!$M$4:$M$123,0))),IF(N($H586)&gt;0,IF(IFERROR(INDEX(自动规则!$C$4:$C$143,MATCH($F586,自动规则!$B$4:$B$143,0)),"")&amp;""="","其他应收款",INDEX(自动规则!$C$4:$C$143,MATCH($F586,自动规则!$B$4:$B$143,0))),IF(IFERROR(INDEX(自动规则!$D$4:$D$143,MATCH($F586,自动规则!$B$4:$B$143,0)),"")&amp;""="","其他应付款",INDEX(自动规则!$D$4:$D$143,MATCH($F586,自动规则!$B$4:$B$143,0)))))))</f>
        <v/>
      </c>
      <c r="L586" s="43"/>
      <c r="M586" s="105" t="str">
        <f aca="false">IF($C586="","",IF(IFERROR(INDEX(科目表!$T$4:$T$123,MATCH($C586,科目表!$K$4:$K$123,0)),"")&amp;""="","其他货币资金",INDEX(科目表!$T$4:$T$123,MATCH($C586,科目表!$K$4:$K$123,0))))</f>
        <v/>
      </c>
      <c r="N586" s="39" t="str">
        <f aca="false">IF(OR($C586="",ROUND(N($H586)+N($I586),2)=0),"",IF(N($H586)&gt;0,$M586,$K586))</f>
        <v/>
      </c>
      <c r="O586" s="41" t="str">
        <f aca="false">IF($N586="","",ROUND(N($H586)+N($I586),2))</f>
        <v/>
      </c>
      <c r="P586" s="41" t="str">
        <f aca="false">IF($N586="","",0)</f>
        <v/>
      </c>
      <c r="Q586" s="39" t="str">
        <f aca="false">IF($N586="","",IF(N($H586)&gt;0,$K586,$M586))</f>
        <v/>
      </c>
      <c r="R586" s="41" t="str">
        <f aca="false">IF($Q586="","",0)</f>
        <v/>
      </c>
      <c r="S586" s="41" t="str">
        <f aca="false">IF($Q586="","",ROUND(N($H586)+N($I586),2))</f>
        <v/>
      </c>
      <c r="T586" s="42"/>
      <c r="U586" s="44"/>
      <c r="V586" s="41" t="str">
        <f aca="false">IF($B586="","",TEXT($B586,"yyyy年m月"))</f>
        <v/>
      </c>
      <c r="W586" s="42"/>
      <c r="X586" s="42"/>
      <c r="Y586" s="9"/>
    </row>
    <row r="587" customFormat="false" ht="18" hidden="false" customHeight="true" outlineLevel="0" collapsed="false">
      <c r="A587" s="9" t="str">
        <f aca="false">IF($C587="","",ROW()-3)</f>
        <v/>
      </c>
      <c r="B587" s="76"/>
      <c r="C587" s="74"/>
      <c r="D587" s="43"/>
      <c r="E587" s="42"/>
      <c r="F587" s="74"/>
      <c r="G587" s="74"/>
      <c r="H587" s="44"/>
      <c r="I587" s="44"/>
      <c r="J587" s="103" t="str">
        <f aca="false">IF($C587="","",ROUND(IFERROR(INDEX(期初余额!$I$4:$I$43,MATCH($C587,期初余额!$H$4:$H$43,0)),0)+SUMIFS($H$4:$H587,$C$4:$C587,$C587)-SUMIFS($I$4:$I587,$C$4:$C587,$C587),2))</f>
        <v/>
      </c>
      <c r="K587" s="104" t="str">
        <f aca="false">IF($T587&lt;&gt;"",$T587,IF($C587="","",IF(AND(N($I587)&gt;0,$G587&lt;&gt;""),IF(IFERROR(INDEX(科目表!$U$4:$U$123,MATCH($G587,科目表!$M$4:$M$123,0)),"")&amp;""="","管理费用",INDEX(科目表!$U$4:$U$123,MATCH($G587,科目表!$M$4:$M$123,0))),IF(N($H587)&gt;0,IF(IFERROR(INDEX(自动规则!$C$4:$C$143,MATCH($F587,自动规则!$B$4:$B$143,0)),"")&amp;""="","其他应收款",INDEX(自动规则!$C$4:$C$143,MATCH($F587,自动规则!$B$4:$B$143,0))),IF(IFERROR(INDEX(自动规则!$D$4:$D$143,MATCH($F587,自动规则!$B$4:$B$143,0)),"")&amp;""="","其他应付款",INDEX(自动规则!$D$4:$D$143,MATCH($F587,自动规则!$B$4:$B$143,0)))))))</f>
        <v/>
      </c>
      <c r="L587" s="43"/>
      <c r="M587" s="105" t="str">
        <f aca="false">IF($C587="","",IF(IFERROR(INDEX(科目表!$T$4:$T$123,MATCH($C587,科目表!$K$4:$K$123,0)),"")&amp;""="","其他货币资金",INDEX(科目表!$T$4:$T$123,MATCH($C587,科目表!$K$4:$K$123,0))))</f>
        <v/>
      </c>
      <c r="N587" s="39" t="str">
        <f aca="false">IF(OR($C587="",ROUND(N($H587)+N($I587),2)=0),"",IF(N($H587)&gt;0,$M587,$K587))</f>
        <v/>
      </c>
      <c r="O587" s="41" t="str">
        <f aca="false">IF($N587="","",ROUND(N($H587)+N($I587),2))</f>
        <v/>
      </c>
      <c r="P587" s="41" t="str">
        <f aca="false">IF($N587="","",0)</f>
        <v/>
      </c>
      <c r="Q587" s="39" t="str">
        <f aca="false">IF($N587="","",IF(N($H587)&gt;0,$K587,$M587))</f>
        <v/>
      </c>
      <c r="R587" s="41" t="str">
        <f aca="false">IF($Q587="","",0)</f>
        <v/>
      </c>
      <c r="S587" s="41" t="str">
        <f aca="false">IF($Q587="","",ROUND(N($H587)+N($I587),2))</f>
        <v/>
      </c>
      <c r="T587" s="42"/>
      <c r="U587" s="44"/>
      <c r="V587" s="41" t="str">
        <f aca="false">IF($B587="","",TEXT($B587,"yyyy年m月"))</f>
        <v/>
      </c>
      <c r="W587" s="42"/>
      <c r="X587" s="42"/>
      <c r="Y587" s="9"/>
    </row>
    <row r="588" customFormat="false" ht="18" hidden="false" customHeight="true" outlineLevel="0" collapsed="false">
      <c r="A588" s="9" t="str">
        <f aca="false">IF($C588="","",ROW()-3)</f>
        <v/>
      </c>
      <c r="B588" s="76"/>
      <c r="C588" s="74"/>
      <c r="D588" s="43"/>
      <c r="E588" s="42"/>
      <c r="F588" s="74"/>
      <c r="G588" s="74"/>
      <c r="H588" s="44"/>
      <c r="I588" s="44"/>
      <c r="J588" s="103" t="str">
        <f aca="false">IF($C588="","",ROUND(IFERROR(INDEX(期初余额!$I$4:$I$43,MATCH($C588,期初余额!$H$4:$H$43,0)),0)+SUMIFS($H$4:$H588,$C$4:$C588,$C588)-SUMIFS($I$4:$I588,$C$4:$C588,$C588),2))</f>
        <v/>
      </c>
      <c r="K588" s="104" t="str">
        <f aca="false">IF($T588&lt;&gt;"",$T588,IF($C588="","",IF(AND(N($I588)&gt;0,$G588&lt;&gt;""),IF(IFERROR(INDEX(科目表!$U$4:$U$123,MATCH($G588,科目表!$M$4:$M$123,0)),"")&amp;""="","管理费用",INDEX(科目表!$U$4:$U$123,MATCH($G588,科目表!$M$4:$M$123,0))),IF(N($H588)&gt;0,IF(IFERROR(INDEX(自动规则!$C$4:$C$143,MATCH($F588,自动规则!$B$4:$B$143,0)),"")&amp;""="","其他应收款",INDEX(自动规则!$C$4:$C$143,MATCH($F588,自动规则!$B$4:$B$143,0))),IF(IFERROR(INDEX(自动规则!$D$4:$D$143,MATCH($F588,自动规则!$B$4:$B$143,0)),"")&amp;""="","其他应付款",INDEX(自动规则!$D$4:$D$143,MATCH($F588,自动规则!$B$4:$B$143,0)))))))</f>
        <v/>
      </c>
      <c r="L588" s="43"/>
      <c r="M588" s="105" t="str">
        <f aca="false">IF($C588="","",IF(IFERROR(INDEX(科目表!$T$4:$T$123,MATCH($C588,科目表!$K$4:$K$123,0)),"")&amp;""="","其他货币资金",INDEX(科目表!$T$4:$T$123,MATCH($C588,科目表!$K$4:$K$123,0))))</f>
        <v/>
      </c>
      <c r="N588" s="39" t="str">
        <f aca="false">IF(OR($C588="",ROUND(N($H588)+N($I588),2)=0),"",IF(N($H588)&gt;0,$M588,$K588))</f>
        <v/>
      </c>
      <c r="O588" s="41" t="str">
        <f aca="false">IF($N588="","",ROUND(N($H588)+N($I588),2))</f>
        <v/>
      </c>
      <c r="P588" s="41" t="str">
        <f aca="false">IF($N588="","",0)</f>
        <v/>
      </c>
      <c r="Q588" s="39" t="str">
        <f aca="false">IF($N588="","",IF(N($H588)&gt;0,$K588,$M588))</f>
        <v/>
      </c>
      <c r="R588" s="41" t="str">
        <f aca="false">IF($Q588="","",0)</f>
        <v/>
      </c>
      <c r="S588" s="41" t="str">
        <f aca="false">IF($Q588="","",ROUND(N($H588)+N($I588),2))</f>
        <v/>
      </c>
      <c r="T588" s="42"/>
      <c r="U588" s="44"/>
      <c r="V588" s="41" t="str">
        <f aca="false">IF($B588="","",TEXT($B588,"yyyy年m月"))</f>
        <v/>
      </c>
      <c r="W588" s="42"/>
      <c r="X588" s="42"/>
      <c r="Y588" s="9"/>
    </row>
    <row r="589" customFormat="false" ht="18" hidden="false" customHeight="true" outlineLevel="0" collapsed="false">
      <c r="A589" s="9" t="str">
        <f aca="false">IF($C589="","",ROW()-3)</f>
        <v/>
      </c>
      <c r="B589" s="76"/>
      <c r="C589" s="74"/>
      <c r="D589" s="43"/>
      <c r="E589" s="42"/>
      <c r="F589" s="74"/>
      <c r="G589" s="74"/>
      <c r="H589" s="44"/>
      <c r="I589" s="44"/>
      <c r="J589" s="103" t="str">
        <f aca="false">IF($C589="","",ROUND(IFERROR(INDEX(期初余额!$I$4:$I$43,MATCH($C589,期初余额!$H$4:$H$43,0)),0)+SUMIFS($H$4:$H589,$C$4:$C589,$C589)-SUMIFS($I$4:$I589,$C$4:$C589,$C589),2))</f>
        <v/>
      </c>
      <c r="K589" s="104" t="str">
        <f aca="false">IF($T589&lt;&gt;"",$T589,IF($C589="","",IF(AND(N($I589)&gt;0,$G589&lt;&gt;""),IF(IFERROR(INDEX(科目表!$U$4:$U$123,MATCH($G589,科目表!$M$4:$M$123,0)),"")&amp;""="","管理费用",INDEX(科目表!$U$4:$U$123,MATCH($G589,科目表!$M$4:$M$123,0))),IF(N($H589)&gt;0,IF(IFERROR(INDEX(自动规则!$C$4:$C$143,MATCH($F589,自动规则!$B$4:$B$143,0)),"")&amp;""="","其他应收款",INDEX(自动规则!$C$4:$C$143,MATCH($F589,自动规则!$B$4:$B$143,0))),IF(IFERROR(INDEX(自动规则!$D$4:$D$143,MATCH($F589,自动规则!$B$4:$B$143,0)),"")&amp;""="","其他应付款",INDEX(自动规则!$D$4:$D$143,MATCH($F589,自动规则!$B$4:$B$143,0)))))))</f>
        <v/>
      </c>
      <c r="L589" s="43"/>
      <c r="M589" s="105" t="str">
        <f aca="false">IF($C589="","",IF(IFERROR(INDEX(科目表!$T$4:$T$123,MATCH($C589,科目表!$K$4:$K$123,0)),"")&amp;""="","其他货币资金",INDEX(科目表!$T$4:$T$123,MATCH($C589,科目表!$K$4:$K$123,0))))</f>
        <v/>
      </c>
      <c r="N589" s="39" t="str">
        <f aca="false">IF(OR($C589="",ROUND(N($H589)+N($I589),2)=0),"",IF(N($H589)&gt;0,$M589,$K589))</f>
        <v/>
      </c>
      <c r="O589" s="41" t="str">
        <f aca="false">IF($N589="","",ROUND(N($H589)+N($I589),2))</f>
        <v/>
      </c>
      <c r="P589" s="41" t="str">
        <f aca="false">IF($N589="","",0)</f>
        <v/>
      </c>
      <c r="Q589" s="39" t="str">
        <f aca="false">IF($N589="","",IF(N($H589)&gt;0,$K589,$M589))</f>
        <v/>
      </c>
      <c r="R589" s="41" t="str">
        <f aca="false">IF($Q589="","",0)</f>
        <v/>
      </c>
      <c r="S589" s="41" t="str">
        <f aca="false">IF($Q589="","",ROUND(N($H589)+N($I589),2))</f>
        <v/>
      </c>
      <c r="T589" s="42"/>
      <c r="U589" s="44"/>
      <c r="V589" s="41" t="str">
        <f aca="false">IF($B589="","",TEXT($B589,"yyyy年m月"))</f>
        <v/>
      </c>
      <c r="W589" s="42"/>
      <c r="X589" s="42"/>
      <c r="Y589" s="9"/>
    </row>
    <row r="590" customFormat="false" ht="18" hidden="false" customHeight="true" outlineLevel="0" collapsed="false">
      <c r="A590" s="9" t="str">
        <f aca="false">IF($C590="","",ROW()-3)</f>
        <v/>
      </c>
      <c r="B590" s="76"/>
      <c r="C590" s="74"/>
      <c r="D590" s="43"/>
      <c r="E590" s="42"/>
      <c r="F590" s="74"/>
      <c r="G590" s="74"/>
      <c r="H590" s="44"/>
      <c r="I590" s="44"/>
      <c r="J590" s="103" t="str">
        <f aca="false">IF($C590="","",ROUND(IFERROR(INDEX(期初余额!$I$4:$I$43,MATCH($C590,期初余额!$H$4:$H$43,0)),0)+SUMIFS($H$4:$H590,$C$4:$C590,$C590)-SUMIFS($I$4:$I590,$C$4:$C590,$C590),2))</f>
        <v/>
      </c>
      <c r="K590" s="104" t="str">
        <f aca="false">IF($T590&lt;&gt;"",$T590,IF($C590="","",IF(AND(N($I590)&gt;0,$G590&lt;&gt;""),IF(IFERROR(INDEX(科目表!$U$4:$U$123,MATCH($G590,科目表!$M$4:$M$123,0)),"")&amp;""="","管理费用",INDEX(科目表!$U$4:$U$123,MATCH($G590,科目表!$M$4:$M$123,0))),IF(N($H590)&gt;0,IF(IFERROR(INDEX(自动规则!$C$4:$C$143,MATCH($F590,自动规则!$B$4:$B$143,0)),"")&amp;""="","其他应收款",INDEX(自动规则!$C$4:$C$143,MATCH($F590,自动规则!$B$4:$B$143,0))),IF(IFERROR(INDEX(自动规则!$D$4:$D$143,MATCH($F590,自动规则!$B$4:$B$143,0)),"")&amp;""="","其他应付款",INDEX(自动规则!$D$4:$D$143,MATCH($F590,自动规则!$B$4:$B$143,0)))))))</f>
        <v/>
      </c>
      <c r="L590" s="43"/>
      <c r="M590" s="105" t="str">
        <f aca="false">IF($C590="","",IF(IFERROR(INDEX(科目表!$T$4:$T$123,MATCH($C590,科目表!$K$4:$K$123,0)),"")&amp;""="","其他货币资金",INDEX(科目表!$T$4:$T$123,MATCH($C590,科目表!$K$4:$K$123,0))))</f>
        <v/>
      </c>
      <c r="N590" s="39" t="str">
        <f aca="false">IF(OR($C590="",ROUND(N($H590)+N($I590),2)=0),"",IF(N($H590)&gt;0,$M590,$K590))</f>
        <v/>
      </c>
      <c r="O590" s="41" t="str">
        <f aca="false">IF($N590="","",ROUND(N($H590)+N($I590),2))</f>
        <v/>
      </c>
      <c r="P590" s="41" t="str">
        <f aca="false">IF($N590="","",0)</f>
        <v/>
      </c>
      <c r="Q590" s="39" t="str">
        <f aca="false">IF($N590="","",IF(N($H590)&gt;0,$K590,$M590))</f>
        <v/>
      </c>
      <c r="R590" s="41" t="str">
        <f aca="false">IF($Q590="","",0)</f>
        <v/>
      </c>
      <c r="S590" s="41" t="str">
        <f aca="false">IF($Q590="","",ROUND(N($H590)+N($I590),2))</f>
        <v/>
      </c>
      <c r="T590" s="42"/>
      <c r="U590" s="44"/>
      <c r="V590" s="41" t="str">
        <f aca="false">IF($B590="","",TEXT($B590,"yyyy年m月"))</f>
        <v/>
      </c>
      <c r="W590" s="42"/>
      <c r="X590" s="42"/>
      <c r="Y590" s="9"/>
    </row>
    <row r="591" customFormat="false" ht="18" hidden="false" customHeight="true" outlineLevel="0" collapsed="false">
      <c r="A591" s="9" t="str">
        <f aca="false">IF($C591="","",ROW()-3)</f>
        <v/>
      </c>
      <c r="B591" s="76"/>
      <c r="C591" s="74"/>
      <c r="D591" s="43"/>
      <c r="E591" s="42"/>
      <c r="F591" s="74"/>
      <c r="G591" s="74"/>
      <c r="H591" s="44"/>
      <c r="I591" s="44"/>
      <c r="J591" s="103" t="str">
        <f aca="false">IF($C591="","",ROUND(IFERROR(INDEX(期初余额!$I$4:$I$43,MATCH($C591,期初余额!$H$4:$H$43,0)),0)+SUMIFS($H$4:$H591,$C$4:$C591,$C591)-SUMIFS($I$4:$I591,$C$4:$C591,$C591),2))</f>
        <v/>
      </c>
      <c r="K591" s="104" t="str">
        <f aca="false">IF($T591&lt;&gt;"",$T591,IF($C591="","",IF(AND(N($I591)&gt;0,$G591&lt;&gt;""),IF(IFERROR(INDEX(科目表!$U$4:$U$123,MATCH($G591,科目表!$M$4:$M$123,0)),"")&amp;""="","管理费用",INDEX(科目表!$U$4:$U$123,MATCH($G591,科目表!$M$4:$M$123,0))),IF(N($H591)&gt;0,IF(IFERROR(INDEX(自动规则!$C$4:$C$143,MATCH($F591,自动规则!$B$4:$B$143,0)),"")&amp;""="","其他应收款",INDEX(自动规则!$C$4:$C$143,MATCH($F591,自动规则!$B$4:$B$143,0))),IF(IFERROR(INDEX(自动规则!$D$4:$D$143,MATCH($F591,自动规则!$B$4:$B$143,0)),"")&amp;""="","其他应付款",INDEX(自动规则!$D$4:$D$143,MATCH($F591,自动规则!$B$4:$B$143,0)))))))</f>
        <v/>
      </c>
      <c r="L591" s="43"/>
      <c r="M591" s="105" t="str">
        <f aca="false">IF($C591="","",IF(IFERROR(INDEX(科目表!$T$4:$T$123,MATCH($C591,科目表!$K$4:$K$123,0)),"")&amp;""="","其他货币资金",INDEX(科目表!$T$4:$T$123,MATCH($C591,科目表!$K$4:$K$123,0))))</f>
        <v/>
      </c>
      <c r="N591" s="39" t="str">
        <f aca="false">IF(OR($C591="",ROUND(N($H591)+N($I591),2)=0),"",IF(N($H591)&gt;0,$M591,$K591))</f>
        <v/>
      </c>
      <c r="O591" s="41" t="str">
        <f aca="false">IF($N591="","",ROUND(N($H591)+N($I591),2))</f>
        <v/>
      </c>
      <c r="P591" s="41" t="str">
        <f aca="false">IF($N591="","",0)</f>
        <v/>
      </c>
      <c r="Q591" s="39" t="str">
        <f aca="false">IF($N591="","",IF(N($H591)&gt;0,$K591,$M591))</f>
        <v/>
      </c>
      <c r="R591" s="41" t="str">
        <f aca="false">IF($Q591="","",0)</f>
        <v/>
      </c>
      <c r="S591" s="41" t="str">
        <f aca="false">IF($Q591="","",ROUND(N($H591)+N($I591),2))</f>
        <v/>
      </c>
      <c r="T591" s="42"/>
      <c r="U591" s="44"/>
      <c r="V591" s="41" t="str">
        <f aca="false">IF($B591="","",TEXT($B591,"yyyy年m月"))</f>
        <v/>
      </c>
      <c r="W591" s="42"/>
      <c r="X591" s="42"/>
      <c r="Y591" s="9"/>
    </row>
    <row r="592" customFormat="false" ht="18" hidden="false" customHeight="true" outlineLevel="0" collapsed="false">
      <c r="A592" s="9" t="str">
        <f aca="false">IF($C592="","",ROW()-3)</f>
        <v/>
      </c>
      <c r="B592" s="76"/>
      <c r="C592" s="74"/>
      <c r="D592" s="43"/>
      <c r="E592" s="42"/>
      <c r="F592" s="74"/>
      <c r="G592" s="74"/>
      <c r="H592" s="44"/>
      <c r="I592" s="44"/>
      <c r="J592" s="103" t="str">
        <f aca="false">IF($C592="","",ROUND(IFERROR(INDEX(期初余额!$I$4:$I$43,MATCH($C592,期初余额!$H$4:$H$43,0)),0)+SUMIFS($H$4:$H592,$C$4:$C592,$C592)-SUMIFS($I$4:$I592,$C$4:$C592,$C592),2))</f>
        <v/>
      </c>
      <c r="K592" s="104" t="str">
        <f aca="false">IF($T592&lt;&gt;"",$T592,IF($C592="","",IF(AND(N($I592)&gt;0,$G592&lt;&gt;""),IF(IFERROR(INDEX(科目表!$U$4:$U$123,MATCH($G592,科目表!$M$4:$M$123,0)),"")&amp;""="","管理费用",INDEX(科目表!$U$4:$U$123,MATCH($G592,科目表!$M$4:$M$123,0))),IF(N($H592)&gt;0,IF(IFERROR(INDEX(自动规则!$C$4:$C$143,MATCH($F592,自动规则!$B$4:$B$143,0)),"")&amp;""="","其他应收款",INDEX(自动规则!$C$4:$C$143,MATCH($F592,自动规则!$B$4:$B$143,0))),IF(IFERROR(INDEX(自动规则!$D$4:$D$143,MATCH($F592,自动规则!$B$4:$B$143,0)),"")&amp;""="","其他应付款",INDEX(自动规则!$D$4:$D$143,MATCH($F592,自动规则!$B$4:$B$143,0)))))))</f>
        <v/>
      </c>
      <c r="L592" s="43"/>
      <c r="M592" s="105" t="str">
        <f aca="false">IF($C592="","",IF(IFERROR(INDEX(科目表!$T$4:$T$123,MATCH($C592,科目表!$K$4:$K$123,0)),"")&amp;""="","其他货币资金",INDEX(科目表!$T$4:$T$123,MATCH($C592,科目表!$K$4:$K$123,0))))</f>
        <v/>
      </c>
      <c r="N592" s="39" t="str">
        <f aca="false">IF(OR($C592="",ROUND(N($H592)+N($I592),2)=0),"",IF(N($H592)&gt;0,$M592,$K592))</f>
        <v/>
      </c>
      <c r="O592" s="41" t="str">
        <f aca="false">IF($N592="","",ROUND(N($H592)+N($I592),2))</f>
        <v/>
      </c>
      <c r="P592" s="41" t="str">
        <f aca="false">IF($N592="","",0)</f>
        <v/>
      </c>
      <c r="Q592" s="39" t="str">
        <f aca="false">IF($N592="","",IF(N($H592)&gt;0,$K592,$M592))</f>
        <v/>
      </c>
      <c r="R592" s="41" t="str">
        <f aca="false">IF($Q592="","",0)</f>
        <v/>
      </c>
      <c r="S592" s="41" t="str">
        <f aca="false">IF($Q592="","",ROUND(N($H592)+N($I592),2))</f>
        <v/>
      </c>
      <c r="T592" s="42"/>
      <c r="U592" s="44"/>
      <c r="V592" s="41" t="str">
        <f aca="false">IF($B592="","",TEXT($B592,"yyyy年m月"))</f>
        <v/>
      </c>
      <c r="W592" s="42"/>
      <c r="X592" s="42"/>
      <c r="Y592" s="9"/>
    </row>
    <row r="593" customFormat="false" ht="18" hidden="false" customHeight="true" outlineLevel="0" collapsed="false">
      <c r="A593" s="9" t="str">
        <f aca="false">IF($C593="","",ROW()-3)</f>
        <v/>
      </c>
      <c r="B593" s="76"/>
      <c r="C593" s="74"/>
      <c r="D593" s="43"/>
      <c r="E593" s="42"/>
      <c r="F593" s="74"/>
      <c r="G593" s="74"/>
      <c r="H593" s="44"/>
      <c r="I593" s="44"/>
      <c r="J593" s="103" t="str">
        <f aca="false">IF($C593="","",ROUND(IFERROR(INDEX(期初余额!$I$4:$I$43,MATCH($C593,期初余额!$H$4:$H$43,0)),0)+SUMIFS($H$4:$H593,$C$4:$C593,$C593)-SUMIFS($I$4:$I593,$C$4:$C593,$C593),2))</f>
        <v/>
      </c>
      <c r="K593" s="104" t="str">
        <f aca="false">IF($T593&lt;&gt;"",$T593,IF($C593="","",IF(AND(N($I593)&gt;0,$G593&lt;&gt;""),IF(IFERROR(INDEX(科目表!$U$4:$U$123,MATCH($G593,科目表!$M$4:$M$123,0)),"")&amp;""="","管理费用",INDEX(科目表!$U$4:$U$123,MATCH($G593,科目表!$M$4:$M$123,0))),IF(N($H593)&gt;0,IF(IFERROR(INDEX(自动规则!$C$4:$C$143,MATCH($F593,自动规则!$B$4:$B$143,0)),"")&amp;""="","其他应收款",INDEX(自动规则!$C$4:$C$143,MATCH($F593,自动规则!$B$4:$B$143,0))),IF(IFERROR(INDEX(自动规则!$D$4:$D$143,MATCH($F593,自动规则!$B$4:$B$143,0)),"")&amp;""="","其他应付款",INDEX(自动规则!$D$4:$D$143,MATCH($F593,自动规则!$B$4:$B$143,0)))))))</f>
        <v/>
      </c>
      <c r="L593" s="43"/>
      <c r="M593" s="105" t="str">
        <f aca="false">IF($C593="","",IF(IFERROR(INDEX(科目表!$T$4:$T$123,MATCH($C593,科目表!$K$4:$K$123,0)),"")&amp;""="","其他货币资金",INDEX(科目表!$T$4:$T$123,MATCH($C593,科目表!$K$4:$K$123,0))))</f>
        <v/>
      </c>
      <c r="N593" s="39" t="str">
        <f aca="false">IF(OR($C593="",ROUND(N($H593)+N($I593),2)=0),"",IF(N($H593)&gt;0,$M593,$K593))</f>
        <v/>
      </c>
      <c r="O593" s="41" t="str">
        <f aca="false">IF($N593="","",ROUND(N($H593)+N($I593),2))</f>
        <v/>
      </c>
      <c r="P593" s="41" t="str">
        <f aca="false">IF($N593="","",0)</f>
        <v/>
      </c>
      <c r="Q593" s="39" t="str">
        <f aca="false">IF($N593="","",IF(N($H593)&gt;0,$K593,$M593))</f>
        <v/>
      </c>
      <c r="R593" s="41" t="str">
        <f aca="false">IF($Q593="","",0)</f>
        <v/>
      </c>
      <c r="S593" s="41" t="str">
        <f aca="false">IF($Q593="","",ROUND(N($H593)+N($I593),2))</f>
        <v/>
      </c>
      <c r="T593" s="42"/>
      <c r="U593" s="44"/>
      <c r="V593" s="41" t="str">
        <f aca="false">IF($B593="","",TEXT($B593,"yyyy年m月"))</f>
        <v/>
      </c>
      <c r="W593" s="42"/>
      <c r="X593" s="42"/>
      <c r="Y593" s="9"/>
    </row>
    <row r="594" customFormat="false" ht="18" hidden="false" customHeight="true" outlineLevel="0" collapsed="false">
      <c r="A594" s="9" t="str">
        <f aca="false">IF($C594="","",ROW()-3)</f>
        <v/>
      </c>
      <c r="B594" s="76"/>
      <c r="C594" s="74"/>
      <c r="D594" s="43"/>
      <c r="E594" s="42"/>
      <c r="F594" s="74"/>
      <c r="G594" s="74"/>
      <c r="H594" s="44"/>
      <c r="I594" s="44"/>
      <c r="J594" s="103" t="str">
        <f aca="false">IF($C594="","",ROUND(IFERROR(INDEX(期初余额!$I$4:$I$43,MATCH($C594,期初余额!$H$4:$H$43,0)),0)+SUMIFS($H$4:$H594,$C$4:$C594,$C594)-SUMIFS($I$4:$I594,$C$4:$C594,$C594),2))</f>
        <v/>
      </c>
      <c r="K594" s="104" t="str">
        <f aca="false">IF($T594&lt;&gt;"",$T594,IF($C594="","",IF(AND(N($I594)&gt;0,$G594&lt;&gt;""),IF(IFERROR(INDEX(科目表!$U$4:$U$123,MATCH($G594,科目表!$M$4:$M$123,0)),"")&amp;""="","管理费用",INDEX(科目表!$U$4:$U$123,MATCH($G594,科目表!$M$4:$M$123,0))),IF(N($H594)&gt;0,IF(IFERROR(INDEX(自动规则!$C$4:$C$143,MATCH($F594,自动规则!$B$4:$B$143,0)),"")&amp;""="","其他应收款",INDEX(自动规则!$C$4:$C$143,MATCH($F594,自动规则!$B$4:$B$143,0))),IF(IFERROR(INDEX(自动规则!$D$4:$D$143,MATCH($F594,自动规则!$B$4:$B$143,0)),"")&amp;""="","其他应付款",INDEX(自动规则!$D$4:$D$143,MATCH($F594,自动规则!$B$4:$B$143,0)))))))</f>
        <v/>
      </c>
      <c r="L594" s="43"/>
      <c r="M594" s="105" t="str">
        <f aca="false">IF($C594="","",IF(IFERROR(INDEX(科目表!$T$4:$T$123,MATCH($C594,科目表!$K$4:$K$123,0)),"")&amp;""="","其他货币资金",INDEX(科目表!$T$4:$T$123,MATCH($C594,科目表!$K$4:$K$123,0))))</f>
        <v/>
      </c>
      <c r="N594" s="39" t="str">
        <f aca="false">IF(OR($C594="",ROUND(N($H594)+N($I594),2)=0),"",IF(N($H594)&gt;0,$M594,$K594))</f>
        <v/>
      </c>
      <c r="O594" s="41" t="str">
        <f aca="false">IF($N594="","",ROUND(N($H594)+N($I594),2))</f>
        <v/>
      </c>
      <c r="P594" s="41" t="str">
        <f aca="false">IF($N594="","",0)</f>
        <v/>
      </c>
      <c r="Q594" s="39" t="str">
        <f aca="false">IF($N594="","",IF(N($H594)&gt;0,$K594,$M594))</f>
        <v/>
      </c>
      <c r="R594" s="41" t="str">
        <f aca="false">IF($Q594="","",0)</f>
        <v/>
      </c>
      <c r="S594" s="41" t="str">
        <f aca="false">IF($Q594="","",ROUND(N($H594)+N($I594),2))</f>
        <v/>
      </c>
      <c r="T594" s="42"/>
      <c r="U594" s="44"/>
      <c r="V594" s="41" t="str">
        <f aca="false">IF($B594="","",TEXT($B594,"yyyy年m月"))</f>
        <v/>
      </c>
      <c r="W594" s="42"/>
      <c r="X594" s="42"/>
      <c r="Y594" s="9"/>
    </row>
    <row r="595" customFormat="false" ht="18" hidden="false" customHeight="true" outlineLevel="0" collapsed="false">
      <c r="A595" s="9" t="str">
        <f aca="false">IF($C595="","",ROW()-3)</f>
        <v/>
      </c>
      <c r="B595" s="76"/>
      <c r="C595" s="74"/>
      <c r="D595" s="43"/>
      <c r="E595" s="42"/>
      <c r="F595" s="74"/>
      <c r="G595" s="74"/>
      <c r="H595" s="44"/>
      <c r="I595" s="44"/>
      <c r="J595" s="103" t="str">
        <f aca="false">IF($C595="","",ROUND(IFERROR(INDEX(期初余额!$I$4:$I$43,MATCH($C595,期初余额!$H$4:$H$43,0)),0)+SUMIFS($H$4:$H595,$C$4:$C595,$C595)-SUMIFS($I$4:$I595,$C$4:$C595,$C595),2))</f>
        <v/>
      </c>
      <c r="K595" s="104" t="str">
        <f aca="false">IF($T595&lt;&gt;"",$T595,IF($C595="","",IF(AND(N($I595)&gt;0,$G595&lt;&gt;""),IF(IFERROR(INDEX(科目表!$U$4:$U$123,MATCH($G595,科目表!$M$4:$M$123,0)),"")&amp;""="","管理费用",INDEX(科目表!$U$4:$U$123,MATCH($G595,科目表!$M$4:$M$123,0))),IF(N($H595)&gt;0,IF(IFERROR(INDEX(自动规则!$C$4:$C$143,MATCH($F595,自动规则!$B$4:$B$143,0)),"")&amp;""="","其他应收款",INDEX(自动规则!$C$4:$C$143,MATCH($F595,自动规则!$B$4:$B$143,0))),IF(IFERROR(INDEX(自动规则!$D$4:$D$143,MATCH($F595,自动规则!$B$4:$B$143,0)),"")&amp;""="","其他应付款",INDEX(自动规则!$D$4:$D$143,MATCH($F595,自动规则!$B$4:$B$143,0)))))))</f>
        <v/>
      </c>
      <c r="L595" s="43"/>
      <c r="M595" s="105" t="str">
        <f aca="false">IF($C595="","",IF(IFERROR(INDEX(科目表!$T$4:$T$123,MATCH($C595,科目表!$K$4:$K$123,0)),"")&amp;""="","其他货币资金",INDEX(科目表!$T$4:$T$123,MATCH($C595,科目表!$K$4:$K$123,0))))</f>
        <v/>
      </c>
      <c r="N595" s="39" t="str">
        <f aca="false">IF(OR($C595="",ROUND(N($H595)+N($I595),2)=0),"",IF(N($H595)&gt;0,$M595,$K595))</f>
        <v/>
      </c>
      <c r="O595" s="41" t="str">
        <f aca="false">IF($N595="","",ROUND(N($H595)+N($I595),2))</f>
        <v/>
      </c>
      <c r="P595" s="41" t="str">
        <f aca="false">IF($N595="","",0)</f>
        <v/>
      </c>
      <c r="Q595" s="39" t="str">
        <f aca="false">IF($N595="","",IF(N($H595)&gt;0,$K595,$M595))</f>
        <v/>
      </c>
      <c r="R595" s="41" t="str">
        <f aca="false">IF($Q595="","",0)</f>
        <v/>
      </c>
      <c r="S595" s="41" t="str">
        <f aca="false">IF($Q595="","",ROUND(N($H595)+N($I595),2))</f>
        <v/>
      </c>
      <c r="T595" s="42"/>
      <c r="U595" s="44"/>
      <c r="V595" s="41" t="str">
        <f aca="false">IF($B595="","",TEXT($B595,"yyyy年m月"))</f>
        <v/>
      </c>
      <c r="W595" s="42"/>
      <c r="X595" s="42"/>
      <c r="Y595" s="9"/>
    </row>
    <row r="596" customFormat="false" ht="18" hidden="false" customHeight="true" outlineLevel="0" collapsed="false">
      <c r="A596" s="9" t="str">
        <f aca="false">IF($C596="","",ROW()-3)</f>
        <v/>
      </c>
      <c r="B596" s="76"/>
      <c r="C596" s="74"/>
      <c r="D596" s="43"/>
      <c r="E596" s="42"/>
      <c r="F596" s="74"/>
      <c r="G596" s="74"/>
      <c r="H596" s="44"/>
      <c r="I596" s="44"/>
      <c r="J596" s="103" t="str">
        <f aca="false">IF($C596="","",ROUND(IFERROR(INDEX(期初余额!$I$4:$I$43,MATCH($C596,期初余额!$H$4:$H$43,0)),0)+SUMIFS($H$4:$H596,$C$4:$C596,$C596)-SUMIFS($I$4:$I596,$C$4:$C596,$C596),2))</f>
        <v/>
      </c>
      <c r="K596" s="104" t="str">
        <f aca="false">IF($T596&lt;&gt;"",$T596,IF($C596="","",IF(AND(N($I596)&gt;0,$G596&lt;&gt;""),IF(IFERROR(INDEX(科目表!$U$4:$U$123,MATCH($G596,科目表!$M$4:$M$123,0)),"")&amp;""="","管理费用",INDEX(科目表!$U$4:$U$123,MATCH($G596,科目表!$M$4:$M$123,0))),IF(N($H596)&gt;0,IF(IFERROR(INDEX(自动规则!$C$4:$C$143,MATCH($F596,自动规则!$B$4:$B$143,0)),"")&amp;""="","其他应收款",INDEX(自动规则!$C$4:$C$143,MATCH($F596,自动规则!$B$4:$B$143,0))),IF(IFERROR(INDEX(自动规则!$D$4:$D$143,MATCH($F596,自动规则!$B$4:$B$143,0)),"")&amp;""="","其他应付款",INDEX(自动规则!$D$4:$D$143,MATCH($F596,自动规则!$B$4:$B$143,0)))))))</f>
        <v/>
      </c>
      <c r="L596" s="43"/>
      <c r="M596" s="105" t="str">
        <f aca="false">IF($C596="","",IF(IFERROR(INDEX(科目表!$T$4:$T$123,MATCH($C596,科目表!$K$4:$K$123,0)),"")&amp;""="","其他货币资金",INDEX(科目表!$T$4:$T$123,MATCH($C596,科目表!$K$4:$K$123,0))))</f>
        <v/>
      </c>
      <c r="N596" s="39" t="str">
        <f aca="false">IF(OR($C596="",ROUND(N($H596)+N($I596),2)=0),"",IF(N($H596)&gt;0,$M596,$K596))</f>
        <v/>
      </c>
      <c r="O596" s="41" t="str">
        <f aca="false">IF($N596="","",ROUND(N($H596)+N($I596),2))</f>
        <v/>
      </c>
      <c r="P596" s="41" t="str">
        <f aca="false">IF($N596="","",0)</f>
        <v/>
      </c>
      <c r="Q596" s="39" t="str">
        <f aca="false">IF($N596="","",IF(N($H596)&gt;0,$K596,$M596))</f>
        <v/>
      </c>
      <c r="R596" s="41" t="str">
        <f aca="false">IF($Q596="","",0)</f>
        <v/>
      </c>
      <c r="S596" s="41" t="str">
        <f aca="false">IF($Q596="","",ROUND(N($H596)+N($I596),2))</f>
        <v/>
      </c>
      <c r="T596" s="42"/>
      <c r="U596" s="44"/>
      <c r="V596" s="41" t="str">
        <f aca="false">IF($B596="","",TEXT($B596,"yyyy年m月"))</f>
        <v/>
      </c>
      <c r="W596" s="42"/>
      <c r="X596" s="42"/>
      <c r="Y596" s="9"/>
    </row>
    <row r="597" customFormat="false" ht="18" hidden="false" customHeight="true" outlineLevel="0" collapsed="false">
      <c r="A597" s="9" t="str">
        <f aca="false">IF($C597="","",ROW()-3)</f>
        <v/>
      </c>
      <c r="B597" s="76"/>
      <c r="C597" s="74"/>
      <c r="D597" s="43"/>
      <c r="E597" s="42"/>
      <c r="F597" s="74"/>
      <c r="G597" s="74"/>
      <c r="H597" s="44"/>
      <c r="I597" s="44"/>
      <c r="J597" s="103" t="str">
        <f aca="false">IF($C597="","",ROUND(IFERROR(INDEX(期初余额!$I$4:$I$43,MATCH($C597,期初余额!$H$4:$H$43,0)),0)+SUMIFS($H$4:$H597,$C$4:$C597,$C597)-SUMIFS($I$4:$I597,$C$4:$C597,$C597),2))</f>
        <v/>
      </c>
      <c r="K597" s="104" t="str">
        <f aca="false">IF($T597&lt;&gt;"",$T597,IF($C597="","",IF(AND(N($I597)&gt;0,$G597&lt;&gt;""),IF(IFERROR(INDEX(科目表!$U$4:$U$123,MATCH($G597,科目表!$M$4:$M$123,0)),"")&amp;""="","管理费用",INDEX(科目表!$U$4:$U$123,MATCH($G597,科目表!$M$4:$M$123,0))),IF(N($H597)&gt;0,IF(IFERROR(INDEX(自动规则!$C$4:$C$143,MATCH($F597,自动规则!$B$4:$B$143,0)),"")&amp;""="","其他应收款",INDEX(自动规则!$C$4:$C$143,MATCH($F597,自动规则!$B$4:$B$143,0))),IF(IFERROR(INDEX(自动规则!$D$4:$D$143,MATCH($F597,自动规则!$B$4:$B$143,0)),"")&amp;""="","其他应付款",INDEX(自动规则!$D$4:$D$143,MATCH($F597,自动规则!$B$4:$B$143,0)))))))</f>
        <v/>
      </c>
      <c r="L597" s="43"/>
      <c r="M597" s="105" t="str">
        <f aca="false">IF($C597="","",IF(IFERROR(INDEX(科目表!$T$4:$T$123,MATCH($C597,科目表!$K$4:$K$123,0)),"")&amp;""="","其他货币资金",INDEX(科目表!$T$4:$T$123,MATCH($C597,科目表!$K$4:$K$123,0))))</f>
        <v/>
      </c>
      <c r="N597" s="39" t="str">
        <f aca="false">IF(OR($C597="",ROUND(N($H597)+N($I597),2)=0),"",IF(N($H597)&gt;0,$M597,$K597))</f>
        <v/>
      </c>
      <c r="O597" s="41" t="str">
        <f aca="false">IF($N597="","",ROUND(N($H597)+N($I597),2))</f>
        <v/>
      </c>
      <c r="P597" s="41" t="str">
        <f aca="false">IF($N597="","",0)</f>
        <v/>
      </c>
      <c r="Q597" s="39" t="str">
        <f aca="false">IF($N597="","",IF(N($H597)&gt;0,$K597,$M597))</f>
        <v/>
      </c>
      <c r="R597" s="41" t="str">
        <f aca="false">IF($Q597="","",0)</f>
        <v/>
      </c>
      <c r="S597" s="41" t="str">
        <f aca="false">IF($Q597="","",ROUND(N($H597)+N($I597),2))</f>
        <v/>
      </c>
      <c r="T597" s="42"/>
      <c r="U597" s="44"/>
      <c r="V597" s="41" t="str">
        <f aca="false">IF($B597="","",TEXT($B597,"yyyy年m月"))</f>
        <v/>
      </c>
      <c r="W597" s="42"/>
      <c r="X597" s="42"/>
      <c r="Y597" s="9"/>
    </row>
    <row r="598" customFormat="false" ht="18" hidden="false" customHeight="true" outlineLevel="0" collapsed="false">
      <c r="A598" s="9" t="str">
        <f aca="false">IF($C598="","",ROW()-3)</f>
        <v/>
      </c>
      <c r="B598" s="76"/>
      <c r="C598" s="74"/>
      <c r="D598" s="43"/>
      <c r="E598" s="42"/>
      <c r="F598" s="74"/>
      <c r="G598" s="74"/>
      <c r="H598" s="44"/>
      <c r="I598" s="44"/>
      <c r="J598" s="103" t="str">
        <f aca="false">IF($C598="","",ROUND(IFERROR(INDEX(期初余额!$I$4:$I$43,MATCH($C598,期初余额!$H$4:$H$43,0)),0)+SUMIFS($H$4:$H598,$C$4:$C598,$C598)-SUMIFS($I$4:$I598,$C$4:$C598,$C598),2))</f>
        <v/>
      </c>
      <c r="K598" s="104" t="str">
        <f aca="false">IF($T598&lt;&gt;"",$T598,IF($C598="","",IF(AND(N($I598)&gt;0,$G598&lt;&gt;""),IF(IFERROR(INDEX(科目表!$U$4:$U$123,MATCH($G598,科目表!$M$4:$M$123,0)),"")&amp;""="","管理费用",INDEX(科目表!$U$4:$U$123,MATCH($G598,科目表!$M$4:$M$123,0))),IF(N($H598)&gt;0,IF(IFERROR(INDEX(自动规则!$C$4:$C$143,MATCH($F598,自动规则!$B$4:$B$143,0)),"")&amp;""="","其他应收款",INDEX(自动规则!$C$4:$C$143,MATCH($F598,自动规则!$B$4:$B$143,0))),IF(IFERROR(INDEX(自动规则!$D$4:$D$143,MATCH($F598,自动规则!$B$4:$B$143,0)),"")&amp;""="","其他应付款",INDEX(自动规则!$D$4:$D$143,MATCH($F598,自动规则!$B$4:$B$143,0)))))))</f>
        <v/>
      </c>
      <c r="L598" s="43"/>
      <c r="M598" s="105" t="str">
        <f aca="false">IF($C598="","",IF(IFERROR(INDEX(科目表!$T$4:$T$123,MATCH($C598,科目表!$K$4:$K$123,0)),"")&amp;""="","其他货币资金",INDEX(科目表!$T$4:$T$123,MATCH($C598,科目表!$K$4:$K$123,0))))</f>
        <v/>
      </c>
      <c r="N598" s="39" t="str">
        <f aca="false">IF(OR($C598="",ROUND(N($H598)+N($I598),2)=0),"",IF(N($H598)&gt;0,$M598,$K598))</f>
        <v/>
      </c>
      <c r="O598" s="41" t="str">
        <f aca="false">IF($N598="","",ROUND(N($H598)+N($I598),2))</f>
        <v/>
      </c>
      <c r="P598" s="41" t="str">
        <f aca="false">IF($N598="","",0)</f>
        <v/>
      </c>
      <c r="Q598" s="39" t="str">
        <f aca="false">IF($N598="","",IF(N($H598)&gt;0,$K598,$M598))</f>
        <v/>
      </c>
      <c r="R598" s="41" t="str">
        <f aca="false">IF($Q598="","",0)</f>
        <v/>
      </c>
      <c r="S598" s="41" t="str">
        <f aca="false">IF($Q598="","",ROUND(N($H598)+N($I598),2))</f>
        <v/>
      </c>
      <c r="T598" s="42"/>
      <c r="U598" s="44"/>
      <c r="V598" s="41" t="str">
        <f aca="false">IF($B598="","",TEXT($B598,"yyyy年m月"))</f>
        <v/>
      </c>
      <c r="W598" s="42"/>
      <c r="X598" s="42"/>
      <c r="Y598" s="9"/>
    </row>
    <row r="599" customFormat="false" ht="18" hidden="false" customHeight="true" outlineLevel="0" collapsed="false">
      <c r="A599" s="9" t="str">
        <f aca="false">IF($C599="","",ROW()-3)</f>
        <v/>
      </c>
      <c r="B599" s="76"/>
      <c r="C599" s="74"/>
      <c r="D599" s="43"/>
      <c r="E599" s="42"/>
      <c r="F599" s="74"/>
      <c r="G599" s="74"/>
      <c r="H599" s="44"/>
      <c r="I599" s="44"/>
      <c r="J599" s="103" t="str">
        <f aca="false">IF($C599="","",ROUND(IFERROR(INDEX(期初余额!$I$4:$I$43,MATCH($C599,期初余额!$H$4:$H$43,0)),0)+SUMIFS($H$4:$H599,$C$4:$C599,$C599)-SUMIFS($I$4:$I599,$C$4:$C599,$C599),2))</f>
        <v/>
      </c>
      <c r="K599" s="104" t="str">
        <f aca="false">IF($T599&lt;&gt;"",$T599,IF($C599="","",IF(AND(N($I599)&gt;0,$G599&lt;&gt;""),IF(IFERROR(INDEX(科目表!$U$4:$U$123,MATCH($G599,科目表!$M$4:$M$123,0)),"")&amp;""="","管理费用",INDEX(科目表!$U$4:$U$123,MATCH($G599,科目表!$M$4:$M$123,0))),IF(N($H599)&gt;0,IF(IFERROR(INDEX(自动规则!$C$4:$C$143,MATCH($F599,自动规则!$B$4:$B$143,0)),"")&amp;""="","其他应收款",INDEX(自动规则!$C$4:$C$143,MATCH($F599,自动规则!$B$4:$B$143,0))),IF(IFERROR(INDEX(自动规则!$D$4:$D$143,MATCH($F599,自动规则!$B$4:$B$143,0)),"")&amp;""="","其他应付款",INDEX(自动规则!$D$4:$D$143,MATCH($F599,自动规则!$B$4:$B$143,0)))))))</f>
        <v/>
      </c>
      <c r="L599" s="43"/>
      <c r="M599" s="105" t="str">
        <f aca="false">IF($C599="","",IF(IFERROR(INDEX(科目表!$T$4:$T$123,MATCH($C599,科目表!$K$4:$K$123,0)),"")&amp;""="","其他货币资金",INDEX(科目表!$T$4:$T$123,MATCH($C599,科目表!$K$4:$K$123,0))))</f>
        <v/>
      </c>
      <c r="N599" s="39" t="str">
        <f aca="false">IF(OR($C599="",ROUND(N($H599)+N($I599),2)=0),"",IF(N($H599)&gt;0,$M599,$K599))</f>
        <v/>
      </c>
      <c r="O599" s="41" t="str">
        <f aca="false">IF($N599="","",ROUND(N($H599)+N($I599),2))</f>
        <v/>
      </c>
      <c r="P599" s="41" t="str">
        <f aca="false">IF($N599="","",0)</f>
        <v/>
      </c>
      <c r="Q599" s="39" t="str">
        <f aca="false">IF($N599="","",IF(N($H599)&gt;0,$K599,$M599))</f>
        <v/>
      </c>
      <c r="R599" s="41" t="str">
        <f aca="false">IF($Q599="","",0)</f>
        <v/>
      </c>
      <c r="S599" s="41" t="str">
        <f aca="false">IF($Q599="","",ROUND(N($H599)+N($I599),2))</f>
        <v/>
      </c>
      <c r="T599" s="42"/>
      <c r="U599" s="44"/>
      <c r="V599" s="41" t="str">
        <f aca="false">IF($B599="","",TEXT($B599,"yyyy年m月"))</f>
        <v/>
      </c>
      <c r="W599" s="42"/>
      <c r="X599" s="42"/>
      <c r="Y599" s="9"/>
    </row>
    <row r="600" customFormat="false" ht="18" hidden="false" customHeight="true" outlineLevel="0" collapsed="false">
      <c r="A600" s="9" t="str">
        <f aca="false">IF($C600="","",ROW()-3)</f>
        <v/>
      </c>
      <c r="B600" s="76"/>
      <c r="C600" s="74"/>
      <c r="D600" s="43"/>
      <c r="E600" s="42"/>
      <c r="F600" s="74"/>
      <c r="G600" s="74"/>
      <c r="H600" s="44"/>
      <c r="I600" s="44"/>
      <c r="J600" s="103" t="str">
        <f aca="false">IF($C600="","",ROUND(IFERROR(INDEX(期初余额!$I$4:$I$43,MATCH($C600,期初余额!$H$4:$H$43,0)),0)+SUMIFS($H$4:$H600,$C$4:$C600,$C600)-SUMIFS($I$4:$I600,$C$4:$C600,$C600),2))</f>
        <v/>
      </c>
      <c r="K600" s="104" t="str">
        <f aca="false">IF($T600&lt;&gt;"",$T600,IF($C600="","",IF(AND(N($I600)&gt;0,$G600&lt;&gt;""),IF(IFERROR(INDEX(科目表!$U$4:$U$123,MATCH($G600,科目表!$M$4:$M$123,0)),"")&amp;""="","管理费用",INDEX(科目表!$U$4:$U$123,MATCH($G600,科目表!$M$4:$M$123,0))),IF(N($H600)&gt;0,IF(IFERROR(INDEX(自动规则!$C$4:$C$143,MATCH($F600,自动规则!$B$4:$B$143,0)),"")&amp;""="","其他应收款",INDEX(自动规则!$C$4:$C$143,MATCH($F600,自动规则!$B$4:$B$143,0))),IF(IFERROR(INDEX(自动规则!$D$4:$D$143,MATCH($F600,自动规则!$B$4:$B$143,0)),"")&amp;""="","其他应付款",INDEX(自动规则!$D$4:$D$143,MATCH($F600,自动规则!$B$4:$B$143,0)))))))</f>
        <v/>
      </c>
      <c r="L600" s="43"/>
      <c r="M600" s="105" t="str">
        <f aca="false">IF($C600="","",IF(IFERROR(INDEX(科目表!$T$4:$T$123,MATCH($C600,科目表!$K$4:$K$123,0)),"")&amp;""="","其他货币资金",INDEX(科目表!$T$4:$T$123,MATCH($C600,科目表!$K$4:$K$123,0))))</f>
        <v/>
      </c>
      <c r="N600" s="39" t="str">
        <f aca="false">IF(OR($C600="",ROUND(N($H600)+N($I600),2)=0),"",IF(N($H600)&gt;0,$M600,$K600))</f>
        <v/>
      </c>
      <c r="O600" s="41" t="str">
        <f aca="false">IF($N600="","",ROUND(N($H600)+N($I600),2))</f>
        <v/>
      </c>
      <c r="P600" s="41" t="str">
        <f aca="false">IF($N600="","",0)</f>
        <v/>
      </c>
      <c r="Q600" s="39" t="str">
        <f aca="false">IF($N600="","",IF(N($H600)&gt;0,$K600,$M600))</f>
        <v/>
      </c>
      <c r="R600" s="41" t="str">
        <f aca="false">IF($Q600="","",0)</f>
        <v/>
      </c>
      <c r="S600" s="41" t="str">
        <f aca="false">IF($Q600="","",ROUND(N($H600)+N($I600),2))</f>
        <v/>
      </c>
      <c r="T600" s="42"/>
      <c r="U600" s="44"/>
      <c r="V600" s="41" t="str">
        <f aca="false">IF($B600="","",TEXT($B600,"yyyy年m月"))</f>
        <v/>
      </c>
      <c r="W600" s="42"/>
      <c r="X600" s="42"/>
      <c r="Y600" s="9"/>
    </row>
    <row r="601" customFormat="false" ht="18" hidden="false" customHeight="true" outlineLevel="0" collapsed="false">
      <c r="A601" s="9" t="str">
        <f aca="false">IF($C601="","",ROW()-3)</f>
        <v/>
      </c>
      <c r="B601" s="76"/>
      <c r="C601" s="74"/>
      <c r="D601" s="43"/>
      <c r="E601" s="42"/>
      <c r="F601" s="74"/>
      <c r="G601" s="74"/>
      <c r="H601" s="44"/>
      <c r="I601" s="44"/>
      <c r="J601" s="103" t="str">
        <f aca="false">IF($C601="","",ROUND(IFERROR(INDEX(期初余额!$I$4:$I$43,MATCH($C601,期初余额!$H$4:$H$43,0)),0)+SUMIFS($H$4:$H601,$C$4:$C601,$C601)-SUMIFS($I$4:$I601,$C$4:$C601,$C601),2))</f>
        <v/>
      </c>
      <c r="K601" s="104" t="str">
        <f aca="false">IF($T601&lt;&gt;"",$T601,IF($C601="","",IF(AND(N($I601)&gt;0,$G601&lt;&gt;""),IF(IFERROR(INDEX(科目表!$U$4:$U$123,MATCH($G601,科目表!$M$4:$M$123,0)),"")&amp;""="","管理费用",INDEX(科目表!$U$4:$U$123,MATCH($G601,科目表!$M$4:$M$123,0))),IF(N($H601)&gt;0,IF(IFERROR(INDEX(自动规则!$C$4:$C$143,MATCH($F601,自动规则!$B$4:$B$143,0)),"")&amp;""="","其他应收款",INDEX(自动规则!$C$4:$C$143,MATCH($F601,自动规则!$B$4:$B$143,0))),IF(IFERROR(INDEX(自动规则!$D$4:$D$143,MATCH($F601,自动规则!$B$4:$B$143,0)),"")&amp;""="","其他应付款",INDEX(自动规则!$D$4:$D$143,MATCH($F601,自动规则!$B$4:$B$143,0)))))))</f>
        <v/>
      </c>
      <c r="L601" s="43"/>
      <c r="M601" s="105" t="str">
        <f aca="false">IF($C601="","",IF(IFERROR(INDEX(科目表!$T$4:$T$123,MATCH($C601,科目表!$K$4:$K$123,0)),"")&amp;""="","其他货币资金",INDEX(科目表!$T$4:$T$123,MATCH($C601,科目表!$K$4:$K$123,0))))</f>
        <v/>
      </c>
      <c r="N601" s="39" t="str">
        <f aca="false">IF(OR($C601="",ROUND(N($H601)+N($I601),2)=0),"",IF(N($H601)&gt;0,$M601,$K601))</f>
        <v/>
      </c>
      <c r="O601" s="41" t="str">
        <f aca="false">IF($N601="","",ROUND(N($H601)+N($I601),2))</f>
        <v/>
      </c>
      <c r="P601" s="41" t="str">
        <f aca="false">IF($N601="","",0)</f>
        <v/>
      </c>
      <c r="Q601" s="39" t="str">
        <f aca="false">IF($N601="","",IF(N($H601)&gt;0,$K601,$M601))</f>
        <v/>
      </c>
      <c r="R601" s="41" t="str">
        <f aca="false">IF($Q601="","",0)</f>
        <v/>
      </c>
      <c r="S601" s="41" t="str">
        <f aca="false">IF($Q601="","",ROUND(N($H601)+N($I601),2))</f>
        <v/>
      </c>
      <c r="T601" s="42"/>
      <c r="U601" s="44"/>
      <c r="V601" s="41" t="str">
        <f aca="false">IF($B601="","",TEXT($B601,"yyyy年m月"))</f>
        <v/>
      </c>
      <c r="W601" s="42"/>
      <c r="X601" s="42"/>
      <c r="Y601" s="9"/>
    </row>
    <row r="602" customFormat="false" ht="18" hidden="false" customHeight="true" outlineLevel="0" collapsed="false">
      <c r="A602" s="9" t="str">
        <f aca="false">IF($C602="","",ROW()-3)</f>
        <v/>
      </c>
      <c r="B602" s="76"/>
      <c r="C602" s="74"/>
      <c r="D602" s="43"/>
      <c r="E602" s="42"/>
      <c r="F602" s="74"/>
      <c r="G602" s="74"/>
      <c r="H602" s="44"/>
      <c r="I602" s="44"/>
      <c r="J602" s="103" t="str">
        <f aca="false">IF($C602="","",ROUND(IFERROR(INDEX(期初余额!$I$4:$I$43,MATCH($C602,期初余额!$H$4:$H$43,0)),0)+SUMIFS($H$4:$H602,$C$4:$C602,$C602)-SUMIFS($I$4:$I602,$C$4:$C602,$C602),2))</f>
        <v/>
      </c>
      <c r="K602" s="104" t="str">
        <f aca="false">IF($T602&lt;&gt;"",$T602,IF($C602="","",IF(AND(N($I602)&gt;0,$G602&lt;&gt;""),IF(IFERROR(INDEX(科目表!$U$4:$U$123,MATCH($G602,科目表!$M$4:$M$123,0)),"")&amp;""="","管理费用",INDEX(科目表!$U$4:$U$123,MATCH($G602,科目表!$M$4:$M$123,0))),IF(N($H602)&gt;0,IF(IFERROR(INDEX(自动规则!$C$4:$C$143,MATCH($F602,自动规则!$B$4:$B$143,0)),"")&amp;""="","其他应收款",INDEX(自动规则!$C$4:$C$143,MATCH($F602,自动规则!$B$4:$B$143,0))),IF(IFERROR(INDEX(自动规则!$D$4:$D$143,MATCH($F602,自动规则!$B$4:$B$143,0)),"")&amp;""="","其他应付款",INDEX(自动规则!$D$4:$D$143,MATCH($F602,自动规则!$B$4:$B$143,0)))))))</f>
        <v/>
      </c>
      <c r="L602" s="43"/>
      <c r="M602" s="105" t="str">
        <f aca="false">IF($C602="","",IF(IFERROR(INDEX(科目表!$T$4:$T$123,MATCH($C602,科目表!$K$4:$K$123,0)),"")&amp;""="","其他货币资金",INDEX(科目表!$T$4:$T$123,MATCH($C602,科目表!$K$4:$K$123,0))))</f>
        <v/>
      </c>
      <c r="N602" s="39" t="str">
        <f aca="false">IF(OR($C602="",ROUND(N($H602)+N($I602),2)=0),"",IF(N($H602)&gt;0,$M602,$K602))</f>
        <v/>
      </c>
      <c r="O602" s="41" t="str">
        <f aca="false">IF($N602="","",ROUND(N($H602)+N($I602),2))</f>
        <v/>
      </c>
      <c r="P602" s="41" t="str">
        <f aca="false">IF($N602="","",0)</f>
        <v/>
      </c>
      <c r="Q602" s="39" t="str">
        <f aca="false">IF($N602="","",IF(N($H602)&gt;0,$K602,$M602))</f>
        <v/>
      </c>
      <c r="R602" s="41" t="str">
        <f aca="false">IF($Q602="","",0)</f>
        <v/>
      </c>
      <c r="S602" s="41" t="str">
        <f aca="false">IF($Q602="","",ROUND(N($H602)+N($I602),2))</f>
        <v/>
      </c>
      <c r="T602" s="42"/>
      <c r="U602" s="44"/>
      <c r="V602" s="41" t="str">
        <f aca="false">IF($B602="","",TEXT($B602,"yyyy年m月"))</f>
        <v/>
      </c>
      <c r="W602" s="42"/>
      <c r="X602" s="42"/>
      <c r="Y602" s="9"/>
    </row>
    <row r="603" customFormat="false" ht="18" hidden="false" customHeight="true" outlineLevel="0" collapsed="false">
      <c r="A603" s="9" t="str">
        <f aca="false">IF($C603="","",ROW()-3)</f>
        <v/>
      </c>
      <c r="B603" s="76"/>
      <c r="C603" s="74"/>
      <c r="D603" s="43"/>
      <c r="E603" s="42"/>
      <c r="F603" s="74"/>
      <c r="G603" s="74"/>
      <c r="H603" s="44"/>
      <c r="I603" s="44"/>
      <c r="J603" s="103" t="str">
        <f aca="false">IF($C603="","",ROUND(IFERROR(INDEX(期初余额!$I$4:$I$43,MATCH($C603,期初余额!$H$4:$H$43,0)),0)+SUMIFS($H$4:$H603,$C$4:$C603,$C603)-SUMIFS($I$4:$I603,$C$4:$C603,$C603),2))</f>
        <v/>
      </c>
      <c r="K603" s="104" t="str">
        <f aca="false">IF($T603&lt;&gt;"",$T603,IF($C603="","",IF(AND(N($I603)&gt;0,$G603&lt;&gt;""),IF(IFERROR(INDEX(科目表!$U$4:$U$123,MATCH($G603,科目表!$M$4:$M$123,0)),"")&amp;""="","管理费用",INDEX(科目表!$U$4:$U$123,MATCH($G603,科目表!$M$4:$M$123,0))),IF(N($H603)&gt;0,IF(IFERROR(INDEX(自动规则!$C$4:$C$143,MATCH($F603,自动规则!$B$4:$B$143,0)),"")&amp;""="","其他应收款",INDEX(自动规则!$C$4:$C$143,MATCH($F603,自动规则!$B$4:$B$143,0))),IF(IFERROR(INDEX(自动规则!$D$4:$D$143,MATCH($F603,自动规则!$B$4:$B$143,0)),"")&amp;""="","其他应付款",INDEX(自动规则!$D$4:$D$143,MATCH($F603,自动规则!$B$4:$B$143,0)))))))</f>
        <v/>
      </c>
      <c r="L603" s="43"/>
      <c r="M603" s="105" t="str">
        <f aca="false">IF($C603="","",IF(IFERROR(INDEX(科目表!$T$4:$T$123,MATCH($C603,科目表!$K$4:$K$123,0)),"")&amp;""="","其他货币资金",INDEX(科目表!$T$4:$T$123,MATCH($C603,科目表!$K$4:$K$123,0))))</f>
        <v/>
      </c>
      <c r="N603" s="39" t="str">
        <f aca="false">IF(OR($C603="",ROUND(N($H603)+N($I603),2)=0),"",IF(N($H603)&gt;0,$M603,$K603))</f>
        <v/>
      </c>
      <c r="O603" s="41" t="str">
        <f aca="false">IF($N603="","",ROUND(N($H603)+N($I603),2))</f>
        <v/>
      </c>
      <c r="P603" s="41" t="str">
        <f aca="false">IF($N603="","",0)</f>
        <v/>
      </c>
      <c r="Q603" s="39" t="str">
        <f aca="false">IF($N603="","",IF(N($H603)&gt;0,$K603,$M603))</f>
        <v/>
      </c>
      <c r="R603" s="41" t="str">
        <f aca="false">IF($Q603="","",0)</f>
        <v/>
      </c>
      <c r="S603" s="41" t="str">
        <f aca="false">IF($Q603="","",ROUND(N($H603)+N($I603),2))</f>
        <v/>
      </c>
      <c r="T603" s="42"/>
      <c r="U603" s="44"/>
      <c r="V603" s="41" t="str">
        <f aca="false">IF($B603="","",TEXT($B603,"yyyy年m月"))</f>
        <v/>
      </c>
      <c r="W603" s="42"/>
      <c r="X603" s="42"/>
      <c r="Y603" s="9"/>
    </row>
  </sheetData>
  <autoFilter ref="A3:V603"/>
  <mergeCells count="2">
    <mergeCell ref="A1:V1"/>
    <mergeCell ref="A2:V2"/>
  </mergeCells>
  <dataValidations count="6">
    <dataValidation allowBlank="true" error="请从下拉里选；没有的先去【科目表】对应列加一行" errorStyle="stop" errorTitle="不在科目表里" operator="between" prompt="点右边小箭头选。科目表里新加的内容会自动出现在这里" promptTitle="从科目表取" showDropDown="false" showErrorMessage="false" showInputMessage="true" sqref="C4:C603" type="list">
      <formula1>资金账户表</formula1>
      <formula2>0</formula2>
    </dataValidation>
    <dataValidation allowBlank="true" error="请从下拉里选；没有的先去【科目表】对应列加一行" errorStyle="stop" errorTitle="不在科目表里" operator="between" prompt="点右边小箭头选。科目表里新加的内容会自动出现在这里" promptTitle="从科目表取" showDropDown="false" showErrorMessage="false" showInputMessage="true" sqref="F4:F603" type="list">
      <formula1>业务类型表</formula1>
      <formula2>0</formula2>
    </dataValidation>
    <dataValidation allowBlank="true" error="请从下拉里选；没有的先去【科目表】对应列加一行" errorStyle="stop" errorTitle="不在科目表里" operator="between" prompt="点右边小箭头选。科目表里新加的内容会自动出现在这里" promptTitle="从科目表取" showDropDown="false" showErrorMessage="false" showInputMessage="true" sqref="G4:G603" type="list">
      <formula1>费用项目表</formula1>
      <formula2>0</formula2>
    </dataValidation>
    <dataValidation allowBlank="true" error="请从下拉里选；没有的先去【科目表】对应列加一行" errorStyle="stop" errorTitle="不在科目表里" operator="between" prompt="点右边小箭头选。科目表里新加的内容会自动出现在这里" promptTitle="从科目表取" showDropDown="false" showErrorMessage="false" showInputMessage="true" sqref="T4:T603" type="list">
      <formula1>科目名称表</formula1>
      <formula2>0</formula2>
    </dataValidation>
    <dataValidation allowBlank="true" errorStyle="stop" operator="between" showDropDown="false" showErrorMessage="false" showInputMessage="true" sqref="E4:E603" type="list">
      <formula1>_自动清单!$E$4:$E$203</formula1>
      <formula2>0</formula2>
    </dataValidation>
    <dataValidation allowBlank="true" errorStyle="stop" operator="between" showDropDown="false" showErrorMessage="false" showInputMessage="true" sqref="U4:U603" type="list">
      <formula1>"是"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304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F29" activeCellId="0" sqref="F29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20"/>
    <col collapsed="false" customWidth="true" hidden="false" outlineLevel="0" max="17" min="17" style="0" width="24"/>
    <col collapsed="false" customWidth="true" hidden="false" outlineLevel="0" max="19" min="18" style="0" width="13"/>
    <col collapsed="false" customWidth="true" hidden="false" outlineLevel="0" max="20" min="20" style="0" width="24"/>
    <col collapsed="false" customWidth="true" hidden="false" outlineLevel="0" max="22" min="21" style="0" width="13"/>
    <col collapsed="false" customWidth="true" hidden="false" outlineLevel="0" max="23" min="23" style="0" width="24"/>
    <col collapsed="false" customWidth="true" hidden="false" outlineLevel="0" max="25" min="24" style="0" width="13"/>
    <col collapsed="false" customWidth="true" hidden="false" outlineLevel="0" max="26" min="26" style="0" width="11"/>
    <col collapsed="false" customWidth="true" hidden="false" outlineLevel="0" max="27" min="27" style="0" width="13"/>
    <col collapsed="false" customWidth="true" hidden="false" outlineLevel="0" max="29" min="28" style="0" width="12"/>
  </cols>
  <sheetData>
    <row r="1" customFormat="false" ht="30" hidden="false" customHeight="true" outlineLevel="0" collapsed="false">
      <c r="A1" s="20" t="s">
        <v>759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customFormat="false" ht="18" hidden="false" customHeight="true" outlineLevel="0" collapsed="false">
      <c r="A2" s="21" t="s">
        <v>760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customFormat="false" ht="30" hidden="false" customHeight="true" outlineLevel="0" collapsed="false">
      <c r="A3" s="37" t="s">
        <v>3</v>
      </c>
      <c r="B3" s="37" t="s">
        <v>689</v>
      </c>
      <c r="C3" s="37" t="s">
        <v>761</v>
      </c>
      <c r="D3" s="37" t="s">
        <v>762</v>
      </c>
      <c r="E3" s="37" t="s">
        <v>690</v>
      </c>
      <c r="F3" s="37" t="s">
        <v>763</v>
      </c>
      <c r="G3" s="37" t="s">
        <v>764</v>
      </c>
      <c r="H3" s="37" t="s">
        <v>765</v>
      </c>
      <c r="I3" s="37" t="s">
        <v>217</v>
      </c>
      <c r="J3" s="37" t="s">
        <v>218</v>
      </c>
      <c r="K3" s="37" t="s">
        <v>766</v>
      </c>
      <c r="L3" s="37" t="s">
        <v>694</v>
      </c>
      <c r="M3" s="37" t="s">
        <v>435</v>
      </c>
      <c r="N3" s="37" t="s">
        <v>767</v>
      </c>
      <c r="O3" s="37" t="s">
        <v>768</v>
      </c>
      <c r="P3" s="37" t="s">
        <v>174</v>
      </c>
      <c r="Q3" s="37" t="s">
        <v>220</v>
      </c>
      <c r="R3" s="37" t="s">
        <v>221</v>
      </c>
      <c r="S3" s="37" t="s">
        <v>222</v>
      </c>
      <c r="T3" s="37" t="s">
        <v>223</v>
      </c>
      <c r="U3" s="37" t="s">
        <v>224</v>
      </c>
      <c r="V3" s="37" t="s">
        <v>225</v>
      </c>
      <c r="W3" s="37" t="s">
        <v>226</v>
      </c>
      <c r="X3" s="37" t="s">
        <v>227</v>
      </c>
      <c r="Y3" s="37" t="s">
        <v>228</v>
      </c>
      <c r="Z3" s="37" t="s">
        <v>769</v>
      </c>
      <c r="AA3" s="37" t="s">
        <v>770</v>
      </c>
      <c r="AB3" s="37" t="s">
        <v>771</v>
      </c>
      <c r="AC3" s="106" t="s">
        <v>698</v>
      </c>
    </row>
    <row r="4" customFormat="false" ht="18" hidden="false" customHeight="true" outlineLevel="0" collapsed="false">
      <c r="A4" s="107" t="str">
        <f aca="false">IF($C4="","",ROW()-3)</f>
        <v/>
      </c>
      <c r="B4" s="108"/>
      <c r="C4" s="84"/>
      <c r="D4" s="84"/>
      <c r="E4" s="18"/>
      <c r="F4" s="109"/>
      <c r="G4" s="109"/>
      <c r="H4" s="70"/>
      <c r="I4" s="84" t="s">
        <v>266</v>
      </c>
      <c r="J4" s="70" t="str">
        <f aca="false">IF($C4="","",ROUND(N($H4),2))</f>
        <v/>
      </c>
      <c r="K4" s="70" t="n">
        <v>0</v>
      </c>
      <c r="L4" s="84"/>
      <c r="M4" s="84"/>
      <c r="N4" s="18"/>
      <c r="O4" s="84"/>
      <c r="P4" s="18"/>
      <c r="Q4" s="67" t="str">
        <f aca="false">IF(OR($C4="",ROUND(N($H4),2)=0),"",$L4)</f>
        <v/>
      </c>
      <c r="R4" s="70" t="str">
        <f aca="false">IF($Q4="","",ROUND(N($H4),2))</f>
        <v/>
      </c>
      <c r="S4" s="70" t="str">
        <f aca="false">IF($Q4="","",0)</f>
        <v/>
      </c>
      <c r="T4" s="67" t="str">
        <f aca="false">""</f>
        <v/>
      </c>
      <c r="U4" s="70" t="str">
        <f aca="false">IF($T4="","",0)</f>
        <v/>
      </c>
      <c r="V4" s="70" t="str">
        <f aca="false">IF($T4="","",0)</f>
        <v/>
      </c>
      <c r="W4" s="67" t="str">
        <f aca="false">IF($Q4="","","应付账款")</f>
        <v/>
      </c>
      <c r="X4" s="70" t="str">
        <f aca="false">IF($W4="","",0)</f>
        <v/>
      </c>
      <c r="Y4" s="70" t="str">
        <f aca="false">IF($W4="","",ROUND(N($H4),2))</f>
        <v/>
      </c>
      <c r="Z4" s="42"/>
      <c r="AA4" s="44"/>
      <c r="AB4" s="41" t="str">
        <f aca="false">IF($C4="","",ROUND(N($H4)-N($AA4),2))</f>
        <v/>
      </c>
      <c r="AC4" s="9" t="str">
        <f aca="false">IF($B4="","",TEXT($B4,"yyyy年m月"))</f>
        <v/>
      </c>
    </row>
    <row r="5" customFormat="false" ht="18" hidden="false" customHeight="true" outlineLevel="0" collapsed="false">
      <c r="A5" s="107" t="str">
        <f aca="false">IF($C5="","",ROW()-3)</f>
        <v/>
      </c>
      <c r="B5" s="108"/>
      <c r="C5" s="84"/>
      <c r="D5" s="84"/>
      <c r="E5" s="18"/>
      <c r="F5" s="109"/>
      <c r="G5" s="109"/>
      <c r="H5" s="70"/>
      <c r="I5" s="84" t="s">
        <v>266</v>
      </c>
      <c r="J5" s="70" t="str">
        <f aca="false">IF($C5="","",ROUND(N($H5),2))</f>
        <v/>
      </c>
      <c r="K5" s="70" t="n">
        <v>0</v>
      </c>
      <c r="L5" s="84"/>
      <c r="M5" s="84"/>
      <c r="N5" s="18"/>
      <c r="O5" s="84"/>
      <c r="P5" s="18"/>
      <c r="Q5" s="67" t="str">
        <f aca="false">IF(OR($C5="",ROUND(N($H5),2)=0),"",$L5)</f>
        <v/>
      </c>
      <c r="R5" s="70" t="str">
        <f aca="false">IF($Q5="","",ROUND(N($H5),2))</f>
        <v/>
      </c>
      <c r="S5" s="70" t="str">
        <f aca="false">IF($Q5="","",0)</f>
        <v/>
      </c>
      <c r="T5" s="67" t="str">
        <f aca="false">""</f>
        <v/>
      </c>
      <c r="U5" s="70" t="str">
        <f aca="false">IF($T5="","",0)</f>
        <v/>
      </c>
      <c r="V5" s="70" t="str">
        <f aca="false">IF($T5="","",0)</f>
        <v/>
      </c>
      <c r="W5" s="67" t="str">
        <f aca="false">IF($Q5="","","应付账款")</f>
        <v/>
      </c>
      <c r="X5" s="70" t="str">
        <f aca="false">IF($W5="","",0)</f>
        <v/>
      </c>
      <c r="Y5" s="70" t="str">
        <f aca="false">IF($W5="","",ROUND(N($H5),2))</f>
        <v/>
      </c>
      <c r="Z5" s="42"/>
      <c r="AA5" s="44"/>
      <c r="AB5" s="41" t="str">
        <f aca="false">IF($C5="","",ROUND(N($H5)-N($AA5),2))</f>
        <v/>
      </c>
      <c r="AC5" s="9" t="str">
        <f aca="false">IF($B5="","",TEXT($B5,"yyyy年m月"))</f>
        <v/>
      </c>
    </row>
    <row r="6" customFormat="false" ht="18" hidden="false" customHeight="true" outlineLevel="0" collapsed="false">
      <c r="A6" s="107" t="str">
        <f aca="false">IF($C6="","",ROW()-3)</f>
        <v/>
      </c>
      <c r="B6" s="108"/>
      <c r="C6" s="84"/>
      <c r="D6" s="84"/>
      <c r="E6" s="18"/>
      <c r="F6" s="109"/>
      <c r="G6" s="109"/>
      <c r="H6" s="70"/>
      <c r="I6" s="84" t="s">
        <v>266</v>
      </c>
      <c r="J6" s="70" t="str">
        <f aca="false">IF($C6="","",ROUND(N($H6),2))</f>
        <v/>
      </c>
      <c r="K6" s="70" t="n">
        <v>0</v>
      </c>
      <c r="L6" s="84"/>
      <c r="M6" s="84"/>
      <c r="N6" s="18"/>
      <c r="O6" s="84"/>
      <c r="P6" s="18"/>
      <c r="Q6" s="67" t="str">
        <f aca="false">IF(OR($C6="",ROUND(N($H6),2)=0),"",$L6)</f>
        <v/>
      </c>
      <c r="R6" s="70" t="str">
        <f aca="false">IF($Q6="","",ROUND(N($H6),2))</f>
        <v/>
      </c>
      <c r="S6" s="70" t="str">
        <f aca="false">IF($Q6="","",0)</f>
        <v/>
      </c>
      <c r="T6" s="67" t="str">
        <f aca="false">""</f>
        <v/>
      </c>
      <c r="U6" s="70" t="str">
        <f aca="false">IF($T6="","",0)</f>
        <v/>
      </c>
      <c r="V6" s="70" t="str">
        <f aca="false">IF($T6="","",0)</f>
        <v/>
      </c>
      <c r="W6" s="67" t="str">
        <f aca="false">IF($Q6="","","应付账款")</f>
        <v/>
      </c>
      <c r="X6" s="70" t="str">
        <f aca="false">IF($W6="","",0)</f>
        <v/>
      </c>
      <c r="Y6" s="70" t="str">
        <f aca="false">IF($W6="","",ROUND(N($H6),2))</f>
        <v/>
      </c>
      <c r="Z6" s="42"/>
      <c r="AA6" s="44"/>
      <c r="AB6" s="41" t="str">
        <f aca="false">IF($C6="","",ROUND(N($H6)-N($AA6),2))</f>
        <v/>
      </c>
      <c r="AC6" s="9" t="str">
        <f aca="false">IF($B6="","",TEXT($B6,"yyyy年m月"))</f>
        <v/>
      </c>
    </row>
    <row r="7" customFormat="false" ht="18" hidden="false" customHeight="true" outlineLevel="0" collapsed="false">
      <c r="A7" s="107" t="str">
        <f aca="false">IF($C7="","",ROW()-3)</f>
        <v/>
      </c>
      <c r="B7" s="108"/>
      <c r="C7" s="84"/>
      <c r="D7" s="84"/>
      <c r="E7" s="18"/>
      <c r="F7" s="109"/>
      <c r="G7" s="109"/>
      <c r="H7" s="70"/>
      <c r="I7" s="84" t="s">
        <v>266</v>
      </c>
      <c r="J7" s="70" t="str">
        <f aca="false">IF($C7="","",ROUND(N($H7),2))</f>
        <v/>
      </c>
      <c r="K7" s="70" t="n">
        <v>0</v>
      </c>
      <c r="L7" s="84"/>
      <c r="M7" s="84"/>
      <c r="N7" s="18"/>
      <c r="O7" s="84"/>
      <c r="P7" s="18"/>
      <c r="Q7" s="67" t="str">
        <f aca="false">IF(OR($C7="",ROUND(N($H7),2)=0),"",$L7)</f>
        <v/>
      </c>
      <c r="R7" s="70" t="str">
        <f aca="false">IF($Q7="","",ROUND(N($H7),2))</f>
        <v/>
      </c>
      <c r="S7" s="70" t="str">
        <f aca="false">IF($Q7="","",0)</f>
        <v/>
      </c>
      <c r="T7" s="67" t="str">
        <f aca="false">""</f>
        <v/>
      </c>
      <c r="U7" s="70" t="str">
        <f aca="false">IF($T7="","",0)</f>
        <v/>
      </c>
      <c r="V7" s="70" t="str">
        <f aca="false">IF($T7="","",0)</f>
        <v/>
      </c>
      <c r="W7" s="67" t="str">
        <f aca="false">IF($Q7="","","应付账款")</f>
        <v/>
      </c>
      <c r="X7" s="70" t="str">
        <f aca="false">IF($W7="","",0)</f>
        <v/>
      </c>
      <c r="Y7" s="70" t="str">
        <f aca="false">IF($W7="","",ROUND(N($H7),2))</f>
        <v/>
      </c>
      <c r="Z7" s="42"/>
      <c r="AA7" s="44"/>
      <c r="AB7" s="41" t="str">
        <f aca="false">IF($C7="","",ROUND(N($H7)-N($AA7),2))</f>
        <v/>
      </c>
      <c r="AC7" s="9" t="str">
        <f aca="false">IF($B7="","",TEXT($B7,"yyyy年m月"))</f>
        <v/>
      </c>
    </row>
    <row r="8" customFormat="false" ht="18" hidden="false" customHeight="true" outlineLevel="0" collapsed="false">
      <c r="A8" s="107" t="str">
        <f aca="false">IF($C8="","",ROW()-3)</f>
        <v/>
      </c>
      <c r="B8" s="108"/>
      <c r="C8" s="84"/>
      <c r="D8" s="84"/>
      <c r="E8" s="18"/>
      <c r="F8" s="109"/>
      <c r="G8" s="109"/>
      <c r="H8" s="70" t="str">
        <f aca="false">IF($C8="","",ROUND(N($F8)*N($G8),2))</f>
        <v/>
      </c>
      <c r="I8" s="84" t="s">
        <v>266</v>
      </c>
      <c r="J8" s="70" t="str">
        <f aca="false">IF($C8="","",ROUND(N($H8),2))</f>
        <v/>
      </c>
      <c r="K8" s="70" t="n">
        <v>0</v>
      </c>
      <c r="L8" s="84"/>
      <c r="M8" s="84"/>
      <c r="N8" s="18"/>
      <c r="O8" s="84"/>
      <c r="P8" s="18"/>
      <c r="Q8" s="67" t="str">
        <f aca="false">IF(OR($C8="",ROUND(N($H8),2)=0),"",$L8)</f>
        <v/>
      </c>
      <c r="R8" s="70" t="str">
        <f aca="false">IF($Q8="","",ROUND(N($H8),2))</f>
        <v/>
      </c>
      <c r="S8" s="70" t="str">
        <f aca="false">IF($Q8="","",0)</f>
        <v/>
      </c>
      <c r="T8" s="67" t="str">
        <f aca="false">""</f>
        <v/>
      </c>
      <c r="U8" s="70" t="str">
        <f aca="false">IF($T8="","",0)</f>
        <v/>
      </c>
      <c r="V8" s="70" t="str">
        <f aca="false">IF($T8="","",0)</f>
        <v/>
      </c>
      <c r="W8" s="67" t="str">
        <f aca="false">IF($Q8="","","应付账款")</f>
        <v/>
      </c>
      <c r="X8" s="70" t="str">
        <f aca="false">IF($W8="","",0)</f>
        <v/>
      </c>
      <c r="Y8" s="70" t="str">
        <f aca="false">IF($W8="","",ROUND(N($H8),2))</f>
        <v/>
      </c>
      <c r="Z8" s="42"/>
      <c r="AA8" s="44"/>
      <c r="AB8" s="41" t="str">
        <f aca="false">IF($C8="","",ROUND(N($H8)-N($AA8),2))</f>
        <v/>
      </c>
      <c r="AC8" s="9" t="str">
        <f aca="false">IF($B8="","",TEXT($B8,"yyyy年m月"))</f>
        <v/>
      </c>
    </row>
    <row r="9" customFormat="false" ht="18" hidden="false" customHeight="true" outlineLevel="0" collapsed="false">
      <c r="A9" s="107" t="str">
        <f aca="false">IF($C9="","",ROW()-3)</f>
        <v/>
      </c>
      <c r="B9" s="108"/>
      <c r="C9" s="84"/>
      <c r="D9" s="84"/>
      <c r="E9" s="18"/>
      <c r="F9" s="109"/>
      <c r="G9" s="109"/>
      <c r="H9" s="70" t="str">
        <f aca="false">IF($C9="","",ROUND(N($F9)*N($G9),2))</f>
        <v/>
      </c>
      <c r="I9" s="84" t="s">
        <v>266</v>
      </c>
      <c r="J9" s="70" t="str">
        <f aca="false">IF($C9="","",ROUND(N($H9),2))</f>
        <v/>
      </c>
      <c r="K9" s="70" t="n">
        <v>0</v>
      </c>
      <c r="L9" s="84"/>
      <c r="M9" s="84"/>
      <c r="N9" s="18"/>
      <c r="O9" s="84"/>
      <c r="P9" s="18"/>
      <c r="Q9" s="67" t="str">
        <f aca="false">IF(OR($C9="",ROUND(N($H9),2)=0),"",$L9)</f>
        <v/>
      </c>
      <c r="R9" s="70" t="str">
        <f aca="false">IF($Q9="","",ROUND(N($H9),2))</f>
        <v/>
      </c>
      <c r="S9" s="70" t="str">
        <f aca="false">IF($Q9="","",0)</f>
        <v/>
      </c>
      <c r="T9" s="67" t="str">
        <f aca="false">""</f>
        <v/>
      </c>
      <c r="U9" s="70" t="str">
        <f aca="false">IF($T9="","",0)</f>
        <v/>
      </c>
      <c r="V9" s="70" t="str">
        <f aca="false">IF($T9="","",0)</f>
        <v/>
      </c>
      <c r="W9" s="67" t="str">
        <f aca="false">IF($Q9="","","应付账款")</f>
        <v/>
      </c>
      <c r="X9" s="70" t="str">
        <f aca="false">IF($W9="","",0)</f>
        <v/>
      </c>
      <c r="Y9" s="70" t="str">
        <f aca="false">IF($W9="","",ROUND(N($H9),2))</f>
        <v/>
      </c>
      <c r="Z9" s="42"/>
      <c r="AA9" s="44"/>
      <c r="AB9" s="41" t="str">
        <f aca="false">IF($C9="","",ROUND(N($H9)-N($AA9),2))</f>
        <v/>
      </c>
      <c r="AC9" s="9" t="str">
        <f aca="false">IF($B9="","",TEXT($B9,"yyyy年m月"))</f>
        <v/>
      </c>
    </row>
    <row r="10" customFormat="false" ht="18" hidden="false" customHeight="true" outlineLevel="0" collapsed="false">
      <c r="A10" s="107" t="str">
        <f aca="false">IF($C10="","",ROW()-3)</f>
        <v/>
      </c>
      <c r="B10" s="108"/>
      <c r="C10" s="84"/>
      <c r="D10" s="84"/>
      <c r="E10" s="18"/>
      <c r="F10" s="109"/>
      <c r="G10" s="109"/>
      <c r="H10" s="70" t="str">
        <f aca="false">IF($C10="","",ROUND(N($F10)*N($G10),2))</f>
        <v/>
      </c>
      <c r="I10" s="84" t="s">
        <v>266</v>
      </c>
      <c r="J10" s="70" t="str">
        <f aca="false">IF($C10="","",ROUND(N($H10),2))</f>
        <v/>
      </c>
      <c r="K10" s="70" t="n">
        <v>0</v>
      </c>
      <c r="L10" s="84"/>
      <c r="M10" s="84"/>
      <c r="N10" s="18"/>
      <c r="O10" s="84"/>
      <c r="P10" s="18"/>
      <c r="Q10" s="67" t="str">
        <f aca="false">IF(OR($C10="",ROUND(N($H10),2)=0),"",$L10)</f>
        <v/>
      </c>
      <c r="R10" s="70" t="str">
        <f aca="false">IF($Q10="","",ROUND(N($H10),2))</f>
        <v/>
      </c>
      <c r="S10" s="70" t="str">
        <f aca="false">IF($Q10="","",0)</f>
        <v/>
      </c>
      <c r="T10" s="67" t="str">
        <f aca="false">""</f>
        <v/>
      </c>
      <c r="U10" s="70" t="str">
        <f aca="false">IF($T10="","",0)</f>
        <v/>
      </c>
      <c r="V10" s="70" t="str">
        <f aca="false">IF($T10="","",0)</f>
        <v/>
      </c>
      <c r="W10" s="67" t="str">
        <f aca="false">IF($Q10="","","应付账款")</f>
        <v/>
      </c>
      <c r="X10" s="70" t="str">
        <f aca="false">IF($W10="","",0)</f>
        <v/>
      </c>
      <c r="Y10" s="70" t="str">
        <f aca="false">IF($W10="","",ROUND(N($H10),2))</f>
        <v/>
      </c>
      <c r="Z10" s="42"/>
      <c r="AA10" s="44"/>
      <c r="AB10" s="41" t="str">
        <f aca="false">IF($C10="","",ROUND(N($H10)-N($AA10),2))</f>
        <v/>
      </c>
      <c r="AC10" s="9" t="str">
        <f aca="false">IF($B10="","",TEXT($B10,"yyyy年m月"))</f>
        <v/>
      </c>
    </row>
    <row r="11" customFormat="false" ht="18" hidden="false" customHeight="true" outlineLevel="0" collapsed="false">
      <c r="A11" s="107" t="str">
        <f aca="false">IF($C11="","",ROW()-3)</f>
        <v/>
      </c>
      <c r="B11" s="108"/>
      <c r="C11" s="84"/>
      <c r="D11" s="84"/>
      <c r="E11" s="18"/>
      <c r="F11" s="109"/>
      <c r="G11" s="109"/>
      <c r="H11" s="70" t="str">
        <f aca="false">IF($C11="","",ROUND(N($F11)*N($G11),2))</f>
        <v/>
      </c>
      <c r="I11" s="84" t="s">
        <v>266</v>
      </c>
      <c r="J11" s="70" t="str">
        <f aca="false">IF($C11="","",ROUND(N($H11),2))</f>
        <v/>
      </c>
      <c r="K11" s="70" t="n">
        <v>0</v>
      </c>
      <c r="L11" s="84"/>
      <c r="M11" s="84"/>
      <c r="N11" s="18"/>
      <c r="O11" s="84"/>
      <c r="P11" s="18"/>
      <c r="Q11" s="67" t="str">
        <f aca="false">IF(OR($C11="",ROUND(N($H11),2)=0),"",$L11)</f>
        <v/>
      </c>
      <c r="R11" s="70" t="str">
        <f aca="false">IF($Q11="","",ROUND(N($H11),2))</f>
        <v/>
      </c>
      <c r="S11" s="70" t="str">
        <f aca="false">IF($Q11="","",0)</f>
        <v/>
      </c>
      <c r="T11" s="67" t="str">
        <f aca="false">""</f>
        <v/>
      </c>
      <c r="U11" s="70" t="str">
        <f aca="false">IF($T11="","",0)</f>
        <v/>
      </c>
      <c r="V11" s="70" t="str">
        <f aca="false">IF($T11="","",0)</f>
        <v/>
      </c>
      <c r="W11" s="67" t="str">
        <f aca="false">IF($Q11="","","应付账款")</f>
        <v/>
      </c>
      <c r="X11" s="70" t="str">
        <f aca="false">IF($W11="","",0)</f>
        <v/>
      </c>
      <c r="Y11" s="70" t="str">
        <f aca="false">IF($W11="","",ROUND(N($H11),2))</f>
        <v/>
      </c>
      <c r="Z11" s="42"/>
      <c r="AA11" s="44"/>
      <c r="AB11" s="41" t="str">
        <f aca="false">IF($C11="","",ROUND(N($H11)-N($AA11),2))</f>
        <v/>
      </c>
      <c r="AC11" s="9" t="str">
        <f aca="false">IF($B11="","",TEXT($B11,"yyyy年m月"))</f>
        <v/>
      </c>
    </row>
    <row r="12" customFormat="false" ht="18" hidden="false" customHeight="true" outlineLevel="0" collapsed="false">
      <c r="A12" s="107" t="str">
        <f aca="false">IF($C12="","",ROW()-3)</f>
        <v/>
      </c>
      <c r="B12" s="108"/>
      <c r="C12" s="84"/>
      <c r="D12" s="84"/>
      <c r="E12" s="18"/>
      <c r="F12" s="109"/>
      <c r="G12" s="109"/>
      <c r="H12" s="70" t="str">
        <f aca="false">IF($C12="","",ROUND(N($F12)*N($G12),2))</f>
        <v/>
      </c>
      <c r="I12" s="84" t="s">
        <v>266</v>
      </c>
      <c r="J12" s="70" t="str">
        <f aca="false">IF($C12="","",ROUND(N($H12),2))</f>
        <v/>
      </c>
      <c r="K12" s="70" t="n">
        <v>0</v>
      </c>
      <c r="L12" s="84"/>
      <c r="M12" s="84"/>
      <c r="N12" s="18"/>
      <c r="O12" s="84"/>
      <c r="P12" s="18"/>
      <c r="Q12" s="67" t="str">
        <f aca="false">IF(OR($C12="",ROUND(N($H12),2)=0),"",$L12)</f>
        <v/>
      </c>
      <c r="R12" s="70" t="str">
        <f aca="false">IF($Q12="","",ROUND(N($H12),2))</f>
        <v/>
      </c>
      <c r="S12" s="70" t="str">
        <f aca="false">IF($Q12="","",0)</f>
        <v/>
      </c>
      <c r="T12" s="67" t="str">
        <f aca="false">""</f>
        <v/>
      </c>
      <c r="U12" s="70" t="str">
        <f aca="false">IF($T12="","",0)</f>
        <v/>
      </c>
      <c r="V12" s="70" t="str">
        <f aca="false">IF($T12="","",0)</f>
        <v/>
      </c>
      <c r="W12" s="67" t="str">
        <f aca="false">IF($Q12="","","应付账款")</f>
        <v/>
      </c>
      <c r="X12" s="70" t="str">
        <f aca="false">IF($W12="","",0)</f>
        <v/>
      </c>
      <c r="Y12" s="70" t="str">
        <f aca="false">IF($W12="","",ROUND(N($H12),2))</f>
        <v/>
      </c>
      <c r="Z12" s="42"/>
      <c r="AA12" s="44"/>
      <c r="AB12" s="41" t="str">
        <f aca="false">IF($C12="","",ROUND(N($H12)-N($AA12),2))</f>
        <v/>
      </c>
      <c r="AC12" s="9" t="str">
        <f aca="false">IF($B12="","",TEXT($B12,"yyyy年m月"))</f>
        <v/>
      </c>
    </row>
    <row r="13" customFormat="false" ht="18" hidden="false" customHeight="true" outlineLevel="0" collapsed="false">
      <c r="A13" s="107" t="str">
        <f aca="false">IF($C13="","",ROW()-3)</f>
        <v/>
      </c>
      <c r="B13" s="108"/>
      <c r="C13" s="84"/>
      <c r="D13" s="84"/>
      <c r="E13" s="18"/>
      <c r="F13" s="109"/>
      <c r="G13" s="109"/>
      <c r="H13" s="70" t="str">
        <f aca="false">IF($C13="","",ROUND(N($F13)*N($G13),2))</f>
        <v/>
      </c>
      <c r="I13" s="84" t="s">
        <v>266</v>
      </c>
      <c r="J13" s="70" t="str">
        <f aca="false">IF($C13="","",ROUND(N($H13),2))</f>
        <v/>
      </c>
      <c r="K13" s="70" t="n">
        <v>0</v>
      </c>
      <c r="L13" s="84"/>
      <c r="M13" s="84"/>
      <c r="N13" s="18"/>
      <c r="O13" s="84"/>
      <c r="P13" s="18"/>
      <c r="Q13" s="67" t="str">
        <f aca="false">IF(OR($C13="",ROUND(N($H13),2)=0),"",$L13)</f>
        <v/>
      </c>
      <c r="R13" s="70" t="str">
        <f aca="false">IF($Q13="","",ROUND(N($H13),2))</f>
        <v/>
      </c>
      <c r="S13" s="70" t="str">
        <f aca="false">IF($Q13="","",0)</f>
        <v/>
      </c>
      <c r="T13" s="67" t="str">
        <f aca="false">""</f>
        <v/>
      </c>
      <c r="U13" s="70" t="str">
        <f aca="false">IF($T13="","",0)</f>
        <v/>
      </c>
      <c r="V13" s="70" t="str">
        <f aca="false">IF($T13="","",0)</f>
        <v/>
      </c>
      <c r="W13" s="67" t="str">
        <f aca="false">IF($Q13="","","应付账款")</f>
        <v/>
      </c>
      <c r="X13" s="70" t="str">
        <f aca="false">IF($W13="","",0)</f>
        <v/>
      </c>
      <c r="Y13" s="70" t="str">
        <f aca="false">IF($W13="","",ROUND(N($H13),2))</f>
        <v/>
      </c>
      <c r="Z13" s="42"/>
      <c r="AA13" s="44"/>
      <c r="AB13" s="41" t="str">
        <f aca="false">IF($C13="","",ROUND(N($H13)-N($AA13),2))</f>
        <v/>
      </c>
      <c r="AC13" s="9" t="str">
        <f aca="false">IF($B13="","",TEXT($B13,"yyyy年m月"))</f>
        <v/>
      </c>
    </row>
    <row r="14" customFormat="false" ht="18" hidden="false" customHeight="true" outlineLevel="0" collapsed="false">
      <c r="A14" s="107" t="str">
        <f aca="false">IF($C14="","",ROW()-3)</f>
        <v/>
      </c>
      <c r="B14" s="108"/>
      <c r="C14" s="84"/>
      <c r="D14" s="84"/>
      <c r="E14" s="18"/>
      <c r="F14" s="109"/>
      <c r="G14" s="109"/>
      <c r="H14" s="70" t="str">
        <f aca="false">IF($C14="","",ROUND(N($F14)*N($G14),2))</f>
        <v/>
      </c>
      <c r="I14" s="84" t="s">
        <v>266</v>
      </c>
      <c r="J14" s="70" t="str">
        <f aca="false">IF($C14="","",ROUND(N($H14),2))</f>
        <v/>
      </c>
      <c r="K14" s="70" t="n">
        <v>0</v>
      </c>
      <c r="L14" s="84"/>
      <c r="M14" s="84"/>
      <c r="N14" s="18"/>
      <c r="O14" s="84"/>
      <c r="P14" s="18"/>
      <c r="Q14" s="67" t="str">
        <f aca="false">IF(OR($C14="",ROUND(N($H14),2)=0),"",$L14)</f>
        <v/>
      </c>
      <c r="R14" s="70" t="str">
        <f aca="false">IF($Q14="","",ROUND(N($H14),2))</f>
        <v/>
      </c>
      <c r="S14" s="70" t="str">
        <f aca="false">IF($Q14="","",0)</f>
        <v/>
      </c>
      <c r="T14" s="67" t="str">
        <f aca="false">""</f>
        <v/>
      </c>
      <c r="U14" s="70" t="str">
        <f aca="false">IF($T14="","",0)</f>
        <v/>
      </c>
      <c r="V14" s="70" t="str">
        <f aca="false">IF($T14="","",0)</f>
        <v/>
      </c>
      <c r="W14" s="67" t="str">
        <f aca="false">IF($Q14="","","应付账款")</f>
        <v/>
      </c>
      <c r="X14" s="70" t="str">
        <f aca="false">IF($W14="","",0)</f>
        <v/>
      </c>
      <c r="Y14" s="70" t="str">
        <f aca="false">IF($W14="","",ROUND(N($H14),2))</f>
        <v/>
      </c>
      <c r="Z14" s="42"/>
      <c r="AA14" s="44"/>
      <c r="AB14" s="41" t="str">
        <f aca="false">IF($C14="","",ROUND(N($H14)-N($AA14),2))</f>
        <v/>
      </c>
      <c r="AC14" s="9" t="str">
        <f aca="false">IF($B14="","",TEXT($B14,"yyyy年m月"))</f>
        <v/>
      </c>
    </row>
    <row r="15" customFormat="false" ht="18" hidden="false" customHeight="true" outlineLevel="0" collapsed="false">
      <c r="A15" s="107" t="str">
        <f aca="false">IF($C15="","",ROW()-3)</f>
        <v/>
      </c>
      <c r="B15" s="108"/>
      <c r="C15" s="84"/>
      <c r="D15" s="84"/>
      <c r="E15" s="18"/>
      <c r="F15" s="109"/>
      <c r="G15" s="109"/>
      <c r="H15" s="70" t="str">
        <f aca="false">IF($C15="","",ROUND(N($F15)*N($G15),2))</f>
        <v/>
      </c>
      <c r="I15" s="84" t="s">
        <v>266</v>
      </c>
      <c r="J15" s="70" t="str">
        <f aca="false">IF($C15="","",ROUND(N($H15),2))</f>
        <v/>
      </c>
      <c r="K15" s="70" t="n">
        <v>0</v>
      </c>
      <c r="L15" s="84"/>
      <c r="M15" s="84"/>
      <c r="N15" s="18"/>
      <c r="O15" s="84"/>
      <c r="P15" s="18"/>
      <c r="Q15" s="67" t="str">
        <f aca="false">IF(OR($C15="",ROUND(N($H15),2)=0),"",$L15)</f>
        <v/>
      </c>
      <c r="R15" s="70" t="str">
        <f aca="false">IF($Q15="","",ROUND(N($H15),2))</f>
        <v/>
      </c>
      <c r="S15" s="70" t="str">
        <f aca="false">IF($Q15="","",0)</f>
        <v/>
      </c>
      <c r="T15" s="67" t="str">
        <f aca="false">""</f>
        <v/>
      </c>
      <c r="U15" s="70" t="str">
        <f aca="false">IF($T15="","",0)</f>
        <v/>
      </c>
      <c r="V15" s="70" t="str">
        <f aca="false">IF($T15="","",0)</f>
        <v/>
      </c>
      <c r="W15" s="67" t="str">
        <f aca="false">IF($Q15="","","应付账款")</f>
        <v/>
      </c>
      <c r="X15" s="70" t="str">
        <f aca="false">IF($W15="","",0)</f>
        <v/>
      </c>
      <c r="Y15" s="70" t="str">
        <f aca="false">IF($W15="","",ROUND(N($H15),2))</f>
        <v/>
      </c>
      <c r="Z15" s="42"/>
      <c r="AA15" s="44"/>
      <c r="AB15" s="41" t="str">
        <f aca="false">IF($C15="","",ROUND(N($H15)-N($AA15),2))</f>
        <v/>
      </c>
      <c r="AC15" s="9" t="str">
        <f aca="false">IF($B15="","",TEXT($B15,"yyyy年m月"))</f>
        <v/>
      </c>
    </row>
    <row r="16" customFormat="false" ht="18" hidden="false" customHeight="true" outlineLevel="0" collapsed="false">
      <c r="A16" s="107" t="str">
        <f aca="false">IF($C16="","",ROW()-3)</f>
        <v/>
      </c>
      <c r="B16" s="108"/>
      <c r="C16" s="84"/>
      <c r="D16" s="84"/>
      <c r="E16" s="18"/>
      <c r="F16" s="109"/>
      <c r="G16" s="109"/>
      <c r="H16" s="70" t="str">
        <f aca="false">IF($C16="","",ROUND(N($F16)*N($G16),2))</f>
        <v/>
      </c>
      <c r="I16" s="84" t="s">
        <v>266</v>
      </c>
      <c r="J16" s="70" t="str">
        <f aca="false">IF($C16="","",ROUND(N($H16),2))</f>
        <v/>
      </c>
      <c r="K16" s="70" t="n">
        <v>0</v>
      </c>
      <c r="L16" s="84"/>
      <c r="M16" s="84"/>
      <c r="N16" s="18"/>
      <c r="O16" s="84"/>
      <c r="P16" s="18"/>
      <c r="Q16" s="67" t="str">
        <f aca="false">IF(OR($C16="",ROUND(N($H16),2)=0),"",$L16)</f>
        <v/>
      </c>
      <c r="R16" s="70" t="str">
        <f aca="false">IF($Q16="","",ROUND(N($H16),2))</f>
        <v/>
      </c>
      <c r="S16" s="70" t="str">
        <f aca="false">IF($Q16="","",0)</f>
        <v/>
      </c>
      <c r="T16" s="67" t="str">
        <f aca="false">""</f>
        <v/>
      </c>
      <c r="U16" s="70" t="str">
        <f aca="false">IF($T16="","",0)</f>
        <v/>
      </c>
      <c r="V16" s="70" t="str">
        <f aca="false">IF($T16="","",0)</f>
        <v/>
      </c>
      <c r="W16" s="67" t="str">
        <f aca="false">IF($Q16="","","应付账款")</f>
        <v/>
      </c>
      <c r="X16" s="70" t="str">
        <f aca="false">IF($W16="","",0)</f>
        <v/>
      </c>
      <c r="Y16" s="70" t="str">
        <f aca="false">IF($W16="","",ROUND(N($H16),2))</f>
        <v/>
      </c>
      <c r="Z16" s="42"/>
      <c r="AA16" s="44"/>
      <c r="AB16" s="41" t="str">
        <f aca="false">IF($C16="","",ROUND(N($H16)-N($AA16),2))</f>
        <v/>
      </c>
      <c r="AC16" s="9" t="str">
        <f aca="false">IF($B16="","",TEXT($B16,"yyyy年m月"))</f>
        <v/>
      </c>
    </row>
    <row r="17" customFormat="false" ht="18" hidden="false" customHeight="true" outlineLevel="0" collapsed="false">
      <c r="A17" s="107" t="str">
        <f aca="false">IF($C17="","",ROW()-3)</f>
        <v/>
      </c>
      <c r="B17" s="108"/>
      <c r="C17" s="84"/>
      <c r="D17" s="84"/>
      <c r="E17" s="18"/>
      <c r="F17" s="109"/>
      <c r="G17" s="109"/>
      <c r="H17" s="70" t="str">
        <f aca="false">IF($C17="","",ROUND(N($F17)*N($G17),2))</f>
        <v/>
      </c>
      <c r="I17" s="84" t="s">
        <v>266</v>
      </c>
      <c r="J17" s="70" t="str">
        <f aca="false">IF($C17="","",ROUND(N($H17),2))</f>
        <v/>
      </c>
      <c r="K17" s="70" t="n">
        <v>0</v>
      </c>
      <c r="L17" s="84"/>
      <c r="M17" s="84"/>
      <c r="N17" s="18"/>
      <c r="O17" s="84"/>
      <c r="P17" s="18"/>
      <c r="Q17" s="67" t="str">
        <f aca="false">IF(OR($C17="",ROUND(N($H17),2)=0),"",$L17)</f>
        <v/>
      </c>
      <c r="R17" s="70" t="str">
        <f aca="false">IF($Q17="","",ROUND(N($H17),2))</f>
        <v/>
      </c>
      <c r="S17" s="70" t="str">
        <f aca="false">IF($Q17="","",0)</f>
        <v/>
      </c>
      <c r="T17" s="67" t="str">
        <f aca="false">""</f>
        <v/>
      </c>
      <c r="U17" s="70" t="str">
        <f aca="false">IF($T17="","",0)</f>
        <v/>
      </c>
      <c r="V17" s="70" t="str">
        <f aca="false">IF($T17="","",0)</f>
        <v/>
      </c>
      <c r="W17" s="67" t="str">
        <f aca="false">IF($Q17="","","应付账款")</f>
        <v/>
      </c>
      <c r="X17" s="70" t="str">
        <f aca="false">IF($W17="","",0)</f>
        <v/>
      </c>
      <c r="Y17" s="70" t="str">
        <f aca="false">IF($W17="","",ROUND(N($H17),2))</f>
        <v/>
      </c>
      <c r="Z17" s="42"/>
      <c r="AA17" s="44"/>
      <c r="AB17" s="41" t="str">
        <f aca="false">IF($C17="","",ROUND(N($H17)-N($AA17),2))</f>
        <v/>
      </c>
      <c r="AC17" s="9" t="str">
        <f aca="false">IF($B17="","",TEXT($B17,"yyyy年m月"))</f>
        <v/>
      </c>
    </row>
    <row r="18" customFormat="false" ht="18" hidden="false" customHeight="true" outlineLevel="0" collapsed="false">
      <c r="A18" s="107" t="str">
        <f aca="false">IF($C18="","",ROW()-3)</f>
        <v/>
      </c>
      <c r="B18" s="108"/>
      <c r="C18" s="84"/>
      <c r="D18" s="84"/>
      <c r="E18" s="18"/>
      <c r="F18" s="109"/>
      <c r="G18" s="109"/>
      <c r="H18" s="70" t="str">
        <f aca="false">IF($C18="","",ROUND(N($F18)*N($G18),2))</f>
        <v/>
      </c>
      <c r="I18" s="84" t="s">
        <v>266</v>
      </c>
      <c r="J18" s="70" t="str">
        <f aca="false">IF($C18="","",ROUND(N($H18),2))</f>
        <v/>
      </c>
      <c r="K18" s="70" t="n">
        <v>0</v>
      </c>
      <c r="L18" s="84"/>
      <c r="M18" s="84"/>
      <c r="N18" s="18"/>
      <c r="O18" s="84"/>
      <c r="P18" s="18"/>
      <c r="Q18" s="67" t="str">
        <f aca="false">IF(OR($C18="",ROUND(N($H18),2)=0),"",$L18)</f>
        <v/>
      </c>
      <c r="R18" s="70" t="str">
        <f aca="false">IF($Q18="","",ROUND(N($H18),2))</f>
        <v/>
      </c>
      <c r="S18" s="70" t="str">
        <f aca="false">IF($Q18="","",0)</f>
        <v/>
      </c>
      <c r="T18" s="67" t="str">
        <f aca="false">""</f>
        <v/>
      </c>
      <c r="U18" s="70" t="str">
        <f aca="false">IF($T18="","",0)</f>
        <v/>
      </c>
      <c r="V18" s="70" t="str">
        <f aca="false">IF($T18="","",0)</f>
        <v/>
      </c>
      <c r="W18" s="67" t="str">
        <f aca="false">IF($Q18="","","应付账款")</f>
        <v/>
      </c>
      <c r="X18" s="70" t="str">
        <f aca="false">IF($W18="","",0)</f>
        <v/>
      </c>
      <c r="Y18" s="70" t="str">
        <f aca="false">IF($W18="","",ROUND(N($H18),2))</f>
        <v/>
      </c>
      <c r="Z18" s="42"/>
      <c r="AA18" s="44"/>
      <c r="AB18" s="41" t="str">
        <f aca="false">IF($C18="","",ROUND(N($H18)-N($AA18),2))</f>
        <v/>
      </c>
      <c r="AC18" s="9" t="str">
        <f aca="false">IF($B18="","",TEXT($B18,"yyyy年m月"))</f>
        <v/>
      </c>
    </row>
    <row r="19" customFormat="false" ht="18" hidden="false" customHeight="true" outlineLevel="0" collapsed="false">
      <c r="A19" s="107" t="str">
        <f aca="false">IF($C19="","",ROW()-3)</f>
        <v/>
      </c>
      <c r="B19" s="108"/>
      <c r="C19" s="84"/>
      <c r="D19" s="84"/>
      <c r="E19" s="18"/>
      <c r="F19" s="109"/>
      <c r="G19" s="109"/>
      <c r="H19" s="70" t="str">
        <f aca="false">IF($C19="","",ROUND(N($F19)*N($G19),2))</f>
        <v/>
      </c>
      <c r="I19" s="84" t="s">
        <v>266</v>
      </c>
      <c r="J19" s="70" t="str">
        <f aca="false">IF($C19="","",ROUND(N($H19),2))</f>
        <v/>
      </c>
      <c r="K19" s="70" t="n">
        <v>0</v>
      </c>
      <c r="L19" s="84"/>
      <c r="M19" s="84"/>
      <c r="N19" s="18"/>
      <c r="O19" s="84"/>
      <c r="P19" s="18"/>
      <c r="Q19" s="67" t="str">
        <f aca="false">IF(OR($C19="",ROUND(N($H19),2)=0),"",$L19)</f>
        <v/>
      </c>
      <c r="R19" s="70" t="str">
        <f aca="false">IF($Q19="","",ROUND(N($H19),2))</f>
        <v/>
      </c>
      <c r="S19" s="70" t="str">
        <f aca="false">IF($Q19="","",0)</f>
        <v/>
      </c>
      <c r="T19" s="67" t="str">
        <f aca="false">""</f>
        <v/>
      </c>
      <c r="U19" s="70" t="str">
        <f aca="false">IF($T19="","",0)</f>
        <v/>
      </c>
      <c r="V19" s="70" t="str">
        <f aca="false">IF($T19="","",0)</f>
        <v/>
      </c>
      <c r="W19" s="67" t="str">
        <f aca="false">IF($Q19="","","应付账款")</f>
        <v/>
      </c>
      <c r="X19" s="70" t="str">
        <f aca="false">IF($W19="","",0)</f>
        <v/>
      </c>
      <c r="Y19" s="70" t="str">
        <f aca="false">IF($W19="","",ROUND(N($H19),2))</f>
        <v/>
      </c>
      <c r="Z19" s="42"/>
      <c r="AA19" s="44"/>
      <c r="AB19" s="41" t="str">
        <f aca="false">IF($C19="","",ROUND(N($H19)-N($AA19),2))</f>
        <v/>
      </c>
      <c r="AC19" s="9" t="str">
        <f aca="false">IF($B19="","",TEXT($B19,"yyyy年m月"))</f>
        <v/>
      </c>
    </row>
    <row r="20" customFormat="false" ht="18" hidden="false" customHeight="true" outlineLevel="0" collapsed="false">
      <c r="A20" s="107" t="str">
        <f aca="false">IF($C20="","",ROW()-3)</f>
        <v/>
      </c>
      <c r="B20" s="108"/>
      <c r="C20" s="84"/>
      <c r="D20" s="84"/>
      <c r="E20" s="18"/>
      <c r="F20" s="109"/>
      <c r="G20" s="109"/>
      <c r="H20" s="70" t="str">
        <f aca="false">IF($C20="","",ROUND(N($F20)*N($G20),2))</f>
        <v/>
      </c>
      <c r="I20" s="84" t="s">
        <v>266</v>
      </c>
      <c r="J20" s="70" t="str">
        <f aca="false">IF($C20="","",ROUND(N($H20),2))</f>
        <v/>
      </c>
      <c r="K20" s="70" t="n">
        <v>0</v>
      </c>
      <c r="L20" s="84"/>
      <c r="M20" s="84"/>
      <c r="N20" s="18"/>
      <c r="O20" s="84"/>
      <c r="P20" s="18"/>
      <c r="Q20" s="67" t="str">
        <f aca="false">IF(OR($C20="",ROUND(N($H20),2)=0),"",$L20)</f>
        <v/>
      </c>
      <c r="R20" s="70" t="str">
        <f aca="false">IF($Q20="","",ROUND(N($H20),2))</f>
        <v/>
      </c>
      <c r="S20" s="70" t="str">
        <f aca="false">IF($Q20="","",0)</f>
        <v/>
      </c>
      <c r="T20" s="67" t="str">
        <f aca="false">""</f>
        <v/>
      </c>
      <c r="U20" s="70" t="str">
        <f aca="false">IF($T20="","",0)</f>
        <v/>
      </c>
      <c r="V20" s="70" t="str">
        <f aca="false">IF($T20="","",0)</f>
        <v/>
      </c>
      <c r="W20" s="67" t="str">
        <f aca="false">IF($Q20="","","应付账款")</f>
        <v/>
      </c>
      <c r="X20" s="70" t="str">
        <f aca="false">IF($W20="","",0)</f>
        <v/>
      </c>
      <c r="Y20" s="70" t="str">
        <f aca="false">IF($W20="","",ROUND(N($H20),2))</f>
        <v/>
      </c>
      <c r="Z20" s="42"/>
      <c r="AA20" s="44"/>
      <c r="AB20" s="41" t="str">
        <f aca="false">IF($C20="","",ROUND(N($H20)-N($AA20),2))</f>
        <v/>
      </c>
      <c r="AC20" s="9" t="str">
        <f aca="false">IF($B20="","",TEXT($B20,"yyyy年m月"))</f>
        <v/>
      </c>
    </row>
    <row r="21" customFormat="false" ht="18" hidden="false" customHeight="true" outlineLevel="0" collapsed="false">
      <c r="A21" s="107" t="str">
        <f aca="false">IF($C21="","",ROW()-3)</f>
        <v/>
      </c>
      <c r="B21" s="108"/>
      <c r="C21" s="84"/>
      <c r="D21" s="84"/>
      <c r="E21" s="18"/>
      <c r="F21" s="109"/>
      <c r="G21" s="109"/>
      <c r="H21" s="70" t="str">
        <f aca="false">IF($C21="","",ROUND(N($F21)*N($G21),2))</f>
        <v/>
      </c>
      <c r="I21" s="84" t="s">
        <v>266</v>
      </c>
      <c r="J21" s="70" t="str">
        <f aca="false">IF($C21="","",ROUND(N($H21),2))</f>
        <v/>
      </c>
      <c r="K21" s="70" t="n">
        <v>0</v>
      </c>
      <c r="L21" s="84"/>
      <c r="M21" s="84"/>
      <c r="N21" s="18"/>
      <c r="O21" s="84"/>
      <c r="P21" s="18"/>
      <c r="Q21" s="67" t="str">
        <f aca="false">IF(OR($C21="",ROUND(N($H21),2)=0),"",$L21)</f>
        <v/>
      </c>
      <c r="R21" s="70" t="str">
        <f aca="false">IF($Q21="","",ROUND(N($H21),2))</f>
        <v/>
      </c>
      <c r="S21" s="70" t="str">
        <f aca="false">IF($Q21="","",0)</f>
        <v/>
      </c>
      <c r="T21" s="67" t="str">
        <f aca="false">""</f>
        <v/>
      </c>
      <c r="U21" s="70" t="str">
        <f aca="false">IF($T21="","",0)</f>
        <v/>
      </c>
      <c r="V21" s="70" t="str">
        <f aca="false">IF($T21="","",0)</f>
        <v/>
      </c>
      <c r="W21" s="67" t="str">
        <f aca="false">IF($Q21="","","应付账款")</f>
        <v/>
      </c>
      <c r="X21" s="70" t="str">
        <f aca="false">IF($W21="","",0)</f>
        <v/>
      </c>
      <c r="Y21" s="70" t="str">
        <f aca="false">IF($W21="","",ROUND(N($H21),2))</f>
        <v/>
      </c>
      <c r="Z21" s="42"/>
      <c r="AA21" s="44"/>
      <c r="AB21" s="41" t="str">
        <f aca="false">IF($C21="","",ROUND(N($H21)-N($AA21),2))</f>
        <v/>
      </c>
      <c r="AC21" s="9" t="str">
        <f aca="false">IF($B21="","",TEXT($B21,"yyyy年m月"))</f>
        <v/>
      </c>
    </row>
    <row r="22" customFormat="false" ht="18" hidden="false" customHeight="true" outlineLevel="0" collapsed="false">
      <c r="A22" s="107" t="str">
        <f aca="false">IF($C22="","",ROW()-3)</f>
        <v/>
      </c>
      <c r="B22" s="108"/>
      <c r="C22" s="84"/>
      <c r="D22" s="84"/>
      <c r="E22" s="18"/>
      <c r="F22" s="109"/>
      <c r="G22" s="109"/>
      <c r="H22" s="70" t="str">
        <f aca="false">IF($C22="","",ROUND(N($F22)*N($G22),2))</f>
        <v/>
      </c>
      <c r="I22" s="84" t="s">
        <v>266</v>
      </c>
      <c r="J22" s="70" t="str">
        <f aca="false">IF($C22="","",ROUND(N($H22),2))</f>
        <v/>
      </c>
      <c r="K22" s="70" t="n">
        <v>0</v>
      </c>
      <c r="L22" s="84"/>
      <c r="M22" s="84"/>
      <c r="N22" s="18"/>
      <c r="O22" s="84"/>
      <c r="P22" s="18"/>
      <c r="Q22" s="67" t="str">
        <f aca="false">IF(OR($C22="",ROUND(N($H22),2)=0),"",$L22)</f>
        <v/>
      </c>
      <c r="R22" s="70" t="str">
        <f aca="false">IF($Q22="","",ROUND(N($H22),2))</f>
        <v/>
      </c>
      <c r="S22" s="70" t="str">
        <f aca="false">IF($Q22="","",0)</f>
        <v/>
      </c>
      <c r="T22" s="67" t="str">
        <f aca="false">""</f>
        <v/>
      </c>
      <c r="U22" s="70" t="str">
        <f aca="false">IF($T22="","",0)</f>
        <v/>
      </c>
      <c r="V22" s="70" t="str">
        <f aca="false">IF($T22="","",0)</f>
        <v/>
      </c>
      <c r="W22" s="67" t="str">
        <f aca="false">IF($Q22="","","应付账款")</f>
        <v/>
      </c>
      <c r="X22" s="70" t="str">
        <f aca="false">IF($W22="","",0)</f>
        <v/>
      </c>
      <c r="Y22" s="70" t="str">
        <f aca="false">IF($W22="","",ROUND(N($H22),2))</f>
        <v/>
      </c>
      <c r="Z22" s="42"/>
      <c r="AA22" s="44"/>
      <c r="AB22" s="41" t="str">
        <f aca="false">IF($C22="","",ROUND(N($H22)-N($AA22),2))</f>
        <v/>
      </c>
      <c r="AC22" s="9" t="str">
        <f aca="false">IF($B22="","",TEXT($B22,"yyyy年m月"))</f>
        <v/>
      </c>
    </row>
    <row r="23" customFormat="false" ht="18" hidden="false" customHeight="true" outlineLevel="0" collapsed="false">
      <c r="A23" s="107" t="str">
        <f aca="false">IF($C23="","",ROW()-3)</f>
        <v/>
      </c>
      <c r="B23" s="108"/>
      <c r="C23" s="84"/>
      <c r="D23" s="84"/>
      <c r="E23" s="18"/>
      <c r="F23" s="109"/>
      <c r="G23" s="109"/>
      <c r="H23" s="70" t="str">
        <f aca="false">IF($C23="","",ROUND(N($F23)*N($G23),2))</f>
        <v/>
      </c>
      <c r="I23" s="84" t="s">
        <v>266</v>
      </c>
      <c r="J23" s="70" t="str">
        <f aca="false">IF($C23="","",ROUND(N($H23),2))</f>
        <v/>
      </c>
      <c r="K23" s="70" t="n">
        <v>0</v>
      </c>
      <c r="L23" s="84"/>
      <c r="M23" s="84"/>
      <c r="N23" s="18"/>
      <c r="O23" s="84"/>
      <c r="P23" s="18"/>
      <c r="Q23" s="67" t="str">
        <f aca="false">IF(OR($C23="",ROUND(N($H23),2)=0),"",$L23)</f>
        <v/>
      </c>
      <c r="R23" s="70" t="str">
        <f aca="false">IF($Q23="","",ROUND(N($H23),2))</f>
        <v/>
      </c>
      <c r="S23" s="70" t="str">
        <f aca="false">IF($Q23="","",0)</f>
        <v/>
      </c>
      <c r="T23" s="67" t="str">
        <f aca="false">""</f>
        <v/>
      </c>
      <c r="U23" s="70" t="str">
        <f aca="false">IF($T23="","",0)</f>
        <v/>
      </c>
      <c r="V23" s="70" t="str">
        <f aca="false">IF($T23="","",0)</f>
        <v/>
      </c>
      <c r="W23" s="67" t="str">
        <f aca="false">IF($Q23="","","应付账款")</f>
        <v/>
      </c>
      <c r="X23" s="70" t="str">
        <f aca="false">IF($W23="","",0)</f>
        <v/>
      </c>
      <c r="Y23" s="70" t="str">
        <f aca="false">IF($W23="","",ROUND(N($H23),2))</f>
        <v/>
      </c>
      <c r="Z23" s="42"/>
      <c r="AA23" s="44"/>
      <c r="AB23" s="41" t="str">
        <f aca="false">IF($C23="","",ROUND(N($H23)-N($AA23),2))</f>
        <v/>
      </c>
      <c r="AC23" s="9" t="str">
        <f aca="false">IF($B23="","",TEXT($B23,"yyyy年m月"))</f>
        <v/>
      </c>
    </row>
    <row r="24" customFormat="false" ht="18" hidden="false" customHeight="true" outlineLevel="0" collapsed="false">
      <c r="A24" s="107" t="str">
        <f aca="false">IF($C24="","",ROW()-3)</f>
        <v/>
      </c>
      <c r="B24" s="108"/>
      <c r="C24" s="84"/>
      <c r="D24" s="84"/>
      <c r="E24" s="18"/>
      <c r="F24" s="109"/>
      <c r="G24" s="109"/>
      <c r="H24" s="70" t="str">
        <f aca="false">IF($C24="","",ROUND(N($F24)*N($G24),2))</f>
        <v/>
      </c>
      <c r="I24" s="84" t="s">
        <v>266</v>
      </c>
      <c r="J24" s="70" t="str">
        <f aca="false">IF($C24="","",ROUND(N($H24),2))</f>
        <v/>
      </c>
      <c r="K24" s="70" t="n">
        <v>0</v>
      </c>
      <c r="L24" s="84"/>
      <c r="M24" s="84"/>
      <c r="N24" s="18"/>
      <c r="O24" s="84"/>
      <c r="P24" s="18"/>
      <c r="Q24" s="67" t="str">
        <f aca="false">IF(OR($C24="",ROUND(N($H24),2)=0),"",$L24)</f>
        <v/>
      </c>
      <c r="R24" s="70" t="str">
        <f aca="false">IF($Q24="","",ROUND(N($H24),2))</f>
        <v/>
      </c>
      <c r="S24" s="70" t="str">
        <f aca="false">IF($Q24="","",0)</f>
        <v/>
      </c>
      <c r="T24" s="67" t="str">
        <f aca="false">""</f>
        <v/>
      </c>
      <c r="U24" s="70" t="str">
        <f aca="false">IF($T24="","",0)</f>
        <v/>
      </c>
      <c r="V24" s="70" t="str">
        <f aca="false">IF($T24="","",0)</f>
        <v/>
      </c>
      <c r="W24" s="67" t="str">
        <f aca="false">IF($Q24="","","应付账款")</f>
        <v/>
      </c>
      <c r="X24" s="70" t="str">
        <f aca="false">IF($W24="","",0)</f>
        <v/>
      </c>
      <c r="Y24" s="70" t="str">
        <f aca="false">IF($W24="","",ROUND(N($H24),2))</f>
        <v/>
      </c>
      <c r="Z24" s="42"/>
      <c r="AA24" s="44"/>
      <c r="AB24" s="41" t="str">
        <f aca="false">IF($C24="","",ROUND(N($H24)-N($AA24),2))</f>
        <v/>
      </c>
      <c r="AC24" s="9" t="str">
        <f aca="false">IF($B24="","",TEXT($B24,"yyyy年m月"))</f>
        <v/>
      </c>
    </row>
    <row r="25" customFormat="false" ht="18" hidden="false" customHeight="true" outlineLevel="0" collapsed="false">
      <c r="A25" s="107" t="str">
        <f aca="false">IF($C25="","",ROW()-3)</f>
        <v/>
      </c>
      <c r="B25" s="108"/>
      <c r="C25" s="84"/>
      <c r="D25" s="84"/>
      <c r="E25" s="18"/>
      <c r="F25" s="109"/>
      <c r="G25" s="109"/>
      <c r="H25" s="70" t="str">
        <f aca="false">IF($C25="","",ROUND(N($F25)*N($G25),2))</f>
        <v/>
      </c>
      <c r="I25" s="84" t="s">
        <v>266</v>
      </c>
      <c r="J25" s="70" t="str">
        <f aca="false">IF($C25="","",ROUND(N($H25),2))</f>
        <v/>
      </c>
      <c r="K25" s="70" t="n">
        <v>0</v>
      </c>
      <c r="L25" s="84"/>
      <c r="M25" s="84"/>
      <c r="N25" s="18"/>
      <c r="O25" s="84"/>
      <c r="P25" s="18"/>
      <c r="Q25" s="67" t="str">
        <f aca="false">IF(OR($C25="",ROUND(N($H25),2)=0),"",$L25)</f>
        <v/>
      </c>
      <c r="R25" s="70" t="str">
        <f aca="false">IF($Q25="","",ROUND(N($H25),2))</f>
        <v/>
      </c>
      <c r="S25" s="70" t="str">
        <f aca="false">IF($Q25="","",0)</f>
        <v/>
      </c>
      <c r="T25" s="67" t="str">
        <f aca="false">""</f>
        <v/>
      </c>
      <c r="U25" s="70" t="str">
        <f aca="false">IF($T25="","",0)</f>
        <v/>
      </c>
      <c r="V25" s="70" t="str">
        <f aca="false">IF($T25="","",0)</f>
        <v/>
      </c>
      <c r="W25" s="67" t="str">
        <f aca="false">IF($Q25="","","应付账款")</f>
        <v/>
      </c>
      <c r="X25" s="70" t="str">
        <f aca="false">IF($W25="","",0)</f>
        <v/>
      </c>
      <c r="Y25" s="70" t="str">
        <f aca="false">IF($W25="","",ROUND(N($H25),2))</f>
        <v/>
      </c>
      <c r="Z25" s="42"/>
      <c r="AA25" s="44"/>
      <c r="AB25" s="41" t="str">
        <f aca="false">IF($C25="","",ROUND(N($H25)-N($AA25),2))</f>
        <v/>
      </c>
      <c r="AC25" s="9" t="str">
        <f aca="false">IF($B25="","",TEXT($B25,"yyyy年m月"))</f>
        <v/>
      </c>
    </row>
    <row r="26" customFormat="false" ht="18" hidden="false" customHeight="true" outlineLevel="0" collapsed="false">
      <c r="A26" s="107" t="str">
        <f aca="false">IF($C26="","",ROW()-3)</f>
        <v/>
      </c>
      <c r="B26" s="108"/>
      <c r="C26" s="84"/>
      <c r="D26" s="84"/>
      <c r="E26" s="18"/>
      <c r="F26" s="109"/>
      <c r="G26" s="109"/>
      <c r="H26" s="70" t="str">
        <f aca="false">IF($C26="","",ROUND(N($F26)*N($G26),2))</f>
        <v/>
      </c>
      <c r="I26" s="84" t="s">
        <v>266</v>
      </c>
      <c r="J26" s="70" t="str">
        <f aca="false">IF($C26="","",ROUND(N($H26),2))</f>
        <v/>
      </c>
      <c r="K26" s="70" t="n">
        <v>0</v>
      </c>
      <c r="L26" s="84"/>
      <c r="M26" s="84"/>
      <c r="N26" s="18"/>
      <c r="O26" s="84"/>
      <c r="P26" s="18"/>
      <c r="Q26" s="67" t="str">
        <f aca="false">IF(OR($C26="",ROUND(N($H26),2)=0),"",$L26)</f>
        <v/>
      </c>
      <c r="R26" s="70" t="str">
        <f aca="false">IF($Q26="","",ROUND(N($H26),2))</f>
        <v/>
      </c>
      <c r="S26" s="70" t="str">
        <f aca="false">IF($Q26="","",0)</f>
        <v/>
      </c>
      <c r="T26" s="67" t="str">
        <f aca="false">""</f>
        <v/>
      </c>
      <c r="U26" s="70" t="str">
        <f aca="false">IF($T26="","",0)</f>
        <v/>
      </c>
      <c r="V26" s="70" t="str">
        <f aca="false">IF($T26="","",0)</f>
        <v/>
      </c>
      <c r="W26" s="67" t="str">
        <f aca="false">IF($Q26="","","应付账款")</f>
        <v/>
      </c>
      <c r="X26" s="70" t="str">
        <f aca="false">IF($W26="","",0)</f>
        <v/>
      </c>
      <c r="Y26" s="70" t="str">
        <f aca="false">IF($W26="","",ROUND(N($H26),2))</f>
        <v/>
      </c>
      <c r="Z26" s="42"/>
      <c r="AA26" s="44"/>
      <c r="AB26" s="41" t="str">
        <f aca="false">IF($C26="","",ROUND(N($H26)-N($AA26),2))</f>
        <v/>
      </c>
      <c r="AC26" s="9" t="str">
        <f aca="false">IF($B26="","",TEXT($B26,"yyyy年m月"))</f>
        <v/>
      </c>
    </row>
    <row r="27" customFormat="false" ht="18" hidden="false" customHeight="true" outlineLevel="0" collapsed="false">
      <c r="A27" s="107" t="str">
        <f aca="false">IF($C27="","",ROW()-3)</f>
        <v/>
      </c>
      <c r="B27" s="108"/>
      <c r="C27" s="84"/>
      <c r="D27" s="84"/>
      <c r="E27" s="18"/>
      <c r="F27" s="109"/>
      <c r="G27" s="109"/>
      <c r="H27" s="70" t="str">
        <f aca="false">IF($C27="","",ROUND(N($F27)*N($G27),2))</f>
        <v/>
      </c>
      <c r="I27" s="84" t="s">
        <v>266</v>
      </c>
      <c r="J27" s="70" t="str">
        <f aca="false">IF($C27="","",ROUND(N($H27),2))</f>
        <v/>
      </c>
      <c r="K27" s="70" t="n">
        <v>0</v>
      </c>
      <c r="L27" s="84"/>
      <c r="M27" s="84"/>
      <c r="N27" s="18"/>
      <c r="O27" s="84"/>
      <c r="P27" s="18"/>
      <c r="Q27" s="67" t="str">
        <f aca="false">IF(OR($C27="",ROUND(N($H27),2)=0),"",$L27)</f>
        <v/>
      </c>
      <c r="R27" s="70" t="str">
        <f aca="false">IF($Q27="","",ROUND(N($H27),2))</f>
        <v/>
      </c>
      <c r="S27" s="70" t="str">
        <f aca="false">IF($Q27="","",0)</f>
        <v/>
      </c>
      <c r="T27" s="67" t="str">
        <f aca="false">""</f>
        <v/>
      </c>
      <c r="U27" s="70" t="str">
        <f aca="false">IF($T27="","",0)</f>
        <v/>
      </c>
      <c r="V27" s="70" t="str">
        <f aca="false">IF($T27="","",0)</f>
        <v/>
      </c>
      <c r="W27" s="67" t="str">
        <f aca="false">IF($Q27="","","应付账款")</f>
        <v/>
      </c>
      <c r="X27" s="70" t="str">
        <f aca="false">IF($W27="","",0)</f>
        <v/>
      </c>
      <c r="Y27" s="70" t="str">
        <f aca="false">IF($W27="","",ROUND(N($H27),2))</f>
        <v/>
      </c>
      <c r="Z27" s="42"/>
      <c r="AA27" s="44"/>
      <c r="AB27" s="41" t="str">
        <f aca="false">IF($C27="","",ROUND(N($H27)-N($AA27),2))</f>
        <v/>
      </c>
      <c r="AC27" s="9" t="str">
        <f aca="false">IF($B27="","",TEXT($B27,"yyyy年m月"))</f>
        <v/>
      </c>
    </row>
    <row r="28" customFormat="false" ht="18" hidden="false" customHeight="true" outlineLevel="0" collapsed="false">
      <c r="A28" s="107" t="str">
        <f aca="false">IF($C28="","",ROW()-3)</f>
        <v/>
      </c>
      <c r="B28" s="108"/>
      <c r="C28" s="84"/>
      <c r="D28" s="84"/>
      <c r="E28" s="18"/>
      <c r="F28" s="109"/>
      <c r="G28" s="109"/>
      <c r="H28" s="70" t="str">
        <f aca="false">IF($C28="","",ROUND(N($F28)*N($G28),2))</f>
        <v/>
      </c>
      <c r="I28" s="84" t="s">
        <v>266</v>
      </c>
      <c r="J28" s="70" t="str">
        <f aca="false">IF($C28="","",ROUND(N($H28),2))</f>
        <v/>
      </c>
      <c r="K28" s="70" t="n">
        <v>0</v>
      </c>
      <c r="L28" s="84"/>
      <c r="M28" s="84"/>
      <c r="N28" s="18"/>
      <c r="O28" s="84"/>
      <c r="P28" s="18"/>
      <c r="Q28" s="67" t="str">
        <f aca="false">IF(OR($C28="",ROUND(N($H28),2)=0),"",$L28)</f>
        <v/>
      </c>
      <c r="R28" s="70" t="str">
        <f aca="false">IF($Q28="","",ROUND(N($H28),2))</f>
        <v/>
      </c>
      <c r="S28" s="70" t="str">
        <f aca="false">IF($Q28="","",0)</f>
        <v/>
      </c>
      <c r="T28" s="67" t="str">
        <f aca="false">""</f>
        <v/>
      </c>
      <c r="U28" s="70" t="str">
        <f aca="false">IF($T28="","",0)</f>
        <v/>
      </c>
      <c r="V28" s="70" t="str">
        <f aca="false">IF($T28="","",0)</f>
        <v/>
      </c>
      <c r="W28" s="67" t="str">
        <f aca="false">IF($Q28="","","应付账款")</f>
        <v/>
      </c>
      <c r="X28" s="70" t="str">
        <f aca="false">IF($W28="","",0)</f>
        <v/>
      </c>
      <c r="Y28" s="70" t="str">
        <f aca="false">IF($W28="","",ROUND(N($H28),2))</f>
        <v/>
      </c>
      <c r="Z28" s="42"/>
      <c r="AA28" s="44"/>
      <c r="AB28" s="41" t="str">
        <f aca="false">IF($C28="","",ROUND(N($H28)-N($AA28),2))</f>
        <v/>
      </c>
      <c r="AC28" s="9" t="str">
        <f aca="false">IF($B28="","",TEXT($B28,"yyyy年m月"))</f>
        <v/>
      </c>
    </row>
    <row r="29" customFormat="false" ht="18" hidden="false" customHeight="true" outlineLevel="0" collapsed="false">
      <c r="A29" s="107" t="str">
        <f aca="false">IF($C29="","",ROW()-3)</f>
        <v/>
      </c>
      <c r="B29" s="108"/>
      <c r="C29" s="84"/>
      <c r="D29" s="84"/>
      <c r="E29" s="18"/>
      <c r="F29" s="109"/>
      <c r="G29" s="109"/>
      <c r="H29" s="70" t="str">
        <f aca="false">IF($C29="","",ROUND(N($F29)*N($G29),2))</f>
        <v/>
      </c>
      <c r="I29" s="84" t="s">
        <v>266</v>
      </c>
      <c r="J29" s="70" t="str">
        <f aca="false">IF($C29="","",ROUND(N($H29),2))</f>
        <v/>
      </c>
      <c r="K29" s="70" t="n">
        <v>0</v>
      </c>
      <c r="L29" s="84"/>
      <c r="M29" s="84"/>
      <c r="N29" s="18"/>
      <c r="O29" s="84"/>
      <c r="P29" s="18"/>
      <c r="Q29" s="67" t="str">
        <f aca="false">IF(OR($C29="",ROUND(N($H29),2)=0),"",$L29)</f>
        <v/>
      </c>
      <c r="R29" s="70" t="str">
        <f aca="false">IF($Q29="","",ROUND(N($H29),2))</f>
        <v/>
      </c>
      <c r="S29" s="70" t="str">
        <f aca="false">IF($Q29="","",0)</f>
        <v/>
      </c>
      <c r="T29" s="67" t="str">
        <f aca="false">""</f>
        <v/>
      </c>
      <c r="U29" s="70" t="str">
        <f aca="false">IF($T29="","",0)</f>
        <v/>
      </c>
      <c r="V29" s="70" t="str">
        <f aca="false">IF($T29="","",0)</f>
        <v/>
      </c>
      <c r="W29" s="67" t="str">
        <f aca="false">IF($Q29="","","应付账款")</f>
        <v/>
      </c>
      <c r="X29" s="70" t="str">
        <f aca="false">IF($W29="","",0)</f>
        <v/>
      </c>
      <c r="Y29" s="70" t="str">
        <f aca="false">IF($W29="","",ROUND(N($H29),2))</f>
        <v/>
      </c>
      <c r="Z29" s="42"/>
      <c r="AA29" s="44"/>
      <c r="AB29" s="41" t="str">
        <f aca="false">IF($C29="","",ROUND(N($H29)-N($AA29),2))</f>
        <v/>
      </c>
      <c r="AC29" s="9" t="str">
        <f aca="false">IF($B29="","",TEXT($B29,"yyyy年m月"))</f>
        <v/>
      </c>
    </row>
    <row r="30" customFormat="false" ht="18" hidden="false" customHeight="true" outlineLevel="0" collapsed="false">
      <c r="A30" s="107" t="str">
        <f aca="false">IF($C30="","",ROW()-3)</f>
        <v/>
      </c>
      <c r="B30" s="108"/>
      <c r="C30" s="84"/>
      <c r="D30" s="84"/>
      <c r="E30" s="18"/>
      <c r="F30" s="109"/>
      <c r="G30" s="109"/>
      <c r="H30" s="70" t="str">
        <f aca="false">IF($C30="","",ROUND(N($F30)*N($G30),2))</f>
        <v/>
      </c>
      <c r="I30" s="84" t="s">
        <v>266</v>
      </c>
      <c r="J30" s="70" t="str">
        <f aca="false">IF($C30="","",ROUND(N($H30),2))</f>
        <v/>
      </c>
      <c r="K30" s="70" t="n">
        <v>0</v>
      </c>
      <c r="L30" s="84"/>
      <c r="M30" s="84"/>
      <c r="N30" s="18"/>
      <c r="O30" s="84"/>
      <c r="P30" s="18"/>
      <c r="Q30" s="67" t="str">
        <f aca="false">IF(OR($C30="",ROUND(N($H30),2)=0),"",$L30)</f>
        <v/>
      </c>
      <c r="R30" s="70" t="str">
        <f aca="false">IF($Q30="","",ROUND(N($H30),2))</f>
        <v/>
      </c>
      <c r="S30" s="70" t="str">
        <f aca="false">IF($Q30="","",0)</f>
        <v/>
      </c>
      <c r="T30" s="67" t="str">
        <f aca="false">""</f>
        <v/>
      </c>
      <c r="U30" s="70" t="str">
        <f aca="false">IF($T30="","",0)</f>
        <v/>
      </c>
      <c r="V30" s="70" t="str">
        <f aca="false">IF($T30="","",0)</f>
        <v/>
      </c>
      <c r="W30" s="67" t="str">
        <f aca="false">IF($Q30="","","应付账款")</f>
        <v/>
      </c>
      <c r="X30" s="70" t="str">
        <f aca="false">IF($W30="","",0)</f>
        <v/>
      </c>
      <c r="Y30" s="70" t="str">
        <f aca="false">IF($W30="","",ROUND(N($H30),2))</f>
        <v/>
      </c>
      <c r="Z30" s="42"/>
      <c r="AA30" s="44"/>
      <c r="AB30" s="41" t="str">
        <f aca="false">IF($C30="","",ROUND(N($H30)-N($AA30),2))</f>
        <v/>
      </c>
      <c r="AC30" s="9" t="str">
        <f aca="false">IF($B30="","",TEXT($B30,"yyyy年m月"))</f>
        <v/>
      </c>
    </row>
    <row r="31" customFormat="false" ht="18" hidden="false" customHeight="true" outlineLevel="0" collapsed="false">
      <c r="A31" s="107" t="str">
        <f aca="false">IF($C31="","",ROW()-3)</f>
        <v/>
      </c>
      <c r="B31" s="108"/>
      <c r="C31" s="84"/>
      <c r="D31" s="84"/>
      <c r="E31" s="18"/>
      <c r="F31" s="109"/>
      <c r="G31" s="109"/>
      <c r="H31" s="70" t="str">
        <f aca="false">IF($C31="","",ROUND(N($F31)*N($G31),2))</f>
        <v/>
      </c>
      <c r="I31" s="84" t="s">
        <v>266</v>
      </c>
      <c r="J31" s="70" t="str">
        <f aca="false">IF($C31="","",ROUND(N($H31),2))</f>
        <v/>
      </c>
      <c r="K31" s="70" t="n">
        <v>0</v>
      </c>
      <c r="L31" s="84"/>
      <c r="M31" s="84"/>
      <c r="N31" s="18"/>
      <c r="O31" s="84"/>
      <c r="P31" s="18"/>
      <c r="Q31" s="67" t="str">
        <f aca="false">IF(OR($C31="",ROUND(N($H31),2)=0),"",$L31)</f>
        <v/>
      </c>
      <c r="R31" s="70" t="str">
        <f aca="false">IF($Q31="","",ROUND(N($H31),2))</f>
        <v/>
      </c>
      <c r="S31" s="70" t="str">
        <f aca="false">IF($Q31="","",0)</f>
        <v/>
      </c>
      <c r="T31" s="67" t="str">
        <f aca="false">""</f>
        <v/>
      </c>
      <c r="U31" s="70" t="str">
        <f aca="false">IF($T31="","",0)</f>
        <v/>
      </c>
      <c r="V31" s="70" t="str">
        <f aca="false">IF($T31="","",0)</f>
        <v/>
      </c>
      <c r="W31" s="67" t="str">
        <f aca="false">IF($Q31="","","应付账款")</f>
        <v/>
      </c>
      <c r="X31" s="70" t="str">
        <f aca="false">IF($W31="","",0)</f>
        <v/>
      </c>
      <c r="Y31" s="70" t="str">
        <f aca="false">IF($W31="","",ROUND(N($H31),2))</f>
        <v/>
      </c>
      <c r="Z31" s="42"/>
      <c r="AA31" s="44"/>
      <c r="AB31" s="41" t="str">
        <f aca="false">IF($C31="","",ROUND(N($H31)-N($AA31),2))</f>
        <v/>
      </c>
      <c r="AC31" s="9" t="str">
        <f aca="false">IF($B31="","",TEXT($B31,"yyyy年m月"))</f>
        <v/>
      </c>
    </row>
    <row r="32" customFormat="false" ht="18" hidden="false" customHeight="true" outlineLevel="0" collapsed="false">
      <c r="A32" s="107" t="str">
        <f aca="false">IF($C32="","",ROW()-3)</f>
        <v/>
      </c>
      <c r="B32" s="108"/>
      <c r="C32" s="84"/>
      <c r="D32" s="84"/>
      <c r="E32" s="18"/>
      <c r="F32" s="109"/>
      <c r="G32" s="109"/>
      <c r="H32" s="70" t="str">
        <f aca="false">IF($C32="","",ROUND(N($F32)*N($G32),2))</f>
        <v/>
      </c>
      <c r="I32" s="84" t="s">
        <v>266</v>
      </c>
      <c r="J32" s="70" t="str">
        <f aca="false">IF($C32="","",ROUND(N($H32),2))</f>
        <v/>
      </c>
      <c r="K32" s="70" t="n">
        <v>0</v>
      </c>
      <c r="L32" s="84"/>
      <c r="M32" s="84"/>
      <c r="N32" s="18"/>
      <c r="O32" s="84"/>
      <c r="P32" s="18"/>
      <c r="Q32" s="67" t="str">
        <f aca="false">IF(OR($C32="",ROUND(N($H32),2)=0),"",$L32)</f>
        <v/>
      </c>
      <c r="R32" s="70" t="str">
        <f aca="false">IF($Q32="","",ROUND(N($H32),2))</f>
        <v/>
      </c>
      <c r="S32" s="70" t="str">
        <f aca="false">IF($Q32="","",0)</f>
        <v/>
      </c>
      <c r="T32" s="67" t="str">
        <f aca="false">""</f>
        <v/>
      </c>
      <c r="U32" s="70" t="str">
        <f aca="false">IF($T32="","",0)</f>
        <v/>
      </c>
      <c r="V32" s="70" t="str">
        <f aca="false">IF($T32="","",0)</f>
        <v/>
      </c>
      <c r="W32" s="67" t="str">
        <f aca="false">IF($Q32="","","应付账款")</f>
        <v/>
      </c>
      <c r="X32" s="70" t="str">
        <f aca="false">IF($W32="","",0)</f>
        <v/>
      </c>
      <c r="Y32" s="70" t="str">
        <f aca="false">IF($W32="","",ROUND(N($H32),2))</f>
        <v/>
      </c>
      <c r="Z32" s="42"/>
      <c r="AA32" s="44"/>
      <c r="AB32" s="41" t="str">
        <f aca="false">IF($C32="","",ROUND(N($H32)-N($AA32),2))</f>
        <v/>
      </c>
      <c r="AC32" s="9" t="str">
        <f aca="false">IF($B32="","",TEXT($B32,"yyyy年m月"))</f>
        <v/>
      </c>
    </row>
    <row r="33" customFormat="false" ht="18" hidden="false" customHeight="true" outlineLevel="0" collapsed="false">
      <c r="A33" s="107" t="str">
        <f aca="false">IF($C33="","",ROW()-3)</f>
        <v/>
      </c>
      <c r="B33" s="108"/>
      <c r="C33" s="84"/>
      <c r="D33" s="84"/>
      <c r="E33" s="18"/>
      <c r="F33" s="109"/>
      <c r="G33" s="109"/>
      <c r="H33" s="70" t="str">
        <f aca="false">IF($C33="","",ROUND(N($F33)*N($G33),2))</f>
        <v/>
      </c>
      <c r="I33" s="84" t="s">
        <v>266</v>
      </c>
      <c r="J33" s="70" t="str">
        <f aca="false">IF($C33="","",ROUND(N($H33),2))</f>
        <v/>
      </c>
      <c r="K33" s="70" t="n">
        <v>0</v>
      </c>
      <c r="L33" s="84"/>
      <c r="M33" s="84"/>
      <c r="N33" s="18"/>
      <c r="O33" s="84"/>
      <c r="P33" s="18"/>
      <c r="Q33" s="67" t="str">
        <f aca="false">IF(OR($C33="",ROUND(N($H33),2)=0),"",$L33)</f>
        <v/>
      </c>
      <c r="R33" s="70" t="str">
        <f aca="false">IF($Q33="","",ROUND(N($H33),2))</f>
        <v/>
      </c>
      <c r="S33" s="70" t="str">
        <f aca="false">IF($Q33="","",0)</f>
        <v/>
      </c>
      <c r="T33" s="67" t="str">
        <f aca="false">""</f>
        <v/>
      </c>
      <c r="U33" s="70" t="str">
        <f aca="false">IF($T33="","",0)</f>
        <v/>
      </c>
      <c r="V33" s="70" t="str">
        <f aca="false">IF($T33="","",0)</f>
        <v/>
      </c>
      <c r="W33" s="67" t="str">
        <f aca="false">IF($Q33="","","应付账款")</f>
        <v/>
      </c>
      <c r="X33" s="70" t="str">
        <f aca="false">IF($W33="","",0)</f>
        <v/>
      </c>
      <c r="Y33" s="70" t="str">
        <f aca="false">IF($W33="","",ROUND(N($H33),2))</f>
        <v/>
      </c>
      <c r="Z33" s="42"/>
      <c r="AA33" s="44"/>
      <c r="AB33" s="41" t="str">
        <f aca="false">IF($C33="","",ROUND(N($H33)-N($AA33),2))</f>
        <v/>
      </c>
      <c r="AC33" s="9" t="str">
        <f aca="false">IF($B33="","",TEXT($B33,"yyyy年m月"))</f>
        <v/>
      </c>
    </row>
    <row r="34" customFormat="false" ht="18" hidden="false" customHeight="true" outlineLevel="0" collapsed="false">
      <c r="A34" s="107" t="str">
        <f aca="false">IF($C34="","",ROW()-3)</f>
        <v/>
      </c>
      <c r="B34" s="108"/>
      <c r="C34" s="84"/>
      <c r="D34" s="84"/>
      <c r="E34" s="18"/>
      <c r="F34" s="109"/>
      <c r="G34" s="109"/>
      <c r="H34" s="70" t="str">
        <f aca="false">IF($C34="","",ROUND(N($F34)*N($G34),2))</f>
        <v/>
      </c>
      <c r="I34" s="84" t="s">
        <v>266</v>
      </c>
      <c r="J34" s="70" t="str">
        <f aca="false">IF($C34="","",ROUND(N($H34),2))</f>
        <v/>
      </c>
      <c r="K34" s="70" t="n">
        <v>0</v>
      </c>
      <c r="L34" s="84"/>
      <c r="M34" s="84"/>
      <c r="N34" s="18"/>
      <c r="O34" s="84"/>
      <c r="P34" s="18"/>
      <c r="Q34" s="67" t="str">
        <f aca="false">IF(OR($C34="",ROUND(N($H34),2)=0),"",$L34)</f>
        <v/>
      </c>
      <c r="R34" s="70" t="str">
        <f aca="false">IF($Q34="","",ROUND(N($H34),2))</f>
        <v/>
      </c>
      <c r="S34" s="70" t="str">
        <f aca="false">IF($Q34="","",0)</f>
        <v/>
      </c>
      <c r="T34" s="67" t="str">
        <f aca="false">""</f>
        <v/>
      </c>
      <c r="U34" s="70" t="str">
        <f aca="false">IF($T34="","",0)</f>
        <v/>
      </c>
      <c r="V34" s="70" t="str">
        <f aca="false">IF($T34="","",0)</f>
        <v/>
      </c>
      <c r="W34" s="67" t="str">
        <f aca="false">IF($Q34="","","应付账款")</f>
        <v/>
      </c>
      <c r="X34" s="70" t="str">
        <f aca="false">IF($W34="","",0)</f>
        <v/>
      </c>
      <c r="Y34" s="70" t="str">
        <f aca="false">IF($W34="","",ROUND(N($H34),2))</f>
        <v/>
      </c>
      <c r="Z34" s="42"/>
      <c r="AA34" s="44"/>
      <c r="AB34" s="41" t="str">
        <f aca="false">IF($C34="","",ROUND(N($H34)-N($AA34),2))</f>
        <v/>
      </c>
      <c r="AC34" s="9" t="str">
        <f aca="false">IF($B34="","",TEXT($B34,"yyyy年m月"))</f>
        <v/>
      </c>
    </row>
    <row r="35" customFormat="false" ht="18" hidden="false" customHeight="true" outlineLevel="0" collapsed="false">
      <c r="A35" s="107" t="str">
        <f aca="false">IF($C35="","",ROW()-3)</f>
        <v/>
      </c>
      <c r="B35" s="108"/>
      <c r="C35" s="84"/>
      <c r="D35" s="84"/>
      <c r="E35" s="18"/>
      <c r="F35" s="109"/>
      <c r="G35" s="109"/>
      <c r="H35" s="70" t="str">
        <f aca="false">IF($C35="","",ROUND(N($F35)*N($G35),2))</f>
        <v/>
      </c>
      <c r="I35" s="84" t="s">
        <v>266</v>
      </c>
      <c r="J35" s="70" t="str">
        <f aca="false">IF($C35="","",ROUND(N($H35),2))</f>
        <v/>
      </c>
      <c r="K35" s="70" t="n">
        <v>0</v>
      </c>
      <c r="L35" s="84"/>
      <c r="M35" s="84"/>
      <c r="N35" s="18"/>
      <c r="O35" s="84"/>
      <c r="P35" s="18"/>
      <c r="Q35" s="67" t="str">
        <f aca="false">IF(OR($C35="",ROUND(N($H35),2)=0),"",$L35)</f>
        <v/>
      </c>
      <c r="R35" s="70" t="str">
        <f aca="false">IF($Q35="","",ROUND(N($H35),2))</f>
        <v/>
      </c>
      <c r="S35" s="70" t="str">
        <f aca="false">IF($Q35="","",0)</f>
        <v/>
      </c>
      <c r="T35" s="67" t="str">
        <f aca="false">""</f>
        <v/>
      </c>
      <c r="U35" s="70" t="str">
        <f aca="false">IF($T35="","",0)</f>
        <v/>
      </c>
      <c r="V35" s="70" t="str">
        <f aca="false">IF($T35="","",0)</f>
        <v/>
      </c>
      <c r="W35" s="67" t="str">
        <f aca="false">IF($Q35="","","应付账款")</f>
        <v/>
      </c>
      <c r="X35" s="70" t="str">
        <f aca="false">IF($W35="","",0)</f>
        <v/>
      </c>
      <c r="Y35" s="70" t="str">
        <f aca="false">IF($W35="","",ROUND(N($H35),2))</f>
        <v/>
      </c>
      <c r="Z35" s="42"/>
      <c r="AA35" s="44"/>
      <c r="AB35" s="41" t="str">
        <f aca="false">IF($C35="","",ROUND(N($H35)-N($AA35),2))</f>
        <v/>
      </c>
      <c r="AC35" s="9" t="str">
        <f aca="false">IF($B35="","",TEXT($B35,"yyyy年m月"))</f>
        <v/>
      </c>
    </row>
    <row r="36" customFormat="false" ht="18" hidden="false" customHeight="true" outlineLevel="0" collapsed="false">
      <c r="A36" s="107" t="str">
        <f aca="false">IF($C36="","",ROW()-3)</f>
        <v/>
      </c>
      <c r="B36" s="108"/>
      <c r="C36" s="84"/>
      <c r="D36" s="84"/>
      <c r="E36" s="18"/>
      <c r="F36" s="109"/>
      <c r="G36" s="109"/>
      <c r="H36" s="70" t="str">
        <f aca="false">IF($C36="","",ROUND(N($F36)*N($G36),2))</f>
        <v/>
      </c>
      <c r="I36" s="84" t="s">
        <v>266</v>
      </c>
      <c r="J36" s="70" t="str">
        <f aca="false">IF($C36="","",ROUND(N($H36),2))</f>
        <v/>
      </c>
      <c r="K36" s="70" t="n">
        <v>0</v>
      </c>
      <c r="L36" s="84"/>
      <c r="M36" s="84"/>
      <c r="N36" s="18"/>
      <c r="O36" s="84"/>
      <c r="P36" s="18"/>
      <c r="Q36" s="67" t="str">
        <f aca="false">IF(OR($C36="",ROUND(N($H36),2)=0),"",$L36)</f>
        <v/>
      </c>
      <c r="R36" s="70" t="str">
        <f aca="false">IF($Q36="","",ROUND(N($H36),2))</f>
        <v/>
      </c>
      <c r="S36" s="70" t="str">
        <f aca="false">IF($Q36="","",0)</f>
        <v/>
      </c>
      <c r="T36" s="67" t="str">
        <f aca="false">""</f>
        <v/>
      </c>
      <c r="U36" s="70" t="str">
        <f aca="false">IF($T36="","",0)</f>
        <v/>
      </c>
      <c r="V36" s="70" t="str">
        <f aca="false">IF($T36="","",0)</f>
        <v/>
      </c>
      <c r="W36" s="67" t="str">
        <f aca="false">IF($Q36="","","应付账款")</f>
        <v/>
      </c>
      <c r="X36" s="70" t="str">
        <f aca="false">IF($W36="","",0)</f>
        <v/>
      </c>
      <c r="Y36" s="70" t="str">
        <f aca="false">IF($W36="","",ROUND(N($H36),2))</f>
        <v/>
      </c>
      <c r="Z36" s="42"/>
      <c r="AA36" s="44"/>
      <c r="AB36" s="41" t="str">
        <f aca="false">IF($C36="","",ROUND(N($H36)-N($AA36),2))</f>
        <v/>
      </c>
      <c r="AC36" s="9" t="str">
        <f aca="false">IF($B36="","",TEXT($B36,"yyyy年m月"))</f>
        <v/>
      </c>
    </row>
    <row r="37" customFormat="false" ht="18" hidden="false" customHeight="true" outlineLevel="0" collapsed="false">
      <c r="A37" s="107" t="str">
        <f aca="false">IF($C37="","",ROW()-3)</f>
        <v/>
      </c>
      <c r="B37" s="108"/>
      <c r="C37" s="84"/>
      <c r="D37" s="84"/>
      <c r="E37" s="18"/>
      <c r="F37" s="109"/>
      <c r="G37" s="109"/>
      <c r="H37" s="70" t="str">
        <f aca="false">IF($C37="","",ROUND(N($F37)*N($G37),2))</f>
        <v/>
      </c>
      <c r="I37" s="84" t="s">
        <v>266</v>
      </c>
      <c r="J37" s="70" t="str">
        <f aca="false">IF($C37="","",ROUND(N($H37),2))</f>
        <v/>
      </c>
      <c r="K37" s="70" t="n">
        <v>0</v>
      </c>
      <c r="L37" s="84"/>
      <c r="M37" s="84"/>
      <c r="N37" s="18"/>
      <c r="O37" s="84"/>
      <c r="P37" s="18"/>
      <c r="Q37" s="67" t="str">
        <f aca="false">IF(OR($C37="",ROUND(N($H37),2)=0),"",$L37)</f>
        <v/>
      </c>
      <c r="R37" s="70" t="str">
        <f aca="false">IF($Q37="","",ROUND(N($H37),2))</f>
        <v/>
      </c>
      <c r="S37" s="70" t="str">
        <f aca="false">IF($Q37="","",0)</f>
        <v/>
      </c>
      <c r="T37" s="67" t="str">
        <f aca="false">""</f>
        <v/>
      </c>
      <c r="U37" s="70" t="str">
        <f aca="false">IF($T37="","",0)</f>
        <v/>
      </c>
      <c r="V37" s="70" t="str">
        <f aca="false">IF($T37="","",0)</f>
        <v/>
      </c>
      <c r="W37" s="67" t="str">
        <f aca="false">IF($Q37="","","应付账款")</f>
        <v/>
      </c>
      <c r="X37" s="70" t="str">
        <f aca="false">IF($W37="","",0)</f>
        <v/>
      </c>
      <c r="Y37" s="70" t="str">
        <f aca="false">IF($W37="","",ROUND(N($H37),2))</f>
        <v/>
      </c>
      <c r="Z37" s="42"/>
      <c r="AA37" s="44"/>
      <c r="AB37" s="41" t="str">
        <f aca="false">IF($C37="","",ROUND(N($H37)-N($AA37),2))</f>
        <v/>
      </c>
      <c r="AC37" s="9" t="str">
        <f aca="false">IF($B37="","",TEXT($B37,"yyyy年m月"))</f>
        <v/>
      </c>
    </row>
    <row r="38" customFormat="false" ht="18" hidden="false" customHeight="true" outlineLevel="0" collapsed="false">
      <c r="A38" s="107" t="str">
        <f aca="false">IF($C38="","",ROW()-3)</f>
        <v/>
      </c>
      <c r="B38" s="108"/>
      <c r="C38" s="84"/>
      <c r="D38" s="84"/>
      <c r="E38" s="18"/>
      <c r="F38" s="109"/>
      <c r="G38" s="109"/>
      <c r="H38" s="70" t="str">
        <f aca="false">IF($C38="","",ROUND(N($F38)*N($G38),2))</f>
        <v/>
      </c>
      <c r="I38" s="84" t="s">
        <v>266</v>
      </c>
      <c r="J38" s="70" t="str">
        <f aca="false">IF($C38="","",ROUND(N($H38),2))</f>
        <v/>
      </c>
      <c r="K38" s="70" t="n">
        <v>0</v>
      </c>
      <c r="L38" s="84"/>
      <c r="M38" s="84"/>
      <c r="N38" s="18"/>
      <c r="O38" s="84"/>
      <c r="P38" s="18"/>
      <c r="Q38" s="67" t="str">
        <f aca="false">IF(OR($C38="",ROUND(N($H38),2)=0),"",$L38)</f>
        <v/>
      </c>
      <c r="R38" s="70" t="str">
        <f aca="false">IF($Q38="","",ROUND(N($H38),2))</f>
        <v/>
      </c>
      <c r="S38" s="70" t="str">
        <f aca="false">IF($Q38="","",0)</f>
        <v/>
      </c>
      <c r="T38" s="67" t="str">
        <f aca="false">""</f>
        <v/>
      </c>
      <c r="U38" s="70" t="str">
        <f aca="false">IF($T38="","",0)</f>
        <v/>
      </c>
      <c r="V38" s="70" t="str">
        <f aca="false">IF($T38="","",0)</f>
        <v/>
      </c>
      <c r="W38" s="67" t="str">
        <f aca="false">IF($Q38="","","应付账款")</f>
        <v/>
      </c>
      <c r="X38" s="70" t="str">
        <f aca="false">IF($W38="","",0)</f>
        <v/>
      </c>
      <c r="Y38" s="70" t="str">
        <f aca="false">IF($W38="","",ROUND(N($H38),2))</f>
        <v/>
      </c>
      <c r="Z38" s="42"/>
      <c r="AA38" s="44"/>
      <c r="AB38" s="41" t="str">
        <f aca="false">IF($C38="","",ROUND(N($H38)-N($AA38),2))</f>
        <v/>
      </c>
      <c r="AC38" s="9" t="str">
        <f aca="false">IF($B38="","",TEXT($B38,"yyyy年m月"))</f>
        <v/>
      </c>
    </row>
    <row r="39" customFormat="false" ht="18" hidden="false" customHeight="true" outlineLevel="0" collapsed="false">
      <c r="A39" s="107" t="str">
        <f aca="false">IF($C39="","",ROW()-3)</f>
        <v/>
      </c>
      <c r="B39" s="108"/>
      <c r="C39" s="84"/>
      <c r="D39" s="84"/>
      <c r="E39" s="18"/>
      <c r="F39" s="109"/>
      <c r="G39" s="109"/>
      <c r="H39" s="70" t="str">
        <f aca="false">IF($C39="","",ROUND(N($F39)*N($G39),2))</f>
        <v/>
      </c>
      <c r="I39" s="84" t="s">
        <v>266</v>
      </c>
      <c r="J39" s="70" t="str">
        <f aca="false">IF($C39="","",ROUND(N($H39),2))</f>
        <v/>
      </c>
      <c r="K39" s="70" t="n">
        <v>0</v>
      </c>
      <c r="L39" s="84"/>
      <c r="M39" s="84"/>
      <c r="N39" s="18"/>
      <c r="O39" s="84"/>
      <c r="P39" s="18"/>
      <c r="Q39" s="67" t="str">
        <f aca="false">IF(OR($C39="",ROUND(N($H39),2)=0),"",$L39)</f>
        <v/>
      </c>
      <c r="R39" s="70" t="str">
        <f aca="false">IF($Q39="","",ROUND(N($H39),2))</f>
        <v/>
      </c>
      <c r="S39" s="70" t="str">
        <f aca="false">IF($Q39="","",0)</f>
        <v/>
      </c>
      <c r="T39" s="67" t="str">
        <f aca="false">""</f>
        <v/>
      </c>
      <c r="U39" s="70" t="str">
        <f aca="false">IF($T39="","",0)</f>
        <v/>
      </c>
      <c r="V39" s="70" t="str">
        <f aca="false">IF($T39="","",0)</f>
        <v/>
      </c>
      <c r="W39" s="67" t="str">
        <f aca="false">IF($Q39="","","应付账款")</f>
        <v/>
      </c>
      <c r="X39" s="70" t="str">
        <f aca="false">IF($W39="","",0)</f>
        <v/>
      </c>
      <c r="Y39" s="70" t="str">
        <f aca="false">IF($W39="","",ROUND(N($H39),2))</f>
        <v/>
      </c>
      <c r="Z39" s="42"/>
      <c r="AA39" s="44"/>
      <c r="AB39" s="41" t="str">
        <f aca="false">IF($C39="","",ROUND(N($H39)-N($AA39),2))</f>
        <v/>
      </c>
      <c r="AC39" s="9" t="str">
        <f aca="false">IF($B39="","",TEXT($B39,"yyyy年m月"))</f>
        <v/>
      </c>
    </row>
    <row r="40" customFormat="false" ht="18" hidden="false" customHeight="true" outlineLevel="0" collapsed="false">
      <c r="A40" s="107" t="str">
        <f aca="false">IF($C40="","",ROW()-3)</f>
        <v/>
      </c>
      <c r="B40" s="108"/>
      <c r="C40" s="84"/>
      <c r="D40" s="84"/>
      <c r="E40" s="18"/>
      <c r="F40" s="109"/>
      <c r="G40" s="109"/>
      <c r="H40" s="70" t="str">
        <f aca="false">IF($C40="","",ROUND(N($F40)*N($G40),2))</f>
        <v/>
      </c>
      <c r="I40" s="84" t="s">
        <v>266</v>
      </c>
      <c r="J40" s="70" t="str">
        <f aca="false">IF($C40="","",ROUND(N($H40),2))</f>
        <v/>
      </c>
      <c r="K40" s="70" t="n">
        <v>0</v>
      </c>
      <c r="L40" s="84"/>
      <c r="M40" s="84"/>
      <c r="N40" s="18"/>
      <c r="O40" s="84"/>
      <c r="P40" s="18"/>
      <c r="Q40" s="67" t="str">
        <f aca="false">IF(OR($C40="",ROUND(N($H40),2)=0),"",$L40)</f>
        <v/>
      </c>
      <c r="R40" s="70" t="str">
        <f aca="false">IF($Q40="","",ROUND(N($H40),2))</f>
        <v/>
      </c>
      <c r="S40" s="70" t="str">
        <f aca="false">IF($Q40="","",0)</f>
        <v/>
      </c>
      <c r="T40" s="67" t="str">
        <f aca="false">""</f>
        <v/>
      </c>
      <c r="U40" s="70" t="str">
        <f aca="false">IF($T40="","",0)</f>
        <v/>
      </c>
      <c r="V40" s="70" t="str">
        <f aca="false">IF($T40="","",0)</f>
        <v/>
      </c>
      <c r="W40" s="67" t="str">
        <f aca="false">IF($Q40="","","应付账款")</f>
        <v/>
      </c>
      <c r="X40" s="70" t="str">
        <f aca="false">IF($W40="","",0)</f>
        <v/>
      </c>
      <c r="Y40" s="70" t="str">
        <f aca="false">IF($W40="","",ROUND(N($H40),2))</f>
        <v/>
      </c>
      <c r="Z40" s="42"/>
      <c r="AA40" s="44"/>
      <c r="AB40" s="41" t="str">
        <f aca="false">IF($C40="","",ROUND(N($H40)-N($AA40),2))</f>
        <v/>
      </c>
      <c r="AC40" s="9" t="str">
        <f aca="false">IF($B40="","",TEXT($B40,"yyyy年m月"))</f>
        <v/>
      </c>
    </row>
    <row r="41" customFormat="false" ht="18" hidden="false" customHeight="true" outlineLevel="0" collapsed="false">
      <c r="A41" s="107" t="str">
        <f aca="false">IF($C41="","",ROW()-3)</f>
        <v/>
      </c>
      <c r="B41" s="108"/>
      <c r="C41" s="84"/>
      <c r="D41" s="84"/>
      <c r="E41" s="18"/>
      <c r="F41" s="109"/>
      <c r="G41" s="109"/>
      <c r="H41" s="70" t="str">
        <f aca="false">IF($C41="","",ROUND(N($F41)*N($G41),2))</f>
        <v/>
      </c>
      <c r="I41" s="84" t="s">
        <v>266</v>
      </c>
      <c r="J41" s="70" t="str">
        <f aca="false">IF($C41="","",ROUND(N($H41),2))</f>
        <v/>
      </c>
      <c r="K41" s="70" t="n">
        <v>0</v>
      </c>
      <c r="L41" s="84"/>
      <c r="M41" s="84"/>
      <c r="N41" s="18"/>
      <c r="O41" s="84"/>
      <c r="P41" s="18"/>
      <c r="Q41" s="67" t="str">
        <f aca="false">IF(OR($C41="",ROUND(N($H41),2)=0),"",$L41)</f>
        <v/>
      </c>
      <c r="R41" s="70" t="str">
        <f aca="false">IF($Q41="","",ROUND(N($H41),2))</f>
        <v/>
      </c>
      <c r="S41" s="70" t="str">
        <f aca="false">IF($Q41="","",0)</f>
        <v/>
      </c>
      <c r="T41" s="67" t="str">
        <f aca="false">""</f>
        <v/>
      </c>
      <c r="U41" s="70" t="str">
        <f aca="false">IF($T41="","",0)</f>
        <v/>
      </c>
      <c r="V41" s="70" t="str">
        <f aca="false">IF($T41="","",0)</f>
        <v/>
      </c>
      <c r="W41" s="67" t="str">
        <f aca="false">IF($Q41="","","应付账款")</f>
        <v/>
      </c>
      <c r="X41" s="70" t="str">
        <f aca="false">IF($W41="","",0)</f>
        <v/>
      </c>
      <c r="Y41" s="70" t="str">
        <f aca="false">IF($W41="","",ROUND(N($H41),2))</f>
        <v/>
      </c>
      <c r="Z41" s="42"/>
      <c r="AA41" s="44"/>
      <c r="AB41" s="41" t="str">
        <f aca="false">IF($C41="","",ROUND(N($H41)-N($AA41),2))</f>
        <v/>
      </c>
      <c r="AC41" s="9" t="str">
        <f aca="false">IF($B41="","",TEXT($B41,"yyyy年m月"))</f>
        <v/>
      </c>
    </row>
    <row r="42" customFormat="false" ht="18" hidden="false" customHeight="true" outlineLevel="0" collapsed="false">
      <c r="A42" s="107" t="str">
        <f aca="false">IF($C42="","",ROW()-3)</f>
        <v/>
      </c>
      <c r="B42" s="108"/>
      <c r="C42" s="84"/>
      <c r="D42" s="84"/>
      <c r="E42" s="18"/>
      <c r="F42" s="109"/>
      <c r="G42" s="109"/>
      <c r="H42" s="70" t="str">
        <f aca="false">IF($C42="","",ROUND(N($F42)*N($G42),2))</f>
        <v/>
      </c>
      <c r="I42" s="84" t="s">
        <v>266</v>
      </c>
      <c r="J42" s="70" t="str">
        <f aca="false">IF($C42="","",ROUND(N($H42),2))</f>
        <v/>
      </c>
      <c r="K42" s="70" t="n">
        <v>0</v>
      </c>
      <c r="L42" s="84"/>
      <c r="M42" s="84"/>
      <c r="N42" s="18"/>
      <c r="O42" s="84"/>
      <c r="P42" s="18"/>
      <c r="Q42" s="67" t="str">
        <f aca="false">IF(OR($C42="",ROUND(N($H42),2)=0),"",$L42)</f>
        <v/>
      </c>
      <c r="R42" s="70" t="str">
        <f aca="false">IF($Q42="","",ROUND(N($H42),2))</f>
        <v/>
      </c>
      <c r="S42" s="70" t="str">
        <f aca="false">IF($Q42="","",0)</f>
        <v/>
      </c>
      <c r="T42" s="67" t="str">
        <f aca="false">""</f>
        <v/>
      </c>
      <c r="U42" s="70" t="str">
        <f aca="false">IF($T42="","",0)</f>
        <v/>
      </c>
      <c r="V42" s="70" t="str">
        <f aca="false">IF($T42="","",0)</f>
        <v/>
      </c>
      <c r="W42" s="67" t="str">
        <f aca="false">IF($Q42="","","应付账款")</f>
        <v/>
      </c>
      <c r="X42" s="70" t="str">
        <f aca="false">IF($W42="","",0)</f>
        <v/>
      </c>
      <c r="Y42" s="70" t="str">
        <f aca="false">IF($W42="","",ROUND(N($H42),2))</f>
        <v/>
      </c>
      <c r="Z42" s="42"/>
      <c r="AA42" s="44"/>
      <c r="AB42" s="41" t="str">
        <f aca="false">IF($C42="","",ROUND(N($H42)-N($AA42),2))</f>
        <v/>
      </c>
      <c r="AC42" s="9" t="str">
        <f aca="false">IF($B42="","",TEXT($B42,"yyyy年m月"))</f>
        <v/>
      </c>
    </row>
    <row r="43" customFormat="false" ht="18" hidden="false" customHeight="true" outlineLevel="0" collapsed="false">
      <c r="A43" s="107" t="str">
        <f aca="false">IF($C43="","",ROW()-3)</f>
        <v/>
      </c>
      <c r="B43" s="108"/>
      <c r="C43" s="84"/>
      <c r="D43" s="84"/>
      <c r="E43" s="18"/>
      <c r="F43" s="109"/>
      <c r="G43" s="109"/>
      <c r="H43" s="70" t="str">
        <f aca="false">IF($C43="","",ROUND(N($F43)*N($G43),2))</f>
        <v/>
      </c>
      <c r="I43" s="84" t="s">
        <v>266</v>
      </c>
      <c r="J43" s="70" t="str">
        <f aca="false">IF($C43="","",ROUND(N($H43),2))</f>
        <v/>
      </c>
      <c r="K43" s="70" t="n">
        <v>0</v>
      </c>
      <c r="L43" s="84"/>
      <c r="M43" s="84"/>
      <c r="N43" s="18"/>
      <c r="O43" s="84"/>
      <c r="P43" s="18"/>
      <c r="Q43" s="67" t="str">
        <f aca="false">IF(OR($C43="",ROUND(N($H43),2)=0),"",$L43)</f>
        <v/>
      </c>
      <c r="R43" s="70" t="str">
        <f aca="false">IF($Q43="","",ROUND(N($H43),2))</f>
        <v/>
      </c>
      <c r="S43" s="70" t="str">
        <f aca="false">IF($Q43="","",0)</f>
        <v/>
      </c>
      <c r="T43" s="67" t="str">
        <f aca="false">""</f>
        <v/>
      </c>
      <c r="U43" s="70" t="str">
        <f aca="false">IF($T43="","",0)</f>
        <v/>
      </c>
      <c r="V43" s="70" t="str">
        <f aca="false">IF($T43="","",0)</f>
        <v/>
      </c>
      <c r="W43" s="67" t="str">
        <f aca="false">IF($Q43="","","应付账款")</f>
        <v/>
      </c>
      <c r="X43" s="70" t="str">
        <f aca="false">IF($W43="","",0)</f>
        <v/>
      </c>
      <c r="Y43" s="70" t="str">
        <f aca="false">IF($W43="","",ROUND(N($H43),2))</f>
        <v/>
      </c>
      <c r="Z43" s="42"/>
      <c r="AA43" s="44"/>
      <c r="AB43" s="41" t="str">
        <f aca="false">IF($C43="","",ROUND(N($H43)-N($AA43),2))</f>
        <v/>
      </c>
      <c r="AC43" s="9" t="str">
        <f aca="false">IF($B43="","",TEXT($B43,"yyyy年m月"))</f>
        <v/>
      </c>
    </row>
    <row r="44" customFormat="false" ht="18" hidden="false" customHeight="true" outlineLevel="0" collapsed="false">
      <c r="A44" s="107" t="str">
        <f aca="false">IF($C44="","",ROW()-3)</f>
        <v/>
      </c>
      <c r="B44" s="108"/>
      <c r="C44" s="84"/>
      <c r="D44" s="84"/>
      <c r="E44" s="18"/>
      <c r="F44" s="109"/>
      <c r="G44" s="109"/>
      <c r="H44" s="70" t="str">
        <f aca="false">IF($C44="","",ROUND(N($F44)*N($G44),2))</f>
        <v/>
      </c>
      <c r="I44" s="84" t="s">
        <v>266</v>
      </c>
      <c r="J44" s="70" t="str">
        <f aca="false">IF($C44="","",ROUND(N($H44),2))</f>
        <v/>
      </c>
      <c r="K44" s="70" t="n">
        <v>0</v>
      </c>
      <c r="L44" s="84"/>
      <c r="M44" s="84"/>
      <c r="N44" s="18"/>
      <c r="O44" s="84"/>
      <c r="P44" s="18"/>
      <c r="Q44" s="67" t="str">
        <f aca="false">IF(OR($C44="",ROUND(N($H44),2)=0),"",$L44)</f>
        <v/>
      </c>
      <c r="R44" s="70" t="str">
        <f aca="false">IF($Q44="","",ROUND(N($H44),2))</f>
        <v/>
      </c>
      <c r="S44" s="70" t="str">
        <f aca="false">IF($Q44="","",0)</f>
        <v/>
      </c>
      <c r="T44" s="67" t="str">
        <f aca="false">""</f>
        <v/>
      </c>
      <c r="U44" s="70" t="str">
        <f aca="false">IF($T44="","",0)</f>
        <v/>
      </c>
      <c r="V44" s="70" t="str">
        <f aca="false">IF($T44="","",0)</f>
        <v/>
      </c>
      <c r="W44" s="67" t="str">
        <f aca="false">IF($Q44="","","应付账款")</f>
        <v/>
      </c>
      <c r="X44" s="70" t="str">
        <f aca="false">IF($W44="","",0)</f>
        <v/>
      </c>
      <c r="Y44" s="70" t="str">
        <f aca="false">IF($W44="","",ROUND(N($H44),2))</f>
        <v/>
      </c>
      <c r="Z44" s="42"/>
      <c r="AA44" s="44"/>
      <c r="AB44" s="41" t="str">
        <f aca="false">IF($C44="","",ROUND(N($H44)-N($AA44),2))</f>
        <v/>
      </c>
      <c r="AC44" s="9" t="str">
        <f aca="false">IF($B44="","",TEXT($B44,"yyyy年m月"))</f>
        <v/>
      </c>
    </row>
    <row r="45" customFormat="false" ht="18" hidden="false" customHeight="true" outlineLevel="0" collapsed="false">
      <c r="A45" s="107" t="str">
        <f aca="false">IF($C45="","",ROW()-3)</f>
        <v/>
      </c>
      <c r="B45" s="108"/>
      <c r="C45" s="84"/>
      <c r="D45" s="84"/>
      <c r="E45" s="18"/>
      <c r="F45" s="109"/>
      <c r="G45" s="109"/>
      <c r="H45" s="70" t="str">
        <f aca="false">IF($C45="","",ROUND(N($F45)*N($G45),2))</f>
        <v/>
      </c>
      <c r="I45" s="84" t="s">
        <v>266</v>
      </c>
      <c r="J45" s="70" t="str">
        <f aca="false">IF($C45="","",ROUND(N($H45),2))</f>
        <v/>
      </c>
      <c r="K45" s="70" t="n">
        <v>0</v>
      </c>
      <c r="L45" s="84"/>
      <c r="M45" s="84"/>
      <c r="N45" s="18"/>
      <c r="O45" s="84"/>
      <c r="P45" s="18"/>
      <c r="Q45" s="67" t="str">
        <f aca="false">IF(OR($C45="",ROUND(N($H45),2)=0),"",$L45)</f>
        <v/>
      </c>
      <c r="R45" s="70" t="str">
        <f aca="false">IF($Q45="","",ROUND(N($H45),2))</f>
        <v/>
      </c>
      <c r="S45" s="70" t="str">
        <f aca="false">IF($Q45="","",0)</f>
        <v/>
      </c>
      <c r="T45" s="67" t="str">
        <f aca="false">""</f>
        <v/>
      </c>
      <c r="U45" s="70" t="str">
        <f aca="false">IF($T45="","",0)</f>
        <v/>
      </c>
      <c r="V45" s="70" t="str">
        <f aca="false">IF($T45="","",0)</f>
        <v/>
      </c>
      <c r="W45" s="67" t="str">
        <f aca="false">IF($Q45="","","应付账款")</f>
        <v/>
      </c>
      <c r="X45" s="70" t="str">
        <f aca="false">IF($W45="","",0)</f>
        <v/>
      </c>
      <c r="Y45" s="70" t="str">
        <f aca="false">IF($W45="","",ROUND(N($H45),2))</f>
        <v/>
      </c>
      <c r="Z45" s="42"/>
      <c r="AA45" s="44"/>
      <c r="AB45" s="41" t="str">
        <f aca="false">IF($C45="","",ROUND(N($H45)-N($AA45),2))</f>
        <v/>
      </c>
      <c r="AC45" s="9" t="str">
        <f aca="false">IF($B45="","",TEXT($B45,"yyyy年m月"))</f>
        <v/>
      </c>
    </row>
    <row r="46" customFormat="false" ht="18" hidden="false" customHeight="true" outlineLevel="0" collapsed="false">
      <c r="A46" s="107" t="str">
        <f aca="false">IF($C46="","",ROW()-3)</f>
        <v/>
      </c>
      <c r="B46" s="108"/>
      <c r="C46" s="84"/>
      <c r="D46" s="84"/>
      <c r="E46" s="18"/>
      <c r="F46" s="109"/>
      <c r="G46" s="109"/>
      <c r="H46" s="70" t="str">
        <f aca="false">IF($C46="","",ROUND(N($F46)*N($G46),2))</f>
        <v/>
      </c>
      <c r="I46" s="84" t="s">
        <v>266</v>
      </c>
      <c r="J46" s="70" t="str">
        <f aca="false">IF($C46="","",ROUND(N($H46),2))</f>
        <v/>
      </c>
      <c r="K46" s="70" t="n">
        <v>0</v>
      </c>
      <c r="L46" s="84"/>
      <c r="M46" s="84"/>
      <c r="N46" s="18"/>
      <c r="O46" s="84"/>
      <c r="P46" s="18"/>
      <c r="Q46" s="67" t="str">
        <f aca="false">IF(OR($C46="",ROUND(N($H46),2)=0),"",$L46)</f>
        <v/>
      </c>
      <c r="R46" s="70" t="str">
        <f aca="false">IF($Q46="","",ROUND(N($H46),2))</f>
        <v/>
      </c>
      <c r="S46" s="70" t="str">
        <f aca="false">IF($Q46="","",0)</f>
        <v/>
      </c>
      <c r="T46" s="67" t="str">
        <f aca="false">""</f>
        <v/>
      </c>
      <c r="U46" s="70" t="str">
        <f aca="false">IF($T46="","",0)</f>
        <v/>
      </c>
      <c r="V46" s="70" t="str">
        <f aca="false">IF($T46="","",0)</f>
        <v/>
      </c>
      <c r="W46" s="67" t="str">
        <f aca="false">IF($Q46="","","应付账款")</f>
        <v/>
      </c>
      <c r="X46" s="70" t="str">
        <f aca="false">IF($W46="","",0)</f>
        <v/>
      </c>
      <c r="Y46" s="70" t="str">
        <f aca="false">IF($W46="","",ROUND(N($H46),2))</f>
        <v/>
      </c>
      <c r="Z46" s="42"/>
      <c r="AA46" s="44"/>
      <c r="AB46" s="41" t="str">
        <f aca="false">IF($C46="","",ROUND(N($H46)-N($AA46),2))</f>
        <v/>
      </c>
      <c r="AC46" s="9" t="str">
        <f aca="false">IF($B46="","",TEXT($B46,"yyyy年m月"))</f>
        <v/>
      </c>
    </row>
    <row r="47" customFormat="false" ht="18" hidden="false" customHeight="true" outlineLevel="0" collapsed="false">
      <c r="A47" s="107" t="str">
        <f aca="false">IF($C47="","",ROW()-3)</f>
        <v/>
      </c>
      <c r="B47" s="108"/>
      <c r="C47" s="84"/>
      <c r="D47" s="84"/>
      <c r="E47" s="18"/>
      <c r="F47" s="109"/>
      <c r="G47" s="109"/>
      <c r="H47" s="70" t="str">
        <f aca="false">IF($C47="","",ROUND(N($F47)*N($G47),2))</f>
        <v/>
      </c>
      <c r="I47" s="84" t="s">
        <v>266</v>
      </c>
      <c r="J47" s="70" t="str">
        <f aca="false">IF($C47="","",ROUND(N($H47),2))</f>
        <v/>
      </c>
      <c r="K47" s="70" t="n">
        <v>0</v>
      </c>
      <c r="L47" s="84"/>
      <c r="M47" s="84"/>
      <c r="N47" s="18"/>
      <c r="O47" s="84"/>
      <c r="P47" s="18"/>
      <c r="Q47" s="67" t="str">
        <f aca="false">IF(OR($C47="",ROUND(N($H47),2)=0),"",$L47)</f>
        <v/>
      </c>
      <c r="R47" s="70" t="str">
        <f aca="false">IF($Q47="","",ROUND(N($H47),2))</f>
        <v/>
      </c>
      <c r="S47" s="70" t="str">
        <f aca="false">IF($Q47="","",0)</f>
        <v/>
      </c>
      <c r="T47" s="67" t="str">
        <f aca="false">""</f>
        <v/>
      </c>
      <c r="U47" s="70" t="str">
        <f aca="false">IF($T47="","",0)</f>
        <v/>
      </c>
      <c r="V47" s="70" t="str">
        <f aca="false">IF($T47="","",0)</f>
        <v/>
      </c>
      <c r="W47" s="67" t="str">
        <f aca="false">IF($Q47="","","应付账款")</f>
        <v/>
      </c>
      <c r="X47" s="70" t="str">
        <f aca="false">IF($W47="","",0)</f>
        <v/>
      </c>
      <c r="Y47" s="70" t="str">
        <f aca="false">IF($W47="","",ROUND(N($H47),2))</f>
        <v/>
      </c>
      <c r="Z47" s="42"/>
      <c r="AA47" s="44"/>
      <c r="AB47" s="41" t="str">
        <f aca="false">IF($C47="","",ROUND(N($H47)-N($AA47),2))</f>
        <v/>
      </c>
      <c r="AC47" s="9" t="str">
        <f aca="false">IF($B47="","",TEXT($B47,"yyyy年m月"))</f>
        <v/>
      </c>
    </row>
    <row r="48" customFormat="false" ht="18" hidden="false" customHeight="true" outlineLevel="0" collapsed="false">
      <c r="A48" s="107" t="str">
        <f aca="false">IF($C48="","",ROW()-3)</f>
        <v/>
      </c>
      <c r="B48" s="108"/>
      <c r="C48" s="84"/>
      <c r="D48" s="84"/>
      <c r="E48" s="18"/>
      <c r="F48" s="109"/>
      <c r="G48" s="109"/>
      <c r="H48" s="70" t="str">
        <f aca="false">IF($C48="","",ROUND(N($F48)*N($G48),2))</f>
        <v/>
      </c>
      <c r="I48" s="84" t="s">
        <v>266</v>
      </c>
      <c r="J48" s="70" t="str">
        <f aca="false">IF($C48="","",ROUND(N($H48),2))</f>
        <v/>
      </c>
      <c r="K48" s="70" t="n">
        <v>0</v>
      </c>
      <c r="L48" s="84"/>
      <c r="M48" s="84"/>
      <c r="N48" s="18"/>
      <c r="O48" s="84"/>
      <c r="P48" s="18"/>
      <c r="Q48" s="67" t="str">
        <f aca="false">IF(OR($C48="",ROUND(N($H48),2)=0),"",$L48)</f>
        <v/>
      </c>
      <c r="R48" s="70" t="str">
        <f aca="false">IF($Q48="","",ROUND(N($H48),2))</f>
        <v/>
      </c>
      <c r="S48" s="70" t="str">
        <f aca="false">IF($Q48="","",0)</f>
        <v/>
      </c>
      <c r="T48" s="67" t="str">
        <f aca="false">""</f>
        <v/>
      </c>
      <c r="U48" s="70" t="str">
        <f aca="false">IF($T48="","",0)</f>
        <v/>
      </c>
      <c r="V48" s="70" t="str">
        <f aca="false">IF($T48="","",0)</f>
        <v/>
      </c>
      <c r="W48" s="67" t="str">
        <f aca="false">IF($Q48="","","应付账款")</f>
        <v/>
      </c>
      <c r="X48" s="70" t="str">
        <f aca="false">IF($W48="","",0)</f>
        <v/>
      </c>
      <c r="Y48" s="70" t="str">
        <f aca="false">IF($W48="","",ROUND(N($H48),2))</f>
        <v/>
      </c>
      <c r="Z48" s="42"/>
      <c r="AA48" s="44"/>
      <c r="AB48" s="41" t="str">
        <f aca="false">IF($C48="","",ROUND(N($H48)-N($AA48),2))</f>
        <v/>
      </c>
      <c r="AC48" s="9" t="str">
        <f aca="false">IF($B48="","",TEXT($B48,"yyyy年m月"))</f>
        <v/>
      </c>
    </row>
    <row r="49" customFormat="false" ht="18" hidden="false" customHeight="true" outlineLevel="0" collapsed="false">
      <c r="A49" s="107" t="str">
        <f aca="false">IF($C49="","",ROW()-3)</f>
        <v/>
      </c>
      <c r="B49" s="108"/>
      <c r="C49" s="84"/>
      <c r="D49" s="84"/>
      <c r="E49" s="18"/>
      <c r="F49" s="109"/>
      <c r="G49" s="109"/>
      <c r="H49" s="70" t="str">
        <f aca="false">IF($C49="","",ROUND(N($F49)*N($G49),2))</f>
        <v/>
      </c>
      <c r="I49" s="84" t="s">
        <v>266</v>
      </c>
      <c r="J49" s="70" t="str">
        <f aca="false">IF($C49="","",ROUND(N($H49),2))</f>
        <v/>
      </c>
      <c r="K49" s="70" t="n">
        <v>0</v>
      </c>
      <c r="L49" s="84"/>
      <c r="M49" s="84"/>
      <c r="N49" s="18"/>
      <c r="O49" s="84"/>
      <c r="P49" s="18"/>
      <c r="Q49" s="67" t="str">
        <f aca="false">IF(OR($C49="",ROUND(N($H49),2)=0),"",$L49)</f>
        <v/>
      </c>
      <c r="R49" s="70" t="str">
        <f aca="false">IF($Q49="","",ROUND(N($H49),2))</f>
        <v/>
      </c>
      <c r="S49" s="70" t="str">
        <f aca="false">IF($Q49="","",0)</f>
        <v/>
      </c>
      <c r="T49" s="67" t="str">
        <f aca="false">""</f>
        <v/>
      </c>
      <c r="U49" s="70" t="str">
        <f aca="false">IF($T49="","",0)</f>
        <v/>
      </c>
      <c r="V49" s="70" t="str">
        <f aca="false">IF($T49="","",0)</f>
        <v/>
      </c>
      <c r="W49" s="67" t="str">
        <f aca="false">IF($Q49="","","应付账款")</f>
        <v/>
      </c>
      <c r="X49" s="70" t="str">
        <f aca="false">IF($W49="","",0)</f>
        <v/>
      </c>
      <c r="Y49" s="70" t="str">
        <f aca="false">IF($W49="","",ROUND(N($H49),2))</f>
        <v/>
      </c>
      <c r="Z49" s="42"/>
      <c r="AA49" s="44"/>
      <c r="AB49" s="41" t="str">
        <f aca="false">IF($C49="","",ROUND(N($H49)-N($AA49),2))</f>
        <v/>
      </c>
      <c r="AC49" s="9" t="str">
        <f aca="false">IF($B49="","",TEXT($B49,"yyyy年m月"))</f>
        <v/>
      </c>
    </row>
    <row r="50" customFormat="false" ht="18" hidden="false" customHeight="true" outlineLevel="0" collapsed="false">
      <c r="A50" s="107" t="str">
        <f aca="false">IF($C50="","",ROW()-3)</f>
        <v/>
      </c>
      <c r="B50" s="108"/>
      <c r="C50" s="84"/>
      <c r="D50" s="84"/>
      <c r="E50" s="18"/>
      <c r="F50" s="109"/>
      <c r="G50" s="109"/>
      <c r="H50" s="70" t="str">
        <f aca="false">IF($C50="","",ROUND(N($F50)*N($G50),2))</f>
        <v/>
      </c>
      <c r="I50" s="84" t="s">
        <v>266</v>
      </c>
      <c r="J50" s="70" t="str">
        <f aca="false">IF($C50="","",ROUND(N($H50),2))</f>
        <v/>
      </c>
      <c r="K50" s="70" t="n">
        <v>0</v>
      </c>
      <c r="L50" s="84"/>
      <c r="M50" s="84"/>
      <c r="N50" s="18"/>
      <c r="O50" s="84"/>
      <c r="P50" s="18"/>
      <c r="Q50" s="67" t="str">
        <f aca="false">IF(OR($C50="",ROUND(N($H50),2)=0),"",$L50)</f>
        <v/>
      </c>
      <c r="R50" s="70" t="str">
        <f aca="false">IF($Q50="","",ROUND(N($H50),2))</f>
        <v/>
      </c>
      <c r="S50" s="70" t="str">
        <f aca="false">IF($Q50="","",0)</f>
        <v/>
      </c>
      <c r="T50" s="67" t="str">
        <f aca="false">""</f>
        <v/>
      </c>
      <c r="U50" s="70" t="str">
        <f aca="false">IF($T50="","",0)</f>
        <v/>
      </c>
      <c r="V50" s="70" t="str">
        <f aca="false">IF($T50="","",0)</f>
        <v/>
      </c>
      <c r="W50" s="67" t="str">
        <f aca="false">IF($Q50="","","应付账款")</f>
        <v/>
      </c>
      <c r="X50" s="70" t="str">
        <f aca="false">IF($W50="","",0)</f>
        <v/>
      </c>
      <c r="Y50" s="70" t="str">
        <f aca="false">IF($W50="","",ROUND(N($H50),2))</f>
        <v/>
      </c>
      <c r="Z50" s="42"/>
      <c r="AA50" s="44"/>
      <c r="AB50" s="41" t="str">
        <f aca="false">IF($C50="","",ROUND(N($H50)-N($AA50),2))</f>
        <v/>
      </c>
      <c r="AC50" s="9" t="str">
        <f aca="false">IF($B50="","",TEXT($B50,"yyyy年m月"))</f>
        <v/>
      </c>
    </row>
    <row r="51" customFormat="false" ht="18" hidden="false" customHeight="true" outlineLevel="0" collapsed="false">
      <c r="A51" s="107" t="str">
        <f aca="false">IF($C51="","",ROW()-3)</f>
        <v/>
      </c>
      <c r="B51" s="108"/>
      <c r="C51" s="84"/>
      <c r="D51" s="84"/>
      <c r="E51" s="18"/>
      <c r="F51" s="109"/>
      <c r="G51" s="109"/>
      <c r="H51" s="70" t="str">
        <f aca="false">IF($C51="","",ROUND(N($F51)*N($G51),2))</f>
        <v/>
      </c>
      <c r="I51" s="84" t="s">
        <v>266</v>
      </c>
      <c r="J51" s="70" t="str">
        <f aca="false">IF($C51="","",ROUND(N($H51),2))</f>
        <v/>
      </c>
      <c r="K51" s="70" t="n">
        <v>0</v>
      </c>
      <c r="L51" s="84"/>
      <c r="M51" s="84"/>
      <c r="N51" s="18"/>
      <c r="O51" s="84"/>
      <c r="P51" s="18"/>
      <c r="Q51" s="67" t="str">
        <f aca="false">IF(OR($C51="",ROUND(N($H51),2)=0),"",$L51)</f>
        <v/>
      </c>
      <c r="R51" s="70" t="str">
        <f aca="false">IF($Q51="","",ROUND(N($H51),2))</f>
        <v/>
      </c>
      <c r="S51" s="70" t="str">
        <f aca="false">IF($Q51="","",0)</f>
        <v/>
      </c>
      <c r="T51" s="67" t="str">
        <f aca="false">""</f>
        <v/>
      </c>
      <c r="U51" s="70" t="str">
        <f aca="false">IF($T51="","",0)</f>
        <v/>
      </c>
      <c r="V51" s="70" t="str">
        <f aca="false">IF($T51="","",0)</f>
        <v/>
      </c>
      <c r="W51" s="67" t="str">
        <f aca="false">IF($Q51="","","应付账款")</f>
        <v/>
      </c>
      <c r="X51" s="70" t="str">
        <f aca="false">IF($W51="","",0)</f>
        <v/>
      </c>
      <c r="Y51" s="70" t="str">
        <f aca="false">IF($W51="","",ROUND(N($H51),2))</f>
        <v/>
      </c>
      <c r="Z51" s="42"/>
      <c r="AA51" s="44"/>
      <c r="AB51" s="41" t="str">
        <f aca="false">IF($C51="","",ROUND(N($H51)-N($AA51),2))</f>
        <v/>
      </c>
      <c r="AC51" s="9" t="str">
        <f aca="false">IF($B51="","",TEXT($B51,"yyyy年m月"))</f>
        <v/>
      </c>
    </row>
    <row r="52" customFormat="false" ht="18" hidden="false" customHeight="true" outlineLevel="0" collapsed="false">
      <c r="A52" s="107" t="str">
        <f aca="false">IF($C52="","",ROW()-3)</f>
        <v/>
      </c>
      <c r="B52" s="108"/>
      <c r="C52" s="84"/>
      <c r="D52" s="84"/>
      <c r="E52" s="18"/>
      <c r="F52" s="109"/>
      <c r="G52" s="109"/>
      <c r="H52" s="70" t="str">
        <f aca="false">IF($C52="","",ROUND(N($F52)*N($G52),2))</f>
        <v/>
      </c>
      <c r="I52" s="84" t="s">
        <v>266</v>
      </c>
      <c r="J52" s="70" t="str">
        <f aca="false">IF($C52="","",ROUND(N($H52),2))</f>
        <v/>
      </c>
      <c r="K52" s="70" t="n">
        <v>0</v>
      </c>
      <c r="L52" s="84"/>
      <c r="M52" s="84"/>
      <c r="N52" s="18"/>
      <c r="O52" s="84"/>
      <c r="P52" s="18"/>
      <c r="Q52" s="67" t="str">
        <f aca="false">IF(OR($C52="",ROUND(N($H52),2)=0),"",$L52)</f>
        <v/>
      </c>
      <c r="R52" s="70" t="str">
        <f aca="false">IF($Q52="","",ROUND(N($H52),2))</f>
        <v/>
      </c>
      <c r="S52" s="70" t="str">
        <f aca="false">IF($Q52="","",0)</f>
        <v/>
      </c>
      <c r="T52" s="67" t="str">
        <f aca="false">""</f>
        <v/>
      </c>
      <c r="U52" s="70" t="str">
        <f aca="false">IF($T52="","",0)</f>
        <v/>
      </c>
      <c r="V52" s="70" t="str">
        <f aca="false">IF($T52="","",0)</f>
        <v/>
      </c>
      <c r="W52" s="67" t="str">
        <f aca="false">IF($Q52="","","应付账款")</f>
        <v/>
      </c>
      <c r="X52" s="70" t="str">
        <f aca="false">IF($W52="","",0)</f>
        <v/>
      </c>
      <c r="Y52" s="70" t="str">
        <f aca="false">IF($W52="","",ROUND(N($H52),2))</f>
        <v/>
      </c>
      <c r="Z52" s="42"/>
      <c r="AA52" s="44"/>
      <c r="AB52" s="41" t="str">
        <f aca="false">IF($C52="","",ROUND(N($H52)-N($AA52),2))</f>
        <v/>
      </c>
      <c r="AC52" s="9" t="str">
        <f aca="false">IF($B52="","",TEXT($B52,"yyyy年m月"))</f>
        <v/>
      </c>
    </row>
    <row r="53" customFormat="false" ht="18" hidden="false" customHeight="true" outlineLevel="0" collapsed="false">
      <c r="A53" s="107" t="str">
        <f aca="false">IF($C53="","",ROW()-3)</f>
        <v/>
      </c>
      <c r="B53" s="108"/>
      <c r="C53" s="84"/>
      <c r="D53" s="84"/>
      <c r="E53" s="18"/>
      <c r="F53" s="109"/>
      <c r="G53" s="109"/>
      <c r="H53" s="70" t="str">
        <f aca="false">IF($C53="","",ROUND(N($F53)*N($G53),2))</f>
        <v/>
      </c>
      <c r="I53" s="84" t="s">
        <v>266</v>
      </c>
      <c r="J53" s="70" t="str">
        <f aca="false">IF($C53="","",ROUND(N($H53),2))</f>
        <v/>
      </c>
      <c r="K53" s="70" t="n">
        <v>0</v>
      </c>
      <c r="L53" s="84"/>
      <c r="M53" s="84"/>
      <c r="N53" s="18"/>
      <c r="O53" s="84"/>
      <c r="P53" s="18"/>
      <c r="Q53" s="67" t="str">
        <f aca="false">IF(OR($C53="",ROUND(N($H53),2)=0),"",$L53)</f>
        <v/>
      </c>
      <c r="R53" s="70" t="str">
        <f aca="false">IF($Q53="","",ROUND(N($H53),2))</f>
        <v/>
      </c>
      <c r="S53" s="70" t="str">
        <f aca="false">IF($Q53="","",0)</f>
        <v/>
      </c>
      <c r="T53" s="67" t="str">
        <f aca="false">""</f>
        <v/>
      </c>
      <c r="U53" s="70" t="str">
        <f aca="false">IF($T53="","",0)</f>
        <v/>
      </c>
      <c r="V53" s="70" t="str">
        <f aca="false">IF($T53="","",0)</f>
        <v/>
      </c>
      <c r="W53" s="67" t="str">
        <f aca="false">IF($Q53="","","应付账款")</f>
        <v/>
      </c>
      <c r="X53" s="70" t="str">
        <f aca="false">IF($W53="","",0)</f>
        <v/>
      </c>
      <c r="Y53" s="70" t="str">
        <f aca="false">IF($W53="","",ROUND(N($H53),2))</f>
        <v/>
      </c>
      <c r="Z53" s="42"/>
      <c r="AA53" s="44"/>
      <c r="AB53" s="41" t="str">
        <f aca="false">IF($C53="","",ROUND(N($H53)-N($AA53),2))</f>
        <v/>
      </c>
      <c r="AC53" s="9" t="str">
        <f aca="false">IF($B53="","",TEXT($B53,"yyyy年m月"))</f>
        <v/>
      </c>
    </row>
    <row r="54" customFormat="false" ht="18" hidden="false" customHeight="true" outlineLevel="0" collapsed="false">
      <c r="A54" s="107" t="str">
        <f aca="false">IF($C54="","",ROW()-3)</f>
        <v/>
      </c>
      <c r="B54" s="108"/>
      <c r="C54" s="84"/>
      <c r="D54" s="84"/>
      <c r="E54" s="18"/>
      <c r="F54" s="109"/>
      <c r="G54" s="109"/>
      <c r="H54" s="70" t="str">
        <f aca="false">IF($C54="","",ROUND(N($F54)*N($G54),2))</f>
        <v/>
      </c>
      <c r="I54" s="84" t="s">
        <v>266</v>
      </c>
      <c r="J54" s="70" t="str">
        <f aca="false">IF($C54="","",ROUND(N($H54),2))</f>
        <v/>
      </c>
      <c r="K54" s="70" t="n">
        <v>0</v>
      </c>
      <c r="L54" s="84"/>
      <c r="M54" s="84"/>
      <c r="N54" s="18"/>
      <c r="O54" s="84"/>
      <c r="P54" s="18"/>
      <c r="Q54" s="67" t="str">
        <f aca="false">IF(OR($C54="",ROUND(N($H54),2)=0),"",$L54)</f>
        <v/>
      </c>
      <c r="R54" s="70" t="str">
        <f aca="false">IF($Q54="","",ROUND(N($H54),2))</f>
        <v/>
      </c>
      <c r="S54" s="70" t="str">
        <f aca="false">IF($Q54="","",0)</f>
        <v/>
      </c>
      <c r="T54" s="67" t="str">
        <f aca="false">""</f>
        <v/>
      </c>
      <c r="U54" s="70" t="str">
        <f aca="false">IF($T54="","",0)</f>
        <v/>
      </c>
      <c r="V54" s="70" t="str">
        <f aca="false">IF($T54="","",0)</f>
        <v/>
      </c>
      <c r="W54" s="67" t="str">
        <f aca="false">IF($Q54="","","应付账款")</f>
        <v/>
      </c>
      <c r="X54" s="70" t="str">
        <f aca="false">IF($W54="","",0)</f>
        <v/>
      </c>
      <c r="Y54" s="70" t="str">
        <f aca="false">IF($W54="","",ROUND(N($H54),2))</f>
        <v/>
      </c>
      <c r="Z54" s="42"/>
      <c r="AA54" s="44"/>
      <c r="AB54" s="41" t="str">
        <f aca="false">IF($C54="","",ROUND(N($H54)-N($AA54),2))</f>
        <v/>
      </c>
      <c r="AC54" s="9" t="str">
        <f aca="false">IF($B54="","",TEXT($B54,"yyyy年m月"))</f>
        <v/>
      </c>
    </row>
    <row r="55" customFormat="false" ht="18" hidden="false" customHeight="true" outlineLevel="0" collapsed="false">
      <c r="A55" s="107" t="str">
        <f aca="false">IF($C55="","",ROW()-3)</f>
        <v/>
      </c>
      <c r="B55" s="108"/>
      <c r="C55" s="84"/>
      <c r="D55" s="84"/>
      <c r="E55" s="18"/>
      <c r="F55" s="109"/>
      <c r="G55" s="109"/>
      <c r="H55" s="70" t="str">
        <f aca="false">IF($C55="","",ROUND(N($F55)*N($G55),2))</f>
        <v/>
      </c>
      <c r="I55" s="84" t="s">
        <v>266</v>
      </c>
      <c r="J55" s="70" t="str">
        <f aca="false">IF($C55="","",ROUND(N($H55),2))</f>
        <v/>
      </c>
      <c r="K55" s="70" t="n">
        <v>0</v>
      </c>
      <c r="L55" s="84"/>
      <c r="M55" s="84"/>
      <c r="N55" s="18"/>
      <c r="O55" s="84"/>
      <c r="P55" s="18"/>
      <c r="Q55" s="67" t="str">
        <f aca="false">IF(OR($C55="",ROUND(N($H55),2)=0),"",$L55)</f>
        <v/>
      </c>
      <c r="R55" s="70" t="str">
        <f aca="false">IF($Q55="","",ROUND(N($H55),2))</f>
        <v/>
      </c>
      <c r="S55" s="70" t="str">
        <f aca="false">IF($Q55="","",0)</f>
        <v/>
      </c>
      <c r="T55" s="67" t="str">
        <f aca="false">""</f>
        <v/>
      </c>
      <c r="U55" s="70" t="str">
        <f aca="false">IF($T55="","",0)</f>
        <v/>
      </c>
      <c r="V55" s="70" t="str">
        <f aca="false">IF($T55="","",0)</f>
        <v/>
      </c>
      <c r="W55" s="67" t="str">
        <f aca="false">IF($Q55="","","应付账款")</f>
        <v/>
      </c>
      <c r="X55" s="70" t="str">
        <f aca="false">IF($W55="","",0)</f>
        <v/>
      </c>
      <c r="Y55" s="70" t="str">
        <f aca="false">IF($W55="","",ROUND(N($H55),2))</f>
        <v/>
      </c>
      <c r="Z55" s="42"/>
      <c r="AA55" s="44"/>
      <c r="AB55" s="41" t="str">
        <f aca="false">IF($C55="","",ROUND(N($H55)-N($AA55),2))</f>
        <v/>
      </c>
      <c r="AC55" s="9" t="str">
        <f aca="false">IF($B55="","",TEXT($B55,"yyyy年m月"))</f>
        <v/>
      </c>
    </row>
    <row r="56" customFormat="false" ht="18" hidden="false" customHeight="true" outlineLevel="0" collapsed="false">
      <c r="A56" s="107" t="str">
        <f aca="false">IF($C56="","",ROW()-3)</f>
        <v/>
      </c>
      <c r="B56" s="108"/>
      <c r="C56" s="84"/>
      <c r="D56" s="84"/>
      <c r="E56" s="18"/>
      <c r="F56" s="109"/>
      <c r="G56" s="109"/>
      <c r="H56" s="70" t="str">
        <f aca="false">IF($C56="","",ROUND(N($F56)*N($G56),2))</f>
        <v/>
      </c>
      <c r="I56" s="84" t="s">
        <v>266</v>
      </c>
      <c r="J56" s="70" t="str">
        <f aca="false">IF($C56="","",ROUND(N($H56),2))</f>
        <v/>
      </c>
      <c r="K56" s="70" t="n">
        <v>0</v>
      </c>
      <c r="L56" s="84"/>
      <c r="M56" s="84"/>
      <c r="N56" s="18"/>
      <c r="O56" s="84"/>
      <c r="P56" s="18"/>
      <c r="Q56" s="67" t="str">
        <f aca="false">IF(OR($C56="",ROUND(N($H56),2)=0),"",$L56)</f>
        <v/>
      </c>
      <c r="R56" s="70" t="str">
        <f aca="false">IF($Q56="","",ROUND(N($H56),2))</f>
        <v/>
      </c>
      <c r="S56" s="70" t="str">
        <f aca="false">IF($Q56="","",0)</f>
        <v/>
      </c>
      <c r="T56" s="67" t="str">
        <f aca="false">""</f>
        <v/>
      </c>
      <c r="U56" s="70" t="str">
        <f aca="false">IF($T56="","",0)</f>
        <v/>
      </c>
      <c r="V56" s="70" t="str">
        <f aca="false">IF($T56="","",0)</f>
        <v/>
      </c>
      <c r="W56" s="67" t="str">
        <f aca="false">IF($Q56="","","应付账款")</f>
        <v/>
      </c>
      <c r="X56" s="70" t="str">
        <f aca="false">IF($W56="","",0)</f>
        <v/>
      </c>
      <c r="Y56" s="70" t="str">
        <f aca="false">IF($W56="","",ROUND(N($H56),2))</f>
        <v/>
      </c>
      <c r="Z56" s="42"/>
      <c r="AA56" s="44"/>
      <c r="AB56" s="41" t="str">
        <f aca="false">IF($C56="","",ROUND(N($H56)-N($AA56),2))</f>
        <v/>
      </c>
      <c r="AC56" s="9" t="str">
        <f aca="false">IF($B56="","",TEXT($B56,"yyyy年m月"))</f>
        <v/>
      </c>
    </row>
    <row r="57" customFormat="false" ht="18" hidden="false" customHeight="true" outlineLevel="0" collapsed="false">
      <c r="A57" s="107" t="str">
        <f aca="false">IF($C57="","",ROW()-3)</f>
        <v/>
      </c>
      <c r="B57" s="108"/>
      <c r="C57" s="84"/>
      <c r="D57" s="84"/>
      <c r="E57" s="18"/>
      <c r="F57" s="109"/>
      <c r="G57" s="109"/>
      <c r="H57" s="70" t="str">
        <f aca="false">IF($C57="","",ROUND(N($F57)*N($G57),2))</f>
        <v/>
      </c>
      <c r="I57" s="84" t="s">
        <v>266</v>
      </c>
      <c r="J57" s="70" t="str">
        <f aca="false">IF($C57="","",ROUND(N($H57),2))</f>
        <v/>
      </c>
      <c r="K57" s="70" t="n">
        <v>0</v>
      </c>
      <c r="L57" s="84"/>
      <c r="M57" s="84"/>
      <c r="N57" s="18"/>
      <c r="O57" s="84"/>
      <c r="P57" s="18"/>
      <c r="Q57" s="67" t="str">
        <f aca="false">IF(OR($C57="",ROUND(N($H57),2)=0),"",$L57)</f>
        <v/>
      </c>
      <c r="R57" s="70" t="str">
        <f aca="false">IF($Q57="","",ROUND(N($H57),2))</f>
        <v/>
      </c>
      <c r="S57" s="70" t="str">
        <f aca="false">IF($Q57="","",0)</f>
        <v/>
      </c>
      <c r="T57" s="67" t="str">
        <f aca="false">""</f>
        <v/>
      </c>
      <c r="U57" s="70" t="str">
        <f aca="false">IF($T57="","",0)</f>
        <v/>
      </c>
      <c r="V57" s="70" t="str">
        <f aca="false">IF($T57="","",0)</f>
        <v/>
      </c>
      <c r="W57" s="67" t="str">
        <f aca="false">IF($Q57="","","应付账款")</f>
        <v/>
      </c>
      <c r="X57" s="70" t="str">
        <f aca="false">IF($W57="","",0)</f>
        <v/>
      </c>
      <c r="Y57" s="70" t="str">
        <f aca="false">IF($W57="","",ROUND(N($H57),2))</f>
        <v/>
      </c>
      <c r="Z57" s="42"/>
      <c r="AA57" s="44"/>
      <c r="AB57" s="41" t="str">
        <f aca="false">IF($C57="","",ROUND(N($H57)-N($AA57),2))</f>
        <v/>
      </c>
      <c r="AC57" s="9" t="str">
        <f aca="false">IF($B57="","",TEXT($B57,"yyyy年m月"))</f>
        <v/>
      </c>
    </row>
    <row r="58" customFormat="false" ht="18" hidden="false" customHeight="true" outlineLevel="0" collapsed="false">
      <c r="A58" s="107" t="str">
        <f aca="false">IF($C58="","",ROW()-3)</f>
        <v/>
      </c>
      <c r="B58" s="108"/>
      <c r="C58" s="84"/>
      <c r="D58" s="84"/>
      <c r="E58" s="18"/>
      <c r="F58" s="109"/>
      <c r="G58" s="109"/>
      <c r="H58" s="70" t="str">
        <f aca="false">IF($C58="","",ROUND(N($F58)*N($G58),2))</f>
        <v/>
      </c>
      <c r="I58" s="84" t="s">
        <v>266</v>
      </c>
      <c r="J58" s="70" t="str">
        <f aca="false">IF($C58="","",ROUND(N($H58),2))</f>
        <v/>
      </c>
      <c r="K58" s="70" t="n">
        <v>0</v>
      </c>
      <c r="L58" s="84"/>
      <c r="M58" s="84"/>
      <c r="N58" s="18"/>
      <c r="O58" s="84"/>
      <c r="P58" s="18"/>
      <c r="Q58" s="67" t="str">
        <f aca="false">IF(OR($C58="",ROUND(N($H58),2)=0),"",$L58)</f>
        <v/>
      </c>
      <c r="R58" s="70" t="str">
        <f aca="false">IF($Q58="","",ROUND(N($H58),2))</f>
        <v/>
      </c>
      <c r="S58" s="70" t="str">
        <f aca="false">IF($Q58="","",0)</f>
        <v/>
      </c>
      <c r="T58" s="67" t="str">
        <f aca="false">""</f>
        <v/>
      </c>
      <c r="U58" s="70" t="str">
        <f aca="false">IF($T58="","",0)</f>
        <v/>
      </c>
      <c r="V58" s="70" t="str">
        <f aca="false">IF($T58="","",0)</f>
        <v/>
      </c>
      <c r="W58" s="67" t="str">
        <f aca="false">IF($Q58="","","应付账款")</f>
        <v/>
      </c>
      <c r="X58" s="70" t="str">
        <f aca="false">IF($W58="","",0)</f>
        <v/>
      </c>
      <c r="Y58" s="70" t="str">
        <f aca="false">IF($W58="","",ROUND(N($H58),2))</f>
        <v/>
      </c>
      <c r="Z58" s="42"/>
      <c r="AA58" s="44"/>
      <c r="AB58" s="41" t="str">
        <f aca="false">IF($C58="","",ROUND(N($H58)-N($AA58),2))</f>
        <v/>
      </c>
      <c r="AC58" s="9" t="str">
        <f aca="false">IF($B58="","",TEXT($B58,"yyyy年m月"))</f>
        <v/>
      </c>
    </row>
    <row r="59" customFormat="false" ht="18" hidden="false" customHeight="true" outlineLevel="0" collapsed="false">
      <c r="A59" s="107" t="str">
        <f aca="false">IF($C59="","",ROW()-3)</f>
        <v/>
      </c>
      <c r="B59" s="108"/>
      <c r="C59" s="84"/>
      <c r="D59" s="84"/>
      <c r="E59" s="18"/>
      <c r="F59" s="109"/>
      <c r="G59" s="109"/>
      <c r="H59" s="70" t="str">
        <f aca="false">IF($C59="","",ROUND(N($F59)*N($G59),2))</f>
        <v/>
      </c>
      <c r="I59" s="84" t="s">
        <v>266</v>
      </c>
      <c r="J59" s="70" t="str">
        <f aca="false">IF($C59="","",ROUND(N($H59),2))</f>
        <v/>
      </c>
      <c r="K59" s="70" t="n">
        <v>0</v>
      </c>
      <c r="L59" s="84"/>
      <c r="M59" s="84"/>
      <c r="N59" s="18"/>
      <c r="O59" s="84"/>
      <c r="P59" s="18"/>
      <c r="Q59" s="67" t="str">
        <f aca="false">IF(OR($C59="",ROUND(N($H59),2)=0),"",$L59)</f>
        <v/>
      </c>
      <c r="R59" s="70" t="str">
        <f aca="false">IF($Q59="","",ROUND(N($H59),2))</f>
        <v/>
      </c>
      <c r="S59" s="70" t="str">
        <f aca="false">IF($Q59="","",0)</f>
        <v/>
      </c>
      <c r="T59" s="67" t="str">
        <f aca="false">""</f>
        <v/>
      </c>
      <c r="U59" s="70" t="str">
        <f aca="false">IF($T59="","",0)</f>
        <v/>
      </c>
      <c r="V59" s="70" t="str">
        <f aca="false">IF($T59="","",0)</f>
        <v/>
      </c>
      <c r="W59" s="67" t="str">
        <f aca="false">IF($Q59="","","应付账款")</f>
        <v/>
      </c>
      <c r="X59" s="70" t="str">
        <f aca="false">IF($W59="","",0)</f>
        <v/>
      </c>
      <c r="Y59" s="70" t="str">
        <f aca="false">IF($W59="","",ROUND(N($H59),2))</f>
        <v/>
      </c>
      <c r="Z59" s="42"/>
      <c r="AA59" s="44"/>
      <c r="AB59" s="41" t="str">
        <f aca="false">IF($C59="","",ROUND(N($H59)-N($AA59),2))</f>
        <v/>
      </c>
      <c r="AC59" s="9" t="str">
        <f aca="false">IF($B59="","",TEXT($B59,"yyyy年m月"))</f>
        <v/>
      </c>
    </row>
    <row r="60" customFormat="false" ht="18" hidden="false" customHeight="true" outlineLevel="0" collapsed="false">
      <c r="A60" s="107" t="str">
        <f aca="false">IF($C60="","",ROW()-3)</f>
        <v/>
      </c>
      <c r="B60" s="108"/>
      <c r="C60" s="84"/>
      <c r="D60" s="84"/>
      <c r="E60" s="18"/>
      <c r="F60" s="109"/>
      <c r="G60" s="109"/>
      <c r="H60" s="70" t="str">
        <f aca="false">IF($C60="","",ROUND(N($F60)*N($G60),2))</f>
        <v/>
      </c>
      <c r="I60" s="84" t="s">
        <v>266</v>
      </c>
      <c r="J60" s="70" t="str">
        <f aca="false">IF($C60="","",ROUND(N($H60),2))</f>
        <v/>
      </c>
      <c r="K60" s="70" t="n">
        <v>0</v>
      </c>
      <c r="L60" s="84"/>
      <c r="M60" s="84"/>
      <c r="N60" s="18"/>
      <c r="O60" s="84"/>
      <c r="P60" s="18"/>
      <c r="Q60" s="67" t="str">
        <f aca="false">IF(OR($C60="",ROUND(N($H60),2)=0),"",$L60)</f>
        <v/>
      </c>
      <c r="R60" s="70" t="str">
        <f aca="false">IF($Q60="","",ROUND(N($H60),2))</f>
        <v/>
      </c>
      <c r="S60" s="70" t="str">
        <f aca="false">IF($Q60="","",0)</f>
        <v/>
      </c>
      <c r="T60" s="67" t="str">
        <f aca="false">""</f>
        <v/>
      </c>
      <c r="U60" s="70" t="str">
        <f aca="false">IF($T60="","",0)</f>
        <v/>
      </c>
      <c r="V60" s="70" t="str">
        <f aca="false">IF($T60="","",0)</f>
        <v/>
      </c>
      <c r="W60" s="67" t="str">
        <f aca="false">IF($Q60="","","应付账款")</f>
        <v/>
      </c>
      <c r="X60" s="70" t="str">
        <f aca="false">IF($W60="","",0)</f>
        <v/>
      </c>
      <c r="Y60" s="70" t="str">
        <f aca="false">IF($W60="","",ROUND(N($H60),2))</f>
        <v/>
      </c>
      <c r="Z60" s="42"/>
      <c r="AA60" s="44"/>
      <c r="AB60" s="41" t="str">
        <f aca="false">IF($C60="","",ROUND(N($H60)-N($AA60),2))</f>
        <v/>
      </c>
      <c r="AC60" s="9" t="str">
        <f aca="false">IF($B60="","",TEXT($B60,"yyyy年m月"))</f>
        <v/>
      </c>
    </row>
    <row r="61" customFormat="false" ht="18" hidden="false" customHeight="true" outlineLevel="0" collapsed="false">
      <c r="A61" s="107" t="str">
        <f aca="false">IF($C61="","",ROW()-3)</f>
        <v/>
      </c>
      <c r="B61" s="108"/>
      <c r="C61" s="84"/>
      <c r="D61" s="84"/>
      <c r="E61" s="18"/>
      <c r="F61" s="109"/>
      <c r="G61" s="109"/>
      <c r="H61" s="70" t="str">
        <f aca="false">IF($C61="","",ROUND(N($F61)*N($G61),2))</f>
        <v/>
      </c>
      <c r="I61" s="84" t="s">
        <v>266</v>
      </c>
      <c r="J61" s="70" t="str">
        <f aca="false">IF($C61="","",ROUND(N($H61),2))</f>
        <v/>
      </c>
      <c r="K61" s="70" t="n">
        <v>0</v>
      </c>
      <c r="L61" s="84"/>
      <c r="M61" s="84"/>
      <c r="N61" s="18"/>
      <c r="O61" s="84"/>
      <c r="P61" s="18"/>
      <c r="Q61" s="67" t="str">
        <f aca="false">IF(OR($C61="",ROUND(N($H61),2)=0),"",$L61)</f>
        <v/>
      </c>
      <c r="R61" s="70" t="str">
        <f aca="false">IF($Q61="","",ROUND(N($H61),2))</f>
        <v/>
      </c>
      <c r="S61" s="70" t="str">
        <f aca="false">IF($Q61="","",0)</f>
        <v/>
      </c>
      <c r="T61" s="67" t="str">
        <f aca="false">""</f>
        <v/>
      </c>
      <c r="U61" s="70" t="str">
        <f aca="false">IF($T61="","",0)</f>
        <v/>
      </c>
      <c r="V61" s="70" t="str">
        <f aca="false">IF($T61="","",0)</f>
        <v/>
      </c>
      <c r="W61" s="67" t="str">
        <f aca="false">IF($Q61="","","应付账款")</f>
        <v/>
      </c>
      <c r="X61" s="70" t="str">
        <f aca="false">IF($W61="","",0)</f>
        <v/>
      </c>
      <c r="Y61" s="70" t="str">
        <f aca="false">IF($W61="","",ROUND(N($H61),2))</f>
        <v/>
      </c>
      <c r="Z61" s="42"/>
      <c r="AA61" s="44"/>
      <c r="AB61" s="41" t="str">
        <f aca="false">IF($C61="","",ROUND(N($H61)-N($AA61),2))</f>
        <v/>
      </c>
      <c r="AC61" s="9" t="str">
        <f aca="false">IF($B61="","",TEXT($B61,"yyyy年m月"))</f>
        <v/>
      </c>
    </row>
    <row r="62" customFormat="false" ht="18" hidden="false" customHeight="true" outlineLevel="0" collapsed="false">
      <c r="A62" s="107" t="str">
        <f aca="false">IF($C62="","",ROW()-3)</f>
        <v/>
      </c>
      <c r="B62" s="108"/>
      <c r="C62" s="84"/>
      <c r="D62" s="84"/>
      <c r="E62" s="18"/>
      <c r="F62" s="109"/>
      <c r="G62" s="109"/>
      <c r="H62" s="70" t="str">
        <f aca="false">IF($C62="","",ROUND(N($F62)*N($G62),2))</f>
        <v/>
      </c>
      <c r="I62" s="84" t="s">
        <v>266</v>
      </c>
      <c r="J62" s="70" t="str">
        <f aca="false">IF($C62="","",ROUND(N($H62),2))</f>
        <v/>
      </c>
      <c r="K62" s="70" t="n">
        <v>0</v>
      </c>
      <c r="L62" s="84"/>
      <c r="M62" s="84"/>
      <c r="N62" s="18"/>
      <c r="O62" s="84"/>
      <c r="P62" s="18"/>
      <c r="Q62" s="67" t="str">
        <f aca="false">IF(OR($C62="",ROUND(N($H62),2)=0),"",$L62)</f>
        <v/>
      </c>
      <c r="R62" s="70" t="str">
        <f aca="false">IF($Q62="","",ROUND(N($H62),2))</f>
        <v/>
      </c>
      <c r="S62" s="70" t="str">
        <f aca="false">IF($Q62="","",0)</f>
        <v/>
      </c>
      <c r="T62" s="67" t="str">
        <f aca="false">""</f>
        <v/>
      </c>
      <c r="U62" s="70" t="str">
        <f aca="false">IF($T62="","",0)</f>
        <v/>
      </c>
      <c r="V62" s="70" t="str">
        <f aca="false">IF($T62="","",0)</f>
        <v/>
      </c>
      <c r="W62" s="67" t="str">
        <f aca="false">IF($Q62="","","应付账款")</f>
        <v/>
      </c>
      <c r="X62" s="70" t="str">
        <f aca="false">IF($W62="","",0)</f>
        <v/>
      </c>
      <c r="Y62" s="70" t="str">
        <f aca="false">IF($W62="","",ROUND(N($H62),2))</f>
        <v/>
      </c>
      <c r="Z62" s="42"/>
      <c r="AA62" s="44"/>
      <c r="AB62" s="41" t="str">
        <f aca="false">IF($C62="","",ROUND(N($H62)-N($AA62),2))</f>
        <v/>
      </c>
      <c r="AC62" s="9" t="str">
        <f aca="false">IF($B62="","",TEXT($B62,"yyyy年m月"))</f>
        <v/>
      </c>
    </row>
    <row r="63" customFormat="false" ht="18" hidden="false" customHeight="true" outlineLevel="0" collapsed="false">
      <c r="A63" s="107" t="str">
        <f aca="false">IF($C63="","",ROW()-3)</f>
        <v/>
      </c>
      <c r="B63" s="108"/>
      <c r="C63" s="84"/>
      <c r="D63" s="84"/>
      <c r="E63" s="18"/>
      <c r="F63" s="109"/>
      <c r="G63" s="109"/>
      <c r="H63" s="70" t="str">
        <f aca="false">IF($C63="","",ROUND(N($F63)*N($G63),2))</f>
        <v/>
      </c>
      <c r="I63" s="84" t="s">
        <v>266</v>
      </c>
      <c r="J63" s="70" t="str">
        <f aca="false">IF($C63="","",ROUND(N($H63),2))</f>
        <v/>
      </c>
      <c r="K63" s="70" t="n">
        <v>0</v>
      </c>
      <c r="L63" s="84"/>
      <c r="M63" s="84"/>
      <c r="N63" s="18"/>
      <c r="O63" s="84"/>
      <c r="P63" s="18"/>
      <c r="Q63" s="67" t="str">
        <f aca="false">IF(OR($C63="",ROUND(N($H63),2)=0),"",$L63)</f>
        <v/>
      </c>
      <c r="R63" s="70" t="str">
        <f aca="false">IF($Q63="","",ROUND(N($H63),2))</f>
        <v/>
      </c>
      <c r="S63" s="70" t="str">
        <f aca="false">IF($Q63="","",0)</f>
        <v/>
      </c>
      <c r="T63" s="67" t="str">
        <f aca="false">""</f>
        <v/>
      </c>
      <c r="U63" s="70" t="str">
        <f aca="false">IF($T63="","",0)</f>
        <v/>
      </c>
      <c r="V63" s="70" t="str">
        <f aca="false">IF($T63="","",0)</f>
        <v/>
      </c>
      <c r="W63" s="67" t="str">
        <f aca="false">IF($Q63="","","应付账款")</f>
        <v/>
      </c>
      <c r="X63" s="70" t="str">
        <f aca="false">IF($W63="","",0)</f>
        <v/>
      </c>
      <c r="Y63" s="70" t="str">
        <f aca="false">IF($W63="","",ROUND(N($H63),2))</f>
        <v/>
      </c>
      <c r="Z63" s="42"/>
      <c r="AA63" s="44"/>
      <c r="AB63" s="41" t="str">
        <f aca="false">IF($C63="","",ROUND(N($H63)-N($AA63),2))</f>
        <v/>
      </c>
      <c r="AC63" s="9" t="str">
        <f aca="false">IF($B63="","",TEXT($B63,"yyyy年m月"))</f>
        <v/>
      </c>
    </row>
    <row r="64" customFormat="false" ht="18" hidden="false" customHeight="true" outlineLevel="0" collapsed="false">
      <c r="A64" s="107" t="str">
        <f aca="false">IF($C64="","",ROW()-3)</f>
        <v/>
      </c>
      <c r="B64" s="108"/>
      <c r="C64" s="84"/>
      <c r="D64" s="84"/>
      <c r="E64" s="18"/>
      <c r="F64" s="109"/>
      <c r="G64" s="109"/>
      <c r="H64" s="70" t="str">
        <f aca="false">IF($C64="","",ROUND(N($F64)*N($G64),2))</f>
        <v/>
      </c>
      <c r="I64" s="84" t="s">
        <v>266</v>
      </c>
      <c r="J64" s="70" t="str">
        <f aca="false">IF($C64="","",ROUND(N($H64),2))</f>
        <v/>
      </c>
      <c r="K64" s="70" t="n">
        <v>0</v>
      </c>
      <c r="L64" s="84"/>
      <c r="M64" s="84"/>
      <c r="N64" s="18"/>
      <c r="O64" s="84"/>
      <c r="P64" s="18"/>
      <c r="Q64" s="67" t="str">
        <f aca="false">IF(OR($C64="",ROUND(N($H64),2)=0),"",$L64)</f>
        <v/>
      </c>
      <c r="R64" s="70" t="str">
        <f aca="false">IF($Q64="","",ROUND(N($H64),2))</f>
        <v/>
      </c>
      <c r="S64" s="70" t="str">
        <f aca="false">IF($Q64="","",0)</f>
        <v/>
      </c>
      <c r="T64" s="67" t="str">
        <f aca="false">""</f>
        <v/>
      </c>
      <c r="U64" s="70" t="str">
        <f aca="false">IF($T64="","",0)</f>
        <v/>
      </c>
      <c r="V64" s="70" t="str">
        <f aca="false">IF($T64="","",0)</f>
        <v/>
      </c>
      <c r="W64" s="67" t="str">
        <f aca="false">IF($Q64="","","应付账款")</f>
        <v/>
      </c>
      <c r="X64" s="70" t="str">
        <f aca="false">IF($W64="","",0)</f>
        <v/>
      </c>
      <c r="Y64" s="70" t="str">
        <f aca="false">IF($W64="","",ROUND(N($H64),2))</f>
        <v/>
      </c>
      <c r="Z64" s="42"/>
      <c r="AA64" s="44"/>
      <c r="AB64" s="41" t="str">
        <f aca="false">IF($C64="","",ROUND(N($H64)-N($AA64),2))</f>
        <v/>
      </c>
      <c r="AC64" s="9" t="str">
        <f aca="false">IF($B64="","",TEXT($B64,"yyyy年m月"))</f>
        <v/>
      </c>
    </row>
    <row r="65" customFormat="false" ht="18" hidden="false" customHeight="true" outlineLevel="0" collapsed="false">
      <c r="A65" s="107" t="str">
        <f aca="false">IF($C65="","",ROW()-3)</f>
        <v/>
      </c>
      <c r="B65" s="108"/>
      <c r="C65" s="84"/>
      <c r="D65" s="84"/>
      <c r="E65" s="18"/>
      <c r="F65" s="109"/>
      <c r="G65" s="109"/>
      <c r="H65" s="70" t="str">
        <f aca="false">IF($C65="","",ROUND(N($F65)*N($G65),2))</f>
        <v/>
      </c>
      <c r="I65" s="84" t="s">
        <v>266</v>
      </c>
      <c r="J65" s="70" t="str">
        <f aca="false">IF($C65="","",ROUND(N($H65),2))</f>
        <v/>
      </c>
      <c r="K65" s="70" t="n">
        <v>0</v>
      </c>
      <c r="L65" s="84"/>
      <c r="M65" s="84"/>
      <c r="N65" s="18"/>
      <c r="O65" s="84"/>
      <c r="P65" s="18"/>
      <c r="Q65" s="67" t="str">
        <f aca="false">IF(OR($C65="",ROUND(N($H65),2)=0),"",$L65)</f>
        <v/>
      </c>
      <c r="R65" s="70" t="str">
        <f aca="false">IF($Q65="","",ROUND(N($H65),2))</f>
        <v/>
      </c>
      <c r="S65" s="70" t="str">
        <f aca="false">IF($Q65="","",0)</f>
        <v/>
      </c>
      <c r="T65" s="67" t="str">
        <f aca="false">""</f>
        <v/>
      </c>
      <c r="U65" s="70" t="str">
        <f aca="false">IF($T65="","",0)</f>
        <v/>
      </c>
      <c r="V65" s="70" t="str">
        <f aca="false">IF($T65="","",0)</f>
        <v/>
      </c>
      <c r="W65" s="67" t="str">
        <f aca="false">IF($Q65="","","应付账款")</f>
        <v/>
      </c>
      <c r="X65" s="70" t="str">
        <f aca="false">IF($W65="","",0)</f>
        <v/>
      </c>
      <c r="Y65" s="70" t="str">
        <f aca="false">IF($W65="","",ROUND(N($H65),2))</f>
        <v/>
      </c>
      <c r="Z65" s="42"/>
      <c r="AA65" s="44"/>
      <c r="AB65" s="41" t="str">
        <f aca="false">IF($C65="","",ROUND(N($H65)-N($AA65),2))</f>
        <v/>
      </c>
      <c r="AC65" s="9" t="str">
        <f aca="false">IF($B65="","",TEXT($B65,"yyyy年m月"))</f>
        <v/>
      </c>
    </row>
    <row r="66" customFormat="false" ht="18" hidden="false" customHeight="true" outlineLevel="0" collapsed="false">
      <c r="A66" s="107" t="str">
        <f aca="false">IF($C66="","",ROW()-3)</f>
        <v/>
      </c>
      <c r="B66" s="108"/>
      <c r="C66" s="84"/>
      <c r="D66" s="84"/>
      <c r="E66" s="18"/>
      <c r="F66" s="109"/>
      <c r="G66" s="109"/>
      <c r="H66" s="70" t="str">
        <f aca="false">IF($C66="","",ROUND(N($F66)*N($G66),2))</f>
        <v/>
      </c>
      <c r="I66" s="84" t="s">
        <v>266</v>
      </c>
      <c r="J66" s="70" t="str">
        <f aca="false">IF($C66="","",ROUND(N($H66),2))</f>
        <v/>
      </c>
      <c r="K66" s="70" t="n">
        <v>0</v>
      </c>
      <c r="L66" s="84"/>
      <c r="M66" s="84"/>
      <c r="N66" s="18"/>
      <c r="O66" s="84"/>
      <c r="P66" s="18"/>
      <c r="Q66" s="67" t="str">
        <f aca="false">IF(OR($C66="",ROUND(N($H66),2)=0),"",$L66)</f>
        <v/>
      </c>
      <c r="R66" s="70" t="str">
        <f aca="false">IF($Q66="","",ROUND(N($H66),2))</f>
        <v/>
      </c>
      <c r="S66" s="70" t="str">
        <f aca="false">IF($Q66="","",0)</f>
        <v/>
      </c>
      <c r="T66" s="67" t="str">
        <f aca="false">""</f>
        <v/>
      </c>
      <c r="U66" s="70" t="str">
        <f aca="false">IF($T66="","",0)</f>
        <v/>
      </c>
      <c r="V66" s="70" t="str">
        <f aca="false">IF($T66="","",0)</f>
        <v/>
      </c>
      <c r="W66" s="67" t="str">
        <f aca="false">IF($Q66="","","应付账款")</f>
        <v/>
      </c>
      <c r="X66" s="70" t="str">
        <f aca="false">IF($W66="","",0)</f>
        <v/>
      </c>
      <c r="Y66" s="70" t="str">
        <f aca="false">IF($W66="","",ROUND(N($H66),2))</f>
        <v/>
      </c>
      <c r="Z66" s="42"/>
      <c r="AA66" s="44"/>
      <c r="AB66" s="41" t="str">
        <f aca="false">IF($C66="","",ROUND(N($H66)-N($AA66),2))</f>
        <v/>
      </c>
      <c r="AC66" s="9" t="str">
        <f aca="false">IF($B66="","",TEXT($B66,"yyyy年m月"))</f>
        <v/>
      </c>
    </row>
    <row r="67" customFormat="false" ht="18" hidden="false" customHeight="true" outlineLevel="0" collapsed="false">
      <c r="A67" s="107" t="str">
        <f aca="false">IF($C67="","",ROW()-3)</f>
        <v/>
      </c>
      <c r="B67" s="108"/>
      <c r="C67" s="84"/>
      <c r="D67" s="84"/>
      <c r="E67" s="18"/>
      <c r="F67" s="109"/>
      <c r="G67" s="109"/>
      <c r="H67" s="70" t="str">
        <f aca="false">IF($C67="","",ROUND(N($F67)*N($G67),2))</f>
        <v/>
      </c>
      <c r="I67" s="84" t="s">
        <v>266</v>
      </c>
      <c r="J67" s="70" t="str">
        <f aca="false">IF($C67="","",ROUND(N($H67),2))</f>
        <v/>
      </c>
      <c r="K67" s="70" t="n">
        <v>0</v>
      </c>
      <c r="L67" s="84"/>
      <c r="M67" s="84"/>
      <c r="N67" s="18"/>
      <c r="O67" s="84"/>
      <c r="P67" s="18"/>
      <c r="Q67" s="67" t="str">
        <f aca="false">IF(OR($C67="",ROUND(N($H67),2)=0),"",$L67)</f>
        <v/>
      </c>
      <c r="R67" s="70" t="str">
        <f aca="false">IF($Q67="","",ROUND(N($H67),2))</f>
        <v/>
      </c>
      <c r="S67" s="70" t="str">
        <f aca="false">IF($Q67="","",0)</f>
        <v/>
      </c>
      <c r="T67" s="67" t="str">
        <f aca="false">""</f>
        <v/>
      </c>
      <c r="U67" s="70" t="str">
        <f aca="false">IF($T67="","",0)</f>
        <v/>
      </c>
      <c r="V67" s="70" t="str">
        <f aca="false">IF($T67="","",0)</f>
        <v/>
      </c>
      <c r="W67" s="67" t="str">
        <f aca="false">IF($Q67="","","应付账款")</f>
        <v/>
      </c>
      <c r="X67" s="70" t="str">
        <f aca="false">IF($W67="","",0)</f>
        <v/>
      </c>
      <c r="Y67" s="70" t="str">
        <f aca="false">IF($W67="","",ROUND(N($H67),2))</f>
        <v/>
      </c>
      <c r="Z67" s="42"/>
      <c r="AA67" s="44"/>
      <c r="AB67" s="41" t="str">
        <f aca="false">IF($C67="","",ROUND(N($H67)-N($AA67),2))</f>
        <v/>
      </c>
      <c r="AC67" s="9" t="str">
        <f aca="false">IF($B67="","",TEXT($B67,"yyyy年m月"))</f>
        <v/>
      </c>
    </row>
    <row r="68" customFormat="false" ht="18" hidden="false" customHeight="true" outlineLevel="0" collapsed="false">
      <c r="A68" s="107" t="str">
        <f aca="false">IF($C68="","",ROW()-3)</f>
        <v/>
      </c>
      <c r="B68" s="108"/>
      <c r="C68" s="84"/>
      <c r="D68" s="84"/>
      <c r="E68" s="18"/>
      <c r="F68" s="109"/>
      <c r="G68" s="109"/>
      <c r="H68" s="70" t="str">
        <f aca="false">IF($C68="","",ROUND(N($F68)*N($G68),2))</f>
        <v/>
      </c>
      <c r="I68" s="84" t="s">
        <v>266</v>
      </c>
      <c r="J68" s="70" t="str">
        <f aca="false">IF($C68="","",ROUND(N($H68),2))</f>
        <v/>
      </c>
      <c r="K68" s="70" t="n">
        <v>0</v>
      </c>
      <c r="L68" s="84"/>
      <c r="M68" s="84"/>
      <c r="N68" s="18"/>
      <c r="O68" s="84"/>
      <c r="P68" s="18"/>
      <c r="Q68" s="67" t="str">
        <f aca="false">IF(OR($C68="",ROUND(N($H68),2)=0),"",$L68)</f>
        <v/>
      </c>
      <c r="R68" s="70" t="str">
        <f aca="false">IF($Q68="","",ROUND(N($H68),2))</f>
        <v/>
      </c>
      <c r="S68" s="70" t="str">
        <f aca="false">IF($Q68="","",0)</f>
        <v/>
      </c>
      <c r="T68" s="67" t="str">
        <f aca="false">""</f>
        <v/>
      </c>
      <c r="U68" s="70" t="str">
        <f aca="false">IF($T68="","",0)</f>
        <v/>
      </c>
      <c r="V68" s="70" t="str">
        <f aca="false">IF($T68="","",0)</f>
        <v/>
      </c>
      <c r="W68" s="67" t="str">
        <f aca="false">IF($Q68="","","应付账款")</f>
        <v/>
      </c>
      <c r="X68" s="70" t="str">
        <f aca="false">IF($W68="","",0)</f>
        <v/>
      </c>
      <c r="Y68" s="70" t="str">
        <f aca="false">IF($W68="","",ROUND(N($H68),2))</f>
        <v/>
      </c>
      <c r="Z68" s="42"/>
      <c r="AA68" s="44"/>
      <c r="AB68" s="41" t="str">
        <f aca="false">IF($C68="","",ROUND(N($H68)-N($AA68),2))</f>
        <v/>
      </c>
      <c r="AC68" s="9" t="str">
        <f aca="false">IF($B68="","",TEXT($B68,"yyyy年m月"))</f>
        <v/>
      </c>
    </row>
    <row r="69" customFormat="false" ht="18" hidden="false" customHeight="true" outlineLevel="0" collapsed="false">
      <c r="A69" s="107" t="str">
        <f aca="false">IF($C69="","",ROW()-3)</f>
        <v/>
      </c>
      <c r="B69" s="108"/>
      <c r="C69" s="84"/>
      <c r="D69" s="84"/>
      <c r="E69" s="18"/>
      <c r="F69" s="109"/>
      <c r="G69" s="109"/>
      <c r="H69" s="70" t="str">
        <f aca="false">IF($C69="","",ROUND(N($F69)*N($G69),2))</f>
        <v/>
      </c>
      <c r="I69" s="84" t="s">
        <v>266</v>
      </c>
      <c r="J69" s="70" t="str">
        <f aca="false">IF($C69="","",ROUND(N($H69),2))</f>
        <v/>
      </c>
      <c r="K69" s="70" t="n">
        <v>0</v>
      </c>
      <c r="L69" s="84"/>
      <c r="M69" s="84"/>
      <c r="N69" s="18"/>
      <c r="O69" s="84"/>
      <c r="P69" s="18"/>
      <c r="Q69" s="67" t="str">
        <f aca="false">IF(OR($C69="",ROUND(N($H69),2)=0),"",$L69)</f>
        <v/>
      </c>
      <c r="R69" s="70" t="str">
        <f aca="false">IF($Q69="","",ROUND(N($H69),2))</f>
        <v/>
      </c>
      <c r="S69" s="70" t="str">
        <f aca="false">IF($Q69="","",0)</f>
        <v/>
      </c>
      <c r="T69" s="67" t="str">
        <f aca="false">""</f>
        <v/>
      </c>
      <c r="U69" s="70" t="str">
        <f aca="false">IF($T69="","",0)</f>
        <v/>
      </c>
      <c r="V69" s="70" t="str">
        <f aca="false">IF($T69="","",0)</f>
        <v/>
      </c>
      <c r="W69" s="67" t="str">
        <f aca="false">IF($Q69="","","应付账款")</f>
        <v/>
      </c>
      <c r="X69" s="70" t="str">
        <f aca="false">IF($W69="","",0)</f>
        <v/>
      </c>
      <c r="Y69" s="70" t="str">
        <f aca="false">IF($W69="","",ROUND(N($H69),2))</f>
        <v/>
      </c>
      <c r="Z69" s="42"/>
      <c r="AA69" s="44"/>
      <c r="AB69" s="41" t="str">
        <f aca="false">IF($C69="","",ROUND(N($H69)-N($AA69),2))</f>
        <v/>
      </c>
      <c r="AC69" s="9" t="str">
        <f aca="false">IF($B69="","",TEXT($B69,"yyyy年m月"))</f>
        <v/>
      </c>
    </row>
    <row r="70" customFormat="false" ht="18" hidden="false" customHeight="true" outlineLevel="0" collapsed="false">
      <c r="A70" s="107" t="str">
        <f aca="false">IF($C70="","",ROW()-3)</f>
        <v/>
      </c>
      <c r="B70" s="108"/>
      <c r="C70" s="84"/>
      <c r="D70" s="84"/>
      <c r="E70" s="18"/>
      <c r="F70" s="109"/>
      <c r="G70" s="109"/>
      <c r="H70" s="70" t="str">
        <f aca="false">IF($C70="","",ROUND(N($F70)*N($G70),2))</f>
        <v/>
      </c>
      <c r="I70" s="84" t="s">
        <v>266</v>
      </c>
      <c r="J70" s="70" t="str">
        <f aca="false">IF($C70="","",ROUND(N($H70),2))</f>
        <v/>
      </c>
      <c r="K70" s="70" t="n">
        <v>0</v>
      </c>
      <c r="L70" s="84"/>
      <c r="M70" s="84"/>
      <c r="N70" s="18"/>
      <c r="O70" s="84"/>
      <c r="P70" s="18"/>
      <c r="Q70" s="67" t="str">
        <f aca="false">IF(OR($C70="",ROUND(N($H70),2)=0),"",$L70)</f>
        <v/>
      </c>
      <c r="R70" s="70" t="str">
        <f aca="false">IF($Q70="","",ROUND(N($H70),2))</f>
        <v/>
      </c>
      <c r="S70" s="70" t="str">
        <f aca="false">IF($Q70="","",0)</f>
        <v/>
      </c>
      <c r="T70" s="67" t="str">
        <f aca="false">""</f>
        <v/>
      </c>
      <c r="U70" s="70" t="str">
        <f aca="false">IF($T70="","",0)</f>
        <v/>
      </c>
      <c r="V70" s="70" t="str">
        <f aca="false">IF($T70="","",0)</f>
        <v/>
      </c>
      <c r="W70" s="67" t="str">
        <f aca="false">IF($Q70="","","应付账款")</f>
        <v/>
      </c>
      <c r="X70" s="70" t="str">
        <f aca="false">IF($W70="","",0)</f>
        <v/>
      </c>
      <c r="Y70" s="70" t="str">
        <f aca="false">IF($W70="","",ROUND(N($H70),2))</f>
        <v/>
      </c>
      <c r="Z70" s="42"/>
      <c r="AA70" s="44"/>
      <c r="AB70" s="41" t="str">
        <f aca="false">IF($C70="","",ROUND(N($H70)-N($AA70),2))</f>
        <v/>
      </c>
      <c r="AC70" s="9" t="str">
        <f aca="false">IF($B70="","",TEXT($B70,"yyyy年m月"))</f>
        <v/>
      </c>
    </row>
    <row r="71" customFormat="false" ht="18" hidden="false" customHeight="true" outlineLevel="0" collapsed="false">
      <c r="A71" s="107" t="str">
        <f aca="false">IF($C71="","",ROW()-3)</f>
        <v/>
      </c>
      <c r="B71" s="108"/>
      <c r="C71" s="84"/>
      <c r="D71" s="84"/>
      <c r="E71" s="18"/>
      <c r="F71" s="109"/>
      <c r="G71" s="109"/>
      <c r="H71" s="70" t="str">
        <f aca="false">IF($C71="","",ROUND(N($F71)*N($G71),2))</f>
        <v/>
      </c>
      <c r="I71" s="84" t="s">
        <v>266</v>
      </c>
      <c r="J71" s="70" t="str">
        <f aca="false">IF($C71="","",ROUND(N($H71),2))</f>
        <v/>
      </c>
      <c r="K71" s="70" t="n">
        <v>0</v>
      </c>
      <c r="L71" s="84"/>
      <c r="M71" s="84"/>
      <c r="N71" s="18"/>
      <c r="O71" s="84"/>
      <c r="P71" s="18"/>
      <c r="Q71" s="67" t="str">
        <f aca="false">IF(OR($C71="",ROUND(N($H71),2)=0),"",$L71)</f>
        <v/>
      </c>
      <c r="R71" s="70" t="str">
        <f aca="false">IF($Q71="","",ROUND(N($H71),2))</f>
        <v/>
      </c>
      <c r="S71" s="70" t="str">
        <f aca="false">IF($Q71="","",0)</f>
        <v/>
      </c>
      <c r="T71" s="67" t="str">
        <f aca="false">""</f>
        <v/>
      </c>
      <c r="U71" s="70" t="str">
        <f aca="false">IF($T71="","",0)</f>
        <v/>
      </c>
      <c r="V71" s="70" t="str">
        <f aca="false">IF($T71="","",0)</f>
        <v/>
      </c>
      <c r="W71" s="67" t="str">
        <f aca="false">IF($Q71="","","应付账款")</f>
        <v/>
      </c>
      <c r="X71" s="70" t="str">
        <f aca="false">IF($W71="","",0)</f>
        <v/>
      </c>
      <c r="Y71" s="70" t="str">
        <f aca="false">IF($W71="","",ROUND(N($H71),2))</f>
        <v/>
      </c>
      <c r="Z71" s="42"/>
      <c r="AA71" s="44"/>
      <c r="AB71" s="41" t="str">
        <f aca="false">IF($C71="","",ROUND(N($H71)-N($AA71),2))</f>
        <v/>
      </c>
      <c r="AC71" s="9" t="str">
        <f aca="false">IF($B71="","",TEXT($B71,"yyyy年m月"))</f>
        <v/>
      </c>
    </row>
    <row r="72" customFormat="false" ht="18" hidden="false" customHeight="true" outlineLevel="0" collapsed="false">
      <c r="A72" s="107" t="str">
        <f aca="false">IF($C72="","",ROW()-3)</f>
        <v/>
      </c>
      <c r="B72" s="108"/>
      <c r="C72" s="84"/>
      <c r="D72" s="84"/>
      <c r="E72" s="18"/>
      <c r="F72" s="109"/>
      <c r="G72" s="109"/>
      <c r="H72" s="70" t="str">
        <f aca="false">IF($C72="","",ROUND(N($F72)*N($G72),2))</f>
        <v/>
      </c>
      <c r="I72" s="84" t="s">
        <v>266</v>
      </c>
      <c r="J72" s="70" t="str">
        <f aca="false">IF($C72="","",ROUND(N($H72),2))</f>
        <v/>
      </c>
      <c r="K72" s="70" t="n">
        <v>0</v>
      </c>
      <c r="L72" s="84"/>
      <c r="M72" s="84"/>
      <c r="N72" s="18"/>
      <c r="O72" s="84"/>
      <c r="P72" s="18"/>
      <c r="Q72" s="67" t="str">
        <f aca="false">IF(OR($C72="",ROUND(N($H72),2)=0),"",$L72)</f>
        <v/>
      </c>
      <c r="R72" s="70" t="str">
        <f aca="false">IF($Q72="","",ROUND(N($H72),2))</f>
        <v/>
      </c>
      <c r="S72" s="70" t="str">
        <f aca="false">IF($Q72="","",0)</f>
        <v/>
      </c>
      <c r="T72" s="67" t="str">
        <f aca="false">""</f>
        <v/>
      </c>
      <c r="U72" s="70" t="str">
        <f aca="false">IF($T72="","",0)</f>
        <v/>
      </c>
      <c r="V72" s="70" t="str">
        <f aca="false">IF($T72="","",0)</f>
        <v/>
      </c>
      <c r="W72" s="67" t="str">
        <f aca="false">IF($Q72="","","应付账款")</f>
        <v/>
      </c>
      <c r="X72" s="70" t="str">
        <f aca="false">IF($W72="","",0)</f>
        <v/>
      </c>
      <c r="Y72" s="70" t="str">
        <f aca="false">IF($W72="","",ROUND(N($H72),2))</f>
        <v/>
      </c>
      <c r="Z72" s="42"/>
      <c r="AA72" s="44"/>
      <c r="AB72" s="41" t="str">
        <f aca="false">IF($C72="","",ROUND(N($H72)-N($AA72),2))</f>
        <v/>
      </c>
      <c r="AC72" s="9" t="str">
        <f aca="false">IF($B72="","",TEXT($B72,"yyyy年m月"))</f>
        <v/>
      </c>
    </row>
    <row r="73" customFormat="false" ht="18" hidden="false" customHeight="true" outlineLevel="0" collapsed="false">
      <c r="A73" s="107" t="str">
        <f aca="false">IF($C73="","",ROW()-3)</f>
        <v/>
      </c>
      <c r="B73" s="108"/>
      <c r="C73" s="84"/>
      <c r="D73" s="84"/>
      <c r="E73" s="18"/>
      <c r="F73" s="109"/>
      <c r="G73" s="109"/>
      <c r="H73" s="70" t="str">
        <f aca="false">IF($C73="","",ROUND(N($F73)*N($G73),2))</f>
        <v/>
      </c>
      <c r="I73" s="84" t="s">
        <v>266</v>
      </c>
      <c r="J73" s="70" t="str">
        <f aca="false">IF($C73="","",ROUND(N($H73),2))</f>
        <v/>
      </c>
      <c r="K73" s="70" t="n">
        <v>0</v>
      </c>
      <c r="L73" s="84"/>
      <c r="M73" s="84"/>
      <c r="N73" s="18"/>
      <c r="O73" s="84"/>
      <c r="P73" s="18"/>
      <c r="Q73" s="67" t="str">
        <f aca="false">IF(OR($C73="",ROUND(N($H73),2)=0),"",$L73)</f>
        <v/>
      </c>
      <c r="R73" s="70" t="str">
        <f aca="false">IF($Q73="","",ROUND(N($H73),2))</f>
        <v/>
      </c>
      <c r="S73" s="70" t="str">
        <f aca="false">IF($Q73="","",0)</f>
        <v/>
      </c>
      <c r="T73" s="67" t="str">
        <f aca="false">""</f>
        <v/>
      </c>
      <c r="U73" s="70" t="str">
        <f aca="false">IF($T73="","",0)</f>
        <v/>
      </c>
      <c r="V73" s="70" t="str">
        <f aca="false">IF($T73="","",0)</f>
        <v/>
      </c>
      <c r="W73" s="67" t="str">
        <f aca="false">IF($Q73="","","应付账款")</f>
        <v/>
      </c>
      <c r="X73" s="70" t="str">
        <f aca="false">IF($W73="","",0)</f>
        <v/>
      </c>
      <c r="Y73" s="70" t="str">
        <f aca="false">IF($W73="","",ROUND(N($H73),2))</f>
        <v/>
      </c>
      <c r="Z73" s="42"/>
      <c r="AA73" s="44"/>
      <c r="AB73" s="41" t="str">
        <f aca="false">IF($C73="","",ROUND(N($H73)-N($AA73),2))</f>
        <v/>
      </c>
      <c r="AC73" s="9" t="str">
        <f aca="false">IF($B73="","",TEXT($B73,"yyyy年m月"))</f>
        <v/>
      </c>
    </row>
    <row r="74" customFormat="false" ht="18" hidden="false" customHeight="true" outlineLevel="0" collapsed="false">
      <c r="A74" s="107" t="str">
        <f aca="false">IF($C74="","",ROW()-3)</f>
        <v/>
      </c>
      <c r="B74" s="108"/>
      <c r="C74" s="84"/>
      <c r="D74" s="84"/>
      <c r="E74" s="18"/>
      <c r="F74" s="109"/>
      <c r="G74" s="109"/>
      <c r="H74" s="70" t="str">
        <f aca="false">IF($C74="","",ROUND(N($F74)*N($G74),2))</f>
        <v/>
      </c>
      <c r="I74" s="84" t="s">
        <v>266</v>
      </c>
      <c r="J74" s="70" t="str">
        <f aca="false">IF($C74="","",ROUND(N($H74),2))</f>
        <v/>
      </c>
      <c r="K74" s="70" t="n">
        <v>0</v>
      </c>
      <c r="L74" s="84"/>
      <c r="M74" s="84"/>
      <c r="N74" s="18"/>
      <c r="O74" s="84"/>
      <c r="P74" s="18"/>
      <c r="Q74" s="67" t="str">
        <f aca="false">IF(OR($C74="",ROUND(N($H74),2)=0),"",$L74)</f>
        <v/>
      </c>
      <c r="R74" s="70" t="str">
        <f aca="false">IF($Q74="","",ROUND(N($H74),2))</f>
        <v/>
      </c>
      <c r="S74" s="70" t="str">
        <f aca="false">IF($Q74="","",0)</f>
        <v/>
      </c>
      <c r="T74" s="67" t="str">
        <f aca="false">""</f>
        <v/>
      </c>
      <c r="U74" s="70" t="str">
        <f aca="false">IF($T74="","",0)</f>
        <v/>
      </c>
      <c r="V74" s="70" t="str">
        <f aca="false">IF($T74="","",0)</f>
        <v/>
      </c>
      <c r="W74" s="67" t="str">
        <f aca="false">IF($Q74="","","应付账款")</f>
        <v/>
      </c>
      <c r="X74" s="70" t="str">
        <f aca="false">IF($W74="","",0)</f>
        <v/>
      </c>
      <c r="Y74" s="70" t="str">
        <f aca="false">IF($W74="","",ROUND(N($H74),2))</f>
        <v/>
      </c>
      <c r="Z74" s="42"/>
      <c r="AA74" s="44"/>
      <c r="AB74" s="41" t="str">
        <f aca="false">IF($C74="","",ROUND(N($H74)-N($AA74),2))</f>
        <v/>
      </c>
      <c r="AC74" s="9" t="str">
        <f aca="false">IF($B74="","",TEXT($B74,"yyyy年m月"))</f>
        <v/>
      </c>
    </row>
    <row r="75" customFormat="false" ht="18" hidden="false" customHeight="true" outlineLevel="0" collapsed="false">
      <c r="A75" s="107" t="str">
        <f aca="false">IF($C75="","",ROW()-3)</f>
        <v/>
      </c>
      <c r="B75" s="108"/>
      <c r="C75" s="84"/>
      <c r="D75" s="84"/>
      <c r="E75" s="18"/>
      <c r="F75" s="109"/>
      <c r="G75" s="109"/>
      <c r="H75" s="70" t="str">
        <f aca="false">IF($C75="","",ROUND(N($F75)*N($G75),2))</f>
        <v/>
      </c>
      <c r="I75" s="84" t="s">
        <v>266</v>
      </c>
      <c r="J75" s="70" t="str">
        <f aca="false">IF($C75="","",ROUND(N($H75),2))</f>
        <v/>
      </c>
      <c r="K75" s="70" t="n">
        <v>0</v>
      </c>
      <c r="L75" s="84"/>
      <c r="M75" s="84"/>
      <c r="N75" s="18"/>
      <c r="O75" s="84"/>
      <c r="P75" s="18"/>
      <c r="Q75" s="67" t="str">
        <f aca="false">IF(OR($C75="",ROUND(N($H75),2)=0),"",$L75)</f>
        <v/>
      </c>
      <c r="R75" s="70" t="str">
        <f aca="false">IF($Q75="","",ROUND(N($H75),2))</f>
        <v/>
      </c>
      <c r="S75" s="70" t="str">
        <f aca="false">IF($Q75="","",0)</f>
        <v/>
      </c>
      <c r="T75" s="67" t="str">
        <f aca="false">""</f>
        <v/>
      </c>
      <c r="U75" s="70" t="str">
        <f aca="false">IF($T75="","",0)</f>
        <v/>
      </c>
      <c r="V75" s="70" t="str">
        <f aca="false">IF($T75="","",0)</f>
        <v/>
      </c>
      <c r="W75" s="67" t="str">
        <f aca="false">IF($Q75="","","应付账款")</f>
        <v/>
      </c>
      <c r="X75" s="70" t="str">
        <f aca="false">IF($W75="","",0)</f>
        <v/>
      </c>
      <c r="Y75" s="70" t="str">
        <f aca="false">IF($W75="","",ROUND(N($H75),2))</f>
        <v/>
      </c>
      <c r="Z75" s="42"/>
      <c r="AA75" s="44"/>
      <c r="AB75" s="41" t="str">
        <f aca="false">IF($C75="","",ROUND(N($H75)-N($AA75),2))</f>
        <v/>
      </c>
      <c r="AC75" s="9" t="str">
        <f aca="false">IF($B75="","",TEXT($B75,"yyyy年m月"))</f>
        <v/>
      </c>
    </row>
    <row r="76" customFormat="false" ht="18" hidden="false" customHeight="true" outlineLevel="0" collapsed="false">
      <c r="A76" s="107" t="str">
        <f aca="false">IF($C76="","",ROW()-3)</f>
        <v/>
      </c>
      <c r="B76" s="108"/>
      <c r="C76" s="84"/>
      <c r="D76" s="84"/>
      <c r="E76" s="18"/>
      <c r="F76" s="109"/>
      <c r="G76" s="109"/>
      <c r="H76" s="70" t="str">
        <f aca="false">IF($C76="","",ROUND(N($F76)*N($G76),2))</f>
        <v/>
      </c>
      <c r="I76" s="84" t="s">
        <v>266</v>
      </c>
      <c r="J76" s="70" t="str">
        <f aca="false">IF($C76="","",ROUND(N($H76),2))</f>
        <v/>
      </c>
      <c r="K76" s="70" t="n">
        <v>0</v>
      </c>
      <c r="L76" s="84"/>
      <c r="M76" s="84"/>
      <c r="N76" s="18"/>
      <c r="O76" s="84"/>
      <c r="P76" s="18"/>
      <c r="Q76" s="67" t="str">
        <f aca="false">IF(OR($C76="",ROUND(N($H76),2)=0),"",$L76)</f>
        <v/>
      </c>
      <c r="R76" s="70" t="str">
        <f aca="false">IF($Q76="","",ROUND(N($H76),2))</f>
        <v/>
      </c>
      <c r="S76" s="70" t="str">
        <f aca="false">IF($Q76="","",0)</f>
        <v/>
      </c>
      <c r="T76" s="67" t="str">
        <f aca="false">""</f>
        <v/>
      </c>
      <c r="U76" s="70" t="str">
        <f aca="false">IF($T76="","",0)</f>
        <v/>
      </c>
      <c r="V76" s="70" t="str">
        <f aca="false">IF($T76="","",0)</f>
        <v/>
      </c>
      <c r="W76" s="67" t="str">
        <f aca="false">IF($Q76="","","应付账款")</f>
        <v/>
      </c>
      <c r="X76" s="70" t="str">
        <f aca="false">IF($W76="","",0)</f>
        <v/>
      </c>
      <c r="Y76" s="70" t="str">
        <f aca="false">IF($W76="","",ROUND(N($H76),2))</f>
        <v/>
      </c>
      <c r="Z76" s="42"/>
      <c r="AA76" s="44"/>
      <c r="AB76" s="41" t="str">
        <f aca="false">IF($C76="","",ROUND(N($H76)-N($AA76),2))</f>
        <v/>
      </c>
      <c r="AC76" s="9" t="str">
        <f aca="false">IF($B76="","",TEXT($B76,"yyyy年m月"))</f>
        <v/>
      </c>
    </row>
    <row r="77" customFormat="false" ht="18" hidden="false" customHeight="true" outlineLevel="0" collapsed="false">
      <c r="A77" s="107" t="str">
        <f aca="false">IF($C77="","",ROW()-3)</f>
        <v/>
      </c>
      <c r="B77" s="108"/>
      <c r="C77" s="84"/>
      <c r="D77" s="84"/>
      <c r="E77" s="18"/>
      <c r="F77" s="109"/>
      <c r="G77" s="109"/>
      <c r="H77" s="70" t="str">
        <f aca="false">IF($C77="","",ROUND(N($F77)*N($G77),2))</f>
        <v/>
      </c>
      <c r="I77" s="84" t="s">
        <v>266</v>
      </c>
      <c r="J77" s="70" t="str">
        <f aca="false">IF($C77="","",ROUND(N($H77),2))</f>
        <v/>
      </c>
      <c r="K77" s="70" t="n">
        <v>0</v>
      </c>
      <c r="L77" s="84"/>
      <c r="M77" s="84"/>
      <c r="N77" s="18"/>
      <c r="O77" s="84"/>
      <c r="P77" s="18"/>
      <c r="Q77" s="67" t="str">
        <f aca="false">IF(OR($C77="",ROUND(N($H77),2)=0),"",$L77)</f>
        <v/>
      </c>
      <c r="R77" s="70" t="str">
        <f aca="false">IF($Q77="","",ROUND(N($H77),2))</f>
        <v/>
      </c>
      <c r="S77" s="70" t="str">
        <f aca="false">IF($Q77="","",0)</f>
        <v/>
      </c>
      <c r="T77" s="67" t="str">
        <f aca="false">""</f>
        <v/>
      </c>
      <c r="U77" s="70" t="str">
        <f aca="false">IF($T77="","",0)</f>
        <v/>
      </c>
      <c r="V77" s="70" t="str">
        <f aca="false">IF($T77="","",0)</f>
        <v/>
      </c>
      <c r="W77" s="67" t="str">
        <f aca="false">IF($Q77="","","应付账款")</f>
        <v/>
      </c>
      <c r="X77" s="70" t="str">
        <f aca="false">IF($W77="","",0)</f>
        <v/>
      </c>
      <c r="Y77" s="70" t="str">
        <f aca="false">IF($W77="","",ROUND(N($H77),2))</f>
        <v/>
      </c>
      <c r="Z77" s="42"/>
      <c r="AA77" s="44"/>
      <c r="AB77" s="41" t="str">
        <f aca="false">IF($C77="","",ROUND(N($H77)-N($AA77),2))</f>
        <v/>
      </c>
      <c r="AC77" s="9" t="str">
        <f aca="false">IF($B77="","",TEXT($B77,"yyyy年m月"))</f>
        <v/>
      </c>
    </row>
    <row r="78" customFormat="false" ht="18" hidden="false" customHeight="true" outlineLevel="0" collapsed="false">
      <c r="A78" s="107" t="str">
        <f aca="false">IF($C78="","",ROW()-3)</f>
        <v/>
      </c>
      <c r="B78" s="108"/>
      <c r="C78" s="84"/>
      <c r="D78" s="84"/>
      <c r="E78" s="18"/>
      <c r="F78" s="109"/>
      <c r="G78" s="109"/>
      <c r="H78" s="70" t="str">
        <f aca="false">IF($C78="","",ROUND(N($F78)*N($G78),2))</f>
        <v/>
      </c>
      <c r="I78" s="84" t="s">
        <v>266</v>
      </c>
      <c r="J78" s="70" t="str">
        <f aca="false">IF($C78="","",ROUND(N($H78),2))</f>
        <v/>
      </c>
      <c r="K78" s="70" t="n">
        <v>0</v>
      </c>
      <c r="L78" s="84"/>
      <c r="M78" s="84"/>
      <c r="N78" s="18"/>
      <c r="O78" s="84"/>
      <c r="P78" s="18"/>
      <c r="Q78" s="67" t="str">
        <f aca="false">IF(OR($C78="",ROUND(N($H78),2)=0),"",$L78)</f>
        <v/>
      </c>
      <c r="R78" s="70" t="str">
        <f aca="false">IF($Q78="","",ROUND(N($H78),2))</f>
        <v/>
      </c>
      <c r="S78" s="70" t="str">
        <f aca="false">IF($Q78="","",0)</f>
        <v/>
      </c>
      <c r="T78" s="67" t="str">
        <f aca="false">""</f>
        <v/>
      </c>
      <c r="U78" s="70" t="str">
        <f aca="false">IF($T78="","",0)</f>
        <v/>
      </c>
      <c r="V78" s="70" t="str">
        <f aca="false">IF($T78="","",0)</f>
        <v/>
      </c>
      <c r="W78" s="67" t="str">
        <f aca="false">IF($Q78="","","应付账款")</f>
        <v/>
      </c>
      <c r="X78" s="70" t="str">
        <f aca="false">IF($W78="","",0)</f>
        <v/>
      </c>
      <c r="Y78" s="70" t="str">
        <f aca="false">IF($W78="","",ROUND(N($H78),2))</f>
        <v/>
      </c>
      <c r="Z78" s="42"/>
      <c r="AA78" s="44"/>
      <c r="AB78" s="41" t="str">
        <f aca="false">IF($C78="","",ROUND(N($H78)-N($AA78),2))</f>
        <v/>
      </c>
      <c r="AC78" s="9" t="str">
        <f aca="false">IF($B78="","",TEXT($B78,"yyyy年m月"))</f>
        <v/>
      </c>
    </row>
    <row r="79" customFormat="false" ht="18" hidden="false" customHeight="true" outlineLevel="0" collapsed="false">
      <c r="A79" s="107" t="str">
        <f aca="false">IF($C79="","",ROW()-3)</f>
        <v/>
      </c>
      <c r="B79" s="108"/>
      <c r="C79" s="84"/>
      <c r="D79" s="84"/>
      <c r="E79" s="18"/>
      <c r="F79" s="109"/>
      <c r="G79" s="109"/>
      <c r="H79" s="70" t="str">
        <f aca="false">IF($C79="","",ROUND(N($F79)*N($G79),2))</f>
        <v/>
      </c>
      <c r="I79" s="84" t="s">
        <v>266</v>
      </c>
      <c r="J79" s="70" t="str">
        <f aca="false">IF($C79="","",ROUND(N($H79),2))</f>
        <v/>
      </c>
      <c r="K79" s="70" t="n">
        <v>0</v>
      </c>
      <c r="L79" s="84"/>
      <c r="M79" s="84"/>
      <c r="N79" s="18"/>
      <c r="O79" s="84"/>
      <c r="P79" s="18"/>
      <c r="Q79" s="67" t="str">
        <f aca="false">IF(OR($C79="",ROUND(N($H79),2)=0),"",$L79)</f>
        <v/>
      </c>
      <c r="R79" s="70" t="str">
        <f aca="false">IF($Q79="","",ROUND(N($H79),2))</f>
        <v/>
      </c>
      <c r="S79" s="70" t="str">
        <f aca="false">IF($Q79="","",0)</f>
        <v/>
      </c>
      <c r="T79" s="67" t="str">
        <f aca="false">""</f>
        <v/>
      </c>
      <c r="U79" s="70" t="str">
        <f aca="false">IF($T79="","",0)</f>
        <v/>
      </c>
      <c r="V79" s="70" t="str">
        <f aca="false">IF($T79="","",0)</f>
        <v/>
      </c>
      <c r="W79" s="67" t="str">
        <f aca="false">IF($Q79="","","应付账款")</f>
        <v/>
      </c>
      <c r="X79" s="70" t="str">
        <f aca="false">IF($W79="","",0)</f>
        <v/>
      </c>
      <c r="Y79" s="70" t="str">
        <f aca="false">IF($W79="","",ROUND(N($H79),2))</f>
        <v/>
      </c>
      <c r="Z79" s="42"/>
      <c r="AA79" s="44"/>
      <c r="AB79" s="41" t="str">
        <f aca="false">IF($C79="","",ROUND(N($H79)-N($AA79),2))</f>
        <v/>
      </c>
      <c r="AC79" s="9" t="str">
        <f aca="false">IF($B79="","",TEXT($B79,"yyyy年m月"))</f>
        <v/>
      </c>
    </row>
    <row r="80" customFormat="false" ht="18" hidden="false" customHeight="true" outlineLevel="0" collapsed="false">
      <c r="A80" s="107" t="str">
        <f aca="false">IF($C80="","",ROW()-3)</f>
        <v/>
      </c>
      <c r="B80" s="108"/>
      <c r="C80" s="84"/>
      <c r="D80" s="84"/>
      <c r="E80" s="18"/>
      <c r="F80" s="109"/>
      <c r="G80" s="109"/>
      <c r="H80" s="70" t="str">
        <f aca="false">IF($C80="","",ROUND(N($F80)*N($G80),2))</f>
        <v/>
      </c>
      <c r="I80" s="84" t="s">
        <v>266</v>
      </c>
      <c r="J80" s="70" t="str">
        <f aca="false">IF($C80="","",ROUND(N($H80),2))</f>
        <v/>
      </c>
      <c r="K80" s="70" t="n">
        <v>0</v>
      </c>
      <c r="L80" s="84"/>
      <c r="M80" s="84"/>
      <c r="N80" s="18"/>
      <c r="O80" s="84"/>
      <c r="P80" s="18"/>
      <c r="Q80" s="67" t="str">
        <f aca="false">IF(OR($C80="",ROUND(N($H80),2)=0),"",$L80)</f>
        <v/>
      </c>
      <c r="R80" s="70" t="str">
        <f aca="false">IF($Q80="","",ROUND(N($H80),2))</f>
        <v/>
      </c>
      <c r="S80" s="70" t="str">
        <f aca="false">IF($Q80="","",0)</f>
        <v/>
      </c>
      <c r="T80" s="67" t="str">
        <f aca="false">""</f>
        <v/>
      </c>
      <c r="U80" s="70" t="str">
        <f aca="false">IF($T80="","",0)</f>
        <v/>
      </c>
      <c r="V80" s="70" t="str">
        <f aca="false">IF($T80="","",0)</f>
        <v/>
      </c>
      <c r="W80" s="67" t="str">
        <f aca="false">IF($Q80="","","应付账款")</f>
        <v/>
      </c>
      <c r="X80" s="70" t="str">
        <f aca="false">IF($W80="","",0)</f>
        <v/>
      </c>
      <c r="Y80" s="70" t="str">
        <f aca="false">IF($W80="","",ROUND(N($H80),2))</f>
        <v/>
      </c>
      <c r="Z80" s="42"/>
      <c r="AA80" s="44"/>
      <c r="AB80" s="41" t="str">
        <f aca="false">IF($C80="","",ROUND(N($H80)-N($AA80),2))</f>
        <v/>
      </c>
      <c r="AC80" s="9" t="str">
        <f aca="false">IF($B80="","",TEXT($B80,"yyyy年m月"))</f>
        <v/>
      </c>
    </row>
    <row r="81" customFormat="false" ht="18" hidden="false" customHeight="true" outlineLevel="0" collapsed="false">
      <c r="A81" s="107" t="str">
        <f aca="false">IF($C81="","",ROW()-3)</f>
        <v/>
      </c>
      <c r="B81" s="108"/>
      <c r="C81" s="84"/>
      <c r="D81" s="84"/>
      <c r="E81" s="18"/>
      <c r="F81" s="109"/>
      <c r="G81" s="109"/>
      <c r="H81" s="70" t="str">
        <f aca="false">IF($C81="","",ROUND(N($F81)*N($G81),2))</f>
        <v/>
      </c>
      <c r="I81" s="84" t="s">
        <v>266</v>
      </c>
      <c r="J81" s="70" t="str">
        <f aca="false">IF($C81="","",ROUND(N($H81),2))</f>
        <v/>
      </c>
      <c r="K81" s="70" t="n">
        <v>0</v>
      </c>
      <c r="L81" s="84"/>
      <c r="M81" s="84"/>
      <c r="N81" s="18"/>
      <c r="O81" s="84"/>
      <c r="P81" s="18"/>
      <c r="Q81" s="67" t="str">
        <f aca="false">IF(OR($C81="",ROUND(N($H81),2)=0),"",$L81)</f>
        <v/>
      </c>
      <c r="R81" s="70" t="str">
        <f aca="false">IF($Q81="","",ROUND(N($H81),2))</f>
        <v/>
      </c>
      <c r="S81" s="70" t="str">
        <f aca="false">IF($Q81="","",0)</f>
        <v/>
      </c>
      <c r="T81" s="67" t="str">
        <f aca="false">""</f>
        <v/>
      </c>
      <c r="U81" s="70" t="str">
        <f aca="false">IF($T81="","",0)</f>
        <v/>
      </c>
      <c r="V81" s="70" t="str">
        <f aca="false">IF($T81="","",0)</f>
        <v/>
      </c>
      <c r="W81" s="67" t="str">
        <f aca="false">IF($Q81="","","应付账款")</f>
        <v/>
      </c>
      <c r="X81" s="70" t="str">
        <f aca="false">IF($W81="","",0)</f>
        <v/>
      </c>
      <c r="Y81" s="70" t="str">
        <f aca="false">IF($W81="","",ROUND(N($H81),2))</f>
        <v/>
      </c>
      <c r="Z81" s="42"/>
      <c r="AA81" s="44"/>
      <c r="AB81" s="41" t="str">
        <f aca="false">IF($C81="","",ROUND(N($H81)-N($AA81),2))</f>
        <v/>
      </c>
      <c r="AC81" s="9" t="str">
        <f aca="false">IF($B81="","",TEXT($B81,"yyyy年m月"))</f>
        <v/>
      </c>
    </row>
    <row r="82" customFormat="false" ht="18" hidden="false" customHeight="true" outlineLevel="0" collapsed="false">
      <c r="A82" s="107" t="str">
        <f aca="false">IF($C82="","",ROW()-3)</f>
        <v/>
      </c>
      <c r="B82" s="108"/>
      <c r="C82" s="84"/>
      <c r="D82" s="84"/>
      <c r="E82" s="18"/>
      <c r="F82" s="109"/>
      <c r="G82" s="109"/>
      <c r="H82" s="70" t="str">
        <f aca="false">IF($C82="","",ROUND(N($F82)*N($G82),2))</f>
        <v/>
      </c>
      <c r="I82" s="84" t="s">
        <v>266</v>
      </c>
      <c r="J82" s="70" t="str">
        <f aca="false">IF($C82="","",ROUND(N($H82),2))</f>
        <v/>
      </c>
      <c r="K82" s="70" t="n">
        <v>0</v>
      </c>
      <c r="L82" s="84"/>
      <c r="M82" s="84"/>
      <c r="N82" s="18"/>
      <c r="O82" s="84"/>
      <c r="P82" s="18"/>
      <c r="Q82" s="67" t="str">
        <f aca="false">IF(OR($C82="",ROUND(N($H82),2)=0),"",$L82)</f>
        <v/>
      </c>
      <c r="R82" s="70" t="str">
        <f aca="false">IF($Q82="","",ROUND(N($H82),2))</f>
        <v/>
      </c>
      <c r="S82" s="70" t="str">
        <f aca="false">IF($Q82="","",0)</f>
        <v/>
      </c>
      <c r="T82" s="67" t="str">
        <f aca="false">""</f>
        <v/>
      </c>
      <c r="U82" s="70" t="str">
        <f aca="false">IF($T82="","",0)</f>
        <v/>
      </c>
      <c r="V82" s="70" t="str">
        <f aca="false">IF($T82="","",0)</f>
        <v/>
      </c>
      <c r="W82" s="67" t="str">
        <f aca="false">IF($Q82="","","应付账款")</f>
        <v/>
      </c>
      <c r="X82" s="70" t="str">
        <f aca="false">IF($W82="","",0)</f>
        <v/>
      </c>
      <c r="Y82" s="70" t="str">
        <f aca="false">IF($W82="","",ROUND(N($H82),2))</f>
        <v/>
      </c>
      <c r="Z82" s="42"/>
      <c r="AA82" s="44"/>
      <c r="AB82" s="41" t="str">
        <f aca="false">IF($C82="","",ROUND(N($H82)-N($AA82),2))</f>
        <v/>
      </c>
      <c r="AC82" s="9" t="str">
        <f aca="false">IF($B82="","",TEXT($B82,"yyyy年m月"))</f>
        <v/>
      </c>
    </row>
    <row r="83" customFormat="false" ht="18" hidden="false" customHeight="true" outlineLevel="0" collapsed="false">
      <c r="A83" s="107" t="str">
        <f aca="false">IF($C83="","",ROW()-3)</f>
        <v/>
      </c>
      <c r="B83" s="108"/>
      <c r="C83" s="84"/>
      <c r="D83" s="84"/>
      <c r="E83" s="18"/>
      <c r="F83" s="109"/>
      <c r="G83" s="109"/>
      <c r="H83" s="70" t="str">
        <f aca="false">IF($C83="","",ROUND(N($F83)*N($G83),2))</f>
        <v/>
      </c>
      <c r="I83" s="84" t="s">
        <v>266</v>
      </c>
      <c r="J83" s="70" t="str">
        <f aca="false">IF($C83="","",ROUND(N($H83),2))</f>
        <v/>
      </c>
      <c r="K83" s="70" t="n">
        <v>0</v>
      </c>
      <c r="L83" s="84"/>
      <c r="M83" s="84"/>
      <c r="N83" s="18"/>
      <c r="O83" s="84"/>
      <c r="P83" s="18"/>
      <c r="Q83" s="67" t="str">
        <f aca="false">IF(OR($C83="",ROUND(N($H83),2)=0),"",$L83)</f>
        <v/>
      </c>
      <c r="R83" s="70" t="str">
        <f aca="false">IF($Q83="","",ROUND(N($H83),2))</f>
        <v/>
      </c>
      <c r="S83" s="70" t="str">
        <f aca="false">IF($Q83="","",0)</f>
        <v/>
      </c>
      <c r="T83" s="67" t="str">
        <f aca="false">""</f>
        <v/>
      </c>
      <c r="U83" s="70" t="str">
        <f aca="false">IF($T83="","",0)</f>
        <v/>
      </c>
      <c r="V83" s="70" t="str">
        <f aca="false">IF($T83="","",0)</f>
        <v/>
      </c>
      <c r="W83" s="67" t="str">
        <f aca="false">IF($Q83="","","应付账款")</f>
        <v/>
      </c>
      <c r="X83" s="70" t="str">
        <f aca="false">IF($W83="","",0)</f>
        <v/>
      </c>
      <c r="Y83" s="70" t="str">
        <f aca="false">IF($W83="","",ROUND(N($H83),2))</f>
        <v/>
      </c>
      <c r="Z83" s="42"/>
      <c r="AA83" s="44"/>
      <c r="AB83" s="41" t="str">
        <f aca="false">IF($C83="","",ROUND(N($H83)-N($AA83),2))</f>
        <v/>
      </c>
      <c r="AC83" s="9" t="str">
        <f aca="false">IF($B83="","",TEXT($B83,"yyyy年m月"))</f>
        <v/>
      </c>
    </row>
    <row r="84" customFormat="false" ht="18" hidden="false" customHeight="true" outlineLevel="0" collapsed="false">
      <c r="A84" s="107" t="str">
        <f aca="false">IF($C84="","",ROW()-3)</f>
        <v/>
      </c>
      <c r="B84" s="108"/>
      <c r="C84" s="84"/>
      <c r="D84" s="84"/>
      <c r="E84" s="18"/>
      <c r="F84" s="109"/>
      <c r="G84" s="109"/>
      <c r="H84" s="70" t="str">
        <f aca="false">IF($C84="","",ROUND(N($F84)*N($G84),2))</f>
        <v/>
      </c>
      <c r="I84" s="84" t="s">
        <v>266</v>
      </c>
      <c r="J84" s="70" t="str">
        <f aca="false">IF($C84="","",ROUND(N($H84),2))</f>
        <v/>
      </c>
      <c r="K84" s="70" t="n">
        <v>0</v>
      </c>
      <c r="L84" s="84"/>
      <c r="M84" s="84"/>
      <c r="N84" s="18"/>
      <c r="O84" s="84"/>
      <c r="P84" s="18"/>
      <c r="Q84" s="67" t="str">
        <f aca="false">IF(OR($C84="",ROUND(N($H84),2)=0),"",$L84)</f>
        <v/>
      </c>
      <c r="R84" s="70" t="str">
        <f aca="false">IF($Q84="","",ROUND(N($H84),2))</f>
        <v/>
      </c>
      <c r="S84" s="70" t="str">
        <f aca="false">IF($Q84="","",0)</f>
        <v/>
      </c>
      <c r="T84" s="67" t="str">
        <f aca="false">""</f>
        <v/>
      </c>
      <c r="U84" s="70" t="str">
        <f aca="false">IF($T84="","",0)</f>
        <v/>
      </c>
      <c r="V84" s="70" t="str">
        <f aca="false">IF($T84="","",0)</f>
        <v/>
      </c>
      <c r="W84" s="67" t="str">
        <f aca="false">IF($Q84="","","应付账款")</f>
        <v/>
      </c>
      <c r="X84" s="70" t="str">
        <f aca="false">IF($W84="","",0)</f>
        <v/>
      </c>
      <c r="Y84" s="70" t="str">
        <f aca="false">IF($W84="","",ROUND(N($H84),2))</f>
        <v/>
      </c>
      <c r="Z84" s="42"/>
      <c r="AA84" s="44"/>
      <c r="AB84" s="41" t="str">
        <f aca="false">IF($C84="","",ROUND(N($H84)-N($AA84),2))</f>
        <v/>
      </c>
      <c r="AC84" s="9" t="str">
        <f aca="false">IF($B84="","",TEXT($B84,"yyyy年m月"))</f>
        <v/>
      </c>
    </row>
    <row r="85" customFormat="false" ht="18" hidden="false" customHeight="true" outlineLevel="0" collapsed="false">
      <c r="A85" s="107" t="str">
        <f aca="false">IF($C85="","",ROW()-3)</f>
        <v/>
      </c>
      <c r="B85" s="108"/>
      <c r="C85" s="84"/>
      <c r="D85" s="84"/>
      <c r="E85" s="18"/>
      <c r="F85" s="109"/>
      <c r="G85" s="109"/>
      <c r="H85" s="70" t="str">
        <f aca="false">IF($C85="","",ROUND(N($F85)*N($G85),2))</f>
        <v/>
      </c>
      <c r="I85" s="84" t="s">
        <v>266</v>
      </c>
      <c r="J85" s="70" t="str">
        <f aca="false">IF($C85="","",ROUND(N($H85),2))</f>
        <v/>
      </c>
      <c r="K85" s="70" t="n">
        <v>0</v>
      </c>
      <c r="L85" s="84"/>
      <c r="M85" s="84"/>
      <c r="N85" s="18"/>
      <c r="O85" s="84"/>
      <c r="P85" s="18"/>
      <c r="Q85" s="67" t="str">
        <f aca="false">IF(OR($C85="",ROUND(N($H85),2)=0),"",$L85)</f>
        <v/>
      </c>
      <c r="R85" s="70" t="str">
        <f aca="false">IF($Q85="","",ROUND(N($H85),2))</f>
        <v/>
      </c>
      <c r="S85" s="70" t="str">
        <f aca="false">IF($Q85="","",0)</f>
        <v/>
      </c>
      <c r="T85" s="67" t="str">
        <f aca="false">""</f>
        <v/>
      </c>
      <c r="U85" s="70" t="str">
        <f aca="false">IF($T85="","",0)</f>
        <v/>
      </c>
      <c r="V85" s="70" t="str">
        <f aca="false">IF($T85="","",0)</f>
        <v/>
      </c>
      <c r="W85" s="67" t="str">
        <f aca="false">IF($Q85="","","应付账款")</f>
        <v/>
      </c>
      <c r="X85" s="70" t="str">
        <f aca="false">IF($W85="","",0)</f>
        <v/>
      </c>
      <c r="Y85" s="70" t="str">
        <f aca="false">IF($W85="","",ROUND(N($H85),2))</f>
        <v/>
      </c>
      <c r="Z85" s="42"/>
      <c r="AA85" s="44"/>
      <c r="AB85" s="41" t="str">
        <f aca="false">IF($C85="","",ROUND(N($H85)-N($AA85),2))</f>
        <v/>
      </c>
      <c r="AC85" s="9" t="str">
        <f aca="false">IF($B85="","",TEXT($B85,"yyyy年m月"))</f>
        <v/>
      </c>
    </row>
    <row r="86" customFormat="false" ht="18" hidden="false" customHeight="true" outlineLevel="0" collapsed="false">
      <c r="A86" s="107" t="str">
        <f aca="false">IF($C86="","",ROW()-3)</f>
        <v/>
      </c>
      <c r="B86" s="108"/>
      <c r="C86" s="84"/>
      <c r="D86" s="84"/>
      <c r="E86" s="18"/>
      <c r="F86" s="109"/>
      <c r="G86" s="109"/>
      <c r="H86" s="70" t="str">
        <f aca="false">IF($C86="","",ROUND(N($F86)*N($G86),2))</f>
        <v/>
      </c>
      <c r="I86" s="84" t="s">
        <v>266</v>
      </c>
      <c r="J86" s="70" t="str">
        <f aca="false">IF($C86="","",ROUND(N($H86),2))</f>
        <v/>
      </c>
      <c r="K86" s="70" t="n">
        <v>0</v>
      </c>
      <c r="L86" s="84"/>
      <c r="M86" s="84"/>
      <c r="N86" s="18"/>
      <c r="O86" s="84"/>
      <c r="P86" s="18"/>
      <c r="Q86" s="67" t="str">
        <f aca="false">IF(OR($C86="",ROUND(N($H86),2)=0),"",$L86)</f>
        <v/>
      </c>
      <c r="R86" s="70" t="str">
        <f aca="false">IF($Q86="","",ROUND(N($H86),2))</f>
        <v/>
      </c>
      <c r="S86" s="70" t="str">
        <f aca="false">IF($Q86="","",0)</f>
        <v/>
      </c>
      <c r="T86" s="67" t="str">
        <f aca="false">""</f>
        <v/>
      </c>
      <c r="U86" s="70" t="str">
        <f aca="false">IF($T86="","",0)</f>
        <v/>
      </c>
      <c r="V86" s="70" t="str">
        <f aca="false">IF($T86="","",0)</f>
        <v/>
      </c>
      <c r="W86" s="67" t="str">
        <f aca="false">IF($Q86="","","应付账款")</f>
        <v/>
      </c>
      <c r="X86" s="70" t="str">
        <f aca="false">IF($W86="","",0)</f>
        <v/>
      </c>
      <c r="Y86" s="70" t="str">
        <f aca="false">IF($W86="","",ROUND(N($H86),2))</f>
        <v/>
      </c>
      <c r="Z86" s="42"/>
      <c r="AA86" s="44"/>
      <c r="AB86" s="41" t="str">
        <f aca="false">IF($C86="","",ROUND(N($H86)-N($AA86),2))</f>
        <v/>
      </c>
      <c r="AC86" s="9" t="str">
        <f aca="false">IF($B86="","",TEXT($B86,"yyyy年m月"))</f>
        <v/>
      </c>
    </row>
    <row r="87" customFormat="false" ht="18" hidden="false" customHeight="true" outlineLevel="0" collapsed="false">
      <c r="A87" s="107" t="str">
        <f aca="false">IF($C87="","",ROW()-3)</f>
        <v/>
      </c>
      <c r="B87" s="108"/>
      <c r="C87" s="84"/>
      <c r="D87" s="84"/>
      <c r="E87" s="18"/>
      <c r="F87" s="109"/>
      <c r="G87" s="109"/>
      <c r="H87" s="70" t="str">
        <f aca="false">IF($C87="","",ROUND(N($F87)*N($G87),2))</f>
        <v/>
      </c>
      <c r="I87" s="84" t="s">
        <v>266</v>
      </c>
      <c r="J87" s="70" t="str">
        <f aca="false">IF($C87="","",ROUND(N($H87),2))</f>
        <v/>
      </c>
      <c r="K87" s="70" t="n">
        <v>0</v>
      </c>
      <c r="L87" s="84"/>
      <c r="M87" s="84"/>
      <c r="N87" s="18"/>
      <c r="O87" s="84"/>
      <c r="P87" s="18"/>
      <c r="Q87" s="67" t="str">
        <f aca="false">IF(OR($C87="",ROUND(N($H87),2)=0),"",$L87)</f>
        <v/>
      </c>
      <c r="R87" s="70" t="str">
        <f aca="false">IF($Q87="","",ROUND(N($H87),2))</f>
        <v/>
      </c>
      <c r="S87" s="70" t="str">
        <f aca="false">IF($Q87="","",0)</f>
        <v/>
      </c>
      <c r="T87" s="67" t="str">
        <f aca="false">""</f>
        <v/>
      </c>
      <c r="U87" s="70" t="str">
        <f aca="false">IF($T87="","",0)</f>
        <v/>
      </c>
      <c r="V87" s="70" t="str">
        <f aca="false">IF($T87="","",0)</f>
        <v/>
      </c>
      <c r="W87" s="67" t="str">
        <f aca="false">IF($Q87="","","应付账款")</f>
        <v/>
      </c>
      <c r="X87" s="70" t="str">
        <f aca="false">IF($W87="","",0)</f>
        <v/>
      </c>
      <c r="Y87" s="70" t="str">
        <f aca="false">IF($W87="","",ROUND(N($H87),2))</f>
        <v/>
      </c>
      <c r="Z87" s="42"/>
      <c r="AA87" s="44"/>
      <c r="AB87" s="41" t="str">
        <f aca="false">IF($C87="","",ROUND(N($H87)-N($AA87),2))</f>
        <v/>
      </c>
      <c r="AC87" s="9" t="str">
        <f aca="false">IF($B87="","",TEXT($B87,"yyyy年m月"))</f>
        <v/>
      </c>
    </row>
    <row r="88" customFormat="false" ht="18" hidden="false" customHeight="true" outlineLevel="0" collapsed="false">
      <c r="A88" s="107" t="str">
        <f aca="false">IF($C88="","",ROW()-3)</f>
        <v/>
      </c>
      <c r="B88" s="108"/>
      <c r="C88" s="84"/>
      <c r="D88" s="84"/>
      <c r="E88" s="18"/>
      <c r="F88" s="109"/>
      <c r="G88" s="109"/>
      <c r="H88" s="70" t="str">
        <f aca="false">IF($C88="","",ROUND(N($F88)*N($G88),2))</f>
        <v/>
      </c>
      <c r="I88" s="84" t="s">
        <v>266</v>
      </c>
      <c r="J88" s="70" t="str">
        <f aca="false">IF($C88="","",ROUND(N($H88),2))</f>
        <v/>
      </c>
      <c r="K88" s="70" t="n">
        <v>0</v>
      </c>
      <c r="L88" s="84"/>
      <c r="M88" s="84"/>
      <c r="N88" s="18"/>
      <c r="O88" s="84"/>
      <c r="P88" s="18"/>
      <c r="Q88" s="67" t="str">
        <f aca="false">IF(OR($C88="",ROUND(N($H88),2)=0),"",$L88)</f>
        <v/>
      </c>
      <c r="R88" s="70" t="str">
        <f aca="false">IF($Q88="","",ROUND(N($H88),2))</f>
        <v/>
      </c>
      <c r="S88" s="70" t="str">
        <f aca="false">IF($Q88="","",0)</f>
        <v/>
      </c>
      <c r="T88" s="67" t="str">
        <f aca="false">""</f>
        <v/>
      </c>
      <c r="U88" s="70" t="str">
        <f aca="false">IF($T88="","",0)</f>
        <v/>
      </c>
      <c r="V88" s="70" t="str">
        <f aca="false">IF($T88="","",0)</f>
        <v/>
      </c>
      <c r="W88" s="67" t="str">
        <f aca="false">IF($Q88="","","应付账款")</f>
        <v/>
      </c>
      <c r="X88" s="70" t="str">
        <f aca="false">IF($W88="","",0)</f>
        <v/>
      </c>
      <c r="Y88" s="70" t="str">
        <f aca="false">IF($W88="","",ROUND(N($H88),2))</f>
        <v/>
      </c>
      <c r="Z88" s="42"/>
      <c r="AA88" s="44"/>
      <c r="AB88" s="41" t="str">
        <f aca="false">IF($C88="","",ROUND(N($H88)-N($AA88),2))</f>
        <v/>
      </c>
      <c r="AC88" s="9" t="str">
        <f aca="false">IF($B88="","",TEXT($B88,"yyyy年m月"))</f>
        <v/>
      </c>
    </row>
    <row r="89" customFormat="false" ht="18" hidden="false" customHeight="true" outlineLevel="0" collapsed="false">
      <c r="A89" s="107" t="str">
        <f aca="false">IF($C89="","",ROW()-3)</f>
        <v/>
      </c>
      <c r="B89" s="108"/>
      <c r="C89" s="84"/>
      <c r="D89" s="84"/>
      <c r="E89" s="18"/>
      <c r="F89" s="109"/>
      <c r="G89" s="109"/>
      <c r="H89" s="70" t="str">
        <f aca="false">IF($C89="","",ROUND(N($F89)*N($G89),2))</f>
        <v/>
      </c>
      <c r="I89" s="84" t="s">
        <v>266</v>
      </c>
      <c r="J89" s="70" t="str">
        <f aca="false">IF($C89="","",ROUND(N($H89),2))</f>
        <v/>
      </c>
      <c r="K89" s="70" t="n">
        <v>0</v>
      </c>
      <c r="L89" s="84"/>
      <c r="M89" s="84"/>
      <c r="N89" s="18"/>
      <c r="O89" s="84"/>
      <c r="P89" s="18"/>
      <c r="Q89" s="67" t="str">
        <f aca="false">IF(OR($C89="",ROUND(N($H89),2)=0),"",$L89)</f>
        <v/>
      </c>
      <c r="R89" s="70" t="str">
        <f aca="false">IF($Q89="","",ROUND(N($H89),2))</f>
        <v/>
      </c>
      <c r="S89" s="70" t="str">
        <f aca="false">IF($Q89="","",0)</f>
        <v/>
      </c>
      <c r="T89" s="67" t="str">
        <f aca="false">""</f>
        <v/>
      </c>
      <c r="U89" s="70" t="str">
        <f aca="false">IF($T89="","",0)</f>
        <v/>
      </c>
      <c r="V89" s="70" t="str">
        <f aca="false">IF($T89="","",0)</f>
        <v/>
      </c>
      <c r="W89" s="67" t="str">
        <f aca="false">IF($Q89="","","应付账款")</f>
        <v/>
      </c>
      <c r="X89" s="70" t="str">
        <f aca="false">IF($W89="","",0)</f>
        <v/>
      </c>
      <c r="Y89" s="70" t="str">
        <f aca="false">IF($W89="","",ROUND(N($H89),2))</f>
        <v/>
      </c>
      <c r="Z89" s="42"/>
      <c r="AA89" s="44"/>
      <c r="AB89" s="41" t="str">
        <f aca="false">IF($C89="","",ROUND(N($H89)-N($AA89),2))</f>
        <v/>
      </c>
      <c r="AC89" s="9" t="str">
        <f aca="false">IF($B89="","",TEXT($B89,"yyyy年m月"))</f>
        <v/>
      </c>
    </row>
    <row r="90" customFormat="false" ht="18" hidden="false" customHeight="true" outlineLevel="0" collapsed="false">
      <c r="A90" s="107" t="str">
        <f aca="false">IF($C90="","",ROW()-3)</f>
        <v/>
      </c>
      <c r="B90" s="108"/>
      <c r="C90" s="84"/>
      <c r="D90" s="84"/>
      <c r="E90" s="18"/>
      <c r="F90" s="109"/>
      <c r="G90" s="109"/>
      <c r="H90" s="70" t="str">
        <f aca="false">IF($C90="","",ROUND(N($F90)*N($G90),2))</f>
        <v/>
      </c>
      <c r="I90" s="84" t="s">
        <v>266</v>
      </c>
      <c r="J90" s="70" t="str">
        <f aca="false">IF($C90="","",ROUND(N($H90),2))</f>
        <v/>
      </c>
      <c r="K90" s="70" t="n">
        <v>0</v>
      </c>
      <c r="L90" s="84"/>
      <c r="M90" s="84"/>
      <c r="N90" s="18"/>
      <c r="O90" s="84"/>
      <c r="P90" s="18"/>
      <c r="Q90" s="67" t="str">
        <f aca="false">IF(OR($C90="",ROUND(N($H90),2)=0),"",$L90)</f>
        <v/>
      </c>
      <c r="R90" s="70" t="str">
        <f aca="false">IF($Q90="","",ROUND(N($H90),2))</f>
        <v/>
      </c>
      <c r="S90" s="70" t="str">
        <f aca="false">IF($Q90="","",0)</f>
        <v/>
      </c>
      <c r="T90" s="67" t="str">
        <f aca="false">""</f>
        <v/>
      </c>
      <c r="U90" s="70" t="str">
        <f aca="false">IF($T90="","",0)</f>
        <v/>
      </c>
      <c r="V90" s="70" t="str">
        <f aca="false">IF($T90="","",0)</f>
        <v/>
      </c>
      <c r="W90" s="67" t="str">
        <f aca="false">IF($Q90="","","应付账款")</f>
        <v/>
      </c>
      <c r="X90" s="70" t="str">
        <f aca="false">IF($W90="","",0)</f>
        <v/>
      </c>
      <c r="Y90" s="70" t="str">
        <f aca="false">IF($W90="","",ROUND(N($H90),2))</f>
        <v/>
      </c>
      <c r="Z90" s="42"/>
      <c r="AA90" s="44"/>
      <c r="AB90" s="41" t="str">
        <f aca="false">IF($C90="","",ROUND(N($H90)-N($AA90),2))</f>
        <v/>
      </c>
      <c r="AC90" s="9" t="str">
        <f aca="false">IF($B90="","",TEXT($B90,"yyyy年m月"))</f>
        <v/>
      </c>
    </row>
    <row r="91" customFormat="false" ht="18" hidden="false" customHeight="true" outlineLevel="0" collapsed="false">
      <c r="A91" s="107" t="str">
        <f aca="false">IF($C91="","",ROW()-3)</f>
        <v/>
      </c>
      <c r="B91" s="108"/>
      <c r="C91" s="84"/>
      <c r="D91" s="84"/>
      <c r="E91" s="18"/>
      <c r="F91" s="109"/>
      <c r="G91" s="109"/>
      <c r="H91" s="70" t="str">
        <f aca="false">IF($C91="","",ROUND(N($F91)*N($G91),2))</f>
        <v/>
      </c>
      <c r="I91" s="84" t="s">
        <v>266</v>
      </c>
      <c r="J91" s="70" t="str">
        <f aca="false">IF($C91="","",ROUND(N($H91),2))</f>
        <v/>
      </c>
      <c r="K91" s="70" t="n">
        <v>0</v>
      </c>
      <c r="L91" s="84"/>
      <c r="M91" s="84"/>
      <c r="N91" s="18"/>
      <c r="O91" s="84"/>
      <c r="P91" s="18"/>
      <c r="Q91" s="67" t="str">
        <f aca="false">IF(OR($C91="",ROUND(N($H91),2)=0),"",$L91)</f>
        <v/>
      </c>
      <c r="R91" s="70" t="str">
        <f aca="false">IF($Q91="","",ROUND(N($H91),2))</f>
        <v/>
      </c>
      <c r="S91" s="70" t="str">
        <f aca="false">IF($Q91="","",0)</f>
        <v/>
      </c>
      <c r="T91" s="67" t="str">
        <f aca="false">""</f>
        <v/>
      </c>
      <c r="U91" s="70" t="str">
        <f aca="false">IF($T91="","",0)</f>
        <v/>
      </c>
      <c r="V91" s="70" t="str">
        <f aca="false">IF($T91="","",0)</f>
        <v/>
      </c>
      <c r="W91" s="67" t="str">
        <f aca="false">IF($Q91="","","应付账款")</f>
        <v/>
      </c>
      <c r="X91" s="70" t="str">
        <f aca="false">IF($W91="","",0)</f>
        <v/>
      </c>
      <c r="Y91" s="70" t="str">
        <f aca="false">IF($W91="","",ROUND(N($H91),2))</f>
        <v/>
      </c>
      <c r="Z91" s="42"/>
      <c r="AA91" s="44"/>
      <c r="AB91" s="41" t="str">
        <f aca="false">IF($C91="","",ROUND(N($H91)-N($AA91),2))</f>
        <v/>
      </c>
      <c r="AC91" s="9" t="str">
        <f aca="false">IF($B91="","",TEXT($B91,"yyyy年m月"))</f>
        <v/>
      </c>
    </row>
    <row r="92" customFormat="false" ht="18" hidden="false" customHeight="true" outlineLevel="0" collapsed="false">
      <c r="A92" s="107" t="str">
        <f aca="false">IF($C92="","",ROW()-3)</f>
        <v/>
      </c>
      <c r="B92" s="108"/>
      <c r="C92" s="84"/>
      <c r="D92" s="84"/>
      <c r="E92" s="18"/>
      <c r="F92" s="109"/>
      <c r="G92" s="109"/>
      <c r="H92" s="70" t="str">
        <f aca="false">IF($C92="","",ROUND(N($F92)*N($G92),2))</f>
        <v/>
      </c>
      <c r="I92" s="84" t="s">
        <v>266</v>
      </c>
      <c r="J92" s="70" t="str">
        <f aca="false">IF($C92="","",ROUND(N($H92),2))</f>
        <v/>
      </c>
      <c r="K92" s="70" t="n">
        <v>0</v>
      </c>
      <c r="L92" s="84"/>
      <c r="M92" s="84"/>
      <c r="N92" s="18"/>
      <c r="O92" s="84"/>
      <c r="P92" s="18"/>
      <c r="Q92" s="67" t="str">
        <f aca="false">IF(OR($C92="",ROUND(N($H92),2)=0),"",$L92)</f>
        <v/>
      </c>
      <c r="R92" s="70" t="str">
        <f aca="false">IF($Q92="","",ROUND(N($H92),2))</f>
        <v/>
      </c>
      <c r="S92" s="70" t="str">
        <f aca="false">IF($Q92="","",0)</f>
        <v/>
      </c>
      <c r="T92" s="67" t="str">
        <f aca="false">""</f>
        <v/>
      </c>
      <c r="U92" s="70" t="str">
        <f aca="false">IF($T92="","",0)</f>
        <v/>
      </c>
      <c r="V92" s="70" t="str">
        <f aca="false">IF($T92="","",0)</f>
        <v/>
      </c>
      <c r="W92" s="67" t="str">
        <f aca="false">IF($Q92="","","应付账款")</f>
        <v/>
      </c>
      <c r="X92" s="70" t="str">
        <f aca="false">IF($W92="","",0)</f>
        <v/>
      </c>
      <c r="Y92" s="70" t="str">
        <f aca="false">IF($W92="","",ROUND(N($H92),2))</f>
        <v/>
      </c>
      <c r="Z92" s="42"/>
      <c r="AA92" s="44"/>
      <c r="AB92" s="41" t="str">
        <f aca="false">IF($C92="","",ROUND(N($H92)-N($AA92),2))</f>
        <v/>
      </c>
      <c r="AC92" s="9" t="str">
        <f aca="false">IF($B92="","",TEXT($B92,"yyyy年m月"))</f>
        <v/>
      </c>
    </row>
    <row r="93" customFormat="false" ht="18" hidden="false" customHeight="true" outlineLevel="0" collapsed="false">
      <c r="A93" s="107" t="str">
        <f aca="false">IF($C93="","",ROW()-3)</f>
        <v/>
      </c>
      <c r="B93" s="108"/>
      <c r="C93" s="84"/>
      <c r="D93" s="84"/>
      <c r="E93" s="18"/>
      <c r="F93" s="109"/>
      <c r="G93" s="109"/>
      <c r="H93" s="70" t="str">
        <f aca="false">IF($C93="","",ROUND(N($F93)*N($G93),2))</f>
        <v/>
      </c>
      <c r="I93" s="84" t="s">
        <v>266</v>
      </c>
      <c r="J93" s="70" t="str">
        <f aca="false">IF($C93="","",ROUND(N($H93),2))</f>
        <v/>
      </c>
      <c r="K93" s="70" t="n">
        <v>0</v>
      </c>
      <c r="L93" s="84"/>
      <c r="M93" s="84"/>
      <c r="N93" s="18"/>
      <c r="O93" s="84"/>
      <c r="P93" s="18"/>
      <c r="Q93" s="67" t="str">
        <f aca="false">IF(OR($C93="",ROUND(N($H93),2)=0),"",$L93)</f>
        <v/>
      </c>
      <c r="R93" s="70" t="str">
        <f aca="false">IF($Q93="","",ROUND(N($H93),2))</f>
        <v/>
      </c>
      <c r="S93" s="70" t="str">
        <f aca="false">IF($Q93="","",0)</f>
        <v/>
      </c>
      <c r="T93" s="67" t="str">
        <f aca="false">""</f>
        <v/>
      </c>
      <c r="U93" s="70" t="str">
        <f aca="false">IF($T93="","",0)</f>
        <v/>
      </c>
      <c r="V93" s="70" t="str">
        <f aca="false">IF($T93="","",0)</f>
        <v/>
      </c>
      <c r="W93" s="67" t="str">
        <f aca="false">IF($Q93="","","应付账款")</f>
        <v/>
      </c>
      <c r="X93" s="70" t="str">
        <f aca="false">IF($W93="","",0)</f>
        <v/>
      </c>
      <c r="Y93" s="70" t="str">
        <f aca="false">IF($W93="","",ROUND(N($H93),2))</f>
        <v/>
      </c>
      <c r="Z93" s="42"/>
      <c r="AA93" s="44"/>
      <c r="AB93" s="41" t="str">
        <f aca="false">IF($C93="","",ROUND(N($H93)-N($AA93),2))</f>
        <v/>
      </c>
      <c r="AC93" s="9" t="str">
        <f aca="false">IF($B93="","",TEXT($B93,"yyyy年m月"))</f>
        <v/>
      </c>
    </row>
    <row r="94" customFormat="false" ht="18" hidden="false" customHeight="true" outlineLevel="0" collapsed="false">
      <c r="A94" s="107" t="str">
        <f aca="false">IF($C94="","",ROW()-3)</f>
        <v/>
      </c>
      <c r="B94" s="108"/>
      <c r="C94" s="84"/>
      <c r="D94" s="84"/>
      <c r="E94" s="18"/>
      <c r="F94" s="109"/>
      <c r="G94" s="109"/>
      <c r="H94" s="70" t="str">
        <f aca="false">IF($C94="","",ROUND(N($F94)*N($G94),2))</f>
        <v/>
      </c>
      <c r="I94" s="84" t="s">
        <v>266</v>
      </c>
      <c r="J94" s="70" t="str">
        <f aca="false">IF($C94="","",ROUND(N($H94),2))</f>
        <v/>
      </c>
      <c r="K94" s="70" t="n">
        <v>0</v>
      </c>
      <c r="L94" s="84"/>
      <c r="M94" s="84"/>
      <c r="N94" s="18"/>
      <c r="O94" s="84"/>
      <c r="P94" s="18"/>
      <c r="Q94" s="67" t="str">
        <f aca="false">IF(OR($C94="",ROUND(N($H94),2)=0),"",$L94)</f>
        <v/>
      </c>
      <c r="R94" s="70" t="str">
        <f aca="false">IF($Q94="","",ROUND(N($H94),2))</f>
        <v/>
      </c>
      <c r="S94" s="70" t="str">
        <f aca="false">IF($Q94="","",0)</f>
        <v/>
      </c>
      <c r="T94" s="67" t="str">
        <f aca="false">""</f>
        <v/>
      </c>
      <c r="U94" s="70" t="str">
        <f aca="false">IF($T94="","",0)</f>
        <v/>
      </c>
      <c r="V94" s="70" t="str">
        <f aca="false">IF($T94="","",0)</f>
        <v/>
      </c>
      <c r="W94" s="67" t="str">
        <f aca="false">IF($Q94="","","应付账款")</f>
        <v/>
      </c>
      <c r="X94" s="70" t="str">
        <f aca="false">IF($W94="","",0)</f>
        <v/>
      </c>
      <c r="Y94" s="70" t="str">
        <f aca="false">IF($W94="","",ROUND(N($H94),2))</f>
        <v/>
      </c>
      <c r="Z94" s="42"/>
      <c r="AA94" s="44"/>
      <c r="AB94" s="41" t="str">
        <f aca="false">IF($C94="","",ROUND(N($H94)-N($AA94),2))</f>
        <v/>
      </c>
      <c r="AC94" s="9" t="str">
        <f aca="false">IF($B94="","",TEXT($B94,"yyyy年m月"))</f>
        <v/>
      </c>
    </row>
    <row r="95" customFormat="false" ht="18" hidden="false" customHeight="true" outlineLevel="0" collapsed="false">
      <c r="A95" s="107" t="str">
        <f aca="false">IF($C95="","",ROW()-3)</f>
        <v/>
      </c>
      <c r="B95" s="108"/>
      <c r="C95" s="84"/>
      <c r="D95" s="84"/>
      <c r="E95" s="18"/>
      <c r="F95" s="109"/>
      <c r="G95" s="109"/>
      <c r="H95" s="70" t="str">
        <f aca="false">IF($C95="","",ROUND(N($F95)*N($G95),2))</f>
        <v/>
      </c>
      <c r="I95" s="84" t="s">
        <v>266</v>
      </c>
      <c r="J95" s="70" t="str">
        <f aca="false">IF($C95="","",ROUND(N($H95),2))</f>
        <v/>
      </c>
      <c r="K95" s="70" t="n">
        <v>0</v>
      </c>
      <c r="L95" s="84"/>
      <c r="M95" s="84"/>
      <c r="N95" s="18"/>
      <c r="O95" s="84"/>
      <c r="P95" s="18"/>
      <c r="Q95" s="67" t="str">
        <f aca="false">IF(OR($C95="",ROUND(N($H95),2)=0),"",$L95)</f>
        <v/>
      </c>
      <c r="R95" s="70" t="str">
        <f aca="false">IF($Q95="","",ROUND(N($H95),2))</f>
        <v/>
      </c>
      <c r="S95" s="70" t="str">
        <f aca="false">IF($Q95="","",0)</f>
        <v/>
      </c>
      <c r="T95" s="67" t="str">
        <f aca="false">""</f>
        <v/>
      </c>
      <c r="U95" s="70" t="str">
        <f aca="false">IF($T95="","",0)</f>
        <v/>
      </c>
      <c r="V95" s="70" t="str">
        <f aca="false">IF($T95="","",0)</f>
        <v/>
      </c>
      <c r="W95" s="67" t="str">
        <f aca="false">IF($Q95="","","应付账款")</f>
        <v/>
      </c>
      <c r="X95" s="70" t="str">
        <f aca="false">IF($W95="","",0)</f>
        <v/>
      </c>
      <c r="Y95" s="70" t="str">
        <f aca="false">IF($W95="","",ROUND(N($H95),2))</f>
        <v/>
      </c>
      <c r="Z95" s="42"/>
      <c r="AA95" s="44"/>
      <c r="AB95" s="41" t="str">
        <f aca="false">IF($C95="","",ROUND(N($H95)-N($AA95),2))</f>
        <v/>
      </c>
      <c r="AC95" s="9" t="str">
        <f aca="false">IF($B95="","",TEXT($B95,"yyyy年m月"))</f>
        <v/>
      </c>
    </row>
    <row r="96" customFormat="false" ht="18" hidden="false" customHeight="true" outlineLevel="0" collapsed="false">
      <c r="A96" s="107" t="str">
        <f aca="false">IF($C96="","",ROW()-3)</f>
        <v/>
      </c>
      <c r="B96" s="108"/>
      <c r="C96" s="84"/>
      <c r="D96" s="84"/>
      <c r="E96" s="18"/>
      <c r="F96" s="109"/>
      <c r="G96" s="109"/>
      <c r="H96" s="70" t="str">
        <f aca="false">IF($C96="","",ROUND(N($F96)*N($G96),2))</f>
        <v/>
      </c>
      <c r="I96" s="84" t="s">
        <v>266</v>
      </c>
      <c r="J96" s="70" t="str">
        <f aca="false">IF($C96="","",ROUND(N($H96),2))</f>
        <v/>
      </c>
      <c r="K96" s="70" t="n">
        <v>0</v>
      </c>
      <c r="L96" s="84"/>
      <c r="M96" s="84"/>
      <c r="N96" s="18"/>
      <c r="O96" s="84"/>
      <c r="P96" s="18"/>
      <c r="Q96" s="67" t="str">
        <f aca="false">IF(OR($C96="",ROUND(N($H96),2)=0),"",$L96)</f>
        <v/>
      </c>
      <c r="R96" s="70" t="str">
        <f aca="false">IF($Q96="","",ROUND(N($H96),2))</f>
        <v/>
      </c>
      <c r="S96" s="70" t="str">
        <f aca="false">IF($Q96="","",0)</f>
        <v/>
      </c>
      <c r="T96" s="67" t="str">
        <f aca="false">""</f>
        <v/>
      </c>
      <c r="U96" s="70" t="str">
        <f aca="false">IF($T96="","",0)</f>
        <v/>
      </c>
      <c r="V96" s="70" t="str">
        <f aca="false">IF($T96="","",0)</f>
        <v/>
      </c>
      <c r="W96" s="67" t="str">
        <f aca="false">IF($Q96="","","应付账款")</f>
        <v/>
      </c>
      <c r="X96" s="70" t="str">
        <f aca="false">IF($W96="","",0)</f>
        <v/>
      </c>
      <c r="Y96" s="70" t="str">
        <f aca="false">IF($W96="","",ROUND(N($H96),2))</f>
        <v/>
      </c>
      <c r="Z96" s="42"/>
      <c r="AA96" s="44"/>
      <c r="AB96" s="41" t="str">
        <f aca="false">IF($C96="","",ROUND(N($H96)-N($AA96),2))</f>
        <v/>
      </c>
      <c r="AC96" s="9" t="str">
        <f aca="false">IF($B96="","",TEXT($B96,"yyyy年m月"))</f>
        <v/>
      </c>
    </row>
    <row r="97" customFormat="false" ht="18" hidden="false" customHeight="true" outlineLevel="0" collapsed="false">
      <c r="A97" s="107" t="str">
        <f aca="false">IF($C97="","",ROW()-3)</f>
        <v/>
      </c>
      <c r="B97" s="108"/>
      <c r="C97" s="84"/>
      <c r="D97" s="84"/>
      <c r="E97" s="18"/>
      <c r="F97" s="109"/>
      <c r="G97" s="109"/>
      <c r="H97" s="70" t="str">
        <f aca="false">IF($C97="","",ROUND(N($F97)*N($G97),2))</f>
        <v/>
      </c>
      <c r="I97" s="84" t="s">
        <v>266</v>
      </c>
      <c r="J97" s="70" t="str">
        <f aca="false">IF($C97="","",ROUND(N($H97),2))</f>
        <v/>
      </c>
      <c r="K97" s="70" t="n">
        <v>0</v>
      </c>
      <c r="L97" s="84"/>
      <c r="M97" s="84"/>
      <c r="N97" s="18"/>
      <c r="O97" s="84"/>
      <c r="P97" s="18"/>
      <c r="Q97" s="67" t="str">
        <f aca="false">IF(OR($C97="",ROUND(N($H97),2)=0),"",$L97)</f>
        <v/>
      </c>
      <c r="R97" s="70" t="str">
        <f aca="false">IF($Q97="","",ROUND(N($H97),2))</f>
        <v/>
      </c>
      <c r="S97" s="70" t="str">
        <f aca="false">IF($Q97="","",0)</f>
        <v/>
      </c>
      <c r="T97" s="67" t="str">
        <f aca="false">""</f>
        <v/>
      </c>
      <c r="U97" s="70" t="str">
        <f aca="false">IF($T97="","",0)</f>
        <v/>
      </c>
      <c r="V97" s="70" t="str">
        <f aca="false">IF($T97="","",0)</f>
        <v/>
      </c>
      <c r="W97" s="67" t="str">
        <f aca="false">IF($Q97="","","应付账款")</f>
        <v/>
      </c>
      <c r="X97" s="70" t="str">
        <f aca="false">IF($W97="","",0)</f>
        <v/>
      </c>
      <c r="Y97" s="70" t="str">
        <f aca="false">IF($W97="","",ROUND(N($H97),2))</f>
        <v/>
      </c>
      <c r="Z97" s="42"/>
      <c r="AA97" s="44"/>
      <c r="AB97" s="41" t="str">
        <f aca="false">IF($C97="","",ROUND(N($H97)-N($AA97),2))</f>
        <v/>
      </c>
      <c r="AC97" s="9" t="str">
        <f aca="false">IF($B97="","",TEXT($B97,"yyyy年m月"))</f>
        <v/>
      </c>
    </row>
    <row r="98" customFormat="false" ht="18" hidden="false" customHeight="true" outlineLevel="0" collapsed="false">
      <c r="A98" s="107" t="str">
        <f aca="false">IF($C98="","",ROW()-3)</f>
        <v/>
      </c>
      <c r="B98" s="108"/>
      <c r="C98" s="84"/>
      <c r="D98" s="84"/>
      <c r="E98" s="18"/>
      <c r="F98" s="109"/>
      <c r="G98" s="109"/>
      <c r="H98" s="70" t="str">
        <f aca="false">IF($C98="","",ROUND(N($F98)*N($G98),2))</f>
        <v/>
      </c>
      <c r="I98" s="84" t="s">
        <v>266</v>
      </c>
      <c r="J98" s="70" t="str">
        <f aca="false">IF($C98="","",ROUND(N($H98),2))</f>
        <v/>
      </c>
      <c r="K98" s="70" t="n">
        <v>0</v>
      </c>
      <c r="L98" s="84"/>
      <c r="M98" s="84"/>
      <c r="N98" s="18"/>
      <c r="O98" s="84"/>
      <c r="P98" s="18"/>
      <c r="Q98" s="67" t="str">
        <f aca="false">IF(OR($C98="",ROUND(N($H98),2)=0),"",$L98)</f>
        <v/>
      </c>
      <c r="R98" s="70" t="str">
        <f aca="false">IF($Q98="","",ROUND(N($H98),2))</f>
        <v/>
      </c>
      <c r="S98" s="70" t="str">
        <f aca="false">IF($Q98="","",0)</f>
        <v/>
      </c>
      <c r="T98" s="67" t="str">
        <f aca="false">""</f>
        <v/>
      </c>
      <c r="U98" s="70" t="str">
        <f aca="false">IF($T98="","",0)</f>
        <v/>
      </c>
      <c r="V98" s="70" t="str">
        <f aca="false">IF($T98="","",0)</f>
        <v/>
      </c>
      <c r="W98" s="67" t="str">
        <f aca="false">IF($Q98="","","应付账款")</f>
        <v/>
      </c>
      <c r="X98" s="70" t="str">
        <f aca="false">IF($W98="","",0)</f>
        <v/>
      </c>
      <c r="Y98" s="70" t="str">
        <f aca="false">IF($W98="","",ROUND(N($H98),2))</f>
        <v/>
      </c>
      <c r="Z98" s="42"/>
      <c r="AA98" s="44"/>
      <c r="AB98" s="41" t="str">
        <f aca="false">IF($C98="","",ROUND(N($H98)-N($AA98),2))</f>
        <v/>
      </c>
      <c r="AC98" s="9" t="str">
        <f aca="false">IF($B98="","",TEXT($B98,"yyyy年m月"))</f>
        <v/>
      </c>
    </row>
    <row r="99" customFormat="false" ht="18" hidden="false" customHeight="true" outlineLevel="0" collapsed="false">
      <c r="A99" s="107" t="str">
        <f aca="false">IF($C99="","",ROW()-3)</f>
        <v/>
      </c>
      <c r="B99" s="108"/>
      <c r="C99" s="84"/>
      <c r="D99" s="84"/>
      <c r="E99" s="18"/>
      <c r="F99" s="109"/>
      <c r="G99" s="109"/>
      <c r="H99" s="70" t="str">
        <f aca="false">IF($C99="","",ROUND(N($F99)*N($G99),2))</f>
        <v/>
      </c>
      <c r="I99" s="84" t="s">
        <v>266</v>
      </c>
      <c r="J99" s="70" t="str">
        <f aca="false">IF($C99="","",ROUND(N($H99),2))</f>
        <v/>
      </c>
      <c r="K99" s="70" t="n">
        <v>0</v>
      </c>
      <c r="L99" s="84"/>
      <c r="M99" s="84"/>
      <c r="N99" s="18"/>
      <c r="O99" s="84"/>
      <c r="P99" s="18"/>
      <c r="Q99" s="67" t="str">
        <f aca="false">IF(OR($C99="",ROUND(N($H99),2)=0),"",$L99)</f>
        <v/>
      </c>
      <c r="R99" s="70" t="str">
        <f aca="false">IF($Q99="","",ROUND(N($H99),2))</f>
        <v/>
      </c>
      <c r="S99" s="70" t="str">
        <f aca="false">IF($Q99="","",0)</f>
        <v/>
      </c>
      <c r="T99" s="67" t="str">
        <f aca="false">""</f>
        <v/>
      </c>
      <c r="U99" s="70" t="str">
        <f aca="false">IF($T99="","",0)</f>
        <v/>
      </c>
      <c r="V99" s="70" t="str">
        <f aca="false">IF($T99="","",0)</f>
        <v/>
      </c>
      <c r="W99" s="67" t="str">
        <f aca="false">IF($Q99="","","应付账款")</f>
        <v/>
      </c>
      <c r="X99" s="70" t="str">
        <f aca="false">IF($W99="","",0)</f>
        <v/>
      </c>
      <c r="Y99" s="70" t="str">
        <f aca="false">IF($W99="","",ROUND(N($H99),2))</f>
        <v/>
      </c>
      <c r="Z99" s="42"/>
      <c r="AA99" s="44"/>
      <c r="AB99" s="41" t="str">
        <f aca="false">IF($C99="","",ROUND(N($H99)-N($AA99),2))</f>
        <v/>
      </c>
      <c r="AC99" s="9" t="str">
        <f aca="false">IF($B99="","",TEXT($B99,"yyyy年m月"))</f>
        <v/>
      </c>
    </row>
    <row r="100" customFormat="false" ht="18" hidden="false" customHeight="true" outlineLevel="0" collapsed="false">
      <c r="A100" s="107" t="str">
        <f aca="false">IF($C100="","",ROW()-3)</f>
        <v/>
      </c>
      <c r="B100" s="108"/>
      <c r="C100" s="84"/>
      <c r="D100" s="84"/>
      <c r="E100" s="18"/>
      <c r="F100" s="109"/>
      <c r="G100" s="109"/>
      <c r="H100" s="70" t="str">
        <f aca="false">IF($C100="","",ROUND(N($F100)*N($G100),2))</f>
        <v/>
      </c>
      <c r="I100" s="84" t="s">
        <v>266</v>
      </c>
      <c r="J100" s="70" t="str">
        <f aca="false">IF($C100="","",ROUND(N($H100),2))</f>
        <v/>
      </c>
      <c r="K100" s="70" t="n">
        <v>0</v>
      </c>
      <c r="L100" s="84"/>
      <c r="M100" s="84"/>
      <c r="N100" s="18"/>
      <c r="O100" s="84"/>
      <c r="P100" s="18"/>
      <c r="Q100" s="67" t="str">
        <f aca="false">IF(OR($C100="",ROUND(N($H100),2)=0),"",$L100)</f>
        <v/>
      </c>
      <c r="R100" s="70" t="str">
        <f aca="false">IF($Q100="","",ROUND(N($H100),2))</f>
        <v/>
      </c>
      <c r="S100" s="70" t="str">
        <f aca="false">IF($Q100="","",0)</f>
        <v/>
      </c>
      <c r="T100" s="67" t="str">
        <f aca="false">""</f>
        <v/>
      </c>
      <c r="U100" s="70" t="str">
        <f aca="false">IF($T100="","",0)</f>
        <v/>
      </c>
      <c r="V100" s="70" t="str">
        <f aca="false">IF($T100="","",0)</f>
        <v/>
      </c>
      <c r="W100" s="67" t="str">
        <f aca="false">IF($Q100="","","应付账款")</f>
        <v/>
      </c>
      <c r="X100" s="70" t="str">
        <f aca="false">IF($W100="","",0)</f>
        <v/>
      </c>
      <c r="Y100" s="70" t="str">
        <f aca="false">IF($W100="","",ROUND(N($H100),2))</f>
        <v/>
      </c>
      <c r="Z100" s="42"/>
      <c r="AA100" s="44"/>
      <c r="AB100" s="41" t="str">
        <f aca="false">IF($C100="","",ROUND(N($H100)-N($AA100),2))</f>
        <v/>
      </c>
      <c r="AC100" s="9" t="str">
        <f aca="false">IF($B100="","",TEXT($B100,"yyyy年m月"))</f>
        <v/>
      </c>
    </row>
    <row r="101" customFormat="false" ht="18" hidden="false" customHeight="true" outlineLevel="0" collapsed="false">
      <c r="A101" s="107" t="str">
        <f aca="false">IF($C101="","",ROW()-3)</f>
        <v/>
      </c>
      <c r="B101" s="108"/>
      <c r="C101" s="84"/>
      <c r="D101" s="84"/>
      <c r="E101" s="18"/>
      <c r="F101" s="109"/>
      <c r="G101" s="109"/>
      <c r="H101" s="70" t="str">
        <f aca="false">IF($C101="","",ROUND(N($F101)*N($G101),2))</f>
        <v/>
      </c>
      <c r="I101" s="84" t="s">
        <v>266</v>
      </c>
      <c r="J101" s="70" t="str">
        <f aca="false">IF($C101="","",ROUND(N($H101),2))</f>
        <v/>
      </c>
      <c r="K101" s="70" t="n">
        <v>0</v>
      </c>
      <c r="L101" s="84"/>
      <c r="M101" s="84"/>
      <c r="N101" s="18"/>
      <c r="O101" s="84"/>
      <c r="P101" s="18"/>
      <c r="Q101" s="67" t="str">
        <f aca="false">IF(OR($C101="",ROUND(N($H101),2)=0),"",$L101)</f>
        <v/>
      </c>
      <c r="R101" s="70" t="str">
        <f aca="false">IF($Q101="","",ROUND(N($H101),2))</f>
        <v/>
      </c>
      <c r="S101" s="70" t="str">
        <f aca="false">IF($Q101="","",0)</f>
        <v/>
      </c>
      <c r="T101" s="67" t="str">
        <f aca="false">""</f>
        <v/>
      </c>
      <c r="U101" s="70" t="str">
        <f aca="false">IF($T101="","",0)</f>
        <v/>
      </c>
      <c r="V101" s="70" t="str">
        <f aca="false">IF($T101="","",0)</f>
        <v/>
      </c>
      <c r="W101" s="67" t="str">
        <f aca="false">IF($Q101="","","应付账款")</f>
        <v/>
      </c>
      <c r="X101" s="70" t="str">
        <f aca="false">IF($W101="","",0)</f>
        <v/>
      </c>
      <c r="Y101" s="70" t="str">
        <f aca="false">IF($W101="","",ROUND(N($H101),2))</f>
        <v/>
      </c>
      <c r="Z101" s="42"/>
      <c r="AA101" s="44"/>
      <c r="AB101" s="41" t="str">
        <f aca="false">IF($C101="","",ROUND(N($H101)-N($AA101),2))</f>
        <v/>
      </c>
      <c r="AC101" s="9" t="str">
        <f aca="false">IF($B101="","",TEXT($B101,"yyyy年m月"))</f>
        <v/>
      </c>
    </row>
    <row r="102" customFormat="false" ht="18" hidden="false" customHeight="true" outlineLevel="0" collapsed="false">
      <c r="A102" s="107" t="str">
        <f aca="false">IF($C102="","",ROW()-3)</f>
        <v/>
      </c>
      <c r="B102" s="108"/>
      <c r="C102" s="84"/>
      <c r="D102" s="84"/>
      <c r="E102" s="18"/>
      <c r="F102" s="109"/>
      <c r="G102" s="109"/>
      <c r="H102" s="70" t="str">
        <f aca="false">IF($C102="","",ROUND(N($F102)*N($G102),2))</f>
        <v/>
      </c>
      <c r="I102" s="84" t="s">
        <v>266</v>
      </c>
      <c r="J102" s="70" t="str">
        <f aca="false">IF($C102="","",ROUND(N($H102),2))</f>
        <v/>
      </c>
      <c r="K102" s="70" t="n">
        <v>0</v>
      </c>
      <c r="L102" s="84"/>
      <c r="M102" s="84"/>
      <c r="N102" s="18"/>
      <c r="O102" s="84"/>
      <c r="P102" s="18"/>
      <c r="Q102" s="67" t="str">
        <f aca="false">IF(OR($C102="",ROUND(N($H102),2)=0),"",$L102)</f>
        <v/>
      </c>
      <c r="R102" s="70" t="str">
        <f aca="false">IF($Q102="","",ROUND(N($H102),2))</f>
        <v/>
      </c>
      <c r="S102" s="70" t="str">
        <f aca="false">IF($Q102="","",0)</f>
        <v/>
      </c>
      <c r="T102" s="67" t="str">
        <f aca="false">""</f>
        <v/>
      </c>
      <c r="U102" s="70" t="str">
        <f aca="false">IF($T102="","",0)</f>
        <v/>
      </c>
      <c r="V102" s="70" t="str">
        <f aca="false">IF($T102="","",0)</f>
        <v/>
      </c>
      <c r="W102" s="67" t="str">
        <f aca="false">IF($Q102="","","应付账款")</f>
        <v/>
      </c>
      <c r="X102" s="70" t="str">
        <f aca="false">IF($W102="","",0)</f>
        <v/>
      </c>
      <c r="Y102" s="70" t="str">
        <f aca="false">IF($W102="","",ROUND(N($H102),2))</f>
        <v/>
      </c>
      <c r="Z102" s="42"/>
      <c r="AA102" s="44"/>
      <c r="AB102" s="41" t="str">
        <f aca="false">IF($C102="","",ROUND(N($H102)-N($AA102),2))</f>
        <v/>
      </c>
      <c r="AC102" s="9" t="str">
        <f aca="false">IF($B102="","",TEXT($B102,"yyyy年m月"))</f>
        <v/>
      </c>
    </row>
    <row r="103" customFormat="false" ht="18" hidden="false" customHeight="true" outlineLevel="0" collapsed="false">
      <c r="A103" s="107" t="str">
        <f aca="false">IF($C103="","",ROW()-3)</f>
        <v/>
      </c>
      <c r="B103" s="108"/>
      <c r="C103" s="84"/>
      <c r="D103" s="84"/>
      <c r="E103" s="18"/>
      <c r="F103" s="109"/>
      <c r="G103" s="109"/>
      <c r="H103" s="70" t="str">
        <f aca="false">IF($C103="","",ROUND(N($F103)*N($G103),2))</f>
        <v/>
      </c>
      <c r="I103" s="84" t="s">
        <v>266</v>
      </c>
      <c r="J103" s="70" t="str">
        <f aca="false">IF($C103="","",ROUND(N($H103),2))</f>
        <v/>
      </c>
      <c r="K103" s="70" t="n">
        <v>0</v>
      </c>
      <c r="L103" s="84"/>
      <c r="M103" s="84"/>
      <c r="N103" s="18"/>
      <c r="O103" s="84"/>
      <c r="P103" s="18"/>
      <c r="Q103" s="67" t="str">
        <f aca="false">IF(OR($C103="",ROUND(N($H103),2)=0),"",$L103)</f>
        <v/>
      </c>
      <c r="R103" s="70" t="str">
        <f aca="false">IF($Q103="","",ROUND(N($H103),2))</f>
        <v/>
      </c>
      <c r="S103" s="70" t="str">
        <f aca="false">IF($Q103="","",0)</f>
        <v/>
      </c>
      <c r="T103" s="67" t="str">
        <f aca="false">""</f>
        <v/>
      </c>
      <c r="U103" s="70" t="str">
        <f aca="false">IF($T103="","",0)</f>
        <v/>
      </c>
      <c r="V103" s="70" t="str">
        <f aca="false">IF($T103="","",0)</f>
        <v/>
      </c>
      <c r="W103" s="67" t="str">
        <f aca="false">IF($Q103="","","应付账款")</f>
        <v/>
      </c>
      <c r="X103" s="70" t="str">
        <f aca="false">IF($W103="","",0)</f>
        <v/>
      </c>
      <c r="Y103" s="70" t="str">
        <f aca="false">IF($W103="","",ROUND(N($H103),2))</f>
        <v/>
      </c>
      <c r="Z103" s="42"/>
      <c r="AA103" s="44"/>
      <c r="AB103" s="41" t="str">
        <f aca="false">IF($C103="","",ROUND(N($H103)-N($AA103),2))</f>
        <v/>
      </c>
      <c r="AC103" s="9" t="str">
        <f aca="false">IF($B103="","",TEXT($B103,"yyyy年m月"))</f>
        <v/>
      </c>
    </row>
    <row r="104" customFormat="false" ht="18" hidden="false" customHeight="true" outlineLevel="0" collapsed="false">
      <c r="A104" s="107" t="str">
        <f aca="false">IF($C104="","",ROW()-3)</f>
        <v/>
      </c>
      <c r="B104" s="108"/>
      <c r="C104" s="84"/>
      <c r="D104" s="84"/>
      <c r="E104" s="18"/>
      <c r="F104" s="109"/>
      <c r="G104" s="109"/>
      <c r="H104" s="70" t="str">
        <f aca="false">IF($C104="","",ROUND(N($F104)*N($G104),2))</f>
        <v/>
      </c>
      <c r="I104" s="84" t="s">
        <v>266</v>
      </c>
      <c r="J104" s="70" t="str">
        <f aca="false">IF($C104="","",ROUND(N($H104),2))</f>
        <v/>
      </c>
      <c r="K104" s="70" t="n">
        <v>0</v>
      </c>
      <c r="L104" s="84"/>
      <c r="M104" s="84"/>
      <c r="N104" s="18"/>
      <c r="O104" s="84"/>
      <c r="P104" s="18"/>
      <c r="Q104" s="67" t="str">
        <f aca="false">IF(OR($C104="",ROUND(N($H104),2)=0),"",$L104)</f>
        <v/>
      </c>
      <c r="R104" s="70" t="str">
        <f aca="false">IF($Q104="","",ROUND(N($H104),2))</f>
        <v/>
      </c>
      <c r="S104" s="70" t="str">
        <f aca="false">IF($Q104="","",0)</f>
        <v/>
      </c>
      <c r="T104" s="67" t="str">
        <f aca="false">""</f>
        <v/>
      </c>
      <c r="U104" s="70" t="str">
        <f aca="false">IF($T104="","",0)</f>
        <v/>
      </c>
      <c r="V104" s="70" t="str">
        <f aca="false">IF($T104="","",0)</f>
        <v/>
      </c>
      <c r="W104" s="67" t="str">
        <f aca="false">IF($Q104="","","应付账款")</f>
        <v/>
      </c>
      <c r="X104" s="70" t="str">
        <f aca="false">IF($W104="","",0)</f>
        <v/>
      </c>
      <c r="Y104" s="70" t="str">
        <f aca="false">IF($W104="","",ROUND(N($H104),2))</f>
        <v/>
      </c>
      <c r="Z104" s="42"/>
      <c r="AA104" s="44"/>
      <c r="AB104" s="41" t="str">
        <f aca="false">IF($C104="","",ROUND(N($H104)-N($AA104),2))</f>
        <v/>
      </c>
      <c r="AC104" s="9" t="str">
        <f aca="false">IF($B104="","",TEXT($B104,"yyyy年m月"))</f>
        <v/>
      </c>
    </row>
    <row r="105" customFormat="false" ht="18" hidden="false" customHeight="true" outlineLevel="0" collapsed="false">
      <c r="A105" s="107" t="str">
        <f aca="false">IF($C105="","",ROW()-3)</f>
        <v/>
      </c>
      <c r="B105" s="108"/>
      <c r="C105" s="84"/>
      <c r="D105" s="84"/>
      <c r="E105" s="18"/>
      <c r="F105" s="109"/>
      <c r="G105" s="109"/>
      <c r="H105" s="70" t="str">
        <f aca="false">IF($C105="","",ROUND(N($F105)*N($G105),2))</f>
        <v/>
      </c>
      <c r="I105" s="84" t="s">
        <v>266</v>
      </c>
      <c r="J105" s="70" t="str">
        <f aca="false">IF($C105="","",ROUND(N($H105),2))</f>
        <v/>
      </c>
      <c r="K105" s="70" t="n">
        <v>0</v>
      </c>
      <c r="L105" s="84"/>
      <c r="M105" s="84"/>
      <c r="N105" s="18"/>
      <c r="O105" s="84"/>
      <c r="P105" s="18"/>
      <c r="Q105" s="67" t="str">
        <f aca="false">IF(OR($C105="",ROUND(N($H105),2)=0),"",$L105)</f>
        <v/>
      </c>
      <c r="R105" s="70" t="str">
        <f aca="false">IF($Q105="","",ROUND(N($H105),2))</f>
        <v/>
      </c>
      <c r="S105" s="70" t="str">
        <f aca="false">IF($Q105="","",0)</f>
        <v/>
      </c>
      <c r="T105" s="67" t="str">
        <f aca="false">""</f>
        <v/>
      </c>
      <c r="U105" s="70" t="str">
        <f aca="false">IF($T105="","",0)</f>
        <v/>
      </c>
      <c r="V105" s="70" t="str">
        <f aca="false">IF($T105="","",0)</f>
        <v/>
      </c>
      <c r="W105" s="67" t="str">
        <f aca="false">IF($Q105="","","应付账款")</f>
        <v/>
      </c>
      <c r="X105" s="70" t="str">
        <f aca="false">IF($W105="","",0)</f>
        <v/>
      </c>
      <c r="Y105" s="70" t="str">
        <f aca="false">IF($W105="","",ROUND(N($H105),2))</f>
        <v/>
      </c>
      <c r="Z105" s="42"/>
      <c r="AA105" s="44"/>
      <c r="AB105" s="41" t="str">
        <f aca="false">IF($C105="","",ROUND(N($H105)-N($AA105),2))</f>
        <v/>
      </c>
      <c r="AC105" s="9" t="str">
        <f aca="false">IF($B105="","",TEXT($B105,"yyyy年m月"))</f>
        <v/>
      </c>
    </row>
    <row r="106" customFormat="false" ht="18" hidden="false" customHeight="true" outlineLevel="0" collapsed="false">
      <c r="A106" s="107" t="str">
        <f aca="false">IF($C106="","",ROW()-3)</f>
        <v/>
      </c>
      <c r="B106" s="108"/>
      <c r="C106" s="84"/>
      <c r="D106" s="84"/>
      <c r="E106" s="18"/>
      <c r="F106" s="109"/>
      <c r="G106" s="109"/>
      <c r="H106" s="70" t="str">
        <f aca="false">IF($C106="","",ROUND(N($F106)*N($G106),2))</f>
        <v/>
      </c>
      <c r="I106" s="84" t="s">
        <v>266</v>
      </c>
      <c r="J106" s="70" t="str">
        <f aca="false">IF($C106="","",ROUND(N($H106),2))</f>
        <v/>
      </c>
      <c r="K106" s="70" t="n">
        <v>0</v>
      </c>
      <c r="L106" s="84"/>
      <c r="M106" s="84"/>
      <c r="N106" s="18"/>
      <c r="O106" s="84"/>
      <c r="P106" s="18"/>
      <c r="Q106" s="67" t="str">
        <f aca="false">IF(OR($C106="",ROUND(N($H106),2)=0),"",$L106)</f>
        <v/>
      </c>
      <c r="R106" s="70" t="str">
        <f aca="false">IF($Q106="","",ROUND(N($H106),2))</f>
        <v/>
      </c>
      <c r="S106" s="70" t="str">
        <f aca="false">IF($Q106="","",0)</f>
        <v/>
      </c>
      <c r="T106" s="67" t="str">
        <f aca="false">""</f>
        <v/>
      </c>
      <c r="U106" s="70" t="str">
        <f aca="false">IF($T106="","",0)</f>
        <v/>
      </c>
      <c r="V106" s="70" t="str">
        <f aca="false">IF($T106="","",0)</f>
        <v/>
      </c>
      <c r="W106" s="67" t="str">
        <f aca="false">IF($Q106="","","应付账款")</f>
        <v/>
      </c>
      <c r="X106" s="70" t="str">
        <f aca="false">IF($W106="","",0)</f>
        <v/>
      </c>
      <c r="Y106" s="70" t="str">
        <f aca="false">IF($W106="","",ROUND(N($H106),2))</f>
        <v/>
      </c>
      <c r="Z106" s="42"/>
      <c r="AA106" s="44"/>
      <c r="AB106" s="41" t="str">
        <f aca="false">IF($C106="","",ROUND(N($H106)-N($AA106),2))</f>
        <v/>
      </c>
      <c r="AC106" s="9" t="str">
        <f aca="false">IF($B106="","",TEXT($B106,"yyyy年m月"))</f>
        <v/>
      </c>
    </row>
    <row r="107" customFormat="false" ht="18" hidden="false" customHeight="true" outlineLevel="0" collapsed="false">
      <c r="A107" s="107" t="str">
        <f aca="false">IF($C107="","",ROW()-3)</f>
        <v/>
      </c>
      <c r="B107" s="108"/>
      <c r="C107" s="84"/>
      <c r="D107" s="84"/>
      <c r="E107" s="18"/>
      <c r="F107" s="109"/>
      <c r="G107" s="109"/>
      <c r="H107" s="70" t="str">
        <f aca="false">IF($C107="","",ROUND(N($F107)*N($G107),2))</f>
        <v/>
      </c>
      <c r="I107" s="84" t="s">
        <v>266</v>
      </c>
      <c r="J107" s="70" t="str">
        <f aca="false">IF($C107="","",ROUND(N($H107),2))</f>
        <v/>
      </c>
      <c r="K107" s="70" t="n">
        <v>0</v>
      </c>
      <c r="L107" s="84"/>
      <c r="M107" s="84"/>
      <c r="N107" s="18"/>
      <c r="O107" s="84"/>
      <c r="P107" s="18"/>
      <c r="Q107" s="67" t="str">
        <f aca="false">IF(OR($C107="",ROUND(N($H107),2)=0),"",$L107)</f>
        <v/>
      </c>
      <c r="R107" s="70" t="str">
        <f aca="false">IF($Q107="","",ROUND(N($H107),2))</f>
        <v/>
      </c>
      <c r="S107" s="70" t="str">
        <f aca="false">IF($Q107="","",0)</f>
        <v/>
      </c>
      <c r="T107" s="67" t="str">
        <f aca="false">""</f>
        <v/>
      </c>
      <c r="U107" s="70" t="str">
        <f aca="false">IF($T107="","",0)</f>
        <v/>
      </c>
      <c r="V107" s="70" t="str">
        <f aca="false">IF($T107="","",0)</f>
        <v/>
      </c>
      <c r="W107" s="67" t="str">
        <f aca="false">IF($Q107="","","应付账款")</f>
        <v/>
      </c>
      <c r="X107" s="70" t="str">
        <f aca="false">IF($W107="","",0)</f>
        <v/>
      </c>
      <c r="Y107" s="70" t="str">
        <f aca="false">IF($W107="","",ROUND(N($H107),2))</f>
        <v/>
      </c>
      <c r="Z107" s="42"/>
      <c r="AA107" s="44"/>
      <c r="AB107" s="41" t="str">
        <f aca="false">IF($C107="","",ROUND(N($H107)-N($AA107),2))</f>
        <v/>
      </c>
      <c r="AC107" s="9" t="str">
        <f aca="false">IF($B107="","",TEXT($B107,"yyyy年m月"))</f>
        <v/>
      </c>
    </row>
    <row r="108" customFormat="false" ht="18" hidden="false" customHeight="true" outlineLevel="0" collapsed="false">
      <c r="A108" s="107" t="str">
        <f aca="false">IF($C108="","",ROW()-3)</f>
        <v/>
      </c>
      <c r="B108" s="108"/>
      <c r="C108" s="84"/>
      <c r="D108" s="84"/>
      <c r="E108" s="18"/>
      <c r="F108" s="109"/>
      <c r="G108" s="109"/>
      <c r="H108" s="70" t="str">
        <f aca="false">IF($C108="","",ROUND(N($F108)*N($G108),2))</f>
        <v/>
      </c>
      <c r="I108" s="84" t="s">
        <v>266</v>
      </c>
      <c r="J108" s="70" t="str">
        <f aca="false">IF($C108="","",ROUND(N($H108),2))</f>
        <v/>
      </c>
      <c r="K108" s="70" t="n">
        <v>0</v>
      </c>
      <c r="L108" s="84"/>
      <c r="M108" s="84"/>
      <c r="N108" s="18"/>
      <c r="O108" s="84"/>
      <c r="P108" s="18"/>
      <c r="Q108" s="67" t="str">
        <f aca="false">IF(OR($C108="",ROUND(N($H108),2)=0),"",$L108)</f>
        <v/>
      </c>
      <c r="R108" s="70" t="str">
        <f aca="false">IF($Q108="","",ROUND(N($H108),2))</f>
        <v/>
      </c>
      <c r="S108" s="70" t="str">
        <f aca="false">IF($Q108="","",0)</f>
        <v/>
      </c>
      <c r="T108" s="67" t="str">
        <f aca="false">""</f>
        <v/>
      </c>
      <c r="U108" s="70" t="str">
        <f aca="false">IF($T108="","",0)</f>
        <v/>
      </c>
      <c r="V108" s="70" t="str">
        <f aca="false">IF($T108="","",0)</f>
        <v/>
      </c>
      <c r="W108" s="67" t="str">
        <f aca="false">IF($Q108="","","应付账款")</f>
        <v/>
      </c>
      <c r="X108" s="70" t="str">
        <f aca="false">IF($W108="","",0)</f>
        <v/>
      </c>
      <c r="Y108" s="70" t="str">
        <f aca="false">IF($W108="","",ROUND(N($H108),2))</f>
        <v/>
      </c>
      <c r="Z108" s="42"/>
      <c r="AA108" s="44"/>
      <c r="AB108" s="41" t="str">
        <f aca="false">IF($C108="","",ROUND(N($H108)-N($AA108),2))</f>
        <v/>
      </c>
      <c r="AC108" s="9" t="str">
        <f aca="false">IF($B108="","",TEXT($B108,"yyyy年m月"))</f>
        <v/>
      </c>
    </row>
    <row r="109" customFormat="false" ht="18" hidden="false" customHeight="true" outlineLevel="0" collapsed="false">
      <c r="A109" s="107" t="str">
        <f aca="false">IF($C109="","",ROW()-3)</f>
        <v/>
      </c>
      <c r="B109" s="108"/>
      <c r="C109" s="84"/>
      <c r="D109" s="84"/>
      <c r="E109" s="18"/>
      <c r="F109" s="109"/>
      <c r="G109" s="109"/>
      <c r="H109" s="70" t="str">
        <f aca="false">IF($C109="","",ROUND(N($F109)*N($G109),2))</f>
        <v/>
      </c>
      <c r="I109" s="84" t="s">
        <v>266</v>
      </c>
      <c r="J109" s="70" t="str">
        <f aca="false">IF($C109="","",ROUND(N($H109),2))</f>
        <v/>
      </c>
      <c r="K109" s="70" t="n">
        <v>0</v>
      </c>
      <c r="L109" s="84"/>
      <c r="M109" s="84"/>
      <c r="N109" s="18"/>
      <c r="O109" s="84"/>
      <c r="P109" s="18"/>
      <c r="Q109" s="67" t="str">
        <f aca="false">IF(OR($C109="",ROUND(N($H109),2)=0),"",$L109)</f>
        <v/>
      </c>
      <c r="R109" s="70" t="str">
        <f aca="false">IF($Q109="","",ROUND(N($H109),2))</f>
        <v/>
      </c>
      <c r="S109" s="70" t="str">
        <f aca="false">IF($Q109="","",0)</f>
        <v/>
      </c>
      <c r="T109" s="67" t="str">
        <f aca="false">""</f>
        <v/>
      </c>
      <c r="U109" s="70" t="str">
        <f aca="false">IF($T109="","",0)</f>
        <v/>
      </c>
      <c r="V109" s="70" t="str">
        <f aca="false">IF($T109="","",0)</f>
        <v/>
      </c>
      <c r="W109" s="67" t="str">
        <f aca="false">IF($Q109="","","应付账款")</f>
        <v/>
      </c>
      <c r="X109" s="70" t="str">
        <f aca="false">IF($W109="","",0)</f>
        <v/>
      </c>
      <c r="Y109" s="70" t="str">
        <f aca="false">IF($W109="","",ROUND(N($H109),2))</f>
        <v/>
      </c>
      <c r="Z109" s="42"/>
      <c r="AA109" s="44"/>
      <c r="AB109" s="41" t="str">
        <f aca="false">IF($C109="","",ROUND(N($H109)-N($AA109),2))</f>
        <v/>
      </c>
      <c r="AC109" s="9" t="str">
        <f aca="false">IF($B109="","",TEXT($B109,"yyyy年m月"))</f>
        <v/>
      </c>
    </row>
    <row r="110" customFormat="false" ht="18" hidden="false" customHeight="true" outlineLevel="0" collapsed="false">
      <c r="A110" s="107" t="str">
        <f aca="false">IF($C110="","",ROW()-3)</f>
        <v/>
      </c>
      <c r="B110" s="108"/>
      <c r="C110" s="84"/>
      <c r="D110" s="84"/>
      <c r="E110" s="18"/>
      <c r="F110" s="109"/>
      <c r="G110" s="109"/>
      <c r="H110" s="70" t="str">
        <f aca="false">IF($C110="","",ROUND(N($F110)*N($G110),2))</f>
        <v/>
      </c>
      <c r="I110" s="84" t="s">
        <v>266</v>
      </c>
      <c r="J110" s="70" t="str">
        <f aca="false">IF($C110="","",ROUND(N($H110),2))</f>
        <v/>
      </c>
      <c r="K110" s="70" t="n">
        <v>0</v>
      </c>
      <c r="L110" s="84"/>
      <c r="M110" s="84"/>
      <c r="N110" s="18"/>
      <c r="O110" s="84"/>
      <c r="P110" s="18"/>
      <c r="Q110" s="67" t="str">
        <f aca="false">IF(OR($C110="",ROUND(N($H110),2)=0),"",$L110)</f>
        <v/>
      </c>
      <c r="R110" s="70" t="str">
        <f aca="false">IF($Q110="","",ROUND(N($H110),2))</f>
        <v/>
      </c>
      <c r="S110" s="70" t="str">
        <f aca="false">IF($Q110="","",0)</f>
        <v/>
      </c>
      <c r="T110" s="67" t="str">
        <f aca="false">""</f>
        <v/>
      </c>
      <c r="U110" s="70" t="str">
        <f aca="false">IF($T110="","",0)</f>
        <v/>
      </c>
      <c r="V110" s="70" t="str">
        <f aca="false">IF($T110="","",0)</f>
        <v/>
      </c>
      <c r="W110" s="67" t="str">
        <f aca="false">IF($Q110="","","应付账款")</f>
        <v/>
      </c>
      <c r="X110" s="70" t="str">
        <f aca="false">IF($W110="","",0)</f>
        <v/>
      </c>
      <c r="Y110" s="70" t="str">
        <f aca="false">IF($W110="","",ROUND(N($H110),2))</f>
        <v/>
      </c>
      <c r="Z110" s="42"/>
      <c r="AA110" s="44"/>
      <c r="AB110" s="41" t="str">
        <f aca="false">IF($C110="","",ROUND(N($H110)-N($AA110),2))</f>
        <v/>
      </c>
      <c r="AC110" s="9" t="str">
        <f aca="false">IF($B110="","",TEXT($B110,"yyyy年m月"))</f>
        <v/>
      </c>
    </row>
    <row r="111" customFormat="false" ht="18" hidden="false" customHeight="true" outlineLevel="0" collapsed="false">
      <c r="A111" s="107" t="str">
        <f aca="false">IF($C111="","",ROW()-3)</f>
        <v/>
      </c>
      <c r="B111" s="108"/>
      <c r="C111" s="84"/>
      <c r="D111" s="84"/>
      <c r="E111" s="18"/>
      <c r="F111" s="109"/>
      <c r="G111" s="109"/>
      <c r="H111" s="70" t="str">
        <f aca="false">IF($C111="","",ROUND(N($F111)*N($G111),2))</f>
        <v/>
      </c>
      <c r="I111" s="84" t="s">
        <v>266</v>
      </c>
      <c r="J111" s="70" t="str">
        <f aca="false">IF($C111="","",ROUND(N($H111),2))</f>
        <v/>
      </c>
      <c r="K111" s="70" t="n">
        <v>0</v>
      </c>
      <c r="L111" s="84"/>
      <c r="M111" s="84"/>
      <c r="N111" s="18"/>
      <c r="O111" s="84"/>
      <c r="P111" s="18"/>
      <c r="Q111" s="67" t="str">
        <f aca="false">IF(OR($C111="",ROUND(N($H111),2)=0),"",$L111)</f>
        <v/>
      </c>
      <c r="R111" s="70" t="str">
        <f aca="false">IF($Q111="","",ROUND(N($H111),2))</f>
        <v/>
      </c>
      <c r="S111" s="70" t="str">
        <f aca="false">IF($Q111="","",0)</f>
        <v/>
      </c>
      <c r="T111" s="67" t="str">
        <f aca="false">""</f>
        <v/>
      </c>
      <c r="U111" s="70" t="str">
        <f aca="false">IF($T111="","",0)</f>
        <v/>
      </c>
      <c r="V111" s="70" t="str">
        <f aca="false">IF($T111="","",0)</f>
        <v/>
      </c>
      <c r="W111" s="67" t="str">
        <f aca="false">IF($Q111="","","应付账款")</f>
        <v/>
      </c>
      <c r="X111" s="70" t="str">
        <f aca="false">IF($W111="","",0)</f>
        <v/>
      </c>
      <c r="Y111" s="70" t="str">
        <f aca="false">IF($W111="","",ROUND(N($H111),2))</f>
        <v/>
      </c>
      <c r="Z111" s="42"/>
      <c r="AA111" s="44"/>
      <c r="AB111" s="41" t="str">
        <f aca="false">IF($C111="","",ROUND(N($H111)-N($AA111),2))</f>
        <v/>
      </c>
      <c r="AC111" s="9" t="str">
        <f aca="false">IF($B111="","",TEXT($B111,"yyyy年m月"))</f>
        <v/>
      </c>
    </row>
    <row r="112" customFormat="false" ht="18" hidden="false" customHeight="true" outlineLevel="0" collapsed="false">
      <c r="A112" s="107" t="str">
        <f aca="false">IF($C112="","",ROW()-3)</f>
        <v/>
      </c>
      <c r="B112" s="108"/>
      <c r="C112" s="84"/>
      <c r="D112" s="84"/>
      <c r="E112" s="18"/>
      <c r="F112" s="109"/>
      <c r="G112" s="109"/>
      <c r="H112" s="70" t="str">
        <f aca="false">IF($C112="","",ROUND(N($F112)*N($G112),2))</f>
        <v/>
      </c>
      <c r="I112" s="84" t="s">
        <v>266</v>
      </c>
      <c r="J112" s="70" t="str">
        <f aca="false">IF($C112="","",ROUND(N($H112),2))</f>
        <v/>
      </c>
      <c r="K112" s="70" t="n">
        <v>0</v>
      </c>
      <c r="L112" s="84"/>
      <c r="M112" s="84"/>
      <c r="N112" s="18"/>
      <c r="O112" s="84"/>
      <c r="P112" s="18"/>
      <c r="Q112" s="67" t="str">
        <f aca="false">IF(OR($C112="",ROUND(N($H112),2)=0),"",$L112)</f>
        <v/>
      </c>
      <c r="R112" s="70" t="str">
        <f aca="false">IF($Q112="","",ROUND(N($H112),2))</f>
        <v/>
      </c>
      <c r="S112" s="70" t="str">
        <f aca="false">IF($Q112="","",0)</f>
        <v/>
      </c>
      <c r="T112" s="67" t="str">
        <f aca="false">""</f>
        <v/>
      </c>
      <c r="U112" s="70" t="str">
        <f aca="false">IF($T112="","",0)</f>
        <v/>
      </c>
      <c r="V112" s="70" t="str">
        <f aca="false">IF($T112="","",0)</f>
        <v/>
      </c>
      <c r="W112" s="67" t="str">
        <f aca="false">IF($Q112="","","应付账款")</f>
        <v/>
      </c>
      <c r="X112" s="70" t="str">
        <f aca="false">IF($W112="","",0)</f>
        <v/>
      </c>
      <c r="Y112" s="70" t="str">
        <f aca="false">IF($W112="","",ROUND(N($H112),2))</f>
        <v/>
      </c>
      <c r="Z112" s="42"/>
      <c r="AA112" s="44"/>
      <c r="AB112" s="41" t="str">
        <f aca="false">IF($C112="","",ROUND(N($H112)-N($AA112),2))</f>
        <v/>
      </c>
      <c r="AC112" s="9" t="str">
        <f aca="false">IF($B112="","",TEXT($B112,"yyyy年m月"))</f>
        <v/>
      </c>
    </row>
    <row r="113" customFormat="false" ht="18" hidden="false" customHeight="true" outlineLevel="0" collapsed="false">
      <c r="A113" s="107" t="str">
        <f aca="false">IF($C113="","",ROW()-3)</f>
        <v/>
      </c>
      <c r="B113" s="108"/>
      <c r="C113" s="84"/>
      <c r="D113" s="84"/>
      <c r="E113" s="18"/>
      <c r="F113" s="109"/>
      <c r="G113" s="109"/>
      <c r="H113" s="70" t="str">
        <f aca="false">IF($C113="","",ROUND(N($F113)*N($G113),2))</f>
        <v/>
      </c>
      <c r="I113" s="84" t="s">
        <v>266</v>
      </c>
      <c r="J113" s="70" t="str">
        <f aca="false">IF($C113="","",ROUND(N($H113),2))</f>
        <v/>
      </c>
      <c r="K113" s="70" t="n">
        <v>0</v>
      </c>
      <c r="L113" s="84"/>
      <c r="M113" s="84"/>
      <c r="N113" s="18"/>
      <c r="O113" s="84"/>
      <c r="P113" s="18"/>
      <c r="Q113" s="67" t="str">
        <f aca="false">IF(OR($C113="",ROUND(N($H113),2)=0),"",$L113)</f>
        <v/>
      </c>
      <c r="R113" s="70" t="str">
        <f aca="false">IF($Q113="","",ROUND(N($H113),2))</f>
        <v/>
      </c>
      <c r="S113" s="70" t="str">
        <f aca="false">IF($Q113="","",0)</f>
        <v/>
      </c>
      <c r="T113" s="67" t="str">
        <f aca="false">""</f>
        <v/>
      </c>
      <c r="U113" s="70" t="str">
        <f aca="false">IF($T113="","",0)</f>
        <v/>
      </c>
      <c r="V113" s="70" t="str">
        <f aca="false">IF($T113="","",0)</f>
        <v/>
      </c>
      <c r="W113" s="67" t="str">
        <f aca="false">IF($Q113="","","应付账款")</f>
        <v/>
      </c>
      <c r="X113" s="70" t="str">
        <f aca="false">IF($W113="","",0)</f>
        <v/>
      </c>
      <c r="Y113" s="70" t="str">
        <f aca="false">IF($W113="","",ROUND(N($H113),2))</f>
        <v/>
      </c>
      <c r="Z113" s="42"/>
      <c r="AA113" s="44"/>
      <c r="AB113" s="41" t="str">
        <f aca="false">IF($C113="","",ROUND(N($H113)-N($AA113),2))</f>
        <v/>
      </c>
      <c r="AC113" s="9" t="str">
        <f aca="false">IF($B113="","",TEXT($B113,"yyyy年m月"))</f>
        <v/>
      </c>
    </row>
    <row r="114" customFormat="false" ht="18" hidden="false" customHeight="true" outlineLevel="0" collapsed="false">
      <c r="A114" s="107" t="str">
        <f aca="false">IF($C114="","",ROW()-3)</f>
        <v/>
      </c>
      <c r="B114" s="108"/>
      <c r="C114" s="84"/>
      <c r="D114" s="84"/>
      <c r="E114" s="18"/>
      <c r="F114" s="109"/>
      <c r="G114" s="109"/>
      <c r="H114" s="70" t="str">
        <f aca="false">IF($C114="","",ROUND(N($F114)*N($G114),2))</f>
        <v/>
      </c>
      <c r="I114" s="84" t="s">
        <v>266</v>
      </c>
      <c r="J114" s="70" t="str">
        <f aca="false">IF($C114="","",ROUND(N($H114),2))</f>
        <v/>
      </c>
      <c r="K114" s="70" t="n">
        <v>0</v>
      </c>
      <c r="L114" s="84"/>
      <c r="M114" s="84"/>
      <c r="N114" s="18"/>
      <c r="O114" s="84"/>
      <c r="P114" s="18"/>
      <c r="Q114" s="67" t="str">
        <f aca="false">IF(OR($C114="",ROUND(N($H114),2)=0),"",$L114)</f>
        <v/>
      </c>
      <c r="R114" s="70" t="str">
        <f aca="false">IF($Q114="","",ROUND(N($H114),2))</f>
        <v/>
      </c>
      <c r="S114" s="70" t="str">
        <f aca="false">IF($Q114="","",0)</f>
        <v/>
      </c>
      <c r="T114" s="67" t="str">
        <f aca="false">""</f>
        <v/>
      </c>
      <c r="U114" s="70" t="str">
        <f aca="false">IF($T114="","",0)</f>
        <v/>
      </c>
      <c r="V114" s="70" t="str">
        <f aca="false">IF($T114="","",0)</f>
        <v/>
      </c>
      <c r="W114" s="67" t="str">
        <f aca="false">IF($Q114="","","应付账款")</f>
        <v/>
      </c>
      <c r="X114" s="70" t="str">
        <f aca="false">IF($W114="","",0)</f>
        <v/>
      </c>
      <c r="Y114" s="70" t="str">
        <f aca="false">IF($W114="","",ROUND(N($H114),2))</f>
        <v/>
      </c>
      <c r="Z114" s="42"/>
      <c r="AA114" s="44"/>
      <c r="AB114" s="41" t="str">
        <f aca="false">IF($C114="","",ROUND(N($H114)-N($AA114),2))</f>
        <v/>
      </c>
      <c r="AC114" s="9" t="str">
        <f aca="false">IF($B114="","",TEXT($B114,"yyyy年m月"))</f>
        <v/>
      </c>
    </row>
    <row r="115" customFormat="false" ht="18" hidden="false" customHeight="true" outlineLevel="0" collapsed="false">
      <c r="A115" s="107" t="str">
        <f aca="false">IF($C115="","",ROW()-3)</f>
        <v/>
      </c>
      <c r="B115" s="108"/>
      <c r="C115" s="84"/>
      <c r="D115" s="84"/>
      <c r="E115" s="18"/>
      <c r="F115" s="109"/>
      <c r="G115" s="109"/>
      <c r="H115" s="70" t="str">
        <f aca="false">IF($C115="","",ROUND(N($F115)*N($G115),2))</f>
        <v/>
      </c>
      <c r="I115" s="84" t="s">
        <v>266</v>
      </c>
      <c r="J115" s="70" t="str">
        <f aca="false">IF($C115="","",ROUND(N($H115),2))</f>
        <v/>
      </c>
      <c r="K115" s="70" t="n">
        <v>0</v>
      </c>
      <c r="L115" s="84"/>
      <c r="M115" s="84"/>
      <c r="N115" s="18"/>
      <c r="O115" s="84"/>
      <c r="P115" s="18"/>
      <c r="Q115" s="67" t="str">
        <f aca="false">IF(OR($C115="",ROUND(N($H115),2)=0),"",$L115)</f>
        <v/>
      </c>
      <c r="R115" s="70" t="str">
        <f aca="false">IF($Q115="","",ROUND(N($H115),2))</f>
        <v/>
      </c>
      <c r="S115" s="70" t="str">
        <f aca="false">IF($Q115="","",0)</f>
        <v/>
      </c>
      <c r="T115" s="67" t="str">
        <f aca="false">""</f>
        <v/>
      </c>
      <c r="U115" s="70" t="str">
        <f aca="false">IF($T115="","",0)</f>
        <v/>
      </c>
      <c r="V115" s="70" t="str">
        <f aca="false">IF($T115="","",0)</f>
        <v/>
      </c>
      <c r="W115" s="67" t="str">
        <f aca="false">IF($Q115="","","应付账款")</f>
        <v/>
      </c>
      <c r="X115" s="70" t="str">
        <f aca="false">IF($W115="","",0)</f>
        <v/>
      </c>
      <c r="Y115" s="70" t="str">
        <f aca="false">IF($W115="","",ROUND(N($H115),2))</f>
        <v/>
      </c>
      <c r="Z115" s="42"/>
      <c r="AA115" s="44"/>
      <c r="AB115" s="41" t="str">
        <f aca="false">IF($C115="","",ROUND(N($H115)-N($AA115),2))</f>
        <v/>
      </c>
      <c r="AC115" s="9" t="str">
        <f aca="false">IF($B115="","",TEXT($B115,"yyyy年m月"))</f>
        <v/>
      </c>
    </row>
    <row r="116" customFormat="false" ht="18" hidden="false" customHeight="true" outlineLevel="0" collapsed="false">
      <c r="A116" s="107" t="str">
        <f aca="false">IF($C116="","",ROW()-3)</f>
        <v/>
      </c>
      <c r="B116" s="108"/>
      <c r="C116" s="84"/>
      <c r="D116" s="84"/>
      <c r="E116" s="18"/>
      <c r="F116" s="109"/>
      <c r="G116" s="109"/>
      <c r="H116" s="70" t="str">
        <f aca="false">IF($C116="","",ROUND(N($F116)*N($G116),2))</f>
        <v/>
      </c>
      <c r="I116" s="84" t="s">
        <v>266</v>
      </c>
      <c r="J116" s="70" t="str">
        <f aca="false">IF($C116="","",ROUND(N($H116),2))</f>
        <v/>
      </c>
      <c r="K116" s="70" t="n">
        <v>0</v>
      </c>
      <c r="L116" s="84"/>
      <c r="M116" s="84"/>
      <c r="N116" s="18"/>
      <c r="O116" s="84"/>
      <c r="P116" s="18"/>
      <c r="Q116" s="67" t="str">
        <f aca="false">IF(OR($C116="",ROUND(N($H116),2)=0),"",$L116)</f>
        <v/>
      </c>
      <c r="R116" s="70" t="str">
        <f aca="false">IF($Q116="","",ROUND(N($H116),2))</f>
        <v/>
      </c>
      <c r="S116" s="70" t="str">
        <f aca="false">IF($Q116="","",0)</f>
        <v/>
      </c>
      <c r="T116" s="67" t="str">
        <f aca="false">""</f>
        <v/>
      </c>
      <c r="U116" s="70" t="str">
        <f aca="false">IF($T116="","",0)</f>
        <v/>
      </c>
      <c r="V116" s="70" t="str">
        <f aca="false">IF($T116="","",0)</f>
        <v/>
      </c>
      <c r="W116" s="67" t="str">
        <f aca="false">IF($Q116="","","应付账款")</f>
        <v/>
      </c>
      <c r="X116" s="70" t="str">
        <f aca="false">IF($W116="","",0)</f>
        <v/>
      </c>
      <c r="Y116" s="70" t="str">
        <f aca="false">IF($W116="","",ROUND(N($H116),2))</f>
        <v/>
      </c>
      <c r="Z116" s="42"/>
      <c r="AA116" s="44"/>
      <c r="AB116" s="41" t="str">
        <f aca="false">IF($C116="","",ROUND(N($H116)-N($AA116),2))</f>
        <v/>
      </c>
      <c r="AC116" s="9" t="str">
        <f aca="false">IF($B116="","",TEXT($B116,"yyyy年m月"))</f>
        <v/>
      </c>
    </row>
    <row r="117" customFormat="false" ht="18" hidden="false" customHeight="true" outlineLevel="0" collapsed="false">
      <c r="A117" s="107" t="str">
        <f aca="false">IF($C117="","",ROW()-3)</f>
        <v/>
      </c>
      <c r="B117" s="108"/>
      <c r="C117" s="84"/>
      <c r="D117" s="84"/>
      <c r="E117" s="18"/>
      <c r="F117" s="109"/>
      <c r="G117" s="109"/>
      <c r="H117" s="70" t="str">
        <f aca="false">IF($C117="","",ROUND(N($F117)*N($G117),2))</f>
        <v/>
      </c>
      <c r="I117" s="84" t="s">
        <v>266</v>
      </c>
      <c r="J117" s="70" t="str">
        <f aca="false">IF($C117="","",ROUND(N($H117),2))</f>
        <v/>
      </c>
      <c r="K117" s="70" t="n">
        <v>0</v>
      </c>
      <c r="L117" s="84"/>
      <c r="M117" s="84"/>
      <c r="N117" s="18"/>
      <c r="O117" s="84"/>
      <c r="P117" s="18"/>
      <c r="Q117" s="67" t="str">
        <f aca="false">IF(OR($C117="",ROUND(N($H117),2)=0),"",$L117)</f>
        <v/>
      </c>
      <c r="R117" s="70" t="str">
        <f aca="false">IF($Q117="","",ROUND(N($H117),2))</f>
        <v/>
      </c>
      <c r="S117" s="70" t="str">
        <f aca="false">IF($Q117="","",0)</f>
        <v/>
      </c>
      <c r="T117" s="67" t="str">
        <f aca="false">""</f>
        <v/>
      </c>
      <c r="U117" s="70" t="str">
        <f aca="false">IF($T117="","",0)</f>
        <v/>
      </c>
      <c r="V117" s="70" t="str">
        <f aca="false">IF($T117="","",0)</f>
        <v/>
      </c>
      <c r="W117" s="67" t="str">
        <f aca="false">IF($Q117="","","应付账款")</f>
        <v/>
      </c>
      <c r="X117" s="70" t="str">
        <f aca="false">IF($W117="","",0)</f>
        <v/>
      </c>
      <c r="Y117" s="70" t="str">
        <f aca="false">IF($W117="","",ROUND(N($H117),2))</f>
        <v/>
      </c>
      <c r="Z117" s="42"/>
      <c r="AA117" s="44"/>
      <c r="AB117" s="41" t="str">
        <f aca="false">IF($C117="","",ROUND(N($H117)-N($AA117),2))</f>
        <v/>
      </c>
      <c r="AC117" s="9" t="str">
        <f aca="false">IF($B117="","",TEXT($B117,"yyyy年m月"))</f>
        <v/>
      </c>
    </row>
    <row r="118" customFormat="false" ht="18" hidden="false" customHeight="true" outlineLevel="0" collapsed="false">
      <c r="A118" s="107" t="str">
        <f aca="false">IF($C118="","",ROW()-3)</f>
        <v/>
      </c>
      <c r="B118" s="108"/>
      <c r="C118" s="84"/>
      <c r="D118" s="84"/>
      <c r="E118" s="18"/>
      <c r="F118" s="109"/>
      <c r="G118" s="109"/>
      <c r="H118" s="70" t="str">
        <f aca="false">IF($C118="","",ROUND(N($F118)*N($G118),2))</f>
        <v/>
      </c>
      <c r="I118" s="84" t="s">
        <v>266</v>
      </c>
      <c r="J118" s="70" t="str">
        <f aca="false">IF($C118="","",ROUND(N($H118),2))</f>
        <v/>
      </c>
      <c r="K118" s="70" t="n">
        <v>0</v>
      </c>
      <c r="L118" s="84"/>
      <c r="M118" s="84"/>
      <c r="N118" s="18"/>
      <c r="O118" s="84"/>
      <c r="P118" s="18"/>
      <c r="Q118" s="67" t="str">
        <f aca="false">IF(OR($C118="",ROUND(N($H118),2)=0),"",$L118)</f>
        <v/>
      </c>
      <c r="R118" s="70" t="str">
        <f aca="false">IF($Q118="","",ROUND(N($H118),2))</f>
        <v/>
      </c>
      <c r="S118" s="70" t="str">
        <f aca="false">IF($Q118="","",0)</f>
        <v/>
      </c>
      <c r="T118" s="67" t="str">
        <f aca="false">""</f>
        <v/>
      </c>
      <c r="U118" s="70" t="str">
        <f aca="false">IF($T118="","",0)</f>
        <v/>
      </c>
      <c r="V118" s="70" t="str">
        <f aca="false">IF($T118="","",0)</f>
        <v/>
      </c>
      <c r="W118" s="67" t="str">
        <f aca="false">IF($Q118="","","应付账款")</f>
        <v/>
      </c>
      <c r="X118" s="70" t="str">
        <f aca="false">IF($W118="","",0)</f>
        <v/>
      </c>
      <c r="Y118" s="70" t="str">
        <f aca="false">IF($W118="","",ROUND(N($H118),2))</f>
        <v/>
      </c>
      <c r="Z118" s="42"/>
      <c r="AA118" s="44"/>
      <c r="AB118" s="41" t="str">
        <f aca="false">IF($C118="","",ROUND(N($H118)-N($AA118),2))</f>
        <v/>
      </c>
      <c r="AC118" s="9" t="str">
        <f aca="false">IF($B118="","",TEXT($B118,"yyyy年m月"))</f>
        <v/>
      </c>
    </row>
    <row r="119" customFormat="false" ht="18" hidden="false" customHeight="true" outlineLevel="0" collapsed="false">
      <c r="A119" s="107" t="str">
        <f aca="false">IF($C119="","",ROW()-3)</f>
        <v/>
      </c>
      <c r="B119" s="108"/>
      <c r="C119" s="84"/>
      <c r="D119" s="84"/>
      <c r="E119" s="18"/>
      <c r="F119" s="109"/>
      <c r="G119" s="109"/>
      <c r="H119" s="70" t="str">
        <f aca="false">IF($C119="","",ROUND(N($F119)*N($G119),2))</f>
        <v/>
      </c>
      <c r="I119" s="84" t="s">
        <v>266</v>
      </c>
      <c r="J119" s="70" t="str">
        <f aca="false">IF($C119="","",ROUND(N($H119),2))</f>
        <v/>
      </c>
      <c r="K119" s="70" t="n">
        <v>0</v>
      </c>
      <c r="L119" s="84"/>
      <c r="M119" s="84"/>
      <c r="N119" s="18"/>
      <c r="O119" s="84"/>
      <c r="P119" s="18"/>
      <c r="Q119" s="67" t="str">
        <f aca="false">IF(OR($C119="",ROUND(N($H119),2)=0),"",$L119)</f>
        <v/>
      </c>
      <c r="R119" s="70" t="str">
        <f aca="false">IF($Q119="","",ROUND(N($H119),2))</f>
        <v/>
      </c>
      <c r="S119" s="70" t="str">
        <f aca="false">IF($Q119="","",0)</f>
        <v/>
      </c>
      <c r="T119" s="67" t="str">
        <f aca="false">""</f>
        <v/>
      </c>
      <c r="U119" s="70" t="str">
        <f aca="false">IF($T119="","",0)</f>
        <v/>
      </c>
      <c r="V119" s="70" t="str">
        <f aca="false">IF($T119="","",0)</f>
        <v/>
      </c>
      <c r="W119" s="67" t="str">
        <f aca="false">IF($Q119="","","应付账款")</f>
        <v/>
      </c>
      <c r="X119" s="70" t="str">
        <f aca="false">IF($W119="","",0)</f>
        <v/>
      </c>
      <c r="Y119" s="70" t="str">
        <f aca="false">IF($W119="","",ROUND(N($H119),2))</f>
        <v/>
      </c>
      <c r="Z119" s="42"/>
      <c r="AA119" s="44"/>
      <c r="AB119" s="41" t="str">
        <f aca="false">IF($C119="","",ROUND(N($H119)-N($AA119),2))</f>
        <v/>
      </c>
      <c r="AC119" s="9" t="str">
        <f aca="false">IF($B119="","",TEXT($B119,"yyyy年m月"))</f>
        <v/>
      </c>
    </row>
    <row r="120" customFormat="false" ht="18" hidden="false" customHeight="true" outlineLevel="0" collapsed="false">
      <c r="A120" s="107" t="str">
        <f aca="false">IF($C120="","",ROW()-3)</f>
        <v/>
      </c>
      <c r="B120" s="108"/>
      <c r="C120" s="84"/>
      <c r="D120" s="84"/>
      <c r="E120" s="18"/>
      <c r="F120" s="109"/>
      <c r="G120" s="109"/>
      <c r="H120" s="70" t="str">
        <f aca="false">IF($C120="","",ROUND(N($F120)*N($G120),2))</f>
        <v/>
      </c>
      <c r="I120" s="84" t="s">
        <v>266</v>
      </c>
      <c r="J120" s="70" t="str">
        <f aca="false">IF($C120="","",ROUND(N($H120),2))</f>
        <v/>
      </c>
      <c r="K120" s="70" t="n">
        <v>0</v>
      </c>
      <c r="L120" s="84"/>
      <c r="M120" s="84"/>
      <c r="N120" s="18"/>
      <c r="O120" s="84"/>
      <c r="P120" s="18"/>
      <c r="Q120" s="67" t="str">
        <f aca="false">IF(OR($C120="",ROUND(N($H120),2)=0),"",$L120)</f>
        <v/>
      </c>
      <c r="R120" s="70" t="str">
        <f aca="false">IF($Q120="","",ROUND(N($H120),2))</f>
        <v/>
      </c>
      <c r="S120" s="70" t="str">
        <f aca="false">IF($Q120="","",0)</f>
        <v/>
      </c>
      <c r="T120" s="67" t="str">
        <f aca="false">""</f>
        <v/>
      </c>
      <c r="U120" s="70" t="str">
        <f aca="false">IF($T120="","",0)</f>
        <v/>
      </c>
      <c r="V120" s="70" t="str">
        <f aca="false">IF($T120="","",0)</f>
        <v/>
      </c>
      <c r="W120" s="67" t="str">
        <f aca="false">IF($Q120="","","应付账款")</f>
        <v/>
      </c>
      <c r="X120" s="70" t="str">
        <f aca="false">IF($W120="","",0)</f>
        <v/>
      </c>
      <c r="Y120" s="70" t="str">
        <f aca="false">IF($W120="","",ROUND(N($H120),2))</f>
        <v/>
      </c>
      <c r="Z120" s="42"/>
      <c r="AA120" s="44"/>
      <c r="AB120" s="41" t="str">
        <f aca="false">IF($C120="","",ROUND(N($H120)-N($AA120),2))</f>
        <v/>
      </c>
      <c r="AC120" s="9" t="str">
        <f aca="false">IF($B120="","",TEXT($B120,"yyyy年m月"))</f>
        <v/>
      </c>
    </row>
    <row r="121" customFormat="false" ht="18" hidden="false" customHeight="true" outlineLevel="0" collapsed="false">
      <c r="A121" s="107" t="str">
        <f aca="false">IF($C121="","",ROW()-3)</f>
        <v/>
      </c>
      <c r="B121" s="108"/>
      <c r="C121" s="84"/>
      <c r="D121" s="84"/>
      <c r="E121" s="18"/>
      <c r="F121" s="109"/>
      <c r="G121" s="109"/>
      <c r="H121" s="70" t="str">
        <f aca="false">IF($C121="","",ROUND(N($F121)*N($G121),2))</f>
        <v/>
      </c>
      <c r="I121" s="84" t="s">
        <v>266</v>
      </c>
      <c r="J121" s="70" t="str">
        <f aca="false">IF($C121="","",ROUND(N($H121),2))</f>
        <v/>
      </c>
      <c r="K121" s="70" t="n">
        <v>0</v>
      </c>
      <c r="L121" s="84"/>
      <c r="M121" s="84"/>
      <c r="N121" s="18"/>
      <c r="O121" s="84"/>
      <c r="P121" s="18"/>
      <c r="Q121" s="67" t="str">
        <f aca="false">IF(OR($C121="",ROUND(N($H121),2)=0),"",$L121)</f>
        <v/>
      </c>
      <c r="R121" s="70" t="str">
        <f aca="false">IF($Q121="","",ROUND(N($H121),2))</f>
        <v/>
      </c>
      <c r="S121" s="70" t="str">
        <f aca="false">IF($Q121="","",0)</f>
        <v/>
      </c>
      <c r="T121" s="67" t="str">
        <f aca="false">""</f>
        <v/>
      </c>
      <c r="U121" s="70" t="str">
        <f aca="false">IF($T121="","",0)</f>
        <v/>
      </c>
      <c r="V121" s="70" t="str">
        <f aca="false">IF($T121="","",0)</f>
        <v/>
      </c>
      <c r="W121" s="67" t="str">
        <f aca="false">IF($Q121="","","应付账款")</f>
        <v/>
      </c>
      <c r="X121" s="70" t="str">
        <f aca="false">IF($W121="","",0)</f>
        <v/>
      </c>
      <c r="Y121" s="70" t="str">
        <f aca="false">IF($W121="","",ROUND(N($H121),2))</f>
        <v/>
      </c>
      <c r="Z121" s="42"/>
      <c r="AA121" s="44"/>
      <c r="AB121" s="41" t="str">
        <f aca="false">IF($C121="","",ROUND(N($H121)-N($AA121),2))</f>
        <v/>
      </c>
      <c r="AC121" s="9" t="str">
        <f aca="false">IF($B121="","",TEXT($B121,"yyyy年m月"))</f>
        <v/>
      </c>
    </row>
    <row r="122" customFormat="false" ht="18" hidden="false" customHeight="true" outlineLevel="0" collapsed="false">
      <c r="A122" s="107" t="str">
        <f aca="false">IF($C122="","",ROW()-3)</f>
        <v/>
      </c>
      <c r="B122" s="108"/>
      <c r="C122" s="84"/>
      <c r="D122" s="84"/>
      <c r="E122" s="18"/>
      <c r="F122" s="109"/>
      <c r="G122" s="109"/>
      <c r="H122" s="70" t="str">
        <f aca="false">IF($C122="","",ROUND(N($F122)*N($G122),2))</f>
        <v/>
      </c>
      <c r="I122" s="84" t="s">
        <v>266</v>
      </c>
      <c r="J122" s="70" t="str">
        <f aca="false">IF($C122="","",ROUND(N($H122),2))</f>
        <v/>
      </c>
      <c r="K122" s="70" t="n">
        <v>0</v>
      </c>
      <c r="L122" s="84"/>
      <c r="M122" s="84"/>
      <c r="N122" s="18"/>
      <c r="O122" s="84"/>
      <c r="P122" s="18"/>
      <c r="Q122" s="67" t="str">
        <f aca="false">IF(OR($C122="",ROUND(N($H122),2)=0),"",$L122)</f>
        <v/>
      </c>
      <c r="R122" s="70" t="str">
        <f aca="false">IF($Q122="","",ROUND(N($H122),2))</f>
        <v/>
      </c>
      <c r="S122" s="70" t="str">
        <f aca="false">IF($Q122="","",0)</f>
        <v/>
      </c>
      <c r="T122" s="67" t="str">
        <f aca="false">""</f>
        <v/>
      </c>
      <c r="U122" s="70" t="str">
        <f aca="false">IF($T122="","",0)</f>
        <v/>
      </c>
      <c r="V122" s="70" t="str">
        <f aca="false">IF($T122="","",0)</f>
        <v/>
      </c>
      <c r="W122" s="67" t="str">
        <f aca="false">IF($Q122="","","应付账款")</f>
        <v/>
      </c>
      <c r="X122" s="70" t="str">
        <f aca="false">IF($W122="","",0)</f>
        <v/>
      </c>
      <c r="Y122" s="70" t="str">
        <f aca="false">IF($W122="","",ROUND(N($H122),2))</f>
        <v/>
      </c>
      <c r="Z122" s="42"/>
      <c r="AA122" s="44"/>
      <c r="AB122" s="41" t="str">
        <f aca="false">IF($C122="","",ROUND(N($H122)-N($AA122),2))</f>
        <v/>
      </c>
      <c r="AC122" s="9" t="str">
        <f aca="false">IF($B122="","",TEXT($B122,"yyyy年m月"))</f>
        <v/>
      </c>
    </row>
    <row r="123" customFormat="false" ht="18" hidden="false" customHeight="true" outlineLevel="0" collapsed="false">
      <c r="A123" s="107" t="str">
        <f aca="false">IF($C123="","",ROW()-3)</f>
        <v/>
      </c>
      <c r="B123" s="108"/>
      <c r="C123" s="84"/>
      <c r="D123" s="84"/>
      <c r="E123" s="18"/>
      <c r="F123" s="109"/>
      <c r="G123" s="109"/>
      <c r="H123" s="70" t="str">
        <f aca="false">IF($C123="","",ROUND(N($F123)*N($G123),2))</f>
        <v/>
      </c>
      <c r="I123" s="84" t="s">
        <v>266</v>
      </c>
      <c r="J123" s="70" t="str">
        <f aca="false">IF($C123="","",ROUND(N($H123),2))</f>
        <v/>
      </c>
      <c r="K123" s="70" t="n">
        <v>0</v>
      </c>
      <c r="L123" s="84"/>
      <c r="M123" s="84"/>
      <c r="N123" s="18"/>
      <c r="O123" s="84"/>
      <c r="P123" s="18"/>
      <c r="Q123" s="67" t="str">
        <f aca="false">IF(OR($C123="",ROUND(N($H123),2)=0),"",$L123)</f>
        <v/>
      </c>
      <c r="R123" s="70" t="str">
        <f aca="false">IF($Q123="","",ROUND(N($H123),2))</f>
        <v/>
      </c>
      <c r="S123" s="70" t="str">
        <f aca="false">IF($Q123="","",0)</f>
        <v/>
      </c>
      <c r="T123" s="67" t="str">
        <f aca="false">""</f>
        <v/>
      </c>
      <c r="U123" s="70" t="str">
        <f aca="false">IF($T123="","",0)</f>
        <v/>
      </c>
      <c r="V123" s="70" t="str">
        <f aca="false">IF($T123="","",0)</f>
        <v/>
      </c>
      <c r="W123" s="67" t="str">
        <f aca="false">IF($Q123="","","应付账款")</f>
        <v/>
      </c>
      <c r="X123" s="70" t="str">
        <f aca="false">IF($W123="","",0)</f>
        <v/>
      </c>
      <c r="Y123" s="70" t="str">
        <f aca="false">IF($W123="","",ROUND(N($H123),2))</f>
        <v/>
      </c>
      <c r="Z123" s="42"/>
      <c r="AA123" s="44"/>
      <c r="AB123" s="41" t="str">
        <f aca="false">IF($C123="","",ROUND(N($H123)-N($AA123),2))</f>
        <v/>
      </c>
      <c r="AC123" s="9" t="str">
        <f aca="false">IF($B123="","",TEXT($B123,"yyyy年m月"))</f>
        <v/>
      </c>
    </row>
    <row r="124" customFormat="false" ht="18" hidden="false" customHeight="true" outlineLevel="0" collapsed="false">
      <c r="A124" s="107" t="str">
        <f aca="false">IF($C124="","",ROW()-3)</f>
        <v/>
      </c>
      <c r="B124" s="108"/>
      <c r="C124" s="84"/>
      <c r="D124" s="84"/>
      <c r="E124" s="18"/>
      <c r="F124" s="109"/>
      <c r="G124" s="109"/>
      <c r="H124" s="70" t="str">
        <f aca="false">IF($C124="","",ROUND(N($F124)*N($G124),2))</f>
        <v/>
      </c>
      <c r="I124" s="84" t="s">
        <v>266</v>
      </c>
      <c r="J124" s="70" t="str">
        <f aca="false">IF($C124="","",ROUND(N($H124),2))</f>
        <v/>
      </c>
      <c r="K124" s="70" t="n">
        <v>0</v>
      </c>
      <c r="L124" s="84"/>
      <c r="M124" s="84"/>
      <c r="N124" s="18"/>
      <c r="O124" s="84"/>
      <c r="P124" s="18"/>
      <c r="Q124" s="67" t="str">
        <f aca="false">IF(OR($C124="",ROUND(N($H124),2)=0),"",$L124)</f>
        <v/>
      </c>
      <c r="R124" s="70" t="str">
        <f aca="false">IF($Q124="","",ROUND(N($H124),2))</f>
        <v/>
      </c>
      <c r="S124" s="70" t="str">
        <f aca="false">IF($Q124="","",0)</f>
        <v/>
      </c>
      <c r="T124" s="67" t="str">
        <f aca="false">""</f>
        <v/>
      </c>
      <c r="U124" s="70" t="str">
        <f aca="false">IF($T124="","",0)</f>
        <v/>
      </c>
      <c r="V124" s="70" t="str">
        <f aca="false">IF($T124="","",0)</f>
        <v/>
      </c>
      <c r="W124" s="67" t="str">
        <f aca="false">IF($Q124="","","应付账款")</f>
        <v/>
      </c>
      <c r="X124" s="70" t="str">
        <f aca="false">IF($W124="","",0)</f>
        <v/>
      </c>
      <c r="Y124" s="70" t="str">
        <f aca="false">IF($W124="","",ROUND(N($H124),2))</f>
        <v/>
      </c>
      <c r="Z124" s="42"/>
      <c r="AA124" s="44"/>
      <c r="AB124" s="41" t="str">
        <f aca="false">IF($C124="","",ROUND(N($H124)-N($AA124),2))</f>
        <v/>
      </c>
      <c r="AC124" s="9" t="str">
        <f aca="false">IF($B124="","",TEXT($B124,"yyyy年m月"))</f>
        <v/>
      </c>
    </row>
    <row r="125" customFormat="false" ht="18" hidden="false" customHeight="true" outlineLevel="0" collapsed="false">
      <c r="A125" s="107" t="str">
        <f aca="false">IF($C125="","",ROW()-3)</f>
        <v/>
      </c>
      <c r="B125" s="108"/>
      <c r="C125" s="84"/>
      <c r="D125" s="84"/>
      <c r="E125" s="18"/>
      <c r="F125" s="109"/>
      <c r="G125" s="109"/>
      <c r="H125" s="70" t="str">
        <f aca="false">IF($C125="","",ROUND(N($F125)*N($G125),2))</f>
        <v/>
      </c>
      <c r="I125" s="84" t="s">
        <v>266</v>
      </c>
      <c r="J125" s="70" t="str">
        <f aca="false">IF($C125="","",ROUND(N($H125),2))</f>
        <v/>
      </c>
      <c r="K125" s="70" t="n">
        <v>0</v>
      </c>
      <c r="L125" s="84"/>
      <c r="M125" s="84"/>
      <c r="N125" s="18"/>
      <c r="O125" s="84"/>
      <c r="P125" s="18"/>
      <c r="Q125" s="67" t="str">
        <f aca="false">IF(OR($C125="",ROUND(N($H125),2)=0),"",$L125)</f>
        <v/>
      </c>
      <c r="R125" s="70" t="str">
        <f aca="false">IF($Q125="","",ROUND(N($H125),2))</f>
        <v/>
      </c>
      <c r="S125" s="70" t="str">
        <f aca="false">IF($Q125="","",0)</f>
        <v/>
      </c>
      <c r="T125" s="67" t="str">
        <f aca="false">""</f>
        <v/>
      </c>
      <c r="U125" s="70" t="str">
        <f aca="false">IF($T125="","",0)</f>
        <v/>
      </c>
      <c r="V125" s="70" t="str">
        <f aca="false">IF($T125="","",0)</f>
        <v/>
      </c>
      <c r="W125" s="67" t="str">
        <f aca="false">IF($Q125="","","应付账款")</f>
        <v/>
      </c>
      <c r="X125" s="70" t="str">
        <f aca="false">IF($W125="","",0)</f>
        <v/>
      </c>
      <c r="Y125" s="70" t="str">
        <f aca="false">IF($W125="","",ROUND(N($H125),2))</f>
        <v/>
      </c>
      <c r="Z125" s="42"/>
      <c r="AA125" s="44"/>
      <c r="AB125" s="41" t="str">
        <f aca="false">IF($C125="","",ROUND(N($H125)-N($AA125),2))</f>
        <v/>
      </c>
      <c r="AC125" s="9" t="str">
        <f aca="false">IF($B125="","",TEXT($B125,"yyyy年m月"))</f>
        <v/>
      </c>
    </row>
    <row r="126" customFormat="false" ht="18" hidden="false" customHeight="true" outlineLevel="0" collapsed="false">
      <c r="A126" s="107" t="str">
        <f aca="false">IF($C126="","",ROW()-3)</f>
        <v/>
      </c>
      <c r="B126" s="108"/>
      <c r="C126" s="84"/>
      <c r="D126" s="84"/>
      <c r="E126" s="18"/>
      <c r="F126" s="109"/>
      <c r="G126" s="109"/>
      <c r="H126" s="70" t="str">
        <f aca="false">IF($C126="","",ROUND(N($F126)*N($G126),2))</f>
        <v/>
      </c>
      <c r="I126" s="84" t="s">
        <v>266</v>
      </c>
      <c r="J126" s="70" t="str">
        <f aca="false">IF($C126="","",ROUND(N($H126),2))</f>
        <v/>
      </c>
      <c r="K126" s="70" t="n">
        <v>0</v>
      </c>
      <c r="L126" s="84"/>
      <c r="M126" s="84"/>
      <c r="N126" s="18"/>
      <c r="O126" s="84"/>
      <c r="P126" s="18"/>
      <c r="Q126" s="67" t="str">
        <f aca="false">IF(OR($C126="",ROUND(N($H126),2)=0),"",$L126)</f>
        <v/>
      </c>
      <c r="R126" s="70" t="str">
        <f aca="false">IF($Q126="","",ROUND(N($H126),2))</f>
        <v/>
      </c>
      <c r="S126" s="70" t="str">
        <f aca="false">IF($Q126="","",0)</f>
        <v/>
      </c>
      <c r="T126" s="67" t="str">
        <f aca="false">""</f>
        <v/>
      </c>
      <c r="U126" s="70" t="str">
        <f aca="false">IF($T126="","",0)</f>
        <v/>
      </c>
      <c r="V126" s="70" t="str">
        <f aca="false">IF($T126="","",0)</f>
        <v/>
      </c>
      <c r="W126" s="67" t="str">
        <f aca="false">IF($Q126="","","应付账款")</f>
        <v/>
      </c>
      <c r="X126" s="70" t="str">
        <f aca="false">IF($W126="","",0)</f>
        <v/>
      </c>
      <c r="Y126" s="70" t="str">
        <f aca="false">IF($W126="","",ROUND(N($H126),2))</f>
        <v/>
      </c>
      <c r="Z126" s="42"/>
      <c r="AA126" s="44"/>
      <c r="AB126" s="41" t="str">
        <f aca="false">IF($C126="","",ROUND(N($H126)-N($AA126),2))</f>
        <v/>
      </c>
      <c r="AC126" s="9" t="str">
        <f aca="false">IF($B126="","",TEXT($B126,"yyyy年m月"))</f>
        <v/>
      </c>
    </row>
    <row r="127" customFormat="false" ht="18" hidden="false" customHeight="true" outlineLevel="0" collapsed="false">
      <c r="A127" s="107" t="str">
        <f aca="false">IF($C127="","",ROW()-3)</f>
        <v/>
      </c>
      <c r="B127" s="108"/>
      <c r="C127" s="84"/>
      <c r="D127" s="84"/>
      <c r="E127" s="18"/>
      <c r="F127" s="109"/>
      <c r="G127" s="109"/>
      <c r="H127" s="70" t="str">
        <f aca="false">IF($C127="","",ROUND(N($F127)*N($G127),2))</f>
        <v/>
      </c>
      <c r="I127" s="84" t="s">
        <v>266</v>
      </c>
      <c r="J127" s="70" t="str">
        <f aca="false">IF($C127="","",ROUND(N($H127),2))</f>
        <v/>
      </c>
      <c r="K127" s="70" t="n">
        <v>0</v>
      </c>
      <c r="L127" s="84"/>
      <c r="M127" s="84"/>
      <c r="N127" s="18"/>
      <c r="O127" s="84"/>
      <c r="P127" s="18"/>
      <c r="Q127" s="67" t="str">
        <f aca="false">IF(OR($C127="",ROUND(N($H127),2)=0),"",$L127)</f>
        <v/>
      </c>
      <c r="R127" s="70" t="str">
        <f aca="false">IF($Q127="","",ROUND(N($H127),2))</f>
        <v/>
      </c>
      <c r="S127" s="70" t="str">
        <f aca="false">IF($Q127="","",0)</f>
        <v/>
      </c>
      <c r="T127" s="67" t="str">
        <f aca="false">""</f>
        <v/>
      </c>
      <c r="U127" s="70" t="str">
        <f aca="false">IF($T127="","",0)</f>
        <v/>
      </c>
      <c r="V127" s="70" t="str">
        <f aca="false">IF($T127="","",0)</f>
        <v/>
      </c>
      <c r="W127" s="67" t="str">
        <f aca="false">IF($Q127="","","应付账款")</f>
        <v/>
      </c>
      <c r="X127" s="70" t="str">
        <f aca="false">IF($W127="","",0)</f>
        <v/>
      </c>
      <c r="Y127" s="70" t="str">
        <f aca="false">IF($W127="","",ROUND(N($H127),2))</f>
        <v/>
      </c>
      <c r="Z127" s="42"/>
      <c r="AA127" s="44"/>
      <c r="AB127" s="41" t="str">
        <f aca="false">IF($C127="","",ROUND(N($H127)-N($AA127),2))</f>
        <v/>
      </c>
      <c r="AC127" s="9" t="str">
        <f aca="false">IF($B127="","",TEXT($B127,"yyyy年m月"))</f>
        <v/>
      </c>
    </row>
    <row r="128" customFormat="false" ht="18" hidden="false" customHeight="true" outlineLevel="0" collapsed="false">
      <c r="A128" s="107" t="str">
        <f aca="false">IF($C128="","",ROW()-3)</f>
        <v/>
      </c>
      <c r="B128" s="108"/>
      <c r="C128" s="84"/>
      <c r="D128" s="84"/>
      <c r="E128" s="18"/>
      <c r="F128" s="109"/>
      <c r="G128" s="109"/>
      <c r="H128" s="70" t="str">
        <f aca="false">IF($C128="","",ROUND(N($F128)*N($G128),2))</f>
        <v/>
      </c>
      <c r="I128" s="84" t="s">
        <v>266</v>
      </c>
      <c r="J128" s="70" t="str">
        <f aca="false">IF($C128="","",ROUND(N($H128),2))</f>
        <v/>
      </c>
      <c r="K128" s="70" t="n">
        <v>0</v>
      </c>
      <c r="L128" s="84"/>
      <c r="M128" s="84"/>
      <c r="N128" s="18"/>
      <c r="O128" s="84"/>
      <c r="P128" s="18"/>
      <c r="Q128" s="67" t="str">
        <f aca="false">IF(OR($C128="",ROUND(N($H128),2)=0),"",$L128)</f>
        <v/>
      </c>
      <c r="R128" s="70" t="str">
        <f aca="false">IF($Q128="","",ROUND(N($H128),2))</f>
        <v/>
      </c>
      <c r="S128" s="70" t="str">
        <f aca="false">IF($Q128="","",0)</f>
        <v/>
      </c>
      <c r="T128" s="67" t="str">
        <f aca="false">""</f>
        <v/>
      </c>
      <c r="U128" s="70" t="str">
        <f aca="false">IF($T128="","",0)</f>
        <v/>
      </c>
      <c r="V128" s="70" t="str">
        <f aca="false">IF($T128="","",0)</f>
        <v/>
      </c>
      <c r="W128" s="67" t="str">
        <f aca="false">IF($Q128="","","应付账款")</f>
        <v/>
      </c>
      <c r="X128" s="70" t="str">
        <f aca="false">IF($W128="","",0)</f>
        <v/>
      </c>
      <c r="Y128" s="70" t="str">
        <f aca="false">IF($W128="","",ROUND(N($H128),2))</f>
        <v/>
      </c>
      <c r="Z128" s="42"/>
      <c r="AA128" s="44"/>
      <c r="AB128" s="41" t="str">
        <f aca="false">IF($C128="","",ROUND(N($H128)-N($AA128),2))</f>
        <v/>
      </c>
      <c r="AC128" s="9" t="str">
        <f aca="false">IF($B128="","",TEXT($B128,"yyyy年m月"))</f>
        <v/>
      </c>
    </row>
    <row r="129" customFormat="false" ht="18" hidden="false" customHeight="true" outlineLevel="0" collapsed="false">
      <c r="A129" s="107" t="str">
        <f aca="false">IF($C129="","",ROW()-3)</f>
        <v/>
      </c>
      <c r="B129" s="108"/>
      <c r="C129" s="84"/>
      <c r="D129" s="84"/>
      <c r="E129" s="18"/>
      <c r="F129" s="109"/>
      <c r="G129" s="109"/>
      <c r="H129" s="70" t="str">
        <f aca="false">IF($C129="","",ROUND(N($F129)*N($G129),2))</f>
        <v/>
      </c>
      <c r="I129" s="84" t="s">
        <v>266</v>
      </c>
      <c r="J129" s="70" t="str">
        <f aca="false">IF($C129="","",ROUND(N($H129),2))</f>
        <v/>
      </c>
      <c r="K129" s="70" t="n">
        <v>0</v>
      </c>
      <c r="L129" s="84"/>
      <c r="M129" s="84"/>
      <c r="N129" s="18"/>
      <c r="O129" s="84"/>
      <c r="P129" s="18"/>
      <c r="Q129" s="67" t="str">
        <f aca="false">IF(OR($C129="",ROUND(N($H129),2)=0),"",$L129)</f>
        <v/>
      </c>
      <c r="R129" s="70" t="str">
        <f aca="false">IF($Q129="","",ROUND(N($H129),2))</f>
        <v/>
      </c>
      <c r="S129" s="70" t="str">
        <f aca="false">IF($Q129="","",0)</f>
        <v/>
      </c>
      <c r="T129" s="67" t="str">
        <f aca="false">""</f>
        <v/>
      </c>
      <c r="U129" s="70" t="str">
        <f aca="false">IF($T129="","",0)</f>
        <v/>
      </c>
      <c r="V129" s="70" t="str">
        <f aca="false">IF($T129="","",0)</f>
        <v/>
      </c>
      <c r="W129" s="67" t="str">
        <f aca="false">IF($Q129="","","应付账款")</f>
        <v/>
      </c>
      <c r="X129" s="70" t="str">
        <f aca="false">IF($W129="","",0)</f>
        <v/>
      </c>
      <c r="Y129" s="70" t="str">
        <f aca="false">IF($W129="","",ROUND(N($H129),2))</f>
        <v/>
      </c>
      <c r="Z129" s="42"/>
      <c r="AA129" s="44"/>
      <c r="AB129" s="41" t="str">
        <f aca="false">IF($C129="","",ROUND(N($H129)-N($AA129),2))</f>
        <v/>
      </c>
      <c r="AC129" s="9" t="str">
        <f aca="false">IF($B129="","",TEXT($B129,"yyyy年m月"))</f>
        <v/>
      </c>
    </row>
    <row r="130" customFormat="false" ht="18" hidden="false" customHeight="true" outlineLevel="0" collapsed="false">
      <c r="A130" s="107" t="str">
        <f aca="false">IF($C130="","",ROW()-3)</f>
        <v/>
      </c>
      <c r="B130" s="108"/>
      <c r="C130" s="84"/>
      <c r="D130" s="84"/>
      <c r="E130" s="18"/>
      <c r="F130" s="109"/>
      <c r="G130" s="109"/>
      <c r="H130" s="70" t="str">
        <f aca="false">IF($C130="","",ROUND(N($F130)*N($G130),2))</f>
        <v/>
      </c>
      <c r="I130" s="84" t="s">
        <v>266</v>
      </c>
      <c r="J130" s="70" t="str">
        <f aca="false">IF($C130="","",ROUND(N($H130),2))</f>
        <v/>
      </c>
      <c r="K130" s="70" t="n">
        <v>0</v>
      </c>
      <c r="L130" s="84"/>
      <c r="M130" s="84"/>
      <c r="N130" s="18"/>
      <c r="O130" s="84"/>
      <c r="P130" s="18"/>
      <c r="Q130" s="67" t="str">
        <f aca="false">IF(OR($C130="",ROUND(N($H130),2)=0),"",$L130)</f>
        <v/>
      </c>
      <c r="R130" s="70" t="str">
        <f aca="false">IF($Q130="","",ROUND(N($H130),2))</f>
        <v/>
      </c>
      <c r="S130" s="70" t="str">
        <f aca="false">IF($Q130="","",0)</f>
        <v/>
      </c>
      <c r="T130" s="67" t="str">
        <f aca="false">""</f>
        <v/>
      </c>
      <c r="U130" s="70" t="str">
        <f aca="false">IF($T130="","",0)</f>
        <v/>
      </c>
      <c r="V130" s="70" t="str">
        <f aca="false">IF($T130="","",0)</f>
        <v/>
      </c>
      <c r="W130" s="67" t="str">
        <f aca="false">IF($Q130="","","应付账款")</f>
        <v/>
      </c>
      <c r="X130" s="70" t="str">
        <f aca="false">IF($W130="","",0)</f>
        <v/>
      </c>
      <c r="Y130" s="70" t="str">
        <f aca="false">IF($W130="","",ROUND(N($H130),2))</f>
        <v/>
      </c>
      <c r="Z130" s="42"/>
      <c r="AA130" s="44"/>
      <c r="AB130" s="41" t="str">
        <f aca="false">IF($C130="","",ROUND(N($H130)-N($AA130),2))</f>
        <v/>
      </c>
      <c r="AC130" s="9" t="str">
        <f aca="false">IF($B130="","",TEXT($B130,"yyyy年m月"))</f>
        <v/>
      </c>
    </row>
    <row r="131" customFormat="false" ht="18" hidden="false" customHeight="true" outlineLevel="0" collapsed="false">
      <c r="A131" s="107" t="str">
        <f aca="false">IF($C131="","",ROW()-3)</f>
        <v/>
      </c>
      <c r="B131" s="108"/>
      <c r="C131" s="84"/>
      <c r="D131" s="84"/>
      <c r="E131" s="18"/>
      <c r="F131" s="109"/>
      <c r="G131" s="109"/>
      <c r="H131" s="70" t="str">
        <f aca="false">IF($C131="","",ROUND(N($F131)*N($G131),2))</f>
        <v/>
      </c>
      <c r="I131" s="84" t="s">
        <v>266</v>
      </c>
      <c r="J131" s="70" t="str">
        <f aca="false">IF($C131="","",ROUND(N($H131),2))</f>
        <v/>
      </c>
      <c r="K131" s="70" t="n">
        <v>0</v>
      </c>
      <c r="L131" s="84"/>
      <c r="M131" s="84"/>
      <c r="N131" s="18"/>
      <c r="O131" s="84"/>
      <c r="P131" s="18"/>
      <c r="Q131" s="67" t="str">
        <f aca="false">IF(OR($C131="",ROUND(N($H131),2)=0),"",$L131)</f>
        <v/>
      </c>
      <c r="R131" s="70" t="str">
        <f aca="false">IF($Q131="","",ROUND(N($H131),2))</f>
        <v/>
      </c>
      <c r="S131" s="70" t="str">
        <f aca="false">IF($Q131="","",0)</f>
        <v/>
      </c>
      <c r="T131" s="67" t="str">
        <f aca="false">""</f>
        <v/>
      </c>
      <c r="U131" s="70" t="str">
        <f aca="false">IF($T131="","",0)</f>
        <v/>
      </c>
      <c r="V131" s="70" t="str">
        <f aca="false">IF($T131="","",0)</f>
        <v/>
      </c>
      <c r="W131" s="67" t="str">
        <f aca="false">IF($Q131="","","应付账款")</f>
        <v/>
      </c>
      <c r="X131" s="70" t="str">
        <f aca="false">IF($W131="","",0)</f>
        <v/>
      </c>
      <c r="Y131" s="70" t="str">
        <f aca="false">IF($W131="","",ROUND(N($H131),2))</f>
        <v/>
      </c>
      <c r="Z131" s="42"/>
      <c r="AA131" s="44"/>
      <c r="AB131" s="41" t="str">
        <f aca="false">IF($C131="","",ROUND(N($H131)-N($AA131),2))</f>
        <v/>
      </c>
      <c r="AC131" s="9" t="str">
        <f aca="false">IF($B131="","",TEXT($B131,"yyyy年m月"))</f>
        <v/>
      </c>
    </row>
    <row r="132" customFormat="false" ht="18" hidden="false" customHeight="true" outlineLevel="0" collapsed="false">
      <c r="A132" s="107" t="str">
        <f aca="false">IF($C132="","",ROW()-3)</f>
        <v/>
      </c>
      <c r="B132" s="108"/>
      <c r="C132" s="84"/>
      <c r="D132" s="84"/>
      <c r="E132" s="18"/>
      <c r="F132" s="109"/>
      <c r="G132" s="109"/>
      <c r="H132" s="70" t="str">
        <f aca="false">IF($C132="","",ROUND(N($F132)*N($G132),2))</f>
        <v/>
      </c>
      <c r="I132" s="84" t="s">
        <v>266</v>
      </c>
      <c r="J132" s="70" t="str">
        <f aca="false">IF($C132="","",ROUND(N($H132),2))</f>
        <v/>
      </c>
      <c r="K132" s="70" t="n">
        <v>0</v>
      </c>
      <c r="L132" s="84"/>
      <c r="M132" s="84"/>
      <c r="N132" s="18"/>
      <c r="O132" s="84"/>
      <c r="P132" s="18"/>
      <c r="Q132" s="67" t="str">
        <f aca="false">IF(OR($C132="",ROUND(N($H132),2)=0),"",$L132)</f>
        <v/>
      </c>
      <c r="R132" s="70" t="str">
        <f aca="false">IF($Q132="","",ROUND(N($H132),2))</f>
        <v/>
      </c>
      <c r="S132" s="70" t="str">
        <f aca="false">IF($Q132="","",0)</f>
        <v/>
      </c>
      <c r="T132" s="67" t="str">
        <f aca="false">""</f>
        <v/>
      </c>
      <c r="U132" s="70" t="str">
        <f aca="false">IF($T132="","",0)</f>
        <v/>
      </c>
      <c r="V132" s="70" t="str">
        <f aca="false">IF($T132="","",0)</f>
        <v/>
      </c>
      <c r="W132" s="67" t="str">
        <f aca="false">IF($Q132="","","应付账款")</f>
        <v/>
      </c>
      <c r="X132" s="70" t="str">
        <f aca="false">IF($W132="","",0)</f>
        <v/>
      </c>
      <c r="Y132" s="70" t="str">
        <f aca="false">IF($W132="","",ROUND(N($H132),2))</f>
        <v/>
      </c>
      <c r="Z132" s="42"/>
      <c r="AA132" s="44"/>
      <c r="AB132" s="41" t="str">
        <f aca="false">IF($C132="","",ROUND(N($H132)-N($AA132),2))</f>
        <v/>
      </c>
      <c r="AC132" s="9" t="str">
        <f aca="false">IF($B132="","",TEXT($B132,"yyyy年m月"))</f>
        <v/>
      </c>
    </row>
    <row r="133" customFormat="false" ht="18" hidden="false" customHeight="true" outlineLevel="0" collapsed="false">
      <c r="A133" s="107" t="str">
        <f aca="false">IF($C133="","",ROW()-3)</f>
        <v/>
      </c>
      <c r="B133" s="108"/>
      <c r="C133" s="84"/>
      <c r="D133" s="84"/>
      <c r="E133" s="18"/>
      <c r="F133" s="109"/>
      <c r="G133" s="109"/>
      <c r="H133" s="70" t="str">
        <f aca="false">IF($C133="","",ROUND(N($F133)*N($G133),2))</f>
        <v/>
      </c>
      <c r="I133" s="84" t="s">
        <v>266</v>
      </c>
      <c r="J133" s="70" t="str">
        <f aca="false">IF($C133="","",ROUND(N($H133),2))</f>
        <v/>
      </c>
      <c r="K133" s="70" t="n">
        <v>0</v>
      </c>
      <c r="L133" s="84"/>
      <c r="M133" s="84"/>
      <c r="N133" s="18"/>
      <c r="O133" s="84"/>
      <c r="P133" s="18"/>
      <c r="Q133" s="67" t="str">
        <f aca="false">IF(OR($C133="",ROUND(N($H133),2)=0),"",$L133)</f>
        <v/>
      </c>
      <c r="R133" s="70" t="str">
        <f aca="false">IF($Q133="","",ROUND(N($H133),2))</f>
        <v/>
      </c>
      <c r="S133" s="70" t="str">
        <f aca="false">IF($Q133="","",0)</f>
        <v/>
      </c>
      <c r="T133" s="67" t="str">
        <f aca="false">""</f>
        <v/>
      </c>
      <c r="U133" s="70" t="str">
        <f aca="false">IF($T133="","",0)</f>
        <v/>
      </c>
      <c r="V133" s="70" t="str">
        <f aca="false">IF($T133="","",0)</f>
        <v/>
      </c>
      <c r="W133" s="67" t="str">
        <f aca="false">IF($Q133="","","应付账款")</f>
        <v/>
      </c>
      <c r="X133" s="70" t="str">
        <f aca="false">IF($W133="","",0)</f>
        <v/>
      </c>
      <c r="Y133" s="70" t="str">
        <f aca="false">IF($W133="","",ROUND(N($H133),2))</f>
        <v/>
      </c>
      <c r="Z133" s="42"/>
      <c r="AA133" s="44"/>
      <c r="AB133" s="41" t="str">
        <f aca="false">IF($C133="","",ROUND(N($H133)-N($AA133),2))</f>
        <v/>
      </c>
      <c r="AC133" s="9" t="str">
        <f aca="false">IF($B133="","",TEXT($B133,"yyyy年m月"))</f>
        <v/>
      </c>
    </row>
    <row r="134" customFormat="false" ht="18" hidden="false" customHeight="true" outlineLevel="0" collapsed="false">
      <c r="A134" s="107" t="str">
        <f aca="false">IF($C134="","",ROW()-3)</f>
        <v/>
      </c>
      <c r="B134" s="108"/>
      <c r="C134" s="84"/>
      <c r="D134" s="84"/>
      <c r="E134" s="18"/>
      <c r="F134" s="109"/>
      <c r="G134" s="109"/>
      <c r="H134" s="70" t="str">
        <f aca="false">IF($C134="","",ROUND(N($F134)*N($G134),2))</f>
        <v/>
      </c>
      <c r="I134" s="84" t="s">
        <v>266</v>
      </c>
      <c r="J134" s="70" t="str">
        <f aca="false">IF($C134="","",ROUND(N($H134),2))</f>
        <v/>
      </c>
      <c r="K134" s="70" t="n">
        <v>0</v>
      </c>
      <c r="L134" s="84"/>
      <c r="M134" s="84"/>
      <c r="N134" s="18"/>
      <c r="O134" s="84"/>
      <c r="P134" s="18"/>
      <c r="Q134" s="67" t="str">
        <f aca="false">IF(OR($C134="",ROUND(N($H134),2)=0),"",$L134)</f>
        <v/>
      </c>
      <c r="R134" s="70" t="str">
        <f aca="false">IF($Q134="","",ROUND(N($H134),2))</f>
        <v/>
      </c>
      <c r="S134" s="70" t="str">
        <f aca="false">IF($Q134="","",0)</f>
        <v/>
      </c>
      <c r="T134" s="67" t="str">
        <f aca="false">""</f>
        <v/>
      </c>
      <c r="U134" s="70" t="str">
        <f aca="false">IF($T134="","",0)</f>
        <v/>
      </c>
      <c r="V134" s="70" t="str">
        <f aca="false">IF($T134="","",0)</f>
        <v/>
      </c>
      <c r="W134" s="67" t="str">
        <f aca="false">IF($Q134="","","应付账款")</f>
        <v/>
      </c>
      <c r="X134" s="70" t="str">
        <f aca="false">IF($W134="","",0)</f>
        <v/>
      </c>
      <c r="Y134" s="70" t="str">
        <f aca="false">IF($W134="","",ROUND(N($H134),2))</f>
        <v/>
      </c>
      <c r="Z134" s="42"/>
      <c r="AA134" s="44"/>
      <c r="AB134" s="41" t="str">
        <f aca="false">IF($C134="","",ROUND(N($H134)-N($AA134),2))</f>
        <v/>
      </c>
      <c r="AC134" s="9" t="str">
        <f aca="false">IF($B134="","",TEXT($B134,"yyyy年m月"))</f>
        <v/>
      </c>
    </row>
    <row r="135" customFormat="false" ht="18" hidden="false" customHeight="true" outlineLevel="0" collapsed="false">
      <c r="A135" s="107" t="str">
        <f aca="false">IF($C135="","",ROW()-3)</f>
        <v/>
      </c>
      <c r="B135" s="108"/>
      <c r="C135" s="84"/>
      <c r="D135" s="84"/>
      <c r="E135" s="18"/>
      <c r="F135" s="109"/>
      <c r="G135" s="109"/>
      <c r="H135" s="70" t="str">
        <f aca="false">IF($C135="","",ROUND(N($F135)*N($G135),2))</f>
        <v/>
      </c>
      <c r="I135" s="84" t="s">
        <v>266</v>
      </c>
      <c r="J135" s="70" t="str">
        <f aca="false">IF($C135="","",ROUND(N($H135),2))</f>
        <v/>
      </c>
      <c r="K135" s="70" t="n">
        <v>0</v>
      </c>
      <c r="L135" s="84"/>
      <c r="M135" s="84"/>
      <c r="N135" s="18"/>
      <c r="O135" s="84"/>
      <c r="P135" s="18"/>
      <c r="Q135" s="67" t="str">
        <f aca="false">IF(OR($C135="",ROUND(N($H135),2)=0),"",$L135)</f>
        <v/>
      </c>
      <c r="R135" s="70" t="str">
        <f aca="false">IF($Q135="","",ROUND(N($H135),2))</f>
        <v/>
      </c>
      <c r="S135" s="70" t="str">
        <f aca="false">IF($Q135="","",0)</f>
        <v/>
      </c>
      <c r="T135" s="67" t="str">
        <f aca="false">""</f>
        <v/>
      </c>
      <c r="U135" s="70" t="str">
        <f aca="false">IF($T135="","",0)</f>
        <v/>
      </c>
      <c r="V135" s="70" t="str">
        <f aca="false">IF($T135="","",0)</f>
        <v/>
      </c>
      <c r="W135" s="67" t="str">
        <f aca="false">IF($Q135="","","应付账款")</f>
        <v/>
      </c>
      <c r="X135" s="70" t="str">
        <f aca="false">IF($W135="","",0)</f>
        <v/>
      </c>
      <c r="Y135" s="70" t="str">
        <f aca="false">IF($W135="","",ROUND(N($H135),2))</f>
        <v/>
      </c>
      <c r="Z135" s="42"/>
      <c r="AA135" s="44"/>
      <c r="AB135" s="41" t="str">
        <f aca="false">IF($C135="","",ROUND(N($H135)-N($AA135),2))</f>
        <v/>
      </c>
      <c r="AC135" s="9" t="str">
        <f aca="false">IF($B135="","",TEXT($B135,"yyyy年m月"))</f>
        <v/>
      </c>
    </row>
    <row r="136" customFormat="false" ht="18" hidden="false" customHeight="true" outlineLevel="0" collapsed="false">
      <c r="A136" s="107" t="str">
        <f aca="false">IF($C136="","",ROW()-3)</f>
        <v/>
      </c>
      <c r="B136" s="108"/>
      <c r="C136" s="84"/>
      <c r="D136" s="84"/>
      <c r="E136" s="18"/>
      <c r="F136" s="109"/>
      <c r="G136" s="109"/>
      <c r="H136" s="70" t="str">
        <f aca="false">IF($C136="","",ROUND(N($F136)*N($G136),2))</f>
        <v/>
      </c>
      <c r="I136" s="84" t="s">
        <v>266</v>
      </c>
      <c r="J136" s="70" t="str">
        <f aca="false">IF($C136="","",ROUND(N($H136),2))</f>
        <v/>
      </c>
      <c r="K136" s="70" t="n">
        <v>0</v>
      </c>
      <c r="L136" s="84"/>
      <c r="M136" s="84"/>
      <c r="N136" s="18"/>
      <c r="O136" s="84"/>
      <c r="P136" s="18"/>
      <c r="Q136" s="67" t="str">
        <f aca="false">IF(OR($C136="",ROUND(N($H136),2)=0),"",$L136)</f>
        <v/>
      </c>
      <c r="R136" s="70" t="str">
        <f aca="false">IF($Q136="","",ROUND(N($H136),2))</f>
        <v/>
      </c>
      <c r="S136" s="70" t="str">
        <f aca="false">IF($Q136="","",0)</f>
        <v/>
      </c>
      <c r="T136" s="67" t="str">
        <f aca="false">""</f>
        <v/>
      </c>
      <c r="U136" s="70" t="str">
        <f aca="false">IF($T136="","",0)</f>
        <v/>
      </c>
      <c r="V136" s="70" t="str">
        <f aca="false">IF($T136="","",0)</f>
        <v/>
      </c>
      <c r="W136" s="67" t="str">
        <f aca="false">IF($Q136="","","应付账款")</f>
        <v/>
      </c>
      <c r="X136" s="70" t="str">
        <f aca="false">IF($W136="","",0)</f>
        <v/>
      </c>
      <c r="Y136" s="70" t="str">
        <f aca="false">IF($W136="","",ROUND(N($H136),2))</f>
        <v/>
      </c>
      <c r="Z136" s="42"/>
      <c r="AA136" s="44"/>
      <c r="AB136" s="41" t="str">
        <f aca="false">IF($C136="","",ROUND(N($H136)-N($AA136),2))</f>
        <v/>
      </c>
      <c r="AC136" s="9" t="str">
        <f aca="false">IF($B136="","",TEXT($B136,"yyyy年m月"))</f>
        <v/>
      </c>
    </row>
    <row r="137" customFormat="false" ht="18" hidden="false" customHeight="true" outlineLevel="0" collapsed="false">
      <c r="A137" s="107" t="str">
        <f aca="false">IF($C137="","",ROW()-3)</f>
        <v/>
      </c>
      <c r="B137" s="108"/>
      <c r="C137" s="84"/>
      <c r="D137" s="84"/>
      <c r="E137" s="18"/>
      <c r="F137" s="109"/>
      <c r="G137" s="109"/>
      <c r="H137" s="70" t="str">
        <f aca="false">IF($C137="","",ROUND(N($F137)*N($G137),2))</f>
        <v/>
      </c>
      <c r="I137" s="84" t="s">
        <v>266</v>
      </c>
      <c r="J137" s="70" t="str">
        <f aca="false">IF($C137="","",ROUND(N($H137),2))</f>
        <v/>
      </c>
      <c r="K137" s="70" t="n">
        <v>0</v>
      </c>
      <c r="L137" s="84"/>
      <c r="M137" s="84"/>
      <c r="N137" s="18"/>
      <c r="O137" s="84"/>
      <c r="P137" s="18"/>
      <c r="Q137" s="67" t="str">
        <f aca="false">IF(OR($C137="",ROUND(N($H137),2)=0),"",$L137)</f>
        <v/>
      </c>
      <c r="R137" s="70" t="str">
        <f aca="false">IF($Q137="","",ROUND(N($H137),2))</f>
        <v/>
      </c>
      <c r="S137" s="70" t="str">
        <f aca="false">IF($Q137="","",0)</f>
        <v/>
      </c>
      <c r="T137" s="67" t="str">
        <f aca="false">""</f>
        <v/>
      </c>
      <c r="U137" s="70" t="str">
        <f aca="false">IF($T137="","",0)</f>
        <v/>
      </c>
      <c r="V137" s="70" t="str">
        <f aca="false">IF($T137="","",0)</f>
        <v/>
      </c>
      <c r="W137" s="67" t="str">
        <f aca="false">IF($Q137="","","应付账款")</f>
        <v/>
      </c>
      <c r="X137" s="70" t="str">
        <f aca="false">IF($W137="","",0)</f>
        <v/>
      </c>
      <c r="Y137" s="70" t="str">
        <f aca="false">IF($W137="","",ROUND(N($H137),2))</f>
        <v/>
      </c>
      <c r="Z137" s="42"/>
      <c r="AA137" s="44"/>
      <c r="AB137" s="41" t="str">
        <f aca="false">IF($C137="","",ROUND(N($H137)-N($AA137),2))</f>
        <v/>
      </c>
      <c r="AC137" s="9" t="str">
        <f aca="false">IF($B137="","",TEXT($B137,"yyyy年m月"))</f>
        <v/>
      </c>
    </row>
    <row r="138" customFormat="false" ht="18" hidden="false" customHeight="true" outlineLevel="0" collapsed="false">
      <c r="A138" s="107" t="str">
        <f aca="false">IF($C138="","",ROW()-3)</f>
        <v/>
      </c>
      <c r="B138" s="108"/>
      <c r="C138" s="84"/>
      <c r="D138" s="84"/>
      <c r="E138" s="18"/>
      <c r="F138" s="109"/>
      <c r="G138" s="109"/>
      <c r="H138" s="70" t="str">
        <f aca="false">IF($C138="","",ROUND(N($F138)*N($G138),2))</f>
        <v/>
      </c>
      <c r="I138" s="84" t="s">
        <v>266</v>
      </c>
      <c r="J138" s="70" t="str">
        <f aca="false">IF($C138="","",ROUND(N($H138),2))</f>
        <v/>
      </c>
      <c r="K138" s="70" t="n">
        <v>0</v>
      </c>
      <c r="L138" s="84"/>
      <c r="M138" s="84"/>
      <c r="N138" s="18"/>
      <c r="O138" s="84"/>
      <c r="P138" s="18"/>
      <c r="Q138" s="67" t="str">
        <f aca="false">IF(OR($C138="",ROUND(N($H138),2)=0),"",$L138)</f>
        <v/>
      </c>
      <c r="R138" s="70" t="str">
        <f aca="false">IF($Q138="","",ROUND(N($H138),2))</f>
        <v/>
      </c>
      <c r="S138" s="70" t="str">
        <f aca="false">IF($Q138="","",0)</f>
        <v/>
      </c>
      <c r="T138" s="67" t="str">
        <f aca="false">""</f>
        <v/>
      </c>
      <c r="U138" s="70" t="str">
        <f aca="false">IF($T138="","",0)</f>
        <v/>
      </c>
      <c r="V138" s="70" t="str">
        <f aca="false">IF($T138="","",0)</f>
        <v/>
      </c>
      <c r="W138" s="67" t="str">
        <f aca="false">IF($Q138="","","应付账款")</f>
        <v/>
      </c>
      <c r="X138" s="70" t="str">
        <f aca="false">IF($W138="","",0)</f>
        <v/>
      </c>
      <c r="Y138" s="70" t="str">
        <f aca="false">IF($W138="","",ROUND(N($H138),2))</f>
        <v/>
      </c>
      <c r="Z138" s="42"/>
      <c r="AA138" s="44"/>
      <c r="AB138" s="41" t="str">
        <f aca="false">IF($C138="","",ROUND(N($H138)-N($AA138),2))</f>
        <v/>
      </c>
      <c r="AC138" s="9" t="str">
        <f aca="false">IF($B138="","",TEXT($B138,"yyyy年m月"))</f>
        <v/>
      </c>
    </row>
    <row r="139" customFormat="false" ht="18" hidden="false" customHeight="true" outlineLevel="0" collapsed="false">
      <c r="A139" s="107" t="str">
        <f aca="false">IF($C139="","",ROW()-3)</f>
        <v/>
      </c>
      <c r="B139" s="108"/>
      <c r="C139" s="84"/>
      <c r="D139" s="84"/>
      <c r="E139" s="18"/>
      <c r="F139" s="109"/>
      <c r="G139" s="109"/>
      <c r="H139" s="70" t="str">
        <f aca="false">IF($C139="","",ROUND(N($F139)*N($G139),2))</f>
        <v/>
      </c>
      <c r="I139" s="84" t="s">
        <v>266</v>
      </c>
      <c r="J139" s="70" t="str">
        <f aca="false">IF($C139="","",ROUND(N($H139),2))</f>
        <v/>
      </c>
      <c r="K139" s="70" t="n">
        <v>0</v>
      </c>
      <c r="L139" s="84"/>
      <c r="M139" s="84"/>
      <c r="N139" s="18"/>
      <c r="O139" s="84"/>
      <c r="P139" s="18"/>
      <c r="Q139" s="67" t="str">
        <f aca="false">IF(OR($C139="",ROUND(N($H139),2)=0),"",$L139)</f>
        <v/>
      </c>
      <c r="R139" s="70" t="str">
        <f aca="false">IF($Q139="","",ROUND(N($H139),2))</f>
        <v/>
      </c>
      <c r="S139" s="70" t="str">
        <f aca="false">IF($Q139="","",0)</f>
        <v/>
      </c>
      <c r="T139" s="67" t="str">
        <f aca="false">""</f>
        <v/>
      </c>
      <c r="U139" s="70" t="str">
        <f aca="false">IF($T139="","",0)</f>
        <v/>
      </c>
      <c r="V139" s="70" t="str">
        <f aca="false">IF($T139="","",0)</f>
        <v/>
      </c>
      <c r="W139" s="67" t="str">
        <f aca="false">IF($Q139="","","应付账款")</f>
        <v/>
      </c>
      <c r="X139" s="70" t="str">
        <f aca="false">IF($W139="","",0)</f>
        <v/>
      </c>
      <c r="Y139" s="70" t="str">
        <f aca="false">IF($W139="","",ROUND(N($H139),2))</f>
        <v/>
      </c>
      <c r="Z139" s="42"/>
      <c r="AA139" s="44"/>
      <c r="AB139" s="41" t="str">
        <f aca="false">IF($C139="","",ROUND(N($H139)-N($AA139),2))</f>
        <v/>
      </c>
      <c r="AC139" s="9" t="str">
        <f aca="false">IF($B139="","",TEXT($B139,"yyyy年m月"))</f>
        <v/>
      </c>
    </row>
    <row r="140" customFormat="false" ht="18" hidden="false" customHeight="true" outlineLevel="0" collapsed="false">
      <c r="A140" s="107" t="str">
        <f aca="false">IF($C140="","",ROW()-3)</f>
        <v/>
      </c>
      <c r="B140" s="108"/>
      <c r="C140" s="84"/>
      <c r="D140" s="84"/>
      <c r="E140" s="18"/>
      <c r="F140" s="109"/>
      <c r="G140" s="109"/>
      <c r="H140" s="70" t="str">
        <f aca="false">IF($C140="","",ROUND(N($F140)*N($G140),2))</f>
        <v/>
      </c>
      <c r="I140" s="84" t="s">
        <v>266</v>
      </c>
      <c r="J140" s="70" t="str">
        <f aca="false">IF($C140="","",ROUND(N($H140),2))</f>
        <v/>
      </c>
      <c r="K140" s="70" t="n">
        <v>0</v>
      </c>
      <c r="L140" s="84"/>
      <c r="M140" s="84"/>
      <c r="N140" s="18"/>
      <c r="O140" s="84"/>
      <c r="P140" s="18"/>
      <c r="Q140" s="67" t="str">
        <f aca="false">IF(OR($C140="",ROUND(N($H140),2)=0),"",$L140)</f>
        <v/>
      </c>
      <c r="R140" s="70" t="str">
        <f aca="false">IF($Q140="","",ROUND(N($H140),2))</f>
        <v/>
      </c>
      <c r="S140" s="70" t="str">
        <f aca="false">IF($Q140="","",0)</f>
        <v/>
      </c>
      <c r="T140" s="67" t="str">
        <f aca="false">""</f>
        <v/>
      </c>
      <c r="U140" s="70" t="str">
        <f aca="false">IF($T140="","",0)</f>
        <v/>
      </c>
      <c r="V140" s="70" t="str">
        <f aca="false">IF($T140="","",0)</f>
        <v/>
      </c>
      <c r="W140" s="67" t="str">
        <f aca="false">IF($Q140="","","应付账款")</f>
        <v/>
      </c>
      <c r="X140" s="70" t="str">
        <f aca="false">IF($W140="","",0)</f>
        <v/>
      </c>
      <c r="Y140" s="70" t="str">
        <f aca="false">IF($W140="","",ROUND(N($H140),2))</f>
        <v/>
      </c>
      <c r="Z140" s="42"/>
      <c r="AA140" s="44"/>
      <c r="AB140" s="41" t="str">
        <f aca="false">IF($C140="","",ROUND(N($H140)-N($AA140),2))</f>
        <v/>
      </c>
      <c r="AC140" s="9" t="str">
        <f aca="false">IF($B140="","",TEXT($B140,"yyyy年m月"))</f>
        <v/>
      </c>
    </row>
    <row r="141" customFormat="false" ht="18" hidden="false" customHeight="true" outlineLevel="0" collapsed="false">
      <c r="A141" s="107" t="str">
        <f aca="false">IF($C141="","",ROW()-3)</f>
        <v/>
      </c>
      <c r="B141" s="108"/>
      <c r="C141" s="84"/>
      <c r="D141" s="84"/>
      <c r="E141" s="18"/>
      <c r="F141" s="109"/>
      <c r="G141" s="109"/>
      <c r="H141" s="70" t="str">
        <f aca="false">IF($C141="","",ROUND(N($F141)*N($G141),2))</f>
        <v/>
      </c>
      <c r="I141" s="84" t="s">
        <v>266</v>
      </c>
      <c r="J141" s="70" t="str">
        <f aca="false">IF($C141="","",ROUND(N($H141),2))</f>
        <v/>
      </c>
      <c r="K141" s="70" t="n">
        <v>0</v>
      </c>
      <c r="L141" s="84"/>
      <c r="M141" s="84"/>
      <c r="N141" s="18"/>
      <c r="O141" s="84"/>
      <c r="P141" s="18"/>
      <c r="Q141" s="67" t="str">
        <f aca="false">IF(OR($C141="",ROUND(N($H141),2)=0),"",$L141)</f>
        <v/>
      </c>
      <c r="R141" s="70" t="str">
        <f aca="false">IF($Q141="","",ROUND(N($H141),2))</f>
        <v/>
      </c>
      <c r="S141" s="70" t="str">
        <f aca="false">IF($Q141="","",0)</f>
        <v/>
      </c>
      <c r="T141" s="67" t="str">
        <f aca="false">""</f>
        <v/>
      </c>
      <c r="U141" s="70" t="str">
        <f aca="false">IF($T141="","",0)</f>
        <v/>
      </c>
      <c r="V141" s="70" t="str">
        <f aca="false">IF($T141="","",0)</f>
        <v/>
      </c>
      <c r="W141" s="67" t="str">
        <f aca="false">IF($Q141="","","应付账款")</f>
        <v/>
      </c>
      <c r="X141" s="70" t="str">
        <f aca="false">IF($W141="","",0)</f>
        <v/>
      </c>
      <c r="Y141" s="70" t="str">
        <f aca="false">IF($W141="","",ROUND(N($H141),2))</f>
        <v/>
      </c>
      <c r="Z141" s="42"/>
      <c r="AA141" s="44"/>
      <c r="AB141" s="41" t="str">
        <f aca="false">IF($C141="","",ROUND(N($H141)-N($AA141),2))</f>
        <v/>
      </c>
      <c r="AC141" s="9" t="str">
        <f aca="false">IF($B141="","",TEXT($B141,"yyyy年m月"))</f>
        <v/>
      </c>
    </row>
    <row r="142" customFormat="false" ht="18" hidden="false" customHeight="true" outlineLevel="0" collapsed="false">
      <c r="A142" s="107" t="str">
        <f aca="false">IF($C142="","",ROW()-3)</f>
        <v/>
      </c>
      <c r="B142" s="108"/>
      <c r="C142" s="84"/>
      <c r="D142" s="84"/>
      <c r="E142" s="18"/>
      <c r="F142" s="109"/>
      <c r="G142" s="109"/>
      <c r="H142" s="70" t="str">
        <f aca="false">IF($C142="","",ROUND(N($F142)*N($G142),2))</f>
        <v/>
      </c>
      <c r="I142" s="84" t="s">
        <v>266</v>
      </c>
      <c r="J142" s="70" t="str">
        <f aca="false">IF($C142="","",ROUND(N($H142),2))</f>
        <v/>
      </c>
      <c r="K142" s="70" t="n">
        <v>0</v>
      </c>
      <c r="L142" s="84"/>
      <c r="M142" s="84"/>
      <c r="N142" s="18"/>
      <c r="O142" s="84"/>
      <c r="P142" s="18"/>
      <c r="Q142" s="67" t="str">
        <f aca="false">IF(OR($C142="",ROUND(N($H142),2)=0),"",$L142)</f>
        <v/>
      </c>
      <c r="R142" s="70" t="str">
        <f aca="false">IF($Q142="","",ROUND(N($H142),2))</f>
        <v/>
      </c>
      <c r="S142" s="70" t="str">
        <f aca="false">IF($Q142="","",0)</f>
        <v/>
      </c>
      <c r="T142" s="67" t="str">
        <f aca="false">""</f>
        <v/>
      </c>
      <c r="U142" s="70" t="str">
        <f aca="false">IF($T142="","",0)</f>
        <v/>
      </c>
      <c r="V142" s="70" t="str">
        <f aca="false">IF($T142="","",0)</f>
        <v/>
      </c>
      <c r="W142" s="67" t="str">
        <f aca="false">IF($Q142="","","应付账款")</f>
        <v/>
      </c>
      <c r="X142" s="70" t="str">
        <f aca="false">IF($W142="","",0)</f>
        <v/>
      </c>
      <c r="Y142" s="70" t="str">
        <f aca="false">IF($W142="","",ROUND(N($H142),2))</f>
        <v/>
      </c>
      <c r="Z142" s="42"/>
      <c r="AA142" s="44"/>
      <c r="AB142" s="41" t="str">
        <f aca="false">IF($C142="","",ROUND(N($H142)-N($AA142),2))</f>
        <v/>
      </c>
      <c r="AC142" s="9" t="str">
        <f aca="false">IF($B142="","",TEXT($B142,"yyyy年m月"))</f>
        <v/>
      </c>
    </row>
    <row r="143" customFormat="false" ht="18" hidden="false" customHeight="true" outlineLevel="0" collapsed="false">
      <c r="A143" s="107" t="str">
        <f aca="false">IF($C143="","",ROW()-3)</f>
        <v/>
      </c>
      <c r="B143" s="108"/>
      <c r="C143" s="84"/>
      <c r="D143" s="84"/>
      <c r="E143" s="18"/>
      <c r="F143" s="109"/>
      <c r="G143" s="109"/>
      <c r="H143" s="70" t="str">
        <f aca="false">IF($C143="","",ROUND(N($F143)*N($G143),2))</f>
        <v/>
      </c>
      <c r="I143" s="84" t="s">
        <v>266</v>
      </c>
      <c r="J143" s="70" t="str">
        <f aca="false">IF($C143="","",ROUND(N($H143),2))</f>
        <v/>
      </c>
      <c r="K143" s="70" t="n">
        <v>0</v>
      </c>
      <c r="L143" s="84"/>
      <c r="M143" s="84"/>
      <c r="N143" s="18"/>
      <c r="O143" s="84"/>
      <c r="P143" s="18"/>
      <c r="Q143" s="67" t="str">
        <f aca="false">IF(OR($C143="",ROUND(N($H143),2)=0),"",$L143)</f>
        <v/>
      </c>
      <c r="R143" s="70" t="str">
        <f aca="false">IF($Q143="","",ROUND(N($H143),2))</f>
        <v/>
      </c>
      <c r="S143" s="70" t="str">
        <f aca="false">IF($Q143="","",0)</f>
        <v/>
      </c>
      <c r="T143" s="67" t="str">
        <f aca="false">""</f>
        <v/>
      </c>
      <c r="U143" s="70" t="str">
        <f aca="false">IF($T143="","",0)</f>
        <v/>
      </c>
      <c r="V143" s="70" t="str">
        <f aca="false">IF($T143="","",0)</f>
        <v/>
      </c>
      <c r="W143" s="67" t="str">
        <f aca="false">IF($Q143="","","应付账款")</f>
        <v/>
      </c>
      <c r="X143" s="70" t="str">
        <f aca="false">IF($W143="","",0)</f>
        <v/>
      </c>
      <c r="Y143" s="70" t="str">
        <f aca="false">IF($W143="","",ROUND(N($H143),2))</f>
        <v/>
      </c>
      <c r="Z143" s="42"/>
      <c r="AA143" s="44"/>
      <c r="AB143" s="41" t="str">
        <f aca="false">IF($C143="","",ROUND(N($H143)-N($AA143),2))</f>
        <v/>
      </c>
      <c r="AC143" s="9" t="str">
        <f aca="false">IF($B143="","",TEXT($B143,"yyyy年m月"))</f>
        <v/>
      </c>
    </row>
    <row r="144" customFormat="false" ht="18" hidden="false" customHeight="true" outlineLevel="0" collapsed="false">
      <c r="A144" s="107" t="str">
        <f aca="false">IF($C144="","",ROW()-3)</f>
        <v/>
      </c>
      <c r="B144" s="108"/>
      <c r="C144" s="84"/>
      <c r="D144" s="84"/>
      <c r="E144" s="18"/>
      <c r="F144" s="109"/>
      <c r="G144" s="109"/>
      <c r="H144" s="70" t="str">
        <f aca="false">IF($C144="","",ROUND(N($F144)*N($G144),2))</f>
        <v/>
      </c>
      <c r="I144" s="84" t="s">
        <v>266</v>
      </c>
      <c r="J144" s="70" t="str">
        <f aca="false">IF($C144="","",ROUND(N($H144),2))</f>
        <v/>
      </c>
      <c r="K144" s="70" t="n">
        <v>0</v>
      </c>
      <c r="L144" s="84"/>
      <c r="M144" s="84"/>
      <c r="N144" s="18"/>
      <c r="O144" s="84"/>
      <c r="P144" s="18"/>
      <c r="Q144" s="67" t="str">
        <f aca="false">IF(OR($C144="",ROUND(N($H144),2)=0),"",$L144)</f>
        <v/>
      </c>
      <c r="R144" s="70" t="str">
        <f aca="false">IF($Q144="","",ROUND(N($H144),2))</f>
        <v/>
      </c>
      <c r="S144" s="70" t="str">
        <f aca="false">IF($Q144="","",0)</f>
        <v/>
      </c>
      <c r="T144" s="67" t="str">
        <f aca="false">""</f>
        <v/>
      </c>
      <c r="U144" s="70" t="str">
        <f aca="false">IF($T144="","",0)</f>
        <v/>
      </c>
      <c r="V144" s="70" t="str">
        <f aca="false">IF($T144="","",0)</f>
        <v/>
      </c>
      <c r="W144" s="67" t="str">
        <f aca="false">IF($Q144="","","应付账款")</f>
        <v/>
      </c>
      <c r="X144" s="70" t="str">
        <f aca="false">IF($W144="","",0)</f>
        <v/>
      </c>
      <c r="Y144" s="70" t="str">
        <f aca="false">IF($W144="","",ROUND(N($H144),2))</f>
        <v/>
      </c>
      <c r="Z144" s="42"/>
      <c r="AA144" s="44"/>
      <c r="AB144" s="41" t="str">
        <f aca="false">IF($C144="","",ROUND(N($H144)-N($AA144),2))</f>
        <v/>
      </c>
      <c r="AC144" s="9" t="str">
        <f aca="false">IF($B144="","",TEXT($B144,"yyyy年m月"))</f>
        <v/>
      </c>
    </row>
    <row r="145" customFormat="false" ht="18" hidden="false" customHeight="true" outlineLevel="0" collapsed="false">
      <c r="A145" s="107" t="str">
        <f aca="false">IF($C145="","",ROW()-3)</f>
        <v/>
      </c>
      <c r="B145" s="108"/>
      <c r="C145" s="84"/>
      <c r="D145" s="84"/>
      <c r="E145" s="18"/>
      <c r="F145" s="109"/>
      <c r="G145" s="109"/>
      <c r="H145" s="70" t="str">
        <f aca="false">IF($C145="","",ROUND(N($F145)*N($G145),2))</f>
        <v/>
      </c>
      <c r="I145" s="84" t="s">
        <v>266</v>
      </c>
      <c r="J145" s="70" t="str">
        <f aca="false">IF($C145="","",ROUND(N($H145),2))</f>
        <v/>
      </c>
      <c r="K145" s="70" t="n">
        <v>0</v>
      </c>
      <c r="L145" s="84"/>
      <c r="M145" s="84"/>
      <c r="N145" s="18"/>
      <c r="O145" s="84"/>
      <c r="P145" s="18"/>
      <c r="Q145" s="67" t="str">
        <f aca="false">IF(OR($C145="",ROUND(N($H145),2)=0),"",$L145)</f>
        <v/>
      </c>
      <c r="R145" s="70" t="str">
        <f aca="false">IF($Q145="","",ROUND(N($H145),2))</f>
        <v/>
      </c>
      <c r="S145" s="70" t="str">
        <f aca="false">IF($Q145="","",0)</f>
        <v/>
      </c>
      <c r="T145" s="67" t="str">
        <f aca="false">""</f>
        <v/>
      </c>
      <c r="U145" s="70" t="str">
        <f aca="false">IF($T145="","",0)</f>
        <v/>
      </c>
      <c r="V145" s="70" t="str">
        <f aca="false">IF($T145="","",0)</f>
        <v/>
      </c>
      <c r="W145" s="67" t="str">
        <f aca="false">IF($Q145="","","应付账款")</f>
        <v/>
      </c>
      <c r="X145" s="70" t="str">
        <f aca="false">IF($W145="","",0)</f>
        <v/>
      </c>
      <c r="Y145" s="70" t="str">
        <f aca="false">IF($W145="","",ROUND(N($H145),2))</f>
        <v/>
      </c>
      <c r="Z145" s="42"/>
      <c r="AA145" s="44"/>
      <c r="AB145" s="41" t="str">
        <f aca="false">IF($C145="","",ROUND(N($H145)-N($AA145),2))</f>
        <v/>
      </c>
      <c r="AC145" s="9" t="str">
        <f aca="false">IF($B145="","",TEXT($B145,"yyyy年m月"))</f>
        <v/>
      </c>
    </row>
    <row r="146" customFormat="false" ht="18" hidden="false" customHeight="true" outlineLevel="0" collapsed="false">
      <c r="A146" s="107" t="str">
        <f aca="false">IF($C146="","",ROW()-3)</f>
        <v/>
      </c>
      <c r="B146" s="108"/>
      <c r="C146" s="84"/>
      <c r="D146" s="84"/>
      <c r="E146" s="18"/>
      <c r="F146" s="109"/>
      <c r="G146" s="109"/>
      <c r="H146" s="70" t="str">
        <f aca="false">IF($C146="","",ROUND(N($F146)*N($G146),2))</f>
        <v/>
      </c>
      <c r="I146" s="84" t="s">
        <v>266</v>
      </c>
      <c r="J146" s="70" t="str">
        <f aca="false">IF($C146="","",ROUND(N($H146),2))</f>
        <v/>
      </c>
      <c r="K146" s="70" t="n">
        <v>0</v>
      </c>
      <c r="L146" s="84"/>
      <c r="M146" s="84"/>
      <c r="N146" s="18"/>
      <c r="O146" s="84"/>
      <c r="P146" s="18"/>
      <c r="Q146" s="67" t="str">
        <f aca="false">IF(OR($C146="",ROUND(N($H146),2)=0),"",$L146)</f>
        <v/>
      </c>
      <c r="R146" s="70" t="str">
        <f aca="false">IF($Q146="","",ROUND(N($H146),2))</f>
        <v/>
      </c>
      <c r="S146" s="70" t="str">
        <f aca="false">IF($Q146="","",0)</f>
        <v/>
      </c>
      <c r="T146" s="67" t="str">
        <f aca="false">""</f>
        <v/>
      </c>
      <c r="U146" s="70" t="str">
        <f aca="false">IF($T146="","",0)</f>
        <v/>
      </c>
      <c r="V146" s="70" t="str">
        <f aca="false">IF($T146="","",0)</f>
        <v/>
      </c>
      <c r="W146" s="67" t="str">
        <f aca="false">IF($Q146="","","应付账款")</f>
        <v/>
      </c>
      <c r="X146" s="70" t="str">
        <f aca="false">IF($W146="","",0)</f>
        <v/>
      </c>
      <c r="Y146" s="70" t="str">
        <f aca="false">IF($W146="","",ROUND(N($H146),2))</f>
        <v/>
      </c>
      <c r="Z146" s="42"/>
      <c r="AA146" s="44"/>
      <c r="AB146" s="41" t="str">
        <f aca="false">IF($C146="","",ROUND(N($H146)-N($AA146),2))</f>
        <v/>
      </c>
      <c r="AC146" s="9" t="str">
        <f aca="false">IF($B146="","",TEXT($B146,"yyyy年m月"))</f>
        <v/>
      </c>
    </row>
    <row r="147" customFormat="false" ht="18" hidden="false" customHeight="true" outlineLevel="0" collapsed="false">
      <c r="A147" s="107" t="str">
        <f aca="false">IF($C147="","",ROW()-3)</f>
        <v/>
      </c>
      <c r="B147" s="108"/>
      <c r="C147" s="84"/>
      <c r="D147" s="84"/>
      <c r="E147" s="18"/>
      <c r="F147" s="109"/>
      <c r="G147" s="109"/>
      <c r="H147" s="70" t="str">
        <f aca="false">IF($C147="","",ROUND(N($F147)*N($G147),2))</f>
        <v/>
      </c>
      <c r="I147" s="84" t="s">
        <v>266</v>
      </c>
      <c r="J147" s="70" t="str">
        <f aca="false">IF($C147="","",ROUND(N($H147),2))</f>
        <v/>
      </c>
      <c r="K147" s="70" t="n">
        <v>0</v>
      </c>
      <c r="L147" s="84"/>
      <c r="M147" s="84"/>
      <c r="N147" s="18"/>
      <c r="O147" s="84"/>
      <c r="P147" s="18"/>
      <c r="Q147" s="67" t="str">
        <f aca="false">IF(OR($C147="",ROUND(N($H147),2)=0),"",$L147)</f>
        <v/>
      </c>
      <c r="R147" s="70" t="str">
        <f aca="false">IF($Q147="","",ROUND(N($H147),2))</f>
        <v/>
      </c>
      <c r="S147" s="70" t="str">
        <f aca="false">IF($Q147="","",0)</f>
        <v/>
      </c>
      <c r="T147" s="67" t="str">
        <f aca="false">""</f>
        <v/>
      </c>
      <c r="U147" s="70" t="str">
        <f aca="false">IF($T147="","",0)</f>
        <v/>
      </c>
      <c r="V147" s="70" t="str">
        <f aca="false">IF($T147="","",0)</f>
        <v/>
      </c>
      <c r="W147" s="67" t="str">
        <f aca="false">IF($Q147="","","应付账款")</f>
        <v/>
      </c>
      <c r="X147" s="70" t="str">
        <f aca="false">IF($W147="","",0)</f>
        <v/>
      </c>
      <c r="Y147" s="70" t="str">
        <f aca="false">IF($W147="","",ROUND(N($H147),2))</f>
        <v/>
      </c>
      <c r="Z147" s="42"/>
      <c r="AA147" s="44"/>
      <c r="AB147" s="41" t="str">
        <f aca="false">IF($C147="","",ROUND(N($H147)-N($AA147),2))</f>
        <v/>
      </c>
      <c r="AC147" s="9" t="str">
        <f aca="false">IF($B147="","",TEXT($B147,"yyyy年m月"))</f>
        <v/>
      </c>
    </row>
    <row r="148" customFormat="false" ht="18" hidden="false" customHeight="true" outlineLevel="0" collapsed="false">
      <c r="A148" s="107" t="str">
        <f aca="false">IF($C148="","",ROW()-3)</f>
        <v/>
      </c>
      <c r="B148" s="108"/>
      <c r="C148" s="84"/>
      <c r="D148" s="84"/>
      <c r="E148" s="18"/>
      <c r="F148" s="109"/>
      <c r="G148" s="109"/>
      <c r="H148" s="70" t="str">
        <f aca="false">IF($C148="","",ROUND(N($F148)*N($G148),2))</f>
        <v/>
      </c>
      <c r="I148" s="84" t="s">
        <v>266</v>
      </c>
      <c r="J148" s="70" t="str">
        <f aca="false">IF($C148="","",ROUND(N($H148),2))</f>
        <v/>
      </c>
      <c r="K148" s="70" t="n">
        <v>0</v>
      </c>
      <c r="L148" s="84"/>
      <c r="M148" s="84"/>
      <c r="N148" s="18"/>
      <c r="O148" s="84"/>
      <c r="P148" s="18"/>
      <c r="Q148" s="67" t="str">
        <f aca="false">IF(OR($C148="",ROUND(N($H148),2)=0),"",$L148)</f>
        <v/>
      </c>
      <c r="R148" s="70" t="str">
        <f aca="false">IF($Q148="","",ROUND(N($H148),2))</f>
        <v/>
      </c>
      <c r="S148" s="70" t="str">
        <f aca="false">IF($Q148="","",0)</f>
        <v/>
      </c>
      <c r="T148" s="67" t="str">
        <f aca="false">""</f>
        <v/>
      </c>
      <c r="U148" s="70" t="str">
        <f aca="false">IF($T148="","",0)</f>
        <v/>
      </c>
      <c r="V148" s="70" t="str">
        <f aca="false">IF($T148="","",0)</f>
        <v/>
      </c>
      <c r="W148" s="67" t="str">
        <f aca="false">IF($Q148="","","应付账款")</f>
        <v/>
      </c>
      <c r="X148" s="70" t="str">
        <f aca="false">IF($W148="","",0)</f>
        <v/>
      </c>
      <c r="Y148" s="70" t="str">
        <f aca="false">IF($W148="","",ROUND(N($H148),2))</f>
        <v/>
      </c>
      <c r="Z148" s="42"/>
      <c r="AA148" s="44"/>
      <c r="AB148" s="41" t="str">
        <f aca="false">IF($C148="","",ROUND(N($H148)-N($AA148),2))</f>
        <v/>
      </c>
      <c r="AC148" s="9" t="str">
        <f aca="false">IF($B148="","",TEXT($B148,"yyyy年m月"))</f>
        <v/>
      </c>
    </row>
    <row r="149" customFormat="false" ht="18" hidden="false" customHeight="true" outlineLevel="0" collapsed="false">
      <c r="A149" s="107" t="str">
        <f aca="false">IF($C149="","",ROW()-3)</f>
        <v/>
      </c>
      <c r="B149" s="108"/>
      <c r="C149" s="84"/>
      <c r="D149" s="84"/>
      <c r="E149" s="18"/>
      <c r="F149" s="109"/>
      <c r="G149" s="109"/>
      <c r="H149" s="70" t="str">
        <f aca="false">IF($C149="","",ROUND(N($F149)*N($G149),2))</f>
        <v/>
      </c>
      <c r="I149" s="84" t="s">
        <v>266</v>
      </c>
      <c r="J149" s="70" t="str">
        <f aca="false">IF($C149="","",ROUND(N($H149),2))</f>
        <v/>
      </c>
      <c r="K149" s="70" t="n">
        <v>0</v>
      </c>
      <c r="L149" s="84"/>
      <c r="M149" s="84"/>
      <c r="N149" s="18"/>
      <c r="O149" s="84"/>
      <c r="P149" s="18"/>
      <c r="Q149" s="67" t="str">
        <f aca="false">IF(OR($C149="",ROUND(N($H149),2)=0),"",$L149)</f>
        <v/>
      </c>
      <c r="R149" s="70" t="str">
        <f aca="false">IF($Q149="","",ROUND(N($H149),2))</f>
        <v/>
      </c>
      <c r="S149" s="70" t="str">
        <f aca="false">IF($Q149="","",0)</f>
        <v/>
      </c>
      <c r="T149" s="67" t="str">
        <f aca="false">""</f>
        <v/>
      </c>
      <c r="U149" s="70" t="str">
        <f aca="false">IF($T149="","",0)</f>
        <v/>
      </c>
      <c r="V149" s="70" t="str">
        <f aca="false">IF($T149="","",0)</f>
        <v/>
      </c>
      <c r="W149" s="67" t="str">
        <f aca="false">IF($Q149="","","应付账款")</f>
        <v/>
      </c>
      <c r="X149" s="70" t="str">
        <f aca="false">IF($W149="","",0)</f>
        <v/>
      </c>
      <c r="Y149" s="70" t="str">
        <f aca="false">IF($W149="","",ROUND(N($H149),2))</f>
        <v/>
      </c>
      <c r="Z149" s="42"/>
      <c r="AA149" s="44"/>
      <c r="AB149" s="41" t="str">
        <f aca="false">IF($C149="","",ROUND(N($H149)-N($AA149),2))</f>
        <v/>
      </c>
      <c r="AC149" s="9" t="str">
        <f aca="false">IF($B149="","",TEXT($B149,"yyyy年m月"))</f>
        <v/>
      </c>
    </row>
    <row r="150" customFormat="false" ht="18" hidden="false" customHeight="true" outlineLevel="0" collapsed="false">
      <c r="A150" s="107" t="str">
        <f aca="false">IF($C150="","",ROW()-3)</f>
        <v/>
      </c>
      <c r="B150" s="108"/>
      <c r="C150" s="84"/>
      <c r="D150" s="84"/>
      <c r="E150" s="18"/>
      <c r="F150" s="109"/>
      <c r="G150" s="109"/>
      <c r="H150" s="70" t="str">
        <f aca="false">IF($C150="","",ROUND(N($F150)*N($G150),2))</f>
        <v/>
      </c>
      <c r="I150" s="84" t="s">
        <v>266</v>
      </c>
      <c r="J150" s="70" t="str">
        <f aca="false">IF($C150="","",ROUND(N($H150),2))</f>
        <v/>
      </c>
      <c r="K150" s="70" t="n">
        <v>0</v>
      </c>
      <c r="L150" s="84"/>
      <c r="M150" s="84"/>
      <c r="N150" s="18"/>
      <c r="O150" s="84"/>
      <c r="P150" s="18"/>
      <c r="Q150" s="67" t="str">
        <f aca="false">IF(OR($C150="",ROUND(N($H150),2)=0),"",$L150)</f>
        <v/>
      </c>
      <c r="R150" s="70" t="str">
        <f aca="false">IF($Q150="","",ROUND(N($H150),2))</f>
        <v/>
      </c>
      <c r="S150" s="70" t="str">
        <f aca="false">IF($Q150="","",0)</f>
        <v/>
      </c>
      <c r="T150" s="67" t="str">
        <f aca="false">""</f>
        <v/>
      </c>
      <c r="U150" s="70" t="str">
        <f aca="false">IF($T150="","",0)</f>
        <v/>
      </c>
      <c r="V150" s="70" t="str">
        <f aca="false">IF($T150="","",0)</f>
        <v/>
      </c>
      <c r="W150" s="67" t="str">
        <f aca="false">IF($Q150="","","应付账款")</f>
        <v/>
      </c>
      <c r="X150" s="70" t="str">
        <f aca="false">IF($W150="","",0)</f>
        <v/>
      </c>
      <c r="Y150" s="70" t="str">
        <f aca="false">IF($W150="","",ROUND(N($H150),2))</f>
        <v/>
      </c>
      <c r="Z150" s="42"/>
      <c r="AA150" s="44"/>
      <c r="AB150" s="41" t="str">
        <f aca="false">IF($C150="","",ROUND(N($H150)-N($AA150),2))</f>
        <v/>
      </c>
      <c r="AC150" s="9" t="str">
        <f aca="false">IF($B150="","",TEXT($B150,"yyyy年m月"))</f>
        <v/>
      </c>
    </row>
    <row r="151" customFormat="false" ht="18" hidden="false" customHeight="true" outlineLevel="0" collapsed="false">
      <c r="A151" s="107" t="str">
        <f aca="false">IF($C151="","",ROW()-3)</f>
        <v/>
      </c>
      <c r="B151" s="108"/>
      <c r="C151" s="84"/>
      <c r="D151" s="84"/>
      <c r="E151" s="18"/>
      <c r="F151" s="109"/>
      <c r="G151" s="109"/>
      <c r="H151" s="70" t="str">
        <f aca="false">IF($C151="","",ROUND(N($F151)*N($G151),2))</f>
        <v/>
      </c>
      <c r="I151" s="84" t="s">
        <v>266</v>
      </c>
      <c r="J151" s="70" t="str">
        <f aca="false">IF($C151="","",ROUND(N($H151),2))</f>
        <v/>
      </c>
      <c r="K151" s="70" t="n">
        <v>0</v>
      </c>
      <c r="L151" s="84"/>
      <c r="M151" s="84"/>
      <c r="N151" s="18"/>
      <c r="O151" s="84"/>
      <c r="P151" s="18"/>
      <c r="Q151" s="67" t="str">
        <f aca="false">IF(OR($C151="",ROUND(N($H151),2)=0),"",$L151)</f>
        <v/>
      </c>
      <c r="R151" s="70" t="str">
        <f aca="false">IF($Q151="","",ROUND(N($H151),2))</f>
        <v/>
      </c>
      <c r="S151" s="70" t="str">
        <f aca="false">IF($Q151="","",0)</f>
        <v/>
      </c>
      <c r="T151" s="67" t="str">
        <f aca="false">""</f>
        <v/>
      </c>
      <c r="U151" s="70" t="str">
        <f aca="false">IF($T151="","",0)</f>
        <v/>
      </c>
      <c r="V151" s="70" t="str">
        <f aca="false">IF($T151="","",0)</f>
        <v/>
      </c>
      <c r="W151" s="67" t="str">
        <f aca="false">IF($Q151="","","应付账款")</f>
        <v/>
      </c>
      <c r="X151" s="70" t="str">
        <f aca="false">IF($W151="","",0)</f>
        <v/>
      </c>
      <c r="Y151" s="70" t="str">
        <f aca="false">IF($W151="","",ROUND(N($H151),2))</f>
        <v/>
      </c>
      <c r="Z151" s="42"/>
      <c r="AA151" s="44"/>
      <c r="AB151" s="41" t="str">
        <f aca="false">IF($C151="","",ROUND(N($H151)-N($AA151),2))</f>
        <v/>
      </c>
      <c r="AC151" s="9" t="str">
        <f aca="false">IF($B151="","",TEXT($B151,"yyyy年m月"))</f>
        <v/>
      </c>
    </row>
    <row r="152" customFormat="false" ht="18" hidden="false" customHeight="true" outlineLevel="0" collapsed="false">
      <c r="A152" s="107" t="str">
        <f aca="false">IF($C152="","",ROW()-3)</f>
        <v/>
      </c>
      <c r="B152" s="108"/>
      <c r="C152" s="84"/>
      <c r="D152" s="84"/>
      <c r="E152" s="18"/>
      <c r="F152" s="109"/>
      <c r="G152" s="109"/>
      <c r="H152" s="70" t="str">
        <f aca="false">IF($C152="","",ROUND(N($F152)*N($G152),2))</f>
        <v/>
      </c>
      <c r="I152" s="84" t="s">
        <v>266</v>
      </c>
      <c r="J152" s="70" t="str">
        <f aca="false">IF($C152="","",ROUND(N($H152),2))</f>
        <v/>
      </c>
      <c r="K152" s="70" t="n">
        <v>0</v>
      </c>
      <c r="L152" s="84"/>
      <c r="M152" s="84"/>
      <c r="N152" s="18"/>
      <c r="O152" s="84"/>
      <c r="P152" s="18"/>
      <c r="Q152" s="67" t="str">
        <f aca="false">IF(OR($C152="",ROUND(N($H152),2)=0),"",$L152)</f>
        <v/>
      </c>
      <c r="R152" s="70" t="str">
        <f aca="false">IF($Q152="","",ROUND(N($H152),2))</f>
        <v/>
      </c>
      <c r="S152" s="70" t="str">
        <f aca="false">IF($Q152="","",0)</f>
        <v/>
      </c>
      <c r="T152" s="67" t="str">
        <f aca="false">""</f>
        <v/>
      </c>
      <c r="U152" s="70" t="str">
        <f aca="false">IF($T152="","",0)</f>
        <v/>
      </c>
      <c r="V152" s="70" t="str">
        <f aca="false">IF($T152="","",0)</f>
        <v/>
      </c>
      <c r="W152" s="67" t="str">
        <f aca="false">IF($Q152="","","应付账款")</f>
        <v/>
      </c>
      <c r="X152" s="70" t="str">
        <f aca="false">IF($W152="","",0)</f>
        <v/>
      </c>
      <c r="Y152" s="70" t="str">
        <f aca="false">IF($W152="","",ROUND(N($H152),2))</f>
        <v/>
      </c>
      <c r="Z152" s="42"/>
      <c r="AA152" s="44"/>
      <c r="AB152" s="41" t="str">
        <f aca="false">IF($C152="","",ROUND(N($H152)-N($AA152),2))</f>
        <v/>
      </c>
      <c r="AC152" s="9" t="str">
        <f aca="false">IF($B152="","",TEXT($B152,"yyyy年m月"))</f>
        <v/>
      </c>
    </row>
    <row r="153" customFormat="false" ht="18" hidden="false" customHeight="true" outlineLevel="0" collapsed="false">
      <c r="A153" s="107" t="str">
        <f aca="false">IF($C153="","",ROW()-3)</f>
        <v/>
      </c>
      <c r="B153" s="108"/>
      <c r="C153" s="84"/>
      <c r="D153" s="84"/>
      <c r="E153" s="18"/>
      <c r="F153" s="109"/>
      <c r="G153" s="109"/>
      <c r="H153" s="70" t="str">
        <f aca="false">IF($C153="","",ROUND(N($F153)*N($G153),2))</f>
        <v/>
      </c>
      <c r="I153" s="84" t="s">
        <v>266</v>
      </c>
      <c r="J153" s="70" t="str">
        <f aca="false">IF($C153="","",ROUND(N($H153),2))</f>
        <v/>
      </c>
      <c r="K153" s="70" t="n">
        <v>0</v>
      </c>
      <c r="L153" s="84"/>
      <c r="M153" s="84"/>
      <c r="N153" s="18"/>
      <c r="O153" s="84"/>
      <c r="P153" s="18"/>
      <c r="Q153" s="67" t="str">
        <f aca="false">IF(OR($C153="",ROUND(N($H153),2)=0),"",$L153)</f>
        <v/>
      </c>
      <c r="R153" s="70" t="str">
        <f aca="false">IF($Q153="","",ROUND(N($H153),2))</f>
        <v/>
      </c>
      <c r="S153" s="70" t="str">
        <f aca="false">IF($Q153="","",0)</f>
        <v/>
      </c>
      <c r="T153" s="67" t="str">
        <f aca="false">""</f>
        <v/>
      </c>
      <c r="U153" s="70" t="str">
        <f aca="false">IF($T153="","",0)</f>
        <v/>
      </c>
      <c r="V153" s="70" t="str">
        <f aca="false">IF($T153="","",0)</f>
        <v/>
      </c>
      <c r="W153" s="67" t="str">
        <f aca="false">IF($Q153="","","应付账款")</f>
        <v/>
      </c>
      <c r="X153" s="70" t="str">
        <f aca="false">IF($W153="","",0)</f>
        <v/>
      </c>
      <c r="Y153" s="70" t="str">
        <f aca="false">IF($W153="","",ROUND(N($H153),2))</f>
        <v/>
      </c>
      <c r="Z153" s="42"/>
      <c r="AA153" s="44"/>
      <c r="AB153" s="41" t="str">
        <f aca="false">IF($C153="","",ROUND(N($H153)-N($AA153),2))</f>
        <v/>
      </c>
      <c r="AC153" s="9" t="str">
        <f aca="false">IF($B153="","",TEXT($B153,"yyyy年m月"))</f>
        <v/>
      </c>
    </row>
    <row r="154" customFormat="false" ht="18" hidden="false" customHeight="true" outlineLevel="0" collapsed="false">
      <c r="A154" s="107" t="str">
        <f aca="false">IF($C154="","",ROW()-3)</f>
        <v/>
      </c>
      <c r="B154" s="108"/>
      <c r="C154" s="84"/>
      <c r="D154" s="84"/>
      <c r="E154" s="18"/>
      <c r="F154" s="109"/>
      <c r="G154" s="109"/>
      <c r="H154" s="70" t="str">
        <f aca="false">IF($C154="","",ROUND(N($F154)*N($G154),2))</f>
        <v/>
      </c>
      <c r="I154" s="84" t="s">
        <v>266</v>
      </c>
      <c r="J154" s="70" t="str">
        <f aca="false">IF($C154="","",ROUND(N($H154),2))</f>
        <v/>
      </c>
      <c r="K154" s="70" t="n">
        <v>0</v>
      </c>
      <c r="L154" s="84"/>
      <c r="M154" s="84"/>
      <c r="N154" s="18"/>
      <c r="O154" s="84"/>
      <c r="P154" s="18"/>
      <c r="Q154" s="67" t="str">
        <f aca="false">IF(OR($C154="",ROUND(N($H154),2)=0),"",$L154)</f>
        <v/>
      </c>
      <c r="R154" s="70" t="str">
        <f aca="false">IF($Q154="","",ROUND(N($H154),2))</f>
        <v/>
      </c>
      <c r="S154" s="70" t="str">
        <f aca="false">IF($Q154="","",0)</f>
        <v/>
      </c>
      <c r="T154" s="67" t="str">
        <f aca="false">""</f>
        <v/>
      </c>
      <c r="U154" s="70" t="str">
        <f aca="false">IF($T154="","",0)</f>
        <v/>
      </c>
      <c r="V154" s="70" t="str">
        <f aca="false">IF($T154="","",0)</f>
        <v/>
      </c>
      <c r="W154" s="67" t="str">
        <f aca="false">IF($Q154="","","应付账款")</f>
        <v/>
      </c>
      <c r="X154" s="70" t="str">
        <f aca="false">IF($W154="","",0)</f>
        <v/>
      </c>
      <c r="Y154" s="70" t="str">
        <f aca="false">IF($W154="","",ROUND(N($H154),2))</f>
        <v/>
      </c>
      <c r="Z154" s="42"/>
      <c r="AA154" s="44"/>
      <c r="AB154" s="41" t="str">
        <f aca="false">IF($C154="","",ROUND(N($H154)-N($AA154),2))</f>
        <v/>
      </c>
      <c r="AC154" s="9" t="str">
        <f aca="false">IF($B154="","",TEXT($B154,"yyyy年m月"))</f>
        <v/>
      </c>
    </row>
    <row r="155" customFormat="false" ht="18" hidden="false" customHeight="true" outlineLevel="0" collapsed="false">
      <c r="A155" s="107" t="str">
        <f aca="false">IF($C155="","",ROW()-3)</f>
        <v/>
      </c>
      <c r="B155" s="108"/>
      <c r="C155" s="84"/>
      <c r="D155" s="84"/>
      <c r="E155" s="18"/>
      <c r="F155" s="109"/>
      <c r="G155" s="109"/>
      <c r="H155" s="70" t="str">
        <f aca="false">IF($C155="","",ROUND(N($F155)*N($G155),2))</f>
        <v/>
      </c>
      <c r="I155" s="84" t="s">
        <v>266</v>
      </c>
      <c r="J155" s="70" t="str">
        <f aca="false">IF($C155="","",ROUND(N($H155),2))</f>
        <v/>
      </c>
      <c r="K155" s="70" t="n">
        <v>0</v>
      </c>
      <c r="L155" s="84"/>
      <c r="M155" s="84"/>
      <c r="N155" s="18"/>
      <c r="O155" s="84"/>
      <c r="P155" s="18"/>
      <c r="Q155" s="67" t="str">
        <f aca="false">IF(OR($C155="",ROUND(N($H155),2)=0),"",$L155)</f>
        <v/>
      </c>
      <c r="R155" s="70" t="str">
        <f aca="false">IF($Q155="","",ROUND(N($H155),2))</f>
        <v/>
      </c>
      <c r="S155" s="70" t="str">
        <f aca="false">IF($Q155="","",0)</f>
        <v/>
      </c>
      <c r="T155" s="67" t="str">
        <f aca="false">""</f>
        <v/>
      </c>
      <c r="U155" s="70" t="str">
        <f aca="false">IF($T155="","",0)</f>
        <v/>
      </c>
      <c r="V155" s="70" t="str">
        <f aca="false">IF($T155="","",0)</f>
        <v/>
      </c>
      <c r="W155" s="67" t="str">
        <f aca="false">IF($Q155="","","应付账款")</f>
        <v/>
      </c>
      <c r="X155" s="70" t="str">
        <f aca="false">IF($W155="","",0)</f>
        <v/>
      </c>
      <c r="Y155" s="70" t="str">
        <f aca="false">IF($W155="","",ROUND(N($H155),2))</f>
        <v/>
      </c>
      <c r="Z155" s="42"/>
      <c r="AA155" s="44"/>
      <c r="AB155" s="41" t="str">
        <f aca="false">IF($C155="","",ROUND(N($H155)-N($AA155),2))</f>
        <v/>
      </c>
      <c r="AC155" s="9" t="str">
        <f aca="false">IF($B155="","",TEXT($B155,"yyyy年m月"))</f>
        <v/>
      </c>
    </row>
    <row r="156" customFormat="false" ht="18" hidden="false" customHeight="true" outlineLevel="0" collapsed="false">
      <c r="A156" s="107" t="str">
        <f aca="false">IF($C156="","",ROW()-3)</f>
        <v/>
      </c>
      <c r="B156" s="108"/>
      <c r="C156" s="84"/>
      <c r="D156" s="84"/>
      <c r="E156" s="18"/>
      <c r="F156" s="109"/>
      <c r="G156" s="109"/>
      <c r="H156" s="70" t="str">
        <f aca="false">IF($C156="","",ROUND(N($F156)*N($G156),2))</f>
        <v/>
      </c>
      <c r="I156" s="84" t="s">
        <v>266</v>
      </c>
      <c r="J156" s="70" t="str">
        <f aca="false">IF($C156="","",ROUND(N($H156),2))</f>
        <v/>
      </c>
      <c r="K156" s="70" t="n">
        <v>0</v>
      </c>
      <c r="L156" s="84"/>
      <c r="M156" s="84"/>
      <c r="N156" s="18"/>
      <c r="O156" s="84"/>
      <c r="P156" s="18"/>
      <c r="Q156" s="67" t="str">
        <f aca="false">IF(OR($C156="",ROUND(N($H156),2)=0),"",$L156)</f>
        <v/>
      </c>
      <c r="R156" s="70" t="str">
        <f aca="false">IF($Q156="","",ROUND(N($H156),2))</f>
        <v/>
      </c>
      <c r="S156" s="70" t="str">
        <f aca="false">IF($Q156="","",0)</f>
        <v/>
      </c>
      <c r="T156" s="67" t="str">
        <f aca="false">""</f>
        <v/>
      </c>
      <c r="U156" s="70" t="str">
        <f aca="false">IF($T156="","",0)</f>
        <v/>
      </c>
      <c r="V156" s="70" t="str">
        <f aca="false">IF($T156="","",0)</f>
        <v/>
      </c>
      <c r="W156" s="67" t="str">
        <f aca="false">IF($Q156="","","应付账款")</f>
        <v/>
      </c>
      <c r="X156" s="70" t="str">
        <f aca="false">IF($W156="","",0)</f>
        <v/>
      </c>
      <c r="Y156" s="70" t="str">
        <f aca="false">IF($W156="","",ROUND(N($H156),2))</f>
        <v/>
      </c>
      <c r="Z156" s="42"/>
      <c r="AA156" s="44"/>
      <c r="AB156" s="41" t="str">
        <f aca="false">IF($C156="","",ROUND(N($H156)-N($AA156),2))</f>
        <v/>
      </c>
      <c r="AC156" s="9" t="str">
        <f aca="false">IF($B156="","",TEXT($B156,"yyyy年m月"))</f>
        <v/>
      </c>
    </row>
    <row r="157" customFormat="false" ht="18" hidden="false" customHeight="true" outlineLevel="0" collapsed="false">
      <c r="A157" s="107" t="str">
        <f aca="false">IF($C157="","",ROW()-3)</f>
        <v/>
      </c>
      <c r="B157" s="108"/>
      <c r="C157" s="84"/>
      <c r="D157" s="84"/>
      <c r="E157" s="18"/>
      <c r="F157" s="109"/>
      <c r="G157" s="109"/>
      <c r="H157" s="70" t="str">
        <f aca="false">IF($C157="","",ROUND(N($F157)*N($G157),2))</f>
        <v/>
      </c>
      <c r="I157" s="84" t="s">
        <v>266</v>
      </c>
      <c r="J157" s="70" t="str">
        <f aca="false">IF($C157="","",ROUND(N($H157),2))</f>
        <v/>
      </c>
      <c r="K157" s="70" t="n">
        <v>0</v>
      </c>
      <c r="L157" s="84"/>
      <c r="M157" s="84"/>
      <c r="N157" s="18"/>
      <c r="O157" s="84"/>
      <c r="P157" s="18"/>
      <c r="Q157" s="67" t="str">
        <f aca="false">IF(OR($C157="",ROUND(N($H157),2)=0),"",$L157)</f>
        <v/>
      </c>
      <c r="R157" s="70" t="str">
        <f aca="false">IF($Q157="","",ROUND(N($H157),2))</f>
        <v/>
      </c>
      <c r="S157" s="70" t="str">
        <f aca="false">IF($Q157="","",0)</f>
        <v/>
      </c>
      <c r="T157" s="67" t="str">
        <f aca="false">""</f>
        <v/>
      </c>
      <c r="U157" s="70" t="str">
        <f aca="false">IF($T157="","",0)</f>
        <v/>
      </c>
      <c r="V157" s="70" t="str">
        <f aca="false">IF($T157="","",0)</f>
        <v/>
      </c>
      <c r="W157" s="67" t="str">
        <f aca="false">IF($Q157="","","应付账款")</f>
        <v/>
      </c>
      <c r="X157" s="70" t="str">
        <f aca="false">IF($W157="","",0)</f>
        <v/>
      </c>
      <c r="Y157" s="70" t="str">
        <f aca="false">IF($W157="","",ROUND(N($H157),2))</f>
        <v/>
      </c>
      <c r="Z157" s="42"/>
      <c r="AA157" s="44"/>
      <c r="AB157" s="41" t="str">
        <f aca="false">IF($C157="","",ROUND(N($H157)-N($AA157),2))</f>
        <v/>
      </c>
      <c r="AC157" s="9" t="str">
        <f aca="false">IF($B157="","",TEXT($B157,"yyyy年m月"))</f>
        <v/>
      </c>
    </row>
    <row r="158" customFormat="false" ht="18" hidden="false" customHeight="true" outlineLevel="0" collapsed="false">
      <c r="A158" s="107" t="str">
        <f aca="false">IF($C158="","",ROW()-3)</f>
        <v/>
      </c>
      <c r="B158" s="108"/>
      <c r="C158" s="84"/>
      <c r="D158" s="84"/>
      <c r="E158" s="18"/>
      <c r="F158" s="109"/>
      <c r="G158" s="109"/>
      <c r="H158" s="70" t="str">
        <f aca="false">IF($C158="","",ROUND(N($F158)*N($G158),2))</f>
        <v/>
      </c>
      <c r="I158" s="84" t="s">
        <v>266</v>
      </c>
      <c r="J158" s="70" t="str">
        <f aca="false">IF($C158="","",ROUND(N($H158),2))</f>
        <v/>
      </c>
      <c r="K158" s="70" t="n">
        <v>0</v>
      </c>
      <c r="L158" s="84"/>
      <c r="M158" s="84"/>
      <c r="N158" s="18"/>
      <c r="O158" s="84"/>
      <c r="P158" s="18"/>
      <c r="Q158" s="67" t="str">
        <f aca="false">IF(OR($C158="",ROUND(N($H158),2)=0),"",$L158)</f>
        <v/>
      </c>
      <c r="R158" s="70" t="str">
        <f aca="false">IF($Q158="","",ROUND(N($H158),2))</f>
        <v/>
      </c>
      <c r="S158" s="70" t="str">
        <f aca="false">IF($Q158="","",0)</f>
        <v/>
      </c>
      <c r="T158" s="67" t="str">
        <f aca="false">""</f>
        <v/>
      </c>
      <c r="U158" s="70" t="str">
        <f aca="false">IF($T158="","",0)</f>
        <v/>
      </c>
      <c r="V158" s="70" t="str">
        <f aca="false">IF($T158="","",0)</f>
        <v/>
      </c>
      <c r="W158" s="67" t="str">
        <f aca="false">IF($Q158="","","应付账款")</f>
        <v/>
      </c>
      <c r="X158" s="70" t="str">
        <f aca="false">IF($W158="","",0)</f>
        <v/>
      </c>
      <c r="Y158" s="70" t="str">
        <f aca="false">IF($W158="","",ROUND(N($H158),2))</f>
        <v/>
      </c>
      <c r="Z158" s="42"/>
      <c r="AA158" s="44"/>
      <c r="AB158" s="41" t="str">
        <f aca="false">IF($C158="","",ROUND(N($H158)-N($AA158),2))</f>
        <v/>
      </c>
      <c r="AC158" s="9" t="str">
        <f aca="false">IF($B158="","",TEXT($B158,"yyyy年m月"))</f>
        <v/>
      </c>
    </row>
    <row r="159" customFormat="false" ht="18" hidden="false" customHeight="true" outlineLevel="0" collapsed="false">
      <c r="A159" s="107" t="str">
        <f aca="false">IF($C159="","",ROW()-3)</f>
        <v/>
      </c>
      <c r="B159" s="108"/>
      <c r="C159" s="84"/>
      <c r="D159" s="84"/>
      <c r="E159" s="18"/>
      <c r="F159" s="109"/>
      <c r="G159" s="109"/>
      <c r="H159" s="70" t="str">
        <f aca="false">IF($C159="","",ROUND(N($F159)*N($G159),2))</f>
        <v/>
      </c>
      <c r="I159" s="84" t="s">
        <v>266</v>
      </c>
      <c r="J159" s="70" t="str">
        <f aca="false">IF($C159="","",ROUND(N($H159),2))</f>
        <v/>
      </c>
      <c r="K159" s="70" t="n">
        <v>0</v>
      </c>
      <c r="L159" s="84"/>
      <c r="M159" s="84"/>
      <c r="N159" s="18"/>
      <c r="O159" s="84"/>
      <c r="P159" s="18"/>
      <c r="Q159" s="67" t="str">
        <f aca="false">IF(OR($C159="",ROUND(N($H159),2)=0),"",$L159)</f>
        <v/>
      </c>
      <c r="R159" s="70" t="str">
        <f aca="false">IF($Q159="","",ROUND(N($H159),2))</f>
        <v/>
      </c>
      <c r="S159" s="70" t="str">
        <f aca="false">IF($Q159="","",0)</f>
        <v/>
      </c>
      <c r="T159" s="67" t="str">
        <f aca="false">""</f>
        <v/>
      </c>
      <c r="U159" s="70" t="str">
        <f aca="false">IF($T159="","",0)</f>
        <v/>
      </c>
      <c r="V159" s="70" t="str">
        <f aca="false">IF($T159="","",0)</f>
        <v/>
      </c>
      <c r="W159" s="67" t="str">
        <f aca="false">IF($Q159="","","应付账款")</f>
        <v/>
      </c>
      <c r="X159" s="70" t="str">
        <f aca="false">IF($W159="","",0)</f>
        <v/>
      </c>
      <c r="Y159" s="70" t="str">
        <f aca="false">IF($W159="","",ROUND(N($H159),2))</f>
        <v/>
      </c>
      <c r="Z159" s="42"/>
      <c r="AA159" s="44"/>
      <c r="AB159" s="41" t="str">
        <f aca="false">IF($C159="","",ROUND(N($H159)-N($AA159),2))</f>
        <v/>
      </c>
      <c r="AC159" s="9" t="str">
        <f aca="false">IF($B159="","",TEXT($B159,"yyyy年m月"))</f>
        <v/>
      </c>
    </row>
    <row r="160" customFormat="false" ht="18" hidden="false" customHeight="true" outlineLevel="0" collapsed="false">
      <c r="A160" s="107" t="str">
        <f aca="false">IF($C160="","",ROW()-3)</f>
        <v/>
      </c>
      <c r="B160" s="108"/>
      <c r="C160" s="84"/>
      <c r="D160" s="84"/>
      <c r="E160" s="18"/>
      <c r="F160" s="109"/>
      <c r="G160" s="109"/>
      <c r="H160" s="70" t="str">
        <f aca="false">IF($C160="","",ROUND(N($F160)*N($G160),2))</f>
        <v/>
      </c>
      <c r="I160" s="84" t="s">
        <v>266</v>
      </c>
      <c r="J160" s="70" t="str">
        <f aca="false">IF($C160="","",ROUND(N($H160),2))</f>
        <v/>
      </c>
      <c r="K160" s="70" t="n">
        <v>0</v>
      </c>
      <c r="L160" s="84"/>
      <c r="M160" s="84"/>
      <c r="N160" s="18"/>
      <c r="O160" s="84"/>
      <c r="P160" s="18"/>
      <c r="Q160" s="67" t="str">
        <f aca="false">IF(OR($C160="",ROUND(N($H160),2)=0),"",$L160)</f>
        <v/>
      </c>
      <c r="R160" s="70" t="str">
        <f aca="false">IF($Q160="","",ROUND(N($H160),2))</f>
        <v/>
      </c>
      <c r="S160" s="70" t="str">
        <f aca="false">IF($Q160="","",0)</f>
        <v/>
      </c>
      <c r="T160" s="67" t="str">
        <f aca="false">""</f>
        <v/>
      </c>
      <c r="U160" s="70" t="str">
        <f aca="false">IF($T160="","",0)</f>
        <v/>
      </c>
      <c r="V160" s="70" t="str">
        <f aca="false">IF($T160="","",0)</f>
        <v/>
      </c>
      <c r="W160" s="67" t="str">
        <f aca="false">IF($Q160="","","应付账款")</f>
        <v/>
      </c>
      <c r="X160" s="70" t="str">
        <f aca="false">IF($W160="","",0)</f>
        <v/>
      </c>
      <c r="Y160" s="70" t="str">
        <f aca="false">IF($W160="","",ROUND(N($H160),2))</f>
        <v/>
      </c>
      <c r="Z160" s="42"/>
      <c r="AA160" s="44"/>
      <c r="AB160" s="41" t="str">
        <f aca="false">IF($C160="","",ROUND(N($H160)-N($AA160),2))</f>
        <v/>
      </c>
      <c r="AC160" s="9" t="str">
        <f aca="false">IF($B160="","",TEXT($B160,"yyyy年m月"))</f>
        <v/>
      </c>
    </row>
    <row r="161" customFormat="false" ht="18" hidden="false" customHeight="true" outlineLevel="0" collapsed="false">
      <c r="A161" s="107" t="str">
        <f aca="false">IF($C161="","",ROW()-3)</f>
        <v/>
      </c>
      <c r="B161" s="108"/>
      <c r="C161" s="84"/>
      <c r="D161" s="84"/>
      <c r="E161" s="18"/>
      <c r="F161" s="109"/>
      <c r="G161" s="109"/>
      <c r="H161" s="70" t="str">
        <f aca="false">IF($C161="","",ROUND(N($F161)*N($G161),2))</f>
        <v/>
      </c>
      <c r="I161" s="84" t="s">
        <v>266</v>
      </c>
      <c r="J161" s="70" t="str">
        <f aca="false">IF($C161="","",ROUND(N($H161),2))</f>
        <v/>
      </c>
      <c r="K161" s="70" t="n">
        <v>0</v>
      </c>
      <c r="L161" s="84"/>
      <c r="M161" s="84"/>
      <c r="N161" s="18"/>
      <c r="O161" s="84"/>
      <c r="P161" s="18"/>
      <c r="Q161" s="67" t="str">
        <f aca="false">IF(OR($C161="",ROUND(N($H161),2)=0),"",$L161)</f>
        <v/>
      </c>
      <c r="R161" s="70" t="str">
        <f aca="false">IF($Q161="","",ROUND(N($H161),2))</f>
        <v/>
      </c>
      <c r="S161" s="70" t="str">
        <f aca="false">IF($Q161="","",0)</f>
        <v/>
      </c>
      <c r="T161" s="67" t="str">
        <f aca="false">""</f>
        <v/>
      </c>
      <c r="U161" s="70" t="str">
        <f aca="false">IF($T161="","",0)</f>
        <v/>
      </c>
      <c r="V161" s="70" t="str">
        <f aca="false">IF($T161="","",0)</f>
        <v/>
      </c>
      <c r="W161" s="67" t="str">
        <f aca="false">IF($Q161="","","应付账款")</f>
        <v/>
      </c>
      <c r="X161" s="70" t="str">
        <f aca="false">IF($W161="","",0)</f>
        <v/>
      </c>
      <c r="Y161" s="70" t="str">
        <f aca="false">IF($W161="","",ROUND(N($H161),2))</f>
        <v/>
      </c>
      <c r="Z161" s="42"/>
      <c r="AA161" s="44"/>
      <c r="AB161" s="41" t="str">
        <f aca="false">IF($C161="","",ROUND(N($H161)-N($AA161),2))</f>
        <v/>
      </c>
      <c r="AC161" s="9" t="str">
        <f aca="false">IF($B161="","",TEXT($B161,"yyyy年m月"))</f>
        <v/>
      </c>
    </row>
    <row r="162" customFormat="false" ht="18" hidden="false" customHeight="true" outlineLevel="0" collapsed="false">
      <c r="A162" s="107" t="str">
        <f aca="false">IF($C162="","",ROW()-3)</f>
        <v/>
      </c>
      <c r="B162" s="108"/>
      <c r="C162" s="84"/>
      <c r="D162" s="84"/>
      <c r="E162" s="18"/>
      <c r="F162" s="109"/>
      <c r="G162" s="109"/>
      <c r="H162" s="70" t="str">
        <f aca="false">IF($C162="","",ROUND(N($F162)*N($G162),2))</f>
        <v/>
      </c>
      <c r="I162" s="84" t="s">
        <v>266</v>
      </c>
      <c r="J162" s="70" t="str">
        <f aca="false">IF($C162="","",ROUND(N($H162),2))</f>
        <v/>
      </c>
      <c r="K162" s="70" t="n">
        <v>0</v>
      </c>
      <c r="L162" s="84"/>
      <c r="M162" s="84"/>
      <c r="N162" s="18"/>
      <c r="O162" s="84"/>
      <c r="P162" s="18"/>
      <c r="Q162" s="67" t="str">
        <f aca="false">IF(OR($C162="",ROUND(N($H162),2)=0),"",$L162)</f>
        <v/>
      </c>
      <c r="R162" s="70" t="str">
        <f aca="false">IF($Q162="","",ROUND(N($H162),2))</f>
        <v/>
      </c>
      <c r="S162" s="70" t="str">
        <f aca="false">IF($Q162="","",0)</f>
        <v/>
      </c>
      <c r="T162" s="67" t="str">
        <f aca="false">""</f>
        <v/>
      </c>
      <c r="U162" s="70" t="str">
        <f aca="false">IF($T162="","",0)</f>
        <v/>
      </c>
      <c r="V162" s="70" t="str">
        <f aca="false">IF($T162="","",0)</f>
        <v/>
      </c>
      <c r="W162" s="67" t="str">
        <f aca="false">IF($Q162="","","应付账款")</f>
        <v/>
      </c>
      <c r="X162" s="70" t="str">
        <f aca="false">IF($W162="","",0)</f>
        <v/>
      </c>
      <c r="Y162" s="70" t="str">
        <f aca="false">IF($W162="","",ROUND(N($H162),2))</f>
        <v/>
      </c>
      <c r="Z162" s="42"/>
      <c r="AA162" s="44"/>
      <c r="AB162" s="41" t="str">
        <f aca="false">IF($C162="","",ROUND(N($H162)-N($AA162),2))</f>
        <v/>
      </c>
      <c r="AC162" s="9" t="str">
        <f aca="false">IF($B162="","",TEXT($B162,"yyyy年m月"))</f>
        <v/>
      </c>
    </row>
    <row r="163" customFormat="false" ht="18" hidden="false" customHeight="true" outlineLevel="0" collapsed="false">
      <c r="A163" s="107" t="str">
        <f aca="false">IF($C163="","",ROW()-3)</f>
        <v/>
      </c>
      <c r="B163" s="108"/>
      <c r="C163" s="84"/>
      <c r="D163" s="84"/>
      <c r="E163" s="18"/>
      <c r="F163" s="109"/>
      <c r="G163" s="109"/>
      <c r="H163" s="70" t="str">
        <f aca="false">IF($C163="","",ROUND(N($F163)*N($G163),2))</f>
        <v/>
      </c>
      <c r="I163" s="84" t="s">
        <v>266</v>
      </c>
      <c r="J163" s="70" t="str">
        <f aca="false">IF($C163="","",ROUND(N($H163),2))</f>
        <v/>
      </c>
      <c r="K163" s="70" t="n">
        <v>0</v>
      </c>
      <c r="L163" s="84"/>
      <c r="M163" s="84"/>
      <c r="N163" s="18"/>
      <c r="O163" s="84"/>
      <c r="P163" s="18"/>
      <c r="Q163" s="67" t="str">
        <f aca="false">IF(OR($C163="",ROUND(N($H163),2)=0),"",$L163)</f>
        <v/>
      </c>
      <c r="R163" s="70" t="str">
        <f aca="false">IF($Q163="","",ROUND(N($H163),2))</f>
        <v/>
      </c>
      <c r="S163" s="70" t="str">
        <f aca="false">IF($Q163="","",0)</f>
        <v/>
      </c>
      <c r="T163" s="67" t="str">
        <f aca="false">""</f>
        <v/>
      </c>
      <c r="U163" s="70" t="str">
        <f aca="false">IF($T163="","",0)</f>
        <v/>
      </c>
      <c r="V163" s="70" t="str">
        <f aca="false">IF($T163="","",0)</f>
        <v/>
      </c>
      <c r="W163" s="67" t="str">
        <f aca="false">IF($Q163="","","应付账款")</f>
        <v/>
      </c>
      <c r="X163" s="70" t="str">
        <f aca="false">IF($W163="","",0)</f>
        <v/>
      </c>
      <c r="Y163" s="70" t="str">
        <f aca="false">IF($W163="","",ROUND(N($H163),2))</f>
        <v/>
      </c>
      <c r="Z163" s="42"/>
      <c r="AA163" s="44"/>
      <c r="AB163" s="41" t="str">
        <f aca="false">IF($C163="","",ROUND(N($H163)-N($AA163),2))</f>
        <v/>
      </c>
      <c r="AC163" s="9" t="str">
        <f aca="false">IF($B163="","",TEXT($B163,"yyyy年m月"))</f>
        <v/>
      </c>
    </row>
    <row r="164" customFormat="false" ht="18" hidden="false" customHeight="true" outlineLevel="0" collapsed="false">
      <c r="A164" s="107" t="str">
        <f aca="false">IF($C164="","",ROW()-3)</f>
        <v/>
      </c>
      <c r="B164" s="108"/>
      <c r="C164" s="84"/>
      <c r="D164" s="84"/>
      <c r="E164" s="18"/>
      <c r="F164" s="109"/>
      <c r="G164" s="109"/>
      <c r="H164" s="70" t="str">
        <f aca="false">IF($C164="","",ROUND(N($F164)*N($G164),2))</f>
        <v/>
      </c>
      <c r="I164" s="84" t="s">
        <v>266</v>
      </c>
      <c r="J164" s="70" t="str">
        <f aca="false">IF($C164="","",ROUND(N($H164),2))</f>
        <v/>
      </c>
      <c r="K164" s="70" t="n">
        <v>0</v>
      </c>
      <c r="L164" s="84"/>
      <c r="M164" s="84"/>
      <c r="N164" s="18"/>
      <c r="O164" s="84"/>
      <c r="P164" s="18"/>
      <c r="Q164" s="67" t="str">
        <f aca="false">IF(OR($C164="",ROUND(N($H164),2)=0),"",$L164)</f>
        <v/>
      </c>
      <c r="R164" s="70" t="str">
        <f aca="false">IF($Q164="","",ROUND(N($H164),2))</f>
        <v/>
      </c>
      <c r="S164" s="70" t="str">
        <f aca="false">IF($Q164="","",0)</f>
        <v/>
      </c>
      <c r="T164" s="67" t="str">
        <f aca="false">""</f>
        <v/>
      </c>
      <c r="U164" s="70" t="str">
        <f aca="false">IF($T164="","",0)</f>
        <v/>
      </c>
      <c r="V164" s="70" t="str">
        <f aca="false">IF($T164="","",0)</f>
        <v/>
      </c>
      <c r="W164" s="67" t="str">
        <f aca="false">IF($Q164="","","应付账款")</f>
        <v/>
      </c>
      <c r="X164" s="70" t="str">
        <f aca="false">IF($W164="","",0)</f>
        <v/>
      </c>
      <c r="Y164" s="70" t="str">
        <f aca="false">IF($W164="","",ROUND(N($H164),2))</f>
        <v/>
      </c>
      <c r="Z164" s="42"/>
      <c r="AA164" s="44"/>
      <c r="AB164" s="41" t="str">
        <f aca="false">IF($C164="","",ROUND(N($H164)-N($AA164),2))</f>
        <v/>
      </c>
      <c r="AC164" s="9" t="str">
        <f aca="false">IF($B164="","",TEXT($B164,"yyyy年m月"))</f>
        <v/>
      </c>
    </row>
    <row r="165" customFormat="false" ht="18" hidden="false" customHeight="true" outlineLevel="0" collapsed="false">
      <c r="A165" s="107" t="str">
        <f aca="false">IF($C165="","",ROW()-3)</f>
        <v/>
      </c>
      <c r="B165" s="108"/>
      <c r="C165" s="84"/>
      <c r="D165" s="84"/>
      <c r="E165" s="18"/>
      <c r="F165" s="109"/>
      <c r="G165" s="109"/>
      <c r="H165" s="70" t="str">
        <f aca="false">IF($C165="","",ROUND(N($F165)*N($G165),2))</f>
        <v/>
      </c>
      <c r="I165" s="84" t="s">
        <v>266</v>
      </c>
      <c r="J165" s="70" t="str">
        <f aca="false">IF($C165="","",ROUND(N($H165),2))</f>
        <v/>
      </c>
      <c r="K165" s="70" t="n">
        <v>0</v>
      </c>
      <c r="L165" s="84"/>
      <c r="M165" s="84"/>
      <c r="N165" s="18"/>
      <c r="O165" s="84"/>
      <c r="P165" s="18"/>
      <c r="Q165" s="67" t="str">
        <f aca="false">IF(OR($C165="",ROUND(N($H165),2)=0),"",$L165)</f>
        <v/>
      </c>
      <c r="R165" s="70" t="str">
        <f aca="false">IF($Q165="","",ROUND(N($H165),2))</f>
        <v/>
      </c>
      <c r="S165" s="70" t="str">
        <f aca="false">IF($Q165="","",0)</f>
        <v/>
      </c>
      <c r="T165" s="67" t="str">
        <f aca="false">""</f>
        <v/>
      </c>
      <c r="U165" s="70" t="str">
        <f aca="false">IF($T165="","",0)</f>
        <v/>
      </c>
      <c r="V165" s="70" t="str">
        <f aca="false">IF($T165="","",0)</f>
        <v/>
      </c>
      <c r="W165" s="67" t="str">
        <f aca="false">IF($Q165="","","应付账款")</f>
        <v/>
      </c>
      <c r="X165" s="70" t="str">
        <f aca="false">IF($W165="","",0)</f>
        <v/>
      </c>
      <c r="Y165" s="70" t="str">
        <f aca="false">IF($W165="","",ROUND(N($H165),2))</f>
        <v/>
      </c>
      <c r="Z165" s="42"/>
      <c r="AA165" s="44"/>
      <c r="AB165" s="41" t="str">
        <f aca="false">IF($C165="","",ROUND(N($H165)-N($AA165),2))</f>
        <v/>
      </c>
      <c r="AC165" s="9" t="str">
        <f aca="false">IF($B165="","",TEXT($B165,"yyyy年m月"))</f>
        <v/>
      </c>
    </row>
    <row r="166" customFormat="false" ht="18" hidden="false" customHeight="true" outlineLevel="0" collapsed="false">
      <c r="A166" s="107" t="str">
        <f aca="false">IF($C166="","",ROW()-3)</f>
        <v/>
      </c>
      <c r="B166" s="108"/>
      <c r="C166" s="84"/>
      <c r="D166" s="84"/>
      <c r="E166" s="18"/>
      <c r="F166" s="109"/>
      <c r="G166" s="109"/>
      <c r="H166" s="70" t="str">
        <f aca="false">IF($C166="","",ROUND(N($F166)*N($G166),2))</f>
        <v/>
      </c>
      <c r="I166" s="84" t="s">
        <v>266</v>
      </c>
      <c r="J166" s="70" t="str">
        <f aca="false">IF($C166="","",ROUND(N($H166),2))</f>
        <v/>
      </c>
      <c r="K166" s="70" t="n">
        <v>0</v>
      </c>
      <c r="L166" s="84"/>
      <c r="M166" s="84"/>
      <c r="N166" s="18"/>
      <c r="O166" s="84"/>
      <c r="P166" s="18"/>
      <c r="Q166" s="67" t="str">
        <f aca="false">IF(OR($C166="",ROUND(N($H166),2)=0),"",$L166)</f>
        <v/>
      </c>
      <c r="R166" s="70" t="str">
        <f aca="false">IF($Q166="","",ROUND(N($H166),2))</f>
        <v/>
      </c>
      <c r="S166" s="70" t="str">
        <f aca="false">IF($Q166="","",0)</f>
        <v/>
      </c>
      <c r="T166" s="67" t="str">
        <f aca="false">""</f>
        <v/>
      </c>
      <c r="U166" s="70" t="str">
        <f aca="false">IF($T166="","",0)</f>
        <v/>
      </c>
      <c r="V166" s="70" t="str">
        <f aca="false">IF($T166="","",0)</f>
        <v/>
      </c>
      <c r="W166" s="67" t="str">
        <f aca="false">IF($Q166="","","应付账款")</f>
        <v/>
      </c>
      <c r="X166" s="70" t="str">
        <f aca="false">IF($W166="","",0)</f>
        <v/>
      </c>
      <c r="Y166" s="70" t="str">
        <f aca="false">IF($W166="","",ROUND(N($H166),2))</f>
        <v/>
      </c>
      <c r="Z166" s="42"/>
      <c r="AA166" s="44"/>
      <c r="AB166" s="41" t="str">
        <f aca="false">IF($C166="","",ROUND(N($H166)-N($AA166),2))</f>
        <v/>
      </c>
      <c r="AC166" s="9" t="str">
        <f aca="false">IF($B166="","",TEXT($B166,"yyyy年m月"))</f>
        <v/>
      </c>
    </row>
    <row r="167" customFormat="false" ht="18" hidden="false" customHeight="true" outlineLevel="0" collapsed="false">
      <c r="A167" s="107" t="str">
        <f aca="false">IF($C167="","",ROW()-3)</f>
        <v/>
      </c>
      <c r="B167" s="108"/>
      <c r="C167" s="84"/>
      <c r="D167" s="84"/>
      <c r="E167" s="18"/>
      <c r="F167" s="109"/>
      <c r="G167" s="109"/>
      <c r="H167" s="70" t="str">
        <f aca="false">IF($C167="","",ROUND(N($F167)*N($G167),2))</f>
        <v/>
      </c>
      <c r="I167" s="84" t="s">
        <v>266</v>
      </c>
      <c r="J167" s="70" t="str">
        <f aca="false">IF($C167="","",ROUND(N($H167),2))</f>
        <v/>
      </c>
      <c r="K167" s="70" t="n">
        <v>0</v>
      </c>
      <c r="L167" s="84"/>
      <c r="M167" s="84"/>
      <c r="N167" s="18"/>
      <c r="O167" s="84"/>
      <c r="P167" s="18"/>
      <c r="Q167" s="67" t="str">
        <f aca="false">IF(OR($C167="",ROUND(N($H167),2)=0),"",$L167)</f>
        <v/>
      </c>
      <c r="R167" s="70" t="str">
        <f aca="false">IF($Q167="","",ROUND(N($H167),2))</f>
        <v/>
      </c>
      <c r="S167" s="70" t="str">
        <f aca="false">IF($Q167="","",0)</f>
        <v/>
      </c>
      <c r="T167" s="67" t="str">
        <f aca="false">""</f>
        <v/>
      </c>
      <c r="U167" s="70" t="str">
        <f aca="false">IF($T167="","",0)</f>
        <v/>
      </c>
      <c r="V167" s="70" t="str">
        <f aca="false">IF($T167="","",0)</f>
        <v/>
      </c>
      <c r="W167" s="67" t="str">
        <f aca="false">IF($Q167="","","应付账款")</f>
        <v/>
      </c>
      <c r="X167" s="70" t="str">
        <f aca="false">IF($W167="","",0)</f>
        <v/>
      </c>
      <c r="Y167" s="70" t="str">
        <f aca="false">IF($W167="","",ROUND(N($H167),2))</f>
        <v/>
      </c>
      <c r="Z167" s="42"/>
      <c r="AA167" s="44"/>
      <c r="AB167" s="41" t="str">
        <f aca="false">IF($C167="","",ROUND(N($H167)-N($AA167),2))</f>
        <v/>
      </c>
      <c r="AC167" s="9" t="str">
        <f aca="false">IF($B167="","",TEXT($B167,"yyyy年m月"))</f>
        <v/>
      </c>
    </row>
    <row r="168" customFormat="false" ht="18" hidden="false" customHeight="true" outlineLevel="0" collapsed="false">
      <c r="A168" s="107" t="str">
        <f aca="false">IF($C168="","",ROW()-3)</f>
        <v/>
      </c>
      <c r="B168" s="108"/>
      <c r="C168" s="84"/>
      <c r="D168" s="84"/>
      <c r="E168" s="18"/>
      <c r="F168" s="109"/>
      <c r="G168" s="109"/>
      <c r="H168" s="70" t="str">
        <f aca="false">IF($C168="","",ROUND(N($F168)*N($G168),2))</f>
        <v/>
      </c>
      <c r="I168" s="84" t="s">
        <v>266</v>
      </c>
      <c r="J168" s="70" t="str">
        <f aca="false">IF($C168="","",ROUND(N($H168),2))</f>
        <v/>
      </c>
      <c r="K168" s="70" t="n">
        <v>0</v>
      </c>
      <c r="L168" s="84"/>
      <c r="M168" s="84"/>
      <c r="N168" s="18"/>
      <c r="O168" s="84"/>
      <c r="P168" s="18"/>
      <c r="Q168" s="67" t="str">
        <f aca="false">IF(OR($C168="",ROUND(N($H168),2)=0),"",$L168)</f>
        <v/>
      </c>
      <c r="R168" s="70" t="str">
        <f aca="false">IF($Q168="","",ROUND(N($H168),2))</f>
        <v/>
      </c>
      <c r="S168" s="70" t="str">
        <f aca="false">IF($Q168="","",0)</f>
        <v/>
      </c>
      <c r="T168" s="67" t="str">
        <f aca="false">""</f>
        <v/>
      </c>
      <c r="U168" s="70" t="str">
        <f aca="false">IF($T168="","",0)</f>
        <v/>
      </c>
      <c r="V168" s="70" t="str">
        <f aca="false">IF($T168="","",0)</f>
        <v/>
      </c>
      <c r="W168" s="67" t="str">
        <f aca="false">IF($Q168="","","应付账款")</f>
        <v/>
      </c>
      <c r="X168" s="70" t="str">
        <f aca="false">IF($W168="","",0)</f>
        <v/>
      </c>
      <c r="Y168" s="70" t="str">
        <f aca="false">IF($W168="","",ROUND(N($H168),2))</f>
        <v/>
      </c>
      <c r="Z168" s="42"/>
      <c r="AA168" s="44"/>
      <c r="AB168" s="41" t="str">
        <f aca="false">IF($C168="","",ROUND(N($H168)-N($AA168),2))</f>
        <v/>
      </c>
      <c r="AC168" s="9" t="str">
        <f aca="false">IF($B168="","",TEXT($B168,"yyyy年m月"))</f>
        <v/>
      </c>
    </row>
    <row r="169" customFormat="false" ht="18" hidden="false" customHeight="true" outlineLevel="0" collapsed="false">
      <c r="A169" s="107" t="str">
        <f aca="false">IF($C169="","",ROW()-3)</f>
        <v/>
      </c>
      <c r="B169" s="108"/>
      <c r="C169" s="84"/>
      <c r="D169" s="84"/>
      <c r="E169" s="18"/>
      <c r="F169" s="109"/>
      <c r="G169" s="109"/>
      <c r="H169" s="70" t="str">
        <f aca="false">IF($C169="","",ROUND(N($F169)*N($G169),2))</f>
        <v/>
      </c>
      <c r="I169" s="84" t="s">
        <v>266</v>
      </c>
      <c r="J169" s="70" t="str">
        <f aca="false">IF($C169="","",ROUND(N($H169),2))</f>
        <v/>
      </c>
      <c r="K169" s="70" t="n">
        <v>0</v>
      </c>
      <c r="L169" s="84"/>
      <c r="M169" s="84"/>
      <c r="N169" s="18"/>
      <c r="O169" s="84"/>
      <c r="P169" s="18"/>
      <c r="Q169" s="67" t="str">
        <f aca="false">IF(OR($C169="",ROUND(N($H169),2)=0),"",$L169)</f>
        <v/>
      </c>
      <c r="R169" s="70" t="str">
        <f aca="false">IF($Q169="","",ROUND(N($H169),2))</f>
        <v/>
      </c>
      <c r="S169" s="70" t="str">
        <f aca="false">IF($Q169="","",0)</f>
        <v/>
      </c>
      <c r="T169" s="67" t="str">
        <f aca="false">""</f>
        <v/>
      </c>
      <c r="U169" s="70" t="str">
        <f aca="false">IF($T169="","",0)</f>
        <v/>
      </c>
      <c r="V169" s="70" t="str">
        <f aca="false">IF($T169="","",0)</f>
        <v/>
      </c>
      <c r="W169" s="67" t="str">
        <f aca="false">IF($Q169="","","应付账款")</f>
        <v/>
      </c>
      <c r="X169" s="70" t="str">
        <f aca="false">IF($W169="","",0)</f>
        <v/>
      </c>
      <c r="Y169" s="70" t="str">
        <f aca="false">IF($W169="","",ROUND(N($H169),2))</f>
        <v/>
      </c>
      <c r="Z169" s="42"/>
      <c r="AA169" s="44"/>
      <c r="AB169" s="41" t="str">
        <f aca="false">IF($C169="","",ROUND(N($H169)-N($AA169),2))</f>
        <v/>
      </c>
      <c r="AC169" s="9" t="str">
        <f aca="false">IF($B169="","",TEXT($B169,"yyyy年m月"))</f>
        <v/>
      </c>
    </row>
    <row r="170" customFormat="false" ht="18" hidden="false" customHeight="true" outlineLevel="0" collapsed="false">
      <c r="A170" s="107" t="str">
        <f aca="false">IF($C170="","",ROW()-3)</f>
        <v/>
      </c>
      <c r="B170" s="108"/>
      <c r="C170" s="84"/>
      <c r="D170" s="84"/>
      <c r="E170" s="18"/>
      <c r="F170" s="109"/>
      <c r="G170" s="109"/>
      <c r="H170" s="70" t="str">
        <f aca="false">IF($C170="","",ROUND(N($F170)*N($G170),2))</f>
        <v/>
      </c>
      <c r="I170" s="84" t="s">
        <v>266</v>
      </c>
      <c r="J170" s="70" t="str">
        <f aca="false">IF($C170="","",ROUND(N($H170),2))</f>
        <v/>
      </c>
      <c r="K170" s="70" t="n">
        <v>0</v>
      </c>
      <c r="L170" s="84"/>
      <c r="M170" s="84"/>
      <c r="N170" s="18"/>
      <c r="O170" s="84"/>
      <c r="P170" s="18"/>
      <c r="Q170" s="67" t="str">
        <f aca="false">IF(OR($C170="",ROUND(N($H170),2)=0),"",$L170)</f>
        <v/>
      </c>
      <c r="R170" s="70" t="str">
        <f aca="false">IF($Q170="","",ROUND(N($H170),2))</f>
        <v/>
      </c>
      <c r="S170" s="70" t="str">
        <f aca="false">IF($Q170="","",0)</f>
        <v/>
      </c>
      <c r="T170" s="67" t="str">
        <f aca="false">""</f>
        <v/>
      </c>
      <c r="U170" s="70" t="str">
        <f aca="false">IF($T170="","",0)</f>
        <v/>
      </c>
      <c r="V170" s="70" t="str">
        <f aca="false">IF($T170="","",0)</f>
        <v/>
      </c>
      <c r="W170" s="67" t="str">
        <f aca="false">IF($Q170="","","应付账款")</f>
        <v/>
      </c>
      <c r="X170" s="70" t="str">
        <f aca="false">IF($W170="","",0)</f>
        <v/>
      </c>
      <c r="Y170" s="70" t="str">
        <f aca="false">IF($W170="","",ROUND(N($H170),2))</f>
        <v/>
      </c>
      <c r="Z170" s="42"/>
      <c r="AA170" s="44"/>
      <c r="AB170" s="41" t="str">
        <f aca="false">IF($C170="","",ROUND(N($H170)-N($AA170),2))</f>
        <v/>
      </c>
      <c r="AC170" s="9" t="str">
        <f aca="false">IF($B170="","",TEXT($B170,"yyyy年m月"))</f>
        <v/>
      </c>
    </row>
    <row r="171" customFormat="false" ht="18" hidden="false" customHeight="true" outlineLevel="0" collapsed="false">
      <c r="A171" s="107" t="str">
        <f aca="false">IF($C171="","",ROW()-3)</f>
        <v/>
      </c>
      <c r="B171" s="108"/>
      <c r="C171" s="84"/>
      <c r="D171" s="84"/>
      <c r="E171" s="18"/>
      <c r="F171" s="109"/>
      <c r="G171" s="109"/>
      <c r="H171" s="70" t="str">
        <f aca="false">IF($C171="","",ROUND(N($F171)*N($G171),2))</f>
        <v/>
      </c>
      <c r="I171" s="84" t="s">
        <v>266</v>
      </c>
      <c r="J171" s="70" t="str">
        <f aca="false">IF($C171="","",ROUND(N($H171),2))</f>
        <v/>
      </c>
      <c r="K171" s="70" t="n">
        <v>0</v>
      </c>
      <c r="L171" s="84"/>
      <c r="M171" s="84"/>
      <c r="N171" s="18"/>
      <c r="O171" s="84"/>
      <c r="P171" s="18"/>
      <c r="Q171" s="67" t="str">
        <f aca="false">IF(OR($C171="",ROUND(N($H171),2)=0),"",$L171)</f>
        <v/>
      </c>
      <c r="R171" s="70" t="str">
        <f aca="false">IF($Q171="","",ROUND(N($H171),2))</f>
        <v/>
      </c>
      <c r="S171" s="70" t="str">
        <f aca="false">IF($Q171="","",0)</f>
        <v/>
      </c>
      <c r="T171" s="67" t="str">
        <f aca="false">""</f>
        <v/>
      </c>
      <c r="U171" s="70" t="str">
        <f aca="false">IF($T171="","",0)</f>
        <v/>
      </c>
      <c r="V171" s="70" t="str">
        <f aca="false">IF($T171="","",0)</f>
        <v/>
      </c>
      <c r="W171" s="67" t="str">
        <f aca="false">IF($Q171="","","应付账款")</f>
        <v/>
      </c>
      <c r="X171" s="70" t="str">
        <f aca="false">IF($W171="","",0)</f>
        <v/>
      </c>
      <c r="Y171" s="70" t="str">
        <f aca="false">IF($W171="","",ROUND(N($H171),2))</f>
        <v/>
      </c>
      <c r="Z171" s="42"/>
      <c r="AA171" s="44"/>
      <c r="AB171" s="41" t="str">
        <f aca="false">IF($C171="","",ROUND(N($H171)-N($AA171),2))</f>
        <v/>
      </c>
      <c r="AC171" s="9" t="str">
        <f aca="false">IF($B171="","",TEXT($B171,"yyyy年m月"))</f>
        <v/>
      </c>
    </row>
    <row r="172" customFormat="false" ht="18" hidden="false" customHeight="true" outlineLevel="0" collapsed="false">
      <c r="A172" s="107" t="str">
        <f aca="false">IF($C172="","",ROW()-3)</f>
        <v/>
      </c>
      <c r="B172" s="108"/>
      <c r="C172" s="84"/>
      <c r="D172" s="84"/>
      <c r="E172" s="18"/>
      <c r="F172" s="109"/>
      <c r="G172" s="109"/>
      <c r="H172" s="70" t="str">
        <f aca="false">IF($C172="","",ROUND(N($F172)*N($G172),2))</f>
        <v/>
      </c>
      <c r="I172" s="84" t="s">
        <v>266</v>
      </c>
      <c r="J172" s="70" t="str">
        <f aca="false">IF($C172="","",ROUND(N($H172),2))</f>
        <v/>
      </c>
      <c r="K172" s="70" t="n">
        <v>0</v>
      </c>
      <c r="L172" s="84"/>
      <c r="M172" s="84"/>
      <c r="N172" s="18"/>
      <c r="O172" s="84"/>
      <c r="P172" s="18"/>
      <c r="Q172" s="67" t="str">
        <f aca="false">IF(OR($C172="",ROUND(N($H172),2)=0),"",$L172)</f>
        <v/>
      </c>
      <c r="R172" s="70" t="str">
        <f aca="false">IF($Q172="","",ROUND(N($H172),2))</f>
        <v/>
      </c>
      <c r="S172" s="70" t="str">
        <f aca="false">IF($Q172="","",0)</f>
        <v/>
      </c>
      <c r="T172" s="67" t="str">
        <f aca="false">""</f>
        <v/>
      </c>
      <c r="U172" s="70" t="str">
        <f aca="false">IF($T172="","",0)</f>
        <v/>
      </c>
      <c r="V172" s="70" t="str">
        <f aca="false">IF($T172="","",0)</f>
        <v/>
      </c>
      <c r="W172" s="67" t="str">
        <f aca="false">IF($Q172="","","应付账款")</f>
        <v/>
      </c>
      <c r="X172" s="70" t="str">
        <f aca="false">IF($W172="","",0)</f>
        <v/>
      </c>
      <c r="Y172" s="70" t="str">
        <f aca="false">IF($W172="","",ROUND(N($H172),2))</f>
        <v/>
      </c>
      <c r="Z172" s="42"/>
      <c r="AA172" s="44"/>
      <c r="AB172" s="41" t="str">
        <f aca="false">IF($C172="","",ROUND(N($H172)-N($AA172),2))</f>
        <v/>
      </c>
      <c r="AC172" s="9" t="str">
        <f aca="false">IF($B172="","",TEXT($B172,"yyyy年m月"))</f>
        <v/>
      </c>
    </row>
    <row r="173" customFormat="false" ht="18" hidden="false" customHeight="true" outlineLevel="0" collapsed="false">
      <c r="A173" s="107" t="str">
        <f aca="false">IF($C173="","",ROW()-3)</f>
        <v/>
      </c>
      <c r="B173" s="108"/>
      <c r="C173" s="84"/>
      <c r="D173" s="84"/>
      <c r="E173" s="18"/>
      <c r="F173" s="109"/>
      <c r="G173" s="109"/>
      <c r="H173" s="70" t="str">
        <f aca="false">IF($C173="","",ROUND(N($F173)*N($G173),2))</f>
        <v/>
      </c>
      <c r="I173" s="84" t="s">
        <v>266</v>
      </c>
      <c r="J173" s="70" t="str">
        <f aca="false">IF($C173="","",ROUND(N($H173),2))</f>
        <v/>
      </c>
      <c r="K173" s="70" t="n">
        <v>0</v>
      </c>
      <c r="L173" s="84"/>
      <c r="M173" s="84"/>
      <c r="N173" s="18"/>
      <c r="O173" s="84"/>
      <c r="P173" s="18"/>
      <c r="Q173" s="67" t="str">
        <f aca="false">IF(OR($C173="",ROUND(N($H173),2)=0),"",$L173)</f>
        <v/>
      </c>
      <c r="R173" s="70" t="str">
        <f aca="false">IF($Q173="","",ROUND(N($H173),2))</f>
        <v/>
      </c>
      <c r="S173" s="70" t="str">
        <f aca="false">IF($Q173="","",0)</f>
        <v/>
      </c>
      <c r="T173" s="67" t="str">
        <f aca="false">""</f>
        <v/>
      </c>
      <c r="U173" s="70" t="str">
        <f aca="false">IF($T173="","",0)</f>
        <v/>
      </c>
      <c r="V173" s="70" t="str">
        <f aca="false">IF($T173="","",0)</f>
        <v/>
      </c>
      <c r="W173" s="67" t="str">
        <f aca="false">IF($Q173="","","应付账款")</f>
        <v/>
      </c>
      <c r="X173" s="70" t="str">
        <f aca="false">IF($W173="","",0)</f>
        <v/>
      </c>
      <c r="Y173" s="70" t="str">
        <f aca="false">IF($W173="","",ROUND(N($H173),2))</f>
        <v/>
      </c>
      <c r="Z173" s="42"/>
      <c r="AA173" s="44"/>
      <c r="AB173" s="41" t="str">
        <f aca="false">IF($C173="","",ROUND(N($H173)-N($AA173),2))</f>
        <v/>
      </c>
      <c r="AC173" s="9" t="str">
        <f aca="false">IF($B173="","",TEXT($B173,"yyyy年m月"))</f>
        <v/>
      </c>
    </row>
    <row r="174" customFormat="false" ht="18" hidden="false" customHeight="true" outlineLevel="0" collapsed="false">
      <c r="A174" s="107" t="str">
        <f aca="false">IF($C174="","",ROW()-3)</f>
        <v/>
      </c>
      <c r="B174" s="108"/>
      <c r="C174" s="84"/>
      <c r="D174" s="84"/>
      <c r="E174" s="18"/>
      <c r="F174" s="109"/>
      <c r="G174" s="109"/>
      <c r="H174" s="70" t="str">
        <f aca="false">IF($C174="","",ROUND(N($F174)*N($G174),2))</f>
        <v/>
      </c>
      <c r="I174" s="84" t="s">
        <v>266</v>
      </c>
      <c r="J174" s="70" t="str">
        <f aca="false">IF($C174="","",ROUND(N($H174),2))</f>
        <v/>
      </c>
      <c r="K174" s="70" t="n">
        <v>0</v>
      </c>
      <c r="L174" s="84"/>
      <c r="M174" s="84"/>
      <c r="N174" s="18"/>
      <c r="O174" s="84"/>
      <c r="P174" s="18"/>
      <c r="Q174" s="67" t="str">
        <f aca="false">IF(OR($C174="",ROUND(N($H174),2)=0),"",$L174)</f>
        <v/>
      </c>
      <c r="R174" s="70" t="str">
        <f aca="false">IF($Q174="","",ROUND(N($H174),2))</f>
        <v/>
      </c>
      <c r="S174" s="70" t="str">
        <f aca="false">IF($Q174="","",0)</f>
        <v/>
      </c>
      <c r="T174" s="67" t="str">
        <f aca="false">""</f>
        <v/>
      </c>
      <c r="U174" s="70" t="str">
        <f aca="false">IF($T174="","",0)</f>
        <v/>
      </c>
      <c r="V174" s="70" t="str">
        <f aca="false">IF($T174="","",0)</f>
        <v/>
      </c>
      <c r="W174" s="67" t="str">
        <f aca="false">IF($Q174="","","应付账款")</f>
        <v/>
      </c>
      <c r="X174" s="70" t="str">
        <f aca="false">IF($W174="","",0)</f>
        <v/>
      </c>
      <c r="Y174" s="70" t="str">
        <f aca="false">IF($W174="","",ROUND(N($H174),2))</f>
        <v/>
      </c>
      <c r="Z174" s="42"/>
      <c r="AA174" s="44"/>
      <c r="AB174" s="41" t="str">
        <f aca="false">IF($C174="","",ROUND(N($H174)-N($AA174),2))</f>
        <v/>
      </c>
      <c r="AC174" s="9" t="str">
        <f aca="false">IF($B174="","",TEXT($B174,"yyyy年m月"))</f>
        <v/>
      </c>
    </row>
    <row r="175" customFormat="false" ht="18" hidden="false" customHeight="true" outlineLevel="0" collapsed="false">
      <c r="A175" s="107" t="str">
        <f aca="false">IF($C175="","",ROW()-3)</f>
        <v/>
      </c>
      <c r="B175" s="108"/>
      <c r="C175" s="84"/>
      <c r="D175" s="84"/>
      <c r="E175" s="18"/>
      <c r="F175" s="109"/>
      <c r="G175" s="109"/>
      <c r="H175" s="70" t="str">
        <f aca="false">IF($C175="","",ROUND(N($F175)*N($G175),2))</f>
        <v/>
      </c>
      <c r="I175" s="84" t="s">
        <v>266</v>
      </c>
      <c r="J175" s="70" t="str">
        <f aca="false">IF($C175="","",ROUND(N($H175),2))</f>
        <v/>
      </c>
      <c r="K175" s="70" t="n">
        <v>0</v>
      </c>
      <c r="L175" s="84"/>
      <c r="M175" s="84"/>
      <c r="N175" s="18"/>
      <c r="O175" s="84"/>
      <c r="P175" s="18"/>
      <c r="Q175" s="67" t="str">
        <f aca="false">IF(OR($C175="",ROUND(N($H175),2)=0),"",$L175)</f>
        <v/>
      </c>
      <c r="R175" s="70" t="str">
        <f aca="false">IF($Q175="","",ROUND(N($H175),2))</f>
        <v/>
      </c>
      <c r="S175" s="70" t="str">
        <f aca="false">IF($Q175="","",0)</f>
        <v/>
      </c>
      <c r="T175" s="67" t="str">
        <f aca="false">""</f>
        <v/>
      </c>
      <c r="U175" s="70" t="str">
        <f aca="false">IF($T175="","",0)</f>
        <v/>
      </c>
      <c r="V175" s="70" t="str">
        <f aca="false">IF($T175="","",0)</f>
        <v/>
      </c>
      <c r="W175" s="67" t="str">
        <f aca="false">IF($Q175="","","应付账款")</f>
        <v/>
      </c>
      <c r="X175" s="70" t="str">
        <f aca="false">IF($W175="","",0)</f>
        <v/>
      </c>
      <c r="Y175" s="70" t="str">
        <f aca="false">IF($W175="","",ROUND(N($H175),2))</f>
        <v/>
      </c>
      <c r="Z175" s="42"/>
      <c r="AA175" s="44"/>
      <c r="AB175" s="41" t="str">
        <f aca="false">IF($C175="","",ROUND(N($H175)-N($AA175),2))</f>
        <v/>
      </c>
      <c r="AC175" s="9" t="str">
        <f aca="false">IF($B175="","",TEXT($B175,"yyyy年m月"))</f>
        <v/>
      </c>
    </row>
    <row r="176" customFormat="false" ht="18" hidden="false" customHeight="true" outlineLevel="0" collapsed="false">
      <c r="A176" s="107" t="str">
        <f aca="false">IF($C176="","",ROW()-3)</f>
        <v/>
      </c>
      <c r="B176" s="108"/>
      <c r="C176" s="84"/>
      <c r="D176" s="84"/>
      <c r="E176" s="18"/>
      <c r="F176" s="109"/>
      <c r="G176" s="109"/>
      <c r="H176" s="70" t="str">
        <f aca="false">IF($C176="","",ROUND(N($F176)*N($G176),2))</f>
        <v/>
      </c>
      <c r="I176" s="84" t="s">
        <v>266</v>
      </c>
      <c r="J176" s="70" t="str">
        <f aca="false">IF($C176="","",ROUND(N($H176),2))</f>
        <v/>
      </c>
      <c r="K176" s="70" t="n">
        <v>0</v>
      </c>
      <c r="L176" s="84"/>
      <c r="M176" s="84"/>
      <c r="N176" s="18"/>
      <c r="O176" s="84"/>
      <c r="P176" s="18"/>
      <c r="Q176" s="67" t="str">
        <f aca="false">IF(OR($C176="",ROUND(N($H176),2)=0),"",$L176)</f>
        <v/>
      </c>
      <c r="R176" s="70" t="str">
        <f aca="false">IF($Q176="","",ROUND(N($H176),2))</f>
        <v/>
      </c>
      <c r="S176" s="70" t="str">
        <f aca="false">IF($Q176="","",0)</f>
        <v/>
      </c>
      <c r="T176" s="67" t="str">
        <f aca="false">""</f>
        <v/>
      </c>
      <c r="U176" s="70" t="str">
        <f aca="false">IF($T176="","",0)</f>
        <v/>
      </c>
      <c r="V176" s="70" t="str">
        <f aca="false">IF($T176="","",0)</f>
        <v/>
      </c>
      <c r="W176" s="67" t="str">
        <f aca="false">IF($Q176="","","应付账款")</f>
        <v/>
      </c>
      <c r="X176" s="70" t="str">
        <f aca="false">IF($W176="","",0)</f>
        <v/>
      </c>
      <c r="Y176" s="70" t="str">
        <f aca="false">IF($W176="","",ROUND(N($H176),2))</f>
        <v/>
      </c>
      <c r="Z176" s="42"/>
      <c r="AA176" s="44"/>
      <c r="AB176" s="41" t="str">
        <f aca="false">IF($C176="","",ROUND(N($H176)-N($AA176),2))</f>
        <v/>
      </c>
      <c r="AC176" s="9" t="str">
        <f aca="false">IF($B176="","",TEXT($B176,"yyyy年m月"))</f>
        <v/>
      </c>
    </row>
    <row r="177" customFormat="false" ht="18" hidden="false" customHeight="true" outlineLevel="0" collapsed="false">
      <c r="A177" s="107" t="str">
        <f aca="false">IF($C177="","",ROW()-3)</f>
        <v/>
      </c>
      <c r="B177" s="108"/>
      <c r="C177" s="84"/>
      <c r="D177" s="84"/>
      <c r="E177" s="18"/>
      <c r="F177" s="109"/>
      <c r="G177" s="109"/>
      <c r="H177" s="70" t="str">
        <f aca="false">IF($C177="","",ROUND(N($F177)*N($G177),2))</f>
        <v/>
      </c>
      <c r="I177" s="84" t="s">
        <v>266</v>
      </c>
      <c r="J177" s="70" t="str">
        <f aca="false">IF($C177="","",ROUND(N($H177),2))</f>
        <v/>
      </c>
      <c r="K177" s="70" t="n">
        <v>0</v>
      </c>
      <c r="L177" s="84"/>
      <c r="M177" s="84"/>
      <c r="N177" s="18"/>
      <c r="O177" s="84"/>
      <c r="P177" s="18"/>
      <c r="Q177" s="67" t="str">
        <f aca="false">IF(OR($C177="",ROUND(N($H177),2)=0),"",$L177)</f>
        <v/>
      </c>
      <c r="R177" s="70" t="str">
        <f aca="false">IF($Q177="","",ROUND(N($H177),2))</f>
        <v/>
      </c>
      <c r="S177" s="70" t="str">
        <f aca="false">IF($Q177="","",0)</f>
        <v/>
      </c>
      <c r="T177" s="67" t="str">
        <f aca="false">""</f>
        <v/>
      </c>
      <c r="U177" s="70" t="str">
        <f aca="false">IF($T177="","",0)</f>
        <v/>
      </c>
      <c r="V177" s="70" t="str">
        <f aca="false">IF($T177="","",0)</f>
        <v/>
      </c>
      <c r="W177" s="67" t="str">
        <f aca="false">IF($Q177="","","应付账款")</f>
        <v/>
      </c>
      <c r="X177" s="70" t="str">
        <f aca="false">IF($W177="","",0)</f>
        <v/>
      </c>
      <c r="Y177" s="70" t="str">
        <f aca="false">IF($W177="","",ROUND(N($H177),2))</f>
        <v/>
      </c>
      <c r="Z177" s="42"/>
      <c r="AA177" s="44"/>
      <c r="AB177" s="41" t="str">
        <f aca="false">IF($C177="","",ROUND(N($H177)-N($AA177),2))</f>
        <v/>
      </c>
      <c r="AC177" s="9" t="str">
        <f aca="false">IF($B177="","",TEXT($B177,"yyyy年m月"))</f>
        <v/>
      </c>
    </row>
    <row r="178" customFormat="false" ht="18" hidden="false" customHeight="true" outlineLevel="0" collapsed="false">
      <c r="A178" s="107" t="str">
        <f aca="false">IF($C178="","",ROW()-3)</f>
        <v/>
      </c>
      <c r="B178" s="108"/>
      <c r="C178" s="84"/>
      <c r="D178" s="84"/>
      <c r="E178" s="18"/>
      <c r="F178" s="109"/>
      <c r="G178" s="109"/>
      <c r="H178" s="70" t="str">
        <f aca="false">IF($C178="","",ROUND(N($F178)*N($G178),2))</f>
        <v/>
      </c>
      <c r="I178" s="84" t="s">
        <v>266</v>
      </c>
      <c r="J178" s="70" t="str">
        <f aca="false">IF($C178="","",ROUND(N($H178),2))</f>
        <v/>
      </c>
      <c r="K178" s="70" t="n">
        <v>0</v>
      </c>
      <c r="L178" s="84"/>
      <c r="M178" s="84"/>
      <c r="N178" s="18"/>
      <c r="O178" s="84"/>
      <c r="P178" s="18"/>
      <c r="Q178" s="67" t="str">
        <f aca="false">IF(OR($C178="",ROUND(N($H178),2)=0),"",$L178)</f>
        <v/>
      </c>
      <c r="R178" s="70" t="str">
        <f aca="false">IF($Q178="","",ROUND(N($H178),2))</f>
        <v/>
      </c>
      <c r="S178" s="70" t="str">
        <f aca="false">IF($Q178="","",0)</f>
        <v/>
      </c>
      <c r="T178" s="67" t="str">
        <f aca="false">""</f>
        <v/>
      </c>
      <c r="U178" s="70" t="str">
        <f aca="false">IF($T178="","",0)</f>
        <v/>
      </c>
      <c r="V178" s="70" t="str">
        <f aca="false">IF($T178="","",0)</f>
        <v/>
      </c>
      <c r="W178" s="67" t="str">
        <f aca="false">IF($Q178="","","应付账款")</f>
        <v/>
      </c>
      <c r="X178" s="70" t="str">
        <f aca="false">IF($W178="","",0)</f>
        <v/>
      </c>
      <c r="Y178" s="70" t="str">
        <f aca="false">IF($W178="","",ROUND(N($H178),2))</f>
        <v/>
      </c>
      <c r="Z178" s="42"/>
      <c r="AA178" s="44"/>
      <c r="AB178" s="41" t="str">
        <f aca="false">IF($C178="","",ROUND(N($H178)-N($AA178),2))</f>
        <v/>
      </c>
      <c r="AC178" s="9" t="str">
        <f aca="false">IF($B178="","",TEXT($B178,"yyyy年m月"))</f>
        <v/>
      </c>
    </row>
    <row r="179" customFormat="false" ht="18" hidden="false" customHeight="true" outlineLevel="0" collapsed="false">
      <c r="A179" s="107" t="str">
        <f aca="false">IF($C179="","",ROW()-3)</f>
        <v/>
      </c>
      <c r="B179" s="108"/>
      <c r="C179" s="84"/>
      <c r="D179" s="84"/>
      <c r="E179" s="18"/>
      <c r="F179" s="109"/>
      <c r="G179" s="109"/>
      <c r="H179" s="70" t="str">
        <f aca="false">IF($C179="","",ROUND(N($F179)*N($G179),2))</f>
        <v/>
      </c>
      <c r="I179" s="84" t="s">
        <v>266</v>
      </c>
      <c r="J179" s="70" t="str">
        <f aca="false">IF($C179="","",ROUND(N($H179),2))</f>
        <v/>
      </c>
      <c r="K179" s="70" t="n">
        <v>0</v>
      </c>
      <c r="L179" s="84"/>
      <c r="M179" s="84"/>
      <c r="N179" s="18"/>
      <c r="O179" s="84"/>
      <c r="P179" s="18"/>
      <c r="Q179" s="67" t="str">
        <f aca="false">IF(OR($C179="",ROUND(N($H179),2)=0),"",$L179)</f>
        <v/>
      </c>
      <c r="R179" s="70" t="str">
        <f aca="false">IF($Q179="","",ROUND(N($H179),2))</f>
        <v/>
      </c>
      <c r="S179" s="70" t="str">
        <f aca="false">IF($Q179="","",0)</f>
        <v/>
      </c>
      <c r="T179" s="67" t="str">
        <f aca="false">""</f>
        <v/>
      </c>
      <c r="U179" s="70" t="str">
        <f aca="false">IF($T179="","",0)</f>
        <v/>
      </c>
      <c r="V179" s="70" t="str">
        <f aca="false">IF($T179="","",0)</f>
        <v/>
      </c>
      <c r="W179" s="67" t="str">
        <f aca="false">IF($Q179="","","应付账款")</f>
        <v/>
      </c>
      <c r="X179" s="70" t="str">
        <f aca="false">IF($W179="","",0)</f>
        <v/>
      </c>
      <c r="Y179" s="70" t="str">
        <f aca="false">IF($W179="","",ROUND(N($H179),2))</f>
        <v/>
      </c>
      <c r="Z179" s="42"/>
      <c r="AA179" s="44"/>
      <c r="AB179" s="41" t="str">
        <f aca="false">IF($C179="","",ROUND(N($H179)-N($AA179),2))</f>
        <v/>
      </c>
      <c r="AC179" s="9" t="str">
        <f aca="false">IF($B179="","",TEXT($B179,"yyyy年m月"))</f>
        <v/>
      </c>
    </row>
    <row r="180" customFormat="false" ht="18" hidden="false" customHeight="true" outlineLevel="0" collapsed="false">
      <c r="A180" s="107" t="str">
        <f aca="false">IF($C180="","",ROW()-3)</f>
        <v/>
      </c>
      <c r="B180" s="108"/>
      <c r="C180" s="84"/>
      <c r="D180" s="84"/>
      <c r="E180" s="18"/>
      <c r="F180" s="109"/>
      <c r="G180" s="109"/>
      <c r="H180" s="70" t="str">
        <f aca="false">IF($C180="","",ROUND(N($F180)*N($G180),2))</f>
        <v/>
      </c>
      <c r="I180" s="84" t="s">
        <v>266</v>
      </c>
      <c r="J180" s="70" t="str">
        <f aca="false">IF($C180="","",ROUND(N($H180),2))</f>
        <v/>
      </c>
      <c r="K180" s="70" t="n">
        <v>0</v>
      </c>
      <c r="L180" s="84"/>
      <c r="M180" s="84"/>
      <c r="N180" s="18"/>
      <c r="O180" s="84"/>
      <c r="P180" s="18"/>
      <c r="Q180" s="67" t="str">
        <f aca="false">IF(OR($C180="",ROUND(N($H180),2)=0),"",$L180)</f>
        <v/>
      </c>
      <c r="R180" s="70" t="str">
        <f aca="false">IF($Q180="","",ROUND(N($H180),2))</f>
        <v/>
      </c>
      <c r="S180" s="70" t="str">
        <f aca="false">IF($Q180="","",0)</f>
        <v/>
      </c>
      <c r="T180" s="67" t="str">
        <f aca="false">""</f>
        <v/>
      </c>
      <c r="U180" s="70" t="str">
        <f aca="false">IF($T180="","",0)</f>
        <v/>
      </c>
      <c r="V180" s="70" t="str">
        <f aca="false">IF($T180="","",0)</f>
        <v/>
      </c>
      <c r="W180" s="67" t="str">
        <f aca="false">IF($Q180="","","应付账款")</f>
        <v/>
      </c>
      <c r="X180" s="70" t="str">
        <f aca="false">IF($W180="","",0)</f>
        <v/>
      </c>
      <c r="Y180" s="70" t="str">
        <f aca="false">IF($W180="","",ROUND(N($H180),2))</f>
        <v/>
      </c>
      <c r="Z180" s="42"/>
      <c r="AA180" s="44"/>
      <c r="AB180" s="41" t="str">
        <f aca="false">IF($C180="","",ROUND(N($H180)-N($AA180),2))</f>
        <v/>
      </c>
      <c r="AC180" s="9" t="str">
        <f aca="false">IF($B180="","",TEXT($B180,"yyyy年m月"))</f>
        <v/>
      </c>
    </row>
    <row r="181" customFormat="false" ht="18" hidden="false" customHeight="true" outlineLevel="0" collapsed="false">
      <c r="A181" s="107" t="str">
        <f aca="false">IF($C181="","",ROW()-3)</f>
        <v/>
      </c>
      <c r="B181" s="108"/>
      <c r="C181" s="84"/>
      <c r="D181" s="84"/>
      <c r="E181" s="18"/>
      <c r="F181" s="109"/>
      <c r="G181" s="109"/>
      <c r="H181" s="70" t="str">
        <f aca="false">IF($C181="","",ROUND(N($F181)*N($G181),2))</f>
        <v/>
      </c>
      <c r="I181" s="84" t="s">
        <v>266</v>
      </c>
      <c r="J181" s="70" t="str">
        <f aca="false">IF($C181="","",ROUND(N($H181),2))</f>
        <v/>
      </c>
      <c r="K181" s="70" t="n">
        <v>0</v>
      </c>
      <c r="L181" s="84"/>
      <c r="M181" s="84"/>
      <c r="N181" s="18"/>
      <c r="O181" s="84"/>
      <c r="P181" s="18"/>
      <c r="Q181" s="67" t="str">
        <f aca="false">IF(OR($C181="",ROUND(N($H181),2)=0),"",$L181)</f>
        <v/>
      </c>
      <c r="R181" s="70" t="str">
        <f aca="false">IF($Q181="","",ROUND(N($H181),2))</f>
        <v/>
      </c>
      <c r="S181" s="70" t="str">
        <f aca="false">IF($Q181="","",0)</f>
        <v/>
      </c>
      <c r="T181" s="67" t="str">
        <f aca="false">""</f>
        <v/>
      </c>
      <c r="U181" s="70" t="str">
        <f aca="false">IF($T181="","",0)</f>
        <v/>
      </c>
      <c r="V181" s="70" t="str">
        <f aca="false">IF($T181="","",0)</f>
        <v/>
      </c>
      <c r="W181" s="67" t="str">
        <f aca="false">IF($Q181="","","应付账款")</f>
        <v/>
      </c>
      <c r="X181" s="70" t="str">
        <f aca="false">IF($W181="","",0)</f>
        <v/>
      </c>
      <c r="Y181" s="70" t="str">
        <f aca="false">IF($W181="","",ROUND(N($H181),2))</f>
        <v/>
      </c>
      <c r="Z181" s="42"/>
      <c r="AA181" s="44"/>
      <c r="AB181" s="41" t="str">
        <f aca="false">IF($C181="","",ROUND(N($H181)-N($AA181),2))</f>
        <v/>
      </c>
      <c r="AC181" s="9" t="str">
        <f aca="false">IF($B181="","",TEXT($B181,"yyyy年m月"))</f>
        <v/>
      </c>
    </row>
    <row r="182" customFormat="false" ht="18" hidden="false" customHeight="true" outlineLevel="0" collapsed="false">
      <c r="A182" s="107" t="str">
        <f aca="false">IF($C182="","",ROW()-3)</f>
        <v/>
      </c>
      <c r="B182" s="108"/>
      <c r="C182" s="84"/>
      <c r="D182" s="84"/>
      <c r="E182" s="18"/>
      <c r="F182" s="109"/>
      <c r="G182" s="109"/>
      <c r="H182" s="70" t="str">
        <f aca="false">IF($C182="","",ROUND(N($F182)*N($G182),2))</f>
        <v/>
      </c>
      <c r="I182" s="84" t="s">
        <v>266</v>
      </c>
      <c r="J182" s="70" t="str">
        <f aca="false">IF($C182="","",ROUND(N($H182),2))</f>
        <v/>
      </c>
      <c r="K182" s="70" t="n">
        <v>0</v>
      </c>
      <c r="L182" s="84"/>
      <c r="M182" s="84"/>
      <c r="N182" s="18"/>
      <c r="O182" s="84"/>
      <c r="P182" s="18"/>
      <c r="Q182" s="67" t="str">
        <f aca="false">IF(OR($C182="",ROUND(N($H182),2)=0),"",$L182)</f>
        <v/>
      </c>
      <c r="R182" s="70" t="str">
        <f aca="false">IF($Q182="","",ROUND(N($H182),2))</f>
        <v/>
      </c>
      <c r="S182" s="70" t="str">
        <f aca="false">IF($Q182="","",0)</f>
        <v/>
      </c>
      <c r="T182" s="67" t="str">
        <f aca="false">""</f>
        <v/>
      </c>
      <c r="U182" s="70" t="str">
        <f aca="false">IF($T182="","",0)</f>
        <v/>
      </c>
      <c r="V182" s="70" t="str">
        <f aca="false">IF($T182="","",0)</f>
        <v/>
      </c>
      <c r="W182" s="67" t="str">
        <f aca="false">IF($Q182="","","应付账款")</f>
        <v/>
      </c>
      <c r="X182" s="70" t="str">
        <f aca="false">IF($W182="","",0)</f>
        <v/>
      </c>
      <c r="Y182" s="70" t="str">
        <f aca="false">IF($W182="","",ROUND(N($H182),2))</f>
        <v/>
      </c>
      <c r="Z182" s="42"/>
      <c r="AA182" s="44"/>
      <c r="AB182" s="41" t="str">
        <f aca="false">IF($C182="","",ROUND(N($H182)-N($AA182),2))</f>
        <v/>
      </c>
      <c r="AC182" s="9" t="str">
        <f aca="false">IF($B182="","",TEXT($B182,"yyyy年m月"))</f>
        <v/>
      </c>
    </row>
    <row r="183" customFormat="false" ht="18" hidden="false" customHeight="true" outlineLevel="0" collapsed="false">
      <c r="A183" s="107" t="str">
        <f aca="false">IF($C183="","",ROW()-3)</f>
        <v/>
      </c>
      <c r="B183" s="108"/>
      <c r="C183" s="84"/>
      <c r="D183" s="84"/>
      <c r="E183" s="18"/>
      <c r="F183" s="109"/>
      <c r="G183" s="109"/>
      <c r="H183" s="70" t="str">
        <f aca="false">IF($C183="","",ROUND(N($F183)*N($G183),2))</f>
        <v/>
      </c>
      <c r="I183" s="84" t="s">
        <v>266</v>
      </c>
      <c r="J183" s="70" t="str">
        <f aca="false">IF($C183="","",ROUND(N($H183),2))</f>
        <v/>
      </c>
      <c r="K183" s="70" t="n">
        <v>0</v>
      </c>
      <c r="L183" s="84"/>
      <c r="M183" s="84"/>
      <c r="N183" s="18"/>
      <c r="O183" s="84"/>
      <c r="P183" s="18"/>
      <c r="Q183" s="67" t="str">
        <f aca="false">IF(OR($C183="",ROUND(N($H183),2)=0),"",$L183)</f>
        <v/>
      </c>
      <c r="R183" s="70" t="str">
        <f aca="false">IF($Q183="","",ROUND(N($H183),2))</f>
        <v/>
      </c>
      <c r="S183" s="70" t="str">
        <f aca="false">IF($Q183="","",0)</f>
        <v/>
      </c>
      <c r="T183" s="67" t="str">
        <f aca="false">""</f>
        <v/>
      </c>
      <c r="U183" s="70" t="str">
        <f aca="false">IF($T183="","",0)</f>
        <v/>
      </c>
      <c r="V183" s="70" t="str">
        <f aca="false">IF($T183="","",0)</f>
        <v/>
      </c>
      <c r="W183" s="67" t="str">
        <f aca="false">IF($Q183="","","应付账款")</f>
        <v/>
      </c>
      <c r="X183" s="70" t="str">
        <f aca="false">IF($W183="","",0)</f>
        <v/>
      </c>
      <c r="Y183" s="70" t="str">
        <f aca="false">IF($W183="","",ROUND(N($H183),2))</f>
        <v/>
      </c>
      <c r="Z183" s="42"/>
      <c r="AA183" s="44"/>
      <c r="AB183" s="41" t="str">
        <f aca="false">IF($C183="","",ROUND(N($H183)-N($AA183),2))</f>
        <v/>
      </c>
      <c r="AC183" s="9" t="str">
        <f aca="false">IF($B183="","",TEXT($B183,"yyyy年m月"))</f>
        <v/>
      </c>
    </row>
    <row r="184" customFormat="false" ht="18" hidden="false" customHeight="true" outlineLevel="0" collapsed="false">
      <c r="A184" s="107" t="str">
        <f aca="false">IF($C184="","",ROW()-3)</f>
        <v/>
      </c>
      <c r="B184" s="108"/>
      <c r="C184" s="84"/>
      <c r="D184" s="84"/>
      <c r="E184" s="18"/>
      <c r="F184" s="109"/>
      <c r="G184" s="109"/>
      <c r="H184" s="70" t="str">
        <f aca="false">IF($C184="","",ROUND(N($F184)*N($G184),2))</f>
        <v/>
      </c>
      <c r="I184" s="84" t="s">
        <v>266</v>
      </c>
      <c r="J184" s="70" t="str">
        <f aca="false">IF($C184="","",ROUND(N($H184),2))</f>
        <v/>
      </c>
      <c r="K184" s="70" t="n">
        <v>0</v>
      </c>
      <c r="L184" s="84"/>
      <c r="M184" s="84"/>
      <c r="N184" s="18"/>
      <c r="O184" s="84"/>
      <c r="P184" s="18"/>
      <c r="Q184" s="67" t="str">
        <f aca="false">IF(OR($C184="",ROUND(N($H184),2)=0),"",$L184)</f>
        <v/>
      </c>
      <c r="R184" s="70" t="str">
        <f aca="false">IF($Q184="","",ROUND(N($H184),2))</f>
        <v/>
      </c>
      <c r="S184" s="70" t="str">
        <f aca="false">IF($Q184="","",0)</f>
        <v/>
      </c>
      <c r="T184" s="67" t="str">
        <f aca="false">""</f>
        <v/>
      </c>
      <c r="U184" s="70" t="str">
        <f aca="false">IF($T184="","",0)</f>
        <v/>
      </c>
      <c r="V184" s="70" t="str">
        <f aca="false">IF($T184="","",0)</f>
        <v/>
      </c>
      <c r="W184" s="67" t="str">
        <f aca="false">IF($Q184="","","应付账款")</f>
        <v/>
      </c>
      <c r="X184" s="70" t="str">
        <f aca="false">IF($W184="","",0)</f>
        <v/>
      </c>
      <c r="Y184" s="70" t="str">
        <f aca="false">IF($W184="","",ROUND(N($H184),2))</f>
        <v/>
      </c>
      <c r="Z184" s="42"/>
      <c r="AA184" s="44"/>
      <c r="AB184" s="41" t="str">
        <f aca="false">IF($C184="","",ROUND(N($H184)-N($AA184),2))</f>
        <v/>
      </c>
      <c r="AC184" s="9" t="str">
        <f aca="false">IF($B184="","",TEXT($B184,"yyyy年m月"))</f>
        <v/>
      </c>
    </row>
    <row r="185" customFormat="false" ht="18" hidden="false" customHeight="true" outlineLevel="0" collapsed="false">
      <c r="A185" s="107" t="str">
        <f aca="false">IF($C185="","",ROW()-3)</f>
        <v/>
      </c>
      <c r="B185" s="108"/>
      <c r="C185" s="84"/>
      <c r="D185" s="84"/>
      <c r="E185" s="18"/>
      <c r="F185" s="109"/>
      <c r="G185" s="109"/>
      <c r="H185" s="70" t="str">
        <f aca="false">IF($C185="","",ROUND(N($F185)*N($G185),2))</f>
        <v/>
      </c>
      <c r="I185" s="84" t="s">
        <v>266</v>
      </c>
      <c r="J185" s="70" t="str">
        <f aca="false">IF($C185="","",ROUND(N($H185),2))</f>
        <v/>
      </c>
      <c r="K185" s="70" t="n">
        <v>0</v>
      </c>
      <c r="L185" s="84"/>
      <c r="M185" s="84"/>
      <c r="N185" s="18"/>
      <c r="O185" s="84"/>
      <c r="P185" s="18"/>
      <c r="Q185" s="67" t="str">
        <f aca="false">IF(OR($C185="",ROUND(N($H185),2)=0),"",$L185)</f>
        <v/>
      </c>
      <c r="R185" s="70" t="str">
        <f aca="false">IF($Q185="","",ROUND(N($H185),2))</f>
        <v/>
      </c>
      <c r="S185" s="70" t="str">
        <f aca="false">IF($Q185="","",0)</f>
        <v/>
      </c>
      <c r="T185" s="67" t="str">
        <f aca="false">""</f>
        <v/>
      </c>
      <c r="U185" s="70" t="str">
        <f aca="false">IF($T185="","",0)</f>
        <v/>
      </c>
      <c r="V185" s="70" t="str">
        <f aca="false">IF($T185="","",0)</f>
        <v/>
      </c>
      <c r="W185" s="67" t="str">
        <f aca="false">IF($Q185="","","应付账款")</f>
        <v/>
      </c>
      <c r="X185" s="70" t="str">
        <f aca="false">IF($W185="","",0)</f>
        <v/>
      </c>
      <c r="Y185" s="70" t="str">
        <f aca="false">IF($W185="","",ROUND(N($H185),2))</f>
        <v/>
      </c>
      <c r="Z185" s="42"/>
      <c r="AA185" s="44"/>
      <c r="AB185" s="41" t="str">
        <f aca="false">IF($C185="","",ROUND(N($H185)-N($AA185),2))</f>
        <v/>
      </c>
      <c r="AC185" s="9" t="str">
        <f aca="false">IF($B185="","",TEXT($B185,"yyyy年m月"))</f>
        <v/>
      </c>
    </row>
    <row r="186" customFormat="false" ht="18" hidden="false" customHeight="true" outlineLevel="0" collapsed="false">
      <c r="A186" s="107" t="str">
        <f aca="false">IF($C186="","",ROW()-3)</f>
        <v/>
      </c>
      <c r="B186" s="108"/>
      <c r="C186" s="84"/>
      <c r="D186" s="84"/>
      <c r="E186" s="18"/>
      <c r="F186" s="109"/>
      <c r="G186" s="109"/>
      <c r="H186" s="70" t="str">
        <f aca="false">IF($C186="","",ROUND(N($F186)*N($G186),2))</f>
        <v/>
      </c>
      <c r="I186" s="84" t="s">
        <v>266</v>
      </c>
      <c r="J186" s="70" t="str">
        <f aca="false">IF($C186="","",ROUND(N($H186),2))</f>
        <v/>
      </c>
      <c r="K186" s="70" t="n">
        <v>0</v>
      </c>
      <c r="L186" s="84"/>
      <c r="M186" s="84"/>
      <c r="N186" s="18"/>
      <c r="O186" s="84"/>
      <c r="P186" s="18"/>
      <c r="Q186" s="67" t="str">
        <f aca="false">IF(OR($C186="",ROUND(N($H186),2)=0),"",$L186)</f>
        <v/>
      </c>
      <c r="R186" s="70" t="str">
        <f aca="false">IF($Q186="","",ROUND(N($H186),2))</f>
        <v/>
      </c>
      <c r="S186" s="70" t="str">
        <f aca="false">IF($Q186="","",0)</f>
        <v/>
      </c>
      <c r="T186" s="67" t="str">
        <f aca="false">""</f>
        <v/>
      </c>
      <c r="U186" s="70" t="str">
        <f aca="false">IF($T186="","",0)</f>
        <v/>
      </c>
      <c r="V186" s="70" t="str">
        <f aca="false">IF($T186="","",0)</f>
        <v/>
      </c>
      <c r="W186" s="67" t="str">
        <f aca="false">IF($Q186="","","应付账款")</f>
        <v/>
      </c>
      <c r="X186" s="70" t="str">
        <f aca="false">IF($W186="","",0)</f>
        <v/>
      </c>
      <c r="Y186" s="70" t="str">
        <f aca="false">IF($W186="","",ROUND(N($H186),2))</f>
        <v/>
      </c>
      <c r="Z186" s="42"/>
      <c r="AA186" s="44"/>
      <c r="AB186" s="41" t="str">
        <f aca="false">IF($C186="","",ROUND(N($H186)-N($AA186),2))</f>
        <v/>
      </c>
      <c r="AC186" s="9" t="str">
        <f aca="false">IF($B186="","",TEXT($B186,"yyyy年m月"))</f>
        <v/>
      </c>
    </row>
    <row r="187" customFormat="false" ht="18" hidden="false" customHeight="true" outlineLevel="0" collapsed="false">
      <c r="A187" s="107" t="str">
        <f aca="false">IF($C187="","",ROW()-3)</f>
        <v/>
      </c>
      <c r="B187" s="108"/>
      <c r="C187" s="84"/>
      <c r="D187" s="84"/>
      <c r="E187" s="18"/>
      <c r="F187" s="109"/>
      <c r="G187" s="109"/>
      <c r="H187" s="70" t="str">
        <f aca="false">IF($C187="","",ROUND(N($F187)*N($G187),2))</f>
        <v/>
      </c>
      <c r="I187" s="84" t="s">
        <v>266</v>
      </c>
      <c r="J187" s="70" t="str">
        <f aca="false">IF($C187="","",ROUND(N($H187),2))</f>
        <v/>
      </c>
      <c r="K187" s="70" t="n">
        <v>0</v>
      </c>
      <c r="L187" s="84"/>
      <c r="M187" s="84"/>
      <c r="N187" s="18"/>
      <c r="O187" s="84"/>
      <c r="P187" s="18"/>
      <c r="Q187" s="67" t="str">
        <f aca="false">IF(OR($C187="",ROUND(N($H187),2)=0),"",$L187)</f>
        <v/>
      </c>
      <c r="R187" s="70" t="str">
        <f aca="false">IF($Q187="","",ROUND(N($H187),2))</f>
        <v/>
      </c>
      <c r="S187" s="70" t="str">
        <f aca="false">IF($Q187="","",0)</f>
        <v/>
      </c>
      <c r="T187" s="67" t="str">
        <f aca="false">""</f>
        <v/>
      </c>
      <c r="U187" s="70" t="str">
        <f aca="false">IF($T187="","",0)</f>
        <v/>
      </c>
      <c r="V187" s="70" t="str">
        <f aca="false">IF($T187="","",0)</f>
        <v/>
      </c>
      <c r="W187" s="67" t="str">
        <f aca="false">IF($Q187="","","应付账款")</f>
        <v/>
      </c>
      <c r="X187" s="70" t="str">
        <f aca="false">IF($W187="","",0)</f>
        <v/>
      </c>
      <c r="Y187" s="70" t="str">
        <f aca="false">IF($W187="","",ROUND(N($H187),2))</f>
        <v/>
      </c>
      <c r="Z187" s="42"/>
      <c r="AA187" s="44"/>
      <c r="AB187" s="41" t="str">
        <f aca="false">IF($C187="","",ROUND(N($H187)-N($AA187),2))</f>
        <v/>
      </c>
      <c r="AC187" s="9" t="str">
        <f aca="false">IF($B187="","",TEXT($B187,"yyyy年m月"))</f>
        <v/>
      </c>
    </row>
    <row r="188" customFormat="false" ht="18" hidden="false" customHeight="true" outlineLevel="0" collapsed="false">
      <c r="A188" s="107" t="str">
        <f aca="false">IF($C188="","",ROW()-3)</f>
        <v/>
      </c>
      <c r="B188" s="108"/>
      <c r="C188" s="84"/>
      <c r="D188" s="84"/>
      <c r="E188" s="18"/>
      <c r="F188" s="109"/>
      <c r="G188" s="109"/>
      <c r="H188" s="70" t="str">
        <f aca="false">IF($C188="","",ROUND(N($F188)*N($G188),2))</f>
        <v/>
      </c>
      <c r="I188" s="84" t="s">
        <v>266</v>
      </c>
      <c r="J188" s="70" t="str">
        <f aca="false">IF($C188="","",ROUND(N($H188),2))</f>
        <v/>
      </c>
      <c r="K188" s="70" t="n">
        <v>0</v>
      </c>
      <c r="L188" s="84"/>
      <c r="M188" s="84"/>
      <c r="N188" s="18"/>
      <c r="O188" s="84"/>
      <c r="P188" s="18"/>
      <c r="Q188" s="67" t="str">
        <f aca="false">IF(OR($C188="",ROUND(N($H188),2)=0),"",$L188)</f>
        <v/>
      </c>
      <c r="R188" s="70" t="str">
        <f aca="false">IF($Q188="","",ROUND(N($H188),2))</f>
        <v/>
      </c>
      <c r="S188" s="70" t="str">
        <f aca="false">IF($Q188="","",0)</f>
        <v/>
      </c>
      <c r="T188" s="67" t="str">
        <f aca="false">""</f>
        <v/>
      </c>
      <c r="U188" s="70" t="str">
        <f aca="false">IF($T188="","",0)</f>
        <v/>
      </c>
      <c r="V188" s="70" t="str">
        <f aca="false">IF($T188="","",0)</f>
        <v/>
      </c>
      <c r="W188" s="67" t="str">
        <f aca="false">IF($Q188="","","应付账款")</f>
        <v/>
      </c>
      <c r="X188" s="70" t="str">
        <f aca="false">IF($W188="","",0)</f>
        <v/>
      </c>
      <c r="Y188" s="70" t="str">
        <f aca="false">IF($W188="","",ROUND(N($H188),2))</f>
        <v/>
      </c>
      <c r="Z188" s="42"/>
      <c r="AA188" s="44"/>
      <c r="AB188" s="41" t="str">
        <f aca="false">IF($C188="","",ROUND(N($H188)-N($AA188),2))</f>
        <v/>
      </c>
      <c r="AC188" s="9" t="str">
        <f aca="false">IF($B188="","",TEXT($B188,"yyyy年m月"))</f>
        <v/>
      </c>
    </row>
    <row r="189" customFormat="false" ht="18" hidden="false" customHeight="true" outlineLevel="0" collapsed="false">
      <c r="A189" s="107" t="str">
        <f aca="false">IF($C189="","",ROW()-3)</f>
        <v/>
      </c>
      <c r="B189" s="108"/>
      <c r="C189" s="84"/>
      <c r="D189" s="84"/>
      <c r="E189" s="18"/>
      <c r="F189" s="109"/>
      <c r="G189" s="109"/>
      <c r="H189" s="70" t="str">
        <f aca="false">IF($C189="","",ROUND(N($F189)*N($G189),2))</f>
        <v/>
      </c>
      <c r="I189" s="84" t="s">
        <v>266</v>
      </c>
      <c r="J189" s="70" t="str">
        <f aca="false">IF($C189="","",ROUND(N($H189),2))</f>
        <v/>
      </c>
      <c r="K189" s="70" t="n">
        <v>0</v>
      </c>
      <c r="L189" s="84"/>
      <c r="M189" s="84"/>
      <c r="N189" s="18"/>
      <c r="O189" s="84"/>
      <c r="P189" s="18"/>
      <c r="Q189" s="67" t="str">
        <f aca="false">IF(OR($C189="",ROUND(N($H189),2)=0),"",$L189)</f>
        <v/>
      </c>
      <c r="R189" s="70" t="str">
        <f aca="false">IF($Q189="","",ROUND(N($H189),2))</f>
        <v/>
      </c>
      <c r="S189" s="70" t="str">
        <f aca="false">IF($Q189="","",0)</f>
        <v/>
      </c>
      <c r="T189" s="67" t="str">
        <f aca="false">""</f>
        <v/>
      </c>
      <c r="U189" s="70" t="str">
        <f aca="false">IF($T189="","",0)</f>
        <v/>
      </c>
      <c r="V189" s="70" t="str">
        <f aca="false">IF($T189="","",0)</f>
        <v/>
      </c>
      <c r="W189" s="67" t="str">
        <f aca="false">IF($Q189="","","应付账款")</f>
        <v/>
      </c>
      <c r="X189" s="70" t="str">
        <f aca="false">IF($W189="","",0)</f>
        <v/>
      </c>
      <c r="Y189" s="70" t="str">
        <f aca="false">IF($W189="","",ROUND(N($H189),2))</f>
        <v/>
      </c>
      <c r="Z189" s="42"/>
      <c r="AA189" s="44"/>
      <c r="AB189" s="41" t="str">
        <f aca="false">IF($C189="","",ROUND(N($H189)-N($AA189),2))</f>
        <v/>
      </c>
      <c r="AC189" s="9" t="str">
        <f aca="false">IF($B189="","",TEXT($B189,"yyyy年m月"))</f>
        <v/>
      </c>
    </row>
    <row r="190" customFormat="false" ht="18" hidden="false" customHeight="true" outlineLevel="0" collapsed="false">
      <c r="A190" s="107" t="str">
        <f aca="false">IF($C190="","",ROW()-3)</f>
        <v/>
      </c>
      <c r="B190" s="108"/>
      <c r="C190" s="84"/>
      <c r="D190" s="84"/>
      <c r="E190" s="18"/>
      <c r="F190" s="109"/>
      <c r="G190" s="109"/>
      <c r="H190" s="70" t="str">
        <f aca="false">IF($C190="","",ROUND(N($F190)*N($G190),2))</f>
        <v/>
      </c>
      <c r="I190" s="84" t="s">
        <v>266</v>
      </c>
      <c r="J190" s="70" t="str">
        <f aca="false">IF($C190="","",ROUND(N($H190),2))</f>
        <v/>
      </c>
      <c r="K190" s="70" t="n">
        <v>0</v>
      </c>
      <c r="L190" s="84"/>
      <c r="M190" s="84"/>
      <c r="N190" s="18"/>
      <c r="O190" s="84"/>
      <c r="P190" s="18"/>
      <c r="Q190" s="67" t="str">
        <f aca="false">IF(OR($C190="",ROUND(N($H190),2)=0),"",$L190)</f>
        <v/>
      </c>
      <c r="R190" s="70" t="str">
        <f aca="false">IF($Q190="","",ROUND(N($H190),2))</f>
        <v/>
      </c>
      <c r="S190" s="70" t="str">
        <f aca="false">IF($Q190="","",0)</f>
        <v/>
      </c>
      <c r="T190" s="67" t="str">
        <f aca="false">""</f>
        <v/>
      </c>
      <c r="U190" s="70" t="str">
        <f aca="false">IF($T190="","",0)</f>
        <v/>
      </c>
      <c r="V190" s="70" t="str">
        <f aca="false">IF($T190="","",0)</f>
        <v/>
      </c>
      <c r="W190" s="67" t="str">
        <f aca="false">IF($Q190="","","应付账款")</f>
        <v/>
      </c>
      <c r="X190" s="70" t="str">
        <f aca="false">IF($W190="","",0)</f>
        <v/>
      </c>
      <c r="Y190" s="70" t="str">
        <f aca="false">IF($W190="","",ROUND(N($H190),2))</f>
        <v/>
      </c>
      <c r="Z190" s="42"/>
      <c r="AA190" s="44"/>
      <c r="AB190" s="41" t="str">
        <f aca="false">IF($C190="","",ROUND(N($H190)-N($AA190),2))</f>
        <v/>
      </c>
      <c r="AC190" s="9" t="str">
        <f aca="false">IF($B190="","",TEXT($B190,"yyyy年m月"))</f>
        <v/>
      </c>
    </row>
    <row r="191" customFormat="false" ht="18" hidden="false" customHeight="true" outlineLevel="0" collapsed="false">
      <c r="A191" s="107" t="str">
        <f aca="false">IF($C191="","",ROW()-3)</f>
        <v/>
      </c>
      <c r="B191" s="108"/>
      <c r="C191" s="84"/>
      <c r="D191" s="84"/>
      <c r="E191" s="18"/>
      <c r="F191" s="109"/>
      <c r="G191" s="109"/>
      <c r="H191" s="70" t="str">
        <f aca="false">IF($C191="","",ROUND(N($F191)*N($G191),2))</f>
        <v/>
      </c>
      <c r="I191" s="84" t="s">
        <v>266</v>
      </c>
      <c r="J191" s="70" t="str">
        <f aca="false">IF($C191="","",ROUND(N($H191),2))</f>
        <v/>
      </c>
      <c r="K191" s="70" t="n">
        <v>0</v>
      </c>
      <c r="L191" s="84"/>
      <c r="M191" s="84"/>
      <c r="N191" s="18"/>
      <c r="O191" s="84"/>
      <c r="P191" s="18"/>
      <c r="Q191" s="67" t="str">
        <f aca="false">IF(OR($C191="",ROUND(N($H191),2)=0),"",$L191)</f>
        <v/>
      </c>
      <c r="R191" s="70" t="str">
        <f aca="false">IF($Q191="","",ROUND(N($H191),2))</f>
        <v/>
      </c>
      <c r="S191" s="70" t="str">
        <f aca="false">IF($Q191="","",0)</f>
        <v/>
      </c>
      <c r="T191" s="67" t="str">
        <f aca="false">""</f>
        <v/>
      </c>
      <c r="U191" s="70" t="str">
        <f aca="false">IF($T191="","",0)</f>
        <v/>
      </c>
      <c r="V191" s="70" t="str">
        <f aca="false">IF($T191="","",0)</f>
        <v/>
      </c>
      <c r="W191" s="67" t="str">
        <f aca="false">IF($Q191="","","应付账款")</f>
        <v/>
      </c>
      <c r="X191" s="70" t="str">
        <f aca="false">IF($W191="","",0)</f>
        <v/>
      </c>
      <c r="Y191" s="70" t="str">
        <f aca="false">IF($W191="","",ROUND(N($H191),2))</f>
        <v/>
      </c>
      <c r="Z191" s="42"/>
      <c r="AA191" s="44"/>
      <c r="AB191" s="41" t="str">
        <f aca="false">IF($C191="","",ROUND(N($H191)-N($AA191),2))</f>
        <v/>
      </c>
      <c r="AC191" s="9" t="str">
        <f aca="false">IF($B191="","",TEXT($B191,"yyyy年m月"))</f>
        <v/>
      </c>
    </row>
    <row r="192" customFormat="false" ht="18" hidden="false" customHeight="true" outlineLevel="0" collapsed="false">
      <c r="A192" s="107" t="str">
        <f aca="false">IF($C192="","",ROW()-3)</f>
        <v/>
      </c>
      <c r="B192" s="108"/>
      <c r="C192" s="84"/>
      <c r="D192" s="84"/>
      <c r="E192" s="18"/>
      <c r="F192" s="109"/>
      <c r="G192" s="109"/>
      <c r="H192" s="70" t="str">
        <f aca="false">IF($C192="","",ROUND(N($F192)*N($G192),2))</f>
        <v/>
      </c>
      <c r="I192" s="84" t="s">
        <v>266</v>
      </c>
      <c r="J192" s="70" t="str">
        <f aca="false">IF($C192="","",ROUND(N($H192),2))</f>
        <v/>
      </c>
      <c r="K192" s="70" t="n">
        <v>0</v>
      </c>
      <c r="L192" s="84"/>
      <c r="M192" s="84"/>
      <c r="N192" s="18"/>
      <c r="O192" s="84"/>
      <c r="P192" s="18"/>
      <c r="Q192" s="67" t="str">
        <f aca="false">IF(OR($C192="",ROUND(N($H192),2)=0),"",$L192)</f>
        <v/>
      </c>
      <c r="R192" s="70" t="str">
        <f aca="false">IF($Q192="","",ROUND(N($H192),2))</f>
        <v/>
      </c>
      <c r="S192" s="70" t="str">
        <f aca="false">IF($Q192="","",0)</f>
        <v/>
      </c>
      <c r="T192" s="67" t="str">
        <f aca="false">""</f>
        <v/>
      </c>
      <c r="U192" s="70" t="str">
        <f aca="false">IF($T192="","",0)</f>
        <v/>
      </c>
      <c r="V192" s="70" t="str">
        <f aca="false">IF($T192="","",0)</f>
        <v/>
      </c>
      <c r="W192" s="67" t="str">
        <f aca="false">IF($Q192="","","应付账款")</f>
        <v/>
      </c>
      <c r="X192" s="70" t="str">
        <f aca="false">IF($W192="","",0)</f>
        <v/>
      </c>
      <c r="Y192" s="70" t="str">
        <f aca="false">IF($W192="","",ROUND(N($H192),2))</f>
        <v/>
      </c>
      <c r="Z192" s="42"/>
      <c r="AA192" s="44"/>
      <c r="AB192" s="41" t="str">
        <f aca="false">IF($C192="","",ROUND(N($H192)-N($AA192),2))</f>
        <v/>
      </c>
      <c r="AC192" s="9" t="str">
        <f aca="false">IF($B192="","",TEXT($B192,"yyyy年m月"))</f>
        <v/>
      </c>
    </row>
    <row r="193" customFormat="false" ht="18" hidden="false" customHeight="true" outlineLevel="0" collapsed="false">
      <c r="A193" s="107" t="str">
        <f aca="false">IF($C193="","",ROW()-3)</f>
        <v/>
      </c>
      <c r="B193" s="108"/>
      <c r="C193" s="84"/>
      <c r="D193" s="84"/>
      <c r="E193" s="18"/>
      <c r="F193" s="109"/>
      <c r="G193" s="109"/>
      <c r="H193" s="70" t="str">
        <f aca="false">IF($C193="","",ROUND(N($F193)*N($G193),2))</f>
        <v/>
      </c>
      <c r="I193" s="84" t="s">
        <v>266</v>
      </c>
      <c r="J193" s="70" t="str">
        <f aca="false">IF($C193="","",ROUND(N($H193),2))</f>
        <v/>
      </c>
      <c r="K193" s="70" t="n">
        <v>0</v>
      </c>
      <c r="L193" s="84"/>
      <c r="M193" s="84"/>
      <c r="N193" s="18"/>
      <c r="O193" s="84"/>
      <c r="P193" s="18"/>
      <c r="Q193" s="67" t="str">
        <f aca="false">IF(OR($C193="",ROUND(N($H193),2)=0),"",$L193)</f>
        <v/>
      </c>
      <c r="R193" s="70" t="str">
        <f aca="false">IF($Q193="","",ROUND(N($H193),2))</f>
        <v/>
      </c>
      <c r="S193" s="70" t="str">
        <f aca="false">IF($Q193="","",0)</f>
        <v/>
      </c>
      <c r="T193" s="67" t="str">
        <f aca="false">""</f>
        <v/>
      </c>
      <c r="U193" s="70" t="str">
        <f aca="false">IF($T193="","",0)</f>
        <v/>
      </c>
      <c r="V193" s="70" t="str">
        <f aca="false">IF($T193="","",0)</f>
        <v/>
      </c>
      <c r="W193" s="67" t="str">
        <f aca="false">IF($Q193="","","应付账款")</f>
        <v/>
      </c>
      <c r="X193" s="70" t="str">
        <f aca="false">IF($W193="","",0)</f>
        <v/>
      </c>
      <c r="Y193" s="70" t="str">
        <f aca="false">IF($W193="","",ROUND(N($H193),2))</f>
        <v/>
      </c>
      <c r="Z193" s="42"/>
      <c r="AA193" s="44"/>
      <c r="AB193" s="41" t="str">
        <f aca="false">IF($C193="","",ROUND(N($H193)-N($AA193),2))</f>
        <v/>
      </c>
      <c r="AC193" s="9" t="str">
        <f aca="false">IF($B193="","",TEXT($B193,"yyyy年m月"))</f>
        <v/>
      </c>
    </row>
    <row r="194" customFormat="false" ht="18" hidden="false" customHeight="true" outlineLevel="0" collapsed="false">
      <c r="A194" s="107" t="str">
        <f aca="false">IF($C194="","",ROW()-3)</f>
        <v/>
      </c>
      <c r="B194" s="108"/>
      <c r="C194" s="84"/>
      <c r="D194" s="84"/>
      <c r="E194" s="18"/>
      <c r="F194" s="109"/>
      <c r="G194" s="109"/>
      <c r="H194" s="70" t="str">
        <f aca="false">IF($C194="","",ROUND(N($F194)*N($G194),2))</f>
        <v/>
      </c>
      <c r="I194" s="84" t="s">
        <v>266</v>
      </c>
      <c r="J194" s="70" t="str">
        <f aca="false">IF($C194="","",ROUND(N($H194),2))</f>
        <v/>
      </c>
      <c r="K194" s="70" t="n">
        <v>0</v>
      </c>
      <c r="L194" s="84"/>
      <c r="M194" s="84"/>
      <c r="N194" s="18"/>
      <c r="O194" s="84"/>
      <c r="P194" s="18"/>
      <c r="Q194" s="67" t="str">
        <f aca="false">IF(OR($C194="",ROUND(N($H194),2)=0),"",$L194)</f>
        <v/>
      </c>
      <c r="R194" s="70" t="str">
        <f aca="false">IF($Q194="","",ROUND(N($H194),2))</f>
        <v/>
      </c>
      <c r="S194" s="70" t="str">
        <f aca="false">IF($Q194="","",0)</f>
        <v/>
      </c>
      <c r="T194" s="67" t="str">
        <f aca="false">""</f>
        <v/>
      </c>
      <c r="U194" s="70" t="str">
        <f aca="false">IF($T194="","",0)</f>
        <v/>
      </c>
      <c r="V194" s="70" t="str">
        <f aca="false">IF($T194="","",0)</f>
        <v/>
      </c>
      <c r="W194" s="67" t="str">
        <f aca="false">IF($Q194="","","应付账款")</f>
        <v/>
      </c>
      <c r="X194" s="70" t="str">
        <f aca="false">IF($W194="","",0)</f>
        <v/>
      </c>
      <c r="Y194" s="70" t="str">
        <f aca="false">IF($W194="","",ROUND(N($H194),2))</f>
        <v/>
      </c>
      <c r="Z194" s="42"/>
      <c r="AA194" s="44"/>
      <c r="AB194" s="41" t="str">
        <f aca="false">IF($C194="","",ROUND(N($H194)-N($AA194),2))</f>
        <v/>
      </c>
      <c r="AC194" s="9" t="str">
        <f aca="false">IF($B194="","",TEXT($B194,"yyyy年m月"))</f>
        <v/>
      </c>
    </row>
    <row r="195" customFormat="false" ht="18" hidden="false" customHeight="true" outlineLevel="0" collapsed="false">
      <c r="A195" s="107" t="str">
        <f aca="false">IF($C195="","",ROW()-3)</f>
        <v/>
      </c>
      <c r="B195" s="108"/>
      <c r="C195" s="84"/>
      <c r="D195" s="84"/>
      <c r="E195" s="18"/>
      <c r="F195" s="109"/>
      <c r="G195" s="109"/>
      <c r="H195" s="70" t="str">
        <f aca="false">IF($C195="","",ROUND(N($F195)*N($G195),2))</f>
        <v/>
      </c>
      <c r="I195" s="84" t="s">
        <v>266</v>
      </c>
      <c r="J195" s="70" t="str">
        <f aca="false">IF($C195="","",ROUND(N($H195),2))</f>
        <v/>
      </c>
      <c r="K195" s="70" t="n">
        <v>0</v>
      </c>
      <c r="L195" s="84"/>
      <c r="M195" s="84"/>
      <c r="N195" s="18"/>
      <c r="O195" s="84"/>
      <c r="P195" s="18"/>
      <c r="Q195" s="67" t="str">
        <f aca="false">IF(OR($C195="",ROUND(N($H195),2)=0),"",$L195)</f>
        <v/>
      </c>
      <c r="R195" s="70" t="str">
        <f aca="false">IF($Q195="","",ROUND(N($H195),2))</f>
        <v/>
      </c>
      <c r="S195" s="70" t="str">
        <f aca="false">IF($Q195="","",0)</f>
        <v/>
      </c>
      <c r="T195" s="67" t="str">
        <f aca="false">""</f>
        <v/>
      </c>
      <c r="U195" s="70" t="str">
        <f aca="false">IF($T195="","",0)</f>
        <v/>
      </c>
      <c r="V195" s="70" t="str">
        <f aca="false">IF($T195="","",0)</f>
        <v/>
      </c>
      <c r="W195" s="67" t="str">
        <f aca="false">IF($Q195="","","应付账款")</f>
        <v/>
      </c>
      <c r="X195" s="70" t="str">
        <f aca="false">IF($W195="","",0)</f>
        <v/>
      </c>
      <c r="Y195" s="70" t="str">
        <f aca="false">IF($W195="","",ROUND(N($H195),2))</f>
        <v/>
      </c>
      <c r="Z195" s="42"/>
      <c r="AA195" s="44"/>
      <c r="AB195" s="41" t="str">
        <f aca="false">IF($C195="","",ROUND(N($H195)-N($AA195),2))</f>
        <v/>
      </c>
      <c r="AC195" s="9" t="str">
        <f aca="false">IF($B195="","",TEXT($B195,"yyyy年m月"))</f>
        <v/>
      </c>
    </row>
    <row r="196" customFormat="false" ht="18" hidden="false" customHeight="true" outlineLevel="0" collapsed="false">
      <c r="A196" s="107" t="str">
        <f aca="false">IF($C196="","",ROW()-3)</f>
        <v/>
      </c>
      <c r="B196" s="108"/>
      <c r="C196" s="84"/>
      <c r="D196" s="84"/>
      <c r="E196" s="18"/>
      <c r="F196" s="109"/>
      <c r="G196" s="109"/>
      <c r="H196" s="70" t="str">
        <f aca="false">IF($C196="","",ROUND(N($F196)*N($G196),2))</f>
        <v/>
      </c>
      <c r="I196" s="84" t="s">
        <v>266</v>
      </c>
      <c r="J196" s="70" t="str">
        <f aca="false">IF($C196="","",ROUND(N($H196),2))</f>
        <v/>
      </c>
      <c r="K196" s="70" t="n">
        <v>0</v>
      </c>
      <c r="L196" s="84"/>
      <c r="M196" s="84"/>
      <c r="N196" s="18"/>
      <c r="O196" s="84"/>
      <c r="P196" s="18"/>
      <c r="Q196" s="67" t="str">
        <f aca="false">IF(OR($C196="",ROUND(N($H196),2)=0),"",$L196)</f>
        <v/>
      </c>
      <c r="R196" s="70" t="str">
        <f aca="false">IF($Q196="","",ROUND(N($H196),2))</f>
        <v/>
      </c>
      <c r="S196" s="70" t="str">
        <f aca="false">IF($Q196="","",0)</f>
        <v/>
      </c>
      <c r="T196" s="67" t="str">
        <f aca="false">""</f>
        <v/>
      </c>
      <c r="U196" s="70" t="str">
        <f aca="false">IF($T196="","",0)</f>
        <v/>
      </c>
      <c r="V196" s="70" t="str">
        <f aca="false">IF($T196="","",0)</f>
        <v/>
      </c>
      <c r="W196" s="67" t="str">
        <f aca="false">IF($Q196="","","应付账款")</f>
        <v/>
      </c>
      <c r="X196" s="70" t="str">
        <f aca="false">IF($W196="","",0)</f>
        <v/>
      </c>
      <c r="Y196" s="70" t="str">
        <f aca="false">IF($W196="","",ROUND(N($H196),2))</f>
        <v/>
      </c>
      <c r="Z196" s="42"/>
      <c r="AA196" s="44"/>
      <c r="AB196" s="41" t="str">
        <f aca="false">IF($C196="","",ROUND(N($H196)-N($AA196),2))</f>
        <v/>
      </c>
      <c r="AC196" s="9" t="str">
        <f aca="false">IF($B196="","",TEXT($B196,"yyyy年m月"))</f>
        <v/>
      </c>
    </row>
    <row r="197" customFormat="false" ht="18" hidden="false" customHeight="true" outlineLevel="0" collapsed="false">
      <c r="A197" s="107" t="str">
        <f aca="false">IF($C197="","",ROW()-3)</f>
        <v/>
      </c>
      <c r="B197" s="108"/>
      <c r="C197" s="84"/>
      <c r="D197" s="84"/>
      <c r="E197" s="18"/>
      <c r="F197" s="109"/>
      <c r="G197" s="109"/>
      <c r="H197" s="70" t="str">
        <f aca="false">IF($C197="","",ROUND(N($F197)*N($G197),2))</f>
        <v/>
      </c>
      <c r="I197" s="84" t="s">
        <v>266</v>
      </c>
      <c r="J197" s="70" t="str">
        <f aca="false">IF($C197="","",ROUND(N($H197),2))</f>
        <v/>
      </c>
      <c r="K197" s="70" t="n">
        <v>0</v>
      </c>
      <c r="L197" s="84"/>
      <c r="M197" s="84"/>
      <c r="N197" s="18"/>
      <c r="O197" s="84"/>
      <c r="P197" s="18"/>
      <c r="Q197" s="67" t="str">
        <f aca="false">IF(OR($C197="",ROUND(N($H197),2)=0),"",$L197)</f>
        <v/>
      </c>
      <c r="R197" s="70" t="str">
        <f aca="false">IF($Q197="","",ROUND(N($H197),2))</f>
        <v/>
      </c>
      <c r="S197" s="70" t="str">
        <f aca="false">IF($Q197="","",0)</f>
        <v/>
      </c>
      <c r="T197" s="67" t="str">
        <f aca="false">""</f>
        <v/>
      </c>
      <c r="U197" s="70" t="str">
        <f aca="false">IF($T197="","",0)</f>
        <v/>
      </c>
      <c r="V197" s="70" t="str">
        <f aca="false">IF($T197="","",0)</f>
        <v/>
      </c>
      <c r="W197" s="67" t="str">
        <f aca="false">IF($Q197="","","应付账款")</f>
        <v/>
      </c>
      <c r="X197" s="70" t="str">
        <f aca="false">IF($W197="","",0)</f>
        <v/>
      </c>
      <c r="Y197" s="70" t="str">
        <f aca="false">IF($W197="","",ROUND(N($H197),2))</f>
        <v/>
      </c>
      <c r="Z197" s="42"/>
      <c r="AA197" s="44"/>
      <c r="AB197" s="41" t="str">
        <f aca="false">IF($C197="","",ROUND(N($H197)-N($AA197),2))</f>
        <v/>
      </c>
      <c r="AC197" s="9" t="str">
        <f aca="false">IF($B197="","",TEXT($B197,"yyyy年m月"))</f>
        <v/>
      </c>
    </row>
    <row r="198" customFormat="false" ht="18" hidden="false" customHeight="true" outlineLevel="0" collapsed="false">
      <c r="A198" s="107" t="str">
        <f aca="false">IF($C198="","",ROW()-3)</f>
        <v/>
      </c>
      <c r="B198" s="108"/>
      <c r="C198" s="84"/>
      <c r="D198" s="84"/>
      <c r="E198" s="18"/>
      <c r="F198" s="109"/>
      <c r="G198" s="109"/>
      <c r="H198" s="70" t="str">
        <f aca="false">IF($C198="","",ROUND(N($F198)*N($G198),2))</f>
        <v/>
      </c>
      <c r="I198" s="84" t="s">
        <v>266</v>
      </c>
      <c r="J198" s="70" t="str">
        <f aca="false">IF($C198="","",ROUND(N($H198),2))</f>
        <v/>
      </c>
      <c r="K198" s="70" t="n">
        <v>0</v>
      </c>
      <c r="L198" s="84"/>
      <c r="M198" s="84"/>
      <c r="N198" s="18"/>
      <c r="O198" s="84"/>
      <c r="P198" s="18"/>
      <c r="Q198" s="67" t="str">
        <f aca="false">IF(OR($C198="",ROUND(N($H198),2)=0),"",$L198)</f>
        <v/>
      </c>
      <c r="R198" s="70" t="str">
        <f aca="false">IF($Q198="","",ROUND(N($H198),2))</f>
        <v/>
      </c>
      <c r="S198" s="70" t="str">
        <f aca="false">IF($Q198="","",0)</f>
        <v/>
      </c>
      <c r="T198" s="67" t="str">
        <f aca="false">""</f>
        <v/>
      </c>
      <c r="U198" s="70" t="str">
        <f aca="false">IF($T198="","",0)</f>
        <v/>
      </c>
      <c r="V198" s="70" t="str">
        <f aca="false">IF($T198="","",0)</f>
        <v/>
      </c>
      <c r="W198" s="67" t="str">
        <f aca="false">IF($Q198="","","应付账款")</f>
        <v/>
      </c>
      <c r="X198" s="70" t="str">
        <f aca="false">IF($W198="","",0)</f>
        <v/>
      </c>
      <c r="Y198" s="70" t="str">
        <f aca="false">IF($W198="","",ROUND(N($H198),2))</f>
        <v/>
      </c>
      <c r="Z198" s="42"/>
      <c r="AA198" s="44"/>
      <c r="AB198" s="41" t="str">
        <f aca="false">IF($C198="","",ROUND(N($H198)-N($AA198),2))</f>
        <v/>
      </c>
      <c r="AC198" s="9" t="str">
        <f aca="false">IF($B198="","",TEXT($B198,"yyyy年m月"))</f>
        <v/>
      </c>
    </row>
    <row r="199" customFormat="false" ht="18" hidden="false" customHeight="true" outlineLevel="0" collapsed="false">
      <c r="A199" s="107" t="str">
        <f aca="false">IF($C199="","",ROW()-3)</f>
        <v/>
      </c>
      <c r="B199" s="108"/>
      <c r="C199" s="84"/>
      <c r="D199" s="84"/>
      <c r="E199" s="18"/>
      <c r="F199" s="109"/>
      <c r="G199" s="109"/>
      <c r="H199" s="70" t="str">
        <f aca="false">IF($C199="","",ROUND(N($F199)*N($G199),2))</f>
        <v/>
      </c>
      <c r="I199" s="84" t="s">
        <v>266</v>
      </c>
      <c r="J199" s="70" t="str">
        <f aca="false">IF($C199="","",ROUND(N($H199),2))</f>
        <v/>
      </c>
      <c r="K199" s="70" t="n">
        <v>0</v>
      </c>
      <c r="L199" s="84"/>
      <c r="M199" s="84"/>
      <c r="N199" s="18"/>
      <c r="O199" s="84"/>
      <c r="P199" s="18"/>
      <c r="Q199" s="67" t="str">
        <f aca="false">IF(OR($C199="",ROUND(N($H199),2)=0),"",$L199)</f>
        <v/>
      </c>
      <c r="R199" s="70" t="str">
        <f aca="false">IF($Q199="","",ROUND(N($H199),2))</f>
        <v/>
      </c>
      <c r="S199" s="70" t="str">
        <f aca="false">IF($Q199="","",0)</f>
        <v/>
      </c>
      <c r="T199" s="67" t="str">
        <f aca="false">""</f>
        <v/>
      </c>
      <c r="U199" s="70" t="str">
        <f aca="false">IF($T199="","",0)</f>
        <v/>
      </c>
      <c r="V199" s="70" t="str">
        <f aca="false">IF($T199="","",0)</f>
        <v/>
      </c>
      <c r="W199" s="67" t="str">
        <f aca="false">IF($Q199="","","应付账款")</f>
        <v/>
      </c>
      <c r="X199" s="70" t="str">
        <f aca="false">IF($W199="","",0)</f>
        <v/>
      </c>
      <c r="Y199" s="70" t="str">
        <f aca="false">IF($W199="","",ROUND(N($H199),2))</f>
        <v/>
      </c>
      <c r="Z199" s="42"/>
      <c r="AA199" s="44"/>
      <c r="AB199" s="41" t="str">
        <f aca="false">IF($C199="","",ROUND(N($H199)-N($AA199),2))</f>
        <v/>
      </c>
      <c r="AC199" s="9" t="str">
        <f aca="false">IF($B199="","",TEXT($B199,"yyyy年m月"))</f>
        <v/>
      </c>
    </row>
    <row r="200" customFormat="false" ht="18" hidden="false" customHeight="true" outlineLevel="0" collapsed="false">
      <c r="A200" s="107" t="str">
        <f aca="false">IF($C200="","",ROW()-3)</f>
        <v/>
      </c>
      <c r="B200" s="108"/>
      <c r="C200" s="84"/>
      <c r="D200" s="84"/>
      <c r="E200" s="18"/>
      <c r="F200" s="109"/>
      <c r="G200" s="109"/>
      <c r="H200" s="70" t="str">
        <f aca="false">IF($C200="","",ROUND(N($F200)*N($G200),2))</f>
        <v/>
      </c>
      <c r="I200" s="84" t="s">
        <v>266</v>
      </c>
      <c r="J200" s="70" t="str">
        <f aca="false">IF($C200="","",ROUND(N($H200),2))</f>
        <v/>
      </c>
      <c r="K200" s="70" t="n">
        <v>0</v>
      </c>
      <c r="L200" s="84"/>
      <c r="M200" s="84"/>
      <c r="N200" s="18"/>
      <c r="O200" s="84"/>
      <c r="P200" s="18"/>
      <c r="Q200" s="67" t="str">
        <f aca="false">IF(OR($C200="",ROUND(N($H200),2)=0),"",$L200)</f>
        <v/>
      </c>
      <c r="R200" s="70" t="str">
        <f aca="false">IF($Q200="","",ROUND(N($H200),2))</f>
        <v/>
      </c>
      <c r="S200" s="70" t="str">
        <f aca="false">IF($Q200="","",0)</f>
        <v/>
      </c>
      <c r="T200" s="67" t="str">
        <f aca="false">""</f>
        <v/>
      </c>
      <c r="U200" s="70" t="str">
        <f aca="false">IF($T200="","",0)</f>
        <v/>
      </c>
      <c r="V200" s="70" t="str">
        <f aca="false">IF($T200="","",0)</f>
        <v/>
      </c>
      <c r="W200" s="67" t="str">
        <f aca="false">IF($Q200="","","应付账款")</f>
        <v/>
      </c>
      <c r="X200" s="70" t="str">
        <f aca="false">IF($W200="","",0)</f>
        <v/>
      </c>
      <c r="Y200" s="70" t="str">
        <f aca="false">IF($W200="","",ROUND(N($H200),2))</f>
        <v/>
      </c>
      <c r="Z200" s="42"/>
      <c r="AA200" s="44"/>
      <c r="AB200" s="41" t="str">
        <f aca="false">IF($C200="","",ROUND(N($H200)-N($AA200),2))</f>
        <v/>
      </c>
      <c r="AC200" s="9" t="str">
        <f aca="false">IF($B200="","",TEXT($B200,"yyyy年m月"))</f>
        <v/>
      </c>
    </row>
    <row r="201" customFormat="false" ht="18" hidden="false" customHeight="true" outlineLevel="0" collapsed="false">
      <c r="A201" s="107" t="str">
        <f aca="false">IF($C201="","",ROW()-3)</f>
        <v/>
      </c>
      <c r="B201" s="108"/>
      <c r="C201" s="84"/>
      <c r="D201" s="84"/>
      <c r="E201" s="18"/>
      <c r="F201" s="109"/>
      <c r="G201" s="109"/>
      <c r="H201" s="70" t="str">
        <f aca="false">IF($C201="","",ROUND(N($F201)*N($G201),2))</f>
        <v/>
      </c>
      <c r="I201" s="84" t="s">
        <v>266</v>
      </c>
      <c r="J201" s="70" t="str">
        <f aca="false">IF($C201="","",ROUND(N($H201),2))</f>
        <v/>
      </c>
      <c r="K201" s="70" t="n">
        <v>0</v>
      </c>
      <c r="L201" s="84"/>
      <c r="M201" s="84"/>
      <c r="N201" s="18"/>
      <c r="O201" s="84"/>
      <c r="P201" s="18"/>
      <c r="Q201" s="67" t="str">
        <f aca="false">IF(OR($C201="",ROUND(N($H201),2)=0),"",$L201)</f>
        <v/>
      </c>
      <c r="R201" s="70" t="str">
        <f aca="false">IF($Q201="","",ROUND(N($H201),2))</f>
        <v/>
      </c>
      <c r="S201" s="70" t="str">
        <f aca="false">IF($Q201="","",0)</f>
        <v/>
      </c>
      <c r="T201" s="67" t="str">
        <f aca="false">""</f>
        <v/>
      </c>
      <c r="U201" s="70" t="str">
        <f aca="false">IF($T201="","",0)</f>
        <v/>
      </c>
      <c r="V201" s="70" t="str">
        <f aca="false">IF($T201="","",0)</f>
        <v/>
      </c>
      <c r="W201" s="67" t="str">
        <f aca="false">IF($Q201="","","应付账款")</f>
        <v/>
      </c>
      <c r="X201" s="70" t="str">
        <f aca="false">IF($W201="","",0)</f>
        <v/>
      </c>
      <c r="Y201" s="70" t="str">
        <f aca="false">IF($W201="","",ROUND(N($H201),2))</f>
        <v/>
      </c>
      <c r="Z201" s="42"/>
      <c r="AA201" s="44"/>
      <c r="AB201" s="41" t="str">
        <f aca="false">IF($C201="","",ROUND(N($H201)-N($AA201),2))</f>
        <v/>
      </c>
      <c r="AC201" s="9" t="str">
        <f aca="false">IF($B201="","",TEXT($B201,"yyyy年m月"))</f>
        <v/>
      </c>
    </row>
    <row r="202" customFormat="false" ht="18" hidden="false" customHeight="true" outlineLevel="0" collapsed="false">
      <c r="A202" s="107" t="str">
        <f aca="false">IF($C202="","",ROW()-3)</f>
        <v/>
      </c>
      <c r="B202" s="108"/>
      <c r="C202" s="84"/>
      <c r="D202" s="84"/>
      <c r="E202" s="18"/>
      <c r="F202" s="109"/>
      <c r="G202" s="109"/>
      <c r="H202" s="70" t="str">
        <f aca="false">IF($C202="","",ROUND(N($F202)*N($G202),2))</f>
        <v/>
      </c>
      <c r="I202" s="84" t="s">
        <v>266</v>
      </c>
      <c r="J202" s="70" t="str">
        <f aca="false">IF($C202="","",ROUND(N($H202),2))</f>
        <v/>
      </c>
      <c r="K202" s="70" t="n">
        <v>0</v>
      </c>
      <c r="L202" s="84"/>
      <c r="M202" s="84"/>
      <c r="N202" s="18"/>
      <c r="O202" s="84"/>
      <c r="P202" s="18"/>
      <c r="Q202" s="67" t="str">
        <f aca="false">IF(OR($C202="",ROUND(N($H202),2)=0),"",$L202)</f>
        <v/>
      </c>
      <c r="R202" s="70" t="str">
        <f aca="false">IF($Q202="","",ROUND(N($H202),2))</f>
        <v/>
      </c>
      <c r="S202" s="70" t="str">
        <f aca="false">IF($Q202="","",0)</f>
        <v/>
      </c>
      <c r="T202" s="67" t="str">
        <f aca="false">""</f>
        <v/>
      </c>
      <c r="U202" s="70" t="str">
        <f aca="false">IF($T202="","",0)</f>
        <v/>
      </c>
      <c r="V202" s="70" t="str">
        <f aca="false">IF($T202="","",0)</f>
        <v/>
      </c>
      <c r="W202" s="67" t="str">
        <f aca="false">IF($Q202="","","应付账款")</f>
        <v/>
      </c>
      <c r="X202" s="70" t="str">
        <f aca="false">IF($W202="","",0)</f>
        <v/>
      </c>
      <c r="Y202" s="70" t="str">
        <f aca="false">IF($W202="","",ROUND(N($H202),2))</f>
        <v/>
      </c>
      <c r="Z202" s="42"/>
      <c r="AA202" s="44"/>
      <c r="AB202" s="41" t="str">
        <f aca="false">IF($C202="","",ROUND(N($H202)-N($AA202),2))</f>
        <v/>
      </c>
      <c r="AC202" s="9" t="str">
        <f aca="false">IF($B202="","",TEXT($B202,"yyyy年m月"))</f>
        <v/>
      </c>
    </row>
    <row r="203" customFormat="false" ht="18" hidden="false" customHeight="true" outlineLevel="0" collapsed="false">
      <c r="A203" s="107" t="str">
        <f aca="false">IF($C203="","",ROW()-3)</f>
        <v/>
      </c>
      <c r="B203" s="108"/>
      <c r="C203" s="84"/>
      <c r="D203" s="84"/>
      <c r="E203" s="18"/>
      <c r="F203" s="109"/>
      <c r="G203" s="109"/>
      <c r="H203" s="70" t="str">
        <f aca="false">IF($C203="","",ROUND(N($F203)*N($G203),2))</f>
        <v/>
      </c>
      <c r="I203" s="84" t="s">
        <v>266</v>
      </c>
      <c r="J203" s="70" t="str">
        <f aca="false">IF($C203="","",ROUND(N($H203),2))</f>
        <v/>
      </c>
      <c r="K203" s="70" t="n">
        <v>0</v>
      </c>
      <c r="L203" s="84"/>
      <c r="M203" s="84"/>
      <c r="N203" s="18"/>
      <c r="O203" s="84"/>
      <c r="P203" s="18"/>
      <c r="Q203" s="67" t="str">
        <f aca="false">IF(OR($C203="",ROUND(N($H203),2)=0),"",$L203)</f>
        <v/>
      </c>
      <c r="R203" s="70" t="str">
        <f aca="false">IF($Q203="","",ROUND(N($H203),2))</f>
        <v/>
      </c>
      <c r="S203" s="70" t="str">
        <f aca="false">IF($Q203="","",0)</f>
        <v/>
      </c>
      <c r="T203" s="67" t="str">
        <f aca="false">""</f>
        <v/>
      </c>
      <c r="U203" s="70" t="str">
        <f aca="false">IF($T203="","",0)</f>
        <v/>
      </c>
      <c r="V203" s="70" t="str">
        <f aca="false">IF($T203="","",0)</f>
        <v/>
      </c>
      <c r="W203" s="67" t="str">
        <f aca="false">IF($Q203="","","应付账款")</f>
        <v/>
      </c>
      <c r="X203" s="70" t="str">
        <f aca="false">IF($W203="","",0)</f>
        <v/>
      </c>
      <c r="Y203" s="70" t="str">
        <f aca="false">IF($W203="","",ROUND(N($H203),2))</f>
        <v/>
      </c>
      <c r="Z203" s="42"/>
      <c r="AA203" s="44"/>
      <c r="AB203" s="41" t="str">
        <f aca="false">IF($C203="","",ROUND(N($H203)-N($AA203),2))</f>
        <v/>
      </c>
      <c r="AC203" s="9" t="str">
        <f aca="false">IF($B203="","",TEXT($B203,"yyyy年m月"))</f>
        <v/>
      </c>
    </row>
    <row r="204" customFormat="false" ht="18" hidden="false" customHeight="true" outlineLevel="0" collapsed="false">
      <c r="A204" s="107" t="str">
        <f aca="false">IF($C204="","",ROW()-3)</f>
        <v/>
      </c>
      <c r="B204" s="108"/>
      <c r="C204" s="84"/>
      <c r="D204" s="84"/>
      <c r="E204" s="18"/>
      <c r="F204" s="109"/>
      <c r="G204" s="109"/>
      <c r="H204" s="70" t="str">
        <f aca="false">IF($C204="","",ROUND(N($F204)*N($G204),2))</f>
        <v/>
      </c>
      <c r="I204" s="84" t="s">
        <v>266</v>
      </c>
      <c r="J204" s="70" t="str">
        <f aca="false">IF($C204="","",ROUND(N($H204),2))</f>
        <v/>
      </c>
      <c r="K204" s="70" t="n">
        <v>0</v>
      </c>
      <c r="L204" s="84"/>
      <c r="M204" s="84"/>
      <c r="N204" s="18"/>
      <c r="O204" s="84"/>
      <c r="P204" s="18"/>
      <c r="Q204" s="67" t="str">
        <f aca="false">IF(OR($C204="",ROUND(N($H204),2)=0),"",$L204)</f>
        <v/>
      </c>
      <c r="R204" s="70" t="str">
        <f aca="false">IF($Q204="","",ROUND(N($H204),2))</f>
        <v/>
      </c>
      <c r="S204" s="70" t="str">
        <f aca="false">IF($Q204="","",0)</f>
        <v/>
      </c>
      <c r="T204" s="67" t="str">
        <f aca="false">""</f>
        <v/>
      </c>
      <c r="U204" s="70" t="str">
        <f aca="false">IF($T204="","",0)</f>
        <v/>
      </c>
      <c r="V204" s="70" t="str">
        <f aca="false">IF($T204="","",0)</f>
        <v/>
      </c>
      <c r="W204" s="67" t="str">
        <f aca="false">IF($Q204="","","应付账款")</f>
        <v/>
      </c>
      <c r="X204" s="70" t="str">
        <f aca="false">IF($W204="","",0)</f>
        <v/>
      </c>
      <c r="Y204" s="70" t="str">
        <f aca="false">IF($W204="","",ROUND(N($H204),2))</f>
        <v/>
      </c>
      <c r="Z204" s="42"/>
      <c r="AA204" s="44"/>
      <c r="AB204" s="41" t="str">
        <f aca="false">IF($C204="","",ROUND(N($H204)-N($AA204),2))</f>
        <v/>
      </c>
      <c r="AC204" s="9" t="str">
        <f aca="false">IF($B204="","",TEXT($B204,"yyyy年m月"))</f>
        <v/>
      </c>
    </row>
    <row r="205" customFormat="false" ht="18" hidden="false" customHeight="true" outlineLevel="0" collapsed="false">
      <c r="A205" s="107" t="str">
        <f aca="false">IF($C205="","",ROW()-3)</f>
        <v/>
      </c>
      <c r="B205" s="108"/>
      <c r="C205" s="84"/>
      <c r="D205" s="84"/>
      <c r="E205" s="18"/>
      <c r="F205" s="109"/>
      <c r="G205" s="109"/>
      <c r="H205" s="70" t="str">
        <f aca="false">IF($C205="","",ROUND(N($F205)*N($G205),2))</f>
        <v/>
      </c>
      <c r="I205" s="84" t="s">
        <v>266</v>
      </c>
      <c r="J205" s="70" t="str">
        <f aca="false">IF($C205="","",ROUND(N($H205),2))</f>
        <v/>
      </c>
      <c r="K205" s="70" t="n">
        <v>0</v>
      </c>
      <c r="L205" s="84"/>
      <c r="M205" s="84"/>
      <c r="N205" s="18"/>
      <c r="O205" s="84"/>
      <c r="P205" s="18"/>
      <c r="Q205" s="67" t="str">
        <f aca="false">IF(OR($C205="",ROUND(N($H205),2)=0),"",$L205)</f>
        <v/>
      </c>
      <c r="R205" s="70" t="str">
        <f aca="false">IF($Q205="","",ROUND(N($H205),2))</f>
        <v/>
      </c>
      <c r="S205" s="70" t="str">
        <f aca="false">IF($Q205="","",0)</f>
        <v/>
      </c>
      <c r="T205" s="67" t="str">
        <f aca="false">""</f>
        <v/>
      </c>
      <c r="U205" s="70" t="str">
        <f aca="false">IF($T205="","",0)</f>
        <v/>
      </c>
      <c r="V205" s="70" t="str">
        <f aca="false">IF($T205="","",0)</f>
        <v/>
      </c>
      <c r="W205" s="67" t="str">
        <f aca="false">IF($Q205="","","应付账款")</f>
        <v/>
      </c>
      <c r="X205" s="70" t="str">
        <f aca="false">IF($W205="","",0)</f>
        <v/>
      </c>
      <c r="Y205" s="70" t="str">
        <f aca="false">IF($W205="","",ROUND(N($H205),2))</f>
        <v/>
      </c>
      <c r="Z205" s="42"/>
      <c r="AA205" s="44"/>
      <c r="AB205" s="41" t="str">
        <f aca="false">IF($C205="","",ROUND(N($H205)-N($AA205),2))</f>
        <v/>
      </c>
      <c r="AC205" s="9" t="str">
        <f aca="false">IF($B205="","",TEXT($B205,"yyyy年m月"))</f>
        <v/>
      </c>
    </row>
    <row r="206" customFormat="false" ht="18" hidden="false" customHeight="true" outlineLevel="0" collapsed="false">
      <c r="A206" s="107" t="str">
        <f aca="false">IF($C206="","",ROW()-3)</f>
        <v/>
      </c>
      <c r="B206" s="108"/>
      <c r="C206" s="84"/>
      <c r="D206" s="84"/>
      <c r="E206" s="18"/>
      <c r="F206" s="109"/>
      <c r="G206" s="109"/>
      <c r="H206" s="70" t="str">
        <f aca="false">IF($C206="","",ROUND(N($F206)*N($G206),2))</f>
        <v/>
      </c>
      <c r="I206" s="84" t="s">
        <v>266</v>
      </c>
      <c r="J206" s="70" t="str">
        <f aca="false">IF($C206="","",ROUND(N($H206),2))</f>
        <v/>
      </c>
      <c r="K206" s="70" t="n">
        <v>0</v>
      </c>
      <c r="L206" s="84"/>
      <c r="M206" s="84"/>
      <c r="N206" s="18"/>
      <c r="O206" s="84"/>
      <c r="P206" s="18"/>
      <c r="Q206" s="67" t="str">
        <f aca="false">IF(OR($C206="",ROUND(N($H206),2)=0),"",$L206)</f>
        <v/>
      </c>
      <c r="R206" s="70" t="str">
        <f aca="false">IF($Q206="","",ROUND(N($H206),2))</f>
        <v/>
      </c>
      <c r="S206" s="70" t="str">
        <f aca="false">IF($Q206="","",0)</f>
        <v/>
      </c>
      <c r="T206" s="67" t="str">
        <f aca="false">""</f>
        <v/>
      </c>
      <c r="U206" s="70" t="str">
        <f aca="false">IF($T206="","",0)</f>
        <v/>
      </c>
      <c r="V206" s="70" t="str">
        <f aca="false">IF($T206="","",0)</f>
        <v/>
      </c>
      <c r="W206" s="67" t="str">
        <f aca="false">IF($Q206="","","应付账款")</f>
        <v/>
      </c>
      <c r="X206" s="70" t="str">
        <f aca="false">IF($W206="","",0)</f>
        <v/>
      </c>
      <c r="Y206" s="70" t="str">
        <f aca="false">IF($W206="","",ROUND(N($H206),2))</f>
        <v/>
      </c>
      <c r="Z206" s="42"/>
      <c r="AA206" s="44"/>
      <c r="AB206" s="41" t="str">
        <f aca="false">IF($C206="","",ROUND(N($H206)-N($AA206),2))</f>
        <v/>
      </c>
      <c r="AC206" s="9" t="str">
        <f aca="false">IF($B206="","",TEXT($B206,"yyyy年m月"))</f>
        <v/>
      </c>
    </row>
    <row r="207" customFormat="false" ht="18" hidden="false" customHeight="true" outlineLevel="0" collapsed="false">
      <c r="A207" s="107" t="str">
        <f aca="false">IF($C207="","",ROW()-3)</f>
        <v/>
      </c>
      <c r="B207" s="108"/>
      <c r="C207" s="84"/>
      <c r="D207" s="84"/>
      <c r="E207" s="18"/>
      <c r="F207" s="109"/>
      <c r="G207" s="109"/>
      <c r="H207" s="70" t="str">
        <f aca="false">IF($C207="","",ROUND(N($F207)*N($G207),2))</f>
        <v/>
      </c>
      <c r="I207" s="84" t="s">
        <v>266</v>
      </c>
      <c r="J207" s="70" t="str">
        <f aca="false">IF($C207="","",ROUND(N($H207),2))</f>
        <v/>
      </c>
      <c r="K207" s="70" t="n">
        <v>0</v>
      </c>
      <c r="L207" s="84"/>
      <c r="M207" s="84"/>
      <c r="N207" s="18"/>
      <c r="O207" s="84"/>
      <c r="P207" s="18"/>
      <c r="Q207" s="67" t="str">
        <f aca="false">IF(OR($C207="",ROUND(N($H207),2)=0),"",$L207)</f>
        <v/>
      </c>
      <c r="R207" s="70" t="str">
        <f aca="false">IF($Q207="","",ROUND(N($H207),2))</f>
        <v/>
      </c>
      <c r="S207" s="70" t="str">
        <f aca="false">IF($Q207="","",0)</f>
        <v/>
      </c>
      <c r="T207" s="67" t="str">
        <f aca="false">""</f>
        <v/>
      </c>
      <c r="U207" s="70" t="str">
        <f aca="false">IF($T207="","",0)</f>
        <v/>
      </c>
      <c r="V207" s="70" t="str">
        <f aca="false">IF($T207="","",0)</f>
        <v/>
      </c>
      <c r="W207" s="67" t="str">
        <f aca="false">IF($Q207="","","应付账款")</f>
        <v/>
      </c>
      <c r="X207" s="70" t="str">
        <f aca="false">IF($W207="","",0)</f>
        <v/>
      </c>
      <c r="Y207" s="70" t="str">
        <f aca="false">IF($W207="","",ROUND(N($H207),2))</f>
        <v/>
      </c>
      <c r="Z207" s="42"/>
      <c r="AA207" s="44"/>
      <c r="AB207" s="41" t="str">
        <f aca="false">IF($C207="","",ROUND(N($H207)-N($AA207),2))</f>
        <v/>
      </c>
      <c r="AC207" s="9" t="str">
        <f aca="false">IF($B207="","",TEXT($B207,"yyyy年m月"))</f>
        <v/>
      </c>
    </row>
    <row r="208" customFormat="false" ht="18" hidden="false" customHeight="true" outlineLevel="0" collapsed="false">
      <c r="A208" s="107" t="str">
        <f aca="false">IF($C208="","",ROW()-3)</f>
        <v/>
      </c>
      <c r="B208" s="108"/>
      <c r="C208" s="84"/>
      <c r="D208" s="84"/>
      <c r="E208" s="18"/>
      <c r="F208" s="109"/>
      <c r="G208" s="109"/>
      <c r="H208" s="70" t="str">
        <f aca="false">IF($C208="","",ROUND(N($F208)*N($G208),2))</f>
        <v/>
      </c>
      <c r="I208" s="84" t="s">
        <v>266</v>
      </c>
      <c r="J208" s="70" t="str">
        <f aca="false">IF($C208="","",ROUND(N($H208),2))</f>
        <v/>
      </c>
      <c r="K208" s="70" t="n">
        <v>0</v>
      </c>
      <c r="L208" s="84"/>
      <c r="M208" s="84"/>
      <c r="N208" s="18"/>
      <c r="O208" s="84"/>
      <c r="P208" s="18"/>
      <c r="Q208" s="67" t="str">
        <f aca="false">IF(OR($C208="",ROUND(N($H208),2)=0),"",$L208)</f>
        <v/>
      </c>
      <c r="R208" s="70" t="str">
        <f aca="false">IF($Q208="","",ROUND(N($H208),2))</f>
        <v/>
      </c>
      <c r="S208" s="70" t="str">
        <f aca="false">IF($Q208="","",0)</f>
        <v/>
      </c>
      <c r="T208" s="67" t="str">
        <f aca="false">""</f>
        <v/>
      </c>
      <c r="U208" s="70" t="str">
        <f aca="false">IF($T208="","",0)</f>
        <v/>
      </c>
      <c r="V208" s="70" t="str">
        <f aca="false">IF($T208="","",0)</f>
        <v/>
      </c>
      <c r="W208" s="67" t="str">
        <f aca="false">IF($Q208="","","应付账款")</f>
        <v/>
      </c>
      <c r="X208" s="70" t="str">
        <f aca="false">IF($W208="","",0)</f>
        <v/>
      </c>
      <c r="Y208" s="70" t="str">
        <f aca="false">IF($W208="","",ROUND(N($H208),2))</f>
        <v/>
      </c>
      <c r="Z208" s="42"/>
      <c r="AA208" s="44"/>
      <c r="AB208" s="41" t="str">
        <f aca="false">IF($C208="","",ROUND(N($H208)-N($AA208),2))</f>
        <v/>
      </c>
      <c r="AC208" s="9" t="str">
        <f aca="false">IF($B208="","",TEXT($B208,"yyyy年m月"))</f>
        <v/>
      </c>
    </row>
    <row r="209" customFormat="false" ht="18" hidden="false" customHeight="true" outlineLevel="0" collapsed="false">
      <c r="A209" s="107" t="str">
        <f aca="false">IF($C209="","",ROW()-3)</f>
        <v/>
      </c>
      <c r="B209" s="108"/>
      <c r="C209" s="84"/>
      <c r="D209" s="84"/>
      <c r="E209" s="18"/>
      <c r="F209" s="109"/>
      <c r="G209" s="109"/>
      <c r="H209" s="70" t="str">
        <f aca="false">IF($C209="","",ROUND(N($F209)*N($G209),2))</f>
        <v/>
      </c>
      <c r="I209" s="84" t="s">
        <v>266</v>
      </c>
      <c r="J209" s="70" t="str">
        <f aca="false">IF($C209="","",ROUND(N($H209),2))</f>
        <v/>
      </c>
      <c r="K209" s="70" t="n">
        <v>0</v>
      </c>
      <c r="L209" s="84"/>
      <c r="M209" s="84"/>
      <c r="N209" s="18"/>
      <c r="O209" s="84"/>
      <c r="P209" s="18"/>
      <c r="Q209" s="67" t="str">
        <f aca="false">IF(OR($C209="",ROUND(N($H209),2)=0),"",$L209)</f>
        <v/>
      </c>
      <c r="R209" s="70" t="str">
        <f aca="false">IF($Q209="","",ROUND(N($H209),2))</f>
        <v/>
      </c>
      <c r="S209" s="70" t="str">
        <f aca="false">IF($Q209="","",0)</f>
        <v/>
      </c>
      <c r="T209" s="67" t="str">
        <f aca="false">""</f>
        <v/>
      </c>
      <c r="U209" s="70" t="str">
        <f aca="false">IF($T209="","",0)</f>
        <v/>
      </c>
      <c r="V209" s="70" t="str">
        <f aca="false">IF($T209="","",0)</f>
        <v/>
      </c>
      <c r="W209" s="67" t="str">
        <f aca="false">IF($Q209="","","应付账款")</f>
        <v/>
      </c>
      <c r="X209" s="70" t="str">
        <f aca="false">IF($W209="","",0)</f>
        <v/>
      </c>
      <c r="Y209" s="70" t="str">
        <f aca="false">IF($W209="","",ROUND(N($H209),2))</f>
        <v/>
      </c>
      <c r="Z209" s="42"/>
      <c r="AA209" s="44"/>
      <c r="AB209" s="41" t="str">
        <f aca="false">IF($C209="","",ROUND(N($H209)-N($AA209),2))</f>
        <v/>
      </c>
      <c r="AC209" s="9" t="str">
        <f aca="false">IF($B209="","",TEXT($B209,"yyyy年m月"))</f>
        <v/>
      </c>
    </row>
    <row r="210" customFormat="false" ht="18" hidden="false" customHeight="true" outlineLevel="0" collapsed="false">
      <c r="A210" s="107" t="str">
        <f aca="false">IF($C210="","",ROW()-3)</f>
        <v/>
      </c>
      <c r="B210" s="108"/>
      <c r="C210" s="84"/>
      <c r="D210" s="84"/>
      <c r="E210" s="18"/>
      <c r="F210" s="109"/>
      <c r="G210" s="109"/>
      <c r="H210" s="70" t="str">
        <f aca="false">IF($C210="","",ROUND(N($F210)*N($G210),2))</f>
        <v/>
      </c>
      <c r="I210" s="84" t="s">
        <v>266</v>
      </c>
      <c r="J210" s="70" t="str">
        <f aca="false">IF($C210="","",ROUND(N($H210),2))</f>
        <v/>
      </c>
      <c r="K210" s="70" t="n">
        <v>0</v>
      </c>
      <c r="L210" s="84"/>
      <c r="M210" s="84"/>
      <c r="N210" s="18"/>
      <c r="O210" s="84"/>
      <c r="P210" s="18"/>
      <c r="Q210" s="67" t="str">
        <f aca="false">IF(OR($C210="",ROUND(N($H210),2)=0),"",$L210)</f>
        <v/>
      </c>
      <c r="R210" s="70" t="str">
        <f aca="false">IF($Q210="","",ROUND(N($H210),2))</f>
        <v/>
      </c>
      <c r="S210" s="70" t="str">
        <f aca="false">IF($Q210="","",0)</f>
        <v/>
      </c>
      <c r="T210" s="67" t="str">
        <f aca="false">""</f>
        <v/>
      </c>
      <c r="U210" s="70" t="str">
        <f aca="false">IF($T210="","",0)</f>
        <v/>
      </c>
      <c r="V210" s="70" t="str">
        <f aca="false">IF($T210="","",0)</f>
        <v/>
      </c>
      <c r="W210" s="67" t="str">
        <f aca="false">IF($Q210="","","应付账款")</f>
        <v/>
      </c>
      <c r="X210" s="70" t="str">
        <f aca="false">IF($W210="","",0)</f>
        <v/>
      </c>
      <c r="Y210" s="70" t="str">
        <f aca="false">IF($W210="","",ROUND(N($H210),2))</f>
        <v/>
      </c>
      <c r="Z210" s="42"/>
      <c r="AA210" s="44"/>
      <c r="AB210" s="41" t="str">
        <f aca="false">IF($C210="","",ROUND(N($H210)-N($AA210),2))</f>
        <v/>
      </c>
      <c r="AC210" s="9" t="str">
        <f aca="false">IF($B210="","",TEXT($B210,"yyyy年m月"))</f>
        <v/>
      </c>
    </row>
    <row r="211" customFormat="false" ht="18" hidden="false" customHeight="true" outlineLevel="0" collapsed="false">
      <c r="A211" s="107" t="str">
        <f aca="false">IF($C211="","",ROW()-3)</f>
        <v/>
      </c>
      <c r="B211" s="108"/>
      <c r="C211" s="84"/>
      <c r="D211" s="84"/>
      <c r="E211" s="18"/>
      <c r="F211" s="109"/>
      <c r="G211" s="109"/>
      <c r="H211" s="70" t="str">
        <f aca="false">IF($C211="","",ROUND(N($F211)*N($G211),2))</f>
        <v/>
      </c>
      <c r="I211" s="84" t="s">
        <v>266</v>
      </c>
      <c r="J211" s="70" t="str">
        <f aca="false">IF($C211="","",ROUND(N($H211),2))</f>
        <v/>
      </c>
      <c r="K211" s="70" t="n">
        <v>0</v>
      </c>
      <c r="L211" s="84"/>
      <c r="M211" s="84"/>
      <c r="N211" s="18"/>
      <c r="O211" s="84"/>
      <c r="P211" s="18"/>
      <c r="Q211" s="67" t="str">
        <f aca="false">IF(OR($C211="",ROUND(N($H211),2)=0),"",$L211)</f>
        <v/>
      </c>
      <c r="R211" s="70" t="str">
        <f aca="false">IF($Q211="","",ROUND(N($H211),2))</f>
        <v/>
      </c>
      <c r="S211" s="70" t="str">
        <f aca="false">IF($Q211="","",0)</f>
        <v/>
      </c>
      <c r="T211" s="67" t="str">
        <f aca="false">""</f>
        <v/>
      </c>
      <c r="U211" s="70" t="str">
        <f aca="false">IF($T211="","",0)</f>
        <v/>
      </c>
      <c r="V211" s="70" t="str">
        <f aca="false">IF($T211="","",0)</f>
        <v/>
      </c>
      <c r="W211" s="67" t="str">
        <f aca="false">IF($Q211="","","应付账款")</f>
        <v/>
      </c>
      <c r="X211" s="70" t="str">
        <f aca="false">IF($W211="","",0)</f>
        <v/>
      </c>
      <c r="Y211" s="70" t="str">
        <f aca="false">IF($W211="","",ROUND(N($H211),2))</f>
        <v/>
      </c>
      <c r="Z211" s="42"/>
      <c r="AA211" s="44"/>
      <c r="AB211" s="41" t="str">
        <f aca="false">IF($C211="","",ROUND(N($H211)-N($AA211),2))</f>
        <v/>
      </c>
      <c r="AC211" s="9" t="str">
        <f aca="false">IF($B211="","",TEXT($B211,"yyyy年m月"))</f>
        <v/>
      </c>
    </row>
    <row r="212" customFormat="false" ht="18" hidden="false" customHeight="true" outlineLevel="0" collapsed="false">
      <c r="A212" s="107" t="str">
        <f aca="false">IF($C212="","",ROW()-3)</f>
        <v/>
      </c>
      <c r="B212" s="108"/>
      <c r="C212" s="84"/>
      <c r="D212" s="84"/>
      <c r="E212" s="18"/>
      <c r="F212" s="109"/>
      <c r="G212" s="109"/>
      <c r="H212" s="70" t="str">
        <f aca="false">IF($C212="","",ROUND(N($F212)*N($G212),2))</f>
        <v/>
      </c>
      <c r="I212" s="84" t="s">
        <v>266</v>
      </c>
      <c r="J212" s="70" t="str">
        <f aca="false">IF($C212="","",ROUND(N($H212),2))</f>
        <v/>
      </c>
      <c r="K212" s="70" t="n">
        <v>0</v>
      </c>
      <c r="L212" s="84"/>
      <c r="M212" s="84"/>
      <c r="N212" s="18"/>
      <c r="O212" s="84"/>
      <c r="P212" s="18"/>
      <c r="Q212" s="67" t="str">
        <f aca="false">IF(OR($C212="",ROUND(N($H212),2)=0),"",$L212)</f>
        <v/>
      </c>
      <c r="R212" s="70" t="str">
        <f aca="false">IF($Q212="","",ROUND(N($H212),2))</f>
        <v/>
      </c>
      <c r="S212" s="70" t="str">
        <f aca="false">IF($Q212="","",0)</f>
        <v/>
      </c>
      <c r="T212" s="67" t="str">
        <f aca="false">""</f>
        <v/>
      </c>
      <c r="U212" s="70" t="str">
        <f aca="false">IF($T212="","",0)</f>
        <v/>
      </c>
      <c r="V212" s="70" t="str">
        <f aca="false">IF($T212="","",0)</f>
        <v/>
      </c>
      <c r="W212" s="67" t="str">
        <f aca="false">IF($Q212="","","应付账款")</f>
        <v/>
      </c>
      <c r="X212" s="70" t="str">
        <f aca="false">IF($W212="","",0)</f>
        <v/>
      </c>
      <c r="Y212" s="70" t="str">
        <f aca="false">IF($W212="","",ROUND(N($H212),2))</f>
        <v/>
      </c>
      <c r="Z212" s="42"/>
      <c r="AA212" s="44"/>
      <c r="AB212" s="41" t="str">
        <f aca="false">IF($C212="","",ROUND(N($H212)-N($AA212),2))</f>
        <v/>
      </c>
      <c r="AC212" s="9" t="str">
        <f aca="false">IF($B212="","",TEXT($B212,"yyyy年m月"))</f>
        <v/>
      </c>
    </row>
    <row r="213" customFormat="false" ht="18" hidden="false" customHeight="true" outlineLevel="0" collapsed="false">
      <c r="A213" s="107" t="str">
        <f aca="false">IF($C213="","",ROW()-3)</f>
        <v/>
      </c>
      <c r="B213" s="108"/>
      <c r="C213" s="84"/>
      <c r="D213" s="84"/>
      <c r="E213" s="18"/>
      <c r="F213" s="109"/>
      <c r="G213" s="109"/>
      <c r="H213" s="70" t="str">
        <f aca="false">IF($C213="","",ROUND(N($F213)*N($G213),2))</f>
        <v/>
      </c>
      <c r="I213" s="84" t="s">
        <v>266</v>
      </c>
      <c r="J213" s="70" t="str">
        <f aca="false">IF($C213="","",ROUND(N($H213),2))</f>
        <v/>
      </c>
      <c r="K213" s="70" t="n">
        <v>0</v>
      </c>
      <c r="L213" s="84"/>
      <c r="M213" s="84"/>
      <c r="N213" s="18"/>
      <c r="O213" s="84"/>
      <c r="P213" s="18"/>
      <c r="Q213" s="67" t="str">
        <f aca="false">IF(OR($C213="",ROUND(N($H213),2)=0),"",$L213)</f>
        <v/>
      </c>
      <c r="R213" s="70" t="str">
        <f aca="false">IF($Q213="","",ROUND(N($H213),2))</f>
        <v/>
      </c>
      <c r="S213" s="70" t="str">
        <f aca="false">IF($Q213="","",0)</f>
        <v/>
      </c>
      <c r="T213" s="67" t="str">
        <f aca="false">""</f>
        <v/>
      </c>
      <c r="U213" s="70" t="str">
        <f aca="false">IF($T213="","",0)</f>
        <v/>
      </c>
      <c r="V213" s="70" t="str">
        <f aca="false">IF($T213="","",0)</f>
        <v/>
      </c>
      <c r="W213" s="67" t="str">
        <f aca="false">IF($Q213="","","应付账款")</f>
        <v/>
      </c>
      <c r="X213" s="70" t="str">
        <f aca="false">IF($W213="","",0)</f>
        <v/>
      </c>
      <c r="Y213" s="70" t="str">
        <f aca="false">IF($W213="","",ROUND(N($H213),2))</f>
        <v/>
      </c>
      <c r="Z213" s="42"/>
      <c r="AA213" s="44"/>
      <c r="AB213" s="41" t="str">
        <f aca="false">IF($C213="","",ROUND(N($H213)-N($AA213),2))</f>
        <v/>
      </c>
      <c r="AC213" s="9" t="str">
        <f aca="false">IF($B213="","",TEXT($B213,"yyyy年m月"))</f>
        <v/>
      </c>
    </row>
    <row r="214" customFormat="false" ht="18" hidden="false" customHeight="true" outlineLevel="0" collapsed="false">
      <c r="A214" s="107" t="str">
        <f aca="false">IF($C214="","",ROW()-3)</f>
        <v/>
      </c>
      <c r="B214" s="108"/>
      <c r="C214" s="84"/>
      <c r="D214" s="84"/>
      <c r="E214" s="18"/>
      <c r="F214" s="109"/>
      <c r="G214" s="109"/>
      <c r="H214" s="70" t="str">
        <f aca="false">IF($C214="","",ROUND(N($F214)*N($G214),2))</f>
        <v/>
      </c>
      <c r="I214" s="84" t="s">
        <v>266</v>
      </c>
      <c r="J214" s="70" t="str">
        <f aca="false">IF($C214="","",ROUND(N($H214),2))</f>
        <v/>
      </c>
      <c r="K214" s="70" t="n">
        <v>0</v>
      </c>
      <c r="L214" s="84"/>
      <c r="M214" s="84"/>
      <c r="N214" s="18"/>
      <c r="O214" s="84"/>
      <c r="P214" s="18"/>
      <c r="Q214" s="67" t="str">
        <f aca="false">IF(OR($C214="",ROUND(N($H214),2)=0),"",$L214)</f>
        <v/>
      </c>
      <c r="R214" s="70" t="str">
        <f aca="false">IF($Q214="","",ROUND(N($H214),2))</f>
        <v/>
      </c>
      <c r="S214" s="70" t="str">
        <f aca="false">IF($Q214="","",0)</f>
        <v/>
      </c>
      <c r="T214" s="67" t="str">
        <f aca="false">""</f>
        <v/>
      </c>
      <c r="U214" s="70" t="str">
        <f aca="false">IF($T214="","",0)</f>
        <v/>
      </c>
      <c r="V214" s="70" t="str">
        <f aca="false">IF($T214="","",0)</f>
        <v/>
      </c>
      <c r="W214" s="67" t="str">
        <f aca="false">IF($Q214="","","应付账款")</f>
        <v/>
      </c>
      <c r="X214" s="70" t="str">
        <f aca="false">IF($W214="","",0)</f>
        <v/>
      </c>
      <c r="Y214" s="70" t="str">
        <f aca="false">IF($W214="","",ROUND(N($H214),2))</f>
        <v/>
      </c>
      <c r="Z214" s="42"/>
      <c r="AA214" s="44"/>
      <c r="AB214" s="41" t="str">
        <f aca="false">IF($C214="","",ROUND(N($H214)-N($AA214),2))</f>
        <v/>
      </c>
      <c r="AC214" s="9" t="str">
        <f aca="false">IF($B214="","",TEXT($B214,"yyyy年m月"))</f>
        <v/>
      </c>
    </row>
    <row r="215" customFormat="false" ht="18" hidden="false" customHeight="true" outlineLevel="0" collapsed="false">
      <c r="A215" s="107" t="str">
        <f aca="false">IF($C215="","",ROW()-3)</f>
        <v/>
      </c>
      <c r="B215" s="108"/>
      <c r="C215" s="84"/>
      <c r="D215" s="84"/>
      <c r="E215" s="18"/>
      <c r="F215" s="109"/>
      <c r="G215" s="109"/>
      <c r="H215" s="70" t="str">
        <f aca="false">IF($C215="","",ROUND(N($F215)*N($G215),2))</f>
        <v/>
      </c>
      <c r="I215" s="84" t="s">
        <v>266</v>
      </c>
      <c r="J215" s="70" t="str">
        <f aca="false">IF($C215="","",ROUND(N($H215),2))</f>
        <v/>
      </c>
      <c r="K215" s="70" t="n">
        <v>0</v>
      </c>
      <c r="L215" s="84"/>
      <c r="M215" s="84"/>
      <c r="N215" s="18"/>
      <c r="O215" s="84"/>
      <c r="P215" s="18"/>
      <c r="Q215" s="67" t="str">
        <f aca="false">IF(OR($C215="",ROUND(N($H215),2)=0),"",$L215)</f>
        <v/>
      </c>
      <c r="R215" s="70" t="str">
        <f aca="false">IF($Q215="","",ROUND(N($H215),2))</f>
        <v/>
      </c>
      <c r="S215" s="70" t="str">
        <f aca="false">IF($Q215="","",0)</f>
        <v/>
      </c>
      <c r="T215" s="67" t="str">
        <f aca="false">""</f>
        <v/>
      </c>
      <c r="U215" s="70" t="str">
        <f aca="false">IF($T215="","",0)</f>
        <v/>
      </c>
      <c r="V215" s="70" t="str">
        <f aca="false">IF($T215="","",0)</f>
        <v/>
      </c>
      <c r="W215" s="67" t="str">
        <f aca="false">IF($Q215="","","应付账款")</f>
        <v/>
      </c>
      <c r="X215" s="70" t="str">
        <f aca="false">IF($W215="","",0)</f>
        <v/>
      </c>
      <c r="Y215" s="70" t="str">
        <f aca="false">IF($W215="","",ROUND(N($H215),2))</f>
        <v/>
      </c>
      <c r="Z215" s="42"/>
      <c r="AA215" s="44"/>
      <c r="AB215" s="41" t="str">
        <f aca="false">IF($C215="","",ROUND(N($H215)-N($AA215),2))</f>
        <v/>
      </c>
      <c r="AC215" s="9" t="str">
        <f aca="false">IF($B215="","",TEXT($B215,"yyyy年m月"))</f>
        <v/>
      </c>
    </row>
    <row r="216" customFormat="false" ht="18" hidden="false" customHeight="true" outlineLevel="0" collapsed="false">
      <c r="A216" s="107" t="str">
        <f aca="false">IF($C216="","",ROW()-3)</f>
        <v/>
      </c>
      <c r="B216" s="108"/>
      <c r="C216" s="84"/>
      <c r="D216" s="84"/>
      <c r="E216" s="18"/>
      <c r="F216" s="109"/>
      <c r="G216" s="109"/>
      <c r="H216" s="70" t="str">
        <f aca="false">IF($C216="","",ROUND(N($F216)*N($G216),2))</f>
        <v/>
      </c>
      <c r="I216" s="84" t="s">
        <v>266</v>
      </c>
      <c r="J216" s="70" t="str">
        <f aca="false">IF($C216="","",ROUND(N($H216),2))</f>
        <v/>
      </c>
      <c r="K216" s="70" t="n">
        <v>0</v>
      </c>
      <c r="L216" s="84"/>
      <c r="M216" s="84"/>
      <c r="N216" s="18"/>
      <c r="O216" s="84"/>
      <c r="P216" s="18"/>
      <c r="Q216" s="67" t="str">
        <f aca="false">IF(OR($C216="",ROUND(N($H216),2)=0),"",$L216)</f>
        <v/>
      </c>
      <c r="R216" s="70" t="str">
        <f aca="false">IF($Q216="","",ROUND(N($H216),2))</f>
        <v/>
      </c>
      <c r="S216" s="70" t="str">
        <f aca="false">IF($Q216="","",0)</f>
        <v/>
      </c>
      <c r="T216" s="67" t="str">
        <f aca="false">""</f>
        <v/>
      </c>
      <c r="U216" s="70" t="str">
        <f aca="false">IF($T216="","",0)</f>
        <v/>
      </c>
      <c r="V216" s="70" t="str">
        <f aca="false">IF($T216="","",0)</f>
        <v/>
      </c>
      <c r="W216" s="67" t="str">
        <f aca="false">IF($Q216="","","应付账款")</f>
        <v/>
      </c>
      <c r="X216" s="70" t="str">
        <f aca="false">IF($W216="","",0)</f>
        <v/>
      </c>
      <c r="Y216" s="70" t="str">
        <f aca="false">IF($W216="","",ROUND(N($H216),2))</f>
        <v/>
      </c>
      <c r="Z216" s="42"/>
      <c r="AA216" s="44"/>
      <c r="AB216" s="41" t="str">
        <f aca="false">IF($C216="","",ROUND(N($H216)-N($AA216),2))</f>
        <v/>
      </c>
      <c r="AC216" s="9" t="str">
        <f aca="false">IF($B216="","",TEXT($B216,"yyyy年m月"))</f>
        <v/>
      </c>
    </row>
    <row r="217" customFormat="false" ht="18" hidden="false" customHeight="true" outlineLevel="0" collapsed="false">
      <c r="A217" s="107" t="str">
        <f aca="false">IF($C217="","",ROW()-3)</f>
        <v/>
      </c>
      <c r="B217" s="108"/>
      <c r="C217" s="84"/>
      <c r="D217" s="84"/>
      <c r="E217" s="18"/>
      <c r="F217" s="109"/>
      <c r="G217" s="109"/>
      <c r="H217" s="70" t="str">
        <f aca="false">IF($C217="","",ROUND(N($F217)*N($G217),2))</f>
        <v/>
      </c>
      <c r="I217" s="84" t="s">
        <v>266</v>
      </c>
      <c r="J217" s="70" t="str">
        <f aca="false">IF($C217="","",ROUND(N($H217),2))</f>
        <v/>
      </c>
      <c r="K217" s="70" t="n">
        <v>0</v>
      </c>
      <c r="L217" s="84"/>
      <c r="M217" s="84"/>
      <c r="N217" s="18"/>
      <c r="O217" s="84"/>
      <c r="P217" s="18"/>
      <c r="Q217" s="67" t="str">
        <f aca="false">IF(OR($C217="",ROUND(N($H217),2)=0),"",$L217)</f>
        <v/>
      </c>
      <c r="R217" s="70" t="str">
        <f aca="false">IF($Q217="","",ROUND(N($H217),2))</f>
        <v/>
      </c>
      <c r="S217" s="70" t="str">
        <f aca="false">IF($Q217="","",0)</f>
        <v/>
      </c>
      <c r="T217" s="67" t="str">
        <f aca="false">""</f>
        <v/>
      </c>
      <c r="U217" s="70" t="str">
        <f aca="false">IF($T217="","",0)</f>
        <v/>
      </c>
      <c r="V217" s="70" t="str">
        <f aca="false">IF($T217="","",0)</f>
        <v/>
      </c>
      <c r="W217" s="67" t="str">
        <f aca="false">IF($Q217="","","应付账款")</f>
        <v/>
      </c>
      <c r="X217" s="70" t="str">
        <f aca="false">IF($W217="","",0)</f>
        <v/>
      </c>
      <c r="Y217" s="70" t="str">
        <f aca="false">IF($W217="","",ROUND(N($H217),2))</f>
        <v/>
      </c>
      <c r="Z217" s="42"/>
      <c r="AA217" s="44"/>
      <c r="AB217" s="41" t="str">
        <f aca="false">IF($C217="","",ROUND(N($H217)-N($AA217),2))</f>
        <v/>
      </c>
      <c r="AC217" s="9" t="str">
        <f aca="false">IF($B217="","",TEXT($B217,"yyyy年m月"))</f>
        <v/>
      </c>
    </row>
    <row r="218" customFormat="false" ht="18" hidden="false" customHeight="true" outlineLevel="0" collapsed="false">
      <c r="A218" s="107" t="str">
        <f aca="false">IF($C218="","",ROW()-3)</f>
        <v/>
      </c>
      <c r="B218" s="108"/>
      <c r="C218" s="84"/>
      <c r="D218" s="84"/>
      <c r="E218" s="18"/>
      <c r="F218" s="109"/>
      <c r="G218" s="109"/>
      <c r="H218" s="70" t="str">
        <f aca="false">IF($C218="","",ROUND(N($F218)*N($G218),2))</f>
        <v/>
      </c>
      <c r="I218" s="84" t="s">
        <v>266</v>
      </c>
      <c r="J218" s="70" t="str">
        <f aca="false">IF($C218="","",ROUND(N($H218),2))</f>
        <v/>
      </c>
      <c r="K218" s="70" t="n">
        <v>0</v>
      </c>
      <c r="L218" s="84"/>
      <c r="M218" s="84"/>
      <c r="N218" s="18"/>
      <c r="O218" s="84"/>
      <c r="P218" s="18"/>
      <c r="Q218" s="67" t="str">
        <f aca="false">IF(OR($C218="",ROUND(N($H218),2)=0),"",$L218)</f>
        <v/>
      </c>
      <c r="R218" s="70" t="str">
        <f aca="false">IF($Q218="","",ROUND(N($H218),2))</f>
        <v/>
      </c>
      <c r="S218" s="70" t="str">
        <f aca="false">IF($Q218="","",0)</f>
        <v/>
      </c>
      <c r="T218" s="67" t="str">
        <f aca="false">""</f>
        <v/>
      </c>
      <c r="U218" s="70" t="str">
        <f aca="false">IF($T218="","",0)</f>
        <v/>
      </c>
      <c r="V218" s="70" t="str">
        <f aca="false">IF($T218="","",0)</f>
        <v/>
      </c>
      <c r="W218" s="67" t="str">
        <f aca="false">IF($Q218="","","应付账款")</f>
        <v/>
      </c>
      <c r="X218" s="70" t="str">
        <f aca="false">IF($W218="","",0)</f>
        <v/>
      </c>
      <c r="Y218" s="70" t="str">
        <f aca="false">IF($W218="","",ROUND(N($H218),2))</f>
        <v/>
      </c>
      <c r="Z218" s="42"/>
      <c r="AA218" s="44"/>
      <c r="AB218" s="41" t="str">
        <f aca="false">IF($C218="","",ROUND(N($H218)-N($AA218),2))</f>
        <v/>
      </c>
      <c r="AC218" s="9" t="str">
        <f aca="false">IF($B218="","",TEXT($B218,"yyyy年m月"))</f>
        <v/>
      </c>
    </row>
    <row r="219" customFormat="false" ht="18" hidden="false" customHeight="true" outlineLevel="0" collapsed="false">
      <c r="A219" s="107" t="str">
        <f aca="false">IF($C219="","",ROW()-3)</f>
        <v/>
      </c>
      <c r="B219" s="108"/>
      <c r="C219" s="84"/>
      <c r="D219" s="84"/>
      <c r="E219" s="18"/>
      <c r="F219" s="109"/>
      <c r="G219" s="109"/>
      <c r="H219" s="70" t="str">
        <f aca="false">IF($C219="","",ROUND(N($F219)*N($G219),2))</f>
        <v/>
      </c>
      <c r="I219" s="84" t="s">
        <v>266</v>
      </c>
      <c r="J219" s="70" t="str">
        <f aca="false">IF($C219="","",ROUND(N($H219),2))</f>
        <v/>
      </c>
      <c r="K219" s="70" t="n">
        <v>0</v>
      </c>
      <c r="L219" s="84"/>
      <c r="M219" s="84"/>
      <c r="N219" s="18"/>
      <c r="O219" s="84"/>
      <c r="P219" s="18"/>
      <c r="Q219" s="67" t="str">
        <f aca="false">IF(OR($C219="",ROUND(N($H219),2)=0),"",$L219)</f>
        <v/>
      </c>
      <c r="R219" s="70" t="str">
        <f aca="false">IF($Q219="","",ROUND(N($H219),2))</f>
        <v/>
      </c>
      <c r="S219" s="70" t="str">
        <f aca="false">IF($Q219="","",0)</f>
        <v/>
      </c>
      <c r="T219" s="67" t="str">
        <f aca="false">""</f>
        <v/>
      </c>
      <c r="U219" s="70" t="str">
        <f aca="false">IF($T219="","",0)</f>
        <v/>
      </c>
      <c r="V219" s="70" t="str">
        <f aca="false">IF($T219="","",0)</f>
        <v/>
      </c>
      <c r="W219" s="67" t="str">
        <f aca="false">IF($Q219="","","应付账款")</f>
        <v/>
      </c>
      <c r="X219" s="70" t="str">
        <f aca="false">IF($W219="","",0)</f>
        <v/>
      </c>
      <c r="Y219" s="70" t="str">
        <f aca="false">IF($W219="","",ROUND(N($H219),2))</f>
        <v/>
      </c>
      <c r="Z219" s="42"/>
      <c r="AA219" s="44"/>
      <c r="AB219" s="41" t="str">
        <f aca="false">IF($C219="","",ROUND(N($H219)-N($AA219),2))</f>
        <v/>
      </c>
      <c r="AC219" s="9" t="str">
        <f aca="false">IF($B219="","",TEXT($B219,"yyyy年m月"))</f>
        <v/>
      </c>
    </row>
    <row r="220" customFormat="false" ht="18" hidden="false" customHeight="true" outlineLevel="0" collapsed="false">
      <c r="A220" s="107" t="str">
        <f aca="false">IF($C220="","",ROW()-3)</f>
        <v/>
      </c>
      <c r="B220" s="108"/>
      <c r="C220" s="84"/>
      <c r="D220" s="84"/>
      <c r="E220" s="18"/>
      <c r="F220" s="109"/>
      <c r="G220" s="109"/>
      <c r="H220" s="70" t="str">
        <f aca="false">IF($C220="","",ROUND(N($F220)*N($G220),2))</f>
        <v/>
      </c>
      <c r="I220" s="84" t="s">
        <v>266</v>
      </c>
      <c r="J220" s="70" t="str">
        <f aca="false">IF($C220="","",ROUND(N($H220),2))</f>
        <v/>
      </c>
      <c r="K220" s="70" t="n">
        <v>0</v>
      </c>
      <c r="L220" s="84"/>
      <c r="M220" s="84"/>
      <c r="N220" s="18"/>
      <c r="O220" s="84"/>
      <c r="P220" s="18"/>
      <c r="Q220" s="67" t="str">
        <f aca="false">IF(OR($C220="",ROUND(N($H220),2)=0),"",$L220)</f>
        <v/>
      </c>
      <c r="R220" s="70" t="str">
        <f aca="false">IF($Q220="","",ROUND(N($H220),2))</f>
        <v/>
      </c>
      <c r="S220" s="70" t="str">
        <f aca="false">IF($Q220="","",0)</f>
        <v/>
      </c>
      <c r="T220" s="67" t="str">
        <f aca="false">""</f>
        <v/>
      </c>
      <c r="U220" s="70" t="str">
        <f aca="false">IF($T220="","",0)</f>
        <v/>
      </c>
      <c r="V220" s="70" t="str">
        <f aca="false">IF($T220="","",0)</f>
        <v/>
      </c>
      <c r="W220" s="67" t="str">
        <f aca="false">IF($Q220="","","应付账款")</f>
        <v/>
      </c>
      <c r="X220" s="70" t="str">
        <f aca="false">IF($W220="","",0)</f>
        <v/>
      </c>
      <c r="Y220" s="70" t="str">
        <f aca="false">IF($W220="","",ROUND(N($H220),2))</f>
        <v/>
      </c>
      <c r="Z220" s="42"/>
      <c r="AA220" s="44"/>
      <c r="AB220" s="41" t="str">
        <f aca="false">IF($C220="","",ROUND(N($H220)-N($AA220),2))</f>
        <v/>
      </c>
      <c r="AC220" s="9" t="str">
        <f aca="false">IF($B220="","",TEXT($B220,"yyyy年m月"))</f>
        <v/>
      </c>
    </row>
    <row r="221" customFormat="false" ht="18" hidden="false" customHeight="true" outlineLevel="0" collapsed="false">
      <c r="A221" s="107" t="str">
        <f aca="false">IF($C221="","",ROW()-3)</f>
        <v/>
      </c>
      <c r="B221" s="108"/>
      <c r="C221" s="84"/>
      <c r="D221" s="84"/>
      <c r="E221" s="18"/>
      <c r="F221" s="109"/>
      <c r="G221" s="109"/>
      <c r="H221" s="70" t="str">
        <f aca="false">IF($C221="","",ROUND(N($F221)*N($G221),2))</f>
        <v/>
      </c>
      <c r="I221" s="84" t="s">
        <v>266</v>
      </c>
      <c r="J221" s="70" t="str">
        <f aca="false">IF($C221="","",ROUND(N($H221),2))</f>
        <v/>
      </c>
      <c r="K221" s="70" t="n">
        <v>0</v>
      </c>
      <c r="L221" s="84"/>
      <c r="M221" s="84"/>
      <c r="N221" s="18"/>
      <c r="O221" s="84"/>
      <c r="P221" s="18"/>
      <c r="Q221" s="67" t="str">
        <f aca="false">IF(OR($C221="",ROUND(N($H221),2)=0),"",$L221)</f>
        <v/>
      </c>
      <c r="R221" s="70" t="str">
        <f aca="false">IF($Q221="","",ROUND(N($H221),2))</f>
        <v/>
      </c>
      <c r="S221" s="70" t="str">
        <f aca="false">IF($Q221="","",0)</f>
        <v/>
      </c>
      <c r="T221" s="67" t="str">
        <f aca="false">""</f>
        <v/>
      </c>
      <c r="U221" s="70" t="str">
        <f aca="false">IF($T221="","",0)</f>
        <v/>
      </c>
      <c r="V221" s="70" t="str">
        <f aca="false">IF($T221="","",0)</f>
        <v/>
      </c>
      <c r="W221" s="67" t="str">
        <f aca="false">IF($Q221="","","应付账款")</f>
        <v/>
      </c>
      <c r="X221" s="70" t="str">
        <f aca="false">IF($W221="","",0)</f>
        <v/>
      </c>
      <c r="Y221" s="70" t="str">
        <f aca="false">IF($W221="","",ROUND(N($H221),2))</f>
        <v/>
      </c>
      <c r="Z221" s="42"/>
      <c r="AA221" s="44"/>
      <c r="AB221" s="41" t="str">
        <f aca="false">IF($C221="","",ROUND(N($H221)-N($AA221),2))</f>
        <v/>
      </c>
      <c r="AC221" s="9" t="str">
        <f aca="false">IF($B221="","",TEXT($B221,"yyyy年m月"))</f>
        <v/>
      </c>
    </row>
    <row r="222" customFormat="false" ht="18" hidden="false" customHeight="true" outlineLevel="0" collapsed="false">
      <c r="A222" s="107" t="str">
        <f aca="false">IF($C222="","",ROW()-3)</f>
        <v/>
      </c>
      <c r="B222" s="108"/>
      <c r="C222" s="84"/>
      <c r="D222" s="84"/>
      <c r="E222" s="18"/>
      <c r="F222" s="109"/>
      <c r="G222" s="109"/>
      <c r="H222" s="70" t="str">
        <f aca="false">IF($C222="","",ROUND(N($F222)*N($G222),2))</f>
        <v/>
      </c>
      <c r="I222" s="84" t="s">
        <v>266</v>
      </c>
      <c r="J222" s="70" t="str">
        <f aca="false">IF($C222="","",ROUND(N($H222),2))</f>
        <v/>
      </c>
      <c r="K222" s="70" t="n">
        <v>0</v>
      </c>
      <c r="L222" s="84"/>
      <c r="M222" s="84"/>
      <c r="N222" s="18"/>
      <c r="O222" s="84"/>
      <c r="P222" s="18"/>
      <c r="Q222" s="67" t="str">
        <f aca="false">IF(OR($C222="",ROUND(N($H222),2)=0),"",$L222)</f>
        <v/>
      </c>
      <c r="R222" s="70" t="str">
        <f aca="false">IF($Q222="","",ROUND(N($H222),2))</f>
        <v/>
      </c>
      <c r="S222" s="70" t="str">
        <f aca="false">IF($Q222="","",0)</f>
        <v/>
      </c>
      <c r="T222" s="67" t="str">
        <f aca="false">""</f>
        <v/>
      </c>
      <c r="U222" s="70" t="str">
        <f aca="false">IF($T222="","",0)</f>
        <v/>
      </c>
      <c r="V222" s="70" t="str">
        <f aca="false">IF($T222="","",0)</f>
        <v/>
      </c>
      <c r="W222" s="67" t="str">
        <f aca="false">IF($Q222="","","应付账款")</f>
        <v/>
      </c>
      <c r="X222" s="70" t="str">
        <f aca="false">IF($W222="","",0)</f>
        <v/>
      </c>
      <c r="Y222" s="70" t="str">
        <f aca="false">IF($W222="","",ROUND(N($H222),2))</f>
        <v/>
      </c>
      <c r="Z222" s="42"/>
      <c r="AA222" s="44"/>
      <c r="AB222" s="41" t="str">
        <f aca="false">IF($C222="","",ROUND(N($H222)-N($AA222),2))</f>
        <v/>
      </c>
      <c r="AC222" s="9" t="str">
        <f aca="false">IF($B222="","",TEXT($B222,"yyyy年m月"))</f>
        <v/>
      </c>
    </row>
    <row r="223" customFormat="false" ht="18" hidden="false" customHeight="true" outlineLevel="0" collapsed="false">
      <c r="A223" s="107" t="str">
        <f aca="false">IF($C223="","",ROW()-3)</f>
        <v/>
      </c>
      <c r="B223" s="108"/>
      <c r="C223" s="84"/>
      <c r="D223" s="84"/>
      <c r="E223" s="18"/>
      <c r="F223" s="109"/>
      <c r="G223" s="109"/>
      <c r="H223" s="70" t="str">
        <f aca="false">IF($C223="","",ROUND(N($F223)*N($G223),2))</f>
        <v/>
      </c>
      <c r="I223" s="84" t="s">
        <v>266</v>
      </c>
      <c r="J223" s="70" t="str">
        <f aca="false">IF($C223="","",ROUND(N($H223),2))</f>
        <v/>
      </c>
      <c r="K223" s="70" t="n">
        <v>0</v>
      </c>
      <c r="L223" s="84"/>
      <c r="M223" s="84"/>
      <c r="N223" s="18"/>
      <c r="O223" s="84"/>
      <c r="P223" s="18"/>
      <c r="Q223" s="67" t="str">
        <f aca="false">IF(OR($C223="",ROUND(N($H223),2)=0),"",$L223)</f>
        <v/>
      </c>
      <c r="R223" s="70" t="str">
        <f aca="false">IF($Q223="","",ROUND(N($H223),2))</f>
        <v/>
      </c>
      <c r="S223" s="70" t="str">
        <f aca="false">IF($Q223="","",0)</f>
        <v/>
      </c>
      <c r="T223" s="67" t="str">
        <f aca="false">""</f>
        <v/>
      </c>
      <c r="U223" s="70" t="str">
        <f aca="false">IF($T223="","",0)</f>
        <v/>
      </c>
      <c r="V223" s="70" t="str">
        <f aca="false">IF($T223="","",0)</f>
        <v/>
      </c>
      <c r="W223" s="67" t="str">
        <f aca="false">IF($Q223="","","应付账款")</f>
        <v/>
      </c>
      <c r="X223" s="70" t="str">
        <f aca="false">IF($W223="","",0)</f>
        <v/>
      </c>
      <c r="Y223" s="70" t="str">
        <f aca="false">IF($W223="","",ROUND(N($H223),2))</f>
        <v/>
      </c>
      <c r="Z223" s="42"/>
      <c r="AA223" s="44"/>
      <c r="AB223" s="41" t="str">
        <f aca="false">IF($C223="","",ROUND(N($H223)-N($AA223),2))</f>
        <v/>
      </c>
      <c r="AC223" s="9" t="str">
        <f aca="false">IF($B223="","",TEXT($B223,"yyyy年m月"))</f>
        <v/>
      </c>
    </row>
    <row r="224" customFormat="false" ht="18" hidden="false" customHeight="true" outlineLevel="0" collapsed="false">
      <c r="A224" s="107" t="str">
        <f aca="false">IF($C224="","",ROW()-3)</f>
        <v/>
      </c>
      <c r="B224" s="108"/>
      <c r="C224" s="84"/>
      <c r="D224" s="84"/>
      <c r="E224" s="18"/>
      <c r="F224" s="109"/>
      <c r="G224" s="109"/>
      <c r="H224" s="70" t="str">
        <f aca="false">IF($C224="","",ROUND(N($F224)*N($G224),2))</f>
        <v/>
      </c>
      <c r="I224" s="84" t="s">
        <v>266</v>
      </c>
      <c r="J224" s="70" t="str">
        <f aca="false">IF($C224="","",ROUND(N($H224),2))</f>
        <v/>
      </c>
      <c r="K224" s="70" t="n">
        <v>0</v>
      </c>
      <c r="L224" s="84"/>
      <c r="M224" s="84"/>
      <c r="N224" s="18"/>
      <c r="O224" s="84"/>
      <c r="P224" s="18"/>
      <c r="Q224" s="67" t="str">
        <f aca="false">IF(OR($C224="",ROUND(N($H224),2)=0),"",$L224)</f>
        <v/>
      </c>
      <c r="R224" s="70" t="str">
        <f aca="false">IF($Q224="","",ROUND(N($H224),2))</f>
        <v/>
      </c>
      <c r="S224" s="70" t="str">
        <f aca="false">IF($Q224="","",0)</f>
        <v/>
      </c>
      <c r="T224" s="67" t="str">
        <f aca="false">""</f>
        <v/>
      </c>
      <c r="U224" s="70" t="str">
        <f aca="false">IF($T224="","",0)</f>
        <v/>
      </c>
      <c r="V224" s="70" t="str">
        <f aca="false">IF($T224="","",0)</f>
        <v/>
      </c>
      <c r="W224" s="67" t="str">
        <f aca="false">IF($Q224="","","应付账款")</f>
        <v/>
      </c>
      <c r="X224" s="70" t="str">
        <f aca="false">IF($W224="","",0)</f>
        <v/>
      </c>
      <c r="Y224" s="70" t="str">
        <f aca="false">IF($W224="","",ROUND(N($H224),2))</f>
        <v/>
      </c>
      <c r="Z224" s="42"/>
      <c r="AA224" s="44"/>
      <c r="AB224" s="41" t="str">
        <f aca="false">IF($C224="","",ROUND(N($H224)-N($AA224),2))</f>
        <v/>
      </c>
      <c r="AC224" s="9" t="str">
        <f aca="false">IF($B224="","",TEXT($B224,"yyyy年m月"))</f>
        <v/>
      </c>
    </row>
    <row r="225" customFormat="false" ht="18" hidden="false" customHeight="true" outlineLevel="0" collapsed="false">
      <c r="A225" s="107" t="str">
        <f aca="false">IF($C225="","",ROW()-3)</f>
        <v/>
      </c>
      <c r="B225" s="108"/>
      <c r="C225" s="84"/>
      <c r="D225" s="84"/>
      <c r="E225" s="18"/>
      <c r="F225" s="109"/>
      <c r="G225" s="109"/>
      <c r="H225" s="70" t="str">
        <f aca="false">IF($C225="","",ROUND(N($F225)*N($G225),2))</f>
        <v/>
      </c>
      <c r="I225" s="84" t="s">
        <v>266</v>
      </c>
      <c r="J225" s="70" t="str">
        <f aca="false">IF($C225="","",ROUND(N($H225),2))</f>
        <v/>
      </c>
      <c r="K225" s="70" t="n">
        <v>0</v>
      </c>
      <c r="L225" s="84"/>
      <c r="M225" s="84"/>
      <c r="N225" s="18"/>
      <c r="O225" s="84"/>
      <c r="P225" s="18"/>
      <c r="Q225" s="67" t="str">
        <f aca="false">IF(OR($C225="",ROUND(N($H225),2)=0),"",$L225)</f>
        <v/>
      </c>
      <c r="R225" s="70" t="str">
        <f aca="false">IF($Q225="","",ROUND(N($H225),2))</f>
        <v/>
      </c>
      <c r="S225" s="70" t="str">
        <f aca="false">IF($Q225="","",0)</f>
        <v/>
      </c>
      <c r="T225" s="67" t="str">
        <f aca="false">""</f>
        <v/>
      </c>
      <c r="U225" s="70" t="str">
        <f aca="false">IF($T225="","",0)</f>
        <v/>
      </c>
      <c r="V225" s="70" t="str">
        <f aca="false">IF($T225="","",0)</f>
        <v/>
      </c>
      <c r="W225" s="67" t="str">
        <f aca="false">IF($Q225="","","应付账款")</f>
        <v/>
      </c>
      <c r="X225" s="70" t="str">
        <f aca="false">IF($W225="","",0)</f>
        <v/>
      </c>
      <c r="Y225" s="70" t="str">
        <f aca="false">IF($W225="","",ROUND(N($H225),2))</f>
        <v/>
      </c>
      <c r="Z225" s="42"/>
      <c r="AA225" s="44"/>
      <c r="AB225" s="41" t="str">
        <f aca="false">IF($C225="","",ROUND(N($H225)-N($AA225),2))</f>
        <v/>
      </c>
      <c r="AC225" s="9" t="str">
        <f aca="false">IF($B225="","",TEXT($B225,"yyyy年m月"))</f>
        <v/>
      </c>
    </row>
    <row r="226" customFormat="false" ht="18" hidden="false" customHeight="true" outlineLevel="0" collapsed="false">
      <c r="A226" s="107" t="str">
        <f aca="false">IF($C226="","",ROW()-3)</f>
        <v/>
      </c>
      <c r="B226" s="108"/>
      <c r="C226" s="84"/>
      <c r="D226" s="84"/>
      <c r="E226" s="18"/>
      <c r="F226" s="109"/>
      <c r="G226" s="109"/>
      <c r="H226" s="70" t="str">
        <f aca="false">IF($C226="","",ROUND(N($F226)*N($G226),2))</f>
        <v/>
      </c>
      <c r="I226" s="84" t="s">
        <v>266</v>
      </c>
      <c r="J226" s="70" t="str">
        <f aca="false">IF($C226="","",ROUND(N($H226),2))</f>
        <v/>
      </c>
      <c r="K226" s="70" t="n">
        <v>0</v>
      </c>
      <c r="L226" s="84"/>
      <c r="M226" s="84"/>
      <c r="N226" s="18"/>
      <c r="O226" s="84"/>
      <c r="P226" s="18"/>
      <c r="Q226" s="67" t="str">
        <f aca="false">IF(OR($C226="",ROUND(N($H226),2)=0),"",$L226)</f>
        <v/>
      </c>
      <c r="R226" s="70" t="str">
        <f aca="false">IF($Q226="","",ROUND(N($H226),2))</f>
        <v/>
      </c>
      <c r="S226" s="70" t="str">
        <f aca="false">IF($Q226="","",0)</f>
        <v/>
      </c>
      <c r="T226" s="67" t="str">
        <f aca="false">""</f>
        <v/>
      </c>
      <c r="U226" s="70" t="str">
        <f aca="false">IF($T226="","",0)</f>
        <v/>
      </c>
      <c r="V226" s="70" t="str">
        <f aca="false">IF($T226="","",0)</f>
        <v/>
      </c>
      <c r="W226" s="67" t="str">
        <f aca="false">IF($Q226="","","应付账款")</f>
        <v/>
      </c>
      <c r="X226" s="70" t="str">
        <f aca="false">IF($W226="","",0)</f>
        <v/>
      </c>
      <c r="Y226" s="70" t="str">
        <f aca="false">IF($W226="","",ROUND(N($H226),2))</f>
        <v/>
      </c>
      <c r="Z226" s="42"/>
      <c r="AA226" s="44"/>
      <c r="AB226" s="41" t="str">
        <f aca="false">IF($C226="","",ROUND(N($H226)-N($AA226),2))</f>
        <v/>
      </c>
      <c r="AC226" s="9" t="str">
        <f aca="false">IF($B226="","",TEXT($B226,"yyyy年m月"))</f>
        <v/>
      </c>
    </row>
    <row r="227" customFormat="false" ht="18" hidden="false" customHeight="true" outlineLevel="0" collapsed="false">
      <c r="A227" s="107" t="str">
        <f aca="false">IF($C227="","",ROW()-3)</f>
        <v/>
      </c>
      <c r="B227" s="108"/>
      <c r="C227" s="84"/>
      <c r="D227" s="84"/>
      <c r="E227" s="18"/>
      <c r="F227" s="109"/>
      <c r="G227" s="109"/>
      <c r="H227" s="70" t="str">
        <f aca="false">IF($C227="","",ROUND(N($F227)*N($G227),2))</f>
        <v/>
      </c>
      <c r="I227" s="84" t="s">
        <v>266</v>
      </c>
      <c r="J227" s="70" t="str">
        <f aca="false">IF($C227="","",ROUND(N($H227),2))</f>
        <v/>
      </c>
      <c r="K227" s="70" t="n">
        <v>0</v>
      </c>
      <c r="L227" s="84"/>
      <c r="M227" s="84"/>
      <c r="N227" s="18"/>
      <c r="O227" s="84"/>
      <c r="P227" s="18"/>
      <c r="Q227" s="67" t="str">
        <f aca="false">IF(OR($C227="",ROUND(N($H227),2)=0),"",$L227)</f>
        <v/>
      </c>
      <c r="R227" s="70" t="str">
        <f aca="false">IF($Q227="","",ROUND(N($H227),2))</f>
        <v/>
      </c>
      <c r="S227" s="70" t="str">
        <f aca="false">IF($Q227="","",0)</f>
        <v/>
      </c>
      <c r="T227" s="67" t="str">
        <f aca="false">""</f>
        <v/>
      </c>
      <c r="U227" s="70" t="str">
        <f aca="false">IF($T227="","",0)</f>
        <v/>
      </c>
      <c r="V227" s="70" t="str">
        <f aca="false">IF($T227="","",0)</f>
        <v/>
      </c>
      <c r="W227" s="67" t="str">
        <f aca="false">IF($Q227="","","应付账款")</f>
        <v/>
      </c>
      <c r="X227" s="70" t="str">
        <f aca="false">IF($W227="","",0)</f>
        <v/>
      </c>
      <c r="Y227" s="70" t="str">
        <f aca="false">IF($W227="","",ROUND(N($H227),2))</f>
        <v/>
      </c>
      <c r="Z227" s="42"/>
      <c r="AA227" s="44"/>
      <c r="AB227" s="41" t="str">
        <f aca="false">IF($C227="","",ROUND(N($H227)-N($AA227),2))</f>
        <v/>
      </c>
      <c r="AC227" s="9" t="str">
        <f aca="false">IF($B227="","",TEXT($B227,"yyyy年m月"))</f>
        <v/>
      </c>
    </row>
    <row r="228" customFormat="false" ht="18" hidden="false" customHeight="true" outlineLevel="0" collapsed="false">
      <c r="A228" s="107" t="str">
        <f aca="false">IF($C228="","",ROW()-3)</f>
        <v/>
      </c>
      <c r="B228" s="108"/>
      <c r="C228" s="84"/>
      <c r="D228" s="84"/>
      <c r="E228" s="18"/>
      <c r="F228" s="109"/>
      <c r="G228" s="109"/>
      <c r="H228" s="70" t="str">
        <f aca="false">IF($C228="","",ROUND(N($F228)*N($G228),2))</f>
        <v/>
      </c>
      <c r="I228" s="84" t="s">
        <v>266</v>
      </c>
      <c r="J228" s="70" t="str">
        <f aca="false">IF($C228="","",ROUND(N($H228),2))</f>
        <v/>
      </c>
      <c r="K228" s="70" t="n">
        <v>0</v>
      </c>
      <c r="L228" s="84"/>
      <c r="M228" s="84"/>
      <c r="N228" s="18"/>
      <c r="O228" s="84"/>
      <c r="P228" s="18"/>
      <c r="Q228" s="67" t="str">
        <f aca="false">IF(OR($C228="",ROUND(N($H228),2)=0),"",$L228)</f>
        <v/>
      </c>
      <c r="R228" s="70" t="str">
        <f aca="false">IF($Q228="","",ROUND(N($H228),2))</f>
        <v/>
      </c>
      <c r="S228" s="70" t="str">
        <f aca="false">IF($Q228="","",0)</f>
        <v/>
      </c>
      <c r="T228" s="67" t="str">
        <f aca="false">""</f>
        <v/>
      </c>
      <c r="U228" s="70" t="str">
        <f aca="false">IF($T228="","",0)</f>
        <v/>
      </c>
      <c r="V228" s="70" t="str">
        <f aca="false">IF($T228="","",0)</f>
        <v/>
      </c>
      <c r="W228" s="67" t="str">
        <f aca="false">IF($Q228="","","应付账款")</f>
        <v/>
      </c>
      <c r="X228" s="70" t="str">
        <f aca="false">IF($W228="","",0)</f>
        <v/>
      </c>
      <c r="Y228" s="70" t="str">
        <f aca="false">IF($W228="","",ROUND(N($H228),2))</f>
        <v/>
      </c>
      <c r="Z228" s="42"/>
      <c r="AA228" s="44"/>
      <c r="AB228" s="41" t="str">
        <f aca="false">IF($C228="","",ROUND(N($H228)-N($AA228),2))</f>
        <v/>
      </c>
      <c r="AC228" s="9" t="str">
        <f aca="false">IF($B228="","",TEXT($B228,"yyyy年m月"))</f>
        <v/>
      </c>
    </row>
    <row r="229" customFormat="false" ht="18" hidden="false" customHeight="true" outlineLevel="0" collapsed="false">
      <c r="A229" s="107" t="str">
        <f aca="false">IF($C229="","",ROW()-3)</f>
        <v/>
      </c>
      <c r="B229" s="108"/>
      <c r="C229" s="84"/>
      <c r="D229" s="84"/>
      <c r="E229" s="18"/>
      <c r="F229" s="109"/>
      <c r="G229" s="109"/>
      <c r="H229" s="70" t="str">
        <f aca="false">IF($C229="","",ROUND(N($F229)*N($G229),2))</f>
        <v/>
      </c>
      <c r="I229" s="84" t="s">
        <v>266</v>
      </c>
      <c r="J229" s="70" t="str">
        <f aca="false">IF($C229="","",ROUND(N($H229),2))</f>
        <v/>
      </c>
      <c r="K229" s="70" t="n">
        <v>0</v>
      </c>
      <c r="L229" s="84"/>
      <c r="M229" s="84"/>
      <c r="N229" s="18"/>
      <c r="O229" s="84"/>
      <c r="P229" s="18"/>
      <c r="Q229" s="67" t="str">
        <f aca="false">IF(OR($C229="",ROUND(N($H229),2)=0),"",$L229)</f>
        <v/>
      </c>
      <c r="R229" s="70" t="str">
        <f aca="false">IF($Q229="","",ROUND(N($H229),2))</f>
        <v/>
      </c>
      <c r="S229" s="70" t="str">
        <f aca="false">IF($Q229="","",0)</f>
        <v/>
      </c>
      <c r="T229" s="67" t="str">
        <f aca="false">""</f>
        <v/>
      </c>
      <c r="U229" s="70" t="str">
        <f aca="false">IF($T229="","",0)</f>
        <v/>
      </c>
      <c r="V229" s="70" t="str">
        <f aca="false">IF($T229="","",0)</f>
        <v/>
      </c>
      <c r="W229" s="67" t="str">
        <f aca="false">IF($Q229="","","应付账款")</f>
        <v/>
      </c>
      <c r="X229" s="70" t="str">
        <f aca="false">IF($W229="","",0)</f>
        <v/>
      </c>
      <c r="Y229" s="70" t="str">
        <f aca="false">IF($W229="","",ROUND(N($H229),2))</f>
        <v/>
      </c>
      <c r="Z229" s="42"/>
      <c r="AA229" s="44"/>
      <c r="AB229" s="41" t="str">
        <f aca="false">IF($C229="","",ROUND(N($H229)-N($AA229),2))</f>
        <v/>
      </c>
      <c r="AC229" s="9" t="str">
        <f aca="false">IF($B229="","",TEXT($B229,"yyyy年m月"))</f>
        <v/>
      </c>
    </row>
    <row r="230" customFormat="false" ht="18" hidden="false" customHeight="true" outlineLevel="0" collapsed="false">
      <c r="A230" s="107" t="str">
        <f aca="false">IF($C230="","",ROW()-3)</f>
        <v/>
      </c>
      <c r="B230" s="108"/>
      <c r="C230" s="84"/>
      <c r="D230" s="84"/>
      <c r="E230" s="18"/>
      <c r="F230" s="109"/>
      <c r="G230" s="109"/>
      <c r="H230" s="70" t="str">
        <f aca="false">IF($C230="","",ROUND(N($F230)*N($G230),2))</f>
        <v/>
      </c>
      <c r="I230" s="84" t="s">
        <v>266</v>
      </c>
      <c r="J230" s="70" t="str">
        <f aca="false">IF($C230="","",ROUND(N($H230),2))</f>
        <v/>
      </c>
      <c r="K230" s="70" t="n">
        <v>0</v>
      </c>
      <c r="L230" s="84"/>
      <c r="M230" s="84"/>
      <c r="N230" s="18"/>
      <c r="O230" s="84"/>
      <c r="P230" s="18"/>
      <c r="Q230" s="67" t="str">
        <f aca="false">IF(OR($C230="",ROUND(N($H230),2)=0),"",$L230)</f>
        <v/>
      </c>
      <c r="R230" s="70" t="str">
        <f aca="false">IF($Q230="","",ROUND(N($H230),2))</f>
        <v/>
      </c>
      <c r="S230" s="70" t="str">
        <f aca="false">IF($Q230="","",0)</f>
        <v/>
      </c>
      <c r="T230" s="67" t="str">
        <f aca="false">""</f>
        <v/>
      </c>
      <c r="U230" s="70" t="str">
        <f aca="false">IF($T230="","",0)</f>
        <v/>
      </c>
      <c r="V230" s="70" t="str">
        <f aca="false">IF($T230="","",0)</f>
        <v/>
      </c>
      <c r="W230" s="67" t="str">
        <f aca="false">IF($Q230="","","应付账款")</f>
        <v/>
      </c>
      <c r="X230" s="70" t="str">
        <f aca="false">IF($W230="","",0)</f>
        <v/>
      </c>
      <c r="Y230" s="70" t="str">
        <f aca="false">IF($W230="","",ROUND(N($H230),2))</f>
        <v/>
      </c>
      <c r="Z230" s="42"/>
      <c r="AA230" s="44"/>
      <c r="AB230" s="41" t="str">
        <f aca="false">IF($C230="","",ROUND(N($H230)-N($AA230),2))</f>
        <v/>
      </c>
      <c r="AC230" s="9" t="str">
        <f aca="false">IF($B230="","",TEXT($B230,"yyyy年m月"))</f>
        <v/>
      </c>
    </row>
    <row r="231" customFormat="false" ht="18" hidden="false" customHeight="true" outlineLevel="0" collapsed="false">
      <c r="A231" s="107" t="str">
        <f aca="false">IF($C231="","",ROW()-3)</f>
        <v/>
      </c>
      <c r="B231" s="108"/>
      <c r="C231" s="84"/>
      <c r="D231" s="84"/>
      <c r="E231" s="18"/>
      <c r="F231" s="109"/>
      <c r="G231" s="109"/>
      <c r="H231" s="70" t="str">
        <f aca="false">IF($C231="","",ROUND(N($F231)*N($G231),2))</f>
        <v/>
      </c>
      <c r="I231" s="84" t="s">
        <v>266</v>
      </c>
      <c r="J231" s="70" t="str">
        <f aca="false">IF($C231="","",ROUND(N($H231),2))</f>
        <v/>
      </c>
      <c r="K231" s="70" t="n">
        <v>0</v>
      </c>
      <c r="L231" s="84"/>
      <c r="M231" s="84"/>
      <c r="N231" s="18"/>
      <c r="O231" s="84"/>
      <c r="P231" s="18"/>
      <c r="Q231" s="67" t="str">
        <f aca="false">IF(OR($C231="",ROUND(N($H231),2)=0),"",$L231)</f>
        <v/>
      </c>
      <c r="R231" s="70" t="str">
        <f aca="false">IF($Q231="","",ROUND(N($H231),2))</f>
        <v/>
      </c>
      <c r="S231" s="70" t="str">
        <f aca="false">IF($Q231="","",0)</f>
        <v/>
      </c>
      <c r="T231" s="67" t="str">
        <f aca="false">""</f>
        <v/>
      </c>
      <c r="U231" s="70" t="str">
        <f aca="false">IF($T231="","",0)</f>
        <v/>
      </c>
      <c r="V231" s="70" t="str">
        <f aca="false">IF($T231="","",0)</f>
        <v/>
      </c>
      <c r="W231" s="67" t="str">
        <f aca="false">IF($Q231="","","应付账款")</f>
        <v/>
      </c>
      <c r="X231" s="70" t="str">
        <f aca="false">IF($W231="","",0)</f>
        <v/>
      </c>
      <c r="Y231" s="70" t="str">
        <f aca="false">IF($W231="","",ROUND(N($H231),2))</f>
        <v/>
      </c>
      <c r="Z231" s="42"/>
      <c r="AA231" s="44"/>
      <c r="AB231" s="41" t="str">
        <f aca="false">IF($C231="","",ROUND(N($H231)-N($AA231),2))</f>
        <v/>
      </c>
      <c r="AC231" s="9" t="str">
        <f aca="false">IF($B231="","",TEXT($B231,"yyyy年m月"))</f>
        <v/>
      </c>
    </row>
    <row r="232" customFormat="false" ht="18" hidden="false" customHeight="true" outlineLevel="0" collapsed="false">
      <c r="A232" s="107" t="str">
        <f aca="false">IF($C232="","",ROW()-3)</f>
        <v/>
      </c>
      <c r="B232" s="108"/>
      <c r="C232" s="84"/>
      <c r="D232" s="84"/>
      <c r="E232" s="18"/>
      <c r="F232" s="109"/>
      <c r="G232" s="109"/>
      <c r="H232" s="70" t="str">
        <f aca="false">IF($C232="","",ROUND(N($F232)*N($G232),2))</f>
        <v/>
      </c>
      <c r="I232" s="84" t="s">
        <v>266</v>
      </c>
      <c r="J232" s="70" t="str">
        <f aca="false">IF($C232="","",ROUND(N($H232),2))</f>
        <v/>
      </c>
      <c r="K232" s="70" t="n">
        <v>0</v>
      </c>
      <c r="L232" s="84"/>
      <c r="M232" s="84"/>
      <c r="N232" s="18"/>
      <c r="O232" s="84"/>
      <c r="P232" s="18"/>
      <c r="Q232" s="67" t="str">
        <f aca="false">IF(OR($C232="",ROUND(N($H232),2)=0),"",$L232)</f>
        <v/>
      </c>
      <c r="R232" s="70" t="str">
        <f aca="false">IF($Q232="","",ROUND(N($H232),2))</f>
        <v/>
      </c>
      <c r="S232" s="70" t="str">
        <f aca="false">IF($Q232="","",0)</f>
        <v/>
      </c>
      <c r="T232" s="67" t="str">
        <f aca="false">""</f>
        <v/>
      </c>
      <c r="U232" s="70" t="str">
        <f aca="false">IF($T232="","",0)</f>
        <v/>
      </c>
      <c r="V232" s="70" t="str">
        <f aca="false">IF($T232="","",0)</f>
        <v/>
      </c>
      <c r="W232" s="67" t="str">
        <f aca="false">IF($Q232="","","应付账款")</f>
        <v/>
      </c>
      <c r="X232" s="70" t="str">
        <f aca="false">IF($W232="","",0)</f>
        <v/>
      </c>
      <c r="Y232" s="70" t="str">
        <f aca="false">IF($W232="","",ROUND(N($H232),2))</f>
        <v/>
      </c>
      <c r="Z232" s="42"/>
      <c r="AA232" s="44"/>
      <c r="AB232" s="41" t="str">
        <f aca="false">IF($C232="","",ROUND(N($H232)-N($AA232),2))</f>
        <v/>
      </c>
      <c r="AC232" s="9" t="str">
        <f aca="false">IF($B232="","",TEXT($B232,"yyyy年m月"))</f>
        <v/>
      </c>
    </row>
    <row r="233" customFormat="false" ht="18" hidden="false" customHeight="true" outlineLevel="0" collapsed="false">
      <c r="A233" s="107" t="str">
        <f aca="false">IF($C233="","",ROW()-3)</f>
        <v/>
      </c>
      <c r="B233" s="108"/>
      <c r="C233" s="84"/>
      <c r="D233" s="84"/>
      <c r="E233" s="18"/>
      <c r="F233" s="109"/>
      <c r="G233" s="109"/>
      <c r="H233" s="70" t="str">
        <f aca="false">IF($C233="","",ROUND(N($F233)*N($G233),2))</f>
        <v/>
      </c>
      <c r="I233" s="84" t="s">
        <v>266</v>
      </c>
      <c r="J233" s="70" t="str">
        <f aca="false">IF($C233="","",ROUND(N($H233),2))</f>
        <v/>
      </c>
      <c r="K233" s="70" t="n">
        <v>0</v>
      </c>
      <c r="L233" s="84"/>
      <c r="M233" s="84"/>
      <c r="N233" s="18"/>
      <c r="O233" s="84"/>
      <c r="P233" s="18"/>
      <c r="Q233" s="67" t="str">
        <f aca="false">IF(OR($C233="",ROUND(N($H233),2)=0),"",$L233)</f>
        <v/>
      </c>
      <c r="R233" s="70" t="str">
        <f aca="false">IF($Q233="","",ROUND(N($H233),2))</f>
        <v/>
      </c>
      <c r="S233" s="70" t="str">
        <f aca="false">IF($Q233="","",0)</f>
        <v/>
      </c>
      <c r="T233" s="67" t="str">
        <f aca="false">""</f>
        <v/>
      </c>
      <c r="U233" s="70" t="str">
        <f aca="false">IF($T233="","",0)</f>
        <v/>
      </c>
      <c r="V233" s="70" t="str">
        <f aca="false">IF($T233="","",0)</f>
        <v/>
      </c>
      <c r="W233" s="67" t="str">
        <f aca="false">IF($Q233="","","应付账款")</f>
        <v/>
      </c>
      <c r="X233" s="70" t="str">
        <f aca="false">IF($W233="","",0)</f>
        <v/>
      </c>
      <c r="Y233" s="70" t="str">
        <f aca="false">IF($W233="","",ROUND(N($H233),2))</f>
        <v/>
      </c>
      <c r="Z233" s="42"/>
      <c r="AA233" s="44"/>
      <c r="AB233" s="41" t="str">
        <f aca="false">IF($C233="","",ROUND(N($H233)-N($AA233),2))</f>
        <v/>
      </c>
      <c r="AC233" s="9" t="str">
        <f aca="false">IF($B233="","",TEXT($B233,"yyyy年m月"))</f>
        <v/>
      </c>
    </row>
    <row r="234" customFormat="false" ht="18" hidden="false" customHeight="true" outlineLevel="0" collapsed="false">
      <c r="A234" s="107" t="str">
        <f aca="false">IF($C234="","",ROW()-3)</f>
        <v/>
      </c>
      <c r="B234" s="108"/>
      <c r="C234" s="84"/>
      <c r="D234" s="84"/>
      <c r="E234" s="18"/>
      <c r="F234" s="109"/>
      <c r="G234" s="109"/>
      <c r="H234" s="70" t="str">
        <f aca="false">IF($C234="","",ROUND(N($F234)*N($G234),2))</f>
        <v/>
      </c>
      <c r="I234" s="84" t="s">
        <v>266</v>
      </c>
      <c r="J234" s="70" t="str">
        <f aca="false">IF($C234="","",ROUND(N($H234),2))</f>
        <v/>
      </c>
      <c r="K234" s="70" t="n">
        <v>0</v>
      </c>
      <c r="L234" s="84"/>
      <c r="M234" s="84"/>
      <c r="N234" s="18"/>
      <c r="O234" s="84"/>
      <c r="P234" s="18"/>
      <c r="Q234" s="67" t="str">
        <f aca="false">IF(OR($C234="",ROUND(N($H234),2)=0),"",$L234)</f>
        <v/>
      </c>
      <c r="R234" s="70" t="str">
        <f aca="false">IF($Q234="","",ROUND(N($H234),2))</f>
        <v/>
      </c>
      <c r="S234" s="70" t="str">
        <f aca="false">IF($Q234="","",0)</f>
        <v/>
      </c>
      <c r="T234" s="67" t="str">
        <f aca="false">""</f>
        <v/>
      </c>
      <c r="U234" s="70" t="str">
        <f aca="false">IF($T234="","",0)</f>
        <v/>
      </c>
      <c r="V234" s="70" t="str">
        <f aca="false">IF($T234="","",0)</f>
        <v/>
      </c>
      <c r="W234" s="67" t="str">
        <f aca="false">IF($Q234="","","应付账款")</f>
        <v/>
      </c>
      <c r="X234" s="70" t="str">
        <f aca="false">IF($W234="","",0)</f>
        <v/>
      </c>
      <c r="Y234" s="70" t="str">
        <f aca="false">IF($W234="","",ROUND(N($H234),2))</f>
        <v/>
      </c>
      <c r="Z234" s="42"/>
      <c r="AA234" s="44"/>
      <c r="AB234" s="41" t="str">
        <f aca="false">IF($C234="","",ROUND(N($H234)-N($AA234),2))</f>
        <v/>
      </c>
      <c r="AC234" s="9" t="str">
        <f aca="false">IF($B234="","",TEXT($B234,"yyyy年m月"))</f>
        <v/>
      </c>
    </row>
    <row r="235" customFormat="false" ht="18" hidden="false" customHeight="true" outlineLevel="0" collapsed="false">
      <c r="A235" s="107" t="str">
        <f aca="false">IF($C235="","",ROW()-3)</f>
        <v/>
      </c>
      <c r="B235" s="108"/>
      <c r="C235" s="84"/>
      <c r="D235" s="84"/>
      <c r="E235" s="18"/>
      <c r="F235" s="109"/>
      <c r="G235" s="109"/>
      <c r="H235" s="70" t="str">
        <f aca="false">IF($C235="","",ROUND(N($F235)*N($G235),2))</f>
        <v/>
      </c>
      <c r="I235" s="84" t="s">
        <v>266</v>
      </c>
      <c r="J235" s="70" t="str">
        <f aca="false">IF($C235="","",ROUND(N($H235),2))</f>
        <v/>
      </c>
      <c r="K235" s="70" t="n">
        <v>0</v>
      </c>
      <c r="L235" s="84"/>
      <c r="M235" s="84"/>
      <c r="N235" s="18"/>
      <c r="O235" s="84"/>
      <c r="P235" s="18"/>
      <c r="Q235" s="67" t="str">
        <f aca="false">IF(OR($C235="",ROUND(N($H235),2)=0),"",$L235)</f>
        <v/>
      </c>
      <c r="R235" s="70" t="str">
        <f aca="false">IF($Q235="","",ROUND(N($H235),2))</f>
        <v/>
      </c>
      <c r="S235" s="70" t="str">
        <f aca="false">IF($Q235="","",0)</f>
        <v/>
      </c>
      <c r="T235" s="67" t="str">
        <f aca="false">""</f>
        <v/>
      </c>
      <c r="U235" s="70" t="str">
        <f aca="false">IF($T235="","",0)</f>
        <v/>
      </c>
      <c r="V235" s="70" t="str">
        <f aca="false">IF($T235="","",0)</f>
        <v/>
      </c>
      <c r="W235" s="67" t="str">
        <f aca="false">IF($Q235="","","应付账款")</f>
        <v/>
      </c>
      <c r="X235" s="70" t="str">
        <f aca="false">IF($W235="","",0)</f>
        <v/>
      </c>
      <c r="Y235" s="70" t="str">
        <f aca="false">IF($W235="","",ROUND(N($H235),2))</f>
        <v/>
      </c>
      <c r="Z235" s="42"/>
      <c r="AA235" s="44"/>
      <c r="AB235" s="41" t="str">
        <f aca="false">IF($C235="","",ROUND(N($H235)-N($AA235),2))</f>
        <v/>
      </c>
      <c r="AC235" s="9" t="str">
        <f aca="false">IF($B235="","",TEXT($B235,"yyyy年m月"))</f>
        <v/>
      </c>
    </row>
    <row r="236" customFormat="false" ht="18" hidden="false" customHeight="true" outlineLevel="0" collapsed="false">
      <c r="A236" s="107" t="str">
        <f aca="false">IF($C236="","",ROW()-3)</f>
        <v/>
      </c>
      <c r="B236" s="108"/>
      <c r="C236" s="84"/>
      <c r="D236" s="84"/>
      <c r="E236" s="18"/>
      <c r="F236" s="109"/>
      <c r="G236" s="109"/>
      <c r="H236" s="70" t="str">
        <f aca="false">IF($C236="","",ROUND(N($F236)*N($G236),2))</f>
        <v/>
      </c>
      <c r="I236" s="84" t="s">
        <v>266</v>
      </c>
      <c r="J236" s="70" t="str">
        <f aca="false">IF($C236="","",ROUND(N($H236),2))</f>
        <v/>
      </c>
      <c r="K236" s="70" t="n">
        <v>0</v>
      </c>
      <c r="L236" s="84"/>
      <c r="M236" s="84"/>
      <c r="N236" s="18"/>
      <c r="O236" s="84"/>
      <c r="P236" s="18"/>
      <c r="Q236" s="67" t="str">
        <f aca="false">IF(OR($C236="",ROUND(N($H236),2)=0),"",$L236)</f>
        <v/>
      </c>
      <c r="R236" s="70" t="str">
        <f aca="false">IF($Q236="","",ROUND(N($H236),2))</f>
        <v/>
      </c>
      <c r="S236" s="70" t="str">
        <f aca="false">IF($Q236="","",0)</f>
        <v/>
      </c>
      <c r="T236" s="67" t="str">
        <f aca="false">""</f>
        <v/>
      </c>
      <c r="U236" s="70" t="str">
        <f aca="false">IF($T236="","",0)</f>
        <v/>
      </c>
      <c r="V236" s="70" t="str">
        <f aca="false">IF($T236="","",0)</f>
        <v/>
      </c>
      <c r="W236" s="67" t="str">
        <f aca="false">IF($Q236="","","应付账款")</f>
        <v/>
      </c>
      <c r="X236" s="70" t="str">
        <f aca="false">IF($W236="","",0)</f>
        <v/>
      </c>
      <c r="Y236" s="70" t="str">
        <f aca="false">IF($W236="","",ROUND(N($H236),2))</f>
        <v/>
      </c>
      <c r="Z236" s="42"/>
      <c r="AA236" s="44"/>
      <c r="AB236" s="41" t="str">
        <f aca="false">IF($C236="","",ROUND(N($H236)-N($AA236),2))</f>
        <v/>
      </c>
      <c r="AC236" s="9" t="str">
        <f aca="false">IF($B236="","",TEXT($B236,"yyyy年m月"))</f>
        <v/>
      </c>
    </row>
    <row r="237" customFormat="false" ht="18" hidden="false" customHeight="true" outlineLevel="0" collapsed="false">
      <c r="A237" s="107" t="str">
        <f aca="false">IF($C237="","",ROW()-3)</f>
        <v/>
      </c>
      <c r="B237" s="108"/>
      <c r="C237" s="84"/>
      <c r="D237" s="84"/>
      <c r="E237" s="18"/>
      <c r="F237" s="109"/>
      <c r="G237" s="109"/>
      <c r="H237" s="70" t="str">
        <f aca="false">IF($C237="","",ROUND(N($F237)*N($G237),2))</f>
        <v/>
      </c>
      <c r="I237" s="84" t="s">
        <v>266</v>
      </c>
      <c r="J237" s="70" t="str">
        <f aca="false">IF($C237="","",ROUND(N($H237),2))</f>
        <v/>
      </c>
      <c r="K237" s="70" t="n">
        <v>0</v>
      </c>
      <c r="L237" s="84"/>
      <c r="M237" s="84"/>
      <c r="N237" s="18"/>
      <c r="O237" s="84"/>
      <c r="P237" s="18"/>
      <c r="Q237" s="67" t="str">
        <f aca="false">IF(OR($C237="",ROUND(N($H237),2)=0),"",$L237)</f>
        <v/>
      </c>
      <c r="R237" s="70" t="str">
        <f aca="false">IF($Q237="","",ROUND(N($H237),2))</f>
        <v/>
      </c>
      <c r="S237" s="70" t="str">
        <f aca="false">IF($Q237="","",0)</f>
        <v/>
      </c>
      <c r="T237" s="67" t="str">
        <f aca="false">""</f>
        <v/>
      </c>
      <c r="U237" s="70" t="str">
        <f aca="false">IF($T237="","",0)</f>
        <v/>
      </c>
      <c r="V237" s="70" t="str">
        <f aca="false">IF($T237="","",0)</f>
        <v/>
      </c>
      <c r="W237" s="67" t="str">
        <f aca="false">IF($Q237="","","应付账款")</f>
        <v/>
      </c>
      <c r="X237" s="70" t="str">
        <f aca="false">IF($W237="","",0)</f>
        <v/>
      </c>
      <c r="Y237" s="70" t="str">
        <f aca="false">IF($W237="","",ROUND(N($H237),2))</f>
        <v/>
      </c>
      <c r="Z237" s="42"/>
      <c r="AA237" s="44"/>
      <c r="AB237" s="41" t="str">
        <f aca="false">IF($C237="","",ROUND(N($H237)-N($AA237),2))</f>
        <v/>
      </c>
      <c r="AC237" s="9" t="str">
        <f aca="false">IF($B237="","",TEXT($B237,"yyyy年m月"))</f>
        <v/>
      </c>
    </row>
    <row r="238" customFormat="false" ht="18" hidden="false" customHeight="true" outlineLevel="0" collapsed="false">
      <c r="A238" s="107" t="str">
        <f aca="false">IF($C238="","",ROW()-3)</f>
        <v/>
      </c>
      <c r="B238" s="108"/>
      <c r="C238" s="84"/>
      <c r="D238" s="84"/>
      <c r="E238" s="18"/>
      <c r="F238" s="109"/>
      <c r="G238" s="109"/>
      <c r="H238" s="70" t="str">
        <f aca="false">IF($C238="","",ROUND(N($F238)*N($G238),2))</f>
        <v/>
      </c>
      <c r="I238" s="84" t="s">
        <v>266</v>
      </c>
      <c r="J238" s="70" t="str">
        <f aca="false">IF($C238="","",ROUND(N($H238),2))</f>
        <v/>
      </c>
      <c r="K238" s="70" t="n">
        <v>0</v>
      </c>
      <c r="L238" s="84"/>
      <c r="M238" s="84"/>
      <c r="N238" s="18"/>
      <c r="O238" s="84"/>
      <c r="P238" s="18"/>
      <c r="Q238" s="67" t="str">
        <f aca="false">IF(OR($C238="",ROUND(N($H238),2)=0),"",$L238)</f>
        <v/>
      </c>
      <c r="R238" s="70" t="str">
        <f aca="false">IF($Q238="","",ROUND(N($H238),2))</f>
        <v/>
      </c>
      <c r="S238" s="70" t="str">
        <f aca="false">IF($Q238="","",0)</f>
        <v/>
      </c>
      <c r="T238" s="67" t="str">
        <f aca="false">""</f>
        <v/>
      </c>
      <c r="U238" s="70" t="str">
        <f aca="false">IF($T238="","",0)</f>
        <v/>
      </c>
      <c r="V238" s="70" t="str">
        <f aca="false">IF($T238="","",0)</f>
        <v/>
      </c>
      <c r="W238" s="67" t="str">
        <f aca="false">IF($Q238="","","应付账款")</f>
        <v/>
      </c>
      <c r="X238" s="70" t="str">
        <f aca="false">IF($W238="","",0)</f>
        <v/>
      </c>
      <c r="Y238" s="70" t="str">
        <f aca="false">IF($W238="","",ROUND(N($H238),2))</f>
        <v/>
      </c>
      <c r="Z238" s="42"/>
      <c r="AA238" s="44"/>
      <c r="AB238" s="41" t="str">
        <f aca="false">IF($C238="","",ROUND(N($H238)-N($AA238),2))</f>
        <v/>
      </c>
      <c r="AC238" s="9" t="str">
        <f aca="false">IF($B238="","",TEXT($B238,"yyyy年m月"))</f>
        <v/>
      </c>
    </row>
    <row r="239" customFormat="false" ht="18" hidden="false" customHeight="true" outlineLevel="0" collapsed="false">
      <c r="A239" s="107" t="str">
        <f aca="false">IF($C239="","",ROW()-3)</f>
        <v/>
      </c>
      <c r="B239" s="108"/>
      <c r="C239" s="84"/>
      <c r="D239" s="84"/>
      <c r="E239" s="18"/>
      <c r="F239" s="109"/>
      <c r="G239" s="109"/>
      <c r="H239" s="70" t="str">
        <f aca="false">IF($C239="","",ROUND(N($F239)*N($G239),2))</f>
        <v/>
      </c>
      <c r="I239" s="84" t="s">
        <v>266</v>
      </c>
      <c r="J239" s="70" t="str">
        <f aca="false">IF($C239="","",ROUND(N($H239),2))</f>
        <v/>
      </c>
      <c r="K239" s="70" t="n">
        <v>0</v>
      </c>
      <c r="L239" s="84"/>
      <c r="M239" s="84"/>
      <c r="N239" s="18"/>
      <c r="O239" s="84"/>
      <c r="P239" s="18"/>
      <c r="Q239" s="67" t="str">
        <f aca="false">IF(OR($C239="",ROUND(N($H239),2)=0),"",$L239)</f>
        <v/>
      </c>
      <c r="R239" s="70" t="str">
        <f aca="false">IF($Q239="","",ROUND(N($H239),2))</f>
        <v/>
      </c>
      <c r="S239" s="70" t="str">
        <f aca="false">IF($Q239="","",0)</f>
        <v/>
      </c>
      <c r="T239" s="67" t="str">
        <f aca="false">""</f>
        <v/>
      </c>
      <c r="U239" s="70" t="str">
        <f aca="false">IF($T239="","",0)</f>
        <v/>
      </c>
      <c r="V239" s="70" t="str">
        <f aca="false">IF($T239="","",0)</f>
        <v/>
      </c>
      <c r="W239" s="67" t="str">
        <f aca="false">IF($Q239="","","应付账款")</f>
        <v/>
      </c>
      <c r="X239" s="70" t="str">
        <f aca="false">IF($W239="","",0)</f>
        <v/>
      </c>
      <c r="Y239" s="70" t="str">
        <f aca="false">IF($W239="","",ROUND(N($H239),2))</f>
        <v/>
      </c>
      <c r="Z239" s="42"/>
      <c r="AA239" s="44"/>
      <c r="AB239" s="41" t="str">
        <f aca="false">IF($C239="","",ROUND(N($H239)-N($AA239),2))</f>
        <v/>
      </c>
      <c r="AC239" s="9" t="str">
        <f aca="false">IF($B239="","",TEXT($B239,"yyyy年m月"))</f>
        <v/>
      </c>
    </row>
    <row r="240" customFormat="false" ht="18" hidden="false" customHeight="true" outlineLevel="0" collapsed="false">
      <c r="A240" s="107" t="str">
        <f aca="false">IF($C240="","",ROW()-3)</f>
        <v/>
      </c>
      <c r="B240" s="108"/>
      <c r="C240" s="84"/>
      <c r="D240" s="84"/>
      <c r="E240" s="18"/>
      <c r="F240" s="109"/>
      <c r="G240" s="109"/>
      <c r="H240" s="70" t="str">
        <f aca="false">IF($C240="","",ROUND(N($F240)*N($G240),2))</f>
        <v/>
      </c>
      <c r="I240" s="84" t="s">
        <v>266</v>
      </c>
      <c r="J240" s="70" t="str">
        <f aca="false">IF($C240="","",ROUND(N($H240),2))</f>
        <v/>
      </c>
      <c r="K240" s="70" t="n">
        <v>0</v>
      </c>
      <c r="L240" s="84"/>
      <c r="M240" s="84"/>
      <c r="N240" s="18"/>
      <c r="O240" s="84"/>
      <c r="P240" s="18"/>
      <c r="Q240" s="67" t="str">
        <f aca="false">IF(OR($C240="",ROUND(N($H240),2)=0),"",$L240)</f>
        <v/>
      </c>
      <c r="R240" s="70" t="str">
        <f aca="false">IF($Q240="","",ROUND(N($H240),2))</f>
        <v/>
      </c>
      <c r="S240" s="70" t="str">
        <f aca="false">IF($Q240="","",0)</f>
        <v/>
      </c>
      <c r="T240" s="67" t="str">
        <f aca="false">""</f>
        <v/>
      </c>
      <c r="U240" s="70" t="str">
        <f aca="false">IF($T240="","",0)</f>
        <v/>
      </c>
      <c r="V240" s="70" t="str">
        <f aca="false">IF($T240="","",0)</f>
        <v/>
      </c>
      <c r="W240" s="67" t="str">
        <f aca="false">IF($Q240="","","应付账款")</f>
        <v/>
      </c>
      <c r="X240" s="70" t="str">
        <f aca="false">IF($W240="","",0)</f>
        <v/>
      </c>
      <c r="Y240" s="70" t="str">
        <f aca="false">IF($W240="","",ROUND(N($H240),2))</f>
        <v/>
      </c>
      <c r="Z240" s="42"/>
      <c r="AA240" s="44"/>
      <c r="AB240" s="41" t="str">
        <f aca="false">IF($C240="","",ROUND(N($H240)-N($AA240),2))</f>
        <v/>
      </c>
      <c r="AC240" s="9" t="str">
        <f aca="false">IF($B240="","",TEXT($B240,"yyyy年m月"))</f>
        <v/>
      </c>
    </row>
    <row r="241" customFormat="false" ht="18" hidden="false" customHeight="true" outlineLevel="0" collapsed="false">
      <c r="A241" s="107" t="str">
        <f aca="false">IF($C241="","",ROW()-3)</f>
        <v/>
      </c>
      <c r="B241" s="108"/>
      <c r="C241" s="84"/>
      <c r="D241" s="84"/>
      <c r="E241" s="18"/>
      <c r="F241" s="109"/>
      <c r="G241" s="109"/>
      <c r="H241" s="70" t="str">
        <f aca="false">IF($C241="","",ROUND(N($F241)*N($G241),2))</f>
        <v/>
      </c>
      <c r="I241" s="84" t="s">
        <v>266</v>
      </c>
      <c r="J241" s="70" t="str">
        <f aca="false">IF($C241="","",ROUND(N($H241),2))</f>
        <v/>
      </c>
      <c r="K241" s="70" t="n">
        <v>0</v>
      </c>
      <c r="L241" s="84"/>
      <c r="M241" s="84"/>
      <c r="N241" s="18"/>
      <c r="O241" s="84"/>
      <c r="P241" s="18"/>
      <c r="Q241" s="67" t="str">
        <f aca="false">IF(OR($C241="",ROUND(N($H241),2)=0),"",$L241)</f>
        <v/>
      </c>
      <c r="R241" s="70" t="str">
        <f aca="false">IF($Q241="","",ROUND(N($H241),2))</f>
        <v/>
      </c>
      <c r="S241" s="70" t="str">
        <f aca="false">IF($Q241="","",0)</f>
        <v/>
      </c>
      <c r="T241" s="67" t="str">
        <f aca="false">""</f>
        <v/>
      </c>
      <c r="U241" s="70" t="str">
        <f aca="false">IF($T241="","",0)</f>
        <v/>
      </c>
      <c r="V241" s="70" t="str">
        <f aca="false">IF($T241="","",0)</f>
        <v/>
      </c>
      <c r="W241" s="67" t="str">
        <f aca="false">IF($Q241="","","应付账款")</f>
        <v/>
      </c>
      <c r="X241" s="70" t="str">
        <f aca="false">IF($W241="","",0)</f>
        <v/>
      </c>
      <c r="Y241" s="70" t="str">
        <f aca="false">IF($W241="","",ROUND(N($H241),2))</f>
        <v/>
      </c>
      <c r="Z241" s="42"/>
      <c r="AA241" s="44"/>
      <c r="AB241" s="41" t="str">
        <f aca="false">IF($C241="","",ROUND(N($H241)-N($AA241),2))</f>
        <v/>
      </c>
      <c r="AC241" s="9" t="str">
        <f aca="false">IF($B241="","",TEXT($B241,"yyyy年m月"))</f>
        <v/>
      </c>
    </row>
    <row r="242" customFormat="false" ht="18" hidden="false" customHeight="true" outlineLevel="0" collapsed="false">
      <c r="A242" s="107" t="str">
        <f aca="false">IF($C242="","",ROW()-3)</f>
        <v/>
      </c>
      <c r="B242" s="108"/>
      <c r="C242" s="84"/>
      <c r="D242" s="84"/>
      <c r="E242" s="18"/>
      <c r="F242" s="109"/>
      <c r="G242" s="109"/>
      <c r="H242" s="70" t="str">
        <f aca="false">IF($C242="","",ROUND(N($F242)*N($G242),2))</f>
        <v/>
      </c>
      <c r="I242" s="84" t="s">
        <v>266</v>
      </c>
      <c r="J242" s="70" t="str">
        <f aca="false">IF($C242="","",ROUND(N($H242),2))</f>
        <v/>
      </c>
      <c r="K242" s="70" t="n">
        <v>0</v>
      </c>
      <c r="L242" s="84"/>
      <c r="M242" s="84"/>
      <c r="N242" s="18"/>
      <c r="O242" s="84"/>
      <c r="P242" s="18"/>
      <c r="Q242" s="67" t="str">
        <f aca="false">IF(OR($C242="",ROUND(N($H242),2)=0),"",$L242)</f>
        <v/>
      </c>
      <c r="R242" s="70" t="str">
        <f aca="false">IF($Q242="","",ROUND(N($H242),2))</f>
        <v/>
      </c>
      <c r="S242" s="70" t="str">
        <f aca="false">IF($Q242="","",0)</f>
        <v/>
      </c>
      <c r="T242" s="67" t="str">
        <f aca="false">""</f>
        <v/>
      </c>
      <c r="U242" s="70" t="str">
        <f aca="false">IF($T242="","",0)</f>
        <v/>
      </c>
      <c r="V242" s="70" t="str">
        <f aca="false">IF($T242="","",0)</f>
        <v/>
      </c>
      <c r="W242" s="67" t="str">
        <f aca="false">IF($Q242="","","应付账款")</f>
        <v/>
      </c>
      <c r="X242" s="70" t="str">
        <f aca="false">IF($W242="","",0)</f>
        <v/>
      </c>
      <c r="Y242" s="70" t="str">
        <f aca="false">IF($W242="","",ROUND(N($H242),2))</f>
        <v/>
      </c>
      <c r="Z242" s="42"/>
      <c r="AA242" s="44"/>
      <c r="AB242" s="41" t="str">
        <f aca="false">IF($C242="","",ROUND(N($H242)-N($AA242),2))</f>
        <v/>
      </c>
      <c r="AC242" s="9" t="str">
        <f aca="false">IF($B242="","",TEXT($B242,"yyyy年m月"))</f>
        <v/>
      </c>
    </row>
    <row r="243" customFormat="false" ht="18" hidden="false" customHeight="true" outlineLevel="0" collapsed="false">
      <c r="A243" s="107" t="str">
        <f aca="false">IF($C243="","",ROW()-3)</f>
        <v/>
      </c>
      <c r="B243" s="108"/>
      <c r="C243" s="84"/>
      <c r="D243" s="84"/>
      <c r="E243" s="18"/>
      <c r="F243" s="109"/>
      <c r="G243" s="109"/>
      <c r="H243" s="70" t="str">
        <f aca="false">IF($C243="","",ROUND(N($F243)*N($G243),2))</f>
        <v/>
      </c>
      <c r="I243" s="84" t="s">
        <v>266</v>
      </c>
      <c r="J243" s="70" t="str">
        <f aca="false">IF($C243="","",ROUND(N($H243),2))</f>
        <v/>
      </c>
      <c r="K243" s="70" t="n">
        <v>0</v>
      </c>
      <c r="L243" s="84"/>
      <c r="M243" s="84"/>
      <c r="N243" s="18"/>
      <c r="O243" s="84"/>
      <c r="P243" s="18"/>
      <c r="Q243" s="67" t="str">
        <f aca="false">IF(OR($C243="",ROUND(N($H243),2)=0),"",$L243)</f>
        <v/>
      </c>
      <c r="R243" s="70" t="str">
        <f aca="false">IF($Q243="","",ROUND(N($H243),2))</f>
        <v/>
      </c>
      <c r="S243" s="70" t="str">
        <f aca="false">IF($Q243="","",0)</f>
        <v/>
      </c>
      <c r="T243" s="67" t="str">
        <f aca="false">""</f>
        <v/>
      </c>
      <c r="U243" s="70" t="str">
        <f aca="false">IF($T243="","",0)</f>
        <v/>
      </c>
      <c r="V243" s="70" t="str">
        <f aca="false">IF($T243="","",0)</f>
        <v/>
      </c>
      <c r="W243" s="67" t="str">
        <f aca="false">IF($Q243="","","应付账款")</f>
        <v/>
      </c>
      <c r="X243" s="70" t="str">
        <f aca="false">IF($W243="","",0)</f>
        <v/>
      </c>
      <c r="Y243" s="70" t="str">
        <f aca="false">IF($W243="","",ROUND(N($H243),2))</f>
        <v/>
      </c>
      <c r="Z243" s="42"/>
      <c r="AA243" s="44"/>
      <c r="AB243" s="41" t="str">
        <f aca="false">IF($C243="","",ROUND(N($H243)-N($AA243),2))</f>
        <v/>
      </c>
      <c r="AC243" s="9" t="str">
        <f aca="false">IF($B243="","",TEXT($B243,"yyyy年m月"))</f>
        <v/>
      </c>
    </row>
    <row r="244" customFormat="false" ht="18" hidden="false" customHeight="true" outlineLevel="0" collapsed="false">
      <c r="A244" s="107" t="str">
        <f aca="false">IF($C244="","",ROW()-3)</f>
        <v/>
      </c>
      <c r="B244" s="108"/>
      <c r="C244" s="84"/>
      <c r="D244" s="84"/>
      <c r="E244" s="18"/>
      <c r="F244" s="109"/>
      <c r="G244" s="109"/>
      <c r="H244" s="70" t="str">
        <f aca="false">IF($C244="","",ROUND(N($F244)*N($G244),2))</f>
        <v/>
      </c>
      <c r="I244" s="84" t="s">
        <v>266</v>
      </c>
      <c r="J244" s="70" t="str">
        <f aca="false">IF($C244="","",ROUND(N($H244),2))</f>
        <v/>
      </c>
      <c r="K244" s="70" t="n">
        <v>0</v>
      </c>
      <c r="L244" s="84"/>
      <c r="M244" s="84"/>
      <c r="N244" s="18"/>
      <c r="O244" s="84"/>
      <c r="P244" s="18"/>
      <c r="Q244" s="67" t="str">
        <f aca="false">IF(OR($C244="",ROUND(N($H244),2)=0),"",$L244)</f>
        <v/>
      </c>
      <c r="R244" s="70" t="str">
        <f aca="false">IF($Q244="","",ROUND(N($H244),2))</f>
        <v/>
      </c>
      <c r="S244" s="70" t="str">
        <f aca="false">IF($Q244="","",0)</f>
        <v/>
      </c>
      <c r="T244" s="67" t="str">
        <f aca="false">""</f>
        <v/>
      </c>
      <c r="U244" s="70" t="str">
        <f aca="false">IF($T244="","",0)</f>
        <v/>
      </c>
      <c r="V244" s="70" t="str">
        <f aca="false">IF($T244="","",0)</f>
        <v/>
      </c>
      <c r="W244" s="67" t="str">
        <f aca="false">IF($Q244="","","应付账款")</f>
        <v/>
      </c>
      <c r="X244" s="70" t="str">
        <f aca="false">IF($W244="","",0)</f>
        <v/>
      </c>
      <c r="Y244" s="70" t="str">
        <f aca="false">IF($W244="","",ROUND(N($H244),2))</f>
        <v/>
      </c>
      <c r="Z244" s="42"/>
      <c r="AA244" s="44"/>
      <c r="AB244" s="41" t="str">
        <f aca="false">IF($C244="","",ROUND(N($H244)-N($AA244),2))</f>
        <v/>
      </c>
      <c r="AC244" s="9" t="str">
        <f aca="false">IF($B244="","",TEXT($B244,"yyyy年m月"))</f>
        <v/>
      </c>
    </row>
    <row r="245" customFormat="false" ht="18" hidden="false" customHeight="true" outlineLevel="0" collapsed="false">
      <c r="A245" s="107" t="str">
        <f aca="false">IF($C245="","",ROW()-3)</f>
        <v/>
      </c>
      <c r="B245" s="108"/>
      <c r="C245" s="84"/>
      <c r="D245" s="84"/>
      <c r="E245" s="18"/>
      <c r="F245" s="109"/>
      <c r="G245" s="109"/>
      <c r="H245" s="70" t="str">
        <f aca="false">IF($C245="","",ROUND(N($F245)*N($G245),2))</f>
        <v/>
      </c>
      <c r="I245" s="84" t="s">
        <v>266</v>
      </c>
      <c r="J245" s="70" t="str">
        <f aca="false">IF($C245="","",ROUND(N($H245),2))</f>
        <v/>
      </c>
      <c r="K245" s="70" t="n">
        <v>0</v>
      </c>
      <c r="L245" s="84"/>
      <c r="M245" s="84"/>
      <c r="N245" s="18"/>
      <c r="O245" s="84"/>
      <c r="P245" s="18"/>
      <c r="Q245" s="67" t="str">
        <f aca="false">IF(OR($C245="",ROUND(N($H245),2)=0),"",$L245)</f>
        <v/>
      </c>
      <c r="R245" s="70" t="str">
        <f aca="false">IF($Q245="","",ROUND(N($H245),2))</f>
        <v/>
      </c>
      <c r="S245" s="70" t="str">
        <f aca="false">IF($Q245="","",0)</f>
        <v/>
      </c>
      <c r="T245" s="67" t="str">
        <f aca="false">""</f>
        <v/>
      </c>
      <c r="U245" s="70" t="str">
        <f aca="false">IF($T245="","",0)</f>
        <v/>
      </c>
      <c r="V245" s="70" t="str">
        <f aca="false">IF($T245="","",0)</f>
        <v/>
      </c>
      <c r="W245" s="67" t="str">
        <f aca="false">IF($Q245="","","应付账款")</f>
        <v/>
      </c>
      <c r="X245" s="70" t="str">
        <f aca="false">IF($W245="","",0)</f>
        <v/>
      </c>
      <c r="Y245" s="70" t="str">
        <f aca="false">IF($W245="","",ROUND(N($H245),2))</f>
        <v/>
      </c>
      <c r="Z245" s="42"/>
      <c r="AA245" s="44"/>
      <c r="AB245" s="41" t="str">
        <f aca="false">IF($C245="","",ROUND(N($H245)-N($AA245),2))</f>
        <v/>
      </c>
      <c r="AC245" s="9" t="str">
        <f aca="false">IF($B245="","",TEXT($B245,"yyyy年m月"))</f>
        <v/>
      </c>
    </row>
    <row r="246" customFormat="false" ht="18" hidden="false" customHeight="true" outlineLevel="0" collapsed="false">
      <c r="A246" s="107" t="str">
        <f aca="false">IF($C246="","",ROW()-3)</f>
        <v/>
      </c>
      <c r="B246" s="108"/>
      <c r="C246" s="84"/>
      <c r="D246" s="84"/>
      <c r="E246" s="18"/>
      <c r="F246" s="109"/>
      <c r="G246" s="109"/>
      <c r="H246" s="70" t="str">
        <f aca="false">IF($C246="","",ROUND(N($F246)*N($G246),2))</f>
        <v/>
      </c>
      <c r="I246" s="84" t="s">
        <v>266</v>
      </c>
      <c r="J246" s="70" t="str">
        <f aca="false">IF($C246="","",ROUND(N($H246),2))</f>
        <v/>
      </c>
      <c r="K246" s="70" t="n">
        <v>0</v>
      </c>
      <c r="L246" s="84"/>
      <c r="M246" s="84"/>
      <c r="N246" s="18"/>
      <c r="O246" s="84"/>
      <c r="P246" s="18"/>
      <c r="Q246" s="67" t="str">
        <f aca="false">IF(OR($C246="",ROUND(N($H246),2)=0),"",$L246)</f>
        <v/>
      </c>
      <c r="R246" s="70" t="str">
        <f aca="false">IF($Q246="","",ROUND(N($H246),2))</f>
        <v/>
      </c>
      <c r="S246" s="70" t="str">
        <f aca="false">IF($Q246="","",0)</f>
        <v/>
      </c>
      <c r="T246" s="67" t="str">
        <f aca="false">""</f>
        <v/>
      </c>
      <c r="U246" s="70" t="str">
        <f aca="false">IF($T246="","",0)</f>
        <v/>
      </c>
      <c r="V246" s="70" t="str">
        <f aca="false">IF($T246="","",0)</f>
        <v/>
      </c>
      <c r="W246" s="67" t="str">
        <f aca="false">IF($Q246="","","应付账款")</f>
        <v/>
      </c>
      <c r="X246" s="70" t="str">
        <f aca="false">IF($W246="","",0)</f>
        <v/>
      </c>
      <c r="Y246" s="70" t="str">
        <f aca="false">IF($W246="","",ROUND(N($H246),2))</f>
        <v/>
      </c>
      <c r="Z246" s="42"/>
      <c r="AA246" s="44"/>
      <c r="AB246" s="41" t="str">
        <f aca="false">IF($C246="","",ROUND(N($H246)-N($AA246),2))</f>
        <v/>
      </c>
      <c r="AC246" s="9" t="str">
        <f aca="false">IF($B246="","",TEXT($B246,"yyyy年m月"))</f>
        <v/>
      </c>
    </row>
    <row r="247" customFormat="false" ht="18" hidden="false" customHeight="true" outlineLevel="0" collapsed="false">
      <c r="A247" s="107" t="str">
        <f aca="false">IF($C247="","",ROW()-3)</f>
        <v/>
      </c>
      <c r="B247" s="108"/>
      <c r="C247" s="84"/>
      <c r="D247" s="84"/>
      <c r="E247" s="18"/>
      <c r="F247" s="109"/>
      <c r="G247" s="109"/>
      <c r="H247" s="70" t="str">
        <f aca="false">IF($C247="","",ROUND(N($F247)*N($G247),2))</f>
        <v/>
      </c>
      <c r="I247" s="84" t="s">
        <v>266</v>
      </c>
      <c r="J247" s="70" t="str">
        <f aca="false">IF($C247="","",ROUND(N($H247),2))</f>
        <v/>
      </c>
      <c r="K247" s="70" t="n">
        <v>0</v>
      </c>
      <c r="L247" s="84"/>
      <c r="M247" s="84"/>
      <c r="N247" s="18"/>
      <c r="O247" s="84"/>
      <c r="P247" s="18"/>
      <c r="Q247" s="67" t="str">
        <f aca="false">IF(OR($C247="",ROUND(N($H247),2)=0),"",$L247)</f>
        <v/>
      </c>
      <c r="R247" s="70" t="str">
        <f aca="false">IF($Q247="","",ROUND(N($H247),2))</f>
        <v/>
      </c>
      <c r="S247" s="70" t="str">
        <f aca="false">IF($Q247="","",0)</f>
        <v/>
      </c>
      <c r="T247" s="67" t="str">
        <f aca="false">""</f>
        <v/>
      </c>
      <c r="U247" s="70" t="str">
        <f aca="false">IF($T247="","",0)</f>
        <v/>
      </c>
      <c r="V247" s="70" t="str">
        <f aca="false">IF($T247="","",0)</f>
        <v/>
      </c>
      <c r="W247" s="67" t="str">
        <f aca="false">IF($Q247="","","应付账款")</f>
        <v/>
      </c>
      <c r="X247" s="70" t="str">
        <f aca="false">IF($W247="","",0)</f>
        <v/>
      </c>
      <c r="Y247" s="70" t="str">
        <f aca="false">IF($W247="","",ROUND(N($H247),2))</f>
        <v/>
      </c>
      <c r="Z247" s="42"/>
      <c r="AA247" s="44"/>
      <c r="AB247" s="41" t="str">
        <f aca="false">IF($C247="","",ROUND(N($H247)-N($AA247),2))</f>
        <v/>
      </c>
      <c r="AC247" s="9" t="str">
        <f aca="false">IF($B247="","",TEXT($B247,"yyyy年m月"))</f>
        <v/>
      </c>
    </row>
    <row r="248" customFormat="false" ht="18" hidden="false" customHeight="true" outlineLevel="0" collapsed="false">
      <c r="A248" s="107" t="str">
        <f aca="false">IF($C248="","",ROW()-3)</f>
        <v/>
      </c>
      <c r="B248" s="108"/>
      <c r="C248" s="84"/>
      <c r="D248" s="84"/>
      <c r="E248" s="18"/>
      <c r="F248" s="109"/>
      <c r="G248" s="109"/>
      <c r="H248" s="70" t="str">
        <f aca="false">IF($C248="","",ROUND(N($F248)*N($G248),2))</f>
        <v/>
      </c>
      <c r="I248" s="84" t="s">
        <v>266</v>
      </c>
      <c r="J248" s="70" t="str">
        <f aca="false">IF($C248="","",ROUND(N($H248),2))</f>
        <v/>
      </c>
      <c r="K248" s="70" t="n">
        <v>0</v>
      </c>
      <c r="L248" s="84"/>
      <c r="M248" s="84"/>
      <c r="N248" s="18"/>
      <c r="O248" s="84"/>
      <c r="P248" s="18"/>
      <c r="Q248" s="67" t="str">
        <f aca="false">IF(OR($C248="",ROUND(N($H248),2)=0),"",$L248)</f>
        <v/>
      </c>
      <c r="R248" s="70" t="str">
        <f aca="false">IF($Q248="","",ROUND(N($H248),2))</f>
        <v/>
      </c>
      <c r="S248" s="70" t="str">
        <f aca="false">IF($Q248="","",0)</f>
        <v/>
      </c>
      <c r="T248" s="67" t="str">
        <f aca="false">""</f>
        <v/>
      </c>
      <c r="U248" s="70" t="str">
        <f aca="false">IF($T248="","",0)</f>
        <v/>
      </c>
      <c r="V248" s="70" t="str">
        <f aca="false">IF($T248="","",0)</f>
        <v/>
      </c>
      <c r="W248" s="67" t="str">
        <f aca="false">IF($Q248="","","应付账款")</f>
        <v/>
      </c>
      <c r="X248" s="70" t="str">
        <f aca="false">IF($W248="","",0)</f>
        <v/>
      </c>
      <c r="Y248" s="70" t="str">
        <f aca="false">IF($W248="","",ROUND(N($H248),2))</f>
        <v/>
      </c>
      <c r="Z248" s="42"/>
      <c r="AA248" s="44"/>
      <c r="AB248" s="41" t="str">
        <f aca="false">IF($C248="","",ROUND(N($H248)-N($AA248),2))</f>
        <v/>
      </c>
      <c r="AC248" s="9" t="str">
        <f aca="false">IF($B248="","",TEXT($B248,"yyyy年m月"))</f>
        <v/>
      </c>
    </row>
    <row r="249" customFormat="false" ht="18" hidden="false" customHeight="true" outlineLevel="0" collapsed="false">
      <c r="A249" s="107" t="str">
        <f aca="false">IF($C249="","",ROW()-3)</f>
        <v/>
      </c>
      <c r="B249" s="108"/>
      <c r="C249" s="84"/>
      <c r="D249" s="84"/>
      <c r="E249" s="18"/>
      <c r="F249" s="109"/>
      <c r="G249" s="109"/>
      <c r="H249" s="70" t="str">
        <f aca="false">IF($C249="","",ROUND(N($F249)*N($G249),2))</f>
        <v/>
      </c>
      <c r="I249" s="84" t="s">
        <v>266</v>
      </c>
      <c r="J249" s="70" t="str">
        <f aca="false">IF($C249="","",ROUND(N($H249),2))</f>
        <v/>
      </c>
      <c r="K249" s="70" t="n">
        <v>0</v>
      </c>
      <c r="L249" s="84"/>
      <c r="M249" s="84"/>
      <c r="N249" s="18"/>
      <c r="O249" s="84"/>
      <c r="P249" s="18"/>
      <c r="Q249" s="67" t="str">
        <f aca="false">IF(OR($C249="",ROUND(N($H249),2)=0),"",$L249)</f>
        <v/>
      </c>
      <c r="R249" s="70" t="str">
        <f aca="false">IF($Q249="","",ROUND(N($H249),2))</f>
        <v/>
      </c>
      <c r="S249" s="70" t="str">
        <f aca="false">IF($Q249="","",0)</f>
        <v/>
      </c>
      <c r="T249" s="67" t="str">
        <f aca="false">""</f>
        <v/>
      </c>
      <c r="U249" s="70" t="str">
        <f aca="false">IF($T249="","",0)</f>
        <v/>
      </c>
      <c r="V249" s="70" t="str">
        <f aca="false">IF($T249="","",0)</f>
        <v/>
      </c>
      <c r="W249" s="67" t="str">
        <f aca="false">IF($Q249="","","应付账款")</f>
        <v/>
      </c>
      <c r="X249" s="70" t="str">
        <f aca="false">IF($W249="","",0)</f>
        <v/>
      </c>
      <c r="Y249" s="70" t="str">
        <f aca="false">IF($W249="","",ROUND(N($H249),2))</f>
        <v/>
      </c>
      <c r="Z249" s="42"/>
      <c r="AA249" s="44"/>
      <c r="AB249" s="41" t="str">
        <f aca="false">IF($C249="","",ROUND(N($H249)-N($AA249),2))</f>
        <v/>
      </c>
      <c r="AC249" s="9" t="str">
        <f aca="false">IF($B249="","",TEXT($B249,"yyyy年m月"))</f>
        <v/>
      </c>
    </row>
    <row r="250" customFormat="false" ht="18" hidden="false" customHeight="true" outlineLevel="0" collapsed="false">
      <c r="A250" s="107" t="str">
        <f aca="false">IF($C250="","",ROW()-3)</f>
        <v/>
      </c>
      <c r="B250" s="108"/>
      <c r="C250" s="84"/>
      <c r="D250" s="84"/>
      <c r="E250" s="18"/>
      <c r="F250" s="109"/>
      <c r="G250" s="109"/>
      <c r="H250" s="70" t="str">
        <f aca="false">IF($C250="","",ROUND(N($F250)*N($G250),2))</f>
        <v/>
      </c>
      <c r="I250" s="84" t="s">
        <v>266</v>
      </c>
      <c r="J250" s="70" t="str">
        <f aca="false">IF($C250="","",ROUND(N($H250),2))</f>
        <v/>
      </c>
      <c r="K250" s="70" t="n">
        <v>0</v>
      </c>
      <c r="L250" s="84"/>
      <c r="M250" s="84"/>
      <c r="N250" s="18"/>
      <c r="O250" s="84"/>
      <c r="P250" s="18"/>
      <c r="Q250" s="67" t="str">
        <f aca="false">IF(OR($C250="",ROUND(N($H250),2)=0),"",$L250)</f>
        <v/>
      </c>
      <c r="R250" s="70" t="str">
        <f aca="false">IF($Q250="","",ROUND(N($H250),2))</f>
        <v/>
      </c>
      <c r="S250" s="70" t="str">
        <f aca="false">IF($Q250="","",0)</f>
        <v/>
      </c>
      <c r="T250" s="67" t="str">
        <f aca="false">""</f>
        <v/>
      </c>
      <c r="U250" s="70" t="str">
        <f aca="false">IF($T250="","",0)</f>
        <v/>
      </c>
      <c r="V250" s="70" t="str">
        <f aca="false">IF($T250="","",0)</f>
        <v/>
      </c>
      <c r="W250" s="67" t="str">
        <f aca="false">IF($Q250="","","应付账款")</f>
        <v/>
      </c>
      <c r="X250" s="70" t="str">
        <f aca="false">IF($W250="","",0)</f>
        <v/>
      </c>
      <c r="Y250" s="70" t="str">
        <f aca="false">IF($W250="","",ROUND(N($H250),2))</f>
        <v/>
      </c>
      <c r="Z250" s="42"/>
      <c r="AA250" s="44"/>
      <c r="AB250" s="41" t="str">
        <f aca="false">IF($C250="","",ROUND(N($H250)-N($AA250),2))</f>
        <v/>
      </c>
      <c r="AC250" s="9" t="str">
        <f aca="false">IF($B250="","",TEXT($B250,"yyyy年m月"))</f>
        <v/>
      </c>
    </row>
    <row r="251" customFormat="false" ht="18" hidden="false" customHeight="true" outlineLevel="0" collapsed="false">
      <c r="A251" s="107" t="str">
        <f aca="false">IF($C251="","",ROW()-3)</f>
        <v/>
      </c>
      <c r="B251" s="108"/>
      <c r="C251" s="84"/>
      <c r="D251" s="84"/>
      <c r="E251" s="18"/>
      <c r="F251" s="109"/>
      <c r="G251" s="109"/>
      <c r="H251" s="70" t="str">
        <f aca="false">IF($C251="","",ROUND(N($F251)*N($G251),2))</f>
        <v/>
      </c>
      <c r="I251" s="84" t="s">
        <v>266</v>
      </c>
      <c r="J251" s="70" t="str">
        <f aca="false">IF($C251="","",ROUND(N($H251),2))</f>
        <v/>
      </c>
      <c r="K251" s="70" t="n">
        <v>0</v>
      </c>
      <c r="L251" s="84"/>
      <c r="M251" s="84"/>
      <c r="N251" s="18"/>
      <c r="O251" s="84"/>
      <c r="P251" s="18"/>
      <c r="Q251" s="67" t="str">
        <f aca="false">IF(OR($C251="",ROUND(N($H251),2)=0),"",$L251)</f>
        <v/>
      </c>
      <c r="R251" s="70" t="str">
        <f aca="false">IF($Q251="","",ROUND(N($H251),2))</f>
        <v/>
      </c>
      <c r="S251" s="70" t="str">
        <f aca="false">IF($Q251="","",0)</f>
        <v/>
      </c>
      <c r="T251" s="67" t="str">
        <f aca="false">""</f>
        <v/>
      </c>
      <c r="U251" s="70" t="str">
        <f aca="false">IF($T251="","",0)</f>
        <v/>
      </c>
      <c r="V251" s="70" t="str">
        <f aca="false">IF($T251="","",0)</f>
        <v/>
      </c>
      <c r="W251" s="67" t="str">
        <f aca="false">IF($Q251="","","应付账款")</f>
        <v/>
      </c>
      <c r="X251" s="70" t="str">
        <f aca="false">IF($W251="","",0)</f>
        <v/>
      </c>
      <c r="Y251" s="70" t="str">
        <f aca="false">IF($W251="","",ROUND(N($H251),2))</f>
        <v/>
      </c>
      <c r="Z251" s="42"/>
      <c r="AA251" s="44"/>
      <c r="AB251" s="41" t="str">
        <f aca="false">IF($C251="","",ROUND(N($H251)-N($AA251),2))</f>
        <v/>
      </c>
      <c r="AC251" s="9" t="str">
        <f aca="false">IF($B251="","",TEXT($B251,"yyyy年m月"))</f>
        <v/>
      </c>
    </row>
    <row r="252" customFormat="false" ht="18" hidden="false" customHeight="true" outlineLevel="0" collapsed="false">
      <c r="A252" s="107" t="str">
        <f aca="false">IF($C252="","",ROW()-3)</f>
        <v/>
      </c>
      <c r="B252" s="108"/>
      <c r="C252" s="84"/>
      <c r="D252" s="84"/>
      <c r="E252" s="18"/>
      <c r="F252" s="109"/>
      <c r="G252" s="109"/>
      <c r="H252" s="70" t="str">
        <f aca="false">IF($C252="","",ROUND(N($F252)*N($G252),2))</f>
        <v/>
      </c>
      <c r="I252" s="84" t="s">
        <v>266</v>
      </c>
      <c r="J252" s="70" t="str">
        <f aca="false">IF($C252="","",ROUND(N($H252),2))</f>
        <v/>
      </c>
      <c r="K252" s="70" t="n">
        <v>0</v>
      </c>
      <c r="L252" s="84"/>
      <c r="M252" s="84"/>
      <c r="N252" s="18"/>
      <c r="O252" s="84"/>
      <c r="P252" s="18"/>
      <c r="Q252" s="67" t="str">
        <f aca="false">IF(OR($C252="",ROUND(N($H252),2)=0),"",$L252)</f>
        <v/>
      </c>
      <c r="R252" s="70" t="str">
        <f aca="false">IF($Q252="","",ROUND(N($H252),2))</f>
        <v/>
      </c>
      <c r="S252" s="70" t="str">
        <f aca="false">IF($Q252="","",0)</f>
        <v/>
      </c>
      <c r="T252" s="67" t="str">
        <f aca="false">""</f>
        <v/>
      </c>
      <c r="U252" s="70" t="str">
        <f aca="false">IF($T252="","",0)</f>
        <v/>
      </c>
      <c r="V252" s="70" t="str">
        <f aca="false">IF($T252="","",0)</f>
        <v/>
      </c>
      <c r="W252" s="67" t="str">
        <f aca="false">IF($Q252="","","应付账款")</f>
        <v/>
      </c>
      <c r="X252" s="70" t="str">
        <f aca="false">IF($W252="","",0)</f>
        <v/>
      </c>
      <c r="Y252" s="70" t="str">
        <f aca="false">IF($W252="","",ROUND(N($H252),2))</f>
        <v/>
      </c>
      <c r="Z252" s="42"/>
      <c r="AA252" s="44"/>
      <c r="AB252" s="41" t="str">
        <f aca="false">IF($C252="","",ROUND(N($H252)-N($AA252),2))</f>
        <v/>
      </c>
      <c r="AC252" s="9" t="str">
        <f aca="false">IF($B252="","",TEXT($B252,"yyyy年m月"))</f>
        <v/>
      </c>
    </row>
    <row r="253" customFormat="false" ht="18" hidden="false" customHeight="true" outlineLevel="0" collapsed="false">
      <c r="A253" s="107" t="str">
        <f aca="false">IF($C253="","",ROW()-3)</f>
        <v/>
      </c>
      <c r="B253" s="108"/>
      <c r="C253" s="84"/>
      <c r="D253" s="84"/>
      <c r="E253" s="18"/>
      <c r="F253" s="109"/>
      <c r="G253" s="109"/>
      <c r="H253" s="70" t="str">
        <f aca="false">IF($C253="","",ROUND(N($F253)*N($G253),2))</f>
        <v/>
      </c>
      <c r="I253" s="84" t="s">
        <v>266</v>
      </c>
      <c r="J253" s="70" t="str">
        <f aca="false">IF($C253="","",ROUND(N($H253),2))</f>
        <v/>
      </c>
      <c r="K253" s="70" t="n">
        <v>0</v>
      </c>
      <c r="L253" s="84"/>
      <c r="M253" s="84"/>
      <c r="N253" s="18"/>
      <c r="O253" s="84"/>
      <c r="P253" s="18"/>
      <c r="Q253" s="67" t="str">
        <f aca="false">IF(OR($C253="",ROUND(N($H253),2)=0),"",$L253)</f>
        <v/>
      </c>
      <c r="R253" s="70" t="str">
        <f aca="false">IF($Q253="","",ROUND(N($H253),2))</f>
        <v/>
      </c>
      <c r="S253" s="70" t="str">
        <f aca="false">IF($Q253="","",0)</f>
        <v/>
      </c>
      <c r="T253" s="67" t="str">
        <f aca="false">""</f>
        <v/>
      </c>
      <c r="U253" s="70" t="str">
        <f aca="false">IF($T253="","",0)</f>
        <v/>
      </c>
      <c r="V253" s="70" t="str">
        <f aca="false">IF($T253="","",0)</f>
        <v/>
      </c>
      <c r="W253" s="67" t="str">
        <f aca="false">IF($Q253="","","应付账款")</f>
        <v/>
      </c>
      <c r="X253" s="70" t="str">
        <f aca="false">IF($W253="","",0)</f>
        <v/>
      </c>
      <c r="Y253" s="70" t="str">
        <f aca="false">IF($W253="","",ROUND(N($H253),2))</f>
        <v/>
      </c>
      <c r="Z253" s="42"/>
      <c r="AA253" s="44"/>
      <c r="AB253" s="41" t="str">
        <f aca="false">IF($C253="","",ROUND(N($H253)-N($AA253),2))</f>
        <v/>
      </c>
      <c r="AC253" s="9" t="str">
        <f aca="false">IF($B253="","",TEXT($B253,"yyyy年m月"))</f>
        <v/>
      </c>
    </row>
    <row r="254" customFormat="false" ht="18" hidden="false" customHeight="true" outlineLevel="0" collapsed="false">
      <c r="A254" s="107" t="str">
        <f aca="false">IF($C254="","",ROW()-3)</f>
        <v/>
      </c>
      <c r="B254" s="108"/>
      <c r="C254" s="84"/>
      <c r="D254" s="84"/>
      <c r="E254" s="18"/>
      <c r="F254" s="109"/>
      <c r="G254" s="109"/>
      <c r="H254" s="70" t="str">
        <f aca="false">IF($C254="","",ROUND(N($F254)*N($G254),2))</f>
        <v/>
      </c>
      <c r="I254" s="84" t="s">
        <v>266</v>
      </c>
      <c r="J254" s="70" t="str">
        <f aca="false">IF($C254="","",ROUND(N($H254),2))</f>
        <v/>
      </c>
      <c r="K254" s="70" t="n">
        <v>0</v>
      </c>
      <c r="L254" s="84"/>
      <c r="M254" s="84"/>
      <c r="N254" s="18"/>
      <c r="O254" s="84"/>
      <c r="P254" s="18"/>
      <c r="Q254" s="67" t="str">
        <f aca="false">IF(OR($C254="",ROUND(N($H254),2)=0),"",$L254)</f>
        <v/>
      </c>
      <c r="R254" s="70" t="str">
        <f aca="false">IF($Q254="","",ROUND(N($H254),2))</f>
        <v/>
      </c>
      <c r="S254" s="70" t="str">
        <f aca="false">IF($Q254="","",0)</f>
        <v/>
      </c>
      <c r="T254" s="67" t="str">
        <f aca="false">""</f>
        <v/>
      </c>
      <c r="U254" s="70" t="str">
        <f aca="false">IF($T254="","",0)</f>
        <v/>
      </c>
      <c r="V254" s="70" t="str">
        <f aca="false">IF($T254="","",0)</f>
        <v/>
      </c>
      <c r="W254" s="67" t="str">
        <f aca="false">IF($Q254="","","应付账款")</f>
        <v/>
      </c>
      <c r="X254" s="70" t="str">
        <f aca="false">IF($W254="","",0)</f>
        <v/>
      </c>
      <c r="Y254" s="70" t="str">
        <f aca="false">IF($W254="","",ROUND(N($H254),2))</f>
        <v/>
      </c>
      <c r="Z254" s="42"/>
      <c r="AA254" s="44"/>
      <c r="AB254" s="41" t="str">
        <f aca="false">IF($C254="","",ROUND(N($H254)-N($AA254),2))</f>
        <v/>
      </c>
      <c r="AC254" s="9" t="str">
        <f aca="false">IF($B254="","",TEXT($B254,"yyyy年m月"))</f>
        <v/>
      </c>
    </row>
    <row r="255" customFormat="false" ht="18" hidden="false" customHeight="true" outlineLevel="0" collapsed="false">
      <c r="A255" s="107" t="str">
        <f aca="false">IF($C255="","",ROW()-3)</f>
        <v/>
      </c>
      <c r="B255" s="108"/>
      <c r="C255" s="84"/>
      <c r="D255" s="84"/>
      <c r="E255" s="18"/>
      <c r="F255" s="109"/>
      <c r="G255" s="109"/>
      <c r="H255" s="70" t="str">
        <f aca="false">IF($C255="","",ROUND(N($F255)*N($G255),2))</f>
        <v/>
      </c>
      <c r="I255" s="84" t="s">
        <v>266</v>
      </c>
      <c r="J255" s="70" t="str">
        <f aca="false">IF($C255="","",ROUND(N($H255),2))</f>
        <v/>
      </c>
      <c r="K255" s="70" t="n">
        <v>0</v>
      </c>
      <c r="L255" s="84"/>
      <c r="M255" s="84"/>
      <c r="N255" s="18"/>
      <c r="O255" s="84"/>
      <c r="P255" s="18"/>
      <c r="Q255" s="67" t="str">
        <f aca="false">IF(OR($C255="",ROUND(N($H255),2)=0),"",$L255)</f>
        <v/>
      </c>
      <c r="R255" s="70" t="str">
        <f aca="false">IF($Q255="","",ROUND(N($H255),2))</f>
        <v/>
      </c>
      <c r="S255" s="70" t="str">
        <f aca="false">IF($Q255="","",0)</f>
        <v/>
      </c>
      <c r="T255" s="67" t="str">
        <f aca="false">""</f>
        <v/>
      </c>
      <c r="U255" s="70" t="str">
        <f aca="false">IF($T255="","",0)</f>
        <v/>
      </c>
      <c r="V255" s="70" t="str">
        <f aca="false">IF($T255="","",0)</f>
        <v/>
      </c>
      <c r="W255" s="67" t="str">
        <f aca="false">IF($Q255="","","应付账款")</f>
        <v/>
      </c>
      <c r="X255" s="70" t="str">
        <f aca="false">IF($W255="","",0)</f>
        <v/>
      </c>
      <c r="Y255" s="70" t="str">
        <f aca="false">IF($W255="","",ROUND(N($H255),2))</f>
        <v/>
      </c>
      <c r="Z255" s="42"/>
      <c r="AA255" s="44"/>
      <c r="AB255" s="41" t="str">
        <f aca="false">IF($C255="","",ROUND(N($H255)-N($AA255),2))</f>
        <v/>
      </c>
      <c r="AC255" s="9" t="str">
        <f aca="false">IF($B255="","",TEXT($B255,"yyyy年m月"))</f>
        <v/>
      </c>
    </row>
    <row r="256" customFormat="false" ht="18" hidden="false" customHeight="true" outlineLevel="0" collapsed="false">
      <c r="A256" s="107" t="str">
        <f aca="false">IF($C256="","",ROW()-3)</f>
        <v/>
      </c>
      <c r="B256" s="108"/>
      <c r="C256" s="84"/>
      <c r="D256" s="84"/>
      <c r="E256" s="18"/>
      <c r="F256" s="109"/>
      <c r="G256" s="109"/>
      <c r="H256" s="70" t="str">
        <f aca="false">IF($C256="","",ROUND(N($F256)*N($G256),2))</f>
        <v/>
      </c>
      <c r="I256" s="84" t="s">
        <v>266</v>
      </c>
      <c r="J256" s="70" t="str">
        <f aca="false">IF($C256="","",ROUND(N($H256),2))</f>
        <v/>
      </c>
      <c r="K256" s="70" t="n">
        <v>0</v>
      </c>
      <c r="L256" s="84"/>
      <c r="M256" s="84"/>
      <c r="N256" s="18"/>
      <c r="O256" s="84"/>
      <c r="P256" s="18"/>
      <c r="Q256" s="67" t="str">
        <f aca="false">IF(OR($C256="",ROUND(N($H256),2)=0),"",$L256)</f>
        <v/>
      </c>
      <c r="R256" s="70" t="str">
        <f aca="false">IF($Q256="","",ROUND(N($H256),2))</f>
        <v/>
      </c>
      <c r="S256" s="70" t="str">
        <f aca="false">IF($Q256="","",0)</f>
        <v/>
      </c>
      <c r="T256" s="67" t="str">
        <f aca="false">""</f>
        <v/>
      </c>
      <c r="U256" s="70" t="str">
        <f aca="false">IF($T256="","",0)</f>
        <v/>
      </c>
      <c r="V256" s="70" t="str">
        <f aca="false">IF($T256="","",0)</f>
        <v/>
      </c>
      <c r="W256" s="67" t="str">
        <f aca="false">IF($Q256="","","应付账款")</f>
        <v/>
      </c>
      <c r="X256" s="70" t="str">
        <f aca="false">IF($W256="","",0)</f>
        <v/>
      </c>
      <c r="Y256" s="70" t="str">
        <f aca="false">IF($W256="","",ROUND(N($H256),2))</f>
        <v/>
      </c>
      <c r="Z256" s="42"/>
      <c r="AA256" s="44"/>
      <c r="AB256" s="41" t="str">
        <f aca="false">IF($C256="","",ROUND(N($H256)-N($AA256),2))</f>
        <v/>
      </c>
      <c r="AC256" s="9" t="str">
        <f aca="false">IF($B256="","",TEXT($B256,"yyyy年m月"))</f>
        <v/>
      </c>
    </row>
    <row r="257" customFormat="false" ht="18" hidden="false" customHeight="true" outlineLevel="0" collapsed="false">
      <c r="A257" s="107" t="str">
        <f aca="false">IF($C257="","",ROW()-3)</f>
        <v/>
      </c>
      <c r="B257" s="108"/>
      <c r="C257" s="84"/>
      <c r="D257" s="84"/>
      <c r="E257" s="18"/>
      <c r="F257" s="109"/>
      <c r="G257" s="109"/>
      <c r="H257" s="70" t="str">
        <f aca="false">IF($C257="","",ROUND(N($F257)*N($G257),2))</f>
        <v/>
      </c>
      <c r="I257" s="84" t="s">
        <v>266</v>
      </c>
      <c r="J257" s="70" t="str">
        <f aca="false">IF($C257="","",ROUND(N($H257),2))</f>
        <v/>
      </c>
      <c r="K257" s="70" t="n">
        <v>0</v>
      </c>
      <c r="L257" s="84"/>
      <c r="M257" s="84"/>
      <c r="N257" s="18"/>
      <c r="O257" s="84"/>
      <c r="P257" s="18"/>
      <c r="Q257" s="67" t="str">
        <f aca="false">IF(OR($C257="",ROUND(N($H257),2)=0),"",$L257)</f>
        <v/>
      </c>
      <c r="R257" s="70" t="str">
        <f aca="false">IF($Q257="","",ROUND(N($H257),2))</f>
        <v/>
      </c>
      <c r="S257" s="70" t="str">
        <f aca="false">IF($Q257="","",0)</f>
        <v/>
      </c>
      <c r="T257" s="67" t="str">
        <f aca="false">""</f>
        <v/>
      </c>
      <c r="U257" s="70" t="str">
        <f aca="false">IF($T257="","",0)</f>
        <v/>
      </c>
      <c r="V257" s="70" t="str">
        <f aca="false">IF($T257="","",0)</f>
        <v/>
      </c>
      <c r="W257" s="67" t="str">
        <f aca="false">IF($Q257="","","应付账款")</f>
        <v/>
      </c>
      <c r="X257" s="70" t="str">
        <f aca="false">IF($W257="","",0)</f>
        <v/>
      </c>
      <c r="Y257" s="70" t="str">
        <f aca="false">IF($W257="","",ROUND(N($H257),2))</f>
        <v/>
      </c>
      <c r="Z257" s="42"/>
      <c r="AA257" s="44"/>
      <c r="AB257" s="41" t="str">
        <f aca="false">IF($C257="","",ROUND(N($H257)-N($AA257),2))</f>
        <v/>
      </c>
      <c r="AC257" s="9" t="str">
        <f aca="false">IF($B257="","",TEXT($B257,"yyyy年m月"))</f>
        <v/>
      </c>
    </row>
    <row r="258" customFormat="false" ht="18" hidden="false" customHeight="true" outlineLevel="0" collapsed="false">
      <c r="A258" s="107" t="str">
        <f aca="false">IF($C258="","",ROW()-3)</f>
        <v/>
      </c>
      <c r="B258" s="108"/>
      <c r="C258" s="84"/>
      <c r="D258" s="84"/>
      <c r="E258" s="18"/>
      <c r="F258" s="109"/>
      <c r="G258" s="109"/>
      <c r="H258" s="70" t="str">
        <f aca="false">IF($C258="","",ROUND(N($F258)*N($G258),2))</f>
        <v/>
      </c>
      <c r="I258" s="84" t="s">
        <v>266</v>
      </c>
      <c r="J258" s="70" t="str">
        <f aca="false">IF($C258="","",ROUND(N($H258),2))</f>
        <v/>
      </c>
      <c r="K258" s="70" t="n">
        <v>0</v>
      </c>
      <c r="L258" s="84"/>
      <c r="M258" s="84"/>
      <c r="N258" s="18"/>
      <c r="O258" s="84"/>
      <c r="P258" s="18"/>
      <c r="Q258" s="67" t="str">
        <f aca="false">IF(OR($C258="",ROUND(N($H258),2)=0),"",$L258)</f>
        <v/>
      </c>
      <c r="R258" s="70" t="str">
        <f aca="false">IF($Q258="","",ROUND(N($H258),2))</f>
        <v/>
      </c>
      <c r="S258" s="70" t="str">
        <f aca="false">IF($Q258="","",0)</f>
        <v/>
      </c>
      <c r="T258" s="67" t="str">
        <f aca="false">""</f>
        <v/>
      </c>
      <c r="U258" s="70" t="str">
        <f aca="false">IF($T258="","",0)</f>
        <v/>
      </c>
      <c r="V258" s="70" t="str">
        <f aca="false">IF($T258="","",0)</f>
        <v/>
      </c>
      <c r="W258" s="67" t="str">
        <f aca="false">IF($Q258="","","应付账款")</f>
        <v/>
      </c>
      <c r="X258" s="70" t="str">
        <f aca="false">IF($W258="","",0)</f>
        <v/>
      </c>
      <c r="Y258" s="70" t="str">
        <f aca="false">IF($W258="","",ROUND(N($H258),2))</f>
        <v/>
      </c>
      <c r="Z258" s="42"/>
      <c r="AA258" s="44"/>
      <c r="AB258" s="41" t="str">
        <f aca="false">IF($C258="","",ROUND(N($H258)-N($AA258),2))</f>
        <v/>
      </c>
      <c r="AC258" s="9" t="str">
        <f aca="false">IF($B258="","",TEXT($B258,"yyyy年m月"))</f>
        <v/>
      </c>
    </row>
    <row r="259" customFormat="false" ht="18" hidden="false" customHeight="true" outlineLevel="0" collapsed="false">
      <c r="A259" s="107" t="str">
        <f aca="false">IF($C259="","",ROW()-3)</f>
        <v/>
      </c>
      <c r="B259" s="108"/>
      <c r="C259" s="84"/>
      <c r="D259" s="84"/>
      <c r="E259" s="18"/>
      <c r="F259" s="109"/>
      <c r="G259" s="109"/>
      <c r="H259" s="70" t="str">
        <f aca="false">IF($C259="","",ROUND(N($F259)*N($G259),2))</f>
        <v/>
      </c>
      <c r="I259" s="84" t="s">
        <v>266</v>
      </c>
      <c r="J259" s="70" t="str">
        <f aca="false">IF($C259="","",ROUND(N($H259),2))</f>
        <v/>
      </c>
      <c r="K259" s="70" t="n">
        <v>0</v>
      </c>
      <c r="L259" s="84"/>
      <c r="M259" s="84"/>
      <c r="N259" s="18"/>
      <c r="O259" s="84"/>
      <c r="P259" s="18"/>
      <c r="Q259" s="67" t="str">
        <f aca="false">IF(OR($C259="",ROUND(N($H259),2)=0),"",$L259)</f>
        <v/>
      </c>
      <c r="R259" s="70" t="str">
        <f aca="false">IF($Q259="","",ROUND(N($H259),2))</f>
        <v/>
      </c>
      <c r="S259" s="70" t="str">
        <f aca="false">IF($Q259="","",0)</f>
        <v/>
      </c>
      <c r="T259" s="67" t="str">
        <f aca="false">""</f>
        <v/>
      </c>
      <c r="U259" s="70" t="str">
        <f aca="false">IF($T259="","",0)</f>
        <v/>
      </c>
      <c r="V259" s="70" t="str">
        <f aca="false">IF($T259="","",0)</f>
        <v/>
      </c>
      <c r="W259" s="67" t="str">
        <f aca="false">IF($Q259="","","应付账款")</f>
        <v/>
      </c>
      <c r="X259" s="70" t="str">
        <f aca="false">IF($W259="","",0)</f>
        <v/>
      </c>
      <c r="Y259" s="70" t="str">
        <f aca="false">IF($W259="","",ROUND(N($H259),2))</f>
        <v/>
      </c>
      <c r="Z259" s="42"/>
      <c r="AA259" s="44"/>
      <c r="AB259" s="41" t="str">
        <f aca="false">IF($C259="","",ROUND(N($H259)-N($AA259),2))</f>
        <v/>
      </c>
      <c r="AC259" s="9" t="str">
        <f aca="false">IF($B259="","",TEXT($B259,"yyyy年m月"))</f>
        <v/>
      </c>
    </row>
    <row r="260" customFormat="false" ht="18" hidden="false" customHeight="true" outlineLevel="0" collapsed="false">
      <c r="A260" s="107" t="str">
        <f aca="false">IF($C260="","",ROW()-3)</f>
        <v/>
      </c>
      <c r="B260" s="108"/>
      <c r="C260" s="84"/>
      <c r="D260" s="84"/>
      <c r="E260" s="18"/>
      <c r="F260" s="109"/>
      <c r="G260" s="109"/>
      <c r="H260" s="70" t="str">
        <f aca="false">IF($C260="","",ROUND(N($F260)*N($G260),2))</f>
        <v/>
      </c>
      <c r="I260" s="84" t="s">
        <v>266</v>
      </c>
      <c r="J260" s="70" t="str">
        <f aca="false">IF($C260="","",ROUND(N($H260),2))</f>
        <v/>
      </c>
      <c r="K260" s="70" t="n">
        <v>0</v>
      </c>
      <c r="L260" s="84"/>
      <c r="M260" s="84"/>
      <c r="N260" s="18"/>
      <c r="O260" s="84"/>
      <c r="P260" s="18"/>
      <c r="Q260" s="67" t="str">
        <f aca="false">IF(OR($C260="",ROUND(N($H260),2)=0),"",$L260)</f>
        <v/>
      </c>
      <c r="R260" s="70" t="str">
        <f aca="false">IF($Q260="","",ROUND(N($H260),2))</f>
        <v/>
      </c>
      <c r="S260" s="70" t="str">
        <f aca="false">IF($Q260="","",0)</f>
        <v/>
      </c>
      <c r="T260" s="67" t="str">
        <f aca="false">""</f>
        <v/>
      </c>
      <c r="U260" s="70" t="str">
        <f aca="false">IF($T260="","",0)</f>
        <v/>
      </c>
      <c r="V260" s="70" t="str">
        <f aca="false">IF($T260="","",0)</f>
        <v/>
      </c>
      <c r="W260" s="67" t="str">
        <f aca="false">IF($Q260="","","应付账款")</f>
        <v/>
      </c>
      <c r="X260" s="70" t="str">
        <f aca="false">IF($W260="","",0)</f>
        <v/>
      </c>
      <c r="Y260" s="70" t="str">
        <f aca="false">IF($W260="","",ROUND(N($H260),2))</f>
        <v/>
      </c>
      <c r="Z260" s="42"/>
      <c r="AA260" s="44"/>
      <c r="AB260" s="41" t="str">
        <f aca="false">IF($C260="","",ROUND(N($H260)-N($AA260),2))</f>
        <v/>
      </c>
      <c r="AC260" s="9" t="str">
        <f aca="false">IF($B260="","",TEXT($B260,"yyyy年m月"))</f>
        <v/>
      </c>
    </row>
    <row r="261" customFormat="false" ht="18" hidden="false" customHeight="true" outlineLevel="0" collapsed="false">
      <c r="A261" s="107" t="str">
        <f aca="false">IF($C261="","",ROW()-3)</f>
        <v/>
      </c>
      <c r="B261" s="108"/>
      <c r="C261" s="84"/>
      <c r="D261" s="84"/>
      <c r="E261" s="18"/>
      <c r="F261" s="109"/>
      <c r="G261" s="109"/>
      <c r="H261" s="70" t="str">
        <f aca="false">IF($C261="","",ROUND(N($F261)*N($G261),2))</f>
        <v/>
      </c>
      <c r="I261" s="84" t="s">
        <v>266</v>
      </c>
      <c r="J261" s="70" t="str">
        <f aca="false">IF($C261="","",ROUND(N($H261),2))</f>
        <v/>
      </c>
      <c r="K261" s="70" t="n">
        <v>0</v>
      </c>
      <c r="L261" s="84"/>
      <c r="M261" s="84"/>
      <c r="N261" s="18"/>
      <c r="O261" s="84"/>
      <c r="P261" s="18"/>
      <c r="Q261" s="67" t="str">
        <f aca="false">IF(OR($C261="",ROUND(N($H261),2)=0),"",$L261)</f>
        <v/>
      </c>
      <c r="R261" s="70" t="str">
        <f aca="false">IF($Q261="","",ROUND(N($H261),2))</f>
        <v/>
      </c>
      <c r="S261" s="70" t="str">
        <f aca="false">IF($Q261="","",0)</f>
        <v/>
      </c>
      <c r="T261" s="67" t="str">
        <f aca="false">""</f>
        <v/>
      </c>
      <c r="U261" s="70" t="str">
        <f aca="false">IF($T261="","",0)</f>
        <v/>
      </c>
      <c r="V261" s="70" t="str">
        <f aca="false">IF($T261="","",0)</f>
        <v/>
      </c>
      <c r="W261" s="67" t="str">
        <f aca="false">IF($Q261="","","应付账款")</f>
        <v/>
      </c>
      <c r="X261" s="70" t="str">
        <f aca="false">IF($W261="","",0)</f>
        <v/>
      </c>
      <c r="Y261" s="70" t="str">
        <f aca="false">IF($W261="","",ROUND(N($H261),2))</f>
        <v/>
      </c>
      <c r="Z261" s="42"/>
      <c r="AA261" s="44"/>
      <c r="AB261" s="41" t="str">
        <f aca="false">IF($C261="","",ROUND(N($H261)-N($AA261),2))</f>
        <v/>
      </c>
      <c r="AC261" s="9" t="str">
        <f aca="false">IF($B261="","",TEXT($B261,"yyyy年m月"))</f>
        <v/>
      </c>
    </row>
    <row r="262" customFormat="false" ht="18" hidden="false" customHeight="true" outlineLevel="0" collapsed="false">
      <c r="A262" s="107" t="str">
        <f aca="false">IF($C262="","",ROW()-3)</f>
        <v/>
      </c>
      <c r="B262" s="108"/>
      <c r="C262" s="84"/>
      <c r="D262" s="84"/>
      <c r="E262" s="18"/>
      <c r="F262" s="109"/>
      <c r="G262" s="109"/>
      <c r="H262" s="70" t="str">
        <f aca="false">IF($C262="","",ROUND(N($F262)*N($G262),2))</f>
        <v/>
      </c>
      <c r="I262" s="84" t="s">
        <v>266</v>
      </c>
      <c r="J262" s="70" t="str">
        <f aca="false">IF($C262="","",ROUND(N($H262),2))</f>
        <v/>
      </c>
      <c r="K262" s="70" t="n">
        <v>0</v>
      </c>
      <c r="L262" s="84"/>
      <c r="M262" s="84"/>
      <c r="N262" s="18"/>
      <c r="O262" s="84"/>
      <c r="P262" s="18"/>
      <c r="Q262" s="67" t="str">
        <f aca="false">IF(OR($C262="",ROUND(N($H262),2)=0),"",$L262)</f>
        <v/>
      </c>
      <c r="R262" s="70" t="str">
        <f aca="false">IF($Q262="","",ROUND(N($H262),2))</f>
        <v/>
      </c>
      <c r="S262" s="70" t="str">
        <f aca="false">IF($Q262="","",0)</f>
        <v/>
      </c>
      <c r="T262" s="67" t="str">
        <f aca="false">""</f>
        <v/>
      </c>
      <c r="U262" s="70" t="str">
        <f aca="false">IF($T262="","",0)</f>
        <v/>
      </c>
      <c r="V262" s="70" t="str">
        <f aca="false">IF($T262="","",0)</f>
        <v/>
      </c>
      <c r="W262" s="67" t="str">
        <f aca="false">IF($Q262="","","应付账款")</f>
        <v/>
      </c>
      <c r="X262" s="70" t="str">
        <f aca="false">IF($W262="","",0)</f>
        <v/>
      </c>
      <c r="Y262" s="70" t="str">
        <f aca="false">IF($W262="","",ROUND(N($H262),2))</f>
        <v/>
      </c>
      <c r="Z262" s="42"/>
      <c r="AA262" s="44"/>
      <c r="AB262" s="41" t="str">
        <f aca="false">IF($C262="","",ROUND(N($H262)-N($AA262),2))</f>
        <v/>
      </c>
      <c r="AC262" s="9" t="str">
        <f aca="false">IF($B262="","",TEXT($B262,"yyyy年m月"))</f>
        <v/>
      </c>
    </row>
    <row r="263" customFormat="false" ht="18" hidden="false" customHeight="true" outlineLevel="0" collapsed="false">
      <c r="A263" s="107" t="str">
        <f aca="false">IF($C263="","",ROW()-3)</f>
        <v/>
      </c>
      <c r="B263" s="108"/>
      <c r="C263" s="84"/>
      <c r="D263" s="84"/>
      <c r="E263" s="18"/>
      <c r="F263" s="109"/>
      <c r="G263" s="109"/>
      <c r="H263" s="70" t="str">
        <f aca="false">IF($C263="","",ROUND(N($F263)*N($G263),2))</f>
        <v/>
      </c>
      <c r="I263" s="84" t="s">
        <v>266</v>
      </c>
      <c r="J263" s="70" t="str">
        <f aca="false">IF($C263="","",ROUND(N($H263),2))</f>
        <v/>
      </c>
      <c r="K263" s="70" t="n">
        <v>0</v>
      </c>
      <c r="L263" s="84"/>
      <c r="M263" s="84"/>
      <c r="N263" s="18"/>
      <c r="O263" s="84"/>
      <c r="P263" s="18"/>
      <c r="Q263" s="67" t="str">
        <f aca="false">IF(OR($C263="",ROUND(N($H263),2)=0),"",$L263)</f>
        <v/>
      </c>
      <c r="R263" s="70" t="str">
        <f aca="false">IF($Q263="","",ROUND(N($H263),2))</f>
        <v/>
      </c>
      <c r="S263" s="70" t="str">
        <f aca="false">IF($Q263="","",0)</f>
        <v/>
      </c>
      <c r="T263" s="67" t="str">
        <f aca="false">""</f>
        <v/>
      </c>
      <c r="U263" s="70" t="str">
        <f aca="false">IF($T263="","",0)</f>
        <v/>
      </c>
      <c r="V263" s="70" t="str">
        <f aca="false">IF($T263="","",0)</f>
        <v/>
      </c>
      <c r="W263" s="67" t="str">
        <f aca="false">IF($Q263="","","应付账款")</f>
        <v/>
      </c>
      <c r="X263" s="70" t="str">
        <f aca="false">IF($W263="","",0)</f>
        <v/>
      </c>
      <c r="Y263" s="70" t="str">
        <f aca="false">IF($W263="","",ROUND(N($H263),2))</f>
        <v/>
      </c>
      <c r="Z263" s="42"/>
      <c r="AA263" s="44"/>
      <c r="AB263" s="41" t="str">
        <f aca="false">IF($C263="","",ROUND(N($H263)-N($AA263),2))</f>
        <v/>
      </c>
      <c r="AC263" s="9" t="str">
        <f aca="false">IF($B263="","",TEXT($B263,"yyyy年m月"))</f>
        <v/>
      </c>
    </row>
    <row r="264" customFormat="false" ht="18" hidden="false" customHeight="true" outlineLevel="0" collapsed="false">
      <c r="A264" s="107" t="str">
        <f aca="false">IF($C264="","",ROW()-3)</f>
        <v/>
      </c>
      <c r="B264" s="108"/>
      <c r="C264" s="84"/>
      <c r="D264" s="84"/>
      <c r="E264" s="18"/>
      <c r="F264" s="109"/>
      <c r="G264" s="109"/>
      <c r="H264" s="70" t="str">
        <f aca="false">IF($C264="","",ROUND(N($F264)*N($G264),2))</f>
        <v/>
      </c>
      <c r="I264" s="84" t="s">
        <v>266</v>
      </c>
      <c r="J264" s="70" t="str">
        <f aca="false">IF($C264="","",ROUND(N($H264),2))</f>
        <v/>
      </c>
      <c r="K264" s="70" t="n">
        <v>0</v>
      </c>
      <c r="L264" s="84"/>
      <c r="M264" s="84"/>
      <c r="N264" s="18"/>
      <c r="O264" s="84"/>
      <c r="P264" s="18"/>
      <c r="Q264" s="67" t="str">
        <f aca="false">IF(OR($C264="",ROUND(N($H264),2)=0),"",$L264)</f>
        <v/>
      </c>
      <c r="R264" s="70" t="str">
        <f aca="false">IF($Q264="","",ROUND(N($H264),2))</f>
        <v/>
      </c>
      <c r="S264" s="70" t="str">
        <f aca="false">IF($Q264="","",0)</f>
        <v/>
      </c>
      <c r="T264" s="67" t="str">
        <f aca="false">""</f>
        <v/>
      </c>
      <c r="U264" s="70" t="str">
        <f aca="false">IF($T264="","",0)</f>
        <v/>
      </c>
      <c r="V264" s="70" t="str">
        <f aca="false">IF($T264="","",0)</f>
        <v/>
      </c>
      <c r="W264" s="67" t="str">
        <f aca="false">IF($Q264="","","应付账款")</f>
        <v/>
      </c>
      <c r="X264" s="70" t="str">
        <f aca="false">IF($W264="","",0)</f>
        <v/>
      </c>
      <c r="Y264" s="70" t="str">
        <f aca="false">IF($W264="","",ROUND(N($H264),2))</f>
        <v/>
      </c>
      <c r="Z264" s="42"/>
      <c r="AA264" s="44"/>
      <c r="AB264" s="41" t="str">
        <f aca="false">IF($C264="","",ROUND(N($H264)-N($AA264),2))</f>
        <v/>
      </c>
      <c r="AC264" s="9" t="str">
        <f aca="false">IF($B264="","",TEXT($B264,"yyyy年m月"))</f>
        <v/>
      </c>
    </row>
    <row r="265" customFormat="false" ht="18" hidden="false" customHeight="true" outlineLevel="0" collapsed="false">
      <c r="A265" s="107" t="str">
        <f aca="false">IF($C265="","",ROW()-3)</f>
        <v/>
      </c>
      <c r="B265" s="108"/>
      <c r="C265" s="84"/>
      <c r="D265" s="84"/>
      <c r="E265" s="18"/>
      <c r="F265" s="109"/>
      <c r="G265" s="109"/>
      <c r="H265" s="70" t="str">
        <f aca="false">IF($C265="","",ROUND(N($F265)*N($G265),2))</f>
        <v/>
      </c>
      <c r="I265" s="84" t="s">
        <v>266</v>
      </c>
      <c r="J265" s="70" t="str">
        <f aca="false">IF($C265="","",ROUND(N($H265),2))</f>
        <v/>
      </c>
      <c r="K265" s="70" t="n">
        <v>0</v>
      </c>
      <c r="L265" s="84"/>
      <c r="M265" s="84"/>
      <c r="N265" s="18"/>
      <c r="O265" s="84"/>
      <c r="P265" s="18"/>
      <c r="Q265" s="67" t="str">
        <f aca="false">IF(OR($C265="",ROUND(N($H265),2)=0),"",$L265)</f>
        <v/>
      </c>
      <c r="R265" s="70" t="str">
        <f aca="false">IF($Q265="","",ROUND(N($H265),2))</f>
        <v/>
      </c>
      <c r="S265" s="70" t="str">
        <f aca="false">IF($Q265="","",0)</f>
        <v/>
      </c>
      <c r="T265" s="67" t="str">
        <f aca="false">""</f>
        <v/>
      </c>
      <c r="U265" s="70" t="str">
        <f aca="false">IF($T265="","",0)</f>
        <v/>
      </c>
      <c r="V265" s="70" t="str">
        <f aca="false">IF($T265="","",0)</f>
        <v/>
      </c>
      <c r="W265" s="67" t="str">
        <f aca="false">IF($Q265="","","应付账款")</f>
        <v/>
      </c>
      <c r="X265" s="70" t="str">
        <f aca="false">IF($W265="","",0)</f>
        <v/>
      </c>
      <c r="Y265" s="70" t="str">
        <f aca="false">IF($W265="","",ROUND(N($H265),2))</f>
        <v/>
      </c>
      <c r="Z265" s="42"/>
      <c r="AA265" s="44"/>
      <c r="AB265" s="41" t="str">
        <f aca="false">IF($C265="","",ROUND(N($H265)-N($AA265),2))</f>
        <v/>
      </c>
      <c r="AC265" s="9" t="str">
        <f aca="false">IF($B265="","",TEXT($B265,"yyyy年m月"))</f>
        <v/>
      </c>
    </row>
    <row r="266" customFormat="false" ht="18" hidden="false" customHeight="true" outlineLevel="0" collapsed="false">
      <c r="A266" s="107" t="str">
        <f aca="false">IF($C266="","",ROW()-3)</f>
        <v/>
      </c>
      <c r="B266" s="108"/>
      <c r="C266" s="84"/>
      <c r="D266" s="84"/>
      <c r="E266" s="18"/>
      <c r="F266" s="109"/>
      <c r="G266" s="109"/>
      <c r="H266" s="70" t="str">
        <f aca="false">IF($C266="","",ROUND(N($F266)*N($G266),2))</f>
        <v/>
      </c>
      <c r="I266" s="84" t="s">
        <v>266</v>
      </c>
      <c r="J266" s="70" t="str">
        <f aca="false">IF($C266="","",ROUND(N($H266),2))</f>
        <v/>
      </c>
      <c r="K266" s="70" t="n">
        <v>0</v>
      </c>
      <c r="L266" s="84"/>
      <c r="M266" s="84"/>
      <c r="N266" s="18"/>
      <c r="O266" s="84"/>
      <c r="P266" s="18"/>
      <c r="Q266" s="67" t="str">
        <f aca="false">IF(OR($C266="",ROUND(N($H266),2)=0),"",$L266)</f>
        <v/>
      </c>
      <c r="R266" s="70" t="str">
        <f aca="false">IF($Q266="","",ROUND(N($H266),2))</f>
        <v/>
      </c>
      <c r="S266" s="70" t="str">
        <f aca="false">IF($Q266="","",0)</f>
        <v/>
      </c>
      <c r="T266" s="67" t="str">
        <f aca="false">""</f>
        <v/>
      </c>
      <c r="U266" s="70" t="str">
        <f aca="false">IF($T266="","",0)</f>
        <v/>
      </c>
      <c r="V266" s="70" t="str">
        <f aca="false">IF($T266="","",0)</f>
        <v/>
      </c>
      <c r="W266" s="67" t="str">
        <f aca="false">IF($Q266="","","应付账款")</f>
        <v/>
      </c>
      <c r="X266" s="70" t="str">
        <f aca="false">IF($W266="","",0)</f>
        <v/>
      </c>
      <c r="Y266" s="70" t="str">
        <f aca="false">IF($W266="","",ROUND(N($H266),2))</f>
        <v/>
      </c>
      <c r="Z266" s="42"/>
      <c r="AA266" s="44"/>
      <c r="AB266" s="41" t="str">
        <f aca="false">IF($C266="","",ROUND(N($H266)-N($AA266),2))</f>
        <v/>
      </c>
      <c r="AC266" s="9" t="str">
        <f aca="false">IF($B266="","",TEXT($B266,"yyyy年m月"))</f>
        <v/>
      </c>
    </row>
    <row r="267" customFormat="false" ht="18" hidden="false" customHeight="true" outlineLevel="0" collapsed="false">
      <c r="A267" s="107" t="str">
        <f aca="false">IF($C267="","",ROW()-3)</f>
        <v/>
      </c>
      <c r="B267" s="108"/>
      <c r="C267" s="84"/>
      <c r="D267" s="84"/>
      <c r="E267" s="18"/>
      <c r="F267" s="109"/>
      <c r="G267" s="109"/>
      <c r="H267" s="70" t="str">
        <f aca="false">IF($C267="","",ROUND(N($F267)*N($G267),2))</f>
        <v/>
      </c>
      <c r="I267" s="84" t="s">
        <v>266</v>
      </c>
      <c r="J267" s="70" t="str">
        <f aca="false">IF($C267="","",ROUND(N($H267),2))</f>
        <v/>
      </c>
      <c r="K267" s="70" t="n">
        <v>0</v>
      </c>
      <c r="L267" s="84"/>
      <c r="M267" s="84"/>
      <c r="N267" s="18"/>
      <c r="O267" s="84"/>
      <c r="P267" s="18"/>
      <c r="Q267" s="67" t="str">
        <f aca="false">IF(OR($C267="",ROUND(N($H267),2)=0),"",$L267)</f>
        <v/>
      </c>
      <c r="R267" s="70" t="str">
        <f aca="false">IF($Q267="","",ROUND(N($H267),2))</f>
        <v/>
      </c>
      <c r="S267" s="70" t="str">
        <f aca="false">IF($Q267="","",0)</f>
        <v/>
      </c>
      <c r="T267" s="67" t="str">
        <f aca="false">""</f>
        <v/>
      </c>
      <c r="U267" s="70" t="str">
        <f aca="false">IF($T267="","",0)</f>
        <v/>
      </c>
      <c r="V267" s="70" t="str">
        <f aca="false">IF($T267="","",0)</f>
        <v/>
      </c>
      <c r="W267" s="67" t="str">
        <f aca="false">IF($Q267="","","应付账款")</f>
        <v/>
      </c>
      <c r="X267" s="70" t="str">
        <f aca="false">IF($W267="","",0)</f>
        <v/>
      </c>
      <c r="Y267" s="70" t="str">
        <f aca="false">IF($W267="","",ROUND(N($H267),2))</f>
        <v/>
      </c>
      <c r="Z267" s="42"/>
      <c r="AA267" s="44"/>
      <c r="AB267" s="41" t="str">
        <f aca="false">IF($C267="","",ROUND(N($H267)-N($AA267),2))</f>
        <v/>
      </c>
      <c r="AC267" s="9" t="str">
        <f aca="false">IF($B267="","",TEXT($B267,"yyyy年m月"))</f>
        <v/>
      </c>
    </row>
    <row r="268" customFormat="false" ht="18" hidden="false" customHeight="true" outlineLevel="0" collapsed="false">
      <c r="A268" s="107" t="str">
        <f aca="false">IF($C268="","",ROW()-3)</f>
        <v/>
      </c>
      <c r="B268" s="108"/>
      <c r="C268" s="84"/>
      <c r="D268" s="84"/>
      <c r="E268" s="18"/>
      <c r="F268" s="109"/>
      <c r="G268" s="109"/>
      <c r="H268" s="70" t="str">
        <f aca="false">IF($C268="","",ROUND(N($F268)*N($G268),2))</f>
        <v/>
      </c>
      <c r="I268" s="84" t="s">
        <v>266</v>
      </c>
      <c r="J268" s="70" t="str">
        <f aca="false">IF($C268="","",ROUND(N($H268),2))</f>
        <v/>
      </c>
      <c r="K268" s="70" t="n">
        <v>0</v>
      </c>
      <c r="L268" s="84"/>
      <c r="M268" s="84"/>
      <c r="N268" s="18"/>
      <c r="O268" s="84"/>
      <c r="P268" s="18"/>
      <c r="Q268" s="67" t="str">
        <f aca="false">IF(OR($C268="",ROUND(N($H268),2)=0),"",$L268)</f>
        <v/>
      </c>
      <c r="R268" s="70" t="str">
        <f aca="false">IF($Q268="","",ROUND(N($H268),2))</f>
        <v/>
      </c>
      <c r="S268" s="70" t="str">
        <f aca="false">IF($Q268="","",0)</f>
        <v/>
      </c>
      <c r="T268" s="67" t="str">
        <f aca="false">""</f>
        <v/>
      </c>
      <c r="U268" s="70" t="str">
        <f aca="false">IF($T268="","",0)</f>
        <v/>
      </c>
      <c r="V268" s="70" t="str">
        <f aca="false">IF($T268="","",0)</f>
        <v/>
      </c>
      <c r="W268" s="67" t="str">
        <f aca="false">IF($Q268="","","应付账款")</f>
        <v/>
      </c>
      <c r="X268" s="70" t="str">
        <f aca="false">IF($W268="","",0)</f>
        <v/>
      </c>
      <c r="Y268" s="70" t="str">
        <f aca="false">IF($W268="","",ROUND(N($H268),2))</f>
        <v/>
      </c>
      <c r="Z268" s="42"/>
      <c r="AA268" s="44"/>
      <c r="AB268" s="41" t="str">
        <f aca="false">IF($C268="","",ROUND(N($H268)-N($AA268),2))</f>
        <v/>
      </c>
      <c r="AC268" s="9" t="str">
        <f aca="false">IF($B268="","",TEXT($B268,"yyyy年m月"))</f>
        <v/>
      </c>
    </row>
    <row r="269" customFormat="false" ht="18" hidden="false" customHeight="true" outlineLevel="0" collapsed="false">
      <c r="A269" s="107" t="str">
        <f aca="false">IF($C269="","",ROW()-3)</f>
        <v/>
      </c>
      <c r="B269" s="108"/>
      <c r="C269" s="84"/>
      <c r="D269" s="84"/>
      <c r="E269" s="18"/>
      <c r="F269" s="109"/>
      <c r="G269" s="109"/>
      <c r="H269" s="70" t="str">
        <f aca="false">IF($C269="","",ROUND(N($F269)*N($G269),2))</f>
        <v/>
      </c>
      <c r="I269" s="84" t="s">
        <v>266</v>
      </c>
      <c r="J269" s="70" t="str">
        <f aca="false">IF($C269="","",ROUND(N($H269),2))</f>
        <v/>
      </c>
      <c r="K269" s="70" t="n">
        <v>0</v>
      </c>
      <c r="L269" s="84"/>
      <c r="M269" s="84"/>
      <c r="N269" s="18"/>
      <c r="O269" s="84"/>
      <c r="P269" s="18"/>
      <c r="Q269" s="67" t="str">
        <f aca="false">IF(OR($C269="",ROUND(N($H269),2)=0),"",$L269)</f>
        <v/>
      </c>
      <c r="R269" s="70" t="str">
        <f aca="false">IF($Q269="","",ROUND(N($H269),2))</f>
        <v/>
      </c>
      <c r="S269" s="70" t="str">
        <f aca="false">IF($Q269="","",0)</f>
        <v/>
      </c>
      <c r="T269" s="67" t="str">
        <f aca="false">""</f>
        <v/>
      </c>
      <c r="U269" s="70" t="str">
        <f aca="false">IF($T269="","",0)</f>
        <v/>
      </c>
      <c r="V269" s="70" t="str">
        <f aca="false">IF($T269="","",0)</f>
        <v/>
      </c>
      <c r="W269" s="67" t="str">
        <f aca="false">IF($Q269="","","应付账款")</f>
        <v/>
      </c>
      <c r="X269" s="70" t="str">
        <f aca="false">IF($W269="","",0)</f>
        <v/>
      </c>
      <c r="Y269" s="70" t="str">
        <f aca="false">IF($W269="","",ROUND(N($H269),2))</f>
        <v/>
      </c>
      <c r="Z269" s="42"/>
      <c r="AA269" s="44"/>
      <c r="AB269" s="41" t="str">
        <f aca="false">IF($C269="","",ROUND(N($H269)-N($AA269),2))</f>
        <v/>
      </c>
      <c r="AC269" s="9" t="str">
        <f aca="false">IF($B269="","",TEXT($B269,"yyyy年m月"))</f>
        <v/>
      </c>
    </row>
    <row r="270" customFormat="false" ht="18" hidden="false" customHeight="true" outlineLevel="0" collapsed="false">
      <c r="A270" s="107" t="str">
        <f aca="false">IF($C270="","",ROW()-3)</f>
        <v/>
      </c>
      <c r="B270" s="108"/>
      <c r="C270" s="84"/>
      <c r="D270" s="84"/>
      <c r="E270" s="18"/>
      <c r="F270" s="109"/>
      <c r="G270" s="109"/>
      <c r="H270" s="70" t="str">
        <f aca="false">IF($C270="","",ROUND(N($F270)*N($G270),2))</f>
        <v/>
      </c>
      <c r="I270" s="84" t="s">
        <v>266</v>
      </c>
      <c r="J270" s="70" t="str">
        <f aca="false">IF($C270="","",ROUND(N($H270),2))</f>
        <v/>
      </c>
      <c r="K270" s="70" t="n">
        <v>0</v>
      </c>
      <c r="L270" s="84"/>
      <c r="M270" s="84"/>
      <c r="N270" s="18"/>
      <c r="O270" s="84"/>
      <c r="P270" s="18"/>
      <c r="Q270" s="67" t="str">
        <f aca="false">IF(OR($C270="",ROUND(N($H270),2)=0),"",$L270)</f>
        <v/>
      </c>
      <c r="R270" s="70" t="str">
        <f aca="false">IF($Q270="","",ROUND(N($H270),2))</f>
        <v/>
      </c>
      <c r="S270" s="70" t="str">
        <f aca="false">IF($Q270="","",0)</f>
        <v/>
      </c>
      <c r="T270" s="67" t="str">
        <f aca="false">""</f>
        <v/>
      </c>
      <c r="U270" s="70" t="str">
        <f aca="false">IF($T270="","",0)</f>
        <v/>
      </c>
      <c r="V270" s="70" t="str">
        <f aca="false">IF($T270="","",0)</f>
        <v/>
      </c>
      <c r="W270" s="67" t="str">
        <f aca="false">IF($Q270="","","应付账款")</f>
        <v/>
      </c>
      <c r="X270" s="70" t="str">
        <f aca="false">IF($W270="","",0)</f>
        <v/>
      </c>
      <c r="Y270" s="70" t="str">
        <f aca="false">IF($W270="","",ROUND(N($H270),2))</f>
        <v/>
      </c>
      <c r="Z270" s="42"/>
      <c r="AA270" s="44"/>
      <c r="AB270" s="41" t="str">
        <f aca="false">IF($C270="","",ROUND(N($H270)-N($AA270),2))</f>
        <v/>
      </c>
      <c r="AC270" s="9" t="str">
        <f aca="false">IF($B270="","",TEXT($B270,"yyyy年m月"))</f>
        <v/>
      </c>
    </row>
    <row r="271" customFormat="false" ht="18" hidden="false" customHeight="true" outlineLevel="0" collapsed="false">
      <c r="A271" s="107" t="str">
        <f aca="false">IF($C271="","",ROW()-3)</f>
        <v/>
      </c>
      <c r="B271" s="108"/>
      <c r="C271" s="84"/>
      <c r="D271" s="84"/>
      <c r="E271" s="18"/>
      <c r="F271" s="109"/>
      <c r="G271" s="109"/>
      <c r="H271" s="70" t="str">
        <f aca="false">IF($C271="","",ROUND(N($F271)*N($G271),2))</f>
        <v/>
      </c>
      <c r="I271" s="84" t="s">
        <v>266</v>
      </c>
      <c r="J271" s="70" t="str">
        <f aca="false">IF($C271="","",ROUND(N($H271),2))</f>
        <v/>
      </c>
      <c r="K271" s="70" t="n">
        <v>0</v>
      </c>
      <c r="L271" s="84"/>
      <c r="M271" s="84"/>
      <c r="N271" s="18"/>
      <c r="O271" s="84"/>
      <c r="P271" s="18"/>
      <c r="Q271" s="67" t="str">
        <f aca="false">IF(OR($C271="",ROUND(N($H271),2)=0),"",$L271)</f>
        <v/>
      </c>
      <c r="R271" s="70" t="str">
        <f aca="false">IF($Q271="","",ROUND(N($H271),2))</f>
        <v/>
      </c>
      <c r="S271" s="70" t="str">
        <f aca="false">IF($Q271="","",0)</f>
        <v/>
      </c>
      <c r="T271" s="67" t="str">
        <f aca="false">""</f>
        <v/>
      </c>
      <c r="U271" s="70" t="str">
        <f aca="false">IF($T271="","",0)</f>
        <v/>
      </c>
      <c r="V271" s="70" t="str">
        <f aca="false">IF($T271="","",0)</f>
        <v/>
      </c>
      <c r="W271" s="67" t="str">
        <f aca="false">IF($Q271="","","应付账款")</f>
        <v/>
      </c>
      <c r="X271" s="70" t="str">
        <f aca="false">IF($W271="","",0)</f>
        <v/>
      </c>
      <c r="Y271" s="70" t="str">
        <f aca="false">IF($W271="","",ROUND(N($H271),2))</f>
        <v/>
      </c>
      <c r="Z271" s="42"/>
      <c r="AA271" s="44"/>
      <c r="AB271" s="41" t="str">
        <f aca="false">IF($C271="","",ROUND(N($H271)-N($AA271),2))</f>
        <v/>
      </c>
      <c r="AC271" s="9" t="str">
        <f aca="false">IF($B271="","",TEXT($B271,"yyyy年m月"))</f>
        <v/>
      </c>
    </row>
    <row r="272" customFormat="false" ht="18" hidden="false" customHeight="true" outlineLevel="0" collapsed="false">
      <c r="A272" s="107" t="str">
        <f aca="false">IF($C272="","",ROW()-3)</f>
        <v/>
      </c>
      <c r="B272" s="108"/>
      <c r="C272" s="84"/>
      <c r="D272" s="84"/>
      <c r="E272" s="18"/>
      <c r="F272" s="109"/>
      <c r="G272" s="109"/>
      <c r="H272" s="70" t="str">
        <f aca="false">IF($C272="","",ROUND(N($F272)*N($G272),2))</f>
        <v/>
      </c>
      <c r="I272" s="84" t="s">
        <v>266</v>
      </c>
      <c r="J272" s="70" t="str">
        <f aca="false">IF($C272="","",ROUND(N($H272),2))</f>
        <v/>
      </c>
      <c r="K272" s="70" t="n">
        <v>0</v>
      </c>
      <c r="L272" s="84"/>
      <c r="M272" s="84"/>
      <c r="N272" s="18"/>
      <c r="O272" s="84"/>
      <c r="P272" s="18"/>
      <c r="Q272" s="67" t="str">
        <f aca="false">IF(OR($C272="",ROUND(N($H272),2)=0),"",$L272)</f>
        <v/>
      </c>
      <c r="R272" s="70" t="str">
        <f aca="false">IF($Q272="","",ROUND(N($H272),2))</f>
        <v/>
      </c>
      <c r="S272" s="70" t="str">
        <f aca="false">IF($Q272="","",0)</f>
        <v/>
      </c>
      <c r="T272" s="67" t="str">
        <f aca="false">""</f>
        <v/>
      </c>
      <c r="U272" s="70" t="str">
        <f aca="false">IF($T272="","",0)</f>
        <v/>
      </c>
      <c r="V272" s="70" t="str">
        <f aca="false">IF($T272="","",0)</f>
        <v/>
      </c>
      <c r="W272" s="67" t="str">
        <f aca="false">IF($Q272="","","应付账款")</f>
        <v/>
      </c>
      <c r="X272" s="70" t="str">
        <f aca="false">IF($W272="","",0)</f>
        <v/>
      </c>
      <c r="Y272" s="70" t="str">
        <f aca="false">IF($W272="","",ROUND(N($H272),2))</f>
        <v/>
      </c>
      <c r="Z272" s="42"/>
      <c r="AA272" s="44"/>
      <c r="AB272" s="41" t="str">
        <f aca="false">IF($C272="","",ROUND(N($H272)-N($AA272),2))</f>
        <v/>
      </c>
      <c r="AC272" s="9" t="str">
        <f aca="false">IF($B272="","",TEXT($B272,"yyyy年m月"))</f>
        <v/>
      </c>
    </row>
    <row r="273" customFormat="false" ht="18" hidden="false" customHeight="true" outlineLevel="0" collapsed="false">
      <c r="A273" s="107" t="str">
        <f aca="false">IF($C273="","",ROW()-3)</f>
        <v/>
      </c>
      <c r="B273" s="108"/>
      <c r="C273" s="84"/>
      <c r="D273" s="84"/>
      <c r="E273" s="18"/>
      <c r="F273" s="109"/>
      <c r="G273" s="109"/>
      <c r="H273" s="70" t="str">
        <f aca="false">IF($C273="","",ROUND(N($F273)*N($G273),2))</f>
        <v/>
      </c>
      <c r="I273" s="84" t="s">
        <v>266</v>
      </c>
      <c r="J273" s="70" t="str">
        <f aca="false">IF($C273="","",ROUND(N($H273),2))</f>
        <v/>
      </c>
      <c r="K273" s="70" t="n">
        <v>0</v>
      </c>
      <c r="L273" s="84"/>
      <c r="M273" s="84"/>
      <c r="N273" s="18"/>
      <c r="O273" s="84"/>
      <c r="P273" s="18"/>
      <c r="Q273" s="67" t="str">
        <f aca="false">IF(OR($C273="",ROUND(N($H273),2)=0),"",$L273)</f>
        <v/>
      </c>
      <c r="R273" s="70" t="str">
        <f aca="false">IF($Q273="","",ROUND(N($H273),2))</f>
        <v/>
      </c>
      <c r="S273" s="70" t="str">
        <f aca="false">IF($Q273="","",0)</f>
        <v/>
      </c>
      <c r="T273" s="67" t="str">
        <f aca="false">""</f>
        <v/>
      </c>
      <c r="U273" s="70" t="str">
        <f aca="false">IF($T273="","",0)</f>
        <v/>
      </c>
      <c r="V273" s="70" t="str">
        <f aca="false">IF($T273="","",0)</f>
        <v/>
      </c>
      <c r="W273" s="67" t="str">
        <f aca="false">IF($Q273="","","应付账款")</f>
        <v/>
      </c>
      <c r="X273" s="70" t="str">
        <f aca="false">IF($W273="","",0)</f>
        <v/>
      </c>
      <c r="Y273" s="70" t="str">
        <f aca="false">IF($W273="","",ROUND(N($H273),2))</f>
        <v/>
      </c>
      <c r="Z273" s="42"/>
      <c r="AA273" s="44"/>
      <c r="AB273" s="41" t="str">
        <f aca="false">IF($C273="","",ROUND(N($H273)-N($AA273),2))</f>
        <v/>
      </c>
      <c r="AC273" s="9" t="str">
        <f aca="false">IF($B273="","",TEXT($B273,"yyyy年m月"))</f>
        <v/>
      </c>
    </row>
    <row r="274" customFormat="false" ht="18" hidden="false" customHeight="true" outlineLevel="0" collapsed="false">
      <c r="A274" s="107" t="str">
        <f aca="false">IF($C274="","",ROW()-3)</f>
        <v/>
      </c>
      <c r="B274" s="108"/>
      <c r="C274" s="84"/>
      <c r="D274" s="84"/>
      <c r="E274" s="18"/>
      <c r="F274" s="109"/>
      <c r="G274" s="109"/>
      <c r="H274" s="70" t="str">
        <f aca="false">IF($C274="","",ROUND(N($F274)*N($G274),2))</f>
        <v/>
      </c>
      <c r="I274" s="84" t="s">
        <v>266</v>
      </c>
      <c r="J274" s="70" t="str">
        <f aca="false">IF($C274="","",ROUND(N($H274),2))</f>
        <v/>
      </c>
      <c r="K274" s="70" t="n">
        <v>0</v>
      </c>
      <c r="L274" s="84"/>
      <c r="M274" s="84"/>
      <c r="N274" s="18"/>
      <c r="O274" s="84"/>
      <c r="P274" s="18"/>
      <c r="Q274" s="67" t="str">
        <f aca="false">IF(OR($C274="",ROUND(N($H274),2)=0),"",$L274)</f>
        <v/>
      </c>
      <c r="R274" s="70" t="str">
        <f aca="false">IF($Q274="","",ROUND(N($H274),2))</f>
        <v/>
      </c>
      <c r="S274" s="70" t="str">
        <f aca="false">IF($Q274="","",0)</f>
        <v/>
      </c>
      <c r="T274" s="67" t="str">
        <f aca="false">""</f>
        <v/>
      </c>
      <c r="U274" s="70" t="str">
        <f aca="false">IF($T274="","",0)</f>
        <v/>
      </c>
      <c r="V274" s="70" t="str">
        <f aca="false">IF($T274="","",0)</f>
        <v/>
      </c>
      <c r="W274" s="67" t="str">
        <f aca="false">IF($Q274="","","应付账款")</f>
        <v/>
      </c>
      <c r="X274" s="70" t="str">
        <f aca="false">IF($W274="","",0)</f>
        <v/>
      </c>
      <c r="Y274" s="70" t="str">
        <f aca="false">IF($W274="","",ROUND(N($H274),2))</f>
        <v/>
      </c>
      <c r="Z274" s="42"/>
      <c r="AA274" s="44"/>
      <c r="AB274" s="41" t="str">
        <f aca="false">IF($C274="","",ROUND(N($H274)-N($AA274),2))</f>
        <v/>
      </c>
      <c r="AC274" s="9" t="str">
        <f aca="false">IF($B274="","",TEXT($B274,"yyyy年m月"))</f>
        <v/>
      </c>
    </row>
    <row r="275" customFormat="false" ht="18" hidden="false" customHeight="true" outlineLevel="0" collapsed="false">
      <c r="A275" s="107" t="str">
        <f aca="false">IF($C275="","",ROW()-3)</f>
        <v/>
      </c>
      <c r="B275" s="108"/>
      <c r="C275" s="84"/>
      <c r="D275" s="84"/>
      <c r="E275" s="18"/>
      <c r="F275" s="109"/>
      <c r="G275" s="109"/>
      <c r="H275" s="70" t="str">
        <f aca="false">IF($C275="","",ROUND(N($F275)*N($G275),2))</f>
        <v/>
      </c>
      <c r="I275" s="84" t="s">
        <v>266</v>
      </c>
      <c r="J275" s="70" t="str">
        <f aca="false">IF($C275="","",ROUND(N($H275),2))</f>
        <v/>
      </c>
      <c r="K275" s="70" t="n">
        <v>0</v>
      </c>
      <c r="L275" s="84"/>
      <c r="M275" s="84"/>
      <c r="N275" s="18"/>
      <c r="O275" s="84"/>
      <c r="P275" s="18"/>
      <c r="Q275" s="67" t="str">
        <f aca="false">IF(OR($C275="",ROUND(N($H275),2)=0),"",$L275)</f>
        <v/>
      </c>
      <c r="R275" s="70" t="str">
        <f aca="false">IF($Q275="","",ROUND(N($H275),2))</f>
        <v/>
      </c>
      <c r="S275" s="70" t="str">
        <f aca="false">IF($Q275="","",0)</f>
        <v/>
      </c>
      <c r="T275" s="67" t="str">
        <f aca="false">""</f>
        <v/>
      </c>
      <c r="U275" s="70" t="str">
        <f aca="false">IF($T275="","",0)</f>
        <v/>
      </c>
      <c r="V275" s="70" t="str">
        <f aca="false">IF($T275="","",0)</f>
        <v/>
      </c>
      <c r="W275" s="67" t="str">
        <f aca="false">IF($Q275="","","应付账款")</f>
        <v/>
      </c>
      <c r="X275" s="70" t="str">
        <f aca="false">IF($W275="","",0)</f>
        <v/>
      </c>
      <c r="Y275" s="70" t="str">
        <f aca="false">IF($W275="","",ROUND(N($H275),2))</f>
        <v/>
      </c>
      <c r="Z275" s="42"/>
      <c r="AA275" s="44"/>
      <c r="AB275" s="41" t="str">
        <f aca="false">IF($C275="","",ROUND(N($H275)-N($AA275),2))</f>
        <v/>
      </c>
      <c r="AC275" s="9" t="str">
        <f aca="false">IF($B275="","",TEXT($B275,"yyyy年m月"))</f>
        <v/>
      </c>
    </row>
    <row r="276" customFormat="false" ht="18" hidden="false" customHeight="true" outlineLevel="0" collapsed="false">
      <c r="A276" s="107" t="str">
        <f aca="false">IF($C276="","",ROW()-3)</f>
        <v/>
      </c>
      <c r="B276" s="108"/>
      <c r="C276" s="84"/>
      <c r="D276" s="84"/>
      <c r="E276" s="18"/>
      <c r="F276" s="109"/>
      <c r="G276" s="109"/>
      <c r="H276" s="70" t="str">
        <f aca="false">IF($C276="","",ROUND(N($F276)*N($G276),2))</f>
        <v/>
      </c>
      <c r="I276" s="84" t="s">
        <v>266</v>
      </c>
      <c r="J276" s="70" t="str">
        <f aca="false">IF($C276="","",ROUND(N($H276),2))</f>
        <v/>
      </c>
      <c r="K276" s="70" t="n">
        <v>0</v>
      </c>
      <c r="L276" s="84"/>
      <c r="M276" s="84"/>
      <c r="N276" s="18"/>
      <c r="O276" s="84"/>
      <c r="P276" s="18"/>
      <c r="Q276" s="67" t="str">
        <f aca="false">IF(OR($C276="",ROUND(N($H276),2)=0),"",$L276)</f>
        <v/>
      </c>
      <c r="R276" s="70" t="str">
        <f aca="false">IF($Q276="","",ROUND(N($H276),2))</f>
        <v/>
      </c>
      <c r="S276" s="70" t="str">
        <f aca="false">IF($Q276="","",0)</f>
        <v/>
      </c>
      <c r="T276" s="67" t="str">
        <f aca="false">""</f>
        <v/>
      </c>
      <c r="U276" s="70" t="str">
        <f aca="false">IF($T276="","",0)</f>
        <v/>
      </c>
      <c r="V276" s="70" t="str">
        <f aca="false">IF($T276="","",0)</f>
        <v/>
      </c>
      <c r="W276" s="67" t="str">
        <f aca="false">IF($Q276="","","应付账款")</f>
        <v/>
      </c>
      <c r="X276" s="70" t="str">
        <f aca="false">IF($W276="","",0)</f>
        <v/>
      </c>
      <c r="Y276" s="70" t="str">
        <f aca="false">IF($W276="","",ROUND(N($H276),2))</f>
        <v/>
      </c>
      <c r="Z276" s="42"/>
      <c r="AA276" s="44"/>
      <c r="AB276" s="41" t="str">
        <f aca="false">IF($C276="","",ROUND(N($H276)-N($AA276),2))</f>
        <v/>
      </c>
      <c r="AC276" s="9" t="str">
        <f aca="false">IF($B276="","",TEXT($B276,"yyyy年m月"))</f>
        <v/>
      </c>
    </row>
    <row r="277" customFormat="false" ht="18" hidden="false" customHeight="true" outlineLevel="0" collapsed="false">
      <c r="A277" s="107" t="str">
        <f aca="false">IF($C277="","",ROW()-3)</f>
        <v/>
      </c>
      <c r="B277" s="108"/>
      <c r="C277" s="84"/>
      <c r="D277" s="84"/>
      <c r="E277" s="18"/>
      <c r="F277" s="109"/>
      <c r="G277" s="109"/>
      <c r="H277" s="70" t="str">
        <f aca="false">IF($C277="","",ROUND(N($F277)*N($G277),2))</f>
        <v/>
      </c>
      <c r="I277" s="84" t="s">
        <v>266</v>
      </c>
      <c r="J277" s="70" t="str">
        <f aca="false">IF($C277="","",ROUND(N($H277),2))</f>
        <v/>
      </c>
      <c r="K277" s="70" t="n">
        <v>0</v>
      </c>
      <c r="L277" s="84"/>
      <c r="M277" s="84"/>
      <c r="N277" s="18"/>
      <c r="O277" s="84"/>
      <c r="P277" s="18"/>
      <c r="Q277" s="67" t="str">
        <f aca="false">IF(OR($C277="",ROUND(N($H277),2)=0),"",$L277)</f>
        <v/>
      </c>
      <c r="R277" s="70" t="str">
        <f aca="false">IF($Q277="","",ROUND(N($H277),2))</f>
        <v/>
      </c>
      <c r="S277" s="70" t="str">
        <f aca="false">IF($Q277="","",0)</f>
        <v/>
      </c>
      <c r="T277" s="67" t="str">
        <f aca="false">""</f>
        <v/>
      </c>
      <c r="U277" s="70" t="str">
        <f aca="false">IF($T277="","",0)</f>
        <v/>
      </c>
      <c r="V277" s="70" t="str">
        <f aca="false">IF($T277="","",0)</f>
        <v/>
      </c>
      <c r="W277" s="67" t="str">
        <f aca="false">IF($Q277="","","应付账款")</f>
        <v/>
      </c>
      <c r="X277" s="70" t="str">
        <f aca="false">IF($W277="","",0)</f>
        <v/>
      </c>
      <c r="Y277" s="70" t="str">
        <f aca="false">IF($W277="","",ROUND(N($H277),2))</f>
        <v/>
      </c>
      <c r="Z277" s="42"/>
      <c r="AA277" s="44"/>
      <c r="AB277" s="41" t="str">
        <f aca="false">IF($C277="","",ROUND(N($H277)-N($AA277),2))</f>
        <v/>
      </c>
      <c r="AC277" s="9" t="str">
        <f aca="false">IF($B277="","",TEXT($B277,"yyyy年m月"))</f>
        <v/>
      </c>
    </row>
    <row r="278" customFormat="false" ht="18" hidden="false" customHeight="true" outlineLevel="0" collapsed="false">
      <c r="A278" s="107" t="str">
        <f aca="false">IF($C278="","",ROW()-3)</f>
        <v/>
      </c>
      <c r="B278" s="108"/>
      <c r="C278" s="84"/>
      <c r="D278" s="84"/>
      <c r="E278" s="18"/>
      <c r="F278" s="109"/>
      <c r="G278" s="109"/>
      <c r="H278" s="70" t="str">
        <f aca="false">IF($C278="","",ROUND(N($F278)*N($G278),2))</f>
        <v/>
      </c>
      <c r="I278" s="84" t="s">
        <v>266</v>
      </c>
      <c r="J278" s="70" t="str">
        <f aca="false">IF($C278="","",ROUND(N($H278),2))</f>
        <v/>
      </c>
      <c r="K278" s="70" t="n">
        <v>0</v>
      </c>
      <c r="L278" s="84"/>
      <c r="M278" s="84"/>
      <c r="N278" s="18"/>
      <c r="O278" s="84"/>
      <c r="P278" s="18"/>
      <c r="Q278" s="67" t="str">
        <f aca="false">IF(OR($C278="",ROUND(N($H278),2)=0),"",$L278)</f>
        <v/>
      </c>
      <c r="R278" s="70" t="str">
        <f aca="false">IF($Q278="","",ROUND(N($H278),2))</f>
        <v/>
      </c>
      <c r="S278" s="70" t="str">
        <f aca="false">IF($Q278="","",0)</f>
        <v/>
      </c>
      <c r="T278" s="67" t="str">
        <f aca="false">""</f>
        <v/>
      </c>
      <c r="U278" s="70" t="str">
        <f aca="false">IF($T278="","",0)</f>
        <v/>
      </c>
      <c r="V278" s="70" t="str">
        <f aca="false">IF($T278="","",0)</f>
        <v/>
      </c>
      <c r="W278" s="67" t="str">
        <f aca="false">IF($Q278="","","应付账款")</f>
        <v/>
      </c>
      <c r="X278" s="70" t="str">
        <f aca="false">IF($W278="","",0)</f>
        <v/>
      </c>
      <c r="Y278" s="70" t="str">
        <f aca="false">IF($W278="","",ROUND(N($H278),2))</f>
        <v/>
      </c>
      <c r="Z278" s="42"/>
      <c r="AA278" s="44"/>
      <c r="AB278" s="41" t="str">
        <f aca="false">IF($C278="","",ROUND(N($H278)-N($AA278),2))</f>
        <v/>
      </c>
      <c r="AC278" s="9" t="str">
        <f aca="false">IF($B278="","",TEXT($B278,"yyyy年m月"))</f>
        <v/>
      </c>
    </row>
    <row r="279" customFormat="false" ht="18" hidden="false" customHeight="true" outlineLevel="0" collapsed="false">
      <c r="A279" s="107" t="str">
        <f aca="false">IF($C279="","",ROW()-3)</f>
        <v/>
      </c>
      <c r="B279" s="108"/>
      <c r="C279" s="84"/>
      <c r="D279" s="84"/>
      <c r="E279" s="18"/>
      <c r="F279" s="109"/>
      <c r="G279" s="109"/>
      <c r="H279" s="70" t="str">
        <f aca="false">IF($C279="","",ROUND(N($F279)*N($G279),2))</f>
        <v/>
      </c>
      <c r="I279" s="84" t="s">
        <v>266</v>
      </c>
      <c r="J279" s="70" t="str">
        <f aca="false">IF($C279="","",ROUND(N($H279),2))</f>
        <v/>
      </c>
      <c r="K279" s="70" t="n">
        <v>0</v>
      </c>
      <c r="L279" s="84"/>
      <c r="M279" s="84"/>
      <c r="N279" s="18"/>
      <c r="O279" s="84"/>
      <c r="P279" s="18"/>
      <c r="Q279" s="67" t="str">
        <f aca="false">IF(OR($C279="",ROUND(N($H279),2)=0),"",$L279)</f>
        <v/>
      </c>
      <c r="R279" s="70" t="str">
        <f aca="false">IF($Q279="","",ROUND(N($H279),2))</f>
        <v/>
      </c>
      <c r="S279" s="70" t="str">
        <f aca="false">IF($Q279="","",0)</f>
        <v/>
      </c>
      <c r="T279" s="67" t="str">
        <f aca="false">""</f>
        <v/>
      </c>
      <c r="U279" s="70" t="str">
        <f aca="false">IF($T279="","",0)</f>
        <v/>
      </c>
      <c r="V279" s="70" t="str">
        <f aca="false">IF($T279="","",0)</f>
        <v/>
      </c>
      <c r="W279" s="67" t="str">
        <f aca="false">IF($Q279="","","应付账款")</f>
        <v/>
      </c>
      <c r="X279" s="70" t="str">
        <f aca="false">IF($W279="","",0)</f>
        <v/>
      </c>
      <c r="Y279" s="70" t="str">
        <f aca="false">IF($W279="","",ROUND(N($H279),2))</f>
        <v/>
      </c>
      <c r="Z279" s="42"/>
      <c r="AA279" s="44"/>
      <c r="AB279" s="41" t="str">
        <f aca="false">IF($C279="","",ROUND(N($H279)-N($AA279),2))</f>
        <v/>
      </c>
      <c r="AC279" s="9" t="str">
        <f aca="false">IF($B279="","",TEXT($B279,"yyyy年m月"))</f>
        <v/>
      </c>
    </row>
    <row r="280" customFormat="false" ht="18" hidden="false" customHeight="true" outlineLevel="0" collapsed="false">
      <c r="A280" s="107" t="str">
        <f aca="false">IF($C280="","",ROW()-3)</f>
        <v/>
      </c>
      <c r="B280" s="108"/>
      <c r="C280" s="84"/>
      <c r="D280" s="84"/>
      <c r="E280" s="18"/>
      <c r="F280" s="109"/>
      <c r="G280" s="109"/>
      <c r="H280" s="70" t="str">
        <f aca="false">IF($C280="","",ROUND(N($F280)*N($G280),2))</f>
        <v/>
      </c>
      <c r="I280" s="84" t="s">
        <v>266</v>
      </c>
      <c r="J280" s="70" t="str">
        <f aca="false">IF($C280="","",ROUND(N($H280),2))</f>
        <v/>
      </c>
      <c r="K280" s="70" t="n">
        <v>0</v>
      </c>
      <c r="L280" s="84"/>
      <c r="M280" s="84"/>
      <c r="N280" s="18"/>
      <c r="O280" s="84"/>
      <c r="P280" s="18"/>
      <c r="Q280" s="67" t="str">
        <f aca="false">IF(OR($C280="",ROUND(N($H280),2)=0),"",$L280)</f>
        <v/>
      </c>
      <c r="R280" s="70" t="str">
        <f aca="false">IF($Q280="","",ROUND(N($H280),2))</f>
        <v/>
      </c>
      <c r="S280" s="70" t="str">
        <f aca="false">IF($Q280="","",0)</f>
        <v/>
      </c>
      <c r="T280" s="67" t="str">
        <f aca="false">""</f>
        <v/>
      </c>
      <c r="U280" s="70" t="str">
        <f aca="false">IF($T280="","",0)</f>
        <v/>
      </c>
      <c r="V280" s="70" t="str">
        <f aca="false">IF($T280="","",0)</f>
        <v/>
      </c>
      <c r="W280" s="67" t="str">
        <f aca="false">IF($Q280="","","应付账款")</f>
        <v/>
      </c>
      <c r="X280" s="70" t="str">
        <f aca="false">IF($W280="","",0)</f>
        <v/>
      </c>
      <c r="Y280" s="70" t="str">
        <f aca="false">IF($W280="","",ROUND(N($H280),2))</f>
        <v/>
      </c>
      <c r="Z280" s="42"/>
      <c r="AA280" s="44"/>
      <c r="AB280" s="41" t="str">
        <f aca="false">IF($C280="","",ROUND(N($H280)-N($AA280),2))</f>
        <v/>
      </c>
      <c r="AC280" s="9" t="str">
        <f aca="false">IF($B280="","",TEXT($B280,"yyyy年m月"))</f>
        <v/>
      </c>
    </row>
    <row r="281" customFormat="false" ht="18" hidden="false" customHeight="true" outlineLevel="0" collapsed="false">
      <c r="A281" s="107" t="str">
        <f aca="false">IF($C281="","",ROW()-3)</f>
        <v/>
      </c>
      <c r="B281" s="108"/>
      <c r="C281" s="84"/>
      <c r="D281" s="84"/>
      <c r="E281" s="18"/>
      <c r="F281" s="109"/>
      <c r="G281" s="109"/>
      <c r="H281" s="70" t="str">
        <f aca="false">IF($C281="","",ROUND(N($F281)*N($G281),2))</f>
        <v/>
      </c>
      <c r="I281" s="84" t="s">
        <v>266</v>
      </c>
      <c r="J281" s="70" t="str">
        <f aca="false">IF($C281="","",ROUND(N($H281),2))</f>
        <v/>
      </c>
      <c r="K281" s="70" t="n">
        <v>0</v>
      </c>
      <c r="L281" s="84"/>
      <c r="M281" s="84"/>
      <c r="N281" s="18"/>
      <c r="O281" s="84"/>
      <c r="P281" s="18"/>
      <c r="Q281" s="67" t="str">
        <f aca="false">IF(OR($C281="",ROUND(N($H281),2)=0),"",$L281)</f>
        <v/>
      </c>
      <c r="R281" s="70" t="str">
        <f aca="false">IF($Q281="","",ROUND(N($H281),2))</f>
        <v/>
      </c>
      <c r="S281" s="70" t="str">
        <f aca="false">IF($Q281="","",0)</f>
        <v/>
      </c>
      <c r="T281" s="67" t="str">
        <f aca="false">""</f>
        <v/>
      </c>
      <c r="U281" s="70" t="str">
        <f aca="false">IF($T281="","",0)</f>
        <v/>
      </c>
      <c r="V281" s="70" t="str">
        <f aca="false">IF($T281="","",0)</f>
        <v/>
      </c>
      <c r="W281" s="67" t="str">
        <f aca="false">IF($Q281="","","应付账款")</f>
        <v/>
      </c>
      <c r="X281" s="70" t="str">
        <f aca="false">IF($W281="","",0)</f>
        <v/>
      </c>
      <c r="Y281" s="70" t="str">
        <f aca="false">IF($W281="","",ROUND(N($H281),2))</f>
        <v/>
      </c>
      <c r="Z281" s="42"/>
      <c r="AA281" s="44"/>
      <c r="AB281" s="41" t="str">
        <f aca="false">IF($C281="","",ROUND(N($H281)-N($AA281),2))</f>
        <v/>
      </c>
      <c r="AC281" s="9" t="str">
        <f aca="false">IF($B281="","",TEXT($B281,"yyyy年m月"))</f>
        <v/>
      </c>
    </row>
    <row r="282" customFormat="false" ht="18" hidden="false" customHeight="true" outlineLevel="0" collapsed="false">
      <c r="A282" s="107" t="str">
        <f aca="false">IF($C282="","",ROW()-3)</f>
        <v/>
      </c>
      <c r="B282" s="108"/>
      <c r="C282" s="84"/>
      <c r="D282" s="84"/>
      <c r="E282" s="18"/>
      <c r="F282" s="109"/>
      <c r="G282" s="109"/>
      <c r="H282" s="70" t="str">
        <f aca="false">IF($C282="","",ROUND(N($F282)*N($G282),2))</f>
        <v/>
      </c>
      <c r="I282" s="84" t="s">
        <v>266</v>
      </c>
      <c r="J282" s="70" t="str">
        <f aca="false">IF($C282="","",ROUND(N($H282),2))</f>
        <v/>
      </c>
      <c r="K282" s="70" t="n">
        <v>0</v>
      </c>
      <c r="L282" s="84"/>
      <c r="M282" s="84"/>
      <c r="N282" s="18"/>
      <c r="O282" s="84"/>
      <c r="P282" s="18"/>
      <c r="Q282" s="67" t="str">
        <f aca="false">IF(OR($C282="",ROUND(N($H282),2)=0),"",$L282)</f>
        <v/>
      </c>
      <c r="R282" s="70" t="str">
        <f aca="false">IF($Q282="","",ROUND(N($H282),2))</f>
        <v/>
      </c>
      <c r="S282" s="70" t="str">
        <f aca="false">IF($Q282="","",0)</f>
        <v/>
      </c>
      <c r="T282" s="67" t="str">
        <f aca="false">""</f>
        <v/>
      </c>
      <c r="U282" s="70" t="str">
        <f aca="false">IF($T282="","",0)</f>
        <v/>
      </c>
      <c r="V282" s="70" t="str">
        <f aca="false">IF($T282="","",0)</f>
        <v/>
      </c>
      <c r="W282" s="67" t="str">
        <f aca="false">IF($Q282="","","应付账款")</f>
        <v/>
      </c>
      <c r="X282" s="70" t="str">
        <f aca="false">IF($W282="","",0)</f>
        <v/>
      </c>
      <c r="Y282" s="70" t="str">
        <f aca="false">IF($W282="","",ROUND(N($H282),2))</f>
        <v/>
      </c>
      <c r="Z282" s="42"/>
      <c r="AA282" s="44"/>
      <c r="AB282" s="41" t="str">
        <f aca="false">IF($C282="","",ROUND(N($H282)-N($AA282),2))</f>
        <v/>
      </c>
      <c r="AC282" s="9" t="str">
        <f aca="false">IF($B282="","",TEXT($B282,"yyyy年m月"))</f>
        <v/>
      </c>
    </row>
    <row r="283" customFormat="false" ht="18" hidden="false" customHeight="true" outlineLevel="0" collapsed="false">
      <c r="A283" s="107" t="str">
        <f aca="false">IF($C283="","",ROW()-3)</f>
        <v/>
      </c>
      <c r="B283" s="108"/>
      <c r="C283" s="84"/>
      <c r="D283" s="84"/>
      <c r="E283" s="18"/>
      <c r="F283" s="109"/>
      <c r="G283" s="109"/>
      <c r="H283" s="70" t="str">
        <f aca="false">IF($C283="","",ROUND(N($F283)*N($G283),2))</f>
        <v/>
      </c>
      <c r="I283" s="84" t="s">
        <v>266</v>
      </c>
      <c r="J283" s="70" t="str">
        <f aca="false">IF($C283="","",ROUND(N($H283),2))</f>
        <v/>
      </c>
      <c r="K283" s="70" t="n">
        <v>0</v>
      </c>
      <c r="L283" s="84"/>
      <c r="M283" s="84"/>
      <c r="N283" s="18"/>
      <c r="O283" s="84"/>
      <c r="P283" s="18"/>
      <c r="Q283" s="67" t="str">
        <f aca="false">IF(OR($C283="",ROUND(N($H283),2)=0),"",$L283)</f>
        <v/>
      </c>
      <c r="R283" s="70" t="str">
        <f aca="false">IF($Q283="","",ROUND(N($H283),2))</f>
        <v/>
      </c>
      <c r="S283" s="70" t="str">
        <f aca="false">IF($Q283="","",0)</f>
        <v/>
      </c>
      <c r="T283" s="67" t="str">
        <f aca="false">""</f>
        <v/>
      </c>
      <c r="U283" s="70" t="str">
        <f aca="false">IF($T283="","",0)</f>
        <v/>
      </c>
      <c r="V283" s="70" t="str">
        <f aca="false">IF($T283="","",0)</f>
        <v/>
      </c>
      <c r="W283" s="67" t="str">
        <f aca="false">IF($Q283="","","应付账款")</f>
        <v/>
      </c>
      <c r="X283" s="70" t="str">
        <f aca="false">IF($W283="","",0)</f>
        <v/>
      </c>
      <c r="Y283" s="70" t="str">
        <f aca="false">IF($W283="","",ROUND(N($H283),2))</f>
        <v/>
      </c>
      <c r="Z283" s="42"/>
      <c r="AA283" s="44"/>
      <c r="AB283" s="41" t="str">
        <f aca="false">IF($C283="","",ROUND(N($H283)-N($AA283),2))</f>
        <v/>
      </c>
      <c r="AC283" s="9" t="str">
        <f aca="false">IF($B283="","",TEXT($B283,"yyyy年m月"))</f>
        <v/>
      </c>
    </row>
    <row r="284" customFormat="false" ht="18" hidden="false" customHeight="true" outlineLevel="0" collapsed="false">
      <c r="A284" s="107" t="str">
        <f aca="false">IF($C284="","",ROW()-3)</f>
        <v/>
      </c>
      <c r="B284" s="108"/>
      <c r="C284" s="84"/>
      <c r="D284" s="84"/>
      <c r="E284" s="18"/>
      <c r="F284" s="109"/>
      <c r="G284" s="109"/>
      <c r="H284" s="70" t="str">
        <f aca="false">IF($C284="","",ROUND(N($F284)*N($G284),2))</f>
        <v/>
      </c>
      <c r="I284" s="84" t="s">
        <v>266</v>
      </c>
      <c r="J284" s="70" t="str">
        <f aca="false">IF($C284="","",ROUND(N($H284),2))</f>
        <v/>
      </c>
      <c r="K284" s="70" t="n">
        <v>0</v>
      </c>
      <c r="L284" s="84"/>
      <c r="M284" s="84"/>
      <c r="N284" s="18"/>
      <c r="O284" s="84"/>
      <c r="P284" s="18"/>
      <c r="Q284" s="67" t="str">
        <f aca="false">IF(OR($C284="",ROUND(N($H284),2)=0),"",$L284)</f>
        <v/>
      </c>
      <c r="R284" s="70" t="str">
        <f aca="false">IF($Q284="","",ROUND(N($H284),2))</f>
        <v/>
      </c>
      <c r="S284" s="70" t="str">
        <f aca="false">IF($Q284="","",0)</f>
        <v/>
      </c>
      <c r="T284" s="67" t="str">
        <f aca="false">""</f>
        <v/>
      </c>
      <c r="U284" s="70" t="str">
        <f aca="false">IF($T284="","",0)</f>
        <v/>
      </c>
      <c r="V284" s="70" t="str">
        <f aca="false">IF($T284="","",0)</f>
        <v/>
      </c>
      <c r="W284" s="67" t="str">
        <f aca="false">IF($Q284="","","应付账款")</f>
        <v/>
      </c>
      <c r="X284" s="70" t="str">
        <f aca="false">IF($W284="","",0)</f>
        <v/>
      </c>
      <c r="Y284" s="70" t="str">
        <f aca="false">IF($W284="","",ROUND(N($H284),2))</f>
        <v/>
      </c>
      <c r="Z284" s="42"/>
      <c r="AA284" s="44"/>
      <c r="AB284" s="41" t="str">
        <f aca="false">IF($C284="","",ROUND(N($H284)-N($AA284),2))</f>
        <v/>
      </c>
      <c r="AC284" s="9" t="str">
        <f aca="false">IF($B284="","",TEXT($B284,"yyyy年m月"))</f>
        <v/>
      </c>
    </row>
    <row r="285" customFormat="false" ht="18" hidden="false" customHeight="true" outlineLevel="0" collapsed="false">
      <c r="A285" s="107" t="str">
        <f aca="false">IF($C285="","",ROW()-3)</f>
        <v/>
      </c>
      <c r="B285" s="108"/>
      <c r="C285" s="84"/>
      <c r="D285" s="84"/>
      <c r="E285" s="18"/>
      <c r="F285" s="109"/>
      <c r="G285" s="109"/>
      <c r="H285" s="70" t="str">
        <f aca="false">IF($C285="","",ROUND(N($F285)*N($G285),2))</f>
        <v/>
      </c>
      <c r="I285" s="84" t="s">
        <v>266</v>
      </c>
      <c r="J285" s="70" t="str">
        <f aca="false">IF($C285="","",ROUND(N($H285),2))</f>
        <v/>
      </c>
      <c r="K285" s="70" t="n">
        <v>0</v>
      </c>
      <c r="L285" s="84"/>
      <c r="M285" s="84"/>
      <c r="N285" s="18"/>
      <c r="O285" s="84"/>
      <c r="P285" s="18"/>
      <c r="Q285" s="67" t="str">
        <f aca="false">IF(OR($C285="",ROUND(N($H285),2)=0),"",$L285)</f>
        <v/>
      </c>
      <c r="R285" s="70" t="str">
        <f aca="false">IF($Q285="","",ROUND(N($H285),2))</f>
        <v/>
      </c>
      <c r="S285" s="70" t="str">
        <f aca="false">IF($Q285="","",0)</f>
        <v/>
      </c>
      <c r="T285" s="67" t="str">
        <f aca="false">""</f>
        <v/>
      </c>
      <c r="U285" s="70" t="str">
        <f aca="false">IF($T285="","",0)</f>
        <v/>
      </c>
      <c r="V285" s="70" t="str">
        <f aca="false">IF($T285="","",0)</f>
        <v/>
      </c>
      <c r="W285" s="67" t="str">
        <f aca="false">IF($Q285="","","应付账款")</f>
        <v/>
      </c>
      <c r="X285" s="70" t="str">
        <f aca="false">IF($W285="","",0)</f>
        <v/>
      </c>
      <c r="Y285" s="70" t="str">
        <f aca="false">IF($W285="","",ROUND(N($H285),2))</f>
        <v/>
      </c>
      <c r="Z285" s="42"/>
      <c r="AA285" s="44"/>
      <c r="AB285" s="41" t="str">
        <f aca="false">IF($C285="","",ROUND(N($H285)-N($AA285),2))</f>
        <v/>
      </c>
      <c r="AC285" s="9" t="str">
        <f aca="false">IF($B285="","",TEXT($B285,"yyyy年m月"))</f>
        <v/>
      </c>
    </row>
    <row r="286" customFormat="false" ht="18" hidden="false" customHeight="true" outlineLevel="0" collapsed="false">
      <c r="A286" s="107" t="str">
        <f aca="false">IF($C286="","",ROW()-3)</f>
        <v/>
      </c>
      <c r="B286" s="108"/>
      <c r="C286" s="84"/>
      <c r="D286" s="84"/>
      <c r="E286" s="18"/>
      <c r="F286" s="109"/>
      <c r="G286" s="109"/>
      <c r="H286" s="70" t="str">
        <f aca="false">IF($C286="","",ROUND(N($F286)*N($G286),2))</f>
        <v/>
      </c>
      <c r="I286" s="84" t="s">
        <v>266</v>
      </c>
      <c r="J286" s="70" t="str">
        <f aca="false">IF($C286="","",ROUND(N($H286),2))</f>
        <v/>
      </c>
      <c r="K286" s="70" t="n">
        <v>0</v>
      </c>
      <c r="L286" s="84"/>
      <c r="M286" s="84"/>
      <c r="N286" s="18"/>
      <c r="O286" s="84"/>
      <c r="P286" s="18"/>
      <c r="Q286" s="67" t="str">
        <f aca="false">IF(OR($C286="",ROUND(N($H286),2)=0),"",$L286)</f>
        <v/>
      </c>
      <c r="R286" s="70" t="str">
        <f aca="false">IF($Q286="","",ROUND(N($H286),2))</f>
        <v/>
      </c>
      <c r="S286" s="70" t="str">
        <f aca="false">IF($Q286="","",0)</f>
        <v/>
      </c>
      <c r="T286" s="67" t="str">
        <f aca="false">""</f>
        <v/>
      </c>
      <c r="U286" s="70" t="str">
        <f aca="false">IF($T286="","",0)</f>
        <v/>
      </c>
      <c r="V286" s="70" t="str">
        <f aca="false">IF($T286="","",0)</f>
        <v/>
      </c>
      <c r="W286" s="67" t="str">
        <f aca="false">IF($Q286="","","应付账款")</f>
        <v/>
      </c>
      <c r="X286" s="70" t="str">
        <f aca="false">IF($W286="","",0)</f>
        <v/>
      </c>
      <c r="Y286" s="70" t="str">
        <f aca="false">IF($W286="","",ROUND(N($H286),2))</f>
        <v/>
      </c>
      <c r="Z286" s="42"/>
      <c r="AA286" s="44"/>
      <c r="AB286" s="41" t="str">
        <f aca="false">IF($C286="","",ROUND(N($H286)-N($AA286),2))</f>
        <v/>
      </c>
      <c r="AC286" s="9" t="str">
        <f aca="false">IF($B286="","",TEXT($B286,"yyyy年m月"))</f>
        <v/>
      </c>
    </row>
    <row r="287" customFormat="false" ht="18" hidden="false" customHeight="true" outlineLevel="0" collapsed="false">
      <c r="A287" s="107" t="str">
        <f aca="false">IF($C287="","",ROW()-3)</f>
        <v/>
      </c>
      <c r="B287" s="108"/>
      <c r="C287" s="84"/>
      <c r="D287" s="84"/>
      <c r="E287" s="18"/>
      <c r="F287" s="109"/>
      <c r="G287" s="109"/>
      <c r="H287" s="70" t="str">
        <f aca="false">IF($C287="","",ROUND(N($F287)*N($G287),2))</f>
        <v/>
      </c>
      <c r="I287" s="84" t="s">
        <v>266</v>
      </c>
      <c r="J287" s="70" t="str">
        <f aca="false">IF($C287="","",ROUND(N($H287),2))</f>
        <v/>
      </c>
      <c r="K287" s="70" t="n">
        <v>0</v>
      </c>
      <c r="L287" s="84"/>
      <c r="M287" s="84"/>
      <c r="N287" s="18"/>
      <c r="O287" s="84"/>
      <c r="P287" s="18"/>
      <c r="Q287" s="67" t="str">
        <f aca="false">IF(OR($C287="",ROUND(N($H287),2)=0),"",$L287)</f>
        <v/>
      </c>
      <c r="R287" s="70" t="str">
        <f aca="false">IF($Q287="","",ROUND(N($H287),2))</f>
        <v/>
      </c>
      <c r="S287" s="70" t="str">
        <f aca="false">IF($Q287="","",0)</f>
        <v/>
      </c>
      <c r="T287" s="67" t="str">
        <f aca="false">""</f>
        <v/>
      </c>
      <c r="U287" s="70" t="str">
        <f aca="false">IF($T287="","",0)</f>
        <v/>
      </c>
      <c r="V287" s="70" t="str">
        <f aca="false">IF($T287="","",0)</f>
        <v/>
      </c>
      <c r="W287" s="67" t="str">
        <f aca="false">IF($Q287="","","应付账款")</f>
        <v/>
      </c>
      <c r="X287" s="70" t="str">
        <f aca="false">IF($W287="","",0)</f>
        <v/>
      </c>
      <c r="Y287" s="70" t="str">
        <f aca="false">IF($W287="","",ROUND(N($H287),2))</f>
        <v/>
      </c>
      <c r="Z287" s="42"/>
      <c r="AA287" s="44"/>
      <c r="AB287" s="41" t="str">
        <f aca="false">IF($C287="","",ROUND(N($H287)-N($AA287),2))</f>
        <v/>
      </c>
      <c r="AC287" s="9" t="str">
        <f aca="false">IF($B287="","",TEXT($B287,"yyyy年m月"))</f>
        <v/>
      </c>
    </row>
    <row r="288" customFormat="false" ht="18" hidden="false" customHeight="true" outlineLevel="0" collapsed="false">
      <c r="A288" s="107" t="str">
        <f aca="false">IF($C288="","",ROW()-3)</f>
        <v/>
      </c>
      <c r="B288" s="108"/>
      <c r="C288" s="84"/>
      <c r="D288" s="84"/>
      <c r="E288" s="18"/>
      <c r="F288" s="109"/>
      <c r="G288" s="109"/>
      <c r="H288" s="70" t="str">
        <f aca="false">IF($C288="","",ROUND(N($F288)*N($G288),2))</f>
        <v/>
      </c>
      <c r="I288" s="84" t="s">
        <v>266</v>
      </c>
      <c r="J288" s="70" t="str">
        <f aca="false">IF($C288="","",ROUND(N($H288),2))</f>
        <v/>
      </c>
      <c r="K288" s="70" t="n">
        <v>0</v>
      </c>
      <c r="L288" s="84"/>
      <c r="M288" s="84"/>
      <c r="N288" s="18"/>
      <c r="O288" s="84"/>
      <c r="P288" s="18"/>
      <c r="Q288" s="67" t="str">
        <f aca="false">IF(OR($C288="",ROUND(N($H288),2)=0),"",$L288)</f>
        <v/>
      </c>
      <c r="R288" s="70" t="str">
        <f aca="false">IF($Q288="","",ROUND(N($H288),2))</f>
        <v/>
      </c>
      <c r="S288" s="70" t="str">
        <f aca="false">IF($Q288="","",0)</f>
        <v/>
      </c>
      <c r="T288" s="67" t="str">
        <f aca="false">""</f>
        <v/>
      </c>
      <c r="U288" s="70" t="str">
        <f aca="false">IF($T288="","",0)</f>
        <v/>
      </c>
      <c r="V288" s="70" t="str">
        <f aca="false">IF($T288="","",0)</f>
        <v/>
      </c>
      <c r="W288" s="67" t="str">
        <f aca="false">IF($Q288="","","应付账款")</f>
        <v/>
      </c>
      <c r="X288" s="70" t="str">
        <f aca="false">IF($W288="","",0)</f>
        <v/>
      </c>
      <c r="Y288" s="70" t="str">
        <f aca="false">IF($W288="","",ROUND(N($H288),2))</f>
        <v/>
      </c>
      <c r="Z288" s="42"/>
      <c r="AA288" s="44"/>
      <c r="AB288" s="41" t="str">
        <f aca="false">IF($C288="","",ROUND(N($H288)-N($AA288),2))</f>
        <v/>
      </c>
      <c r="AC288" s="9" t="str">
        <f aca="false">IF($B288="","",TEXT($B288,"yyyy年m月"))</f>
        <v/>
      </c>
    </row>
    <row r="289" customFormat="false" ht="18" hidden="false" customHeight="true" outlineLevel="0" collapsed="false">
      <c r="A289" s="107" t="str">
        <f aca="false">IF($C289="","",ROW()-3)</f>
        <v/>
      </c>
      <c r="B289" s="108"/>
      <c r="C289" s="84"/>
      <c r="D289" s="84"/>
      <c r="E289" s="18"/>
      <c r="F289" s="109"/>
      <c r="G289" s="109"/>
      <c r="H289" s="70" t="str">
        <f aca="false">IF($C289="","",ROUND(N($F289)*N($G289),2))</f>
        <v/>
      </c>
      <c r="I289" s="84" t="s">
        <v>266</v>
      </c>
      <c r="J289" s="70" t="str">
        <f aca="false">IF($C289="","",ROUND(N($H289),2))</f>
        <v/>
      </c>
      <c r="K289" s="70" t="n">
        <v>0</v>
      </c>
      <c r="L289" s="84"/>
      <c r="M289" s="84"/>
      <c r="N289" s="18"/>
      <c r="O289" s="84"/>
      <c r="P289" s="18"/>
      <c r="Q289" s="67" t="str">
        <f aca="false">IF(OR($C289="",ROUND(N($H289),2)=0),"",$L289)</f>
        <v/>
      </c>
      <c r="R289" s="70" t="str">
        <f aca="false">IF($Q289="","",ROUND(N($H289),2))</f>
        <v/>
      </c>
      <c r="S289" s="70" t="str">
        <f aca="false">IF($Q289="","",0)</f>
        <v/>
      </c>
      <c r="T289" s="67" t="str">
        <f aca="false">""</f>
        <v/>
      </c>
      <c r="U289" s="70" t="str">
        <f aca="false">IF($T289="","",0)</f>
        <v/>
      </c>
      <c r="V289" s="70" t="str">
        <f aca="false">IF($T289="","",0)</f>
        <v/>
      </c>
      <c r="W289" s="67" t="str">
        <f aca="false">IF($Q289="","","应付账款")</f>
        <v/>
      </c>
      <c r="X289" s="70" t="str">
        <f aca="false">IF($W289="","",0)</f>
        <v/>
      </c>
      <c r="Y289" s="70" t="str">
        <f aca="false">IF($W289="","",ROUND(N($H289),2))</f>
        <v/>
      </c>
      <c r="Z289" s="42"/>
      <c r="AA289" s="44"/>
      <c r="AB289" s="41" t="str">
        <f aca="false">IF($C289="","",ROUND(N($H289)-N($AA289),2))</f>
        <v/>
      </c>
      <c r="AC289" s="9" t="str">
        <f aca="false">IF($B289="","",TEXT($B289,"yyyy年m月"))</f>
        <v/>
      </c>
    </row>
    <row r="290" customFormat="false" ht="18" hidden="false" customHeight="true" outlineLevel="0" collapsed="false">
      <c r="A290" s="107" t="str">
        <f aca="false">IF($C290="","",ROW()-3)</f>
        <v/>
      </c>
      <c r="B290" s="108"/>
      <c r="C290" s="84"/>
      <c r="D290" s="84"/>
      <c r="E290" s="18"/>
      <c r="F290" s="109"/>
      <c r="G290" s="109"/>
      <c r="H290" s="70" t="str">
        <f aca="false">IF($C290="","",ROUND(N($F290)*N($G290),2))</f>
        <v/>
      </c>
      <c r="I290" s="84" t="s">
        <v>266</v>
      </c>
      <c r="J290" s="70" t="str">
        <f aca="false">IF($C290="","",ROUND(N($H290),2))</f>
        <v/>
      </c>
      <c r="K290" s="70" t="n">
        <v>0</v>
      </c>
      <c r="L290" s="84"/>
      <c r="M290" s="84"/>
      <c r="N290" s="18"/>
      <c r="O290" s="84"/>
      <c r="P290" s="18"/>
      <c r="Q290" s="67" t="str">
        <f aca="false">IF(OR($C290="",ROUND(N($H290),2)=0),"",$L290)</f>
        <v/>
      </c>
      <c r="R290" s="70" t="str">
        <f aca="false">IF($Q290="","",ROUND(N($H290),2))</f>
        <v/>
      </c>
      <c r="S290" s="70" t="str">
        <f aca="false">IF($Q290="","",0)</f>
        <v/>
      </c>
      <c r="T290" s="67" t="str">
        <f aca="false">""</f>
        <v/>
      </c>
      <c r="U290" s="70" t="str">
        <f aca="false">IF($T290="","",0)</f>
        <v/>
      </c>
      <c r="V290" s="70" t="str">
        <f aca="false">IF($T290="","",0)</f>
        <v/>
      </c>
      <c r="W290" s="67" t="str">
        <f aca="false">IF($Q290="","","应付账款")</f>
        <v/>
      </c>
      <c r="X290" s="70" t="str">
        <f aca="false">IF($W290="","",0)</f>
        <v/>
      </c>
      <c r="Y290" s="70" t="str">
        <f aca="false">IF($W290="","",ROUND(N($H290),2))</f>
        <v/>
      </c>
      <c r="Z290" s="42"/>
      <c r="AA290" s="44"/>
      <c r="AB290" s="41" t="str">
        <f aca="false">IF($C290="","",ROUND(N($H290)-N($AA290),2))</f>
        <v/>
      </c>
      <c r="AC290" s="9" t="str">
        <f aca="false">IF($B290="","",TEXT($B290,"yyyy年m月"))</f>
        <v/>
      </c>
    </row>
    <row r="291" customFormat="false" ht="18" hidden="false" customHeight="true" outlineLevel="0" collapsed="false">
      <c r="A291" s="107" t="str">
        <f aca="false">IF($C291="","",ROW()-3)</f>
        <v/>
      </c>
      <c r="B291" s="108"/>
      <c r="C291" s="84"/>
      <c r="D291" s="84"/>
      <c r="E291" s="18"/>
      <c r="F291" s="109"/>
      <c r="G291" s="109"/>
      <c r="H291" s="70" t="str">
        <f aca="false">IF($C291="","",ROUND(N($F291)*N($G291),2))</f>
        <v/>
      </c>
      <c r="I291" s="84" t="s">
        <v>266</v>
      </c>
      <c r="J291" s="70" t="str">
        <f aca="false">IF($C291="","",ROUND(N($H291),2))</f>
        <v/>
      </c>
      <c r="K291" s="70" t="n">
        <v>0</v>
      </c>
      <c r="L291" s="84"/>
      <c r="M291" s="84"/>
      <c r="N291" s="18"/>
      <c r="O291" s="84"/>
      <c r="P291" s="18"/>
      <c r="Q291" s="67" t="str">
        <f aca="false">IF(OR($C291="",ROUND(N($H291),2)=0),"",$L291)</f>
        <v/>
      </c>
      <c r="R291" s="70" t="str">
        <f aca="false">IF($Q291="","",ROUND(N($H291),2))</f>
        <v/>
      </c>
      <c r="S291" s="70" t="str">
        <f aca="false">IF($Q291="","",0)</f>
        <v/>
      </c>
      <c r="T291" s="67" t="str">
        <f aca="false">""</f>
        <v/>
      </c>
      <c r="U291" s="70" t="str">
        <f aca="false">IF($T291="","",0)</f>
        <v/>
      </c>
      <c r="V291" s="70" t="str">
        <f aca="false">IF($T291="","",0)</f>
        <v/>
      </c>
      <c r="W291" s="67" t="str">
        <f aca="false">IF($Q291="","","应付账款")</f>
        <v/>
      </c>
      <c r="X291" s="70" t="str">
        <f aca="false">IF($W291="","",0)</f>
        <v/>
      </c>
      <c r="Y291" s="70" t="str">
        <f aca="false">IF($W291="","",ROUND(N($H291),2))</f>
        <v/>
      </c>
      <c r="Z291" s="42"/>
      <c r="AA291" s="44"/>
      <c r="AB291" s="41" t="str">
        <f aca="false">IF($C291="","",ROUND(N($H291)-N($AA291),2))</f>
        <v/>
      </c>
      <c r="AC291" s="9" t="str">
        <f aca="false">IF($B291="","",TEXT($B291,"yyyy年m月"))</f>
        <v/>
      </c>
    </row>
    <row r="292" customFormat="false" ht="18" hidden="false" customHeight="true" outlineLevel="0" collapsed="false">
      <c r="A292" s="107" t="str">
        <f aca="false">IF($C292="","",ROW()-3)</f>
        <v/>
      </c>
      <c r="B292" s="108"/>
      <c r="C292" s="84"/>
      <c r="D292" s="84"/>
      <c r="E292" s="18"/>
      <c r="F292" s="109"/>
      <c r="G292" s="109"/>
      <c r="H292" s="70" t="str">
        <f aca="false">IF($C292="","",ROUND(N($F292)*N($G292),2))</f>
        <v/>
      </c>
      <c r="I292" s="84" t="s">
        <v>266</v>
      </c>
      <c r="J292" s="70" t="str">
        <f aca="false">IF($C292="","",ROUND(N($H292),2))</f>
        <v/>
      </c>
      <c r="K292" s="70" t="n">
        <v>0</v>
      </c>
      <c r="L292" s="84"/>
      <c r="M292" s="84"/>
      <c r="N292" s="18"/>
      <c r="O292" s="84"/>
      <c r="P292" s="18"/>
      <c r="Q292" s="67" t="str">
        <f aca="false">IF(OR($C292="",ROUND(N($H292),2)=0),"",$L292)</f>
        <v/>
      </c>
      <c r="R292" s="70" t="str">
        <f aca="false">IF($Q292="","",ROUND(N($H292),2))</f>
        <v/>
      </c>
      <c r="S292" s="70" t="str">
        <f aca="false">IF($Q292="","",0)</f>
        <v/>
      </c>
      <c r="T292" s="67" t="str">
        <f aca="false">""</f>
        <v/>
      </c>
      <c r="U292" s="70" t="str">
        <f aca="false">IF($T292="","",0)</f>
        <v/>
      </c>
      <c r="V292" s="70" t="str">
        <f aca="false">IF($T292="","",0)</f>
        <v/>
      </c>
      <c r="W292" s="67" t="str">
        <f aca="false">IF($Q292="","","应付账款")</f>
        <v/>
      </c>
      <c r="X292" s="70" t="str">
        <f aca="false">IF($W292="","",0)</f>
        <v/>
      </c>
      <c r="Y292" s="70" t="str">
        <f aca="false">IF($W292="","",ROUND(N($H292),2))</f>
        <v/>
      </c>
      <c r="Z292" s="42"/>
      <c r="AA292" s="44"/>
      <c r="AB292" s="41" t="str">
        <f aca="false">IF($C292="","",ROUND(N($H292)-N($AA292),2))</f>
        <v/>
      </c>
      <c r="AC292" s="9" t="str">
        <f aca="false">IF($B292="","",TEXT($B292,"yyyy年m月"))</f>
        <v/>
      </c>
    </row>
    <row r="293" customFormat="false" ht="18" hidden="false" customHeight="true" outlineLevel="0" collapsed="false">
      <c r="A293" s="107" t="str">
        <f aca="false">IF($C293="","",ROW()-3)</f>
        <v/>
      </c>
      <c r="B293" s="108"/>
      <c r="C293" s="84"/>
      <c r="D293" s="84"/>
      <c r="E293" s="18"/>
      <c r="F293" s="109"/>
      <c r="G293" s="109"/>
      <c r="H293" s="70" t="str">
        <f aca="false">IF($C293="","",ROUND(N($F293)*N($G293),2))</f>
        <v/>
      </c>
      <c r="I293" s="84" t="s">
        <v>266</v>
      </c>
      <c r="J293" s="70" t="str">
        <f aca="false">IF($C293="","",ROUND(N($H293),2))</f>
        <v/>
      </c>
      <c r="K293" s="70" t="n">
        <v>0</v>
      </c>
      <c r="L293" s="84"/>
      <c r="M293" s="84"/>
      <c r="N293" s="18"/>
      <c r="O293" s="84"/>
      <c r="P293" s="18"/>
      <c r="Q293" s="67" t="str">
        <f aca="false">IF(OR($C293="",ROUND(N($H293),2)=0),"",$L293)</f>
        <v/>
      </c>
      <c r="R293" s="70" t="str">
        <f aca="false">IF($Q293="","",ROUND(N($H293),2))</f>
        <v/>
      </c>
      <c r="S293" s="70" t="str">
        <f aca="false">IF($Q293="","",0)</f>
        <v/>
      </c>
      <c r="T293" s="67" t="str">
        <f aca="false">""</f>
        <v/>
      </c>
      <c r="U293" s="70" t="str">
        <f aca="false">IF($T293="","",0)</f>
        <v/>
      </c>
      <c r="V293" s="70" t="str">
        <f aca="false">IF($T293="","",0)</f>
        <v/>
      </c>
      <c r="W293" s="67" t="str">
        <f aca="false">IF($Q293="","","应付账款")</f>
        <v/>
      </c>
      <c r="X293" s="70" t="str">
        <f aca="false">IF($W293="","",0)</f>
        <v/>
      </c>
      <c r="Y293" s="70" t="str">
        <f aca="false">IF($W293="","",ROUND(N($H293),2))</f>
        <v/>
      </c>
      <c r="Z293" s="42"/>
      <c r="AA293" s="44"/>
      <c r="AB293" s="41" t="str">
        <f aca="false">IF($C293="","",ROUND(N($H293)-N($AA293),2))</f>
        <v/>
      </c>
      <c r="AC293" s="9" t="str">
        <f aca="false">IF($B293="","",TEXT($B293,"yyyy年m月"))</f>
        <v/>
      </c>
    </row>
    <row r="294" customFormat="false" ht="18" hidden="false" customHeight="true" outlineLevel="0" collapsed="false">
      <c r="A294" s="107" t="str">
        <f aca="false">IF($C294="","",ROW()-3)</f>
        <v/>
      </c>
      <c r="B294" s="108"/>
      <c r="C294" s="84"/>
      <c r="D294" s="84"/>
      <c r="E294" s="18"/>
      <c r="F294" s="109"/>
      <c r="G294" s="109"/>
      <c r="H294" s="70" t="str">
        <f aca="false">IF($C294="","",ROUND(N($F294)*N($G294),2))</f>
        <v/>
      </c>
      <c r="I294" s="84" t="s">
        <v>266</v>
      </c>
      <c r="J294" s="70" t="str">
        <f aca="false">IF($C294="","",ROUND(N($H294),2))</f>
        <v/>
      </c>
      <c r="K294" s="70" t="n">
        <v>0</v>
      </c>
      <c r="L294" s="84"/>
      <c r="M294" s="84"/>
      <c r="N294" s="18"/>
      <c r="O294" s="84"/>
      <c r="P294" s="18"/>
      <c r="Q294" s="67" t="str">
        <f aca="false">IF(OR($C294="",ROUND(N($H294),2)=0),"",$L294)</f>
        <v/>
      </c>
      <c r="R294" s="70" t="str">
        <f aca="false">IF($Q294="","",ROUND(N($H294),2))</f>
        <v/>
      </c>
      <c r="S294" s="70" t="str">
        <f aca="false">IF($Q294="","",0)</f>
        <v/>
      </c>
      <c r="T294" s="67" t="str">
        <f aca="false">""</f>
        <v/>
      </c>
      <c r="U294" s="70" t="str">
        <f aca="false">IF($T294="","",0)</f>
        <v/>
      </c>
      <c r="V294" s="70" t="str">
        <f aca="false">IF($T294="","",0)</f>
        <v/>
      </c>
      <c r="W294" s="67" t="str">
        <f aca="false">IF($Q294="","","应付账款")</f>
        <v/>
      </c>
      <c r="X294" s="70" t="str">
        <f aca="false">IF($W294="","",0)</f>
        <v/>
      </c>
      <c r="Y294" s="70" t="str">
        <f aca="false">IF($W294="","",ROUND(N($H294),2))</f>
        <v/>
      </c>
      <c r="Z294" s="42"/>
      <c r="AA294" s="44"/>
      <c r="AB294" s="41" t="str">
        <f aca="false">IF($C294="","",ROUND(N($H294)-N($AA294),2))</f>
        <v/>
      </c>
      <c r="AC294" s="9" t="str">
        <f aca="false">IF($B294="","",TEXT($B294,"yyyy年m月"))</f>
        <v/>
      </c>
    </row>
    <row r="295" customFormat="false" ht="18" hidden="false" customHeight="true" outlineLevel="0" collapsed="false">
      <c r="A295" s="107" t="str">
        <f aca="false">IF($C295="","",ROW()-3)</f>
        <v/>
      </c>
      <c r="B295" s="108"/>
      <c r="C295" s="84"/>
      <c r="D295" s="84"/>
      <c r="E295" s="18"/>
      <c r="F295" s="109"/>
      <c r="G295" s="109"/>
      <c r="H295" s="70" t="str">
        <f aca="false">IF($C295="","",ROUND(N($F295)*N($G295),2))</f>
        <v/>
      </c>
      <c r="I295" s="84" t="s">
        <v>266</v>
      </c>
      <c r="J295" s="70" t="str">
        <f aca="false">IF($C295="","",ROUND(N($H295),2))</f>
        <v/>
      </c>
      <c r="K295" s="70" t="n">
        <v>0</v>
      </c>
      <c r="L295" s="84"/>
      <c r="M295" s="84"/>
      <c r="N295" s="18"/>
      <c r="O295" s="84"/>
      <c r="P295" s="18"/>
      <c r="Q295" s="67" t="str">
        <f aca="false">IF(OR($C295="",ROUND(N($H295),2)=0),"",$L295)</f>
        <v/>
      </c>
      <c r="R295" s="70" t="str">
        <f aca="false">IF($Q295="","",ROUND(N($H295),2))</f>
        <v/>
      </c>
      <c r="S295" s="70" t="str">
        <f aca="false">IF($Q295="","",0)</f>
        <v/>
      </c>
      <c r="T295" s="67" t="str">
        <f aca="false">""</f>
        <v/>
      </c>
      <c r="U295" s="70" t="str">
        <f aca="false">IF($T295="","",0)</f>
        <v/>
      </c>
      <c r="V295" s="70" t="str">
        <f aca="false">IF($T295="","",0)</f>
        <v/>
      </c>
      <c r="W295" s="67" t="str">
        <f aca="false">IF($Q295="","","应付账款")</f>
        <v/>
      </c>
      <c r="X295" s="70" t="str">
        <f aca="false">IF($W295="","",0)</f>
        <v/>
      </c>
      <c r="Y295" s="70" t="str">
        <f aca="false">IF($W295="","",ROUND(N($H295),2))</f>
        <v/>
      </c>
      <c r="Z295" s="42"/>
      <c r="AA295" s="44"/>
      <c r="AB295" s="41" t="str">
        <f aca="false">IF($C295="","",ROUND(N($H295)-N($AA295),2))</f>
        <v/>
      </c>
      <c r="AC295" s="9" t="str">
        <f aca="false">IF($B295="","",TEXT($B295,"yyyy年m月"))</f>
        <v/>
      </c>
    </row>
    <row r="296" customFormat="false" ht="18" hidden="false" customHeight="true" outlineLevel="0" collapsed="false">
      <c r="A296" s="107" t="str">
        <f aca="false">IF($C296="","",ROW()-3)</f>
        <v/>
      </c>
      <c r="B296" s="108"/>
      <c r="C296" s="84"/>
      <c r="D296" s="84"/>
      <c r="E296" s="18"/>
      <c r="F296" s="109"/>
      <c r="G296" s="109"/>
      <c r="H296" s="70" t="str">
        <f aca="false">IF($C296="","",ROUND(N($F296)*N($G296),2))</f>
        <v/>
      </c>
      <c r="I296" s="84" t="s">
        <v>266</v>
      </c>
      <c r="J296" s="70" t="str">
        <f aca="false">IF($C296="","",ROUND(N($H296),2))</f>
        <v/>
      </c>
      <c r="K296" s="70" t="n">
        <v>0</v>
      </c>
      <c r="L296" s="84"/>
      <c r="M296" s="84"/>
      <c r="N296" s="18"/>
      <c r="O296" s="84"/>
      <c r="P296" s="18"/>
      <c r="Q296" s="67" t="str">
        <f aca="false">IF(OR($C296="",ROUND(N($H296),2)=0),"",$L296)</f>
        <v/>
      </c>
      <c r="R296" s="70" t="str">
        <f aca="false">IF($Q296="","",ROUND(N($H296),2))</f>
        <v/>
      </c>
      <c r="S296" s="70" t="str">
        <f aca="false">IF($Q296="","",0)</f>
        <v/>
      </c>
      <c r="T296" s="67" t="str">
        <f aca="false">""</f>
        <v/>
      </c>
      <c r="U296" s="70" t="str">
        <f aca="false">IF($T296="","",0)</f>
        <v/>
      </c>
      <c r="V296" s="70" t="str">
        <f aca="false">IF($T296="","",0)</f>
        <v/>
      </c>
      <c r="W296" s="67" t="str">
        <f aca="false">IF($Q296="","","应付账款")</f>
        <v/>
      </c>
      <c r="X296" s="70" t="str">
        <f aca="false">IF($W296="","",0)</f>
        <v/>
      </c>
      <c r="Y296" s="70" t="str">
        <f aca="false">IF($W296="","",ROUND(N($H296),2))</f>
        <v/>
      </c>
      <c r="Z296" s="42"/>
      <c r="AA296" s="44"/>
      <c r="AB296" s="41" t="str">
        <f aca="false">IF($C296="","",ROUND(N($H296)-N($AA296),2))</f>
        <v/>
      </c>
      <c r="AC296" s="9" t="str">
        <f aca="false">IF($B296="","",TEXT($B296,"yyyy年m月"))</f>
        <v/>
      </c>
    </row>
    <row r="297" customFormat="false" ht="18" hidden="false" customHeight="true" outlineLevel="0" collapsed="false">
      <c r="A297" s="107" t="str">
        <f aca="false">IF($C297="","",ROW()-3)</f>
        <v/>
      </c>
      <c r="B297" s="108"/>
      <c r="C297" s="84"/>
      <c r="D297" s="84"/>
      <c r="E297" s="18"/>
      <c r="F297" s="109"/>
      <c r="G297" s="109"/>
      <c r="H297" s="70" t="str">
        <f aca="false">IF($C297="","",ROUND(N($F297)*N($G297),2))</f>
        <v/>
      </c>
      <c r="I297" s="84" t="s">
        <v>266</v>
      </c>
      <c r="J297" s="70" t="str">
        <f aca="false">IF($C297="","",ROUND(N($H297),2))</f>
        <v/>
      </c>
      <c r="K297" s="70" t="n">
        <v>0</v>
      </c>
      <c r="L297" s="84"/>
      <c r="M297" s="84"/>
      <c r="N297" s="18"/>
      <c r="O297" s="84"/>
      <c r="P297" s="18"/>
      <c r="Q297" s="67" t="str">
        <f aca="false">IF(OR($C297="",ROUND(N($H297),2)=0),"",$L297)</f>
        <v/>
      </c>
      <c r="R297" s="70" t="str">
        <f aca="false">IF($Q297="","",ROUND(N($H297),2))</f>
        <v/>
      </c>
      <c r="S297" s="70" t="str">
        <f aca="false">IF($Q297="","",0)</f>
        <v/>
      </c>
      <c r="T297" s="67" t="str">
        <f aca="false">""</f>
        <v/>
      </c>
      <c r="U297" s="70" t="str">
        <f aca="false">IF($T297="","",0)</f>
        <v/>
      </c>
      <c r="V297" s="70" t="str">
        <f aca="false">IF($T297="","",0)</f>
        <v/>
      </c>
      <c r="W297" s="67" t="str">
        <f aca="false">IF($Q297="","","应付账款")</f>
        <v/>
      </c>
      <c r="X297" s="70" t="str">
        <f aca="false">IF($W297="","",0)</f>
        <v/>
      </c>
      <c r="Y297" s="70" t="str">
        <f aca="false">IF($W297="","",ROUND(N($H297),2))</f>
        <v/>
      </c>
      <c r="Z297" s="42"/>
      <c r="AA297" s="44"/>
      <c r="AB297" s="41" t="str">
        <f aca="false">IF($C297="","",ROUND(N($H297)-N($AA297),2))</f>
        <v/>
      </c>
      <c r="AC297" s="9" t="str">
        <f aca="false">IF($B297="","",TEXT($B297,"yyyy年m月"))</f>
        <v/>
      </c>
    </row>
    <row r="298" customFormat="false" ht="18" hidden="false" customHeight="true" outlineLevel="0" collapsed="false">
      <c r="A298" s="107" t="str">
        <f aca="false">IF($C298="","",ROW()-3)</f>
        <v/>
      </c>
      <c r="B298" s="108"/>
      <c r="C298" s="84"/>
      <c r="D298" s="84"/>
      <c r="E298" s="18"/>
      <c r="F298" s="109"/>
      <c r="G298" s="109"/>
      <c r="H298" s="70" t="str">
        <f aca="false">IF($C298="","",ROUND(N($F298)*N($G298),2))</f>
        <v/>
      </c>
      <c r="I298" s="84" t="s">
        <v>266</v>
      </c>
      <c r="J298" s="70" t="str">
        <f aca="false">IF($C298="","",ROUND(N($H298),2))</f>
        <v/>
      </c>
      <c r="K298" s="70" t="n">
        <v>0</v>
      </c>
      <c r="L298" s="84"/>
      <c r="M298" s="84"/>
      <c r="N298" s="18"/>
      <c r="O298" s="84"/>
      <c r="P298" s="18"/>
      <c r="Q298" s="67" t="str">
        <f aca="false">IF(OR($C298="",ROUND(N($H298),2)=0),"",$L298)</f>
        <v/>
      </c>
      <c r="R298" s="70" t="str">
        <f aca="false">IF($Q298="","",ROUND(N($H298),2))</f>
        <v/>
      </c>
      <c r="S298" s="70" t="str">
        <f aca="false">IF($Q298="","",0)</f>
        <v/>
      </c>
      <c r="T298" s="67" t="str">
        <f aca="false">""</f>
        <v/>
      </c>
      <c r="U298" s="70" t="str">
        <f aca="false">IF($T298="","",0)</f>
        <v/>
      </c>
      <c r="V298" s="70" t="str">
        <f aca="false">IF($T298="","",0)</f>
        <v/>
      </c>
      <c r="W298" s="67" t="str">
        <f aca="false">IF($Q298="","","应付账款")</f>
        <v/>
      </c>
      <c r="X298" s="70" t="str">
        <f aca="false">IF($W298="","",0)</f>
        <v/>
      </c>
      <c r="Y298" s="70" t="str">
        <f aca="false">IF($W298="","",ROUND(N($H298),2))</f>
        <v/>
      </c>
      <c r="Z298" s="42"/>
      <c r="AA298" s="44"/>
      <c r="AB298" s="41" t="str">
        <f aca="false">IF($C298="","",ROUND(N($H298)-N($AA298),2))</f>
        <v/>
      </c>
      <c r="AC298" s="9" t="str">
        <f aca="false">IF($B298="","",TEXT($B298,"yyyy年m月"))</f>
        <v/>
      </c>
    </row>
    <row r="299" customFormat="false" ht="18" hidden="false" customHeight="true" outlineLevel="0" collapsed="false">
      <c r="A299" s="107" t="str">
        <f aca="false">IF($C299="","",ROW()-3)</f>
        <v/>
      </c>
      <c r="B299" s="108"/>
      <c r="C299" s="84"/>
      <c r="D299" s="84"/>
      <c r="E299" s="18"/>
      <c r="F299" s="109"/>
      <c r="G299" s="109"/>
      <c r="H299" s="70" t="str">
        <f aca="false">IF($C299="","",ROUND(N($F299)*N($G299),2))</f>
        <v/>
      </c>
      <c r="I299" s="84" t="s">
        <v>266</v>
      </c>
      <c r="J299" s="70" t="str">
        <f aca="false">IF($C299="","",ROUND(N($H299),2))</f>
        <v/>
      </c>
      <c r="K299" s="70" t="n">
        <v>0</v>
      </c>
      <c r="L299" s="84"/>
      <c r="M299" s="84"/>
      <c r="N299" s="18"/>
      <c r="O299" s="84"/>
      <c r="P299" s="18"/>
      <c r="Q299" s="67" t="str">
        <f aca="false">IF(OR($C299="",ROUND(N($H299),2)=0),"",$L299)</f>
        <v/>
      </c>
      <c r="R299" s="70" t="str">
        <f aca="false">IF($Q299="","",ROUND(N($H299),2))</f>
        <v/>
      </c>
      <c r="S299" s="70" t="str">
        <f aca="false">IF($Q299="","",0)</f>
        <v/>
      </c>
      <c r="T299" s="67" t="str">
        <f aca="false">""</f>
        <v/>
      </c>
      <c r="U299" s="70" t="str">
        <f aca="false">IF($T299="","",0)</f>
        <v/>
      </c>
      <c r="V299" s="70" t="str">
        <f aca="false">IF($T299="","",0)</f>
        <v/>
      </c>
      <c r="W299" s="67" t="str">
        <f aca="false">IF($Q299="","","应付账款")</f>
        <v/>
      </c>
      <c r="X299" s="70" t="str">
        <f aca="false">IF($W299="","",0)</f>
        <v/>
      </c>
      <c r="Y299" s="70" t="str">
        <f aca="false">IF($W299="","",ROUND(N($H299),2))</f>
        <v/>
      </c>
      <c r="Z299" s="42"/>
      <c r="AA299" s="44"/>
      <c r="AB299" s="41" t="str">
        <f aca="false">IF($C299="","",ROUND(N($H299)-N($AA299),2))</f>
        <v/>
      </c>
      <c r="AC299" s="9" t="str">
        <f aca="false">IF($B299="","",TEXT($B299,"yyyy年m月"))</f>
        <v/>
      </c>
    </row>
    <row r="300" customFormat="false" ht="18" hidden="false" customHeight="true" outlineLevel="0" collapsed="false">
      <c r="A300" s="107" t="str">
        <f aca="false">IF($C300="","",ROW()-3)</f>
        <v/>
      </c>
      <c r="B300" s="108"/>
      <c r="C300" s="84"/>
      <c r="D300" s="84"/>
      <c r="E300" s="18"/>
      <c r="F300" s="109"/>
      <c r="G300" s="109"/>
      <c r="H300" s="70" t="str">
        <f aca="false">IF($C300="","",ROUND(N($F300)*N($G300),2))</f>
        <v/>
      </c>
      <c r="I300" s="84" t="s">
        <v>266</v>
      </c>
      <c r="J300" s="70" t="str">
        <f aca="false">IF($C300="","",ROUND(N($H300),2))</f>
        <v/>
      </c>
      <c r="K300" s="70" t="n">
        <v>0</v>
      </c>
      <c r="L300" s="84"/>
      <c r="M300" s="84"/>
      <c r="N300" s="18"/>
      <c r="O300" s="84"/>
      <c r="P300" s="18"/>
      <c r="Q300" s="67" t="str">
        <f aca="false">IF(OR($C300="",ROUND(N($H300),2)=0),"",$L300)</f>
        <v/>
      </c>
      <c r="R300" s="70" t="str">
        <f aca="false">IF($Q300="","",ROUND(N($H300),2))</f>
        <v/>
      </c>
      <c r="S300" s="70" t="str">
        <f aca="false">IF($Q300="","",0)</f>
        <v/>
      </c>
      <c r="T300" s="67" t="str">
        <f aca="false">""</f>
        <v/>
      </c>
      <c r="U300" s="70" t="str">
        <f aca="false">IF($T300="","",0)</f>
        <v/>
      </c>
      <c r="V300" s="70" t="str">
        <f aca="false">IF($T300="","",0)</f>
        <v/>
      </c>
      <c r="W300" s="67" t="str">
        <f aca="false">IF($Q300="","","应付账款")</f>
        <v/>
      </c>
      <c r="X300" s="70" t="str">
        <f aca="false">IF($W300="","",0)</f>
        <v/>
      </c>
      <c r="Y300" s="70" t="str">
        <f aca="false">IF($W300="","",ROUND(N($H300),2))</f>
        <v/>
      </c>
      <c r="Z300" s="42"/>
      <c r="AA300" s="44"/>
      <c r="AB300" s="41" t="str">
        <f aca="false">IF($C300="","",ROUND(N($H300)-N($AA300),2))</f>
        <v/>
      </c>
      <c r="AC300" s="9" t="str">
        <f aca="false">IF($B300="","",TEXT($B300,"yyyy年m月"))</f>
        <v/>
      </c>
    </row>
    <row r="301" customFormat="false" ht="18" hidden="false" customHeight="true" outlineLevel="0" collapsed="false">
      <c r="A301" s="107" t="str">
        <f aca="false">IF($C301="","",ROW()-3)</f>
        <v/>
      </c>
      <c r="B301" s="108"/>
      <c r="C301" s="84"/>
      <c r="D301" s="84"/>
      <c r="E301" s="18"/>
      <c r="F301" s="109"/>
      <c r="G301" s="109"/>
      <c r="H301" s="70" t="str">
        <f aca="false">IF($C301="","",ROUND(N($F301)*N($G301),2))</f>
        <v/>
      </c>
      <c r="I301" s="84" t="s">
        <v>266</v>
      </c>
      <c r="J301" s="70" t="str">
        <f aca="false">IF($C301="","",ROUND(N($H301),2))</f>
        <v/>
      </c>
      <c r="K301" s="70" t="n">
        <v>0</v>
      </c>
      <c r="L301" s="84"/>
      <c r="M301" s="84"/>
      <c r="N301" s="18"/>
      <c r="O301" s="84"/>
      <c r="P301" s="18"/>
      <c r="Q301" s="67" t="str">
        <f aca="false">IF(OR($C301="",ROUND(N($H301),2)=0),"",$L301)</f>
        <v/>
      </c>
      <c r="R301" s="70" t="str">
        <f aca="false">IF($Q301="","",ROUND(N($H301),2))</f>
        <v/>
      </c>
      <c r="S301" s="70" t="str">
        <f aca="false">IF($Q301="","",0)</f>
        <v/>
      </c>
      <c r="T301" s="67" t="str">
        <f aca="false">""</f>
        <v/>
      </c>
      <c r="U301" s="70" t="str">
        <f aca="false">IF($T301="","",0)</f>
        <v/>
      </c>
      <c r="V301" s="70" t="str">
        <f aca="false">IF($T301="","",0)</f>
        <v/>
      </c>
      <c r="W301" s="67" t="str">
        <f aca="false">IF($Q301="","","应付账款")</f>
        <v/>
      </c>
      <c r="X301" s="70" t="str">
        <f aca="false">IF($W301="","",0)</f>
        <v/>
      </c>
      <c r="Y301" s="70" t="str">
        <f aca="false">IF($W301="","",ROUND(N($H301),2))</f>
        <v/>
      </c>
      <c r="Z301" s="42"/>
      <c r="AA301" s="44"/>
      <c r="AB301" s="41" t="str">
        <f aca="false">IF($C301="","",ROUND(N($H301)-N($AA301),2))</f>
        <v/>
      </c>
      <c r="AC301" s="9" t="str">
        <f aca="false">IF($B301="","",TEXT($B301,"yyyy年m月"))</f>
        <v/>
      </c>
    </row>
    <row r="302" customFormat="false" ht="18" hidden="false" customHeight="true" outlineLevel="0" collapsed="false">
      <c r="A302" s="107" t="str">
        <f aca="false">IF($C302="","",ROW()-3)</f>
        <v/>
      </c>
      <c r="B302" s="108"/>
      <c r="C302" s="84"/>
      <c r="D302" s="84"/>
      <c r="E302" s="18"/>
      <c r="F302" s="109"/>
      <c r="G302" s="109"/>
      <c r="H302" s="70" t="str">
        <f aca="false">IF($C302="","",ROUND(N($F302)*N($G302),2))</f>
        <v/>
      </c>
      <c r="I302" s="84" t="s">
        <v>266</v>
      </c>
      <c r="J302" s="70" t="str">
        <f aca="false">IF($C302="","",ROUND(N($H302),2))</f>
        <v/>
      </c>
      <c r="K302" s="70" t="n">
        <v>0</v>
      </c>
      <c r="L302" s="84"/>
      <c r="M302" s="84"/>
      <c r="N302" s="18"/>
      <c r="O302" s="84"/>
      <c r="P302" s="18"/>
      <c r="Q302" s="67" t="str">
        <f aca="false">IF(OR($C302="",ROUND(N($H302),2)=0),"",$L302)</f>
        <v/>
      </c>
      <c r="R302" s="70" t="str">
        <f aca="false">IF($Q302="","",ROUND(N($H302),2))</f>
        <v/>
      </c>
      <c r="S302" s="70" t="str">
        <f aca="false">IF($Q302="","",0)</f>
        <v/>
      </c>
      <c r="T302" s="67" t="str">
        <f aca="false">""</f>
        <v/>
      </c>
      <c r="U302" s="70" t="str">
        <f aca="false">IF($T302="","",0)</f>
        <v/>
      </c>
      <c r="V302" s="70" t="str">
        <f aca="false">IF($T302="","",0)</f>
        <v/>
      </c>
      <c r="W302" s="67" t="str">
        <f aca="false">IF($Q302="","","应付账款")</f>
        <v/>
      </c>
      <c r="X302" s="70" t="str">
        <f aca="false">IF($W302="","",0)</f>
        <v/>
      </c>
      <c r="Y302" s="70" t="str">
        <f aca="false">IF($W302="","",ROUND(N($H302),2))</f>
        <v/>
      </c>
      <c r="Z302" s="42"/>
      <c r="AA302" s="44"/>
      <c r="AB302" s="41" t="str">
        <f aca="false">IF($C302="","",ROUND(N($H302)-N($AA302),2))</f>
        <v/>
      </c>
      <c r="AC302" s="9" t="str">
        <f aca="false">IF($B302="","",TEXT($B302,"yyyy年m月"))</f>
        <v/>
      </c>
    </row>
    <row r="303" customFormat="false" ht="18" hidden="false" customHeight="true" outlineLevel="0" collapsed="false">
      <c r="A303" s="107" t="str">
        <f aca="false">IF($C303="","",ROW()-3)</f>
        <v/>
      </c>
      <c r="B303" s="108"/>
      <c r="C303" s="84"/>
      <c r="D303" s="84"/>
      <c r="E303" s="18"/>
      <c r="F303" s="109"/>
      <c r="G303" s="109"/>
      <c r="H303" s="70" t="str">
        <f aca="false">IF($C303="","",ROUND(N($F303)*N($G303),2))</f>
        <v/>
      </c>
      <c r="I303" s="84" t="s">
        <v>266</v>
      </c>
      <c r="J303" s="70" t="str">
        <f aca="false">IF($C303="","",ROUND(N($H303),2))</f>
        <v/>
      </c>
      <c r="K303" s="70" t="n">
        <v>0</v>
      </c>
      <c r="L303" s="84"/>
      <c r="M303" s="84"/>
      <c r="N303" s="18"/>
      <c r="O303" s="84"/>
      <c r="P303" s="18"/>
      <c r="Q303" s="67" t="str">
        <f aca="false">IF(OR($C303="",ROUND(N($H303),2)=0),"",$L303)</f>
        <v/>
      </c>
      <c r="R303" s="70" t="str">
        <f aca="false">IF($Q303="","",ROUND(N($H303),2))</f>
        <v/>
      </c>
      <c r="S303" s="70" t="str">
        <f aca="false">IF($Q303="","",0)</f>
        <v/>
      </c>
      <c r="T303" s="67" t="str">
        <f aca="false">""</f>
        <v/>
      </c>
      <c r="U303" s="70" t="str">
        <f aca="false">IF($T303="","",0)</f>
        <v/>
      </c>
      <c r="V303" s="70" t="str">
        <f aca="false">IF($T303="","",0)</f>
        <v/>
      </c>
      <c r="W303" s="67" t="str">
        <f aca="false">IF($Q303="","","应付账款")</f>
        <v/>
      </c>
      <c r="X303" s="70" t="str">
        <f aca="false">IF($W303="","",0)</f>
        <v/>
      </c>
      <c r="Y303" s="70" t="str">
        <f aca="false">IF($W303="","",ROUND(N($H303),2))</f>
        <v/>
      </c>
      <c r="Z303" s="42"/>
      <c r="AA303" s="44"/>
      <c r="AB303" s="41" t="str">
        <f aca="false">IF($C303="","",ROUND(N($H303)-N($AA303),2))</f>
        <v/>
      </c>
      <c r="AC303" s="9" t="str">
        <f aca="false">IF($B303="","",TEXT($B303,"yyyy年m月"))</f>
        <v/>
      </c>
    </row>
    <row r="304" customFormat="false" ht="16.5" hidden="false" customHeight="true" outlineLevel="0" collapsed="false">
      <c r="A304" s="71"/>
      <c r="B304" s="71"/>
      <c r="C304" s="71"/>
      <c r="D304" s="72" t="s">
        <v>229</v>
      </c>
      <c r="E304" s="71"/>
      <c r="F304" s="71"/>
      <c r="G304" s="71"/>
      <c r="H304" s="73" t="n">
        <f aca="false">ROUND(SUM(H4:H303),2)</f>
        <v>0</v>
      </c>
      <c r="I304" s="71"/>
      <c r="J304" s="73" t="n">
        <f aca="false">ROUND(SUM(J4:J303),2)</f>
        <v>0</v>
      </c>
      <c r="K304" s="73" t="n">
        <f aca="false">ROUND(SUM(K4:K303),2)</f>
        <v>0</v>
      </c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</row>
  </sheetData>
  <autoFilter ref="A3:Y304"/>
  <mergeCells count="2">
    <mergeCell ref="A1:Y1"/>
    <mergeCell ref="A2:Y2"/>
  </mergeCells>
  <dataValidations count="7">
    <dataValidation allowBlank="true" errorStyle="stop" operator="between" showDropDown="false" showErrorMessage="false" showInputMessage="false" sqref="C4:C303" type="list">
      <formula1>科目表!$I$4:$I$140</formula1>
      <formula2>0</formula2>
    </dataValidation>
    <dataValidation allowBlank="true" errorStyle="stop" operator="between" showDropDown="false" showErrorMessage="false" showInputMessage="false" sqref="D4:D303" type="list">
      <formula1>科目表!$M$4:$M$123</formula1>
      <formula2>0</formula2>
    </dataValidation>
    <dataValidation allowBlank="true" errorStyle="stop" operator="between" showDropDown="false" showErrorMessage="false" showInputMessage="false" sqref="I4:I303" type="list">
      <formula1>科目表!$O$4:$O$140</formula1>
      <formula2>0</formula2>
    </dataValidation>
    <dataValidation allowBlank="true" errorStyle="stop" operator="between" showDropDown="false" showErrorMessage="false" showInputMessage="false" sqref="L4:L303" type="list">
      <formula1>科目表!$B$4:$B$81</formula1>
      <formula2>0</formula2>
    </dataValidation>
    <dataValidation allowBlank="true" errorStyle="stop" operator="between" showDropDown="false" showErrorMessage="false" showInputMessage="false" sqref="M4:M303" type="list">
      <formula1>科目表!$N$4:$N$140</formula1>
      <formula2>0</formula2>
    </dataValidation>
    <dataValidation allowBlank="true" errorStyle="stop" operator="between" showDropDown="false" showErrorMessage="false" showInputMessage="false" sqref="O4:O303" type="list">
      <formula1>科目表!$P$4:$P$140</formula1>
      <formula2>0</formula2>
    </dataValidation>
    <dataValidation allowBlank="true" errorStyle="stop" operator="between" showDropDown="false" showErrorMessage="false" showInputMessage="false" sqref="Z4:Z303" type="list">
      <formula1>"已付清,部分付款,未付款,无需付款"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K303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23" activeCellId="0" sqref="E23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31" t="s">
        <v>772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8" hidden="false" customHeight="true" outlineLevel="0" collapsed="false">
      <c r="A2" s="2" t="s">
        <v>773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7" t="s">
        <v>3</v>
      </c>
      <c r="B3" s="37" t="s">
        <v>689</v>
      </c>
      <c r="C3" s="37" t="s">
        <v>431</v>
      </c>
      <c r="D3" s="37" t="s">
        <v>690</v>
      </c>
      <c r="E3" s="37" t="s">
        <v>210</v>
      </c>
      <c r="F3" s="37" t="s">
        <v>763</v>
      </c>
      <c r="G3" s="37" t="s">
        <v>764</v>
      </c>
      <c r="H3" s="37" t="s">
        <v>240</v>
      </c>
      <c r="I3" s="37" t="s">
        <v>774</v>
      </c>
      <c r="J3" s="37" t="s">
        <v>174</v>
      </c>
      <c r="K3" s="37" t="s">
        <v>775</v>
      </c>
    </row>
    <row r="4" customFormat="false" ht="13.5" hidden="false" customHeight="false" outlineLevel="0" collapsed="false">
      <c r="A4" s="9" t="str">
        <f aca="false">IF($C4="","",ROW()-3)</f>
        <v/>
      </c>
      <c r="B4" s="76"/>
      <c r="C4" s="43"/>
      <c r="D4" s="43"/>
      <c r="E4" s="42"/>
      <c r="F4" s="44"/>
      <c r="G4" s="44"/>
      <c r="H4" s="41" t="str">
        <f aca="false">IF($C4="","",IF($K4&lt;&gt;"",ROUND(N($K4),2),IF(AND(N($F4)&lt;&gt;0,N($G4)&lt;&gt;0),ROUND(N($F4)*N($G4),2),"")))</f>
        <v/>
      </c>
      <c r="I4" s="44"/>
      <c r="J4" s="43"/>
      <c r="K4" s="44"/>
    </row>
    <row r="5" customFormat="false" ht="13.5" hidden="false" customHeight="false" outlineLevel="0" collapsed="false">
      <c r="A5" s="9" t="str">
        <f aca="false">IF($C5="","",ROW()-3)</f>
        <v/>
      </c>
      <c r="B5" s="76"/>
      <c r="C5" s="43"/>
      <c r="D5" s="43"/>
      <c r="E5" s="42"/>
      <c r="F5" s="44"/>
      <c r="G5" s="44"/>
      <c r="H5" s="41" t="str">
        <f aca="false">IF($C5="","",IF($K5&lt;&gt;"",ROUND(N($K5),2),IF(AND(N($F5)&lt;&gt;0,N($G5)&lt;&gt;0),ROUND(N($F5)*N($G5),2),"")))</f>
        <v/>
      </c>
      <c r="I5" s="44"/>
      <c r="J5" s="43"/>
      <c r="K5" s="44"/>
    </row>
    <row r="6" customFormat="false" ht="13.5" hidden="false" customHeight="false" outlineLevel="0" collapsed="false">
      <c r="A6" s="9" t="str">
        <f aca="false">IF($C6="","",ROW()-3)</f>
        <v/>
      </c>
      <c r="B6" s="76"/>
      <c r="C6" s="43"/>
      <c r="D6" s="43"/>
      <c r="E6" s="42"/>
      <c r="F6" s="44"/>
      <c r="G6" s="44"/>
      <c r="H6" s="41" t="str">
        <f aca="false">IF($C6="","",IF($K6&lt;&gt;"",ROUND(N($K6),2),IF(AND(N($F6)&lt;&gt;0,N($G6)&lt;&gt;0),ROUND(N($F6)*N($G6),2),"")))</f>
        <v/>
      </c>
      <c r="I6" s="44"/>
      <c r="J6" s="43"/>
      <c r="K6" s="44"/>
    </row>
    <row r="7" customFormat="false" ht="13.5" hidden="false" customHeight="false" outlineLevel="0" collapsed="false">
      <c r="A7" s="9" t="str">
        <f aca="false">IF($C7="","",ROW()-3)</f>
        <v/>
      </c>
      <c r="B7" s="76"/>
      <c r="C7" s="43"/>
      <c r="D7" s="43"/>
      <c r="E7" s="42"/>
      <c r="F7" s="44"/>
      <c r="G7" s="44"/>
      <c r="H7" s="41" t="str">
        <f aca="false">IF($C7="","",IF($K7&lt;&gt;"",ROUND(N($K7),2),IF(AND(N($F7)&lt;&gt;0,N($G7)&lt;&gt;0),ROUND(N($F7)*N($G7),2),"")))</f>
        <v/>
      </c>
      <c r="I7" s="44"/>
      <c r="J7" s="43"/>
      <c r="K7" s="44"/>
    </row>
    <row r="8" customFormat="false" ht="13.5" hidden="false" customHeight="false" outlineLevel="0" collapsed="false">
      <c r="A8" s="9" t="str">
        <f aca="false">IF($C8="","",ROW()-3)</f>
        <v/>
      </c>
      <c r="B8" s="76"/>
      <c r="C8" s="43"/>
      <c r="D8" s="43"/>
      <c r="E8" s="42"/>
      <c r="F8" s="44"/>
      <c r="G8" s="44"/>
      <c r="H8" s="41" t="str">
        <f aca="false">IF($C8="","",IF($K8&lt;&gt;"",ROUND(N($K8),2),IF(AND(N($F8)&lt;&gt;0,N($G8)&lt;&gt;0),ROUND(N($F8)*N($G8),2),"")))</f>
        <v/>
      </c>
      <c r="I8" s="44"/>
      <c r="J8" s="43"/>
      <c r="K8" s="44"/>
    </row>
    <row r="9" customFormat="false" ht="13.5" hidden="false" customHeight="false" outlineLevel="0" collapsed="false">
      <c r="A9" s="9" t="str">
        <f aca="false">IF($C9="","",ROW()-3)</f>
        <v/>
      </c>
      <c r="B9" s="76"/>
      <c r="C9" s="43"/>
      <c r="D9" s="43"/>
      <c r="E9" s="42"/>
      <c r="F9" s="44"/>
      <c r="G9" s="44"/>
      <c r="H9" s="41" t="str">
        <f aca="false">IF($C9="","",IF($K9&lt;&gt;"",ROUND(N($K9),2),IF(AND(N($F9)&lt;&gt;0,N($G9)&lt;&gt;0),ROUND(N($F9)*N($G9),2),"")))</f>
        <v/>
      </c>
      <c r="I9" s="44"/>
      <c r="J9" s="43"/>
      <c r="K9" s="44"/>
    </row>
    <row r="10" customFormat="false" ht="13.5" hidden="false" customHeight="false" outlineLevel="0" collapsed="false">
      <c r="A10" s="9" t="str">
        <f aca="false">IF($C10="","",ROW()-3)</f>
        <v/>
      </c>
      <c r="B10" s="76"/>
      <c r="C10" s="43"/>
      <c r="D10" s="43"/>
      <c r="E10" s="42"/>
      <c r="F10" s="44"/>
      <c r="G10" s="44"/>
      <c r="H10" s="41" t="str">
        <f aca="false">IF($C10="","",IF($K10&lt;&gt;"",ROUND(N($K10),2),IF(AND(N($F10)&lt;&gt;0,N($G10)&lt;&gt;0),ROUND(N($F10)*N($G10),2),"")))</f>
        <v/>
      </c>
      <c r="I10" s="44"/>
      <c r="J10" s="43"/>
      <c r="K10" s="44"/>
    </row>
    <row r="11" customFormat="false" ht="13.5" hidden="false" customHeight="false" outlineLevel="0" collapsed="false">
      <c r="A11" s="9" t="str">
        <f aca="false">IF($C11="","",ROW()-3)</f>
        <v/>
      </c>
      <c r="B11" s="76"/>
      <c r="C11" s="43"/>
      <c r="D11" s="43"/>
      <c r="E11" s="42"/>
      <c r="F11" s="44"/>
      <c r="G11" s="44"/>
      <c r="H11" s="41" t="str">
        <f aca="false">IF($C11="","",IF($K11&lt;&gt;"",ROUND(N($K11),2),IF(AND(N($F11)&lt;&gt;0,N($G11)&lt;&gt;0),ROUND(N($F11)*N($G11),2),"")))</f>
        <v/>
      </c>
      <c r="I11" s="44"/>
      <c r="J11" s="43"/>
      <c r="K11" s="44"/>
    </row>
    <row r="12" customFormat="false" ht="13.5" hidden="false" customHeight="false" outlineLevel="0" collapsed="false">
      <c r="A12" s="9" t="str">
        <f aca="false">IF($C12="","",ROW()-3)</f>
        <v/>
      </c>
      <c r="B12" s="76"/>
      <c r="C12" s="43"/>
      <c r="D12" s="43"/>
      <c r="E12" s="42"/>
      <c r="F12" s="44"/>
      <c r="G12" s="44"/>
      <c r="H12" s="41" t="str">
        <f aca="false">IF($C12="","",IF($K12&lt;&gt;"",ROUND(N($K12),2),IF(AND(N($F12)&lt;&gt;0,N($G12)&lt;&gt;0),ROUND(N($F12)*N($G12),2),"")))</f>
        <v/>
      </c>
      <c r="I12" s="44"/>
      <c r="J12" s="43"/>
      <c r="K12" s="44"/>
    </row>
    <row r="13" customFormat="false" ht="13.5" hidden="false" customHeight="false" outlineLevel="0" collapsed="false">
      <c r="A13" s="9" t="str">
        <f aca="false">IF($C13="","",ROW()-3)</f>
        <v/>
      </c>
      <c r="B13" s="76"/>
      <c r="C13" s="43"/>
      <c r="D13" s="43"/>
      <c r="E13" s="42"/>
      <c r="F13" s="44"/>
      <c r="G13" s="44"/>
      <c r="H13" s="41" t="str">
        <f aca="false">IF($C13="","",IF($K13&lt;&gt;"",ROUND(N($K13),2),IF(AND(N($F13)&lt;&gt;0,N($G13)&lt;&gt;0),ROUND(N($F13)*N($G13),2),"")))</f>
        <v/>
      </c>
      <c r="I13" s="44"/>
      <c r="J13" s="43"/>
      <c r="K13" s="44"/>
    </row>
    <row r="14" customFormat="false" ht="13.5" hidden="false" customHeight="false" outlineLevel="0" collapsed="false">
      <c r="A14" s="9" t="str">
        <f aca="false">IF($C14="","",ROW()-3)</f>
        <v/>
      </c>
      <c r="B14" s="76"/>
      <c r="C14" s="43"/>
      <c r="D14" s="43"/>
      <c r="E14" s="42"/>
      <c r="F14" s="44"/>
      <c r="G14" s="44"/>
      <c r="H14" s="41" t="str">
        <f aca="false">IF($C14="","",IF($K14&lt;&gt;"",ROUND(N($K14),2),IF(AND(N($F14)&lt;&gt;0,N($G14)&lt;&gt;0),ROUND(N($F14)*N($G14),2),"")))</f>
        <v/>
      </c>
      <c r="I14" s="44"/>
      <c r="J14" s="43"/>
      <c r="K14" s="44"/>
    </row>
    <row r="15" customFormat="false" ht="13.5" hidden="false" customHeight="false" outlineLevel="0" collapsed="false">
      <c r="A15" s="9" t="str">
        <f aca="false">IF($C15="","",ROW()-3)</f>
        <v/>
      </c>
      <c r="B15" s="76"/>
      <c r="C15" s="43"/>
      <c r="D15" s="43"/>
      <c r="E15" s="42"/>
      <c r="F15" s="44"/>
      <c r="G15" s="44"/>
      <c r="H15" s="41" t="str">
        <f aca="false">IF($C15="","",IF($K15&lt;&gt;"",ROUND(N($K15),2),IF(AND(N($F15)&lt;&gt;0,N($G15)&lt;&gt;0),ROUND(N($F15)*N($G15),2),"")))</f>
        <v/>
      </c>
      <c r="I15" s="44"/>
      <c r="J15" s="43"/>
      <c r="K15" s="44"/>
    </row>
    <row r="16" customFormat="false" ht="13.5" hidden="false" customHeight="false" outlineLevel="0" collapsed="false">
      <c r="A16" s="9" t="str">
        <f aca="false">IF($C16="","",ROW()-3)</f>
        <v/>
      </c>
      <c r="B16" s="76"/>
      <c r="C16" s="43"/>
      <c r="D16" s="43"/>
      <c r="E16" s="42"/>
      <c r="F16" s="44"/>
      <c r="G16" s="44"/>
      <c r="H16" s="41" t="str">
        <f aca="false">IF($C16="","",IF($K16&lt;&gt;"",ROUND(N($K16),2),IF(AND(N($F16)&lt;&gt;0,N($G16)&lt;&gt;0),ROUND(N($F16)*N($G16),2),"")))</f>
        <v/>
      </c>
      <c r="I16" s="44"/>
      <c r="J16" s="43"/>
      <c r="K16" s="44"/>
    </row>
    <row r="17" customFormat="false" ht="13.5" hidden="false" customHeight="false" outlineLevel="0" collapsed="false">
      <c r="A17" s="9" t="str">
        <f aca="false">IF($C17="","",ROW()-3)</f>
        <v/>
      </c>
      <c r="B17" s="76"/>
      <c r="C17" s="43"/>
      <c r="D17" s="43"/>
      <c r="E17" s="42"/>
      <c r="F17" s="44"/>
      <c r="G17" s="44"/>
      <c r="H17" s="41" t="str">
        <f aca="false">IF($C17="","",IF($K17&lt;&gt;"",ROUND(N($K17),2),IF(AND(N($F17)&lt;&gt;0,N($G17)&lt;&gt;0),ROUND(N($F17)*N($G17),2),"")))</f>
        <v/>
      </c>
      <c r="I17" s="44"/>
      <c r="J17" s="43"/>
      <c r="K17" s="44"/>
    </row>
    <row r="18" customFormat="false" ht="13.5" hidden="false" customHeight="false" outlineLevel="0" collapsed="false">
      <c r="A18" s="9" t="str">
        <f aca="false">IF($C18="","",ROW()-3)</f>
        <v/>
      </c>
      <c r="B18" s="76"/>
      <c r="C18" s="43"/>
      <c r="D18" s="43"/>
      <c r="E18" s="42"/>
      <c r="F18" s="44"/>
      <c r="G18" s="44"/>
      <c r="H18" s="41" t="str">
        <f aca="false">IF($C18="","",IF($K18&lt;&gt;"",ROUND(N($K18),2),IF(AND(N($F18)&lt;&gt;0,N($G18)&lt;&gt;0),ROUND(N($F18)*N($G18),2),"")))</f>
        <v/>
      </c>
      <c r="I18" s="44"/>
      <c r="J18" s="43"/>
      <c r="K18" s="44"/>
    </row>
    <row r="19" customFormat="false" ht="13.5" hidden="false" customHeight="false" outlineLevel="0" collapsed="false">
      <c r="A19" s="9" t="str">
        <f aca="false">IF($C19="","",ROW()-3)</f>
        <v/>
      </c>
      <c r="B19" s="76"/>
      <c r="C19" s="43"/>
      <c r="D19" s="43"/>
      <c r="E19" s="42"/>
      <c r="F19" s="44"/>
      <c r="G19" s="44"/>
      <c r="H19" s="41" t="str">
        <f aca="false">IF($C19="","",IF($K19&lt;&gt;"",ROUND(N($K19),2),IF(AND(N($F19)&lt;&gt;0,N($G19)&lt;&gt;0),ROUND(N($F19)*N($G19),2),"")))</f>
        <v/>
      </c>
      <c r="I19" s="44"/>
      <c r="J19" s="43"/>
      <c r="K19" s="44"/>
    </row>
    <row r="20" customFormat="false" ht="13.5" hidden="false" customHeight="false" outlineLevel="0" collapsed="false">
      <c r="A20" s="9" t="str">
        <f aca="false">IF($C20="","",ROW()-3)</f>
        <v/>
      </c>
      <c r="B20" s="76"/>
      <c r="C20" s="43"/>
      <c r="D20" s="43"/>
      <c r="E20" s="42"/>
      <c r="F20" s="44"/>
      <c r="G20" s="44"/>
      <c r="H20" s="41" t="str">
        <f aca="false">IF($C20="","",IF($K20&lt;&gt;"",ROUND(N($K20),2),IF(AND(N($F20)&lt;&gt;0,N($G20)&lt;&gt;0),ROUND(N($F20)*N($G20),2),"")))</f>
        <v/>
      </c>
      <c r="I20" s="44"/>
      <c r="J20" s="43"/>
      <c r="K20" s="44"/>
    </row>
    <row r="21" customFormat="false" ht="13.5" hidden="false" customHeight="false" outlineLevel="0" collapsed="false">
      <c r="A21" s="9" t="str">
        <f aca="false">IF($C21="","",ROW()-3)</f>
        <v/>
      </c>
      <c r="B21" s="76"/>
      <c r="C21" s="43"/>
      <c r="D21" s="43"/>
      <c r="E21" s="42"/>
      <c r="F21" s="44"/>
      <c r="G21" s="44"/>
      <c r="H21" s="41" t="str">
        <f aca="false">IF($C21="","",IF($K21&lt;&gt;"",ROUND(N($K21),2),IF(AND(N($F21)&lt;&gt;0,N($G21)&lt;&gt;0),ROUND(N($F21)*N($G21),2),"")))</f>
        <v/>
      </c>
      <c r="I21" s="44"/>
      <c r="J21" s="43"/>
      <c r="K21" s="44"/>
    </row>
    <row r="22" customFormat="false" ht="13.5" hidden="false" customHeight="false" outlineLevel="0" collapsed="false">
      <c r="A22" s="9" t="str">
        <f aca="false">IF($C22="","",ROW()-3)</f>
        <v/>
      </c>
      <c r="B22" s="76"/>
      <c r="C22" s="43"/>
      <c r="D22" s="43"/>
      <c r="E22" s="42"/>
      <c r="F22" s="44"/>
      <c r="G22" s="44"/>
      <c r="H22" s="41" t="str">
        <f aca="false">IF($C22="","",IF($K22&lt;&gt;"",ROUND(N($K22),2),IF(AND(N($F22)&lt;&gt;0,N($G22)&lt;&gt;0),ROUND(N($F22)*N($G22),2),"")))</f>
        <v/>
      </c>
      <c r="I22" s="44"/>
      <c r="J22" s="43"/>
      <c r="K22" s="44"/>
    </row>
    <row r="23" customFormat="false" ht="13.5" hidden="false" customHeight="false" outlineLevel="0" collapsed="false">
      <c r="A23" s="9" t="str">
        <f aca="false">IF($C23="","",ROW()-3)</f>
        <v/>
      </c>
      <c r="B23" s="76"/>
      <c r="C23" s="43"/>
      <c r="D23" s="43"/>
      <c r="E23" s="42"/>
      <c r="F23" s="44"/>
      <c r="G23" s="44"/>
      <c r="H23" s="41" t="str">
        <f aca="false">IF($C23="","",IF($K23&lt;&gt;"",ROUND(N($K23),2),IF(AND(N($F23)&lt;&gt;0,N($G23)&lt;&gt;0),ROUND(N($F23)*N($G23),2),"")))</f>
        <v/>
      </c>
      <c r="I23" s="44"/>
      <c r="J23" s="43"/>
      <c r="K23" s="44"/>
    </row>
    <row r="24" customFormat="false" ht="13.5" hidden="false" customHeight="false" outlineLevel="0" collapsed="false">
      <c r="A24" s="9" t="str">
        <f aca="false">IF($C24="","",ROW()-3)</f>
        <v/>
      </c>
      <c r="B24" s="76"/>
      <c r="C24" s="43"/>
      <c r="D24" s="43"/>
      <c r="E24" s="42"/>
      <c r="F24" s="44"/>
      <c r="G24" s="44"/>
      <c r="H24" s="41" t="str">
        <f aca="false">IF($C24="","",IF($K24&lt;&gt;"",ROUND(N($K24),2),IF(AND(N($F24)&lt;&gt;0,N($G24)&lt;&gt;0),ROUND(N($F24)*N($G24),2),"")))</f>
        <v/>
      </c>
      <c r="I24" s="44"/>
      <c r="J24" s="43"/>
      <c r="K24" s="44"/>
    </row>
    <row r="25" customFormat="false" ht="13.5" hidden="false" customHeight="false" outlineLevel="0" collapsed="false">
      <c r="A25" s="9" t="str">
        <f aca="false">IF($C25="","",ROW()-3)</f>
        <v/>
      </c>
      <c r="B25" s="76"/>
      <c r="C25" s="43"/>
      <c r="D25" s="43"/>
      <c r="E25" s="42"/>
      <c r="F25" s="44"/>
      <c r="G25" s="44"/>
      <c r="H25" s="41" t="str">
        <f aca="false">IF($C25="","",IF($K25&lt;&gt;"",ROUND(N($K25),2),IF(AND(N($F25)&lt;&gt;0,N($G25)&lt;&gt;0),ROUND(N($F25)*N($G25),2),"")))</f>
        <v/>
      </c>
      <c r="I25" s="44"/>
      <c r="J25" s="43"/>
      <c r="K25" s="44"/>
    </row>
    <row r="26" customFormat="false" ht="13.5" hidden="false" customHeight="false" outlineLevel="0" collapsed="false">
      <c r="A26" s="9" t="str">
        <f aca="false">IF($C26="","",ROW()-3)</f>
        <v/>
      </c>
      <c r="B26" s="76"/>
      <c r="C26" s="43"/>
      <c r="D26" s="43"/>
      <c r="E26" s="42"/>
      <c r="F26" s="44"/>
      <c r="G26" s="44"/>
      <c r="H26" s="41" t="str">
        <f aca="false">IF($C26="","",IF($K26&lt;&gt;"",ROUND(N($K26),2),IF(AND(N($F26)&lt;&gt;0,N($G26)&lt;&gt;0),ROUND(N($F26)*N($G26),2),"")))</f>
        <v/>
      </c>
      <c r="I26" s="44"/>
      <c r="J26" s="43"/>
      <c r="K26" s="44"/>
    </row>
    <row r="27" customFormat="false" ht="13.5" hidden="false" customHeight="false" outlineLevel="0" collapsed="false">
      <c r="A27" s="9" t="str">
        <f aca="false">IF($C27="","",ROW()-3)</f>
        <v/>
      </c>
      <c r="B27" s="76"/>
      <c r="C27" s="43"/>
      <c r="D27" s="43"/>
      <c r="E27" s="42"/>
      <c r="F27" s="44"/>
      <c r="G27" s="44"/>
      <c r="H27" s="41" t="str">
        <f aca="false">IF($C27="","",IF($K27&lt;&gt;"",ROUND(N($K27),2),IF(AND(N($F27)&lt;&gt;0,N($G27)&lt;&gt;0),ROUND(N($F27)*N($G27),2),"")))</f>
        <v/>
      </c>
      <c r="I27" s="44"/>
      <c r="J27" s="43"/>
      <c r="K27" s="44"/>
    </row>
    <row r="28" customFormat="false" ht="13.5" hidden="false" customHeight="false" outlineLevel="0" collapsed="false">
      <c r="A28" s="9" t="str">
        <f aca="false">IF($C28="","",ROW()-3)</f>
        <v/>
      </c>
      <c r="B28" s="76"/>
      <c r="C28" s="43"/>
      <c r="D28" s="43"/>
      <c r="E28" s="42"/>
      <c r="F28" s="44"/>
      <c r="G28" s="44"/>
      <c r="H28" s="41" t="str">
        <f aca="false">IF($C28="","",IF($K28&lt;&gt;"",ROUND(N($K28),2),IF(AND(N($F28)&lt;&gt;0,N($G28)&lt;&gt;0),ROUND(N($F28)*N($G28),2),"")))</f>
        <v/>
      </c>
      <c r="I28" s="44"/>
      <c r="J28" s="43"/>
      <c r="K28" s="44"/>
    </row>
    <row r="29" customFormat="false" ht="13.5" hidden="false" customHeight="false" outlineLevel="0" collapsed="false">
      <c r="A29" s="9" t="str">
        <f aca="false">IF($C29="","",ROW()-3)</f>
        <v/>
      </c>
      <c r="B29" s="76"/>
      <c r="C29" s="43"/>
      <c r="D29" s="43"/>
      <c r="E29" s="42"/>
      <c r="F29" s="44"/>
      <c r="G29" s="44"/>
      <c r="H29" s="41" t="str">
        <f aca="false">IF($C29="","",IF($K29&lt;&gt;"",ROUND(N($K29),2),IF(AND(N($F29)&lt;&gt;0,N($G29)&lt;&gt;0),ROUND(N($F29)*N($G29),2),"")))</f>
        <v/>
      </c>
      <c r="I29" s="44"/>
      <c r="J29" s="43"/>
      <c r="K29" s="44"/>
    </row>
    <row r="30" customFormat="false" ht="13.5" hidden="false" customHeight="false" outlineLevel="0" collapsed="false">
      <c r="A30" s="9" t="str">
        <f aca="false">IF($C30="","",ROW()-3)</f>
        <v/>
      </c>
      <c r="B30" s="76"/>
      <c r="C30" s="43"/>
      <c r="D30" s="43"/>
      <c r="E30" s="42"/>
      <c r="F30" s="44"/>
      <c r="G30" s="44"/>
      <c r="H30" s="41" t="str">
        <f aca="false">IF($C30="","",IF($K30&lt;&gt;"",ROUND(N($K30),2),IF(AND(N($F30)&lt;&gt;0,N($G30)&lt;&gt;0),ROUND(N($F30)*N($G30),2),"")))</f>
        <v/>
      </c>
      <c r="I30" s="44"/>
      <c r="J30" s="43"/>
      <c r="K30" s="44"/>
    </row>
    <row r="31" customFormat="false" ht="13.5" hidden="false" customHeight="false" outlineLevel="0" collapsed="false">
      <c r="A31" s="9" t="str">
        <f aca="false">IF($C31="","",ROW()-3)</f>
        <v/>
      </c>
      <c r="B31" s="76"/>
      <c r="C31" s="43"/>
      <c r="D31" s="43"/>
      <c r="E31" s="42"/>
      <c r="F31" s="44"/>
      <c r="G31" s="44"/>
      <c r="H31" s="41" t="str">
        <f aca="false">IF($C31="","",IF($K31&lt;&gt;"",ROUND(N($K31),2),IF(AND(N($F31)&lt;&gt;0,N($G31)&lt;&gt;0),ROUND(N($F31)*N($G31),2),"")))</f>
        <v/>
      </c>
      <c r="I31" s="44"/>
      <c r="J31" s="43"/>
      <c r="K31" s="44"/>
    </row>
    <row r="32" customFormat="false" ht="13.5" hidden="false" customHeight="false" outlineLevel="0" collapsed="false">
      <c r="A32" s="9" t="str">
        <f aca="false">IF($C32="","",ROW()-3)</f>
        <v/>
      </c>
      <c r="B32" s="76"/>
      <c r="C32" s="43"/>
      <c r="D32" s="43"/>
      <c r="E32" s="42"/>
      <c r="F32" s="44"/>
      <c r="G32" s="44"/>
      <c r="H32" s="41" t="str">
        <f aca="false">IF($C32="","",IF($K32&lt;&gt;"",ROUND(N($K32),2),IF(AND(N($F32)&lt;&gt;0,N($G32)&lt;&gt;0),ROUND(N($F32)*N($G32),2),"")))</f>
        <v/>
      </c>
      <c r="I32" s="44"/>
      <c r="J32" s="43"/>
      <c r="K32" s="44"/>
    </row>
    <row r="33" customFormat="false" ht="13.5" hidden="false" customHeight="false" outlineLevel="0" collapsed="false">
      <c r="A33" s="9" t="str">
        <f aca="false">IF($C33="","",ROW()-3)</f>
        <v/>
      </c>
      <c r="B33" s="76"/>
      <c r="C33" s="43"/>
      <c r="D33" s="43"/>
      <c r="E33" s="42"/>
      <c r="F33" s="44"/>
      <c r="G33" s="44"/>
      <c r="H33" s="41" t="str">
        <f aca="false">IF($C33="","",IF($K33&lt;&gt;"",ROUND(N($K33),2),IF(AND(N($F33)&lt;&gt;0,N($G33)&lt;&gt;0),ROUND(N($F33)*N($G33),2),"")))</f>
        <v/>
      </c>
      <c r="I33" s="44"/>
      <c r="J33" s="43"/>
      <c r="K33" s="44"/>
    </row>
    <row r="34" customFormat="false" ht="13.5" hidden="false" customHeight="false" outlineLevel="0" collapsed="false">
      <c r="A34" s="9" t="str">
        <f aca="false">IF($C34="","",ROW()-3)</f>
        <v/>
      </c>
      <c r="B34" s="76"/>
      <c r="C34" s="43"/>
      <c r="D34" s="43"/>
      <c r="E34" s="42"/>
      <c r="F34" s="44"/>
      <c r="G34" s="44"/>
      <c r="H34" s="41" t="str">
        <f aca="false">IF($C34="","",IF($K34&lt;&gt;"",ROUND(N($K34),2),IF(AND(N($F34)&lt;&gt;0,N($G34)&lt;&gt;0),ROUND(N($F34)*N($G34),2),"")))</f>
        <v/>
      </c>
      <c r="I34" s="44"/>
      <c r="J34" s="43"/>
      <c r="K34" s="44"/>
    </row>
    <row r="35" customFormat="false" ht="13.5" hidden="false" customHeight="false" outlineLevel="0" collapsed="false">
      <c r="A35" s="9" t="str">
        <f aca="false">IF($C35="","",ROW()-3)</f>
        <v/>
      </c>
      <c r="B35" s="76"/>
      <c r="C35" s="43"/>
      <c r="D35" s="43"/>
      <c r="E35" s="42"/>
      <c r="F35" s="44"/>
      <c r="G35" s="44"/>
      <c r="H35" s="41" t="str">
        <f aca="false">IF($C35="","",IF($K35&lt;&gt;"",ROUND(N($K35),2),IF(AND(N($F35)&lt;&gt;0,N($G35)&lt;&gt;0),ROUND(N($F35)*N($G35),2),"")))</f>
        <v/>
      </c>
      <c r="I35" s="44"/>
      <c r="J35" s="43"/>
      <c r="K35" s="44"/>
    </row>
    <row r="36" customFormat="false" ht="13.5" hidden="false" customHeight="false" outlineLevel="0" collapsed="false">
      <c r="A36" s="9" t="str">
        <f aca="false">IF($C36="","",ROW()-3)</f>
        <v/>
      </c>
      <c r="B36" s="76"/>
      <c r="C36" s="43"/>
      <c r="D36" s="43"/>
      <c r="E36" s="42"/>
      <c r="F36" s="44"/>
      <c r="G36" s="44"/>
      <c r="H36" s="41" t="str">
        <f aca="false">IF($C36="","",IF($K36&lt;&gt;"",ROUND(N($K36),2),IF(AND(N($F36)&lt;&gt;0,N($G36)&lt;&gt;0),ROUND(N($F36)*N($G36),2),"")))</f>
        <v/>
      </c>
      <c r="I36" s="44"/>
      <c r="J36" s="43"/>
      <c r="K36" s="44"/>
    </row>
    <row r="37" customFormat="false" ht="13.5" hidden="false" customHeight="false" outlineLevel="0" collapsed="false">
      <c r="A37" s="9" t="str">
        <f aca="false">IF($C37="","",ROW()-3)</f>
        <v/>
      </c>
      <c r="B37" s="76"/>
      <c r="C37" s="43"/>
      <c r="D37" s="43"/>
      <c r="E37" s="42"/>
      <c r="F37" s="44"/>
      <c r="G37" s="44"/>
      <c r="H37" s="41" t="str">
        <f aca="false">IF($C37="","",IF($K37&lt;&gt;"",ROUND(N($K37),2),IF(AND(N($F37)&lt;&gt;0,N($G37)&lt;&gt;0),ROUND(N($F37)*N($G37),2),"")))</f>
        <v/>
      </c>
      <c r="I37" s="44"/>
      <c r="J37" s="43"/>
      <c r="K37" s="44"/>
    </row>
    <row r="38" customFormat="false" ht="13.5" hidden="false" customHeight="false" outlineLevel="0" collapsed="false">
      <c r="A38" s="9" t="str">
        <f aca="false">IF($C38="","",ROW()-3)</f>
        <v/>
      </c>
      <c r="B38" s="76"/>
      <c r="C38" s="43"/>
      <c r="D38" s="43"/>
      <c r="E38" s="42"/>
      <c r="F38" s="44"/>
      <c r="G38" s="44"/>
      <c r="H38" s="41" t="str">
        <f aca="false">IF($C38="","",IF($K38&lt;&gt;"",ROUND(N($K38),2),IF(AND(N($F38)&lt;&gt;0,N($G38)&lt;&gt;0),ROUND(N($F38)*N($G38),2),"")))</f>
        <v/>
      </c>
      <c r="I38" s="44"/>
      <c r="J38" s="43"/>
      <c r="K38" s="44"/>
    </row>
    <row r="39" customFormat="false" ht="13.5" hidden="false" customHeight="false" outlineLevel="0" collapsed="false">
      <c r="A39" s="9" t="str">
        <f aca="false">IF($C39="","",ROW()-3)</f>
        <v/>
      </c>
      <c r="B39" s="76"/>
      <c r="C39" s="43"/>
      <c r="D39" s="43"/>
      <c r="E39" s="42"/>
      <c r="F39" s="44"/>
      <c r="G39" s="44"/>
      <c r="H39" s="41" t="str">
        <f aca="false">IF($C39="","",IF($K39&lt;&gt;"",ROUND(N($K39),2),IF(AND(N($F39)&lt;&gt;0,N($G39)&lt;&gt;0),ROUND(N($F39)*N($G39),2),"")))</f>
        <v/>
      </c>
      <c r="I39" s="44"/>
      <c r="J39" s="43"/>
      <c r="K39" s="44"/>
    </row>
    <row r="40" customFormat="false" ht="13.5" hidden="false" customHeight="false" outlineLevel="0" collapsed="false">
      <c r="A40" s="9" t="str">
        <f aca="false">IF($C40="","",ROW()-3)</f>
        <v/>
      </c>
      <c r="B40" s="76"/>
      <c r="C40" s="43"/>
      <c r="D40" s="43"/>
      <c r="E40" s="42"/>
      <c r="F40" s="44"/>
      <c r="G40" s="44"/>
      <c r="H40" s="41" t="str">
        <f aca="false">IF($C40="","",IF($K40&lt;&gt;"",ROUND(N($K40),2),IF(AND(N($F40)&lt;&gt;0,N($G40)&lt;&gt;0),ROUND(N($F40)*N($G40),2),"")))</f>
        <v/>
      </c>
      <c r="I40" s="44"/>
      <c r="J40" s="43"/>
      <c r="K40" s="44"/>
    </row>
    <row r="41" customFormat="false" ht="13.5" hidden="false" customHeight="false" outlineLevel="0" collapsed="false">
      <c r="A41" s="9" t="str">
        <f aca="false">IF($C41="","",ROW()-3)</f>
        <v/>
      </c>
      <c r="B41" s="76"/>
      <c r="C41" s="43"/>
      <c r="D41" s="43"/>
      <c r="E41" s="42"/>
      <c r="F41" s="44"/>
      <c r="G41" s="44"/>
      <c r="H41" s="41" t="str">
        <f aca="false">IF($C41="","",IF($K41&lt;&gt;"",ROUND(N($K41),2),IF(AND(N($F41)&lt;&gt;0,N($G41)&lt;&gt;0),ROUND(N($F41)*N($G41),2),"")))</f>
        <v/>
      </c>
      <c r="I41" s="44"/>
      <c r="J41" s="43"/>
      <c r="K41" s="44"/>
    </row>
    <row r="42" customFormat="false" ht="13.5" hidden="false" customHeight="false" outlineLevel="0" collapsed="false">
      <c r="A42" s="9" t="str">
        <f aca="false">IF($C42="","",ROW()-3)</f>
        <v/>
      </c>
      <c r="B42" s="76"/>
      <c r="C42" s="43"/>
      <c r="D42" s="43"/>
      <c r="E42" s="42"/>
      <c r="F42" s="44"/>
      <c r="G42" s="44"/>
      <c r="H42" s="41" t="str">
        <f aca="false">IF($C42="","",IF($K42&lt;&gt;"",ROUND(N($K42),2),IF(AND(N($F42)&lt;&gt;0,N($G42)&lt;&gt;0),ROUND(N($F42)*N($G42),2),"")))</f>
        <v/>
      </c>
      <c r="I42" s="44"/>
      <c r="J42" s="43"/>
      <c r="K42" s="44"/>
    </row>
    <row r="43" customFormat="false" ht="13.5" hidden="false" customHeight="false" outlineLevel="0" collapsed="false">
      <c r="A43" s="9" t="str">
        <f aca="false">IF($C43="","",ROW()-3)</f>
        <v/>
      </c>
      <c r="B43" s="76"/>
      <c r="C43" s="43"/>
      <c r="D43" s="43"/>
      <c r="E43" s="42"/>
      <c r="F43" s="44"/>
      <c r="G43" s="44"/>
      <c r="H43" s="41" t="str">
        <f aca="false">IF($C43="","",IF($K43&lt;&gt;"",ROUND(N($K43),2),IF(AND(N($F43)&lt;&gt;0,N($G43)&lt;&gt;0),ROUND(N($F43)*N($G43),2),"")))</f>
        <v/>
      </c>
      <c r="I43" s="44"/>
      <c r="J43" s="43"/>
      <c r="K43" s="44"/>
    </row>
    <row r="44" customFormat="false" ht="13.5" hidden="false" customHeight="false" outlineLevel="0" collapsed="false">
      <c r="A44" s="9" t="str">
        <f aca="false">IF($C44="","",ROW()-3)</f>
        <v/>
      </c>
      <c r="B44" s="76"/>
      <c r="C44" s="43"/>
      <c r="D44" s="43"/>
      <c r="E44" s="42"/>
      <c r="F44" s="44"/>
      <c r="G44" s="44"/>
      <c r="H44" s="41" t="str">
        <f aca="false">IF($C44="","",IF($K44&lt;&gt;"",ROUND(N($K44),2),IF(AND(N($F44)&lt;&gt;0,N($G44)&lt;&gt;0),ROUND(N($F44)*N($G44),2),"")))</f>
        <v/>
      </c>
      <c r="I44" s="44"/>
      <c r="J44" s="43"/>
      <c r="K44" s="44"/>
    </row>
    <row r="45" customFormat="false" ht="13.5" hidden="false" customHeight="false" outlineLevel="0" collapsed="false">
      <c r="A45" s="9" t="str">
        <f aca="false">IF($C45="","",ROW()-3)</f>
        <v/>
      </c>
      <c r="B45" s="76"/>
      <c r="C45" s="43"/>
      <c r="D45" s="43"/>
      <c r="E45" s="42"/>
      <c r="F45" s="44"/>
      <c r="G45" s="44"/>
      <c r="H45" s="41" t="str">
        <f aca="false">IF($C45="","",IF($K45&lt;&gt;"",ROUND(N($K45),2),IF(AND(N($F45)&lt;&gt;0,N($G45)&lt;&gt;0),ROUND(N($F45)*N($G45),2),"")))</f>
        <v/>
      </c>
      <c r="I45" s="44"/>
      <c r="J45" s="43"/>
      <c r="K45" s="44"/>
    </row>
    <row r="46" customFormat="false" ht="13.5" hidden="false" customHeight="false" outlineLevel="0" collapsed="false">
      <c r="A46" s="9" t="str">
        <f aca="false">IF($C46="","",ROW()-3)</f>
        <v/>
      </c>
      <c r="B46" s="76"/>
      <c r="C46" s="43"/>
      <c r="D46" s="43"/>
      <c r="E46" s="42"/>
      <c r="F46" s="44"/>
      <c r="G46" s="44"/>
      <c r="H46" s="41" t="str">
        <f aca="false">IF($C46="","",IF($K46&lt;&gt;"",ROUND(N($K46),2),IF(AND(N($F46)&lt;&gt;0,N($G46)&lt;&gt;0),ROUND(N($F46)*N($G46),2),"")))</f>
        <v/>
      </c>
      <c r="I46" s="44"/>
      <c r="J46" s="43"/>
      <c r="K46" s="44"/>
    </row>
    <row r="47" customFormat="false" ht="13.5" hidden="false" customHeight="false" outlineLevel="0" collapsed="false">
      <c r="A47" s="9" t="str">
        <f aca="false">IF($C47="","",ROW()-3)</f>
        <v/>
      </c>
      <c r="B47" s="76"/>
      <c r="C47" s="43"/>
      <c r="D47" s="43"/>
      <c r="E47" s="42"/>
      <c r="F47" s="44"/>
      <c r="G47" s="44"/>
      <c r="H47" s="41" t="str">
        <f aca="false">IF($C47="","",IF($K47&lt;&gt;"",ROUND(N($K47),2),IF(AND(N($F47)&lt;&gt;0,N($G47)&lt;&gt;0),ROUND(N($F47)*N($G47),2),"")))</f>
        <v/>
      </c>
      <c r="I47" s="44"/>
      <c r="J47" s="43"/>
      <c r="K47" s="44"/>
    </row>
    <row r="48" customFormat="false" ht="13.5" hidden="false" customHeight="false" outlineLevel="0" collapsed="false">
      <c r="A48" s="9" t="str">
        <f aca="false">IF($C48="","",ROW()-3)</f>
        <v/>
      </c>
      <c r="B48" s="76"/>
      <c r="C48" s="43"/>
      <c r="D48" s="43"/>
      <c r="E48" s="42"/>
      <c r="F48" s="44"/>
      <c r="G48" s="44"/>
      <c r="H48" s="41" t="str">
        <f aca="false">IF($C48="","",IF($K48&lt;&gt;"",ROUND(N($K48),2),IF(AND(N($F48)&lt;&gt;0,N($G48)&lt;&gt;0),ROUND(N($F48)*N($G48),2),"")))</f>
        <v/>
      </c>
      <c r="I48" s="44"/>
      <c r="J48" s="43"/>
      <c r="K48" s="44"/>
    </row>
    <row r="49" customFormat="false" ht="13.5" hidden="false" customHeight="false" outlineLevel="0" collapsed="false">
      <c r="A49" s="9" t="str">
        <f aca="false">IF($C49="","",ROW()-3)</f>
        <v/>
      </c>
      <c r="B49" s="76"/>
      <c r="C49" s="43"/>
      <c r="D49" s="43"/>
      <c r="E49" s="42"/>
      <c r="F49" s="44"/>
      <c r="G49" s="44"/>
      <c r="H49" s="41" t="str">
        <f aca="false">IF($C49="","",IF($K49&lt;&gt;"",ROUND(N($K49),2),IF(AND(N($F49)&lt;&gt;0,N($G49)&lt;&gt;0),ROUND(N($F49)*N($G49),2),"")))</f>
        <v/>
      </c>
      <c r="I49" s="44"/>
      <c r="J49" s="43"/>
      <c r="K49" s="44"/>
    </row>
    <row r="50" customFormat="false" ht="13.5" hidden="false" customHeight="false" outlineLevel="0" collapsed="false">
      <c r="A50" s="9" t="str">
        <f aca="false">IF($C50="","",ROW()-3)</f>
        <v/>
      </c>
      <c r="B50" s="76"/>
      <c r="C50" s="43"/>
      <c r="D50" s="43"/>
      <c r="E50" s="42"/>
      <c r="F50" s="44"/>
      <c r="G50" s="44"/>
      <c r="H50" s="41" t="str">
        <f aca="false">IF($C50="","",IF($K50&lt;&gt;"",ROUND(N($K50),2),IF(AND(N($F50)&lt;&gt;0,N($G50)&lt;&gt;0),ROUND(N($F50)*N($G50),2),"")))</f>
        <v/>
      </c>
      <c r="I50" s="44"/>
      <c r="J50" s="43"/>
      <c r="K50" s="44"/>
    </row>
    <row r="51" customFormat="false" ht="13.5" hidden="false" customHeight="false" outlineLevel="0" collapsed="false">
      <c r="A51" s="9" t="str">
        <f aca="false">IF($C51="","",ROW()-3)</f>
        <v/>
      </c>
      <c r="B51" s="76"/>
      <c r="C51" s="43"/>
      <c r="D51" s="43"/>
      <c r="E51" s="42"/>
      <c r="F51" s="44"/>
      <c r="G51" s="44"/>
      <c r="H51" s="41" t="str">
        <f aca="false">IF($C51="","",IF($K51&lt;&gt;"",ROUND(N($K51),2),IF(AND(N($F51)&lt;&gt;0,N($G51)&lt;&gt;0),ROUND(N($F51)*N($G51),2),"")))</f>
        <v/>
      </c>
      <c r="I51" s="44"/>
      <c r="J51" s="43"/>
      <c r="K51" s="44"/>
    </row>
    <row r="52" customFormat="false" ht="13.5" hidden="false" customHeight="false" outlineLevel="0" collapsed="false">
      <c r="A52" s="9" t="str">
        <f aca="false">IF($C52="","",ROW()-3)</f>
        <v/>
      </c>
      <c r="B52" s="76"/>
      <c r="C52" s="43"/>
      <c r="D52" s="43"/>
      <c r="E52" s="42"/>
      <c r="F52" s="44"/>
      <c r="G52" s="44"/>
      <c r="H52" s="41" t="str">
        <f aca="false">IF($C52="","",IF($K52&lt;&gt;"",ROUND(N($K52),2),IF(AND(N($F52)&lt;&gt;0,N($G52)&lt;&gt;0),ROUND(N($F52)*N($G52),2),"")))</f>
        <v/>
      </c>
      <c r="I52" s="44"/>
      <c r="J52" s="43"/>
      <c r="K52" s="44"/>
    </row>
    <row r="53" customFormat="false" ht="13.5" hidden="false" customHeight="false" outlineLevel="0" collapsed="false">
      <c r="A53" s="9" t="str">
        <f aca="false">IF($C53="","",ROW()-3)</f>
        <v/>
      </c>
      <c r="B53" s="76"/>
      <c r="C53" s="43"/>
      <c r="D53" s="43"/>
      <c r="E53" s="42"/>
      <c r="F53" s="44"/>
      <c r="G53" s="44"/>
      <c r="H53" s="41" t="str">
        <f aca="false">IF($C53="","",IF($K53&lt;&gt;"",ROUND(N($K53),2),IF(AND(N($F53)&lt;&gt;0,N($G53)&lt;&gt;0),ROUND(N($F53)*N($G53),2),"")))</f>
        <v/>
      </c>
      <c r="I53" s="44"/>
      <c r="J53" s="43"/>
      <c r="K53" s="44"/>
    </row>
    <row r="54" customFormat="false" ht="13.5" hidden="false" customHeight="false" outlineLevel="0" collapsed="false">
      <c r="A54" s="9" t="str">
        <f aca="false">IF($C54="","",ROW()-3)</f>
        <v/>
      </c>
      <c r="B54" s="76"/>
      <c r="C54" s="43"/>
      <c r="D54" s="43"/>
      <c r="E54" s="42"/>
      <c r="F54" s="44"/>
      <c r="G54" s="44"/>
      <c r="H54" s="41" t="str">
        <f aca="false">IF($C54="","",IF($K54&lt;&gt;"",ROUND(N($K54),2),IF(AND(N($F54)&lt;&gt;0,N($G54)&lt;&gt;0),ROUND(N($F54)*N($G54),2),"")))</f>
        <v/>
      </c>
      <c r="I54" s="44"/>
      <c r="J54" s="43"/>
      <c r="K54" s="44"/>
    </row>
    <row r="55" customFormat="false" ht="13.5" hidden="false" customHeight="false" outlineLevel="0" collapsed="false">
      <c r="A55" s="9" t="str">
        <f aca="false">IF($C55="","",ROW()-3)</f>
        <v/>
      </c>
      <c r="B55" s="76"/>
      <c r="C55" s="43"/>
      <c r="D55" s="43"/>
      <c r="E55" s="42"/>
      <c r="F55" s="44"/>
      <c r="G55" s="44"/>
      <c r="H55" s="41" t="str">
        <f aca="false">IF($C55="","",IF($K55&lt;&gt;"",ROUND(N($K55),2),IF(AND(N($F55)&lt;&gt;0,N($G55)&lt;&gt;0),ROUND(N($F55)*N($G55),2),"")))</f>
        <v/>
      </c>
      <c r="I55" s="44"/>
      <c r="J55" s="43"/>
      <c r="K55" s="44"/>
    </row>
    <row r="56" customFormat="false" ht="13.5" hidden="false" customHeight="false" outlineLevel="0" collapsed="false">
      <c r="A56" s="9" t="str">
        <f aca="false">IF($C56="","",ROW()-3)</f>
        <v/>
      </c>
      <c r="B56" s="76"/>
      <c r="C56" s="43"/>
      <c r="D56" s="43"/>
      <c r="E56" s="42"/>
      <c r="F56" s="44"/>
      <c r="G56" s="44"/>
      <c r="H56" s="41" t="str">
        <f aca="false">IF($C56="","",IF($K56&lt;&gt;"",ROUND(N($K56),2),IF(AND(N($F56)&lt;&gt;0,N($G56)&lt;&gt;0),ROUND(N($F56)*N($G56),2),"")))</f>
        <v/>
      </c>
      <c r="I56" s="44"/>
      <c r="J56" s="43"/>
      <c r="K56" s="44"/>
    </row>
    <row r="57" customFormat="false" ht="13.5" hidden="false" customHeight="false" outlineLevel="0" collapsed="false">
      <c r="A57" s="9" t="str">
        <f aca="false">IF($C57="","",ROW()-3)</f>
        <v/>
      </c>
      <c r="B57" s="76"/>
      <c r="C57" s="43"/>
      <c r="D57" s="43"/>
      <c r="E57" s="42"/>
      <c r="F57" s="44"/>
      <c r="G57" s="44"/>
      <c r="H57" s="41" t="str">
        <f aca="false">IF($C57="","",IF($K57&lt;&gt;"",ROUND(N($K57),2),IF(AND(N($F57)&lt;&gt;0,N($G57)&lt;&gt;0),ROUND(N($F57)*N($G57),2),"")))</f>
        <v/>
      </c>
      <c r="I57" s="44"/>
      <c r="J57" s="43"/>
      <c r="K57" s="44"/>
    </row>
    <row r="58" customFormat="false" ht="13.5" hidden="false" customHeight="false" outlineLevel="0" collapsed="false">
      <c r="A58" s="9" t="str">
        <f aca="false">IF($C58="","",ROW()-3)</f>
        <v/>
      </c>
      <c r="B58" s="76"/>
      <c r="C58" s="43"/>
      <c r="D58" s="43"/>
      <c r="E58" s="42"/>
      <c r="F58" s="44"/>
      <c r="G58" s="44"/>
      <c r="H58" s="41" t="str">
        <f aca="false">IF($C58="","",IF($K58&lt;&gt;"",ROUND(N($K58),2),IF(AND(N($F58)&lt;&gt;0,N($G58)&lt;&gt;0),ROUND(N($F58)*N($G58),2),"")))</f>
        <v/>
      </c>
      <c r="I58" s="44"/>
      <c r="J58" s="43"/>
      <c r="K58" s="44"/>
    </row>
    <row r="59" customFormat="false" ht="13.5" hidden="false" customHeight="false" outlineLevel="0" collapsed="false">
      <c r="A59" s="9" t="str">
        <f aca="false">IF($C59="","",ROW()-3)</f>
        <v/>
      </c>
      <c r="B59" s="76"/>
      <c r="C59" s="43"/>
      <c r="D59" s="43"/>
      <c r="E59" s="42"/>
      <c r="F59" s="44"/>
      <c r="G59" s="44"/>
      <c r="H59" s="41" t="str">
        <f aca="false">IF($C59="","",IF($K59&lt;&gt;"",ROUND(N($K59),2),IF(AND(N($F59)&lt;&gt;0,N($G59)&lt;&gt;0),ROUND(N($F59)*N($G59),2),"")))</f>
        <v/>
      </c>
      <c r="I59" s="44"/>
      <c r="J59" s="43"/>
      <c r="K59" s="44"/>
    </row>
    <row r="60" customFormat="false" ht="13.5" hidden="false" customHeight="false" outlineLevel="0" collapsed="false">
      <c r="A60" s="9" t="str">
        <f aca="false">IF($C60="","",ROW()-3)</f>
        <v/>
      </c>
      <c r="B60" s="76"/>
      <c r="C60" s="43"/>
      <c r="D60" s="43"/>
      <c r="E60" s="42"/>
      <c r="F60" s="44"/>
      <c r="G60" s="44"/>
      <c r="H60" s="41" t="str">
        <f aca="false">IF($C60="","",IF($K60&lt;&gt;"",ROUND(N($K60),2),IF(AND(N($F60)&lt;&gt;0,N($G60)&lt;&gt;0),ROUND(N($F60)*N($G60),2),"")))</f>
        <v/>
      </c>
      <c r="I60" s="44"/>
      <c r="J60" s="43"/>
      <c r="K60" s="44"/>
    </row>
    <row r="61" customFormat="false" ht="13.5" hidden="false" customHeight="false" outlineLevel="0" collapsed="false">
      <c r="A61" s="9" t="str">
        <f aca="false">IF($C61="","",ROW()-3)</f>
        <v/>
      </c>
      <c r="B61" s="76"/>
      <c r="C61" s="43"/>
      <c r="D61" s="43"/>
      <c r="E61" s="42"/>
      <c r="F61" s="44"/>
      <c r="G61" s="44"/>
      <c r="H61" s="41" t="str">
        <f aca="false">IF($C61="","",IF($K61&lt;&gt;"",ROUND(N($K61),2),IF(AND(N($F61)&lt;&gt;0,N($G61)&lt;&gt;0),ROUND(N($F61)*N($G61),2),"")))</f>
        <v/>
      </c>
      <c r="I61" s="44"/>
      <c r="J61" s="43"/>
      <c r="K61" s="44"/>
    </row>
    <row r="62" customFormat="false" ht="13.5" hidden="false" customHeight="false" outlineLevel="0" collapsed="false">
      <c r="A62" s="9" t="str">
        <f aca="false">IF($C62="","",ROW()-3)</f>
        <v/>
      </c>
      <c r="B62" s="76"/>
      <c r="C62" s="43"/>
      <c r="D62" s="43"/>
      <c r="E62" s="42"/>
      <c r="F62" s="44"/>
      <c r="G62" s="44"/>
      <c r="H62" s="41" t="str">
        <f aca="false">IF($C62="","",IF($K62&lt;&gt;"",ROUND(N($K62),2),IF(AND(N($F62)&lt;&gt;0,N($G62)&lt;&gt;0),ROUND(N($F62)*N($G62),2),"")))</f>
        <v/>
      </c>
      <c r="I62" s="44"/>
      <c r="J62" s="43"/>
      <c r="K62" s="44"/>
    </row>
    <row r="63" customFormat="false" ht="13.5" hidden="false" customHeight="false" outlineLevel="0" collapsed="false">
      <c r="A63" s="9" t="str">
        <f aca="false">IF($C63="","",ROW()-3)</f>
        <v/>
      </c>
      <c r="B63" s="76"/>
      <c r="C63" s="43"/>
      <c r="D63" s="43"/>
      <c r="E63" s="42"/>
      <c r="F63" s="44"/>
      <c r="G63" s="44"/>
      <c r="H63" s="41" t="str">
        <f aca="false">IF($C63="","",IF($K63&lt;&gt;"",ROUND(N($K63),2),IF(AND(N($F63)&lt;&gt;0,N($G63)&lt;&gt;0),ROUND(N($F63)*N($G63),2),"")))</f>
        <v/>
      </c>
      <c r="I63" s="44"/>
      <c r="J63" s="43"/>
      <c r="K63" s="44"/>
    </row>
    <row r="64" customFormat="false" ht="13.5" hidden="false" customHeight="false" outlineLevel="0" collapsed="false">
      <c r="A64" s="9" t="str">
        <f aca="false">IF($C64="","",ROW()-3)</f>
        <v/>
      </c>
      <c r="B64" s="76"/>
      <c r="C64" s="43"/>
      <c r="D64" s="43"/>
      <c r="E64" s="42"/>
      <c r="F64" s="44"/>
      <c r="G64" s="44"/>
      <c r="H64" s="41" t="str">
        <f aca="false">IF($C64="","",IF($K64&lt;&gt;"",ROUND(N($K64),2),IF(AND(N($F64)&lt;&gt;0,N($G64)&lt;&gt;0),ROUND(N($F64)*N($G64),2),"")))</f>
        <v/>
      </c>
      <c r="I64" s="44"/>
      <c r="J64" s="43"/>
      <c r="K64" s="44"/>
    </row>
    <row r="65" customFormat="false" ht="13.5" hidden="false" customHeight="false" outlineLevel="0" collapsed="false">
      <c r="A65" s="9" t="str">
        <f aca="false">IF($C65="","",ROW()-3)</f>
        <v/>
      </c>
      <c r="B65" s="76"/>
      <c r="C65" s="43"/>
      <c r="D65" s="43"/>
      <c r="E65" s="42"/>
      <c r="F65" s="44"/>
      <c r="G65" s="44"/>
      <c r="H65" s="41" t="str">
        <f aca="false">IF($C65="","",IF($K65&lt;&gt;"",ROUND(N($K65),2),IF(AND(N($F65)&lt;&gt;0,N($G65)&lt;&gt;0),ROUND(N($F65)*N($G65),2),"")))</f>
        <v/>
      </c>
      <c r="I65" s="44"/>
      <c r="J65" s="43"/>
      <c r="K65" s="44"/>
    </row>
    <row r="66" customFormat="false" ht="13.5" hidden="false" customHeight="false" outlineLevel="0" collapsed="false">
      <c r="A66" s="9" t="str">
        <f aca="false">IF($C66="","",ROW()-3)</f>
        <v/>
      </c>
      <c r="B66" s="76"/>
      <c r="C66" s="43"/>
      <c r="D66" s="43"/>
      <c r="E66" s="42"/>
      <c r="F66" s="44"/>
      <c r="G66" s="44"/>
      <c r="H66" s="41" t="str">
        <f aca="false">IF($C66="","",IF($K66&lt;&gt;"",ROUND(N($K66),2),IF(AND(N($F66)&lt;&gt;0,N($G66)&lt;&gt;0),ROUND(N($F66)*N($G66),2),"")))</f>
        <v/>
      </c>
      <c r="I66" s="44"/>
      <c r="J66" s="43"/>
      <c r="K66" s="44"/>
    </row>
    <row r="67" customFormat="false" ht="13.5" hidden="false" customHeight="false" outlineLevel="0" collapsed="false">
      <c r="A67" s="9" t="str">
        <f aca="false">IF($C67="","",ROW()-3)</f>
        <v/>
      </c>
      <c r="B67" s="76"/>
      <c r="C67" s="43"/>
      <c r="D67" s="43"/>
      <c r="E67" s="42"/>
      <c r="F67" s="44"/>
      <c r="G67" s="44"/>
      <c r="H67" s="41" t="str">
        <f aca="false">IF($C67="","",IF($K67&lt;&gt;"",ROUND(N($K67),2),IF(AND(N($F67)&lt;&gt;0,N($G67)&lt;&gt;0),ROUND(N($F67)*N($G67),2),"")))</f>
        <v/>
      </c>
      <c r="I67" s="44"/>
      <c r="J67" s="43"/>
      <c r="K67" s="44"/>
    </row>
    <row r="68" customFormat="false" ht="13.5" hidden="false" customHeight="false" outlineLevel="0" collapsed="false">
      <c r="A68" s="9" t="str">
        <f aca="false">IF($C68="","",ROW()-3)</f>
        <v/>
      </c>
      <c r="B68" s="76"/>
      <c r="C68" s="43"/>
      <c r="D68" s="43"/>
      <c r="E68" s="42"/>
      <c r="F68" s="44"/>
      <c r="G68" s="44"/>
      <c r="H68" s="41" t="str">
        <f aca="false">IF($C68="","",IF($K68&lt;&gt;"",ROUND(N($K68),2),IF(AND(N($F68)&lt;&gt;0,N($G68)&lt;&gt;0),ROUND(N($F68)*N($G68),2),"")))</f>
        <v/>
      </c>
      <c r="I68" s="44"/>
      <c r="J68" s="43"/>
      <c r="K68" s="44"/>
    </row>
    <row r="69" customFormat="false" ht="13.5" hidden="false" customHeight="false" outlineLevel="0" collapsed="false">
      <c r="A69" s="9" t="str">
        <f aca="false">IF($C69="","",ROW()-3)</f>
        <v/>
      </c>
      <c r="B69" s="76"/>
      <c r="C69" s="43"/>
      <c r="D69" s="43"/>
      <c r="E69" s="42"/>
      <c r="F69" s="44"/>
      <c r="G69" s="44"/>
      <c r="H69" s="41" t="str">
        <f aca="false">IF($C69="","",IF($K69&lt;&gt;"",ROUND(N($K69),2),IF(AND(N($F69)&lt;&gt;0,N($G69)&lt;&gt;0),ROUND(N($F69)*N($G69),2),"")))</f>
        <v/>
      </c>
      <c r="I69" s="44"/>
      <c r="J69" s="43"/>
      <c r="K69" s="44"/>
    </row>
    <row r="70" customFormat="false" ht="13.5" hidden="false" customHeight="false" outlineLevel="0" collapsed="false">
      <c r="A70" s="9" t="str">
        <f aca="false">IF($C70="","",ROW()-3)</f>
        <v/>
      </c>
      <c r="B70" s="76"/>
      <c r="C70" s="43"/>
      <c r="D70" s="43"/>
      <c r="E70" s="42"/>
      <c r="F70" s="44"/>
      <c r="G70" s="44"/>
      <c r="H70" s="41" t="str">
        <f aca="false">IF($C70="","",IF($K70&lt;&gt;"",ROUND(N($K70),2),IF(AND(N($F70)&lt;&gt;0,N($G70)&lt;&gt;0),ROUND(N($F70)*N($G70),2),"")))</f>
        <v/>
      </c>
      <c r="I70" s="44"/>
      <c r="J70" s="43"/>
      <c r="K70" s="44"/>
    </row>
    <row r="71" customFormat="false" ht="13.5" hidden="false" customHeight="false" outlineLevel="0" collapsed="false">
      <c r="A71" s="9" t="str">
        <f aca="false">IF($C71="","",ROW()-3)</f>
        <v/>
      </c>
      <c r="B71" s="76"/>
      <c r="C71" s="43"/>
      <c r="D71" s="43"/>
      <c r="E71" s="42"/>
      <c r="F71" s="44"/>
      <c r="G71" s="44"/>
      <c r="H71" s="41" t="str">
        <f aca="false">IF($C71="","",IF($K71&lt;&gt;"",ROUND(N($K71),2),IF(AND(N($F71)&lt;&gt;0,N($G71)&lt;&gt;0),ROUND(N($F71)*N($G71),2),"")))</f>
        <v/>
      </c>
      <c r="I71" s="44"/>
      <c r="J71" s="43"/>
      <c r="K71" s="44"/>
    </row>
    <row r="72" customFormat="false" ht="13.5" hidden="false" customHeight="false" outlineLevel="0" collapsed="false">
      <c r="A72" s="9" t="str">
        <f aca="false">IF($C72="","",ROW()-3)</f>
        <v/>
      </c>
      <c r="B72" s="76"/>
      <c r="C72" s="43"/>
      <c r="D72" s="43"/>
      <c r="E72" s="42"/>
      <c r="F72" s="44"/>
      <c r="G72" s="44"/>
      <c r="H72" s="41" t="str">
        <f aca="false">IF($C72="","",IF($K72&lt;&gt;"",ROUND(N($K72),2),IF(AND(N($F72)&lt;&gt;0,N($G72)&lt;&gt;0),ROUND(N($F72)*N($G72),2),"")))</f>
        <v/>
      </c>
      <c r="I72" s="44"/>
      <c r="J72" s="43"/>
      <c r="K72" s="44"/>
    </row>
    <row r="73" customFormat="false" ht="13.5" hidden="false" customHeight="false" outlineLevel="0" collapsed="false">
      <c r="A73" s="9" t="str">
        <f aca="false">IF($C73="","",ROW()-3)</f>
        <v/>
      </c>
      <c r="B73" s="76"/>
      <c r="C73" s="43"/>
      <c r="D73" s="43"/>
      <c r="E73" s="42"/>
      <c r="F73" s="44"/>
      <c r="G73" s="44"/>
      <c r="H73" s="41" t="str">
        <f aca="false">IF($C73="","",IF($K73&lt;&gt;"",ROUND(N($K73),2),IF(AND(N($F73)&lt;&gt;0,N($G73)&lt;&gt;0),ROUND(N($F73)*N($G73),2),"")))</f>
        <v/>
      </c>
      <c r="I73" s="44"/>
      <c r="J73" s="43"/>
      <c r="K73" s="44"/>
    </row>
    <row r="74" customFormat="false" ht="13.5" hidden="false" customHeight="false" outlineLevel="0" collapsed="false">
      <c r="A74" s="9" t="str">
        <f aca="false">IF($C74="","",ROW()-3)</f>
        <v/>
      </c>
      <c r="B74" s="76"/>
      <c r="C74" s="43"/>
      <c r="D74" s="43"/>
      <c r="E74" s="42"/>
      <c r="F74" s="44"/>
      <c r="G74" s="44"/>
      <c r="H74" s="41" t="str">
        <f aca="false">IF($C74="","",IF($K74&lt;&gt;"",ROUND(N($K74),2),IF(AND(N($F74)&lt;&gt;0,N($G74)&lt;&gt;0),ROUND(N($F74)*N($G74),2),"")))</f>
        <v/>
      </c>
      <c r="I74" s="44"/>
      <c r="J74" s="43"/>
      <c r="K74" s="44"/>
    </row>
    <row r="75" customFormat="false" ht="13.5" hidden="false" customHeight="false" outlineLevel="0" collapsed="false">
      <c r="A75" s="9" t="str">
        <f aca="false">IF($C75="","",ROW()-3)</f>
        <v/>
      </c>
      <c r="B75" s="76"/>
      <c r="C75" s="43"/>
      <c r="D75" s="43"/>
      <c r="E75" s="42"/>
      <c r="F75" s="44"/>
      <c r="G75" s="44"/>
      <c r="H75" s="41" t="str">
        <f aca="false">IF($C75="","",IF($K75&lt;&gt;"",ROUND(N($K75),2),IF(AND(N($F75)&lt;&gt;0,N($G75)&lt;&gt;0),ROUND(N($F75)*N($G75),2),"")))</f>
        <v/>
      </c>
      <c r="I75" s="44"/>
      <c r="J75" s="43"/>
      <c r="K75" s="44"/>
    </row>
    <row r="76" customFormat="false" ht="13.5" hidden="false" customHeight="false" outlineLevel="0" collapsed="false">
      <c r="A76" s="9" t="str">
        <f aca="false">IF($C76="","",ROW()-3)</f>
        <v/>
      </c>
      <c r="B76" s="76"/>
      <c r="C76" s="43"/>
      <c r="D76" s="43"/>
      <c r="E76" s="42"/>
      <c r="F76" s="44"/>
      <c r="G76" s="44"/>
      <c r="H76" s="41" t="str">
        <f aca="false">IF($C76="","",IF($K76&lt;&gt;"",ROUND(N($K76),2),IF(AND(N($F76)&lt;&gt;0,N($G76)&lt;&gt;0),ROUND(N($F76)*N($G76),2),"")))</f>
        <v/>
      </c>
      <c r="I76" s="44"/>
      <c r="J76" s="43"/>
      <c r="K76" s="44"/>
    </row>
    <row r="77" customFormat="false" ht="13.5" hidden="false" customHeight="false" outlineLevel="0" collapsed="false">
      <c r="A77" s="9" t="str">
        <f aca="false">IF($C77="","",ROW()-3)</f>
        <v/>
      </c>
      <c r="B77" s="76"/>
      <c r="C77" s="43"/>
      <c r="D77" s="43"/>
      <c r="E77" s="42"/>
      <c r="F77" s="44"/>
      <c r="G77" s="44"/>
      <c r="H77" s="41" t="str">
        <f aca="false">IF($C77="","",IF($K77&lt;&gt;"",ROUND(N($K77),2),IF(AND(N($F77)&lt;&gt;0,N($G77)&lt;&gt;0),ROUND(N($F77)*N($G77),2),"")))</f>
        <v/>
      </c>
      <c r="I77" s="44"/>
      <c r="J77" s="43"/>
      <c r="K77" s="44"/>
    </row>
    <row r="78" customFormat="false" ht="13.5" hidden="false" customHeight="false" outlineLevel="0" collapsed="false">
      <c r="A78" s="9" t="str">
        <f aca="false">IF($C78="","",ROW()-3)</f>
        <v/>
      </c>
      <c r="B78" s="76"/>
      <c r="C78" s="43"/>
      <c r="D78" s="43"/>
      <c r="E78" s="42"/>
      <c r="F78" s="44"/>
      <c r="G78" s="44"/>
      <c r="H78" s="41" t="str">
        <f aca="false">IF($C78="","",IF($K78&lt;&gt;"",ROUND(N($K78),2),IF(AND(N($F78)&lt;&gt;0,N($G78)&lt;&gt;0),ROUND(N($F78)*N($G78),2),"")))</f>
        <v/>
      </c>
      <c r="I78" s="44"/>
      <c r="J78" s="43"/>
      <c r="K78" s="44"/>
    </row>
    <row r="79" customFormat="false" ht="13.5" hidden="false" customHeight="false" outlineLevel="0" collapsed="false">
      <c r="A79" s="9" t="str">
        <f aca="false">IF($C79="","",ROW()-3)</f>
        <v/>
      </c>
      <c r="B79" s="76"/>
      <c r="C79" s="43"/>
      <c r="D79" s="43"/>
      <c r="E79" s="42"/>
      <c r="F79" s="44"/>
      <c r="G79" s="44"/>
      <c r="H79" s="41" t="str">
        <f aca="false">IF($C79="","",IF($K79&lt;&gt;"",ROUND(N($K79),2),IF(AND(N($F79)&lt;&gt;0,N($G79)&lt;&gt;0),ROUND(N($F79)*N($G79),2),"")))</f>
        <v/>
      </c>
      <c r="I79" s="44"/>
      <c r="J79" s="43"/>
      <c r="K79" s="44"/>
    </row>
    <row r="80" customFormat="false" ht="13.5" hidden="false" customHeight="false" outlineLevel="0" collapsed="false">
      <c r="A80" s="9" t="str">
        <f aca="false">IF($C80="","",ROW()-3)</f>
        <v/>
      </c>
      <c r="B80" s="76"/>
      <c r="C80" s="43"/>
      <c r="D80" s="43"/>
      <c r="E80" s="42"/>
      <c r="F80" s="44"/>
      <c r="G80" s="44"/>
      <c r="H80" s="41" t="str">
        <f aca="false">IF($C80="","",IF($K80&lt;&gt;"",ROUND(N($K80),2),IF(AND(N($F80)&lt;&gt;0,N($G80)&lt;&gt;0),ROUND(N($F80)*N($G80),2),"")))</f>
        <v/>
      </c>
      <c r="I80" s="44"/>
      <c r="J80" s="43"/>
      <c r="K80" s="44"/>
    </row>
    <row r="81" customFormat="false" ht="13.5" hidden="false" customHeight="false" outlineLevel="0" collapsed="false">
      <c r="A81" s="9" t="str">
        <f aca="false">IF($C81="","",ROW()-3)</f>
        <v/>
      </c>
      <c r="B81" s="76"/>
      <c r="C81" s="43"/>
      <c r="D81" s="43"/>
      <c r="E81" s="42"/>
      <c r="F81" s="44"/>
      <c r="G81" s="44"/>
      <c r="H81" s="41" t="str">
        <f aca="false">IF($C81="","",IF($K81&lt;&gt;"",ROUND(N($K81),2),IF(AND(N($F81)&lt;&gt;0,N($G81)&lt;&gt;0),ROUND(N($F81)*N($G81),2),"")))</f>
        <v/>
      </c>
      <c r="I81" s="44"/>
      <c r="J81" s="43"/>
      <c r="K81" s="44"/>
    </row>
    <row r="82" customFormat="false" ht="13.5" hidden="false" customHeight="false" outlineLevel="0" collapsed="false">
      <c r="A82" s="9" t="str">
        <f aca="false">IF($C82="","",ROW()-3)</f>
        <v/>
      </c>
      <c r="B82" s="76"/>
      <c r="C82" s="43"/>
      <c r="D82" s="43"/>
      <c r="E82" s="42"/>
      <c r="F82" s="44"/>
      <c r="G82" s="44"/>
      <c r="H82" s="41" t="str">
        <f aca="false">IF($C82="","",IF($K82&lt;&gt;"",ROUND(N($K82),2),IF(AND(N($F82)&lt;&gt;0,N($G82)&lt;&gt;0),ROUND(N($F82)*N($G82),2),"")))</f>
        <v/>
      </c>
      <c r="I82" s="44"/>
      <c r="J82" s="43"/>
      <c r="K82" s="44"/>
    </row>
    <row r="83" customFormat="false" ht="13.5" hidden="false" customHeight="false" outlineLevel="0" collapsed="false">
      <c r="A83" s="9" t="str">
        <f aca="false">IF($C83="","",ROW()-3)</f>
        <v/>
      </c>
      <c r="B83" s="76"/>
      <c r="C83" s="43"/>
      <c r="D83" s="43"/>
      <c r="E83" s="42"/>
      <c r="F83" s="44"/>
      <c r="G83" s="44"/>
      <c r="H83" s="41" t="str">
        <f aca="false">IF($C83="","",IF($K83&lt;&gt;"",ROUND(N($K83),2),IF(AND(N($F83)&lt;&gt;0,N($G83)&lt;&gt;0),ROUND(N($F83)*N($G83),2),"")))</f>
        <v/>
      </c>
      <c r="I83" s="44"/>
      <c r="J83" s="43"/>
      <c r="K83" s="44"/>
    </row>
    <row r="84" customFormat="false" ht="13.5" hidden="false" customHeight="false" outlineLevel="0" collapsed="false">
      <c r="A84" s="9" t="str">
        <f aca="false">IF($C84="","",ROW()-3)</f>
        <v/>
      </c>
      <c r="B84" s="76"/>
      <c r="C84" s="43"/>
      <c r="D84" s="43"/>
      <c r="E84" s="42"/>
      <c r="F84" s="44"/>
      <c r="G84" s="44"/>
      <c r="H84" s="41" t="str">
        <f aca="false">IF($C84="","",IF($K84&lt;&gt;"",ROUND(N($K84),2),IF(AND(N($F84)&lt;&gt;0,N($G84)&lt;&gt;0),ROUND(N($F84)*N($G84),2),"")))</f>
        <v/>
      </c>
      <c r="I84" s="44"/>
      <c r="J84" s="43"/>
      <c r="K84" s="44"/>
    </row>
    <row r="85" customFormat="false" ht="13.5" hidden="false" customHeight="false" outlineLevel="0" collapsed="false">
      <c r="A85" s="9" t="str">
        <f aca="false">IF($C85="","",ROW()-3)</f>
        <v/>
      </c>
      <c r="B85" s="76"/>
      <c r="C85" s="43"/>
      <c r="D85" s="43"/>
      <c r="E85" s="42"/>
      <c r="F85" s="44"/>
      <c r="G85" s="44"/>
      <c r="H85" s="41" t="str">
        <f aca="false">IF($C85="","",IF($K85&lt;&gt;"",ROUND(N($K85),2),IF(AND(N($F85)&lt;&gt;0,N($G85)&lt;&gt;0),ROUND(N($F85)*N($G85),2),"")))</f>
        <v/>
      </c>
      <c r="I85" s="44"/>
      <c r="J85" s="43"/>
      <c r="K85" s="44"/>
    </row>
    <row r="86" customFormat="false" ht="13.5" hidden="false" customHeight="false" outlineLevel="0" collapsed="false">
      <c r="A86" s="9" t="str">
        <f aca="false">IF($C86="","",ROW()-3)</f>
        <v/>
      </c>
      <c r="B86" s="76"/>
      <c r="C86" s="43"/>
      <c r="D86" s="43"/>
      <c r="E86" s="42"/>
      <c r="F86" s="44"/>
      <c r="G86" s="44"/>
      <c r="H86" s="41" t="str">
        <f aca="false">IF($C86="","",IF($K86&lt;&gt;"",ROUND(N($K86),2),IF(AND(N($F86)&lt;&gt;0,N($G86)&lt;&gt;0),ROUND(N($F86)*N($G86),2),"")))</f>
        <v/>
      </c>
      <c r="I86" s="44"/>
      <c r="J86" s="43"/>
      <c r="K86" s="44"/>
    </row>
    <row r="87" customFormat="false" ht="13.5" hidden="false" customHeight="false" outlineLevel="0" collapsed="false">
      <c r="A87" s="9" t="str">
        <f aca="false">IF($C87="","",ROW()-3)</f>
        <v/>
      </c>
      <c r="B87" s="76"/>
      <c r="C87" s="43"/>
      <c r="D87" s="43"/>
      <c r="E87" s="42"/>
      <c r="F87" s="44"/>
      <c r="G87" s="44"/>
      <c r="H87" s="41" t="str">
        <f aca="false">IF($C87="","",IF($K87&lt;&gt;"",ROUND(N($K87),2),IF(AND(N($F87)&lt;&gt;0,N($G87)&lt;&gt;0),ROUND(N($F87)*N($G87),2),"")))</f>
        <v/>
      </c>
      <c r="I87" s="44"/>
      <c r="J87" s="43"/>
      <c r="K87" s="44"/>
    </row>
    <row r="88" customFormat="false" ht="13.5" hidden="false" customHeight="false" outlineLevel="0" collapsed="false">
      <c r="A88" s="9" t="str">
        <f aca="false">IF($C88="","",ROW()-3)</f>
        <v/>
      </c>
      <c r="B88" s="76"/>
      <c r="C88" s="43"/>
      <c r="D88" s="43"/>
      <c r="E88" s="42"/>
      <c r="F88" s="44"/>
      <c r="G88" s="44"/>
      <c r="H88" s="41" t="str">
        <f aca="false">IF($C88="","",IF($K88&lt;&gt;"",ROUND(N($K88),2),IF(AND(N($F88)&lt;&gt;0,N($G88)&lt;&gt;0),ROUND(N($F88)*N($G88),2),"")))</f>
        <v/>
      </c>
      <c r="I88" s="44"/>
      <c r="J88" s="43"/>
      <c r="K88" s="44"/>
    </row>
    <row r="89" customFormat="false" ht="13.5" hidden="false" customHeight="false" outlineLevel="0" collapsed="false">
      <c r="A89" s="9" t="str">
        <f aca="false">IF($C89="","",ROW()-3)</f>
        <v/>
      </c>
      <c r="B89" s="76"/>
      <c r="C89" s="43"/>
      <c r="D89" s="43"/>
      <c r="E89" s="42"/>
      <c r="F89" s="44"/>
      <c r="G89" s="44"/>
      <c r="H89" s="41" t="str">
        <f aca="false">IF($C89="","",IF($K89&lt;&gt;"",ROUND(N($K89),2),IF(AND(N($F89)&lt;&gt;0,N($G89)&lt;&gt;0),ROUND(N($F89)*N($G89),2),"")))</f>
        <v/>
      </c>
      <c r="I89" s="44"/>
      <c r="J89" s="43"/>
      <c r="K89" s="44"/>
    </row>
    <row r="90" customFormat="false" ht="13.5" hidden="false" customHeight="false" outlineLevel="0" collapsed="false">
      <c r="A90" s="9" t="str">
        <f aca="false">IF($C90="","",ROW()-3)</f>
        <v/>
      </c>
      <c r="B90" s="76"/>
      <c r="C90" s="43"/>
      <c r="D90" s="43"/>
      <c r="E90" s="42"/>
      <c r="F90" s="44"/>
      <c r="G90" s="44"/>
      <c r="H90" s="41" t="str">
        <f aca="false">IF($C90="","",IF($K90&lt;&gt;"",ROUND(N($K90),2),IF(AND(N($F90)&lt;&gt;0,N($G90)&lt;&gt;0),ROUND(N($F90)*N($G90),2),"")))</f>
        <v/>
      </c>
      <c r="I90" s="44"/>
      <c r="J90" s="43"/>
      <c r="K90" s="44"/>
    </row>
    <row r="91" customFormat="false" ht="13.5" hidden="false" customHeight="false" outlineLevel="0" collapsed="false">
      <c r="A91" s="9" t="str">
        <f aca="false">IF($C91="","",ROW()-3)</f>
        <v/>
      </c>
      <c r="B91" s="76"/>
      <c r="C91" s="43"/>
      <c r="D91" s="43"/>
      <c r="E91" s="42"/>
      <c r="F91" s="44"/>
      <c r="G91" s="44"/>
      <c r="H91" s="41" t="str">
        <f aca="false">IF($C91="","",IF($K91&lt;&gt;"",ROUND(N($K91),2),IF(AND(N($F91)&lt;&gt;0,N($G91)&lt;&gt;0),ROUND(N($F91)*N($G91),2),"")))</f>
        <v/>
      </c>
      <c r="I91" s="44"/>
      <c r="J91" s="43"/>
      <c r="K91" s="44"/>
    </row>
    <row r="92" customFormat="false" ht="13.5" hidden="false" customHeight="false" outlineLevel="0" collapsed="false">
      <c r="A92" s="9" t="str">
        <f aca="false">IF($C92="","",ROW()-3)</f>
        <v/>
      </c>
      <c r="B92" s="76"/>
      <c r="C92" s="43"/>
      <c r="D92" s="43"/>
      <c r="E92" s="42"/>
      <c r="F92" s="44"/>
      <c r="G92" s="44"/>
      <c r="H92" s="41" t="str">
        <f aca="false">IF($C92="","",IF($K92&lt;&gt;"",ROUND(N($K92),2),IF(AND(N($F92)&lt;&gt;0,N($G92)&lt;&gt;0),ROUND(N($F92)*N($G92),2),"")))</f>
        <v/>
      </c>
      <c r="I92" s="44"/>
      <c r="J92" s="43"/>
      <c r="K92" s="44"/>
    </row>
    <row r="93" customFormat="false" ht="13.5" hidden="false" customHeight="false" outlineLevel="0" collapsed="false">
      <c r="A93" s="9" t="str">
        <f aca="false">IF($C93="","",ROW()-3)</f>
        <v/>
      </c>
      <c r="B93" s="76"/>
      <c r="C93" s="43"/>
      <c r="D93" s="43"/>
      <c r="E93" s="42"/>
      <c r="F93" s="44"/>
      <c r="G93" s="44"/>
      <c r="H93" s="41" t="str">
        <f aca="false">IF($C93="","",IF($K93&lt;&gt;"",ROUND(N($K93),2),IF(AND(N($F93)&lt;&gt;0,N($G93)&lt;&gt;0),ROUND(N($F93)*N($G93),2),"")))</f>
        <v/>
      </c>
      <c r="I93" s="44"/>
      <c r="J93" s="43"/>
      <c r="K93" s="44"/>
    </row>
    <row r="94" customFormat="false" ht="13.5" hidden="false" customHeight="false" outlineLevel="0" collapsed="false">
      <c r="A94" s="9" t="str">
        <f aca="false">IF($C94="","",ROW()-3)</f>
        <v/>
      </c>
      <c r="B94" s="76"/>
      <c r="C94" s="43"/>
      <c r="D94" s="43"/>
      <c r="E94" s="42"/>
      <c r="F94" s="44"/>
      <c r="G94" s="44"/>
      <c r="H94" s="41" t="str">
        <f aca="false">IF($C94="","",IF($K94&lt;&gt;"",ROUND(N($K94),2),IF(AND(N($F94)&lt;&gt;0,N($G94)&lt;&gt;0),ROUND(N($F94)*N($G94),2),"")))</f>
        <v/>
      </c>
      <c r="I94" s="44"/>
      <c r="J94" s="43"/>
      <c r="K94" s="44"/>
    </row>
    <row r="95" customFormat="false" ht="13.5" hidden="false" customHeight="false" outlineLevel="0" collapsed="false">
      <c r="A95" s="9" t="str">
        <f aca="false">IF($C95="","",ROW()-3)</f>
        <v/>
      </c>
      <c r="B95" s="76"/>
      <c r="C95" s="43"/>
      <c r="D95" s="43"/>
      <c r="E95" s="42"/>
      <c r="F95" s="44"/>
      <c r="G95" s="44"/>
      <c r="H95" s="41" t="str">
        <f aca="false">IF($C95="","",IF($K95&lt;&gt;"",ROUND(N($K95),2),IF(AND(N($F95)&lt;&gt;0,N($G95)&lt;&gt;0),ROUND(N($F95)*N($G95),2),"")))</f>
        <v/>
      </c>
      <c r="I95" s="44"/>
      <c r="J95" s="43"/>
      <c r="K95" s="44"/>
    </row>
    <row r="96" customFormat="false" ht="13.5" hidden="false" customHeight="false" outlineLevel="0" collapsed="false">
      <c r="A96" s="9" t="str">
        <f aca="false">IF($C96="","",ROW()-3)</f>
        <v/>
      </c>
      <c r="B96" s="76"/>
      <c r="C96" s="43"/>
      <c r="D96" s="43"/>
      <c r="E96" s="42"/>
      <c r="F96" s="44"/>
      <c r="G96" s="44"/>
      <c r="H96" s="41" t="str">
        <f aca="false">IF($C96="","",IF($K96&lt;&gt;"",ROUND(N($K96),2),IF(AND(N($F96)&lt;&gt;0,N($G96)&lt;&gt;0),ROUND(N($F96)*N($G96),2),"")))</f>
        <v/>
      </c>
      <c r="I96" s="44"/>
      <c r="J96" s="43"/>
      <c r="K96" s="44"/>
    </row>
    <row r="97" customFormat="false" ht="13.5" hidden="false" customHeight="false" outlineLevel="0" collapsed="false">
      <c r="A97" s="9" t="str">
        <f aca="false">IF($C97="","",ROW()-3)</f>
        <v/>
      </c>
      <c r="B97" s="76"/>
      <c r="C97" s="43"/>
      <c r="D97" s="43"/>
      <c r="E97" s="42"/>
      <c r="F97" s="44"/>
      <c r="G97" s="44"/>
      <c r="H97" s="41" t="str">
        <f aca="false">IF($C97="","",IF($K97&lt;&gt;"",ROUND(N($K97),2),IF(AND(N($F97)&lt;&gt;0,N($G97)&lt;&gt;0),ROUND(N($F97)*N($G97),2),"")))</f>
        <v/>
      </c>
      <c r="I97" s="44"/>
      <c r="J97" s="43"/>
      <c r="K97" s="44"/>
    </row>
    <row r="98" customFormat="false" ht="13.5" hidden="false" customHeight="false" outlineLevel="0" collapsed="false">
      <c r="A98" s="9" t="str">
        <f aca="false">IF($C98="","",ROW()-3)</f>
        <v/>
      </c>
      <c r="B98" s="76"/>
      <c r="C98" s="43"/>
      <c r="D98" s="43"/>
      <c r="E98" s="42"/>
      <c r="F98" s="44"/>
      <c r="G98" s="44"/>
      <c r="H98" s="41" t="str">
        <f aca="false">IF($C98="","",IF($K98&lt;&gt;"",ROUND(N($K98),2),IF(AND(N($F98)&lt;&gt;0,N($G98)&lt;&gt;0),ROUND(N($F98)*N($G98),2),"")))</f>
        <v/>
      </c>
      <c r="I98" s="44"/>
      <c r="J98" s="43"/>
      <c r="K98" s="44"/>
    </row>
    <row r="99" customFormat="false" ht="13.5" hidden="false" customHeight="false" outlineLevel="0" collapsed="false">
      <c r="A99" s="9" t="str">
        <f aca="false">IF($C99="","",ROW()-3)</f>
        <v/>
      </c>
      <c r="B99" s="76"/>
      <c r="C99" s="43"/>
      <c r="D99" s="43"/>
      <c r="E99" s="42"/>
      <c r="F99" s="44"/>
      <c r="G99" s="44"/>
      <c r="H99" s="41" t="str">
        <f aca="false">IF($C99="","",IF($K99&lt;&gt;"",ROUND(N($K99),2),IF(AND(N($F99)&lt;&gt;0,N($G99)&lt;&gt;0),ROUND(N($F99)*N($G99),2),"")))</f>
        <v/>
      </c>
      <c r="I99" s="44"/>
      <c r="J99" s="43"/>
      <c r="K99" s="44"/>
    </row>
    <row r="100" customFormat="false" ht="13.5" hidden="false" customHeight="false" outlineLevel="0" collapsed="false">
      <c r="A100" s="9" t="str">
        <f aca="false">IF($C100="","",ROW()-3)</f>
        <v/>
      </c>
      <c r="B100" s="76"/>
      <c r="C100" s="43"/>
      <c r="D100" s="43"/>
      <c r="E100" s="42"/>
      <c r="F100" s="44"/>
      <c r="G100" s="44"/>
      <c r="H100" s="41" t="str">
        <f aca="false">IF($C100="","",IF($K100&lt;&gt;"",ROUND(N($K100),2),IF(AND(N($F100)&lt;&gt;0,N($G100)&lt;&gt;0),ROUND(N($F100)*N($G100),2),"")))</f>
        <v/>
      </c>
      <c r="I100" s="44"/>
      <c r="J100" s="43"/>
      <c r="K100" s="44"/>
    </row>
    <row r="101" customFormat="false" ht="13.5" hidden="false" customHeight="false" outlineLevel="0" collapsed="false">
      <c r="A101" s="9" t="str">
        <f aca="false">IF($C101="","",ROW()-3)</f>
        <v/>
      </c>
      <c r="B101" s="76"/>
      <c r="C101" s="43"/>
      <c r="D101" s="43"/>
      <c r="E101" s="42"/>
      <c r="F101" s="44"/>
      <c r="G101" s="44"/>
      <c r="H101" s="41" t="str">
        <f aca="false">IF($C101="","",IF($K101&lt;&gt;"",ROUND(N($K101),2),IF(AND(N($F101)&lt;&gt;0,N($G101)&lt;&gt;0),ROUND(N($F101)*N($G101),2),"")))</f>
        <v/>
      </c>
      <c r="I101" s="44"/>
      <c r="J101" s="43"/>
      <c r="K101" s="44"/>
    </row>
    <row r="102" customFormat="false" ht="13.5" hidden="false" customHeight="false" outlineLevel="0" collapsed="false">
      <c r="A102" s="9" t="str">
        <f aca="false">IF($C102="","",ROW()-3)</f>
        <v/>
      </c>
      <c r="B102" s="76"/>
      <c r="C102" s="43"/>
      <c r="D102" s="43"/>
      <c r="E102" s="42"/>
      <c r="F102" s="44"/>
      <c r="G102" s="44"/>
      <c r="H102" s="41" t="str">
        <f aca="false">IF($C102="","",IF($K102&lt;&gt;"",ROUND(N($K102),2),IF(AND(N($F102)&lt;&gt;0,N($G102)&lt;&gt;0),ROUND(N($F102)*N($G102),2),"")))</f>
        <v/>
      </c>
      <c r="I102" s="44"/>
      <c r="J102" s="43"/>
      <c r="K102" s="44"/>
    </row>
    <row r="103" customFormat="false" ht="13.5" hidden="false" customHeight="false" outlineLevel="0" collapsed="false">
      <c r="A103" s="9" t="str">
        <f aca="false">IF($C103="","",ROW()-3)</f>
        <v/>
      </c>
      <c r="B103" s="76"/>
      <c r="C103" s="43"/>
      <c r="D103" s="43"/>
      <c r="E103" s="42"/>
      <c r="F103" s="44"/>
      <c r="G103" s="44"/>
      <c r="H103" s="41" t="str">
        <f aca="false">IF($C103="","",IF($K103&lt;&gt;"",ROUND(N($K103),2),IF(AND(N($F103)&lt;&gt;0,N($G103)&lt;&gt;0),ROUND(N($F103)*N($G103),2),"")))</f>
        <v/>
      </c>
      <c r="I103" s="44"/>
      <c r="J103" s="43"/>
      <c r="K103" s="44"/>
    </row>
    <row r="104" customFormat="false" ht="13.5" hidden="false" customHeight="false" outlineLevel="0" collapsed="false">
      <c r="A104" s="9" t="str">
        <f aca="false">IF($C104="","",ROW()-3)</f>
        <v/>
      </c>
      <c r="B104" s="76"/>
      <c r="C104" s="43"/>
      <c r="D104" s="43"/>
      <c r="E104" s="42"/>
      <c r="F104" s="44"/>
      <c r="G104" s="44"/>
      <c r="H104" s="41" t="str">
        <f aca="false">IF($C104="","",IF($K104&lt;&gt;"",ROUND(N($K104),2),IF(AND(N($F104)&lt;&gt;0,N($G104)&lt;&gt;0),ROUND(N($F104)*N($G104),2),"")))</f>
        <v/>
      </c>
      <c r="I104" s="44"/>
      <c r="J104" s="43"/>
      <c r="K104" s="44"/>
    </row>
    <row r="105" customFormat="false" ht="13.5" hidden="false" customHeight="false" outlineLevel="0" collapsed="false">
      <c r="A105" s="9" t="str">
        <f aca="false">IF($C105="","",ROW()-3)</f>
        <v/>
      </c>
      <c r="B105" s="76"/>
      <c r="C105" s="43"/>
      <c r="D105" s="43"/>
      <c r="E105" s="42"/>
      <c r="F105" s="44"/>
      <c r="G105" s="44"/>
      <c r="H105" s="41" t="str">
        <f aca="false">IF($C105="","",IF($K105&lt;&gt;"",ROUND(N($K105),2),IF(AND(N($F105)&lt;&gt;0,N($G105)&lt;&gt;0),ROUND(N($F105)*N($G105),2),"")))</f>
        <v/>
      </c>
      <c r="I105" s="44"/>
      <c r="J105" s="43"/>
      <c r="K105" s="44"/>
    </row>
    <row r="106" customFormat="false" ht="13.5" hidden="false" customHeight="false" outlineLevel="0" collapsed="false">
      <c r="A106" s="9" t="str">
        <f aca="false">IF($C106="","",ROW()-3)</f>
        <v/>
      </c>
      <c r="B106" s="76"/>
      <c r="C106" s="43"/>
      <c r="D106" s="43"/>
      <c r="E106" s="42"/>
      <c r="F106" s="44"/>
      <c r="G106" s="44"/>
      <c r="H106" s="41" t="str">
        <f aca="false">IF($C106="","",IF($K106&lt;&gt;"",ROUND(N($K106),2),IF(AND(N($F106)&lt;&gt;0,N($G106)&lt;&gt;0),ROUND(N($F106)*N($G106),2),"")))</f>
        <v/>
      </c>
      <c r="I106" s="44"/>
      <c r="J106" s="43"/>
      <c r="K106" s="44"/>
    </row>
    <row r="107" customFormat="false" ht="13.5" hidden="false" customHeight="false" outlineLevel="0" collapsed="false">
      <c r="A107" s="9" t="str">
        <f aca="false">IF($C107="","",ROW()-3)</f>
        <v/>
      </c>
      <c r="B107" s="76"/>
      <c r="C107" s="43"/>
      <c r="D107" s="43"/>
      <c r="E107" s="42"/>
      <c r="F107" s="44"/>
      <c r="G107" s="44"/>
      <c r="H107" s="41" t="str">
        <f aca="false">IF($C107="","",IF($K107&lt;&gt;"",ROUND(N($K107),2),IF(AND(N($F107)&lt;&gt;0,N($G107)&lt;&gt;0),ROUND(N($F107)*N($G107),2),"")))</f>
        <v/>
      </c>
      <c r="I107" s="44"/>
      <c r="J107" s="43"/>
      <c r="K107" s="44"/>
    </row>
    <row r="108" customFormat="false" ht="13.5" hidden="false" customHeight="false" outlineLevel="0" collapsed="false">
      <c r="A108" s="9" t="str">
        <f aca="false">IF($C108="","",ROW()-3)</f>
        <v/>
      </c>
      <c r="B108" s="76"/>
      <c r="C108" s="43"/>
      <c r="D108" s="43"/>
      <c r="E108" s="42"/>
      <c r="F108" s="44"/>
      <c r="G108" s="44"/>
      <c r="H108" s="41" t="str">
        <f aca="false">IF($C108="","",IF($K108&lt;&gt;"",ROUND(N($K108),2),IF(AND(N($F108)&lt;&gt;0,N($G108)&lt;&gt;0),ROUND(N($F108)*N($G108),2),"")))</f>
        <v/>
      </c>
      <c r="I108" s="44"/>
      <c r="J108" s="43"/>
      <c r="K108" s="44"/>
    </row>
    <row r="109" customFormat="false" ht="13.5" hidden="false" customHeight="false" outlineLevel="0" collapsed="false">
      <c r="A109" s="9" t="str">
        <f aca="false">IF($C109="","",ROW()-3)</f>
        <v/>
      </c>
      <c r="B109" s="76"/>
      <c r="C109" s="43"/>
      <c r="D109" s="43"/>
      <c r="E109" s="42"/>
      <c r="F109" s="44"/>
      <c r="G109" s="44"/>
      <c r="H109" s="41" t="str">
        <f aca="false">IF($C109="","",IF($K109&lt;&gt;"",ROUND(N($K109),2),IF(AND(N($F109)&lt;&gt;0,N($G109)&lt;&gt;0),ROUND(N($F109)*N($G109),2),"")))</f>
        <v/>
      </c>
      <c r="I109" s="44"/>
      <c r="J109" s="43"/>
      <c r="K109" s="44"/>
    </row>
    <row r="110" customFormat="false" ht="13.5" hidden="false" customHeight="false" outlineLevel="0" collapsed="false">
      <c r="A110" s="9" t="str">
        <f aca="false">IF($C110="","",ROW()-3)</f>
        <v/>
      </c>
      <c r="B110" s="76"/>
      <c r="C110" s="43"/>
      <c r="D110" s="43"/>
      <c r="E110" s="42"/>
      <c r="F110" s="44"/>
      <c r="G110" s="44"/>
      <c r="H110" s="41" t="str">
        <f aca="false">IF($C110="","",IF($K110&lt;&gt;"",ROUND(N($K110),2),IF(AND(N($F110)&lt;&gt;0,N($G110)&lt;&gt;0),ROUND(N($F110)*N($G110),2),"")))</f>
        <v/>
      </c>
      <c r="I110" s="44"/>
      <c r="J110" s="43"/>
      <c r="K110" s="44"/>
    </row>
    <row r="111" customFormat="false" ht="13.5" hidden="false" customHeight="false" outlineLevel="0" collapsed="false">
      <c r="A111" s="9" t="str">
        <f aca="false">IF($C111="","",ROW()-3)</f>
        <v/>
      </c>
      <c r="B111" s="76"/>
      <c r="C111" s="43"/>
      <c r="D111" s="43"/>
      <c r="E111" s="42"/>
      <c r="F111" s="44"/>
      <c r="G111" s="44"/>
      <c r="H111" s="41" t="str">
        <f aca="false">IF($C111="","",IF($K111&lt;&gt;"",ROUND(N($K111),2),IF(AND(N($F111)&lt;&gt;0,N($G111)&lt;&gt;0),ROUND(N($F111)*N($G111),2),"")))</f>
        <v/>
      </c>
      <c r="I111" s="44"/>
      <c r="J111" s="43"/>
      <c r="K111" s="44"/>
    </row>
    <row r="112" customFormat="false" ht="13.5" hidden="false" customHeight="false" outlineLevel="0" collapsed="false">
      <c r="A112" s="9" t="str">
        <f aca="false">IF($C112="","",ROW()-3)</f>
        <v/>
      </c>
      <c r="B112" s="76"/>
      <c r="C112" s="43"/>
      <c r="D112" s="43"/>
      <c r="E112" s="42"/>
      <c r="F112" s="44"/>
      <c r="G112" s="44"/>
      <c r="H112" s="41" t="str">
        <f aca="false">IF($C112="","",IF($K112&lt;&gt;"",ROUND(N($K112),2),IF(AND(N($F112)&lt;&gt;0,N($G112)&lt;&gt;0),ROUND(N($F112)*N($G112),2),"")))</f>
        <v/>
      </c>
      <c r="I112" s="44"/>
      <c r="J112" s="43"/>
      <c r="K112" s="44"/>
    </row>
    <row r="113" customFormat="false" ht="13.5" hidden="false" customHeight="false" outlineLevel="0" collapsed="false">
      <c r="A113" s="9" t="str">
        <f aca="false">IF($C113="","",ROW()-3)</f>
        <v/>
      </c>
      <c r="B113" s="76"/>
      <c r="C113" s="43"/>
      <c r="D113" s="43"/>
      <c r="E113" s="42"/>
      <c r="F113" s="44"/>
      <c r="G113" s="44"/>
      <c r="H113" s="41" t="str">
        <f aca="false">IF($C113="","",IF($K113&lt;&gt;"",ROUND(N($K113),2),IF(AND(N($F113)&lt;&gt;0,N($G113)&lt;&gt;0),ROUND(N($F113)*N($G113),2),"")))</f>
        <v/>
      </c>
      <c r="I113" s="44"/>
      <c r="J113" s="43"/>
      <c r="K113" s="44"/>
    </row>
    <row r="114" customFormat="false" ht="13.5" hidden="false" customHeight="false" outlineLevel="0" collapsed="false">
      <c r="A114" s="9" t="str">
        <f aca="false">IF($C114="","",ROW()-3)</f>
        <v/>
      </c>
      <c r="B114" s="76"/>
      <c r="C114" s="43"/>
      <c r="D114" s="43"/>
      <c r="E114" s="42"/>
      <c r="F114" s="44"/>
      <c r="G114" s="44"/>
      <c r="H114" s="41" t="str">
        <f aca="false">IF($C114="","",IF($K114&lt;&gt;"",ROUND(N($K114),2),IF(AND(N($F114)&lt;&gt;0,N($G114)&lt;&gt;0),ROUND(N($F114)*N($G114),2),"")))</f>
        <v/>
      </c>
      <c r="I114" s="44"/>
      <c r="J114" s="43"/>
      <c r="K114" s="44"/>
    </row>
    <row r="115" customFormat="false" ht="13.5" hidden="false" customHeight="false" outlineLevel="0" collapsed="false">
      <c r="A115" s="9" t="str">
        <f aca="false">IF($C115="","",ROW()-3)</f>
        <v/>
      </c>
      <c r="B115" s="76"/>
      <c r="C115" s="43"/>
      <c r="D115" s="43"/>
      <c r="E115" s="42"/>
      <c r="F115" s="44"/>
      <c r="G115" s="44"/>
      <c r="H115" s="41" t="str">
        <f aca="false">IF($C115="","",IF($K115&lt;&gt;"",ROUND(N($K115),2),IF(AND(N($F115)&lt;&gt;0,N($G115)&lt;&gt;0),ROUND(N($F115)*N($G115),2),"")))</f>
        <v/>
      </c>
      <c r="I115" s="44"/>
      <c r="J115" s="43"/>
      <c r="K115" s="44"/>
    </row>
    <row r="116" customFormat="false" ht="13.5" hidden="false" customHeight="false" outlineLevel="0" collapsed="false">
      <c r="A116" s="9" t="str">
        <f aca="false">IF($C116="","",ROW()-3)</f>
        <v/>
      </c>
      <c r="B116" s="76"/>
      <c r="C116" s="43"/>
      <c r="D116" s="43"/>
      <c r="E116" s="42"/>
      <c r="F116" s="44"/>
      <c r="G116" s="44"/>
      <c r="H116" s="41" t="str">
        <f aca="false">IF($C116="","",IF($K116&lt;&gt;"",ROUND(N($K116),2),IF(AND(N($F116)&lt;&gt;0,N($G116)&lt;&gt;0),ROUND(N($F116)*N($G116),2),"")))</f>
        <v/>
      </c>
      <c r="I116" s="44"/>
      <c r="J116" s="43"/>
      <c r="K116" s="44"/>
    </row>
    <row r="117" customFormat="false" ht="13.5" hidden="false" customHeight="false" outlineLevel="0" collapsed="false">
      <c r="A117" s="9" t="str">
        <f aca="false">IF($C117="","",ROW()-3)</f>
        <v/>
      </c>
      <c r="B117" s="76"/>
      <c r="C117" s="43"/>
      <c r="D117" s="43"/>
      <c r="E117" s="42"/>
      <c r="F117" s="44"/>
      <c r="G117" s="44"/>
      <c r="H117" s="41" t="str">
        <f aca="false">IF($C117="","",IF($K117&lt;&gt;"",ROUND(N($K117),2),IF(AND(N($F117)&lt;&gt;0,N($G117)&lt;&gt;0),ROUND(N($F117)*N($G117),2),"")))</f>
        <v/>
      </c>
      <c r="I117" s="44"/>
      <c r="J117" s="43"/>
      <c r="K117" s="44"/>
    </row>
    <row r="118" customFormat="false" ht="13.5" hidden="false" customHeight="false" outlineLevel="0" collapsed="false">
      <c r="A118" s="9" t="str">
        <f aca="false">IF($C118="","",ROW()-3)</f>
        <v/>
      </c>
      <c r="B118" s="76"/>
      <c r="C118" s="43"/>
      <c r="D118" s="43"/>
      <c r="E118" s="42"/>
      <c r="F118" s="44"/>
      <c r="G118" s="44"/>
      <c r="H118" s="41" t="str">
        <f aca="false">IF($C118="","",IF($K118&lt;&gt;"",ROUND(N($K118),2),IF(AND(N($F118)&lt;&gt;0,N($G118)&lt;&gt;0),ROUND(N($F118)*N($G118),2),"")))</f>
        <v/>
      </c>
      <c r="I118" s="44"/>
      <c r="J118" s="43"/>
      <c r="K118" s="44"/>
    </row>
    <row r="119" customFormat="false" ht="13.5" hidden="false" customHeight="false" outlineLevel="0" collapsed="false">
      <c r="A119" s="9" t="str">
        <f aca="false">IF($C119="","",ROW()-3)</f>
        <v/>
      </c>
      <c r="B119" s="76"/>
      <c r="C119" s="43"/>
      <c r="D119" s="43"/>
      <c r="E119" s="42"/>
      <c r="F119" s="44"/>
      <c r="G119" s="44"/>
      <c r="H119" s="41" t="str">
        <f aca="false">IF($C119="","",IF($K119&lt;&gt;"",ROUND(N($K119),2),IF(AND(N($F119)&lt;&gt;0,N($G119)&lt;&gt;0),ROUND(N($F119)*N($G119),2),"")))</f>
        <v/>
      </c>
      <c r="I119" s="44"/>
      <c r="J119" s="43"/>
      <c r="K119" s="44"/>
    </row>
    <row r="120" customFormat="false" ht="13.5" hidden="false" customHeight="false" outlineLevel="0" collapsed="false">
      <c r="A120" s="9" t="str">
        <f aca="false">IF($C120="","",ROW()-3)</f>
        <v/>
      </c>
      <c r="B120" s="76"/>
      <c r="C120" s="43"/>
      <c r="D120" s="43"/>
      <c r="E120" s="42"/>
      <c r="F120" s="44"/>
      <c r="G120" s="44"/>
      <c r="H120" s="41" t="str">
        <f aca="false">IF($C120="","",IF($K120&lt;&gt;"",ROUND(N($K120),2),IF(AND(N($F120)&lt;&gt;0,N($G120)&lt;&gt;0),ROUND(N($F120)*N($G120),2),"")))</f>
        <v/>
      </c>
      <c r="I120" s="44"/>
      <c r="J120" s="43"/>
      <c r="K120" s="44"/>
    </row>
    <row r="121" customFormat="false" ht="13.5" hidden="false" customHeight="false" outlineLevel="0" collapsed="false">
      <c r="A121" s="9" t="str">
        <f aca="false">IF($C121="","",ROW()-3)</f>
        <v/>
      </c>
      <c r="B121" s="76"/>
      <c r="C121" s="43"/>
      <c r="D121" s="43"/>
      <c r="E121" s="42"/>
      <c r="F121" s="44"/>
      <c r="G121" s="44"/>
      <c r="H121" s="41" t="str">
        <f aca="false">IF($C121="","",IF($K121&lt;&gt;"",ROUND(N($K121),2),IF(AND(N($F121)&lt;&gt;0,N($G121)&lt;&gt;0),ROUND(N($F121)*N($G121),2),"")))</f>
        <v/>
      </c>
      <c r="I121" s="44"/>
      <c r="J121" s="43"/>
      <c r="K121" s="44"/>
    </row>
    <row r="122" customFormat="false" ht="13.5" hidden="false" customHeight="false" outlineLevel="0" collapsed="false">
      <c r="A122" s="9" t="str">
        <f aca="false">IF($C122="","",ROW()-3)</f>
        <v/>
      </c>
      <c r="B122" s="76"/>
      <c r="C122" s="43"/>
      <c r="D122" s="43"/>
      <c r="E122" s="42"/>
      <c r="F122" s="44"/>
      <c r="G122" s="44"/>
      <c r="H122" s="41" t="str">
        <f aca="false">IF($C122="","",IF($K122&lt;&gt;"",ROUND(N($K122),2),IF(AND(N($F122)&lt;&gt;0,N($G122)&lt;&gt;0),ROUND(N($F122)*N($G122),2),"")))</f>
        <v/>
      </c>
      <c r="I122" s="44"/>
      <c r="J122" s="43"/>
      <c r="K122" s="44"/>
    </row>
    <row r="123" customFormat="false" ht="13.5" hidden="false" customHeight="false" outlineLevel="0" collapsed="false">
      <c r="A123" s="9" t="str">
        <f aca="false">IF($C123="","",ROW()-3)</f>
        <v/>
      </c>
      <c r="B123" s="76"/>
      <c r="C123" s="43"/>
      <c r="D123" s="43"/>
      <c r="E123" s="42"/>
      <c r="F123" s="44"/>
      <c r="G123" s="44"/>
      <c r="H123" s="41" t="str">
        <f aca="false">IF($C123="","",IF($K123&lt;&gt;"",ROUND(N($K123),2),IF(AND(N($F123)&lt;&gt;0,N($G123)&lt;&gt;0),ROUND(N($F123)*N($G123),2),"")))</f>
        <v/>
      </c>
      <c r="I123" s="44"/>
      <c r="J123" s="43"/>
      <c r="K123" s="44"/>
    </row>
    <row r="124" customFormat="false" ht="13.5" hidden="false" customHeight="false" outlineLevel="0" collapsed="false">
      <c r="A124" s="9" t="str">
        <f aca="false">IF($C124="","",ROW()-3)</f>
        <v/>
      </c>
      <c r="B124" s="76"/>
      <c r="C124" s="43"/>
      <c r="D124" s="43"/>
      <c r="E124" s="42"/>
      <c r="F124" s="44"/>
      <c r="G124" s="44"/>
      <c r="H124" s="41" t="str">
        <f aca="false">IF($C124="","",IF($K124&lt;&gt;"",ROUND(N($K124),2),IF(AND(N($F124)&lt;&gt;0,N($G124)&lt;&gt;0),ROUND(N($F124)*N($G124),2),"")))</f>
        <v/>
      </c>
      <c r="I124" s="44"/>
      <c r="J124" s="43"/>
      <c r="K124" s="44"/>
    </row>
    <row r="125" customFormat="false" ht="13.5" hidden="false" customHeight="false" outlineLevel="0" collapsed="false">
      <c r="A125" s="9" t="str">
        <f aca="false">IF($C125="","",ROW()-3)</f>
        <v/>
      </c>
      <c r="B125" s="76"/>
      <c r="C125" s="43"/>
      <c r="D125" s="43"/>
      <c r="E125" s="42"/>
      <c r="F125" s="44"/>
      <c r="G125" s="44"/>
      <c r="H125" s="41" t="str">
        <f aca="false">IF($C125="","",IF($K125&lt;&gt;"",ROUND(N($K125),2),IF(AND(N($F125)&lt;&gt;0,N($G125)&lt;&gt;0),ROUND(N($F125)*N($G125),2),"")))</f>
        <v/>
      </c>
      <c r="I125" s="44"/>
      <c r="J125" s="43"/>
      <c r="K125" s="44"/>
    </row>
    <row r="126" customFormat="false" ht="13.5" hidden="false" customHeight="false" outlineLevel="0" collapsed="false">
      <c r="A126" s="9" t="str">
        <f aca="false">IF($C126="","",ROW()-3)</f>
        <v/>
      </c>
      <c r="B126" s="76"/>
      <c r="C126" s="43"/>
      <c r="D126" s="43"/>
      <c r="E126" s="42"/>
      <c r="F126" s="44"/>
      <c r="G126" s="44"/>
      <c r="H126" s="41" t="str">
        <f aca="false">IF($C126="","",IF($K126&lt;&gt;"",ROUND(N($K126),2),IF(AND(N($F126)&lt;&gt;0,N($G126)&lt;&gt;0),ROUND(N($F126)*N($G126),2),"")))</f>
        <v/>
      </c>
      <c r="I126" s="44"/>
      <c r="J126" s="43"/>
      <c r="K126" s="44"/>
    </row>
    <row r="127" customFormat="false" ht="13.5" hidden="false" customHeight="false" outlineLevel="0" collapsed="false">
      <c r="A127" s="9" t="str">
        <f aca="false">IF($C127="","",ROW()-3)</f>
        <v/>
      </c>
      <c r="B127" s="76"/>
      <c r="C127" s="43"/>
      <c r="D127" s="43"/>
      <c r="E127" s="42"/>
      <c r="F127" s="44"/>
      <c r="G127" s="44"/>
      <c r="H127" s="41" t="str">
        <f aca="false">IF($C127="","",IF($K127&lt;&gt;"",ROUND(N($K127),2),IF(AND(N($F127)&lt;&gt;0,N($G127)&lt;&gt;0),ROUND(N($F127)*N($G127),2),"")))</f>
        <v/>
      </c>
      <c r="I127" s="44"/>
      <c r="J127" s="43"/>
      <c r="K127" s="44"/>
    </row>
    <row r="128" customFormat="false" ht="13.5" hidden="false" customHeight="false" outlineLevel="0" collapsed="false">
      <c r="A128" s="9" t="str">
        <f aca="false">IF($C128="","",ROW()-3)</f>
        <v/>
      </c>
      <c r="B128" s="76"/>
      <c r="C128" s="43"/>
      <c r="D128" s="43"/>
      <c r="E128" s="42"/>
      <c r="F128" s="44"/>
      <c r="G128" s="44"/>
      <c r="H128" s="41" t="str">
        <f aca="false">IF($C128="","",IF($K128&lt;&gt;"",ROUND(N($K128),2),IF(AND(N($F128)&lt;&gt;0,N($G128)&lt;&gt;0),ROUND(N($F128)*N($G128),2),"")))</f>
        <v/>
      </c>
      <c r="I128" s="44"/>
      <c r="J128" s="43"/>
      <c r="K128" s="44"/>
    </row>
    <row r="129" customFormat="false" ht="13.5" hidden="false" customHeight="false" outlineLevel="0" collapsed="false">
      <c r="A129" s="9" t="str">
        <f aca="false">IF($C129="","",ROW()-3)</f>
        <v/>
      </c>
      <c r="B129" s="76"/>
      <c r="C129" s="43"/>
      <c r="D129" s="43"/>
      <c r="E129" s="42"/>
      <c r="F129" s="44"/>
      <c r="G129" s="44"/>
      <c r="H129" s="41" t="str">
        <f aca="false">IF($C129="","",IF($K129&lt;&gt;"",ROUND(N($K129),2),IF(AND(N($F129)&lt;&gt;0,N($G129)&lt;&gt;0),ROUND(N($F129)*N($G129),2),"")))</f>
        <v/>
      </c>
      <c r="I129" s="44"/>
      <c r="J129" s="43"/>
      <c r="K129" s="44"/>
    </row>
    <row r="130" customFormat="false" ht="13.5" hidden="false" customHeight="false" outlineLevel="0" collapsed="false">
      <c r="A130" s="9" t="str">
        <f aca="false">IF($C130="","",ROW()-3)</f>
        <v/>
      </c>
      <c r="B130" s="76"/>
      <c r="C130" s="43"/>
      <c r="D130" s="43"/>
      <c r="E130" s="42"/>
      <c r="F130" s="44"/>
      <c r="G130" s="44"/>
      <c r="H130" s="41" t="str">
        <f aca="false">IF($C130="","",IF($K130&lt;&gt;"",ROUND(N($K130),2),IF(AND(N($F130)&lt;&gt;0,N($G130)&lt;&gt;0),ROUND(N($F130)*N($G130),2),"")))</f>
        <v/>
      </c>
      <c r="I130" s="44"/>
      <c r="J130" s="43"/>
      <c r="K130" s="44"/>
    </row>
    <row r="131" customFormat="false" ht="13.5" hidden="false" customHeight="false" outlineLevel="0" collapsed="false">
      <c r="A131" s="9" t="str">
        <f aca="false">IF($C131="","",ROW()-3)</f>
        <v/>
      </c>
      <c r="B131" s="76"/>
      <c r="C131" s="43"/>
      <c r="D131" s="43"/>
      <c r="E131" s="42"/>
      <c r="F131" s="44"/>
      <c r="G131" s="44"/>
      <c r="H131" s="41" t="str">
        <f aca="false">IF($C131="","",IF($K131&lt;&gt;"",ROUND(N($K131),2),IF(AND(N($F131)&lt;&gt;0,N($G131)&lt;&gt;0),ROUND(N($F131)*N($G131),2),"")))</f>
        <v/>
      </c>
      <c r="I131" s="44"/>
      <c r="J131" s="43"/>
      <c r="K131" s="44"/>
    </row>
    <row r="132" customFormat="false" ht="13.5" hidden="false" customHeight="false" outlineLevel="0" collapsed="false">
      <c r="A132" s="9" t="str">
        <f aca="false">IF($C132="","",ROW()-3)</f>
        <v/>
      </c>
      <c r="B132" s="76"/>
      <c r="C132" s="43"/>
      <c r="D132" s="43"/>
      <c r="E132" s="42"/>
      <c r="F132" s="44"/>
      <c r="G132" s="44"/>
      <c r="H132" s="41" t="str">
        <f aca="false">IF($C132="","",IF($K132&lt;&gt;"",ROUND(N($K132),2),IF(AND(N($F132)&lt;&gt;0,N($G132)&lt;&gt;0),ROUND(N($F132)*N($G132),2),"")))</f>
        <v/>
      </c>
      <c r="I132" s="44"/>
      <c r="J132" s="43"/>
      <c r="K132" s="44"/>
    </row>
    <row r="133" customFormat="false" ht="13.5" hidden="false" customHeight="false" outlineLevel="0" collapsed="false">
      <c r="A133" s="9" t="str">
        <f aca="false">IF($C133="","",ROW()-3)</f>
        <v/>
      </c>
      <c r="B133" s="76"/>
      <c r="C133" s="43"/>
      <c r="D133" s="43"/>
      <c r="E133" s="42"/>
      <c r="F133" s="44"/>
      <c r="G133" s="44"/>
      <c r="H133" s="41" t="str">
        <f aca="false">IF($C133="","",IF($K133&lt;&gt;"",ROUND(N($K133),2),IF(AND(N($F133)&lt;&gt;0,N($G133)&lt;&gt;0),ROUND(N($F133)*N($G133),2),"")))</f>
        <v/>
      </c>
      <c r="I133" s="44"/>
      <c r="J133" s="43"/>
      <c r="K133" s="44"/>
    </row>
    <row r="134" customFormat="false" ht="13.5" hidden="false" customHeight="false" outlineLevel="0" collapsed="false">
      <c r="A134" s="9" t="str">
        <f aca="false">IF($C134="","",ROW()-3)</f>
        <v/>
      </c>
      <c r="B134" s="76"/>
      <c r="C134" s="43"/>
      <c r="D134" s="43"/>
      <c r="E134" s="42"/>
      <c r="F134" s="44"/>
      <c r="G134" s="44"/>
      <c r="H134" s="41" t="str">
        <f aca="false">IF($C134="","",IF($K134&lt;&gt;"",ROUND(N($K134),2),IF(AND(N($F134)&lt;&gt;0,N($G134)&lt;&gt;0),ROUND(N($F134)*N($G134),2),"")))</f>
        <v/>
      </c>
      <c r="I134" s="44"/>
      <c r="J134" s="43"/>
      <c r="K134" s="44"/>
    </row>
    <row r="135" customFormat="false" ht="13.5" hidden="false" customHeight="false" outlineLevel="0" collapsed="false">
      <c r="A135" s="9" t="str">
        <f aca="false">IF($C135="","",ROW()-3)</f>
        <v/>
      </c>
      <c r="B135" s="76"/>
      <c r="C135" s="43"/>
      <c r="D135" s="43"/>
      <c r="E135" s="42"/>
      <c r="F135" s="44"/>
      <c r="G135" s="44"/>
      <c r="H135" s="41" t="str">
        <f aca="false">IF($C135="","",IF($K135&lt;&gt;"",ROUND(N($K135),2),IF(AND(N($F135)&lt;&gt;0,N($G135)&lt;&gt;0),ROUND(N($F135)*N($G135),2),"")))</f>
        <v/>
      </c>
      <c r="I135" s="44"/>
      <c r="J135" s="43"/>
      <c r="K135" s="44"/>
    </row>
    <row r="136" customFormat="false" ht="13.5" hidden="false" customHeight="false" outlineLevel="0" collapsed="false">
      <c r="A136" s="9" t="str">
        <f aca="false">IF($C136="","",ROW()-3)</f>
        <v/>
      </c>
      <c r="B136" s="76"/>
      <c r="C136" s="43"/>
      <c r="D136" s="43"/>
      <c r="E136" s="42"/>
      <c r="F136" s="44"/>
      <c r="G136" s="44"/>
      <c r="H136" s="41" t="str">
        <f aca="false">IF($C136="","",IF($K136&lt;&gt;"",ROUND(N($K136),2),IF(AND(N($F136)&lt;&gt;0,N($G136)&lt;&gt;0),ROUND(N($F136)*N($G136),2),"")))</f>
        <v/>
      </c>
      <c r="I136" s="44"/>
      <c r="J136" s="43"/>
      <c r="K136" s="44"/>
    </row>
    <row r="137" customFormat="false" ht="13.5" hidden="false" customHeight="false" outlineLevel="0" collapsed="false">
      <c r="A137" s="9" t="str">
        <f aca="false">IF($C137="","",ROW()-3)</f>
        <v/>
      </c>
      <c r="B137" s="76"/>
      <c r="C137" s="43"/>
      <c r="D137" s="43"/>
      <c r="E137" s="42"/>
      <c r="F137" s="44"/>
      <c r="G137" s="44"/>
      <c r="H137" s="41" t="str">
        <f aca="false">IF($C137="","",IF($K137&lt;&gt;"",ROUND(N($K137),2),IF(AND(N($F137)&lt;&gt;0,N($G137)&lt;&gt;0),ROUND(N($F137)*N($G137),2),"")))</f>
        <v/>
      </c>
      <c r="I137" s="44"/>
      <c r="J137" s="43"/>
      <c r="K137" s="44"/>
    </row>
    <row r="138" customFormat="false" ht="13.5" hidden="false" customHeight="false" outlineLevel="0" collapsed="false">
      <c r="A138" s="9" t="str">
        <f aca="false">IF($C138="","",ROW()-3)</f>
        <v/>
      </c>
      <c r="B138" s="76"/>
      <c r="C138" s="43"/>
      <c r="D138" s="43"/>
      <c r="E138" s="42"/>
      <c r="F138" s="44"/>
      <c r="G138" s="44"/>
      <c r="H138" s="41" t="str">
        <f aca="false">IF($C138="","",IF($K138&lt;&gt;"",ROUND(N($K138),2),IF(AND(N($F138)&lt;&gt;0,N($G138)&lt;&gt;0),ROUND(N($F138)*N($G138),2),"")))</f>
        <v/>
      </c>
      <c r="I138" s="44"/>
      <c r="J138" s="43"/>
      <c r="K138" s="44"/>
    </row>
    <row r="139" customFormat="false" ht="13.5" hidden="false" customHeight="false" outlineLevel="0" collapsed="false">
      <c r="A139" s="9" t="str">
        <f aca="false">IF($C139="","",ROW()-3)</f>
        <v/>
      </c>
      <c r="B139" s="76"/>
      <c r="C139" s="43"/>
      <c r="D139" s="43"/>
      <c r="E139" s="42"/>
      <c r="F139" s="44"/>
      <c r="G139" s="44"/>
      <c r="H139" s="41" t="str">
        <f aca="false">IF($C139="","",IF($K139&lt;&gt;"",ROUND(N($K139),2),IF(AND(N($F139)&lt;&gt;0,N($G139)&lt;&gt;0),ROUND(N($F139)*N($G139),2),"")))</f>
        <v/>
      </c>
      <c r="I139" s="44"/>
      <c r="J139" s="43"/>
      <c r="K139" s="44"/>
    </row>
    <row r="140" customFormat="false" ht="13.5" hidden="false" customHeight="false" outlineLevel="0" collapsed="false">
      <c r="A140" s="9" t="str">
        <f aca="false">IF($C140="","",ROW()-3)</f>
        <v/>
      </c>
      <c r="B140" s="76"/>
      <c r="C140" s="43"/>
      <c r="D140" s="43"/>
      <c r="E140" s="42"/>
      <c r="F140" s="44"/>
      <c r="G140" s="44"/>
      <c r="H140" s="41" t="str">
        <f aca="false">IF($C140="","",IF($K140&lt;&gt;"",ROUND(N($K140),2),IF(AND(N($F140)&lt;&gt;0,N($G140)&lt;&gt;0),ROUND(N($F140)*N($G140),2),"")))</f>
        <v/>
      </c>
      <c r="I140" s="44"/>
      <c r="J140" s="43"/>
      <c r="K140" s="44"/>
    </row>
    <row r="141" customFormat="false" ht="13.5" hidden="false" customHeight="false" outlineLevel="0" collapsed="false">
      <c r="A141" s="9" t="str">
        <f aca="false">IF($C141="","",ROW()-3)</f>
        <v/>
      </c>
      <c r="B141" s="76"/>
      <c r="C141" s="43"/>
      <c r="D141" s="43"/>
      <c r="E141" s="42"/>
      <c r="F141" s="44"/>
      <c r="G141" s="44"/>
      <c r="H141" s="41" t="str">
        <f aca="false">IF($C141="","",IF($K141&lt;&gt;"",ROUND(N($K141),2),IF(AND(N($F141)&lt;&gt;0,N($G141)&lt;&gt;0),ROUND(N($F141)*N($G141),2),"")))</f>
        <v/>
      </c>
      <c r="I141" s="44"/>
      <c r="J141" s="43"/>
      <c r="K141" s="44"/>
    </row>
    <row r="142" customFormat="false" ht="13.5" hidden="false" customHeight="false" outlineLevel="0" collapsed="false">
      <c r="A142" s="9" t="str">
        <f aca="false">IF($C142="","",ROW()-3)</f>
        <v/>
      </c>
      <c r="B142" s="76"/>
      <c r="C142" s="43"/>
      <c r="D142" s="43"/>
      <c r="E142" s="42"/>
      <c r="F142" s="44"/>
      <c r="G142" s="44"/>
      <c r="H142" s="41" t="str">
        <f aca="false">IF($C142="","",IF($K142&lt;&gt;"",ROUND(N($K142),2),IF(AND(N($F142)&lt;&gt;0,N($G142)&lt;&gt;0),ROUND(N($F142)*N($G142),2),"")))</f>
        <v/>
      </c>
      <c r="I142" s="44"/>
      <c r="J142" s="43"/>
      <c r="K142" s="44"/>
    </row>
    <row r="143" customFormat="false" ht="13.5" hidden="false" customHeight="false" outlineLevel="0" collapsed="false">
      <c r="A143" s="9" t="str">
        <f aca="false">IF($C143="","",ROW()-3)</f>
        <v/>
      </c>
      <c r="B143" s="76"/>
      <c r="C143" s="43"/>
      <c r="D143" s="43"/>
      <c r="E143" s="42"/>
      <c r="F143" s="44"/>
      <c r="G143" s="44"/>
      <c r="H143" s="41" t="str">
        <f aca="false">IF($C143="","",IF($K143&lt;&gt;"",ROUND(N($K143),2),IF(AND(N($F143)&lt;&gt;0,N($G143)&lt;&gt;0),ROUND(N($F143)*N($G143),2),"")))</f>
        <v/>
      </c>
      <c r="I143" s="44"/>
      <c r="J143" s="43"/>
      <c r="K143" s="44"/>
    </row>
    <row r="144" customFormat="false" ht="13.5" hidden="false" customHeight="false" outlineLevel="0" collapsed="false">
      <c r="A144" s="9" t="str">
        <f aca="false">IF($C144="","",ROW()-3)</f>
        <v/>
      </c>
      <c r="B144" s="76"/>
      <c r="C144" s="43"/>
      <c r="D144" s="43"/>
      <c r="E144" s="42"/>
      <c r="F144" s="44"/>
      <c r="G144" s="44"/>
      <c r="H144" s="41" t="str">
        <f aca="false">IF($C144="","",IF($K144&lt;&gt;"",ROUND(N($K144),2),IF(AND(N($F144)&lt;&gt;0,N($G144)&lt;&gt;0),ROUND(N($F144)*N($G144),2),"")))</f>
        <v/>
      </c>
      <c r="I144" s="44"/>
      <c r="J144" s="43"/>
      <c r="K144" s="44"/>
    </row>
    <row r="145" customFormat="false" ht="13.5" hidden="false" customHeight="false" outlineLevel="0" collapsed="false">
      <c r="A145" s="9" t="str">
        <f aca="false">IF($C145="","",ROW()-3)</f>
        <v/>
      </c>
      <c r="B145" s="76"/>
      <c r="C145" s="43"/>
      <c r="D145" s="43"/>
      <c r="E145" s="42"/>
      <c r="F145" s="44"/>
      <c r="G145" s="44"/>
      <c r="H145" s="41" t="str">
        <f aca="false">IF($C145="","",IF($K145&lt;&gt;"",ROUND(N($K145),2),IF(AND(N($F145)&lt;&gt;0,N($G145)&lt;&gt;0),ROUND(N($F145)*N($G145),2),"")))</f>
        <v/>
      </c>
      <c r="I145" s="44"/>
      <c r="J145" s="43"/>
      <c r="K145" s="44"/>
    </row>
    <row r="146" customFormat="false" ht="13.5" hidden="false" customHeight="false" outlineLevel="0" collapsed="false">
      <c r="A146" s="9" t="str">
        <f aca="false">IF($C146="","",ROW()-3)</f>
        <v/>
      </c>
      <c r="B146" s="76"/>
      <c r="C146" s="43"/>
      <c r="D146" s="43"/>
      <c r="E146" s="42"/>
      <c r="F146" s="44"/>
      <c r="G146" s="44"/>
      <c r="H146" s="41" t="str">
        <f aca="false">IF($C146="","",IF($K146&lt;&gt;"",ROUND(N($K146),2),IF(AND(N($F146)&lt;&gt;0,N($G146)&lt;&gt;0),ROUND(N($F146)*N($G146),2),"")))</f>
        <v/>
      </c>
      <c r="I146" s="44"/>
      <c r="J146" s="43"/>
      <c r="K146" s="44"/>
    </row>
    <row r="147" customFormat="false" ht="13.5" hidden="false" customHeight="false" outlineLevel="0" collapsed="false">
      <c r="A147" s="9" t="str">
        <f aca="false">IF($C147="","",ROW()-3)</f>
        <v/>
      </c>
      <c r="B147" s="76"/>
      <c r="C147" s="43"/>
      <c r="D147" s="43"/>
      <c r="E147" s="42"/>
      <c r="F147" s="44"/>
      <c r="G147" s="44"/>
      <c r="H147" s="41" t="str">
        <f aca="false">IF($C147="","",IF($K147&lt;&gt;"",ROUND(N($K147),2),IF(AND(N($F147)&lt;&gt;0,N($G147)&lt;&gt;0),ROUND(N($F147)*N($G147),2),"")))</f>
        <v/>
      </c>
      <c r="I147" s="44"/>
      <c r="J147" s="43"/>
      <c r="K147" s="44"/>
    </row>
    <row r="148" customFormat="false" ht="13.5" hidden="false" customHeight="false" outlineLevel="0" collapsed="false">
      <c r="A148" s="9" t="str">
        <f aca="false">IF($C148="","",ROW()-3)</f>
        <v/>
      </c>
      <c r="B148" s="76"/>
      <c r="C148" s="43"/>
      <c r="D148" s="43"/>
      <c r="E148" s="42"/>
      <c r="F148" s="44"/>
      <c r="G148" s="44"/>
      <c r="H148" s="41" t="str">
        <f aca="false">IF($C148="","",IF($K148&lt;&gt;"",ROUND(N($K148),2),IF(AND(N($F148)&lt;&gt;0,N($G148)&lt;&gt;0),ROUND(N($F148)*N($G148),2),"")))</f>
        <v/>
      </c>
      <c r="I148" s="44"/>
      <c r="J148" s="43"/>
      <c r="K148" s="44"/>
    </row>
    <row r="149" customFormat="false" ht="13.5" hidden="false" customHeight="false" outlineLevel="0" collapsed="false">
      <c r="A149" s="9" t="str">
        <f aca="false">IF($C149="","",ROW()-3)</f>
        <v/>
      </c>
      <c r="B149" s="76"/>
      <c r="C149" s="43"/>
      <c r="D149" s="43"/>
      <c r="E149" s="42"/>
      <c r="F149" s="44"/>
      <c r="G149" s="44"/>
      <c r="H149" s="41" t="str">
        <f aca="false">IF($C149="","",IF($K149&lt;&gt;"",ROUND(N($K149),2),IF(AND(N($F149)&lt;&gt;0,N($G149)&lt;&gt;0),ROUND(N($F149)*N($G149),2),"")))</f>
        <v/>
      </c>
      <c r="I149" s="44"/>
      <c r="J149" s="43"/>
      <c r="K149" s="44"/>
    </row>
    <row r="150" customFormat="false" ht="13.5" hidden="false" customHeight="false" outlineLevel="0" collapsed="false">
      <c r="A150" s="9" t="str">
        <f aca="false">IF($C150="","",ROW()-3)</f>
        <v/>
      </c>
      <c r="B150" s="76"/>
      <c r="C150" s="43"/>
      <c r="D150" s="43"/>
      <c r="E150" s="42"/>
      <c r="F150" s="44"/>
      <c r="G150" s="44"/>
      <c r="H150" s="41" t="str">
        <f aca="false">IF($C150="","",IF($K150&lt;&gt;"",ROUND(N($K150),2),IF(AND(N($F150)&lt;&gt;0,N($G150)&lt;&gt;0),ROUND(N($F150)*N($G150),2),"")))</f>
        <v/>
      </c>
      <c r="I150" s="44"/>
      <c r="J150" s="43"/>
      <c r="K150" s="44"/>
    </row>
    <row r="151" customFormat="false" ht="13.5" hidden="false" customHeight="false" outlineLevel="0" collapsed="false">
      <c r="A151" s="9" t="str">
        <f aca="false">IF($C151="","",ROW()-3)</f>
        <v/>
      </c>
      <c r="B151" s="76"/>
      <c r="C151" s="43"/>
      <c r="D151" s="43"/>
      <c r="E151" s="42"/>
      <c r="F151" s="44"/>
      <c r="G151" s="44"/>
      <c r="H151" s="41" t="str">
        <f aca="false">IF($C151="","",IF($K151&lt;&gt;"",ROUND(N($K151),2),IF(AND(N($F151)&lt;&gt;0,N($G151)&lt;&gt;0),ROUND(N($F151)*N($G151),2),"")))</f>
        <v/>
      </c>
      <c r="I151" s="44"/>
      <c r="J151" s="43"/>
      <c r="K151" s="44"/>
    </row>
    <row r="152" customFormat="false" ht="13.5" hidden="false" customHeight="false" outlineLevel="0" collapsed="false">
      <c r="A152" s="9" t="str">
        <f aca="false">IF($C152="","",ROW()-3)</f>
        <v/>
      </c>
      <c r="B152" s="76"/>
      <c r="C152" s="43"/>
      <c r="D152" s="43"/>
      <c r="E152" s="42"/>
      <c r="F152" s="44"/>
      <c r="G152" s="44"/>
      <c r="H152" s="41" t="str">
        <f aca="false">IF($C152="","",IF($K152&lt;&gt;"",ROUND(N($K152),2),IF(AND(N($F152)&lt;&gt;0,N($G152)&lt;&gt;0),ROUND(N($F152)*N($G152),2),"")))</f>
        <v/>
      </c>
      <c r="I152" s="44"/>
      <c r="J152" s="43"/>
      <c r="K152" s="44"/>
    </row>
    <row r="153" customFormat="false" ht="13.5" hidden="false" customHeight="false" outlineLevel="0" collapsed="false">
      <c r="A153" s="9" t="str">
        <f aca="false">IF($C153="","",ROW()-3)</f>
        <v/>
      </c>
      <c r="B153" s="76"/>
      <c r="C153" s="43"/>
      <c r="D153" s="43"/>
      <c r="E153" s="42"/>
      <c r="F153" s="44"/>
      <c r="G153" s="44"/>
      <c r="H153" s="41" t="str">
        <f aca="false">IF($C153="","",IF($K153&lt;&gt;"",ROUND(N($K153),2),IF(AND(N($F153)&lt;&gt;0,N($G153)&lt;&gt;0),ROUND(N($F153)*N($G153),2),"")))</f>
        <v/>
      </c>
      <c r="I153" s="44"/>
      <c r="J153" s="43"/>
      <c r="K153" s="44"/>
    </row>
    <row r="154" customFormat="false" ht="13.5" hidden="false" customHeight="false" outlineLevel="0" collapsed="false">
      <c r="A154" s="9" t="str">
        <f aca="false">IF($C154="","",ROW()-3)</f>
        <v/>
      </c>
      <c r="B154" s="76"/>
      <c r="C154" s="43"/>
      <c r="D154" s="43"/>
      <c r="E154" s="42"/>
      <c r="F154" s="44"/>
      <c r="G154" s="44"/>
      <c r="H154" s="41" t="str">
        <f aca="false">IF($C154="","",IF($K154&lt;&gt;"",ROUND(N($K154),2),IF(AND(N($F154)&lt;&gt;0,N($G154)&lt;&gt;0),ROUND(N($F154)*N($G154),2),"")))</f>
        <v/>
      </c>
      <c r="I154" s="44"/>
      <c r="J154" s="43"/>
      <c r="K154" s="44"/>
    </row>
    <row r="155" customFormat="false" ht="13.5" hidden="false" customHeight="false" outlineLevel="0" collapsed="false">
      <c r="A155" s="9" t="str">
        <f aca="false">IF($C155="","",ROW()-3)</f>
        <v/>
      </c>
      <c r="B155" s="76"/>
      <c r="C155" s="43"/>
      <c r="D155" s="43"/>
      <c r="E155" s="42"/>
      <c r="F155" s="44"/>
      <c r="G155" s="44"/>
      <c r="H155" s="41" t="str">
        <f aca="false">IF($C155="","",IF($K155&lt;&gt;"",ROUND(N($K155),2),IF(AND(N($F155)&lt;&gt;0,N($G155)&lt;&gt;0),ROUND(N($F155)*N($G155),2),"")))</f>
        <v/>
      </c>
      <c r="I155" s="44"/>
      <c r="J155" s="43"/>
      <c r="K155" s="44"/>
    </row>
    <row r="156" customFormat="false" ht="13.5" hidden="false" customHeight="false" outlineLevel="0" collapsed="false">
      <c r="A156" s="9" t="str">
        <f aca="false">IF($C156="","",ROW()-3)</f>
        <v/>
      </c>
      <c r="B156" s="76"/>
      <c r="C156" s="43"/>
      <c r="D156" s="43"/>
      <c r="E156" s="42"/>
      <c r="F156" s="44"/>
      <c r="G156" s="44"/>
      <c r="H156" s="41" t="str">
        <f aca="false">IF($C156="","",IF($K156&lt;&gt;"",ROUND(N($K156),2),IF(AND(N($F156)&lt;&gt;0,N($G156)&lt;&gt;0),ROUND(N($F156)*N($G156),2),"")))</f>
        <v/>
      </c>
      <c r="I156" s="44"/>
      <c r="J156" s="43"/>
      <c r="K156" s="44"/>
    </row>
    <row r="157" customFormat="false" ht="13.5" hidden="false" customHeight="false" outlineLevel="0" collapsed="false">
      <c r="A157" s="9" t="str">
        <f aca="false">IF($C157="","",ROW()-3)</f>
        <v/>
      </c>
      <c r="B157" s="76"/>
      <c r="C157" s="43"/>
      <c r="D157" s="43"/>
      <c r="E157" s="42"/>
      <c r="F157" s="44"/>
      <c r="G157" s="44"/>
      <c r="H157" s="41" t="str">
        <f aca="false">IF($C157="","",IF($K157&lt;&gt;"",ROUND(N($K157),2),IF(AND(N($F157)&lt;&gt;0,N($G157)&lt;&gt;0),ROUND(N($F157)*N($G157),2),"")))</f>
        <v/>
      </c>
      <c r="I157" s="44"/>
      <c r="J157" s="43"/>
      <c r="K157" s="44"/>
    </row>
    <row r="158" customFormat="false" ht="13.5" hidden="false" customHeight="false" outlineLevel="0" collapsed="false">
      <c r="A158" s="9" t="str">
        <f aca="false">IF($C158="","",ROW()-3)</f>
        <v/>
      </c>
      <c r="B158" s="76"/>
      <c r="C158" s="43"/>
      <c r="D158" s="43"/>
      <c r="E158" s="42"/>
      <c r="F158" s="44"/>
      <c r="G158" s="44"/>
      <c r="H158" s="41" t="str">
        <f aca="false">IF($C158="","",IF($K158&lt;&gt;"",ROUND(N($K158),2),IF(AND(N($F158)&lt;&gt;0,N($G158)&lt;&gt;0),ROUND(N($F158)*N($G158),2),"")))</f>
        <v/>
      </c>
      <c r="I158" s="44"/>
      <c r="J158" s="43"/>
      <c r="K158" s="44"/>
    </row>
    <row r="159" customFormat="false" ht="13.5" hidden="false" customHeight="false" outlineLevel="0" collapsed="false">
      <c r="A159" s="9" t="str">
        <f aca="false">IF($C159="","",ROW()-3)</f>
        <v/>
      </c>
      <c r="B159" s="76"/>
      <c r="C159" s="43"/>
      <c r="D159" s="43"/>
      <c r="E159" s="42"/>
      <c r="F159" s="44"/>
      <c r="G159" s="44"/>
      <c r="H159" s="41" t="str">
        <f aca="false">IF($C159="","",IF($K159&lt;&gt;"",ROUND(N($K159),2),IF(AND(N($F159)&lt;&gt;0,N($G159)&lt;&gt;0),ROUND(N($F159)*N($G159),2),"")))</f>
        <v/>
      </c>
      <c r="I159" s="44"/>
      <c r="J159" s="43"/>
      <c r="K159" s="44"/>
    </row>
    <row r="160" customFormat="false" ht="13.5" hidden="false" customHeight="false" outlineLevel="0" collapsed="false">
      <c r="A160" s="9" t="str">
        <f aca="false">IF($C160="","",ROW()-3)</f>
        <v/>
      </c>
      <c r="B160" s="76"/>
      <c r="C160" s="43"/>
      <c r="D160" s="43"/>
      <c r="E160" s="42"/>
      <c r="F160" s="44"/>
      <c r="G160" s="44"/>
      <c r="H160" s="41" t="str">
        <f aca="false">IF($C160="","",IF($K160&lt;&gt;"",ROUND(N($K160),2),IF(AND(N($F160)&lt;&gt;0,N($G160)&lt;&gt;0),ROUND(N($F160)*N($G160),2),"")))</f>
        <v/>
      </c>
      <c r="I160" s="44"/>
      <c r="J160" s="43"/>
      <c r="K160" s="44"/>
    </row>
    <row r="161" customFormat="false" ht="13.5" hidden="false" customHeight="false" outlineLevel="0" collapsed="false">
      <c r="A161" s="9" t="str">
        <f aca="false">IF($C161="","",ROW()-3)</f>
        <v/>
      </c>
      <c r="B161" s="76"/>
      <c r="C161" s="43"/>
      <c r="D161" s="43"/>
      <c r="E161" s="42"/>
      <c r="F161" s="44"/>
      <c r="G161" s="44"/>
      <c r="H161" s="41" t="str">
        <f aca="false">IF($C161="","",IF($K161&lt;&gt;"",ROUND(N($K161),2),IF(AND(N($F161)&lt;&gt;0,N($G161)&lt;&gt;0),ROUND(N($F161)*N($G161),2),"")))</f>
        <v/>
      </c>
      <c r="I161" s="44"/>
      <c r="J161" s="43"/>
      <c r="K161" s="44"/>
    </row>
    <row r="162" customFormat="false" ht="13.5" hidden="false" customHeight="false" outlineLevel="0" collapsed="false">
      <c r="A162" s="9" t="str">
        <f aca="false">IF($C162="","",ROW()-3)</f>
        <v/>
      </c>
      <c r="B162" s="76"/>
      <c r="C162" s="43"/>
      <c r="D162" s="43"/>
      <c r="E162" s="42"/>
      <c r="F162" s="44"/>
      <c r="G162" s="44"/>
      <c r="H162" s="41" t="str">
        <f aca="false">IF($C162="","",IF($K162&lt;&gt;"",ROUND(N($K162),2),IF(AND(N($F162)&lt;&gt;0,N($G162)&lt;&gt;0),ROUND(N($F162)*N($G162),2),"")))</f>
        <v/>
      </c>
      <c r="I162" s="44"/>
      <c r="J162" s="43"/>
      <c r="K162" s="44"/>
    </row>
    <row r="163" customFormat="false" ht="13.5" hidden="false" customHeight="false" outlineLevel="0" collapsed="false">
      <c r="A163" s="9" t="str">
        <f aca="false">IF($C163="","",ROW()-3)</f>
        <v/>
      </c>
      <c r="B163" s="76"/>
      <c r="C163" s="43"/>
      <c r="D163" s="43"/>
      <c r="E163" s="42"/>
      <c r="F163" s="44"/>
      <c r="G163" s="44"/>
      <c r="H163" s="41" t="str">
        <f aca="false">IF($C163="","",IF($K163&lt;&gt;"",ROUND(N($K163),2),IF(AND(N($F163)&lt;&gt;0,N($G163)&lt;&gt;0),ROUND(N($F163)*N($G163),2),"")))</f>
        <v/>
      </c>
      <c r="I163" s="44"/>
      <c r="J163" s="43"/>
      <c r="K163" s="44"/>
    </row>
    <row r="164" customFormat="false" ht="13.5" hidden="false" customHeight="false" outlineLevel="0" collapsed="false">
      <c r="A164" s="9" t="str">
        <f aca="false">IF($C164="","",ROW()-3)</f>
        <v/>
      </c>
      <c r="B164" s="76"/>
      <c r="C164" s="43"/>
      <c r="D164" s="43"/>
      <c r="E164" s="42"/>
      <c r="F164" s="44"/>
      <c r="G164" s="44"/>
      <c r="H164" s="41" t="str">
        <f aca="false">IF($C164="","",IF($K164&lt;&gt;"",ROUND(N($K164),2),IF(AND(N($F164)&lt;&gt;0,N($G164)&lt;&gt;0),ROUND(N($F164)*N($G164),2),"")))</f>
        <v/>
      </c>
      <c r="I164" s="44"/>
      <c r="J164" s="43"/>
      <c r="K164" s="44"/>
    </row>
    <row r="165" customFormat="false" ht="13.5" hidden="false" customHeight="false" outlineLevel="0" collapsed="false">
      <c r="A165" s="9" t="str">
        <f aca="false">IF($C165="","",ROW()-3)</f>
        <v/>
      </c>
      <c r="B165" s="76"/>
      <c r="C165" s="43"/>
      <c r="D165" s="43"/>
      <c r="E165" s="42"/>
      <c r="F165" s="44"/>
      <c r="G165" s="44"/>
      <c r="H165" s="41" t="str">
        <f aca="false">IF($C165="","",IF($K165&lt;&gt;"",ROUND(N($K165),2),IF(AND(N($F165)&lt;&gt;0,N($G165)&lt;&gt;0),ROUND(N($F165)*N($G165),2),"")))</f>
        <v/>
      </c>
      <c r="I165" s="44"/>
      <c r="J165" s="43"/>
      <c r="K165" s="44"/>
    </row>
    <row r="166" customFormat="false" ht="13.5" hidden="false" customHeight="false" outlineLevel="0" collapsed="false">
      <c r="A166" s="9" t="str">
        <f aca="false">IF($C166="","",ROW()-3)</f>
        <v/>
      </c>
      <c r="B166" s="76"/>
      <c r="C166" s="43"/>
      <c r="D166" s="43"/>
      <c r="E166" s="42"/>
      <c r="F166" s="44"/>
      <c r="G166" s="44"/>
      <c r="H166" s="41" t="str">
        <f aca="false">IF($C166="","",IF($K166&lt;&gt;"",ROUND(N($K166),2),IF(AND(N($F166)&lt;&gt;0,N($G166)&lt;&gt;0),ROUND(N($F166)*N($G166),2),"")))</f>
        <v/>
      </c>
      <c r="I166" s="44"/>
      <c r="J166" s="43"/>
      <c r="K166" s="44"/>
    </row>
    <row r="167" customFormat="false" ht="13.5" hidden="false" customHeight="false" outlineLevel="0" collapsed="false">
      <c r="A167" s="9" t="str">
        <f aca="false">IF($C167="","",ROW()-3)</f>
        <v/>
      </c>
      <c r="B167" s="76"/>
      <c r="C167" s="43"/>
      <c r="D167" s="43"/>
      <c r="E167" s="42"/>
      <c r="F167" s="44"/>
      <c r="G167" s="44"/>
      <c r="H167" s="41" t="str">
        <f aca="false">IF($C167="","",IF($K167&lt;&gt;"",ROUND(N($K167),2),IF(AND(N($F167)&lt;&gt;0,N($G167)&lt;&gt;0),ROUND(N($F167)*N($G167),2),"")))</f>
        <v/>
      </c>
      <c r="I167" s="44"/>
      <c r="J167" s="43"/>
      <c r="K167" s="44"/>
    </row>
    <row r="168" customFormat="false" ht="13.5" hidden="false" customHeight="false" outlineLevel="0" collapsed="false">
      <c r="A168" s="9" t="str">
        <f aca="false">IF($C168="","",ROW()-3)</f>
        <v/>
      </c>
      <c r="B168" s="76"/>
      <c r="C168" s="43"/>
      <c r="D168" s="43"/>
      <c r="E168" s="42"/>
      <c r="F168" s="44"/>
      <c r="G168" s="44"/>
      <c r="H168" s="41" t="str">
        <f aca="false">IF($C168="","",IF($K168&lt;&gt;"",ROUND(N($K168),2),IF(AND(N($F168)&lt;&gt;0,N($G168)&lt;&gt;0),ROUND(N($F168)*N($G168),2),"")))</f>
        <v/>
      </c>
      <c r="I168" s="44"/>
      <c r="J168" s="43"/>
      <c r="K168" s="44"/>
    </row>
    <row r="169" customFormat="false" ht="13.5" hidden="false" customHeight="false" outlineLevel="0" collapsed="false">
      <c r="A169" s="9" t="str">
        <f aca="false">IF($C169="","",ROW()-3)</f>
        <v/>
      </c>
      <c r="B169" s="76"/>
      <c r="C169" s="43"/>
      <c r="D169" s="43"/>
      <c r="E169" s="42"/>
      <c r="F169" s="44"/>
      <c r="G169" s="44"/>
      <c r="H169" s="41" t="str">
        <f aca="false">IF($C169="","",IF($K169&lt;&gt;"",ROUND(N($K169),2),IF(AND(N($F169)&lt;&gt;0,N($G169)&lt;&gt;0),ROUND(N($F169)*N($G169),2),"")))</f>
        <v/>
      </c>
      <c r="I169" s="44"/>
      <c r="J169" s="43"/>
      <c r="K169" s="44"/>
    </row>
    <row r="170" customFormat="false" ht="13.5" hidden="false" customHeight="false" outlineLevel="0" collapsed="false">
      <c r="A170" s="9" t="str">
        <f aca="false">IF($C170="","",ROW()-3)</f>
        <v/>
      </c>
      <c r="B170" s="76"/>
      <c r="C170" s="43"/>
      <c r="D170" s="43"/>
      <c r="E170" s="42"/>
      <c r="F170" s="44"/>
      <c r="G170" s="44"/>
      <c r="H170" s="41" t="str">
        <f aca="false">IF($C170="","",IF($K170&lt;&gt;"",ROUND(N($K170),2),IF(AND(N($F170)&lt;&gt;0,N($G170)&lt;&gt;0),ROUND(N($F170)*N($G170),2),"")))</f>
        <v/>
      </c>
      <c r="I170" s="44"/>
      <c r="J170" s="43"/>
      <c r="K170" s="44"/>
    </row>
    <row r="171" customFormat="false" ht="13.5" hidden="false" customHeight="false" outlineLevel="0" collapsed="false">
      <c r="A171" s="9" t="str">
        <f aca="false">IF($C171="","",ROW()-3)</f>
        <v/>
      </c>
      <c r="B171" s="76"/>
      <c r="C171" s="43"/>
      <c r="D171" s="43"/>
      <c r="E171" s="42"/>
      <c r="F171" s="44"/>
      <c r="G171" s="44"/>
      <c r="H171" s="41" t="str">
        <f aca="false">IF($C171="","",IF($K171&lt;&gt;"",ROUND(N($K171),2),IF(AND(N($F171)&lt;&gt;0,N($G171)&lt;&gt;0),ROUND(N($F171)*N($G171),2),"")))</f>
        <v/>
      </c>
      <c r="I171" s="44"/>
      <c r="J171" s="43"/>
      <c r="K171" s="44"/>
    </row>
    <row r="172" customFormat="false" ht="13.5" hidden="false" customHeight="false" outlineLevel="0" collapsed="false">
      <c r="A172" s="9" t="str">
        <f aca="false">IF($C172="","",ROW()-3)</f>
        <v/>
      </c>
      <c r="B172" s="76"/>
      <c r="C172" s="43"/>
      <c r="D172" s="43"/>
      <c r="E172" s="42"/>
      <c r="F172" s="44"/>
      <c r="G172" s="44"/>
      <c r="H172" s="41" t="str">
        <f aca="false">IF($C172="","",IF($K172&lt;&gt;"",ROUND(N($K172),2),IF(AND(N($F172)&lt;&gt;0,N($G172)&lt;&gt;0),ROUND(N($F172)*N($G172),2),"")))</f>
        <v/>
      </c>
      <c r="I172" s="44"/>
      <c r="J172" s="43"/>
      <c r="K172" s="44"/>
    </row>
    <row r="173" customFormat="false" ht="13.5" hidden="false" customHeight="false" outlineLevel="0" collapsed="false">
      <c r="A173" s="9" t="str">
        <f aca="false">IF($C173="","",ROW()-3)</f>
        <v/>
      </c>
      <c r="B173" s="76"/>
      <c r="C173" s="43"/>
      <c r="D173" s="43"/>
      <c r="E173" s="42"/>
      <c r="F173" s="44"/>
      <c r="G173" s="44"/>
      <c r="H173" s="41" t="str">
        <f aca="false">IF($C173="","",IF($K173&lt;&gt;"",ROUND(N($K173),2),IF(AND(N($F173)&lt;&gt;0,N($G173)&lt;&gt;0),ROUND(N($F173)*N($G173),2),"")))</f>
        <v/>
      </c>
      <c r="I173" s="44"/>
      <c r="J173" s="43"/>
      <c r="K173" s="44"/>
    </row>
    <row r="174" customFormat="false" ht="13.5" hidden="false" customHeight="false" outlineLevel="0" collapsed="false">
      <c r="A174" s="9" t="str">
        <f aca="false">IF($C174="","",ROW()-3)</f>
        <v/>
      </c>
      <c r="B174" s="76"/>
      <c r="C174" s="43"/>
      <c r="D174" s="43"/>
      <c r="E174" s="42"/>
      <c r="F174" s="44"/>
      <c r="G174" s="44"/>
      <c r="H174" s="41" t="str">
        <f aca="false">IF($C174="","",IF($K174&lt;&gt;"",ROUND(N($K174),2),IF(AND(N($F174)&lt;&gt;0,N($G174)&lt;&gt;0),ROUND(N($F174)*N($G174),2),"")))</f>
        <v/>
      </c>
      <c r="I174" s="44"/>
      <c r="J174" s="43"/>
      <c r="K174" s="44"/>
    </row>
    <row r="175" customFormat="false" ht="13.5" hidden="false" customHeight="false" outlineLevel="0" collapsed="false">
      <c r="A175" s="9" t="str">
        <f aca="false">IF($C175="","",ROW()-3)</f>
        <v/>
      </c>
      <c r="B175" s="76"/>
      <c r="C175" s="43"/>
      <c r="D175" s="43"/>
      <c r="E175" s="42"/>
      <c r="F175" s="44"/>
      <c r="G175" s="44"/>
      <c r="H175" s="41" t="str">
        <f aca="false">IF($C175="","",IF($K175&lt;&gt;"",ROUND(N($K175),2),IF(AND(N($F175)&lt;&gt;0,N($G175)&lt;&gt;0),ROUND(N($F175)*N($G175),2),"")))</f>
        <v/>
      </c>
      <c r="I175" s="44"/>
      <c r="J175" s="43"/>
      <c r="K175" s="44"/>
    </row>
    <row r="176" customFormat="false" ht="13.5" hidden="false" customHeight="false" outlineLevel="0" collapsed="false">
      <c r="A176" s="9" t="str">
        <f aca="false">IF($C176="","",ROW()-3)</f>
        <v/>
      </c>
      <c r="B176" s="76"/>
      <c r="C176" s="43"/>
      <c r="D176" s="43"/>
      <c r="E176" s="42"/>
      <c r="F176" s="44"/>
      <c r="G176" s="44"/>
      <c r="H176" s="41" t="str">
        <f aca="false">IF($C176="","",IF($K176&lt;&gt;"",ROUND(N($K176),2),IF(AND(N($F176)&lt;&gt;0,N($G176)&lt;&gt;0),ROUND(N($F176)*N($G176),2),"")))</f>
        <v/>
      </c>
      <c r="I176" s="44"/>
      <c r="J176" s="43"/>
      <c r="K176" s="44"/>
    </row>
    <row r="177" customFormat="false" ht="13.5" hidden="false" customHeight="false" outlineLevel="0" collapsed="false">
      <c r="A177" s="9" t="str">
        <f aca="false">IF($C177="","",ROW()-3)</f>
        <v/>
      </c>
      <c r="B177" s="76"/>
      <c r="C177" s="43"/>
      <c r="D177" s="43"/>
      <c r="E177" s="42"/>
      <c r="F177" s="44"/>
      <c r="G177" s="44"/>
      <c r="H177" s="41" t="str">
        <f aca="false">IF($C177="","",IF($K177&lt;&gt;"",ROUND(N($K177),2),IF(AND(N($F177)&lt;&gt;0,N($G177)&lt;&gt;0),ROUND(N($F177)*N($G177),2),"")))</f>
        <v/>
      </c>
      <c r="I177" s="44"/>
      <c r="J177" s="43"/>
      <c r="K177" s="44"/>
    </row>
    <row r="178" customFormat="false" ht="13.5" hidden="false" customHeight="false" outlineLevel="0" collapsed="false">
      <c r="A178" s="9" t="str">
        <f aca="false">IF($C178="","",ROW()-3)</f>
        <v/>
      </c>
      <c r="B178" s="76"/>
      <c r="C178" s="43"/>
      <c r="D178" s="43"/>
      <c r="E178" s="42"/>
      <c r="F178" s="44"/>
      <c r="G178" s="44"/>
      <c r="H178" s="41" t="str">
        <f aca="false">IF($C178="","",IF($K178&lt;&gt;"",ROUND(N($K178),2),IF(AND(N($F178)&lt;&gt;0,N($G178)&lt;&gt;0),ROUND(N($F178)*N($G178),2),"")))</f>
        <v/>
      </c>
      <c r="I178" s="44"/>
      <c r="J178" s="43"/>
      <c r="K178" s="44"/>
    </row>
    <row r="179" customFormat="false" ht="13.5" hidden="false" customHeight="false" outlineLevel="0" collapsed="false">
      <c r="A179" s="9" t="str">
        <f aca="false">IF($C179="","",ROW()-3)</f>
        <v/>
      </c>
      <c r="B179" s="76"/>
      <c r="C179" s="43"/>
      <c r="D179" s="43"/>
      <c r="E179" s="42"/>
      <c r="F179" s="44"/>
      <c r="G179" s="44"/>
      <c r="H179" s="41" t="str">
        <f aca="false">IF($C179="","",IF($K179&lt;&gt;"",ROUND(N($K179),2),IF(AND(N($F179)&lt;&gt;0,N($G179)&lt;&gt;0),ROUND(N($F179)*N($G179),2),"")))</f>
        <v/>
      </c>
      <c r="I179" s="44"/>
      <c r="J179" s="43"/>
      <c r="K179" s="44"/>
    </row>
    <row r="180" customFormat="false" ht="13.5" hidden="false" customHeight="false" outlineLevel="0" collapsed="false">
      <c r="A180" s="9" t="str">
        <f aca="false">IF($C180="","",ROW()-3)</f>
        <v/>
      </c>
      <c r="B180" s="76"/>
      <c r="C180" s="43"/>
      <c r="D180" s="43"/>
      <c r="E180" s="42"/>
      <c r="F180" s="44"/>
      <c r="G180" s="44"/>
      <c r="H180" s="41" t="str">
        <f aca="false">IF($C180="","",IF($K180&lt;&gt;"",ROUND(N($K180),2),IF(AND(N($F180)&lt;&gt;0,N($G180)&lt;&gt;0),ROUND(N($F180)*N($G180),2),"")))</f>
        <v/>
      </c>
      <c r="I180" s="44"/>
      <c r="J180" s="43"/>
      <c r="K180" s="44"/>
    </row>
    <row r="181" customFormat="false" ht="13.5" hidden="false" customHeight="false" outlineLevel="0" collapsed="false">
      <c r="A181" s="9" t="str">
        <f aca="false">IF($C181="","",ROW()-3)</f>
        <v/>
      </c>
      <c r="B181" s="76"/>
      <c r="C181" s="43"/>
      <c r="D181" s="43"/>
      <c r="E181" s="42"/>
      <c r="F181" s="44"/>
      <c r="G181" s="44"/>
      <c r="H181" s="41" t="str">
        <f aca="false">IF($C181="","",IF($K181&lt;&gt;"",ROUND(N($K181),2),IF(AND(N($F181)&lt;&gt;0,N($G181)&lt;&gt;0),ROUND(N($F181)*N($G181),2),"")))</f>
        <v/>
      </c>
      <c r="I181" s="44"/>
      <c r="J181" s="43"/>
      <c r="K181" s="44"/>
    </row>
    <row r="182" customFormat="false" ht="13.5" hidden="false" customHeight="false" outlineLevel="0" collapsed="false">
      <c r="A182" s="9" t="str">
        <f aca="false">IF($C182="","",ROW()-3)</f>
        <v/>
      </c>
      <c r="B182" s="76"/>
      <c r="C182" s="43"/>
      <c r="D182" s="43"/>
      <c r="E182" s="42"/>
      <c r="F182" s="44"/>
      <c r="G182" s="44"/>
      <c r="H182" s="41" t="str">
        <f aca="false">IF($C182="","",IF($K182&lt;&gt;"",ROUND(N($K182),2),IF(AND(N($F182)&lt;&gt;0,N($G182)&lt;&gt;0),ROUND(N($F182)*N($G182),2),"")))</f>
        <v/>
      </c>
      <c r="I182" s="44"/>
      <c r="J182" s="43"/>
      <c r="K182" s="44"/>
    </row>
    <row r="183" customFormat="false" ht="13.5" hidden="false" customHeight="false" outlineLevel="0" collapsed="false">
      <c r="A183" s="9" t="str">
        <f aca="false">IF($C183="","",ROW()-3)</f>
        <v/>
      </c>
      <c r="B183" s="76"/>
      <c r="C183" s="43"/>
      <c r="D183" s="43"/>
      <c r="E183" s="42"/>
      <c r="F183" s="44"/>
      <c r="G183" s="44"/>
      <c r="H183" s="41" t="str">
        <f aca="false">IF($C183="","",IF($K183&lt;&gt;"",ROUND(N($K183),2),IF(AND(N($F183)&lt;&gt;0,N($G183)&lt;&gt;0),ROUND(N($F183)*N($G183),2),"")))</f>
        <v/>
      </c>
      <c r="I183" s="44"/>
      <c r="J183" s="43"/>
      <c r="K183" s="44"/>
    </row>
    <row r="184" customFormat="false" ht="13.5" hidden="false" customHeight="false" outlineLevel="0" collapsed="false">
      <c r="A184" s="9" t="str">
        <f aca="false">IF($C184="","",ROW()-3)</f>
        <v/>
      </c>
      <c r="B184" s="76"/>
      <c r="C184" s="43"/>
      <c r="D184" s="43"/>
      <c r="E184" s="42"/>
      <c r="F184" s="44"/>
      <c r="G184" s="44"/>
      <c r="H184" s="41" t="str">
        <f aca="false">IF($C184="","",IF($K184&lt;&gt;"",ROUND(N($K184),2),IF(AND(N($F184)&lt;&gt;0,N($G184)&lt;&gt;0),ROUND(N($F184)*N($G184),2),"")))</f>
        <v/>
      </c>
      <c r="I184" s="44"/>
      <c r="J184" s="43"/>
      <c r="K184" s="44"/>
    </row>
    <row r="185" customFormat="false" ht="13.5" hidden="false" customHeight="false" outlineLevel="0" collapsed="false">
      <c r="A185" s="9" t="str">
        <f aca="false">IF($C185="","",ROW()-3)</f>
        <v/>
      </c>
      <c r="B185" s="76"/>
      <c r="C185" s="43"/>
      <c r="D185" s="43"/>
      <c r="E185" s="42"/>
      <c r="F185" s="44"/>
      <c r="G185" s="44"/>
      <c r="H185" s="41" t="str">
        <f aca="false">IF($C185="","",IF($K185&lt;&gt;"",ROUND(N($K185),2),IF(AND(N($F185)&lt;&gt;0,N($G185)&lt;&gt;0),ROUND(N($F185)*N($G185),2),"")))</f>
        <v/>
      </c>
      <c r="I185" s="44"/>
      <c r="J185" s="43"/>
      <c r="K185" s="44"/>
    </row>
    <row r="186" customFormat="false" ht="13.5" hidden="false" customHeight="false" outlineLevel="0" collapsed="false">
      <c r="A186" s="9" t="str">
        <f aca="false">IF($C186="","",ROW()-3)</f>
        <v/>
      </c>
      <c r="B186" s="76"/>
      <c r="C186" s="43"/>
      <c r="D186" s="43"/>
      <c r="E186" s="42"/>
      <c r="F186" s="44"/>
      <c r="G186" s="44"/>
      <c r="H186" s="41" t="str">
        <f aca="false">IF($C186="","",IF($K186&lt;&gt;"",ROUND(N($K186),2),IF(AND(N($F186)&lt;&gt;0,N($G186)&lt;&gt;0),ROUND(N($F186)*N($G186),2),"")))</f>
        <v/>
      </c>
      <c r="I186" s="44"/>
      <c r="J186" s="43"/>
      <c r="K186" s="44"/>
    </row>
    <row r="187" customFormat="false" ht="13.5" hidden="false" customHeight="false" outlineLevel="0" collapsed="false">
      <c r="A187" s="9" t="str">
        <f aca="false">IF($C187="","",ROW()-3)</f>
        <v/>
      </c>
      <c r="B187" s="76"/>
      <c r="C187" s="43"/>
      <c r="D187" s="43"/>
      <c r="E187" s="42"/>
      <c r="F187" s="44"/>
      <c r="G187" s="44"/>
      <c r="H187" s="41" t="str">
        <f aca="false">IF($C187="","",IF($K187&lt;&gt;"",ROUND(N($K187),2),IF(AND(N($F187)&lt;&gt;0,N($G187)&lt;&gt;0),ROUND(N($F187)*N($G187),2),"")))</f>
        <v/>
      </c>
      <c r="I187" s="44"/>
      <c r="J187" s="43"/>
      <c r="K187" s="44"/>
    </row>
    <row r="188" customFormat="false" ht="13.5" hidden="false" customHeight="false" outlineLevel="0" collapsed="false">
      <c r="A188" s="9" t="str">
        <f aca="false">IF($C188="","",ROW()-3)</f>
        <v/>
      </c>
      <c r="B188" s="76"/>
      <c r="C188" s="43"/>
      <c r="D188" s="43"/>
      <c r="E188" s="42"/>
      <c r="F188" s="44"/>
      <c r="G188" s="44"/>
      <c r="H188" s="41" t="str">
        <f aca="false">IF($C188="","",IF($K188&lt;&gt;"",ROUND(N($K188),2),IF(AND(N($F188)&lt;&gt;0,N($G188)&lt;&gt;0),ROUND(N($F188)*N($G188),2),"")))</f>
        <v/>
      </c>
      <c r="I188" s="44"/>
      <c r="J188" s="43"/>
      <c r="K188" s="44"/>
    </row>
    <row r="189" customFormat="false" ht="13.5" hidden="false" customHeight="false" outlineLevel="0" collapsed="false">
      <c r="A189" s="9" t="str">
        <f aca="false">IF($C189="","",ROW()-3)</f>
        <v/>
      </c>
      <c r="B189" s="76"/>
      <c r="C189" s="43"/>
      <c r="D189" s="43"/>
      <c r="E189" s="42"/>
      <c r="F189" s="44"/>
      <c r="G189" s="44"/>
      <c r="H189" s="41" t="str">
        <f aca="false">IF($C189="","",IF($K189&lt;&gt;"",ROUND(N($K189),2),IF(AND(N($F189)&lt;&gt;0,N($G189)&lt;&gt;0),ROUND(N($F189)*N($G189),2),"")))</f>
        <v/>
      </c>
      <c r="I189" s="44"/>
      <c r="J189" s="43"/>
      <c r="K189" s="44"/>
    </row>
    <row r="190" customFormat="false" ht="13.5" hidden="false" customHeight="false" outlineLevel="0" collapsed="false">
      <c r="A190" s="9" t="str">
        <f aca="false">IF($C190="","",ROW()-3)</f>
        <v/>
      </c>
      <c r="B190" s="76"/>
      <c r="C190" s="43"/>
      <c r="D190" s="43"/>
      <c r="E190" s="42"/>
      <c r="F190" s="44"/>
      <c r="G190" s="44"/>
      <c r="H190" s="41" t="str">
        <f aca="false">IF($C190="","",IF($K190&lt;&gt;"",ROUND(N($K190),2),IF(AND(N($F190)&lt;&gt;0,N($G190)&lt;&gt;0),ROUND(N($F190)*N($G190),2),"")))</f>
        <v/>
      </c>
      <c r="I190" s="44"/>
      <c r="J190" s="43"/>
      <c r="K190" s="44"/>
    </row>
    <row r="191" customFormat="false" ht="13.5" hidden="false" customHeight="false" outlineLevel="0" collapsed="false">
      <c r="A191" s="9" t="str">
        <f aca="false">IF($C191="","",ROW()-3)</f>
        <v/>
      </c>
      <c r="B191" s="76"/>
      <c r="C191" s="43"/>
      <c r="D191" s="43"/>
      <c r="E191" s="42"/>
      <c r="F191" s="44"/>
      <c r="G191" s="44"/>
      <c r="H191" s="41" t="str">
        <f aca="false">IF($C191="","",IF($K191&lt;&gt;"",ROUND(N($K191),2),IF(AND(N($F191)&lt;&gt;0,N($G191)&lt;&gt;0),ROUND(N($F191)*N($G191),2),"")))</f>
        <v/>
      </c>
      <c r="I191" s="44"/>
      <c r="J191" s="43"/>
      <c r="K191" s="44"/>
    </row>
    <row r="192" customFormat="false" ht="13.5" hidden="false" customHeight="false" outlineLevel="0" collapsed="false">
      <c r="A192" s="9" t="str">
        <f aca="false">IF($C192="","",ROW()-3)</f>
        <v/>
      </c>
      <c r="B192" s="76"/>
      <c r="C192" s="43"/>
      <c r="D192" s="43"/>
      <c r="E192" s="42"/>
      <c r="F192" s="44"/>
      <c r="G192" s="44"/>
      <c r="H192" s="41" t="str">
        <f aca="false">IF($C192="","",IF($K192&lt;&gt;"",ROUND(N($K192),2),IF(AND(N($F192)&lt;&gt;0,N($G192)&lt;&gt;0),ROUND(N($F192)*N($G192),2),"")))</f>
        <v/>
      </c>
      <c r="I192" s="44"/>
      <c r="J192" s="43"/>
      <c r="K192" s="44"/>
    </row>
    <row r="193" customFormat="false" ht="13.5" hidden="false" customHeight="false" outlineLevel="0" collapsed="false">
      <c r="A193" s="9" t="str">
        <f aca="false">IF($C193="","",ROW()-3)</f>
        <v/>
      </c>
      <c r="B193" s="76"/>
      <c r="C193" s="43"/>
      <c r="D193" s="43"/>
      <c r="E193" s="42"/>
      <c r="F193" s="44"/>
      <c r="G193" s="44"/>
      <c r="H193" s="41" t="str">
        <f aca="false">IF($C193="","",IF($K193&lt;&gt;"",ROUND(N($K193),2),IF(AND(N($F193)&lt;&gt;0,N($G193)&lt;&gt;0),ROUND(N($F193)*N($G193),2),"")))</f>
        <v/>
      </c>
      <c r="I193" s="44"/>
      <c r="J193" s="43"/>
      <c r="K193" s="44"/>
    </row>
    <row r="194" customFormat="false" ht="13.5" hidden="false" customHeight="false" outlineLevel="0" collapsed="false">
      <c r="A194" s="9" t="str">
        <f aca="false">IF($C194="","",ROW()-3)</f>
        <v/>
      </c>
      <c r="B194" s="76"/>
      <c r="C194" s="43"/>
      <c r="D194" s="43"/>
      <c r="E194" s="42"/>
      <c r="F194" s="44"/>
      <c r="G194" s="44"/>
      <c r="H194" s="41" t="str">
        <f aca="false">IF($C194="","",IF($K194&lt;&gt;"",ROUND(N($K194),2),IF(AND(N($F194)&lt;&gt;0,N($G194)&lt;&gt;0),ROUND(N($F194)*N($G194),2),"")))</f>
        <v/>
      </c>
      <c r="I194" s="44"/>
      <c r="J194" s="43"/>
      <c r="K194" s="44"/>
    </row>
    <row r="195" customFormat="false" ht="13.5" hidden="false" customHeight="false" outlineLevel="0" collapsed="false">
      <c r="A195" s="9" t="str">
        <f aca="false">IF($C195="","",ROW()-3)</f>
        <v/>
      </c>
      <c r="B195" s="76"/>
      <c r="C195" s="43"/>
      <c r="D195" s="43"/>
      <c r="E195" s="42"/>
      <c r="F195" s="44"/>
      <c r="G195" s="44"/>
      <c r="H195" s="41" t="str">
        <f aca="false">IF($C195="","",IF($K195&lt;&gt;"",ROUND(N($K195),2),IF(AND(N($F195)&lt;&gt;0,N($G195)&lt;&gt;0),ROUND(N($F195)*N($G195),2),"")))</f>
        <v/>
      </c>
      <c r="I195" s="44"/>
      <c r="J195" s="43"/>
      <c r="K195" s="44"/>
    </row>
    <row r="196" customFormat="false" ht="13.5" hidden="false" customHeight="false" outlineLevel="0" collapsed="false">
      <c r="A196" s="9" t="str">
        <f aca="false">IF($C196="","",ROW()-3)</f>
        <v/>
      </c>
      <c r="B196" s="76"/>
      <c r="C196" s="43"/>
      <c r="D196" s="43"/>
      <c r="E196" s="42"/>
      <c r="F196" s="44"/>
      <c r="G196" s="44"/>
      <c r="H196" s="41" t="str">
        <f aca="false">IF($C196="","",IF($K196&lt;&gt;"",ROUND(N($K196),2),IF(AND(N($F196)&lt;&gt;0,N($G196)&lt;&gt;0),ROUND(N($F196)*N($G196),2),"")))</f>
        <v/>
      </c>
      <c r="I196" s="44"/>
      <c r="J196" s="43"/>
      <c r="K196" s="44"/>
    </row>
    <row r="197" customFormat="false" ht="13.5" hidden="false" customHeight="false" outlineLevel="0" collapsed="false">
      <c r="A197" s="9" t="str">
        <f aca="false">IF($C197="","",ROW()-3)</f>
        <v/>
      </c>
      <c r="B197" s="76"/>
      <c r="C197" s="43"/>
      <c r="D197" s="43"/>
      <c r="E197" s="42"/>
      <c r="F197" s="44"/>
      <c r="G197" s="44"/>
      <c r="H197" s="41" t="str">
        <f aca="false">IF($C197="","",IF($K197&lt;&gt;"",ROUND(N($K197),2),IF(AND(N($F197)&lt;&gt;0,N($G197)&lt;&gt;0),ROUND(N($F197)*N($G197),2),"")))</f>
        <v/>
      </c>
      <c r="I197" s="44"/>
      <c r="J197" s="43"/>
      <c r="K197" s="44"/>
    </row>
    <row r="198" customFormat="false" ht="13.5" hidden="false" customHeight="false" outlineLevel="0" collapsed="false">
      <c r="A198" s="9" t="str">
        <f aca="false">IF($C198="","",ROW()-3)</f>
        <v/>
      </c>
      <c r="B198" s="76"/>
      <c r="C198" s="43"/>
      <c r="D198" s="43"/>
      <c r="E198" s="42"/>
      <c r="F198" s="44"/>
      <c r="G198" s="44"/>
      <c r="H198" s="41" t="str">
        <f aca="false">IF($C198="","",IF($K198&lt;&gt;"",ROUND(N($K198),2),IF(AND(N($F198)&lt;&gt;0,N($G198)&lt;&gt;0),ROUND(N($F198)*N($G198),2),"")))</f>
        <v/>
      </c>
      <c r="I198" s="44"/>
      <c r="J198" s="43"/>
      <c r="K198" s="44"/>
    </row>
    <row r="199" customFormat="false" ht="13.5" hidden="false" customHeight="false" outlineLevel="0" collapsed="false">
      <c r="A199" s="9" t="str">
        <f aca="false">IF($C199="","",ROW()-3)</f>
        <v/>
      </c>
      <c r="B199" s="76"/>
      <c r="C199" s="43"/>
      <c r="D199" s="43"/>
      <c r="E199" s="42"/>
      <c r="F199" s="44"/>
      <c r="G199" s="44"/>
      <c r="H199" s="41" t="str">
        <f aca="false">IF($C199="","",IF($K199&lt;&gt;"",ROUND(N($K199),2),IF(AND(N($F199)&lt;&gt;0,N($G199)&lt;&gt;0),ROUND(N($F199)*N($G199),2),"")))</f>
        <v/>
      </c>
      <c r="I199" s="44"/>
      <c r="J199" s="43"/>
      <c r="K199" s="44"/>
    </row>
    <row r="200" customFormat="false" ht="13.5" hidden="false" customHeight="false" outlineLevel="0" collapsed="false">
      <c r="A200" s="9" t="str">
        <f aca="false">IF($C200="","",ROW()-3)</f>
        <v/>
      </c>
      <c r="B200" s="76"/>
      <c r="C200" s="43"/>
      <c r="D200" s="43"/>
      <c r="E200" s="42"/>
      <c r="F200" s="44"/>
      <c r="G200" s="44"/>
      <c r="H200" s="41" t="str">
        <f aca="false">IF($C200="","",IF($K200&lt;&gt;"",ROUND(N($K200),2),IF(AND(N($F200)&lt;&gt;0,N($G200)&lt;&gt;0),ROUND(N($F200)*N($G200),2),"")))</f>
        <v/>
      </c>
      <c r="I200" s="44"/>
      <c r="J200" s="43"/>
      <c r="K200" s="44"/>
    </row>
    <row r="201" customFormat="false" ht="13.5" hidden="false" customHeight="false" outlineLevel="0" collapsed="false">
      <c r="A201" s="9" t="str">
        <f aca="false">IF($C201="","",ROW()-3)</f>
        <v/>
      </c>
      <c r="B201" s="76"/>
      <c r="C201" s="43"/>
      <c r="D201" s="43"/>
      <c r="E201" s="42"/>
      <c r="F201" s="44"/>
      <c r="G201" s="44"/>
      <c r="H201" s="41" t="str">
        <f aca="false">IF($C201="","",IF($K201&lt;&gt;"",ROUND(N($K201),2),IF(AND(N($F201)&lt;&gt;0,N($G201)&lt;&gt;0),ROUND(N($F201)*N($G201),2),"")))</f>
        <v/>
      </c>
      <c r="I201" s="44"/>
      <c r="J201" s="43"/>
      <c r="K201" s="44"/>
    </row>
    <row r="202" customFormat="false" ht="13.5" hidden="false" customHeight="false" outlineLevel="0" collapsed="false">
      <c r="A202" s="9" t="str">
        <f aca="false">IF($C202="","",ROW()-3)</f>
        <v/>
      </c>
      <c r="B202" s="76"/>
      <c r="C202" s="43"/>
      <c r="D202" s="43"/>
      <c r="E202" s="42"/>
      <c r="F202" s="44"/>
      <c r="G202" s="44"/>
      <c r="H202" s="41" t="str">
        <f aca="false">IF($C202="","",IF($K202&lt;&gt;"",ROUND(N($K202),2),IF(AND(N($F202)&lt;&gt;0,N($G202)&lt;&gt;0),ROUND(N($F202)*N($G202),2),"")))</f>
        <v/>
      </c>
      <c r="I202" s="44"/>
      <c r="J202" s="43"/>
      <c r="K202" s="44"/>
    </row>
    <row r="203" customFormat="false" ht="13.5" hidden="false" customHeight="false" outlineLevel="0" collapsed="false">
      <c r="A203" s="9" t="str">
        <f aca="false">IF($C203="","",ROW()-3)</f>
        <v/>
      </c>
      <c r="B203" s="76"/>
      <c r="C203" s="43"/>
      <c r="D203" s="43"/>
      <c r="E203" s="42"/>
      <c r="F203" s="44"/>
      <c r="G203" s="44"/>
      <c r="H203" s="41" t="str">
        <f aca="false">IF($C203="","",IF($K203&lt;&gt;"",ROUND(N($K203),2),IF(AND(N($F203)&lt;&gt;0,N($G203)&lt;&gt;0),ROUND(N($F203)*N($G203),2),"")))</f>
        <v/>
      </c>
      <c r="I203" s="44"/>
      <c r="J203" s="43"/>
      <c r="K203" s="44"/>
    </row>
    <row r="204" customFormat="false" ht="13.5" hidden="false" customHeight="false" outlineLevel="0" collapsed="false">
      <c r="A204" s="9" t="str">
        <f aca="false">IF($C204="","",ROW()-3)</f>
        <v/>
      </c>
      <c r="B204" s="76"/>
      <c r="C204" s="43"/>
      <c r="D204" s="43"/>
      <c r="E204" s="42"/>
      <c r="F204" s="44"/>
      <c r="G204" s="44"/>
      <c r="H204" s="41" t="str">
        <f aca="false">IF($C204="","",IF($K204&lt;&gt;"",ROUND(N($K204),2),IF(AND(N($F204)&lt;&gt;0,N($G204)&lt;&gt;0),ROUND(N($F204)*N($G204),2),"")))</f>
        <v/>
      </c>
      <c r="I204" s="44"/>
      <c r="J204" s="43"/>
      <c r="K204" s="44"/>
    </row>
    <row r="205" customFormat="false" ht="13.5" hidden="false" customHeight="false" outlineLevel="0" collapsed="false">
      <c r="A205" s="9" t="str">
        <f aca="false">IF($C205="","",ROW()-3)</f>
        <v/>
      </c>
      <c r="B205" s="76"/>
      <c r="C205" s="43"/>
      <c r="D205" s="43"/>
      <c r="E205" s="42"/>
      <c r="F205" s="44"/>
      <c r="G205" s="44"/>
      <c r="H205" s="41" t="str">
        <f aca="false">IF($C205="","",IF($K205&lt;&gt;"",ROUND(N($K205),2),IF(AND(N($F205)&lt;&gt;0,N($G205)&lt;&gt;0),ROUND(N($F205)*N($G205),2),"")))</f>
        <v/>
      </c>
      <c r="I205" s="44"/>
      <c r="J205" s="43"/>
      <c r="K205" s="44"/>
    </row>
    <row r="206" customFormat="false" ht="13.5" hidden="false" customHeight="false" outlineLevel="0" collapsed="false">
      <c r="A206" s="9" t="str">
        <f aca="false">IF($C206="","",ROW()-3)</f>
        <v/>
      </c>
      <c r="B206" s="76"/>
      <c r="C206" s="43"/>
      <c r="D206" s="43"/>
      <c r="E206" s="42"/>
      <c r="F206" s="44"/>
      <c r="G206" s="44"/>
      <c r="H206" s="41" t="str">
        <f aca="false">IF($C206="","",IF($K206&lt;&gt;"",ROUND(N($K206),2),IF(AND(N($F206)&lt;&gt;0,N($G206)&lt;&gt;0),ROUND(N($F206)*N($G206),2),"")))</f>
        <v/>
      </c>
      <c r="I206" s="44"/>
      <c r="J206" s="43"/>
      <c r="K206" s="44"/>
    </row>
    <row r="207" customFormat="false" ht="13.5" hidden="false" customHeight="false" outlineLevel="0" collapsed="false">
      <c r="A207" s="9" t="str">
        <f aca="false">IF($C207="","",ROW()-3)</f>
        <v/>
      </c>
      <c r="B207" s="76"/>
      <c r="C207" s="43"/>
      <c r="D207" s="43"/>
      <c r="E207" s="42"/>
      <c r="F207" s="44"/>
      <c r="G207" s="44"/>
      <c r="H207" s="41" t="str">
        <f aca="false">IF($C207="","",IF($K207&lt;&gt;"",ROUND(N($K207),2),IF(AND(N($F207)&lt;&gt;0,N($G207)&lt;&gt;0),ROUND(N($F207)*N($G207),2),"")))</f>
        <v/>
      </c>
      <c r="I207" s="44"/>
      <c r="J207" s="43"/>
      <c r="K207" s="44"/>
    </row>
    <row r="208" customFormat="false" ht="13.5" hidden="false" customHeight="false" outlineLevel="0" collapsed="false">
      <c r="A208" s="9" t="str">
        <f aca="false">IF($C208="","",ROW()-3)</f>
        <v/>
      </c>
      <c r="B208" s="76"/>
      <c r="C208" s="43"/>
      <c r="D208" s="43"/>
      <c r="E208" s="42"/>
      <c r="F208" s="44"/>
      <c r="G208" s="44"/>
      <c r="H208" s="41" t="str">
        <f aca="false">IF($C208="","",IF($K208&lt;&gt;"",ROUND(N($K208),2),IF(AND(N($F208)&lt;&gt;0,N($G208)&lt;&gt;0),ROUND(N($F208)*N($G208),2),"")))</f>
        <v/>
      </c>
      <c r="I208" s="44"/>
      <c r="J208" s="43"/>
      <c r="K208" s="44"/>
    </row>
    <row r="209" customFormat="false" ht="13.5" hidden="false" customHeight="false" outlineLevel="0" collapsed="false">
      <c r="A209" s="9" t="str">
        <f aca="false">IF($C209="","",ROW()-3)</f>
        <v/>
      </c>
      <c r="B209" s="76"/>
      <c r="C209" s="43"/>
      <c r="D209" s="43"/>
      <c r="E209" s="42"/>
      <c r="F209" s="44"/>
      <c r="G209" s="44"/>
      <c r="H209" s="41" t="str">
        <f aca="false">IF($C209="","",IF($K209&lt;&gt;"",ROUND(N($K209),2),IF(AND(N($F209)&lt;&gt;0,N($G209)&lt;&gt;0),ROUND(N($F209)*N($G209),2),"")))</f>
        <v/>
      </c>
      <c r="I209" s="44"/>
      <c r="J209" s="43"/>
      <c r="K209" s="44"/>
    </row>
    <row r="210" customFormat="false" ht="13.5" hidden="false" customHeight="false" outlineLevel="0" collapsed="false">
      <c r="A210" s="9" t="str">
        <f aca="false">IF($C210="","",ROW()-3)</f>
        <v/>
      </c>
      <c r="B210" s="76"/>
      <c r="C210" s="43"/>
      <c r="D210" s="43"/>
      <c r="E210" s="42"/>
      <c r="F210" s="44"/>
      <c r="G210" s="44"/>
      <c r="H210" s="41" t="str">
        <f aca="false">IF($C210="","",IF($K210&lt;&gt;"",ROUND(N($K210),2),IF(AND(N($F210)&lt;&gt;0,N($G210)&lt;&gt;0),ROUND(N($F210)*N($G210),2),"")))</f>
        <v/>
      </c>
      <c r="I210" s="44"/>
      <c r="J210" s="43"/>
      <c r="K210" s="44"/>
    </row>
    <row r="211" customFormat="false" ht="13.5" hidden="false" customHeight="false" outlineLevel="0" collapsed="false">
      <c r="A211" s="9" t="str">
        <f aca="false">IF($C211="","",ROW()-3)</f>
        <v/>
      </c>
      <c r="B211" s="76"/>
      <c r="C211" s="43"/>
      <c r="D211" s="43"/>
      <c r="E211" s="42"/>
      <c r="F211" s="44"/>
      <c r="G211" s="44"/>
      <c r="H211" s="41" t="str">
        <f aca="false">IF($C211="","",IF($K211&lt;&gt;"",ROUND(N($K211),2),IF(AND(N($F211)&lt;&gt;0,N($G211)&lt;&gt;0),ROUND(N($F211)*N($G211),2),"")))</f>
        <v/>
      </c>
      <c r="I211" s="44"/>
      <c r="J211" s="43"/>
      <c r="K211" s="44"/>
    </row>
    <row r="212" customFormat="false" ht="13.5" hidden="false" customHeight="false" outlineLevel="0" collapsed="false">
      <c r="A212" s="9" t="str">
        <f aca="false">IF($C212="","",ROW()-3)</f>
        <v/>
      </c>
      <c r="B212" s="76"/>
      <c r="C212" s="43"/>
      <c r="D212" s="43"/>
      <c r="E212" s="42"/>
      <c r="F212" s="44"/>
      <c r="G212" s="44"/>
      <c r="H212" s="41" t="str">
        <f aca="false">IF($C212="","",IF($K212&lt;&gt;"",ROUND(N($K212),2),IF(AND(N($F212)&lt;&gt;0,N($G212)&lt;&gt;0),ROUND(N($F212)*N($G212),2),"")))</f>
        <v/>
      </c>
      <c r="I212" s="44"/>
      <c r="J212" s="43"/>
      <c r="K212" s="44"/>
    </row>
    <row r="213" customFormat="false" ht="13.5" hidden="false" customHeight="false" outlineLevel="0" collapsed="false">
      <c r="A213" s="9" t="str">
        <f aca="false">IF($C213="","",ROW()-3)</f>
        <v/>
      </c>
      <c r="B213" s="76"/>
      <c r="C213" s="43"/>
      <c r="D213" s="43"/>
      <c r="E213" s="42"/>
      <c r="F213" s="44"/>
      <c r="G213" s="44"/>
      <c r="H213" s="41" t="str">
        <f aca="false">IF($C213="","",IF($K213&lt;&gt;"",ROUND(N($K213),2),IF(AND(N($F213)&lt;&gt;0,N($G213)&lt;&gt;0),ROUND(N($F213)*N($G213),2),"")))</f>
        <v/>
      </c>
      <c r="I213" s="44"/>
      <c r="J213" s="43"/>
      <c r="K213" s="44"/>
    </row>
    <row r="214" customFormat="false" ht="13.5" hidden="false" customHeight="false" outlineLevel="0" collapsed="false">
      <c r="A214" s="9" t="str">
        <f aca="false">IF($C214="","",ROW()-3)</f>
        <v/>
      </c>
      <c r="B214" s="76"/>
      <c r="C214" s="43"/>
      <c r="D214" s="43"/>
      <c r="E214" s="42"/>
      <c r="F214" s="44"/>
      <c r="G214" s="44"/>
      <c r="H214" s="41" t="str">
        <f aca="false">IF($C214="","",IF($K214&lt;&gt;"",ROUND(N($K214),2),IF(AND(N($F214)&lt;&gt;0,N($G214)&lt;&gt;0),ROUND(N($F214)*N($G214),2),"")))</f>
        <v/>
      </c>
      <c r="I214" s="44"/>
      <c r="J214" s="43"/>
      <c r="K214" s="44"/>
    </row>
    <row r="215" customFormat="false" ht="13.5" hidden="false" customHeight="false" outlineLevel="0" collapsed="false">
      <c r="A215" s="9" t="str">
        <f aca="false">IF($C215="","",ROW()-3)</f>
        <v/>
      </c>
      <c r="B215" s="76"/>
      <c r="C215" s="43"/>
      <c r="D215" s="43"/>
      <c r="E215" s="42"/>
      <c r="F215" s="44"/>
      <c r="G215" s="44"/>
      <c r="H215" s="41" t="str">
        <f aca="false">IF($C215="","",IF($K215&lt;&gt;"",ROUND(N($K215),2),IF(AND(N($F215)&lt;&gt;0,N($G215)&lt;&gt;0),ROUND(N($F215)*N($G215),2),"")))</f>
        <v/>
      </c>
      <c r="I215" s="44"/>
      <c r="J215" s="43"/>
      <c r="K215" s="44"/>
    </row>
    <row r="216" customFormat="false" ht="13.5" hidden="false" customHeight="false" outlineLevel="0" collapsed="false">
      <c r="A216" s="9" t="str">
        <f aca="false">IF($C216="","",ROW()-3)</f>
        <v/>
      </c>
      <c r="B216" s="76"/>
      <c r="C216" s="43"/>
      <c r="D216" s="43"/>
      <c r="E216" s="42"/>
      <c r="F216" s="44"/>
      <c r="G216" s="44"/>
      <c r="H216" s="41" t="str">
        <f aca="false">IF($C216="","",IF($K216&lt;&gt;"",ROUND(N($K216),2),IF(AND(N($F216)&lt;&gt;0,N($G216)&lt;&gt;0),ROUND(N($F216)*N($G216),2),"")))</f>
        <v/>
      </c>
      <c r="I216" s="44"/>
      <c r="J216" s="43"/>
      <c r="K216" s="44"/>
    </row>
    <row r="217" customFormat="false" ht="13.5" hidden="false" customHeight="false" outlineLevel="0" collapsed="false">
      <c r="A217" s="9" t="str">
        <f aca="false">IF($C217="","",ROW()-3)</f>
        <v/>
      </c>
      <c r="B217" s="76"/>
      <c r="C217" s="43"/>
      <c r="D217" s="43"/>
      <c r="E217" s="42"/>
      <c r="F217" s="44"/>
      <c r="G217" s="44"/>
      <c r="H217" s="41" t="str">
        <f aca="false">IF($C217="","",IF($K217&lt;&gt;"",ROUND(N($K217),2),IF(AND(N($F217)&lt;&gt;0,N($G217)&lt;&gt;0),ROUND(N($F217)*N($G217),2),"")))</f>
        <v/>
      </c>
      <c r="I217" s="44"/>
      <c r="J217" s="43"/>
      <c r="K217" s="44"/>
    </row>
    <row r="218" customFormat="false" ht="13.5" hidden="false" customHeight="false" outlineLevel="0" collapsed="false">
      <c r="A218" s="9" t="str">
        <f aca="false">IF($C218="","",ROW()-3)</f>
        <v/>
      </c>
      <c r="B218" s="76"/>
      <c r="C218" s="43"/>
      <c r="D218" s="43"/>
      <c r="E218" s="42"/>
      <c r="F218" s="44"/>
      <c r="G218" s="44"/>
      <c r="H218" s="41" t="str">
        <f aca="false">IF($C218="","",IF($K218&lt;&gt;"",ROUND(N($K218),2),IF(AND(N($F218)&lt;&gt;0,N($G218)&lt;&gt;0),ROUND(N($F218)*N($G218),2),"")))</f>
        <v/>
      </c>
      <c r="I218" s="44"/>
      <c r="J218" s="43"/>
      <c r="K218" s="44"/>
    </row>
    <row r="219" customFormat="false" ht="13.5" hidden="false" customHeight="false" outlineLevel="0" collapsed="false">
      <c r="A219" s="9" t="str">
        <f aca="false">IF($C219="","",ROW()-3)</f>
        <v/>
      </c>
      <c r="B219" s="76"/>
      <c r="C219" s="43"/>
      <c r="D219" s="43"/>
      <c r="E219" s="42"/>
      <c r="F219" s="44"/>
      <c r="G219" s="44"/>
      <c r="H219" s="41" t="str">
        <f aca="false">IF($C219="","",IF($K219&lt;&gt;"",ROUND(N($K219),2),IF(AND(N($F219)&lt;&gt;0,N($G219)&lt;&gt;0),ROUND(N($F219)*N($G219),2),"")))</f>
        <v/>
      </c>
      <c r="I219" s="44"/>
      <c r="J219" s="43"/>
      <c r="K219" s="44"/>
    </row>
    <row r="220" customFormat="false" ht="13.5" hidden="false" customHeight="false" outlineLevel="0" collapsed="false">
      <c r="A220" s="9" t="str">
        <f aca="false">IF($C220="","",ROW()-3)</f>
        <v/>
      </c>
      <c r="B220" s="76"/>
      <c r="C220" s="43"/>
      <c r="D220" s="43"/>
      <c r="E220" s="42"/>
      <c r="F220" s="44"/>
      <c r="G220" s="44"/>
      <c r="H220" s="41" t="str">
        <f aca="false">IF($C220="","",IF($K220&lt;&gt;"",ROUND(N($K220),2),IF(AND(N($F220)&lt;&gt;0,N($G220)&lt;&gt;0),ROUND(N($F220)*N($G220),2),"")))</f>
        <v/>
      </c>
      <c r="I220" s="44"/>
      <c r="J220" s="43"/>
      <c r="K220" s="44"/>
    </row>
    <row r="221" customFormat="false" ht="13.5" hidden="false" customHeight="false" outlineLevel="0" collapsed="false">
      <c r="A221" s="9" t="str">
        <f aca="false">IF($C221="","",ROW()-3)</f>
        <v/>
      </c>
      <c r="B221" s="76"/>
      <c r="C221" s="43"/>
      <c r="D221" s="43"/>
      <c r="E221" s="42"/>
      <c r="F221" s="44"/>
      <c r="G221" s="44"/>
      <c r="H221" s="41" t="str">
        <f aca="false">IF($C221="","",IF($K221&lt;&gt;"",ROUND(N($K221),2),IF(AND(N($F221)&lt;&gt;0,N($G221)&lt;&gt;0),ROUND(N($F221)*N($G221),2),"")))</f>
        <v/>
      </c>
      <c r="I221" s="44"/>
      <c r="J221" s="43"/>
      <c r="K221" s="44"/>
    </row>
    <row r="222" customFormat="false" ht="13.5" hidden="false" customHeight="false" outlineLevel="0" collapsed="false">
      <c r="A222" s="9" t="str">
        <f aca="false">IF($C222="","",ROW()-3)</f>
        <v/>
      </c>
      <c r="B222" s="76"/>
      <c r="C222" s="43"/>
      <c r="D222" s="43"/>
      <c r="E222" s="42"/>
      <c r="F222" s="44"/>
      <c r="G222" s="44"/>
      <c r="H222" s="41" t="str">
        <f aca="false">IF($C222="","",IF($K222&lt;&gt;"",ROUND(N($K222),2),IF(AND(N($F222)&lt;&gt;0,N($G222)&lt;&gt;0),ROUND(N($F222)*N($G222),2),"")))</f>
        <v/>
      </c>
      <c r="I222" s="44"/>
      <c r="J222" s="43"/>
      <c r="K222" s="44"/>
    </row>
    <row r="223" customFormat="false" ht="13.5" hidden="false" customHeight="false" outlineLevel="0" collapsed="false">
      <c r="A223" s="9" t="str">
        <f aca="false">IF($C223="","",ROW()-3)</f>
        <v/>
      </c>
      <c r="B223" s="76"/>
      <c r="C223" s="43"/>
      <c r="D223" s="43"/>
      <c r="E223" s="42"/>
      <c r="F223" s="44"/>
      <c r="G223" s="44"/>
      <c r="H223" s="41" t="str">
        <f aca="false">IF($C223="","",IF($K223&lt;&gt;"",ROUND(N($K223),2),IF(AND(N($F223)&lt;&gt;0,N($G223)&lt;&gt;0),ROUND(N($F223)*N($G223),2),"")))</f>
        <v/>
      </c>
      <c r="I223" s="44"/>
      <c r="J223" s="43"/>
      <c r="K223" s="44"/>
    </row>
    <row r="224" customFormat="false" ht="13.5" hidden="false" customHeight="false" outlineLevel="0" collapsed="false">
      <c r="A224" s="9" t="str">
        <f aca="false">IF($C224="","",ROW()-3)</f>
        <v/>
      </c>
      <c r="B224" s="76"/>
      <c r="C224" s="43"/>
      <c r="D224" s="43"/>
      <c r="E224" s="42"/>
      <c r="F224" s="44"/>
      <c r="G224" s="44"/>
      <c r="H224" s="41" t="str">
        <f aca="false">IF($C224="","",IF($K224&lt;&gt;"",ROUND(N($K224),2),IF(AND(N($F224)&lt;&gt;0,N($G224)&lt;&gt;0),ROUND(N($F224)*N($G224),2),"")))</f>
        <v/>
      </c>
      <c r="I224" s="44"/>
      <c r="J224" s="43"/>
      <c r="K224" s="44"/>
    </row>
    <row r="225" customFormat="false" ht="13.5" hidden="false" customHeight="false" outlineLevel="0" collapsed="false">
      <c r="A225" s="9" t="str">
        <f aca="false">IF($C225="","",ROW()-3)</f>
        <v/>
      </c>
      <c r="B225" s="76"/>
      <c r="C225" s="43"/>
      <c r="D225" s="43"/>
      <c r="E225" s="42"/>
      <c r="F225" s="44"/>
      <c r="G225" s="44"/>
      <c r="H225" s="41" t="str">
        <f aca="false">IF($C225="","",IF($K225&lt;&gt;"",ROUND(N($K225),2),IF(AND(N($F225)&lt;&gt;0,N($G225)&lt;&gt;0),ROUND(N($F225)*N($G225),2),"")))</f>
        <v/>
      </c>
      <c r="I225" s="44"/>
      <c r="J225" s="43"/>
      <c r="K225" s="44"/>
    </row>
    <row r="226" customFormat="false" ht="13.5" hidden="false" customHeight="false" outlineLevel="0" collapsed="false">
      <c r="A226" s="9" t="str">
        <f aca="false">IF($C226="","",ROW()-3)</f>
        <v/>
      </c>
      <c r="B226" s="76"/>
      <c r="C226" s="43"/>
      <c r="D226" s="43"/>
      <c r="E226" s="42"/>
      <c r="F226" s="44"/>
      <c r="G226" s="44"/>
      <c r="H226" s="41" t="str">
        <f aca="false">IF($C226="","",IF($K226&lt;&gt;"",ROUND(N($K226),2),IF(AND(N($F226)&lt;&gt;0,N($G226)&lt;&gt;0),ROUND(N($F226)*N($G226),2),"")))</f>
        <v/>
      </c>
      <c r="I226" s="44"/>
      <c r="J226" s="43"/>
      <c r="K226" s="44"/>
    </row>
    <row r="227" customFormat="false" ht="13.5" hidden="false" customHeight="false" outlineLevel="0" collapsed="false">
      <c r="A227" s="9" t="str">
        <f aca="false">IF($C227="","",ROW()-3)</f>
        <v/>
      </c>
      <c r="B227" s="76"/>
      <c r="C227" s="43"/>
      <c r="D227" s="43"/>
      <c r="E227" s="42"/>
      <c r="F227" s="44"/>
      <c r="G227" s="44"/>
      <c r="H227" s="41" t="str">
        <f aca="false">IF($C227="","",IF($K227&lt;&gt;"",ROUND(N($K227),2),IF(AND(N($F227)&lt;&gt;0,N($G227)&lt;&gt;0),ROUND(N($F227)*N($G227),2),"")))</f>
        <v/>
      </c>
      <c r="I227" s="44"/>
      <c r="J227" s="43"/>
      <c r="K227" s="44"/>
    </row>
    <row r="228" customFormat="false" ht="13.5" hidden="false" customHeight="false" outlineLevel="0" collapsed="false">
      <c r="A228" s="9" t="str">
        <f aca="false">IF($C228="","",ROW()-3)</f>
        <v/>
      </c>
      <c r="B228" s="76"/>
      <c r="C228" s="43"/>
      <c r="D228" s="43"/>
      <c r="E228" s="42"/>
      <c r="F228" s="44"/>
      <c r="G228" s="44"/>
      <c r="H228" s="41" t="str">
        <f aca="false">IF($C228="","",IF($K228&lt;&gt;"",ROUND(N($K228),2),IF(AND(N($F228)&lt;&gt;0,N($G228)&lt;&gt;0),ROUND(N($F228)*N($G228),2),"")))</f>
        <v/>
      </c>
      <c r="I228" s="44"/>
      <c r="J228" s="43"/>
      <c r="K228" s="44"/>
    </row>
    <row r="229" customFormat="false" ht="13.5" hidden="false" customHeight="false" outlineLevel="0" collapsed="false">
      <c r="A229" s="9" t="str">
        <f aca="false">IF($C229="","",ROW()-3)</f>
        <v/>
      </c>
      <c r="B229" s="76"/>
      <c r="C229" s="43"/>
      <c r="D229" s="43"/>
      <c r="E229" s="42"/>
      <c r="F229" s="44"/>
      <c r="G229" s="44"/>
      <c r="H229" s="41" t="str">
        <f aca="false">IF($C229="","",IF($K229&lt;&gt;"",ROUND(N($K229),2),IF(AND(N($F229)&lt;&gt;0,N($G229)&lt;&gt;0),ROUND(N($F229)*N($G229),2),"")))</f>
        <v/>
      </c>
      <c r="I229" s="44"/>
      <c r="J229" s="43"/>
      <c r="K229" s="44"/>
    </row>
    <row r="230" customFormat="false" ht="13.5" hidden="false" customHeight="false" outlineLevel="0" collapsed="false">
      <c r="A230" s="9" t="str">
        <f aca="false">IF($C230="","",ROW()-3)</f>
        <v/>
      </c>
      <c r="B230" s="76"/>
      <c r="C230" s="43"/>
      <c r="D230" s="43"/>
      <c r="E230" s="42"/>
      <c r="F230" s="44"/>
      <c r="G230" s="44"/>
      <c r="H230" s="41" t="str">
        <f aca="false">IF($C230="","",IF($K230&lt;&gt;"",ROUND(N($K230),2),IF(AND(N($F230)&lt;&gt;0,N($G230)&lt;&gt;0),ROUND(N($F230)*N($G230),2),"")))</f>
        <v/>
      </c>
      <c r="I230" s="44"/>
      <c r="J230" s="43"/>
      <c r="K230" s="44"/>
    </row>
    <row r="231" customFormat="false" ht="13.5" hidden="false" customHeight="false" outlineLevel="0" collapsed="false">
      <c r="A231" s="9" t="str">
        <f aca="false">IF($C231="","",ROW()-3)</f>
        <v/>
      </c>
      <c r="B231" s="76"/>
      <c r="C231" s="43"/>
      <c r="D231" s="43"/>
      <c r="E231" s="42"/>
      <c r="F231" s="44"/>
      <c r="G231" s="44"/>
      <c r="H231" s="41" t="str">
        <f aca="false">IF($C231="","",IF($K231&lt;&gt;"",ROUND(N($K231),2),IF(AND(N($F231)&lt;&gt;0,N($G231)&lt;&gt;0),ROUND(N($F231)*N($G231),2),"")))</f>
        <v/>
      </c>
      <c r="I231" s="44"/>
      <c r="J231" s="43"/>
      <c r="K231" s="44"/>
    </row>
    <row r="232" customFormat="false" ht="13.5" hidden="false" customHeight="false" outlineLevel="0" collapsed="false">
      <c r="A232" s="9" t="str">
        <f aca="false">IF($C232="","",ROW()-3)</f>
        <v/>
      </c>
      <c r="B232" s="76"/>
      <c r="C232" s="43"/>
      <c r="D232" s="43"/>
      <c r="E232" s="42"/>
      <c r="F232" s="44"/>
      <c r="G232" s="44"/>
      <c r="H232" s="41" t="str">
        <f aca="false">IF($C232="","",IF($K232&lt;&gt;"",ROUND(N($K232),2),IF(AND(N($F232)&lt;&gt;0,N($G232)&lt;&gt;0),ROUND(N($F232)*N($G232),2),"")))</f>
        <v/>
      </c>
      <c r="I232" s="44"/>
      <c r="J232" s="43"/>
      <c r="K232" s="44"/>
    </row>
    <row r="233" customFormat="false" ht="13.5" hidden="false" customHeight="false" outlineLevel="0" collapsed="false">
      <c r="A233" s="9" t="str">
        <f aca="false">IF($C233="","",ROW()-3)</f>
        <v/>
      </c>
      <c r="B233" s="76"/>
      <c r="C233" s="43"/>
      <c r="D233" s="43"/>
      <c r="E233" s="42"/>
      <c r="F233" s="44"/>
      <c r="G233" s="44"/>
      <c r="H233" s="41" t="str">
        <f aca="false">IF($C233="","",IF($K233&lt;&gt;"",ROUND(N($K233),2),IF(AND(N($F233)&lt;&gt;0,N($G233)&lt;&gt;0),ROUND(N($F233)*N($G233),2),"")))</f>
        <v/>
      </c>
      <c r="I233" s="44"/>
      <c r="J233" s="43"/>
      <c r="K233" s="44"/>
    </row>
    <row r="234" customFormat="false" ht="13.5" hidden="false" customHeight="false" outlineLevel="0" collapsed="false">
      <c r="A234" s="9" t="str">
        <f aca="false">IF($C234="","",ROW()-3)</f>
        <v/>
      </c>
      <c r="B234" s="76"/>
      <c r="C234" s="43"/>
      <c r="D234" s="43"/>
      <c r="E234" s="42"/>
      <c r="F234" s="44"/>
      <c r="G234" s="44"/>
      <c r="H234" s="41" t="str">
        <f aca="false">IF($C234="","",IF($K234&lt;&gt;"",ROUND(N($K234),2),IF(AND(N($F234)&lt;&gt;0,N($G234)&lt;&gt;0),ROUND(N($F234)*N($G234),2),"")))</f>
        <v/>
      </c>
      <c r="I234" s="44"/>
      <c r="J234" s="43"/>
      <c r="K234" s="44"/>
    </row>
    <row r="235" customFormat="false" ht="13.5" hidden="false" customHeight="false" outlineLevel="0" collapsed="false">
      <c r="A235" s="9" t="str">
        <f aca="false">IF($C235="","",ROW()-3)</f>
        <v/>
      </c>
      <c r="B235" s="76"/>
      <c r="C235" s="43"/>
      <c r="D235" s="43"/>
      <c r="E235" s="42"/>
      <c r="F235" s="44"/>
      <c r="G235" s="44"/>
      <c r="H235" s="41" t="str">
        <f aca="false">IF($C235="","",IF($K235&lt;&gt;"",ROUND(N($K235),2),IF(AND(N($F235)&lt;&gt;0,N($G235)&lt;&gt;0),ROUND(N($F235)*N($G235),2),"")))</f>
        <v/>
      </c>
      <c r="I235" s="44"/>
      <c r="J235" s="43"/>
      <c r="K235" s="44"/>
    </row>
    <row r="236" customFormat="false" ht="13.5" hidden="false" customHeight="false" outlineLevel="0" collapsed="false">
      <c r="A236" s="9" t="str">
        <f aca="false">IF($C236="","",ROW()-3)</f>
        <v/>
      </c>
      <c r="B236" s="76"/>
      <c r="C236" s="43"/>
      <c r="D236" s="43"/>
      <c r="E236" s="42"/>
      <c r="F236" s="44"/>
      <c r="G236" s="44"/>
      <c r="H236" s="41" t="str">
        <f aca="false">IF($C236="","",IF($K236&lt;&gt;"",ROUND(N($K236),2),IF(AND(N($F236)&lt;&gt;0,N($G236)&lt;&gt;0),ROUND(N($F236)*N($G236),2),"")))</f>
        <v/>
      </c>
      <c r="I236" s="44"/>
      <c r="J236" s="43"/>
      <c r="K236" s="44"/>
    </row>
    <row r="237" customFormat="false" ht="13.5" hidden="false" customHeight="false" outlineLevel="0" collapsed="false">
      <c r="A237" s="9" t="str">
        <f aca="false">IF($C237="","",ROW()-3)</f>
        <v/>
      </c>
      <c r="B237" s="76"/>
      <c r="C237" s="43"/>
      <c r="D237" s="43"/>
      <c r="E237" s="42"/>
      <c r="F237" s="44"/>
      <c r="G237" s="44"/>
      <c r="H237" s="41" t="str">
        <f aca="false">IF($C237="","",IF($K237&lt;&gt;"",ROUND(N($K237),2),IF(AND(N($F237)&lt;&gt;0,N($G237)&lt;&gt;0),ROUND(N($F237)*N($G237),2),"")))</f>
        <v/>
      </c>
      <c r="I237" s="44"/>
      <c r="J237" s="43"/>
      <c r="K237" s="44"/>
    </row>
    <row r="238" customFormat="false" ht="13.5" hidden="false" customHeight="false" outlineLevel="0" collapsed="false">
      <c r="A238" s="9" t="str">
        <f aca="false">IF($C238="","",ROW()-3)</f>
        <v/>
      </c>
      <c r="B238" s="76"/>
      <c r="C238" s="43"/>
      <c r="D238" s="43"/>
      <c r="E238" s="42"/>
      <c r="F238" s="44"/>
      <c r="G238" s="44"/>
      <c r="H238" s="41" t="str">
        <f aca="false">IF($C238="","",IF($K238&lt;&gt;"",ROUND(N($K238),2),IF(AND(N($F238)&lt;&gt;0,N($G238)&lt;&gt;0),ROUND(N($F238)*N($G238),2),"")))</f>
        <v/>
      </c>
      <c r="I238" s="44"/>
      <c r="J238" s="43"/>
      <c r="K238" s="44"/>
    </row>
    <row r="239" customFormat="false" ht="13.5" hidden="false" customHeight="false" outlineLevel="0" collapsed="false">
      <c r="A239" s="9" t="str">
        <f aca="false">IF($C239="","",ROW()-3)</f>
        <v/>
      </c>
      <c r="B239" s="76"/>
      <c r="C239" s="43"/>
      <c r="D239" s="43"/>
      <c r="E239" s="42"/>
      <c r="F239" s="44"/>
      <c r="G239" s="44"/>
      <c r="H239" s="41" t="str">
        <f aca="false">IF($C239="","",IF($K239&lt;&gt;"",ROUND(N($K239),2),IF(AND(N($F239)&lt;&gt;0,N($G239)&lt;&gt;0),ROUND(N($F239)*N($G239),2),"")))</f>
        <v/>
      </c>
      <c r="I239" s="44"/>
      <c r="J239" s="43"/>
      <c r="K239" s="44"/>
    </row>
    <row r="240" customFormat="false" ht="13.5" hidden="false" customHeight="false" outlineLevel="0" collapsed="false">
      <c r="A240" s="9" t="str">
        <f aca="false">IF($C240="","",ROW()-3)</f>
        <v/>
      </c>
      <c r="B240" s="76"/>
      <c r="C240" s="43"/>
      <c r="D240" s="43"/>
      <c r="E240" s="42"/>
      <c r="F240" s="44"/>
      <c r="G240" s="44"/>
      <c r="H240" s="41" t="str">
        <f aca="false">IF($C240="","",IF($K240&lt;&gt;"",ROUND(N($K240),2),IF(AND(N($F240)&lt;&gt;0,N($G240)&lt;&gt;0),ROUND(N($F240)*N($G240),2),"")))</f>
        <v/>
      </c>
      <c r="I240" s="44"/>
      <c r="J240" s="43"/>
      <c r="K240" s="44"/>
    </row>
    <row r="241" customFormat="false" ht="13.5" hidden="false" customHeight="false" outlineLevel="0" collapsed="false">
      <c r="A241" s="9" t="str">
        <f aca="false">IF($C241="","",ROW()-3)</f>
        <v/>
      </c>
      <c r="B241" s="76"/>
      <c r="C241" s="43"/>
      <c r="D241" s="43"/>
      <c r="E241" s="42"/>
      <c r="F241" s="44"/>
      <c r="G241" s="44"/>
      <c r="H241" s="41" t="str">
        <f aca="false">IF($C241="","",IF($K241&lt;&gt;"",ROUND(N($K241),2),IF(AND(N($F241)&lt;&gt;0,N($G241)&lt;&gt;0),ROUND(N($F241)*N($G241),2),"")))</f>
        <v/>
      </c>
      <c r="I241" s="44"/>
      <c r="J241" s="43"/>
      <c r="K241" s="44"/>
    </row>
    <row r="242" customFormat="false" ht="13.5" hidden="false" customHeight="false" outlineLevel="0" collapsed="false">
      <c r="A242" s="9" t="str">
        <f aca="false">IF($C242="","",ROW()-3)</f>
        <v/>
      </c>
      <c r="B242" s="76"/>
      <c r="C242" s="43"/>
      <c r="D242" s="43"/>
      <c r="E242" s="42"/>
      <c r="F242" s="44"/>
      <c r="G242" s="44"/>
      <c r="H242" s="41" t="str">
        <f aca="false">IF($C242="","",IF($K242&lt;&gt;"",ROUND(N($K242),2),IF(AND(N($F242)&lt;&gt;0,N($G242)&lt;&gt;0),ROUND(N($F242)*N($G242),2),"")))</f>
        <v/>
      </c>
      <c r="I242" s="44"/>
      <c r="J242" s="43"/>
      <c r="K242" s="44"/>
    </row>
    <row r="243" customFormat="false" ht="13.5" hidden="false" customHeight="false" outlineLevel="0" collapsed="false">
      <c r="A243" s="9" t="str">
        <f aca="false">IF($C243="","",ROW()-3)</f>
        <v/>
      </c>
      <c r="B243" s="76"/>
      <c r="C243" s="43"/>
      <c r="D243" s="43"/>
      <c r="E243" s="42"/>
      <c r="F243" s="44"/>
      <c r="G243" s="44"/>
      <c r="H243" s="41" t="str">
        <f aca="false">IF($C243="","",IF($K243&lt;&gt;"",ROUND(N($K243),2),IF(AND(N($F243)&lt;&gt;0,N($G243)&lt;&gt;0),ROUND(N($F243)*N($G243),2),"")))</f>
        <v/>
      </c>
      <c r="I243" s="44"/>
      <c r="J243" s="43"/>
      <c r="K243" s="44"/>
    </row>
    <row r="244" customFormat="false" ht="13.5" hidden="false" customHeight="false" outlineLevel="0" collapsed="false">
      <c r="A244" s="9" t="str">
        <f aca="false">IF($C244="","",ROW()-3)</f>
        <v/>
      </c>
      <c r="B244" s="76"/>
      <c r="C244" s="43"/>
      <c r="D244" s="43"/>
      <c r="E244" s="42"/>
      <c r="F244" s="44"/>
      <c r="G244" s="44"/>
      <c r="H244" s="41" t="str">
        <f aca="false">IF($C244="","",IF($K244&lt;&gt;"",ROUND(N($K244),2),IF(AND(N($F244)&lt;&gt;0,N($G244)&lt;&gt;0),ROUND(N($F244)*N($G244),2),"")))</f>
        <v/>
      </c>
      <c r="I244" s="44"/>
      <c r="J244" s="43"/>
      <c r="K244" s="44"/>
    </row>
    <row r="245" customFormat="false" ht="13.5" hidden="false" customHeight="false" outlineLevel="0" collapsed="false">
      <c r="A245" s="9" t="str">
        <f aca="false">IF($C245="","",ROW()-3)</f>
        <v/>
      </c>
      <c r="B245" s="76"/>
      <c r="C245" s="43"/>
      <c r="D245" s="43"/>
      <c r="E245" s="42"/>
      <c r="F245" s="44"/>
      <c r="G245" s="44"/>
      <c r="H245" s="41" t="str">
        <f aca="false">IF($C245="","",IF($K245&lt;&gt;"",ROUND(N($K245),2),IF(AND(N($F245)&lt;&gt;0,N($G245)&lt;&gt;0),ROUND(N($F245)*N($G245),2),"")))</f>
        <v/>
      </c>
      <c r="I245" s="44"/>
      <c r="J245" s="43"/>
      <c r="K245" s="44"/>
    </row>
    <row r="246" customFormat="false" ht="13.5" hidden="false" customHeight="false" outlineLevel="0" collapsed="false">
      <c r="A246" s="9" t="str">
        <f aca="false">IF($C246="","",ROW()-3)</f>
        <v/>
      </c>
      <c r="B246" s="76"/>
      <c r="C246" s="43"/>
      <c r="D246" s="43"/>
      <c r="E246" s="42"/>
      <c r="F246" s="44"/>
      <c r="G246" s="44"/>
      <c r="H246" s="41" t="str">
        <f aca="false">IF($C246="","",IF($K246&lt;&gt;"",ROUND(N($K246),2),IF(AND(N($F246)&lt;&gt;0,N($G246)&lt;&gt;0),ROUND(N($F246)*N($G246),2),"")))</f>
        <v/>
      </c>
      <c r="I246" s="44"/>
      <c r="J246" s="43"/>
      <c r="K246" s="44"/>
    </row>
    <row r="247" customFormat="false" ht="13.5" hidden="false" customHeight="false" outlineLevel="0" collapsed="false">
      <c r="A247" s="9" t="str">
        <f aca="false">IF($C247="","",ROW()-3)</f>
        <v/>
      </c>
      <c r="B247" s="76"/>
      <c r="C247" s="43"/>
      <c r="D247" s="43"/>
      <c r="E247" s="42"/>
      <c r="F247" s="44"/>
      <c r="G247" s="44"/>
      <c r="H247" s="41" t="str">
        <f aca="false">IF($C247="","",IF($K247&lt;&gt;"",ROUND(N($K247),2),IF(AND(N($F247)&lt;&gt;0,N($G247)&lt;&gt;0),ROUND(N($F247)*N($G247),2),"")))</f>
        <v/>
      </c>
      <c r="I247" s="44"/>
      <c r="J247" s="43"/>
      <c r="K247" s="44"/>
    </row>
    <row r="248" customFormat="false" ht="13.5" hidden="false" customHeight="false" outlineLevel="0" collapsed="false">
      <c r="A248" s="9" t="str">
        <f aca="false">IF($C248="","",ROW()-3)</f>
        <v/>
      </c>
      <c r="B248" s="76"/>
      <c r="C248" s="43"/>
      <c r="D248" s="43"/>
      <c r="E248" s="42"/>
      <c r="F248" s="44"/>
      <c r="G248" s="44"/>
      <c r="H248" s="41" t="str">
        <f aca="false">IF($C248="","",IF($K248&lt;&gt;"",ROUND(N($K248),2),IF(AND(N($F248)&lt;&gt;0,N($G248)&lt;&gt;0),ROUND(N($F248)*N($G248),2),"")))</f>
        <v/>
      </c>
      <c r="I248" s="44"/>
      <c r="J248" s="43"/>
      <c r="K248" s="44"/>
    </row>
    <row r="249" customFormat="false" ht="13.5" hidden="false" customHeight="false" outlineLevel="0" collapsed="false">
      <c r="A249" s="9" t="str">
        <f aca="false">IF($C249="","",ROW()-3)</f>
        <v/>
      </c>
      <c r="B249" s="76"/>
      <c r="C249" s="43"/>
      <c r="D249" s="43"/>
      <c r="E249" s="42"/>
      <c r="F249" s="44"/>
      <c r="G249" s="44"/>
      <c r="H249" s="41" t="str">
        <f aca="false">IF($C249="","",IF($K249&lt;&gt;"",ROUND(N($K249),2),IF(AND(N($F249)&lt;&gt;0,N($G249)&lt;&gt;0),ROUND(N($F249)*N($G249),2),"")))</f>
        <v/>
      </c>
      <c r="I249" s="44"/>
      <c r="J249" s="43"/>
      <c r="K249" s="44"/>
    </row>
    <row r="250" customFormat="false" ht="13.5" hidden="false" customHeight="false" outlineLevel="0" collapsed="false">
      <c r="A250" s="9" t="str">
        <f aca="false">IF($C250="","",ROW()-3)</f>
        <v/>
      </c>
      <c r="B250" s="76"/>
      <c r="C250" s="43"/>
      <c r="D250" s="43"/>
      <c r="E250" s="42"/>
      <c r="F250" s="44"/>
      <c r="G250" s="44"/>
      <c r="H250" s="41" t="str">
        <f aca="false">IF($C250="","",IF($K250&lt;&gt;"",ROUND(N($K250),2),IF(AND(N($F250)&lt;&gt;0,N($G250)&lt;&gt;0),ROUND(N($F250)*N($G250),2),"")))</f>
        <v/>
      </c>
      <c r="I250" s="44"/>
      <c r="J250" s="43"/>
      <c r="K250" s="44"/>
    </row>
    <row r="251" customFormat="false" ht="13.5" hidden="false" customHeight="false" outlineLevel="0" collapsed="false">
      <c r="A251" s="9" t="str">
        <f aca="false">IF($C251="","",ROW()-3)</f>
        <v/>
      </c>
      <c r="B251" s="76"/>
      <c r="C251" s="43"/>
      <c r="D251" s="43"/>
      <c r="E251" s="42"/>
      <c r="F251" s="44"/>
      <c r="G251" s="44"/>
      <c r="H251" s="41" t="str">
        <f aca="false">IF($C251="","",IF($K251&lt;&gt;"",ROUND(N($K251),2),IF(AND(N($F251)&lt;&gt;0,N($G251)&lt;&gt;0),ROUND(N($F251)*N($G251),2),"")))</f>
        <v/>
      </c>
      <c r="I251" s="44"/>
      <c r="J251" s="43"/>
      <c r="K251" s="44"/>
    </row>
    <row r="252" customFormat="false" ht="13.5" hidden="false" customHeight="false" outlineLevel="0" collapsed="false">
      <c r="A252" s="9" t="str">
        <f aca="false">IF($C252="","",ROW()-3)</f>
        <v/>
      </c>
      <c r="B252" s="76"/>
      <c r="C252" s="43"/>
      <c r="D252" s="43"/>
      <c r="E252" s="42"/>
      <c r="F252" s="44"/>
      <c r="G252" s="44"/>
      <c r="H252" s="41" t="str">
        <f aca="false">IF($C252="","",IF($K252&lt;&gt;"",ROUND(N($K252),2),IF(AND(N($F252)&lt;&gt;0,N($G252)&lt;&gt;0),ROUND(N($F252)*N($G252),2),"")))</f>
        <v/>
      </c>
      <c r="I252" s="44"/>
      <c r="J252" s="43"/>
      <c r="K252" s="44"/>
    </row>
    <row r="253" customFormat="false" ht="13.5" hidden="false" customHeight="false" outlineLevel="0" collapsed="false">
      <c r="A253" s="9" t="str">
        <f aca="false">IF($C253="","",ROW()-3)</f>
        <v/>
      </c>
      <c r="B253" s="76"/>
      <c r="C253" s="43"/>
      <c r="D253" s="43"/>
      <c r="E253" s="42"/>
      <c r="F253" s="44"/>
      <c r="G253" s="44"/>
      <c r="H253" s="41" t="str">
        <f aca="false">IF($C253="","",IF($K253&lt;&gt;"",ROUND(N($K253),2),IF(AND(N($F253)&lt;&gt;0,N($G253)&lt;&gt;0),ROUND(N($F253)*N($G253),2),"")))</f>
        <v/>
      </c>
      <c r="I253" s="44"/>
      <c r="J253" s="43"/>
      <c r="K253" s="44"/>
    </row>
    <row r="254" customFormat="false" ht="13.5" hidden="false" customHeight="false" outlineLevel="0" collapsed="false">
      <c r="A254" s="9" t="str">
        <f aca="false">IF($C254="","",ROW()-3)</f>
        <v/>
      </c>
      <c r="B254" s="76"/>
      <c r="C254" s="43"/>
      <c r="D254" s="43"/>
      <c r="E254" s="42"/>
      <c r="F254" s="44"/>
      <c r="G254" s="44"/>
      <c r="H254" s="41" t="str">
        <f aca="false">IF($C254="","",IF($K254&lt;&gt;"",ROUND(N($K254),2),IF(AND(N($F254)&lt;&gt;0,N($G254)&lt;&gt;0),ROUND(N($F254)*N($G254),2),"")))</f>
        <v/>
      </c>
      <c r="I254" s="44"/>
      <c r="J254" s="43"/>
      <c r="K254" s="44"/>
    </row>
    <row r="255" customFormat="false" ht="13.5" hidden="false" customHeight="false" outlineLevel="0" collapsed="false">
      <c r="A255" s="9" t="str">
        <f aca="false">IF($C255="","",ROW()-3)</f>
        <v/>
      </c>
      <c r="B255" s="76"/>
      <c r="C255" s="43"/>
      <c r="D255" s="43"/>
      <c r="E255" s="42"/>
      <c r="F255" s="44"/>
      <c r="G255" s="44"/>
      <c r="H255" s="41" t="str">
        <f aca="false">IF($C255="","",IF($K255&lt;&gt;"",ROUND(N($K255),2),IF(AND(N($F255)&lt;&gt;0,N($G255)&lt;&gt;0),ROUND(N($F255)*N($G255),2),"")))</f>
        <v/>
      </c>
      <c r="I255" s="44"/>
      <c r="J255" s="43"/>
      <c r="K255" s="44"/>
    </row>
    <row r="256" customFormat="false" ht="13.5" hidden="false" customHeight="false" outlineLevel="0" collapsed="false">
      <c r="A256" s="9" t="str">
        <f aca="false">IF($C256="","",ROW()-3)</f>
        <v/>
      </c>
      <c r="B256" s="76"/>
      <c r="C256" s="43"/>
      <c r="D256" s="43"/>
      <c r="E256" s="42"/>
      <c r="F256" s="44"/>
      <c r="G256" s="44"/>
      <c r="H256" s="41" t="str">
        <f aca="false">IF($C256="","",IF($K256&lt;&gt;"",ROUND(N($K256),2),IF(AND(N($F256)&lt;&gt;0,N($G256)&lt;&gt;0),ROUND(N($F256)*N($G256),2),"")))</f>
        <v/>
      </c>
      <c r="I256" s="44"/>
      <c r="J256" s="43"/>
      <c r="K256" s="44"/>
    </row>
    <row r="257" customFormat="false" ht="13.5" hidden="false" customHeight="false" outlineLevel="0" collapsed="false">
      <c r="A257" s="9" t="str">
        <f aca="false">IF($C257="","",ROW()-3)</f>
        <v/>
      </c>
      <c r="B257" s="76"/>
      <c r="C257" s="43"/>
      <c r="D257" s="43"/>
      <c r="E257" s="42"/>
      <c r="F257" s="44"/>
      <c r="G257" s="44"/>
      <c r="H257" s="41" t="str">
        <f aca="false">IF($C257="","",IF($K257&lt;&gt;"",ROUND(N($K257),2),IF(AND(N($F257)&lt;&gt;0,N($G257)&lt;&gt;0),ROUND(N($F257)*N($G257),2),"")))</f>
        <v/>
      </c>
      <c r="I257" s="44"/>
      <c r="J257" s="43"/>
      <c r="K257" s="44"/>
    </row>
    <row r="258" customFormat="false" ht="13.5" hidden="false" customHeight="false" outlineLevel="0" collapsed="false">
      <c r="A258" s="9" t="str">
        <f aca="false">IF($C258="","",ROW()-3)</f>
        <v/>
      </c>
      <c r="B258" s="76"/>
      <c r="C258" s="43"/>
      <c r="D258" s="43"/>
      <c r="E258" s="42"/>
      <c r="F258" s="44"/>
      <c r="G258" s="44"/>
      <c r="H258" s="41" t="str">
        <f aca="false">IF($C258="","",IF($K258&lt;&gt;"",ROUND(N($K258),2),IF(AND(N($F258)&lt;&gt;0,N($G258)&lt;&gt;0),ROUND(N($F258)*N($G258),2),"")))</f>
        <v/>
      </c>
      <c r="I258" s="44"/>
      <c r="J258" s="43"/>
      <c r="K258" s="44"/>
    </row>
    <row r="259" customFormat="false" ht="13.5" hidden="false" customHeight="false" outlineLevel="0" collapsed="false">
      <c r="A259" s="9" t="str">
        <f aca="false">IF($C259="","",ROW()-3)</f>
        <v/>
      </c>
      <c r="B259" s="76"/>
      <c r="C259" s="43"/>
      <c r="D259" s="43"/>
      <c r="E259" s="42"/>
      <c r="F259" s="44"/>
      <c r="G259" s="44"/>
      <c r="H259" s="41" t="str">
        <f aca="false">IF($C259="","",IF($K259&lt;&gt;"",ROUND(N($K259),2),IF(AND(N($F259)&lt;&gt;0,N($G259)&lt;&gt;0),ROUND(N($F259)*N($G259),2),"")))</f>
        <v/>
      </c>
      <c r="I259" s="44"/>
      <c r="J259" s="43"/>
      <c r="K259" s="44"/>
    </row>
    <row r="260" customFormat="false" ht="13.5" hidden="false" customHeight="false" outlineLevel="0" collapsed="false">
      <c r="A260" s="9" t="str">
        <f aca="false">IF($C260="","",ROW()-3)</f>
        <v/>
      </c>
      <c r="B260" s="76"/>
      <c r="C260" s="43"/>
      <c r="D260" s="43"/>
      <c r="E260" s="42"/>
      <c r="F260" s="44"/>
      <c r="G260" s="44"/>
      <c r="H260" s="41" t="str">
        <f aca="false">IF($C260="","",IF($K260&lt;&gt;"",ROUND(N($K260),2),IF(AND(N($F260)&lt;&gt;0,N($G260)&lt;&gt;0),ROUND(N($F260)*N($G260),2),"")))</f>
        <v/>
      </c>
      <c r="I260" s="44"/>
      <c r="J260" s="43"/>
      <c r="K260" s="44"/>
    </row>
    <row r="261" customFormat="false" ht="13.5" hidden="false" customHeight="false" outlineLevel="0" collapsed="false">
      <c r="A261" s="9" t="str">
        <f aca="false">IF($C261="","",ROW()-3)</f>
        <v/>
      </c>
      <c r="B261" s="76"/>
      <c r="C261" s="43"/>
      <c r="D261" s="43"/>
      <c r="E261" s="42"/>
      <c r="F261" s="44"/>
      <c r="G261" s="44"/>
      <c r="H261" s="41" t="str">
        <f aca="false">IF($C261="","",IF($K261&lt;&gt;"",ROUND(N($K261),2),IF(AND(N($F261)&lt;&gt;0,N($G261)&lt;&gt;0),ROUND(N($F261)*N($G261),2),"")))</f>
        <v/>
      </c>
      <c r="I261" s="44"/>
      <c r="J261" s="43"/>
      <c r="K261" s="44"/>
    </row>
    <row r="262" customFormat="false" ht="13.5" hidden="false" customHeight="false" outlineLevel="0" collapsed="false">
      <c r="A262" s="9" t="str">
        <f aca="false">IF($C262="","",ROW()-3)</f>
        <v/>
      </c>
      <c r="B262" s="76"/>
      <c r="C262" s="43"/>
      <c r="D262" s="43"/>
      <c r="E262" s="42"/>
      <c r="F262" s="44"/>
      <c r="G262" s="44"/>
      <c r="H262" s="41" t="str">
        <f aca="false">IF($C262="","",IF($K262&lt;&gt;"",ROUND(N($K262),2),IF(AND(N($F262)&lt;&gt;0,N($G262)&lt;&gt;0),ROUND(N($F262)*N($G262),2),"")))</f>
        <v/>
      </c>
      <c r="I262" s="44"/>
      <c r="J262" s="43"/>
      <c r="K262" s="44"/>
    </row>
    <row r="263" customFormat="false" ht="13.5" hidden="false" customHeight="false" outlineLevel="0" collapsed="false">
      <c r="A263" s="9" t="str">
        <f aca="false">IF($C263="","",ROW()-3)</f>
        <v/>
      </c>
      <c r="B263" s="76"/>
      <c r="C263" s="43"/>
      <c r="D263" s="43"/>
      <c r="E263" s="42"/>
      <c r="F263" s="44"/>
      <c r="G263" s="44"/>
      <c r="H263" s="41" t="str">
        <f aca="false">IF($C263="","",IF($K263&lt;&gt;"",ROUND(N($K263),2),IF(AND(N($F263)&lt;&gt;0,N($G263)&lt;&gt;0),ROUND(N($F263)*N($G263),2),"")))</f>
        <v/>
      </c>
      <c r="I263" s="44"/>
      <c r="J263" s="43"/>
      <c r="K263" s="44"/>
    </row>
    <row r="264" customFormat="false" ht="13.5" hidden="false" customHeight="false" outlineLevel="0" collapsed="false">
      <c r="A264" s="9" t="str">
        <f aca="false">IF($C264="","",ROW()-3)</f>
        <v/>
      </c>
      <c r="B264" s="76"/>
      <c r="C264" s="43"/>
      <c r="D264" s="43"/>
      <c r="E264" s="42"/>
      <c r="F264" s="44"/>
      <c r="G264" s="44"/>
      <c r="H264" s="41" t="str">
        <f aca="false">IF($C264="","",IF($K264&lt;&gt;"",ROUND(N($K264),2),IF(AND(N($F264)&lt;&gt;0,N($G264)&lt;&gt;0),ROUND(N($F264)*N($G264),2),"")))</f>
        <v/>
      </c>
      <c r="I264" s="44"/>
      <c r="J264" s="43"/>
      <c r="K264" s="44"/>
    </row>
    <row r="265" customFormat="false" ht="13.5" hidden="false" customHeight="false" outlineLevel="0" collapsed="false">
      <c r="A265" s="9" t="str">
        <f aca="false">IF($C265="","",ROW()-3)</f>
        <v/>
      </c>
      <c r="B265" s="76"/>
      <c r="C265" s="43"/>
      <c r="D265" s="43"/>
      <c r="E265" s="42"/>
      <c r="F265" s="44"/>
      <c r="G265" s="44"/>
      <c r="H265" s="41" t="str">
        <f aca="false">IF($C265="","",IF($K265&lt;&gt;"",ROUND(N($K265),2),IF(AND(N($F265)&lt;&gt;0,N($G265)&lt;&gt;0),ROUND(N($F265)*N($G265),2),"")))</f>
        <v/>
      </c>
      <c r="I265" s="44"/>
      <c r="J265" s="43"/>
      <c r="K265" s="44"/>
    </row>
    <row r="266" customFormat="false" ht="13.5" hidden="false" customHeight="false" outlineLevel="0" collapsed="false">
      <c r="A266" s="9" t="str">
        <f aca="false">IF($C266="","",ROW()-3)</f>
        <v/>
      </c>
      <c r="B266" s="76"/>
      <c r="C266" s="43"/>
      <c r="D266" s="43"/>
      <c r="E266" s="42"/>
      <c r="F266" s="44"/>
      <c r="G266" s="44"/>
      <c r="H266" s="41" t="str">
        <f aca="false">IF($C266="","",IF($K266&lt;&gt;"",ROUND(N($K266),2),IF(AND(N($F266)&lt;&gt;0,N($G266)&lt;&gt;0),ROUND(N($F266)*N($G266),2),"")))</f>
        <v/>
      </c>
      <c r="I266" s="44"/>
      <c r="J266" s="43"/>
      <c r="K266" s="44"/>
    </row>
    <row r="267" customFormat="false" ht="13.5" hidden="false" customHeight="false" outlineLevel="0" collapsed="false">
      <c r="A267" s="9" t="str">
        <f aca="false">IF($C267="","",ROW()-3)</f>
        <v/>
      </c>
      <c r="B267" s="76"/>
      <c r="C267" s="43"/>
      <c r="D267" s="43"/>
      <c r="E267" s="42"/>
      <c r="F267" s="44"/>
      <c r="G267" s="44"/>
      <c r="H267" s="41" t="str">
        <f aca="false">IF($C267="","",IF($K267&lt;&gt;"",ROUND(N($K267),2),IF(AND(N($F267)&lt;&gt;0,N($G267)&lt;&gt;0),ROUND(N($F267)*N($G267),2),"")))</f>
        <v/>
      </c>
      <c r="I267" s="44"/>
      <c r="J267" s="43"/>
      <c r="K267" s="44"/>
    </row>
    <row r="268" customFormat="false" ht="13.5" hidden="false" customHeight="false" outlineLevel="0" collapsed="false">
      <c r="A268" s="9" t="str">
        <f aca="false">IF($C268="","",ROW()-3)</f>
        <v/>
      </c>
      <c r="B268" s="76"/>
      <c r="C268" s="43"/>
      <c r="D268" s="43"/>
      <c r="E268" s="42"/>
      <c r="F268" s="44"/>
      <c r="G268" s="44"/>
      <c r="H268" s="41" t="str">
        <f aca="false">IF($C268="","",IF($K268&lt;&gt;"",ROUND(N($K268),2),IF(AND(N($F268)&lt;&gt;0,N($G268)&lt;&gt;0),ROUND(N($F268)*N($G268),2),"")))</f>
        <v/>
      </c>
      <c r="I268" s="44"/>
      <c r="J268" s="43"/>
      <c r="K268" s="44"/>
    </row>
    <row r="269" customFormat="false" ht="13.5" hidden="false" customHeight="false" outlineLevel="0" collapsed="false">
      <c r="A269" s="9" t="str">
        <f aca="false">IF($C269="","",ROW()-3)</f>
        <v/>
      </c>
      <c r="B269" s="76"/>
      <c r="C269" s="43"/>
      <c r="D269" s="43"/>
      <c r="E269" s="42"/>
      <c r="F269" s="44"/>
      <c r="G269" s="44"/>
      <c r="H269" s="41" t="str">
        <f aca="false">IF($C269="","",IF($K269&lt;&gt;"",ROUND(N($K269),2),IF(AND(N($F269)&lt;&gt;0,N($G269)&lt;&gt;0),ROUND(N($F269)*N($G269),2),"")))</f>
        <v/>
      </c>
      <c r="I269" s="44"/>
      <c r="J269" s="43"/>
      <c r="K269" s="44"/>
    </row>
    <row r="270" customFormat="false" ht="13.5" hidden="false" customHeight="false" outlineLevel="0" collapsed="false">
      <c r="A270" s="9" t="str">
        <f aca="false">IF($C270="","",ROW()-3)</f>
        <v/>
      </c>
      <c r="B270" s="76"/>
      <c r="C270" s="43"/>
      <c r="D270" s="43"/>
      <c r="E270" s="42"/>
      <c r="F270" s="44"/>
      <c r="G270" s="44"/>
      <c r="H270" s="41" t="str">
        <f aca="false">IF($C270="","",IF($K270&lt;&gt;"",ROUND(N($K270),2),IF(AND(N($F270)&lt;&gt;0,N($G270)&lt;&gt;0),ROUND(N($F270)*N($G270),2),"")))</f>
        <v/>
      </c>
      <c r="I270" s="44"/>
      <c r="J270" s="43"/>
      <c r="K270" s="44"/>
    </row>
    <row r="271" customFormat="false" ht="13.5" hidden="false" customHeight="false" outlineLevel="0" collapsed="false">
      <c r="A271" s="9" t="str">
        <f aca="false">IF($C271="","",ROW()-3)</f>
        <v/>
      </c>
      <c r="B271" s="76"/>
      <c r="C271" s="43"/>
      <c r="D271" s="43"/>
      <c r="E271" s="42"/>
      <c r="F271" s="44"/>
      <c r="G271" s="44"/>
      <c r="H271" s="41" t="str">
        <f aca="false">IF($C271="","",IF($K271&lt;&gt;"",ROUND(N($K271),2),IF(AND(N($F271)&lt;&gt;0,N($G271)&lt;&gt;0),ROUND(N($F271)*N($G271),2),"")))</f>
        <v/>
      </c>
      <c r="I271" s="44"/>
      <c r="J271" s="43"/>
      <c r="K271" s="44"/>
    </row>
    <row r="272" customFormat="false" ht="13.5" hidden="false" customHeight="false" outlineLevel="0" collapsed="false">
      <c r="A272" s="9" t="str">
        <f aca="false">IF($C272="","",ROW()-3)</f>
        <v/>
      </c>
      <c r="B272" s="76"/>
      <c r="C272" s="43"/>
      <c r="D272" s="43"/>
      <c r="E272" s="42"/>
      <c r="F272" s="44"/>
      <c r="G272" s="44"/>
      <c r="H272" s="41" t="str">
        <f aca="false">IF($C272="","",IF($K272&lt;&gt;"",ROUND(N($K272),2),IF(AND(N($F272)&lt;&gt;0,N($G272)&lt;&gt;0),ROUND(N($F272)*N($G272),2),"")))</f>
        <v/>
      </c>
      <c r="I272" s="44"/>
      <c r="J272" s="43"/>
      <c r="K272" s="44"/>
    </row>
    <row r="273" customFormat="false" ht="13.5" hidden="false" customHeight="false" outlineLevel="0" collapsed="false">
      <c r="A273" s="9" t="str">
        <f aca="false">IF($C273="","",ROW()-3)</f>
        <v/>
      </c>
      <c r="B273" s="76"/>
      <c r="C273" s="43"/>
      <c r="D273" s="43"/>
      <c r="E273" s="42"/>
      <c r="F273" s="44"/>
      <c r="G273" s="44"/>
      <c r="H273" s="41" t="str">
        <f aca="false">IF($C273="","",IF($K273&lt;&gt;"",ROUND(N($K273),2),IF(AND(N($F273)&lt;&gt;0,N($G273)&lt;&gt;0),ROUND(N($F273)*N($G273),2),"")))</f>
        <v/>
      </c>
      <c r="I273" s="44"/>
      <c r="J273" s="43"/>
      <c r="K273" s="44"/>
    </row>
    <row r="274" customFormat="false" ht="13.5" hidden="false" customHeight="false" outlineLevel="0" collapsed="false">
      <c r="A274" s="9" t="str">
        <f aca="false">IF($C274="","",ROW()-3)</f>
        <v/>
      </c>
      <c r="B274" s="76"/>
      <c r="C274" s="43"/>
      <c r="D274" s="43"/>
      <c r="E274" s="42"/>
      <c r="F274" s="44"/>
      <c r="G274" s="44"/>
      <c r="H274" s="41" t="str">
        <f aca="false">IF($C274="","",IF($K274&lt;&gt;"",ROUND(N($K274),2),IF(AND(N($F274)&lt;&gt;0,N($G274)&lt;&gt;0),ROUND(N($F274)*N($G274),2),"")))</f>
        <v/>
      </c>
      <c r="I274" s="44"/>
      <c r="J274" s="43"/>
      <c r="K274" s="44"/>
    </row>
    <row r="275" customFormat="false" ht="13.5" hidden="false" customHeight="false" outlineLevel="0" collapsed="false">
      <c r="A275" s="9" t="str">
        <f aca="false">IF($C275="","",ROW()-3)</f>
        <v/>
      </c>
      <c r="B275" s="76"/>
      <c r="C275" s="43"/>
      <c r="D275" s="43"/>
      <c r="E275" s="42"/>
      <c r="F275" s="44"/>
      <c r="G275" s="44"/>
      <c r="H275" s="41" t="str">
        <f aca="false">IF($C275="","",IF($K275&lt;&gt;"",ROUND(N($K275),2),IF(AND(N($F275)&lt;&gt;0,N($G275)&lt;&gt;0),ROUND(N($F275)*N($G275),2),"")))</f>
        <v/>
      </c>
      <c r="I275" s="44"/>
      <c r="J275" s="43"/>
      <c r="K275" s="44"/>
    </row>
    <row r="276" customFormat="false" ht="13.5" hidden="false" customHeight="false" outlineLevel="0" collapsed="false">
      <c r="A276" s="9" t="str">
        <f aca="false">IF($C276="","",ROW()-3)</f>
        <v/>
      </c>
      <c r="B276" s="76"/>
      <c r="C276" s="43"/>
      <c r="D276" s="43"/>
      <c r="E276" s="42"/>
      <c r="F276" s="44"/>
      <c r="G276" s="44"/>
      <c r="H276" s="41" t="str">
        <f aca="false">IF($C276="","",IF($K276&lt;&gt;"",ROUND(N($K276),2),IF(AND(N($F276)&lt;&gt;0,N($G276)&lt;&gt;0),ROUND(N($F276)*N($G276),2),"")))</f>
        <v/>
      </c>
      <c r="I276" s="44"/>
      <c r="J276" s="43"/>
      <c r="K276" s="44"/>
    </row>
    <row r="277" customFormat="false" ht="13.5" hidden="false" customHeight="false" outlineLevel="0" collapsed="false">
      <c r="A277" s="9" t="str">
        <f aca="false">IF($C277="","",ROW()-3)</f>
        <v/>
      </c>
      <c r="B277" s="76"/>
      <c r="C277" s="43"/>
      <c r="D277" s="43"/>
      <c r="E277" s="42"/>
      <c r="F277" s="44"/>
      <c r="G277" s="44"/>
      <c r="H277" s="41" t="str">
        <f aca="false">IF($C277="","",IF($K277&lt;&gt;"",ROUND(N($K277),2),IF(AND(N($F277)&lt;&gt;0,N($G277)&lt;&gt;0),ROUND(N($F277)*N($G277),2),"")))</f>
        <v/>
      </c>
      <c r="I277" s="44"/>
      <c r="J277" s="43"/>
      <c r="K277" s="44"/>
    </row>
    <row r="278" customFormat="false" ht="13.5" hidden="false" customHeight="false" outlineLevel="0" collapsed="false">
      <c r="A278" s="9" t="str">
        <f aca="false">IF($C278="","",ROW()-3)</f>
        <v/>
      </c>
      <c r="B278" s="76"/>
      <c r="C278" s="43"/>
      <c r="D278" s="43"/>
      <c r="E278" s="42"/>
      <c r="F278" s="44"/>
      <c r="G278" s="44"/>
      <c r="H278" s="41" t="str">
        <f aca="false">IF($C278="","",IF($K278&lt;&gt;"",ROUND(N($K278),2),IF(AND(N($F278)&lt;&gt;0,N($G278)&lt;&gt;0),ROUND(N($F278)*N($G278),2),"")))</f>
        <v/>
      </c>
      <c r="I278" s="44"/>
      <c r="J278" s="43"/>
      <c r="K278" s="44"/>
    </row>
    <row r="279" customFormat="false" ht="13.5" hidden="false" customHeight="false" outlineLevel="0" collapsed="false">
      <c r="A279" s="9" t="str">
        <f aca="false">IF($C279="","",ROW()-3)</f>
        <v/>
      </c>
      <c r="B279" s="76"/>
      <c r="C279" s="43"/>
      <c r="D279" s="43"/>
      <c r="E279" s="42"/>
      <c r="F279" s="44"/>
      <c r="G279" s="44"/>
      <c r="H279" s="41" t="str">
        <f aca="false">IF($C279="","",IF($K279&lt;&gt;"",ROUND(N($K279),2),IF(AND(N($F279)&lt;&gt;0,N($G279)&lt;&gt;0),ROUND(N($F279)*N($G279),2),"")))</f>
        <v/>
      </c>
      <c r="I279" s="44"/>
      <c r="J279" s="43"/>
      <c r="K279" s="44"/>
    </row>
    <row r="280" customFormat="false" ht="13.5" hidden="false" customHeight="false" outlineLevel="0" collapsed="false">
      <c r="A280" s="9" t="str">
        <f aca="false">IF($C280="","",ROW()-3)</f>
        <v/>
      </c>
      <c r="B280" s="76"/>
      <c r="C280" s="43"/>
      <c r="D280" s="43"/>
      <c r="E280" s="42"/>
      <c r="F280" s="44"/>
      <c r="G280" s="44"/>
      <c r="H280" s="41" t="str">
        <f aca="false">IF($C280="","",IF($K280&lt;&gt;"",ROUND(N($K280),2),IF(AND(N($F280)&lt;&gt;0,N($G280)&lt;&gt;0),ROUND(N($F280)*N($G280),2),"")))</f>
        <v/>
      </c>
      <c r="I280" s="44"/>
      <c r="J280" s="43"/>
      <c r="K280" s="44"/>
    </row>
    <row r="281" customFormat="false" ht="13.5" hidden="false" customHeight="false" outlineLevel="0" collapsed="false">
      <c r="A281" s="9" t="str">
        <f aca="false">IF($C281="","",ROW()-3)</f>
        <v/>
      </c>
      <c r="B281" s="76"/>
      <c r="C281" s="43"/>
      <c r="D281" s="43"/>
      <c r="E281" s="42"/>
      <c r="F281" s="44"/>
      <c r="G281" s="44"/>
      <c r="H281" s="41" t="str">
        <f aca="false">IF($C281="","",IF($K281&lt;&gt;"",ROUND(N($K281),2),IF(AND(N($F281)&lt;&gt;0,N($G281)&lt;&gt;0),ROUND(N($F281)*N($G281),2),"")))</f>
        <v/>
      </c>
      <c r="I281" s="44"/>
      <c r="J281" s="43"/>
      <c r="K281" s="44"/>
    </row>
    <row r="282" customFormat="false" ht="13.5" hidden="false" customHeight="false" outlineLevel="0" collapsed="false">
      <c r="A282" s="9" t="str">
        <f aca="false">IF($C282="","",ROW()-3)</f>
        <v/>
      </c>
      <c r="B282" s="76"/>
      <c r="C282" s="43"/>
      <c r="D282" s="43"/>
      <c r="E282" s="42"/>
      <c r="F282" s="44"/>
      <c r="G282" s="44"/>
      <c r="H282" s="41" t="str">
        <f aca="false">IF($C282="","",IF($K282&lt;&gt;"",ROUND(N($K282),2),IF(AND(N($F282)&lt;&gt;0,N($G282)&lt;&gt;0),ROUND(N($F282)*N($G282),2),"")))</f>
        <v/>
      </c>
      <c r="I282" s="44"/>
      <c r="J282" s="43"/>
      <c r="K282" s="44"/>
    </row>
    <row r="283" customFormat="false" ht="13.5" hidden="false" customHeight="false" outlineLevel="0" collapsed="false">
      <c r="A283" s="9" t="str">
        <f aca="false">IF($C283="","",ROW()-3)</f>
        <v/>
      </c>
      <c r="B283" s="76"/>
      <c r="C283" s="43"/>
      <c r="D283" s="43"/>
      <c r="E283" s="42"/>
      <c r="F283" s="44"/>
      <c r="G283" s="44"/>
      <c r="H283" s="41" t="str">
        <f aca="false">IF($C283="","",IF($K283&lt;&gt;"",ROUND(N($K283),2),IF(AND(N($F283)&lt;&gt;0,N($G283)&lt;&gt;0),ROUND(N($F283)*N($G283),2),"")))</f>
        <v/>
      </c>
      <c r="I283" s="44"/>
      <c r="J283" s="43"/>
      <c r="K283" s="44"/>
    </row>
    <row r="284" customFormat="false" ht="13.5" hidden="false" customHeight="false" outlineLevel="0" collapsed="false">
      <c r="A284" s="9" t="str">
        <f aca="false">IF($C284="","",ROW()-3)</f>
        <v/>
      </c>
      <c r="B284" s="76"/>
      <c r="C284" s="43"/>
      <c r="D284" s="43"/>
      <c r="E284" s="42"/>
      <c r="F284" s="44"/>
      <c r="G284" s="44"/>
      <c r="H284" s="41" t="str">
        <f aca="false">IF($C284="","",IF($K284&lt;&gt;"",ROUND(N($K284),2),IF(AND(N($F284)&lt;&gt;0,N($G284)&lt;&gt;0),ROUND(N($F284)*N($G284),2),"")))</f>
        <v/>
      </c>
      <c r="I284" s="44"/>
      <c r="J284" s="43"/>
      <c r="K284" s="44"/>
    </row>
    <row r="285" customFormat="false" ht="13.5" hidden="false" customHeight="false" outlineLevel="0" collapsed="false">
      <c r="A285" s="9" t="str">
        <f aca="false">IF($C285="","",ROW()-3)</f>
        <v/>
      </c>
      <c r="B285" s="76"/>
      <c r="C285" s="43"/>
      <c r="D285" s="43"/>
      <c r="E285" s="42"/>
      <c r="F285" s="44"/>
      <c r="G285" s="44"/>
      <c r="H285" s="41" t="str">
        <f aca="false">IF($C285="","",IF($K285&lt;&gt;"",ROUND(N($K285),2),IF(AND(N($F285)&lt;&gt;0,N($G285)&lt;&gt;0),ROUND(N($F285)*N($G285),2),"")))</f>
        <v/>
      </c>
      <c r="I285" s="44"/>
      <c r="J285" s="43"/>
      <c r="K285" s="44"/>
    </row>
    <row r="286" customFormat="false" ht="13.5" hidden="false" customHeight="false" outlineLevel="0" collapsed="false">
      <c r="A286" s="9" t="str">
        <f aca="false">IF($C286="","",ROW()-3)</f>
        <v/>
      </c>
      <c r="B286" s="76"/>
      <c r="C286" s="43"/>
      <c r="D286" s="43"/>
      <c r="E286" s="42"/>
      <c r="F286" s="44"/>
      <c r="G286" s="44"/>
      <c r="H286" s="41" t="str">
        <f aca="false">IF($C286="","",IF($K286&lt;&gt;"",ROUND(N($K286),2),IF(AND(N($F286)&lt;&gt;0,N($G286)&lt;&gt;0),ROUND(N($F286)*N($G286),2),"")))</f>
        <v/>
      </c>
      <c r="I286" s="44"/>
      <c r="J286" s="43"/>
      <c r="K286" s="44"/>
    </row>
    <row r="287" customFormat="false" ht="13.5" hidden="false" customHeight="false" outlineLevel="0" collapsed="false">
      <c r="A287" s="9" t="str">
        <f aca="false">IF($C287="","",ROW()-3)</f>
        <v/>
      </c>
      <c r="B287" s="76"/>
      <c r="C287" s="43"/>
      <c r="D287" s="43"/>
      <c r="E287" s="42"/>
      <c r="F287" s="44"/>
      <c r="G287" s="44"/>
      <c r="H287" s="41" t="str">
        <f aca="false">IF($C287="","",IF($K287&lt;&gt;"",ROUND(N($K287),2),IF(AND(N($F287)&lt;&gt;0,N($G287)&lt;&gt;0),ROUND(N($F287)*N($G287),2),"")))</f>
        <v/>
      </c>
      <c r="I287" s="44"/>
      <c r="J287" s="43"/>
      <c r="K287" s="44"/>
    </row>
    <row r="288" customFormat="false" ht="13.5" hidden="false" customHeight="false" outlineLevel="0" collapsed="false">
      <c r="A288" s="9" t="str">
        <f aca="false">IF($C288="","",ROW()-3)</f>
        <v/>
      </c>
      <c r="B288" s="76"/>
      <c r="C288" s="43"/>
      <c r="D288" s="43"/>
      <c r="E288" s="42"/>
      <c r="F288" s="44"/>
      <c r="G288" s="44"/>
      <c r="H288" s="41" t="str">
        <f aca="false">IF($C288="","",IF($K288&lt;&gt;"",ROUND(N($K288),2),IF(AND(N($F288)&lt;&gt;0,N($G288)&lt;&gt;0),ROUND(N($F288)*N($G288),2),"")))</f>
        <v/>
      </c>
      <c r="I288" s="44"/>
      <c r="J288" s="43"/>
      <c r="K288" s="44"/>
    </row>
    <row r="289" customFormat="false" ht="13.5" hidden="false" customHeight="false" outlineLevel="0" collapsed="false">
      <c r="A289" s="9" t="str">
        <f aca="false">IF($C289="","",ROW()-3)</f>
        <v/>
      </c>
      <c r="B289" s="76"/>
      <c r="C289" s="43"/>
      <c r="D289" s="43"/>
      <c r="E289" s="42"/>
      <c r="F289" s="44"/>
      <c r="G289" s="44"/>
      <c r="H289" s="41" t="str">
        <f aca="false">IF($C289="","",IF($K289&lt;&gt;"",ROUND(N($K289),2),IF(AND(N($F289)&lt;&gt;0,N($G289)&lt;&gt;0),ROUND(N($F289)*N($G289),2),"")))</f>
        <v/>
      </c>
      <c r="I289" s="44"/>
      <c r="J289" s="43"/>
      <c r="K289" s="44"/>
    </row>
    <row r="290" customFormat="false" ht="13.5" hidden="false" customHeight="false" outlineLevel="0" collapsed="false">
      <c r="A290" s="9" t="str">
        <f aca="false">IF($C290="","",ROW()-3)</f>
        <v/>
      </c>
      <c r="B290" s="76"/>
      <c r="C290" s="43"/>
      <c r="D290" s="43"/>
      <c r="E290" s="42"/>
      <c r="F290" s="44"/>
      <c r="G290" s="44"/>
      <c r="H290" s="41" t="str">
        <f aca="false">IF($C290="","",IF($K290&lt;&gt;"",ROUND(N($K290),2),IF(AND(N($F290)&lt;&gt;0,N($G290)&lt;&gt;0),ROUND(N($F290)*N($G290),2),"")))</f>
        <v/>
      </c>
      <c r="I290" s="44"/>
      <c r="J290" s="43"/>
      <c r="K290" s="44"/>
    </row>
    <row r="291" customFormat="false" ht="13.5" hidden="false" customHeight="false" outlineLevel="0" collapsed="false">
      <c r="A291" s="9" t="str">
        <f aca="false">IF($C291="","",ROW()-3)</f>
        <v/>
      </c>
      <c r="B291" s="76"/>
      <c r="C291" s="43"/>
      <c r="D291" s="43"/>
      <c r="E291" s="42"/>
      <c r="F291" s="44"/>
      <c r="G291" s="44"/>
      <c r="H291" s="41" t="str">
        <f aca="false">IF($C291="","",IF($K291&lt;&gt;"",ROUND(N($K291),2),IF(AND(N($F291)&lt;&gt;0,N($G291)&lt;&gt;0),ROUND(N($F291)*N($G291),2),"")))</f>
        <v/>
      </c>
      <c r="I291" s="44"/>
      <c r="J291" s="43"/>
      <c r="K291" s="44"/>
    </row>
    <row r="292" customFormat="false" ht="13.5" hidden="false" customHeight="false" outlineLevel="0" collapsed="false">
      <c r="A292" s="9" t="str">
        <f aca="false">IF($C292="","",ROW()-3)</f>
        <v/>
      </c>
      <c r="B292" s="76"/>
      <c r="C292" s="43"/>
      <c r="D292" s="43"/>
      <c r="E292" s="42"/>
      <c r="F292" s="44"/>
      <c r="G292" s="44"/>
      <c r="H292" s="41" t="str">
        <f aca="false">IF($C292="","",IF($K292&lt;&gt;"",ROUND(N($K292),2),IF(AND(N($F292)&lt;&gt;0,N($G292)&lt;&gt;0),ROUND(N($F292)*N($G292),2),"")))</f>
        <v/>
      </c>
      <c r="I292" s="44"/>
      <c r="J292" s="43"/>
      <c r="K292" s="44"/>
    </row>
    <row r="293" customFormat="false" ht="13.5" hidden="false" customHeight="false" outlineLevel="0" collapsed="false">
      <c r="A293" s="9" t="str">
        <f aca="false">IF($C293="","",ROW()-3)</f>
        <v/>
      </c>
      <c r="B293" s="76"/>
      <c r="C293" s="43"/>
      <c r="D293" s="43"/>
      <c r="E293" s="42"/>
      <c r="F293" s="44"/>
      <c r="G293" s="44"/>
      <c r="H293" s="41" t="str">
        <f aca="false">IF($C293="","",IF($K293&lt;&gt;"",ROUND(N($K293),2),IF(AND(N($F293)&lt;&gt;0,N($G293)&lt;&gt;0),ROUND(N($F293)*N($G293),2),"")))</f>
        <v/>
      </c>
      <c r="I293" s="44"/>
      <c r="J293" s="43"/>
      <c r="K293" s="44"/>
    </row>
    <row r="294" customFormat="false" ht="13.5" hidden="false" customHeight="false" outlineLevel="0" collapsed="false">
      <c r="A294" s="9" t="str">
        <f aca="false">IF($C294="","",ROW()-3)</f>
        <v/>
      </c>
      <c r="B294" s="76"/>
      <c r="C294" s="43"/>
      <c r="D294" s="43"/>
      <c r="E294" s="42"/>
      <c r="F294" s="44"/>
      <c r="G294" s="44"/>
      <c r="H294" s="41" t="str">
        <f aca="false">IF($C294="","",IF($K294&lt;&gt;"",ROUND(N($K294),2),IF(AND(N($F294)&lt;&gt;0,N($G294)&lt;&gt;0),ROUND(N($F294)*N($G294),2),"")))</f>
        <v/>
      </c>
      <c r="I294" s="44"/>
      <c r="J294" s="43"/>
      <c r="K294" s="44"/>
    </row>
    <row r="295" customFormat="false" ht="13.5" hidden="false" customHeight="false" outlineLevel="0" collapsed="false">
      <c r="A295" s="9" t="str">
        <f aca="false">IF($C295="","",ROW()-3)</f>
        <v/>
      </c>
      <c r="B295" s="76"/>
      <c r="C295" s="43"/>
      <c r="D295" s="43"/>
      <c r="E295" s="42"/>
      <c r="F295" s="44"/>
      <c r="G295" s="44"/>
      <c r="H295" s="41" t="str">
        <f aca="false">IF($C295="","",IF($K295&lt;&gt;"",ROUND(N($K295),2),IF(AND(N($F295)&lt;&gt;0,N($G295)&lt;&gt;0),ROUND(N($F295)*N($G295),2),"")))</f>
        <v/>
      </c>
      <c r="I295" s="44"/>
      <c r="J295" s="43"/>
      <c r="K295" s="44"/>
    </row>
    <row r="296" customFormat="false" ht="13.5" hidden="false" customHeight="false" outlineLevel="0" collapsed="false">
      <c r="A296" s="9" t="str">
        <f aca="false">IF($C296="","",ROW()-3)</f>
        <v/>
      </c>
      <c r="B296" s="76"/>
      <c r="C296" s="43"/>
      <c r="D296" s="43"/>
      <c r="E296" s="42"/>
      <c r="F296" s="44"/>
      <c r="G296" s="44"/>
      <c r="H296" s="41" t="str">
        <f aca="false">IF($C296="","",IF($K296&lt;&gt;"",ROUND(N($K296),2),IF(AND(N($F296)&lt;&gt;0,N($G296)&lt;&gt;0),ROUND(N($F296)*N($G296),2),"")))</f>
        <v/>
      </c>
      <c r="I296" s="44"/>
      <c r="J296" s="43"/>
      <c r="K296" s="44"/>
    </row>
    <row r="297" customFormat="false" ht="13.5" hidden="false" customHeight="false" outlineLevel="0" collapsed="false">
      <c r="A297" s="9" t="str">
        <f aca="false">IF($C297="","",ROW()-3)</f>
        <v/>
      </c>
      <c r="B297" s="76"/>
      <c r="C297" s="43"/>
      <c r="D297" s="43"/>
      <c r="E297" s="42"/>
      <c r="F297" s="44"/>
      <c r="G297" s="44"/>
      <c r="H297" s="41" t="str">
        <f aca="false">IF($C297="","",IF($K297&lt;&gt;"",ROUND(N($K297),2),IF(AND(N($F297)&lt;&gt;0,N($G297)&lt;&gt;0),ROUND(N($F297)*N($G297),2),"")))</f>
        <v/>
      </c>
      <c r="I297" s="44"/>
      <c r="J297" s="43"/>
      <c r="K297" s="44"/>
    </row>
    <row r="298" customFormat="false" ht="13.5" hidden="false" customHeight="false" outlineLevel="0" collapsed="false">
      <c r="A298" s="9" t="str">
        <f aca="false">IF($C298="","",ROW()-3)</f>
        <v/>
      </c>
      <c r="B298" s="76"/>
      <c r="C298" s="43"/>
      <c r="D298" s="43"/>
      <c r="E298" s="42"/>
      <c r="F298" s="44"/>
      <c r="G298" s="44"/>
      <c r="H298" s="41" t="str">
        <f aca="false">IF($C298="","",IF($K298&lt;&gt;"",ROUND(N($K298),2),IF(AND(N($F298)&lt;&gt;0,N($G298)&lt;&gt;0),ROUND(N($F298)*N($G298),2),"")))</f>
        <v/>
      </c>
      <c r="I298" s="44"/>
      <c r="J298" s="43"/>
      <c r="K298" s="44"/>
    </row>
    <row r="299" customFormat="false" ht="13.5" hidden="false" customHeight="false" outlineLevel="0" collapsed="false">
      <c r="A299" s="9" t="str">
        <f aca="false">IF($C299="","",ROW()-3)</f>
        <v/>
      </c>
      <c r="B299" s="76"/>
      <c r="C299" s="43"/>
      <c r="D299" s="43"/>
      <c r="E299" s="42"/>
      <c r="F299" s="44"/>
      <c r="G299" s="44"/>
      <c r="H299" s="41" t="str">
        <f aca="false">IF($C299="","",IF($K299&lt;&gt;"",ROUND(N($K299),2),IF(AND(N($F299)&lt;&gt;0,N($G299)&lt;&gt;0),ROUND(N($F299)*N($G299),2),"")))</f>
        <v/>
      </c>
      <c r="I299" s="44"/>
      <c r="J299" s="43"/>
      <c r="K299" s="44"/>
    </row>
    <row r="300" customFormat="false" ht="13.5" hidden="false" customHeight="false" outlineLevel="0" collapsed="false">
      <c r="A300" s="9" t="str">
        <f aca="false">IF($C300="","",ROW()-3)</f>
        <v/>
      </c>
      <c r="B300" s="76"/>
      <c r="C300" s="43"/>
      <c r="D300" s="43"/>
      <c r="E300" s="42"/>
      <c r="F300" s="44"/>
      <c r="G300" s="44"/>
      <c r="H300" s="41" t="str">
        <f aca="false">IF($C300="","",IF($K300&lt;&gt;"",ROUND(N($K300),2),IF(AND(N($F300)&lt;&gt;0,N($G300)&lt;&gt;0),ROUND(N($F300)*N($G300),2),"")))</f>
        <v/>
      </c>
      <c r="I300" s="44"/>
      <c r="J300" s="43"/>
      <c r="K300" s="44"/>
    </row>
    <row r="301" customFormat="false" ht="13.5" hidden="false" customHeight="false" outlineLevel="0" collapsed="false">
      <c r="A301" s="9" t="str">
        <f aca="false">IF($C301="","",ROW()-3)</f>
        <v/>
      </c>
      <c r="B301" s="76"/>
      <c r="C301" s="43"/>
      <c r="D301" s="43"/>
      <c r="E301" s="42"/>
      <c r="F301" s="44"/>
      <c r="G301" s="44"/>
      <c r="H301" s="41" t="str">
        <f aca="false">IF($C301="","",IF($K301&lt;&gt;"",ROUND(N($K301),2),IF(AND(N($F301)&lt;&gt;0,N($G301)&lt;&gt;0),ROUND(N($F301)*N($G301),2),"")))</f>
        <v/>
      </c>
      <c r="I301" s="44"/>
      <c r="J301" s="43"/>
      <c r="K301" s="44"/>
    </row>
    <row r="302" customFormat="false" ht="13.5" hidden="false" customHeight="false" outlineLevel="0" collapsed="false">
      <c r="A302" s="9" t="str">
        <f aca="false">IF($C302="","",ROW()-3)</f>
        <v/>
      </c>
      <c r="B302" s="76"/>
      <c r="C302" s="43"/>
      <c r="D302" s="43"/>
      <c r="E302" s="42"/>
      <c r="F302" s="44"/>
      <c r="G302" s="44"/>
      <c r="H302" s="41" t="str">
        <f aca="false">IF($C302="","",IF($K302&lt;&gt;"",ROUND(N($K302),2),IF(AND(N($F302)&lt;&gt;0,N($G302)&lt;&gt;0),ROUND(N($F302)*N($G302),2),"")))</f>
        <v/>
      </c>
      <c r="I302" s="44"/>
      <c r="J302" s="43"/>
      <c r="K302" s="44"/>
    </row>
    <row r="303" customFormat="false" ht="13.5" hidden="false" customHeight="false" outlineLevel="0" collapsed="false">
      <c r="A303" s="9" t="str">
        <f aca="false">IF($C303="","",ROW()-3)</f>
        <v/>
      </c>
      <c r="B303" s="76"/>
      <c r="C303" s="43"/>
      <c r="D303" s="43"/>
      <c r="E303" s="42"/>
      <c r="F303" s="44"/>
      <c r="G303" s="44"/>
      <c r="H303" s="41" t="str">
        <f aca="false">IF($C303="","",IF($K303&lt;&gt;"",ROUND(N($K303),2),IF(AND(N($F303)&lt;&gt;0,N($G303)&lt;&gt;0),ROUND(N($F303)*N($G303),2),"")))</f>
        <v/>
      </c>
      <c r="I303" s="44"/>
      <c r="J303" s="43"/>
      <c r="K303" s="44"/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C4:C303" type="list">
      <formula1>_自动清单!$E$4:$E$203</formula1>
      <formula2>0</formula2>
    </dataValidation>
    <dataValidation allowBlank="true" errorStyle="stop" operator="between" showDropDown="false" showErrorMessage="false" showInputMessage="false" sqref="E4:E303" type="list">
      <formula1>"筐,箱,吨,KG,个,件,袋,片,张,包,捆,卷,套,瓶,块"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610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4" ySplit="3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D38" activeCellId="0" sqref="D38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12" min="8" style="0" width="14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20"/>
  </cols>
  <sheetData>
    <row r="1" customFormat="false" ht="30" hidden="false" customHeight="true" outlineLevel="0" collapsed="false">
      <c r="A1" s="20" t="s">
        <v>776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customFormat="false" ht="18" hidden="false" customHeight="true" outlineLevel="0" collapsed="false">
      <c r="A2" s="21" t="str">
        <f aca="false">IF(N(对接源_01水果!$T$1)+N(对接源_02物料!$T$1)=0,"★★ 业务册数据没接进来：本表的应收/应付发生额不含两本业务册的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当前有业务册在用【应急备份】数据出账（不是实时数），链接修好后请重新【更新值】并复核本表金额",IF(N(对接源_01水果!$T$1)+N(对接源_02物料!$T$1)=0,"★★ 业务册数据没接进来：本表的应收/应付发生额不含两本业务册的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当前有业务册在用【应急备份】数据出账（不是实时数），链接修好后请重新【更新值】并复核本表金额",IF(N(对接源_01水果!$T$1)+N(对接源_02物料!$T$1)=0,"★★ 业务册数据没接进来：本表金额不含仓储费/加工费/水果销售/物料筐子等业务数据，现在的数是不完整的。请先到【对接源_01水果】【对接源_02物料】两张表，按里面提示框的说明修复链接",IF(N(对接源_01水果!$T$4)*N(对接源_02物料!$T$4)=0,"⚠ 当前有业务册在用【应急备份】数据出账（不是实时数）。链接修好后请重新【更新值】并复核本表金额。　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","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表里大部分行是空的（对应没有业务的月份/未用完的行）——点表头“科目名称”的筛选按钮，取消勾选“空白”，就只看有内容的分录了"))))))</f>
        <v>绿底＝自动生成勿改：A区4-909行取自【进销存对接】，B区910-2109行取自【资金日记账】，C区2110-3009行取自【成本费用登记表】；黄底手工区3010-3609行录调整分录。★ 表里大部分行是空的（对应没有业务的月份/未用完的行）——点表头“科目名称”的筛选按钮，取消勾选“空白”，就只看有内容的分录了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customFormat="false" ht="33.75" hidden="false" customHeight="true" outlineLevel="0" collapsed="false">
      <c r="A3" s="37" t="s">
        <v>3</v>
      </c>
      <c r="B3" s="37" t="s">
        <v>689</v>
      </c>
      <c r="C3" s="37" t="s">
        <v>777</v>
      </c>
      <c r="D3" s="37" t="s">
        <v>690</v>
      </c>
      <c r="E3" s="37" t="s">
        <v>426</v>
      </c>
      <c r="F3" s="37" t="s">
        <v>425</v>
      </c>
      <c r="G3" s="37" t="s">
        <v>429</v>
      </c>
      <c r="H3" s="37" t="s">
        <v>778</v>
      </c>
      <c r="I3" s="37" t="s">
        <v>779</v>
      </c>
      <c r="J3" s="37" t="s">
        <v>431</v>
      </c>
      <c r="K3" s="37" t="s">
        <v>327</v>
      </c>
      <c r="L3" s="37" t="s">
        <v>767</v>
      </c>
      <c r="M3" s="37" t="s">
        <v>780</v>
      </c>
      <c r="N3" s="37" t="s">
        <v>781</v>
      </c>
      <c r="O3" s="37" t="s">
        <v>782</v>
      </c>
      <c r="P3" s="37" t="s">
        <v>174</v>
      </c>
    </row>
    <row r="4" customFormat="false" ht="18" hidden="false" customHeight="true" outlineLevel="0" collapsed="false">
      <c r="A4" s="107" t="str">
        <f aca="false">IF($E4="","",ROW()-3)</f>
        <v/>
      </c>
      <c r="B4" s="110" t="str">
        <f aca="false">IF($E4="","",INDEX(进销存对接!$C$4:$C$305,1))</f>
        <v/>
      </c>
      <c r="C4" s="67" t="str">
        <f aca="false">IF($E4="","","记-"&amp;TEXT($B4,"YYYYMM")&amp;"-进销存")</f>
        <v/>
      </c>
      <c r="D4" s="107" t="str">
        <f aca="false">IF($E4="","",INDEX(进销存对接!$D$4:$D$305,1)&amp;" "&amp;TEXT($B4,"YYYY年M月")&amp;" 自动结转")</f>
        <v/>
      </c>
      <c r="E4" s="67" t="str">
        <f aca="false">IF(INDEX(进销存对接!$M$4:$U$305,1,1)=0,"",INDEX(进销存对接!$M$4:$U$305,1,1))</f>
        <v/>
      </c>
      <c r="F4" s="99" t="str">
        <f aca="false">IF($E4="","",IFERROR(INDEX(科目表!$A$4:$A$81,MATCH($E4,科目表!$B$4:$B$81,0)),""))</f>
        <v/>
      </c>
      <c r="G4" s="67" t="str">
        <f aca="false">IF($E4="","",IFERROR(INDEX(科目表!$E$4:$E$81,MATCH($E4,科目表!$B$4:$B$81,0)),""))</f>
        <v/>
      </c>
      <c r="H4" s="70" t="str">
        <f aca="false">IF($E4="","",N(INDEX(进销存对接!$M$4:$U$305,1,2)))</f>
        <v/>
      </c>
      <c r="I4" s="70" t="str">
        <f aca="false">IF($E4="","",N(INDEX(进销存对接!$M$4:$U$305,1,3)))</f>
        <v/>
      </c>
      <c r="J4" s="67"/>
      <c r="K4" s="67" t="str">
        <f aca="false">IF($E4="","",INDEX(进销存对接!$D$4:$D$305,1))</f>
        <v/>
      </c>
      <c r="L4" s="107"/>
      <c r="M4" s="107"/>
      <c r="N4" s="67" t="str">
        <f aca="false">IF($E4="","","系统")</f>
        <v/>
      </c>
      <c r="O4" s="67" t="str">
        <f aca="false">IF($E4="","","自动A")</f>
        <v/>
      </c>
      <c r="P4" s="18"/>
    </row>
    <row r="5" customFormat="false" ht="18" hidden="false" customHeight="true" outlineLevel="0" collapsed="false">
      <c r="A5" s="107" t="str">
        <f aca="false">IF($E5="","",ROW()-3)</f>
        <v/>
      </c>
      <c r="B5" s="110" t="str">
        <f aca="false">IF($E5="","",INDEX(进销存对接!$C$4:$C$305,1))</f>
        <v/>
      </c>
      <c r="C5" s="67" t="str">
        <f aca="false">IF($E5="","","记-"&amp;TEXT($B5,"YYYYMM")&amp;"-进销存")</f>
        <v/>
      </c>
      <c r="D5" s="107" t="str">
        <f aca="false">IF($E5="","",INDEX(进销存对接!$D$4:$D$305,1)&amp;" "&amp;TEXT($B5,"YYYY年M月")&amp;" 自动结转")</f>
        <v/>
      </c>
      <c r="E5" s="67" t="str">
        <f aca="false">IF(INDEX(进销存对接!$M$4:$U$305,1,4)=0,"",INDEX(进销存对接!$M$4:$U$305,1,4))</f>
        <v/>
      </c>
      <c r="F5" s="99" t="str">
        <f aca="false">IF($E5="","",IFERROR(INDEX(科目表!$A$4:$A$81,MATCH($E5,科目表!$B$4:$B$81,0)),""))</f>
        <v/>
      </c>
      <c r="G5" s="67" t="str">
        <f aca="false">IF($E5="","",IFERROR(INDEX(科目表!$E$4:$E$81,MATCH($E5,科目表!$B$4:$B$81,0)),""))</f>
        <v/>
      </c>
      <c r="H5" s="70" t="str">
        <f aca="false">IF($E5="","",N(INDEX(进销存对接!$M$4:$U$305,1,5)))</f>
        <v/>
      </c>
      <c r="I5" s="70" t="str">
        <f aca="false">IF($E5="","",N(INDEX(进销存对接!$M$4:$U$305,1,6)))</f>
        <v/>
      </c>
      <c r="J5" s="67"/>
      <c r="K5" s="67" t="str">
        <f aca="false">IF($E5="","",INDEX(进销存对接!$D$4:$D$305,1))</f>
        <v/>
      </c>
      <c r="L5" s="107"/>
      <c r="M5" s="107"/>
      <c r="N5" s="67" t="str">
        <f aca="false">IF($E5="","","系统")</f>
        <v/>
      </c>
      <c r="O5" s="67" t="str">
        <f aca="false">IF($E5="","","自动A")</f>
        <v/>
      </c>
      <c r="P5" s="18"/>
    </row>
    <row r="6" customFormat="false" ht="18" hidden="false" customHeight="true" outlineLevel="0" collapsed="false">
      <c r="A6" s="107" t="str">
        <f aca="false">IF($E6="","",ROW()-3)</f>
        <v/>
      </c>
      <c r="B6" s="110" t="str">
        <f aca="false">IF($E6="","",INDEX(进销存对接!$C$4:$C$305,1))</f>
        <v/>
      </c>
      <c r="C6" s="67" t="str">
        <f aca="false">IF($E6="","","记-"&amp;TEXT($B6,"YYYYMM")&amp;"-进销存")</f>
        <v/>
      </c>
      <c r="D6" s="107" t="str">
        <f aca="false">IF($E6="","",INDEX(进销存对接!$D$4:$D$305,1)&amp;" "&amp;TEXT($B6,"YYYY年M月")&amp;" 自动结转")</f>
        <v/>
      </c>
      <c r="E6" s="67" t="str">
        <f aca="false">IF(INDEX(进销存对接!$M$4:$U$305,1,7)=0,"",INDEX(进销存对接!$M$4:$U$305,1,7))</f>
        <v/>
      </c>
      <c r="F6" s="99" t="str">
        <f aca="false">IF($E6="","",IFERROR(INDEX(科目表!$A$4:$A$81,MATCH($E6,科目表!$B$4:$B$81,0)),""))</f>
        <v/>
      </c>
      <c r="G6" s="67" t="str">
        <f aca="false">IF($E6="","",IFERROR(INDEX(科目表!$E$4:$E$81,MATCH($E6,科目表!$B$4:$B$81,0)),""))</f>
        <v/>
      </c>
      <c r="H6" s="70" t="str">
        <f aca="false">IF($E6="","",N(INDEX(进销存对接!$M$4:$U$305,1,8)))</f>
        <v/>
      </c>
      <c r="I6" s="70" t="str">
        <f aca="false">IF($E6="","",N(INDEX(进销存对接!$M$4:$U$305,1,9)))</f>
        <v/>
      </c>
      <c r="J6" s="67"/>
      <c r="K6" s="67" t="str">
        <f aca="false">IF($E6="","",INDEX(进销存对接!$D$4:$D$305,1))</f>
        <v/>
      </c>
      <c r="L6" s="107"/>
      <c r="M6" s="107"/>
      <c r="N6" s="67" t="str">
        <f aca="false">IF($E6="","","系统")</f>
        <v/>
      </c>
      <c r="O6" s="67" t="str">
        <f aca="false">IF($E6="","","自动A")</f>
        <v/>
      </c>
      <c r="P6" s="18"/>
    </row>
    <row r="7" customFormat="false" ht="18" hidden="false" customHeight="true" outlineLevel="0" collapsed="false">
      <c r="A7" s="107" t="str">
        <f aca="false">IF($E7="","",ROW()-3)</f>
        <v/>
      </c>
      <c r="B7" s="110" t="str">
        <f aca="false">IF($E7="","",INDEX(进销存对接!$C$4:$C$305,2))</f>
        <v/>
      </c>
      <c r="C7" s="67" t="str">
        <f aca="false">IF($E7="","","记-"&amp;TEXT($B7,"YYYYMM")&amp;"-进销存")</f>
        <v/>
      </c>
      <c r="D7" s="107" t="str">
        <f aca="false">IF($E7="","",INDEX(进销存对接!$D$4:$D$305,2)&amp;" "&amp;TEXT($B7,"YYYY年M月")&amp;" 自动结转")</f>
        <v/>
      </c>
      <c r="E7" s="67" t="str">
        <f aca="false">IF(INDEX(进销存对接!$M$4:$U$305,2,1)=0,"",INDEX(进销存对接!$M$4:$U$305,2,1))</f>
        <v/>
      </c>
      <c r="F7" s="99" t="str">
        <f aca="false">IF($E7="","",IFERROR(INDEX(科目表!$A$4:$A$81,MATCH($E7,科目表!$B$4:$B$81,0)),""))</f>
        <v/>
      </c>
      <c r="G7" s="67" t="str">
        <f aca="false">IF($E7="","",IFERROR(INDEX(科目表!$E$4:$E$81,MATCH($E7,科目表!$B$4:$B$81,0)),""))</f>
        <v/>
      </c>
      <c r="H7" s="70" t="str">
        <f aca="false">IF($E7="","",N(INDEX(进销存对接!$M$4:$U$305,2,2)))</f>
        <v/>
      </c>
      <c r="I7" s="70" t="str">
        <f aca="false">IF($E7="","",N(INDEX(进销存对接!$M$4:$U$305,2,3)))</f>
        <v/>
      </c>
      <c r="J7" s="67"/>
      <c r="K7" s="67" t="str">
        <f aca="false">IF($E7="","",INDEX(进销存对接!$D$4:$D$305,2))</f>
        <v/>
      </c>
      <c r="L7" s="107"/>
      <c r="M7" s="107"/>
      <c r="N7" s="67" t="str">
        <f aca="false">IF($E7="","","系统")</f>
        <v/>
      </c>
      <c r="O7" s="67" t="str">
        <f aca="false">IF($E7="","","自动A")</f>
        <v/>
      </c>
      <c r="P7" s="18"/>
    </row>
    <row r="8" customFormat="false" ht="18" hidden="false" customHeight="true" outlineLevel="0" collapsed="false">
      <c r="A8" s="107" t="str">
        <f aca="false">IF($E8="","",ROW()-3)</f>
        <v/>
      </c>
      <c r="B8" s="110" t="str">
        <f aca="false">IF($E8="","",INDEX(进销存对接!$C$4:$C$305,2))</f>
        <v/>
      </c>
      <c r="C8" s="67" t="str">
        <f aca="false">IF($E8="","","记-"&amp;TEXT($B8,"YYYYMM")&amp;"-进销存")</f>
        <v/>
      </c>
      <c r="D8" s="107" t="str">
        <f aca="false">IF($E8="","",INDEX(进销存对接!$D$4:$D$305,2)&amp;" "&amp;TEXT($B8,"YYYY年M月")&amp;" 自动结转")</f>
        <v/>
      </c>
      <c r="E8" s="67" t="str">
        <f aca="false">IF(INDEX(进销存对接!$M$4:$U$305,2,4)=0,"",INDEX(进销存对接!$M$4:$U$305,2,4))</f>
        <v/>
      </c>
      <c r="F8" s="99" t="str">
        <f aca="false">IF($E8="","",IFERROR(INDEX(科目表!$A$4:$A$81,MATCH($E8,科目表!$B$4:$B$81,0)),""))</f>
        <v/>
      </c>
      <c r="G8" s="67" t="str">
        <f aca="false">IF($E8="","",IFERROR(INDEX(科目表!$E$4:$E$81,MATCH($E8,科目表!$B$4:$B$81,0)),""))</f>
        <v/>
      </c>
      <c r="H8" s="70" t="str">
        <f aca="false">IF($E8="","",N(INDEX(进销存对接!$M$4:$U$305,2,5)))</f>
        <v/>
      </c>
      <c r="I8" s="70" t="str">
        <f aca="false">IF($E8="","",N(INDEX(进销存对接!$M$4:$U$305,2,6)))</f>
        <v/>
      </c>
      <c r="J8" s="67"/>
      <c r="K8" s="67" t="str">
        <f aca="false">IF($E8="","",INDEX(进销存对接!$D$4:$D$305,2))</f>
        <v/>
      </c>
      <c r="L8" s="107"/>
      <c r="M8" s="107"/>
      <c r="N8" s="67" t="str">
        <f aca="false">IF($E8="","","系统")</f>
        <v/>
      </c>
      <c r="O8" s="67" t="str">
        <f aca="false">IF($E8="","","自动A")</f>
        <v/>
      </c>
      <c r="P8" s="18"/>
    </row>
    <row r="9" customFormat="false" ht="18" hidden="false" customHeight="true" outlineLevel="0" collapsed="false">
      <c r="A9" s="107" t="str">
        <f aca="false">IF($E9="","",ROW()-3)</f>
        <v/>
      </c>
      <c r="B9" s="110" t="str">
        <f aca="false">IF($E9="","",INDEX(进销存对接!$C$4:$C$305,2))</f>
        <v/>
      </c>
      <c r="C9" s="67" t="str">
        <f aca="false">IF($E9="","","记-"&amp;TEXT($B9,"YYYYMM")&amp;"-进销存")</f>
        <v/>
      </c>
      <c r="D9" s="107" t="str">
        <f aca="false">IF($E9="","",INDEX(进销存对接!$D$4:$D$305,2)&amp;" "&amp;TEXT($B9,"YYYY年M月")&amp;" 自动结转")</f>
        <v/>
      </c>
      <c r="E9" s="67" t="str">
        <f aca="false">IF(INDEX(进销存对接!$M$4:$U$305,2,7)=0,"",INDEX(进销存对接!$M$4:$U$305,2,7))</f>
        <v/>
      </c>
      <c r="F9" s="99" t="str">
        <f aca="false">IF($E9="","",IFERROR(INDEX(科目表!$A$4:$A$81,MATCH($E9,科目表!$B$4:$B$81,0)),""))</f>
        <v/>
      </c>
      <c r="G9" s="67" t="str">
        <f aca="false">IF($E9="","",IFERROR(INDEX(科目表!$E$4:$E$81,MATCH($E9,科目表!$B$4:$B$81,0)),""))</f>
        <v/>
      </c>
      <c r="H9" s="70" t="str">
        <f aca="false">IF($E9="","",N(INDEX(进销存对接!$M$4:$U$305,2,8)))</f>
        <v/>
      </c>
      <c r="I9" s="70" t="str">
        <f aca="false">IF($E9="","",N(INDEX(进销存对接!$M$4:$U$305,2,9)))</f>
        <v/>
      </c>
      <c r="J9" s="67"/>
      <c r="K9" s="67" t="str">
        <f aca="false">IF($E9="","",INDEX(进销存对接!$D$4:$D$305,2))</f>
        <v/>
      </c>
      <c r="L9" s="107"/>
      <c r="M9" s="107"/>
      <c r="N9" s="67" t="str">
        <f aca="false">IF($E9="","","系统")</f>
        <v/>
      </c>
      <c r="O9" s="67" t="str">
        <f aca="false">IF($E9="","","自动A")</f>
        <v/>
      </c>
      <c r="P9" s="18"/>
    </row>
    <row r="10" customFormat="false" ht="18" hidden="false" customHeight="true" outlineLevel="0" collapsed="false">
      <c r="A10" s="107" t="str">
        <f aca="false">IF($E10="","",ROW()-3)</f>
        <v/>
      </c>
      <c r="B10" s="110" t="str">
        <f aca="false">IF($E10="","",INDEX(进销存对接!$C$4:$C$305,3))</f>
        <v/>
      </c>
      <c r="C10" s="67" t="str">
        <f aca="false">IF($E10="","","记-"&amp;TEXT($B10,"YYYYMM")&amp;"-进销存")</f>
        <v/>
      </c>
      <c r="D10" s="107" t="str">
        <f aca="false">IF($E10="","",INDEX(进销存对接!$D$4:$D$305,3)&amp;" "&amp;TEXT($B10,"YYYY年M月")&amp;" 自动结转")</f>
        <v/>
      </c>
      <c r="E10" s="67" t="str">
        <f aca="false">IF(INDEX(进销存对接!$M$4:$U$305,3,1)=0,"",INDEX(进销存对接!$M$4:$U$305,3,1))</f>
        <v/>
      </c>
      <c r="F10" s="99" t="str">
        <f aca="false">IF($E10="","",IFERROR(INDEX(科目表!$A$4:$A$81,MATCH($E10,科目表!$B$4:$B$81,0)),""))</f>
        <v/>
      </c>
      <c r="G10" s="67" t="str">
        <f aca="false">IF($E10="","",IFERROR(INDEX(科目表!$E$4:$E$81,MATCH($E10,科目表!$B$4:$B$81,0)),""))</f>
        <v/>
      </c>
      <c r="H10" s="70" t="str">
        <f aca="false">IF($E10="","",N(INDEX(进销存对接!$M$4:$U$305,3,2)))</f>
        <v/>
      </c>
      <c r="I10" s="70" t="str">
        <f aca="false">IF($E10="","",N(INDEX(进销存对接!$M$4:$U$305,3,3)))</f>
        <v/>
      </c>
      <c r="J10" s="67"/>
      <c r="K10" s="67" t="str">
        <f aca="false">IF($E10="","",INDEX(进销存对接!$D$4:$D$305,3))</f>
        <v/>
      </c>
      <c r="L10" s="107"/>
      <c r="M10" s="107"/>
      <c r="N10" s="67" t="str">
        <f aca="false">IF($E10="","","系统")</f>
        <v/>
      </c>
      <c r="O10" s="67" t="str">
        <f aca="false">IF($E10="","","自动A")</f>
        <v/>
      </c>
      <c r="P10" s="18"/>
    </row>
    <row r="11" customFormat="false" ht="18" hidden="false" customHeight="true" outlineLevel="0" collapsed="false">
      <c r="A11" s="107" t="str">
        <f aca="false">IF($E11="","",ROW()-3)</f>
        <v/>
      </c>
      <c r="B11" s="110" t="str">
        <f aca="false">IF($E11="","",INDEX(进销存对接!$C$4:$C$305,3))</f>
        <v/>
      </c>
      <c r="C11" s="67" t="str">
        <f aca="false">IF($E11="","","记-"&amp;TEXT($B11,"YYYYMM")&amp;"-进销存")</f>
        <v/>
      </c>
      <c r="D11" s="107" t="str">
        <f aca="false">IF($E11="","",INDEX(进销存对接!$D$4:$D$305,3)&amp;" "&amp;TEXT($B11,"YYYY年M月")&amp;" 自动结转")</f>
        <v/>
      </c>
      <c r="E11" s="67" t="str">
        <f aca="false">IF(INDEX(进销存对接!$M$4:$U$305,3,4)=0,"",INDEX(进销存对接!$M$4:$U$305,3,4))</f>
        <v/>
      </c>
      <c r="F11" s="99" t="str">
        <f aca="false">IF($E11="","",IFERROR(INDEX(科目表!$A$4:$A$81,MATCH($E11,科目表!$B$4:$B$81,0)),""))</f>
        <v/>
      </c>
      <c r="G11" s="67" t="str">
        <f aca="false">IF($E11="","",IFERROR(INDEX(科目表!$E$4:$E$81,MATCH($E11,科目表!$B$4:$B$81,0)),""))</f>
        <v/>
      </c>
      <c r="H11" s="70" t="str">
        <f aca="false">IF($E11="","",N(INDEX(进销存对接!$M$4:$U$305,3,5)))</f>
        <v/>
      </c>
      <c r="I11" s="70" t="str">
        <f aca="false">IF($E11="","",N(INDEX(进销存对接!$M$4:$U$305,3,6)))</f>
        <v/>
      </c>
      <c r="J11" s="67"/>
      <c r="K11" s="67" t="str">
        <f aca="false">IF($E11="","",INDEX(进销存对接!$D$4:$D$305,3))</f>
        <v/>
      </c>
      <c r="L11" s="107"/>
      <c r="M11" s="107"/>
      <c r="N11" s="67" t="str">
        <f aca="false">IF($E11="","","系统")</f>
        <v/>
      </c>
      <c r="O11" s="67" t="str">
        <f aca="false">IF($E11="","","自动A")</f>
        <v/>
      </c>
      <c r="P11" s="18"/>
    </row>
    <row r="12" customFormat="false" ht="18" hidden="false" customHeight="true" outlineLevel="0" collapsed="false">
      <c r="A12" s="107" t="str">
        <f aca="false">IF($E12="","",ROW()-3)</f>
        <v/>
      </c>
      <c r="B12" s="110" t="str">
        <f aca="false">IF($E12="","",INDEX(进销存对接!$C$4:$C$305,3))</f>
        <v/>
      </c>
      <c r="C12" s="67" t="str">
        <f aca="false">IF($E12="","","记-"&amp;TEXT($B12,"YYYYMM")&amp;"-进销存")</f>
        <v/>
      </c>
      <c r="D12" s="107" t="str">
        <f aca="false">IF($E12="","",INDEX(进销存对接!$D$4:$D$305,3)&amp;" "&amp;TEXT($B12,"YYYY年M月")&amp;" 自动结转")</f>
        <v/>
      </c>
      <c r="E12" s="67" t="str">
        <f aca="false">IF(INDEX(进销存对接!$M$4:$U$305,3,7)=0,"",INDEX(进销存对接!$M$4:$U$305,3,7))</f>
        <v/>
      </c>
      <c r="F12" s="99" t="str">
        <f aca="false">IF($E12="","",IFERROR(INDEX(科目表!$A$4:$A$81,MATCH($E12,科目表!$B$4:$B$81,0)),""))</f>
        <v/>
      </c>
      <c r="G12" s="67" t="str">
        <f aca="false">IF($E12="","",IFERROR(INDEX(科目表!$E$4:$E$81,MATCH($E12,科目表!$B$4:$B$81,0)),""))</f>
        <v/>
      </c>
      <c r="H12" s="70" t="str">
        <f aca="false">IF($E12="","",N(INDEX(进销存对接!$M$4:$U$305,3,8)))</f>
        <v/>
      </c>
      <c r="I12" s="70" t="str">
        <f aca="false">IF($E12="","",N(INDEX(进销存对接!$M$4:$U$305,3,9)))</f>
        <v/>
      </c>
      <c r="J12" s="67"/>
      <c r="K12" s="67" t="str">
        <f aca="false">IF($E12="","",INDEX(进销存对接!$D$4:$D$305,3))</f>
        <v/>
      </c>
      <c r="L12" s="107"/>
      <c r="M12" s="107"/>
      <c r="N12" s="67" t="str">
        <f aca="false">IF($E12="","","系统")</f>
        <v/>
      </c>
      <c r="O12" s="67" t="str">
        <f aca="false">IF($E12="","","自动A")</f>
        <v/>
      </c>
      <c r="P12" s="18"/>
    </row>
    <row r="13" customFormat="false" ht="18" hidden="false" customHeight="true" outlineLevel="0" collapsed="false">
      <c r="A13" s="107" t="str">
        <f aca="false">IF($E13="","",ROW()-3)</f>
        <v/>
      </c>
      <c r="B13" s="110" t="str">
        <f aca="false">IF($E13="","",INDEX(进销存对接!$C$4:$C$305,4))</f>
        <v/>
      </c>
      <c r="C13" s="67" t="str">
        <f aca="false">IF($E13="","","记-"&amp;TEXT($B13,"YYYYMM")&amp;"-进销存")</f>
        <v/>
      </c>
      <c r="D13" s="107" t="str">
        <f aca="false">IF($E13="","",INDEX(进销存对接!$D$4:$D$305,4)&amp;" "&amp;TEXT($B13,"YYYY年M月")&amp;" 自动结转")</f>
        <v/>
      </c>
      <c r="E13" s="67" t="str">
        <f aca="false">IF(INDEX(进销存对接!$M$4:$U$305,4,1)=0,"",INDEX(进销存对接!$M$4:$U$305,4,1))</f>
        <v/>
      </c>
      <c r="F13" s="99" t="str">
        <f aca="false">IF($E13="","",IFERROR(INDEX(科目表!$A$4:$A$81,MATCH($E13,科目表!$B$4:$B$81,0)),""))</f>
        <v/>
      </c>
      <c r="G13" s="67" t="str">
        <f aca="false">IF($E13="","",IFERROR(INDEX(科目表!$E$4:$E$81,MATCH($E13,科目表!$B$4:$B$81,0)),""))</f>
        <v/>
      </c>
      <c r="H13" s="70" t="str">
        <f aca="false">IF($E13="","",N(INDEX(进销存对接!$M$4:$U$305,4,2)))</f>
        <v/>
      </c>
      <c r="I13" s="70" t="str">
        <f aca="false">IF($E13="","",N(INDEX(进销存对接!$M$4:$U$305,4,3)))</f>
        <v/>
      </c>
      <c r="J13" s="67"/>
      <c r="K13" s="67" t="str">
        <f aca="false">IF($E13="","",INDEX(进销存对接!$D$4:$D$305,4))</f>
        <v/>
      </c>
      <c r="L13" s="107"/>
      <c r="M13" s="107"/>
      <c r="N13" s="67" t="str">
        <f aca="false">IF($E13="","","系统")</f>
        <v/>
      </c>
      <c r="O13" s="67" t="str">
        <f aca="false">IF($E13="","","自动A")</f>
        <v/>
      </c>
      <c r="P13" s="18"/>
    </row>
    <row r="14" customFormat="false" ht="18" hidden="false" customHeight="true" outlineLevel="0" collapsed="false">
      <c r="A14" s="107" t="str">
        <f aca="false">IF($E14="","",ROW()-3)</f>
        <v/>
      </c>
      <c r="B14" s="110" t="str">
        <f aca="false">IF($E14="","",INDEX(进销存对接!$C$4:$C$305,4))</f>
        <v/>
      </c>
      <c r="C14" s="67" t="str">
        <f aca="false">IF($E14="","","记-"&amp;TEXT($B14,"YYYYMM")&amp;"-进销存")</f>
        <v/>
      </c>
      <c r="D14" s="107" t="str">
        <f aca="false">IF($E14="","",INDEX(进销存对接!$D$4:$D$305,4)&amp;" "&amp;TEXT($B14,"YYYY年M月")&amp;" 自动结转")</f>
        <v/>
      </c>
      <c r="E14" s="67" t="str">
        <f aca="false">IF(INDEX(进销存对接!$M$4:$U$305,4,4)=0,"",INDEX(进销存对接!$M$4:$U$305,4,4))</f>
        <v/>
      </c>
      <c r="F14" s="99" t="str">
        <f aca="false">IF($E14="","",IFERROR(INDEX(科目表!$A$4:$A$81,MATCH($E14,科目表!$B$4:$B$81,0)),""))</f>
        <v/>
      </c>
      <c r="G14" s="67" t="str">
        <f aca="false">IF($E14="","",IFERROR(INDEX(科目表!$E$4:$E$81,MATCH($E14,科目表!$B$4:$B$81,0)),""))</f>
        <v/>
      </c>
      <c r="H14" s="70" t="str">
        <f aca="false">IF($E14="","",N(INDEX(进销存对接!$M$4:$U$305,4,5)))</f>
        <v/>
      </c>
      <c r="I14" s="70" t="str">
        <f aca="false">IF($E14="","",N(INDEX(进销存对接!$M$4:$U$305,4,6)))</f>
        <v/>
      </c>
      <c r="J14" s="67"/>
      <c r="K14" s="67" t="str">
        <f aca="false">IF($E14="","",INDEX(进销存对接!$D$4:$D$305,4))</f>
        <v/>
      </c>
      <c r="L14" s="107"/>
      <c r="M14" s="107"/>
      <c r="N14" s="67" t="str">
        <f aca="false">IF($E14="","","系统")</f>
        <v/>
      </c>
      <c r="O14" s="67" t="str">
        <f aca="false">IF($E14="","","自动A")</f>
        <v/>
      </c>
      <c r="P14" s="18"/>
    </row>
    <row r="15" customFormat="false" ht="18" hidden="false" customHeight="true" outlineLevel="0" collapsed="false">
      <c r="A15" s="107" t="str">
        <f aca="false">IF($E15="","",ROW()-3)</f>
        <v/>
      </c>
      <c r="B15" s="110" t="str">
        <f aca="false">IF($E15="","",INDEX(进销存对接!$C$4:$C$305,4))</f>
        <v/>
      </c>
      <c r="C15" s="67" t="str">
        <f aca="false">IF($E15="","","记-"&amp;TEXT($B15,"YYYYMM")&amp;"-进销存")</f>
        <v/>
      </c>
      <c r="D15" s="107" t="str">
        <f aca="false">IF($E15="","",INDEX(进销存对接!$D$4:$D$305,4)&amp;" "&amp;TEXT($B15,"YYYY年M月")&amp;" 自动结转")</f>
        <v/>
      </c>
      <c r="E15" s="67" t="str">
        <f aca="false">IF(INDEX(进销存对接!$M$4:$U$305,4,7)=0,"",INDEX(进销存对接!$M$4:$U$305,4,7))</f>
        <v/>
      </c>
      <c r="F15" s="99" t="str">
        <f aca="false">IF($E15="","",IFERROR(INDEX(科目表!$A$4:$A$81,MATCH($E15,科目表!$B$4:$B$81,0)),""))</f>
        <v/>
      </c>
      <c r="G15" s="67" t="str">
        <f aca="false">IF($E15="","",IFERROR(INDEX(科目表!$E$4:$E$81,MATCH($E15,科目表!$B$4:$B$81,0)),""))</f>
        <v/>
      </c>
      <c r="H15" s="70" t="str">
        <f aca="false">IF($E15="","",N(INDEX(进销存对接!$M$4:$U$305,4,8)))</f>
        <v/>
      </c>
      <c r="I15" s="70" t="str">
        <f aca="false">IF($E15="","",N(INDEX(进销存对接!$M$4:$U$305,4,9)))</f>
        <v/>
      </c>
      <c r="J15" s="67"/>
      <c r="K15" s="67" t="str">
        <f aca="false">IF($E15="","",INDEX(进销存对接!$D$4:$D$305,4))</f>
        <v/>
      </c>
      <c r="L15" s="107"/>
      <c r="M15" s="107"/>
      <c r="N15" s="67" t="str">
        <f aca="false">IF($E15="","","系统")</f>
        <v/>
      </c>
      <c r="O15" s="67" t="str">
        <f aca="false">IF($E15="","","自动A")</f>
        <v/>
      </c>
      <c r="P15" s="18"/>
    </row>
    <row r="16" customFormat="false" ht="18" hidden="false" customHeight="true" outlineLevel="0" collapsed="false">
      <c r="A16" s="107" t="str">
        <f aca="false">IF($E16="","",ROW()-3)</f>
        <v/>
      </c>
      <c r="B16" s="110" t="str">
        <f aca="false">IF($E16="","",INDEX(进销存对接!$C$4:$C$305,5))</f>
        <v/>
      </c>
      <c r="C16" s="67" t="str">
        <f aca="false">IF($E16="","","记-"&amp;TEXT($B16,"YYYYMM")&amp;"-进销存")</f>
        <v/>
      </c>
      <c r="D16" s="107" t="str">
        <f aca="false">IF($E16="","",INDEX(进销存对接!$D$4:$D$305,5)&amp;" "&amp;TEXT($B16,"YYYY年M月")&amp;" 自动结转")</f>
        <v/>
      </c>
      <c r="E16" s="67" t="str">
        <f aca="false">IF(INDEX(进销存对接!$M$4:$U$305,5,1)=0,"",INDEX(进销存对接!$M$4:$U$305,5,1))</f>
        <v/>
      </c>
      <c r="F16" s="99" t="str">
        <f aca="false">IF($E16="","",IFERROR(INDEX(科目表!$A$4:$A$81,MATCH($E16,科目表!$B$4:$B$81,0)),""))</f>
        <v/>
      </c>
      <c r="G16" s="67" t="str">
        <f aca="false">IF($E16="","",IFERROR(INDEX(科目表!$E$4:$E$81,MATCH($E16,科目表!$B$4:$B$81,0)),""))</f>
        <v/>
      </c>
      <c r="H16" s="70" t="str">
        <f aca="false">IF($E16="","",N(INDEX(进销存对接!$M$4:$U$305,5,2)))</f>
        <v/>
      </c>
      <c r="I16" s="70" t="str">
        <f aca="false">IF($E16="","",N(INDEX(进销存对接!$M$4:$U$305,5,3)))</f>
        <v/>
      </c>
      <c r="J16" s="67"/>
      <c r="K16" s="67" t="str">
        <f aca="false">IF($E16="","",INDEX(进销存对接!$D$4:$D$305,5))</f>
        <v/>
      </c>
      <c r="L16" s="107"/>
      <c r="M16" s="107"/>
      <c r="N16" s="67" t="str">
        <f aca="false">IF($E16="","","系统")</f>
        <v/>
      </c>
      <c r="O16" s="67" t="str">
        <f aca="false">IF($E16="","","自动A")</f>
        <v/>
      </c>
      <c r="P16" s="18"/>
    </row>
    <row r="17" customFormat="false" ht="18" hidden="false" customHeight="true" outlineLevel="0" collapsed="false">
      <c r="A17" s="107" t="str">
        <f aca="false">IF($E17="","",ROW()-3)</f>
        <v/>
      </c>
      <c r="B17" s="110" t="str">
        <f aca="false">IF($E17="","",INDEX(进销存对接!$C$4:$C$305,5))</f>
        <v/>
      </c>
      <c r="C17" s="67" t="str">
        <f aca="false">IF($E17="","","记-"&amp;TEXT($B17,"YYYYMM")&amp;"-进销存")</f>
        <v/>
      </c>
      <c r="D17" s="107" t="str">
        <f aca="false">IF($E17="","",INDEX(进销存对接!$D$4:$D$305,5)&amp;" "&amp;TEXT($B17,"YYYY年M月")&amp;" 自动结转")</f>
        <v/>
      </c>
      <c r="E17" s="67" t="str">
        <f aca="false">IF(INDEX(进销存对接!$M$4:$U$305,5,4)=0,"",INDEX(进销存对接!$M$4:$U$305,5,4))</f>
        <v/>
      </c>
      <c r="F17" s="99" t="str">
        <f aca="false">IF($E17="","",IFERROR(INDEX(科目表!$A$4:$A$81,MATCH($E17,科目表!$B$4:$B$81,0)),""))</f>
        <v/>
      </c>
      <c r="G17" s="67" t="str">
        <f aca="false">IF($E17="","",IFERROR(INDEX(科目表!$E$4:$E$81,MATCH($E17,科目表!$B$4:$B$81,0)),""))</f>
        <v/>
      </c>
      <c r="H17" s="70" t="str">
        <f aca="false">IF($E17="","",N(INDEX(进销存对接!$M$4:$U$305,5,5)))</f>
        <v/>
      </c>
      <c r="I17" s="70" t="str">
        <f aca="false">IF($E17="","",N(INDEX(进销存对接!$M$4:$U$305,5,6)))</f>
        <v/>
      </c>
      <c r="J17" s="67"/>
      <c r="K17" s="67" t="str">
        <f aca="false">IF($E17="","",INDEX(进销存对接!$D$4:$D$305,5))</f>
        <v/>
      </c>
      <c r="L17" s="107"/>
      <c r="M17" s="107"/>
      <c r="N17" s="67" t="str">
        <f aca="false">IF($E17="","","系统")</f>
        <v/>
      </c>
      <c r="O17" s="67" t="str">
        <f aca="false">IF($E17="","","自动A")</f>
        <v/>
      </c>
      <c r="P17" s="18"/>
    </row>
    <row r="18" customFormat="false" ht="18" hidden="false" customHeight="true" outlineLevel="0" collapsed="false">
      <c r="A18" s="107" t="str">
        <f aca="false">IF($E18="","",ROW()-3)</f>
        <v/>
      </c>
      <c r="B18" s="110" t="str">
        <f aca="false">IF($E18="","",INDEX(进销存对接!$C$4:$C$305,5))</f>
        <v/>
      </c>
      <c r="C18" s="67" t="str">
        <f aca="false">IF($E18="","","记-"&amp;TEXT($B18,"YYYYMM")&amp;"-进销存")</f>
        <v/>
      </c>
      <c r="D18" s="107" t="str">
        <f aca="false">IF($E18="","",INDEX(进销存对接!$D$4:$D$305,5)&amp;" "&amp;TEXT($B18,"YYYY年M月")&amp;" 自动结转")</f>
        <v/>
      </c>
      <c r="E18" s="67" t="str">
        <f aca="false">IF(INDEX(进销存对接!$M$4:$U$305,5,7)=0,"",INDEX(进销存对接!$M$4:$U$305,5,7))</f>
        <v/>
      </c>
      <c r="F18" s="99" t="str">
        <f aca="false">IF($E18="","",IFERROR(INDEX(科目表!$A$4:$A$81,MATCH($E18,科目表!$B$4:$B$81,0)),""))</f>
        <v/>
      </c>
      <c r="G18" s="67" t="str">
        <f aca="false">IF($E18="","",IFERROR(INDEX(科目表!$E$4:$E$81,MATCH($E18,科目表!$B$4:$B$81,0)),""))</f>
        <v/>
      </c>
      <c r="H18" s="70" t="str">
        <f aca="false">IF($E18="","",N(INDEX(进销存对接!$M$4:$U$305,5,8)))</f>
        <v/>
      </c>
      <c r="I18" s="70" t="str">
        <f aca="false">IF($E18="","",N(INDEX(进销存对接!$M$4:$U$305,5,9)))</f>
        <v/>
      </c>
      <c r="J18" s="67"/>
      <c r="K18" s="67" t="str">
        <f aca="false">IF($E18="","",INDEX(进销存对接!$D$4:$D$305,5))</f>
        <v/>
      </c>
      <c r="L18" s="107"/>
      <c r="M18" s="107"/>
      <c r="N18" s="67" t="str">
        <f aca="false">IF($E18="","","系统")</f>
        <v/>
      </c>
      <c r="O18" s="67" t="str">
        <f aca="false">IF($E18="","","自动A")</f>
        <v/>
      </c>
      <c r="P18" s="18"/>
    </row>
    <row r="19" customFormat="false" ht="18" hidden="false" customHeight="true" outlineLevel="0" collapsed="false">
      <c r="A19" s="107" t="n">
        <f aca="false">IF($E19="","",ROW()-3)</f>
        <v>16</v>
      </c>
      <c r="B19" s="110" t="n">
        <f aca="false">IF($E19="","",INDEX(进销存对接!$C$4:$C$305,6))</f>
        <v>46266</v>
      </c>
      <c r="C19" s="67" t="str">
        <f aca="false">IF($E19="","","记-"&amp;TEXT($B19,"YYYYMM")&amp;"-进销存")</f>
        <v>记-202609-进销存</v>
      </c>
      <c r="D19" s="107" t="str">
        <f aca="false">IF($E19="","",INDEX(进销存对接!$D$4:$D$305,6)&amp;" "&amp;TEXT($B19,"YYYY年M月")&amp;" 自动结转")</f>
        <v>水果销售 2026年9月 自动结转</v>
      </c>
      <c r="E19" s="67" t="str">
        <f aca="false">IF(INDEX(进销存对接!$M$4:$U$305,6,1)=0,"",INDEX(进销存对接!$M$4:$U$305,6,1))</f>
        <v>应收账款</v>
      </c>
      <c r="F19" s="99" t="str">
        <f aca="false">IF($E19="","",IFERROR(INDEX(科目表!$A$4:$A$81,MATCH($E19,科目表!$B$4:$B$81,0)),""))</f>
        <v>1122</v>
      </c>
      <c r="G19" s="67" t="str">
        <f aca="false">IF($E19="","",IFERROR(INDEX(科目表!$E$4:$E$81,MATCH($E19,科目表!$B$4:$B$81,0)),""))</f>
        <v>应收账款</v>
      </c>
      <c r="H19" s="70" t="n">
        <f aca="false">IF($E19="","",N(INDEX(进销存对接!$M$4:$U$305,6,2)))</f>
        <v>40</v>
      </c>
      <c r="I19" s="70" t="n">
        <f aca="false">IF($E19="","",N(INDEX(进销存对接!$M$4:$U$305,6,3)))</f>
        <v>0</v>
      </c>
      <c r="J19" s="67"/>
      <c r="K19" s="67" t="str">
        <f aca="false">IF($E19="","",INDEX(进销存对接!$D$4:$D$305,6))</f>
        <v>水果销售</v>
      </c>
      <c r="L19" s="107"/>
      <c r="M19" s="107"/>
      <c r="N19" s="67" t="str">
        <f aca="false">IF($E19="","","系统")</f>
        <v>系统</v>
      </c>
      <c r="O19" s="67" t="str">
        <f aca="false">IF($E19="","","自动A")</f>
        <v>自动A</v>
      </c>
      <c r="P19" s="18"/>
    </row>
    <row r="20" customFormat="false" ht="18" hidden="false" customHeight="true" outlineLevel="0" collapsed="false">
      <c r="A20" s="107" t="n">
        <f aca="false">IF($E20="","",ROW()-3)</f>
        <v>17</v>
      </c>
      <c r="B20" s="110" t="n">
        <f aca="false">IF($E20="","",INDEX(进销存对接!$C$4:$C$305,6))</f>
        <v>46266</v>
      </c>
      <c r="C20" s="67" t="str">
        <f aca="false">IF($E20="","","记-"&amp;TEXT($B20,"YYYYMM")&amp;"-进销存")</f>
        <v>记-202609-进销存</v>
      </c>
      <c r="D20" s="107" t="str">
        <f aca="false">IF($E20="","",INDEX(进销存对接!$D$4:$D$305,6)&amp;" "&amp;TEXT($B20,"YYYY年M月")&amp;" 自动结转")</f>
        <v>水果销售 2026年9月 自动结转</v>
      </c>
      <c r="E20" s="67" t="str">
        <f aca="false">IF(INDEX(进销存对接!$M$4:$U$305,6,4)=0,"",INDEX(进销存对接!$M$4:$U$305,6,4))</f>
        <v>主营业务收入—水果销售</v>
      </c>
      <c r="F20" s="99" t="str">
        <f aca="false">IF($E20="","",IFERROR(INDEX(科目表!$A$4:$A$81,MATCH($E20,科目表!$B$4:$B$81,0)),""))</f>
        <v>5004</v>
      </c>
      <c r="G20" s="67" t="str">
        <f aca="false">IF($E20="","",IFERROR(INDEX(科目表!$E$4:$E$81,MATCH($E20,科目表!$B$4:$B$81,0)),""))</f>
        <v>营业收入</v>
      </c>
      <c r="H20" s="70" t="n">
        <f aca="false">IF($E20="","",N(INDEX(进销存对接!$M$4:$U$305,6,5)))</f>
        <v>0</v>
      </c>
      <c r="I20" s="70" t="n">
        <f aca="false">IF($E20="","",N(INDEX(进销存对接!$M$4:$U$305,6,6)))</f>
        <v>40</v>
      </c>
      <c r="J20" s="67"/>
      <c r="K20" s="67" t="str">
        <f aca="false">IF($E20="","",INDEX(进销存对接!$D$4:$D$305,6))</f>
        <v>水果销售</v>
      </c>
      <c r="L20" s="107"/>
      <c r="M20" s="107"/>
      <c r="N20" s="67" t="str">
        <f aca="false">IF($E20="","","系统")</f>
        <v>系统</v>
      </c>
      <c r="O20" s="67" t="str">
        <f aca="false">IF($E20="","","自动A")</f>
        <v>自动A</v>
      </c>
      <c r="P20" s="18"/>
    </row>
    <row r="21" customFormat="false" ht="18" hidden="false" customHeight="true" outlineLevel="0" collapsed="false">
      <c r="A21" s="107" t="str">
        <f aca="false">IF($E21="","",ROW()-3)</f>
        <v/>
      </c>
      <c r="B21" s="110" t="str">
        <f aca="false">IF($E21="","",INDEX(进销存对接!$C$4:$C$305,6))</f>
        <v/>
      </c>
      <c r="C21" s="67" t="str">
        <f aca="false">IF($E21="","","记-"&amp;TEXT($B21,"YYYYMM")&amp;"-进销存")</f>
        <v/>
      </c>
      <c r="D21" s="107" t="str">
        <f aca="false">IF($E21="","",INDEX(进销存对接!$D$4:$D$305,6)&amp;" "&amp;TEXT($B21,"YYYY年M月")&amp;" 自动结转")</f>
        <v/>
      </c>
      <c r="E21" s="67" t="str">
        <f aca="false">IF(INDEX(进销存对接!$M$4:$U$305,6,7)=0,"",INDEX(进销存对接!$M$4:$U$305,6,7))</f>
        <v/>
      </c>
      <c r="F21" s="99" t="str">
        <f aca="false">IF($E21="","",IFERROR(INDEX(科目表!$A$4:$A$81,MATCH($E21,科目表!$B$4:$B$81,0)),""))</f>
        <v/>
      </c>
      <c r="G21" s="67" t="str">
        <f aca="false">IF($E21="","",IFERROR(INDEX(科目表!$E$4:$E$81,MATCH($E21,科目表!$B$4:$B$81,0)),""))</f>
        <v/>
      </c>
      <c r="H21" s="70" t="str">
        <f aca="false">IF($E21="","",N(INDEX(进销存对接!$M$4:$U$305,6,8)))</f>
        <v/>
      </c>
      <c r="I21" s="70" t="str">
        <f aca="false">IF($E21="","",N(INDEX(进销存对接!$M$4:$U$305,6,9)))</f>
        <v/>
      </c>
      <c r="J21" s="67"/>
      <c r="K21" s="67" t="str">
        <f aca="false">IF($E21="","",INDEX(进销存对接!$D$4:$D$305,6))</f>
        <v/>
      </c>
      <c r="L21" s="107"/>
      <c r="M21" s="107"/>
      <c r="N21" s="67" t="str">
        <f aca="false">IF($E21="","","系统")</f>
        <v/>
      </c>
      <c r="O21" s="67" t="str">
        <f aca="false">IF($E21="","","自动A")</f>
        <v/>
      </c>
      <c r="P21" s="18"/>
    </row>
    <row r="22" customFormat="false" ht="18" hidden="false" customHeight="true" outlineLevel="0" collapsed="false">
      <c r="A22" s="107" t="n">
        <f aca="false">IF($E22="","",ROW()-3)</f>
        <v>19</v>
      </c>
      <c r="B22" s="110" t="n">
        <f aca="false">IF($E22="","",INDEX(进销存对接!$C$4:$C$305,7))</f>
        <v>46266</v>
      </c>
      <c r="C22" s="67" t="str">
        <f aca="false">IF($E22="","","记-"&amp;TEXT($B22,"YYYYMM")&amp;"-进销存")</f>
        <v>记-202609-进销存</v>
      </c>
      <c r="D22" s="107" t="str">
        <f aca="false">IF($E22="","",INDEX(进销存对接!$D$4:$D$305,7)&amp;" "&amp;TEXT($B22,"YYYY年M月")&amp;" 自动结转")</f>
        <v>运费 2026年9月 自动结转</v>
      </c>
      <c r="E22" s="67" t="str">
        <f aca="false">IF(INDEX(进销存对接!$M$4:$U$305,7,1)=0,"",INDEX(进销存对接!$M$4:$U$305,7,1))</f>
        <v>应收账款</v>
      </c>
      <c r="F22" s="99" t="str">
        <f aca="false">IF($E22="","",IFERROR(INDEX(科目表!$A$4:$A$81,MATCH($E22,科目表!$B$4:$B$81,0)),""))</f>
        <v>1122</v>
      </c>
      <c r="G22" s="67" t="str">
        <f aca="false">IF($E22="","",IFERROR(INDEX(科目表!$E$4:$E$81,MATCH($E22,科目表!$B$4:$B$81,0)),""))</f>
        <v>应收账款</v>
      </c>
      <c r="H22" s="70" t="n">
        <f aca="false">IF($E22="","",N(INDEX(进销存对接!$M$4:$U$305,7,2)))</f>
        <v>352</v>
      </c>
      <c r="I22" s="70" t="n">
        <f aca="false">IF($E22="","",N(INDEX(进销存对接!$M$4:$U$305,7,3)))</f>
        <v>0</v>
      </c>
      <c r="J22" s="67"/>
      <c r="K22" s="67" t="str">
        <f aca="false">IF($E22="","",INDEX(进销存对接!$D$4:$D$305,7))</f>
        <v>运费</v>
      </c>
      <c r="L22" s="107"/>
      <c r="M22" s="107"/>
      <c r="N22" s="67" t="str">
        <f aca="false">IF($E22="","","系统")</f>
        <v>系统</v>
      </c>
      <c r="O22" s="67" t="str">
        <f aca="false">IF($E22="","","自动A")</f>
        <v>自动A</v>
      </c>
      <c r="P22" s="18"/>
    </row>
    <row r="23" customFormat="false" ht="18" hidden="false" customHeight="true" outlineLevel="0" collapsed="false">
      <c r="A23" s="107" t="n">
        <f aca="false">IF($E23="","",ROW()-3)</f>
        <v>20</v>
      </c>
      <c r="B23" s="110" t="n">
        <f aca="false">IF($E23="","",INDEX(进销存对接!$C$4:$C$305,7))</f>
        <v>46266</v>
      </c>
      <c r="C23" s="67" t="str">
        <f aca="false">IF($E23="","","记-"&amp;TEXT($B23,"YYYYMM")&amp;"-进销存")</f>
        <v>记-202609-进销存</v>
      </c>
      <c r="D23" s="107" t="str">
        <f aca="false">IF($E23="","",INDEX(进销存对接!$D$4:$D$305,7)&amp;" "&amp;TEXT($B23,"YYYY年M月")&amp;" 自动结转")</f>
        <v>运费 2026年9月 自动结转</v>
      </c>
      <c r="E23" s="67" t="str">
        <f aca="false">IF(INDEX(进销存对接!$M$4:$U$305,7,4)=0,"",INDEX(进销存对接!$M$4:$U$305,7,4))</f>
        <v>其他业务收入—运费</v>
      </c>
      <c r="F23" s="99" t="str">
        <f aca="false">IF($E23="","",IFERROR(INDEX(科目表!$A$4:$A$81,MATCH($E23,科目表!$B$4:$B$81,0)),""))</f>
        <v/>
      </c>
      <c r="G23" s="67" t="str">
        <f aca="false">IF($E23="","",IFERROR(INDEX(科目表!$E$4:$E$81,MATCH($E23,科目表!$B$4:$B$81,0)),""))</f>
        <v/>
      </c>
      <c r="H23" s="70" t="n">
        <f aca="false">IF($E23="","",N(INDEX(进销存对接!$M$4:$U$305,7,5)))</f>
        <v>0</v>
      </c>
      <c r="I23" s="70" t="n">
        <f aca="false">IF($E23="","",N(INDEX(进销存对接!$M$4:$U$305,7,6)))</f>
        <v>352</v>
      </c>
      <c r="J23" s="67"/>
      <c r="K23" s="67" t="str">
        <f aca="false">IF($E23="","",INDEX(进销存对接!$D$4:$D$305,7))</f>
        <v>运费</v>
      </c>
      <c r="L23" s="107"/>
      <c r="M23" s="107"/>
      <c r="N23" s="67" t="str">
        <f aca="false">IF($E23="","","系统")</f>
        <v>系统</v>
      </c>
      <c r="O23" s="67" t="str">
        <f aca="false">IF($E23="","","自动A")</f>
        <v>自动A</v>
      </c>
      <c r="P23" s="18"/>
    </row>
    <row r="24" customFormat="false" ht="18" hidden="false" customHeight="true" outlineLevel="0" collapsed="false">
      <c r="A24" s="107" t="str">
        <f aca="false">IF($E24="","",ROW()-3)</f>
        <v/>
      </c>
      <c r="B24" s="110" t="str">
        <f aca="false">IF($E24="","",INDEX(进销存对接!$C$4:$C$305,7))</f>
        <v/>
      </c>
      <c r="C24" s="67" t="str">
        <f aca="false">IF($E24="","","记-"&amp;TEXT($B24,"YYYYMM")&amp;"-进销存")</f>
        <v/>
      </c>
      <c r="D24" s="107" t="str">
        <f aca="false">IF($E24="","",INDEX(进销存对接!$D$4:$D$305,7)&amp;" "&amp;TEXT($B24,"YYYY年M月")&amp;" 自动结转")</f>
        <v/>
      </c>
      <c r="E24" s="67" t="str">
        <f aca="false">IF(INDEX(进销存对接!$M$4:$U$305,7,7)=0,"",INDEX(进销存对接!$M$4:$U$305,7,7))</f>
        <v/>
      </c>
      <c r="F24" s="99" t="str">
        <f aca="false">IF($E24="","",IFERROR(INDEX(科目表!$A$4:$A$81,MATCH($E24,科目表!$B$4:$B$81,0)),""))</f>
        <v/>
      </c>
      <c r="G24" s="67" t="str">
        <f aca="false">IF($E24="","",IFERROR(INDEX(科目表!$E$4:$E$81,MATCH($E24,科目表!$B$4:$B$81,0)),""))</f>
        <v/>
      </c>
      <c r="H24" s="70" t="str">
        <f aca="false">IF($E24="","",N(INDEX(进销存对接!$M$4:$U$305,7,8)))</f>
        <v/>
      </c>
      <c r="I24" s="70" t="str">
        <f aca="false">IF($E24="","",N(INDEX(进销存对接!$M$4:$U$305,7,9)))</f>
        <v/>
      </c>
      <c r="J24" s="67"/>
      <c r="K24" s="67" t="str">
        <f aca="false">IF($E24="","",INDEX(进销存对接!$D$4:$D$305,7))</f>
        <v/>
      </c>
      <c r="L24" s="107"/>
      <c r="M24" s="107"/>
      <c r="N24" s="67" t="str">
        <f aca="false">IF($E24="","","系统")</f>
        <v/>
      </c>
      <c r="O24" s="67" t="str">
        <f aca="false">IF($E24="","","自动A")</f>
        <v/>
      </c>
      <c r="P24" s="18"/>
    </row>
    <row r="25" customFormat="false" ht="18" hidden="false" customHeight="true" outlineLevel="0" collapsed="false">
      <c r="A25" s="107" t="str">
        <f aca="false">IF($E25="","",ROW()-3)</f>
        <v/>
      </c>
      <c r="B25" s="110" t="str">
        <f aca="false">IF($E25="","",INDEX(进销存对接!$C$4:$C$305,8))</f>
        <v/>
      </c>
      <c r="C25" s="67" t="str">
        <f aca="false">IF($E25="","","记-"&amp;TEXT($B25,"YYYYMM")&amp;"-进销存")</f>
        <v/>
      </c>
      <c r="D25" s="107" t="str">
        <f aca="false">IF($E25="","",INDEX(进销存对接!$D$4:$D$305,8)&amp;" "&amp;TEXT($B25,"YYYY年M月")&amp;" 自动结转")</f>
        <v/>
      </c>
      <c r="E25" s="67" t="str">
        <f aca="false">IF(INDEX(进销存对接!$M$4:$U$305,8,1)=0,"",INDEX(进销存对接!$M$4:$U$305,8,1))</f>
        <v/>
      </c>
      <c r="F25" s="99" t="str">
        <f aca="false">IF($E25="","",IFERROR(INDEX(科目表!$A$4:$A$81,MATCH($E25,科目表!$B$4:$B$81,0)),""))</f>
        <v/>
      </c>
      <c r="G25" s="67" t="str">
        <f aca="false">IF($E25="","",IFERROR(INDEX(科目表!$E$4:$E$81,MATCH($E25,科目表!$B$4:$B$81,0)),""))</f>
        <v/>
      </c>
      <c r="H25" s="70" t="str">
        <f aca="false">IF($E25="","",N(INDEX(进销存对接!$M$4:$U$305,8,2)))</f>
        <v/>
      </c>
      <c r="I25" s="70" t="str">
        <f aca="false">IF($E25="","",N(INDEX(进销存对接!$M$4:$U$305,8,3)))</f>
        <v/>
      </c>
      <c r="J25" s="67"/>
      <c r="K25" s="67" t="str">
        <f aca="false">IF($E25="","",INDEX(进销存对接!$D$4:$D$305,8))</f>
        <v/>
      </c>
      <c r="L25" s="107"/>
      <c r="M25" s="107"/>
      <c r="N25" s="67" t="str">
        <f aca="false">IF($E25="","","系统")</f>
        <v/>
      </c>
      <c r="O25" s="67" t="str">
        <f aca="false">IF($E25="","","自动A")</f>
        <v/>
      </c>
      <c r="P25" s="18"/>
    </row>
    <row r="26" customFormat="false" ht="18" hidden="false" customHeight="true" outlineLevel="0" collapsed="false">
      <c r="A26" s="107" t="str">
        <f aca="false">IF($E26="","",ROW()-3)</f>
        <v/>
      </c>
      <c r="B26" s="110" t="str">
        <f aca="false">IF($E26="","",INDEX(进销存对接!$C$4:$C$305,8))</f>
        <v/>
      </c>
      <c r="C26" s="67" t="str">
        <f aca="false">IF($E26="","","记-"&amp;TEXT($B26,"YYYYMM")&amp;"-进销存")</f>
        <v/>
      </c>
      <c r="D26" s="107" t="str">
        <f aca="false">IF($E26="","",INDEX(进销存对接!$D$4:$D$305,8)&amp;" "&amp;TEXT($B26,"YYYY年M月")&amp;" 自动结转")</f>
        <v/>
      </c>
      <c r="E26" s="67" t="str">
        <f aca="false">IF(INDEX(进销存对接!$M$4:$U$305,8,4)=0,"",INDEX(进销存对接!$M$4:$U$305,8,4))</f>
        <v/>
      </c>
      <c r="F26" s="99" t="str">
        <f aca="false">IF($E26="","",IFERROR(INDEX(科目表!$A$4:$A$81,MATCH($E26,科目表!$B$4:$B$81,0)),""))</f>
        <v/>
      </c>
      <c r="G26" s="67" t="str">
        <f aca="false">IF($E26="","",IFERROR(INDEX(科目表!$E$4:$E$81,MATCH($E26,科目表!$B$4:$B$81,0)),""))</f>
        <v/>
      </c>
      <c r="H26" s="70" t="str">
        <f aca="false">IF($E26="","",N(INDEX(进销存对接!$M$4:$U$305,8,5)))</f>
        <v/>
      </c>
      <c r="I26" s="70" t="str">
        <f aca="false">IF($E26="","",N(INDEX(进销存对接!$M$4:$U$305,8,6)))</f>
        <v/>
      </c>
      <c r="J26" s="67"/>
      <c r="K26" s="67" t="str">
        <f aca="false">IF($E26="","",INDEX(进销存对接!$D$4:$D$305,8))</f>
        <v/>
      </c>
      <c r="L26" s="107"/>
      <c r="M26" s="107"/>
      <c r="N26" s="67" t="str">
        <f aca="false">IF($E26="","","系统")</f>
        <v/>
      </c>
      <c r="O26" s="67" t="str">
        <f aca="false">IF($E26="","","自动A")</f>
        <v/>
      </c>
      <c r="P26" s="18"/>
    </row>
    <row r="27" customFormat="false" ht="18" hidden="false" customHeight="true" outlineLevel="0" collapsed="false">
      <c r="A27" s="107" t="str">
        <f aca="false">IF($E27="","",ROW()-3)</f>
        <v/>
      </c>
      <c r="B27" s="110" t="str">
        <f aca="false">IF($E27="","",INDEX(进销存对接!$C$4:$C$305,8))</f>
        <v/>
      </c>
      <c r="C27" s="67" t="str">
        <f aca="false">IF($E27="","","记-"&amp;TEXT($B27,"YYYYMM")&amp;"-进销存")</f>
        <v/>
      </c>
      <c r="D27" s="107" t="str">
        <f aca="false">IF($E27="","",INDEX(进销存对接!$D$4:$D$305,8)&amp;" "&amp;TEXT($B27,"YYYY年M月")&amp;" 自动结转")</f>
        <v/>
      </c>
      <c r="E27" s="67" t="str">
        <f aca="false">IF(INDEX(进销存对接!$M$4:$U$305,8,7)=0,"",INDEX(进销存对接!$M$4:$U$305,8,7))</f>
        <v/>
      </c>
      <c r="F27" s="99" t="str">
        <f aca="false">IF($E27="","",IFERROR(INDEX(科目表!$A$4:$A$81,MATCH($E27,科目表!$B$4:$B$81,0)),""))</f>
        <v/>
      </c>
      <c r="G27" s="67" t="str">
        <f aca="false">IF($E27="","",IFERROR(INDEX(科目表!$E$4:$E$81,MATCH($E27,科目表!$B$4:$B$81,0)),""))</f>
        <v/>
      </c>
      <c r="H27" s="70" t="str">
        <f aca="false">IF($E27="","",N(INDEX(进销存对接!$M$4:$U$305,8,8)))</f>
        <v/>
      </c>
      <c r="I27" s="70" t="str">
        <f aca="false">IF($E27="","",N(INDEX(进销存对接!$M$4:$U$305,8,9)))</f>
        <v/>
      </c>
      <c r="J27" s="67"/>
      <c r="K27" s="67" t="str">
        <f aca="false">IF($E27="","",INDEX(进销存对接!$D$4:$D$305,8))</f>
        <v/>
      </c>
      <c r="L27" s="107"/>
      <c r="M27" s="107"/>
      <c r="N27" s="67" t="str">
        <f aca="false">IF($E27="","","系统")</f>
        <v/>
      </c>
      <c r="O27" s="67" t="str">
        <f aca="false">IF($E27="","","自动A")</f>
        <v/>
      </c>
      <c r="P27" s="18"/>
    </row>
    <row r="28" customFormat="false" ht="18" hidden="false" customHeight="true" outlineLevel="0" collapsed="false">
      <c r="A28" s="107" t="str">
        <f aca="false">IF($E28="","",ROW()-3)</f>
        <v/>
      </c>
      <c r="B28" s="110" t="str">
        <f aca="false">IF($E28="","",INDEX(进销存对接!$C$4:$C$305,9))</f>
        <v/>
      </c>
      <c r="C28" s="67" t="str">
        <f aca="false">IF($E28="","","记-"&amp;TEXT($B28,"YYYYMM")&amp;"-进销存")</f>
        <v/>
      </c>
      <c r="D28" s="107" t="str">
        <f aca="false">IF($E28="","",INDEX(进销存对接!$D$4:$D$305,9)&amp;" "&amp;TEXT($B28,"YYYY年M月")&amp;" 自动结转")</f>
        <v/>
      </c>
      <c r="E28" s="67" t="str">
        <f aca="false">IF(INDEX(进销存对接!$M$4:$U$305,9,1)=0,"",INDEX(进销存对接!$M$4:$U$305,9,1))</f>
        <v/>
      </c>
      <c r="F28" s="99" t="str">
        <f aca="false">IF($E28="","",IFERROR(INDEX(科目表!$A$4:$A$81,MATCH($E28,科目表!$B$4:$B$81,0)),""))</f>
        <v/>
      </c>
      <c r="G28" s="67" t="str">
        <f aca="false">IF($E28="","",IFERROR(INDEX(科目表!$E$4:$E$81,MATCH($E28,科目表!$B$4:$B$81,0)),""))</f>
        <v/>
      </c>
      <c r="H28" s="70" t="str">
        <f aca="false">IF($E28="","",N(INDEX(进销存对接!$M$4:$U$305,9,2)))</f>
        <v/>
      </c>
      <c r="I28" s="70" t="str">
        <f aca="false">IF($E28="","",N(INDEX(进销存对接!$M$4:$U$305,9,3)))</f>
        <v/>
      </c>
      <c r="J28" s="67"/>
      <c r="K28" s="67" t="str">
        <f aca="false">IF($E28="","",INDEX(进销存对接!$D$4:$D$305,9))</f>
        <v/>
      </c>
      <c r="L28" s="107"/>
      <c r="M28" s="107"/>
      <c r="N28" s="67" t="str">
        <f aca="false">IF($E28="","","系统")</f>
        <v/>
      </c>
      <c r="O28" s="67" t="str">
        <f aca="false">IF($E28="","","自动A")</f>
        <v/>
      </c>
      <c r="P28" s="18"/>
    </row>
    <row r="29" customFormat="false" ht="18" hidden="false" customHeight="true" outlineLevel="0" collapsed="false">
      <c r="A29" s="107" t="str">
        <f aca="false">IF($E29="","",ROW()-3)</f>
        <v/>
      </c>
      <c r="B29" s="110" t="str">
        <f aca="false">IF($E29="","",INDEX(进销存对接!$C$4:$C$305,9))</f>
        <v/>
      </c>
      <c r="C29" s="67" t="str">
        <f aca="false">IF($E29="","","记-"&amp;TEXT($B29,"YYYYMM")&amp;"-进销存")</f>
        <v/>
      </c>
      <c r="D29" s="107" t="str">
        <f aca="false">IF($E29="","",INDEX(进销存对接!$D$4:$D$305,9)&amp;" "&amp;TEXT($B29,"YYYY年M月")&amp;" 自动结转")</f>
        <v/>
      </c>
      <c r="E29" s="67" t="str">
        <f aca="false">IF(INDEX(进销存对接!$M$4:$U$305,9,4)=0,"",INDEX(进销存对接!$M$4:$U$305,9,4))</f>
        <v/>
      </c>
      <c r="F29" s="99" t="str">
        <f aca="false">IF($E29="","",IFERROR(INDEX(科目表!$A$4:$A$81,MATCH($E29,科目表!$B$4:$B$81,0)),""))</f>
        <v/>
      </c>
      <c r="G29" s="67" t="str">
        <f aca="false">IF($E29="","",IFERROR(INDEX(科目表!$E$4:$E$81,MATCH($E29,科目表!$B$4:$B$81,0)),""))</f>
        <v/>
      </c>
      <c r="H29" s="70" t="str">
        <f aca="false">IF($E29="","",N(INDEX(进销存对接!$M$4:$U$305,9,5)))</f>
        <v/>
      </c>
      <c r="I29" s="70" t="str">
        <f aca="false">IF($E29="","",N(INDEX(进销存对接!$M$4:$U$305,9,6)))</f>
        <v/>
      </c>
      <c r="J29" s="67"/>
      <c r="K29" s="67" t="str">
        <f aca="false">IF($E29="","",INDEX(进销存对接!$D$4:$D$305,9))</f>
        <v/>
      </c>
      <c r="L29" s="107"/>
      <c r="M29" s="107"/>
      <c r="N29" s="67" t="str">
        <f aca="false">IF($E29="","","系统")</f>
        <v/>
      </c>
      <c r="O29" s="67" t="str">
        <f aca="false">IF($E29="","","自动A")</f>
        <v/>
      </c>
      <c r="P29" s="18"/>
    </row>
    <row r="30" customFormat="false" ht="18" hidden="false" customHeight="true" outlineLevel="0" collapsed="false">
      <c r="A30" s="107" t="str">
        <f aca="false">IF($E30="","",ROW()-3)</f>
        <v/>
      </c>
      <c r="B30" s="110" t="str">
        <f aca="false">IF($E30="","",INDEX(进销存对接!$C$4:$C$305,9))</f>
        <v/>
      </c>
      <c r="C30" s="67" t="str">
        <f aca="false">IF($E30="","","记-"&amp;TEXT($B30,"YYYYMM")&amp;"-进销存")</f>
        <v/>
      </c>
      <c r="D30" s="107" t="str">
        <f aca="false">IF($E30="","",INDEX(进销存对接!$D$4:$D$305,9)&amp;" "&amp;TEXT($B30,"YYYY年M月")&amp;" 自动结转")</f>
        <v/>
      </c>
      <c r="E30" s="67" t="str">
        <f aca="false">IF(INDEX(进销存对接!$M$4:$U$305,9,7)=0,"",INDEX(进销存对接!$M$4:$U$305,9,7))</f>
        <v/>
      </c>
      <c r="F30" s="99" t="str">
        <f aca="false">IF($E30="","",IFERROR(INDEX(科目表!$A$4:$A$81,MATCH($E30,科目表!$B$4:$B$81,0)),""))</f>
        <v/>
      </c>
      <c r="G30" s="67" t="str">
        <f aca="false">IF($E30="","",IFERROR(INDEX(科目表!$E$4:$E$81,MATCH($E30,科目表!$B$4:$B$81,0)),""))</f>
        <v/>
      </c>
      <c r="H30" s="70" t="str">
        <f aca="false">IF($E30="","",N(INDEX(进销存对接!$M$4:$U$305,9,8)))</f>
        <v/>
      </c>
      <c r="I30" s="70" t="str">
        <f aca="false">IF($E30="","",N(INDEX(进销存对接!$M$4:$U$305,9,9)))</f>
        <v/>
      </c>
      <c r="J30" s="67"/>
      <c r="K30" s="67" t="str">
        <f aca="false">IF($E30="","",INDEX(进销存对接!$D$4:$D$305,9))</f>
        <v/>
      </c>
      <c r="L30" s="107"/>
      <c r="M30" s="107"/>
      <c r="N30" s="67" t="str">
        <f aca="false">IF($E30="","","系统")</f>
        <v/>
      </c>
      <c r="O30" s="67" t="str">
        <f aca="false">IF($E30="","","自动A")</f>
        <v/>
      </c>
      <c r="P30" s="18"/>
    </row>
    <row r="31" customFormat="false" ht="18" hidden="false" customHeight="true" outlineLevel="0" collapsed="false">
      <c r="A31" s="107" t="str">
        <f aca="false">IF($E31="","",ROW()-3)</f>
        <v/>
      </c>
      <c r="B31" s="110" t="str">
        <f aca="false">IF($E31="","",INDEX(进销存对接!$C$4:$C$305,10))</f>
        <v/>
      </c>
      <c r="C31" s="67" t="str">
        <f aca="false">IF($E31="","","记-"&amp;TEXT($B31,"YYYYMM")&amp;"-进销存")</f>
        <v/>
      </c>
      <c r="D31" s="107" t="str">
        <f aca="false">IF($E31="","",INDEX(进销存对接!$D$4:$D$305,10)&amp;" "&amp;TEXT($B31,"YYYY年M月")&amp;" 自动结转")</f>
        <v/>
      </c>
      <c r="E31" s="67" t="str">
        <f aca="false">IF(INDEX(进销存对接!$M$4:$U$305,10,1)=0,"",INDEX(进销存对接!$M$4:$U$305,10,1))</f>
        <v/>
      </c>
      <c r="F31" s="99" t="str">
        <f aca="false">IF($E31="","",IFERROR(INDEX(科目表!$A$4:$A$81,MATCH($E31,科目表!$B$4:$B$81,0)),""))</f>
        <v/>
      </c>
      <c r="G31" s="67" t="str">
        <f aca="false">IF($E31="","",IFERROR(INDEX(科目表!$E$4:$E$81,MATCH($E31,科目表!$B$4:$B$81,0)),""))</f>
        <v/>
      </c>
      <c r="H31" s="70" t="str">
        <f aca="false">IF($E31="","",N(INDEX(进销存对接!$M$4:$U$305,10,2)))</f>
        <v/>
      </c>
      <c r="I31" s="70" t="str">
        <f aca="false">IF($E31="","",N(INDEX(进销存对接!$M$4:$U$305,10,3)))</f>
        <v/>
      </c>
      <c r="J31" s="67"/>
      <c r="K31" s="67" t="str">
        <f aca="false">IF($E31="","",INDEX(进销存对接!$D$4:$D$305,10))</f>
        <v/>
      </c>
      <c r="L31" s="107"/>
      <c r="M31" s="107"/>
      <c r="N31" s="67" t="str">
        <f aca="false">IF($E31="","","系统")</f>
        <v/>
      </c>
      <c r="O31" s="67" t="str">
        <f aca="false">IF($E31="","","自动A")</f>
        <v/>
      </c>
      <c r="P31" s="18"/>
    </row>
    <row r="32" customFormat="false" ht="18" hidden="false" customHeight="true" outlineLevel="0" collapsed="false">
      <c r="A32" s="107" t="str">
        <f aca="false">IF($E32="","",ROW()-3)</f>
        <v/>
      </c>
      <c r="B32" s="110" t="str">
        <f aca="false">IF($E32="","",INDEX(进销存对接!$C$4:$C$305,10))</f>
        <v/>
      </c>
      <c r="C32" s="67" t="str">
        <f aca="false">IF($E32="","","记-"&amp;TEXT($B32,"YYYYMM")&amp;"-进销存")</f>
        <v/>
      </c>
      <c r="D32" s="107" t="str">
        <f aca="false">IF($E32="","",INDEX(进销存对接!$D$4:$D$305,10)&amp;" "&amp;TEXT($B32,"YYYY年M月")&amp;" 自动结转")</f>
        <v/>
      </c>
      <c r="E32" s="67" t="str">
        <f aca="false">IF(INDEX(进销存对接!$M$4:$U$305,10,4)=0,"",INDEX(进销存对接!$M$4:$U$305,10,4))</f>
        <v/>
      </c>
      <c r="F32" s="99" t="str">
        <f aca="false">IF($E32="","",IFERROR(INDEX(科目表!$A$4:$A$81,MATCH($E32,科目表!$B$4:$B$81,0)),""))</f>
        <v/>
      </c>
      <c r="G32" s="67" t="str">
        <f aca="false">IF($E32="","",IFERROR(INDEX(科目表!$E$4:$E$81,MATCH($E32,科目表!$B$4:$B$81,0)),""))</f>
        <v/>
      </c>
      <c r="H32" s="70" t="str">
        <f aca="false">IF($E32="","",N(INDEX(进销存对接!$M$4:$U$305,10,5)))</f>
        <v/>
      </c>
      <c r="I32" s="70" t="str">
        <f aca="false">IF($E32="","",N(INDEX(进销存对接!$M$4:$U$305,10,6)))</f>
        <v/>
      </c>
      <c r="J32" s="67"/>
      <c r="K32" s="67" t="str">
        <f aca="false">IF($E32="","",INDEX(进销存对接!$D$4:$D$305,10))</f>
        <v/>
      </c>
      <c r="L32" s="107"/>
      <c r="M32" s="107"/>
      <c r="N32" s="67" t="str">
        <f aca="false">IF($E32="","","系统")</f>
        <v/>
      </c>
      <c r="O32" s="67" t="str">
        <f aca="false">IF($E32="","","自动A")</f>
        <v/>
      </c>
      <c r="P32" s="18"/>
    </row>
    <row r="33" customFormat="false" ht="18" hidden="false" customHeight="true" outlineLevel="0" collapsed="false">
      <c r="A33" s="107" t="str">
        <f aca="false">IF($E33="","",ROW()-3)</f>
        <v/>
      </c>
      <c r="B33" s="110" t="str">
        <f aca="false">IF($E33="","",INDEX(进销存对接!$C$4:$C$305,10))</f>
        <v/>
      </c>
      <c r="C33" s="67" t="str">
        <f aca="false">IF($E33="","","记-"&amp;TEXT($B33,"YYYYMM")&amp;"-进销存")</f>
        <v/>
      </c>
      <c r="D33" s="107" t="str">
        <f aca="false">IF($E33="","",INDEX(进销存对接!$D$4:$D$305,10)&amp;" "&amp;TEXT($B33,"YYYY年M月")&amp;" 自动结转")</f>
        <v/>
      </c>
      <c r="E33" s="67" t="str">
        <f aca="false">IF(INDEX(进销存对接!$M$4:$U$305,10,7)=0,"",INDEX(进销存对接!$M$4:$U$305,10,7))</f>
        <v/>
      </c>
      <c r="F33" s="99" t="str">
        <f aca="false">IF($E33="","",IFERROR(INDEX(科目表!$A$4:$A$81,MATCH($E33,科目表!$B$4:$B$81,0)),""))</f>
        <v/>
      </c>
      <c r="G33" s="67" t="str">
        <f aca="false">IF($E33="","",IFERROR(INDEX(科目表!$E$4:$E$81,MATCH($E33,科目表!$B$4:$B$81,0)),""))</f>
        <v/>
      </c>
      <c r="H33" s="70" t="str">
        <f aca="false">IF($E33="","",N(INDEX(进销存对接!$M$4:$U$305,10,8)))</f>
        <v/>
      </c>
      <c r="I33" s="70" t="str">
        <f aca="false">IF($E33="","",N(INDEX(进销存对接!$M$4:$U$305,10,9)))</f>
        <v/>
      </c>
      <c r="J33" s="67"/>
      <c r="K33" s="67" t="str">
        <f aca="false">IF($E33="","",INDEX(进销存对接!$D$4:$D$305,10))</f>
        <v/>
      </c>
      <c r="L33" s="107"/>
      <c r="M33" s="107"/>
      <c r="N33" s="67" t="str">
        <f aca="false">IF($E33="","","系统")</f>
        <v/>
      </c>
      <c r="O33" s="67" t="str">
        <f aca="false">IF($E33="","","自动A")</f>
        <v/>
      </c>
      <c r="P33" s="18"/>
    </row>
    <row r="34" customFormat="false" ht="18" hidden="false" customHeight="true" outlineLevel="0" collapsed="false">
      <c r="A34" s="107" t="str">
        <f aca="false">IF($E34="","",ROW()-3)</f>
        <v/>
      </c>
      <c r="B34" s="110" t="str">
        <f aca="false">IF($E34="","",INDEX(进销存对接!$C$4:$C$305,11))</f>
        <v/>
      </c>
      <c r="C34" s="67" t="str">
        <f aca="false">IF($E34="","","记-"&amp;TEXT($B34,"YYYYMM")&amp;"-进销存")</f>
        <v/>
      </c>
      <c r="D34" s="107" t="str">
        <f aca="false">IF($E34="","",INDEX(进销存对接!$D$4:$D$305,11)&amp;" "&amp;TEXT($B34,"YYYY年M月")&amp;" 自动结转")</f>
        <v/>
      </c>
      <c r="E34" s="67" t="str">
        <f aca="false">IF(INDEX(进销存对接!$M$4:$U$305,11,1)=0,"",INDEX(进销存对接!$M$4:$U$305,11,1))</f>
        <v/>
      </c>
      <c r="F34" s="99" t="str">
        <f aca="false">IF($E34="","",IFERROR(INDEX(科目表!$A$4:$A$81,MATCH($E34,科目表!$B$4:$B$81,0)),""))</f>
        <v/>
      </c>
      <c r="G34" s="67" t="str">
        <f aca="false">IF($E34="","",IFERROR(INDEX(科目表!$E$4:$E$81,MATCH($E34,科目表!$B$4:$B$81,0)),""))</f>
        <v/>
      </c>
      <c r="H34" s="70" t="str">
        <f aca="false">IF($E34="","",N(INDEX(进销存对接!$M$4:$U$305,11,2)))</f>
        <v/>
      </c>
      <c r="I34" s="70" t="str">
        <f aca="false">IF($E34="","",N(INDEX(进销存对接!$M$4:$U$305,11,3)))</f>
        <v/>
      </c>
      <c r="J34" s="67"/>
      <c r="K34" s="67" t="str">
        <f aca="false">IF($E34="","",INDEX(进销存对接!$D$4:$D$305,11))</f>
        <v/>
      </c>
      <c r="L34" s="107"/>
      <c r="M34" s="107"/>
      <c r="N34" s="67" t="str">
        <f aca="false">IF($E34="","","系统")</f>
        <v/>
      </c>
      <c r="O34" s="67" t="str">
        <f aca="false">IF($E34="","","自动A")</f>
        <v/>
      </c>
      <c r="P34" s="18"/>
    </row>
    <row r="35" customFormat="false" ht="18" hidden="false" customHeight="true" outlineLevel="0" collapsed="false">
      <c r="A35" s="107" t="str">
        <f aca="false">IF($E35="","",ROW()-3)</f>
        <v/>
      </c>
      <c r="B35" s="110" t="str">
        <f aca="false">IF($E35="","",INDEX(进销存对接!$C$4:$C$305,11))</f>
        <v/>
      </c>
      <c r="C35" s="67" t="str">
        <f aca="false">IF($E35="","","记-"&amp;TEXT($B35,"YYYYMM")&amp;"-进销存")</f>
        <v/>
      </c>
      <c r="D35" s="107" t="str">
        <f aca="false">IF($E35="","",INDEX(进销存对接!$D$4:$D$305,11)&amp;" "&amp;TEXT($B35,"YYYY年M月")&amp;" 自动结转")</f>
        <v/>
      </c>
      <c r="E35" s="67" t="str">
        <f aca="false">IF(INDEX(进销存对接!$M$4:$U$305,11,4)=0,"",INDEX(进销存对接!$M$4:$U$305,11,4))</f>
        <v/>
      </c>
      <c r="F35" s="99" t="str">
        <f aca="false">IF($E35="","",IFERROR(INDEX(科目表!$A$4:$A$81,MATCH($E35,科目表!$B$4:$B$81,0)),""))</f>
        <v/>
      </c>
      <c r="G35" s="67" t="str">
        <f aca="false">IF($E35="","",IFERROR(INDEX(科目表!$E$4:$E$81,MATCH($E35,科目表!$B$4:$B$81,0)),""))</f>
        <v/>
      </c>
      <c r="H35" s="70" t="str">
        <f aca="false">IF($E35="","",N(INDEX(进销存对接!$M$4:$U$305,11,5)))</f>
        <v/>
      </c>
      <c r="I35" s="70" t="str">
        <f aca="false">IF($E35="","",N(INDEX(进销存对接!$M$4:$U$305,11,6)))</f>
        <v/>
      </c>
      <c r="J35" s="67"/>
      <c r="K35" s="67" t="str">
        <f aca="false">IF($E35="","",INDEX(进销存对接!$D$4:$D$305,11))</f>
        <v/>
      </c>
      <c r="L35" s="107"/>
      <c r="M35" s="107"/>
      <c r="N35" s="67" t="str">
        <f aca="false">IF($E35="","","系统")</f>
        <v/>
      </c>
      <c r="O35" s="67" t="str">
        <f aca="false">IF($E35="","","自动A")</f>
        <v/>
      </c>
      <c r="P35" s="18"/>
    </row>
    <row r="36" customFormat="false" ht="18" hidden="false" customHeight="true" outlineLevel="0" collapsed="false">
      <c r="A36" s="107" t="str">
        <f aca="false">IF($E36="","",ROW()-3)</f>
        <v/>
      </c>
      <c r="B36" s="110" t="str">
        <f aca="false">IF($E36="","",INDEX(进销存对接!$C$4:$C$305,11))</f>
        <v/>
      </c>
      <c r="C36" s="67" t="str">
        <f aca="false">IF($E36="","","记-"&amp;TEXT($B36,"YYYYMM")&amp;"-进销存")</f>
        <v/>
      </c>
      <c r="D36" s="107" t="str">
        <f aca="false">IF($E36="","",INDEX(进销存对接!$D$4:$D$305,11)&amp;" "&amp;TEXT($B36,"YYYY年M月")&amp;" 自动结转")</f>
        <v/>
      </c>
      <c r="E36" s="67" t="str">
        <f aca="false">IF(INDEX(进销存对接!$M$4:$U$305,11,7)=0,"",INDEX(进销存对接!$M$4:$U$305,11,7))</f>
        <v/>
      </c>
      <c r="F36" s="99" t="str">
        <f aca="false">IF($E36="","",IFERROR(INDEX(科目表!$A$4:$A$81,MATCH($E36,科目表!$B$4:$B$81,0)),""))</f>
        <v/>
      </c>
      <c r="G36" s="67" t="str">
        <f aca="false">IF($E36="","",IFERROR(INDEX(科目表!$E$4:$E$81,MATCH($E36,科目表!$B$4:$B$81,0)),""))</f>
        <v/>
      </c>
      <c r="H36" s="70" t="str">
        <f aca="false">IF($E36="","",N(INDEX(进销存对接!$M$4:$U$305,11,8)))</f>
        <v/>
      </c>
      <c r="I36" s="70" t="str">
        <f aca="false">IF($E36="","",N(INDEX(进销存对接!$M$4:$U$305,11,9)))</f>
        <v/>
      </c>
      <c r="J36" s="67"/>
      <c r="K36" s="67" t="str">
        <f aca="false">IF($E36="","",INDEX(进销存对接!$D$4:$D$305,11))</f>
        <v/>
      </c>
      <c r="L36" s="107"/>
      <c r="M36" s="107"/>
      <c r="N36" s="67" t="str">
        <f aca="false">IF($E36="","","系统")</f>
        <v/>
      </c>
      <c r="O36" s="67" t="str">
        <f aca="false">IF($E36="","","自动A")</f>
        <v/>
      </c>
      <c r="P36" s="18"/>
    </row>
    <row r="37" customFormat="false" ht="18" hidden="false" customHeight="true" outlineLevel="0" collapsed="false">
      <c r="A37" s="107" t="str">
        <f aca="false">IF($E37="","",ROW()-3)</f>
        <v/>
      </c>
      <c r="B37" s="110" t="str">
        <f aca="false">IF($E37="","",INDEX(进销存对接!$C$4:$C$305,12))</f>
        <v/>
      </c>
      <c r="C37" s="67" t="str">
        <f aca="false">IF($E37="","","记-"&amp;TEXT($B37,"YYYYMM")&amp;"-进销存")</f>
        <v/>
      </c>
      <c r="D37" s="107" t="str">
        <f aca="false">IF($E37="","",INDEX(进销存对接!$D$4:$D$305,12)&amp;" "&amp;TEXT($B37,"YYYY年M月")&amp;" 自动结转")</f>
        <v/>
      </c>
      <c r="E37" s="67" t="str">
        <f aca="false">IF(INDEX(进销存对接!$M$4:$U$305,12,1)=0,"",INDEX(进销存对接!$M$4:$U$305,12,1))</f>
        <v/>
      </c>
      <c r="F37" s="99" t="str">
        <f aca="false">IF($E37="","",IFERROR(INDEX(科目表!$A$4:$A$81,MATCH($E37,科目表!$B$4:$B$81,0)),""))</f>
        <v/>
      </c>
      <c r="G37" s="67" t="str">
        <f aca="false">IF($E37="","",IFERROR(INDEX(科目表!$E$4:$E$81,MATCH($E37,科目表!$B$4:$B$81,0)),""))</f>
        <v/>
      </c>
      <c r="H37" s="70" t="str">
        <f aca="false">IF($E37="","",N(INDEX(进销存对接!$M$4:$U$305,12,2)))</f>
        <v/>
      </c>
      <c r="I37" s="70" t="str">
        <f aca="false">IF($E37="","",N(INDEX(进销存对接!$M$4:$U$305,12,3)))</f>
        <v/>
      </c>
      <c r="J37" s="67"/>
      <c r="K37" s="67" t="str">
        <f aca="false">IF($E37="","",INDEX(进销存对接!$D$4:$D$305,12))</f>
        <v/>
      </c>
      <c r="L37" s="107"/>
      <c r="M37" s="107"/>
      <c r="N37" s="67" t="str">
        <f aca="false">IF($E37="","","系统")</f>
        <v/>
      </c>
      <c r="O37" s="67" t="str">
        <f aca="false">IF($E37="","","自动A")</f>
        <v/>
      </c>
      <c r="P37" s="18"/>
    </row>
    <row r="38" customFormat="false" ht="18" hidden="false" customHeight="true" outlineLevel="0" collapsed="false">
      <c r="A38" s="107" t="str">
        <f aca="false">IF($E38="","",ROW()-3)</f>
        <v/>
      </c>
      <c r="B38" s="110" t="str">
        <f aca="false">IF($E38="","",INDEX(进销存对接!$C$4:$C$305,12))</f>
        <v/>
      </c>
      <c r="C38" s="67" t="str">
        <f aca="false">IF($E38="","","记-"&amp;TEXT($B38,"YYYYMM")&amp;"-进销存")</f>
        <v/>
      </c>
      <c r="D38" s="107" t="str">
        <f aca="false">IF($E38="","",INDEX(进销存对接!$D$4:$D$305,12)&amp;" "&amp;TEXT($B38,"YYYY年M月")&amp;" 自动结转")</f>
        <v/>
      </c>
      <c r="E38" s="67" t="str">
        <f aca="false">IF(INDEX(进销存对接!$M$4:$U$305,12,4)=0,"",INDEX(进销存对接!$M$4:$U$305,12,4))</f>
        <v/>
      </c>
      <c r="F38" s="99" t="str">
        <f aca="false">IF($E38="","",IFERROR(INDEX(科目表!$A$4:$A$81,MATCH($E38,科目表!$B$4:$B$81,0)),""))</f>
        <v/>
      </c>
      <c r="G38" s="67" t="str">
        <f aca="false">IF($E38="","",IFERROR(INDEX(科目表!$E$4:$E$81,MATCH($E38,科目表!$B$4:$B$81,0)),""))</f>
        <v/>
      </c>
      <c r="H38" s="70" t="str">
        <f aca="false">IF($E38="","",N(INDEX(进销存对接!$M$4:$U$305,12,5)))</f>
        <v/>
      </c>
      <c r="I38" s="70" t="str">
        <f aca="false">IF($E38="","",N(INDEX(进销存对接!$M$4:$U$305,12,6)))</f>
        <v/>
      </c>
      <c r="J38" s="67"/>
      <c r="K38" s="67" t="str">
        <f aca="false">IF($E38="","",INDEX(进销存对接!$D$4:$D$305,12))</f>
        <v/>
      </c>
      <c r="L38" s="107"/>
      <c r="M38" s="107"/>
      <c r="N38" s="67" t="str">
        <f aca="false">IF($E38="","","系统")</f>
        <v/>
      </c>
      <c r="O38" s="67" t="str">
        <f aca="false">IF($E38="","","自动A")</f>
        <v/>
      </c>
      <c r="P38" s="18"/>
    </row>
    <row r="39" customFormat="false" ht="18" hidden="false" customHeight="true" outlineLevel="0" collapsed="false">
      <c r="A39" s="107" t="str">
        <f aca="false">IF($E39="","",ROW()-3)</f>
        <v/>
      </c>
      <c r="B39" s="110" t="str">
        <f aca="false">IF($E39="","",INDEX(进销存对接!$C$4:$C$305,12))</f>
        <v/>
      </c>
      <c r="C39" s="67" t="str">
        <f aca="false">IF($E39="","","记-"&amp;TEXT($B39,"YYYYMM")&amp;"-进销存")</f>
        <v/>
      </c>
      <c r="D39" s="107" t="str">
        <f aca="false">IF($E39="","",INDEX(进销存对接!$D$4:$D$305,12)&amp;" "&amp;TEXT($B39,"YYYY年M月")&amp;" 自动结转")</f>
        <v/>
      </c>
      <c r="E39" s="67" t="str">
        <f aca="false">IF(INDEX(进销存对接!$M$4:$U$305,12,7)=0,"",INDEX(进销存对接!$M$4:$U$305,12,7))</f>
        <v/>
      </c>
      <c r="F39" s="99" t="str">
        <f aca="false">IF($E39="","",IFERROR(INDEX(科目表!$A$4:$A$81,MATCH($E39,科目表!$B$4:$B$81,0)),""))</f>
        <v/>
      </c>
      <c r="G39" s="67" t="str">
        <f aca="false">IF($E39="","",IFERROR(INDEX(科目表!$E$4:$E$81,MATCH($E39,科目表!$B$4:$B$81,0)),""))</f>
        <v/>
      </c>
      <c r="H39" s="70" t="str">
        <f aca="false">IF($E39="","",N(INDEX(进销存对接!$M$4:$U$305,12,8)))</f>
        <v/>
      </c>
      <c r="I39" s="70" t="str">
        <f aca="false">IF($E39="","",N(INDEX(进销存对接!$M$4:$U$305,12,9)))</f>
        <v/>
      </c>
      <c r="J39" s="67"/>
      <c r="K39" s="67" t="str">
        <f aca="false">IF($E39="","",INDEX(进销存对接!$D$4:$D$305,12))</f>
        <v/>
      </c>
      <c r="L39" s="107"/>
      <c r="M39" s="107"/>
      <c r="N39" s="67" t="str">
        <f aca="false">IF($E39="","","系统")</f>
        <v/>
      </c>
      <c r="O39" s="67" t="str">
        <f aca="false">IF($E39="","","自动A")</f>
        <v/>
      </c>
      <c r="P39" s="18"/>
    </row>
    <row r="40" customFormat="false" ht="18" hidden="false" customHeight="true" outlineLevel="0" collapsed="false">
      <c r="A40" s="107" t="str">
        <f aca="false">IF($E40="","",ROW()-3)</f>
        <v/>
      </c>
      <c r="B40" s="110" t="str">
        <f aca="false">IF($E40="","",INDEX(进销存对接!$C$4:$C$305,13))</f>
        <v/>
      </c>
      <c r="C40" s="67" t="str">
        <f aca="false">IF($E40="","","记-"&amp;TEXT($B40,"YYYYMM")&amp;"-进销存")</f>
        <v/>
      </c>
      <c r="D40" s="107" t="str">
        <f aca="false">IF($E40="","",INDEX(进销存对接!$D$4:$D$305,13)&amp;" "&amp;TEXT($B40,"YYYY年M月")&amp;" 自动结转")</f>
        <v/>
      </c>
      <c r="E40" s="67" t="str">
        <f aca="false">IF(INDEX(进销存对接!$M$4:$U$305,13,1)=0,"",INDEX(进销存对接!$M$4:$U$305,13,1))</f>
        <v/>
      </c>
      <c r="F40" s="99" t="str">
        <f aca="false">IF($E40="","",IFERROR(INDEX(科目表!$A$4:$A$81,MATCH($E40,科目表!$B$4:$B$81,0)),""))</f>
        <v/>
      </c>
      <c r="G40" s="67" t="str">
        <f aca="false">IF($E40="","",IFERROR(INDEX(科目表!$E$4:$E$81,MATCH($E40,科目表!$B$4:$B$81,0)),""))</f>
        <v/>
      </c>
      <c r="H40" s="70" t="str">
        <f aca="false">IF($E40="","",N(INDEX(进销存对接!$M$4:$U$305,13,2)))</f>
        <v/>
      </c>
      <c r="I40" s="70" t="str">
        <f aca="false">IF($E40="","",N(INDEX(进销存对接!$M$4:$U$305,13,3)))</f>
        <v/>
      </c>
      <c r="J40" s="67"/>
      <c r="K40" s="67" t="str">
        <f aca="false">IF($E40="","",INDEX(进销存对接!$D$4:$D$305,13))</f>
        <v/>
      </c>
      <c r="L40" s="107"/>
      <c r="M40" s="107"/>
      <c r="N40" s="67" t="str">
        <f aca="false">IF($E40="","","系统")</f>
        <v/>
      </c>
      <c r="O40" s="67" t="str">
        <f aca="false">IF($E40="","","自动A")</f>
        <v/>
      </c>
      <c r="P40" s="18"/>
    </row>
    <row r="41" customFormat="false" ht="18" hidden="false" customHeight="true" outlineLevel="0" collapsed="false">
      <c r="A41" s="107" t="str">
        <f aca="false">IF($E41="","",ROW()-3)</f>
        <v/>
      </c>
      <c r="B41" s="110" t="str">
        <f aca="false">IF($E41="","",INDEX(进销存对接!$C$4:$C$305,13))</f>
        <v/>
      </c>
      <c r="C41" s="67" t="str">
        <f aca="false">IF($E41="","","记-"&amp;TEXT($B41,"YYYYMM")&amp;"-进销存")</f>
        <v/>
      </c>
      <c r="D41" s="107" t="str">
        <f aca="false">IF($E41="","",INDEX(进销存对接!$D$4:$D$305,13)&amp;" "&amp;TEXT($B41,"YYYY年M月")&amp;" 自动结转")</f>
        <v/>
      </c>
      <c r="E41" s="67" t="str">
        <f aca="false">IF(INDEX(进销存对接!$M$4:$U$305,13,4)=0,"",INDEX(进销存对接!$M$4:$U$305,13,4))</f>
        <v/>
      </c>
      <c r="F41" s="99" t="str">
        <f aca="false">IF($E41="","",IFERROR(INDEX(科目表!$A$4:$A$81,MATCH($E41,科目表!$B$4:$B$81,0)),""))</f>
        <v/>
      </c>
      <c r="G41" s="67" t="str">
        <f aca="false">IF($E41="","",IFERROR(INDEX(科目表!$E$4:$E$81,MATCH($E41,科目表!$B$4:$B$81,0)),""))</f>
        <v/>
      </c>
      <c r="H41" s="70" t="str">
        <f aca="false">IF($E41="","",N(INDEX(进销存对接!$M$4:$U$305,13,5)))</f>
        <v/>
      </c>
      <c r="I41" s="70" t="str">
        <f aca="false">IF($E41="","",N(INDEX(进销存对接!$M$4:$U$305,13,6)))</f>
        <v/>
      </c>
      <c r="J41" s="67"/>
      <c r="K41" s="67" t="str">
        <f aca="false">IF($E41="","",INDEX(进销存对接!$D$4:$D$305,13))</f>
        <v/>
      </c>
      <c r="L41" s="107"/>
      <c r="M41" s="107"/>
      <c r="N41" s="67" t="str">
        <f aca="false">IF($E41="","","系统")</f>
        <v/>
      </c>
      <c r="O41" s="67" t="str">
        <f aca="false">IF($E41="","","自动A")</f>
        <v/>
      </c>
      <c r="P41" s="18"/>
    </row>
    <row r="42" customFormat="false" ht="18" hidden="false" customHeight="true" outlineLevel="0" collapsed="false">
      <c r="A42" s="107" t="str">
        <f aca="false">IF($E42="","",ROW()-3)</f>
        <v/>
      </c>
      <c r="B42" s="110" t="str">
        <f aca="false">IF($E42="","",INDEX(进销存对接!$C$4:$C$305,13))</f>
        <v/>
      </c>
      <c r="C42" s="67" t="str">
        <f aca="false">IF($E42="","","记-"&amp;TEXT($B42,"YYYYMM")&amp;"-进销存")</f>
        <v/>
      </c>
      <c r="D42" s="107" t="str">
        <f aca="false">IF($E42="","",INDEX(进销存对接!$D$4:$D$305,13)&amp;" "&amp;TEXT($B42,"YYYY年M月")&amp;" 自动结转")</f>
        <v/>
      </c>
      <c r="E42" s="67" t="str">
        <f aca="false">IF(INDEX(进销存对接!$M$4:$U$305,13,7)=0,"",INDEX(进销存对接!$M$4:$U$305,13,7))</f>
        <v/>
      </c>
      <c r="F42" s="99" t="str">
        <f aca="false">IF($E42="","",IFERROR(INDEX(科目表!$A$4:$A$81,MATCH($E42,科目表!$B$4:$B$81,0)),""))</f>
        <v/>
      </c>
      <c r="G42" s="67" t="str">
        <f aca="false">IF($E42="","",IFERROR(INDEX(科目表!$E$4:$E$81,MATCH($E42,科目表!$B$4:$B$81,0)),""))</f>
        <v/>
      </c>
      <c r="H42" s="70" t="str">
        <f aca="false">IF($E42="","",N(INDEX(进销存对接!$M$4:$U$305,13,8)))</f>
        <v/>
      </c>
      <c r="I42" s="70" t="str">
        <f aca="false">IF($E42="","",N(INDEX(进销存对接!$M$4:$U$305,13,9)))</f>
        <v/>
      </c>
      <c r="J42" s="67"/>
      <c r="K42" s="67" t="str">
        <f aca="false">IF($E42="","",INDEX(进销存对接!$D$4:$D$305,13))</f>
        <v/>
      </c>
      <c r="L42" s="107"/>
      <c r="M42" s="107"/>
      <c r="N42" s="67" t="str">
        <f aca="false">IF($E42="","","系统")</f>
        <v/>
      </c>
      <c r="O42" s="67" t="str">
        <f aca="false">IF($E42="","","自动A")</f>
        <v/>
      </c>
      <c r="P42" s="18"/>
    </row>
    <row r="43" customFormat="false" ht="18" hidden="false" customHeight="true" outlineLevel="0" collapsed="false">
      <c r="A43" s="107" t="str">
        <f aca="false">IF($E43="","",ROW()-3)</f>
        <v/>
      </c>
      <c r="B43" s="110" t="str">
        <f aca="false">IF($E43="","",INDEX(进销存对接!$C$4:$C$305,14))</f>
        <v/>
      </c>
      <c r="C43" s="67" t="str">
        <f aca="false">IF($E43="","","记-"&amp;TEXT($B43,"YYYYMM")&amp;"-进销存")</f>
        <v/>
      </c>
      <c r="D43" s="107" t="str">
        <f aca="false">IF($E43="","",INDEX(进销存对接!$D$4:$D$305,14)&amp;" "&amp;TEXT($B43,"YYYY年M月")&amp;" 自动结转")</f>
        <v/>
      </c>
      <c r="E43" s="67" t="str">
        <f aca="false">IF(INDEX(进销存对接!$M$4:$U$305,14,1)=0,"",INDEX(进销存对接!$M$4:$U$305,14,1))</f>
        <v/>
      </c>
      <c r="F43" s="99" t="str">
        <f aca="false">IF($E43="","",IFERROR(INDEX(科目表!$A$4:$A$81,MATCH($E43,科目表!$B$4:$B$81,0)),""))</f>
        <v/>
      </c>
      <c r="G43" s="67" t="str">
        <f aca="false">IF($E43="","",IFERROR(INDEX(科目表!$E$4:$E$81,MATCH($E43,科目表!$B$4:$B$81,0)),""))</f>
        <v/>
      </c>
      <c r="H43" s="70" t="str">
        <f aca="false">IF($E43="","",N(INDEX(进销存对接!$M$4:$U$305,14,2)))</f>
        <v/>
      </c>
      <c r="I43" s="70" t="str">
        <f aca="false">IF($E43="","",N(INDEX(进销存对接!$M$4:$U$305,14,3)))</f>
        <v/>
      </c>
      <c r="J43" s="67"/>
      <c r="K43" s="67" t="str">
        <f aca="false">IF($E43="","",INDEX(进销存对接!$D$4:$D$305,14))</f>
        <v/>
      </c>
      <c r="L43" s="107"/>
      <c r="M43" s="107"/>
      <c r="N43" s="67" t="str">
        <f aca="false">IF($E43="","","系统")</f>
        <v/>
      </c>
      <c r="O43" s="67" t="str">
        <f aca="false">IF($E43="","","自动A")</f>
        <v/>
      </c>
      <c r="P43" s="18"/>
    </row>
    <row r="44" customFormat="false" ht="18" hidden="false" customHeight="true" outlineLevel="0" collapsed="false">
      <c r="A44" s="107" t="str">
        <f aca="false">IF($E44="","",ROW()-3)</f>
        <v/>
      </c>
      <c r="B44" s="110" t="str">
        <f aca="false">IF($E44="","",INDEX(进销存对接!$C$4:$C$305,14))</f>
        <v/>
      </c>
      <c r="C44" s="67" t="str">
        <f aca="false">IF($E44="","","记-"&amp;TEXT($B44,"YYYYMM")&amp;"-进销存")</f>
        <v/>
      </c>
      <c r="D44" s="107" t="str">
        <f aca="false">IF($E44="","",INDEX(进销存对接!$D$4:$D$305,14)&amp;" "&amp;TEXT($B44,"YYYY年M月")&amp;" 自动结转")</f>
        <v/>
      </c>
      <c r="E44" s="67" t="str">
        <f aca="false">IF(INDEX(进销存对接!$M$4:$U$305,14,4)=0,"",INDEX(进销存对接!$M$4:$U$305,14,4))</f>
        <v/>
      </c>
      <c r="F44" s="99" t="str">
        <f aca="false">IF($E44="","",IFERROR(INDEX(科目表!$A$4:$A$81,MATCH($E44,科目表!$B$4:$B$81,0)),""))</f>
        <v/>
      </c>
      <c r="G44" s="67" t="str">
        <f aca="false">IF($E44="","",IFERROR(INDEX(科目表!$E$4:$E$81,MATCH($E44,科目表!$B$4:$B$81,0)),""))</f>
        <v/>
      </c>
      <c r="H44" s="70" t="str">
        <f aca="false">IF($E44="","",N(INDEX(进销存对接!$M$4:$U$305,14,5)))</f>
        <v/>
      </c>
      <c r="I44" s="70" t="str">
        <f aca="false">IF($E44="","",N(INDEX(进销存对接!$M$4:$U$305,14,6)))</f>
        <v/>
      </c>
      <c r="J44" s="67"/>
      <c r="K44" s="67" t="str">
        <f aca="false">IF($E44="","",INDEX(进销存对接!$D$4:$D$305,14))</f>
        <v/>
      </c>
      <c r="L44" s="107"/>
      <c r="M44" s="107"/>
      <c r="N44" s="67" t="str">
        <f aca="false">IF($E44="","","系统")</f>
        <v/>
      </c>
      <c r="O44" s="67" t="str">
        <f aca="false">IF($E44="","","自动A")</f>
        <v/>
      </c>
      <c r="P44" s="18"/>
    </row>
    <row r="45" customFormat="false" ht="18" hidden="false" customHeight="true" outlineLevel="0" collapsed="false">
      <c r="A45" s="107" t="str">
        <f aca="false">IF($E45="","",ROW()-3)</f>
        <v/>
      </c>
      <c r="B45" s="110" t="str">
        <f aca="false">IF($E45="","",INDEX(进销存对接!$C$4:$C$305,14))</f>
        <v/>
      </c>
      <c r="C45" s="67" t="str">
        <f aca="false">IF($E45="","","记-"&amp;TEXT($B45,"YYYYMM")&amp;"-进销存")</f>
        <v/>
      </c>
      <c r="D45" s="107" t="str">
        <f aca="false">IF($E45="","",INDEX(进销存对接!$D$4:$D$305,14)&amp;" "&amp;TEXT($B45,"YYYY年M月")&amp;" 自动结转")</f>
        <v/>
      </c>
      <c r="E45" s="67" t="str">
        <f aca="false">IF(INDEX(进销存对接!$M$4:$U$305,14,7)=0,"",INDEX(进销存对接!$M$4:$U$305,14,7))</f>
        <v/>
      </c>
      <c r="F45" s="99" t="str">
        <f aca="false">IF($E45="","",IFERROR(INDEX(科目表!$A$4:$A$81,MATCH($E45,科目表!$B$4:$B$81,0)),""))</f>
        <v/>
      </c>
      <c r="G45" s="67" t="str">
        <f aca="false">IF($E45="","",IFERROR(INDEX(科目表!$E$4:$E$81,MATCH($E45,科目表!$B$4:$B$81,0)),""))</f>
        <v/>
      </c>
      <c r="H45" s="70" t="str">
        <f aca="false">IF($E45="","",N(INDEX(进销存对接!$M$4:$U$305,14,8)))</f>
        <v/>
      </c>
      <c r="I45" s="70" t="str">
        <f aca="false">IF($E45="","",N(INDEX(进销存对接!$M$4:$U$305,14,9)))</f>
        <v/>
      </c>
      <c r="J45" s="67"/>
      <c r="K45" s="67" t="str">
        <f aca="false">IF($E45="","",INDEX(进销存对接!$D$4:$D$305,14))</f>
        <v/>
      </c>
      <c r="L45" s="107"/>
      <c r="M45" s="107"/>
      <c r="N45" s="67" t="str">
        <f aca="false">IF($E45="","","系统")</f>
        <v/>
      </c>
      <c r="O45" s="67" t="str">
        <f aca="false">IF($E45="","","自动A")</f>
        <v/>
      </c>
      <c r="P45" s="18"/>
    </row>
    <row r="46" customFormat="false" ht="18" hidden="false" customHeight="true" outlineLevel="0" collapsed="false">
      <c r="A46" s="107" t="str">
        <f aca="false">IF($E46="","",ROW()-3)</f>
        <v/>
      </c>
      <c r="B46" s="110" t="str">
        <f aca="false">IF($E46="","",INDEX(进销存对接!$C$4:$C$305,15))</f>
        <v/>
      </c>
      <c r="C46" s="67" t="str">
        <f aca="false">IF($E46="","","记-"&amp;TEXT($B46,"YYYYMM")&amp;"-进销存")</f>
        <v/>
      </c>
      <c r="D46" s="107" t="str">
        <f aca="false">IF($E46="","",INDEX(进销存对接!$D$4:$D$305,15)&amp;" "&amp;TEXT($B46,"YYYY年M月")&amp;" 自动结转")</f>
        <v/>
      </c>
      <c r="E46" s="67" t="str">
        <f aca="false">IF(INDEX(进销存对接!$M$4:$U$305,15,1)=0,"",INDEX(进销存对接!$M$4:$U$305,15,1))</f>
        <v/>
      </c>
      <c r="F46" s="99" t="str">
        <f aca="false">IF($E46="","",IFERROR(INDEX(科目表!$A$4:$A$81,MATCH($E46,科目表!$B$4:$B$81,0)),""))</f>
        <v/>
      </c>
      <c r="G46" s="67" t="str">
        <f aca="false">IF($E46="","",IFERROR(INDEX(科目表!$E$4:$E$81,MATCH($E46,科目表!$B$4:$B$81,0)),""))</f>
        <v/>
      </c>
      <c r="H46" s="70" t="str">
        <f aca="false">IF($E46="","",N(INDEX(进销存对接!$M$4:$U$305,15,2)))</f>
        <v/>
      </c>
      <c r="I46" s="70" t="str">
        <f aca="false">IF($E46="","",N(INDEX(进销存对接!$M$4:$U$305,15,3)))</f>
        <v/>
      </c>
      <c r="J46" s="67"/>
      <c r="K46" s="67" t="str">
        <f aca="false">IF($E46="","",INDEX(进销存对接!$D$4:$D$305,15))</f>
        <v/>
      </c>
      <c r="L46" s="107"/>
      <c r="M46" s="107"/>
      <c r="N46" s="67" t="str">
        <f aca="false">IF($E46="","","系统")</f>
        <v/>
      </c>
      <c r="O46" s="67" t="str">
        <f aca="false">IF($E46="","","自动A")</f>
        <v/>
      </c>
      <c r="P46" s="18"/>
    </row>
    <row r="47" customFormat="false" ht="18" hidden="false" customHeight="true" outlineLevel="0" collapsed="false">
      <c r="A47" s="107" t="str">
        <f aca="false">IF($E47="","",ROW()-3)</f>
        <v/>
      </c>
      <c r="B47" s="110" t="str">
        <f aca="false">IF($E47="","",INDEX(进销存对接!$C$4:$C$305,15))</f>
        <v/>
      </c>
      <c r="C47" s="67" t="str">
        <f aca="false">IF($E47="","","记-"&amp;TEXT($B47,"YYYYMM")&amp;"-进销存")</f>
        <v/>
      </c>
      <c r="D47" s="107" t="str">
        <f aca="false">IF($E47="","",INDEX(进销存对接!$D$4:$D$305,15)&amp;" "&amp;TEXT($B47,"YYYY年M月")&amp;" 自动结转")</f>
        <v/>
      </c>
      <c r="E47" s="67" t="str">
        <f aca="false">IF(INDEX(进销存对接!$M$4:$U$305,15,4)=0,"",INDEX(进销存对接!$M$4:$U$305,15,4))</f>
        <v/>
      </c>
      <c r="F47" s="99" t="str">
        <f aca="false">IF($E47="","",IFERROR(INDEX(科目表!$A$4:$A$81,MATCH($E47,科目表!$B$4:$B$81,0)),""))</f>
        <v/>
      </c>
      <c r="G47" s="67" t="str">
        <f aca="false">IF($E47="","",IFERROR(INDEX(科目表!$E$4:$E$81,MATCH($E47,科目表!$B$4:$B$81,0)),""))</f>
        <v/>
      </c>
      <c r="H47" s="70" t="str">
        <f aca="false">IF($E47="","",N(INDEX(进销存对接!$M$4:$U$305,15,5)))</f>
        <v/>
      </c>
      <c r="I47" s="70" t="str">
        <f aca="false">IF($E47="","",N(INDEX(进销存对接!$M$4:$U$305,15,6)))</f>
        <v/>
      </c>
      <c r="J47" s="67"/>
      <c r="K47" s="67" t="str">
        <f aca="false">IF($E47="","",INDEX(进销存对接!$D$4:$D$305,15))</f>
        <v/>
      </c>
      <c r="L47" s="107"/>
      <c r="M47" s="107"/>
      <c r="N47" s="67" t="str">
        <f aca="false">IF($E47="","","系统")</f>
        <v/>
      </c>
      <c r="O47" s="67" t="str">
        <f aca="false">IF($E47="","","自动A")</f>
        <v/>
      </c>
      <c r="P47" s="18"/>
    </row>
    <row r="48" customFormat="false" ht="18" hidden="false" customHeight="true" outlineLevel="0" collapsed="false">
      <c r="A48" s="107" t="str">
        <f aca="false">IF($E48="","",ROW()-3)</f>
        <v/>
      </c>
      <c r="B48" s="110" t="str">
        <f aca="false">IF($E48="","",INDEX(进销存对接!$C$4:$C$305,15))</f>
        <v/>
      </c>
      <c r="C48" s="67" t="str">
        <f aca="false">IF($E48="","","记-"&amp;TEXT($B48,"YYYYMM")&amp;"-进销存")</f>
        <v/>
      </c>
      <c r="D48" s="107" t="str">
        <f aca="false">IF($E48="","",INDEX(进销存对接!$D$4:$D$305,15)&amp;" "&amp;TEXT($B48,"YYYY年M月")&amp;" 自动结转")</f>
        <v/>
      </c>
      <c r="E48" s="67" t="str">
        <f aca="false">IF(INDEX(进销存对接!$M$4:$U$305,15,7)=0,"",INDEX(进销存对接!$M$4:$U$305,15,7))</f>
        <v/>
      </c>
      <c r="F48" s="99" t="str">
        <f aca="false">IF($E48="","",IFERROR(INDEX(科目表!$A$4:$A$81,MATCH($E48,科目表!$B$4:$B$81,0)),""))</f>
        <v/>
      </c>
      <c r="G48" s="67" t="str">
        <f aca="false">IF($E48="","",IFERROR(INDEX(科目表!$E$4:$E$81,MATCH($E48,科目表!$B$4:$B$81,0)),""))</f>
        <v/>
      </c>
      <c r="H48" s="70" t="str">
        <f aca="false">IF($E48="","",N(INDEX(进销存对接!$M$4:$U$305,15,8)))</f>
        <v/>
      </c>
      <c r="I48" s="70" t="str">
        <f aca="false">IF($E48="","",N(INDEX(进销存对接!$M$4:$U$305,15,9)))</f>
        <v/>
      </c>
      <c r="J48" s="67"/>
      <c r="K48" s="67" t="str">
        <f aca="false">IF($E48="","",INDEX(进销存对接!$D$4:$D$305,15))</f>
        <v/>
      </c>
      <c r="L48" s="107"/>
      <c r="M48" s="107"/>
      <c r="N48" s="67" t="str">
        <f aca="false">IF($E48="","","系统")</f>
        <v/>
      </c>
      <c r="O48" s="67" t="str">
        <f aca="false">IF($E48="","","自动A")</f>
        <v/>
      </c>
      <c r="P48" s="18"/>
    </row>
    <row r="49" customFormat="false" ht="18" hidden="false" customHeight="true" outlineLevel="0" collapsed="false">
      <c r="A49" s="107" t="str">
        <f aca="false">IF($E49="","",ROW()-3)</f>
        <v/>
      </c>
      <c r="B49" s="110" t="str">
        <f aca="false">IF($E49="","",INDEX(进销存对接!$C$4:$C$305,16))</f>
        <v/>
      </c>
      <c r="C49" s="67" t="str">
        <f aca="false">IF($E49="","","记-"&amp;TEXT($B49,"YYYYMM")&amp;"-进销存")</f>
        <v/>
      </c>
      <c r="D49" s="107" t="str">
        <f aca="false">IF($E49="","",INDEX(进销存对接!$D$4:$D$305,16)&amp;" "&amp;TEXT($B49,"YYYY年M月")&amp;" 自动结转")</f>
        <v/>
      </c>
      <c r="E49" s="67" t="str">
        <f aca="false">IF(INDEX(进销存对接!$M$4:$U$305,16,1)=0,"",INDEX(进销存对接!$M$4:$U$305,16,1))</f>
        <v/>
      </c>
      <c r="F49" s="99" t="str">
        <f aca="false">IF($E49="","",IFERROR(INDEX(科目表!$A$4:$A$81,MATCH($E49,科目表!$B$4:$B$81,0)),""))</f>
        <v/>
      </c>
      <c r="G49" s="67" t="str">
        <f aca="false">IF($E49="","",IFERROR(INDEX(科目表!$E$4:$E$81,MATCH($E49,科目表!$B$4:$B$81,0)),""))</f>
        <v/>
      </c>
      <c r="H49" s="70" t="str">
        <f aca="false">IF($E49="","",N(INDEX(进销存对接!$M$4:$U$305,16,2)))</f>
        <v/>
      </c>
      <c r="I49" s="70" t="str">
        <f aca="false">IF($E49="","",N(INDEX(进销存对接!$M$4:$U$305,16,3)))</f>
        <v/>
      </c>
      <c r="J49" s="67"/>
      <c r="K49" s="67" t="str">
        <f aca="false">IF($E49="","",INDEX(进销存对接!$D$4:$D$305,16))</f>
        <v/>
      </c>
      <c r="L49" s="107"/>
      <c r="M49" s="107"/>
      <c r="N49" s="67" t="str">
        <f aca="false">IF($E49="","","系统")</f>
        <v/>
      </c>
      <c r="O49" s="67" t="str">
        <f aca="false">IF($E49="","","自动A")</f>
        <v/>
      </c>
      <c r="P49" s="18"/>
    </row>
    <row r="50" customFormat="false" ht="18" hidden="false" customHeight="true" outlineLevel="0" collapsed="false">
      <c r="A50" s="107" t="str">
        <f aca="false">IF($E50="","",ROW()-3)</f>
        <v/>
      </c>
      <c r="B50" s="110" t="str">
        <f aca="false">IF($E50="","",INDEX(进销存对接!$C$4:$C$305,16))</f>
        <v/>
      </c>
      <c r="C50" s="67" t="str">
        <f aca="false">IF($E50="","","记-"&amp;TEXT($B50,"YYYYMM")&amp;"-进销存")</f>
        <v/>
      </c>
      <c r="D50" s="107" t="str">
        <f aca="false">IF($E50="","",INDEX(进销存对接!$D$4:$D$305,16)&amp;" "&amp;TEXT($B50,"YYYY年M月")&amp;" 自动结转")</f>
        <v/>
      </c>
      <c r="E50" s="67" t="str">
        <f aca="false">IF(INDEX(进销存对接!$M$4:$U$305,16,4)=0,"",INDEX(进销存对接!$M$4:$U$305,16,4))</f>
        <v/>
      </c>
      <c r="F50" s="99" t="str">
        <f aca="false">IF($E50="","",IFERROR(INDEX(科目表!$A$4:$A$81,MATCH($E50,科目表!$B$4:$B$81,0)),""))</f>
        <v/>
      </c>
      <c r="G50" s="67" t="str">
        <f aca="false">IF($E50="","",IFERROR(INDEX(科目表!$E$4:$E$81,MATCH($E50,科目表!$B$4:$B$81,0)),""))</f>
        <v/>
      </c>
      <c r="H50" s="70" t="str">
        <f aca="false">IF($E50="","",N(INDEX(进销存对接!$M$4:$U$305,16,5)))</f>
        <v/>
      </c>
      <c r="I50" s="70" t="str">
        <f aca="false">IF($E50="","",N(INDEX(进销存对接!$M$4:$U$305,16,6)))</f>
        <v/>
      </c>
      <c r="J50" s="67"/>
      <c r="K50" s="67" t="str">
        <f aca="false">IF($E50="","",INDEX(进销存对接!$D$4:$D$305,16))</f>
        <v/>
      </c>
      <c r="L50" s="107"/>
      <c r="M50" s="107"/>
      <c r="N50" s="67" t="str">
        <f aca="false">IF($E50="","","系统")</f>
        <v/>
      </c>
      <c r="O50" s="67" t="str">
        <f aca="false">IF($E50="","","自动A")</f>
        <v/>
      </c>
      <c r="P50" s="18"/>
    </row>
    <row r="51" customFormat="false" ht="18" hidden="false" customHeight="true" outlineLevel="0" collapsed="false">
      <c r="A51" s="107" t="str">
        <f aca="false">IF($E51="","",ROW()-3)</f>
        <v/>
      </c>
      <c r="B51" s="110" t="str">
        <f aca="false">IF($E51="","",INDEX(进销存对接!$C$4:$C$305,16))</f>
        <v/>
      </c>
      <c r="C51" s="67" t="str">
        <f aca="false">IF($E51="","","记-"&amp;TEXT($B51,"YYYYMM")&amp;"-进销存")</f>
        <v/>
      </c>
      <c r="D51" s="107" t="str">
        <f aca="false">IF($E51="","",INDEX(进销存对接!$D$4:$D$305,16)&amp;" "&amp;TEXT($B51,"YYYY年M月")&amp;" 自动结转")</f>
        <v/>
      </c>
      <c r="E51" s="67" t="str">
        <f aca="false">IF(INDEX(进销存对接!$M$4:$U$305,16,7)=0,"",INDEX(进销存对接!$M$4:$U$305,16,7))</f>
        <v/>
      </c>
      <c r="F51" s="99" t="str">
        <f aca="false">IF($E51="","",IFERROR(INDEX(科目表!$A$4:$A$81,MATCH($E51,科目表!$B$4:$B$81,0)),""))</f>
        <v/>
      </c>
      <c r="G51" s="67" t="str">
        <f aca="false">IF($E51="","",IFERROR(INDEX(科目表!$E$4:$E$81,MATCH($E51,科目表!$B$4:$B$81,0)),""))</f>
        <v/>
      </c>
      <c r="H51" s="70" t="str">
        <f aca="false">IF($E51="","",N(INDEX(进销存对接!$M$4:$U$305,16,8)))</f>
        <v/>
      </c>
      <c r="I51" s="70" t="str">
        <f aca="false">IF($E51="","",N(INDEX(进销存对接!$M$4:$U$305,16,9)))</f>
        <v/>
      </c>
      <c r="J51" s="67"/>
      <c r="K51" s="67" t="str">
        <f aca="false">IF($E51="","",INDEX(进销存对接!$D$4:$D$305,16))</f>
        <v/>
      </c>
      <c r="L51" s="107"/>
      <c r="M51" s="107"/>
      <c r="N51" s="67" t="str">
        <f aca="false">IF($E51="","","系统")</f>
        <v/>
      </c>
      <c r="O51" s="67" t="str">
        <f aca="false">IF($E51="","","自动A")</f>
        <v/>
      </c>
      <c r="P51" s="18"/>
    </row>
    <row r="52" customFormat="false" ht="18" hidden="false" customHeight="true" outlineLevel="0" collapsed="false">
      <c r="A52" s="107" t="str">
        <f aca="false">IF($E52="","",ROW()-3)</f>
        <v/>
      </c>
      <c r="B52" s="110" t="str">
        <f aca="false">IF($E52="","",INDEX(进销存对接!$C$4:$C$305,17))</f>
        <v/>
      </c>
      <c r="C52" s="67" t="str">
        <f aca="false">IF($E52="","","记-"&amp;TEXT($B52,"YYYYMM")&amp;"-进销存")</f>
        <v/>
      </c>
      <c r="D52" s="107" t="str">
        <f aca="false">IF($E52="","",INDEX(进销存对接!$D$4:$D$305,17)&amp;" "&amp;TEXT($B52,"YYYY年M月")&amp;" 自动结转")</f>
        <v/>
      </c>
      <c r="E52" s="67" t="str">
        <f aca="false">IF(INDEX(进销存对接!$M$4:$U$305,17,1)=0,"",INDEX(进销存对接!$M$4:$U$305,17,1))</f>
        <v/>
      </c>
      <c r="F52" s="99" t="str">
        <f aca="false">IF($E52="","",IFERROR(INDEX(科目表!$A$4:$A$81,MATCH($E52,科目表!$B$4:$B$81,0)),""))</f>
        <v/>
      </c>
      <c r="G52" s="67" t="str">
        <f aca="false">IF($E52="","",IFERROR(INDEX(科目表!$E$4:$E$81,MATCH($E52,科目表!$B$4:$B$81,0)),""))</f>
        <v/>
      </c>
      <c r="H52" s="70" t="str">
        <f aca="false">IF($E52="","",N(INDEX(进销存对接!$M$4:$U$305,17,2)))</f>
        <v/>
      </c>
      <c r="I52" s="70" t="str">
        <f aca="false">IF($E52="","",N(INDEX(进销存对接!$M$4:$U$305,17,3)))</f>
        <v/>
      </c>
      <c r="J52" s="67"/>
      <c r="K52" s="67" t="str">
        <f aca="false">IF($E52="","",INDEX(进销存对接!$D$4:$D$305,17))</f>
        <v/>
      </c>
      <c r="L52" s="107"/>
      <c r="M52" s="107"/>
      <c r="N52" s="67" t="str">
        <f aca="false">IF($E52="","","系统")</f>
        <v/>
      </c>
      <c r="O52" s="67" t="str">
        <f aca="false">IF($E52="","","自动A")</f>
        <v/>
      </c>
      <c r="P52" s="18"/>
    </row>
    <row r="53" customFormat="false" ht="18" hidden="false" customHeight="true" outlineLevel="0" collapsed="false">
      <c r="A53" s="107" t="str">
        <f aca="false">IF($E53="","",ROW()-3)</f>
        <v/>
      </c>
      <c r="B53" s="110" t="str">
        <f aca="false">IF($E53="","",INDEX(进销存对接!$C$4:$C$305,17))</f>
        <v/>
      </c>
      <c r="C53" s="67" t="str">
        <f aca="false">IF($E53="","","记-"&amp;TEXT($B53,"YYYYMM")&amp;"-进销存")</f>
        <v/>
      </c>
      <c r="D53" s="107" t="str">
        <f aca="false">IF($E53="","",INDEX(进销存对接!$D$4:$D$305,17)&amp;" "&amp;TEXT($B53,"YYYY年M月")&amp;" 自动结转")</f>
        <v/>
      </c>
      <c r="E53" s="67" t="str">
        <f aca="false">IF(INDEX(进销存对接!$M$4:$U$305,17,4)=0,"",INDEX(进销存对接!$M$4:$U$305,17,4))</f>
        <v/>
      </c>
      <c r="F53" s="99" t="str">
        <f aca="false">IF($E53="","",IFERROR(INDEX(科目表!$A$4:$A$81,MATCH($E53,科目表!$B$4:$B$81,0)),""))</f>
        <v/>
      </c>
      <c r="G53" s="67" t="str">
        <f aca="false">IF($E53="","",IFERROR(INDEX(科目表!$E$4:$E$81,MATCH($E53,科目表!$B$4:$B$81,0)),""))</f>
        <v/>
      </c>
      <c r="H53" s="70" t="str">
        <f aca="false">IF($E53="","",N(INDEX(进销存对接!$M$4:$U$305,17,5)))</f>
        <v/>
      </c>
      <c r="I53" s="70" t="str">
        <f aca="false">IF($E53="","",N(INDEX(进销存对接!$M$4:$U$305,17,6)))</f>
        <v/>
      </c>
      <c r="J53" s="67"/>
      <c r="K53" s="67" t="str">
        <f aca="false">IF($E53="","",INDEX(进销存对接!$D$4:$D$305,17))</f>
        <v/>
      </c>
      <c r="L53" s="107"/>
      <c r="M53" s="107"/>
      <c r="N53" s="67" t="str">
        <f aca="false">IF($E53="","","系统")</f>
        <v/>
      </c>
      <c r="O53" s="67" t="str">
        <f aca="false">IF($E53="","","自动A")</f>
        <v/>
      </c>
      <c r="P53" s="18"/>
    </row>
    <row r="54" customFormat="false" ht="18" hidden="false" customHeight="true" outlineLevel="0" collapsed="false">
      <c r="A54" s="107" t="str">
        <f aca="false">IF($E54="","",ROW()-3)</f>
        <v/>
      </c>
      <c r="B54" s="110" t="str">
        <f aca="false">IF($E54="","",INDEX(进销存对接!$C$4:$C$305,17))</f>
        <v/>
      </c>
      <c r="C54" s="67" t="str">
        <f aca="false">IF($E54="","","记-"&amp;TEXT($B54,"YYYYMM")&amp;"-进销存")</f>
        <v/>
      </c>
      <c r="D54" s="107" t="str">
        <f aca="false">IF($E54="","",INDEX(进销存对接!$D$4:$D$305,17)&amp;" "&amp;TEXT($B54,"YYYY年M月")&amp;" 自动结转")</f>
        <v/>
      </c>
      <c r="E54" s="67" t="str">
        <f aca="false">IF(INDEX(进销存对接!$M$4:$U$305,17,7)=0,"",INDEX(进销存对接!$M$4:$U$305,17,7))</f>
        <v/>
      </c>
      <c r="F54" s="99" t="str">
        <f aca="false">IF($E54="","",IFERROR(INDEX(科目表!$A$4:$A$81,MATCH($E54,科目表!$B$4:$B$81,0)),""))</f>
        <v/>
      </c>
      <c r="G54" s="67" t="str">
        <f aca="false">IF($E54="","",IFERROR(INDEX(科目表!$E$4:$E$81,MATCH($E54,科目表!$B$4:$B$81,0)),""))</f>
        <v/>
      </c>
      <c r="H54" s="70" t="str">
        <f aca="false">IF($E54="","",N(INDEX(进销存对接!$M$4:$U$305,17,8)))</f>
        <v/>
      </c>
      <c r="I54" s="70" t="str">
        <f aca="false">IF($E54="","",N(INDEX(进销存对接!$M$4:$U$305,17,9)))</f>
        <v/>
      </c>
      <c r="J54" s="67"/>
      <c r="K54" s="67" t="str">
        <f aca="false">IF($E54="","",INDEX(进销存对接!$D$4:$D$305,17))</f>
        <v/>
      </c>
      <c r="L54" s="107"/>
      <c r="M54" s="107"/>
      <c r="N54" s="67" t="str">
        <f aca="false">IF($E54="","","系统")</f>
        <v/>
      </c>
      <c r="O54" s="67" t="str">
        <f aca="false">IF($E54="","","自动A")</f>
        <v/>
      </c>
      <c r="P54" s="18"/>
    </row>
    <row r="55" customFormat="false" ht="18" hidden="false" customHeight="true" outlineLevel="0" collapsed="false">
      <c r="A55" s="107" t="str">
        <f aca="false">IF($E55="","",ROW()-3)</f>
        <v/>
      </c>
      <c r="B55" s="110" t="str">
        <f aca="false">IF($E55="","",INDEX(进销存对接!$C$4:$C$305,18))</f>
        <v/>
      </c>
      <c r="C55" s="67" t="str">
        <f aca="false">IF($E55="","","记-"&amp;TEXT($B55,"YYYYMM")&amp;"-进销存")</f>
        <v/>
      </c>
      <c r="D55" s="107" t="str">
        <f aca="false">IF($E55="","",INDEX(进销存对接!$D$4:$D$305,18)&amp;" "&amp;TEXT($B55,"YYYY年M月")&amp;" 自动结转")</f>
        <v/>
      </c>
      <c r="E55" s="67" t="str">
        <f aca="false">IF(INDEX(进销存对接!$M$4:$U$305,18,1)=0,"",INDEX(进销存对接!$M$4:$U$305,18,1))</f>
        <v/>
      </c>
      <c r="F55" s="99" t="str">
        <f aca="false">IF($E55="","",IFERROR(INDEX(科目表!$A$4:$A$81,MATCH($E55,科目表!$B$4:$B$81,0)),""))</f>
        <v/>
      </c>
      <c r="G55" s="67" t="str">
        <f aca="false">IF($E55="","",IFERROR(INDEX(科目表!$E$4:$E$81,MATCH($E55,科目表!$B$4:$B$81,0)),""))</f>
        <v/>
      </c>
      <c r="H55" s="70" t="str">
        <f aca="false">IF($E55="","",N(INDEX(进销存对接!$M$4:$U$305,18,2)))</f>
        <v/>
      </c>
      <c r="I55" s="70" t="str">
        <f aca="false">IF($E55="","",N(INDEX(进销存对接!$M$4:$U$305,18,3)))</f>
        <v/>
      </c>
      <c r="J55" s="67"/>
      <c r="K55" s="67" t="str">
        <f aca="false">IF($E55="","",INDEX(进销存对接!$D$4:$D$305,18))</f>
        <v/>
      </c>
      <c r="L55" s="107"/>
      <c r="M55" s="107"/>
      <c r="N55" s="67" t="str">
        <f aca="false">IF($E55="","","系统")</f>
        <v/>
      </c>
      <c r="O55" s="67" t="str">
        <f aca="false">IF($E55="","","自动A")</f>
        <v/>
      </c>
      <c r="P55" s="18"/>
    </row>
    <row r="56" customFormat="false" ht="18" hidden="false" customHeight="true" outlineLevel="0" collapsed="false">
      <c r="A56" s="107" t="str">
        <f aca="false">IF($E56="","",ROW()-3)</f>
        <v/>
      </c>
      <c r="B56" s="110" t="str">
        <f aca="false">IF($E56="","",INDEX(进销存对接!$C$4:$C$305,18))</f>
        <v/>
      </c>
      <c r="C56" s="67" t="str">
        <f aca="false">IF($E56="","","记-"&amp;TEXT($B56,"YYYYMM")&amp;"-进销存")</f>
        <v/>
      </c>
      <c r="D56" s="107" t="str">
        <f aca="false">IF($E56="","",INDEX(进销存对接!$D$4:$D$305,18)&amp;" "&amp;TEXT($B56,"YYYY年M月")&amp;" 自动结转")</f>
        <v/>
      </c>
      <c r="E56" s="67" t="str">
        <f aca="false">IF(INDEX(进销存对接!$M$4:$U$305,18,4)=0,"",INDEX(进销存对接!$M$4:$U$305,18,4))</f>
        <v/>
      </c>
      <c r="F56" s="99" t="str">
        <f aca="false">IF($E56="","",IFERROR(INDEX(科目表!$A$4:$A$81,MATCH($E56,科目表!$B$4:$B$81,0)),""))</f>
        <v/>
      </c>
      <c r="G56" s="67" t="str">
        <f aca="false">IF($E56="","",IFERROR(INDEX(科目表!$E$4:$E$81,MATCH($E56,科目表!$B$4:$B$81,0)),""))</f>
        <v/>
      </c>
      <c r="H56" s="70" t="str">
        <f aca="false">IF($E56="","",N(INDEX(进销存对接!$M$4:$U$305,18,5)))</f>
        <v/>
      </c>
      <c r="I56" s="70" t="str">
        <f aca="false">IF($E56="","",N(INDEX(进销存对接!$M$4:$U$305,18,6)))</f>
        <v/>
      </c>
      <c r="J56" s="67"/>
      <c r="K56" s="67" t="str">
        <f aca="false">IF($E56="","",INDEX(进销存对接!$D$4:$D$305,18))</f>
        <v/>
      </c>
      <c r="L56" s="107"/>
      <c r="M56" s="107"/>
      <c r="N56" s="67" t="str">
        <f aca="false">IF($E56="","","系统")</f>
        <v/>
      </c>
      <c r="O56" s="67" t="str">
        <f aca="false">IF($E56="","","自动A")</f>
        <v/>
      </c>
      <c r="P56" s="18"/>
    </row>
    <row r="57" customFormat="false" ht="18" hidden="false" customHeight="true" outlineLevel="0" collapsed="false">
      <c r="A57" s="107" t="str">
        <f aca="false">IF($E57="","",ROW()-3)</f>
        <v/>
      </c>
      <c r="B57" s="110" t="str">
        <f aca="false">IF($E57="","",INDEX(进销存对接!$C$4:$C$305,18))</f>
        <v/>
      </c>
      <c r="C57" s="67" t="str">
        <f aca="false">IF($E57="","","记-"&amp;TEXT($B57,"YYYYMM")&amp;"-进销存")</f>
        <v/>
      </c>
      <c r="D57" s="107" t="str">
        <f aca="false">IF($E57="","",INDEX(进销存对接!$D$4:$D$305,18)&amp;" "&amp;TEXT($B57,"YYYY年M月")&amp;" 自动结转")</f>
        <v/>
      </c>
      <c r="E57" s="67" t="str">
        <f aca="false">IF(INDEX(进销存对接!$M$4:$U$305,18,7)=0,"",INDEX(进销存对接!$M$4:$U$305,18,7))</f>
        <v/>
      </c>
      <c r="F57" s="99" t="str">
        <f aca="false">IF($E57="","",IFERROR(INDEX(科目表!$A$4:$A$81,MATCH($E57,科目表!$B$4:$B$81,0)),""))</f>
        <v/>
      </c>
      <c r="G57" s="67" t="str">
        <f aca="false">IF($E57="","",IFERROR(INDEX(科目表!$E$4:$E$81,MATCH($E57,科目表!$B$4:$B$81,0)),""))</f>
        <v/>
      </c>
      <c r="H57" s="70" t="str">
        <f aca="false">IF($E57="","",N(INDEX(进销存对接!$M$4:$U$305,18,8)))</f>
        <v/>
      </c>
      <c r="I57" s="70" t="str">
        <f aca="false">IF($E57="","",N(INDEX(进销存对接!$M$4:$U$305,18,9)))</f>
        <v/>
      </c>
      <c r="J57" s="67"/>
      <c r="K57" s="67" t="str">
        <f aca="false">IF($E57="","",INDEX(进销存对接!$D$4:$D$305,18))</f>
        <v/>
      </c>
      <c r="L57" s="107"/>
      <c r="M57" s="107"/>
      <c r="N57" s="67" t="str">
        <f aca="false">IF($E57="","","系统")</f>
        <v/>
      </c>
      <c r="O57" s="67" t="str">
        <f aca="false">IF($E57="","","自动A")</f>
        <v/>
      </c>
      <c r="P57" s="18"/>
    </row>
    <row r="58" customFormat="false" ht="18" hidden="false" customHeight="true" outlineLevel="0" collapsed="false">
      <c r="A58" s="107" t="str">
        <f aca="false">IF($E58="","",ROW()-3)</f>
        <v/>
      </c>
      <c r="B58" s="110" t="str">
        <f aca="false">IF($E58="","",INDEX(进销存对接!$C$4:$C$305,19))</f>
        <v/>
      </c>
      <c r="C58" s="67" t="str">
        <f aca="false">IF($E58="","","记-"&amp;TEXT($B58,"YYYYMM")&amp;"-进销存")</f>
        <v/>
      </c>
      <c r="D58" s="107" t="str">
        <f aca="false">IF($E58="","",INDEX(进销存对接!$D$4:$D$305,19)&amp;" "&amp;TEXT($B58,"YYYY年M月")&amp;" 自动结转")</f>
        <v/>
      </c>
      <c r="E58" s="67" t="str">
        <f aca="false">IF(INDEX(进销存对接!$M$4:$U$305,19,1)=0,"",INDEX(进销存对接!$M$4:$U$305,19,1))</f>
        <v/>
      </c>
      <c r="F58" s="99" t="str">
        <f aca="false">IF($E58="","",IFERROR(INDEX(科目表!$A$4:$A$81,MATCH($E58,科目表!$B$4:$B$81,0)),""))</f>
        <v/>
      </c>
      <c r="G58" s="67" t="str">
        <f aca="false">IF($E58="","",IFERROR(INDEX(科目表!$E$4:$E$81,MATCH($E58,科目表!$B$4:$B$81,0)),""))</f>
        <v/>
      </c>
      <c r="H58" s="70" t="str">
        <f aca="false">IF($E58="","",N(INDEX(进销存对接!$M$4:$U$305,19,2)))</f>
        <v/>
      </c>
      <c r="I58" s="70" t="str">
        <f aca="false">IF($E58="","",N(INDEX(进销存对接!$M$4:$U$305,19,3)))</f>
        <v/>
      </c>
      <c r="J58" s="67"/>
      <c r="K58" s="67" t="str">
        <f aca="false">IF($E58="","",INDEX(进销存对接!$D$4:$D$305,19))</f>
        <v/>
      </c>
      <c r="L58" s="107"/>
      <c r="M58" s="107"/>
      <c r="N58" s="67" t="str">
        <f aca="false">IF($E58="","","系统")</f>
        <v/>
      </c>
      <c r="O58" s="67" t="str">
        <f aca="false">IF($E58="","","自动A")</f>
        <v/>
      </c>
      <c r="P58" s="18"/>
    </row>
    <row r="59" customFormat="false" ht="18" hidden="false" customHeight="true" outlineLevel="0" collapsed="false">
      <c r="A59" s="107" t="str">
        <f aca="false">IF($E59="","",ROW()-3)</f>
        <v/>
      </c>
      <c r="B59" s="110" t="str">
        <f aca="false">IF($E59="","",INDEX(进销存对接!$C$4:$C$305,19))</f>
        <v/>
      </c>
      <c r="C59" s="67" t="str">
        <f aca="false">IF($E59="","","记-"&amp;TEXT($B59,"YYYYMM")&amp;"-进销存")</f>
        <v/>
      </c>
      <c r="D59" s="107" t="str">
        <f aca="false">IF($E59="","",INDEX(进销存对接!$D$4:$D$305,19)&amp;" "&amp;TEXT($B59,"YYYY年M月")&amp;" 自动结转")</f>
        <v/>
      </c>
      <c r="E59" s="67" t="str">
        <f aca="false">IF(INDEX(进销存对接!$M$4:$U$305,19,4)=0,"",INDEX(进销存对接!$M$4:$U$305,19,4))</f>
        <v/>
      </c>
      <c r="F59" s="99" t="str">
        <f aca="false">IF($E59="","",IFERROR(INDEX(科目表!$A$4:$A$81,MATCH($E59,科目表!$B$4:$B$81,0)),""))</f>
        <v/>
      </c>
      <c r="G59" s="67" t="str">
        <f aca="false">IF($E59="","",IFERROR(INDEX(科目表!$E$4:$E$81,MATCH($E59,科目表!$B$4:$B$81,0)),""))</f>
        <v/>
      </c>
      <c r="H59" s="70" t="str">
        <f aca="false">IF($E59="","",N(INDEX(进销存对接!$M$4:$U$305,19,5)))</f>
        <v/>
      </c>
      <c r="I59" s="70" t="str">
        <f aca="false">IF($E59="","",N(INDEX(进销存对接!$M$4:$U$305,19,6)))</f>
        <v/>
      </c>
      <c r="J59" s="67"/>
      <c r="K59" s="67" t="str">
        <f aca="false">IF($E59="","",INDEX(进销存对接!$D$4:$D$305,19))</f>
        <v/>
      </c>
      <c r="L59" s="107"/>
      <c r="M59" s="107"/>
      <c r="N59" s="67" t="str">
        <f aca="false">IF($E59="","","系统")</f>
        <v/>
      </c>
      <c r="O59" s="67" t="str">
        <f aca="false">IF($E59="","","自动A")</f>
        <v/>
      </c>
      <c r="P59" s="18"/>
    </row>
    <row r="60" customFormat="false" ht="18" hidden="false" customHeight="true" outlineLevel="0" collapsed="false">
      <c r="A60" s="107" t="str">
        <f aca="false">IF($E60="","",ROW()-3)</f>
        <v/>
      </c>
      <c r="B60" s="110" t="str">
        <f aca="false">IF($E60="","",INDEX(进销存对接!$C$4:$C$305,19))</f>
        <v/>
      </c>
      <c r="C60" s="67" t="str">
        <f aca="false">IF($E60="","","记-"&amp;TEXT($B60,"YYYYMM")&amp;"-进销存")</f>
        <v/>
      </c>
      <c r="D60" s="107" t="str">
        <f aca="false">IF($E60="","",INDEX(进销存对接!$D$4:$D$305,19)&amp;" "&amp;TEXT($B60,"YYYY年M月")&amp;" 自动结转")</f>
        <v/>
      </c>
      <c r="E60" s="67" t="str">
        <f aca="false">IF(INDEX(进销存对接!$M$4:$U$305,19,7)=0,"",INDEX(进销存对接!$M$4:$U$305,19,7))</f>
        <v/>
      </c>
      <c r="F60" s="99" t="str">
        <f aca="false">IF($E60="","",IFERROR(INDEX(科目表!$A$4:$A$81,MATCH($E60,科目表!$B$4:$B$81,0)),""))</f>
        <v/>
      </c>
      <c r="G60" s="67" t="str">
        <f aca="false">IF($E60="","",IFERROR(INDEX(科目表!$E$4:$E$81,MATCH($E60,科目表!$B$4:$B$81,0)),""))</f>
        <v/>
      </c>
      <c r="H60" s="70" t="str">
        <f aca="false">IF($E60="","",N(INDEX(进销存对接!$M$4:$U$305,19,8)))</f>
        <v/>
      </c>
      <c r="I60" s="70" t="str">
        <f aca="false">IF($E60="","",N(INDEX(进销存对接!$M$4:$U$305,19,9)))</f>
        <v/>
      </c>
      <c r="J60" s="67"/>
      <c r="K60" s="67" t="str">
        <f aca="false">IF($E60="","",INDEX(进销存对接!$D$4:$D$305,19))</f>
        <v/>
      </c>
      <c r="L60" s="107"/>
      <c r="M60" s="107"/>
      <c r="N60" s="67" t="str">
        <f aca="false">IF($E60="","","系统")</f>
        <v/>
      </c>
      <c r="O60" s="67" t="str">
        <f aca="false">IF($E60="","","自动A")</f>
        <v/>
      </c>
      <c r="P60" s="18"/>
    </row>
    <row r="61" customFormat="false" ht="18" hidden="false" customHeight="true" outlineLevel="0" collapsed="false">
      <c r="A61" s="107" t="str">
        <f aca="false">IF($E61="","",ROW()-3)</f>
        <v/>
      </c>
      <c r="B61" s="110" t="str">
        <f aca="false">IF($E61="","",INDEX(进销存对接!$C$4:$C$305,20))</f>
        <v/>
      </c>
      <c r="C61" s="67" t="str">
        <f aca="false">IF($E61="","","记-"&amp;TEXT($B61,"YYYYMM")&amp;"-进销存")</f>
        <v/>
      </c>
      <c r="D61" s="107" t="str">
        <f aca="false">IF($E61="","",INDEX(进销存对接!$D$4:$D$305,20)&amp;" "&amp;TEXT($B61,"YYYY年M月")&amp;" 自动结转")</f>
        <v/>
      </c>
      <c r="E61" s="67" t="str">
        <f aca="false">IF(INDEX(进销存对接!$M$4:$U$305,20,1)=0,"",INDEX(进销存对接!$M$4:$U$305,20,1))</f>
        <v/>
      </c>
      <c r="F61" s="99" t="str">
        <f aca="false">IF($E61="","",IFERROR(INDEX(科目表!$A$4:$A$81,MATCH($E61,科目表!$B$4:$B$81,0)),""))</f>
        <v/>
      </c>
      <c r="G61" s="67" t="str">
        <f aca="false">IF($E61="","",IFERROR(INDEX(科目表!$E$4:$E$81,MATCH($E61,科目表!$B$4:$B$81,0)),""))</f>
        <v/>
      </c>
      <c r="H61" s="70" t="str">
        <f aca="false">IF($E61="","",N(INDEX(进销存对接!$M$4:$U$305,20,2)))</f>
        <v/>
      </c>
      <c r="I61" s="70" t="str">
        <f aca="false">IF($E61="","",N(INDEX(进销存对接!$M$4:$U$305,20,3)))</f>
        <v/>
      </c>
      <c r="J61" s="67"/>
      <c r="K61" s="67" t="str">
        <f aca="false">IF($E61="","",INDEX(进销存对接!$D$4:$D$305,20))</f>
        <v/>
      </c>
      <c r="L61" s="107"/>
      <c r="M61" s="107"/>
      <c r="N61" s="67" t="str">
        <f aca="false">IF($E61="","","系统")</f>
        <v/>
      </c>
      <c r="O61" s="67" t="str">
        <f aca="false">IF($E61="","","自动A")</f>
        <v/>
      </c>
      <c r="P61" s="18"/>
    </row>
    <row r="62" customFormat="false" ht="18" hidden="false" customHeight="true" outlineLevel="0" collapsed="false">
      <c r="A62" s="107" t="str">
        <f aca="false">IF($E62="","",ROW()-3)</f>
        <v/>
      </c>
      <c r="B62" s="110" t="str">
        <f aca="false">IF($E62="","",INDEX(进销存对接!$C$4:$C$305,20))</f>
        <v/>
      </c>
      <c r="C62" s="67" t="str">
        <f aca="false">IF($E62="","","记-"&amp;TEXT($B62,"YYYYMM")&amp;"-进销存")</f>
        <v/>
      </c>
      <c r="D62" s="107" t="str">
        <f aca="false">IF($E62="","",INDEX(进销存对接!$D$4:$D$305,20)&amp;" "&amp;TEXT($B62,"YYYY年M月")&amp;" 自动结转")</f>
        <v/>
      </c>
      <c r="E62" s="67" t="str">
        <f aca="false">IF(INDEX(进销存对接!$M$4:$U$305,20,4)=0,"",INDEX(进销存对接!$M$4:$U$305,20,4))</f>
        <v/>
      </c>
      <c r="F62" s="99" t="str">
        <f aca="false">IF($E62="","",IFERROR(INDEX(科目表!$A$4:$A$81,MATCH($E62,科目表!$B$4:$B$81,0)),""))</f>
        <v/>
      </c>
      <c r="G62" s="67" t="str">
        <f aca="false">IF($E62="","",IFERROR(INDEX(科目表!$E$4:$E$81,MATCH($E62,科目表!$B$4:$B$81,0)),""))</f>
        <v/>
      </c>
      <c r="H62" s="70" t="str">
        <f aca="false">IF($E62="","",N(INDEX(进销存对接!$M$4:$U$305,20,5)))</f>
        <v/>
      </c>
      <c r="I62" s="70" t="str">
        <f aca="false">IF($E62="","",N(INDEX(进销存对接!$M$4:$U$305,20,6)))</f>
        <v/>
      </c>
      <c r="J62" s="67"/>
      <c r="K62" s="67" t="str">
        <f aca="false">IF($E62="","",INDEX(进销存对接!$D$4:$D$305,20))</f>
        <v/>
      </c>
      <c r="L62" s="107"/>
      <c r="M62" s="107"/>
      <c r="N62" s="67" t="str">
        <f aca="false">IF($E62="","","系统")</f>
        <v/>
      </c>
      <c r="O62" s="67" t="str">
        <f aca="false">IF($E62="","","自动A")</f>
        <v/>
      </c>
      <c r="P62" s="18"/>
    </row>
    <row r="63" customFormat="false" ht="18" hidden="false" customHeight="true" outlineLevel="0" collapsed="false">
      <c r="A63" s="107" t="str">
        <f aca="false">IF($E63="","",ROW()-3)</f>
        <v/>
      </c>
      <c r="B63" s="110" t="str">
        <f aca="false">IF($E63="","",INDEX(进销存对接!$C$4:$C$305,20))</f>
        <v/>
      </c>
      <c r="C63" s="67" t="str">
        <f aca="false">IF($E63="","","记-"&amp;TEXT($B63,"YYYYMM")&amp;"-进销存")</f>
        <v/>
      </c>
      <c r="D63" s="107" t="str">
        <f aca="false">IF($E63="","",INDEX(进销存对接!$D$4:$D$305,20)&amp;" "&amp;TEXT($B63,"YYYY年M月")&amp;" 自动结转")</f>
        <v/>
      </c>
      <c r="E63" s="67" t="str">
        <f aca="false">IF(INDEX(进销存对接!$M$4:$U$305,20,7)=0,"",INDEX(进销存对接!$M$4:$U$305,20,7))</f>
        <v/>
      </c>
      <c r="F63" s="99" t="str">
        <f aca="false">IF($E63="","",IFERROR(INDEX(科目表!$A$4:$A$81,MATCH($E63,科目表!$B$4:$B$81,0)),""))</f>
        <v/>
      </c>
      <c r="G63" s="67" t="str">
        <f aca="false">IF($E63="","",IFERROR(INDEX(科目表!$E$4:$E$81,MATCH($E63,科目表!$B$4:$B$81,0)),""))</f>
        <v/>
      </c>
      <c r="H63" s="70" t="str">
        <f aca="false">IF($E63="","",N(INDEX(进销存对接!$M$4:$U$305,20,8)))</f>
        <v/>
      </c>
      <c r="I63" s="70" t="str">
        <f aca="false">IF($E63="","",N(INDEX(进销存对接!$M$4:$U$305,20,9)))</f>
        <v/>
      </c>
      <c r="J63" s="67"/>
      <c r="K63" s="67" t="str">
        <f aca="false">IF($E63="","",INDEX(进销存对接!$D$4:$D$305,20))</f>
        <v/>
      </c>
      <c r="L63" s="107"/>
      <c r="M63" s="107"/>
      <c r="N63" s="67" t="str">
        <f aca="false">IF($E63="","","系统")</f>
        <v/>
      </c>
      <c r="O63" s="67" t="str">
        <f aca="false">IF($E63="","","自动A")</f>
        <v/>
      </c>
      <c r="P63" s="18"/>
    </row>
    <row r="64" customFormat="false" ht="18" hidden="false" customHeight="true" outlineLevel="0" collapsed="false">
      <c r="A64" s="107" t="str">
        <f aca="false">IF($E64="","",ROW()-3)</f>
        <v/>
      </c>
      <c r="B64" s="110" t="str">
        <f aca="false">IF($E64="","",INDEX(进销存对接!$C$4:$C$305,21))</f>
        <v/>
      </c>
      <c r="C64" s="67" t="str">
        <f aca="false">IF($E64="","","记-"&amp;TEXT($B64,"YYYYMM")&amp;"-进销存")</f>
        <v/>
      </c>
      <c r="D64" s="107" t="str">
        <f aca="false">IF($E64="","",INDEX(进销存对接!$D$4:$D$305,21)&amp;" "&amp;TEXT($B64,"YYYY年M月")&amp;" 自动结转")</f>
        <v/>
      </c>
      <c r="E64" s="67" t="str">
        <f aca="false">IF(INDEX(进销存对接!$M$4:$U$305,21,1)=0,"",INDEX(进销存对接!$M$4:$U$305,21,1))</f>
        <v/>
      </c>
      <c r="F64" s="99" t="str">
        <f aca="false">IF($E64="","",IFERROR(INDEX(科目表!$A$4:$A$81,MATCH($E64,科目表!$B$4:$B$81,0)),""))</f>
        <v/>
      </c>
      <c r="G64" s="67" t="str">
        <f aca="false">IF($E64="","",IFERROR(INDEX(科目表!$E$4:$E$81,MATCH($E64,科目表!$B$4:$B$81,0)),""))</f>
        <v/>
      </c>
      <c r="H64" s="70" t="str">
        <f aca="false">IF($E64="","",N(INDEX(进销存对接!$M$4:$U$305,21,2)))</f>
        <v/>
      </c>
      <c r="I64" s="70" t="str">
        <f aca="false">IF($E64="","",N(INDEX(进销存对接!$M$4:$U$305,21,3)))</f>
        <v/>
      </c>
      <c r="J64" s="67"/>
      <c r="K64" s="67" t="str">
        <f aca="false">IF($E64="","",INDEX(进销存对接!$D$4:$D$305,21))</f>
        <v/>
      </c>
      <c r="L64" s="107"/>
      <c r="M64" s="107"/>
      <c r="N64" s="67" t="str">
        <f aca="false">IF($E64="","","系统")</f>
        <v/>
      </c>
      <c r="O64" s="67" t="str">
        <f aca="false">IF($E64="","","自动A")</f>
        <v/>
      </c>
      <c r="P64" s="18"/>
    </row>
    <row r="65" customFormat="false" ht="18" hidden="false" customHeight="true" outlineLevel="0" collapsed="false">
      <c r="A65" s="107" t="str">
        <f aca="false">IF($E65="","",ROW()-3)</f>
        <v/>
      </c>
      <c r="B65" s="110" t="str">
        <f aca="false">IF($E65="","",INDEX(进销存对接!$C$4:$C$305,21))</f>
        <v/>
      </c>
      <c r="C65" s="67" t="str">
        <f aca="false">IF($E65="","","记-"&amp;TEXT($B65,"YYYYMM")&amp;"-进销存")</f>
        <v/>
      </c>
      <c r="D65" s="107" t="str">
        <f aca="false">IF($E65="","",INDEX(进销存对接!$D$4:$D$305,21)&amp;" "&amp;TEXT($B65,"YYYY年M月")&amp;" 自动结转")</f>
        <v/>
      </c>
      <c r="E65" s="67" t="str">
        <f aca="false">IF(INDEX(进销存对接!$M$4:$U$305,21,4)=0,"",INDEX(进销存对接!$M$4:$U$305,21,4))</f>
        <v/>
      </c>
      <c r="F65" s="99" t="str">
        <f aca="false">IF($E65="","",IFERROR(INDEX(科目表!$A$4:$A$81,MATCH($E65,科目表!$B$4:$B$81,0)),""))</f>
        <v/>
      </c>
      <c r="G65" s="67" t="str">
        <f aca="false">IF($E65="","",IFERROR(INDEX(科目表!$E$4:$E$81,MATCH($E65,科目表!$B$4:$B$81,0)),""))</f>
        <v/>
      </c>
      <c r="H65" s="70" t="str">
        <f aca="false">IF($E65="","",N(INDEX(进销存对接!$M$4:$U$305,21,5)))</f>
        <v/>
      </c>
      <c r="I65" s="70" t="str">
        <f aca="false">IF($E65="","",N(INDEX(进销存对接!$M$4:$U$305,21,6)))</f>
        <v/>
      </c>
      <c r="J65" s="67"/>
      <c r="K65" s="67" t="str">
        <f aca="false">IF($E65="","",INDEX(进销存对接!$D$4:$D$305,21))</f>
        <v/>
      </c>
      <c r="L65" s="107"/>
      <c r="M65" s="107"/>
      <c r="N65" s="67" t="str">
        <f aca="false">IF($E65="","","系统")</f>
        <v/>
      </c>
      <c r="O65" s="67" t="str">
        <f aca="false">IF($E65="","","自动A")</f>
        <v/>
      </c>
      <c r="P65" s="18"/>
    </row>
    <row r="66" customFormat="false" ht="18" hidden="false" customHeight="true" outlineLevel="0" collapsed="false">
      <c r="A66" s="107" t="str">
        <f aca="false">IF($E66="","",ROW()-3)</f>
        <v/>
      </c>
      <c r="B66" s="110" t="str">
        <f aca="false">IF($E66="","",INDEX(进销存对接!$C$4:$C$305,21))</f>
        <v/>
      </c>
      <c r="C66" s="67" t="str">
        <f aca="false">IF($E66="","","记-"&amp;TEXT($B66,"YYYYMM")&amp;"-进销存")</f>
        <v/>
      </c>
      <c r="D66" s="107" t="str">
        <f aca="false">IF($E66="","",INDEX(进销存对接!$D$4:$D$305,21)&amp;" "&amp;TEXT($B66,"YYYY年M月")&amp;" 自动结转")</f>
        <v/>
      </c>
      <c r="E66" s="67" t="str">
        <f aca="false">IF(INDEX(进销存对接!$M$4:$U$305,21,7)=0,"",INDEX(进销存对接!$M$4:$U$305,21,7))</f>
        <v/>
      </c>
      <c r="F66" s="99" t="str">
        <f aca="false">IF($E66="","",IFERROR(INDEX(科目表!$A$4:$A$81,MATCH($E66,科目表!$B$4:$B$81,0)),""))</f>
        <v/>
      </c>
      <c r="G66" s="67" t="str">
        <f aca="false">IF($E66="","",IFERROR(INDEX(科目表!$E$4:$E$81,MATCH($E66,科目表!$B$4:$B$81,0)),""))</f>
        <v/>
      </c>
      <c r="H66" s="70" t="str">
        <f aca="false">IF($E66="","",N(INDEX(进销存对接!$M$4:$U$305,21,8)))</f>
        <v/>
      </c>
      <c r="I66" s="70" t="str">
        <f aca="false">IF($E66="","",N(INDEX(进销存对接!$M$4:$U$305,21,9)))</f>
        <v/>
      </c>
      <c r="J66" s="67"/>
      <c r="K66" s="67" t="str">
        <f aca="false">IF($E66="","",INDEX(进销存对接!$D$4:$D$305,21))</f>
        <v/>
      </c>
      <c r="L66" s="107"/>
      <c r="M66" s="107"/>
      <c r="N66" s="67" t="str">
        <f aca="false">IF($E66="","","系统")</f>
        <v/>
      </c>
      <c r="O66" s="67" t="str">
        <f aca="false">IF($E66="","","自动A")</f>
        <v/>
      </c>
      <c r="P66" s="18"/>
    </row>
    <row r="67" customFormat="false" ht="18" hidden="false" customHeight="true" outlineLevel="0" collapsed="false">
      <c r="A67" s="107" t="str">
        <f aca="false">IF($E67="","",ROW()-3)</f>
        <v/>
      </c>
      <c r="B67" s="110" t="str">
        <f aca="false">IF($E67="","",INDEX(进销存对接!$C$4:$C$305,22))</f>
        <v/>
      </c>
      <c r="C67" s="67" t="str">
        <f aca="false">IF($E67="","","记-"&amp;TEXT($B67,"YYYYMM")&amp;"-进销存")</f>
        <v/>
      </c>
      <c r="D67" s="107" t="str">
        <f aca="false">IF($E67="","",INDEX(进销存对接!$D$4:$D$305,22)&amp;" "&amp;TEXT($B67,"YYYY年M月")&amp;" 自动结转")</f>
        <v/>
      </c>
      <c r="E67" s="67" t="str">
        <f aca="false">IF(INDEX(进销存对接!$M$4:$U$305,22,1)=0,"",INDEX(进销存对接!$M$4:$U$305,22,1))</f>
        <v/>
      </c>
      <c r="F67" s="99" t="str">
        <f aca="false">IF($E67="","",IFERROR(INDEX(科目表!$A$4:$A$81,MATCH($E67,科目表!$B$4:$B$81,0)),""))</f>
        <v/>
      </c>
      <c r="G67" s="67" t="str">
        <f aca="false">IF($E67="","",IFERROR(INDEX(科目表!$E$4:$E$81,MATCH($E67,科目表!$B$4:$B$81,0)),""))</f>
        <v/>
      </c>
      <c r="H67" s="70" t="str">
        <f aca="false">IF($E67="","",N(INDEX(进销存对接!$M$4:$U$305,22,2)))</f>
        <v/>
      </c>
      <c r="I67" s="70" t="str">
        <f aca="false">IF($E67="","",N(INDEX(进销存对接!$M$4:$U$305,22,3)))</f>
        <v/>
      </c>
      <c r="J67" s="67"/>
      <c r="K67" s="67" t="str">
        <f aca="false">IF($E67="","",INDEX(进销存对接!$D$4:$D$305,22))</f>
        <v/>
      </c>
      <c r="L67" s="107"/>
      <c r="M67" s="107"/>
      <c r="N67" s="67" t="str">
        <f aca="false">IF($E67="","","系统")</f>
        <v/>
      </c>
      <c r="O67" s="67" t="str">
        <f aca="false">IF($E67="","","自动A")</f>
        <v/>
      </c>
      <c r="P67" s="18"/>
    </row>
    <row r="68" customFormat="false" ht="18" hidden="false" customHeight="true" outlineLevel="0" collapsed="false">
      <c r="A68" s="107" t="str">
        <f aca="false">IF($E68="","",ROW()-3)</f>
        <v/>
      </c>
      <c r="B68" s="110" t="str">
        <f aca="false">IF($E68="","",INDEX(进销存对接!$C$4:$C$305,22))</f>
        <v/>
      </c>
      <c r="C68" s="67" t="str">
        <f aca="false">IF($E68="","","记-"&amp;TEXT($B68,"YYYYMM")&amp;"-进销存")</f>
        <v/>
      </c>
      <c r="D68" s="107" t="str">
        <f aca="false">IF($E68="","",INDEX(进销存对接!$D$4:$D$305,22)&amp;" "&amp;TEXT($B68,"YYYY年M月")&amp;" 自动结转")</f>
        <v/>
      </c>
      <c r="E68" s="67" t="str">
        <f aca="false">IF(INDEX(进销存对接!$M$4:$U$305,22,4)=0,"",INDEX(进销存对接!$M$4:$U$305,22,4))</f>
        <v/>
      </c>
      <c r="F68" s="99" t="str">
        <f aca="false">IF($E68="","",IFERROR(INDEX(科目表!$A$4:$A$81,MATCH($E68,科目表!$B$4:$B$81,0)),""))</f>
        <v/>
      </c>
      <c r="G68" s="67" t="str">
        <f aca="false">IF($E68="","",IFERROR(INDEX(科目表!$E$4:$E$81,MATCH($E68,科目表!$B$4:$B$81,0)),""))</f>
        <v/>
      </c>
      <c r="H68" s="70" t="str">
        <f aca="false">IF($E68="","",N(INDEX(进销存对接!$M$4:$U$305,22,5)))</f>
        <v/>
      </c>
      <c r="I68" s="70" t="str">
        <f aca="false">IF($E68="","",N(INDEX(进销存对接!$M$4:$U$305,22,6)))</f>
        <v/>
      </c>
      <c r="J68" s="67"/>
      <c r="K68" s="67" t="str">
        <f aca="false">IF($E68="","",INDEX(进销存对接!$D$4:$D$305,22))</f>
        <v/>
      </c>
      <c r="L68" s="107"/>
      <c r="M68" s="107"/>
      <c r="N68" s="67" t="str">
        <f aca="false">IF($E68="","","系统")</f>
        <v/>
      </c>
      <c r="O68" s="67" t="str">
        <f aca="false">IF($E68="","","自动A")</f>
        <v/>
      </c>
      <c r="P68" s="18"/>
    </row>
    <row r="69" customFormat="false" ht="18" hidden="false" customHeight="true" outlineLevel="0" collapsed="false">
      <c r="A69" s="107" t="str">
        <f aca="false">IF($E69="","",ROW()-3)</f>
        <v/>
      </c>
      <c r="B69" s="110" t="str">
        <f aca="false">IF($E69="","",INDEX(进销存对接!$C$4:$C$305,22))</f>
        <v/>
      </c>
      <c r="C69" s="67" t="str">
        <f aca="false">IF($E69="","","记-"&amp;TEXT($B69,"YYYYMM")&amp;"-进销存")</f>
        <v/>
      </c>
      <c r="D69" s="107" t="str">
        <f aca="false">IF($E69="","",INDEX(进销存对接!$D$4:$D$305,22)&amp;" "&amp;TEXT($B69,"YYYY年M月")&amp;" 自动结转")</f>
        <v/>
      </c>
      <c r="E69" s="67" t="str">
        <f aca="false">IF(INDEX(进销存对接!$M$4:$U$305,22,7)=0,"",INDEX(进销存对接!$M$4:$U$305,22,7))</f>
        <v/>
      </c>
      <c r="F69" s="99" t="str">
        <f aca="false">IF($E69="","",IFERROR(INDEX(科目表!$A$4:$A$81,MATCH($E69,科目表!$B$4:$B$81,0)),""))</f>
        <v/>
      </c>
      <c r="G69" s="67" t="str">
        <f aca="false">IF($E69="","",IFERROR(INDEX(科目表!$E$4:$E$81,MATCH($E69,科目表!$B$4:$B$81,0)),""))</f>
        <v/>
      </c>
      <c r="H69" s="70" t="str">
        <f aca="false">IF($E69="","",N(INDEX(进销存对接!$M$4:$U$305,22,8)))</f>
        <v/>
      </c>
      <c r="I69" s="70" t="str">
        <f aca="false">IF($E69="","",N(INDEX(进销存对接!$M$4:$U$305,22,9)))</f>
        <v/>
      </c>
      <c r="J69" s="67"/>
      <c r="K69" s="67" t="str">
        <f aca="false">IF($E69="","",INDEX(进销存对接!$D$4:$D$305,22))</f>
        <v/>
      </c>
      <c r="L69" s="107"/>
      <c r="M69" s="107"/>
      <c r="N69" s="67" t="str">
        <f aca="false">IF($E69="","","系统")</f>
        <v/>
      </c>
      <c r="O69" s="67" t="str">
        <f aca="false">IF($E69="","","自动A")</f>
        <v/>
      </c>
      <c r="P69" s="18"/>
    </row>
    <row r="70" customFormat="false" ht="18" hidden="false" customHeight="true" outlineLevel="0" collapsed="false">
      <c r="A70" s="107" t="str">
        <f aca="false">IF($E70="","",ROW()-3)</f>
        <v/>
      </c>
      <c r="B70" s="110" t="str">
        <f aca="false">IF($E70="","",INDEX(进销存对接!$C$4:$C$305,23))</f>
        <v/>
      </c>
      <c r="C70" s="67" t="str">
        <f aca="false">IF($E70="","","记-"&amp;TEXT($B70,"YYYYMM")&amp;"-进销存")</f>
        <v/>
      </c>
      <c r="D70" s="107" t="str">
        <f aca="false">IF($E70="","",INDEX(进销存对接!$D$4:$D$305,23)&amp;" "&amp;TEXT($B70,"YYYY年M月")&amp;" 自动结转")</f>
        <v/>
      </c>
      <c r="E70" s="67" t="str">
        <f aca="false">IF(INDEX(进销存对接!$M$4:$U$305,23,1)=0,"",INDEX(进销存对接!$M$4:$U$305,23,1))</f>
        <v/>
      </c>
      <c r="F70" s="99" t="str">
        <f aca="false">IF($E70="","",IFERROR(INDEX(科目表!$A$4:$A$81,MATCH($E70,科目表!$B$4:$B$81,0)),""))</f>
        <v/>
      </c>
      <c r="G70" s="67" t="str">
        <f aca="false">IF($E70="","",IFERROR(INDEX(科目表!$E$4:$E$81,MATCH($E70,科目表!$B$4:$B$81,0)),""))</f>
        <v/>
      </c>
      <c r="H70" s="70" t="str">
        <f aca="false">IF($E70="","",N(INDEX(进销存对接!$M$4:$U$305,23,2)))</f>
        <v/>
      </c>
      <c r="I70" s="70" t="str">
        <f aca="false">IF($E70="","",N(INDEX(进销存对接!$M$4:$U$305,23,3)))</f>
        <v/>
      </c>
      <c r="J70" s="67"/>
      <c r="K70" s="67" t="str">
        <f aca="false">IF($E70="","",INDEX(进销存对接!$D$4:$D$305,23))</f>
        <v/>
      </c>
      <c r="L70" s="107"/>
      <c r="M70" s="107"/>
      <c r="N70" s="67" t="str">
        <f aca="false">IF($E70="","","系统")</f>
        <v/>
      </c>
      <c r="O70" s="67" t="str">
        <f aca="false">IF($E70="","","自动A")</f>
        <v/>
      </c>
      <c r="P70" s="18"/>
    </row>
    <row r="71" customFormat="false" ht="18" hidden="false" customHeight="true" outlineLevel="0" collapsed="false">
      <c r="A71" s="107" t="str">
        <f aca="false">IF($E71="","",ROW()-3)</f>
        <v/>
      </c>
      <c r="B71" s="110" t="str">
        <f aca="false">IF($E71="","",INDEX(进销存对接!$C$4:$C$305,23))</f>
        <v/>
      </c>
      <c r="C71" s="67" t="str">
        <f aca="false">IF($E71="","","记-"&amp;TEXT($B71,"YYYYMM")&amp;"-进销存")</f>
        <v/>
      </c>
      <c r="D71" s="107" t="str">
        <f aca="false">IF($E71="","",INDEX(进销存对接!$D$4:$D$305,23)&amp;" "&amp;TEXT($B71,"YYYY年M月")&amp;" 自动结转")</f>
        <v/>
      </c>
      <c r="E71" s="67" t="str">
        <f aca="false">IF(INDEX(进销存对接!$M$4:$U$305,23,4)=0,"",INDEX(进销存对接!$M$4:$U$305,23,4))</f>
        <v/>
      </c>
      <c r="F71" s="99" t="str">
        <f aca="false">IF($E71="","",IFERROR(INDEX(科目表!$A$4:$A$81,MATCH($E71,科目表!$B$4:$B$81,0)),""))</f>
        <v/>
      </c>
      <c r="G71" s="67" t="str">
        <f aca="false">IF($E71="","",IFERROR(INDEX(科目表!$E$4:$E$81,MATCH($E71,科目表!$B$4:$B$81,0)),""))</f>
        <v/>
      </c>
      <c r="H71" s="70" t="str">
        <f aca="false">IF($E71="","",N(INDEX(进销存对接!$M$4:$U$305,23,5)))</f>
        <v/>
      </c>
      <c r="I71" s="70" t="str">
        <f aca="false">IF($E71="","",N(INDEX(进销存对接!$M$4:$U$305,23,6)))</f>
        <v/>
      </c>
      <c r="J71" s="67"/>
      <c r="K71" s="67" t="str">
        <f aca="false">IF($E71="","",INDEX(进销存对接!$D$4:$D$305,23))</f>
        <v/>
      </c>
      <c r="L71" s="107"/>
      <c r="M71" s="107"/>
      <c r="N71" s="67" t="str">
        <f aca="false">IF($E71="","","系统")</f>
        <v/>
      </c>
      <c r="O71" s="67" t="str">
        <f aca="false">IF($E71="","","自动A")</f>
        <v/>
      </c>
      <c r="P71" s="18"/>
    </row>
    <row r="72" customFormat="false" ht="18" hidden="false" customHeight="true" outlineLevel="0" collapsed="false">
      <c r="A72" s="107" t="str">
        <f aca="false">IF($E72="","",ROW()-3)</f>
        <v/>
      </c>
      <c r="B72" s="110" t="str">
        <f aca="false">IF($E72="","",INDEX(进销存对接!$C$4:$C$305,23))</f>
        <v/>
      </c>
      <c r="C72" s="67" t="str">
        <f aca="false">IF($E72="","","记-"&amp;TEXT($B72,"YYYYMM")&amp;"-进销存")</f>
        <v/>
      </c>
      <c r="D72" s="107" t="str">
        <f aca="false">IF($E72="","",INDEX(进销存对接!$D$4:$D$305,23)&amp;" "&amp;TEXT($B72,"YYYY年M月")&amp;" 自动结转")</f>
        <v/>
      </c>
      <c r="E72" s="67" t="str">
        <f aca="false">IF(INDEX(进销存对接!$M$4:$U$305,23,7)=0,"",INDEX(进销存对接!$M$4:$U$305,23,7))</f>
        <v/>
      </c>
      <c r="F72" s="99" t="str">
        <f aca="false">IF($E72="","",IFERROR(INDEX(科目表!$A$4:$A$81,MATCH($E72,科目表!$B$4:$B$81,0)),""))</f>
        <v/>
      </c>
      <c r="G72" s="67" t="str">
        <f aca="false">IF($E72="","",IFERROR(INDEX(科目表!$E$4:$E$81,MATCH($E72,科目表!$B$4:$B$81,0)),""))</f>
        <v/>
      </c>
      <c r="H72" s="70" t="str">
        <f aca="false">IF($E72="","",N(INDEX(进销存对接!$M$4:$U$305,23,8)))</f>
        <v/>
      </c>
      <c r="I72" s="70" t="str">
        <f aca="false">IF($E72="","",N(INDEX(进销存对接!$M$4:$U$305,23,9)))</f>
        <v/>
      </c>
      <c r="J72" s="67"/>
      <c r="K72" s="67" t="str">
        <f aca="false">IF($E72="","",INDEX(进销存对接!$D$4:$D$305,23))</f>
        <v/>
      </c>
      <c r="L72" s="107"/>
      <c r="M72" s="107"/>
      <c r="N72" s="67" t="str">
        <f aca="false">IF($E72="","","系统")</f>
        <v/>
      </c>
      <c r="O72" s="67" t="str">
        <f aca="false">IF($E72="","","自动A")</f>
        <v/>
      </c>
      <c r="P72" s="18"/>
    </row>
    <row r="73" customFormat="false" ht="18" hidden="false" customHeight="true" outlineLevel="0" collapsed="false">
      <c r="A73" s="107" t="str">
        <f aca="false">IF($E73="","",ROW()-3)</f>
        <v/>
      </c>
      <c r="B73" s="110" t="str">
        <f aca="false">IF($E73="","",INDEX(进销存对接!$C$4:$C$305,24))</f>
        <v/>
      </c>
      <c r="C73" s="67" t="str">
        <f aca="false">IF($E73="","","记-"&amp;TEXT($B73,"YYYYMM")&amp;"-进销存")</f>
        <v/>
      </c>
      <c r="D73" s="107" t="str">
        <f aca="false">IF($E73="","",INDEX(进销存对接!$D$4:$D$305,24)&amp;" "&amp;TEXT($B73,"YYYY年M月")&amp;" 自动结转")</f>
        <v/>
      </c>
      <c r="E73" s="67" t="str">
        <f aca="false">IF(INDEX(进销存对接!$M$4:$U$305,24,1)=0,"",INDEX(进销存对接!$M$4:$U$305,24,1))</f>
        <v/>
      </c>
      <c r="F73" s="99" t="str">
        <f aca="false">IF($E73="","",IFERROR(INDEX(科目表!$A$4:$A$81,MATCH($E73,科目表!$B$4:$B$81,0)),""))</f>
        <v/>
      </c>
      <c r="G73" s="67" t="str">
        <f aca="false">IF($E73="","",IFERROR(INDEX(科目表!$E$4:$E$81,MATCH($E73,科目表!$B$4:$B$81,0)),""))</f>
        <v/>
      </c>
      <c r="H73" s="70" t="str">
        <f aca="false">IF($E73="","",N(INDEX(进销存对接!$M$4:$U$305,24,2)))</f>
        <v/>
      </c>
      <c r="I73" s="70" t="str">
        <f aca="false">IF($E73="","",N(INDEX(进销存对接!$M$4:$U$305,24,3)))</f>
        <v/>
      </c>
      <c r="J73" s="67"/>
      <c r="K73" s="67" t="str">
        <f aca="false">IF($E73="","",INDEX(进销存对接!$D$4:$D$305,24))</f>
        <v/>
      </c>
      <c r="L73" s="107"/>
      <c r="M73" s="107"/>
      <c r="N73" s="67" t="str">
        <f aca="false">IF($E73="","","系统")</f>
        <v/>
      </c>
      <c r="O73" s="67" t="str">
        <f aca="false">IF($E73="","","自动A")</f>
        <v/>
      </c>
      <c r="P73" s="18"/>
    </row>
    <row r="74" customFormat="false" ht="18" hidden="false" customHeight="true" outlineLevel="0" collapsed="false">
      <c r="A74" s="107" t="str">
        <f aca="false">IF($E74="","",ROW()-3)</f>
        <v/>
      </c>
      <c r="B74" s="110" t="str">
        <f aca="false">IF($E74="","",INDEX(进销存对接!$C$4:$C$305,24))</f>
        <v/>
      </c>
      <c r="C74" s="67" t="str">
        <f aca="false">IF($E74="","","记-"&amp;TEXT($B74,"YYYYMM")&amp;"-进销存")</f>
        <v/>
      </c>
      <c r="D74" s="107" t="str">
        <f aca="false">IF($E74="","",INDEX(进销存对接!$D$4:$D$305,24)&amp;" "&amp;TEXT($B74,"YYYY年M月")&amp;" 自动结转")</f>
        <v/>
      </c>
      <c r="E74" s="67" t="str">
        <f aca="false">IF(INDEX(进销存对接!$M$4:$U$305,24,4)=0,"",INDEX(进销存对接!$M$4:$U$305,24,4))</f>
        <v/>
      </c>
      <c r="F74" s="99" t="str">
        <f aca="false">IF($E74="","",IFERROR(INDEX(科目表!$A$4:$A$81,MATCH($E74,科目表!$B$4:$B$81,0)),""))</f>
        <v/>
      </c>
      <c r="G74" s="67" t="str">
        <f aca="false">IF($E74="","",IFERROR(INDEX(科目表!$E$4:$E$81,MATCH($E74,科目表!$B$4:$B$81,0)),""))</f>
        <v/>
      </c>
      <c r="H74" s="70" t="str">
        <f aca="false">IF($E74="","",N(INDEX(进销存对接!$M$4:$U$305,24,5)))</f>
        <v/>
      </c>
      <c r="I74" s="70" t="str">
        <f aca="false">IF($E74="","",N(INDEX(进销存对接!$M$4:$U$305,24,6)))</f>
        <v/>
      </c>
      <c r="J74" s="67"/>
      <c r="K74" s="67" t="str">
        <f aca="false">IF($E74="","",INDEX(进销存对接!$D$4:$D$305,24))</f>
        <v/>
      </c>
      <c r="L74" s="107"/>
      <c r="M74" s="107"/>
      <c r="N74" s="67" t="str">
        <f aca="false">IF($E74="","","系统")</f>
        <v/>
      </c>
      <c r="O74" s="67" t="str">
        <f aca="false">IF($E74="","","自动A")</f>
        <v/>
      </c>
      <c r="P74" s="18"/>
    </row>
    <row r="75" customFormat="false" ht="18" hidden="false" customHeight="true" outlineLevel="0" collapsed="false">
      <c r="A75" s="107" t="str">
        <f aca="false">IF($E75="","",ROW()-3)</f>
        <v/>
      </c>
      <c r="B75" s="110" t="str">
        <f aca="false">IF($E75="","",INDEX(进销存对接!$C$4:$C$305,24))</f>
        <v/>
      </c>
      <c r="C75" s="67" t="str">
        <f aca="false">IF($E75="","","记-"&amp;TEXT($B75,"YYYYMM")&amp;"-进销存")</f>
        <v/>
      </c>
      <c r="D75" s="107" t="str">
        <f aca="false">IF($E75="","",INDEX(进销存对接!$D$4:$D$305,24)&amp;" "&amp;TEXT($B75,"YYYY年M月")&amp;" 自动结转")</f>
        <v/>
      </c>
      <c r="E75" s="67" t="str">
        <f aca="false">IF(INDEX(进销存对接!$M$4:$U$305,24,7)=0,"",INDEX(进销存对接!$M$4:$U$305,24,7))</f>
        <v/>
      </c>
      <c r="F75" s="99" t="str">
        <f aca="false">IF($E75="","",IFERROR(INDEX(科目表!$A$4:$A$81,MATCH($E75,科目表!$B$4:$B$81,0)),""))</f>
        <v/>
      </c>
      <c r="G75" s="67" t="str">
        <f aca="false">IF($E75="","",IFERROR(INDEX(科目表!$E$4:$E$81,MATCH($E75,科目表!$B$4:$B$81,0)),""))</f>
        <v/>
      </c>
      <c r="H75" s="70" t="str">
        <f aca="false">IF($E75="","",N(INDEX(进销存对接!$M$4:$U$305,24,8)))</f>
        <v/>
      </c>
      <c r="I75" s="70" t="str">
        <f aca="false">IF($E75="","",N(INDEX(进销存对接!$M$4:$U$305,24,9)))</f>
        <v/>
      </c>
      <c r="J75" s="67"/>
      <c r="K75" s="67" t="str">
        <f aca="false">IF($E75="","",INDEX(进销存对接!$D$4:$D$305,24))</f>
        <v/>
      </c>
      <c r="L75" s="107"/>
      <c r="M75" s="107"/>
      <c r="N75" s="67" t="str">
        <f aca="false">IF($E75="","","系统")</f>
        <v/>
      </c>
      <c r="O75" s="67" t="str">
        <f aca="false">IF($E75="","","自动A")</f>
        <v/>
      </c>
      <c r="P75" s="18"/>
    </row>
    <row r="76" customFormat="false" ht="18" hidden="false" customHeight="true" outlineLevel="0" collapsed="false">
      <c r="A76" s="107" t="str">
        <f aca="false">IF($E76="","",ROW()-3)</f>
        <v/>
      </c>
      <c r="B76" s="110" t="str">
        <f aca="false">IF($E76="","",INDEX(进销存对接!$C$4:$C$305,25))</f>
        <v/>
      </c>
      <c r="C76" s="67" t="str">
        <f aca="false">IF($E76="","","记-"&amp;TEXT($B76,"YYYYMM")&amp;"-进销存")</f>
        <v/>
      </c>
      <c r="D76" s="107" t="str">
        <f aca="false">IF($E76="","",INDEX(进销存对接!$D$4:$D$305,25)&amp;" "&amp;TEXT($B76,"YYYY年M月")&amp;" 自动结转")</f>
        <v/>
      </c>
      <c r="E76" s="67" t="str">
        <f aca="false">IF(INDEX(进销存对接!$M$4:$U$305,25,1)=0,"",INDEX(进销存对接!$M$4:$U$305,25,1))</f>
        <v/>
      </c>
      <c r="F76" s="99" t="str">
        <f aca="false">IF($E76="","",IFERROR(INDEX(科目表!$A$4:$A$81,MATCH($E76,科目表!$B$4:$B$81,0)),""))</f>
        <v/>
      </c>
      <c r="G76" s="67" t="str">
        <f aca="false">IF($E76="","",IFERROR(INDEX(科目表!$E$4:$E$81,MATCH($E76,科目表!$B$4:$B$81,0)),""))</f>
        <v/>
      </c>
      <c r="H76" s="70" t="str">
        <f aca="false">IF($E76="","",N(INDEX(进销存对接!$M$4:$U$305,25,2)))</f>
        <v/>
      </c>
      <c r="I76" s="70" t="str">
        <f aca="false">IF($E76="","",N(INDEX(进销存对接!$M$4:$U$305,25,3)))</f>
        <v/>
      </c>
      <c r="J76" s="67"/>
      <c r="K76" s="67" t="str">
        <f aca="false">IF($E76="","",INDEX(进销存对接!$D$4:$D$305,25))</f>
        <v/>
      </c>
      <c r="L76" s="107"/>
      <c r="M76" s="107"/>
      <c r="N76" s="67" t="str">
        <f aca="false">IF($E76="","","系统")</f>
        <v/>
      </c>
      <c r="O76" s="67" t="str">
        <f aca="false">IF($E76="","","自动A")</f>
        <v/>
      </c>
      <c r="P76" s="18"/>
    </row>
    <row r="77" customFormat="false" ht="18" hidden="false" customHeight="true" outlineLevel="0" collapsed="false">
      <c r="A77" s="107" t="str">
        <f aca="false">IF($E77="","",ROW()-3)</f>
        <v/>
      </c>
      <c r="B77" s="110" t="str">
        <f aca="false">IF($E77="","",INDEX(进销存对接!$C$4:$C$305,25))</f>
        <v/>
      </c>
      <c r="C77" s="67" t="str">
        <f aca="false">IF($E77="","","记-"&amp;TEXT($B77,"YYYYMM")&amp;"-进销存")</f>
        <v/>
      </c>
      <c r="D77" s="107" t="str">
        <f aca="false">IF($E77="","",INDEX(进销存对接!$D$4:$D$305,25)&amp;" "&amp;TEXT($B77,"YYYY年M月")&amp;" 自动结转")</f>
        <v/>
      </c>
      <c r="E77" s="67" t="str">
        <f aca="false">IF(INDEX(进销存对接!$M$4:$U$305,25,4)=0,"",INDEX(进销存对接!$M$4:$U$305,25,4))</f>
        <v/>
      </c>
      <c r="F77" s="99" t="str">
        <f aca="false">IF($E77="","",IFERROR(INDEX(科目表!$A$4:$A$81,MATCH($E77,科目表!$B$4:$B$81,0)),""))</f>
        <v/>
      </c>
      <c r="G77" s="67" t="str">
        <f aca="false">IF($E77="","",IFERROR(INDEX(科目表!$E$4:$E$81,MATCH($E77,科目表!$B$4:$B$81,0)),""))</f>
        <v/>
      </c>
      <c r="H77" s="70" t="str">
        <f aca="false">IF($E77="","",N(INDEX(进销存对接!$M$4:$U$305,25,5)))</f>
        <v/>
      </c>
      <c r="I77" s="70" t="str">
        <f aca="false">IF($E77="","",N(INDEX(进销存对接!$M$4:$U$305,25,6)))</f>
        <v/>
      </c>
      <c r="J77" s="67"/>
      <c r="K77" s="67" t="str">
        <f aca="false">IF($E77="","",INDEX(进销存对接!$D$4:$D$305,25))</f>
        <v/>
      </c>
      <c r="L77" s="107"/>
      <c r="M77" s="107"/>
      <c r="N77" s="67" t="str">
        <f aca="false">IF($E77="","","系统")</f>
        <v/>
      </c>
      <c r="O77" s="67" t="str">
        <f aca="false">IF($E77="","","自动A")</f>
        <v/>
      </c>
      <c r="P77" s="18"/>
    </row>
    <row r="78" customFormat="false" ht="18" hidden="false" customHeight="true" outlineLevel="0" collapsed="false">
      <c r="A78" s="107" t="str">
        <f aca="false">IF($E78="","",ROW()-3)</f>
        <v/>
      </c>
      <c r="B78" s="110" t="str">
        <f aca="false">IF($E78="","",INDEX(进销存对接!$C$4:$C$305,25))</f>
        <v/>
      </c>
      <c r="C78" s="67" t="str">
        <f aca="false">IF($E78="","","记-"&amp;TEXT($B78,"YYYYMM")&amp;"-进销存")</f>
        <v/>
      </c>
      <c r="D78" s="107" t="str">
        <f aca="false">IF($E78="","",INDEX(进销存对接!$D$4:$D$305,25)&amp;" "&amp;TEXT($B78,"YYYY年M月")&amp;" 自动结转")</f>
        <v/>
      </c>
      <c r="E78" s="67" t="str">
        <f aca="false">IF(INDEX(进销存对接!$M$4:$U$305,25,7)=0,"",INDEX(进销存对接!$M$4:$U$305,25,7))</f>
        <v/>
      </c>
      <c r="F78" s="99" t="str">
        <f aca="false">IF($E78="","",IFERROR(INDEX(科目表!$A$4:$A$81,MATCH($E78,科目表!$B$4:$B$81,0)),""))</f>
        <v/>
      </c>
      <c r="G78" s="67" t="str">
        <f aca="false">IF($E78="","",IFERROR(INDEX(科目表!$E$4:$E$81,MATCH($E78,科目表!$B$4:$B$81,0)),""))</f>
        <v/>
      </c>
      <c r="H78" s="70" t="str">
        <f aca="false">IF($E78="","",N(INDEX(进销存对接!$M$4:$U$305,25,8)))</f>
        <v/>
      </c>
      <c r="I78" s="70" t="str">
        <f aca="false">IF($E78="","",N(INDEX(进销存对接!$M$4:$U$305,25,9)))</f>
        <v/>
      </c>
      <c r="J78" s="67"/>
      <c r="K78" s="67" t="str">
        <f aca="false">IF($E78="","",INDEX(进销存对接!$D$4:$D$305,25))</f>
        <v/>
      </c>
      <c r="L78" s="107"/>
      <c r="M78" s="107"/>
      <c r="N78" s="67" t="str">
        <f aca="false">IF($E78="","","系统")</f>
        <v/>
      </c>
      <c r="O78" s="67" t="str">
        <f aca="false">IF($E78="","","自动A")</f>
        <v/>
      </c>
      <c r="P78" s="18"/>
    </row>
    <row r="79" customFormat="false" ht="18" hidden="false" customHeight="true" outlineLevel="0" collapsed="false">
      <c r="A79" s="107" t="str">
        <f aca="false">IF($E79="","",ROW()-3)</f>
        <v/>
      </c>
      <c r="B79" s="110" t="str">
        <f aca="false">IF($E79="","",INDEX(进销存对接!$C$4:$C$305,26))</f>
        <v/>
      </c>
      <c r="C79" s="67" t="str">
        <f aca="false">IF($E79="","","记-"&amp;TEXT($B79,"YYYYMM")&amp;"-进销存")</f>
        <v/>
      </c>
      <c r="D79" s="107" t="str">
        <f aca="false">IF($E79="","",INDEX(进销存对接!$D$4:$D$305,26)&amp;" "&amp;TEXT($B79,"YYYY年M月")&amp;" 自动结转")</f>
        <v/>
      </c>
      <c r="E79" s="67" t="str">
        <f aca="false">IF(INDEX(进销存对接!$M$4:$U$305,26,1)=0,"",INDEX(进销存对接!$M$4:$U$305,26,1))</f>
        <v/>
      </c>
      <c r="F79" s="99" t="str">
        <f aca="false">IF($E79="","",IFERROR(INDEX(科目表!$A$4:$A$81,MATCH($E79,科目表!$B$4:$B$81,0)),""))</f>
        <v/>
      </c>
      <c r="G79" s="67" t="str">
        <f aca="false">IF($E79="","",IFERROR(INDEX(科目表!$E$4:$E$81,MATCH($E79,科目表!$B$4:$B$81,0)),""))</f>
        <v/>
      </c>
      <c r="H79" s="70" t="str">
        <f aca="false">IF($E79="","",N(INDEX(进销存对接!$M$4:$U$305,26,2)))</f>
        <v/>
      </c>
      <c r="I79" s="70" t="str">
        <f aca="false">IF($E79="","",N(INDEX(进销存对接!$M$4:$U$305,26,3)))</f>
        <v/>
      </c>
      <c r="J79" s="67"/>
      <c r="K79" s="67" t="str">
        <f aca="false">IF($E79="","",INDEX(进销存对接!$D$4:$D$305,26))</f>
        <v/>
      </c>
      <c r="L79" s="107"/>
      <c r="M79" s="107"/>
      <c r="N79" s="67" t="str">
        <f aca="false">IF($E79="","","系统")</f>
        <v/>
      </c>
      <c r="O79" s="67" t="str">
        <f aca="false">IF($E79="","","自动A")</f>
        <v/>
      </c>
      <c r="P79" s="18"/>
    </row>
    <row r="80" customFormat="false" ht="18" hidden="false" customHeight="true" outlineLevel="0" collapsed="false">
      <c r="A80" s="107" t="str">
        <f aca="false">IF($E80="","",ROW()-3)</f>
        <v/>
      </c>
      <c r="B80" s="110" t="str">
        <f aca="false">IF($E80="","",INDEX(进销存对接!$C$4:$C$305,26))</f>
        <v/>
      </c>
      <c r="C80" s="67" t="str">
        <f aca="false">IF($E80="","","记-"&amp;TEXT($B80,"YYYYMM")&amp;"-进销存")</f>
        <v/>
      </c>
      <c r="D80" s="107" t="str">
        <f aca="false">IF($E80="","",INDEX(进销存对接!$D$4:$D$305,26)&amp;" "&amp;TEXT($B80,"YYYY年M月")&amp;" 自动结转")</f>
        <v/>
      </c>
      <c r="E80" s="67" t="str">
        <f aca="false">IF(INDEX(进销存对接!$M$4:$U$305,26,4)=0,"",INDEX(进销存对接!$M$4:$U$305,26,4))</f>
        <v/>
      </c>
      <c r="F80" s="99" t="str">
        <f aca="false">IF($E80="","",IFERROR(INDEX(科目表!$A$4:$A$81,MATCH($E80,科目表!$B$4:$B$81,0)),""))</f>
        <v/>
      </c>
      <c r="G80" s="67" t="str">
        <f aca="false">IF($E80="","",IFERROR(INDEX(科目表!$E$4:$E$81,MATCH($E80,科目表!$B$4:$B$81,0)),""))</f>
        <v/>
      </c>
      <c r="H80" s="70" t="str">
        <f aca="false">IF($E80="","",N(INDEX(进销存对接!$M$4:$U$305,26,5)))</f>
        <v/>
      </c>
      <c r="I80" s="70" t="str">
        <f aca="false">IF($E80="","",N(INDEX(进销存对接!$M$4:$U$305,26,6)))</f>
        <v/>
      </c>
      <c r="J80" s="67"/>
      <c r="K80" s="67" t="str">
        <f aca="false">IF($E80="","",INDEX(进销存对接!$D$4:$D$305,26))</f>
        <v/>
      </c>
      <c r="L80" s="107"/>
      <c r="M80" s="107"/>
      <c r="N80" s="67" t="str">
        <f aca="false">IF($E80="","","系统")</f>
        <v/>
      </c>
      <c r="O80" s="67" t="str">
        <f aca="false">IF($E80="","","自动A")</f>
        <v/>
      </c>
      <c r="P80" s="18"/>
    </row>
    <row r="81" customFormat="false" ht="18" hidden="false" customHeight="true" outlineLevel="0" collapsed="false">
      <c r="A81" s="107" t="str">
        <f aca="false">IF($E81="","",ROW()-3)</f>
        <v/>
      </c>
      <c r="B81" s="110" t="str">
        <f aca="false">IF($E81="","",INDEX(进销存对接!$C$4:$C$305,26))</f>
        <v/>
      </c>
      <c r="C81" s="67" t="str">
        <f aca="false">IF($E81="","","记-"&amp;TEXT($B81,"YYYYMM")&amp;"-进销存")</f>
        <v/>
      </c>
      <c r="D81" s="107" t="str">
        <f aca="false">IF($E81="","",INDEX(进销存对接!$D$4:$D$305,26)&amp;" "&amp;TEXT($B81,"YYYY年M月")&amp;" 自动结转")</f>
        <v/>
      </c>
      <c r="E81" s="67" t="str">
        <f aca="false">IF(INDEX(进销存对接!$M$4:$U$305,26,7)=0,"",INDEX(进销存对接!$M$4:$U$305,26,7))</f>
        <v/>
      </c>
      <c r="F81" s="99" t="str">
        <f aca="false">IF($E81="","",IFERROR(INDEX(科目表!$A$4:$A$81,MATCH($E81,科目表!$B$4:$B$81,0)),""))</f>
        <v/>
      </c>
      <c r="G81" s="67" t="str">
        <f aca="false">IF($E81="","",IFERROR(INDEX(科目表!$E$4:$E$81,MATCH($E81,科目表!$B$4:$B$81,0)),""))</f>
        <v/>
      </c>
      <c r="H81" s="70" t="str">
        <f aca="false">IF($E81="","",N(INDEX(进销存对接!$M$4:$U$305,26,8)))</f>
        <v/>
      </c>
      <c r="I81" s="70" t="str">
        <f aca="false">IF($E81="","",N(INDEX(进销存对接!$M$4:$U$305,26,9)))</f>
        <v/>
      </c>
      <c r="J81" s="67"/>
      <c r="K81" s="67" t="str">
        <f aca="false">IF($E81="","",INDEX(进销存对接!$D$4:$D$305,26))</f>
        <v/>
      </c>
      <c r="L81" s="107"/>
      <c r="M81" s="107"/>
      <c r="N81" s="67" t="str">
        <f aca="false">IF($E81="","","系统")</f>
        <v/>
      </c>
      <c r="O81" s="67" t="str">
        <f aca="false">IF($E81="","","自动A")</f>
        <v/>
      </c>
      <c r="P81" s="18"/>
    </row>
    <row r="82" customFormat="false" ht="18" hidden="false" customHeight="true" outlineLevel="0" collapsed="false">
      <c r="A82" s="107" t="str">
        <f aca="false">IF($E82="","",ROW()-3)</f>
        <v/>
      </c>
      <c r="B82" s="110" t="str">
        <f aca="false">IF($E82="","",INDEX(进销存对接!$C$4:$C$305,27))</f>
        <v/>
      </c>
      <c r="C82" s="67" t="str">
        <f aca="false">IF($E82="","","记-"&amp;TEXT($B82,"YYYYMM")&amp;"-进销存")</f>
        <v/>
      </c>
      <c r="D82" s="107" t="str">
        <f aca="false">IF($E82="","",INDEX(进销存对接!$D$4:$D$305,27)&amp;" "&amp;TEXT($B82,"YYYY年M月")&amp;" 自动结转")</f>
        <v/>
      </c>
      <c r="E82" s="67" t="str">
        <f aca="false">IF(INDEX(进销存对接!$M$4:$U$305,27,1)=0,"",INDEX(进销存对接!$M$4:$U$305,27,1))</f>
        <v/>
      </c>
      <c r="F82" s="99" t="str">
        <f aca="false">IF($E82="","",IFERROR(INDEX(科目表!$A$4:$A$81,MATCH($E82,科目表!$B$4:$B$81,0)),""))</f>
        <v/>
      </c>
      <c r="G82" s="67" t="str">
        <f aca="false">IF($E82="","",IFERROR(INDEX(科目表!$E$4:$E$81,MATCH($E82,科目表!$B$4:$B$81,0)),""))</f>
        <v/>
      </c>
      <c r="H82" s="70" t="str">
        <f aca="false">IF($E82="","",N(INDEX(进销存对接!$M$4:$U$305,27,2)))</f>
        <v/>
      </c>
      <c r="I82" s="70" t="str">
        <f aca="false">IF($E82="","",N(INDEX(进销存对接!$M$4:$U$305,27,3)))</f>
        <v/>
      </c>
      <c r="J82" s="67"/>
      <c r="K82" s="67" t="str">
        <f aca="false">IF($E82="","",INDEX(进销存对接!$D$4:$D$305,27))</f>
        <v/>
      </c>
      <c r="L82" s="107"/>
      <c r="M82" s="107"/>
      <c r="N82" s="67" t="str">
        <f aca="false">IF($E82="","","系统")</f>
        <v/>
      </c>
      <c r="O82" s="67" t="str">
        <f aca="false">IF($E82="","","自动A")</f>
        <v/>
      </c>
      <c r="P82" s="18"/>
    </row>
    <row r="83" customFormat="false" ht="18" hidden="false" customHeight="true" outlineLevel="0" collapsed="false">
      <c r="A83" s="107" t="str">
        <f aca="false">IF($E83="","",ROW()-3)</f>
        <v/>
      </c>
      <c r="B83" s="110" t="str">
        <f aca="false">IF($E83="","",INDEX(进销存对接!$C$4:$C$305,27))</f>
        <v/>
      </c>
      <c r="C83" s="67" t="str">
        <f aca="false">IF($E83="","","记-"&amp;TEXT($B83,"YYYYMM")&amp;"-进销存")</f>
        <v/>
      </c>
      <c r="D83" s="107" t="str">
        <f aca="false">IF($E83="","",INDEX(进销存对接!$D$4:$D$305,27)&amp;" "&amp;TEXT($B83,"YYYY年M月")&amp;" 自动结转")</f>
        <v/>
      </c>
      <c r="E83" s="67" t="str">
        <f aca="false">IF(INDEX(进销存对接!$M$4:$U$305,27,4)=0,"",INDEX(进销存对接!$M$4:$U$305,27,4))</f>
        <v/>
      </c>
      <c r="F83" s="99" t="str">
        <f aca="false">IF($E83="","",IFERROR(INDEX(科目表!$A$4:$A$81,MATCH($E83,科目表!$B$4:$B$81,0)),""))</f>
        <v/>
      </c>
      <c r="G83" s="67" t="str">
        <f aca="false">IF($E83="","",IFERROR(INDEX(科目表!$E$4:$E$81,MATCH($E83,科目表!$B$4:$B$81,0)),""))</f>
        <v/>
      </c>
      <c r="H83" s="70" t="str">
        <f aca="false">IF($E83="","",N(INDEX(进销存对接!$M$4:$U$305,27,5)))</f>
        <v/>
      </c>
      <c r="I83" s="70" t="str">
        <f aca="false">IF($E83="","",N(INDEX(进销存对接!$M$4:$U$305,27,6)))</f>
        <v/>
      </c>
      <c r="J83" s="67"/>
      <c r="K83" s="67" t="str">
        <f aca="false">IF($E83="","",INDEX(进销存对接!$D$4:$D$305,27))</f>
        <v/>
      </c>
      <c r="L83" s="107"/>
      <c r="M83" s="107"/>
      <c r="N83" s="67" t="str">
        <f aca="false">IF($E83="","","系统")</f>
        <v/>
      </c>
      <c r="O83" s="67" t="str">
        <f aca="false">IF($E83="","","自动A")</f>
        <v/>
      </c>
      <c r="P83" s="18"/>
    </row>
    <row r="84" customFormat="false" ht="18" hidden="false" customHeight="true" outlineLevel="0" collapsed="false">
      <c r="A84" s="107" t="str">
        <f aca="false">IF($E84="","",ROW()-3)</f>
        <v/>
      </c>
      <c r="B84" s="110" t="str">
        <f aca="false">IF($E84="","",INDEX(进销存对接!$C$4:$C$305,27))</f>
        <v/>
      </c>
      <c r="C84" s="67" t="str">
        <f aca="false">IF($E84="","","记-"&amp;TEXT($B84,"YYYYMM")&amp;"-进销存")</f>
        <v/>
      </c>
      <c r="D84" s="107" t="str">
        <f aca="false">IF($E84="","",INDEX(进销存对接!$D$4:$D$305,27)&amp;" "&amp;TEXT($B84,"YYYY年M月")&amp;" 自动结转")</f>
        <v/>
      </c>
      <c r="E84" s="67" t="str">
        <f aca="false">IF(INDEX(进销存对接!$M$4:$U$305,27,7)=0,"",INDEX(进销存对接!$M$4:$U$305,27,7))</f>
        <v/>
      </c>
      <c r="F84" s="99" t="str">
        <f aca="false">IF($E84="","",IFERROR(INDEX(科目表!$A$4:$A$81,MATCH($E84,科目表!$B$4:$B$81,0)),""))</f>
        <v/>
      </c>
      <c r="G84" s="67" t="str">
        <f aca="false">IF($E84="","",IFERROR(INDEX(科目表!$E$4:$E$81,MATCH($E84,科目表!$B$4:$B$81,0)),""))</f>
        <v/>
      </c>
      <c r="H84" s="70" t="str">
        <f aca="false">IF($E84="","",N(INDEX(进销存对接!$M$4:$U$305,27,8)))</f>
        <v/>
      </c>
      <c r="I84" s="70" t="str">
        <f aca="false">IF($E84="","",N(INDEX(进销存对接!$M$4:$U$305,27,9)))</f>
        <v/>
      </c>
      <c r="J84" s="67"/>
      <c r="K84" s="67" t="str">
        <f aca="false">IF($E84="","",INDEX(进销存对接!$D$4:$D$305,27))</f>
        <v/>
      </c>
      <c r="L84" s="107"/>
      <c r="M84" s="107"/>
      <c r="N84" s="67" t="str">
        <f aca="false">IF($E84="","","系统")</f>
        <v/>
      </c>
      <c r="O84" s="67" t="str">
        <f aca="false">IF($E84="","","自动A")</f>
        <v/>
      </c>
      <c r="P84" s="18"/>
    </row>
    <row r="85" customFormat="false" ht="18" hidden="false" customHeight="true" outlineLevel="0" collapsed="false">
      <c r="A85" s="107" t="str">
        <f aca="false">IF($E85="","",ROW()-3)</f>
        <v/>
      </c>
      <c r="B85" s="110" t="str">
        <f aca="false">IF($E85="","",INDEX(进销存对接!$C$4:$C$305,28))</f>
        <v/>
      </c>
      <c r="C85" s="67" t="str">
        <f aca="false">IF($E85="","","记-"&amp;TEXT($B85,"YYYYMM")&amp;"-进销存")</f>
        <v/>
      </c>
      <c r="D85" s="107" t="str">
        <f aca="false">IF($E85="","",INDEX(进销存对接!$D$4:$D$305,28)&amp;" "&amp;TEXT($B85,"YYYY年M月")&amp;" 自动结转")</f>
        <v/>
      </c>
      <c r="E85" s="67" t="str">
        <f aca="false">IF(INDEX(进销存对接!$M$4:$U$305,28,1)=0,"",INDEX(进销存对接!$M$4:$U$305,28,1))</f>
        <v/>
      </c>
      <c r="F85" s="99" t="str">
        <f aca="false">IF($E85="","",IFERROR(INDEX(科目表!$A$4:$A$81,MATCH($E85,科目表!$B$4:$B$81,0)),""))</f>
        <v/>
      </c>
      <c r="G85" s="67" t="str">
        <f aca="false">IF($E85="","",IFERROR(INDEX(科目表!$E$4:$E$81,MATCH($E85,科目表!$B$4:$B$81,0)),""))</f>
        <v/>
      </c>
      <c r="H85" s="70" t="str">
        <f aca="false">IF($E85="","",N(INDEX(进销存对接!$M$4:$U$305,28,2)))</f>
        <v/>
      </c>
      <c r="I85" s="70" t="str">
        <f aca="false">IF($E85="","",N(INDEX(进销存对接!$M$4:$U$305,28,3)))</f>
        <v/>
      </c>
      <c r="J85" s="67"/>
      <c r="K85" s="67" t="str">
        <f aca="false">IF($E85="","",INDEX(进销存对接!$D$4:$D$305,28))</f>
        <v/>
      </c>
      <c r="L85" s="107"/>
      <c r="M85" s="107"/>
      <c r="N85" s="67" t="str">
        <f aca="false">IF($E85="","","系统")</f>
        <v/>
      </c>
      <c r="O85" s="67" t="str">
        <f aca="false">IF($E85="","","自动A")</f>
        <v/>
      </c>
      <c r="P85" s="18"/>
    </row>
    <row r="86" customFormat="false" ht="18" hidden="false" customHeight="true" outlineLevel="0" collapsed="false">
      <c r="A86" s="107" t="str">
        <f aca="false">IF($E86="","",ROW()-3)</f>
        <v/>
      </c>
      <c r="B86" s="110" t="str">
        <f aca="false">IF($E86="","",INDEX(进销存对接!$C$4:$C$305,28))</f>
        <v/>
      </c>
      <c r="C86" s="67" t="str">
        <f aca="false">IF($E86="","","记-"&amp;TEXT($B86,"YYYYMM")&amp;"-进销存")</f>
        <v/>
      </c>
      <c r="D86" s="107" t="str">
        <f aca="false">IF($E86="","",INDEX(进销存对接!$D$4:$D$305,28)&amp;" "&amp;TEXT($B86,"YYYY年M月")&amp;" 自动结转")</f>
        <v/>
      </c>
      <c r="E86" s="67" t="str">
        <f aca="false">IF(INDEX(进销存对接!$M$4:$U$305,28,4)=0,"",INDEX(进销存对接!$M$4:$U$305,28,4))</f>
        <v/>
      </c>
      <c r="F86" s="99" t="str">
        <f aca="false">IF($E86="","",IFERROR(INDEX(科目表!$A$4:$A$81,MATCH($E86,科目表!$B$4:$B$81,0)),""))</f>
        <v/>
      </c>
      <c r="G86" s="67" t="str">
        <f aca="false">IF($E86="","",IFERROR(INDEX(科目表!$E$4:$E$81,MATCH($E86,科目表!$B$4:$B$81,0)),""))</f>
        <v/>
      </c>
      <c r="H86" s="70" t="str">
        <f aca="false">IF($E86="","",N(INDEX(进销存对接!$M$4:$U$305,28,5)))</f>
        <v/>
      </c>
      <c r="I86" s="70" t="str">
        <f aca="false">IF($E86="","",N(INDEX(进销存对接!$M$4:$U$305,28,6)))</f>
        <v/>
      </c>
      <c r="J86" s="67"/>
      <c r="K86" s="67" t="str">
        <f aca="false">IF($E86="","",INDEX(进销存对接!$D$4:$D$305,28))</f>
        <v/>
      </c>
      <c r="L86" s="107"/>
      <c r="M86" s="107"/>
      <c r="N86" s="67" t="str">
        <f aca="false">IF($E86="","","系统")</f>
        <v/>
      </c>
      <c r="O86" s="67" t="str">
        <f aca="false">IF($E86="","","自动A")</f>
        <v/>
      </c>
      <c r="P86" s="18"/>
    </row>
    <row r="87" customFormat="false" ht="18" hidden="false" customHeight="true" outlineLevel="0" collapsed="false">
      <c r="A87" s="107" t="str">
        <f aca="false">IF($E87="","",ROW()-3)</f>
        <v/>
      </c>
      <c r="B87" s="110" t="str">
        <f aca="false">IF($E87="","",INDEX(进销存对接!$C$4:$C$305,28))</f>
        <v/>
      </c>
      <c r="C87" s="67" t="str">
        <f aca="false">IF($E87="","","记-"&amp;TEXT($B87,"YYYYMM")&amp;"-进销存")</f>
        <v/>
      </c>
      <c r="D87" s="107" t="str">
        <f aca="false">IF($E87="","",INDEX(进销存对接!$D$4:$D$305,28)&amp;" "&amp;TEXT($B87,"YYYY年M月")&amp;" 自动结转")</f>
        <v/>
      </c>
      <c r="E87" s="67" t="str">
        <f aca="false">IF(INDEX(进销存对接!$M$4:$U$305,28,7)=0,"",INDEX(进销存对接!$M$4:$U$305,28,7))</f>
        <v/>
      </c>
      <c r="F87" s="99" t="str">
        <f aca="false">IF($E87="","",IFERROR(INDEX(科目表!$A$4:$A$81,MATCH($E87,科目表!$B$4:$B$81,0)),""))</f>
        <v/>
      </c>
      <c r="G87" s="67" t="str">
        <f aca="false">IF($E87="","",IFERROR(INDEX(科目表!$E$4:$E$81,MATCH($E87,科目表!$B$4:$B$81,0)),""))</f>
        <v/>
      </c>
      <c r="H87" s="70" t="str">
        <f aca="false">IF($E87="","",N(INDEX(进销存对接!$M$4:$U$305,28,8)))</f>
        <v/>
      </c>
      <c r="I87" s="70" t="str">
        <f aca="false">IF($E87="","",N(INDEX(进销存对接!$M$4:$U$305,28,9)))</f>
        <v/>
      </c>
      <c r="J87" s="67"/>
      <c r="K87" s="67" t="str">
        <f aca="false">IF($E87="","",INDEX(进销存对接!$D$4:$D$305,28))</f>
        <v/>
      </c>
      <c r="L87" s="107"/>
      <c r="M87" s="107"/>
      <c r="N87" s="67" t="str">
        <f aca="false">IF($E87="","","系统")</f>
        <v/>
      </c>
      <c r="O87" s="67" t="str">
        <f aca="false">IF($E87="","","自动A")</f>
        <v/>
      </c>
      <c r="P87" s="18"/>
    </row>
    <row r="88" customFormat="false" ht="18" hidden="false" customHeight="true" outlineLevel="0" collapsed="false">
      <c r="A88" s="107" t="str">
        <f aca="false">IF($E88="","",ROW()-3)</f>
        <v/>
      </c>
      <c r="B88" s="110" t="str">
        <f aca="false">IF($E88="","",INDEX(进销存对接!$C$4:$C$305,29))</f>
        <v/>
      </c>
      <c r="C88" s="67" t="str">
        <f aca="false">IF($E88="","","记-"&amp;TEXT($B88,"YYYYMM")&amp;"-进销存")</f>
        <v/>
      </c>
      <c r="D88" s="107" t="str">
        <f aca="false">IF($E88="","",INDEX(进销存对接!$D$4:$D$305,29)&amp;" "&amp;TEXT($B88,"YYYY年M月")&amp;" 自动结转")</f>
        <v/>
      </c>
      <c r="E88" s="67" t="str">
        <f aca="false">IF(INDEX(进销存对接!$M$4:$U$305,29,1)=0,"",INDEX(进销存对接!$M$4:$U$305,29,1))</f>
        <v/>
      </c>
      <c r="F88" s="99" t="str">
        <f aca="false">IF($E88="","",IFERROR(INDEX(科目表!$A$4:$A$81,MATCH($E88,科目表!$B$4:$B$81,0)),""))</f>
        <v/>
      </c>
      <c r="G88" s="67" t="str">
        <f aca="false">IF($E88="","",IFERROR(INDEX(科目表!$E$4:$E$81,MATCH($E88,科目表!$B$4:$B$81,0)),""))</f>
        <v/>
      </c>
      <c r="H88" s="70" t="str">
        <f aca="false">IF($E88="","",N(INDEX(进销存对接!$M$4:$U$305,29,2)))</f>
        <v/>
      </c>
      <c r="I88" s="70" t="str">
        <f aca="false">IF($E88="","",N(INDEX(进销存对接!$M$4:$U$305,29,3)))</f>
        <v/>
      </c>
      <c r="J88" s="67"/>
      <c r="K88" s="67" t="str">
        <f aca="false">IF($E88="","",INDEX(进销存对接!$D$4:$D$305,29))</f>
        <v/>
      </c>
      <c r="L88" s="107"/>
      <c r="M88" s="107"/>
      <c r="N88" s="67" t="str">
        <f aca="false">IF($E88="","","系统")</f>
        <v/>
      </c>
      <c r="O88" s="67" t="str">
        <f aca="false">IF($E88="","","自动A")</f>
        <v/>
      </c>
      <c r="P88" s="18"/>
    </row>
    <row r="89" customFormat="false" ht="18" hidden="false" customHeight="true" outlineLevel="0" collapsed="false">
      <c r="A89" s="107" t="str">
        <f aca="false">IF($E89="","",ROW()-3)</f>
        <v/>
      </c>
      <c r="B89" s="110" t="str">
        <f aca="false">IF($E89="","",INDEX(进销存对接!$C$4:$C$305,29))</f>
        <v/>
      </c>
      <c r="C89" s="67" t="str">
        <f aca="false">IF($E89="","","记-"&amp;TEXT($B89,"YYYYMM")&amp;"-进销存")</f>
        <v/>
      </c>
      <c r="D89" s="107" t="str">
        <f aca="false">IF($E89="","",INDEX(进销存对接!$D$4:$D$305,29)&amp;" "&amp;TEXT($B89,"YYYY年M月")&amp;" 自动结转")</f>
        <v/>
      </c>
      <c r="E89" s="67" t="str">
        <f aca="false">IF(INDEX(进销存对接!$M$4:$U$305,29,4)=0,"",INDEX(进销存对接!$M$4:$U$305,29,4))</f>
        <v/>
      </c>
      <c r="F89" s="99" t="str">
        <f aca="false">IF($E89="","",IFERROR(INDEX(科目表!$A$4:$A$81,MATCH($E89,科目表!$B$4:$B$81,0)),""))</f>
        <v/>
      </c>
      <c r="G89" s="67" t="str">
        <f aca="false">IF($E89="","",IFERROR(INDEX(科目表!$E$4:$E$81,MATCH($E89,科目表!$B$4:$B$81,0)),""))</f>
        <v/>
      </c>
      <c r="H89" s="70" t="str">
        <f aca="false">IF($E89="","",N(INDEX(进销存对接!$M$4:$U$305,29,5)))</f>
        <v/>
      </c>
      <c r="I89" s="70" t="str">
        <f aca="false">IF($E89="","",N(INDEX(进销存对接!$M$4:$U$305,29,6)))</f>
        <v/>
      </c>
      <c r="J89" s="67"/>
      <c r="K89" s="67" t="str">
        <f aca="false">IF($E89="","",INDEX(进销存对接!$D$4:$D$305,29))</f>
        <v/>
      </c>
      <c r="L89" s="107"/>
      <c r="M89" s="107"/>
      <c r="N89" s="67" t="str">
        <f aca="false">IF($E89="","","系统")</f>
        <v/>
      </c>
      <c r="O89" s="67" t="str">
        <f aca="false">IF($E89="","","自动A")</f>
        <v/>
      </c>
      <c r="P89" s="18"/>
    </row>
    <row r="90" customFormat="false" ht="18" hidden="false" customHeight="true" outlineLevel="0" collapsed="false">
      <c r="A90" s="107" t="str">
        <f aca="false">IF($E90="","",ROW()-3)</f>
        <v/>
      </c>
      <c r="B90" s="110" t="str">
        <f aca="false">IF($E90="","",INDEX(进销存对接!$C$4:$C$305,29))</f>
        <v/>
      </c>
      <c r="C90" s="67" t="str">
        <f aca="false">IF($E90="","","记-"&amp;TEXT($B90,"YYYYMM")&amp;"-进销存")</f>
        <v/>
      </c>
      <c r="D90" s="107" t="str">
        <f aca="false">IF($E90="","",INDEX(进销存对接!$D$4:$D$305,29)&amp;" "&amp;TEXT($B90,"YYYY年M月")&amp;" 自动结转")</f>
        <v/>
      </c>
      <c r="E90" s="67" t="str">
        <f aca="false">IF(INDEX(进销存对接!$M$4:$U$305,29,7)=0,"",INDEX(进销存对接!$M$4:$U$305,29,7))</f>
        <v/>
      </c>
      <c r="F90" s="99" t="str">
        <f aca="false">IF($E90="","",IFERROR(INDEX(科目表!$A$4:$A$81,MATCH($E90,科目表!$B$4:$B$81,0)),""))</f>
        <v/>
      </c>
      <c r="G90" s="67" t="str">
        <f aca="false">IF($E90="","",IFERROR(INDEX(科目表!$E$4:$E$81,MATCH($E90,科目表!$B$4:$B$81,0)),""))</f>
        <v/>
      </c>
      <c r="H90" s="70" t="str">
        <f aca="false">IF($E90="","",N(INDEX(进销存对接!$M$4:$U$305,29,8)))</f>
        <v/>
      </c>
      <c r="I90" s="70" t="str">
        <f aca="false">IF($E90="","",N(INDEX(进销存对接!$M$4:$U$305,29,9)))</f>
        <v/>
      </c>
      <c r="J90" s="67"/>
      <c r="K90" s="67" t="str">
        <f aca="false">IF($E90="","",INDEX(进销存对接!$D$4:$D$305,29))</f>
        <v/>
      </c>
      <c r="L90" s="107"/>
      <c r="M90" s="107"/>
      <c r="N90" s="67" t="str">
        <f aca="false">IF($E90="","","系统")</f>
        <v/>
      </c>
      <c r="O90" s="67" t="str">
        <f aca="false">IF($E90="","","自动A")</f>
        <v/>
      </c>
      <c r="P90" s="18"/>
    </row>
    <row r="91" customFormat="false" ht="18" hidden="false" customHeight="true" outlineLevel="0" collapsed="false">
      <c r="A91" s="107" t="str">
        <f aca="false">IF($E91="","",ROW()-3)</f>
        <v/>
      </c>
      <c r="B91" s="110" t="str">
        <f aca="false">IF($E91="","",INDEX(进销存对接!$C$4:$C$305,30))</f>
        <v/>
      </c>
      <c r="C91" s="67" t="str">
        <f aca="false">IF($E91="","","记-"&amp;TEXT($B91,"YYYYMM")&amp;"-进销存")</f>
        <v/>
      </c>
      <c r="D91" s="107" t="str">
        <f aca="false">IF($E91="","",INDEX(进销存对接!$D$4:$D$305,30)&amp;" "&amp;TEXT($B91,"YYYY年M月")&amp;" 自动结转")</f>
        <v/>
      </c>
      <c r="E91" s="67" t="str">
        <f aca="false">IF(INDEX(进销存对接!$M$4:$U$305,30,1)=0,"",INDEX(进销存对接!$M$4:$U$305,30,1))</f>
        <v/>
      </c>
      <c r="F91" s="99" t="str">
        <f aca="false">IF($E91="","",IFERROR(INDEX(科目表!$A$4:$A$81,MATCH($E91,科目表!$B$4:$B$81,0)),""))</f>
        <v/>
      </c>
      <c r="G91" s="67" t="str">
        <f aca="false">IF($E91="","",IFERROR(INDEX(科目表!$E$4:$E$81,MATCH($E91,科目表!$B$4:$B$81,0)),""))</f>
        <v/>
      </c>
      <c r="H91" s="70" t="str">
        <f aca="false">IF($E91="","",N(INDEX(进销存对接!$M$4:$U$305,30,2)))</f>
        <v/>
      </c>
      <c r="I91" s="70" t="str">
        <f aca="false">IF($E91="","",N(INDEX(进销存对接!$M$4:$U$305,30,3)))</f>
        <v/>
      </c>
      <c r="J91" s="67"/>
      <c r="K91" s="67" t="str">
        <f aca="false">IF($E91="","",INDEX(进销存对接!$D$4:$D$305,30))</f>
        <v/>
      </c>
      <c r="L91" s="107"/>
      <c r="M91" s="107"/>
      <c r="N91" s="67" t="str">
        <f aca="false">IF($E91="","","系统")</f>
        <v/>
      </c>
      <c r="O91" s="67" t="str">
        <f aca="false">IF($E91="","","自动A")</f>
        <v/>
      </c>
      <c r="P91" s="18"/>
    </row>
    <row r="92" customFormat="false" ht="18" hidden="false" customHeight="true" outlineLevel="0" collapsed="false">
      <c r="A92" s="107" t="str">
        <f aca="false">IF($E92="","",ROW()-3)</f>
        <v/>
      </c>
      <c r="B92" s="110" t="str">
        <f aca="false">IF($E92="","",INDEX(进销存对接!$C$4:$C$305,30))</f>
        <v/>
      </c>
      <c r="C92" s="67" t="str">
        <f aca="false">IF($E92="","","记-"&amp;TEXT($B92,"YYYYMM")&amp;"-进销存")</f>
        <v/>
      </c>
      <c r="D92" s="107" t="str">
        <f aca="false">IF($E92="","",INDEX(进销存对接!$D$4:$D$305,30)&amp;" "&amp;TEXT($B92,"YYYY年M月")&amp;" 自动结转")</f>
        <v/>
      </c>
      <c r="E92" s="67" t="str">
        <f aca="false">IF(INDEX(进销存对接!$M$4:$U$305,30,4)=0,"",INDEX(进销存对接!$M$4:$U$305,30,4))</f>
        <v/>
      </c>
      <c r="F92" s="99" t="str">
        <f aca="false">IF($E92="","",IFERROR(INDEX(科目表!$A$4:$A$81,MATCH($E92,科目表!$B$4:$B$81,0)),""))</f>
        <v/>
      </c>
      <c r="G92" s="67" t="str">
        <f aca="false">IF($E92="","",IFERROR(INDEX(科目表!$E$4:$E$81,MATCH($E92,科目表!$B$4:$B$81,0)),""))</f>
        <v/>
      </c>
      <c r="H92" s="70" t="str">
        <f aca="false">IF($E92="","",N(INDEX(进销存对接!$M$4:$U$305,30,5)))</f>
        <v/>
      </c>
      <c r="I92" s="70" t="str">
        <f aca="false">IF($E92="","",N(INDEX(进销存对接!$M$4:$U$305,30,6)))</f>
        <v/>
      </c>
      <c r="J92" s="67"/>
      <c r="K92" s="67" t="str">
        <f aca="false">IF($E92="","",INDEX(进销存对接!$D$4:$D$305,30))</f>
        <v/>
      </c>
      <c r="L92" s="107"/>
      <c r="M92" s="107"/>
      <c r="N92" s="67" t="str">
        <f aca="false">IF($E92="","","系统")</f>
        <v/>
      </c>
      <c r="O92" s="67" t="str">
        <f aca="false">IF($E92="","","自动A")</f>
        <v/>
      </c>
      <c r="P92" s="18"/>
    </row>
    <row r="93" customFormat="false" ht="18" hidden="false" customHeight="true" outlineLevel="0" collapsed="false">
      <c r="A93" s="107" t="str">
        <f aca="false">IF($E93="","",ROW()-3)</f>
        <v/>
      </c>
      <c r="B93" s="110" t="str">
        <f aca="false">IF($E93="","",INDEX(进销存对接!$C$4:$C$305,30))</f>
        <v/>
      </c>
      <c r="C93" s="67" t="str">
        <f aca="false">IF($E93="","","记-"&amp;TEXT($B93,"YYYYMM")&amp;"-进销存")</f>
        <v/>
      </c>
      <c r="D93" s="107" t="str">
        <f aca="false">IF($E93="","",INDEX(进销存对接!$D$4:$D$305,30)&amp;" "&amp;TEXT($B93,"YYYY年M月")&amp;" 自动结转")</f>
        <v/>
      </c>
      <c r="E93" s="67" t="str">
        <f aca="false">IF(INDEX(进销存对接!$M$4:$U$305,30,7)=0,"",INDEX(进销存对接!$M$4:$U$305,30,7))</f>
        <v/>
      </c>
      <c r="F93" s="99" t="str">
        <f aca="false">IF($E93="","",IFERROR(INDEX(科目表!$A$4:$A$81,MATCH($E93,科目表!$B$4:$B$81,0)),""))</f>
        <v/>
      </c>
      <c r="G93" s="67" t="str">
        <f aca="false">IF($E93="","",IFERROR(INDEX(科目表!$E$4:$E$81,MATCH($E93,科目表!$B$4:$B$81,0)),""))</f>
        <v/>
      </c>
      <c r="H93" s="70" t="str">
        <f aca="false">IF($E93="","",N(INDEX(进销存对接!$M$4:$U$305,30,8)))</f>
        <v/>
      </c>
      <c r="I93" s="70" t="str">
        <f aca="false">IF($E93="","",N(INDEX(进销存对接!$M$4:$U$305,30,9)))</f>
        <v/>
      </c>
      <c r="J93" s="67"/>
      <c r="K93" s="67" t="str">
        <f aca="false">IF($E93="","",INDEX(进销存对接!$D$4:$D$305,30))</f>
        <v/>
      </c>
      <c r="L93" s="107"/>
      <c r="M93" s="107"/>
      <c r="N93" s="67" t="str">
        <f aca="false">IF($E93="","","系统")</f>
        <v/>
      </c>
      <c r="O93" s="67" t="str">
        <f aca="false">IF($E93="","","自动A")</f>
        <v/>
      </c>
      <c r="P93" s="18"/>
    </row>
    <row r="94" customFormat="false" ht="18" hidden="false" customHeight="true" outlineLevel="0" collapsed="false">
      <c r="A94" s="107" t="str">
        <f aca="false">IF($E94="","",ROW()-3)</f>
        <v/>
      </c>
      <c r="B94" s="110" t="str">
        <f aca="false">IF($E94="","",INDEX(进销存对接!$C$4:$C$305,31))</f>
        <v/>
      </c>
      <c r="C94" s="67" t="str">
        <f aca="false">IF($E94="","","记-"&amp;TEXT($B94,"YYYYMM")&amp;"-进销存")</f>
        <v/>
      </c>
      <c r="D94" s="107" t="str">
        <f aca="false">IF($E94="","",INDEX(进销存对接!$D$4:$D$305,31)&amp;" "&amp;TEXT($B94,"YYYY年M月")&amp;" 自动结转")</f>
        <v/>
      </c>
      <c r="E94" s="67" t="str">
        <f aca="false">IF(INDEX(进销存对接!$M$4:$U$305,31,1)=0,"",INDEX(进销存对接!$M$4:$U$305,31,1))</f>
        <v/>
      </c>
      <c r="F94" s="99" t="str">
        <f aca="false">IF($E94="","",IFERROR(INDEX(科目表!$A$4:$A$81,MATCH($E94,科目表!$B$4:$B$81,0)),""))</f>
        <v/>
      </c>
      <c r="G94" s="67" t="str">
        <f aca="false">IF($E94="","",IFERROR(INDEX(科目表!$E$4:$E$81,MATCH($E94,科目表!$B$4:$B$81,0)),""))</f>
        <v/>
      </c>
      <c r="H94" s="70" t="str">
        <f aca="false">IF($E94="","",N(INDEX(进销存对接!$M$4:$U$305,31,2)))</f>
        <v/>
      </c>
      <c r="I94" s="70" t="str">
        <f aca="false">IF($E94="","",N(INDEX(进销存对接!$M$4:$U$305,31,3)))</f>
        <v/>
      </c>
      <c r="J94" s="67"/>
      <c r="K94" s="67" t="str">
        <f aca="false">IF($E94="","",INDEX(进销存对接!$D$4:$D$305,31))</f>
        <v/>
      </c>
      <c r="L94" s="107"/>
      <c r="M94" s="107"/>
      <c r="N94" s="67" t="str">
        <f aca="false">IF($E94="","","系统")</f>
        <v/>
      </c>
      <c r="O94" s="67" t="str">
        <f aca="false">IF($E94="","","自动A")</f>
        <v/>
      </c>
      <c r="P94" s="18"/>
    </row>
    <row r="95" customFormat="false" ht="18" hidden="false" customHeight="true" outlineLevel="0" collapsed="false">
      <c r="A95" s="107" t="str">
        <f aca="false">IF($E95="","",ROW()-3)</f>
        <v/>
      </c>
      <c r="B95" s="110" t="str">
        <f aca="false">IF($E95="","",INDEX(进销存对接!$C$4:$C$305,31))</f>
        <v/>
      </c>
      <c r="C95" s="67" t="str">
        <f aca="false">IF($E95="","","记-"&amp;TEXT($B95,"YYYYMM")&amp;"-进销存")</f>
        <v/>
      </c>
      <c r="D95" s="107" t="str">
        <f aca="false">IF($E95="","",INDEX(进销存对接!$D$4:$D$305,31)&amp;" "&amp;TEXT($B95,"YYYY年M月")&amp;" 自动结转")</f>
        <v/>
      </c>
      <c r="E95" s="67" t="str">
        <f aca="false">IF(INDEX(进销存对接!$M$4:$U$305,31,4)=0,"",INDEX(进销存对接!$M$4:$U$305,31,4))</f>
        <v/>
      </c>
      <c r="F95" s="99" t="str">
        <f aca="false">IF($E95="","",IFERROR(INDEX(科目表!$A$4:$A$81,MATCH($E95,科目表!$B$4:$B$81,0)),""))</f>
        <v/>
      </c>
      <c r="G95" s="67" t="str">
        <f aca="false">IF($E95="","",IFERROR(INDEX(科目表!$E$4:$E$81,MATCH($E95,科目表!$B$4:$B$81,0)),""))</f>
        <v/>
      </c>
      <c r="H95" s="70" t="str">
        <f aca="false">IF($E95="","",N(INDEX(进销存对接!$M$4:$U$305,31,5)))</f>
        <v/>
      </c>
      <c r="I95" s="70" t="str">
        <f aca="false">IF($E95="","",N(INDEX(进销存对接!$M$4:$U$305,31,6)))</f>
        <v/>
      </c>
      <c r="J95" s="67"/>
      <c r="K95" s="67" t="str">
        <f aca="false">IF($E95="","",INDEX(进销存对接!$D$4:$D$305,31))</f>
        <v/>
      </c>
      <c r="L95" s="107"/>
      <c r="M95" s="107"/>
      <c r="N95" s="67" t="str">
        <f aca="false">IF($E95="","","系统")</f>
        <v/>
      </c>
      <c r="O95" s="67" t="str">
        <f aca="false">IF($E95="","","自动A")</f>
        <v/>
      </c>
      <c r="P95" s="18"/>
    </row>
    <row r="96" customFormat="false" ht="18" hidden="false" customHeight="true" outlineLevel="0" collapsed="false">
      <c r="A96" s="107" t="str">
        <f aca="false">IF($E96="","",ROW()-3)</f>
        <v/>
      </c>
      <c r="B96" s="110" t="str">
        <f aca="false">IF($E96="","",INDEX(进销存对接!$C$4:$C$305,31))</f>
        <v/>
      </c>
      <c r="C96" s="67" t="str">
        <f aca="false">IF($E96="","","记-"&amp;TEXT($B96,"YYYYMM")&amp;"-进销存")</f>
        <v/>
      </c>
      <c r="D96" s="107" t="str">
        <f aca="false">IF($E96="","",INDEX(进销存对接!$D$4:$D$305,31)&amp;" "&amp;TEXT($B96,"YYYY年M月")&amp;" 自动结转")</f>
        <v/>
      </c>
      <c r="E96" s="67" t="str">
        <f aca="false">IF(INDEX(进销存对接!$M$4:$U$305,31,7)=0,"",INDEX(进销存对接!$M$4:$U$305,31,7))</f>
        <v/>
      </c>
      <c r="F96" s="99" t="str">
        <f aca="false">IF($E96="","",IFERROR(INDEX(科目表!$A$4:$A$81,MATCH($E96,科目表!$B$4:$B$81,0)),""))</f>
        <v/>
      </c>
      <c r="G96" s="67" t="str">
        <f aca="false">IF($E96="","",IFERROR(INDEX(科目表!$E$4:$E$81,MATCH($E96,科目表!$B$4:$B$81,0)),""))</f>
        <v/>
      </c>
      <c r="H96" s="70" t="str">
        <f aca="false">IF($E96="","",N(INDEX(进销存对接!$M$4:$U$305,31,8)))</f>
        <v/>
      </c>
      <c r="I96" s="70" t="str">
        <f aca="false">IF($E96="","",N(INDEX(进销存对接!$M$4:$U$305,31,9)))</f>
        <v/>
      </c>
      <c r="J96" s="67"/>
      <c r="K96" s="67" t="str">
        <f aca="false">IF($E96="","",INDEX(进销存对接!$D$4:$D$305,31))</f>
        <v/>
      </c>
      <c r="L96" s="107"/>
      <c r="M96" s="107"/>
      <c r="N96" s="67" t="str">
        <f aca="false">IF($E96="","","系统")</f>
        <v/>
      </c>
      <c r="O96" s="67" t="str">
        <f aca="false">IF($E96="","","自动A")</f>
        <v/>
      </c>
      <c r="P96" s="18"/>
    </row>
    <row r="97" customFormat="false" ht="18" hidden="false" customHeight="true" outlineLevel="0" collapsed="false">
      <c r="A97" s="107" t="str">
        <f aca="false">IF($E97="","",ROW()-3)</f>
        <v/>
      </c>
      <c r="B97" s="110" t="str">
        <f aca="false">IF($E97="","",INDEX(进销存对接!$C$4:$C$305,32))</f>
        <v/>
      </c>
      <c r="C97" s="67" t="str">
        <f aca="false">IF($E97="","","记-"&amp;TEXT($B97,"YYYYMM")&amp;"-进销存")</f>
        <v/>
      </c>
      <c r="D97" s="107" t="str">
        <f aca="false">IF($E97="","",INDEX(进销存对接!$D$4:$D$305,32)&amp;" "&amp;TEXT($B97,"YYYY年M月")&amp;" 自动结转")</f>
        <v/>
      </c>
      <c r="E97" s="67" t="str">
        <f aca="false">IF(INDEX(进销存对接!$M$4:$U$305,32,1)=0,"",INDEX(进销存对接!$M$4:$U$305,32,1))</f>
        <v/>
      </c>
      <c r="F97" s="99" t="str">
        <f aca="false">IF($E97="","",IFERROR(INDEX(科目表!$A$4:$A$81,MATCH($E97,科目表!$B$4:$B$81,0)),""))</f>
        <v/>
      </c>
      <c r="G97" s="67" t="str">
        <f aca="false">IF($E97="","",IFERROR(INDEX(科目表!$E$4:$E$81,MATCH($E97,科目表!$B$4:$B$81,0)),""))</f>
        <v/>
      </c>
      <c r="H97" s="70" t="str">
        <f aca="false">IF($E97="","",N(INDEX(进销存对接!$M$4:$U$305,32,2)))</f>
        <v/>
      </c>
      <c r="I97" s="70" t="str">
        <f aca="false">IF($E97="","",N(INDEX(进销存对接!$M$4:$U$305,32,3)))</f>
        <v/>
      </c>
      <c r="J97" s="67"/>
      <c r="K97" s="67" t="str">
        <f aca="false">IF($E97="","",INDEX(进销存对接!$D$4:$D$305,32))</f>
        <v/>
      </c>
      <c r="L97" s="107"/>
      <c r="M97" s="107"/>
      <c r="N97" s="67" t="str">
        <f aca="false">IF($E97="","","系统")</f>
        <v/>
      </c>
      <c r="O97" s="67" t="str">
        <f aca="false">IF($E97="","","自动A")</f>
        <v/>
      </c>
      <c r="P97" s="18"/>
    </row>
    <row r="98" customFormat="false" ht="18" hidden="false" customHeight="true" outlineLevel="0" collapsed="false">
      <c r="A98" s="107" t="str">
        <f aca="false">IF($E98="","",ROW()-3)</f>
        <v/>
      </c>
      <c r="B98" s="110" t="str">
        <f aca="false">IF($E98="","",INDEX(进销存对接!$C$4:$C$305,32))</f>
        <v/>
      </c>
      <c r="C98" s="67" t="str">
        <f aca="false">IF($E98="","","记-"&amp;TEXT($B98,"YYYYMM")&amp;"-进销存")</f>
        <v/>
      </c>
      <c r="D98" s="107" t="str">
        <f aca="false">IF($E98="","",INDEX(进销存对接!$D$4:$D$305,32)&amp;" "&amp;TEXT($B98,"YYYY年M月")&amp;" 自动结转")</f>
        <v/>
      </c>
      <c r="E98" s="67" t="str">
        <f aca="false">IF(INDEX(进销存对接!$M$4:$U$305,32,4)=0,"",INDEX(进销存对接!$M$4:$U$305,32,4))</f>
        <v/>
      </c>
      <c r="F98" s="99" t="str">
        <f aca="false">IF($E98="","",IFERROR(INDEX(科目表!$A$4:$A$81,MATCH($E98,科目表!$B$4:$B$81,0)),""))</f>
        <v/>
      </c>
      <c r="G98" s="67" t="str">
        <f aca="false">IF($E98="","",IFERROR(INDEX(科目表!$E$4:$E$81,MATCH($E98,科目表!$B$4:$B$81,0)),""))</f>
        <v/>
      </c>
      <c r="H98" s="70" t="str">
        <f aca="false">IF($E98="","",N(INDEX(进销存对接!$M$4:$U$305,32,5)))</f>
        <v/>
      </c>
      <c r="I98" s="70" t="str">
        <f aca="false">IF($E98="","",N(INDEX(进销存对接!$M$4:$U$305,32,6)))</f>
        <v/>
      </c>
      <c r="J98" s="67"/>
      <c r="K98" s="67" t="str">
        <f aca="false">IF($E98="","",INDEX(进销存对接!$D$4:$D$305,32))</f>
        <v/>
      </c>
      <c r="L98" s="107"/>
      <c r="M98" s="107"/>
      <c r="N98" s="67" t="str">
        <f aca="false">IF($E98="","","系统")</f>
        <v/>
      </c>
      <c r="O98" s="67" t="str">
        <f aca="false">IF($E98="","","自动A")</f>
        <v/>
      </c>
      <c r="P98" s="18"/>
    </row>
    <row r="99" customFormat="false" ht="18" hidden="false" customHeight="true" outlineLevel="0" collapsed="false">
      <c r="A99" s="107" t="str">
        <f aca="false">IF($E99="","",ROW()-3)</f>
        <v/>
      </c>
      <c r="B99" s="110" t="str">
        <f aca="false">IF($E99="","",INDEX(进销存对接!$C$4:$C$305,32))</f>
        <v/>
      </c>
      <c r="C99" s="67" t="str">
        <f aca="false">IF($E99="","","记-"&amp;TEXT($B99,"YYYYMM")&amp;"-进销存")</f>
        <v/>
      </c>
      <c r="D99" s="107" t="str">
        <f aca="false">IF($E99="","",INDEX(进销存对接!$D$4:$D$305,32)&amp;" "&amp;TEXT($B99,"YYYY年M月")&amp;" 自动结转")</f>
        <v/>
      </c>
      <c r="E99" s="67" t="str">
        <f aca="false">IF(INDEX(进销存对接!$M$4:$U$305,32,7)=0,"",INDEX(进销存对接!$M$4:$U$305,32,7))</f>
        <v/>
      </c>
      <c r="F99" s="99" t="str">
        <f aca="false">IF($E99="","",IFERROR(INDEX(科目表!$A$4:$A$81,MATCH($E99,科目表!$B$4:$B$81,0)),""))</f>
        <v/>
      </c>
      <c r="G99" s="67" t="str">
        <f aca="false">IF($E99="","",IFERROR(INDEX(科目表!$E$4:$E$81,MATCH($E99,科目表!$B$4:$B$81,0)),""))</f>
        <v/>
      </c>
      <c r="H99" s="70" t="str">
        <f aca="false">IF($E99="","",N(INDEX(进销存对接!$M$4:$U$305,32,8)))</f>
        <v/>
      </c>
      <c r="I99" s="70" t="str">
        <f aca="false">IF($E99="","",N(INDEX(进销存对接!$M$4:$U$305,32,9)))</f>
        <v/>
      </c>
      <c r="J99" s="67"/>
      <c r="K99" s="67" t="str">
        <f aca="false">IF($E99="","",INDEX(进销存对接!$D$4:$D$305,32))</f>
        <v/>
      </c>
      <c r="L99" s="107"/>
      <c r="M99" s="107"/>
      <c r="N99" s="67" t="str">
        <f aca="false">IF($E99="","","系统")</f>
        <v/>
      </c>
      <c r="O99" s="67" t="str">
        <f aca="false">IF($E99="","","自动A")</f>
        <v/>
      </c>
      <c r="P99" s="18"/>
    </row>
    <row r="100" customFormat="false" ht="18" hidden="false" customHeight="true" outlineLevel="0" collapsed="false">
      <c r="A100" s="107" t="str">
        <f aca="false">IF($E100="","",ROW()-3)</f>
        <v/>
      </c>
      <c r="B100" s="110" t="str">
        <f aca="false">IF($E100="","",INDEX(进销存对接!$C$4:$C$305,33))</f>
        <v/>
      </c>
      <c r="C100" s="67" t="str">
        <f aca="false">IF($E100="","","记-"&amp;TEXT($B100,"YYYYMM")&amp;"-进销存")</f>
        <v/>
      </c>
      <c r="D100" s="107" t="str">
        <f aca="false">IF($E100="","",INDEX(进销存对接!$D$4:$D$305,33)&amp;" "&amp;TEXT($B100,"YYYY年M月")&amp;" 自动结转")</f>
        <v/>
      </c>
      <c r="E100" s="67" t="str">
        <f aca="false">IF(INDEX(进销存对接!$M$4:$U$305,33,1)=0,"",INDEX(进销存对接!$M$4:$U$305,33,1))</f>
        <v/>
      </c>
      <c r="F100" s="99" t="str">
        <f aca="false">IF($E100="","",IFERROR(INDEX(科目表!$A$4:$A$81,MATCH($E100,科目表!$B$4:$B$81,0)),""))</f>
        <v/>
      </c>
      <c r="G100" s="67" t="str">
        <f aca="false">IF($E100="","",IFERROR(INDEX(科目表!$E$4:$E$81,MATCH($E100,科目表!$B$4:$B$81,0)),""))</f>
        <v/>
      </c>
      <c r="H100" s="70" t="str">
        <f aca="false">IF($E100="","",N(INDEX(进销存对接!$M$4:$U$305,33,2)))</f>
        <v/>
      </c>
      <c r="I100" s="70" t="str">
        <f aca="false">IF($E100="","",N(INDEX(进销存对接!$M$4:$U$305,33,3)))</f>
        <v/>
      </c>
      <c r="J100" s="67"/>
      <c r="K100" s="67" t="str">
        <f aca="false">IF($E100="","",INDEX(进销存对接!$D$4:$D$305,33))</f>
        <v/>
      </c>
      <c r="L100" s="107"/>
      <c r="M100" s="107"/>
      <c r="N100" s="67" t="str">
        <f aca="false">IF($E100="","","系统")</f>
        <v/>
      </c>
      <c r="O100" s="67" t="str">
        <f aca="false">IF($E100="","","自动A")</f>
        <v/>
      </c>
      <c r="P100" s="18"/>
    </row>
    <row r="101" customFormat="false" ht="18" hidden="false" customHeight="true" outlineLevel="0" collapsed="false">
      <c r="A101" s="107" t="str">
        <f aca="false">IF($E101="","",ROW()-3)</f>
        <v/>
      </c>
      <c r="B101" s="110" t="str">
        <f aca="false">IF($E101="","",INDEX(进销存对接!$C$4:$C$305,33))</f>
        <v/>
      </c>
      <c r="C101" s="67" t="str">
        <f aca="false">IF($E101="","","记-"&amp;TEXT($B101,"YYYYMM")&amp;"-进销存")</f>
        <v/>
      </c>
      <c r="D101" s="107" t="str">
        <f aca="false">IF($E101="","",INDEX(进销存对接!$D$4:$D$305,33)&amp;" "&amp;TEXT($B101,"YYYY年M月")&amp;" 自动结转")</f>
        <v/>
      </c>
      <c r="E101" s="67" t="str">
        <f aca="false">IF(INDEX(进销存对接!$M$4:$U$305,33,4)=0,"",INDEX(进销存对接!$M$4:$U$305,33,4))</f>
        <v/>
      </c>
      <c r="F101" s="99" t="str">
        <f aca="false">IF($E101="","",IFERROR(INDEX(科目表!$A$4:$A$81,MATCH($E101,科目表!$B$4:$B$81,0)),""))</f>
        <v/>
      </c>
      <c r="G101" s="67" t="str">
        <f aca="false">IF($E101="","",IFERROR(INDEX(科目表!$E$4:$E$81,MATCH($E101,科目表!$B$4:$B$81,0)),""))</f>
        <v/>
      </c>
      <c r="H101" s="70" t="str">
        <f aca="false">IF($E101="","",N(INDEX(进销存对接!$M$4:$U$305,33,5)))</f>
        <v/>
      </c>
      <c r="I101" s="70" t="str">
        <f aca="false">IF($E101="","",N(INDEX(进销存对接!$M$4:$U$305,33,6)))</f>
        <v/>
      </c>
      <c r="J101" s="67"/>
      <c r="K101" s="67" t="str">
        <f aca="false">IF($E101="","",INDEX(进销存对接!$D$4:$D$305,33))</f>
        <v/>
      </c>
      <c r="L101" s="107"/>
      <c r="M101" s="107"/>
      <c r="N101" s="67" t="str">
        <f aca="false">IF($E101="","","系统")</f>
        <v/>
      </c>
      <c r="O101" s="67" t="str">
        <f aca="false">IF($E101="","","自动A")</f>
        <v/>
      </c>
      <c r="P101" s="18"/>
    </row>
    <row r="102" customFormat="false" ht="18" hidden="false" customHeight="true" outlineLevel="0" collapsed="false">
      <c r="A102" s="107" t="str">
        <f aca="false">IF($E102="","",ROW()-3)</f>
        <v/>
      </c>
      <c r="B102" s="110" t="str">
        <f aca="false">IF($E102="","",INDEX(进销存对接!$C$4:$C$305,33))</f>
        <v/>
      </c>
      <c r="C102" s="67" t="str">
        <f aca="false">IF($E102="","","记-"&amp;TEXT($B102,"YYYYMM")&amp;"-进销存")</f>
        <v/>
      </c>
      <c r="D102" s="107" t="str">
        <f aca="false">IF($E102="","",INDEX(进销存对接!$D$4:$D$305,33)&amp;" "&amp;TEXT($B102,"YYYY年M月")&amp;" 自动结转")</f>
        <v/>
      </c>
      <c r="E102" s="67" t="str">
        <f aca="false">IF(INDEX(进销存对接!$M$4:$U$305,33,7)=0,"",INDEX(进销存对接!$M$4:$U$305,33,7))</f>
        <v/>
      </c>
      <c r="F102" s="99" t="str">
        <f aca="false">IF($E102="","",IFERROR(INDEX(科目表!$A$4:$A$81,MATCH($E102,科目表!$B$4:$B$81,0)),""))</f>
        <v/>
      </c>
      <c r="G102" s="67" t="str">
        <f aca="false">IF($E102="","",IFERROR(INDEX(科目表!$E$4:$E$81,MATCH($E102,科目表!$B$4:$B$81,0)),""))</f>
        <v/>
      </c>
      <c r="H102" s="70" t="str">
        <f aca="false">IF($E102="","",N(INDEX(进销存对接!$M$4:$U$305,33,8)))</f>
        <v/>
      </c>
      <c r="I102" s="70" t="str">
        <f aca="false">IF($E102="","",N(INDEX(进销存对接!$M$4:$U$305,33,9)))</f>
        <v/>
      </c>
      <c r="J102" s="67"/>
      <c r="K102" s="67" t="str">
        <f aca="false">IF($E102="","",INDEX(进销存对接!$D$4:$D$305,33))</f>
        <v/>
      </c>
      <c r="L102" s="107"/>
      <c r="M102" s="107"/>
      <c r="N102" s="67" t="str">
        <f aca="false">IF($E102="","","系统")</f>
        <v/>
      </c>
      <c r="O102" s="67" t="str">
        <f aca="false">IF($E102="","","自动A")</f>
        <v/>
      </c>
      <c r="P102" s="18"/>
    </row>
    <row r="103" customFormat="false" ht="18" hidden="false" customHeight="true" outlineLevel="0" collapsed="false">
      <c r="A103" s="107" t="str">
        <f aca="false">IF($E103="","",ROW()-3)</f>
        <v/>
      </c>
      <c r="B103" s="110" t="str">
        <f aca="false">IF($E103="","",INDEX(进销存对接!$C$4:$C$305,34))</f>
        <v/>
      </c>
      <c r="C103" s="67" t="str">
        <f aca="false">IF($E103="","","记-"&amp;TEXT($B103,"YYYYMM")&amp;"-进销存")</f>
        <v/>
      </c>
      <c r="D103" s="107" t="str">
        <f aca="false">IF($E103="","",INDEX(进销存对接!$D$4:$D$305,34)&amp;" "&amp;TEXT($B103,"YYYY年M月")&amp;" 自动结转")</f>
        <v/>
      </c>
      <c r="E103" s="67" t="str">
        <f aca="false">IF(INDEX(进销存对接!$M$4:$U$305,34,1)=0,"",INDEX(进销存对接!$M$4:$U$305,34,1))</f>
        <v/>
      </c>
      <c r="F103" s="99" t="str">
        <f aca="false">IF($E103="","",IFERROR(INDEX(科目表!$A$4:$A$81,MATCH($E103,科目表!$B$4:$B$81,0)),""))</f>
        <v/>
      </c>
      <c r="G103" s="67" t="str">
        <f aca="false">IF($E103="","",IFERROR(INDEX(科目表!$E$4:$E$81,MATCH($E103,科目表!$B$4:$B$81,0)),""))</f>
        <v/>
      </c>
      <c r="H103" s="70" t="str">
        <f aca="false">IF($E103="","",N(INDEX(进销存对接!$M$4:$U$305,34,2)))</f>
        <v/>
      </c>
      <c r="I103" s="70" t="str">
        <f aca="false">IF($E103="","",N(INDEX(进销存对接!$M$4:$U$305,34,3)))</f>
        <v/>
      </c>
      <c r="J103" s="67"/>
      <c r="K103" s="67" t="str">
        <f aca="false">IF($E103="","",INDEX(进销存对接!$D$4:$D$305,34))</f>
        <v/>
      </c>
      <c r="L103" s="107"/>
      <c r="M103" s="107"/>
      <c r="N103" s="67" t="str">
        <f aca="false">IF($E103="","","系统")</f>
        <v/>
      </c>
      <c r="O103" s="67" t="str">
        <f aca="false">IF($E103="","","自动A")</f>
        <v/>
      </c>
      <c r="P103" s="18"/>
    </row>
    <row r="104" customFormat="false" ht="18" hidden="false" customHeight="true" outlineLevel="0" collapsed="false">
      <c r="A104" s="107" t="str">
        <f aca="false">IF($E104="","",ROW()-3)</f>
        <v/>
      </c>
      <c r="B104" s="110" t="str">
        <f aca="false">IF($E104="","",INDEX(进销存对接!$C$4:$C$305,34))</f>
        <v/>
      </c>
      <c r="C104" s="67" t="str">
        <f aca="false">IF($E104="","","记-"&amp;TEXT($B104,"YYYYMM")&amp;"-进销存")</f>
        <v/>
      </c>
      <c r="D104" s="107" t="str">
        <f aca="false">IF($E104="","",INDEX(进销存对接!$D$4:$D$305,34)&amp;" "&amp;TEXT($B104,"YYYY年M月")&amp;" 自动结转")</f>
        <v/>
      </c>
      <c r="E104" s="67" t="str">
        <f aca="false">IF(INDEX(进销存对接!$M$4:$U$305,34,4)=0,"",INDEX(进销存对接!$M$4:$U$305,34,4))</f>
        <v/>
      </c>
      <c r="F104" s="99" t="str">
        <f aca="false">IF($E104="","",IFERROR(INDEX(科目表!$A$4:$A$81,MATCH($E104,科目表!$B$4:$B$81,0)),""))</f>
        <v/>
      </c>
      <c r="G104" s="67" t="str">
        <f aca="false">IF($E104="","",IFERROR(INDEX(科目表!$E$4:$E$81,MATCH($E104,科目表!$B$4:$B$81,0)),""))</f>
        <v/>
      </c>
      <c r="H104" s="70" t="str">
        <f aca="false">IF($E104="","",N(INDEX(进销存对接!$M$4:$U$305,34,5)))</f>
        <v/>
      </c>
      <c r="I104" s="70" t="str">
        <f aca="false">IF($E104="","",N(INDEX(进销存对接!$M$4:$U$305,34,6)))</f>
        <v/>
      </c>
      <c r="J104" s="67"/>
      <c r="K104" s="67" t="str">
        <f aca="false">IF($E104="","",INDEX(进销存对接!$D$4:$D$305,34))</f>
        <v/>
      </c>
      <c r="L104" s="107"/>
      <c r="M104" s="107"/>
      <c r="N104" s="67" t="str">
        <f aca="false">IF($E104="","","系统")</f>
        <v/>
      </c>
      <c r="O104" s="67" t="str">
        <f aca="false">IF($E104="","","自动A")</f>
        <v/>
      </c>
      <c r="P104" s="18"/>
    </row>
    <row r="105" customFormat="false" ht="18" hidden="false" customHeight="true" outlineLevel="0" collapsed="false">
      <c r="A105" s="107" t="str">
        <f aca="false">IF($E105="","",ROW()-3)</f>
        <v/>
      </c>
      <c r="B105" s="110" t="str">
        <f aca="false">IF($E105="","",INDEX(进销存对接!$C$4:$C$305,34))</f>
        <v/>
      </c>
      <c r="C105" s="67" t="str">
        <f aca="false">IF($E105="","","记-"&amp;TEXT($B105,"YYYYMM")&amp;"-进销存")</f>
        <v/>
      </c>
      <c r="D105" s="107" t="str">
        <f aca="false">IF($E105="","",INDEX(进销存对接!$D$4:$D$305,34)&amp;" "&amp;TEXT($B105,"YYYY年M月")&amp;" 自动结转")</f>
        <v/>
      </c>
      <c r="E105" s="67" t="str">
        <f aca="false">IF(INDEX(进销存对接!$M$4:$U$305,34,7)=0,"",INDEX(进销存对接!$M$4:$U$305,34,7))</f>
        <v/>
      </c>
      <c r="F105" s="99" t="str">
        <f aca="false">IF($E105="","",IFERROR(INDEX(科目表!$A$4:$A$81,MATCH($E105,科目表!$B$4:$B$81,0)),""))</f>
        <v/>
      </c>
      <c r="G105" s="67" t="str">
        <f aca="false">IF($E105="","",IFERROR(INDEX(科目表!$E$4:$E$81,MATCH($E105,科目表!$B$4:$B$81,0)),""))</f>
        <v/>
      </c>
      <c r="H105" s="70" t="str">
        <f aca="false">IF($E105="","",N(INDEX(进销存对接!$M$4:$U$305,34,8)))</f>
        <v/>
      </c>
      <c r="I105" s="70" t="str">
        <f aca="false">IF($E105="","",N(INDEX(进销存对接!$M$4:$U$305,34,9)))</f>
        <v/>
      </c>
      <c r="J105" s="67"/>
      <c r="K105" s="67" t="str">
        <f aca="false">IF($E105="","",INDEX(进销存对接!$D$4:$D$305,34))</f>
        <v/>
      </c>
      <c r="L105" s="107"/>
      <c r="M105" s="107"/>
      <c r="N105" s="67" t="str">
        <f aca="false">IF($E105="","","系统")</f>
        <v/>
      </c>
      <c r="O105" s="67" t="str">
        <f aca="false">IF($E105="","","自动A")</f>
        <v/>
      </c>
      <c r="P105" s="18"/>
    </row>
    <row r="106" customFormat="false" ht="18" hidden="false" customHeight="true" outlineLevel="0" collapsed="false">
      <c r="A106" s="107" t="str">
        <f aca="false">IF($E106="","",ROW()-3)</f>
        <v/>
      </c>
      <c r="B106" s="110" t="str">
        <f aca="false">IF($E106="","",INDEX(进销存对接!$C$4:$C$305,35))</f>
        <v/>
      </c>
      <c r="C106" s="67" t="str">
        <f aca="false">IF($E106="","","记-"&amp;TEXT($B106,"YYYYMM")&amp;"-进销存")</f>
        <v/>
      </c>
      <c r="D106" s="107" t="str">
        <f aca="false">IF($E106="","",INDEX(进销存对接!$D$4:$D$305,35)&amp;" "&amp;TEXT($B106,"YYYY年M月")&amp;" 自动结转")</f>
        <v/>
      </c>
      <c r="E106" s="67" t="str">
        <f aca="false">IF(INDEX(进销存对接!$M$4:$U$305,35,1)=0,"",INDEX(进销存对接!$M$4:$U$305,35,1))</f>
        <v/>
      </c>
      <c r="F106" s="99" t="str">
        <f aca="false">IF($E106="","",IFERROR(INDEX(科目表!$A$4:$A$81,MATCH($E106,科目表!$B$4:$B$81,0)),""))</f>
        <v/>
      </c>
      <c r="G106" s="67" t="str">
        <f aca="false">IF($E106="","",IFERROR(INDEX(科目表!$E$4:$E$81,MATCH($E106,科目表!$B$4:$B$81,0)),""))</f>
        <v/>
      </c>
      <c r="H106" s="70" t="str">
        <f aca="false">IF($E106="","",N(INDEX(进销存对接!$M$4:$U$305,35,2)))</f>
        <v/>
      </c>
      <c r="I106" s="70" t="str">
        <f aca="false">IF($E106="","",N(INDEX(进销存对接!$M$4:$U$305,35,3)))</f>
        <v/>
      </c>
      <c r="J106" s="67"/>
      <c r="K106" s="67" t="str">
        <f aca="false">IF($E106="","",INDEX(进销存对接!$D$4:$D$305,35))</f>
        <v/>
      </c>
      <c r="L106" s="107"/>
      <c r="M106" s="107"/>
      <c r="N106" s="67" t="str">
        <f aca="false">IF($E106="","","系统")</f>
        <v/>
      </c>
      <c r="O106" s="67" t="str">
        <f aca="false">IF($E106="","","自动A")</f>
        <v/>
      </c>
      <c r="P106" s="18"/>
    </row>
    <row r="107" customFormat="false" ht="18" hidden="false" customHeight="true" outlineLevel="0" collapsed="false">
      <c r="A107" s="107" t="str">
        <f aca="false">IF($E107="","",ROW()-3)</f>
        <v/>
      </c>
      <c r="B107" s="110" t="str">
        <f aca="false">IF($E107="","",INDEX(进销存对接!$C$4:$C$305,35))</f>
        <v/>
      </c>
      <c r="C107" s="67" t="str">
        <f aca="false">IF($E107="","","记-"&amp;TEXT($B107,"YYYYMM")&amp;"-进销存")</f>
        <v/>
      </c>
      <c r="D107" s="107" t="str">
        <f aca="false">IF($E107="","",INDEX(进销存对接!$D$4:$D$305,35)&amp;" "&amp;TEXT($B107,"YYYY年M月")&amp;" 自动结转")</f>
        <v/>
      </c>
      <c r="E107" s="67" t="str">
        <f aca="false">IF(INDEX(进销存对接!$M$4:$U$305,35,4)=0,"",INDEX(进销存对接!$M$4:$U$305,35,4))</f>
        <v/>
      </c>
      <c r="F107" s="99" t="str">
        <f aca="false">IF($E107="","",IFERROR(INDEX(科目表!$A$4:$A$81,MATCH($E107,科目表!$B$4:$B$81,0)),""))</f>
        <v/>
      </c>
      <c r="G107" s="67" t="str">
        <f aca="false">IF($E107="","",IFERROR(INDEX(科目表!$E$4:$E$81,MATCH($E107,科目表!$B$4:$B$81,0)),""))</f>
        <v/>
      </c>
      <c r="H107" s="70" t="str">
        <f aca="false">IF($E107="","",N(INDEX(进销存对接!$M$4:$U$305,35,5)))</f>
        <v/>
      </c>
      <c r="I107" s="70" t="str">
        <f aca="false">IF($E107="","",N(INDEX(进销存对接!$M$4:$U$305,35,6)))</f>
        <v/>
      </c>
      <c r="J107" s="67"/>
      <c r="K107" s="67" t="str">
        <f aca="false">IF($E107="","",INDEX(进销存对接!$D$4:$D$305,35))</f>
        <v/>
      </c>
      <c r="L107" s="107"/>
      <c r="M107" s="107"/>
      <c r="N107" s="67" t="str">
        <f aca="false">IF($E107="","","系统")</f>
        <v/>
      </c>
      <c r="O107" s="67" t="str">
        <f aca="false">IF($E107="","","自动A")</f>
        <v/>
      </c>
      <c r="P107" s="18"/>
    </row>
    <row r="108" customFormat="false" ht="18" hidden="false" customHeight="true" outlineLevel="0" collapsed="false">
      <c r="A108" s="107" t="str">
        <f aca="false">IF($E108="","",ROW()-3)</f>
        <v/>
      </c>
      <c r="B108" s="110" t="str">
        <f aca="false">IF($E108="","",INDEX(进销存对接!$C$4:$C$305,35))</f>
        <v/>
      </c>
      <c r="C108" s="67" t="str">
        <f aca="false">IF($E108="","","记-"&amp;TEXT($B108,"YYYYMM")&amp;"-进销存")</f>
        <v/>
      </c>
      <c r="D108" s="107" t="str">
        <f aca="false">IF($E108="","",INDEX(进销存对接!$D$4:$D$305,35)&amp;" "&amp;TEXT($B108,"YYYY年M月")&amp;" 自动结转")</f>
        <v/>
      </c>
      <c r="E108" s="67" t="str">
        <f aca="false">IF(INDEX(进销存对接!$M$4:$U$305,35,7)=0,"",INDEX(进销存对接!$M$4:$U$305,35,7))</f>
        <v/>
      </c>
      <c r="F108" s="99" t="str">
        <f aca="false">IF($E108="","",IFERROR(INDEX(科目表!$A$4:$A$81,MATCH($E108,科目表!$B$4:$B$81,0)),""))</f>
        <v/>
      </c>
      <c r="G108" s="67" t="str">
        <f aca="false">IF($E108="","",IFERROR(INDEX(科目表!$E$4:$E$81,MATCH($E108,科目表!$B$4:$B$81,0)),""))</f>
        <v/>
      </c>
      <c r="H108" s="70" t="str">
        <f aca="false">IF($E108="","",N(INDEX(进销存对接!$M$4:$U$305,35,8)))</f>
        <v/>
      </c>
      <c r="I108" s="70" t="str">
        <f aca="false">IF($E108="","",N(INDEX(进销存对接!$M$4:$U$305,35,9)))</f>
        <v/>
      </c>
      <c r="J108" s="67"/>
      <c r="K108" s="67" t="str">
        <f aca="false">IF($E108="","",INDEX(进销存对接!$D$4:$D$305,35))</f>
        <v/>
      </c>
      <c r="L108" s="107"/>
      <c r="M108" s="107"/>
      <c r="N108" s="67" t="str">
        <f aca="false">IF($E108="","","系统")</f>
        <v/>
      </c>
      <c r="O108" s="67" t="str">
        <f aca="false">IF($E108="","","自动A")</f>
        <v/>
      </c>
      <c r="P108" s="18"/>
    </row>
    <row r="109" customFormat="false" ht="18" hidden="false" customHeight="true" outlineLevel="0" collapsed="false">
      <c r="A109" s="107" t="str">
        <f aca="false">IF($E109="","",ROW()-3)</f>
        <v/>
      </c>
      <c r="B109" s="110" t="str">
        <f aca="false">IF($E109="","",INDEX(进销存对接!$C$4:$C$305,36))</f>
        <v/>
      </c>
      <c r="C109" s="67" t="str">
        <f aca="false">IF($E109="","","记-"&amp;TEXT($B109,"YYYYMM")&amp;"-进销存")</f>
        <v/>
      </c>
      <c r="D109" s="107" t="str">
        <f aca="false">IF($E109="","",INDEX(进销存对接!$D$4:$D$305,36)&amp;" "&amp;TEXT($B109,"YYYY年M月")&amp;" 自动结转")</f>
        <v/>
      </c>
      <c r="E109" s="67" t="str">
        <f aca="false">IF(INDEX(进销存对接!$M$4:$U$305,36,1)=0,"",INDEX(进销存对接!$M$4:$U$305,36,1))</f>
        <v/>
      </c>
      <c r="F109" s="99" t="str">
        <f aca="false">IF($E109="","",IFERROR(INDEX(科目表!$A$4:$A$81,MATCH($E109,科目表!$B$4:$B$81,0)),""))</f>
        <v/>
      </c>
      <c r="G109" s="67" t="str">
        <f aca="false">IF($E109="","",IFERROR(INDEX(科目表!$E$4:$E$81,MATCH($E109,科目表!$B$4:$B$81,0)),""))</f>
        <v/>
      </c>
      <c r="H109" s="70" t="str">
        <f aca="false">IF($E109="","",N(INDEX(进销存对接!$M$4:$U$305,36,2)))</f>
        <v/>
      </c>
      <c r="I109" s="70" t="str">
        <f aca="false">IF($E109="","",N(INDEX(进销存对接!$M$4:$U$305,36,3)))</f>
        <v/>
      </c>
      <c r="J109" s="67"/>
      <c r="K109" s="67" t="str">
        <f aca="false">IF($E109="","",INDEX(进销存对接!$D$4:$D$305,36))</f>
        <v/>
      </c>
      <c r="L109" s="107"/>
      <c r="M109" s="107"/>
      <c r="N109" s="67" t="str">
        <f aca="false">IF($E109="","","系统")</f>
        <v/>
      </c>
      <c r="O109" s="67" t="str">
        <f aca="false">IF($E109="","","自动A")</f>
        <v/>
      </c>
      <c r="P109" s="18"/>
    </row>
    <row r="110" customFormat="false" ht="18" hidden="false" customHeight="true" outlineLevel="0" collapsed="false">
      <c r="A110" s="107" t="str">
        <f aca="false">IF($E110="","",ROW()-3)</f>
        <v/>
      </c>
      <c r="B110" s="110" t="str">
        <f aca="false">IF($E110="","",INDEX(进销存对接!$C$4:$C$305,36))</f>
        <v/>
      </c>
      <c r="C110" s="67" t="str">
        <f aca="false">IF($E110="","","记-"&amp;TEXT($B110,"YYYYMM")&amp;"-进销存")</f>
        <v/>
      </c>
      <c r="D110" s="107" t="str">
        <f aca="false">IF($E110="","",INDEX(进销存对接!$D$4:$D$305,36)&amp;" "&amp;TEXT($B110,"YYYY年M月")&amp;" 自动结转")</f>
        <v/>
      </c>
      <c r="E110" s="67" t="str">
        <f aca="false">IF(INDEX(进销存对接!$M$4:$U$305,36,4)=0,"",INDEX(进销存对接!$M$4:$U$305,36,4))</f>
        <v/>
      </c>
      <c r="F110" s="99" t="str">
        <f aca="false">IF($E110="","",IFERROR(INDEX(科目表!$A$4:$A$81,MATCH($E110,科目表!$B$4:$B$81,0)),""))</f>
        <v/>
      </c>
      <c r="G110" s="67" t="str">
        <f aca="false">IF($E110="","",IFERROR(INDEX(科目表!$E$4:$E$81,MATCH($E110,科目表!$B$4:$B$81,0)),""))</f>
        <v/>
      </c>
      <c r="H110" s="70" t="str">
        <f aca="false">IF($E110="","",N(INDEX(进销存对接!$M$4:$U$305,36,5)))</f>
        <v/>
      </c>
      <c r="I110" s="70" t="str">
        <f aca="false">IF($E110="","",N(INDEX(进销存对接!$M$4:$U$305,36,6)))</f>
        <v/>
      </c>
      <c r="J110" s="67"/>
      <c r="K110" s="67" t="str">
        <f aca="false">IF($E110="","",INDEX(进销存对接!$D$4:$D$305,36))</f>
        <v/>
      </c>
      <c r="L110" s="107"/>
      <c r="M110" s="107"/>
      <c r="N110" s="67" t="str">
        <f aca="false">IF($E110="","","系统")</f>
        <v/>
      </c>
      <c r="O110" s="67" t="str">
        <f aca="false">IF($E110="","","自动A")</f>
        <v/>
      </c>
      <c r="P110" s="18"/>
    </row>
    <row r="111" customFormat="false" ht="18" hidden="false" customHeight="true" outlineLevel="0" collapsed="false">
      <c r="A111" s="107" t="str">
        <f aca="false">IF($E111="","",ROW()-3)</f>
        <v/>
      </c>
      <c r="B111" s="110" t="str">
        <f aca="false">IF($E111="","",INDEX(进销存对接!$C$4:$C$305,36))</f>
        <v/>
      </c>
      <c r="C111" s="67" t="str">
        <f aca="false">IF($E111="","","记-"&amp;TEXT($B111,"YYYYMM")&amp;"-进销存")</f>
        <v/>
      </c>
      <c r="D111" s="107" t="str">
        <f aca="false">IF($E111="","",INDEX(进销存对接!$D$4:$D$305,36)&amp;" "&amp;TEXT($B111,"YYYY年M月")&amp;" 自动结转")</f>
        <v/>
      </c>
      <c r="E111" s="67" t="str">
        <f aca="false">IF(INDEX(进销存对接!$M$4:$U$305,36,7)=0,"",INDEX(进销存对接!$M$4:$U$305,36,7))</f>
        <v/>
      </c>
      <c r="F111" s="99" t="str">
        <f aca="false">IF($E111="","",IFERROR(INDEX(科目表!$A$4:$A$81,MATCH($E111,科目表!$B$4:$B$81,0)),""))</f>
        <v/>
      </c>
      <c r="G111" s="67" t="str">
        <f aca="false">IF($E111="","",IFERROR(INDEX(科目表!$E$4:$E$81,MATCH($E111,科目表!$B$4:$B$81,0)),""))</f>
        <v/>
      </c>
      <c r="H111" s="70" t="str">
        <f aca="false">IF($E111="","",N(INDEX(进销存对接!$M$4:$U$305,36,8)))</f>
        <v/>
      </c>
      <c r="I111" s="70" t="str">
        <f aca="false">IF($E111="","",N(INDEX(进销存对接!$M$4:$U$305,36,9)))</f>
        <v/>
      </c>
      <c r="J111" s="67"/>
      <c r="K111" s="67" t="str">
        <f aca="false">IF($E111="","",INDEX(进销存对接!$D$4:$D$305,36))</f>
        <v/>
      </c>
      <c r="L111" s="107"/>
      <c r="M111" s="107"/>
      <c r="N111" s="67" t="str">
        <f aca="false">IF($E111="","","系统")</f>
        <v/>
      </c>
      <c r="O111" s="67" t="str">
        <f aca="false">IF($E111="","","自动A")</f>
        <v/>
      </c>
      <c r="P111" s="18"/>
    </row>
    <row r="112" customFormat="false" ht="18" hidden="false" customHeight="true" outlineLevel="0" collapsed="false">
      <c r="A112" s="107" t="str">
        <f aca="false">IF($E112="","",ROW()-3)</f>
        <v/>
      </c>
      <c r="B112" s="110" t="str">
        <f aca="false">IF($E112="","",INDEX(进销存对接!$C$4:$C$305,37))</f>
        <v/>
      </c>
      <c r="C112" s="67" t="str">
        <f aca="false">IF($E112="","","记-"&amp;TEXT($B112,"YYYYMM")&amp;"-进销存")</f>
        <v/>
      </c>
      <c r="D112" s="107" t="str">
        <f aca="false">IF($E112="","",INDEX(进销存对接!$D$4:$D$305,37)&amp;" "&amp;TEXT($B112,"YYYY年M月")&amp;" 自动结转")</f>
        <v/>
      </c>
      <c r="E112" s="67" t="str">
        <f aca="false">IF(INDEX(进销存对接!$M$4:$U$305,37,1)=0,"",INDEX(进销存对接!$M$4:$U$305,37,1))</f>
        <v/>
      </c>
      <c r="F112" s="99" t="str">
        <f aca="false">IF($E112="","",IFERROR(INDEX(科目表!$A$4:$A$81,MATCH($E112,科目表!$B$4:$B$81,0)),""))</f>
        <v/>
      </c>
      <c r="G112" s="67" t="str">
        <f aca="false">IF($E112="","",IFERROR(INDEX(科目表!$E$4:$E$81,MATCH($E112,科目表!$B$4:$B$81,0)),""))</f>
        <v/>
      </c>
      <c r="H112" s="70" t="str">
        <f aca="false">IF($E112="","",N(INDEX(进销存对接!$M$4:$U$305,37,2)))</f>
        <v/>
      </c>
      <c r="I112" s="70" t="str">
        <f aca="false">IF($E112="","",N(INDEX(进销存对接!$M$4:$U$305,37,3)))</f>
        <v/>
      </c>
      <c r="J112" s="67"/>
      <c r="K112" s="67" t="str">
        <f aca="false">IF($E112="","",INDEX(进销存对接!$D$4:$D$305,37))</f>
        <v/>
      </c>
      <c r="L112" s="107"/>
      <c r="M112" s="107"/>
      <c r="N112" s="67" t="str">
        <f aca="false">IF($E112="","","系统")</f>
        <v/>
      </c>
      <c r="O112" s="67" t="str">
        <f aca="false">IF($E112="","","自动A")</f>
        <v/>
      </c>
      <c r="P112" s="18"/>
    </row>
    <row r="113" customFormat="false" ht="18" hidden="false" customHeight="true" outlineLevel="0" collapsed="false">
      <c r="A113" s="107" t="str">
        <f aca="false">IF($E113="","",ROW()-3)</f>
        <v/>
      </c>
      <c r="B113" s="110" t="str">
        <f aca="false">IF($E113="","",INDEX(进销存对接!$C$4:$C$305,37))</f>
        <v/>
      </c>
      <c r="C113" s="67" t="str">
        <f aca="false">IF($E113="","","记-"&amp;TEXT($B113,"YYYYMM")&amp;"-进销存")</f>
        <v/>
      </c>
      <c r="D113" s="107" t="str">
        <f aca="false">IF($E113="","",INDEX(进销存对接!$D$4:$D$305,37)&amp;" "&amp;TEXT($B113,"YYYY年M月")&amp;" 自动结转")</f>
        <v/>
      </c>
      <c r="E113" s="67" t="str">
        <f aca="false">IF(INDEX(进销存对接!$M$4:$U$305,37,4)=0,"",INDEX(进销存对接!$M$4:$U$305,37,4))</f>
        <v/>
      </c>
      <c r="F113" s="99" t="str">
        <f aca="false">IF($E113="","",IFERROR(INDEX(科目表!$A$4:$A$81,MATCH($E113,科目表!$B$4:$B$81,0)),""))</f>
        <v/>
      </c>
      <c r="G113" s="67" t="str">
        <f aca="false">IF($E113="","",IFERROR(INDEX(科目表!$E$4:$E$81,MATCH($E113,科目表!$B$4:$B$81,0)),""))</f>
        <v/>
      </c>
      <c r="H113" s="70" t="str">
        <f aca="false">IF($E113="","",N(INDEX(进销存对接!$M$4:$U$305,37,5)))</f>
        <v/>
      </c>
      <c r="I113" s="70" t="str">
        <f aca="false">IF($E113="","",N(INDEX(进销存对接!$M$4:$U$305,37,6)))</f>
        <v/>
      </c>
      <c r="J113" s="67"/>
      <c r="K113" s="67" t="str">
        <f aca="false">IF($E113="","",INDEX(进销存对接!$D$4:$D$305,37))</f>
        <v/>
      </c>
      <c r="L113" s="107"/>
      <c r="M113" s="107"/>
      <c r="N113" s="67" t="str">
        <f aca="false">IF($E113="","","系统")</f>
        <v/>
      </c>
      <c r="O113" s="67" t="str">
        <f aca="false">IF($E113="","","自动A")</f>
        <v/>
      </c>
      <c r="P113" s="18"/>
    </row>
    <row r="114" customFormat="false" ht="18" hidden="false" customHeight="true" outlineLevel="0" collapsed="false">
      <c r="A114" s="107" t="str">
        <f aca="false">IF($E114="","",ROW()-3)</f>
        <v/>
      </c>
      <c r="B114" s="110" t="str">
        <f aca="false">IF($E114="","",INDEX(进销存对接!$C$4:$C$305,37))</f>
        <v/>
      </c>
      <c r="C114" s="67" t="str">
        <f aca="false">IF($E114="","","记-"&amp;TEXT($B114,"YYYYMM")&amp;"-进销存")</f>
        <v/>
      </c>
      <c r="D114" s="107" t="str">
        <f aca="false">IF($E114="","",INDEX(进销存对接!$D$4:$D$305,37)&amp;" "&amp;TEXT($B114,"YYYY年M月")&amp;" 自动结转")</f>
        <v/>
      </c>
      <c r="E114" s="67" t="str">
        <f aca="false">IF(INDEX(进销存对接!$M$4:$U$305,37,7)=0,"",INDEX(进销存对接!$M$4:$U$305,37,7))</f>
        <v/>
      </c>
      <c r="F114" s="99" t="str">
        <f aca="false">IF($E114="","",IFERROR(INDEX(科目表!$A$4:$A$81,MATCH($E114,科目表!$B$4:$B$81,0)),""))</f>
        <v/>
      </c>
      <c r="G114" s="67" t="str">
        <f aca="false">IF($E114="","",IFERROR(INDEX(科目表!$E$4:$E$81,MATCH($E114,科目表!$B$4:$B$81,0)),""))</f>
        <v/>
      </c>
      <c r="H114" s="70" t="str">
        <f aca="false">IF($E114="","",N(INDEX(进销存对接!$M$4:$U$305,37,8)))</f>
        <v/>
      </c>
      <c r="I114" s="70" t="str">
        <f aca="false">IF($E114="","",N(INDEX(进销存对接!$M$4:$U$305,37,9)))</f>
        <v/>
      </c>
      <c r="J114" s="67"/>
      <c r="K114" s="67" t="str">
        <f aca="false">IF($E114="","",INDEX(进销存对接!$D$4:$D$305,37))</f>
        <v/>
      </c>
      <c r="L114" s="107"/>
      <c r="M114" s="107"/>
      <c r="N114" s="67" t="str">
        <f aca="false">IF($E114="","","系统")</f>
        <v/>
      </c>
      <c r="O114" s="67" t="str">
        <f aca="false">IF($E114="","","自动A")</f>
        <v/>
      </c>
      <c r="P114" s="18"/>
    </row>
    <row r="115" customFormat="false" ht="18" hidden="false" customHeight="true" outlineLevel="0" collapsed="false">
      <c r="A115" s="107" t="str">
        <f aca="false">IF($E115="","",ROW()-3)</f>
        <v/>
      </c>
      <c r="B115" s="110" t="str">
        <f aca="false">IF($E115="","",INDEX(进销存对接!$C$4:$C$305,38))</f>
        <v/>
      </c>
      <c r="C115" s="67" t="str">
        <f aca="false">IF($E115="","","记-"&amp;TEXT($B115,"YYYYMM")&amp;"-进销存")</f>
        <v/>
      </c>
      <c r="D115" s="107" t="str">
        <f aca="false">IF($E115="","",INDEX(进销存对接!$D$4:$D$305,38)&amp;" "&amp;TEXT($B115,"YYYY年M月")&amp;" 自动结转")</f>
        <v/>
      </c>
      <c r="E115" s="67" t="str">
        <f aca="false">IF(INDEX(进销存对接!$M$4:$U$305,38,1)=0,"",INDEX(进销存对接!$M$4:$U$305,38,1))</f>
        <v/>
      </c>
      <c r="F115" s="99" t="str">
        <f aca="false">IF($E115="","",IFERROR(INDEX(科目表!$A$4:$A$81,MATCH($E115,科目表!$B$4:$B$81,0)),""))</f>
        <v/>
      </c>
      <c r="G115" s="67" t="str">
        <f aca="false">IF($E115="","",IFERROR(INDEX(科目表!$E$4:$E$81,MATCH($E115,科目表!$B$4:$B$81,0)),""))</f>
        <v/>
      </c>
      <c r="H115" s="70" t="str">
        <f aca="false">IF($E115="","",N(INDEX(进销存对接!$M$4:$U$305,38,2)))</f>
        <v/>
      </c>
      <c r="I115" s="70" t="str">
        <f aca="false">IF($E115="","",N(INDEX(进销存对接!$M$4:$U$305,38,3)))</f>
        <v/>
      </c>
      <c r="J115" s="67"/>
      <c r="K115" s="67" t="str">
        <f aca="false">IF($E115="","",INDEX(进销存对接!$D$4:$D$305,38))</f>
        <v/>
      </c>
      <c r="L115" s="107"/>
      <c r="M115" s="107"/>
      <c r="N115" s="67" t="str">
        <f aca="false">IF($E115="","","系统")</f>
        <v/>
      </c>
      <c r="O115" s="67" t="str">
        <f aca="false">IF($E115="","","自动A")</f>
        <v/>
      </c>
      <c r="P115" s="18"/>
    </row>
    <row r="116" customFormat="false" ht="18" hidden="false" customHeight="true" outlineLevel="0" collapsed="false">
      <c r="A116" s="107" t="str">
        <f aca="false">IF($E116="","",ROW()-3)</f>
        <v/>
      </c>
      <c r="B116" s="110" t="str">
        <f aca="false">IF($E116="","",INDEX(进销存对接!$C$4:$C$305,38))</f>
        <v/>
      </c>
      <c r="C116" s="67" t="str">
        <f aca="false">IF($E116="","","记-"&amp;TEXT($B116,"YYYYMM")&amp;"-进销存")</f>
        <v/>
      </c>
      <c r="D116" s="107" t="str">
        <f aca="false">IF($E116="","",INDEX(进销存对接!$D$4:$D$305,38)&amp;" "&amp;TEXT($B116,"YYYY年M月")&amp;" 自动结转")</f>
        <v/>
      </c>
      <c r="E116" s="67" t="str">
        <f aca="false">IF(INDEX(进销存对接!$M$4:$U$305,38,4)=0,"",INDEX(进销存对接!$M$4:$U$305,38,4))</f>
        <v/>
      </c>
      <c r="F116" s="99" t="str">
        <f aca="false">IF($E116="","",IFERROR(INDEX(科目表!$A$4:$A$81,MATCH($E116,科目表!$B$4:$B$81,0)),""))</f>
        <v/>
      </c>
      <c r="G116" s="67" t="str">
        <f aca="false">IF($E116="","",IFERROR(INDEX(科目表!$E$4:$E$81,MATCH($E116,科目表!$B$4:$B$81,0)),""))</f>
        <v/>
      </c>
      <c r="H116" s="70" t="str">
        <f aca="false">IF($E116="","",N(INDEX(进销存对接!$M$4:$U$305,38,5)))</f>
        <v/>
      </c>
      <c r="I116" s="70" t="str">
        <f aca="false">IF($E116="","",N(INDEX(进销存对接!$M$4:$U$305,38,6)))</f>
        <v/>
      </c>
      <c r="J116" s="67"/>
      <c r="K116" s="67" t="str">
        <f aca="false">IF($E116="","",INDEX(进销存对接!$D$4:$D$305,38))</f>
        <v/>
      </c>
      <c r="L116" s="107"/>
      <c r="M116" s="107"/>
      <c r="N116" s="67" t="str">
        <f aca="false">IF($E116="","","系统")</f>
        <v/>
      </c>
      <c r="O116" s="67" t="str">
        <f aca="false">IF($E116="","","自动A")</f>
        <v/>
      </c>
      <c r="P116" s="18"/>
    </row>
    <row r="117" customFormat="false" ht="18" hidden="false" customHeight="true" outlineLevel="0" collapsed="false">
      <c r="A117" s="107" t="str">
        <f aca="false">IF($E117="","",ROW()-3)</f>
        <v/>
      </c>
      <c r="B117" s="110" t="str">
        <f aca="false">IF($E117="","",INDEX(进销存对接!$C$4:$C$305,38))</f>
        <v/>
      </c>
      <c r="C117" s="67" t="str">
        <f aca="false">IF($E117="","","记-"&amp;TEXT($B117,"YYYYMM")&amp;"-进销存")</f>
        <v/>
      </c>
      <c r="D117" s="107" t="str">
        <f aca="false">IF($E117="","",INDEX(进销存对接!$D$4:$D$305,38)&amp;" "&amp;TEXT($B117,"YYYY年M月")&amp;" 自动结转")</f>
        <v/>
      </c>
      <c r="E117" s="67" t="str">
        <f aca="false">IF(INDEX(进销存对接!$M$4:$U$305,38,7)=0,"",INDEX(进销存对接!$M$4:$U$305,38,7))</f>
        <v/>
      </c>
      <c r="F117" s="99" t="str">
        <f aca="false">IF($E117="","",IFERROR(INDEX(科目表!$A$4:$A$81,MATCH($E117,科目表!$B$4:$B$81,0)),""))</f>
        <v/>
      </c>
      <c r="G117" s="67" t="str">
        <f aca="false">IF($E117="","",IFERROR(INDEX(科目表!$E$4:$E$81,MATCH($E117,科目表!$B$4:$B$81,0)),""))</f>
        <v/>
      </c>
      <c r="H117" s="70" t="str">
        <f aca="false">IF($E117="","",N(INDEX(进销存对接!$M$4:$U$305,38,8)))</f>
        <v/>
      </c>
      <c r="I117" s="70" t="str">
        <f aca="false">IF($E117="","",N(INDEX(进销存对接!$M$4:$U$305,38,9)))</f>
        <v/>
      </c>
      <c r="J117" s="67"/>
      <c r="K117" s="67" t="str">
        <f aca="false">IF($E117="","",INDEX(进销存对接!$D$4:$D$305,38))</f>
        <v/>
      </c>
      <c r="L117" s="107"/>
      <c r="M117" s="107"/>
      <c r="N117" s="67" t="str">
        <f aca="false">IF($E117="","","系统")</f>
        <v/>
      </c>
      <c r="O117" s="67" t="str">
        <f aca="false">IF($E117="","","自动A")</f>
        <v/>
      </c>
      <c r="P117" s="18"/>
    </row>
    <row r="118" customFormat="false" ht="18" hidden="false" customHeight="true" outlineLevel="0" collapsed="false">
      <c r="A118" s="107" t="str">
        <f aca="false">IF($E118="","",ROW()-3)</f>
        <v/>
      </c>
      <c r="B118" s="110" t="str">
        <f aca="false">IF($E118="","",INDEX(进销存对接!$C$4:$C$305,39))</f>
        <v/>
      </c>
      <c r="C118" s="67" t="str">
        <f aca="false">IF($E118="","","记-"&amp;TEXT($B118,"YYYYMM")&amp;"-进销存")</f>
        <v/>
      </c>
      <c r="D118" s="107" t="str">
        <f aca="false">IF($E118="","",INDEX(进销存对接!$D$4:$D$305,39)&amp;" "&amp;TEXT($B118,"YYYY年M月")&amp;" 自动结转")</f>
        <v/>
      </c>
      <c r="E118" s="67" t="str">
        <f aca="false">IF(INDEX(进销存对接!$M$4:$U$305,39,1)=0,"",INDEX(进销存对接!$M$4:$U$305,39,1))</f>
        <v/>
      </c>
      <c r="F118" s="99" t="str">
        <f aca="false">IF($E118="","",IFERROR(INDEX(科目表!$A$4:$A$81,MATCH($E118,科目表!$B$4:$B$81,0)),""))</f>
        <v/>
      </c>
      <c r="G118" s="67" t="str">
        <f aca="false">IF($E118="","",IFERROR(INDEX(科目表!$E$4:$E$81,MATCH($E118,科目表!$B$4:$B$81,0)),""))</f>
        <v/>
      </c>
      <c r="H118" s="70" t="str">
        <f aca="false">IF($E118="","",N(INDEX(进销存对接!$M$4:$U$305,39,2)))</f>
        <v/>
      </c>
      <c r="I118" s="70" t="str">
        <f aca="false">IF($E118="","",N(INDEX(进销存对接!$M$4:$U$305,39,3)))</f>
        <v/>
      </c>
      <c r="J118" s="67"/>
      <c r="K118" s="67" t="str">
        <f aca="false">IF($E118="","",INDEX(进销存对接!$D$4:$D$305,39))</f>
        <v/>
      </c>
      <c r="L118" s="107"/>
      <c r="M118" s="107"/>
      <c r="N118" s="67" t="str">
        <f aca="false">IF($E118="","","系统")</f>
        <v/>
      </c>
      <c r="O118" s="67" t="str">
        <f aca="false">IF($E118="","","自动A")</f>
        <v/>
      </c>
      <c r="P118" s="18"/>
    </row>
    <row r="119" customFormat="false" ht="18" hidden="false" customHeight="true" outlineLevel="0" collapsed="false">
      <c r="A119" s="107" t="str">
        <f aca="false">IF($E119="","",ROW()-3)</f>
        <v/>
      </c>
      <c r="B119" s="110" t="str">
        <f aca="false">IF($E119="","",INDEX(进销存对接!$C$4:$C$305,39))</f>
        <v/>
      </c>
      <c r="C119" s="67" t="str">
        <f aca="false">IF($E119="","","记-"&amp;TEXT($B119,"YYYYMM")&amp;"-进销存")</f>
        <v/>
      </c>
      <c r="D119" s="107" t="str">
        <f aca="false">IF($E119="","",INDEX(进销存对接!$D$4:$D$305,39)&amp;" "&amp;TEXT($B119,"YYYY年M月")&amp;" 自动结转")</f>
        <v/>
      </c>
      <c r="E119" s="67" t="str">
        <f aca="false">IF(INDEX(进销存对接!$M$4:$U$305,39,4)=0,"",INDEX(进销存对接!$M$4:$U$305,39,4))</f>
        <v/>
      </c>
      <c r="F119" s="99" t="str">
        <f aca="false">IF($E119="","",IFERROR(INDEX(科目表!$A$4:$A$81,MATCH($E119,科目表!$B$4:$B$81,0)),""))</f>
        <v/>
      </c>
      <c r="G119" s="67" t="str">
        <f aca="false">IF($E119="","",IFERROR(INDEX(科目表!$E$4:$E$81,MATCH($E119,科目表!$B$4:$B$81,0)),""))</f>
        <v/>
      </c>
      <c r="H119" s="70" t="str">
        <f aca="false">IF($E119="","",N(INDEX(进销存对接!$M$4:$U$305,39,5)))</f>
        <v/>
      </c>
      <c r="I119" s="70" t="str">
        <f aca="false">IF($E119="","",N(INDEX(进销存对接!$M$4:$U$305,39,6)))</f>
        <v/>
      </c>
      <c r="J119" s="67"/>
      <c r="K119" s="67" t="str">
        <f aca="false">IF($E119="","",INDEX(进销存对接!$D$4:$D$305,39))</f>
        <v/>
      </c>
      <c r="L119" s="107"/>
      <c r="M119" s="107"/>
      <c r="N119" s="67" t="str">
        <f aca="false">IF($E119="","","系统")</f>
        <v/>
      </c>
      <c r="O119" s="67" t="str">
        <f aca="false">IF($E119="","","自动A")</f>
        <v/>
      </c>
      <c r="P119" s="18"/>
    </row>
    <row r="120" customFormat="false" ht="18" hidden="false" customHeight="true" outlineLevel="0" collapsed="false">
      <c r="A120" s="107" t="str">
        <f aca="false">IF($E120="","",ROW()-3)</f>
        <v/>
      </c>
      <c r="B120" s="110" t="str">
        <f aca="false">IF($E120="","",INDEX(进销存对接!$C$4:$C$305,39))</f>
        <v/>
      </c>
      <c r="C120" s="67" t="str">
        <f aca="false">IF($E120="","","记-"&amp;TEXT($B120,"YYYYMM")&amp;"-进销存")</f>
        <v/>
      </c>
      <c r="D120" s="107" t="str">
        <f aca="false">IF($E120="","",INDEX(进销存对接!$D$4:$D$305,39)&amp;" "&amp;TEXT($B120,"YYYY年M月")&amp;" 自动结转")</f>
        <v/>
      </c>
      <c r="E120" s="67" t="str">
        <f aca="false">IF(INDEX(进销存对接!$M$4:$U$305,39,7)=0,"",INDEX(进销存对接!$M$4:$U$305,39,7))</f>
        <v/>
      </c>
      <c r="F120" s="99" t="str">
        <f aca="false">IF($E120="","",IFERROR(INDEX(科目表!$A$4:$A$81,MATCH($E120,科目表!$B$4:$B$81,0)),""))</f>
        <v/>
      </c>
      <c r="G120" s="67" t="str">
        <f aca="false">IF($E120="","",IFERROR(INDEX(科目表!$E$4:$E$81,MATCH($E120,科目表!$B$4:$B$81,0)),""))</f>
        <v/>
      </c>
      <c r="H120" s="70" t="str">
        <f aca="false">IF($E120="","",N(INDEX(进销存对接!$M$4:$U$305,39,8)))</f>
        <v/>
      </c>
      <c r="I120" s="70" t="str">
        <f aca="false">IF($E120="","",N(INDEX(进销存对接!$M$4:$U$305,39,9)))</f>
        <v/>
      </c>
      <c r="J120" s="67"/>
      <c r="K120" s="67" t="str">
        <f aca="false">IF($E120="","",INDEX(进销存对接!$D$4:$D$305,39))</f>
        <v/>
      </c>
      <c r="L120" s="107"/>
      <c r="M120" s="107"/>
      <c r="N120" s="67" t="str">
        <f aca="false">IF($E120="","","系统")</f>
        <v/>
      </c>
      <c r="O120" s="67" t="str">
        <f aca="false">IF($E120="","","自动A")</f>
        <v/>
      </c>
      <c r="P120" s="18"/>
    </row>
    <row r="121" customFormat="false" ht="18" hidden="false" customHeight="true" outlineLevel="0" collapsed="false">
      <c r="A121" s="107" t="str">
        <f aca="false">IF($E121="","",ROW()-3)</f>
        <v/>
      </c>
      <c r="B121" s="110" t="str">
        <f aca="false">IF($E121="","",INDEX(进销存对接!$C$4:$C$305,40))</f>
        <v/>
      </c>
      <c r="C121" s="67" t="str">
        <f aca="false">IF($E121="","","记-"&amp;TEXT($B121,"YYYYMM")&amp;"-进销存")</f>
        <v/>
      </c>
      <c r="D121" s="107" t="str">
        <f aca="false">IF($E121="","",INDEX(进销存对接!$D$4:$D$305,40)&amp;" "&amp;TEXT($B121,"YYYY年M月")&amp;" 自动结转")</f>
        <v/>
      </c>
      <c r="E121" s="67" t="str">
        <f aca="false">IF(INDEX(进销存对接!$M$4:$U$305,40,1)=0,"",INDEX(进销存对接!$M$4:$U$305,40,1))</f>
        <v/>
      </c>
      <c r="F121" s="99" t="str">
        <f aca="false">IF($E121="","",IFERROR(INDEX(科目表!$A$4:$A$81,MATCH($E121,科目表!$B$4:$B$81,0)),""))</f>
        <v/>
      </c>
      <c r="G121" s="67" t="str">
        <f aca="false">IF($E121="","",IFERROR(INDEX(科目表!$E$4:$E$81,MATCH($E121,科目表!$B$4:$B$81,0)),""))</f>
        <v/>
      </c>
      <c r="H121" s="70" t="str">
        <f aca="false">IF($E121="","",N(INDEX(进销存对接!$M$4:$U$305,40,2)))</f>
        <v/>
      </c>
      <c r="I121" s="70" t="str">
        <f aca="false">IF($E121="","",N(INDEX(进销存对接!$M$4:$U$305,40,3)))</f>
        <v/>
      </c>
      <c r="J121" s="67"/>
      <c r="K121" s="67" t="str">
        <f aca="false">IF($E121="","",INDEX(进销存对接!$D$4:$D$305,40))</f>
        <v/>
      </c>
      <c r="L121" s="107"/>
      <c r="M121" s="107"/>
      <c r="N121" s="67" t="str">
        <f aca="false">IF($E121="","","系统")</f>
        <v/>
      </c>
      <c r="O121" s="67" t="str">
        <f aca="false">IF($E121="","","自动A")</f>
        <v/>
      </c>
      <c r="P121" s="18"/>
    </row>
    <row r="122" customFormat="false" ht="18" hidden="false" customHeight="true" outlineLevel="0" collapsed="false">
      <c r="A122" s="107" t="str">
        <f aca="false">IF($E122="","",ROW()-3)</f>
        <v/>
      </c>
      <c r="B122" s="110" t="str">
        <f aca="false">IF($E122="","",INDEX(进销存对接!$C$4:$C$305,40))</f>
        <v/>
      </c>
      <c r="C122" s="67" t="str">
        <f aca="false">IF($E122="","","记-"&amp;TEXT($B122,"YYYYMM")&amp;"-进销存")</f>
        <v/>
      </c>
      <c r="D122" s="107" t="str">
        <f aca="false">IF($E122="","",INDEX(进销存对接!$D$4:$D$305,40)&amp;" "&amp;TEXT($B122,"YYYY年M月")&amp;" 自动结转")</f>
        <v/>
      </c>
      <c r="E122" s="67" t="str">
        <f aca="false">IF(INDEX(进销存对接!$M$4:$U$305,40,4)=0,"",INDEX(进销存对接!$M$4:$U$305,40,4))</f>
        <v/>
      </c>
      <c r="F122" s="99" t="str">
        <f aca="false">IF($E122="","",IFERROR(INDEX(科目表!$A$4:$A$81,MATCH($E122,科目表!$B$4:$B$81,0)),""))</f>
        <v/>
      </c>
      <c r="G122" s="67" t="str">
        <f aca="false">IF($E122="","",IFERROR(INDEX(科目表!$E$4:$E$81,MATCH($E122,科目表!$B$4:$B$81,0)),""))</f>
        <v/>
      </c>
      <c r="H122" s="70" t="str">
        <f aca="false">IF($E122="","",N(INDEX(进销存对接!$M$4:$U$305,40,5)))</f>
        <v/>
      </c>
      <c r="I122" s="70" t="str">
        <f aca="false">IF($E122="","",N(INDEX(进销存对接!$M$4:$U$305,40,6)))</f>
        <v/>
      </c>
      <c r="J122" s="67"/>
      <c r="K122" s="67" t="str">
        <f aca="false">IF($E122="","",INDEX(进销存对接!$D$4:$D$305,40))</f>
        <v/>
      </c>
      <c r="L122" s="107"/>
      <c r="M122" s="107"/>
      <c r="N122" s="67" t="str">
        <f aca="false">IF($E122="","","系统")</f>
        <v/>
      </c>
      <c r="O122" s="67" t="str">
        <f aca="false">IF($E122="","","自动A")</f>
        <v/>
      </c>
      <c r="P122" s="18"/>
    </row>
    <row r="123" customFormat="false" ht="18" hidden="false" customHeight="true" outlineLevel="0" collapsed="false">
      <c r="A123" s="107" t="str">
        <f aca="false">IF($E123="","",ROW()-3)</f>
        <v/>
      </c>
      <c r="B123" s="110" t="str">
        <f aca="false">IF($E123="","",INDEX(进销存对接!$C$4:$C$305,40))</f>
        <v/>
      </c>
      <c r="C123" s="67" t="str">
        <f aca="false">IF($E123="","","记-"&amp;TEXT($B123,"YYYYMM")&amp;"-进销存")</f>
        <v/>
      </c>
      <c r="D123" s="107" t="str">
        <f aca="false">IF($E123="","",INDEX(进销存对接!$D$4:$D$305,40)&amp;" "&amp;TEXT($B123,"YYYY年M月")&amp;" 自动结转")</f>
        <v/>
      </c>
      <c r="E123" s="67" t="str">
        <f aca="false">IF(INDEX(进销存对接!$M$4:$U$305,40,7)=0,"",INDEX(进销存对接!$M$4:$U$305,40,7))</f>
        <v/>
      </c>
      <c r="F123" s="99" t="str">
        <f aca="false">IF($E123="","",IFERROR(INDEX(科目表!$A$4:$A$81,MATCH($E123,科目表!$B$4:$B$81,0)),""))</f>
        <v/>
      </c>
      <c r="G123" s="67" t="str">
        <f aca="false">IF($E123="","",IFERROR(INDEX(科目表!$E$4:$E$81,MATCH($E123,科目表!$B$4:$B$81,0)),""))</f>
        <v/>
      </c>
      <c r="H123" s="70" t="str">
        <f aca="false">IF($E123="","",N(INDEX(进销存对接!$M$4:$U$305,40,8)))</f>
        <v/>
      </c>
      <c r="I123" s="70" t="str">
        <f aca="false">IF($E123="","",N(INDEX(进销存对接!$M$4:$U$305,40,9)))</f>
        <v/>
      </c>
      <c r="J123" s="67"/>
      <c r="K123" s="67" t="str">
        <f aca="false">IF($E123="","",INDEX(进销存对接!$D$4:$D$305,40))</f>
        <v/>
      </c>
      <c r="L123" s="107"/>
      <c r="M123" s="107"/>
      <c r="N123" s="67" t="str">
        <f aca="false">IF($E123="","","系统")</f>
        <v/>
      </c>
      <c r="O123" s="67" t="str">
        <f aca="false">IF($E123="","","自动A")</f>
        <v/>
      </c>
      <c r="P123" s="18"/>
    </row>
    <row r="124" customFormat="false" ht="18" hidden="false" customHeight="true" outlineLevel="0" collapsed="false">
      <c r="A124" s="107" t="str">
        <f aca="false">IF($E124="","",ROW()-3)</f>
        <v/>
      </c>
      <c r="B124" s="110" t="str">
        <f aca="false">IF($E124="","",INDEX(进销存对接!$C$4:$C$305,41))</f>
        <v/>
      </c>
      <c r="C124" s="67" t="str">
        <f aca="false">IF($E124="","","记-"&amp;TEXT($B124,"YYYYMM")&amp;"-进销存")</f>
        <v/>
      </c>
      <c r="D124" s="107" t="str">
        <f aca="false">IF($E124="","",INDEX(进销存对接!$D$4:$D$305,41)&amp;" "&amp;TEXT($B124,"YYYY年M月")&amp;" 自动结转")</f>
        <v/>
      </c>
      <c r="E124" s="67" t="str">
        <f aca="false">IF(INDEX(进销存对接!$M$4:$U$305,41,1)=0,"",INDEX(进销存对接!$M$4:$U$305,41,1))</f>
        <v/>
      </c>
      <c r="F124" s="99" t="str">
        <f aca="false">IF($E124="","",IFERROR(INDEX(科目表!$A$4:$A$81,MATCH($E124,科目表!$B$4:$B$81,0)),""))</f>
        <v/>
      </c>
      <c r="G124" s="67" t="str">
        <f aca="false">IF($E124="","",IFERROR(INDEX(科目表!$E$4:$E$81,MATCH($E124,科目表!$B$4:$B$81,0)),""))</f>
        <v/>
      </c>
      <c r="H124" s="70" t="str">
        <f aca="false">IF($E124="","",N(INDEX(进销存对接!$M$4:$U$305,41,2)))</f>
        <v/>
      </c>
      <c r="I124" s="70" t="str">
        <f aca="false">IF($E124="","",N(INDEX(进销存对接!$M$4:$U$305,41,3)))</f>
        <v/>
      </c>
      <c r="J124" s="67"/>
      <c r="K124" s="67" t="str">
        <f aca="false">IF($E124="","",INDEX(进销存对接!$D$4:$D$305,41))</f>
        <v/>
      </c>
      <c r="L124" s="107"/>
      <c r="M124" s="107"/>
      <c r="N124" s="67" t="str">
        <f aca="false">IF($E124="","","系统")</f>
        <v/>
      </c>
      <c r="O124" s="67" t="str">
        <f aca="false">IF($E124="","","自动A")</f>
        <v/>
      </c>
      <c r="P124" s="18"/>
    </row>
    <row r="125" customFormat="false" ht="18" hidden="false" customHeight="true" outlineLevel="0" collapsed="false">
      <c r="A125" s="107" t="str">
        <f aca="false">IF($E125="","",ROW()-3)</f>
        <v/>
      </c>
      <c r="B125" s="110" t="str">
        <f aca="false">IF($E125="","",INDEX(进销存对接!$C$4:$C$305,41))</f>
        <v/>
      </c>
      <c r="C125" s="67" t="str">
        <f aca="false">IF($E125="","","记-"&amp;TEXT($B125,"YYYYMM")&amp;"-进销存")</f>
        <v/>
      </c>
      <c r="D125" s="107" t="str">
        <f aca="false">IF($E125="","",INDEX(进销存对接!$D$4:$D$305,41)&amp;" "&amp;TEXT($B125,"YYYY年M月")&amp;" 自动结转")</f>
        <v/>
      </c>
      <c r="E125" s="67" t="str">
        <f aca="false">IF(INDEX(进销存对接!$M$4:$U$305,41,4)=0,"",INDEX(进销存对接!$M$4:$U$305,41,4))</f>
        <v/>
      </c>
      <c r="F125" s="99" t="str">
        <f aca="false">IF($E125="","",IFERROR(INDEX(科目表!$A$4:$A$81,MATCH($E125,科目表!$B$4:$B$81,0)),""))</f>
        <v/>
      </c>
      <c r="G125" s="67" t="str">
        <f aca="false">IF($E125="","",IFERROR(INDEX(科目表!$E$4:$E$81,MATCH($E125,科目表!$B$4:$B$81,0)),""))</f>
        <v/>
      </c>
      <c r="H125" s="70" t="str">
        <f aca="false">IF($E125="","",N(INDEX(进销存对接!$M$4:$U$305,41,5)))</f>
        <v/>
      </c>
      <c r="I125" s="70" t="str">
        <f aca="false">IF($E125="","",N(INDEX(进销存对接!$M$4:$U$305,41,6)))</f>
        <v/>
      </c>
      <c r="J125" s="67"/>
      <c r="K125" s="67" t="str">
        <f aca="false">IF($E125="","",INDEX(进销存对接!$D$4:$D$305,41))</f>
        <v/>
      </c>
      <c r="L125" s="107"/>
      <c r="M125" s="107"/>
      <c r="N125" s="67" t="str">
        <f aca="false">IF($E125="","","系统")</f>
        <v/>
      </c>
      <c r="O125" s="67" t="str">
        <f aca="false">IF($E125="","","自动A")</f>
        <v/>
      </c>
      <c r="P125" s="18"/>
    </row>
    <row r="126" customFormat="false" ht="18" hidden="false" customHeight="true" outlineLevel="0" collapsed="false">
      <c r="A126" s="107" t="str">
        <f aca="false">IF($E126="","",ROW()-3)</f>
        <v/>
      </c>
      <c r="B126" s="110" t="str">
        <f aca="false">IF($E126="","",INDEX(进销存对接!$C$4:$C$305,41))</f>
        <v/>
      </c>
      <c r="C126" s="67" t="str">
        <f aca="false">IF($E126="","","记-"&amp;TEXT($B126,"YYYYMM")&amp;"-进销存")</f>
        <v/>
      </c>
      <c r="D126" s="107" t="str">
        <f aca="false">IF($E126="","",INDEX(进销存对接!$D$4:$D$305,41)&amp;" "&amp;TEXT($B126,"YYYY年M月")&amp;" 自动结转")</f>
        <v/>
      </c>
      <c r="E126" s="67" t="str">
        <f aca="false">IF(INDEX(进销存对接!$M$4:$U$305,41,7)=0,"",INDEX(进销存对接!$M$4:$U$305,41,7))</f>
        <v/>
      </c>
      <c r="F126" s="99" t="str">
        <f aca="false">IF($E126="","",IFERROR(INDEX(科目表!$A$4:$A$81,MATCH($E126,科目表!$B$4:$B$81,0)),""))</f>
        <v/>
      </c>
      <c r="G126" s="67" t="str">
        <f aca="false">IF($E126="","",IFERROR(INDEX(科目表!$E$4:$E$81,MATCH($E126,科目表!$B$4:$B$81,0)),""))</f>
        <v/>
      </c>
      <c r="H126" s="70" t="str">
        <f aca="false">IF($E126="","",N(INDEX(进销存对接!$M$4:$U$305,41,8)))</f>
        <v/>
      </c>
      <c r="I126" s="70" t="str">
        <f aca="false">IF($E126="","",N(INDEX(进销存对接!$M$4:$U$305,41,9)))</f>
        <v/>
      </c>
      <c r="J126" s="67"/>
      <c r="K126" s="67" t="str">
        <f aca="false">IF($E126="","",INDEX(进销存对接!$D$4:$D$305,41))</f>
        <v/>
      </c>
      <c r="L126" s="107"/>
      <c r="M126" s="107"/>
      <c r="N126" s="67" t="str">
        <f aca="false">IF($E126="","","系统")</f>
        <v/>
      </c>
      <c r="O126" s="67" t="str">
        <f aca="false">IF($E126="","","自动A")</f>
        <v/>
      </c>
      <c r="P126" s="18"/>
    </row>
    <row r="127" customFormat="false" ht="18" hidden="false" customHeight="true" outlineLevel="0" collapsed="false">
      <c r="A127" s="107" t="str">
        <f aca="false">IF($E127="","",ROW()-3)</f>
        <v/>
      </c>
      <c r="B127" s="110" t="str">
        <f aca="false">IF($E127="","",INDEX(进销存对接!$C$4:$C$305,42))</f>
        <v/>
      </c>
      <c r="C127" s="67" t="str">
        <f aca="false">IF($E127="","","记-"&amp;TEXT($B127,"YYYYMM")&amp;"-进销存")</f>
        <v/>
      </c>
      <c r="D127" s="107" t="str">
        <f aca="false">IF($E127="","",INDEX(进销存对接!$D$4:$D$305,42)&amp;" "&amp;TEXT($B127,"YYYY年M月")&amp;" 自动结转")</f>
        <v/>
      </c>
      <c r="E127" s="67" t="str">
        <f aca="false">IF(INDEX(进销存对接!$M$4:$U$305,42,1)=0,"",INDEX(进销存对接!$M$4:$U$305,42,1))</f>
        <v/>
      </c>
      <c r="F127" s="99" t="str">
        <f aca="false">IF($E127="","",IFERROR(INDEX(科目表!$A$4:$A$81,MATCH($E127,科目表!$B$4:$B$81,0)),""))</f>
        <v/>
      </c>
      <c r="G127" s="67" t="str">
        <f aca="false">IF($E127="","",IFERROR(INDEX(科目表!$E$4:$E$81,MATCH($E127,科目表!$B$4:$B$81,0)),""))</f>
        <v/>
      </c>
      <c r="H127" s="70" t="str">
        <f aca="false">IF($E127="","",N(INDEX(进销存对接!$M$4:$U$305,42,2)))</f>
        <v/>
      </c>
      <c r="I127" s="70" t="str">
        <f aca="false">IF($E127="","",N(INDEX(进销存对接!$M$4:$U$305,42,3)))</f>
        <v/>
      </c>
      <c r="J127" s="67"/>
      <c r="K127" s="67" t="str">
        <f aca="false">IF($E127="","",INDEX(进销存对接!$D$4:$D$305,42))</f>
        <v/>
      </c>
      <c r="L127" s="107"/>
      <c r="M127" s="107"/>
      <c r="N127" s="67" t="str">
        <f aca="false">IF($E127="","","系统")</f>
        <v/>
      </c>
      <c r="O127" s="67" t="str">
        <f aca="false">IF($E127="","","自动A")</f>
        <v/>
      </c>
      <c r="P127" s="18"/>
    </row>
    <row r="128" customFormat="false" ht="18" hidden="false" customHeight="true" outlineLevel="0" collapsed="false">
      <c r="A128" s="107" t="str">
        <f aca="false">IF($E128="","",ROW()-3)</f>
        <v/>
      </c>
      <c r="B128" s="110" t="str">
        <f aca="false">IF($E128="","",INDEX(进销存对接!$C$4:$C$305,42))</f>
        <v/>
      </c>
      <c r="C128" s="67" t="str">
        <f aca="false">IF($E128="","","记-"&amp;TEXT($B128,"YYYYMM")&amp;"-进销存")</f>
        <v/>
      </c>
      <c r="D128" s="107" t="str">
        <f aca="false">IF($E128="","",INDEX(进销存对接!$D$4:$D$305,42)&amp;" "&amp;TEXT($B128,"YYYY年M月")&amp;" 自动结转")</f>
        <v/>
      </c>
      <c r="E128" s="67" t="str">
        <f aca="false">IF(INDEX(进销存对接!$M$4:$U$305,42,4)=0,"",INDEX(进销存对接!$M$4:$U$305,42,4))</f>
        <v/>
      </c>
      <c r="F128" s="99" t="str">
        <f aca="false">IF($E128="","",IFERROR(INDEX(科目表!$A$4:$A$81,MATCH($E128,科目表!$B$4:$B$81,0)),""))</f>
        <v/>
      </c>
      <c r="G128" s="67" t="str">
        <f aca="false">IF($E128="","",IFERROR(INDEX(科目表!$E$4:$E$81,MATCH($E128,科目表!$B$4:$B$81,0)),""))</f>
        <v/>
      </c>
      <c r="H128" s="70" t="str">
        <f aca="false">IF($E128="","",N(INDEX(进销存对接!$M$4:$U$305,42,5)))</f>
        <v/>
      </c>
      <c r="I128" s="70" t="str">
        <f aca="false">IF($E128="","",N(INDEX(进销存对接!$M$4:$U$305,42,6)))</f>
        <v/>
      </c>
      <c r="J128" s="67"/>
      <c r="K128" s="67" t="str">
        <f aca="false">IF($E128="","",INDEX(进销存对接!$D$4:$D$305,42))</f>
        <v/>
      </c>
      <c r="L128" s="107"/>
      <c r="M128" s="107"/>
      <c r="N128" s="67" t="str">
        <f aca="false">IF($E128="","","系统")</f>
        <v/>
      </c>
      <c r="O128" s="67" t="str">
        <f aca="false">IF($E128="","","自动A")</f>
        <v/>
      </c>
      <c r="P128" s="18"/>
    </row>
    <row r="129" customFormat="false" ht="18" hidden="false" customHeight="true" outlineLevel="0" collapsed="false">
      <c r="A129" s="107" t="str">
        <f aca="false">IF($E129="","",ROW()-3)</f>
        <v/>
      </c>
      <c r="B129" s="110" t="str">
        <f aca="false">IF($E129="","",INDEX(进销存对接!$C$4:$C$305,42))</f>
        <v/>
      </c>
      <c r="C129" s="67" t="str">
        <f aca="false">IF($E129="","","记-"&amp;TEXT($B129,"YYYYMM")&amp;"-进销存")</f>
        <v/>
      </c>
      <c r="D129" s="107" t="str">
        <f aca="false">IF($E129="","",INDEX(进销存对接!$D$4:$D$305,42)&amp;" "&amp;TEXT($B129,"YYYY年M月")&amp;" 自动结转")</f>
        <v/>
      </c>
      <c r="E129" s="67" t="str">
        <f aca="false">IF(INDEX(进销存对接!$M$4:$U$305,42,7)=0,"",INDEX(进销存对接!$M$4:$U$305,42,7))</f>
        <v/>
      </c>
      <c r="F129" s="99" t="str">
        <f aca="false">IF($E129="","",IFERROR(INDEX(科目表!$A$4:$A$81,MATCH($E129,科目表!$B$4:$B$81,0)),""))</f>
        <v/>
      </c>
      <c r="G129" s="67" t="str">
        <f aca="false">IF($E129="","",IFERROR(INDEX(科目表!$E$4:$E$81,MATCH($E129,科目表!$B$4:$B$81,0)),""))</f>
        <v/>
      </c>
      <c r="H129" s="70" t="str">
        <f aca="false">IF($E129="","",N(INDEX(进销存对接!$M$4:$U$305,42,8)))</f>
        <v/>
      </c>
      <c r="I129" s="70" t="str">
        <f aca="false">IF($E129="","",N(INDEX(进销存对接!$M$4:$U$305,42,9)))</f>
        <v/>
      </c>
      <c r="J129" s="67"/>
      <c r="K129" s="67" t="str">
        <f aca="false">IF($E129="","",INDEX(进销存对接!$D$4:$D$305,42))</f>
        <v/>
      </c>
      <c r="L129" s="107"/>
      <c r="M129" s="107"/>
      <c r="N129" s="67" t="str">
        <f aca="false">IF($E129="","","系统")</f>
        <v/>
      </c>
      <c r="O129" s="67" t="str">
        <f aca="false">IF($E129="","","自动A")</f>
        <v/>
      </c>
      <c r="P129" s="18"/>
    </row>
    <row r="130" customFormat="false" ht="18" hidden="false" customHeight="true" outlineLevel="0" collapsed="false">
      <c r="A130" s="107" t="str">
        <f aca="false">IF($E130="","",ROW()-3)</f>
        <v/>
      </c>
      <c r="B130" s="110" t="str">
        <f aca="false">IF($E130="","",INDEX(进销存对接!$C$4:$C$305,43))</f>
        <v/>
      </c>
      <c r="C130" s="67" t="str">
        <f aca="false">IF($E130="","","记-"&amp;TEXT($B130,"YYYYMM")&amp;"-进销存")</f>
        <v/>
      </c>
      <c r="D130" s="107" t="str">
        <f aca="false">IF($E130="","",INDEX(进销存对接!$D$4:$D$305,43)&amp;" "&amp;TEXT($B130,"YYYY年M月")&amp;" 自动结转")</f>
        <v/>
      </c>
      <c r="E130" s="67" t="str">
        <f aca="false">IF(INDEX(进销存对接!$M$4:$U$305,43,1)=0,"",INDEX(进销存对接!$M$4:$U$305,43,1))</f>
        <v/>
      </c>
      <c r="F130" s="99" t="str">
        <f aca="false">IF($E130="","",IFERROR(INDEX(科目表!$A$4:$A$81,MATCH($E130,科目表!$B$4:$B$81,0)),""))</f>
        <v/>
      </c>
      <c r="G130" s="67" t="str">
        <f aca="false">IF($E130="","",IFERROR(INDEX(科目表!$E$4:$E$81,MATCH($E130,科目表!$B$4:$B$81,0)),""))</f>
        <v/>
      </c>
      <c r="H130" s="70" t="str">
        <f aca="false">IF($E130="","",N(INDEX(进销存对接!$M$4:$U$305,43,2)))</f>
        <v/>
      </c>
      <c r="I130" s="70" t="str">
        <f aca="false">IF($E130="","",N(INDEX(进销存对接!$M$4:$U$305,43,3)))</f>
        <v/>
      </c>
      <c r="J130" s="67"/>
      <c r="K130" s="67" t="str">
        <f aca="false">IF($E130="","",INDEX(进销存对接!$D$4:$D$305,43))</f>
        <v/>
      </c>
      <c r="L130" s="107"/>
      <c r="M130" s="107"/>
      <c r="N130" s="67" t="str">
        <f aca="false">IF($E130="","","系统")</f>
        <v/>
      </c>
      <c r="O130" s="67" t="str">
        <f aca="false">IF($E130="","","自动A")</f>
        <v/>
      </c>
      <c r="P130" s="18"/>
    </row>
    <row r="131" customFormat="false" ht="18" hidden="false" customHeight="true" outlineLevel="0" collapsed="false">
      <c r="A131" s="107" t="str">
        <f aca="false">IF($E131="","",ROW()-3)</f>
        <v/>
      </c>
      <c r="B131" s="110" t="str">
        <f aca="false">IF($E131="","",INDEX(进销存对接!$C$4:$C$305,43))</f>
        <v/>
      </c>
      <c r="C131" s="67" t="str">
        <f aca="false">IF($E131="","","记-"&amp;TEXT($B131,"YYYYMM")&amp;"-进销存")</f>
        <v/>
      </c>
      <c r="D131" s="107" t="str">
        <f aca="false">IF($E131="","",INDEX(进销存对接!$D$4:$D$305,43)&amp;" "&amp;TEXT($B131,"YYYY年M月")&amp;" 自动结转")</f>
        <v/>
      </c>
      <c r="E131" s="67" t="str">
        <f aca="false">IF(INDEX(进销存对接!$M$4:$U$305,43,4)=0,"",INDEX(进销存对接!$M$4:$U$305,43,4))</f>
        <v/>
      </c>
      <c r="F131" s="99" t="str">
        <f aca="false">IF($E131="","",IFERROR(INDEX(科目表!$A$4:$A$81,MATCH($E131,科目表!$B$4:$B$81,0)),""))</f>
        <v/>
      </c>
      <c r="G131" s="67" t="str">
        <f aca="false">IF($E131="","",IFERROR(INDEX(科目表!$E$4:$E$81,MATCH($E131,科目表!$B$4:$B$81,0)),""))</f>
        <v/>
      </c>
      <c r="H131" s="70" t="str">
        <f aca="false">IF($E131="","",N(INDEX(进销存对接!$M$4:$U$305,43,5)))</f>
        <v/>
      </c>
      <c r="I131" s="70" t="str">
        <f aca="false">IF($E131="","",N(INDEX(进销存对接!$M$4:$U$305,43,6)))</f>
        <v/>
      </c>
      <c r="J131" s="67"/>
      <c r="K131" s="67" t="str">
        <f aca="false">IF($E131="","",INDEX(进销存对接!$D$4:$D$305,43))</f>
        <v/>
      </c>
      <c r="L131" s="107"/>
      <c r="M131" s="107"/>
      <c r="N131" s="67" t="str">
        <f aca="false">IF($E131="","","系统")</f>
        <v/>
      </c>
      <c r="O131" s="67" t="str">
        <f aca="false">IF($E131="","","自动A")</f>
        <v/>
      </c>
      <c r="P131" s="18"/>
    </row>
    <row r="132" customFormat="false" ht="18" hidden="false" customHeight="true" outlineLevel="0" collapsed="false">
      <c r="A132" s="107" t="str">
        <f aca="false">IF($E132="","",ROW()-3)</f>
        <v/>
      </c>
      <c r="B132" s="110" t="str">
        <f aca="false">IF($E132="","",INDEX(进销存对接!$C$4:$C$305,43))</f>
        <v/>
      </c>
      <c r="C132" s="67" t="str">
        <f aca="false">IF($E132="","","记-"&amp;TEXT($B132,"YYYYMM")&amp;"-进销存")</f>
        <v/>
      </c>
      <c r="D132" s="107" t="str">
        <f aca="false">IF($E132="","",INDEX(进销存对接!$D$4:$D$305,43)&amp;" "&amp;TEXT($B132,"YYYY年M月")&amp;" 自动结转")</f>
        <v/>
      </c>
      <c r="E132" s="67" t="str">
        <f aca="false">IF(INDEX(进销存对接!$M$4:$U$305,43,7)=0,"",INDEX(进销存对接!$M$4:$U$305,43,7))</f>
        <v/>
      </c>
      <c r="F132" s="99" t="str">
        <f aca="false">IF($E132="","",IFERROR(INDEX(科目表!$A$4:$A$81,MATCH($E132,科目表!$B$4:$B$81,0)),""))</f>
        <v/>
      </c>
      <c r="G132" s="67" t="str">
        <f aca="false">IF($E132="","",IFERROR(INDEX(科目表!$E$4:$E$81,MATCH($E132,科目表!$B$4:$B$81,0)),""))</f>
        <v/>
      </c>
      <c r="H132" s="70" t="str">
        <f aca="false">IF($E132="","",N(INDEX(进销存对接!$M$4:$U$305,43,8)))</f>
        <v/>
      </c>
      <c r="I132" s="70" t="str">
        <f aca="false">IF($E132="","",N(INDEX(进销存对接!$M$4:$U$305,43,9)))</f>
        <v/>
      </c>
      <c r="J132" s="67"/>
      <c r="K132" s="67" t="str">
        <f aca="false">IF($E132="","",INDEX(进销存对接!$D$4:$D$305,43))</f>
        <v/>
      </c>
      <c r="L132" s="107"/>
      <c r="M132" s="107"/>
      <c r="N132" s="67" t="str">
        <f aca="false">IF($E132="","","系统")</f>
        <v/>
      </c>
      <c r="O132" s="67" t="str">
        <f aca="false">IF($E132="","","自动A")</f>
        <v/>
      </c>
      <c r="P132" s="18"/>
    </row>
    <row r="133" customFormat="false" ht="18" hidden="false" customHeight="true" outlineLevel="0" collapsed="false">
      <c r="A133" s="107" t="str">
        <f aca="false">IF($E133="","",ROW()-3)</f>
        <v/>
      </c>
      <c r="B133" s="110" t="str">
        <f aca="false">IF($E133="","",INDEX(进销存对接!$C$4:$C$305,44))</f>
        <v/>
      </c>
      <c r="C133" s="67" t="str">
        <f aca="false">IF($E133="","","记-"&amp;TEXT($B133,"YYYYMM")&amp;"-进销存")</f>
        <v/>
      </c>
      <c r="D133" s="107" t="str">
        <f aca="false">IF($E133="","",INDEX(进销存对接!$D$4:$D$305,44)&amp;" "&amp;TEXT($B133,"YYYY年M月")&amp;" 自动结转")</f>
        <v/>
      </c>
      <c r="E133" s="67" t="str">
        <f aca="false">IF(INDEX(进销存对接!$M$4:$U$305,44,1)=0,"",INDEX(进销存对接!$M$4:$U$305,44,1))</f>
        <v/>
      </c>
      <c r="F133" s="99" t="str">
        <f aca="false">IF($E133="","",IFERROR(INDEX(科目表!$A$4:$A$81,MATCH($E133,科目表!$B$4:$B$81,0)),""))</f>
        <v/>
      </c>
      <c r="G133" s="67" t="str">
        <f aca="false">IF($E133="","",IFERROR(INDEX(科目表!$E$4:$E$81,MATCH($E133,科目表!$B$4:$B$81,0)),""))</f>
        <v/>
      </c>
      <c r="H133" s="70" t="str">
        <f aca="false">IF($E133="","",N(INDEX(进销存对接!$M$4:$U$305,44,2)))</f>
        <v/>
      </c>
      <c r="I133" s="70" t="str">
        <f aca="false">IF($E133="","",N(INDEX(进销存对接!$M$4:$U$305,44,3)))</f>
        <v/>
      </c>
      <c r="J133" s="67"/>
      <c r="K133" s="67" t="str">
        <f aca="false">IF($E133="","",INDEX(进销存对接!$D$4:$D$305,44))</f>
        <v/>
      </c>
      <c r="L133" s="107"/>
      <c r="M133" s="107"/>
      <c r="N133" s="67" t="str">
        <f aca="false">IF($E133="","","系统")</f>
        <v/>
      </c>
      <c r="O133" s="67" t="str">
        <f aca="false">IF($E133="","","自动A")</f>
        <v/>
      </c>
      <c r="P133" s="18"/>
    </row>
    <row r="134" customFormat="false" ht="18" hidden="false" customHeight="true" outlineLevel="0" collapsed="false">
      <c r="A134" s="107" t="str">
        <f aca="false">IF($E134="","",ROW()-3)</f>
        <v/>
      </c>
      <c r="B134" s="110" t="str">
        <f aca="false">IF($E134="","",INDEX(进销存对接!$C$4:$C$305,44))</f>
        <v/>
      </c>
      <c r="C134" s="67" t="str">
        <f aca="false">IF($E134="","","记-"&amp;TEXT($B134,"YYYYMM")&amp;"-进销存")</f>
        <v/>
      </c>
      <c r="D134" s="107" t="str">
        <f aca="false">IF($E134="","",INDEX(进销存对接!$D$4:$D$305,44)&amp;" "&amp;TEXT($B134,"YYYY年M月")&amp;" 自动结转")</f>
        <v/>
      </c>
      <c r="E134" s="67" t="str">
        <f aca="false">IF(INDEX(进销存对接!$M$4:$U$305,44,4)=0,"",INDEX(进销存对接!$M$4:$U$305,44,4))</f>
        <v/>
      </c>
      <c r="F134" s="99" t="str">
        <f aca="false">IF($E134="","",IFERROR(INDEX(科目表!$A$4:$A$81,MATCH($E134,科目表!$B$4:$B$81,0)),""))</f>
        <v/>
      </c>
      <c r="G134" s="67" t="str">
        <f aca="false">IF($E134="","",IFERROR(INDEX(科目表!$E$4:$E$81,MATCH($E134,科目表!$B$4:$B$81,0)),""))</f>
        <v/>
      </c>
      <c r="H134" s="70" t="str">
        <f aca="false">IF($E134="","",N(INDEX(进销存对接!$M$4:$U$305,44,5)))</f>
        <v/>
      </c>
      <c r="I134" s="70" t="str">
        <f aca="false">IF($E134="","",N(INDEX(进销存对接!$M$4:$U$305,44,6)))</f>
        <v/>
      </c>
      <c r="J134" s="67"/>
      <c r="K134" s="67" t="str">
        <f aca="false">IF($E134="","",INDEX(进销存对接!$D$4:$D$305,44))</f>
        <v/>
      </c>
      <c r="L134" s="107"/>
      <c r="M134" s="107"/>
      <c r="N134" s="67" t="str">
        <f aca="false">IF($E134="","","系统")</f>
        <v/>
      </c>
      <c r="O134" s="67" t="str">
        <f aca="false">IF($E134="","","自动A")</f>
        <v/>
      </c>
      <c r="P134" s="18"/>
    </row>
    <row r="135" customFormat="false" ht="18" hidden="false" customHeight="true" outlineLevel="0" collapsed="false">
      <c r="A135" s="107" t="str">
        <f aca="false">IF($E135="","",ROW()-3)</f>
        <v/>
      </c>
      <c r="B135" s="110" t="str">
        <f aca="false">IF($E135="","",INDEX(进销存对接!$C$4:$C$305,44))</f>
        <v/>
      </c>
      <c r="C135" s="67" t="str">
        <f aca="false">IF($E135="","","记-"&amp;TEXT($B135,"YYYYMM")&amp;"-进销存")</f>
        <v/>
      </c>
      <c r="D135" s="107" t="str">
        <f aca="false">IF($E135="","",INDEX(进销存对接!$D$4:$D$305,44)&amp;" "&amp;TEXT($B135,"YYYY年M月")&amp;" 自动结转")</f>
        <v/>
      </c>
      <c r="E135" s="67" t="str">
        <f aca="false">IF(INDEX(进销存对接!$M$4:$U$305,44,7)=0,"",INDEX(进销存对接!$M$4:$U$305,44,7))</f>
        <v/>
      </c>
      <c r="F135" s="99" t="str">
        <f aca="false">IF($E135="","",IFERROR(INDEX(科目表!$A$4:$A$81,MATCH($E135,科目表!$B$4:$B$81,0)),""))</f>
        <v/>
      </c>
      <c r="G135" s="67" t="str">
        <f aca="false">IF($E135="","",IFERROR(INDEX(科目表!$E$4:$E$81,MATCH($E135,科目表!$B$4:$B$81,0)),""))</f>
        <v/>
      </c>
      <c r="H135" s="70" t="str">
        <f aca="false">IF($E135="","",N(INDEX(进销存对接!$M$4:$U$305,44,8)))</f>
        <v/>
      </c>
      <c r="I135" s="70" t="str">
        <f aca="false">IF($E135="","",N(INDEX(进销存对接!$M$4:$U$305,44,9)))</f>
        <v/>
      </c>
      <c r="J135" s="67"/>
      <c r="K135" s="67" t="str">
        <f aca="false">IF($E135="","",INDEX(进销存对接!$D$4:$D$305,44))</f>
        <v/>
      </c>
      <c r="L135" s="107"/>
      <c r="M135" s="107"/>
      <c r="N135" s="67" t="str">
        <f aca="false">IF($E135="","","系统")</f>
        <v/>
      </c>
      <c r="O135" s="67" t="str">
        <f aca="false">IF($E135="","","自动A")</f>
        <v/>
      </c>
      <c r="P135" s="18"/>
    </row>
    <row r="136" customFormat="false" ht="18" hidden="false" customHeight="true" outlineLevel="0" collapsed="false">
      <c r="A136" s="107" t="str">
        <f aca="false">IF($E136="","",ROW()-3)</f>
        <v/>
      </c>
      <c r="B136" s="110" t="str">
        <f aca="false">IF($E136="","",INDEX(进销存对接!$C$4:$C$305,45))</f>
        <v/>
      </c>
      <c r="C136" s="67" t="str">
        <f aca="false">IF($E136="","","记-"&amp;TEXT($B136,"YYYYMM")&amp;"-进销存")</f>
        <v/>
      </c>
      <c r="D136" s="107" t="str">
        <f aca="false">IF($E136="","",INDEX(进销存对接!$D$4:$D$305,45)&amp;" "&amp;TEXT($B136,"YYYY年M月")&amp;" 自动结转")</f>
        <v/>
      </c>
      <c r="E136" s="67" t="str">
        <f aca="false">IF(INDEX(进销存对接!$M$4:$U$305,45,1)=0,"",INDEX(进销存对接!$M$4:$U$305,45,1))</f>
        <v/>
      </c>
      <c r="F136" s="99" t="str">
        <f aca="false">IF($E136="","",IFERROR(INDEX(科目表!$A$4:$A$81,MATCH($E136,科目表!$B$4:$B$81,0)),""))</f>
        <v/>
      </c>
      <c r="G136" s="67" t="str">
        <f aca="false">IF($E136="","",IFERROR(INDEX(科目表!$E$4:$E$81,MATCH($E136,科目表!$B$4:$B$81,0)),""))</f>
        <v/>
      </c>
      <c r="H136" s="70" t="str">
        <f aca="false">IF($E136="","",N(INDEX(进销存对接!$M$4:$U$305,45,2)))</f>
        <v/>
      </c>
      <c r="I136" s="70" t="str">
        <f aca="false">IF($E136="","",N(INDEX(进销存对接!$M$4:$U$305,45,3)))</f>
        <v/>
      </c>
      <c r="J136" s="67"/>
      <c r="K136" s="67" t="str">
        <f aca="false">IF($E136="","",INDEX(进销存对接!$D$4:$D$305,45))</f>
        <v/>
      </c>
      <c r="L136" s="107"/>
      <c r="M136" s="107"/>
      <c r="N136" s="67" t="str">
        <f aca="false">IF($E136="","","系统")</f>
        <v/>
      </c>
      <c r="O136" s="67" t="str">
        <f aca="false">IF($E136="","","自动A")</f>
        <v/>
      </c>
      <c r="P136" s="18"/>
    </row>
    <row r="137" customFormat="false" ht="18" hidden="false" customHeight="true" outlineLevel="0" collapsed="false">
      <c r="A137" s="107" t="str">
        <f aca="false">IF($E137="","",ROW()-3)</f>
        <v/>
      </c>
      <c r="B137" s="110" t="str">
        <f aca="false">IF($E137="","",INDEX(进销存对接!$C$4:$C$305,45))</f>
        <v/>
      </c>
      <c r="C137" s="67" t="str">
        <f aca="false">IF($E137="","","记-"&amp;TEXT($B137,"YYYYMM")&amp;"-进销存")</f>
        <v/>
      </c>
      <c r="D137" s="107" t="str">
        <f aca="false">IF($E137="","",INDEX(进销存对接!$D$4:$D$305,45)&amp;" "&amp;TEXT($B137,"YYYY年M月")&amp;" 自动结转")</f>
        <v/>
      </c>
      <c r="E137" s="67" t="str">
        <f aca="false">IF(INDEX(进销存对接!$M$4:$U$305,45,4)=0,"",INDEX(进销存对接!$M$4:$U$305,45,4))</f>
        <v/>
      </c>
      <c r="F137" s="99" t="str">
        <f aca="false">IF($E137="","",IFERROR(INDEX(科目表!$A$4:$A$81,MATCH($E137,科目表!$B$4:$B$81,0)),""))</f>
        <v/>
      </c>
      <c r="G137" s="67" t="str">
        <f aca="false">IF($E137="","",IFERROR(INDEX(科目表!$E$4:$E$81,MATCH($E137,科目表!$B$4:$B$81,0)),""))</f>
        <v/>
      </c>
      <c r="H137" s="70" t="str">
        <f aca="false">IF($E137="","",N(INDEX(进销存对接!$M$4:$U$305,45,5)))</f>
        <v/>
      </c>
      <c r="I137" s="70" t="str">
        <f aca="false">IF($E137="","",N(INDEX(进销存对接!$M$4:$U$305,45,6)))</f>
        <v/>
      </c>
      <c r="J137" s="67"/>
      <c r="K137" s="67" t="str">
        <f aca="false">IF($E137="","",INDEX(进销存对接!$D$4:$D$305,45))</f>
        <v/>
      </c>
      <c r="L137" s="107"/>
      <c r="M137" s="107"/>
      <c r="N137" s="67" t="str">
        <f aca="false">IF($E137="","","系统")</f>
        <v/>
      </c>
      <c r="O137" s="67" t="str">
        <f aca="false">IF($E137="","","自动A")</f>
        <v/>
      </c>
      <c r="P137" s="18"/>
    </row>
    <row r="138" customFormat="false" ht="18" hidden="false" customHeight="true" outlineLevel="0" collapsed="false">
      <c r="A138" s="107" t="str">
        <f aca="false">IF($E138="","",ROW()-3)</f>
        <v/>
      </c>
      <c r="B138" s="110" t="str">
        <f aca="false">IF($E138="","",INDEX(进销存对接!$C$4:$C$305,45))</f>
        <v/>
      </c>
      <c r="C138" s="67" t="str">
        <f aca="false">IF($E138="","","记-"&amp;TEXT($B138,"YYYYMM")&amp;"-进销存")</f>
        <v/>
      </c>
      <c r="D138" s="107" t="str">
        <f aca="false">IF($E138="","",INDEX(进销存对接!$D$4:$D$305,45)&amp;" "&amp;TEXT($B138,"YYYY年M月")&amp;" 自动结转")</f>
        <v/>
      </c>
      <c r="E138" s="67" t="str">
        <f aca="false">IF(INDEX(进销存对接!$M$4:$U$305,45,7)=0,"",INDEX(进销存对接!$M$4:$U$305,45,7))</f>
        <v/>
      </c>
      <c r="F138" s="99" t="str">
        <f aca="false">IF($E138="","",IFERROR(INDEX(科目表!$A$4:$A$81,MATCH($E138,科目表!$B$4:$B$81,0)),""))</f>
        <v/>
      </c>
      <c r="G138" s="67" t="str">
        <f aca="false">IF($E138="","",IFERROR(INDEX(科目表!$E$4:$E$81,MATCH($E138,科目表!$B$4:$B$81,0)),""))</f>
        <v/>
      </c>
      <c r="H138" s="70" t="str">
        <f aca="false">IF($E138="","",N(INDEX(进销存对接!$M$4:$U$305,45,8)))</f>
        <v/>
      </c>
      <c r="I138" s="70" t="str">
        <f aca="false">IF($E138="","",N(INDEX(进销存对接!$M$4:$U$305,45,9)))</f>
        <v/>
      </c>
      <c r="J138" s="67"/>
      <c r="K138" s="67" t="str">
        <f aca="false">IF($E138="","",INDEX(进销存对接!$D$4:$D$305,45))</f>
        <v/>
      </c>
      <c r="L138" s="107"/>
      <c r="M138" s="107"/>
      <c r="N138" s="67" t="str">
        <f aca="false">IF($E138="","","系统")</f>
        <v/>
      </c>
      <c r="O138" s="67" t="str">
        <f aca="false">IF($E138="","","自动A")</f>
        <v/>
      </c>
      <c r="P138" s="18"/>
    </row>
    <row r="139" customFormat="false" ht="18" hidden="false" customHeight="true" outlineLevel="0" collapsed="false">
      <c r="A139" s="107" t="str">
        <f aca="false">IF($E139="","",ROW()-3)</f>
        <v/>
      </c>
      <c r="B139" s="110" t="str">
        <f aca="false">IF($E139="","",INDEX(进销存对接!$C$4:$C$305,46))</f>
        <v/>
      </c>
      <c r="C139" s="67" t="str">
        <f aca="false">IF($E139="","","记-"&amp;TEXT($B139,"YYYYMM")&amp;"-进销存")</f>
        <v/>
      </c>
      <c r="D139" s="107" t="str">
        <f aca="false">IF($E139="","",INDEX(进销存对接!$D$4:$D$305,46)&amp;" "&amp;TEXT($B139,"YYYY年M月")&amp;" 自动结转")</f>
        <v/>
      </c>
      <c r="E139" s="67" t="str">
        <f aca="false">IF(INDEX(进销存对接!$M$4:$U$305,46,1)=0,"",INDEX(进销存对接!$M$4:$U$305,46,1))</f>
        <v/>
      </c>
      <c r="F139" s="99" t="str">
        <f aca="false">IF($E139="","",IFERROR(INDEX(科目表!$A$4:$A$81,MATCH($E139,科目表!$B$4:$B$81,0)),""))</f>
        <v/>
      </c>
      <c r="G139" s="67" t="str">
        <f aca="false">IF($E139="","",IFERROR(INDEX(科目表!$E$4:$E$81,MATCH($E139,科目表!$B$4:$B$81,0)),""))</f>
        <v/>
      </c>
      <c r="H139" s="70" t="str">
        <f aca="false">IF($E139="","",N(INDEX(进销存对接!$M$4:$U$305,46,2)))</f>
        <v/>
      </c>
      <c r="I139" s="70" t="str">
        <f aca="false">IF($E139="","",N(INDEX(进销存对接!$M$4:$U$305,46,3)))</f>
        <v/>
      </c>
      <c r="J139" s="67"/>
      <c r="K139" s="67" t="str">
        <f aca="false">IF($E139="","",INDEX(进销存对接!$D$4:$D$305,46))</f>
        <v/>
      </c>
      <c r="L139" s="107"/>
      <c r="M139" s="107"/>
      <c r="N139" s="67" t="str">
        <f aca="false">IF($E139="","","系统")</f>
        <v/>
      </c>
      <c r="O139" s="67" t="str">
        <f aca="false">IF($E139="","","自动A")</f>
        <v/>
      </c>
      <c r="P139" s="18"/>
    </row>
    <row r="140" customFormat="false" ht="18" hidden="false" customHeight="true" outlineLevel="0" collapsed="false">
      <c r="A140" s="107" t="str">
        <f aca="false">IF($E140="","",ROW()-3)</f>
        <v/>
      </c>
      <c r="B140" s="110" t="str">
        <f aca="false">IF($E140="","",INDEX(进销存对接!$C$4:$C$305,46))</f>
        <v/>
      </c>
      <c r="C140" s="67" t="str">
        <f aca="false">IF($E140="","","记-"&amp;TEXT($B140,"YYYYMM")&amp;"-进销存")</f>
        <v/>
      </c>
      <c r="D140" s="107" t="str">
        <f aca="false">IF($E140="","",INDEX(进销存对接!$D$4:$D$305,46)&amp;" "&amp;TEXT($B140,"YYYY年M月")&amp;" 自动结转")</f>
        <v/>
      </c>
      <c r="E140" s="67" t="str">
        <f aca="false">IF(INDEX(进销存对接!$M$4:$U$305,46,4)=0,"",INDEX(进销存对接!$M$4:$U$305,46,4))</f>
        <v/>
      </c>
      <c r="F140" s="99" t="str">
        <f aca="false">IF($E140="","",IFERROR(INDEX(科目表!$A$4:$A$81,MATCH($E140,科目表!$B$4:$B$81,0)),""))</f>
        <v/>
      </c>
      <c r="G140" s="67" t="str">
        <f aca="false">IF($E140="","",IFERROR(INDEX(科目表!$E$4:$E$81,MATCH($E140,科目表!$B$4:$B$81,0)),""))</f>
        <v/>
      </c>
      <c r="H140" s="70" t="str">
        <f aca="false">IF($E140="","",N(INDEX(进销存对接!$M$4:$U$305,46,5)))</f>
        <v/>
      </c>
      <c r="I140" s="70" t="str">
        <f aca="false">IF($E140="","",N(INDEX(进销存对接!$M$4:$U$305,46,6)))</f>
        <v/>
      </c>
      <c r="J140" s="67"/>
      <c r="K140" s="67" t="str">
        <f aca="false">IF($E140="","",INDEX(进销存对接!$D$4:$D$305,46))</f>
        <v/>
      </c>
      <c r="L140" s="107"/>
      <c r="M140" s="107"/>
      <c r="N140" s="67" t="str">
        <f aca="false">IF($E140="","","系统")</f>
        <v/>
      </c>
      <c r="O140" s="67" t="str">
        <f aca="false">IF($E140="","","自动A")</f>
        <v/>
      </c>
      <c r="P140" s="18"/>
    </row>
    <row r="141" customFormat="false" ht="18" hidden="false" customHeight="true" outlineLevel="0" collapsed="false">
      <c r="A141" s="107" t="str">
        <f aca="false">IF($E141="","",ROW()-3)</f>
        <v/>
      </c>
      <c r="B141" s="110" t="str">
        <f aca="false">IF($E141="","",INDEX(进销存对接!$C$4:$C$305,46))</f>
        <v/>
      </c>
      <c r="C141" s="67" t="str">
        <f aca="false">IF($E141="","","记-"&amp;TEXT($B141,"YYYYMM")&amp;"-进销存")</f>
        <v/>
      </c>
      <c r="D141" s="107" t="str">
        <f aca="false">IF($E141="","",INDEX(进销存对接!$D$4:$D$305,46)&amp;" "&amp;TEXT($B141,"YYYY年M月")&amp;" 自动结转")</f>
        <v/>
      </c>
      <c r="E141" s="67" t="str">
        <f aca="false">IF(INDEX(进销存对接!$M$4:$U$305,46,7)=0,"",INDEX(进销存对接!$M$4:$U$305,46,7))</f>
        <v/>
      </c>
      <c r="F141" s="99" t="str">
        <f aca="false">IF($E141="","",IFERROR(INDEX(科目表!$A$4:$A$81,MATCH($E141,科目表!$B$4:$B$81,0)),""))</f>
        <v/>
      </c>
      <c r="G141" s="67" t="str">
        <f aca="false">IF($E141="","",IFERROR(INDEX(科目表!$E$4:$E$81,MATCH($E141,科目表!$B$4:$B$81,0)),""))</f>
        <v/>
      </c>
      <c r="H141" s="70" t="str">
        <f aca="false">IF($E141="","",N(INDEX(进销存对接!$M$4:$U$305,46,8)))</f>
        <v/>
      </c>
      <c r="I141" s="70" t="str">
        <f aca="false">IF($E141="","",N(INDEX(进销存对接!$M$4:$U$305,46,9)))</f>
        <v/>
      </c>
      <c r="J141" s="67"/>
      <c r="K141" s="67" t="str">
        <f aca="false">IF($E141="","",INDEX(进销存对接!$D$4:$D$305,46))</f>
        <v/>
      </c>
      <c r="L141" s="107"/>
      <c r="M141" s="107"/>
      <c r="N141" s="67" t="str">
        <f aca="false">IF($E141="","","系统")</f>
        <v/>
      </c>
      <c r="O141" s="67" t="str">
        <f aca="false">IF($E141="","","自动A")</f>
        <v/>
      </c>
      <c r="P141" s="18"/>
    </row>
    <row r="142" customFormat="false" ht="18" hidden="false" customHeight="true" outlineLevel="0" collapsed="false">
      <c r="A142" s="107" t="str">
        <f aca="false">IF($E142="","",ROW()-3)</f>
        <v/>
      </c>
      <c r="B142" s="110" t="str">
        <f aca="false">IF($E142="","",INDEX(进销存对接!$C$4:$C$305,47))</f>
        <v/>
      </c>
      <c r="C142" s="67" t="str">
        <f aca="false">IF($E142="","","记-"&amp;TEXT($B142,"YYYYMM")&amp;"-进销存")</f>
        <v/>
      </c>
      <c r="D142" s="107" t="str">
        <f aca="false">IF($E142="","",INDEX(进销存对接!$D$4:$D$305,47)&amp;" "&amp;TEXT($B142,"YYYY年M月")&amp;" 自动结转")</f>
        <v/>
      </c>
      <c r="E142" s="67" t="str">
        <f aca="false">IF(INDEX(进销存对接!$M$4:$U$305,47,1)=0,"",INDEX(进销存对接!$M$4:$U$305,47,1))</f>
        <v/>
      </c>
      <c r="F142" s="99" t="str">
        <f aca="false">IF($E142="","",IFERROR(INDEX(科目表!$A$4:$A$81,MATCH($E142,科目表!$B$4:$B$81,0)),""))</f>
        <v/>
      </c>
      <c r="G142" s="67" t="str">
        <f aca="false">IF($E142="","",IFERROR(INDEX(科目表!$E$4:$E$81,MATCH($E142,科目表!$B$4:$B$81,0)),""))</f>
        <v/>
      </c>
      <c r="H142" s="70" t="str">
        <f aca="false">IF($E142="","",N(INDEX(进销存对接!$M$4:$U$305,47,2)))</f>
        <v/>
      </c>
      <c r="I142" s="70" t="str">
        <f aca="false">IF($E142="","",N(INDEX(进销存对接!$M$4:$U$305,47,3)))</f>
        <v/>
      </c>
      <c r="J142" s="67"/>
      <c r="K142" s="67" t="str">
        <f aca="false">IF($E142="","",INDEX(进销存对接!$D$4:$D$305,47))</f>
        <v/>
      </c>
      <c r="L142" s="107"/>
      <c r="M142" s="107"/>
      <c r="N142" s="67" t="str">
        <f aca="false">IF($E142="","","系统")</f>
        <v/>
      </c>
      <c r="O142" s="67" t="str">
        <f aca="false">IF($E142="","","自动A")</f>
        <v/>
      </c>
      <c r="P142" s="18"/>
    </row>
    <row r="143" customFormat="false" ht="18" hidden="false" customHeight="true" outlineLevel="0" collapsed="false">
      <c r="A143" s="107" t="str">
        <f aca="false">IF($E143="","",ROW()-3)</f>
        <v/>
      </c>
      <c r="B143" s="110" t="str">
        <f aca="false">IF($E143="","",INDEX(进销存对接!$C$4:$C$305,47))</f>
        <v/>
      </c>
      <c r="C143" s="67" t="str">
        <f aca="false">IF($E143="","","记-"&amp;TEXT($B143,"YYYYMM")&amp;"-进销存")</f>
        <v/>
      </c>
      <c r="D143" s="107" t="str">
        <f aca="false">IF($E143="","",INDEX(进销存对接!$D$4:$D$305,47)&amp;" "&amp;TEXT($B143,"YYYY年M月")&amp;" 自动结转")</f>
        <v/>
      </c>
      <c r="E143" s="67" t="str">
        <f aca="false">IF(INDEX(进销存对接!$M$4:$U$305,47,4)=0,"",INDEX(进销存对接!$M$4:$U$305,47,4))</f>
        <v/>
      </c>
      <c r="F143" s="99" t="str">
        <f aca="false">IF($E143="","",IFERROR(INDEX(科目表!$A$4:$A$81,MATCH($E143,科目表!$B$4:$B$81,0)),""))</f>
        <v/>
      </c>
      <c r="G143" s="67" t="str">
        <f aca="false">IF($E143="","",IFERROR(INDEX(科目表!$E$4:$E$81,MATCH($E143,科目表!$B$4:$B$81,0)),""))</f>
        <v/>
      </c>
      <c r="H143" s="70" t="str">
        <f aca="false">IF($E143="","",N(INDEX(进销存对接!$M$4:$U$305,47,5)))</f>
        <v/>
      </c>
      <c r="I143" s="70" t="str">
        <f aca="false">IF($E143="","",N(INDEX(进销存对接!$M$4:$U$305,47,6)))</f>
        <v/>
      </c>
      <c r="J143" s="67"/>
      <c r="K143" s="67" t="str">
        <f aca="false">IF($E143="","",INDEX(进销存对接!$D$4:$D$305,47))</f>
        <v/>
      </c>
      <c r="L143" s="107"/>
      <c r="M143" s="107"/>
      <c r="N143" s="67" t="str">
        <f aca="false">IF($E143="","","系统")</f>
        <v/>
      </c>
      <c r="O143" s="67" t="str">
        <f aca="false">IF($E143="","","自动A")</f>
        <v/>
      </c>
      <c r="P143" s="18"/>
    </row>
    <row r="144" customFormat="false" ht="18" hidden="false" customHeight="true" outlineLevel="0" collapsed="false">
      <c r="A144" s="107" t="str">
        <f aca="false">IF($E144="","",ROW()-3)</f>
        <v/>
      </c>
      <c r="B144" s="110" t="str">
        <f aca="false">IF($E144="","",INDEX(进销存对接!$C$4:$C$305,47))</f>
        <v/>
      </c>
      <c r="C144" s="67" t="str">
        <f aca="false">IF($E144="","","记-"&amp;TEXT($B144,"YYYYMM")&amp;"-进销存")</f>
        <v/>
      </c>
      <c r="D144" s="107" t="str">
        <f aca="false">IF($E144="","",INDEX(进销存对接!$D$4:$D$305,47)&amp;" "&amp;TEXT($B144,"YYYY年M月")&amp;" 自动结转")</f>
        <v/>
      </c>
      <c r="E144" s="67" t="str">
        <f aca="false">IF(INDEX(进销存对接!$M$4:$U$305,47,7)=0,"",INDEX(进销存对接!$M$4:$U$305,47,7))</f>
        <v/>
      </c>
      <c r="F144" s="99" t="str">
        <f aca="false">IF($E144="","",IFERROR(INDEX(科目表!$A$4:$A$81,MATCH($E144,科目表!$B$4:$B$81,0)),""))</f>
        <v/>
      </c>
      <c r="G144" s="67" t="str">
        <f aca="false">IF($E144="","",IFERROR(INDEX(科目表!$E$4:$E$81,MATCH($E144,科目表!$B$4:$B$81,0)),""))</f>
        <v/>
      </c>
      <c r="H144" s="70" t="str">
        <f aca="false">IF($E144="","",N(INDEX(进销存对接!$M$4:$U$305,47,8)))</f>
        <v/>
      </c>
      <c r="I144" s="70" t="str">
        <f aca="false">IF($E144="","",N(INDEX(进销存对接!$M$4:$U$305,47,9)))</f>
        <v/>
      </c>
      <c r="J144" s="67"/>
      <c r="K144" s="67" t="str">
        <f aca="false">IF($E144="","",INDEX(进销存对接!$D$4:$D$305,47))</f>
        <v/>
      </c>
      <c r="L144" s="107"/>
      <c r="M144" s="107"/>
      <c r="N144" s="67" t="str">
        <f aca="false">IF($E144="","","系统")</f>
        <v/>
      </c>
      <c r="O144" s="67" t="str">
        <f aca="false">IF($E144="","","自动A")</f>
        <v/>
      </c>
      <c r="P144" s="18"/>
    </row>
    <row r="145" customFormat="false" ht="18" hidden="false" customHeight="true" outlineLevel="0" collapsed="false">
      <c r="A145" s="107" t="str">
        <f aca="false">IF($E145="","",ROW()-3)</f>
        <v/>
      </c>
      <c r="B145" s="110" t="str">
        <f aca="false">IF($E145="","",INDEX(进销存对接!$C$4:$C$305,48))</f>
        <v/>
      </c>
      <c r="C145" s="67" t="str">
        <f aca="false">IF($E145="","","记-"&amp;TEXT($B145,"YYYYMM")&amp;"-进销存")</f>
        <v/>
      </c>
      <c r="D145" s="107" t="str">
        <f aca="false">IF($E145="","",INDEX(进销存对接!$D$4:$D$305,48)&amp;" "&amp;TEXT($B145,"YYYY年M月")&amp;" 自动结转")</f>
        <v/>
      </c>
      <c r="E145" s="67" t="str">
        <f aca="false">IF(INDEX(进销存对接!$M$4:$U$305,48,1)=0,"",INDEX(进销存对接!$M$4:$U$305,48,1))</f>
        <v/>
      </c>
      <c r="F145" s="99" t="str">
        <f aca="false">IF($E145="","",IFERROR(INDEX(科目表!$A$4:$A$81,MATCH($E145,科目表!$B$4:$B$81,0)),""))</f>
        <v/>
      </c>
      <c r="G145" s="67" t="str">
        <f aca="false">IF($E145="","",IFERROR(INDEX(科目表!$E$4:$E$81,MATCH($E145,科目表!$B$4:$B$81,0)),""))</f>
        <v/>
      </c>
      <c r="H145" s="70" t="str">
        <f aca="false">IF($E145="","",N(INDEX(进销存对接!$M$4:$U$305,48,2)))</f>
        <v/>
      </c>
      <c r="I145" s="70" t="str">
        <f aca="false">IF($E145="","",N(INDEX(进销存对接!$M$4:$U$305,48,3)))</f>
        <v/>
      </c>
      <c r="J145" s="67"/>
      <c r="K145" s="67" t="str">
        <f aca="false">IF($E145="","",INDEX(进销存对接!$D$4:$D$305,48))</f>
        <v/>
      </c>
      <c r="L145" s="107"/>
      <c r="M145" s="107"/>
      <c r="N145" s="67" t="str">
        <f aca="false">IF($E145="","","系统")</f>
        <v/>
      </c>
      <c r="O145" s="67" t="str">
        <f aca="false">IF($E145="","","自动A")</f>
        <v/>
      </c>
      <c r="P145" s="18"/>
    </row>
    <row r="146" customFormat="false" ht="18" hidden="false" customHeight="true" outlineLevel="0" collapsed="false">
      <c r="A146" s="107" t="str">
        <f aca="false">IF($E146="","",ROW()-3)</f>
        <v/>
      </c>
      <c r="B146" s="110" t="str">
        <f aca="false">IF($E146="","",INDEX(进销存对接!$C$4:$C$305,48))</f>
        <v/>
      </c>
      <c r="C146" s="67" t="str">
        <f aca="false">IF($E146="","","记-"&amp;TEXT($B146,"YYYYMM")&amp;"-进销存")</f>
        <v/>
      </c>
      <c r="D146" s="107" t="str">
        <f aca="false">IF($E146="","",INDEX(进销存对接!$D$4:$D$305,48)&amp;" "&amp;TEXT($B146,"YYYY年M月")&amp;" 自动结转")</f>
        <v/>
      </c>
      <c r="E146" s="67" t="str">
        <f aca="false">IF(INDEX(进销存对接!$M$4:$U$305,48,4)=0,"",INDEX(进销存对接!$M$4:$U$305,48,4))</f>
        <v/>
      </c>
      <c r="F146" s="99" t="str">
        <f aca="false">IF($E146="","",IFERROR(INDEX(科目表!$A$4:$A$81,MATCH($E146,科目表!$B$4:$B$81,0)),""))</f>
        <v/>
      </c>
      <c r="G146" s="67" t="str">
        <f aca="false">IF($E146="","",IFERROR(INDEX(科目表!$E$4:$E$81,MATCH($E146,科目表!$B$4:$B$81,0)),""))</f>
        <v/>
      </c>
      <c r="H146" s="70" t="str">
        <f aca="false">IF($E146="","",N(INDEX(进销存对接!$M$4:$U$305,48,5)))</f>
        <v/>
      </c>
      <c r="I146" s="70" t="str">
        <f aca="false">IF($E146="","",N(INDEX(进销存对接!$M$4:$U$305,48,6)))</f>
        <v/>
      </c>
      <c r="J146" s="67"/>
      <c r="K146" s="67" t="str">
        <f aca="false">IF($E146="","",INDEX(进销存对接!$D$4:$D$305,48))</f>
        <v/>
      </c>
      <c r="L146" s="107"/>
      <c r="M146" s="107"/>
      <c r="N146" s="67" t="str">
        <f aca="false">IF($E146="","","系统")</f>
        <v/>
      </c>
      <c r="O146" s="67" t="str">
        <f aca="false">IF($E146="","","自动A")</f>
        <v/>
      </c>
      <c r="P146" s="18"/>
    </row>
    <row r="147" customFormat="false" ht="18" hidden="false" customHeight="true" outlineLevel="0" collapsed="false">
      <c r="A147" s="107" t="str">
        <f aca="false">IF($E147="","",ROW()-3)</f>
        <v/>
      </c>
      <c r="B147" s="110" t="str">
        <f aca="false">IF($E147="","",INDEX(进销存对接!$C$4:$C$305,48))</f>
        <v/>
      </c>
      <c r="C147" s="67" t="str">
        <f aca="false">IF($E147="","","记-"&amp;TEXT($B147,"YYYYMM")&amp;"-进销存")</f>
        <v/>
      </c>
      <c r="D147" s="107" t="str">
        <f aca="false">IF($E147="","",INDEX(进销存对接!$D$4:$D$305,48)&amp;" "&amp;TEXT($B147,"YYYY年M月")&amp;" 自动结转")</f>
        <v/>
      </c>
      <c r="E147" s="67" t="str">
        <f aca="false">IF(INDEX(进销存对接!$M$4:$U$305,48,7)=0,"",INDEX(进销存对接!$M$4:$U$305,48,7))</f>
        <v/>
      </c>
      <c r="F147" s="99" t="str">
        <f aca="false">IF($E147="","",IFERROR(INDEX(科目表!$A$4:$A$81,MATCH($E147,科目表!$B$4:$B$81,0)),""))</f>
        <v/>
      </c>
      <c r="G147" s="67" t="str">
        <f aca="false">IF($E147="","",IFERROR(INDEX(科目表!$E$4:$E$81,MATCH($E147,科目表!$B$4:$B$81,0)),""))</f>
        <v/>
      </c>
      <c r="H147" s="70" t="str">
        <f aca="false">IF($E147="","",N(INDEX(进销存对接!$M$4:$U$305,48,8)))</f>
        <v/>
      </c>
      <c r="I147" s="70" t="str">
        <f aca="false">IF($E147="","",N(INDEX(进销存对接!$M$4:$U$305,48,9)))</f>
        <v/>
      </c>
      <c r="J147" s="67"/>
      <c r="K147" s="67" t="str">
        <f aca="false">IF($E147="","",INDEX(进销存对接!$D$4:$D$305,48))</f>
        <v/>
      </c>
      <c r="L147" s="107"/>
      <c r="M147" s="107"/>
      <c r="N147" s="67" t="str">
        <f aca="false">IF($E147="","","系统")</f>
        <v/>
      </c>
      <c r="O147" s="67" t="str">
        <f aca="false">IF($E147="","","自动A")</f>
        <v/>
      </c>
      <c r="P147" s="18"/>
    </row>
    <row r="148" customFormat="false" ht="18" hidden="false" customHeight="true" outlineLevel="0" collapsed="false">
      <c r="A148" s="107" t="str">
        <f aca="false">IF($E148="","",ROW()-3)</f>
        <v/>
      </c>
      <c r="B148" s="110" t="str">
        <f aca="false">IF($E148="","",INDEX(进销存对接!$C$4:$C$305,49))</f>
        <v/>
      </c>
      <c r="C148" s="67" t="str">
        <f aca="false">IF($E148="","","记-"&amp;TEXT($B148,"YYYYMM")&amp;"-进销存")</f>
        <v/>
      </c>
      <c r="D148" s="107" t="str">
        <f aca="false">IF($E148="","",INDEX(进销存对接!$D$4:$D$305,49)&amp;" "&amp;TEXT($B148,"YYYY年M月")&amp;" 自动结转")</f>
        <v/>
      </c>
      <c r="E148" s="67" t="str">
        <f aca="false">IF(INDEX(进销存对接!$M$4:$U$305,49,1)=0,"",INDEX(进销存对接!$M$4:$U$305,49,1))</f>
        <v/>
      </c>
      <c r="F148" s="99" t="str">
        <f aca="false">IF($E148="","",IFERROR(INDEX(科目表!$A$4:$A$81,MATCH($E148,科目表!$B$4:$B$81,0)),""))</f>
        <v/>
      </c>
      <c r="G148" s="67" t="str">
        <f aca="false">IF($E148="","",IFERROR(INDEX(科目表!$E$4:$E$81,MATCH($E148,科目表!$B$4:$B$81,0)),""))</f>
        <v/>
      </c>
      <c r="H148" s="70" t="str">
        <f aca="false">IF($E148="","",N(INDEX(进销存对接!$M$4:$U$305,49,2)))</f>
        <v/>
      </c>
      <c r="I148" s="70" t="str">
        <f aca="false">IF($E148="","",N(INDEX(进销存对接!$M$4:$U$305,49,3)))</f>
        <v/>
      </c>
      <c r="J148" s="67"/>
      <c r="K148" s="67" t="str">
        <f aca="false">IF($E148="","",INDEX(进销存对接!$D$4:$D$305,49))</f>
        <v/>
      </c>
      <c r="L148" s="107"/>
      <c r="M148" s="107"/>
      <c r="N148" s="67" t="str">
        <f aca="false">IF($E148="","","系统")</f>
        <v/>
      </c>
      <c r="O148" s="67" t="str">
        <f aca="false">IF($E148="","","自动A")</f>
        <v/>
      </c>
      <c r="P148" s="18"/>
    </row>
    <row r="149" customFormat="false" ht="18" hidden="false" customHeight="true" outlineLevel="0" collapsed="false">
      <c r="A149" s="107" t="str">
        <f aca="false">IF($E149="","",ROW()-3)</f>
        <v/>
      </c>
      <c r="B149" s="110" t="str">
        <f aca="false">IF($E149="","",INDEX(进销存对接!$C$4:$C$305,49))</f>
        <v/>
      </c>
      <c r="C149" s="67" t="str">
        <f aca="false">IF($E149="","","记-"&amp;TEXT($B149,"YYYYMM")&amp;"-进销存")</f>
        <v/>
      </c>
      <c r="D149" s="107" t="str">
        <f aca="false">IF($E149="","",INDEX(进销存对接!$D$4:$D$305,49)&amp;" "&amp;TEXT($B149,"YYYY年M月")&amp;" 自动结转")</f>
        <v/>
      </c>
      <c r="E149" s="67" t="str">
        <f aca="false">IF(INDEX(进销存对接!$M$4:$U$305,49,4)=0,"",INDEX(进销存对接!$M$4:$U$305,49,4))</f>
        <v/>
      </c>
      <c r="F149" s="99" t="str">
        <f aca="false">IF($E149="","",IFERROR(INDEX(科目表!$A$4:$A$81,MATCH($E149,科目表!$B$4:$B$81,0)),""))</f>
        <v/>
      </c>
      <c r="G149" s="67" t="str">
        <f aca="false">IF($E149="","",IFERROR(INDEX(科目表!$E$4:$E$81,MATCH($E149,科目表!$B$4:$B$81,0)),""))</f>
        <v/>
      </c>
      <c r="H149" s="70" t="str">
        <f aca="false">IF($E149="","",N(INDEX(进销存对接!$M$4:$U$305,49,5)))</f>
        <v/>
      </c>
      <c r="I149" s="70" t="str">
        <f aca="false">IF($E149="","",N(INDEX(进销存对接!$M$4:$U$305,49,6)))</f>
        <v/>
      </c>
      <c r="J149" s="67"/>
      <c r="K149" s="67" t="str">
        <f aca="false">IF($E149="","",INDEX(进销存对接!$D$4:$D$305,49))</f>
        <v/>
      </c>
      <c r="L149" s="107"/>
      <c r="M149" s="107"/>
      <c r="N149" s="67" t="str">
        <f aca="false">IF($E149="","","系统")</f>
        <v/>
      </c>
      <c r="O149" s="67" t="str">
        <f aca="false">IF($E149="","","自动A")</f>
        <v/>
      </c>
      <c r="P149" s="18"/>
    </row>
    <row r="150" customFormat="false" ht="18" hidden="false" customHeight="true" outlineLevel="0" collapsed="false">
      <c r="A150" s="107" t="str">
        <f aca="false">IF($E150="","",ROW()-3)</f>
        <v/>
      </c>
      <c r="B150" s="110" t="str">
        <f aca="false">IF($E150="","",INDEX(进销存对接!$C$4:$C$305,49))</f>
        <v/>
      </c>
      <c r="C150" s="67" t="str">
        <f aca="false">IF($E150="","","记-"&amp;TEXT($B150,"YYYYMM")&amp;"-进销存")</f>
        <v/>
      </c>
      <c r="D150" s="107" t="str">
        <f aca="false">IF($E150="","",INDEX(进销存对接!$D$4:$D$305,49)&amp;" "&amp;TEXT($B150,"YYYY年M月")&amp;" 自动结转")</f>
        <v/>
      </c>
      <c r="E150" s="67" t="str">
        <f aca="false">IF(INDEX(进销存对接!$M$4:$U$305,49,7)=0,"",INDEX(进销存对接!$M$4:$U$305,49,7))</f>
        <v/>
      </c>
      <c r="F150" s="99" t="str">
        <f aca="false">IF($E150="","",IFERROR(INDEX(科目表!$A$4:$A$81,MATCH($E150,科目表!$B$4:$B$81,0)),""))</f>
        <v/>
      </c>
      <c r="G150" s="67" t="str">
        <f aca="false">IF($E150="","",IFERROR(INDEX(科目表!$E$4:$E$81,MATCH($E150,科目表!$B$4:$B$81,0)),""))</f>
        <v/>
      </c>
      <c r="H150" s="70" t="str">
        <f aca="false">IF($E150="","",N(INDEX(进销存对接!$M$4:$U$305,49,8)))</f>
        <v/>
      </c>
      <c r="I150" s="70" t="str">
        <f aca="false">IF($E150="","",N(INDEX(进销存对接!$M$4:$U$305,49,9)))</f>
        <v/>
      </c>
      <c r="J150" s="67"/>
      <c r="K150" s="67" t="str">
        <f aca="false">IF($E150="","",INDEX(进销存对接!$D$4:$D$305,49))</f>
        <v/>
      </c>
      <c r="L150" s="107"/>
      <c r="M150" s="107"/>
      <c r="N150" s="67" t="str">
        <f aca="false">IF($E150="","","系统")</f>
        <v/>
      </c>
      <c r="O150" s="67" t="str">
        <f aca="false">IF($E150="","","自动A")</f>
        <v/>
      </c>
      <c r="P150" s="18"/>
    </row>
    <row r="151" customFormat="false" ht="18" hidden="false" customHeight="true" outlineLevel="0" collapsed="false">
      <c r="A151" s="107" t="str">
        <f aca="false">IF($E151="","",ROW()-3)</f>
        <v/>
      </c>
      <c r="B151" s="110" t="str">
        <f aca="false">IF($E151="","",INDEX(进销存对接!$C$4:$C$305,50))</f>
        <v/>
      </c>
      <c r="C151" s="67" t="str">
        <f aca="false">IF($E151="","","记-"&amp;TEXT($B151,"YYYYMM")&amp;"-进销存")</f>
        <v/>
      </c>
      <c r="D151" s="107" t="str">
        <f aca="false">IF($E151="","",INDEX(进销存对接!$D$4:$D$305,50)&amp;" "&amp;TEXT($B151,"YYYY年M月")&amp;" 自动结转")</f>
        <v/>
      </c>
      <c r="E151" s="67" t="str">
        <f aca="false">IF(INDEX(进销存对接!$M$4:$U$305,50,1)=0,"",INDEX(进销存对接!$M$4:$U$305,50,1))</f>
        <v/>
      </c>
      <c r="F151" s="99" t="str">
        <f aca="false">IF($E151="","",IFERROR(INDEX(科目表!$A$4:$A$81,MATCH($E151,科目表!$B$4:$B$81,0)),""))</f>
        <v/>
      </c>
      <c r="G151" s="67" t="str">
        <f aca="false">IF($E151="","",IFERROR(INDEX(科目表!$E$4:$E$81,MATCH($E151,科目表!$B$4:$B$81,0)),""))</f>
        <v/>
      </c>
      <c r="H151" s="70" t="str">
        <f aca="false">IF($E151="","",N(INDEX(进销存对接!$M$4:$U$305,50,2)))</f>
        <v/>
      </c>
      <c r="I151" s="70" t="str">
        <f aca="false">IF($E151="","",N(INDEX(进销存对接!$M$4:$U$305,50,3)))</f>
        <v/>
      </c>
      <c r="J151" s="67"/>
      <c r="K151" s="67" t="str">
        <f aca="false">IF($E151="","",INDEX(进销存对接!$D$4:$D$305,50))</f>
        <v/>
      </c>
      <c r="L151" s="107"/>
      <c r="M151" s="107"/>
      <c r="N151" s="67" t="str">
        <f aca="false">IF($E151="","","系统")</f>
        <v/>
      </c>
      <c r="O151" s="67" t="str">
        <f aca="false">IF($E151="","","自动A")</f>
        <v/>
      </c>
      <c r="P151" s="18"/>
    </row>
    <row r="152" customFormat="false" ht="18" hidden="false" customHeight="true" outlineLevel="0" collapsed="false">
      <c r="A152" s="107" t="str">
        <f aca="false">IF($E152="","",ROW()-3)</f>
        <v/>
      </c>
      <c r="B152" s="110" t="str">
        <f aca="false">IF($E152="","",INDEX(进销存对接!$C$4:$C$305,50))</f>
        <v/>
      </c>
      <c r="C152" s="67" t="str">
        <f aca="false">IF($E152="","","记-"&amp;TEXT($B152,"YYYYMM")&amp;"-进销存")</f>
        <v/>
      </c>
      <c r="D152" s="107" t="str">
        <f aca="false">IF($E152="","",INDEX(进销存对接!$D$4:$D$305,50)&amp;" "&amp;TEXT($B152,"YYYY年M月")&amp;" 自动结转")</f>
        <v/>
      </c>
      <c r="E152" s="67" t="str">
        <f aca="false">IF(INDEX(进销存对接!$M$4:$U$305,50,4)=0,"",INDEX(进销存对接!$M$4:$U$305,50,4))</f>
        <v/>
      </c>
      <c r="F152" s="99" t="str">
        <f aca="false">IF($E152="","",IFERROR(INDEX(科目表!$A$4:$A$81,MATCH($E152,科目表!$B$4:$B$81,0)),""))</f>
        <v/>
      </c>
      <c r="G152" s="67" t="str">
        <f aca="false">IF($E152="","",IFERROR(INDEX(科目表!$E$4:$E$81,MATCH($E152,科目表!$B$4:$B$81,0)),""))</f>
        <v/>
      </c>
      <c r="H152" s="70" t="str">
        <f aca="false">IF($E152="","",N(INDEX(进销存对接!$M$4:$U$305,50,5)))</f>
        <v/>
      </c>
      <c r="I152" s="70" t="str">
        <f aca="false">IF($E152="","",N(INDEX(进销存对接!$M$4:$U$305,50,6)))</f>
        <v/>
      </c>
      <c r="J152" s="67"/>
      <c r="K152" s="67" t="str">
        <f aca="false">IF($E152="","",INDEX(进销存对接!$D$4:$D$305,50))</f>
        <v/>
      </c>
      <c r="L152" s="107"/>
      <c r="M152" s="107"/>
      <c r="N152" s="67" t="str">
        <f aca="false">IF($E152="","","系统")</f>
        <v/>
      </c>
      <c r="O152" s="67" t="str">
        <f aca="false">IF($E152="","","自动A")</f>
        <v/>
      </c>
      <c r="P152" s="18"/>
    </row>
    <row r="153" customFormat="false" ht="18" hidden="false" customHeight="true" outlineLevel="0" collapsed="false">
      <c r="A153" s="107" t="str">
        <f aca="false">IF($E153="","",ROW()-3)</f>
        <v/>
      </c>
      <c r="B153" s="110" t="str">
        <f aca="false">IF($E153="","",INDEX(进销存对接!$C$4:$C$305,50))</f>
        <v/>
      </c>
      <c r="C153" s="67" t="str">
        <f aca="false">IF($E153="","","记-"&amp;TEXT($B153,"YYYYMM")&amp;"-进销存")</f>
        <v/>
      </c>
      <c r="D153" s="107" t="str">
        <f aca="false">IF($E153="","",INDEX(进销存对接!$D$4:$D$305,50)&amp;" "&amp;TEXT($B153,"YYYY年M月")&amp;" 自动结转")</f>
        <v/>
      </c>
      <c r="E153" s="67" t="str">
        <f aca="false">IF(INDEX(进销存对接!$M$4:$U$305,50,7)=0,"",INDEX(进销存对接!$M$4:$U$305,50,7))</f>
        <v/>
      </c>
      <c r="F153" s="99" t="str">
        <f aca="false">IF($E153="","",IFERROR(INDEX(科目表!$A$4:$A$81,MATCH($E153,科目表!$B$4:$B$81,0)),""))</f>
        <v/>
      </c>
      <c r="G153" s="67" t="str">
        <f aca="false">IF($E153="","",IFERROR(INDEX(科目表!$E$4:$E$81,MATCH($E153,科目表!$B$4:$B$81,0)),""))</f>
        <v/>
      </c>
      <c r="H153" s="70" t="str">
        <f aca="false">IF($E153="","",N(INDEX(进销存对接!$M$4:$U$305,50,8)))</f>
        <v/>
      </c>
      <c r="I153" s="70" t="str">
        <f aca="false">IF($E153="","",N(INDEX(进销存对接!$M$4:$U$305,50,9)))</f>
        <v/>
      </c>
      <c r="J153" s="67"/>
      <c r="K153" s="67" t="str">
        <f aca="false">IF($E153="","",INDEX(进销存对接!$D$4:$D$305,50))</f>
        <v/>
      </c>
      <c r="L153" s="107"/>
      <c r="M153" s="107"/>
      <c r="N153" s="67" t="str">
        <f aca="false">IF($E153="","","系统")</f>
        <v/>
      </c>
      <c r="O153" s="67" t="str">
        <f aca="false">IF($E153="","","自动A")</f>
        <v/>
      </c>
      <c r="P153" s="18"/>
    </row>
    <row r="154" customFormat="false" ht="18" hidden="false" customHeight="true" outlineLevel="0" collapsed="false">
      <c r="A154" s="107" t="str">
        <f aca="false">IF($E154="","",ROW()-3)</f>
        <v/>
      </c>
      <c r="B154" s="110" t="str">
        <f aca="false">IF($E154="","",INDEX(进销存对接!$C$4:$C$305,51))</f>
        <v/>
      </c>
      <c r="C154" s="67" t="str">
        <f aca="false">IF($E154="","","记-"&amp;TEXT($B154,"YYYYMM")&amp;"-进销存")</f>
        <v/>
      </c>
      <c r="D154" s="107" t="str">
        <f aca="false">IF($E154="","",INDEX(进销存对接!$D$4:$D$305,51)&amp;" "&amp;TEXT($B154,"YYYY年M月")&amp;" 自动结转")</f>
        <v/>
      </c>
      <c r="E154" s="67" t="str">
        <f aca="false">IF(INDEX(进销存对接!$M$4:$U$305,51,1)=0,"",INDEX(进销存对接!$M$4:$U$305,51,1))</f>
        <v/>
      </c>
      <c r="F154" s="99" t="str">
        <f aca="false">IF($E154="","",IFERROR(INDEX(科目表!$A$4:$A$81,MATCH($E154,科目表!$B$4:$B$81,0)),""))</f>
        <v/>
      </c>
      <c r="G154" s="67" t="str">
        <f aca="false">IF($E154="","",IFERROR(INDEX(科目表!$E$4:$E$81,MATCH($E154,科目表!$B$4:$B$81,0)),""))</f>
        <v/>
      </c>
      <c r="H154" s="70" t="str">
        <f aca="false">IF($E154="","",N(INDEX(进销存对接!$M$4:$U$305,51,2)))</f>
        <v/>
      </c>
      <c r="I154" s="70" t="str">
        <f aca="false">IF($E154="","",N(INDEX(进销存对接!$M$4:$U$305,51,3)))</f>
        <v/>
      </c>
      <c r="J154" s="67"/>
      <c r="K154" s="67" t="str">
        <f aca="false">IF($E154="","",INDEX(进销存对接!$D$4:$D$305,51))</f>
        <v/>
      </c>
      <c r="L154" s="107"/>
      <c r="M154" s="107"/>
      <c r="N154" s="67" t="str">
        <f aca="false">IF($E154="","","系统")</f>
        <v/>
      </c>
      <c r="O154" s="67" t="str">
        <f aca="false">IF($E154="","","自动A")</f>
        <v/>
      </c>
      <c r="P154" s="18"/>
    </row>
    <row r="155" customFormat="false" ht="18" hidden="false" customHeight="true" outlineLevel="0" collapsed="false">
      <c r="A155" s="107" t="str">
        <f aca="false">IF($E155="","",ROW()-3)</f>
        <v/>
      </c>
      <c r="B155" s="110" t="str">
        <f aca="false">IF($E155="","",INDEX(进销存对接!$C$4:$C$305,51))</f>
        <v/>
      </c>
      <c r="C155" s="67" t="str">
        <f aca="false">IF($E155="","","记-"&amp;TEXT($B155,"YYYYMM")&amp;"-进销存")</f>
        <v/>
      </c>
      <c r="D155" s="107" t="str">
        <f aca="false">IF($E155="","",INDEX(进销存对接!$D$4:$D$305,51)&amp;" "&amp;TEXT($B155,"YYYY年M月")&amp;" 自动结转")</f>
        <v/>
      </c>
      <c r="E155" s="67" t="str">
        <f aca="false">IF(INDEX(进销存对接!$M$4:$U$305,51,4)=0,"",INDEX(进销存对接!$M$4:$U$305,51,4))</f>
        <v/>
      </c>
      <c r="F155" s="99" t="str">
        <f aca="false">IF($E155="","",IFERROR(INDEX(科目表!$A$4:$A$81,MATCH($E155,科目表!$B$4:$B$81,0)),""))</f>
        <v/>
      </c>
      <c r="G155" s="67" t="str">
        <f aca="false">IF($E155="","",IFERROR(INDEX(科目表!$E$4:$E$81,MATCH($E155,科目表!$B$4:$B$81,0)),""))</f>
        <v/>
      </c>
      <c r="H155" s="70" t="str">
        <f aca="false">IF($E155="","",N(INDEX(进销存对接!$M$4:$U$305,51,5)))</f>
        <v/>
      </c>
      <c r="I155" s="70" t="str">
        <f aca="false">IF($E155="","",N(INDEX(进销存对接!$M$4:$U$305,51,6)))</f>
        <v/>
      </c>
      <c r="J155" s="67"/>
      <c r="K155" s="67" t="str">
        <f aca="false">IF($E155="","",INDEX(进销存对接!$D$4:$D$305,51))</f>
        <v/>
      </c>
      <c r="L155" s="107"/>
      <c r="M155" s="107"/>
      <c r="N155" s="67" t="str">
        <f aca="false">IF($E155="","","系统")</f>
        <v/>
      </c>
      <c r="O155" s="67" t="str">
        <f aca="false">IF($E155="","","自动A")</f>
        <v/>
      </c>
      <c r="P155" s="18"/>
    </row>
    <row r="156" customFormat="false" ht="18" hidden="false" customHeight="true" outlineLevel="0" collapsed="false">
      <c r="A156" s="107" t="str">
        <f aca="false">IF($E156="","",ROW()-3)</f>
        <v/>
      </c>
      <c r="B156" s="110" t="str">
        <f aca="false">IF($E156="","",INDEX(进销存对接!$C$4:$C$305,51))</f>
        <v/>
      </c>
      <c r="C156" s="67" t="str">
        <f aca="false">IF($E156="","","记-"&amp;TEXT($B156,"YYYYMM")&amp;"-进销存")</f>
        <v/>
      </c>
      <c r="D156" s="107" t="str">
        <f aca="false">IF($E156="","",INDEX(进销存对接!$D$4:$D$305,51)&amp;" "&amp;TEXT($B156,"YYYY年M月")&amp;" 自动结转")</f>
        <v/>
      </c>
      <c r="E156" s="67" t="str">
        <f aca="false">IF(INDEX(进销存对接!$M$4:$U$305,51,7)=0,"",INDEX(进销存对接!$M$4:$U$305,51,7))</f>
        <v/>
      </c>
      <c r="F156" s="99" t="str">
        <f aca="false">IF($E156="","",IFERROR(INDEX(科目表!$A$4:$A$81,MATCH($E156,科目表!$B$4:$B$81,0)),""))</f>
        <v/>
      </c>
      <c r="G156" s="67" t="str">
        <f aca="false">IF($E156="","",IFERROR(INDEX(科目表!$E$4:$E$81,MATCH($E156,科目表!$B$4:$B$81,0)),""))</f>
        <v/>
      </c>
      <c r="H156" s="70" t="str">
        <f aca="false">IF($E156="","",N(INDEX(进销存对接!$M$4:$U$305,51,8)))</f>
        <v/>
      </c>
      <c r="I156" s="70" t="str">
        <f aca="false">IF($E156="","",N(INDEX(进销存对接!$M$4:$U$305,51,9)))</f>
        <v/>
      </c>
      <c r="J156" s="67"/>
      <c r="K156" s="67" t="str">
        <f aca="false">IF($E156="","",INDEX(进销存对接!$D$4:$D$305,51))</f>
        <v/>
      </c>
      <c r="L156" s="107"/>
      <c r="M156" s="107"/>
      <c r="N156" s="67" t="str">
        <f aca="false">IF($E156="","","系统")</f>
        <v/>
      </c>
      <c r="O156" s="67" t="str">
        <f aca="false">IF($E156="","","自动A")</f>
        <v/>
      </c>
      <c r="P156" s="18"/>
    </row>
    <row r="157" customFormat="false" ht="18" hidden="false" customHeight="true" outlineLevel="0" collapsed="false">
      <c r="A157" s="107" t="str">
        <f aca="false">IF($E157="","",ROW()-3)</f>
        <v/>
      </c>
      <c r="B157" s="110" t="str">
        <f aca="false">IF($E157="","",INDEX(进销存对接!$C$4:$C$305,52))</f>
        <v/>
      </c>
      <c r="C157" s="67" t="str">
        <f aca="false">IF($E157="","","记-"&amp;TEXT($B157,"YYYYMM")&amp;"-进销存")</f>
        <v/>
      </c>
      <c r="D157" s="107" t="str">
        <f aca="false">IF($E157="","",INDEX(进销存对接!$D$4:$D$305,52)&amp;" "&amp;TEXT($B157,"YYYY年M月")&amp;" 自动结转")</f>
        <v/>
      </c>
      <c r="E157" s="67" t="str">
        <f aca="false">IF(INDEX(进销存对接!$M$4:$U$305,52,1)=0,"",INDEX(进销存对接!$M$4:$U$305,52,1))</f>
        <v/>
      </c>
      <c r="F157" s="99" t="str">
        <f aca="false">IF($E157="","",IFERROR(INDEX(科目表!$A$4:$A$81,MATCH($E157,科目表!$B$4:$B$81,0)),""))</f>
        <v/>
      </c>
      <c r="G157" s="67" t="str">
        <f aca="false">IF($E157="","",IFERROR(INDEX(科目表!$E$4:$E$81,MATCH($E157,科目表!$B$4:$B$81,0)),""))</f>
        <v/>
      </c>
      <c r="H157" s="70" t="str">
        <f aca="false">IF($E157="","",N(INDEX(进销存对接!$M$4:$U$305,52,2)))</f>
        <v/>
      </c>
      <c r="I157" s="70" t="str">
        <f aca="false">IF($E157="","",N(INDEX(进销存对接!$M$4:$U$305,52,3)))</f>
        <v/>
      </c>
      <c r="J157" s="67"/>
      <c r="K157" s="67" t="str">
        <f aca="false">IF($E157="","",INDEX(进销存对接!$D$4:$D$305,52))</f>
        <v/>
      </c>
      <c r="L157" s="107"/>
      <c r="M157" s="107"/>
      <c r="N157" s="67" t="str">
        <f aca="false">IF($E157="","","系统")</f>
        <v/>
      </c>
      <c r="O157" s="67" t="str">
        <f aca="false">IF($E157="","","自动A")</f>
        <v/>
      </c>
      <c r="P157" s="18"/>
    </row>
    <row r="158" customFormat="false" ht="18" hidden="false" customHeight="true" outlineLevel="0" collapsed="false">
      <c r="A158" s="107" t="str">
        <f aca="false">IF($E158="","",ROW()-3)</f>
        <v/>
      </c>
      <c r="B158" s="110" t="str">
        <f aca="false">IF($E158="","",INDEX(进销存对接!$C$4:$C$305,52))</f>
        <v/>
      </c>
      <c r="C158" s="67" t="str">
        <f aca="false">IF($E158="","","记-"&amp;TEXT($B158,"YYYYMM")&amp;"-进销存")</f>
        <v/>
      </c>
      <c r="D158" s="107" t="str">
        <f aca="false">IF($E158="","",INDEX(进销存对接!$D$4:$D$305,52)&amp;" "&amp;TEXT($B158,"YYYY年M月")&amp;" 自动结转")</f>
        <v/>
      </c>
      <c r="E158" s="67" t="str">
        <f aca="false">IF(INDEX(进销存对接!$M$4:$U$305,52,4)=0,"",INDEX(进销存对接!$M$4:$U$305,52,4))</f>
        <v/>
      </c>
      <c r="F158" s="99" t="str">
        <f aca="false">IF($E158="","",IFERROR(INDEX(科目表!$A$4:$A$81,MATCH($E158,科目表!$B$4:$B$81,0)),""))</f>
        <v/>
      </c>
      <c r="G158" s="67" t="str">
        <f aca="false">IF($E158="","",IFERROR(INDEX(科目表!$E$4:$E$81,MATCH($E158,科目表!$B$4:$B$81,0)),""))</f>
        <v/>
      </c>
      <c r="H158" s="70" t="str">
        <f aca="false">IF($E158="","",N(INDEX(进销存对接!$M$4:$U$305,52,5)))</f>
        <v/>
      </c>
      <c r="I158" s="70" t="str">
        <f aca="false">IF($E158="","",N(INDEX(进销存对接!$M$4:$U$305,52,6)))</f>
        <v/>
      </c>
      <c r="J158" s="67"/>
      <c r="K158" s="67" t="str">
        <f aca="false">IF($E158="","",INDEX(进销存对接!$D$4:$D$305,52))</f>
        <v/>
      </c>
      <c r="L158" s="107"/>
      <c r="M158" s="107"/>
      <c r="N158" s="67" t="str">
        <f aca="false">IF($E158="","","系统")</f>
        <v/>
      </c>
      <c r="O158" s="67" t="str">
        <f aca="false">IF($E158="","","自动A")</f>
        <v/>
      </c>
      <c r="P158" s="18"/>
    </row>
    <row r="159" customFormat="false" ht="18" hidden="false" customHeight="true" outlineLevel="0" collapsed="false">
      <c r="A159" s="107" t="str">
        <f aca="false">IF($E159="","",ROW()-3)</f>
        <v/>
      </c>
      <c r="B159" s="110" t="str">
        <f aca="false">IF($E159="","",INDEX(进销存对接!$C$4:$C$305,52))</f>
        <v/>
      </c>
      <c r="C159" s="67" t="str">
        <f aca="false">IF($E159="","","记-"&amp;TEXT($B159,"YYYYMM")&amp;"-进销存")</f>
        <v/>
      </c>
      <c r="D159" s="107" t="str">
        <f aca="false">IF($E159="","",INDEX(进销存对接!$D$4:$D$305,52)&amp;" "&amp;TEXT($B159,"YYYY年M月")&amp;" 自动结转")</f>
        <v/>
      </c>
      <c r="E159" s="67" t="str">
        <f aca="false">IF(INDEX(进销存对接!$M$4:$U$305,52,7)=0,"",INDEX(进销存对接!$M$4:$U$305,52,7))</f>
        <v/>
      </c>
      <c r="F159" s="99" t="str">
        <f aca="false">IF($E159="","",IFERROR(INDEX(科目表!$A$4:$A$81,MATCH($E159,科目表!$B$4:$B$81,0)),""))</f>
        <v/>
      </c>
      <c r="G159" s="67" t="str">
        <f aca="false">IF($E159="","",IFERROR(INDEX(科目表!$E$4:$E$81,MATCH($E159,科目表!$B$4:$B$81,0)),""))</f>
        <v/>
      </c>
      <c r="H159" s="70" t="str">
        <f aca="false">IF($E159="","",N(INDEX(进销存对接!$M$4:$U$305,52,8)))</f>
        <v/>
      </c>
      <c r="I159" s="70" t="str">
        <f aca="false">IF($E159="","",N(INDEX(进销存对接!$M$4:$U$305,52,9)))</f>
        <v/>
      </c>
      <c r="J159" s="67"/>
      <c r="K159" s="67" t="str">
        <f aca="false">IF($E159="","",INDEX(进销存对接!$D$4:$D$305,52))</f>
        <v/>
      </c>
      <c r="L159" s="107"/>
      <c r="M159" s="107"/>
      <c r="N159" s="67" t="str">
        <f aca="false">IF($E159="","","系统")</f>
        <v/>
      </c>
      <c r="O159" s="67" t="str">
        <f aca="false">IF($E159="","","自动A")</f>
        <v/>
      </c>
      <c r="P159" s="18"/>
    </row>
    <row r="160" customFormat="false" ht="18" hidden="false" customHeight="true" outlineLevel="0" collapsed="false">
      <c r="A160" s="107" t="str">
        <f aca="false">IF($E160="","",ROW()-3)</f>
        <v/>
      </c>
      <c r="B160" s="110" t="str">
        <f aca="false">IF($E160="","",INDEX(进销存对接!$C$4:$C$305,53))</f>
        <v/>
      </c>
      <c r="C160" s="67" t="str">
        <f aca="false">IF($E160="","","记-"&amp;TEXT($B160,"YYYYMM")&amp;"-进销存")</f>
        <v/>
      </c>
      <c r="D160" s="107" t="str">
        <f aca="false">IF($E160="","",INDEX(进销存对接!$D$4:$D$305,53)&amp;" "&amp;TEXT($B160,"YYYY年M月")&amp;" 自动结转")</f>
        <v/>
      </c>
      <c r="E160" s="67" t="str">
        <f aca="false">IF(INDEX(进销存对接!$M$4:$U$305,53,1)=0,"",INDEX(进销存对接!$M$4:$U$305,53,1))</f>
        <v/>
      </c>
      <c r="F160" s="99" t="str">
        <f aca="false">IF($E160="","",IFERROR(INDEX(科目表!$A$4:$A$81,MATCH($E160,科目表!$B$4:$B$81,0)),""))</f>
        <v/>
      </c>
      <c r="G160" s="67" t="str">
        <f aca="false">IF($E160="","",IFERROR(INDEX(科目表!$E$4:$E$81,MATCH($E160,科目表!$B$4:$B$81,0)),""))</f>
        <v/>
      </c>
      <c r="H160" s="70" t="str">
        <f aca="false">IF($E160="","",N(INDEX(进销存对接!$M$4:$U$305,53,2)))</f>
        <v/>
      </c>
      <c r="I160" s="70" t="str">
        <f aca="false">IF($E160="","",N(INDEX(进销存对接!$M$4:$U$305,53,3)))</f>
        <v/>
      </c>
      <c r="J160" s="67"/>
      <c r="K160" s="67" t="str">
        <f aca="false">IF($E160="","",INDEX(进销存对接!$D$4:$D$305,53))</f>
        <v/>
      </c>
      <c r="L160" s="107"/>
      <c r="M160" s="107"/>
      <c r="N160" s="67" t="str">
        <f aca="false">IF($E160="","","系统")</f>
        <v/>
      </c>
      <c r="O160" s="67" t="str">
        <f aca="false">IF($E160="","","自动A")</f>
        <v/>
      </c>
      <c r="P160" s="18"/>
    </row>
    <row r="161" customFormat="false" ht="18" hidden="false" customHeight="true" outlineLevel="0" collapsed="false">
      <c r="A161" s="107" t="str">
        <f aca="false">IF($E161="","",ROW()-3)</f>
        <v/>
      </c>
      <c r="B161" s="110" t="str">
        <f aca="false">IF($E161="","",INDEX(进销存对接!$C$4:$C$305,53))</f>
        <v/>
      </c>
      <c r="C161" s="67" t="str">
        <f aca="false">IF($E161="","","记-"&amp;TEXT($B161,"YYYYMM")&amp;"-进销存")</f>
        <v/>
      </c>
      <c r="D161" s="107" t="str">
        <f aca="false">IF($E161="","",INDEX(进销存对接!$D$4:$D$305,53)&amp;" "&amp;TEXT($B161,"YYYY年M月")&amp;" 自动结转")</f>
        <v/>
      </c>
      <c r="E161" s="67" t="str">
        <f aca="false">IF(INDEX(进销存对接!$M$4:$U$305,53,4)=0,"",INDEX(进销存对接!$M$4:$U$305,53,4))</f>
        <v/>
      </c>
      <c r="F161" s="99" t="str">
        <f aca="false">IF($E161="","",IFERROR(INDEX(科目表!$A$4:$A$81,MATCH($E161,科目表!$B$4:$B$81,0)),""))</f>
        <v/>
      </c>
      <c r="G161" s="67" t="str">
        <f aca="false">IF($E161="","",IFERROR(INDEX(科目表!$E$4:$E$81,MATCH($E161,科目表!$B$4:$B$81,0)),""))</f>
        <v/>
      </c>
      <c r="H161" s="70" t="str">
        <f aca="false">IF($E161="","",N(INDEX(进销存对接!$M$4:$U$305,53,5)))</f>
        <v/>
      </c>
      <c r="I161" s="70" t="str">
        <f aca="false">IF($E161="","",N(INDEX(进销存对接!$M$4:$U$305,53,6)))</f>
        <v/>
      </c>
      <c r="J161" s="67"/>
      <c r="K161" s="67" t="str">
        <f aca="false">IF($E161="","",INDEX(进销存对接!$D$4:$D$305,53))</f>
        <v/>
      </c>
      <c r="L161" s="107"/>
      <c r="M161" s="107"/>
      <c r="N161" s="67" t="str">
        <f aca="false">IF($E161="","","系统")</f>
        <v/>
      </c>
      <c r="O161" s="67" t="str">
        <f aca="false">IF($E161="","","自动A")</f>
        <v/>
      </c>
      <c r="P161" s="18"/>
    </row>
    <row r="162" customFormat="false" ht="18" hidden="false" customHeight="true" outlineLevel="0" collapsed="false">
      <c r="A162" s="107" t="str">
        <f aca="false">IF($E162="","",ROW()-3)</f>
        <v/>
      </c>
      <c r="B162" s="110" t="str">
        <f aca="false">IF($E162="","",INDEX(进销存对接!$C$4:$C$305,53))</f>
        <v/>
      </c>
      <c r="C162" s="67" t="str">
        <f aca="false">IF($E162="","","记-"&amp;TEXT($B162,"YYYYMM")&amp;"-进销存")</f>
        <v/>
      </c>
      <c r="D162" s="107" t="str">
        <f aca="false">IF($E162="","",INDEX(进销存对接!$D$4:$D$305,53)&amp;" "&amp;TEXT($B162,"YYYY年M月")&amp;" 自动结转")</f>
        <v/>
      </c>
      <c r="E162" s="67" t="str">
        <f aca="false">IF(INDEX(进销存对接!$M$4:$U$305,53,7)=0,"",INDEX(进销存对接!$M$4:$U$305,53,7))</f>
        <v/>
      </c>
      <c r="F162" s="99" t="str">
        <f aca="false">IF($E162="","",IFERROR(INDEX(科目表!$A$4:$A$81,MATCH($E162,科目表!$B$4:$B$81,0)),""))</f>
        <v/>
      </c>
      <c r="G162" s="67" t="str">
        <f aca="false">IF($E162="","",IFERROR(INDEX(科目表!$E$4:$E$81,MATCH($E162,科目表!$B$4:$B$81,0)),""))</f>
        <v/>
      </c>
      <c r="H162" s="70" t="str">
        <f aca="false">IF($E162="","",N(INDEX(进销存对接!$M$4:$U$305,53,8)))</f>
        <v/>
      </c>
      <c r="I162" s="70" t="str">
        <f aca="false">IF($E162="","",N(INDEX(进销存对接!$M$4:$U$305,53,9)))</f>
        <v/>
      </c>
      <c r="J162" s="67"/>
      <c r="K162" s="67" t="str">
        <f aca="false">IF($E162="","",INDEX(进销存对接!$D$4:$D$305,53))</f>
        <v/>
      </c>
      <c r="L162" s="107"/>
      <c r="M162" s="107"/>
      <c r="N162" s="67" t="str">
        <f aca="false">IF($E162="","","系统")</f>
        <v/>
      </c>
      <c r="O162" s="67" t="str">
        <f aca="false">IF($E162="","","自动A")</f>
        <v/>
      </c>
      <c r="P162" s="18"/>
    </row>
    <row r="163" customFormat="false" ht="18" hidden="false" customHeight="true" outlineLevel="0" collapsed="false">
      <c r="A163" s="107" t="str">
        <f aca="false">IF($E163="","",ROW()-3)</f>
        <v/>
      </c>
      <c r="B163" s="110" t="str">
        <f aca="false">IF($E163="","",INDEX(进销存对接!$C$4:$C$305,54))</f>
        <v/>
      </c>
      <c r="C163" s="67" t="str">
        <f aca="false">IF($E163="","","记-"&amp;TEXT($B163,"YYYYMM")&amp;"-进销存")</f>
        <v/>
      </c>
      <c r="D163" s="107" t="str">
        <f aca="false">IF($E163="","",INDEX(进销存对接!$D$4:$D$305,54)&amp;" "&amp;TEXT($B163,"YYYY年M月")&amp;" 自动结转")</f>
        <v/>
      </c>
      <c r="E163" s="67" t="str">
        <f aca="false">IF(INDEX(进销存对接!$M$4:$U$305,54,1)=0,"",INDEX(进销存对接!$M$4:$U$305,54,1))</f>
        <v/>
      </c>
      <c r="F163" s="99" t="str">
        <f aca="false">IF($E163="","",IFERROR(INDEX(科目表!$A$4:$A$81,MATCH($E163,科目表!$B$4:$B$81,0)),""))</f>
        <v/>
      </c>
      <c r="G163" s="67" t="str">
        <f aca="false">IF($E163="","",IFERROR(INDEX(科目表!$E$4:$E$81,MATCH($E163,科目表!$B$4:$B$81,0)),""))</f>
        <v/>
      </c>
      <c r="H163" s="70" t="str">
        <f aca="false">IF($E163="","",N(INDEX(进销存对接!$M$4:$U$305,54,2)))</f>
        <v/>
      </c>
      <c r="I163" s="70" t="str">
        <f aca="false">IF($E163="","",N(INDEX(进销存对接!$M$4:$U$305,54,3)))</f>
        <v/>
      </c>
      <c r="J163" s="67"/>
      <c r="K163" s="67" t="str">
        <f aca="false">IF($E163="","",INDEX(进销存对接!$D$4:$D$305,54))</f>
        <v/>
      </c>
      <c r="L163" s="107"/>
      <c r="M163" s="107"/>
      <c r="N163" s="67" t="str">
        <f aca="false">IF($E163="","","系统")</f>
        <v/>
      </c>
      <c r="O163" s="67" t="str">
        <f aca="false">IF($E163="","","自动A")</f>
        <v/>
      </c>
      <c r="P163" s="18"/>
    </row>
    <row r="164" customFormat="false" ht="18" hidden="false" customHeight="true" outlineLevel="0" collapsed="false">
      <c r="A164" s="107" t="str">
        <f aca="false">IF($E164="","",ROW()-3)</f>
        <v/>
      </c>
      <c r="B164" s="110" t="str">
        <f aca="false">IF($E164="","",INDEX(进销存对接!$C$4:$C$305,54))</f>
        <v/>
      </c>
      <c r="C164" s="67" t="str">
        <f aca="false">IF($E164="","","记-"&amp;TEXT($B164,"YYYYMM")&amp;"-进销存")</f>
        <v/>
      </c>
      <c r="D164" s="107" t="str">
        <f aca="false">IF($E164="","",INDEX(进销存对接!$D$4:$D$305,54)&amp;" "&amp;TEXT($B164,"YYYY年M月")&amp;" 自动结转")</f>
        <v/>
      </c>
      <c r="E164" s="67" t="str">
        <f aca="false">IF(INDEX(进销存对接!$M$4:$U$305,54,4)=0,"",INDEX(进销存对接!$M$4:$U$305,54,4))</f>
        <v/>
      </c>
      <c r="F164" s="99" t="str">
        <f aca="false">IF($E164="","",IFERROR(INDEX(科目表!$A$4:$A$81,MATCH($E164,科目表!$B$4:$B$81,0)),""))</f>
        <v/>
      </c>
      <c r="G164" s="67" t="str">
        <f aca="false">IF($E164="","",IFERROR(INDEX(科目表!$E$4:$E$81,MATCH($E164,科目表!$B$4:$B$81,0)),""))</f>
        <v/>
      </c>
      <c r="H164" s="70" t="str">
        <f aca="false">IF($E164="","",N(INDEX(进销存对接!$M$4:$U$305,54,5)))</f>
        <v/>
      </c>
      <c r="I164" s="70" t="str">
        <f aca="false">IF($E164="","",N(INDEX(进销存对接!$M$4:$U$305,54,6)))</f>
        <v/>
      </c>
      <c r="J164" s="67"/>
      <c r="K164" s="67" t="str">
        <f aca="false">IF($E164="","",INDEX(进销存对接!$D$4:$D$305,54))</f>
        <v/>
      </c>
      <c r="L164" s="107"/>
      <c r="M164" s="107"/>
      <c r="N164" s="67" t="str">
        <f aca="false">IF($E164="","","系统")</f>
        <v/>
      </c>
      <c r="O164" s="67" t="str">
        <f aca="false">IF($E164="","","自动A")</f>
        <v/>
      </c>
      <c r="P164" s="18"/>
    </row>
    <row r="165" customFormat="false" ht="18" hidden="false" customHeight="true" outlineLevel="0" collapsed="false">
      <c r="A165" s="107" t="str">
        <f aca="false">IF($E165="","",ROW()-3)</f>
        <v/>
      </c>
      <c r="B165" s="110" t="str">
        <f aca="false">IF($E165="","",INDEX(进销存对接!$C$4:$C$305,54))</f>
        <v/>
      </c>
      <c r="C165" s="67" t="str">
        <f aca="false">IF($E165="","","记-"&amp;TEXT($B165,"YYYYMM")&amp;"-进销存")</f>
        <v/>
      </c>
      <c r="D165" s="107" t="str">
        <f aca="false">IF($E165="","",INDEX(进销存对接!$D$4:$D$305,54)&amp;" "&amp;TEXT($B165,"YYYY年M月")&amp;" 自动结转")</f>
        <v/>
      </c>
      <c r="E165" s="67" t="str">
        <f aca="false">IF(INDEX(进销存对接!$M$4:$U$305,54,7)=0,"",INDEX(进销存对接!$M$4:$U$305,54,7))</f>
        <v/>
      </c>
      <c r="F165" s="99" t="str">
        <f aca="false">IF($E165="","",IFERROR(INDEX(科目表!$A$4:$A$81,MATCH($E165,科目表!$B$4:$B$81,0)),""))</f>
        <v/>
      </c>
      <c r="G165" s="67" t="str">
        <f aca="false">IF($E165="","",IFERROR(INDEX(科目表!$E$4:$E$81,MATCH($E165,科目表!$B$4:$B$81,0)),""))</f>
        <v/>
      </c>
      <c r="H165" s="70" t="str">
        <f aca="false">IF($E165="","",N(INDEX(进销存对接!$M$4:$U$305,54,8)))</f>
        <v/>
      </c>
      <c r="I165" s="70" t="str">
        <f aca="false">IF($E165="","",N(INDEX(进销存对接!$M$4:$U$305,54,9)))</f>
        <v/>
      </c>
      <c r="J165" s="67"/>
      <c r="K165" s="67" t="str">
        <f aca="false">IF($E165="","",INDEX(进销存对接!$D$4:$D$305,54))</f>
        <v/>
      </c>
      <c r="L165" s="107"/>
      <c r="M165" s="107"/>
      <c r="N165" s="67" t="str">
        <f aca="false">IF($E165="","","系统")</f>
        <v/>
      </c>
      <c r="O165" s="67" t="str">
        <f aca="false">IF($E165="","","自动A")</f>
        <v/>
      </c>
      <c r="P165" s="18"/>
    </row>
    <row r="166" customFormat="false" ht="18" hidden="false" customHeight="true" outlineLevel="0" collapsed="false">
      <c r="A166" s="107" t="str">
        <f aca="false">IF($E166="","",ROW()-3)</f>
        <v/>
      </c>
      <c r="B166" s="110" t="str">
        <f aca="false">IF($E166="","",INDEX(进销存对接!$C$4:$C$305,55))</f>
        <v/>
      </c>
      <c r="C166" s="67" t="str">
        <f aca="false">IF($E166="","","记-"&amp;TEXT($B166,"YYYYMM")&amp;"-进销存")</f>
        <v/>
      </c>
      <c r="D166" s="107" t="str">
        <f aca="false">IF($E166="","",INDEX(进销存对接!$D$4:$D$305,55)&amp;" "&amp;TEXT($B166,"YYYY年M月")&amp;" 自动结转")</f>
        <v/>
      </c>
      <c r="E166" s="67" t="str">
        <f aca="false">IF(INDEX(进销存对接!$M$4:$U$305,55,1)=0,"",INDEX(进销存对接!$M$4:$U$305,55,1))</f>
        <v/>
      </c>
      <c r="F166" s="99" t="str">
        <f aca="false">IF($E166="","",IFERROR(INDEX(科目表!$A$4:$A$81,MATCH($E166,科目表!$B$4:$B$81,0)),""))</f>
        <v/>
      </c>
      <c r="G166" s="67" t="str">
        <f aca="false">IF($E166="","",IFERROR(INDEX(科目表!$E$4:$E$81,MATCH($E166,科目表!$B$4:$B$81,0)),""))</f>
        <v/>
      </c>
      <c r="H166" s="70" t="str">
        <f aca="false">IF($E166="","",N(INDEX(进销存对接!$M$4:$U$305,55,2)))</f>
        <v/>
      </c>
      <c r="I166" s="70" t="str">
        <f aca="false">IF($E166="","",N(INDEX(进销存对接!$M$4:$U$305,55,3)))</f>
        <v/>
      </c>
      <c r="J166" s="67"/>
      <c r="K166" s="67" t="str">
        <f aca="false">IF($E166="","",INDEX(进销存对接!$D$4:$D$305,55))</f>
        <v/>
      </c>
      <c r="L166" s="107"/>
      <c r="M166" s="107"/>
      <c r="N166" s="67" t="str">
        <f aca="false">IF($E166="","","系统")</f>
        <v/>
      </c>
      <c r="O166" s="67" t="str">
        <f aca="false">IF($E166="","","自动A")</f>
        <v/>
      </c>
      <c r="P166" s="18"/>
    </row>
    <row r="167" customFormat="false" ht="18" hidden="false" customHeight="true" outlineLevel="0" collapsed="false">
      <c r="A167" s="107" t="str">
        <f aca="false">IF($E167="","",ROW()-3)</f>
        <v/>
      </c>
      <c r="B167" s="110" t="str">
        <f aca="false">IF($E167="","",INDEX(进销存对接!$C$4:$C$305,55))</f>
        <v/>
      </c>
      <c r="C167" s="67" t="str">
        <f aca="false">IF($E167="","","记-"&amp;TEXT($B167,"YYYYMM")&amp;"-进销存")</f>
        <v/>
      </c>
      <c r="D167" s="107" t="str">
        <f aca="false">IF($E167="","",INDEX(进销存对接!$D$4:$D$305,55)&amp;" "&amp;TEXT($B167,"YYYY年M月")&amp;" 自动结转")</f>
        <v/>
      </c>
      <c r="E167" s="67" t="str">
        <f aca="false">IF(INDEX(进销存对接!$M$4:$U$305,55,4)=0,"",INDEX(进销存对接!$M$4:$U$305,55,4))</f>
        <v/>
      </c>
      <c r="F167" s="99" t="str">
        <f aca="false">IF($E167="","",IFERROR(INDEX(科目表!$A$4:$A$81,MATCH($E167,科目表!$B$4:$B$81,0)),""))</f>
        <v/>
      </c>
      <c r="G167" s="67" t="str">
        <f aca="false">IF($E167="","",IFERROR(INDEX(科目表!$E$4:$E$81,MATCH($E167,科目表!$B$4:$B$81,0)),""))</f>
        <v/>
      </c>
      <c r="H167" s="70" t="str">
        <f aca="false">IF($E167="","",N(INDEX(进销存对接!$M$4:$U$305,55,5)))</f>
        <v/>
      </c>
      <c r="I167" s="70" t="str">
        <f aca="false">IF($E167="","",N(INDEX(进销存对接!$M$4:$U$305,55,6)))</f>
        <v/>
      </c>
      <c r="J167" s="67"/>
      <c r="K167" s="67" t="str">
        <f aca="false">IF($E167="","",INDEX(进销存对接!$D$4:$D$305,55))</f>
        <v/>
      </c>
      <c r="L167" s="107"/>
      <c r="M167" s="107"/>
      <c r="N167" s="67" t="str">
        <f aca="false">IF($E167="","","系统")</f>
        <v/>
      </c>
      <c r="O167" s="67" t="str">
        <f aca="false">IF($E167="","","自动A")</f>
        <v/>
      </c>
      <c r="P167" s="18"/>
    </row>
    <row r="168" customFormat="false" ht="18" hidden="false" customHeight="true" outlineLevel="0" collapsed="false">
      <c r="A168" s="107" t="str">
        <f aca="false">IF($E168="","",ROW()-3)</f>
        <v/>
      </c>
      <c r="B168" s="110" t="str">
        <f aca="false">IF($E168="","",INDEX(进销存对接!$C$4:$C$305,55))</f>
        <v/>
      </c>
      <c r="C168" s="67" t="str">
        <f aca="false">IF($E168="","","记-"&amp;TEXT($B168,"YYYYMM")&amp;"-进销存")</f>
        <v/>
      </c>
      <c r="D168" s="107" t="str">
        <f aca="false">IF($E168="","",INDEX(进销存对接!$D$4:$D$305,55)&amp;" "&amp;TEXT($B168,"YYYY年M月")&amp;" 自动结转")</f>
        <v/>
      </c>
      <c r="E168" s="67" t="str">
        <f aca="false">IF(INDEX(进销存对接!$M$4:$U$305,55,7)=0,"",INDEX(进销存对接!$M$4:$U$305,55,7))</f>
        <v/>
      </c>
      <c r="F168" s="99" t="str">
        <f aca="false">IF($E168="","",IFERROR(INDEX(科目表!$A$4:$A$81,MATCH($E168,科目表!$B$4:$B$81,0)),""))</f>
        <v/>
      </c>
      <c r="G168" s="67" t="str">
        <f aca="false">IF($E168="","",IFERROR(INDEX(科目表!$E$4:$E$81,MATCH($E168,科目表!$B$4:$B$81,0)),""))</f>
        <v/>
      </c>
      <c r="H168" s="70" t="str">
        <f aca="false">IF($E168="","",N(INDEX(进销存对接!$M$4:$U$305,55,8)))</f>
        <v/>
      </c>
      <c r="I168" s="70" t="str">
        <f aca="false">IF($E168="","",N(INDEX(进销存对接!$M$4:$U$305,55,9)))</f>
        <v/>
      </c>
      <c r="J168" s="67"/>
      <c r="K168" s="67" t="str">
        <f aca="false">IF($E168="","",INDEX(进销存对接!$D$4:$D$305,55))</f>
        <v/>
      </c>
      <c r="L168" s="107"/>
      <c r="M168" s="107"/>
      <c r="N168" s="67" t="str">
        <f aca="false">IF($E168="","","系统")</f>
        <v/>
      </c>
      <c r="O168" s="67" t="str">
        <f aca="false">IF($E168="","","自动A")</f>
        <v/>
      </c>
      <c r="P168" s="18"/>
    </row>
    <row r="169" customFormat="false" ht="18" hidden="false" customHeight="true" outlineLevel="0" collapsed="false">
      <c r="A169" s="107" t="str">
        <f aca="false">IF($E169="","",ROW()-3)</f>
        <v/>
      </c>
      <c r="B169" s="110" t="str">
        <f aca="false">IF($E169="","",INDEX(进销存对接!$C$4:$C$305,56))</f>
        <v/>
      </c>
      <c r="C169" s="67" t="str">
        <f aca="false">IF($E169="","","记-"&amp;TEXT($B169,"YYYYMM")&amp;"-进销存")</f>
        <v/>
      </c>
      <c r="D169" s="107" t="str">
        <f aca="false">IF($E169="","",INDEX(进销存对接!$D$4:$D$305,56)&amp;" "&amp;TEXT($B169,"YYYY年M月")&amp;" 自动结转")</f>
        <v/>
      </c>
      <c r="E169" s="67" t="str">
        <f aca="false">IF(INDEX(进销存对接!$M$4:$U$305,56,1)=0,"",INDEX(进销存对接!$M$4:$U$305,56,1))</f>
        <v/>
      </c>
      <c r="F169" s="99" t="str">
        <f aca="false">IF($E169="","",IFERROR(INDEX(科目表!$A$4:$A$81,MATCH($E169,科目表!$B$4:$B$81,0)),""))</f>
        <v/>
      </c>
      <c r="G169" s="67" t="str">
        <f aca="false">IF($E169="","",IFERROR(INDEX(科目表!$E$4:$E$81,MATCH($E169,科目表!$B$4:$B$81,0)),""))</f>
        <v/>
      </c>
      <c r="H169" s="70" t="str">
        <f aca="false">IF($E169="","",N(INDEX(进销存对接!$M$4:$U$305,56,2)))</f>
        <v/>
      </c>
      <c r="I169" s="70" t="str">
        <f aca="false">IF($E169="","",N(INDEX(进销存对接!$M$4:$U$305,56,3)))</f>
        <v/>
      </c>
      <c r="J169" s="67"/>
      <c r="K169" s="67" t="str">
        <f aca="false">IF($E169="","",INDEX(进销存对接!$D$4:$D$305,56))</f>
        <v/>
      </c>
      <c r="L169" s="107"/>
      <c r="M169" s="107"/>
      <c r="N169" s="67" t="str">
        <f aca="false">IF($E169="","","系统")</f>
        <v/>
      </c>
      <c r="O169" s="67" t="str">
        <f aca="false">IF($E169="","","自动A")</f>
        <v/>
      </c>
      <c r="P169" s="18"/>
    </row>
    <row r="170" customFormat="false" ht="18" hidden="false" customHeight="true" outlineLevel="0" collapsed="false">
      <c r="A170" s="107" t="str">
        <f aca="false">IF($E170="","",ROW()-3)</f>
        <v/>
      </c>
      <c r="B170" s="110" t="str">
        <f aca="false">IF($E170="","",INDEX(进销存对接!$C$4:$C$305,56))</f>
        <v/>
      </c>
      <c r="C170" s="67" t="str">
        <f aca="false">IF($E170="","","记-"&amp;TEXT($B170,"YYYYMM")&amp;"-进销存")</f>
        <v/>
      </c>
      <c r="D170" s="107" t="str">
        <f aca="false">IF($E170="","",INDEX(进销存对接!$D$4:$D$305,56)&amp;" "&amp;TEXT($B170,"YYYY年M月")&amp;" 自动结转")</f>
        <v/>
      </c>
      <c r="E170" s="67" t="str">
        <f aca="false">IF(INDEX(进销存对接!$M$4:$U$305,56,4)=0,"",INDEX(进销存对接!$M$4:$U$305,56,4))</f>
        <v/>
      </c>
      <c r="F170" s="99" t="str">
        <f aca="false">IF($E170="","",IFERROR(INDEX(科目表!$A$4:$A$81,MATCH($E170,科目表!$B$4:$B$81,0)),""))</f>
        <v/>
      </c>
      <c r="G170" s="67" t="str">
        <f aca="false">IF($E170="","",IFERROR(INDEX(科目表!$E$4:$E$81,MATCH($E170,科目表!$B$4:$B$81,0)),""))</f>
        <v/>
      </c>
      <c r="H170" s="70" t="str">
        <f aca="false">IF($E170="","",N(INDEX(进销存对接!$M$4:$U$305,56,5)))</f>
        <v/>
      </c>
      <c r="I170" s="70" t="str">
        <f aca="false">IF($E170="","",N(INDEX(进销存对接!$M$4:$U$305,56,6)))</f>
        <v/>
      </c>
      <c r="J170" s="67"/>
      <c r="K170" s="67" t="str">
        <f aca="false">IF($E170="","",INDEX(进销存对接!$D$4:$D$305,56))</f>
        <v/>
      </c>
      <c r="L170" s="107"/>
      <c r="M170" s="107"/>
      <c r="N170" s="67" t="str">
        <f aca="false">IF($E170="","","系统")</f>
        <v/>
      </c>
      <c r="O170" s="67" t="str">
        <f aca="false">IF($E170="","","自动A")</f>
        <v/>
      </c>
      <c r="P170" s="18"/>
    </row>
    <row r="171" customFormat="false" ht="18" hidden="false" customHeight="true" outlineLevel="0" collapsed="false">
      <c r="A171" s="107" t="str">
        <f aca="false">IF($E171="","",ROW()-3)</f>
        <v/>
      </c>
      <c r="B171" s="110" t="str">
        <f aca="false">IF($E171="","",INDEX(进销存对接!$C$4:$C$305,56))</f>
        <v/>
      </c>
      <c r="C171" s="67" t="str">
        <f aca="false">IF($E171="","","记-"&amp;TEXT($B171,"YYYYMM")&amp;"-进销存")</f>
        <v/>
      </c>
      <c r="D171" s="107" t="str">
        <f aca="false">IF($E171="","",INDEX(进销存对接!$D$4:$D$305,56)&amp;" "&amp;TEXT($B171,"YYYY年M月")&amp;" 自动结转")</f>
        <v/>
      </c>
      <c r="E171" s="67" t="str">
        <f aca="false">IF(INDEX(进销存对接!$M$4:$U$305,56,7)=0,"",INDEX(进销存对接!$M$4:$U$305,56,7))</f>
        <v/>
      </c>
      <c r="F171" s="99" t="str">
        <f aca="false">IF($E171="","",IFERROR(INDEX(科目表!$A$4:$A$81,MATCH($E171,科目表!$B$4:$B$81,0)),""))</f>
        <v/>
      </c>
      <c r="G171" s="67" t="str">
        <f aca="false">IF($E171="","",IFERROR(INDEX(科目表!$E$4:$E$81,MATCH($E171,科目表!$B$4:$B$81,0)),""))</f>
        <v/>
      </c>
      <c r="H171" s="70" t="str">
        <f aca="false">IF($E171="","",N(INDEX(进销存对接!$M$4:$U$305,56,8)))</f>
        <v/>
      </c>
      <c r="I171" s="70" t="str">
        <f aca="false">IF($E171="","",N(INDEX(进销存对接!$M$4:$U$305,56,9)))</f>
        <v/>
      </c>
      <c r="J171" s="67"/>
      <c r="K171" s="67" t="str">
        <f aca="false">IF($E171="","",INDEX(进销存对接!$D$4:$D$305,56))</f>
        <v/>
      </c>
      <c r="L171" s="107"/>
      <c r="M171" s="107"/>
      <c r="N171" s="67" t="str">
        <f aca="false">IF($E171="","","系统")</f>
        <v/>
      </c>
      <c r="O171" s="67" t="str">
        <f aca="false">IF($E171="","","自动A")</f>
        <v/>
      </c>
      <c r="P171" s="18"/>
    </row>
    <row r="172" customFormat="false" ht="18" hidden="false" customHeight="true" outlineLevel="0" collapsed="false">
      <c r="A172" s="107" t="str">
        <f aca="false">IF($E172="","",ROW()-3)</f>
        <v/>
      </c>
      <c r="B172" s="110" t="str">
        <f aca="false">IF($E172="","",INDEX(进销存对接!$C$4:$C$305,57))</f>
        <v/>
      </c>
      <c r="C172" s="67" t="str">
        <f aca="false">IF($E172="","","记-"&amp;TEXT($B172,"YYYYMM")&amp;"-进销存")</f>
        <v/>
      </c>
      <c r="D172" s="107" t="str">
        <f aca="false">IF($E172="","",INDEX(进销存对接!$D$4:$D$305,57)&amp;" "&amp;TEXT($B172,"YYYY年M月")&amp;" 自动结转")</f>
        <v/>
      </c>
      <c r="E172" s="67" t="str">
        <f aca="false">IF(INDEX(进销存对接!$M$4:$U$305,57,1)=0,"",INDEX(进销存对接!$M$4:$U$305,57,1))</f>
        <v/>
      </c>
      <c r="F172" s="99" t="str">
        <f aca="false">IF($E172="","",IFERROR(INDEX(科目表!$A$4:$A$81,MATCH($E172,科目表!$B$4:$B$81,0)),""))</f>
        <v/>
      </c>
      <c r="G172" s="67" t="str">
        <f aca="false">IF($E172="","",IFERROR(INDEX(科目表!$E$4:$E$81,MATCH($E172,科目表!$B$4:$B$81,0)),""))</f>
        <v/>
      </c>
      <c r="H172" s="70" t="str">
        <f aca="false">IF($E172="","",N(INDEX(进销存对接!$M$4:$U$305,57,2)))</f>
        <v/>
      </c>
      <c r="I172" s="70" t="str">
        <f aca="false">IF($E172="","",N(INDEX(进销存对接!$M$4:$U$305,57,3)))</f>
        <v/>
      </c>
      <c r="J172" s="67"/>
      <c r="K172" s="67" t="str">
        <f aca="false">IF($E172="","",INDEX(进销存对接!$D$4:$D$305,57))</f>
        <v/>
      </c>
      <c r="L172" s="107"/>
      <c r="M172" s="107"/>
      <c r="N172" s="67" t="str">
        <f aca="false">IF($E172="","","系统")</f>
        <v/>
      </c>
      <c r="O172" s="67" t="str">
        <f aca="false">IF($E172="","","自动A")</f>
        <v/>
      </c>
      <c r="P172" s="18"/>
    </row>
    <row r="173" customFormat="false" ht="18" hidden="false" customHeight="true" outlineLevel="0" collapsed="false">
      <c r="A173" s="107" t="str">
        <f aca="false">IF($E173="","",ROW()-3)</f>
        <v/>
      </c>
      <c r="B173" s="110" t="str">
        <f aca="false">IF($E173="","",INDEX(进销存对接!$C$4:$C$305,57))</f>
        <v/>
      </c>
      <c r="C173" s="67" t="str">
        <f aca="false">IF($E173="","","记-"&amp;TEXT($B173,"YYYYMM")&amp;"-进销存")</f>
        <v/>
      </c>
      <c r="D173" s="107" t="str">
        <f aca="false">IF($E173="","",INDEX(进销存对接!$D$4:$D$305,57)&amp;" "&amp;TEXT($B173,"YYYY年M月")&amp;" 自动结转")</f>
        <v/>
      </c>
      <c r="E173" s="67" t="str">
        <f aca="false">IF(INDEX(进销存对接!$M$4:$U$305,57,4)=0,"",INDEX(进销存对接!$M$4:$U$305,57,4))</f>
        <v/>
      </c>
      <c r="F173" s="99" t="str">
        <f aca="false">IF($E173="","",IFERROR(INDEX(科目表!$A$4:$A$81,MATCH($E173,科目表!$B$4:$B$81,0)),""))</f>
        <v/>
      </c>
      <c r="G173" s="67" t="str">
        <f aca="false">IF($E173="","",IFERROR(INDEX(科目表!$E$4:$E$81,MATCH($E173,科目表!$B$4:$B$81,0)),""))</f>
        <v/>
      </c>
      <c r="H173" s="70" t="str">
        <f aca="false">IF($E173="","",N(INDEX(进销存对接!$M$4:$U$305,57,5)))</f>
        <v/>
      </c>
      <c r="I173" s="70" t="str">
        <f aca="false">IF($E173="","",N(INDEX(进销存对接!$M$4:$U$305,57,6)))</f>
        <v/>
      </c>
      <c r="J173" s="67"/>
      <c r="K173" s="67" t="str">
        <f aca="false">IF($E173="","",INDEX(进销存对接!$D$4:$D$305,57))</f>
        <v/>
      </c>
      <c r="L173" s="107"/>
      <c r="M173" s="107"/>
      <c r="N173" s="67" t="str">
        <f aca="false">IF($E173="","","系统")</f>
        <v/>
      </c>
      <c r="O173" s="67" t="str">
        <f aca="false">IF($E173="","","自动A")</f>
        <v/>
      </c>
      <c r="P173" s="18"/>
    </row>
    <row r="174" customFormat="false" ht="18" hidden="false" customHeight="true" outlineLevel="0" collapsed="false">
      <c r="A174" s="107" t="str">
        <f aca="false">IF($E174="","",ROW()-3)</f>
        <v/>
      </c>
      <c r="B174" s="110" t="str">
        <f aca="false">IF($E174="","",INDEX(进销存对接!$C$4:$C$305,57))</f>
        <v/>
      </c>
      <c r="C174" s="67" t="str">
        <f aca="false">IF($E174="","","记-"&amp;TEXT($B174,"YYYYMM")&amp;"-进销存")</f>
        <v/>
      </c>
      <c r="D174" s="107" t="str">
        <f aca="false">IF($E174="","",INDEX(进销存对接!$D$4:$D$305,57)&amp;" "&amp;TEXT($B174,"YYYY年M月")&amp;" 自动结转")</f>
        <v/>
      </c>
      <c r="E174" s="67" t="str">
        <f aca="false">IF(INDEX(进销存对接!$M$4:$U$305,57,7)=0,"",INDEX(进销存对接!$M$4:$U$305,57,7))</f>
        <v/>
      </c>
      <c r="F174" s="99" t="str">
        <f aca="false">IF($E174="","",IFERROR(INDEX(科目表!$A$4:$A$81,MATCH($E174,科目表!$B$4:$B$81,0)),""))</f>
        <v/>
      </c>
      <c r="G174" s="67" t="str">
        <f aca="false">IF($E174="","",IFERROR(INDEX(科目表!$E$4:$E$81,MATCH($E174,科目表!$B$4:$B$81,0)),""))</f>
        <v/>
      </c>
      <c r="H174" s="70" t="str">
        <f aca="false">IF($E174="","",N(INDEX(进销存对接!$M$4:$U$305,57,8)))</f>
        <v/>
      </c>
      <c r="I174" s="70" t="str">
        <f aca="false">IF($E174="","",N(INDEX(进销存对接!$M$4:$U$305,57,9)))</f>
        <v/>
      </c>
      <c r="J174" s="67"/>
      <c r="K174" s="67" t="str">
        <f aca="false">IF($E174="","",INDEX(进销存对接!$D$4:$D$305,57))</f>
        <v/>
      </c>
      <c r="L174" s="107"/>
      <c r="M174" s="107"/>
      <c r="N174" s="67" t="str">
        <f aca="false">IF($E174="","","系统")</f>
        <v/>
      </c>
      <c r="O174" s="67" t="str">
        <f aca="false">IF($E174="","","自动A")</f>
        <v/>
      </c>
      <c r="P174" s="18"/>
    </row>
    <row r="175" customFormat="false" ht="18" hidden="false" customHeight="true" outlineLevel="0" collapsed="false">
      <c r="A175" s="107" t="str">
        <f aca="false">IF($E175="","",ROW()-3)</f>
        <v/>
      </c>
      <c r="B175" s="110" t="str">
        <f aca="false">IF($E175="","",INDEX(进销存对接!$C$4:$C$305,58))</f>
        <v/>
      </c>
      <c r="C175" s="67" t="str">
        <f aca="false">IF($E175="","","记-"&amp;TEXT($B175,"YYYYMM")&amp;"-进销存")</f>
        <v/>
      </c>
      <c r="D175" s="107" t="str">
        <f aca="false">IF($E175="","",INDEX(进销存对接!$D$4:$D$305,58)&amp;" "&amp;TEXT($B175,"YYYY年M月")&amp;" 自动结转")</f>
        <v/>
      </c>
      <c r="E175" s="67" t="str">
        <f aca="false">IF(INDEX(进销存对接!$M$4:$U$305,58,1)=0,"",INDEX(进销存对接!$M$4:$U$305,58,1))</f>
        <v/>
      </c>
      <c r="F175" s="99" t="str">
        <f aca="false">IF($E175="","",IFERROR(INDEX(科目表!$A$4:$A$81,MATCH($E175,科目表!$B$4:$B$81,0)),""))</f>
        <v/>
      </c>
      <c r="G175" s="67" t="str">
        <f aca="false">IF($E175="","",IFERROR(INDEX(科目表!$E$4:$E$81,MATCH($E175,科目表!$B$4:$B$81,0)),""))</f>
        <v/>
      </c>
      <c r="H175" s="70" t="str">
        <f aca="false">IF($E175="","",N(INDEX(进销存对接!$M$4:$U$305,58,2)))</f>
        <v/>
      </c>
      <c r="I175" s="70" t="str">
        <f aca="false">IF($E175="","",N(INDEX(进销存对接!$M$4:$U$305,58,3)))</f>
        <v/>
      </c>
      <c r="J175" s="67"/>
      <c r="K175" s="67" t="str">
        <f aca="false">IF($E175="","",INDEX(进销存对接!$D$4:$D$305,58))</f>
        <v/>
      </c>
      <c r="L175" s="107"/>
      <c r="M175" s="107"/>
      <c r="N175" s="67" t="str">
        <f aca="false">IF($E175="","","系统")</f>
        <v/>
      </c>
      <c r="O175" s="67" t="str">
        <f aca="false">IF($E175="","","自动A")</f>
        <v/>
      </c>
      <c r="P175" s="18"/>
    </row>
    <row r="176" customFormat="false" ht="18" hidden="false" customHeight="true" outlineLevel="0" collapsed="false">
      <c r="A176" s="107" t="str">
        <f aca="false">IF($E176="","",ROW()-3)</f>
        <v/>
      </c>
      <c r="B176" s="110" t="str">
        <f aca="false">IF($E176="","",INDEX(进销存对接!$C$4:$C$305,58))</f>
        <v/>
      </c>
      <c r="C176" s="67" t="str">
        <f aca="false">IF($E176="","","记-"&amp;TEXT($B176,"YYYYMM")&amp;"-进销存")</f>
        <v/>
      </c>
      <c r="D176" s="107" t="str">
        <f aca="false">IF($E176="","",INDEX(进销存对接!$D$4:$D$305,58)&amp;" "&amp;TEXT($B176,"YYYY年M月")&amp;" 自动结转")</f>
        <v/>
      </c>
      <c r="E176" s="67" t="str">
        <f aca="false">IF(INDEX(进销存对接!$M$4:$U$305,58,4)=0,"",INDEX(进销存对接!$M$4:$U$305,58,4))</f>
        <v/>
      </c>
      <c r="F176" s="99" t="str">
        <f aca="false">IF($E176="","",IFERROR(INDEX(科目表!$A$4:$A$81,MATCH($E176,科目表!$B$4:$B$81,0)),""))</f>
        <v/>
      </c>
      <c r="G176" s="67" t="str">
        <f aca="false">IF($E176="","",IFERROR(INDEX(科目表!$E$4:$E$81,MATCH($E176,科目表!$B$4:$B$81,0)),""))</f>
        <v/>
      </c>
      <c r="H176" s="70" t="str">
        <f aca="false">IF($E176="","",N(INDEX(进销存对接!$M$4:$U$305,58,5)))</f>
        <v/>
      </c>
      <c r="I176" s="70" t="str">
        <f aca="false">IF($E176="","",N(INDEX(进销存对接!$M$4:$U$305,58,6)))</f>
        <v/>
      </c>
      <c r="J176" s="67"/>
      <c r="K176" s="67" t="str">
        <f aca="false">IF($E176="","",INDEX(进销存对接!$D$4:$D$305,58))</f>
        <v/>
      </c>
      <c r="L176" s="107"/>
      <c r="M176" s="107"/>
      <c r="N176" s="67" t="str">
        <f aca="false">IF($E176="","","系统")</f>
        <v/>
      </c>
      <c r="O176" s="67" t="str">
        <f aca="false">IF($E176="","","自动A")</f>
        <v/>
      </c>
      <c r="P176" s="18"/>
    </row>
    <row r="177" customFormat="false" ht="18" hidden="false" customHeight="true" outlineLevel="0" collapsed="false">
      <c r="A177" s="107" t="str">
        <f aca="false">IF($E177="","",ROW()-3)</f>
        <v/>
      </c>
      <c r="B177" s="110" t="str">
        <f aca="false">IF($E177="","",INDEX(进销存对接!$C$4:$C$305,58))</f>
        <v/>
      </c>
      <c r="C177" s="67" t="str">
        <f aca="false">IF($E177="","","记-"&amp;TEXT($B177,"YYYYMM")&amp;"-进销存")</f>
        <v/>
      </c>
      <c r="D177" s="107" t="str">
        <f aca="false">IF($E177="","",INDEX(进销存对接!$D$4:$D$305,58)&amp;" "&amp;TEXT($B177,"YYYY年M月")&amp;" 自动结转")</f>
        <v/>
      </c>
      <c r="E177" s="67" t="str">
        <f aca="false">IF(INDEX(进销存对接!$M$4:$U$305,58,7)=0,"",INDEX(进销存对接!$M$4:$U$305,58,7))</f>
        <v/>
      </c>
      <c r="F177" s="99" t="str">
        <f aca="false">IF($E177="","",IFERROR(INDEX(科目表!$A$4:$A$81,MATCH($E177,科目表!$B$4:$B$81,0)),""))</f>
        <v/>
      </c>
      <c r="G177" s="67" t="str">
        <f aca="false">IF($E177="","",IFERROR(INDEX(科目表!$E$4:$E$81,MATCH($E177,科目表!$B$4:$B$81,0)),""))</f>
        <v/>
      </c>
      <c r="H177" s="70" t="str">
        <f aca="false">IF($E177="","",N(INDEX(进销存对接!$M$4:$U$305,58,8)))</f>
        <v/>
      </c>
      <c r="I177" s="70" t="str">
        <f aca="false">IF($E177="","",N(INDEX(进销存对接!$M$4:$U$305,58,9)))</f>
        <v/>
      </c>
      <c r="J177" s="67"/>
      <c r="K177" s="67" t="str">
        <f aca="false">IF($E177="","",INDEX(进销存对接!$D$4:$D$305,58))</f>
        <v/>
      </c>
      <c r="L177" s="107"/>
      <c r="M177" s="107"/>
      <c r="N177" s="67" t="str">
        <f aca="false">IF($E177="","","系统")</f>
        <v/>
      </c>
      <c r="O177" s="67" t="str">
        <f aca="false">IF($E177="","","自动A")</f>
        <v/>
      </c>
      <c r="P177" s="18"/>
    </row>
    <row r="178" customFormat="false" ht="18" hidden="false" customHeight="true" outlineLevel="0" collapsed="false">
      <c r="A178" s="107" t="str">
        <f aca="false">IF($E178="","",ROW()-3)</f>
        <v/>
      </c>
      <c r="B178" s="110" t="str">
        <f aca="false">IF($E178="","",INDEX(进销存对接!$C$4:$C$305,59))</f>
        <v/>
      </c>
      <c r="C178" s="67" t="str">
        <f aca="false">IF($E178="","","记-"&amp;TEXT($B178,"YYYYMM")&amp;"-进销存")</f>
        <v/>
      </c>
      <c r="D178" s="107" t="str">
        <f aca="false">IF($E178="","",INDEX(进销存对接!$D$4:$D$305,59)&amp;" "&amp;TEXT($B178,"YYYY年M月")&amp;" 自动结转")</f>
        <v/>
      </c>
      <c r="E178" s="67" t="str">
        <f aca="false">IF(INDEX(进销存对接!$M$4:$U$305,59,1)=0,"",INDEX(进销存对接!$M$4:$U$305,59,1))</f>
        <v/>
      </c>
      <c r="F178" s="99" t="str">
        <f aca="false">IF($E178="","",IFERROR(INDEX(科目表!$A$4:$A$81,MATCH($E178,科目表!$B$4:$B$81,0)),""))</f>
        <v/>
      </c>
      <c r="G178" s="67" t="str">
        <f aca="false">IF($E178="","",IFERROR(INDEX(科目表!$E$4:$E$81,MATCH($E178,科目表!$B$4:$B$81,0)),""))</f>
        <v/>
      </c>
      <c r="H178" s="70" t="str">
        <f aca="false">IF($E178="","",N(INDEX(进销存对接!$M$4:$U$305,59,2)))</f>
        <v/>
      </c>
      <c r="I178" s="70" t="str">
        <f aca="false">IF($E178="","",N(INDEX(进销存对接!$M$4:$U$305,59,3)))</f>
        <v/>
      </c>
      <c r="J178" s="67"/>
      <c r="K178" s="67" t="str">
        <f aca="false">IF($E178="","",INDEX(进销存对接!$D$4:$D$305,59))</f>
        <v/>
      </c>
      <c r="L178" s="107"/>
      <c r="M178" s="107"/>
      <c r="N178" s="67" t="str">
        <f aca="false">IF($E178="","","系统")</f>
        <v/>
      </c>
      <c r="O178" s="67" t="str">
        <f aca="false">IF($E178="","","自动A")</f>
        <v/>
      </c>
      <c r="P178" s="18"/>
    </row>
    <row r="179" customFormat="false" ht="18" hidden="false" customHeight="true" outlineLevel="0" collapsed="false">
      <c r="A179" s="107" t="str">
        <f aca="false">IF($E179="","",ROW()-3)</f>
        <v/>
      </c>
      <c r="B179" s="110" t="str">
        <f aca="false">IF($E179="","",INDEX(进销存对接!$C$4:$C$305,59))</f>
        <v/>
      </c>
      <c r="C179" s="67" t="str">
        <f aca="false">IF($E179="","","记-"&amp;TEXT($B179,"YYYYMM")&amp;"-进销存")</f>
        <v/>
      </c>
      <c r="D179" s="107" t="str">
        <f aca="false">IF($E179="","",INDEX(进销存对接!$D$4:$D$305,59)&amp;" "&amp;TEXT($B179,"YYYY年M月")&amp;" 自动结转")</f>
        <v/>
      </c>
      <c r="E179" s="67" t="str">
        <f aca="false">IF(INDEX(进销存对接!$M$4:$U$305,59,4)=0,"",INDEX(进销存对接!$M$4:$U$305,59,4))</f>
        <v/>
      </c>
      <c r="F179" s="99" t="str">
        <f aca="false">IF($E179="","",IFERROR(INDEX(科目表!$A$4:$A$81,MATCH($E179,科目表!$B$4:$B$81,0)),""))</f>
        <v/>
      </c>
      <c r="G179" s="67" t="str">
        <f aca="false">IF($E179="","",IFERROR(INDEX(科目表!$E$4:$E$81,MATCH($E179,科目表!$B$4:$B$81,0)),""))</f>
        <v/>
      </c>
      <c r="H179" s="70" t="str">
        <f aca="false">IF($E179="","",N(INDEX(进销存对接!$M$4:$U$305,59,5)))</f>
        <v/>
      </c>
      <c r="I179" s="70" t="str">
        <f aca="false">IF($E179="","",N(INDEX(进销存对接!$M$4:$U$305,59,6)))</f>
        <v/>
      </c>
      <c r="J179" s="67"/>
      <c r="K179" s="67" t="str">
        <f aca="false">IF($E179="","",INDEX(进销存对接!$D$4:$D$305,59))</f>
        <v/>
      </c>
      <c r="L179" s="107"/>
      <c r="M179" s="107"/>
      <c r="N179" s="67" t="str">
        <f aca="false">IF($E179="","","系统")</f>
        <v/>
      </c>
      <c r="O179" s="67" t="str">
        <f aca="false">IF($E179="","","自动A")</f>
        <v/>
      </c>
      <c r="P179" s="18"/>
    </row>
    <row r="180" customFormat="false" ht="18" hidden="false" customHeight="true" outlineLevel="0" collapsed="false">
      <c r="A180" s="107" t="str">
        <f aca="false">IF($E180="","",ROW()-3)</f>
        <v/>
      </c>
      <c r="B180" s="110" t="str">
        <f aca="false">IF($E180="","",INDEX(进销存对接!$C$4:$C$305,59))</f>
        <v/>
      </c>
      <c r="C180" s="67" t="str">
        <f aca="false">IF($E180="","","记-"&amp;TEXT($B180,"YYYYMM")&amp;"-进销存")</f>
        <v/>
      </c>
      <c r="D180" s="107" t="str">
        <f aca="false">IF($E180="","",INDEX(进销存对接!$D$4:$D$305,59)&amp;" "&amp;TEXT($B180,"YYYY年M月")&amp;" 自动结转")</f>
        <v/>
      </c>
      <c r="E180" s="67" t="str">
        <f aca="false">IF(INDEX(进销存对接!$M$4:$U$305,59,7)=0,"",INDEX(进销存对接!$M$4:$U$305,59,7))</f>
        <v/>
      </c>
      <c r="F180" s="99" t="str">
        <f aca="false">IF($E180="","",IFERROR(INDEX(科目表!$A$4:$A$81,MATCH($E180,科目表!$B$4:$B$81,0)),""))</f>
        <v/>
      </c>
      <c r="G180" s="67" t="str">
        <f aca="false">IF($E180="","",IFERROR(INDEX(科目表!$E$4:$E$81,MATCH($E180,科目表!$B$4:$B$81,0)),""))</f>
        <v/>
      </c>
      <c r="H180" s="70" t="str">
        <f aca="false">IF($E180="","",N(INDEX(进销存对接!$M$4:$U$305,59,8)))</f>
        <v/>
      </c>
      <c r="I180" s="70" t="str">
        <f aca="false">IF($E180="","",N(INDEX(进销存对接!$M$4:$U$305,59,9)))</f>
        <v/>
      </c>
      <c r="J180" s="67"/>
      <c r="K180" s="67" t="str">
        <f aca="false">IF($E180="","",INDEX(进销存对接!$D$4:$D$305,59))</f>
        <v/>
      </c>
      <c r="L180" s="107"/>
      <c r="M180" s="107"/>
      <c r="N180" s="67" t="str">
        <f aca="false">IF($E180="","","系统")</f>
        <v/>
      </c>
      <c r="O180" s="67" t="str">
        <f aca="false">IF($E180="","","自动A")</f>
        <v/>
      </c>
      <c r="P180" s="18"/>
    </row>
    <row r="181" customFormat="false" ht="18" hidden="false" customHeight="true" outlineLevel="0" collapsed="false">
      <c r="A181" s="107" t="str">
        <f aca="false">IF($E181="","",ROW()-3)</f>
        <v/>
      </c>
      <c r="B181" s="110" t="str">
        <f aca="false">IF($E181="","",INDEX(进销存对接!$C$4:$C$305,60))</f>
        <v/>
      </c>
      <c r="C181" s="67" t="str">
        <f aca="false">IF($E181="","","记-"&amp;TEXT($B181,"YYYYMM")&amp;"-进销存")</f>
        <v/>
      </c>
      <c r="D181" s="107" t="str">
        <f aca="false">IF($E181="","",INDEX(进销存对接!$D$4:$D$305,60)&amp;" "&amp;TEXT($B181,"YYYY年M月")&amp;" 自动结转")</f>
        <v/>
      </c>
      <c r="E181" s="67" t="str">
        <f aca="false">IF(INDEX(进销存对接!$M$4:$U$305,60,1)=0,"",INDEX(进销存对接!$M$4:$U$305,60,1))</f>
        <v/>
      </c>
      <c r="F181" s="99" t="str">
        <f aca="false">IF($E181="","",IFERROR(INDEX(科目表!$A$4:$A$81,MATCH($E181,科目表!$B$4:$B$81,0)),""))</f>
        <v/>
      </c>
      <c r="G181" s="67" t="str">
        <f aca="false">IF($E181="","",IFERROR(INDEX(科目表!$E$4:$E$81,MATCH($E181,科目表!$B$4:$B$81,0)),""))</f>
        <v/>
      </c>
      <c r="H181" s="70" t="str">
        <f aca="false">IF($E181="","",N(INDEX(进销存对接!$M$4:$U$305,60,2)))</f>
        <v/>
      </c>
      <c r="I181" s="70" t="str">
        <f aca="false">IF($E181="","",N(INDEX(进销存对接!$M$4:$U$305,60,3)))</f>
        <v/>
      </c>
      <c r="J181" s="67"/>
      <c r="K181" s="67" t="str">
        <f aca="false">IF($E181="","",INDEX(进销存对接!$D$4:$D$305,60))</f>
        <v/>
      </c>
      <c r="L181" s="107"/>
      <c r="M181" s="107"/>
      <c r="N181" s="67" t="str">
        <f aca="false">IF($E181="","","系统")</f>
        <v/>
      </c>
      <c r="O181" s="67" t="str">
        <f aca="false">IF($E181="","","自动A")</f>
        <v/>
      </c>
      <c r="P181" s="18"/>
    </row>
    <row r="182" customFormat="false" ht="18" hidden="false" customHeight="true" outlineLevel="0" collapsed="false">
      <c r="A182" s="107" t="str">
        <f aca="false">IF($E182="","",ROW()-3)</f>
        <v/>
      </c>
      <c r="B182" s="110" t="str">
        <f aca="false">IF($E182="","",INDEX(进销存对接!$C$4:$C$305,60))</f>
        <v/>
      </c>
      <c r="C182" s="67" t="str">
        <f aca="false">IF($E182="","","记-"&amp;TEXT($B182,"YYYYMM")&amp;"-进销存")</f>
        <v/>
      </c>
      <c r="D182" s="107" t="str">
        <f aca="false">IF($E182="","",INDEX(进销存对接!$D$4:$D$305,60)&amp;" "&amp;TEXT($B182,"YYYY年M月")&amp;" 自动结转")</f>
        <v/>
      </c>
      <c r="E182" s="67" t="str">
        <f aca="false">IF(INDEX(进销存对接!$M$4:$U$305,60,4)=0,"",INDEX(进销存对接!$M$4:$U$305,60,4))</f>
        <v/>
      </c>
      <c r="F182" s="99" t="str">
        <f aca="false">IF($E182="","",IFERROR(INDEX(科目表!$A$4:$A$81,MATCH($E182,科目表!$B$4:$B$81,0)),""))</f>
        <v/>
      </c>
      <c r="G182" s="67" t="str">
        <f aca="false">IF($E182="","",IFERROR(INDEX(科目表!$E$4:$E$81,MATCH($E182,科目表!$B$4:$B$81,0)),""))</f>
        <v/>
      </c>
      <c r="H182" s="70" t="str">
        <f aca="false">IF($E182="","",N(INDEX(进销存对接!$M$4:$U$305,60,5)))</f>
        <v/>
      </c>
      <c r="I182" s="70" t="str">
        <f aca="false">IF($E182="","",N(INDEX(进销存对接!$M$4:$U$305,60,6)))</f>
        <v/>
      </c>
      <c r="J182" s="67"/>
      <c r="K182" s="67" t="str">
        <f aca="false">IF($E182="","",INDEX(进销存对接!$D$4:$D$305,60))</f>
        <v/>
      </c>
      <c r="L182" s="107"/>
      <c r="M182" s="107"/>
      <c r="N182" s="67" t="str">
        <f aca="false">IF($E182="","","系统")</f>
        <v/>
      </c>
      <c r="O182" s="67" t="str">
        <f aca="false">IF($E182="","","自动A")</f>
        <v/>
      </c>
      <c r="P182" s="18"/>
    </row>
    <row r="183" customFormat="false" ht="18" hidden="false" customHeight="true" outlineLevel="0" collapsed="false">
      <c r="A183" s="107" t="str">
        <f aca="false">IF($E183="","",ROW()-3)</f>
        <v/>
      </c>
      <c r="B183" s="110" t="str">
        <f aca="false">IF($E183="","",INDEX(进销存对接!$C$4:$C$305,60))</f>
        <v/>
      </c>
      <c r="C183" s="67" t="str">
        <f aca="false">IF($E183="","","记-"&amp;TEXT($B183,"YYYYMM")&amp;"-进销存")</f>
        <v/>
      </c>
      <c r="D183" s="107" t="str">
        <f aca="false">IF($E183="","",INDEX(进销存对接!$D$4:$D$305,60)&amp;" "&amp;TEXT($B183,"YYYY年M月")&amp;" 自动结转")</f>
        <v/>
      </c>
      <c r="E183" s="67" t="str">
        <f aca="false">IF(INDEX(进销存对接!$M$4:$U$305,60,7)=0,"",INDEX(进销存对接!$M$4:$U$305,60,7))</f>
        <v/>
      </c>
      <c r="F183" s="99" t="str">
        <f aca="false">IF($E183="","",IFERROR(INDEX(科目表!$A$4:$A$81,MATCH($E183,科目表!$B$4:$B$81,0)),""))</f>
        <v/>
      </c>
      <c r="G183" s="67" t="str">
        <f aca="false">IF($E183="","",IFERROR(INDEX(科目表!$E$4:$E$81,MATCH($E183,科目表!$B$4:$B$81,0)),""))</f>
        <v/>
      </c>
      <c r="H183" s="70" t="str">
        <f aca="false">IF($E183="","",N(INDEX(进销存对接!$M$4:$U$305,60,8)))</f>
        <v/>
      </c>
      <c r="I183" s="70" t="str">
        <f aca="false">IF($E183="","",N(INDEX(进销存对接!$M$4:$U$305,60,9)))</f>
        <v/>
      </c>
      <c r="J183" s="67"/>
      <c r="K183" s="67" t="str">
        <f aca="false">IF($E183="","",INDEX(进销存对接!$D$4:$D$305,60))</f>
        <v/>
      </c>
      <c r="L183" s="107"/>
      <c r="M183" s="107"/>
      <c r="N183" s="67" t="str">
        <f aca="false">IF($E183="","","系统")</f>
        <v/>
      </c>
      <c r="O183" s="67" t="str">
        <f aca="false">IF($E183="","","自动A")</f>
        <v/>
      </c>
      <c r="P183" s="18"/>
    </row>
    <row r="184" customFormat="false" ht="18" hidden="false" customHeight="true" outlineLevel="0" collapsed="false">
      <c r="A184" s="107" t="str">
        <f aca="false">IF($E184="","",ROW()-3)</f>
        <v/>
      </c>
      <c r="B184" s="110" t="str">
        <f aca="false">IF($E184="","",INDEX(进销存对接!$C$4:$C$305,61))</f>
        <v/>
      </c>
      <c r="C184" s="67" t="str">
        <f aca="false">IF($E184="","","记-"&amp;TEXT($B184,"YYYYMM")&amp;"-进销存")</f>
        <v/>
      </c>
      <c r="D184" s="107" t="str">
        <f aca="false">IF($E184="","",INDEX(进销存对接!$D$4:$D$305,61)&amp;" "&amp;TEXT($B184,"YYYY年M月")&amp;" 自动结转")</f>
        <v/>
      </c>
      <c r="E184" s="67" t="str">
        <f aca="false">IF(INDEX(进销存对接!$M$4:$U$305,61,1)=0,"",INDEX(进销存对接!$M$4:$U$305,61,1))</f>
        <v/>
      </c>
      <c r="F184" s="99" t="str">
        <f aca="false">IF($E184="","",IFERROR(INDEX(科目表!$A$4:$A$81,MATCH($E184,科目表!$B$4:$B$81,0)),""))</f>
        <v/>
      </c>
      <c r="G184" s="67" t="str">
        <f aca="false">IF($E184="","",IFERROR(INDEX(科目表!$E$4:$E$81,MATCH($E184,科目表!$B$4:$B$81,0)),""))</f>
        <v/>
      </c>
      <c r="H184" s="70" t="str">
        <f aca="false">IF($E184="","",N(INDEX(进销存对接!$M$4:$U$305,61,2)))</f>
        <v/>
      </c>
      <c r="I184" s="70" t="str">
        <f aca="false">IF($E184="","",N(INDEX(进销存对接!$M$4:$U$305,61,3)))</f>
        <v/>
      </c>
      <c r="J184" s="67"/>
      <c r="K184" s="67" t="str">
        <f aca="false">IF($E184="","",INDEX(进销存对接!$D$4:$D$305,61))</f>
        <v/>
      </c>
      <c r="L184" s="107"/>
      <c r="M184" s="107"/>
      <c r="N184" s="67" t="str">
        <f aca="false">IF($E184="","","系统")</f>
        <v/>
      </c>
      <c r="O184" s="67" t="str">
        <f aca="false">IF($E184="","","自动A")</f>
        <v/>
      </c>
      <c r="P184" s="18"/>
    </row>
    <row r="185" customFormat="false" ht="18" hidden="false" customHeight="true" outlineLevel="0" collapsed="false">
      <c r="A185" s="107" t="str">
        <f aca="false">IF($E185="","",ROW()-3)</f>
        <v/>
      </c>
      <c r="B185" s="110" t="str">
        <f aca="false">IF($E185="","",INDEX(进销存对接!$C$4:$C$305,61))</f>
        <v/>
      </c>
      <c r="C185" s="67" t="str">
        <f aca="false">IF($E185="","","记-"&amp;TEXT($B185,"YYYYMM")&amp;"-进销存")</f>
        <v/>
      </c>
      <c r="D185" s="107" t="str">
        <f aca="false">IF($E185="","",INDEX(进销存对接!$D$4:$D$305,61)&amp;" "&amp;TEXT($B185,"YYYY年M月")&amp;" 自动结转")</f>
        <v/>
      </c>
      <c r="E185" s="67" t="str">
        <f aca="false">IF(INDEX(进销存对接!$M$4:$U$305,61,4)=0,"",INDEX(进销存对接!$M$4:$U$305,61,4))</f>
        <v/>
      </c>
      <c r="F185" s="99" t="str">
        <f aca="false">IF($E185="","",IFERROR(INDEX(科目表!$A$4:$A$81,MATCH($E185,科目表!$B$4:$B$81,0)),""))</f>
        <v/>
      </c>
      <c r="G185" s="67" t="str">
        <f aca="false">IF($E185="","",IFERROR(INDEX(科目表!$E$4:$E$81,MATCH($E185,科目表!$B$4:$B$81,0)),""))</f>
        <v/>
      </c>
      <c r="H185" s="70" t="str">
        <f aca="false">IF($E185="","",N(INDEX(进销存对接!$M$4:$U$305,61,5)))</f>
        <v/>
      </c>
      <c r="I185" s="70" t="str">
        <f aca="false">IF($E185="","",N(INDEX(进销存对接!$M$4:$U$305,61,6)))</f>
        <v/>
      </c>
      <c r="J185" s="67"/>
      <c r="K185" s="67" t="str">
        <f aca="false">IF($E185="","",INDEX(进销存对接!$D$4:$D$305,61))</f>
        <v/>
      </c>
      <c r="L185" s="107"/>
      <c r="M185" s="107"/>
      <c r="N185" s="67" t="str">
        <f aca="false">IF($E185="","","系统")</f>
        <v/>
      </c>
      <c r="O185" s="67" t="str">
        <f aca="false">IF($E185="","","自动A")</f>
        <v/>
      </c>
      <c r="P185" s="18"/>
    </row>
    <row r="186" customFormat="false" ht="18" hidden="false" customHeight="true" outlineLevel="0" collapsed="false">
      <c r="A186" s="107" t="str">
        <f aca="false">IF($E186="","",ROW()-3)</f>
        <v/>
      </c>
      <c r="B186" s="110" t="str">
        <f aca="false">IF($E186="","",INDEX(进销存对接!$C$4:$C$305,61))</f>
        <v/>
      </c>
      <c r="C186" s="67" t="str">
        <f aca="false">IF($E186="","","记-"&amp;TEXT($B186,"YYYYMM")&amp;"-进销存")</f>
        <v/>
      </c>
      <c r="D186" s="107" t="str">
        <f aca="false">IF($E186="","",INDEX(进销存对接!$D$4:$D$305,61)&amp;" "&amp;TEXT($B186,"YYYY年M月")&amp;" 自动结转")</f>
        <v/>
      </c>
      <c r="E186" s="67" t="str">
        <f aca="false">IF(INDEX(进销存对接!$M$4:$U$305,61,7)=0,"",INDEX(进销存对接!$M$4:$U$305,61,7))</f>
        <v/>
      </c>
      <c r="F186" s="99" t="str">
        <f aca="false">IF($E186="","",IFERROR(INDEX(科目表!$A$4:$A$81,MATCH($E186,科目表!$B$4:$B$81,0)),""))</f>
        <v/>
      </c>
      <c r="G186" s="67" t="str">
        <f aca="false">IF($E186="","",IFERROR(INDEX(科目表!$E$4:$E$81,MATCH($E186,科目表!$B$4:$B$81,0)),""))</f>
        <v/>
      </c>
      <c r="H186" s="70" t="str">
        <f aca="false">IF($E186="","",N(INDEX(进销存对接!$M$4:$U$305,61,8)))</f>
        <v/>
      </c>
      <c r="I186" s="70" t="str">
        <f aca="false">IF($E186="","",N(INDEX(进销存对接!$M$4:$U$305,61,9)))</f>
        <v/>
      </c>
      <c r="J186" s="67"/>
      <c r="K186" s="67" t="str">
        <f aca="false">IF($E186="","",INDEX(进销存对接!$D$4:$D$305,61))</f>
        <v/>
      </c>
      <c r="L186" s="107"/>
      <c r="M186" s="107"/>
      <c r="N186" s="67" t="str">
        <f aca="false">IF($E186="","","系统")</f>
        <v/>
      </c>
      <c r="O186" s="67" t="str">
        <f aca="false">IF($E186="","","自动A")</f>
        <v/>
      </c>
      <c r="P186" s="18"/>
    </row>
    <row r="187" customFormat="false" ht="18" hidden="false" customHeight="true" outlineLevel="0" collapsed="false">
      <c r="A187" s="107" t="str">
        <f aca="false">IF($E187="","",ROW()-3)</f>
        <v/>
      </c>
      <c r="B187" s="110" t="str">
        <f aca="false">IF($E187="","",INDEX(进销存对接!$C$4:$C$305,62))</f>
        <v/>
      </c>
      <c r="C187" s="67" t="str">
        <f aca="false">IF($E187="","","记-"&amp;TEXT($B187,"YYYYMM")&amp;"-进销存")</f>
        <v/>
      </c>
      <c r="D187" s="107" t="str">
        <f aca="false">IF($E187="","",INDEX(进销存对接!$D$4:$D$305,62)&amp;" "&amp;TEXT($B187,"YYYY年M月")&amp;" 自动结转")</f>
        <v/>
      </c>
      <c r="E187" s="67" t="str">
        <f aca="false">IF(INDEX(进销存对接!$M$4:$U$305,62,1)=0,"",INDEX(进销存对接!$M$4:$U$305,62,1))</f>
        <v/>
      </c>
      <c r="F187" s="99" t="str">
        <f aca="false">IF($E187="","",IFERROR(INDEX(科目表!$A$4:$A$81,MATCH($E187,科目表!$B$4:$B$81,0)),""))</f>
        <v/>
      </c>
      <c r="G187" s="67" t="str">
        <f aca="false">IF($E187="","",IFERROR(INDEX(科目表!$E$4:$E$81,MATCH($E187,科目表!$B$4:$B$81,0)),""))</f>
        <v/>
      </c>
      <c r="H187" s="70" t="str">
        <f aca="false">IF($E187="","",N(INDEX(进销存对接!$M$4:$U$305,62,2)))</f>
        <v/>
      </c>
      <c r="I187" s="70" t="str">
        <f aca="false">IF($E187="","",N(INDEX(进销存对接!$M$4:$U$305,62,3)))</f>
        <v/>
      </c>
      <c r="J187" s="67"/>
      <c r="K187" s="67" t="str">
        <f aca="false">IF($E187="","",INDEX(进销存对接!$D$4:$D$305,62))</f>
        <v/>
      </c>
      <c r="L187" s="107"/>
      <c r="M187" s="107"/>
      <c r="N187" s="67" t="str">
        <f aca="false">IF($E187="","","系统")</f>
        <v/>
      </c>
      <c r="O187" s="67" t="str">
        <f aca="false">IF($E187="","","自动A")</f>
        <v/>
      </c>
      <c r="P187" s="18"/>
    </row>
    <row r="188" customFormat="false" ht="18" hidden="false" customHeight="true" outlineLevel="0" collapsed="false">
      <c r="A188" s="107" t="str">
        <f aca="false">IF($E188="","",ROW()-3)</f>
        <v/>
      </c>
      <c r="B188" s="110" t="str">
        <f aca="false">IF($E188="","",INDEX(进销存对接!$C$4:$C$305,62))</f>
        <v/>
      </c>
      <c r="C188" s="67" t="str">
        <f aca="false">IF($E188="","","记-"&amp;TEXT($B188,"YYYYMM")&amp;"-进销存")</f>
        <v/>
      </c>
      <c r="D188" s="107" t="str">
        <f aca="false">IF($E188="","",INDEX(进销存对接!$D$4:$D$305,62)&amp;" "&amp;TEXT($B188,"YYYY年M月")&amp;" 自动结转")</f>
        <v/>
      </c>
      <c r="E188" s="67" t="str">
        <f aca="false">IF(INDEX(进销存对接!$M$4:$U$305,62,4)=0,"",INDEX(进销存对接!$M$4:$U$305,62,4))</f>
        <v/>
      </c>
      <c r="F188" s="99" t="str">
        <f aca="false">IF($E188="","",IFERROR(INDEX(科目表!$A$4:$A$81,MATCH($E188,科目表!$B$4:$B$81,0)),""))</f>
        <v/>
      </c>
      <c r="G188" s="67" t="str">
        <f aca="false">IF($E188="","",IFERROR(INDEX(科目表!$E$4:$E$81,MATCH($E188,科目表!$B$4:$B$81,0)),""))</f>
        <v/>
      </c>
      <c r="H188" s="70" t="str">
        <f aca="false">IF($E188="","",N(INDEX(进销存对接!$M$4:$U$305,62,5)))</f>
        <v/>
      </c>
      <c r="I188" s="70" t="str">
        <f aca="false">IF($E188="","",N(INDEX(进销存对接!$M$4:$U$305,62,6)))</f>
        <v/>
      </c>
      <c r="J188" s="67"/>
      <c r="K188" s="67" t="str">
        <f aca="false">IF($E188="","",INDEX(进销存对接!$D$4:$D$305,62))</f>
        <v/>
      </c>
      <c r="L188" s="107"/>
      <c r="M188" s="107"/>
      <c r="N188" s="67" t="str">
        <f aca="false">IF($E188="","","系统")</f>
        <v/>
      </c>
      <c r="O188" s="67" t="str">
        <f aca="false">IF($E188="","","自动A")</f>
        <v/>
      </c>
      <c r="P188" s="18"/>
    </row>
    <row r="189" customFormat="false" ht="18" hidden="false" customHeight="true" outlineLevel="0" collapsed="false">
      <c r="A189" s="107" t="str">
        <f aca="false">IF($E189="","",ROW()-3)</f>
        <v/>
      </c>
      <c r="B189" s="110" t="str">
        <f aca="false">IF($E189="","",INDEX(进销存对接!$C$4:$C$305,62))</f>
        <v/>
      </c>
      <c r="C189" s="67" t="str">
        <f aca="false">IF($E189="","","记-"&amp;TEXT($B189,"YYYYMM")&amp;"-进销存")</f>
        <v/>
      </c>
      <c r="D189" s="107" t="str">
        <f aca="false">IF($E189="","",INDEX(进销存对接!$D$4:$D$305,62)&amp;" "&amp;TEXT($B189,"YYYY年M月")&amp;" 自动结转")</f>
        <v/>
      </c>
      <c r="E189" s="67" t="str">
        <f aca="false">IF(INDEX(进销存对接!$M$4:$U$305,62,7)=0,"",INDEX(进销存对接!$M$4:$U$305,62,7))</f>
        <v/>
      </c>
      <c r="F189" s="99" t="str">
        <f aca="false">IF($E189="","",IFERROR(INDEX(科目表!$A$4:$A$81,MATCH($E189,科目表!$B$4:$B$81,0)),""))</f>
        <v/>
      </c>
      <c r="G189" s="67" t="str">
        <f aca="false">IF($E189="","",IFERROR(INDEX(科目表!$E$4:$E$81,MATCH($E189,科目表!$B$4:$B$81,0)),""))</f>
        <v/>
      </c>
      <c r="H189" s="70" t="str">
        <f aca="false">IF($E189="","",N(INDEX(进销存对接!$M$4:$U$305,62,8)))</f>
        <v/>
      </c>
      <c r="I189" s="70" t="str">
        <f aca="false">IF($E189="","",N(INDEX(进销存对接!$M$4:$U$305,62,9)))</f>
        <v/>
      </c>
      <c r="J189" s="67"/>
      <c r="K189" s="67" t="str">
        <f aca="false">IF($E189="","",INDEX(进销存对接!$D$4:$D$305,62))</f>
        <v/>
      </c>
      <c r="L189" s="107"/>
      <c r="M189" s="107"/>
      <c r="N189" s="67" t="str">
        <f aca="false">IF($E189="","","系统")</f>
        <v/>
      </c>
      <c r="O189" s="67" t="str">
        <f aca="false">IF($E189="","","自动A")</f>
        <v/>
      </c>
      <c r="P189" s="18"/>
    </row>
    <row r="190" customFormat="false" ht="18" hidden="false" customHeight="true" outlineLevel="0" collapsed="false">
      <c r="A190" s="107" t="str">
        <f aca="false">IF($E190="","",ROW()-3)</f>
        <v/>
      </c>
      <c r="B190" s="110" t="str">
        <f aca="false">IF($E190="","",INDEX(进销存对接!$C$4:$C$305,63))</f>
        <v/>
      </c>
      <c r="C190" s="67" t="str">
        <f aca="false">IF($E190="","","记-"&amp;TEXT($B190,"YYYYMM")&amp;"-进销存")</f>
        <v/>
      </c>
      <c r="D190" s="107" t="str">
        <f aca="false">IF($E190="","",INDEX(进销存对接!$D$4:$D$305,63)&amp;" "&amp;TEXT($B190,"YYYY年M月")&amp;" 自动结转")</f>
        <v/>
      </c>
      <c r="E190" s="67" t="str">
        <f aca="false">IF(INDEX(进销存对接!$M$4:$U$305,63,1)=0,"",INDEX(进销存对接!$M$4:$U$305,63,1))</f>
        <v/>
      </c>
      <c r="F190" s="99" t="str">
        <f aca="false">IF($E190="","",IFERROR(INDEX(科目表!$A$4:$A$81,MATCH($E190,科目表!$B$4:$B$81,0)),""))</f>
        <v/>
      </c>
      <c r="G190" s="67" t="str">
        <f aca="false">IF($E190="","",IFERROR(INDEX(科目表!$E$4:$E$81,MATCH($E190,科目表!$B$4:$B$81,0)),""))</f>
        <v/>
      </c>
      <c r="H190" s="70" t="str">
        <f aca="false">IF($E190="","",N(INDEX(进销存对接!$M$4:$U$305,63,2)))</f>
        <v/>
      </c>
      <c r="I190" s="70" t="str">
        <f aca="false">IF($E190="","",N(INDEX(进销存对接!$M$4:$U$305,63,3)))</f>
        <v/>
      </c>
      <c r="J190" s="67"/>
      <c r="K190" s="67" t="str">
        <f aca="false">IF($E190="","",INDEX(进销存对接!$D$4:$D$305,63))</f>
        <v/>
      </c>
      <c r="L190" s="107"/>
      <c r="M190" s="107"/>
      <c r="N190" s="67" t="str">
        <f aca="false">IF($E190="","","系统")</f>
        <v/>
      </c>
      <c r="O190" s="67" t="str">
        <f aca="false">IF($E190="","","自动A")</f>
        <v/>
      </c>
      <c r="P190" s="18"/>
    </row>
    <row r="191" customFormat="false" ht="18" hidden="false" customHeight="true" outlineLevel="0" collapsed="false">
      <c r="A191" s="107" t="str">
        <f aca="false">IF($E191="","",ROW()-3)</f>
        <v/>
      </c>
      <c r="B191" s="110" t="str">
        <f aca="false">IF($E191="","",INDEX(进销存对接!$C$4:$C$305,63))</f>
        <v/>
      </c>
      <c r="C191" s="67" t="str">
        <f aca="false">IF($E191="","","记-"&amp;TEXT($B191,"YYYYMM")&amp;"-进销存")</f>
        <v/>
      </c>
      <c r="D191" s="107" t="str">
        <f aca="false">IF($E191="","",INDEX(进销存对接!$D$4:$D$305,63)&amp;" "&amp;TEXT($B191,"YYYY年M月")&amp;" 自动结转")</f>
        <v/>
      </c>
      <c r="E191" s="67" t="str">
        <f aca="false">IF(INDEX(进销存对接!$M$4:$U$305,63,4)=0,"",INDEX(进销存对接!$M$4:$U$305,63,4))</f>
        <v/>
      </c>
      <c r="F191" s="99" t="str">
        <f aca="false">IF($E191="","",IFERROR(INDEX(科目表!$A$4:$A$81,MATCH($E191,科目表!$B$4:$B$81,0)),""))</f>
        <v/>
      </c>
      <c r="G191" s="67" t="str">
        <f aca="false">IF($E191="","",IFERROR(INDEX(科目表!$E$4:$E$81,MATCH($E191,科目表!$B$4:$B$81,0)),""))</f>
        <v/>
      </c>
      <c r="H191" s="70" t="str">
        <f aca="false">IF($E191="","",N(INDEX(进销存对接!$M$4:$U$305,63,5)))</f>
        <v/>
      </c>
      <c r="I191" s="70" t="str">
        <f aca="false">IF($E191="","",N(INDEX(进销存对接!$M$4:$U$305,63,6)))</f>
        <v/>
      </c>
      <c r="J191" s="67"/>
      <c r="K191" s="67" t="str">
        <f aca="false">IF($E191="","",INDEX(进销存对接!$D$4:$D$305,63))</f>
        <v/>
      </c>
      <c r="L191" s="107"/>
      <c r="M191" s="107"/>
      <c r="N191" s="67" t="str">
        <f aca="false">IF($E191="","","系统")</f>
        <v/>
      </c>
      <c r="O191" s="67" t="str">
        <f aca="false">IF($E191="","","自动A")</f>
        <v/>
      </c>
      <c r="P191" s="18"/>
    </row>
    <row r="192" customFormat="false" ht="18" hidden="false" customHeight="true" outlineLevel="0" collapsed="false">
      <c r="A192" s="107" t="str">
        <f aca="false">IF($E192="","",ROW()-3)</f>
        <v/>
      </c>
      <c r="B192" s="110" t="str">
        <f aca="false">IF($E192="","",INDEX(进销存对接!$C$4:$C$305,63))</f>
        <v/>
      </c>
      <c r="C192" s="67" t="str">
        <f aca="false">IF($E192="","","记-"&amp;TEXT($B192,"YYYYMM")&amp;"-进销存")</f>
        <v/>
      </c>
      <c r="D192" s="107" t="str">
        <f aca="false">IF($E192="","",INDEX(进销存对接!$D$4:$D$305,63)&amp;" "&amp;TEXT($B192,"YYYY年M月")&amp;" 自动结转")</f>
        <v/>
      </c>
      <c r="E192" s="67" t="str">
        <f aca="false">IF(INDEX(进销存对接!$M$4:$U$305,63,7)=0,"",INDEX(进销存对接!$M$4:$U$305,63,7))</f>
        <v/>
      </c>
      <c r="F192" s="99" t="str">
        <f aca="false">IF($E192="","",IFERROR(INDEX(科目表!$A$4:$A$81,MATCH($E192,科目表!$B$4:$B$81,0)),""))</f>
        <v/>
      </c>
      <c r="G192" s="67" t="str">
        <f aca="false">IF($E192="","",IFERROR(INDEX(科目表!$E$4:$E$81,MATCH($E192,科目表!$B$4:$B$81,0)),""))</f>
        <v/>
      </c>
      <c r="H192" s="70" t="str">
        <f aca="false">IF($E192="","",N(INDEX(进销存对接!$M$4:$U$305,63,8)))</f>
        <v/>
      </c>
      <c r="I192" s="70" t="str">
        <f aca="false">IF($E192="","",N(INDEX(进销存对接!$M$4:$U$305,63,9)))</f>
        <v/>
      </c>
      <c r="J192" s="67"/>
      <c r="K192" s="67" t="str">
        <f aca="false">IF($E192="","",INDEX(进销存对接!$D$4:$D$305,63))</f>
        <v/>
      </c>
      <c r="L192" s="107"/>
      <c r="M192" s="107"/>
      <c r="N192" s="67" t="str">
        <f aca="false">IF($E192="","","系统")</f>
        <v/>
      </c>
      <c r="O192" s="67" t="str">
        <f aca="false">IF($E192="","","自动A")</f>
        <v/>
      </c>
      <c r="P192" s="18"/>
    </row>
    <row r="193" customFormat="false" ht="18" hidden="false" customHeight="true" outlineLevel="0" collapsed="false">
      <c r="A193" s="107" t="str">
        <f aca="false">IF($E193="","",ROW()-3)</f>
        <v/>
      </c>
      <c r="B193" s="110" t="str">
        <f aca="false">IF($E193="","",INDEX(进销存对接!$C$4:$C$305,64))</f>
        <v/>
      </c>
      <c r="C193" s="67" t="str">
        <f aca="false">IF($E193="","","记-"&amp;TEXT($B193,"YYYYMM")&amp;"-进销存")</f>
        <v/>
      </c>
      <c r="D193" s="107" t="str">
        <f aca="false">IF($E193="","",INDEX(进销存对接!$D$4:$D$305,64)&amp;" "&amp;TEXT($B193,"YYYY年M月")&amp;" 自动结转")</f>
        <v/>
      </c>
      <c r="E193" s="67" t="str">
        <f aca="false">IF(INDEX(进销存对接!$M$4:$U$305,64,1)=0,"",INDEX(进销存对接!$M$4:$U$305,64,1))</f>
        <v/>
      </c>
      <c r="F193" s="99" t="str">
        <f aca="false">IF($E193="","",IFERROR(INDEX(科目表!$A$4:$A$81,MATCH($E193,科目表!$B$4:$B$81,0)),""))</f>
        <v/>
      </c>
      <c r="G193" s="67" t="str">
        <f aca="false">IF($E193="","",IFERROR(INDEX(科目表!$E$4:$E$81,MATCH($E193,科目表!$B$4:$B$81,0)),""))</f>
        <v/>
      </c>
      <c r="H193" s="70" t="str">
        <f aca="false">IF($E193="","",N(INDEX(进销存对接!$M$4:$U$305,64,2)))</f>
        <v/>
      </c>
      <c r="I193" s="70" t="str">
        <f aca="false">IF($E193="","",N(INDEX(进销存对接!$M$4:$U$305,64,3)))</f>
        <v/>
      </c>
      <c r="J193" s="67"/>
      <c r="K193" s="67" t="str">
        <f aca="false">IF($E193="","",INDEX(进销存对接!$D$4:$D$305,64))</f>
        <v/>
      </c>
      <c r="L193" s="107"/>
      <c r="M193" s="107"/>
      <c r="N193" s="67" t="str">
        <f aca="false">IF($E193="","","系统")</f>
        <v/>
      </c>
      <c r="O193" s="67" t="str">
        <f aca="false">IF($E193="","","自动A")</f>
        <v/>
      </c>
      <c r="P193" s="18"/>
    </row>
    <row r="194" customFormat="false" ht="18" hidden="false" customHeight="true" outlineLevel="0" collapsed="false">
      <c r="A194" s="107" t="str">
        <f aca="false">IF($E194="","",ROW()-3)</f>
        <v/>
      </c>
      <c r="B194" s="110" t="str">
        <f aca="false">IF($E194="","",INDEX(进销存对接!$C$4:$C$305,64))</f>
        <v/>
      </c>
      <c r="C194" s="67" t="str">
        <f aca="false">IF($E194="","","记-"&amp;TEXT($B194,"YYYYMM")&amp;"-进销存")</f>
        <v/>
      </c>
      <c r="D194" s="107" t="str">
        <f aca="false">IF($E194="","",INDEX(进销存对接!$D$4:$D$305,64)&amp;" "&amp;TEXT($B194,"YYYY年M月")&amp;" 自动结转")</f>
        <v/>
      </c>
      <c r="E194" s="67" t="str">
        <f aca="false">IF(INDEX(进销存对接!$M$4:$U$305,64,4)=0,"",INDEX(进销存对接!$M$4:$U$305,64,4))</f>
        <v/>
      </c>
      <c r="F194" s="99" t="str">
        <f aca="false">IF($E194="","",IFERROR(INDEX(科目表!$A$4:$A$81,MATCH($E194,科目表!$B$4:$B$81,0)),""))</f>
        <v/>
      </c>
      <c r="G194" s="67" t="str">
        <f aca="false">IF($E194="","",IFERROR(INDEX(科目表!$E$4:$E$81,MATCH($E194,科目表!$B$4:$B$81,0)),""))</f>
        <v/>
      </c>
      <c r="H194" s="70" t="str">
        <f aca="false">IF($E194="","",N(INDEX(进销存对接!$M$4:$U$305,64,5)))</f>
        <v/>
      </c>
      <c r="I194" s="70" t="str">
        <f aca="false">IF($E194="","",N(INDEX(进销存对接!$M$4:$U$305,64,6)))</f>
        <v/>
      </c>
      <c r="J194" s="67"/>
      <c r="K194" s="67" t="str">
        <f aca="false">IF($E194="","",INDEX(进销存对接!$D$4:$D$305,64))</f>
        <v/>
      </c>
      <c r="L194" s="107"/>
      <c r="M194" s="107"/>
      <c r="N194" s="67" t="str">
        <f aca="false">IF($E194="","","系统")</f>
        <v/>
      </c>
      <c r="O194" s="67" t="str">
        <f aca="false">IF($E194="","","自动A")</f>
        <v/>
      </c>
      <c r="P194" s="18"/>
    </row>
    <row r="195" customFormat="false" ht="18" hidden="false" customHeight="true" outlineLevel="0" collapsed="false">
      <c r="A195" s="107" t="str">
        <f aca="false">IF($E195="","",ROW()-3)</f>
        <v/>
      </c>
      <c r="B195" s="110" t="str">
        <f aca="false">IF($E195="","",INDEX(进销存对接!$C$4:$C$305,64))</f>
        <v/>
      </c>
      <c r="C195" s="67" t="str">
        <f aca="false">IF($E195="","","记-"&amp;TEXT($B195,"YYYYMM")&amp;"-进销存")</f>
        <v/>
      </c>
      <c r="D195" s="107" t="str">
        <f aca="false">IF($E195="","",INDEX(进销存对接!$D$4:$D$305,64)&amp;" "&amp;TEXT($B195,"YYYY年M月")&amp;" 自动结转")</f>
        <v/>
      </c>
      <c r="E195" s="67" t="str">
        <f aca="false">IF(INDEX(进销存对接!$M$4:$U$305,64,7)=0,"",INDEX(进销存对接!$M$4:$U$305,64,7))</f>
        <v/>
      </c>
      <c r="F195" s="99" t="str">
        <f aca="false">IF($E195="","",IFERROR(INDEX(科目表!$A$4:$A$81,MATCH($E195,科目表!$B$4:$B$81,0)),""))</f>
        <v/>
      </c>
      <c r="G195" s="67" t="str">
        <f aca="false">IF($E195="","",IFERROR(INDEX(科目表!$E$4:$E$81,MATCH($E195,科目表!$B$4:$B$81,0)),""))</f>
        <v/>
      </c>
      <c r="H195" s="70" t="str">
        <f aca="false">IF($E195="","",N(INDEX(进销存对接!$M$4:$U$305,64,8)))</f>
        <v/>
      </c>
      <c r="I195" s="70" t="str">
        <f aca="false">IF($E195="","",N(INDEX(进销存对接!$M$4:$U$305,64,9)))</f>
        <v/>
      </c>
      <c r="J195" s="67"/>
      <c r="K195" s="67" t="str">
        <f aca="false">IF($E195="","",INDEX(进销存对接!$D$4:$D$305,64))</f>
        <v/>
      </c>
      <c r="L195" s="107"/>
      <c r="M195" s="107"/>
      <c r="N195" s="67" t="str">
        <f aca="false">IF($E195="","","系统")</f>
        <v/>
      </c>
      <c r="O195" s="67" t="str">
        <f aca="false">IF($E195="","","自动A")</f>
        <v/>
      </c>
      <c r="P195" s="18"/>
    </row>
    <row r="196" customFormat="false" ht="18" hidden="false" customHeight="true" outlineLevel="0" collapsed="false">
      <c r="A196" s="107" t="str">
        <f aca="false">IF($E196="","",ROW()-3)</f>
        <v/>
      </c>
      <c r="B196" s="110" t="str">
        <f aca="false">IF($E196="","",INDEX(进销存对接!$C$4:$C$305,65))</f>
        <v/>
      </c>
      <c r="C196" s="67" t="str">
        <f aca="false">IF($E196="","","记-"&amp;TEXT($B196,"YYYYMM")&amp;"-进销存")</f>
        <v/>
      </c>
      <c r="D196" s="107" t="str">
        <f aca="false">IF($E196="","",INDEX(进销存对接!$D$4:$D$305,65)&amp;" "&amp;TEXT($B196,"YYYY年M月")&amp;" 自动结转")</f>
        <v/>
      </c>
      <c r="E196" s="67" t="str">
        <f aca="false">IF(INDEX(进销存对接!$M$4:$U$305,65,1)=0,"",INDEX(进销存对接!$M$4:$U$305,65,1))</f>
        <v/>
      </c>
      <c r="F196" s="99" t="str">
        <f aca="false">IF($E196="","",IFERROR(INDEX(科目表!$A$4:$A$81,MATCH($E196,科目表!$B$4:$B$81,0)),""))</f>
        <v/>
      </c>
      <c r="G196" s="67" t="str">
        <f aca="false">IF($E196="","",IFERROR(INDEX(科目表!$E$4:$E$81,MATCH($E196,科目表!$B$4:$B$81,0)),""))</f>
        <v/>
      </c>
      <c r="H196" s="70" t="str">
        <f aca="false">IF($E196="","",N(INDEX(进销存对接!$M$4:$U$305,65,2)))</f>
        <v/>
      </c>
      <c r="I196" s="70" t="str">
        <f aca="false">IF($E196="","",N(INDEX(进销存对接!$M$4:$U$305,65,3)))</f>
        <v/>
      </c>
      <c r="J196" s="67"/>
      <c r="K196" s="67" t="str">
        <f aca="false">IF($E196="","",INDEX(进销存对接!$D$4:$D$305,65))</f>
        <v/>
      </c>
      <c r="L196" s="107"/>
      <c r="M196" s="107"/>
      <c r="N196" s="67" t="str">
        <f aca="false">IF($E196="","","系统")</f>
        <v/>
      </c>
      <c r="O196" s="67" t="str">
        <f aca="false">IF($E196="","","自动A")</f>
        <v/>
      </c>
      <c r="P196" s="18"/>
    </row>
    <row r="197" customFormat="false" ht="18" hidden="false" customHeight="true" outlineLevel="0" collapsed="false">
      <c r="A197" s="107" t="str">
        <f aca="false">IF($E197="","",ROW()-3)</f>
        <v/>
      </c>
      <c r="B197" s="110" t="str">
        <f aca="false">IF($E197="","",INDEX(进销存对接!$C$4:$C$305,65))</f>
        <v/>
      </c>
      <c r="C197" s="67" t="str">
        <f aca="false">IF($E197="","","记-"&amp;TEXT($B197,"YYYYMM")&amp;"-进销存")</f>
        <v/>
      </c>
      <c r="D197" s="107" t="str">
        <f aca="false">IF($E197="","",INDEX(进销存对接!$D$4:$D$305,65)&amp;" "&amp;TEXT($B197,"YYYY年M月")&amp;" 自动结转")</f>
        <v/>
      </c>
      <c r="E197" s="67" t="str">
        <f aca="false">IF(INDEX(进销存对接!$M$4:$U$305,65,4)=0,"",INDEX(进销存对接!$M$4:$U$305,65,4))</f>
        <v/>
      </c>
      <c r="F197" s="99" t="str">
        <f aca="false">IF($E197="","",IFERROR(INDEX(科目表!$A$4:$A$81,MATCH($E197,科目表!$B$4:$B$81,0)),""))</f>
        <v/>
      </c>
      <c r="G197" s="67" t="str">
        <f aca="false">IF($E197="","",IFERROR(INDEX(科目表!$E$4:$E$81,MATCH($E197,科目表!$B$4:$B$81,0)),""))</f>
        <v/>
      </c>
      <c r="H197" s="70" t="str">
        <f aca="false">IF($E197="","",N(INDEX(进销存对接!$M$4:$U$305,65,5)))</f>
        <v/>
      </c>
      <c r="I197" s="70" t="str">
        <f aca="false">IF($E197="","",N(INDEX(进销存对接!$M$4:$U$305,65,6)))</f>
        <v/>
      </c>
      <c r="J197" s="67"/>
      <c r="K197" s="67" t="str">
        <f aca="false">IF($E197="","",INDEX(进销存对接!$D$4:$D$305,65))</f>
        <v/>
      </c>
      <c r="L197" s="107"/>
      <c r="M197" s="107"/>
      <c r="N197" s="67" t="str">
        <f aca="false">IF($E197="","","系统")</f>
        <v/>
      </c>
      <c r="O197" s="67" t="str">
        <f aca="false">IF($E197="","","自动A")</f>
        <v/>
      </c>
      <c r="P197" s="18"/>
    </row>
    <row r="198" customFormat="false" ht="18" hidden="false" customHeight="true" outlineLevel="0" collapsed="false">
      <c r="A198" s="107" t="str">
        <f aca="false">IF($E198="","",ROW()-3)</f>
        <v/>
      </c>
      <c r="B198" s="110" t="str">
        <f aca="false">IF($E198="","",INDEX(进销存对接!$C$4:$C$305,65))</f>
        <v/>
      </c>
      <c r="C198" s="67" t="str">
        <f aca="false">IF($E198="","","记-"&amp;TEXT($B198,"YYYYMM")&amp;"-进销存")</f>
        <v/>
      </c>
      <c r="D198" s="107" t="str">
        <f aca="false">IF($E198="","",INDEX(进销存对接!$D$4:$D$305,65)&amp;" "&amp;TEXT($B198,"YYYY年M月")&amp;" 自动结转")</f>
        <v/>
      </c>
      <c r="E198" s="67" t="str">
        <f aca="false">IF(INDEX(进销存对接!$M$4:$U$305,65,7)=0,"",INDEX(进销存对接!$M$4:$U$305,65,7))</f>
        <v/>
      </c>
      <c r="F198" s="99" t="str">
        <f aca="false">IF($E198="","",IFERROR(INDEX(科目表!$A$4:$A$81,MATCH($E198,科目表!$B$4:$B$81,0)),""))</f>
        <v/>
      </c>
      <c r="G198" s="67" t="str">
        <f aca="false">IF($E198="","",IFERROR(INDEX(科目表!$E$4:$E$81,MATCH($E198,科目表!$B$4:$B$81,0)),""))</f>
        <v/>
      </c>
      <c r="H198" s="70" t="str">
        <f aca="false">IF($E198="","",N(INDEX(进销存对接!$M$4:$U$305,65,8)))</f>
        <v/>
      </c>
      <c r="I198" s="70" t="str">
        <f aca="false">IF($E198="","",N(INDEX(进销存对接!$M$4:$U$305,65,9)))</f>
        <v/>
      </c>
      <c r="J198" s="67"/>
      <c r="K198" s="67" t="str">
        <f aca="false">IF($E198="","",INDEX(进销存对接!$D$4:$D$305,65))</f>
        <v/>
      </c>
      <c r="L198" s="107"/>
      <c r="M198" s="107"/>
      <c r="N198" s="67" t="str">
        <f aca="false">IF($E198="","","系统")</f>
        <v/>
      </c>
      <c r="O198" s="67" t="str">
        <f aca="false">IF($E198="","","自动A")</f>
        <v/>
      </c>
      <c r="P198" s="18"/>
    </row>
    <row r="199" customFormat="false" ht="18" hidden="false" customHeight="true" outlineLevel="0" collapsed="false">
      <c r="A199" s="107" t="str">
        <f aca="false">IF($E199="","",ROW()-3)</f>
        <v/>
      </c>
      <c r="B199" s="110" t="str">
        <f aca="false">IF($E199="","",INDEX(进销存对接!$C$4:$C$305,66))</f>
        <v/>
      </c>
      <c r="C199" s="67" t="str">
        <f aca="false">IF($E199="","","记-"&amp;TEXT($B199,"YYYYMM")&amp;"-进销存")</f>
        <v/>
      </c>
      <c r="D199" s="107" t="str">
        <f aca="false">IF($E199="","",INDEX(进销存对接!$D$4:$D$305,66)&amp;" "&amp;TEXT($B199,"YYYY年M月")&amp;" 自动结转")</f>
        <v/>
      </c>
      <c r="E199" s="67" t="str">
        <f aca="false">IF(INDEX(进销存对接!$M$4:$U$305,66,1)=0,"",INDEX(进销存对接!$M$4:$U$305,66,1))</f>
        <v/>
      </c>
      <c r="F199" s="99" t="str">
        <f aca="false">IF($E199="","",IFERROR(INDEX(科目表!$A$4:$A$81,MATCH($E199,科目表!$B$4:$B$81,0)),""))</f>
        <v/>
      </c>
      <c r="G199" s="67" t="str">
        <f aca="false">IF($E199="","",IFERROR(INDEX(科目表!$E$4:$E$81,MATCH($E199,科目表!$B$4:$B$81,0)),""))</f>
        <v/>
      </c>
      <c r="H199" s="70" t="str">
        <f aca="false">IF($E199="","",N(INDEX(进销存对接!$M$4:$U$305,66,2)))</f>
        <v/>
      </c>
      <c r="I199" s="70" t="str">
        <f aca="false">IF($E199="","",N(INDEX(进销存对接!$M$4:$U$305,66,3)))</f>
        <v/>
      </c>
      <c r="J199" s="67"/>
      <c r="K199" s="67" t="str">
        <f aca="false">IF($E199="","",INDEX(进销存对接!$D$4:$D$305,66))</f>
        <v/>
      </c>
      <c r="L199" s="107"/>
      <c r="M199" s="107"/>
      <c r="N199" s="67" t="str">
        <f aca="false">IF($E199="","","系统")</f>
        <v/>
      </c>
      <c r="O199" s="67" t="str">
        <f aca="false">IF($E199="","","自动A")</f>
        <v/>
      </c>
      <c r="P199" s="18"/>
    </row>
    <row r="200" customFormat="false" ht="18" hidden="false" customHeight="true" outlineLevel="0" collapsed="false">
      <c r="A200" s="107" t="str">
        <f aca="false">IF($E200="","",ROW()-3)</f>
        <v/>
      </c>
      <c r="B200" s="110" t="str">
        <f aca="false">IF($E200="","",INDEX(进销存对接!$C$4:$C$305,66))</f>
        <v/>
      </c>
      <c r="C200" s="67" t="str">
        <f aca="false">IF($E200="","","记-"&amp;TEXT($B200,"YYYYMM")&amp;"-进销存")</f>
        <v/>
      </c>
      <c r="D200" s="107" t="str">
        <f aca="false">IF($E200="","",INDEX(进销存对接!$D$4:$D$305,66)&amp;" "&amp;TEXT($B200,"YYYY年M月")&amp;" 自动结转")</f>
        <v/>
      </c>
      <c r="E200" s="67" t="str">
        <f aca="false">IF(INDEX(进销存对接!$M$4:$U$305,66,4)=0,"",INDEX(进销存对接!$M$4:$U$305,66,4))</f>
        <v/>
      </c>
      <c r="F200" s="99" t="str">
        <f aca="false">IF($E200="","",IFERROR(INDEX(科目表!$A$4:$A$81,MATCH($E200,科目表!$B$4:$B$81,0)),""))</f>
        <v/>
      </c>
      <c r="G200" s="67" t="str">
        <f aca="false">IF($E200="","",IFERROR(INDEX(科目表!$E$4:$E$81,MATCH($E200,科目表!$B$4:$B$81,0)),""))</f>
        <v/>
      </c>
      <c r="H200" s="70" t="str">
        <f aca="false">IF($E200="","",N(INDEX(进销存对接!$M$4:$U$305,66,5)))</f>
        <v/>
      </c>
      <c r="I200" s="70" t="str">
        <f aca="false">IF($E200="","",N(INDEX(进销存对接!$M$4:$U$305,66,6)))</f>
        <v/>
      </c>
      <c r="J200" s="67"/>
      <c r="K200" s="67" t="str">
        <f aca="false">IF($E200="","",INDEX(进销存对接!$D$4:$D$305,66))</f>
        <v/>
      </c>
      <c r="L200" s="107"/>
      <c r="M200" s="107"/>
      <c r="N200" s="67" t="str">
        <f aca="false">IF($E200="","","系统")</f>
        <v/>
      </c>
      <c r="O200" s="67" t="str">
        <f aca="false">IF($E200="","","自动A")</f>
        <v/>
      </c>
      <c r="P200" s="18"/>
    </row>
    <row r="201" customFormat="false" ht="18" hidden="false" customHeight="true" outlineLevel="0" collapsed="false">
      <c r="A201" s="107" t="str">
        <f aca="false">IF($E201="","",ROW()-3)</f>
        <v/>
      </c>
      <c r="B201" s="110" t="str">
        <f aca="false">IF($E201="","",INDEX(进销存对接!$C$4:$C$305,66))</f>
        <v/>
      </c>
      <c r="C201" s="67" t="str">
        <f aca="false">IF($E201="","","记-"&amp;TEXT($B201,"YYYYMM")&amp;"-进销存")</f>
        <v/>
      </c>
      <c r="D201" s="107" t="str">
        <f aca="false">IF($E201="","",INDEX(进销存对接!$D$4:$D$305,66)&amp;" "&amp;TEXT($B201,"YYYY年M月")&amp;" 自动结转")</f>
        <v/>
      </c>
      <c r="E201" s="67" t="str">
        <f aca="false">IF(INDEX(进销存对接!$M$4:$U$305,66,7)=0,"",INDEX(进销存对接!$M$4:$U$305,66,7))</f>
        <v/>
      </c>
      <c r="F201" s="99" t="str">
        <f aca="false">IF($E201="","",IFERROR(INDEX(科目表!$A$4:$A$81,MATCH($E201,科目表!$B$4:$B$81,0)),""))</f>
        <v/>
      </c>
      <c r="G201" s="67" t="str">
        <f aca="false">IF($E201="","",IFERROR(INDEX(科目表!$E$4:$E$81,MATCH($E201,科目表!$B$4:$B$81,0)),""))</f>
        <v/>
      </c>
      <c r="H201" s="70" t="str">
        <f aca="false">IF($E201="","",N(INDEX(进销存对接!$M$4:$U$305,66,8)))</f>
        <v/>
      </c>
      <c r="I201" s="70" t="str">
        <f aca="false">IF($E201="","",N(INDEX(进销存对接!$M$4:$U$305,66,9)))</f>
        <v/>
      </c>
      <c r="J201" s="67"/>
      <c r="K201" s="67" t="str">
        <f aca="false">IF($E201="","",INDEX(进销存对接!$D$4:$D$305,66))</f>
        <v/>
      </c>
      <c r="L201" s="107"/>
      <c r="M201" s="107"/>
      <c r="N201" s="67" t="str">
        <f aca="false">IF($E201="","","系统")</f>
        <v/>
      </c>
      <c r="O201" s="67" t="str">
        <f aca="false">IF($E201="","","自动A")</f>
        <v/>
      </c>
      <c r="P201" s="18"/>
    </row>
    <row r="202" customFormat="false" ht="18" hidden="false" customHeight="true" outlineLevel="0" collapsed="false">
      <c r="A202" s="107" t="str">
        <f aca="false">IF($E202="","",ROW()-3)</f>
        <v/>
      </c>
      <c r="B202" s="110" t="str">
        <f aca="false">IF($E202="","",INDEX(进销存对接!$C$4:$C$305,67))</f>
        <v/>
      </c>
      <c r="C202" s="67" t="str">
        <f aca="false">IF($E202="","","记-"&amp;TEXT($B202,"YYYYMM")&amp;"-进销存")</f>
        <v/>
      </c>
      <c r="D202" s="107" t="str">
        <f aca="false">IF($E202="","",INDEX(进销存对接!$D$4:$D$305,67)&amp;" "&amp;TEXT($B202,"YYYY年M月")&amp;" 自动结转")</f>
        <v/>
      </c>
      <c r="E202" s="67" t="str">
        <f aca="false">IF(INDEX(进销存对接!$M$4:$U$305,67,1)=0,"",INDEX(进销存对接!$M$4:$U$305,67,1))</f>
        <v/>
      </c>
      <c r="F202" s="99" t="str">
        <f aca="false">IF($E202="","",IFERROR(INDEX(科目表!$A$4:$A$81,MATCH($E202,科目表!$B$4:$B$81,0)),""))</f>
        <v/>
      </c>
      <c r="G202" s="67" t="str">
        <f aca="false">IF($E202="","",IFERROR(INDEX(科目表!$E$4:$E$81,MATCH($E202,科目表!$B$4:$B$81,0)),""))</f>
        <v/>
      </c>
      <c r="H202" s="70" t="str">
        <f aca="false">IF($E202="","",N(INDEX(进销存对接!$M$4:$U$305,67,2)))</f>
        <v/>
      </c>
      <c r="I202" s="70" t="str">
        <f aca="false">IF($E202="","",N(INDEX(进销存对接!$M$4:$U$305,67,3)))</f>
        <v/>
      </c>
      <c r="J202" s="67"/>
      <c r="K202" s="67" t="str">
        <f aca="false">IF($E202="","",INDEX(进销存对接!$D$4:$D$305,67))</f>
        <v/>
      </c>
      <c r="L202" s="107"/>
      <c r="M202" s="107"/>
      <c r="N202" s="67" t="str">
        <f aca="false">IF($E202="","","系统")</f>
        <v/>
      </c>
      <c r="O202" s="67" t="str">
        <f aca="false">IF($E202="","","自动A")</f>
        <v/>
      </c>
      <c r="P202" s="18"/>
    </row>
    <row r="203" customFormat="false" ht="18" hidden="false" customHeight="true" outlineLevel="0" collapsed="false">
      <c r="A203" s="107" t="str">
        <f aca="false">IF($E203="","",ROW()-3)</f>
        <v/>
      </c>
      <c r="B203" s="110" t="str">
        <f aca="false">IF($E203="","",INDEX(进销存对接!$C$4:$C$305,67))</f>
        <v/>
      </c>
      <c r="C203" s="67" t="str">
        <f aca="false">IF($E203="","","记-"&amp;TEXT($B203,"YYYYMM")&amp;"-进销存")</f>
        <v/>
      </c>
      <c r="D203" s="107" t="str">
        <f aca="false">IF($E203="","",INDEX(进销存对接!$D$4:$D$305,67)&amp;" "&amp;TEXT($B203,"YYYY年M月")&amp;" 自动结转")</f>
        <v/>
      </c>
      <c r="E203" s="67" t="str">
        <f aca="false">IF(INDEX(进销存对接!$M$4:$U$305,67,4)=0,"",INDEX(进销存对接!$M$4:$U$305,67,4))</f>
        <v/>
      </c>
      <c r="F203" s="99" t="str">
        <f aca="false">IF($E203="","",IFERROR(INDEX(科目表!$A$4:$A$81,MATCH($E203,科目表!$B$4:$B$81,0)),""))</f>
        <v/>
      </c>
      <c r="G203" s="67" t="str">
        <f aca="false">IF($E203="","",IFERROR(INDEX(科目表!$E$4:$E$81,MATCH($E203,科目表!$B$4:$B$81,0)),""))</f>
        <v/>
      </c>
      <c r="H203" s="70" t="str">
        <f aca="false">IF($E203="","",N(INDEX(进销存对接!$M$4:$U$305,67,5)))</f>
        <v/>
      </c>
      <c r="I203" s="70" t="str">
        <f aca="false">IF($E203="","",N(INDEX(进销存对接!$M$4:$U$305,67,6)))</f>
        <v/>
      </c>
      <c r="J203" s="67"/>
      <c r="K203" s="67" t="str">
        <f aca="false">IF($E203="","",INDEX(进销存对接!$D$4:$D$305,67))</f>
        <v/>
      </c>
      <c r="L203" s="107"/>
      <c r="M203" s="107"/>
      <c r="N203" s="67" t="str">
        <f aca="false">IF($E203="","","系统")</f>
        <v/>
      </c>
      <c r="O203" s="67" t="str">
        <f aca="false">IF($E203="","","自动A")</f>
        <v/>
      </c>
      <c r="P203" s="18"/>
    </row>
    <row r="204" customFormat="false" ht="18" hidden="false" customHeight="true" outlineLevel="0" collapsed="false">
      <c r="A204" s="107" t="str">
        <f aca="false">IF($E204="","",ROW()-3)</f>
        <v/>
      </c>
      <c r="B204" s="110" t="str">
        <f aca="false">IF($E204="","",INDEX(进销存对接!$C$4:$C$305,67))</f>
        <v/>
      </c>
      <c r="C204" s="67" t="str">
        <f aca="false">IF($E204="","","记-"&amp;TEXT($B204,"YYYYMM")&amp;"-进销存")</f>
        <v/>
      </c>
      <c r="D204" s="107" t="str">
        <f aca="false">IF($E204="","",INDEX(进销存对接!$D$4:$D$305,67)&amp;" "&amp;TEXT($B204,"YYYY年M月")&amp;" 自动结转")</f>
        <v/>
      </c>
      <c r="E204" s="67" t="str">
        <f aca="false">IF(INDEX(进销存对接!$M$4:$U$305,67,7)=0,"",INDEX(进销存对接!$M$4:$U$305,67,7))</f>
        <v/>
      </c>
      <c r="F204" s="99" t="str">
        <f aca="false">IF($E204="","",IFERROR(INDEX(科目表!$A$4:$A$81,MATCH($E204,科目表!$B$4:$B$81,0)),""))</f>
        <v/>
      </c>
      <c r="G204" s="67" t="str">
        <f aca="false">IF($E204="","",IFERROR(INDEX(科目表!$E$4:$E$81,MATCH($E204,科目表!$B$4:$B$81,0)),""))</f>
        <v/>
      </c>
      <c r="H204" s="70" t="str">
        <f aca="false">IF($E204="","",N(INDEX(进销存对接!$M$4:$U$305,67,8)))</f>
        <v/>
      </c>
      <c r="I204" s="70" t="str">
        <f aca="false">IF($E204="","",N(INDEX(进销存对接!$M$4:$U$305,67,9)))</f>
        <v/>
      </c>
      <c r="J204" s="67"/>
      <c r="K204" s="67" t="str">
        <f aca="false">IF($E204="","",INDEX(进销存对接!$D$4:$D$305,67))</f>
        <v/>
      </c>
      <c r="L204" s="107"/>
      <c r="M204" s="107"/>
      <c r="N204" s="67" t="str">
        <f aca="false">IF($E204="","","系统")</f>
        <v/>
      </c>
      <c r="O204" s="67" t="str">
        <f aca="false">IF($E204="","","自动A")</f>
        <v/>
      </c>
      <c r="P204" s="18"/>
    </row>
    <row r="205" customFormat="false" ht="18" hidden="false" customHeight="true" outlineLevel="0" collapsed="false">
      <c r="A205" s="107" t="str">
        <f aca="false">IF($E205="","",ROW()-3)</f>
        <v/>
      </c>
      <c r="B205" s="110" t="str">
        <f aca="false">IF($E205="","",INDEX(进销存对接!$C$4:$C$305,68))</f>
        <v/>
      </c>
      <c r="C205" s="67" t="str">
        <f aca="false">IF($E205="","","记-"&amp;TEXT($B205,"YYYYMM")&amp;"-进销存")</f>
        <v/>
      </c>
      <c r="D205" s="107" t="str">
        <f aca="false">IF($E205="","",INDEX(进销存对接!$D$4:$D$305,68)&amp;" "&amp;TEXT($B205,"YYYY年M月")&amp;" 自动结转")</f>
        <v/>
      </c>
      <c r="E205" s="67" t="str">
        <f aca="false">IF(INDEX(进销存对接!$M$4:$U$305,68,1)=0,"",INDEX(进销存对接!$M$4:$U$305,68,1))</f>
        <v/>
      </c>
      <c r="F205" s="99" t="str">
        <f aca="false">IF($E205="","",IFERROR(INDEX(科目表!$A$4:$A$81,MATCH($E205,科目表!$B$4:$B$81,0)),""))</f>
        <v/>
      </c>
      <c r="G205" s="67" t="str">
        <f aca="false">IF($E205="","",IFERROR(INDEX(科目表!$E$4:$E$81,MATCH($E205,科目表!$B$4:$B$81,0)),""))</f>
        <v/>
      </c>
      <c r="H205" s="70" t="str">
        <f aca="false">IF($E205="","",N(INDEX(进销存对接!$M$4:$U$305,68,2)))</f>
        <v/>
      </c>
      <c r="I205" s="70" t="str">
        <f aca="false">IF($E205="","",N(INDEX(进销存对接!$M$4:$U$305,68,3)))</f>
        <v/>
      </c>
      <c r="J205" s="67"/>
      <c r="K205" s="67" t="str">
        <f aca="false">IF($E205="","",INDEX(进销存对接!$D$4:$D$305,68))</f>
        <v/>
      </c>
      <c r="L205" s="107"/>
      <c r="M205" s="107"/>
      <c r="N205" s="67" t="str">
        <f aca="false">IF($E205="","","系统")</f>
        <v/>
      </c>
      <c r="O205" s="67" t="str">
        <f aca="false">IF($E205="","","自动A")</f>
        <v/>
      </c>
      <c r="P205" s="18"/>
    </row>
    <row r="206" customFormat="false" ht="18" hidden="false" customHeight="true" outlineLevel="0" collapsed="false">
      <c r="A206" s="107" t="str">
        <f aca="false">IF($E206="","",ROW()-3)</f>
        <v/>
      </c>
      <c r="B206" s="110" t="str">
        <f aca="false">IF($E206="","",INDEX(进销存对接!$C$4:$C$305,68))</f>
        <v/>
      </c>
      <c r="C206" s="67" t="str">
        <f aca="false">IF($E206="","","记-"&amp;TEXT($B206,"YYYYMM")&amp;"-进销存")</f>
        <v/>
      </c>
      <c r="D206" s="107" t="str">
        <f aca="false">IF($E206="","",INDEX(进销存对接!$D$4:$D$305,68)&amp;" "&amp;TEXT($B206,"YYYY年M月")&amp;" 自动结转")</f>
        <v/>
      </c>
      <c r="E206" s="67" t="str">
        <f aca="false">IF(INDEX(进销存对接!$M$4:$U$305,68,4)=0,"",INDEX(进销存对接!$M$4:$U$305,68,4))</f>
        <v/>
      </c>
      <c r="F206" s="99" t="str">
        <f aca="false">IF($E206="","",IFERROR(INDEX(科目表!$A$4:$A$81,MATCH($E206,科目表!$B$4:$B$81,0)),""))</f>
        <v/>
      </c>
      <c r="G206" s="67" t="str">
        <f aca="false">IF($E206="","",IFERROR(INDEX(科目表!$E$4:$E$81,MATCH($E206,科目表!$B$4:$B$81,0)),""))</f>
        <v/>
      </c>
      <c r="H206" s="70" t="str">
        <f aca="false">IF($E206="","",N(INDEX(进销存对接!$M$4:$U$305,68,5)))</f>
        <v/>
      </c>
      <c r="I206" s="70" t="str">
        <f aca="false">IF($E206="","",N(INDEX(进销存对接!$M$4:$U$305,68,6)))</f>
        <v/>
      </c>
      <c r="J206" s="67"/>
      <c r="K206" s="67" t="str">
        <f aca="false">IF($E206="","",INDEX(进销存对接!$D$4:$D$305,68))</f>
        <v/>
      </c>
      <c r="L206" s="107"/>
      <c r="M206" s="107"/>
      <c r="N206" s="67" t="str">
        <f aca="false">IF($E206="","","系统")</f>
        <v/>
      </c>
      <c r="O206" s="67" t="str">
        <f aca="false">IF($E206="","","自动A")</f>
        <v/>
      </c>
      <c r="P206" s="18"/>
    </row>
    <row r="207" customFormat="false" ht="18" hidden="false" customHeight="true" outlineLevel="0" collapsed="false">
      <c r="A207" s="107" t="str">
        <f aca="false">IF($E207="","",ROW()-3)</f>
        <v/>
      </c>
      <c r="B207" s="110" t="str">
        <f aca="false">IF($E207="","",INDEX(进销存对接!$C$4:$C$305,68))</f>
        <v/>
      </c>
      <c r="C207" s="67" t="str">
        <f aca="false">IF($E207="","","记-"&amp;TEXT($B207,"YYYYMM")&amp;"-进销存")</f>
        <v/>
      </c>
      <c r="D207" s="107" t="str">
        <f aca="false">IF($E207="","",INDEX(进销存对接!$D$4:$D$305,68)&amp;" "&amp;TEXT($B207,"YYYY年M月")&amp;" 自动结转")</f>
        <v/>
      </c>
      <c r="E207" s="67" t="str">
        <f aca="false">IF(INDEX(进销存对接!$M$4:$U$305,68,7)=0,"",INDEX(进销存对接!$M$4:$U$305,68,7))</f>
        <v/>
      </c>
      <c r="F207" s="99" t="str">
        <f aca="false">IF($E207="","",IFERROR(INDEX(科目表!$A$4:$A$81,MATCH($E207,科目表!$B$4:$B$81,0)),""))</f>
        <v/>
      </c>
      <c r="G207" s="67" t="str">
        <f aca="false">IF($E207="","",IFERROR(INDEX(科目表!$E$4:$E$81,MATCH($E207,科目表!$B$4:$B$81,0)),""))</f>
        <v/>
      </c>
      <c r="H207" s="70" t="str">
        <f aca="false">IF($E207="","",N(INDEX(进销存对接!$M$4:$U$305,68,8)))</f>
        <v/>
      </c>
      <c r="I207" s="70" t="str">
        <f aca="false">IF($E207="","",N(INDEX(进销存对接!$M$4:$U$305,68,9)))</f>
        <v/>
      </c>
      <c r="J207" s="67"/>
      <c r="K207" s="67" t="str">
        <f aca="false">IF($E207="","",INDEX(进销存对接!$D$4:$D$305,68))</f>
        <v/>
      </c>
      <c r="L207" s="107"/>
      <c r="M207" s="107"/>
      <c r="N207" s="67" t="str">
        <f aca="false">IF($E207="","","系统")</f>
        <v/>
      </c>
      <c r="O207" s="67" t="str">
        <f aca="false">IF($E207="","","自动A")</f>
        <v/>
      </c>
      <c r="P207" s="18"/>
    </row>
    <row r="208" customFormat="false" ht="18" hidden="false" customHeight="true" outlineLevel="0" collapsed="false">
      <c r="A208" s="107" t="str">
        <f aca="false">IF($E208="","",ROW()-3)</f>
        <v/>
      </c>
      <c r="B208" s="110" t="str">
        <f aca="false">IF($E208="","",INDEX(进销存对接!$C$4:$C$305,69))</f>
        <v/>
      </c>
      <c r="C208" s="67" t="str">
        <f aca="false">IF($E208="","","记-"&amp;TEXT($B208,"YYYYMM")&amp;"-进销存")</f>
        <v/>
      </c>
      <c r="D208" s="107" t="str">
        <f aca="false">IF($E208="","",INDEX(进销存对接!$D$4:$D$305,69)&amp;" "&amp;TEXT($B208,"YYYY年M月")&amp;" 自动结转")</f>
        <v/>
      </c>
      <c r="E208" s="67" t="str">
        <f aca="false">IF(INDEX(进销存对接!$M$4:$U$305,69,1)=0,"",INDEX(进销存对接!$M$4:$U$305,69,1))</f>
        <v/>
      </c>
      <c r="F208" s="99" t="str">
        <f aca="false">IF($E208="","",IFERROR(INDEX(科目表!$A$4:$A$81,MATCH($E208,科目表!$B$4:$B$81,0)),""))</f>
        <v/>
      </c>
      <c r="G208" s="67" t="str">
        <f aca="false">IF($E208="","",IFERROR(INDEX(科目表!$E$4:$E$81,MATCH($E208,科目表!$B$4:$B$81,0)),""))</f>
        <v/>
      </c>
      <c r="H208" s="70" t="str">
        <f aca="false">IF($E208="","",N(INDEX(进销存对接!$M$4:$U$305,69,2)))</f>
        <v/>
      </c>
      <c r="I208" s="70" t="str">
        <f aca="false">IF($E208="","",N(INDEX(进销存对接!$M$4:$U$305,69,3)))</f>
        <v/>
      </c>
      <c r="J208" s="67"/>
      <c r="K208" s="67" t="str">
        <f aca="false">IF($E208="","",INDEX(进销存对接!$D$4:$D$305,69))</f>
        <v/>
      </c>
      <c r="L208" s="107"/>
      <c r="M208" s="107"/>
      <c r="N208" s="67" t="str">
        <f aca="false">IF($E208="","","系统")</f>
        <v/>
      </c>
      <c r="O208" s="67" t="str">
        <f aca="false">IF($E208="","","自动A")</f>
        <v/>
      </c>
      <c r="P208" s="18"/>
    </row>
    <row r="209" customFormat="false" ht="18" hidden="false" customHeight="true" outlineLevel="0" collapsed="false">
      <c r="A209" s="107" t="str">
        <f aca="false">IF($E209="","",ROW()-3)</f>
        <v/>
      </c>
      <c r="B209" s="110" t="str">
        <f aca="false">IF($E209="","",INDEX(进销存对接!$C$4:$C$305,69))</f>
        <v/>
      </c>
      <c r="C209" s="67" t="str">
        <f aca="false">IF($E209="","","记-"&amp;TEXT($B209,"YYYYMM")&amp;"-进销存")</f>
        <v/>
      </c>
      <c r="D209" s="107" t="str">
        <f aca="false">IF($E209="","",INDEX(进销存对接!$D$4:$D$305,69)&amp;" "&amp;TEXT($B209,"YYYY年M月")&amp;" 自动结转")</f>
        <v/>
      </c>
      <c r="E209" s="67" t="str">
        <f aca="false">IF(INDEX(进销存对接!$M$4:$U$305,69,4)=0,"",INDEX(进销存对接!$M$4:$U$305,69,4))</f>
        <v/>
      </c>
      <c r="F209" s="99" t="str">
        <f aca="false">IF($E209="","",IFERROR(INDEX(科目表!$A$4:$A$81,MATCH($E209,科目表!$B$4:$B$81,0)),""))</f>
        <v/>
      </c>
      <c r="G209" s="67" t="str">
        <f aca="false">IF($E209="","",IFERROR(INDEX(科目表!$E$4:$E$81,MATCH($E209,科目表!$B$4:$B$81,0)),""))</f>
        <v/>
      </c>
      <c r="H209" s="70" t="str">
        <f aca="false">IF($E209="","",N(INDEX(进销存对接!$M$4:$U$305,69,5)))</f>
        <v/>
      </c>
      <c r="I209" s="70" t="str">
        <f aca="false">IF($E209="","",N(INDEX(进销存对接!$M$4:$U$305,69,6)))</f>
        <v/>
      </c>
      <c r="J209" s="67"/>
      <c r="K209" s="67" t="str">
        <f aca="false">IF($E209="","",INDEX(进销存对接!$D$4:$D$305,69))</f>
        <v/>
      </c>
      <c r="L209" s="107"/>
      <c r="M209" s="107"/>
      <c r="N209" s="67" t="str">
        <f aca="false">IF($E209="","","系统")</f>
        <v/>
      </c>
      <c r="O209" s="67" t="str">
        <f aca="false">IF($E209="","","自动A")</f>
        <v/>
      </c>
      <c r="P209" s="18"/>
    </row>
    <row r="210" customFormat="false" ht="18" hidden="false" customHeight="true" outlineLevel="0" collapsed="false">
      <c r="A210" s="107" t="str">
        <f aca="false">IF($E210="","",ROW()-3)</f>
        <v/>
      </c>
      <c r="B210" s="110" t="str">
        <f aca="false">IF($E210="","",INDEX(进销存对接!$C$4:$C$305,69))</f>
        <v/>
      </c>
      <c r="C210" s="67" t="str">
        <f aca="false">IF($E210="","","记-"&amp;TEXT($B210,"YYYYMM")&amp;"-进销存")</f>
        <v/>
      </c>
      <c r="D210" s="107" t="str">
        <f aca="false">IF($E210="","",INDEX(进销存对接!$D$4:$D$305,69)&amp;" "&amp;TEXT($B210,"YYYY年M月")&amp;" 自动结转")</f>
        <v/>
      </c>
      <c r="E210" s="67" t="str">
        <f aca="false">IF(INDEX(进销存对接!$M$4:$U$305,69,7)=0,"",INDEX(进销存对接!$M$4:$U$305,69,7))</f>
        <v/>
      </c>
      <c r="F210" s="99" t="str">
        <f aca="false">IF($E210="","",IFERROR(INDEX(科目表!$A$4:$A$81,MATCH($E210,科目表!$B$4:$B$81,0)),""))</f>
        <v/>
      </c>
      <c r="G210" s="67" t="str">
        <f aca="false">IF($E210="","",IFERROR(INDEX(科目表!$E$4:$E$81,MATCH($E210,科目表!$B$4:$B$81,0)),""))</f>
        <v/>
      </c>
      <c r="H210" s="70" t="str">
        <f aca="false">IF($E210="","",N(INDEX(进销存对接!$M$4:$U$305,69,8)))</f>
        <v/>
      </c>
      <c r="I210" s="70" t="str">
        <f aca="false">IF($E210="","",N(INDEX(进销存对接!$M$4:$U$305,69,9)))</f>
        <v/>
      </c>
      <c r="J210" s="67"/>
      <c r="K210" s="67" t="str">
        <f aca="false">IF($E210="","",INDEX(进销存对接!$D$4:$D$305,69))</f>
        <v/>
      </c>
      <c r="L210" s="107"/>
      <c r="M210" s="107"/>
      <c r="N210" s="67" t="str">
        <f aca="false">IF($E210="","","系统")</f>
        <v/>
      </c>
      <c r="O210" s="67" t="str">
        <f aca="false">IF($E210="","","自动A")</f>
        <v/>
      </c>
      <c r="P210" s="18"/>
    </row>
    <row r="211" customFormat="false" ht="18" hidden="false" customHeight="true" outlineLevel="0" collapsed="false">
      <c r="A211" s="107" t="str">
        <f aca="false">IF($E211="","",ROW()-3)</f>
        <v/>
      </c>
      <c r="B211" s="110" t="str">
        <f aca="false">IF($E211="","",INDEX(进销存对接!$C$4:$C$305,70))</f>
        <v/>
      </c>
      <c r="C211" s="67" t="str">
        <f aca="false">IF($E211="","","记-"&amp;TEXT($B211,"YYYYMM")&amp;"-进销存")</f>
        <v/>
      </c>
      <c r="D211" s="107" t="str">
        <f aca="false">IF($E211="","",INDEX(进销存对接!$D$4:$D$305,70)&amp;" "&amp;TEXT($B211,"YYYY年M月")&amp;" 自动结转")</f>
        <v/>
      </c>
      <c r="E211" s="67" t="str">
        <f aca="false">IF(INDEX(进销存对接!$M$4:$U$305,70,1)=0,"",INDEX(进销存对接!$M$4:$U$305,70,1))</f>
        <v/>
      </c>
      <c r="F211" s="99" t="str">
        <f aca="false">IF($E211="","",IFERROR(INDEX(科目表!$A$4:$A$81,MATCH($E211,科目表!$B$4:$B$81,0)),""))</f>
        <v/>
      </c>
      <c r="G211" s="67" t="str">
        <f aca="false">IF($E211="","",IFERROR(INDEX(科目表!$E$4:$E$81,MATCH($E211,科目表!$B$4:$B$81,0)),""))</f>
        <v/>
      </c>
      <c r="H211" s="70" t="str">
        <f aca="false">IF($E211="","",N(INDEX(进销存对接!$M$4:$U$305,70,2)))</f>
        <v/>
      </c>
      <c r="I211" s="70" t="str">
        <f aca="false">IF($E211="","",N(INDEX(进销存对接!$M$4:$U$305,70,3)))</f>
        <v/>
      </c>
      <c r="J211" s="67"/>
      <c r="K211" s="67" t="str">
        <f aca="false">IF($E211="","",INDEX(进销存对接!$D$4:$D$305,70))</f>
        <v/>
      </c>
      <c r="L211" s="107"/>
      <c r="M211" s="107"/>
      <c r="N211" s="67" t="str">
        <f aca="false">IF($E211="","","系统")</f>
        <v/>
      </c>
      <c r="O211" s="67" t="str">
        <f aca="false">IF($E211="","","自动A")</f>
        <v/>
      </c>
      <c r="P211" s="18"/>
    </row>
    <row r="212" customFormat="false" ht="18" hidden="false" customHeight="true" outlineLevel="0" collapsed="false">
      <c r="A212" s="107" t="str">
        <f aca="false">IF($E212="","",ROW()-3)</f>
        <v/>
      </c>
      <c r="B212" s="110" t="str">
        <f aca="false">IF($E212="","",INDEX(进销存对接!$C$4:$C$305,70))</f>
        <v/>
      </c>
      <c r="C212" s="67" t="str">
        <f aca="false">IF($E212="","","记-"&amp;TEXT($B212,"YYYYMM")&amp;"-进销存")</f>
        <v/>
      </c>
      <c r="D212" s="107" t="str">
        <f aca="false">IF($E212="","",INDEX(进销存对接!$D$4:$D$305,70)&amp;" "&amp;TEXT($B212,"YYYY年M月")&amp;" 自动结转")</f>
        <v/>
      </c>
      <c r="E212" s="67" t="str">
        <f aca="false">IF(INDEX(进销存对接!$M$4:$U$305,70,4)=0,"",INDEX(进销存对接!$M$4:$U$305,70,4))</f>
        <v/>
      </c>
      <c r="F212" s="99" t="str">
        <f aca="false">IF($E212="","",IFERROR(INDEX(科目表!$A$4:$A$81,MATCH($E212,科目表!$B$4:$B$81,0)),""))</f>
        <v/>
      </c>
      <c r="G212" s="67" t="str">
        <f aca="false">IF($E212="","",IFERROR(INDEX(科目表!$E$4:$E$81,MATCH($E212,科目表!$B$4:$B$81,0)),""))</f>
        <v/>
      </c>
      <c r="H212" s="70" t="str">
        <f aca="false">IF($E212="","",N(INDEX(进销存对接!$M$4:$U$305,70,5)))</f>
        <v/>
      </c>
      <c r="I212" s="70" t="str">
        <f aca="false">IF($E212="","",N(INDEX(进销存对接!$M$4:$U$305,70,6)))</f>
        <v/>
      </c>
      <c r="J212" s="67"/>
      <c r="K212" s="67" t="str">
        <f aca="false">IF($E212="","",INDEX(进销存对接!$D$4:$D$305,70))</f>
        <v/>
      </c>
      <c r="L212" s="107"/>
      <c r="M212" s="107"/>
      <c r="N212" s="67" t="str">
        <f aca="false">IF($E212="","","系统")</f>
        <v/>
      </c>
      <c r="O212" s="67" t="str">
        <f aca="false">IF($E212="","","自动A")</f>
        <v/>
      </c>
      <c r="P212" s="18"/>
    </row>
    <row r="213" customFormat="false" ht="18" hidden="false" customHeight="true" outlineLevel="0" collapsed="false">
      <c r="A213" s="107" t="str">
        <f aca="false">IF($E213="","",ROW()-3)</f>
        <v/>
      </c>
      <c r="B213" s="110" t="str">
        <f aca="false">IF($E213="","",INDEX(进销存对接!$C$4:$C$305,70))</f>
        <v/>
      </c>
      <c r="C213" s="67" t="str">
        <f aca="false">IF($E213="","","记-"&amp;TEXT($B213,"YYYYMM")&amp;"-进销存")</f>
        <v/>
      </c>
      <c r="D213" s="107" t="str">
        <f aca="false">IF($E213="","",INDEX(进销存对接!$D$4:$D$305,70)&amp;" "&amp;TEXT($B213,"YYYY年M月")&amp;" 自动结转")</f>
        <v/>
      </c>
      <c r="E213" s="67" t="str">
        <f aca="false">IF(INDEX(进销存对接!$M$4:$U$305,70,7)=0,"",INDEX(进销存对接!$M$4:$U$305,70,7))</f>
        <v/>
      </c>
      <c r="F213" s="99" t="str">
        <f aca="false">IF($E213="","",IFERROR(INDEX(科目表!$A$4:$A$81,MATCH($E213,科目表!$B$4:$B$81,0)),""))</f>
        <v/>
      </c>
      <c r="G213" s="67" t="str">
        <f aca="false">IF($E213="","",IFERROR(INDEX(科目表!$E$4:$E$81,MATCH($E213,科目表!$B$4:$B$81,0)),""))</f>
        <v/>
      </c>
      <c r="H213" s="70" t="str">
        <f aca="false">IF($E213="","",N(INDEX(进销存对接!$M$4:$U$305,70,8)))</f>
        <v/>
      </c>
      <c r="I213" s="70" t="str">
        <f aca="false">IF($E213="","",N(INDEX(进销存对接!$M$4:$U$305,70,9)))</f>
        <v/>
      </c>
      <c r="J213" s="67"/>
      <c r="K213" s="67" t="str">
        <f aca="false">IF($E213="","",INDEX(进销存对接!$D$4:$D$305,70))</f>
        <v/>
      </c>
      <c r="L213" s="107"/>
      <c r="M213" s="107"/>
      <c r="N213" s="67" t="str">
        <f aca="false">IF($E213="","","系统")</f>
        <v/>
      </c>
      <c r="O213" s="67" t="str">
        <f aca="false">IF($E213="","","自动A")</f>
        <v/>
      </c>
      <c r="P213" s="18"/>
    </row>
    <row r="214" customFormat="false" ht="18" hidden="false" customHeight="true" outlineLevel="0" collapsed="false">
      <c r="A214" s="107" t="str">
        <f aca="false">IF($E214="","",ROW()-3)</f>
        <v/>
      </c>
      <c r="B214" s="110" t="str">
        <f aca="false">IF($E214="","",INDEX(进销存对接!$C$4:$C$305,71))</f>
        <v/>
      </c>
      <c r="C214" s="67" t="str">
        <f aca="false">IF($E214="","","记-"&amp;TEXT($B214,"YYYYMM")&amp;"-进销存")</f>
        <v/>
      </c>
      <c r="D214" s="107" t="str">
        <f aca="false">IF($E214="","",INDEX(进销存对接!$D$4:$D$305,71)&amp;" "&amp;TEXT($B214,"YYYY年M月")&amp;" 自动结转")</f>
        <v/>
      </c>
      <c r="E214" s="67" t="str">
        <f aca="false">IF(INDEX(进销存对接!$M$4:$U$305,71,1)=0,"",INDEX(进销存对接!$M$4:$U$305,71,1))</f>
        <v/>
      </c>
      <c r="F214" s="99" t="str">
        <f aca="false">IF($E214="","",IFERROR(INDEX(科目表!$A$4:$A$81,MATCH($E214,科目表!$B$4:$B$81,0)),""))</f>
        <v/>
      </c>
      <c r="G214" s="67" t="str">
        <f aca="false">IF($E214="","",IFERROR(INDEX(科目表!$E$4:$E$81,MATCH($E214,科目表!$B$4:$B$81,0)),""))</f>
        <v/>
      </c>
      <c r="H214" s="70" t="str">
        <f aca="false">IF($E214="","",N(INDEX(进销存对接!$M$4:$U$305,71,2)))</f>
        <v/>
      </c>
      <c r="I214" s="70" t="str">
        <f aca="false">IF($E214="","",N(INDEX(进销存对接!$M$4:$U$305,71,3)))</f>
        <v/>
      </c>
      <c r="J214" s="67"/>
      <c r="K214" s="67" t="str">
        <f aca="false">IF($E214="","",INDEX(进销存对接!$D$4:$D$305,71))</f>
        <v/>
      </c>
      <c r="L214" s="107"/>
      <c r="M214" s="107"/>
      <c r="N214" s="67" t="str">
        <f aca="false">IF($E214="","","系统")</f>
        <v/>
      </c>
      <c r="O214" s="67" t="str">
        <f aca="false">IF($E214="","","自动A")</f>
        <v/>
      </c>
      <c r="P214" s="18"/>
    </row>
    <row r="215" customFormat="false" ht="18" hidden="false" customHeight="true" outlineLevel="0" collapsed="false">
      <c r="A215" s="107" t="str">
        <f aca="false">IF($E215="","",ROW()-3)</f>
        <v/>
      </c>
      <c r="B215" s="110" t="str">
        <f aca="false">IF($E215="","",INDEX(进销存对接!$C$4:$C$305,71))</f>
        <v/>
      </c>
      <c r="C215" s="67" t="str">
        <f aca="false">IF($E215="","","记-"&amp;TEXT($B215,"YYYYMM")&amp;"-进销存")</f>
        <v/>
      </c>
      <c r="D215" s="107" t="str">
        <f aca="false">IF($E215="","",INDEX(进销存对接!$D$4:$D$305,71)&amp;" "&amp;TEXT($B215,"YYYY年M月")&amp;" 自动结转")</f>
        <v/>
      </c>
      <c r="E215" s="67" t="str">
        <f aca="false">IF(INDEX(进销存对接!$M$4:$U$305,71,4)=0,"",INDEX(进销存对接!$M$4:$U$305,71,4))</f>
        <v/>
      </c>
      <c r="F215" s="99" t="str">
        <f aca="false">IF($E215="","",IFERROR(INDEX(科目表!$A$4:$A$81,MATCH($E215,科目表!$B$4:$B$81,0)),""))</f>
        <v/>
      </c>
      <c r="G215" s="67" t="str">
        <f aca="false">IF($E215="","",IFERROR(INDEX(科目表!$E$4:$E$81,MATCH($E215,科目表!$B$4:$B$81,0)),""))</f>
        <v/>
      </c>
      <c r="H215" s="70" t="str">
        <f aca="false">IF($E215="","",N(INDEX(进销存对接!$M$4:$U$305,71,5)))</f>
        <v/>
      </c>
      <c r="I215" s="70" t="str">
        <f aca="false">IF($E215="","",N(INDEX(进销存对接!$M$4:$U$305,71,6)))</f>
        <v/>
      </c>
      <c r="J215" s="67"/>
      <c r="K215" s="67" t="str">
        <f aca="false">IF($E215="","",INDEX(进销存对接!$D$4:$D$305,71))</f>
        <v/>
      </c>
      <c r="L215" s="107"/>
      <c r="M215" s="107"/>
      <c r="N215" s="67" t="str">
        <f aca="false">IF($E215="","","系统")</f>
        <v/>
      </c>
      <c r="O215" s="67" t="str">
        <f aca="false">IF($E215="","","自动A")</f>
        <v/>
      </c>
      <c r="P215" s="18"/>
    </row>
    <row r="216" customFormat="false" ht="18" hidden="false" customHeight="true" outlineLevel="0" collapsed="false">
      <c r="A216" s="107" t="str">
        <f aca="false">IF($E216="","",ROW()-3)</f>
        <v/>
      </c>
      <c r="B216" s="110" t="str">
        <f aca="false">IF($E216="","",INDEX(进销存对接!$C$4:$C$305,71))</f>
        <v/>
      </c>
      <c r="C216" s="67" t="str">
        <f aca="false">IF($E216="","","记-"&amp;TEXT($B216,"YYYYMM")&amp;"-进销存")</f>
        <v/>
      </c>
      <c r="D216" s="107" t="str">
        <f aca="false">IF($E216="","",INDEX(进销存对接!$D$4:$D$305,71)&amp;" "&amp;TEXT($B216,"YYYY年M月")&amp;" 自动结转")</f>
        <v/>
      </c>
      <c r="E216" s="67" t="str">
        <f aca="false">IF(INDEX(进销存对接!$M$4:$U$305,71,7)=0,"",INDEX(进销存对接!$M$4:$U$305,71,7))</f>
        <v/>
      </c>
      <c r="F216" s="99" t="str">
        <f aca="false">IF($E216="","",IFERROR(INDEX(科目表!$A$4:$A$81,MATCH($E216,科目表!$B$4:$B$81,0)),""))</f>
        <v/>
      </c>
      <c r="G216" s="67" t="str">
        <f aca="false">IF($E216="","",IFERROR(INDEX(科目表!$E$4:$E$81,MATCH($E216,科目表!$B$4:$B$81,0)),""))</f>
        <v/>
      </c>
      <c r="H216" s="70" t="str">
        <f aca="false">IF($E216="","",N(INDEX(进销存对接!$M$4:$U$305,71,8)))</f>
        <v/>
      </c>
      <c r="I216" s="70" t="str">
        <f aca="false">IF($E216="","",N(INDEX(进销存对接!$M$4:$U$305,71,9)))</f>
        <v/>
      </c>
      <c r="J216" s="67"/>
      <c r="K216" s="67" t="str">
        <f aca="false">IF($E216="","",INDEX(进销存对接!$D$4:$D$305,71))</f>
        <v/>
      </c>
      <c r="L216" s="107"/>
      <c r="M216" s="107"/>
      <c r="N216" s="67" t="str">
        <f aca="false">IF($E216="","","系统")</f>
        <v/>
      </c>
      <c r="O216" s="67" t="str">
        <f aca="false">IF($E216="","","自动A")</f>
        <v/>
      </c>
      <c r="P216" s="18"/>
    </row>
    <row r="217" customFormat="false" ht="18" hidden="false" customHeight="true" outlineLevel="0" collapsed="false">
      <c r="A217" s="107" t="str">
        <f aca="false">IF($E217="","",ROW()-3)</f>
        <v/>
      </c>
      <c r="B217" s="110" t="str">
        <f aca="false">IF($E217="","",INDEX(进销存对接!$C$4:$C$305,72))</f>
        <v/>
      </c>
      <c r="C217" s="67" t="str">
        <f aca="false">IF($E217="","","记-"&amp;TEXT($B217,"YYYYMM")&amp;"-进销存")</f>
        <v/>
      </c>
      <c r="D217" s="107" t="str">
        <f aca="false">IF($E217="","",INDEX(进销存对接!$D$4:$D$305,72)&amp;" "&amp;TEXT($B217,"YYYY年M月")&amp;" 自动结转")</f>
        <v/>
      </c>
      <c r="E217" s="67" t="str">
        <f aca="false">IF(INDEX(进销存对接!$M$4:$U$305,72,1)=0,"",INDEX(进销存对接!$M$4:$U$305,72,1))</f>
        <v/>
      </c>
      <c r="F217" s="99" t="str">
        <f aca="false">IF($E217="","",IFERROR(INDEX(科目表!$A$4:$A$81,MATCH($E217,科目表!$B$4:$B$81,0)),""))</f>
        <v/>
      </c>
      <c r="G217" s="67" t="str">
        <f aca="false">IF($E217="","",IFERROR(INDEX(科目表!$E$4:$E$81,MATCH($E217,科目表!$B$4:$B$81,0)),""))</f>
        <v/>
      </c>
      <c r="H217" s="70" t="str">
        <f aca="false">IF($E217="","",N(INDEX(进销存对接!$M$4:$U$305,72,2)))</f>
        <v/>
      </c>
      <c r="I217" s="70" t="str">
        <f aca="false">IF($E217="","",N(INDEX(进销存对接!$M$4:$U$305,72,3)))</f>
        <v/>
      </c>
      <c r="J217" s="67"/>
      <c r="K217" s="67" t="str">
        <f aca="false">IF($E217="","",INDEX(进销存对接!$D$4:$D$305,72))</f>
        <v/>
      </c>
      <c r="L217" s="107"/>
      <c r="M217" s="107"/>
      <c r="N217" s="67" t="str">
        <f aca="false">IF($E217="","","系统")</f>
        <v/>
      </c>
      <c r="O217" s="67" t="str">
        <f aca="false">IF($E217="","","自动A")</f>
        <v/>
      </c>
      <c r="P217" s="18"/>
    </row>
    <row r="218" customFormat="false" ht="18" hidden="false" customHeight="true" outlineLevel="0" collapsed="false">
      <c r="A218" s="107" t="str">
        <f aca="false">IF($E218="","",ROW()-3)</f>
        <v/>
      </c>
      <c r="B218" s="110" t="str">
        <f aca="false">IF($E218="","",INDEX(进销存对接!$C$4:$C$305,72))</f>
        <v/>
      </c>
      <c r="C218" s="67" t="str">
        <f aca="false">IF($E218="","","记-"&amp;TEXT($B218,"YYYYMM")&amp;"-进销存")</f>
        <v/>
      </c>
      <c r="D218" s="107" t="str">
        <f aca="false">IF($E218="","",INDEX(进销存对接!$D$4:$D$305,72)&amp;" "&amp;TEXT($B218,"YYYY年M月")&amp;" 自动结转")</f>
        <v/>
      </c>
      <c r="E218" s="67" t="str">
        <f aca="false">IF(INDEX(进销存对接!$M$4:$U$305,72,4)=0,"",INDEX(进销存对接!$M$4:$U$305,72,4))</f>
        <v/>
      </c>
      <c r="F218" s="99" t="str">
        <f aca="false">IF($E218="","",IFERROR(INDEX(科目表!$A$4:$A$81,MATCH($E218,科目表!$B$4:$B$81,0)),""))</f>
        <v/>
      </c>
      <c r="G218" s="67" t="str">
        <f aca="false">IF($E218="","",IFERROR(INDEX(科目表!$E$4:$E$81,MATCH($E218,科目表!$B$4:$B$81,0)),""))</f>
        <v/>
      </c>
      <c r="H218" s="70" t="str">
        <f aca="false">IF($E218="","",N(INDEX(进销存对接!$M$4:$U$305,72,5)))</f>
        <v/>
      </c>
      <c r="I218" s="70" t="str">
        <f aca="false">IF($E218="","",N(INDEX(进销存对接!$M$4:$U$305,72,6)))</f>
        <v/>
      </c>
      <c r="J218" s="67"/>
      <c r="K218" s="67" t="str">
        <f aca="false">IF($E218="","",INDEX(进销存对接!$D$4:$D$305,72))</f>
        <v/>
      </c>
      <c r="L218" s="107"/>
      <c r="M218" s="107"/>
      <c r="N218" s="67" t="str">
        <f aca="false">IF($E218="","","系统")</f>
        <v/>
      </c>
      <c r="O218" s="67" t="str">
        <f aca="false">IF($E218="","","自动A")</f>
        <v/>
      </c>
      <c r="P218" s="18"/>
    </row>
    <row r="219" customFormat="false" ht="18" hidden="false" customHeight="true" outlineLevel="0" collapsed="false">
      <c r="A219" s="107" t="str">
        <f aca="false">IF($E219="","",ROW()-3)</f>
        <v/>
      </c>
      <c r="B219" s="110" t="str">
        <f aca="false">IF($E219="","",INDEX(进销存对接!$C$4:$C$305,72))</f>
        <v/>
      </c>
      <c r="C219" s="67" t="str">
        <f aca="false">IF($E219="","","记-"&amp;TEXT($B219,"YYYYMM")&amp;"-进销存")</f>
        <v/>
      </c>
      <c r="D219" s="107" t="str">
        <f aca="false">IF($E219="","",INDEX(进销存对接!$D$4:$D$305,72)&amp;" "&amp;TEXT($B219,"YYYY年M月")&amp;" 自动结转")</f>
        <v/>
      </c>
      <c r="E219" s="67" t="str">
        <f aca="false">IF(INDEX(进销存对接!$M$4:$U$305,72,7)=0,"",INDEX(进销存对接!$M$4:$U$305,72,7))</f>
        <v/>
      </c>
      <c r="F219" s="99" t="str">
        <f aca="false">IF($E219="","",IFERROR(INDEX(科目表!$A$4:$A$81,MATCH($E219,科目表!$B$4:$B$81,0)),""))</f>
        <v/>
      </c>
      <c r="G219" s="67" t="str">
        <f aca="false">IF($E219="","",IFERROR(INDEX(科目表!$E$4:$E$81,MATCH($E219,科目表!$B$4:$B$81,0)),""))</f>
        <v/>
      </c>
      <c r="H219" s="70" t="str">
        <f aca="false">IF($E219="","",N(INDEX(进销存对接!$M$4:$U$305,72,8)))</f>
        <v/>
      </c>
      <c r="I219" s="70" t="str">
        <f aca="false">IF($E219="","",N(INDEX(进销存对接!$M$4:$U$305,72,9)))</f>
        <v/>
      </c>
      <c r="J219" s="67"/>
      <c r="K219" s="67" t="str">
        <f aca="false">IF($E219="","",INDEX(进销存对接!$D$4:$D$305,72))</f>
        <v/>
      </c>
      <c r="L219" s="107"/>
      <c r="M219" s="107"/>
      <c r="N219" s="67" t="str">
        <f aca="false">IF($E219="","","系统")</f>
        <v/>
      </c>
      <c r="O219" s="67" t="str">
        <f aca="false">IF($E219="","","自动A")</f>
        <v/>
      </c>
      <c r="P219" s="18"/>
    </row>
    <row r="220" customFormat="false" ht="18" hidden="false" customHeight="true" outlineLevel="0" collapsed="false">
      <c r="A220" s="107" t="str">
        <f aca="false">IF($E220="","",ROW()-3)</f>
        <v/>
      </c>
      <c r="B220" s="110" t="str">
        <f aca="false">IF($E220="","",INDEX(进销存对接!$C$4:$C$305,73))</f>
        <v/>
      </c>
      <c r="C220" s="67" t="str">
        <f aca="false">IF($E220="","","记-"&amp;TEXT($B220,"YYYYMM")&amp;"-进销存")</f>
        <v/>
      </c>
      <c r="D220" s="107" t="str">
        <f aca="false">IF($E220="","",INDEX(进销存对接!$D$4:$D$305,73)&amp;" "&amp;TEXT($B220,"YYYY年M月")&amp;" 自动结转")</f>
        <v/>
      </c>
      <c r="E220" s="67" t="str">
        <f aca="false">IF(INDEX(进销存对接!$M$4:$U$305,73,1)=0,"",INDEX(进销存对接!$M$4:$U$305,73,1))</f>
        <v/>
      </c>
      <c r="F220" s="99" t="str">
        <f aca="false">IF($E220="","",IFERROR(INDEX(科目表!$A$4:$A$81,MATCH($E220,科目表!$B$4:$B$81,0)),""))</f>
        <v/>
      </c>
      <c r="G220" s="67" t="str">
        <f aca="false">IF($E220="","",IFERROR(INDEX(科目表!$E$4:$E$81,MATCH($E220,科目表!$B$4:$B$81,0)),""))</f>
        <v/>
      </c>
      <c r="H220" s="70" t="str">
        <f aca="false">IF($E220="","",N(INDEX(进销存对接!$M$4:$U$305,73,2)))</f>
        <v/>
      </c>
      <c r="I220" s="70" t="str">
        <f aca="false">IF($E220="","",N(INDEX(进销存对接!$M$4:$U$305,73,3)))</f>
        <v/>
      </c>
      <c r="J220" s="67"/>
      <c r="K220" s="67" t="str">
        <f aca="false">IF($E220="","",INDEX(进销存对接!$D$4:$D$305,73))</f>
        <v/>
      </c>
      <c r="L220" s="107"/>
      <c r="M220" s="107"/>
      <c r="N220" s="67" t="str">
        <f aca="false">IF($E220="","","系统")</f>
        <v/>
      </c>
      <c r="O220" s="67" t="str">
        <f aca="false">IF($E220="","","自动A")</f>
        <v/>
      </c>
      <c r="P220" s="18"/>
    </row>
    <row r="221" customFormat="false" ht="18" hidden="false" customHeight="true" outlineLevel="0" collapsed="false">
      <c r="A221" s="107" t="str">
        <f aca="false">IF($E221="","",ROW()-3)</f>
        <v/>
      </c>
      <c r="B221" s="110" t="str">
        <f aca="false">IF($E221="","",INDEX(进销存对接!$C$4:$C$305,73))</f>
        <v/>
      </c>
      <c r="C221" s="67" t="str">
        <f aca="false">IF($E221="","","记-"&amp;TEXT($B221,"YYYYMM")&amp;"-进销存")</f>
        <v/>
      </c>
      <c r="D221" s="107" t="str">
        <f aca="false">IF($E221="","",INDEX(进销存对接!$D$4:$D$305,73)&amp;" "&amp;TEXT($B221,"YYYY年M月")&amp;" 自动结转")</f>
        <v/>
      </c>
      <c r="E221" s="67" t="str">
        <f aca="false">IF(INDEX(进销存对接!$M$4:$U$305,73,4)=0,"",INDEX(进销存对接!$M$4:$U$305,73,4))</f>
        <v/>
      </c>
      <c r="F221" s="99" t="str">
        <f aca="false">IF($E221="","",IFERROR(INDEX(科目表!$A$4:$A$81,MATCH($E221,科目表!$B$4:$B$81,0)),""))</f>
        <v/>
      </c>
      <c r="G221" s="67" t="str">
        <f aca="false">IF($E221="","",IFERROR(INDEX(科目表!$E$4:$E$81,MATCH($E221,科目表!$B$4:$B$81,0)),""))</f>
        <v/>
      </c>
      <c r="H221" s="70" t="str">
        <f aca="false">IF($E221="","",N(INDEX(进销存对接!$M$4:$U$305,73,5)))</f>
        <v/>
      </c>
      <c r="I221" s="70" t="str">
        <f aca="false">IF($E221="","",N(INDEX(进销存对接!$M$4:$U$305,73,6)))</f>
        <v/>
      </c>
      <c r="J221" s="67"/>
      <c r="K221" s="67" t="str">
        <f aca="false">IF($E221="","",INDEX(进销存对接!$D$4:$D$305,73))</f>
        <v/>
      </c>
      <c r="L221" s="107"/>
      <c r="M221" s="107"/>
      <c r="N221" s="67" t="str">
        <f aca="false">IF($E221="","","系统")</f>
        <v/>
      </c>
      <c r="O221" s="67" t="str">
        <f aca="false">IF($E221="","","自动A")</f>
        <v/>
      </c>
      <c r="P221" s="18"/>
    </row>
    <row r="222" customFormat="false" ht="18" hidden="false" customHeight="true" outlineLevel="0" collapsed="false">
      <c r="A222" s="107" t="str">
        <f aca="false">IF($E222="","",ROW()-3)</f>
        <v/>
      </c>
      <c r="B222" s="110" t="str">
        <f aca="false">IF($E222="","",INDEX(进销存对接!$C$4:$C$305,73))</f>
        <v/>
      </c>
      <c r="C222" s="67" t="str">
        <f aca="false">IF($E222="","","记-"&amp;TEXT($B222,"YYYYMM")&amp;"-进销存")</f>
        <v/>
      </c>
      <c r="D222" s="107" t="str">
        <f aca="false">IF($E222="","",INDEX(进销存对接!$D$4:$D$305,73)&amp;" "&amp;TEXT($B222,"YYYY年M月")&amp;" 自动结转")</f>
        <v/>
      </c>
      <c r="E222" s="67" t="str">
        <f aca="false">IF(INDEX(进销存对接!$M$4:$U$305,73,7)=0,"",INDEX(进销存对接!$M$4:$U$305,73,7))</f>
        <v/>
      </c>
      <c r="F222" s="99" t="str">
        <f aca="false">IF($E222="","",IFERROR(INDEX(科目表!$A$4:$A$81,MATCH($E222,科目表!$B$4:$B$81,0)),""))</f>
        <v/>
      </c>
      <c r="G222" s="67" t="str">
        <f aca="false">IF($E222="","",IFERROR(INDEX(科目表!$E$4:$E$81,MATCH($E222,科目表!$B$4:$B$81,0)),""))</f>
        <v/>
      </c>
      <c r="H222" s="70" t="str">
        <f aca="false">IF($E222="","",N(INDEX(进销存对接!$M$4:$U$305,73,8)))</f>
        <v/>
      </c>
      <c r="I222" s="70" t="str">
        <f aca="false">IF($E222="","",N(INDEX(进销存对接!$M$4:$U$305,73,9)))</f>
        <v/>
      </c>
      <c r="J222" s="67"/>
      <c r="K222" s="67" t="str">
        <f aca="false">IF($E222="","",INDEX(进销存对接!$D$4:$D$305,73))</f>
        <v/>
      </c>
      <c r="L222" s="107"/>
      <c r="M222" s="107"/>
      <c r="N222" s="67" t="str">
        <f aca="false">IF($E222="","","系统")</f>
        <v/>
      </c>
      <c r="O222" s="67" t="str">
        <f aca="false">IF($E222="","","自动A")</f>
        <v/>
      </c>
      <c r="P222" s="18"/>
    </row>
    <row r="223" customFormat="false" ht="18" hidden="false" customHeight="true" outlineLevel="0" collapsed="false">
      <c r="A223" s="107" t="str">
        <f aca="false">IF($E223="","",ROW()-3)</f>
        <v/>
      </c>
      <c r="B223" s="110" t="str">
        <f aca="false">IF($E223="","",INDEX(进销存对接!$C$4:$C$305,74))</f>
        <v/>
      </c>
      <c r="C223" s="67" t="str">
        <f aca="false">IF($E223="","","记-"&amp;TEXT($B223,"YYYYMM")&amp;"-进销存")</f>
        <v/>
      </c>
      <c r="D223" s="107" t="str">
        <f aca="false">IF($E223="","",INDEX(进销存对接!$D$4:$D$305,74)&amp;" "&amp;TEXT($B223,"YYYY年M月")&amp;" 自动结转")</f>
        <v/>
      </c>
      <c r="E223" s="67" t="str">
        <f aca="false">IF(INDEX(进销存对接!$M$4:$U$305,74,1)=0,"",INDEX(进销存对接!$M$4:$U$305,74,1))</f>
        <v/>
      </c>
      <c r="F223" s="99" t="str">
        <f aca="false">IF($E223="","",IFERROR(INDEX(科目表!$A$4:$A$81,MATCH($E223,科目表!$B$4:$B$81,0)),""))</f>
        <v/>
      </c>
      <c r="G223" s="67" t="str">
        <f aca="false">IF($E223="","",IFERROR(INDEX(科目表!$E$4:$E$81,MATCH($E223,科目表!$B$4:$B$81,0)),""))</f>
        <v/>
      </c>
      <c r="H223" s="70" t="str">
        <f aca="false">IF($E223="","",N(INDEX(进销存对接!$M$4:$U$305,74,2)))</f>
        <v/>
      </c>
      <c r="I223" s="70" t="str">
        <f aca="false">IF($E223="","",N(INDEX(进销存对接!$M$4:$U$305,74,3)))</f>
        <v/>
      </c>
      <c r="J223" s="67"/>
      <c r="K223" s="67" t="str">
        <f aca="false">IF($E223="","",INDEX(进销存对接!$D$4:$D$305,74))</f>
        <v/>
      </c>
      <c r="L223" s="107"/>
      <c r="M223" s="107"/>
      <c r="N223" s="67" t="str">
        <f aca="false">IF($E223="","","系统")</f>
        <v/>
      </c>
      <c r="O223" s="67" t="str">
        <f aca="false">IF($E223="","","自动A")</f>
        <v/>
      </c>
      <c r="P223" s="18"/>
    </row>
    <row r="224" customFormat="false" ht="18" hidden="false" customHeight="true" outlineLevel="0" collapsed="false">
      <c r="A224" s="107" t="str">
        <f aca="false">IF($E224="","",ROW()-3)</f>
        <v/>
      </c>
      <c r="B224" s="110" t="str">
        <f aca="false">IF($E224="","",INDEX(进销存对接!$C$4:$C$305,74))</f>
        <v/>
      </c>
      <c r="C224" s="67" t="str">
        <f aca="false">IF($E224="","","记-"&amp;TEXT($B224,"YYYYMM")&amp;"-进销存")</f>
        <v/>
      </c>
      <c r="D224" s="107" t="str">
        <f aca="false">IF($E224="","",INDEX(进销存对接!$D$4:$D$305,74)&amp;" "&amp;TEXT($B224,"YYYY年M月")&amp;" 自动结转")</f>
        <v/>
      </c>
      <c r="E224" s="67" t="str">
        <f aca="false">IF(INDEX(进销存对接!$M$4:$U$305,74,4)=0,"",INDEX(进销存对接!$M$4:$U$305,74,4))</f>
        <v/>
      </c>
      <c r="F224" s="99" t="str">
        <f aca="false">IF($E224="","",IFERROR(INDEX(科目表!$A$4:$A$81,MATCH($E224,科目表!$B$4:$B$81,0)),""))</f>
        <v/>
      </c>
      <c r="G224" s="67" t="str">
        <f aca="false">IF($E224="","",IFERROR(INDEX(科目表!$E$4:$E$81,MATCH($E224,科目表!$B$4:$B$81,0)),""))</f>
        <v/>
      </c>
      <c r="H224" s="70" t="str">
        <f aca="false">IF($E224="","",N(INDEX(进销存对接!$M$4:$U$305,74,5)))</f>
        <v/>
      </c>
      <c r="I224" s="70" t="str">
        <f aca="false">IF($E224="","",N(INDEX(进销存对接!$M$4:$U$305,74,6)))</f>
        <v/>
      </c>
      <c r="J224" s="67"/>
      <c r="K224" s="67" t="str">
        <f aca="false">IF($E224="","",INDEX(进销存对接!$D$4:$D$305,74))</f>
        <v/>
      </c>
      <c r="L224" s="107"/>
      <c r="M224" s="107"/>
      <c r="N224" s="67" t="str">
        <f aca="false">IF($E224="","","系统")</f>
        <v/>
      </c>
      <c r="O224" s="67" t="str">
        <f aca="false">IF($E224="","","自动A")</f>
        <v/>
      </c>
      <c r="P224" s="18"/>
    </row>
    <row r="225" customFormat="false" ht="18" hidden="false" customHeight="true" outlineLevel="0" collapsed="false">
      <c r="A225" s="107" t="str">
        <f aca="false">IF($E225="","",ROW()-3)</f>
        <v/>
      </c>
      <c r="B225" s="110" t="str">
        <f aca="false">IF($E225="","",INDEX(进销存对接!$C$4:$C$305,74))</f>
        <v/>
      </c>
      <c r="C225" s="67" t="str">
        <f aca="false">IF($E225="","","记-"&amp;TEXT($B225,"YYYYMM")&amp;"-进销存")</f>
        <v/>
      </c>
      <c r="D225" s="107" t="str">
        <f aca="false">IF($E225="","",INDEX(进销存对接!$D$4:$D$305,74)&amp;" "&amp;TEXT($B225,"YYYY年M月")&amp;" 自动结转")</f>
        <v/>
      </c>
      <c r="E225" s="67" t="str">
        <f aca="false">IF(INDEX(进销存对接!$M$4:$U$305,74,7)=0,"",INDEX(进销存对接!$M$4:$U$305,74,7))</f>
        <v/>
      </c>
      <c r="F225" s="99" t="str">
        <f aca="false">IF($E225="","",IFERROR(INDEX(科目表!$A$4:$A$81,MATCH($E225,科目表!$B$4:$B$81,0)),""))</f>
        <v/>
      </c>
      <c r="G225" s="67" t="str">
        <f aca="false">IF($E225="","",IFERROR(INDEX(科目表!$E$4:$E$81,MATCH($E225,科目表!$B$4:$B$81,0)),""))</f>
        <v/>
      </c>
      <c r="H225" s="70" t="str">
        <f aca="false">IF($E225="","",N(INDEX(进销存对接!$M$4:$U$305,74,8)))</f>
        <v/>
      </c>
      <c r="I225" s="70" t="str">
        <f aca="false">IF($E225="","",N(INDEX(进销存对接!$M$4:$U$305,74,9)))</f>
        <v/>
      </c>
      <c r="J225" s="67"/>
      <c r="K225" s="67" t="str">
        <f aca="false">IF($E225="","",INDEX(进销存对接!$D$4:$D$305,74))</f>
        <v/>
      </c>
      <c r="L225" s="107"/>
      <c r="M225" s="107"/>
      <c r="N225" s="67" t="str">
        <f aca="false">IF($E225="","","系统")</f>
        <v/>
      </c>
      <c r="O225" s="67" t="str">
        <f aca="false">IF($E225="","","自动A")</f>
        <v/>
      </c>
      <c r="P225" s="18"/>
    </row>
    <row r="226" customFormat="false" ht="18" hidden="false" customHeight="true" outlineLevel="0" collapsed="false">
      <c r="A226" s="107" t="str">
        <f aca="false">IF($E226="","",ROW()-3)</f>
        <v/>
      </c>
      <c r="B226" s="110" t="str">
        <f aca="false">IF($E226="","",INDEX(进销存对接!$C$4:$C$305,75))</f>
        <v/>
      </c>
      <c r="C226" s="67" t="str">
        <f aca="false">IF($E226="","","记-"&amp;TEXT($B226,"YYYYMM")&amp;"-进销存")</f>
        <v/>
      </c>
      <c r="D226" s="107" t="str">
        <f aca="false">IF($E226="","",INDEX(进销存对接!$D$4:$D$305,75)&amp;" "&amp;TEXT($B226,"YYYY年M月")&amp;" 自动结转")</f>
        <v/>
      </c>
      <c r="E226" s="67" t="str">
        <f aca="false">IF(INDEX(进销存对接!$M$4:$U$305,75,1)=0,"",INDEX(进销存对接!$M$4:$U$305,75,1))</f>
        <v/>
      </c>
      <c r="F226" s="99" t="str">
        <f aca="false">IF($E226="","",IFERROR(INDEX(科目表!$A$4:$A$81,MATCH($E226,科目表!$B$4:$B$81,0)),""))</f>
        <v/>
      </c>
      <c r="G226" s="67" t="str">
        <f aca="false">IF($E226="","",IFERROR(INDEX(科目表!$E$4:$E$81,MATCH($E226,科目表!$B$4:$B$81,0)),""))</f>
        <v/>
      </c>
      <c r="H226" s="70" t="str">
        <f aca="false">IF($E226="","",N(INDEX(进销存对接!$M$4:$U$305,75,2)))</f>
        <v/>
      </c>
      <c r="I226" s="70" t="str">
        <f aca="false">IF($E226="","",N(INDEX(进销存对接!$M$4:$U$305,75,3)))</f>
        <v/>
      </c>
      <c r="J226" s="67"/>
      <c r="K226" s="67" t="str">
        <f aca="false">IF($E226="","",INDEX(进销存对接!$D$4:$D$305,75))</f>
        <v/>
      </c>
      <c r="L226" s="107"/>
      <c r="M226" s="107"/>
      <c r="N226" s="67" t="str">
        <f aca="false">IF($E226="","","系统")</f>
        <v/>
      </c>
      <c r="O226" s="67" t="str">
        <f aca="false">IF($E226="","","自动A")</f>
        <v/>
      </c>
      <c r="P226" s="18"/>
    </row>
    <row r="227" customFormat="false" ht="18" hidden="false" customHeight="true" outlineLevel="0" collapsed="false">
      <c r="A227" s="107" t="str">
        <f aca="false">IF($E227="","",ROW()-3)</f>
        <v/>
      </c>
      <c r="B227" s="110" t="str">
        <f aca="false">IF($E227="","",INDEX(进销存对接!$C$4:$C$305,75))</f>
        <v/>
      </c>
      <c r="C227" s="67" t="str">
        <f aca="false">IF($E227="","","记-"&amp;TEXT($B227,"YYYYMM")&amp;"-进销存")</f>
        <v/>
      </c>
      <c r="D227" s="107" t="str">
        <f aca="false">IF($E227="","",INDEX(进销存对接!$D$4:$D$305,75)&amp;" "&amp;TEXT($B227,"YYYY年M月")&amp;" 自动结转")</f>
        <v/>
      </c>
      <c r="E227" s="67" t="str">
        <f aca="false">IF(INDEX(进销存对接!$M$4:$U$305,75,4)=0,"",INDEX(进销存对接!$M$4:$U$305,75,4))</f>
        <v/>
      </c>
      <c r="F227" s="99" t="str">
        <f aca="false">IF($E227="","",IFERROR(INDEX(科目表!$A$4:$A$81,MATCH($E227,科目表!$B$4:$B$81,0)),""))</f>
        <v/>
      </c>
      <c r="G227" s="67" t="str">
        <f aca="false">IF($E227="","",IFERROR(INDEX(科目表!$E$4:$E$81,MATCH($E227,科目表!$B$4:$B$81,0)),""))</f>
        <v/>
      </c>
      <c r="H227" s="70" t="str">
        <f aca="false">IF($E227="","",N(INDEX(进销存对接!$M$4:$U$305,75,5)))</f>
        <v/>
      </c>
      <c r="I227" s="70" t="str">
        <f aca="false">IF($E227="","",N(INDEX(进销存对接!$M$4:$U$305,75,6)))</f>
        <v/>
      </c>
      <c r="J227" s="67"/>
      <c r="K227" s="67" t="str">
        <f aca="false">IF($E227="","",INDEX(进销存对接!$D$4:$D$305,75))</f>
        <v/>
      </c>
      <c r="L227" s="107"/>
      <c r="M227" s="107"/>
      <c r="N227" s="67" t="str">
        <f aca="false">IF($E227="","","系统")</f>
        <v/>
      </c>
      <c r="O227" s="67" t="str">
        <f aca="false">IF($E227="","","自动A")</f>
        <v/>
      </c>
      <c r="P227" s="18"/>
    </row>
    <row r="228" customFormat="false" ht="18" hidden="false" customHeight="true" outlineLevel="0" collapsed="false">
      <c r="A228" s="107" t="str">
        <f aca="false">IF($E228="","",ROW()-3)</f>
        <v/>
      </c>
      <c r="B228" s="110" t="str">
        <f aca="false">IF($E228="","",INDEX(进销存对接!$C$4:$C$305,75))</f>
        <v/>
      </c>
      <c r="C228" s="67" t="str">
        <f aca="false">IF($E228="","","记-"&amp;TEXT($B228,"YYYYMM")&amp;"-进销存")</f>
        <v/>
      </c>
      <c r="D228" s="107" t="str">
        <f aca="false">IF($E228="","",INDEX(进销存对接!$D$4:$D$305,75)&amp;" "&amp;TEXT($B228,"YYYY年M月")&amp;" 自动结转")</f>
        <v/>
      </c>
      <c r="E228" s="67" t="str">
        <f aca="false">IF(INDEX(进销存对接!$M$4:$U$305,75,7)=0,"",INDEX(进销存对接!$M$4:$U$305,75,7))</f>
        <v/>
      </c>
      <c r="F228" s="99" t="str">
        <f aca="false">IF($E228="","",IFERROR(INDEX(科目表!$A$4:$A$81,MATCH($E228,科目表!$B$4:$B$81,0)),""))</f>
        <v/>
      </c>
      <c r="G228" s="67" t="str">
        <f aca="false">IF($E228="","",IFERROR(INDEX(科目表!$E$4:$E$81,MATCH($E228,科目表!$B$4:$B$81,0)),""))</f>
        <v/>
      </c>
      <c r="H228" s="70" t="str">
        <f aca="false">IF($E228="","",N(INDEX(进销存对接!$M$4:$U$305,75,8)))</f>
        <v/>
      </c>
      <c r="I228" s="70" t="str">
        <f aca="false">IF($E228="","",N(INDEX(进销存对接!$M$4:$U$305,75,9)))</f>
        <v/>
      </c>
      <c r="J228" s="67"/>
      <c r="K228" s="67" t="str">
        <f aca="false">IF($E228="","",INDEX(进销存对接!$D$4:$D$305,75))</f>
        <v/>
      </c>
      <c r="L228" s="107"/>
      <c r="M228" s="107"/>
      <c r="N228" s="67" t="str">
        <f aca="false">IF($E228="","","系统")</f>
        <v/>
      </c>
      <c r="O228" s="67" t="str">
        <f aca="false">IF($E228="","","自动A")</f>
        <v/>
      </c>
      <c r="P228" s="18"/>
    </row>
    <row r="229" customFormat="false" ht="18" hidden="false" customHeight="true" outlineLevel="0" collapsed="false">
      <c r="A229" s="107" t="str">
        <f aca="false">IF($E229="","",ROW()-3)</f>
        <v/>
      </c>
      <c r="B229" s="110" t="str">
        <f aca="false">IF($E229="","",INDEX(进销存对接!$C$4:$C$305,76))</f>
        <v/>
      </c>
      <c r="C229" s="67" t="str">
        <f aca="false">IF($E229="","","记-"&amp;TEXT($B229,"YYYYMM")&amp;"-进销存")</f>
        <v/>
      </c>
      <c r="D229" s="107" t="str">
        <f aca="false">IF($E229="","",INDEX(进销存对接!$D$4:$D$305,76)&amp;" "&amp;TEXT($B229,"YYYY年M月")&amp;" 自动结转")</f>
        <v/>
      </c>
      <c r="E229" s="67" t="str">
        <f aca="false">IF(INDEX(进销存对接!$M$4:$U$305,76,1)=0,"",INDEX(进销存对接!$M$4:$U$305,76,1))</f>
        <v/>
      </c>
      <c r="F229" s="99" t="str">
        <f aca="false">IF($E229="","",IFERROR(INDEX(科目表!$A$4:$A$81,MATCH($E229,科目表!$B$4:$B$81,0)),""))</f>
        <v/>
      </c>
      <c r="G229" s="67" t="str">
        <f aca="false">IF($E229="","",IFERROR(INDEX(科目表!$E$4:$E$81,MATCH($E229,科目表!$B$4:$B$81,0)),""))</f>
        <v/>
      </c>
      <c r="H229" s="70" t="str">
        <f aca="false">IF($E229="","",N(INDEX(进销存对接!$M$4:$U$305,76,2)))</f>
        <v/>
      </c>
      <c r="I229" s="70" t="str">
        <f aca="false">IF($E229="","",N(INDEX(进销存对接!$M$4:$U$305,76,3)))</f>
        <v/>
      </c>
      <c r="J229" s="67"/>
      <c r="K229" s="67" t="str">
        <f aca="false">IF($E229="","",INDEX(进销存对接!$D$4:$D$305,76))</f>
        <v/>
      </c>
      <c r="L229" s="107"/>
      <c r="M229" s="107"/>
      <c r="N229" s="67" t="str">
        <f aca="false">IF($E229="","","系统")</f>
        <v/>
      </c>
      <c r="O229" s="67" t="str">
        <f aca="false">IF($E229="","","自动A")</f>
        <v/>
      </c>
      <c r="P229" s="18"/>
    </row>
    <row r="230" customFormat="false" ht="18" hidden="false" customHeight="true" outlineLevel="0" collapsed="false">
      <c r="A230" s="107" t="str">
        <f aca="false">IF($E230="","",ROW()-3)</f>
        <v/>
      </c>
      <c r="B230" s="110" t="str">
        <f aca="false">IF($E230="","",INDEX(进销存对接!$C$4:$C$305,76))</f>
        <v/>
      </c>
      <c r="C230" s="67" t="str">
        <f aca="false">IF($E230="","","记-"&amp;TEXT($B230,"YYYYMM")&amp;"-进销存")</f>
        <v/>
      </c>
      <c r="D230" s="107" t="str">
        <f aca="false">IF($E230="","",INDEX(进销存对接!$D$4:$D$305,76)&amp;" "&amp;TEXT($B230,"YYYY年M月")&amp;" 自动结转")</f>
        <v/>
      </c>
      <c r="E230" s="67" t="str">
        <f aca="false">IF(INDEX(进销存对接!$M$4:$U$305,76,4)=0,"",INDEX(进销存对接!$M$4:$U$305,76,4))</f>
        <v/>
      </c>
      <c r="F230" s="99" t="str">
        <f aca="false">IF($E230="","",IFERROR(INDEX(科目表!$A$4:$A$81,MATCH($E230,科目表!$B$4:$B$81,0)),""))</f>
        <v/>
      </c>
      <c r="G230" s="67" t="str">
        <f aca="false">IF($E230="","",IFERROR(INDEX(科目表!$E$4:$E$81,MATCH($E230,科目表!$B$4:$B$81,0)),""))</f>
        <v/>
      </c>
      <c r="H230" s="70" t="str">
        <f aca="false">IF($E230="","",N(INDEX(进销存对接!$M$4:$U$305,76,5)))</f>
        <v/>
      </c>
      <c r="I230" s="70" t="str">
        <f aca="false">IF($E230="","",N(INDEX(进销存对接!$M$4:$U$305,76,6)))</f>
        <v/>
      </c>
      <c r="J230" s="67"/>
      <c r="K230" s="67" t="str">
        <f aca="false">IF($E230="","",INDEX(进销存对接!$D$4:$D$305,76))</f>
        <v/>
      </c>
      <c r="L230" s="107"/>
      <c r="M230" s="107"/>
      <c r="N230" s="67" t="str">
        <f aca="false">IF($E230="","","系统")</f>
        <v/>
      </c>
      <c r="O230" s="67" t="str">
        <f aca="false">IF($E230="","","自动A")</f>
        <v/>
      </c>
      <c r="P230" s="18"/>
    </row>
    <row r="231" customFormat="false" ht="18" hidden="false" customHeight="true" outlineLevel="0" collapsed="false">
      <c r="A231" s="107" t="str">
        <f aca="false">IF($E231="","",ROW()-3)</f>
        <v/>
      </c>
      <c r="B231" s="110" t="str">
        <f aca="false">IF($E231="","",INDEX(进销存对接!$C$4:$C$305,76))</f>
        <v/>
      </c>
      <c r="C231" s="67" t="str">
        <f aca="false">IF($E231="","","记-"&amp;TEXT($B231,"YYYYMM")&amp;"-进销存")</f>
        <v/>
      </c>
      <c r="D231" s="107" t="str">
        <f aca="false">IF($E231="","",INDEX(进销存对接!$D$4:$D$305,76)&amp;" "&amp;TEXT($B231,"YYYY年M月")&amp;" 自动结转")</f>
        <v/>
      </c>
      <c r="E231" s="67" t="str">
        <f aca="false">IF(INDEX(进销存对接!$M$4:$U$305,76,7)=0,"",INDEX(进销存对接!$M$4:$U$305,76,7))</f>
        <v/>
      </c>
      <c r="F231" s="99" t="str">
        <f aca="false">IF($E231="","",IFERROR(INDEX(科目表!$A$4:$A$81,MATCH($E231,科目表!$B$4:$B$81,0)),""))</f>
        <v/>
      </c>
      <c r="G231" s="67" t="str">
        <f aca="false">IF($E231="","",IFERROR(INDEX(科目表!$E$4:$E$81,MATCH($E231,科目表!$B$4:$B$81,0)),""))</f>
        <v/>
      </c>
      <c r="H231" s="70" t="str">
        <f aca="false">IF($E231="","",N(INDEX(进销存对接!$M$4:$U$305,76,8)))</f>
        <v/>
      </c>
      <c r="I231" s="70" t="str">
        <f aca="false">IF($E231="","",N(INDEX(进销存对接!$M$4:$U$305,76,9)))</f>
        <v/>
      </c>
      <c r="J231" s="67"/>
      <c r="K231" s="67" t="str">
        <f aca="false">IF($E231="","",INDEX(进销存对接!$D$4:$D$305,76))</f>
        <v/>
      </c>
      <c r="L231" s="107"/>
      <c r="M231" s="107"/>
      <c r="N231" s="67" t="str">
        <f aca="false">IF($E231="","","系统")</f>
        <v/>
      </c>
      <c r="O231" s="67" t="str">
        <f aca="false">IF($E231="","","自动A")</f>
        <v/>
      </c>
      <c r="P231" s="18"/>
    </row>
    <row r="232" customFormat="false" ht="18" hidden="false" customHeight="true" outlineLevel="0" collapsed="false">
      <c r="A232" s="107" t="str">
        <f aca="false">IF($E232="","",ROW()-3)</f>
        <v/>
      </c>
      <c r="B232" s="110" t="str">
        <f aca="false">IF($E232="","",INDEX(进销存对接!$C$4:$C$305,77))</f>
        <v/>
      </c>
      <c r="C232" s="67" t="str">
        <f aca="false">IF($E232="","","记-"&amp;TEXT($B232,"YYYYMM")&amp;"-进销存")</f>
        <v/>
      </c>
      <c r="D232" s="107" t="str">
        <f aca="false">IF($E232="","",INDEX(进销存对接!$D$4:$D$305,77)&amp;" "&amp;TEXT($B232,"YYYY年M月")&amp;" 自动结转")</f>
        <v/>
      </c>
      <c r="E232" s="67" t="str">
        <f aca="false">IF(INDEX(进销存对接!$M$4:$U$305,77,1)=0,"",INDEX(进销存对接!$M$4:$U$305,77,1))</f>
        <v/>
      </c>
      <c r="F232" s="99" t="str">
        <f aca="false">IF($E232="","",IFERROR(INDEX(科目表!$A$4:$A$81,MATCH($E232,科目表!$B$4:$B$81,0)),""))</f>
        <v/>
      </c>
      <c r="G232" s="67" t="str">
        <f aca="false">IF($E232="","",IFERROR(INDEX(科目表!$E$4:$E$81,MATCH($E232,科目表!$B$4:$B$81,0)),""))</f>
        <v/>
      </c>
      <c r="H232" s="70" t="str">
        <f aca="false">IF($E232="","",N(INDEX(进销存对接!$M$4:$U$305,77,2)))</f>
        <v/>
      </c>
      <c r="I232" s="70" t="str">
        <f aca="false">IF($E232="","",N(INDEX(进销存对接!$M$4:$U$305,77,3)))</f>
        <v/>
      </c>
      <c r="J232" s="67"/>
      <c r="K232" s="67" t="str">
        <f aca="false">IF($E232="","",INDEX(进销存对接!$D$4:$D$305,77))</f>
        <v/>
      </c>
      <c r="L232" s="107"/>
      <c r="M232" s="107"/>
      <c r="N232" s="67" t="str">
        <f aca="false">IF($E232="","","系统")</f>
        <v/>
      </c>
      <c r="O232" s="67" t="str">
        <f aca="false">IF($E232="","","自动A")</f>
        <v/>
      </c>
      <c r="P232" s="18"/>
    </row>
    <row r="233" customFormat="false" ht="18" hidden="false" customHeight="true" outlineLevel="0" collapsed="false">
      <c r="A233" s="107" t="str">
        <f aca="false">IF($E233="","",ROW()-3)</f>
        <v/>
      </c>
      <c r="B233" s="110" t="str">
        <f aca="false">IF($E233="","",INDEX(进销存对接!$C$4:$C$305,77))</f>
        <v/>
      </c>
      <c r="C233" s="67" t="str">
        <f aca="false">IF($E233="","","记-"&amp;TEXT($B233,"YYYYMM")&amp;"-进销存")</f>
        <v/>
      </c>
      <c r="D233" s="107" t="str">
        <f aca="false">IF($E233="","",INDEX(进销存对接!$D$4:$D$305,77)&amp;" "&amp;TEXT($B233,"YYYY年M月")&amp;" 自动结转")</f>
        <v/>
      </c>
      <c r="E233" s="67" t="str">
        <f aca="false">IF(INDEX(进销存对接!$M$4:$U$305,77,4)=0,"",INDEX(进销存对接!$M$4:$U$305,77,4))</f>
        <v/>
      </c>
      <c r="F233" s="99" t="str">
        <f aca="false">IF($E233="","",IFERROR(INDEX(科目表!$A$4:$A$81,MATCH($E233,科目表!$B$4:$B$81,0)),""))</f>
        <v/>
      </c>
      <c r="G233" s="67" t="str">
        <f aca="false">IF($E233="","",IFERROR(INDEX(科目表!$E$4:$E$81,MATCH($E233,科目表!$B$4:$B$81,0)),""))</f>
        <v/>
      </c>
      <c r="H233" s="70" t="str">
        <f aca="false">IF($E233="","",N(INDEX(进销存对接!$M$4:$U$305,77,5)))</f>
        <v/>
      </c>
      <c r="I233" s="70" t="str">
        <f aca="false">IF($E233="","",N(INDEX(进销存对接!$M$4:$U$305,77,6)))</f>
        <v/>
      </c>
      <c r="J233" s="67"/>
      <c r="K233" s="67" t="str">
        <f aca="false">IF($E233="","",INDEX(进销存对接!$D$4:$D$305,77))</f>
        <v/>
      </c>
      <c r="L233" s="107"/>
      <c r="M233" s="107"/>
      <c r="N233" s="67" t="str">
        <f aca="false">IF($E233="","","系统")</f>
        <v/>
      </c>
      <c r="O233" s="67" t="str">
        <f aca="false">IF($E233="","","自动A")</f>
        <v/>
      </c>
      <c r="P233" s="18"/>
    </row>
    <row r="234" customFormat="false" ht="18" hidden="false" customHeight="true" outlineLevel="0" collapsed="false">
      <c r="A234" s="107" t="str">
        <f aca="false">IF($E234="","",ROW()-3)</f>
        <v/>
      </c>
      <c r="B234" s="110" t="str">
        <f aca="false">IF($E234="","",INDEX(进销存对接!$C$4:$C$305,77))</f>
        <v/>
      </c>
      <c r="C234" s="67" t="str">
        <f aca="false">IF($E234="","","记-"&amp;TEXT($B234,"YYYYMM")&amp;"-进销存")</f>
        <v/>
      </c>
      <c r="D234" s="107" t="str">
        <f aca="false">IF($E234="","",INDEX(进销存对接!$D$4:$D$305,77)&amp;" "&amp;TEXT($B234,"YYYY年M月")&amp;" 自动结转")</f>
        <v/>
      </c>
      <c r="E234" s="67" t="str">
        <f aca="false">IF(INDEX(进销存对接!$M$4:$U$305,77,7)=0,"",INDEX(进销存对接!$M$4:$U$305,77,7))</f>
        <v/>
      </c>
      <c r="F234" s="99" t="str">
        <f aca="false">IF($E234="","",IFERROR(INDEX(科目表!$A$4:$A$81,MATCH($E234,科目表!$B$4:$B$81,0)),""))</f>
        <v/>
      </c>
      <c r="G234" s="67" t="str">
        <f aca="false">IF($E234="","",IFERROR(INDEX(科目表!$E$4:$E$81,MATCH($E234,科目表!$B$4:$B$81,0)),""))</f>
        <v/>
      </c>
      <c r="H234" s="70" t="str">
        <f aca="false">IF($E234="","",N(INDEX(进销存对接!$M$4:$U$305,77,8)))</f>
        <v/>
      </c>
      <c r="I234" s="70" t="str">
        <f aca="false">IF($E234="","",N(INDEX(进销存对接!$M$4:$U$305,77,9)))</f>
        <v/>
      </c>
      <c r="J234" s="67"/>
      <c r="K234" s="67" t="str">
        <f aca="false">IF($E234="","",INDEX(进销存对接!$D$4:$D$305,77))</f>
        <v/>
      </c>
      <c r="L234" s="107"/>
      <c r="M234" s="107"/>
      <c r="N234" s="67" t="str">
        <f aca="false">IF($E234="","","系统")</f>
        <v/>
      </c>
      <c r="O234" s="67" t="str">
        <f aca="false">IF($E234="","","自动A")</f>
        <v/>
      </c>
      <c r="P234" s="18"/>
    </row>
    <row r="235" customFormat="false" ht="18" hidden="false" customHeight="true" outlineLevel="0" collapsed="false">
      <c r="A235" s="107" t="str">
        <f aca="false">IF($E235="","",ROW()-3)</f>
        <v/>
      </c>
      <c r="B235" s="110" t="str">
        <f aca="false">IF($E235="","",INDEX(进销存对接!$C$4:$C$305,78))</f>
        <v/>
      </c>
      <c r="C235" s="67" t="str">
        <f aca="false">IF($E235="","","记-"&amp;TEXT($B235,"YYYYMM")&amp;"-进销存")</f>
        <v/>
      </c>
      <c r="D235" s="107" t="str">
        <f aca="false">IF($E235="","",INDEX(进销存对接!$D$4:$D$305,78)&amp;" "&amp;TEXT($B235,"YYYY年M月")&amp;" 自动结转")</f>
        <v/>
      </c>
      <c r="E235" s="67" t="str">
        <f aca="false">IF(INDEX(进销存对接!$M$4:$U$305,78,1)=0,"",INDEX(进销存对接!$M$4:$U$305,78,1))</f>
        <v/>
      </c>
      <c r="F235" s="99" t="str">
        <f aca="false">IF($E235="","",IFERROR(INDEX(科目表!$A$4:$A$81,MATCH($E235,科目表!$B$4:$B$81,0)),""))</f>
        <v/>
      </c>
      <c r="G235" s="67" t="str">
        <f aca="false">IF($E235="","",IFERROR(INDEX(科目表!$E$4:$E$81,MATCH($E235,科目表!$B$4:$B$81,0)),""))</f>
        <v/>
      </c>
      <c r="H235" s="70" t="str">
        <f aca="false">IF($E235="","",N(INDEX(进销存对接!$M$4:$U$305,78,2)))</f>
        <v/>
      </c>
      <c r="I235" s="70" t="str">
        <f aca="false">IF($E235="","",N(INDEX(进销存对接!$M$4:$U$305,78,3)))</f>
        <v/>
      </c>
      <c r="J235" s="67"/>
      <c r="K235" s="67" t="str">
        <f aca="false">IF($E235="","",INDEX(进销存对接!$D$4:$D$305,78))</f>
        <v/>
      </c>
      <c r="L235" s="107"/>
      <c r="M235" s="107"/>
      <c r="N235" s="67" t="str">
        <f aca="false">IF($E235="","","系统")</f>
        <v/>
      </c>
      <c r="O235" s="67" t="str">
        <f aca="false">IF($E235="","","自动A")</f>
        <v/>
      </c>
      <c r="P235" s="18"/>
    </row>
    <row r="236" customFormat="false" ht="18" hidden="false" customHeight="true" outlineLevel="0" collapsed="false">
      <c r="A236" s="107" t="str">
        <f aca="false">IF($E236="","",ROW()-3)</f>
        <v/>
      </c>
      <c r="B236" s="110" t="str">
        <f aca="false">IF($E236="","",INDEX(进销存对接!$C$4:$C$305,78))</f>
        <v/>
      </c>
      <c r="C236" s="67" t="str">
        <f aca="false">IF($E236="","","记-"&amp;TEXT($B236,"YYYYMM")&amp;"-进销存")</f>
        <v/>
      </c>
      <c r="D236" s="107" t="str">
        <f aca="false">IF($E236="","",INDEX(进销存对接!$D$4:$D$305,78)&amp;" "&amp;TEXT($B236,"YYYY年M月")&amp;" 自动结转")</f>
        <v/>
      </c>
      <c r="E236" s="67" t="str">
        <f aca="false">IF(INDEX(进销存对接!$M$4:$U$305,78,4)=0,"",INDEX(进销存对接!$M$4:$U$305,78,4))</f>
        <v/>
      </c>
      <c r="F236" s="99" t="str">
        <f aca="false">IF($E236="","",IFERROR(INDEX(科目表!$A$4:$A$81,MATCH($E236,科目表!$B$4:$B$81,0)),""))</f>
        <v/>
      </c>
      <c r="G236" s="67" t="str">
        <f aca="false">IF($E236="","",IFERROR(INDEX(科目表!$E$4:$E$81,MATCH($E236,科目表!$B$4:$B$81,0)),""))</f>
        <v/>
      </c>
      <c r="H236" s="70" t="str">
        <f aca="false">IF($E236="","",N(INDEX(进销存对接!$M$4:$U$305,78,5)))</f>
        <v/>
      </c>
      <c r="I236" s="70" t="str">
        <f aca="false">IF($E236="","",N(INDEX(进销存对接!$M$4:$U$305,78,6)))</f>
        <v/>
      </c>
      <c r="J236" s="67"/>
      <c r="K236" s="67" t="str">
        <f aca="false">IF($E236="","",INDEX(进销存对接!$D$4:$D$305,78))</f>
        <v/>
      </c>
      <c r="L236" s="107"/>
      <c r="M236" s="107"/>
      <c r="N236" s="67" t="str">
        <f aca="false">IF($E236="","","系统")</f>
        <v/>
      </c>
      <c r="O236" s="67" t="str">
        <f aca="false">IF($E236="","","自动A")</f>
        <v/>
      </c>
      <c r="P236" s="18"/>
    </row>
    <row r="237" customFormat="false" ht="18" hidden="false" customHeight="true" outlineLevel="0" collapsed="false">
      <c r="A237" s="107" t="str">
        <f aca="false">IF($E237="","",ROW()-3)</f>
        <v/>
      </c>
      <c r="B237" s="110" t="str">
        <f aca="false">IF($E237="","",INDEX(进销存对接!$C$4:$C$305,78))</f>
        <v/>
      </c>
      <c r="C237" s="67" t="str">
        <f aca="false">IF($E237="","","记-"&amp;TEXT($B237,"YYYYMM")&amp;"-进销存")</f>
        <v/>
      </c>
      <c r="D237" s="107" t="str">
        <f aca="false">IF($E237="","",INDEX(进销存对接!$D$4:$D$305,78)&amp;" "&amp;TEXT($B237,"YYYY年M月")&amp;" 自动结转")</f>
        <v/>
      </c>
      <c r="E237" s="67" t="str">
        <f aca="false">IF(INDEX(进销存对接!$M$4:$U$305,78,7)=0,"",INDEX(进销存对接!$M$4:$U$305,78,7))</f>
        <v/>
      </c>
      <c r="F237" s="99" t="str">
        <f aca="false">IF($E237="","",IFERROR(INDEX(科目表!$A$4:$A$81,MATCH($E237,科目表!$B$4:$B$81,0)),""))</f>
        <v/>
      </c>
      <c r="G237" s="67" t="str">
        <f aca="false">IF($E237="","",IFERROR(INDEX(科目表!$E$4:$E$81,MATCH($E237,科目表!$B$4:$B$81,0)),""))</f>
        <v/>
      </c>
      <c r="H237" s="70" t="str">
        <f aca="false">IF($E237="","",N(INDEX(进销存对接!$M$4:$U$305,78,8)))</f>
        <v/>
      </c>
      <c r="I237" s="70" t="str">
        <f aca="false">IF($E237="","",N(INDEX(进销存对接!$M$4:$U$305,78,9)))</f>
        <v/>
      </c>
      <c r="J237" s="67"/>
      <c r="K237" s="67" t="str">
        <f aca="false">IF($E237="","",INDEX(进销存对接!$D$4:$D$305,78))</f>
        <v/>
      </c>
      <c r="L237" s="107"/>
      <c r="M237" s="107"/>
      <c r="N237" s="67" t="str">
        <f aca="false">IF($E237="","","系统")</f>
        <v/>
      </c>
      <c r="O237" s="67" t="str">
        <f aca="false">IF($E237="","","自动A")</f>
        <v/>
      </c>
      <c r="P237" s="18"/>
    </row>
    <row r="238" customFormat="false" ht="18" hidden="false" customHeight="true" outlineLevel="0" collapsed="false">
      <c r="A238" s="107" t="str">
        <f aca="false">IF($E238="","",ROW()-3)</f>
        <v/>
      </c>
      <c r="B238" s="110" t="str">
        <f aca="false">IF($E238="","",INDEX(进销存对接!$C$4:$C$305,79))</f>
        <v/>
      </c>
      <c r="C238" s="67" t="str">
        <f aca="false">IF($E238="","","记-"&amp;TEXT($B238,"YYYYMM")&amp;"-进销存")</f>
        <v/>
      </c>
      <c r="D238" s="107" t="str">
        <f aca="false">IF($E238="","",INDEX(进销存对接!$D$4:$D$305,79)&amp;" "&amp;TEXT($B238,"YYYY年M月")&amp;" 自动结转")</f>
        <v/>
      </c>
      <c r="E238" s="67" t="str">
        <f aca="false">IF(INDEX(进销存对接!$M$4:$U$305,79,1)=0,"",INDEX(进销存对接!$M$4:$U$305,79,1))</f>
        <v/>
      </c>
      <c r="F238" s="99" t="str">
        <f aca="false">IF($E238="","",IFERROR(INDEX(科目表!$A$4:$A$81,MATCH($E238,科目表!$B$4:$B$81,0)),""))</f>
        <v/>
      </c>
      <c r="G238" s="67" t="str">
        <f aca="false">IF($E238="","",IFERROR(INDEX(科目表!$E$4:$E$81,MATCH($E238,科目表!$B$4:$B$81,0)),""))</f>
        <v/>
      </c>
      <c r="H238" s="70" t="str">
        <f aca="false">IF($E238="","",N(INDEX(进销存对接!$M$4:$U$305,79,2)))</f>
        <v/>
      </c>
      <c r="I238" s="70" t="str">
        <f aca="false">IF($E238="","",N(INDEX(进销存对接!$M$4:$U$305,79,3)))</f>
        <v/>
      </c>
      <c r="J238" s="67"/>
      <c r="K238" s="67" t="str">
        <f aca="false">IF($E238="","",INDEX(进销存对接!$D$4:$D$305,79))</f>
        <v/>
      </c>
      <c r="L238" s="107"/>
      <c r="M238" s="107"/>
      <c r="N238" s="67" t="str">
        <f aca="false">IF($E238="","","系统")</f>
        <v/>
      </c>
      <c r="O238" s="67" t="str">
        <f aca="false">IF($E238="","","自动A")</f>
        <v/>
      </c>
      <c r="P238" s="18"/>
    </row>
    <row r="239" customFormat="false" ht="18" hidden="false" customHeight="true" outlineLevel="0" collapsed="false">
      <c r="A239" s="107" t="str">
        <f aca="false">IF($E239="","",ROW()-3)</f>
        <v/>
      </c>
      <c r="B239" s="110" t="str">
        <f aca="false">IF($E239="","",INDEX(进销存对接!$C$4:$C$305,79))</f>
        <v/>
      </c>
      <c r="C239" s="67" t="str">
        <f aca="false">IF($E239="","","记-"&amp;TEXT($B239,"YYYYMM")&amp;"-进销存")</f>
        <v/>
      </c>
      <c r="D239" s="107" t="str">
        <f aca="false">IF($E239="","",INDEX(进销存对接!$D$4:$D$305,79)&amp;" "&amp;TEXT($B239,"YYYY年M月")&amp;" 自动结转")</f>
        <v/>
      </c>
      <c r="E239" s="67" t="str">
        <f aca="false">IF(INDEX(进销存对接!$M$4:$U$305,79,4)=0,"",INDEX(进销存对接!$M$4:$U$305,79,4))</f>
        <v/>
      </c>
      <c r="F239" s="99" t="str">
        <f aca="false">IF($E239="","",IFERROR(INDEX(科目表!$A$4:$A$81,MATCH($E239,科目表!$B$4:$B$81,0)),""))</f>
        <v/>
      </c>
      <c r="G239" s="67" t="str">
        <f aca="false">IF($E239="","",IFERROR(INDEX(科目表!$E$4:$E$81,MATCH($E239,科目表!$B$4:$B$81,0)),""))</f>
        <v/>
      </c>
      <c r="H239" s="70" t="str">
        <f aca="false">IF($E239="","",N(INDEX(进销存对接!$M$4:$U$305,79,5)))</f>
        <v/>
      </c>
      <c r="I239" s="70" t="str">
        <f aca="false">IF($E239="","",N(INDEX(进销存对接!$M$4:$U$305,79,6)))</f>
        <v/>
      </c>
      <c r="J239" s="67"/>
      <c r="K239" s="67" t="str">
        <f aca="false">IF($E239="","",INDEX(进销存对接!$D$4:$D$305,79))</f>
        <v/>
      </c>
      <c r="L239" s="107"/>
      <c r="M239" s="107"/>
      <c r="N239" s="67" t="str">
        <f aca="false">IF($E239="","","系统")</f>
        <v/>
      </c>
      <c r="O239" s="67" t="str">
        <f aca="false">IF($E239="","","自动A")</f>
        <v/>
      </c>
      <c r="P239" s="18"/>
    </row>
    <row r="240" customFormat="false" ht="18" hidden="false" customHeight="true" outlineLevel="0" collapsed="false">
      <c r="A240" s="107" t="str">
        <f aca="false">IF($E240="","",ROW()-3)</f>
        <v/>
      </c>
      <c r="B240" s="110" t="str">
        <f aca="false">IF($E240="","",INDEX(进销存对接!$C$4:$C$305,79))</f>
        <v/>
      </c>
      <c r="C240" s="67" t="str">
        <f aca="false">IF($E240="","","记-"&amp;TEXT($B240,"YYYYMM")&amp;"-进销存")</f>
        <v/>
      </c>
      <c r="D240" s="107" t="str">
        <f aca="false">IF($E240="","",INDEX(进销存对接!$D$4:$D$305,79)&amp;" "&amp;TEXT($B240,"YYYY年M月")&amp;" 自动结转")</f>
        <v/>
      </c>
      <c r="E240" s="67" t="str">
        <f aca="false">IF(INDEX(进销存对接!$M$4:$U$305,79,7)=0,"",INDEX(进销存对接!$M$4:$U$305,79,7))</f>
        <v/>
      </c>
      <c r="F240" s="99" t="str">
        <f aca="false">IF($E240="","",IFERROR(INDEX(科目表!$A$4:$A$81,MATCH($E240,科目表!$B$4:$B$81,0)),""))</f>
        <v/>
      </c>
      <c r="G240" s="67" t="str">
        <f aca="false">IF($E240="","",IFERROR(INDEX(科目表!$E$4:$E$81,MATCH($E240,科目表!$B$4:$B$81,0)),""))</f>
        <v/>
      </c>
      <c r="H240" s="70" t="str">
        <f aca="false">IF($E240="","",N(INDEX(进销存对接!$M$4:$U$305,79,8)))</f>
        <v/>
      </c>
      <c r="I240" s="70" t="str">
        <f aca="false">IF($E240="","",N(INDEX(进销存对接!$M$4:$U$305,79,9)))</f>
        <v/>
      </c>
      <c r="J240" s="67"/>
      <c r="K240" s="67" t="str">
        <f aca="false">IF($E240="","",INDEX(进销存对接!$D$4:$D$305,79))</f>
        <v/>
      </c>
      <c r="L240" s="107"/>
      <c r="M240" s="107"/>
      <c r="N240" s="67" t="str">
        <f aca="false">IF($E240="","","系统")</f>
        <v/>
      </c>
      <c r="O240" s="67" t="str">
        <f aca="false">IF($E240="","","自动A")</f>
        <v/>
      </c>
      <c r="P240" s="18"/>
    </row>
    <row r="241" customFormat="false" ht="18" hidden="false" customHeight="true" outlineLevel="0" collapsed="false">
      <c r="A241" s="107" t="str">
        <f aca="false">IF($E241="","",ROW()-3)</f>
        <v/>
      </c>
      <c r="B241" s="110" t="str">
        <f aca="false">IF($E241="","",INDEX(进销存对接!$C$4:$C$305,80))</f>
        <v/>
      </c>
      <c r="C241" s="67" t="str">
        <f aca="false">IF($E241="","","记-"&amp;TEXT($B241,"YYYYMM")&amp;"-进销存")</f>
        <v/>
      </c>
      <c r="D241" s="107" t="str">
        <f aca="false">IF($E241="","",INDEX(进销存对接!$D$4:$D$305,80)&amp;" "&amp;TEXT($B241,"YYYY年M月")&amp;" 自动结转")</f>
        <v/>
      </c>
      <c r="E241" s="67" t="str">
        <f aca="false">IF(INDEX(进销存对接!$M$4:$U$305,80,1)=0,"",INDEX(进销存对接!$M$4:$U$305,80,1))</f>
        <v/>
      </c>
      <c r="F241" s="99" t="str">
        <f aca="false">IF($E241="","",IFERROR(INDEX(科目表!$A$4:$A$81,MATCH($E241,科目表!$B$4:$B$81,0)),""))</f>
        <v/>
      </c>
      <c r="G241" s="67" t="str">
        <f aca="false">IF($E241="","",IFERROR(INDEX(科目表!$E$4:$E$81,MATCH($E241,科目表!$B$4:$B$81,0)),""))</f>
        <v/>
      </c>
      <c r="H241" s="70" t="str">
        <f aca="false">IF($E241="","",N(INDEX(进销存对接!$M$4:$U$305,80,2)))</f>
        <v/>
      </c>
      <c r="I241" s="70" t="str">
        <f aca="false">IF($E241="","",N(INDEX(进销存对接!$M$4:$U$305,80,3)))</f>
        <v/>
      </c>
      <c r="J241" s="67"/>
      <c r="K241" s="67" t="str">
        <f aca="false">IF($E241="","",INDEX(进销存对接!$D$4:$D$305,80))</f>
        <v/>
      </c>
      <c r="L241" s="107"/>
      <c r="M241" s="107"/>
      <c r="N241" s="67" t="str">
        <f aca="false">IF($E241="","","系统")</f>
        <v/>
      </c>
      <c r="O241" s="67" t="str">
        <f aca="false">IF($E241="","","自动A")</f>
        <v/>
      </c>
      <c r="P241" s="18"/>
    </row>
    <row r="242" customFormat="false" ht="18" hidden="false" customHeight="true" outlineLevel="0" collapsed="false">
      <c r="A242" s="107" t="str">
        <f aca="false">IF($E242="","",ROW()-3)</f>
        <v/>
      </c>
      <c r="B242" s="110" t="str">
        <f aca="false">IF($E242="","",INDEX(进销存对接!$C$4:$C$305,80))</f>
        <v/>
      </c>
      <c r="C242" s="67" t="str">
        <f aca="false">IF($E242="","","记-"&amp;TEXT($B242,"YYYYMM")&amp;"-进销存")</f>
        <v/>
      </c>
      <c r="D242" s="107" t="str">
        <f aca="false">IF($E242="","",INDEX(进销存对接!$D$4:$D$305,80)&amp;" "&amp;TEXT($B242,"YYYY年M月")&amp;" 自动结转")</f>
        <v/>
      </c>
      <c r="E242" s="67" t="str">
        <f aca="false">IF(INDEX(进销存对接!$M$4:$U$305,80,4)=0,"",INDEX(进销存对接!$M$4:$U$305,80,4))</f>
        <v/>
      </c>
      <c r="F242" s="99" t="str">
        <f aca="false">IF($E242="","",IFERROR(INDEX(科目表!$A$4:$A$81,MATCH($E242,科目表!$B$4:$B$81,0)),""))</f>
        <v/>
      </c>
      <c r="G242" s="67" t="str">
        <f aca="false">IF($E242="","",IFERROR(INDEX(科目表!$E$4:$E$81,MATCH($E242,科目表!$B$4:$B$81,0)),""))</f>
        <v/>
      </c>
      <c r="H242" s="70" t="str">
        <f aca="false">IF($E242="","",N(INDEX(进销存对接!$M$4:$U$305,80,5)))</f>
        <v/>
      </c>
      <c r="I242" s="70" t="str">
        <f aca="false">IF($E242="","",N(INDEX(进销存对接!$M$4:$U$305,80,6)))</f>
        <v/>
      </c>
      <c r="J242" s="67"/>
      <c r="K242" s="67" t="str">
        <f aca="false">IF($E242="","",INDEX(进销存对接!$D$4:$D$305,80))</f>
        <v/>
      </c>
      <c r="L242" s="107"/>
      <c r="M242" s="107"/>
      <c r="N242" s="67" t="str">
        <f aca="false">IF($E242="","","系统")</f>
        <v/>
      </c>
      <c r="O242" s="67" t="str">
        <f aca="false">IF($E242="","","自动A")</f>
        <v/>
      </c>
      <c r="P242" s="18"/>
    </row>
    <row r="243" customFormat="false" ht="18" hidden="false" customHeight="true" outlineLevel="0" collapsed="false">
      <c r="A243" s="107" t="str">
        <f aca="false">IF($E243="","",ROW()-3)</f>
        <v/>
      </c>
      <c r="B243" s="110" t="str">
        <f aca="false">IF($E243="","",INDEX(进销存对接!$C$4:$C$305,80))</f>
        <v/>
      </c>
      <c r="C243" s="67" t="str">
        <f aca="false">IF($E243="","","记-"&amp;TEXT($B243,"YYYYMM")&amp;"-进销存")</f>
        <v/>
      </c>
      <c r="D243" s="107" t="str">
        <f aca="false">IF($E243="","",INDEX(进销存对接!$D$4:$D$305,80)&amp;" "&amp;TEXT($B243,"YYYY年M月")&amp;" 自动结转")</f>
        <v/>
      </c>
      <c r="E243" s="67" t="str">
        <f aca="false">IF(INDEX(进销存对接!$M$4:$U$305,80,7)=0,"",INDEX(进销存对接!$M$4:$U$305,80,7))</f>
        <v/>
      </c>
      <c r="F243" s="99" t="str">
        <f aca="false">IF($E243="","",IFERROR(INDEX(科目表!$A$4:$A$81,MATCH($E243,科目表!$B$4:$B$81,0)),""))</f>
        <v/>
      </c>
      <c r="G243" s="67" t="str">
        <f aca="false">IF($E243="","",IFERROR(INDEX(科目表!$E$4:$E$81,MATCH($E243,科目表!$B$4:$B$81,0)),""))</f>
        <v/>
      </c>
      <c r="H243" s="70" t="str">
        <f aca="false">IF($E243="","",N(INDEX(进销存对接!$M$4:$U$305,80,8)))</f>
        <v/>
      </c>
      <c r="I243" s="70" t="str">
        <f aca="false">IF($E243="","",N(INDEX(进销存对接!$M$4:$U$305,80,9)))</f>
        <v/>
      </c>
      <c r="J243" s="67"/>
      <c r="K243" s="67" t="str">
        <f aca="false">IF($E243="","",INDEX(进销存对接!$D$4:$D$305,80))</f>
        <v/>
      </c>
      <c r="L243" s="107"/>
      <c r="M243" s="107"/>
      <c r="N243" s="67" t="str">
        <f aca="false">IF($E243="","","系统")</f>
        <v/>
      </c>
      <c r="O243" s="67" t="str">
        <f aca="false">IF($E243="","","自动A")</f>
        <v/>
      </c>
      <c r="P243" s="18"/>
    </row>
    <row r="244" customFormat="false" ht="18" hidden="false" customHeight="true" outlineLevel="0" collapsed="false">
      <c r="A244" s="107" t="str">
        <f aca="false">IF($E244="","",ROW()-3)</f>
        <v/>
      </c>
      <c r="B244" s="110" t="str">
        <f aca="false">IF($E244="","",INDEX(进销存对接!$C$4:$C$305,81))</f>
        <v/>
      </c>
      <c r="C244" s="67" t="str">
        <f aca="false">IF($E244="","","记-"&amp;TEXT($B244,"YYYYMM")&amp;"-进销存")</f>
        <v/>
      </c>
      <c r="D244" s="107" t="str">
        <f aca="false">IF($E244="","",INDEX(进销存对接!$D$4:$D$305,81)&amp;" "&amp;TEXT($B244,"YYYY年M月")&amp;" 自动结转")</f>
        <v/>
      </c>
      <c r="E244" s="67" t="str">
        <f aca="false">IF(INDEX(进销存对接!$M$4:$U$305,81,1)=0,"",INDEX(进销存对接!$M$4:$U$305,81,1))</f>
        <v/>
      </c>
      <c r="F244" s="99" t="str">
        <f aca="false">IF($E244="","",IFERROR(INDEX(科目表!$A$4:$A$81,MATCH($E244,科目表!$B$4:$B$81,0)),""))</f>
        <v/>
      </c>
      <c r="G244" s="67" t="str">
        <f aca="false">IF($E244="","",IFERROR(INDEX(科目表!$E$4:$E$81,MATCH($E244,科目表!$B$4:$B$81,0)),""))</f>
        <v/>
      </c>
      <c r="H244" s="70" t="str">
        <f aca="false">IF($E244="","",N(INDEX(进销存对接!$M$4:$U$305,81,2)))</f>
        <v/>
      </c>
      <c r="I244" s="70" t="str">
        <f aca="false">IF($E244="","",N(INDEX(进销存对接!$M$4:$U$305,81,3)))</f>
        <v/>
      </c>
      <c r="J244" s="67"/>
      <c r="K244" s="67" t="str">
        <f aca="false">IF($E244="","",INDEX(进销存对接!$D$4:$D$305,81))</f>
        <v/>
      </c>
      <c r="L244" s="107"/>
      <c r="M244" s="107"/>
      <c r="N244" s="67" t="str">
        <f aca="false">IF($E244="","","系统")</f>
        <v/>
      </c>
      <c r="O244" s="67" t="str">
        <f aca="false">IF($E244="","","自动A")</f>
        <v/>
      </c>
      <c r="P244" s="18"/>
    </row>
    <row r="245" customFormat="false" ht="18" hidden="false" customHeight="true" outlineLevel="0" collapsed="false">
      <c r="A245" s="107" t="str">
        <f aca="false">IF($E245="","",ROW()-3)</f>
        <v/>
      </c>
      <c r="B245" s="110" t="str">
        <f aca="false">IF($E245="","",INDEX(进销存对接!$C$4:$C$305,81))</f>
        <v/>
      </c>
      <c r="C245" s="67" t="str">
        <f aca="false">IF($E245="","","记-"&amp;TEXT($B245,"YYYYMM")&amp;"-进销存")</f>
        <v/>
      </c>
      <c r="D245" s="107" t="str">
        <f aca="false">IF($E245="","",INDEX(进销存对接!$D$4:$D$305,81)&amp;" "&amp;TEXT($B245,"YYYY年M月")&amp;" 自动结转")</f>
        <v/>
      </c>
      <c r="E245" s="67" t="str">
        <f aca="false">IF(INDEX(进销存对接!$M$4:$U$305,81,4)=0,"",INDEX(进销存对接!$M$4:$U$305,81,4))</f>
        <v/>
      </c>
      <c r="F245" s="99" t="str">
        <f aca="false">IF($E245="","",IFERROR(INDEX(科目表!$A$4:$A$81,MATCH($E245,科目表!$B$4:$B$81,0)),""))</f>
        <v/>
      </c>
      <c r="G245" s="67" t="str">
        <f aca="false">IF($E245="","",IFERROR(INDEX(科目表!$E$4:$E$81,MATCH($E245,科目表!$B$4:$B$81,0)),""))</f>
        <v/>
      </c>
      <c r="H245" s="70" t="str">
        <f aca="false">IF($E245="","",N(INDEX(进销存对接!$M$4:$U$305,81,5)))</f>
        <v/>
      </c>
      <c r="I245" s="70" t="str">
        <f aca="false">IF($E245="","",N(INDEX(进销存对接!$M$4:$U$305,81,6)))</f>
        <v/>
      </c>
      <c r="J245" s="67"/>
      <c r="K245" s="67" t="str">
        <f aca="false">IF($E245="","",INDEX(进销存对接!$D$4:$D$305,81))</f>
        <v/>
      </c>
      <c r="L245" s="107"/>
      <c r="M245" s="107"/>
      <c r="N245" s="67" t="str">
        <f aca="false">IF($E245="","","系统")</f>
        <v/>
      </c>
      <c r="O245" s="67" t="str">
        <f aca="false">IF($E245="","","自动A")</f>
        <v/>
      </c>
      <c r="P245" s="18"/>
    </row>
    <row r="246" customFormat="false" ht="18" hidden="false" customHeight="true" outlineLevel="0" collapsed="false">
      <c r="A246" s="107" t="str">
        <f aca="false">IF($E246="","",ROW()-3)</f>
        <v/>
      </c>
      <c r="B246" s="110" t="str">
        <f aca="false">IF($E246="","",INDEX(进销存对接!$C$4:$C$305,81))</f>
        <v/>
      </c>
      <c r="C246" s="67" t="str">
        <f aca="false">IF($E246="","","记-"&amp;TEXT($B246,"YYYYMM")&amp;"-进销存")</f>
        <v/>
      </c>
      <c r="D246" s="107" t="str">
        <f aca="false">IF($E246="","",INDEX(进销存对接!$D$4:$D$305,81)&amp;" "&amp;TEXT($B246,"YYYY年M月")&amp;" 自动结转")</f>
        <v/>
      </c>
      <c r="E246" s="67" t="str">
        <f aca="false">IF(INDEX(进销存对接!$M$4:$U$305,81,7)=0,"",INDEX(进销存对接!$M$4:$U$305,81,7))</f>
        <v/>
      </c>
      <c r="F246" s="99" t="str">
        <f aca="false">IF($E246="","",IFERROR(INDEX(科目表!$A$4:$A$81,MATCH($E246,科目表!$B$4:$B$81,0)),""))</f>
        <v/>
      </c>
      <c r="G246" s="67" t="str">
        <f aca="false">IF($E246="","",IFERROR(INDEX(科目表!$E$4:$E$81,MATCH($E246,科目表!$B$4:$B$81,0)),""))</f>
        <v/>
      </c>
      <c r="H246" s="70" t="str">
        <f aca="false">IF($E246="","",N(INDEX(进销存对接!$M$4:$U$305,81,8)))</f>
        <v/>
      </c>
      <c r="I246" s="70" t="str">
        <f aca="false">IF($E246="","",N(INDEX(进销存对接!$M$4:$U$305,81,9)))</f>
        <v/>
      </c>
      <c r="J246" s="67"/>
      <c r="K246" s="67" t="str">
        <f aca="false">IF($E246="","",INDEX(进销存对接!$D$4:$D$305,81))</f>
        <v/>
      </c>
      <c r="L246" s="107"/>
      <c r="M246" s="107"/>
      <c r="N246" s="67" t="str">
        <f aca="false">IF($E246="","","系统")</f>
        <v/>
      </c>
      <c r="O246" s="67" t="str">
        <f aca="false">IF($E246="","","自动A")</f>
        <v/>
      </c>
      <c r="P246" s="18"/>
    </row>
    <row r="247" customFormat="false" ht="18" hidden="false" customHeight="true" outlineLevel="0" collapsed="false">
      <c r="A247" s="107" t="str">
        <f aca="false">IF($E247="","",ROW()-3)</f>
        <v/>
      </c>
      <c r="B247" s="110" t="str">
        <f aca="false">IF($E247="","",INDEX(进销存对接!$C$4:$C$305,82))</f>
        <v/>
      </c>
      <c r="C247" s="67" t="str">
        <f aca="false">IF($E247="","","记-"&amp;TEXT($B247,"YYYYMM")&amp;"-进销存")</f>
        <v/>
      </c>
      <c r="D247" s="107" t="str">
        <f aca="false">IF($E247="","",INDEX(进销存对接!$D$4:$D$305,82)&amp;" "&amp;TEXT($B247,"YYYY年M月")&amp;" 自动结转")</f>
        <v/>
      </c>
      <c r="E247" s="67" t="str">
        <f aca="false">IF(INDEX(进销存对接!$M$4:$U$305,82,1)=0,"",INDEX(进销存对接!$M$4:$U$305,82,1))</f>
        <v/>
      </c>
      <c r="F247" s="99" t="str">
        <f aca="false">IF($E247="","",IFERROR(INDEX(科目表!$A$4:$A$81,MATCH($E247,科目表!$B$4:$B$81,0)),""))</f>
        <v/>
      </c>
      <c r="G247" s="67" t="str">
        <f aca="false">IF($E247="","",IFERROR(INDEX(科目表!$E$4:$E$81,MATCH($E247,科目表!$B$4:$B$81,0)),""))</f>
        <v/>
      </c>
      <c r="H247" s="70" t="str">
        <f aca="false">IF($E247="","",N(INDEX(进销存对接!$M$4:$U$305,82,2)))</f>
        <v/>
      </c>
      <c r="I247" s="70" t="str">
        <f aca="false">IF($E247="","",N(INDEX(进销存对接!$M$4:$U$305,82,3)))</f>
        <v/>
      </c>
      <c r="J247" s="67"/>
      <c r="K247" s="67" t="str">
        <f aca="false">IF($E247="","",INDEX(进销存对接!$D$4:$D$305,82))</f>
        <v/>
      </c>
      <c r="L247" s="107"/>
      <c r="M247" s="107"/>
      <c r="N247" s="67" t="str">
        <f aca="false">IF($E247="","","系统")</f>
        <v/>
      </c>
      <c r="O247" s="67" t="str">
        <f aca="false">IF($E247="","","自动A")</f>
        <v/>
      </c>
      <c r="P247" s="18"/>
    </row>
    <row r="248" customFormat="false" ht="18" hidden="false" customHeight="true" outlineLevel="0" collapsed="false">
      <c r="A248" s="107" t="str">
        <f aca="false">IF($E248="","",ROW()-3)</f>
        <v/>
      </c>
      <c r="B248" s="110" t="str">
        <f aca="false">IF($E248="","",INDEX(进销存对接!$C$4:$C$305,82))</f>
        <v/>
      </c>
      <c r="C248" s="67" t="str">
        <f aca="false">IF($E248="","","记-"&amp;TEXT($B248,"YYYYMM")&amp;"-进销存")</f>
        <v/>
      </c>
      <c r="D248" s="107" t="str">
        <f aca="false">IF($E248="","",INDEX(进销存对接!$D$4:$D$305,82)&amp;" "&amp;TEXT($B248,"YYYY年M月")&amp;" 自动结转")</f>
        <v/>
      </c>
      <c r="E248" s="67" t="str">
        <f aca="false">IF(INDEX(进销存对接!$M$4:$U$305,82,4)=0,"",INDEX(进销存对接!$M$4:$U$305,82,4))</f>
        <v/>
      </c>
      <c r="F248" s="99" t="str">
        <f aca="false">IF($E248="","",IFERROR(INDEX(科目表!$A$4:$A$81,MATCH($E248,科目表!$B$4:$B$81,0)),""))</f>
        <v/>
      </c>
      <c r="G248" s="67" t="str">
        <f aca="false">IF($E248="","",IFERROR(INDEX(科目表!$E$4:$E$81,MATCH($E248,科目表!$B$4:$B$81,0)),""))</f>
        <v/>
      </c>
      <c r="H248" s="70" t="str">
        <f aca="false">IF($E248="","",N(INDEX(进销存对接!$M$4:$U$305,82,5)))</f>
        <v/>
      </c>
      <c r="I248" s="70" t="str">
        <f aca="false">IF($E248="","",N(INDEX(进销存对接!$M$4:$U$305,82,6)))</f>
        <v/>
      </c>
      <c r="J248" s="67"/>
      <c r="K248" s="67" t="str">
        <f aca="false">IF($E248="","",INDEX(进销存对接!$D$4:$D$305,82))</f>
        <v/>
      </c>
      <c r="L248" s="107"/>
      <c r="M248" s="107"/>
      <c r="N248" s="67" t="str">
        <f aca="false">IF($E248="","","系统")</f>
        <v/>
      </c>
      <c r="O248" s="67" t="str">
        <f aca="false">IF($E248="","","自动A")</f>
        <v/>
      </c>
      <c r="P248" s="18"/>
    </row>
    <row r="249" customFormat="false" ht="18" hidden="false" customHeight="true" outlineLevel="0" collapsed="false">
      <c r="A249" s="107" t="str">
        <f aca="false">IF($E249="","",ROW()-3)</f>
        <v/>
      </c>
      <c r="B249" s="110" t="str">
        <f aca="false">IF($E249="","",INDEX(进销存对接!$C$4:$C$305,82))</f>
        <v/>
      </c>
      <c r="C249" s="67" t="str">
        <f aca="false">IF($E249="","","记-"&amp;TEXT($B249,"YYYYMM")&amp;"-进销存")</f>
        <v/>
      </c>
      <c r="D249" s="107" t="str">
        <f aca="false">IF($E249="","",INDEX(进销存对接!$D$4:$D$305,82)&amp;" "&amp;TEXT($B249,"YYYY年M月")&amp;" 自动结转")</f>
        <v/>
      </c>
      <c r="E249" s="67" t="str">
        <f aca="false">IF(INDEX(进销存对接!$M$4:$U$305,82,7)=0,"",INDEX(进销存对接!$M$4:$U$305,82,7))</f>
        <v/>
      </c>
      <c r="F249" s="99" t="str">
        <f aca="false">IF($E249="","",IFERROR(INDEX(科目表!$A$4:$A$81,MATCH($E249,科目表!$B$4:$B$81,0)),""))</f>
        <v/>
      </c>
      <c r="G249" s="67" t="str">
        <f aca="false">IF($E249="","",IFERROR(INDEX(科目表!$E$4:$E$81,MATCH($E249,科目表!$B$4:$B$81,0)),""))</f>
        <v/>
      </c>
      <c r="H249" s="70" t="str">
        <f aca="false">IF($E249="","",N(INDEX(进销存对接!$M$4:$U$305,82,8)))</f>
        <v/>
      </c>
      <c r="I249" s="70" t="str">
        <f aca="false">IF($E249="","",N(INDEX(进销存对接!$M$4:$U$305,82,9)))</f>
        <v/>
      </c>
      <c r="J249" s="67"/>
      <c r="K249" s="67" t="str">
        <f aca="false">IF($E249="","",INDEX(进销存对接!$D$4:$D$305,82))</f>
        <v/>
      </c>
      <c r="L249" s="107"/>
      <c r="M249" s="107"/>
      <c r="N249" s="67" t="str">
        <f aca="false">IF($E249="","","系统")</f>
        <v/>
      </c>
      <c r="O249" s="67" t="str">
        <f aca="false">IF($E249="","","自动A")</f>
        <v/>
      </c>
      <c r="P249" s="18"/>
    </row>
    <row r="250" customFormat="false" ht="18" hidden="false" customHeight="true" outlineLevel="0" collapsed="false">
      <c r="A250" s="107" t="str">
        <f aca="false">IF($E250="","",ROW()-3)</f>
        <v/>
      </c>
      <c r="B250" s="110" t="str">
        <f aca="false">IF($E250="","",INDEX(进销存对接!$C$4:$C$305,83))</f>
        <v/>
      </c>
      <c r="C250" s="67" t="str">
        <f aca="false">IF($E250="","","记-"&amp;TEXT($B250,"YYYYMM")&amp;"-进销存")</f>
        <v/>
      </c>
      <c r="D250" s="107" t="str">
        <f aca="false">IF($E250="","",INDEX(进销存对接!$D$4:$D$305,83)&amp;" "&amp;TEXT($B250,"YYYY年M月")&amp;" 自动结转")</f>
        <v/>
      </c>
      <c r="E250" s="67" t="str">
        <f aca="false">IF(INDEX(进销存对接!$M$4:$U$305,83,1)=0,"",INDEX(进销存对接!$M$4:$U$305,83,1))</f>
        <v/>
      </c>
      <c r="F250" s="99" t="str">
        <f aca="false">IF($E250="","",IFERROR(INDEX(科目表!$A$4:$A$81,MATCH($E250,科目表!$B$4:$B$81,0)),""))</f>
        <v/>
      </c>
      <c r="G250" s="67" t="str">
        <f aca="false">IF($E250="","",IFERROR(INDEX(科目表!$E$4:$E$81,MATCH($E250,科目表!$B$4:$B$81,0)),""))</f>
        <v/>
      </c>
      <c r="H250" s="70" t="str">
        <f aca="false">IF($E250="","",N(INDEX(进销存对接!$M$4:$U$305,83,2)))</f>
        <v/>
      </c>
      <c r="I250" s="70" t="str">
        <f aca="false">IF($E250="","",N(INDEX(进销存对接!$M$4:$U$305,83,3)))</f>
        <v/>
      </c>
      <c r="J250" s="67"/>
      <c r="K250" s="67" t="str">
        <f aca="false">IF($E250="","",INDEX(进销存对接!$D$4:$D$305,83))</f>
        <v/>
      </c>
      <c r="L250" s="107"/>
      <c r="M250" s="107"/>
      <c r="N250" s="67" t="str">
        <f aca="false">IF($E250="","","系统")</f>
        <v/>
      </c>
      <c r="O250" s="67" t="str">
        <f aca="false">IF($E250="","","自动A")</f>
        <v/>
      </c>
      <c r="P250" s="18"/>
    </row>
    <row r="251" customFormat="false" ht="18" hidden="false" customHeight="true" outlineLevel="0" collapsed="false">
      <c r="A251" s="107" t="str">
        <f aca="false">IF($E251="","",ROW()-3)</f>
        <v/>
      </c>
      <c r="B251" s="110" t="str">
        <f aca="false">IF($E251="","",INDEX(进销存对接!$C$4:$C$305,83))</f>
        <v/>
      </c>
      <c r="C251" s="67" t="str">
        <f aca="false">IF($E251="","","记-"&amp;TEXT($B251,"YYYYMM")&amp;"-进销存")</f>
        <v/>
      </c>
      <c r="D251" s="107" t="str">
        <f aca="false">IF($E251="","",INDEX(进销存对接!$D$4:$D$305,83)&amp;" "&amp;TEXT($B251,"YYYY年M月")&amp;" 自动结转")</f>
        <v/>
      </c>
      <c r="E251" s="67" t="str">
        <f aca="false">IF(INDEX(进销存对接!$M$4:$U$305,83,4)=0,"",INDEX(进销存对接!$M$4:$U$305,83,4))</f>
        <v/>
      </c>
      <c r="F251" s="99" t="str">
        <f aca="false">IF($E251="","",IFERROR(INDEX(科目表!$A$4:$A$81,MATCH($E251,科目表!$B$4:$B$81,0)),""))</f>
        <v/>
      </c>
      <c r="G251" s="67" t="str">
        <f aca="false">IF($E251="","",IFERROR(INDEX(科目表!$E$4:$E$81,MATCH($E251,科目表!$B$4:$B$81,0)),""))</f>
        <v/>
      </c>
      <c r="H251" s="70" t="str">
        <f aca="false">IF($E251="","",N(INDEX(进销存对接!$M$4:$U$305,83,5)))</f>
        <v/>
      </c>
      <c r="I251" s="70" t="str">
        <f aca="false">IF($E251="","",N(INDEX(进销存对接!$M$4:$U$305,83,6)))</f>
        <v/>
      </c>
      <c r="J251" s="67"/>
      <c r="K251" s="67" t="str">
        <f aca="false">IF($E251="","",INDEX(进销存对接!$D$4:$D$305,83))</f>
        <v/>
      </c>
      <c r="L251" s="107"/>
      <c r="M251" s="107"/>
      <c r="N251" s="67" t="str">
        <f aca="false">IF($E251="","","系统")</f>
        <v/>
      </c>
      <c r="O251" s="67" t="str">
        <f aca="false">IF($E251="","","自动A")</f>
        <v/>
      </c>
      <c r="P251" s="18"/>
    </row>
    <row r="252" customFormat="false" ht="18" hidden="false" customHeight="true" outlineLevel="0" collapsed="false">
      <c r="A252" s="107" t="str">
        <f aca="false">IF($E252="","",ROW()-3)</f>
        <v/>
      </c>
      <c r="B252" s="110" t="str">
        <f aca="false">IF($E252="","",INDEX(进销存对接!$C$4:$C$305,83))</f>
        <v/>
      </c>
      <c r="C252" s="67" t="str">
        <f aca="false">IF($E252="","","记-"&amp;TEXT($B252,"YYYYMM")&amp;"-进销存")</f>
        <v/>
      </c>
      <c r="D252" s="107" t="str">
        <f aca="false">IF($E252="","",INDEX(进销存对接!$D$4:$D$305,83)&amp;" "&amp;TEXT($B252,"YYYY年M月")&amp;" 自动结转")</f>
        <v/>
      </c>
      <c r="E252" s="67" t="str">
        <f aca="false">IF(INDEX(进销存对接!$M$4:$U$305,83,7)=0,"",INDEX(进销存对接!$M$4:$U$305,83,7))</f>
        <v/>
      </c>
      <c r="F252" s="99" t="str">
        <f aca="false">IF($E252="","",IFERROR(INDEX(科目表!$A$4:$A$81,MATCH($E252,科目表!$B$4:$B$81,0)),""))</f>
        <v/>
      </c>
      <c r="G252" s="67" t="str">
        <f aca="false">IF($E252="","",IFERROR(INDEX(科目表!$E$4:$E$81,MATCH($E252,科目表!$B$4:$B$81,0)),""))</f>
        <v/>
      </c>
      <c r="H252" s="70" t="str">
        <f aca="false">IF($E252="","",N(INDEX(进销存对接!$M$4:$U$305,83,8)))</f>
        <v/>
      </c>
      <c r="I252" s="70" t="str">
        <f aca="false">IF($E252="","",N(INDEX(进销存对接!$M$4:$U$305,83,9)))</f>
        <v/>
      </c>
      <c r="J252" s="67"/>
      <c r="K252" s="67" t="str">
        <f aca="false">IF($E252="","",INDEX(进销存对接!$D$4:$D$305,83))</f>
        <v/>
      </c>
      <c r="L252" s="107"/>
      <c r="M252" s="107"/>
      <c r="N252" s="67" t="str">
        <f aca="false">IF($E252="","","系统")</f>
        <v/>
      </c>
      <c r="O252" s="67" t="str">
        <f aca="false">IF($E252="","","自动A")</f>
        <v/>
      </c>
      <c r="P252" s="18"/>
    </row>
    <row r="253" customFormat="false" ht="18" hidden="false" customHeight="true" outlineLevel="0" collapsed="false">
      <c r="A253" s="107" t="str">
        <f aca="false">IF($E253="","",ROW()-3)</f>
        <v/>
      </c>
      <c r="B253" s="110" t="str">
        <f aca="false">IF($E253="","",INDEX(进销存对接!$C$4:$C$305,84))</f>
        <v/>
      </c>
      <c r="C253" s="67" t="str">
        <f aca="false">IF($E253="","","记-"&amp;TEXT($B253,"YYYYMM")&amp;"-进销存")</f>
        <v/>
      </c>
      <c r="D253" s="107" t="str">
        <f aca="false">IF($E253="","",INDEX(进销存对接!$D$4:$D$305,84)&amp;" "&amp;TEXT($B253,"YYYY年M月")&amp;" 自动结转")</f>
        <v/>
      </c>
      <c r="E253" s="67" t="str">
        <f aca="false">IF(INDEX(进销存对接!$M$4:$U$305,84,1)=0,"",INDEX(进销存对接!$M$4:$U$305,84,1))</f>
        <v/>
      </c>
      <c r="F253" s="99" t="str">
        <f aca="false">IF($E253="","",IFERROR(INDEX(科目表!$A$4:$A$81,MATCH($E253,科目表!$B$4:$B$81,0)),""))</f>
        <v/>
      </c>
      <c r="G253" s="67" t="str">
        <f aca="false">IF($E253="","",IFERROR(INDEX(科目表!$E$4:$E$81,MATCH($E253,科目表!$B$4:$B$81,0)),""))</f>
        <v/>
      </c>
      <c r="H253" s="70" t="str">
        <f aca="false">IF($E253="","",N(INDEX(进销存对接!$M$4:$U$305,84,2)))</f>
        <v/>
      </c>
      <c r="I253" s="70" t="str">
        <f aca="false">IF($E253="","",N(INDEX(进销存对接!$M$4:$U$305,84,3)))</f>
        <v/>
      </c>
      <c r="J253" s="67"/>
      <c r="K253" s="67" t="str">
        <f aca="false">IF($E253="","",INDEX(进销存对接!$D$4:$D$305,84))</f>
        <v/>
      </c>
      <c r="L253" s="107"/>
      <c r="M253" s="107"/>
      <c r="N253" s="67" t="str">
        <f aca="false">IF($E253="","","系统")</f>
        <v/>
      </c>
      <c r="O253" s="67" t="str">
        <f aca="false">IF($E253="","","自动A")</f>
        <v/>
      </c>
      <c r="P253" s="18"/>
    </row>
    <row r="254" customFormat="false" ht="18" hidden="false" customHeight="true" outlineLevel="0" collapsed="false">
      <c r="A254" s="107" t="str">
        <f aca="false">IF($E254="","",ROW()-3)</f>
        <v/>
      </c>
      <c r="B254" s="110" t="str">
        <f aca="false">IF($E254="","",INDEX(进销存对接!$C$4:$C$305,84))</f>
        <v/>
      </c>
      <c r="C254" s="67" t="str">
        <f aca="false">IF($E254="","","记-"&amp;TEXT($B254,"YYYYMM")&amp;"-进销存")</f>
        <v/>
      </c>
      <c r="D254" s="107" t="str">
        <f aca="false">IF($E254="","",INDEX(进销存对接!$D$4:$D$305,84)&amp;" "&amp;TEXT($B254,"YYYY年M月")&amp;" 自动结转")</f>
        <v/>
      </c>
      <c r="E254" s="67" t="str">
        <f aca="false">IF(INDEX(进销存对接!$M$4:$U$305,84,4)=0,"",INDEX(进销存对接!$M$4:$U$305,84,4))</f>
        <v/>
      </c>
      <c r="F254" s="99" t="str">
        <f aca="false">IF($E254="","",IFERROR(INDEX(科目表!$A$4:$A$81,MATCH($E254,科目表!$B$4:$B$81,0)),""))</f>
        <v/>
      </c>
      <c r="G254" s="67" t="str">
        <f aca="false">IF($E254="","",IFERROR(INDEX(科目表!$E$4:$E$81,MATCH($E254,科目表!$B$4:$B$81,0)),""))</f>
        <v/>
      </c>
      <c r="H254" s="70" t="str">
        <f aca="false">IF($E254="","",N(INDEX(进销存对接!$M$4:$U$305,84,5)))</f>
        <v/>
      </c>
      <c r="I254" s="70" t="str">
        <f aca="false">IF($E254="","",N(INDEX(进销存对接!$M$4:$U$305,84,6)))</f>
        <v/>
      </c>
      <c r="J254" s="67"/>
      <c r="K254" s="67" t="str">
        <f aca="false">IF($E254="","",INDEX(进销存对接!$D$4:$D$305,84))</f>
        <v/>
      </c>
      <c r="L254" s="107"/>
      <c r="M254" s="107"/>
      <c r="N254" s="67" t="str">
        <f aca="false">IF($E254="","","系统")</f>
        <v/>
      </c>
      <c r="O254" s="67" t="str">
        <f aca="false">IF($E254="","","自动A")</f>
        <v/>
      </c>
      <c r="P254" s="18"/>
    </row>
    <row r="255" customFormat="false" ht="18" hidden="false" customHeight="true" outlineLevel="0" collapsed="false">
      <c r="A255" s="107" t="str">
        <f aca="false">IF($E255="","",ROW()-3)</f>
        <v/>
      </c>
      <c r="B255" s="110" t="str">
        <f aca="false">IF($E255="","",INDEX(进销存对接!$C$4:$C$305,84))</f>
        <v/>
      </c>
      <c r="C255" s="67" t="str">
        <f aca="false">IF($E255="","","记-"&amp;TEXT($B255,"YYYYMM")&amp;"-进销存")</f>
        <v/>
      </c>
      <c r="D255" s="107" t="str">
        <f aca="false">IF($E255="","",INDEX(进销存对接!$D$4:$D$305,84)&amp;" "&amp;TEXT($B255,"YYYY年M月")&amp;" 自动结转")</f>
        <v/>
      </c>
      <c r="E255" s="67" t="str">
        <f aca="false">IF(INDEX(进销存对接!$M$4:$U$305,84,7)=0,"",INDEX(进销存对接!$M$4:$U$305,84,7))</f>
        <v/>
      </c>
      <c r="F255" s="99" t="str">
        <f aca="false">IF($E255="","",IFERROR(INDEX(科目表!$A$4:$A$81,MATCH($E255,科目表!$B$4:$B$81,0)),""))</f>
        <v/>
      </c>
      <c r="G255" s="67" t="str">
        <f aca="false">IF($E255="","",IFERROR(INDEX(科目表!$E$4:$E$81,MATCH($E255,科目表!$B$4:$B$81,0)),""))</f>
        <v/>
      </c>
      <c r="H255" s="70" t="str">
        <f aca="false">IF($E255="","",N(INDEX(进销存对接!$M$4:$U$305,84,8)))</f>
        <v/>
      </c>
      <c r="I255" s="70" t="str">
        <f aca="false">IF($E255="","",N(INDEX(进销存对接!$M$4:$U$305,84,9)))</f>
        <v/>
      </c>
      <c r="J255" s="67"/>
      <c r="K255" s="67" t="str">
        <f aca="false">IF($E255="","",INDEX(进销存对接!$D$4:$D$305,84))</f>
        <v/>
      </c>
      <c r="L255" s="107"/>
      <c r="M255" s="107"/>
      <c r="N255" s="67" t="str">
        <f aca="false">IF($E255="","","系统")</f>
        <v/>
      </c>
      <c r="O255" s="67" t="str">
        <f aca="false">IF($E255="","","自动A")</f>
        <v/>
      </c>
      <c r="P255" s="18"/>
    </row>
    <row r="256" customFormat="false" ht="18" hidden="false" customHeight="true" outlineLevel="0" collapsed="false">
      <c r="A256" s="107" t="str">
        <f aca="false">IF($E256="","",ROW()-3)</f>
        <v/>
      </c>
      <c r="B256" s="110" t="str">
        <f aca="false">IF($E256="","",INDEX(进销存对接!$C$4:$C$305,85))</f>
        <v/>
      </c>
      <c r="C256" s="67" t="str">
        <f aca="false">IF($E256="","","记-"&amp;TEXT($B256,"YYYYMM")&amp;"-进销存")</f>
        <v/>
      </c>
      <c r="D256" s="107" t="str">
        <f aca="false">IF($E256="","",INDEX(进销存对接!$D$4:$D$305,85)&amp;" "&amp;TEXT($B256,"YYYY年M月")&amp;" 自动结转")</f>
        <v/>
      </c>
      <c r="E256" s="67" t="str">
        <f aca="false">IF(INDEX(进销存对接!$M$4:$U$305,85,1)=0,"",INDEX(进销存对接!$M$4:$U$305,85,1))</f>
        <v/>
      </c>
      <c r="F256" s="99" t="str">
        <f aca="false">IF($E256="","",IFERROR(INDEX(科目表!$A$4:$A$81,MATCH($E256,科目表!$B$4:$B$81,0)),""))</f>
        <v/>
      </c>
      <c r="G256" s="67" t="str">
        <f aca="false">IF($E256="","",IFERROR(INDEX(科目表!$E$4:$E$81,MATCH($E256,科目表!$B$4:$B$81,0)),""))</f>
        <v/>
      </c>
      <c r="H256" s="70" t="str">
        <f aca="false">IF($E256="","",N(INDEX(进销存对接!$M$4:$U$305,85,2)))</f>
        <v/>
      </c>
      <c r="I256" s="70" t="str">
        <f aca="false">IF($E256="","",N(INDEX(进销存对接!$M$4:$U$305,85,3)))</f>
        <v/>
      </c>
      <c r="J256" s="67"/>
      <c r="K256" s="67" t="str">
        <f aca="false">IF($E256="","",INDEX(进销存对接!$D$4:$D$305,85))</f>
        <v/>
      </c>
      <c r="L256" s="107"/>
      <c r="M256" s="107"/>
      <c r="N256" s="67" t="str">
        <f aca="false">IF($E256="","","系统")</f>
        <v/>
      </c>
      <c r="O256" s="67" t="str">
        <f aca="false">IF($E256="","","自动A")</f>
        <v/>
      </c>
      <c r="P256" s="18"/>
    </row>
    <row r="257" customFormat="false" ht="18" hidden="false" customHeight="true" outlineLevel="0" collapsed="false">
      <c r="A257" s="107" t="str">
        <f aca="false">IF($E257="","",ROW()-3)</f>
        <v/>
      </c>
      <c r="B257" s="110" t="str">
        <f aca="false">IF($E257="","",INDEX(进销存对接!$C$4:$C$305,85))</f>
        <v/>
      </c>
      <c r="C257" s="67" t="str">
        <f aca="false">IF($E257="","","记-"&amp;TEXT($B257,"YYYYMM")&amp;"-进销存")</f>
        <v/>
      </c>
      <c r="D257" s="107" t="str">
        <f aca="false">IF($E257="","",INDEX(进销存对接!$D$4:$D$305,85)&amp;" "&amp;TEXT($B257,"YYYY年M月")&amp;" 自动结转")</f>
        <v/>
      </c>
      <c r="E257" s="67" t="str">
        <f aca="false">IF(INDEX(进销存对接!$M$4:$U$305,85,4)=0,"",INDEX(进销存对接!$M$4:$U$305,85,4))</f>
        <v/>
      </c>
      <c r="F257" s="99" t="str">
        <f aca="false">IF($E257="","",IFERROR(INDEX(科目表!$A$4:$A$81,MATCH($E257,科目表!$B$4:$B$81,0)),""))</f>
        <v/>
      </c>
      <c r="G257" s="67" t="str">
        <f aca="false">IF($E257="","",IFERROR(INDEX(科目表!$E$4:$E$81,MATCH($E257,科目表!$B$4:$B$81,0)),""))</f>
        <v/>
      </c>
      <c r="H257" s="70" t="str">
        <f aca="false">IF($E257="","",N(INDEX(进销存对接!$M$4:$U$305,85,5)))</f>
        <v/>
      </c>
      <c r="I257" s="70" t="str">
        <f aca="false">IF($E257="","",N(INDEX(进销存对接!$M$4:$U$305,85,6)))</f>
        <v/>
      </c>
      <c r="J257" s="67"/>
      <c r="K257" s="67" t="str">
        <f aca="false">IF($E257="","",INDEX(进销存对接!$D$4:$D$305,85))</f>
        <v/>
      </c>
      <c r="L257" s="107"/>
      <c r="M257" s="107"/>
      <c r="N257" s="67" t="str">
        <f aca="false">IF($E257="","","系统")</f>
        <v/>
      </c>
      <c r="O257" s="67" t="str">
        <f aca="false">IF($E257="","","自动A")</f>
        <v/>
      </c>
      <c r="P257" s="18"/>
    </row>
    <row r="258" customFormat="false" ht="18" hidden="false" customHeight="true" outlineLevel="0" collapsed="false">
      <c r="A258" s="107" t="str">
        <f aca="false">IF($E258="","",ROW()-3)</f>
        <v/>
      </c>
      <c r="B258" s="110" t="str">
        <f aca="false">IF($E258="","",INDEX(进销存对接!$C$4:$C$305,85))</f>
        <v/>
      </c>
      <c r="C258" s="67" t="str">
        <f aca="false">IF($E258="","","记-"&amp;TEXT($B258,"YYYYMM")&amp;"-进销存")</f>
        <v/>
      </c>
      <c r="D258" s="107" t="str">
        <f aca="false">IF($E258="","",INDEX(进销存对接!$D$4:$D$305,85)&amp;" "&amp;TEXT($B258,"YYYY年M月")&amp;" 自动结转")</f>
        <v/>
      </c>
      <c r="E258" s="67" t="str">
        <f aca="false">IF(INDEX(进销存对接!$M$4:$U$305,85,7)=0,"",INDEX(进销存对接!$M$4:$U$305,85,7))</f>
        <v/>
      </c>
      <c r="F258" s="99" t="str">
        <f aca="false">IF($E258="","",IFERROR(INDEX(科目表!$A$4:$A$81,MATCH($E258,科目表!$B$4:$B$81,0)),""))</f>
        <v/>
      </c>
      <c r="G258" s="67" t="str">
        <f aca="false">IF($E258="","",IFERROR(INDEX(科目表!$E$4:$E$81,MATCH($E258,科目表!$B$4:$B$81,0)),""))</f>
        <v/>
      </c>
      <c r="H258" s="70" t="str">
        <f aca="false">IF($E258="","",N(INDEX(进销存对接!$M$4:$U$305,85,8)))</f>
        <v/>
      </c>
      <c r="I258" s="70" t="str">
        <f aca="false">IF($E258="","",N(INDEX(进销存对接!$M$4:$U$305,85,9)))</f>
        <v/>
      </c>
      <c r="J258" s="67"/>
      <c r="K258" s="67" t="str">
        <f aca="false">IF($E258="","",INDEX(进销存对接!$D$4:$D$305,85))</f>
        <v/>
      </c>
      <c r="L258" s="107"/>
      <c r="M258" s="107"/>
      <c r="N258" s="67" t="str">
        <f aca="false">IF($E258="","","系统")</f>
        <v/>
      </c>
      <c r="O258" s="67" t="str">
        <f aca="false">IF($E258="","","自动A")</f>
        <v/>
      </c>
      <c r="P258" s="18"/>
    </row>
    <row r="259" customFormat="false" ht="18" hidden="false" customHeight="true" outlineLevel="0" collapsed="false">
      <c r="A259" s="107" t="str">
        <f aca="false">IF($E259="","",ROW()-3)</f>
        <v/>
      </c>
      <c r="B259" s="110" t="str">
        <f aca="false">IF($E259="","",INDEX(进销存对接!$C$4:$C$305,86))</f>
        <v/>
      </c>
      <c r="C259" s="67" t="str">
        <f aca="false">IF($E259="","","记-"&amp;TEXT($B259,"YYYYMM")&amp;"-进销存")</f>
        <v/>
      </c>
      <c r="D259" s="107" t="str">
        <f aca="false">IF($E259="","",INDEX(进销存对接!$D$4:$D$305,86)&amp;" "&amp;TEXT($B259,"YYYY年M月")&amp;" 自动结转")</f>
        <v/>
      </c>
      <c r="E259" s="67" t="str">
        <f aca="false">IF(INDEX(进销存对接!$M$4:$U$305,86,1)=0,"",INDEX(进销存对接!$M$4:$U$305,86,1))</f>
        <v/>
      </c>
      <c r="F259" s="99" t="str">
        <f aca="false">IF($E259="","",IFERROR(INDEX(科目表!$A$4:$A$81,MATCH($E259,科目表!$B$4:$B$81,0)),""))</f>
        <v/>
      </c>
      <c r="G259" s="67" t="str">
        <f aca="false">IF($E259="","",IFERROR(INDEX(科目表!$E$4:$E$81,MATCH($E259,科目表!$B$4:$B$81,0)),""))</f>
        <v/>
      </c>
      <c r="H259" s="70" t="str">
        <f aca="false">IF($E259="","",N(INDEX(进销存对接!$M$4:$U$305,86,2)))</f>
        <v/>
      </c>
      <c r="I259" s="70" t="str">
        <f aca="false">IF($E259="","",N(INDEX(进销存对接!$M$4:$U$305,86,3)))</f>
        <v/>
      </c>
      <c r="J259" s="67"/>
      <c r="K259" s="67" t="str">
        <f aca="false">IF($E259="","",INDEX(进销存对接!$D$4:$D$305,86))</f>
        <v/>
      </c>
      <c r="L259" s="107"/>
      <c r="M259" s="107"/>
      <c r="N259" s="67" t="str">
        <f aca="false">IF($E259="","","系统")</f>
        <v/>
      </c>
      <c r="O259" s="67" t="str">
        <f aca="false">IF($E259="","","自动A")</f>
        <v/>
      </c>
      <c r="P259" s="18"/>
    </row>
    <row r="260" customFormat="false" ht="18" hidden="false" customHeight="true" outlineLevel="0" collapsed="false">
      <c r="A260" s="107" t="str">
        <f aca="false">IF($E260="","",ROW()-3)</f>
        <v/>
      </c>
      <c r="B260" s="110" t="str">
        <f aca="false">IF($E260="","",INDEX(进销存对接!$C$4:$C$305,86))</f>
        <v/>
      </c>
      <c r="C260" s="67" t="str">
        <f aca="false">IF($E260="","","记-"&amp;TEXT($B260,"YYYYMM")&amp;"-进销存")</f>
        <v/>
      </c>
      <c r="D260" s="107" t="str">
        <f aca="false">IF($E260="","",INDEX(进销存对接!$D$4:$D$305,86)&amp;" "&amp;TEXT($B260,"YYYY年M月")&amp;" 自动结转")</f>
        <v/>
      </c>
      <c r="E260" s="67" t="str">
        <f aca="false">IF(INDEX(进销存对接!$M$4:$U$305,86,4)=0,"",INDEX(进销存对接!$M$4:$U$305,86,4))</f>
        <v/>
      </c>
      <c r="F260" s="99" t="str">
        <f aca="false">IF($E260="","",IFERROR(INDEX(科目表!$A$4:$A$81,MATCH($E260,科目表!$B$4:$B$81,0)),""))</f>
        <v/>
      </c>
      <c r="G260" s="67" t="str">
        <f aca="false">IF($E260="","",IFERROR(INDEX(科目表!$E$4:$E$81,MATCH($E260,科目表!$B$4:$B$81,0)),""))</f>
        <v/>
      </c>
      <c r="H260" s="70" t="str">
        <f aca="false">IF($E260="","",N(INDEX(进销存对接!$M$4:$U$305,86,5)))</f>
        <v/>
      </c>
      <c r="I260" s="70" t="str">
        <f aca="false">IF($E260="","",N(INDEX(进销存对接!$M$4:$U$305,86,6)))</f>
        <v/>
      </c>
      <c r="J260" s="67"/>
      <c r="K260" s="67" t="str">
        <f aca="false">IF($E260="","",INDEX(进销存对接!$D$4:$D$305,86))</f>
        <v/>
      </c>
      <c r="L260" s="107"/>
      <c r="M260" s="107"/>
      <c r="N260" s="67" t="str">
        <f aca="false">IF($E260="","","系统")</f>
        <v/>
      </c>
      <c r="O260" s="67" t="str">
        <f aca="false">IF($E260="","","自动A")</f>
        <v/>
      </c>
      <c r="P260" s="18"/>
    </row>
    <row r="261" customFormat="false" ht="18" hidden="false" customHeight="true" outlineLevel="0" collapsed="false">
      <c r="A261" s="107" t="str">
        <f aca="false">IF($E261="","",ROW()-3)</f>
        <v/>
      </c>
      <c r="B261" s="110" t="str">
        <f aca="false">IF($E261="","",INDEX(进销存对接!$C$4:$C$305,86))</f>
        <v/>
      </c>
      <c r="C261" s="67" t="str">
        <f aca="false">IF($E261="","","记-"&amp;TEXT($B261,"YYYYMM")&amp;"-进销存")</f>
        <v/>
      </c>
      <c r="D261" s="107" t="str">
        <f aca="false">IF($E261="","",INDEX(进销存对接!$D$4:$D$305,86)&amp;" "&amp;TEXT($B261,"YYYY年M月")&amp;" 自动结转")</f>
        <v/>
      </c>
      <c r="E261" s="67" t="str">
        <f aca="false">IF(INDEX(进销存对接!$M$4:$U$305,86,7)=0,"",INDEX(进销存对接!$M$4:$U$305,86,7))</f>
        <v/>
      </c>
      <c r="F261" s="99" t="str">
        <f aca="false">IF($E261="","",IFERROR(INDEX(科目表!$A$4:$A$81,MATCH($E261,科目表!$B$4:$B$81,0)),""))</f>
        <v/>
      </c>
      <c r="G261" s="67" t="str">
        <f aca="false">IF($E261="","",IFERROR(INDEX(科目表!$E$4:$E$81,MATCH($E261,科目表!$B$4:$B$81,0)),""))</f>
        <v/>
      </c>
      <c r="H261" s="70" t="str">
        <f aca="false">IF($E261="","",N(INDEX(进销存对接!$M$4:$U$305,86,8)))</f>
        <v/>
      </c>
      <c r="I261" s="70" t="str">
        <f aca="false">IF($E261="","",N(INDEX(进销存对接!$M$4:$U$305,86,9)))</f>
        <v/>
      </c>
      <c r="J261" s="67"/>
      <c r="K261" s="67" t="str">
        <f aca="false">IF($E261="","",INDEX(进销存对接!$D$4:$D$305,86))</f>
        <v/>
      </c>
      <c r="L261" s="107"/>
      <c r="M261" s="107"/>
      <c r="N261" s="67" t="str">
        <f aca="false">IF($E261="","","系统")</f>
        <v/>
      </c>
      <c r="O261" s="67" t="str">
        <f aca="false">IF($E261="","","自动A")</f>
        <v/>
      </c>
      <c r="P261" s="18"/>
    </row>
    <row r="262" customFormat="false" ht="18" hidden="false" customHeight="true" outlineLevel="0" collapsed="false">
      <c r="A262" s="107" t="str">
        <f aca="false">IF($E262="","",ROW()-3)</f>
        <v/>
      </c>
      <c r="B262" s="110" t="str">
        <f aca="false">IF($E262="","",INDEX(进销存对接!$C$4:$C$305,87))</f>
        <v/>
      </c>
      <c r="C262" s="67" t="str">
        <f aca="false">IF($E262="","","记-"&amp;TEXT($B262,"YYYYMM")&amp;"-进销存")</f>
        <v/>
      </c>
      <c r="D262" s="107" t="str">
        <f aca="false">IF($E262="","",INDEX(进销存对接!$D$4:$D$305,87)&amp;" "&amp;TEXT($B262,"YYYY年M月")&amp;" 自动结转")</f>
        <v/>
      </c>
      <c r="E262" s="67" t="str">
        <f aca="false">IF(INDEX(进销存对接!$M$4:$U$305,87,1)=0,"",INDEX(进销存对接!$M$4:$U$305,87,1))</f>
        <v/>
      </c>
      <c r="F262" s="99" t="str">
        <f aca="false">IF($E262="","",IFERROR(INDEX(科目表!$A$4:$A$81,MATCH($E262,科目表!$B$4:$B$81,0)),""))</f>
        <v/>
      </c>
      <c r="G262" s="67" t="str">
        <f aca="false">IF($E262="","",IFERROR(INDEX(科目表!$E$4:$E$81,MATCH($E262,科目表!$B$4:$B$81,0)),""))</f>
        <v/>
      </c>
      <c r="H262" s="70" t="str">
        <f aca="false">IF($E262="","",N(INDEX(进销存对接!$M$4:$U$305,87,2)))</f>
        <v/>
      </c>
      <c r="I262" s="70" t="str">
        <f aca="false">IF($E262="","",N(INDEX(进销存对接!$M$4:$U$305,87,3)))</f>
        <v/>
      </c>
      <c r="J262" s="67"/>
      <c r="K262" s="67" t="str">
        <f aca="false">IF($E262="","",INDEX(进销存对接!$D$4:$D$305,87))</f>
        <v/>
      </c>
      <c r="L262" s="107"/>
      <c r="M262" s="107"/>
      <c r="N262" s="67" t="str">
        <f aca="false">IF($E262="","","系统")</f>
        <v/>
      </c>
      <c r="O262" s="67" t="str">
        <f aca="false">IF($E262="","","自动A")</f>
        <v/>
      </c>
      <c r="P262" s="18"/>
    </row>
    <row r="263" customFormat="false" ht="18" hidden="false" customHeight="true" outlineLevel="0" collapsed="false">
      <c r="A263" s="107" t="str">
        <f aca="false">IF($E263="","",ROW()-3)</f>
        <v/>
      </c>
      <c r="B263" s="110" t="str">
        <f aca="false">IF($E263="","",INDEX(进销存对接!$C$4:$C$305,87))</f>
        <v/>
      </c>
      <c r="C263" s="67" t="str">
        <f aca="false">IF($E263="","","记-"&amp;TEXT($B263,"YYYYMM")&amp;"-进销存")</f>
        <v/>
      </c>
      <c r="D263" s="107" t="str">
        <f aca="false">IF($E263="","",INDEX(进销存对接!$D$4:$D$305,87)&amp;" "&amp;TEXT($B263,"YYYY年M月")&amp;" 自动结转")</f>
        <v/>
      </c>
      <c r="E263" s="67" t="str">
        <f aca="false">IF(INDEX(进销存对接!$M$4:$U$305,87,4)=0,"",INDEX(进销存对接!$M$4:$U$305,87,4))</f>
        <v/>
      </c>
      <c r="F263" s="99" t="str">
        <f aca="false">IF($E263="","",IFERROR(INDEX(科目表!$A$4:$A$81,MATCH($E263,科目表!$B$4:$B$81,0)),""))</f>
        <v/>
      </c>
      <c r="G263" s="67" t="str">
        <f aca="false">IF($E263="","",IFERROR(INDEX(科目表!$E$4:$E$81,MATCH($E263,科目表!$B$4:$B$81,0)),""))</f>
        <v/>
      </c>
      <c r="H263" s="70" t="str">
        <f aca="false">IF($E263="","",N(INDEX(进销存对接!$M$4:$U$305,87,5)))</f>
        <v/>
      </c>
      <c r="I263" s="70" t="str">
        <f aca="false">IF($E263="","",N(INDEX(进销存对接!$M$4:$U$305,87,6)))</f>
        <v/>
      </c>
      <c r="J263" s="67"/>
      <c r="K263" s="67" t="str">
        <f aca="false">IF($E263="","",INDEX(进销存对接!$D$4:$D$305,87))</f>
        <v/>
      </c>
      <c r="L263" s="107"/>
      <c r="M263" s="107"/>
      <c r="N263" s="67" t="str">
        <f aca="false">IF($E263="","","系统")</f>
        <v/>
      </c>
      <c r="O263" s="67" t="str">
        <f aca="false">IF($E263="","","自动A")</f>
        <v/>
      </c>
      <c r="P263" s="18"/>
    </row>
    <row r="264" customFormat="false" ht="18" hidden="false" customHeight="true" outlineLevel="0" collapsed="false">
      <c r="A264" s="107" t="str">
        <f aca="false">IF($E264="","",ROW()-3)</f>
        <v/>
      </c>
      <c r="B264" s="110" t="str">
        <f aca="false">IF($E264="","",INDEX(进销存对接!$C$4:$C$305,87))</f>
        <v/>
      </c>
      <c r="C264" s="67" t="str">
        <f aca="false">IF($E264="","","记-"&amp;TEXT($B264,"YYYYMM")&amp;"-进销存")</f>
        <v/>
      </c>
      <c r="D264" s="107" t="str">
        <f aca="false">IF($E264="","",INDEX(进销存对接!$D$4:$D$305,87)&amp;" "&amp;TEXT($B264,"YYYY年M月")&amp;" 自动结转")</f>
        <v/>
      </c>
      <c r="E264" s="67" t="str">
        <f aca="false">IF(INDEX(进销存对接!$M$4:$U$305,87,7)=0,"",INDEX(进销存对接!$M$4:$U$305,87,7))</f>
        <v/>
      </c>
      <c r="F264" s="99" t="str">
        <f aca="false">IF($E264="","",IFERROR(INDEX(科目表!$A$4:$A$81,MATCH($E264,科目表!$B$4:$B$81,0)),""))</f>
        <v/>
      </c>
      <c r="G264" s="67" t="str">
        <f aca="false">IF($E264="","",IFERROR(INDEX(科目表!$E$4:$E$81,MATCH($E264,科目表!$B$4:$B$81,0)),""))</f>
        <v/>
      </c>
      <c r="H264" s="70" t="str">
        <f aca="false">IF($E264="","",N(INDEX(进销存对接!$M$4:$U$305,87,8)))</f>
        <v/>
      </c>
      <c r="I264" s="70" t="str">
        <f aca="false">IF($E264="","",N(INDEX(进销存对接!$M$4:$U$305,87,9)))</f>
        <v/>
      </c>
      <c r="J264" s="67"/>
      <c r="K264" s="67" t="str">
        <f aca="false">IF($E264="","",INDEX(进销存对接!$D$4:$D$305,87))</f>
        <v/>
      </c>
      <c r="L264" s="107"/>
      <c r="M264" s="107"/>
      <c r="N264" s="67" t="str">
        <f aca="false">IF($E264="","","系统")</f>
        <v/>
      </c>
      <c r="O264" s="67" t="str">
        <f aca="false">IF($E264="","","自动A")</f>
        <v/>
      </c>
      <c r="P264" s="18"/>
    </row>
    <row r="265" customFormat="false" ht="18" hidden="false" customHeight="true" outlineLevel="0" collapsed="false">
      <c r="A265" s="107" t="str">
        <f aca="false">IF($E265="","",ROW()-3)</f>
        <v/>
      </c>
      <c r="B265" s="110" t="str">
        <f aca="false">IF($E265="","",INDEX(进销存对接!$C$4:$C$305,88))</f>
        <v/>
      </c>
      <c r="C265" s="67" t="str">
        <f aca="false">IF($E265="","","记-"&amp;TEXT($B265,"YYYYMM")&amp;"-进销存")</f>
        <v/>
      </c>
      <c r="D265" s="107" t="str">
        <f aca="false">IF($E265="","",INDEX(进销存对接!$D$4:$D$305,88)&amp;" "&amp;TEXT($B265,"YYYY年M月")&amp;" 自动结转")</f>
        <v/>
      </c>
      <c r="E265" s="67" t="str">
        <f aca="false">IF(INDEX(进销存对接!$M$4:$U$305,88,1)=0,"",INDEX(进销存对接!$M$4:$U$305,88,1))</f>
        <v/>
      </c>
      <c r="F265" s="99" t="str">
        <f aca="false">IF($E265="","",IFERROR(INDEX(科目表!$A$4:$A$81,MATCH($E265,科目表!$B$4:$B$81,0)),""))</f>
        <v/>
      </c>
      <c r="G265" s="67" t="str">
        <f aca="false">IF($E265="","",IFERROR(INDEX(科目表!$E$4:$E$81,MATCH($E265,科目表!$B$4:$B$81,0)),""))</f>
        <v/>
      </c>
      <c r="H265" s="70" t="str">
        <f aca="false">IF($E265="","",N(INDEX(进销存对接!$M$4:$U$305,88,2)))</f>
        <v/>
      </c>
      <c r="I265" s="70" t="str">
        <f aca="false">IF($E265="","",N(INDEX(进销存对接!$M$4:$U$305,88,3)))</f>
        <v/>
      </c>
      <c r="J265" s="67"/>
      <c r="K265" s="67" t="str">
        <f aca="false">IF($E265="","",INDEX(进销存对接!$D$4:$D$305,88))</f>
        <v/>
      </c>
      <c r="L265" s="107"/>
      <c r="M265" s="107"/>
      <c r="N265" s="67" t="str">
        <f aca="false">IF($E265="","","系统")</f>
        <v/>
      </c>
      <c r="O265" s="67" t="str">
        <f aca="false">IF($E265="","","自动A")</f>
        <v/>
      </c>
      <c r="P265" s="18"/>
    </row>
    <row r="266" customFormat="false" ht="18" hidden="false" customHeight="true" outlineLevel="0" collapsed="false">
      <c r="A266" s="107" t="str">
        <f aca="false">IF($E266="","",ROW()-3)</f>
        <v/>
      </c>
      <c r="B266" s="110" t="str">
        <f aca="false">IF($E266="","",INDEX(进销存对接!$C$4:$C$305,88))</f>
        <v/>
      </c>
      <c r="C266" s="67" t="str">
        <f aca="false">IF($E266="","","记-"&amp;TEXT($B266,"YYYYMM")&amp;"-进销存")</f>
        <v/>
      </c>
      <c r="D266" s="107" t="str">
        <f aca="false">IF($E266="","",INDEX(进销存对接!$D$4:$D$305,88)&amp;" "&amp;TEXT($B266,"YYYY年M月")&amp;" 自动结转")</f>
        <v/>
      </c>
      <c r="E266" s="67" t="str">
        <f aca="false">IF(INDEX(进销存对接!$M$4:$U$305,88,4)=0,"",INDEX(进销存对接!$M$4:$U$305,88,4))</f>
        <v/>
      </c>
      <c r="F266" s="99" t="str">
        <f aca="false">IF($E266="","",IFERROR(INDEX(科目表!$A$4:$A$81,MATCH($E266,科目表!$B$4:$B$81,0)),""))</f>
        <v/>
      </c>
      <c r="G266" s="67" t="str">
        <f aca="false">IF($E266="","",IFERROR(INDEX(科目表!$E$4:$E$81,MATCH($E266,科目表!$B$4:$B$81,0)),""))</f>
        <v/>
      </c>
      <c r="H266" s="70" t="str">
        <f aca="false">IF($E266="","",N(INDEX(进销存对接!$M$4:$U$305,88,5)))</f>
        <v/>
      </c>
      <c r="I266" s="70" t="str">
        <f aca="false">IF($E266="","",N(INDEX(进销存对接!$M$4:$U$305,88,6)))</f>
        <v/>
      </c>
      <c r="J266" s="67"/>
      <c r="K266" s="67" t="str">
        <f aca="false">IF($E266="","",INDEX(进销存对接!$D$4:$D$305,88))</f>
        <v/>
      </c>
      <c r="L266" s="107"/>
      <c r="M266" s="107"/>
      <c r="N266" s="67" t="str">
        <f aca="false">IF($E266="","","系统")</f>
        <v/>
      </c>
      <c r="O266" s="67" t="str">
        <f aca="false">IF($E266="","","自动A")</f>
        <v/>
      </c>
      <c r="P266" s="18"/>
    </row>
    <row r="267" customFormat="false" ht="18" hidden="false" customHeight="true" outlineLevel="0" collapsed="false">
      <c r="A267" s="107" t="str">
        <f aca="false">IF($E267="","",ROW()-3)</f>
        <v/>
      </c>
      <c r="B267" s="110" t="str">
        <f aca="false">IF($E267="","",INDEX(进销存对接!$C$4:$C$305,88))</f>
        <v/>
      </c>
      <c r="C267" s="67" t="str">
        <f aca="false">IF($E267="","","记-"&amp;TEXT($B267,"YYYYMM")&amp;"-进销存")</f>
        <v/>
      </c>
      <c r="D267" s="107" t="str">
        <f aca="false">IF($E267="","",INDEX(进销存对接!$D$4:$D$305,88)&amp;" "&amp;TEXT($B267,"YYYY年M月")&amp;" 自动结转")</f>
        <v/>
      </c>
      <c r="E267" s="67" t="str">
        <f aca="false">IF(INDEX(进销存对接!$M$4:$U$305,88,7)=0,"",INDEX(进销存对接!$M$4:$U$305,88,7))</f>
        <v/>
      </c>
      <c r="F267" s="99" t="str">
        <f aca="false">IF($E267="","",IFERROR(INDEX(科目表!$A$4:$A$81,MATCH($E267,科目表!$B$4:$B$81,0)),""))</f>
        <v/>
      </c>
      <c r="G267" s="67" t="str">
        <f aca="false">IF($E267="","",IFERROR(INDEX(科目表!$E$4:$E$81,MATCH($E267,科目表!$B$4:$B$81,0)),""))</f>
        <v/>
      </c>
      <c r="H267" s="70" t="str">
        <f aca="false">IF($E267="","",N(INDEX(进销存对接!$M$4:$U$305,88,8)))</f>
        <v/>
      </c>
      <c r="I267" s="70" t="str">
        <f aca="false">IF($E267="","",N(INDEX(进销存对接!$M$4:$U$305,88,9)))</f>
        <v/>
      </c>
      <c r="J267" s="67"/>
      <c r="K267" s="67" t="str">
        <f aca="false">IF($E267="","",INDEX(进销存对接!$D$4:$D$305,88))</f>
        <v/>
      </c>
      <c r="L267" s="107"/>
      <c r="M267" s="107"/>
      <c r="N267" s="67" t="str">
        <f aca="false">IF($E267="","","系统")</f>
        <v/>
      </c>
      <c r="O267" s="67" t="str">
        <f aca="false">IF($E267="","","自动A")</f>
        <v/>
      </c>
      <c r="P267" s="18"/>
    </row>
    <row r="268" customFormat="false" ht="18" hidden="false" customHeight="true" outlineLevel="0" collapsed="false">
      <c r="A268" s="107" t="str">
        <f aca="false">IF($E268="","",ROW()-3)</f>
        <v/>
      </c>
      <c r="B268" s="110" t="str">
        <f aca="false">IF($E268="","",INDEX(进销存对接!$C$4:$C$305,89))</f>
        <v/>
      </c>
      <c r="C268" s="67" t="str">
        <f aca="false">IF($E268="","","记-"&amp;TEXT($B268,"YYYYMM")&amp;"-进销存")</f>
        <v/>
      </c>
      <c r="D268" s="107" t="str">
        <f aca="false">IF($E268="","",INDEX(进销存对接!$D$4:$D$305,89)&amp;" "&amp;TEXT($B268,"YYYY年M月")&amp;" 自动结转")</f>
        <v/>
      </c>
      <c r="E268" s="67" t="str">
        <f aca="false">IF(INDEX(进销存对接!$M$4:$U$305,89,1)=0,"",INDEX(进销存对接!$M$4:$U$305,89,1))</f>
        <v/>
      </c>
      <c r="F268" s="99" t="str">
        <f aca="false">IF($E268="","",IFERROR(INDEX(科目表!$A$4:$A$81,MATCH($E268,科目表!$B$4:$B$81,0)),""))</f>
        <v/>
      </c>
      <c r="G268" s="67" t="str">
        <f aca="false">IF($E268="","",IFERROR(INDEX(科目表!$E$4:$E$81,MATCH($E268,科目表!$B$4:$B$81,0)),""))</f>
        <v/>
      </c>
      <c r="H268" s="70" t="str">
        <f aca="false">IF($E268="","",N(INDEX(进销存对接!$M$4:$U$305,89,2)))</f>
        <v/>
      </c>
      <c r="I268" s="70" t="str">
        <f aca="false">IF($E268="","",N(INDEX(进销存对接!$M$4:$U$305,89,3)))</f>
        <v/>
      </c>
      <c r="J268" s="67"/>
      <c r="K268" s="67" t="str">
        <f aca="false">IF($E268="","",INDEX(进销存对接!$D$4:$D$305,89))</f>
        <v/>
      </c>
      <c r="L268" s="107"/>
      <c r="M268" s="107"/>
      <c r="N268" s="67" t="str">
        <f aca="false">IF($E268="","","系统")</f>
        <v/>
      </c>
      <c r="O268" s="67" t="str">
        <f aca="false">IF($E268="","","自动A")</f>
        <v/>
      </c>
      <c r="P268" s="18"/>
    </row>
    <row r="269" customFormat="false" ht="18" hidden="false" customHeight="true" outlineLevel="0" collapsed="false">
      <c r="A269" s="107" t="str">
        <f aca="false">IF($E269="","",ROW()-3)</f>
        <v/>
      </c>
      <c r="B269" s="110" t="str">
        <f aca="false">IF($E269="","",INDEX(进销存对接!$C$4:$C$305,89))</f>
        <v/>
      </c>
      <c r="C269" s="67" t="str">
        <f aca="false">IF($E269="","","记-"&amp;TEXT($B269,"YYYYMM")&amp;"-进销存")</f>
        <v/>
      </c>
      <c r="D269" s="107" t="str">
        <f aca="false">IF($E269="","",INDEX(进销存对接!$D$4:$D$305,89)&amp;" "&amp;TEXT($B269,"YYYY年M月")&amp;" 自动结转")</f>
        <v/>
      </c>
      <c r="E269" s="67" t="str">
        <f aca="false">IF(INDEX(进销存对接!$M$4:$U$305,89,4)=0,"",INDEX(进销存对接!$M$4:$U$305,89,4))</f>
        <v/>
      </c>
      <c r="F269" s="99" t="str">
        <f aca="false">IF($E269="","",IFERROR(INDEX(科目表!$A$4:$A$81,MATCH($E269,科目表!$B$4:$B$81,0)),""))</f>
        <v/>
      </c>
      <c r="G269" s="67" t="str">
        <f aca="false">IF($E269="","",IFERROR(INDEX(科目表!$E$4:$E$81,MATCH($E269,科目表!$B$4:$B$81,0)),""))</f>
        <v/>
      </c>
      <c r="H269" s="70" t="str">
        <f aca="false">IF($E269="","",N(INDEX(进销存对接!$M$4:$U$305,89,5)))</f>
        <v/>
      </c>
      <c r="I269" s="70" t="str">
        <f aca="false">IF($E269="","",N(INDEX(进销存对接!$M$4:$U$305,89,6)))</f>
        <v/>
      </c>
      <c r="J269" s="67"/>
      <c r="K269" s="67" t="str">
        <f aca="false">IF($E269="","",INDEX(进销存对接!$D$4:$D$305,89))</f>
        <v/>
      </c>
      <c r="L269" s="107"/>
      <c r="M269" s="107"/>
      <c r="N269" s="67" t="str">
        <f aca="false">IF($E269="","","系统")</f>
        <v/>
      </c>
      <c r="O269" s="67" t="str">
        <f aca="false">IF($E269="","","自动A")</f>
        <v/>
      </c>
      <c r="P269" s="18"/>
    </row>
    <row r="270" customFormat="false" ht="18" hidden="false" customHeight="true" outlineLevel="0" collapsed="false">
      <c r="A270" s="107" t="str">
        <f aca="false">IF($E270="","",ROW()-3)</f>
        <v/>
      </c>
      <c r="B270" s="110" t="str">
        <f aca="false">IF($E270="","",INDEX(进销存对接!$C$4:$C$305,89))</f>
        <v/>
      </c>
      <c r="C270" s="67" t="str">
        <f aca="false">IF($E270="","","记-"&amp;TEXT($B270,"YYYYMM")&amp;"-进销存")</f>
        <v/>
      </c>
      <c r="D270" s="107" t="str">
        <f aca="false">IF($E270="","",INDEX(进销存对接!$D$4:$D$305,89)&amp;" "&amp;TEXT($B270,"YYYY年M月")&amp;" 自动结转")</f>
        <v/>
      </c>
      <c r="E270" s="67" t="str">
        <f aca="false">IF(INDEX(进销存对接!$M$4:$U$305,89,7)=0,"",INDEX(进销存对接!$M$4:$U$305,89,7))</f>
        <v/>
      </c>
      <c r="F270" s="99" t="str">
        <f aca="false">IF($E270="","",IFERROR(INDEX(科目表!$A$4:$A$81,MATCH($E270,科目表!$B$4:$B$81,0)),""))</f>
        <v/>
      </c>
      <c r="G270" s="67" t="str">
        <f aca="false">IF($E270="","",IFERROR(INDEX(科目表!$E$4:$E$81,MATCH($E270,科目表!$B$4:$B$81,0)),""))</f>
        <v/>
      </c>
      <c r="H270" s="70" t="str">
        <f aca="false">IF($E270="","",N(INDEX(进销存对接!$M$4:$U$305,89,8)))</f>
        <v/>
      </c>
      <c r="I270" s="70" t="str">
        <f aca="false">IF($E270="","",N(INDEX(进销存对接!$M$4:$U$305,89,9)))</f>
        <v/>
      </c>
      <c r="J270" s="67"/>
      <c r="K270" s="67" t="str">
        <f aca="false">IF($E270="","",INDEX(进销存对接!$D$4:$D$305,89))</f>
        <v/>
      </c>
      <c r="L270" s="107"/>
      <c r="M270" s="107"/>
      <c r="N270" s="67" t="str">
        <f aca="false">IF($E270="","","系统")</f>
        <v/>
      </c>
      <c r="O270" s="67" t="str">
        <f aca="false">IF($E270="","","自动A")</f>
        <v/>
      </c>
      <c r="P270" s="18"/>
    </row>
    <row r="271" customFormat="false" ht="18" hidden="false" customHeight="true" outlineLevel="0" collapsed="false">
      <c r="A271" s="107" t="str">
        <f aca="false">IF($E271="","",ROW()-3)</f>
        <v/>
      </c>
      <c r="B271" s="110" t="str">
        <f aca="false">IF($E271="","",INDEX(进销存对接!$C$4:$C$305,90))</f>
        <v/>
      </c>
      <c r="C271" s="67" t="str">
        <f aca="false">IF($E271="","","记-"&amp;TEXT($B271,"YYYYMM")&amp;"-进销存")</f>
        <v/>
      </c>
      <c r="D271" s="107" t="str">
        <f aca="false">IF($E271="","",INDEX(进销存对接!$D$4:$D$305,90)&amp;" "&amp;TEXT($B271,"YYYY年M月")&amp;" 自动结转")</f>
        <v/>
      </c>
      <c r="E271" s="67" t="str">
        <f aca="false">IF(INDEX(进销存对接!$M$4:$U$305,90,1)=0,"",INDEX(进销存对接!$M$4:$U$305,90,1))</f>
        <v/>
      </c>
      <c r="F271" s="99" t="str">
        <f aca="false">IF($E271="","",IFERROR(INDEX(科目表!$A$4:$A$81,MATCH($E271,科目表!$B$4:$B$81,0)),""))</f>
        <v/>
      </c>
      <c r="G271" s="67" t="str">
        <f aca="false">IF($E271="","",IFERROR(INDEX(科目表!$E$4:$E$81,MATCH($E271,科目表!$B$4:$B$81,0)),""))</f>
        <v/>
      </c>
      <c r="H271" s="70" t="str">
        <f aca="false">IF($E271="","",N(INDEX(进销存对接!$M$4:$U$305,90,2)))</f>
        <v/>
      </c>
      <c r="I271" s="70" t="str">
        <f aca="false">IF($E271="","",N(INDEX(进销存对接!$M$4:$U$305,90,3)))</f>
        <v/>
      </c>
      <c r="J271" s="67"/>
      <c r="K271" s="67" t="str">
        <f aca="false">IF($E271="","",INDEX(进销存对接!$D$4:$D$305,90))</f>
        <v/>
      </c>
      <c r="L271" s="107"/>
      <c r="M271" s="107"/>
      <c r="N271" s="67" t="str">
        <f aca="false">IF($E271="","","系统")</f>
        <v/>
      </c>
      <c r="O271" s="67" t="str">
        <f aca="false">IF($E271="","","自动A")</f>
        <v/>
      </c>
      <c r="P271" s="18"/>
    </row>
    <row r="272" customFormat="false" ht="18" hidden="false" customHeight="true" outlineLevel="0" collapsed="false">
      <c r="A272" s="107" t="str">
        <f aca="false">IF($E272="","",ROW()-3)</f>
        <v/>
      </c>
      <c r="B272" s="110" t="str">
        <f aca="false">IF($E272="","",INDEX(进销存对接!$C$4:$C$305,90))</f>
        <v/>
      </c>
      <c r="C272" s="67" t="str">
        <f aca="false">IF($E272="","","记-"&amp;TEXT($B272,"YYYYMM")&amp;"-进销存")</f>
        <v/>
      </c>
      <c r="D272" s="107" t="str">
        <f aca="false">IF($E272="","",INDEX(进销存对接!$D$4:$D$305,90)&amp;" "&amp;TEXT($B272,"YYYY年M月")&amp;" 自动结转")</f>
        <v/>
      </c>
      <c r="E272" s="67" t="str">
        <f aca="false">IF(INDEX(进销存对接!$M$4:$U$305,90,4)=0,"",INDEX(进销存对接!$M$4:$U$305,90,4))</f>
        <v/>
      </c>
      <c r="F272" s="99" t="str">
        <f aca="false">IF($E272="","",IFERROR(INDEX(科目表!$A$4:$A$81,MATCH($E272,科目表!$B$4:$B$81,0)),""))</f>
        <v/>
      </c>
      <c r="G272" s="67" t="str">
        <f aca="false">IF($E272="","",IFERROR(INDEX(科目表!$E$4:$E$81,MATCH($E272,科目表!$B$4:$B$81,0)),""))</f>
        <v/>
      </c>
      <c r="H272" s="70" t="str">
        <f aca="false">IF($E272="","",N(INDEX(进销存对接!$M$4:$U$305,90,5)))</f>
        <v/>
      </c>
      <c r="I272" s="70" t="str">
        <f aca="false">IF($E272="","",N(INDEX(进销存对接!$M$4:$U$305,90,6)))</f>
        <v/>
      </c>
      <c r="J272" s="67"/>
      <c r="K272" s="67" t="str">
        <f aca="false">IF($E272="","",INDEX(进销存对接!$D$4:$D$305,90))</f>
        <v/>
      </c>
      <c r="L272" s="107"/>
      <c r="M272" s="107"/>
      <c r="N272" s="67" t="str">
        <f aca="false">IF($E272="","","系统")</f>
        <v/>
      </c>
      <c r="O272" s="67" t="str">
        <f aca="false">IF($E272="","","自动A")</f>
        <v/>
      </c>
      <c r="P272" s="18"/>
    </row>
    <row r="273" customFormat="false" ht="18" hidden="false" customHeight="true" outlineLevel="0" collapsed="false">
      <c r="A273" s="107" t="str">
        <f aca="false">IF($E273="","",ROW()-3)</f>
        <v/>
      </c>
      <c r="B273" s="110" t="str">
        <f aca="false">IF($E273="","",INDEX(进销存对接!$C$4:$C$305,90))</f>
        <v/>
      </c>
      <c r="C273" s="67" t="str">
        <f aca="false">IF($E273="","","记-"&amp;TEXT($B273,"YYYYMM")&amp;"-进销存")</f>
        <v/>
      </c>
      <c r="D273" s="107" t="str">
        <f aca="false">IF($E273="","",INDEX(进销存对接!$D$4:$D$305,90)&amp;" "&amp;TEXT($B273,"YYYY年M月")&amp;" 自动结转")</f>
        <v/>
      </c>
      <c r="E273" s="67" t="str">
        <f aca="false">IF(INDEX(进销存对接!$M$4:$U$305,90,7)=0,"",INDEX(进销存对接!$M$4:$U$305,90,7))</f>
        <v/>
      </c>
      <c r="F273" s="99" t="str">
        <f aca="false">IF($E273="","",IFERROR(INDEX(科目表!$A$4:$A$81,MATCH($E273,科目表!$B$4:$B$81,0)),""))</f>
        <v/>
      </c>
      <c r="G273" s="67" t="str">
        <f aca="false">IF($E273="","",IFERROR(INDEX(科目表!$E$4:$E$81,MATCH($E273,科目表!$B$4:$B$81,0)),""))</f>
        <v/>
      </c>
      <c r="H273" s="70" t="str">
        <f aca="false">IF($E273="","",N(INDEX(进销存对接!$M$4:$U$305,90,8)))</f>
        <v/>
      </c>
      <c r="I273" s="70" t="str">
        <f aca="false">IF($E273="","",N(INDEX(进销存对接!$M$4:$U$305,90,9)))</f>
        <v/>
      </c>
      <c r="J273" s="67"/>
      <c r="K273" s="67" t="str">
        <f aca="false">IF($E273="","",INDEX(进销存对接!$D$4:$D$305,90))</f>
        <v/>
      </c>
      <c r="L273" s="107"/>
      <c r="M273" s="107"/>
      <c r="N273" s="67" t="str">
        <f aca="false">IF($E273="","","系统")</f>
        <v/>
      </c>
      <c r="O273" s="67" t="str">
        <f aca="false">IF($E273="","","自动A")</f>
        <v/>
      </c>
      <c r="P273" s="18"/>
    </row>
    <row r="274" customFormat="false" ht="18" hidden="false" customHeight="true" outlineLevel="0" collapsed="false">
      <c r="A274" s="107" t="str">
        <f aca="false">IF($E274="","",ROW()-3)</f>
        <v/>
      </c>
      <c r="B274" s="110" t="str">
        <f aca="false">IF($E274="","",INDEX(进销存对接!$C$4:$C$305,91))</f>
        <v/>
      </c>
      <c r="C274" s="67" t="str">
        <f aca="false">IF($E274="","","记-"&amp;TEXT($B274,"YYYYMM")&amp;"-进销存")</f>
        <v/>
      </c>
      <c r="D274" s="107" t="str">
        <f aca="false">IF($E274="","",INDEX(进销存对接!$D$4:$D$305,91)&amp;" "&amp;TEXT($B274,"YYYY年M月")&amp;" 自动结转")</f>
        <v/>
      </c>
      <c r="E274" s="67" t="str">
        <f aca="false">IF(INDEX(进销存对接!$M$4:$U$305,91,1)=0,"",INDEX(进销存对接!$M$4:$U$305,91,1))</f>
        <v/>
      </c>
      <c r="F274" s="99" t="str">
        <f aca="false">IF($E274="","",IFERROR(INDEX(科目表!$A$4:$A$81,MATCH($E274,科目表!$B$4:$B$81,0)),""))</f>
        <v/>
      </c>
      <c r="G274" s="67" t="str">
        <f aca="false">IF($E274="","",IFERROR(INDEX(科目表!$E$4:$E$81,MATCH($E274,科目表!$B$4:$B$81,0)),""))</f>
        <v/>
      </c>
      <c r="H274" s="70" t="str">
        <f aca="false">IF($E274="","",N(INDEX(进销存对接!$M$4:$U$305,91,2)))</f>
        <v/>
      </c>
      <c r="I274" s="70" t="str">
        <f aca="false">IF($E274="","",N(INDEX(进销存对接!$M$4:$U$305,91,3)))</f>
        <v/>
      </c>
      <c r="J274" s="67"/>
      <c r="K274" s="67" t="str">
        <f aca="false">IF($E274="","",INDEX(进销存对接!$D$4:$D$305,91))</f>
        <v/>
      </c>
      <c r="L274" s="107"/>
      <c r="M274" s="107"/>
      <c r="N274" s="67" t="str">
        <f aca="false">IF($E274="","","系统")</f>
        <v/>
      </c>
      <c r="O274" s="67" t="str">
        <f aca="false">IF($E274="","","自动A")</f>
        <v/>
      </c>
      <c r="P274" s="18"/>
    </row>
    <row r="275" customFormat="false" ht="18" hidden="false" customHeight="true" outlineLevel="0" collapsed="false">
      <c r="A275" s="107" t="str">
        <f aca="false">IF($E275="","",ROW()-3)</f>
        <v/>
      </c>
      <c r="B275" s="110" t="str">
        <f aca="false">IF($E275="","",INDEX(进销存对接!$C$4:$C$305,91))</f>
        <v/>
      </c>
      <c r="C275" s="67" t="str">
        <f aca="false">IF($E275="","","记-"&amp;TEXT($B275,"YYYYMM")&amp;"-进销存")</f>
        <v/>
      </c>
      <c r="D275" s="107" t="str">
        <f aca="false">IF($E275="","",INDEX(进销存对接!$D$4:$D$305,91)&amp;" "&amp;TEXT($B275,"YYYY年M月")&amp;" 自动结转")</f>
        <v/>
      </c>
      <c r="E275" s="67" t="str">
        <f aca="false">IF(INDEX(进销存对接!$M$4:$U$305,91,4)=0,"",INDEX(进销存对接!$M$4:$U$305,91,4))</f>
        <v/>
      </c>
      <c r="F275" s="99" t="str">
        <f aca="false">IF($E275="","",IFERROR(INDEX(科目表!$A$4:$A$81,MATCH($E275,科目表!$B$4:$B$81,0)),""))</f>
        <v/>
      </c>
      <c r="G275" s="67" t="str">
        <f aca="false">IF($E275="","",IFERROR(INDEX(科目表!$E$4:$E$81,MATCH($E275,科目表!$B$4:$B$81,0)),""))</f>
        <v/>
      </c>
      <c r="H275" s="70" t="str">
        <f aca="false">IF($E275="","",N(INDEX(进销存对接!$M$4:$U$305,91,5)))</f>
        <v/>
      </c>
      <c r="I275" s="70" t="str">
        <f aca="false">IF($E275="","",N(INDEX(进销存对接!$M$4:$U$305,91,6)))</f>
        <v/>
      </c>
      <c r="J275" s="67"/>
      <c r="K275" s="67" t="str">
        <f aca="false">IF($E275="","",INDEX(进销存对接!$D$4:$D$305,91))</f>
        <v/>
      </c>
      <c r="L275" s="107"/>
      <c r="M275" s="107"/>
      <c r="N275" s="67" t="str">
        <f aca="false">IF($E275="","","系统")</f>
        <v/>
      </c>
      <c r="O275" s="67" t="str">
        <f aca="false">IF($E275="","","自动A")</f>
        <v/>
      </c>
      <c r="P275" s="18"/>
    </row>
    <row r="276" customFormat="false" ht="18" hidden="false" customHeight="true" outlineLevel="0" collapsed="false">
      <c r="A276" s="107" t="str">
        <f aca="false">IF($E276="","",ROW()-3)</f>
        <v/>
      </c>
      <c r="B276" s="110" t="str">
        <f aca="false">IF($E276="","",INDEX(进销存对接!$C$4:$C$305,91))</f>
        <v/>
      </c>
      <c r="C276" s="67" t="str">
        <f aca="false">IF($E276="","","记-"&amp;TEXT($B276,"YYYYMM")&amp;"-进销存")</f>
        <v/>
      </c>
      <c r="D276" s="107" t="str">
        <f aca="false">IF($E276="","",INDEX(进销存对接!$D$4:$D$305,91)&amp;" "&amp;TEXT($B276,"YYYY年M月")&amp;" 自动结转")</f>
        <v/>
      </c>
      <c r="E276" s="67" t="str">
        <f aca="false">IF(INDEX(进销存对接!$M$4:$U$305,91,7)=0,"",INDEX(进销存对接!$M$4:$U$305,91,7))</f>
        <v/>
      </c>
      <c r="F276" s="99" t="str">
        <f aca="false">IF($E276="","",IFERROR(INDEX(科目表!$A$4:$A$81,MATCH($E276,科目表!$B$4:$B$81,0)),""))</f>
        <v/>
      </c>
      <c r="G276" s="67" t="str">
        <f aca="false">IF($E276="","",IFERROR(INDEX(科目表!$E$4:$E$81,MATCH($E276,科目表!$B$4:$B$81,0)),""))</f>
        <v/>
      </c>
      <c r="H276" s="70" t="str">
        <f aca="false">IF($E276="","",N(INDEX(进销存对接!$M$4:$U$305,91,8)))</f>
        <v/>
      </c>
      <c r="I276" s="70" t="str">
        <f aca="false">IF($E276="","",N(INDEX(进销存对接!$M$4:$U$305,91,9)))</f>
        <v/>
      </c>
      <c r="J276" s="67"/>
      <c r="K276" s="67" t="str">
        <f aca="false">IF($E276="","",INDEX(进销存对接!$D$4:$D$305,91))</f>
        <v/>
      </c>
      <c r="L276" s="107"/>
      <c r="M276" s="107"/>
      <c r="N276" s="67" t="str">
        <f aca="false">IF($E276="","","系统")</f>
        <v/>
      </c>
      <c r="O276" s="67" t="str">
        <f aca="false">IF($E276="","","自动A")</f>
        <v/>
      </c>
      <c r="P276" s="18"/>
    </row>
    <row r="277" customFormat="false" ht="18" hidden="false" customHeight="true" outlineLevel="0" collapsed="false">
      <c r="A277" s="107" t="str">
        <f aca="false">IF($E277="","",ROW()-3)</f>
        <v/>
      </c>
      <c r="B277" s="110" t="str">
        <f aca="false">IF($E277="","",INDEX(进销存对接!$C$4:$C$305,92))</f>
        <v/>
      </c>
      <c r="C277" s="67" t="str">
        <f aca="false">IF($E277="","","记-"&amp;TEXT($B277,"YYYYMM")&amp;"-进销存")</f>
        <v/>
      </c>
      <c r="D277" s="107" t="str">
        <f aca="false">IF($E277="","",INDEX(进销存对接!$D$4:$D$305,92)&amp;" "&amp;TEXT($B277,"YYYY年M月")&amp;" 自动结转")</f>
        <v/>
      </c>
      <c r="E277" s="67" t="str">
        <f aca="false">IF(INDEX(进销存对接!$M$4:$U$305,92,1)=0,"",INDEX(进销存对接!$M$4:$U$305,92,1))</f>
        <v/>
      </c>
      <c r="F277" s="99" t="str">
        <f aca="false">IF($E277="","",IFERROR(INDEX(科目表!$A$4:$A$81,MATCH($E277,科目表!$B$4:$B$81,0)),""))</f>
        <v/>
      </c>
      <c r="G277" s="67" t="str">
        <f aca="false">IF($E277="","",IFERROR(INDEX(科目表!$E$4:$E$81,MATCH($E277,科目表!$B$4:$B$81,0)),""))</f>
        <v/>
      </c>
      <c r="H277" s="70" t="str">
        <f aca="false">IF($E277="","",N(INDEX(进销存对接!$M$4:$U$305,92,2)))</f>
        <v/>
      </c>
      <c r="I277" s="70" t="str">
        <f aca="false">IF($E277="","",N(INDEX(进销存对接!$M$4:$U$305,92,3)))</f>
        <v/>
      </c>
      <c r="J277" s="67"/>
      <c r="K277" s="67" t="str">
        <f aca="false">IF($E277="","",INDEX(进销存对接!$D$4:$D$305,92))</f>
        <v/>
      </c>
      <c r="L277" s="107"/>
      <c r="M277" s="107"/>
      <c r="N277" s="67" t="str">
        <f aca="false">IF($E277="","","系统")</f>
        <v/>
      </c>
      <c r="O277" s="67" t="str">
        <f aca="false">IF($E277="","","自动A")</f>
        <v/>
      </c>
      <c r="P277" s="18"/>
    </row>
    <row r="278" customFormat="false" ht="18" hidden="false" customHeight="true" outlineLevel="0" collapsed="false">
      <c r="A278" s="107" t="str">
        <f aca="false">IF($E278="","",ROW()-3)</f>
        <v/>
      </c>
      <c r="B278" s="110" t="str">
        <f aca="false">IF($E278="","",INDEX(进销存对接!$C$4:$C$305,92))</f>
        <v/>
      </c>
      <c r="C278" s="67" t="str">
        <f aca="false">IF($E278="","","记-"&amp;TEXT($B278,"YYYYMM")&amp;"-进销存")</f>
        <v/>
      </c>
      <c r="D278" s="107" t="str">
        <f aca="false">IF($E278="","",INDEX(进销存对接!$D$4:$D$305,92)&amp;" "&amp;TEXT($B278,"YYYY年M月")&amp;" 自动结转")</f>
        <v/>
      </c>
      <c r="E278" s="67" t="str">
        <f aca="false">IF(INDEX(进销存对接!$M$4:$U$305,92,4)=0,"",INDEX(进销存对接!$M$4:$U$305,92,4))</f>
        <v/>
      </c>
      <c r="F278" s="99" t="str">
        <f aca="false">IF($E278="","",IFERROR(INDEX(科目表!$A$4:$A$81,MATCH($E278,科目表!$B$4:$B$81,0)),""))</f>
        <v/>
      </c>
      <c r="G278" s="67" t="str">
        <f aca="false">IF($E278="","",IFERROR(INDEX(科目表!$E$4:$E$81,MATCH($E278,科目表!$B$4:$B$81,0)),""))</f>
        <v/>
      </c>
      <c r="H278" s="70" t="str">
        <f aca="false">IF($E278="","",N(INDEX(进销存对接!$M$4:$U$305,92,5)))</f>
        <v/>
      </c>
      <c r="I278" s="70" t="str">
        <f aca="false">IF($E278="","",N(INDEX(进销存对接!$M$4:$U$305,92,6)))</f>
        <v/>
      </c>
      <c r="J278" s="67"/>
      <c r="K278" s="67" t="str">
        <f aca="false">IF($E278="","",INDEX(进销存对接!$D$4:$D$305,92))</f>
        <v/>
      </c>
      <c r="L278" s="107"/>
      <c r="M278" s="107"/>
      <c r="N278" s="67" t="str">
        <f aca="false">IF($E278="","","系统")</f>
        <v/>
      </c>
      <c r="O278" s="67" t="str">
        <f aca="false">IF($E278="","","自动A")</f>
        <v/>
      </c>
      <c r="P278" s="18"/>
    </row>
    <row r="279" customFormat="false" ht="18" hidden="false" customHeight="true" outlineLevel="0" collapsed="false">
      <c r="A279" s="107" t="str">
        <f aca="false">IF($E279="","",ROW()-3)</f>
        <v/>
      </c>
      <c r="B279" s="110" t="str">
        <f aca="false">IF($E279="","",INDEX(进销存对接!$C$4:$C$305,92))</f>
        <v/>
      </c>
      <c r="C279" s="67" t="str">
        <f aca="false">IF($E279="","","记-"&amp;TEXT($B279,"YYYYMM")&amp;"-进销存")</f>
        <v/>
      </c>
      <c r="D279" s="107" t="str">
        <f aca="false">IF($E279="","",INDEX(进销存对接!$D$4:$D$305,92)&amp;" "&amp;TEXT($B279,"YYYY年M月")&amp;" 自动结转")</f>
        <v/>
      </c>
      <c r="E279" s="67" t="str">
        <f aca="false">IF(INDEX(进销存对接!$M$4:$U$305,92,7)=0,"",INDEX(进销存对接!$M$4:$U$305,92,7))</f>
        <v/>
      </c>
      <c r="F279" s="99" t="str">
        <f aca="false">IF($E279="","",IFERROR(INDEX(科目表!$A$4:$A$81,MATCH($E279,科目表!$B$4:$B$81,0)),""))</f>
        <v/>
      </c>
      <c r="G279" s="67" t="str">
        <f aca="false">IF($E279="","",IFERROR(INDEX(科目表!$E$4:$E$81,MATCH($E279,科目表!$B$4:$B$81,0)),""))</f>
        <v/>
      </c>
      <c r="H279" s="70" t="str">
        <f aca="false">IF($E279="","",N(INDEX(进销存对接!$M$4:$U$305,92,8)))</f>
        <v/>
      </c>
      <c r="I279" s="70" t="str">
        <f aca="false">IF($E279="","",N(INDEX(进销存对接!$M$4:$U$305,92,9)))</f>
        <v/>
      </c>
      <c r="J279" s="67"/>
      <c r="K279" s="67" t="str">
        <f aca="false">IF($E279="","",INDEX(进销存对接!$D$4:$D$305,92))</f>
        <v/>
      </c>
      <c r="L279" s="107"/>
      <c r="M279" s="107"/>
      <c r="N279" s="67" t="str">
        <f aca="false">IF($E279="","","系统")</f>
        <v/>
      </c>
      <c r="O279" s="67" t="str">
        <f aca="false">IF($E279="","","自动A")</f>
        <v/>
      </c>
      <c r="P279" s="18"/>
    </row>
    <row r="280" customFormat="false" ht="18" hidden="false" customHeight="true" outlineLevel="0" collapsed="false">
      <c r="A280" s="107" t="str">
        <f aca="false">IF($E280="","",ROW()-3)</f>
        <v/>
      </c>
      <c r="B280" s="110" t="str">
        <f aca="false">IF($E280="","",INDEX(进销存对接!$C$4:$C$305,93))</f>
        <v/>
      </c>
      <c r="C280" s="67" t="str">
        <f aca="false">IF($E280="","","记-"&amp;TEXT($B280,"YYYYMM")&amp;"-进销存")</f>
        <v/>
      </c>
      <c r="D280" s="107" t="str">
        <f aca="false">IF($E280="","",INDEX(进销存对接!$D$4:$D$305,93)&amp;" "&amp;TEXT($B280,"YYYY年M月")&amp;" 自动结转")</f>
        <v/>
      </c>
      <c r="E280" s="67" t="str">
        <f aca="false">IF(INDEX(进销存对接!$M$4:$U$305,93,1)=0,"",INDEX(进销存对接!$M$4:$U$305,93,1))</f>
        <v/>
      </c>
      <c r="F280" s="99" t="str">
        <f aca="false">IF($E280="","",IFERROR(INDEX(科目表!$A$4:$A$81,MATCH($E280,科目表!$B$4:$B$81,0)),""))</f>
        <v/>
      </c>
      <c r="G280" s="67" t="str">
        <f aca="false">IF($E280="","",IFERROR(INDEX(科目表!$E$4:$E$81,MATCH($E280,科目表!$B$4:$B$81,0)),""))</f>
        <v/>
      </c>
      <c r="H280" s="70" t="str">
        <f aca="false">IF($E280="","",N(INDEX(进销存对接!$M$4:$U$305,93,2)))</f>
        <v/>
      </c>
      <c r="I280" s="70" t="str">
        <f aca="false">IF($E280="","",N(INDEX(进销存对接!$M$4:$U$305,93,3)))</f>
        <v/>
      </c>
      <c r="J280" s="67"/>
      <c r="K280" s="67" t="str">
        <f aca="false">IF($E280="","",INDEX(进销存对接!$D$4:$D$305,93))</f>
        <v/>
      </c>
      <c r="L280" s="107"/>
      <c r="M280" s="107"/>
      <c r="N280" s="67" t="str">
        <f aca="false">IF($E280="","","系统")</f>
        <v/>
      </c>
      <c r="O280" s="67" t="str">
        <f aca="false">IF($E280="","","自动A")</f>
        <v/>
      </c>
      <c r="P280" s="18"/>
    </row>
    <row r="281" customFormat="false" ht="18" hidden="false" customHeight="true" outlineLevel="0" collapsed="false">
      <c r="A281" s="107" t="str">
        <f aca="false">IF($E281="","",ROW()-3)</f>
        <v/>
      </c>
      <c r="B281" s="110" t="str">
        <f aca="false">IF($E281="","",INDEX(进销存对接!$C$4:$C$305,93))</f>
        <v/>
      </c>
      <c r="C281" s="67" t="str">
        <f aca="false">IF($E281="","","记-"&amp;TEXT($B281,"YYYYMM")&amp;"-进销存")</f>
        <v/>
      </c>
      <c r="D281" s="107" t="str">
        <f aca="false">IF($E281="","",INDEX(进销存对接!$D$4:$D$305,93)&amp;" "&amp;TEXT($B281,"YYYY年M月")&amp;" 自动结转")</f>
        <v/>
      </c>
      <c r="E281" s="67" t="str">
        <f aca="false">IF(INDEX(进销存对接!$M$4:$U$305,93,4)=0,"",INDEX(进销存对接!$M$4:$U$305,93,4))</f>
        <v/>
      </c>
      <c r="F281" s="99" t="str">
        <f aca="false">IF($E281="","",IFERROR(INDEX(科目表!$A$4:$A$81,MATCH($E281,科目表!$B$4:$B$81,0)),""))</f>
        <v/>
      </c>
      <c r="G281" s="67" t="str">
        <f aca="false">IF($E281="","",IFERROR(INDEX(科目表!$E$4:$E$81,MATCH($E281,科目表!$B$4:$B$81,0)),""))</f>
        <v/>
      </c>
      <c r="H281" s="70" t="str">
        <f aca="false">IF($E281="","",N(INDEX(进销存对接!$M$4:$U$305,93,5)))</f>
        <v/>
      </c>
      <c r="I281" s="70" t="str">
        <f aca="false">IF($E281="","",N(INDEX(进销存对接!$M$4:$U$305,93,6)))</f>
        <v/>
      </c>
      <c r="J281" s="67"/>
      <c r="K281" s="67" t="str">
        <f aca="false">IF($E281="","",INDEX(进销存对接!$D$4:$D$305,93))</f>
        <v/>
      </c>
      <c r="L281" s="107"/>
      <c r="M281" s="107"/>
      <c r="N281" s="67" t="str">
        <f aca="false">IF($E281="","","系统")</f>
        <v/>
      </c>
      <c r="O281" s="67" t="str">
        <f aca="false">IF($E281="","","自动A")</f>
        <v/>
      </c>
      <c r="P281" s="18"/>
    </row>
    <row r="282" customFormat="false" ht="18" hidden="false" customHeight="true" outlineLevel="0" collapsed="false">
      <c r="A282" s="107" t="str">
        <f aca="false">IF($E282="","",ROW()-3)</f>
        <v/>
      </c>
      <c r="B282" s="110" t="str">
        <f aca="false">IF($E282="","",INDEX(进销存对接!$C$4:$C$305,93))</f>
        <v/>
      </c>
      <c r="C282" s="67" t="str">
        <f aca="false">IF($E282="","","记-"&amp;TEXT($B282,"YYYYMM")&amp;"-进销存")</f>
        <v/>
      </c>
      <c r="D282" s="107" t="str">
        <f aca="false">IF($E282="","",INDEX(进销存对接!$D$4:$D$305,93)&amp;" "&amp;TEXT($B282,"YYYY年M月")&amp;" 自动结转")</f>
        <v/>
      </c>
      <c r="E282" s="67" t="str">
        <f aca="false">IF(INDEX(进销存对接!$M$4:$U$305,93,7)=0,"",INDEX(进销存对接!$M$4:$U$305,93,7))</f>
        <v/>
      </c>
      <c r="F282" s="99" t="str">
        <f aca="false">IF($E282="","",IFERROR(INDEX(科目表!$A$4:$A$81,MATCH($E282,科目表!$B$4:$B$81,0)),""))</f>
        <v/>
      </c>
      <c r="G282" s="67" t="str">
        <f aca="false">IF($E282="","",IFERROR(INDEX(科目表!$E$4:$E$81,MATCH($E282,科目表!$B$4:$B$81,0)),""))</f>
        <v/>
      </c>
      <c r="H282" s="70" t="str">
        <f aca="false">IF($E282="","",N(INDEX(进销存对接!$M$4:$U$305,93,8)))</f>
        <v/>
      </c>
      <c r="I282" s="70" t="str">
        <f aca="false">IF($E282="","",N(INDEX(进销存对接!$M$4:$U$305,93,9)))</f>
        <v/>
      </c>
      <c r="J282" s="67"/>
      <c r="K282" s="67" t="str">
        <f aca="false">IF($E282="","",INDEX(进销存对接!$D$4:$D$305,93))</f>
        <v/>
      </c>
      <c r="L282" s="107"/>
      <c r="M282" s="107"/>
      <c r="N282" s="67" t="str">
        <f aca="false">IF($E282="","","系统")</f>
        <v/>
      </c>
      <c r="O282" s="67" t="str">
        <f aca="false">IF($E282="","","自动A")</f>
        <v/>
      </c>
      <c r="P282" s="18"/>
    </row>
    <row r="283" customFormat="false" ht="18" hidden="false" customHeight="true" outlineLevel="0" collapsed="false">
      <c r="A283" s="107" t="str">
        <f aca="false">IF($E283="","",ROW()-3)</f>
        <v/>
      </c>
      <c r="B283" s="110" t="str">
        <f aca="false">IF($E283="","",INDEX(进销存对接!$C$4:$C$305,94))</f>
        <v/>
      </c>
      <c r="C283" s="67" t="str">
        <f aca="false">IF($E283="","","记-"&amp;TEXT($B283,"YYYYMM")&amp;"-进销存")</f>
        <v/>
      </c>
      <c r="D283" s="107" t="str">
        <f aca="false">IF($E283="","",INDEX(进销存对接!$D$4:$D$305,94)&amp;" "&amp;TEXT($B283,"YYYY年M月")&amp;" 自动结转")</f>
        <v/>
      </c>
      <c r="E283" s="67" t="str">
        <f aca="false">IF(INDEX(进销存对接!$M$4:$U$305,94,1)=0,"",INDEX(进销存对接!$M$4:$U$305,94,1))</f>
        <v/>
      </c>
      <c r="F283" s="99" t="str">
        <f aca="false">IF($E283="","",IFERROR(INDEX(科目表!$A$4:$A$81,MATCH($E283,科目表!$B$4:$B$81,0)),""))</f>
        <v/>
      </c>
      <c r="G283" s="67" t="str">
        <f aca="false">IF($E283="","",IFERROR(INDEX(科目表!$E$4:$E$81,MATCH($E283,科目表!$B$4:$B$81,0)),""))</f>
        <v/>
      </c>
      <c r="H283" s="70" t="str">
        <f aca="false">IF($E283="","",N(INDEX(进销存对接!$M$4:$U$305,94,2)))</f>
        <v/>
      </c>
      <c r="I283" s="70" t="str">
        <f aca="false">IF($E283="","",N(INDEX(进销存对接!$M$4:$U$305,94,3)))</f>
        <v/>
      </c>
      <c r="J283" s="67"/>
      <c r="K283" s="67" t="str">
        <f aca="false">IF($E283="","",INDEX(进销存对接!$D$4:$D$305,94))</f>
        <v/>
      </c>
      <c r="L283" s="107"/>
      <c r="M283" s="107"/>
      <c r="N283" s="67" t="str">
        <f aca="false">IF($E283="","","系统")</f>
        <v/>
      </c>
      <c r="O283" s="67" t="str">
        <f aca="false">IF($E283="","","自动A")</f>
        <v/>
      </c>
      <c r="P283" s="18"/>
    </row>
    <row r="284" customFormat="false" ht="18" hidden="false" customHeight="true" outlineLevel="0" collapsed="false">
      <c r="A284" s="107" t="str">
        <f aca="false">IF($E284="","",ROW()-3)</f>
        <v/>
      </c>
      <c r="B284" s="110" t="str">
        <f aca="false">IF($E284="","",INDEX(进销存对接!$C$4:$C$305,94))</f>
        <v/>
      </c>
      <c r="C284" s="67" t="str">
        <f aca="false">IF($E284="","","记-"&amp;TEXT($B284,"YYYYMM")&amp;"-进销存")</f>
        <v/>
      </c>
      <c r="D284" s="107" t="str">
        <f aca="false">IF($E284="","",INDEX(进销存对接!$D$4:$D$305,94)&amp;" "&amp;TEXT($B284,"YYYY年M月")&amp;" 自动结转")</f>
        <v/>
      </c>
      <c r="E284" s="67" t="str">
        <f aca="false">IF(INDEX(进销存对接!$M$4:$U$305,94,4)=0,"",INDEX(进销存对接!$M$4:$U$305,94,4))</f>
        <v/>
      </c>
      <c r="F284" s="99" t="str">
        <f aca="false">IF($E284="","",IFERROR(INDEX(科目表!$A$4:$A$81,MATCH($E284,科目表!$B$4:$B$81,0)),""))</f>
        <v/>
      </c>
      <c r="G284" s="67" t="str">
        <f aca="false">IF($E284="","",IFERROR(INDEX(科目表!$E$4:$E$81,MATCH($E284,科目表!$B$4:$B$81,0)),""))</f>
        <v/>
      </c>
      <c r="H284" s="70" t="str">
        <f aca="false">IF($E284="","",N(INDEX(进销存对接!$M$4:$U$305,94,5)))</f>
        <v/>
      </c>
      <c r="I284" s="70" t="str">
        <f aca="false">IF($E284="","",N(INDEX(进销存对接!$M$4:$U$305,94,6)))</f>
        <v/>
      </c>
      <c r="J284" s="67"/>
      <c r="K284" s="67" t="str">
        <f aca="false">IF($E284="","",INDEX(进销存对接!$D$4:$D$305,94))</f>
        <v/>
      </c>
      <c r="L284" s="107"/>
      <c r="M284" s="107"/>
      <c r="N284" s="67" t="str">
        <f aca="false">IF($E284="","","系统")</f>
        <v/>
      </c>
      <c r="O284" s="67" t="str">
        <f aca="false">IF($E284="","","自动A")</f>
        <v/>
      </c>
      <c r="P284" s="18"/>
    </row>
    <row r="285" customFormat="false" ht="18" hidden="false" customHeight="true" outlineLevel="0" collapsed="false">
      <c r="A285" s="107" t="str">
        <f aca="false">IF($E285="","",ROW()-3)</f>
        <v/>
      </c>
      <c r="B285" s="110" t="str">
        <f aca="false">IF($E285="","",INDEX(进销存对接!$C$4:$C$305,94))</f>
        <v/>
      </c>
      <c r="C285" s="67" t="str">
        <f aca="false">IF($E285="","","记-"&amp;TEXT($B285,"YYYYMM")&amp;"-进销存")</f>
        <v/>
      </c>
      <c r="D285" s="107" t="str">
        <f aca="false">IF($E285="","",INDEX(进销存对接!$D$4:$D$305,94)&amp;" "&amp;TEXT($B285,"YYYY年M月")&amp;" 自动结转")</f>
        <v/>
      </c>
      <c r="E285" s="67" t="str">
        <f aca="false">IF(INDEX(进销存对接!$M$4:$U$305,94,7)=0,"",INDEX(进销存对接!$M$4:$U$305,94,7))</f>
        <v/>
      </c>
      <c r="F285" s="99" t="str">
        <f aca="false">IF($E285="","",IFERROR(INDEX(科目表!$A$4:$A$81,MATCH($E285,科目表!$B$4:$B$81,0)),""))</f>
        <v/>
      </c>
      <c r="G285" s="67" t="str">
        <f aca="false">IF($E285="","",IFERROR(INDEX(科目表!$E$4:$E$81,MATCH($E285,科目表!$B$4:$B$81,0)),""))</f>
        <v/>
      </c>
      <c r="H285" s="70" t="str">
        <f aca="false">IF($E285="","",N(INDEX(进销存对接!$M$4:$U$305,94,8)))</f>
        <v/>
      </c>
      <c r="I285" s="70" t="str">
        <f aca="false">IF($E285="","",N(INDEX(进销存对接!$M$4:$U$305,94,9)))</f>
        <v/>
      </c>
      <c r="J285" s="67"/>
      <c r="K285" s="67" t="str">
        <f aca="false">IF($E285="","",INDEX(进销存对接!$D$4:$D$305,94))</f>
        <v/>
      </c>
      <c r="L285" s="107"/>
      <c r="M285" s="107"/>
      <c r="N285" s="67" t="str">
        <f aca="false">IF($E285="","","系统")</f>
        <v/>
      </c>
      <c r="O285" s="67" t="str">
        <f aca="false">IF($E285="","","自动A")</f>
        <v/>
      </c>
      <c r="P285" s="18"/>
    </row>
    <row r="286" customFormat="false" ht="18" hidden="false" customHeight="true" outlineLevel="0" collapsed="false">
      <c r="A286" s="107" t="str">
        <f aca="false">IF($E286="","",ROW()-3)</f>
        <v/>
      </c>
      <c r="B286" s="110" t="str">
        <f aca="false">IF($E286="","",INDEX(进销存对接!$C$4:$C$305,95))</f>
        <v/>
      </c>
      <c r="C286" s="67" t="str">
        <f aca="false">IF($E286="","","记-"&amp;TEXT($B286,"YYYYMM")&amp;"-进销存")</f>
        <v/>
      </c>
      <c r="D286" s="107" t="str">
        <f aca="false">IF($E286="","",INDEX(进销存对接!$D$4:$D$305,95)&amp;" "&amp;TEXT($B286,"YYYY年M月")&amp;" 自动结转")</f>
        <v/>
      </c>
      <c r="E286" s="67" t="str">
        <f aca="false">IF(INDEX(进销存对接!$M$4:$U$305,95,1)=0,"",INDEX(进销存对接!$M$4:$U$305,95,1))</f>
        <v/>
      </c>
      <c r="F286" s="99" t="str">
        <f aca="false">IF($E286="","",IFERROR(INDEX(科目表!$A$4:$A$81,MATCH($E286,科目表!$B$4:$B$81,0)),""))</f>
        <v/>
      </c>
      <c r="G286" s="67" t="str">
        <f aca="false">IF($E286="","",IFERROR(INDEX(科目表!$E$4:$E$81,MATCH($E286,科目表!$B$4:$B$81,0)),""))</f>
        <v/>
      </c>
      <c r="H286" s="70" t="str">
        <f aca="false">IF($E286="","",N(INDEX(进销存对接!$M$4:$U$305,95,2)))</f>
        <v/>
      </c>
      <c r="I286" s="70" t="str">
        <f aca="false">IF($E286="","",N(INDEX(进销存对接!$M$4:$U$305,95,3)))</f>
        <v/>
      </c>
      <c r="J286" s="67"/>
      <c r="K286" s="67" t="str">
        <f aca="false">IF($E286="","",INDEX(进销存对接!$D$4:$D$305,95))</f>
        <v/>
      </c>
      <c r="L286" s="107"/>
      <c r="M286" s="107"/>
      <c r="N286" s="67" t="str">
        <f aca="false">IF($E286="","","系统")</f>
        <v/>
      </c>
      <c r="O286" s="67" t="str">
        <f aca="false">IF($E286="","","自动A")</f>
        <v/>
      </c>
      <c r="P286" s="18"/>
    </row>
    <row r="287" customFormat="false" ht="18" hidden="false" customHeight="true" outlineLevel="0" collapsed="false">
      <c r="A287" s="107" t="str">
        <f aca="false">IF($E287="","",ROW()-3)</f>
        <v/>
      </c>
      <c r="B287" s="110" t="str">
        <f aca="false">IF($E287="","",INDEX(进销存对接!$C$4:$C$305,95))</f>
        <v/>
      </c>
      <c r="C287" s="67" t="str">
        <f aca="false">IF($E287="","","记-"&amp;TEXT($B287,"YYYYMM")&amp;"-进销存")</f>
        <v/>
      </c>
      <c r="D287" s="107" t="str">
        <f aca="false">IF($E287="","",INDEX(进销存对接!$D$4:$D$305,95)&amp;" "&amp;TEXT($B287,"YYYY年M月")&amp;" 自动结转")</f>
        <v/>
      </c>
      <c r="E287" s="67" t="str">
        <f aca="false">IF(INDEX(进销存对接!$M$4:$U$305,95,4)=0,"",INDEX(进销存对接!$M$4:$U$305,95,4))</f>
        <v/>
      </c>
      <c r="F287" s="99" t="str">
        <f aca="false">IF($E287="","",IFERROR(INDEX(科目表!$A$4:$A$81,MATCH($E287,科目表!$B$4:$B$81,0)),""))</f>
        <v/>
      </c>
      <c r="G287" s="67" t="str">
        <f aca="false">IF($E287="","",IFERROR(INDEX(科目表!$E$4:$E$81,MATCH($E287,科目表!$B$4:$B$81,0)),""))</f>
        <v/>
      </c>
      <c r="H287" s="70" t="str">
        <f aca="false">IF($E287="","",N(INDEX(进销存对接!$M$4:$U$305,95,5)))</f>
        <v/>
      </c>
      <c r="I287" s="70" t="str">
        <f aca="false">IF($E287="","",N(INDEX(进销存对接!$M$4:$U$305,95,6)))</f>
        <v/>
      </c>
      <c r="J287" s="67"/>
      <c r="K287" s="67" t="str">
        <f aca="false">IF($E287="","",INDEX(进销存对接!$D$4:$D$305,95))</f>
        <v/>
      </c>
      <c r="L287" s="107"/>
      <c r="M287" s="107"/>
      <c r="N287" s="67" t="str">
        <f aca="false">IF($E287="","","系统")</f>
        <v/>
      </c>
      <c r="O287" s="67" t="str">
        <f aca="false">IF($E287="","","自动A")</f>
        <v/>
      </c>
      <c r="P287" s="18"/>
    </row>
    <row r="288" customFormat="false" ht="18" hidden="false" customHeight="true" outlineLevel="0" collapsed="false">
      <c r="A288" s="107" t="str">
        <f aca="false">IF($E288="","",ROW()-3)</f>
        <v/>
      </c>
      <c r="B288" s="110" t="str">
        <f aca="false">IF($E288="","",INDEX(进销存对接!$C$4:$C$305,95))</f>
        <v/>
      </c>
      <c r="C288" s="67" t="str">
        <f aca="false">IF($E288="","","记-"&amp;TEXT($B288,"YYYYMM")&amp;"-进销存")</f>
        <v/>
      </c>
      <c r="D288" s="107" t="str">
        <f aca="false">IF($E288="","",INDEX(进销存对接!$D$4:$D$305,95)&amp;" "&amp;TEXT($B288,"YYYY年M月")&amp;" 自动结转")</f>
        <v/>
      </c>
      <c r="E288" s="67" t="str">
        <f aca="false">IF(INDEX(进销存对接!$M$4:$U$305,95,7)=0,"",INDEX(进销存对接!$M$4:$U$305,95,7))</f>
        <v/>
      </c>
      <c r="F288" s="99" t="str">
        <f aca="false">IF($E288="","",IFERROR(INDEX(科目表!$A$4:$A$81,MATCH($E288,科目表!$B$4:$B$81,0)),""))</f>
        <v/>
      </c>
      <c r="G288" s="67" t="str">
        <f aca="false">IF($E288="","",IFERROR(INDEX(科目表!$E$4:$E$81,MATCH($E288,科目表!$B$4:$B$81,0)),""))</f>
        <v/>
      </c>
      <c r="H288" s="70" t="str">
        <f aca="false">IF($E288="","",N(INDEX(进销存对接!$M$4:$U$305,95,8)))</f>
        <v/>
      </c>
      <c r="I288" s="70" t="str">
        <f aca="false">IF($E288="","",N(INDEX(进销存对接!$M$4:$U$305,95,9)))</f>
        <v/>
      </c>
      <c r="J288" s="67"/>
      <c r="K288" s="67" t="str">
        <f aca="false">IF($E288="","",INDEX(进销存对接!$D$4:$D$305,95))</f>
        <v/>
      </c>
      <c r="L288" s="107"/>
      <c r="M288" s="107"/>
      <c r="N288" s="67" t="str">
        <f aca="false">IF($E288="","","系统")</f>
        <v/>
      </c>
      <c r="O288" s="67" t="str">
        <f aca="false">IF($E288="","","自动A")</f>
        <v/>
      </c>
      <c r="P288" s="18"/>
    </row>
    <row r="289" customFormat="false" ht="18" hidden="false" customHeight="true" outlineLevel="0" collapsed="false">
      <c r="A289" s="107" t="str">
        <f aca="false">IF($E289="","",ROW()-3)</f>
        <v/>
      </c>
      <c r="B289" s="110" t="str">
        <f aca="false">IF($E289="","",INDEX(进销存对接!$C$4:$C$305,96))</f>
        <v/>
      </c>
      <c r="C289" s="67" t="str">
        <f aca="false">IF($E289="","","记-"&amp;TEXT($B289,"YYYYMM")&amp;"-进销存")</f>
        <v/>
      </c>
      <c r="D289" s="107" t="str">
        <f aca="false">IF($E289="","",INDEX(进销存对接!$D$4:$D$305,96)&amp;" "&amp;TEXT($B289,"YYYY年M月")&amp;" 自动结转")</f>
        <v/>
      </c>
      <c r="E289" s="67" t="str">
        <f aca="false">IF(INDEX(进销存对接!$M$4:$U$305,96,1)=0,"",INDEX(进销存对接!$M$4:$U$305,96,1))</f>
        <v/>
      </c>
      <c r="F289" s="99" t="str">
        <f aca="false">IF($E289="","",IFERROR(INDEX(科目表!$A$4:$A$81,MATCH($E289,科目表!$B$4:$B$81,0)),""))</f>
        <v/>
      </c>
      <c r="G289" s="67" t="str">
        <f aca="false">IF($E289="","",IFERROR(INDEX(科目表!$E$4:$E$81,MATCH($E289,科目表!$B$4:$B$81,0)),""))</f>
        <v/>
      </c>
      <c r="H289" s="70" t="str">
        <f aca="false">IF($E289="","",N(INDEX(进销存对接!$M$4:$U$305,96,2)))</f>
        <v/>
      </c>
      <c r="I289" s="70" t="str">
        <f aca="false">IF($E289="","",N(INDEX(进销存对接!$M$4:$U$305,96,3)))</f>
        <v/>
      </c>
      <c r="J289" s="67"/>
      <c r="K289" s="67" t="str">
        <f aca="false">IF($E289="","",INDEX(进销存对接!$D$4:$D$305,96))</f>
        <v/>
      </c>
      <c r="L289" s="107"/>
      <c r="M289" s="107"/>
      <c r="N289" s="67" t="str">
        <f aca="false">IF($E289="","","系统")</f>
        <v/>
      </c>
      <c r="O289" s="67" t="str">
        <f aca="false">IF($E289="","","自动A")</f>
        <v/>
      </c>
      <c r="P289" s="18"/>
    </row>
    <row r="290" customFormat="false" ht="18" hidden="false" customHeight="true" outlineLevel="0" collapsed="false">
      <c r="A290" s="107" t="str">
        <f aca="false">IF($E290="","",ROW()-3)</f>
        <v/>
      </c>
      <c r="B290" s="110" t="str">
        <f aca="false">IF($E290="","",INDEX(进销存对接!$C$4:$C$305,96))</f>
        <v/>
      </c>
      <c r="C290" s="67" t="str">
        <f aca="false">IF($E290="","","记-"&amp;TEXT($B290,"YYYYMM")&amp;"-进销存")</f>
        <v/>
      </c>
      <c r="D290" s="107" t="str">
        <f aca="false">IF($E290="","",INDEX(进销存对接!$D$4:$D$305,96)&amp;" "&amp;TEXT($B290,"YYYY年M月")&amp;" 自动结转")</f>
        <v/>
      </c>
      <c r="E290" s="67" t="str">
        <f aca="false">IF(INDEX(进销存对接!$M$4:$U$305,96,4)=0,"",INDEX(进销存对接!$M$4:$U$305,96,4))</f>
        <v/>
      </c>
      <c r="F290" s="99" t="str">
        <f aca="false">IF($E290="","",IFERROR(INDEX(科目表!$A$4:$A$81,MATCH($E290,科目表!$B$4:$B$81,0)),""))</f>
        <v/>
      </c>
      <c r="G290" s="67" t="str">
        <f aca="false">IF($E290="","",IFERROR(INDEX(科目表!$E$4:$E$81,MATCH($E290,科目表!$B$4:$B$81,0)),""))</f>
        <v/>
      </c>
      <c r="H290" s="70" t="str">
        <f aca="false">IF($E290="","",N(INDEX(进销存对接!$M$4:$U$305,96,5)))</f>
        <v/>
      </c>
      <c r="I290" s="70" t="str">
        <f aca="false">IF($E290="","",N(INDEX(进销存对接!$M$4:$U$305,96,6)))</f>
        <v/>
      </c>
      <c r="J290" s="67"/>
      <c r="K290" s="67" t="str">
        <f aca="false">IF($E290="","",INDEX(进销存对接!$D$4:$D$305,96))</f>
        <v/>
      </c>
      <c r="L290" s="107"/>
      <c r="M290" s="107"/>
      <c r="N290" s="67" t="str">
        <f aca="false">IF($E290="","","系统")</f>
        <v/>
      </c>
      <c r="O290" s="67" t="str">
        <f aca="false">IF($E290="","","自动A")</f>
        <v/>
      </c>
      <c r="P290" s="18"/>
    </row>
    <row r="291" customFormat="false" ht="18" hidden="false" customHeight="true" outlineLevel="0" collapsed="false">
      <c r="A291" s="107" t="str">
        <f aca="false">IF($E291="","",ROW()-3)</f>
        <v/>
      </c>
      <c r="B291" s="110" t="str">
        <f aca="false">IF($E291="","",INDEX(进销存对接!$C$4:$C$305,96))</f>
        <v/>
      </c>
      <c r="C291" s="67" t="str">
        <f aca="false">IF($E291="","","记-"&amp;TEXT($B291,"YYYYMM")&amp;"-进销存")</f>
        <v/>
      </c>
      <c r="D291" s="107" t="str">
        <f aca="false">IF($E291="","",INDEX(进销存对接!$D$4:$D$305,96)&amp;" "&amp;TEXT($B291,"YYYY年M月")&amp;" 自动结转")</f>
        <v/>
      </c>
      <c r="E291" s="67" t="str">
        <f aca="false">IF(INDEX(进销存对接!$M$4:$U$305,96,7)=0,"",INDEX(进销存对接!$M$4:$U$305,96,7))</f>
        <v/>
      </c>
      <c r="F291" s="99" t="str">
        <f aca="false">IF($E291="","",IFERROR(INDEX(科目表!$A$4:$A$81,MATCH($E291,科目表!$B$4:$B$81,0)),""))</f>
        <v/>
      </c>
      <c r="G291" s="67" t="str">
        <f aca="false">IF($E291="","",IFERROR(INDEX(科目表!$E$4:$E$81,MATCH($E291,科目表!$B$4:$B$81,0)),""))</f>
        <v/>
      </c>
      <c r="H291" s="70" t="str">
        <f aca="false">IF($E291="","",N(INDEX(进销存对接!$M$4:$U$305,96,8)))</f>
        <v/>
      </c>
      <c r="I291" s="70" t="str">
        <f aca="false">IF($E291="","",N(INDEX(进销存对接!$M$4:$U$305,96,9)))</f>
        <v/>
      </c>
      <c r="J291" s="67"/>
      <c r="K291" s="67" t="str">
        <f aca="false">IF($E291="","",INDEX(进销存对接!$D$4:$D$305,96))</f>
        <v/>
      </c>
      <c r="L291" s="107"/>
      <c r="M291" s="107"/>
      <c r="N291" s="67" t="str">
        <f aca="false">IF($E291="","","系统")</f>
        <v/>
      </c>
      <c r="O291" s="67" t="str">
        <f aca="false">IF($E291="","","自动A")</f>
        <v/>
      </c>
      <c r="P291" s="18"/>
    </row>
    <row r="292" customFormat="false" ht="18" hidden="false" customHeight="true" outlineLevel="0" collapsed="false">
      <c r="A292" s="107" t="str">
        <f aca="false">IF($E292="","",ROW()-3)</f>
        <v/>
      </c>
      <c r="B292" s="110" t="str">
        <f aca="false">IF($E292="","",INDEX(进销存对接!$C$4:$C$305,97))</f>
        <v/>
      </c>
      <c r="C292" s="67" t="str">
        <f aca="false">IF($E292="","","记-"&amp;TEXT($B292,"YYYYMM")&amp;"-进销存")</f>
        <v/>
      </c>
      <c r="D292" s="107" t="str">
        <f aca="false">IF($E292="","",INDEX(进销存对接!$D$4:$D$305,97)&amp;" "&amp;TEXT($B292,"YYYY年M月")&amp;" 自动结转")</f>
        <v/>
      </c>
      <c r="E292" s="67" t="str">
        <f aca="false">IF(INDEX(进销存对接!$M$4:$U$305,97,1)=0,"",INDEX(进销存对接!$M$4:$U$305,97,1))</f>
        <v/>
      </c>
      <c r="F292" s="99" t="str">
        <f aca="false">IF($E292="","",IFERROR(INDEX(科目表!$A$4:$A$81,MATCH($E292,科目表!$B$4:$B$81,0)),""))</f>
        <v/>
      </c>
      <c r="G292" s="67" t="str">
        <f aca="false">IF($E292="","",IFERROR(INDEX(科目表!$E$4:$E$81,MATCH($E292,科目表!$B$4:$B$81,0)),""))</f>
        <v/>
      </c>
      <c r="H292" s="70" t="str">
        <f aca="false">IF($E292="","",N(INDEX(进销存对接!$M$4:$U$305,97,2)))</f>
        <v/>
      </c>
      <c r="I292" s="70" t="str">
        <f aca="false">IF($E292="","",N(INDEX(进销存对接!$M$4:$U$305,97,3)))</f>
        <v/>
      </c>
      <c r="J292" s="67"/>
      <c r="K292" s="67" t="str">
        <f aca="false">IF($E292="","",INDEX(进销存对接!$D$4:$D$305,97))</f>
        <v/>
      </c>
      <c r="L292" s="107"/>
      <c r="M292" s="107"/>
      <c r="N292" s="67" t="str">
        <f aca="false">IF($E292="","","系统")</f>
        <v/>
      </c>
      <c r="O292" s="67" t="str">
        <f aca="false">IF($E292="","","自动A")</f>
        <v/>
      </c>
      <c r="P292" s="18"/>
    </row>
    <row r="293" customFormat="false" ht="18" hidden="false" customHeight="true" outlineLevel="0" collapsed="false">
      <c r="A293" s="107" t="str">
        <f aca="false">IF($E293="","",ROW()-3)</f>
        <v/>
      </c>
      <c r="B293" s="110" t="str">
        <f aca="false">IF($E293="","",INDEX(进销存对接!$C$4:$C$305,97))</f>
        <v/>
      </c>
      <c r="C293" s="67" t="str">
        <f aca="false">IF($E293="","","记-"&amp;TEXT($B293,"YYYYMM")&amp;"-进销存")</f>
        <v/>
      </c>
      <c r="D293" s="107" t="str">
        <f aca="false">IF($E293="","",INDEX(进销存对接!$D$4:$D$305,97)&amp;" "&amp;TEXT($B293,"YYYY年M月")&amp;" 自动结转")</f>
        <v/>
      </c>
      <c r="E293" s="67" t="str">
        <f aca="false">IF(INDEX(进销存对接!$M$4:$U$305,97,4)=0,"",INDEX(进销存对接!$M$4:$U$305,97,4))</f>
        <v/>
      </c>
      <c r="F293" s="99" t="str">
        <f aca="false">IF($E293="","",IFERROR(INDEX(科目表!$A$4:$A$81,MATCH($E293,科目表!$B$4:$B$81,0)),""))</f>
        <v/>
      </c>
      <c r="G293" s="67" t="str">
        <f aca="false">IF($E293="","",IFERROR(INDEX(科目表!$E$4:$E$81,MATCH($E293,科目表!$B$4:$B$81,0)),""))</f>
        <v/>
      </c>
      <c r="H293" s="70" t="str">
        <f aca="false">IF($E293="","",N(INDEX(进销存对接!$M$4:$U$305,97,5)))</f>
        <v/>
      </c>
      <c r="I293" s="70" t="str">
        <f aca="false">IF($E293="","",N(INDEX(进销存对接!$M$4:$U$305,97,6)))</f>
        <v/>
      </c>
      <c r="J293" s="67"/>
      <c r="K293" s="67" t="str">
        <f aca="false">IF($E293="","",INDEX(进销存对接!$D$4:$D$305,97))</f>
        <v/>
      </c>
      <c r="L293" s="107"/>
      <c r="M293" s="107"/>
      <c r="N293" s="67" t="str">
        <f aca="false">IF($E293="","","系统")</f>
        <v/>
      </c>
      <c r="O293" s="67" t="str">
        <f aca="false">IF($E293="","","自动A")</f>
        <v/>
      </c>
      <c r="P293" s="18"/>
    </row>
    <row r="294" customFormat="false" ht="18" hidden="false" customHeight="true" outlineLevel="0" collapsed="false">
      <c r="A294" s="107" t="str">
        <f aca="false">IF($E294="","",ROW()-3)</f>
        <v/>
      </c>
      <c r="B294" s="110" t="str">
        <f aca="false">IF($E294="","",INDEX(进销存对接!$C$4:$C$305,97))</f>
        <v/>
      </c>
      <c r="C294" s="67" t="str">
        <f aca="false">IF($E294="","","记-"&amp;TEXT($B294,"YYYYMM")&amp;"-进销存")</f>
        <v/>
      </c>
      <c r="D294" s="107" t="str">
        <f aca="false">IF($E294="","",INDEX(进销存对接!$D$4:$D$305,97)&amp;" "&amp;TEXT($B294,"YYYY年M月")&amp;" 自动结转")</f>
        <v/>
      </c>
      <c r="E294" s="67" t="str">
        <f aca="false">IF(INDEX(进销存对接!$M$4:$U$305,97,7)=0,"",INDEX(进销存对接!$M$4:$U$305,97,7))</f>
        <v/>
      </c>
      <c r="F294" s="99" t="str">
        <f aca="false">IF($E294="","",IFERROR(INDEX(科目表!$A$4:$A$81,MATCH($E294,科目表!$B$4:$B$81,0)),""))</f>
        <v/>
      </c>
      <c r="G294" s="67" t="str">
        <f aca="false">IF($E294="","",IFERROR(INDEX(科目表!$E$4:$E$81,MATCH($E294,科目表!$B$4:$B$81,0)),""))</f>
        <v/>
      </c>
      <c r="H294" s="70" t="str">
        <f aca="false">IF($E294="","",N(INDEX(进销存对接!$M$4:$U$305,97,8)))</f>
        <v/>
      </c>
      <c r="I294" s="70" t="str">
        <f aca="false">IF($E294="","",N(INDEX(进销存对接!$M$4:$U$305,97,9)))</f>
        <v/>
      </c>
      <c r="J294" s="67"/>
      <c r="K294" s="67" t="str">
        <f aca="false">IF($E294="","",INDEX(进销存对接!$D$4:$D$305,97))</f>
        <v/>
      </c>
      <c r="L294" s="107"/>
      <c r="M294" s="107"/>
      <c r="N294" s="67" t="str">
        <f aca="false">IF($E294="","","系统")</f>
        <v/>
      </c>
      <c r="O294" s="67" t="str">
        <f aca="false">IF($E294="","","自动A")</f>
        <v/>
      </c>
      <c r="P294" s="18"/>
    </row>
    <row r="295" customFormat="false" ht="18" hidden="false" customHeight="true" outlineLevel="0" collapsed="false">
      <c r="A295" s="107" t="str">
        <f aca="false">IF($E295="","",ROW()-3)</f>
        <v/>
      </c>
      <c r="B295" s="110" t="str">
        <f aca="false">IF($E295="","",INDEX(进销存对接!$C$4:$C$305,98))</f>
        <v/>
      </c>
      <c r="C295" s="67" t="str">
        <f aca="false">IF($E295="","","记-"&amp;TEXT($B295,"YYYYMM")&amp;"-进销存")</f>
        <v/>
      </c>
      <c r="D295" s="107" t="str">
        <f aca="false">IF($E295="","",INDEX(进销存对接!$D$4:$D$305,98)&amp;" "&amp;TEXT($B295,"YYYY年M月")&amp;" 自动结转")</f>
        <v/>
      </c>
      <c r="E295" s="67" t="str">
        <f aca="false">IF(INDEX(进销存对接!$M$4:$U$305,98,1)=0,"",INDEX(进销存对接!$M$4:$U$305,98,1))</f>
        <v/>
      </c>
      <c r="F295" s="99" t="str">
        <f aca="false">IF($E295="","",IFERROR(INDEX(科目表!$A$4:$A$81,MATCH($E295,科目表!$B$4:$B$81,0)),""))</f>
        <v/>
      </c>
      <c r="G295" s="67" t="str">
        <f aca="false">IF($E295="","",IFERROR(INDEX(科目表!$E$4:$E$81,MATCH($E295,科目表!$B$4:$B$81,0)),""))</f>
        <v/>
      </c>
      <c r="H295" s="70" t="str">
        <f aca="false">IF($E295="","",N(INDEX(进销存对接!$M$4:$U$305,98,2)))</f>
        <v/>
      </c>
      <c r="I295" s="70" t="str">
        <f aca="false">IF($E295="","",N(INDEX(进销存对接!$M$4:$U$305,98,3)))</f>
        <v/>
      </c>
      <c r="J295" s="67"/>
      <c r="K295" s="67" t="str">
        <f aca="false">IF($E295="","",INDEX(进销存对接!$D$4:$D$305,98))</f>
        <v/>
      </c>
      <c r="L295" s="107"/>
      <c r="M295" s="107"/>
      <c r="N295" s="67" t="str">
        <f aca="false">IF($E295="","","系统")</f>
        <v/>
      </c>
      <c r="O295" s="67" t="str">
        <f aca="false">IF($E295="","","自动A")</f>
        <v/>
      </c>
      <c r="P295" s="18"/>
    </row>
    <row r="296" customFormat="false" ht="18" hidden="false" customHeight="true" outlineLevel="0" collapsed="false">
      <c r="A296" s="107" t="str">
        <f aca="false">IF($E296="","",ROW()-3)</f>
        <v/>
      </c>
      <c r="B296" s="110" t="str">
        <f aca="false">IF($E296="","",INDEX(进销存对接!$C$4:$C$305,98))</f>
        <v/>
      </c>
      <c r="C296" s="67" t="str">
        <f aca="false">IF($E296="","","记-"&amp;TEXT($B296,"YYYYMM")&amp;"-进销存")</f>
        <v/>
      </c>
      <c r="D296" s="107" t="str">
        <f aca="false">IF($E296="","",INDEX(进销存对接!$D$4:$D$305,98)&amp;" "&amp;TEXT($B296,"YYYY年M月")&amp;" 自动结转")</f>
        <v/>
      </c>
      <c r="E296" s="67" t="str">
        <f aca="false">IF(INDEX(进销存对接!$M$4:$U$305,98,4)=0,"",INDEX(进销存对接!$M$4:$U$305,98,4))</f>
        <v/>
      </c>
      <c r="F296" s="99" t="str">
        <f aca="false">IF($E296="","",IFERROR(INDEX(科目表!$A$4:$A$81,MATCH($E296,科目表!$B$4:$B$81,0)),""))</f>
        <v/>
      </c>
      <c r="G296" s="67" t="str">
        <f aca="false">IF($E296="","",IFERROR(INDEX(科目表!$E$4:$E$81,MATCH($E296,科目表!$B$4:$B$81,0)),""))</f>
        <v/>
      </c>
      <c r="H296" s="70" t="str">
        <f aca="false">IF($E296="","",N(INDEX(进销存对接!$M$4:$U$305,98,5)))</f>
        <v/>
      </c>
      <c r="I296" s="70" t="str">
        <f aca="false">IF($E296="","",N(INDEX(进销存对接!$M$4:$U$305,98,6)))</f>
        <v/>
      </c>
      <c r="J296" s="67"/>
      <c r="K296" s="67" t="str">
        <f aca="false">IF($E296="","",INDEX(进销存对接!$D$4:$D$305,98))</f>
        <v/>
      </c>
      <c r="L296" s="107"/>
      <c r="M296" s="107"/>
      <c r="N296" s="67" t="str">
        <f aca="false">IF($E296="","","系统")</f>
        <v/>
      </c>
      <c r="O296" s="67" t="str">
        <f aca="false">IF($E296="","","自动A")</f>
        <v/>
      </c>
      <c r="P296" s="18"/>
    </row>
    <row r="297" customFormat="false" ht="18" hidden="false" customHeight="true" outlineLevel="0" collapsed="false">
      <c r="A297" s="107" t="str">
        <f aca="false">IF($E297="","",ROW()-3)</f>
        <v/>
      </c>
      <c r="B297" s="110" t="str">
        <f aca="false">IF($E297="","",INDEX(进销存对接!$C$4:$C$305,98))</f>
        <v/>
      </c>
      <c r="C297" s="67" t="str">
        <f aca="false">IF($E297="","","记-"&amp;TEXT($B297,"YYYYMM")&amp;"-进销存")</f>
        <v/>
      </c>
      <c r="D297" s="107" t="str">
        <f aca="false">IF($E297="","",INDEX(进销存对接!$D$4:$D$305,98)&amp;" "&amp;TEXT($B297,"YYYY年M月")&amp;" 自动结转")</f>
        <v/>
      </c>
      <c r="E297" s="67" t="str">
        <f aca="false">IF(INDEX(进销存对接!$M$4:$U$305,98,7)=0,"",INDEX(进销存对接!$M$4:$U$305,98,7))</f>
        <v/>
      </c>
      <c r="F297" s="99" t="str">
        <f aca="false">IF($E297="","",IFERROR(INDEX(科目表!$A$4:$A$81,MATCH($E297,科目表!$B$4:$B$81,0)),""))</f>
        <v/>
      </c>
      <c r="G297" s="67" t="str">
        <f aca="false">IF($E297="","",IFERROR(INDEX(科目表!$E$4:$E$81,MATCH($E297,科目表!$B$4:$B$81,0)),""))</f>
        <v/>
      </c>
      <c r="H297" s="70" t="str">
        <f aca="false">IF($E297="","",N(INDEX(进销存对接!$M$4:$U$305,98,8)))</f>
        <v/>
      </c>
      <c r="I297" s="70" t="str">
        <f aca="false">IF($E297="","",N(INDEX(进销存对接!$M$4:$U$305,98,9)))</f>
        <v/>
      </c>
      <c r="J297" s="67"/>
      <c r="K297" s="67" t="str">
        <f aca="false">IF($E297="","",INDEX(进销存对接!$D$4:$D$305,98))</f>
        <v/>
      </c>
      <c r="L297" s="107"/>
      <c r="M297" s="107"/>
      <c r="N297" s="67" t="str">
        <f aca="false">IF($E297="","","系统")</f>
        <v/>
      </c>
      <c r="O297" s="67" t="str">
        <f aca="false">IF($E297="","","自动A")</f>
        <v/>
      </c>
      <c r="P297" s="18"/>
    </row>
    <row r="298" customFormat="false" ht="18" hidden="false" customHeight="true" outlineLevel="0" collapsed="false">
      <c r="A298" s="107" t="str">
        <f aca="false">IF($E298="","",ROW()-3)</f>
        <v/>
      </c>
      <c r="B298" s="110" t="str">
        <f aca="false">IF($E298="","",INDEX(进销存对接!$C$4:$C$305,99))</f>
        <v/>
      </c>
      <c r="C298" s="67" t="str">
        <f aca="false">IF($E298="","","记-"&amp;TEXT($B298,"YYYYMM")&amp;"-进销存")</f>
        <v/>
      </c>
      <c r="D298" s="107" t="str">
        <f aca="false">IF($E298="","",INDEX(进销存对接!$D$4:$D$305,99)&amp;" "&amp;TEXT($B298,"YYYY年M月")&amp;" 自动结转")</f>
        <v/>
      </c>
      <c r="E298" s="67" t="str">
        <f aca="false">IF(INDEX(进销存对接!$M$4:$U$305,99,1)=0,"",INDEX(进销存对接!$M$4:$U$305,99,1))</f>
        <v/>
      </c>
      <c r="F298" s="99" t="str">
        <f aca="false">IF($E298="","",IFERROR(INDEX(科目表!$A$4:$A$81,MATCH($E298,科目表!$B$4:$B$81,0)),""))</f>
        <v/>
      </c>
      <c r="G298" s="67" t="str">
        <f aca="false">IF($E298="","",IFERROR(INDEX(科目表!$E$4:$E$81,MATCH($E298,科目表!$B$4:$B$81,0)),""))</f>
        <v/>
      </c>
      <c r="H298" s="70" t="str">
        <f aca="false">IF($E298="","",N(INDEX(进销存对接!$M$4:$U$305,99,2)))</f>
        <v/>
      </c>
      <c r="I298" s="70" t="str">
        <f aca="false">IF($E298="","",N(INDEX(进销存对接!$M$4:$U$305,99,3)))</f>
        <v/>
      </c>
      <c r="J298" s="67"/>
      <c r="K298" s="67" t="str">
        <f aca="false">IF($E298="","",INDEX(进销存对接!$D$4:$D$305,99))</f>
        <v/>
      </c>
      <c r="L298" s="107"/>
      <c r="M298" s="107"/>
      <c r="N298" s="67" t="str">
        <f aca="false">IF($E298="","","系统")</f>
        <v/>
      </c>
      <c r="O298" s="67" t="str">
        <f aca="false">IF($E298="","","自动A")</f>
        <v/>
      </c>
      <c r="P298" s="18"/>
    </row>
    <row r="299" customFormat="false" ht="18" hidden="false" customHeight="true" outlineLevel="0" collapsed="false">
      <c r="A299" s="107" t="str">
        <f aca="false">IF($E299="","",ROW()-3)</f>
        <v/>
      </c>
      <c r="B299" s="110" t="str">
        <f aca="false">IF($E299="","",INDEX(进销存对接!$C$4:$C$305,99))</f>
        <v/>
      </c>
      <c r="C299" s="67" t="str">
        <f aca="false">IF($E299="","","记-"&amp;TEXT($B299,"YYYYMM")&amp;"-进销存")</f>
        <v/>
      </c>
      <c r="D299" s="107" t="str">
        <f aca="false">IF($E299="","",INDEX(进销存对接!$D$4:$D$305,99)&amp;" "&amp;TEXT($B299,"YYYY年M月")&amp;" 自动结转")</f>
        <v/>
      </c>
      <c r="E299" s="67" t="str">
        <f aca="false">IF(INDEX(进销存对接!$M$4:$U$305,99,4)=0,"",INDEX(进销存对接!$M$4:$U$305,99,4))</f>
        <v/>
      </c>
      <c r="F299" s="99" t="str">
        <f aca="false">IF($E299="","",IFERROR(INDEX(科目表!$A$4:$A$81,MATCH($E299,科目表!$B$4:$B$81,0)),""))</f>
        <v/>
      </c>
      <c r="G299" s="67" t="str">
        <f aca="false">IF($E299="","",IFERROR(INDEX(科目表!$E$4:$E$81,MATCH($E299,科目表!$B$4:$B$81,0)),""))</f>
        <v/>
      </c>
      <c r="H299" s="70" t="str">
        <f aca="false">IF($E299="","",N(INDEX(进销存对接!$M$4:$U$305,99,5)))</f>
        <v/>
      </c>
      <c r="I299" s="70" t="str">
        <f aca="false">IF($E299="","",N(INDEX(进销存对接!$M$4:$U$305,99,6)))</f>
        <v/>
      </c>
      <c r="J299" s="67"/>
      <c r="K299" s="67" t="str">
        <f aca="false">IF($E299="","",INDEX(进销存对接!$D$4:$D$305,99))</f>
        <v/>
      </c>
      <c r="L299" s="107"/>
      <c r="M299" s="107"/>
      <c r="N299" s="67" t="str">
        <f aca="false">IF($E299="","","系统")</f>
        <v/>
      </c>
      <c r="O299" s="67" t="str">
        <f aca="false">IF($E299="","","自动A")</f>
        <v/>
      </c>
      <c r="P299" s="18"/>
    </row>
    <row r="300" customFormat="false" ht="18" hidden="false" customHeight="true" outlineLevel="0" collapsed="false">
      <c r="A300" s="107" t="str">
        <f aca="false">IF($E300="","",ROW()-3)</f>
        <v/>
      </c>
      <c r="B300" s="110" t="str">
        <f aca="false">IF($E300="","",INDEX(进销存对接!$C$4:$C$305,99))</f>
        <v/>
      </c>
      <c r="C300" s="67" t="str">
        <f aca="false">IF($E300="","","记-"&amp;TEXT($B300,"YYYYMM")&amp;"-进销存")</f>
        <v/>
      </c>
      <c r="D300" s="107" t="str">
        <f aca="false">IF($E300="","",INDEX(进销存对接!$D$4:$D$305,99)&amp;" "&amp;TEXT($B300,"YYYY年M月")&amp;" 自动结转")</f>
        <v/>
      </c>
      <c r="E300" s="67" t="str">
        <f aca="false">IF(INDEX(进销存对接!$M$4:$U$305,99,7)=0,"",INDEX(进销存对接!$M$4:$U$305,99,7))</f>
        <v/>
      </c>
      <c r="F300" s="99" t="str">
        <f aca="false">IF($E300="","",IFERROR(INDEX(科目表!$A$4:$A$81,MATCH($E300,科目表!$B$4:$B$81,0)),""))</f>
        <v/>
      </c>
      <c r="G300" s="67" t="str">
        <f aca="false">IF($E300="","",IFERROR(INDEX(科目表!$E$4:$E$81,MATCH($E300,科目表!$B$4:$B$81,0)),""))</f>
        <v/>
      </c>
      <c r="H300" s="70" t="str">
        <f aca="false">IF($E300="","",N(INDEX(进销存对接!$M$4:$U$305,99,8)))</f>
        <v/>
      </c>
      <c r="I300" s="70" t="str">
        <f aca="false">IF($E300="","",N(INDEX(进销存对接!$M$4:$U$305,99,9)))</f>
        <v/>
      </c>
      <c r="J300" s="67"/>
      <c r="K300" s="67" t="str">
        <f aca="false">IF($E300="","",INDEX(进销存对接!$D$4:$D$305,99))</f>
        <v/>
      </c>
      <c r="L300" s="107"/>
      <c r="M300" s="107"/>
      <c r="N300" s="67" t="str">
        <f aca="false">IF($E300="","","系统")</f>
        <v/>
      </c>
      <c r="O300" s="67" t="str">
        <f aca="false">IF($E300="","","自动A")</f>
        <v/>
      </c>
      <c r="P300" s="18"/>
    </row>
    <row r="301" customFormat="false" ht="18" hidden="false" customHeight="true" outlineLevel="0" collapsed="false">
      <c r="A301" s="107" t="str">
        <f aca="false">IF($E301="","",ROW()-3)</f>
        <v/>
      </c>
      <c r="B301" s="110" t="str">
        <f aca="false">IF($E301="","",INDEX(进销存对接!$C$4:$C$305,100))</f>
        <v/>
      </c>
      <c r="C301" s="67" t="str">
        <f aca="false">IF($E301="","","记-"&amp;TEXT($B301,"YYYYMM")&amp;"-进销存")</f>
        <v/>
      </c>
      <c r="D301" s="107" t="str">
        <f aca="false">IF($E301="","",INDEX(进销存对接!$D$4:$D$305,100)&amp;" "&amp;TEXT($B301,"YYYY年M月")&amp;" 自动结转")</f>
        <v/>
      </c>
      <c r="E301" s="67" t="str">
        <f aca="false">IF(INDEX(进销存对接!$M$4:$U$305,100,1)=0,"",INDEX(进销存对接!$M$4:$U$305,100,1))</f>
        <v/>
      </c>
      <c r="F301" s="99" t="str">
        <f aca="false">IF($E301="","",IFERROR(INDEX(科目表!$A$4:$A$81,MATCH($E301,科目表!$B$4:$B$81,0)),""))</f>
        <v/>
      </c>
      <c r="G301" s="67" t="str">
        <f aca="false">IF($E301="","",IFERROR(INDEX(科目表!$E$4:$E$81,MATCH($E301,科目表!$B$4:$B$81,0)),""))</f>
        <v/>
      </c>
      <c r="H301" s="70" t="str">
        <f aca="false">IF($E301="","",N(INDEX(进销存对接!$M$4:$U$305,100,2)))</f>
        <v/>
      </c>
      <c r="I301" s="70" t="str">
        <f aca="false">IF($E301="","",N(INDEX(进销存对接!$M$4:$U$305,100,3)))</f>
        <v/>
      </c>
      <c r="J301" s="67"/>
      <c r="K301" s="67" t="str">
        <f aca="false">IF($E301="","",INDEX(进销存对接!$D$4:$D$305,100))</f>
        <v/>
      </c>
      <c r="L301" s="107"/>
      <c r="M301" s="107"/>
      <c r="N301" s="67" t="str">
        <f aca="false">IF($E301="","","系统")</f>
        <v/>
      </c>
      <c r="O301" s="67" t="str">
        <f aca="false">IF($E301="","","自动A")</f>
        <v/>
      </c>
      <c r="P301" s="18"/>
    </row>
    <row r="302" customFormat="false" ht="18" hidden="false" customHeight="true" outlineLevel="0" collapsed="false">
      <c r="A302" s="107" t="str">
        <f aca="false">IF($E302="","",ROW()-3)</f>
        <v/>
      </c>
      <c r="B302" s="110" t="str">
        <f aca="false">IF($E302="","",INDEX(进销存对接!$C$4:$C$305,100))</f>
        <v/>
      </c>
      <c r="C302" s="67" t="str">
        <f aca="false">IF($E302="","","记-"&amp;TEXT($B302,"YYYYMM")&amp;"-进销存")</f>
        <v/>
      </c>
      <c r="D302" s="107" t="str">
        <f aca="false">IF($E302="","",INDEX(进销存对接!$D$4:$D$305,100)&amp;" "&amp;TEXT($B302,"YYYY年M月")&amp;" 自动结转")</f>
        <v/>
      </c>
      <c r="E302" s="67" t="str">
        <f aca="false">IF(INDEX(进销存对接!$M$4:$U$305,100,4)=0,"",INDEX(进销存对接!$M$4:$U$305,100,4))</f>
        <v/>
      </c>
      <c r="F302" s="99" t="str">
        <f aca="false">IF($E302="","",IFERROR(INDEX(科目表!$A$4:$A$81,MATCH($E302,科目表!$B$4:$B$81,0)),""))</f>
        <v/>
      </c>
      <c r="G302" s="67" t="str">
        <f aca="false">IF($E302="","",IFERROR(INDEX(科目表!$E$4:$E$81,MATCH($E302,科目表!$B$4:$B$81,0)),""))</f>
        <v/>
      </c>
      <c r="H302" s="70" t="str">
        <f aca="false">IF($E302="","",N(INDEX(进销存对接!$M$4:$U$305,100,5)))</f>
        <v/>
      </c>
      <c r="I302" s="70" t="str">
        <f aca="false">IF($E302="","",N(INDEX(进销存对接!$M$4:$U$305,100,6)))</f>
        <v/>
      </c>
      <c r="J302" s="67"/>
      <c r="K302" s="67" t="str">
        <f aca="false">IF($E302="","",INDEX(进销存对接!$D$4:$D$305,100))</f>
        <v/>
      </c>
      <c r="L302" s="107"/>
      <c r="M302" s="107"/>
      <c r="N302" s="67" t="str">
        <f aca="false">IF($E302="","","系统")</f>
        <v/>
      </c>
      <c r="O302" s="67" t="str">
        <f aca="false">IF($E302="","","自动A")</f>
        <v/>
      </c>
      <c r="P302" s="18"/>
    </row>
    <row r="303" customFormat="false" ht="18" hidden="false" customHeight="true" outlineLevel="0" collapsed="false">
      <c r="A303" s="107" t="str">
        <f aca="false">IF($E303="","",ROW()-3)</f>
        <v/>
      </c>
      <c r="B303" s="110" t="str">
        <f aca="false">IF($E303="","",INDEX(进销存对接!$C$4:$C$305,100))</f>
        <v/>
      </c>
      <c r="C303" s="67" t="str">
        <f aca="false">IF($E303="","","记-"&amp;TEXT($B303,"YYYYMM")&amp;"-进销存")</f>
        <v/>
      </c>
      <c r="D303" s="107" t="str">
        <f aca="false">IF($E303="","",INDEX(进销存对接!$D$4:$D$305,100)&amp;" "&amp;TEXT($B303,"YYYY年M月")&amp;" 自动结转")</f>
        <v/>
      </c>
      <c r="E303" s="67" t="str">
        <f aca="false">IF(INDEX(进销存对接!$M$4:$U$305,100,7)=0,"",INDEX(进销存对接!$M$4:$U$305,100,7))</f>
        <v/>
      </c>
      <c r="F303" s="99" t="str">
        <f aca="false">IF($E303="","",IFERROR(INDEX(科目表!$A$4:$A$81,MATCH($E303,科目表!$B$4:$B$81,0)),""))</f>
        <v/>
      </c>
      <c r="G303" s="67" t="str">
        <f aca="false">IF($E303="","",IFERROR(INDEX(科目表!$E$4:$E$81,MATCH($E303,科目表!$B$4:$B$81,0)),""))</f>
        <v/>
      </c>
      <c r="H303" s="70" t="str">
        <f aca="false">IF($E303="","",N(INDEX(进销存对接!$M$4:$U$305,100,8)))</f>
        <v/>
      </c>
      <c r="I303" s="70" t="str">
        <f aca="false">IF($E303="","",N(INDEX(进销存对接!$M$4:$U$305,100,9)))</f>
        <v/>
      </c>
      <c r="J303" s="67"/>
      <c r="K303" s="67" t="str">
        <f aca="false">IF($E303="","",INDEX(进销存对接!$D$4:$D$305,100))</f>
        <v/>
      </c>
      <c r="L303" s="107"/>
      <c r="M303" s="107"/>
      <c r="N303" s="67" t="str">
        <f aca="false">IF($E303="","","系统")</f>
        <v/>
      </c>
      <c r="O303" s="67" t="str">
        <f aca="false">IF($E303="","","自动A")</f>
        <v/>
      </c>
      <c r="P303" s="18"/>
    </row>
    <row r="304" customFormat="false" ht="18" hidden="false" customHeight="true" outlineLevel="0" collapsed="false">
      <c r="A304" s="107" t="str">
        <f aca="false">IF($E304="","",ROW()-3)</f>
        <v/>
      </c>
      <c r="B304" s="110" t="str">
        <f aca="false">IF($E304="","",INDEX(进销存对接!$C$4:$C$305,101))</f>
        <v/>
      </c>
      <c r="C304" s="67" t="str">
        <f aca="false">IF($E304="","","记-"&amp;TEXT($B304,"YYYYMM")&amp;"-进销存")</f>
        <v/>
      </c>
      <c r="D304" s="107" t="str">
        <f aca="false">IF($E304="","",INDEX(进销存对接!$D$4:$D$305,101)&amp;" "&amp;TEXT($B304,"YYYY年M月")&amp;" 自动结转")</f>
        <v/>
      </c>
      <c r="E304" s="67" t="str">
        <f aca="false">IF(INDEX(进销存对接!$M$4:$U$305,101,1)=0,"",INDEX(进销存对接!$M$4:$U$305,101,1))</f>
        <v/>
      </c>
      <c r="F304" s="99" t="str">
        <f aca="false">IF($E304="","",IFERROR(INDEX(科目表!$A$4:$A$81,MATCH($E304,科目表!$B$4:$B$81,0)),""))</f>
        <v/>
      </c>
      <c r="G304" s="67" t="str">
        <f aca="false">IF($E304="","",IFERROR(INDEX(科目表!$E$4:$E$81,MATCH($E304,科目表!$B$4:$B$81,0)),""))</f>
        <v/>
      </c>
      <c r="H304" s="70" t="str">
        <f aca="false">IF($E304="","",N(INDEX(进销存对接!$M$4:$U$305,101,2)))</f>
        <v/>
      </c>
      <c r="I304" s="70" t="str">
        <f aca="false">IF($E304="","",N(INDEX(进销存对接!$M$4:$U$305,101,3)))</f>
        <v/>
      </c>
      <c r="J304" s="67"/>
      <c r="K304" s="67" t="str">
        <f aca="false">IF($E304="","",INDEX(进销存对接!$D$4:$D$305,101))</f>
        <v/>
      </c>
      <c r="L304" s="107"/>
      <c r="M304" s="107"/>
      <c r="N304" s="67" t="str">
        <f aca="false">IF($E304="","","系统")</f>
        <v/>
      </c>
      <c r="O304" s="67" t="str">
        <f aca="false">IF($E304="","","自动A")</f>
        <v/>
      </c>
      <c r="P304" s="18"/>
    </row>
    <row r="305" customFormat="false" ht="18" hidden="false" customHeight="true" outlineLevel="0" collapsed="false">
      <c r="A305" s="107" t="str">
        <f aca="false">IF($E305="","",ROW()-3)</f>
        <v/>
      </c>
      <c r="B305" s="110" t="str">
        <f aca="false">IF($E305="","",INDEX(进销存对接!$C$4:$C$305,101))</f>
        <v/>
      </c>
      <c r="C305" s="67" t="str">
        <f aca="false">IF($E305="","","记-"&amp;TEXT($B305,"YYYYMM")&amp;"-进销存")</f>
        <v/>
      </c>
      <c r="D305" s="107" t="str">
        <f aca="false">IF($E305="","",INDEX(进销存对接!$D$4:$D$305,101)&amp;" "&amp;TEXT($B305,"YYYY年M月")&amp;" 自动结转")</f>
        <v/>
      </c>
      <c r="E305" s="67" t="str">
        <f aca="false">IF(INDEX(进销存对接!$M$4:$U$305,101,4)=0,"",INDEX(进销存对接!$M$4:$U$305,101,4))</f>
        <v/>
      </c>
      <c r="F305" s="99" t="str">
        <f aca="false">IF($E305="","",IFERROR(INDEX(科目表!$A$4:$A$81,MATCH($E305,科目表!$B$4:$B$81,0)),""))</f>
        <v/>
      </c>
      <c r="G305" s="67" t="str">
        <f aca="false">IF($E305="","",IFERROR(INDEX(科目表!$E$4:$E$81,MATCH($E305,科目表!$B$4:$B$81,0)),""))</f>
        <v/>
      </c>
      <c r="H305" s="70" t="str">
        <f aca="false">IF($E305="","",N(INDEX(进销存对接!$M$4:$U$305,101,5)))</f>
        <v/>
      </c>
      <c r="I305" s="70" t="str">
        <f aca="false">IF($E305="","",N(INDEX(进销存对接!$M$4:$U$305,101,6)))</f>
        <v/>
      </c>
      <c r="J305" s="67"/>
      <c r="K305" s="67" t="str">
        <f aca="false">IF($E305="","",INDEX(进销存对接!$D$4:$D$305,101))</f>
        <v/>
      </c>
      <c r="L305" s="107"/>
      <c r="M305" s="107"/>
      <c r="N305" s="67" t="str">
        <f aca="false">IF($E305="","","系统")</f>
        <v/>
      </c>
      <c r="O305" s="67" t="str">
        <f aca="false">IF($E305="","","自动A")</f>
        <v/>
      </c>
      <c r="P305" s="18"/>
    </row>
    <row r="306" customFormat="false" ht="18" hidden="false" customHeight="true" outlineLevel="0" collapsed="false">
      <c r="A306" s="107" t="str">
        <f aca="false">IF($E306="","",ROW()-3)</f>
        <v/>
      </c>
      <c r="B306" s="110" t="str">
        <f aca="false">IF($E306="","",INDEX(进销存对接!$C$4:$C$305,101))</f>
        <v/>
      </c>
      <c r="C306" s="67" t="str">
        <f aca="false">IF($E306="","","记-"&amp;TEXT($B306,"YYYYMM")&amp;"-进销存")</f>
        <v/>
      </c>
      <c r="D306" s="107" t="str">
        <f aca="false">IF($E306="","",INDEX(进销存对接!$D$4:$D$305,101)&amp;" "&amp;TEXT($B306,"YYYY年M月")&amp;" 自动结转")</f>
        <v/>
      </c>
      <c r="E306" s="67" t="str">
        <f aca="false">IF(INDEX(进销存对接!$M$4:$U$305,101,7)=0,"",INDEX(进销存对接!$M$4:$U$305,101,7))</f>
        <v/>
      </c>
      <c r="F306" s="99" t="str">
        <f aca="false">IF($E306="","",IFERROR(INDEX(科目表!$A$4:$A$81,MATCH($E306,科目表!$B$4:$B$81,0)),""))</f>
        <v/>
      </c>
      <c r="G306" s="67" t="str">
        <f aca="false">IF($E306="","",IFERROR(INDEX(科目表!$E$4:$E$81,MATCH($E306,科目表!$B$4:$B$81,0)),""))</f>
        <v/>
      </c>
      <c r="H306" s="70" t="str">
        <f aca="false">IF($E306="","",N(INDEX(进销存对接!$M$4:$U$305,101,8)))</f>
        <v/>
      </c>
      <c r="I306" s="70" t="str">
        <f aca="false">IF($E306="","",N(INDEX(进销存对接!$M$4:$U$305,101,9)))</f>
        <v/>
      </c>
      <c r="J306" s="67"/>
      <c r="K306" s="67" t="str">
        <f aca="false">IF($E306="","",INDEX(进销存对接!$D$4:$D$305,101))</f>
        <v/>
      </c>
      <c r="L306" s="107"/>
      <c r="M306" s="107"/>
      <c r="N306" s="67" t="str">
        <f aca="false">IF($E306="","","系统")</f>
        <v/>
      </c>
      <c r="O306" s="67" t="str">
        <f aca="false">IF($E306="","","自动A")</f>
        <v/>
      </c>
      <c r="P306" s="18"/>
    </row>
    <row r="307" customFormat="false" ht="18" hidden="false" customHeight="true" outlineLevel="0" collapsed="false">
      <c r="A307" s="107" t="str">
        <f aca="false">IF($E307="","",ROW()-3)</f>
        <v/>
      </c>
      <c r="B307" s="110" t="str">
        <f aca="false">IF($E307="","",INDEX(进销存对接!$C$4:$C$305,102))</f>
        <v/>
      </c>
      <c r="C307" s="67" t="str">
        <f aca="false">IF($E307="","","记-"&amp;TEXT($B307,"YYYYMM")&amp;"-进销存")</f>
        <v/>
      </c>
      <c r="D307" s="107" t="str">
        <f aca="false">IF($E307="","",INDEX(进销存对接!$D$4:$D$305,102)&amp;" "&amp;TEXT($B307,"YYYY年M月")&amp;" 自动结转")</f>
        <v/>
      </c>
      <c r="E307" s="67" t="str">
        <f aca="false">IF(INDEX(进销存对接!$M$4:$U$305,102,1)=0,"",INDEX(进销存对接!$M$4:$U$305,102,1))</f>
        <v/>
      </c>
      <c r="F307" s="99" t="str">
        <f aca="false">IF($E307="","",IFERROR(INDEX(科目表!$A$4:$A$81,MATCH($E307,科目表!$B$4:$B$81,0)),""))</f>
        <v/>
      </c>
      <c r="G307" s="67" t="str">
        <f aca="false">IF($E307="","",IFERROR(INDEX(科目表!$E$4:$E$81,MATCH($E307,科目表!$B$4:$B$81,0)),""))</f>
        <v/>
      </c>
      <c r="H307" s="70" t="str">
        <f aca="false">IF($E307="","",N(INDEX(进销存对接!$M$4:$U$305,102,2)))</f>
        <v/>
      </c>
      <c r="I307" s="70" t="str">
        <f aca="false">IF($E307="","",N(INDEX(进销存对接!$M$4:$U$305,102,3)))</f>
        <v/>
      </c>
      <c r="J307" s="67"/>
      <c r="K307" s="67" t="str">
        <f aca="false">IF($E307="","",INDEX(进销存对接!$D$4:$D$305,102))</f>
        <v/>
      </c>
      <c r="L307" s="107"/>
      <c r="M307" s="107"/>
      <c r="N307" s="67" t="str">
        <f aca="false">IF($E307="","","系统")</f>
        <v/>
      </c>
      <c r="O307" s="67" t="str">
        <f aca="false">IF($E307="","","自动A")</f>
        <v/>
      </c>
      <c r="P307" s="18"/>
    </row>
    <row r="308" customFormat="false" ht="18" hidden="false" customHeight="true" outlineLevel="0" collapsed="false">
      <c r="A308" s="107" t="str">
        <f aca="false">IF($E308="","",ROW()-3)</f>
        <v/>
      </c>
      <c r="B308" s="110" t="str">
        <f aca="false">IF($E308="","",INDEX(进销存对接!$C$4:$C$305,102))</f>
        <v/>
      </c>
      <c r="C308" s="67" t="str">
        <f aca="false">IF($E308="","","记-"&amp;TEXT($B308,"YYYYMM")&amp;"-进销存")</f>
        <v/>
      </c>
      <c r="D308" s="107" t="str">
        <f aca="false">IF($E308="","",INDEX(进销存对接!$D$4:$D$305,102)&amp;" "&amp;TEXT($B308,"YYYY年M月")&amp;" 自动结转")</f>
        <v/>
      </c>
      <c r="E308" s="67" t="str">
        <f aca="false">IF(INDEX(进销存对接!$M$4:$U$305,102,4)=0,"",INDEX(进销存对接!$M$4:$U$305,102,4))</f>
        <v/>
      </c>
      <c r="F308" s="99" t="str">
        <f aca="false">IF($E308="","",IFERROR(INDEX(科目表!$A$4:$A$81,MATCH($E308,科目表!$B$4:$B$81,0)),""))</f>
        <v/>
      </c>
      <c r="G308" s="67" t="str">
        <f aca="false">IF($E308="","",IFERROR(INDEX(科目表!$E$4:$E$81,MATCH($E308,科目表!$B$4:$B$81,0)),""))</f>
        <v/>
      </c>
      <c r="H308" s="70" t="str">
        <f aca="false">IF($E308="","",N(INDEX(进销存对接!$M$4:$U$305,102,5)))</f>
        <v/>
      </c>
      <c r="I308" s="70" t="str">
        <f aca="false">IF($E308="","",N(INDEX(进销存对接!$M$4:$U$305,102,6)))</f>
        <v/>
      </c>
      <c r="J308" s="67"/>
      <c r="K308" s="67" t="str">
        <f aca="false">IF($E308="","",INDEX(进销存对接!$D$4:$D$305,102))</f>
        <v/>
      </c>
      <c r="L308" s="107"/>
      <c r="M308" s="107"/>
      <c r="N308" s="67" t="str">
        <f aca="false">IF($E308="","","系统")</f>
        <v/>
      </c>
      <c r="O308" s="67" t="str">
        <f aca="false">IF($E308="","","自动A")</f>
        <v/>
      </c>
      <c r="P308" s="18"/>
    </row>
    <row r="309" customFormat="false" ht="18" hidden="false" customHeight="true" outlineLevel="0" collapsed="false">
      <c r="A309" s="107" t="str">
        <f aca="false">IF($E309="","",ROW()-3)</f>
        <v/>
      </c>
      <c r="B309" s="110" t="str">
        <f aca="false">IF($E309="","",INDEX(进销存对接!$C$4:$C$305,102))</f>
        <v/>
      </c>
      <c r="C309" s="67" t="str">
        <f aca="false">IF($E309="","","记-"&amp;TEXT($B309,"YYYYMM")&amp;"-进销存")</f>
        <v/>
      </c>
      <c r="D309" s="107" t="str">
        <f aca="false">IF($E309="","",INDEX(进销存对接!$D$4:$D$305,102)&amp;" "&amp;TEXT($B309,"YYYY年M月")&amp;" 自动结转")</f>
        <v/>
      </c>
      <c r="E309" s="67" t="str">
        <f aca="false">IF(INDEX(进销存对接!$M$4:$U$305,102,7)=0,"",INDEX(进销存对接!$M$4:$U$305,102,7))</f>
        <v/>
      </c>
      <c r="F309" s="99" t="str">
        <f aca="false">IF($E309="","",IFERROR(INDEX(科目表!$A$4:$A$81,MATCH($E309,科目表!$B$4:$B$81,0)),""))</f>
        <v/>
      </c>
      <c r="G309" s="67" t="str">
        <f aca="false">IF($E309="","",IFERROR(INDEX(科目表!$E$4:$E$81,MATCH($E309,科目表!$B$4:$B$81,0)),""))</f>
        <v/>
      </c>
      <c r="H309" s="70" t="str">
        <f aca="false">IF($E309="","",N(INDEX(进销存对接!$M$4:$U$305,102,8)))</f>
        <v/>
      </c>
      <c r="I309" s="70" t="str">
        <f aca="false">IF($E309="","",N(INDEX(进销存对接!$M$4:$U$305,102,9)))</f>
        <v/>
      </c>
      <c r="J309" s="67"/>
      <c r="K309" s="67" t="str">
        <f aca="false">IF($E309="","",INDEX(进销存对接!$D$4:$D$305,102))</f>
        <v/>
      </c>
      <c r="L309" s="107"/>
      <c r="M309" s="107"/>
      <c r="N309" s="67" t="str">
        <f aca="false">IF($E309="","","系统")</f>
        <v/>
      </c>
      <c r="O309" s="67" t="str">
        <f aca="false">IF($E309="","","自动A")</f>
        <v/>
      </c>
      <c r="P309" s="18"/>
    </row>
    <row r="310" customFormat="false" ht="18" hidden="false" customHeight="true" outlineLevel="0" collapsed="false">
      <c r="A310" s="107" t="str">
        <f aca="false">IF($E310="","",ROW()-3)</f>
        <v/>
      </c>
      <c r="B310" s="110" t="str">
        <f aca="false">IF($E310="","",INDEX(进销存对接!$C$4:$C$305,103))</f>
        <v/>
      </c>
      <c r="C310" s="67" t="str">
        <f aca="false">IF($E310="","","记-"&amp;TEXT($B310,"YYYYMM")&amp;"-进销存")</f>
        <v/>
      </c>
      <c r="D310" s="107" t="str">
        <f aca="false">IF($E310="","",INDEX(进销存对接!$D$4:$D$305,103)&amp;" "&amp;TEXT($B310,"YYYY年M月")&amp;" 自动结转")</f>
        <v/>
      </c>
      <c r="E310" s="67" t="str">
        <f aca="false">IF(INDEX(进销存对接!$M$4:$U$305,103,1)=0,"",INDEX(进销存对接!$M$4:$U$305,103,1))</f>
        <v/>
      </c>
      <c r="F310" s="99" t="str">
        <f aca="false">IF($E310="","",IFERROR(INDEX(科目表!$A$4:$A$81,MATCH($E310,科目表!$B$4:$B$81,0)),""))</f>
        <v/>
      </c>
      <c r="G310" s="67" t="str">
        <f aca="false">IF($E310="","",IFERROR(INDEX(科目表!$E$4:$E$81,MATCH($E310,科目表!$B$4:$B$81,0)),""))</f>
        <v/>
      </c>
      <c r="H310" s="70" t="str">
        <f aca="false">IF($E310="","",N(INDEX(进销存对接!$M$4:$U$305,103,2)))</f>
        <v/>
      </c>
      <c r="I310" s="70" t="str">
        <f aca="false">IF($E310="","",N(INDEX(进销存对接!$M$4:$U$305,103,3)))</f>
        <v/>
      </c>
      <c r="J310" s="67"/>
      <c r="K310" s="67" t="str">
        <f aca="false">IF($E310="","",INDEX(进销存对接!$D$4:$D$305,103))</f>
        <v/>
      </c>
      <c r="L310" s="107"/>
      <c r="M310" s="107"/>
      <c r="N310" s="67" t="str">
        <f aca="false">IF($E310="","","系统")</f>
        <v/>
      </c>
      <c r="O310" s="67" t="str">
        <f aca="false">IF($E310="","","自动A")</f>
        <v/>
      </c>
      <c r="P310" s="18"/>
    </row>
    <row r="311" customFormat="false" ht="18" hidden="false" customHeight="true" outlineLevel="0" collapsed="false">
      <c r="A311" s="107" t="str">
        <f aca="false">IF($E311="","",ROW()-3)</f>
        <v/>
      </c>
      <c r="B311" s="110" t="str">
        <f aca="false">IF($E311="","",INDEX(进销存对接!$C$4:$C$305,103))</f>
        <v/>
      </c>
      <c r="C311" s="67" t="str">
        <f aca="false">IF($E311="","","记-"&amp;TEXT($B311,"YYYYMM")&amp;"-进销存")</f>
        <v/>
      </c>
      <c r="D311" s="107" t="str">
        <f aca="false">IF($E311="","",INDEX(进销存对接!$D$4:$D$305,103)&amp;" "&amp;TEXT($B311,"YYYY年M月")&amp;" 自动结转")</f>
        <v/>
      </c>
      <c r="E311" s="67" t="str">
        <f aca="false">IF(INDEX(进销存对接!$M$4:$U$305,103,4)=0,"",INDEX(进销存对接!$M$4:$U$305,103,4))</f>
        <v/>
      </c>
      <c r="F311" s="99" t="str">
        <f aca="false">IF($E311="","",IFERROR(INDEX(科目表!$A$4:$A$81,MATCH($E311,科目表!$B$4:$B$81,0)),""))</f>
        <v/>
      </c>
      <c r="G311" s="67" t="str">
        <f aca="false">IF($E311="","",IFERROR(INDEX(科目表!$E$4:$E$81,MATCH($E311,科目表!$B$4:$B$81,0)),""))</f>
        <v/>
      </c>
      <c r="H311" s="70" t="str">
        <f aca="false">IF($E311="","",N(INDEX(进销存对接!$M$4:$U$305,103,5)))</f>
        <v/>
      </c>
      <c r="I311" s="70" t="str">
        <f aca="false">IF($E311="","",N(INDEX(进销存对接!$M$4:$U$305,103,6)))</f>
        <v/>
      </c>
      <c r="J311" s="67"/>
      <c r="K311" s="67" t="str">
        <f aca="false">IF($E311="","",INDEX(进销存对接!$D$4:$D$305,103))</f>
        <v/>
      </c>
      <c r="L311" s="107"/>
      <c r="M311" s="107"/>
      <c r="N311" s="67" t="str">
        <f aca="false">IF($E311="","","系统")</f>
        <v/>
      </c>
      <c r="O311" s="67" t="str">
        <f aca="false">IF($E311="","","自动A")</f>
        <v/>
      </c>
      <c r="P311" s="18"/>
    </row>
    <row r="312" customFormat="false" ht="18" hidden="false" customHeight="true" outlineLevel="0" collapsed="false">
      <c r="A312" s="107" t="str">
        <f aca="false">IF($E312="","",ROW()-3)</f>
        <v/>
      </c>
      <c r="B312" s="110" t="str">
        <f aca="false">IF($E312="","",INDEX(进销存对接!$C$4:$C$305,103))</f>
        <v/>
      </c>
      <c r="C312" s="67" t="str">
        <f aca="false">IF($E312="","","记-"&amp;TEXT($B312,"YYYYMM")&amp;"-进销存")</f>
        <v/>
      </c>
      <c r="D312" s="107" t="str">
        <f aca="false">IF($E312="","",INDEX(进销存对接!$D$4:$D$305,103)&amp;" "&amp;TEXT($B312,"YYYY年M月")&amp;" 自动结转")</f>
        <v/>
      </c>
      <c r="E312" s="67" t="str">
        <f aca="false">IF(INDEX(进销存对接!$M$4:$U$305,103,7)=0,"",INDEX(进销存对接!$M$4:$U$305,103,7))</f>
        <v/>
      </c>
      <c r="F312" s="99" t="str">
        <f aca="false">IF($E312="","",IFERROR(INDEX(科目表!$A$4:$A$81,MATCH($E312,科目表!$B$4:$B$81,0)),""))</f>
        <v/>
      </c>
      <c r="G312" s="67" t="str">
        <f aca="false">IF($E312="","",IFERROR(INDEX(科目表!$E$4:$E$81,MATCH($E312,科目表!$B$4:$B$81,0)),""))</f>
        <v/>
      </c>
      <c r="H312" s="70" t="str">
        <f aca="false">IF($E312="","",N(INDEX(进销存对接!$M$4:$U$305,103,8)))</f>
        <v/>
      </c>
      <c r="I312" s="70" t="str">
        <f aca="false">IF($E312="","",N(INDEX(进销存对接!$M$4:$U$305,103,9)))</f>
        <v/>
      </c>
      <c r="J312" s="67"/>
      <c r="K312" s="67" t="str">
        <f aca="false">IF($E312="","",INDEX(进销存对接!$D$4:$D$305,103))</f>
        <v/>
      </c>
      <c r="L312" s="107"/>
      <c r="M312" s="107"/>
      <c r="N312" s="67" t="str">
        <f aca="false">IF($E312="","","系统")</f>
        <v/>
      </c>
      <c r="O312" s="67" t="str">
        <f aca="false">IF($E312="","","自动A")</f>
        <v/>
      </c>
      <c r="P312" s="18"/>
    </row>
    <row r="313" customFormat="false" ht="18" hidden="false" customHeight="true" outlineLevel="0" collapsed="false">
      <c r="A313" s="107" t="str">
        <f aca="false">IF($E313="","",ROW()-3)</f>
        <v/>
      </c>
      <c r="B313" s="110" t="str">
        <f aca="false">IF($E313="","",INDEX(进销存对接!$C$4:$C$305,104))</f>
        <v/>
      </c>
      <c r="C313" s="67" t="str">
        <f aca="false">IF($E313="","","记-"&amp;TEXT($B313,"YYYYMM")&amp;"-进销存")</f>
        <v/>
      </c>
      <c r="D313" s="107" t="str">
        <f aca="false">IF($E313="","",INDEX(进销存对接!$D$4:$D$305,104)&amp;" "&amp;TEXT($B313,"YYYY年M月")&amp;" 自动结转")</f>
        <v/>
      </c>
      <c r="E313" s="67" t="str">
        <f aca="false">IF(INDEX(进销存对接!$M$4:$U$305,104,1)=0,"",INDEX(进销存对接!$M$4:$U$305,104,1))</f>
        <v/>
      </c>
      <c r="F313" s="99" t="str">
        <f aca="false">IF($E313="","",IFERROR(INDEX(科目表!$A$4:$A$81,MATCH($E313,科目表!$B$4:$B$81,0)),""))</f>
        <v/>
      </c>
      <c r="G313" s="67" t="str">
        <f aca="false">IF($E313="","",IFERROR(INDEX(科目表!$E$4:$E$81,MATCH($E313,科目表!$B$4:$B$81,0)),""))</f>
        <v/>
      </c>
      <c r="H313" s="70" t="str">
        <f aca="false">IF($E313="","",N(INDEX(进销存对接!$M$4:$U$305,104,2)))</f>
        <v/>
      </c>
      <c r="I313" s="70" t="str">
        <f aca="false">IF($E313="","",N(INDEX(进销存对接!$M$4:$U$305,104,3)))</f>
        <v/>
      </c>
      <c r="J313" s="67"/>
      <c r="K313" s="67" t="str">
        <f aca="false">IF($E313="","",INDEX(进销存对接!$D$4:$D$305,104))</f>
        <v/>
      </c>
      <c r="L313" s="107"/>
      <c r="M313" s="107"/>
      <c r="N313" s="67" t="str">
        <f aca="false">IF($E313="","","系统")</f>
        <v/>
      </c>
      <c r="O313" s="67" t="str">
        <f aca="false">IF($E313="","","自动A")</f>
        <v/>
      </c>
      <c r="P313" s="18"/>
    </row>
    <row r="314" customFormat="false" ht="18" hidden="false" customHeight="true" outlineLevel="0" collapsed="false">
      <c r="A314" s="107" t="str">
        <f aca="false">IF($E314="","",ROW()-3)</f>
        <v/>
      </c>
      <c r="B314" s="110" t="str">
        <f aca="false">IF($E314="","",INDEX(进销存对接!$C$4:$C$305,104))</f>
        <v/>
      </c>
      <c r="C314" s="67" t="str">
        <f aca="false">IF($E314="","","记-"&amp;TEXT($B314,"YYYYMM")&amp;"-进销存")</f>
        <v/>
      </c>
      <c r="D314" s="107" t="str">
        <f aca="false">IF($E314="","",INDEX(进销存对接!$D$4:$D$305,104)&amp;" "&amp;TEXT($B314,"YYYY年M月")&amp;" 自动结转")</f>
        <v/>
      </c>
      <c r="E314" s="67" t="str">
        <f aca="false">IF(INDEX(进销存对接!$M$4:$U$305,104,4)=0,"",INDEX(进销存对接!$M$4:$U$305,104,4))</f>
        <v/>
      </c>
      <c r="F314" s="99" t="str">
        <f aca="false">IF($E314="","",IFERROR(INDEX(科目表!$A$4:$A$81,MATCH($E314,科目表!$B$4:$B$81,0)),""))</f>
        <v/>
      </c>
      <c r="G314" s="67" t="str">
        <f aca="false">IF($E314="","",IFERROR(INDEX(科目表!$E$4:$E$81,MATCH($E314,科目表!$B$4:$B$81,0)),""))</f>
        <v/>
      </c>
      <c r="H314" s="70" t="str">
        <f aca="false">IF($E314="","",N(INDEX(进销存对接!$M$4:$U$305,104,5)))</f>
        <v/>
      </c>
      <c r="I314" s="70" t="str">
        <f aca="false">IF($E314="","",N(INDEX(进销存对接!$M$4:$U$305,104,6)))</f>
        <v/>
      </c>
      <c r="J314" s="67"/>
      <c r="K314" s="67" t="str">
        <f aca="false">IF($E314="","",INDEX(进销存对接!$D$4:$D$305,104))</f>
        <v/>
      </c>
      <c r="L314" s="107"/>
      <c r="M314" s="107"/>
      <c r="N314" s="67" t="str">
        <f aca="false">IF($E314="","","系统")</f>
        <v/>
      </c>
      <c r="O314" s="67" t="str">
        <f aca="false">IF($E314="","","自动A")</f>
        <v/>
      </c>
      <c r="P314" s="18"/>
    </row>
    <row r="315" customFormat="false" ht="18" hidden="false" customHeight="true" outlineLevel="0" collapsed="false">
      <c r="A315" s="107" t="str">
        <f aca="false">IF($E315="","",ROW()-3)</f>
        <v/>
      </c>
      <c r="B315" s="110" t="str">
        <f aca="false">IF($E315="","",INDEX(进销存对接!$C$4:$C$305,104))</f>
        <v/>
      </c>
      <c r="C315" s="67" t="str">
        <f aca="false">IF($E315="","","记-"&amp;TEXT($B315,"YYYYMM")&amp;"-进销存")</f>
        <v/>
      </c>
      <c r="D315" s="107" t="str">
        <f aca="false">IF($E315="","",INDEX(进销存对接!$D$4:$D$305,104)&amp;" "&amp;TEXT($B315,"YYYY年M月")&amp;" 自动结转")</f>
        <v/>
      </c>
      <c r="E315" s="67" t="str">
        <f aca="false">IF(INDEX(进销存对接!$M$4:$U$305,104,7)=0,"",INDEX(进销存对接!$M$4:$U$305,104,7))</f>
        <v/>
      </c>
      <c r="F315" s="99" t="str">
        <f aca="false">IF($E315="","",IFERROR(INDEX(科目表!$A$4:$A$81,MATCH($E315,科目表!$B$4:$B$81,0)),""))</f>
        <v/>
      </c>
      <c r="G315" s="67" t="str">
        <f aca="false">IF($E315="","",IFERROR(INDEX(科目表!$E$4:$E$81,MATCH($E315,科目表!$B$4:$B$81,0)),""))</f>
        <v/>
      </c>
      <c r="H315" s="70" t="str">
        <f aca="false">IF($E315="","",N(INDEX(进销存对接!$M$4:$U$305,104,8)))</f>
        <v/>
      </c>
      <c r="I315" s="70" t="str">
        <f aca="false">IF($E315="","",N(INDEX(进销存对接!$M$4:$U$305,104,9)))</f>
        <v/>
      </c>
      <c r="J315" s="67"/>
      <c r="K315" s="67" t="str">
        <f aca="false">IF($E315="","",INDEX(进销存对接!$D$4:$D$305,104))</f>
        <v/>
      </c>
      <c r="L315" s="107"/>
      <c r="M315" s="107"/>
      <c r="N315" s="67" t="str">
        <f aca="false">IF($E315="","","系统")</f>
        <v/>
      </c>
      <c r="O315" s="67" t="str">
        <f aca="false">IF($E315="","","自动A")</f>
        <v/>
      </c>
      <c r="P315" s="18"/>
    </row>
    <row r="316" customFormat="false" ht="18" hidden="false" customHeight="true" outlineLevel="0" collapsed="false">
      <c r="A316" s="107" t="str">
        <f aca="false">IF($E316="","",ROW()-3)</f>
        <v/>
      </c>
      <c r="B316" s="110" t="str">
        <f aca="false">IF($E316="","",INDEX(进销存对接!$C$4:$C$305,105))</f>
        <v/>
      </c>
      <c r="C316" s="67" t="str">
        <f aca="false">IF($E316="","","记-"&amp;TEXT($B316,"YYYYMM")&amp;"-进销存")</f>
        <v/>
      </c>
      <c r="D316" s="107" t="str">
        <f aca="false">IF($E316="","",INDEX(进销存对接!$D$4:$D$305,105)&amp;" "&amp;TEXT($B316,"YYYY年M月")&amp;" 自动结转")</f>
        <v/>
      </c>
      <c r="E316" s="67" t="str">
        <f aca="false">IF(INDEX(进销存对接!$M$4:$U$305,105,1)=0,"",INDEX(进销存对接!$M$4:$U$305,105,1))</f>
        <v/>
      </c>
      <c r="F316" s="99" t="str">
        <f aca="false">IF($E316="","",IFERROR(INDEX(科目表!$A$4:$A$81,MATCH($E316,科目表!$B$4:$B$81,0)),""))</f>
        <v/>
      </c>
      <c r="G316" s="67" t="str">
        <f aca="false">IF($E316="","",IFERROR(INDEX(科目表!$E$4:$E$81,MATCH($E316,科目表!$B$4:$B$81,0)),""))</f>
        <v/>
      </c>
      <c r="H316" s="70" t="str">
        <f aca="false">IF($E316="","",N(INDEX(进销存对接!$M$4:$U$305,105,2)))</f>
        <v/>
      </c>
      <c r="I316" s="70" t="str">
        <f aca="false">IF($E316="","",N(INDEX(进销存对接!$M$4:$U$305,105,3)))</f>
        <v/>
      </c>
      <c r="J316" s="67"/>
      <c r="K316" s="67" t="str">
        <f aca="false">IF($E316="","",INDEX(进销存对接!$D$4:$D$305,105))</f>
        <v/>
      </c>
      <c r="L316" s="107"/>
      <c r="M316" s="107"/>
      <c r="N316" s="67" t="str">
        <f aca="false">IF($E316="","","系统")</f>
        <v/>
      </c>
      <c r="O316" s="67" t="str">
        <f aca="false">IF($E316="","","自动A")</f>
        <v/>
      </c>
      <c r="P316" s="18"/>
    </row>
    <row r="317" customFormat="false" ht="18" hidden="false" customHeight="true" outlineLevel="0" collapsed="false">
      <c r="A317" s="107" t="str">
        <f aca="false">IF($E317="","",ROW()-3)</f>
        <v/>
      </c>
      <c r="B317" s="110" t="str">
        <f aca="false">IF($E317="","",INDEX(进销存对接!$C$4:$C$305,105))</f>
        <v/>
      </c>
      <c r="C317" s="67" t="str">
        <f aca="false">IF($E317="","","记-"&amp;TEXT($B317,"YYYYMM")&amp;"-进销存")</f>
        <v/>
      </c>
      <c r="D317" s="107" t="str">
        <f aca="false">IF($E317="","",INDEX(进销存对接!$D$4:$D$305,105)&amp;" "&amp;TEXT($B317,"YYYY年M月")&amp;" 自动结转")</f>
        <v/>
      </c>
      <c r="E317" s="67" t="str">
        <f aca="false">IF(INDEX(进销存对接!$M$4:$U$305,105,4)=0,"",INDEX(进销存对接!$M$4:$U$305,105,4))</f>
        <v/>
      </c>
      <c r="F317" s="99" t="str">
        <f aca="false">IF($E317="","",IFERROR(INDEX(科目表!$A$4:$A$81,MATCH($E317,科目表!$B$4:$B$81,0)),""))</f>
        <v/>
      </c>
      <c r="G317" s="67" t="str">
        <f aca="false">IF($E317="","",IFERROR(INDEX(科目表!$E$4:$E$81,MATCH($E317,科目表!$B$4:$B$81,0)),""))</f>
        <v/>
      </c>
      <c r="H317" s="70" t="str">
        <f aca="false">IF($E317="","",N(INDEX(进销存对接!$M$4:$U$305,105,5)))</f>
        <v/>
      </c>
      <c r="I317" s="70" t="str">
        <f aca="false">IF($E317="","",N(INDEX(进销存对接!$M$4:$U$305,105,6)))</f>
        <v/>
      </c>
      <c r="J317" s="67"/>
      <c r="K317" s="67" t="str">
        <f aca="false">IF($E317="","",INDEX(进销存对接!$D$4:$D$305,105))</f>
        <v/>
      </c>
      <c r="L317" s="107"/>
      <c r="M317" s="107"/>
      <c r="N317" s="67" t="str">
        <f aca="false">IF($E317="","","系统")</f>
        <v/>
      </c>
      <c r="O317" s="67" t="str">
        <f aca="false">IF($E317="","","自动A")</f>
        <v/>
      </c>
      <c r="P317" s="18"/>
    </row>
    <row r="318" customFormat="false" ht="18" hidden="false" customHeight="true" outlineLevel="0" collapsed="false">
      <c r="A318" s="107" t="str">
        <f aca="false">IF($E318="","",ROW()-3)</f>
        <v/>
      </c>
      <c r="B318" s="110" t="str">
        <f aca="false">IF($E318="","",INDEX(进销存对接!$C$4:$C$305,105))</f>
        <v/>
      </c>
      <c r="C318" s="67" t="str">
        <f aca="false">IF($E318="","","记-"&amp;TEXT($B318,"YYYYMM")&amp;"-进销存")</f>
        <v/>
      </c>
      <c r="D318" s="107" t="str">
        <f aca="false">IF($E318="","",INDEX(进销存对接!$D$4:$D$305,105)&amp;" "&amp;TEXT($B318,"YYYY年M月")&amp;" 自动结转")</f>
        <v/>
      </c>
      <c r="E318" s="67" t="str">
        <f aca="false">IF(INDEX(进销存对接!$M$4:$U$305,105,7)=0,"",INDEX(进销存对接!$M$4:$U$305,105,7))</f>
        <v/>
      </c>
      <c r="F318" s="99" t="str">
        <f aca="false">IF($E318="","",IFERROR(INDEX(科目表!$A$4:$A$81,MATCH($E318,科目表!$B$4:$B$81,0)),""))</f>
        <v/>
      </c>
      <c r="G318" s="67" t="str">
        <f aca="false">IF($E318="","",IFERROR(INDEX(科目表!$E$4:$E$81,MATCH($E318,科目表!$B$4:$B$81,0)),""))</f>
        <v/>
      </c>
      <c r="H318" s="70" t="str">
        <f aca="false">IF($E318="","",N(INDEX(进销存对接!$M$4:$U$305,105,8)))</f>
        <v/>
      </c>
      <c r="I318" s="70" t="str">
        <f aca="false">IF($E318="","",N(INDEX(进销存对接!$M$4:$U$305,105,9)))</f>
        <v/>
      </c>
      <c r="J318" s="67"/>
      <c r="K318" s="67" t="str">
        <f aca="false">IF($E318="","",INDEX(进销存对接!$D$4:$D$305,105))</f>
        <v/>
      </c>
      <c r="L318" s="107"/>
      <c r="M318" s="107"/>
      <c r="N318" s="67" t="str">
        <f aca="false">IF($E318="","","系统")</f>
        <v/>
      </c>
      <c r="O318" s="67" t="str">
        <f aca="false">IF($E318="","","自动A")</f>
        <v/>
      </c>
      <c r="P318" s="18"/>
    </row>
    <row r="319" customFormat="false" ht="18" hidden="false" customHeight="true" outlineLevel="0" collapsed="false">
      <c r="A319" s="107" t="str">
        <f aca="false">IF($E319="","",ROW()-3)</f>
        <v/>
      </c>
      <c r="B319" s="110" t="str">
        <f aca="false">IF($E319="","",INDEX(进销存对接!$C$4:$C$305,106))</f>
        <v/>
      </c>
      <c r="C319" s="67" t="str">
        <f aca="false">IF($E319="","","记-"&amp;TEXT($B319,"YYYYMM")&amp;"-进销存")</f>
        <v/>
      </c>
      <c r="D319" s="107" t="str">
        <f aca="false">IF($E319="","",INDEX(进销存对接!$D$4:$D$305,106)&amp;" "&amp;TEXT($B319,"YYYY年M月")&amp;" 自动结转")</f>
        <v/>
      </c>
      <c r="E319" s="67" t="str">
        <f aca="false">IF(INDEX(进销存对接!$M$4:$U$305,106,1)=0,"",INDEX(进销存对接!$M$4:$U$305,106,1))</f>
        <v/>
      </c>
      <c r="F319" s="99" t="str">
        <f aca="false">IF($E319="","",IFERROR(INDEX(科目表!$A$4:$A$81,MATCH($E319,科目表!$B$4:$B$81,0)),""))</f>
        <v/>
      </c>
      <c r="G319" s="67" t="str">
        <f aca="false">IF($E319="","",IFERROR(INDEX(科目表!$E$4:$E$81,MATCH($E319,科目表!$B$4:$B$81,0)),""))</f>
        <v/>
      </c>
      <c r="H319" s="70" t="str">
        <f aca="false">IF($E319="","",N(INDEX(进销存对接!$M$4:$U$305,106,2)))</f>
        <v/>
      </c>
      <c r="I319" s="70" t="str">
        <f aca="false">IF($E319="","",N(INDEX(进销存对接!$M$4:$U$305,106,3)))</f>
        <v/>
      </c>
      <c r="J319" s="67"/>
      <c r="K319" s="67" t="str">
        <f aca="false">IF($E319="","",INDEX(进销存对接!$D$4:$D$305,106))</f>
        <v/>
      </c>
      <c r="L319" s="107"/>
      <c r="M319" s="107"/>
      <c r="N319" s="67" t="str">
        <f aca="false">IF($E319="","","系统")</f>
        <v/>
      </c>
      <c r="O319" s="67" t="str">
        <f aca="false">IF($E319="","","自动A")</f>
        <v/>
      </c>
      <c r="P319" s="18"/>
    </row>
    <row r="320" customFormat="false" ht="18" hidden="false" customHeight="true" outlineLevel="0" collapsed="false">
      <c r="A320" s="107" t="str">
        <f aca="false">IF($E320="","",ROW()-3)</f>
        <v/>
      </c>
      <c r="B320" s="110" t="str">
        <f aca="false">IF($E320="","",INDEX(进销存对接!$C$4:$C$305,106))</f>
        <v/>
      </c>
      <c r="C320" s="67" t="str">
        <f aca="false">IF($E320="","","记-"&amp;TEXT($B320,"YYYYMM")&amp;"-进销存")</f>
        <v/>
      </c>
      <c r="D320" s="107" t="str">
        <f aca="false">IF($E320="","",INDEX(进销存对接!$D$4:$D$305,106)&amp;" "&amp;TEXT($B320,"YYYY年M月")&amp;" 自动结转")</f>
        <v/>
      </c>
      <c r="E320" s="67" t="str">
        <f aca="false">IF(INDEX(进销存对接!$M$4:$U$305,106,4)=0,"",INDEX(进销存对接!$M$4:$U$305,106,4))</f>
        <v/>
      </c>
      <c r="F320" s="99" t="str">
        <f aca="false">IF($E320="","",IFERROR(INDEX(科目表!$A$4:$A$81,MATCH($E320,科目表!$B$4:$B$81,0)),""))</f>
        <v/>
      </c>
      <c r="G320" s="67" t="str">
        <f aca="false">IF($E320="","",IFERROR(INDEX(科目表!$E$4:$E$81,MATCH($E320,科目表!$B$4:$B$81,0)),""))</f>
        <v/>
      </c>
      <c r="H320" s="70" t="str">
        <f aca="false">IF($E320="","",N(INDEX(进销存对接!$M$4:$U$305,106,5)))</f>
        <v/>
      </c>
      <c r="I320" s="70" t="str">
        <f aca="false">IF($E320="","",N(INDEX(进销存对接!$M$4:$U$305,106,6)))</f>
        <v/>
      </c>
      <c r="J320" s="67"/>
      <c r="K320" s="67" t="str">
        <f aca="false">IF($E320="","",INDEX(进销存对接!$D$4:$D$305,106))</f>
        <v/>
      </c>
      <c r="L320" s="107"/>
      <c r="M320" s="107"/>
      <c r="N320" s="67" t="str">
        <f aca="false">IF($E320="","","系统")</f>
        <v/>
      </c>
      <c r="O320" s="67" t="str">
        <f aca="false">IF($E320="","","自动A")</f>
        <v/>
      </c>
      <c r="P320" s="18"/>
    </row>
    <row r="321" customFormat="false" ht="18" hidden="false" customHeight="true" outlineLevel="0" collapsed="false">
      <c r="A321" s="107" t="str">
        <f aca="false">IF($E321="","",ROW()-3)</f>
        <v/>
      </c>
      <c r="B321" s="110" t="str">
        <f aca="false">IF($E321="","",INDEX(进销存对接!$C$4:$C$305,106))</f>
        <v/>
      </c>
      <c r="C321" s="67" t="str">
        <f aca="false">IF($E321="","","记-"&amp;TEXT($B321,"YYYYMM")&amp;"-进销存")</f>
        <v/>
      </c>
      <c r="D321" s="107" t="str">
        <f aca="false">IF($E321="","",INDEX(进销存对接!$D$4:$D$305,106)&amp;" "&amp;TEXT($B321,"YYYY年M月")&amp;" 自动结转")</f>
        <v/>
      </c>
      <c r="E321" s="67" t="str">
        <f aca="false">IF(INDEX(进销存对接!$M$4:$U$305,106,7)=0,"",INDEX(进销存对接!$M$4:$U$305,106,7))</f>
        <v/>
      </c>
      <c r="F321" s="99" t="str">
        <f aca="false">IF($E321="","",IFERROR(INDEX(科目表!$A$4:$A$81,MATCH($E321,科目表!$B$4:$B$81,0)),""))</f>
        <v/>
      </c>
      <c r="G321" s="67" t="str">
        <f aca="false">IF($E321="","",IFERROR(INDEX(科目表!$E$4:$E$81,MATCH($E321,科目表!$B$4:$B$81,0)),""))</f>
        <v/>
      </c>
      <c r="H321" s="70" t="str">
        <f aca="false">IF($E321="","",N(INDEX(进销存对接!$M$4:$U$305,106,8)))</f>
        <v/>
      </c>
      <c r="I321" s="70" t="str">
        <f aca="false">IF($E321="","",N(INDEX(进销存对接!$M$4:$U$305,106,9)))</f>
        <v/>
      </c>
      <c r="J321" s="67"/>
      <c r="K321" s="67" t="str">
        <f aca="false">IF($E321="","",INDEX(进销存对接!$D$4:$D$305,106))</f>
        <v/>
      </c>
      <c r="L321" s="107"/>
      <c r="M321" s="107"/>
      <c r="N321" s="67" t="str">
        <f aca="false">IF($E321="","","系统")</f>
        <v/>
      </c>
      <c r="O321" s="67" t="str">
        <f aca="false">IF($E321="","","自动A")</f>
        <v/>
      </c>
      <c r="P321" s="18"/>
    </row>
    <row r="322" customFormat="false" ht="18" hidden="false" customHeight="true" outlineLevel="0" collapsed="false">
      <c r="A322" s="107" t="str">
        <f aca="false">IF($E322="","",ROW()-3)</f>
        <v/>
      </c>
      <c r="B322" s="110" t="str">
        <f aca="false">IF($E322="","",INDEX(进销存对接!$C$4:$C$305,107))</f>
        <v/>
      </c>
      <c r="C322" s="67" t="str">
        <f aca="false">IF($E322="","","记-"&amp;TEXT($B322,"YYYYMM")&amp;"-进销存")</f>
        <v/>
      </c>
      <c r="D322" s="107" t="str">
        <f aca="false">IF($E322="","",INDEX(进销存对接!$D$4:$D$305,107)&amp;" "&amp;TEXT($B322,"YYYY年M月")&amp;" 自动结转")</f>
        <v/>
      </c>
      <c r="E322" s="67" t="str">
        <f aca="false">IF(INDEX(进销存对接!$M$4:$U$305,107,1)=0,"",INDEX(进销存对接!$M$4:$U$305,107,1))</f>
        <v/>
      </c>
      <c r="F322" s="99" t="str">
        <f aca="false">IF($E322="","",IFERROR(INDEX(科目表!$A$4:$A$81,MATCH($E322,科目表!$B$4:$B$81,0)),""))</f>
        <v/>
      </c>
      <c r="G322" s="67" t="str">
        <f aca="false">IF($E322="","",IFERROR(INDEX(科目表!$E$4:$E$81,MATCH($E322,科目表!$B$4:$B$81,0)),""))</f>
        <v/>
      </c>
      <c r="H322" s="70" t="str">
        <f aca="false">IF($E322="","",N(INDEX(进销存对接!$M$4:$U$305,107,2)))</f>
        <v/>
      </c>
      <c r="I322" s="70" t="str">
        <f aca="false">IF($E322="","",N(INDEX(进销存对接!$M$4:$U$305,107,3)))</f>
        <v/>
      </c>
      <c r="J322" s="67"/>
      <c r="K322" s="67" t="str">
        <f aca="false">IF($E322="","",INDEX(进销存对接!$D$4:$D$305,107))</f>
        <v/>
      </c>
      <c r="L322" s="107"/>
      <c r="M322" s="107"/>
      <c r="N322" s="67" t="str">
        <f aca="false">IF($E322="","","系统")</f>
        <v/>
      </c>
      <c r="O322" s="67" t="str">
        <f aca="false">IF($E322="","","自动A")</f>
        <v/>
      </c>
      <c r="P322" s="18"/>
    </row>
    <row r="323" customFormat="false" ht="18" hidden="false" customHeight="true" outlineLevel="0" collapsed="false">
      <c r="A323" s="107" t="str">
        <f aca="false">IF($E323="","",ROW()-3)</f>
        <v/>
      </c>
      <c r="B323" s="110" t="str">
        <f aca="false">IF($E323="","",INDEX(进销存对接!$C$4:$C$305,107))</f>
        <v/>
      </c>
      <c r="C323" s="67" t="str">
        <f aca="false">IF($E323="","","记-"&amp;TEXT($B323,"YYYYMM")&amp;"-进销存")</f>
        <v/>
      </c>
      <c r="D323" s="107" t="str">
        <f aca="false">IF($E323="","",INDEX(进销存对接!$D$4:$D$305,107)&amp;" "&amp;TEXT($B323,"YYYY年M月")&amp;" 自动结转")</f>
        <v/>
      </c>
      <c r="E323" s="67" t="str">
        <f aca="false">IF(INDEX(进销存对接!$M$4:$U$305,107,4)=0,"",INDEX(进销存对接!$M$4:$U$305,107,4))</f>
        <v/>
      </c>
      <c r="F323" s="99" t="str">
        <f aca="false">IF($E323="","",IFERROR(INDEX(科目表!$A$4:$A$81,MATCH($E323,科目表!$B$4:$B$81,0)),""))</f>
        <v/>
      </c>
      <c r="G323" s="67" t="str">
        <f aca="false">IF($E323="","",IFERROR(INDEX(科目表!$E$4:$E$81,MATCH($E323,科目表!$B$4:$B$81,0)),""))</f>
        <v/>
      </c>
      <c r="H323" s="70" t="str">
        <f aca="false">IF($E323="","",N(INDEX(进销存对接!$M$4:$U$305,107,5)))</f>
        <v/>
      </c>
      <c r="I323" s="70" t="str">
        <f aca="false">IF($E323="","",N(INDEX(进销存对接!$M$4:$U$305,107,6)))</f>
        <v/>
      </c>
      <c r="J323" s="67"/>
      <c r="K323" s="67" t="str">
        <f aca="false">IF($E323="","",INDEX(进销存对接!$D$4:$D$305,107))</f>
        <v/>
      </c>
      <c r="L323" s="107"/>
      <c r="M323" s="107"/>
      <c r="N323" s="67" t="str">
        <f aca="false">IF($E323="","","系统")</f>
        <v/>
      </c>
      <c r="O323" s="67" t="str">
        <f aca="false">IF($E323="","","自动A")</f>
        <v/>
      </c>
      <c r="P323" s="18"/>
    </row>
    <row r="324" customFormat="false" ht="18" hidden="false" customHeight="true" outlineLevel="0" collapsed="false">
      <c r="A324" s="107" t="str">
        <f aca="false">IF($E324="","",ROW()-3)</f>
        <v/>
      </c>
      <c r="B324" s="110" t="str">
        <f aca="false">IF($E324="","",INDEX(进销存对接!$C$4:$C$305,107))</f>
        <v/>
      </c>
      <c r="C324" s="67" t="str">
        <f aca="false">IF($E324="","","记-"&amp;TEXT($B324,"YYYYMM")&amp;"-进销存")</f>
        <v/>
      </c>
      <c r="D324" s="107" t="str">
        <f aca="false">IF($E324="","",INDEX(进销存对接!$D$4:$D$305,107)&amp;" "&amp;TEXT($B324,"YYYY年M月")&amp;" 自动结转")</f>
        <v/>
      </c>
      <c r="E324" s="67" t="str">
        <f aca="false">IF(INDEX(进销存对接!$M$4:$U$305,107,7)=0,"",INDEX(进销存对接!$M$4:$U$305,107,7))</f>
        <v/>
      </c>
      <c r="F324" s="99" t="str">
        <f aca="false">IF($E324="","",IFERROR(INDEX(科目表!$A$4:$A$81,MATCH($E324,科目表!$B$4:$B$81,0)),""))</f>
        <v/>
      </c>
      <c r="G324" s="67" t="str">
        <f aca="false">IF($E324="","",IFERROR(INDEX(科目表!$E$4:$E$81,MATCH($E324,科目表!$B$4:$B$81,0)),""))</f>
        <v/>
      </c>
      <c r="H324" s="70" t="str">
        <f aca="false">IF($E324="","",N(INDEX(进销存对接!$M$4:$U$305,107,8)))</f>
        <v/>
      </c>
      <c r="I324" s="70" t="str">
        <f aca="false">IF($E324="","",N(INDEX(进销存对接!$M$4:$U$305,107,9)))</f>
        <v/>
      </c>
      <c r="J324" s="67"/>
      <c r="K324" s="67" t="str">
        <f aca="false">IF($E324="","",INDEX(进销存对接!$D$4:$D$305,107))</f>
        <v/>
      </c>
      <c r="L324" s="107"/>
      <c r="M324" s="107"/>
      <c r="N324" s="67" t="str">
        <f aca="false">IF($E324="","","系统")</f>
        <v/>
      </c>
      <c r="O324" s="67" t="str">
        <f aca="false">IF($E324="","","自动A")</f>
        <v/>
      </c>
      <c r="P324" s="18"/>
    </row>
    <row r="325" customFormat="false" ht="18" hidden="false" customHeight="true" outlineLevel="0" collapsed="false">
      <c r="A325" s="107" t="str">
        <f aca="false">IF($E325="","",ROW()-3)</f>
        <v/>
      </c>
      <c r="B325" s="110" t="str">
        <f aca="false">IF($E325="","",INDEX(进销存对接!$C$4:$C$305,108))</f>
        <v/>
      </c>
      <c r="C325" s="67" t="str">
        <f aca="false">IF($E325="","","记-"&amp;TEXT($B325,"YYYYMM")&amp;"-进销存")</f>
        <v/>
      </c>
      <c r="D325" s="107" t="str">
        <f aca="false">IF($E325="","",INDEX(进销存对接!$D$4:$D$305,108)&amp;" "&amp;TEXT($B325,"YYYY年M月")&amp;" 自动结转")</f>
        <v/>
      </c>
      <c r="E325" s="67" t="str">
        <f aca="false">IF(INDEX(进销存对接!$M$4:$U$305,108,1)=0,"",INDEX(进销存对接!$M$4:$U$305,108,1))</f>
        <v/>
      </c>
      <c r="F325" s="99" t="str">
        <f aca="false">IF($E325="","",IFERROR(INDEX(科目表!$A$4:$A$81,MATCH($E325,科目表!$B$4:$B$81,0)),""))</f>
        <v/>
      </c>
      <c r="G325" s="67" t="str">
        <f aca="false">IF($E325="","",IFERROR(INDEX(科目表!$E$4:$E$81,MATCH($E325,科目表!$B$4:$B$81,0)),""))</f>
        <v/>
      </c>
      <c r="H325" s="70" t="str">
        <f aca="false">IF($E325="","",N(INDEX(进销存对接!$M$4:$U$305,108,2)))</f>
        <v/>
      </c>
      <c r="I325" s="70" t="str">
        <f aca="false">IF($E325="","",N(INDEX(进销存对接!$M$4:$U$305,108,3)))</f>
        <v/>
      </c>
      <c r="J325" s="67"/>
      <c r="K325" s="67" t="str">
        <f aca="false">IF($E325="","",INDEX(进销存对接!$D$4:$D$305,108))</f>
        <v/>
      </c>
      <c r="L325" s="107"/>
      <c r="M325" s="107"/>
      <c r="N325" s="67" t="str">
        <f aca="false">IF($E325="","","系统")</f>
        <v/>
      </c>
      <c r="O325" s="67" t="str">
        <f aca="false">IF($E325="","","自动A")</f>
        <v/>
      </c>
      <c r="P325" s="18"/>
    </row>
    <row r="326" customFormat="false" ht="18" hidden="false" customHeight="true" outlineLevel="0" collapsed="false">
      <c r="A326" s="107" t="str">
        <f aca="false">IF($E326="","",ROW()-3)</f>
        <v/>
      </c>
      <c r="B326" s="110" t="str">
        <f aca="false">IF($E326="","",INDEX(进销存对接!$C$4:$C$305,108))</f>
        <v/>
      </c>
      <c r="C326" s="67" t="str">
        <f aca="false">IF($E326="","","记-"&amp;TEXT($B326,"YYYYMM")&amp;"-进销存")</f>
        <v/>
      </c>
      <c r="D326" s="107" t="str">
        <f aca="false">IF($E326="","",INDEX(进销存对接!$D$4:$D$305,108)&amp;" "&amp;TEXT($B326,"YYYY年M月")&amp;" 自动结转")</f>
        <v/>
      </c>
      <c r="E326" s="67" t="str">
        <f aca="false">IF(INDEX(进销存对接!$M$4:$U$305,108,4)=0,"",INDEX(进销存对接!$M$4:$U$305,108,4))</f>
        <v/>
      </c>
      <c r="F326" s="99" t="str">
        <f aca="false">IF($E326="","",IFERROR(INDEX(科目表!$A$4:$A$81,MATCH($E326,科目表!$B$4:$B$81,0)),""))</f>
        <v/>
      </c>
      <c r="G326" s="67" t="str">
        <f aca="false">IF($E326="","",IFERROR(INDEX(科目表!$E$4:$E$81,MATCH($E326,科目表!$B$4:$B$81,0)),""))</f>
        <v/>
      </c>
      <c r="H326" s="70" t="str">
        <f aca="false">IF($E326="","",N(INDEX(进销存对接!$M$4:$U$305,108,5)))</f>
        <v/>
      </c>
      <c r="I326" s="70" t="str">
        <f aca="false">IF($E326="","",N(INDEX(进销存对接!$M$4:$U$305,108,6)))</f>
        <v/>
      </c>
      <c r="J326" s="67"/>
      <c r="K326" s="67" t="str">
        <f aca="false">IF($E326="","",INDEX(进销存对接!$D$4:$D$305,108))</f>
        <v/>
      </c>
      <c r="L326" s="107"/>
      <c r="M326" s="107"/>
      <c r="N326" s="67" t="str">
        <f aca="false">IF($E326="","","系统")</f>
        <v/>
      </c>
      <c r="O326" s="67" t="str">
        <f aca="false">IF($E326="","","自动A")</f>
        <v/>
      </c>
      <c r="P326" s="18"/>
    </row>
    <row r="327" customFormat="false" ht="18" hidden="false" customHeight="true" outlineLevel="0" collapsed="false">
      <c r="A327" s="107" t="str">
        <f aca="false">IF($E327="","",ROW()-3)</f>
        <v/>
      </c>
      <c r="B327" s="110" t="str">
        <f aca="false">IF($E327="","",INDEX(进销存对接!$C$4:$C$305,108))</f>
        <v/>
      </c>
      <c r="C327" s="67" t="str">
        <f aca="false">IF($E327="","","记-"&amp;TEXT($B327,"YYYYMM")&amp;"-进销存")</f>
        <v/>
      </c>
      <c r="D327" s="107" t="str">
        <f aca="false">IF($E327="","",INDEX(进销存对接!$D$4:$D$305,108)&amp;" "&amp;TEXT($B327,"YYYY年M月")&amp;" 自动结转")</f>
        <v/>
      </c>
      <c r="E327" s="67" t="str">
        <f aca="false">IF(INDEX(进销存对接!$M$4:$U$305,108,7)=0,"",INDEX(进销存对接!$M$4:$U$305,108,7))</f>
        <v/>
      </c>
      <c r="F327" s="99" t="str">
        <f aca="false">IF($E327="","",IFERROR(INDEX(科目表!$A$4:$A$81,MATCH($E327,科目表!$B$4:$B$81,0)),""))</f>
        <v/>
      </c>
      <c r="G327" s="67" t="str">
        <f aca="false">IF($E327="","",IFERROR(INDEX(科目表!$E$4:$E$81,MATCH($E327,科目表!$B$4:$B$81,0)),""))</f>
        <v/>
      </c>
      <c r="H327" s="70" t="str">
        <f aca="false">IF($E327="","",N(INDEX(进销存对接!$M$4:$U$305,108,8)))</f>
        <v/>
      </c>
      <c r="I327" s="70" t="str">
        <f aca="false">IF($E327="","",N(INDEX(进销存对接!$M$4:$U$305,108,9)))</f>
        <v/>
      </c>
      <c r="J327" s="67"/>
      <c r="K327" s="67" t="str">
        <f aca="false">IF($E327="","",INDEX(进销存对接!$D$4:$D$305,108))</f>
        <v/>
      </c>
      <c r="L327" s="107"/>
      <c r="M327" s="107"/>
      <c r="N327" s="67" t="str">
        <f aca="false">IF($E327="","","系统")</f>
        <v/>
      </c>
      <c r="O327" s="67" t="str">
        <f aca="false">IF($E327="","","自动A")</f>
        <v/>
      </c>
      <c r="P327" s="18"/>
    </row>
    <row r="328" customFormat="false" ht="18" hidden="false" customHeight="true" outlineLevel="0" collapsed="false">
      <c r="A328" s="107" t="str">
        <f aca="false">IF($E328="","",ROW()-3)</f>
        <v/>
      </c>
      <c r="B328" s="110" t="str">
        <f aca="false">IF($E328="","",INDEX(进销存对接!$C$4:$C$305,109))</f>
        <v/>
      </c>
      <c r="C328" s="67" t="str">
        <f aca="false">IF($E328="","","记-"&amp;TEXT($B328,"YYYYMM")&amp;"-进销存")</f>
        <v/>
      </c>
      <c r="D328" s="107" t="str">
        <f aca="false">IF($E328="","",INDEX(进销存对接!$D$4:$D$305,109)&amp;" "&amp;TEXT($B328,"YYYY年M月")&amp;" 自动结转")</f>
        <v/>
      </c>
      <c r="E328" s="67" t="str">
        <f aca="false">IF(INDEX(进销存对接!$M$4:$U$305,109,1)=0,"",INDEX(进销存对接!$M$4:$U$305,109,1))</f>
        <v/>
      </c>
      <c r="F328" s="99" t="str">
        <f aca="false">IF($E328="","",IFERROR(INDEX(科目表!$A$4:$A$81,MATCH($E328,科目表!$B$4:$B$81,0)),""))</f>
        <v/>
      </c>
      <c r="G328" s="67" t="str">
        <f aca="false">IF($E328="","",IFERROR(INDEX(科目表!$E$4:$E$81,MATCH($E328,科目表!$B$4:$B$81,0)),""))</f>
        <v/>
      </c>
      <c r="H328" s="70" t="str">
        <f aca="false">IF($E328="","",N(INDEX(进销存对接!$M$4:$U$305,109,2)))</f>
        <v/>
      </c>
      <c r="I328" s="70" t="str">
        <f aca="false">IF($E328="","",N(INDEX(进销存对接!$M$4:$U$305,109,3)))</f>
        <v/>
      </c>
      <c r="J328" s="67"/>
      <c r="K328" s="67" t="str">
        <f aca="false">IF($E328="","",INDEX(进销存对接!$D$4:$D$305,109))</f>
        <v/>
      </c>
      <c r="L328" s="107"/>
      <c r="M328" s="107"/>
      <c r="N328" s="67" t="str">
        <f aca="false">IF($E328="","","系统")</f>
        <v/>
      </c>
      <c r="O328" s="67" t="str">
        <f aca="false">IF($E328="","","自动A")</f>
        <v/>
      </c>
      <c r="P328" s="18"/>
    </row>
    <row r="329" customFormat="false" ht="18" hidden="false" customHeight="true" outlineLevel="0" collapsed="false">
      <c r="A329" s="107" t="str">
        <f aca="false">IF($E329="","",ROW()-3)</f>
        <v/>
      </c>
      <c r="B329" s="110" t="str">
        <f aca="false">IF($E329="","",INDEX(进销存对接!$C$4:$C$305,109))</f>
        <v/>
      </c>
      <c r="C329" s="67" t="str">
        <f aca="false">IF($E329="","","记-"&amp;TEXT($B329,"YYYYMM")&amp;"-进销存")</f>
        <v/>
      </c>
      <c r="D329" s="107" t="str">
        <f aca="false">IF($E329="","",INDEX(进销存对接!$D$4:$D$305,109)&amp;" "&amp;TEXT($B329,"YYYY年M月")&amp;" 自动结转")</f>
        <v/>
      </c>
      <c r="E329" s="67" t="str">
        <f aca="false">IF(INDEX(进销存对接!$M$4:$U$305,109,4)=0,"",INDEX(进销存对接!$M$4:$U$305,109,4))</f>
        <v/>
      </c>
      <c r="F329" s="99" t="str">
        <f aca="false">IF($E329="","",IFERROR(INDEX(科目表!$A$4:$A$81,MATCH($E329,科目表!$B$4:$B$81,0)),""))</f>
        <v/>
      </c>
      <c r="G329" s="67" t="str">
        <f aca="false">IF($E329="","",IFERROR(INDEX(科目表!$E$4:$E$81,MATCH($E329,科目表!$B$4:$B$81,0)),""))</f>
        <v/>
      </c>
      <c r="H329" s="70" t="str">
        <f aca="false">IF($E329="","",N(INDEX(进销存对接!$M$4:$U$305,109,5)))</f>
        <v/>
      </c>
      <c r="I329" s="70" t="str">
        <f aca="false">IF($E329="","",N(INDEX(进销存对接!$M$4:$U$305,109,6)))</f>
        <v/>
      </c>
      <c r="J329" s="67"/>
      <c r="K329" s="67" t="str">
        <f aca="false">IF($E329="","",INDEX(进销存对接!$D$4:$D$305,109))</f>
        <v/>
      </c>
      <c r="L329" s="107"/>
      <c r="M329" s="107"/>
      <c r="N329" s="67" t="str">
        <f aca="false">IF($E329="","","系统")</f>
        <v/>
      </c>
      <c r="O329" s="67" t="str">
        <f aca="false">IF($E329="","","自动A")</f>
        <v/>
      </c>
      <c r="P329" s="18"/>
    </row>
    <row r="330" customFormat="false" ht="18" hidden="false" customHeight="true" outlineLevel="0" collapsed="false">
      <c r="A330" s="107" t="str">
        <f aca="false">IF($E330="","",ROW()-3)</f>
        <v/>
      </c>
      <c r="B330" s="110" t="str">
        <f aca="false">IF($E330="","",INDEX(进销存对接!$C$4:$C$305,109))</f>
        <v/>
      </c>
      <c r="C330" s="67" t="str">
        <f aca="false">IF($E330="","","记-"&amp;TEXT($B330,"YYYYMM")&amp;"-进销存")</f>
        <v/>
      </c>
      <c r="D330" s="107" t="str">
        <f aca="false">IF($E330="","",INDEX(进销存对接!$D$4:$D$305,109)&amp;" "&amp;TEXT($B330,"YYYY年M月")&amp;" 自动结转")</f>
        <v/>
      </c>
      <c r="E330" s="67" t="str">
        <f aca="false">IF(INDEX(进销存对接!$M$4:$U$305,109,7)=0,"",INDEX(进销存对接!$M$4:$U$305,109,7))</f>
        <v/>
      </c>
      <c r="F330" s="99" t="str">
        <f aca="false">IF($E330="","",IFERROR(INDEX(科目表!$A$4:$A$81,MATCH($E330,科目表!$B$4:$B$81,0)),""))</f>
        <v/>
      </c>
      <c r="G330" s="67" t="str">
        <f aca="false">IF($E330="","",IFERROR(INDEX(科目表!$E$4:$E$81,MATCH($E330,科目表!$B$4:$B$81,0)),""))</f>
        <v/>
      </c>
      <c r="H330" s="70" t="str">
        <f aca="false">IF($E330="","",N(INDEX(进销存对接!$M$4:$U$305,109,8)))</f>
        <v/>
      </c>
      <c r="I330" s="70" t="str">
        <f aca="false">IF($E330="","",N(INDEX(进销存对接!$M$4:$U$305,109,9)))</f>
        <v/>
      </c>
      <c r="J330" s="67"/>
      <c r="K330" s="67" t="str">
        <f aca="false">IF($E330="","",INDEX(进销存对接!$D$4:$D$305,109))</f>
        <v/>
      </c>
      <c r="L330" s="107"/>
      <c r="M330" s="107"/>
      <c r="N330" s="67" t="str">
        <f aca="false">IF($E330="","","系统")</f>
        <v/>
      </c>
      <c r="O330" s="67" t="str">
        <f aca="false">IF($E330="","","自动A")</f>
        <v/>
      </c>
      <c r="P330" s="18"/>
    </row>
    <row r="331" customFormat="false" ht="18" hidden="false" customHeight="true" outlineLevel="0" collapsed="false">
      <c r="A331" s="107" t="str">
        <f aca="false">IF($E331="","",ROW()-3)</f>
        <v/>
      </c>
      <c r="B331" s="110" t="str">
        <f aca="false">IF($E331="","",INDEX(进销存对接!$C$4:$C$305,110))</f>
        <v/>
      </c>
      <c r="C331" s="67" t="str">
        <f aca="false">IF($E331="","","记-"&amp;TEXT($B331,"YYYYMM")&amp;"-进销存")</f>
        <v/>
      </c>
      <c r="D331" s="107" t="str">
        <f aca="false">IF($E331="","",INDEX(进销存对接!$D$4:$D$305,110)&amp;" "&amp;TEXT($B331,"YYYY年M月")&amp;" 自动结转")</f>
        <v/>
      </c>
      <c r="E331" s="67" t="str">
        <f aca="false">IF(INDEX(进销存对接!$M$4:$U$305,110,1)=0,"",INDEX(进销存对接!$M$4:$U$305,110,1))</f>
        <v/>
      </c>
      <c r="F331" s="99" t="str">
        <f aca="false">IF($E331="","",IFERROR(INDEX(科目表!$A$4:$A$81,MATCH($E331,科目表!$B$4:$B$81,0)),""))</f>
        <v/>
      </c>
      <c r="G331" s="67" t="str">
        <f aca="false">IF($E331="","",IFERROR(INDEX(科目表!$E$4:$E$81,MATCH($E331,科目表!$B$4:$B$81,0)),""))</f>
        <v/>
      </c>
      <c r="H331" s="70" t="str">
        <f aca="false">IF($E331="","",N(INDEX(进销存对接!$M$4:$U$305,110,2)))</f>
        <v/>
      </c>
      <c r="I331" s="70" t="str">
        <f aca="false">IF($E331="","",N(INDEX(进销存对接!$M$4:$U$305,110,3)))</f>
        <v/>
      </c>
      <c r="J331" s="67"/>
      <c r="K331" s="67" t="str">
        <f aca="false">IF($E331="","",INDEX(进销存对接!$D$4:$D$305,110))</f>
        <v/>
      </c>
      <c r="L331" s="107"/>
      <c r="M331" s="107"/>
      <c r="N331" s="67" t="str">
        <f aca="false">IF($E331="","","系统")</f>
        <v/>
      </c>
      <c r="O331" s="67" t="str">
        <f aca="false">IF($E331="","","自动A")</f>
        <v/>
      </c>
      <c r="P331" s="18"/>
    </row>
    <row r="332" customFormat="false" ht="18" hidden="false" customHeight="true" outlineLevel="0" collapsed="false">
      <c r="A332" s="107" t="str">
        <f aca="false">IF($E332="","",ROW()-3)</f>
        <v/>
      </c>
      <c r="B332" s="110" t="str">
        <f aca="false">IF($E332="","",INDEX(进销存对接!$C$4:$C$305,110))</f>
        <v/>
      </c>
      <c r="C332" s="67" t="str">
        <f aca="false">IF($E332="","","记-"&amp;TEXT($B332,"YYYYMM")&amp;"-进销存")</f>
        <v/>
      </c>
      <c r="D332" s="107" t="str">
        <f aca="false">IF($E332="","",INDEX(进销存对接!$D$4:$D$305,110)&amp;" "&amp;TEXT($B332,"YYYY年M月")&amp;" 自动结转")</f>
        <v/>
      </c>
      <c r="E332" s="67" t="str">
        <f aca="false">IF(INDEX(进销存对接!$M$4:$U$305,110,4)=0,"",INDEX(进销存对接!$M$4:$U$305,110,4))</f>
        <v/>
      </c>
      <c r="F332" s="99" t="str">
        <f aca="false">IF($E332="","",IFERROR(INDEX(科目表!$A$4:$A$81,MATCH($E332,科目表!$B$4:$B$81,0)),""))</f>
        <v/>
      </c>
      <c r="G332" s="67" t="str">
        <f aca="false">IF($E332="","",IFERROR(INDEX(科目表!$E$4:$E$81,MATCH($E332,科目表!$B$4:$B$81,0)),""))</f>
        <v/>
      </c>
      <c r="H332" s="70" t="str">
        <f aca="false">IF($E332="","",N(INDEX(进销存对接!$M$4:$U$305,110,5)))</f>
        <v/>
      </c>
      <c r="I332" s="70" t="str">
        <f aca="false">IF($E332="","",N(INDEX(进销存对接!$M$4:$U$305,110,6)))</f>
        <v/>
      </c>
      <c r="J332" s="67"/>
      <c r="K332" s="67" t="str">
        <f aca="false">IF($E332="","",INDEX(进销存对接!$D$4:$D$305,110))</f>
        <v/>
      </c>
      <c r="L332" s="107"/>
      <c r="M332" s="107"/>
      <c r="N332" s="67" t="str">
        <f aca="false">IF($E332="","","系统")</f>
        <v/>
      </c>
      <c r="O332" s="67" t="str">
        <f aca="false">IF($E332="","","自动A")</f>
        <v/>
      </c>
      <c r="P332" s="18"/>
    </row>
    <row r="333" customFormat="false" ht="18" hidden="false" customHeight="true" outlineLevel="0" collapsed="false">
      <c r="A333" s="107" t="str">
        <f aca="false">IF($E333="","",ROW()-3)</f>
        <v/>
      </c>
      <c r="B333" s="110" t="str">
        <f aca="false">IF($E333="","",INDEX(进销存对接!$C$4:$C$305,110))</f>
        <v/>
      </c>
      <c r="C333" s="67" t="str">
        <f aca="false">IF($E333="","","记-"&amp;TEXT($B333,"YYYYMM")&amp;"-进销存")</f>
        <v/>
      </c>
      <c r="D333" s="107" t="str">
        <f aca="false">IF($E333="","",INDEX(进销存对接!$D$4:$D$305,110)&amp;" "&amp;TEXT($B333,"YYYY年M月")&amp;" 自动结转")</f>
        <v/>
      </c>
      <c r="E333" s="67" t="str">
        <f aca="false">IF(INDEX(进销存对接!$M$4:$U$305,110,7)=0,"",INDEX(进销存对接!$M$4:$U$305,110,7))</f>
        <v/>
      </c>
      <c r="F333" s="99" t="str">
        <f aca="false">IF($E333="","",IFERROR(INDEX(科目表!$A$4:$A$81,MATCH($E333,科目表!$B$4:$B$81,0)),""))</f>
        <v/>
      </c>
      <c r="G333" s="67" t="str">
        <f aca="false">IF($E333="","",IFERROR(INDEX(科目表!$E$4:$E$81,MATCH($E333,科目表!$B$4:$B$81,0)),""))</f>
        <v/>
      </c>
      <c r="H333" s="70" t="str">
        <f aca="false">IF($E333="","",N(INDEX(进销存对接!$M$4:$U$305,110,8)))</f>
        <v/>
      </c>
      <c r="I333" s="70" t="str">
        <f aca="false">IF($E333="","",N(INDEX(进销存对接!$M$4:$U$305,110,9)))</f>
        <v/>
      </c>
      <c r="J333" s="67"/>
      <c r="K333" s="67" t="str">
        <f aca="false">IF($E333="","",INDEX(进销存对接!$D$4:$D$305,110))</f>
        <v/>
      </c>
      <c r="L333" s="107"/>
      <c r="M333" s="107"/>
      <c r="N333" s="67" t="str">
        <f aca="false">IF($E333="","","系统")</f>
        <v/>
      </c>
      <c r="O333" s="67" t="str">
        <f aca="false">IF($E333="","","自动A")</f>
        <v/>
      </c>
      <c r="P333" s="18"/>
    </row>
    <row r="334" customFormat="false" ht="18" hidden="false" customHeight="true" outlineLevel="0" collapsed="false">
      <c r="A334" s="107" t="str">
        <f aca="false">IF($E334="","",ROW()-3)</f>
        <v/>
      </c>
      <c r="B334" s="110" t="str">
        <f aca="false">IF($E334="","",INDEX(进销存对接!$C$4:$C$305,111))</f>
        <v/>
      </c>
      <c r="C334" s="67" t="str">
        <f aca="false">IF($E334="","","记-"&amp;TEXT($B334,"YYYYMM")&amp;"-进销存")</f>
        <v/>
      </c>
      <c r="D334" s="107" t="str">
        <f aca="false">IF($E334="","",INDEX(进销存对接!$D$4:$D$305,111)&amp;" "&amp;TEXT($B334,"YYYY年M月")&amp;" 自动结转")</f>
        <v/>
      </c>
      <c r="E334" s="67" t="str">
        <f aca="false">IF(INDEX(进销存对接!$M$4:$U$305,111,1)=0,"",INDEX(进销存对接!$M$4:$U$305,111,1))</f>
        <v/>
      </c>
      <c r="F334" s="99" t="str">
        <f aca="false">IF($E334="","",IFERROR(INDEX(科目表!$A$4:$A$81,MATCH($E334,科目表!$B$4:$B$81,0)),""))</f>
        <v/>
      </c>
      <c r="G334" s="67" t="str">
        <f aca="false">IF($E334="","",IFERROR(INDEX(科目表!$E$4:$E$81,MATCH($E334,科目表!$B$4:$B$81,0)),""))</f>
        <v/>
      </c>
      <c r="H334" s="70" t="str">
        <f aca="false">IF($E334="","",N(INDEX(进销存对接!$M$4:$U$305,111,2)))</f>
        <v/>
      </c>
      <c r="I334" s="70" t="str">
        <f aca="false">IF($E334="","",N(INDEX(进销存对接!$M$4:$U$305,111,3)))</f>
        <v/>
      </c>
      <c r="J334" s="67"/>
      <c r="K334" s="67" t="str">
        <f aca="false">IF($E334="","",INDEX(进销存对接!$D$4:$D$305,111))</f>
        <v/>
      </c>
      <c r="L334" s="107"/>
      <c r="M334" s="107"/>
      <c r="N334" s="67" t="str">
        <f aca="false">IF($E334="","","系统")</f>
        <v/>
      </c>
      <c r="O334" s="67" t="str">
        <f aca="false">IF($E334="","","自动A")</f>
        <v/>
      </c>
      <c r="P334" s="18"/>
    </row>
    <row r="335" customFormat="false" ht="18" hidden="false" customHeight="true" outlineLevel="0" collapsed="false">
      <c r="A335" s="107" t="str">
        <f aca="false">IF($E335="","",ROW()-3)</f>
        <v/>
      </c>
      <c r="B335" s="110" t="str">
        <f aca="false">IF($E335="","",INDEX(进销存对接!$C$4:$C$305,111))</f>
        <v/>
      </c>
      <c r="C335" s="67" t="str">
        <f aca="false">IF($E335="","","记-"&amp;TEXT($B335,"YYYYMM")&amp;"-进销存")</f>
        <v/>
      </c>
      <c r="D335" s="107" t="str">
        <f aca="false">IF($E335="","",INDEX(进销存对接!$D$4:$D$305,111)&amp;" "&amp;TEXT($B335,"YYYY年M月")&amp;" 自动结转")</f>
        <v/>
      </c>
      <c r="E335" s="67" t="str">
        <f aca="false">IF(INDEX(进销存对接!$M$4:$U$305,111,4)=0,"",INDEX(进销存对接!$M$4:$U$305,111,4))</f>
        <v/>
      </c>
      <c r="F335" s="99" t="str">
        <f aca="false">IF($E335="","",IFERROR(INDEX(科目表!$A$4:$A$81,MATCH($E335,科目表!$B$4:$B$81,0)),""))</f>
        <v/>
      </c>
      <c r="G335" s="67" t="str">
        <f aca="false">IF($E335="","",IFERROR(INDEX(科目表!$E$4:$E$81,MATCH($E335,科目表!$B$4:$B$81,0)),""))</f>
        <v/>
      </c>
      <c r="H335" s="70" t="str">
        <f aca="false">IF($E335="","",N(INDEX(进销存对接!$M$4:$U$305,111,5)))</f>
        <v/>
      </c>
      <c r="I335" s="70" t="str">
        <f aca="false">IF($E335="","",N(INDEX(进销存对接!$M$4:$U$305,111,6)))</f>
        <v/>
      </c>
      <c r="J335" s="67"/>
      <c r="K335" s="67" t="str">
        <f aca="false">IF($E335="","",INDEX(进销存对接!$D$4:$D$305,111))</f>
        <v/>
      </c>
      <c r="L335" s="107"/>
      <c r="M335" s="107"/>
      <c r="N335" s="67" t="str">
        <f aca="false">IF($E335="","","系统")</f>
        <v/>
      </c>
      <c r="O335" s="67" t="str">
        <f aca="false">IF($E335="","","自动A")</f>
        <v/>
      </c>
      <c r="P335" s="18"/>
    </row>
    <row r="336" customFormat="false" ht="18" hidden="false" customHeight="true" outlineLevel="0" collapsed="false">
      <c r="A336" s="107" t="str">
        <f aca="false">IF($E336="","",ROW()-3)</f>
        <v/>
      </c>
      <c r="B336" s="110" t="str">
        <f aca="false">IF($E336="","",INDEX(进销存对接!$C$4:$C$305,111))</f>
        <v/>
      </c>
      <c r="C336" s="67" t="str">
        <f aca="false">IF($E336="","","记-"&amp;TEXT($B336,"YYYYMM")&amp;"-进销存")</f>
        <v/>
      </c>
      <c r="D336" s="107" t="str">
        <f aca="false">IF($E336="","",INDEX(进销存对接!$D$4:$D$305,111)&amp;" "&amp;TEXT($B336,"YYYY年M月")&amp;" 自动结转")</f>
        <v/>
      </c>
      <c r="E336" s="67" t="str">
        <f aca="false">IF(INDEX(进销存对接!$M$4:$U$305,111,7)=0,"",INDEX(进销存对接!$M$4:$U$305,111,7))</f>
        <v/>
      </c>
      <c r="F336" s="99" t="str">
        <f aca="false">IF($E336="","",IFERROR(INDEX(科目表!$A$4:$A$81,MATCH($E336,科目表!$B$4:$B$81,0)),""))</f>
        <v/>
      </c>
      <c r="G336" s="67" t="str">
        <f aca="false">IF($E336="","",IFERROR(INDEX(科目表!$E$4:$E$81,MATCH($E336,科目表!$B$4:$B$81,0)),""))</f>
        <v/>
      </c>
      <c r="H336" s="70" t="str">
        <f aca="false">IF($E336="","",N(INDEX(进销存对接!$M$4:$U$305,111,8)))</f>
        <v/>
      </c>
      <c r="I336" s="70" t="str">
        <f aca="false">IF($E336="","",N(INDEX(进销存对接!$M$4:$U$305,111,9)))</f>
        <v/>
      </c>
      <c r="J336" s="67"/>
      <c r="K336" s="67" t="str">
        <f aca="false">IF($E336="","",INDEX(进销存对接!$D$4:$D$305,111))</f>
        <v/>
      </c>
      <c r="L336" s="107"/>
      <c r="M336" s="107"/>
      <c r="N336" s="67" t="str">
        <f aca="false">IF($E336="","","系统")</f>
        <v/>
      </c>
      <c r="O336" s="67" t="str">
        <f aca="false">IF($E336="","","自动A")</f>
        <v/>
      </c>
      <c r="P336" s="18"/>
    </row>
    <row r="337" customFormat="false" ht="18" hidden="false" customHeight="true" outlineLevel="0" collapsed="false">
      <c r="A337" s="107" t="str">
        <f aca="false">IF($E337="","",ROW()-3)</f>
        <v/>
      </c>
      <c r="B337" s="110" t="str">
        <f aca="false">IF($E337="","",INDEX(进销存对接!$C$4:$C$305,112))</f>
        <v/>
      </c>
      <c r="C337" s="67" t="str">
        <f aca="false">IF($E337="","","记-"&amp;TEXT($B337,"YYYYMM")&amp;"-进销存")</f>
        <v/>
      </c>
      <c r="D337" s="107" t="str">
        <f aca="false">IF($E337="","",INDEX(进销存对接!$D$4:$D$305,112)&amp;" "&amp;TEXT($B337,"YYYY年M月")&amp;" 自动结转")</f>
        <v/>
      </c>
      <c r="E337" s="67" t="str">
        <f aca="false">IF(INDEX(进销存对接!$M$4:$U$305,112,1)=0,"",INDEX(进销存对接!$M$4:$U$305,112,1))</f>
        <v/>
      </c>
      <c r="F337" s="99" t="str">
        <f aca="false">IF($E337="","",IFERROR(INDEX(科目表!$A$4:$A$81,MATCH($E337,科目表!$B$4:$B$81,0)),""))</f>
        <v/>
      </c>
      <c r="G337" s="67" t="str">
        <f aca="false">IF($E337="","",IFERROR(INDEX(科目表!$E$4:$E$81,MATCH($E337,科目表!$B$4:$B$81,0)),""))</f>
        <v/>
      </c>
      <c r="H337" s="70" t="str">
        <f aca="false">IF($E337="","",N(INDEX(进销存对接!$M$4:$U$305,112,2)))</f>
        <v/>
      </c>
      <c r="I337" s="70" t="str">
        <f aca="false">IF($E337="","",N(INDEX(进销存对接!$M$4:$U$305,112,3)))</f>
        <v/>
      </c>
      <c r="J337" s="67"/>
      <c r="K337" s="67" t="str">
        <f aca="false">IF($E337="","",INDEX(进销存对接!$D$4:$D$305,112))</f>
        <v/>
      </c>
      <c r="L337" s="107"/>
      <c r="M337" s="107"/>
      <c r="N337" s="67" t="str">
        <f aca="false">IF($E337="","","系统")</f>
        <v/>
      </c>
      <c r="O337" s="67" t="str">
        <f aca="false">IF($E337="","","自动A")</f>
        <v/>
      </c>
      <c r="P337" s="18"/>
    </row>
    <row r="338" customFormat="false" ht="18" hidden="false" customHeight="true" outlineLevel="0" collapsed="false">
      <c r="A338" s="107" t="str">
        <f aca="false">IF($E338="","",ROW()-3)</f>
        <v/>
      </c>
      <c r="B338" s="110" t="str">
        <f aca="false">IF($E338="","",INDEX(进销存对接!$C$4:$C$305,112))</f>
        <v/>
      </c>
      <c r="C338" s="67" t="str">
        <f aca="false">IF($E338="","","记-"&amp;TEXT($B338,"YYYYMM")&amp;"-进销存")</f>
        <v/>
      </c>
      <c r="D338" s="107" t="str">
        <f aca="false">IF($E338="","",INDEX(进销存对接!$D$4:$D$305,112)&amp;" "&amp;TEXT($B338,"YYYY年M月")&amp;" 自动结转")</f>
        <v/>
      </c>
      <c r="E338" s="67" t="str">
        <f aca="false">IF(INDEX(进销存对接!$M$4:$U$305,112,4)=0,"",INDEX(进销存对接!$M$4:$U$305,112,4))</f>
        <v/>
      </c>
      <c r="F338" s="99" t="str">
        <f aca="false">IF($E338="","",IFERROR(INDEX(科目表!$A$4:$A$81,MATCH($E338,科目表!$B$4:$B$81,0)),""))</f>
        <v/>
      </c>
      <c r="G338" s="67" t="str">
        <f aca="false">IF($E338="","",IFERROR(INDEX(科目表!$E$4:$E$81,MATCH($E338,科目表!$B$4:$B$81,0)),""))</f>
        <v/>
      </c>
      <c r="H338" s="70" t="str">
        <f aca="false">IF($E338="","",N(INDEX(进销存对接!$M$4:$U$305,112,5)))</f>
        <v/>
      </c>
      <c r="I338" s="70" t="str">
        <f aca="false">IF($E338="","",N(INDEX(进销存对接!$M$4:$U$305,112,6)))</f>
        <v/>
      </c>
      <c r="J338" s="67"/>
      <c r="K338" s="67" t="str">
        <f aca="false">IF($E338="","",INDEX(进销存对接!$D$4:$D$305,112))</f>
        <v/>
      </c>
      <c r="L338" s="107"/>
      <c r="M338" s="107"/>
      <c r="N338" s="67" t="str">
        <f aca="false">IF($E338="","","系统")</f>
        <v/>
      </c>
      <c r="O338" s="67" t="str">
        <f aca="false">IF($E338="","","自动A")</f>
        <v/>
      </c>
      <c r="P338" s="18"/>
    </row>
    <row r="339" customFormat="false" ht="18" hidden="false" customHeight="true" outlineLevel="0" collapsed="false">
      <c r="A339" s="107" t="str">
        <f aca="false">IF($E339="","",ROW()-3)</f>
        <v/>
      </c>
      <c r="B339" s="110" t="str">
        <f aca="false">IF($E339="","",INDEX(进销存对接!$C$4:$C$305,112))</f>
        <v/>
      </c>
      <c r="C339" s="67" t="str">
        <f aca="false">IF($E339="","","记-"&amp;TEXT($B339,"YYYYMM")&amp;"-进销存")</f>
        <v/>
      </c>
      <c r="D339" s="107" t="str">
        <f aca="false">IF($E339="","",INDEX(进销存对接!$D$4:$D$305,112)&amp;" "&amp;TEXT($B339,"YYYY年M月")&amp;" 自动结转")</f>
        <v/>
      </c>
      <c r="E339" s="67" t="str">
        <f aca="false">IF(INDEX(进销存对接!$M$4:$U$305,112,7)=0,"",INDEX(进销存对接!$M$4:$U$305,112,7))</f>
        <v/>
      </c>
      <c r="F339" s="99" t="str">
        <f aca="false">IF($E339="","",IFERROR(INDEX(科目表!$A$4:$A$81,MATCH($E339,科目表!$B$4:$B$81,0)),""))</f>
        <v/>
      </c>
      <c r="G339" s="67" t="str">
        <f aca="false">IF($E339="","",IFERROR(INDEX(科目表!$E$4:$E$81,MATCH($E339,科目表!$B$4:$B$81,0)),""))</f>
        <v/>
      </c>
      <c r="H339" s="70" t="str">
        <f aca="false">IF($E339="","",N(INDEX(进销存对接!$M$4:$U$305,112,8)))</f>
        <v/>
      </c>
      <c r="I339" s="70" t="str">
        <f aca="false">IF($E339="","",N(INDEX(进销存对接!$M$4:$U$305,112,9)))</f>
        <v/>
      </c>
      <c r="J339" s="67"/>
      <c r="K339" s="67" t="str">
        <f aca="false">IF($E339="","",INDEX(进销存对接!$D$4:$D$305,112))</f>
        <v/>
      </c>
      <c r="L339" s="107"/>
      <c r="M339" s="107"/>
      <c r="N339" s="67" t="str">
        <f aca="false">IF($E339="","","系统")</f>
        <v/>
      </c>
      <c r="O339" s="67" t="str">
        <f aca="false">IF($E339="","","自动A")</f>
        <v/>
      </c>
      <c r="P339" s="18"/>
    </row>
    <row r="340" customFormat="false" ht="18" hidden="false" customHeight="true" outlineLevel="0" collapsed="false">
      <c r="A340" s="107" t="str">
        <f aca="false">IF($E340="","",ROW()-3)</f>
        <v/>
      </c>
      <c r="B340" s="110" t="str">
        <f aca="false">IF($E340="","",INDEX(进销存对接!$C$4:$C$305,113))</f>
        <v/>
      </c>
      <c r="C340" s="67" t="str">
        <f aca="false">IF($E340="","","记-"&amp;TEXT($B340,"YYYYMM")&amp;"-进销存")</f>
        <v/>
      </c>
      <c r="D340" s="107" t="str">
        <f aca="false">IF($E340="","",INDEX(进销存对接!$D$4:$D$305,113)&amp;" "&amp;TEXT($B340,"YYYY年M月")&amp;" 自动结转")</f>
        <v/>
      </c>
      <c r="E340" s="67" t="str">
        <f aca="false">IF(INDEX(进销存对接!$M$4:$U$305,113,1)=0,"",INDEX(进销存对接!$M$4:$U$305,113,1))</f>
        <v/>
      </c>
      <c r="F340" s="99" t="str">
        <f aca="false">IF($E340="","",IFERROR(INDEX(科目表!$A$4:$A$81,MATCH($E340,科目表!$B$4:$B$81,0)),""))</f>
        <v/>
      </c>
      <c r="G340" s="67" t="str">
        <f aca="false">IF($E340="","",IFERROR(INDEX(科目表!$E$4:$E$81,MATCH($E340,科目表!$B$4:$B$81,0)),""))</f>
        <v/>
      </c>
      <c r="H340" s="70" t="str">
        <f aca="false">IF($E340="","",N(INDEX(进销存对接!$M$4:$U$305,113,2)))</f>
        <v/>
      </c>
      <c r="I340" s="70" t="str">
        <f aca="false">IF($E340="","",N(INDEX(进销存对接!$M$4:$U$305,113,3)))</f>
        <v/>
      </c>
      <c r="J340" s="67"/>
      <c r="K340" s="67" t="str">
        <f aca="false">IF($E340="","",INDEX(进销存对接!$D$4:$D$305,113))</f>
        <v/>
      </c>
      <c r="L340" s="107"/>
      <c r="M340" s="107"/>
      <c r="N340" s="67" t="str">
        <f aca="false">IF($E340="","","系统")</f>
        <v/>
      </c>
      <c r="O340" s="67" t="str">
        <f aca="false">IF($E340="","","自动A")</f>
        <v/>
      </c>
      <c r="P340" s="18"/>
    </row>
    <row r="341" customFormat="false" ht="18" hidden="false" customHeight="true" outlineLevel="0" collapsed="false">
      <c r="A341" s="107" t="str">
        <f aca="false">IF($E341="","",ROW()-3)</f>
        <v/>
      </c>
      <c r="B341" s="110" t="str">
        <f aca="false">IF($E341="","",INDEX(进销存对接!$C$4:$C$305,113))</f>
        <v/>
      </c>
      <c r="C341" s="67" t="str">
        <f aca="false">IF($E341="","","记-"&amp;TEXT($B341,"YYYYMM")&amp;"-进销存")</f>
        <v/>
      </c>
      <c r="D341" s="107" t="str">
        <f aca="false">IF($E341="","",INDEX(进销存对接!$D$4:$D$305,113)&amp;" "&amp;TEXT($B341,"YYYY年M月")&amp;" 自动结转")</f>
        <v/>
      </c>
      <c r="E341" s="67" t="str">
        <f aca="false">IF(INDEX(进销存对接!$M$4:$U$305,113,4)=0,"",INDEX(进销存对接!$M$4:$U$305,113,4))</f>
        <v/>
      </c>
      <c r="F341" s="99" t="str">
        <f aca="false">IF($E341="","",IFERROR(INDEX(科目表!$A$4:$A$81,MATCH($E341,科目表!$B$4:$B$81,0)),""))</f>
        <v/>
      </c>
      <c r="G341" s="67" t="str">
        <f aca="false">IF($E341="","",IFERROR(INDEX(科目表!$E$4:$E$81,MATCH($E341,科目表!$B$4:$B$81,0)),""))</f>
        <v/>
      </c>
      <c r="H341" s="70" t="str">
        <f aca="false">IF($E341="","",N(INDEX(进销存对接!$M$4:$U$305,113,5)))</f>
        <v/>
      </c>
      <c r="I341" s="70" t="str">
        <f aca="false">IF($E341="","",N(INDEX(进销存对接!$M$4:$U$305,113,6)))</f>
        <v/>
      </c>
      <c r="J341" s="67"/>
      <c r="K341" s="67" t="str">
        <f aca="false">IF($E341="","",INDEX(进销存对接!$D$4:$D$305,113))</f>
        <v/>
      </c>
      <c r="L341" s="107"/>
      <c r="M341" s="107"/>
      <c r="N341" s="67" t="str">
        <f aca="false">IF($E341="","","系统")</f>
        <v/>
      </c>
      <c r="O341" s="67" t="str">
        <f aca="false">IF($E341="","","自动A")</f>
        <v/>
      </c>
      <c r="P341" s="18"/>
    </row>
    <row r="342" customFormat="false" ht="18" hidden="false" customHeight="true" outlineLevel="0" collapsed="false">
      <c r="A342" s="107" t="str">
        <f aca="false">IF($E342="","",ROW()-3)</f>
        <v/>
      </c>
      <c r="B342" s="110" t="str">
        <f aca="false">IF($E342="","",INDEX(进销存对接!$C$4:$C$305,113))</f>
        <v/>
      </c>
      <c r="C342" s="67" t="str">
        <f aca="false">IF($E342="","","记-"&amp;TEXT($B342,"YYYYMM")&amp;"-进销存")</f>
        <v/>
      </c>
      <c r="D342" s="107" t="str">
        <f aca="false">IF($E342="","",INDEX(进销存对接!$D$4:$D$305,113)&amp;" "&amp;TEXT($B342,"YYYY年M月")&amp;" 自动结转")</f>
        <v/>
      </c>
      <c r="E342" s="67" t="str">
        <f aca="false">IF(INDEX(进销存对接!$M$4:$U$305,113,7)=0,"",INDEX(进销存对接!$M$4:$U$305,113,7))</f>
        <v/>
      </c>
      <c r="F342" s="99" t="str">
        <f aca="false">IF($E342="","",IFERROR(INDEX(科目表!$A$4:$A$81,MATCH($E342,科目表!$B$4:$B$81,0)),""))</f>
        <v/>
      </c>
      <c r="G342" s="67" t="str">
        <f aca="false">IF($E342="","",IFERROR(INDEX(科目表!$E$4:$E$81,MATCH($E342,科目表!$B$4:$B$81,0)),""))</f>
        <v/>
      </c>
      <c r="H342" s="70" t="str">
        <f aca="false">IF($E342="","",N(INDEX(进销存对接!$M$4:$U$305,113,8)))</f>
        <v/>
      </c>
      <c r="I342" s="70" t="str">
        <f aca="false">IF($E342="","",N(INDEX(进销存对接!$M$4:$U$305,113,9)))</f>
        <v/>
      </c>
      <c r="J342" s="67"/>
      <c r="K342" s="67" t="str">
        <f aca="false">IF($E342="","",INDEX(进销存对接!$D$4:$D$305,113))</f>
        <v/>
      </c>
      <c r="L342" s="107"/>
      <c r="M342" s="107"/>
      <c r="N342" s="67" t="str">
        <f aca="false">IF($E342="","","系统")</f>
        <v/>
      </c>
      <c r="O342" s="67" t="str">
        <f aca="false">IF($E342="","","自动A")</f>
        <v/>
      </c>
      <c r="P342" s="18"/>
    </row>
    <row r="343" customFormat="false" ht="18" hidden="false" customHeight="true" outlineLevel="0" collapsed="false">
      <c r="A343" s="107" t="str">
        <f aca="false">IF($E343="","",ROW()-3)</f>
        <v/>
      </c>
      <c r="B343" s="110" t="str">
        <f aca="false">IF($E343="","",INDEX(进销存对接!$C$4:$C$305,114))</f>
        <v/>
      </c>
      <c r="C343" s="67" t="str">
        <f aca="false">IF($E343="","","记-"&amp;TEXT($B343,"YYYYMM")&amp;"-进销存")</f>
        <v/>
      </c>
      <c r="D343" s="107" t="str">
        <f aca="false">IF($E343="","",INDEX(进销存对接!$D$4:$D$305,114)&amp;" "&amp;TEXT($B343,"YYYY年M月")&amp;" 自动结转")</f>
        <v/>
      </c>
      <c r="E343" s="67" t="str">
        <f aca="false">IF(INDEX(进销存对接!$M$4:$U$305,114,1)=0,"",INDEX(进销存对接!$M$4:$U$305,114,1))</f>
        <v/>
      </c>
      <c r="F343" s="99" t="str">
        <f aca="false">IF($E343="","",IFERROR(INDEX(科目表!$A$4:$A$81,MATCH($E343,科目表!$B$4:$B$81,0)),""))</f>
        <v/>
      </c>
      <c r="G343" s="67" t="str">
        <f aca="false">IF($E343="","",IFERROR(INDEX(科目表!$E$4:$E$81,MATCH($E343,科目表!$B$4:$B$81,0)),""))</f>
        <v/>
      </c>
      <c r="H343" s="70" t="str">
        <f aca="false">IF($E343="","",N(INDEX(进销存对接!$M$4:$U$305,114,2)))</f>
        <v/>
      </c>
      <c r="I343" s="70" t="str">
        <f aca="false">IF($E343="","",N(INDEX(进销存对接!$M$4:$U$305,114,3)))</f>
        <v/>
      </c>
      <c r="J343" s="67"/>
      <c r="K343" s="67" t="str">
        <f aca="false">IF($E343="","",INDEX(进销存对接!$D$4:$D$305,114))</f>
        <v/>
      </c>
      <c r="L343" s="107"/>
      <c r="M343" s="107"/>
      <c r="N343" s="67" t="str">
        <f aca="false">IF($E343="","","系统")</f>
        <v/>
      </c>
      <c r="O343" s="67" t="str">
        <f aca="false">IF($E343="","","自动A")</f>
        <v/>
      </c>
      <c r="P343" s="18"/>
    </row>
    <row r="344" customFormat="false" ht="18" hidden="false" customHeight="true" outlineLevel="0" collapsed="false">
      <c r="A344" s="107" t="str">
        <f aca="false">IF($E344="","",ROW()-3)</f>
        <v/>
      </c>
      <c r="B344" s="110" t="str">
        <f aca="false">IF($E344="","",INDEX(进销存对接!$C$4:$C$305,114))</f>
        <v/>
      </c>
      <c r="C344" s="67" t="str">
        <f aca="false">IF($E344="","","记-"&amp;TEXT($B344,"YYYYMM")&amp;"-进销存")</f>
        <v/>
      </c>
      <c r="D344" s="107" t="str">
        <f aca="false">IF($E344="","",INDEX(进销存对接!$D$4:$D$305,114)&amp;" "&amp;TEXT($B344,"YYYY年M月")&amp;" 自动结转")</f>
        <v/>
      </c>
      <c r="E344" s="67" t="str">
        <f aca="false">IF(INDEX(进销存对接!$M$4:$U$305,114,4)=0,"",INDEX(进销存对接!$M$4:$U$305,114,4))</f>
        <v/>
      </c>
      <c r="F344" s="99" t="str">
        <f aca="false">IF($E344="","",IFERROR(INDEX(科目表!$A$4:$A$81,MATCH($E344,科目表!$B$4:$B$81,0)),""))</f>
        <v/>
      </c>
      <c r="G344" s="67" t="str">
        <f aca="false">IF($E344="","",IFERROR(INDEX(科目表!$E$4:$E$81,MATCH($E344,科目表!$B$4:$B$81,0)),""))</f>
        <v/>
      </c>
      <c r="H344" s="70" t="str">
        <f aca="false">IF($E344="","",N(INDEX(进销存对接!$M$4:$U$305,114,5)))</f>
        <v/>
      </c>
      <c r="I344" s="70" t="str">
        <f aca="false">IF($E344="","",N(INDEX(进销存对接!$M$4:$U$305,114,6)))</f>
        <v/>
      </c>
      <c r="J344" s="67"/>
      <c r="K344" s="67" t="str">
        <f aca="false">IF($E344="","",INDEX(进销存对接!$D$4:$D$305,114))</f>
        <v/>
      </c>
      <c r="L344" s="107"/>
      <c r="M344" s="107"/>
      <c r="N344" s="67" t="str">
        <f aca="false">IF($E344="","","系统")</f>
        <v/>
      </c>
      <c r="O344" s="67" t="str">
        <f aca="false">IF($E344="","","自动A")</f>
        <v/>
      </c>
      <c r="P344" s="18"/>
    </row>
    <row r="345" customFormat="false" ht="18" hidden="false" customHeight="true" outlineLevel="0" collapsed="false">
      <c r="A345" s="107" t="str">
        <f aca="false">IF($E345="","",ROW()-3)</f>
        <v/>
      </c>
      <c r="B345" s="110" t="str">
        <f aca="false">IF($E345="","",INDEX(进销存对接!$C$4:$C$305,114))</f>
        <v/>
      </c>
      <c r="C345" s="67" t="str">
        <f aca="false">IF($E345="","","记-"&amp;TEXT($B345,"YYYYMM")&amp;"-进销存")</f>
        <v/>
      </c>
      <c r="D345" s="107" t="str">
        <f aca="false">IF($E345="","",INDEX(进销存对接!$D$4:$D$305,114)&amp;" "&amp;TEXT($B345,"YYYY年M月")&amp;" 自动结转")</f>
        <v/>
      </c>
      <c r="E345" s="67" t="str">
        <f aca="false">IF(INDEX(进销存对接!$M$4:$U$305,114,7)=0,"",INDEX(进销存对接!$M$4:$U$305,114,7))</f>
        <v/>
      </c>
      <c r="F345" s="99" t="str">
        <f aca="false">IF($E345="","",IFERROR(INDEX(科目表!$A$4:$A$81,MATCH($E345,科目表!$B$4:$B$81,0)),""))</f>
        <v/>
      </c>
      <c r="G345" s="67" t="str">
        <f aca="false">IF($E345="","",IFERROR(INDEX(科目表!$E$4:$E$81,MATCH($E345,科目表!$B$4:$B$81,0)),""))</f>
        <v/>
      </c>
      <c r="H345" s="70" t="str">
        <f aca="false">IF($E345="","",N(INDEX(进销存对接!$M$4:$U$305,114,8)))</f>
        <v/>
      </c>
      <c r="I345" s="70" t="str">
        <f aca="false">IF($E345="","",N(INDEX(进销存对接!$M$4:$U$305,114,9)))</f>
        <v/>
      </c>
      <c r="J345" s="67"/>
      <c r="K345" s="67" t="str">
        <f aca="false">IF($E345="","",INDEX(进销存对接!$D$4:$D$305,114))</f>
        <v/>
      </c>
      <c r="L345" s="107"/>
      <c r="M345" s="107"/>
      <c r="N345" s="67" t="str">
        <f aca="false">IF($E345="","","系统")</f>
        <v/>
      </c>
      <c r="O345" s="67" t="str">
        <f aca="false">IF($E345="","","自动A")</f>
        <v/>
      </c>
      <c r="P345" s="18"/>
    </row>
    <row r="346" customFormat="false" ht="18" hidden="false" customHeight="true" outlineLevel="0" collapsed="false">
      <c r="A346" s="107" t="str">
        <f aca="false">IF($E346="","",ROW()-3)</f>
        <v/>
      </c>
      <c r="B346" s="110" t="str">
        <f aca="false">IF($E346="","",INDEX(进销存对接!$C$4:$C$305,115))</f>
        <v/>
      </c>
      <c r="C346" s="67" t="str">
        <f aca="false">IF($E346="","","记-"&amp;TEXT($B346,"YYYYMM")&amp;"-进销存")</f>
        <v/>
      </c>
      <c r="D346" s="107" t="str">
        <f aca="false">IF($E346="","",INDEX(进销存对接!$D$4:$D$305,115)&amp;" "&amp;TEXT($B346,"YYYY年M月")&amp;" 自动结转")</f>
        <v/>
      </c>
      <c r="E346" s="67" t="str">
        <f aca="false">IF(INDEX(进销存对接!$M$4:$U$305,115,1)=0,"",INDEX(进销存对接!$M$4:$U$305,115,1))</f>
        <v/>
      </c>
      <c r="F346" s="99" t="str">
        <f aca="false">IF($E346="","",IFERROR(INDEX(科目表!$A$4:$A$81,MATCH($E346,科目表!$B$4:$B$81,0)),""))</f>
        <v/>
      </c>
      <c r="G346" s="67" t="str">
        <f aca="false">IF($E346="","",IFERROR(INDEX(科目表!$E$4:$E$81,MATCH($E346,科目表!$B$4:$B$81,0)),""))</f>
        <v/>
      </c>
      <c r="H346" s="70" t="str">
        <f aca="false">IF($E346="","",N(INDEX(进销存对接!$M$4:$U$305,115,2)))</f>
        <v/>
      </c>
      <c r="I346" s="70" t="str">
        <f aca="false">IF($E346="","",N(INDEX(进销存对接!$M$4:$U$305,115,3)))</f>
        <v/>
      </c>
      <c r="J346" s="67"/>
      <c r="K346" s="67" t="str">
        <f aca="false">IF($E346="","",INDEX(进销存对接!$D$4:$D$305,115))</f>
        <v/>
      </c>
      <c r="L346" s="107"/>
      <c r="M346" s="107"/>
      <c r="N346" s="67" t="str">
        <f aca="false">IF($E346="","","系统")</f>
        <v/>
      </c>
      <c r="O346" s="67" t="str">
        <f aca="false">IF($E346="","","自动A")</f>
        <v/>
      </c>
      <c r="P346" s="18"/>
    </row>
    <row r="347" customFormat="false" ht="18" hidden="false" customHeight="true" outlineLevel="0" collapsed="false">
      <c r="A347" s="107" t="str">
        <f aca="false">IF($E347="","",ROW()-3)</f>
        <v/>
      </c>
      <c r="B347" s="110" t="str">
        <f aca="false">IF($E347="","",INDEX(进销存对接!$C$4:$C$305,115))</f>
        <v/>
      </c>
      <c r="C347" s="67" t="str">
        <f aca="false">IF($E347="","","记-"&amp;TEXT($B347,"YYYYMM")&amp;"-进销存")</f>
        <v/>
      </c>
      <c r="D347" s="107" t="str">
        <f aca="false">IF($E347="","",INDEX(进销存对接!$D$4:$D$305,115)&amp;" "&amp;TEXT($B347,"YYYY年M月")&amp;" 自动结转")</f>
        <v/>
      </c>
      <c r="E347" s="67" t="str">
        <f aca="false">IF(INDEX(进销存对接!$M$4:$U$305,115,4)=0,"",INDEX(进销存对接!$M$4:$U$305,115,4))</f>
        <v/>
      </c>
      <c r="F347" s="99" t="str">
        <f aca="false">IF($E347="","",IFERROR(INDEX(科目表!$A$4:$A$81,MATCH($E347,科目表!$B$4:$B$81,0)),""))</f>
        <v/>
      </c>
      <c r="G347" s="67" t="str">
        <f aca="false">IF($E347="","",IFERROR(INDEX(科目表!$E$4:$E$81,MATCH($E347,科目表!$B$4:$B$81,0)),""))</f>
        <v/>
      </c>
      <c r="H347" s="70" t="str">
        <f aca="false">IF($E347="","",N(INDEX(进销存对接!$M$4:$U$305,115,5)))</f>
        <v/>
      </c>
      <c r="I347" s="70" t="str">
        <f aca="false">IF($E347="","",N(INDEX(进销存对接!$M$4:$U$305,115,6)))</f>
        <v/>
      </c>
      <c r="J347" s="67"/>
      <c r="K347" s="67" t="str">
        <f aca="false">IF($E347="","",INDEX(进销存对接!$D$4:$D$305,115))</f>
        <v/>
      </c>
      <c r="L347" s="107"/>
      <c r="M347" s="107"/>
      <c r="N347" s="67" t="str">
        <f aca="false">IF($E347="","","系统")</f>
        <v/>
      </c>
      <c r="O347" s="67" t="str">
        <f aca="false">IF($E347="","","自动A")</f>
        <v/>
      </c>
      <c r="P347" s="18"/>
    </row>
    <row r="348" customFormat="false" ht="18" hidden="false" customHeight="true" outlineLevel="0" collapsed="false">
      <c r="A348" s="107" t="str">
        <f aca="false">IF($E348="","",ROW()-3)</f>
        <v/>
      </c>
      <c r="B348" s="110" t="str">
        <f aca="false">IF($E348="","",INDEX(进销存对接!$C$4:$C$305,115))</f>
        <v/>
      </c>
      <c r="C348" s="67" t="str">
        <f aca="false">IF($E348="","","记-"&amp;TEXT($B348,"YYYYMM")&amp;"-进销存")</f>
        <v/>
      </c>
      <c r="D348" s="107" t="str">
        <f aca="false">IF($E348="","",INDEX(进销存对接!$D$4:$D$305,115)&amp;" "&amp;TEXT($B348,"YYYY年M月")&amp;" 自动结转")</f>
        <v/>
      </c>
      <c r="E348" s="67" t="str">
        <f aca="false">IF(INDEX(进销存对接!$M$4:$U$305,115,7)=0,"",INDEX(进销存对接!$M$4:$U$305,115,7))</f>
        <v/>
      </c>
      <c r="F348" s="99" t="str">
        <f aca="false">IF($E348="","",IFERROR(INDEX(科目表!$A$4:$A$81,MATCH($E348,科目表!$B$4:$B$81,0)),""))</f>
        <v/>
      </c>
      <c r="G348" s="67" t="str">
        <f aca="false">IF($E348="","",IFERROR(INDEX(科目表!$E$4:$E$81,MATCH($E348,科目表!$B$4:$B$81,0)),""))</f>
        <v/>
      </c>
      <c r="H348" s="70" t="str">
        <f aca="false">IF($E348="","",N(INDEX(进销存对接!$M$4:$U$305,115,8)))</f>
        <v/>
      </c>
      <c r="I348" s="70" t="str">
        <f aca="false">IF($E348="","",N(INDEX(进销存对接!$M$4:$U$305,115,9)))</f>
        <v/>
      </c>
      <c r="J348" s="67"/>
      <c r="K348" s="67" t="str">
        <f aca="false">IF($E348="","",INDEX(进销存对接!$D$4:$D$305,115))</f>
        <v/>
      </c>
      <c r="L348" s="107"/>
      <c r="M348" s="107"/>
      <c r="N348" s="67" t="str">
        <f aca="false">IF($E348="","","系统")</f>
        <v/>
      </c>
      <c r="O348" s="67" t="str">
        <f aca="false">IF($E348="","","自动A")</f>
        <v/>
      </c>
      <c r="P348" s="18"/>
    </row>
    <row r="349" customFormat="false" ht="18" hidden="false" customHeight="true" outlineLevel="0" collapsed="false">
      <c r="A349" s="107" t="str">
        <f aca="false">IF($E349="","",ROW()-3)</f>
        <v/>
      </c>
      <c r="B349" s="110" t="str">
        <f aca="false">IF($E349="","",INDEX(进销存对接!$C$4:$C$305,116))</f>
        <v/>
      </c>
      <c r="C349" s="67" t="str">
        <f aca="false">IF($E349="","","记-"&amp;TEXT($B349,"YYYYMM")&amp;"-进销存")</f>
        <v/>
      </c>
      <c r="D349" s="107" t="str">
        <f aca="false">IF($E349="","",INDEX(进销存对接!$D$4:$D$305,116)&amp;" "&amp;TEXT($B349,"YYYY年M月")&amp;" 自动结转")</f>
        <v/>
      </c>
      <c r="E349" s="67" t="str">
        <f aca="false">IF(INDEX(进销存对接!$M$4:$U$305,116,1)=0,"",INDEX(进销存对接!$M$4:$U$305,116,1))</f>
        <v/>
      </c>
      <c r="F349" s="99" t="str">
        <f aca="false">IF($E349="","",IFERROR(INDEX(科目表!$A$4:$A$81,MATCH($E349,科目表!$B$4:$B$81,0)),""))</f>
        <v/>
      </c>
      <c r="G349" s="67" t="str">
        <f aca="false">IF($E349="","",IFERROR(INDEX(科目表!$E$4:$E$81,MATCH($E349,科目表!$B$4:$B$81,0)),""))</f>
        <v/>
      </c>
      <c r="H349" s="70" t="str">
        <f aca="false">IF($E349="","",N(INDEX(进销存对接!$M$4:$U$305,116,2)))</f>
        <v/>
      </c>
      <c r="I349" s="70" t="str">
        <f aca="false">IF($E349="","",N(INDEX(进销存对接!$M$4:$U$305,116,3)))</f>
        <v/>
      </c>
      <c r="J349" s="67"/>
      <c r="K349" s="67" t="str">
        <f aca="false">IF($E349="","",INDEX(进销存对接!$D$4:$D$305,116))</f>
        <v/>
      </c>
      <c r="L349" s="107"/>
      <c r="M349" s="107"/>
      <c r="N349" s="67" t="str">
        <f aca="false">IF($E349="","","系统")</f>
        <v/>
      </c>
      <c r="O349" s="67" t="str">
        <f aca="false">IF($E349="","","自动A")</f>
        <v/>
      </c>
      <c r="P349" s="18"/>
    </row>
    <row r="350" customFormat="false" ht="18" hidden="false" customHeight="true" outlineLevel="0" collapsed="false">
      <c r="A350" s="107" t="str">
        <f aca="false">IF($E350="","",ROW()-3)</f>
        <v/>
      </c>
      <c r="B350" s="110" t="str">
        <f aca="false">IF($E350="","",INDEX(进销存对接!$C$4:$C$305,116))</f>
        <v/>
      </c>
      <c r="C350" s="67" t="str">
        <f aca="false">IF($E350="","","记-"&amp;TEXT($B350,"YYYYMM")&amp;"-进销存")</f>
        <v/>
      </c>
      <c r="D350" s="107" t="str">
        <f aca="false">IF($E350="","",INDEX(进销存对接!$D$4:$D$305,116)&amp;" "&amp;TEXT($B350,"YYYY年M月")&amp;" 自动结转")</f>
        <v/>
      </c>
      <c r="E350" s="67" t="str">
        <f aca="false">IF(INDEX(进销存对接!$M$4:$U$305,116,4)=0,"",INDEX(进销存对接!$M$4:$U$305,116,4))</f>
        <v/>
      </c>
      <c r="F350" s="99" t="str">
        <f aca="false">IF($E350="","",IFERROR(INDEX(科目表!$A$4:$A$81,MATCH($E350,科目表!$B$4:$B$81,0)),""))</f>
        <v/>
      </c>
      <c r="G350" s="67" t="str">
        <f aca="false">IF($E350="","",IFERROR(INDEX(科目表!$E$4:$E$81,MATCH($E350,科目表!$B$4:$B$81,0)),""))</f>
        <v/>
      </c>
      <c r="H350" s="70" t="str">
        <f aca="false">IF($E350="","",N(INDEX(进销存对接!$M$4:$U$305,116,5)))</f>
        <v/>
      </c>
      <c r="I350" s="70" t="str">
        <f aca="false">IF($E350="","",N(INDEX(进销存对接!$M$4:$U$305,116,6)))</f>
        <v/>
      </c>
      <c r="J350" s="67"/>
      <c r="K350" s="67" t="str">
        <f aca="false">IF($E350="","",INDEX(进销存对接!$D$4:$D$305,116))</f>
        <v/>
      </c>
      <c r="L350" s="107"/>
      <c r="M350" s="107"/>
      <c r="N350" s="67" t="str">
        <f aca="false">IF($E350="","","系统")</f>
        <v/>
      </c>
      <c r="O350" s="67" t="str">
        <f aca="false">IF($E350="","","自动A")</f>
        <v/>
      </c>
      <c r="P350" s="18"/>
    </row>
    <row r="351" customFormat="false" ht="18" hidden="false" customHeight="true" outlineLevel="0" collapsed="false">
      <c r="A351" s="107" t="str">
        <f aca="false">IF($E351="","",ROW()-3)</f>
        <v/>
      </c>
      <c r="B351" s="110" t="str">
        <f aca="false">IF($E351="","",INDEX(进销存对接!$C$4:$C$305,116))</f>
        <v/>
      </c>
      <c r="C351" s="67" t="str">
        <f aca="false">IF($E351="","","记-"&amp;TEXT($B351,"YYYYMM")&amp;"-进销存")</f>
        <v/>
      </c>
      <c r="D351" s="107" t="str">
        <f aca="false">IF($E351="","",INDEX(进销存对接!$D$4:$D$305,116)&amp;" "&amp;TEXT($B351,"YYYY年M月")&amp;" 自动结转")</f>
        <v/>
      </c>
      <c r="E351" s="67" t="str">
        <f aca="false">IF(INDEX(进销存对接!$M$4:$U$305,116,7)=0,"",INDEX(进销存对接!$M$4:$U$305,116,7))</f>
        <v/>
      </c>
      <c r="F351" s="99" t="str">
        <f aca="false">IF($E351="","",IFERROR(INDEX(科目表!$A$4:$A$81,MATCH($E351,科目表!$B$4:$B$81,0)),""))</f>
        <v/>
      </c>
      <c r="G351" s="67" t="str">
        <f aca="false">IF($E351="","",IFERROR(INDEX(科目表!$E$4:$E$81,MATCH($E351,科目表!$B$4:$B$81,0)),""))</f>
        <v/>
      </c>
      <c r="H351" s="70" t="str">
        <f aca="false">IF($E351="","",N(INDEX(进销存对接!$M$4:$U$305,116,8)))</f>
        <v/>
      </c>
      <c r="I351" s="70" t="str">
        <f aca="false">IF($E351="","",N(INDEX(进销存对接!$M$4:$U$305,116,9)))</f>
        <v/>
      </c>
      <c r="J351" s="67"/>
      <c r="K351" s="67" t="str">
        <f aca="false">IF($E351="","",INDEX(进销存对接!$D$4:$D$305,116))</f>
        <v/>
      </c>
      <c r="L351" s="107"/>
      <c r="M351" s="107"/>
      <c r="N351" s="67" t="str">
        <f aca="false">IF($E351="","","系统")</f>
        <v/>
      </c>
      <c r="O351" s="67" t="str">
        <f aca="false">IF($E351="","","自动A")</f>
        <v/>
      </c>
      <c r="P351" s="18"/>
    </row>
    <row r="352" customFormat="false" ht="18" hidden="false" customHeight="true" outlineLevel="0" collapsed="false">
      <c r="A352" s="107" t="str">
        <f aca="false">IF($E352="","",ROW()-3)</f>
        <v/>
      </c>
      <c r="B352" s="110" t="str">
        <f aca="false">IF($E352="","",INDEX(进销存对接!$C$4:$C$305,117))</f>
        <v/>
      </c>
      <c r="C352" s="67" t="str">
        <f aca="false">IF($E352="","","记-"&amp;TEXT($B352,"YYYYMM")&amp;"-进销存")</f>
        <v/>
      </c>
      <c r="D352" s="107" t="str">
        <f aca="false">IF($E352="","",INDEX(进销存对接!$D$4:$D$305,117)&amp;" "&amp;TEXT($B352,"YYYY年M月")&amp;" 自动结转")</f>
        <v/>
      </c>
      <c r="E352" s="67" t="str">
        <f aca="false">IF(INDEX(进销存对接!$M$4:$U$305,117,1)=0,"",INDEX(进销存对接!$M$4:$U$305,117,1))</f>
        <v/>
      </c>
      <c r="F352" s="99" t="str">
        <f aca="false">IF($E352="","",IFERROR(INDEX(科目表!$A$4:$A$81,MATCH($E352,科目表!$B$4:$B$81,0)),""))</f>
        <v/>
      </c>
      <c r="G352" s="67" t="str">
        <f aca="false">IF($E352="","",IFERROR(INDEX(科目表!$E$4:$E$81,MATCH($E352,科目表!$B$4:$B$81,0)),""))</f>
        <v/>
      </c>
      <c r="H352" s="70" t="str">
        <f aca="false">IF($E352="","",N(INDEX(进销存对接!$M$4:$U$305,117,2)))</f>
        <v/>
      </c>
      <c r="I352" s="70" t="str">
        <f aca="false">IF($E352="","",N(INDEX(进销存对接!$M$4:$U$305,117,3)))</f>
        <v/>
      </c>
      <c r="J352" s="67"/>
      <c r="K352" s="67" t="str">
        <f aca="false">IF($E352="","",INDEX(进销存对接!$D$4:$D$305,117))</f>
        <v/>
      </c>
      <c r="L352" s="107"/>
      <c r="M352" s="107"/>
      <c r="N352" s="67" t="str">
        <f aca="false">IF($E352="","","系统")</f>
        <v/>
      </c>
      <c r="O352" s="67" t="str">
        <f aca="false">IF($E352="","","自动A")</f>
        <v/>
      </c>
      <c r="P352" s="18"/>
    </row>
    <row r="353" customFormat="false" ht="18" hidden="false" customHeight="true" outlineLevel="0" collapsed="false">
      <c r="A353" s="107" t="str">
        <f aca="false">IF($E353="","",ROW()-3)</f>
        <v/>
      </c>
      <c r="B353" s="110" t="str">
        <f aca="false">IF($E353="","",INDEX(进销存对接!$C$4:$C$305,117))</f>
        <v/>
      </c>
      <c r="C353" s="67" t="str">
        <f aca="false">IF($E353="","","记-"&amp;TEXT($B353,"YYYYMM")&amp;"-进销存")</f>
        <v/>
      </c>
      <c r="D353" s="107" t="str">
        <f aca="false">IF($E353="","",INDEX(进销存对接!$D$4:$D$305,117)&amp;" "&amp;TEXT($B353,"YYYY年M月")&amp;" 自动结转")</f>
        <v/>
      </c>
      <c r="E353" s="67" t="str">
        <f aca="false">IF(INDEX(进销存对接!$M$4:$U$305,117,4)=0,"",INDEX(进销存对接!$M$4:$U$305,117,4))</f>
        <v/>
      </c>
      <c r="F353" s="99" t="str">
        <f aca="false">IF($E353="","",IFERROR(INDEX(科目表!$A$4:$A$81,MATCH($E353,科目表!$B$4:$B$81,0)),""))</f>
        <v/>
      </c>
      <c r="G353" s="67" t="str">
        <f aca="false">IF($E353="","",IFERROR(INDEX(科目表!$E$4:$E$81,MATCH($E353,科目表!$B$4:$B$81,0)),""))</f>
        <v/>
      </c>
      <c r="H353" s="70" t="str">
        <f aca="false">IF($E353="","",N(INDEX(进销存对接!$M$4:$U$305,117,5)))</f>
        <v/>
      </c>
      <c r="I353" s="70" t="str">
        <f aca="false">IF($E353="","",N(INDEX(进销存对接!$M$4:$U$305,117,6)))</f>
        <v/>
      </c>
      <c r="J353" s="67"/>
      <c r="K353" s="67" t="str">
        <f aca="false">IF($E353="","",INDEX(进销存对接!$D$4:$D$305,117))</f>
        <v/>
      </c>
      <c r="L353" s="107"/>
      <c r="M353" s="107"/>
      <c r="N353" s="67" t="str">
        <f aca="false">IF($E353="","","系统")</f>
        <v/>
      </c>
      <c r="O353" s="67" t="str">
        <f aca="false">IF($E353="","","自动A")</f>
        <v/>
      </c>
      <c r="P353" s="18"/>
    </row>
    <row r="354" customFormat="false" ht="18" hidden="false" customHeight="true" outlineLevel="0" collapsed="false">
      <c r="A354" s="107" t="str">
        <f aca="false">IF($E354="","",ROW()-3)</f>
        <v/>
      </c>
      <c r="B354" s="110" t="str">
        <f aca="false">IF($E354="","",INDEX(进销存对接!$C$4:$C$305,117))</f>
        <v/>
      </c>
      <c r="C354" s="67" t="str">
        <f aca="false">IF($E354="","","记-"&amp;TEXT($B354,"YYYYMM")&amp;"-进销存")</f>
        <v/>
      </c>
      <c r="D354" s="107" t="str">
        <f aca="false">IF($E354="","",INDEX(进销存对接!$D$4:$D$305,117)&amp;" "&amp;TEXT($B354,"YYYY年M月")&amp;" 自动结转")</f>
        <v/>
      </c>
      <c r="E354" s="67" t="str">
        <f aca="false">IF(INDEX(进销存对接!$M$4:$U$305,117,7)=0,"",INDEX(进销存对接!$M$4:$U$305,117,7))</f>
        <v/>
      </c>
      <c r="F354" s="99" t="str">
        <f aca="false">IF($E354="","",IFERROR(INDEX(科目表!$A$4:$A$81,MATCH($E354,科目表!$B$4:$B$81,0)),""))</f>
        <v/>
      </c>
      <c r="G354" s="67" t="str">
        <f aca="false">IF($E354="","",IFERROR(INDEX(科目表!$E$4:$E$81,MATCH($E354,科目表!$B$4:$B$81,0)),""))</f>
        <v/>
      </c>
      <c r="H354" s="70" t="str">
        <f aca="false">IF($E354="","",N(INDEX(进销存对接!$M$4:$U$305,117,8)))</f>
        <v/>
      </c>
      <c r="I354" s="70" t="str">
        <f aca="false">IF($E354="","",N(INDEX(进销存对接!$M$4:$U$305,117,9)))</f>
        <v/>
      </c>
      <c r="J354" s="67"/>
      <c r="K354" s="67" t="str">
        <f aca="false">IF($E354="","",INDEX(进销存对接!$D$4:$D$305,117))</f>
        <v/>
      </c>
      <c r="L354" s="107"/>
      <c r="M354" s="107"/>
      <c r="N354" s="67" t="str">
        <f aca="false">IF($E354="","","系统")</f>
        <v/>
      </c>
      <c r="O354" s="67" t="str">
        <f aca="false">IF($E354="","","自动A")</f>
        <v/>
      </c>
      <c r="P354" s="18"/>
    </row>
    <row r="355" customFormat="false" ht="18" hidden="false" customHeight="true" outlineLevel="0" collapsed="false">
      <c r="A355" s="107" t="str">
        <f aca="false">IF($E355="","",ROW()-3)</f>
        <v/>
      </c>
      <c r="B355" s="110" t="str">
        <f aca="false">IF($E355="","",INDEX(进销存对接!$C$4:$C$305,118))</f>
        <v/>
      </c>
      <c r="C355" s="67" t="str">
        <f aca="false">IF($E355="","","记-"&amp;TEXT($B355,"YYYYMM")&amp;"-进销存")</f>
        <v/>
      </c>
      <c r="D355" s="107" t="str">
        <f aca="false">IF($E355="","",INDEX(进销存对接!$D$4:$D$305,118)&amp;" "&amp;TEXT($B355,"YYYY年M月")&amp;" 自动结转")</f>
        <v/>
      </c>
      <c r="E355" s="67" t="str">
        <f aca="false">IF(INDEX(进销存对接!$M$4:$U$305,118,1)=0,"",INDEX(进销存对接!$M$4:$U$305,118,1))</f>
        <v/>
      </c>
      <c r="F355" s="99" t="str">
        <f aca="false">IF($E355="","",IFERROR(INDEX(科目表!$A$4:$A$81,MATCH($E355,科目表!$B$4:$B$81,0)),""))</f>
        <v/>
      </c>
      <c r="G355" s="67" t="str">
        <f aca="false">IF($E355="","",IFERROR(INDEX(科目表!$E$4:$E$81,MATCH($E355,科目表!$B$4:$B$81,0)),""))</f>
        <v/>
      </c>
      <c r="H355" s="70" t="str">
        <f aca="false">IF($E355="","",N(INDEX(进销存对接!$M$4:$U$305,118,2)))</f>
        <v/>
      </c>
      <c r="I355" s="70" t="str">
        <f aca="false">IF($E355="","",N(INDEX(进销存对接!$M$4:$U$305,118,3)))</f>
        <v/>
      </c>
      <c r="J355" s="67"/>
      <c r="K355" s="67" t="str">
        <f aca="false">IF($E355="","",INDEX(进销存对接!$D$4:$D$305,118))</f>
        <v/>
      </c>
      <c r="L355" s="107"/>
      <c r="M355" s="107"/>
      <c r="N355" s="67" t="str">
        <f aca="false">IF($E355="","","系统")</f>
        <v/>
      </c>
      <c r="O355" s="67" t="str">
        <f aca="false">IF($E355="","","自动A")</f>
        <v/>
      </c>
      <c r="P355" s="18"/>
    </row>
    <row r="356" customFormat="false" ht="18" hidden="false" customHeight="true" outlineLevel="0" collapsed="false">
      <c r="A356" s="107" t="str">
        <f aca="false">IF($E356="","",ROW()-3)</f>
        <v/>
      </c>
      <c r="B356" s="110" t="str">
        <f aca="false">IF($E356="","",INDEX(进销存对接!$C$4:$C$305,118))</f>
        <v/>
      </c>
      <c r="C356" s="67" t="str">
        <f aca="false">IF($E356="","","记-"&amp;TEXT($B356,"YYYYMM")&amp;"-进销存")</f>
        <v/>
      </c>
      <c r="D356" s="107" t="str">
        <f aca="false">IF($E356="","",INDEX(进销存对接!$D$4:$D$305,118)&amp;" "&amp;TEXT($B356,"YYYY年M月")&amp;" 自动结转")</f>
        <v/>
      </c>
      <c r="E356" s="67" t="str">
        <f aca="false">IF(INDEX(进销存对接!$M$4:$U$305,118,4)=0,"",INDEX(进销存对接!$M$4:$U$305,118,4))</f>
        <v/>
      </c>
      <c r="F356" s="99" t="str">
        <f aca="false">IF($E356="","",IFERROR(INDEX(科目表!$A$4:$A$81,MATCH($E356,科目表!$B$4:$B$81,0)),""))</f>
        <v/>
      </c>
      <c r="G356" s="67" t="str">
        <f aca="false">IF($E356="","",IFERROR(INDEX(科目表!$E$4:$E$81,MATCH($E356,科目表!$B$4:$B$81,0)),""))</f>
        <v/>
      </c>
      <c r="H356" s="70" t="str">
        <f aca="false">IF($E356="","",N(INDEX(进销存对接!$M$4:$U$305,118,5)))</f>
        <v/>
      </c>
      <c r="I356" s="70" t="str">
        <f aca="false">IF($E356="","",N(INDEX(进销存对接!$M$4:$U$305,118,6)))</f>
        <v/>
      </c>
      <c r="J356" s="67"/>
      <c r="K356" s="67" t="str">
        <f aca="false">IF($E356="","",INDEX(进销存对接!$D$4:$D$305,118))</f>
        <v/>
      </c>
      <c r="L356" s="107"/>
      <c r="M356" s="107"/>
      <c r="N356" s="67" t="str">
        <f aca="false">IF($E356="","","系统")</f>
        <v/>
      </c>
      <c r="O356" s="67" t="str">
        <f aca="false">IF($E356="","","自动A")</f>
        <v/>
      </c>
      <c r="P356" s="18"/>
    </row>
    <row r="357" customFormat="false" ht="18" hidden="false" customHeight="true" outlineLevel="0" collapsed="false">
      <c r="A357" s="107" t="str">
        <f aca="false">IF($E357="","",ROW()-3)</f>
        <v/>
      </c>
      <c r="B357" s="110" t="str">
        <f aca="false">IF($E357="","",INDEX(进销存对接!$C$4:$C$305,118))</f>
        <v/>
      </c>
      <c r="C357" s="67" t="str">
        <f aca="false">IF($E357="","","记-"&amp;TEXT($B357,"YYYYMM")&amp;"-进销存")</f>
        <v/>
      </c>
      <c r="D357" s="107" t="str">
        <f aca="false">IF($E357="","",INDEX(进销存对接!$D$4:$D$305,118)&amp;" "&amp;TEXT($B357,"YYYY年M月")&amp;" 自动结转")</f>
        <v/>
      </c>
      <c r="E357" s="67" t="str">
        <f aca="false">IF(INDEX(进销存对接!$M$4:$U$305,118,7)=0,"",INDEX(进销存对接!$M$4:$U$305,118,7))</f>
        <v/>
      </c>
      <c r="F357" s="99" t="str">
        <f aca="false">IF($E357="","",IFERROR(INDEX(科目表!$A$4:$A$81,MATCH($E357,科目表!$B$4:$B$81,0)),""))</f>
        <v/>
      </c>
      <c r="G357" s="67" t="str">
        <f aca="false">IF($E357="","",IFERROR(INDEX(科目表!$E$4:$E$81,MATCH($E357,科目表!$B$4:$B$81,0)),""))</f>
        <v/>
      </c>
      <c r="H357" s="70" t="str">
        <f aca="false">IF($E357="","",N(INDEX(进销存对接!$M$4:$U$305,118,8)))</f>
        <v/>
      </c>
      <c r="I357" s="70" t="str">
        <f aca="false">IF($E357="","",N(INDEX(进销存对接!$M$4:$U$305,118,9)))</f>
        <v/>
      </c>
      <c r="J357" s="67"/>
      <c r="K357" s="67" t="str">
        <f aca="false">IF($E357="","",INDEX(进销存对接!$D$4:$D$305,118))</f>
        <v/>
      </c>
      <c r="L357" s="107"/>
      <c r="M357" s="107"/>
      <c r="N357" s="67" t="str">
        <f aca="false">IF($E357="","","系统")</f>
        <v/>
      </c>
      <c r="O357" s="67" t="str">
        <f aca="false">IF($E357="","","自动A")</f>
        <v/>
      </c>
      <c r="P357" s="18"/>
    </row>
    <row r="358" customFormat="false" ht="18" hidden="false" customHeight="true" outlineLevel="0" collapsed="false">
      <c r="A358" s="107" t="str">
        <f aca="false">IF($E358="","",ROW()-3)</f>
        <v/>
      </c>
      <c r="B358" s="110" t="str">
        <f aca="false">IF($E358="","",INDEX(进销存对接!$C$4:$C$305,119))</f>
        <v/>
      </c>
      <c r="C358" s="67" t="str">
        <f aca="false">IF($E358="","","记-"&amp;TEXT($B358,"YYYYMM")&amp;"-进销存")</f>
        <v/>
      </c>
      <c r="D358" s="107" t="str">
        <f aca="false">IF($E358="","",INDEX(进销存对接!$D$4:$D$305,119)&amp;" "&amp;TEXT($B358,"YYYY年M月")&amp;" 自动结转")</f>
        <v/>
      </c>
      <c r="E358" s="67" t="str">
        <f aca="false">IF(INDEX(进销存对接!$M$4:$U$305,119,1)=0,"",INDEX(进销存对接!$M$4:$U$305,119,1))</f>
        <v/>
      </c>
      <c r="F358" s="99" t="str">
        <f aca="false">IF($E358="","",IFERROR(INDEX(科目表!$A$4:$A$81,MATCH($E358,科目表!$B$4:$B$81,0)),""))</f>
        <v/>
      </c>
      <c r="G358" s="67" t="str">
        <f aca="false">IF($E358="","",IFERROR(INDEX(科目表!$E$4:$E$81,MATCH($E358,科目表!$B$4:$B$81,0)),""))</f>
        <v/>
      </c>
      <c r="H358" s="70" t="str">
        <f aca="false">IF($E358="","",N(INDEX(进销存对接!$M$4:$U$305,119,2)))</f>
        <v/>
      </c>
      <c r="I358" s="70" t="str">
        <f aca="false">IF($E358="","",N(INDEX(进销存对接!$M$4:$U$305,119,3)))</f>
        <v/>
      </c>
      <c r="J358" s="67"/>
      <c r="K358" s="67" t="str">
        <f aca="false">IF($E358="","",INDEX(进销存对接!$D$4:$D$305,119))</f>
        <v/>
      </c>
      <c r="L358" s="107"/>
      <c r="M358" s="107"/>
      <c r="N358" s="67" t="str">
        <f aca="false">IF($E358="","","系统")</f>
        <v/>
      </c>
      <c r="O358" s="67" t="str">
        <f aca="false">IF($E358="","","自动A")</f>
        <v/>
      </c>
      <c r="P358" s="18"/>
    </row>
    <row r="359" customFormat="false" ht="18" hidden="false" customHeight="true" outlineLevel="0" collapsed="false">
      <c r="A359" s="107" t="str">
        <f aca="false">IF($E359="","",ROW()-3)</f>
        <v/>
      </c>
      <c r="B359" s="110" t="str">
        <f aca="false">IF($E359="","",INDEX(进销存对接!$C$4:$C$305,119))</f>
        <v/>
      </c>
      <c r="C359" s="67" t="str">
        <f aca="false">IF($E359="","","记-"&amp;TEXT($B359,"YYYYMM")&amp;"-进销存")</f>
        <v/>
      </c>
      <c r="D359" s="107" t="str">
        <f aca="false">IF($E359="","",INDEX(进销存对接!$D$4:$D$305,119)&amp;" "&amp;TEXT($B359,"YYYY年M月")&amp;" 自动结转")</f>
        <v/>
      </c>
      <c r="E359" s="67" t="str">
        <f aca="false">IF(INDEX(进销存对接!$M$4:$U$305,119,4)=0,"",INDEX(进销存对接!$M$4:$U$305,119,4))</f>
        <v/>
      </c>
      <c r="F359" s="99" t="str">
        <f aca="false">IF($E359="","",IFERROR(INDEX(科目表!$A$4:$A$81,MATCH($E359,科目表!$B$4:$B$81,0)),""))</f>
        <v/>
      </c>
      <c r="G359" s="67" t="str">
        <f aca="false">IF($E359="","",IFERROR(INDEX(科目表!$E$4:$E$81,MATCH($E359,科目表!$B$4:$B$81,0)),""))</f>
        <v/>
      </c>
      <c r="H359" s="70" t="str">
        <f aca="false">IF($E359="","",N(INDEX(进销存对接!$M$4:$U$305,119,5)))</f>
        <v/>
      </c>
      <c r="I359" s="70" t="str">
        <f aca="false">IF($E359="","",N(INDEX(进销存对接!$M$4:$U$305,119,6)))</f>
        <v/>
      </c>
      <c r="J359" s="67"/>
      <c r="K359" s="67" t="str">
        <f aca="false">IF($E359="","",INDEX(进销存对接!$D$4:$D$305,119))</f>
        <v/>
      </c>
      <c r="L359" s="107"/>
      <c r="M359" s="107"/>
      <c r="N359" s="67" t="str">
        <f aca="false">IF($E359="","","系统")</f>
        <v/>
      </c>
      <c r="O359" s="67" t="str">
        <f aca="false">IF($E359="","","自动A")</f>
        <v/>
      </c>
      <c r="P359" s="18"/>
    </row>
    <row r="360" customFormat="false" ht="18" hidden="false" customHeight="true" outlineLevel="0" collapsed="false">
      <c r="A360" s="107" t="str">
        <f aca="false">IF($E360="","",ROW()-3)</f>
        <v/>
      </c>
      <c r="B360" s="110" t="str">
        <f aca="false">IF($E360="","",INDEX(进销存对接!$C$4:$C$305,119))</f>
        <v/>
      </c>
      <c r="C360" s="67" t="str">
        <f aca="false">IF($E360="","","记-"&amp;TEXT($B360,"YYYYMM")&amp;"-进销存")</f>
        <v/>
      </c>
      <c r="D360" s="107" t="str">
        <f aca="false">IF($E360="","",INDEX(进销存对接!$D$4:$D$305,119)&amp;" "&amp;TEXT($B360,"YYYY年M月")&amp;" 自动结转")</f>
        <v/>
      </c>
      <c r="E360" s="67" t="str">
        <f aca="false">IF(INDEX(进销存对接!$M$4:$U$305,119,7)=0,"",INDEX(进销存对接!$M$4:$U$305,119,7))</f>
        <v/>
      </c>
      <c r="F360" s="99" t="str">
        <f aca="false">IF($E360="","",IFERROR(INDEX(科目表!$A$4:$A$81,MATCH($E360,科目表!$B$4:$B$81,0)),""))</f>
        <v/>
      </c>
      <c r="G360" s="67" t="str">
        <f aca="false">IF($E360="","",IFERROR(INDEX(科目表!$E$4:$E$81,MATCH($E360,科目表!$B$4:$B$81,0)),""))</f>
        <v/>
      </c>
      <c r="H360" s="70" t="str">
        <f aca="false">IF($E360="","",N(INDEX(进销存对接!$M$4:$U$305,119,8)))</f>
        <v/>
      </c>
      <c r="I360" s="70" t="str">
        <f aca="false">IF($E360="","",N(INDEX(进销存对接!$M$4:$U$305,119,9)))</f>
        <v/>
      </c>
      <c r="J360" s="67"/>
      <c r="K360" s="67" t="str">
        <f aca="false">IF($E360="","",INDEX(进销存对接!$D$4:$D$305,119))</f>
        <v/>
      </c>
      <c r="L360" s="107"/>
      <c r="M360" s="107"/>
      <c r="N360" s="67" t="str">
        <f aca="false">IF($E360="","","系统")</f>
        <v/>
      </c>
      <c r="O360" s="67" t="str">
        <f aca="false">IF($E360="","","自动A")</f>
        <v/>
      </c>
      <c r="P360" s="18"/>
    </row>
    <row r="361" customFormat="false" ht="18" hidden="false" customHeight="true" outlineLevel="0" collapsed="false">
      <c r="A361" s="107" t="str">
        <f aca="false">IF($E361="","",ROW()-3)</f>
        <v/>
      </c>
      <c r="B361" s="110" t="str">
        <f aca="false">IF($E361="","",INDEX(进销存对接!$C$4:$C$305,120))</f>
        <v/>
      </c>
      <c r="C361" s="67" t="str">
        <f aca="false">IF($E361="","","记-"&amp;TEXT($B361,"YYYYMM")&amp;"-进销存")</f>
        <v/>
      </c>
      <c r="D361" s="107" t="str">
        <f aca="false">IF($E361="","",INDEX(进销存对接!$D$4:$D$305,120)&amp;" "&amp;TEXT($B361,"YYYY年M月")&amp;" 自动结转")</f>
        <v/>
      </c>
      <c r="E361" s="67" t="str">
        <f aca="false">IF(INDEX(进销存对接!$M$4:$U$305,120,1)=0,"",INDEX(进销存对接!$M$4:$U$305,120,1))</f>
        <v/>
      </c>
      <c r="F361" s="99" t="str">
        <f aca="false">IF($E361="","",IFERROR(INDEX(科目表!$A$4:$A$81,MATCH($E361,科目表!$B$4:$B$81,0)),""))</f>
        <v/>
      </c>
      <c r="G361" s="67" t="str">
        <f aca="false">IF($E361="","",IFERROR(INDEX(科目表!$E$4:$E$81,MATCH($E361,科目表!$B$4:$B$81,0)),""))</f>
        <v/>
      </c>
      <c r="H361" s="70" t="str">
        <f aca="false">IF($E361="","",N(INDEX(进销存对接!$M$4:$U$305,120,2)))</f>
        <v/>
      </c>
      <c r="I361" s="70" t="str">
        <f aca="false">IF($E361="","",N(INDEX(进销存对接!$M$4:$U$305,120,3)))</f>
        <v/>
      </c>
      <c r="J361" s="67"/>
      <c r="K361" s="67" t="str">
        <f aca="false">IF($E361="","",INDEX(进销存对接!$D$4:$D$305,120))</f>
        <v/>
      </c>
      <c r="L361" s="107"/>
      <c r="M361" s="107"/>
      <c r="N361" s="67" t="str">
        <f aca="false">IF($E361="","","系统")</f>
        <v/>
      </c>
      <c r="O361" s="67" t="str">
        <f aca="false">IF($E361="","","自动A")</f>
        <v/>
      </c>
      <c r="P361" s="18"/>
    </row>
    <row r="362" customFormat="false" ht="18" hidden="false" customHeight="true" outlineLevel="0" collapsed="false">
      <c r="A362" s="107" t="str">
        <f aca="false">IF($E362="","",ROW()-3)</f>
        <v/>
      </c>
      <c r="B362" s="110" t="str">
        <f aca="false">IF($E362="","",INDEX(进销存对接!$C$4:$C$305,120))</f>
        <v/>
      </c>
      <c r="C362" s="67" t="str">
        <f aca="false">IF($E362="","","记-"&amp;TEXT($B362,"YYYYMM")&amp;"-进销存")</f>
        <v/>
      </c>
      <c r="D362" s="107" t="str">
        <f aca="false">IF($E362="","",INDEX(进销存对接!$D$4:$D$305,120)&amp;" "&amp;TEXT($B362,"YYYY年M月")&amp;" 自动结转")</f>
        <v/>
      </c>
      <c r="E362" s="67" t="str">
        <f aca="false">IF(INDEX(进销存对接!$M$4:$U$305,120,4)=0,"",INDEX(进销存对接!$M$4:$U$305,120,4))</f>
        <v/>
      </c>
      <c r="F362" s="99" t="str">
        <f aca="false">IF($E362="","",IFERROR(INDEX(科目表!$A$4:$A$81,MATCH($E362,科目表!$B$4:$B$81,0)),""))</f>
        <v/>
      </c>
      <c r="G362" s="67" t="str">
        <f aca="false">IF($E362="","",IFERROR(INDEX(科目表!$E$4:$E$81,MATCH($E362,科目表!$B$4:$B$81,0)),""))</f>
        <v/>
      </c>
      <c r="H362" s="70" t="str">
        <f aca="false">IF($E362="","",N(INDEX(进销存对接!$M$4:$U$305,120,5)))</f>
        <v/>
      </c>
      <c r="I362" s="70" t="str">
        <f aca="false">IF($E362="","",N(INDEX(进销存对接!$M$4:$U$305,120,6)))</f>
        <v/>
      </c>
      <c r="J362" s="67"/>
      <c r="K362" s="67" t="str">
        <f aca="false">IF($E362="","",INDEX(进销存对接!$D$4:$D$305,120))</f>
        <v/>
      </c>
      <c r="L362" s="107"/>
      <c r="M362" s="107"/>
      <c r="N362" s="67" t="str">
        <f aca="false">IF($E362="","","系统")</f>
        <v/>
      </c>
      <c r="O362" s="67" t="str">
        <f aca="false">IF($E362="","","自动A")</f>
        <v/>
      </c>
      <c r="P362" s="18"/>
    </row>
    <row r="363" customFormat="false" ht="18" hidden="false" customHeight="true" outlineLevel="0" collapsed="false">
      <c r="A363" s="107" t="str">
        <f aca="false">IF($E363="","",ROW()-3)</f>
        <v/>
      </c>
      <c r="B363" s="110" t="str">
        <f aca="false">IF($E363="","",INDEX(进销存对接!$C$4:$C$305,120))</f>
        <v/>
      </c>
      <c r="C363" s="67" t="str">
        <f aca="false">IF($E363="","","记-"&amp;TEXT($B363,"YYYYMM")&amp;"-进销存")</f>
        <v/>
      </c>
      <c r="D363" s="107" t="str">
        <f aca="false">IF($E363="","",INDEX(进销存对接!$D$4:$D$305,120)&amp;" "&amp;TEXT($B363,"YYYY年M月")&amp;" 自动结转")</f>
        <v/>
      </c>
      <c r="E363" s="67" t="str">
        <f aca="false">IF(INDEX(进销存对接!$M$4:$U$305,120,7)=0,"",INDEX(进销存对接!$M$4:$U$305,120,7))</f>
        <v/>
      </c>
      <c r="F363" s="99" t="str">
        <f aca="false">IF($E363="","",IFERROR(INDEX(科目表!$A$4:$A$81,MATCH($E363,科目表!$B$4:$B$81,0)),""))</f>
        <v/>
      </c>
      <c r="G363" s="67" t="str">
        <f aca="false">IF($E363="","",IFERROR(INDEX(科目表!$E$4:$E$81,MATCH($E363,科目表!$B$4:$B$81,0)),""))</f>
        <v/>
      </c>
      <c r="H363" s="70" t="str">
        <f aca="false">IF($E363="","",N(INDEX(进销存对接!$M$4:$U$305,120,8)))</f>
        <v/>
      </c>
      <c r="I363" s="70" t="str">
        <f aca="false">IF($E363="","",N(INDEX(进销存对接!$M$4:$U$305,120,9)))</f>
        <v/>
      </c>
      <c r="J363" s="67"/>
      <c r="K363" s="67" t="str">
        <f aca="false">IF($E363="","",INDEX(进销存对接!$D$4:$D$305,120))</f>
        <v/>
      </c>
      <c r="L363" s="107"/>
      <c r="M363" s="107"/>
      <c r="N363" s="67" t="str">
        <f aca="false">IF($E363="","","系统")</f>
        <v/>
      </c>
      <c r="O363" s="67" t="str">
        <f aca="false">IF($E363="","","自动A")</f>
        <v/>
      </c>
      <c r="P363" s="18"/>
    </row>
    <row r="364" customFormat="false" ht="18" hidden="false" customHeight="true" outlineLevel="0" collapsed="false">
      <c r="A364" s="107" t="str">
        <f aca="false">IF($E364="","",ROW()-3)</f>
        <v/>
      </c>
      <c r="B364" s="110" t="str">
        <f aca="false">IF($E364="","",INDEX(进销存对接!$C$4:$C$305,121))</f>
        <v/>
      </c>
      <c r="C364" s="67" t="str">
        <f aca="false">IF($E364="","","记-"&amp;TEXT($B364,"YYYYMM")&amp;"-进销存")</f>
        <v/>
      </c>
      <c r="D364" s="107" t="str">
        <f aca="false">IF($E364="","",INDEX(进销存对接!$D$4:$D$305,121)&amp;" "&amp;TEXT($B364,"YYYY年M月")&amp;" 自动结转")</f>
        <v/>
      </c>
      <c r="E364" s="67" t="str">
        <f aca="false">IF(INDEX(进销存对接!$M$4:$U$305,121,1)=0,"",INDEX(进销存对接!$M$4:$U$305,121,1))</f>
        <v/>
      </c>
      <c r="F364" s="99" t="str">
        <f aca="false">IF($E364="","",IFERROR(INDEX(科目表!$A$4:$A$81,MATCH($E364,科目表!$B$4:$B$81,0)),""))</f>
        <v/>
      </c>
      <c r="G364" s="67" t="str">
        <f aca="false">IF($E364="","",IFERROR(INDEX(科目表!$E$4:$E$81,MATCH($E364,科目表!$B$4:$B$81,0)),""))</f>
        <v/>
      </c>
      <c r="H364" s="70" t="str">
        <f aca="false">IF($E364="","",N(INDEX(进销存对接!$M$4:$U$305,121,2)))</f>
        <v/>
      </c>
      <c r="I364" s="70" t="str">
        <f aca="false">IF($E364="","",N(INDEX(进销存对接!$M$4:$U$305,121,3)))</f>
        <v/>
      </c>
      <c r="J364" s="67"/>
      <c r="K364" s="67" t="str">
        <f aca="false">IF($E364="","",INDEX(进销存对接!$D$4:$D$305,121))</f>
        <v/>
      </c>
      <c r="L364" s="107"/>
      <c r="M364" s="107"/>
      <c r="N364" s="67" t="str">
        <f aca="false">IF($E364="","","系统")</f>
        <v/>
      </c>
      <c r="O364" s="67" t="str">
        <f aca="false">IF($E364="","","自动A")</f>
        <v/>
      </c>
      <c r="P364" s="18"/>
    </row>
    <row r="365" customFormat="false" ht="18" hidden="false" customHeight="true" outlineLevel="0" collapsed="false">
      <c r="A365" s="107" t="str">
        <f aca="false">IF($E365="","",ROW()-3)</f>
        <v/>
      </c>
      <c r="B365" s="110" t="str">
        <f aca="false">IF($E365="","",INDEX(进销存对接!$C$4:$C$305,121))</f>
        <v/>
      </c>
      <c r="C365" s="67" t="str">
        <f aca="false">IF($E365="","","记-"&amp;TEXT($B365,"YYYYMM")&amp;"-进销存")</f>
        <v/>
      </c>
      <c r="D365" s="107" t="str">
        <f aca="false">IF($E365="","",INDEX(进销存对接!$D$4:$D$305,121)&amp;" "&amp;TEXT($B365,"YYYY年M月")&amp;" 自动结转")</f>
        <v/>
      </c>
      <c r="E365" s="67" t="str">
        <f aca="false">IF(INDEX(进销存对接!$M$4:$U$305,121,4)=0,"",INDEX(进销存对接!$M$4:$U$305,121,4))</f>
        <v/>
      </c>
      <c r="F365" s="99" t="str">
        <f aca="false">IF($E365="","",IFERROR(INDEX(科目表!$A$4:$A$81,MATCH($E365,科目表!$B$4:$B$81,0)),""))</f>
        <v/>
      </c>
      <c r="G365" s="67" t="str">
        <f aca="false">IF($E365="","",IFERROR(INDEX(科目表!$E$4:$E$81,MATCH($E365,科目表!$B$4:$B$81,0)),""))</f>
        <v/>
      </c>
      <c r="H365" s="70" t="str">
        <f aca="false">IF($E365="","",N(INDEX(进销存对接!$M$4:$U$305,121,5)))</f>
        <v/>
      </c>
      <c r="I365" s="70" t="str">
        <f aca="false">IF($E365="","",N(INDEX(进销存对接!$M$4:$U$305,121,6)))</f>
        <v/>
      </c>
      <c r="J365" s="67"/>
      <c r="K365" s="67" t="str">
        <f aca="false">IF($E365="","",INDEX(进销存对接!$D$4:$D$305,121))</f>
        <v/>
      </c>
      <c r="L365" s="107"/>
      <c r="M365" s="107"/>
      <c r="N365" s="67" t="str">
        <f aca="false">IF($E365="","","系统")</f>
        <v/>
      </c>
      <c r="O365" s="67" t="str">
        <f aca="false">IF($E365="","","自动A")</f>
        <v/>
      </c>
      <c r="P365" s="18"/>
    </row>
    <row r="366" customFormat="false" ht="18" hidden="false" customHeight="true" outlineLevel="0" collapsed="false">
      <c r="A366" s="107" t="str">
        <f aca="false">IF($E366="","",ROW()-3)</f>
        <v/>
      </c>
      <c r="B366" s="110" t="str">
        <f aca="false">IF($E366="","",INDEX(进销存对接!$C$4:$C$305,121))</f>
        <v/>
      </c>
      <c r="C366" s="67" t="str">
        <f aca="false">IF($E366="","","记-"&amp;TEXT($B366,"YYYYMM")&amp;"-进销存")</f>
        <v/>
      </c>
      <c r="D366" s="107" t="str">
        <f aca="false">IF($E366="","",INDEX(进销存对接!$D$4:$D$305,121)&amp;" "&amp;TEXT($B366,"YYYY年M月")&amp;" 自动结转")</f>
        <v/>
      </c>
      <c r="E366" s="67" t="str">
        <f aca="false">IF(INDEX(进销存对接!$M$4:$U$305,121,7)=0,"",INDEX(进销存对接!$M$4:$U$305,121,7))</f>
        <v/>
      </c>
      <c r="F366" s="99" t="str">
        <f aca="false">IF($E366="","",IFERROR(INDEX(科目表!$A$4:$A$81,MATCH($E366,科目表!$B$4:$B$81,0)),""))</f>
        <v/>
      </c>
      <c r="G366" s="67" t="str">
        <f aca="false">IF($E366="","",IFERROR(INDEX(科目表!$E$4:$E$81,MATCH($E366,科目表!$B$4:$B$81,0)),""))</f>
        <v/>
      </c>
      <c r="H366" s="70" t="str">
        <f aca="false">IF($E366="","",N(INDEX(进销存对接!$M$4:$U$305,121,8)))</f>
        <v/>
      </c>
      <c r="I366" s="70" t="str">
        <f aca="false">IF($E366="","",N(INDEX(进销存对接!$M$4:$U$305,121,9)))</f>
        <v/>
      </c>
      <c r="J366" s="67"/>
      <c r="K366" s="67" t="str">
        <f aca="false">IF($E366="","",INDEX(进销存对接!$D$4:$D$305,121))</f>
        <v/>
      </c>
      <c r="L366" s="107"/>
      <c r="M366" s="107"/>
      <c r="N366" s="67" t="str">
        <f aca="false">IF($E366="","","系统")</f>
        <v/>
      </c>
      <c r="O366" s="67" t="str">
        <f aca="false">IF($E366="","","自动A")</f>
        <v/>
      </c>
      <c r="P366" s="18"/>
    </row>
    <row r="367" customFormat="false" ht="18" hidden="false" customHeight="true" outlineLevel="0" collapsed="false">
      <c r="A367" s="107" t="str">
        <f aca="false">IF($E367="","",ROW()-3)</f>
        <v/>
      </c>
      <c r="B367" s="110" t="str">
        <f aca="false">IF($E367="","",INDEX(进销存对接!$C$4:$C$305,122))</f>
        <v/>
      </c>
      <c r="C367" s="67" t="str">
        <f aca="false">IF($E367="","","记-"&amp;TEXT($B367,"YYYYMM")&amp;"-进销存")</f>
        <v/>
      </c>
      <c r="D367" s="107" t="str">
        <f aca="false">IF($E367="","",INDEX(进销存对接!$D$4:$D$305,122)&amp;" "&amp;TEXT($B367,"YYYY年M月")&amp;" 自动结转")</f>
        <v/>
      </c>
      <c r="E367" s="67" t="str">
        <f aca="false">IF(INDEX(进销存对接!$M$4:$U$305,122,1)=0,"",INDEX(进销存对接!$M$4:$U$305,122,1))</f>
        <v/>
      </c>
      <c r="F367" s="99" t="str">
        <f aca="false">IF($E367="","",IFERROR(INDEX(科目表!$A$4:$A$81,MATCH($E367,科目表!$B$4:$B$81,0)),""))</f>
        <v/>
      </c>
      <c r="G367" s="67" t="str">
        <f aca="false">IF($E367="","",IFERROR(INDEX(科目表!$E$4:$E$81,MATCH($E367,科目表!$B$4:$B$81,0)),""))</f>
        <v/>
      </c>
      <c r="H367" s="70" t="str">
        <f aca="false">IF($E367="","",N(INDEX(进销存对接!$M$4:$U$305,122,2)))</f>
        <v/>
      </c>
      <c r="I367" s="70" t="str">
        <f aca="false">IF($E367="","",N(INDEX(进销存对接!$M$4:$U$305,122,3)))</f>
        <v/>
      </c>
      <c r="J367" s="67"/>
      <c r="K367" s="67" t="str">
        <f aca="false">IF($E367="","",INDEX(进销存对接!$D$4:$D$305,122))</f>
        <v/>
      </c>
      <c r="L367" s="107"/>
      <c r="M367" s="107"/>
      <c r="N367" s="67" t="str">
        <f aca="false">IF($E367="","","系统")</f>
        <v/>
      </c>
      <c r="O367" s="67" t="str">
        <f aca="false">IF($E367="","","自动A")</f>
        <v/>
      </c>
      <c r="P367" s="18"/>
    </row>
    <row r="368" customFormat="false" ht="18" hidden="false" customHeight="true" outlineLevel="0" collapsed="false">
      <c r="A368" s="107" t="str">
        <f aca="false">IF($E368="","",ROW()-3)</f>
        <v/>
      </c>
      <c r="B368" s="110" t="str">
        <f aca="false">IF($E368="","",INDEX(进销存对接!$C$4:$C$305,122))</f>
        <v/>
      </c>
      <c r="C368" s="67" t="str">
        <f aca="false">IF($E368="","","记-"&amp;TEXT($B368,"YYYYMM")&amp;"-进销存")</f>
        <v/>
      </c>
      <c r="D368" s="107" t="str">
        <f aca="false">IF($E368="","",INDEX(进销存对接!$D$4:$D$305,122)&amp;" "&amp;TEXT($B368,"YYYY年M月")&amp;" 自动结转")</f>
        <v/>
      </c>
      <c r="E368" s="67" t="str">
        <f aca="false">IF(INDEX(进销存对接!$M$4:$U$305,122,4)=0,"",INDEX(进销存对接!$M$4:$U$305,122,4))</f>
        <v/>
      </c>
      <c r="F368" s="99" t="str">
        <f aca="false">IF($E368="","",IFERROR(INDEX(科目表!$A$4:$A$81,MATCH($E368,科目表!$B$4:$B$81,0)),""))</f>
        <v/>
      </c>
      <c r="G368" s="67" t="str">
        <f aca="false">IF($E368="","",IFERROR(INDEX(科目表!$E$4:$E$81,MATCH($E368,科目表!$B$4:$B$81,0)),""))</f>
        <v/>
      </c>
      <c r="H368" s="70" t="str">
        <f aca="false">IF($E368="","",N(INDEX(进销存对接!$M$4:$U$305,122,5)))</f>
        <v/>
      </c>
      <c r="I368" s="70" t="str">
        <f aca="false">IF($E368="","",N(INDEX(进销存对接!$M$4:$U$305,122,6)))</f>
        <v/>
      </c>
      <c r="J368" s="67"/>
      <c r="K368" s="67" t="str">
        <f aca="false">IF($E368="","",INDEX(进销存对接!$D$4:$D$305,122))</f>
        <v/>
      </c>
      <c r="L368" s="107"/>
      <c r="M368" s="107"/>
      <c r="N368" s="67" t="str">
        <f aca="false">IF($E368="","","系统")</f>
        <v/>
      </c>
      <c r="O368" s="67" t="str">
        <f aca="false">IF($E368="","","自动A")</f>
        <v/>
      </c>
      <c r="P368" s="18"/>
    </row>
    <row r="369" customFormat="false" ht="18" hidden="false" customHeight="true" outlineLevel="0" collapsed="false">
      <c r="A369" s="107" t="str">
        <f aca="false">IF($E369="","",ROW()-3)</f>
        <v/>
      </c>
      <c r="B369" s="110" t="str">
        <f aca="false">IF($E369="","",INDEX(进销存对接!$C$4:$C$305,122))</f>
        <v/>
      </c>
      <c r="C369" s="67" t="str">
        <f aca="false">IF($E369="","","记-"&amp;TEXT($B369,"YYYYMM")&amp;"-进销存")</f>
        <v/>
      </c>
      <c r="D369" s="107" t="str">
        <f aca="false">IF($E369="","",INDEX(进销存对接!$D$4:$D$305,122)&amp;" "&amp;TEXT($B369,"YYYY年M月")&amp;" 自动结转")</f>
        <v/>
      </c>
      <c r="E369" s="67" t="str">
        <f aca="false">IF(INDEX(进销存对接!$M$4:$U$305,122,7)=0,"",INDEX(进销存对接!$M$4:$U$305,122,7))</f>
        <v/>
      </c>
      <c r="F369" s="99" t="str">
        <f aca="false">IF($E369="","",IFERROR(INDEX(科目表!$A$4:$A$81,MATCH($E369,科目表!$B$4:$B$81,0)),""))</f>
        <v/>
      </c>
      <c r="G369" s="67" t="str">
        <f aca="false">IF($E369="","",IFERROR(INDEX(科目表!$E$4:$E$81,MATCH($E369,科目表!$B$4:$B$81,0)),""))</f>
        <v/>
      </c>
      <c r="H369" s="70" t="str">
        <f aca="false">IF($E369="","",N(INDEX(进销存对接!$M$4:$U$305,122,8)))</f>
        <v/>
      </c>
      <c r="I369" s="70" t="str">
        <f aca="false">IF($E369="","",N(INDEX(进销存对接!$M$4:$U$305,122,9)))</f>
        <v/>
      </c>
      <c r="J369" s="67"/>
      <c r="K369" s="67" t="str">
        <f aca="false">IF($E369="","",INDEX(进销存对接!$D$4:$D$305,122))</f>
        <v/>
      </c>
      <c r="L369" s="107"/>
      <c r="M369" s="107"/>
      <c r="N369" s="67" t="str">
        <f aca="false">IF($E369="","","系统")</f>
        <v/>
      </c>
      <c r="O369" s="67" t="str">
        <f aca="false">IF($E369="","","自动A")</f>
        <v/>
      </c>
      <c r="P369" s="18"/>
    </row>
    <row r="370" customFormat="false" ht="18" hidden="false" customHeight="true" outlineLevel="0" collapsed="false">
      <c r="A370" s="107" t="str">
        <f aca="false">IF($E370="","",ROW()-3)</f>
        <v/>
      </c>
      <c r="B370" s="110" t="str">
        <f aca="false">IF($E370="","",INDEX(进销存对接!$C$4:$C$305,123))</f>
        <v/>
      </c>
      <c r="C370" s="67" t="str">
        <f aca="false">IF($E370="","","记-"&amp;TEXT($B370,"YYYYMM")&amp;"-进销存")</f>
        <v/>
      </c>
      <c r="D370" s="107" t="str">
        <f aca="false">IF($E370="","",INDEX(进销存对接!$D$4:$D$305,123)&amp;" "&amp;TEXT($B370,"YYYY年M月")&amp;" 自动结转")</f>
        <v/>
      </c>
      <c r="E370" s="67" t="str">
        <f aca="false">IF(INDEX(进销存对接!$M$4:$U$305,123,1)=0,"",INDEX(进销存对接!$M$4:$U$305,123,1))</f>
        <v/>
      </c>
      <c r="F370" s="99" t="str">
        <f aca="false">IF($E370="","",IFERROR(INDEX(科目表!$A$4:$A$81,MATCH($E370,科目表!$B$4:$B$81,0)),""))</f>
        <v/>
      </c>
      <c r="G370" s="67" t="str">
        <f aca="false">IF($E370="","",IFERROR(INDEX(科目表!$E$4:$E$81,MATCH($E370,科目表!$B$4:$B$81,0)),""))</f>
        <v/>
      </c>
      <c r="H370" s="70" t="str">
        <f aca="false">IF($E370="","",N(INDEX(进销存对接!$M$4:$U$305,123,2)))</f>
        <v/>
      </c>
      <c r="I370" s="70" t="str">
        <f aca="false">IF($E370="","",N(INDEX(进销存对接!$M$4:$U$305,123,3)))</f>
        <v/>
      </c>
      <c r="J370" s="67"/>
      <c r="K370" s="67" t="str">
        <f aca="false">IF($E370="","",INDEX(进销存对接!$D$4:$D$305,123))</f>
        <v/>
      </c>
      <c r="L370" s="107"/>
      <c r="M370" s="107"/>
      <c r="N370" s="67" t="str">
        <f aca="false">IF($E370="","","系统")</f>
        <v/>
      </c>
      <c r="O370" s="67" t="str">
        <f aca="false">IF($E370="","","自动A")</f>
        <v/>
      </c>
      <c r="P370" s="18"/>
    </row>
    <row r="371" customFormat="false" ht="18" hidden="false" customHeight="true" outlineLevel="0" collapsed="false">
      <c r="A371" s="107" t="str">
        <f aca="false">IF($E371="","",ROW()-3)</f>
        <v/>
      </c>
      <c r="B371" s="110" t="str">
        <f aca="false">IF($E371="","",INDEX(进销存对接!$C$4:$C$305,123))</f>
        <v/>
      </c>
      <c r="C371" s="67" t="str">
        <f aca="false">IF($E371="","","记-"&amp;TEXT($B371,"YYYYMM")&amp;"-进销存")</f>
        <v/>
      </c>
      <c r="D371" s="107" t="str">
        <f aca="false">IF($E371="","",INDEX(进销存对接!$D$4:$D$305,123)&amp;" "&amp;TEXT($B371,"YYYY年M月")&amp;" 自动结转")</f>
        <v/>
      </c>
      <c r="E371" s="67" t="str">
        <f aca="false">IF(INDEX(进销存对接!$M$4:$U$305,123,4)=0,"",INDEX(进销存对接!$M$4:$U$305,123,4))</f>
        <v/>
      </c>
      <c r="F371" s="99" t="str">
        <f aca="false">IF($E371="","",IFERROR(INDEX(科目表!$A$4:$A$81,MATCH($E371,科目表!$B$4:$B$81,0)),""))</f>
        <v/>
      </c>
      <c r="G371" s="67" t="str">
        <f aca="false">IF($E371="","",IFERROR(INDEX(科目表!$E$4:$E$81,MATCH($E371,科目表!$B$4:$B$81,0)),""))</f>
        <v/>
      </c>
      <c r="H371" s="70" t="str">
        <f aca="false">IF($E371="","",N(INDEX(进销存对接!$M$4:$U$305,123,5)))</f>
        <v/>
      </c>
      <c r="I371" s="70" t="str">
        <f aca="false">IF($E371="","",N(INDEX(进销存对接!$M$4:$U$305,123,6)))</f>
        <v/>
      </c>
      <c r="J371" s="67"/>
      <c r="K371" s="67" t="str">
        <f aca="false">IF($E371="","",INDEX(进销存对接!$D$4:$D$305,123))</f>
        <v/>
      </c>
      <c r="L371" s="107"/>
      <c r="M371" s="107"/>
      <c r="N371" s="67" t="str">
        <f aca="false">IF($E371="","","系统")</f>
        <v/>
      </c>
      <c r="O371" s="67" t="str">
        <f aca="false">IF($E371="","","自动A")</f>
        <v/>
      </c>
      <c r="P371" s="18"/>
    </row>
    <row r="372" customFormat="false" ht="18" hidden="false" customHeight="true" outlineLevel="0" collapsed="false">
      <c r="A372" s="107" t="str">
        <f aca="false">IF($E372="","",ROW()-3)</f>
        <v/>
      </c>
      <c r="B372" s="110" t="str">
        <f aca="false">IF($E372="","",INDEX(进销存对接!$C$4:$C$305,123))</f>
        <v/>
      </c>
      <c r="C372" s="67" t="str">
        <f aca="false">IF($E372="","","记-"&amp;TEXT($B372,"YYYYMM")&amp;"-进销存")</f>
        <v/>
      </c>
      <c r="D372" s="107" t="str">
        <f aca="false">IF($E372="","",INDEX(进销存对接!$D$4:$D$305,123)&amp;" "&amp;TEXT($B372,"YYYY年M月")&amp;" 自动结转")</f>
        <v/>
      </c>
      <c r="E372" s="67" t="str">
        <f aca="false">IF(INDEX(进销存对接!$M$4:$U$305,123,7)=0,"",INDEX(进销存对接!$M$4:$U$305,123,7))</f>
        <v/>
      </c>
      <c r="F372" s="99" t="str">
        <f aca="false">IF($E372="","",IFERROR(INDEX(科目表!$A$4:$A$81,MATCH($E372,科目表!$B$4:$B$81,0)),""))</f>
        <v/>
      </c>
      <c r="G372" s="67" t="str">
        <f aca="false">IF($E372="","",IFERROR(INDEX(科目表!$E$4:$E$81,MATCH($E372,科目表!$B$4:$B$81,0)),""))</f>
        <v/>
      </c>
      <c r="H372" s="70" t="str">
        <f aca="false">IF($E372="","",N(INDEX(进销存对接!$M$4:$U$305,123,8)))</f>
        <v/>
      </c>
      <c r="I372" s="70" t="str">
        <f aca="false">IF($E372="","",N(INDEX(进销存对接!$M$4:$U$305,123,9)))</f>
        <v/>
      </c>
      <c r="J372" s="67"/>
      <c r="K372" s="67" t="str">
        <f aca="false">IF($E372="","",INDEX(进销存对接!$D$4:$D$305,123))</f>
        <v/>
      </c>
      <c r="L372" s="107"/>
      <c r="M372" s="107"/>
      <c r="N372" s="67" t="str">
        <f aca="false">IF($E372="","","系统")</f>
        <v/>
      </c>
      <c r="O372" s="67" t="str">
        <f aca="false">IF($E372="","","自动A")</f>
        <v/>
      </c>
      <c r="P372" s="18"/>
    </row>
    <row r="373" customFormat="false" ht="18" hidden="false" customHeight="true" outlineLevel="0" collapsed="false">
      <c r="A373" s="107" t="str">
        <f aca="false">IF($E373="","",ROW()-3)</f>
        <v/>
      </c>
      <c r="B373" s="110" t="str">
        <f aca="false">IF($E373="","",INDEX(进销存对接!$C$4:$C$305,124))</f>
        <v/>
      </c>
      <c r="C373" s="67" t="str">
        <f aca="false">IF($E373="","","记-"&amp;TEXT($B373,"YYYYMM")&amp;"-进销存")</f>
        <v/>
      </c>
      <c r="D373" s="107" t="str">
        <f aca="false">IF($E373="","",INDEX(进销存对接!$D$4:$D$305,124)&amp;" "&amp;TEXT($B373,"YYYY年M月")&amp;" 自动结转")</f>
        <v/>
      </c>
      <c r="E373" s="67" t="str">
        <f aca="false">IF(INDEX(进销存对接!$M$4:$U$305,124,1)=0,"",INDEX(进销存对接!$M$4:$U$305,124,1))</f>
        <v/>
      </c>
      <c r="F373" s="99" t="str">
        <f aca="false">IF($E373="","",IFERROR(INDEX(科目表!$A$4:$A$81,MATCH($E373,科目表!$B$4:$B$81,0)),""))</f>
        <v/>
      </c>
      <c r="G373" s="67" t="str">
        <f aca="false">IF($E373="","",IFERROR(INDEX(科目表!$E$4:$E$81,MATCH($E373,科目表!$B$4:$B$81,0)),""))</f>
        <v/>
      </c>
      <c r="H373" s="70" t="str">
        <f aca="false">IF($E373="","",N(INDEX(进销存对接!$M$4:$U$305,124,2)))</f>
        <v/>
      </c>
      <c r="I373" s="70" t="str">
        <f aca="false">IF($E373="","",N(INDEX(进销存对接!$M$4:$U$305,124,3)))</f>
        <v/>
      </c>
      <c r="J373" s="67"/>
      <c r="K373" s="67" t="str">
        <f aca="false">IF($E373="","",INDEX(进销存对接!$D$4:$D$305,124))</f>
        <v/>
      </c>
      <c r="L373" s="107"/>
      <c r="M373" s="107"/>
      <c r="N373" s="67" t="str">
        <f aca="false">IF($E373="","","系统")</f>
        <v/>
      </c>
      <c r="O373" s="67" t="str">
        <f aca="false">IF($E373="","","自动A")</f>
        <v/>
      </c>
      <c r="P373" s="18"/>
    </row>
    <row r="374" customFormat="false" ht="18" hidden="false" customHeight="true" outlineLevel="0" collapsed="false">
      <c r="A374" s="107" t="str">
        <f aca="false">IF($E374="","",ROW()-3)</f>
        <v/>
      </c>
      <c r="B374" s="110" t="str">
        <f aca="false">IF($E374="","",INDEX(进销存对接!$C$4:$C$305,124))</f>
        <v/>
      </c>
      <c r="C374" s="67" t="str">
        <f aca="false">IF($E374="","","记-"&amp;TEXT($B374,"YYYYMM")&amp;"-进销存")</f>
        <v/>
      </c>
      <c r="D374" s="107" t="str">
        <f aca="false">IF($E374="","",INDEX(进销存对接!$D$4:$D$305,124)&amp;" "&amp;TEXT($B374,"YYYY年M月")&amp;" 自动结转")</f>
        <v/>
      </c>
      <c r="E374" s="67" t="str">
        <f aca="false">IF(INDEX(进销存对接!$M$4:$U$305,124,4)=0,"",INDEX(进销存对接!$M$4:$U$305,124,4))</f>
        <v/>
      </c>
      <c r="F374" s="99" t="str">
        <f aca="false">IF($E374="","",IFERROR(INDEX(科目表!$A$4:$A$81,MATCH($E374,科目表!$B$4:$B$81,0)),""))</f>
        <v/>
      </c>
      <c r="G374" s="67" t="str">
        <f aca="false">IF($E374="","",IFERROR(INDEX(科目表!$E$4:$E$81,MATCH($E374,科目表!$B$4:$B$81,0)),""))</f>
        <v/>
      </c>
      <c r="H374" s="70" t="str">
        <f aca="false">IF($E374="","",N(INDEX(进销存对接!$M$4:$U$305,124,5)))</f>
        <v/>
      </c>
      <c r="I374" s="70" t="str">
        <f aca="false">IF($E374="","",N(INDEX(进销存对接!$M$4:$U$305,124,6)))</f>
        <v/>
      </c>
      <c r="J374" s="67"/>
      <c r="K374" s="67" t="str">
        <f aca="false">IF($E374="","",INDEX(进销存对接!$D$4:$D$305,124))</f>
        <v/>
      </c>
      <c r="L374" s="107"/>
      <c r="M374" s="107"/>
      <c r="N374" s="67" t="str">
        <f aca="false">IF($E374="","","系统")</f>
        <v/>
      </c>
      <c r="O374" s="67" t="str">
        <f aca="false">IF($E374="","","自动A")</f>
        <v/>
      </c>
      <c r="P374" s="18"/>
    </row>
    <row r="375" customFormat="false" ht="18" hidden="false" customHeight="true" outlineLevel="0" collapsed="false">
      <c r="A375" s="107" t="str">
        <f aca="false">IF($E375="","",ROW()-3)</f>
        <v/>
      </c>
      <c r="B375" s="110" t="str">
        <f aca="false">IF($E375="","",INDEX(进销存对接!$C$4:$C$305,124))</f>
        <v/>
      </c>
      <c r="C375" s="67" t="str">
        <f aca="false">IF($E375="","","记-"&amp;TEXT($B375,"YYYYMM")&amp;"-进销存")</f>
        <v/>
      </c>
      <c r="D375" s="107" t="str">
        <f aca="false">IF($E375="","",INDEX(进销存对接!$D$4:$D$305,124)&amp;" "&amp;TEXT($B375,"YYYY年M月")&amp;" 自动结转")</f>
        <v/>
      </c>
      <c r="E375" s="67" t="str">
        <f aca="false">IF(INDEX(进销存对接!$M$4:$U$305,124,7)=0,"",INDEX(进销存对接!$M$4:$U$305,124,7))</f>
        <v/>
      </c>
      <c r="F375" s="99" t="str">
        <f aca="false">IF($E375="","",IFERROR(INDEX(科目表!$A$4:$A$81,MATCH($E375,科目表!$B$4:$B$81,0)),""))</f>
        <v/>
      </c>
      <c r="G375" s="67" t="str">
        <f aca="false">IF($E375="","",IFERROR(INDEX(科目表!$E$4:$E$81,MATCH($E375,科目表!$B$4:$B$81,0)),""))</f>
        <v/>
      </c>
      <c r="H375" s="70" t="str">
        <f aca="false">IF($E375="","",N(INDEX(进销存对接!$M$4:$U$305,124,8)))</f>
        <v/>
      </c>
      <c r="I375" s="70" t="str">
        <f aca="false">IF($E375="","",N(INDEX(进销存对接!$M$4:$U$305,124,9)))</f>
        <v/>
      </c>
      <c r="J375" s="67"/>
      <c r="K375" s="67" t="str">
        <f aca="false">IF($E375="","",INDEX(进销存对接!$D$4:$D$305,124))</f>
        <v/>
      </c>
      <c r="L375" s="107"/>
      <c r="M375" s="107"/>
      <c r="N375" s="67" t="str">
        <f aca="false">IF($E375="","","系统")</f>
        <v/>
      </c>
      <c r="O375" s="67" t="str">
        <f aca="false">IF($E375="","","自动A")</f>
        <v/>
      </c>
      <c r="P375" s="18"/>
    </row>
    <row r="376" customFormat="false" ht="18" hidden="false" customHeight="true" outlineLevel="0" collapsed="false">
      <c r="A376" s="107" t="str">
        <f aca="false">IF($E376="","",ROW()-3)</f>
        <v/>
      </c>
      <c r="B376" s="110" t="str">
        <f aca="false">IF($E376="","",INDEX(进销存对接!$C$4:$C$305,125))</f>
        <v/>
      </c>
      <c r="C376" s="67" t="str">
        <f aca="false">IF($E376="","","记-"&amp;TEXT($B376,"YYYYMM")&amp;"-进销存")</f>
        <v/>
      </c>
      <c r="D376" s="107" t="str">
        <f aca="false">IF($E376="","",INDEX(进销存对接!$D$4:$D$305,125)&amp;" "&amp;TEXT($B376,"YYYY年M月")&amp;" 自动结转")</f>
        <v/>
      </c>
      <c r="E376" s="67" t="str">
        <f aca="false">IF(INDEX(进销存对接!$M$4:$U$305,125,1)=0,"",INDEX(进销存对接!$M$4:$U$305,125,1))</f>
        <v/>
      </c>
      <c r="F376" s="99" t="str">
        <f aca="false">IF($E376="","",IFERROR(INDEX(科目表!$A$4:$A$81,MATCH($E376,科目表!$B$4:$B$81,0)),""))</f>
        <v/>
      </c>
      <c r="G376" s="67" t="str">
        <f aca="false">IF($E376="","",IFERROR(INDEX(科目表!$E$4:$E$81,MATCH($E376,科目表!$B$4:$B$81,0)),""))</f>
        <v/>
      </c>
      <c r="H376" s="70" t="str">
        <f aca="false">IF($E376="","",N(INDEX(进销存对接!$M$4:$U$305,125,2)))</f>
        <v/>
      </c>
      <c r="I376" s="70" t="str">
        <f aca="false">IF($E376="","",N(INDEX(进销存对接!$M$4:$U$305,125,3)))</f>
        <v/>
      </c>
      <c r="J376" s="67"/>
      <c r="K376" s="67" t="str">
        <f aca="false">IF($E376="","",INDEX(进销存对接!$D$4:$D$305,125))</f>
        <v/>
      </c>
      <c r="L376" s="107"/>
      <c r="M376" s="107"/>
      <c r="N376" s="67" t="str">
        <f aca="false">IF($E376="","","系统")</f>
        <v/>
      </c>
      <c r="O376" s="67" t="str">
        <f aca="false">IF($E376="","","自动A")</f>
        <v/>
      </c>
      <c r="P376" s="18"/>
    </row>
    <row r="377" customFormat="false" ht="18" hidden="false" customHeight="true" outlineLevel="0" collapsed="false">
      <c r="A377" s="107" t="str">
        <f aca="false">IF($E377="","",ROW()-3)</f>
        <v/>
      </c>
      <c r="B377" s="110" t="str">
        <f aca="false">IF($E377="","",INDEX(进销存对接!$C$4:$C$305,125))</f>
        <v/>
      </c>
      <c r="C377" s="67" t="str">
        <f aca="false">IF($E377="","","记-"&amp;TEXT($B377,"YYYYMM")&amp;"-进销存")</f>
        <v/>
      </c>
      <c r="D377" s="107" t="str">
        <f aca="false">IF($E377="","",INDEX(进销存对接!$D$4:$D$305,125)&amp;" "&amp;TEXT($B377,"YYYY年M月")&amp;" 自动结转")</f>
        <v/>
      </c>
      <c r="E377" s="67" t="str">
        <f aca="false">IF(INDEX(进销存对接!$M$4:$U$305,125,4)=0,"",INDEX(进销存对接!$M$4:$U$305,125,4))</f>
        <v/>
      </c>
      <c r="F377" s="99" t="str">
        <f aca="false">IF($E377="","",IFERROR(INDEX(科目表!$A$4:$A$81,MATCH($E377,科目表!$B$4:$B$81,0)),""))</f>
        <v/>
      </c>
      <c r="G377" s="67" t="str">
        <f aca="false">IF($E377="","",IFERROR(INDEX(科目表!$E$4:$E$81,MATCH($E377,科目表!$B$4:$B$81,0)),""))</f>
        <v/>
      </c>
      <c r="H377" s="70" t="str">
        <f aca="false">IF($E377="","",N(INDEX(进销存对接!$M$4:$U$305,125,5)))</f>
        <v/>
      </c>
      <c r="I377" s="70" t="str">
        <f aca="false">IF($E377="","",N(INDEX(进销存对接!$M$4:$U$305,125,6)))</f>
        <v/>
      </c>
      <c r="J377" s="67"/>
      <c r="K377" s="67" t="str">
        <f aca="false">IF($E377="","",INDEX(进销存对接!$D$4:$D$305,125))</f>
        <v/>
      </c>
      <c r="L377" s="107"/>
      <c r="M377" s="107"/>
      <c r="N377" s="67" t="str">
        <f aca="false">IF($E377="","","系统")</f>
        <v/>
      </c>
      <c r="O377" s="67" t="str">
        <f aca="false">IF($E377="","","自动A")</f>
        <v/>
      </c>
      <c r="P377" s="18"/>
    </row>
    <row r="378" customFormat="false" ht="18" hidden="false" customHeight="true" outlineLevel="0" collapsed="false">
      <c r="A378" s="107" t="str">
        <f aca="false">IF($E378="","",ROW()-3)</f>
        <v/>
      </c>
      <c r="B378" s="110" t="str">
        <f aca="false">IF($E378="","",INDEX(进销存对接!$C$4:$C$305,125))</f>
        <v/>
      </c>
      <c r="C378" s="67" t="str">
        <f aca="false">IF($E378="","","记-"&amp;TEXT($B378,"YYYYMM")&amp;"-进销存")</f>
        <v/>
      </c>
      <c r="D378" s="107" t="str">
        <f aca="false">IF($E378="","",INDEX(进销存对接!$D$4:$D$305,125)&amp;" "&amp;TEXT($B378,"YYYY年M月")&amp;" 自动结转")</f>
        <v/>
      </c>
      <c r="E378" s="67" t="str">
        <f aca="false">IF(INDEX(进销存对接!$M$4:$U$305,125,7)=0,"",INDEX(进销存对接!$M$4:$U$305,125,7))</f>
        <v/>
      </c>
      <c r="F378" s="99" t="str">
        <f aca="false">IF($E378="","",IFERROR(INDEX(科目表!$A$4:$A$81,MATCH($E378,科目表!$B$4:$B$81,0)),""))</f>
        <v/>
      </c>
      <c r="G378" s="67" t="str">
        <f aca="false">IF($E378="","",IFERROR(INDEX(科目表!$E$4:$E$81,MATCH($E378,科目表!$B$4:$B$81,0)),""))</f>
        <v/>
      </c>
      <c r="H378" s="70" t="str">
        <f aca="false">IF($E378="","",N(INDEX(进销存对接!$M$4:$U$305,125,8)))</f>
        <v/>
      </c>
      <c r="I378" s="70" t="str">
        <f aca="false">IF($E378="","",N(INDEX(进销存对接!$M$4:$U$305,125,9)))</f>
        <v/>
      </c>
      <c r="J378" s="67"/>
      <c r="K378" s="67" t="str">
        <f aca="false">IF($E378="","",INDEX(进销存对接!$D$4:$D$305,125))</f>
        <v/>
      </c>
      <c r="L378" s="107"/>
      <c r="M378" s="107"/>
      <c r="N378" s="67" t="str">
        <f aca="false">IF($E378="","","系统")</f>
        <v/>
      </c>
      <c r="O378" s="67" t="str">
        <f aca="false">IF($E378="","","自动A")</f>
        <v/>
      </c>
      <c r="P378" s="18"/>
    </row>
    <row r="379" customFormat="false" ht="18" hidden="false" customHeight="true" outlineLevel="0" collapsed="false">
      <c r="A379" s="107" t="str">
        <f aca="false">IF($E379="","",ROW()-3)</f>
        <v/>
      </c>
      <c r="B379" s="110" t="str">
        <f aca="false">IF($E379="","",INDEX(进销存对接!$C$4:$C$305,126))</f>
        <v/>
      </c>
      <c r="C379" s="67" t="str">
        <f aca="false">IF($E379="","","记-"&amp;TEXT($B379,"YYYYMM")&amp;"-进销存")</f>
        <v/>
      </c>
      <c r="D379" s="107" t="str">
        <f aca="false">IF($E379="","",INDEX(进销存对接!$D$4:$D$305,126)&amp;" "&amp;TEXT($B379,"YYYY年M月")&amp;" 自动结转")</f>
        <v/>
      </c>
      <c r="E379" s="67" t="str">
        <f aca="false">IF(INDEX(进销存对接!$M$4:$U$305,126,1)=0,"",INDEX(进销存对接!$M$4:$U$305,126,1))</f>
        <v/>
      </c>
      <c r="F379" s="99" t="str">
        <f aca="false">IF($E379="","",IFERROR(INDEX(科目表!$A$4:$A$81,MATCH($E379,科目表!$B$4:$B$81,0)),""))</f>
        <v/>
      </c>
      <c r="G379" s="67" t="str">
        <f aca="false">IF($E379="","",IFERROR(INDEX(科目表!$E$4:$E$81,MATCH($E379,科目表!$B$4:$B$81,0)),""))</f>
        <v/>
      </c>
      <c r="H379" s="70" t="str">
        <f aca="false">IF($E379="","",N(INDEX(进销存对接!$M$4:$U$305,126,2)))</f>
        <v/>
      </c>
      <c r="I379" s="70" t="str">
        <f aca="false">IF($E379="","",N(INDEX(进销存对接!$M$4:$U$305,126,3)))</f>
        <v/>
      </c>
      <c r="J379" s="67"/>
      <c r="K379" s="67" t="str">
        <f aca="false">IF($E379="","",INDEX(进销存对接!$D$4:$D$305,126))</f>
        <v/>
      </c>
      <c r="L379" s="107"/>
      <c r="M379" s="107"/>
      <c r="N379" s="67" t="str">
        <f aca="false">IF($E379="","","系统")</f>
        <v/>
      </c>
      <c r="O379" s="67" t="str">
        <f aca="false">IF($E379="","","自动A")</f>
        <v/>
      </c>
      <c r="P379" s="18"/>
    </row>
    <row r="380" customFormat="false" ht="18" hidden="false" customHeight="true" outlineLevel="0" collapsed="false">
      <c r="A380" s="107" t="str">
        <f aca="false">IF($E380="","",ROW()-3)</f>
        <v/>
      </c>
      <c r="B380" s="110" t="str">
        <f aca="false">IF($E380="","",INDEX(进销存对接!$C$4:$C$305,126))</f>
        <v/>
      </c>
      <c r="C380" s="67" t="str">
        <f aca="false">IF($E380="","","记-"&amp;TEXT($B380,"YYYYMM")&amp;"-进销存")</f>
        <v/>
      </c>
      <c r="D380" s="107" t="str">
        <f aca="false">IF($E380="","",INDEX(进销存对接!$D$4:$D$305,126)&amp;" "&amp;TEXT($B380,"YYYY年M月")&amp;" 自动结转")</f>
        <v/>
      </c>
      <c r="E380" s="67" t="str">
        <f aca="false">IF(INDEX(进销存对接!$M$4:$U$305,126,4)=0,"",INDEX(进销存对接!$M$4:$U$305,126,4))</f>
        <v/>
      </c>
      <c r="F380" s="99" t="str">
        <f aca="false">IF($E380="","",IFERROR(INDEX(科目表!$A$4:$A$81,MATCH($E380,科目表!$B$4:$B$81,0)),""))</f>
        <v/>
      </c>
      <c r="G380" s="67" t="str">
        <f aca="false">IF($E380="","",IFERROR(INDEX(科目表!$E$4:$E$81,MATCH($E380,科目表!$B$4:$B$81,0)),""))</f>
        <v/>
      </c>
      <c r="H380" s="70" t="str">
        <f aca="false">IF($E380="","",N(INDEX(进销存对接!$M$4:$U$305,126,5)))</f>
        <v/>
      </c>
      <c r="I380" s="70" t="str">
        <f aca="false">IF($E380="","",N(INDEX(进销存对接!$M$4:$U$305,126,6)))</f>
        <v/>
      </c>
      <c r="J380" s="67"/>
      <c r="K380" s="67" t="str">
        <f aca="false">IF($E380="","",INDEX(进销存对接!$D$4:$D$305,126))</f>
        <v/>
      </c>
      <c r="L380" s="107"/>
      <c r="M380" s="107"/>
      <c r="N380" s="67" t="str">
        <f aca="false">IF($E380="","","系统")</f>
        <v/>
      </c>
      <c r="O380" s="67" t="str">
        <f aca="false">IF($E380="","","自动A")</f>
        <v/>
      </c>
      <c r="P380" s="18"/>
    </row>
    <row r="381" customFormat="false" ht="18" hidden="false" customHeight="true" outlineLevel="0" collapsed="false">
      <c r="A381" s="107" t="str">
        <f aca="false">IF($E381="","",ROW()-3)</f>
        <v/>
      </c>
      <c r="B381" s="110" t="str">
        <f aca="false">IF($E381="","",INDEX(进销存对接!$C$4:$C$305,126))</f>
        <v/>
      </c>
      <c r="C381" s="67" t="str">
        <f aca="false">IF($E381="","","记-"&amp;TEXT($B381,"YYYYMM")&amp;"-进销存")</f>
        <v/>
      </c>
      <c r="D381" s="107" t="str">
        <f aca="false">IF($E381="","",INDEX(进销存对接!$D$4:$D$305,126)&amp;" "&amp;TEXT($B381,"YYYY年M月")&amp;" 自动结转")</f>
        <v/>
      </c>
      <c r="E381" s="67" t="str">
        <f aca="false">IF(INDEX(进销存对接!$M$4:$U$305,126,7)=0,"",INDEX(进销存对接!$M$4:$U$305,126,7))</f>
        <v/>
      </c>
      <c r="F381" s="99" t="str">
        <f aca="false">IF($E381="","",IFERROR(INDEX(科目表!$A$4:$A$81,MATCH($E381,科目表!$B$4:$B$81,0)),""))</f>
        <v/>
      </c>
      <c r="G381" s="67" t="str">
        <f aca="false">IF($E381="","",IFERROR(INDEX(科目表!$E$4:$E$81,MATCH($E381,科目表!$B$4:$B$81,0)),""))</f>
        <v/>
      </c>
      <c r="H381" s="70" t="str">
        <f aca="false">IF($E381="","",N(INDEX(进销存对接!$M$4:$U$305,126,8)))</f>
        <v/>
      </c>
      <c r="I381" s="70" t="str">
        <f aca="false">IF($E381="","",N(INDEX(进销存对接!$M$4:$U$305,126,9)))</f>
        <v/>
      </c>
      <c r="J381" s="67"/>
      <c r="K381" s="67" t="str">
        <f aca="false">IF($E381="","",INDEX(进销存对接!$D$4:$D$305,126))</f>
        <v/>
      </c>
      <c r="L381" s="107"/>
      <c r="M381" s="107"/>
      <c r="N381" s="67" t="str">
        <f aca="false">IF($E381="","","系统")</f>
        <v/>
      </c>
      <c r="O381" s="67" t="str">
        <f aca="false">IF($E381="","","自动A")</f>
        <v/>
      </c>
      <c r="P381" s="18"/>
    </row>
    <row r="382" customFormat="false" ht="18" hidden="false" customHeight="true" outlineLevel="0" collapsed="false">
      <c r="A382" s="107" t="str">
        <f aca="false">IF($E382="","",ROW()-3)</f>
        <v/>
      </c>
      <c r="B382" s="110" t="str">
        <f aca="false">IF($E382="","",INDEX(进销存对接!$C$4:$C$305,127))</f>
        <v/>
      </c>
      <c r="C382" s="67" t="str">
        <f aca="false">IF($E382="","","记-"&amp;TEXT($B382,"YYYYMM")&amp;"-进销存")</f>
        <v/>
      </c>
      <c r="D382" s="107" t="str">
        <f aca="false">IF($E382="","",INDEX(进销存对接!$D$4:$D$305,127)&amp;" "&amp;TEXT($B382,"YYYY年M月")&amp;" 自动结转")</f>
        <v/>
      </c>
      <c r="E382" s="67" t="str">
        <f aca="false">IF(INDEX(进销存对接!$M$4:$U$305,127,1)=0,"",INDEX(进销存对接!$M$4:$U$305,127,1))</f>
        <v/>
      </c>
      <c r="F382" s="99" t="str">
        <f aca="false">IF($E382="","",IFERROR(INDEX(科目表!$A$4:$A$81,MATCH($E382,科目表!$B$4:$B$81,0)),""))</f>
        <v/>
      </c>
      <c r="G382" s="67" t="str">
        <f aca="false">IF($E382="","",IFERROR(INDEX(科目表!$E$4:$E$81,MATCH($E382,科目表!$B$4:$B$81,0)),""))</f>
        <v/>
      </c>
      <c r="H382" s="70" t="str">
        <f aca="false">IF($E382="","",N(INDEX(进销存对接!$M$4:$U$305,127,2)))</f>
        <v/>
      </c>
      <c r="I382" s="70" t="str">
        <f aca="false">IF($E382="","",N(INDEX(进销存对接!$M$4:$U$305,127,3)))</f>
        <v/>
      </c>
      <c r="J382" s="67"/>
      <c r="K382" s="67" t="str">
        <f aca="false">IF($E382="","",INDEX(进销存对接!$D$4:$D$305,127))</f>
        <v/>
      </c>
      <c r="L382" s="107"/>
      <c r="M382" s="107"/>
      <c r="N382" s="67" t="str">
        <f aca="false">IF($E382="","","系统")</f>
        <v/>
      </c>
      <c r="O382" s="67" t="str">
        <f aca="false">IF($E382="","","自动A")</f>
        <v/>
      </c>
      <c r="P382" s="18"/>
    </row>
    <row r="383" customFormat="false" ht="18" hidden="false" customHeight="true" outlineLevel="0" collapsed="false">
      <c r="A383" s="107" t="str">
        <f aca="false">IF($E383="","",ROW()-3)</f>
        <v/>
      </c>
      <c r="B383" s="110" t="str">
        <f aca="false">IF($E383="","",INDEX(进销存对接!$C$4:$C$305,127))</f>
        <v/>
      </c>
      <c r="C383" s="67" t="str">
        <f aca="false">IF($E383="","","记-"&amp;TEXT($B383,"YYYYMM")&amp;"-进销存")</f>
        <v/>
      </c>
      <c r="D383" s="107" t="str">
        <f aca="false">IF($E383="","",INDEX(进销存对接!$D$4:$D$305,127)&amp;" "&amp;TEXT($B383,"YYYY年M月")&amp;" 自动结转")</f>
        <v/>
      </c>
      <c r="E383" s="67" t="str">
        <f aca="false">IF(INDEX(进销存对接!$M$4:$U$305,127,4)=0,"",INDEX(进销存对接!$M$4:$U$305,127,4))</f>
        <v/>
      </c>
      <c r="F383" s="99" t="str">
        <f aca="false">IF($E383="","",IFERROR(INDEX(科目表!$A$4:$A$81,MATCH($E383,科目表!$B$4:$B$81,0)),""))</f>
        <v/>
      </c>
      <c r="G383" s="67" t="str">
        <f aca="false">IF($E383="","",IFERROR(INDEX(科目表!$E$4:$E$81,MATCH($E383,科目表!$B$4:$B$81,0)),""))</f>
        <v/>
      </c>
      <c r="H383" s="70" t="str">
        <f aca="false">IF($E383="","",N(INDEX(进销存对接!$M$4:$U$305,127,5)))</f>
        <v/>
      </c>
      <c r="I383" s="70" t="str">
        <f aca="false">IF($E383="","",N(INDEX(进销存对接!$M$4:$U$305,127,6)))</f>
        <v/>
      </c>
      <c r="J383" s="67"/>
      <c r="K383" s="67" t="str">
        <f aca="false">IF($E383="","",INDEX(进销存对接!$D$4:$D$305,127))</f>
        <v/>
      </c>
      <c r="L383" s="107"/>
      <c r="M383" s="107"/>
      <c r="N383" s="67" t="str">
        <f aca="false">IF($E383="","","系统")</f>
        <v/>
      </c>
      <c r="O383" s="67" t="str">
        <f aca="false">IF($E383="","","自动A")</f>
        <v/>
      </c>
      <c r="P383" s="18"/>
    </row>
    <row r="384" customFormat="false" ht="18" hidden="false" customHeight="true" outlineLevel="0" collapsed="false">
      <c r="A384" s="107" t="str">
        <f aca="false">IF($E384="","",ROW()-3)</f>
        <v/>
      </c>
      <c r="B384" s="110" t="str">
        <f aca="false">IF($E384="","",INDEX(进销存对接!$C$4:$C$305,127))</f>
        <v/>
      </c>
      <c r="C384" s="67" t="str">
        <f aca="false">IF($E384="","","记-"&amp;TEXT($B384,"YYYYMM")&amp;"-进销存")</f>
        <v/>
      </c>
      <c r="D384" s="107" t="str">
        <f aca="false">IF($E384="","",INDEX(进销存对接!$D$4:$D$305,127)&amp;" "&amp;TEXT($B384,"YYYY年M月")&amp;" 自动结转")</f>
        <v/>
      </c>
      <c r="E384" s="67" t="str">
        <f aca="false">IF(INDEX(进销存对接!$M$4:$U$305,127,7)=0,"",INDEX(进销存对接!$M$4:$U$305,127,7))</f>
        <v/>
      </c>
      <c r="F384" s="99" t="str">
        <f aca="false">IF($E384="","",IFERROR(INDEX(科目表!$A$4:$A$81,MATCH($E384,科目表!$B$4:$B$81,0)),""))</f>
        <v/>
      </c>
      <c r="G384" s="67" t="str">
        <f aca="false">IF($E384="","",IFERROR(INDEX(科目表!$E$4:$E$81,MATCH($E384,科目表!$B$4:$B$81,0)),""))</f>
        <v/>
      </c>
      <c r="H384" s="70" t="str">
        <f aca="false">IF($E384="","",N(INDEX(进销存对接!$M$4:$U$305,127,8)))</f>
        <v/>
      </c>
      <c r="I384" s="70" t="str">
        <f aca="false">IF($E384="","",N(INDEX(进销存对接!$M$4:$U$305,127,9)))</f>
        <v/>
      </c>
      <c r="J384" s="67"/>
      <c r="K384" s="67" t="str">
        <f aca="false">IF($E384="","",INDEX(进销存对接!$D$4:$D$305,127))</f>
        <v/>
      </c>
      <c r="L384" s="107"/>
      <c r="M384" s="107"/>
      <c r="N384" s="67" t="str">
        <f aca="false">IF($E384="","","系统")</f>
        <v/>
      </c>
      <c r="O384" s="67" t="str">
        <f aca="false">IF($E384="","","自动A")</f>
        <v/>
      </c>
      <c r="P384" s="18"/>
    </row>
    <row r="385" customFormat="false" ht="18" hidden="false" customHeight="true" outlineLevel="0" collapsed="false">
      <c r="A385" s="107" t="str">
        <f aca="false">IF($E385="","",ROW()-3)</f>
        <v/>
      </c>
      <c r="B385" s="110" t="str">
        <f aca="false">IF($E385="","",INDEX(进销存对接!$C$4:$C$305,128))</f>
        <v/>
      </c>
      <c r="C385" s="67" t="str">
        <f aca="false">IF($E385="","","记-"&amp;TEXT($B385,"YYYYMM")&amp;"-进销存")</f>
        <v/>
      </c>
      <c r="D385" s="107" t="str">
        <f aca="false">IF($E385="","",INDEX(进销存对接!$D$4:$D$305,128)&amp;" "&amp;TEXT($B385,"YYYY年M月")&amp;" 自动结转")</f>
        <v/>
      </c>
      <c r="E385" s="67" t="str">
        <f aca="false">IF(INDEX(进销存对接!$M$4:$U$305,128,1)=0,"",INDEX(进销存对接!$M$4:$U$305,128,1))</f>
        <v/>
      </c>
      <c r="F385" s="99" t="str">
        <f aca="false">IF($E385="","",IFERROR(INDEX(科目表!$A$4:$A$81,MATCH($E385,科目表!$B$4:$B$81,0)),""))</f>
        <v/>
      </c>
      <c r="G385" s="67" t="str">
        <f aca="false">IF($E385="","",IFERROR(INDEX(科目表!$E$4:$E$81,MATCH($E385,科目表!$B$4:$B$81,0)),""))</f>
        <v/>
      </c>
      <c r="H385" s="70" t="str">
        <f aca="false">IF($E385="","",N(INDEX(进销存对接!$M$4:$U$305,128,2)))</f>
        <v/>
      </c>
      <c r="I385" s="70" t="str">
        <f aca="false">IF($E385="","",N(INDEX(进销存对接!$M$4:$U$305,128,3)))</f>
        <v/>
      </c>
      <c r="J385" s="67"/>
      <c r="K385" s="67" t="str">
        <f aca="false">IF($E385="","",INDEX(进销存对接!$D$4:$D$305,128))</f>
        <v/>
      </c>
      <c r="L385" s="107"/>
      <c r="M385" s="107"/>
      <c r="N385" s="67" t="str">
        <f aca="false">IF($E385="","","系统")</f>
        <v/>
      </c>
      <c r="O385" s="67" t="str">
        <f aca="false">IF($E385="","","自动A")</f>
        <v/>
      </c>
      <c r="P385" s="18"/>
    </row>
    <row r="386" customFormat="false" ht="18" hidden="false" customHeight="true" outlineLevel="0" collapsed="false">
      <c r="A386" s="107" t="str">
        <f aca="false">IF($E386="","",ROW()-3)</f>
        <v/>
      </c>
      <c r="B386" s="110" t="str">
        <f aca="false">IF($E386="","",INDEX(进销存对接!$C$4:$C$305,128))</f>
        <v/>
      </c>
      <c r="C386" s="67" t="str">
        <f aca="false">IF($E386="","","记-"&amp;TEXT($B386,"YYYYMM")&amp;"-进销存")</f>
        <v/>
      </c>
      <c r="D386" s="107" t="str">
        <f aca="false">IF($E386="","",INDEX(进销存对接!$D$4:$D$305,128)&amp;" "&amp;TEXT($B386,"YYYY年M月")&amp;" 自动结转")</f>
        <v/>
      </c>
      <c r="E386" s="67" t="str">
        <f aca="false">IF(INDEX(进销存对接!$M$4:$U$305,128,4)=0,"",INDEX(进销存对接!$M$4:$U$305,128,4))</f>
        <v/>
      </c>
      <c r="F386" s="99" t="str">
        <f aca="false">IF($E386="","",IFERROR(INDEX(科目表!$A$4:$A$81,MATCH($E386,科目表!$B$4:$B$81,0)),""))</f>
        <v/>
      </c>
      <c r="G386" s="67" t="str">
        <f aca="false">IF($E386="","",IFERROR(INDEX(科目表!$E$4:$E$81,MATCH($E386,科目表!$B$4:$B$81,0)),""))</f>
        <v/>
      </c>
      <c r="H386" s="70" t="str">
        <f aca="false">IF($E386="","",N(INDEX(进销存对接!$M$4:$U$305,128,5)))</f>
        <v/>
      </c>
      <c r="I386" s="70" t="str">
        <f aca="false">IF($E386="","",N(INDEX(进销存对接!$M$4:$U$305,128,6)))</f>
        <v/>
      </c>
      <c r="J386" s="67"/>
      <c r="K386" s="67" t="str">
        <f aca="false">IF($E386="","",INDEX(进销存对接!$D$4:$D$305,128))</f>
        <v/>
      </c>
      <c r="L386" s="107"/>
      <c r="M386" s="107"/>
      <c r="N386" s="67" t="str">
        <f aca="false">IF($E386="","","系统")</f>
        <v/>
      </c>
      <c r="O386" s="67" t="str">
        <f aca="false">IF($E386="","","自动A")</f>
        <v/>
      </c>
      <c r="P386" s="18"/>
    </row>
    <row r="387" customFormat="false" ht="18" hidden="false" customHeight="true" outlineLevel="0" collapsed="false">
      <c r="A387" s="107" t="str">
        <f aca="false">IF($E387="","",ROW()-3)</f>
        <v/>
      </c>
      <c r="B387" s="110" t="str">
        <f aca="false">IF($E387="","",INDEX(进销存对接!$C$4:$C$305,128))</f>
        <v/>
      </c>
      <c r="C387" s="67" t="str">
        <f aca="false">IF($E387="","","记-"&amp;TEXT($B387,"YYYYMM")&amp;"-进销存")</f>
        <v/>
      </c>
      <c r="D387" s="107" t="str">
        <f aca="false">IF($E387="","",INDEX(进销存对接!$D$4:$D$305,128)&amp;" "&amp;TEXT($B387,"YYYY年M月")&amp;" 自动结转")</f>
        <v/>
      </c>
      <c r="E387" s="67" t="str">
        <f aca="false">IF(INDEX(进销存对接!$M$4:$U$305,128,7)=0,"",INDEX(进销存对接!$M$4:$U$305,128,7))</f>
        <v/>
      </c>
      <c r="F387" s="99" t="str">
        <f aca="false">IF($E387="","",IFERROR(INDEX(科目表!$A$4:$A$81,MATCH($E387,科目表!$B$4:$B$81,0)),""))</f>
        <v/>
      </c>
      <c r="G387" s="67" t="str">
        <f aca="false">IF($E387="","",IFERROR(INDEX(科目表!$E$4:$E$81,MATCH($E387,科目表!$B$4:$B$81,0)),""))</f>
        <v/>
      </c>
      <c r="H387" s="70" t="str">
        <f aca="false">IF($E387="","",N(INDEX(进销存对接!$M$4:$U$305,128,8)))</f>
        <v/>
      </c>
      <c r="I387" s="70" t="str">
        <f aca="false">IF($E387="","",N(INDEX(进销存对接!$M$4:$U$305,128,9)))</f>
        <v/>
      </c>
      <c r="J387" s="67"/>
      <c r="K387" s="67" t="str">
        <f aca="false">IF($E387="","",INDEX(进销存对接!$D$4:$D$305,128))</f>
        <v/>
      </c>
      <c r="L387" s="107"/>
      <c r="M387" s="107"/>
      <c r="N387" s="67" t="str">
        <f aca="false">IF($E387="","","系统")</f>
        <v/>
      </c>
      <c r="O387" s="67" t="str">
        <f aca="false">IF($E387="","","自动A")</f>
        <v/>
      </c>
      <c r="P387" s="18"/>
    </row>
    <row r="388" customFormat="false" ht="18" hidden="false" customHeight="true" outlineLevel="0" collapsed="false">
      <c r="A388" s="107" t="str">
        <f aca="false">IF($E388="","",ROW()-3)</f>
        <v/>
      </c>
      <c r="B388" s="110" t="str">
        <f aca="false">IF($E388="","",INDEX(进销存对接!$C$4:$C$305,129))</f>
        <v/>
      </c>
      <c r="C388" s="67" t="str">
        <f aca="false">IF($E388="","","记-"&amp;TEXT($B388,"YYYYMM")&amp;"-进销存")</f>
        <v/>
      </c>
      <c r="D388" s="107" t="str">
        <f aca="false">IF($E388="","",INDEX(进销存对接!$D$4:$D$305,129)&amp;" "&amp;TEXT($B388,"YYYY年M月")&amp;" 自动结转")</f>
        <v/>
      </c>
      <c r="E388" s="67" t="str">
        <f aca="false">IF(INDEX(进销存对接!$M$4:$U$305,129,1)=0,"",INDEX(进销存对接!$M$4:$U$305,129,1))</f>
        <v/>
      </c>
      <c r="F388" s="99" t="str">
        <f aca="false">IF($E388="","",IFERROR(INDEX(科目表!$A$4:$A$81,MATCH($E388,科目表!$B$4:$B$81,0)),""))</f>
        <v/>
      </c>
      <c r="G388" s="67" t="str">
        <f aca="false">IF($E388="","",IFERROR(INDEX(科目表!$E$4:$E$81,MATCH($E388,科目表!$B$4:$B$81,0)),""))</f>
        <v/>
      </c>
      <c r="H388" s="70" t="str">
        <f aca="false">IF($E388="","",N(INDEX(进销存对接!$M$4:$U$305,129,2)))</f>
        <v/>
      </c>
      <c r="I388" s="70" t="str">
        <f aca="false">IF($E388="","",N(INDEX(进销存对接!$M$4:$U$305,129,3)))</f>
        <v/>
      </c>
      <c r="J388" s="67"/>
      <c r="K388" s="67" t="str">
        <f aca="false">IF($E388="","",INDEX(进销存对接!$D$4:$D$305,129))</f>
        <v/>
      </c>
      <c r="L388" s="107"/>
      <c r="M388" s="107"/>
      <c r="N388" s="67" t="str">
        <f aca="false">IF($E388="","","系统")</f>
        <v/>
      </c>
      <c r="O388" s="67" t="str">
        <f aca="false">IF($E388="","","自动A")</f>
        <v/>
      </c>
      <c r="P388" s="18"/>
    </row>
    <row r="389" customFormat="false" ht="18" hidden="false" customHeight="true" outlineLevel="0" collapsed="false">
      <c r="A389" s="107" t="str">
        <f aca="false">IF($E389="","",ROW()-3)</f>
        <v/>
      </c>
      <c r="B389" s="110" t="str">
        <f aca="false">IF($E389="","",INDEX(进销存对接!$C$4:$C$305,129))</f>
        <v/>
      </c>
      <c r="C389" s="67" t="str">
        <f aca="false">IF($E389="","","记-"&amp;TEXT($B389,"YYYYMM")&amp;"-进销存")</f>
        <v/>
      </c>
      <c r="D389" s="107" t="str">
        <f aca="false">IF($E389="","",INDEX(进销存对接!$D$4:$D$305,129)&amp;" "&amp;TEXT($B389,"YYYY年M月")&amp;" 自动结转")</f>
        <v/>
      </c>
      <c r="E389" s="67" t="str">
        <f aca="false">IF(INDEX(进销存对接!$M$4:$U$305,129,4)=0,"",INDEX(进销存对接!$M$4:$U$305,129,4))</f>
        <v/>
      </c>
      <c r="F389" s="99" t="str">
        <f aca="false">IF($E389="","",IFERROR(INDEX(科目表!$A$4:$A$81,MATCH($E389,科目表!$B$4:$B$81,0)),""))</f>
        <v/>
      </c>
      <c r="G389" s="67" t="str">
        <f aca="false">IF($E389="","",IFERROR(INDEX(科目表!$E$4:$E$81,MATCH($E389,科目表!$B$4:$B$81,0)),""))</f>
        <v/>
      </c>
      <c r="H389" s="70" t="str">
        <f aca="false">IF($E389="","",N(INDEX(进销存对接!$M$4:$U$305,129,5)))</f>
        <v/>
      </c>
      <c r="I389" s="70" t="str">
        <f aca="false">IF($E389="","",N(INDEX(进销存对接!$M$4:$U$305,129,6)))</f>
        <v/>
      </c>
      <c r="J389" s="67"/>
      <c r="K389" s="67" t="str">
        <f aca="false">IF($E389="","",INDEX(进销存对接!$D$4:$D$305,129))</f>
        <v/>
      </c>
      <c r="L389" s="107"/>
      <c r="M389" s="107"/>
      <c r="N389" s="67" t="str">
        <f aca="false">IF($E389="","","系统")</f>
        <v/>
      </c>
      <c r="O389" s="67" t="str">
        <f aca="false">IF($E389="","","自动A")</f>
        <v/>
      </c>
      <c r="P389" s="18"/>
    </row>
    <row r="390" customFormat="false" ht="18" hidden="false" customHeight="true" outlineLevel="0" collapsed="false">
      <c r="A390" s="107" t="str">
        <f aca="false">IF($E390="","",ROW()-3)</f>
        <v/>
      </c>
      <c r="B390" s="110" t="str">
        <f aca="false">IF($E390="","",INDEX(进销存对接!$C$4:$C$305,129))</f>
        <v/>
      </c>
      <c r="C390" s="67" t="str">
        <f aca="false">IF($E390="","","记-"&amp;TEXT($B390,"YYYYMM")&amp;"-进销存")</f>
        <v/>
      </c>
      <c r="D390" s="107" t="str">
        <f aca="false">IF($E390="","",INDEX(进销存对接!$D$4:$D$305,129)&amp;" "&amp;TEXT($B390,"YYYY年M月")&amp;" 自动结转")</f>
        <v/>
      </c>
      <c r="E390" s="67" t="str">
        <f aca="false">IF(INDEX(进销存对接!$M$4:$U$305,129,7)=0,"",INDEX(进销存对接!$M$4:$U$305,129,7))</f>
        <v/>
      </c>
      <c r="F390" s="99" t="str">
        <f aca="false">IF($E390="","",IFERROR(INDEX(科目表!$A$4:$A$81,MATCH($E390,科目表!$B$4:$B$81,0)),""))</f>
        <v/>
      </c>
      <c r="G390" s="67" t="str">
        <f aca="false">IF($E390="","",IFERROR(INDEX(科目表!$E$4:$E$81,MATCH($E390,科目表!$B$4:$B$81,0)),""))</f>
        <v/>
      </c>
      <c r="H390" s="70" t="str">
        <f aca="false">IF($E390="","",N(INDEX(进销存对接!$M$4:$U$305,129,8)))</f>
        <v/>
      </c>
      <c r="I390" s="70" t="str">
        <f aca="false">IF($E390="","",N(INDEX(进销存对接!$M$4:$U$305,129,9)))</f>
        <v/>
      </c>
      <c r="J390" s="67"/>
      <c r="K390" s="67" t="str">
        <f aca="false">IF($E390="","",INDEX(进销存对接!$D$4:$D$305,129))</f>
        <v/>
      </c>
      <c r="L390" s="107"/>
      <c r="M390" s="107"/>
      <c r="N390" s="67" t="str">
        <f aca="false">IF($E390="","","系统")</f>
        <v/>
      </c>
      <c r="O390" s="67" t="str">
        <f aca="false">IF($E390="","","自动A")</f>
        <v/>
      </c>
      <c r="P390" s="18"/>
    </row>
    <row r="391" customFormat="false" ht="18" hidden="false" customHeight="true" outlineLevel="0" collapsed="false">
      <c r="A391" s="107" t="str">
        <f aca="false">IF($E391="","",ROW()-3)</f>
        <v/>
      </c>
      <c r="B391" s="110" t="str">
        <f aca="false">IF($E391="","",INDEX(进销存对接!$C$4:$C$305,130))</f>
        <v/>
      </c>
      <c r="C391" s="67" t="str">
        <f aca="false">IF($E391="","","记-"&amp;TEXT($B391,"YYYYMM")&amp;"-进销存")</f>
        <v/>
      </c>
      <c r="D391" s="107" t="str">
        <f aca="false">IF($E391="","",INDEX(进销存对接!$D$4:$D$305,130)&amp;" "&amp;TEXT($B391,"YYYY年M月")&amp;" 自动结转")</f>
        <v/>
      </c>
      <c r="E391" s="67" t="str">
        <f aca="false">IF(INDEX(进销存对接!$M$4:$U$305,130,1)=0,"",INDEX(进销存对接!$M$4:$U$305,130,1))</f>
        <v/>
      </c>
      <c r="F391" s="99" t="str">
        <f aca="false">IF($E391="","",IFERROR(INDEX(科目表!$A$4:$A$81,MATCH($E391,科目表!$B$4:$B$81,0)),""))</f>
        <v/>
      </c>
      <c r="G391" s="67" t="str">
        <f aca="false">IF($E391="","",IFERROR(INDEX(科目表!$E$4:$E$81,MATCH($E391,科目表!$B$4:$B$81,0)),""))</f>
        <v/>
      </c>
      <c r="H391" s="70" t="str">
        <f aca="false">IF($E391="","",N(INDEX(进销存对接!$M$4:$U$305,130,2)))</f>
        <v/>
      </c>
      <c r="I391" s="70" t="str">
        <f aca="false">IF($E391="","",N(INDEX(进销存对接!$M$4:$U$305,130,3)))</f>
        <v/>
      </c>
      <c r="J391" s="67"/>
      <c r="K391" s="67" t="str">
        <f aca="false">IF($E391="","",INDEX(进销存对接!$D$4:$D$305,130))</f>
        <v/>
      </c>
      <c r="L391" s="107"/>
      <c r="M391" s="107"/>
      <c r="N391" s="67" t="str">
        <f aca="false">IF($E391="","","系统")</f>
        <v/>
      </c>
      <c r="O391" s="67" t="str">
        <f aca="false">IF($E391="","","自动A")</f>
        <v/>
      </c>
      <c r="P391" s="18"/>
    </row>
    <row r="392" customFormat="false" ht="18" hidden="false" customHeight="true" outlineLevel="0" collapsed="false">
      <c r="A392" s="107" t="str">
        <f aca="false">IF($E392="","",ROW()-3)</f>
        <v/>
      </c>
      <c r="B392" s="110" t="str">
        <f aca="false">IF($E392="","",INDEX(进销存对接!$C$4:$C$305,130))</f>
        <v/>
      </c>
      <c r="C392" s="67" t="str">
        <f aca="false">IF($E392="","","记-"&amp;TEXT($B392,"YYYYMM")&amp;"-进销存")</f>
        <v/>
      </c>
      <c r="D392" s="107" t="str">
        <f aca="false">IF($E392="","",INDEX(进销存对接!$D$4:$D$305,130)&amp;" "&amp;TEXT($B392,"YYYY年M月")&amp;" 自动结转")</f>
        <v/>
      </c>
      <c r="E392" s="67" t="str">
        <f aca="false">IF(INDEX(进销存对接!$M$4:$U$305,130,4)=0,"",INDEX(进销存对接!$M$4:$U$305,130,4))</f>
        <v/>
      </c>
      <c r="F392" s="99" t="str">
        <f aca="false">IF($E392="","",IFERROR(INDEX(科目表!$A$4:$A$81,MATCH($E392,科目表!$B$4:$B$81,0)),""))</f>
        <v/>
      </c>
      <c r="G392" s="67" t="str">
        <f aca="false">IF($E392="","",IFERROR(INDEX(科目表!$E$4:$E$81,MATCH($E392,科目表!$B$4:$B$81,0)),""))</f>
        <v/>
      </c>
      <c r="H392" s="70" t="str">
        <f aca="false">IF($E392="","",N(INDEX(进销存对接!$M$4:$U$305,130,5)))</f>
        <v/>
      </c>
      <c r="I392" s="70" t="str">
        <f aca="false">IF($E392="","",N(INDEX(进销存对接!$M$4:$U$305,130,6)))</f>
        <v/>
      </c>
      <c r="J392" s="67"/>
      <c r="K392" s="67" t="str">
        <f aca="false">IF($E392="","",INDEX(进销存对接!$D$4:$D$305,130))</f>
        <v/>
      </c>
      <c r="L392" s="107"/>
      <c r="M392" s="107"/>
      <c r="N392" s="67" t="str">
        <f aca="false">IF($E392="","","系统")</f>
        <v/>
      </c>
      <c r="O392" s="67" t="str">
        <f aca="false">IF($E392="","","自动A")</f>
        <v/>
      </c>
      <c r="P392" s="18"/>
    </row>
    <row r="393" customFormat="false" ht="18" hidden="false" customHeight="true" outlineLevel="0" collapsed="false">
      <c r="A393" s="107" t="str">
        <f aca="false">IF($E393="","",ROW()-3)</f>
        <v/>
      </c>
      <c r="B393" s="110" t="str">
        <f aca="false">IF($E393="","",INDEX(进销存对接!$C$4:$C$305,130))</f>
        <v/>
      </c>
      <c r="C393" s="67" t="str">
        <f aca="false">IF($E393="","","记-"&amp;TEXT($B393,"YYYYMM")&amp;"-进销存")</f>
        <v/>
      </c>
      <c r="D393" s="107" t="str">
        <f aca="false">IF($E393="","",INDEX(进销存对接!$D$4:$D$305,130)&amp;" "&amp;TEXT($B393,"YYYY年M月")&amp;" 自动结转")</f>
        <v/>
      </c>
      <c r="E393" s="67" t="str">
        <f aca="false">IF(INDEX(进销存对接!$M$4:$U$305,130,7)=0,"",INDEX(进销存对接!$M$4:$U$305,130,7))</f>
        <v/>
      </c>
      <c r="F393" s="99" t="str">
        <f aca="false">IF($E393="","",IFERROR(INDEX(科目表!$A$4:$A$81,MATCH($E393,科目表!$B$4:$B$81,0)),""))</f>
        <v/>
      </c>
      <c r="G393" s="67" t="str">
        <f aca="false">IF($E393="","",IFERROR(INDEX(科目表!$E$4:$E$81,MATCH($E393,科目表!$B$4:$B$81,0)),""))</f>
        <v/>
      </c>
      <c r="H393" s="70" t="str">
        <f aca="false">IF($E393="","",N(INDEX(进销存对接!$M$4:$U$305,130,8)))</f>
        <v/>
      </c>
      <c r="I393" s="70" t="str">
        <f aca="false">IF($E393="","",N(INDEX(进销存对接!$M$4:$U$305,130,9)))</f>
        <v/>
      </c>
      <c r="J393" s="67"/>
      <c r="K393" s="67" t="str">
        <f aca="false">IF($E393="","",INDEX(进销存对接!$D$4:$D$305,130))</f>
        <v/>
      </c>
      <c r="L393" s="107"/>
      <c r="M393" s="107"/>
      <c r="N393" s="67" t="str">
        <f aca="false">IF($E393="","","系统")</f>
        <v/>
      </c>
      <c r="O393" s="67" t="str">
        <f aca="false">IF($E393="","","自动A")</f>
        <v/>
      </c>
      <c r="P393" s="18"/>
    </row>
    <row r="394" customFormat="false" ht="18" hidden="false" customHeight="true" outlineLevel="0" collapsed="false">
      <c r="A394" s="107" t="str">
        <f aca="false">IF($E394="","",ROW()-3)</f>
        <v/>
      </c>
      <c r="B394" s="110" t="str">
        <f aca="false">IF($E394="","",INDEX(进销存对接!$C$4:$C$305,131))</f>
        <v/>
      </c>
      <c r="C394" s="67" t="str">
        <f aca="false">IF($E394="","","记-"&amp;TEXT($B394,"YYYYMM")&amp;"-进销存")</f>
        <v/>
      </c>
      <c r="D394" s="107" t="str">
        <f aca="false">IF($E394="","",INDEX(进销存对接!$D$4:$D$305,131)&amp;" "&amp;TEXT($B394,"YYYY年M月")&amp;" 自动结转")</f>
        <v/>
      </c>
      <c r="E394" s="67" t="str">
        <f aca="false">IF(INDEX(进销存对接!$M$4:$U$305,131,1)=0,"",INDEX(进销存对接!$M$4:$U$305,131,1))</f>
        <v/>
      </c>
      <c r="F394" s="99" t="str">
        <f aca="false">IF($E394="","",IFERROR(INDEX(科目表!$A$4:$A$81,MATCH($E394,科目表!$B$4:$B$81,0)),""))</f>
        <v/>
      </c>
      <c r="G394" s="67" t="str">
        <f aca="false">IF($E394="","",IFERROR(INDEX(科目表!$E$4:$E$81,MATCH($E394,科目表!$B$4:$B$81,0)),""))</f>
        <v/>
      </c>
      <c r="H394" s="70" t="str">
        <f aca="false">IF($E394="","",N(INDEX(进销存对接!$M$4:$U$305,131,2)))</f>
        <v/>
      </c>
      <c r="I394" s="70" t="str">
        <f aca="false">IF($E394="","",N(INDEX(进销存对接!$M$4:$U$305,131,3)))</f>
        <v/>
      </c>
      <c r="J394" s="67"/>
      <c r="K394" s="67" t="str">
        <f aca="false">IF($E394="","",INDEX(进销存对接!$D$4:$D$305,131))</f>
        <v/>
      </c>
      <c r="L394" s="107"/>
      <c r="M394" s="107"/>
      <c r="N394" s="67" t="str">
        <f aca="false">IF($E394="","","系统")</f>
        <v/>
      </c>
      <c r="O394" s="67" t="str">
        <f aca="false">IF($E394="","","自动A")</f>
        <v/>
      </c>
      <c r="P394" s="18"/>
    </row>
    <row r="395" customFormat="false" ht="18" hidden="false" customHeight="true" outlineLevel="0" collapsed="false">
      <c r="A395" s="107" t="str">
        <f aca="false">IF($E395="","",ROW()-3)</f>
        <v/>
      </c>
      <c r="B395" s="110" t="str">
        <f aca="false">IF($E395="","",INDEX(进销存对接!$C$4:$C$305,131))</f>
        <v/>
      </c>
      <c r="C395" s="67" t="str">
        <f aca="false">IF($E395="","","记-"&amp;TEXT($B395,"YYYYMM")&amp;"-进销存")</f>
        <v/>
      </c>
      <c r="D395" s="107" t="str">
        <f aca="false">IF($E395="","",INDEX(进销存对接!$D$4:$D$305,131)&amp;" "&amp;TEXT($B395,"YYYY年M月")&amp;" 自动结转")</f>
        <v/>
      </c>
      <c r="E395" s="67" t="str">
        <f aca="false">IF(INDEX(进销存对接!$M$4:$U$305,131,4)=0,"",INDEX(进销存对接!$M$4:$U$305,131,4))</f>
        <v/>
      </c>
      <c r="F395" s="99" t="str">
        <f aca="false">IF($E395="","",IFERROR(INDEX(科目表!$A$4:$A$81,MATCH($E395,科目表!$B$4:$B$81,0)),""))</f>
        <v/>
      </c>
      <c r="G395" s="67" t="str">
        <f aca="false">IF($E395="","",IFERROR(INDEX(科目表!$E$4:$E$81,MATCH($E395,科目表!$B$4:$B$81,0)),""))</f>
        <v/>
      </c>
      <c r="H395" s="70" t="str">
        <f aca="false">IF($E395="","",N(INDEX(进销存对接!$M$4:$U$305,131,5)))</f>
        <v/>
      </c>
      <c r="I395" s="70" t="str">
        <f aca="false">IF($E395="","",N(INDEX(进销存对接!$M$4:$U$305,131,6)))</f>
        <v/>
      </c>
      <c r="J395" s="67"/>
      <c r="K395" s="67" t="str">
        <f aca="false">IF($E395="","",INDEX(进销存对接!$D$4:$D$305,131))</f>
        <v/>
      </c>
      <c r="L395" s="107"/>
      <c r="M395" s="107"/>
      <c r="N395" s="67" t="str">
        <f aca="false">IF($E395="","","系统")</f>
        <v/>
      </c>
      <c r="O395" s="67" t="str">
        <f aca="false">IF($E395="","","自动A")</f>
        <v/>
      </c>
      <c r="P395" s="18"/>
    </row>
    <row r="396" customFormat="false" ht="18" hidden="false" customHeight="true" outlineLevel="0" collapsed="false">
      <c r="A396" s="107" t="str">
        <f aca="false">IF($E396="","",ROW()-3)</f>
        <v/>
      </c>
      <c r="B396" s="110" t="str">
        <f aca="false">IF($E396="","",INDEX(进销存对接!$C$4:$C$305,131))</f>
        <v/>
      </c>
      <c r="C396" s="67" t="str">
        <f aca="false">IF($E396="","","记-"&amp;TEXT($B396,"YYYYMM")&amp;"-进销存")</f>
        <v/>
      </c>
      <c r="D396" s="107" t="str">
        <f aca="false">IF($E396="","",INDEX(进销存对接!$D$4:$D$305,131)&amp;" "&amp;TEXT($B396,"YYYY年M月")&amp;" 自动结转")</f>
        <v/>
      </c>
      <c r="E396" s="67" t="str">
        <f aca="false">IF(INDEX(进销存对接!$M$4:$U$305,131,7)=0,"",INDEX(进销存对接!$M$4:$U$305,131,7))</f>
        <v/>
      </c>
      <c r="F396" s="99" t="str">
        <f aca="false">IF($E396="","",IFERROR(INDEX(科目表!$A$4:$A$81,MATCH($E396,科目表!$B$4:$B$81,0)),""))</f>
        <v/>
      </c>
      <c r="G396" s="67" t="str">
        <f aca="false">IF($E396="","",IFERROR(INDEX(科目表!$E$4:$E$81,MATCH($E396,科目表!$B$4:$B$81,0)),""))</f>
        <v/>
      </c>
      <c r="H396" s="70" t="str">
        <f aca="false">IF($E396="","",N(INDEX(进销存对接!$M$4:$U$305,131,8)))</f>
        <v/>
      </c>
      <c r="I396" s="70" t="str">
        <f aca="false">IF($E396="","",N(INDEX(进销存对接!$M$4:$U$305,131,9)))</f>
        <v/>
      </c>
      <c r="J396" s="67"/>
      <c r="K396" s="67" t="str">
        <f aca="false">IF($E396="","",INDEX(进销存对接!$D$4:$D$305,131))</f>
        <v/>
      </c>
      <c r="L396" s="107"/>
      <c r="M396" s="107"/>
      <c r="N396" s="67" t="str">
        <f aca="false">IF($E396="","","系统")</f>
        <v/>
      </c>
      <c r="O396" s="67" t="str">
        <f aca="false">IF($E396="","","自动A")</f>
        <v/>
      </c>
      <c r="P396" s="18"/>
    </row>
    <row r="397" customFormat="false" ht="18" hidden="false" customHeight="true" outlineLevel="0" collapsed="false">
      <c r="A397" s="107" t="str">
        <f aca="false">IF($E397="","",ROW()-3)</f>
        <v/>
      </c>
      <c r="B397" s="110" t="str">
        <f aca="false">IF($E397="","",INDEX(进销存对接!$C$4:$C$305,132))</f>
        <v/>
      </c>
      <c r="C397" s="67" t="str">
        <f aca="false">IF($E397="","","记-"&amp;TEXT($B397,"YYYYMM")&amp;"-进销存")</f>
        <v/>
      </c>
      <c r="D397" s="107" t="str">
        <f aca="false">IF($E397="","",INDEX(进销存对接!$D$4:$D$305,132)&amp;" "&amp;TEXT($B397,"YYYY年M月")&amp;" 自动结转")</f>
        <v/>
      </c>
      <c r="E397" s="67" t="str">
        <f aca="false">IF(INDEX(进销存对接!$M$4:$U$305,132,1)=0,"",INDEX(进销存对接!$M$4:$U$305,132,1))</f>
        <v/>
      </c>
      <c r="F397" s="99" t="str">
        <f aca="false">IF($E397="","",IFERROR(INDEX(科目表!$A$4:$A$81,MATCH($E397,科目表!$B$4:$B$81,0)),""))</f>
        <v/>
      </c>
      <c r="G397" s="67" t="str">
        <f aca="false">IF($E397="","",IFERROR(INDEX(科目表!$E$4:$E$81,MATCH($E397,科目表!$B$4:$B$81,0)),""))</f>
        <v/>
      </c>
      <c r="H397" s="70" t="str">
        <f aca="false">IF($E397="","",N(INDEX(进销存对接!$M$4:$U$305,132,2)))</f>
        <v/>
      </c>
      <c r="I397" s="70" t="str">
        <f aca="false">IF($E397="","",N(INDEX(进销存对接!$M$4:$U$305,132,3)))</f>
        <v/>
      </c>
      <c r="J397" s="67"/>
      <c r="K397" s="67" t="str">
        <f aca="false">IF($E397="","",INDEX(进销存对接!$D$4:$D$305,132))</f>
        <v/>
      </c>
      <c r="L397" s="107"/>
      <c r="M397" s="107"/>
      <c r="N397" s="67" t="str">
        <f aca="false">IF($E397="","","系统")</f>
        <v/>
      </c>
      <c r="O397" s="67" t="str">
        <f aca="false">IF($E397="","","自动A")</f>
        <v/>
      </c>
      <c r="P397" s="18"/>
    </row>
    <row r="398" customFormat="false" ht="18" hidden="false" customHeight="true" outlineLevel="0" collapsed="false">
      <c r="A398" s="107" t="str">
        <f aca="false">IF($E398="","",ROW()-3)</f>
        <v/>
      </c>
      <c r="B398" s="110" t="str">
        <f aca="false">IF($E398="","",INDEX(进销存对接!$C$4:$C$305,132))</f>
        <v/>
      </c>
      <c r="C398" s="67" t="str">
        <f aca="false">IF($E398="","","记-"&amp;TEXT($B398,"YYYYMM")&amp;"-进销存")</f>
        <v/>
      </c>
      <c r="D398" s="107" t="str">
        <f aca="false">IF($E398="","",INDEX(进销存对接!$D$4:$D$305,132)&amp;" "&amp;TEXT($B398,"YYYY年M月")&amp;" 自动结转")</f>
        <v/>
      </c>
      <c r="E398" s="67" t="str">
        <f aca="false">IF(INDEX(进销存对接!$M$4:$U$305,132,4)=0,"",INDEX(进销存对接!$M$4:$U$305,132,4))</f>
        <v/>
      </c>
      <c r="F398" s="99" t="str">
        <f aca="false">IF($E398="","",IFERROR(INDEX(科目表!$A$4:$A$81,MATCH($E398,科目表!$B$4:$B$81,0)),""))</f>
        <v/>
      </c>
      <c r="G398" s="67" t="str">
        <f aca="false">IF($E398="","",IFERROR(INDEX(科目表!$E$4:$E$81,MATCH($E398,科目表!$B$4:$B$81,0)),""))</f>
        <v/>
      </c>
      <c r="H398" s="70" t="str">
        <f aca="false">IF($E398="","",N(INDEX(进销存对接!$M$4:$U$305,132,5)))</f>
        <v/>
      </c>
      <c r="I398" s="70" t="str">
        <f aca="false">IF($E398="","",N(INDEX(进销存对接!$M$4:$U$305,132,6)))</f>
        <v/>
      </c>
      <c r="J398" s="67"/>
      <c r="K398" s="67" t="str">
        <f aca="false">IF($E398="","",INDEX(进销存对接!$D$4:$D$305,132))</f>
        <v/>
      </c>
      <c r="L398" s="107"/>
      <c r="M398" s="107"/>
      <c r="N398" s="67" t="str">
        <f aca="false">IF($E398="","","系统")</f>
        <v/>
      </c>
      <c r="O398" s="67" t="str">
        <f aca="false">IF($E398="","","自动A")</f>
        <v/>
      </c>
      <c r="P398" s="18"/>
    </row>
    <row r="399" customFormat="false" ht="18" hidden="false" customHeight="true" outlineLevel="0" collapsed="false">
      <c r="A399" s="107" t="str">
        <f aca="false">IF($E399="","",ROW()-3)</f>
        <v/>
      </c>
      <c r="B399" s="110" t="str">
        <f aca="false">IF($E399="","",INDEX(进销存对接!$C$4:$C$305,132))</f>
        <v/>
      </c>
      <c r="C399" s="67" t="str">
        <f aca="false">IF($E399="","","记-"&amp;TEXT($B399,"YYYYMM")&amp;"-进销存")</f>
        <v/>
      </c>
      <c r="D399" s="107" t="str">
        <f aca="false">IF($E399="","",INDEX(进销存对接!$D$4:$D$305,132)&amp;" "&amp;TEXT($B399,"YYYY年M月")&amp;" 自动结转")</f>
        <v/>
      </c>
      <c r="E399" s="67" t="str">
        <f aca="false">IF(INDEX(进销存对接!$M$4:$U$305,132,7)=0,"",INDEX(进销存对接!$M$4:$U$305,132,7))</f>
        <v/>
      </c>
      <c r="F399" s="99" t="str">
        <f aca="false">IF($E399="","",IFERROR(INDEX(科目表!$A$4:$A$81,MATCH($E399,科目表!$B$4:$B$81,0)),""))</f>
        <v/>
      </c>
      <c r="G399" s="67" t="str">
        <f aca="false">IF($E399="","",IFERROR(INDEX(科目表!$E$4:$E$81,MATCH($E399,科目表!$B$4:$B$81,0)),""))</f>
        <v/>
      </c>
      <c r="H399" s="70" t="str">
        <f aca="false">IF($E399="","",N(INDEX(进销存对接!$M$4:$U$305,132,8)))</f>
        <v/>
      </c>
      <c r="I399" s="70" t="str">
        <f aca="false">IF($E399="","",N(INDEX(进销存对接!$M$4:$U$305,132,9)))</f>
        <v/>
      </c>
      <c r="J399" s="67"/>
      <c r="K399" s="67" t="str">
        <f aca="false">IF($E399="","",INDEX(进销存对接!$D$4:$D$305,132))</f>
        <v/>
      </c>
      <c r="L399" s="107"/>
      <c r="M399" s="107"/>
      <c r="N399" s="67" t="str">
        <f aca="false">IF($E399="","","系统")</f>
        <v/>
      </c>
      <c r="O399" s="67" t="str">
        <f aca="false">IF($E399="","","自动A")</f>
        <v/>
      </c>
      <c r="P399" s="18"/>
    </row>
    <row r="400" customFormat="false" ht="18" hidden="false" customHeight="true" outlineLevel="0" collapsed="false">
      <c r="A400" s="107" t="str">
        <f aca="false">IF($E400="","",ROW()-3)</f>
        <v/>
      </c>
      <c r="B400" s="110" t="str">
        <f aca="false">IF($E400="","",INDEX(进销存对接!$C$4:$C$305,133))</f>
        <v/>
      </c>
      <c r="C400" s="67" t="str">
        <f aca="false">IF($E400="","","记-"&amp;TEXT($B400,"YYYYMM")&amp;"-进销存")</f>
        <v/>
      </c>
      <c r="D400" s="107" t="str">
        <f aca="false">IF($E400="","",INDEX(进销存对接!$D$4:$D$305,133)&amp;" "&amp;TEXT($B400,"YYYY年M月")&amp;" 自动结转")</f>
        <v/>
      </c>
      <c r="E400" s="67" t="str">
        <f aca="false">IF(INDEX(进销存对接!$M$4:$U$305,133,1)=0,"",INDEX(进销存对接!$M$4:$U$305,133,1))</f>
        <v/>
      </c>
      <c r="F400" s="99" t="str">
        <f aca="false">IF($E400="","",IFERROR(INDEX(科目表!$A$4:$A$81,MATCH($E400,科目表!$B$4:$B$81,0)),""))</f>
        <v/>
      </c>
      <c r="G400" s="67" t="str">
        <f aca="false">IF($E400="","",IFERROR(INDEX(科目表!$E$4:$E$81,MATCH($E400,科目表!$B$4:$B$81,0)),""))</f>
        <v/>
      </c>
      <c r="H400" s="70" t="str">
        <f aca="false">IF($E400="","",N(INDEX(进销存对接!$M$4:$U$305,133,2)))</f>
        <v/>
      </c>
      <c r="I400" s="70" t="str">
        <f aca="false">IF($E400="","",N(INDEX(进销存对接!$M$4:$U$305,133,3)))</f>
        <v/>
      </c>
      <c r="J400" s="67"/>
      <c r="K400" s="67" t="str">
        <f aca="false">IF($E400="","",INDEX(进销存对接!$D$4:$D$305,133))</f>
        <v/>
      </c>
      <c r="L400" s="107"/>
      <c r="M400" s="107"/>
      <c r="N400" s="67" t="str">
        <f aca="false">IF($E400="","","系统")</f>
        <v/>
      </c>
      <c r="O400" s="67" t="str">
        <f aca="false">IF($E400="","","自动A")</f>
        <v/>
      </c>
      <c r="P400" s="18"/>
    </row>
    <row r="401" customFormat="false" ht="18" hidden="false" customHeight="true" outlineLevel="0" collapsed="false">
      <c r="A401" s="107" t="str">
        <f aca="false">IF($E401="","",ROW()-3)</f>
        <v/>
      </c>
      <c r="B401" s="110" t="str">
        <f aca="false">IF($E401="","",INDEX(进销存对接!$C$4:$C$305,133))</f>
        <v/>
      </c>
      <c r="C401" s="67" t="str">
        <f aca="false">IF($E401="","","记-"&amp;TEXT($B401,"YYYYMM")&amp;"-进销存")</f>
        <v/>
      </c>
      <c r="D401" s="107" t="str">
        <f aca="false">IF($E401="","",INDEX(进销存对接!$D$4:$D$305,133)&amp;" "&amp;TEXT($B401,"YYYY年M月")&amp;" 自动结转")</f>
        <v/>
      </c>
      <c r="E401" s="67" t="str">
        <f aca="false">IF(INDEX(进销存对接!$M$4:$U$305,133,4)=0,"",INDEX(进销存对接!$M$4:$U$305,133,4))</f>
        <v/>
      </c>
      <c r="F401" s="99" t="str">
        <f aca="false">IF($E401="","",IFERROR(INDEX(科目表!$A$4:$A$81,MATCH($E401,科目表!$B$4:$B$81,0)),""))</f>
        <v/>
      </c>
      <c r="G401" s="67" t="str">
        <f aca="false">IF($E401="","",IFERROR(INDEX(科目表!$E$4:$E$81,MATCH($E401,科目表!$B$4:$B$81,0)),""))</f>
        <v/>
      </c>
      <c r="H401" s="70" t="str">
        <f aca="false">IF($E401="","",N(INDEX(进销存对接!$M$4:$U$305,133,5)))</f>
        <v/>
      </c>
      <c r="I401" s="70" t="str">
        <f aca="false">IF($E401="","",N(INDEX(进销存对接!$M$4:$U$305,133,6)))</f>
        <v/>
      </c>
      <c r="J401" s="67"/>
      <c r="K401" s="67" t="str">
        <f aca="false">IF($E401="","",INDEX(进销存对接!$D$4:$D$305,133))</f>
        <v/>
      </c>
      <c r="L401" s="107"/>
      <c r="M401" s="107"/>
      <c r="N401" s="67" t="str">
        <f aca="false">IF($E401="","","系统")</f>
        <v/>
      </c>
      <c r="O401" s="67" t="str">
        <f aca="false">IF($E401="","","自动A")</f>
        <v/>
      </c>
      <c r="P401" s="18"/>
    </row>
    <row r="402" customFormat="false" ht="18" hidden="false" customHeight="true" outlineLevel="0" collapsed="false">
      <c r="A402" s="107" t="str">
        <f aca="false">IF($E402="","",ROW()-3)</f>
        <v/>
      </c>
      <c r="B402" s="110" t="str">
        <f aca="false">IF($E402="","",INDEX(进销存对接!$C$4:$C$305,133))</f>
        <v/>
      </c>
      <c r="C402" s="67" t="str">
        <f aca="false">IF($E402="","","记-"&amp;TEXT($B402,"YYYYMM")&amp;"-进销存")</f>
        <v/>
      </c>
      <c r="D402" s="107" t="str">
        <f aca="false">IF($E402="","",INDEX(进销存对接!$D$4:$D$305,133)&amp;" "&amp;TEXT($B402,"YYYY年M月")&amp;" 自动结转")</f>
        <v/>
      </c>
      <c r="E402" s="67" t="str">
        <f aca="false">IF(INDEX(进销存对接!$M$4:$U$305,133,7)=0,"",INDEX(进销存对接!$M$4:$U$305,133,7))</f>
        <v/>
      </c>
      <c r="F402" s="99" t="str">
        <f aca="false">IF($E402="","",IFERROR(INDEX(科目表!$A$4:$A$81,MATCH($E402,科目表!$B$4:$B$81,0)),""))</f>
        <v/>
      </c>
      <c r="G402" s="67" t="str">
        <f aca="false">IF($E402="","",IFERROR(INDEX(科目表!$E$4:$E$81,MATCH($E402,科目表!$B$4:$B$81,0)),""))</f>
        <v/>
      </c>
      <c r="H402" s="70" t="str">
        <f aca="false">IF($E402="","",N(INDEX(进销存对接!$M$4:$U$305,133,8)))</f>
        <v/>
      </c>
      <c r="I402" s="70" t="str">
        <f aca="false">IF($E402="","",N(INDEX(进销存对接!$M$4:$U$305,133,9)))</f>
        <v/>
      </c>
      <c r="J402" s="67"/>
      <c r="K402" s="67" t="str">
        <f aca="false">IF($E402="","",INDEX(进销存对接!$D$4:$D$305,133))</f>
        <v/>
      </c>
      <c r="L402" s="107"/>
      <c r="M402" s="107"/>
      <c r="N402" s="67" t="str">
        <f aca="false">IF($E402="","","系统")</f>
        <v/>
      </c>
      <c r="O402" s="67" t="str">
        <f aca="false">IF($E402="","","自动A")</f>
        <v/>
      </c>
      <c r="P402" s="18"/>
    </row>
    <row r="403" customFormat="false" ht="18" hidden="false" customHeight="true" outlineLevel="0" collapsed="false">
      <c r="A403" s="107" t="str">
        <f aca="false">IF($E403="","",ROW()-3)</f>
        <v/>
      </c>
      <c r="B403" s="110" t="str">
        <f aca="false">IF($E403="","",INDEX(进销存对接!$C$4:$C$305,134))</f>
        <v/>
      </c>
      <c r="C403" s="67" t="str">
        <f aca="false">IF($E403="","","记-"&amp;TEXT($B403,"YYYYMM")&amp;"-进销存")</f>
        <v/>
      </c>
      <c r="D403" s="107" t="str">
        <f aca="false">IF($E403="","",INDEX(进销存对接!$D$4:$D$305,134)&amp;" "&amp;TEXT($B403,"YYYY年M月")&amp;" 自动结转")</f>
        <v/>
      </c>
      <c r="E403" s="67" t="str">
        <f aca="false">IF(INDEX(进销存对接!$M$4:$U$305,134,1)=0,"",INDEX(进销存对接!$M$4:$U$305,134,1))</f>
        <v/>
      </c>
      <c r="F403" s="99" t="str">
        <f aca="false">IF($E403="","",IFERROR(INDEX(科目表!$A$4:$A$81,MATCH($E403,科目表!$B$4:$B$81,0)),""))</f>
        <v/>
      </c>
      <c r="G403" s="67" t="str">
        <f aca="false">IF($E403="","",IFERROR(INDEX(科目表!$E$4:$E$81,MATCH($E403,科目表!$B$4:$B$81,0)),""))</f>
        <v/>
      </c>
      <c r="H403" s="70" t="str">
        <f aca="false">IF($E403="","",N(INDEX(进销存对接!$M$4:$U$305,134,2)))</f>
        <v/>
      </c>
      <c r="I403" s="70" t="str">
        <f aca="false">IF($E403="","",N(INDEX(进销存对接!$M$4:$U$305,134,3)))</f>
        <v/>
      </c>
      <c r="J403" s="67"/>
      <c r="K403" s="67" t="str">
        <f aca="false">IF($E403="","",INDEX(进销存对接!$D$4:$D$305,134))</f>
        <v/>
      </c>
      <c r="L403" s="107"/>
      <c r="M403" s="107"/>
      <c r="N403" s="67" t="str">
        <f aca="false">IF($E403="","","系统")</f>
        <v/>
      </c>
      <c r="O403" s="67" t="str">
        <f aca="false">IF($E403="","","自动A")</f>
        <v/>
      </c>
      <c r="P403" s="18"/>
    </row>
    <row r="404" customFormat="false" ht="18" hidden="false" customHeight="true" outlineLevel="0" collapsed="false">
      <c r="A404" s="107" t="str">
        <f aca="false">IF($E404="","",ROW()-3)</f>
        <v/>
      </c>
      <c r="B404" s="110" t="str">
        <f aca="false">IF($E404="","",INDEX(进销存对接!$C$4:$C$305,134))</f>
        <v/>
      </c>
      <c r="C404" s="67" t="str">
        <f aca="false">IF($E404="","","记-"&amp;TEXT($B404,"YYYYMM")&amp;"-进销存")</f>
        <v/>
      </c>
      <c r="D404" s="107" t="str">
        <f aca="false">IF($E404="","",INDEX(进销存对接!$D$4:$D$305,134)&amp;" "&amp;TEXT($B404,"YYYY年M月")&amp;" 自动结转")</f>
        <v/>
      </c>
      <c r="E404" s="67" t="str">
        <f aca="false">IF(INDEX(进销存对接!$M$4:$U$305,134,4)=0,"",INDEX(进销存对接!$M$4:$U$305,134,4))</f>
        <v/>
      </c>
      <c r="F404" s="99" t="str">
        <f aca="false">IF($E404="","",IFERROR(INDEX(科目表!$A$4:$A$81,MATCH($E404,科目表!$B$4:$B$81,0)),""))</f>
        <v/>
      </c>
      <c r="G404" s="67" t="str">
        <f aca="false">IF($E404="","",IFERROR(INDEX(科目表!$E$4:$E$81,MATCH($E404,科目表!$B$4:$B$81,0)),""))</f>
        <v/>
      </c>
      <c r="H404" s="70" t="str">
        <f aca="false">IF($E404="","",N(INDEX(进销存对接!$M$4:$U$305,134,5)))</f>
        <v/>
      </c>
      <c r="I404" s="70" t="str">
        <f aca="false">IF($E404="","",N(INDEX(进销存对接!$M$4:$U$305,134,6)))</f>
        <v/>
      </c>
      <c r="J404" s="67"/>
      <c r="K404" s="67" t="str">
        <f aca="false">IF($E404="","",INDEX(进销存对接!$D$4:$D$305,134))</f>
        <v/>
      </c>
      <c r="L404" s="107"/>
      <c r="M404" s="107"/>
      <c r="N404" s="67" t="str">
        <f aca="false">IF($E404="","","系统")</f>
        <v/>
      </c>
      <c r="O404" s="67" t="str">
        <f aca="false">IF($E404="","","自动A")</f>
        <v/>
      </c>
      <c r="P404" s="18"/>
    </row>
    <row r="405" customFormat="false" ht="18" hidden="false" customHeight="true" outlineLevel="0" collapsed="false">
      <c r="A405" s="107" t="str">
        <f aca="false">IF($E405="","",ROW()-3)</f>
        <v/>
      </c>
      <c r="B405" s="110" t="str">
        <f aca="false">IF($E405="","",INDEX(进销存对接!$C$4:$C$305,134))</f>
        <v/>
      </c>
      <c r="C405" s="67" t="str">
        <f aca="false">IF($E405="","","记-"&amp;TEXT($B405,"YYYYMM")&amp;"-进销存")</f>
        <v/>
      </c>
      <c r="D405" s="107" t="str">
        <f aca="false">IF($E405="","",INDEX(进销存对接!$D$4:$D$305,134)&amp;" "&amp;TEXT($B405,"YYYY年M月")&amp;" 自动结转")</f>
        <v/>
      </c>
      <c r="E405" s="67" t="str">
        <f aca="false">IF(INDEX(进销存对接!$M$4:$U$305,134,7)=0,"",INDEX(进销存对接!$M$4:$U$305,134,7))</f>
        <v/>
      </c>
      <c r="F405" s="99" t="str">
        <f aca="false">IF($E405="","",IFERROR(INDEX(科目表!$A$4:$A$81,MATCH($E405,科目表!$B$4:$B$81,0)),""))</f>
        <v/>
      </c>
      <c r="G405" s="67" t="str">
        <f aca="false">IF($E405="","",IFERROR(INDEX(科目表!$E$4:$E$81,MATCH($E405,科目表!$B$4:$B$81,0)),""))</f>
        <v/>
      </c>
      <c r="H405" s="70" t="str">
        <f aca="false">IF($E405="","",N(INDEX(进销存对接!$M$4:$U$305,134,8)))</f>
        <v/>
      </c>
      <c r="I405" s="70" t="str">
        <f aca="false">IF($E405="","",N(INDEX(进销存对接!$M$4:$U$305,134,9)))</f>
        <v/>
      </c>
      <c r="J405" s="67"/>
      <c r="K405" s="67" t="str">
        <f aca="false">IF($E405="","",INDEX(进销存对接!$D$4:$D$305,134))</f>
        <v/>
      </c>
      <c r="L405" s="107"/>
      <c r="M405" s="107"/>
      <c r="N405" s="67" t="str">
        <f aca="false">IF($E405="","","系统")</f>
        <v/>
      </c>
      <c r="O405" s="67" t="str">
        <f aca="false">IF($E405="","","自动A")</f>
        <v/>
      </c>
      <c r="P405" s="18"/>
    </row>
    <row r="406" customFormat="false" ht="18" hidden="false" customHeight="true" outlineLevel="0" collapsed="false">
      <c r="A406" s="107" t="str">
        <f aca="false">IF($E406="","",ROW()-3)</f>
        <v/>
      </c>
      <c r="B406" s="110" t="str">
        <f aca="false">IF($E406="","",INDEX(进销存对接!$C$4:$C$305,135))</f>
        <v/>
      </c>
      <c r="C406" s="67" t="str">
        <f aca="false">IF($E406="","","记-"&amp;TEXT($B406,"YYYYMM")&amp;"-进销存")</f>
        <v/>
      </c>
      <c r="D406" s="107" t="str">
        <f aca="false">IF($E406="","",INDEX(进销存对接!$D$4:$D$305,135)&amp;" "&amp;TEXT($B406,"YYYY年M月")&amp;" 自动结转")</f>
        <v/>
      </c>
      <c r="E406" s="67" t="str">
        <f aca="false">IF(INDEX(进销存对接!$M$4:$U$305,135,1)=0,"",INDEX(进销存对接!$M$4:$U$305,135,1))</f>
        <v/>
      </c>
      <c r="F406" s="99" t="str">
        <f aca="false">IF($E406="","",IFERROR(INDEX(科目表!$A$4:$A$81,MATCH($E406,科目表!$B$4:$B$81,0)),""))</f>
        <v/>
      </c>
      <c r="G406" s="67" t="str">
        <f aca="false">IF($E406="","",IFERROR(INDEX(科目表!$E$4:$E$81,MATCH($E406,科目表!$B$4:$B$81,0)),""))</f>
        <v/>
      </c>
      <c r="H406" s="70" t="str">
        <f aca="false">IF($E406="","",N(INDEX(进销存对接!$M$4:$U$305,135,2)))</f>
        <v/>
      </c>
      <c r="I406" s="70" t="str">
        <f aca="false">IF($E406="","",N(INDEX(进销存对接!$M$4:$U$305,135,3)))</f>
        <v/>
      </c>
      <c r="J406" s="67"/>
      <c r="K406" s="67" t="str">
        <f aca="false">IF($E406="","",INDEX(进销存对接!$D$4:$D$305,135))</f>
        <v/>
      </c>
      <c r="L406" s="107"/>
      <c r="M406" s="107"/>
      <c r="N406" s="67" t="str">
        <f aca="false">IF($E406="","","系统")</f>
        <v/>
      </c>
      <c r="O406" s="67" t="str">
        <f aca="false">IF($E406="","","自动A")</f>
        <v/>
      </c>
      <c r="P406" s="18"/>
    </row>
    <row r="407" customFormat="false" ht="18" hidden="false" customHeight="true" outlineLevel="0" collapsed="false">
      <c r="A407" s="107" t="str">
        <f aca="false">IF($E407="","",ROW()-3)</f>
        <v/>
      </c>
      <c r="B407" s="110" t="str">
        <f aca="false">IF($E407="","",INDEX(进销存对接!$C$4:$C$305,135))</f>
        <v/>
      </c>
      <c r="C407" s="67" t="str">
        <f aca="false">IF($E407="","","记-"&amp;TEXT($B407,"YYYYMM")&amp;"-进销存")</f>
        <v/>
      </c>
      <c r="D407" s="107" t="str">
        <f aca="false">IF($E407="","",INDEX(进销存对接!$D$4:$D$305,135)&amp;" "&amp;TEXT($B407,"YYYY年M月")&amp;" 自动结转")</f>
        <v/>
      </c>
      <c r="E407" s="67" t="str">
        <f aca="false">IF(INDEX(进销存对接!$M$4:$U$305,135,4)=0,"",INDEX(进销存对接!$M$4:$U$305,135,4))</f>
        <v/>
      </c>
      <c r="F407" s="99" t="str">
        <f aca="false">IF($E407="","",IFERROR(INDEX(科目表!$A$4:$A$81,MATCH($E407,科目表!$B$4:$B$81,0)),""))</f>
        <v/>
      </c>
      <c r="G407" s="67" t="str">
        <f aca="false">IF($E407="","",IFERROR(INDEX(科目表!$E$4:$E$81,MATCH($E407,科目表!$B$4:$B$81,0)),""))</f>
        <v/>
      </c>
      <c r="H407" s="70" t="str">
        <f aca="false">IF($E407="","",N(INDEX(进销存对接!$M$4:$U$305,135,5)))</f>
        <v/>
      </c>
      <c r="I407" s="70" t="str">
        <f aca="false">IF($E407="","",N(INDEX(进销存对接!$M$4:$U$305,135,6)))</f>
        <v/>
      </c>
      <c r="J407" s="67"/>
      <c r="K407" s="67" t="str">
        <f aca="false">IF($E407="","",INDEX(进销存对接!$D$4:$D$305,135))</f>
        <v/>
      </c>
      <c r="L407" s="107"/>
      <c r="M407" s="107"/>
      <c r="N407" s="67" t="str">
        <f aca="false">IF($E407="","","系统")</f>
        <v/>
      </c>
      <c r="O407" s="67" t="str">
        <f aca="false">IF($E407="","","自动A")</f>
        <v/>
      </c>
      <c r="P407" s="18"/>
    </row>
    <row r="408" customFormat="false" ht="18" hidden="false" customHeight="true" outlineLevel="0" collapsed="false">
      <c r="A408" s="107" t="str">
        <f aca="false">IF($E408="","",ROW()-3)</f>
        <v/>
      </c>
      <c r="B408" s="110" t="str">
        <f aca="false">IF($E408="","",INDEX(进销存对接!$C$4:$C$305,135))</f>
        <v/>
      </c>
      <c r="C408" s="67" t="str">
        <f aca="false">IF($E408="","","记-"&amp;TEXT($B408,"YYYYMM")&amp;"-进销存")</f>
        <v/>
      </c>
      <c r="D408" s="107" t="str">
        <f aca="false">IF($E408="","",INDEX(进销存对接!$D$4:$D$305,135)&amp;" "&amp;TEXT($B408,"YYYY年M月")&amp;" 自动结转")</f>
        <v/>
      </c>
      <c r="E408" s="67" t="str">
        <f aca="false">IF(INDEX(进销存对接!$M$4:$U$305,135,7)=0,"",INDEX(进销存对接!$M$4:$U$305,135,7))</f>
        <v/>
      </c>
      <c r="F408" s="99" t="str">
        <f aca="false">IF($E408="","",IFERROR(INDEX(科目表!$A$4:$A$81,MATCH($E408,科目表!$B$4:$B$81,0)),""))</f>
        <v/>
      </c>
      <c r="G408" s="67" t="str">
        <f aca="false">IF($E408="","",IFERROR(INDEX(科目表!$E$4:$E$81,MATCH($E408,科目表!$B$4:$B$81,0)),""))</f>
        <v/>
      </c>
      <c r="H408" s="70" t="str">
        <f aca="false">IF($E408="","",N(INDEX(进销存对接!$M$4:$U$305,135,8)))</f>
        <v/>
      </c>
      <c r="I408" s="70" t="str">
        <f aca="false">IF($E408="","",N(INDEX(进销存对接!$M$4:$U$305,135,9)))</f>
        <v/>
      </c>
      <c r="J408" s="67"/>
      <c r="K408" s="67" t="str">
        <f aca="false">IF($E408="","",INDEX(进销存对接!$D$4:$D$305,135))</f>
        <v/>
      </c>
      <c r="L408" s="107"/>
      <c r="M408" s="107"/>
      <c r="N408" s="67" t="str">
        <f aca="false">IF($E408="","","系统")</f>
        <v/>
      </c>
      <c r="O408" s="67" t="str">
        <f aca="false">IF($E408="","","自动A")</f>
        <v/>
      </c>
      <c r="P408" s="18"/>
    </row>
    <row r="409" customFormat="false" ht="18" hidden="false" customHeight="true" outlineLevel="0" collapsed="false">
      <c r="A409" s="107" t="str">
        <f aca="false">IF($E409="","",ROW()-3)</f>
        <v/>
      </c>
      <c r="B409" s="110" t="str">
        <f aca="false">IF($E409="","",INDEX(进销存对接!$C$4:$C$305,136))</f>
        <v/>
      </c>
      <c r="C409" s="67" t="str">
        <f aca="false">IF($E409="","","记-"&amp;TEXT($B409,"YYYYMM")&amp;"-进销存")</f>
        <v/>
      </c>
      <c r="D409" s="107" t="str">
        <f aca="false">IF($E409="","",INDEX(进销存对接!$D$4:$D$305,136)&amp;" "&amp;TEXT($B409,"YYYY年M月")&amp;" 自动结转")</f>
        <v/>
      </c>
      <c r="E409" s="67" t="str">
        <f aca="false">IF(INDEX(进销存对接!$M$4:$U$305,136,1)=0,"",INDEX(进销存对接!$M$4:$U$305,136,1))</f>
        <v/>
      </c>
      <c r="F409" s="99" t="str">
        <f aca="false">IF($E409="","",IFERROR(INDEX(科目表!$A$4:$A$81,MATCH($E409,科目表!$B$4:$B$81,0)),""))</f>
        <v/>
      </c>
      <c r="G409" s="67" t="str">
        <f aca="false">IF($E409="","",IFERROR(INDEX(科目表!$E$4:$E$81,MATCH($E409,科目表!$B$4:$B$81,0)),""))</f>
        <v/>
      </c>
      <c r="H409" s="70" t="str">
        <f aca="false">IF($E409="","",N(INDEX(进销存对接!$M$4:$U$305,136,2)))</f>
        <v/>
      </c>
      <c r="I409" s="70" t="str">
        <f aca="false">IF($E409="","",N(INDEX(进销存对接!$M$4:$U$305,136,3)))</f>
        <v/>
      </c>
      <c r="J409" s="67"/>
      <c r="K409" s="67" t="str">
        <f aca="false">IF($E409="","",INDEX(进销存对接!$D$4:$D$305,136))</f>
        <v/>
      </c>
      <c r="L409" s="107"/>
      <c r="M409" s="107"/>
      <c r="N409" s="67" t="str">
        <f aca="false">IF($E409="","","系统")</f>
        <v/>
      </c>
      <c r="O409" s="67" t="str">
        <f aca="false">IF($E409="","","自动A")</f>
        <v/>
      </c>
      <c r="P409" s="18"/>
    </row>
    <row r="410" customFormat="false" ht="18" hidden="false" customHeight="true" outlineLevel="0" collapsed="false">
      <c r="A410" s="107" t="str">
        <f aca="false">IF($E410="","",ROW()-3)</f>
        <v/>
      </c>
      <c r="B410" s="110" t="str">
        <f aca="false">IF($E410="","",INDEX(进销存对接!$C$4:$C$305,136))</f>
        <v/>
      </c>
      <c r="C410" s="67" t="str">
        <f aca="false">IF($E410="","","记-"&amp;TEXT($B410,"YYYYMM")&amp;"-进销存")</f>
        <v/>
      </c>
      <c r="D410" s="107" t="str">
        <f aca="false">IF($E410="","",INDEX(进销存对接!$D$4:$D$305,136)&amp;" "&amp;TEXT($B410,"YYYY年M月")&amp;" 自动结转")</f>
        <v/>
      </c>
      <c r="E410" s="67" t="str">
        <f aca="false">IF(INDEX(进销存对接!$M$4:$U$305,136,4)=0,"",INDEX(进销存对接!$M$4:$U$305,136,4))</f>
        <v/>
      </c>
      <c r="F410" s="99" t="str">
        <f aca="false">IF($E410="","",IFERROR(INDEX(科目表!$A$4:$A$81,MATCH($E410,科目表!$B$4:$B$81,0)),""))</f>
        <v/>
      </c>
      <c r="G410" s="67" t="str">
        <f aca="false">IF($E410="","",IFERROR(INDEX(科目表!$E$4:$E$81,MATCH($E410,科目表!$B$4:$B$81,0)),""))</f>
        <v/>
      </c>
      <c r="H410" s="70" t="str">
        <f aca="false">IF($E410="","",N(INDEX(进销存对接!$M$4:$U$305,136,5)))</f>
        <v/>
      </c>
      <c r="I410" s="70" t="str">
        <f aca="false">IF($E410="","",N(INDEX(进销存对接!$M$4:$U$305,136,6)))</f>
        <v/>
      </c>
      <c r="J410" s="67"/>
      <c r="K410" s="67" t="str">
        <f aca="false">IF($E410="","",INDEX(进销存对接!$D$4:$D$305,136))</f>
        <v/>
      </c>
      <c r="L410" s="107"/>
      <c r="M410" s="107"/>
      <c r="N410" s="67" t="str">
        <f aca="false">IF($E410="","","系统")</f>
        <v/>
      </c>
      <c r="O410" s="67" t="str">
        <f aca="false">IF($E410="","","自动A")</f>
        <v/>
      </c>
      <c r="P410" s="18"/>
    </row>
    <row r="411" customFormat="false" ht="18" hidden="false" customHeight="true" outlineLevel="0" collapsed="false">
      <c r="A411" s="107" t="str">
        <f aca="false">IF($E411="","",ROW()-3)</f>
        <v/>
      </c>
      <c r="B411" s="110" t="str">
        <f aca="false">IF($E411="","",INDEX(进销存对接!$C$4:$C$305,136))</f>
        <v/>
      </c>
      <c r="C411" s="67" t="str">
        <f aca="false">IF($E411="","","记-"&amp;TEXT($B411,"YYYYMM")&amp;"-进销存")</f>
        <v/>
      </c>
      <c r="D411" s="107" t="str">
        <f aca="false">IF($E411="","",INDEX(进销存对接!$D$4:$D$305,136)&amp;" "&amp;TEXT($B411,"YYYY年M月")&amp;" 自动结转")</f>
        <v/>
      </c>
      <c r="E411" s="67" t="str">
        <f aca="false">IF(INDEX(进销存对接!$M$4:$U$305,136,7)=0,"",INDEX(进销存对接!$M$4:$U$305,136,7))</f>
        <v/>
      </c>
      <c r="F411" s="99" t="str">
        <f aca="false">IF($E411="","",IFERROR(INDEX(科目表!$A$4:$A$81,MATCH($E411,科目表!$B$4:$B$81,0)),""))</f>
        <v/>
      </c>
      <c r="G411" s="67" t="str">
        <f aca="false">IF($E411="","",IFERROR(INDEX(科目表!$E$4:$E$81,MATCH($E411,科目表!$B$4:$B$81,0)),""))</f>
        <v/>
      </c>
      <c r="H411" s="70" t="str">
        <f aca="false">IF($E411="","",N(INDEX(进销存对接!$M$4:$U$305,136,8)))</f>
        <v/>
      </c>
      <c r="I411" s="70" t="str">
        <f aca="false">IF($E411="","",N(INDEX(进销存对接!$M$4:$U$305,136,9)))</f>
        <v/>
      </c>
      <c r="J411" s="67"/>
      <c r="K411" s="67" t="str">
        <f aca="false">IF($E411="","",INDEX(进销存对接!$D$4:$D$305,136))</f>
        <v/>
      </c>
      <c r="L411" s="107"/>
      <c r="M411" s="107"/>
      <c r="N411" s="67" t="str">
        <f aca="false">IF($E411="","","系统")</f>
        <v/>
      </c>
      <c r="O411" s="67" t="str">
        <f aca="false">IF($E411="","","自动A")</f>
        <v/>
      </c>
      <c r="P411" s="18"/>
    </row>
    <row r="412" customFormat="false" ht="18" hidden="false" customHeight="true" outlineLevel="0" collapsed="false">
      <c r="A412" s="107" t="str">
        <f aca="false">IF($E412="","",ROW()-3)</f>
        <v/>
      </c>
      <c r="B412" s="110" t="str">
        <f aca="false">IF($E412="","",INDEX(进销存对接!$C$4:$C$305,137))</f>
        <v/>
      </c>
      <c r="C412" s="67" t="str">
        <f aca="false">IF($E412="","","记-"&amp;TEXT($B412,"YYYYMM")&amp;"-进销存")</f>
        <v/>
      </c>
      <c r="D412" s="107" t="str">
        <f aca="false">IF($E412="","",INDEX(进销存对接!$D$4:$D$305,137)&amp;" "&amp;TEXT($B412,"YYYY年M月")&amp;" 自动结转")</f>
        <v/>
      </c>
      <c r="E412" s="67" t="str">
        <f aca="false">IF(INDEX(进销存对接!$M$4:$U$305,137,1)=0,"",INDEX(进销存对接!$M$4:$U$305,137,1))</f>
        <v/>
      </c>
      <c r="F412" s="99" t="str">
        <f aca="false">IF($E412="","",IFERROR(INDEX(科目表!$A$4:$A$81,MATCH($E412,科目表!$B$4:$B$81,0)),""))</f>
        <v/>
      </c>
      <c r="G412" s="67" t="str">
        <f aca="false">IF($E412="","",IFERROR(INDEX(科目表!$E$4:$E$81,MATCH($E412,科目表!$B$4:$B$81,0)),""))</f>
        <v/>
      </c>
      <c r="H412" s="70" t="str">
        <f aca="false">IF($E412="","",N(INDEX(进销存对接!$M$4:$U$305,137,2)))</f>
        <v/>
      </c>
      <c r="I412" s="70" t="str">
        <f aca="false">IF($E412="","",N(INDEX(进销存对接!$M$4:$U$305,137,3)))</f>
        <v/>
      </c>
      <c r="J412" s="67"/>
      <c r="K412" s="67" t="str">
        <f aca="false">IF($E412="","",INDEX(进销存对接!$D$4:$D$305,137))</f>
        <v/>
      </c>
      <c r="L412" s="107"/>
      <c r="M412" s="107"/>
      <c r="N412" s="67" t="str">
        <f aca="false">IF($E412="","","系统")</f>
        <v/>
      </c>
      <c r="O412" s="67" t="str">
        <f aca="false">IF($E412="","","自动A")</f>
        <v/>
      </c>
      <c r="P412" s="18"/>
    </row>
    <row r="413" customFormat="false" ht="18" hidden="false" customHeight="true" outlineLevel="0" collapsed="false">
      <c r="A413" s="107" t="str">
        <f aca="false">IF($E413="","",ROW()-3)</f>
        <v/>
      </c>
      <c r="B413" s="110" t="str">
        <f aca="false">IF($E413="","",INDEX(进销存对接!$C$4:$C$305,137))</f>
        <v/>
      </c>
      <c r="C413" s="67" t="str">
        <f aca="false">IF($E413="","","记-"&amp;TEXT($B413,"YYYYMM")&amp;"-进销存")</f>
        <v/>
      </c>
      <c r="D413" s="107" t="str">
        <f aca="false">IF($E413="","",INDEX(进销存对接!$D$4:$D$305,137)&amp;" "&amp;TEXT($B413,"YYYY年M月")&amp;" 自动结转")</f>
        <v/>
      </c>
      <c r="E413" s="67" t="str">
        <f aca="false">IF(INDEX(进销存对接!$M$4:$U$305,137,4)=0,"",INDEX(进销存对接!$M$4:$U$305,137,4))</f>
        <v/>
      </c>
      <c r="F413" s="99" t="str">
        <f aca="false">IF($E413="","",IFERROR(INDEX(科目表!$A$4:$A$81,MATCH($E413,科目表!$B$4:$B$81,0)),""))</f>
        <v/>
      </c>
      <c r="G413" s="67" t="str">
        <f aca="false">IF($E413="","",IFERROR(INDEX(科目表!$E$4:$E$81,MATCH($E413,科目表!$B$4:$B$81,0)),""))</f>
        <v/>
      </c>
      <c r="H413" s="70" t="str">
        <f aca="false">IF($E413="","",N(INDEX(进销存对接!$M$4:$U$305,137,5)))</f>
        <v/>
      </c>
      <c r="I413" s="70" t="str">
        <f aca="false">IF($E413="","",N(INDEX(进销存对接!$M$4:$U$305,137,6)))</f>
        <v/>
      </c>
      <c r="J413" s="67"/>
      <c r="K413" s="67" t="str">
        <f aca="false">IF($E413="","",INDEX(进销存对接!$D$4:$D$305,137))</f>
        <v/>
      </c>
      <c r="L413" s="107"/>
      <c r="M413" s="107"/>
      <c r="N413" s="67" t="str">
        <f aca="false">IF($E413="","","系统")</f>
        <v/>
      </c>
      <c r="O413" s="67" t="str">
        <f aca="false">IF($E413="","","自动A")</f>
        <v/>
      </c>
      <c r="P413" s="18"/>
    </row>
    <row r="414" customFormat="false" ht="18" hidden="false" customHeight="true" outlineLevel="0" collapsed="false">
      <c r="A414" s="107" t="str">
        <f aca="false">IF($E414="","",ROW()-3)</f>
        <v/>
      </c>
      <c r="B414" s="110" t="str">
        <f aca="false">IF($E414="","",INDEX(进销存对接!$C$4:$C$305,137))</f>
        <v/>
      </c>
      <c r="C414" s="67" t="str">
        <f aca="false">IF($E414="","","记-"&amp;TEXT($B414,"YYYYMM")&amp;"-进销存")</f>
        <v/>
      </c>
      <c r="D414" s="107" t="str">
        <f aca="false">IF($E414="","",INDEX(进销存对接!$D$4:$D$305,137)&amp;" "&amp;TEXT($B414,"YYYY年M月")&amp;" 自动结转")</f>
        <v/>
      </c>
      <c r="E414" s="67" t="str">
        <f aca="false">IF(INDEX(进销存对接!$M$4:$U$305,137,7)=0,"",INDEX(进销存对接!$M$4:$U$305,137,7))</f>
        <v/>
      </c>
      <c r="F414" s="99" t="str">
        <f aca="false">IF($E414="","",IFERROR(INDEX(科目表!$A$4:$A$81,MATCH($E414,科目表!$B$4:$B$81,0)),""))</f>
        <v/>
      </c>
      <c r="G414" s="67" t="str">
        <f aca="false">IF($E414="","",IFERROR(INDEX(科目表!$E$4:$E$81,MATCH($E414,科目表!$B$4:$B$81,0)),""))</f>
        <v/>
      </c>
      <c r="H414" s="70" t="str">
        <f aca="false">IF($E414="","",N(INDEX(进销存对接!$M$4:$U$305,137,8)))</f>
        <v/>
      </c>
      <c r="I414" s="70" t="str">
        <f aca="false">IF($E414="","",N(INDEX(进销存对接!$M$4:$U$305,137,9)))</f>
        <v/>
      </c>
      <c r="J414" s="67"/>
      <c r="K414" s="67" t="str">
        <f aca="false">IF($E414="","",INDEX(进销存对接!$D$4:$D$305,137))</f>
        <v/>
      </c>
      <c r="L414" s="107"/>
      <c r="M414" s="107"/>
      <c r="N414" s="67" t="str">
        <f aca="false">IF($E414="","","系统")</f>
        <v/>
      </c>
      <c r="O414" s="67" t="str">
        <f aca="false">IF($E414="","","自动A")</f>
        <v/>
      </c>
      <c r="P414" s="18"/>
    </row>
    <row r="415" customFormat="false" ht="18" hidden="false" customHeight="true" outlineLevel="0" collapsed="false">
      <c r="A415" s="107" t="str">
        <f aca="false">IF($E415="","",ROW()-3)</f>
        <v/>
      </c>
      <c r="B415" s="110" t="str">
        <f aca="false">IF($E415="","",INDEX(进销存对接!$C$4:$C$305,138))</f>
        <v/>
      </c>
      <c r="C415" s="67" t="str">
        <f aca="false">IF($E415="","","记-"&amp;TEXT($B415,"YYYYMM")&amp;"-进销存")</f>
        <v/>
      </c>
      <c r="D415" s="107" t="str">
        <f aca="false">IF($E415="","",INDEX(进销存对接!$D$4:$D$305,138)&amp;" "&amp;TEXT($B415,"YYYY年M月")&amp;" 自动结转")</f>
        <v/>
      </c>
      <c r="E415" s="67" t="str">
        <f aca="false">IF(INDEX(进销存对接!$M$4:$U$305,138,1)=0,"",INDEX(进销存对接!$M$4:$U$305,138,1))</f>
        <v/>
      </c>
      <c r="F415" s="99" t="str">
        <f aca="false">IF($E415="","",IFERROR(INDEX(科目表!$A$4:$A$81,MATCH($E415,科目表!$B$4:$B$81,0)),""))</f>
        <v/>
      </c>
      <c r="G415" s="67" t="str">
        <f aca="false">IF($E415="","",IFERROR(INDEX(科目表!$E$4:$E$81,MATCH($E415,科目表!$B$4:$B$81,0)),""))</f>
        <v/>
      </c>
      <c r="H415" s="70" t="str">
        <f aca="false">IF($E415="","",N(INDEX(进销存对接!$M$4:$U$305,138,2)))</f>
        <v/>
      </c>
      <c r="I415" s="70" t="str">
        <f aca="false">IF($E415="","",N(INDEX(进销存对接!$M$4:$U$305,138,3)))</f>
        <v/>
      </c>
      <c r="J415" s="67"/>
      <c r="K415" s="67" t="str">
        <f aca="false">IF($E415="","",INDEX(进销存对接!$D$4:$D$305,138))</f>
        <v/>
      </c>
      <c r="L415" s="107"/>
      <c r="M415" s="107"/>
      <c r="N415" s="67" t="str">
        <f aca="false">IF($E415="","","系统")</f>
        <v/>
      </c>
      <c r="O415" s="67" t="str">
        <f aca="false">IF($E415="","","自动A")</f>
        <v/>
      </c>
      <c r="P415" s="18"/>
    </row>
    <row r="416" customFormat="false" ht="18" hidden="false" customHeight="true" outlineLevel="0" collapsed="false">
      <c r="A416" s="107" t="str">
        <f aca="false">IF($E416="","",ROW()-3)</f>
        <v/>
      </c>
      <c r="B416" s="110" t="str">
        <f aca="false">IF($E416="","",INDEX(进销存对接!$C$4:$C$305,138))</f>
        <v/>
      </c>
      <c r="C416" s="67" t="str">
        <f aca="false">IF($E416="","","记-"&amp;TEXT($B416,"YYYYMM")&amp;"-进销存")</f>
        <v/>
      </c>
      <c r="D416" s="107" t="str">
        <f aca="false">IF($E416="","",INDEX(进销存对接!$D$4:$D$305,138)&amp;" "&amp;TEXT($B416,"YYYY年M月")&amp;" 自动结转")</f>
        <v/>
      </c>
      <c r="E416" s="67" t="str">
        <f aca="false">IF(INDEX(进销存对接!$M$4:$U$305,138,4)=0,"",INDEX(进销存对接!$M$4:$U$305,138,4))</f>
        <v/>
      </c>
      <c r="F416" s="99" t="str">
        <f aca="false">IF($E416="","",IFERROR(INDEX(科目表!$A$4:$A$81,MATCH($E416,科目表!$B$4:$B$81,0)),""))</f>
        <v/>
      </c>
      <c r="G416" s="67" t="str">
        <f aca="false">IF($E416="","",IFERROR(INDEX(科目表!$E$4:$E$81,MATCH($E416,科目表!$B$4:$B$81,0)),""))</f>
        <v/>
      </c>
      <c r="H416" s="70" t="str">
        <f aca="false">IF($E416="","",N(INDEX(进销存对接!$M$4:$U$305,138,5)))</f>
        <v/>
      </c>
      <c r="I416" s="70" t="str">
        <f aca="false">IF($E416="","",N(INDEX(进销存对接!$M$4:$U$305,138,6)))</f>
        <v/>
      </c>
      <c r="J416" s="67"/>
      <c r="K416" s="67" t="str">
        <f aca="false">IF($E416="","",INDEX(进销存对接!$D$4:$D$305,138))</f>
        <v/>
      </c>
      <c r="L416" s="107"/>
      <c r="M416" s="107"/>
      <c r="N416" s="67" t="str">
        <f aca="false">IF($E416="","","系统")</f>
        <v/>
      </c>
      <c r="O416" s="67" t="str">
        <f aca="false">IF($E416="","","自动A")</f>
        <v/>
      </c>
      <c r="P416" s="18"/>
    </row>
    <row r="417" customFormat="false" ht="18" hidden="false" customHeight="true" outlineLevel="0" collapsed="false">
      <c r="A417" s="107" t="str">
        <f aca="false">IF($E417="","",ROW()-3)</f>
        <v/>
      </c>
      <c r="B417" s="110" t="str">
        <f aca="false">IF($E417="","",INDEX(进销存对接!$C$4:$C$305,138))</f>
        <v/>
      </c>
      <c r="C417" s="67" t="str">
        <f aca="false">IF($E417="","","记-"&amp;TEXT($B417,"YYYYMM")&amp;"-进销存")</f>
        <v/>
      </c>
      <c r="D417" s="107" t="str">
        <f aca="false">IF($E417="","",INDEX(进销存对接!$D$4:$D$305,138)&amp;" "&amp;TEXT($B417,"YYYY年M月")&amp;" 自动结转")</f>
        <v/>
      </c>
      <c r="E417" s="67" t="str">
        <f aca="false">IF(INDEX(进销存对接!$M$4:$U$305,138,7)=0,"",INDEX(进销存对接!$M$4:$U$305,138,7))</f>
        <v/>
      </c>
      <c r="F417" s="99" t="str">
        <f aca="false">IF($E417="","",IFERROR(INDEX(科目表!$A$4:$A$81,MATCH($E417,科目表!$B$4:$B$81,0)),""))</f>
        <v/>
      </c>
      <c r="G417" s="67" t="str">
        <f aca="false">IF($E417="","",IFERROR(INDEX(科目表!$E$4:$E$81,MATCH($E417,科目表!$B$4:$B$81,0)),""))</f>
        <v/>
      </c>
      <c r="H417" s="70" t="str">
        <f aca="false">IF($E417="","",N(INDEX(进销存对接!$M$4:$U$305,138,8)))</f>
        <v/>
      </c>
      <c r="I417" s="70" t="str">
        <f aca="false">IF($E417="","",N(INDEX(进销存对接!$M$4:$U$305,138,9)))</f>
        <v/>
      </c>
      <c r="J417" s="67"/>
      <c r="K417" s="67" t="str">
        <f aca="false">IF($E417="","",INDEX(进销存对接!$D$4:$D$305,138))</f>
        <v/>
      </c>
      <c r="L417" s="107"/>
      <c r="M417" s="107"/>
      <c r="N417" s="67" t="str">
        <f aca="false">IF($E417="","","系统")</f>
        <v/>
      </c>
      <c r="O417" s="67" t="str">
        <f aca="false">IF($E417="","","自动A")</f>
        <v/>
      </c>
      <c r="P417" s="18"/>
    </row>
    <row r="418" customFormat="false" ht="18" hidden="false" customHeight="true" outlineLevel="0" collapsed="false">
      <c r="A418" s="107" t="str">
        <f aca="false">IF($E418="","",ROW()-3)</f>
        <v/>
      </c>
      <c r="B418" s="110" t="str">
        <f aca="false">IF($E418="","",INDEX(进销存对接!$C$4:$C$305,139))</f>
        <v/>
      </c>
      <c r="C418" s="67" t="str">
        <f aca="false">IF($E418="","","记-"&amp;TEXT($B418,"YYYYMM")&amp;"-进销存")</f>
        <v/>
      </c>
      <c r="D418" s="107" t="str">
        <f aca="false">IF($E418="","",INDEX(进销存对接!$D$4:$D$305,139)&amp;" "&amp;TEXT($B418,"YYYY年M月")&amp;" 自动结转")</f>
        <v/>
      </c>
      <c r="E418" s="67" t="str">
        <f aca="false">IF(INDEX(进销存对接!$M$4:$U$305,139,1)=0,"",INDEX(进销存对接!$M$4:$U$305,139,1))</f>
        <v/>
      </c>
      <c r="F418" s="99" t="str">
        <f aca="false">IF($E418="","",IFERROR(INDEX(科目表!$A$4:$A$81,MATCH($E418,科目表!$B$4:$B$81,0)),""))</f>
        <v/>
      </c>
      <c r="G418" s="67" t="str">
        <f aca="false">IF($E418="","",IFERROR(INDEX(科目表!$E$4:$E$81,MATCH($E418,科目表!$B$4:$B$81,0)),""))</f>
        <v/>
      </c>
      <c r="H418" s="70" t="str">
        <f aca="false">IF($E418="","",N(INDEX(进销存对接!$M$4:$U$305,139,2)))</f>
        <v/>
      </c>
      <c r="I418" s="70" t="str">
        <f aca="false">IF($E418="","",N(INDEX(进销存对接!$M$4:$U$305,139,3)))</f>
        <v/>
      </c>
      <c r="J418" s="67"/>
      <c r="K418" s="67" t="str">
        <f aca="false">IF($E418="","",INDEX(进销存对接!$D$4:$D$305,139))</f>
        <v/>
      </c>
      <c r="L418" s="107"/>
      <c r="M418" s="107"/>
      <c r="N418" s="67" t="str">
        <f aca="false">IF($E418="","","系统")</f>
        <v/>
      </c>
      <c r="O418" s="67" t="str">
        <f aca="false">IF($E418="","","自动A")</f>
        <v/>
      </c>
      <c r="P418" s="18"/>
    </row>
    <row r="419" customFormat="false" ht="18" hidden="false" customHeight="true" outlineLevel="0" collapsed="false">
      <c r="A419" s="107" t="str">
        <f aca="false">IF($E419="","",ROW()-3)</f>
        <v/>
      </c>
      <c r="B419" s="110" t="str">
        <f aca="false">IF($E419="","",INDEX(进销存对接!$C$4:$C$305,139))</f>
        <v/>
      </c>
      <c r="C419" s="67" t="str">
        <f aca="false">IF($E419="","","记-"&amp;TEXT($B419,"YYYYMM")&amp;"-进销存")</f>
        <v/>
      </c>
      <c r="D419" s="107" t="str">
        <f aca="false">IF($E419="","",INDEX(进销存对接!$D$4:$D$305,139)&amp;" "&amp;TEXT($B419,"YYYY年M月")&amp;" 自动结转")</f>
        <v/>
      </c>
      <c r="E419" s="67" t="str">
        <f aca="false">IF(INDEX(进销存对接!$M$4:$U$305,139,4)=0,"",INDEX(进销存对接!$M$4:$U$305,139,4))</f>
        <v/>
      </c>
      <c r="F419" s="99" t="str">
        <f aca="false">IF($E419="","",IFERROR(INDEX(科目表!$A$4:$A$81,MATCH($E419,科目表!$B$4:$B$81,0)),""))</f>
        <v/>
      </c>
      <c r="G419" s="67" t="str">
        <f aca="false">IF($E419="","",IFERROR(INDEX(科目表!$E$4:$E$81,MATCH($E419,科目表!$B$4:$B$81,0)),""))</f>
        <v/>
      </c>
      <c r="H419" s="70" t="str">
        <f aca="false">IF($E419="","",N(INDEX(进销存对接!$M$4:$U$305,139,5)))</f>
        <v/>
      </c>
      <c r="I419" s="70" t="str">
        <f aca="false">IF($E419="","",N(INDEX(进销存对接!$M$4:$U$305,139,6)))</f>
        <v/>
      </c>
      <c r="J419" s="67"/>
      <c r="K419" s="67" t="str">
        <f aca="false">IF($E419="","",INDEX(进销存对接!$D$4:$D$305,139))</f>
        <v/>
      </c>
      <c r="L419" s="107"/>
      <c r="M419" s="107"/>
      <c r="N419" s="67" t="str">
        <f aca="false">IF($E419="","","系统")</f>
        <v/>
      </c>
      <c r="O419" s="67" t="str">
        <f aca="false">IF($E419="","","自动A")</f>
        <v/>
      </c>
      <c r="P419" s="18"/>
    </row>
    <row r="420" customFormat="false" ht="18" hidden="false" customHeight="true" outlineLevel="0" collapsed="false">
      <c r="A420" s="107" t="str">
        <f aca="false">IF($E420="","",ROW()-3)</f>
        <v/>
      </c>
      <c r="B420" s="110" t="str">
        <f aca="false">IF($E420="","",INDEX(进销存对接!$C$4:$C$305,139))</f>
        <v/>
      </c>
      <c r="C420" s="67" t="str">
        <f aca="false">IF($E420="","","记-"&amp;TEXT($B420,"YYYYMM")&amp;"-进销存")</f>
        <v/>
      </c>
      <c r="D420" s="107" t="str">
        <f aca="false">IF($E420="","",INDEX(进销存对接!$D$4:$D$305,139)&amp;" "&amp;TEXT($B420,"YYYY年M月")&amp;" 自动结转")</f>
        <v/>
      </c>
      <c r="E420" s="67" t="str">
        <f aca="false">IF(INDEX(进销存对接!$M$4:$U$305,139,7)=0,"",INDEX(进销存对接!$M$4:$U$305,139,7))</f>
        <v/>
      </c>
      <c r="F420" s="99" t="str">
        <f aca="false">IF($E420="","",IFERROR(INDEX(科目表!$A$4:$A$81,MATCH($E420,科目表!$B$4:$B$81,0)),""))</f>
        <v/>
      </c>
      <c r="G420" s="67" t="str">
        <f aca="false">IF($E420="","",IFERROR(INDEX(科目表!$E$4:$E$81,MATCH($E420,科目表!$B$4:$B$81,0)),""))</f>
        <v/>
      </c>
      <c r="H420" s="70" t="str">
        <f aca="false">IF($E420="","",N(INDEX(进销存对接!$M$4:$U$305,139,8)))</f>
        <v/>
      </c>
      <c r="I420" s="70" t="str">
        <f aca="false">IF($E420="","",N(INDEX(进销存对接!$M$4:$U$305,139,9)))</f>
        <v/>
      </c>
      <c r="J420" s="67"/>
      <c r="K420" s="67" t="str">
        <f aca="false">IF($E420="","",INDEX(进销存对接!$D$4:$D$305,139))</f>
        <v/>
      </c>
      <c r="L420" s="107"/>
      <c r="M420" s="107"/>
      <c r="N420" s="67" t="str">
        <f aca="false">IF($E420="","","系统")</f>
        <v/>
      </c>
      <c r="O420" s="67" t="str">
        <f aca="false">IF($E420="","","自动A")</f>
        <v/>
      </c>
      <c r="P420" s="18"/>
    </row>
    <row r="421" customFormat="false" ht="18" hidden="false" customHeight="true" outlineLevel="0" collapsed="false">
      <c r="A421" s="107" t="str">
        <f aca="false">IF($E421="","",ROW()-3)</f>
        <v/>
      </c>
      <c r="B421" s="110" t="str">
        <f aca="false">IF($E421="","",INDEX(进销存对接!$C$4:$C$305,140))</f>
        <v/>
      </c>
      <c r="C421" s="67" t="str">
        <f aca="false">IF($E421="","","记-"&amp;TEXT($B421,"YYYYMM")&amp;"-进销存")</f>
        <v/>
      </c>
      <c r="D421" s="107" t="str">
        <f aca="false">IF($E421="","",INDEX(进销存对接!$D$4:$D$305,140)&amp;" "&amp;TEXT($B421,"YYYY年M月")&amp;" 自动结转")</f>
        <v/>
      </c>
      <c r="E421" s="67" t="str">
        <f aca="false">IF(INDEX(进销存对接!$M$4:$U$305,140,1)=0,"",INDEX(进销存对接!$M$4:$U$305,140,1))</f>
        <v/>
      </c>
      <c r="F421" s="99" t="str">
        <f aca="false">IF($E421="","",IFERROR(INDEX(科目表!$A$4:$A$81,MATCH($E421,科目表!$B$4:$B$81,0)),""))</f>
        <v/>
      </c>
      <c r="G421" s="67" t="str">
        <f aca="false">IF($E421="","",IFERROR(INDEX(科目表!$E$4:$E$81,MATCH($E421,科目表!$B$4:$B$81,0)),""))</f>
        <v/>
      </c>
      <c r="H421" s="70" t="str">
        <f aca="false">IF($E421="","",N(INDEX(进销存对接!$M$4:$U$305,140,2)))</f>
        <v/>
      </c>
      <c r="I421" s="70" t="str">
        <f aca="false">IF($E421="","",N(INDEX(进销存对接!$M$4:$U$305,140,3)))</f>
        <v/>
      </c>
      <c r="J421" s="67"/>
      <c r="K421" s="67" t="str">
        <f aca="false">IF($E421="","",INDEX(进销存对接!$D$4:$D$305,140))</f>
        <v/>
      </c>
      <c r="L421" s="107"/>
      <c r="M421" s="107"/>
      <c r="N421" s="67" t="str">
        <f aca="false">IF($E421="","","系统")</f>
        <v/>
      </c>
      <c r="O421" s="67" t="str">
        <f aca="false">IF($E421="","","自动A")</f>
        <v/>
      </c>
      <c r="P421" s="18"/>
    </row>
    <row r="422" customFormat="false" ht="18" hidden="false" customHeight="true" outlineLevel="0" collapsed="false">
      <c r="A422" s="107" t="str">
        <f aca="false">IF($E422="","",ROW()-3)</f>
        <v/>
      </c>
      <c r="B422" s="110" t="str">
        <f aca="false">IF($E422="","",INDEX(进销存对接!$C$4:$C$305,140))</f>
        <v/>
      </c>
      <c r="C422" s="67" t="str">
        <f aca="false">IF($E422="","","记-"&amp;TEXT($B422,"YYYYMM")&amp;"-进销存")</f>
        <v/>
      </c>
      <c r="D422" s="107" t="str">
        <f aca="false">IF($E422="","",INDEX(进销存对接!$D$4:$D$305,140)&amp;" "&amp;TEXT($B422,"YYYY年M月")&amp;" 自动结转")</f>
        <v/>
      </c>
      <c r="E422" s="67" t="str">
        <f aca="false">IF(INDEX(进销存对接!$M$4:$U$305,140,4)=0,"",INDEX(进销存对接!$M$4:$U$305,140,4))</f>
        <v/>
      </c>
      <c r="F422" s="99" t="str">
        <f aca="false">IF($E422="","",IFERROR(INDEX(科目表!$A$4:$A$81,MATCH($E422,科目表!$B$4:$B$81,0)),""))</f>
        <v/>
      </c>
      <c r="G422" s="67" t="str">
        <f aca="false">IF($E422="","",IFERROR(INDEX(科目表!$E$4:$E$81,MATCH($E422,科目表!$B$4:$B$81,0)),""))</f>
        <v/>
      </c>
      <c r="H422" s="70" t="str">
        <f aca="false">IF($E422="","",N(INDEX(进销存对接!$M$4:$U$305,140,5)))</f>
        <v/>
      </c>
      <c r="I422" s="70" t="str">
        <f aca="false">IF($E422="","",N(INDEX(进销存对接!$M$4:$U$305,140,6)))</f>
        <v/>
      </c>
      <c r="J422" s="67"/>
      <c r="K422" s="67" t="str">
        <f aca="false">IF($E422="","",INDEX(进销存对接!$D$4:$D$305,140))</f>
        <v/>
      </c>
      <c r="L422" s="107"/>
      <c r="M422" s="107"/>
      <c r="N422" s="67" t="str">
        <f aca="false">IF($E422="","","系统")</f>
        <v/>
      </c>
      <c r="O422" s="67" t="str">
        <f aca="false">IF($E422="","","自动A")</f>
        <v/>
      </c>
      <c r="P422" s="18"/>
    </row>
    <row r="423" customFormat="false" ht="18" hidden="false" customHeight="true" outlineLevel="0" collapsed="false">
      <c r="A423" s="107" t="str">
        <f aca="false">IF($E423="","",ROW()-3)</f>
        <v/>
      </c>
      <c r="B423" s="110" t="str">
        <f aca="false">IF($E423="","",INDEX(进销存对接!$C$4:$C$305,140))</f>
        <v/>
      </c>
      <c r="C423" s="67" t="str">
        <f aca="false">IF($E423="","","记-"&amp;TEXT($B423,"YYYYMM")&amp;"-进销存")</f>
        <v/>
      </c>
      <c r="D423" s="107" t="str">
        <f aca="false">IF($E423="","",INDEX(进销存对接!$D$4:$D$305,140)&amp;" "&amp;TEXT($B423,"YYYY年M月")&amp;" 自动结转")</f>
        <v/>
      </c>
      <c r="E423" s="67" t="str">
        <f aca="false">IF(INDEX(进销存对接!$M$4:$U$305,140,7)=0,"",INDEX(进销存对接!$M$4:$U$305,140,7))</f>
        <v/>
      </c>
      <c r="F423" s="99" t="str">
        <f aca="false">IF($E423="","",IFERROR(INDEX(科目表!$A$4:$A$81,MATCH($E423,科目表!$B$4:$B$81,0)),""))</f>
        <v/>
      </c>
      <c r="G423" s="67" t="str">
        <f aca="false">IF($E423="","",IFERROR(INDEX(科目表!$E$4:$E$81,MATCH($E423,科目表!$B$4:$B$81,0)),""))</f>
        <v/>
      </c>
      <c r="H423" s="70" t="str">
        <f aca="false">IF($E423="","",N(INDEX(进销存对接!$M$4:$U$305,140,8)))</f>
        <v/>
      </c>
      <c r="I423" s="70" t="str">
        <f aca="false">IF($E423="","",N(INDEX(进销存对接!$M$4:$U$305,140,9)))</f>
        <v/>
      </c>
      <c r="J423" s="67"/>
      <c r="K423" s="67" t="str">
        <f aca="false">IF($E423="","",INDEX(进销存对接!$D$4:$D$305,140))</f>
        <v/>
      </c>
      <c r="L423" s="107"/>
      <c r="M423" s="107"/>
      <c r="N423" s="67" t="str">
        <f aca="false">IF($E423="","","系统")</f>
        <v/>
      </c>
      <c r="O423" s="67" t="str">
        <f aca="false">IF($E423="","","自动A")</f>
        <v/>
      </c>
      <c r="P423" s="18"/>
    </row>
    <row r="424" customFormat="false" ht="18" hidden="false" customHeight="true" outlineLevel="0" collapsed="false">
      <c r="A424" s="107" t="str">
        <f aca="false">IF($E424="","",ROW()-3)</f>
        <v/>
      </c>
      <c r="B424" s="110" t="str">
        <f aca="false">IF($E424="","",INDEX(进销存对接!$C$4:$C$305,141))</f>
        <v/>
      </c>
      <c r="C424" s="67" t="str">
        <f aca="false">IF($E424="","","记-"&amp;TEXT($B424,"YYYYMM")&amp;"-进销存")</f>
        <v/>
      </c>
      <c r="D424" s="107" t="str">
        <f aca="false">IF($E424="","",INDEX(进销存对接!$D$4:$D$305,141)&amp;" "&amp;TEXT($B424,"YYYY年M月")&amp;" 自动结转")</f>
        <v/>
      </c>
      <c r="E424" s="67" t="str">
        <f aca="false">IF(INDEX(进销存对接!$M$4:$U$305,141,1)=0,"",INDEX(进销存对接!$M$4:$U$305,141,1))</f>
        <v/>
      </c>
      <c r="F424" s="99" t="str">
        <f aca="false">IF($E424="","",IFERROR(INDEX(科目表!$A$4:$A$81,MATCH($E424,科目表!$B$4:$B$81,0)),""))</f>
        <v/>
      </c>
      <c r="G424" s="67" t="str">
        <f aca="false">IF($E424="","",IFERROR(INDEX(科目表!$E$4:$E$81,MATCH($E424,科目表!$B$4:$B$81,0)),""))</f>
        <v/>
      </c>
      <c r="H424" s="70" t="str">
        <f aca="false">IF($E424="","",N(INDEX(进销存对接!$M$4:$U$305,141,2)))</f>
        <v/>
      </c>
      <c r="I424" s="70" t="str">
        <f aca="false">IF($E424="","",N(INDEX(进销存对接!$M$4:$U$305,141,3)))</f>
        <v/>
      </c>
      <c r="J424" s="67"/>
      <c r="K424" s="67" t="str">
        <f aca="false">IF($E424="","",INDEX(进销存对接!$D$4:$D$305,141))</f>
        <v/>
      </c>
      <c r="L424" s="107"/>
      <c r="M424" s="107"/>
      <c r="N424" s="67" t="str">
        <f aca="false">IF($E424="","","系统")</f>
        <v/>
      </c>
      <c r="O424" s="67" t="str">
        <f aca="false">IF($E424="","","自动A")</f>
        <v/>
      </c>
      <c r="P424" s="18"/>
    </row>
    <row r="425" customFormat="false" ht="18" hidden="false" customHeight="true" outlineLevel="0" collapsed="false">
      <c r="A425" s="107" t="str">
        <f aca="false">IF($E425="","",ROW()-3)</f>
        <v/>
      </c>
      <c r="B425" s="110" t="str">
        <f aca="false">IF($E425="","",INDEX(进销存对接!$C$4:$C$305,141))</f>
        <v/>
      </c>
      <c r="C425" s="67" t="str">
        <f aca="false">IF($E425="","","记-"&amp;TEXT($B425,"YYYYMM")&amp;"-进销存")</f>
        <v/>
      </c>
      <c r="D425" s="107" t="str">
        <f aca="false">IF($E425="","",INDEX(进销存对接!$D$4:$D$305,141)&amp;" "&amp;TEXT($B425,"YYYY年M月")&amp;" 自动结转")</f>
        <v/>
      </c>
      <c r="E425" s="67" t="str">
        <f aca="false">IF(INDEX(进销存对接!$M$4:$U$305,141,4)=0,"",INDEX(进销存对接!$M$4:$U$305,141,4))</f>
        <v/>
      </c>
      <c r="F425" s="99" t="str">
        <f aca="false">IF($E425="","",IFERROR(INDEX(科目表!$A$4:$A$81,MATCH($E425,科目表!$B$4:$B$81,0)),""))</f>
        <v/>
      </c>
      <c r="G425" s="67" t="str">
        <f aca="false">IF($E425="","",IFERROR(INDEX(科目表!$E$4:$E$81,MATCH($E425,科目表!$B$4:$B$81,0)),""))</f>
        <v/>
      </c>
      <c r="H425" s="70" t="str">
        <f aca="false">IF($E425="","",N(INDEX(进销存对接!$M$4:$U$305,141,5)))</f>
        <v/>
      </c>
      <c r="I425" s="70" t="str">
        <f aca="false">IF($E425="","",N(INDEX(进销存对接!$M$4:$U$305,141,6)))</f>
        <v/>
      </c>
      <c r="J425" s="67"/>
      <c r="K425" s="67" t="str">
        <f aca="false">IF($E425="","",INDEX(进销存对接!$D$4:$D$305,141))</f>
        <v/>
      </c>
      <c r="L425" s="107"/>
      <c r="M425" s="107"/>
      <c r="N425" s="67" t="str">
        <f aca="false">IF($E425="","","系统")</f>
        <v/>
      </c>
      <c r="O425" s="67" t="str">
        <f aca="false">IF($E425="","","自动A")</f>
        <v/>
      </c>
      <c r="P425" s="18"/>
    </row>
    <row r="426" customFormat="false" ht="18" hidden="false" customHeight="true" outlineLevel="0" collapsed="false">
      <c r="A426" s="107" t="str">
        <f aca="false">IF($E426="","",ROW()-3)</f>
        <v/>
      </c>
      <c r="B426" s="110" t="str">
        <f aca="false">IF($E426="","",INDEX(进销存对接!$C$4:$C$305,141))</f>
        <v/>
      </c>
      <c r="C426" s="67" t="str">
        <f aca="false">IF($E426="","","记-"&amp;TEXT($B426,"YYYYMM")&amp;"-进销存")</f>
        <v/>
      </c>
      <c r="D426" s="107" t="str">
        <f aca="false">IF($E426="","",INDEX(进销存对接!$D$4:$D$305,141)&amp;" "&amp;TEXT($B426,"YYYY年M月")&amp;" 自动结转")</f>
        <v/>
      </c>
      <c r="E426" s="67" t="str">
        <f aca="false">IF(INDEX(进销存对接!$M$4:$U$305,141,7)=0,"",INDEX(进销存对接!$M$4:$U$305,141,7))</f>
        <v/>
      </c>
      <c r="F426" s="99" t="str">
        <f aca="false">IF($E426="","",IFERROR(INDEX(科目表!$A$4:$A$81,MATCH($E426,科目表!$B$4:$B$81,0)),""))</f>
        <v/>
      </c>
      <c r="G426" s="67" t="str">
        <f aca="false">IF($E426="","",IFERROR(INDEX(科目表!$E$4:$E$81,MATCH($E426,科目表!$B$4:$B$81,0)),""))</f>
        <v/>
      </c>
      <c r="H426" s="70" t="str">
        <f aca="false">IF($E426="","",N(INDEX(进销存对接!$M$4:$U$305,141,8)))</f>
        <v/>
      </c>
      <c r="I426" s="70" t="str">
        <f aca="false">IF($E426="","",N(INDEX(进销存对接!$M$4:$U$305,141,9)))</f>
        <v/>
      </c>
      <c r="J426" s="67"/>
      <c r="K426" s="67" t="str">
        <f aca="false">IF($E426="","",INDEX(进销存对接!$D$4:$D$305,141))</f>
        <v/>
      </c>
      <c r="L426" s="107"/>
      <c r="M426" s="107"/>
      <c r="N426" s="67" t="str">
        <f aca="false">IF($E426="","","系统")</f>
        <v/>
      </c>
      <c r="O426" s="67" t="str">
        <f aca="false">IF($E426="","","自动A")</f>
        <v/>
      </c>
      <c r="P426" s="18"/>
    </row>
    <row r="427" customFormat="false" ht="18" hidden="false" customHeight="true" outlineLevel="0" collapsed="false">
      <c r="A427" s="107" t="str">
        <f aca="false">IF($E427="","",ROW()-3)</f>
        <v/>
      </c>
      <c r="B427" s="110" t="str">
        <f aca="false">IF($E427="","",INDEX(进销存对接!$C$4:$C$305,142))</f>
        <v/>
      </c>
      <c r="C427" s="67" t="str">
        <f aca="false">IF($E427="","","记-"&amp;TEXT($B427,"YYYYMM")&amp;"-进销存")</f>
        <v/>
      </c>
      <c r="D427" s="107" t="str">
        <f aca="false">IF($E427="","",INDEX(进销存对接!$D$4:$D$305,142)&amp;" "&amp;TEXT($B427,"YYYY年M月")&amp;" 自动结转")</f>
        <v/>
      </c>
      <c r="E427" s="67" t="str">
        <f aca="false">IF(INDEX(进销存对接!$M$4:$U$305,142,1)=0,"",INDEX(进销存对接!$M$4:$U$305,142,1))</f>
        <v/>
      </c>
      <c r="F427" s="99" t="str">
        <f aca="false">IF($E427="","",IFERROR(INDEX(科目表!$A$4:$A$81,MATCH($E427,科目表!$B$4:$B$81,0)),""))</f>
        <v/>
      </c>
      <c r="G427" s="67" t="str">
        <f aca="false">IF($E427="","",IFERROR(INDEX(科目表!$E$4:$E$81,MATCH($E427,科目表!$B$4:$B$81,0)),""))</f>
        <v/>
      </c>
      <c r="H427" s="70" t="str">
        <f aca="false">IF($E427="","",N(INDEX(进销存对接!$M$4:$U$305,142,2)))</f>
        <v/>
      </c>
      <c r="I427" s="70" t="str">
        <f aca="false">IF($E427="","",N(INDEX(进销存对接!$M$4:$U$305,142,3)))</f>
        <v/>
      </c>
      <c r="J427" s="67"/>
      <c r="K427" s="67" t="str">
        <f aca="false">IF($E427="","",INDEX(进销存对接!$D$4:$D$305,142))</f>
        <v/>
      </c>
      <c r="L427" s="107"/>
      <c r="M427" s="107"/>
      <c r="N427" s="67" t="str">
        <f aca="false">IF($E427="","","系统")</f>
        <v/>
      </c>
      <c r="O427" s="67" t="str">
        <f aca="false">IF($E427="","","自动A")</f>
        <v/>
      </c>
      <c r="P427" s="18"/>
    </row>
    <row r="428" customFormat="false" ht="18" hidden="false" customHeight="true" outlineLevel="0" collapsed="false">
      <c r="A428" s="107" t="str">
        <f aca="false">IF($E428="","",ROW()-3)</f>
        <v/>
      </c>
      <c r="B428" s="110" t="str">
        <f aca="false">IF($E428="","",INDEX(进销存对接!$C$4:$C$305,142))</f>
        <v/>
      </c>
      <c r="C428" s="67" t="str">
        <f aca="false">IF($E428="","","记-"&amp;TEXT($B428,"YYYYMM")&amp;"-进销存")</f>
        <v/>
      </c>
      <c r="D428" s="107" t="str">
        <f aca="false">IF($E428="","",INDEX(进销存对接!$D$4:$D$305,142)&amp;" "&amp;TEXT($B428,"YYYY年M月")&amp;" 自动结转")</f>
        <v/>
      </c>
      <c r="E428" s="67" t="str">
        <f aca="false">IF(INDEX(进销存对接!$M$4:$U$305,142,4)=0,"",INDEX(进销存对接!$M$4:$U$305,142,4))</f>
        <v/>
      </c>
      <c r="F428" s="99" t="str">
        <f aca="false">IF($E428="","",IFERROR(INDEX(科目表!$A$4:$A$81,MATCH($E428,科目表!$B$4:$B$81,0)),""))</f>
        <v/>
      </c>
      <c r="G428" s="67" t="str">
        <f aca="false">IF($E428="","",IFERROR(INDEX(科目表!$E$4:$E$81,MATCH($E428,科目表!$B$4:$B$81,0)),""))</f>
        <v/>
      </c>
      <c r="H428" s="70" t="str">
        <f aca="false">IF($E428="","",N(INDEX(进销存对接!$M$4:$U$305,142,5)))</f>
        <v/>
      </c>
      <c r="I428" s="70" t="str">
        <f aca="false">IF($E428="","",N(INDEX(进销存对接!$M$4:$U$305,142,6)))</f>
        <v/>
      </c>
      <c r="J428" s="67"/>
      <c r="K428" s="67" t="str">
        <f aca="false">IF($E428="","",INDEX(进销存对接!$D$4:$D$305,142))</f>
        <v/>
      </c>
      <c r="L428" s="107"/>
      <c r="M428" s="107"/>
      <c r="N428" s="67" t="str">
        <f aca="false">IF($E428="","","系统")</f>
        <v/>
      </c>
      <c r="O428" s="67" t="str">
        <f aca="false">IF($E428="","","自动A")</f>
        <v/>
      </c>
      <c r="P428" s="18"/>
    </row>
    <row r="429" customFormat="false" ht="18" hidden="false" customHeight="true" outlineLevel="0" collapsed="false">
      <c r="A429" s="107" t="str">
        <f aca="false">IF($E429="","",ROW()-3)</f>
        <v/>
      </c>
      <c r="B429" s="110" t="str">
        <f aca="false">IF($E429="","",INDEX(进销存对接!$C$4:$C$305,142))</f>
        <v/>
      </c>
      <c r="C429" s="67" t="str">
        <f aca="false">IF($E429="","","记-"&amp;TEXT($B429,"YYYYMM")&amp;"-进销存")</f>
        <v/>
      </c>
      <c r="D429" s="107" t="str">
        <f aca="false">IF($E429="","",INDEX(进销存对接!$D$4:$D$305,142)&amp;" "&amp;TEXT($B429,"YYYY年M月")&amp;" 自动结转")</f>
        <v/>
      </c>
      <c r="E429" s="67" t="str">
        <f aca="false">IF(INDEX(进销存对接!$M$4:$U$305,142,7)=0,"",INDEX(进销存对接!$M$4:$U$305,142,7))</f>
        <v/>
      </c>
      <c r="F429" s="99" t="str">
        <f aca="false">IF($E429="","",IFERROR(INDEX(科目表!$A$4:$A$81,MATCH($E429,科目表!$B$4:$B$81,0)),""))</f>
        <v/>
      </c>
      <c r="G429" s="67" t="str">
        <f aca="false">IF($E429="","",IFERROR(INDEX(科目表!$E$4:$E$81,MATCH($E429,科目表!$B$4:$B$81,0)),""))</f>
        <v/>
      </c>
      <c r="H429" s="70" t="str">
        <f aca="false">IF($E429="","",N(INDEX(进销存对接!$M$4:$U$305,142,8)))</f>
        <v/>
      </c>
      <c r="I429" s="70" t="str">
        <f aca="false">IF($E429="","",N(INDEX(进销存对接!$M$4:$U$305,142,9)))</f>
        <v/>
      </c>
      <c r="J429" s="67"/>
      <c r="K429" s="67" t="str">
        <f aca="false">IF($E429="","",INDEX(进销存对接!$D$4:$D$305,142))</f>
        <v/>
      </c>
      <c r="L429" s="107"/>
      <c r="M429" s="107"/>
      <c r="N429" s="67" t="str">
        <f aca="false">IF($E429="","","系统")</f>
        <v/>
      </c>
      <c r="O429" s="67" t="str">
        <f aca="false">IF($E429="","","自动A")</f>
        <v/>
      </c>
      <c r="P429" s="18"/>
    </row>
    <row r="430" customFormat="false" ht="18" hidden="false" customHeight="true" outlineLevel="0" collapsed="false">
      <c r="A430" s="107" t="str">
        <f aca="false">IF($E430="","",ROW()-3)</f>
        <v/>
      </c>
      <c r="B430" s="110" t="str">
        <f aca="false">IF($E430="","",INDEX(进销存对接!$C$4:$C$305,143))</f>
        <v/>
      </c>
      <c r="C430" s="67" t="str">
        <f aca="false">IF($E430="","","记-"&amp;TEXT($B430,"YYYYMM")&amp;"-进销存")</f>
        <v/>
      </c>
      <c r="D430" s="107" t="str">
        <f aca="false">IF($E430="","",INDEX(进销存对接!$D$4:$D$305,143)&amp;" "&amp;TEXT($B430,"YYYY年M月")&amp;" 自动结转")</f>
        <v/>
      </c>
      <c r="E430" s="67" t="str">
        <f aca="false">IF(INDEX(进销存对接!$M$4:$U$305,143,1)=0,"",INDEX(进销存对接!$M$4:$U$305,143,1))</f>
        <v/>
      </c>
      <c r="F430" s="99" t="str">
        <f aca="false">IF($E430="","",IFERROR(INDEX(科目表!$A$4:$A$81,MATCH($E430,科目表!$B$4:$B$81,0)),""))</f>
        <v/>
      </c>
      <c r="G430" s="67" t="str">
        <f aca="false">IF($E430="","",IFERROR(INDEX(科目表!$E$4:$E$81,MATCH($E430,科目表!$B$4:$B$81,0)),""))</f>
        <v/>
      </c>
      <c r="H430" s="70" t="str">
        <f aca="false">IF($E430="","",N(INDEX(进销存对接!$M$4:$U$305,143,2)))</f>
        <v/>
      </c>
      <c r="I430" s="70" t="str">
        <f aca="false">IF($E430="","",N(INDEX(进销存对接!$M$4:$U$305,143,3)))</f>
        <v/>
      </c>
      <c r="J430" s="67"/>
      <c r="K430" s="67" t="str">
        <f aca="false">IF($E430="","",INDEX(进销存对接!$D$4:$D$305,143))</f>
        <v/>
      </c>
      <c r="L430" s="107"/>
      <c r="M430" s="107"/>
      <c r="N430" s="67" t="str">
        <f aca="false">IF($E430="","","系统")</f>
        <v/>
      </c>
      <c r="O430" s="67" t="str">
        <f aca="false">IF($E430="","","自动A")</f>
        <v/>
      </c>
      <c r="P430" s="18"/>
    </row>
    <row r="431" customFormat="false" ht="18" hidden="false" customHeight="true" outlineLevel="0" collapsed="false">
      <c r="A431" s="107" t="str">
        <f aca="false">IF($E431="","",ROW()-3)</f>
        <v/>
      </c>
      <c r="B431" s="110" t="str">
        <f aca="false">IF($E431="","",INDEX(进销存对接!$C$4:$C$305,143))</f>
        <v/>
      </c>
      <c r="C431" s="67" t="str">
        <f aca="false">IF($E431="","","记-"&amp;TEXT($B431,"YYYYMM")&amp;"-进销存")</f>
        <v/>
      </c>
      <c r="D431" s="107" t="str">
        <f aca="false">IF($E431="","",INDEX(进销存对接!$D$4:$D$305,143)&amp;" "&amp;TEXT($B431,"YYYY年M月")&amp;" 自动结转")</f>
        <v/>
      </c>
      <c r="E431" s="67" t="str">
        <f aca="false">IF(INDEX(进销存对接!$M$4:$U$305,143,4)=0,"",INDEX(进销存对接!$M$4:$U$305,143,4))</f>
        <v/>
      </c>
      <c r="F431" s="99" t="str">
        <f aca="false">IF($E431="","",IFERROR(INDEX(科目表!$A$4:$A$81,MATCH($E431,科目表!$B$4:$B$81,0)),""))</f>
        <v/>
      </c>
      <c r="G431" s="67" t="str">
        <f aca="false">IF($E431="","",IFERROR(INDEX(科目表!$E$4:$E$81,MATCH($E431,科目表!$B$4:$B$81,0)),""))</f>
        <v/>
      </c>
      <c r="H431" s="70" t="str">
        <f aca="false">IF($E431="","",N(INDEX(进销存对接!$M$4:$U$305,143,5)))</f>
        <v/>
      </c>
      <c r="I431" s="70" t="str">
        <f aca="false">IF($E431="","",N(INDEX(进销存对接!$M$4:$U$305,143,6)))</f>
        <v/>
      </c>
      <c r="J431" s="67"/>
      <c r="K431" s="67" t="str">
        <f aca="false">IF($E431="","",INDEX(进销存对接!$D$4:$D$305,143))</f>
        <v/>
      </c>
      <c r="L431" s="107"/>
      <c r="M431" s="107"/>
      <c r="N431" s="67" t="str">
        <f aca="false">IF($E431="","","系统")</f>
        <v/>
      </c>
      <c r="O431" s="67" t="str">
        <f aca="false">IF($E431="","","自动A")</f>
        <v/>
      </c>
      <c r="P431" s="18"/>
    </row>
    <row r="432" customFormat="false" ht="18" hidden="false" customHeight="true" outlineLevel="0" collapsed="false">
      <c r="A432" s="107" t="str">
        <f aca="false">IF($E432="","",ROW()-3)</f>
        <v/>
      </c>
      <c r="B432" s="110" t="str">
        <f aca="false">IF($E432="","",INDEX(进销存对接!$C$4:$C$305,143))</f>
        <v/>
      </c>
      <c r="C432" s="67" t="str">
        <f aca="false">IF($E432="","","记-"&amp;TEXT($B432,"YYYYMM")&amp;"-进销存")</f>
        <v/>
      </c>
      <c r="D432" s="107" t="str">
        <f aca="false">IF($E432="","",INDEX(进销存对接!$D$4:$D$305,143)&amp;" "&amp;TEXT($B432,"YYYY年M月")&amp;" 自动结转")</f>
        <v/>
      </c>
      <c r="E432" s="67" t="str">
        <f aca="false">IF(INDEX(进销存对接!$M$4:$U$305,143,7)=0,"",INDEX(进销存对接!$M$4:$U$305,143,7))</f>
        <v/>
      </c>
      <c r="F432" s="99" t="str">
        <f aca="false">IF($E432="","",IFERROR(INDEX(科目表!$A$4:$A$81,MATCH($E432,科目表!$B$4:$B$81,0)),""))</f>
        <v/>
      </c>
      <c r="G432" s="67" t="str">
        <f aca="false">IF($E432="","",IFERROR(INDEX(科目表!$E$4:$E$81,MATCH($E432,科目表!$B$4:$B$81,0)),""))</f>
        <v/>
      </c>
      <c r="H432" s="70" t="str">
        <f aca="false">IF($E432="","",N(INDEX(进销存对接!$M$4:$U$305,143,8)))</f>
        <v/>
      </c>
      <c r="I432" s="70" t="str">
        <f aca="false">IF($E432="","",N(INDEX(进销存对接!$M$4:$U$305,143,9)))</f>
        <v/>
      </c>
      <c r="J432" s="67"/>
      <c r="K432" s="67" t="str">
        <f aca="false">IF($E432="","",INDEX(进销存对接!$D$4:$D$305,143))</f>
        <v/>
      </c>
      <c r="L432" s="107"/>
      <c r="M432" s="107"/>
      <c r="N432" s="67" t="str">
        <f aca="false">IF($E432="","","系统")</f>
        <v/>
      </c>
      <c r="O432" s="67" t="str">
        <f aca="false">IF($E432="","","自动A")</f>
        <v/>
      </c>
      <c r="P432" s="18"/>
    </row>
    <row r="433" customFormat="false" ht="18" hidden="false" customHeight="true" outlineLevel="0" collapsed="false">
      <c r="A433" s="107" t="str">
        <f aca="false">IF($E433="","",ROW()-3)</f>
        <v/>
      </c>
      <c r="B433" s="110" t="str">
        <f aca="false">IF($E433="","",INDEX(进销存对接!$C$4:$C$305,144))</f>
        <v/>
      </c>
      <c r="C433" s="67" t="str">
        <f aca="false">IF($E433="","","记-"&amp;TEXT($B433,"YYYYMM")&amp;"-进销存")</f>
        <v/>
      </c>
      <c r="D433" s="107" t="str">
        <f aca="false">IF($E433="","",INDEX(进销存对接!$D$4:$D$305,144)&amp;" "&amp;TEXT($B433,"YYYY年M月")&amp;" 自动结转")</f>
        <v/>
      </c>
      <c r="E433" s="67" t="str">
        <f aca="false">IF(INDEX(进销存对接!$M$4:$U$305,144,1)=0,"",INDEX(进销存对接!$M$4:$U$305,144,1))</f>
        <v/>
      </c>
      <c r="F433" s="99" t="str">
        <f aca="false">IF($E433="","",IFERROR(INDEX(科目表!$A$4:$A$81,MATCH($E433,科目表!$B$4:$B$81,0)),""))</f>
        <v/>
      </c>
      <c r="G433" s="67" t="str">
        <f aca="false">IF($E433="","",IFERROR(INDEX(科目表!$E$4:$E$81,MATCH($E433,科目表!$B$4:$B$81,0)),""))</f>
        <v/>
      </c>
      <c r="H433" s="70" t="str">
        <f aca="false">IF($E433="","",N(INDEX(进销存对接!$M$4:$U$305,144,2)))</f>
        <v/>
      </c>
      <c r="I433" s="70" t="str">
        <f aca="false">IF($E433="","",N(INDEX(进销存对接!$M$4:$U$305,144,3)))</f>
        <v/>
      </c>
      <c r="J433" s="67"/>
      <c r="K433" s="67" t="str">
        <f aca="false">IF($E433="","",INDEX(进销存对接!$D$4:$D$305,144))</f>
        <v/>
      </c>
      <c r="L433" s="107"/>
      <c r="M433" s="107"/>
      <c r="N433" s="67" t="str">
        <f aca="false">IF($E433="","","系统")</f>
        <v/>
      </c>
      <c r="O433" s="67" t="str">
        <f aca="false">IF($E433="","","自动A")</f>
        <v/>
      </c>
      <c r="P433" s="18"/>
    </row>
    <row r="434" customFormat="false" ht="18" hidden="false" customHeight="true" outlineLevel="0" collapsed="false">
      <c r="A434" s="107" t="str">
        <f aca="false">IF($E434="","",ROW()-3)</f>
        <v/>
      </c>
      <c r="B434" s="110" t="str">
        <f aca="false">IF($E434="","",INDEX(进销存对接!$C$4:$C$305,144))</f>
        <v/>
      </c>
      <c r="C434" s="67" t="str">
        <f aca="false">IF($E434="","","记-"&amp;TEXT($B434,"YYYYMM")&amp;"-进销存")</f>
        <v/>
      </c>
      <c r="D434" s="107" t="str">
        <f aca="false">IF($E434="","",INDEX(进销存对接!$D$4:$D$305,144)&amp;" "&amp;TEXT($B434,"YYYY年M月")&amp;" 自动结转")</f>
        <v/>
      </c>
      <c r="E434" s="67" t="str">
        <f aca="false">IF(INDEX(进销存对接!$M$4:$U$305,144,4)=0,"",INDEX(进销存对接!$M$4:$U$305,144,4))</f>
        <v/>
      </c>
      <c r="F434" s="99" t="str">
        <f aca="false">IF($E434="","",IFERROR(INDEX(科目表!$A$4:$A$81,MATCH($E434,科目表!$B$4:$B$81,0)),""))</f>
        <v/>
      </c>
      <c r="G434" s="67" t="str">
        <f aca="false">IF($E434="","",IFERROR(INDEX(科目表!$E$4:$E$81,MATCH($E434,科目表!$B$4:$B$81,0)),""))</f>
        <v/>
      </c>
      <c r="H434" s="70" t="str">
        <f aca="false">IF($E434="","",N(INDEX(进销存对接!$M$4:$U$305,144,5)))</f>
        <v/>
      </c>
      <c r="I434" s="70" t="str">
        <f aca="false">IF($E434="","",N(INDEX(进销存对接!$M$4:$U$305,144,6)))</f>
        <v/>
      </c>
      <c r="J434" s="67"/>
      <c r="K434" s="67" t="str">
        <f aca="false">IF($E434="","",INDEX(进销存对接!$D$4:$D$305,144))</f>
        <v/>
      </c>
      <c r="L434" s="107"/>
      <c r="M434" s="107"/>
      <c r="N434" s="67" t="str">
        <f aca="false">IF($E434="","","系统")</f>
        <v/>
      </c>
      <c r="O434" s="67" t="str">
        <f aca="false">IF($E434="","","自动A")</f>
        <v/>
      </c>
      <c r="P434" s="18"/>
    </row>
    <row r="435" customFormat="false" ht="18" hidden="false" customHeight="true" outlineLevel="0" collapsed="false">
      <c r="A435" s="107" t="str">
        <f aca="false">IF($E435="","",ROW()-3)</f>
        <v/>
      </c>
      <c r="B435" s="110" t="str">
        <f aca="false">IF($E435="","",INDEX(进销存对接!$C$4:$C$305,144))</f>
        <v/>
      </c>
      <c r="C435" s="67" t="str">
        <f aca="false">IF($E435="","","记-"&amp;TEXT($B435,"YYYYMM")&amp;"-进销存")</f>
        <v/>
      </c>
      <c r="D435" s="107" t="str">
        <f aca="false">IF($E435="","",INDEX(进销存对接!$D$4:$D$305,144)&amp;" "&amp;TEXT($B435,"YYYY年M月")&amp;" 自动结转")</f>
        <v/>
      </c>
      <c r="E435" s="67" t="str">
        <f aca="false">IF(INDEX(进销存对接!$M$4:$U$305,144,7)=0,"",INDEX(进销存对接!$M$4:$U$305,144,7))</f>
        <v/>
      </c>
      <c r="F435" s="99" t="str">
        <f aca="false">IF($E435="","",IFERROR(INDEX(科目表!$A$4:$A$81,MATCH($E435,科目表!$B$4:$B$81,0)),""))</f>
        <v/>
      </c>
      <c r="G435" s="67" t="str">
        <f aca="false">IF($E435="","",IFERROR(INDEX(科目表!$E$4:$E$81,MATCH($E435,科目表!$B$4:$B$81,0)),""))</f>
        <v/>
      </c>
      <c r="H435" s="70" t="str">
        <f aca="false">IF($E435="","",N(INDEX(进销存对接!$M$4:$U$305,144,8)))</f>
        <v/>
      </c>
      <c r="I435" s="70" t="str">
        <f aca="false">IF($E435="","",N(INDEX(进销存对接!$M$4:$U$305,144,9)))</f>
        <v/>
      </c>
      <c r="J435" s="67"/>
      <c r="K435" s="67" t="str">
        <f aca="false">IF($E435="","",INDEX(进销存对接!$D$4:$D$305,144))</f>
        <v/>
      </c>
      <c r="L435" s="107"/>
      <c r="M435" s="107"/>
      <c r="N435" s="67" t="str">
        <f aca="false">IF($E435="","","系统")</f>
        <v/>
      </c>
      <c r="O435" s="67" t="str">
        <f aca="false">IF($E435="","","自动A")</f>
        <v/>
      </c>
      <c r="P435" s="18"/>
    </row>
    <row r="436" customFormat="false" ht="18" hidden="false" customHeight="true" outlineLevel="0" collapsed="false">
      <c r="A436" s="107" t="str">
        <f aca="false">IF($E436="","",ROW()-3)</f>
        <v/>
      </c>
      <c r="B436" s="110" t="str">
        <f aca="false">IF($E436="","",INDEX(进销存对接!$C$4:$C$305,145))</f>
        <v/>
      </c>
      <c r="C436" s="67" t="str">
        <f aca="false">IF($E436="","","记-"&amp;TEXT($B436,"YYYYMM")&amp;"-进销存")</f>
        <v/>
      </c>
      <c r="D436" s="107" t="str">
        <f aca="false">IF($E436="","",INDEX(进销存对接!$D$4:$D$305,145)&amp;" "&amp;TEXT($B436,"YYYY年M月")&amp;" 自动结转")</f>
        <v/>
      </c>
      <c r="E436" s="67" t="str">
        <f aca="false">IF(INDEX(进销存对接!$M$4:$U$305,145,1)=0,"",INDEX(进销存对接!$M$4:$U$305,145,1))</f>
        <v/>
      </c>
      <c r="F436" s="99" t="str">
        <f aca="false">IF($E436="","",IFERROR(INDEX(科目表!$A$4:$A$81,MATCH($E436,科目表!$B$4:$B$81,0)),""))</f>
        <v/>
      </c>
      <c r="G436" s="67" t="str">
        <f aca="false">IF($E436="","",IFERROR(INDEX(科目表!$E$4:$E$81,MATCH($E436,科目表!$B$4:$B$81,0)),""))</f>
        <v/>
      </c>
      <c r="H436" s="70" t="str">
        <f aca="false">IF($E436="","",N(INDEX(进销存对接!$M$4:$U$305,145,2)))</f>
        <v/>
      </c>
      <c r="I436" s="70" t="str">
        <f aca="false">IF($E436="","",N(INDEX(进销存对接!$M$4:$U$305,145,3)))</f>
        <v/>
      </c>
      <c r="J436" s="67"/>
      <c r="K436" s="67" t="str">
        <f aca="false">IF($E436="","",INDEX(进销存对接!$D$4:$D$305,145))</f>
        <v/>
      </c>
      <c r="L436" s="107"/>
      <c r="M436" s="107"/>
      <c r="N436" s="67" t="str">
        <f aca="false">IF($E436="","","系统")</f>
        <v/>
      </c>
      <c r="O436" s="67" t="str">
        <f aca="false">IF($E436="","","自动A")</f>
        <v/>
      </c>
      <c r="P436" s="18"/>
    </row>
    <row r="437" customFormat="false" ht="18" hidden="false" customHeight="true" outlineLevel="0" collapsed="false">
      <c r="A437" s="107" t="str">
        <f aca="false">IF($E437="","",ROW()-3)</f>
        <v/>
      </c>
      <c r="B437" s="110" t="str">
        <f aca="false">IF($E437="","",INDEX(进销存对接!$C$4:$C$305,145))</f>
        <v/>
      </c>
      <c r="C437" s="67" t="str">
        <f aca="false">IF($E437="","","记-"&amp;TEXT($B437,"YYYYMM")&amp;"-进销存")</f>
        <v/>
      </c>
      <c r="D437" s="107" t="str">
        <f aca="false">IF($E437="","",INDEX(进销存对接!$D$4:$D$305,145)&amp;" "&amp;TEXT($B437,"YYYY年M月")&amp;" 自动结转")</f>
        <v/>
      </c>
      <c r="E437" s="67" t="str">
        <f aca="false">IF(INDEX(进销存对接!$M$4:$U$305,145,4)=0,"",INDEX(进销存对接!$M$4:$U$305,145,4))</f>
        <v/>
      </c>
      <c r="F437" s="99" t="str">
        <f aca="false">IF($E437="","",IFERROR(INDEX(科目表!$A$4:$A$81,MATCH($E437,科目表!$B$4:$B$81,0)),""))</f>
        <v/>
      </c>
      <c r="G437" s="67" t="str">
        <f aca="false">IF($E437="","",IFERROR(INDEX(科目表!$E$4:$E$81,MATCH($E437,科目表!$B$4:$B$81,0)),""))</f>
        <v/>
      </c>
      <c r="H437" s="70" t="str">
        <f aca="false">IF($E437="","",N(INDEX(进销存对接!$M$4:$U$305,145,5)))</f>
        <v/>
      </c>
      <c r="I437" s="70" t="str">
        <f aca="false">IF($E437="","",N(INDEX(进销存对接!$M$4:$U$305,145,6)))</f>
        <v/>
      </c>
      <c r="J437" s="67"/>
      <c r="K437" s="67" t="str">
        <f aca="false">IF($E437="","",INDEX(进销存对接!$D$4:$D$305,145))</f>
        <v/>
      </c>
      <c r="L437" s="107"/>
      <c r="M437" s="107"/>
      <c r="N437" s="67" t="str">
        <f aca="false">IF($E437="","","系统")</f>
        <v/>
      </c>
      <c r="O437" s="67" t="str">
        <f aca="false">IF($E437="","","自动A")</f>
        <v/>
      </c>
      <c r="P437" s="18"/>
    </row>
    <row r="438" customFormat="false" ht="18" hidden="false" customHeight="true" outlineLevel="0" collapsed="false">
      <c r="A438" s="107" t="str">
        <f aca="false">IF($E438="","",ROW()-3)</f>
        <v/>
      </c>
      <c r="B438" s="110" t="str">
        <f aca="false">IF($E438="","",INDEX(进销存对接!$C$4:$C$305,145))</f>
        <v/>
      </c>
      <c r="C438" s="67" t="str">
        <f aca="false">IF($E438="","","记-"&amp;TEXT($B438,"YYYYMM")&amp;"-进销存")</f>
        <v/>
      </c>
      <c r="D438" s="107" t="str">
        <f aca="false">IF($E438="","",INDEX(进销存对接!$D$4:$D$305,145)&amp;" "&amp;TEXT($B438,"YYYY年M月")&amp;" 自动结转")</f>
        <v/>
      </c>
      <c r="E438" s="67" t="str">
        <f aca="false">IF(INDEX(进销存对接!$M$4:$U$305,145,7)=0,"",INDEX(进销存对接!$M$4:$U$305,145,7))</f>
        <v/>
      </c>
      <c r="F438" s="99" t="str">
        <f aca="false">IF($E438="","",IFERROR(INDEX(科目表!$A$4:$A$81,MATCH($E438,科目表!$B$4:$B$81,0)),""))</f>
        <v/>
      </c>
      <c r="G438" s="67" t="str">
        <f aca="false">IF($E438="","",IFERROR(INDEX(科目表!$E$4:$E$81,MATCH($E438,科目表!$B$4:$B$81,0)),""))</f>
        <v/>
      </c>
      <c r="H438" s="70" t="str">
        <f aca="false">IF($E438="","",N(INDEX(进销存对接!$M$4:$U$305,145,8)))</f>
        <v/>
      </c>
      <c r="I438" s="70" t="str">
        <f aca="false">IF($E438="","",N(INDEX(进销存对接!$M$4:$U$305,145,9)))</f>
        <v/>
      </c>
      <c r="J438" s="67"/>
      <c r="K438" s="67" t="str">
        <f aca="false">IF($E438="","",INDEX(进销存对接!$D$4:$D$305,145))</f>
        <v/>
      </c>
      <c r="L438" s="107"/>
      <c r="M438" s="107"/>
      <c r="N438" s="67" t="str">
        <f aca="false">IF($E438="","","系统")</f>
        <v/>
      </c>
      <c r="O438" s="67" t="str">
        <f aca="false">IF($E438="","","自动A")</f>
        <v/>
      </c>
      <c r="P438" s="18"/>
    </row>
    <row r="439" customFormat="false" ht="18" hidden="false" customHeight="true" outlineLevel="0" collapsed="false">
      <c r="A439" s="107" t="str">
        <f aca="false">IF($E439="","",ROW()-3)</f>
        <v/>
      </c>
      <c r="B439" s="110" t="str">
        <f aca="false">IF($E439="","",INDEX(进销存对接!$C$4:$C$305,146))</f>
        <v/>
      </c>
      <c r="C439" s="67" t="str">
        <f aca="false">IF($E439="","","记-"&amp;TEXT($B439,"YYYYMM")&amp;"-进销存")</f>
        <v/>
      </c>
      <c r="D439" s="107" t="str">
        <f aca="false">IF($E439="","",INDEX(进销存对接!$D$4:$D$305,146)&amp;" "&amp;TEXT($B439,"YYYY年M月")&amp;" 自动结转")</f>
        <v/>
      </c>
      <c r="E439" s="67" t="str">
        <f aca="false">IF(INDEX(进销存对接!$M$4:$U$305,146,1)=0,"",INDEX(进销存对接!$M$4:$U$305,146,1))</f>
        <v/>
      </c>
      <c r="F439" s="99" t="str">
        <f aca="false">IF($E439="","",IFERROR(INDEX(科目表!$A$4:$A$81,MATCH($E439,科目表!$B$4:$B$81,0)),""))</f>
        <v/>
      </c>
      <c r="G439" s="67" t="str">
        <f aca="false">IF($E439="","",IFERROR(INDEX(科目表!$E$4:$E$81,MATCH($E439,科目表!$B$4:$B$81,0)),""))</f>
        <v/>
      </c>
      <c r="H439" s="70" t="str">
        <f aca="false">IF($E439="","",N(INDEX(进销存对接!$M$4:$U$305,146,2)))</f>
        <v/>
      </c>
      <c r="I439" s="70" t="str">
        <f aca="false">IF($E439="","",N(INDEX(进销存对接!$M$4:$U$305,146,3)))</f>
        <v/>
      </c>
      <c r="J439" s="67"/>
      <c r="K439" s="67" t="str">
        <f aca="false">IF($E439="","",INDEX(进销存对接!$D$4:$D$305,146))</f>
        <v/>
      </c>
      <c r="L439" s="107"/>
      <c r="M439" s="107"/>
      <c r="N439" s="67" t="str">
        <f aca="false">IF($E439="","","系统")</f>
        <v/>
      </c>
      <c r="O439" s="67" t="str">
        <f aca="false">IF($E439="","","自动A")</f>
        <v/>
      </c>
      <c r="P439" s="18"/>
    </row>
    <row r="440" customFormat="false" ht="18" hidden="false" customHeight="true" outlineLevel="0" collapsed="false">
      <c r="A440" s="107" t="str">
        <f aca="false">IF($E440="","",ROW()-3)</f>
        <v/>
      </c>
      <c r="B440" s="110" t="str">
        <f aca="false">IF($E440="","",INDEX(进销存对接!$C$4:$C$305,146))</f>
        <v/>
      </c>
      <c r="C440" s="67" t="str">
        <f aca="false">IF($E440="","","记-"&amp;TEXT($B440,"YYYYMM")&amp;"-进销存")</f>
        <v/>
      </c>
      <c r="D440" s="107" t="str">
        <f aca="false">IF($E440="","",INDEX(进销存对接!$D$4:$D$305,146)&amp;" "&amp;TEXT($B440,"YYYY年M月")&amp;" 自动结转")</f>
        <v/>
      </c>
      <c r="E440" s="67" t="str">
        <f aca="false">IF(INDEX(进销存对接!$M$4:$U$305,146,4)=0,"",INDEX(进销存对接!$M$4:$U$305,146,4))</f>
        <v/>
      </c>
      <c r="F440" s="99" t="str">
        <f aca="false">IF($E440="","",IFERROR(INDEX(科目表!$A$4:$A$81,MATCH($E440,科目表!$B$4:$B$81,0)),""))</f>
        <v/>
      </c>
      <c r="G440" s="67" t="str">
        <f aca="false">IF($E440="","",IFERROR(INDEX(科目表!$E$4:$E$81,MATCH($E440,科目表!$B$4:$B$81,0)),""))</f>
        <v/>
      </c>
      <c r="H440" s="70" t="str">
        <f aca="false">IF($E440="","",N(INDEX(进销存对接!$M$4:$U$305,146,5)))</f>
        <v/>
      </c>
      <c r="I440" s="70" t="str">
        <f aca="false">IF($E440="","",N(INDEX(进销存对接!$M$4:$U$305,146,6)))</f>
        <v/>
      </c>
      <c r="J440" s="67"/>
      <c r="K440" s="67" t="str">
        <f aca="false">IF($E440="","",INDEX(进销存对接!$D$4:$D$305,146))</f>
        <v/>
      </c>
      <c r="L440" s="107"/>
      <c r="M440" s="107"/>
      <c r="N440" s="67" t="str">
        <f aca="false">IF($E440="","","系统")</f>
        <v/>
      </c>
      <c r="O440" s="67" t="str">
        <f aca="false">IF($E440="","","自动A")</f>
        <v/>
      </c>
      <c r="P440" s="18"/>
    </row>
    <row r="441" customFormat="false" ht="18" hidden="false" customHeight="true" outlineLevel="0" collapsed="false">
      <c r="A441" s="107" t="str">
        <f aca="false">IF($E441="","",ROW()-3)</f>
        <v/>
      </c>
      <c r="B441" s="110" t="str">
        <f aca="false">IF($E441="","",INDEX(进销存对接!$C$4:$C$305,146))</f>
        <v/>
      </c>
      <c r="C441" s="67" t="str">
        <f aca="false">IF($E441="","","记-"&amp;TEXT($B441,"YYYYMM")&amp;"-进销存")</f>
        <v/>
      </c>
      <c r="D441" s="107" t="str">
        <f aca="false">IF($E441="","",INDEX(进销存对接!$D$4:$D$305,146)&amp;" "&amp;TEXT($B441,"YYYY年M月")&amp;" 自动结转")</f>
        <v/>
      </c>
      <c r="E441" s="67" t="str">
        <f aca="false">IF(INDEX(进销存对接!$M$4:$U$305,146,7)=0,"",INDEX(进销存对接!$M$4:$U$305,146,7))</f>
        <v/>
      </c>
      <c r="F441" s="99" t="str">
        <f aca="false">IF($E441="","",IFERROR(INDEX(科目表!$A$4:$A$81,MATCH($E441,科目表!$B$4:$B$81,0)),""))</f>
        <v/>
      </c>
      <c r="G441" s="67" t="str">
        <f aca="false">IF($E441="","",IFERROR(INDEX(科目表!$E$4:$E$81,MATCH($E441,科目表!$B$4:$B$81,0)),""))</f>
        <v/>
      </c>
      <c r="H441" s="70" t="str">
        <f aca="false">IF($E441="","",N(INDEX(进销存对接!$M$4:$U$305,146,8)))</f>
        <v/>
      </c>
      <c r="I441" s="70" t="str">
        <f aca="false">IF($E441="","",N(INDEX(进销存对接!$M$4:$U$305,146,9)))</f>
        <v/>
      </c>
      <c r="J441" s="67"/>
      <c r="K441" s="67" t="str">
        <f aca="false">IF($E441="","",INDEX(进销存对接!$D$4:$D$305,146))</f>
        <v/>
      </c>
      <c r="L441" s="107"/>
      <c r="M441" s="107"/>
      <c r="N441" s="67" t="str">
        <f aca="false">IF($E441="","","系统")</f>
        <v/>
      </c>
      <c r="O441" s="67" t="str">
        <f aca="false">IF($E441="","","自动A")</f>
        <v/>
      </c>
      <c r="P441" s="18"/>
    </row>
    <row r="442" customFormat="false" ht="18" hidden="false" customHeight="true" outlineLevel="0" collapsed="false">
      <c r="A442" s="107" t="str">
        <f aca="false">IF($E442="","",ROW()-3)</f>
        <v/>
      </c>
      <c r="B442" s="110" t="str">
        <f aca="false">IF($E442="","",INDEX(进销存对接!$C$4:$C$305,147))</f>
        <v/>
      </c>
      <c r="C442" s="67" t="str">
        <f aca="false">IF($E442="","","记-"&amp;TEXT($B442,"YYYYMM")&amp;"-进销存")</f>
        <v/>
      </c>
      <c r="D442" s="107" t="str">
        <f aca="false">IF($E442="","",INDEX(进销存对接!$D$4:$D$305,147)&amp;" "&amp;TEXT($B442,"YYYY年M月")&amp;" 自动结转")</f>
        <v/>
      </c>
      <c r="E442" s="67" t="str">
        <f aca="false">IF(INDEX(进销存对接!$M$4:$U$305,147,1)=0,"",INDEX(进销存对接!$M$4:$U$305,147,1))</f>
        <v/>
      </c>
      <c r="F442" s="99" t="str">
        <f aca="false">IF($E442="","",IFERROR(INDEX(科目表!$A$4:$A$81,MATCH($E442,科目表!$B$4:$B$81,0)),""))</f>
        <v/>
      </c>
      <c r="G442" s="67" t="str">
        <f aca="false">IF($E442="","",IFERROR(INDEX(科目表!$E$4:$E$81,MATCH($E442,科目表!$B$4:$B$81,0)),""))</f>
        <v/>
      </c>
      <c r="H442" s="70" t="str">
        <f aca="false">IF($E442="","",N(INDEX(进销存对接!$M$4:$U$305,147,2)))</f>
        <v/>
      </c>
      <c r="I442" s="70" t="str">
        <f aca="false">IF($E442="","",N(INDEX(进销存对接!$M$4:$U$305,147,3)))</f>
        <v/>
      </c>
      <c r="J442" s="67"/>
      <c r="K442" s="67" t="str">
        <f aca="false">IF($E442="","",INDEX(进销存对接!$D$4:$D$305,147))</f>
        <v/>
      </c>
      <c r="L442" s="107"/>
      <c r="M442" s="107"/>
      <c r="N442" s="67" t="str">
        <f aca="false">IF($E442="","","系统")</f>
        <v/>
      </c>
      <c r="O442" s="67" t="str">
        <f aca="false">IF($E442="","","自动A")</f>
        <v/>
      </c>
      <c r="P442" s="18"/>
    </row>
    <row r="443" customFormat="false" ht="18" hidden="false" customHeight="true" outlineLevel="0" collapsed="false">
      <c r="A443" s="107" t="str">
        <f aca="false">IF($E443="","",ROW()-3)</f>
        <v/>
      </c>
      <c r="B443" s="110" t="str">
        <f aca="false">IF($E443="","",INDEX(进销存对接!$C$4:$C$305,147))</f>
        <v/>
      </c>
      <c r="C443" s="67" t="str">
        <f aca="false">IF($E443="","","记-"&amp;TEXT($B443,"YYYYMM")&amp;"-进销存")</f>
        <v/>
      </c>
      <c r="D443" s="107" t="str">
        <f aca="false">IF($E443="","",INDEX(进销存对接!$D$4:$D$305,147)&amp;" "&amp;TEXT($B443,"YYYY年M月")&amp;" 自动结转")</f>
        <v/>
      </c>
      <c r="E443" s="67" t="str">
        <f aca="false">IF(INDEX(进销存对接!$M$4:$U$305,147,4)=0,"",INDEX(进销存对接!$M$4:$U$305,147,4))</f>
        <v/>
      </c>
      <c r="F443" s="99" t="str">
        <f aca="false">IF($E443="","",IFERROR(INDEX(科目表!$A$4:$A$81,MATCH($E443,科目表!$B$4:$B$81,0)),""))</f>
        <v/>
      </c>
      <c r="G443" s="67" t="str">
        <f aca="false">IF($E443="","",IFERROR(INDEX(科目表!$E$4:$E$81,MATCH($E443,科目表!$B$4:$B$81,0)),""))</f>
        <v/>
      </c>
      <c r="H443" s="70" t="str">
        <f aca="false">IF($E443="","",N(INDEX(进销存对接!$M$4:$U$305,147,5)))</f>
        <v/>
      </c>
      <c r="I443" s="70" t="str">
        <f aca="false">IF($E443="","",N(INDEX(进销存对接!$M$4:$U$305,147,6)))</f>
        <v/>
      </c>
      <c r="J443" s="67"/>
      <c r="K443" s="67" t="str">
        <f aca="false">IF($E443="","",INDEX(进销存对接!$D$4:$D$305,147))</f>
        <v/>
      </c>
      <c r="L443" s="107"/>
      <c r="M443" s="107"/>
      <c r="N443" s="67" t="str">
        <f aca="false">IF($E443="","","系统")</f>
        <v/>
      </c>
      <c r="O443" s="67" t="str">
        <f aca="false">IF($E443="","","自动A")</f>
        <v/>
      </c>
      <c r="P443" s="18"/>
    </row>
    <row r="444" customFormat="false" ht="18" hidden="false" customHeight="true" outlineLevel="0" collapsed="false">
      <c r="A444" s="107" t="str">
        <f aca="false">IF($E444="","",ROW()-3)</f>
        <v/>
      </c>
      <c r="B444" s="110" t="str">
        <f aca="false">IF($E444="","",INDEX(进销存对接!$C$4:$C$305,147))</f>
        <v/>
      </c>
      <c r="C444" s="67" t="str">
        <f aca="false">IF($E444="","","记-"&amp;TEXT($B444,"YYYYMM")&amp;"-进销存")</f>
        <v/>
      </c>
      <c r="D444" s="107" t="str">
        <f aca="false">IF($E444="","",INDEX(进销存对接!$D$4:$D$305,147)&amp;" "&amp;TEXT($B444,"YYYY年M月")&amp;" 自动结转")</f>
        <v/>
      </c>
      <c r="E444" s="67" t="str">
        <f aca="false">IF(INDEX(进销存对接!$M$4:$U$305,147,7)=0,"",INDEX(进销存对接!$M$4:$U$305,147,7))</f>
        <v/>
      </c>
      <c r="F444" s="99" t="str">
        <f aca="false">IF($E444="","",IFERROR(INDEX(科目表!$A$4:$A$81,MATCH($E444,科目表!$B$4:$B$81,0)),""))</f>
        <v/>
      </c>
      <c r="G444" s="67" t="str">
        <f aca="false">IF($E444="","",IFERROR(INDEX(科目表!$E$4:$E$81,MATCH($E444,科目表!$B$4:$B$81,0)),""))</f>
        <v/>
      </c>
      <c r="H444" s="70" t="str">
        <f aca="false">IF($E444="","",N(INDEX(进销存对接!$M$4:$U$305,147,8)))</f>
        <v/>
      </c>
      <c r="I444" s="70" t="str">
        <f aca="false">IF($E444="","",N(INDEX(进销存对接!$M$4:$U$305,147,9)))</f>
        <v/>
      </c>
      <c r="J444" s="67"/>
      <c r="K444" s="67" t="str">
        <f aca="false">IF($E444="","",INDEX(进销存对接!$D$4:$D$305,147))</f>
        <v/>
      </c>
      <c r="L444" s="107"/>
      <c r="M444" s="107"/>
      <c r="N444" s="67" t="str">
        <f aca="false">IF($E444="","","系统")</f>
        <v/>
      </c>
      <c r="O444" s="67" t="str">
        <f aca="false">IF($E444="","","自动A")</f>
        <v/>
      </c>
      <c r="P444" s="18"/>
    </row>
    <row r="445" customFormat="false" ht="18" hidden="false" customHeight="true" outlineLevel="0" collapsed="false">
      <c r="A445" s="107" t="str">
        <f aca="false">IF($E445="","",ROW()-3)</f>
        <v/>
      </c>
      <c r="B445" s="110" t="str">
        <f aca="false">IF($E445="","",INDEX(进销存对接!$C$4:$C$305,148))</f>
        <v/>
      </c>
      <c r="C445" s="67" t="str">
        <f aca="false">IF($E445="","","记-"&amp;TEXT($B445,"YYYYMM")&amp;"-进销存")</f>
        <v/>
      </c>
      <c r="D445" s="107" t="str">
        <f aca="false">IF($E445="","",INDEX(进销存对接!$D$4:$D$305,148)&amp;" "&amp;TEXT($B445,"YYYY年M月")&amp;" 自动结转")</f>
        <v/>
      </c>
      <c r="E445" s="67" t="str">
        <f aca="false">IF(INDEX(进销存对接!$M$4:$U$305,148,1)=0,"",INDEX(进销存对接!$M$4:$U$305,148,1))</f>
        <v/>
      </c>
      <c r="F445" s="99" t="str">
        <f aca="false">IF($E445="","",IFERROR(INDEX(科目表!$A$4:$A$81,MATCH($E445,科目表!$B$4:$B$81,0)),""))</f>
        <v/>
      </c>
      <c r="G445" s="67" t="str">
        <f aca="false">IF($E445="","",IFERROR(INDEX(科目表!$E$4:$E$81,MATCH($E445,科目表!$B$4:$B$81,0)),""))</f>
        <v/>
      </c>
      <c r="H445" s="70" t="str">
        <f aca="false">IF($E445="","",N(INDEX(进销存对接!$M$4:$U$305,148,2)))</f>
        <v/>
      </c>
      <c r="I445" s="70" t="str">
        <f aca="false">IF($E445="","",N(INDEX(进销存对接!$M$4:$U$305,148,3)))</f>
        <v/>
      </c>
      <c r="J445" s="67"/>
      <c r="K445" s="67" t="str">
        <f aca="false">IF($E445="","",INDEX(进销存对接!$D$4:$D$305,148))</f>
        <v/>
      </c>
      <c r="L445" s="107"/>
      <c r="M445" s="107"/>
      <c r="N445" s="67" t="str">
        <f aca="false">IF($E445="","","系统")</f>
        <v/>
      </c>
      <c r="O445" s="67" t="str">
        <f aca="false">IF($E445="","","自动A")</f>
        <v/>
      </c>
      <c r="P445" s="18"/>
    </row>
    <row r="446" customFormat="false" ht="18" hidden="false" customHeight="true" outlineLevel="0" collapsed="false">
      <c r="A446" s="107" t="str">
        <f aca="false">IF($E446="","",ROW()-3)</f>
        <v/>
      </c>
      <c r="B446" s="110" t="str">
        <f aca="false">IF($E446="","",INDEX(进销存对接!$C$4:$C$305,148))</f>
        <v/>
      </c>
      <c r="C446" s="67" t="str">
        <f aca="false">IF($E446="","","记-"&amp;TEXT($B446,"YYYYMM")&amp;"-进销存")</f>
        <v/>
      </c>
      <c r="D446" s="107" t="str">
        <f aca="false">IF($E446="","",INDEX(进销存对接!$D$4:$D$305,148)&amp;" "&amp;TEXT($B446,"YYYY年M月")&amp;" 自动结转")</f>
        <v/>
      </c>
      <c r="E446" s="67" t="str">
        <f aca="false">IF(INDEX(进销存对接!$M$4:$U$305,148,4)=0,"",INDEX(进销存对接!$M$4:$U$305,148,4))</f>
        <v/>
      </c>
      <c r="F446" s="99" t="str">
        <f aca="false">IF($E446="","",IFERROR(INDEX(科目表!$A$4:$A$81,MATCH($E446,科目表!$B$4:$B$81,0)),""))</f>
        <v/>
      </c>
      <c r="G446" s="67" t="str">
        <f aca="false">IF($E446="","",IFERROR(INDEX(科目表!$E$4:$E$81,MATCH($E446,科目表!$B$4:$B$81,0)),""))</f>
        <v/>
      </c>
      <c r="H446" s="70" t="str">
        <f aca="false">IF($E446="","",N(INDEX(进销存对接!$M$4:$U$305,148,5)))</f>
        <v/>
      </c>
      <c r="I446" s="70" t="str">
        <f aca="false">IF($E446="","",N(INDEX(进销存对接!$M$4:$U$305,148,6)))</f>
        <v/>
      </c>
      <c r="J446" s="67"/>
      <c r="K446" s="67" t="str">
        <f aca="false">IF($E446="","",INDEX(进销存对接!$D$4:$D$305,148))</f>
        <v/>
      </c>
      <c r="L446" s="107"/>
      <c r="M446" s="107"/>
      <c r="N446" s="67" t="str">
        <f aca="false">IF($E446="","","系统")</f>
        <v/>
      </c>
      <c r="O446" s="67" t="str">
        <f aca="false">IF($E446="","","自动A")</f>
        <v/>
      </c>
      <c r="P446" s="18"/>
    </row>
    <row r="447" customFormat="false" ht="18" hidden="false" customHeight="true" outlineLevel="0" collapsed="false">
      <c r="A447" s="107" t="str">
        <f aca="false">IF($E447="","",ROW()-3)</f>
        <v/>
      </c>
      <c r="B447" s="110" t="str">
        <f aca="false">IF($E447="","",INDEX(进销存对接!$C$4:$C$305,148))</f>
        <v/>
      </c>
      <c r="C447" s="67" t="str">
        <f aca="false">IF($E447="","","记-"&amp;TEXT($B447,"YYYYMM")&amp;"-进销存")</f>
        <v/>
      </c>
      <c r="D447" s="107" t="str">
        <f aca="false">IF($E447="","",INDEX(进销存对接!$D$4:$D$305,148)&amp;" "&amp;TEXT($B447,"YYYY年M月")&amp;" 自动结转")</f>
        <v/>
      </c>
      <c r="E447" s="67" t="str">
        <f aca="false">IF(INDEX(进销存对接!$M$4:$U$305,148,7)=0,"",INDEX(进销存对接!$M$4:$U$305,148,7))</f>
        <v/>
      </c>
      <c r="F447" s="99" t="str">
        <f aca="false">IF($E447="","",IFERROR(INDEX(科目表!$A$4:$A$81,MATCH($E447,科目表!$B$4:$B$81,0)),""))</f>
        <v/>
      </c>
      <c r="G447" s="67" t="str">
        <f aca="false">IF($E447="","",IFERROR(INDEX(科目表!$E$4:$E$81,MATCH($E447,科目表!$B$4:$B$81,0)),""))</f>
        <v/>
      </c>
      <c r="H447" s="70" t="str">
        <f aca="false">IF($E447="","",N(INDEX(进销存对接!$M$4:$U$305,148,8)))</f>
        <v/>
      </c>
      <c r="I447" s="70" t="str">
        <f aca="false">IF($E447="","",N(INDEX(进销存对接!$M$4:$U$305,148,9)))</f>
        <v/>
      </c>
      <c r="J447" s="67"/>
      <c r="K447" s="67" t="str">
        <f aca="false">IF($E447="","",INDEX(进销存对接!$D$4:$D$305,148))</f>
        <v/>
      </c>
      <c r="L447" s="107"/>
      <c r="M447" s="107"/>
      <c r="N447" s="67" t="str">
        <f aca="false">IF($E447="","","系统")</f>
        <v/>
      </c>
      <c r="O447" s="67" t="str">
        <f aca="false">IF($E447="","","自动A")</f>
        <v/>
      </c>
      <c r="P447" s="18"/>
    </row>
    <row r="448" customFormat="false" ht="18" hidden="false" customHeight="true" outlineLevel="0" collapsed="false">
      <c r="A448" s="107" t="str">
        <f aca="false">IF($E448="","",ROW()-3)</f>
        <v/>
      </c>
      <c r="B448" s="110" t="str">
        <f aca="false">IF($E448="","",INDEX(进销存对接!$C$4:$C$305,149))</f>
        <v/>
      </c>
      <c r="C448" s="67" t="str">
        <f aca="false">IF($E448="","","记-"&amp;TEXT($B448,"YYYYMM")&amp;"-进销存")</f>
        <v/>
      </c>
      <c r="D448" s="107" t="str">
        <f aca="false">IF($E448="","",INDEX(进销存对接!$D$4:$D$305,149)&amp;" "&amp;TEXT($B448,"YYYY年M月")&amp;" 自动结转")</f>
        <v/>
      </c>
      <c r="E448" s="67" t="str">
        <f aca="false">IF(INDEX(进销存对接!$M$4:$U$305,149,1)=0,"",INDEX(进销存对接!$M$4:$U$305,149,1))</f>
        <v/>
      </c>
      <c r="F448" s="99" t="str">
        <f aca="false">IF($E448="","",IFERROR(INDEX(科目表!$A$4:$A$81,MATCH($E448,科目表!$B$4:$B$81,0)),""))</f>
        <v/>
      </c>
      <c r="G448" s="67" t="str">
        <f aca="false">IF($E448="","",IFERROR(INDEX(科目表!$E$4:$E$81,MATCH($E448,科目表!$B$4:$B$81,0)),""))</f>
        <v/>
      </c>
      <c r="H448" s="70" t="str">
        <f aca="false">IF($E448="","",N(INDEX(进销存对接!$M$4:$U$305,149,2)))</f>
        <v/>
      </c>
      <c r="I448" s="70" t="str">
        <f aca="false">IF($E448="","",N(INDEX(进销存对接!$M$4:$U$305,149,3)))</f>
        <v/>
      </c>
      <c r="J448" s="67"/>
      <c r="K448" s="67" t="str">
        <f aca="false">IF($E448="","",INDEX(进销存对接!$D$4:$D$305,149))</f>
        <v/>
      </c>
      <c r="L448" s="107"/>
      <c r="M448" s="107"/>
      <c r="N448" s="67" t="str">
        <f aca="false">IF($E448="","","系统")</f>
        <v/>
      </c>
      <c r="O448" s="67" t="str">
        <f aca="false">IF($E448="","","自动A")</f>
        <v/>
      </c>
      <c r="P448" s="18"/>
    </row>
    <row r="449" customFormat="false" ht="18" hidden="false" customHeight="true" outlineLevel="0" collapsed="false">
      <c r="A449" s="107" t="str">
        <f aca="false">IF($E449="","",ROW()-3)</f>
        <v/>
      </c>
      <c r="B449" s="110" t="str">
        <f aca="false">IF($E449="","",INDEX(进销存对接!$C$4:$C$305,149))</f>
        <v/>
      </c>
      <c r="C449" s="67" t="str">
        <f aca="false">IF($E449="","","记-"&amp;TEXT($B449,"YYYYMM")&amp;"-进销存")</f>
        <v/>
      </c>
      <c r="D449" s="107" t="str">
        <f aca="false">IF($E449="","",INDEX(进销存对接!$D$4:$D$305,149)&amp;" "&amp;TEXT($B449,"YYYY年M月")&amp;" 自动结转")</f>
        <v/>
      </c>
      <c r="E449" s="67" t="str">
        <f aca="false">IF(INDEX(进销存对接!$M$4:$U$305,149,4)=0,"",INDEX(进销存对接!$M$4:$U$305,149,4))</f>
        <v/>
      </c>
      <c r="F449" s="99" t="str">
        <f aca="false">IF($E449="","",IFERROR(INDEX(科目表!$A$4:$A$81,MATCH($E449,科目表!$B$4:$B$81,0)),""))</f>
        <v/>
      </c>
      <c r="G449" s="67" t="str">
        <f aca="false">IF($E449="","",IFERROR(INDEX(科目表!$E$4:$E$81,MATCH($E449,科目表!$B$4:$B$81,0)),""))</f>
        <v/>
      </c>
      <c r="H449" s="70" t="str">
        <f aca="false">IF($E449="","",N(INDEX(进销存对接!$M$4:$U$305,149,5)))</f>
        <v/>
      </c>
      <c r="I449" s="70" t="str">
        <f aca="false">IF($E449="","",N(INDEX(进销存对接!$M$4:$U$305,149,6)))</f>
        <v/>
      </c>
      <c r="J449" s="67"/>
      <c r="K449" s="67" t="str">
        <f aca="false">IF($E449="","",INDEX(进销存对接!$D$4:$D$305,149))</f>
        <v/>
      </c>
      <c r="L449" s="107"/>
      <c r="M449" s="107"/>
      <c r="N449" s="67" t="str">
        <f aca="false">IF($E449="","","系统")</f>
        <v/>
      </c>
      <c r="O449" s="67" t="str">
        <f aca="false">IF($E449="","","自动A")</f>
        <v/>
      </c>
      <c r="P449" s="18"/>
    </row>
    <row r="450" customFormat="false" ht="18" hidden="false" customHeight="true" outlineLevel="0" collapsed="false">
      <c r="A450" s="107" t="str">
        <f aca="false">IF($E450="","",ROW()-3)</f>
        <v/>
      </c>
      <c r="B450" s="110" t="str">
        <f aca="false">IF($E450="","",INDEX(进销存对接!$C$4:$C$305,149))</f>
        <v/>
      </c>
      <c r="C450" s="67" t="str">
        <f aca="false">IF($E450="","","记-"&amp;TEXT($B450,"YYYYMM")&amp;"-进销存")</f>
        <v/>
      </c>
      <c r="D450" s="107" t="str">
        <f aca="false">IF($E450="","",INDEX(进销存对接!$D$4:$D$305,149)&amp;" "&amp;TEXT($B450,"YYYY年M月")&amp;" 自动结转")</f>
        <v/>
      </c>
      <c r="E450" s="67" t="str">
        <f aca="false">IF(INDEX(进销存对接!$M$4:$U$305,149,7)=0,"",INDEX(进销存对接!$M$4:$U$305,149,7))</f>
        <v/>
      </c>
      <c r="F450" s="99" t="str">
        <f aca="false">IF($E450="","",IFERROR(INDEX(科目表!$A$4:$A$81,MATCH($E450,科目表!$B$4:$B$81,0)),""))</f>
        <v/>
      </c>
      <c r="G450" s="67" t="str">
        <f aca="false">IF($E450="","",IFERROR(INDEX(科目表!$E$4:$E$81,MATCH($E450,科目表!$B$4:$B$81,0)),""))</f>
        <v/>
      </c>
      <c r="H450" s="70" t="str">
        <f aca="false">IF($E450="","",N(INDEX(进销存对接!$M$4:$U$305,149,8)))</f>
        <v/>
      </c>
      <c r="I450" s="70" t="str">
        <f aca="false">IF($E450="","",N(INDEX(进销存对接!$M$4:$U$305,149,9)))</f>
        <v/>
      </c>
      <c r="J450" s="67"/>
      <c r="K450" s="67" t="str">
        <f aca="false">IF($E450="","",INDEX(进销存对接!$D$4:$D$305,149))</f>
        <v/>
      </c>
      <c r="L450" s="107"/>
      <c r="M450" s="107"/>
      <c r="N450" s="67" t="str">
        <f aca="false">IF($E450="","","系统")</f>
        <v/>
      </c>
      <c r="O450" s="67" t="str">
        <f aca="false">IF($E450="","","自动A")</f>
        <v/>
      </c>
      <c r="P450" s="18"/>
    </row>
    <row r="451" customFormat="false" ht="18" hidden="false" customHeight="true" outlineLevel="0" collapsed="false">
      <c r="A451" s="107" t="str">
        <f aca="false">IF($E451="","",ROW()-3)</f>
        <v/>
      </c>
      <c r="B451" s="110" t="str">
        <f aca="false">IF($E451="","",INDEX(进销存对接!$C$4:$C$305,150))</f>
        <v/>
      </c>
      <c r="C451" s="67" t="str">
        <f aca="false">IF($E451="","","记-"&amp;TEXT($B451,"YYYYMM")&amp;"-进销存")</f>
        <v/>
      </c>
      <c r="D451" s="107" t="str">
        <f aca="false">IF($E451="","",INDEX(进销存对接!$D$4:$D$305,150)&amp;" "&amp;TEXT($B451,"YYYY年M月")&amp;" 自动结转")</f>
        <v/>
      </c>
      <c r="E451" s="67" t="str">
        <f aca="false">IF(INDEX(进销存对接!$M$4:$U$305,150,1)=0,"",INDEX(进销存对接!$M$4:$U$305,150,1))</f>
        <v/>
      </c>
      <c r="F451" s="99" t="str">
        <f aca="false">IF($E451="","",IFERROR(INDEX(科目表!$A$4:$A$81,MATCH($E451,科目表!$B$4:$B$81,0)),""))</f>
        <v/>
      </c>
      <c r="G451" s="67" t="str">
        <f aca="false">IF($E451="","",IFERROR(INDEX(科目表!$E$4:$E$81,MATCH($E451,科目表!$B$4:$B$81,0)),""))</f>
        <v/>
      </c>
      <c r="H451" s="70" t="str">
        <f aca="false">IF($E451="","",N(INDEX(进销存对接!$M$4:$U$305,150,2)))</f>
        <v/>
      </c>
      <c r="I451" s="70" t="str">
        <f aca="false">IF($E451="","",N(INDEX(进销存对接!$M$4:$U$305,150,3)))</f>
        <v/>
      </c>
      <c r="J451" s="67"/>
      <c r="K451" s="67" t="str">
        <f aca="false">IF($E451="","",INDEX(进销存对接!$D$4:$D$305,150))</f>
        <v/>
      </c>
      <c r="L451" s="107"/>
      <c r="M451" s="107"/>
      <c r="N451" s="67" t="str">
        <f aca="false">IF($E451="","","系统")</f>
        <v/>
      </c>
      <c r="O451" s="67" t="str">
        <f aca="false">IF($E451="","","自动A")</f>
        <v/>
      </c>
      <c r="P451" s="18"/>
    </row>
    <row r="452" customFormat="false" ht="18" hidden="false" customHeight="true" outlineLevel="0" collapsed="false">
      <c r="A452" s="107" t="str">
        <f aca="false">IF($E452="","",ROW()-3)</f>
        <v/>
      </c>
      <c r="B452" s="110" t="str">
        <f aca="false">IF($E452="","",INDEX(进销存对接!$C$4:$C$305,150))</f>
        <v/>
      </c>
      <c r="C452" s="67" t="str">
        <f aca="false">IF($E452="","","记-"&amp;TEXT($B452,"YYYYMM")&amp;"-进销存")</f>
        <v/>
      </c>
      <c r="D452" s="107" t="str">
        <f aca="false">IF($E452="","",INDEX(进销存对接!$D$4:$D$305,150)&amp;" "&amp;TEXT($B452,"YYYY年M月")&amp;" 自动结转")</f>
        <v/>
      </c>
      <c r="E452" s="67" t="str">
        <f aca="false">IF(INDEX(进销存对接!$M$4:$U$305,150,4)=0,"",INDEX(进销存对接!$M$4:$U$305,150,4))</f>
        <v/>
      </c>
      <c r="F452" s="99" t="str">
        <f aca="false">IF($E452="","",IFERROR(INDEX(科目表!$A$4:$A$81,MATCH($E452,科目表!$B$4:$B$81,0)),""))</f>
        <v/>
      </c>
      <c r="G452" s="67" t="str">
        <f aca="false">IF($E452="","",IFERROR(INDEX(科目表!$E$4:$E$81,MATCH($E452,科目表!$B$4:$B$81,0)),""))</f>
        <v/>
      </c>
      <c r="H452" s="70" t="str">
        <f aca="false">IF($E452="","",N(INDEX(进销存对接!$M$4:$U$305,150,5)))</f>
        <v/>
      </c>
      <c r="I452" s="70" t="str">
        <f aca="false">IF($E452="","",N(INDEX(进销存对接!$M$4:$U$305,150,6)))</f>
        <v/>
      </c>
      <c r="J452" s="67"/>
      <c r="K452" s="67" t="str">
        <f aca="false">IF($E452="","",INDEX(进销存对接!$D$4:$D$305,150))</f>
        <v/>
      </c>
      <c r="L452" s="107"/>
      <c r="M452" s="107"/>
      <c r="N452" s="67" t="str">
        <f aca="false">IF($E452="","","系统")</f>
        <v/>
      </c>
      <c r="O452" s="67" t="str">
        <f aca="false">IF($E452="","","自动A")</f>
        <v/>
      </c>
      <c r="P452" s="18"/>
    </row>
    <row r="453" customFormat="false" ht="18" hidden="false" customHeight="true" outlineLevel="0" collapsed="false">
      <c r="A453" s="107" t="str">
        <f aca="false">IF($E453="","",ROW()-3)</f>
        <v/>
      </c>
      <c r="B453" s="110" t="str">
        <f aca="false">IF($E453="","",INDEX(进销存对接!$C$4:$C$305,150))</f>
        <v/>
      </c>
      <c r="C453" s="67" t="str">
        <f aca="false">IF($E453="","","记-"&amp;TEXT($B453,"YYYYMM")&amp;"-进销存")</f>
        <v/>
      </c>
      <c r="D453" s="107" t="str">
        <f aca="false">IF($E453="","",INDEX(进销存对接!$D$4:$D$305,150)&amp;" "&amp;TEXT($B453,"YYYY年M月")&amp;" 自动结转")</f>
        <v/>
      </c>
      <c r="E453" s="67" t="str">
        <f aca="false">IF(INDEX(进销存对接!$M$4:$U$305,150,7)=0,"",INDEX(进销存对接!$M$4:$U$305,150,7))</f>
        <v/>
      </c>
      <c r="F453" s="99" t="str">
        <f aca="false">IF($E453="","",IFERROR(INDEX(科目表!$A$4:$A$81,MATCH($E453,科目表!$B$4:$B$81,0)),""))</f>
        <v/>
      </c>
      <c r="G453" s="67" t="str">
        <f aca="false">IF($E453="","",IFERROR(INDEX(科目表!$E$4:$E$81,MATCH($E453,科目表!$B$4:$B$81,0)),""))</f>
        <v/>
      </c>
      <c r="H453" s="70" t="str">
        <f aca="false">IF($E453="","",N(INDEX(进销存对接!$M$4:$U$305,150,8)))</f>
        <v/>
      </c>
      <c r="I453" s="70" t="str">
        <f aca="false">IF($E453="","",N(INDEX(进销存对接!$M$4:$U$305,150,9)))</f>
        <v/>
      </c>
      <c r="J453" s="67"/>
      <c r="K453" s="67" t="str">
        <f aca="false">IF($E453="","",INDEX(进销存对接!$D$4:$D$305,150))</f>
        <v/>
      </c>
      <c r="L453" s="107"/>
      <c r="M453" s="107"/>
      <c r="N453" s="67" t="str">
        <f aca="false">IF($E453="","","系统")</f>
        <v/>
      </c>
      <c r="O453" s="67" t="str">
        <f aca="false">IF($E453="","","自动A")</f>
        <v/>
      </c>
      <c r="P453" s="18"/>
    </row>
    <row r="454" customFormat="false" ht="18" hidden="false" customHeight="true" outlineLevel="0" collapsed="false">
      <c r="A454" s="107" t="str">
        <f aca="false">IF($E454="","",ROW()-3)</f>
        <v/>
      </c>
      <c r="B454" s="110" t="str">
        <f aca="false">IF($E454="","",INDEX(进销存对接!$C$4:$C$305,151))</f>
        <v/>
      </c>
      <c r="C454" s="67" t="str">
        <f aca="false">IF($E454="","","记-"&amp;TEXT($B454,"YYYYMM")&amp;"-进销存")</f>
        <v/>
      </c>
      <c r="D454" s="107" t="str">
        <f aca="false">IF($E454="","",INDEX(进销存对接!$D$4:$D$305,151)&amp;" "&amp;TEXT($B454,"YYYY年M月")&amp;" 自动结转")</f>
        <v/>
      </c>
      <c r="E454" s="67" t="str">
        <f aca="false">IF(INDEX(进销存对接!$M$4:$U$305,151,1)=0,"",INDEX(进销存对接!$M$4:$U$305,151,1))</f>
        <v/>
      </c>
      <c r="F454" s="99" t="str">
        <f aca="false">IF($E454="","",IFERROR(INDEX(科目表!$A$4:$A$81,MATCH($E454,科目表!$B$4:$B$81,0)),""))</f>
        <v/>
      </c>
      <c r="G454" s="67" t="str">
        <f aca="false">IF($E454="","",IFERROR(INDEX(科目表!$E$4:$E$81,MATCH($E454,科目表!$B$4:$B$81,0)),""))</f>
        <v/>
      </c>
      <c r="H454" s="70" t="str">
        <f aca="false">IF($E454="","",N(INDEX(进销存对接!$M$4:$U$305,151,2)))</f>
        <v/>
      </c>
      <c r="I454" s="70" t="str">
        <f aca="false">IF($E454="","",N(INDEX(进销存对接!$M$4:$U$305,151,3)))</f>
        <v/>
      </c>
      <c r="J454" s="67"/>
      <c r="K454" s="67" t="str">
        <f aca="false">IF($E454="","",INDEX(进销存对接!$D$4:$D$305,151))</f>
        <v/>
      </c>
      <c r="L454" s="107"/>
      <c r="M454" s="107"/>
      <c r="N454" s="67" t="str">
        <f aca="false">IF($E454="","","系统")</f>
        <v/>
      </c>
      <c r="O454" s="67" t="str">
        <f aca="false">IF($E454="","","自动A")</f>
        <v/>
      </c>
      <c r="P454" s="18"/>
    </row>
    <row r="455" customFormat="false" ht="18" hidden="false" customHeight="true" outlineLevel="0" collapsed="false">
      <c r="A455" s="107" t="str">
        <f aca="false">IF($E455="","",ROW()-3)</f>
        <v/>
      </c>
      <c r="B455" s="110" t="str">
        <f aca="false">IF($E455="","",INDEX(进销存对接!$C$4:$C$305,151))</f>
        <v/>
      </c>
      <c r="C455" s="67" t="str">
        <f aca="false">IF($E455="","","记-"&amp;TEXT($B455,"YYYYMM")&amp;"-进销存")</f>
        <v/>
      </c>
      <c r="D455" s="107" t="str">
        <f aca="false">IF($E455="","",INDEX(进销存对接!$D$4:$D$305,151)&amp;" "&amp;TEXT($B455,"YYYY年M月")&amp;" 自动结转")</f>
        <v/>
      </c>
      <c r="E455" s="67" t="str">
        <f aca="false">IF(INDEX(进销存对接!$M$4:$U$305,151,4)=0,"",INDEX(进销存对接!$M$4:$U$305,151,4))</f>
        <v/>
      </c>
      <c r="F455" s="99" t="str">
        <f aca="false">IF($E455="","",IFERROR(INDEX(科目表!$A$4:$A$81,MATCH($E455,科目表!$B$4:$B$81,0)),""))</f>
        <v/>
      </c>
      <c r="G455" s="67" t="str">
        <f aca="false">IF($E455="","",IFERROR(INDEX(科目表!$E$4:$E$81,MATCH($E455,科目表!$B$4:$B$81,0)),""))</f>
        <v/>
      </c>
      <c r="H455" s="70" t="str">
        <f aca="false">IF($E455="","",N(INDEX(进销存对接!$M$4:$U$305,151,5)))</f>
        <v/>
      </c>
      <c r="I455" s="70" t="str">
        <f aca="false">IF($E455="","",N(INDEX(进销存对接!$M$4:$U$305,151,6)))</f>
        <v/>
      </c>
      <c r="J455" s="67"/>
      <c r="K455" s="67" t="str">
        <f aca="false">IF($E455="","",INDEX(进销存对接!$D$4:$D$305,151))</f>
        <v/>
      </c>
      <c r="L455" s="107"/>
      <c r="M455" s="107"/>
      <c r="N455" s="67" t="str">
        <f aca="false">IF($E455="","","系统")</f>
        <v/>
      </c>
      <c r="O455" s="67" t="str">
        <f aca="false">IF($E455="","","自动A")</f>
        <v/>
      </c>
      <c r="P455" s="18"/>
    </row>
    <row r="456" customFormat="false" ht="18" hidden="false" customHeight="true" outlineLevel="0" collapsed="false">
      <c r="A456" s="107" t="str">
        <f aca="false">IF($E456="","",ROW()-3)</f>
        <v/>
      </c>
      <c r="B456" s="110" t="str">
        <f aca="false">IF($E456="","",INDEX(进销存对接!$C$4:$C$305,151))</f>
        <v/>
      </c>
      <c r="C456" s="67" t="str">
        <f aca="false">IF($E456="","","记-"&amp;TEXT($B456,"YYYYMM")&amp;"-进销存")</f>
        <v/>
      </c>
      <c r="D456" s="107" t="str">
        <f aca="false">IF($E456="","",INDEX(进销存对接!$D$4:$D$305,151)&amp;" "&amp;TEXT($B456,"YYYY年M月")&amp;" 自动结转")</f>
        <v/>
      </c>
      <c r="E456" s="67" t="str">
        <f aca="false">IF(INDEX(进销存对接!$M$4:$U$305,151,7)=0,"",INDEX(进销存对接!$M$4:$U$305,151,7))</f>
        <v/>
      </c>
      <c r="F456" s="99" t="str">
        <f aca="false">IF($E456="","",IFERROR(INDEX(科目表!$A$4:$A$81,MATCH($E456,科目表!$B$4:$B$81,0)),""))</f>
        <v/>
      </c>
      <c r="G456" s="67" t="str">
        <f aca="false">IF($E456="","",IFERROR(INDEX(科目表!$E$4:$E$81,MATCH($E456,科目表!$B$4:$B$81,0)),""))</f>
        <v/>
      </c>
      <c r="H456" s="70" t="str">
        <f aca="false">IF($E456="","",N(INDEX(进销存对接!$M$4:$U$305,151,8)))</f>
        <v/>
      </c>
      <c r="I456" s="70" t="str">
        <f aca="false">IF($E456="","",N(INDEX(进销存对接!$M$4:$U$305,151,9)))</f>
        <v/>
      </c>
      <c r="J456" s="67"/>
      <c r="K456" s="67" t="str">
        <f aca="false">IF($E456="","",INDEX(进销存对接!$D$4:$D$305,151))</f>
        <v/>
      </c>
      <c r="L456" s="107"/>
      <c r="M456" s="107"/>
      <c r="N456" s="67" t="str">
        <f aca="false">IF($E456="","","系统")</f>
        <v/>
      </c>
      <c r="O456" s="67" t="str">
        <f aca="false">IF($E456="","","自动A")</f>
        <v/>
      </c>
      <c r="P456" s="18"/>
    </row>
    <row r="457" customFormat="false" ht="18" hidden="false" customHeight="true" outlineLevel="0" collapsed="false">
      <c r="A457" s="107" t="str">
        <f aca="false">IF($E457="","",ROW()-3)</f>
        <v/>
      </c>
      <c r="B457" s="110" t="str">
        <f aca="false">IF($E457="","",INDEX(进销存对接!$C$4:$C$305,152))</f>
        <v/>
      </c>
      <c r="C457" s="67" t="str">
        <f aca="false">IF($E457="","","记-"&amp;TEXT($B457,"YYYYMM")&amp;"-进销存")</f>
        <v/>
      </c>
      <c r="D457" s="107" t="str">
        <f aca="false">IF($E457="","",INDEX(进销存对接!$D$4:$D$305,152)&amp;" "&amp;TEXT($B457,"YYYY年M月")&amp;" 自动结转")</f>
        <v/>
      </c>
      <c r="E457" s="67" t="str">
        <f aca="false">IF(INDEX(进销存对接!$M$4:$U$305,152,1)=0,"",INDEX(进销存对接!$M$4:$U$305,152,1))</f>
        <v/>
      </c>
      <c r="F457" s="99" t="str">
        <f aca="false">IF($E457="","",IFERROR(INDEX(科目表!$A$4:$A$81,MATCH($E457,科目表!$B$4:$B$81,0)),""))</f>
        <v/>
      </c>
      <c r="G457" s="67" t="str">
        <f aca="false">IF($E457="","",IFERROR(INDEX(科目表!$E$4:$E$81,MATCH($E457,科目表!$B$4:$B$81,0)),""))</f>
        <v/>
      </c>
      <c r="H457" s="70" t="str">
        <f aca="false">IF($E457="","",N(INDEX(进销存对接!$M$4:$U$305,152,2)))</f>
        <v/>
      </c>
      <c r="I457" s="70" t="str">
        <f aca="false">IF($E457="","",N(INDEX(进销存对接!$M$4:$U$305,152,3)))</f>
        <v/>
      </c>
      <c r="J457" s="67"/>
      <c r="K457" s="67" t="str">
        <f aca="false">IF($E457="","",INDEX(进销存对接!$D$4:$D$305,152))</f>
        <v/>
      </c>
      <c r="L457" s="107"/>
      <c r="M457" s="107"/>
      <c r="N457" s="67" t="str">
        <f aca="false">IF($E457="","","系统")</f>
        <v/>
      </c>
      <c r="O457" s="67" t="str">
        <f aca="false">IF($E457="","","自动A")</f>
        <v/>
      </c>
      <c r="P457" s="18"/>
    </row>
    <row r="458" customFormat="false" ht="18" hidden="false" customHeight="true" outlineLevel="0" collapsed="false">
      <c r="A458" s="107" t="str">
        <f aca="false">IF($E458="","",ROW()-3)</f>
        <v/>
      </c>
      <c r="B458" s="110" t="str">
        <f aca="false">IF($E458="","",INDEX(进销存对接!$C$4:$C$305,152))</f>
        <v/>
      </c>
      <c r="C458" s="67" t="str">
        <f aca="false">IF($E458="","","记-"&amp;TEXT($B458,"YYYYMM")&amp;"-进销存")</f>
        <v/>
      </c>
      <c r="D458" s="107" t="str">
        <f aca="false">IF($E458="","",INDEX(进销存对接!$D$4:$D$305,152)&amp;" "&amp;TEXT($B458,"YYYY年M月")&amp;" 自动结转")</f>
        <v/>
      </c>
      <c r="E458" s="67" t="str">
        <f aca="false">IF(INDEX(进销存对接!$M$4:$U$305,152,4)=0,"",INDEX(进销存对接!$M$4:$U$305,152,4))</f>
        <v/>
      </c>
      <c r="F458" s="99" t="str">
        <f aca="false">IF($E458="","",IFERROR(INDEX(科目表!$A$4:$A$81,MATCH($E458,科目表!$B$4:$B$81,0)),""))</f>
        <v/>
      </c>
      <c r="G458" s="67" t="str">
        <f aca="false">IF($E458="","",IFERROR(INDEX(科目表!$E$4:$E$81,MATCH($E458,科目表!$B$4:$B$81,0)),""))</f>
        <v/>
      </c>
      <c r="H458" s="70" t="str">
        <f aca="false">IF($E458="","",N(INDEX(进销存对接!$M$4:$U$305,152,5)))</f>
        <v/>
      </c>
      <c r="I458" s="70" t="str">
        <f aca="false">IF($E458="","",N(INDEX(进销存对接!$M$4:$U$305,152,6)))</f>
        <v/>
      </c>
      <c r="J458" s="67"/>
      <c r="K458" s="67" t="str">
        <f aca="false">IF($E458="","",INDEX(进销存对接!$D$4:$D$305,152))</f>
        <v/>
      </c>
      <c r="L458" s="107"/>
      <c r="M458" s="107"/>
      <c r="N458" s="67" t="str">
        <f aca="false">IF($E458="","","系统")</f>
        <v/>
      </c>
      <c r="O458" s="67" t="str">
        <f aca="false">IF($E458="","","自动A")</f>
        <v/>
      </c>
      <c r="P458" s="18"/>
    </row>
    <row r="459" customFormat="false" ht="18" hidden="false" customHeight="true" outlineLevel="0" collapsed="false">
      <c r="A459" s="107" t="str">
        <f aca="false">IF($E459="","",ROW()-3)</f>
        <v/>
      </c>
      <c r="B459" s="110" t="str">
        <f aca="false">IF($E459="","",INDEX(进销存对接!$C$4:$C$305,152))</f>
        <v/>
      </c>
      <c r="C459" s="67" t="str">
        <f aca="false">IF($E459="","","记-"&amp;TEXT($B459,"YYYYMM")&amp;"-进销存")</f>
        <v/>
      </c>
      <c r="D459" s="107" t="str">
        <f aca="false">IF($E459="","",INDEX(进销存对接!$D$4:$D$305,152)&amp;" "&amp;TEXT($B459,"YYYY年M月")&amp;" 自动结转")</f>
        <v/>
      </c>
      <c r="E459" s="67" t="str">
        <f aca="false">IF(INDEX(进销存对接!$M$4:$U$305,152,7)=0,"",INDEX(进销存对接!$M$4:$U$305,152,7))</f>
        <v/>
      </c>
      <c r="F459" s="99" t="str">
        <f aca="false">IF($E459="","",IFERROR(INDEX(科目表!$A$4:$A$81,MATCH($E459,科目表!$B$4:$B$81,0)),""))</f>
        <v/>
      </c>
      <c r="G459" s="67" t="str">
        <f aca="false">IF($E459="","",IFERROR(INDEX(科目表!$E$4:$E$81,MATCH($E459,科目表!$B$4:$B$81,0)),""))</f>
        <v/>
      </c>
      <c r="H459" s="70" t="str">
        <f aca="false">IF($E459="","",N(INDEX(进销存对接!$M$4:$U$305,152,8)))</f>
        <v/>
      </c>
      <c r="I459" s="70" t="str">
        <f aca="false">IF($E459="","",N(INDEX(进销存对接!$M$4:$U$305,152,9)))</f>
        <v/>
      </c>
      <c r="J459" s="67"/>
      <c r="K459" s="67" t="str">
        <f aca="false">IF($E459="","",INDEX(进销存对接!$D$4:$D$305,152))</f>
        <v/>
      </c>
      <c r="L459" s="107"/>
      <c r="M459" s="107"/>
      <c r="N459" s="67" t="str">
        <f aca="false">IF($E459="","","系统")</f>
        <v/>
      </c>
      <c r="O459" s="67" t="str">
        <f aca="false">IF($E459="","","自动A")</f>
        <v/>
      </c>
      <c r="P459" s="18"/>
    </row>
    <row r="460" customFormat="false" ht="18" hidden="false" customHeight="true" outlineLevel="0" collapsed="false">
      <c r="A460" s="107" t="str">
        <f aca="false">IF($E460="","",ROW()-3)</f>
        <v/>
      </c>
      <c r="B460" s="110" t="str">
        <f aca="false">IF($E460="","",INDEX(进销存对接!$C$4:$C$305,153))</f>
        <v/>
      </c>
      <c r="C460" s="67" t="str">
        <f aca="false">IF($E460="","","记-"&amp;TEXT($B460,"YYYYMM")&amp;"-进销存")</f>
        <v/>
      </c>
      <c r="D460" s="107" t="str">
        <f aca="false">IF($E460="","",INDEX(进销存对接!$D$4:$D$305,153)&amp;" "&amp;TEXT($B460,"YYYY年M月")&amp;" 自动结转")</f>
        <v/>
      </c>
      <c r="E460" s="67" t="str">
        <f aca="false">IF(INDEX(进销存对接!$M$4:$U$305,153,1)=0,"",INDEX(进销存对接!$M$4:$U$305,153,1))</f>
        <v/>
      </c>
      <c r="F460" s="99" t="str">
        <f aca="false">IF($E460="","",IFERROR(INDEX(科目表!$A$4:$A$81,MATCH($E460,科目表!$B$4:$B$81,0)),""))</f>
        <v/>
      </c>
      <c r="G460" s="67" t="str">
        <f aca="false">IF($E460="","",IFERROR(INDEX(科目表!$E$4:$E$81,MATCH($E460,科目表!$B$4:$B$81,0)),""))</f>
        <v/>
      </c>
      <c r="H460" s="70" t="str">
        <f aca="false">IF($E460="","",N(INDEX(进销存对接!$M$4:$U$305,153,2)))</f>
        <v/>
      </c>
      <c r="I460" s="70" t="str">
        <f aca="false">IF($E460="","",N(INDEX(进销存对接!$M$4:$U$305,153,3)))</f>
        <v/>
      </c>
      <c r="J460" s="67"/>
      <c r="K460" s="67" t="str">
        <f aca="false">IF($E460="","",INDEX(进销存对接!$D$4:$D$305,153))</f>
        <v/>
      </c>
      <c r="L460" s="107"/>
      <c r="M460" s="107"/>
      <c r="N460" s="67" t="str">
        <f aca="false">IF($E460="","","系统")</f>
        <v/>
      </c>
      <c r="O460" s="67" t="str">
        <f aca="false">IF($E460="","","自动A")</f>
        <v/>
      </c>
      <c r="P460" s="18"/>
    </row>
    <row r="461" customFormat="false" ht="18" hidden="false" customHeight="true" outlineLevel="0" collapsed="false">
      <c r="A461" s="107" t="str">
        <f aca="false">IF($E461="","",ROW()-3)</f>
        <v/>
      </c>
      <c r="B461" s="110" t="str">
        <f aca="false">IF($E461="","",INDEX(进销存对接!$C$4:$C$305,153))</f>
        <v/>
      </c>
      <c r="C461" s="67" t="str">
        <f aca="false">IF($E461="","","记-"&amp;TEXT($B461,"YYYYMM")&amp;"-进销存")</f>
        <v/>
      </c>
      <c r="D461" s="107" t="str">
        <f aca="false">IF($E461="","",INDEX(进销存对接!$D$4:$D$305,153)&amp;" "&amp;TEXT($B461,"YYYY年M月")&amp;" 自动结转")</f>
        <v/>
      </c>
      <c r="E461" s="67" t="str">
        <f aca="false">IF(INDEX(进销存对接!$M$4:$U$305,153,4)=0,"",INDEX(进销存对接!$M$4:$U$305,153,4))</f>
        <v/>
      </c>
      <c r="F461" s="99" t="str">
        <f aca="false">IF($E461="","",IFERROR(INDEX(科目表!$A$4:$A$81,MATCH($E461,科目表!$B$4:$B$81,0)),""))</f>
        <v/>
      </c>
      <c r="G461" s="67" t="str">
        <f aca="false">IF($E461="","",IFERROR(INDEX(科目表!$E$4:$E$81,MATCH($E461,科目表!$B$4:$B$81,0)),""))</f>
        <v/>
      </c>
      <c r="H461" s="70" t="str">
        <f aca="false">IF($E461="","",N(INDEX(进销存对接!$M$4:$U$305,153,5)))</f>
        <v/>
      </c>
      <c r="I461" s="70" t="str">
        <f aca="false">IF($E461="","",N(INDEX(进销存对接!$M$4:$U$305,153,6)))</f>
        <v/>
      </c>
      <c r="J461" s="67"/>
      <c r="K461" s="67" t="str">
        <f aca="false">IF($E461="","",INDEX(进销存对接!$D$4:$D$305,153))</f>
        <v/>
      </c>
      <c r="L461" s="107"/>
      <c r="M461" s="107"/>
      <c r="N461" s="67" t="str">
        <f aca="false">IF($E461="","","系统")</f>
        <v/>
      </c>
      <c r="O461" s="67" t="str">
        <f aca="false">IF($E461="","","自动A")</f>
        <v/>
      </c>
      <c r="P461" s="18"/>
    </row>
    <row r="462" customFormat="false" ht="18" hidden="false" customHeight="true" outlineLevel="0" collapsed="false">
      <c r="A462" s="107" t="str">
        <f aca="false">IF($E462="","",ROW()-3)</f>
        <v/>
      </c>
      <c r="B462" s="110" t="str">
        <f aca="false">IF($E462="","",INDEX(进销存对接!$C$4:$C$305,153))</f>
        <v/>
      </c>
      <c r="C462" s="67" t="str">
        <f aca="false">IF($E462="","","记-"&amp;TEXT($B462,"YYYYMM")&amp;"-进销存")</f>
        <v/>
      </c>
      <c r="D462" s="107" t="str">
        <f aca="false">IF($E462="","",INDEX(进销存对接!$D$4:$D$305,153)&amp;" "&amp;TEXT($B462,"YYYY年M月")&amp;" 自动结转")</f>
        <v/>
      </c>
      <c r="E462" s="67" t="str">
        <f aca="false">IF(INDEX(进销存对接!$M$4:$U$305,153,7)=0,"",INDEX(进销存对接!$M$4:$U$305,153,7))</f>
        <v/>
      </c>
      <c r="F462" s="99" t="str">
        <f aca="false">IF($E462="","",IFERROR(INDEX(科目表!$A$4:$A$81,MATCH($E462,科目表!$B$4:$B$81,0)),""))</f>
        <v/>
      </c>
      <c r="G462" s="67" t="str">
        <f aca="false">IF($E462="","",IFERROR(INDEX(科目表!$E$4:$E$81,MATCH($E462,科目表!$B$4:$B$81,0)),""))</f>
        <v/>
      </c>
      <c r="H462" s="70" t="str">
        <f aca="false">IF($E462="","",N(INDEX(进销存对接!$M$4:$U$305,153,8)))</f>
        <v/>
      </c>
      <c r="I462" s="70" t="str">
        <f aca="false">IF($E462="","",N(INDEX(进销存对接!$M$4:$U$305,153,9)))</f>
        <v/>
      </c>
      <c r="J462" s="67"/>
      <c r="K462" s="67" t="str">
        <f aca="false">IF($E462="","",INDEX(进销存对接!$D$4:$D$305,153))</f>
        <v/>
      </c>
      <c r="L462" s="107"/>
      <c r="M462" s="107"/>
      <c r="N462" s="67" t="str">
        <f aca="false">IF($E462="","","系统")</f>
        <v/>
      </c>
      <c r="O462" s="67" t="str">
        <f aca="false">IF($E462="","","自动A")</f>
        <v/>
      </c>
      <c r="P462" s="18"/>
    </row>
    <row r="463" customFormat="false" ht="18" hidden="false" customHeight="true" outlineLevel="0" collapsed="false">
      <c r="A463" s="107" t="str">
        <f aca="false">IF($E463="","",ROW()-3)</f>
        <v/>
      </c>
      <c r="B463" s="110" t="str">
        <f aca="false">IF($E463="","",INDEX(进销存对接!$C$4:$C$305,154))</f>
        <v/>
      </c>
      <c r="C463" s="67" t="str">
        <f aca="false">IF($E463="","","记-"&amp;TEXT($B463,"YYYYMM")&amp;"-进销存")</f>
        <v/>
      </c>
      <c r="D463" s="107" t="str">
        <f aca="false">IF($E463="","",INDEX(进销存对接!$D$4:$D$305,154)&amp;" "&amp;TEXT($B463,"YYYY年M月")&amp;" 自动结转")</f>
        <v/>
      </c>
      <c r="E463" s="67" t="str">
        <f aca="false">IF(INDEX(进销存对接!$M$4:$U$305,154,1)=0,"",INDEX(进销存对接!$M$4:$U$305,154,1))</f>
        <v/>
      </c>
      <c r="F463" s="99" t="str">
        <f aca="false">IF($E463="","",IFERROR(INDEX(科目表!$A$4:$A$81,MATCH($E463,科目表!$B$4:$B$81,0)),""))</f>
        <v/>
      </c>
      <c r="G463" s="67" t="str">
        <f aca="false">IF($E463="","",IFERROR(INDEX(科目表!$E$4:$E$81,MATCH($E463,科目表!$B$4:$B$81,0)),""))</f>
        <v/>
      </c>
      <c r="H463" s="70" t="str">
        <f aca="false">IF($E463="","",N(INDEX(进销存对接!$M$4:$U$305,154,2)))</f>
        <v/>
      </c>
      <c r="I463" s="70" t="str">
        <f aca="false">IF($E463="","",N(INDEX(进销存对接!$M$4:$U$305,154,3)))</f>
        <v/>
      </c>
      <c r="J463" s="67"/>
      <c r="K463" s="67" t="str">
        <f aca="false">IF($E463="","",INDEX(进销存对接!$D$4:$D$305,154))</f>
        <v/>
      </c>
      <c r="L463" s="107"/>
      <c r="M463" s="107"/>
      <c r="N463" s="67" t="str">
        <f aca="false">IF($E463="","","系统")</f>
        <v/>
      </c>
      <c r="O463" s="67" t="str">
        <f aca="false">IF($E463="","","自动A")</f>
        <v/>
      </c>
      <c r="P463" s="18"/>
    </row>
    <row r="464" customFormat="false" ht="18" hidden="false" customHeight="true" outlineLevel="0" collapsed="false">
      <c r="A464" s="107" t="str">
        <f aca="false">IF($E464="","",ROW()-3)</f>
        <v/>
      </c>
      <c r="B464" s="110" t="str">
        <f aca="false">IF($E464="","",INDEX(进销存对接!$C$4:$C$305,154))</f>
        <v/>
      </c>
      <c r="C464" s="67" t="str">
        <f aca="false">IF($E464="","","记-"&amp;TEXT($B464,"YYYYMM")&amp;"-进销存")</f>
        <v/>
      </c>
      <c r="D464" s="107" t="str">
        <f aca="false">IF($E464="","",INDEX(进销存对接!$D$4:$D$305,154)&amp;" "&amp;TEXT($B464,"YYYY年M月")&amp;" 自动结转")</f>
        <v/>
      </c>
      <c r="E464" s="67" t="str">
        <f aca="false">IF(INDEX(进销存对接!$M$4:$U$305,154,4)=0,"",INDEX(进销存对接!$M$4:$U$305,154,4))</f>
        <v/>
      </c>
      <c r="F464" s="99" t="str">
        <f aca="false">IF($E464="","",IFERROR(INDEX(科目表!$A$4:$A$81,MATCH($E464,科目表!$B$4:$B$81,0)),""))</f>
        <v/>
      </c>
      <c r="G464" s="67" t="str">
        <f aca="false">IF($E464="","",IFERROR(INDEX(科目表!$E$4:$E$81,MATCH($E464,科目表!$B$4:$B$81,0)),""))</f>
        <v/>
      </c>
      <c r="H464" s="70" t="str">
        <f aca="false">IF($E464="","",N(INDEX(进销存对接!$M$4:$U$305,154,5)))</f>
        <v/>
      </c>
      <c r="I464" s="70" t="str">
        <f aca="false">IF($E464="","",N(INDEX(进销存对接!$M$4:$U$305,154,6)))</f>
        <v/>
      </c>
      <c r="J464" s="67"/>
      <c r="K464" s="67" t="str">
        <f aca="false">IF($E464="","",INDEX(进销存对接!$D$4:$D$305,154))</f>
        <v/>
      </c>
      <c r="L464" s="107"/>
      <c r="M464" s="107"/>
      <c r="N464" s="67" t="str">
        <f aca="false">IF($E464="","","系统")</f>
        <v/>
      </c>
      <c r="O464" s="67" t="str">
        <f aca="false">IF($E464="","","自动A")</f>
        <v/>
      </c>
      <c r="P464" s="18"/>
    </row>
    <row r="465" customFormat="false" ht="18" hidden="false" customHeight="true" outlineLevel="0" collapsed="false">
      <c r="A465" s="107" t="str">
        <f aca="false">IF($E465="","",ROW()-3)</f>
        <v/>
      </c>
      <c r="B465" s="110" t="str">
        <f aca="false">IF($E465="","",INDEX(进销存对接!$C$4:$C$305,154))</f>
        <v/>
      </c>
      <c r="C465" s="67" t="str">
        <f aca="false">IF($E465="","","记-"&amp;TEXT($B465,"YYYYMM")&amp;"-进销存")</f>
        <v/>
      </c>
      <c r="D465" s="107" t="str">
        <f aca="false">IF($E465="","",INDEX(进销存对接!$D$4:$D$305,154)&amp;" "&amp;TEXT($B465,"YYYY年M月")&amp;" 自动结转")</f>
        <v/>
      </c>
      <c r="E465" s="67" t="str">
        <f aca="false">IF(INDEX(进销存对接!$M$4:$U$305,154,7)=0,"",INDEX(进销存对接!$M$4:$U$305,154,7))</f>
        <v/>
      </c>
      <c r="F465" s="99" t="str">
        <f aca="false">IF($E465="","",IFERROR(INDEX(科目表!$A$4:$A$81,MATCH($E465,科目表!$B$4:$B$81,0)),""))</f>
        <v/>
      </c>
      <c r="G465" s="67" t="str">
        <f aca="false">IF($E465="","",IFERROR(INDEX(科目表!$E$4:$E$81,MATCH($E465,科目表!$B$4:$B$81,0)),""))</f>
        <v/>
      </c>
      <c r="H465" s="70" t="str">
        <f aca="false">IF($E465="","",N(INDEX(进销存对接!$M$4:$U$305,154,8)))</f>
        <v/>
      </c>
      <c r="I465" s="70" t="str">
        <f aca="false">IF($E465="","",N(INDEX(进销存对接!$M$4:$U$305,154,9)))</f>
        <v/>
      </c>
      <c r="J465" s="67"/>
      <c r="K465" s="67" t="str">
        <f aca="false">IF($E465="","",INDEX(进销存对接!$D$4:$D$305,154))</f>
        <v/>
      </c>
      <c r="L465" s="107"/>
      <c r="M465" s="107"/>
      <c r="N465" s="67" t="str">
        <f aca="false">IF($E465="","","系统")</f>
        <v/>
      </c>
      <c r="O465" s="67" t="str">
        <f aca="false">IF($E465="","","自动A")</f>
        <v/>
      </c>
      <c r="P465" s="18"/>
    </row>
    <row r="466" customFormat="false" ht="18" hidden="false" customHeight="true" outlineLevel="0" collapsed="false">
      <c r="A466" s="107" t="str">
        <f aca="false">IF($E466="","",ROW()-3)</f>
        <v/>
      </c>
      <c r="B466" s="110" t="str">
        <f aca="false">IF($E466="","",INDEX(进销存对接!$C$4:$C$305,155))</f>
        <v/>
      </c>
      <c r="C466" s="67" t="str">
        <f aca="false">IF($E466="","","记-"&amp;TEXT($B466,"YYYYMM")&amp;"-进销存")</f>
        <v/>
      </c>
      <c r="D466" s="107" t="str">
        <f aca="false">IF($E466="","",INDEX(进销存对接!$D$4:$D$305,155)&amp;" "&amp;TEXT($B466,"YYYY年M月")&amp;" 自动结转")</f>
        <v/>
      </c>
      <c r="E466" s="67" t="str">
        <f aca="false">IF(INDEX(进销存对接!$M$4:$U$305,155,1)=0,"",INDEX(进销存对接!$M$4:$U$305,155,1))</f>
        <v/>
      </c>
      <c r="F466" s="99" t="str">
        <f aca="false">IF($E466="","",IFERROR(INDEX(科目表!$A$4:$A$81,MATCH($E466,科目表!$B$4:$B$81,0)),""))</f>
        <v/>
      </c>
      <c r="G466" s="67" t="str">
        <f aca="false">IF($E466="","",IFERROR(INDEX(科目表!$E$4:$E$81,MATCH($E466,科目表!$B$4:$B$81,0)),""))</f>
        <v/>
      </c>
      <c r="H466" s="70" t="str">
        <f aca="false">IF($E466="","",N(INDEX(进销存对接!$M$4:$U$305,155,2)))</f>
        <v/>
      </c>
      <c r="I466" s="70" t="str">
        <f aca="false">IF($E466="","",N(INDEX(进销存对接!$M$4:$U$305,155,3)))</f>
        <v/>
      </c>
      <c r="J466" s="67"/>
      <c r="K466" s="67" t="str">
        <f aca="false">IF($E466="","",INDEX(进销存对接!$D$4:$D$305,155))</f>
        <v/>
      </c>
      <c r="L466" s="107"/>
      <c r="M466" s="107"/>
      <c r="N466" s="67" t="str">
        <f aca="false">IF($E466="","","系统")</f>
        <v/>
      </c>
      <c r="O466" s="67" t="str">
        <f aca="false">IF($E466="","","自动A")</f>
        <v/>
      </c>
      <c r="P466" s="18"/>
    </row>
    <row r="467" customFormat="false" ht="18" hidden="false" customHeight="true" outlineLevel="0" collapsed="false">
      <c r="A467" s="107" t="str">
        <f aca="false">IF($E467="","",ROW()-3)</f>
        <v/>
      </c>
      <c r="B467" s="110" t="str">
        <f aca="false">IF($E467="","",INDEX(进销存对接!$C$4:$C$305,155))</f>
        <v/>
      </c>
      <c r="C467" s="67" t="str">
        <f aca="false">IF($E467="","","记-"&amp;TEXT($B467,"YYYYMM")&amp;"-进销存")</f>
        <v/>
      </c>
      <c r="D467" s="107" t="str">
        <f aca="false">IF($E467="","",INDEX(进销存对接!$D$4:$D$305,155)&amp;" "&amp;TEXT($B467,"YYYY年M月")&amp;" 自动结转")</f>
        <v/>
      </c>
      <c r="E467" s="67" t="str">
        <f aca="false">IF(INDEX(进销存对接!$M$4:$U$305,155,4)=0,"",INDEX(进销存对接!$M$4:$U$305,155,4))</f>
        <v/>
      </c>
      <c r="F467" s="99" t="str">
        <f aca="false">IF($E467="","",IFERROR(INDEX(科目表!$A$4:$A$81,MATCH($E467,科目表!$B$4:$B$81,0)),""))</f>
        <v/>
      </c>
      <c r="G467" s="67" t="str">
        <f aca="false">IF($E467="","",IFERROR(INDEX(科目表!$E$4:$E$81,MATCH($E467,科目表!$B$4:$B$81,0)),""))</f>
        <v/>
      </c>
      <c r="H467" s="70" t="str">
        <f aca="false">IF($E467="","",N(INDEX(进销存对接!$M$4:$U$305,155,5)))</f>
        <v/>
      </c>
      <c r="I467" s="70" t="str">
        <f aca="false">IF($E467="","",N(INDEX(进销存对接!$M$4:$U$305,155,6)))</f>
        <v/>
      </c>
      <c r="J467" s="67"/>
      <c r="K467" s="67" t="str">
        <f aca="false">IF($E467="","",INDEX(进销存对接!$D$4:$D$305,155))</f>
        <v/>
      </c>
      <c r="L467" s="107"/>
      <c r="M467" s="107"/>
      <c r="N467" s="67" t="str">
        <f aca="false">IF($E467="","","系统")</f>
        <v/>
      </c>
      <c r="O467" s="67" t="str">
        <f aca="false">IF($E467="","","自动A")</f>
        <v/>
      </c>
      <c r="P467" s="18"/>
    </row>
    <row r="468" customFormat="false" ht="18" hidden="false" customHeight="true" outlineLevel="0" collapsed="false">
      <c r="A468" s="107" t="str">
        <f aca="false">IF($E468="","",ROW()-3)</f>
        <v/>
      </c>
      <c r="B468" s="110" t="str">
        <f aca="false">IF($E468="","",INDEX(进销存对接!$C$4:$C$305,155))</f>
        <v/>
      </c>
      <c r="C468" s="67" t="str">
        <f aca="false">IF($E468="","","记-"&amp;TEXT($B468,"YYYYMM")&amp;"-进销存")</f>
        <v/>
      </c>
      <c r="D468" s="107" t="str">
        <f aca="false">IF($E468="","",INDEX(进销存对接!$D$4:$D$305,155)&amp;" "&amp;TEXT($B468,"YYYY年M月")&amp;" 自动结转")</f>
        <v/>
      </c>
      <c r="E468" s="67" t="str">
        <f aca="false">IF(INDEX(进销存对接!$M$4:$U$305,155,7)=0,"",INDEX(进销存对接!$M$4:$U$305,155,7))</f>
        <v/>
      </c>
      <c r="F468" s="99" t="str">
        <f aca="false">IF($E468="","",IFERROR(INDEX(科目表!$A$4:$A$81,MATCH($E468,科目表!$B$4:$B$81,0)),""))</f>
        <v/>
      </c>
      <c r="G468" s="67" t="str">
        <f aca="false">IF($E468="","",IFERROR(INDEX(科目表!$E$4:$E$81,MATCH($E468,科目表!$B$4:$B$81,0)),""))</f>
        <v/>
      </c>
      <c r="H468" s="70" t="str">
        <f aca="false">IF($E468="","",N(INDEX(进销存对接!$M$4:$U$305,155,8)))</f>
        <v/>
      </c>
      <c r="I468" s="70" t="str">
        <f aca="false">IF($E468="","",N(INDEX(进销存对接!$M$4:$U$305,155,9)))</f>
        <v/>
      </c>
      <c r="J468" s="67"/>
      <c r="K468" s="67" t="str">
        <f aca="false">IF($E468="","",INDEX(进销存对接!$D$4:$D$305,155))</f>
        <v/>
      </c>
      <c r="L468" s="107"/>
      <c r="M468" s="107"/>
      <c r="N468" s="67" t="str">
        <f aca="false">IF($E468="","","系统")</f>
        <v/>
      </c>
      <c r="O468" s="67" t="str">
        <f aca="false">IF($E468="","","自动A")</f>
        <v/>
      </c>
      <c r="P468" s="18"/>
    </row>
    <row r="469" customFormat="false" ht="18" hidden="false" customHeight="true" outlineLevel="0" collapsed="false">
      <c r="A469" s="107" t="str">
        <f aca="false">IF($E469="","",ROW()-3)</f>
        <v/>
      </c>
      <c r="B469" s="110" t="str">
        <f aca="false">IF($E469="","",INDEX(进销存对接!$C$4:$C$305,156))</f>
        <v/>
      </c>
      <c r="C469" s="67" t="str">
        <f aca="false">IF($E469="","","记-"&amp;TEXT($B469,"YYYYMM")&amp;"-进销存")</f>
        <v/>
      </c>
      <c r="D469" s="107" t="str">
        <f aca="false">IF($E469="","",INDEX(进销存对接!$D$4:$D$305,156)&amp;" "&amp;TEXT($B469,"YYYY年M月")&amp;" 自动结转")</f>
        <v/>
      </c>
      <c r="E469" s="67" t="str">
        <f aca="false">IF(INDEX(进销存对接!$M$4:$U$305,156,1)=0,"",INDEX(进销存对接!$M$4:$U$305,156,1))</f>
        <v/>
      </c>
      <c r="F469" s="99" t="str">
        <f aca="false">IF($E469="","",IFERROR(INDEX(科目表!$A$4:$A$81,MATCH($E469,科目表!$B$4:$B$81,0)),""))</f>
        <v/>
      </c>
      <c r="G469" s="67" t="str">
        <f aca="false">IF($E469="","",IFERROR(INDEX(科目表!$E$4:$E$81,MATCH($E469,科目表!$B$4:$B$81,0)),""))</f>
        <v/>
      </c>
      <c r="H469" s="70" t="str">
        <f aca="false">IF($E469="","",N(INDEX(进销存对接!$M$4:$U$305,156,2)))</f>
        <v/>
      </c>
      <c r="I469" s="70" t="str">
        <f aca="false">IF($E469="","",N(INDEX(进销存对接!$M$4:$U$305,156,3)))</f>
        <v/>
      </c>
      <c r="J469" s="67"/>
      <c r="K469" s="67" t="str">
        <f aca="false">IF($E469="","",INDEX(进销存对接!$D$4:$D$305,156))</f>
        <v/>
      </c>
      <c r="L469" s="107"/>
      <c r="M469" s="107"/>
      <c r="N469" s="67" t="str">
        <f aca="false">IF($E469="","","系统")</f>
        <v/>
      </c>
      <c r="O469" s="67" t="str">
        <f aca="false">IF($E469="","","自动A")</f>
        <v/>
      </c>
      <c r="P469" s="18"/>
    </row>
    <row r="470" customFormat="false" ht="18" hidden="false" customHeight="true" outlineLevel="0" collapsed="false">
      <c r="A470" s="107" t="str">
        <f aca="false">IF($E470="","",ROW()-3)</f>
        <v/>
      </c>
      <c r="B470" s="110" t="str">
        <f aca="false">IF($E470="","",INDEX(进销存对接!$C$4:$C$305,156))</f>
        <v/>
      </c>
      <c r="C470" s="67" t="str">
        <f aca="false">IF($E470="","","记-"&amp;TEXT($B470,"YYYYMM")&amp;"-进销存")</f>
        <v/>
      </c>
      <c r="D470" s="107" t="str">
        <f aca="false">IF($E470="","",INDEX(进销存对接!$D$4:$D$305,156)&amp;" "&amp;TEXT($B470,"YYYY年M月")&amp;" 自动结转")</f>
        <v/>
      </c>
      <c r="E470" s="67" t="str">
        <f aca="false">IF(INDEX(进销存对接!$M$4:$U$305,156,4)=0,"",INDEX(进销存对接!$M$4:$U$305,156,4))</f>
        <v/>
      </c>
      <c r="F470" s="99" t="str">
        <f aca="false">IF($E470="","",IFERROR(INDEX(科目表!$A$4:$A$81,MATCH($E470,科目表!$B$4:$B$81,0)),""))</f>
        <v/>
      </c>
      <c r="G470" s="67" t="str">
        <f aca="false">IF($E470="","",IFERROR(INDEX(科目表!$E$4:$E$81,MATCH($E470,科目表!$B$4:$B$81,0)),""))</f>
        <v/>
      </c>
      <c r="H470" s="70" t="str">
        <f aca="false">IF($E470="","",N(INDEX(进销存对接!$M$4:$U$305,156,5)))</f>
        <v/>
      </c>
      <c r="I470" s="70" t="str">
        <f aca="false">IF($E470="","",N(INDEX(进销存对接!$M$4:$U$305,156,6)))</f>
        <v/>
      </c>
      <c r="J470" s="67"/>
      <c r="K470" s="67" t="str">
        <f aca="false">IF($E470="","",INDEX(进销存对接!$D$4:$D$305,156))</f>
        <v/>
      </c>
      <c r="L470" s="107"/>
      <c r="M470" s="107"/>
      <c r="N470" s="67" t="str">
        <f aca="false">IF($E470="","","系统")</f>
        <v/>
      </c>
      <c r="O470" s="67" t="str">
        <f aca="false">IF($E470="","","自动A")</f>
        <v/>
      </c>
      <c r="P470" s="18"/>
    </row>
    <row r="471" customFormat="false" ht="18" hidden="false" customHeight="true" outlineLevel="0" collapsed="false">
      <c r="A471" s="107" t="str">
        <f aca="false">IF($E471="","",ROW()-3)</f>
        <v/>
      </c>
      <c r="B471" s="110" t="str">
        <f aca="false">IF($E471="","",INDEX(进销存对接!$C$4:$C$305,156))</f>
        <v/>
      </c>
      <c r="C471" s="67" t="str">
        <f aca="false">IF($E471="","","记-"&amp;TEXT($B471,"YYYYMM")&amp;"-进销存")</f>
        <v/>
      </c>
      <c r="D471" s="107" t="str">
        <f aca="false">IF($E471="","",INDEX(进销存对接!$D$4:$D$305,156)&amp;" "&amp;TEXT($B471,"YYYY年M月")&amp;" 自动结转")</f>
        <v/>
      </c>
      <c r="E471" s="67" t="str">
        <f aca="false">IF(INDEX(进销存对接!$M$4:$U$305,156,7)=0,"",INDEX(进销存对接!$M$4:$U$305,156,7))</f>
        <v/>
      </c>
      <c r="F471" s="99" t="str">
        <f aca="false">IF($E471="","",IFERROR(INDEX(科目表!$A$4:$A$81,MATCH($E471,科目表!$B$4:$B$81,0)),""))</f>
        <v/>
      </c>
      <c r="G471" s="67" t="str">
        <f aca="false">IF($E471="","",IFERROR(INDEX(科目表!$E$4:$E$81,MATCH($E471,科目表!$B$4:$B$81,0)),""))</f>
        <v/>
      </c>
      <c r="H471" s="70" t="str">
        <f aca="false">IF($E471="","",N(INDEX(进销存对接!$M$4:$U$305,156,8)))</f>
        <v/>
      </c>
      <c r="I471" s="70" t="str">
        <f aca="false">IF($E471="","",N(INDEX(进销存对接!$M$4:$U$305,156,9)))</f>
        <v/>
      </c>
      <c r="J471" s="67"/>
      <c r="K471" s="67" t="str">
        <f aca="false">IF($E471="","",INDEX(进销存对接!$D$4:$D$305,156))</f>
        <v/>
      </c>
      <c r="L471" s="107"/>
      <c r="M471" s="107"/>
      <c r="N471" s="67" t="str">
        <f aca="false">IF($E471="","","系统")</f>
        <v/>
      </c>
      <c r="O471" s="67" t="str">
        <f aca="false">IF($E471="","","自动A")</f>
        <v/>
      </c>
      <c r="P471" s="18"/>
    </row>
    <row r="472" customFormat="false" ht="18" hidden="false" customHeight="true" outlineLevel="0" collapsed="false">
      <c r="A472" s="107" t="str">
        <f aca="false">IF($E472="","",ROW()-3)</f>
        <v/>
      </c>
      <c r="B472" s="110" t="str">
        <f aca="false">IF($E472="","",INDEX(进销存对接!$C$4:$C$305,157))</f>
        <v/>
      </c>
      <c r="C472" s="67" t="str">
        <f aca="false">IF($E472="","","记-"&amp;TEXT($B472,"YYYYMM")&amp;"-进销存")</f>
        <v/>
      </c>
      <c r="D472" s="107" t="str">
        <f aca="false">IF($E472="","",INDEX(进销存对接!$D$4:$D$305,157)&amp;" "&amp;TEXT($B472,"YYYY年M月")&amp;" 自动结转")</f>
        <v/>
      </c>
      <c r="E472" s="67" t="str">
        <f aca="false">IF(INDEX(进销存对接!$M$4:$U$305,157,1)=0,"",INDEX(进销存对接!$M$4:$U$305,157,1))</f>
        <v/>
      </c>
      <c r="F472" s="99" t="str">
        <f aca="false">IF($E472="","",IFERROR(INDEX(科目表!$A$4:$A$81,MATCH($E472,科目表!$B$4:$B$81,0)),""))</f>
        <v/>
      </c>
      <c r="G472" s="67" t="str">
        <f aca="false">IF($E472="","",IFERROR(INDEX(科目表!$E$4:$E$81,MATCH($E472,科目表!$B$4:$B$81,0)),""))</f>
        <v/>
      </c>
      <c r="H472" s="70" t="str">
        <f aca="false">IF($E472="","",N(INDEX(进销存对接!$M$4:$U$305,157,2)))</f>
        <v/>
      </c>
      <c r="I472" s="70" t="str">
        <f aca="false">IF($E472="","",N(INDEX(进销存对接!$M$4:$U$305,157,3)))</f>
        <v/>
      </c>
      <c r="J472" s="67"/>
      <c r="K472" s="67" t="str">
        <f aca="false">IF($E472="","",INDEX(进销存对接!$D$4:$D$305,157))</f>
        <v/>
      </c>
      <c r="L472" s="107"/>
      <c r="M472" s="107"/>
      <c r="N472" s="67" t="str">
        <f aca="false">IF($E472="","","系统")</f>
        <v/>
      </c>
      <c r="O472" s="67" t="str">
        <f aca="false">IF($E472="","","自动A")</f>
        <v/>
      </c>
      <c r="P472" s="18"/>
    </row>
    <row r="473" customFormat="false" ht="18" hidden="false" customHeight="true" outlineLevel="0" collapsed="false">
      <c r="A473" s="107" t="str">
        <f aca="false">IF($E473="","",ROW()-3)</f>
        <v/>
      </c>
      <c r="B473" s="110" t="str">
        <f aca="false">IF($E473="","",INDEX(进销存对接!$C$4:$C$305,157))</f>
        <v/>
      </c>
      <c r="C473" s="67" t="str">
        <f aca="false">IF($E473="","","记-"&amp;TEXT($B473,"YYYYMM")&amp;"-进销存")</f>
        <v/>
      </c>
      <c r="D473" s="107" t="str">
        <f aca="false">IF($E473="","",INDEX(进销存对接!$D$4:$D$305,157)&amp;" "&amp;TEXT($B473,"YYYY年M月")&amp;" 自动结转")</f>
        <v/>
      </c>
      <c r="E473" s="67" t="str">
        <f aca="false">IF(INDEX(进销存对接!$M$4:$U$305,157,4)=0,"",INDEX(进销存对接!$M$4:$U$305,157,4))</f>
        <v/>
      </c>
      <c r="F473" s="99" t="str">
        <f aca="false">IF($E473="","",IFERROR(INDEX(科目表!$A$4:$A$81,MATCH($E473,科目表!$B$4:$B$81,0)),""))</f>
        <v/>
      </c>
      <c r="G473" s="67" t="str">
        <f aca="false">IF($E473="","",IFERROR(INDEX(科目表!$E$4:$E$81,MATCH($E473,科目表!$B$4:$B$81,0)),""))</f>
        <v/>
      </c>
      <c r="H473" s="70" t="str">
        <f aca="false">IF($E473="","",N(INDEX(进销存对接!$M$4:$U$305,157,5)))</f>
        <v/>
      </c>
      <c r="I473" s="70" t="str">
        <f aca="false">IF($E473="","",N(INDEX(进销存对接!$M$4:$U$305,157,6)))</f>
        <v/>
      </c>
      <c r="J473" s="67"/>
      <c r="K473" s="67" t="str">
        <f aca="false">IF($E473="","",INDEX(进销存对接!$D$4:$D$305,157))</f>
        <v/>
      </c>
      <c r="L473" s="107"/>
      <c r="M473" s="107"/>
      <c r="N473" s="67" t="str">
        <f aca="false">IF($E473="","","系统")</f>
        <v/>
      </c>
      <c r="O473" s="67" t="str">
        <f aca="false">IF($E473="","","自动A")</f>
        <v/>
      </c>
      <c r="P473" s="18"/>
    </row>
    <row r="474" customFormat="false" ht="18" hidden="false" customHeight="true" outlineLevel="0" collapsed="false">
      <c r="A474" s="107" t="str">
        <f aca="false">IF($E474="","",ROW()-3)</f>
        <v/>
      </c>
      <c r="B474" s="110" t="str">
        <f aca="false">IF($E474="","",INDEX(进销存对接!$C$4:$C$305,157))</f>
        <v/>
      </c>
      <c r="C474" s="67" t="str">
        <f aca="false">IF($E474="","","记-"&amp;TEXT($B474,"YYYYMM")&amp;"-进销存")</f>
        <v/>
      </c>
      <c r="D474" s="107" t="str">
        <f aca="false">IF($E474="","",INDEX(进销存对接!$D$4:$D$305,157)&amp;" "&amp;TEXT($B474,"YYYY年M月")&amp;" 自动结转")</f>
        <v/>
      </c>
      <c r="E474" s="67" t="str">
        <f aca="false">IF(INDEX(进销存对接!$M$4:$U$305,157,7)=0,"",INDEX(进销存对接!$M$4:$U$305,157,7))</f>
        <v/>
      </c>
      <c r="F474" s="99" t="str">
        <f aca="false">IF($E474="","",IFERROR(INDEX(科目表!$A$4:$A$81,MATCH($E474,科目表!$B$4:$B$81,0)),""))</f>
        <v/>
      </c>
      <c r="G474" s="67" t="str">
        <f aca="false">IF($E474="","",IFERROR(INDEX(科目表!$E$4:$E$81,MATCH($E474,科目表!$B$4:$B$81,0)),""))</f>
        <v/>
      </c>
      <c r="H474" s="70" t="str">
        <f aca="false">IF($E474="","",N(INDEX(进销存对接!$M$4:$U$305,157,8)))</f>
        <v/>
      </c>
      <c r="I474" s="70" t="str">
        <f aca="false">IF($E474="","",N(INDEX(进销存对接!$M$4:$U$305,157,9)))</f>
        <v/>
      </c>
      <c r="J474" s="67"/>
      <c r="K474" s="67" t="str">
        <f aca="false">IF($E474="","",INDEX(进销存对接!$D$4:$D$305,157))</f>
        <v/>
      </c>
      <c r="L474" s="107"/>
      <c r="M474" s="107"/>
      <c r="N474" s="67" t="str">
        <f aca="false">IF($E474="","","系统")</f>
        <v/>
      </c>
      <c r="O474" s="67" t="str">
        <f aca="false">IF($E474="","","自动A")</f>
        <v/>
      </c>
      <c r="P474" s="18"/>
    </row>
    <row r="475" customFormat="false" ht="18" hidden="false" customHeight="true" outlineLevel="0" collapsed="false">
      <c r="A475" s="107" t="str">
        <f aca="false">IF($E475="","",ROW()-3)</f>
        <v/>
      </c>
      <c r="B475" s="110" t="str">
        <f aca="false">IF($E475="","",INDEX(进销存对接!$C$4:$C$305,158))</f>
        <v/>
      </c>
      <c r="C475" s="67" t="str">
        <f aca="false">IF($E475="","","记-"&amp;TEXT($B475,"YYYYMM")&amp;"-进销存")</f>
        <v/>
      </c>
      <c r="D475" s="107" t="str">
        <f aca="false">IF($E475="","",INDEX(进销存对接!$D$4:$D$305,158)&amp;" "&amp;TEXT($B475,"YYYY年M月")&amp;" 自动结转")</f>
        <v/>
      </c>
      <c r="E475" s="67" t="str">
        <f aca="false">IF(INDEX(进销存对接!$M$4:$U$305,158,1)=0,"",INDEX(进销存对接!$M$4:$U$305,158,1))</f>
        <v/>
      </c>
      <c r="F475" s="99" t="str">
        <f aca="false">IF($E475="","",IFERROR(INDEX(科目表!$A$4:$A$81,MATCH($E475,科目表!$B$4:$B$81,0)),""))</f>
        <v/>
      </c>
      <c r="G475" s="67" t="str">
        <f aca="false">IF($E475="","",IFERROR(INDEX(科目表!$E$4:$E$81,MATCH($E475,科目表!$B$4:$B$81,0)),""))</f>
        <v/>
      </c>
      <c r="H475" s="70" t="str">
        <f aca="false">IF($E475="","",N(INDEX(进销存对接!$M$4:$U$305,158,2)))</f>
        <v/>
      </c>
      <c r="I475" s="70" t="str">
        <f aca="false">IF($E475="","",N(INDEX(进销存对接!$M$4:$U$305,158,3)))</f>
        <v/>
      </c>
      <c r="J475" s="67"/>
      <c r="K475" s="67" t="str">
        <f aca="false">IF($E475="","",INDEX(进销存对接!$D$4:$D$305,158))</f>
        <v/>
      </c>
      <c r="L475" s="107"/>
      <c r="M475" s="107"/>
      <c r="N475" s="67" t="str">
        <f aca="false">IF($E475="","","系统")</f>
        <v/>
      </c>
      <c r="O475" s="67" t="str">
        <f aca="false">IF($E475="","","自动A")</f>
        <v/>
      </c>
      <c r="P475" s="18"/>
    </row>
    <row r="476" customFormat="false" ht="18" hidden="false" customHeight="true" outlineLevel="0" collapsed="false">
      <c r="A476" s="107" t="str">
        <f aca="false">IF($E476="","",ROW()-3)</f>
        <v/>
      </c>
      <c r="B476" s="110" t="str">
        <f aca="false">IF($E476="","",INDEX(进销存对接!$C$4:$C$305,158))</f>
        <v/>
      </c>
      <c r="C476" s="67" t="str">
        <f aca="false">IF($E476="","","记-"&amp;TEXT($B476,"YYYYMM")&amp;"-进销存")</f>
        <v/>
      </c>
      <c r="D476" s="107" t="str">
        <f aca="false">IF($E476="","",INDEX(进销存对接!$D$4:$D$305,158)&amp;" "&amp;TEXT($B476,"YYYY年M月")&amp;" 自动结转")</f>
        <v/>
      </c>
      <c r="E476" s="67" t="str">
        <f aca="false">IF(INDEX(进销存对接!$M$4:$U$305,158,4)=0,"",INDEX(进销存对接!$M$4:$U$305,158,4))</f>
        <v/>
      </c>
      <c r="F476" s="99" t="str">
        <f aca="false">IF($E476="","",IFERROR(INDEX(科目表!$A$4:$A$81,MATCH($E476,科目表!$B$4:$B$81,0)),""))</f>
        <v/>
      </c>
      <c r="G476" s="67" t="str">
        <f aca="false">IF($E476="","",IFERROR(INDEX(科目表!$E$4:$E$81,MATCH($E476,科目表!$B$4:$B$81,0)),""))</f>
        <v/>
      </c>
      <c r="H476" s="70" t="str">
        <f aca="false">IF($E476="","",N(INDEX(进销存对接!$M$4:$U$305,158,5)))</f>
        <v/>
      </c>
      <c r="I476" s="70" t="str">
        <f aca="false">IF($E476="","",N(INDEX(进销存对接!$M$4:$U$305,158,6)))</f>
        <v/>
      </c>
      <c r="J476" s="67"/>
      <c r="K476" s="67" t="str">
        <f aca="false">IF($E476="","",INDEX(进销存对接!$D$4:$D$305,158))</f>
        <v/>
      </c>
      <c r="L476" s="107"/>
      <c r="M476" s="107"/>
      <c r="N476" s="67" t="str">
        <f aca="false">IF($E476="","","系统")</f>
        <v/>
      </c>
      <c r="O476" s="67" t="str">
        <f aca="false">IF($E476="","","自动A")</f>
        <v/>
      </c>
      <c r="P476" s="18"/>
    </row>
    <row r="477" customFormat="false" ht="18" hidden="false" customHeight="true" outlineLevel="0" collapsed="false">
      <c r="A477" s="107" t="str">
        <f aca="false">IF($E477="","",ROW()-3)</f>
        <v/>
      </c>
      <c r="B477" s="110" t="str">
        <f aca="false">IF($E477="","",INDEX(进销存对接!$C$4:$C$305,158))</f>
        <v/>
      </c>
      <c r="C477" s="67" t="str">
        <f aca="false">IF($E477="","","记-"&amp;TEXT($B477,"YYYYMM")&amp;"-进销存")</f>
        <v/>
      </c>
      <c r="D477" s="107" t="str">
        <f aca="false">IF($E477="","",INDEX(进销存对接!$D$4:$D$305,158)&amp;" "&amp;TEXT($B477,"YYYY年M月")&amp;" 自动结转")</f>
        <v/>
      </c>
      <c r="E477" s="67" t="str">
        <f aca="false">IF(INDEX(进销存对接!$M$4:$U$305,158,7)=0,"",INDEX(进销存对接!$M$4:$U$305,158,7))</f>
        <v/>
      </c>
      <c r="F477" s="99" t="str">
        <f aca="false">IF($E477="","",IFERROR(INDEX(科目表!$A$4:$A$81,MATCH($E477,科目表!$B$4:$B$81,0)),""))</f>
        <v/>
      </c>
      <c r="G477" s="67" t="str">
        <f aca="false">IF($E477="","",IFERROR(INDEX(科目表!$E$4:$E$81,MATCH($E477,科目表!$B$4:$B$81,0)),""))</f>
        <v/>
      </c>
      <c r="H477" s="70" t="str">
        <f aca="false">IF($E477="","",N(INDEX(进销存对接!$M$4:$U$305,158,8)))</f>
        <v/>
      </c>
      <c r="I477" s="70" t="str">
        <f aca="false">IF($E477="","",N(INDEX(进销存对接!$M$4:$U$305,158,9)))</f>
        <v/>
      </c>
      <c r="J477" s="67"/>
      <c r="K477" s="67" t="str">
        <f aca="false">IF($E477="","",INDEX(进销存对接!$D$4:$D$305,158))</f>
        <v/>
      </c>
      <c r="L477" s="107"/>
      <c r="M477" s="107"/>
      <c r="N477" s="67" t="str">
        <f aca="false">IF($E477="","","系统")</f>
        <v/>
      </c>
      <c r="O477" s="67" t="str">
        <f aca="false">IF($E477="","","自动A")</f>
        <v/>
      </c>
      <c r="P477" s="18"/>
    </row>
    <row r="478" customFormat="false" ht="18" hidden="false" customHeight="true" outlineLevel="0" collapsed="false">
      <c r="A478" s="107" t="str">
        <f aca="false">IF($E478="","",ROW()-3)</f>
        <v/>
      </c>
      <c r="B478" s="110" t="str">
        <f aca="false">IF($E478="","",INDEX(进销存对接!$C$4:$C$305,159))</f>
        <v/>
      </c>
      <c r="C478" s="67" t="str">
        <f aca="false">IF($E478="","","记-"&amp;TEXT($B478,"YYYYMM")&amp;"-进销存")</f>
        <v/>
      </c>
      <c r="D478" s="107" t="str">
        <f aca="false">IF($E478="","",INDEX(进销存对接!$D$4:$D$305,159)&amp;" "&amp;TEXT($B478,"YYYY年M月")&amp;" 自动结转")</f>
        <v/>
      </c>
      <c r="E478" s="67" t="str">
        <f aca="false">IF(INDEX(进销存对接!$M$4:$U$305,159,1)=0,"",INDEX(进销存对接!$M$4:$U$305,159,1))</f>
        <v/>
      </c>
      <c r="F478" s="99" t="str">
        <f aca="false">IF($E478="","",IFERROR(INDEX(科目表!$A$4:$A$81,MATCH($E478,科目表!$B$4:$B$81,0)),""))</f>
        <v/>
      </c>
      <c r="G478" s="67" t="str">
        <f aca="false">IF($E478="","",IFERROR(INDEX(科目表!$E$4:$E$81,MATCH($E478,科目表!$B$4:$B$81,0)),""))</f>
        <v/>
      </c>
      <c r="H478" s="70" t="str">
        <f aca="false">IF($E478="","",N(INDEX(进销存对接!$M$4:$U$305,159,2)))</f>
        <v/>
      </c>
      <c r="I478" s="70" t="str">
        <f aca="false">IF($E478="","",N(INDEX(进销存对接!$M$4:$U$305,159,3)))</f>
        <v/>
      </c>
      <c r="J478" s="67"/>
      <c r="K478" s="67" t="str">
        <f aca="false">IF($E478="","",INDEX(进销存对接!$D$4:$D$305,159))</f>
        <v/>
      </c>
      <c r="L478" s="107"/>
      <c r="M478" s="107"/>
      <c r="N478" s="67" t="str">
        <f aca="false">IF($E478="","","系统")</f>
        <v/>
      </c>
      <c r="O478" s="67" t="str">
        <f aca="false">IF($E478="","","自动A")</f>
        <v/>
      </c>
      <c r="P478" s="18"/>
    </row>
    <row r="479" customFormat="false" ht="18" hidden="false" customHeight="true" outlineLevel="0" collapsed="false">
      <c r="A479" s="107" t="str">
        <f aca="false">IF($E479="","",ROW()-3)</f>
        <v/>
      </c>
      <c r="B479" s="110" t="str">
        <f aca="false">IF($E479="","",INDEX(进销存对接!$C$4:$C$305,159))</f>
        <v/>
      </c>
      <c r="C479" s="67" t="str">
        <f aca="false">IF($E479="","","记-"&amp;TEXT($B479,"YYYYMM")&amp;"-进销存")</f>
        <v/>
      </c>
      <c r="D479" s="107" t="str">
        <f aca="false">IF($E479="","",INDEX(进销存对接!$D$4:$D$305,159)&amp;" "&amp;TEXT($B479,"YYYY年M月")&amp;" 自动结转")</f>
        <v/>
      </c>
      <c r="E479" s="67" t="str">
        <f aca="false">IF(INDEX(进销存对接!$M$4:$U$305,159,4)=0,"",INDEX(进销存对接!$M$4:$U$305,159,4))</f>
        <v/>
      </c>
      <c r="F479" s="99" t="str">
        <f aca="false">IF($E479="","",IFERROR(INDEX(科目表!$A$4:$A$81,MATCH($E479,科目表!$B$4:$B$81,0)),""))</f>
        <v/>
      </c>
      <c r="G479" s="67" t="str">
        <f aca="false">IF($E479="","",IFERROR(INDEX(科目表!$E$4:$E$81,MATCH($E479,科目表!$B$4:$B$81,0)),""))</f>
        <v/>
      </c>
      <c r="H479" s="70" t="str">
        <f aca="false">IF($E479="","",N(INDEX(进销存对接!$M$4:$U$305,159,5)))</f>
        <v/>
      </c>
      <c r="I479" s="70" t="str">
        <f aca="false">IF($E479="","",N(INDEX(进销存对接!$M$4:$U$305,159,6)))</f>
        <v/>
      </c>
      <c r="J479" s="67"/>
      <c r="K479" s="67" t="str">
        <f aca="false">IF($E479="","",INDEX(进销存对接!$D$4:$D$305,159))</f>
        <v/>
      </c>
      <c r="L479" s="107"/>
      <c r="M479" s="107"/>
      <c r="N479" s="67" t="str">
        <f aca="false">IF($E479="","","系统")</f>
        <v/>
      </c>
      <c r="O479" s="67" t="str">
        <f aca="false">IF($E479="","","自动A")</f>
        <v/>
      </c>
      <c r="P479" s="18"/>
    </row>
    <row r="480" customFormat="false" ht="18" hidden="false" customHeight="true" outlineLevel="0" collapsed="false">
      <c r="A480" s="107" t="str">
        <f aca="false">IF($E480="","",ROW()-3)</f>
        <v/>
      </c>
      <c r="B480" s="110" t="str">
        <f aca="false">IF($E480="","",INDEX(进销存对接!$C$4:$C$305,159))</f>
        <v/>
      </c>
      <c r="C480" s="67" t="str">
        <f aca="false">IF($E480="","","记-"&amp;TEXT($B480,"YYYYMM")&amp;"-进销存")</f>
        <v/>
      </c>
      <c r="D480" s="107" t="str">
        <f aca="false">IF($E480="","",INDEX(进销存对接!$D$4:$D$305,159)&amp;" "&amp;TEXT($B480,"YYYY年M月")&amp;" 自动结转")</f>
        <v/>
      </c>
      <c r="E480" s="67" t="str">
        <f aca="false">IF(INDEX(进销存对接!$M$4:$U$305,159,7)=0,"",INDEX(进销存对接!$M$4:$U$305,159,7))</f>
        <v/>
      </c>
      <c r="F480" s="99" t="str">
        <f aca="false">IF($E480="","",IFERROR(INDEX(科目表!$A$4:$A$81,MATCH($E480,科目表!$B$4:$B$81,0)),""))</f>
        <v/>
      </c>
      <c r="G480" s="67" t="str">
        <f aca="false">IF($E480="","",IFERROR(INDEX(科目表!$E$4:$E$81,MATCH($E480,科目表!$B$4:$B$81,0)),""))</f>
        <v/>
      </c>
      <c r="H480" s="70" t="str">
        <f aca="false">IF($E480="","",N(INDEX(进销存对接!$M$4:$U$305,159,8)))</f>
        <v/>
      </c>
      <c r="I480" s="70" t="str">
        <f aca="false">IF($E480="","",N(INDEX(进销存对接!$M$4:$U$305,159,9)))</f>
        <v/>
      </c>
      <c r="J480" s="67"/>
      <c r="K480" s="67" t="str">
        <f aca="false">IF($E480="","",INDEX(进销存对接!$D$4:$D$305,159))</f>
        <v/>
      </c>
      <c r="L480" s="107"/>
      <c r="M480" s="107"/>
      <c r="N480" s="67" t="str">
        <f aca="false">IF($E480="","","系统")</f>
        <v/>
      </c>
      <c r="O480" s="67" t="str">
        <f aca="false">IF($E480="","","自动A")</f>
        <v/>
      </c>
      <c r="P480" s="18"/>
    </row>
    <row r="481" customFormat="false" ht="18" hidden="false" customHeight="true" outlineLevel="0" collapsed="false">
      <c r="A481" s="107" t="str">
        <f aca="false">IF($E481="","",ROW()-3)</f>
        <v/>
      </c>
      <c r="B481" s="110" t="str">
        <f aca="false">IF($E481="","",INDEX(进销存对接!$C$4:$C$305,160))</f>
        <v/>
      </c>
      <c r="C481" s="67" t="str">
        <f aca="false">IF($E481="","","记-"&amp;TEXT($B481,"YYYYMM")&amp;"-进销存")</f>
        <v/>
      </c>
      <c r="D481" s="107" t="str">
        <f aca="false">IF($E481="","",INDEX(进销存对接!$D$4:$D$305,160)&amp;" "&amp;TEXT($B481,"YYYY年M月")&amp;" 自动结转")</f>
        <v/>
      </c>
      <c r="E481" s="67" t="str">
        <f aca="false">IF(INDEX(进销存对接!$M$4:$U$305,160,1)=0,"",INDEX(进销存对接!$M$4:$U$305,160,1))</f>
        <v/>
      </c>
      <c r="F481" s="99" t="str">
        <f aca="false">IF($E481="","",IFERROR(INDEX(科目表!$A$4:$A$81,MATCH($E481,科目表!$B$4:$B$81,0)),""))</f>
        <v/>
      </c>
      <c r="G481" s="67" t="str">
        <f aca="false">IF($E481="","",IFERROR(INDEX(科目表!$E$4:$E$81,MATCH($E481,科目表!$B$4:$B$81,0)),""))</f>
        <v/>
      </c>
      <c r="H481" s="70" t="str">
        <f aca="false">IF($E481="","",N(INDEX(进销存对接!$M$4:$U$305,160,2)))</f>
        <v/>
      </c>
      <c r="I481" s="70" t="str">
        <f aca="false">IF($E481="","",N(INDEX(进销存对接!$M$4:$U$305,160,3)))</f>
        <v/>
      </c>
      <c r="J481" s="67"/>
      <c r="K481" s="67" t="str">
        <f aca="false">IF($E481="","",INDEX(进销存对接!$D$4:$D$305,160))</f>
        <v/>
      </c>
      <c r="L481" s="107"/>
      <c r="M481" s="107"/>
      <c r="N481" s="67" t="str">
        <f aca="false">IF($E481="","","系统")</f>
        <v/>
      </c>
      <c r="O481" s="67" t="str">
        <f aca="false">IF($E481="","","自动A")</f>
        <v/>
      </c>
      <c r="P481" s="18"/>
    </row>
    <row r="482" customFormat="false" ht="18" hidden="false" customHeight="true" outlineLevel="0" collapsed="false">
      <c r="A482" s="107" t="str">
        <f aca="false">IF($E482="","",ROW()-3)</f>
        <v/>
      </c>
      <c r="B482" s="110" t="str">
        <f aca="false">IF($E482="","",INDEX(进销存对接!$C$4:$C$305,160))</f>
        <v/>
      </c>
      <c r="C482" s="67" t="str">
        <f aca="false">IF($E482="","","记-"&amp;TEXT($B482,"YYYYMM")&amp;"-进销存")</f>
        <v/>
      </c>
      <c r="D482" s="107" t="str">
        <f aca="false">IF($E482="","",INDEX(进销存对接!$D$4:$D$305,160)&amp;" "&amp;TEXT($B482,"YYYY年M月")&amp;" 自动结转")</f>
        <v/>
      </c>
      <c r="E482" s="67" t="str">
        <f aca="false">IF(INDEX(进销存对接!$M$4:$U$305,160,4)=0,"",INDEX(进销存对接!$M$4:$U$305,160,4))</f>
        <v/>
      </c>
      <c r="F482" s="99" t="str">
        <f aca="false">IF($E482="","",IFERROR(INDEX(科目表!$A$4:$A$81,MATCH($E482,科目表!$B$4:$B$81,0)),""))</f>
        <v/>
      </c>
      <c r="G482" s="67" t="str">
        <f aca="false">IF($E482="","",IFERROR(INDEX(科目表!$E$4:$E$81,MATCH($E482,科目表!$B$4:$B$81,0)),""))</f>
        <v/>
      </c>
      <c r="H482" s="70" t="str">
        <f aca="false">IF($E482="","",N(INDEX(进销存对接!$M$4:$U$305,160,5)))</f>
        <v/>
      </c>
      <c r="I482" s="70" t="str">
        <f aca="false">IF($E482="","",N(INDEX(进销存对接!$M$4:$U$305,160,6)))</f>
        <v/>
      </c>
      <c r="J482" s="67"/>
      <c r="K482" s="67" t="str">
        <f aca="false">IF($E482="","",INDEX(进销存对接!$D$4:$D$305,160))</f>
        <v/>
      </c>
      <c r="L482" s="107"/>
      <c r="M482" s="107"/>
      <c r="N482" s="67" t="str">
        <f aca="false">IF($E482="","","系统")</f>
        <v/>
      </c>
      <c r="O482" s="67" t="str">
        <f aca="false">IF($E482="","","自动A")</f>
        <v/>
      </c>
      <c r="P482" s="18"/>
    </row>
    <row r="483" customFormat="false" ht="18" hidden="false" customHeight="true" outlineLevel="0" collapsed="false">
      <c r="A483" s="107" t="str">
        <f aca="false">IF($E483="","",ROW()-3)</f>
        <v/>
      </c>
      <c r="B483" s="110" t="str">
        <f aca="false">IF($E483="","",INDEX(进销存对接!$C$4:$C$305,160))</f>
        <v/>
      </c>
      <c r="C483" s="67" t="str">
        <f aca="false">IF($E483="","","记-"&amp;TEXT($B483,"YYYYMM")&amp;"-进销存")</f>
        <v/>
      </c>
      <c r="D483" s="107" t="str">
        <f aca="false">IF($E483="","",INDEX(进销存对接!$D$4:$D$305,160)&amp;" "&amp;TEXT($B483,"YYYY年M月")&amp;" 自动结转")</f>
        <v/>
      </c>
      <c r="E483" s="67" t="str">
        <f aca="false">IF(INDEX(进销存对接!$M$4:$U$305,160,7)=0,"",INDEX(进销存对接!$M$4:$U$305,160,7))</f>
        <v/>
      </c>
      <c r="F483" s="99" t="str">
        <f aca="false">IF($E483="","",IFERROR(INDEX(科目表!$A$4:$A$81,MATCH($E483,科目表!$B$4:$B$81,0)),""))</f>
        <v/>
      </c>
      <c r="G483" s="67" t="str">
        <f aca="false">IF($E483="","",IFERROR(INDEX(科目表!$E$4:$E$81,MATCH($E483,科目表!$B$4:$B$81,0)),""))</f>
        <v/>
      </c>
      <c r="H483" s="70" t="str">
        <f aca="false">IF($E483="","",N(INDEX(进销存对接!$M$4:$U$305,160,8)))</f>
        <v/>
      </c>
      <c r="I483" s="70" t="str">
        <f aca="false">IF($E483="","",N(INDEX(进销存对接!$M$4:$U$305,160,9)))</f>
        <v/>
      </c>
      <c r="J483" s="67"/>
      <c r="K483" s="67" t="str">
        <f aca="false">IF($E483="","",INDEX(进销存对接!$D$4:$D$305,160))</f>
        <v/>
      </c>
      <c r="L483" s="107"/>
      <c r="M483" s="107"/>
      <c r="N483" s="67" t="str">
        <f aca="false">IF($E483="","","系统")</f>
        <v/>
      </c>
      <c r="O483" s="67" t="str">
        <f aca="false">IF($E483="","","自动A")</f>
        <v/>
      </c>
      <c r="P483" s="18"/>
    </row>
    <row r="484" customFormat="false" ht="18" hidden="false" customHeight="true" outlineLevel="0" collapsed="false">
      <c r="A484" s="107" t="str">
        <f aca="false">IF($E484="","",ROW()-3)</f>
        <v/>
      </c>
      <c r="B484" s="110" t="str">
        <f aca="false">IF($E484="","",INDEX(进销存对接!$C$4:$C$305,161))</f>
        <v/>
      </c>
      <c r="C484" s="67" t="str">
        <f aca="false">IF($E484="","","记-"&amp;TEXT($B484,"YYYYMM")&amp;"-进销存")</f>
        <v/>
      </c>
      <c r="D484" s="107" t="str">
        <f aca="false">IF($E484="","",INDEX(进销存对接!$D$4:$D$305,161)&amp;" "&amp;TEXT($B484,"YYYY年M月")&amp;" 自动结转")</f>
        <v/>
      </c>
      <c r="E484" s="67" t="str">
        <f aca="false">IF(INDEX(进销存对接!$M$4:$U$305,161,1)=0,"",INDEX(进销存对接!$M$4:$U$305,161,1))</f>
        <v/>
      </c>
      <c r="F484" s="99" t="str">
        <f aca="false">IF($E484="","",IFERROR(INDEX(科目表!$A$4:$A$81,MATCH($E484,科目表!$B$4:$B$81,0)),""))</f>
        <v/>
      </c>
      <c r="G484" s="67" t="str">
        <f aca="false">IF($E484="","",IFERROR(INDEX(科目表!$E$4:$E$81,MATCH($E484,科目表!$B$4:$B$81,0)),""))</f>
        <v/>
      </c>
      <c r="H484" s="70" t="str">
        <f aca="false">IF($E484="","",N(INDEX(进销存对接!$M$4:$U$305,161,2)))</f>
        <v/>
      </c>
      <c r="I484" s="70" t="str">
        <f aca="false">IF($E484="","",N(INDEX(进销存对接!$M$4:$U$305,161,3)))</f>
        <v/>
      </c>
      <c r="J484" s="67"/>
      <c r="K484" s="67" t="str">
        <f aca="false">IF($E484="","",INDEX(进销存对接!$D$4:$D$305,161))</f>
        <v/>
      </c>
      <c r="L484" s="107"/>
      <c r="M484" s="107"/>
      <c r="N484" s="67" t="str">
        <f aca="false">IF($E484="","","系统")</f>
        <v/>
      </c>
      <c r="O484" s="67" t="str">
        <f aca="false">IF($E484="","","自动A")</f>
        <v/>
      </c>
      <c r="P484" s="18"/>
    </row>
    <row r="485" customFormat="false" ht="18" hidden="false" customHeight="true" outlineLevel="0" collapsed="false">
      <c r="A485" s="107" t="str">
        <f aca="false">IF($E485="","",ROW()-3)</f>
        <v/>
      </c>
      <c r="B485" s="110" t="str">
        <f aca="false">IF($E485="","",INDEX(进销存对接!$C$4:$C$305,161))</f>
        <v/>
      </c>
      <c r="C485" s="67" t="str">
        <f aca="false">IF($E485="","","记-"&amp;TEXT($B485,"YYYYMM")&amp;"-进销存")</f>
        <v/>
      </c>
      <c r="D485" s="107" t="str">
        <f aca="false">IF($E485="","",INDEX(进销存对接!$D$4:$D$305,161)&amp;" "&amp;TEXT($B485,"YYYY年M月")&amp;" 自动结转")</f>
        <v/>
      </c>
      <c r="E485" s="67" t="str">
        <f aca="false">IF(INDEX(进销存对接!$M$4:$U$305,161,4)=0,"",INDEX(进销存对接!$M$4:$U$305,161,4))</f>
        <v/>
      </c>
      <c r="F485" s="99" t="str">
        <f aca="false">IF($E485="","",IFERROR(INDEX(科目表!$A$4:$A$81,MATCH($E485,科目表!$B$4:$B$81,0)),""))</f>
        <v/>
      </c>
      <c r="G485" s="67" t="str">
        <f aca="false">IF($E485="","",IFERROR(INDEX(科目表!$E$4:$E$81,MATCH($E485,科目表!$B$4:$B$81,0)),""))</f>
        <v/>
      </c>
      <c r="H485" s="70" t="str">
        <f aca="false">IF($E485="","",N(INDEX(进销存对接!$M$4:$U$305,161,5)))</f>
        <v/>
      </c>
      <c r="I485" s="70" t="str">
        <f aca="false">IF($E485="","",N(INDEX(进销存对接!$M$4:$U$305,161,6)))</f>
        <v/>
      </c>
      <c r="J485" s="67"/>
      <c r="K485" s="67" t="str">
        <f aca="false">IF($E485="","",INDEX(进销存对接!$D$4:$D$305,161))</f>
        <v/>
      </c>
      <c r="L485" s="107"/>
      <c r="M485" s="107"/>
      <c r="N485" s="67" t="str">
        <f aca="false">IF($E485="","","系统")</f>
        <v/>
      </c>
      <c r="O485" s="67" t="str">
        <f aca="false">IF($E485="","","自动A")</f>
        <v/>
      </c>
      <c r="P485" s="18"/>
    </row>
    <row r="486" customFormat="false" ht="18" hidden="false" customHeight="true" outlineLevel="0" collapsed="false">
      <c r="A486" s="107" t="str">
        <f aca="false">IF($E486="","",ROW()-3)</f>
        <v/>
      </c>
      <c r="B486" s="110" t="str">
        <f aca="false">IF($E486="","",INDEX(进销存对接!$C$4:$C$305,161))</f>
        <v/>
      </c>
      <c r="C486" s="67" t="str">
        <f aca="false">IF($E486="","","记-"&amp;TEXT($B486,"YYYYMM")&amp;"-进销存")</f>
        <v/>
      </c>
      <c r="D486" s="107" t="str">
        <f aca="false">IF($E486="","",INDEX(进销存对接!$D$4:$D$305,161)&amp;" "&amp;TEXT($B486,"YYYY年M月")&amp;" 自动结转")</f>
        <v/>
      </c>
      <c r="E486" s="67" t="str">
        <f aca="false">IF(INDEX(进销存对接!$M$4:$U$305,161,7)=0,"",INDEX(进销存对接!$M$4:$U$305,161,7))</f>
        <v/>
      </c>
      <c r="F486" s="99" t="str">
        <f aca="false">IF($E486="","",IFERROR(INDEX(科目表!$A$4:$A$81,MATCH($E486,科目表!$B$4:$B$81,0)),""))</f>
        <v/>
      </c>
      <c r="G486" s="67" t="str">
        <f aca="false">IF($E486="","",IFERROR(INDEX(科目表!$E$4:$E$81,MATCH($E486,科目表!$B$4:$B$81,0)),""))</f>
        <v/>
      </c>
      <c r="H486" s="70" t="str">
        <f aca="false">IF($E486="","",N(INDEX(进销存对接!$M$4:$U$305,161,8)))</f>
        <v/>
      </c>
      <c r="I486" s="70" t="str">
        <f aca="false">IF($E486="","",N(INDEX(进销存对接!$M$4:$U$305,161,9)))</f>
        <v/>
      </c>
      <c r="J486" s="67"/>
      <c r="K486" s="67" t="str">
        <f aca="false">IF($E486="","",INDEX(进销存对接!$D$4:$D$305,161))</f>
        <v/>
      </c>
      <c r="L486" s="107"/>
      <c r="M486" s="107"/>
      <c r="N486" s="67" t="str">
        <f aca="false">IF($E486="","","系统")</f>
        <v/>
      </c>
      <c r="O486" s="67" t="str">
        <f aca="false">IF($E486="","","自动A")</f>
        <v/>
      </c>
      <c r="P486" s="18"/>
    </row>
    <row r="487" customFormat="false" ht="18" hidden="false" customHeight="true" outlineLevel="0" collapsed="false">
      <c r="A487" s="107" t="str">
        <f aca="false">IF($E487="","",ROW()-3)</f>
        <v/>
      </c>
      <c r="B487" s="110" t="str">
        <f aca="false">IF($E487="","",INDEX(进销存对接!$C$4:$C$305,162))</f>
        <v/>
      </c>
      <c r="C487" s="67" t="str">
        <f aca="false">IF($E487="","","记-"&amp;TEXT($B487,"YYYYMM")&amp;"-进销存")</f>
        <v/>
      </c>
      <c r="D487" s="107" t="str">
        <f aca="false">IF($E487="","",INDEX(进销存对接!$D$4:$D$305,162)&amp;" "&amp;TEXT($B487,"YYYY年M月")&amp;" 自动结转")</f>
        <v/>
      </c>
      <c r="E487" s="67" t="str">
        <f aca="false">IF(INDEX(进销存对接!$M$4:$U$305,162,1)=0,"",INDEX(进销存对接!$M$4:$U$305,162,1))</f>
        <v/>
      </c>
      <c r="F487" s="99" t="str">
        <f aca="false">IF($E487="","",IFERROR(INDEX(科目表!$A$4:$A$81,MATCH($E487,科目表!$B$4:$B$81,0)),""))</f>
        <v/>
      </c>
      <c r="G487" s="67" t="str">
        <f aca="false">IF($E487="","",IFERROR(INDEX(科目表!$E$4:$E$81,MATCH($E487,科目表!$B$4:$B$81,0)),""))</f>
        <v/>
      </c>
      <c r="H487" s="70" t="str">
        <f aca="false">IF($E487="","",N(INDEX(进销存对接!$M$4:$U$305,162,2)))</f>
        <v/>
      </c>
      <c r="I487" s="70" t="str">
        <f aca="false">IF($E487="","",N(INDEX(进销存对接!$M$4:$U$305,162,3)))</f>
        <v/>
      </c>
      <c r="J487" s="67"/>
      <c r="K487" s="67" t="str">
        <f aca="false">IF($E487="","",INDEX(进销存对接!$D$4:$D$305,162))</f>
        <v/>
      </c>
      <c r="L487" s="107"/>
      <c r="M487" s="107"/>
      <c r="N487" s="67" t="str">
        <f aca="false">IF($E487="","","系统")</f>
        <v/>
      </c>
      <c r="O487" s="67" t="str">
        <f aca="false">IF($E487="","","自动A")</f>
        <v/>
      </c>
      <c r="P487" s="18"/>
    </row>
    <row r="488" customFormat="false" ht="18" hidden="false" customHeight="true" outlineLevel="0" collapsed="false">
      <c r="A488" s="107" t="str">
        <f aca="false">IF($E488="","",ROW()-3)</f>
        <v/>
      </c>
      <c r="B488" s="110" t="str">
        <f aca="false">IF($E488="","",INDEX(进销存对接!$C$4:$C$305,162))</f>
        <v/>
      </c>
      <c r="C488" s="67" t="str">
        <f aca="false">IF($E488="","","记-"&amp;TEXT($B488,"YYYYMM")&amp;"-进销存")</f>
        <v/>
      </c>
      <c r="D488" s="107" t="str">
        <f aca="false">IF($E488="","",INDEX(进销存对接!$D$4:$D$305,162)&amp;" "&amp;TEXT($B488,"YYYY年M月")&amp;" 自动结转")</f>
        <v/>
      </c>
      <c r="E488" s="67" t="str">
        <f aca="false">IF(INDEX(进销存对接!$M$4:$U$305,162,4)=0,"",INDEX(进销存对接!$M$4:$U$305,162,4))</f>
        <v/>
      </c>
      <c r="F488" s="99" t="str">
        <f aca="false">IF($E488="","",IFERROR(INDEX(科目表!$A$4:$A$81,MATCH($E488,科目表!$B$4:$B$81,0)),""))</f>
        <v/>
      </c>
      <c r="G488" s="67" t="str">
        <f aca="false">IF($E488="","",IFERROR(INDEX(科目表!$E$4:$E$81,MATCH($E488,科目表!$B$4:$B$81,0)),""))</f>
        <v/>
      </c>
      <c r="H488" s="70" t="str">
        <f aca="false">IF($E488="","",N(INDEX(进销存对接!$M$4:$U$305,162,5)))</f>
        <v/>
      </c>
      <c r="I488" s="70" t="str">
        <f aca="false">IF($E488="","",N(INDEX(进销存对接!$M$4:$U$305,162,6)))</f>
        <v/>
      </c>
      <c r="J488" s="67"/>
      <c r="K488" s="67" t="str">
        <f aca="false">IF($E488="","",INDEX(进销存对接!$D$4:$D$305,162))</f>
        <v/>
      </c>
      <c r="L488" s="107"/>
      <c r="M488" s="107"/>
      <c r="N488" s="67" t="str">
        <f aca="false">IF($E488="","","系统")</f>
        <v/>
      </c>
      <c r="O488" s="67" t="str">
        <f aca="false">IF($E488="","","自动A")</f>
        <v/>
      </c>
      <c r="P488" s="18"/>
    </row>
    <row r="489" customFormat="false" ht="18" hidden="false" customHeight="true" outlineLevel="0" collapsed="false">
      <c r="A489" s="107" t="str">
        <f aca="false">IF($E489="","",ROW()-3)</f>
        <v/>
      </c>
      <c r="B489" s="110" t="str">
        <f aca="false">IF($E489="","",INDEX(进销存对接!$C$4:$C$305,162))</f>
        <v/>
      </c>
      <c r="C489" s="67" t="str">
        <f aca="false">IF($E489="","","记-"&amp;TEXT($B489,"YYYYMM")&amp;"-进销存")</f>
        <v/>
      </c>
      <c r="D489" s="107" t="str">
        <f aca="false">IF($E489="","",INDEX(进销存对接!$D$4:$D$305,162)&amp;" "&amp;TEXT($B489,"YYYY年M月")&amp;" 自动结转")</f>
        <v/>
      </c>
      <c r="E489" s="67" t="str">
        <f aca="false">IF(INDEX(进销存对接!$M$4:$U$305,162,7)=0,"",INDEX(进销存对接!$M$4:$U$305,162,7))</f>
        <v/>
      </c>
      <c r="F489" s="99" t="str">
        <f aca="false">IF($E489="","",IFERROR(INDEX(科目表!$A$4:$A$81,MATCH($E489,科目表!$B$4:$B$81,0)),""))</f>
        <v/>
      </c>
      <c r="G489" s="67" t="str">
        <f aca="false">IF($E489="","",IFERROR(INDEX(科目表!$E$4:$E$81,MATCH($E489,科目表!$B$4:$B$81,0)),""))</f>
        <v/>
      </c>
      <c r="H489" s="70" t="str">
        <f aca="false">IF($E489="","",N(INDEX(进销存对接!$M$4:$U$305,162,8)))</f>
        <v/>
      </c>
      <c r="I489" s="70" t="str">
        <f aca="false">IF($E489="","",N(INDEX(进销存对接!$M$4:$U$305,162,9)))</f>
        <v/>
      </c>
      <c r="J489" s="67"/>
      <c r="K489" s="67" t="str">
        <f aca="false">IF($E489="","",INDEX(进销存对接!$D$4:$D$305,162))</f>
        <v/>
      </c>
      <c r="L489" s="107"/>
      <c r="M489" s="107"/>
      <c r="N489" s="67" t="str">
        <f aca="false">IF($E489="","","系统")</f>
        <v/>
      </c>
      <c r="O489" s="67" t="str">
        <f aca="false">IF($E489="","","自动A")</f>
        <v/>
      </c>
      <c r="P489" s="18"/>
    </row>
    <row r="490" customFormat="false" ht="18" hidden="false" customHeight="true" outlineLevel="0" collapsed="false">
      <c r="A490" s="107" t="str">
        <f aca="false">IF($E490="","",ROW()-3)</f>
        <v/>
      </c>
      <c r="B490" s="110" t="str">
        <f aca="false">IF($E490="","",INDEX(进销存对接!$C$4:$C$305,163))</f>
        <v/>
      </c>
      <c r="C490" s="67" t="str">
        <f aca="false">IF($E490="","","记-"&amp;TEXT($B490,"YYYYMM")&amp;"-进销存")</f>
        <v/>
      </c>
      <c r="D490" s="107" t="str">
        <f aca="false">IF($E490="","",INDEX(进销存对接!$D$4:$D$305,163)&amp;" "&amp;TEXT($B490,"YYYY年M月")&amp;" 自动结转")</f>
        <v/>
      </c>
      <c r="E490" s="67" t="str">
        <f aca="false">IF(INDEX(进销存对接!$M$4:$U$305,163,1)=0,"",INDEX(进销存对接!$M$4:$U$305,163,1))</f>
        <v/>
      </c>
      <c r="F490" s="99" t="str">
        <f aca="false">IF($E490="","",IFERROR(INDEX(科目表!$A$4:$A$81,MATCH($E490,科目表!$B$4:$B$81,0)),""))</f>
        <v/>
      </c>
      <c r="G490" s="67" t="str">
        <f aca="false">IF($E490="","",IFERROR(INDEX(科目表!$E$4:$E$81,MATCH($E490,科目表!$B$4:$B$81,0)),""))</f>
        <v/>
      </c>
      <c r="H490" s="70" t="str">
        <f aca="false">IF($E490="","",N(INDEX(进销存对接!$M$4:$U$305,163,2)))</f>
        <v/>
      </c>
      <c r="I490" s="70" t="str">
        <f aca="false">IF($E490="","",N(INDEX(进销存对接!$M$4:$U$305,163,3)))</f>
        <v/>
      </c>
      <c r="J490" s="67"/>
      <c r="K490" s="67" t="str">
        <f aca="false">IF($E490="","",INDEX(进销存对接!$D$4:$D$305,163))</f>
        <v/>
      </c>
      <c r="L490" s="107"/>
      <c r="M490" s="107"/>
      <c r="N490" s="67" t="str">
        <f aca="false">IF($E490="","","系统")</f>
        <v/>
      </c>
      <c r="O490" s="67" t="str">
        <f aca="false">IF($E490="","","自动A")</f>
        <v/>
      </c>
      <c r="P490" s="18"/>
    </row>
    <row r="491" customFormat="false" ht="18" hidden="false" customHeight="true" outlineLevel="0" collapsed="false">
      <c r="A491" s="107" t="str">
        <f aca="false">IF($E491="","",ROW()-3)</f>
        <v/>
      </c>
      <c r="B491" s="110" t="str">
        <f aca="false">IF($E491="","",INDEX(进销存对接!$C$4:$C$305,163))</f>
        <v/>
      </c>
      <c r="C491" s="67" t="str">
        <f aca="false">IF($E491="","","记-"&amp;TEXT($B491,"YYYYMM")&amp;"-进销存")</f>
        <v/>
      </c>
      <c r="D491" s="107" t="str">
        <f aca="false">IF($E491="","",INDEX(进销存对接!$D$4:$D$305,163)&amp;" "&amp;TEXT($B491,"YYYY年M月")&amp;" 自动结转")</f>
        <v/>
      </c>
      <c r="E491" s="67" t="str">
        <f aca="false">IF(INDEX(进销存对接!$M$4:$U$305,163,4)=0,"",INDEX(进销存对接!$M$4:$U$305,163,4))</f>
        <v/>
      </c>
      <c r="F491" s="99" t="str">
        <f aca="false">IF($E491="","",IFERROR(INDEX(科目表!$A$4:$A$81,MATCH($E491,科目表!$B$4:$B$81,0)),""))</f>
        <v/>
      </c>
      <c r="G491" s="67" t="str">
        <f aca="false">IF($E491="","",IFERROR(INDEX(科目表!$E$4:$E$81,MATCH($E491,科目表!$B$4:$B$81,0)),""))</f>
        <v/>
      </c>
      <c r="H491" s="70" t="str">
        <f aca="false">IF($E491="","",N(INDEX(进销存对接!$M$4:$U$305,163,5)))</f>
        <v/>
      </c>
      <c r="I491" s="70" t="str">
        <f aca="false">IF($E491="","",N(INDEX(进销存对接!$M$4:$U$305,163,6)))</f>
        <v/>
      </c>
      <c r="J491" s="67"/>
      <c r="K491" s="67" t="str">
        <f aca="false">IF($E491="","",INDEX(进销存对接!$D$4:$D$305,163))</f>
        <v/>
      </c>
      <c r="L491" s="107"/>
      <c r="M491" s="107"/>
      <c r="N491" s="67" t="str">
        <f aca="false">IF($E491="","","系统")</f>
        <v/>
      </c>
      <c r="O491" s="67" t="str">
        <f aca="false">IF($E491="","","自动A")</f>
        <v/>
      </c>
      <c r="P491" s="18"/>
    </row>
    <row r="492" customFormat="false" ht="18" hidden="false" customHeight="true" outlineLevel="0" collapsed="false">
      <c r="A492" s="107" t="str">
        <f aca="false">IF($E492="","",ROW()-3)</f>
        <v/>
      </c>
      <c r="B492" s="110" t="str">
        <f aca="false">IF($E492="","",INDEX(进销存对接!$C$4:$C$305,163))</f>
        <v/>
      </c>
      <c r="C492" s="67" t="str">
        <f aca="false">IF($E492="","","记-"&amp;TEXT($B492,"YYYYMM")&amp;"-进销存")</f>
        <v/>
      </c>
      <c r="D492" s="107" t="str">
        <f aca="false">IF($E492="","",INDEX(进销存对接!$D$4:$D$305,163)&amp;" "&amp;TEXT($B492,"YYYY年M月")&amp;" 自动结转")</f>
        <v/>
      </c>
      <c r="E492" s="67" t="str">
        <f aca="false">IF(INDEX(进销存对接!$M$4:$U$305,163,7)=0,"",INDEX(进销存对接!$M$4:$U$305,163,7))</f>
        <v/>
      </c>
      <c r="F492" s="99" t="str">
        <f aca="false">IF($E492="","",IFERROR(INDEX(科目表!$A$4:$A$81,MATCH($E492,科目表!$B$4:$B$81,0)),""))</f>
        <v/>
      </c>
      <c r="G492" s="67" t="str">
        <f aca="false">IF($E492="","",IFERROR(INDEX(科目表!$E$4:$E$81,MATCH($E492,科目表!$B$4:$B$81,0)),""))</f>
        <v/>
      </c>
      <c r="H492" s="70" t="str">
        <f aca="false">IF($E492="","",N(INDEX(进销存对接!$M$4:$U$305,163,8)))</f>
        <v/>
      </c>
      <c r="I492" s="70" t="str">
        <f aca="false">IF($E492="","",N(INDEX(进销存对接!$M$4:$U$305,163,9)))</f>
        <v/>
      </c>
      <c r="J492" s="67"/>
      <c r="K492" s="67" t="str">
        <f aca="false">IF($E492="","",INDEX(进销存对接!$D$4:$D$305,163))</f>
        <v/>
      </c>
      <c r="L492" s="107"/>
      <c r="M492" s="107"/>
      <c r="N492" s="67" t="str">
        <f aca="false">IF($E492="","","系统")</f>
        <v/>
      </c>
      <c r="O492" s="67" t="str">
        <f aca="false">IF($E492="","","自动A")</f>
        <v/>
      </c>
      <c r="P492" s="18"/>
    </row>
    <row r="493" customFormat="false" ht="18" hidden="false" customHeight="true" outlineLevel="0" collapsed="false">
      <c r="A493" s="107" t="str">
        <f aca="false">IF($E493="","",ROW()-3)</f>
        <v/>
      </c>
      <c r="B493" s="110" t="str">
        <f aca="false">IF($E493="","",INDEX(进销存对接!$C$4:$C$305,164))</f>
        <v/>
      </c>
      <c r="C493" s="67" t="str">
        <f aca="false">IF($E493="","","记-"&amp;TEXT($B493,"YYYYMM")&amp;"-进销存")</f>
        <v/>
      </c>
      <c r="D493" s="107" t="str">
        <f aca="false">IF($E493="","",INDEX(进销存对接!$D$4:$D$305,164)&amp;" "&amp;TEXT($B493,"YYYY年M月")&amp;" 自动结转")</f>
        <v/>
      </c>
      <c r="E493" s="67" t="str">
        <f aca="false">IF(INDEX(进销存对接!$M$4:$U$305,164,1)=0,"",INDEX(进销存对接!$M$4:$U$305,164,1))</f>
        <v/>
      </c>
      <c r="F493" s="99" t="str">
        <f aca="false">IF($E493="","",IFERROR(INDEX(科目表!$A$4:$A$81,MATCH($E493,科目表!$B$4:$B$81,0)),""))</f>
        <v/>
      </c>
      <c r="G493" s="67" t="str">
        <f aca="false">IF($E493="","",IFERROR(INDEX(科目表!$E$4:$E$81,MATCH($E493,科目表!$B$4:$B$81,0)),""))</f>
        <v/>
      </c>
      <c r="H493" s="70" t="str">
        <f aca="false">IF($E493="","",N(INDEX(进销存对接!$M$4:$U$305,164,2)))</f>
        <v/>
      </c>
      <c r="I493" s="70" t="str">
        <f aca="false">IF($E493="","",N(INDEX(进销存对接!$M$4:$U$305,164,3)))</f>
        <v/>
      </c>
      <c r="J493" s="67"/>
      <c r="K493" s="67" t="str">
        <f aca="false">IF($E493="","",INDEX(进销存对接!$D$4:$D$305,164))</f>
        <v/>
      </c>
      <c r="L493" s="107"/>
      <c r="M493" s="107"/>
      <c r="N493" s="67" t="str">
        <f aca="false">IF($E493="","","系统")</f>
        <v/>
      </c>
      <c r="O493" s="67" t="str">
        <f aca="false">IF($E493="","","自动A")</f>
        <v/>
      </c>
      <c r="P493" s="18"/>
    </row>
    <row r="494" customFormat="false" ht="18" hidden="false" customHeight="true" outlineLevel="0" collapsed="false">
      <c r="A494" s="107" t="str">
        <f aca="false">IF($E494="","",ROW()-3)</f>
        <v/>
      </c>
      <c r="B494" s="110" t="str">
        <f aca="false">IF($E494="","",INDEX(进销存对接!$C$4:$C$305,164))</f>
        <v/>
      </c>
      <c r="C494" s="67" t="str">
        <f aca="false">IF($E494="","","记-"&amp;TEXT($B494,"YYYYMM")&amp;"-进销存")</f>
        <v/>
      </c>
      <c r="D494" s="107" t="str">
        <f aca="false">IF($E494="","",INDEX(进销存对接!$D$4:$D$305,164)&amp;" "&amp;TEXT($B494,"YYYY年M月")&amp;" 自动结转")</f>
        <v/>
      </c>
      <c r="E494" s="67" t="str">
        <f aca="false">IF(INDEX(进销存对接!$M$4:$U$305,164,4)=0,"",INDEX(进销存对接!$M$4:$U$305,164,4))</f>
        <v/>
      </c>
      <c r="F494" s="99" t="str">
        <f aca="false">IF($E494="","",IFERROR(INDEX(科目表!$A$4:$A$81,MATCH($E494,科目表!$B$4:$B$81,0)),""))</f>
        <v/>
      </c>
      <c r="G494" s="67" t="str">
        <f aca="false">IF($E494="","",IFERROR(INDEX(科目表!$E$4:$E$81,MATCH($E494,科目表!$B$4:$B$81,0)),""))</f>
        <v/>
      </c>
      <c r="H494" s="70" t="str">
        <f aca="false">IF($E494="","",N(INDEX(进销存对接!$M$4:$U$305,164,5)))</f>
        <v/>
      </c>
      <c r="I494" s="70" t="str">
        <f aca="false">IF($E494="","",N(INDEX(进销存对接!$M$4:$U$305,164,6)))</f>
        <v/>
      </c>
      <c r="J494" s="67"/>
      <c r="K494" s="67" t="str">
        <f aca="false">IF($E494="","",INDEX(进销存对接!$D$4:$D$305,164))</f>
        <v/>
      </c>
      <c r="L494" s="107"/>
      <c r="M494" s="107"/>
      <c r="N494" s="67" t="str">
        <f aca="false">IF($E494="","","系统")</f>
        <v/>
      </c>
      <c r="O494" s="67" t="str">
        <f aca="false">IF($E494="","","自动A")</f>
        <v/>
      </c>
      <c r="P494" s="18"/>
    </row>
    <row r="495" customFormat="false" ht="18" hidden="false" customHeight="true" outlineLevel="0" collapsed="false">
      <c r="A495" s="107" t="str">
        <f aca="false">IF($E495="","",ROW()-3)</f>
        <v/>
      </c>
      <c r="B495" s="110" t="str">
        <f aca="false">IF($E495="","",INDEX(进销存对接!$C$4:$C$305,164))</f>
        <v/>
      </c>
      <c r="C495" s="67" t="str">
        <f aca="false">IF($E495="","","记-"&amp;TEXT($B495,"YYYYMM")&amp;"-进销存")</f>
        <v/>
      </c>
      <c r="D495" s="107" t="str">
        <f aca="false">IF($E495="","",INDEX(进销存对接!$D$4:$D$305,164)&amp;" "&amp;TEXT($B495,"YYYY年M月")&amp;" 自动结转")</f>
        <v/>
      </c>
      <c r="E495" s="67" t="str">
        <f aca="false">IF(INDEX(进销存对接!$M$4:$U$305,164,7)=0,"",INDEX(进销存对接!$M$4:$U$305,164,7))</f>
        <v/>
      </c>
      <c r="F495" s="99" t="str">
        <f aca="false">IF($E495="","",IFERROR(INDEX(科目表!$A$4:$A$81,MATCH($E495,科目表!$B$4:$B$81,0)),""))</f>
        <v/>
      </c>
      <c r="G495" s="67" t="str">
        <f aca="false">IF($E495="","",IFERROR(INDEX(科目表!$E$4:$E$81,MATCH($E495,科目表!$B$4:$B$81,0)),""))</f>
        <v/>
      </c>
      <c r="H495" s="70" t="str">
        <f aca="false">IF($E495="","",N(INDEX(进销存对接!$M$4:$U$305,164,8)))</f>
        <v/>
      </c>
      <c r="I495" s="70" t="str">
        <f aca="false">IF($E495="","",N(INDEX(进销存对接!$M$4:$U$305,164,9)))</f>
        <v/>
      </c>
      <c r="J495" s="67"/>
      <c r="K495" s="67" t="str">
        <f aca="false">IF($E495="","",INDEX(进销存对接!$D$4:$D$305,164))</f>
        <v/>
      </c>
      <c r="L495" s="107"/>
      <c r="M495" s="107"/>
      <c r="N495" s="67" t="str">
        <f aca="false">IF($E495="","","系统")</f>
        <v/>
      </c>
      <c r="O495" s="67" t="str">
        <f aca="false">IF($E495="","","自动A")</f>
        <v/>
      </c>
      <c r="P495" s="18"/>
    </row>
    <row r="496" customFormat="false" ht="18" hidden="false" customHeight="true" outlineLevel="0" collapsed="false">
      <c r="A496" s="107" t="str">
        <f aca="false">IF($E496="","",ROW()-3)</f>
        <v/>
      </c>
      <c r="B496" s="110" t="str">
        <f aca="false">IF($E496="","",INDEX(进销存对接!$C$4:$C$305,165))</f>
        <v/>
      </c>
      <c r="C496" s="67" t="str">
        <f aca="false">IF($E496="","","记-"&amp;TEXT($B496,"YYYYMM")&amp;"-进销存")</f>
        <v/>
      </c>
      <c r="D496" s="107" t="str">
        <f aca="false">IF($E496="","",INDEX(进销存对接!$D$4:$D$305,165)&amp;" "&amp;TEXT($B496,"YYYY年M月")&amp;" 自动结转")</f>
        <v/>
      </c>
      <c r="E496" s="67" t="str">
        <f aca="false">IF(INDEX(进销存对接!$M$4:$U$305,165,1)=0,"",INDEX(进销存对接!$M$4:$U$305,165,1))</f>
        <v/>
      </c>
      <c r="F496" s="99" t="str">
        <f aca="false">IF($E496="","",IFERROR(INDEX(科目表!$A$4:$A$81,MATCH($E496,科目表!$B$4:$B$81,0)),""))</f>
        <v/>
      </c>
      <c r="G496" s="67" t="str">
        <f aca="false">IF($E496="","",IFERROR(INDEX(科目表!$E$4:$E$81,MATCH($E496,科目表!$B$4:$B$81,0)),""))</f>
        <v/>
      </c>
      <c r="H496" s="70" t="str">
        <f aca="false">IF($E496="","",N(INDEX(进销存对接!$M$4:$U$305,165,2)))</f>
        <v/>
      </c>
      <c r="I496" s="70" t="str">
        <f aca="false">IF($E496="","",N(INDEX(进销存对接!$M$4:$U$305,165,3)))</f>
        <v/>
      </c>
      <c r="J496" s="67"/>
      <c r="K496" s="67" t="str">
        <f aca="false">IF($E496="","",INDEX(进销存对接!$D$4:$D$305,165))</f>
        <v/>
      </c>
      <c r="L496" s="107"/>
      <c r="M496" s="107"/>
      <c r="N496" s="67" t="str">
        <f aca="false">IF($E496="","","系统")</f>
        <v/>
      </c>
      <c r="O496" s="67" t="str">
        <f aca="false">IF($E496="","","自动A")</f>
        <v/>
      </c>
      <c r="P496" s="18"/>
    </row>
    <row r="497" customFormat="false" ht="18" hidden="false" customHeight="true" outlineLevel="0" collapsed="false">
      <c r="A497" s="107" t="str">
        <f aca="false">IF($E497="","",ROW()-3)</f>
        <v/>
      </c>
      <c r="B497" s="110" t="str">
        <f aca="false">IF($E497="","",INDEX(进销存对接!$C$4:$C$305,165))</f>
        <v/>
      </c>
      <c r="C497" s="67" t="str">
        <f aca="false">IF($E497="","","记-"&amp;TEXT($B497,"YYYYMM")&amp;"-进销存")</f>
        <v/>
      </c>
      <c r="D497" s="107" t="str">
        <f aca="false">IF($E497="","",INDEX(进销存对接!$D$4:$D$305,165)&amp;" "&amp;TEXT($B497,"YYYY年M月")&amp;" 自动结转")</f>
        <v/>
      </c>
      <c r="E497" s="67" t="str">
        <f aca="false">IF(INDEX(进销存对接!$M$4:$U$305,165,4)=0,"",INDEX(进销存对接!$M$4:$U$305,165,4))</f>
        <v/>
      </c>
      <c r="F497" s="99" t="str">
        <f aca="false">IF($E497="","",IFERROR(INDEX(科目表!$A$4:$A$81,MATCH($E497,科目表!$B$4:$B$81,0)),""))</f>
        <v/>
      </c>
      <c r="G497" s="67" t="str">
        <f aca="false">IF($E497="","",IFERROR(INDEX(科目表!$E$4:$E$81,MATCH($E497,科目表!$B$4:$B$81,0)),""))</f>
        <v/>
      </c>
      <c r="H497" s="70" t="str">
        <f aca="false">IF($E497="","",N(INDEX(进销存对接!$M$4:$U$305,165,5)))</f>
        <v/>
      </c>
      <c r="I497" s="70" t="str">
        <f aca="false">IF($E497="","",N(INDEX(进销存对接!$M$4:$U$305,165,6)))</f>
        <v/>
      </c>
      <c r="J497" s="67"/>
      <c r="K497" s="67" t="str">
        <f aca="false">IF($E497="","",INDEX(进销存对接!$D$4:$D$305,165))</f>
        <v/>
      </c>
      <c r="L497" s="107"/>
      <c r="M497" s="107"/>
      <c r="N497" s="67" t="str">
        <f aca="false">IF($E497="","","系统")</f>
        <v/>
      </c>
      <c r="O497" s="67" t="str">
        <f aca="false">IF($E497="","","自动A")</f>
        <v/>
      </c>
      <c r="P497" s="18"/>
    </row>
    <row r="498" customFormat="false" ht="18" hidden="false" customHeight="true" outlineLevel="0" collapsed="false">
      <c r="A498" s="107" t="str">
        <f aca="false">IF($E498="","",ROW()-3)</f>
        <v/>
      </c>
      <c r="B498" s="110" t="str">
        <f aca="false">IF($E498="","",INDEX(进销存对接!$C$4:$C$305,165))</f>
        <v/>
      </c>
      <c r="C498" s="67" t="str">
        <f aca="false">IF($E498="","","记-"&amp;TEXT($B498,"YYYYMM")&amp;"-进销存")</f>
        <v/>
      </c>
      <c r="D498" s="107" t="str">
        <f aca="false">IF($E498="","",INDEX(进销存对接!$D$4:$D$305,165)&amp;" "&amp;TEXT($B498,"YYYY年M月")&amp;" 自动结转")</f>
        <v/>
      </c>
      <c r="E498" s="67" t="str">
        <f aca="false">IF(INDEX(进销存对接!$M$4:$U$305,165,7)=0,"",INDEX(进销存对接!$M$4:$U$305,165,7))</f>
        <v/>
      </c>
      <c r="F498" s="99" t="str">
        <f aca="false">IF($E498="","",IFERROR(INDEX(科目表!$A$4:$A$81,MATCH($E498,科目表!$B$4:$B$81,0)),""))</f>
        <v/>
      </c>
      <c r="G498" s="67" t="str">
        <f aca="false">IF($E498="","",IFERROR(INDEX(科目表!$E$4:$E$81,MATCH($E498,科目表!$B$4:$B$81,0)),""))</f>
        <v/>
      </c>
      <c r="H498" s="70" t="str">
        <f aca="false">IF($E498="","",N(INDEX(进销存对接!$M$4:$U$305,165,8)))</f>
        <v/>
      </c>
      <c r="I498" s="70" t="str">
        <f aca="false">IF($E498="","",N(INDEX(进销存对接!$M$4:$U$305,165,9)))</f>
        <v/>
      </c>
      <c r="J498" s="67"/>
      <c r="K498" s="67" t="str">
        <f aca="false">IF($E498="","",INDEX(进销存对接!$D$4:$D$305,165))</f>
        <v/>
      </c>
      <c r="L498" s="107"/>
      <c r="M498" s="107"/>
      <c r="N498" s="67" t="str">
        <f aca="false">IF($E498="","","系统")</f>
        <v/>
      </c>
      <c r="O498" s="67" t="str">
        <f aca="false">IF($E498="","","自动A")</f>
        <v/>
      </c>
      <c r="P498" s="18"/>
    </row>
    <row r="499" customFormat="false" ht="18" hidden="false" customHeight="true" outlineLevel="0" collapsed="false">
      <c r="A499" s="107" t="str">
        <f aca="false">IF($E499="","",ROW()-3)</f>
        <v/>
      </c>
      <c r="B499" s="110" t="str">
        <f aca="false">IF($E499="","",INDEX(进销存对接!$C$4:$C$305,166))</f>
        <v/>
      </c>
      <c r="C499" s="67" t="str">
        <f aca="false">IF($E499="","","记-"&amp;TEXT($B499,"YYYYMM")&amp;"-进销存")</f>
        <v/>
      </c>
      <c r="D499" s="107" t="str">
        <f aca="false">IF($E499="","",INDEX(进销存对接!$D$4:$D$305,166)&amp;" "&amp;TEXT($B499,"YYYY年M月")&amp;" 自动结转")</f>
        <v/>
      </c>
      <c r="E499" s="67" t="str">
        <f aca="false">IF(INDEX(进销存对接!$M$4:$U$305,166,1)=0,"",INDEX(进销存对接!$M$4:$U$305,166,1))</f>
        <v/>
      </c>
      <c r="F499" s="99" t="str">
        <f aca="false">IF($E499="","",IFERROR(INDEX(科目表!$A$4:$A$81,MATCH($E499,科目表!$B$4:$B$81,0)),""))</f>
        <v/>
      </c>
      <c r="G499" s="67" t="str">
        <f aca="false">IF($E499="","",IFERROR(INDEX(科目表!$E$4:$E$81,MATCH($E499,科目表!$B$4:$B$81,0)),""))</f>
        <v/>
      </c>
      <c r="H499" s="70" t="str">
        <f aca="false">IF($E499="","",N(INDEX(进销存对接!$M$4:$U$305,166,2)))</f>
        <v/>
      </c>
      <c r="I499" s="70" t="str">
        <f aca="false">IF($E499="","",N(INDEX(进销存对接!$M$4:$U$305,166,3)))</f>
        <v/>
      </c>
      <c r="J499" s="67"/>
      <c r="K499" s="67" t="str">
        <f aca="false">IF($E499="","",INDEX(进销存对接!$D$4:$D$305,166))</f>
        <v/>
      </c>
      <c r="L499" s="107"/>
      <c r="M499" s="107"/>
      <c r="N499" s="67" t="str">
        <f aca="false">IF($E499="","","系统")</f>
        <v/>
      </c>
      <c r="O499" s="67" t="str">
        <f aca="false">IF($E499="","","自动A")</f>
        <v/>
      </c>
      <c r="P499" s="18"/>
    </row>
    <row r="500" customFormat="false" ht="18" hidden="false" customHeight="true" outlineLevel="0" collapsed="false">
      <c r="A500" s="107" t="str">
        <f aca="false">IF($E500="","",ROW()-3)</f>
        <v/>
      </c>
      <c r="B500" s="110" t="str">
        <f aca="false">IF($E500="","",INDEX(进销存对接!$C$4:$C$305,166))</f>
        <v/>
      </c>
      <c r="C500" s="67" t="str">
        <f aca="false">IF($E500="","","记-"&amp;TEXT($B500,"YYYYMM")&amp;"-进销存")</f>
        <v/>
      </c>
      <c r="D500" s="107" t="str">
        <f aca="false">IF($E500="","",INDEX(进销存对接!$D$4:$D$305,166)&amp;" "&amp;TEXT($B500,"YYYY年M月")&amp;" 自动结转")</f>
        <v/>
      </c>
      <c r="E500" s="67" t="str">
        <f aca="false">IF(INDEX(进销存对接!$M$4:$U$305,166,4)=0,"",INDEX(进销存对接!$M$4:$U$305,166,4))</f>
        <v/>
      </c>
      <c r="F500" s="99" t="str">
        <f aca="false">IF($E500="","",IFERROR(INDEX(科目表!$A$4:$A$81,MATCH($E500,科目表!$B$4:$B$81,0)),""))</f>
        <v/>
      </c>
      <c r="G500" s="67" t="str">
        <f aca="false">IF($E500="","",IFERROR(INDEX(科目表!$E$4:$E$81,MATCH($E500,科目表!$B$4:$B$81,0)),""))</f>
        <v/>
      </c>
      <c r="H500" s="70" t="str">
        <f aca="false">IF($E500="","",N(INDEX(进销存对接!$M$4:$U$305,166,5)))</f>
        <v/>
      </c>
      <c r="I500" s="70" t="str">
        <f aca="false">IF($E500="","",N(INDEX(进销存对接!$M$4:$U$305,166,6)))</f>
        <v/>
      </c>
      <c r="J500" s="67"/>
      <c r="K500" s="67" t="str">
        <f aca="false">IF($E500="","",INDEX(进销存对接!$D$4:$D$305,166))</f>
        <v/>
      </c>
      <c r="L500" s="107"/>
      <c r="M500" s="107"/>
      <c r="N500" s="67" t="str">
        <f aca="false">IF($E500="","","系统")</f>
        <v/>
      </c>
      <c r="O500" s="67" t="str">
        <f aca="false">IF($E500="","","自动A")</f>
        <v/>
      </c>
      <c r="P500" s="18"/>
    </row>
    <row r="501" customFormat="false" ht="18" hidden="false" customHeight="true" outlineLevel="0" collapsed="false">
      <c r="A501" s="107" t="str">
        <f aca="false">IF($E501="","",ROW()-3)</f>
        <v/>
      </c>
      <c r="B501" s="110" t="str">
        <f aca="false">IF($E501="","",INDEX(进销存对接!$C$4:$C$305,166))</f>
        <v/>
      </c>
      <c r="C501" s="67" t="str">
        <f aca="false">IF($E501="","","记-"&amp;TEXT($B501,"YYYYMM")&amp;"-进销存")</f>
        <v/>
      </c>
      <c r="D501" s="107" t="str">
        <f aca="false">IF($E501="","",INDEX(进销存对接!$D$4:$D$305,166)&amp;" "&amp;TEXT($B501,"YYYY年M月")&amp;" 自动结转")</f>
        <v/>
      </c>
      <c r="E501" s="67" t="str">
        <f aca="false">IF(INDEX(进销存对接!$M$4:$U$305,166,7)=0,"",INDEX(进销存对接!$M$4:$U$305,166,7))</f>
        <v/>
      </c>
      <c r="F501" s="99" t="str">
        <f aca="false">IF($E501="","",IFERROR(INDEX(科目表!$A$4:$A$81,MATCH($E501,科目表!$B$4:$B$81,0)),""))</f>
        <v/>
      </c>
      <c r="G501" s="67" t="str">
        <f aca="false">IF($E501="","",IFERROR(INDEX(科目表!$E$4:$E$81,MATCH($E501,科目表!$B$4:$B$81,0)),""))</f>
        <v/>
      </c>
      <c r="H501" s="70" t="str">
        <f aca="false">IF($E501="","",N(INDEX(进销存对接!$M$4:$U$305,166,8)))</f>
        <v/>
      </c>
      <c r="I501" s="70" t="str">
        <f aca="false">IF($E501="","",N(INDEX(进销存对接!$M$4:$U$305,166,9)))</f>
        <v/>
      </c>
      <c r="J501" s="67"/>
      <c r="K501" s="67" t="str">
        <f aca="false">IF($E501="","",INDEX(进销存对接!$D$4:$D$305,166))</f>
        <v/>
      </c>
      <c r="L501" s="107"/>
      <c r="M501" s="107"/>
      <c r="N501" s="67" t="str">
        <f aca="false">IF($E501="","","系统")</f>
        <v/>
      </c>
      <c r="O501" s="67" t="str">
        <f aca="false">IF($E501="","","自动A")</f>
        <v/>
      </c>
      <c r="P501" s="18"/>
    </row>
    <row r="502" customFormat="false" ht="18" hidden="false" customHeight="true" outlineLevel="0" collapsed="false">
      <c r="A502" s="107" t="str">
        <f aca="false">IF($E502="","",ROW()-3)</f>
        <v/>
      </c>
      <c r="B502" s="110" t="str">
        <f aca="false">IF($E502="","",INDEX(进销存对接!$C$4:$C$305,167))</f>
        <v/>
      </c>
      <c r="C502" s="67" t="str">
        <f aca="false">IF($E502="","","记-"&amp;TEXT($B502,"YYYYMM")&amp;"-进销存")</f>
        <v/>
      </c>
      <c r="D502" s="107" t="str">
        <f aca="false">IF($E502="","",INDEX(进销存对接!$D$4:$D$305,167)&amp;" "&amp;TEXT($B502,"YYYY年M月")&amp;" 自动结转")</f>
        <v/>
      </c>
      <c r="E502" s="67" t="str">
        <f aca="false">IF(INDEX(进销存对接!$M$4:$U$305,167,1)=0,"",INDEX(进销存对接!$M$4:$U$305,167,1))</f>
        <v/>
      </c>
      <c r="F502" s="99" t="str">
        <f aca="false">IF($E502="","",IFERROR(INDEX(科目表!$A$4:$A$81,MATCH($E502,科目表!$B$4:$B$81,0)),""))</f>
        <v/>
      </c>
      <c r="G502" s="67" t="str">
        <f aca="false">IF($E502="","",IFERROR(INDEX(科目表!$E$4:$E$81,MATCH($E502,科目表!$B$4:$B$81,0)),""))</f>
        <v/>
      </c>
      <c r="H502" s="70" t="str">
        <f aca="false">IF($E502="","",N(INDEX(进销存对接!$M$4:$U$305,167,2)))</f>
        <v/>
      </c>
      <c r="I502" s="70" t="str">
        <f aca="false">IF($E502="","",N(INDEX(进销存对接!$M$4:$U$305,167,3)))</f>
        <v/>
      </c>
      <c r="J502" s="67"/>
      <c r="K502" s="67" t="str">
        <f aca="false">IF($E502="","",INDEX(进销存对接!$D$4:$D$305,167))</f>
        <v/>
      </c>
      <c r="L502" s="107"/>
      <c r="M502" s="107"/>
      <c r="N502" s="67" t="str">
        <f aca="false">IF($E502="","","系统")</f>
        <v/>
      </c>
      <c r="O502" s="67" t="str">
        <f aca="false">IF($E502="","","自动A")</f>
        <v/>
      </c>
      <c r="P502" s="18"/>
    </row>
    <row r="503" customFormat="false" ht="18" hidden="false" customHeight="true" outlineLevel="0" collapsed="false">
      <c r="A503" s="107" t="str">
        <f aca="false">IF($E503="","",ROW()-3)</f>
        <v/>
      </c>
      <c r="B503" s="110" t="str">
        <f aca="false">IF($E503="","",INDEX(进销存对接!$C$4:$C$305,167))</f>
        <v/>
      </c>
      <c r="C503" s="67" t="str">
        <f aca="false">IF($E503="","","记-"&amp;TEXT($B503,"YYYYMM")&amp;"-进销存")</f>
        <v/>
      </c>
      <c r="D503" s="107" t="str">
        <f aca="false">IF($E503="","",INDEX(进销存对接!$D$4:$D$305,167)&amp;" "&amp;TEXT($B503,"YYYY年M月")&amp;" 自动结转")</f>
        <v/>
      </c>
      <c r="E503" s="67" t="str">
        <f aca="false">IF(INDEX(进销存对接!$M$4:$U$305,167,4)=0,"",INDEX(进销存对接!$M$4:$U$305,167,4))</f>
        <v/>
      </c>
      <c r="F503" s="99" t="str">
        <f aca="false">IF($E503="","",IFERROR(INDEX(科目表!$A$4:$A$81,MATCH($E503,科目表!$B$4:$B$81,0)),""))</f>
        <v/>
      </c>
      <c r="G503" s="67" t="str">
        <f aca="false">IF($E503="","",IFERROR(INDEX(科目表!$E$4:$E$81,MATCH($E503,科目表!$B$4:$B$81,0)),""))</f>
        <v/>
      </c>
      <c r="H503" s="70" t="str">
        <f aca="false">IF($E503="","",N(INDEX(进销存对接!$M$4:$U$305,167,5)))</f>
        <v/>
      </c>
      <c r="I503" s="70" t="str">
        <f aca="false">IF($E503="","",N(INDEX(进销存对接!$M$4:$U$305,167,6)))</f>
        <v/>
      </c>
      <c r="J503" s="67"/>
      <c r="K503" s="67" t="str">
        <f aca="false">IF($E503="","",INDEX(进销存对接!$D$4:$D$305,167))</f>
        <v/>
      </c>
      <c r="L503" s="107"/>
      <c r="M503" s="107"/>
      <c r="N503" s="67" t="str">
        <f aca="false">IF($E503="","","系统")</f>
        <v/>
      </c>
      <c r="O503" s="67" t="str">
        <f aca="false">IF($E503="","","自动A")</f>
        <v/>
      </c>
      <c r="P503" s="18"/>
    </row>
    <row r="504" customFormat="false" ht="18" hidden="false" customHeight="true" outlineLevel="0" collapsed="false">
      <c r="A504" s="107" t="str">
        <f aca="false">IF($E504="","",ROW()-3)</f>
        <v/>
      </c>
      <c r="B504" s="110" t="str">
        <f aca="false">IF($E504="","",INDEX(进销存对接!$C$4:$C$305,167))</f>
        <v/>
      </c>
      <c r="C504" s="67" t="str">
        <f aca="false">IF($E504="","","记-"&amp;TEXT($B504,"YYYYMM")&amp;"-进销存")</f>
        <v/>
      </c>
      <c r="D504" s="107" t="str">
        <f aca="false">IF($E504="","",INDEX(进销存对接!$D$4:$D$305,167)&amp;" "&amp;TEXT($B504,"YYYY年M月")&amp;" 自动结转")</f>
        <v/>
      </c>
      <c r="E504" s="67" t="str">
        <f aca="false">IF(INDEX(进销存对接!$M$4:$U$305,167,7)=0,"",INDEX(进销存对接!$M$4:$U$305,167,7))</f>
        <v/>
      </c>
      <c r="F504" s="99" t="str">
        <f aca="false">IF($E504="","",IFERROR(INDEX(科目表!$A$4:$A$81,MATCH($E504,科目表!$B$4:$B$81,0)),""))</f>
        <v/>
      </c>
      <c r="G504" s="67" t="str">
        <f aca="false">IF($E504="","",IFERROR(INDEX(科目表!$E$4:$E$81,MATCH($E504,科目表!$B$4:$B$81,0)),""))</f>
        <v/>
      </c>
      <c r="H504" s="70" t="str">
        <f aca="false">IF($E504="","",N(INDEX(进销存对接!$M$4:$U$305,167,8)))</f>
        <v/>
      </c>
      <c r="I504" s="70" t="str">
        <f aca="false">IF($E504="","",N(INDEX(进销存对接!$M$4:$U$305,167,9)))</f>
        <v/>
      </c>
      <c r="J504" s="67"/>
      <c r="K504" s="67" t="str">
        <f aca="false">IF($E504="","",INDEX(进销存对接!$D$4:$D$305,167))</f>
        <v/>
      </c>
      <c r="L504" s="107"/>
      <c r="M504" s="107"/>
      <c r="N504" s="67" t="str">
        <f aca="false">IF($E504="","","系统")</f>
        <v/>
      </c>
      <c r="O504" s="67" t="str">
        <f aca="false">IF($E504="","","自动A")</f>
        <v/>
      </c>
      <c r="P504" s="18"/>
    </row>
    <row r="505" customFormat="false" ht="18" hidden="false" customHeight="true" outlineLevel="0" collapsed="false">
      <c r="A505" s="107" t="str">
        <f aca="false">IF($E505="","",ROW()-3)</f>
        <v/>
      </c>
      <c r="B505" s="110" t="str">
        <f aca="false">IF($E505="","",INDEX(进销存对接!$C$4:$C$305,168))</f>
        <v/>
      </c>
      <c r="C505" s="67" t="str">
        <f aca="false">IF($E505="","","记-"&amp;TEXT($B505,"YYYYMM")&amp;"-进销存")</f>
        <v/>
      </c>
      <c r="D505" s="107" t="str">
        <f aca="false">IF($E505="","",INDEX(进销存对接!$D$4:$D$305,168)&amp;" "&amp;TEXT($B505,"YYYY年M月")&amp;" 自动结转")</f>
        <v/>
      </c>
      <c r="E505" s="67" t="str">
        <f aca="false">IF(INDEX(进销存对接!$M$4:$U$305,168,1)=0,"",INDEX(进销存对接!$M$4:$U$305,168,1))</f>
        <v/>
      </c>
      <c r="F505" s="99" t="str">
        <f aca="false">IF($E505="","",IFERROR(INDEX(科目表!$A$4:$A$81,MATCH($E505,科目表!$B$4:$B$81,0)),""))</f>
        <v/>
      </c>
      <c r="G505" s="67" t="str">
        <f aca="false">IF($E505="","",IFERROR(INDEX(科目表!$E$4:$E$81,MATCH($E505,科目表!$B$4:$B$81,0)),""))</f>
        <v/>
      </c>
      <c r="H505" s="70" t="str">
        <f aca="false">IF($E505="","",N(INDEX(进销存对接!$M$4:$U$305,168,2)))</f>
        <v/>
      </c>
      <c r="I505" s="70" t="str">
        <f aca="false">IF($E505="","",N(INDEX(进销存对接!$M$4:$U$305,168,3)))</f>
        <v/>
      </c>
      <c r="J505" s="67"/>
      <c r="K505" s="67" t="str">
        <f aca="false">IF($E505="","",INDEX(进销存对接!$D$4:$D$305,168))</f>
        <v/>
      </c>
      <c r="L505" s="107"/>
      <c r="M505" s="107"/>
      <c r="N505" s="67" t="str">
        <f aca="false">IF($E505="","","系统")</f>
        <v/>
      </c>
      <c r="O505" s="67" t="str">
        <f aca="false">IF($E505="","","自动A")</f>
        <v/>
      </c>
      <c r="P505" s="18"/>
    </row>
    <row r="506" customFormat="false" ht="18" hidden="false" customHeight="true" outlineLevel="0" collapsed="false">
      <c r="A506" s="107" t="str">
        <f aca="false">IF($E506="","",ROW()-3)</f>
        <v/>
      </c>
      <c r="B506" s="110" t="str">
        <f aca="false">IF($E506="","",INDEX(进销存对接!$C$4:$C$305,168))</f>
        <v/>
      </c>
      <c r="C506" s="67" t="str">
        <f aca="false">IF($E506="","","记-"&amp;TEXT($B506,"YYYYMM")&amp;"-进销存")</f>
        <v/>
      </c>
      <c r="D506" s="107" t="str">
        <f aca="false">IF($E506="","",INDEX(进销存对接!$D$4:$D$305,168)&amp;" "&amp;TEXT($B506,"YYYY年M月")&amp;" 自动结转")</f>
        <v/>
      </c>
      <c r="E506" s="67" t="str">
        <f aca="false">IF(INDEX(进销存对接!$M$4:$U$305,168,4)=0,"",INDEX(进销存对接!$M$4:$U$305,168,4))</f>
        <v/>
      </c>
      <c r="F506" s="99" t="str">
        <f aca="false">IF($E506="","",IFERROR(INDEX(科目表!$A$4:$A$81,MATCH($E506,科目表!$B$4:$B$81,0)),""))</f>
        <v/>
      </c>
      <c r="G506" s="67" t="str">
        <f aca="false">IF($E506="","",IFERROR(INDEX(科目表!$E$4:$E$81,MATCH($E506,科目表!$B$4:$B$81,0)),""))</f>
        <v/>
      </c>
      <c r="H506" s="70" t="str">
        <f aca="false">IF($E506="","",N(INDEX(进销存对接!$M$4:$U$305,168,5)))</f>
        <v/>
      </c>
      <c r="I506" s="70" t="str">
        <f aca="false">IF($E506="","",N(INDEX(进销存对接!$M$4:$U$305,168,6)))</f>
        <v/>
      </c>
      <c r="J506" s="67"/>
      <c r="K506" s="67" t="str">
        <f aca="false">IF($E506="","",INDEX(进销存对接!$D$4:$D$305,168))</f>
        <v/>
      </c>
      <c r="L506" s="107"/>
      <c r="M506" s="107"/>
      <c r="N506" s="67" t="str">
        <f aca="false">IF($E506="","","系统")</f>
        <v/>
      </c>
      <c r="O506" s="67" t="str">
        <f aca="false">IF($E506="","","自动A")</f>
        <v/>
      </c>
      <c r="P506" s="18"/>
    </row>
    <row r="507" customFormat="false" ht="18" hidden="false" customHeight="true" outlineLevel="0" collapsed="false">
      <c r="A507" s="107" t="str">
        <f aca="false">IF($E507="","",ROW()-3)</f>
        <v/>
      </c>
      <c r="B507" s="110" t="str">
        <f aca="false">IF($E507="","",INDEX(进销存对接!$C$4:$C$305,168))</f>
        <v/>
      </c>
      <c r="C507" s="67" t="str">
        <f aca="false">IF($E507="","","记-"&amp;TEXT($B507,"YYYYMM")&amp;"-进销存")</f>
        <v/>
      </c>
      <c r="D507" s="107" t="str">
        <f aca="false">IF($E507="","",INDEX(进销存对接!$D$4:$D$305,168)&amp;" "&amp;TEXT($B507,"YYYY年M月")&amp;" 自动结转")</f>
        <v/>
      </c>
      <c r="E507" s="67" t="str">
        <f aca="false">IF(INDEX(进销存对接!$M$4:$U$305,168,7)=0,"",INDEX(进销存对接!$M$4:$U$305,168,7))</f>
        <v/>
      </c>
      <c r="F507" s="99" t="str">
        <f aca="false">IF($E507="","",IFERROR(INDEX(科目表!$A$4:$A$81,MATCH($E507,科目表!$B$4:$B$81,0)),""))</f>
        <v/>
      </c>
      <c r="G507" s="67" t="str">
        <f aca="false">IF($E507="","",IFERROR(INDEX(科目表!$E$4:$E$81,MATCH($E507,科目表!$B$4:$B$81,0)),""))</f>
        <v/>
      </c>
      <c r="H507" s="70" t="str">
        <f aca="false">IF($E507="","",N(INDEX(进销存对接!$M$4:$U$305,168,8)))</f>
        <v/>
      </c>
      <c r="I507" s="70" t="str">
        <f aca="false">IF($E507="","",N(INDEX(进销存对接!$M$4:$U$305,168,9)))</f>
        <v/>
      </c>
      <c r="J507" s="67"/>
      <c r="K507" s="67" t="str">
        <f aca="false">IF($E507="","",INDEX(进销存对接!$D$4:$D$305,168))</f>
        <v/>
      </c>
      <c r="L507" s="107"/>
      <c r="M507" s="107"/>
      <c r="N507" s="67" t="str">
        <f aca="false">IF($E507="","","系统")</f>
        <v/>
      </c>
      <c r="O507" s="67" t="str">
        <f aca="false">IF($E507="","","自动A")</f>
        <v/>
      </c>
      <c r="P507" s="18"/>
    </row>
    <row r="508" customFormat="false" ht="18" hidden="false" customHeight="true" outlineLevel="0" collapsed="false">
      <c r="A508" s="107" t="str">
        <f aca="false">IF($E508="","",ROW()-3)</f>
        <v/>
      </c>
      <c r="B508" s="110" t="str">
        <f aca="false">IF($E508="","",INDEX(进销存对接!$C$4:$C$305,169))</f>
        <v/>
      </c>
      <c r="C508" s="67" t="str">
        <f aca="false">IF($E508="","","记-"&amp;TEXT($B508,"YYYYMM")&amp;"-进销存")</f>
        <v/>
      </c>
      <c r="D508" s="107" t="str">
        <f aca="false">IF($E508="","",INDEX(进销存对接!$D$4:$D$305,169)&amp;" "&amp;TEXT($B508,"YYYY年M月")&amp;" 自动结转")</f>
        <v/>
      </c>
      <c r="E508" s="67" t="str">
        <f aca="false">IF(INDEX(进销存对接!$M$4:$U$305,169,1)=0,"",INDEX(进销存对接!$M$4:$U$305,169,1))</f>
        <v/>
      </c>
      <c r="F508" s="99" t="str">
        <f aca="false">IF($E508="","",IFERROR(INDEX(科目表!$A$4:$A$81,MATCH($E508,科目表!$B$4:$B$81,0)),""))</f>
        <v/>
      </c>
      <c r="G508" s="67" t="str">
        <f aca="false">IF($E508="","",IFERROR(INDEX(科目表!$E$4:$E$81,MATCH($E508,科目表!$B$4:$B$81,0)),""))</f>
        <v/>
      </c>
      <c r="H508" s="70" t="str">
        <f aca="false">IF($E508="","",N(INDEX(进销存对接!$M$4:$U$305,169,2)))</f>
        <v/>
      </c>
      <c r="I508" s="70" t="str">
        <f aca="false">IF($E508="","",N(INDEX(进销存对接!$M$4:$U$305,169,3)))</f>
        <v/>
      </c>
      <c r="J508" s="67"/>
      <c r="K508" s="67" t="str">
        <f aca="false">IF($E508="","",INDEX(进销存对接!$D$4:$D$305,169))</f>
        <v/>
      </c>
      <c r="L508" s="107"/>
      <c r="M508" s="107"/>
      <c r="N508" s="67" t="str">
        <f aca="false">IF($E508="","","系统")</f>
        <v/>
      </c>
      <c r="O508" s="67" t="str">
        <f aca="false">IF($E508="","","自动A")</f>
        <v/>
      </c>
      <c r="P508" s="18"/>
    </row>
    <row r="509" customFormat="false" ht="18" hidden="false" customHeight="true" outlineLevel="0" collapsed="false">
      <c r="A509" s="107" t="str">
        <f aca="false">IF($E509="","",ROW()-3)</f>
        <v/>
      </c>
      <c r="B509" s="110" t="str">
        <f aca="false">IF($E509="","",INDEX(进销存对接!$C$4:$C$305,169))</f>
        <v/>
      </c>
      <c r="C509" s="67" t="str">
        <f aca="false">IF($E509="","","记-"&amp;TEXT($B509,"YYYYMM")&amp;"-进销存")</f>
        <v/>
      </c>
      <c r="D509" s="107" t="str">
        <f aca="false">IF($E509="","",INDEX(进销存对接!$D$4:$D$305,169)&amp;" "&amp;TEXT($B509,"YYYY年M月")&amp;" 自动结转")</f>
        <v/>
      </c>
      <c r="E509" s="67" t="str">
        <f aca="false">IF(INDEX(进销存对接!$M$4:$U$305,169,4)=0,"",INDEX(进销存对接!$M$4:$U$305,169,4))</f>
        <v/>
      </c>
      <c r="F509" s="99" t="str">
        <f aca="false">IF($E509="","",IFERROR(INDEX(科目表!$A$4:$A$81,MATCH($E509,科目表!$B$4:$B$81,0)),""))</f>
        <v/>
      </c>
      <c r="G509" s="67" t="str">
        <f aca="false">IF($E509="","",IFERROR(INDEX(科目表!$E$4:$E$81,MATCH($E509,科目表!$B$4:$B$81,0)),""))</f>
        <v/>
      </c>
      <c r="H509" s="70" t="str">
        <f aca="false">IF($E509="","",N(INDEX(进销存对接!$M$4:$U$305,169,5)))</f>
        <v/>
      </c>
      <c r="I509" s="70" t="str">
        <f aca="false">IF($E509="","",N(INDEX(进销存对接!$M$4:$U$305,169,6)))</f>
        <v/>
      </c>
      <c r="J509" s="67"/>
      <c r="K509" s="67" t="str">
        <f aca="false">IF($E509="","",INDEX(进销存对接!$D$4:$D$305,169))</f>
        <v/>
      </c>
      <c r="L509" s="107"/>
      <c r="M509" s="107"/>
      <c r="N509" s="67" t="str">
        <f aca="false">IF($E509="","","系统")</f>
        <v/>
      </c>
      <c r="O509" s="67" t="str">
        <f aca="false">IF($E509="","","自动A")</f>
        <v/>
      </c>
      <c r="P509" s="18"/>
    </row>
    <row r="510" customFormat="false" ht="18" hidden="false" customHeight="true" outlineLevel="0" collapsed="false">
      <c r="A510" s="107" t="str">
        <f aca="false">IF($E510="","",ROW()-3)</f>
        <v/>
      </c>
      <c r="B510" s="110" t="str">
        <f aca="false">IF($E510="","",INDEX(进销存对接!$C$4:$C$305,169))</f>
        <v/>
      </c>
      <c r="C510" s="67" t="str">
        <f aca="false">IF($E510="","","记-"&amp;TEXT($B510,"YYYYMM")&amp;"-进销存")</f>
        <v/>
      </c>
      <c r="D510" s="107" t="str">
        <f aca="false">IF($E510="","",INDEX(进销存对接!$D$4:$D$305,169)&amp;" "&amp;TEXT($B510,"YYYY年M月")&amp;" 自动结转")</f>
        <v/>
      </c>
      <c r="E510" s="67" t="str">
        <f aca="false">IF(INDEX(进销存对接!$M$4:$U$305,169,7)=0,"",INDEX(进销存对接!$M$4:$U$305,169,7))</f>
        <v/>
      </c>
      <c r="F510" s="99" t="str">
        <f aca="false">IF($E510="","",IFERROR(INDEX(科目表!$A$4:$A$81,MATCH($E510,科目表!$B$4:$B$81,0)),""))</f>
        <v/>
      </c>
      <c r="G510" s="67" t="str">
        <f aca="false">IF($E510="","",IFERROR(INDEX(科目表!$E$4:$E$81,MATCH($E510,科目表!$B$4:$B$81,0)),""))</f>
        <v/>
      </c>
      <c r="H510" s="70" t="str">
        <f aca="false">IF($E510="","",N(INDEX(进销存对接!$M$4:$U$305,169,8)))</f>
        <v/>
      </c>
      <c r="I510" s="70" t="str">
        <f aca="false">IF($E510="","",N(INDEX(进销存对接!$M$4:$U$305,169,9)))</f>
        <v/>
      </c>
      <c r="J510" s="67"/>
      <c r="K510" s="67" t="str">
        <f aca="false">IF($E510="","",INDEX(进销存对接!$D$4:$D$305,169))</f>
        <v/>
      </c>
      <c r="L510" s="107"/>
      <c r="M510" s="107"/>
      <c r="N510" s="67" t="str">
        <f aca="false">IF($E510="","","系统")</f>
        <v/>
      </c>
      <c r="O510" s="67" t="str">
        <f aca="false">IF($E510="","","自动A")</f>
        <v/>
      </c>
      <c r="P510" s="18"/>
    </row>
    <row r="511" customFormat="false" ht="18" hidden="false" customHeight="true" outlineLevel="0" collapsed="false">
      <c r="A511" s="107" t="str">
        <f aca="false">IF($E511="","",ROW()-3)</f>
        <v/>
      </c>
      <c r="B511" s="110" t="str">
        <f aca="false">IF($E511="","",INDEX(进销存对接!$C$4:$C$305,170))</f>
        <v/>
      </c>
      <c r="C511" s="67" t="str">
        <f aca="false">IF($E511="","","记-"&amp;TEXT($B511,"YYYYMM")&amp;"-进销存")</f>
        <v/>
      </c>
      <c r="D511" s="107" t="str">
        <f aca="false">IF($E511="","",INDEX(进销存对接!$D$4:$D$305,170)&amp;" "&amp;TEXT($B511,"YYYY年M月")&amp;" 自动结转")</f>
        <v/>
      </c>
      <c r="E511" s="67" t="str">
        <f aca="false">IF(INDEX(进销存对接!$M$4:$U$305,170,1)=0,"",INDEX(进销存对接!$M$4:$U$305,170,1))</f>
        <v/>
      </c>
      <c r="F511" s="99" t="str">
        <f aca="false">IF($E511="","",IFERROR(INDEX(科目表!$A$4:$A$81,MATCH($E511,科目表!$B$4:$B$81,0)),""))</f>
        <v/>
      </c>
      <c r="G511" s="67" t="str">
        <f aca="false">IF($E511="","",IFERROR(INDEX(科目表!$E$4:$E$81,MATCH($E511,科目表!$B$4:$B$81,0)),""))</f>
        <v/>
      </c>
      <c r="H511" s="70" t="str">
        <f aca="false">IF($E511="","",N(INDEX(进销存对接!$M$4:$U$305,170,2)))</f>
        <v/>
      </c>
      <c r="I511" s="70" t="str">
        <f aca="false">IF($E511="","",N(INDEX(进销存对接!$M$4:$U$305,170,3)))</f>
        <v/>
      </c>
      <c r="J511" s="67"/>
      <c r="K511" s="67" t="str">
        <f aca="false">IF($E511="","",INDEX(进销存对接!$D$4:$D$305,170))</f>
        <v/>
      </c>
      <c r="L511" s="107"/>
      <c r="M511" s="107"/>
      <c r="N511" s="67" t="str">
        <f aca="false">IF($E511="","","系统")</f>
        <v/>
      </c>
      <c r="O511" s="67" t="str">
        <f aca="false">IF($E511="","","自动A")</f>
        <v/>
      </c>
      <c r="P511" s="18"/>
    </row>
    <row r="512" customFormat="false" ht="18" hidden="false" customHeight="true" outlineLevel="0" collapsed="false">
      <c r="A512" s="107" t="str">
        <f aca="false">IF($E512="","",ROW()-3)</f>
        <v/>
      </c>
      <c r="B512" s="110" t="str">
        <f aca="false">IF($E512="","",INDEX(进销存对接!$C$4:$C$305,170))</f>
        <v/>
      </c>
      <c r="C512" s="67" t="str">
        <f aca="false">IF($E512="","","记-"&amp;TEXT($B512,"YYYYMM")&amp;"-进销存")</f>
        <v/>
      </c>
      <c r="D512" s="107" t="str">
        <f aca="false">IF($E512="","",INDEX(进销存对接!$D$4:$D$305,170)&amp;" "&amp;TEXT($B512,"YYYY年M月")&amp;" 自动结转")</f>
        <v/>
      </c>
      <c r="E512" s="67" t="str">
        <f aca="false">IF(INDEX(进销存对接!$M$4:$U$305,170,4)=0,"",INDEX(进销存对接!$M$4:$U$305,170,4))</f>
        <v/>
      </c>
      <c r="F512" s="99" t="str">
        <f aca="false">IF($E512="","",IFERROR(INDEX(科目表!$A$4:$A$81,MATCH($E512,科目表!$B$4:$B$81,0)),""))</f>
        <v/>
      </c>
      <c r="G512" s="67" t="str">
        <f aca="false">IF($E512="","",IFERROR(INDEX(科目表!$E$4:$E$81,MATCH($E512,科目表!$B$4:$B$81,0)),""))</f>
        <v/>
      </c>
      <c r="H512" s="70" t="str">
        <f aca="false">IF($E512="","",N(INDEX(进销存对接!$M$4:$U$305,170,5)))</f>
        <v/>
      </c>
      <c r="I512" s="70" t="str">
        <f aca="false">IF($E512="","",N(INDEX(进销存对接!$M$4:$U$305,170,6)))</f>
        <v/>
      </c>
      <c r="J512" s="67"/>
      <c r="K512" s="67" t="str">
        <f aca="false">IF($E512="","",INDEX(进销存对接!$D$4:$D$305,170))</f>
        <v/>
      </c>
      <c r="L512" s="107"/>
      <c r="M512" s="107"/>
      <c r="N512" s="67" t="str">
        <f aca="false">IF($E512="","","系统")</f>
        <v/>
      </c>
      <c r="O512" s="67" t="str">
        <f aca="false">IF($E512="","","自动A")</f>
        <v/>
      </c>
      <c r="P512" s="18"/>
    </row>
    <row r="513" customFormat="false" ht="18" hidden="false" customHeight="true" outlineLevel="0" collapsed="false">
      <c r="A513" s="107" t="str">
        <f aca="false">IF($E513="","",ROW()-3)</f>
        <v/>
      </c>
      <c r="B513" s="110" t="str">
        <f aca="false">IF($E513="","",INDEX(进销存对接!$C$4:$C$305,170))</f>
        <v/>
      </c>
      <c r="C513" s="67" t="str">
        <f aca="false">IF($E513="","","记-"&amp;TEXT($B513,"YYYYMM")&amp;"-进销存")</f>
        <v/>
      </c>
      <c r="D513" s="107" t="str">
        <f aca="false">IF($E513="","",INDEX(进销存对接!$D$4:$D$305,170)&amp;" "&amp;TEXT($B513,"YYYY年M月")&amp;" 自动结转")</f>
        <v/>
      </c>
      <c r="E513" s="67" t="str">
        <f aca="false">IF(INDEX(进销存对接!$M$4:$U$305,170,7)=0,"",INDEX(进销存对接!$M$4:$U$305,170,7))</f>
        <v/>
      </c>
      <c r="F513" s="99" t="str">
        <f aca="false">IF($E513="","",IFERROR(INDEX(科目表!$A$4:$A$81,MATCH($E513,科目表!$B$4:$B$81,0)),""))</f>
        <v/>
      </c>
      <c r="G513" s="67" t="str">
        <f aca="false">IF($E513="","",IFERROR(INDEX(科目表!$E$4:$E$81,MATCH($E513,科目表!$B$4:$B$81,0)),""))</f>
        <v/>
      </c>
      <c r="H513" s="70" t="str">
        <f aca="false">IF($E513="","",N(INDEX(进销存对接!$M$4:$U$305,170,8)))</f>
        <v/>
      </c>
      <c r="I513" s="70" t="str">
        <f aca="false">IF($E513="","",N(INDEX(进销存对接!$M$4:$U$305,170,9)))</f>
        <v/>
      </c>
      <c r="J513" s="67"/>
      <c r="K513" s="67" t="str">
        <f aca="false">IF($E513="","",INDEX(进销存对接!$D$4:$D$305,170))</f>
        <v/>
      </c>
      <c r="L513" s="107"/>
      <c r="M513" s="107"/>
      <c r="N513" s="67" t="str">
        <f aca="false">IF($E513="","","系统")</f>
        <v/>
      </c>
      <c r="O513" s="67" t="str">
        <f aca="false">IF($E513="","","自动A")</f>
        <v/>
      </c>
      <c r="P513" s="18"/>
    </row>
    <row r="514" customFormat="false" ht="18" hidden="false" customHeight="true" outlineLevel="0" collapsed="false">
      <c r="A514" s="107" t="str">
        <f aca="false">IF($E514="","",ROW()-3)</f>
        <v/>
      </c>
      <c r="B514" s="110" t="str">
        <f aca="false">IF($E514="","",INDEX(进销存对接!$C$4:$C$305,171))</f>
        <v/>
      </c>
      <c r="C514" s="67" t="str">
        <f aca="false">IF($E514="","","记-"&amp;TEXT($B514,"YYYYMM")&amp;"-进销存")</f>
        <v/>
      </c>
      <c r="D514" s="107" t="str">
        <f aca="false">IF($E514="","",INDEX(进销存对接!$D$4:$D$305,171)&amp;" "&amp;TEXT($B514,"YYYY年M月")&amp;" 自动结转")</f>
        <v/>
      </c>
      <c r="E514" s="67" t="str">
        <f aca="false">IF(INDEX(进销存对接!$M$4:$U$305,171,1)=0,"",INDEX(进销存对接!$M$4:$U$305,171,1))</f>
        <v/>
      </c>
      <c r="F514" s="99" t="str">
        <f aca="false">IF($E514="","",IFERROR(INDEX(科目表!$A$4:$A$81,MATCH($E514,科目表!$B$4:$B$81,0)),""))</f>
        <v/>
      </c>
      <c r="G514" s="67" t="str">
        <f aca="false">IF($E514="","",IFERROR(INDEX(科目表!$E$4:$E$81,MATCH($E514,科目表!$B$4:$B$81,0)),""))</f>
        <v/>
      </c>
      <c r="H514" s="70" t="str">
        <f aca="false">IF($E514="","",N(INDEX(进销存对接!$M$4:$U$305,171,2)))</f>
        <v/>
      </c>
      <c r="I514" s="70" t="str">
        <f aca="false">IF($E514="","",N(INDEX(进销存对接!$M$4:$U$305,171,3)))</f>
        <v/>
      </c>
      <c r="J514" s="67"/>
      <c r="K514" s="67" t="str">
        <f aca="false">IF($E514="","",INDEX(进销存对接!$D$4:$D$305,171))</f>
        <v/>
      </c>
      <c r="L514" s="107"/>
      <c r="M514" s="107"/>
      <c r="N514" s="67" t="str">
        <f aca="false">IF($E514="","","系统")</f>
        <v/>
      </c>
      <c r="O514" s="67" t="str">
        <f aca="false">IF($E514="","","自动A")</f>
        <v/>
      </c>
      <c r="P514" s="18"/>
    </row>
    <row r="515" customFormat="false" ht="18" hidden="false" customHeight="true" outlineLevel="0" collapsed="false">
      <c r="A515" s="107" t="str">
        <f aca="false">IF($E515="","",ROW()-3)</f>
        <v/>
      </c>
      <c r="B515" s="110" t="str">
        <f aca="false">IF($E515="","",INDEX(进销存对接!$C$4:$C$305,171))</f>
        <v/>
      </c>
      <c r="C515" s="67" t="str">
        <f aca="false">IF($E515="","","记-"&amp;TEXT($B515,"YYYYMM")&amp;"-进销存")</f>
        <v/>
      </c>
      <c r="D515" s="107" t="str">
        <f aca="false">IF($E515="","",INDEX(进销存对接!$D$4:$D$305,171)&amp;" "&amp;TEXT($B515,"YYYY年M月")&amp;" 自动结转")</f>
        <v/>
      </c>
      <c r="E515" s="67" t="str">
        <f aca="false">IF(INDEX(进销存对接!$M$4:$U$305,171,4)=0,"",INDEX(进销存对接!$M$4:$U$305,171,4))</f>
        <v/>
      </c>
      <c r="F515" s="99" t="str">
        <f aca="false">IF($E515="","",IFERROR(INDEX(科目表!$A$4:$A$81,MATCH($E515,科目表!$B$4:$B$81,0)),""))</f>
        <v/>
      </c>
      <c r="G515" s="67" t="str">
        <f aca="false">IF($E515="","",IFERROR(INDEX(科目表!$E$4:$E$81,MATCH($E515,科目表!$B$4:$B$81,0)),""))</f>
        <v/>
      </c>
      <c r="H515" s="70" t="str">
        <f aca="false">IF($E515="","",N(INDEX(进销存对接!$M$4:$U$305,171,5)))</f>
        <v/>
      </c>
      <c r="I515" s="70" t="str">
        <f aca="false">IF($E515="","",N(INDEX(进销存对接!$M$4:$U$305,171,6)))</f>
        <v/>
      </c>
      <c r="J515" s="67"/>
      <c r="K515" s="67" t="str">
        <f aca="false">IF($E515="","",INDEX(进销存对接!$D$4:$D$305,171))</f>
        <v/>
      </c>
      <c r="L515" s="107"/>
      <c r="M515" s="107"/>
      <c r="N515" s="67" t="str">
        <f aca="false">IF($E515="","","系统")</f>
        <v/>
      </c>
      <c r="O515" s="67" t="str">
        <f aca="false">IF($E515="","","自动A")</f>
        <v/>
      </c>
      <c r="P515" s="18"/>
    </row>
    <row r="516" customFormat="false" ht="18" hidden="false" customHeight="true" outlineLevel="0" collapsed="false">
      <c r="A516" s="107" t="str">
        <f aca="false">IF($E516="","",ROW()-3)</f>
        <v/>
      </c>
      <c r="B516" s="110" t="str">
        <f aca="false">IF($E516="","",INDEX(进销存对接!$C$4:$C$305,171))</f>
        <v/>
      </c>
      <c r="C516" s="67" t="str">
        <f aca="false">IF($E516="","","记-"&amp;TEXT($B516,"YYYYMM")&amp;"-进销存")</f>
        <v/>
      </c>
      <c r="D516" s="107" t="str">
        <f aca="false">IF($E516="","",INDEX(进销存对接!$D$4:$D$305,171)&amp;" "&amp;TEXT($B516,"YYYY年M月")&amp;" 自动结转")</f>
        <v/>
      </c>
      <c r="E516" s="67" t="str">
        <f aca="false">IF(INDEX(进销存对接!$M$4:$U$305,171,7)=0,"",INDEX(进销存对接!$M$4:$U$305,171,7))</f>
        <v/>
      </c>
      <c r="F516" s="99" t="str">
        <f aca="false">IF($E516="","",IFERROR(INDEX(科目表!$A$4:$A$81,MATCH($E516,科目表!$B$4:$B$81,0)),""))</f>
        <v/>
      </c>
      <c r="G516" s="67" t="str">
        <f aca="false">IF($E516="","",IFERROR(INDEX(科目表!$E$4:$E$81,MATCH($E516,科目表!$B$4:$B$81,0)),""))</f>
        <v/>
      </c>
      <c r="H516" s="70" t="str">
        <f aca="false">IF($E516="","",N(INDEX(进销存对接!$M$4:$U$305,171,8)))</f>
        <v/>
      </c>
      <c r="I516" s="70" t="str">
        <f aca="false">IF($E516="","",N(INDEX(进销存对接!$M$4:$U$305,171,9)))</f>
        <v/>
      </c>
      <c r="J516" s="67"/>
      <c r="K516" s="67" t="str">
        <f aca="false">IF($E516="","",INDEX(进销存对接!$D$4:$D$305,171))</f>
        <v/>
      </c>
      <c r="L516" s="107"/>
      <c r="M516" s="107"/>
      <c r="N516" s="67" t="str">
        <f aca="false">IF($E516="","","系统")</f>
        <v/>
      </c>
      <c r="O516" s="67" t="str">
        <f aca="false">IF($E516="","","自动A")</f>
        <v/>
      </c>
      <c r="P516" s="18"/>
    </row>
    <row r="517" customFormat="false" ht="18" hidden="false" customHeight="true" outlineLevel="0" collapsed="false">
      <c r="A517" s="107" t="str">
        <f aca="false">IF($E517="","",ROW()-3)</f>
        <v/>
      </c>
      <c r="B517" s="110" t="str">
        <f aca="false">IF($E517="","",INDEX(进销存对接!$C$4:$C$305,172))</f>
        <v/>
      </c>
      <c r="C517" s="67" t="str">
        <f aca="false">IF($E517="","","记-"&amp;TEXT($B517,"YYYYMM")&amp;"-进销存")</f>
        <v/>
      </c>
      <c r="D517" s="107" t="str">
        <f aca="false">IF($E517="","",INDEX(进销存对接!$D$4:$D$305,172)&amp;" "&amp;TEXT($B517,"YYYY年M月")&amp;" 自动结转")</f>
        <v/>
      </c>
      <c r="E517" s="67" t="str">
        <f aca="false">IF(INDEX(进销存对接!$M$4:$U$305,172,1)=0,"",INDEX(进销存对接!$M$4:$U$305,172,1))</f>
        <v/>
      </c>
      <c r="F517" s="99" t="str">
        <f aca="false">IF($E517="","",IFERROR(INDEX(科目表!$A$4:$A$81,MATCH($E517,科目表!$B$4:$B$81,0)),""))</f>
        <v/>
      </c>
      <c r="G517" s="67" t="str">
        <f aca="false">IF($E517="","",IFERROR(INDEX(科目表!$E$4:$E$81,MATCH($E517,科目表!$B$4:$B$81,0)),""))</f>
        <v/>
      </c>
      <c r="H517" s="70" t="str">
        <f aca="false">IF($E517="","",N(INDEX(进销存对接!$M$4:$U$305,172,2)))</f>
        <v/>
      </c>
      <c r="I517" s="70" t="str">
        <f aca="false">IF($E517="","",N(INDEX(进销存对接!$M$4:$U$305,172,3)))</f>
        <v/>
      </c>
      <c r="J517" s="67"/>
      <c r="K517" s="67" t="str">
        <f aca="false">IF($E517="","",INDEX(进销存对接!$D$4:$D$305,172))</f>
        <v/>
      </c>
      <c r="L517" s="107"/>
      <c r="M517" s="107"/>
      <c r="N517" s="67" t="str">
        <f aca="false">IF($E517="","","系统")</f>
        <v/>
      </c>
      <c r="O517" s="67" t="str">
        <f aca="false">IF($E517="","","自动A")</f>
        <v/>
      </c>
      <c r="P517" s="18"/>
    </row>
    <row r="518" customFormat="false" ht="18" hidden="false" customHeight="true" outlineLevel="0" collapsed="false">
      <c r="A518" s="107" t="str">
        <f aca="false">IF($E518="","",ROW()-3)</f>
        <v/>
      </c>
      <c r="B518" s="110" t="str">
        <f aca="false">IF($E518="","",INDEX(进销存对接!$C$4:$C$305,172))</f>
        <v/>
      </c>
      <c r="C518" s="67" t="str">
        <f aca="false">IF($E518="","","记-"&amp;TEXT($B518,"YYYYMM")&amp;"-进销存")</f>
        <v/>
      </c>
      <c r="D518" s="107" t="str">
        <f aca="false">IF($E518="","",INDEX(进销存对接!$D$4:$D$305,172)&amp;" "&amp;TEXT($B518,"YYYY年M月")&amp;" 自动结转")</f>
        <v/>
      </c>
      <c r="E518" s="67" t="str">
        <f aca="false">IF(INDEX(进销存对接!$M$4:$U$305,172,4)=0,"",INDEX(进销存对接!$M$4:$U$305,172,4))</f>
        <v/>
      </c>
      <c r="F518" s="99" t="str">
        <f aca="false">IF($E518="","",IFERROR(INDEX(科目表!$A$4:$A$81,MATCH($E518,科目表!$B$4:$B$81,0)),""))</f>
        <v/>
      </c>
      <c r="G518" s="67" t="str">
        <f aca="false">IF($E518="","",IFERROR(INDEX(科目表!$E$4:$E$81,MATCH($E518,科目表!$B$4:$B$81,0)),""))</f>
        <v/>
      </c>
      <c r="H518" s="70" t="str">
        <f aca="false">IF($E518="","",N(INDEX(进销存对接!$M$4:$U$305,172,5)))</f>
        <v/>
      </c>
      <c r="I518" s="70" t="str">
        <f aca="false">IF($E518="","",N(INDEX(进销存对接!$M$4:$U$305,172,6)))</f>
        <v/>
      </c>
      <c r="J518" s="67"/>
      <c r="K518" s="67" t="str">
        <f aca="false">IF($E518="","",INDEX(进销存对接!$D$4:$D$305,172))</f>
        <v/>
      </c>
      <c r="L518" s="107"/>
      <c r="M518" s="107"/>
      <c r="N518" s="67" t="str">
        <f aca="false">IF($E518="","","系统")</f>
        <v/>
      </c>
      <c r="O518" s="67" t="str">
        <f aca="false">IF($E518="","","自动A")</f>
        <v/>
      </c>
      <c r="P518" s="18"/>
    </row>
    <row r="519" customFormat="false" ht="18" hidden="false" customHeight="true" outlineLevel="0" collapsed="false">
      <c r="A519" s="107" t="str">
        <f aca="false">IF($E519="","",ROW()-3)</f>
        <v/>
      </c>
      <c r="B519" s="110" t="str">
        <f aca="false">IF($E519="","",INDEX(进销存对接!$C$4:$C$305,172))</f>
        <v/>
      </c>
      <c r="C519" s="67" t="str">
        <f aca="false">IF($E519="","","记-"&amp;TEXT($B519,"YYYYMM")&amp;"-进销存")</f>
        <v/>
      </c>
      <c r="D519" s="107" t="str">
        <f aca="false">IF($E519="","",INDEX(进销存对接!$D$4:$D$305,172)&amp;" "&amp;TEXT($B519,"YYYY年M月")&amp;" 自动结转")</f>
        <v/>
      </c>
      <c r="E519" s="67" t="str">
        <f aca="false">IF(INDEX(进销存对接!$M$4:$U$305,172,7)=0,"",INDEX(进销存对接!$M$4:$U$305,172,7))</f>
        <v/>
      </c>
      <c r="F519" s="99" t="str">
        <f aca="false">IF($E519="","",IFERROR(INDEX(科目表!$A$4:$A$81,MATCH($E519,科目表!$B$4:$B$81,0)),""))</f>
        <v/>
      </c>
      <c r="G519" s="67" t="str">
        <f aca="false">IF($E519="","",IFERROR(INDEX(科目表!$E$4:$E$81,MATCH($E519,科目表!$B$4:$B$81,0)),""))</f>
        <v/>
      </c>
      <c r="H519" s="70" t="str">
        <f aca="false">IF($E519="","",N(INDEX(进销存对接!$M$4:$U$305,172,8)))</f>
        <v/>
      </c>
      <c r="I519" s="70" t="str">
        <f aca="false">IF($E519="","",N(INDEX(进销存对接!$M$4:$U$305,172,9)))</f>
        <v/>
      </c>
      <c r="J519" s="67"/>
      <c r="K519" s="67" t="str">
        <f aca="false">IF($E519="","",INDEX(进销存对接!$D$4:$D$305,172))</f>
        <v/>
      </c>
      <c r="L519" s="107"/>
      <c r="M519" s="107"/>
      <c r="N519" s="67" t="str">
        <f aca="false">IF($E519="","","系统")</f>
        <v/>
      </c>
      <c r="O519" s="67" t="str">
        <f aca="false">IF($E519="","","自动A")</f>
        <v/>
      </c>
      <c r="P519" s="18"/>
    </row>
    <row r="520" customFormat="false" ht="18" hidden="false" customHeight="true" outlineLevel="0" collapsed="false">
      <c r="A520" s="107" t="str">
        <f aca="false">IF($E520="","",ROW()-3)</f>
        <v/>
      </c>
      <c r="B520" s="110" t="str">
        <f aca="false">IF($E520="","",INDEX(进销存对接!$C$4:$C$305,173))</f>
        <v/>
      </c>
      <c r="C520" s="67" t="str">
        <f aca="false">IF($E520="","","记-"&amp;TEXT($B520,"YYYYMM")&amp;"-进销存")</f>
        <v/>
      </c>
      <c r="D520" s="107" t="str">
        <f aca="false">IF($E520="","",INDEX(进销存对接!$D$4:$D$305,173)&amp;" "&amp;TEXT($B520,"YYYY年M月")&amp;" 自动结转")</f>
        <v/>
      </c>
      <c r="E520" s="67" t="str">
        <f aca="false">IF(INDEX(进销存对接!$M$4:$U$305,173,1)=0,"",INDEX(进销存对接!$M$4:$U$305,173,1))</f>
        <v/>
      </c>
      <c r="F520" s="99" t="str">
        <f aca="false">IF($E520="","",IFERROR(INDEX(科目表!$A$4:$A$81,MATCH($E520,科目表!$B$4:$B$81,0)),""))</f>
        <v/>
      </c>
      <c r="G520" s="67" t="str">
        <f aca="false">IF($E520="","",IFERROR(INDEX(科目表!$E$4:$E$81,MATCH($E520,科目表!$B$4:$B$81,0)),""))</f>
        <v/>
      </c>
      <c r="H520" s="70" t="str">
        <f aca="false">IF($E520="","",N(INDEX(进销存对接!$M$4:$U$305,173,2)))</f>
        <v/>
      </c>
      <c r="I520" s="70" t="str">
        <f aca="false">IF($E520="","",N(INDEX(进销存对接!$M$4:$U$305,173,3)))</f>
        <v/>
      </c>
      <c r="J520" s="67"/>
      <c r="K520" s="67" t="str">
        <f aca="false">IF($E520="","",INDEX(进销存对接!$D$4:$D$305,173))</f>
        <v/>
      </c>
      <c r="L520" s="107"/>
      <c r="M520" s="107"/>
      <c r="N520" s="67" t="str">
        <f aca="false">IF($E520="","","系统")</f>
        <v/>
      </c>
      <c r="O520" s="67" t="str">
        <f aca="false">IF($E520="","","自动A")</f>
        <v/>
      </c>
      <c r="P520" s="18"/>
    </row>
    <row r="521" customFormat="false" ht="18" hidden="false" customHeight="true" outlineLevel="0" collapsed="false">
      <c r="A521" s="107" t="str">
        <f aca="false">IF($E521="","",ROW()-3)</f>
        <v/>
      </c>
      <c r="B521" s="110" t="str">
        <f aca="false">IF($E521="","",INDEX(进销存对接!$C$4:$C$305,173))</f>
        <v/>
      </c>
      <c r="C521" s="67" t="str">
        <f aca="false">IF($E521="","","记-"&amp;TEXT($B521,"YYYYMM")&amp;"-进销存")</f>
        <v/>
      </c>
      <c r="D521" s="107" t="str">
        <f aca="false">IF($E521="","",INDEX(进销存对接!$D$4:$D$305,173)&amp;" "&amp;TEXT($B521,"YYYY年M月")&amp;" 自动结转")</f>
        <v/>
      </c>
      <c r="E521" s="67" t="str">
        <f aca="false">IF(INDEX(进销存对接!$M$4:$U$305,173,4)=0,"",INDEX(进销存对接!$M$4:$U$305,173,4))</f>
        <v/>
      </c>
      <c r="F521" s="99" t="str">
        <f aca="false">IF($E521="","",IFERROR(INDEX(科目表!$A$4:$A$81,MATCH($E521,科目表!$B$4:$B$81,0)),""))</f>
        <v/>
      </c>
      <c r="G521" s="67" t="str">
        <f aca="false">IF($E521="","",IFERROR(INDEX(科目表!$E$4:$E$81,MATCH($E521,科目表!$B$4:$B$81,0)),""))</f>
        <v/>
      </c>
      <c r="H521" s="70" t="str">
        <f aca="false">IF($E521="","",N(INDEX(进销存对接!$M$4:$U$305,173,5)))</f>
        <v/>
      </c>
      <c r="I521" s="70" t="str">
        <f aca="false">IF($E521="","",N(INDEX(进销存对接!$M$4:$U$305,173,6)))</f>
        <v/>
      </c>
      <c r="J521" s="67"/>
      <c r="K521" s="67" t="str">
        <f aca="false">IF($E521="","",INDEX(进销存对接!$D$4:$D$305,173))</f>
        <v/>
      </c>
      <c r="L521" s="107"/>
      <c r="M521" s="107"/>
      <c r="N521" s="67" t="str">
        <f aca="false">IF($E521="","","系统")</f>
        <v/>
      </c>
      <c r="O521" s="67" t="str">
        <f aca="false">IF($E521="","","自动A")</f>
        <v/>
      </c>
      <c r="P521" s="18"/>
    </row>
    <row r="522" customFormat="false" ht="18" hidden="false" customHeight="true" outlineLevel="0" collapsed="false">
      <c r="A522" s="107" t="str">
        <f aca="false">IF($E522="","",ROW()-3)</f>
        <v/>
      </c>
      <c r="B522" s="110" t="str">
        <f aca="false">IF($E522="","",INDEX(进销存对接!$C$4:$C$305,173))</f>
        <v/>
      </c>
      <c r="C522" s="67" t="str">
        <f aca="false">IF($E522="","","记-"&amp;TEXT($B522,"YYYYMM")&amp;"-进销存")</f>
        <v/>
      </c>
      <c r="D522" s="107" t="str">
        <f aca="false">IF($E522="","",INDEX(进销存对接!$D$4:$D$305,173)&amp;" "&amp;TEXT($B522,"YYYY年M月")&amp;" 自动结转")</f>
        <v/>
      </c>
      <c r="E522" s="67" t="str">
        <f aca="false">IF(INDEX(进销存对接!$M$4:$U$305,173,7)=0,"",INDEX(进销存对接!$M$4:$U$305,173,7))</f>
        <v/>
      </c>
      <c r="F522" s="99" t="str">
        <f aca="false">IF($E522="","",IFERROR(INDEX(科目表!$A$4:$A$81,MATCH($E522,科目表!$B$4:$B$81,0)),""))</f>
        <v/>
      </c>
      <c r="G522" s="67" t="str">
        <f aca="false">IF($E522="","",IFERROR(INDEX(科目表!$E$4:$E$81,MATCH($E522,科目表!$B$4:$B$81,0)),""))</f>
        <v/>
      </c>
      <c r="H522" s="70" t="str">
        <f aca="false">IF($E522="","",N(INDEX(进销存对接!$M$4:$U$305,173,8)))</f>
        <v/>
      </c>
      <c r="I522" s="70" t="str">
        <f aca="false">IF($E522="","",N(INDEX(进销存对接!$M$4:$U$305,173,9)))</f>
        <v/>
      </c>
      <c r="J522" s="67"/>
      <c r="K522" s="67" t="str">
        <f aca="false">IF($E522="","",INDEX(进销存对接!$D$4:$D$305,173))</f>
        <v/>
      </c>
      <c r="L522" s="107"/>
      <c r="M522" s="107"/>
      <c r="N522" s="67" t="str">
        <f aca="false">IF($E522="","","系统")</f>
        <v/>
      </c>
      <c r="O522" s="67" t="str">
        <f aca="false">IF($E522="","","自动A")</f>
        <v/>
      </c>
      <c r="P522" s="18"/>
    </row>
    <row r="523" customFormat="false" ht="18" hidden="false" customHeight="true" outlineLevel="0" collapsed="false">
      <c r="A523" s="107" t="str">
        <f aca="false">IF($E523="","",ROW()-3)</f>
        <v/>
      </c>
      <c r="B523" s="110" t="str">
        <f aca="false">IF($E523="","",INDEX(进销存对接!$C$4:$C$305,174))</f>
        <v/>
      </c>
      <c r="C523" s="67" t="str">
        <f aca="false">IF($E523="","","记-"&amp;TEXT($B523,"YYYYMM")&amp;"-进销存")</f>
        <v/>
      </c>
      <c r="D523" s="107" t="str">
        <f aca="false">IF($E523="","",INDEX(进销存对接!$D$4:$D$305,174)&amp;" "&amp;TEXT($B523,"YYYY年M月")&amp;" 自动结转")</f>
        <v/>
      </c>
      <c r="E523" s="67" t="str">
        <f aca="false">IF(INDEX(进销存对接!$M$4:$U$305,174,1)=0,"",INDEX(进销存对接!$M$4:$U$305,174,1))</f>
        <v/>
      </c>
      <c r="F523" s="99" t="str">
        <f aca="false">IF($E523="","",IFERROR(INDEX(科目表!$A$4:$A$81,MATCH($E523,科目表!$B$4:$B$81,0)),""))</f>
        <v/>
      </c>
      <c r="G523" s="67" t="str">
        <f aca="false">IF($E523="","",IFERROR(INDEX(科目表!$E$4:$E$81,MATCH($E523,科目表!$B$4:$B$81,0)),""))</f>
        <v/>
      </c>
      <c r="H523" s="70" t="str">
        <f aca="false">IF($E523="","",N(INDEX(进销存对接!$M$4:$U$305,174,2)))</f>
        <v/>
      </c>
      <c r="I523" s="70" t="str">
        <f aca="false">IF($E523="","",N(INDEX(进销存对接!$M$4:$U$305,174,3)))</f>
        <v/>
      </c>
      <c r="J523" s="67"/>
      <c r="K523" s="67" t="str">
        <f aca="false">IF($E523="","",INDEX(进销存对接!$D$4:$D$305,174))</f>
        <v/>
      </c>
      <c r="L523" s="107"/>
      <c r="M523" s="107"/>
      <c r="N523" s="67" t="str">
        <f aca="false">IF($E523="","","系统")</f>
        <v/>
      </c>
      <c r="O523" s="67" t="str">
        <f aca="false">IF($E523="","","自动A")</f>
        <v/>
      </c>
      <c r="P523" s="18"/>
    </row>
    <row r="524" customFormat="false" ht="18" hidden="false" customHeight="true" outlineLevel="0" collapsed="false">
      <c r="A524" s="107" t="str">
        <f aca="false">IF($E524="","",ROW()-3)</f>
        <v/>
      </c>
      <c r="B524" s="110" t="str">
        <f aca="false">IF($E524="","",INDEX(进销存对接!$C$4:$C$305,174))</f>
        <v/>
      </c>
      <c r="C524" s="67" t="str">
        <f aca="false">IF($E524="","","记-"&amp;TEXT($B524,"YYYYMM")&amp;"-进销存")</f>
        <v/>
      </c>
      <c r="D524" s="107" t="str">
        <f aca="false">IF($E524="","",INDEX(进销存对接!$D$4:$D$305,174)&amp;" "&amp;TEXT($B524,"YYYY年M月")&amp;" 自动结转")</f>
        <v/>
      </c>
      <c r="E524" s="67" t="str">
        <f aca="false">IF(INDEX(进销存对接!$M$4:$U$305,174,4)=0,"",INDEX(进销存对接!$M$4:$U$305,174,4))</f>
        <v/>
      </c>
      <c r="F524" s="99" t="str">
        <f aca="false">IF($E524="","",IFERROR(INDEX(科目表!$A$4:$A$81,MATCH($E524,科目表!$B$4:$B$81,0)),""))</f>
        <v/>
      </c>
      <c r="G524" s="67" t="str">
        <f aca="false">IF($E524="","",IFERROR(INDEX(科目表!$E$4:$E$81,MATCH($E524,科目表!$B$4:$B$81,0)),""))</f>
        <v/>
      </c>
      <c r="H524" s="70" t="str">
        <f aca="false">IF($E524="","",N(INDEX(进销存对接!$M$4:$U$305,174,5)))</f>
        <v/>
      </c>
      <c r="I524" s="70" t="str">
        <f aca="false">IF($E524="","",N(INDEX(进销存对接!$M$4:$U$305,174,6)))</f>
        <v/>
      </c>
      <c r="J524" s="67"/>
      <c r="K524" s="67" t="str">
        <f aca="false">IF($E524="","",INDEX(进销存对接!$D$4:$D$305,174))</f>
        <v/>
      </c>
      <c r="L524" s="107"/>
      <c r="M524" s="107"/>
      <c r="N524" s="67" t="str">
        <f aca="false">IF($E524="","","系统")</f>
        <v/>
      </c>
      <c r="O524" s="67" t="str">
        <f aca="false">IF($E524="","","自动A")</f>
        <v/>
      </c>
      <c r="P524" s="18"/>
    </row>
    <row r="525" customFormat="false" ht="18" hidden="false" customHeight="true" outlineLevel="0" collapsed="false">
      <c r="A525" s="107" t="str">
        <f aca="false">IF($E525="","",ROW()-3)</f>
        <v/>
      </c>
      <c r="B525" s="110" t="str">
        <f aca="false">IF($E525="","",INDEX(进销存对接!$C$4:$C$305,174))</f>
        <v/>
      </c>
      <c r="C525" s="67" t="str">
        <f aca="false">IF($E525="","","记-"&amp;TEXT($B525,"YYYYMM")&amp;"-进销存")</f>
        <v/>
      </c>
      <c r="D525" s="107" t="str">
        <f aca="false">IF($E525="","",INDEX(进销存对接!$D$4:$D$305,174)&amp;" "&amp;TEXT($B525,"YYYY年M月")&amp;" 自动结转")</f>
        <v/>
      </c>
      <c r="E525" s="67" t="str">
        <f aca="false">IF(INDEX(进销存对接!$M$4:$U$305,174,7)=0,"",INDEX(进销存对接!$M$4:$U$305,174,7))</f>
        <v/>
      </c>
      <c r="F525" s="99" t="str">
        <f aca="false">IF($E525="","",IFERROR(INDEX(科目表!$A$4:$A$81,MATCH($E525,科目表!$B$4:$B$81,0)),""))</f>
        <v/>
      </c>
      <c r="G525" s="67" t="str">
        <f aca="false">IF($E525="","",IFERROR(INDEX(科目表!$E$4:$E$81,MATCH($E525,科目表!$B$4:$B$81,0)),""))</f>
        <v/>
      </c>
      <c r="H525" s="70" t="str">
        <f aca="false">IF($E525="","",N(INDEX(进销存对接!$M$4:$U$305,174,8)))</f>
        <v/>
      </c>
      <c r="I525" s="70" t="str">
        <f aca="false">IF($E525="","",N(INDEX(进销存对接!$M$4:$U$305,174,9)))</f>
        <v/>
      </c>
      <c r="J525" s="67"/>
      <c r="K525" s="67" t="str">
        <f aca="false">IF($E525="","",INDEX(进销存对接!$D$4:$D$305,174))</f>
        <v/>
      </c>
      <c r="L525" s="107"/>
      <c r="M525" s="107"/>
      <c r="N525" s="67" t="str">
        <f aca="false">IF($E525="","","系统")</f>
        <v/>
      </c>
      <c r="O525" s="67" t="str">
        <f aca="false">IF($E525="","","自动A")</f>
        <v/>
      </c>
      <c r="P525" s="18"/>
    </row>
    <row r="526" customFormat="false" ht="18" hidden="false" customHeight="true" outlineLevel="0" collapsed="false">
      <c r="A526" s="107" t="str">
        <f aca="false">IF($E526="","",ROW()-3)</f>
        <v/>
      </c>
      <c r="B526" s="110" t="str">
        <f aca="false">IF($E526="","",INDEX(进销存对接!$C$4:$C$305,175))</f>
        <v/>
      </c>
      <c r="C526" s="67" t="str">
        <f aca="false">IF($E526="","","记-"&amp;TEXT($B526,"YYYYMM")&amp;"-进销存")</f>
        <v/>
      </c>
      <c r="D526" s="107" t="str">
        <f aca="false">IF($E526="","",INDEX(进销存对接!$D$4:$D$305,175)&amp;" "&amp;TEXT($B526,"YYYY年M月")&amp;" 自动结转")</f>
        <v/>
      </c>
      <c r="E526" s="67" t="str">
        <f aca="false">IF(INDEX(进销存对接!$M$4:$U$305,175,1)=0,"",INDEX(进销存对接!$M$4:$U$305,175,1))</f>
        <v/>
      </c>
      <c r="F526" s="99" t="str">
        <f aca="false">IF($E526="","",IFERROR(INDEX(科目表!$A$4:$A$81,MATCH($E526,科目表!$B$4:$B$81,0)),""))</f>
        <v/>
      </c>
      <c r="G526" s="67" t="str">
        <f aca="false">IF($E526="","",IFERROR(INDEX(科目表!$E$4:$E$81,MATCH($E526,科目表!$B$4:$B$81,0)),""))</f>
        <v/>
      </c>
      <c r="H526" s="70" t="str">
        <f aca="false">IF($E526="","",N(INDEX(进销存对接!$M$4:$U$305,175,2)))</f>
        <v/>
      </c>
      <c r="I526" s="70" t="str">
        <f aca="false">IF($E526="","",N(INDEX(进销存对接!$M$4:$U$305,175,3)))</f>
        <v/>
      </c>
      <c r="J526" s="67"/>
      <c r="K526" s="67" t="str">
        <f aca="false">IF($E526="","",INDEX(进销存对接!$D$4:$D$305,175))</f>
        <v/>
      </c>
      <c r="L526" s="107"/>
      <c r="M526" s="107"/>
      <c r="N526" s="67" t="str">
        <f aca="false">IF($E526="","","系统")</f>
        <v/>
      </c>
      <c r="O526" s="67" t="str">
        <f aca="false">IF($E526="","","自动A")</f>
        <v/>
      </c>
      <c r="P526" s="18"/>
    </row>
    <row r="527" customFormat="false" ht="18" hidden="false" customHeight="true" outlineLevel="0" collapsed="false">
      <c r="A527" s="107" t="str">
        <f aca="false">IF($E527="","",ROW()-3)</f>
        <v/>
      </c>
      <c r="B527" s="110" t="str">
        <f aca="false">IF($E527="","",INDEX(进销存对接!$C$4:$C$305,175))</f>
        <v/>
      </c>
      <c r="C527" s="67" t="str">
        <f aca="false">IF($E527="","","记-"&amp;TEXT($B527,"YYYYMM")&amp;"-进销存")</f>
        <v/>
      </c>
      <c r="D527" s="107" t="str">
        <f aca="false">IF($E527="","",INDEX(进销存对接!$D$4:$D$305,175)&amp;" "&amp;TEXT($B527,"YYYY年M月")&amp;" 自动结转")</f>
        <v/>
      </c>
      <c r="E527" s="67" t="str">
        <f aca="false">IF(INDEX(进销存对接!$M$4:$U$305,175,4)=0,"",INDEX(进销存对接!$M$4:$U$305,175,4))</f>
        <v/>
      </c>
      <c r="F527" s="99" t="str">
        <f aca="false">IF($E527="","",IFERROR(INDEX(科目表!$A$4:$A$81,MATCH($E527,科目表!$B$4:$B$81,0)),""))</f>
        <v/>
      </c>
      <c r="G527" s="67" t="str">
        <f aca="false">IF($E527="","",IFERROR(INDEX(科目表!$E$4:$E$81,MATCH($E527,科目表!$B$4:$B$81,0)),""))</f>
        <v/>
      </c>
      <c r="H527" s="70" t="str">
        <f aca="false">IF($E527="","",N(INDEX(进销存对接!$M$4:$U$305,175,5)))</f>
        <v/>
      </c>
      <c r="I527" s="70" t="str">
        <f aca="false">IF($E527="","",N(INDEX(进销存对接!$M$4:$U$305,175,6)))</f>
        <v/>
      </c>
      <c r="J527" s="67"/>
      <c r="K527" s="67" t="str">
        <f aca="false">IF($E527="","",INDEX(进销存对接!$D$4:$D$305,175))</f>
        <v/>
      </c>
      <c r="L527" s="107"/>
      <c r="M527" s="107"/>
      <c r="N527" s="67" t="str">
        <f aca="false">IF($E527="","","系统")</f>
        <v/>
      </c>
      <c r="O527" s="67" t="str">
        <f aca="false">IF($E527="","","自动A")</f>
        <v/>
      </c>
      <c r="P527" s="18"/>
    </row>
    <row r="528" customFormat="false" ht="18" hidden="false" customHeight="true" outlineLevel="0" collapsed="false">
      <c r="A528" s="107" t="str">
        <f aca="false">IF($E528="","",ROW()-3)</f>
        <v/>
      </c>
      <c r="B528" s="110" t="str">
        <f aca="false">IF($E528="","",INDEX(进销存对接!$C$4:$C$305,175))</f>
        <v/>
      </c>
      <c r="C528" s="67" t="str">
        <f aca="false">IF($E528="","","记-"&amp;TEXT($B528,"YYYYMM")&amp;"-进销存")</f>
        <v/>
      </c>
      <c r="D528" s="107" t="str">
        <f aca="false">IF($E528="","",INDEX(进销存对接!$D$4:$D$305,175)&amp;" "&amp;TEXT($B528,"YYYY年M月")&amp;" 自动结转")</f>
        <v/>
      </c>
      <c r="E528" s="67" t="str">
        <f aca="false">IF(INDEX(进销存对接!$M$4:$U$305,175,7)=0,"",INDEX(进销存对接!$M$4:$U$305,175,7))</f>
        <v/>
      </c>
      <c r="F528" s="99" t="str">
        <f aca="false">IF($E528="","",IFERROR(INDEX(科目表!$A$4:$A$81,MATCH($E528,科目表!$B$4:$B$81,0)),""))</f>
        <v/>
      </c>
      <c r="G528" s="67" t="str">
        <f aca="false">IF($E528="","",IFERROR(INDEX(科目表!$E$4:$E$81,MATCH($E528,科目表!$B$4:$B$81,0)),""))</f>
        <v/>
      </c>
      <c r="H528" s="70" t="str">
        <f aca="false">IF($E528="","",N(INDEX(进销存对接!$M$4:$U$305,175,8)))</f>
        <v/>
      </c>
      <c r="I528" s="70" t="str">
        <f aca="false">IF($E528="","",N(INDEX(进销存对接!$M$4:$U$305,175,9)))</f>
        <v/>
      </c>
      <c r="J528" s="67"/>
      <c r="K528" s="67" t="str">
        <f aca="false">IF($E528="","",INDEX(进销存对接!$D$4:$D$305,175))</f>
        <v/>
      </c>
      <c r="L528" s="107"/>
      <c r="M528" s="107"/>
      <c r="N528" s="67" t="str">
        <f aca="false">IF($E528="","","系统")</f>
        <v/>
      </c>
      <c r="O528" s="67" t="str">
        <f aca="false">IF($E528="","","自动A")</f>
        <v/>
      </c>
      <c r="P528" s="18"/>
    </row>
    <row r="529" customFormat="false" ht="18" hidden="false" customHeight="true" outlineLevel="0" collapsed="false">
      <c r="A529" s="107" t="str">
        <f aca="false">IF($E529="","",ROW()-3)</f>
        <v/>
      </c>
      <c r="B529" s="110" t="str">
        <f aca="false">IF($E529="","",INDEX(进销存对接!$C$4:$C$305,176))</f>
        <v/>
      </c>
      <c r="C529" s="67" t="str">
        <f aca="false">IF($E529="","","记-"&amp;TEXT($B529,"YYYYMM")&amp;"-进销存")</f>
        <v/>
      </c>
      <c r="D529" s="107" t="str">
        <f aca="false">IF($E529="","",INDEX(进销存对接!$D$4:$D$305,176)&amp;" "&amp;TEXT($B529,"YYYY年M月")&amp;" 自动结转")</f>
        <v/>
      </c>
      <c r="E529" s="67" t="str">
        <f aca="false">IF(INDEX(进销存对接!$M$4:$U$305,176,1)=0,"",INDEX(进销存对接!$M$4:$U$305,176,1))</f>
        <v/>
      </c>
      <c r="F529" s="99" t="str">
        <f aca="false">IF($E529="","",IFERROR(INDEX(科目表!$A$4:$A$81,MATCH($E529,科目表!$B$4:$B$81,0)),""))</f>
        <v/>
      </c>
      <c r="G529" s="67" t="str">
        <f aca="false">IF($E529="","",IFERROR(INDEX(科目表!$E$4:$E$81,MATCH($E529,科目表!$B$4:$B$81,0)),""))</f>
        <v/>
      </c>
      <c r="H529" s="70" t="str">
        <f aca="false">IF($E529="","",N(INDEX(进销存对接!$M$4:$U$305,176,2)))</f>
        <v/>
      </c>
      <c r="I529" s="70" t="str">
        <f aca="false">IF($E529="","",N(INDEX(进销存对接!$M$4:$U$305,176,3)))</f>
        <v/>
      </c>
      <c r="J529" s="67"/>
      <c r="K529" s="67" t="str">
        <f aca="false">IF($E529="","",INDEX(进销存对接!$D$4:$D$305,176))</f>
        <v/>
      </c>
      <c r="L529" s="107"/>
      <c r="M529" s="107"/>
      <c r="N529" s="67" t="str">
        <f aca="false">IF($E529="","","系统")</f>
        <v/>
      </c>
      <c r="O529" s="67" t="str">
        <f aca="false">IF($E529="","","自动A")</f>
        <v/>
      </c>
      <c r="P529" s="18"/>
    </row>
    <row r="530" customFormat="false" ht="18" hidden="false" customHeight="true" outlineLevel="0" collapsed="false">
      <c r="A530" s="107" t="str">
        <f aca="false">IF($E530="","",ROW()-3)</f>
        <v/>
      </c>
      <c r="B530" s="110" t="str">
        <f aca="false">IF($E530="","",INDEX(进销存对接!$C$4:$C$305,176))</f>
        <v/>
      </c>
      <c r="C530" s="67" t="str">
        <f aca="false">IF($E530="","","记-"&amp;TEXT($B530,"YYYYMM")&amp;"-进销存")</f>
        <v/>
      </c>
      <c r="D530" s="107" t="str">
        <f aca="false">IF($E530="","",INDEX(进销存对接!$D$4:$D$305,176)&amp;" "&amp;TEXT($B530,"YYYY年M月")&amp;" 自动结转")</f>
        <v/>
      </c>
      <c r="E530" s="67" t="str">
        <f aca="false">IF(INDEX(进销存对接!$M$4:$U$305,176,4)=0,"",INDEX(进销存对接!$M$4:$U$305,176,4))</f>
        <v/>
      </c>
      <c r="F530" s="99" t="str">
        <f aca="false">IF($E530="","",IFERROR(INDEX(科目表!$A$4:$A$81,MATCH($E530,科目表!$B$4:$B$81,0)),""))</f>
        <v/>
      </c>
      <c r="G530" s="67" t="str">
        <f aca="false">IF($E530="","",IFERROR(INDEX(科目表!$E$4:$E$81,MATCH($E530,科目表!$B$4:$B$81,0)),""))</f>
        <v/>
      </c>
      <c r="H530" s="70" t="str">
        <f aca="false">IF($E530="","",N(INDEX(进销存对接!$M$4:$U$305,176,5)))</f>
        <v/>
      </c>
      <c r="I530" s="70" t="str">
        <f aca="false">IF($E530="","",N(INDEX(进销存对接!$M$4:$U$305,176,6)))</f>
        <v/>
      </c>
      <c r="J530" s="67"/>
      <c r="K530" s="67" t="str">
        <f aca="false">IF($E530="","",INDEX(进销存对接!$D$4:$D$305,176))</f>
        <v/>
      </c>
      <c r="L530" s="107"/>
      <c r="M530" s="107"/>
      <c r="N530" s="67" t="str">
        <f aca="false">IF($E530="","","系统")</f>
        <v/>
      </c>
      <c r="O530" s="67" t="str">
        <f aca="false">IF($E530="","","自动A")</f>
        <v/>
      </c>
      <c r="P530" s="18"/>
    </row>
    <row r="531" customFormat="false" ht="18" hidden="false" customHeight="true" outlineLevel="0" collapsed="false">
      <c r="A531" s="107" t="str">
        <f aca="false">IF($E531="","",ROW()-3)</f>
        <v/>
      </c>
      <c r="B531" s="110" t="str">
        <f aca="false">IF($E531="","",INDEX(进销存对接!$C$4:$C$305,176))</f>
        <v/>
      </c>
      <c r="C531" s="67" t="str">
        <f aca="false">IF($E531="","","记-"&amp;TEXT($B531,"YYYYMM")&amp;"-进销存")</f>
        <v/>
      </c>
      <c r="D531" s="107" t="str">
        <f aca="false">IF($E531="","",INDEX(进销存对接!$D$4:$D$305,176)&amp;" "&amp;TEXT($B531,"YYYY年M月")&amp;" 自动结转")</f>
        <v/>
      </c>
      <c r="E531" s="67" t="str">
        <f aca="false">IF(INDEX(进销存对接!$M$4:$U$305,176,7)=0,"",INDEX(进销存对接!$M$4:$U$305,176,7))</f>
        <v/>
      </c>
      <c r="F531" s="99" t="str">
        <f aca="false">IF($E531="","",IFERROR(INDEX(科目表!$A$4:$A$81,MATCH($E531,科目表!$B$4:$B$81,0)),""))</f>
        <v/>
      </c>
      <c r="G531" s="67" t="str">
        <f aca="false">IF($E531="","",IFERROR(INDEX(科目表!$E$4:$E$81,MATCH($E531,科目表!$B$4:$B$81,0)),""))</f>
        <v/>
      </c>
      <c r="H531" s="70" t="str">
        <f aca="false">IF($E531="","",N(INDEX(进销存对接!$M$4:$U$305,176,8)))</f>
        <v/>
      </c>
      <c r="I531" s="70" t="str">
        <f aca="false">IF($E531="","",N(INDEX(进销存对接!$M$4:$U$305,176,9)))</f>
        <v/>
      </c>
      <c r="J531" s="67"/>
      <c r="K531" s="67" t="str">
        <f aca="false">IF($E531="","",INDEX(进销存对接!$D$4:$D$305,176))</f>
        <v/>
      </c>
      <c r="L531" s="107"/>
      <c r="M531" s="107"/>
      <c r="N531" s="67" t="str">
        <f aca="false">IF($E531="","","系统")</f>
        <v/>
      </c>
      <c r="O531" s="67" t="str">
        <f aca="false">IF($E531="","","自动A")</f>
        <v/>
      </c>
      <c r="P531" s="18"/>
    </row>
    <row r="532" customFormat="false" ht="18" hidden="false" customHeight="true" outlineLevel="0" collapsed="false">
      <c r="A532" s="107" t="str">
        <f aca="false">IF($E532="","",ROW()-3)</f>
        <v/>
      </c>
      <c r="B532" s="110" t="str">
        <f aca="false">IF($E532="","",INDEX(进销存对接!$C$4:$C$305,177))</f>
        <v/>
      </c>
      <c r="C532" s="67" t="str">
        <f aca="false">IF($E532="","","记-"&amp;TEXT($B532,"YYYYMM")&amp;"-进销存")</f>
        <v/>
      </c>
      <c r="D532" s="107" t="str">
        <f aca="false">IF($E532="","",INDEX(进销存对接!$D$4:$D$305,177)&amp;" "&amp;TEXT($B532,"YYYY年M月")&amp;" 自动结转")</f>
        <v/>
      </c>
      <c r="E532" s="67" t="str">
        <f aca="false">IF(INDEX(进销存对接!$M$4:$U$305,177,1)=0,"",INDEX(进销存对接!$M$4:$U$305,177,1))</f>
        <v/>
      </c>
      <c r="F532" s="99" t="str">
        <f aca="false">IF($E532="","",IFERROR(INDEX(科目表!$A$4:$A$81,MATCH($E532,科目表!$B$4:$B$81,0)),""))</f>
        <v/>
      </c>
      <c r="G532" s="67" t="str">
        <f aca="false">IF($E532="","",IFERROR(INDEX(科目表!$E$4:$E$81,MATCH($E532,科目表!$B$4:$B$81,0)),""))</f>
        <v/>
      </c>
      <c r="H532" s="70" t="str">
        <f aca="false">IF($E532="","",N(INDEX(进销存对接!$M$4:$U$305,177,2)))</f>
        <v/>
      </c>
      <c r="I532" s="70" t="str">
        <f aca="false">IF($E532="","",N(INDEX(进销存对接!$M$4:$U$305,177,3)))</f>
        <v/>
      </c>
      <c r="J532" s="67"/>
      <c r="K532" s="67" t="str">
        <f aca="false">IF($E532="","",INDEX(进销存对接!$D$4:$D$305,177))</f>
        <v/>
      </c>
      <c r="L532" s="107"/>
      <c r="M532" s="107"/>
      <c r="N532" s="67" t="str">
        <f aca="false">IF($E532="","","系统")</f>
        <v/>
      </c>
      <c r="O532" s="67" t="str">
        <f aca="false">IF($E532="","","自动A")</f>
        <v/>
      </c>
      <c r="P532" s="18"/>
    </row>
    <row r="533" customFormat="false" ht="18" hidden="false" customHeight="true" outlineLevel="0" collapsed="false">
      <c r="A533" s="107" t="str">
        <f aca="false">IF($E533="","",ROW()-3)</f>
        <v/>
      </c>
      <c r="B533" s="110" t="str">
        <f aca="false">IF($E533="","",INDEX(进销存对接!$C$4:$C$305,177))</f>
        <v/>
      </c>
      <c r="C533" s="67" t="str">
        <f aca="false">IF($E533="","","记-"&amp;TEXT($B533,"YYYYMM")&amp;"-进销存")</f>
        <v/>
      </c>
      <c r="D533" s="107" t="str">
        <f aca="false">IF($E533="","",INDEX(进销存对接!$D$4:$D$305,177)&amp;" "&amp;TEXT($B533,"YYYY年M月")&amp;" 自动结转")</f>
        <v/>
      </c>
      <c r="E533" s="67" t="str">
        <f aca="false">IF(INDEX(进销存对接!$M$4:$U$305,177,4)=0,"",INDEX(进销存对接!$M$4:$U$305,177,4))</f>
        <v/>
      </c>
      <c r="F533" s="99" t="str">
        <f aca="false">IF($E533="","",IFERROR(INDEX(科目表!$A$4:$A$81,MATCH($E533,科目表!$B$4:$B$81,0)),""))</f>
        <v/>
      </c>
      <c r="G533" s="67" t="str">
        <f aca="false">IF($E533="","",IFERROR(INDEX(科目表!$E$4:$E$81,MATCH($E533,科目表!$B$4:$B$81,0)),""))</f>
        <v/>
      </c>
      <c r="H533" s="70" t="str">
        <f aca="false">IF($E533="","",N(INDEX(进销存对接!$M$4:$U$305,177,5)))</f>
        <v/>
      </c>
      <c r="I533" s="70" t="str">
        <f aca="false">IF($E533="","",N(INDEX(进销存对接!$M$4:$U$305,177,6)))</f>
        <v/>
      </c>
      <c r="J533" s="67"/>
      <c r="K533" s="67" t="str">
        <f aca="false">IF($E533="","",INDEX(进销存对接!$D$4:$D$305,177))</f>
        <v/>
      </c>
      <c r="L533" s="107"/>
      <c r="M533" s="107"/>
      <c r="N533" s="67" t="str">
        <f aca="false">IF($E533="","","系统")</f>
        <v/>
      </c>
      <c r="O533" s="67" t="str">
        <f aca="false">IF($E533="","","自动A")</f>
        <v/>
      </c>
      <c r="P533" s="18"/>
    </row>
    <row r="534" customFormat="false" ht="18" hidden="false" customHeight="true" outlineLevel="0" collapsed="false">
      <c r="A534" s="107" t="str">
        <f aca="false">IF($E534="","",ROW()-3)</f>
        <v/>
      </c>
      <c r="B534" s="110" t="str">
        <f aca="false">IF($E534="","",INDEX(进销存对接!$C$4:$C$305,177))</f>
        <v/>
      </c>
      <c r="C534" s="67" t="str">
        <f aca="false">IF($E534="","","记-"&amp;TEXT($B534,"YYYYMM")&amp;"-进销存")</f>
        <v/>
      </c>
      <c r="D534" s="107" t="str">
        <f aca="false">IF($E534="","",INDEX(进销存对接!$D$4:$D$305,177)&amp;" "&amp;TEXT($B534,"YYYY年M月")&amp;" 自动结转")</f>
        <v/>
      </c>
      <c r="E534" s="67" t="str">
        <f aca="false">IF(INDEX(进销存对接!$M$4:$U$305,177,7)=0,"",INDEX(进销存对接!$M$4:$U$305,177,7))</f>
        <v/>
      </c>
      <c r="F534" s="99" t="str">
        <f aca="false">IF($E534="","",IFERROR(INDEX(科目表!$A$4:$A$81,MATCH($E534,科目表!$B$4:$B$81,0)),""))</f>
        <v/>
      </c>
      <c r="G534" s="67" t="str">
        <f aca="false">IF($E534="","",IFERROR(INDEX(科目表!$E$4:$E$81,MATCH($E534,科目表!$B$4:$B$81,0)),""))</f>
        <v/>
      </c>
      <c r="H534" s="70" t="str">
        <f aca="false">IF($E534="","",N(INDEX(进销存对接!$M$4:$U$305,177,8)))</f>
        <v/>
      </c>
      <c r="I534" s="70" t="str">
        <f aca="false">IF($E534="","",N(INDEX(进销存对接!$M$4:$U$305,177,9)))</f>
        <v/>
      </c>
      <c r="J534" s="67"/>
      <c r="K534" s="67" t="str">
        <f aca="false">IF($E534="","",INDEX(进销存对接!$D$4:$D$305,177))</f>
        <v/>
      </c>
      <c r="L534" s="107"/>
      <c r="M534" s="107"/>
      <c r="N534" s="67" t="str">
        <f aca="false">IF($E534="","","系统")</f>
        <v/>
      </c>
      <c r="O534" s="67" t="str">
        <f aca="false">IF($E534="","","自动A")</f>
        <v/>
      </c>
      <c r="P534" s="18"/>
    </row>
    <row r="535" customFormat="false" ht="18" hidden="false" customHeight="true" outlineLevel="0" collapsed="false">
      <c r="A535" s="107" t="str">
        <f aca="false">IF($E535="","",ROW()-3)</f>
        <v/>
      </c>
      <c r="B535" s="110" t="str">
        <f aca="false">IF($E535="","",INDEX(进销存对接!$C$4:$C$305,178))</f>
        <v/>
      </c>
      <c r="C535" s="67" t="str">
        <f aca="false">IF($E535="","","记-"&amp;TEXT($B535,"YYYYMM")&amp;"-进销存")</f>
        <v/>
      </c>
      <c r="D535" s="107" t="str">
        <f aca="false">IF($E535="","",INDEX(进销存对接!$D$4:$D$305,178)&amp;" "&amp;TEXT($B535,"YYYY年M月")&amp;" 自动结转")</f>
        <v/>
      </c>
      <c r="E535" s="67" t="str">
        <f aca="false">IF(INDEX(进销存对接!$M$4:$U$305,178,1)=0,"",INDEX(进销存对接!$M$4:$U$305,178,1))</f>
        <v/>
      </c>
      <c r="F535" s="99" t="str">
        <f aca="false">IF($E535="","",IFERROR(INDEX(科目表!$A$4:$A$81,MATCH($E535,科目表!$B$4:$B$81,0)),""))</f>
        <v/>
      </c>
      <c r="G535" s="67" t="str">
        <f aca="false">IF($E535="","",IFERROR(INDEX(科目表!$E$4:$E$81,MATCH($E535,科目表!$B$4:$B$81,0)),""))</f>
        <v/>
      </c>
      <c r="H535" s="70" t="str">
        <f aca="false">IF($E535="","",N(INDEX(进销存对接!$M$4:$U$305,178,2)))</f>
        <v/>
      </c>
      <c r="I535" s="70" t="str">
        <f aca="false">IF($E535="","",N(INDEX(进销存对接!$M$4:$U$305,178,3)))</f>
        <v/>
      </c>
      <c r="J535" s="67"/>
      <c r="K535" s="67" t="str">
        <f aca="false">IF($E535="","",INDEX(进销存对接!$D$4:$D$305,178))</f>
        <v/>
      </c>
      <c r="L535" s="107"/>
      <c r="M535" s="107"/>
      <c r="N535" s="67" t="str">
        <f aca="false">IF($E535="","","系统")</f>
        <v/>
      </c>
      <c r="O535" s="67" t="str">
        <f aca="false">IF($E535="","","自动A")</f>
        <v/>
      </c>
      <c r="P535" s="18"/>
    </row>
    <row r="536" customFormat="false" ht="18" hidden="false" customHeight="true" outlineLevel="0" collapsed="false">
      <c r="A536" s="107" t="str">
        <f aca="false">IF($E536="","",ROW()-3)</f>
        <v/>
      </c>
      <c r="B536" s="110" t="str">
        <f aca="false">IF($E536="","",INDEX(进销存对接!$C$4:$C$305,178))</f>
        <v/>
      </c>
      <c r="C536" s="67" t="str">
        <f aca="false">IF($E536="","","记-"&amp;TEXT($B536,"YYYYMM")&amp;"-进销存")</f>
        <v/>
      </c>
      <c r="D536" s="107" t="str">
        <f aca="false">IF($E536="","",INDEX(进销存对接!$D$4:$D$305,178)&amp;" "&amp;TEXT($B536,"YYYY年M月")&amp;" 自动结转")</f>
        <v/>
      </c>
      <c r="E536" s="67" t="str">
        <f aca="false">IF(INDEX(进销存对接!$M$4:$U$305,178,4)=0,"",INDEX(进销存对接!$M$4:$U$305,178,4))</f>
        <v/>
      </c>
      <c r="F536" s="99" t="str">
        <f aca="false">IF($E536="","",IFERROR(INDEX(科目表!$A$4:$A$81,MATCH($E536,科目表!$B$4:$B$81,0)),""))</f>
        <v/>
      </c>
      <c r="G536" s="67" t="str">
        <f aca="false">IF($E536="","",IFERROR(INDEX(科目表!$E$4:$E$81,MATCH($E536,科目表!$B$4:$B$81,0)),""))</f>
        <v/>
      </c>
      <c r="H536" s="70" t="str">
        <f aca="false">IF($E536="","",N(INDEX(进销存对接!$M$4:$U$305,178,5)))</f>
        <v/>
      </c>
      <c r="I536" s="70" t="str">
        <f aca="false">IF($E536="","",N(INDEX(进销存对接!$M$4:$U$305,178,6)))</f>
        <v/>
      </c>
      <c r="J536" s="67"/>
      <c r="K536" s="67" t="str">
        <f aca="false">IF($E536="","",INDEX(进销存对接!$D$4:$D$305,178))</f>
        <v/>
      </c>
      <c r="L536" s="107"/>
      <c r="M536" s="107"/>
      <c r="N536" s="67" t="str">
        <f aca="false">IF($E536="","","系统")</f>
        <v/>
      </c>
      <c r="O536" s="67" t="str">
        <f aca="false">IF($E536="","","自动A")</f>
        <v/>
      </c>
      <c r="P536" s="18"/>
    </row>
    <row r="537" customFormat="false" ht="18" hidden="false" customHeight="true" outlineLevel="0" collapsed="false">
      <c r="A537" s="107" t="str">
        <f aca="false">IF($E537="","",ROW()-3)</f>
        <v/>
      </c>
      <c r="B537" s="110" t="str">
        <f aca="false">IF($E537="","",INDEX(进销存对接!$C$4:$C$305,178))</f>
        <v/>
      </c>
      <c r="C537" s="67" t="str">
        <f aca="false">IF($E537="","","记-"&amp;TEXT($B537,"YYYYMM")&amp;"-进销存")</f>
        <v/>
      </c>
      <c r="D537" s="107" t="str">
        <f aca="false">IF($E537="","",INDEX(进销存对接!$D$4:$D$305,178)&amp;" "&amp;TEXT($B537,"YYYY年M月")&amp;" 自动结转")</f>
        <v/>
      </c>
      <c r="E537" s="67" t="str">
        <f aca="false">IF(INDEX(进销存对接!$M$4:$U$305,178,7)=0,"",INDEX(进销存对接!$M$4:$U$305,178,7))</f>
        <v/>
      </c>
      <c r="F537" s="99" t="str">
        <f aca="false">IF($E537="","",IFERROR(INDEX(科目表!$A$4:$A$81,MATCH($E537,科目表!$B$4:$B$81,0)),""))</f>
        <v/>
      </c>
      <c r="G537" s="67" t="str">
        <f aca="false">IF($E537="","",IFERROR(INDEX(科目表!$E$4:$E$81,MATCH($E537,科目表!$B$4:$B$81,0)),""))</f>
        <v/>
      </c>
      <c r="H537" s="70" t="str">
        <f aca="false">IF($E537="","",N(INDEX(进销存对接!$M$4:$U$305,178,8)))</f>
        <v/>
      </c>
      <c r="I537" s="70" t="str">
        <f aca="false">IF($E537="","",N(INDEX(进销存对接!$M$4:$U$305,178,9)))</f>
        <v/>
      </c>
      <c r="J537" s="67"/>
      <c r="K537" s="67" t="str">
        <f aca="false">IF($E537="","",INDEX(进销存对接!$D$4:$D$305,178))</f>
        <v/>
      </c>
      <c r="L537" s="107"/>
      <c r="M537" s="107"/>
      <c r="N537" s="67" t="str">
        <f aca="false">IF($E537="","","系统")</f>
        <v/>
      </c>
      <c r="O537" s="67" t="str">
        <f aca="false">IF($E537="","","自动A")</f>
        <v/>
      </c>
      <c r="P537" s="18"/>
    </row>
    <row r="538" customFormat="false" ht="18" hidden="false" customHeight="true" outlineLevel="0" collapsed="false">
      <c r="A538" s="107" t="str">
        <f aca="false">IF($E538="","",ROW()-3)</f>
        <v/>
      </c>
      <c r="B538" s="110" t="str">
        <f aca="false">IF($E538="","",INDEX(进销存对接!$C$4:$C$305,179))</f>
        <v/>
      </c>
      <c r="C538" s="67" t="str">
        <f aca="false">IF($E538="","","记-"&amp;TEXT($B538,"YYYYMM")&amp;"-进销存")</f>
        <v/>
      </c>
      <c r="D538" s="107" t="str">
        <f aca="false">IF($E538="","",INDEX(进销存对接!$D$4:$D$305,179)&amp;" "&amp;TEXT($B538,"YYYY年M月")&amp;" 自动结转")</f>
        <v/>
      </c>
      <c r="E538" s="67" t="str">
        <f aca="false">IF(INDEX(进销存对接!$M$4:$U$305,179,1)=0,"",INDEX(进销存对接!$M$4:$U$305,179,1))</f>
        <v/>
      </c>
      <c r="F538" s="99" t="str">
        <f aca="false">IF($E538="","",IFERROR(INDEX(科目表!$A$4:$A$81,MATCH($E538,科目表!$B$4:$B$81,0)),""))</f>
        <v/>
      </c>
      <c r="G538" s="67" t="str">
        <f aca="false">IF($E538="","",IFERROR(INDEX(科目表!$E$4:$E$81,MATCH($E538,科目表!$B$4:$B$81,0)),""))</f>
        <v/>
      </c>
      <c r="H538" s="70" t="str">
        <f aca="false">IF($E538="","",N(INDEX(进销存对接!$M$4:$U$305,179,2)))</f>
        <v/>
      </c>
      <c r="I538" s="70" t="str">
        <f aca="false">IF($E538="","",N(INDEX(进销存对接!$M$4:$U$305,179,3)))</f>
        <v/>
      </c>
      <c r="J538" s="67"/>
      <c r="K538" s="67" t="str">
        <f aca="false">IF($E538="","",INDEX(进销存对接!$D$4:$D$305,179))</f>
        <v/>
      </c>
      <c r="L538" s="107"/>
      <c r="M538" s="107"/>
      <c r="N538" s="67" t="str">
        <f aca="false">IF($E538="","","系统")</f>
        <v/>
      </c>
      <c r="O538" s="67" t="str">
        <f aca="false">IF($E538="","","自动A")</f>
        <v/>
      </c>
      <c r="P538" s="18"/>
    </row>
    <row r="539" customFormat="false" ht="18" hidden="false" customHeight="true" outlineLevel="0" collapsed="false">
      <c r="A539" s="107" t="str">
        <f aca="false">IF($E539="","",ROW()-3)</f>
        <v/>
      </c>
      <c r="B539" s="110" t="str">
        <f aca="false">IF($E539="","",INDEX(进销存对接!$C$4:$C$305,179))</f>
        <v/>
      </c>
      <c r="C539" s="67" t="str">
        <f aca="false">IF($E539="","","记-"&amp;TEXT($B539,"YYYYMM")&amp;"-进销存")</f>
        <v/>
      </c>
      <c r="D539" s="107" t="str">
        <f aca="false">IF($E539="","",INDEX(进销存对接!$D$4:$D$305,179)&amp;" "&amp;TEXT($B539,"YYYY年M月")&amp;" 自动结转")</f>
        <v/>
      </c>
      <c r="E539" s="67" t="str">
        <f aca="false">IF(INDEX(进销存对接!$M$4:$U$305,179,4)=0,"",INDEX(进销存对接!$M$4:$U$305,179,4))</f>
        <v/>
      </c>
      <c r="F539" s="99" t="str">
        <f aca="false">IF($E539="","",IFERROR(INDEX(科目表!$A$4:$A$81,MATCH($E539,科目表!$B$4:$B$81,0)),""))</f>
        <v/>
      </c>
      <c r="G539" s="67" t="str">
        <f aca="false">IF($E539="","",IFERROR(INDEX(科目表!$E$4:$E$81,MATCH($E539,科目表!$B$4:$B$81,0)),""))</f>
        <v/>
      </c>
      <c r="H539" s="70" t="str">
        <f aca="false">IF($E539="","",N(INDEX(进销存对接!$M$4:$U$305,179,5)))</f>
        <v/>
      </c>
      <c r="I539" s="70" t="str">
        <f aca="false">IF($E539="","",N(INDEX(进销存对接!$M$4:$U$305,179,6)))</f>
        <v/>
      </c>
      <c r="J539" s="67"/>
      <c r="K539" s="67" t="str">
        <f aca="false">IF($E539="","",INDEX(进销存对接!$D$4:$D$305,179))</f>
        <v/>
      </c>
      <c r="L539" s="107"/>
      <c r="M539" s="107"/>
      <c r="N539" s="67" t="str">
        <f aca="false">IF($E539="","","系统")</f>
        <v/>
      </c>
      <c r="O539" s="67" t="str">
        <f aca="false">IF($E539="","","自动A")</f>
        <v/>
      </c>
      <c r="P539" s="18"/>
    </row>
    <row r="540" customFormat="false" ht="18" hidden="false" customHeight="true" outlineLevel="0" collapsed="false">
      <c r="A540" s="107" t="str">
        <f aca="false">IF($E540="","",ROW()-3)</f>
        <v/>
      </c>
      <c r="B540" s="110" t="str">
        <f aca="false">IF($E540="","",INDEX(进销存对接!$C$4:$C$305,179))</f>
        <v/>
      </c>
      <c r="C540" s="67" t="str">
        <f aca="false">IF($E540="","","记-"&amp;TEXT($B540,"YYYYMM")&amp;"-进销存")</f>
        <v/>
      </c>
      <c r="D540" s="107" t="str">
        <f aca="false">IF($E540="","",INDEX(进销存对接!$D$4:$D$305,179)&amp;" "&amp;TEXT($B540,"YYYY年M月")&amp;" 自动结转")</f>
        <v/>
      </c>
      <c r="E540" s="67" t="str">
        <f aca="false">IF(INDEX(进销存对接!$M$4:$U$305,179,7)=0,"",INDEX(进销存对接!$M$4:$U$305,179,7))</f>
        <v/>
      </c>
      <c r="F540" s="99" t="str">
        <f aca="false">IF($E540="","",IFERROR(INDEX(科目表!$A$4:$A$81,MATCH($E540,科目表!$B$4:$B$81,0)),""))</f>
        <v/>
      </c>
      <c r="G540" s="67" t="str">
        <f aca="false">IF($E540="","",IFERROR(INDEX(科目表!$E$4:$E$81,MATCH($E540,科目表!$B$4:$B$81,0)),""))</f>
        <v/>
      </c>
      <c r="H540" s="70" t="str">
        <f aca="false">IF($E540="","",N(INDEX(进销存对接!$M$4:$U$305,179,8)))</f>
        <v/>
      </c>
      <c r="I540" s="70" t="str">
        <f aca="false">IF($E540="","",N(INDEX(进销存对接!$M$4:$U$305,179,9)))</f>
        <v/>
      </c>
      <c r="J540" s="67"/>
      <c r="K540" s="67" t="str">
        <f aca="false">IF($E540="","",INDEX(进销存对接!$D$4:$D$305,179))</f>
        <v/>
      </c>
      <c r="L540" s="107"/>
      <c r="M540" s="107"/>
      <c r="N540" s="67" t="str">
        <f aca="false">IF($E540="","","系统")</f>
        <v/>
      </c>
      <c r="O540" s="67" t="str">
        <f aca="false">IF($E540="","","自动A")</f>
        <v/>
      </c>
      <c r="P540" s="18"/>
    </row>
    <row r="541" customFormat="false" ht="18" hidden="false" customHeight="true" outlineLevel="0" collapsed="false">
      <c r="A541" s="107" t="str">
        <f aca="false">IF($E541="","",ROW()-3)</f>
        <v/>
      </c>
      <c r="B541" s="110" t="str">
        <f aca="false">IF($E541="","",INDEX(进销存对接!$C$4:$C$305,180))</f>
        <v/>
      </c>
      <c r="C541" s="67" t="str">
        <f aca="false">IF($E541="","","记-"&amp;TEXT($B541,"YYYYMM")&amp;"-进销存")</f>
        <v/>
      </c>
      <c r="D541" s="107" t="str">
        <f aca="false">IF($E541="","",INDEX(进销存对接!$D$4:$D$305,180)&amp;" "&amp;TEXT($B541,"YYYY年M月")&amp;" 自动结转")</f>
        <v/>
      </c>
      <c r="E541" s="67" t="str">
        <f aca="false">IF(INDEX(进销存对接!$M$4:$U$305,180,1)=0,"",INDEX(进销存对接!$M$4:$U$305,180,1))</f>
        <v/>
      </c>
      <c r="F541" s="99" t="str">
        <f aca="false">IF($E541="","",IFERROR(INDEX(科目表!$A$4:$A$81,MATCH($E541,科目表!$B$4:$B$81,0)),""))</f>
        <v/>
      </c>
      <c r="G541" s="67" t="str">
        <f aca="false">IF($E541="","",IFERROR(INDEX(科目表!$E$4:$E$81,MATCH($E541,科目表!$B$4:$B$81,0)),""))</f>
        <v/>
      </c>
      <c r="H541" s="70" t="str">
        <f aca="false">IF($E541="","",N(INDEX(进销存对接!$M$4:$U$305,180,2)))</f>
        <v/>
      </c>
      <c r="I541" s="70" t="str">
        <f aca="false">IF($E541="","",N(INDEX(进销存对接!$M$4:$U$305,180,3)))</f>
        <v/>
      </c>
      <c r="J541" s="67"/>
      <c r="K541" s="67" t="str">
        <f aca="false">IF($E541="","",INDEX(进销存对接!$D$4:$D$305,180))</f>
        <v/>
      </c>
      <c r="L541" s="107"/>
      <c r="M541" s="107"/>
      <c r="N541" s="67" t="str">
        <f aca="false">IF($E541="","","系统")</f>
        <v/>
      </c>
      <c r="O541" s="67" t="str">
        <f aca="false">IF($E541="","","自动A")</f>
        <v/>
      </c>
      <c r="P541" s="18"/>
    </row>
    <row r="542" customFormat="false" ht="18" hidden="false" customHeight="true" outlineLevel="0" collapsed="false">
      <c r="A542" s="107" t="str">
        <f aca="false">IF($E542="","",ROW()-3)</f>
        <v/>
      </c>
      <c r="B542" s="110" t="str">
        <f aca="false">IF($E542="","",INDEX(进销存对接!$C$4:$C$305,180))</f>
        <v/>
      </c>
      <c r="C542" s="67" t="str">
        <f aca="false">IF($E542="","","记-"&amp;TEXT($B542,"YYYYMM")&amp;"-进销存")</f>
        <v/>
      </c>
      <c r="D542" s="107" t="str">
        <f aca="false">IF($E542="","",INDEX(进销存对接!$D$4:$D$305,180)&amp;" "&amp;TEXT($B542,"YYYY年M月")&amp;" 自动结转")</f>
        <v/>
      </c>
      <c r="E542" s="67" t="str">
        <f aca="false">IF(INDEX(进销存对接!$M$4:$U$305,180,4)=0,"",INDEX(进销存对接!$M$4:$U$305,180,4))</f>
        <v/>
      </c>
      <c r="F542" s="99" t="str">
        <f aca="false">IF($E542="","",IFERROR(INDEX(科目表!$A$4:$A$81,MATCH($E542,科目表!$B$4:$B$81,0)),""))</f>
        <v/>
      </c>
      <c r="G542" s="67" t="str">
        <f aca="false">IF($E542="","",IFERROR(INDEX(科目表!$E$4:$E$81,MATCH($E542,科目表!$B$4:$B$81,0)),""))</f>
        <v/>
      </c>
      <c r="H542" s="70" t="str">
        <f aca="false">IF($E542="","",N(INDEX(进销存对接!$M$4:$U$305,180,5)))</f>
        <v/>
      </c>
      <c r="I542" s="70" t="str">
        <f aca="false">IF($E542="","",N(INDEX(进销存对接!$M$4:$U$305,180,6)))</f>
        <v/>
      </c>
      <c r="J542" s="67"/>
      <c r="K542" s="67" t="str">
        <f aca="false">IF($E542="","",INDEX(进销存对接!$D$4:$D$305,180))</f>
        <v/>
      </c>
      <c r="L542" s="107"/>
      <c r="M542" s="107"/>
      <c r="N542" s="67" t="str">
        <f aca="false">IF($E542="","","系统")</f>
        <v/>
      </c>
      <c r="O542" s="67" t="str">
        <f aca="false">IF($E542="","","自动A")</f>
        <v/>
      </c>
      <c r="P542" s="18"/>
    </row>
    <row r="543" customFormat="false" ht="18" hidden="false" customHeight="true" outlineLevel="0" collapsed="false">
      <c r="A543" s="107" t="str">
        <f aca="false">IF($E543="","",ROW()-3)</f>
        <v/>
      </c>
      <c r="B543" s="110" t="str">
        <f aca="false">IF($E543="","",INDEX(进销存对接!$C$4:$C$305,180))</f>
        <v/>
      </c>
      <c r="C543" s="67" t="str">
        <f aca="false">IF($E543="","","记-"&amp;TEXT($B543,"YYYYMM")&amp;"-进销存")</f>
        <v/>
      </c>
      <c r="D543" s="107" t="str">
        <f aca="false">IF($E543="","",INDEX(进销存对接!$D$4:$D$305,180)&amp;" "&amp;TEXT($B543,"YYYY年M月")&amp;" 自动结转")</f>
        <v/>
      </c>
      <c r="E543" s="67" t="str">
        <f aca="false">IF(INDEX(进销存对接!$M$4:$U$305,180,7)=0,"",INDEX(进销存对接!$M$4:$U$305,180,7))</f>
        <v/>
      </c>
      <c r="F543" s="99" t="str">
        <f aca="false">IF($E543="","",IFERROR(INDEX(科目表!$A$4:$A$81,MATCH($E543,科目表!$B$4:$B$81,0)),""))</f>
        <v/>
      </c>
      <c r="G543" s="67" t="str">
        <f aca="false">IF($E543="","",IFERROR(INDEX(科目表!$E$4:$E$81,MATCH($E543,科目表!$B$4:$B$81,0)),""))</f>
        <v/>
      </c>
      <c r="H543" s="70" t="str">
        <f aca="false">IF($E543="","",N(INDEX(进销存对接!$M$4:$U$305,180,8)))</f>
        <v/>
      </c>
      <c r="I543" s="70" t="str">
        <f aca="false">IF($E543="","",N(INDEX(进销存对接!$M$4:$U$305,180,9)))</f>
        <v/>
      </c>
      <c r="J543" s="67"/>
      <c r="K543" s="67" t="str">
        <f aca="false">IF($E543="","",INDEX(进销存对接!$D$4:$D$305,180))</f>
        <v/>
      </c>
      <c r="L543" s="107"/>
      <c r="M543" s="107"/>
      <c r="N543" s="67" t="str">
        <f aca="false">IF($E543="","","系统")</f>
        <v/>
      </c>
      <c r="O543" s="67" t="str">
        <f aca="false">IF($E543="","","自动A")</f>
        <v/>
      </c>
      <c r="P543" s="18"/>
    </row>
    <row r="544" customFormat="false" ht="18" hidden="false" customHeight="true" outlineLevel="0" collapsed="false">
      <c r="A544" s="107" t="str">
        <f aca="false">IF($E544="","",ROW()-3)</f>
        <v/>
      </c>
      <c r="B544" s="110" t="str">
        <f aca="false">IF($E544="","",INDEX(进销存对接!$C$4:$C$305,181))</f>
        <v/>
      </c>
      <c r="C544" s="67" t="str">
        <f aca="false">IF($E544="","","记-"&amp;TEXT($B544,"YYYYMM")&amp;"-进销存")</f>
        <v/>
      </c>
      <c r="D544" s="107" t="str">
        <f aca="false">IF($E544="","",INDEX(进销存对接!$D$4:$D$305,181)&amp;" "&amp;TEXT($B544,"YYYY年M月")&amp;" 自动结转")</f>
        <v/>
      </c>
      <c r="E544" s="67" t="str">
        <f aca="false">IF(INDEX(进销存对接!$M$4:$U$305,181,1)=0,"",INDEX(进销存对接!$M$4:$U$305,181,1))</f>
        <v/>
      </c>
      <c r="F544" s="99" t="str">
        <f aca="false">IF($E544="","",IFERROR(INDEX(科目表!$A$4:$A$81,MATCH($E544,科目表!$B$4:$B$81,0)),""))</f>
        <v/>
      </c>
      <c r="G544" s="67" t="str">
        <f aca="false">IF($E544="","",IFERROR(INDEX(科目表!$E$4:$E$81,MATCH($E544,科目表!$B$4:$B$81,0)),""))</f>
        <v/>
      </c>
      <c r="H544" s="70" t="str">
        <f aca="false">IF($E544="","",N(INDEX(进销存对接!$M$4:$U$305,181,2)))</f>
        <v/>
      </c>
      <c r="I544" s="70" t="str">
        <f aca="false">IF($E544="","",N(INDEX(进销存对接!$M$4:$U$305,181,3)))</f>
        <v/>
      </c>
      <c r="J544" s="67"/>
      <c r="K544" s="67" t="str">
        <f aca="false">IF($E544="","",INDEX(进销存对接!$D$4:$D$305,181))</f>
        <v/>
      </c>
      <c r="L544" s="107"/>
      <c r="M544" s="107"/>
      <c r="N544" s="67" t="str">
        <f aca="false">IF($E544="","","系统")</f>
        <v/>
      </c>
      <c r="O544" s="67" t="str">
        <f aca="false">IF($E544="","","自动A")</f>
        <v/>
      </c>
      <c r="P544" s="18"/>
    </row>
    <row r="545" customFormat="false" ht="18" hidden="false" customHeight="true" outlineLevel="0" collapsed="false">
      <c r="A545" s="107" t="str">
        <f aca="false">IF($E545="","",ROW()-3)</f>
        <v/>
      </c>
      <c r="B545" s="110" t="str">
        <f aca="false">IF($E545="","",INDEX(进销存对接!$C$4:$C$305,181))</f>
        <v/>
      </c>
      <c r="C545" s="67" t="str">
        <f aca="false">IF($E545="","","记-"&amp;TEXT($B545,"YYYYMM")&amp;"-进销存")</f>
        <v/>
      </c>
      <c r="D545" s="107" t="str">
        <f aca="false">IF($E545="","",INDEX(进销存对接!$D$4:$D$305,181)&amp;" "&amp;TEXT($B545,"YYYY年M月")&amp;" 自动结转")</f>
        <v/>
      </c>
      <c r="E545" s="67" t="str">
        <f aca="false">IF(INDEX(进销存对接!$M$4:$U$305,181,4)=0,"",INDEX(进销存对接!$M$4:$U$305,181,4))</f>
        <v/>
      </c>
      <c r="F545" s="99" t="str">
        <f aca="false">IF($E545="","",IFERROR(INDEX(科目表!$A$4:$A$81,MATCH($E545,科目表!$B$4:$B$81,0)),""))</f>
        <v/>
      </c>
      <c r="G545" s="67" t="str">
        <f aca="false">IF($E545="","",IFERROR(INDEX(科目表!$E$4:$E$81,MATCH($E545,科目表!$B$4:$B$81,0)),""))</f>
        <v/>
      </c>
      <c r="H545" s="70" t="str">
        <f aca="false">IF($E545="","",N(INDEX(进销存对接!$M$4:$U$305,181,5)))</f>
        <v/>
      </c>
      <c r="I545" s="70" t="str">
        <f aca="false">IF($E545="","",N(INDEX(进销存对接!$M$4:$U$305,181,6)))</f>
        <v/>
      </c>
      <c r="J545" s="67"/>
      <c r="K545" s="67" t="str">
        <f aca="false">IF($E545="","",INDEX(进销存对接!$D$4:$D$305,181))</f>
        <v/>
      </c>
      <c r="L545" s="107"/>
      <c r="M545" s="107"/>
      <c r="N545" s="67" t="str">
        <f aca="false">IF($E545="","","系统")</f>
        <v/>
      </c>
      <c r="O545" s="67" t="str">
        <f aca="false">IF($E545="","","自动A")</f>
        <v/>
      </c>
      <c r="P545" s="18"/>
    </row>
    <row r="546" customFormat="false" ht="18" hidden="false" customHeight="true" outlineLevel="0" collapsed="false">
      <c r="A546" s="107" t="str">
        <f aca="false">IF($E546="","",ROW()-3)</f>
        <v/>
      </c>
      <c r="B546" s="110" t="str">
        <f aca="false">IF($E546="","",INDEX(进销存对接!$C$4:$C$305,181))</f>
        <v/>
      </c>
      <c r="C546" s="67" t="str">
        <f aca="false">IF($E546="","","记-"&amp;TEXT($B546,"YYYYMM")&amp;"-进销存")</f>
        <v/>
      </c>
      <c r="D546" s="107" t="str">
        <f aca="false">IF($E546="","",INDEX(进销存对接!$D$4:$D$305,181)&amp;" "&amp;TEXT($B546,"YYYY年M月")&amp;" 自动结转")</f>
        <v/>
      </c>
      <c r="E546" s="67" t="str">
        <f aca="false">IF(INDEX(进销存对接!$M$4:$U$305,181,7)=0,"",INDEX(进销存对接!$M$4:$U$305,181,7))</f>
        <v/>
      </c>
      <c r="F546" s="99" t="str">
        <f aca="false">IF($E546="","",IFERROR(INDEX(科目表!$A$4:$A$81,MATCH($E546,科目表!$B$4:$B$81,0)),""))</f>
        <v/>
      </c>
      <c r="G546" s="67" t="str">
        <f aca="false">IF($E546="","",IFERROR(INDEX(科目表!$E$4:$E$81,MATCH($E546,科目表!$B$4:$B$81,0)),""))</f>
        <v/>
      </c>
      <c r="H546" s="70" t="str">
        <f aca="false">IF($E546="","",N(INDEX(进销存对接!$M$4:$U$305,181,8)))</f>
        <v/>
      </c>
      <c r="I546" s="70" t="str">
        <f aca="false">IF($E546="","",N(INDEX(进销存对接!$M$4:$U$305,181,9)))</f>
        <v/>
      </c>
      <c r="J546" s="67"/>
      <c r="K546" s="67" t="str">
        <f aca="false">IF($E546="","",INDEX(进销存对接!$D$4:$D$305,181))</f>
        <v/>
      </c>
      <c r="L546" s="107"/>
      <c r="M546" s="107"/>
      <c r="N546" s="67" t="str">
        <f aca="false">IF($E546="","","系统")</f>
        <v/>
      </c>
      <c r="O546" s="67" t="str">
        <f aca="false">IF($E546="","","自动A")</f>
        <v/>
      </c>
      <c r="P546" s="18"/>
    </row>
    <row r="547" customFormat="false" ht="18" hidden="false" customHeight="true" outlineLevel="0" collapsed="false">
      <c r="A547" s="107" t="str">
        <f aca="false">IF($E547="","",ROW()-3)</f>
        <v/>
      </c>
      <c r="B547" s="110" t="str">
        <f aca="false">IF($E547="","",INDEX(进销存对接!$C$4:$C$305,182))</f>
        <v/>
      </c>
      <c r="C547" s="67" t="str">
        <f aca="false">IF($E547="","","记-"&amp;TEXT($B547,"YYYYMM")&amp;"-进销存")</f>
        <v/>
      </c>
      <c r="D547" s="107" t="str">
        <f aca="false">IF($E547="","",INDEX(进销存对接!$D$4:$D$305,182)&amp;" "&amp;TEXT($B547,"YYYY年M月")&amp;" 自动结转")</f>
        <v/>
      </c>
      <c r="E547" s="67" t="str">
        <f aca="false">IF(INDEX(进销存对接!$M$4:$U$305,182,1)=0,"",INDEX(进销存对接!$M$4:$U$305,182,1))</f>
        <v/>
      </c>
      <c r="F547" s="99" t="str">
        <f aca="false">IF($E547="","",IFERROR(INDEX(科目表!$A$4:$A$81,MATCH($E547,科目表!$B$4:$B$81,0)),""))</f>
        <v/>
      </c>
      <c r="G547" s="67" t="str">
        <f aca="false">IF($E547="","",IFERROR(INDEX(科目表!$E$4:$E$81,MATCH($E547,科目表!$B$4:$B$81,0)),""))</f>
        <v/>
      </c>
      <c r="H547" s="70" t="str">
        <f aca="false">IF($E547="","",N(INDEX(进销存对接!$M$4:$U$305,182,2)))</f>
        <v/>
      </c>
      <c r="I547" s="70" t="str">
        <f aca="false">IF($E547="","",N(INDEX(进销存对接!$M$4:$U$305,182,3)))</f>
        <v/>
      </c>
      <c r="J547" s="67"/>
      <c r="K547" s="67" t="str">
        <f aca="false">IF($E547="","",INDEX(进销存对接!$D$4:$D$305,182))</f>
        <v/>
      </c>
      <c r="L547" s="107"/>
      <c r="M547" s="107"/>
      <c r="N547" s="67" t="str">
        <f aca="false">IF($E547="","","系统")</f>
        <v/>
      </c>
      <c r="O547" s="67" t="str">
        <f aca="false">IF($E547="","","自动A")</f>
        <v/>
      </c>
      <c r="P547" s="18"/>
    </row>
    <row r="548" customFormat="false" ht="18" hidden="false" customHeight="true" outlineLevel="0" collapsed="false">
      <c r="A548" s="107" t="str">
        <f aca="false">IF($E548="","",ROW()-3)</f>
        <v/>
      </c>
      <c r="B548" s="110" t="str">
        <f aca="false">IF($E548="","",INDEX(进销存对接!$C$4:$C$305,182))</f>
        <v/>
      </c>
      <c r="C548" s="67" t="str">
        <f aca="false">IF($E548="","","记-"&amp;TEXT($B548,"YYYYMM")&amp;"-进销存")</f>
        <v/>
      </c>
      <c r="D548" s="107" t="str">
        <f aca="false">IF($E548="","",INDEX(进销存对接!$D$4:$D$305,182)&amp;" "&amp;TEXT($B548,"YYYY年M月")&amp;" 自动结转")</f>
        <v/>
      </c>
      <c r="E548" s="67" t="str">
        <f aca="false">IF(INDEX(进销存对接!$M$4:$U$305,182,4)=0,"",INDEX(进销存对接!$M$4:$U$305,182,4))</f>
        <v/>
      </c>
      <c r="F548" s="99" t="str">
        <f aca="false">IF($E548="","",IFERROR(INDEX(科目表!$A$4:$A$81,MATCH($E548,科目表!$B$4:$B$81,0)),""))</f>
        <v/>
      </c>
      <c r="G548" s="67" t="str">
        <f aca="false">IF($E548="","",IFERROR(INDEX(科目表!$E$4:$E$81,MATCH($E548,科目表!$B$4:$B$81,0)),""))</f>
        <v/>
      </c>
      <c r="H548" s="70" t="str">
        <f aca="false">IF($E548="","",N(INDEX(进销存对接!$M$4:$U$305,182,5)))</f>
        <v/>
      </c>
      <c r="I548" s="70" t="str">
        <f aca="false">IF($E548="","",N(INDEX(进销存对接!$M$4:$U$305,182,6)))</f>
        <v/>
      </c>
      <c r="J548" s="67"/>
      <c r="K548" s="67" t="str">
        <f aca="false">IF($E548="","",INDEX(进销存对接!$D$4:$D$305,182))</f>
        <v/>
      </c>
      <c r="L548" s="107"/>
      <c r="M548" s="107"/>
      <c r="N548" s="67" t="str">
        <f aca="false">IF($E548="","","系统")</f>
        <v/>
      </c>
      <c r="O548" s="67" t="str">
        <f aca="false">IF($E548="","","自动A")</f>
        <v/>
      </c>
      <c r="P548" s="18"/>
    </row>
    <row r="549" customFormat="false" ht="18" hidden="false" customHeight="true" outlineLevel="0" collapsed="false">
      <c r="A549" s="107" t="str">
        <f aca="false">IF($E549="","",ROW()-3)</f>
        <v/>
      </c>
      <c r="B549" s="110" t="str">
        <f aca="false">IF($E549="","",INDEX(进销存对接!$C$4:$C$305,182))</f>
        <v/>
      </c>
      <c r="C549" s="67" t="str">
        <f aca="false">IF($E549="","","记-"&amp;TEXT($B549,"YYYYMM")&amp;"-进销存")</f>
        <v/>
      </c>
      <c r="D549" s="107" t="str">
        <f aca="false">IF($E549="","",INDEX(进销存对接!$D$4:$D$305,182)&amp;" "&amp;TEXT($B549,"YYYY年M月")&amp;" 自动结转")</f>
        <v/>
      </c>
      <c r="E549" s="67" t="str">
        <f aca="false">IF(INDEX(进销存对接!$M$4:$U$305,182,7)=0,"",INDEX(进销存对接!$M$4:$U$305,182,7))</f>
        <v/>
      </c>
      <c r="F549" s="99" t="str">
        <f aca="false">IF($E549="","",IFERROR(INDEX(科目表!$A$4:$A$81,MATCH($E549,科目表!$B$4:$B$81,0)),""))</f>
        <v/>
      </c>
      <c r="G549" s="67" t="str">
        <f aca="false">IF($E549="","",IFERROR(INDEX(科目表!$E$4:$E$81,MATCH($E549,科目表!$B$4:$B$81,0)),""))</f>
        <v/>
      </c>
      <c r="H549" s="70" t="str">
        <f aca="false">IF($E549="","",N(INDEX(进销存对接!$M$4:$U$305,182,8)))</f>
        <v/>
      </c>
      <c r="I549" s="70" t="str">
        <f aca="false">IF($E549="","",N(INDEX(进销存对接!$M$4:$U$305,182,9)))</f>
        <v/>
      </c>
      <c r="J549" s="67"/>
      <c r="K549" s="67" t="str">
        <f aca="false">IF($E549="","",INDEX(进销存对接!$D$4:$D$305,182))</f>
        <v/>
      </c>
      <c r="L549" s="107"/>
      <c r="M549" s="107"/>
      <c r="N549" s="67" t="str">
        <f aca="false">IF($E549="","","系统")</f>
        <v/>
      </c>
      <c r="O549" s="67" t="str">
        <f aca="false">IF($E549="","","自动A")</f>
        <v/>
      </c>
      <c r="P549" s="18"/>
    </row>
    <row r="550" customFormat="false" ht="18" hidden="false" customHeight="true" outlineLevel="0" collapsed="false">
      <c r="A550" s="107" t="str">
        <f aca="false">IF($E550="","",ROW()-3)</f>
        <v/>
      </c>
      <c r="B550" s="110" t="str">
        <f aca="false">IF($E550="","",INDEX(进销存对接!$C$4:$C$305,183))</f>
        <v/>
      </c>
      <c r="C550" s="67" t="str">
        <f aca="false">IF($E550="","","记-"&amp;TEXT($B550,"YYYYMM")&amp;"-进销存")</f>
        <v/>
      </c>
      <c r="D550" s="107" t="str">
        <f aca="false">IF($E550="","",INDEX(进销存对接!$D$4:$D$305,183)&amp;" "&amp;TEXT($B550,"YYYY年M月")&amp;" 自动结转")</f>
        <v/>
      </c>
      <c r="E550" s="67" t="str">
        <f aca="false">IF(INDEX(进销存对接!$M$4:$U$305,183,1)=0,"",INDEX(进销存对接!$M$4:$U$305,183,1))</f>
        <v/>
      </c>
      <c r="F550" s="99" t="str">
        <f aca="false">IF($E550="","",IFERROR(INDEX(科目表!$A$4:$A$81,MATCH($E550,科目表!$B$4:$B$81,0)),""))</f>
        <v/>
      </c>
      <c r="G550" s="67" t="str">
        <f aca="false">IF($E550="","",IFERROR(INDEX(科目表!$E$4:$E$81,MATCH($E550,科目表!$B$4:$B$81,0)),""))</f>
        <v/>
      </c>
      <c r="H550" s="70" t="str">
        <f aca="false">IF($E550="","",N(INDEX(进销存对接!$M$4:$U$305,183,2)))</f>
        <v/>
      </c>
      <c r="I550" s="70" t="str">
        <f aca="false">IF($E550="","",N(INDEX(进销存对接!$M$4:$U$305,183,3)))</f>
        <v/>
      </c>
      <c r="J550" s="67"/>
      <c r="K550" s="67" t="str">
        <f aca="false">IF($E550="","",INDEX(进销存对接!$D$4:$D$305,183))</f>
        <v/>
      </c>
      <c r="L550" s="107"/>
      <c r="M550" s="107"/>
      <c r="N550" s="67" t="str">
        <f aca="false">IF($E550="","","系统")</f>
        <v/>
      </c>
      <c r="O550" s="67" t="str">
        <f aca="false">IF($E550="","","自动A")</f>
        <v/>
      </c>
      <c r="P550" s="18"/>
    </row>
    <row r="551" customFormat="false" ht="18" hidden="false" customHeight="true" outlineLevel="0" collapsed="false">
      <c r="A551" s="107" t="str">
        <f aca="false">IF($E551="","",ROW()-3)</f>
        <v/>
      </c>
      <c r="B551" s="110" t="str">
        <f aca="false">IF($E551="","",INDEX(进销存对接!$C$4:$C$305,183))</f>
        <v/>
      </c>
      <c r="C551" s="67" t="str">
        <f aca="false">IF($E551="","","记-"&amp;TEXT($B551,"YYYYMM")&amp;"-进销存")</f>
        <v/>
      </c>
      <c r="D551" s="107" t="str">
        <f aca="false">IF($E551="","",INDEX(进销存对接!$D$4:$D$305,183)&amp;" "&amp;TEXT($B551,"YYYY年M月")&amp;" 自动结转")</f>
        <v/>
      </c>
      <c r="E551" s="67" t="str">
        <f aca="false">IF(INDEX(进销存对接!$M$4:$U$305,183,4)=0,"",INDEX(进销存对接!$M$4:$U$305,183,4))</f>
        <v/>
      </c>
      <c r="F551" s="99" t="str">
        <f aca="false">IF($E551="","",IFERROR(INDEX(科目表!$A$4:$A$81,MATCH($E551,科目表!$B$4:$B$81,0)),""))</f>
        <v/>
      </c>
      <c r="G551" s="67" t="str">
        <f aca="false">IF($E551="","",IFERROR(INDEX(科目表!$E$4:$E$81,MATCH($E551,科目表!$B$4:$B$81,0)),""))</f>
        <v/>
      </c>
      <c r="H551" s="70" t="str">
        <f aca="false">IF($E551="","",N(INDEX(进销存对接!$M$4:$U$305,183,5)))</f>
        <v/>
      </c>
      <c r="I551" s="70" t="str">
        <f aca="false">IF($E551="","",N(INDEX(进销存对接!$M$4:$U$305,183,6)))</f>
        <v/>
      </c>
      <c r="J551" s="67"/>
      <c r="K551" s="67" t="str">
        <f aca="false">IF($E551="","",INDEX(进销存对接!$D$4:$D$305,183))</f>
        <v/>
      </c>
      <c r="L551" s="107"/>
      <c r="M551" s="107"/>
      <c r="N551" s="67" t="str">
        <f aca="false">IF($E551="","","系统")</f>
        <v/>
      </c>
      <c r="O551" s="67" t="str">
        <f aca="false">IF($E551="","","自动A")</f>
        <v/>
      </c>
      <c r="P551" s="18"/>
    </row>
    <row r="552" customFormat="false" ht="18" hidden="false" customHeight="true" outlineLevel="0" collapsed="false">
      <c r="A552" s="107" t="str">
        <f aca="false">IF($E552="","",ROW()-3)</f>
        <v/>
      </c>
      <c r="B552" s="110" t="str">
        <f aca="false">IF($E552="","",INDEX(进销存对接!$C$4:$C$305,183))</f>
        <v/>
      </c>
      <c r="C552" s="67" t="str">
        <f aca="false">IF($E552="","","记-"&amp;TEXT($B552,"YYYYMM")&amp;"-进销存")</f>
        <v/>
      </c>
      <c r="D552" s="107" t="str">
        <f aca="false">IF($E552="","",INDEX(进销存对接!$D$4:$D$305,183)&amp;" "&amp;TEXT($B552,"YYYY年M月")&amp;" 自动结转")</f>
        <v/>
      </c>
      <c r="E552" s="67" t="str">
        <f aca="false">IF(INDEX(进销存对接!$M$4:$U$305,183,7)=0,"",INDEX(进销存对接!$M$4:$U$305,183,7))</f>
        <v/>
      </c>
      <c r="F552" s="99" t="str">
        <f aca="false">IF($E552="","",IFERROR(INDEX(科目表!$A$4:$A$81,MATCH($E552,科目表!$B$4:$B$81,0)),""))</f>
        <v/>
      </c>
      <c r="G552" s="67" t="str">
        <f aca="false">IF($E552="","",IFERROR(INDEX(科目表!$E$4:$E$81,MATCH($E552,科目表!$B$4:$B$81,0)),""))</f>
        <v/>
      </c>
      <c r="H552" s="70" t="str">
        <f aca="false">IF($E552="","",N(INDEX(进销存对接!$M$4:$U$305,183,8)))</f>
        <v/>
      </c>
      <c r="I552" s="70" t="str">
        <f aca="false">IF($E552="","",N(INDEX(进销存对接!$M$4:$U$305,183,9)))</f>
        <v/>
      </c>
      <c r="J552" s="67"/>
      <c r="K552" s="67" t="str">
        <f aca="false">IF($E552="","",INDEX(进销存对接!$D$4:$D$305,183))</f>
        <v/>
      </c>
      <c r="L552" s="107"/>
      <c r="M552" s="107"/>
      <c r="N552" s="67" t="str">
        <f aca="false">IF($E552="","","系统")</f>
        <v/>
      </c>
      <c r="O552" s="67" t="str">
        <f aca="false">IF($E552="","","自动A")</f>
        <v/>
      </c>
      <c r="P552" s="18"/>
    </row>
    <row r="553" customFormat="false" ht="18" hidden="false" customHeight="true" outlineLevel="0" collapsed="false">
      <c r="A553" s="107" t="str">
        <f aca="false">IF($E553="","",ROW()-3)</f>
        <v/>
      </c>
      <c r="B553" s="110" t="str">
        <f aca="false">IF($E553="","",INDEX(进销存对接!$C$4:$C$305,184))</f>
        <v/>
      </c>
      <c r="C553" s="67" t="str">
        <f aca="false">IF($E553="","","记-"&amp;TEXT($B553,"YYYYMM")&amp;"-进销存")</f>
        <v/>
      </c>
      <c r="D553" s="107" t="str">
        <f aca="false">IF($E553="","",INDEX(进销存对接!$D$4:$D$305,184)&amp;" "&amp;TEXT($B553,"YYYY年M月")&amp;" 自动结转")</f>
        <v/>
      </c>
      <c r="E553" s="67" t="str">
        <f aca="false">IF(INDEX(进销存对接!$M$4:$U$305,184,1)=0,"",INDEX(进销存对接!$M$4:$U$305,184,1))</f>
        <v/>
      </c>
      <c r="F553" s="99" t="str">
        <f aca="false">IF($E553="","",IFERROR(INDEX(科目表!$A$4:$A$81,MATCH($E553,科目表!$B$4:$B$81,0)),""))</f>
        <v/>
      </c>
      <c r="G553" s="67" t="str">
        <f aca="false">IF($E553="","",IFERROR(INDEX(科目表!$E$4:$E$81,MATCH($E553,科目表!$B$4:$B$81,0)),""))</f>
        <v/>
      </c>
      <c r="H553" s="70" t="str">
        <f aca="false">IF($E553="","",N(INDEX(进销存对接!$M$4:$U$305,184,2)))</f>
        <v/>
      </c>
      <c r="I553" s="70" t="str">
        <f aca="false">IF($E553="","",N(INDEX(进销存对接!$M$4:$U$305,184,3)))</f>
        <v/>
      </c>
      <c r="J553" s="67"/>
      <c r="K553" s="67" t="str">
        <f aca="false">IF($E553="","",INDEX(进销存对接!$D$4:$D$305,184))</f>
        <v/>
      </c>
      <c r="L553" s="107"/>
      <c r="M553" s="107"/>
      <c r="N553" s="67" t="str">
        <f aca="false">IF($E553="","","系统")</f>
        <v/>
      </c>
      <c r="O553" s="67" t="str">
        <f aca="false">IF($E553="","","自动A")</f>
        <v/>
      </c>
      <c r="P553" s="18"/>
    </row>
    <row r="554" customFormat="false" ht="18" hidden="false" customHeight="true" outlineLevel="0" collapsed="false">
      <c r="A554" s="107" t="str">
        <f aca="false">IF($E554="","",ROW()-3)</f>
        <v/>
      </c>
      <c r="B554" s="110" t="str">
        <f aca="false">IF($E554="","",INDEX(进销存对接!$C$4:$C$305,184))</f>
        <v/>
      </c>
      <c r="C554" s="67" t="str">
        <f aca="false">IF($E554="","","记-"&amp;TEXT($B554,"YYYYMM")&amp;"-进销存")</f>
        <v/>
      </c>
      <c r="D554" s="107" t="str">
        <f aca="false">IF($E554="","",INDEX(进销存对接!$D$4:$D$305,184)&amp;" "&amp;TEXT($B554,"YYYY年M月")&amp;" 自动结转")</f>
        <v/>
      </c>
      <c r="E554" s="67" t="str">
        <f aca="false">IF(INDEX(进销存对接!$M$4:$U$305,184,4)=0,"",INDEX(进销存对接!$M$4:$U$305,184,4))</f>
        <v/>
      </c>
      <c r="F554" s="99" t="str">
        <f aca="false">IF($E554="","",IFERROR(INDEX(科目表!$A$4:$A$81,MATCH($E554,科目表!$B$4:$B$81,0)),""))</f>
        <v/>
      </c>
      <c r="G554" s="67" t="str">
        <f aca="false">IF($E554="","",IFERROR(INDEX(科目表!$E$4:$E$81,MATCH($E554,科目表!$B$4:$B$81,0)),""))</f>
        <v/>
      </c>
      <c r="H554" s="70" t="str">
        <f aca="false">IF($E554="","",N(INDEX(进销存对接!$M$4:$U$305,184,5)))</f>
        <v/>
      </c>
      <c r="I554" s="70" t="str">
        <f aca="false">IF($E554="","",N(INDEX(进销存对接!$M$4:$U$305,184,6)))</f>
        <v/>
      </c>
      <c r="J554" s="67"/>
      <c r="K554" s="67" t="str">
        <f aca="false">IF($E554="","",INDEX(进销存对接!$D$4:$D$305,184))</f>
        <v/>
      </c>
      <c r="L554" s="107"/>
      <c r="M554" s="107"/>
      <c r="N554" s="67" t="str">
        <f aca="false">IF($E554="","","系统")</f>
        <v/>
      </c>
      <c r="O554" s="67" t="str">
        <f aca="false">IF($E554="","","自动A")</f>
        <v/>
      </c>
      <c r="P554" s="18"/>
    </row>
    <row r="555" customFormat="false" ht="18" hidden="false" customHeight="true" outlineLevel="0" collapsed="false">
      <c r="A555" s="107" t="str">
        <f aca="false">IF($E555="","",ROW()-3)</f>
        <v/>
      </c>
      <c r="B555" s="110" t="str">
        <f aca="false">IF($E555="","",INDEX(进销存对接!$C$4:$C$305,184))</f>
        <v/>
      </c>
      <c r="C555" s="67" t="str">
        <f aca="false">IF($E555="","","记-"&amp;TEXT($B555,"YYYYMM")&amp;"-进销存")</f>
        <v/>
      </c>
      <c r="D555" s="107" t="str">
        <f aca="false">IF($E555="","",INDEX(进销存对接!$D$4:$D$305,184)&amp;" "&amp;TEXT($B555,"YYYY年M月")&amp;" 自动结转")</f>
        <v/>
      </c>
      <c r="E555" s="67" t="str">
        <f aca="false">IF(INDEX(进销存对接!$M$4:$U$305,184,7)=0,"",INDEX(进销存对接!$M$4:$U$305,184,7))</f>
        <v/>
      </c>
      <c r="F555" s="99" t="str">
        <f aca="false">IF($E555="","",IFERROR(INDEX(科目表!$A$4:$A$81,MATCH($E555,科目表!$B$4:$B$81,0)),""))</f>
        <v/>
      </c>
      <c r="G555" s="67" t="str">
        <f aca="false">IF($E555="","",IFERROR(INDEX(科目表!$E$4:$E$81,MATCH($E555,科目表!$B$4:$B$81,0)),""))</f>
        <v/>
      </c>
      <c r="H555" s="70" t="str">
        <f aca="false">IF($E555="","",N(INDEX(进销存对接!$M$4:$U$305,184,8)))</f>
        <v/>
      </c>
      <c r="I555" s="70" t="str">
        <f aca="false">IF($E555="","",N(INDEX(进销存对接!$M$4:$U$305,184,9)))</f>
        <v/>
      </c>
      <c r="J555" s="67"/>
      <c r="K555" s="67" t="str">
        <f aca="false">IF($E555="","",INDEX(进销存对接!$D$4:$D$305,184))</f>
        <v/>
      </c>
      <c r="L555" s="107"/>
      <c r="M555" s="107"/>
      <c r="N555" s="67" t="str">
        <f aca="false">IF($E555="","","系统")</f>
        <v/>
      </c>
      <c r="O555" s="67" t="str">
        <f aca="false">IF($E555="","","自动A")</f>
        <v/>
      </c>
      <c r="P555" s="18"/>
    </row>
    <row r="556" customFormat="false" ht="18" hidden="false" customHeight="true" outlineLevel="0" collapsed="false">
      <c r="A556" s="107" t="str">
        <f aca="false">IF($E556="","",ROW()-3)</f>
        <v/>
      </c>
      <c r="B556" s="110" t="str">
        <f aca="false">IF($E556="","",INDEX(进销存对接!$C$4:$C$305,185))</f>
        <v/>
      </c>
      <c r="C556" s="67" t="str">
        <f aca="false">IF($E556="","","记-"&amp;TEXT($B556,"YYYYMM")&amp;"-进销存")</f>
        <v/>
      </c>
      <c r="D556" s="107" t="str">
        <f aca="false">IF($E556="","",INDEX(进销存对接!$D$4:$D$305,185)&amp;" "&amp;TEXT($B556,"YYYY年M月")&amp;" 自动结转")</f>
        <v/>
      </c>
      <c r="E556" s="67" t="str">
        <f aca="false">IF(INDEX(进销存对接!$M$4:$U$305,185,1)=0,"",INDEX(进销存对接!$M$4:$U$305,185,1))</f>
        <v/>
      </c>
      <c r="F556" s="99" t="str">
        <f aca="false">IF($E556="","",IFERROR(INDEX(科目表!$A$4:$A$81,MATCH($E556,科目表!$B$4:$B$81,0)),""))</f>
        <v/>
      </c>
      <c r="G556" s="67" t="str">
        <f aca="false">IF($E556="","",IFERROR(INDEX(科目表!$E$4:$E$81,MATCH($E556,科目表!$B$4:$B$81,0)),""))</f>
        <v/>
      </c>
      <c r="H556" s="70" t="str">
        <f aca="false">IF($E556="","",N(INDEX(进销存对接!$M$4:$U$305,185,2)))</f>
        <v/>
      </c>
      <c r="I556" s="70" t="str">
        <f aca="false">IF($E556="","",N(INDEX(进销存对接!$M$4:$U$305,185,3)))</f>
        <v/>
      </c>
      <c r="J556" s="67"/>
      <c r="K556" s="67" t="str">
        <f aca="false">IF($E556="","",INDEX(进销存对接!$D$4:$D$305,185))</f>
        <v/>
      </c>
      <c r="L556" s="107"/>
      <c r="M556" s="107"/>
      <c r="N556" s="67" t="str">
        <f aca="false">IF($E556="","","系统")</f>
        <v/>
      </c>
      <c r="O556" s="67" t="str">
        <f aca="false">IF($E556="","","自动A")</f>
        <v/>
      </c>
      <c r="P556" s="18"/>
    </row>
    <row r="557" customFormat="false" ht="18" hidden="false" customHeight="true" outlineLevel="0" collapsed="false">
      <c r="A557" s="107" t="str">
        <f aca="false">IF($E557="","",ROW()-3)</f>
        <v/>
      </c>
      <c r="B557" s="110" t="str">
        <f aca="false">IF($E557="","",INDEX(进销存对接!$C$4:$C$305,185))</f>
        <v/>
      </c>
      <c r="C557" s="67" t="str">
        <f aca="false">IF($E557="","","记-"&amp;TEXT($B557,"YYYYMM")&amp;"-进销存")</f>
        <v/>
      </c>
      <c r="D557" s="107" t="str">
        <f aca="false">IF($E557="","",INDEX(进销存对接!$D$4:$D$305,185)&amp;" "&amp;TEXT($B557,"YYYY年M月")&amp;" 自动结转")</f>
        <v/>
      </c>
      <c r="E557" s="67" t="str">
        <f aca="false">IF(INDEX(进销存对接!$M$4:$U$305,185,4)=0,"",INDEX(进销存对接!$M$4:$U$305,185,4))</f>
        <v/>
      </c>
      <c r="F557" s="99" t="str">
        <f aca="false">IF($E557="","",IFERROR(INDEX(科目表!$A$4:$A$81,MATCH($E557,科目表!$B$4:$B$81,0)),""))</f>
        <v/>
      </c>
      <c r="G557" s="67" t="str">
        <f aca="false">IF($E557="","",IFERROR(INDEX(科目表!$E$4:$E$81,MATCH($E557,科目表!$B$4:$B$81,0)),""))</f>
        <v/>
      </c>
      <c r="H557" s="70" t="str">
        <f aca="false">IF($E557="","",N(INDEX(进销存对接!$M$4:$U$305,185,5)))</f>
        <v/>
      </c>
      <c r="I557" s="70" t="str">
        <f aca="false">IF($E557="","",N(INDEX(进销存对接!$M$4:$U$305,185,6)))</f>
        <v/>
      </c>
      <c r="J557" s="67"/>
      <c r="K557" s="67" t="str">
        <f aca="false">IF($E557="","",INDEX(进销存对接!$D$4:$D$305,185))</f>
        <v/>
      </c>
      <c r="L557" s="107"/>
      <c r="M557" s="107"/>
      <c r="N557" s="67" t="str">
        <f aca="false">IF($E557="","","系统")</f>
        <v/>
      </c>
      <c r="O557" s="67" t="str">
        <f aca="false">IF($E557="","","自动A")</f>
        <v/>
      </c>
      <c r="P557" s="18"/>
    </row>
    <row r="558" customFormat="false" ht="18" hidden="false" customHeight="true" outlineLevel="0" collapsed="false">
      <c r="A558" s="107" t="str">
        <f aca="false">IF($E558="","",ROW()-3)</f>
        <v/>
      </c>
      <c r="B558" s="110" t="str">
        <f aca="false">IF($E558="","",INDEX(进销存对接!$C$4:$C$305,185))</f>
        <v/>
      </c>
      <c r="C558" s="67" t="str">
        <f aca="false">IF($E558="","","记-"&amp;TEXT($B558,"YYYYMM")&amp;"-进销存")</f>
        <v/>
      </c>
      <c r="D558" s="107" t="str">
        <f aca="false">IF($E558="","",INDEX(进销存对接!$D$4:$D$305,185)&amp;" "&amp;TEXT($B558,"YYYY年M月")&amp;" 自动结转")</f>
        <v/>
      </c>
      <c r="E558" s="67" t="str">
        <f aca="false">IF(INDEX(进销存对接!$M$4:$U$305,185,7)=0,"",INDEX(进销存对接!$M$4:$U$305,185,7))</f>
        <v/>
      </c>
      <c r="F558" s="99" t="str">
        <f aca="false">IF($E558="","",IFERROR(INDEX(科目表!$A$4:$A$81,MATCH($E558,科目表!$B$4:$B$81,0)),""))</f>
        <v/>
      </c>
      <c r="G558" s="67" t="str">
        <f aca="false">IF($E558="","",IFERROR(INDEX(科目表!$E$4:$E$81,MATCH($E558,科目表!$B$4:$B$81,0)),""))</f>
        <v/>
      </c>
      <c r="H558" s="70" t="str">
        <f aca="false">IF($E558="","",N(INDEX(进销存对接!$M$4:$U$305,185,8)))</f>
        <v/>
      </c>
      <c r="I558" s="70" t="str">
        <f aca="false">IF($E558="","",N(INDEX(进销存对接!$M$4:$U$305,185,9)))</f>
        <v/>
      </c>
      <c r="J558" s="67"/>
      <c r="K558" s="67" t="str">
        <f aca="false">IF($E558="","",INDEX(进销存对接!$D$4:$D$305,185))</f>
        <v/>
      </c>
      <c r="L558" s="107"/>
      <c r="M558" s="107"/>
      <c r="N558" s="67" t="str">
        <f aca="false">IF($E558="","","系统")</f>
        <v/>
      </c>
      <c r="O558" s="67" t="str">
        <f aca="false">IF($E558="","","自动A")</f>
        <v/>
      </c>
      <c r="P558" s="18"/>
    </row>
    <row r="559" customFormat="false" ht="18" hidden="false" customHeight="true" outlineLevel="0" collapsed="false">
      <c r="A559" s="107" t="str">
        <f aca="false">IF($E559="","",ROW()-3)</f>
        <v/>
      </c>
      <c r="B559" s="110" t="str">
        <f aca="false">IF($E559="","",INDEX(进销存对接!$C$4:$C$305,186))</f>
        <v/>
      </c>
      <c r="C559" s="67" t="str">
        <f aca="false">IF($E559="","","记-"&amp;TEXT($B559,"YYYYMM")&amp;"-进销存")</f>
        <v/>
      </c>
      <c r="D559" s="107" t="str">
        <f aca="false">IF($E559="","",INDEX(进销存对接!$D$4:$D$305,186)&amp;" "&amp;TEXT($B559,"YYYY年M月")&amp;" 自动结转")</f>
        <v/>
      </c>
      <c r="E559" s="67" t="str">
        <f aca="false">IF(INDEX(进销存对接!$M$4:$U$305,186,1)=0,"",INDEX(进销存对接!$M$4:$U$305,186,1))</f>
        <v/>
      </c>
      <c r="F559" s="99" t="str">
        <f aca="false">IF($E559="","",IFERROR(INDEX(科目表!$A$4:$A$81,MATCH($E559,科目表!$B$4:$B$81,0)),""))</f>
        <v/>
      </c>
      <c r="G559" s="67" t="str">
        <f aca="false">IF($E559="","",IFERROR(INDEX(科目表!$E$4:$E$81,MATCH($E559,科目表!$B$4:$B$81,0)),""))</f>
        <v/>
      </c>
      <c r="H559" s="70" t="str">
        <f aca="false">IF($E559="","",N(INDEX(进销存对接!$M$4:$U$305,186,2)))</f>
        <v/>
      </c>
      <c r="I559" s="70" t="str">
        <f aca="false">IF($E559="","",N(INDEX(进销存对接!$M$4:$U$305,186,3)))</f>
        <v/>
      </c>
      <c r="J559" s="67"/>
      <c r="K559" s="67" t="str">
        <f aca="false">IF($E559="","",INDEX(进销存对接!$D$4:$D$305,186))</f>
        <v/>
      </c>
      <c r="L559" s="107"/>
      <c r="M559" s="107"/>
      <c r="N559" s="67" t="str">
        <f aca="false">IF($E559="","","系统")</f>
        <v/>
      </c>
      <c r="O559" s="67" t="str">
        <f aca="false">IF($E559="","","自动A")</f>
        <v/>
      </c>
      <c r="P559" s="18"/>
    </row>
    <row r="560" customFormat="false" ht="18" hidden="false" customHeight="true" outlineLevel="0" collapsed="false">
      <c r="A560" s="107" t="str">
        <f aca="false">IF($E560="","",ROW()-3)</f>
        <v/>
      </c>
      <c r="B560" s="110" t="str">
        <f aca="false">IF($E560="","",INDEX(进销存对接!$C$4:$C$305,186))</f>
        <v/>
      </c>
      <c r="C560" s="67" t="str">
        <f aca="false">IF($E560="","","记-"&amp;TEXT($B560,"YYYYMM")&amp;"-进销存")</f>
        <v/>
      </c>
      <c r="D560" s="107" t="str">
        <f aca="false">IF($E560="","",INDEX(进销存对接!$D$4:$D$305,186)&amp;" "&amp;TEXT($B560,"YYYY年M月")&amp;" 自动结转")</f>
        <v/>
      </c>
      <c r="E560" s="67" t="str">
        <f aca="false">IF(INDEX(进销存对接!$M$4:$U$305,186,4)=0,"",INDEX(进销存对接!$M$4:$U$305,186,4))</f>
        <v/>
      </c>
      <c r="F560" s="99" t="str">
        <f aca="false">IF($E560="","",IFERROR(INDEX(科目表!$A$4:$A$81,MATCH($E560,科目表!$B$4:$B$81,0)),""))</f>
        <v/>
      </c>
      <c r="G560" s="67" t="str">
        <f aca="false">IF($E560="","",IFERROR(INDEX(科目表!$E$4:$E$81,MATCH($E560,科目表!$B$4:$B$81,0)),""))</f>
        <v/>
      </c>
      <c r="H560" s="70" t="str">
        <f aca="false">IF($E560="","",N(INDEX(进销存对接!$M$4:$U$305,186,5)))</f>
        <v/>
      </c>
      <c r="I560" s="70" t="str">
        <f aca="false">IF($E560="","",N(INDEX(进销存对接!$M$4:$U$305,186,6)))</f>
        <v/>
      </c>
      <c r="J560" s="67"/>
      <c r="K560" s="67" t="str">
        <f aca="false">IF($E560="","",INDEX(进销存对接!$D$4:$D$305,186))</f>
        <v/>
      </c>
      <c r="L560" s="107"/>
      <c r="M560" s="107"/>
      <c r="N560" s="67" t="str">
        <f aca="false">IF($E560="","","系统")</f>
        <v/>
      </c>
      <c r="O560" s="67" t="str">
        <f aca="false">IF($E560="","","自动A")</f>
        <v/>
      </c>
      <c r="P560" s="18"/>
    </row>
    <row r="561" customFormat="false" ht="18" hidden="false" customHeight="true" outlineLevel="0" collapsed="false">
      <c r="A561" s="107" t="str">
        <f aca="false">IF($E561="","",ROW()-3)</f>
        <v/>
      </c>
      <c r="B561" s="110" t="str">
        <f aca="false">IF($E561="","",INDEX(进销存对接!$C$4:$C$305,186))</f>
        <v/>
      </c>
      <c r="C561" s="67" t="str">
        <f aca="false">IF($E561="","","记-"&amp;TEXT($B561,"YYYYMM")&amp;"-进销存")</f>
        <v/>
      </c>
      <c r="D561" s="107" t="str">
        <f aca="false">IF($E561="","",INDEX(进销存对接!$D$4:$D$305,186)&amp;" "&amp;TEXT($B561,"YYYY年M月")&amp;" 自动结转")</f>
        <v/>
      </c>
      <c r="E561" s="67" t="str">
        <f aca="false">IF(INDEX(进销存对接!$M$4:$U$305,186,7)=0,"",INDEX(进销存对接!$M$4:$U$305,186,7))</f>
        <v/>
      </c>
      <c r="F561" s="99" t="str">
        <f aca="false">IF($E561="","",IFERROR(INDEX(科目表!$A$4:$A$81,MATCH($E561,科目表!$B$4:$B$81,0)),""))</f>
        <v/>
      </c>
      <c r="G561" s="67" t="str">
        <f aca="false">IF($E561="","",IFERROR(INDEX(科目表!$E$4:$E$81,MATCH($E561,科目表!$B$4:$B$81,0)),""))</f>
        <v/>
      </c>
      <c r="H561" s="70" t="str">
        <f aca="false">IF($E561="","",N(INDEX(进销存对接!$M$4:$U$305,186,8)))</f>
        <v/>
      </c>
      <c r="I561" s="70" t="str">
        <f aca="false">IF($E561="","",N(INDEX(进销存对接!$M$4:$U$305,186,9)))</f>
        <v/>
      </c>
      <c r="J561" s="67"/>
      <c r="K561" s="67" t="str">
        <f aca="false">IF($E561="","",INDEX(进销存对接!$D$4:$D$305,186))</f>
        <v/>
      </c>
      <c r="L561" s="107"/>
      <c r="M561" s="107"/>
      <c r="N561" s="67" t="str">
        <f aca="false">IF($E561="","","系统")</f>
        <v/>
      </c>
      <c r="O561" s="67" t="str">
        <f aca="false">IF($E561="","","自动A")</f>
        <v/>
      </c>
      <c r="P561" s="18"/>
    </row>
    <row r="562" customFormat="false" ht="18" hidden="false" customHeight="true" outlineLevel="0" collapsed="false">
      <c r="A562" s="107" t="str">
        <f aca="false">IF($E562="","",ROW()-3)</f>
        <v/>
      </c>
      <c r="B562" s="110" t="str">
        <f aca="false">IF($E562="","",INDEX(进销存对接!$C$4:$C$305,187))</f>
        <v/>
      </c>
      <c r="C562" s="67" t="str">
        <f aca="false">IF($E562="","","记-"&amp;TEXT($B562,"YYYYMM")&amp;"-进销存")</f>
        <v/>
      </c>
      <c r="D562" s="107" t="str">
        <f aca="false">IF($E562="","",INDEX(进销存对接!$D$4:$D$305,187)&amp;" "&amp;TEXT($B562,"YYYY年M月")&amp;" 自动结转")</f>
        <v/>
      </c>
      <c r="E562" s="67" t="str">
        <f aca="false">IF(INDEX(进销存对接!$M$4:$U$305,187,1)=0,"",INDEX(进销存对接!$M$4:$U$305,187,1))</f>
        <v/>
      </c>
      <c r="F562" s="99" t="str">
        <f aca="false">IF($E562="","",IFERROR(INDEX(科目表!$A$4:$A$81,MATCH($E562,科目表!$B$4:$B$81,0)),""))</f>
        <v/>
      </c>
      <c r="G562" s="67" t="str">
        <f aca="false">IF($E562="","",IFERROR(INDEX(科目表!$E$4:$E$81,MATCH($E562,科目表!$B$4:$B$81,0)),""))</f>
        <v/>
      </c>
      <c r="H562" s="70" t="str">
        <f aca="false">IF($E562="","",N(INDEX(进销存对接!$M$4:$U$305,187,2)))</f>
        <v/>
      </c>
      <c r="I562" s="70" t="str">
        <f aca="false">IF($E562="","",N(INDEX(进销存对接!$M$4:$U$305,187,3)))</f>
        <v/>
      </c>
      <c r="J562" s="67"/>
      <c r="K562" s="67" t="str">
        <f aca="false">IF($E562="","",INDEX(进销存对接!$D$4:$D$305,187))</f>
        <v/>
      </c>
      <c r="L562" s="107"/>
      <c r="M562" s="107"/>
      <c r="N562" s="67" t="str">
        <f aca="false">IF($E562="","","系统")</f>
        <v/>
      </c>
      <c r="O562" s="67" t="str">
        <f aca="false">IF($E562="","","自动A")</f>
        <v/>
      </c>
      <c r="P562" s="18"/>
    </row>
    <row r="563" customFormat="false" ht="18" hidden="false" customHeight="true" outlineLevel="0" collapsed="false">
      <c r="A563" s="107" t="str">
        <f aca="false">IF($E563="","",ROW()-3)</f>
        <v/>
      </c>
      <c r="B563" s="110" t="str">
        <f aca="false">IF($E563="","",INDEX(进销存对接!$C$4:$C$305,187))</f>
        <v/>
      </c>
      <c r="C563" s="67" t="str">
        <f aca="false">IF($E563="","","记-"&amp;TEXT($B563,"YYYYMM")&amp;"-进销存")</f>
        <v/>
      </c>
      <c r="D563" s="107" t="str">
        <f aca="false">IF($E563="","",INDEX(进销存对接!$D$4:$D$305,187)&amp;" "&amp;TEXT($B563,"YYYY年M月")&amp;" 自动结转")</f>
        <v/>
      </c>
      <c r="E563" s="67" t="str">
        <f aca="false">IF(INDEX(进销存对接!$M$4:$U$305,187,4)=0,"",INDEX(进销存对接!$M$4:$U$305,187,4))</f>
        <v/>
      </c>
      <c r="F563" s="99" t="str">
        <f aca="false">IF($E563="","",IFERROR(INDEX(科目表!$A$4:$A$81,MATCH($E563,科目表!$B$4:$B$81,0)),""))</f>
        <v/>
      </c>
      <c r="G563" s="67" t="str">
        <f aca="false">IF($E563="","",IFERROR(INDEX(科目表!$E$4:$E$81,MATCH($E563,科目表!$B$4:$B$81,0)),""))</f>
        <v/>
      </c>
      <c r="H563" s="70" t="str">
        <f aca="false">IF($E563="","",N(INDEX(进销存对接!$M$4:$U$305,187,5)))</f>
        <v/>
      </c>
      <c r="I563" s="70" t="str">
        <f aca="false">IF($E563="","",N(INDEX(进销存对接!$M$4:$U$305,187,6)))</f>
        <v/>
      </c>
      <c r="J563" s="67"/>
      <c r="K563" s="67" t="str">
        <f aca="false">IF($E563="","",INDEX(进销存对接!$D$4:$D$305,187))</f>
        <v/>
      </c>
      <c r="L563" s="107"/>
      <c r="M563" s="107"/>
      <c r="N563" s="67" t="str">
        <f aca="false">IF($E563="","","系统")</f>
        <v/>
      </c>
      <c r="O563" s="67" t="str">
        <f aca="false">IF($E563="","","自动A")</f>
        <v/>
      </c>
      <c r="P563" s="18"/>
    </row>
    <row r="564" customFormat="false" ht="18" hidden="false" customHeight="true" outlineLevel="0" collapsed="false">
      <c r="A564" s="107" t="str">
        <f aca="false">IF($E564="","",ROW()-3)</f>
        <v/>
      </c>
      <c r="B564" s="110" t="str">
        <f aca="false">IF($E564="","",INDEX(进销存对接!$C$4:$C$305,187))</f>
        <v/>
      </c>
      <c r="C564" s="67" t="str">
        <f aca="false">IF($E564="","","记-"&amp;TEXT($B564,"YYYYMM")&amp;"-进销存")</f>
        <v/>
      </c>
      <c r="D564" s="107" t="str">
        <f aca="false">IF($E564="","",INDEX(进销存对接!$D$4:$D$305,187)&amp;" "&amp;TEXT($B564,"YYYY年M月")&amp;" 自动结转")</f>
        <v/>
      </c>
      <c r="E564" s="67" t="str">
        <f aca="false">IF(INDEX(进销存对接!$M$4:$U$305,187,7)=0,"",INDEX(进销存对接!$M$4:$U$305,187,7))</f>
        <v/>
      </c>
      <c r="F564" s="99" t="str">
        <f aca="false">IF($E564="","",IFERROR(INDEX(科目表!$A$4:$A$81,MATCH($E564,科目表!$B$4:$B$81,0)),""))</f>
        <v/>
      </c>
      <c r="G564" s="67" t="str">
        <f aca="false">IF($E564="","",IFERROR(INDEX(科目表!$E$4:$E$81,MATCH($E564,科目表!$B$4:$B$81,0)),""))</f>
        <v/>
      </c>
      <c r="H564" s="70" t="str">
        <f aca="false">IF($E564="","",N(INDEX(进销存对接!$M$4:$U$305,187,8)))</f>
        <v/>
      </c>
      <c r="I564" s="70" t="str">
        <f aca="false">IF($E564="","",N(INDEX(进销存对接!$M$4:$U$305,187,9)))</f>
        <v/>
      </c>
      <c r="J564" s="67"/>
      <c r="K564" s="67" t="str">
        <f aca="false">IF($E564="","",INDEX(进销存对接!$D$4:$D$305,187))</f>
        <v/>
      </c>
      <c r="L564" s="107"/>
      <c r="M564" s="107"/>
      <c r="N564" s="67" t="str">
        <f aca="false">IF($E564="","","系统")</f>
        <v/>
      </c>
      <c r="O564" s="67" t="str">
        <f aca="false">IF($E564="","","自动A")</f>
        <v/>
      </c>
      <c r="P564" s="18"/>
    </row>
    <row r="565" customFormat="false" ht="18" hidden="false" customHeight="true" outlineLevel="0" collapsed="false">
      <c r="A565" s="107" t="str">
        <f aca="false">IF($E565="","",ROW()-3)</f>
        <v/>
      </c>
      <c r="B565" s="110" t="str">
        <f aca="false">IF($E565="","",INDEX(进销存对接!$C$4:$C$305,188))</f>
        <v/>
      </c>
      <c r="C565" s="67" t="str">
        <f aca="false">IF($E565="","","记-"&amp;TEXT($B565,"YYYYMM")&amp;"-进销存")</f>
        <v/>
      </c>
      <c r="D565" s="107" t="str">
        <f aca="false">IF($E565="","",INDEX(进销存对接!$D$4:$D$305,188)&amp;" "&amp;TEXT($B565,"YYYY年M月")&amp;" 自动结转")</f>
        <v/>
      </c>
      <c r="E565" s="67" t="str">
        <f aca="false">IF(INDEX(进销存对接!$M$4:$U$305,188,1)=0,"",INDEX(进销存对接!$M$4:$U$305,188,1))</f>
        <v/>
      </c>
      <c r="F565" s="99" t="str">
        <f aca="false">IF($E565="","",IFERROR(INDEX(科目表!$A$4:$A$81,MATCH($E565,科目表!$B$4:$B$81,0)),""))</f>
        <v/>
      </c>
      <c r="G565" s="67" t="str">
        <f aca="false">IF($E565="","",IFERROR(INDEX(科目表!$E$4:$E$81,MATCH($E565,科目表!$B$4:$B$81,0)),""))</f>
        <v/>
      </c>
      <c r="H565" s="70" t="str">
        <f aca="false">IF($E565="","",N(INDEX(进销存对接!$M$4:$U$305,188,2)))</f>
        <v/>
      </c>
      <c r="I565" s="70" t="str">
        <f aca="false">IF($E565="","",N(INDEX(进销存对接!$M$4:$U$305,188,3)))</f>
        <v/>
      </c>
      <c r="J565" s="67"/>
      <c r="K565" s="67" t="str">
        <f aca="false">IF($E565="","",INDEX(进销存对接!$D$4:$D$305,188))</f>
        <v/>
      </c>
      <c r="L565" s="107"/>
      <c r="M565" s="107"/>
      <c r="N565" s="67" t="str">
        <f aca="false">IF($E565="","","系统")</f>
        <v/>
      </c>
      <c r="O565" s="67" t="str">
        <f aca="false">IF($E565="","","自动A")</f>
        <v/>
      </c>
      <c r="P565" s="18"/>
    </row>
    <row r="566" customFormat="false" ht="18" hidden="false" customHeight="true" outlineLevel="0" collapsed="false">
      <c r="A566" s="107" t="str">
        <f aca="false">IF($E566="","",ROW()-3)</f>
        <v/>
      </c>
      <c r="B566" s="110" t="str">
        <f aca="false">IF($E566="","",INDEX(进销存对接!$C$4:$C$305,188))</f>
        <v/>
      </c>
      <c r="C566" s="67" t="str">
        <f aca="false">IF($E566="","","记-"&amp;TEXT($B566,"YYYYMM")&amp;"-进销存")</f>
        <v/>
      </c>
      <c r="D566" s="107" t="str">
        <f aca="false">IF($E566="","",INDEX(进销存对接!$D$4:$D$305,188)&amp;" "&amp;TEXT($B566,"YYYY年M月")&amp;" 自动结转")</f>
        <v/>
      </c>
      <c r="E566" s="67" t="str">
        <f aca="false">IF(INDEX(进销存对接!$M$4:$U$305,188,4)=0,"",INDEX(进销存对接!$M$4:$U$305,188,4))</f>
        <v/>
      </c>
      <c r="F566" s="99" t="str">
        <f aca="false">IF($E566="","",IFERROR(INDEX(科目表!$A$4:$A$81,MATCH($E566,科目表!$B$4:$B$81,0)),""))</f>
        <v/>
      </c>
      <c r="G566" s="67" t="str">
        <f aca="false">IF($E566="","",IFERROR(INDEX(科目表!$E$4:$E$81,MATCH($E566,科目表!$B$4:$B$81,0)),""))</f>
        <v/>
      </c>
      <c r="H566" s="70" t="str">
        <f aca="false">IF($E566="","",N(INDEX(进销存对接!$M$4:$U$305,188,5)))</f>
        <v/>
      </c>
      <c r="I566" s="70" t="str">
        <f aca="false">IF($E566="","",N(INDEX(进销存对接!$M$4:$U$305,188,6)))</f>
        <v/>
      </c>
      <c r="J566" s="67"/>
      <c r="K566" s="67" t="str">
        <f aca="false">IF($E566="","",INDEX(进销存对接!$D$4:$D$305,188))</f>
        <v/>
      </c>
      <c r="L566" s="107"/>
      <c r="M566" s="107"/>
      <c r="N566" s="67" t="str">
        <f aca="false">IF($E566="","","系统")</f>
        <v/>
      </c>
      <c r="O566" s="67" t="str">
        <f aca="false">IF($E566="","","自动A")</f>
        <v/>
      </c>
      <c r="P566" s="18"/>
    </row>
    <row r="567" customFormat="false" ht="18" hidden="false" customHeight="true" outlineLevel="0" collapsed="false">
      <c r="A567" s="107" t="str">
        <f aca="false">IF($E567="","",ROW()-3)</f>
        <v/>
      </c>
      <c r="B567" s="110" t="str">
        <f aca="false">IF($E567="","",INDEX(进销存对接!$C$4:$C$305,188))</f>
        <v/>
      </c>
      <c r="C567" s="67" t="str">
        <f aca="false">IF($E567="","","记-"&amp;TEXT($B567,"YYYYMM")&amp;"-进销存")</f>
        <v/>
      </c>
      <c r="D567" s="107" t="str">
        <f aca="false">IF($E567="","",INDEX(进销存对接!$D$4:$D$305,188)&amp;" "&amp;TEXT($B567,"YYYY年M月")&amp;" 自动结转")</f>
        <v/>
      </c>
      <c r="E567" s="67" t="str">
        <f aca="false">IF(INDEX(进销存对接!$M$4:$U$305,188,7)=0,"",INDEX(进销存对接!$M$4:$U$305,188,7))</f>
        <v/>
      </c>
      <c r="F567" s="99" t="str">
        <f aca="false">IF($E567="","",IFERROR(INDEX(科目表!$A$4:$A$81,MATCH($E567,科目表!$B$4:$B$81,0)),""))</f>
        <v/>
      </c>
      <c r="G567" s="67" t="str">
        <f aca="false">IF($E567="","",IFERROR(INDEX(科目表!$E$4:$E$81,MATCH($E567,科目表!$B$4:$B$81,0)),""))</f>
        <v/>
      </c>
      <c r="H567" s="70" t="str">
        <f aca="false">IF($E567="","",N(INDEX(进销存对接!$M$4:$U$305,188,8)))</f>
        <v/>
      </c>
      <c r="I567" s="70" t="str">
        <f aca="false">IF($E567="","",N(INDEX(进销存对接!$M$4:$U$305,188,9)))</f>
        <v/>
      </c>
      <c r="J567" s="67"/>
      <c r="K567" s="67" t="str">
        <f aca="false">IF($E567="","",INDEX(进销存对接!$D$4:$D$305,188))</f>
        <v/>
      </c>
      <c r="L567" s="107"/>
      <c r="M567" s="107"/>
      <c r="N567" s="67" t="str">
        <f aca="false">IF($E567="","","系统")</f>
        <v/>
      </c>
      <c r="O567" s="67" t="str">
        <f aca="false">IF($E567="","","自动A")</f>
        <v/>
      </c>
      <c r="P567" s="18"/>
    </row>
    <row r="568" customFormat="false" ht="18" hidden="false" customHeight="true" outlineLevel="0" collapsed="false">
      <c r="A568" s="107" t="str">
        <f aca="false">IF($E568="","",ROW()-3)</f>
        <v/>
      </c>
      <c r="B568" s="110" t="str">
        <f aca="false">IF($E568="","",INDEX(进销存对接!$C$4:$C$305,189))</f>
        <v/>
      </c>
      <c r="C568" s="67" t="str">
        <f aca="false">IF($E568="","","记-"&amp;TEXT($B568,"YYYYMM")&amp;"-进销存")</f>
        <v/>
      </c>
      <c r="D568" s="107" t="str">
        <f aca="false">IF($E568="","",INDEX(进销存对接!$D$4:$D$305,189)&amp;" "&amp;TEXT($B568,"YYYY年M月")&amp;" 自动结转")</f>
        <v/>
      </c>
      <c r="E568" s="67" t="str">
        <f aca="false">IF(INDEX(进销存对接!$M$4:$U$305,189,1)=0,"",INDEX(进销存对接!$M$4:$U$305,189,1))</f>
        <v/>
      </c>
      <c r="F568" s="99" t="str">
        <f aca="false">IF($E568="","",IFERROR(INDEX(科目表!$A$4:$A$81,MATCH($E568,科目表!$B$4:$B$81,0)),""))</f>
        <v/>
      </c>
      <c r="G568" s="67" t="str">
        <f aca="false">IF($E568="","",IFERROR(INDEX(科目表!$E$4:$E$81,MATCH($E568,科目表!$B$4:$B$81,0)),""))</f>
        <v/>
      </c>
      <c r="H568" s="70" t="str">
        <f aca="false">IF($E568="","",N(INDEX(进销存对接!$M$4:$U$305,189,2)))</f>
        <v/>
      </c>
      <c r="I568" s="70" t="str">
        <f aca="false">IF($E568="","",N(INDEX(进销存对接!$M$4:$U$305,189,3)))</f>
        <v/>
      </c>
      <c r="J568" s="67"/>
      <c r="K568" s="67" t="str">
        <f aca="false">IF($E568="","",INDEX(进销存对接!$D$4:$D$305,189))</f>
        <v/>
      </c>
      <c r="L568" s="107"/>
      <c r="M568" s="107"/>
      <c r="N568" s="67" t="str">
        <f aca="false">IF($E568="","","系统")</f>
        <v/>
      </c>
      <c r="O568" s="67" t="str">
        <f aca="false">IF($E568="","","自动A")</f>
        <v/>
      </c>
      <c r="P568" s="18"/>
    </row>
    <row r="569" customFormat="false" ht="18" hidden="false" customHeight="true" outlineLevel="0" collapsed="false">
      <c r="A569" s="107" t="str">
        <f aca="false">IF($E569="","",ROW()-3)</f>
        <v/>
      </c>
      <c r="B569" s="110" t="str">
        <f aca="false">IF($E569="","",INDEX(进销存对接!$C$4:$C$305,189))</f>
        <v/>
      </c>
      <c r="C569" s="67" t="str">
        <f aca="false">IF($E569="","","记-"&amp;TEXT($B569,"YYYYMM")&amp;"-进销存")</f>
        <v/>
      </c>
      <c r="D569" s="107" t="str">
        <f aca="false">IF($E569="","",INDEX(进销存对接!$D$4:$D$305,189)&amp;" "&amp;TEXT($B569,"YYYY年M月")&amp;" 自动结转")</f>
        <v/>
      </c>
      <c r="E569" s="67" t="str">
        <f aca="false">IF(INDEX(进销存对接!$M$4:$U$305,189,4)=0,"",INDEX(进销存对接!$M$4:$U$305,189,4))</f>
        <v/>
      </c>
      <c r="F569" s="99" t="str">
        <f aca="false">IF($E569="","",IFERROR(INDEX(科目表!$A$4:$A$81,MATCH($E569,科目表!$B$4:$B$81,0)),""))</f>
        <v/>
      </c>
      <c r="G569" s="67" t="str">
        <f aca="false">IF($E569="","",IFERROR(INDEX(科目表!$E$4:$E$81,MATCH($E569,科目表!$B$4:$B$81,0)),""))</f>
        <v/>
      </c>
      <c r="H569" s="70" t="str">
        <f aca="false">IF($E569="","",N(INDEX(进销存对接!$M$4:$U$305,189,5)))</f>
        <v/>
      </c>
      <c r="I569" s="70" t="str">
        <f aca="false">IF($E569="","",N(INDEX(进销存对接!$M$4:$U$305,189,6)))</f>
        <v/>
      </c>
      <c r="J569" s="67"/>
      <c r="K569" s="67" t="str">
        <f aca="false">IF($E569="","",INDEX(进销存对接!$D$4:$D$305,189))</f>
        <v/>
      </c>
      <c r="L569" s="107"/>
      <c r="M569" s="107"/>
      <c r="N569" s="67" t="str">
        <f aca="false">IF($E569="","","系统")</f>
        <v/>
      </c>
      <c r="O569" s="67" t="str">
        <f aca="false">IF($E569="","","自动A")</f>
        <v/>
      </c>
      <c r="P569" s="18"/>
    </row>
    <row r="570" customFormat="false" ht="18" hidden="false" customHeight="true" outlineLevel="0" collapsed="false">
      <c r="A570" s="107" t="str">
        <f aca="false">IF($E570="","",ROW()-3)</f>
        <v/>
      </c>
      <c r="B570" s="110" t="str">
        <f aca="false">IF($E570="","",INDEX(进销存对接!$C$4:$C$305,189))</f>
        <v/>
      </c>
      <c r="C570" s="67" t="str">
        <f aca="false">IF($E570="","","记-"&amp;TEXT($B570,"YYYYMM")&amp;"-进销存")</f>
        <v/>
      </c>
      <c r="D570" s="107" t="str">
        <f aca="false">IF($E570="","",INDEX(进销存对接!$D$4:$D$305,189)&amp;" "&amp;TEXT($B570,"YYYY年M月")&amp;" 自动结转")</f>
        <v/>
      </c>
      <c r="E570" s="67" t="str">
        <f aca="false">IF(INDEX(进销存对接!$M$4:$U$305,189,7)=0,"",INDEX(进销存对接!$M$4:$U$305,189,7))</f>
        <v/>
      </c>
      <c r="F570" s="99" t="str">
        <f aca="false">IF($E570="","",IFERROR(INDEX(科目表!$A$4:$A$81,MATCH($E570,科目表!$B$4:$B$81,0)),""))</f>
        <v/>
      </c>
      <c r="G570" s="67" t="str">
        <f aca="false">IF($E570="","",IFERROR(INDEX(科目表!$E$4:$E$81,MATCH($E570,科目表!$B$4:$B$81,0)),""))</f>
        <v/>
      </c>
      <c r="H570" s="70" t="str">
        <f aca="false">IF($E570="","",N(INDEX(进销存对接!$M$4:$U$305,189,8)))</f>
        <v/>
      </c>
      <c r="I570" s="70" t="str">
        <f aca="false">IF($E570="","",N(INDEX(进销存对接!$M$4:$U$305,189,9)))</f>
        <v/>
      </c>
      <c r="J570" s="67"/>
      <c r="K570" s="67" t="str">
        <f aca="false">IF($E570="","",INDEX(进销存对接!$D$4:$D$305,189))</f>
        <v/>
      </c>
      <c r="L570" s="107"/>
      <c r="M570" s="107"/>
      <c r="N570" s="67" t="str">
        <f aca="false">IF($E570="","","系统")</f>
        <v/>
      </c>
      <c r="O570" s="67" t="str">
        <f aca="false">IF($E570="","","自动A")</f>
        <v/>
      </c>
      <c r="P570" s="18"/>
    </row>
    <row r="571" customFormat="false" ht="18" hidden="false" customHeight="true" outlineLevel="0" collapsed="false">
      <c r="A571" s="107" t="str">
        <f aca="false">IF($E571="","",ROW()-3)</f>
        <v/>
      </c>
      <c r="B571" s="110" t="str">
        <f aca="false">IF($E571="","",INDEX(进销存对接!$C$4:$C$305,190))</f>
        <v/>
      </c>
      <c r="C571" s="67" t="str">
        <f aca="false">IF($E571="","","记-"&amp;TEXT($B571,"YYYYMM")&amp;"-进销存")</f>
        <v/>
      </c>
      <c r="D571" s="107" t="str">
        <f aca="false">IF($E571="","",INDEX(进销存对接!$D$4:$D$305,190)&amp;" "&amp;TEXT($B571,"YYYY年M月")&amp;" 自动结转")</f>
        <v/>
      </c>
      <c r="E571" s="67" t="str">
        <f aca="false">IF(INDEX(进销存对接!$M$4:$U$305,190,1)=0,"",INDEX(进销存对接!$M$4:$U$305,190,1))</f>
        <v/>
      </c>
      <c r="F571" s="99" t="str">
        <f aca="false">IF($E571="","",IFERROR(INDEX(科目表!$A$4:$A$81,MATCH($E571,科目表!$B$4:$B$81,0)),""))</f>
        <v/>
      </c>
      <c r="G571" s="67" t="str">
        <f aca="false">IF($E571="","",IFERROR(INDEX(科目表!$E$4:$E$81,MATCH($E571,科目表!$B$4:$B$81,0)),""))</f>
        <v/>
      </c>
      <c r="H571" s="70" t="str">
        <f aca="false">IF($E571="","",N(INDEX(进销存对接!$M$4:$U$305,190,2)))</f>
        <v/>
      </c>
      <c r="I571" s="70" t="str">
        <f aca="false">IF($E571="","",N(INDEX(进销存对接!$M$4:$U$305,190,3)))</f>
        <v/>
      </c>
      <c r="J571" s="67"/>
      <c r="K571" s="67" t="str">
        <f aca="false">IF($E571="","",INDEX(进销存对接!$D$4:$D$305,190))</f>
        <v/>
      </c>
      <c r="L571" s="107"/>
      <c r="M571" s="107"/>
      <c r="N571" s="67" t="str">
        <f aca="false">IF($E571="","","系统")</f>
        <v/>
      </c>
      <c r="O571" s="67" t="str">
        <f aca="false">IF($E571="","","自动A")</f>
        <v/>
      </c>
      <c r="P571" s="18"/>
    </row>
    <row r="572" customFormat="false" ht="18" hidden="false" customHeight="true" outlineLevel="0" collapsed="false">
      <c r="A572" s="107" t="str">
        <f aca="false">IF($E572="","",ROW()-3)</f>
        <v/>
      </c>
      <c r="B572" s="110" t="str">
        <f aca="false">IF($E572="","",INDEX(进销存对接!$C$4:$C$305,190))</f>
        <v/>
      </c>
      <c r="C572" s="67" t="str">
        <f aca="false">IF($E572="","","记-"&amp;TEXT($B572,"YYYYMM")&amp;"-进销存")</f>
        <v/>
      </c>
      <c r="D572" s="107" t="str">
        <f aca="false">IF($E572="","",INDEX(进销存对接!$D$4:$D$305,190)&amp;" "&amp;TEXT($B572,"YYYY年M月")&amp;" 自动结转")</f>
        <v/>
      </c>
      <c r="E572" s="67" t="str">
        <f aca="false">IF(INDEX(进销存对接!$M$4:$U$305,190,4)=0,"",INDEX(进销存对接!$M$4:$U$305,190,4))</f>
        <v/>
      </c>
      <c r="F572" s="99" t="str">
        <f aca="false">IF($E572="","",IFERROR(INDEX(科目表!$A$4:$A$81,MATCH($E572,科目表!$B$4:$B$81,0)),""))</f>
        <v/>
      </c>
      <c r="G572" s="67" t="str">
        <f aca="false">IF($E572="","",IFERROR(INDEX(科目表!$E$4:$E$81,MATCH($E572,科目表!$B$4:$B$81,0)),""))</f>
        <v/>
      </c>
      <c r="H572" s="70" t="str">
        <f aca="false">IF($E572="","",N(INDEX(进销存对接!$M$4:$U$305,190,5)))</f>
        <v/>
      </c>
      <c r="I572" s="70" t="str">
        <f aca="false">IF($E572="","",N(INDEX(进销存对接!$M$4:$U$305,190,6)))</f>
        <v/>
      </c>
      <c r="J572" s="67"/>
      <c r="K572" s="67" t="str">
        <f aca="false">IF($E572="","",INDEX(进销存对接!$D$4:$D$305,190))</f>
        <v/>
      </c>
      <c r="L572" s="107"/>
      <c r="M572" s="107"/>
      <c r="N572" s="67" t="str">
        <f aca="false">IF($E572="","","系统")</f>
        <v/>
      </c>
      <c r="O572" s="67" t="str">
        <f aca="false">IF($E572="","","自动A")</f>
        <v/>
      </c>
      <c r="P572" s="18"/>
    </row>
    <row r="573" customFormat="false" ht="18" hidden="false" customHeight="true" outlineLevel="0" collapsed="false">
      <c r="A573" s="107" t="str">
        <f aca="false">IF($E573="","",ROW()-3)</f>
        <v/>
      </c>
      <c r="B573" s="110" t="str">
        <f aca="false">IF($E573="","",INDEX(进销存对接!$C$4:$C$305,190))</f>
        <v/>
      </c>
      <c r="C573" s="67" t="str">
        <f aca="false">IF($E573="","","记-"&amp;TEXT($B573,"YYYYMM")&amp;"-进销存")</f>
        <v/>
      </c>
      <c r="D573" s="107" t="str">
        <f aca="false">IF($E573="","",INDEX(进销存对接!$D$4:$D$305,190)&amp;" "&amp;TEXT($B573,"YYYY年M月")&amp;" 自动结转")</f>
        <v/>
      </c>
      <c r="E573" s="67" t="str">
        <f aca="false">IF(INDEX(进销存对接!$M$4:$U$305,190,7)=0,"",INDEX(进销存对接!$M$4:$U$305,190,7))</f>
        <v/>
      </c>
      <c r="F573" s="99" t="str">
        <f aca="false">IF($E573="","",IFERROR(INDEX(科目表!$A$4:$A$81,MATCH($E573,科目表!$B$4:$B$81,0)),""))</f>
        <v/>
      </c>
      <c r="G573" s="67" t="str">
        <f aca="false">IF($E573="","",IFERROR(INDEX(科目表!$E$4:$E$81,MATCH($E573,科目表!$B$4:$B$81,0)),""))</f>
        <v/>
      </c>
      <c r="H573" s="70" t="str">
        <f aca="false">IF($E573="","",N(INDEX(进销存对接!$M$4:$U$305,190,8)))</f>
        <v/>
      </c>
      <c r="I573" s="70" t="str">
        <f aca="false">IF($E573="","",N(INDEX(进销存对接!$M$4:$U$305,190,9)))</f>
        <v/>
      </c>
      <c r="J573" s="67"/>
      <c r="K573" s="67" t="str">
        <f aca="false">IF($E573="","",INDEX(进销存对接!$D$4:$D$305,190))</f>
        <v/>
      </c>
      <c r="L573" s="107"/>
      <c r="M573" s="107"/>
      <c r="N573" s="67" t="str">
        <f aca="false">IF($E573="","","系统")</f>
        <v/>
      </c>
      <c r="O573" s="67" t="str">
        <f aca="false">IF($E573="","","自动A")</f>
        <v/>
      </c>
      <c r="P573" s="18"/>
    </row>
    <row r="574" customFormat="false" ht="18" hidden="false" customHeight="true" outlineLevel="0" collapsed="false">
      <c r="A574" s="107" t="str">
        <f aca="false">IF($E574="","",ROW()-3)</f>
        <v/>
      </c>
      <c r="B574" s="110" t="str">
        <f aca="false">IF($E574="","",INDEX(进销存对接!$C$4:$C$305,191))</f>
        <v/>
      </c>
      <c r="C574" s="67" t="str">
        <f aca="false">IF($E574="","","记-"&amp;TEXT($B574,"YYYYMM")&amp;"-进销存")</f>
        <v/>
      </c>
      <c r="D574" s="107" t="str">
        <f aca="false">IF($E574="","",INDEX(进销存对接!$D$4:$D$305,191)&amp;" "&amp;TEXT($B574,"YYYY年M月")&amp;" 自动结转")</f>
        <v/>
      </c>
      <c r="E574" s="67" t="str">
        <f aca="false">IF(INDEX(进销存对接!$M$4:$U$305,191,1)=0,"",INDEX(进销存对接!$M$4:$U$305,191,1))</f>
        <v/>
      </c>
      <c r="F574" s="99" t="str">
        <f aca="false">IF($E574="","",IFERROR(INDEX(科目表!$A$4:$A$81,MATCH($E574,科目表!$B$4:$B$81,0)),""))</f>
        <v/>
      </c>
      <c r="G574" s="67" t="str">
        <f aca="false">IF($E574="","",IFERROR(INDEX(科目表!$E$4:$E$81,MATCH($E574,科目表!$B$4:$B$81,0)),""))</f>
        <v/>
      </c>
      <c r="H574" s="70" t="str">
        <f aca="false">IF($E574="","",N(INDEX(进销存对接!$M$4:$U$305,191,2)))</f>
        <v/>
      </c>
      <c r="I574" s="70" t="str">
        <f aca="false">IF($E574="","",N(INDEX(进销存对接!$M$4:$U$305,191,3)))</f>
        <v/>
      </c>
      <c r="J574" s="67"/>
      <c r="K574" s="67" t="str">
        <f aca="false">IF($E574="","",INDEX(进销存对接!$D$4:$D$305,191))</f>
        <v/>
      </c>
      <c r="L574" s="107"/>
      <c r="M574" s="107"/>
      <c r="N574" s="67" t="str">
        <f aca="false">IF($E574="","","系统")</f>
        <v/>
      </c>
      <c r="O574" s="67" t="str">
        <f aca="false">IF($E574="","","自动A")</f>
        <v/>
      </c>
      <c r="P574" s="18"/>
    </row>
    <row r="575" customFormat="false" ht="18" hidden="false" customHeight="true" outlineLevel="0" collapsed="false">
      <c r="A575" s="107" t="str">
        <f aca="false">IF($E575="","",ROW()-3)</f>
        <v/>
      </c>
      <c r="B575" s="110" t="str">
        <f aca="false">IF($E575="","",INDEX(进销存对接!$C$4:$C$305,191))</f>
        <v/>
      </c>
      <c r="C575" s="67" t="str">
        <f aca="false">IF($E575="","","记-"&amp;TEXT($B575,"YYYYMM")&amp;"-进销存")</f>
        <v/>
      </c>
      <c r="D575" s="107" t="str">
        <f aca="false">IF($E575="","",INDEX(进销存对接!$D$4:$D$305,191)&amp;" "&amp;TEXT($B575,"YYYY年M月")&amp;" 自动结转")</f>
        <v/>
      </c>
      <c r="E575" s="67" t="str">
        <f aca="false">IF(INDEX(进销存对接!$M$4:$U$305,191,4)=0,"",INDEX(进销存对接!$M$4:$U$305,191,4))</f>
        <v/>
      </c>
      <c r="F575" s="99" t="str">
        <f aca="false">IF($E575="","",IFERROR(INDEX(科目表!$A$4:$A$81,MATCH($E575,科目表!$B$4:$B$81,0)),""))</f>
        <v/>
      </c>
      <c r="G575" s="67" t="str">
        <f aca="false">IF($E575="","",IFERROR(INDEX(科目表!$E$4:$E$81,MATCH($E575,科目表!$B$4:$B$81,0)),""))</f>
        <v/>
      </c>
      <c r="H575" s="70" t="str">
        <f aca="false">IF($E575="","",N(INDEX(进销存对接!$M$4:$U$305,191,5)))</f>
        <v/>
      </c>
      <c r="I575" s="70" t="str">
        <f aca="false">IF($E575="","",N(INDEX(进销存对接!$M$4:$U$305,191,6)))</f>
        <v/>
      </c>
      <c r="J575" s="67"/>
      <c r="K575" s="67" t="str">
        <f aca="false">IF($E575="","",INDEX(进销存对接!$D$4:$D$305,191))</f>
        <v/>
      </c>
      <c r="L575" s="107"/>
      <c r="M575" s="107"/>
      <c r="N575" s="67" t="str">
        <f aca="false">IF($E575="","","系统")</f>
        <v/>
      </c>
      <c r="O575" s="67" t="str">
        <f aca="false">IF($E575="","","自动A")</f>
        <v/>
      </c>
      <c r="P575" s="18"/>
    </row>
    <row r="576" customFormat="false" ht="18" hidden="false" customHeight="true" outlineLevel="0" collapsed="false">
      <c r="A576" s="107" t="str">
        <f aca="false">IF($E576="","",ROW()-3)</f>
        <v/>
      </c>
      <c r="B576" s="110" t="str">
        <f aca="false">IF($E576="","",INDEX(进销存对接!$C$4:$C$305,191))</f>
        <v/>
      </c>
      <c r="C576" s="67" t="str">
        <f aca="false">IF($E576="","","记-"&amp;TEXT($B576,"YYYYMM")&amp;"-进销存")</f>
        <v/>
      </c>
      <c r="D576" s="107" t="str">
        <f aca="false">IF($E576="","",INDEX(进销存对接!$D$4:$D$305,191)&amp;" "&amp;TEXT($B576,"YYYY年M月")&amp;" 自动结转")</f>
        <v/>
      </c>
      <c r="E576" s="67" t="str">
        <f aca="false">IF(INDEX(进销存对接!$M$4:$U$305,191,7)=0,"",INDEX(进销存对接!$M$4:$U$305,191,7))</f>
        <v/>
      </c>
      <c r="F576" s="99" t="str">
        <f aca="false">IF($E576="","",IFERROR(INDEX(科目表!$A$4:$A$81,MATCH($E576,科目表!$B$4:$B$81,0)),""))</f>
        <v/>
      </c>
      <c r="G576" s="67" t="str">
        <f aca="false">IF($E576="","",IFERROR(INDEX(科目表!$E$4:$E$81,MATCH($E576,科目表!$B$4:$B$81,0)),""))</f>
        <v/>
      </c>
      <c r="H576" s="70" t="str">
        <f aca="false">IF($E576="","",N(INDEX(进销存对接!$M$4:$U$305,191,8)))</f>
        <v/>
      </c>
      <c r="I576" s="70" t="str">
        <f aca="false">IF($E576="","",N(INDEX(进销存对接!$M$4:$U$305,191,9)))</f>
        <v/>
      </c>
      <c r="J576" s="67"/>
      <c r="K576" s="67" t="str">
        <f aca="false">IF($E576="","",INDEX(进销存对接!$D$4:$D$305,191))</f>
        <v/>
      </c>
      <c r="L576" s="107"/>
      <c r="M576" s="107"/>
      <c r="N576" s="67" t="str">
        <f aca="false">IF($E576="","","系统")</f>
        <v/>
      </c>
      <c r="O576" s="67" t="str">
        <f aca="false">IF($E576="","","自动A")</f>
        <v/>
      </c>
      <c r="P576" s="18"/>
    </row>
    <row r="577" customFormat="false" ht="18" hidden="false" customHeight="true" outlineLevel="0" collapsed="false">
      <c r="A577" s="107" t="str">
        <f aca="false">IF($E577="","",ROW()-3)</f>
        <v/>
      </c>
      <c r="B577" s="110" t="str">
        <f aca="false">IF($E577="","",INDEX(进销存对接!$C$4:$C$305,192))</f>
        <v/>
      </c>
      <c r="C577" s="67" t="str">
        <f aca="false">IF($E577="","","记-"&amp;TEXT($B577,"YYYYMM")&amp;"-进销存")</f>
        <v/>
      </c>
      <c r="D577" s="107" t="str">
        <f aca="false">IF($E577="","",INDEX(进销存对接!$D$4:$D$305,192)&amp;" "&amp;TEXT($B577,"YYYY年M月")&amp;" 自动结转")</f>
        <v/>
      </c>
      <c r="E577" s="67" t="str">
        <f aca="false">IF(INDEX(进销存对接!$M$4:$U$305,192,1)=0,"",INDEX(进销存对接!$M$4:$U$305,192,1))</f>
        <v/>
      </c>
      <c r="F577" s="99" t="str">
        <f aca="false">IF($E577="","",IFERROR(INDEX(科目表!$A$4:$A$81,MATCH($E577,科目表!$B$4:$B$81,0)),""))</f>
        <v/>
      </c>
      <c r="G577" s="67" t="str">
        <f aca="false">IF($E577="","",IFERROR(INDEX(科目表!$E$4:$E$81,MATCH($E577,科目表!$B$4:$B$81,0)),""))</f>
        <v/>
      </c>
      <c r="H577" s="70" t="str">
        <f aca="false">IF($E577="","",N(INDEX(进销存对接!$M$4:$U$305,192,2)))</f>
        <v/>
      </c>
      <c r="I577" s="70" t="str">
        <f aca="false">IF($E577="","",N(INDEX(进销存对接!$M$4:$U$305,192,3)))</f>
        <v/>
      </c>
      <c r="J577" s="67"/>
      <c r="K577" s="67" t="str">
        <f aca="false">IF($E577="","",INDEX(进销存对接!$D$4:$D$305,192))</f>
        <v/>
      </c>
      <c r="L577" s="107"/>
      <c r="M577" s="107"/>
      <c r="N577" s="67" t="str">
        <f aca="false">IF($E577="","","系统")</f>
        <v/>
      </c>
      <c r="O577" s="67" t="str">
        <f aca="false">IF($E577="","","自动A")</f>
        <v/>
      </c>
      <c r="P577" s="18"/>
    </row>
    <row r="578" customFormat="false" ht="18" hidden="false" customHeight="true" outlineLevel="0" collapsed="false">
      <c r="A578" s="107" t="str">
        <f aca="false">IF($E578="","",ROW()-3)</f>
        <v/>
      </c>
      <c r="B578" s="110" t="str">
        <f aca="false">IF($E578="","",INDEX(进销存对接!$C$4:$C$305,192))</f>
        <v/>
      </c>
      <c r="C578" s="67" t="str">
        <f aca="false">IF($E578="","","记-"&amp;TEXT($B578,"YYYYMM")&amp;"-进销存")</f>
        <v/>
      </c>
      <c r="D578" s="107" t="str">
        <f aca="false">IF($E578="","",INDEX(进销存对接!$D$4:$D$305,192)&amp;" "&amp;TEXT($B578,"YYYY年M月")&amp;" 自动结转")</f>
        <v/>
      </c>
      <c r="E578" s="67" t="str">
        <f aca="false">IF(INDEX(进销存对接!$M$4:$U$305,192,4)=0,"",INDEX(进销存对接!$M$4:$U$305,192,4))</f>
        <v/>
      </c>
      <c r="F578" s="99" t="str">
        <f aca="false">IF($E578="","",IFERROR(INDEX(科目表!$A$4:$A$81,MATCH($E578,科目表!$B$4:$B$81,0)),""))</f>
        <v/>
      </c>
      <c r="G578" s="67" t="str">
        <f aca="false">IF($E578="","",IFERROR(INDEX(科目表!$E$4:$E$81,MATCH($E578,科目表!$B$4:$B$81,0)),""))</f>
        <v/>
      </c>
      <c r="H578" s="70" t="str">
        <f aca="false">IF($E578="","",N(INDEX(进销存对接!$M$4:$U$305,192,5)))</f>
        <v/>
      </c>
      <c r="I578" s="70" t="str">
        <f aca="false">IF($E578="","",N(INDEX(进销存对接!$M$4:$U$305,192,6)))</f>
        <v/>
      </c>
      <c r="J578" s="67"/>
      <c r="K578" s="67" t="str">
        <f aca="false">IF($E578="","",INDEX(进销存对接!$D$4:$D$305,192))</f>
        <v/>
      </c>
      <c r="L578" s="107"/>
      <c r="M578" s="107"/>
      <c r="N578" s="67" t="str">
        <f aca="false">IF($E578="","","系统")</f>
        <v/>
      </c>
      <c r="O578" s="67" t="str">
        <f aca="false">IF($E578="","","自动A")</f>
        <v/>
      </c>
      <c r="P578" s="18"/>
    </row>
    <row r="579" customFormat="false" ht="18" hidden="false" customHeight="true" outlineLevel="0" collapsed="false">
      <c r="A579" s="107" t="str">
        <f aca="false">IF($E579="","",ROW()-3)</f>
        <v/>
      </c>
      <c r="B579" s="110" t="str">
        <f aca="false">IF($E579="","",INDEX(进销存对接!$C$4:$C$305,192))</f>
        <v/>
      </c>
      <c r="C579" s="67" t="str">
        <f aca="false">IF($E579="","","记-"&amp;TEXT($B579,"YYYYMM")&amp;"-进销存")</f>
        <v/>
      </c>
      <c r="D579" s="107" t="str">
        <f aca="false">IF($E579="","",INDEX(进销存对接!$D$4:$D$305,192)&amp;" "&amp;TEXT($B579,"YYYY年M月")&amp;" 自动结转")</f>
        <v/>
      </c>
      <c r="E579" s="67" t="str">
        <f aca="false">IF(INDEX(进销存对接!$M$4:$U$305,192,7)=0,"",INDEX(进销存对接!$M$4:$U$305,192,7))</f>
        <v/>
      </c>
      <c r="F579" s="99" t="str">
        <f aca="false">IF($E579="","",IFERROR(INDEX(科目表!$A$4:$A$81,MATCH($E579,科目表!$B$4:$B$81,0)),""))</f>
        <v/>
      </c>
      <c r="G579" s="67" t="str">
        <f aca="false">IF($E579="","",IFERROR(INDEX(科目表!$E$4:$E$81,MATCH($E579,科目表!$B$4:$B$81,0)),""))</f>
        <v/>
      </c>
      <c r="H579" s="70" t="str">
        <f aca="false">IF($E579="","",N(INDEX(进销存对接!$M$4:$U$305,192,8)))</f>
        <v/>
      </c>
      <c r="I579" s="70" t="str">
        <f aca="false">IF($E579="","",N(INDEX(进销存对接!$M$4:$U$305,192,9)))</f>
        <v/>
      </c>
      <c r="J579" s="67"/>
      <c r="K579" s="67" t="str">
        <f aca="false">IF($E579="","",INDEX(进销存对接!$D$4:$D$305,192))</f>
        <v/>
      </c>
      <c r="L579" s="107"/>
      <c r="M579" s="107"/>
      <c r="N579" s="67" t="str">
        <f aca="false">IF($E579="","","系统")</f>
        <v/>
      </c>
      <c r="O579" s="67" t="str">
        <f aca="false">IF($E579="","","自动A")</f>
        <v/>
      </c>
      <c r="P579" s="18"/>
    </row>
    <row r="580" customFormat="false" ht="18" hidden="false" customHeight="true" outlineLevel="0" collapsed="false">
      <c r="A580" s="107" t="str">
        <f aca="false">IF($E580="","",ROW()-3)</f>
        <v/>
      </c>
      <c r="B580" s="110" t="str">
        <f aca="false">IF($E580="","",INDEX(进销存对接!$C$4:$C$305,193))</f>
        <v/>
      </c>
      <c r="C580" s="67" t="str">
        <f aca="false">IF($E580="","","记-"&amp;TEXT($B580,"YYYYMM")&amp;"-进销存")</f>
        <v/>
      </c>
      <c r="D580" s="107" t="str">
        <f aca="false">IF($E580="","",INDEX(进销存对接!$D$4:$D$305,193)&amp;" "&amp;TEXT($B580,"YYYY年M月")&amp;" 自动结转")</f>
        <v/>
      </c>
      <c r="E580" s="67" t="str">
        <f aca="false">IF(INDEX(进销存对接!$M$4:$U$305,193,1)=0,"",INDEX(进销存对接!$M$4:$U$305,193,1))</f>
        <v/>
      </c>
      <c r="F580" s="99" t="str">
        <f aca="false">IF($E580="","",IFERROR(INDEX(科目表!$A$4:$A$81,MATCH($E580,科目表!$B$4:$B$81,0)),""))</f>
        <v/>
      </c>
      <c r="G580" s="67" t="str">
        <f aca="false">IF($E580="","",IFERROR(INDEX(科目表!$E$4:$E$81,MATCH($E580,科目表!$B$4:$B$81,0)),""))</f>
        <v/>
      </c>
      <c r="H580" s="70" t="str">
        <f aca="false">IF($E580="","",N(INDEX(进销存对接!$M$4:$U$305,193,2)))</f>
        <v/>
      </c>
      <c r="I580" s="70" t="str">
        <f aca="false">IF($E580="","",N(INDEX(进销存对接!$M$4:$U$305,193,3)))</f>
        <v/>
      </c>
      <c r="J580" s="67"/>
      <c r="K580" s="67" t="str">
        <f aca="false">IF($E580="","",INDEX(进销存对接!$D$4:$D$305,193))</f>
        <v/>
      </c>
      <c r="L580" s="107"/>
      <c r="M580" s="107"/>
      <c r="N580" s="67" t="str">
        <f aca="false">IF($E580="","","系统")</f>
        <v/>
      </c>
      <c r="O580" s="67" t="str">
        <f aca="false">IF($E580="","","自动A")</f>
        <v/>
      </c>
      <c r="P580" s="18"/>
    </row>
    <row r="581" customFormat="false" ht="18" hidden="false" customHeight="true" outlineLevel="0" collapsed="false">
      <c r="A581" s="107" t="str">
        <f aca="false">IF($E581="","",ROW()-3)</f>
        <v/>
      </c>
      <c r="B581" s="110" t="str">
        <f aca="false">IF($E581="","",INDEX(进销存对接!$C$4:$C$305,193))</f>
        <v/>
      </c>
      <c r="C581" s="67" t="str">
        <f aca="false">IF($E581="","","记-"&amp;TEXT($B581,"YYYYMM")&amp;"-进销存")</f>
        <v/>
      </c>
      <c r="D581" s="107" t="str">
        <f aca="false">IF($E581="","",INDEX(进销存对接!$D$4:$D$305,193)&amp;" "&amp;TEXT($B581,"YYYY年M月")&amp;" 自动结转")</f>
        <v/>
      </c>
      <c r="E581" s="67" t="str">
        <f aca="false">IF(INDEX(进销存对接!$M$4:$U$305,193,4)=0,"",INDEX(进销存对接!$M$4:$U$305,193,4))</f>
        <v/>
      </c>
      <c r="F581" s="99" t="str">
        <f aca="false">IF($E581="","",IFERROR(INDEX(科目表!$A$4:$A$81,MATCH($E581,科目表!$B$4:$B$81,0)),""))</f>
        <v/>
      </c>
      <c r="G581" s="67" t="str">
        <f aca="false">IF($E581="","",IFERROR(INDEX(科目表!$E$4:$E$81,MATCH($E581,科目表!$B$4:$B$81,0)),""))</f>
        <v/>
      </c>
      <c r="H581" s="70" t="str">
        <f aca="false">IF($E581="","",N(INDEX(进销存对接!$M$4:$U$305,193,5)))</f>
        <v/>
      </c>
      <c r="I581" s="70" t="str">
        <f aca="false">IF($E581="","",N(INDEX(进销存对接!$M$4:$U$305,193,6)))</f>
        <v/>
      </c>
      <c r="J581" s="67"/>
      <c r="K581" s="67" t="str">
        <f aca="false">IF($E581="","",INDEX(进销存对接!$D$4:$D$305,193))</f>
        <v/>
      </c>
      <c r="L581" s="107"/>
      <c r="M581" s="107"/>
      <c r="N581" s="67" t="str">
        <f aca="false">IF($E581="","","系统")</f>
        <v/>
      </c>
      <c r="O581" s="67" t="str">
        <f aca="false">IF($E581="","","自动A")</f>
        <v/>
      </c>
      <c r="P581" s="18"/>
    </row>
    <row r="582" customFormat="false" ht="18" hidden="false" customHeight="true" outlineLevel="0" collapsed="false">
      <c r="A582" s="107" t="str">
        <f aca="false">IF($E582="","",ROW()-3)</f>
        <v/>
      </c>
      <c r="B582" s="110" t="str">
        <f aca="false">IF($E582="","",INDEX(进销存对接!$C$4:$C$305,193))</f>
        <v/>
      </c>
      <c r="C582" s="67" t="str">
        <f aca="false">IF($E582="","","记-"&amp;TEXT($B582,"YYYYMM")&amp;"-进销存")</f>
        <v/>
      </c>
      <c r="D582" s="107" t="str">
        <f aca="false">IF($E582="","",INDEX(进销存对接!$D$4:$D$305,193)&amp;" "&amp;TEXT($B582,"YYYY年M月")&amp;" 自动结转")</f>
        <v/>
      </c>
      <c r="E582" s="67" t="str">
        <f aca="false">IF(INDEX(进销存对接!$M$4:$U$305,193,7)=0,"",INDEX(进销存对接!$M$4:$U$305,193,7))</f>
        <v/>
      </c>
      <c r="F582" s="99" t="str">
        <f aca="false">IF($E582="","",IFERROR(INDEX(科目表!$A$4:$A$81,MATCH($E582,科目表!$B$4:$B$81,0)),""))</f>
        <v/>
      </c>
      <c r="G582" s="67" t="str">
        <f aca="false">IF($E582="","",IFERROR(INDEX(科目表!$E$4:$E$81,MATCH($E582,科目表!$B$4:$B$81,0)),""))</f>
        <v/>
      </c>
      <c r="H582" s="70" t="str">
        <f aca="false">IF($E582="","",N(INDEX(进销存对接!$M$4:$U$305,193,8)))</f>
        <v/>
      </c>
      <c r="I582" s="70" t="str">
        <f aca="false">IF($E582="","",N(INDEX(进销存对接!$M$4:$U$305,193,9)))</f>
        <v/>
      </c>
      <c r="J582" s="67"/>
      <c r="K582" s="67" t="str">
        <f aca="false">IF($E582="","",INDEX(进销存对接!$D$4:$D$305,193))</f>
        <v/>
      </c>
      <c r="L582" s="107"/>
      <c r="M582" s="107"/>
      <c r="N582" s="67" t="str">
        <f aca="false">IF($E582="","","系统")</f>
        <v/>
      </c>
      <c r="O582" s="67" t="str">
        <f aca="false">IF($E582="","","自动A")</f>
        <v/>
      </c>
      <c r="P582" s="18"/>
    </row>
    <row r="583" customFormat="false" ht="18" hidden="false" customHeight="true" outlineLevel="0" collapsed="false">
      <c r="A583" s="107" t="str">
        <f aca="false">IF($E583="","",ROW()-3)</f>
        <v/>
      </c>
      <c r="B583" s="110" t="str">
        <f aca="false">IF($E583="","",INDEX(进销存对接!$C$4:$C$305,194))</f>
        <v/>
      </c>
      <c r="C583" s="67" t="str">
        <f aca="false">IF($E583="","","记-"&amp;TEXT($B583,"YYYYMM")&amp;"-进销存")</f>
        <v/>
      </c>
      <c r="D583" s="107" t="str">
        <f aca="false">IF($E583="","",INDEX(进销存对接!$D$4:$D$305,194)&amp;" "&amp;TEXT($B583,"YYYY年M月")&amp;" 自动结转")</f>
        <v/>
      </c>
      <c r="E583" s="67" t="str">
        <f aca="false">IF(INDEX(进销存对接!$M$4:$U$305,194,1)=0,"",INDEX(进销存对接!$M$4:$U$305,194,1))</f>
        <v/>
      </c>
      <c r="F583" s="99" t="str">
        <f aca="false">IF($E583="","",IFERROR(INDEX(科目表!$A$4:$A$81,MATCH($E583,科目表!$B$4:$B$81,0)),""))</f>
        <v/>
      </c>
      <c r="G583" s="67" t="str">
        <f aca="false">IF($E583="","",IFERROR(INDEX(科目表!$E$4:$E$81,MATCH($E583,科目表!$B$4:$B$81,0)),""))</f>
        <v/>
      </c>
      <c r="H583" s="70" t="str">
        <f aca="false">IF($E583="","",N(INDEX(进销存对接!$M$4:$U$305,194,2)))</f>
        <v/>
      </c>
      <c r="I583" s="70" t="str">
        <f aca="false">IF($E583="","",N(INDEX(进销存对接!$M$4:$U$305,194,3)))</f>
        <v/>
      </c>
      <c r="J583" s="67"/>
      <c r="K583" s="67" t="str">
        <f aca="false">IF($E583="","",INDEX(进销存对接!$D$4:$D$305,194))</f>
        <v/>
      </c>
      <c r="L583" s="107"/>
      <c r="M583" s="107"/>
      <c r="N583" s="67" t="str">
        <f aca="false">IF($E583="","","系统")</f>
        <v/>
      </c>
      <c r="O583" s="67" t="str">
        <f aca="false">IF($E583="","","自动A")</f>
        <v/>
      </c>
      <c r="P583" s="18"/>
    </row>
    <row r="584" customFormat="false" ht="18" hidden="false" customHeight="true" outlineLevel="0" collapsed="false">
      <c r="A584" s="107" t="str">
        <f aca="false">IF($E584="","",ROW()-3)</f>
        <v/>
      </c>
      <c r="B584" s="110" t="str">
        <f aca="false">IF($E584="","",INDEX(进销存对接!$C$4:$C$305,194))</f>
        <v/>
      </c>
      <c r="C584" s="67" t="str">
        <f aca="false">IF($E584="","","记-"&amp;TEXT($B584,"YYYYMM")&amp;"-进销存")</f>
        <v/>
      </c>
      <c r="D584" s="107" t="str">
        <f aca="false">IF($E584="","",INDEX(进销存对接!$D$4:$D$305,194)&amp;" "&amp;TEXT($B584,"YYYY年M月")&amp;" 自动结转")</f>
        <v/>
      </c>
      <c r="E584" s="67" t="str">
        <f aca="false">IF(INDEX(进销存对接!$M$4:$U$305,194,4)=0,"",INDEX(进销存对接!$M$4:$U$305,194,4))</f>
        <v/>
      </c>
      <c r="F584" s="99" t="str">
        <f aca="false">IF($E584="","",IFERROR(INDEX(科目表!$A$4:$A$81,MATCH($E584,科目表!$B$4:$B$81,0)),""))</f>
        <v/>
      </c>
      <c r="G584" s="67" t="str">
        <f aca="false">IF($E584="","",IFERROR(INDEX(科目表!$E$4:$E$81,MATCH($E584,科目表!$B$4:$B$81,0)),""))</f>
        <v/>
      </c>
      <c r="H584" s="70" t="str">
        <f aca="false">IF($E584="","",N(INDEX(进销存对接!$M$4:$U$305,194,5)))</f>
        <v/>
      </c>
      <c r="I584" s="70" t="str">
        <f aca="false">IF($E584="","",N(INDEX(进销存对接!$M$4:$U$305,194,6)))</f>
        <v/>
      </c>
      <c r="J584" s="67"/>
      <c r="K584" s="67" t="str">
        <f aca="false">IF($E584="","",INDEX(进销存对接!$D$4:$D$305,194))</f>
        <v/>
      </c>
      <c r="L584" s="107"/>
      <c r="M584" s="107"/>
      <c r="N584" s="67" t="str">
        <f aca="false">IF($E584="","","系统")</f>
        <v/>
      </c>
      <c r="O584" s="67" t="str">
        <f aca="false">IF($E584="","","自动A")</f>
        <v/>
      </c>
      <c r="P584" s="18"/>
    </row>
    <row r="585" customFormat="false" ht="18" hidden="false" customHeight="true" outlineLevel="0" collapsed="false">
      <c r="A585" s="107" t="str">
        <f aca="false">IF($E585="","",ROW()-3)</f>
        <v/>
      </c>
      <c r="B585" s="110" t="str">
        <f aca="false">IF($E585="","",INDEX(进销存对接!$C$4:$C$305,194))</f>
        <v/>
      </c>
      <c r="C585" s="67" t="str">
        <f aca="false">IF($E585="","","记-"&amp;TEXT($B585,"YYYYMM")&amp;"-进销存")</f>
        <v/>
      </c>
      <c r="D585" s="107" t="str">
        <f aca="false">IF($E585="","",INDEX(进销存对接!$D$4:$D$305,194)&amp;" "&amp;TEXT($B585,"YYYY年M月")&amp;" 自动结转")</f>
        <v/>
      </c>
      <c r="E585" s="67" t="str">
        <f aca="false">IF(INDEX(进销存对接!$M$4:$U$305,194,7)=0,"",INDEX(进销存对接!$M$4:$U$305,194,7))</f>
        <v/>
      </c>
      <c r="F585" s="99" t="str">
        <f aca="false">IF($E585="","",IFERROR(INDEX(科目表!$A$4:$A$81,MATCH($E585,科目表!$B$4:$B$81,0)),""))</f>
        <v/>
      </c>
      <c r="G585" s="67" t="str">
        <f aca="false">IF($E585="","",IFERROR(INDEX(科目表!$E$4:$E$81,MATCH($E585,科目表!$B$4:$B$81,0)),""))</f>
        <v/>
      </c>
      <c r="H585" s="70" t="str">
        <f aca="false">IF($E585="","",N(INDEX(进销存对接!$M$4:$U$305,194,8)))</f>
        <v/>
      </c>
      <c r="I585" s="70" t="str">
        <f aca="false">IF($E585="","",N(INDEX(进销存对接!$M$4:$U$305,194,9)))</f>
        <v/>
      </c>
      <c r="J585" s="67"/>
      <c r="K585" s="67" t="str">
        <f aca="false">IF($E585="","",INDEX(进销存对接!$D$4:$D$305,194))</f>
        <v/>
      </c>
      <c r="L585" s="107"/>
      <c r="M585" s="107"/>
      <c r="N585" s="67" t="str">
        <f aca="false">IF($E585="","","系统")</f>
        <v/>
      </c>
      <c r="O585" s="67" t="str">
        <f aca="false">IF($E585="","","自动A")</f>
        <v/>
      </c>
      <c r="P585" s="18"/>
    </row>
    <row r="586" customFormat="false" ht="18" hidden="false" customHeight="true" outlineLevel="0" collapsed="false">
      <c r="A586" s="107" t="str">
        <f aca="false">IF($E586="","",ROW()-3)</f>
        <v/>
      </c>
      <c r="B586" s="110" t="str">
        <f aca="false">IF($E586="","",INDEX(进销存对接!$C$4:$C$305,195))</f>
        <v/>
      </c>
      <c r="C586" s="67" t="str">
        <f aca="false">IF($E586="","","记-"&amp;TEXT($B586,"YYYYMM")&amp;"-进销存")</f>
        <v/>
      </c>
      <c r="D586" s="107" t="str">
        <f aca="false">IF($E586="","",INDEX(进销存对接!$D$4:$D$305,195)&amp;" "&amp;TEXT($B586,"YYYY年M月")&amp;" 自动结转")</f>
        <v/>
      </c>
      <c r="E586" s="67" t="str">
        <f aca="false">IF(INDEX(进销存对接!$M$4:$U$305,195,1)=0,"",INDEX(进销存对接!$M$4:$U$305,195,1))</f>
        <v/>
      </c>
      <c r="F586" s="99" t="str">
        <f aca="false">IF($E586="","",IFERROR(INDEX(科目表!$A$4:$A$81,MATCH($E586,科目表!$B$4:$B$81,0)),""))</f>
        <v/>
      </c>
      <c r="G586" s="67" t="str">
        <f aca="false">IF($E586="","",IFERROR(INDEX(科目表!$E$4:$E$81,MATCH($E586,科目表!$B$4:$B$81,0)),""))</f>
        <v/>
      </c>
      <c r="H586" s="70" t="str">
        <f aca="false">IF($E586="","",N(INDEX(进销存对接!$M$4:$U$305,195,2)))</f>
        <v/>
      </c>
      <c r="I586" s="70" t="str">
        <f aca="false">IF($E586="","",N(INDEX(进销存对接!$M$4:$U$305,195,3)))</f>
        <v/>
      </c>
      <c r="J586" s="67"/>
      <c r="K586" s="67" t="str">
        <f aca="false">IF($E586="","",INDEX(进销存对接!$D$4:$D$305,195))</f>
        <v/>
      </c>
      <c r="L586" s="107"/>
      <c r="M586" s="107"/>
      <c r="N586" s="67" t="str">
        <f aca="false">IF($E586="","","系统")</f>
        <v/>
      </c>
      <c r="O586" s="67" t="str">
        <f aca="false">IF($E586="","","自动A")</f>
        <v/>
      </c>
      <c r="P586" s="18"/>
    </row>
    <row r="587" customFormat="false" ht="18" hidden="false" customHeight="true" outlineLevel="0" collapsed="false">
      <c r="A587" s="107" t="str">
        <f aca="false">IF($E587="","",ROW()-3)</f>
        <v/>
      </c>
      <c r="B587" s="110" t="str">
        <f aca="false">IF($E587="","",INDEX(进销存对接!$C$4:$C$305,195))</f>
        <v/>
      </c>
      <c r="C587" s="67" t="str">
        <f aca="false">IF($E587="","","记-"&amp;TEXT($B587,"YYYYMM")&amp;"-进销存")</f>
        <v/>
      </c>
      <c r="D587" s="107" t="str">
        <f aca="false">IF($E587="","",INDEX(进销存对接!$D$4:$D$305,195)&amp;" "&amp;TEXT($B587,"YYYY年M月")&amp;" 自动结转")</f>
        <v/>
      </c>
      <c r="E587" s="67" t="str">
        <f aca="false">IF(INDEX(进销存对接!$M$4:$U$305,195,4)=0,"",INDEX(进销存对接!$M$4:$U$305,195,4))</f>
        <v/>
      </c>
      <c r="F587" s="99" t="str">
        <f aca="false">IF($E587="","",IFERROR(INDEX(科目表!$A$4:$A$81,MATCH($E587,科目表!$B$4:$B$81,0)),""))</f>
        <v/>
      </c>
      <c r="G587" s="67" t="str">
        <f aca="false">IF($E587="","",IFERROR(INDEX(科目表!$E$4:$E$81,MATCH($E587,科目表!$B$4:$B$81,0)),""))</f>
        <v/>
      </c>
      <c r="H587" s="70" t="str">
        <f aca="false">IF($E587="","",N(INDEX(进销存对接!$M$4:$U$305,195,5)))</f>
        <v/>
      </c>
      <c r="I587" s="70" t="str">
        <f aca="false">IF($E587="","",N(INDEX(进销存对接!$M$4:$U$305,195,6)))</f>
        <v/>
      </c>
      <c r="J587" s="67"/>
      <c r="K587" s="67" t="str">
        <f aca="false">IF($E587="","",INDEX(进销存对接!$D$4:$D$305,195))</f>
        <v/>
      </c>
      <c r="L587" s="107"/>
      <c r="M587" s="107"/>
      <c r="N587" s="67" t="str">
        <f aca="false">IF($E587="","","系统")</f>
        <v/>
      </c>
      <c r="O587" s="67" t="str">
        <f aca="false">IF($E587="","","自动A")</f>
        <v/>
      </c>
      <c r="P587" s="18"/>
    </row>
    <row r="588" customFormat="false" ht="18" hidden="false" customHeight="true" outlineLevel="0" collapsed="false">
      <c r="A588" s="107" t="str">
        <f aca="false">IF($E588="","",ROW()-3)</f>
        <v/>
      </c>
      <c r="B588" s="110" t="str">
        <f aca="false">IF($E588="","",INDEX(进销存对接!$C$4:$C$305,195))</f>
        <v/>
      </c>
      <c r="C588" s="67" t="str">
        <f aca="false">IF($E588="","","记-"&amp;TEXT($B588,"YYYYMM")&amp;"-进销存")</f>
        <v/>
      </c>
      <c r="D588" s="107" t="str">
        <f aca="false">IF($E588="","",INDEX(进销存对接!$D$4:$D$305,195)&amp;" "&amp;TEXT($B588,"YYYY年M月")&amp;" 自动结转")</f>
        <v/>
      </c>
      <c r="E588" s="67" t="str">
        <f aca="false">IF(INDEX(进销存对接!$M$4:$U$305,195,7)=0,"",INDEX(进销存对接!$M$4:$U$305,195,7))</f>
        <v/>
      </c>
      <c r="F588" s="99" t="str">
        <f aca="false">IF($E588="","",IFERROR(INDEX(科目表!$A$4:$A$81,MATCH($E588,科目表!$B$4:$B$81,0)),""))</f>
        <v/>
      </c>
      <c r="G588" s="67" t="str">
        <f aca="false">IF($E588="","",IFERROR(INDEX(科目表!$E$4:$E$81,MATCH($E588,科目表!$B$4:$B$81,0)),""))</f>
        <v/>
      </c>
      <c r="H588" s="70" t="str">
        <f aca="false">IF($E588="","",N(INDEX(进销存对接!$M$4:$U$305,195,8)))</f>
        <v/>
      </c>
      <c r="I588" s="70" t="str">
        <f aca="false">IF($E588="","",N(INDEX(进销存对接!$M$4:$U$305,195,9)))</f>
        <v/>
      </c>
      <c r="J588" s="67"/>
      <c r="K588" s="67" t="str">
        <f aca="false">IF($E588="","",INDEX(进销存对接!$D$4:$D$305,195))</f>
        <v/>
      </c>
      <c r="L588" s="107"/>
      <c r="M588" s="107"/>
      <c r="N588" s="67" t="str">
        <f aca="false">IF($E588="","","系统")</f>
        <v/>
      </c>
      <c r="O588" s="67" t="str">
        <f aca="false">IF($E588="","","自动A")</f>
        <v/>
      </c>
      <c r="P588" s="18"/>
    </row>
    <row r="589" customFormat="false" ht="18" hidden="false" customHeight="true" outlineLevel="0" collapsed="false">
      <c r="A589" s="107" t="str">
        <f aca="false">IF($E589="","",ROW()-3)</f>
        <v/>
      </c>
      <c r="B589" s="110" t="str">
        <f aca="false">IF($E589="","",INDEX(进销存对接!$C$4:$C$305,196))</f>
        <v/>
      </c>
      <c r="C589" s="67" t="str">
        <f aca="false">IF($E589="","","记-"&amp;TEXT($B589,"YYYYMM")&amp;"-进销存")</f>
        <v/>
      </c>
      <c r="D589" s="107" t="str">
        <f aca="false">IF($E589="","",INDEX(进销存对接!$D$4:$D$305,196)&amp;" "&amp;TEXT($B589,"YYYY年M月")&amp;" 自动结转")</f>
        <v/>
      </c>
      <c r="E589" s="67" t="str">
        <f aca="false">IF(INDEX(进销存对接!$M$4:$U$305,196,1)=0,"",INDEX(进销存对接!$M$4:$U$305,196,1))</f>
        <v/>
      </c>
      <c r="F589" s="99" t="str">
        <f aca="false">IF($E589="","",IFERROR(INDEX(科目表!$A$4:$A$81,MATCH($E589,科目表!$B$4:$B$81,0)),""))</f>
        <v/>
      </c>
      <c r="G589" s="67" t="str">
        <f aca="false">IF($E589="","",IFERROR(INDEX(科目表!$E$4:$E$81,MATCH($E589,科目表!$B$4:$B$81,0)),""))</f>
        <v/>
      </c>
      <c r="H589" s="70" t="str">
        <f aca="false">IF($E589="","",N(INDEX(进销存对接!$M$4:$U$305,196,2)))</f>
        <v/>
      </c>
      <c r="I589" s="70" t="str">
        <f aca="false">IF($E589="","",N(INDEX(进销存对接!$M$4:$U$305,196,3)))</f>
        <v/>
      </c>
      <c r="J589" s="67"/>
      <c r="K589" s="67" t="str">
        <f aca="false">IF($E589="","",INDEX(进销存对接!$D$4:$D$305,196))</f>
        <v/>
      </c>
      <c r="L589" s="107"/>
      <c r="M589" s="107"/>
      <c r="N589" s="67" t="str">
        <f aca="false">IF($E589="","","系统")</f>
        <v/>
      </c>
      <c r="O589" s="67" t="str">
        <f aca="false">IF($E589="","","自动A")</f>
        <v/>
      </c>
      <c r="P589" s="18"/>
    </row>
    <row r="590" customFormat="false" ht="18" hidden="false" customHeight="true" outlineLevel="0" collapsed="false">
      <c r="A590" s="107" t="str">
        <f aca="false">IF($E590="","",ROW()-3)</f>
        <v/>
      </c>
      <c r="B590" s="110" t="str">
        <f aca="false">IF($E590="","",INDEX(进销存对接!$C$4:$C$305,196))</f>
        <v/>
      </c>
      <c r="C590" s="67" t="str">
        <f aca="false">IF($E590="","","记-"&amp;TEXT($B590,"YYYYMM")&amp;"-进销存")</f>
        <v/>
      </c>
      <c r="D590" s="107" t="str">
        <f aca="false">IF($E590="","",INDEX(进销存对接!$D$4:$D$305,196)&amp;" "&amp;TEXT($B590,"YYYY年M月")&amp;" 自动结转")</f>
        <v/>
      </c>
      <c r="E590" s="67" t="str">
        <f aca="false">IF(INDEX(进销存对接!$M$4:$U$305,196,4)=0,"",INDEX(进销存对接!$M$4:$U$305,196,4))</f>
        <v/>
      </c>
      <c r="F590" s="99" t="str">
        <f aca="false">IF($E590="","",IFERROR(INDEX(科目表!$A$4:$A$81,MATCH($E590,科目表!$B$4:$B$81,0)),""))</f>
        <v/>
      </c>
      <c r="G590" s="67" t="str">
        <f aca="false">IF($E590="","",IFERROR(INDEX(科目表!$E$4:$E$81,MATCH($E590,科目表!$B$4:$B$81,0)),""))</f>
        <v/>
      </c>
      <c r="H590" s="70" t="str">
        <f aca="false">IF($E590="","",N(INDEX(进销存对接!$M$4:$U$305,196,5)))</f>
        <v/>
      </c>
      <c r="I590" s="70" t="str">
        <f aca="false">IF($E590="","",N(INDEX(进销存对接!$M$4:$U$305,196,6)))</f>
        <v/>
      </c>
      <c r="J590" s="67"/>
      <c r="K590" s="67" t="str">
        <f aca="false">IF($E590="","",INDEX(进销存对接!$D$4:$D$305,196))</f>
        <v/>
      </c>
      <c r="L590" s="107"/>
      <c r="M590" s="107"/>
      <c r="N590" s="67" t="str">
        <f aca="false">IF($E590="","","系统")</f>
        <v/>
      </c>
      <c r="O590" s="67" t="str">
        <f aca="false">IF($E590="","","自动A")</f>
        <v/>
      </c>
      <c r="P590" s="18"/>
    </row>
    <row r="591" customFormat="false" ht="18" hidden="false" customHeight="true" outlineLevel="0" collapsed="false">
      <c r="A591" s="107" t="str">
        <f aca="false">IF($E591="","",ROW()-3)</f>
        <v/>
      </c>
      <c r="B591" s="110" t="str">
        <f aca="false">IF($E591="","",INDEX(进销存对接!$C$4:$C$305,196))</f>
        <v/>
      </c>
      <c r="C591" s="67" t="str">
        <f aca="false">IF($E591="","","记-"&amp;TEXT($B591,"YYYYMM")&amp;"-进销存")</f>
        <v/>
      </c>
      <c r="D591" s="107" t="str">
        <f aca="false">IF($E591="","",INDEX(进销存对接!$D$4:$D$305,196)&amp;" "&amp;TEXT($B591,"YYYY年M月")&amp;" 自动结转")</f>
        <v/>
      </c>
      <c r="E591" s="67" t="str">
        <f aca="false">IF(INDEX(进销存对接!$M$4:$U$305,196,7)=0,"",INDEX(进销存对接!$M$4:$U$305,196,7))</f>
        <v/>
      </c>
      <c r="F591" s="99" t="str">
        <f aca="false">IF($E591="","",IFERROR(INDEX(科目表!$A$4:$A$81,MATCH($E591,科目表!$B$4:$B$81,0)),""))</f>
        <v/>
      </c>
      <c r="G591" s="67" t="str">
        <f aca="false">IF($E591="","",IFERROR(INDEX(科目表!$E$4:$E$81,MATCH($E591,科目表!$B$4:$B$81,0)),""))</f>
        <v/>
      </c>
      <c r="H591" s="70" t="str">
        <f aca="false">IF($E591="","",N(INDEX(进销存对接!$M$4:$U$305,196,8)))</f>
        <v/>
      </c>
      <c r="I591" s="70" t="str">
        <f aca="false">IF($E591="","",N(INDEX(进销存对接!$M$4:$U$305,196,9)))</f>
        <v/>
      </c>
      <c r="J591" s="67"/>
      <c r="K591" s="67" t="str">
        <f aca="false">IF($E591="","",INDEX(进销存对接!$D$4:$D$305,196))</f>
        <v/>
      </c>
      <c r="L591" s="107"/>
      <c r="M591" s="107"/>
      <c r="N591" s="67" t="str">
        <f aca="false">IF($E591="","","系统")</f>
        <v/>
      </c>
      <c r="O591" s="67" t="str">
        <f aca="false">IF($E591="","","自动A")</f>
        <v/>
      </c>
      <c r="P591" s="18"/>
    </row>
    <row r="592" customFormat="false" ht="18" hidden="false" customHeight="true" outlineLevel="0" collapsed="false">
      <c r="A592" s="107" t="str">
        <f aca="false">IF($E592="","",ROW()-3)</f>
        <v/>
      </c>
      <c r="B592" s="110" t="str">
        <f aca="false">IF($E592="","",INDEX(进销存对接!$C$4:$C$305,197))</f>
        <v/>
      </c>
      <c r="C592" s="67" t="str">
        <f aca="false">IF($E592="","","记-"&amp;TEXT($B592,"YYYYMM")&amp;"-进销存")</f>
        <v/>
      </c>
      <c r="D592" s="107" t="str">
        <f aca="false">IF($E592="","",INDEX(进销存对接!$D$4:$D$305,197)&amp;" "&amp;TEXT($B592,"YYYY年M月")&amp;" 自动结转")</f>
        <v/>
      </c>
      <c r="E592" s="67" t="str">
        <f aca="false">IF(INDEX(进销存对接!$M$4:$U$305,197,1)=0,"",INDEX(进销存对接!$M$4:$U$305,197,1))</f>
        <v/>
      </c>
      <c r="F592" s="99" t="str">
        <f aca="false">IF($E592="","",IFERROR(INDEX(科目表!$A$4:$A$81,MATCH($E592,科目表!$B$4:$B$81,0)),""))</f>
        <v/>
      </c>
      <c r="G592" s="67" t="str">
        <f aca="false">IF($E592="","",IFERROR(INDEX(科目表!$E$4:$E$81,MATCH($E592,科目表!$B$4:$B$81,0)),""))</f>
        <v/>
      </c>
      <c r="H592" s="70" t="str">
        <f aca="false">IF($E592="","",N(INDEX(进销存对接!$M$4:$U$305,197,2)))</f>
        <v/>
      </c>
      <c r="I592" s="70" t="str">
        <f aca="false">IF($E592="","",N(INDEX(进销存对接!$M$4:$U$305,197,3)))</f>
        <v/>
      </c>
      <c r="J592" s="67"/>
      <c r="K592" s="67" t="str">
        <f aca="false">IF($E592="","",INDEX(进销存对接!$D$4:$D$305,197))</f>
        <v/>
      </c>
      <c r="L592" s="107"/>
      <c r="M592" s="107"/>
      <c r="N592" s="67" t="str">
        <f aca="false">IF($E592="","","系统")</f>
        <v/>
      </c>
      <c r="O592" s="67" t="str">
        <f aca="false">IF($E592="","","自动A")</f>
        <v/>
      </c>
      <c r="P592" s="18"/>
    </row>
    <row r="593" customFormat="false" ht="18" hidden="false" customHeight="true" outlineLevel="0" collapsed="false">
      <c r="A593" s="107" t="str">
        <f aca="false">IF($E593="","",ROW()-3)</f>
        <v/>
      </c>
      <c r="B593" s="110" t="str">
        <f aca="false">IF($E593="","",INDEX(进销存对接!$C$4:$C$305,197))</f>
        <v/>
      </c>
      <c r="C593" s="67" t="str">
        <f aca="false">IF($E593="","","记-"&amp;TEXT($B593,"YYYYMM")&amp;"-进销存")</f>
        <v/>
      </c>
      <c r="D593" s="107" t="str">
        <f aca="false">IF($E593="","",INDEX(进销存对接!$D$4:$D$305,197)&amp;" "&amp;TEXT($B593,"YYYY年M月")&amp;" 自动结转")</f>
        <v/>
      </c>
      <c r="E593" s="67" t="str">
        <f aca="false">IF(INDEX(进销存对接!$M$4:$U$305,197,4)=0,"",INDEX(进销存对接!$M$4:$U$305,197,4))</f>
        <v/>
      </c>
      <c r="F593" s="99" t="str">
        <f aca="false">IF($E593="","",IFERROR(INDEX(科目表!$A$4:$A$81,MATCH($E593,科目表!$B$4:$B$81,0)),""))</f>
        <v/>
      </c>
      <c r="G593" s="67" t="str">
        <f aca="false">IF($E593="","",IFERROR(INDEX(科目表!$E$4:$E$81,MATCH($E593,科目表!$B$4:$B$81,0)),""))</f>
        <v/>
      </c>
      <c r="H593" s="70" t="str">
        <f aca="false">IF($E593="","",N(INDEX(进销存对接!$M$4:$U$305,197,5)))</f>
        <v/>
      </c>
      <c r="I593" s="70" t="str">
        <f aca="false">IF($E593="","",N(INDEX(进销存对接!$M$4:$U$305,197,6)))</f>
        <v/>
      </c>
      <c r="J593" s="67"/>
      <c r="K593" s="67" t="str">
        <f aca="false">IF($E593="","",INDEX(进销存对接!$D$4:$D$305,197))</f>
        <v/>
      </c>
      <c r="L593" s="107"/>
      <c r="M593" s="107"/>
      <c r="N593" s="67" t="str">
        <f aca="false">IF($E593="","","系统")</f>
        <v/>
      </c>
      <c r="O593" s="67" t="str">
        <f aca="false">IF($E593="","","自动A")</f>
        <v/>
      </c>
      <c r="P593" s="18"/>
    </row>
    <row r="594" customFormat="false" ht="18" hidden="false" customHeight="true" outlineLevel="0" collapsed="false">
      <c r="A594" s="107" t="str">
        <f aca="false">IF($E594="","",ROW()-3)</f>
        <v/>
      </c>
      <c r="B594" s="110" t="str">
        <f aca="false">IF($E594="","",INDEX(进销存对接!$C$4:$C$305,197))</f>
        <v/>
      </c>
      <c r="C594" s="67" t="str">
        <f aca="false">IF($E594="","","记-"&amp;TEXT($B594,"YYYYMM")&amp;"-进销存")</f>
        <v/>
      </c>
      <c r="D594" s="107" t="str">
        <f aca="false">IF($E594="","",INDEX(进销存对接!$D$4:$D$305,197)&amp;" "&amp;TEXT($B594,"YYYY年M月")&amp;" 自动结转")</f>
        <v/>
      </c>
      <c r="E594" s="67" t="str">
        <f aca="false">IF(INDEX(进销存对接!$M$4:$U$305,197,7)=0,"",INDEX(进销存对接!$M$4:$U$305,197,7))</f>
        <v/>
      </c>
      <c r="F594" s="99" t="str">
        <f aca="false">IF($E594="","",IFERROR(INDEX(科目表!$A$4:$A$81,MATCH($E594,科目表!$B$4:$B$81,0)),""))</f>
        <v/>
      </c>
      <c r="G594" s="67" t="str">
        <f aca="false">IF($E594="","",IFERROR(INDEX(科目表!$E$4:$E$81,MATCH($E594,科目表!$B$4:$B$81,0)),""))</f>
        <v/>
      </c>
      <c r="H594" s="70" t="str">
        <f aca="false">IF($E594="","",N(INDEX(进销存对接!$M$4:$U$305,197,8)))</f>
        <v/>
      </c>
      <c r="I594" s="70" t="str">
        <f aca="false">IF($E594="","",N(INDEX(进销存对接!$M$4:$U$305,197,9)))</f>
        <v/>
      </c>
      <c r="J594" s="67"/>
      <c r="K594" s="67" t="str">
        <f aca="false">IF($E594="","",INDEX(进销存对接!$D$4:$D$305,197))</f>
        <v/>
      </c>
      <c r="L594" s="107"/>
      <c r="M594" s="107"/>
      <c r="N594" s="67" t="str">
        <f aca="false">IF($E594="","","系统")</f>
        <v/>
      </c>
      <c r="O594" s="67" t="str">
        <f aca="false">IF($E594="","","自动A")</f>
        <v/>
      </c>
      <c r="P594" s="18"/>
    </row>
    <row r="595" customFormat="false" ht="18" hidden="false" customHeight="true" outlineLevel="0" collapsed="false">
      <c r="A595" s="107" t="str">
        <f aca="false">IF($E595="","",ROW()-3)</f>
        <v/>
      </c>
      <c r="B595" s="110" t="str">
        <f aca="false">IF($E595="","",INDEX(进销存对接!$C$4:$C$305,198))</f>
        <v/>
      </c>
      <c r="C595" s="67" t="str">
        <f aca="false">IF($E595="","","记-"&amp;TEXT($B595,"YYYYMM")&amp;"-进销存")</f>
        <v/>
      </c>
      <c r="D595" s="107" t="str">
        <f aca="false">IF($E595="","",INDEX(进销存对接!$D$4:$D$305,198)&amp;" "&amp;TEXT($B595,"YYYY年M月")&amp;" 自动结转")</f>
        <v/>
      </c>
      <c r="E595" s="67" t="str">
        <f aca="false">IF(INDEX(进销存对接!$M$4:$U$305,198,1)=0,"",INDEX(进销存对接!$M$4:$U$305,198,1))</f>
        <v/>
      </c>
      <c r="F595" s="99" t="str">
        <f aca="false">IF($E595="","",IFERROR(INDEX(科目表!$A$4:$A$81,MATCH($E595,科目表!$B$4:$B$81,0)),""))</f>
        <v/>
      </c>
      <c r="G595" s="67" t="str">
        <f aca="false">IF($E595="","",IFERROR(INDEX(科目表!$E$4:$E$81,MATCH($E595,科目表!$B$4:$B$81,0)),""))</f>
        <v/>
      </c>
      <c r="H595" s="70" t="str">
        <f aca="false">IF($E595="","",N(INDEX(进销存对接!$M$4:$U$305,198,2)))</f>
        <v/>
      </c>
      <c r="I595" s="70" t="str">
        <f aca="false">IF($E595="","",N(INDEX(进销存对接!$M$4:$U$305,198,3)))</f>
        <v/>
      </c>
      <c r="J595" s="67"/>
      <c r="K595" s="67" t="str">
        <f aca="false">IF($E595="","",INDEX(进销存对接!$D$4:$D$305,198))</f>
        <v/>
      </c>
      <c r="L595" s="107"/>
      <c r="M595" s="107"/>
      <c r="N595" s="67" t="str">
        <f aca="false">IF($E595="","","系统")</f>
        <v/>
      </c>
      <c r="O595" s="67" t="str">
        <f aca="false">IF($E595="","","自动A")</f>
        <v/>
      </c>
      <c r="P595" s="18"/>
    </row>
    <row r="596" customFormat="false" ht="18" hidden="false" customHeight="true" outlineLevel="0" collapsed="false">
      <c r="A596" s="107" t="str">
        <f aca="false">IF($E596="","",ROW()-3)</f>
        <v/>
      </c>
      <c r="B596" s="110" t="str">
        <f aca="false">IF($E596="","",INDEX(进销存对接!$C$4:$C$305,198))</f>
        <v/>
      </c>
      <c r="C596" s="67" t="str">
        <f aca="false">IF($E596="","","记-"&amp;TEXT($B596,"YYYYMM")&amp;"-进销存")</f>
        <v/>
      </c>
      <c r="D596" s="107" t="str">
        <f aca="false">IF($E596="","",INDEX(进销存对接!$D$4:$D$305,198)&amp;" "&amp;TEXT($B596,"YYYY年M月")&amp;" 自动结转")</f>
        <v/>
      </c>
      <c r="E596" s="67" t="str">
        <f aca="false">IF(INDEX(进销存对接!$M$4:$U$305,198,4)=0,"",INDEX(进销存对接!$M$4:$U$305,198,4))</f>
        <v/>
      </c>
      <c r="F596" s="99" t="str">
        <f aca="false">IF($E596="","",IFERROR(INDEX(科目表!$A$4:$A$81,MATCH($E596,科目表!$B$4:$B$81,0)),""))</f>
        <v/>
      </c>
      <c r="G596" s="67" t="str">
        <f aca="false">IF($E596="","",IFERROR(INDEX(科目表!$E$4:$E$81,MATCH($E596,科目表!$B$4:$B$81,0)),""))</f>
        <v/>
      </c>
      <c r="H596" s="70" t="str">
        <f aca="false">IF($E596="","",N(INDEX(进销存对接!$M$4:$U$305,198,5)))</f>
        <v/>
      </c>
      <c r="I596" s="70" t="str">
        <f aca="false">IF($E596="","",N(INDEX(进销存对接!$M$4:$U$305,198,6)))</f>
        <v/>
      </c>
      <c r="J596" s="67"/>
      <c r="K596" s="67" t="str">
        <f aca="false">IF($E596="","",INDEX(进销存对接!$D$4:$D$305,198))</f>
        <v/>
      </c>
      <c r="L596" s="107"/>
      <c r="M596" s="107"/>
      <c r="N596" s="67" t="str">
        <f aca="false">IF($E596="","","系统")</f>
        <v/>
      </c>
      <c r="O596" s="67" t="str">
        <f aca="false">IF($E596="","","自动A")</f>
        <v/>
      </c>
      <c r="P596" s="18"/>
    </row>
    <row r="597" customFormat="false" ht="18" hidden="false" customHeight="true" outlineLevel="0" collapsed="false">
      <c r="A597" s="107" t="str">
        <f aca="false">IF($E597="","",ROW()-3)</f>
        <v/>
      </c>
      <c r="B597" s="110" t="str">
        <f aca="false">IF($E597="","",INDEX(进销存对接!$C$4:$C$305,198))</f>
        <v/>
      </c>
      <c r="C597" s="67" t="str">
        <f aca="false">IF($E597="","","记-"&amp;TEXT($B597,"YYYYMM")&amp;"-进销存")</f>
        <v/>
      </c>
      <c r="D597" s="107" t="str">
        <f aca="false">IF($E597="","",INDEX(进销存对接!$D$4:$D$305,198)&amp;" "&amp;TEXT($B597,"YYYY年M月")&amp;" 自动结转")</f>
        <v/>
      </c>
      <c r="E597" s="67" t="str">
        <f aca="false">IF(INDEX(进销存对接!$M$4:$U$305,198,7)=0,"",INDEX(进销存对接!$M$4:$U$305,198,7))</f>
        <v/>
      </c>
      <c r="F597" s="99" t="str">
        <f aca="false">IF($E597="","",IFERROR(INDEX(科目表!$A$4:$A$81,MATCH($E597,科目表!$B$4:$B$81,0)),""))</f>
        <v/>
      </c>
      <c r="G597" s="67" t="str">
        <f aca="false">IF($E597="","",IFERROR(INDEX(科目表!$E$4:$E$81,MATCH($E597,科目表!$B$4:$B$81,0)),""))</f>
        <v/>
      </c>
      <c r="H597" s="70" t="str">
        <f aca="false">IF($E597="","",N(INDEX(进销存对接!$M$4:$U$305,198,8)))</f>
        <v/>
      </c>
      <c r="I597" s="70" t="str">
        <f aca="false">IF($E597="","",N(INDEX(进销存对接!$M$4:$U$305,198,9)))</f>
        <v/>
      </c>
      <c r="J597" s="67"/>
      <c r="K597" s="67" t="str">
        <f aca="false">IF($E597="","",INDEX(进销存对接!$D$4:$D$305,198))</f>
        <v/>
      </c>
      <c r="L597" s="107"/>
      <c r="M597" s="107"/>
      <c r="N597" s="67" t="str">
        <f aca="false">IF($E597="","","系统")</f>
        <v/>
      </c>
      <c r="O597" s="67" t="str">
        <f aca="false">IF($E597="","","自动A")</f>
        <v/>
      </c>
      <c r="P597" s="18"/>
    </row>
    <row r="598" customFormat="false" ht="18" hidden="false" customHeight="true" outlineLevel="0" collapsed="false">
      <c r="A598" s="107" t="str">
        <f aca="false">IF($E598="","",ROW()-3)</f>
        <v/>
      </c>
      <c r="B598" s="110" t="str">
        <f aca="false">IF($E598="","",INDEX(进销存对接!$C$4:$C$305,199))</f>
        <v/>
      </c>
      <c r="C598" s="67" t="str">
        <f aca="false">IF($E598="","","记-"&amp;TEXT($B598,"YYYYMM")&amp;"-进销存")</f>
        <v/>
      </c>
      <c r="D598" s="107" t="str">
        <f aca="false">IF($E598="","",INDEX(进销存对接!$D$4:$D$305,199)&amp;" "&amp;TEXT($B598,"YYYY年M月")&amp;" 自动结转")</f>
        <v/>
      </c>
      <c r="E598" s="67" t="str">
        <f aca="false">IF(INDEX(进销存对接!$M$4:$U$305,199,1)=0,"",INDEX(进销存对接!$M$4:$U$305,199,1))</f>
        <v/>
      </c>
      <c r="F598" s="99" t="str">
        <f aca="false">IF($E598="","",IFERROR(INDEX(科目表!$A$4:$A$81,MATCH($E598,科目表!$B$4:$B$81,0)),""))</f>
        <v/>
      </c>
      <c r="G598" s="67" t="str">
        <f aca="false">IF($E598="","",IFERROR(INDEX(科目表!$E$4:$E$81,MATCH($E598,科目表!$B$4:$B$81,0)),""))</f>
        <v/>
      </c>
      <c r="H598" s="70" t="str">
        <f aca="false">IF($E598="","",N(INDEX(进销存对接!$M$4:$U$305,199,2)))</f>
        <v/>
      </c>
      <c r="I598" s="70" t="str">
        <f aca="false">IF($E598="","",N(INDEX(进销存对接!$M$4:$U$305,199,3)))</f>
        <v/>
      </c>
      <c r="J598" s="67"/>
      <c r="K598" s="67" t="str">
        <f aca="false">IF($E598="","",INDEX(进销存对接!$D$4:$D$305,199))</f>
        <v/>
      </c>
      <c r="L598" s="107"/>
      <c r="M598" s="107"/>
      <c r="N598" s="67" t="str">
        <f aca="false">IF($E598="","","系统")</f>
        <v/>
      </c>
      <c r="O598" s="67" t="str">
        <f aca="false">IF($E598="","","自动A")</f>
        <v/>
      </c>
      <c r="P598" s="18"/>
    </row>
    <row r="599" customFormat="false" ht="18" hidden="false" customHeight="true" outlineLevel="0" collapsed="false">
      <c r="A599" s="107" t="str">
        <f aca="false">IF($E599="","",ROW()-3)</f>
        <v/>
      </c>
      <c r="B599" s="110" t="str">
        <f aca="false">IF($E599="","",INDEX(进销存对接!$C$4:$C$305,199))</f>
        <v/>
      </c>
      <c r="C599" s="67" t="str">
        <f aca="false">IF($E599="","","记-"&amp;TEXT($B599,"YYYYMM")&amp;"-进销存")</f>
        <v/>
      </c>
      <c r="D599" s="107" t="str">
        <f aca="false">IF($E599="","",INDEX(进销存对接!$D$4:$D$305,199)&amp;" "&amp;TEXT($B599,"YYYY年M月")&amp;" 自动结转")</f>
        <v/>
      </c>
      <c r="E599" s="67" t="str">
        <f aca="false">IF(INDEX(进销存对接!$M$4:$U$305,199,4)=0,"",INDEX(进销存对接!$M$4:$U$305,199,4))</f>
        <v/>
      </c>
      <c r="F599" s="99" t="str">
        <f aca="false">IF($E599="","",IFERROR(INDEX(科目表!$A$4:$A$81,MATCH($E599,科目表!$B$4:$B$81,0)),""))</f>
        <v/>
      </c>
      <c r="G599" s="67" t="str">
        <f aca="false">IF($E599="","",IFERROR(INDEX(科目表!$E$4:$E$81,MATCH($E599,科目表!$B$4:$B$81,0)),""))</f>
        <v/>
      </c>
      <c r="H599" s="70" t="str">
        <f aca="false">IF($E599="","",N(INDEX(进销存对接!$M$4:$U$305,199,5)))</f>
        <v/>
      </c>
      <c r="I599" s="70" t="str">
        <f aca="false">IF($E599="","",N(INDEX(进销存对接!$M$4:$U$305,199,6)))</f>
        <v/>
      </c>
      <c r="J599" s="67"/>
      <c r="K599" s="67" t="str">
        <f aca="false">IF($E599="","",INDEX(进销存对接!$D$4:$D$305,199))</f>
        <v/>
      </c>
      <c r="L599" s="107"/>
      <c r="M599" s="107"/>
      <c r="N599" s="67" t="str">
        <f aca="false">IF($E599="","","系统")</f>
        <v/>
      </c>
      <c r="O599" s="67" t="str">
        <f aca="false">IF($E599="","","自动A")</f>
        <v/>
      </c>
      <c r="P599" s="18"/>
    </row>
    <row r="600" customFormat="false" ht="18" hidden="false" customHeight="true" outlineLevel="0" collapsed="false">
      <c r="A600" s="107" t="str">
        <f aca="false">IF($E600="","",ROW()-3)</f>
        <v/>
      </c>
      <c r="B600" s="110" t="str">
        <f aca="false">IF($E600="","",INDEX(进销存对接!$C$4:$C$305,199))</f>
        <v/>
      </c>
      <c r="C600" s="67" t="str">
        <f aca="false">IF($E600="","","记-"&amp;TEXT($B600,"YYYYMM")&amp;"-进销存")</f>
        <v/>
      </c>
      <c r="D600" s="107" t="str">
        <f aca="false">IF($E600="","",INDEX(进销存对接!$D$4:$D$305,199)&amp;" "&amp;TEXT($B600,"YYYY年M月")&amp;" 自动结转")</f>
        <v/>
      </c>
      <c r="E600" s="67" t="str">
        <f aca="false">IF(INDEX(进销存对接!$M$4:$U$305,199,7)=0,"",INDEX(进销存对接!$M$4:$U$305,199,7))</f>
        <v/>
      </c>
      <c r="F600" s="99" t="str">
        <f aca="false">IF($E600="","",IFERROR(INDEX(科目表!$A$4:$A$81,MATCH($E600,科目表!$B$4:$B$81,0)),""))</f>
        <v/>
      </c>
      <c r="G600" s="67" t="str">
        <f aca="false">IF($E600="","",IFERROR(INDEX(科目表!$E$4:$E$81,MATCH($E600,科目表!$B$4:$B$81,0)),""))</f>
        <v/>
      </c>
      <c r="H600" s="70" t="str">
        <f aca="false">IF($E600="","",N(INDEX(进销存对接!$M$4:$U$305,199,8)))</f>
        <v/>
      </c>
      <c r="I600" s="70" t="str">
        <f aca="false">IF($E600="","",N(INDEX(进销存对接!$M$4:$U$305,199,9)))</f>
        <v/>
      </c>
      <c r="J600" s="67"/>
      <c r="K600" s="67" t="str">
        <f aca="false">IF($E600="","",INDEX(进销存对接!$D$4:$D$305,199))</f>
        <v/>
      </c>
      <c r="L600" s="107"/>
      <c r="M600" s="107"/>
      <c r="N600" s="67" t="str">
        <f aca="false">IF($E600="","","系统")</f>
        <v/>
      </c>
      <c r="O600" s="67" t="str">
        <f aca="false">IF($E600="","","自动A")</f>
        <v/>
      </c>
      <c r="P600" s="18"/>
    </row>
    <row r="601" customFormat="false" ht="18" hidden="false" customHeight="true" outlineLevel="0" collapsed="false">
      <c r="A601" s="107" t="str">
        <f aca="false">IF($E601="","",ROW()-3)</f>
        <v/>
      </c>
      <c r="B601" s="110" t="str">
        <f aca="false">IF($E601="","",INDEX(进销存对接!$C$4:$C$305,200))</f>
        <v/>
      </c>
      <c r="C601" s="67" t="str">
        <f aca="false">IF($E601="","","记-"&amp;TEXT($B601,"YYYYMM")&amp;"-进销存")</f>
        <v/>
      </c>
      <c r="D601" s="107" t="str">
        <f aca="false">IF($E601="","",INDEX(进销存对接!$D$4:$D$305,200)&amp;" "&amp;TEXT($B601,"YYYY年M月")&amp;" 自动结转")</f>
        <v/>
      </c>
      <c r="E601" s="67" t="str">
        <f aca="false">IF(INDEX(进销存对接!$M$4:$U$305,200,1)=0,"",INDEX(进销存对接!$M$4:$U$305,200,1))</f>
        <v/>
      </c>
      <c r="F601" s="99" t="str">
        <f aca="false">IF($E601="","",IFERROR(INDEX(科目表!$A$4:$A$81,MATCH($E601,科目表!$B$4:$B$81,0)),""))</f>
        <v/>
      </c>
      <c r="G601" s="67" t="str">
        <f aca="false">IF($E601="","",IFERROR(INDEX(科目表!$E$4:$E$81,MATCH($E601,科目表!$B$4:$B$81,0)),""))</f>
        <v/>
      </c>
      <c r="H601" s="70" t="str">
        <f aca="false">IF($E601="","",N(INDEX(进销存对接!$M$4:$U$305,200,2)))</f>
        <v/>
      </c>
      <c r="I601" s="70" t="str">
        <f aca="false">IF($E601="","",N(INDEX(进销存对接!$M$4:$U$305,200,3)))</f>
        <v/>
      </c>
      <c r="J601" s="67"/>
      <c r="K601" s="67" t="str">
        <f aca="false">IF($E601="","",INDEX(进销存对接!$D$4:$D$305,200))</f>
        <v/>
      </c>
      <c r="L601" s="107"/>
      <c r="M601" s="107"/>
      <c r="N601" s="67" t="str">
        <f aca="false">IF($E601="","","系统")</f>
        <v/>
      </c>
      <c r="O601" s="67" t="str">
        <f aca="false">IF($E601="","","自动A")</f>
        <v/>
      </c>
      <c r="P601" s="18"/>
    </row>
    <row r="602" customFormat="false" ht="18" hidden="false" customHeight="true" outlineLevel="0" collapsed="false">
      <c r="A602" s="107" t="str">
        <f aca="false">IF($E602="","",ROW()-3)</f>
        <v/>
      </c>
      <c r="B602" s="110" t="str">
        <f aca="false">IF($E602="","",INDEX(进销存对接!$C$4:$C$305,200))</f>
        <v/>
      </c>
      <c r="C602" s="67" t="str">
        <f aca="false">IF($E602="","","记-"&amp;TEXT($B602,"YYYYMM")&amp;"-进销存")</f>
        <v/>
      </c>
      <c r="D602" s="107" t="str">
        <f aca="false">IF($E602="","",INDEX(进销存对接!$D$4:$D$305,200)&amp;" "&amp;TEXT($B602,"YYYY年M月")&amp;" 自动结转")</f>
        <v/>
      </c>
      <c r="E602" s="67" t="str">
        <f aca="false">IF(INDEX(进销存对接!$M$4:$U$305,200,4)=0,"",INDEX(进销存对接!$M$4:$U$305,200,4))</f>
        <v/>
      </c>
      <c r="F602" s="99" t="str">
        <f aca="false">IF($E602="","",IFERROR(INDEX(科目表!$A$4:$A$81,MATCH($E602,科目表!$B$4:$B$81,0)),""))</f>
        <v/>
      </c>
      <c r="G602" s="67" t="str">
        <f aca="false">IF($E602="","",IFERROR(INDEX(科目表!$E$4:$E$81,MATCH($E602,科目表!$B$4:$B$81,0)),""))</f>
        <v/>
      </c>
      <c r="H602" s="70" t="str">
        <f aca="false">IF($E602="","",N(INDEX(进销存对接!$M$4:$U$305,200,5)))</f>
        <v/>
      </c>
      <c r="I602" s="70" t="str">
        <f aca="false">IF($E602="","",N(INDEX(进销存对接!$M$4:$U$305,200,6)))</f>
        <v/>
      </c>
      <c r="J602" s="67"/>
      <c r="K602" s="67" t="str">
        <f aca="false">IF($E602="","",INDEX(进销存对接!$D$4:$D$305,200))</f>
        <v/>
      </c>
      <c r="L602" s="107"/>
      <c r="M602" s="107"/>
      <c r="N602" s="67" t="str">
        <f aca="false">IF($E602="","","系统")</f>
        <v/>
      </c>
      <c r="O602" s="67" t="str">
        <f aca="false">IF($E602="","","自动A")</f>
        <v/>
      </c>
      <c r="P602" s="18"/>
    </row>
    <row r="603" customFormat="false" ht="18" hidden="false" customHeight="true" outlineLevel="0" collapsed="false">
      <c r="A603" s="107" t="str">
        <f aca="false">IF($E603="","",ROW()-3)</f>
        <v/>
      </c>
      <c r="B603" s="110" t="str">
        <f aca="false">IF($E603="","",INDEX(进销存对接!$C$4:$C$305,200))</f>
        <v/>
      </c>
      <c r="C603" s="67" t="str">
        <f aca="false">IF($E603="","","记-"&amp;TEXT($B603,"YYYYMM")&amp;"-进销存")</f>
        <v/>
      </c>
      <c r="D603" s="107" t="str">
        <f aca="false">IF($E603="","",INDEX(进销存对接!$D$4:$D$305,200)&amp;" "&amp;TEXT($B603,"YYYY年M月")&amp;" 自动结转")</f>
        <v/>
      </c>
      <c r="E603" s="67" t="str">
        <f aca="false">IF(INDEX(进销存对接!$M$4:$U$305,200,7)=0,"",INDEX(进销存对接!$M$4:$U$305,200,7))</f>
        <v/>
      </c>
      <c r="F603" s="99" t="str">
        <f aca="false">IF($E603="","",IFERROR(INDEX(科目表!$A$4:$A$81,MATCH($E603,科目表!$B$4:$B$81,0)),""))</f>
        <v/>
      </c>
      <c r="G603" s="67" t="str">
        <f aca="false">IF($E603="","",IFERROR(INDEX(科目表!$E$4:$E$81,MATCH($E603,科目表!$B$4:$B$81,0)),""))</f>
        <v/>
      </c>
      <c r="H603" s="70" t="str">
        <f aca="false">IF($E603="","",N(INDEX(进销存对接!$M$4:$U$305,200,8)))</f>
        <v/>
      </c>
      <c r="I603" s="70" t="str">
        <f aca="false">IF($E603="","",N(INDEX(进销存对接!$M$4:$U$305,200,9)))</f>
        <v/>
      </c>
      <c r="J603" s="67"/>
      <c r="K603" s="67" t="str">
        <f aca="false">IF($E603="","",INDEX(进销存对接!$D$4:$D$305,200))</f>
        <v/>
      </c>
      <c r="L603" s="107"/>
      <c r="M603" s="107"/>
      <c r="N603" s="67" t="str">
        <f aca="false">IF($E603="","","系统")</f>
        <v/>
      </c>
      <c r="O603" s="67" t="str">
        <f aca="false">IF($E603="","","自动A")</f>
        <v/>
      </c>
      <c r="P603" s="18"/>
    </row>
    <row r="604" customFormat="false" ht="18" hidden="false" customHeight="true" outlineLevel="0" collapsed="false">
      <c r="A604" s="107" t="str">
        <f aca="false">IF($E604="","",ROW()-3)</f>
        <v/>
      </c>
      <c r="B604" s="110" t="str">
        <f aca="false">IF($E604="","",INDEX(进销存对接!$C$4:$C$305,201))</f>
        <v/>
      </c>
      <c r="C604" s="67" t="str">
        <f aca="false">IF($E604="","","记-"&amp;TEXT($B604,"YYYYMM")&amp;"-进销存")</f>
        <v/>
      </c>
      <c r="D604" s="107" t="str">
        <f aca="false">IF($E604="","",INDEX(进销存对接!$D$4:$D$305,201)&amp;" "&amp;TEXT($B604,"YYYY年M月")&amp;" 自动结转")</f>
        <v/>
      </c>
      <c r="E604" s="67" t="str">
        <f aca="false">IF(INDEX(进销存对接!$M$4:$U$305,201,1)=0,"",INDEX(进销存对接!$M$4:$U$305,201,1))</f>
        <v/>
      </c>
      <c r="F604" s="99" t="str">
        <f aca="false">IF($E604="","",IFERROR(INDEX(科目表!$A$4:$A$81,MATCH($E604,科目表!$B$4:$B$81,0)),""))</f>
        <v/>
      </c>
      <c r="G604" s="67" t="str">
        <f aca="false">IF($E604="","",IFERROR(INDEX(科目表!$E$4:$E$81,MATCH($E604,科目表!$B$4:$B$81,0)),""))</f>
        <v/>
      </c>
      <c r="H604" s="70" t="str">
        <f aca="false">IF($E604="","",N(INDEX(进销存对接!$M$4:$U$305,201,2)))</f>
        <v/>
      </c>
      <c r="I604" s="70" t="str">
        <f aca="false">IF($E604="","",N(INDEX(进销存对接!$M$4:$U$305,201,3)))</f>
        <v/>
      </c>
      <c r="J604" s="67"/>
      <c r="K604" s="67" t="str">
        <f aca="false">IF($E604="","",INDEX(进销存对接!$D$4:$D$305,201))</f>
        <v/>
      </c>
      <c r="L604" s="107"/>
      <c r="M604" s="107"/>
      <c r="N604" s="67" t="str">
        <f aca="false">IF($E604="","","系统")</f>
        <v/>
      </c>
      <c r="O604" s="67" t="str">
        <f aca="false">IF($E604="","","自动A")</f>
        <v/>
      </c>
      <c r="P604" s="18"/>
    </row>
    <row r="605" customFormat="false" ht="18" hidden="false" customHeight="true" outlineLevel="0" collapsed="false">
      <c r="A605" s="107" t="str">
        <f aca="false">IF($E605="","",ROW()-3)</f>
        <v/>
      </c>
      <c r="B605" s="110" t="str">
        <f aca="false">IF($E605="","",INDEX(进销存对接!$C$4:$C$305,201))</f>
        <v/>
      </c>
      <c r="C605" s="67" t="str">
        <f aca="false">IF($E605="","","记-"&amp;TEXT($B605,"YYYYMM")&amp;"-进销存")</f>
        <v/>
      </c>
      <c r="D605" s="107" t="str">
        <f aca="false">IF($E605="","",INDEX(进销存对接!$D$4:$D$305,201)&amp;" "&amp;TEXT($B605,"YYYY年M月")&amp;" 自动结转")</f>
        <v/>
      </c>
      <c r="E605" s="67" t="str">
        <f aca="false">IF(INDEX(进销存对接!$M$4:$U$305,201,4)=0,"",INDEX(进销存对接!$M$4:$U$305,201,4))</f>
        <v/>
      </c>
      <c r="F605" s="99" t="str">
        <f aca="false">IF($E605="","",IFERROR(INDEX(科目表!$A$4:$A$81,MATCH($E605,科目表!$B$4:$B$81,0)),""))</f>
        <v/>
      </c>
      <c r="G605" s="67" t="str">
        <f aca="false">IF($E605="","",IFERROR(INDEX(科目表!$E$4:$E$81,MATCH($E605,科目表!$B$4:$B$81,0)),""))</f>
        <v/>
      </c>
      <c r="H605" s="70" t="str">
        <f aca="false">IF($E605="","",N(INDEX(进销存对接!$M$4:$U$305,201,5)))</f>
        <v/>
      </c>
      <c r="I605" s="70" t="str">
        <f aca="false">IF($E605="","",N(INDEX(进销存对接!$M$4:$U$305,201,6)))</f>
        <v/>
      </c>
      <c r="J605" s="67"/>
      <c r="K605" s="67" t="str">
        <f aca="false">IF($E605="","",INDEX(进销存对接!$D$4:$D$305,201))</f>
        <v/>
      </c>
      <c r="L605" s="107"/>
      <c r="M605" s="107"/>
      <c r="N605" s="67" t="str">
        <f aca="false">IF($E605="","","系统")</f>
        <v/>
      </c>
      <c r="O605" s="67" t="str">
        <f aca="false">IF($E605="","","自动A")</f>
        <v/>
      </c>
      <c r="P605" s="18"/>
    </row>
    <row r="606" customFormat="false" ht="18" hidden="false" customHeight="true" outlineLevel="0" collapsed="false">
      <c r="A606" s="107" t="str">
        <f aca="false">IF($E606="","",ROW()-3)</f>
        <v/>
      </c>
      <c r="B606" s="110" t="str">
        <f aca="false">IF($E606="","",INDEX(进销存对接!$C$4:$C$305,201))</f>
        <v/>
      </c>
      <c r="C606" s="67" t="str">
        <f aca="false">IF($E606="","","记-"&amp;TEXT($B606,"YYYYMM")&amp;"-进销存")</f>
        <v/>
      </c>
      <c r="D606" s="107" t="str">
        <f aca="false">IF($E606="","",INDEX(进销存对接!$D$4:$D$305,201)&amp;" "&amp;TEXT($B606,"YYYY年M月")&amp;" 自动结转")</f>
        <v/>
      </c>
      <c r="E606" s="67" t="str">
        <f aca="false">IF(INDEX(进销存对接!$M$4:$U$305,201,7)=0,"",INDEX(进销存对接!$M$4:$U$305,201,7))</f>
        <v/>
      </c>
      <c r="F606" s="99" t="str">
        <f aca="false">IF($E606="","",IFERROR(INDEX(科目表!$A$4:$A$81,MATCH($E606,科目表!$B$4:$B$81,0)),""))</f>
        <v/>
      </c>
      <c r="G606" s="67" t="str">
        <f aca="false">IF($E606="","",IFERROR(INDEX(科目表!$E$4:$E$81,MATCH($E606,科目表!$B$4:$B$81,0)),""))</f>
        <v/>
      </c>
      <c r="H606" s="70" t="str">
        <f aca="false">IF($E606="","",N(INDEX(进销存对接!$M$4:$U$305,201,8)))</f>
        <v/>
      </c>
      <c r="I606" s="70" t="str">
        <f aca="false">IF($E606="","",N(INDEX(进销存对接!$M$4:$U$305,201,9)))</f>
        <v/>
      </c>
      <c r="J606" s="67"/>
      <c r="K606" s="67" t="str">
        <f aca="false">IF($E606="","",INDEX(进销存对接!$D$4:$D$305,201))</f>
        <v/>
      </c>
      <c r="L606" s="107"/>
      <c r="M606" s="107"/>
      <c r="N606" s="67" t="str">
        <f aca="false">IF($E606="","","系统")</f>
        <v/>
      </c>
      <c r="O606" s="67" t="str">
        <f aca="false">IF($E606="","","自动A")</f>
        <v/>
      </c>
      <c r="P606" s="18"/>
    </row>
    <row r="607" customFormat="false" ht="18" hidden="false" customHeight="true" outlineLevel="0" collapsed="false">
      <c r="A607" s="107" t="str">
        <f aca="false">IF($E607="","",ROW()-3)</f>
        <v/>
      </c>
      <c r="B607" s="110" t="str">
        <f aca="false">IF($E607="","",INDEX(进销存对接!$C$4:$C$305,202))</f>
        <v/>
      </c>
      <c r="C607" s="67" t="str">
        <f aca="false">IF($E607="","","记-"&amp;TEXT($B607,"YYYYMM")&amp;"-进销存")</f>
        <v/>
      </c>
      <c r="D607" s="107" t="str">
        <f aca="false">IF($E607="","",INDEX(进销存对接!$D$4:$D$305,202)&amp;" "&amp;TEXT($B607,"YYYY年M月")&amp;" 自动结转")</f>
        <v/>
      </c>
      <c r="E607" s="67" t="str">
        <f aca="false">IF(INDEX(进销存对接!$M$4:$U$305,202,1)=0,"",INDEX(进销存对接!$M$4:$U$305,202,1))</f>
        <v/>
      </c>
      <c r="F607" s="99" t="str">
        <f aca="false">IF($E607="","",IFERROR(INDEX(科目表!$A$4:$A$81,MATCH($E607,科目表!$B$4:$B$81,0)),""))</f>
        <v/>
      </c>
      <c r="G607" s="67" t="str">
        <f aca="false">IF($E607="","",IFERROR(INDEX(科目表!$E$4:$E$81,MATCH($E607,科目表!$B$4:$B$81,0)),""))</f>
        <v/>
      </c>
      <c r="H607" s="70" t="str">
        <f aca="false">IF($E607="","",N(INDEX(进销存对接!$M$4:$U$305,202,2)))</f>
        <v/>
      </c>
      <c r="I607" s="70" t="str">
        <f aca="false">IF($E607="","",N(INDEX(进销存对接!$M$4:$U$305,202,3)))</f>
        <v/>
      </c>
      <c r="J607" s="67"/>
      <c r="K607" s="67" t="str">
        <f aca="false">IF($E607="","",INDEX(进销存对接!$D$4:$D$305,202))</f>
        <v/>
      </c>
      <c r="L607" s="107"/>
      <c r="M607" s="107"/>
      <c r="N607" s="67" t="str">
        <f aca="false">IF($E607="","","系统")</f>
        <v/>
      </c>
      <c r="O607" s="67" t="str">
        <f aca="false">IF($E607="","","自动A")</f>
        <v/>
      </c>
      <c r="P607" s="18"/>
    </row>
    <row r="608" customFormat="false" ht="18" hidden="false" customHeight="true" outlineLevel="0" collapsed="false">
      <c r="A608" s="107" t="str">
        <f aca="false">IF($E608="","",ROW()-3)</f>
        <v/>
      </c>
      <c r="B608" s="110" t="str">
        <f aca="false">IF($E608="","",INDEX(进销存对接!$C$4:$C$305,202))</f>
        <v/>
      </c>
      <c r="C608" s="67" t="str">
        <f aca="false">IF($E608="","","记-"&amp;TEXT($B608,"YYYYMM")&amp;"-进销存")</f>
        <v/>
      </c>
      <c r="D608" s="107" t="str">
        <f aca="false">IF($E608="","",INDEX(进销存对接!$D$4:$D$305,202)&amp;" "&amp;TEXT($B608,"YYYY年M月")&amp;" 自动结转")</f>
        <v/>
      </c>
      <c r="E608" s="67" t="str">
        <f aca="false">IF(INDEX(进销存对接!$M$4:$U$305,202,4)=0,"",INDEX(进销存对接!$M$4:$U$305,202,4))</f>
        <v/>
      </c>
      <c r="F608" s="99" t="str">
        <f aca="false">IF($E608="","",IFERROR(INDEX(科目表!$A$4:$A$81,MATCH($E608,科目表!$B$4:$B$81,0)),""))</f>
        <v/>
      </c>
      <c r="G608" s="67" t="str">
        <f aca="false">IF($E608="","",IFERROR(INDEX(科目表!$E$4:$E$81,MATCH($E608,科目表!$B$4:$B$81,0)),""))</f>
        <v/>
      </c>
      <c r="H608" s="70" t="str">
        <f aca="false">IF($E608="","",N(INDEX(进销存对接!$M$4:$U$305,202,5)))</f>
        <v/>
      </c>
      <c r="I608" s="70" t="str">
        <f aca="false">IF($E608="","",N(INDEX(进销存对接!$M$4:$U$305,202,6)))</f>
        <v/>
      </c>
      <c r="J608" s="67"/>
      <c r="K608" s="67" t="str">
        <f aca="false">IF($E608="","",INDEX(进销存对接!$D$4:$D$305,202))</f>
        <v/>
      </c>
      <c r="L608" s="107"/>
      <c r="M608" s="107"/>
      <c r="N608" s="67" t="str">
        <f aca="false">IF($E608="","","系统")</f>
        <v/>
      </c>
      <c r="O608" s="67" t="str">
        <f aca="false">IF($E608="","","自动A")</f>
        <v/>
      </c>
      <c r="P608" s="18"/>
    </row>
    <row r="609" customFormat="false" ht="18" hidden="false" customHeight="true" outlineLevel="0" collapsed="false">
      <c r="A609" s="107" t="str">
        <f aca="false">IF($E609="","",ROW()-3)</f>
        <v/>
      </c>
      <c r="B609" s="110" t="str">
        <f aca="false">IF($E609="","",INDEX(进销存对接!$C$4:$C$305,202))</f>
        <v/>
      </c>
      <c r="C609" s="67" t="str">
        <f aca="false">IF($E609="","","记-"&amp;TEXT($B609,"YYYYMM")&amp;"-进销存")</f>
        <v/>
      </c>
      <c r="D609" s="107" t="str">
        <f aca="false">IF($E609="","",INDEX(进销存对接!$D$4:$D$305,202)&amp;" "&amp;TEXT($B609,"YYYY年M月")&amp;" 自动结转")</f>
        <v/>
      </c>
      <c r="E609" s="67" t="str">
        <f aca="false">IF(INDEX(进销存对接!$M$4:$U$305,202,7)=0,"",INDEX(进销存对接!$M$4:$U$305,202,7))</f>
        <v/>
      </c>
      <c r="F609" s="99" t="str">
        <f aca="false">IF($E609="","",IFERROR(INDEX(科目表!$A$4:$A$81,MATCH($E609,科目表!$B$4:$B$81,0)),""))</f>
        <v/>
      </c>
      <c r="G609" s="67" t="str">
        <f aca="false">IF($E609="","",IFERROR(INDEX(科目表!$E$4:$E$81,MATCH($E609,科目表!$B$4:$B$81,0)),""))</f>
        <v/>
      </c>
      <c r="H609" s="70" t="str">
        <f aca="false">IF($E609="","",N(INDEX(进销存对接!$M$4:$U$305,202,8)))</f>
        <v/>
      </c>
      <c r="I609" s="70" t="str">
        <f aca="false">IF($E609="","",N(INDEX(进销存对接!$M$4:$U$305,202,9)))</f>
        <v/>
      </c>
      <c r="J609" s="67"/>
      <c r="K609" s="67" t="str">
        <f aca="false">IF($E609="","",INDEX(进销存对接!$D$4:$D$305,202))</f>
        <v/>
      </c>
      <c r="L609" s="107"/>
      <c r="M609" s="107"/>
      <c r="N609" s="67" t="str">
        <f aca="false">IF($E609="","","系统")</f>
        <v/>
      </c>
      <c r="O609" s="67" t="str">
        <f aca="false">IF($E609="","","自动A")</f>
        <v/>
      </c>
      <c r="P609" s="18"/>
    </row>
    <row r="610" customFormat="false" ht="18" hidden="false" customHeight="true" outlineLevel="0" collapsed="false">
      <c r="A610" s="107" t="str">
        <f aca="false">IF($E610="","",ROW()-3)</f>
        <v/>
      </c>
      <c r="B610" s="110" t="str">
        <f aca="false">IF($E610="","",INDEX(进销存对接!$C$4:$C$305,203))</f>
        <v/>
      </c>
      <c r="C610" s="67" t="str">
        <f aca="false">IF($E610="","","记-"&amp;TEXT($B610,"YYYYMM")&amp;"-进销存")</f>
        <v/>
      </c>
      <c r="D610" s="107" t="str">
        <f aca="false">IF($E610="","",INDEX(进销存对接!$D$4:$D$305,203)&amp;" "&amp;TEXT($B610,"YYYY年M月")&amp;" 自动结转")</f>
        <v/>
      </c>
      <c r="E610" s="67" t="str">
        <f aca="false">IF(INDEX(进销存对接!$M$4:$U$305,203,1)=0,"",INDEX(进销存对接!$M$4:$U$305,203,1))</f>
        <v/>
      </c>
      <c r="F610" s="99" t="str">
        <f aca="false">IF($E610="","",IFERROR(INDEX(科目表!$A$4:$A$81,MATCH($E610,科目表!$B$4:$B$81,0)),""))</f>
        <v/>
      </c>
      <c r="G610" s="67" t="str">
        <f aca="false">IF($E610="","",IFERROR(INDEX(科目表!$E$4:$E$81,MATCH($E610,科目表!$B$4:$B$81,0)),""))</f>
        <v/>
      </c>
      <c r="H610" s="70" t="str">
        <f aca="false">IF($E610="","",N(INDEX(进销存对接!$M$4:$U$305,203,2)))</f>
        <v/>
      </c>
      <c r="I610" s="70" t="str">
        <f aca="false">IF($E610="","",N(INDEX(进销存对接!$M$4:$U$305,203,3)))</f>
        <v/>
      </c>
      <c r="J610" s="67"/>
      <c r="K610" s="67" t="str">
        <f aca="false">IF($E610="","",INDEX(进销存对接!$D$4:$D$305,203))</f>
        <v/>
      </c>
      <c r="L610" s="107"/>
      <c r="M610" s="107"/>
      <c r="N610" s="67" t="str">
        <f aca="false">IF($E610="","","系统")</f>
        <v/>
      </c>
      <c r="O610" s="67" t="str">
        <f aca="false">IF($E610="","","自动A")</f>
        <v/>
      </c>
      <c r="P610" s="18"/>
    </row>
    <row r="611" customFormat="false" ht="18" hidden="false" customHeight="true" outlineLevel="0" collapsed="false">
      <c r="A611" s="107" t="str">
        <f aca="false">IF($E611="","",ROW()-3)</f>
        <v/>
      </c>
      <c r="B611" s="110" t="str">
        <f aca="false">IF($E611="","",INDEX(进销存对接!$C$4:$C$305,203))</f>
        <v/>
      </c>
      <c r="C611" s="67" t="str">
        <f aca="false">IF($E611="","","记-"&amp;TEXT($B611,"YYYYMM")&amp;"-进销存")</f>
        <v/>
      </c>
      <c r="D611" s="107" t="str">
        <f aca="false">IF($E611="","",INDEX(进销存对接!$D$4:$D$305,203)&amp;" "&amp;TEXT($B611,"YYYY年M月")&amp;" 自动结转")</f>
        <v/>
      </c>
      <c r="E611" s="67" t="str">
        <f aca="false">IF(INDEX(进销存对接!$M$4:$U$305,203,4)=0,"",INDEX(进销存对接!$M$4:$U$305,203,4))</f>
        <v/>
      </c>
      <c r="F611" s="99" t="str">
        <f aca="false">IF($E611="","",IFERROR(INDEX(科目表!$A$4:$A$81,MATCH($E611,科目表!$B$4:$B$81,0)),""))</f>
        <v/>
      </c>
      <c r="G611" s="67" t="str">
        <f aca="false">IF($E611="","",IFERROR(INDEX(科目表!$E$4:$E$81,MATCH($E611,科目表!$B$4:$B$81,0)),""))</f>
        <v/>
      </c>
      <c r="H611" s="70" t="str">
        <f aca="false">IF($E611="","",N(INDEX(进销存对接!$M$4:$U$305,203,5)))</f>
        <v/>
      </c>
      <c r="I611" s="70" t="str">
        <f aca="false">IF($E611="","",N(INDEX(进销存对接!$M$4:$U$305,203,6)))</f>
        <v/>
      </c>
      <c r="J611" s="67"/>
      <c r="K611" s="67" t="str">
        <f aca="false">IF($E611="","",INDEX(进销存对接!$D$4:$D$305,203))</f>
        <v/>
      </c>
      <c r="L611" s="107"/>
      <c r="M611" s="107"/>
      <c r="N611" s="67" t="str">
        <f aca="false">IF($E611="","","系统")</f>
        <v/>
      </c>
      <c r="O611" s="67" t="str">
        <f aca="false">IF($E611="","","自动A")</f>
        <v/>
      </c>
      <c r="P611" s="18"/>
    </row>
    <row r="612" customFormat="false" ht="18" hidden="false" customHeight="true" outlineLevel="0" collapsed="false">
      <c r="A612" s="107" t="str">
        <f aca="false">IF($E612="","",ROW()-3)</f>
        <v/>
      </c>
      <c r="B612" s="110" t="str">
        <f aca="false">IF($E612="","",INDEX(进销存对接!$C$4:$C$305,203))</f>
        <v/>
      </c>
      <c r="C612" s="67" t="str">
        <f aca="false">IF($E612="","","记-"&amp;TEXT($B612,"YYYYMM")&amp;"-进销存")</f>
        <v/>
      </c>
      <c r="D612" s="107" t="str">
        <f aca="false">IF($E612="","",INDEX(进销存对接!$D$4:$D$305,203)&amp;" "&amp;TEXT($B612,"YYYY年M月")&amp;" 自动结转")</f>
        <v/>
      </c>
      <c r="E612" s="67" t="str">
        <f aca="false">IF(INDEX(进销存对接!$M$4:$U$305,203,7)=0,"",INDEX(进销存对接!$M$4:$U$305,203,7))</f>
        <v/>
      </c>
      <c r="F612" s="99" t="str">
        <f aca="false">IF($E612="","",IFERROR(INDEX(科目表!$A$4:$A$81,MATCH($E612,科目表!$B$4:$B$81,0)),""))</f>
        <v/>
      </c>
      <c r="G612" s="67" t="str">
        <f aca="false">IF($E612="","",IFERROR(INDEX(科目表!$E$4:$E$81,MATCH($E612,科目表!$B$4:$B$81,0)),""))</f>
        <v/>
      </c>
      <c r="H612" s="70" t="str">
        <f aca="false">IF($E612="","",N(INDEX(进销存对接!$M$4:$U$305,203,8)))</f>
        <v/>
      </c>
      <c r="I612" s="70" t="str">
        <f aca="false">IF($E612="","",N(INDEX(进销存对接!$M$4:$U$305,203,9)))</f>
        <v/>
      </c>
      <c r="J612" s="67"/>
      <c r="K612" s="67" t="str">
        <f aca="false">IF($E612="","",INDEX(进销存对接!$D$4:$D$305,203))</f>
        <v/>
      </c>
      <c r="L612" s="107"/>
      <c r="M612" s="107"/>
      <c r="N612" s="67" t="str">
        <f aca="false">IF($E612="","","系统")</f>
        <v/>
      </c>
      <c r="O612" s="67" t="str">
        <f aca="false">IF($E612="","","自动A")</f>
        <v/>
      </c>
      <c r="P612" s="18"/>
    </row>
    <row r="613" customFormat="false" ht="18" hidden="false" customHeight="true" outlineLevel="0" collapsed="false">
      <c r="A613" s="107" t="str">
        <f aca="false">IF($E613="","",ROW()-3)</f>
        <v/>
      </c>
      <c r="B613" s="110" t="str">
        <f aca="false">IF($E613="","",INDEX(进销存对接!$C$4:$C$305,204))</f>
        <v/>
      </c>
      <c r="C613" s="67" t="str">
        <f aca="false">IF($E613="","","记-"&amp;TEXT($B613,"YYYYMM")&amp;"-进销存")</f>
        <v/>
      </c>
      <c r="D613" s="107" t="str">
        <f aca="false">IF($E613="","",INDEX(进销存对接!$D$4:$D$305,204)&amp;" "&amp;TEXT($B613,"YYYY年M月")&amp;" 自动结转")</f>
        <v/>
      </c>
      <c r="E613" s="67" t="str">
        <f aca="false">IF(INDEX(进销存对接!$M$4:$U$305,204,1)=0,"",INDEX(进销存对接!$M$4:$U$305,204,1))</f>
        <v/>
      </c>
      <c r="F613" s="99" t="str">
        <f aca="false">IF($E613="","",IFERROR(INDEX(科目表!$A$4:$A$81,MATCH($E613,科目表!$B$4:$B$81,0)),""))</f>
        <v/>
      </c>
      <c r="G613" s="67" t="str">
        <f aca="false">IF($E613="","",IFERROR(INDEX(科目表!$E$4:$E$81,MATCH($E613,科目表!$B$4:$B$81,0)),""))</f>
        <v/>
      </c>
      <c r="H613" s="70" t="str">
        <f aca="false">IF($E613="","",N(INDEX(进销存对接!$M$4:$U$305,204,2)))</f>
        <v/>
      </c>
      <c r="I613" s="70" t="str">
        <f aca="false">IF($E613="","",N(INDEX(进销存对接!$M$4:$U$305,204,3)))</f>
        <v/>
      </c>
      <c r="J613" s="67"/>
      <c r="K613" s="67" t="str">
        <f aca="false">IF($E613="","",INDEX(进销存对接!$D$4:$D$305,204))</f>
        <v/>
      </c>
      <c r="L613" s="107"/>
      <c r="M613" s="107"/>
      <c r="N613" s="67" t="str">
        <f aca="false">IF($E613="","","系统")</f>
        <v/>
      </c>
      <c r="O613" s="67" t="str">
        <f aca="false">IF($E613="","","自动A")</f>
        <v/>
      </c>
      <c r="P613" s="18"/>
    </row>
    <row r="614" customFormat="false" ht="18" hidden="false" customHeight="true" outlineLevel="0" collapsed="false">
      <c r="A614" s="107" t="str">
        <f aca="false">IF($E614="","",ROW()-3)</f>
        <v/>
      </c>
      <c r="B614" s="110" t="str">
        <f aca="false">IF($E614="","",INDEX(进销存对接!$C$4:$C$305,204))</f>
        <v/>
      </c>
      <c r="C614" s="67" t="str">
        <f aca="false">IF($E614="","","记-"&amp;TEXT($B614,"YYYYMM")&amp;"-进销存")</f>
        <v/>
      </c>
      <c r="D614" s="107" t="str">
        <f aca="false">IF($E614="","",INDEX(进销存对接!$D$4:$D$305,204)&amp;" "&amp;TEXT($B614,"YYYY年M月")&amp;" 自动结转")</f>
        <v/>
      </c>
      <c r="E614" s="67" t="str">
        <f aca="false">IF(INDEX(进销存对接!$M$4:$U$305,204,4)=0,"",INDEX(进销存对接!$M$4:$U$305,204,4))</f>
        <v/>
      </c>
      <c r="F614" s="99" t="str">
        <f aca="false">IF($E614="","",IFERROR(INDEX(科目表!$A$4:$A$81,MATCH($E614,科目表!$B$4:$B$81,0)),""))</f>
        <v/>
      </c>
      <c r="G614" s="67" t="str">
        <f aca="false">IF($E614="","",IFERROR(INDEX(科目表!$E$4:$E$81,MATCH($E614,科目表!$B$4:$B$81,0)),""))</f>
        <v/>
      </c>
      <c r="H614" s="70" t="str">
        <f aca="false">IF($E614="","",N(INDEX(进销存对接!$M$4:$U$305,204,5)))</f>
        <v/>
      </c>
      <c r="I614" s="70" t="str">
        <f aca="false">IF($E614="","",N(INDEX(进销存对接!$M$4:$U$305,204,6)))</f>
        <v/>
      </c>
      <c r="J614" s="67"/>
      <c r="K614" s="67" t="str">
        <f aca="false">IF($E614="","",INDEX(进销存对接!$D$4:$D$305,204))</f>
        <v/>
      </c>
      <c r="L614" s="107"/>
      <c r="M614" s="107"/>
      <c r="N614" s="67" t="str">
        <f aca="false">IF($E614="","","系统")</f>
        <v/>
      </c>
      <c r="O614" s="67" t="str">
        <f aca="false">IF($E614="","","自动A")</f>
        <v/>
      </c>
      <c r="P614" s="18"/>
    </row>
    <row r="615" customFormat="false" ht="18" hidden="false" customHeight="true" outlineLevel="0" collapsed="false">
      <c r="A615" s="107" t="str">
        <f aca="false">IF($E615="","",ROW()-3)</f>
        <v/>
      </c>
      <c r="B615" s="110" t="str">
        <f aca="false">IF($E615="","",INDEX(进销存对接!$C$4:$C$305,204))</f>
        <v/>
      </c>
      <c r="C615" s="67" t="str">
        <f aca="false">IF($E615="","","记-"&amp;TEXT($B615,"YYYYMM")&amp;"-进销存")</f>
        <v/>
      </c>
      <c r="D615" s="107" t="str">
        <f aca="false">IF($E615="","",INDEX(进销存对接!$D$4:$D$305,204)&amp;" "&amp;TEXT($B615,"YYYY年M月")&amp;" 自动结转")</f>
        <v/>
      </c>
      <c r="E615" s="67" t="str">
        <f aca="false">IF(INDEX(进销存对接!$M$4:$U$305,204,7)=0,"",INDEX(进销存对接!$M$4:$U$305,204,7))</f>
        <v/>
      </c>
      <c r="F615" s="99" t="str">
        <f aca="false">IF($E615="","",IFERROR(INDEX(科目表!$A$4:$A$81,MATCH($E615,科目表!$B$4:$B$81,0)),""))</f>
        <v/>
      </c>
      <c r="G615" s="67" t="str">
        <f aca="false">IF($E615="","",IFERROR(INDEX(科目表!$E$4:$E$81,MATCH($E615,科目表!$B$4:$B$81,0)),""))</f>
        <v/>
      </c>
      <c r="H615" s="70" t="str">
        <f aca="false">IF($E615="","",N(INDEX(进销存对接!$M$4:$U$305,204,8)))</f>
        <v/>
      </c>
      <c r="I615" s="70" t="str">
        <f aca="false">IF($E615="","",N(INDEX(进销存对接!$M$4:$U$305,204,9)))</f>
        <v/>
      </c>
      <c r="J615" s="67"/>
      <c r="K615" s="67" t="str">
        <f aca="false">IF($E615="","",INDEX(进销存对接!$D$4:$D$305,204))</f>
        <v/>
      </c>
      <c r="L615" s="107"/>
      <c r="M615" s="107"/>
      <c r="N615" s="67" t="str">
        <f aca="false">IF($E615="","","系统")</f>
        <v/>
      </c>
      <c r="O615" s="67" t="str">
        <f aca="false">IF($E615="","","自动A")</f>
        <v/>
      </c>
      <c r="P615" s="18"/>
    </row>
    <row r="616" customFormat="false" ht="18" hidden="false" customHeight="true" outlineLevel="0" collapsed="false">
      <c r="A616" s="107" t="str">
        <f aca="false">IF($E616="","",ROW()-3)</f>
        <v/>
      </c>
      <c r="B616" s="110" t="str">
        <f aca="false">IF($E616="","",INDEX(进销存对接!$C$4:$C$305,205))</f>
        <v/>
      </c>
      <c r="C616" s="67" t="str">
        <f aca="false">IF($E616="","","记-"&amp;TEXT($B616,"YYYYMM")&amp;"-进销存")</f>
        <v/>
      </c>
      <c r="D616" s="107" t="str">
        <f aca="false">IF($E616="","",INDEX(进销存对接!$D$4:$D$305,205)&amp;" "&amp;TEXT($B616,"YYYY年M月")&amp;" 自动结转")</f>
        <v/>
      </c>
      <c r="E616" s="67" t="str">
        <f aca="false">IF(INDEX(进销存对接!$M$4:$U$305,205,1)=0,"",INDEX(进销存对接!$M$4:$U$305,205,1))</f>
        <v/>
      </c>
      <c r="F616" s="99" t="str">
        <f aca="false">IF($E616="","",IFERROR(INDEX(科目表!$A$4:$A$81,MATCH($E616,科目表!$B$4:$B$81,0)),""))</f>
        <v/>
      </c>
      <c r="G616" s="67" t="str">
        <f aca="false">IF($E616="","",IFERROR(INDEX(科目表!$E$4:$E$81,MATCH($E616,科目表!$B$4:$B$81,0)),""))</f>
        <v/>
      </c>
      <c r="H616" s="70" t="str">
        <f aca="false">IF($E616="","",N(INDEX(进销存对接!$M$4:$U$305,205,2)))</f>
        <v/>
      </c>
      <c r="I616" s="70" t="str">
        <f aca="false">IF($E616="","",N(INDEX(进销存对接!$M$4:$U$305,205,3)))</f>
        <v/>
      </c>
      <c r="J616" s="67"/>
      <c r="K616" s="67" t="str">
        <f aca="false">IF($E616="","",INDEX(进销存对接!$D$4:$D$305,205))</f>
        <v/>
      </c>
      <c r="L616" s="107"/>
      <c r="M616" s="107"/>
      <c r="N616" s="67" t="str">
        <f aca="false">IF($E616="","","系统")</f>
        <v/>
      </c>
      <c r="O616" s="67" t="str">
        <f aca="false">IF($E616="","","自动A")</f>
        <v/>
      </c>
      <c r="P616" s="18"/>
    </row>
    <row r="617" customFormat="false" ht="18" hidden="false" customHeight="true" outlineLevel="0" collapsed="false">
      <c r="A617" s="107" t="str">
        <f aca="false">IF($E617="","",ROW()-3)</f>
        <v/>
      </c>
      <c r="B617" s="110" t="str">
        <f aca="false">IF($E617="","",INDEX(进销存对接!$C$4:$C$305,205))</f>
        <v/>
      </c>
      <c r="C617" s="67" t="str">
        <f aca="false">IF($E617="","","记-"&amp;TEXT($B617,"YYYYMM")&amp;"-进销存")</f>
        <v/>
      </c>
      <c r="D617" s="107" t="str">
        <f aca="false">IF($E617="","",INDEX(进销存对接!$D$4:$D$305,205)&amp;" "&amp;TEXT($B617,"YYYY年M月")&amp;" 自动结转")</f>
        <v/>
      </c>
      <c r="E617" s="67" t="str">
        <f aca="false">IF(INDEX(进销存对接!$M$4:$U$305,205,4)=0,"",INDEX(进销存对接!$M$4:$U$305,205,4))</f>
        <v/>
      </c>
      <c r="F617" s="99" t="str">
        <f aca="false">IF($E617="","",IFERROR(INDEX(科目表!$A$4:$A$81,MATCH($E617,科目表!$B$4:$B$81,0)),""))</f>
        <v/>
      </c>
      <c r="G617" s="67" t="str">
        <f aca="false">IF($E617="","",IFERROR(INDEX(科目表!$E$4:$E$81,MATCH($E617,科目表!$B$4:$B$81,0)),""))</f>
        <v/>
      </c>
      <c r="H617" s="70" t="str">
        <f aca="false">IF($E617="","",N(INDEX(进销存对接!$M$4:$U$305,205,5)))</f>
        <v/>
      </c>
      <c r="I617" s="70" t="str">
        <f aca="false">IF($E617="","",N(INDEX(进销存对接!$M$4:$U$305,205,6)))</f>
        <v/>
      </c>
      <c r="J617" s="67"/>
      <c r="K617" s="67" t="str">
        <f aca="false">IF($E617="","",INDEX(进销存对接!$D$4:$D$305,205))</f>
        <v/>
      </c>
      <c r="L617" s="107"/>
      <c r="M617" s="107"/>
      <c r="N617" s="67" t="str">
        <f aca="false">IF($E617="","","系统")</f>
        <v/>
      </c>
      <c r="O617" s="67" t="str">
        <f aca="false">IF($E617="","","自动A")</f>
        <v/>
      </c>
      <c r="P617" s="18"/>
    </row>
    <row r="618" customFormat="false" ht="18" hidden="false" customHeight="true" outlineLevel="0" collapsed="false">
      <c r="A618" s="107" t="str">
        <f aca="false">IF($E618="","",ROW()-3)</f>
        <v/>
      </c>
      <c r="B618" s="110" t="str">
        <f aca="false">IF($E618="","",INDEX(进销存对接!$C$4:$C$305,205))</f>
        <v/>
      </c>
      <c r="C618" s="67" t="str">
        <f aca="false">IF($E618="","","记-"&amp;TEXT($B618,"YYYYMM")&amp;"-进销存")</f>
        <v/>
      </c>
      <c r="D618" s="107" t="str">
        <f aca="false">IF($E618="","",INDEX(进销存对接!$D$4:$D$305,205)&amp;" "&amp;TEXT($B618,"YYYY年M月")&amp;" 自动结转")</f>
        <v/>
      </c>
      <c r="E618" s="67" t="str">
        <f aca="false">IF(INDEX(进销存对接!$M$4:$U$305,205,7)=0,"",INDEX(进销存对接!$M$4:$U$305,205,7))</f>
        <v/>
      </c>
      <c r="F618" s="99" t="str">
        <f aca="false">IF($E618="","",IFERROR(INDEX(科目表!$A$4:$A$81,MATCH($E618,科目表!$B$4:$B$81,0)),""))</f>
        <v/>
      </c>
      <c r="G618" s="67" t="str">
        <f aca="false">IF($E618="","",IFERROR(INDEX(科目表!$E$4:$E$81,MATCH($E618,科目表!$B$4:$B$81,0)),""))</f>
        <v/>
      </c>
      <c r="H618" s="70" t="str">
        <f aca="false">IF($E618="","",N(INDEX(进销存对接!$M$4:$U$305,205,8)))</f>
        <v/>
      </c>
      <c r="I618" s="70" t="str">
        <f aca="false">IF($E618="","",N(INDEX(进销存对接!$M$4:$U$305,205,9)))</f>
        <v/>
      </c>
      <c r="J618" s="67"/>
      <c r="K618" s="67" t="str">
        <f aca="false">IF($E618="","",INDEX(进销存对接!$D$4:$D$305,205))</f>
        <v/>
      </c>
      <c r="L618" s="107"/>
      <c r="M618" s="107"/>
      <c r="N618" s="67" t="str">
        <f aca="false">IF($E618="","","系统")</f>
        <v/>
      </c>
      <c r="O618" s="67" t="str">
        <f aca="false">IF($E618="","","自动A")</f>
        <v/>
      </c>
      <c r="P618" s="18"/>
    </row>
    <row r="619" customFormat="false" ht="18" hidden="false" customHeight="true" outlineLevel="0" collapsed="false">
      <c r="A619" s="107" t="str">
        <f aca="false">IF($E619="","",ROW()-3)</f>
        <v/>
      </c>
      <c r="B619" s="110" t="str">
        <f aca="false">IF($E619="","",INDEX(进销存对接!$C$4:$C$305,206))</f>
        <v/>
      </c>
      <c r="C619" s="67" t="str">
        <f aca="false">IF($E619="","","记-"&amp;TEXT($B619,"YYYYMM")&amp;"-进销存")</f>
        <v/>
      </c>
      <c r="D619" s="107" t="str">
        <f aca="false">IF($E619="","",INDEX(进销存对接!$D$4:$D$305,206)&amp;" "&amp;TEXT($B619,"YYYY年M月")&amp;" 自动结转")</f>
        <v/>
      </c>
      <c r="E619" s="67" t="str">
        <f aca="false">IF(INDEX(进销存对接!$M$4:$U$305,206,1)=0,"",INDEX(进销存对接!$M$4:$U$305,206,1))</f>
        <v/>
      </c>
      <c r="F619" s="99" t="str">
        <f aca="false">IF($E619="","",IFERROR(INDEX(科目表!$A$4:$A$81,MATCH($E619,科目表!$B$4:$B$81,0)),""))</f>
        <v/>
      </c>
      <c r="G619" s="67" t="str">
        <f aca="false">IF($E619="","",IFERROR(INDEX(科目表!$E$4:$E$81,MATCH($E619,科目表!$B$4:$B$81,0)),""))</f>
        <v/>
      </c>
      <c r="H619" s="70" t="str">
        <f aca="false">IF($E619="","",N(INDEX(进销存对接!$M$4:$U$305,206,2)))</f>
        <v/>
      </c>
      <c r="I619" s="70" t="str">
        <f aca="false">IF($E619="","",N(INDEX(进销存对接!$M$4:$U$305,206,3)))</f>
        <v/>
      </c>
      <c r="J619" s="67"/>
      <c r="K619" s="67" t="str">
        <f aca="false">IF($E619="","",INDEX(进销存对接!$D$4:$D$305,206))</f>
        <v/>
      </c>
      <c r="L619" s="107"/>
      <c r="M619" s="107"/>
      <c r="N619" s="67" t="str">
        <f aca="false">IF($E619="","","系统")</f>
        <v/>
      </c>
      <c r="O619" s="67" t="str">
        <f aca="false">IF($E619="","","自动A")</f>
        <v/>
      </c>
      <c r="P619" s="18"/>
    </row>
    <row r="620" customFormat="false" ht="18" hidden="false" customHeight="true" outlineLevel="0" collapsed="false">
      <c r="A620" s="107" t="str">
        <f aca="false">IF($E620="","",ROW()-3)</f>
        <v/>
      </c>
      <c r="B620" s="110" t="str">
        <f aca="false">IF($E620="","",INDEX(进销存对接!$C$4:$C$305,206))</f>
        <v/>
      </c>
      <c r="C620" s="67" t="str">
        <f aca="false">IF($E620="","","记-"&amp;TEXT($B620,"YYYYMM")&amp;"-进销存")</f>
        <v/>
      </c>
      <c r="D620" s="107" t="str">
        <f aca="false">IF($E620="","",INDEX(进销存对接!$D$4:$D$305,206)&amp;" "&amp;TEXT($B620,"YYYY年M月")&amp;" 自动结转")</f>
        <v/>
      </c>
      <c r="E620" s="67" t="str">
        <f aca="false">IF(INDEX(进销存对接!$M$4:$U$305,206,4)=0,"",INDEX(进销存对接!$M$4:$U$305,206,4))</f>
        <v/>
      </c>
      <c r="F620" s="99" t="str">
        <f aca="false">IF($E620="","",IFERROR(INDEX(科目表!$A$4:$A$81,MATCH($E620,科目表!$B$4:$B$81,0)),""))</f>
        <v/>
      </c>
      <c r="G620" s="67" t="str">
        <f aca="false">IF($E620="","",IFERROR(INDEX(科目表!$E$4:$E$81,MATCH($E620,科目表!$B$4:$B$81,0)),""))</f>
        <v/>
      </c>
      <c r="H620" s="70" t="str">
        <f aca="false">IF($E620="","",N(INDEX(进销存对接!$M$4:$U$305,206,5)))</f>
        <v/>
      </c>
      <c r="I620" s="70" t="str">
        <f aca="false">IF($E620="","",N(INDEX(进销存对接!$M$4:$U$305,206,6)))</f>
        <v/>
      </c>
      <c r="J620" s="67"/>
      <c r="K620" s="67" t="str">
        <f aca="false">IF($E620="","",INDEX(进销存对接!$D$4:$D$305,206))</f>
        <v/>
      </c>
      <c r="L620" s="107"/>
      <c r="M620" s="107"/>
      <c r="N620" s="67" t="str">
        <f aca="false">IF($E620="","","系统")</f>
        <v/>
      </c>
      <c r="O620" s="67" t="str">
        <f aca="false">IF($E620="","","自动A")</f>
        <v/>
      </c>
      <c r="P620" s="18"/>
    </row>
    <row r="621" customFormat="false" ht="18" hidden="false" customHeight="true" outlineLevel="0" collapsed="false">
      <c r="A621" s="107" t="str">
        <f aca="false">IF($E621="","",ROW()-3)</f>
        <v/>
      </c>
      <c r="B621" s="110" t="str">
        <f aca="false">IF($E621="","",INDEX(进销存对接!$C$4:$C$305,206))</f>
        <v/>
      </c>
      <c r="C621" s="67" t="str">
        <f aca="false">IF($E621="","","记-"&amp;TEXT($B621,"YYYYMM")&amp;"-进销存")</f>
        <v/>
      </c>
      <c r="D621" s="107" t="str">
        <f aca="false">IF($E621="","",INDEX(进销存对接!$D$4:$D$305,206)&amp;" "&amp;TEXT($B621,"YYYY年M月")&amp;" 自动结转")</f>
        <v/>
      </c>
      <c r="E621" s="67" t="str">
        <f aca="false">IF(INDEX(进销存对接!$M$4:$U$305,206,7)=0,"",INDEX(进销存对接!$M$4:$U$305,206,7))</f>
        <v/>
      </c>
      <c r="F621" s="99" t="str">
        <f aca="false">IF($E621="","",IFERROR(INDEX(科目表!$A$4:$A$81,MATCH($E621,科目表!$B$4:$B$81,0)),""))</f>
        <v/>
      </c>
      <c r="G621" s="67" t="str">
        <f aca="false">IF($E621="","",IFERROR(INDEX(科目表!$E$4:$E$81,MATCH($E621,科目表!$B$4:$B$81,0)),""))</f>
        <v/>
      </c>
      <c r="H621" s="70" t="str">
        <f aca="false">IF($E621="","",N(INDEX(进销存对接!$M$4:$U$305,206,8)))</f>
        <v/>
      </c>
      <c r="I621" s="70" t="str">
        <f aca="false">IF($E621="","",N(INDEX(进销存对接!$M$4:$U$305,206,9)))</f>
        <v/>
      </c>
      <c r="J621" s="67"/>
      <c r="K621" s="67" t="str">
        <f aca="false">IF($E621="","",INDEX(进销存对接!$D$4:$D$305,206))</f>
        <v/>
      </c>
      <c r="L621" s="107"/>
      <c r="M621" s="107"/>
      <c r="N621" s="67" t="str">
        <f aca="false">IF($E621="","","系统")</f>
        <v/>
      </c>
      <c r="O621" s="67" t="str">
        <f aca="false">IF($E621="","","自动A")</f>
        <v/>
      </c>
      <c r="P621" s="18"/>
    </row>
    <row r="622" customFormat="false" ht="18" hidden="false" customHeight="true" outlineLevel="0" collapsed="false">
      <c r="A622" s="107" t="str">
        <f aca="false">IF($E622="","",ROW()-3)</f>
        <v/>
      </c>
      <c r="B622" s="110" t="str">
        <f aca="false">IF($E622="","",INDEX(进销存对接!$C$4:$C$305,207))</f>
        <v/>
      </c>
      <c r="C622" s="67" t="str">
        <f aca="false">IF($E622="","","记-"&amp;TEXT($B622,"YYYYMM")&amp;"-进销存")</f>
        <v/>
      </c>
      <c r="D622" s="107" t="str">
        <f aca="false">IF($E622="","",INDEX(进销存对接!$D$4:$D$305,207)&amp;" "&amp;TEXT($B622,"YYYY年M月")&amp;" 自动结转")</f>
        <v/>
      </c>
      <c r="E622" s="67" t="str">
        <f aca="false">IF(INDEX(进销存对接!$M$4:$U$305,207,1)=0,"",INDEX(进销存对接!$M$4:$U$305,207,1))</f>
        <v/>
      </c>
      <c r="F622" s="99" t="str">
        <f aca="false">IF($E622="","",IFERROR(INDEX(科目表!$A$4:$A$81,MATCH($E622,科目表!$B$4:$B$81,0)),""))</f>
        <v/>
      </c>
      <c r="G622" s="67" t="str">
        <f aca="false">IF($E622="","",IFERROR(INDEX(科目表!$E$4:$E$81,MATCH($E622,科目表!$B$4:$B$81,0)),""))</f>
        <v/>
      </c>
      <c r="H622" s="70" t="str">
        <f aca="false">IF($E622="","",N(INDEX(进销存对接!$M$4:$U$305,207,2)))</f>
        <v/>
      </c>
      <c r="I622" s="70" t="str">
        <f aca="false">IF($E622="","",N(INDEX(进销存对接!$M$4:$U$305,207,3)))</f>
        <v/>
      </c>
      <c r="J622" s="67"/>
      <c r="K622" s="67" t="str">
        <f aca="false">IF($E622="","",INDEX(进销存对接!$D$4:$D$305,207))</f>
        <v/>
      </c>
      <c r="L622" s="107"/>
      <c r="M622" s="107"/>
      <c r="N622" s="67" t="str">
        <f aca="false">IF($E622="","","系统")</f>
        <v/>
      </c>
      <c r="O622" s="67" t="str">
        <f aca="false">IF($E622="","","自动A")</f>
        <v/>
      </c>
      <c r="P622" s="18"/>
    </row>
    <row r="623" customFormat="false" ht="18" hidden="false" customHeight="true" outlineLevel="0" collapsed="false">
      <c r="A623" s="107" t="str">
        <f aca="false">IF($E623="","",ROW()-3)</f>
        <v/>
      </c>
      <c r="B623" s="110" t="str">
        <f aca="false">IF($E623="","",INDEX(进销存对接!$C$4:$C$305,207))</f>
        <v/>
      </c>
      <c r="C623" s="67" t="str">
        <f aca="false">IF($E623="","","记-"&amp;TEXT($B623,"YYYYMM")&amp;"-进销存")</f>
        <v/>
      </c>
      <c r="D623" s="107" t="str">
        <f aca="false">IF($E623="","",INDEX(进销存对接!$D$4:$D$305,207)&amp;" "&amp;TEXT($B623,"YYYY年M月")&amp;" 自动结转")</f>
        <v/>
      </c>
      <c r="E623" s="67" t="str">
        <f aca="false">IF(INDEX(进销存对接!$M$4:$U$305,207,4)=0,"",INDEX(进销存对接!$M$4:$U$305,207,4))</f>
        <v/>
      </c>
      <c r="F623" s="99" t="str">
        <f aca="false">IF($E623="","",IFERROR(INDEX(科目表!$A$4:$A$81,MATCH($E623,科目表!$B$4:$B$81,0)),""))</f>
        <v/>
      </c>
      <c r="G623" s="67" t="str">
        <f aca="false">IF($E623="","",IFERROR(INDEX(科目表!$E$4:$E$81,MATCH($E623,科目表!$B$4:$B$81,0)),""))</f>
        <v/>
      </c>
      <c r="H623" s="70" t="str">
        <f aca="false">IF($E623="","",N(INDEX(进销存对接!$M$4:$U$305,207,5)))</f>
        <v/>
      </c>
      <c r="I623" s="70" t="str">
        <f aca="false">IF($E623="","",N(INDEX(进销存对接!$M$4:$U$305,207,6)))</f>
        <v/>
      </c>
      <c r="J623" s="67"/>
      <c r="K623" s="67" t="str">
        <f aca="false">IF($E623="","",INDEX(进销存对接!$D$4:$D$305,207))</f>
        <v/>
      </c>
      <c r="L623" s="107"/>
      <c r="M623" s="107"/>
      <c r="N623" s="67" t="str">
        <f aca="false">IF($E623="","","系统")</f>
        <v/>
      </c>
      <c r="O623" s="67" t="str">
        <f aca="false">IF($E623="","","自动A")</f>
        <v/>
      </c>
      <c r="P623" s="18"/>
    </row>
    <row r="624" customFormat="false" ht="18" hidden="false" customHeight="true" outlineLevel="0" collapsed="false">
      <c r="A624" s="107" t="str">
        <f aca="false">IF($E624="","",ROW()-3)</f>
        <v/>
      </c>
      <c r="B624" s="110" t="str">
        <f aca="false">IF($E624="","",INDEX(进销存对接!$C$4:$C$305,207))</f>
        <v/>
      </c>
      <c r="C624" s="67" t="str">
        <f aca="false">IF($E624="","","记-"&amp;TEXT($B624,"YYYYMM")&amp;"-进销存")</f>
        <v/>
      </c>
      <c r="D624" s="107" t="str">
        <f aca="false">IF($E624="","",INDEX(进销存对接!$D$4:$D$305,207)&amp;" "&amp;TEXT($B624,"YYYY年M月")&amp;" 自动结转")</f>
        <v/>
      </c>
      <c r="E624" s="67" t="str">
        <f aca="false">IF(INDEX(进销存对接!$M$4:$U$305,207,7)=0,"",INDEX(进销存对接!$M$4:$U$305,207,7))</f>
        <v/>
      </c>
      <c r="F624" s="99" t="str">
        <f aca="false">IF($E624="","",IFERROR(INDEX(科目表!$A$4:$A$81,MATCH($E624,科目表!$B$4:$B$81,0)),""))</f>
        <v/>
      </c>
      <c r="G624" s="67" t="str">
        <f aca="false">IF($E624="","",IFERROR(INDEX(科目表!$E$4:$E$81,MATCH($E624,科目表!$B$4:$B$81,0)),""))</f>
        <v/>
      </c>
      <c r="H624" s="70" t="str">
        <f aca="false">IF($E624="","",N(INDEX(进销存对接!$M$4:$U$305,207,8)))</f>
        <v/>
      </c>
      <c r="I624" s="70" t="str">
        <f aca="false">IF($E624="","",N(INDEX(进销存对接!$M$4:$U$305,207,9)))</f>
        <v/>
      </c>
      <c r="J624" s="67"/>
      <c r="K624" s="67" t="str">
        <f aca="false">IF($E624="","",INDEX(进销存对接!$D$4:$D$305,207))</f>
        <v/>
      </c>
      <c r="L624" s="107"/>
      <c r="M624" s="107"/>
      <c r="N624" s="67" t="str">
        <f aca="false">IF($E624="","","系统")</f>
        <v/>
      </c>
      <c r="O624" s="67" t="str">
        <f aca="false">IF($E624="","","自动A")</f>
        <v/>
      </c>
      <c r="P624" s="18"/>
    </row>
    <row r="625" customFormat="false" ht="18" hidden="false" customHeight="true" outlineLevel="0" collapsed="false">
      <c r="A625" s="107" t="str">
        <f aca="false">IF($E625="","",ROW()-3)</f>
        <v/>
      </c>
      <c r="B625" s="110" t="str">
        <f aca="false">IF($E625="","",INDEX(进销存对接!$C$4:$C$305,208))</f>
        <v/>
      </c>
      <c r="C625" s="67" t="str">
        <f aca="false">IF($E625="","","记-"&amp;TEXT($B625,"YYYYMM")&amp;"-进销存")</f>
        <v/>
      </c>
      <c r="D625" s="107" t="str">
        <f aca="false">IF($E625="","",INDEX(进销存对接!$D$4:$D$305,208)&amp;" "&amp;TEXT($B625,"YYYY年M月")&amp;" 自动结转")</f>
        <v/>
      </c>
      <c r="E625" s="67" t="str">
        <f aca="false">IF(INDEX(进销存对接!$M$4:$U$305,208,1)=0,"",INDEX(进销存对接!$M$4:$U$305,208,1))</f>
        <v/>
      </c>
      <c r="F625" s="99" t="str">
        <f aca="false">IF($E625="","",IFERROR(INDEX(科目表!$A$4:$A$81,MATCH($E625,科目表!$B$4:$B$81,0)),""))</f>
        <v/>
      </c>
      <c r="G625" s="67" t="str">
        <f aca="false">IF($E625="","",IFERROR(INDEX(科目表!$E$4:$E$81,MATCH($E625,科目表!$B$4:$B$81,0)),""))</f>
        <v/>
      </c>
      <c r="H625" s="70" t="str">
        <f aca="false">IF($E625="","",N(INDEX(进销存对接!$M$4:$U$305,208,2)))</f>
        <v/>
      </c>
      <c r="I625" s="70" t="str">
        <f aca="false">IF($E625="","",N(INDEX(进销存对接!$M$4:$U$305,208,3)))</f>
        <v/>
      </c>
      <c r="J625" s="67"/>
      <c r="K625" s="67" t="str">
        <f aca="false">IF($E625="","",INDEX(进销存对接!$D$4:$D$305,208))</f>
        <v/>
      </c>
      <c r="L625" s="107"/>
      <c r="M625" s="107"/>
      <c r="N625" s="67" t="str">
        <f aca="false">IF($E625="","","系统")</f>
        <v/>
      </c>
      <c r="O625" s="67" t="str">
        <f aca="false">IF($E625="","","自动A")</f>
        <v/>
      </c>
      <c r="P625" s="18"/>
    </row>
    <row r="626" customFormat="false" ht="18" hidden="false" customHeight="true" outlineLevel="0" collapsed="false">
      <c r="A626" s="107" t="str">
        <f aca="false">IF($E626="","",ROW()-3)</f>
        <v/>
      </c>
      <c r="B626" s="110" t="str">
        <f aca="false">IF($E626="","",INDEX(进销存对接!$C$4:$C$305,208))</f>
        <v/>
      </c>
      <c r="C626" s="67" t="str">
        <f aca="false">IF($E626="","","记-"&amp;TEXT($B626,"YYYYMM")&amp;"-进销存")</f>
        <v/>
      </c>
      <c r="D626" s="107" t="str">
        <f aca="false">IF($E626="","",INDEX(进销存对接!$D$4:$D$305,208)&amp;" "&amp;TEXT($B626,"YYYY年M月")&amp;" 自动结转")</f>
        <v/>
      </c>
      <c r="E626" s="67" t="str">
        <f aca="false">IF(INDEX(进销存对接!$M$4:$U$305,208,4)=0,"",INDEX(进销存对接!$M$4:$U$305,208,4))</f>
        <v/>
      </c>
      <c r="F626" s="99" t="str">
        <f aca="false">IF($E626="","",IFERROR(INDEX(科目表!$A$4:$A$81,MATCH($E626,科目表!$B$4:$B$81,0)),""))</f>
        <v/>
      </c>
      <c r="G626" s="67" t="str">
        <f aca="false">IF($E626="","",IFERROR(INDEX(科目表!$E$4:$E$81,MATCH($E626,科目表!$B$4:$B$81,0)),""))</f>
        <v/>
      </c>
      <c r="H626" s="70" t="str">
        <f aca="false">IF($E626="","",N(INDEX(进销存对接!$M$4:$U$305,208,5)))</f>
        <v/>
      </c>
      <c r="I626" s="70" t="str">
        <f aca="false">IF($E626="","",N(INDEX(进销存对接!$M$4:$U$305,208,6)))</f>
        <v/>
      </c>
      <c r="J626" s="67"/>
      <c r="K626" s="67" t="str">
        <f aca="false">IF($E626="","",INDEX(进销存对接!$D$4:$D$305,208))</f>
        <v/>
      </c>
      <c r="L626" s="107"/>
      <c r="M626" s="107"/>
      <c r="N626" s="67" t="str">
        <f aca="false">IF($E626="","","系统")</f>
        <v/>
      </c>
      <c r="O626" s="67" t="str">
        <f aca="false">IF($E626="","","自动A")</f>
        <v/>
      </c>
      <c r="P626" s="18"/>
    </row>
    <row r="627" customFormat="false" ht="18" hidden="false" customHeight="true" outlineLevel="0" collapsed="false">
      <c r="A627" s="107" t="str">
        <f aca="false">IF($E627="","",ROW()-3)</f>
        <v/>
      </c>
      <c r="B627" s="110" t="str">
        <f aca="false">IF($E627="","",INDEX(进销存对接!$C$4:$C$305,208))</f>
        <v/>
      </c>
      <c r="C627" s="67" t="str">
        <f aca="false">IF($E627="","","记-"&amp;TEXT($B627,"YYYYMM")&amp;"-进销存")</f>
        <v/>
      </c>
      <c r="D627" s="107" t="str">
        <f aca="false">IF($E627="","",INDEX(进销存对接!$D$4:$D$305,208)&amp;" "&amp;TEXT($B627,"YYYY年M月")&amp;" 自动结转")</f>
        <v/>
      </c>
      <c r="E627" s="67" t="str">
        <f aca="false">IF(INDEX(进销存对接!$M$4:$U$305,208,7)=0,"",INDEX(进销存对接!$M$4:$U$305,208,7))</f>
        <v/>
      </c>
      <c r="F627" s="99" t="str">
        <f aca="false">IF($E627="","",IFERROR(INDEX(科目表!$A$4:$A$81,MATCH($E627,科目表!$B$4:$B$81,0)),""))</f>
        <v/>
      </c>
      <c r="G627" s="67" t="str">
        <f aca="false">IF($E627="","",IFERROR(INDEX(科目表!$E$4:$E$81,MATCH($E627,科目表!$B$4:$B$81,0)),""))</f>
        <v/>
      </c>
      <c r="H627" s="70" t="str">
        <f aca="false">IF($E627="","",N(INDEX(进销存对接!$M$4:$U$305,208,8)))</f>
        <v/>
      </c>
      <c r="I627" s="70" t="str">
        <f aca="false">IF($E627="","",N(INDEX(进销存对接!$M$4:$U$305,208,9)))</f>
        <v/>
      </c>
      <c r="J627" s="67"/>
      <c r="K627" s="67" t="str">
        <f aca="false">IF($E627="","",INDEX(进销存对接!$D$4:$D$305,208))</f>
        <v/>
      </c>
      <c r="L627" s="107"/>
      <c r="M627" s="107"/>
      <c r="N627" s="67" t="str">
        <f aca="false">IF($E627="","","系统")</f>
        <v/>
      </c>
      <c r="O627" s="67" t="str">
        <f aca="false">IF($E627="","","自动A")</f>
        <v/>
      </c>
      <c r="P627" s="18"/>
    </row>
    <row r="628" customFormat="false" ht="18" hidden="false" customHeight="true" outlineLevel="0" collapsed="false">
      <c r="A628" s="107" t="str">
        <f aca="false">IF($E628="","",ROW()-3)</f>
        <v/>
      </c>
      <c r="B628" s="110" t="str">
        <f aca="false">IF($E628="","",INDEX(进销存对接!$C$4:$C$305,209))</f>
        <v/>
      </c>
      <c r="C628" s="67" t="str">
        <f aca="false">IF($E628="","","记-"&amp;TEXT($B628,"YYYYMM")&amp;"-进销存")</f>
        <v/>
      </c>
      <c r="D628" s="107" t="str">
        <f aca="false">IF($E628="","",INDEX(进销存对接!$D$4:$D$305,209)&amp;" "&amp;TEXT($B628,"YYYY年M月")&amp;" 自动结转")</f>
        <v/>
      </c>
      <c r="E628" s="67" t="str">
        <f aca="false">IF(INDEX(进销存对接!$M$4:$U$305,209,1)=0,"",INDEX(进销存对接!$M$4:$U$305,209,1))</f>
        <v/>
      </c>
      <c r="F628" s="99" t="str">
        <f aca="false">IF($E628="","",IFERROR(INDEX(科目表!$A$4:$A$81,MATCH($E628,科目表!$B$4:$B$81,0)),""))</f>
        <v/>
      </c>
      <c r="G628" s="67" t="str">
        <f aca="false">IF($E628="","",IFERROR(INDEX(科目表!$E$4:$E$81,MATCH($E628,科目表!$B$4:$B$81,0)),""))</f>
        <v/>
      </c>
      <c r="H628" s="70" t="str">
        <f aca="false">IF($E628="","",N(INDEX(进销存对接!$M$4:$U$305,209,2)))</f>
        <v/>
      </c>
      <c r="I628" s="70" t="str">
        <f aca="false">IF($E628="","",N(INDEX(进销存对接!$M$4:$U$305,209,3)))</f>
        <v/>
      </c>
      <c r="J628" s="67"/>
      <c r="K628" s="67" t="str">
        <f aca="false">IF($E628="","",INDEX(进销存对接!$D$4:$D$305,209))</f>
        <v/>
      </c>
      <c r="L628" s="107"/>
      <c r="M628" s="107"/>
      <c r="N628" s="67" t="str">
        <f aca="false">IF($E628="","","系统")</f>
        <v/>
      </c>
      <c r="O628" s="67" t="str">
        <f aca="false">IF($E628="","","自动A")</f>
        <v/>
      </c>
      <c r="P628" s="18"/>
    </row>
    <row r="629" customFormat="false" ht="18" hidden="false" customHeight="true" outlineLevel="0" collapsed="false">
      <c r="A629" s="107" t="str">
        <f aca="false">IF($E629="","",ROW()-3)</f>
        <v/>
      </c>
      <c r="B629" s="110" t="str">
        <f aca="false">IF($E629="","",INDEX(进销存对接!$C$4:$C$305,209))</f>
        <v/>
      </c>
      <c r="C629" s="67" t="str">
        <f aca="false">IF($E629="","","记-"&amp;TEXT($B629,"YYYYMM")&amp;"-进销存")</f>
        <v/>
      </c>
      <c r="D629" s="107" t="str">
        <f aca="false">IF($E629="","",INDEX(进销存对接!$D$4:$D$305,209)&amp;" "&amp;TEXT($B629,"YYYY年M月")&amp;" 自动结转")</f>
        <v/>
      </c>
      <c r="E629" s="67" t="str">
        <f aca="false">IF(INDEX(进销存对接!$M$4:$U$305,209,4)=0,"",INDEX(进销存对接!$M$4:$U$305,209,4))</f>
        <v/>
      </c>
      <c r="F629" s="99" t="str">
        <f aca="false">IF($E629="","",IFERROR(INDEX(科目表!$A$4:$A$81,MATCH($E629,科目表!$B$4:$B$81,0)),""))</f>
        <v/>
      </c>
      <c r="G629" s="67" t="str">
        <f aca="false">IF($E629="","",IFERROR(INDEX(科目表!$E$4:$E$81,MATCH($E629,科目表!$B$4:$B$81,0)),""))</f>
        <v/>
      </c>
      <c r="H629" s="70" t="str">
        <f aca="false">IF($E629="","",N(INDEX(进销存对接!$M$4:$U$305,209,5)))</f>
        <v/>
      </c>
      <c r="I629" s="70" t="str">
        <f aca="false">IF($E629="","",N(INDEX(进销存对接!$M$4:$U$305,209,6)))</f>
        <v/>
      </c>
      <c r="J629" s="67"/>
      <c r="K629" s="67" t="str">
        <f aca="false">IF($E629="","",INDEX(进销存对接!$D$4:$D$305,209))</f>
        <v/>
      </c>
      <c r="L629" s="107"/>
      <c r="M629" s="107"/>
      <c r="N629" s="67" t="str">
        <f aca="false">IF($E629="","","系统")</f>
        <v/>
      </c>
      <c r="O629" s="67" t="str">
        <f aca="false">IF($E629="","","自动A")</f>
        <v/>
      </c>
      <c r="P629" s="18"/>
    </row>
    <row r="630" customFormat="false" ht="18" hidden="false" customHeight="true" outlineLevel="0" collapsed="false">
      <c r="A630" s="107" t="str">
        <f aca="false">IF($E630="","",ROW()-3)</f>
        <v/>
      </c>
      <c r="B630" s="110" t="str">
        <f aca="false">IF($E630="","",INDEX(进销存对接!$C$4:$C$305,209))</f>
        <v/>
      </c>
      <c r="C630" s="67" t="str">
        <f aca="false">IF($E630="","","记-"&amp;TEXT($B630,"YYYYMM")&amp;"-进销存")</f>
        <v/>
      </c>
      <c r="D630" s="107" t="str">
        <f aca="false">IF($E630="","",INDEX(进销存对接!$D$4:$D$305,209)&amp;" "&amp;TEXT($B630,"YYYY年M月")&amp;" 自动结转")</f>
        <v/>
      </c>
      <c r="E630" s="67" t="str">
        <f aca="false">IF(INDEX(进销存对接!$M$4:$U$305,209,7)=0,"",INDEX(进销存对接!$M$4:$U$305,209,7))</f>
        <v/>
      </c>
      <c r="F630" s="99" t="str">
        <f aca="false">IF($E630="","",IFERROR(INDEX(科目表!$A$4:$A$81,MATCH($E630,科目表!$B$4:$B$81,0)),""))</f>
        <v/>
      </c>
      <c r="G630" s="67" t="str">
        <f aca="false">IF($E630="","",IFERROR(INDEX(科目表!$E$4:$E$81,MATCH($E630,科目表!$B$4:$B$81,0)),""))</f>
        <v/>
      </c>
      <c r="H630" s="70" t="str">
        <f aca="false">IF($E630="","",N(INDEX(进销存对接!$M$4:$U$305,209,8)))</f>
        <v/>
      </c>
      <c r="I630" s="70" t="str">
        <f aca="false">IF($E630="","",N(INDEX(进销存对接!$M$4:$U$305,209,9)))</f>
        <v/>
      </c>
      <c r="J630" s="67"/>
      <c r="K630" s="67" t="str">
        <f aca="false">IF($E630="","",INDEX(进销存对接!$D$4:$D$305,209))</f>
        <v/>
      </c>
      <c r="L630" s="107"/>
      <c r="M630" s="107"/>
      <c r="N630" s="67" t="str">
        <f aca="false">IF($E630="","","系统")</f>
        <v/>
      </c>
      <c r="O630" s="67" t="str">
        <f aca="false">IF($E630="","","自动A")</f>
        <v/>
      </c>
      <c r="P630" s="18"/>
    </row>
    <row r="631" customFormat="false" ht="18" hidden="false" customHeight="true" outlineLevel="0" collapsed="false">
      <c r="A631" s="107" t="str">
        <f aca="false">IF($E631="","",ROW()-3)</f>
        <v/>
      </c>
      <c r="B631" s="110" t="str">
        <f aca="false">IF($E631="","",INDEX(进销存对接!$C$4:$C$305,210))</f>
        <v/>
      </c>
      <c r="C631" s="67" t="str">
        <f aca="false">IF($E631="","","记-"&amp;TEXT($B631,"YYYYMM")&amp;"-进销存")</f>
        <v/>
      </c>
      <c r="D631" s="107" t="str">
        <f aca="false">IF($E631="","",INDEX(进销存对接!$D$4:$D$305,210)&amp;" "&amp;TEXT($B631,"YYYY年M月")&amp;" 自动结转")</f>
        <v/>
      </c>
      <c r="E631" s="67" t="str">
        <f aca="false">IF(INDEX(进销存对接!$M$4:$U$305,210,1)=0,"",INDEX(进销存对接!$M$4:$U$305,210,1))</f>
        <v/>
      </c>
      <c r="F631" s="99" t="str">
        <f aca="false">IF($E631="","",IFERROR(INDEX(科目表!$A$4:$A$81,MATCH($E631,科目表!$B$4:$B$81,0)),""))</f>
        <v/>
      </c>
      <c r="G631" s="67" t="str">
        <f aca="false">IF($E631="","",IFERROR(INDEX(科目表!$E$4:$E$81,MATCH($E631,科目表!$B$4:$B$81,0)),""))</f>
        <v/>
      </c>
      <c r="H631" s="70" t="str">
        <f aca="false">IF($E631="","",N(INDEX(进销存对接!$M$4:$U$305,210,2)))</f>
        <v/>
      </c>
      <c r="I631" s="70" t="str">
        <f aca="false">IF($E631="","",N(INDEX(进销存对接!$M$4:$U$305,210,3)))</f>
        <v/>
      </c>
      <c r="J631" s="67"/>
      <c r="K631" s="67" t="str">
        <f aca="false">IF($E631="","",INDEX(进销存对接!$D$4:$D$305,210))</f>
        <v/>
      </c>
      <c r="L631" s="107"/>
      <c r="M631" s="107"/>
      <c r="N631" s="67" t="str">
        <f aca="false">IF($E631="","","系统")</f>
        <v/>
      </c>
      <c r="O631" s="67" t="str">
        <f aca="false">IF($E631="","","自动A")</f>
        <v/>
      </c>
      <c r="P631" s="18"/>
    </row>
    <row r="632" customFormat="false" ht="18" hidden="false" customHeight="true" outlineLevel="0" collapsed="false">
      <c r="A632" s="107" t="str">
        <f aca="false">IF($E632="","",ROW()-3)</f>
        <v/>
      </c>
      <c r="B632" s="110" t="str">
        <f aca="false">IF($E632="","",INDEX(进销存对接!$C$4:$C$305,210))</f>
        <v/>
      </c>
      <c r="C632" s="67" t="str">
        <f aca="false">IF($E632="","","记-"&amp;TEXT($B632,"YYYYMM")&amp;"-进销存")</f>
        <v/>
      </c>
      <c r="D632" s="107" t="str">
        <f aca="false">IF($E632="","",INDEX(进销存对接!$D$4:$D$305,210)&amp;" "&amp;TEXT($B632,"YYYY年M月")&amp;" 自动结转")</f>
        <v/>
      </c>
      <c r="E632" s="67" t="str">
        <f aca="false">IF(INDEX(进销存对接!$M$4:$U$305,210,4)=0,"",INDEX(进销存对接!$M$4:$U$305,210,4))</f>
        <v/>
      </c>
      <c r="F632" s="99" t="str">
        <f aca="false">IF($E632="","",IFERROR(INDEX(科目表!$A$4:$A$81,MATCH($E632,科目表!$B$4:$B$81,0)),""))</f>
        <v/>
      </c>
      <c r="G632" s="67" t="str">
        <f aca="false">IF($E632="","",IFERROR(INDEX(科目表!$E$4:$E$81,MATCH($E632,科目表!$B$4:$B$81,0)),""))</f>
        <v/>
      </c>
      <c r="H632" s="70" t="str">
        <f aca="false">IF($E632="","",N(INDEX(进销存对接!$M$4:$U$305,210,5)))</f>
        <v/>
      </c>
      <c r="I632" s="70" t="str">
        <f aca="false">IF($E632="","",N(INDEX(进销存对接!$M$4:$U$305,210,6)))</f>
        <v/>
      </c>
      <c r="J632" s="67"/>
      <c r="K632" s="67" t="str">
        <f aca="false">IF($E632="","",INDEX(进销存对接!$D$4:$D$305,210))</f>
        <v/>
      </c>
      <c r="L632" s="107"/>
      <c r="M632" s="107"/>
      <c r="N632" s="67" t="str">
        <f aca="false">IF($E632="","","系统")</f>
        <v/>
      </c>
      <c r="O632" s="67" t="str">
        <f aca="false">IF($E632="","","自动A")</f>
        <v/>
      </c>
      <c r="P632" s="18"/>
    </row>
    <row r="633" customFormat="false" ht="18" hidden="false" customHeight="true" outlineLevel="0" collapsed="false">
      <c r="A633" s="107" t="str">
        <f aca="false">IF($E633="","",ROW()-3)</f>
        <v/>
      </c>
      <c r="B633" s="110" t="str">
        <f aca="false">IF($E633="","",INDEX(进销存对接!$C$4:$C$305,210))</f>
        <v/>
      </c>
      <c r="C633" s="67" t="str">
        <f aca="false">IF($E633="","","记-"&amp;TEXT($B633,"YYYYMM")&amp;"-进销存")</f>
        <v/>
      </c>
      <c r="D633" s="107" t="str">
        <f aca="false">IF($E633="","",INDEX(进销存对接!$D$4:$D$305,210)&amp;" "&amp;TEXT($B633,"YYYY年M月")&amp;" 自动结转")</f>
        <v/>
      </c>
      <c r="E633" s="67" t="str">
        <f aca="false">IF(INDEX(进销存对接!$M$4:$U$305,210,7)=0,"",INDEX(进销存对接!$M$4:$U$305,210,7))</f>
        <v/>
      </c>
      <c r="F633" s="99" t="str">
        <f aca="false">IF($E633="","",IFERROR(INDEX(科目表!$A$4:$A$81,MATCH($E633,科目表!$B$4:$B$81,0)),""))</f>
        <v/>
      </c>
      <c r="G633" s="67" t="str">
        <f aca="false">IF($E633="","",IFERROR(INDEX(科目表!$E$4:$E$81,MATCH($E633,科目表!$B$4:$B$81,0)),""))</f>
        <v/>
      </c>
      <c r="H633" s="70" t="str">
        <f aca="false">IF($E633="","",N(INDEX(进销存对接!$M$4:$U$305,210,8)))</f>
        <v/>
      </c>
      <c r="I633" s="70" t="str">
        <f aca="false">IF($E633="","",N(INDEX(进销存对接!$M$4:$U$305,210,9)))</f>
        <v/>
      </c>
      <c r="J633" s="67"/>
      <c r="K633" s="67" t="str">
        <f aca="false">IF($E633="","",INDEX(进销存对接!$D$4:$D$305,210))</f>
        <v/>
      </c>
      <c r="L633" s="107"/>
      <c r="M633" s="107"/>
      <c r="N633" s="67" t="str">
        <f aca="false">IF($E633="","","系统")</f>
        <v/>
      </c>
      <c r="O633" s="67" t="str">
        <f aca="false">IF($E633="","","自动A")</f>
        <v/>
      </c>
      <c r="P633" s="18"/>
    </row>
    <row r="634" customFormat="false" ht="18" hidden="false" customHeight="true" outlineLevel="0" collapsed="false">
      <c r="A634" s="107" t="str">
        <f aca="false">IF($E634="","",ROW()-3)</f>
        <v/>
      </c>
      <c r="B634" s="110" t="str">
        <f aca="false">IF($E634="","",INDEX(进销存对接!$C$4:$C$305,211))</f>
        <v/>
      </c>
      <c r="C634" s="67" t="str">
        <f aca="false">IF($E634="","","记-"&amp;TEXT($B634,"YYYYMM")&amp;"-进销存")</f>
        <v/>
      </c>
      <c r="D634" s="107" t="str">
        <f aca="false">IF($E634="","",INDEX(进销存对接!$D$4:$D$305,211)&amp;" "&amp;TEXT($B634,"YYYY年M月")&amp;" 自动结转")</f>
        <v/>
      </c>
      <c r="E634" s="67" t="str">
        <f aca="false">IF(INDEX(进销存对接!$M$4:$U$305,211,1)=0,"",INDEX(进销存对接!$M$4:$U$305,211,1))</f>
        <v/>
      </c>
      <c r="F634" s="99" t="str">
        <f aca="false">IF($E634="","",IFERROR(INDEX(科目表!$A$4:$A$81,MATCH($E634,科目表!$B$4:$B$81,0)),""))</f>
        <v/>
      </c>
      <c r="G634" s="67" t="str">
        <f aca="false">IF($E634="","",IFERROR(INDEX(科目表!$E$4:$E$81,MATCH($E634,科目表!$B$4:$B$81,0)),""))</f>
        <v/>
      </c>
      <c r="H634" s="70" t="str">
        <f aca="false">IF($E634="","",N(INDEX(进销存对接!$M$4:$U$305,211,2)))</f>
        <v/>
      </c>
      <c r="I634" s="70" t="str">
        <f aca="false">IF($E634="","",N(INDEX(进销存对接!$M$4:$U$305,211,3)))</f>
        <v/>
      </c>
      <c r="J634" s="67"/>
      <c r="K634" s="67" t="str">
        <f aca="false">IF($E634="","",INDEX(进销存对接!$D$4:$D$305,211))</f>
        <v/>
      </c>
      <c r="L634" s="107"/>
      <c r="M634" s="107"/>
      <c r="N634" s="67" t="str">
        <f aca="false">IF($E634="","","系统")</f>
        <v/>
      </c>
      <c r="O634" s="67" t="str">
        <f aca="false">IF($E634="","","自动A")</f>
        <v/>
      </c>
      <c r="P634" s="18"/>
    </row>
    <row r="635" customFormat="false" ht="18" hidden="false" customHeight="true" outlineLevel="0" collapsed="false">
      <c r="A635" s="107" t="str">
        <f aca="false">IF($E635="","",ROW()-3)</f>
        <v/>
      </c>
      <c r="B635" s="110" t="str">
        <f aca="false">IF($E635="","",INDEX(进销存对接!$C$4:$C$305,211))</f>
        <v/>
      </c>
      <c r="C635" s="67" t="str">
        <f aca="false">IF($E635="","","记-"&amp;TEXT($B635,"YYYYMM")&amp;"-进销存")</f>
        <v/>
      </c>
      <c r="D635" s="107" t="str">
        <f aca="false">IF($E635="","",INDEX(进销存对接!$D$4:$D$305,211)&amp;" "&amp;TEXT($B635,"YYYY年M月")&amp;" 自动结转")</f>
        <v/>
      </c>
      <c r="E635" s="67" t="str">
        <f aca="false">IF(INDEX(进销存对接!$M$4:$U$305,211,4)=0,"",INDEX(进销存对接!$M$4:$U$305,211,4))</f>
        <v/>
      </c>
      <c r="F635" s="99" t="str">
        <f aca="false">IF($E635="","",IFERROR(INDEX(科目表!$A$4:$A$81,MATCH($E635,科目表!$B$4:$B$81,0)),""))</f>
        <v/>
      </c>
      <c r="G635" s="67" t="str">
        <f aca="false">IF($E635="","",IFERROR(INDEX(科目表!$E$4:$E$81,MATCH($E635,科目表!$B$4:$B$81,0)),""))</f>
        <v/>
      </c>
      <c r="H635" s="70" t="str">
        <f aca="false">IF($E635="","",N(INDEX(进销存对接!$M$4:$U$305,211,5)))</f>
        <v/>
      </c>
      <c r="I635" s="70" t="str">
        <f aca="false">IF($E635="","",N(INDEX(进销存对接!$M$4:$U$305,211,6)))</f>
        <v/>
      </c>
      <c r="J635" s="67"/>
      <c r="K635" s="67" t="str">
        <f aca="false">IF($E635="","",INDEX(进销存对接!$D$4:$D$305,211))</f>
        <v/>
      </c>
      <c r="L635" s="107"/>
      <c r="M635" s="107"/>
      <c r="N635" s="67" t="str">
        <f aca="false">IF($E635="","","系统")</f>
        <v/>
      </c>
      <c r="O635" s="67" t="str">
        <f aca="false">IF($E635="","","自动A")</f>
        <v/>
      </c>
      <c r="P635" s="18"/>
    </row>
    <row r="636" customFormat="false" ht="18" hidden="false" customHeight="true" outlineLevel="0" collapsed="false">
      <c r="A636" s="107" t="str">
        <f aca="false">IF($E636="","",ROW()-3)</f>
        <v/>
      </c>
      <c r="B636" s="110" t="str">
        <f aca="false">IF($E636="","",INDEX(进销存对接!$C$4:$C$305,211))</f>
        <v/>
      </c>
      <c r="C636" s="67" t="str">
        <f aca="false">IF($E636="","","记-"&amp;TEXT($B636,"YYYYMM")&amp;"-进销存")</f>
        <v/>
      </c>
      <c r="D636" s="107" t="str">
        <f aca="false">IF($E636="","",INDEX(进销存对接!$D$4:$D$305,211)&amp;" "&amp;TEXT($B636,"YYYY年M月")&amp;" 自动结转")</f>
        <v/>
      </c>
      <c r="E636" s="67" t="str">
        <f aca="false">IF(INDEX(进销存对接!$M$4:$U$305,211,7)=0,"",INDEX(进销存对接!$M$4:$U$305,211,7))</f>
        <v/>
      </c>
      <c r="F636" s="99" t="str">
        <f aca="false">IF($E636="","",IFERROR(INDEX(科目表!$A$4:$A$81,MATCH($E636,科目表!$B$4:$B$81,0)),""))</f>
        <v/>
      </c>
      <c r="G636" s="67" t="str">
        <f aca="false">IF($E636="","",IFERROR(INDEX(科目表!$E$4:$E$81,MATCH($E636,科目表!$B$4:$B$81,0)),""))</f>
        <v/>
      </c>
      <c r="H636" s="70" t="str">
        <f aca="false">IF($E636="","",N(INDEX(进销存对接!$M$4:$U$305,211,8)))</f>
        <v/>
      </c>
      <c r="I636" s="70" t="str">
        <f aca="false">IF($E636="","",N(INDEX(进销存对接!$M$4:$U$305,211,9)))</f>
        <v/>
      </c>
      <c r="J636" s="67"/>
      <c r="K636" s="67" t="str">
        <f aca="false">IF($E636="","",INDEX(进销存对接!$D$4:$D$305,211))</f>
        <v/>
      </c>
      <c r="L636" s="107"/>
      <c r="M636" s="107"/>
      <c r="N636" s="67" t="str">
        <f aca="false">IF($E636="","","系统")</f>
        <v/>
      </c>
      <c r="O636" s="67" t="str">
        <f aca="false">IF($E636="","","自动A")</f>
        <v/>
      </c>
      <c r="P636" s="18"/>
    </row>
    <row r="637" customFormat="false" ht="18" hidden="false" customHeight="true" outlineLevel="0" collapsed="false">
      <c r="A637" s="107" t="str">
        <f aca="false">IF($E637="","",ROW()-3)</f>
        <v/>
      </c>
      <c r="B637" s="110" t="str">
        <f aca="false">IF($E637="","",INDEX(进销存对接!$C$4:$C$305,212))</f>
        <v/>
      </c>
      <c r="C637" s="67" t="str">
        <f aca="false">IF($E637="","","记-"&amp;TEXT($B637,"YYYYMM")&amp;"-进销存")</f>
        <v/>
      </c>
      <c r="D637" s="107" t="str">
        <f aca="false">IF($E637="","",INDEX(进销存对接!$D$4:$D$305,212)&amp;" "&amp;TEXT($B637,"YYYY年M月")&amp;" 自动结转")</f>
        <v/>
      </c>
      <c r="E637" s="67" t="str">
        <f aca="false">IF(INDEX(进销存对接!$M$4:$U$305,212,1)=0,"",INDEX(进销存对接!$M$4:$U$305,212,1))</f>
        <v/>
      </c>
      <c r="F637" s="99" t="str">
        <f aca="false">IF($E637="","",IFERROR(INDEX(科目表!$A$4:$A$81,MATCH($E637,科目表!$B$4:$B$81,0)),""))</f>
        <v/>
      </c>
      <c r="G637" s="67" t="str">
        <f aca="false">IF($E637="","",IFERROR(INDEX(科目表!$E$4:$E$81,MATCH($E637,科目表!$B$4:$B$81,0)),""))</f>
        <v/>
      </c>
      <c r="H637" s="70" t="str">
        <f aca="false">IF($E637="","",N(INDEX(进销存对接!$M$4:$U$305,212,2)))</f>
        <v/>
      </c>
      <c r="I637" s="70" t="str">
        <f aca="false">IF($E637="","",N(INDEX(进销存对接!$M$4:$U$305,212,3)))</f>
        <v/>
      </c>
      <c r="J637" s="67"/>
      <c r="K637" s="67" t="str">
        <f aca="false">IF($E637="","",INDEX(进销存对接!$D$4:$D$305,212))</f>
        <v/>
      </c>
      <c r="L637" s="107"/>
      <c r="M637" s="107"/>
      <c r="N637" s="67" t="str">
        <f aca="false">IF($E637="","","系统")</f>
        <v/>
      </c>
      <c r="O637" s="67" t="str">
        <f aca="false">IF($E637="","","自动A")</f>
        <v/>
      </c>
      <c r="P637" s="18"/>
    </row>
    <row r="638" customFormat="false" ht="18" hidden="false" customHeight="true" outlineLevel="0" collapsed="false">
      <c r="A638" s="107" t="str">
        <f aca="false">IF($E638="","",ROW()-3)</f>
        <v/>
      </c>
      <c r="B638" s="110" t="str">
        <f aca="false">IF($E638="","",INDEX(进销存对接!$C$4:$C$305,212))</f>
        <v/>
      </c>
      <c r="C638" s="67" t="str">
        <f aca="false">IF($E638="","","记-"&amp;TEXT($B638,"YYYYMM")&amp;"-进销存")</f>
        <v/>
      </c>
      <c r="D638" s="107" t="str">
        <f aca="false">IF($E638="","",INDEX(进销存对接!$D$4:$D$305,212)&amp;" "&amp;TEXT($B638,"YYYY年M月")&amp;" 自动结转")</f>
        <v/>
      </c>
      <c r="E638" s="67" t="str">
        <f aca="false">IF(INDEX(进销存对接!$M$4:$U$305,212,4)=0,"",INDEX(进销存对接!$M$4:$U$305,212,4))</f>
        <v/>
      </c>
      <c r="F638" s="99" t="str">
        <f aca="false">IF($E638="","",IFERROR(INDEX(科目表!$A$4:$A$81,MATCH($E638,科目表!$B$4:$B$81,0)),""))</f>
        <v/>
      </c>
      <c r="G638" s="67" t="str">
        <f aca="false">IF($E638="","",IFERROR(INDEX(科目表!$E$4:$E$81,MATCH($E638,科目表!$B$4:$B$81,0)),""))</f>
        <v/>
      </c>
      <c r="H638" s="70" t="str">
        <f aca="false">IF($E638="","",N(INDEX(进销存对接!$M$4:$U$305,212,5)))</f>
        <v/>
      </c>
      <c r="I638" s="70" t="str">
        <f aca="false">IF($E638="","",N(INDEX(进销存对接!$M$4:$U$305,212,6)))</f>
        <v/>
      </c>
      <c r="J638" s="67"/>
      <c r="K638" s="67" t="str">
        <f aca="false">IF($E638="","",INDEX(进销存对接!$D$4:$D$305,212))</f>
        <v/>
      </c>
      <c r="L638" s="107"/>
      <c r="M638" s="107"/>
      <c r="N638" s="67" t="str">
        <f aca="false">IF($E638="","","系统")</f>
        <v/>
      </c>
      <c r="O638" s="67" t="str">
        <f aca="false">IF($E638="","","自动A")</f>
        <v/>
      </c>
      <c r="P638" s="18"/>
    </row>
    <row r="639" customFormat="false" ht="18" hidden="false" customHeight="true" outlineLevel="0" collapsed="false">
      <c r="A639" s="107" t="str">
        <f aca="false">IF($E639="","",ROW()-3)</f>
        <v/>
      </c>
      <c r="B639" s="110" t="str">
        <f aca="false">IF($E639="","",INDEX(进销存对接!$C$4:$C$305,212))</f>
        <v/>
      </c>
      <c r="C639" s="67" t="str">
        <f aca="false">IF($E639="","","记-"&amp;TEXT($B639,"YYYYMM")&amp;"-进销存")</f>
        <v/>
      </c>
      <c r="D639" s="107" t="str">
        <f aca="false">IF($E639="","",INDEX(进销存对接!$D$4:$D$305,212)&amp;" "&amp;TEXT($B639,"YYYY年M月")&amp;" 自动结转")</f>
        <v/>
      </c>
      <c r="E639" s="67" t="str">
        <f aca="false">IF(INDEX(进销存对接!$M$4:$U$305,212,7)=0,"",INDEX(进销存对接!$M$4:$U$305,212,7))</f>
        <v/>
      </c>
      <c r="F639" s="99" t="str">
        <f aca="false">IF($E639="","",IFERROR(INDEX(科目表!$A$4:$A$81,MATCH($E639,科目表!$B$4:$B$81,0)),""))</f>
        <v/>
      </c>
      <c r="G639" s="67" t="str">
        <f aca="false">IF($E639="","",IFERROR(INDEX(科目表!$E$4:$E$81,MATCH($E639,科目表!$B$4:$B$81,0)),""))</f>
        <v/>
      </c>
      <c r="H639" s="70" t="str">
        <f aca="false">IF($E639="","",N(INDEX(进销存对接!$M$4:$U$305,212,8)))</f>
        <v/>
      </c>
      <c r="I639" s="70" t="str">
        <f aca="false">IF($E639="","",N(INDEX(进销存对接!$M$4:$U$305,212,9)))</f>
        <v/>
      </c>
      <c r="J639" s="67"/>
      <c r="K639" s="67" t="str">
        <f aca="false">IF($E639="","",INDEX(进销存对接!$D$4:$D$305,212))</f>
        <v/>
      </c>
      <c r="L639" s="107"/>
      <c r="M639" s="107"/>
      <c r="N639" s="67" t="str">
        <f aca="false">IF($E639="","","系统")</f>
        <v/>
      </c>
      <c r="O639" s="67" t="str">
        <f aca="false">IF($E639="","","自动A")</f>
        <v/>
      </c>
      <c r="P639" s="18"/>
    </row>
    <row r="640" customFormat="false" ht="18" hidden="false" customHeight="true" outlineLevel="0" collapsed="false">
      <c r="A640" s="107" t="str">
        <f aca="false">IF($E640="","",ROW()-3)</f>
        <v/>
      </c>
      <c r="B640" s="110" t="str">
        <f aca="false">IF($E640="","",INDEX(进销存对接!$C$4:$C$305,213))</f>
        <v/>
      </c>
      <c r="C640" s="67" t="str">
        <f aca="false">IF($E640="","","记-"&amp;TEXT($B640,"YYYYMM")&amp;"-进销存")</f>
        <v/>
      </c>
      <c r="D640" s="107" t="str">
        <f aca="false">IF($E640="","",INDEX(进销存对接!$D$4:$D$305,213)&amp;" "&amp;TEXT($B640,"YYYY年M月")&amp;" 自动结转")</f>
        <v/>
      </c>
      <c r="E640" s="67" t="str">
        <f aca="false">IF(INDEX(进销存对接!$M$4:$U$305,213,1)=0,"",INDEX(进销存对接!$M$4:$U$305,213,1))</f>
        <v/>
      </c>
      <c r="F640" s="99" t="str">
        <f aca="false">IF($E640="","",IFERROR(INDEX(科目表!$A$4:$A$81,MATCH($E640,科目表!$B$4:$B$81,0)),""))</f>
        <v/>
      </c>
      <c r="G640" s="67" t="str">
        <f aca="false">IF($E640="","",IFERROR(INDEX(科目表!$E$4:$E$81,MATCH($E640,科目表!$B$4:$B$81,0)),""))</f>
        <v/>
      </c>
      <c r="H640" s="70" t="str">
        <f aca="false">IF($E640="","",N(INDEX(进销存对接!$M$4:$U$305,213,2)))</f>
        <v/>
      </c>
      <c r="I640" s="70" t="str">
        <f aca="false">IF($E640="","",N(INDEX(进销存对接!$M$4:$U$305,213,3)))</f>
        <v/>
      </c>
      <c r="J640" s="67"/>
      <c r="K640" s="67" t="str">
        <f aca="false">IF($E640="","",INDEX(进销存对接!$D$4:$D$305,213))</f>
        <v/>
      </c>
      <c r="L640" s="107"/>
      <c r="M640" s="107"/>
      <c r="N640" s="67" t="str">
        <f aca="false">IF($E640="","","系统")</f>
        <v/>
      </c>
      <c r="O640" s="67" t="str">
        <f aca="false">IF($E640="","","自动A")</f>
        <v/>
      </c>
      <c r="P640" s="18"/>
    </row>
    <row r="641" customFormat="false" ht="18" hidden="false" customHeight="true" outlineLevel="0" collapsed="false">
      <c r="A641" s="107" t="str">
        <f aca="false">IF($E641="","",ROW()-3)</f>
        <v/>
      </c>
      <c r="B641" s="110" t="str">
        <f aca="false">IF($E641="","",INDEX(进销存对接!$C$4:$C$305,213))</f>
        <v/>
      </c>
      <c r="C641" s="67" t="str">
        <f aca="false">IF($E641="","","记-"&amp;TEXT($B641,"YYYYMM")&amp;"-进销存")</f>
        <v/>
      </c>
      <c r="D641" s="107" t="str">
        <f aca="false">IF($E641="","",INDEX(进销存对接!$D$4:$D$305,213)&amp;" "&amp;TEXT($B641,"YYYY年M月")&amp;" 自动结转")</f>
        <v/>
      </c>
      <c r="E641" s="67" t="str">
        <f aca="false">IF(INDEX(进销存对接!$M$4:$U$305,213,4)=0,"",INDEX(进销存对接!$M$4:$U$305,213,4))</f>
        <v/>
      </c>
      <c r="F641" s="99" t="str">
        <f aca="false">IF($E641="","",IFERROR(INDEX(科目表!$A$4:$A$81,MATCH($E641,科目表!$B$4:$B$81,0)),""))</f>
        <v/>
      </c>
      <c r="G641" s="67" t="str">
        <f aca="false">IF($E641="","",IFERROR(INDEX(科目表!$E$4:$E$81,MATCH($E641,科目表!$B$4:$B$81,0)),""))</f>
        <v/>
      </c>
      <c r="H641" s="70" t="str">
        <f aca="false">IF($E641="","",N(INDEX(进销存对接!$M$4:$U$305,213,5)))</f>
        <v/>
      </c>
      <c r="I641" s="70" t="str">
        <f aca="false">IF($E641="","",N(INDEX(进销存对接!$M$4:$U$305,213,6)))</f>
        <v/>
      </c>
      <c r="J641" s="67"/>
      <c r="K641" s="67" t="str">
        <f aca="false">IF($E641="","",INDEX(进销存对接!$D$4:$D$305,213))</f>
        <v/>
      </c>
      <c r="L641" s="107"/>
      <c r="M641" s="107"/>
      <c r="N641" s="67" t="str">
        <f aca="false">IF($E641="","","系统")</f>
        <v/>
      </c>
      <c r="O641" s="67" t="str">
        <f aca="false">IF($E641="","","自动A")</f>
        <v/>
      </c>
      <c r="P641" s="18"/>
    </row>
    <row r="642" customFormat="false" ht="18" hidden="false" customHeight="true" outlineLevel="0" collapsed="false">
      <c r="A642" s="107" t="str">
        <f aca="false">IF($E642="","",ROW()-3)</f>
        <v/>
      </c>
      <c r="B642" s="110" t="str">
        <f aca="false">IF($E642="","",INDEX(进销存对接!$C$4:$C$305,213))</f>
        <v/>
      </c>
      <c r="C642" s="67" t="str">
        <f aca="false">IF($E642="","","记-"&amp;TEXT($B642,"YYYYMM")&amp;"-进销存")</f>
        <v/>
      </c>
      <c r="D642" s="107" t="str">
        <f aca="false">IF($E642="","",INDEX(进销存对接!$D$4:$D$305,213)&amp;" "&amp;TEXT($B642,"YYYY年M月")&amp;" 自动结转")</f>
        <v/>
      </c>
      <c r="E642" s="67" t="str">
        <f aca="false">IF(INDEX(进销存对接!$M$4:$U$305,213,7)=0,"",INDEX(进销存对接!$M$4:$U$305,213,7))</f>
        <v/>
      </c>
      <c r="F642" s="99" t="str">
        <f aca="false">IF($E642="","",IFERROR(INDEX(科目表!$A$4:$A$81,MATCH($E642,科目表!$B$4:$B$81,0)),""))</f>
        <v/>
      </c>
      <c r="G642" s="67" t="str">
        <f aca="false">IF($E642="","",IFERROR(INDEX(科目表!$E$4:$E$81,MATCH($E642,科目表!$B$4:$B$81,0)),""))</f>
        <v/>
      </c>
      <c r="H642" s="70" t="str">
        <f aca="false">IF($E642="","",N(INDEX(进销存对接!$M$4:$U$305,213,8)))</f>
        <v/>
      </c>
      <c r="I642" s="70" t="str">
        <f aca="false">IF($E642="","",N(INDEX(进销存对接!$M$4:$U$305,213,9)))</f>
        <v/>
      </c>
      <c r="J642" s="67"/>
      <c r="K642" s="67" t="str">
        <f aca="false">IF($E642="","",INDEX(进销存对接!$D$4:$D$305,213))</f>
        <v/>
      </c>
      <c r="L642" s="107"/>
      <c r="M642" s="107"/>
      <c r="N642" s="67" t="str">
        <f aca="false">IF($E642="","","系统")</f>
        <v/>
      </c>
      <c r="O642" s="67" t="str">
        <f aca="false">IF($E642="","","自动A")</f>
        <v/>
      </c>
      <c r="P642" s="18"/>
    </row>
    <row r="643" customFormat="false" ht="18" hidden="false" customHeight="true" outlineLevel="0" collapsed="false">
      <c r="A643" s="107" t="str">
        <f aca="false">IF($E643="","",ROW()-3)</f>
        <v/>
      </c>
      <c r="B643" s="110" t="str">
        <f aca="false">IF($E643="","",INDEX(进销存对接!$C$4:$C$305,214))</f>
        <v/>
      </c>
      <c r="C643" s="67" t="str">
        <f aca="false">IF($E643="","","记-"&amp;TEXT($B643,"YYYYMM")&amp;"-进销存")</f>
        <v/>
      </c>
      <c r="D643" s="107" t="str">
        <f aca="false">IF($E643="","",INDEX(进销存对接!$D$4:$D$305,214)&amp;" "&amp;TEXT($B643,"YYYY年M月")&amp;" 自动结转")</f>
        <v/>
      </c>
      <c r="E643" s="67" t="str">
        <f aca="false">IF(INDEX(进销存对接!$M$4:$U$305,214,1)=0,"",INDEX(进销存对接!$M$4:$U$305,214,1))</f>
        <v/>
      </c>
      <c r="F643" s="99" t="str">
        <f aca="false">IF($E643="","",IFERROR(INDEX(科目表!$A$4:$A$81,MATCH($E643,科目表!$B$4:$B$81,0)),""))</f>
        <v/>
      </c>
      <c r="G643" s="67" t="str">
        <f aca="false">IF($E643="","",IFERROR(INDEX(科目表!$E$4:$E$81,MATCH($E643,科目表!$B$4:$B$81,0)),""))</f>
        <v/>
      </c>
      <c r="H643" s="70" t="str">
        <f aca="false">IF($E643="","",N(INDEX(进销存对接!$M$4:$U$305,214,2)))</f>
        <v/>
      </c>
      <c r="I643" s="70" t="str">
        <f aca="false">IF($E643="","",N(INDEX(进销存对接!$M$4:$U$305,214,3)))</f>
        <v/>
      </c>
      <c r="J643" s="67"/>
      <c r="K643" s="67" t="str">
        <f aca="false">IF($E643="","",INDEX(进销存对接!$D$4:$D$305,214))</f>
        <v/>
      </c>
      <c r="L643" s="107"/>
      <c r="M643" s="107"/>
      <c r="N643" s="67" t="str">
        <f aca="false">IF($E643="","","系统")</f>
        <v/>
      </c>
      <c r="O643" s="67" t="str">
        <f aca="false">IF($E643="","","自动A")</f>
        <v/>
      </c>
      <c r="P643" s="18"/>
    </row>
    <row r="644" customFormat="false" ht="18" hidden="false" customHeight="true" outlineLevel="0" collapsed="false">
      <c r="A644" s="107" t="str">
        <f aca="false">IF($E644="","",ROW()-3)</f>
        <v/>
      </c>
      <c r="B644" s="110" t="str">
        <f aca="false">IF($E644="","",INDEX(进销存对接!$C$4:$C$305,214))</f>
        <v/>
      </c>
      <c r="C644" s="67" t="str">
        <f aca="false">IF($E644="","","记-"&amp;TEXT($B644,"YYYYMM")&amp;"-进销存")</f>
        <v/>
      </c>
      <c r="D644" s="107" t="str">
        <f aca="false">IF($E644="","",INDEX(进销存对接!$D$4:$D$305,214)&amp;" "&amp;TEXT($B644,"YYYY年M月")&amp;" 自动结转")</f>
        <v/>
      </c>
      <c r="E644" s="67" t="str">
        <f aca="false">IF(INDEX(进销存对接!$M$4:$U$305,214,4)=0,"",INDEX(进销存对接!$M$4:$U$305,214,4))</f>
        <v/>
      </c>
      <c r="F644" s="99" t="str">
        <f aca="false">IF($E644="","",IFERROR(INDEX(科目表!$A$4:$A$81,MATCH($E644,科目表!$B$4:$B$81,0)),""))</f>
        <v/>
      </c>
      <c r="G644" s="67" t="str">
        <f aca="false">IF($E644="","",IFERROR(INDEX(科目表!$E$4:$E$81,MATCH($E644,科目表!$B$4:$B$81,0)),""))</f>
        <v/>
      </c>
      <c r="H644" s="70" t="str">
        <f aca="false">IF($E644="","",N(INDEX(进销存对接!$M$4:$U$305,214,5)))</f>
        <v/>
      </c>
      <c r="I644" s="70" t="str">
        <f aca="false">IF($E644="","",N(INDEX(进销存对接!$M$4:$U$305,214,6)))</f>
        <v/>
      </c>
      <c r="J644" s="67"/>
      <c r="K644" s="67" t="str">
        <f aca="false">IF($E644="","",INDEX(进销存对接!$D$4:$D$305,214))</f>
        <v/>
      </c>
      <c r="L644" s="107"/>
      <c r="M644" s="107"/>
      <c r="N644" s="67" t="str">
        <f aca="false">IF($E644="","","系统")</f>
        <v/>
      </c>
      <c r="O644" s="67" t="str">
        <f aca="false">IF($E644="","","自动A")</f>
        <v/>
      </c>
      <c r="P644" s="18"/>
    </row>
    <row r="645" customFormat="false" ht="18" hidden="false" customHeight="true" outlineLevel="0" collapsed="false">
      <c r="A645" s="107" t="str">
        <f aca="false">IF($E645="","",ROW()-3)</f>
        <v/>
      </c>
      <c r="B645" s="110" t="str">
        <f aca="false">IF($E645="","",INDEX(进销存对接!$C$4:$C$305,214))</f>
        <v/>
      </c>
      <c r="C645" s="67" t="str">
        <f aca="false">IF($E645="","","记-"&amp;TEXT($B645,"YYYYMM")&amp;"-进销存")</f>
        <v/>
      </c>
      <c r="D645" s="107" t="str">
        <f aca="false">IF($E645="","",INDEX(进销存对接!$D$4:$D$305,214)&amp;" "&amp;TEXT($B645,"YYYY年M月")&amp;" 自动结转")</f>
        <v/>
      </c>
      <c r="E645" s="67" t="str">
        <f aca="false">IF(INDEX(进销存对接!$M$4:$U$305,214,7)=0,"",INDEX(进销存对接!$M$4:$U$305,214,7))</f>
        <v/>
      </c>
      <c r="F645" s="99" t="str">
        <f aca="false">IF($E645="","",IFERROR(INDEX(科目表!$A$4:$A$81,MATCH($E645,科目表!$B$4:$B$81,0)),""))</f>
        <v/>
      </c>
      <c r="G645" s="67" t="str">
        <f aca="false">IF($E645="","",IFERROR(INDEX(科目表!$E$4:$E$81,MATCH($E645,科目表!$B$4:$B$81,0)),""))</f>
        <v/>
      </c>
      <c r="H645" s="70" t="str">
        <f aca="false">IF($E645="","",N(INDEX(进销存对接!$M$4:$U$305,214,8)))</f>
        <v/>
      </c>
      <c r="I645" s="70" t="str">
        <f aca="false">IF($E645="","",N(INDEX(进销存对接!$M$4:$U$305,214,9)))</f>
        <v/>
      </c>
      <c r="J645" s="67"/>
      <c r="K645" s="67" t="str">
        <f aca="false">IF($E645="","",INDEX(进销存对接!$D$4:$D$305,214))</f>
        <v/>
      </c>
      <c r="L645" s="107"/>
      <c r="M645" s="107"/>
      <c r="N645" s="67" t="str">
        <f aca="false">IF($E645="","","系统")</f>
        <v/>
      </c>
      <c r="O645" s="67" t="str">
        <f aca="false">IF($E645="","","自动A")</f>
        <v/>
      </c>
      <c r="P645" s="18"/>
    </row>
    <row r="646" customFormat="false" ht="18" hidden="false" customHeight="true" outlineLevel="0" collapsed="false">
      <c r="A646" s="107" t="str">
        <f aca="false">IF($E646="","",ROW()-3)</f>
        <v/>
      </c>
      <c r="B646" s="110" t="str">
        <f aca="false">IF($E646="","",INDEX(进销存对接!$C$4:$C$305,215))</f>
        <v/>
      </c>
      <c r="C646" s="67" t="str">
        <f aca="false">IF($E646="","","记-"&amp;TEXT($B646,"YYYYMM")&amp;"-进销存")</f>
        <v/>
      </c>
      <c r="D646" s="107" t="str">
        <f aca="false">IF($E646="","",INDEX(进销存对接!$D$4:$D$305,215)&amp;" "&amp;TEXT($B646,"YYYY年M月")&amp;" 自动结转")</f>
        <v/>
      </c>
      <c r="E646" s="67" t="str">
        <f aca="false">IF(INDEX(进销存对接!$M$4:$U$305,215,1)=0,"",INDEX(进销存对接!$M$4:$U$305,215,1))</f>
        <v/>
      </c>
      <c r="F646" s="99" t="str">
        <f aca="false">IF($E646="","",IFERROR(INDEX(科目表!$A$4:$A$81,MATCH($E646,科目表!$B$4:$B$81,0)),""))</f>
        <v/>
      </c>
      <c r="G646" s="67" t="str">
        <f aca="false">IF($E646="","",IFERROR(INDEX(科目表!$E$4:$E$81,MATCH($E646,科目表!$B$4:$B$81,0)),""))</f>
        <v/>
      </c>
      <c r="H646" s="70" t="str">
        <f aca="false">IF($E646="","",N(INDEX(进销存对接!$M$4:$U$305,215,2)))</f>
        <v/>
      </c>
      <c r="I646" s="70" t="str">
        <f aca="false">IF($E646="","",N(INDEX(进销存对接!$M$4:$U$305,215,3)))</f>
        <v/>
      </c>
      <c r="J646" s="67"/>
      <c r="K646" s="67" t="str">
        <f aca="false">IF($E646="","",INDEX(进销存对接!$D$4:$D$305,215))</f>
        <v/>
      </c>
      <c r="L646" s="107"/>
      <c r="M646" s="107"/>
      <c r="N646" s="67" t="str">
        <f aca="false">IF($E646="","","系统")</f>
        <v/>
      </c>
      <c r="O646" s="67" t="str">
        <f aca="false">IF($E646="","","自动A")</f>
        <v/>
      </c>
      <c r="P646" s="18"/>
    </row>
    <row r="647" customFormat="false" ht="18" hidden="false" customHeight="true" outlineLevel="0" collapsed="false">
      <c r="A647" s="107" t="str">
        <f aca="false">IF($E647="","",ROW()-3)</f>
        <v/>
      </c>
      <c r="B647" s="110" t="str">
        <f aca="false">IF($E647="","",INDEX(进销存对接!$C$4:$C$305,215))</f>
        <v/>
      </c>
      <c r="C647" s="67" t="str">
        <f aca="false">IF($E647="","","记-"&amp;TEXT($B647,"YYYYMM")&amp;"-进销存")</f>
        <v/>
      </c>
      <c r="D647" s="107" t="str">
        <f aca="false">IF($E647="","",INDEX(进销存对接!$D$4:$D$305,215)&amp;" "&amp;TEXT($B647,"YYYY年M月")&amp;" 自动结转")</f>
        <v/>
      </c>
      <c r="E647" s="67" t="str">
        <f aca="false">IF(INDEX(进销存对接!$M$4:$U$305,215,4)=0,"",INDEX(进销存对接!$M$4:$U$305,215,4))</f>
        <v/>
      </c>
      <c r="F647" s="99" t="str">
        <f aca="false">IF($E647="","",IFERROR(INDEX(科目表!$A$4:$A$81,MATCH($E647,科目表!$B$4:$B$81,0)),""))</f>
        <v/>
      </c>
      <c r="G647" s="67" t="str">
        <f aca="false">IF($E647="","",IFERROR(INDEX(科目表!$E$4:$E$81,MATCH($E647,科目表!$B$4:$B$81,0)),""))</f>
        <v/>
      </c>
      <c r="H647" s="70" t="str">
        <f aca="false">IF($E647="","",N(INDEX(进销存对接!$M$4:$U$305,215,5)))</f>
        <v/>
      </c>
      <c r="I647" s="70" t="str">
        <f aca="false">IF($E647="","",N(INDEX(进销存对接!$M$4:$U$305,215,6)))</f>
        <v/>
      </c>
      <c r="J647" s="67"/>
      <c r="K647" s="67" t="str">
        <f aca="false">IF($E647="","",INDEX(进销存对接!$D$4:$D$305,215))</f>
        <v/>
      </c>
      <c r="L647" s="107"/>
      <c r="M647" s="107"/>
      <c r="N647" s="67" t="str">
        <f aca="false">IF($E647="","","系统")</f>
        <v/>
      </c>
      <c r="O647" s="67" t="str">
        <f aca="false">IF($E647="","","自动A")</f>
        <v/>
      </c>
      <c r="P647" s="18"/>
    </row>
    <row r="648" customFormat="false" ht="18" hidden="false" customHeight="true" outlineLevel="0" collapsed="false">
      <c r="A648" s="107" t="str">
        <f aca="false">IF($E648="","",ROW()-3)</f>
        <v/>
      </c>
      <c r="B648" s="110" t="str">
        <f aca="false">IF($E648="","",INDEX(进销存对接!$C$4:$C$305,215))</f>
        <v/>
      </c>
      <c r="C648" s="67" t="str">
        <f aca="false">IF($E648="","","记-"&amp;TEXT($B648,"YYYYMM")&amp;"-进销存")</f>
        <v/>
      </c>
      <c r="D648" s="107" t="str">
        <f aca="false">IF($E648="","",INDEX(进销存对接!$D$4:$D$305,215)&amp;" "&amp;TEXT($B648,"YYYY年M月")&amp;" 自动结转")</f>
        <v/>
      </c>
      <c r="E648" s="67" t="str">
        <f aca="false">IF(INDEX(进销存对接!$M$4:$U$305,215,7)=0,"",INDEX(进销存对接!$M$4:$U$305,215,7))</f>
        <v/>
      </c>
      <c r="F648" s="99" t="str">
        <f aca="false">IF($E648="","",IFERROR(INDEX(科目表!$A$4:$A$81,MATCH($E648,科目表!$B$4:$B$81,0)),""))</f>
        <v/>
      </c>
      <c r="G648" s="67" t="str">
        <f aca="false">IF($E648="","",IFERROR(INDEX(科目表!$E$4:$E$81,MATCH($E648,科目表!$B$4:$B$81,0)),""))</f>
        <v/>
      </c>
      <c r="H648" s="70" t="str">
        <f aca="false">IF($E648="","",N(INDEX(进销存对接!$M$4:$U$305,215,8)))</f>
        <v/>
      </c>
      <c r="I648" s="70" t="str">
        <f aca="false">IF($E648="","",N(INDEX(进销存对接!$M$4:$U$305,215,9)))</f>
        <v/>
      </c>
      <c r="J648" s="67"/>
      <c r="K648" s="67" t="str">
        <f aca="false">IF($E648="","",INDEX(进销存对接!$D$4:$D$305,215))</f>
        <v/>
      </c>
      <c r="L648" s="107"/>
      <c r="M648" s="107"/>
      <c r="N648" s="67" t="str">
        <f aca="false">IF($E648="","","系统")</f>
        <v/>
      </c>
      <c r="O648" s="67" t="str">
        <f aca="false">IF($E648="","","自动A")</f>
        <v/>
      </c>
      <c r="P648" s="18"/>
    </row>
    <row r="649" customFormat="false" ht="18" hidden="false" customHeight="true" outlineLevel="0" collapsed="false">
      <c r="A649" s="107" t="str">
        <f aca="false">IF($E649="","",ROW()-3)</f>
        <v/>
      </c>
      <c r="B649" s="110" t="str">
        <f aca="false">IF($E649="","",INDEX(进销存对接!$C$4:$C$305,216))</f>
        <v/>
      </c>
      <c r="C649" s="67" t="str">
        <f aca="false">IF($E649="","","记-"&amp;TEXT($B649,"YYYYMM")&amp;"-进销存")</f>
        <v/>
      </c>
      <c r="D649" s="107" t="str">
        <f aca="false">IF($E649="","",INDEX(进销存对接!$D$4:$D$305,216)&amp;" "&amp;TEXT($B649,"YYYY年M月")&amp;" 自动结转")</f>
        <v/>
      </c>
      <c r="E649" s="67" t="str">
        <f aca="false">IF(INDEX(进销存对接!$M$4:$U$305,216,1)=0,"",INDEX(进销存对接!$M$4:$U$305,216,1))</f>
        <v/>
      </c>
      <c r="F649" s="99" t="str">
        <f aca="false">IF($E649="","",IFERROR(INDEX(科目表!$A$4:$A$81,MATCH($E649,科目表!$B$4:$B$81,0)),""))</f>
        <v/>
      </c>
      <c r="G649" s="67" t="str">
        <f aca="false">IF($E649="","",IFERROR(INDEX(科目表!$E$4:$E$81,MATCH($E649,科目表!$B$4:$B$81,0)),""))</f>
        <v/>
      </c>
      <c r="H649" s="70" t="str">
        <f aca="false">IF($E649="","",N(INDEX(进销存对接!$M$4:$U$305,216,2)))</f>
        <v/>
      </c>
      <c r="I649" s="70" t="str">
        <f aca="false">IF($E649="","",N(INDEX(进销存对接!$M$4:$U$305,216,3)))</f>
        <v/>
      </c>
      <c r="J649" s="67"/>
      <c r="K649" s="67" t="str">
        <f aca="false">IF($E649="","",INDEX(进销存对接!$D$4:$D$305,216))</f>
        <v/>
      </c>
      <c r="L649" s="107"/>
      <c r="M649" s="107"/>
      <c r="N649" s="67" t="str">
        <f aca="false">IF($E649="","","系统")</f>
        <v/>
      </c>
      <c r="O649" s="67" t="str">
        <f aca="false">IF($E649="","","自动A")</f>
        <v/>
      </c>
      <c r="P649" s="18"/>
    </row>
    <row r="650" customFormat="false" ht="18" hidden="false" customHeight="true" outlineLevel="0" collapsed="false">
      <c r="A650" s="107" t="str">
        <f aca="false">IF($E650="","",ROW()-3)</f>
        <v/>
      </c>
      <c r="B650" s="110" t="str">
        <f aca="false">IF($E650="","",INDEX(进销存对接!$C$4:$C$305,216))</f>
        <v/>
      </c>
      <c r="C650" s="67" t="str">
        <f aca="false">IF($E650="","","记-"&amp;TEXT($B650,"YYYYMM")&amp;"-进销存")</f>
        <v/>
      </c>
      <c r="D650" s="107" t="str">
        <f aca="false">IF($E650="","",INDEX(进销存对接!$D$4:$D$305,216)&amp;" "&amp;TEXT($B650,"YYYY年M月")&amp;" 自动结转")</f>
        <v/>
      </c>
      <c r="E650" s="67" t="str">
        <f aca="false">IF(INDEX(进销存对接!$M$4:$U$305,216,4)=0,"",INDEX(进销存对接!$M$4:$U$305,216,4))</f>
        <v/>
      </c>
      <c r="F650" s="99" t="str">
        <f aca="false">IF($E650="","",IFERROR(INDEX(科目表!$A$4:$A$81,MATCH($E650,科目表!$B$4:$B$81,0)),""))</f>
        <v/>
      </c>
      <c r="G650" s="67" t="str">
        <f aca="false">IF($E650="","",IFERROR(INDEX(科目表!$E$4:$E$81,MATCH($E650,科目表!$B$4:$B$81,0)),""))</f>
        <v/>
      </c>
      <c r="H650" s="70" t="str">
        <f aca="false">IF($E650="","",N(INDEX(进销存对接!$M$4:$U$305,216,5)))</f>
        <v/>
      </c>
      <c r="I650" s="70" t="str">
        <f aca="false">IF($E650="","",N(INDEX(进销存对接!$M$4:$U$305,216,6)))</f>
        <v/>
      </c>
      <c r="J650" s="67"/>
      <c r="K650" s="67" t="str">
        <f aca="false">IF($E650="","",INDEX(进销存对接!$D$4:$D$305,216))</f>
        <v/>
      </c>
      <c r="L650" s="107"/>
      <c r="M650" s="107"/>
      <c r="N650" s="67" t="str">
        <f aca="false">IF($E650="","","系统")</f>
        <v/>
      </c>
      <c r="O650" s="67" t="str">
        <f aca="false">IF($E650="","","自动A")</f>
        <v/>
      </c>
      <c r="P650" s="18"/>
    </row>
    <row r="651" customFormat="false" ht="18" hidden="false" customHeight="true" outlineLevel="0" collapsed="false">
      <c r="A651" s="107" t="str">
        <f aca="false">IF($E651="","",ROW()-3)</f>
        <v/>
      </c>
      <c r="B651" s="110" t="str">
        <f aca="false">IF($E651="","",INDEX(进销存对接!$C$4:$C$305,216))</f>
        <v/>
      </c>
      <c r="C651" s="67" t="str">
        <f aca="false">IF($E651="","","记-"&amp;TEXT($B651,"YYYYMM")&amp;"-进销存")</f>
        <v/>
      </c>
      <c r="D651" s="107" t="str">
        <f aca="false">IF($E651="","",INDEX(进销存对接!$D$4:$D$305,216)&amp;" "&amp;TEXT($B651,"YYYY年M月")&amp;" 自动结转")</f>
        <v/>
      </c>
      <c r="E651" s="67" t="str">
        <f aca="false">IF(INDEX(进销存对接!$M$4:$U$305,216,7)=0,"",INDEX(进销存对接!$M$4:$U$305,216,7))</f>
        <v/>
      </c>
      <c r="F651" s="99" t="str">
        <f aca="false">IF($E651="","",IFERROR(INDEX(科目表!$A$4:$A$81,MATCH($E651,科目表!$B$4:$B$81,0)),""))</f>
        <v/>
      </c>
      <c r="G651" s="67" t="str">
        <f aca="false">IF($E651="","",IFERROR(INDEX(科目表!$E$4:$E$81,MATCH($E651,科目表!$B$4:$B$81,0)),""))</f>
        <v/>
      </c>
      <c r="H651" s="70" t="str">
        <f aca="false">IF($E651="","",N(INDEX(进销存对接!$M$4:$U$305,216,8)))</f>
        <v/>
      </c>
      <c r="I651" s="70" t="str">
        <f aca="false">IF($E651="","",N(INDEX(进销存对接!$M$4:$U$305,216,9)))</f>
        <v/>
      </c>
      <c r="J651" s="67"/>
      <c r="K651" s="67" t="str">
        <f aca="false">IF($E651="","",INDEX(进销存对接!$D$4:$D$305,216))</f>
        <v/>
      </c>
      <c r="L651" s="107"/>
      <c r="M651" s="107"/>
      <c r="N651" s="67" t="str">
        <f aca="false">IF($E651="","","系统")</f>
        <v/>
      </c>
      <c r="O651" s="67" t="str">
        <f aca="false">IF($E651="","","自动A")</f>
        <v/>
      </c>
      <c r="P651" s="18"/>
    </row>
    <row r="652" customFormat="false" ht="18" hidden="false" customHeight="true" outlineLevel="0" collapsed="false">
      <c r="A652" s="107" t="str">
        <f aca="false">IF($E652="","",ROW()-3)</f>
        <v/>
      </c>
      <c r="B652" s="110" t="str">
        <f aca="false">IF($E652="","",INDEX(进销存对接!$C$4:$C$305,217))</f>
        <v/>
      </c>
      <c r="C652" s="67" t="str">
        <f aca="false">IF($E652="","","记-"&amp;TEXT($B652,"YYYYMM")&amp;"-进销存")</f>
        <v/>
      </c>
      <c r="D652" s="107" t="str">
        <f aca="false">IF($E652="","",INDEX(进销存对接!$D$4:$D$305,217)&amp;" "&amp;TEXT($B652,"YYYY年M月")&amp;" 自动结转")</f>
        <v/>
      </c>
      <c r="E652" s="67" t="str">
        <f aca="false">IF(INDEX(进销存对接!$M$4:$U$305,217,1)=0,"",INDEX(进销存对接!$M$4:$U$305,217,1))</f>
        <v/>
      </c>
      <c r="F652" s="99" t="str">
        <f aca="false">IF($E652="","",IFERROR(INDEX(科目表!$A$4:$A$81,MATCH($E652,科目表!$B$4:$B$81,0)),""))</f>
        <v/>
      </c>
      <c r="G652" s="67" t="str">
        <f aca="false">IF($E652="","",IFERROR(INDEX(科目表!$E$4:$E$81,MATCH($E652,科目表!$B$4:$B$81,0)),""))</f>
        <v/>
      </c>
      <c r="H652" s="70" t="str">
        <f aca="false">IF($E652="","",N(INDEX(进销存对接!$M$4:$U$305,217,2)))</f>
        <v/>
      </c>
      <c r="I652" s="70" t="str">
        <f aca="false">IF($E652="","",N(INDEX(进销存对接!$M$4:$U$305,217,3)))</f>
        <v/>
      </c>
      <c r="J652" s="67"/>
      <c r="K652" s="67" t="str">
        <f aca="false">IF($E652="","",INDEX(进销存对接!$D$4:$D$305,217))</f>
        <v/>
      </c>
      <c r="L652" s="107"/>
      <c r="M652" s="107"/>
      <c r="N652" s="67" t="str">
        <f aca="false">IF($E652="","","系统")</f>
        <v/>
      </c>
      <c r="O652" s="67" t="str">
        <f aca="false">IF($E652="","","自动A")</f>
        <v/>
      </c>
      <c r="P652" s="18"/>
    </row>
    <row r="653" customFormat="false" ht="18" hidden="false" customHeight="true" outlineLevel="0" collapsed="false">
      <c r="A653" s="107" t="str">
        <f aca="false">IF($E653="","",ROW()-3)</f>
        <v/>
      </c>
      <c r="B653" s="110" t="str">
        <f aca="false">IF($E653="","",INDEX(进销存对接!$C$4:$C$305,217))</f>
        <v/>
      </c>
      <c r="C653" s="67" t="str">
        <f aca="false">IF($E653="","","记-"&amp;TEXT($B653,"YYYYMM")&amp;"-进销存")</f>
        <v/>
      </c>
      <c r="D653" s="107" t="str">
        <f aca="false">IF($E653="","",INDEX(进销存对接!$D$4:$D$305,217)&amp;" "&amp;TEXT($B653,"YYYY年M月")&amp;" 自动结转")</f>
        <v/>
      </c>
      <c r="E653" s="67" t="str">
        <f aca="false">IF(INDEX(进销存对接!$M$4:$U$305,217,4)=0,"",INDEX(进销存对接!$M$4:$U$305,217,4))</f>
        <v/>
      </c>
      <c r="F653" s="99" t="str">
        <f aca="false">IF($E653="","",IFERROR(INDEX(科目表!$A$4:$A$81,MATCH($E653,科目表!$B$4:$B$81,0)),""))</f>
        <v/>
      </c>
      <c r="G653" s="67" t="str">
        <f aca="false">IF($E653="","",IFERROR(INDEX(科目表!$E$4:$E$81,MATCH($E653,科目表!$B$4:$B$81,0)),""))</f>
        <v/>
      </c>
      <c r="H653" s="70" t="str">
        <f aca="false">IF($E653="","",N(INDEX(进销存对接!$M$4:$U$305,217,5)))</f>
        <v/>
      </c>
      <c r="I653" s="70" t="str">
        <f aca="false">IF($E653="","",N(INDEX(进销存对接!$M$4:$U$305,217,6)))</f>
        <v/>
      </c>
      <c r="J653" s="67"/>
      <c r="K653" s="67" t="str">
        <f aca="false">IF($E653="","",INDEX(进销存对接!$D$4:$D$305,217))</f>
        <v/>
      </c>
      <c r="L653" s="107"/>
      <c r="M653" s="107"/>
      <c r="N653" s="67" t="str">
        <f aca="false">IF($E653="","","系统")</f>
        <v/>
      </c>
      <c r="O653" s="67" t="str">
        <f aca="false">IF($E653="","","自动A")</f>
        <v/>
      </c>
      <c r="P653" s="18"/>
    </row>
    <row r="654" customFormat="false" ht="18" hidden="false" customHeight="true" outlineLevel="0" collapsed="false">
      <c r="A654" s="107" t="str">
        <f aca="false">IF($E654="","",ROW()-3)</f>
        <v/>
      </c>
      <c r="B654" s="110" t="str">
        <f aca="false">IF($E654="","",INDEX(进销存对接!$C$4:$C$305,217))</f>
        <v/>
      </c>
      <c r="C654" s="67" t="str">
        <f aca="false">IF($E654="","","记-"&amp;TEXT($B654,"YYYYMM")&amp;"-进销存")</f>
        <v/>
      </c>
      <c r="D654" s="107" t="str">
        <f aca="false">IF($E654="","",INDEX(进销存对接!$D$4:$D$305,217)&amp;" "&amp;TEXT($B654,"YYYY年M月")&amp;" 自动结转")</f>
        <v/>
      </c>
      <c r="E654" s="67" t="str">
        <f aca="false">IF(INDEX(进销存对接!$M$4:$U$305,217,7)=0,"",INDEX(进销存对接!$M$4:$U$305,217,7))</f>
        <v/>
      </c>
      <c r="F654" s="99" t="str">
        <f aca="false">IF($E654="","",IFERROR(INDEX(科目表!$A$4:$A$81,MATCH($E654,科目表!$B$4:$B$81,0)),""))</f>
        <v/>
      </c>
      <c r="G654" s="67" t="str">
        <f aca="false">IF($E654="","",IFERROR(INDEX(科目表!$E$4:$E$81,MATCH($E654,科目表!$B$4:$B$81,0)),""))</f>
        <v/>
      </c>
      <c r="H654" s="70" t="str">
        <f aca="false">IF($E654="","",N(INDEX(进销存对接!$M$4:$U$305,217,8)))</f>
        <v/>
      </c>
      <c r="I654" s="70" t="str">
        <f aca="false">IF($E654="","",N(INDEX(进销存对接!$M$4:$U$305,217,9)))</f>
        <v/>
      </c>
      <c r="J654" s="67"/>
      <c r="K654" s="67" t="str">
        <f aca="false">IF($E654="","",INDEX(进销存对接!$D$4:$D$305,217))</f>
        <v/>
      </c>
      <c r="L654" s="107"/>
      <c r="M654" s="107"/>
      <c r="N654" s="67" t="str">
        <f aca="false">IF($E654="","","系统")</f>
        <v/>
      </c>
      <c r="O654" s="67" t="str">
        <f aca="false">IF($E654="","","自动A")</f>
        <v/>
      </c>
      <c r="P654" s="18"/>
    </row>
    <row r="655" customFormat="false" ht="18" hidden="false" customHeight="true" outlineLevel="0" collapsed="false">
      <c r="A655" s="107" t="str">
        <f aca="false">IF($E655="","",ROW()-3)</f>
        <v/>
      </c>
      <c r="B655" s="110" t="str">
        <f aca="false">IF($E655="","",INDEX(进销存对接!$C$4:$C$305,218))</f>
        <v/>
      </c>
      <c r="C655" s="67" t="str">
        <f aca="false">IF($E655="","","记-"&amp;TEXT($B655,"YYYYMM")&amp;"-进销存")</f>
        <v/>
      </c>
      <c r="D655" s="107" t="str">
        <f aca="false">IF($E655="","",INDEX(进销存对接!$D$4:$D$305,218)&amp;" "&amp;TEXT($B655,"YYYY年M月")&amp;" 自动结转")</f>
        <v/>
      </c>
      <c r="E655" s="67" t="str">
        <f aca="false">IF(INDEX(进销存对接!$M$4:$U$305,218,1)=0,"",INDEX(进销存对接!$M$4:$U$305,218,1))</f>
        <v/>
      </c>
      <c r="F655" s="99" t="str">
        <f aca="false">IF($E655="","",IFERROR(INDEX(科目表!$A$4:$A$81,MATCH($E655,科目表!$B$4:$B$81,0)),""))</f>
        <v/>
      </c>
      <c r="G655" s="67" t="str">
        <f aca="false">IF($E655="","",IFERROR(INDEX(科目表!$E$4:$E$81,MATCH($E655,科目表!$B$4:$B$81,0)),""))</f>
        <v/>
      </c>
      <c r="H655" s="70" t="str">
        <f aca="false">IF($E655="","",N(INDEX(进销存对接!$M$4:$U$305,218,2)))</f>
        <v/>
      </c>
      <c r="I655" s="70" t="str">
        <f aca="false">IF($E655="","",N(INDEX(进销存对接!$M$4:$U$305,218,3)))</f>
        <v/>
      </c>
      <c r="J655" s="67"/>
      <c r="K655" s="67" t="str">
        <f aca="false">IF($E655="","",INDEX(进销存对接!$D$4:$D$305,218))</f>
        <v/>
      </c>
      <c r="L655" s="107"/>
      <c r="M655" s="107"/>
      <c r="N655" s="67" t="str">
        <f aca="false">IF($E655="","","系统")</f>
        <v/>
      </c>
      <c r="O655" s="67" t="str">
        <f aca="false">IF($E655="","","自动A")</f>
        <v/>
      </c>
      <c r="P655" s="18"/>
    </row>
    <row r="656" customFormat="false" ht="18" hidden="false" customHeight="true" outlineLevel="0" collapsed="false">
      <c r="A656" s="107" t="str">
        <f aca="false">IF($E656="","",ROW()-3)</f>
        <v/>
      </c>
      <c r="B656" s="110" t="str">
        <f aca="false">IF($E656="","",INDEX(进销存对接!$C$4:$C$305,218))</f>
        <v/>
      </c>
      <c r="C656" s="67" t="str">
        <f aca="false">IF($E656="","","记-"&amp;TEXT($B656,"YYYYMM")&amp;"-进销存")</f>
        <v/>
      </c>
      <c r="D656" s="107" t="str">
        <f aca="false">IF($E656="","",INDEX(进销存对接!$D$4:$D$305,218)&amp;" "&amp;TEXT($B656,"YYYY年M月")&amp;" 自动结转")</f>
        <v/>
      </c>
      <c r="E656" s="67" t="str">
        <f aca="false">IF(INDEX(进销存对接!$M$4:$U$305,218,4)=0,"",INDEX(进销存对接!$M$4:$U$305,218,4))</f>
        <v/>
      </c>
      <c r="F656" s="99" t="str">
        <f aca="false">IF($E656="","",IFERROR(INDEX(科目表!$A$4:$A$81,MATCH($E656,科目表!$B$4:$B$81,0)),""))</f>
        <v/>
      </c>
      <c r="G656" s="67" t="str">
        <f aca="false">IF($E656="","",IFERROR(INDEX(科目表!$E$4:$E$81,MATCH($E656,科目表!$B$4:$B$81,0)),""))</f>
        <v/>
      </c>
      <c r="H656" s="70" t="str">
        <f aca="false">IF($E656="","",N(INDEX(进销存对接!$M$4:$U$305,218,5)))</f>
        <v/>
      </c>
      <c r="I656" s="70" t="str">
        <f aca="false">IF($E656="","",N(INDEX(进销存对接!$M$4:$U$305,218,6)))</f>
        <v/>
      </c>
      <c r="J656" s="67"/>
      <c r="K656" s="67" t="str">
        <f aca="false">IF($E656="","",INDEX(进销存对接!$D$4:$D$305,218))</f>
        <v/>
      </c>
      <c r="L656" s="107"/>
      <c r="M656" s="107"/>
      <c r="N656" s="67" t="str">
        <f aca="false">IF($E656="","","系统")</f>
        <v/>
      </c>
      <c r="O656" s="67" t="str">
        <f aca="false">IF($E656="","","自动A")</f>
        <v/>
      </c>
      <c r="P656" s="18"/>
    </row>
    <row r="657" customFormat="false" ht="18" hidden="false" customHeight="true" outlineLevel="0" collapsed="false">
      <c r="A657" s="107" t="str">
        <f aca="false">IF($E657="","",ROW()-3)</f>
        <v/>
      </c>
      <c r="B657" s="110" t="str">
        <f aca="false">IF($E657="","",INDEX(进销存对接!$C$4:$C$305,218))</f>
        <v/>
      </c>
      <c r="C657" s="67" t="str">
        <f aca="false">IF($E657="","","记-"&amp;TEXT($B657,"YYYYMM")&amp;"-进销存")</f>
        <v/>
      </c>
      <c r="D657" s="107" t="str">
        <f aca="false">IF($E657="","",INDEX(进销存对接!$D$4:$D$305,218)&amp;" "&amp;TEXT($B657,"YYYY年M月")&amp;" 自动结转")</f>
        <v/>
      </c>
      <c r="E657" s="67" t="str">
        <f aca="false">IF(INDEX(进销存对接!$M$4:$U$305,218,7)=0,"",INDEX(进销存对接!$M$4:$U$305,218,7))</f>
        <v/>
      </c>
      <c r="F657" s="99" t="str">
        <f aca="false">IF($E657="","",IFERROR(INDEX(科目表!$A$4:$A$81,MATCH($E657,科目表!$B$4:$B$81,0)),""))</f>
        <v/>
      </c>
      <c r="G657" s="67" t="str">
        <f aca="false">IF($E657="","",IFERROR(INDEX(科目表!$E$4:$E$81,MATCH($E657,科目表!$B$4:$B$81,0)),""))</f>
        <v/>
      </c>
      <c r="H657" s="70" t="str">
        <f aca="false">IF($E657="","",N(INDEX(进销存对接!$M$4:$U$305,218,8)))</f>
        <v/>
      </c>
      <c r="I657" s="70" t="str">
        <f aca="false">IF($E657="","",N(INDEX(进销存对接!$M$4:$U$305,218,9)))</f>
        <v/>
      </c>
      <c r="J657" s="67"/>
      <c r="K657" s="67" t="str">
        <f aca="false">IF($E657="","",INDEX(进销存对接!$D$4:$D$305,218))</f>
        <v/>
      </c>
      <c r="L657" s="107"/>
      <c r="M657" s="107"/>
      <c r="N657" s="67" t="str">
        <f aca="false">IF($E657="","","系统")</f>
        <v/>
      </c>
      <c r="O657" s="67" t="str">
        <f aca="false">IF($E657="","","自动A")</f>
        <v/>
      </c>
      <c r="P657" s="18"/>
    </row>
    <row r="658" customFormat="false" ht="18" hidden="false" customHeight="true" outlineLevel="0" collapsed="false">
      <c r="A658" s="107" t="str">
        <f aca="false">IF($E658="","",ROW()-3)</f>
        <v/>
      </c>
      <c r="B658" s="110" t="str">
        <f aca="false">IF($E658="","",INDEX(进销存对接!$C$4:$C$305,219))</f>
        <v/>
      </c>
      <c r="C658" s="67" t="str">
        <f aca="false">IF($E658="","","记-"&amp;TEXT($B658,"YYYYMM")&amp;"-进销存")</f>
        <v/>
      </c>
      <c r="D658" s="107" t="str">
        <f aca="false">IF($E658="","",INDEX(进销存对接!$D$4:$D$305,219)&amp;" "&amp;TEXT($B658,"YYYY年M月")&amp;" 自动结转")</f>
        <v/>
      </c>
      <c r="E658" s="67" t="str">
        <f aca="false">IF(INDEX(进销存对接!$M$4:$U$305,219,1)=0,"",INDEX(进销存对接!$M$4:$U$305,219,1))</f>
        <v/>
      </c>
      <c r="F658" s="99" t="str">
        <f aca="false">IF($E658="","",IFERROR(INDEX(科目表!$A$4:$A$81,MATCH($E658,科目表!$B$4:$B$81,0)),""))</f>
        <v/>
      </c>
      <c r="G658" s="67" t="str">
        <f aca="false">IF($E658="","",IFERROR(INDEX(科目表!$E$4:$E$81,MATCH($E658,科目表!$B$4:$B$81,0)),""))</f>
        <v/>
      </c>
      <c r="H658" s="70" t="str">
        <f aca="false">IF($E658="","",N(INDEX(进销存对接!$M$4:$U$305,219,2)))</f>
        <v/>
      </c>
      <c r="I658" s="70" t="str">
        <f aca="false">IF($E658="","",N(INDEX(进销存对接!$M$4:$U$305,219,3)))</f>
        <v/>
      </c>
      <c r="J658" s="67"/>
      <c r="K658" s="67" t="str">
        <f aca="false">IF($E658="","",INDEX(进销存对接!$D$4:$D$305,219))</f>
        <v/>
      </c>
      <c r="L658" s="107"/>
      <c r="M658" s="107"/>
      <c r="N658" s="67" t="str">
        <f aca="false">IF($E658="","","系统")</f>
        <v/>
      </c>
      <c r="O658" s="67" t="str">
        <f aca="false">IF($E658="","","自动A")</f>
        <v/>
      </c>
      <c r="P658" s="18"/>
    </row>
    <row r="659" customFormat="false" ht="18" hidden="false" customHeight="true" outlineLevel="0" collapsed="false">
      <c r="A659" s="107" t="str">
        <f aca="false">IF($E659="","",ROW()-3)</f>
        <v/>
      </c>
      <c r="B659" s="110" t="str">
        <f aca="false">IF($E659="","",INDEX(进销存对接!$C$4:$C$305,219))</f>
        <v/>
      </c>
      <c r="C659" s="67" t="str">
        <f aca="false">IF($E659="","","记-"&amp;TEXT($B659,"YYYYMM")&amp;"-进销存")</f>
        <v/>
      </c>
      <c r="D659" s="107" t="str">
        <f aca="false">IF($E659="","",INDEX(进销存对接!$D$4:$D$305,219)&amp;" "&amp;TEXT($B659,"YYYY年M月")&amp;" 自动结转")</f>
        <v/>
      </c>
      <c r="E659" s="67" t="str">
        <f aca="false">IF(INDEX(进销存对接!$M$4:$U$305,219,4)=0,"",INDEX(进销存对接!$M$4:$U$305,219,4))</f>
        <v/>
      </c>
      <c r="F659" s="99" t="str">
        <f aca="false">IF($E659="","",IFERROR(INDEX(科目表!$A$4:$A$81,MATCH($E659,科目表!$B$4:$B$81,0)),""))</f>
        <v/>
      </c>
      <c r="G659" s="67" t="str">
        <f aca="false">IF($E659="","",IFERROR(INDEX(科目表!$E$4:$E$81,MATCH($E659,科目表!$B$4:$B$81,0)),""))</f>
        <v/>
      </c>
      <c r="H659" s="70" t="str">
        <f aca="false">IF($E659="","",N(INDEX(进销存对接!$M$4:$U$305,219,5)))</f>
        <v/>
      </c>
      <c r="I659" s="70" t="str">
        <f aca="false">IF($E659="","",N(INDEX(进销存对接!$M$4:$U$305,219,6)))</f>
        <v/>
      </c>
      <c r="J659" s="67"/>
      <c r="K659" s="67" t="str">
        <f aca="false">IF($E659="","",INDEX(进销存对接!$D$4:$D$305,219))</f>
        <v/>
      </c>
      <c r="L659" s="107"/>
      <c r="M659" s="107"/>
      <c r="N659" s="67" t="str">
        <f aca="false">IF($E659="","","系统")</f>
        <v/>
      </c>
      <c r="O659" s="67" t="str">
        <f aca="false">IF($E659="","","自动A")</f>
        <v/>
      </c>
      <c r="P659" s="18"/>
    </row>
    <row r="660" customFormat="false" ht="18" hidden="false" customHeight="true" outlineLevel="0" collapsed="false">
      <c r="A660" s="107" t="str">
        <f aca="false">IF($E660="","",ROW()-3)</f>
        <v/>
      </c>
      <c r="B660" s="110" t="str">
        <f aca="false">IF($E660="","",INDEX(进销存对接!$C$4:$C$305,219))</f>
        <v/>
      </c>
      <c r="C660" s="67" t="str">
        <f aca="false">IF($E660="","","记-"&amp;TEXT($B660,"YYYYMM")&amp;"-进销存")</f>
        <v/>
      </c>
      <c r="D660" s="107" t="str">
        <f aca="false">IF($E660="","",INDEX(进销存对接!$D$4:$D$305,219)&amp;" "&amp;TEXT($B660,"YYYY年M月")&amp;" 自动结转")</f>
        <v/>
      </c>
      <c r="E660" s="67" t="str">
        <f aca="false">IF(INDEX(进销存对接!$M$4:$U$305,219,7)=0,"",INDEX(进销存对接!$M$4:$U$305,219,7))</f>
        <v/>
      </c>
      <c r="F660" s="99" t="str">
        <f aca="false">IF($E660="","",IFERROR(INDEX(科目表!$A$4:$A$81,MATCH($E660,科目表!$B$4:$B$81,0)),""))</f>
        <v/>
      </c>
      <c r="G660" s="67" t="str">
        <f aca="false">IF($E660="","",IFERROR(INDEX(科目表!$E$4:$E$81,MATCH($E660,科目表!$B$4:$B$81,0)),""))</f>
        <v/>
      </c>
      <c r="H660" s="70" t="str">
        <f aca="false">IF($E660="","",N(INDEX(进销存对接!$M$4:$U$305,219,8)))</f>
        <v/>
      </c>
      <c r="I660" s="70" t="str">
        <f aca="false">IF($E660="","",N(INDEX(进销存对接!$M$4:$U$305,219,9)))</f>
        <v/>
      </c>
      <c r="J660" s="67"/>
      <c r="K660" s="67" t="str">
        <f aca="false">IF($E660="","",INDEX(进销存对接!$D$4:$D$305,219))</f>
        <v/>
      </c>
      <c r="L660" s="107"/>
      <c r="M660" s="107"/>
      <c r="N660" s="67" t="str">
        <f aca="false">IF($E660="","","系统")</f>
        <v/>
      </c>
      <c r="O660" s="67" t="str">
        <f aca="false">IF($E660="","","自动A")</f>
        <v/>
      </c>
      <c r="P660" s="18"/>
    </row>
    <row r="661" customFormat="false" ht="18" hidden="false" customHeight="true" outlineLevel="0" collapsed="false">
      <c r="A661" s="107" t="str">
        <f aca="false">IF($E661="","",ROW()-3)</f>
        <v/>
      </c>
      <c r="B661" s="110" t="str">
        <f aca="false">IF($E661="","",INDEX(进销存对接!$C$4:$C$305,220))</f>
        <v/>
      </c>
      <c r="C661" s="67" t="str">
        <f aca="false">IF($E661="","","记-"&amp;TEXT($B661,"YYYYMM")&amp;"-进销存")</f>
        <v/>
      </c>
      <c r="D661" s="107" t="str">
        <f aca="false">IF($E661="","",INDEX(进销存对接!$D$4:$D$305,220)&amp;" "&amp;TEXT($B661,"YYYY年M月")&amp;" 自动结转")</f>
        <v/>
      </c>
      <c r="E661" s="67" t="str">
        <f aca="false">IF(INDEX(进销存对接!$M$4:$U$305,220,1)=0,"",INDEX(进销存对接!$M$4:$U$305,220,1))</f>
        <v/>
      </c>
      <c r="F661" s="99" t="str">
        <f aca="false">IF($E661="","",IFERROR(INDEX(科目表!$A$4:$A$81,MATCH($E661,科目表!$B$4:$B$81,0)),""))</f>
        <v/>
      </c>
      <c r="G661" s="67" t="str">
        <f aca="false">IF($E661="","",IFERROR(INDEX(科目表!$E$4:$E$81,MATCH($E661,科目表!$B$4:$B$81,0)),""))</f>
        <v/>
      </c>
      <c r="H661" s="70" t="str">
        <f aca="false">IF($E661="","",N(INDEX(进销存对接!$M$4:$U$305,220,2)))</f>
        <v/>
      </c>
      <c r="I661" s="70" t="str">
        <f aca="false">IF($E661="","",N(INDEX(进销存对接!$M$4:$U$305,220,3)))</f>
        <v/>
      </c>
      <c r="J661" s="67"/>
      <c r="K661" s="67" t="str">
        <f aca="false">IF($E661="","",INDEX(进销存对接!$D$4:$D$305,220))</f>
        <v/>
      </c>
      <c r="L661" s="107"/>
      <c r="M661" s="107"/>
      <c r="N661" s="67" t="str">
        <f aca="false">IF($E661="","","系统")</f>
        <v/>
      </c>
      <c r="O661" s="67" t="str">
        <f aca="false">IF($E661="","","自动A")</f>
        <v/>
      </c>
      <c r="P661" s="18"/>
    </row>
    <row r="662" customFormat="false" ht="18" hidden="false" customHeight="true" outlineLevel="0" collapsed="false">
      <c r="A662" s="107" t="str">
        <f aca="false">IF($E662="","",ROW()-3)</f>
        <v/>
      </c>
      <c r="B662" s="110" t="str">
        <f aca="false">IF($E662="","",INDEX(进销存对接!$C$4:$C$305,220))</f>
        <v/>
      </c>
      <c r="C662" s="67" t="str">
        <f aca="false">IF($E662="","","记-"&amp;TEXT($B662,"YYYYMM")&amp;"-进销存")</f>
        <v/>
      </c>
      <c r="D662" s="107" t="str">
        <f aca="false">IF($E662="","",INDEX(进销存对接!$D$4:$D$305,220)&amp;" "&amp;TEXT($B662,"YYYY年M月")&amp;" 自动结转")</f>
        <v/>
      </c>
      <c r="E662" s="67" t="str">
        <f aca="false">IF(INDEX(进销存对接!$M$4:$U$305,220,4)=0,"",INDEX(进销存对接!$M$4:$U$305,220,4))</f>
        <v/>
      </c>
      <c r="F662" s="99" t="str">
        <f aca="false">IF($E662="","",IFERROR(INDEX(科目表!$A$4:$A$81,MATCH($E662,科目表!$B$4:$B$81,0)),""))</f>
        <v/>
      </c>
      <c r="G662" s="67" t="str">
        <f aca="false">IF($E662="","",IFERROR(INDEX(科目表!$E$4:$E$81,MATCH($E662,科目表!$B$4:$B$81,0)),""))</f>
        <v/>
      </c>
      <c r="H662" s="70" t="str">
        <f aca="false">IF($E662="","",N(INDEX(进销存对接!$M$4:$U$305,220,5)))</f>
        <v/>
      </c>
      <c r="I662" s="70" t="str">
        <f aca="false">IF($E662="","",N(INDEX(进销存对接!$M$4:$U$305,220,6)))</f>
        <v/>
      </c>
      <c r="J662" s="67"/>
      <c r="K662" s="67" t="str">
        <f aca="false">IF($E662="","",INDEX(进销存对接!$D$4:$D$305,220))</f>
        <v/>
      </c>
      <c r="L662" s="107"/>
      <c r="M662" s="107"/>
      <c r="N662" s="67" t="str">
        <f aca="false">IF($E662="","","系统")</f>
        <v/>
      </c>
      <c r="O662" s="67" t="str">
        <f aca="false">IF($E662="","","自动A")</f>
        <v/>
      </c>
      <c r="P662" s="18"/>
    </row>
    <row r="663" customFormat="false" ht="18" hidden="false" customHeight="true" outlineLevel="0" collapsed="false">
      <c r="A663" s="107" t="str">
        <f aca="false">IF($E663="","",ROW()-3)</f>
        <v/>
      </c>
      <c r="B663" s="110" t="str">
        <f aca="false">IF($E663="","",INDEX(进销存对接!$C$4:$C$305,220))</f>
        <v/>
      </c>
      <c r="C663" s="67" t="str">
        <f aca="false">IF($E663="","","记-"&amp;TEXT($B663,"YYYYMM")&amp;"-进销存")</f>
        <v/>
      </c>
      <c r="D663" s="107" t="str">
        <f aca="false">IF($E663="","",INDEX(进销存对接!$D$4:$D$305,220)&amp;" "&amp;TEXT($B663,"YYYY年M月")&amp;" 自动结转")</f>
        <v/>
      </c>
      <c r="E663" s="67" t="str">
        <f aca="false">IF(INDEX(进销存对接!$M$4:$U$305,220,7)=0,"",INDEX(进销存对接!$M$4:$U$305,220,7))</f>
        <v/>
      </c>
      <c r="F663" s="99" t="str">
        <f aca="false">IF($E663="","",IFERROR(INDEX(科目表!$A$4:$A$81,MATCH($E663,科目表!$B$4:$B$81,0)),""))</f>
        <v/>
      </c>
      <c r="G663" s="67" t="str">
        <f aca="false">IF($E663="","",IFERROR(INDEX(科目表!$E$4:$E$81,MATCH($E663,科目表!$B$4:$B$81,0)),""))</f>
        <v/>
      </c>
      <c r="H663" s="70" t="str">
        <f aca="false">IF($E663="","",N(INDEX(进销存对接!$M$4:$U$305,220,8)))</f>
        <v/>
      </c>
      <c r="I663" s="70" t="str">
        <f aca="false">IF($E663="","",N(INDEX(进销存对接!$M$4:$U$305,220,9)))</f>
        <v/>
      </c>
      <c r="J663" s="67"/>
      <c r="K663" s="67" t="str">
        <f aca="false">IF($E663="","",INDEX(进销存对接!$D$4:$D$305,220))</f>
        <v/>
      </c>
      <c r="L663" s="107"/>
      <c r="M663" s="107"/>
      <c r="N663" s="67" t="str">
        <f aca="false">IF($E663="","","系统")</f>
        <v/>
      </c>
      <c r="O663" s="67" t="str">
        <f aca="false">IF($E663="","","自动A")</f>
        <v/>
      </c>
      <c r="P663" s="18"/>
    </row>
    <row r="664" customFormat="false" ht="18" hidden="false" customHeight="true" outlineLevel="0" collapsed="false">
      <c r="A664" s="107" t="str">
        <f aca="false">IF($E664="","",ROW()-3)</f>
        <v/>
      </c>
      <c r="B664" s="110" t="str">
        <f aca="false">IF($E664="","",INDEX(进销存对接!$C$4:$C$305,221))</f>
        <v/>
      </c>
      <c r="C664" s="67" t="str">
        <f aca="false">IF($E664="","","记-"&amp;TEXT($B664,"YYYYMM")&amp;"-进销存")</f>
        <v/>
      </c>
      <c r="D664" s="107" t="str">
        <f aca="false">IF($E664="","",INDEX(进销存对接!$D$4:$D$305,221)&amp;" "&amp;TEXT($B664,"YYYY年M月")&amp;" 自动结转")</f>
        <v/>
      </c>
      <c r="E664" s="67" t="str">
        <f aca="false">IF(INDEX(进销存对接!$M$4:$U$305,221,1)=0,"",INDEX(进销存对接!$M$4:$U$305,221,1))</f>
        <v/>
      </c>
      <c r="F664" s="99" t="str">
        <f aca="false">IF($E664="","",IFERROR(INDEX(科目表!$A$4:$A$81,MATCH($E664,科目表!$B$4:$B$81,0)),""))</f>
        <v/>
      </c>
      <c r="G664" s="67" t="str">
        <f aca="false">IF($E664="","",IFERROR(INDEX(科目表!$E$4:$E$81,MATCH($E664,科目表!$B$4:$B$81,0)),""))</f>
        <v/>
      </c>
      <c r="H664" s="70" t="str">
        <f aca="false">IF($E664="","",N(INDEX(进销存对接!$M$4:$U$305,221,2)))</f>
        <v/>
      </c>
      <c r="I664" s="70" t="str">
        <f aca="false">IF($E664="","",N(INDEX(进销存对接!$M$4:$U$305,221,3)))</f>
        <v/>
      </c>
      <c r="J664" s="67"/>
      <c r="K664" s="67" t="str">
        <f aca="false">IF($E664="","",INDEX(进销存对接!$D$4:$D$305,221))</f>
        <v/>
      </c>
      <c r="L664" s="107"/>
      <c r="M664" s="107"/>
      <c r="N664" s="67" t="str">
        <f aca="false">IF($E664="","","系统")</f>
        <v/>
      </c>
      <c r="O664" s="67" t="str">
        <f aca="false">IF($E664="","","自动A")</f>
        <v/>
      </c>
      <c r="P664" s="18"/>
    </row>
    <row r="665" customFormat="false" ht="18" hidden="false" customHeight="true" outlineLevel="0" collapsed="false">
      <c r="A665" s="107" t="str">
        <f aca="false">IF($E665="","",ROW()-3)</f>
        <v/>
      </c>
      <c r="B665" s="110" t="str">
        <f aca="false">IF($E665="","",INDEX(进销存对接!$C$4:$C$305,221))</f>
        <v/>
      </c>
      <c r="C665" s="67" t="str">
        <f aca="false">IF($E665="","","记-"&amp;TEXT($B665,"YYYYMM")&amp;"-进销存")</f>
        <v/>
      </c>
      <c r="D665" s="107" t="str">
        <f aca="false">IF($E665="","",INDEX(进销存对接!$D$4:$D$305,221)&amp;" "&amp;TEXT($B665,"YYYY年M月")&amp;" 自动结转")</f>
        <v/>
      </c>
      <c r="E665" s="67" t="str">
        <f aca="false">IF(INDEX(进销存对接!$M$4:$U$305,221,4)=0,"",INDEX(进销存对接!$M$4:$U$305,221,4))</f>
        <v/>
      </c>
      <c r="F665" s="99" t="str">
        <f aca="false">IF($E665="","",IFERROR(INDEX(科目表!$A$4:$A$81,MATCH($E665,科目表!$B$4:$B$81,0)),""))</f>
        <v/>
      </c>
      <c r="G665" s="67" t="str">
        <f aca="false">IF($E665="","",IFERROR(INDEX(科目表!$E$4:$E$81,MATCH($E665,科目表!$B$4:$B$81,0)),""))</f>
        <v/>
      </c>
      <c r="H665" s="70" t="str">
        <f aca="false">IF($E665="","",N(INDEX(进销存对接!$M$4:$U$305,221,5)))</f>
        <v/>
      </c>
      <c r="I665" s="70" t="str">
        <f aca="false">IF($E665="","",N(INDEX(进销存对接!$M$4:$U$305,221,6)))</f>
        <v/>
      </c>
      <c r="J665" s="67"/>
      <c r="K665" s="67" t="str">
        <f aca="false">IF($E665="","",INDEX(进销存对接!$D$4:$D$305,221))</f>
        <v/>
      </c>
      <c r="L665" s="107"/>
      <c r="M665" s="107"/>
      <c r="N665" s="67" t="str">
        <f aca="false">IF($E665="","","系统")</f>
        <v/>
      </c>
      <c r="O665" s="67" t="str">
        <f aca="false">IF($E665="","","自动A")</f>
        <v/>
      </c>
      <c r="P665" s="18"/>
    </row>
    <row r="666" customFormat="false" ht="18" hidden="false" customHeight="true" outlineLevel="0" collapsed="false">
      <c r="A666" s="107" t="str">
        <f aca="false">IF($E666="","",ROW()-3)</f>
        <v/>
      </c>
      <c r="B666" s="110" t="str">
        <f aca="false">IF($E666="","",INDEX(进销存对接!$C$4:$C$305,221))</f>
        <v/>
      </c>
      <c r="C666" s="67" t="str">
        <f aca="false">IF($E666="","","记-"&amp;TEXT($B666,"YYYYMM")&amp;"-进销存")</f>
        <v/>
      </c>
      <c r="D666" s="107" t="str">
        <f aca="false">IF($E666="","",INDEX(进销存对接!$D$4:$D$305,221)&amp;" "&amp;TEXT($B666,"YYYY年M月")&amp;" 自动结转")</f>
        <v/>
      </c>
      <c r="E666" s="67" t="str">
        <f aca="false">IF(INDEX(进销存对接!$M$4:$U$305,221,7)=0,"",INDEX(进销存对接!$M$4:$U$305,221,7))</f>
        <v/>
      </c>
      <c r="F666" s="99" t="str">
        <f aca="false">IF($E666="","",IFERROR(INDEX(科目表!$A$4:$A$81,MATCH($E666,科目表!$B$4:$B$81,0)),""))</f>
        <v/>
      </c>
      <c r="G666" s="67" t="str">
        <f aca="false">IF($E666="","",IFERROR(INDEX(科目表!$E$4:$E$81,MATCH($E666,科目表!$B$4:$B$81,0)),""))</f>
        <v/>
      </c>
      <c r="H666" s="70" t="str">
        <f aca="false">IF($E666="","",N(INDEX(进销存对接!$M$4:$U$305,221,8)))</f>
        <v/>
      </c>
      <c r="I666" s="70" t="str">
        <f aca="false">IF($E666="","",N(INDEX(进销存对接!$M$4:$U$305,221,9)))</f>
        <v/>
      </c>
      <c r="J666" s="67"/>
      <c r="K666" s="67" t="str">
        <f aca="false">IF($E666="","",INDEX(进销存对接!$D$4:$D$305,221))</f>
        <v/>
      </c>
      <c r="L666" s="107"/>
      <c r="M666" s="107"/>
      <c r="N666" s="67" t="str">
        <f aca="false">IF($E666="","","系统")</f>
        <v/>
      </c>
      <c r="O666" s="67" t="str">
        <f aca="false">IF($E666="","","自动A")</f>
        <v/>
      </c>
      <c r="P666" s="18"/>
    </row>
    <row r="667" customFormat="false" ht="18" hidden="false" customHeight="true" outlineLevel="0" collapsed="false">
      <c r="A667" s="107" t="str">
        <f aca="false">IF($E667="","",ROW()-3)</f>
        <v/>
      </c>
      <c r="B667" s="110" t="str">
        <f aca="false">IF($E667="","",INDEX(进销存对接!$C$4:$C$305,222))</f>
        <v/>
      </c>
      <c r="C667" s="67" t="str">
        <f aca="false">IF($E667="","","记-"&amp;TEXT($B667,"YYYYMM")&amp;"-进销存")</f>
        <v/>
      </c>
      <c r="D667" s="107" t="str">
        <f aca="false">IF($E667="","",INDEX(进销存对接!$D$4:$D$305,222)&amp;" "&amp;TEXT($B667,"YYYY年M月")&amp;" 自动结转")</f>
        <v/>
      </c>
      <c r="E667" s="67" t="str">
        <f aca="false">IF(INDEX(进销存对接!$M$4:$U$305,222,1)=0,"",INDEX(进销存对接!$M$4:$U$305,222,1))</f>
        <v/>
      </c>
      <c r="F667" s="99" t="str">
        <f aca="false">IF($E667="","",IFERROR(INDEX(科目表!$A$4:$A$81,MATCH($E667,科目表!$B$4:$B$81,0)),""))</f>
        <v/>
      </c>
      <c r="G667" s="67" t="str">
        <f aca="false">IF($E667="","",IFERROR(INDEX(科目表!$E$4:$E$81,MATCH($E667,科目表!$B$4:$B$81,0)),""))</f>
        <v/>
      </c>
      <c r="H667" s="70" t="str">
        <f aca="false">IF($E667="","",N(INDEX(进销存对接!$M$4:$U$305,222,2)))</f>
        <v/>
      </c>
      <c r="I667" s="70" t="str">
        <f aca="false">IF($E667="","",N(INDEX(进销存对接!$M$4:$U$305,222,3)))</f>
        <v/>
      </c>
      <c r="J667" s="67"/>
      <c r="K667" s="67" t="str">
        <f aca="false">IF($E667="","",INDEX(进销存对接!$D$4:$D$305,222))</f>
        <v/>
      </c>
      <c r="L667" s="107"/>
      <c r="M667" s="107"/>
      <c r="N667" s="67" t="str">
        <f aca="false">IF($E667="","","系统")</f>
        <v/>
      </c>
      <c r="O667" s="67" t="str">
        <f aca="false">IF($E667="","","自动A")</f>
        <v/>
      </c>
      <c r="P667" s="18"/>
    </row>
    <row r="668" customFormat="false" ht="18" hidden="false" customHeight="true" outlineLevel="0" collapsed="false">
      <c r="A668" s="107" t="str">
        <f aca="false">IF($E668="","",ROW()-3)</f>
        <v/>
      </c>
      <c r="B668" s="110" t="str">
        <f aca="false">IF($E668="","",INDEX(进销存对接!$C$4:$C$305,222))</f>
        <v/>
      </c>
      <c r="C668" s="67" t="str">
        <f aca="false">IF($E668="","","记-"&amp;TEXT($B668,"YYYYMM")&amp;"-进销存")</f>
        <v/>
      </c>
      <c r="D668" s="107" t="str">
        <f aca="false">IF($E668="","",INDEX(进销存对接!$D$4:$D$305,222)&amp;" "&amp;TEXT($B668,"YYYY年M月")&amp;" 自动结转")</f>
        <v/>
      </c>
      <c r="E668" s="67" t="str">
        <f aca="false">IF(INDEX(进销存对接!$M$4:$U$305,222,4)=0,"",INDEX(进销存对接!$M$4:$U$305,222,4))</f>
        <v/>
      </c>
      <c r="F668" s="99" t="str">
        <f aca="false">IF($E668="","",IFERROR(INDEX(科目表!$A$4:$A$81,MATCH($E668,科目表!$B$4:$B$81,0)),""))</f>
        <v/>
      </c>
      <c r="G668" s="67" t="str">
        <f aca="false">IF($E668="","",IFERROR(INDEX(科目表!$E$4:$E$81,MATCH($E668,科目表!$B$4:$B$81,0)),""))</f>
        <v/>
      </c>
      <c r="H668" s="70" t="str">
        <f aca="false">IF($E668="","",N(INDEX(进销存对接!$M$4:$U$305,222,5)))</f>
        <v/>
      </c>
      <c r="I668" s="70" t="str">
        <f aca="false">IF($E668="","",N(INDEX(进销存对接!$M$4:$U$305,222,6)))</f>
        <v/>
      </c>
      <c r="J668" s="67"/>
      <c r="K668" s="67" t="str">
        <f aca="false">IF($E668="","",INDEX(进销存对接!$D$4:$D$305,222))</f>
        <v/>
      </c>
      <c r="L668" s="107"/>
      <c r="M668" s="107"/>
      <c r="N668" s="67" t="str">
        <f aca="false">IF($E668="","","系统")</f>
        <v/>
      </c>
      <c r="O668" s="67" t="str">
        <f aca="false">IF($E668="","","自动A")</f>
        <v/>
      </c>
      <c r="P668" s="18"/>
    </row>
    <row r="669" customFormat="false" ht="18" hidden="false" customHeight="true" outlineLevel="0" collapsed="false">
      <c r="A669" s="107" t="str">
        <f aca="false">IF($E669="","",ROW()-3)</f>
        <v/>
      </c>
      <c r="B669" s="110" t="str">
        <f aca="false">IF($E669="","",INDEX(进销存对接!$C$4:$C$305,222))</f>
        <v/>
      </c>
      <c r="C669" s="67" t="str">
        <f aca="false">IF($E669="","","记-"&amp;TEXT($B669,"YYYYMM")&amp;"-进销存")</f>
        <v/>
      </c>
      <c r="D669" s="107" t="str">
        <f aca="false">IF($E669="","",INDEX(进销存对接!$D$4:$D$305,222)&amp;" "&amp;TEXT($B669,"YYYY年M月")&amp;" 自动结转")</f>
        <v/>
      </c>
      <c r="E669" s="67" t="str">
        <f aca="false">IF(INDEX(进销存对接!$M$4:$U$305,222,7)=0,"",INDEX(进销存对接!$M$4:$U$305,222,7))</f>
        <v/>
      </c>
      <c r="F669" s="99" t="str">
        <f aca="false">IF($E669="","",IFERROR(INDEX(科目表!$A$4:$A$81,MATCH($E669,科目表!$B$4:$B$81,0)),""))</f>
        <v/>
      </c>
      <c r="G669" s="67" t="str">
        <f aca="false">IF($E669="","",IFERROR(INDEX(科目表!$E$4:$E$81,MATCH($E669,科目表!$B$4:$B$81,0)),""))</f>
        <v/>
      </c>
      <c r="H669" s="70" t="str">
        <f aca="false">IF($E669="","",N(INDEX(进销存对接!$M$4:$U$305,222,8)))</f>
        <v/>
      </c>
      <c r="I669" s="70" t="str">
        <f aca="false">IF($E669="","",N(INDEX(进销存对接!$M$4:$U$305,222,9)))</f>
        <v/>
      </c>
      <c r="J669" s="67"/>
      <c r="K669" s="67" t="str">
        <f aca="false">IF($E669="","",INDEX(进销存对接!$D$4:$D$305,222))</f>
        <v/>
      </c>
      <c r="L669" s="107"/>
      <c r="M669" s="107"/>
      <c r="N669" s="67" t="str">
        <f aca="false">IF($E669="","","系统")</f>
        <v/>
      </c>
      <c r="O669" s="67" t="str">
        <f aca="false">IF($E669="","","自动A")</f>
        <v/>
      </c>
      <c r="P669" s="18"/>
    </row>
    <row r="670" customFormat="false" ht="18" hidden="false" customHeight="true" outlineLevel="0" collapsed="false">
      <c r="A670" s="107" t="str">
        <f aca="false">IF($E670="","",ROW()-3)</f>
        <v/>
      </c>
      <c r="B670" s="110" t="str">
        <f aca="false">IF($E670="","",INDEX(进销存对接!$C$4:$C$305,223))</f>
        <v/>
      </c>
      <c r="C670" s="67" t="str">
        <f aca="false">IF($E670="","","记-"&amp;TEXT($B670,"YYYYMM")&amp;"-进销存")</f>
        <v/>
      </c>
      <c r="D670" s="107" t="str">
        <f aca="false">IF($E670="","",INDEX(进销存对接!$D$4:$D$305,223)&amp;" "&amp;TEXT($B670,"YYYY年M月")&amp;" 自动结转")</f>
        <v/>
      </c>
      <c r="E670" s="67" t="str">
        <f aca="false">IF(INDEX(进销存对接!$M$4:$U$305,223,1)=0,"",INDEX(进销存对接!$M$4:$U$305,223,1))</f>
        <v/>
      </c>
      <c r="F670" s="99" t="str">
        <f aca="false">IF($E670="","",IFERROR(INDEX(科目表!$A$4:$A$81,MATCH($E670,科目表!$B$4:$B$81,0)),""))</f>
        <v/>
      </c>
      <c r="G670" s="67" t="str">
        <f aca="false">IF($E670="","",IFERROR(INDEX(科目表!$E$4:$E$81,MATCH($E670,科目表!$B$4:$B$81,0)),""))</f>
        <v/>
      </c>
      <c r="H670" s="70" t="str">
        <f aca="false">IF($E670="","",N(INDEX(进销存对接!$M$4:$U$305,223,2)))</f>
        <v/>
      </c>
      <c r="I670" s="70" t="str">
        <f aca="false">IF($E670="","",N(INDEX(进销存对接!$M$4:$U$305,223,3)))</f>
        <v/>
      </c>
      <c r="J670" s="67"/>
      <c r="K670" s="67" t="str">
        <f aca="false">IF($E670="","",INDEX(进销存对接!$D$4:$D$305,223))</f>
        <v/>
      </c>
      <c r="L670" s="107"/>
      <c r="M670" s="107"/>
      <c r="N670" s="67" t="str">
        <f aca="false">IF($E670="","","系统")</f>
        <v/>
      </c>
      <c r="O670" s="67" t="str">
        <f aca="false">IF($E670="","","自动A")</f>
        <v/>
      </c>
      <c r="P670" s="18"/>
    </row>
    <row r="671" customFormat="false" ht="18" hidden="false" customHeight="true" outlineLevel="0" collapsed="false">
      <c r="A671" s="107" t="str">
        <f aca="false">IF($E671="","",ROW()-3)</f>
        <v/>
      </c>
      <c r="B671" s="110" t="str">
        <f aca="false">IF($E671="","",INDEX(进销存对接!$C$4:$C$305,223))</f>
        <v/>
      </c>
      <c r="C671" s="67" t="str">
        <f aca="false">IF($E671="","","记-"&amp;TEXT($B671,"YYYYMM")&amp;"-进销存")</f>
        <v/>
      </c>
      <c r="D671" s="107" t="str">
        <f aca="false">IF($E671="","",INDEX(进销存对接!$D$4:$D$305,223)&amp;" "&amp;TEXT($B671,"YYYY年M月")&amp;" 自动结转")</f>
        <v/>
      </c>
      <c r="E671" s="67" t="str">
        <f aca="false">IF(INDEX(进销存对接!$M$4:$U$305,223,4)=0,"",INDEX(进销存对接!$M$4:$U$305,223,4))</f>
        <v/>
      </c>
      <c r="F671" s="99" t="str">
        <f aca="false">IF($E671="","",IFERROR(INDEX(科目表!$A$4:$A$81,MATCH($E671,科目表!$B$4:$B$81,0)),""))</f>
        <v/>
      </c>
      <c r="G671" s="67" t="str">
        <f aca="false">IF($E671="","",IFERROR(INDEX(科目表!$E$4:$E$81,MATCH($E671,科目表!$B$4:$B$81,0)),""))</f>
        <v/>
      </c>
      <c r="H671" s="70" t="str">
        <f aca="false">IF($E671="","",N(INDEX(进销存对接!$M$4:$U$305,223,5)))</f>
        <v/>
      </c>
      <c r="I671" s="70" t="str">
        <f aca="false">IF($E671="","",N(INDEX(进销存对接!$M$4:$U$305,223,6)))</f>
        <v/>
      </c>
      <c r="J671" s="67"/>
      <c r="K671" s="67" t="str">
        <f aca="false">IF($E671="","",INDEX(进销存对接!$D$4:$D$305,223))</f>
        <v/>
      </c>
      <c r="L671" s="107"/>
      <c r="M671" s="107"/>
      <c r="N671" s="67" t="str">
        <f aca="false">IF($E671="","","系统")</f>
        <v/>
      </c>
      <c r="O671" s="67" t="str">
        <f aca="false">IF($E671="","","自动A")</f>
        <v/>
      </c>
      <c r="P671" s="18"/>
    </row>
    <row r="672" customFormat="false" ht="18" hidden="false" customHeight="true" outlineLevel="0" collapsed="false">
      <c r="A672" s="107" t="str">
        <f aca="false">IF($E672="","",ROW()-3)</f>
        <v/>
      </c>
      <c r="B672" s="110" t="str">
        <f aca="false">IF($E672="","",INDEX(进销存对接!$C$4:$C$305,223))</f>
        <v/>
      </c>
      <c r="C672" s="67" t="str">
        <f aca="false">IF($E672="","","记-"&amp;TEXT($B672,"YYYYMM")&amp;"-进销存")</f>
        <v/>
      </c>
      <c r="D672" s="107" t="str">
        <f aca="false">IF($E672="","",INDEX(进销存对接!$D$4:$D$305,223)&amp;" "&amp;TEXT($B672,"YYYY年M月")&amp;" 自动结转")</f>
        <v/>
      </c>
      <c r="E672" s="67" t="str">
        <f aca="false">IF(INDEX(进销存对接!$M$4:$U$305,223,7)=0,"",INDEX(进销存对接!$M$4:$U$305,223,7))</f>
        <v/>
      </c>
      <c r="F672" s="99" t="str">
        <f aca="false">IF($E672="","",IFERROR(INDEX(科目表!$A$4:$A$81,MATCH($E672,科目表!$B$4:$B$81,0)),""))</f>
        <v/>
      </c>
      <c r="G672" s="67" t="str">
        <f aca="false">IF($E672="","",IFERROR(INDEX(科目表!$E$4:$E$81,MATCH($E672,科目表!$B$4:$B$81,0)),""))</f>
        <v/>
      </c>
      <c r="H672" s="70" t="str">
        <f aca="false">IF($E672="","",N(INDEX(进销存对接!$M$4:$U$305,223,8)))</f>
        <v/>
      </c>
      <c r="I672" s="70" t="str">
        <f aca="false">IF($E672="","",N(INDEX(进销存对接!$M$4:$U$305,223,9)))</f>
        <v/>
      </c>
      <c r="J672" s="67"/>
      <c r="K672" s="67" t="str">
        <f aca="false">IF($E672="","",INDEX(进销存对接!$D$4:$D$305,223))</f>
        <v/>
      </c>
      <c r="L672" s="107"/>
      <c r="M672" s="107"/>
      <c r="N672" s="67" t="str">
        <f aca="false">IF($E672="","","系统")</f>
        <v/>
      </c>
      <c r="O672" s="67" t="str">
        <f aca="false">IF($E672="","","自动A")</f>
        <v/>
      </c>
      <c r="P672" s="18"/>
    </row>
    <row r="673" customFormat="false" ht="18" hidden="false" customHeight="true" outlineLevel="0" collapsed="false">
      <c r="A673" s="107" t="str">
        <f aca="false">IF($E673="","",ROW()-3)</f>
        <v/>
      </c>
      <c r="B673" s="110" t="str">
        <f aca="false">IF($E673="","",INDEX(进销存对接!$C$4:$C$305,224))</f>
        <v/>
      </c>
      <c r="C673" s="67" t="str">
        <f aca="false">IF($E673="","","记-"&amp;TEXT($B673,"YYYYMM")&amp;"-进销存")</f>
        <v/>
      </c>
      <c r="D673" s="107" t="str">
        <f aca="false">IF($E673="","",INDEX(进销存对接!$D$4:$D$305,224)&amp;" "&amp;TEXT($B673,"YYYY年M月")&amp;" 自动结转")</f>
        <v/>
      </c>
      <c r="E673" s="67" t="str">
        <f aca="false">IF(INDEX(进销存对接!$M$4:$U$305,224,1)=0,"",INDEX(进销存对接!$M$4:$U$305,224,1))</f>
        <v/>
      </c>
      <c r="F673" s="99" t="str">
        <f aca="false">IF($E673="","",IFERROR(INDEX(科目表!$A$4:$A$81,MATCH($E673,科目表!$B$4:$B$81,0)),""))</f>
        <v/>
      </c>
      <c r="G673" s="67" t="str">
        <f aca="false">IF($E673="","",IFERROR(INDEX(科目表!$E$4:$E$81,MATCH($E673,科目表!$B$4:$B$81,0)),""))</f>
        <v/>
      </c>
      <c r="H673" s="70" t="str">
        <f aca="false">IF($E673="","",N(INDEX(进销存对接!$M$4:$U$305,224,2)))</f>
        <v/>
      </c>
      <c r="I673" s="70" t="str">
        <f aca="false">IF($E673="","",N(INDEX(进销存对接!$M$4:$U$305,224,3)))</f>
        <v/>
      </c>
      <c r="J673" s="67"/>
      <c r="K673" s="67" t="str">
        <f aca="false">IF($E673="","",INDEX(进销存对接!$D$4:$D$305,224))</f>
        <v/>
      </c>
      <c r="L673" s="107"/>
      <c r="M673" s="107"/>
      <c r="N673" s="67" t="str">
        <f aca="false">IF($E673="","","系统")</f>
        <v/>
      </c>
      <c r="O673" s="67" t="str">
        <f aca="false">IF($E673="","","自动A")</f>
        <v/>
      </c>
      <c r="P673" s="18"/>
    </row>
    <row r="674" customFormat="false" ht="18" hidden="false" customHeight="true" outlineLevel="0" collapsed="false">
      <c r="A674" s="107" t="str">
        <f aca="false">IF($E674="","",ROW()-3)</f>
        <v/>
      </c>
      <c r="B674" s="110" t="str">
        <f aca="false">IF($E674="","",INDEX(进销存对接!$C$4:$C$305,224))</f>
        <v/>
      </c>
      <c r="C674" s="67" t="str">
        <f aca="false">IF($E674="","","记-"&amp;TEXT($B674,"YYYYMM")&amp;"-进销存")</f>
        <v/>
      </c>
      <c r="D674" s="107" t="str">
        <f aca="false">IF($E674="","",INDEX(进销存对接!$D$4:$D$305,224)&amp;" "&amp;TEXT($B674,"YYYY年M月")&amp;" 自动结转")</f>
        <v/>
      </c>
      <c r="E674" s="67" t="str">
        <f aca="false">IF(INDEX(进销存对接!$M$4:$U$305,224,4)=0,"",INDEX(进销存对接!$M$4:$U$305,224,4))</f>
        <v/>
      </c>
      <c r="F674" s="99" t="str">
        <f aca="false">IF($E674="","",IFERROR(INDEX(科目表!$A$4:$A$81,MATCH($E674,科目表!$B$4:$B$81,0)),""))</f>
        <v/>
      </c>
      <c r="G674" s="67" t="str">
        <f aca="false">IF($E674="","",IFERROR(INDEX(科目表!$E$4:$E$81,MATCH($E674,科目表!$B$4:$B$81,0)),""))</f>
        <v/>
      </c>
      <c r="H674" s="70" t="str">
        <f aca="false">IF($E674="","",N(INDEX(进销存对接!$M$4:$U$305,224,5)))</f>
        <v/>
      </c>
      <c r="I674" s="70" t="str">
        <f aca="false">IF($E674="","",N(INDEX(进销存对接!$M$4:$U$305,224,6)))</f>
        <v/>
      </c>
      <c r="J674" s="67"/>
      <c r="K674" s="67" t="str">
        <f aca="false">IF($E674="","",INDEX(进销存对接!$D$4:$D$305,224))</f>
        <v/>
      </c>
      <c r="L674" s="107"/>
      <c r="M674" s="107"/>
      <c r="N674" s="67" t="str">
        <f aca="false">IF($E674="","","系统")</f>
        <v/>
      </c>
      <c r="O674" s="67" t="str">
        <f aca="false">IF($E674="","","自动A")</f>
        <v/>
      </c>
      <c r="P674" s="18"/>
    </row>
    <row r="675" customFormat="false" ht="18" hidden="false" customHeight="true" outlineLevel="0" collapsed="false">
      <c r="A675" s="107" t="str">
        <f aca="false">IF($E675="","",ROW()-3)</f>
        <v/>
      </c>
      <c r="B675" s="110" t="str">
        <f aca="false">IF($E675="","",INDEX(进销存对接!$C$4:$C$305,224))</f>
        <v/>
      </c>
      <c r="C675" s="67" t="str">
        <f aca="false">IF($E675="","","记-"&amp;TEXT($B675,"YYYYMM")&amp;"-进销存")</f>
        <v/>
      </c>
      <c r="D675" s="107" t="str">
        <f aca="false">IF($E675="","",INDEX(进销存对接!$D$4:$D$305,224)&amp;" "&amp;TEXT($B675,"YYYY年M月")&amp;" 自动结转")</f>
        <v/>
      </c>
      <c r="E675" s="67" t="str">
        <f aca="false">IF(INDEX(进销存对接!$M$4:$U$305,224,7)=0,"",INDEX(进销存对接!$M$4:$U$305,224,7))</f>
        <v/>
      </c>
      <c r="F675" s="99" t="str">
        <f aca="false">IF($E675="","",IFERROR(INDEX(科目表!$A$4:$A$81,MATCH($E675,科目表!$B$4:$B$81,0)),""))</f>
        <v/>
      </c>
      <c r="G675" s="67" t="str">
        <f aca="false">IF($E675="","",IFERROR(INDEX(科目表!$E$4:$E$81,MATCH($E675,科目表!$B$4:$B$81,0)),""))</f>
        <v/>
      </c>
      <c r="H675" s="70" t="str">
        <f aca="false">IF($E675="","",N(INDEX(进销存对接!$M$4:$U$305,224,8)))</f>
        <v/>
      </c>
      <c r="I675" s="70" t="str">
        <f aca="false">IF($E675="","",N(INDEX(进销存对接!$M$4:$U$305,224,9)))</f>
        <v/>
      </c>
      <c r="J675" s="67"/>
      <c r="K675" s="67" t="str">
        <f aca="false">IF($E675="","",INDEX(进销存对接!$D$4:$D$305,224))</f>
        <v/>
      </c>
      <c r="L675" s="107"/>
      <c r="M675" s="107"/>
      <c r="N675" s="67" t="str">
        <f aca="false">IF($E675="","","系统")</f>
        <v/>
      </c>
      <c r="O675" s="67" t="str">
        <f aca="false">IF($E675="","","自动A")</f>
        <v/>
      </c>
      <c r="P675" s="18"/>
    </row>
    <row r="676" customFormat="false" ht="18" hidden="false" customHeight="true" outlineLevel="0" collapsed="false">
      <c r="A676" s="107" t="str">
        <f aca="false">IF($E676="","",ROW()-3)</f>
        <v/>
      </c>
      <c r="B676" s="110" t="str">
        <f aca="false">IF($E676="","",INDEX(进销存对接!$C$4:$C$305,225))</f>
        <v/>
      </c>
      <c r="C676" s="67" t="str">
        <f aca="false">IF($E676="","","记-"&amp;TEXT($B676,"YYYYMM")&amp;"-进销存")</f>
        <v/>
      </c>
      <c r="D676" s="107" t="str">
        <f aca="false">IF($E676="","",INDEX(进销存对接!$D$4:$D$305,225)&amp;" "&amp;TEXT($B676,"YYYY年M月")&amp;" 自动结转")</f>
        <v/>
      </c>
      <c r="E676" s="67" t="str">
        <f aca="false">IF(INDEX(进销存对接!$M$4:$U$305,225,1)=0,"",INDEX(进销存对接!$M$4:$U$305,225,1))</f>
        <v/>
      </c>
      <c r="F676" s="99" t="str">
        <f aca="false">IF($E676="","",IFERROR(INDEX(科目表!$A$4:$A$81,MATCH($E676,科目表!$B$4:$B$81,0)),""))</f>
        <v/>
      </c>
      <c r="G676" s="67" t="str">
        <f aca="false">IF($E676="","",IFERROR(INDEX(科目表!$E$4:$E$81,MATCH($E676,科目表!$B$4:$B$81,0)),""))</f>
        <v/>
      </c>
      <c r="H676" s="70" t="str">
        <f aca="false">IF($E676="","",N(INDEX(进销存对接!$M$4:$U$305,225,2)))</f>
        <v/>
      </c>
      <c r="I676" s="70" t="str">
        <f aca="false">IF($E676="","",N(INDEX(进销存对接!$M$4:$U$305,225,3)))</f>
        <v/>
      </c>
      <c r="J676" s="67"/>
      <c r="K676" s="67" t="str">
        <f aca="false">IF($E676="","",INDEX(进销存对接!$D$4:$D$305,225))</f>
        <v/>
      </c>
      <c r="L676" s="107"/>
      <c r="M676" s="107"/>
      <c r="N676" s="67" t="str">
        <f aca="false">IF($E676="","","系统")</f>
        <v/>
      </c>
      <c r="O676" s="67" t="str">
        <f aca="false">IF($E676="","","自动A")</f>
        <v/>
      </c>
      <c r="P676" s="18"/>
    </row>
    <row r="677" customFormat="false" ht="18" hidden="false" customHeight="true" outlineLevel="0" collapsed="false">
      <c r="A677" s="107" t="str">
        <f aca="false">IF($E677="","",ROW()-3)</f>
        <v/>
      </c>
      <c r="B677" s="110" t="str">
        <f aca="false">IF($E677="","",INDEX(进销存对接!$C$4:$C$305,225))</f>
        <v/>
      </c>
      <c r="C677" s="67" t="str">
        <f aca="false">IF($E677="","","记-"&amp;TEXT($B677,"YYYYMM")&amp;"-进销存")</f>
        <v/>
      </c>
      <c r="D677" s="107" t="str">
        <f aca="false">IF($E677="","",INDEX(进销存对接!$D$4:$D$305,225)&amp;" "&amp;TEXT($B677,"YYYY年M月")&amp;" 自动结转")</f>
        <v/>
      </c>
      <c r="E677" s="67" t="str">
        <f aca="false">IF(INDEX(进销存对接!$M$4:$U$305,225,4)=0,"",INDEX(进销存对接!$M$4:$U$305,225,4))</f>
        <v/>
      </c>
      <c r="F677" s="99" t="str">
        <f aca="false">IF($E677="","",IFERROR(INDEX(科目表!$A$4:$A$81,MATCH($E677,科目表!$B$4:$B$81,0)),""))</f>
        <v/>
      </c>
      <c r="G677" s="67" t="str">
        <f aca="false">IF($E677="","",IFERROR(INDEX(科目表!$E$4:$E$81,MATCH($E677,科目表!$B$4:$B$81,0)),""))</f>
        <v/>
      </c>
      <c r="H677" s="70" t="str">
        <f aca="false">IF($E677="","",N(INDEX(进销存对接!$M$4:$U$305,225,5)))</f>
        <v/>
      </c>
      <c r="I677" s="70" t="str">
        <f aca="false">IF($E677="","",N(INDEX(进销存对接!$M$4:$U$305,225,6)))</f>
        <v/>
      </c>
      <c r="J677" s="67"/>
      <c r="K677" s="67" t="str">
        <f aca="false">IF($E677="","",INDEX(进销存对接!$D$4:$D$305,225))</f>
        <v/>
      </c>
      <c r="L677" s="107"/>
      <c r="M677" s="107"/>
      <c r="N677" s="67" t="str">
        <f aca="false">IF($E677="","","系统")</f>
        <v/>
      </c>
      <c r="O677" s="67" t="str">
        <f aca="false">IF($E677="","","自动A")</f>
        <v/>
      </c>
      <c r="P677" s="18"/>
    </row>
    <row r="678" customFormat="false" ht="18" hidden="false" customHeight="true" outlineLevel="0" collapsed="false">
      <c r="A678" s="107" t="str">
        <f aca="false">IF($E678="","",ROW()-3)</f>
        <v/>
      </c>
      <c r="B678" s="110" t="str">
        <f aca="false">IF($E678="","",INDEX(进销存对接!$C$4:$C$305,225))</f>
        <v/>
      </c>
      <c r="C678" s="67" t="str">
        <f aca="false">IF($E678="","","记-"&amp;TEXT($B678,"YYYYMM")&amp;"-进销存")</f>
        <v/>
      </c>
      <c r="D678" s="107" t="str">
        <f aca="false">IF($E678="","",INDEX(进销存对接!$D$4:$D$305,225)&amp;" "&amp;TEXT($B678,"YYYY年M月")&amp;" 自动结转")</f>
        <v/>
      </c>
      <c r="E678" s="67" t="str">
        <f aca="false">IF(INDEX(进销存对接!$M$4:$U$305,225,7)=0,"",INDEX(进销存对接!$M$4:$U$305,225,7))</f>
        <v/>
      </c>
      <c r="F678" s="99" t="str">
        <f aca="false">IF($E678="","",IFERROR(INDEX(科目表!$A$4:$A$81,MATCH($E678,科目表!$B$4:$B$81,0)),""))</f>
        <v/>
      </c>
      <c r="G678" s="67" t="str">
        <f aca="false">IF($E678="","",IFERROR(INDEX(科目表!$E$4:$E$81,MATCH($E678,科目表!$B$4:$B$81,0)),""))</f>
        <v/>
      </c>
      <c r="H678" s="70" t="str">
        <f aca="false">IF($E678="","",N(INDEX(进销存对接!$M$4:$U$305,225,8)))</f>
        <v/>
      </c>
      <c r="I678" s="70" t="str">
        <f aca="false">IF($E678="","",N(INDEX(进销存对接!$M$4:$U$305,225,9)))</f>
        <v/>
      </c>
      <c r="J678" s="67"/>
      <c r="K678" s="67" t="str">
        <f aca="false">IF($E678="","",INDEX(进销存对接!$D$4:$D$305,225))</f>
        <v/>
      </c>
      <c r="L678" s="107"/>
      <c r="M678" s="107"/>
      <c r="N678" s="67" t="str">
        <f aca="false">IF($E678="","","系统")</f>
        <v/>
      </c>
      <c r="O678" s="67" t="str">
        <f aca="false">IF($E678="","","自动A")</f>
        <v/>
      </c>
      <c r="P678" s="18"/>
    </row>
    <row r="679" customFormat="false" ht="18" hidden="false" customHeight="true" outlineLevel="0" collapsed="false">
      <c r="A679" s="107" t="str">
        <f aca="false">IF($E679="","",ROW()-3)</f>
        <v/>
      </c>
      <c r="B679" s="110" t="str">
        <f aca="false">IF($E679="","",INDEX(进销存对接!$C$4:$C$305,226))</f>
        <v/>
      </c>
      <c r="C679" s="67" t="str">
        <f aca="false">IF($E679="","","记-"&amp;TEXT($B679,"YYYYMM")&amp;"-进销存")</f>
        <v/>
      </c>
      <c r="D679" s="107" t="str">
        <f aca="false">IF($E679="","",INDEX(进销存对接!$D$4:$D$305,226)&amp;" "&amp;TEXT($B679,"YYYY年M月")&amp;" 自动结转")</f>
        <v/>
      </c>
      <c r="E679" s="67" t="str">
        <f aca="false">IF(INDEX(进销存对接!$M$4:$U$305,226,1)=0,"",INDEX(进销存对接!$M$4:$U$305,226,1))</f>
        <v/>
      </c>
      <c r="F679" s="99" t="str">
        <f aca="false">IF($E679="","",IFERROR(INDEX(科目表!$A$4:$A$81,MATCH($E679,科目表!$B$4:$B$81,0)),""))</f>
        <v/>
      </c>
      <c r="G679" s="67" t="str">
        <f aca="false">IF($E679="","",IFERROR(INDEX(科目表!$E$4:$E$81,MATCH($E679,科目表!$B$4:$B$81,0)),""))</f>
        <v/>
      </c>
      <c r="H679" s="70" t="str">
        <f aca="false">IF($E679="","",N(INDEX(进销存对接!$M$4:$U$305,226,2)))</f>
        <v/>
      </c>
      <c r="I679" s="70" t="str">
        <f aca="false">IF($E679="","",N(INDEX(进销存对接!$M$4:$U$305,226,3)))</f>
        <v/>
      </c>
      <c r="J679" s="67"/>
      <c r="K679" s="67" t="str">
        <f aca="false">IF($E679="","",INDEX(进销存对接!$D$4:$D$305,226))</f>
        <v/>
      </c>
      <c r="L679" s="107"/>
      <c r="M679" s="107"/>
      <c r="N679" s="67" t="str">
        <f aca="false">IF($E679="","","系统")</f>
        <v/>
      </c>
      <c r="O679" s="67" t="str">
        <f aca="false">IF($E679="","","自动A")</f>
        <v/>
      </c>
      <c r="P679" s="18"/>
    </row>
    <row r="680" customFormat="false" ht="18" hidden="false" customHeight="true" outlineLevel="0" collapsed="false">
      <c r="A680" s="107" t="str">
        <f aca="false">IF($E680="","",ROW()-3)</f>
        <v/>
      </c>
      <c r="B680" s="110" t="str">
        <f aca="false">IF($E680="","",INDEX(进销存对接!$C$4:$C$305,226))</f>
        <v/>
      </c>
      <c r="C680" s="67" t="str">
        <f aca="false">IF($E680="","","记-"&amp;TEXT($B680,"YYYYMM")&amp;"-进销存")</f>
        <v/>
      </c>
      <c r="D680" s="107" t="str">
        <f aca="false">IF($E680="","",INDEX(进销存对接!$D$4:$D$305,226)&amp;" "&amp;TEXT($B680,"YYYY年M月")&amp;" 自动结转")</f>
        <v/>
      </c>
      <c r="E680" s="67" t="str">
        <f aca="false">IF(INDEX(进销存对接!$M$4:$U$305,226,4)=0,"",INDEX(进销存对接!$M$4:$U$305,226,4))</f>
        <v/>
      </c>
      <c r="F680" s="99" t="str">
        <f aca="false">IF($E680="","",IFERROR(INDEX(科目表!$A$4:$A$81,MATCH($E680,科目表!$B$4:$B$81,0)),""))</f>
        <v/>
      </c>
      <c r="G680" s="67" t="str">
        <f aca="false">IF($E680="","",IFERROR(INDEX(科目表!$E$4:$E$81,MATCH($E680,科目表!$B$4:$B$81,0)),""))</f>
        <v/>
      </c>
      <c r="H680" s="70" t="str">
        <f aca="false">IF($E680="","",N(INDEX(进销存对接!$M$4:$U$305,226,5)))</f>
        <v/>
      </c>
      <c r="I680" s="70" t="str">
        <f aca="false">IF($E680="","",N(INDEX(进销存对接!$M$4:$U$305,226,6)))</f>
        <v/>
      </c>
      <c r="J680" s="67"/>
      <c r="K680" s="67" t="str">
        <f aca="false">IF($E680="","",INDEX(进销存对接!$D$4:$D$305,226))</f>
        <v/>
      </c>
      <c r="L680" s="107"/>
      <c r="M680" s="107"/>
      <c r="N680" s="67" t="str">
        <f aca="false">IF($E680="","","系统")</f>
        <v/>
      </c>
      <c r="O680" s="67" t="str">
        <f aca="false">IF($E680="","","自动A")</f>
        <v/>
      </c>
      <c r="P680" s="18"/>
    </row>
    <row r="681" customFormat="false" ht="18" hidden="false" customHeight="true" outlineLevel="0" collapsed="false">
      <c r="A681" s="107" t="str">
        <f aca="false">IF($E681="","",ROW()-3)</f>
        <v/>
      </c>
      <c r="B681" s="110" t="str">
        <f aca="false">IF($E681="","",INDEX(进销存对接!$C$4:$C$305,226))</f>
        <v/>
      </c>
      <c r="C681" s="67" t="str">
        <f aca="false">IF($E681="","","记-"&amp;TEXT($B681,"YYYYMM")&amp;"-进销存")</f>
        <v/>
      </c>
      <c r="D681" s="107" t="str">
        <f aca="false">IF($E681="","",INDEX(进销存对接!$D$4:$D$305,226)&amp;" "&amp;TEXT($B681,"YYYY年M月")&amp;" 自动结转")</f>
        <v/>
      </c>
      <c r="E681" s="67" t="str">
        <f aca="false">IF(INDEX(进销存对接!$M$4:$U$305,226,7)=0,"",INDEX(进销存对接!$M$4:$U$305,226,7))</f>
        <v/>
      </c>
      <c r="F681" s="99" t="str">
        <f aca="false">IF($E681="","",IFERROR(INDEX(科目表!$A$4:$A$81,MATCH($E681,科目表!$B$4:$B$81,0)),""))</f>
        <v/>
      </c>
      <c r="G681" s="67" t="str">
        <f aca="false">IF($E681="","",IFERROR(INDEX(科目表!$E$4:$E$81,MATCH($E681,科目表!$B$4:$B$81,0)),""))</f>
        <v/>
      </c>
      <c r="H681" s="70" t="str">
        <f aca="false">IF($E681="","",N(INDEX(进销存对接!$M$4:$U$305,226,8)))</f>
        <v/>
      </c>
      <c r="I681" s="70" t="str">
        <f aca="false">IF($E681="","",N(INDEX(进销存对接!$M$4:$U$305,226,9)))</f>
        <v/>
      </c>
      <c r="J681" s="67"/>
      <c r="K681" s="67" t="str">
        <f aca="false">IF($E681="","",INDEX(进销存对接!$D$4:$D$305,226))</f>
        <v/>
      </c>
      <c r="L681" s="107"/>
      <c r="M681" s="107"/>
      <c r="N681" s="67" t="str">
        <f aca="false">IF($E681="","","系统")</f>
        <v/>
      </c>
      <c r="O681" s="67" t="str">
        <f aca="false">IF($E681="","","自动A")</f>
        <v/>
      </c>
      <c r="P681" s="18"/>
    </row>
    <row r="682" customFormat="false" ht="18" hidden="false" customHeight="true" outlineLevel="0" collapsed="false">
      <c r="A682" s="107" t="str">
        <f aca="false">IF($E682="","",ROW()-3)</f>
        <v/>
      </c>
      <c r="B682" s="110" t="str">
        <f aca="false">IF($E682="","",INDEX(进销存对接!$C$4:$C$305,227))</f>
        <v/>
      </c>
      <c r="C682" s="67" t="str">
        <f aca="false">IF($E682="","","记-"&amp;TEXT($B682,"YYYYMM")&amp;"-进销存")</f>
        <v/>
      </c>
      <c r="D682" s="107" t="str">
        <f aca="false">IF($E682="","",INDEX(进销存对接!$D$4:$D$305,227)&amp;" "&amp;TEXT($B682,"YYYY年M月")&amp;" 自动结转")</f>
        <v/>
      </c>
      <c r="E682" s="67" t="str">
        <f aca="false">IF(INDEX(进销存对接!$M$4:$U$305,227,1)=0,"",INDEX(进销存对接!$M$4:$U$305,227,1))</f>
        <v/>
      </c>
      <c r="F682" s="99" t="str">
        <f aca="false">IF($E682="","",IFERROR(INDEX(科目表!$A$4:$A$81,MATCH($E682,科目表!$B$4:$B$81,0)),""))</f>
        <v/>
      </c>
      <c r="G682" s="67" t="str">
        <f aca="false">IF($E682="","",IFERROR(INDEX(科目表!$E$4:$E$81,MATCH($E682,科目表!$B$4:$B$81,0)),""))</f>
        <v/>
      </c>
      <c r="H682" s="70" t="str">
        <f aca="false">IF($E682="","",N(INDEX(进销存对接!$M$4:$U$305,227,2)))</f>
        <v/>
      </c>
      <c r="I682" s="70" t="str">
        <f aca="false">IF($E682="","",N(INDEX(进销存对接!$M$4:$U$305,227,3)))</f>
        <v/>
      </c>
      <c r="J682" s="67"/>
      <c r="K682" s="67" t="str">
        <f aca="false">IF($E682="","",INDEX(进销存对接!$D$4:$D$305,227))</f>
        <v/>
      </c>
      <c r="L682" s="107"/>
      <c r="M682" s="107"/>
      <c r="N682" s="67" t="str">
        <f aca="false">IF($E682="","","系统")</f>
        <v/>
      </c>
      <c r="O682" s="67" t="str">
        <f aca="false">IF($E682="","","自动A")</f>
        <v/>
      </c>
      <c r="P682" s="18"/>
    </row>
    <row r="683" customFormat="false" ht="18" hidden="false" customHeight="true" outlineLevel="0" collapsed="false">
      <c r="A683" s="107" t="str">
        <f aca="false">IF($E683="","",ROW()-3)</f>
        <v/>
      </c>
      <c r="B683" s="110" t="str">
        <f aca="false">IF($E683="","",INDEX(进销存对接!$C$4:$C$305,227))</f>
        <v/>
      </c>
      <c r="C683" s="67" t="str">
        <f aca="false">IF($E683="","","记-"&amp;TEXT($B683,"YYYYMM")&amp;"-进销存")</f>
        <v/>
      </c>
      <c r="D683" s="107" t="str">
        <f aca="false">IF($E683="","",INDEX(进销存对接!$D$4:$D$305,227)&amp;" "&amp;TEXT($B683,"YYYY年M月")&amp;" 自动结转")</f>
        <v/>
      </c>
      <c r="E683" s="67" t="str">
        <f aca="false">IF(INDEX(进销存对接!$M$4:$U$305,227,4)=0,"",INDEX(进销存对接!$M$4:$U$305,227,4))</f>
        <v/>
      </c>
      <c r="F683" s="99" t="str">
        <f aca="false">IF($E683="","",IFERROR(INDEX(科目表!$A$4:$A$81,MATCH($E683,科目表!$B$4:$B$81,0)),""))</f>
        <v/>
      </c>
      <c r="G683" s="67" t="str">
        <f aca="false">IF($E683="","",IFERROR(INDEX(科目表!$E$4:$E$81,MATCH($E683,科目表!$B$4:$B$81,0)),""))</f>
        <v/>
      </c>
      <c r="H683" s="70" t="str">
        <f aca="false">IF($E683="","",N(INDEX(进销存对接!$M$4:$U$305,227,5)))</f>
        <v/>
      </c>
      <c r="I683" s="70" t="str">
        <f aca="false">IF($E683="","",N(INDEX(进销存对接!$M$4:$U$305,227,6)))</f>
        <v/>
      </c>
      <c r="J683" s="67"/>
      <c r="K683" s="67" t="str">
        <f aca="false">IF($E683="","",INDEX(进销存对接!$D$4:$D$305,227))</f>
        <v/>
      </c>
      <c r="L683" s="107"/>
      <c r="M683" s="107"/>
      <c r="N683" s="67" t="str">
        <f aca="false">IF($E683="","","系统")</f>
        <v/>
      </c>
      <c r="O683" s="67" t="str">
        <f aca="false">IF($E683="","","自动A")</f>
        <v/>
      </c>
      <c r="P683" s="18"/>
    </row>
    <row r="684" customFormat="false" ht="18" hidden="false" customHeight="true" outlineLevel="0" collapsed="false">
      <c r="A684" s="107" t="str">
        <f aca="false">IF($E684="","",ROW()-3)</f>
        <v/>
      </c>
      <c r="B684" s="110" t="str">
        <f aca="false">IF($E684="","",INDEX(进销存对接!$C$4:$C$305,227))</f>
        <v/>
      </c>
      <c r="C684" s="67" t="str">
        <f aca="false">IF($E684="","","记-"&amp;TEXT($B684,"YYYYMM")&amp;"-进销存")</f>
        <v/>
      </c>
      <c r="D684" s="107" t="str">
        <f aca="false">IF($E684="","",INDEX(进销存对接!$D$4:$D$305,227)&amp;" "&amp;TEXT($B684,"YYYY年M月")&amp;" 自动结转")</f>
        <v/>
      </c>
      <c r="E684" s="67" t="str">
        <f aca="false">IF(INDEX(进销存对接!$M$4:$U$305,227,7)=0,"",INDEX(进销存对接!$M$4:$U$305,227,7))</f>
        <v/>
      </c>
      <c r="F684" s="99" t="str">
        <f aca="false">IF($E684="","",IFERROR(INDEX(科目表!$A$4:$A$81,MATCH($E684,科目表!$B$4:$B$81,0)),""))</f>
        <v/>
      </c>
      <c r="G684" s="67" t="str">
        <f aca="false">IF($E684="","",IFERROR(INDEX(科目表!$E$4:$E$81,MATCH($E684,科目表!$B$4:$B$81,0)),""))</f>
        <v/>
      </c>
      <c r="H684" s="70" t="str">
        <f aca="false">IF($E684="","",N(INDEX(进销存对接!$M$4:$U$305,227,8)))</f>
        <v/>
      </c>
      <c r="I684" s="70" t="str">
        <f aca="false">IF($E684="","",N(INDEX(进销存对接!$M$4:$U$305,227,9)))</f>
        <v/>
      </c>
      <c r="J684" s="67"/>
      <c r="K684" s="67" t="str">
        <f aca="false">IF($E684="","",INDEX(进销存对接!$D$4:$D$305,227))</f>
        <v/>
      </c>
      <c r="L684" s="107"/>
      <c r="M684" s="107"/>
      <c r="N684" s="67" t="str">
        <f aca="false">IF($E684="","","系统")</f>
        <v/>
      </c>
      <c r="O684" s="67" t="str">
        <f aca="false">IF($E684="","","自动A")</f>
        <v/>
      </c>
      <c r="P684" s="18"/>
    </row>
    <row r="685" customFormat="false" ht="18" hidden="false" customHeight="true" outlineLevel="0" collapsed="false">
      <c r="A685" s="107" t="str">
        <f aca="false">IF($E685="","",ROW()-3)</f>
        <v/>
      </c>
      <c r="B685" s="110" t="str">
        <f aca="false">IF($E685="","",INDEX(进销存对接!$C$4:$C$305,228))</f>
        <v/>
      </c>
      <c r="C685" s="67" t="str">
        <f aca="false">IF($E685="","","记-"&amp;TEXT($B685,"YYYYMM")&amp;"-进销存")</f>
        <v/>
      </c>
      <c r="D685" s="107" t="str">
        <f aca="false">IF($E685="","",INDEX(进销存对接!$D$4:$D$305,228)&amp;" "&amp;TEXT($B685,"YYYY年M月")&amp;" 自动结转")</f>
        <v/>
      </c>
      <c r="E685" s="67" t="str">
        <f aca="false">IF(INDEX(进销存对接!$M$4:$U$305,228,1)=0,"",INDEX(进销存对接!$M$4:$U$305,228,1))</f>
        <v/>
      </c>
      <c r="F685" s="99" t="str">
        <f aca="false">IF($E685="","",IFERROR(INDEX(科目表!$A$4:$A$81,MATCH($E685,科目表!$B$4:$B$81,0)),""))</f>
        <v/>
      </c>
      <c r="G685" s="67" t="str">
        <f aca="false">IF($E685="","",IFERROR(INDEX(科目表!$E$4:$E$81,MATCH($E685,科目表!$B$4:$B$81,0)),""))</f>
        <v/>
      </c>
      <c r="H685" s="70" t="str">
        <f aca="false">IF($E685="","",N(INDEX(进销存对接!$M$4:$U$305,228,2)))</f>
        <v/>
      </c>
      <c r="I685" s="70" t="str">
        <f aca="false">IF($E685="","",N(INDEX(进销存对接!$M$4:$U$305,228,3)))</f>
        <v/>
      </c>
      <c r="J685" s="67"/>
      <c r="K685" s="67" t="str">
        <f aca="false">IF($E685="","",INDEX(进销存对接!$D$4:$D$305,228))</f>
        <v/>
      </c>
      <c r="L685" s="107"/>
      <c r="M685" s="107"/>
      <c r="N685" s="67" t="str">
        <f aca="false">IF($E685="","","系统")</f>
        <v/>
      </c>
      <c r="O685" s="67" t="str">
        <f aca="false">IF($E685="","","自动A")</f>
        <v/>
      </c>
      <c r="P685" s="18"/>
    </row>
    <row r="686" customFormat="false" ht="18" hidden="false" customHeight="true" outlineLevel="0" collapsed="false">
      <c r="A686" s="107" t="str">
        <f aca="false">IF($E686="","",ROW()-3)</f>
        <v/>
      </c>
      <c r="B686" s="110" t="str">
        <f aca="false">IF($E686="","",INDEX(进销存对接!$C$4:$C$305,228))</f>
        <v/>
      </c>
      <c r="C686" s="67" t="str">
        <f aca="false">IF($E686="","","记-"&amp;TEXT($B686,"YYYYMM")&amp;"-进销存")</f>
        <v/>
      </c>
      <c r="D686" s="107" t="str">
        <f aca="false">IF($E686="","",INDEX(进销存对接!$D$4:$D$305,228)&amp;" "&amp;TEXT($B686,"YYYY年M月")&amp;" 自动结转")</f>
        <v/>
      </c>
      <c r="E686" s="67" t="str">
        <f aca="false">IF(INDEX(进销存对接!$M$4:$U$305,228,4)=0,"",INDEX(进销存对接!$M$4:$U$305,228,4))</f>
        <v/>
      </c>
      <c r="F686" s="99" t="str">
        <f aca="false">IF($E686="","",IFERROR(INDEX(科目表!$A$4:$A$81,MATCH($E686,科目表!$B$4:$B$81,0)),""))</f>
        <v/>
      </c>
      <c r="G686" s="67" t="str">
        <f aca="false">IF($E686="","",IFERROR(INDEX(科目表!$E$4:$E$81,MATCH($E686,科目表!$B$4:$B$81,0)),""))</f>
        <v/>
      </c>
      <c r="H686" s="70" t="str">
        <f aca="false">IF($E686="","",N(INDEX(进销存对接!$M$4:$U$305,228,5)))</f>
        <v/>
      </c>
      <c r="I686" s="70" t="str">
        <f aca="false">IF($E686="","",N(INDEX(进销存对接!$M$4:$U$305,228,6)))</f>
        <v/>
      </c>
      <c r="J686" s="67"/>
      <c r="K686" s="67" t="str">
        <f aca="false">IF($E686="","",INDEX(进销存对接!$D$4:$D$305,228))</f>
        <v/>
      </c>
      <c r="L686" s="107"/>
      <c r="M686" s="107"/>
      <c r="N686" s="67" t="str">
        <f aca="false">IF($E686="","","系统")</f>
        <v/>
      </c>
      <c r="O686" s="67" t="str">
        <f aca="false">IF($E686="","","自动A")</f>
        <v/>
      </c>
      <c r="P686" s="18"/>
    </row>
    <row r="687" customFormat="false" ht="18" hidden="false" customHeight="true" outlineLevel="0" collapsed="false">
      <c r="A687" s="107" t="str">
        <f aca="false">IF($E687="","",ROW()-3)</f>
        <v/>
      </c>
      <c r="B687" s="110" t="str">
        <f aca="false">IF($E687="","",INDEX(进销存对接!$C$4:$C$305,228))</f>
        <v/>
      </c>
      <c r="C687" s="67" t="str">
        <f aca="false">IF($E687="","","记-"&amp;TEXT($B687,"YYYYMM")&amp;"-进销存")</f>
        <v/>
      </c>
      <c r="D687" s="107" t="str">
        <f aca="false">IF($E687="","",INDEX(进销存对接!$D$4:$D$305,228)&amp;" "&amp;TEXT($B687,"YYYY年M月")&amp;" 自动结转")</f>
        <v/>
      </c>
      <c r="E687" s="67" t="str">
        <f aca="false">IF(INDEX(进销存对接!$M$4:$U$305,228,7)=0,"",INDEX(进销存对接!$M$4:$U$305,228,7))</f>
        <v/>
      </c>
      <c r="F687" s="99" t="str">
        <f aca="false">IF($E687="","",IFERROR(INDEX(科目表!$A$4:$A$81,MATCH($E687,科目表!$B$4:$B$81,0)),""))</f>
        <v/>
      </c>
      <c r="G687" s="67" t="str">
        <f aca="false">IF($E687="","",IFERROR(INDEX(科目表!$E$4:$E$81,MATCH($E687,科目表!$B$4:$B$81,0)),""))</f>
        <v/>
      </c>
      <c r="H687" s="70" t="str">
        <f aca="false">IF($E687="","",N(INDEX(进销存对接!$M$4:$U$305,228,8)))</f>
        <v/>
      </c>
      <c r="I687" s="70" t="str">
        <f aca="false">IF($E687="","",N(INDEX(进销存对接!$M$4:$U$305,228,9)))</f>
        <v/>
      </c>
      <c r="J687" s="67"/>
      <c r="K687" s="67" t="str">
        <f aca="false">IF($E687="","",INDEX(进销存对接!$D$4:$D$305,228))</f>
        <v/>
      </c>
      <c r="L687" s="107"/>
      <c r="M687" s="107"/>
      <c r="N687" s="67" t="str">
        <f aca="false">IF($E687="","","系统")</f>
        <v/>
      </c>
      <c r="O687" s="67" t="str">
        <f aca="false">IF($E687="","","自动A")</f>
        <v/>
      </c>
      <c r="P687" s="18"/>
    </row>
    <row r="688" customFormat="false" ht="18" hidden="false" customHeight="true" outlineLevel="0" collapsed="false">
      <c r="A688" s="107" t="str">
        <f aca="false">IF($E688="","",ROW()-3)</f>
        <v/>
      </c>
      <c r="B688" s="110" t="str">
        <f aca="false">IF($E688="","",INDEX(进销存对接!$C$4:$C$305,229))</f>
        <v/>
      </c>
      <c r="C688" s="67" t="str">
        <f aca="false">IF($E688="","","记-"&amp;TEXT($B688,"YYYYMM")&amp;"-进销存")</f>
        <v/>
      </c>
      <c r="D688" s="107" t="str">
        <f aca="false">IF($E688="","",INDEX(进销存对接!$D$4:$D$305,229)&amp;" "&amp;TEXT($B688,"YYYY年M月")&amp;" 自动结转")</f>
        <v/>
      </c>
      <c r="E688" s="67" t="str">
        <f aca="false">IF(INDEX(进销存对接!$M$4:$U$305,229,1)=0,"",INDEX(进销存对接!$M$4:$U$305,229,1))</f>
        <v/>
      </c>
      <c r="F688" s="99" t="str">
        <f aca="false">IF($E688="","",IFERROR(INDEX(科目表!$A$4:$A$81,MATCH($E688,科目表!$B$4:$B$81,0)),""))</f>
        <v/>
      </c>
      <c r="G688" s="67" t="str">
        <f aca="false">IF($E688="","",IFERROR(INDEX(科目表!$E$4:$E$81,MATCH($E688,科目表!$B$4:$B$81,0)),""))</f>
        <v/>
      </c>
      <c r="H688" s="70" t="str">
        <f aca="false">IF($E688="","",N(INDEX(进销存对接!$M$4:$U$305,229,2)))</f>
        <v/>
      </c>
      <c r="I688" s="70" t="str">
        <f aca="false">IF($E688="","",N(INDEX(进销存对接!$M$4:$U$305,229,3)))</f>
        <v/>
      </c>
      <c r="J688" s="67"/>
      <c r="K688" s="67" t="str">
        <f aca="false">IF($E688="","",INDEX(进销存对接!$D$4:$D$305,229))</f>
        <v/>
      </c>
      <c r="L688" s="107"/>
      <c r="M688" s="107"/>
      <c r="N688" s="67" t="str">
        <f aca="false">IF($E688="","","系统")</f>
        <v/>
      </c>
      <c r="O688" s="67" t="str">
        <f aca="false">IF($E688="","","自动A")</f>
        <v/>
      </c>
      <c r="P688" s="18"/>
    </row>
    <row r="689" customFormat="false" ht="18" hidden="false" customHeight="true" outlineLevel="0" collapsed="false">
      <c r="A689" s="107" t="str">
        <f aca="false">IF($E689="","",ROW()-3)</f>
        <v/>
      </c>
      <c r="B689" s="110" t="str">
        <f aca="false">IF($E689="","",INDEX(进销存对接!$C$4:$C$305,229))</f>
        <v/>
      </c>
      <c r="C689" s="67" t="str">
        <f aca="false">IF($E689="","","记-"&amp;TEXT($B689,"YYYYMM")&amp;"-进销存")</f>
        <v/>
      </c>
      <c r="D689" s="107" t="str">
        <f aca="false">IF($E689="","",INDEX(进销存对接!$D$4:$D$305,229)&amp;" "&amp;TEXT($B689,"YYYY年M月")&amp;" 自动结转")</f>
        <v/>
      </c>
      <c r="E689" s="67" t="str">
        <f aca="false">IF(INDEX(进销存对接!$M$4:$U$305,229,4)=0,"",INDEX(进销存对接!$M$4:$U$305,229,4))</f>
        <v/>
      </c>
      <c r="F689" s="99" t="str">
        <f aca="false">IF($E689="","",IFERROR(INDEX(科目表!$A$4:$A$81,MATCH($E689,科目表!$B$4:$B$81,0)),""))</f>
        <v/>
      </c>
      <c r="G689" s="67" t="str">
        <f aca="false">IF($E689="","",IFERROR(INDEX(科目表!$E$4:$E$81,MATCH($E689,科目表!$B$4:$B$81,0)),""))</f>
        <v/>
      </c>
      <c r="H689" s="70" t="str">
        <f aca="false">IF($E689="","",N(INDEX(进销存对接!$M$4:$U$305,229,5)))</f>
        <v/>
      </c>
      <c r="I689" s="70" t="str">
        <f aca="false">IF($E689="","",N(INDEX(进销存对接!$M$4:$U$305,229,6)))</f>
        <v/>
      </c>
      <c r="J689" s="67"/>
      <c r="K689" s="67" t="str">
        <f aca="false">IF($E689="","",INDEX(进销存对接!$D$4:$D$305,229))</f>
        <v/>
      </c>
      <c r="L689" s="107"/>
      <c r="M689" s="107"/>
      <c r="N689" s="67" t="str">
        <f aca="false">IF($E689="","","系统")</f>
        <v/>
      </c>
      <c r="O689" s="67" t="str">
        <f aca="false">IF($E689="","","自动A")</f>
        <v/>
      </c>
      <c r="P689" s="18"/>
    </row>
    <row r="690" customFormat="false" ht="18" hidden="false" customHeight="true" outlineLevel="0" collapsed="false">
      <c r="A690" s="107" t="str">
        <f aca="false">IF($E690="","",ROW()-3)</f>
        <v/>
      </c>
      <c r="B690" s="110" t="str">
        <f aca="false">IF($E690="","",INDEX(进销存对接!$C$4:$C$305,229))</f>
        <v/>
      </c>
      <c r="C690" s="67" t="str">
        <f aca="false">IF($E690="","","记-"&amp;TEXT($B690,"YYYYMM")&amp;"-进销存")</f>
        <v/>
      </c>
      <c r="D690" s="107" t="str">
        <f aca="false">IF($E690="","",INDEX(进销存对接!$D$4:$D$305,229)&amp;" "&amp;TEXT($B690,"YYYY年M月")&amp;" 自动结转")</f>
        <v/>
      </c>
      <c r="E690" s="67" t="str">
        <f aca="false">IF(INDEX(进销存对接!$M$4:$U$305,229,7)=0,"",INDEX(进销存对接!$M$4:$U$305,229,7))</f>
        <v/>
      </c>
      <c r="F690" s="99" t="str">
        <f aca="false">IF($E690="","",IFERROR(INDEX(科目表!$A$4:$A$81,MATCH($E690,科目表!$B$4:$B$81,0)),""))</f>
        <v/>
      </c>
      <c r="G690" s="67" t="str">
        <f aca="false">IF($E690="","",IFERROR(INDEX(科目表!$E$4:$E$81,MATCH($E690,科目表!$B$4:$B$81,0)),""))</f>
        <v/>
      </c>
      <c r="H690" s="70" t="str">
        <f aca="false">IF($E690="","",N(INDEX(进销存对接!$M$4:$U$305,229,8)))</f>
        <v/>
      </c>
      <c r="I690" s="70" t="str">
        <f aca="false">IF($E690="","",N(INDEX(进销存对接!$M$4:$U$305,229,9)))</f>
        <v/>
      </c>
      <c r="J690" s="67"/>
      <c r="K690" s="67" t="str">
        <f aca="false">IF($E690="","",INDEX(进销存对接!$D$4:$D$305,229))</f>
        <v/>
      </c>
      <c r="L690" s="107"/>
      <c r="M690" s="107"/>
      <c r="N690" s="67" t="str">
        <f aca="false">IF($E690="","","系统")</f>
        <v/>
      </c>
      <c r="O690" s="67" t="str">
        <f aca="false">IF($E690="","","自动A")</f>
        <v/>
      </c>
      <c r="P690" s="18"/>
    </row>
    <row r="691" customFormat="false" ht="18" hidden="false" customHeight="true" outlineLevel="0" collapsed="false">
      <c r="A691" s="107" t="str">
        <f aca="false">IF($E691="","",ROW()-3)</f>
        <v/>
      </c>
      <c r="B691" s="110" t="str">
        <f aca="false">IF($E691="","",INDEX(进销存对接!$C$4:$C$305,230))</f>
        <v/>
      </c>
      <c r="C691" s="67" t="str">
        <f aca="false">IF($E691="","","记-"&amp;TEXT($B691,"YYYYMM")&amp;"-进销存")</f>
        <v/>
      </c>
      <c r="D691" s="107" t="str">
        <f aca="false">IF($E691="","",INDEX(进销存对接!$D$4:$D$305,230)&amp;" "&amp;TEXT($B691,"YYYY年M月")&amp;" 自动结转")</f>
        <v/>
      </c>
      <c r="E691" s="67" t="str">
        <f aca="false">IF(INDEX(进销存对接!$M$4:$U$305,230,1)=0,"",INDEX(进销存对接!$M$4:$U$305,230,1))</f>
        <v/>
      </c>
      <c r="F691" s="99" t="str">
        <f aca="false">IF($E691="","",IFERROR(INDEX(科目表!$A$4:$A$81,MATCH($E691,科目表!$B$4:$B$81,0)),""))</f>
        <v/>
      </c>
      <c r="G691" s="67" t="str">
        <f aca="false">IF($E691="","",IFERROR(INDEX(科目表!$E$4:$E$81,MATCH($E691,科目表!$B$4:$B$81,0)),""))</f>
        <v/>
      </c>
      <c r="H691" s="70" t="str">
        <f aca="false">IF($E691="","",N(INDEX(进销存对接!$M$4:$U$305,230,2)))</f>
        <v/>
      </c>
      <c r="I691" s="70" t="str">
        <f aca="false">IF($E691="","",N(INDEX(进销存对接!$M$4:$U$305,230,3)))</f>
        <v/>
      </c>
      <c r="J691" s="67"/>
      <c r="K691" s="67" t="str">
        <f aca="false">IF($E691="","",INDEX(进销存对接!$D$4:$D$305,230))</f>
        <v/>
      </c>
      <c r="L691" s="107"/>
      <c r="M691" s="107"/>
      <c r="N691" s="67" t="str">
        <f aca="false">IF($E691="","","系统")</f>
        <v/>
      </c>
      <c r="O691" s="67" t="str">
        <f aca="false">IF($E691="","","自动A")</f>
        <v/>
      </c>
      <c r="P691" s="18"/>
    </row>
    <row r="692" customFormat="false" ht="18" hidden="false" customHeight="true" outlineLevel="0" collapsed="false">
      <c r="A692" s="107" t="str">
        <f aca="false">IF($E692="","",ROW()-3)</f>
        <v/>
      </c>
      <c r="B692" s="110" t="str">
        <f aca="false">IF($E692="","",INDEX(进销存对接!$C$4:$C$305,230))</f>
        <v/>
      </c>
      <c r="C692" s="67" t="str">
        <f aca="false">IF($E692="","","记-"&amp;TEXT($B692,"YYYYMM")&amp;"-进销存")</f>
        <v/>
      </c>
      <c r="D692" s="107" t="str">
        <f aca="false">IF($E692="","",INDEX(进销存对接!$D$4:$D$305,230)&amp;" "&amp;TEXT($B692,"YYYY年M月")&amp;" 自动结转")</f>
        <v/>
      </c>
      <c r="E692" s="67" t="str">
        <f aca="false">IF(INDEX(进销存对接!$M$4:$U$305,230,4)=0,"",INDEX(进销存对接!$M$4:$U$305,230,4))</f>
        <v/>
      </c>
      <c r="F692" s="99" t="str">
        <f aca="false">IF($E692="","",IFERROR(INDEX(科目表!$A$4:$A$81,MATCH($E692,科目表!$B$4:$B$81,0)),""))</f>
        <v/>
      </c>
      <c r="G692" s="67" t="str">
        <f aca="false">IF($E692="","",IFERROR(INDEX(科目表!$E$4:$E$81,MATCH($E692,科目表!$B$4:$B$81,0)),""))</f>
        <v/>
      </c>
      <c r="H692" s="70" t="str">
        <f aca="false">IF($E692="","",N(INDEX(进销存对接!$M$4:$U$305,230,5)))</f>
        <v/>
      </c>
      <c r="I692" s="70" t="str">
        <f aca="false">IF($E692="","",N(INDEX(进销存对接!$M$4:$U$305,230,6)))</f>
        <v/>
      </c>
      <c r="J692" s="67"/>
      <c r="K692" s="67" t="str">
        <f aca="false">IF($E692="","",INDEX(进销存对接!$D$4:$D$305,230))</f>
        <v/>
      </c>
      <c r="L692" s="107"/>
      <c r="M692" s="107"/>
      <c r="N692" s="67" t="str">
        <f aca="false">IF($E692="","","系统")</f>
        <v/>
      </c>
      <c r="O692" s="67" t="str">
        <f aca="false">IF($E692="","","自动A")</f>
        <v/>
      </c>
      <c r="P692" s="18"/>
    </row>
    <row r="693" customFormat="false" ht="18" hidden="false" customHeight="true" outlineLevel="0" collapsed="false">
      <c r="A693" s="107" t="str">
        <f aca="false">IF($E693="","",ROW()-3)</f>
        <v/>
      </c>
      <c r="B693" s="110" t="str">
        <f aca="false">IF($E693="","",INDEX(进销存对接!$C$4:$C$305,230))</f>
        <v/>
      </c>
      <c r="C693" s="67" t="str">
        <f aca="false">IF($E693="","","记-"&amp;TEXT($B693,"YYYYMM")&amp;"-进销存")</f>
        <v/>
      </c>
      <c r="D693" s="107" t="str">
        <f aca="false">IF($E693="","",INDEX(进销存对接!$D$4:$D$305,230)&amp;" "&amp;TEXT($B693,"YYYY年M月")&amp;" 自动结转")</f>
        <v/>
      </c>
      <c r="E693" s="67" t="str">
        <f aca="false">IF(INDEX(进销存对接!$M$4:$U$305,230,7)=0,"",INDEX(进销存对接!$M$4:$U$305,230,7))</f>
        <v/>
      </c>
      <c r="F693" s="99" t="str">
        <f aca="false">IF($E693="","",IFERROR(INDEX(科目表!$A$4:$A$81,MATCH($E693,科目表!$B$4:$B$81,0)),""))</f>
        <v/>
      </c>
      <c r="G693" s="67" t="str">
        <f aca="false">IF($E693="","",IFERROR(INDEX(科目表!$E$4:$E$81,MATCH($E693,科目表!$B$4:$B$81,0)),""))</f>
        <v/>
      </c>
      <c r="H693" s="70" t="str">
        <f aca="false">IF($E693="","",N(INDEX(进销存对接!$M$4:$U$305,230,8)))</f>
        <v/>
      </c>
      <c r="I693" s="70" t="str">
        <f aca="false">IF($E693="","",N(INDEX(进销存对接!$M$4:$U$305,230,9)))</f>
        <v/>
      </c>
      <c r="J693" s="67"/>
      <c r="K693" s="67" t="str">
        <f aca="false">IF($E693="","",INDEX(进销存对接!$D$4:$D$305,230))</f>
        <v/>
      </c>
      <c r="L693" s="107"/>
      <c r="M693" s="107"/>
      <c r="N693" s="67" t="str">
        <f aca="false">IF($E693="","","系统")</f>
        <v/>
      </c>
      <c r="O693" s="67" t="str">
        <f aca="false">IF($E693="","","自动A")</f>
        <v/>
      </c>
      <c r="P693" s="18"/>
    </row>
    <row r="694" customFormat="false" ht="18" hidden="false" customHeight="true" outlineLevel="0" collapsed="false">
      <c r="A694" s="107" t="str">
        <f aca="false">IF($E694="","",ROW()-3)</f>
        <v/>
      </c>
      <c r="B694" s="110" t="str">
        <f aca="false">IF($E694="","",INDEX(进销存对接!$C$4:$C$305,231))</f>
        <v/>
      </c>
      <c r="C694" s="67" t="str">
        <f aca="false">IF($E694="","","记-"&amp;TEXT($B694,"YYYYMM")&amp;"-进销存")</f>
        <v/>
      </c>
      <c r="D694" s="107" t="str">
        <f aca="false">IF($E694="","",INDEX(进销存对接!$D$4:$D$305,231)&amp;" "&amp;TEXT($B694,"YYYY年M月")&amp;" 自动结转")</f>
        <v/>
      </c>
      <c r="E694" s="67" t="str">
        <f aca="false">IF(INDEX(进销存对接!$M$4:$U$305,231,1)=0,"",INDEX(进销存对接!$M$4:$U$305,231,1))</f>
        <v/>
      </c>
      <c r="F694" s="99" t="str">
        <f aca="false">IF($E694="","",IFERROR(INDEX(科目表!$A$4:$A$81,MATCH($E694,科目表!$B$4:$B$81,0)),""))</f>
        <v/>
      </c>
      <c r="G694" s="67" t="str">
        <f aca="false">IF($E694="","",IFERROR(INDEX(科目表!$E$4:$E$81,MATCH($E694,科目表!$B$4:$B$81,0)),""))</f>
        <v/>
      </c>
      <c r="H694" s="70" t="str">
        <f aca="false">IF($E694="","",N(INDEX(进销存对接!$M$4:$U$305,231,2)))</f>
        <v/>
      </c>
      <c r="I694" s="70" t="str">
        <f aca="false">IF($E694="","",N(INDEX(进销存对接!$M$4:$U$305,231,3)))</f>
        <v/>
      </c>
      <c r="J694" s="67"/>
      <c r="K694" s="67" t="str">
        <f aca="false">IF($E694="","",INDEX(进销存对接!$D$4:$D$305,231))</f>
        <v/>
      </c>
      <c r="L694" s="107"/>
      <c r="M694" s="107"/>
      <c r="N694" s="67" t="str">
        <f aca="false">IF($E694="","","系统")</f>
        <v/>
      </c>
      <c r="O694" s="67" t="str">
        <f aca="false">IF($E694="","","自动A")</f>
        <v/>
      </c>
      <c r="P694" s="18"/>
    </row>
    <row r="695" customFormat="false" ht="18" hidden="false" customHeight="true" outlineLevel="0" collapsed="false">
      <c r="A695" s="107" t="str">
        <f aca="false">IF($E695="","",ROW()-3)</f>
        <v/>
      </c>
      <c r="B695" s="110" t="str">
        <f aca="false">IF($E695="","",INDEX(进销存对接!$C$4:$C$305,231))</f>
        <v/>
      </c>
      <c r="C695" s="67" t="str">
        <f aca="false">IF($E695="","","记-"&amp;TEXT($B695,"YYYYMM")&amp;"-进销存")</f>
        <v/>
      </c>
      <c r="D695" s="107" t="str">
        <f aca="false">IF($E695="","",INDEX(进销存对接!$D$4:$D$305,231)&amp;" "&amp;TEXT($B695,"YYYY年M月")&amp;" 自动结转")</f>
        <v/>
      </c>
      <c r="E695" s="67" t="str">
        <f aca="false">IF(INDEX(进销存对接!$M$4:$U$305,231,4)=0,"",INDEX(进销存对接!$M$4:$U$305,231,4))</f>
        <v/>
      </c>
      <c r="F695" s="99" t="str">
        <f aca="false">IF($E695="","",IFERROR(INDEX(科目表!$A$4:$A$81,MATCH($E695,科目表!$B$4:$B$81,0)),""))</f>
        <v/>
      </c>
      <c r="G695" s="67" t="str">
        <f aca="false">IF($E695="","",IFERROR(INDEX(科目表!$E$4:$E$81,MATCH($E695,科目表!$B$4:$B$81,0)),""))</f>
        <v/>
      </c>
      <c r="H695" s="70" t="str">
        <f aca="false">IF($E695="","",N(INDEX(进销存对接!$M$4:$U$305,231,5)))</f>
        <v/>
      </c>
      <c r="I695" s="70" t="str">
        <f aca="false">IF($E695="","",N(INDEX(进销存对接!$M$4:$U$305,231,6)))</f>
        <v/>
      </c>
      <c r="J695" s="67"/>
      <c r="K695" s="67" t="str">
        <f aca="false">IF($E695="","",INDEX(进销存对接!$D$4:$D$305,231))</f>
        <v/>
      </c>
      <c r="L695" s="107"/>
      <c r="M695" s="107"/>
      <c r="N695" s="67" t="str">
        <f aca="false">IF($E695="","","系统")</f>
        <v/>
      </c>
      <c r="O695" s="67" t="str">
        <f aca="false">IF($E695="","","自动A")</f>
        <v/>
      </c>
      <c r="P695" s="18"/>
    </row>
    <row r="696" customFormat="false" ht="18" hidden="false" customHeight="true" outlineLevel="0" collapsed="false">
      <c r="A696" s="107" t="str">
        <f aca="false">IF($E696="","",ROW()-3)</f>
        <v/>
      </c>
      <c r="B696" s="110" t="str">
        <f aca="false">IF($E696="","",INDEX(进销存对接!$C$4:$C$305,231))</f>
        <v/>
      </c>
      <c r="C696" s="67" t="str">
        <f aca="false">IF($E696="","","记-"&amp;TEXT($B696,"YYYYMM")&amp;"-进销存")</f>
        <v/>
      </c>
      <c r="D696" s="107" t="str">
        <f aca="false">IF($E696="","",INDEX(进销存对接!$D$4:$D$305,231)&amp;" "&amp;TEXT($B696,"YYYY年M月")&amp;" 自动结转")</f>
        <v/>
      </c>
      <c r="E696" s="67" t="str">
        <f aca="false">IF(INDEX(进销存对接!$M$4:$U$305,231,7)=0,"",INDEX(进销存对接!$M$4:$U$305,231,7))</f>
        <v/>
      </c>
      <c r="F696" s="99" t="str">
        <f aca="false">IF($E696="","",IFERROR(INDEX(科目表!$A$4:$A$81,MATCH($E696,科目表!$B$4:$B$81,0)),""))</f>
        <v/>
      </c>
      <c r="G696" s="67" t="str">
        <f aca="false">IF($E696="","",IFERROR(INDEX(科目表!$E$4:$E$81,MATCH($E696,科目表!$B$4:$B$81,0)),""))</f>
        <v/>
      </c>
      <c r="H696" s="70" t="str">
        <f aca="false">IF($E696="","",N(INDEX(进销存对接!$M$4:$U$305,231,8)))</f>
        <v/>
      </c>
      <c r="I696" s="70" t="str">
        <f aca="false">IF($E696="","",N(INDEX(进销存对接!$M$4:$U$305,231,9)))</f>
        <v/>
      </c>
      <c r="J696" s="67"/>
      <c r="K696" s="67" t="str">
        <f aca="false">IF($E696="","",INDEX(进销存对接!$D$4:$D$305,231))</f>
        <v/>
      </c>
      <c r="L696" s="107"/>
      <c r="M696" s="107"/>
      <c r="N696" s="67" t="str">
        <f aca="false">IF($E696="","","系统")</f>
        <v/>
      </c>
      <c r="O696" s="67" t="str">
        <f aca="false">IF($E696="","","自动A")</f>
        <v/>
      </c>
      <c r="P696" s="18"/>
    </row>
    <row r="697" customFormat="false" ht="18" hidden="false" customHeight="true" outlineLevel="0" collapsed="false">
      <c r="A697" s="107" t="str">
        <f aca="false">IF($E697="","",ROW()-3)</f>
        <v/>
      </c>
      <c r="B697" s="110" t="str">
        <f aca="false">IF($E697="","",INDEX(进销存对接!$C$4:$C$305,232))</f>
        <v/>
      </c>
      <c r="C697" s="67" t="str">
        <f aca="false">IF($E697="","","记-"&amp;TEXT($B697,"YYYYMM")&amp;"-进销存")</f>
        <v/>
      </c>
      <c r="D697" s="107" t="str">
        <f aca="false">IF($E697="","",INDEX(进销存对接!$D$4:$D$305,232)&amp;" "&amp;TEXT($B697,"YYYY年M月")&amp;" 自动结转")</f>
        <v/>
      </c>
      <c r="E697" s="67" t="str">
        <f aca="false">IF(INDEX(进销存对接!$M$4:$U$305,232,1)=0,"",INDEX(进销存对接!$M$4:$U$305,232,1))</f>
        <v/>
      </c>
      <c r="F697" s="99" t="str">
        <f aca="false">IF($E697="","",IFERROR(INDEX(科目表!$A$4:$A$81,MATCH($E697,科目表!$B$4:$B$81,0)),""))</f>
        <v/>
      </c>
      <c r="G697" s="67" t="str">
        <f aca="false">IF($E697="","",IFERROR(INDEX(科目表!$E$4:$E$81,MATCH($E697,科目表!$B$4:$B$81,0)),""))</f>
        <v/>
      </c>
      <c r="H697" s="70" t="str">
        <f aca="false">IF($E697="","",N(INDEX(进销存对接!$M$4:$U$305,232,2)))</f>
        <v/>
      </c>
      <c r="I697" s="70" t="str">
        <f aca="false">IF($E697="","",N(INDEX(进销存对接!$M$4:$U$305,232,3)))</f>
        <v/>
      </c>
      <c r="J697" s="67"/>
      <c r="K697" s="67" t="str">
        <f aca="false">IF($E697="","",INDEX(进销存对接!$D$4:$D$305,232))</f>
        <v/>
      </c>
      <c r="L697" s="107"/>
      <c r="M697" s="107"/>
      <c r="N697" s="67" t="str">
        <f aca="false">IF($E697="","","系统")</f>
        <v/>
      </c>
      <c r="O697" s="67" t="str">
        <f aca="false">IF($E697="","","自动A")</f>
        <v/>
      </c>
      <c r="P697" s="18"/>
    </row>
    <row r="698" customFormat="false" ht="18" hidden="false" customHeight="true" outlineLevel="0" collapsed="false">
      <c r="A698" s="107" t="str">
        <f aca="false">IF($E698="","",ROW()-3)</f>
        <v/>
      </c>
      <c r="B698" s="110" t="str">
        <f aca="false">IF($E698="","",INDEX(进销存对接!$C$4:$C$305,232))</f>
        <v/>
      </c>
      <c r="C698" s="67" t="str">
        <f aca="false">IF($E698="","","记-"&amp;TEXT($B698,"YYYYMM")&amp;"-进销存")</f>
        <v/>
      </c>
      <c r="D698" s="107" t="str">
        <f aca="false">IF($E698="","",INDEX(进销存对接!$D$4:$D$305,232)&amp;" "&amp;TEXT($B698,"YYYY年M月")&amp;" 自动结转")</f>
        <v/>
      </c>
      <c r="E698" s="67" t="str">
        <f aca="false">IF(INDEX(进销存对接!$M$4:$U$305,232,4)=0,"",INDEX(进销存对接!$M$4:$U$305,232,4))</f>
        <v/>
      </c>
      <c r="F698" s="99" t="str">
        <f aca="false">IF($E698="","",IFERROR(INDEX(科目表!$A$4:$A$81,MATCH($E698,科目表!$B$4:$B$81,0)),""))</f>
        <v/>
      </c>
      <c r="G698" s="67" t="str">
        <f aca="false">IF($E698="","",IFERROR(INDEX(科目表!$E$4:$E$81,MATCH($E698,科目表!$B$4:$B$81,0)),""))</f>
        <v/>
      </c>
      <c r="H698" s="70" t="str">
        <f aca="false">IF($E698="","",N(INDEX(进销存对接!$M$4:$U$305,232,5)))</f>
        <v/>
      </c>
      <c r="I698" s="70" t="str">
        <f aca="false">IF($E698="","",N(INDEX(进销存对接!$M$4:$U$305,232,6)))</f>
        <v/>
      </c>
      <c r="J698" s="67"/>
      <c r="K698" s="67" t="str">
        <f aca="false">IF($E698="","",INDEX(进销存对接!$D$4:$D$305,232))</f>
        <v/>
      </c>
      <c r="L698" s="107"/>
      <c r="M698" s="107"/>
      <c r="N698" s="67" t="str">
        <f aca="false">IF($E698="","","系统")</f>
        <v/>
      </c>
      <c r="O698" s="67" t="str">
        <f aca="false">IF($E698="","","自动A")</f>
        <v/>
      </c>
      <c r="P698" s="18"/>
    </row>
    <row r="699" customFormat="false" ht="18" hidden="false" customHeight="true" outlineLevel="0" collapsed="false">
      <c r="A699" s="107" t="str">
        <f aca="false">IF($E699="","",ROW()-3)</f>
        <v/>
      </c>
      <c r="B699" s="110" t="str">
        <f aca="false">IF($E699="","",INDEX(进销存对接!$C$4:$C$305,232))</f>
        <v/>
      </c>
      <c r="C699" s="67" t="str">
        <f aca="false">IF($E699="","","记-"&amp;TEXT($B699,"YYYYMM")&amp;"-进销存")</f>
        <v/>
      </c>
      <c r="D699" s="107" t="str">
        <f aca="false">IF($E699="","",INDEX(进销存对接!$D$4:$D$305,232)&amp;" "&amp;TEXT($B699,"YYYY年M月")&amp;" 自动结转")</f>
        <v/>
      </c>
      <c r="E699" s="67" t="str">
        <f aca="false">IF(INDEX(进销存对接!$M$4:$U$305,232,7)=0,"",INDEX(进销存对接!$M$4:$U$305,232,7))</f>
        <v/>
      </c>
      <c r="F699" s="99" t="str">
        <f aca="false">IF($E699="","",IFERROR(INDEX(科目表!$A$4:$A$81,MATCH($E699,科目表!$B$4:$B$81,0)),""))</f>
        <v/>
      </c>
      <c r="G699" s="67" t="str">
        <f aca="false">IF($E699="","",IFERROR(INDEX(科目表!$E$4:$E$81,MATCH($E699,科目表!$B$4:$B$81,0)),""))</f>
        <v/>
      </c>
      <c r="H699" s="70" t="str">
        <f aca="false">IF($E699="","",N(INDEX(进销存对接!$M$4:$U$305,232,8)))</f>
        <v/>
      </c>
      <c r="I699" s="70" t="str">
        <f aca="false">IF($E699="","",N(INDEX(进销存对接!$M$4:$U$305,232,9)))</f>
        <v/>
      </c>
      <c r="J699" s="67"/>
      <c r="K699" s="67" t="str">
        <f aca="false">IF($E699="","",INDEX(进销存对接!$D$4:$D$305,232))</f>
        <v/>
      </c>
      <c r="L699" s="107"/>
      <c r="M699" s="107"/>
      <c r="N699" s="67" t="str">
        <f aca="false">IF($E699="","","系统")</f>
        <v/>
      </c>
      <c r="O699" s="67" t="str">
        <f aca="false">IF($E699="","","自动A")</f>
        <v/>
      </c>
      <c r="P699" s="18"/>
    </row>
    <row r="700" customFormat="false" ht="18" hidden="false" customHeight="true" outlineLevel="0" collapsed="false">
      <c r="A700" s="107" t="str">
        <f aca="false">IF($E700="","",ROW()-3)</f>
        <v/>
      </c>
      <c r="B700" s="110" t="str">
        <f aca="false">IF($E700="","",INDEX(进销存对接!$C$4:$C$305,233))</f>
        <v/>
      </c>
      <c r="C700" s="67" t="str">
        <f aca="false">IF($E700="","","记-"&amp;TEXT($B700,"YYYYMM")&amp;"-进销存")</f>
        <v/>
      </c>
      <c r="D700" s="107" t="str">
        <f aca="false">IF($E700="","",INDEX(进销存对接!$D$4:$D$305,233)&amp;" "&amp;TEXT($B700,"YYYY年M月")&amp;" 自动结转")</f>
        <v/>
      </c>
      <c r="E700" s="67" t="str">
        <f aca="false">IF(INDEX(进销存对接!$M$4:$U$305,233,1)=0,"",INDEX(进销存对接!$M$4:$U$305,233,1))</f>
        <v/>
      </c>
      <c r="F700" s="99" t="str">
        <f aca="false">IF($E700="","",IFERROR(INDEX(科目表!$A$4:$A$81,MATCH($E700,科目表!$B$4:$B$81,0)),""))</f>
        <v/>
      </c>
      <c r="G700" s="67" t="str">
        <f aca="false">IF($E700="","",IFERROR(INDEX(科目表!$E$4:$E$81,MATCH($E700,科目表!$B$4:$B$81,0)),""))</f>
        <v/>
      </c>
      <c r="H700" s="70" t="str">
        <f aca="false">IF($E700="","",N(INDEX(进销存对接!$M$4:$U$305,233,2)))</f>
        <v/>
      </c>
      <c r="I700" s="70" t="str">
        <f aca="false">IF($E700="","",N(INDEX(进销存对接!$M$4:$U$305,233,3)))</f>
        <v/>
      </c>
      <c r="J700" s="67"/>
      <c r="K700" s="67" t="str">
        <f aca="false">IF($E700="","",INDEX(进销存对接!$D$4:$D$305,233))</f>
        <v/>
      </c>
      <c r="L700" s="107"/>
      <c r="M700" s="107"/>
      <c r="N700" s="67" t="str">
        <f aca="false">IF($E700="","","系统")</f>
        <v/>
      </c>
      <c r="O700" s="67" t="str">
        <f aca="false">IF($E700="","","自动A")</f>
        <v/>
      </c>
      <c r="P700" s="18"/>
    </row>
    <row r="701" customFormat="false" ht="18" hidden="false" customHeight="true" outlineLevel="0" collapsed="false">
      <c r="A701" s="107" t="str">
        <f aca="false">IF($E701="","",ROW()-3)</f>
        <v/>
      </c>
      <c r="B701" s="110" t="str">
        <f aca="false">IF($E701="","",INDEX(进销存对接!$C$4:$C$305,233))</f>
        <v/>
      </c>
      <c r="C701" s="67" t="str">
        <f aca="false">IF($E701="","","记-"&amp;TEXT($B701,"YYYYMM")&amp;"-进销存")</f>
        <v/>
      </c>
      <c r="D701" s="107" t="str">
        <f aca="false">IF($E701="","",INDEX(进销存对接!$D$4:$D$305,233)&amp;" "&amp;TEXT($B701,"YYYY年M月")&amp;" 自动结转")</f>
        <v/>
      </c>
      <c r="E701" s="67" t="str">
        <f aca="false">IF(INDEX(进销存对接!$M$4:$U$305,233,4)=0,"",INDEX(进销存对接!$M$4:$U$305,233,4))</f>
        <v/>
      </c>
      <c r="F701" s="99" t="str">
        <f aca="false">IF($E701="","",IFERROR(INDEX(科目表!$A$4:$A$81,MATCH($E701,科目表!$B$4:$B$81,0)),""))</f>
        <v/>
      </c>
      <c r="G701" s="67" t="str">
        <f aca="false">IF($E701="","",IFERROR(INDEX(科目表!$E$4:$E$81,MATCH($E701,科目表!$B$4:$B$81,0)),""))</f>
        <v/>
      </c>
      <c r="H701" s="70" t="str">
        <f aca="false">IF($E701="","",N(INDEX(进销存对接!$M$4:$U$305,233,5)))</f>
        <v/>
      </c>
      <c r="I701" s="70" t="str">
        <f aca="false">IF($E701="","",N(INDEX(进销存对接!$M$4:$U$305,233,6)))</f>
        <v/>
      </c>
      <c r="J701" s="67"/>
      <c r="K701" s="67" t="str">
        <f aca="false">IF($E701="","",INDEX(进销存对接!$D$4:$D$305,233))</f>
        <v/>
      </c>
      <c r="L701" s="107"/>
      <c r="M701" s="107"/>
      <c r="N701" s="67" t="str">
        <f aca="false">IF($E701="","","系统")</f>
        <v/>
      </c>
      <c r="O701" s="67" t="str">
        <f aca="false">IF($E701="","","自动A")</f>
        <v/>
      </c>
      <c r="P701" s="18"/>
    </row>
    <row r="702" customFormat="false" ht="18" hidden="false" customHeight="true" outlineLevel="0" collapsed="false">
      <c r="A702" s="107" t="str">
        <f aca="false">IF($E702="","",ROW()-3)</f>
        <v/>
      </c>
      <c r="B702" s="110" t="str">
        <f aca="false">IF($E702="","",INDEX(进销存对接!$C$4:$C$305,233))</f>
        <v/>
      </c>
      <c r="C702" s="67" t="str">
        <f aca="false">IF($E702="","","记-"&amp;TEXT($B702,"YYYYMM")&amp;"-进销存")</f>
        <v/>
      </c>
      <c r="D702" s="107" t="str">
        <f aca="false">IF($E702="","",INDEX(进销存对接!$D$4:$D$305,233)&amp;" "&amp;TEXT($B702,"YYYY年M月")&amp;" 自动结转")</f>
        <v/>
      </c>
      <c r="E702" s="67" t="str">
        <f aca="false">IF(INDEX(进销存对接!$M$4:$U$305,233,7)=0,"",INDEX(进销存对接!$M$4:$U$305,233,7))</f>
        <v/>
      </c>
      <c r="F702" s="99" t="str">
        <f aca="false">IF($E702="","",IFERROR(INDEX(科目表!$A$4:$A$81,MATCH($E702,科目表!$B$4:$B$81,0)),""))</f>
        <v/>
      </c>
      <c r="G702" s="67" t="str">
        <f aca="false">IF($E702="","",IFERROR(INDEX(科目表!$E$4:$E$81,MATCH($E702,科目表!$B$4:$B$81,0)),""))</f>
        <v/>
      </c>
      <c r="H702" s="70" t="str">
        <f aca="false">IF($E702="","",N(INDEX(进销存对接!$M$4:$U$305,233,8)))</f>
        <v/>
      </c>
      <c r="I702" s="70" t="str">
        <f aca="false">IF($E702="","",N(INDEX(进销存对接!$M$4:$U$305,233,9)))</f>
        <v/>
      </c>
      <c r="J702" s="67"/>
      <c r="K702" s="67" t="str">
        <f aca="false">IF($E702="","",INDEX(进销存对接!$D$4:$D$305,233))</f>
        <v/>
      </c>
      <c r="L702" s="107"/>
      <c r="M702" s="107"/>
      <c r="N702" s="67" t="str">
        <f aca="false">IF($E702="","","系统")</f>
        <v/>
      </c>
      <c r="O702" s="67" t="str">
        <f aca="false">IF($E702="","","自动A")</f>
        <v/>
      </c>
      <c r="P702" s="18"/>
    </row>
    <row r="703" customFormat="false" ht="18" hidden="false" customHeight="true" outlineLevel="0" collapsed="false">
      <c r="A703" s="107" t="str">
        <f aca="false">IF($E703="","",ROW()-3)</f>
        <v/>
      </c>
      <c r="B703" s="110" t="str">
        <f aca="false">IF($E703="","",INDEX(进销存对接!$C$4:$C$305,234))</f>
        <v/>
      </c>
      <c r="C703" s="67" t="str">
        <f aca="false">IF($E703="","","记-"&amp;TEXT($B703,"YYYYMM")&amp;"-进销存")</f>
        <v/>
      </c>
      <c r="D703" s="107" t="str">
        <f aca="false">IF($E703="","",INDEX(进销存对接!$D$4:$D$305,234)&amp;" "&amp;TEXT($B703,"YYYY年M月")&amp;" 自动结转")</f>
        <v/>
      </c>
      <c r="E703" s="67" t="str">
        <f aca="false">IF(INDEX(进销存对接!$M$4:$U$305,234,1)=0,"",INDEX(进销存对接!$M$4:$U$305,234,1))</f>
        <v/>
      </c>
      <c r="F703" s="99" t="str">
        <f aca="false">IF($E703="","",IFERROR(INDEX(科目表!$A$4:$A$81,MATCH($E703,科目表!$B$4:$B$81,0)),""))</f>
        <v/>
      </c>
      <c r="G703" s="67" t="str">
        <f aca="false">IF($E703="","",IFERROR(INDEX(科目表!$E$4:$E$81,MATCH($E703,科目表!$B$4:$B$81,0)),""))</f>
        <v/>
      </c>
      <c r="H703" s="70" t="str">
        <f aca="false">IF($E703="","",N(INDEX(进销存对接!$M$4:$U$305,234,2)))</f>
        <v/>
      </c>
      <c r="I703" s="70" t="str">
        <f aca="false">IF($E703="","",N(INDEX(进销存对接!$M$4:$U$305,234,3)))</f>
        <v/>
      </c>
      <c r="J703" s="67"/>
      <c r="K703" s="67" t="str">
        <f aca="false">IF($E703="","",INDEX(进销存对接!$D$4:$D$305,234))</f>
        <v/>
      </c>
      <c r="L703" s="107"/>
      <c r="M703" s="107"/>
      <c r="N703" s="67" t="str">
        <f aca="false">IF($E703="","","系统")</f>
        <v/>
      </c>
      <c r="O703" s="67" t="str">
        <f aca="false">IF($E703="","","自动A")</f>
        <v/>
      </c>
      <c r="P703" s="18"/>
    </row>
    <row r="704" customFormat="false" ht="18" hidden="false" customHeight="true" outlineLevel="0" collapsed="false">
      <c r="A704" s="107" t="str">
        <f aca="false">IF($E704="","",ROW()-3)</f>
        <v/>
      </c>
      <c r="B704" s="110" t="str">
        <f aca="false">IF($E704="","",INDEX(进销存对接!$C$4:$C$305,234))</f>
        <v/>
      </c>
      <c r="C704" s="67" t="str">
        <f aca="false">IF($E704="","","记-"&amp;TEXT($B704,"YYYYMM")&amp;"-进销存")</f>
        <v/>
      </c>
      <c r="D704" s="107" t="str">
        <f aca="false">IF($E704="","",INDEX(进销存对接!$D$4:$D$305,234)&amp;" "&amp;TEXT($B704,"YYYY年M月")&amp;" 自动结转")</f>
        <v/>
      </c>
      <c r="E704" s="67" t="str">
        <f aca="false">IF(INDEX(进销存对接!$M$4:$U$305,234,4)=0,"",INDEX(进销存对接!$M$4:$U$305,234,4))</f>
        <v/>
      </c>
      <c r="F704" s="99" t="str">
        <f aca="false">IF($E704="","",IFERROR(INDEX(科目表!$A$4:$A$81,MATCH($E704,科目表!$B$4:$B$81,0)),""))</f>
        <v/>
      </c>
      <c r="G704" s="67" t="str">
        <f aca="false">IF($E704="","",IFERROR(INDEX(科目表!$E$4:$E$81,MATCH($E704,科目表!$B$4:$B$81,0)),""))</f>
        <v/>
      </c>
      <c r="H704" s="70" t="str">
        <f aca="false">IF($E704="","",N(INDEX(进销存对接!$M$4:$U$305,234,5)))</f>
        <v/>
      </c>
      <c r="I704" s="70" t="str">
        <f aca="false">IF($E704="","",N(INDEX(进销存对接!$M$4:$U$305,234,6)))</f>
        <v/>
      </c>
      <c r="J704" s="67"/>
      <c r="K704" s="67" t="str">
        <f aca="false">IF($E704="","",INDEX(进销存对接!$D$4:$D$305,234))</f>
        <v/>
      </c>
      <c r="L704" s="107"/>
      <c r="M704" s="107"/>
      <c r="N704" s="67" t="str">
        <f aca="false">IF($E704="","","系统")</f>
        <v/>
      </c>
      <c r="O704" s="67" t="str">
        <f aca="false">IF($E704="","","自动A")</f>
        <v/>
      </c>
      <c r="P704" s="18"/>
    </row>
    <row r="705" customFormat="false" ht="18" hidden="false" customHeight="true" outlineLevel="0" collapsed="false">
      <c r="A705" s="107" t="str">
        <f aca="false">IF($E705="","",ROW()-3)</f>
        <v/>
      </c>
      <c r="B705" s="110" t="str">
        <f aca="false">IF($E705="","",INDEX(进销存对接!$C$4:$C$305,234))</f>
        <v/>
      </c>
      <c r="C705" s="67" t="str">
        <f aca="false">IF($E705="","","记-"&amp;TEXT($B705,"YYYYMM")&amp;"-进销存")</f>
        <v/>
      </c>
      <c r="D705" s="107" t="str">
        <f aca="false">IF($E705="","",INDEX(进销存对接!$D$4:$D$305,234)&amp;" "&amp;TEXT($B705,"YYYY年M月")&amp;" 自动结转")</f>
        <v/>
      </c>
      <c r="E705" s="67" t="str">
        <f aca="false">IF(INDEX(进销存对接!$M$4:$U$305,234,7)=0,"",INDEX(进销存对接!$M$4:$U$305,234,7))</f>
        <v/>
      </c>
      <c r="F705" s="99" t="str">
        <f aca="false">IF($E705="","",IFERROR(INDEX(科目表!$A$4:$A$81,MATCH($E705,科目表!$B$4:$B$81,0)),""))</f>
        <v/>
      </c>
      <c r="G705" s="67" t="str">
        <f aca="false">IF($E705="","",IFERROR(INDEX(科目表!$E$4:$E$81,MATCH($E705,科目表!$B$4:$B$81,0)),""))</f>
        <v/>
      </c>
      <c r="H705" s="70" t="str">
        <f aca="false">IF($E705="","",N(INDEX(进销存对接!$M$4:$U$305,234,8)))</f>
        <v/>
      </c>
      <c r="I705" s="70" t="str">
        <f aca="false">IF($E705="","",N(INDEX(进销存对接!$M$4:$U$305,234,9)))</f>
        <v/>
      </c>
      <c r="J705" s="67"/>
      <c r="K705" s="67" t="str">
        <f aca="false">IF($E705="","",INDEX(进销存对接!$D$4:$D$305,234))</f>
        <v/>
      </c>
      <c r="L705" s="107"/>
      <c r="M705" s="107"/>
      <c r="N705" s="67" t="str">
        <f aca="false">IF($E705="","","系统")</f>
        <v/>
      </c>
      <c r="O705" s="67" t="str">
        <f aca="false">IF($E705="","","自动A")</f>
        <v/>
      </c>
      <c r="P705" s="18"/>
    </row>
    <row r="706" customFormat="false" ht="18" hidden="false" customHeight="true" outlineLevel="0" collapsed="false">
      <c r="A706" s="107" t="str">
        <f aca="false">IF($E706="","",ROW()-3)</f>
        <v/>
      </c>
      <c r="B706" s="110" t="str">
        <f aca="false">IF($E706="","",INDEX(进销存对接!$C$4:$C$305,235))</f>
        <v/>
      </c>
      <c r="C706" s="67" t="str">
        <f aca="false">IF($E706="","","记-"&amp;TEXT($B706,"YYYYMM")&amp;"-进销存")</f>
        <v/>
      </c>
      <c r="D706" s="107" t="str">
        <f aca="false">IF($E706="","",INDEX(进销存对接!$D$4:$D$305,235)&amp;" "&amp;TEXT($B706,"YYYY年M月")&amp;" 自动结转")</f>
        <v/>
      </c>
      <c r="E706" s="67" t="str">
        <f aca="false">IF(INDEX(进销存对接!$M$4:$U$305,235,1)=0,"",INDEX(进销存对接!$M$4:$U$305,235,1))</f>
        <v/>
      </c>
      <c r="F706" s="99" t="str">
        <f aca="false">IF($E706="","",IFERROR(INDEX(科目表!$A$4:$A$81,MATCH($E706,科目表!$B$4:$B$81,0)),""))</f>
        <v/>
      </c>
      <c r="G706" s="67" t="str">
        <f aca="false">IF($E706="","",IFERROR(INDEX(科目表!$E$4:$E$81,MATCH($E706,科目表!$B$4:$B$81,0)),""))</f>
        <v/>
      </c>
      <c r="H706" s="70" t="str">
        <f aca="false">IF($E706="","",N(INDEX(进销存对接!$M$4:$U$305,235,2)))</f>
        <v/>
      </c>
      <c r="I706" s="70" t="str">
        <f aca="false">IF($E706="","",N(INDEX(进销存对接!$M$4:$U$305,235,3)))</f>
        <v/>
      </c>
      <c r="J706" s="67"/>
      <c r="K706" s="67" t="str">
        <f aca="false">IF($E706="","",INDEX(进销存对接!$D$4:$D$305,235))</f>
        <v/>
      </c>
      <c r="L706" s="107"/>
      <c r="M706" s="107"/>
      <c r="N706" s="67" t="str">
        <f aca="false">IF($E706="","","系统")</f>
        <v/>
      </c>
      <c r="O706" s="67" t="str">
        <f aca="false">IF($E706="","","自动A")</f>
        <v/>
      </c>
      <c r="P706" s="18"/>
    </row>
    <row r="707" customFormat="false" ht="18" hidden="false" customHeight="true" outlineLevel="0" collapsed="false">
      <c r="A707" s="107" t="str">
        <f aca="false">IF($E707="","",ROW()-3)</f>
        <v/>
      </c>
      <c r="B707" s="110" t="str">
        <f aca="false">IF($E707="","",INDEX(进销存对接!$C$4:$C$305,235))</f>
        <v/>
      </c>
      <c r="C707" s="67" t="str">
        <f aca="false">IF($E707="","","记-"&amp;TEXT($B707,"YYYYMM")&amp;"-进销存")</f>
        <v/>
      </c>
      <c r="D707" s="107" t="str">
        <f aca="false">IF($E707="","",INDEX(进销存对接!$D$4:$D$305,235)&amp;" "&amp;TEXT($B707,"YYYY年M月")&amp;" 自动结转")</f>
        <v/>
      </c>
      <c r="E707" s="67" t="str">
        <f aca="false">IF(INDEX(进销存对接!$M$4:$U$305,235,4)=0,"",INDEX(进销存对接!$M$4:$U$305,235,4))</f>
        <v/>
      </c>
      <c r="F707" s="99" t="str">
        <f aca="false">IF($E707="","",IFERROR(INDEX(科目表!$A$4:$A$81,MATCH($E707,科目表!$B$4:$B$81,0)),""))</f>
        <v/>
      </c>
      <c r="G707" s="67" t="str">
        <f aca="false">IF($E707="","",IFERROR(INDEX(科目表!$E$4:$E$81,MATCH($E707,科目表!$B$4:$B$81,0)),""))</f>
        <v/>
      </c>
      <c r="H707" s="70" t="str">
        <f aca="false">IF($E707="","",N(INDEX(进销存对接!$M$4:$U$305,235,5)))</f>
        <v/>
      </c>
      <c r="I707" s="70" t="str">
        <f aca="false">IF($E707="","",N(INDEX(进销存对接!$M$4:$U$305,235,6)))</f>
        <v/>
      </c>
      <c r="J707" s="67"/>
      <c r="K707" s="67" t="str">
        <f aca="false">IF($E707="","",INDEX(进销存对接!$D$4:$D$305,235))</f>
        <v/>
      </c>
      <c r="L707" s="107"/>
      <c r="M707" s="107"/>
      <c r="N707" s="67" t="str">
        <f aca="false">IF($E707="","","系统")</f>
        <v/>
      </c>
      <c r="O707" s="67" t="str">
        <f aca="false">IF($E707="","","自动A")</f>
        <v/>
      </c>
      <c r="P707" s="18"/>
    </row>
    <row r="708" customFormat="false" ht="18" hidden="false" customHeight="true" outlineLevel="0" collapsed="false">
      <c r="A708" s="107" t="str">
        <f aca="false">IF($E708="","",ROW()-3)</f>
        <v/>
      </c>
      <c r="B708" s="110" t="str">
        <f aca="false">IF($E708="","",INDEX(进销存对接!$C$4:$C$305,235))</f>
        <v/>
      </c>
      <c r="C708" s="67" t="str">
        <f aca="false">IF($E708="","","记-"&amp;TEXT($B708,"YYYYMM")&amp;"-进销存")</f>
        <v/>
      </c>
      <c r="D708" s="107" t="str">
        <f aca="false">IF($E708="","",INDEX(进销存对接!$D$4:$D$305,235)&amp;" "&amp;TEXT($B708,"YYYY年M月")&amp;" 自动结转")</f>
        <v/>
      </c>
      <c r="E708" s="67" t="str">
        <f aca="false">IF(INDEX(进销存对接!$M$4:$U$305,235,7)=0,"",INDEX(进销存对接!$M$4:$U$305,235,7))</f>
        <v/>
      </c>
      <c r="F708" s="99" t="str">
        <f aca="false">IF($E708="","",IFERROR(INDEX(科目表!$A$4:$A$81,MATCH($E708,科目表!$B$4:$B$81,0)),""))</f>
        <v/>
      </c>
      <c r="G708" s="67" t="str">
        <f aca="false">IF($E708="","",IFERROR(INDEX(科目表!$E$4:$E$81,MATCH($E708,科目表!$B$4:$B$81,0)),""))</f>
        <v/>
      </c>
      <c r="H708" s="70" t="str">
        <f aca="false">IF($E708="","",N(INDEX(进销存对接!$M$4:$U$305,235,8)))</f>
        <v/>
      </c>
      <c r="I708" s="70" t="str">
        <f aca="false">IF($E708="","",N(INDEX(进销存对接!$M$4:$U$305,235,9)))</f>
        <v/>
      </c>
      <c r="J708" s="67"/>
      <c r="K708" s="67" t="str">
        <f aca="false">IF($E708="","",INDEX(进销存对接!$D$4:$D$305,235))</f>
        <v/>
      </c>
      <c r="L708" s="107"/>
      <c r="M708" s="107"/>
      <c r="N708" s="67" t="str">
        <f aca="false">IF($E708="","","系统")</f>
        <v/>
      </c>
      <c r="O708" s="67" t="str">
        <f aca="false">IF($E708="","","自动A")</f>
        <v/>
      </c>
      <c r="P708" s="18"/>
    </row>
    <row r="709" customFormat="false" ht="18" hidden="false" customHeight="true" outlineLevel="0" collapsed="false">
      <c r="A709" s="107" t="str">
        <f aca="false">IF($E709="","",ROW()-3)</f>
        <v/>
      </c>
      <c r="B709" s="110" t="str">
        <f aca="false">IF($E709="","",INDEX(进销存对接!$C$4:$C$305,236))</f>
        <v/>
      </c>
      <c r="C709" s="67" t="str">
        <f aca="false">IF($E709="","","记-"&amp;TEXT($B709,"YYYYMM")&amp;"-进销存")</f>
        <v/>
      </c>
      <c r="D709" s="107" t="str">
        <f aca="false">IF($E709="","",INDEX(进销存对接!$D$4:$D$305,236)&amp;" "&amp;TEXT($B709,"YYYY年M月")&amp;" 自动结转")</f>
        <v/>
      </c>
      <c r="E709" s="67" t="str">
        <f aca="false">IF(INDEX(进销存对接!$M$4:$U$305,236,1)=0,"",INDEX(进销存对接!$M$4:$U$305,236,1))</f>
        <v/>
      </c>
      <c r="F709" s="99" t="str">
        <f aca="false">IF($E709="","",IFERROR(INDEX(科目表!$A$4:$A$81,MATCH($E709,科目表!$B$4:$B$81,0)),""))</f>
        <v/>
      </c>
      <c r="G709" s="67" t="str">
        <f aca="false">IF($E709="","",IFERROR(INDEX(科目表!$E$4:$E$81,MATCH($E709,科目表!$B$4:$B$81,0)),""))</f>
        <v/>
      </c>
      <c r="H709" s="70" t="str">
        <f aca="false">IF($E709="","",N(INDEX(进销存对接!$M$4:$U$305,236,2)))</f>
        <v/>
      </c>
      <c r="I709" s="70" t="str">
        <f aca="false">IF($E709="","",N(INDEX(进销存对接!$M$4:$U$305,236,3)))</f>
        <v/>
      </c>
      <c r="J709" s="67"/>
      <c r="K709" s="67" t="str">
        <f aca="false">IF($E709="","",INDEX(进销存对接!$D$4:$D$305,236))</f>
        <v/>
      </c>
      <c r="L709" s="107"/>
      <c r="M709" s="107"/>
      <c r="N709" s="67" t="str">
        <f aca="false">IF($E709="","","系统")</f>
        <v/>
      </c>
      <c r="O709" s="67" t="str">
        <f aca="false">IF($E709="","","自动A")</f>
        <v/>
      </c>
      <c r="P709" s="18"/>
    </row>
    <row r="710" customFormat="false" ht="18" hidden="false" customHeight="true" outlineLevel="0" collapsed="false">
      <c r="A710" s="107" t="str">
        <f aca="false">IF($E710="","",ROW()-3)</f>
        <v/>
      </c>
      <c r="B710" s="110" t="str">
        <f aca="false">IF($E710="","",INDEX(进销存对接!$C$4:$C$305,236))</f>
        <v/>
      </c>
      <c r="C710" s="67" t="str">
        <f aca="false">IF($E710="","","记-"&amp;TEXT($B710,"YYYYMM")&amp;"-进销存")</f>
        <v/>
      </c>
      <c r="D710" s="107" t="str">
        <f aca="false">IF($E710="","",INDEX(进销存对接!$D$4:$D$305,236)&amp;" "&amp;TEXT($B710,"YYYY年M月")&amp;" 自动结转")</f>
        <v/>
      </c>
      <c r="E710" s="67" t="str">
        <f aca="false">IF(INDEX(进销存对接!$M$4:$U$305,236,4)=0,"",INDEX(进销存对接!$M$4:$U$305,236,4))</f>
        <v/>
      </c>
      <c r="F710" s="99" t="str">
        <f aca="false">IF($E710="","",IFERROR(INDEX(科目表!$A$4:$A$81,MATCH($E710,科目表!$B$4:$B$81,0)),""))</f>
        <v/>
      </c>
      <c r="G710" s="67" t="str">
        <f aca="false">IF($E710="","",IFERROR(INDEX(科目表!$E$4:$E$81,MATCH($E710,科目表!$B$4:$B$81,0)),""))</f>
        <v/>
      </c>
      <c r="H710" s="70" t="str">
        <f aca="false">IF($E710="","",N(INDEX(进销存对接!$M$4:$U$305,236,5)))</f>
        <v/>
      </c>
      <c r="I710" s="70" t="str">
        <f aca="false">IF($E710="","",N(INDEX(进销存对接!$M$4:$U$305,236,6)))</f>
        <v/>
      </c>
      <c r="J710" s="67"/>
      <c r="K710" s="67" t="str">
        <f aca="false">IF($E710="","",INDEX(进销存对接!$D$4:$D$305,236))</f>
        <v/>
      </c>
      <c r="L710" s="107"/>
      <c r="M710" s="107"/>
      <c r="N710" s="67" t="str">
        <f aca="false">IF($E710="","","系统")</f>
        <v/>
      </c>
      <c r="O710" s="67" t="str">
        <f aca="false">IF($E710="","","自动A")</f>
        <v/>
      </c>
      <c r="P710" s="18"/>
    </row>
    <row r="711" customFormat="false" ht="18" hidden="false" customHeight="true" outlineLevel="0" collapsed="false">
      <c r="A711" s="107" t="str">
        <f aca="false">IF($E711="","",ROW()-3)</f>
        <v/>
      </c>
      <c r="B711" s="110" t="str">
        <f aca="false">IF($E711="","",INDEX(进销存对接!$C$4:$C$305,236))</f>
        <v/>
      </c>
      <c r="C711" s="67" t="str">
        <f aca="false">IF($E711="","","记-"&amp;TEXT($B711,"YYYYMM")&amp;"-进销存")</f>
        <v/>
      </c>
      <c r="D711" s="107" t="str">
        <f aca="false">IF($E711="","",INDEX(进销存对接!$D$4:$D$305,236)&amp;" "&amp;TEXT($B711,"YYYY年M月")&amp;" 自动结转")</f>
        <v/>
      </c>
      <c r="E711" s="67" t="str">
        <f aca="false">IF(INDEX(进销存对接!$M$4:$U$305,236,7)=0,"",INDEX(进销存对接!$M$4:$U$305,236,7))</f>
        <v/>
      </c>
      <c r="F711" s="99" t="str">
        <f aca="false">IF($E711="","",IFERROR(INDEX(科目表!$A$4:$A$81,MATCH($E711,科目表!$B$4:$B$81,0)),""))</f>
        <v/>
      </c>
      <c r="G711" s="67" t="str">
        <f aca="false">IF($E711="","",IFERROR(INDEX(科目表!$E$4:$E$81,MATCH($E711,科目表!$B$4:$B$81,0)),""))</f>
        <v/>
      </c>
      <c r="H711" s="70" t="str">
        <f aca="false">IF($E711="","",N(INDEX(进销存对接!$M$4:$U$305,236,8)))</f>
        <v/>
      </c>
      <c r="I711" s="70" t="str">
        <f aca="false">IF($E711="","",N(INDEX(进销存对接!$M$4:$U$305,236,9)))</f>
        <v/>
      </c>
      <c r="J711" s="67"/>
      <c r="K711" s="67" t="str">
        <f aca="false">IF($E711="","",INDEX(进销存对接!$D$4:$D$305,236))</f>
        <v/>
      </c>
      <c r="L711" s="107"/>
      <c r="M711" s="107"/>
      <c r="N711" s="67" t="str">
        <f aca="false">IF($E711="","","系统")</f>
        <v/>
      </c>
      <c r="O711" s="67" t="str">
        <f aca="false">IF($E711="","","自动A")</f>
        <v/>
      </c>
      <c r="P711" s="18"/>
    </row>
    <row r="712" customFormat="false" ht="18" hidden="false" customHeight="true" outlineLevel="0" collapsed="false">
      <c r="A712" s="107" t="str">
        <f aca="false">IF($E712="","",ROW()-3)</f>
        <v/>
      </c>
      <c r="B712" s="110" t="str">
        <f aca="false">IF($E712="","",INDEX(进销存对接!$C$4:$C$305,237))</f>
        <v/>
      </c>
      <c r="C712" s="67" t="str">
        <f aca="false">IF($E712="","","记-"&amp;TEXT($B712,"YYYYMM")&amp;"-进销存")</f>
        <v/>
      </c>
      <c r="D712" s="107" t="str">
        <f aca="false">IF($E712="","",INDEX(进销存对接!$D$4:$D$305,237)&amp;" "&amp;TEXT($B712,"YYYY年M月")&amp;" 自动结转")</f>
        <v/>
      </c>
      <c r="E712" s="67" t="str">
        <f aca="false">IF(INDEX(进销存对接!$M$4:$U$305,237,1)=0,"",INDEX(进销存对接!$M$4:$U$305,237,1))</f>
        <v/>
      </c>
      <c r="F712" s="99" t="str">
        <f aca="false">IF($E712="","",IFERROR(INDEX(科目表!$A$4:$A$81,MATCH($E712,科目表!$B$4:$B$81,0)),""))</f>
        <v/>
      </c>
      <c r="G712" s="67" t="str">
        <f aca="false">IF($E712="","",IFERROR(INDEX(科目表!$E$4:$E$81,MATCH($E712,科目表!$B$4:$B$81,0)),""))</f>
        <v/>
      </c>
      <c r="H712" s="70" t="str">
        <f aca="false">IF($E712="","",N(INDEX(进销存对接!$M$4:$U$305,237,2)))</f>
        <v/>
      </c>
      <c r="I712" s="70" t="str">
        <f aca="false">IF($E712="","",N(INDEX(进销存对接!$M$4:$U$305,237,3)))</f>
        <v/>
      </c>
      <c r="J712" s="67"/>
      <c r="K712" s="67" t="str">
        <f aca="false">IF($E712="","",INDEX(进销存对接!$D$4:$D$305,237))</f>
        <v/>
      </c>
      <c r="L712" s="107"/>
      <c r="M712" s="107"/>
      <c r="N712" s="67" t="str">
        <f aca="false">IF($E712="","","系统")</f>
        <v/>
      </c>
      <c r="O712" s="67" t="str">
        <f aca="false">IF($E712="","","自动A")</f>
        <v/>
      </c>
      <c r="P712" s="18"/>
    </row>
    <row r="713" customFormat="false" ht="18" hidden="false" customHeight="true" outlineLevel="0" collapsed="false">
      <c r="A713" s="107" t="str">
        <f aca="false">IF($E713="","",ROW()-3)</f>
        <v/>
      </c>
      <c r="B713" s="110" t="str">
        <f aca="false">IF($E713="","",INDEX(进销存对接!$C$4:$C$305,237))</f>
        <v/>
      </c>
      <c r="C713" s="67" t="str">
        <f aca="false">IF($E713="","","记-"&amp;TEXT($B713,"YYYYMM")&amp;"-进销存")</f>
        <v/>
      </c>
      <c r="D713" s="107" t="str">
        <f aca="false">IF($E713="","",INDEX(进销存对接!$D$4:$D$305,237)&amp;" "&amp;TEXT($B713,"YYYY年M月")&amp;" 自动结转")</f>
        <v/>
      </c>
      <c r="E713" s="67" t="str">
        <f aca="false">IF(INDEX(进销存对接!$M$4:$U$305,237,4)=0,"",INDEX(进销存对接!$M$4:$U$305,237,4))</f>
        <v/>
      </c>
      <c r="F713" s="99" t="str">
        <f aca="false">IF($E713="","",IFERROR(INDEX(科目表!$A$4:$A$81,MATCH($E713,科目表!$B$4:$B$81,0)),""))</f>
        <v/>
      </c>
      <c r="G713" s="67" t="str">
        <f aca="false">IF($E713="","",IFERROR(INDEX(科目表!$E$4:$E$81,MATCH($E713,科目表!$B$4:$B$81,0)),""))</f>
        <v/>
      </c>
      <c r="H713" s="70" t="str">
        <f aca="false">IF($E713="","",N(INDEX(进销存对接!$M$4:$U$305,237,5)))</f>
        <v/>
      </c>
      <c r="I713" s="70" t="str">
        <f aca="false">IF($E713="","",N(INDEX(进销存对接!$M$4:$U$305,237,6)))</f>
        <v/>
      </c>
      <c r="J713" s="67"/>
      <c r="K713" s="67" t="str">
        <f aca="false">IF($E713="","",INDEX(进销存对接!$D$4:$D$305,237))</f>
        <v/>
      </c>
      <c r="L713" s="107"/>
      <c r="M713" s="107"/>
      <c r="N713" s="67" t="str">
        <f aca="false">IF($E713="","","系统")</f>
        <v/>
      </c>
      <c r="O713" s="67" t="str">
        <f aca="false">IF($E713="","","自动A")</f>
        <v/>
      </c>
      <c r="P713" s="18"/>
    </row>
    <row r="714" customFormat="false" ht="18" hidden="false" customHeight="true" outlineLevel="0" collapsed="false">
      <c r="A714" s="107" t="str">
        <f aca="false">IF($E714="","",ROW()-3)</f>
        <v/>
      </c>
      <c r="B714" s="110" t="str">
        <f aca="false">IF($E714="","",INDEX(进销存对接!$C$4:$C$305,237))</f>
        <v/>
      </c>
      <c r="C714" s="67" t="str">
        <f aca="false">IF($E714="","","记-"&amp;TEXT($B714,"YYYYMM")&amp;"-进销存")</f>
        <v/>
      </c>
      <c r="D714" s="107" t="str">
        <f aca="false">IF($E714="","",INDEX(进销存对接!$D$4:$D$305,237)&amp;" "&amp;TEXT($B714,"YYYY年M月")&amp;" 自动结转")</f>
        <v/>
      </c>
      <c r="E714" s="67" t="str">
        <f aca="false">IF(INDEX(进销存对接!$M$4:$U$305,237,7)=0,"",INDEX(进销存对接!$M$4:$U$305,237,7))</f>
        <v/>
      </c>
      <c r="F714" s="99" t="str">
        <f aca="false">IF($E714="","",IFERROR(INDEX(科目表!$A$4:$A$81,MATCH($E714,科目表!$B$4:$B$81,0)),""))</f>
        <v/>
      </c>
      <c r="G714" s="67" t="str">
        <f aca="false">IF($E714="","",IFERROR(INDEX(科目表!$E$4:$E$81,MATCH($E714,科目表!$B$4:$B$81,0)),""))</f>
        <v/>
      </c>
      <c r="H714" s="70" t="str">
        <f aca="false">IF($E714="","",N(INDEX(进销存对接!$M$4:$U$305,237,8)))</f>
        <v/>
      </c>
      <c r="I714" s="70" t="str">
        <f aca="false">IF($E714="","",N(INDEX(进销存对接!$M$4:$U$305,237,9)))</f>
        <v/>
      </c>
      <c r="J714" s="67"/>
      <c r="K714" s="67" t="str">
        <f aca="false">IF($E714="","",INDEX(进销存对接!$D$4:$D$305,237))</f>
        <v/>
      </c>
      <c r="L714" s="107"/>
      <c r="M714" s="107"/>
      <c r="N714" s="67" t="str">
        <f aca="false">IF($E714="","","系统")</f>
        <v/>
      </c>
      <c r="O714" s="67" t="str">
        <f aca="false">IF($E714="","","自动A")</f>
        <v/>
      </c>
      <c r="P714" s="18"/>
    </row>
    <row r="715" customFormat="false" ht="18" hidden="false" customHeight="true" outlineLevel="0" collapsed="false">
      <c r="A715" s="107" t="str">
        <f aca="false">IF($E715="","",ROW()-3)</f>
        <v/>
      </c>
      <c r="B715" s="110" t="str">
        <f aca="false">IF($E715="","",INDEX(进销存对接!$C$4:$C$305,238))</f>
        <v/>
      </c>
      <c r="C715" s="67" t="str">
        <f aca="false">IF($E715="","","记-"&amp;TEXT($B715,"YYYYMM")&amp;"-进销存")</f>
        <v/>
      </c>
      <c r="D715" s="107" t="str">
        <f aca="false">IF($E715="","",INDEX(进销存对接!$D$4:$D$305,238)&amp;" "&amp;TEXT($B715,"YYYY年M月")&amp;" 自动结转")</f>
        <v/>
      </c>
      <c r="E715" s="67" t="str">
        <f aca="false">IF(INDEX(进销存对接!$M$4:$U$305,238,1)=0,"",INDEX(进销存对接!$M$4:$U$305,238,1))</f>
        <v/>
      </c>
      <c r="F715" s="99" t="str">
        <f aca="false">IF($E715="","",IFERROR(INDEX(科目表!$A$4:$A$81,MATCH($E715,科目表!$B$4:$B$81,0)),""))</f>
        <v/>
      </c>
      <c r="G715" s="67" t="str">
        <f aca="false">IF($E715="","",IFERROR(INDEX(科目表!$E$4:$E$81,MATCH($E715,科目表!$B$4:$B$81,0)),""))</f>
        <v/>
      </c>
      <c r="H715" s="70" t="str">
        <f aca="false">IF($E715="","",N(INDEX(进销存对接!$M$4:$U$305,238,2)))</f>
        <v/>
      </c>
      <c r="I715" s="70" t="str">
        <f aca="false">IF($E715="","",N(INDEX(进销存对接!$M$4:$U$305,238,3)))</f>
        <v/>
      </c>
      <c r="J715" s="67"/>
      <c r="K715" s="67" t="str">
        <f aca="false">IF($E715="","",INDEX(进销存对接!$D$4:$D$305,238))</f>
        <v/>
      </c>
      <c r="L715" s="107"/>
      <c r="M715" s="107"/>
      <c r="N715" s="67" t="str">
        <f aca="false">IF($E715="","","系统")</f>
        <v/>
      </c>
      <c r="O715" s="67" t="str">
        <f aca="false">IF($E715="","","自动A")</f>
        <v/>
      </c>
      <c r="P715" s="18"/>
    </row>
    <row r="716" customFormat="false" ht="18" hidden="false" customHeight="true" outlineLevel="0" collapsed="false">
      <c r="A716" s="107" t="str">
        <f aca="false">IF($E716="","",ROW()-3)</f>
        <v/>
      </c>
      <c r="B716" s="110" t="str">
        <f aca="false">IF($E716="","",INDEX(进销存对接!$C$4:$C$305,238))</f>
        <v/>
      </c>
      <c r="C716" s="67" t="str">
        <f aca="false">IF($E716="","","记-"&amp;TEXT($B716,"YYYYMM")&amp;"-进销存")</f>
        <v/>
      </c>
      <c r="D716" s="107" t="str">
        <f aca="false">IF($E716="","",INDEX(进销存对接!$D$4:$D$305,238)&amp;" "&amp;TEXT($B716,"YYYY年M月")&amp;" 自动结转")</f>
        <v/>
      </c>
      <c r="E716" s="67" t="str">
        <f aca="false">IF(INDEX(进销存对接!$M$4:$U$305,238,4)=0,"",INDEX(进销存对接!$M$4:$U$305,238,4))</f>
        <v/>
      </c>
      <c r="F716" s="99" t="str">
        <f aca="false">IF($E716="","",IFERROR(INDEX(科目表!$A$4:$A$81,MATCH($E716,科目表!$B$4:$B$81,0)),""))</f>
        <v/>
      </c>
      <c r="G716" s="67" t="str">
        <f aca="false">IF($E716="","",IFERROR(INDEX(科目表!$E$4:$E$81,MATCH($E716,科目表!$B$4:$B$81,0)),""))</f>
        <v/>
      </c>
      <c r="H716" s="70" t="str">
        <f aca="false">IF($E716="","",N(INDEX(进销存对接!$M$4:$U$305,238,5)))</f>
        <v/>
      </c>
      <c r="I716" s="70" t="str">
        <f aca="false">IF($E716="","",N(INDEX(进销存对接!$M$4:$U$305,238,6)))</f>
        <v/>
      </c>
      <c r="J716" s="67"/>
      <c r="K716" s="67" t="str">
        <f aca="false">IF($E716="","",INDEX(进销存对接!$D$4:$D$305,238))</f>
        <v/>
      </c>
      <c r="L716" s="107"/>
      <c r="M716" s="107"/>
      <c r="N716" s="67" t="str">
        <f aca="false">IF($E716="","","系统")</f>
        <v/>
      </c>
      <c r="O716" s="67" t="str">
        <f aca="false">IF($E716="","","自动A")</f>
        <v/>
      </c>
      <c r="P716" s="18"/>
    </row>
    <row r="717" customFormat="false" ht="18" hidden="false" customHeight="true" outlineLevel="0" collapsed="false">
      <c r="A717" s="107" t="str">
        <f aca="false">IF($E717="","",ROW()-3)</f>
        <v/>
      </c>
      <c r="B717" s="110" t="str">
        <f aca="false">IF($E717="","",INDEX(进销存对接!$C$4:$C$305,238))</f>
        <v/>
      </c>
      <c r="C717" s="67" t="str">
        <f aca="false">IF($E717="","","记-"&amp;TEXT($B717,"YYYYMM")&amp;"-进销存")</f>
        <v/>
      </c>
      <c r="D717" s="107" t="str">
        <f aca="false">IF($E717="","",INDEX(进销存对接!$D$4:$D$305,238)&amp;" "&amp;TEXT($B717,"YYYY年M月")&amp;" 自动结转")</f>
        <v/>
      </c>
      <c r="E717" s="67" t="str">
        <f aca="false">IF(INDEX(进销存对接!$M$4:$U$305,238,7)=0,"",INDEX(进销存对接!$M$4:$U$305,238,7))</f>
        <v/>
      </c>
      <c r="F717" s="99" t="str">
        <f aca="false">IF($E717="","",IFERROR(INDEX(科目表!$A$4:$A$81,MATCH($E717,科目表!$B$4:$B$81,0)),""))</f>
        <v/>
      </c>
      <c r="G717" s="67" t="str">
        <f aca="false">IF($E717="","",IFERROR(INDEX(科目表!$E$4:$E$81,MATCH($E717,科目表!$B$4:$B$81,0)),""))</f>
        <v/>
      </c>
      <c r="H717" s="70" t="str">
        <f aca="false">IF($E717="","",N(INDEX(进销存对接!$M$4:$U$305,238,8)))</f>
        <v/>
      </c>
      <c r="I717" s="70" t="str">
        <f aca="false">IF($E717="","",N(INDEX(进销存对接!$M$4:$U$305,238,9)))</f>
        <v/>
      </c>
      <c r="J717" s="67"/>
      <c r="K717" s="67" t="str">
        <f aca="false">IF($E717="","",INDEX(进销存对接!$D$4:$D$305,238))</f>
        <v/>
      </c>
      <c r="L717" s="107"/>
      <c r="M717" s="107"/>
      <c r="N717" s="67" t="str">
        <f aca="false">IF($E717="","","系统")</f>
        <v/>
      </c>
      <c r="O717" s="67" t="str">
        <f aca="false">IF($E717="","","自动A")</f>
        <v/>
      </c>
      <c r="P717" s="18"/>
    </row>
    <row r="718" customFormat="false" ht="18" hidden="false" customHeight="true" outlineLevel="0" collapsed="false">
      <c r="A718" s="107" t="str">
        <f aca="false">IF($E718="","",ROW()-3)</f>
        <v/>
      </c>
      <c r="B718" s="110" t="str">
        <f aca="false">IF($E718="","",INDEX(进销存对接!$C$4:$C$305,239))</f>
        <v/>
      </c>
      <c r="C718" s="67" t="str">
        <f aca="false">IF($E718="","","记-"&amp;TEXT($B718,"YYYYMM")&amp;"-进销存")</f>
        <v/>
      </c>
      <c r="D718" s="107" t="str">
        <f aca="false">IF($E718="","",INDEX(进销存对接!$D$4:$D$305,239)&amp;" "&amp;TEXT($B718,"YYYY年M月")&amp;" 自动结转")</f>
        <v/>
      </c>
      <c r="E718" s="67" t="str">
        <f aca="false">IF(INDEX(进销存对接!$M$4:$U$305,239,1)=0,"",INDEX(进销存对接!$M$4:$U$305,239,1))</f>
        <v/>
      </c>
      <c r="F718" s="99" t="str">
        <f aca="false">IF($E718="","",IFERROR(INDEX(科目表!$A$4:$A$81,MATCH($E718,科目表!$B$4:$B$81,0)),""))</f>
        <v/>
      </c>
      <c r="G718" s="67" t="str">
        <f aca="false">IF($E718="","",IFERROR(INDEX(科目表!$E$4:$E$81,MATCH($E718,科目表!$B$4:$B$81,0)),""))</f>
        <v/>
      </c>
      <c r="H718" s="70" t="str">
        <f aca="false">IF($E718="","",N(INDEX(进销存对接!$M$4:$U$305,239,2)))</f>
        <v/>
      </c>
      <c r="I718" s="70" t="str">
        <f aca="false">IF($E718="","",N(INDEX(进销存对接!$M$4:$U$305,239,3)))</f>
        <v/>
      </c>
      <c r="J718" s="67"/>
      <c r="K718" s="67" t="str">
        <f aca="false">IF($E718="","",INDEX(进销存对接!$D$4:$D$305,239))</f>
        <v/>
      </c>
      <c r="L718" s="107"/>
      <c r="M718" s="107"/>
      <c r="N718" s="67" t="str">
        <f aca="false">IF($E718="","","系统")</f>
        <v/>
      </c>
      <c r="O718" s="67" t="str">
        <f aca="false">IF($E718="","","自动A")</f>
        <v/>
      </c>
      <c r="P718" s="18"/>
    </row>
    <row r="719" customFormat="false" ht="18" hidden="false" customHeight="true" outlineLevel="0" collapsed="false">
      <c r="A719" s="107" t="str">
        <f aca="false">IF($E719="","",ROW()-3)</f>
        <v/>
      </c>
      <c r="B719" s="110" t="str">
        <f aca="false">IF($E719="","",INDEX(进销存对接!$C$4:$C$305,239))</f>
        <v/>
      </c>
      <c r="C719" s="67" t="str">
        <f aca="false">IF($E719="","","记-"&amp;TEXT($B719,"YYYYMM")&amp;"-进销存")</f>
        <v/>
      </c>
      <c r="D719" s="107" t="str">
        <f aca="false">IF($E719="","",INDEX(进销存对接!$D$4:$D$305,239)&amp;" "&amp;TEXT($B719,"YYYY年M月")&amp;" 自动结转")</f>
        <v/>
      </c>
      <c r="E719" s="67" t="str">
        <f aca="false">IF(INDEX(进销存对接!$M$4:$U$305,239,4)=0,"",INDEX(进销存对接!$M$4:$U$305,239,4))</f>
        <v/>
      </c>
      <c r="F719" s="99" t="str">
        <f aca="false">IF($E719="","",IFERROR(INDEX(科目表!$A$4:$A$81,MATCH($E719,科目表!$B$4:$B$81,0)),""))</f>
        <v/>
      </c>
      <c r="G719" s="67" t="str">
        <f aca="false">IF($E719="","",IFERROR(INDEX(科目表!$E$4:$E$81,MATCH($E719,科目表!$B$4:$B$81,0)),""))</f>
        <v/>
      </c>
      <c r="H719" s="70" t="str">
        <f aca="false">IF($E719="","",N(INDEX(进销存对接!$M$4:$U$305,239,5)))</f>
        <v/>
      </c>
      <c r="I719" s="70" t="str">
        <f aca="false">IF($E719="","",N(INDEX(进销存对接!$M$4:$U$305,239,6)))</f>
        <v/>
      </c>
      <c r="J719" s="67"/>
      <c r="K719" s="67" t="str">
        <f aca="false">IF($E719="","",INDEX(进销存对接!$D$4:$D$305,239))</f>
        <v/>
      </c>
      <c r="L719" s="107"/>
      <c r="M719" s="107"/>
      <c r="N719" s="67" t="str">
        <f aca="false">IF($E719="","","系统")</f>
        <v/>
      </c>
      <c r="O719" s="67" t="str">
        <f aca="false">IF($E719="","","自动A")</f>
        <v/>
      </c>
      <c r="P719" s="18"/>
    </row>
    <row r="720" customFormat="false" ht="18" hidden="false" customHeight="true" outlineLevel="0" collapsed="false">
      <c r="A720" s="107" t="str">
        <f aca="false">IF($E720="","",ROW()-3)</f>
        <v/>
      </c>
      <c r="B720" s="110" t="str">
        <f aca="false">IF($E720="","",INDEX(进销存对接!$C$4:$C$305,239))</f>
        <v/>
      </c>
      <c r="C720" s="67" t="str">
        <f aca="false">IF($E720="","","记-"&amp;TEXT($B720,"YYYYMM")&amp;"-进销存")</f>
        <v/>
      </c>
      <c r="D720" s="107" t="str">
        <f aca="false">IF($E720="","",INDEX(进销存对接!$D$4:$D$305,239)&amp;" "&amp;TEXT($B720,"YYYY年M月")&amp;" 自动结转")</f>
        <v/>
      </c>
      <c r="E720" s="67" t="str">
        <f aca="false">IF(INDEX(进销存对接!$M$4:$U$305,239,7)=0,"",INDEX(进销存对接!$M$4:$U$305,239,7))</f>
        <v/>
      </c>
      <c r="F720" s="99" t="str">
        <f aca="false">IF($E720="","",IFERROR(INDEX(科目表!$A$4:$A$81,MATCH($E720,科目表!$B$4:$B$81,0)),""))</f>
        <v/>
      </c>
      <c r="G720" s="67" t="str">
        <f aca="false">IF($E720="","",IFERROR(INDEX(科目表!$E$4:$E$81,MATCH($E720,科目表!$B$4:$B$81,0)),""))</f>
        <v/>
      </c>
      <c r="H720" s="70" t="str">
        <f aca="false">IF($E720="","",N(INDEX(进销存对接!$M$4:$U$305,239,8)))</f>
        <v/>
      </c>
      <c r="I720" s="70" t="str">
        <f aca="false">IF($E720="","",N(INDEX(进销存对接!$M$4:$U$305,239,9)))</f>
        <v/>
      </c>
      <c r="J720" s="67"/>
      <c r="K720" s="67" t="str">
        <f aca="false">IF($E720="","",INDEX(进销存对接!$D$4:$D$305,239))</f>
        <v/>
      </c>
      <c r="L720" s="107"/>
      <c r="M720" s="107"/>
      <c r="N720" s="67" t="str">
        <f aca="false">IF($E720="","","系统")</f>
        <v/>
      </c>
      <c r="O720" s="67" t="str">
        <f aca="false">IF($E720="","","自动A")</f>
        <v/>
      </c>
      <c r="P720" s="18"/>
    </row>
    <row r="721" customFormat="false" ht="18" hidden="false" customHeight="true" outlineLevel="0" collapsed="false">
      <c r="A721" s="107" t="str">
        <f aca="false">IF($E721="","",ROW()-3)</f>
        <v/>
      </c>
      <c r="B721" s="110" t="str">
        <f aca="false">IF($E721="","",INDEX(进销存对接!$C$4:$C$305,240))</f>
        <v/>
      </c>
      <c r="C721" s="67" t="str">
        <f aca="false">IF($E721="","","记-"&amp;TEXT($B721,"YYYYMM")&amp;"-进销存")</f>
        <v/>
      </c>
      <c r="D721" s="107" t="str">
        <f aca="false">IF($E721="","",INDEX(进销存对接!$D$4:$D$305,240)&amp;" "&amp;TEXT($B721,"YYYY年M月")&amp;" 自动结转")</f>
        <v/>
      </c>
      <c r="E721" s="67" t="str">
        <f aca="false">IF(INDEX(进销存对接!$M$4:$U$305,240,1)=0,"",INDEX(进销存对接!$M$4:$U$305,240,1))</f>
        <v/>
      </c>
      <c r="F721" s="99" t="str">
        <f aca="false">IF($E721="","",IFERROR(INDEX(科目表!$A$4:$A$81,MATCH($E721,科目表!$B$4:$B$81,0)),""))</f>
        <v/>
      </c>
      <c r="G721" s="67" t="str">
        <f aca="false">IF($E721="","",IFERROR(INDEX(科目表!$E$4:$E$81,MATCH($E721,科目表!$B$4:$B$81,0)),""))</f>
        <v/>
      </c>
      <c r="H721" s="70" t="str">
        <f aca="false">IF($E721="","",N(INDEX(进销存对接!$M$4:$U$305,240,2)))</f>
        <v/>
      </c>
      <c r="I721" s="70" t="str">
        <f aca="false">IF($E721="","",N(INDEX(进销存对接!$M$4:$U$305,240,3)))</f>
        <v/>
      </c>
      <c r="J721" s="67"/>
      <c r="K721" s="67" t="str">
        <f aca="false">IF($E721="","",INDEX(进销存对接!$D$4:$D$305,240))</f>
        <v/>
      </c>
      <c r="L721" s="107"/>
      <c r="M721" s="107"/>
      <c r="N721" s="67" t="str">
        <f aca="false">IF($E721="","","系统")</f>
        <v/>
      </c>
      <c r="O721" s="67" t="str">
        <f aca="false">IF($E721="","","自动A")</f>
        <v/>
      </c>
      <c r="P721" s="18"/>
    </row>
    <row r="722" customFormat="false" ht="18" hidden="false" customHeight="true" outlineLevel="0" collapsed="false">
      <c r="A722" s="107" t="str">
        <f aca="false">IF($E722="","",ROW()-3)</f>
        <v/>
      </c>
      <c r="B722" s="110" t="str">
        <f aca="false">IF($E722="","",INDEX(进销存对接!$C$4:$C$305,240))</f>
        <v/>
      </c>
      <c r="C722" s="67" t="str">
        <f aca="false">IF($E722="","","记-"&amp;TEXT($B722,"YYYYMM")&amp;"-进销存")</f>
        <v/>
      </c>
      <c r="D722" s="107" t="str">
        <f aca="false">IF($E722="","",INDEX(进销存对接!$D$4:$D$305,240)&amp;" "&amp;TEXT($B722,"YYYY年M月")&amp;" 自动结转")</f>
        <v/>
      </c>
      <c r="E722" s="67" t="str">
        <f aca="false">IF(INDEX(进销存对接!$M$4:$U$305,240,4)=0,"",INDEX(进销存对接!$M$4:$U$305,240,4))</f>
        <v/>
      </c>
      <c r="F722" s="99" t="str">
        <f aca="false">IF($E722="","",IFERROR(INDEX(科目表!$A$4:$A$81,MATCH($E722,科目表!$B$4:$B$81,0)),""))</f>
        <v/>
      </c>
      <c r="G722" s="67" t="str">
        <f aca="false">IF($E722="","",IFERROR(INDEX(科目表!$E$4:$E$81,MATCH($E722,科目表!$B$4:$B$81,0)),""))</f>
        <v/>
      </c>
      <c r="H722" s="70" t="str">
        <f aca="false">IF($E722="","",N(INDEX(进销存对接!$M$4:$U$305,240,5)))</f>
        <v/>
      </c>
      <c r="I722" s="70" t="str">
        <f aca="false">IF($E722="","",N(INDEX(进销存对接!$M$4:$U$305,240,6)))</f>
        <v/>
      </c>
      <c r="J722" s="67"/>
      <c r="K722" s="67" t="str">
        <f aca="false">IF($E722="","",INDEX(进销存对接!$D$4:$D$305,240))</f>
        <v/>
      </c>
      <c r="L722" s="107"/>
      <c r="M722" s="107"/>
      <c r="N722" s="67" t="str">
        <f aca="false">IF($E722="","","系统")</f>
        <v/>
      </c>
      <c r="O722" s="67" t="str">
        <f aca="false">IF($E722="","","自动A")</f>
        <v/>
      </c>
      <c r="P722" s="18"/>
    </row>
    <row r="723" customFormat="false" ht="18" hidden="false" customHeight="true" outlineLevel="0" collapsed="false">
      <c r="A723" s="107" t="str">
        <f aca="false">IF($E723="","",ROW()-3)</f>
        <v/>
      </c>
      <c r="B723" s="110" t="str">
        <f aca="false">IF($E723="","",INDEX(进销存对接!$C$4:$C$305,240))</f>
        <v/>
      </c>
      <c r="C723" s="67" t="str">
        <f aca="false">IF($E723="","","记-"&amp;TEXT($B723,"YYYYMM")&amp;"-进销存")</f>
        <v/>
      </c>
      <c r="D723" s="107" t="str">
        <f aca="false">IF($E723="","",INDEX(进销存对接!$D$4:$D$305,240)&amp;" "&amp;TEXT($B723,"YYYY年M月")&amp;" 自动结转")</f>
        <v/>
      </c>
      <c r="E723" s="67" t="str">
        <f aca="false">IF(INDEX(进销存对接!$M$4:$U$305,240,7)=0,"",INDEX(进销存对接!$M$4:$U$305,240,7))</f>
        <v/>
      </c>
      <c r="F723" s="99" t="str">
        <f aca="false">IF($E723="","",IFERROR(INDEX(科目表!$A$4:$A$81,MATCH($E723,科目表!$B$4:$B$81,0)),""))</f>
        <v/>
      </c>
      <c r="G723" s="67" t="str">
        <f aca="false">IF($E723="","",IFERROR(INDEX(科目表!$E$4:$E$81,MATCH($E723,科目表!$B$4:$B$81,0)),""))</f>
        <v/>
      </c>
      <c r="H723" s="70" t="str">
        <f aca="false">IF($E723="","",N(INDEX(进销存对接!$M$4:$U$305,240,8)))</f>
        <v/>
      </c>
      <c r="I723" s="70" t="str">
        <f aca="false">IF($E723="","",N(INDEX(进销存对接!$M$4:$U$305,240,9)))</f>
        <v/>
      </c>
      <c r="J723" s="67"/>
      <c r="K723" s="67" t="str">
        <f aca="false">IF($E723="","",INDEX(进销存对接!$D$4:$D$305,240))</f>
        <v/>
      </c>
      <c r="L723" s="107"/>
      <c r="M723" s="107"/>
      <c r="N723" s="67" t="str">
        <f aca="false">IF($E723="","","系统")</f>
        <v/>
      </c>
      <c r="O723" s="67" t="str">
        <f aca="false">IF($E723="","","自动A")</f>
        <v/>
      </c>
      <c r="P723" s="18"/>
    </row>
    <row r="724" customFormat="false" ht="18" hidden="false" customHeight="true" outlineLevel="0" collapsed="false">
      <c r="A724" s="107" t="str">
        <f aca="false">IF($E724="","",ROW()-3)</f>
        <v/>
      </c>
      <c r="B724" s="110" t="str">
        <f aca="false">IF($E724="","",INDEX(进销存对接!$C$4:$C$305,241))</f>
        <v/>
      </c>
      <c r="C724" s="67" t="str">
        <f aca="false">IF($E724="","","记-"&amp;TEXT($B724,"YYYYMM")&amp;"-进销存")</f>
        <v/>
      </c>
      <c r="D724" s="107" t="str">
        <f aca="false">IF($E724="","",INDEX(进销存对接!$D$4:$D$305,241)&amp;" "&amp;TEXT($B724,"YYYY年M月")&amp;" 自动结转")</f>
        <v/>
      </c>
      <c r="E724" s="67" t="str">
        <f aca="false">IF(INDEX(进销存对接!$M$4:$U$305,241,1)=0,"",INDEX(进销存对接!$M$4:$U$305,241,1))</f>
        <v/>
      </c>
      <c r="F724" s="99" t="str">
        <f aca="false">IF($E724="","",IFERROR(INDEX(科目表!$A$4:$A$81,MATCH($E724,科目表!$B$4:$B$81,0)),""))</f>
        <v/>
      </c>
      <c r="G724" s="67" t="str">
        <f aca="false">IF($E724="","",IFERROR(INDEX(科目表!$E$4:$E$81,MATCH($E724,科目表!$B$4:$B$81,0)),""))</f>
        <v/>
      </c>
      <c r="H724" s="70" t="str">
        <f aca="false">IF($E724="","",N(INDEX(进销存对接!$M$4:$U$305,241,2)))</f>
        <v/>
      </c>
      <c r="I724" s="70" t="str">
        <f aca="false">IF($E724="","",N(INDEX(进销存对接!$M$4:$U$305,241,3)))</f>
        <v/>
      </c>
      <c r="J724" s="67"/>
      <c r="K724" s="67" t="str">
        <f aca="false">IF($E724="","",INDEX(进销存对接!$D$4:$D$305,241))</f>
        <v/>
      </c>
      <c r="L724" s="107"/>
      <c r="M724" s="107"/>
      <c r="N724" s="67" t="str">
        <f aca="false">IF($E724="","","系统")</f>
        <v/>
      </c>
      <c r="O724" s="67" t="str">
        <f aca="false">IF($E724="","","自动A")</f>
        <v/>
      </c>
      <c r="P724" s="18"/>
    </row>
    <row r="725" customFormat="false" ht="18" hidden="false" customHeight="true" outlineLevel="0" collapsed="false">
      <c r="A725" s="107" t="str">
        <f aca="false">IF($E725="","",ROW()-3)</f>
        <v/>
      </c>
      <c r="B725" s="110" t="str">
        <f aca="false">IF($E725="","",INDEX(进销存对接!$C$4:$C$305,241))</f>
        <v/>
      </c>
      <c r="C725" s="67" t="str">
        <f aca="false">IF($E725="","","记-"&amp;TEXT($B725,"YYYYMM")&amp;"-进销存")</f>
        <v/>
      </c>
      <c r="D725" s="107" t="str">
        <f aca="false">IF($E725="","",INDEX(进销存对接!$D$4:$D$305,241)&amp;" "&amp;TEXT($B725,"YYYY年M月")&amp;" 自动结转")</f>
        <v/>
      </c>
      <c r="E725" s="67" t="str">
        <f aca="false">IF(INDEX(进销存对接!$M$4:$U$305,241,4)=0,"",INDEX(进销存对接!$M$4:$U$305,241,4))</f>
        <v/>
      </c>
      <c r="F725" s="99" t="str">
        <f aca="false">IF($E725="","",IFERROR(INDEX(科目表!$A$4:$A$81,MATCH($E725,科目表!$B$4:$B$81,0)),""))</f>
        <v/>
      </c>
      <c r="G725" s="67" t="str">
        <f aca="false">IF($E725="","",IFERROR(INDEX(科目表!$E$4:$E$81,MATCH($E725,科目表!$B$4:$B$81,0)),""))</f>
        <v/>
      </c>
      <c r="H725" s="70" t="str">
        <f aca="false">IF($E725="","",N(INDEX(进销存对接!$M$4:$U$305,241,5)))</f>
        <v/>
      </c>
      <c r="I725" s="70" t="str">
        <f aca="false">IF($E725="","",N(INDEX(进销存对接!$M$4:$U$305,241,6)))</f>
        <v/>
      </c>
      <c r="J725" s="67"/>
      <c r="K725" s="67" t="str">
        <f aca="false">IF($E725="","",INDEX(进销存对接!$D$4:$D$305,241))</f>
        <v/>
      </c>
      <c r="L725" s="107"/>
      <c r="M725" s="107"/>
      <c r="N725" s="67" t="str">
        <f aca="false">IF($E725="","","系统")</f>
        <v/>
      </c>
      <c r="O725" s="67" t="str">
        <f aca="false">IF($E725="","","自动A")</f>
        <v/>
      </c>
      <c r="P725" s="18"/>
    </row>
    <row r="726" customFormat="false" ht="18" hidden="false" customHeight="true" outlineLevel="0" collapsed="false">
      <c r="A726" s="107" t="str">
        <f aca="false">IF($E726="","",ROW()-3)</f>
        <v/>
      </c>
      <c r="B726" s="110" t="str">
        <f aca="false">IF($E726="","",INDEX(进销存对接!$C$4:$C$305,241))</f>
        <v/>
      </c>
      <c r="C726" s="67" t="str">
        <f aca="false">IF($E726="","","记-"&amp;TEXT($B726,"YYYYMM")&amp;"-进销存")</f>
        <v/>
      </c>
      <c r="D726" s="107" t="str">
        <f aca="false">IF($E726="","",INDEX(进销存对接!$D$4:$D$305,241)&amp;" "&amp;TEXT($B726,"YYYY年M月")&amp;" 自动结转")</f>
        <v/>
      </c>
      <c r="E726" s="67" t="str">
        <f aca="false">IF(INDEX(进销存对接!$M$4:$U$305,241,7)=0,"",INDEX(进销存对接!$M$4:$U$305,241,7))</f>
        <v/>
      </c>
      <c r="F726" s="99" t="str">
        <f aca="false">IF($E726="","",IFERROR(INDEX(科目表!$A$4:$A$81,MATCH($E726,科目表!$B$4:$B$81,0)),""))</f>
        <v/>
      </c>
      <c r="G726" s="67" t="str">
        <f aca="false">IF($E726="","",IFERROR(INDEX(科目表!$E$4:$E$81,MATCH($E726,科目表!$B$4:$B$81,0)),""))</f>
        <v/>
      </c>
      <c r="H726" s="70" t="str">
        <f aca="false">IF($E726="","",N(INDEX(进销存对接!$M$4:$U$305,241,8)))</f>
        <v/>
      </c>
      <c r="I726" s="70" t="str">
        <f aca="false">IF($E726="","",N(INDEX(进销存对接!$M$4:$U$305,241,9)))</f>
        <v/>
      </c>
      <c r="J726" s="67"/>
      <c r="K726" s="67" t="str">
        <f aca="false">IF($E726="","",INDEX(进销存对接!$D$4:$D$305,241))</f>
        <v/>
      </c>
      <c r="L726" s="107"/>
      <c r="M726" s="107"/>
      <c r="N726" s="67" t="str">
        <f aca="false">IF($E726="","","系统")</f>
        <v/>
      </c>
      <c r="O726" s="67" t="str">
        <f aca="false">IF($E726="","","自动A")</f>
        <v/>
      </c>
      <c r="P726" s="18"/>
    </row>
    <row r="727" customFormat="false" ht="18" hidden="false" customHeight="true" outlineLevel="0" collapsed="false">
      <c r="A727" s="107" t="str">
        <f aca="false">IF($E727="","",ROW()-3)</f>
        <v/>
      </c>
      <c r="B727" s="110" t="str">
        <f aca="false">IF($E727="","",INDEX(进销存对接!$C$4:$C$305,242))</f>
        <v/>
      </c>
      <c r="C727" s="67" t="str">
        <f aca="false">IF($E727="","","记-"&amp;TEXT($B727,"YYYYMM")&amp;"-进销存")</f>
        <v/>
      </c>
      <c r="D727" s="107" t="str">
        <f aca="false">IF($E727="","",INDEX(进销存对接!$D$4:$D$305,242)&amp;" "&amp;TEXT($B727,"YYYY年M月")&amp;" 自动结转")</f>
        <v/>
      </c>
      <c r="E727" s="67" t="str">
        <f aca="false">IF(INDEX(进销存对接!$M$4:$U$305,242,1)=0,"",INDEX(进销存对接!$M$4:$U$305,242,1))</f>
        <v/>
      </c>
      <c r="F727" s="99" t="str">
        <f aca="false">IF($E727="","",IFERROR(INDEX(科目表!$A$4:$A$81,MATCH($E727,科目表!$B$4:$B$81,0)),""))</f>
        <v/>
      </c>
      <c r="G727" s="67" t="str">
        <f aca="false">IF($E727="","",IFERROR(INDEX(科目表!$E$4:$E$81,MATCH($E727,科目表!$B$4:$B$81,0)),""))</f>
        <v/>
      </c>
      <c r="H727" s="70" t="str">
        <f aca="false">IF($E727="","",N(INDEX(进销存对接!$M$4:$U$305,242,2)))</f>
        <v/>
      </c>
      <c r="I727" s="70" t="str">
        <f aca="false">IF($E727="","",N(INDEX(进销存对接!$M$4:$U$305,242,3)))</f>
        <v/>
      </c>
      <c r="J727" s="67"/>
      <c r="K727" s="67" t="str">
        <f aca="false">IF($E727="","",INDEX(进销存对接!$D$4:$D$305,242))</f>
        <v/>
      </c>
      <c r="L727" s="107"/>
      <c r="M727" s="107"/>
      <c r="N727" s="67" t="str">
        <f aca="false">IF($E727="","","系统")</f>
        <v/>
      </c>
      <c r="O727" s="67" t="str">
        <f aca="false">IF($E727="","","自动A")</f>
        <v/>
      </c>
      <c r="P727" s="18"/>
    </row>
    <row r="728" customFormat="false" ht="18" hidden="false" customHeight="true" outlineLevel="0" collapsed="false">
      <c r="A728" s="107" t="str">
        <f aca="false">IF($E728="","",ROW()-3)</f>
        <v/>
      </c>
      <c r="B728" s="110" t="str">
        <f aca="false">IF($E728="","",INDEX(进销存对接!$C$4:$C$305,242))</f>
        <v/>
      </c>
      <c r="C728" s="67" t="str">
        <f aca="false">IF($E728="","","记-"&amp;TEXT($B728,"YYYYMM")&amp;"-进销存")</f>
        <v/>
      </c>
      <c r="D728" s="107" t="str">
        <f aca="false">IF($E728="","",INDEX(进销存对接!$D$4:$D$305,242)&amp;" "&amp;TEXT($B728,"YYYY年M月")&amp;" 自动结转")</f>
        <v/>
      </c>
      <c r="E728" s="67" t="str">
        <f aca="false">IF(INDEX(进销存对接!$M$4:$U$305,242,4)=0,"",INDEX(进销存对接!$M$4:$U$305,242,4))</f>
        <v/>
      </c>
      <c r="F728" s="99" t="str">
        <f aca="false">IF($E728="","",IFERROR(INDEX(科目表!$A$4:$A$81,MATCH($E728,科目表!$B$4:$B$81,0)),""))</f>
        <v/>
      </c>
      <c r="G728" s="67" t="str">
        <f aca="false">IF($E728="","",IFERROR(INDEX(科目表!$E$4:$E$81,MATCH($E728,科目表!$B$4:$B$81,0)),""))</f>
        <v/>
      </c>
      <c r="H728" s="70" t="str">
        <f aca="false">IF($E728="","",N(INDEX(进销存对接!$M$4:$U$305,242,5)))</f>
        <v/>
      </c>
      <c r="I728" s="70" t="str">
        <f aca="false">IF($E728="","",N(INDEX(进销存对接!$M$4:$U$305,242,6)))</f>
        <v/>
      </c>
      <c r="J728" s="67"/>
      <c r="K728" s="67" t="str">
        <f aca="false">IF($E728="","",INDEX(进销存对接!$D$4:$D$305,242))</f>
        <v/>
      </c>
      <c r="L728" s="107"/>
      <c r="M728" s="107"/>
      <c r="N728" s="67" t="str">
        <f aca="false">IF($E728="","","系统")</f>
        <v/>
      </c>
      <c r="O728" s="67" t="str">
        <f aca="false">IF($E728="","","自动A")</f>
        <v/>
      </c>
      <c r="P728" s="18"/>
    </row>
    <row r="729" customFormat="false" ht="18" hidden="false" customHeight="true" outlineLevel="0" collapsed="false">
      <c r="A729" s="107" t="str">
        <f aca="false">IF($E729="","",ROW()-3)</f>
        <v/>
      </c>
      <c r="B729" s="110" t="str">
        <f aca="false">IF($E729="","",INDEX(进销存对接!$C$4:$C$305,242))</f>
        <v/>
      </c>
      <c r="C729" s="67" t="str">
        <f aca="false">IF($E729="","","记-"&amp;TEXT($B729,"YYYYMM")&amp;"-进销存")</f>
        <v/>
      </c>
      <c r="D729" s="107" t="str">
        <f aca="false">IF($E729="","",INDEX(进销存对接!$D$4:$D$305,242)&amp;" "&amp;TEXT($B729,"YYYY年M月")&amp;" 自动结转")</f>
        <v/>
      </c>
      <c r="E729" s="67" t="str">
        <f aca="false">IF(INDEX(进销存对接!$M$4:$U$305,242,7)=0,"",INDEX(进销存对接!$M$4:$U$305,242,7))</f>
        <v/>
      </c>
      <c r="F729" s="99" t="str">
        <f aca="false">IF($E729="","",IFERROR(INDEX(科目表!$A$4:$A$81,MATCH($E729,科目表!$B$4:$B$81,0)),""))</f>
        <v/>
      </c>
      <c r="G729" s="67" t="str">
        <f aca="false">IF($E729="","",IFERROR(INDEX(科目表!$E$4:$E$81,MATCH($E729,科目表!$B$4:$B$81,0)),""))</f>
        <v/>
      </c>
      <c r="H729" s="70" t="str">
        <f aca="false">IF($E729="","",N(INDEX(进销存对接!$M$4:$U$305,242,8)))</f>
        <v/>
      </c>
      <c r="I729" s="70" t="str">
        <f aca="false">IF($E729="","",N(INDEX(进销存对接!$M$4:$U$305,242,9)))</f>
        <v/>
      </c>
      <c r="J729" s="67"/>
      <c r="K729" s="67" t="str">
        <f aca="false">IF($E729="","",INDEX(进销存对接!$D$4:$D$305,242))</f>
        <v/>
      </c>
      <c r="L729" s="107"/>
      <c r="M729" s="107"/>
      <c r="N729" s="67" t="str">
        <f aca="false">IF($E729="","","系统")</f>
        <v/>
      </c>
      <c r="O729" s="67" t="str">
        <f aca="false">IF($E729="","","自动A")</f>
        <v/>
      </c>
      <c r="P729" s="18"/>
    </row>
    <row r="730" customFormat="false" ht="18" hidden="false" customHeight="true" outlineLevel="0" collapsed="false">
      <c r="A730" s="107" t="str">
        <f aca="false">IF($E730="","",ROW()-3)</f>
        <v/>
      </c>
      <c r="B730" s="110" t="str">
        <f aca="false">IF($E730="","",INDEX(进销存对接!$C$4:$C$305,243))</f>
        <v/>
      </c>
      <c r="C730" s="67" t="str">
        <f aca="false">IF($E730="","","记-"&amp;TEXT($B730,"YYYYMM")&amp;"-进销存")</f>
        <v/>
      </c>
      <c r="D730" s="107" t="str">
        <f aca="false">IF($E730="","",INDEX(进销存对接!$D$4:$D$305,243)&amp;" "&amp;TEXT($B730,"YYYY年M月")&amp;" 自动结转")</f>
        <v/>
      </c>
      <c r="E730" s="67" t="str">
        <f aca="false">IF(INDEX(进销存对接!$M$4:$U$305,243,1)=0,"",INDEX(进销存对接!$M$4:$U$305,243,1))</f>
        <v/>
      </c>
      <c r="F730" s="99" t="str">
        <f aca="false">IF($E730="","",IFERROR(INDEX(科目表!$A$4:$A$81,MATCH($E730,科目表!$B$4:$B$81,0)),""))</f>
        <v/>
      </c>
      <c r="G730" s="67" t="str">
        <f aca="false">IF($E730="","",IFERROR(INDEX(科目表!$E$4:$E$81,MATCH($E730,科目表!$B$4:$B$81,0)),""))</f>
        <v/>
      </c>
      <c r="H730" s="70" t="str">
        <f aca="false">IF($E730="","",N(INDEX(进销存对接!$M$4:$U$305,243,2)))</f>
        <v/>
      </c>
      <c r="I730" s="70" t="str">
        <f aca="false">IF($E730="","",N(INDEX(进销存对接!$M$4:$U$305,243,3)))</f>
        <v/>
      </c>
      <c r="J730" s="67"/>
      <c r="K730" s="67" t="str">
        <f aca="false">IF($E730="","",INDEX(进销存对接!$D$4:$D$305,243))</f>
        <v/>
      </c>
      <c r="L730" s="107"/>
      <c r="M730" s="107"/>
      <c r="N730" s="67" t="str">
        <f aca="false">IF($E730="","","系统")</f>
        <v/>
      </c>
      <c r="O730" s="67" t="str">
        <f aca="false">IF($E730="","","自动A")</f>
        <v/>
      </c>
      <c r="P730" s="18"/>
    </row>
    <row r="731" customFormat="false" ht="18" hidden="false" customHeight="true" outlineLevel="0" collapsed="false">
      <c r="A731" s="107" t="str">
        <f aca="false">IF($E731="","",ROW()-3)</f>
        <v/>
      </c>
      <c r="B731" s="110" t="str">
        <f aca="false">IF($E731="","",INDEX(进销存对接!$C$4:$C$305,243))</f>
        <v/>
      </c>
      <c r="C731" s="67" t="str">
        <f aca="false">IF($E731="","","记-"&amp;TEXT($B731,"YYYYMM")&amp;"-进销存")</f>
        <v/>
      </c>
      <c r="D731" s="107" t="str">
        <f aca="false">IF($E731="","",INDEX(进销存对接!$D$4:$D$305,243)&amp;" "&amp;TEXT($B731,"YYYY年M月")&amp;" 自动结转")</f>
        <v/>
      </c>
      <c r="E731" s="67" t="str">
        <f aca="false">IF(INDEX(进销存对接!$M$4:$U$305,243,4)=0,"",INDEX(进销存对接!$M$4:$U$305,243,4))</f>
        <v/>
      </c>
      <c r="F731" s="99" t="str">
        <f aca="false">IF($E731="","",IFERROR(INDEX(科目表!$A$4:$A$81,MATCH($E731,科目表!$B$4:$B$81,0)),""))</f>
        <v/>
      </c>
      <c r="G731" s="67" t="str">
        <f aca="false">IF($E731="","",IFERROR(INDEX(科目表!$E$4:$E$81,MATCH($E731,科目表!$B$4:$B$81,0)),""))</f>
        <v/>
      </c>
      <c r="H731" s="70" t="str">
        <f aca="false">IF($E731="","",N(INDEX(进销存对接!$M$4:$U$305,243,5)))</f>
        <v/>
      </c>
      <c r="I731" s="70" t="str">
        <f aca="false">IF($E731="","",N(INDEX(进销存对接!$M$4:$U$305,243,6)))</f>
        <v/>
      </c>
      <c r="J731" s="67"/>
      <c r="K731" s="67" t="str">
        <f aca="false">IF($E731="","",INDEX(进销存对接!$D$4:$D$305,243))</f>
        <v/>
      </c>
      <c r="L731" s="107"/>
      <c r="M731" s="107"/>
      <c r="N731" s="67" t="str">
        <f aca="false">IF($E731="","","系统")</f>
        <v/>
      </c>
      <c r="O731" s="67" t="str">
        <f aca="false">IF($E731="","","自动A")</f>
        <v/>
      </c>
      <c r="P731" s="18"/>
    </row>
    <row r="732" customFormat="false" ht="18" hidden="false" customHeight="true" outlineLevel="0" collapsed="false">
      <c r="A732" s="107" t="str">
        <f aca="false">IF($E732="","",ROW()-3)</f>
        <v/>
      </c>
      <c r="B732" s="110" t="str">
        <f aca="false">IF($E732="","",INDEX(进销存对接!$C$4:$C$305,243))</f>
        <v/>
      </c>
      <c r="C732" s="67" t="str">
        <f aca="false">IF($E732="","","记-"&amp;TEXT($B732,"YYYYMM")&amp;"-进销存")</f>
        <v/>
      </c>
      <c r="D732" s="107" t="str">
        <f aca="false">IF($E732="","",INDEX(进销存对接!$D$4:$D$305,243)&amp;" "&amp;TEXT($B732,"YYYY年M月")&amp;" 自动结转")</f>
        <v/>
      </c>
      <c r="E732" s="67" t="str">
        <f aca="false">IF(INDEX(进销存对接!$M$4:$U$305,243,7)=0,"",INDEX(进销存对接!$M$4:$U$305,243,7))</f>
        <v/>
      </c>
      <c r="F732" s="99" t="str">
        <f aca="false">IF($E732="","",IFERROR(INDEX(科目表!$A$4:$A$81,MATCH($E732,科目表!$B$4:$B$81,0)),""))</f>
        <v/>
      </c>
      <c r="G732" s="67" t="str">
        <f aca="false">IF($E732="","",IFERROR(INDEX(科目表!$E$4:$E$81,MATCH($E732,科目表!$B$4:$B$81,0)),""))</f>
        <v/>
      </c>
      <c r="H732" s="70" t="str">
        <f aca="false">IF($E732="","",N(INDEX(进销存对接!$M$4:$U$305,243,8)))</f>
        <v/>
      </c>
      <c r="I732" s="70" t="str">
        <f aca="false">IF($E732="","",N(INDEX(进销存对接!$M$4:$U$305,243,9)))</f>
        <v/>
      </c>
      <c r="J732" s="67"/>
      <c r="K732" s="67" t="str">
        <f aca="false">IF($E732="","",INDEX(进销存对接!$D$4:$D$305,243))</f>
        <v/>
      </c>
      <c r="L732" s="107"/>
      <c r="M732" s="107"/>
      <c r="N732" s="67" t="str">
        <f aca="false">IF($E732="","","系统")</f>
        <v/>
      </c>
      <c r="O732" s="67" t="str">
        <f aca="false">IF($E732="","","自动A")</f>
        <v/>
      </c>
      <c r="P732" s="18"/>
    </row>
    <row r="733" customFormat="false" ht="18" hidden="false" customHeight="true" outlineLevel="0" collapsed="false">
      <c r="A733" s="107" t="str">
        <f aca="false">IF($E733="","",ROW()-3)</f>
        <v/>
      </c>
      <c r="B733" s="110" t="str">
        <f aca="false">IF($E733="","",INDEX(进销存对接!$C$4:$C$305,244))</f>
        <v/>
      </c>
      <c r="C733" s="67" t="str">
        <f aca="false">IF($E733="","","记-"&amp;TEXT($B733,"YYYYMM")&amp;"-进销存")</f>
        <v/>
      </c>
      <c r="D733" s="107" t="str">
        <f aca="false">IF($E733="","",INDEX(进销存对接!$D$4:$D$305,244)&amp;" "&amp;TEXT($B733,"YYYY年M月")&amp;" 自动结转")</f>
        <v/>
      </c>
      <c r="E733" s="67" t="str">
        <f aca="false">IF(INDEX(进销存对接!$M$4:$U$305,244,1)=0,"",INDEX(进销存对接!$M$4:$U$305,244,1))</f>
        <v/>
      </c>
      <c r="F733" s="99" t="str">
        <f aca="false">IF($E733="","",IFERROR(INDEX(科目表!$A$4:$A$81,MATCH($E733,科目表!$B$4:$B$81,0)),""))</f>
        <v/>
      </c>
      <c r="G733" s="67" t="str">
        <f aca="false">IF($E733="","",IFERROR(INDEX(科目表!$E$4:$E$81,MATCH($E733,科目表!$B$4:$B$81,0)),""))</f>
        <v/>
      </c>
      <c r="H733" s="70" t="str">
        <f aca="false">IF($E733="","",N(INDEX(进销存对接!$M$4:$U$305,244,2)))</f>
        <v/>
      </c>
      <c r="I733" s="70" t="str">
        <f aca="false">IF($E733="","",N(INDEX(进销存对接!$M$4:$U$305,244,3)))</f>
        <v/>
      </c>
      <c r="J733" s="67"/>
      <c r="K733" s="67" t="str">
        <f aca="false">IF($E733="","",INDEX(进销存对接!$D$4:$D$305,244))</f>
        <v/>
      </c>
      <c r="L733" s="107"/>
      <c r="M733" s="107"/>
      <c r="N733" s="67" t="str">
        <f aca="false">IF($E733="","","系统")</f>
        <v/>
      </c>
      <c r="O733" s="67" t="str">
        <f aca="false">IF($E733="","","自动A")</f>
        <v/>
      </c>
      <c r="P733" s="18"/>
    </row>
    <row r="734" customFormat="false" ht="18" hidden="false" customHeight="true" outlineLevel="0" collapsed="false">
      <c r="A734" s="107" t="str">
        <f aca="false">IF($E734="","",ROW()-3)</f>
        <v/>
      </c>
      <c r="B734" s="110" t="str">
        <f aca="false">IF($E734="","",INDEX(进销存对接!$C$4:$C$305,244))</f>
        <v/>
      </c>
      <c r="C734" s="67" t="str">
        <f aca="false">IF($E734="","","记-"&amp;TEXT($B734,"YYYYMM")&amp;"-进销存")</f>
        <v/>
      </c>
      <c r="D734" s="107" t="str">
        <f aca="false">IF($E734="","",INDEX(进销存对接!$D$4:$D$305,244)&amp;" "&amp;TEXT($B734,"YYYY年M月")&amp;" 自动结转")</f>
        <v/>
      </c>
      <c r="E734" s="67" t="str">
        <f aca="false">IF(INDEX(进销存对接!$M$4:$U$305,244,4)=0,"",INDEX(进销存对接!$M$4:$U$305,244,4))</f>
        <v/>
      </c>
      <c r="F734" s="99" t="str">
        <f aca="false">IF($E734="","",IFERROR(INDEX(科目表!$A$4:$A$81,MATCH($E734,科目表!$B$4:$B$81,0)),""))</f>
        <v/>
      </c>
      <c r="G734" s="67" t="str">
        <f aca="false">IF($E734="","",IFERROR(INDEX(科目表!$E$4:$E$81,MATCH($E734,科目表!$B$4:$B$81,0)),""))</f>
        <v/>
      </c>
      <c r="H734" s="70" t="str">
        <f aca="false">IF($E734="","",N(INDEX(进销存对接!$M$4:$U$305,244,5)))</f>
        <v/>
      </c>
      <c r="I734" s="70" t="str">
        <f aca="false">IF($E734="","",N(INDEX(进销存对接!$M$4:$U$305,244,6)))</f>
        <v/>
      </c>
      <c r="J734" s="67"/>
      <c r="K734" s="67" t="str">
        <f aca="false">IF($E734="","",INDEX(进销存对接!$D$4:$D$305,244))</f>
        <v/>
      </c>
      <c r="L734" s="107"/>
      <c r="M734" s="107"/>
      <c r="N734" s="67" t="str">
        <f aca="false">IF($E734="","","系统")</f>
        <v/>
      </c>
      <c r="O734" s="67" t="str">
        <f aca="false">IF($E734="","","自动A")</f>
        <v/>
      </c>
      <c r="P734" s="18"/>
    </row>
    <row r="735" customFormat="false" ht="18" hidden="false" customHeight="true" outlineLevel="0" collapsed="false">
      <c r="A735" s="107" t="str">
        <f aca="false">IF($E735="","",ROW()-3)</f>
        <v/>
      </c>
      <c r="B735" s="110" t="str">
        <f aca="false">IF($E735="","",INDEX(进销存对接!$C$4:$C$305,244))</f>
        <v/>
      </c>
      <c r="C735" s="67" t="str">
        <f aca="false">IF($E735="","","记-"&amp;TEXT($B735,"YYYYMM")&amp;"-进销存")</f>
        <v/>
      </c>
      <c r="D735" s="107" t="str">
        <f aca="false">IF($E735="","",INDEX(进销存对接!$D$4:$D$305,244)&amp;" "&amp;TEXT($B735,"YYYY年M月")&amp;" 自动结转")</f>
        <v/>
      </c>
      <c r="E735" s="67" t="str">
        <f aca="false">IF(INDEX(进销存对接!$M$4:$U$305,244,7)=0,"",INDEX(进销存对接!$M$4:$U$305,244,7))</f>
        <v/>
      </c>
      <c r="F735" s="99" t="str">
        <f aca="false">IF($E735="","",IFERROR(INDEX(科目表!$A$4:$A$81,MATCH($E735,科目表!$B$4:$B$81,0)),""))</f>
        <v/>
      </c>
      <c r="G735" s="67" t="str">
        <f aca="false">IF($E735="","",IFERROR(INDEX(科目表!$E$4:$E$81,MATCH($E735,科目表!$B$4:$B$81,0)),""))</f>
        <v/>
      </c>
      <c r="H735" s="70" t="str">
        <f aca="false">IF($E735="","",N(INDEX(进销存对接!$M$4:$U$305,244,8)))</f>
        <v/>
      </c>
      <c r="I735" s="70" t="str">
        <f aca="false">IF($E735="","",N(INDEX(进销存对接!$M$4:$U$305,244,9)))</f>
        <v/>
      </c>
      <c r="J735" s="67"/>
      <c r="K735" s="67" t="str">
        <f aca="false">IF($E735="","",INDEX(进销存对接!$D$4:$D$305,244))</f>
        <v/>
      </c>
      <c r="L735" s="107"/>
      <c r="M735" s="107"/>
      <c r="N735" s="67" t="str">
        <f aca="false">IF($E735="","","系统")</f>
        <v/>
      </c>
      <c r="O735" s="67" t="str">
        <f aca="false">IF($E735="","","自动A")</f>
        <v/>
      </c>
      <c r="P735" s="18"/>
    </row>
    <row r="736" customFormat="false" ht="18" hidden="false" customHeight="true" outlineLevel="0" collapsed="false">
      <c r="A736" s="107" t="str">
        <f aca="false">IF($E736="","",ROW()-3)</f>
        <v/>
      </c>
      <c r="B736" s="110" t="str">
        <f aca="false">IF($E736="","",INDEX(进销存对接!$C$4:$C$305,245))</f>
        <v/>
      </c>
      <c r="C736" s="67" t="str">
        <f aca="false">IF($E736="","","记-"&amp;TEXT($B736,"YYYYMM")&amp;"-进销存")</f>
        <v/>
      </c>
      <c r="D736" s="107" t="str">
        <f aca="false">IF($E736="","",INDEX(进销存对接!$D$4:$D$305,245)&amp;" "&amp;TEXT($B736,"YYYY年M月")&amp;" 自动结转")</f>
        <v/>
      </c>
      <c r="E736" s="67" t="str">
        <f aca="false">IF(INDEX(进销存对接!$M$4:$U$305,245,1)=0,"",INDEX(进销存对接!$M$4:$U$305,245,1))</f>
        <v/>
      </c>
      <c r="F736" s="99" t="str">
        <f aca="false">IF($E736="","",IFERROR(INDEX(科目表!$A$4:$A$81,MATCH($E736,科目表!$B$4:$B$81,0)),""))</f>
        <v/>
      </c>
      <c r="G736" s="67" t="str">
        <f aca="false">IF($E736="","",IFERROR(INDEX(科目表!$E$4:$E$81,MATCH($E736,科目表!$B$4:$B$81,0)),""))</f>
        <v/>
      </c>
      <c r="H736" s="70" t="str">
        <f aca="false">IF($E736="","",N(INDEX(进销存对接!$M$4:$U$305,245,2)))</f>
        <v/>
      </c>
      <c r="I736" s="70" t="str">
        <f aca="false">IF($E736="","",N(INDEX(进销存对接!$M$4:$U$305,245,3)))</f>
        <v/>
      </c>
      <c r="J736" s="67"/>
      <c r="K736" s="67" t="str">
        <f aca="false">IF($E736="","",INDEX(进销存对接!$D$4:$D$305,245))</f>
        <v/>
      </c>
      <c r="L736" s="107"/>
      <c r="M736" s="107"/>
      <c r="N736" s="67" t="str">
        <f aca="false">IF($E736="","","系统")</f>
        <v/>
      </c>
      <c r="O736" s="67" t="str">
        <f aca="false">IF($E736="","","自动A")</f>
        <v/>
      </c>
      <c r="P736" s="18"/>
    </row>
    <row r="737" customFormat="false" ht="18" hidden="false" customHeight="true" outlineLevel="0" collapsed="false">
      <c r="A737" s="107" t="str">
        <f aca="false">IF($E737="","",ROW()-3)</f>
        <v/>
      </c>
      <c r="B737" s="110" t="str">
        <f aca="false">IF($E737="","",INDEX(进销存对接!$C$4:$C$305,245))</f>
        <v/>
      </c>
      <c r="C737" s="67" t="str">
        <f aca="false">IF($E737="","","记-"&amp;TEXT($B737,"YYYYMM")&amp;"-进销存")</f>
        <v/>
      </c>
      <c r="D737" s="107" t="str">
        <f aca="false">IF($E737="","",INDEX(进销存对接!$D$4:$D$305,245)&amp;" "&amp;TEXT($B737,"YYYY年M月")&amp;" 自动结转")</f>
        <v/>
      </c>
      <c r="E737" s="67" t="str">
        <f aca="false">IF(INDEX(进销存对接!$M$4:$U$305,245,4)=0,"",INDEX(进销存对接!$M$4:$U$305,245,4))</f>
        <v/>
      </c>
      <c r="F737" s="99" t="str">
        <f aca="false">IF($E737="","",IFERROR(INDEX(科目表!$A$4:$A$81,MATCH($E737,科目表!$B$4:$B$81,0)),""))</f>
        <v/>
      </c>
      <c r="G737" s="67" t="str">
        <f aca="false">IF($E737="","",IFERROR(INDEX(科目表!$E$4:$E$81,MATCH($E737,科目表!$B$4:$B$81,0)),""))</f>
        <v/>
      </c>
      <c r="H737" s="70" t="str">
        <f aca="false">IF($E737="","",N(INDEX(进销存对接!$M$4:$U$305,245,5)))</f>
        <v/>
      </c>
      <c r="I737" s="70" t="str">
        <f aca="false">IF($E737="","",N(INDEX(进销存对接!$M$4:$U$305,245,6)))</f>
        <v/>
      </c>
      <c r="J737" s="67"/>
      <c r="K737" s="67" t="str">
        <f aca="false">IF($E737="","",INDEX(进销存对接!$D$4:$D$305,245))</f>
        <v/>
      </c>
      <c r="L737" s="107"/>
      <c r="M737" s="107"/>
      <c r="N737" s="67" t="str">
        <f aca="false">IF($E737="","","系统")</f>
        <v/>
      </c>
      <c r="O737" s="67" t="str">
        <f aca="false">IF($E737="","","自动A")</f>
        <v/>
      </c>
      <c r="P737" s="18"/>
    </row>
    <row r="738" customFormat="false" ht="18" hidden="false" customHeight="true" outlineLevel="0" collapsed="false">
      <c r="A738" s="107" t="str">
        <f aca="false">IF($E738="","",ROW()-3)</f>
        <v/>
      </c>
      <c r="B738" s="110" t="str">
        <f aca="false">IF($E738="","",INDEX(进销存对接!$C$4:$C$305,245))</f>
        <v/>
      </c>
      <c r="C738" s="67" t="str">
        <f aca="false">IF($E738="","","记-"&amp;TEXT($B738,"YYYYMM")&amp;"-进销存")</f>
        <v/>
      </c>
      <c r="D738" s="107" t="str">
        <f aca="false">IF($E738="","",INDEX(进销存对接!$D$4:$D$305,245)&amp;" "&amp;TEXT($B738,"YYYY年M月")&amp;" 自动结转")</f>
        <v/>
      </c>
      <c r="E738" s="67" t="str">
        <f aca="false">IF(INDEX(进销存对接!$M$4:$U$305,245,7)=0,"",INDEX(进销存对接!$M$4:$U$305,245,7))</f>
        <v/>
      </c>
      <c r="F738" s="99" t="str">
        <f aca="false">IF($E738="","",IFERROR(INDEX(科目表!$A$4:$A$81,MATCH($E738,科目表!$B$4:$B$81,0)),""))</f>
        <v/>
      </c>
      <c r="G738" s="67" t="str">
        <f aca="false">IF($E738="","",IFERROR(INDEX(科目表!$E$4:$E$81,MATCH($E738,科目表!$B$4:$B$81,0)),""))</f>
        <v/>
      </c>
      <c r="H738" s="70" t="str">
        <f aca="false">IF($E738="","",N(INDEX(进销存对接!$M$4:$U$305,245,8)))</f>
        <v/>
      </c>
      <c r="I738" s="70" t="str">
        <f aca="false">IF($E738="","",N(INDEX(进销存对接!$M$4:$U$305,245,9)))</f>
        <v/>
      </c>
      <c r="J738" s="67"/>
      <c r="K738" s="67" t="str">
        <f aca="false">IF($E738="","",INDEX(进销存对接!$D$4:$D$305,245))</f>
        <v/>
      </c>
      <c r="L738" s="107"/>
      <c r="M738" s="107"/>
      <c r="N738" s="67" t="str">
        <f aca="false">IF($E738="","","系统")</f>
        <v/>
      </c>
      <c r="O738" s="67" t="str">
        <f aca="false">IF($E738="","","自动A")</f>
        <v/>
      </c>
      <c r="P738" s="18"/>
    </row>
    <row r="739" customFormat="false" ht="18" hidden="false" customHeight="true" outlineLevel="0" collapsed="false">
      <c r="A739" s="107" t="str">
        <f aca="false">IF($E739="","",ROW()-3)</f>
        <v/>
      </c>
      <c r="B739" s="110" t="str">
        <f aca="false">IF($E739="","",INDEX(进销存对接!$C$4:$C$305,246))</f>
        <v/>
      </c>
      <c r="C739" s="67" t="str">
        <f aca="false">IF($E739="","","记-"&amp;TEXT($B739,"YYYYMM")&amp;"-进销存")</f>
        <v/>
      </c>
      <c r="D739" s="107" t="str">
        <f aca="false">IF($E739="","",INDEX(进销存对接!$D$4:$D$305,246)&amp;" "&amp;TEXT($B739,"YYYY年M月")&amp;" 自动结转")</f>
        <v/>
      </c>
      <c r="E739" s="67" t="str">
        <f aca="false">IF(INDEX(进销存对接!$M$4:$U$305,246,1)=0,"",INDEX(进销存对接!$M$4:$U$305,246,1))</f>
        <v/>
      </c>
      <c r="F739" s="99" t="str">
        <f aca="false">IF($E739="","",IFERROR(INDEX(科目表!$A$4:$A$81,MATCH($E739,科目表!$B$4:$B$81,0)),""))</f>
        <v/>
      </c>
      <c r="G739" s="67" t="str">
        <f aca="false">IF($E739="","",IFERROR(INDEX(科目表!$E$4:$E$81,MATCH($E739,科目表!$B$4:$B$81,0)),""))</f>
        <v/>
      </c>
      <c r="H739" s="70" t="str">
        <f aca="false">IF($E739="","",N(INDEX(进销存对接!$M$4:$U$305,246,2)))</f>
        <v/>
      </c>
      <c r="I739" s="70" t="str">
        <f aca="false">IF($E739="","",N(INDEX(进销存对接!$M$4:$U$305,246,3)))</f>
        <v/>
      </c>
      <c r="J739" s="67"/>
      <c r="K739" s="67" t="str">
        <f aca="false">IF($E739="","",INDEX(进销存对接!$D$4:$D$305,246))</f>
        <v/>
      </c>
      <c r="L739" s="107"/>
      <c r="M739" s="107"/>
      <c r="N739" s="67" t="str">
        <f aca="false">IF($E739="","","系统")</f>
        <v/>
      </c>
      <c r="O739" s="67" t="str">
        <f aca="false">IF($E739="","","自动A")</f>
        <v/>
      </c>
      <c r="P739" s="18"/>
    </row>
    <row r="740" customFormat="false" ht="18" hidden="false" customHeight="true" outlineLevel="0" collapsed="false">
      <c r="A740" s="107" t="str">
        <f aca="false">IF($E740="","",ROW()-3)</f>
        <v/>
      </c>
      <c r="B740" s="110" t="str">
        <f aca="false">IF($E740="","",INDEX(进销存对接!$C$4:$C$305,246))</f>
        <v/>
      </c>
      <c r="C740" s="67" t="str">
        <f aca="false">IF($E740="","","记-"&amp;TEXT($B740,"YYYYMM")&amp;"-进销存")</f>
        <v/>
      </c>
      <c r="D740" s="107" t="str">
        <f aca="false">IF($E740="","",INDEX(进销存对接!$D$4:$D$305,246)&amp;" "&amp;TEXT($B740,"YYYY年M月")&amp;" 自动结转")</f>
        <v/>
      </c>
      <c r="E740" s="67" t="str">
        <f aca="false">IF(INDEX(进销存对接!$M$4:$U$305,246,4)=0,"",INDEX(进销存对接!$M$4:$U$305,246,4))</f>
        <v/>
      </c>
      <c r="F740" s="99" t="str">
        <f aca="false">IF($E740="","",IFERROR(INDEX(科目表!$A$4:$A$81,MATCH($E740,科目表!$B$4:$B$81,0)),""))</f>
        <v/>
      </c>
      <c r="G740" s="67" t="str">
        <f aca="false">IF($E740="","",IFERROR(INDEX(科目表!$E$4:$E$81,MATCH($E740,科目表!$B$4:$B$81,0)),""))</f>
        <v/>
      </c>
      <c r="H740" s="70" t="str">
        <f aca="false">IF($E740="","",N(INDEX(进销存对接!$M$4:$U$305,246,5)))</f>
        <v/>
      </c>
      <c r="I740" s="70" t="str">
        <f aca="false">IF($E740="","",N(INDEX(进销存对接!$M$4:$U$305,246,6)))</f>
        <v/>
      </c>
      <c r="J740" s="67"/>
      <c r="K740" s="67" t="str">
        <f aca="false">IF($E740="","",INDEX(进销存对接!$D$4:$D$305,246))</f>
        <v/>
      </c>
      <c r="L740" s="107"/>
      <c r="M740" s="107"/>
      <c r="N740" s="67" t="str">
        <f aca="false">IF($E740="","","系统")</f>
        <v/>
      </c>
      <c r="O740" s="67" t="str">
        <f aca="false">IF($E740="","","自动A")</f>
        <v/>
      </c>
      <c r="P740" s="18"/>
    </row>
    <row r="741" customFormat="false" ht="18" hidden="false" customHeight="true" outlineLevel="0" collapsed="false">
      <c r="A741" s="107" t="str">
        <f aca="false">IF($E741="","",ROW()-3)</f>
        <v/>
      </c>
      <c r="B741" s="110" t="str">
        <f aca="false">IF($E741="","",INDEX(进销存对接!$C$4:$C$305,246))</f>
        <v/>
      </c>
      <c r="C741" s="67" t="str">
        <f aca="false">IF($E741="","","记-"&amp;TEXT($B741,"YYYYMM")&amp;"-进销存")</f>
        <v/>
      </c>
      <c r="D741" s="107" t="str">
        <f aca="false">IF($E741="","",INDEX(进销存对接!$D$4:$D$305,246)&amp;" "&amp;TEXT($B741,"YYYY年M月")&amp;" 自动结转")</f>
        <v/>
      </c>
      <c r="E741" s="67" t="str">
        <f aca="false">IF(INDEX(进销存对接!$M$4:$U$305,246,7)=0,"",INDEX(进销存对接!$M$4:$U$305,246,7))</f>
        <v/>
      </c>
      <c r="F741" s="99" t="str">
        <f aca="false">IF($E741="","",IFERROR(INDEX(科目表!$A$4:$A$81,MATCH($E741,科目表!$B$4:$B$81,0)),""))</f>
        <v/>
      </c>
      <c r="G741" s="67" t="str">
        <f aca="false">IF($E741="","",IFERROR(INDEX(科目表!$E$4:$E$81,MATCH($E741,科目表!$B$4:$B$81,0)),""))</f>
        <v/>
      </c>
      <c r="H741" s="70" t="str">
        <f aca="false">IF($E741="","",N(INDEX(进销存对接!$M$4:$U$305,246,8)))</f>
        <v/>
      </c>
      <c r="I741" s="70" t="str">
        <f aca="false">IF($E741="","",N(INDEX(进销存对接!$M$4:$U$305,246,9)))</f>
        <v/>
      </c>
      <c r="J741" s="67"/>
      <c r="K741" s="67" t="str">
        <f aca="false">IF($E741="","",INDEX(进销存对接!$D$4:$D$305,246))</f>
        <v/>
      </c>
      <c r="L741" s="107"/>
      <c r="M741" s="107"/>
      <c r="N741" s="67" t="str">
        <f aca="false">IF($E741="","","系统")</f>
        <v/>
      </c>
      <c r="O741" s="67" t="str">
        <f aca="false">IF($E741="","","自动A")</f>
        <v/>
      </c>
      <c r="P741" s="18"/>
    </row>
    <row r="742" customFormat="false" ht="18" hidden="false" customHeight="true" outlineLevel="0" collapsed="false">
      <c r="A742" s="107" t="str">
        <f aca="false">IF($E742="","",ROW()-3)</f>
        <v/>
      </c>
      <c r="B742" s="110" t="str">
        <f aca="false">IF($E742="","",INDEX(进销存对接!$C$4:$C$305,247))</f>
        <v/>
      </c>
      <c r="C742" s="67" t="str">
        <f aca="false">IF($E742="","","记-"&amp;TEXT($B742,"YYYYMM")&amp;"-进销存")</f>
        <v/>
      </c>
      <c r="D742" s="107" t="str">
        <f aca="false">IF($E742="","",INDEX(进销存对接!$D$4:$D$305,247)&amp;" "&amp;TEXT($B742,"YYYY年M月")&amp;" 自动结转")</f>
        <v/>
      </c>
      <c r="E742" s="67" t="str">
        <f aca="false">IF(INDEX(进销存对接!$M$4:$U$305,247,1)=0,"",INDEX(进销存对接!$M$4:$U$305,247,1))</f>
        <v/>
      </c>
      <c r="F742" s="99" t="str">
        <f aca="false">IF($E742="","",IFERROR(INDEX(科目表!$A$4:$A$81,MATCH($E742,科目表!$B$4:$B$81,0)),""))</f>
        <v/>
      </c>
      <c r="G742" s="67" t="str">
        <f aca="false">IF($E742="","",IFERROR(INDEX(科目表!$E$4:$E$81,MATCH($E742,科目表!$B$4:$B$81,0)),""))</f>
        <v/>
      </c>
      <c r="H742" s="70" t="str">
        <f aca="false">IF($E742="","",N(INDEX(进销存对接!$M$4:$U$305,247,2)))</f>
        <v/>
      </c>
      <c r="I742" s="70" t="str">
        <f aca="false">IF($E742="","",N(INDEX(进销存对接!$M$4:$U$305,247,3)))</f>
        <v/>
      </c>
      <c r="J742" s="67"/>
      <c r="K742" s="67" t="str">
        <f aca="false">IF($E742="","",INDEX(进销存对接!$D$4:$D$305,247))</f>
        <v/>
      </c>
      <c r="L742" s="107"/>
      <c r="M742" s="107"/>
      <c r="N742" s="67" t="str">
        <f aca="false">IF($E742="","","系统")</f>
        <v/>
      </c>
      <c r="O742" s="67" t="str">
        <f aca="false">IF($E742="","","自动A")</f>
        <v/>
      </c>
      <c r="P742" s="18"/>
    </row>
    <row r="743" customFormat="false" ht="18" hidden="false" customHeight="true" outlineLevel="0" collapsed="false">
      <c r="A743" s="107" t="str">
        <f aca="false">IF($E743="","",ROW()-3)</f>
        <v/>
      </c>
      <c r="B743" s="110" t="str">
        <f aca="false">IF($E743="","",INDEX(进销存对接!$C$4:$C$305,247))</f>
        <v/>
      </c>
      <c r="C743" s="67" t="str">
        <f aca="false">IF($E743="","","记-"&amp;TEXT($B743,"YYYYMM")&amp;"-进销存")</f>
        <v/>
      </c>
      <c r="D743" s="107" t="str">
        <f aca="false">IF($E743="","",INDEX(进销存对接!$D$4:$D$305,247)&amp;" "&amp;TEXT($B743,"YYYY年M月")&amp;" 自动结转")</f>
        <v/>
      </c>
      <c r="E743" s="67" t="str">
        <f aca="false">IF(INDEX(进销存对接!$M$4:$U$305,247,4)=0,"",INDEX(进销存对接!$M$4:$U$305,247,4))</f>
        <v/>
      </c>
      <c r="F743" s="99" t="str">
        <f aca="false">IF($E743="","",IFERROR(INDEX(科目表!$A$4:$A$81,MATCH($E743,科目表!$B$4:$B$81,0)),""))</f>
        <v/>
      </c>
      <c r="G743" s="67" t="str">
        <f aca="false">IF($E743="","",IFERROR(INDEX(科目表!$E$4:$E$81,MATCH($E743,科目表!$B$4:$B$81,0)),""))</f>
        <v/>
      </c>
      <c r="H743" s="70" t="str">
        <f aca="false">IF($E743="","",N(INDEX(进销存对接!$M$4:$U$305,247,5)))</f>
        <v/>
      </c>
      <c r="I743" s="70" t="str">
        <f aca="false">IF($E743="","",N(INDEX(进销存对接!$M$4:$U$305,247,6)))</f>
        <v/>
      </c>
      <c r="J743" s="67"/>
      <c r="K743" s="67" t="str">
        <f aca="false">IF($E743="","",INDEX(进销存对接!$D$4:$D$305,247))</f>
        <v/>
      </c>
      <c r="L743" s="107"/>
      <c r="M743" s="107"/>
      <c r="N743" s="67" t="str">
        <f aca="false">IF($E743="","","系统")</f>
        <v/>
      </c>
      <c r="O743" s="67" t="str">
        <f aca="false">IF($E743="","","自动A")</f>
        <v/>
      </c>
      <c r="P743" s="18"/>
    </row>
    <row r="744" customFormat="false" ht="18" hidden="false" customHeight="true" outlineLevel="0" collapsed="false">
      <c r="A744" s="107" t="str">
        <f aca="false">IF($E744="","",ROW()-3)</f>
        <v/>
      </c>
      <c r="B744" s="110" t="str">
        <f aca="false">IF($E744="","",INDEX(进销存对接!$C$4:$C$305,247))</f>
        <v/>
      </c>
      <c r="C744" s="67" t="str">
        <f aca="false">IF($E744="","","记-"&amp;TEXT($B744,"YYYYMM")&amp;"-进销存")</f>
        <v/>
      </c>
      <c r="D744" s="107" t="str">
        <f aca="false">IF($E744="","",INDEX(进销存对接!$D$4:$D$305,247)&amp;" "&amp;TEXT($B744,"YYYY年M月")&amp;" 自动结转")</f>
        <v/>
      </c>
      <c r="E744" s="67" t="str">
        <f aca="false">IF(INDEX(进销存对接!$M$4:$U$305,247,7)=0,"",INDEX(进销存对接!$M$4:$U$305,247,7))</f>
        <v/>
      </c>
      <c r="F744" s="99" t="str">
        <f aca="false">IF($E744="","",IFERROR(INDEX(科目表!$A$4:$A$81,MATCH($E744,科目表!$B$4:$B$81,0)),""))</f>
        <v/>
      </c>
      <c r="G744" s="67" t="str">
        <f aca="false">IF($E744="","",IFERROR(INDEX(科目表!$E$4:$E$81,MATCH($E744,科目表!$B$4:$B$81,0)),""))</f>
        <v/>
      </c>
      <c r="H744" s="70" t="str">
        <f aca="false">IF($E744="","",N(INDEX(进销存对接!$M$4:$U$305,247,8)))</f>
        <v/>
      </c>
      <c r="I744" s="70" t="str">
        <f aca="false">IF($E744="","",N(INDEX(进销存对接!$M$4:$U$305,247,9)))</f>
        <v/>
      </c>
      <c r="J744" s="67"/>
      <c r="K744" s="67" t="str">
        <f aca="false">IF($E744="","",INDEX(进销存对接!$D$4:$D$305,247))</f>
        <v/>
      </c>
      <c r="L744" s="107"/>
      <c r="M744" s="107"/>
      <c r="N744" s="67" t="str">
        <f aca="false">IF($E744="","","系统")</f>
        <v/>
      </c>
      <c r="O744" s="67" t="str">
        <f aca="false">IF($E744="","","自动A")</f>
        <v/>
      </c>
      <c r="P744" s="18"/>
    </row>
    <row r="745" customFormat="false" ht="18" hidden="false" customHeight="true" outlineLevel="0" collapsed="false">
      <c r="A745" s="107" t="str">
        <f aca="false">IF($E745="","",ROW()-3)</f>
        <v/>
      </c>
      <c r="B745" s="110" t="str">
        <f aca="false">IF($E745="","",INDEX(进销存对接!$C$4:$C$305,248))</f>
        <v/>
      </c>
      <c r="C745" s="67" t="str">
        <f aca="false">IF($E745="","","记-"&amp;TEXT($B745,"YYYYMM")&amp;"-进销存")</f>
        <v/>
      </c>
      <c r="D745" s="107" t="str">
        <f aca="false">IF($E745="","",INDEX(进销存对接!$D$4:$D$305,248)&amp;" "&amp;TEXT($B745,"YYYY年M月")&amp;" 自动结转")</f>
        <v/>
      </c>
      <c r="E745" s="67" t="str">
        <f aca="false">IF(INDEX(进销存对接!$M$4:$U$305,248,1)=0,"",INDEX(进销存对接!$M$4:$U$305,248,1))</f>
        <v/>
      </c>
      <c r="F745" s="99" t="str">
        <f aca="false">IF($E745="","",IFERROR(INDEX(科目表!$A$4:$A$81,MATCH($E745,科目表!$B$4:$B$81,0)),""))</f>
        <v/>
      </c>
      <c r="G745" s="67" t="str">
        <f aca="false">IF($E745="","",IFERROR(INDEX(科目表!$E$4:$E$81,MATCH($E745,科目表!$B$4:$B$81,0)),""))</f>
        <v/>
      </c>
      <c r="H745" s="70" t="str">
        <f aca="false">IF($E745="","",N(INDEX(进销存对接!$M$4:$U$305,248,2)))</f>
        <v/>
      </c>
      <c r="I745" s="70" t="str">
        <f aca="false">IF($E745="","",N(INDEX(进销存对接!$M$4:$U$305,248,3)))</f>
        <v/>
      </c>
      <c r="J745" s="67"/>
      <c r="K745" s="67" t="str">
        <f aca="false">IF($E745="","",INDEX(进销存对接!$D$4:$D$305,248))</f>
        <v/>
      </c>
      <c r="L745" s="107"/>
      <c r="M745" s="107"/>
      <c r="N745" s="67" t="str">
        <f aca="false">IF($E745="","","系统")</f>
        <v/>
      </c>
      <c r="O745" s="67" t="str">
        <f aca="false">IF($E745="","","自动A")</f>
        <v/>
      </c>
      <c r="P745" s="18"/>
    </row>
    <row r="746" customFormat="false" ht="18" hidden="false" customHeight="true" outlineLevel="0" collapsed="false">
      <c r="A746" s="107" t="str">
        <f aca="false">IF($E746="","",ROW()-3)</f>
        <v/>
      </c>
      <c r="B746" s="110" t="str">
        <f aca="false">IF($E746="","",INDEX(进销存对接!$C$4:$C$305,248))</f>
        <v/>
      </c>
      <c r="C746" s="67" t="str">
        <f aca="false">IF($E746="","","记-"&amp;TEXT($B746,"YYYYMM")&amp;"-进销存")</f>
        <v/>
      </c>
      <c r="D746" s="107" t="str">
        <f aca="false">IF($E746="","",INDEX(进销存对接!$D$4:$D$305,248)&amp;" "&amp;TEXT($B746,"YYYY年M月")&amp;" 自动结转")</f>
        <v/>
      </c>
      <c r="E746" s="67" t="str">
        <f aca="false">IF(INDEX(进销存对接!$M$4:$U$305,248,4)=0,"",INDEX(进销存对接!$M$4:$U$305,248,4))</f>
        <v/>
      </c>
      <c r="F746" s="99" t="str">
        <f aca="false">IF($E746="","",IFERROR(INDEX(科目表!$A$4:$A$81,MATCH($E746,科目表!$B$4:$B$81,0)),""))</f>
        <v/>
      </c>
      <c r="G746" s="67" t="str">
        <f aca="false">IF($E746="","",IFERROR(INDEX(科目表!$E$4:$E$81,MATCH($E746,科目表!$B$4:$B$81,0)),""))</f>
        <v/>
      </c>
      <c r="H746" s="70" t="str">
        <f aca="false">IF($E746="","",N(INDEX(进销存对接!$M$4:$U$305,248,5)))</f>
        <v/>
      </c>
      <c r="I746" s="70" t="str">
        <f aca="false">IF($E746="","",N(INDEX(进销存对接!$M$4:$U$305,248,6)))</f>
        <v/>
      </c>
      <c r="J746" s="67"/>
      <c r="K746" s="67" t="str">
        <f aca="false">IF($E746="","",INDEX(进销存对接!$D$4:$D$305,248))</f>
        <v/>
      </c>
      <c r="L746" s="107"/>
      <c r="M746" s="107"/>
      <c r="N746" s="67" t="str">
        <f aca="false">IF($E746="","","系统")</f>
        <v/>
      </c>
      <c r="O746" s="67" t="str">
        <f aca="false">IF($E746="","","自动A")</f>
        <v/>
      </c>
      <c r="P746" s="18"/>
    </row>
    <row r="747" customFormat="false" ht="18" hidden="false" customHeight="true" outlineLevel="0" collapsed="false">
      <c r="A747" s="107" t="str">
        <f aca="false">IF($E747="","",ROW()-3)</f>
        <v/>
      </c>
      <c r="B747" s="110" t="str">
        <f aca="false">IF($E747="","",INDEX(进销存对接!$C$4:$C$305,248))</f>
        <v/>
      </c>
      <c r="C747" s="67" t="str">
        <f aca="false">IF($E747="","","记-"&amp;TEXT($B747,"YYYYMM")&amp;"-进销存")</f>
        <v/>
      </c>
      <c r="D747" s="107" t="str">
        <f aca="false">IF($E747="","",INDEX(进销存对接!$D$4:$D$305,248)&amp;" "&amp;TEXT($B747,"YYYY年M月")&amp;" 自动结转")</f>
        <v/>
      </c>
      <c r="E747" s="67" t="str">
        <f aca="false">IF(INDEX(进销存对接!$M$4:$U$305,248,7)=0,"",INDEX(进销存对接!$M$4:$U$305,248,7))</f>
        <v/>
      </c>
      <c r="F747" s="99" t="str">
        <f aca="false">IF($E747="","",IFERROR(INDEX(科目表!$A$4:$A$81,MATCH($E747,科目表!$B$4:$B$81,0)),""))</f>
        <v/>
      </c>
      <c r="G747" s="67" t="str">
        <f aca="false">IF($E747="","",IFERROR(INDEX(科目表!$E$4:$E$81,MATCH($E747,科目表!$B$4:$B$81,0)),""))</f>
        <v/>
      </c>
      <c r="H747" s="70" t="str">
        <f aca="false">IF($E747="","",N(INDEX(进销存对接!$M$4:$U$305,248,8)))</f>
        <v/>
      </c>
      <c r="I747" s="70" t="str">
        <f aca="false">IF($E747="","",N(INDEX(进销存对接!$M$4:$U$305,248,9)))</f>
        <v/>
      </c>
      <c r="J747" s="67"/>
      <c r="K747" s="67" t="str">
        <f aca="false">IF($E747="","",INDEX(进销存对接!$D$4:$D$305,248))</f>
        <v/>
      </c>
      <c r="L747" s="107"/>
      <c r="M747" s="107"/>
      <c r="N747" s="67" t="str">
        <f aca="false">IF($E747="","","系统")</f>
        <v/>
      </c>
      <c r="O747" s="67" t="str">
        <f aca="false">IF($E747="","","自动A")</f>
        <v/>
      </c>
      <c r="P747" s="18"/>
    </row>
    <row r="748" customFormat="false" ht="18" hidden="false" customHeight="true" outlineLevel="0" collapsed="false">
      <c r="A748" s="107" t="str">
        <f aca="false">IF($E748="","",ROW()-3)</f>
        <v/>
      </c>
      <c r="B748" s="110" t="str">
        <f aca="false">IF($E748="","",INDEX(进销存对接!$C$4:$C$305,249))</f>
        <v/>
      </c>
      <c r="C748" s="67" t="str">
        <f aca="false">IF($E748="","","记-"&amp;TEXT($B748,"YYYYMM")&amp;"-进销存")</f>
        <v/>
      </c>
      <c r="D748" s="107" t="str">
        <f aca="false">IF($E748="","",INDEX(进销存对接!$D$4:$D$305,249)&amp;" "&amp;TEXT($B748,"YYYY年M月")&amp;" 自动结转")</f>
        <v/>
      </c>
      <c r="E748" s="67" t="str">
        <f aca="false">IF(INDEX(进销存对接!$M$4:$U$305,249,1)=0,"",INDEX(进销存对接!$M$4:$U$305,249,1))</f>
        <v/>
      </c>
      <c r="F748" s="99" t="str">
        <f aca="false">IF($E748="","",IFERROR(INDEX(科目表!$A$4:$A$81,MATCH($E748,科目表!$B$4:$B$81,0)),""))</f>
        <v/>
      </c>
      <c r="G748" s="67" t="str">
        <f aca="false">IF($E748="","",IFERROR(INDEX(科目表!$E$4:$E$81,MATCH($E748,科目表!$B$4:$B$81,0)),""))</f>
        <v/>
      </c>
      <c r="H748" s="70" t="str">
        <f aca="false">IF($E748="","",N(INDEX(进销存对接!$M$4:$U$305,249,2)))</f>
        <v/>
      </c>
      <c r="I748" s="70" t="str">
        <f aca="false">IF($E748="","",N(INDEX(进销存对接!$M$4:$U$305,249,3)))</f>
        <v/>
      </c>
      <c r="J748" s="67"/>
      <c r="K748" s="67" t="str">
        <f aca="false">IF($E748="","",INDEX(进销存对接!$D$4:$D$305,249))</f>
        <v/>
      </c>
      <c r="L748" s="107"/>
      <c r="M748" s="107"/>
      <c r="N748" s="67" t="str">
        <f aca="false">IF($E748="","","系统")</f>
        <v/>
      </c>
      <c r="O748" s="67" t="str">
        <f aca="false">IF($E748="","","自动A")</f>
        <v/>
      </c>
      <c r="P748" s="18"/>
    </row>
    <row r="749" customFormat="false" ht="18" hidden="false" customHeight="true" outlineLevel="0" collapsed="false">
      <c r="A749" s="107" t="str">
        <f aca="false">IF($E749="","",ROW()-3)</f>
        <v/>
      </c>
      <c r="B749" s="110" t="str">
        <f aca="false">IF($E749="","",INDEX(进销存对接!$C$4:$C$305,249))</f>
        <v/>
      </c>
      <c r="C749" s="67" t="str">
        <f aca="false">IF($E749="","","记-"&amp;TEXT($B749,"YYYYMM")&amp;"-进销存")</f>
        <v/>
      </c>
      <c r="D749" s="107" t="str">
        <f aca="false">IF($E749="","",INDEX(进销存对接!$D$4:$D$305,249)&amp;" "&amp;TEXT($B749,"YYYY年M月")&amp;" 自动结转")</f>
        <v/>
      </c>
      <c r="E749" s="67" t="str">
        <f aca="false">IF(INDEX(进销存对接!$M$4:$U$305,249,4)=0,"",INDEX(进销存对接!$M$4:$U$305,249,4))</f>
        <v/>
      </c>
      <c r="F749" s="99" t="str">
        <f aca="false">IF($E749="","",IFERROR(INDEX(科目表!$A$4:$A$81,MATCH($E749,科目表!$B$4:$B$81,0)),""))</f>
        <v/>
      </c>
      <c r="G749" s="67" t="str">
        <f aca="false">IF($E749="","",IFERROR(INDEX(科目表!$E$4:$E$81,MATCH($E749,科目表!$B$4:$B$81,0)),""))</f>
        <v/>
      </c>
      <c r="H749" s="70" t="str">
        <f aca="false">IF($E749="","",N(INDEX(进销存对接!$M$4:$U$305,249,5)))</f>
        <v/>
      </c>
      <c r="I749" s="70" t="str">
        <f aca="false">IF($E749="","",N(INDEX(进销存对接!$M$4:$U$305,249,6)))</f>
        <v/>
      </c>
      <c r="J749" s="67"/>
      <c r="K749" s="67" t="str">
        <f aca="false">IF($E749="","",INDEX(进销存对接!$D$4:$D$305,249))</f>
        <v/>
      </c>
      <c r="L749" s="107"/>
      <c r="M749" s="107"/>
      <c r="N749" s="67" t="str">
        <f aca="false">IF($E749="","","系统")</f>
        <v/>
      </c>
      <c r="O749" s="67" t="str">
        <f aca="false">IF($E749="","","自动A")</f>
        <v/>
      </c>
      <c r="P749" s="18"/>
    </row>
    <row r="750" customFormat="false" ht="18" hidden="false" customHeight="true" outlineLevel="0" collapsed="false">
      <c r="A750" s="107" t="str">
        <f aca="false">IF($E750="","",ROW()-3)</f>
        <v/>
      </c>
      <c r="B750" s="110" t="str">
        <f aca="false">IF($E750="","",INDEX(进销存对接!$C$4:$C$305,249))</f>
        <v/>
      </c>
      <c r="C750" s="67" t="str">
        <f aca="false">IF($E750="","","记-"&amp;TEXT($B750,"YYYYMM")&amp;"-进销存")</f>
        <v/>
      </c>
      <c r="D750" s="107" t="str">
        <f aca="false">IF($E750="","",INDEX(进销存对接!$D$4:$D$305,249)&amp;" "&amp;TEXT($B750,"YYYY年M月")&amp;" 自动结转")</f>
        <v/>
      </c>
      <c r="E750" s="67" t="str">
        <f aca="false">IF(INDEX(进销存对接!$M$4:$U$305,249,7)=0,"",INDEX(进销存对接!$M$4:$U$305,249,7))</f>
        <v/>
      </c>
      <c r="F750" s="99" t="str">
        <f aca="false">IF($E750="","",IFERROR(INDEX(科目表!$A$4:$A$81,MATCH($E750,科目表!$B$4:$B$81,0)),""))</f>
        <v/>
      </c>
      <c r="G750" s="67" t="str">
        <f aca="false">IF($E750="","",IFERROR(INDEX(科目表!$E$4:$E$81,MATCH($E750,科目表!$B$4:$B$81,0)),""))</f>
        <v/>
      </c>
      <c r="H750" s="70" t="str">
        <f aca="false">IF($E750="","",N(INDEX(进销存对接!$M$4:$U$305,249,8)))</f>
        <v/>
      </c>
      <c r="I750" s="70" t="str">
        <f aca="false">IF($E750="","",N(INDEX(进销存对接!$M$4:$U$305,249,9)))</f>
        <v/>
      </c>
      <c r="J750" s="67"/>
      <c r="K750" s="67" t="str">
        <f aca="false">IF($E750="","",INDEX(进销存对接!$D$4:$D$305,249))</f>
        <v/>
      </c>
      <c r="L750" s="107"/>
      <c r="M750" s="107"/>
      <c r="N750" s="67" t="str">
        <f aca="false">IF($E750="","","系统")</f>
        <v/>
      </c>
      <c r="O750" s="67" t="str">
        <f aca="false">IF($E750="","","自动A")</f>
        <v/>
      </c>
      <c r="P750" s="18"/>
    </row>
    <row r="751" customFormat="false" ht="18" hidden="false" customHeight="true" outlineLevel="0" collapsed="false">
      <c r="A751" s="107" t="str">
        <f aca="false">IF($E751="","",ROW()-3)</f>
        <v/>
      </c>
      <c r="B751" s="110" t="str">
        <f aca="false">IF($E751="","",INDEX(进销存对接!$C$4:$C$305,250))</f>
        <v/>
      </c>
      <c r="C751" s="67" t="str">
        <f aca="false">IF($E751="","","记-"&amp;TEXT($B751,"YYYYMM")&amp;"-进销存")</f>
        <v/>
      </c>
      <c r="D751" s="107" t="str">
        <f aca="false">IF($E751="","",INDEX(进销存对接!$D$4:$D$305,250)&amp;" "&amp;TEXT($B751,"YYYY年M月")&amp;" 自动结转")</f>
        <v/>
      </c>
      <c r="E751" s="67" t="str">
        <f aca="false">IF(INDEX(进销存对接!$M$4:$U$305,250,1)=0,"",INDEX(进销存对接!$M$4:$U$305,250,1))</f>
        <v/>
      </c>
      <c r="F751" s="99" t="str">
        <f aca="false">IF($E751="","",IFERROR(INDEX(科目表!$A$4:$A$81,MATCH($E751,科目表!$B$4:$B$81,0)),""))</f>
        <v/>
      </c>
      <c r="G751" s="67" t="str">
        <f aca="false">IF($E751="","",IFERROR(INDEX(科目表!$E$4:$E$81,MATCH($E751,科目表!$B$4:$B$81,0)),""))</f>
        <v/>
      </c>
      <c r="H751" s="70" t="str">
        <f aca="false">IF($E751="","",N(INDEX(进销存对接!$M$4:$U$305,250,2)))</f>
        <v/>
      </c>
      <c r="I751" s="70" t="str">
        <f aca="false">IF($E751="","",N(INDEX(进销存对接!$M$4:$U$305,250,3)))</f>
        <v/>
      </c>
      <c r="J751" s="67"/>
      <c r="K751" s="67" t="str">
        <f aca="false">IF($E751="","",INDEX(进销存对接!$D$4:$D$305,250))</f>
        <v/>
      </c>
      <c r="L751" s="107"/>
      <c r="M751" s="107"/>
      <c r="N751" s="67" t="str">
        <f aca="false">IF($E751="","","系统")</f>
        <v/>
      </c>
      <c r="O751" s="67" t="str">
        <f aca="false">IF($E751="","","自动A")</f>
        <v/>
      </c>
      <c r="P751" s="18"/>
    </row>
    <row r="752" customFormat="false" ht="18" hidden="false" customHeight="true" outlineLevel="0" collapsed="false">
      <c r="A752" s="107" t="str">
        <f aca="false">IF($E752="","",ROW()-3)</f>
        <v/>
      </c>
      <c r="B752" s="110" t="str">
        <f aca="false">IF($E752="","",INDEX(进销存对接!$C$4:$C$305,250))</f>
        <v/>
      </c>
      <c r="C752" s="67" t="str">
        <f aca="false">IF($E752="","","记-"&amp;TEXT($B752,"YYYYMM")&amp;"-进销存")</f>
        <v/>
      </c>
      <c r="D752" s="107" t="str">
        <f aca="false">IF($E752="","",INDEX(进销存对接!$D$4:$D$305,250)&amp;" "&amp;TEXT($B752,"YYYY年M月")&amp;" 自动结转")</f>
        <v/>
      </c>
      <c r="E752" s="67" t="str">
        <f aca="false">IF(INDEX(进销存对接!$M$4:$U$305,250,4)=0,"",INDEX(进销存对接!$M$4:$U$305,250,4))</f>
        <v/>
      </c>
      <c r="F752" s="99" t="str">
        <f aca="false">IF($E752="","",IFERROR(INDEX(科目表!$A$4:$A$81,MATCH($E752,科目表!$B$4:$B$81,0)),""))</f>
        <v/>
      </c>
      <c r="G752" s="67" t="str">
        <f aca="false">IF($E752="","",IFERROR(INDEX(科目表!$E$4:$E$81,MATCH($E752,科目表!$B$4:$B$81,0)),""))</f>
        <v/>
      </c>
      <c r="H752" s="70" t="str">
        <f aca="false">IF($E752="","",N(INDEX(进销存对接!$M$4:$U$305,250,5)))</f>
        <v/>
      </c>
      <c r="I752" s="70" t="str">
        <f aca="false">IF($E752="","",N(INDEX(进销存对接!$M$4:$U$305,250,6)))</f>
        <v/>
      </c>
      <c r="J752" s="67"/>
      <c r="K752" s="67" t="str">
        <f aca="false">IF($E752="","",INDEX(进销存对接!$D$4:$D$305,250))</f>
        <v/>
      </c>
      <c r="L752" s="107"/>
      <c r="M752" s="107"/>
      <c r="N752" s="67" t="str">
        <f aca="false">IF($E752="","","系统")</f>
        <v/>
      </c>
      <c r="O752" s="67" t="str">
        <f aca="false">IF($E752="","","自动A")</f>
        <v/>
      </c>
      <c r="P752" s="18"/>
    </row>
    <row r="753" customFormat="false" ht="18" hidden="false" customHeight="true" outlineLevel="0" collapsed="false">
      <c r="A753" s="107" t="str">
        <f aca="false">IF($E753="","",ROW()-3)</f>
        <v/>
      </c>
      <c r="B753" s="110" t="str">
        <f aca="false">IF($E753="","",INDEX(进销存对接!$C$4:$C$305,250))</f>
        <v/>
      </c>
      <c r="C753" s="67" t="str">
        <f aca="false">IF($E753="","","记-"&amp;TEXT($B753,"YYYYMM")&amp;"-进销存")</f>
        <v/>
      </c>
      <c r="D753" s="107" t="str">
        <f aca="false">IF($E753="","",INDEX(进销存对接!$D$4:$D$305,250)&amp;" "&amp;TEXT($B753,"YYYY年M月")&amp;" 自动结转")</f>
        <v/>
      </c>
      <c r="E753" s="67" t="str">
        <f aca="false">IF(INDEX(进销存对接!$M$4:$U$305,250,7)=0,"",INDEX(进销存对接!$M$4:$U$305,250,7))</f>
        <v/>
      </c>
      <c r="F753" s="99" t="str">
        <f aca="false">IF($E753="","",IFERROR(INDEX(科目表!$A$4:$A$81,MATCH($E753,科目表!$B$4:$B$81,0)),""))</f>
        <v/>
      </c>
      <c r="G753" s="67" t="str">
        <f aca="false">IF($E753="","",IFERROR(INDEX(科目表!$E$4:$E$81,MATCH($E753,科目表!$B$4:$B$81,0)),""))</f>
        <v/>
      </c>
      <c r="H753" s="70" t="str">
        <f aca="false">IF($E753="","",N(INDEX(进销存对接!$M$4:$U$305,250,8)))</f>
        <v/>
      </c>
      <c r="I753" s="70" t="str">
        <f aca="false">IF($E753="","",N(INDEX(进销存对接!$M$4:$U$305,250,9)))</f>
        <v/>
      </c>
      <c r="J753" s="67"/>
      <c r="K753" s="67" t="str">
        <f aca="false">IF($E753="","",INDEX(进销存对接!$D$4:$D$305,250))</f>
        <v/>
      </c>
      <c r="L753" s="107"/>
      <c r="M753" s="107"/>
      <c r="N753" s="67" t="str">
        <f aca="false">IF($E753="","","系统")</f>
        <v/>
      </c>
      <c r="O753" s="67" t="str">
        <f aca="false">IF($E753="","","自动A")</f>
        <v/>
      </c>
      <c r="P753" s="18"/>
    </row>
    <row r="754" customFormat="false" ht="18" hidden="false" customHeight="true" outlineLevel="0" collapsed="false">
      <c r="A754" s="107" t="str">
        <f aca="false">IF($E754="","",ROW()-3)</f>
        <v/>
      </c>
      <c r="B754" s="110" t="str">
        <f aca="false">IF($E754="","",INDEX(进销存对接!$C$4:$C$305,251))</f>
        <v/>
      </c>
      <c r="C754" s="67" t="str">
        <f aca="false">IF($E754="","","记-"&amp;TEXT($B754,"YYYYMM")&amp;"-进销存")</f>
        <v/>
      </c>
      <c r="D754" s="107" t="str">
        <f aca="false">IF($E754="","",INDEX(进销存对接!$D$4:$D$305,251)&amp;" "&amp;TEXT($B754,"YYYY年M月")&amp;" 自动结转")</f>
        <v/>
      </c>
      <c r="E754" s="67" t="str">
        <f aca="false">IF(INDEX(进销存对接!$M$4:$U$305,251,1)=0,"",INDEX(进销存对接!$M$4:$U$305,251,1))</f>
        <v/>
      </c>
      <c r="F754" s="99" t="str">
        <f aca="false">IF($E754="","",IFERROR(INDEX(科目表!$A$4:$A$81,MATCH($E754,科目表!$B$4:$B$81,0)),""))</f>
        <v/>
      </c>
      <c r="G754" s="67" t="str">
        <f aca="false">IF($E754="","",IFERROR(INDEX(科目表!$E$4:$E$81,MATCH($E754,科目表!$B$4:$B$81,0)),""))</f>
        <v/>
      </c>
      <c r="H754" s="70" t="str">
        <f aca="false">IF($E754="","",N(INDEX(进销存对接!$M$4:$U$305,251,2)))</f>
        <v/>
      </c>
      <c r="I754" s="70" t="str">
        <f aca="false">IF($E754="","",N(INDEX(进销存对接!$M$4:$U$305,251,3)))</f>
        <v/>
      </c>
      <c r="J754" s="67"/>
      <c r="K754" s="67" t="str">
        <f aca="false">IF($E754="","",INDEX(进销存对接!$D$4:$D$305,251))</f>
        <v/>
      </c>
      <c r="L754" s="107"/>
      <c r="M754" s="107"/>
      <c r="N754" s="67" t="str">
        <f aca="false">IF($E754="","","系统")</f>
        <v/>
      </c>
      <c r="O754" s="67" t="str">
        <f aca="false">IF($E754="","","自动A")</f>
        <v/>
      </c>
      <c r="P754" s="18"/>
    </row>
    <row r="755" customFormat="false" ht="18" hidden="false" customHeight="true" outlineLevel="0" collapsed="false">
      <c r="A755" s="107" t="str">
        <f aca="false">IF($E755="","",ROW()-3)</f>
        <v/>
      </c>
      <c r="B755" s="110" t="str">
        <f aca="false">IF($E755="","",INDEX(进销存对接!$C$4:$C$305,251))</f>
        <v/>
      </c>
      <c r="C755" s="67" t="str">
        <f aca="false">IF($E755="","","记-"&amp;TEXT($B755,"YYYYMM")&amp;"-进销存")</f>
        <v/>
      </c>
      <c r="D755" s="107" t="str">
        <f aca="false">IF($E755="","",INDEX(进销存对接!$D$4:$D$305,251)&amp;" "&amp;TEXT($B755,"YYYY年M月")&amp;" 自动结转")</f>
        <v/>
      </c>
      <c r="E755" s="67" t="str">
        <f aca="false">IF(INDEX(进销存对接!$M$4:$U$305,251,4)=0,"",INDEX(进销存对接!$M$4:$U$305,251,4))</f>
        <v/>
      </c>
      <c r="F755" s="99" t="str">
        <f aca="false">IF($E755="","",IFERROR(INDEX(科目表!$A$4:$A$81,MATCH($E755,科目表!$B$4:$B$81,0)),""))</f>
        <v/>
      </c>
      <c r="G755" s="67" t="str">
        <f aca="false">IF($E755="","",IFERROR(INDEX(科目表!$E$4:$E$81,MATCH($E755,科目表!$B$4:$B$81,0)),""))</f>
        <v/>
      </c>
      <c r="H755" s="70" t="str">
        <f aca="false">IF($E755="","",N(INDEX(进销存对接!$M$4:$U$305,251,5)))</f>
        <v/>
      </c>
      <c r="I755" s="70" t="str">
        <f aca="false">IF($E755="","",N(INDEX(进销存对接!$M$4:$U$305,251,6)))</f>
        <v/>
      </c>
      <c r="J755" s="67"/>
      <c r="K755" s="67" t="str">
        <f aca="false">IF($E755="","",INDEX(进销存对接!$D$4:$D$305,251))</f>
        <v/>
      </c>
      <c r="L755" s="107"/>
      <c r="M755" s="107"/>
      <c r="N755" s="67" t="str">
        <f aca="false">IF($E755="","","系统")</f>
        <v/>
      </c>
      <c r="O755" s="67" t="str">
        <f aca="false">IF($E755="","","自动A")</f>
        <v/>
      </c>
      <c r="P755" s="18"/>
    </row>
    <row r="756" customFormat="false" ht="18" hidden="false" customHeight="true" outlineLevel="0" collapsed="false">
      <c r="A756" s="107" t="str">
        <f aca="false">IF($E756="","",ROW()-3)</f>
        <v/>
      </c>
      <c r="B756" s="110" t="str">
        <f aca="false">IF($E756="","",INDEX(进销存对接!$C$4:$C$305,251))</f>
        <v/>
      </c>
      <c r="C756" s="67" t="str">
        <f aca="false">IF($E756="","","记-"&amp;TEXT($B756,"YYYYMM")&amp;"-进销存")</f>
        <v/>
      </c>
      <c r="D756" s="107" t="str">
        <f aca="false">IF($E756="","",INDEX(进销存对接!$D$4:$D$305,251)&amp;" "&amp;TEXT($B756,"YYYY年M月")&amp;" 自动结转")</f>
        <v/>
      </c>
      <c r="E756" s="67" t="str">
        <f aca="false">IF(INDEX(进销存对接!$M$4:$U$305,251,7)=0,"",INDEX(进销存对接!$M$4:$U$305,251,7))</f>
        <v/>
      </c>
      <c r="F756" s="99" t="str">
        <f aca="false">IF($E756="","",IFERROR(INDEX(科目表!$A$4:$A$81,MATCH($E756,科目表!$B$4:$B$81,0)),""))</f>
        <v/>
      </c>
      <c r="G756" s="67" t="str">
        <f aca="false">IF($E756="","",IFERROR(INDEX(科目表!$E$4:$E$81,MATCH($E756,科目表!$B$4:$B$81,0)),""))</f>
        <v/>
      </c>
      <c r="H756" s="70" t="str">
        <f aca="false">IF($E756="","",N(INDEX(进销存对接!$M$4:$U$305,251,8)))</f>
        <v/>
      </c>
      <c r="I756" s="70" t="str">
        <f aca="false">IF($E756="","",N(INDEX(进销存对接!$M$4:$U$305,251,9)))</f>
        <v/>
      </c>
      <c r="J756" s="67"/>
      <c r="K756" s="67" t="str">
        <f aca="false">IF($E756="","",INDEX(进销存对接!$D$4:$D$305,251))</f>
        <v/>
      </c>
      <c r="L756" s="107"/>
      <c r="M756" s="107"/>
      <c r="N756" s="67" t="str">
        <f aca="false">IF($E756="","","系统")</f>
        <v/>
      </c>
      <c r="O756" s="67" t="str">
        <f aca="false">IF($E756="","","自动A")</f>
        <v/>
      </c>
      <c r="P756" s="18"/>
    </row>
    <row r="757" customFormat="false" ht="18" hidden="false" customHeight="true" outlineLevel="0" collapsed="false">
      <c r="A757" s="107" t="str">
        <f aca="false">IF($E757="","",ROW()-3)</f>
        <v/>
      </c>
      <c r="B757" s="110" t="str">
        <f aca="false">IF($E757="","",INDEX(进销存对接!$C$4:$C$305,252))</f>
        <v/>
      </c>
      <c r="C757" s="67" t="str">
        <f aca="false">IF($E757="","","记-"&amp;TEXT($B757,"YYYYMM")&amp;"-进销存")</f>
        <v/>
      </c>
      <c r="D757" s="107" t="str">
        <f aca="false">IF($E757="","",INDEX(进销存对接!$D$4:$D$305,252)&amp;" "&amp;TEXT($B757,"YYYY年M月")&amp;" 自动结转")</f>
        <v/>
      </c>
      <c r="E757" s="67" t="str">
        <f aca="false">IF(INDEX(进销存对接!$M$4:$U$305,252,1)=0,"",INDEX(进销存对接!$M$4:$U$305,252,1))</f>
        <v/>
      </c>
      <c r="F757" s="99" t="str">
        <f aca="false">IF($E757="","",IFERROR(INDEX(科目表!$A$4:$A$81,MATCH($E757,科目表!$B$4:$B$81,0)),""))</f>
        <v/>
      </c>
      <c r="G757" s="67" t="str">
        <f aca="false">IF($E757="","",IFERROR(INDEX(科目表!$E$4:$E$81,MATCH($E757,科目表!$B$4:$B$81,0)),""))</f>
        <v/>
      </c>
      <c r="H757" s="70" t="str">
        <f aca="false">IF($E757="","",N(INDEX(进销存对接!$M$4:$U$305,252,2)))</f>
        <v/>
      </c>
      <c r="I757" s="70" t="str">
        <f aca="false">IF($E757="","",N(INDEX(进销存对接!$M$4:$U$305,252,3)))</f>
        <v/>
      </c>
      <c r="J757" s="67"/>
      <c r="K757" s="67" t="str">
        <f aca="false">IF($E757="","",INDEX(进销存对接!$D$4:$D$305,252))</f>
        <v/>
      </c>
      <c r="L757" s="107"/>
      <c r="M757" s="107"/>
      <c r="N757" s="67" t="str">
        <f aca="false">IF($E757="","","系统")</f>
        <v/>
      </c>
      <c r="O757" s="67" t="str">
        <f aca="false">IF($E757="","","自动A")</f>
        <v/>
      </c>
      <c r="P757" s="18"/>
    </row>
    <row r="758" customFormat="false" ht="18" hidden="false" customHeight="true" outlineLevel="0" collapsed="false">
      <c r="A758" s="107" t="str">
        <f aca="false">IF($E758="","",ROW()-3)</f>
        <v/>
      </c>
      <c r="B758" s="110" t="str">
        <f aca="false">IF($E758="","",INDEX(进销存对接!$C$4:$C$305,252))</f>
        <v/>
      </c>
      <c r="C758" s="67" t="str">
        <f aca="false">IF($E758="","","记-"&amp;TEXT($B758,"YYYYMM")&amp;"-进销存")</f>
        <v/>
      </c>
      <c r="D758" s="107" t="str">
        <f aca="false">IF($E758="","",INDEX(进销存对接!$D$4:$D$305,252)&amp;" "&amp;TEXT($B758,"YYYY年M月")&amp;" 自动结转")</f>
        <v/>
      </c>
      <c r="E758" s="67" t="str">
        <f aca="false">IF(INDEX(进销存对接!$M$4:$U$305,252,4)=0,"",INDEX(进销存对接!$M$4:$U$305,252,4))</f>
        <v/>
      </c>
      <c r="F758" s="99" t="str">
        <f aca="false">IF($E758="","",IFERROR(INDEX(科目表!$A$4:$A$81,MATCH($E758,科目表!$B$4:$B$81,0)),""))</f>
        <v/>
      </c>
      <c r="G758" s="67" t="str">
        <f aca="false">IF($E758="","",IFERROR(INDEX(科目表!$E$4:$E$81,MATCH($E758,科目表!$B$4:$B$81,0)),""))</f>
        <v/>
      </c>
      <c r="H758" s="70" t="str">
        <f aca="false">IF($E758="","",N(INDEX(进销存对接!$M$4:$U$305,252,5)))</f>
        <v/>
      </c>
      <c r="I758" s="70" t="str">
        <f aca="false">IF($E758="","",N(INDEX(进销存对接!$M$4:$U$305,252,6)))</f>
        <v/>
      </c>
      <c r="J758" s="67"/>
      <c r="K758" s="67" t="str">
        <f aca="false">IF($E758="","",INDEX(进销存对接!$D$4:$D$305,252))</f>
        <v/>
      </c>
      <c r="L758" s="107"/>
      <c r="M758" s="107"/>
      <c r="N758" s="67" t="str">
        <f aca="false">IF($E758="","","系统")</f>
        <v/>
      </c>
      <c r="O758" s="67" t="str">
        <f aca="false">IF($E758="","","自动A")</f>
        <v/>
      </c>
      <c r="P758" s="18"/>
    </row>
    <row r="759" customFormat="false" ht="18" hidden="false" customHeight="true" outlineLevel="0" collapsed="false">
      <c r="A759" s="107" t="str">
        <f aca="false">IF($E759="","",ROW()-3)</f>
        <v/>
      </c>
      <c r="B759" s="110" t="str">
        <f aca="false">IF($E759="","",INDEX(进销存对接!$C$4:$C$305,252))</f>
        <v/>
      </c>
      <c r="C759" s="67" t="str">
        <f aca="false">IF($E759="","","记-"&amp;TEXT($B759,"YYYYMM")&amp;"-进销存")</f>
        <v/>
      </c>
      <c r="D759" s="107" t="str">
        <f aca="false">IF($E759="","",INDEX(进销存对接!$D$4:$D$305,252)&amp;" "&amp;TEXT($B759,"YYYY年M月")&amp;" 自动结转")</f>
        <v/>
      </c>
      <c r="E759" s="67" t="str">
        <f aca="false">IF(INDEX(进销存对接!$M$4:$U$305,252,7)=0,"",INDEX(进销存对接!$M$4:$U$305,252,7))</f>
        <v/>
      </c>
      <c r="F759" s="99" t="str">
        <f aca="false">IF($E759="","",IFERROR(INDEX(科目表!$A$4:$A$81,MATCH($E759,科目表!$B$4:$B$81,0)),""))</f>
        <v/>
      </c>
      <c r="G759" s="67" t="str">
        <f aca="false">IF($E759="","",IFERROR(INDEX(科目表!$E$4:$E$81,MATCH($E759,科目表!$B$4:$B$81,0)),""))</f>
        <v/>
      </c>
      <c r="H759" s="70" t="str">
        <f aca="false">IF($E759="","",N(INDEX(进销存对接!$M$4:$U$305,252,8)))</f>
        <v/>
      </c>
      <c r="I759" s="70" t="str">
        <f aca="false">IF($E759="","",N(INDEX(进销存对接!$M$4:$U$305,252,9)))</f>
        <v/>
      </c>
      <c r="J759" s="67"/>
      <c r="K759" s="67" t="str">
        <f aca="false">IF($E759="","",INDEX(进销存对接!$D$4:$D$305,252))</f>
        <v/>
      </c>
      <c r="L759" s="107"/>
      <c r="M759" s="107"/>
      <c r="N759" s="67" t="str">
        <f aca="false">IF($E759="","","系统")</f>
        <v/>
      </c>
      <c r="O759" s="67" t="str">
        <f aca="false">IF($E759="","","自动A")</f>
        <v/>
      </c>
      <c r="P759" s="18"/>
    </row>
    <row r="760" customFormat="false" ht="18" hidden="false" customHeight="true" outlineLevel="0" collapsed="false">
      <c r="A760" s="107" t="str">
        <f aca="false">IF($E760="","",ROW()-3)</f>
        <v/>
      </c>
      <c r="B760" s="110" t="str">
        <f aca="false">IF($E760="","",INDEX(进销存对接!$C$4:$C$305,253))</f>
        <v/>
      </c>
      <c r="C760" s="67" t="str">
        <f aca="false">IF($E760="","","记-"&amp;TEXT($B760,"YYYYMM")&amp;"-进销存")</f>
        <v/>
      </c>
      <c r="D760" s="107" t="str">
        <f aca="false">IF($E760="","",INDEX(进销存对接!$D$4:$D$305,253)&amp;" "&amp;TEXT($B760,"YYYY年M月")&amp;" 自动结转")</f>
        <v/>
      </c>
      <c r="E760" s="67" t="str">
        <f aca="false">IF(INDEX(进销存对接!$M$4:$U$305,253,1)=0,"",INDEX(进销存对接!$M$4:$U$305,253,1))</f>
        <v/>
      </c>
      <c r="F760" s="99" t="str">
        <f aca="false">IF($E760="","",IFERROR(INDEX(科目表!$A$4:$A$81,MATCH($E760,科目表!$B$4:$B$81,0)),""))</f>
        <v/>
      </c>
      <c r="G760" s="67" t="str">
        <f aca="false">IF($E760="","",IFERROR(INDEX(科目表!$E$4:$E$81,MATCH($E760,科目表!$B$4:$B$81,0)),""))</f>
        <v/>
      </c>
      <c r="H760" s="70" t="str">
        <f aca="false">IF($E760="","",N(INDEX(进销存对接!$M$4:$U$305,253,2)))</f>
        <v/>
      </c>
      <c r="I760" s="70" t="str">
        <f aca="false">IF($E760="","",N(INDEX(进销存对接!$M$4:$U$305,253,3)))</f>
        <v/>
      </c>
      <c r="J760" s="67"/>
      <c r="K760" s="67" t="str">
        <f aca="false">IF($E760="","",INDEX(进销存对接!$D$4:$D$305,253))</f>
        <v/>
      </c>
      <c r="L760" s="107"/>
      <c r="M760" s="107"/>
      <c r="N760" s="67" t="str">
        <f aca="false">IF($E760="","","系统")</f>
        <v/>
      </c>
      <c r="O760" s="67" t="str">
        <f aca="false">IF($E760="","","自动A")</f>
        <v/>
      </c>
      <c r="P760" s="18"/>
    </row>
    <row r="761" customFormat="false" ht="18" hidden="false" customHeight="true" outlineLevel="0" collapsed="false">
      <c r="A761" s="107" t="str">
        <f aca="false">IF($E761="","",ROW()-3)</f>
        <v/>
      </c>
      <c r="B761" s="110" t="str">
        <f aca="false">IF($E761="","",INDEX(进销存对接!$C$4:$C$305,253))</f>
        <v/>
      </c>
      <c r="C761" s="67" t="str">
        <f aca="false">IF($E761="","","记-"&amp;TEXT($B761,"YYYYMM")&amp;"-进销存")</f>
        <v/>
      </c>
      <c r="D761" s="107" t="str">
        <f aca="false">IF($E761="","",INDEX(进销存对接!$D$4:$D$305,253)&amp;" "&amp;TEXT($B761,"YYYY年M月")&amp;" 自动结转")</f>
        <v/>
      </c>
      <c r="E761" s="67" t="str">
        <f aca="false">IF(INDEX(进销存对接!$M$4:$U$305,253,4)=0,"",INDEX(进销存对接!$M$4:$U$305,253,4))</f>
        <v/>
      </c>
      <c r="F761" s="99" t="str">
        <f aca="false">IF($E761="","",IFERROR(INDEX(科目表!$A$4:$A$81,MATCH($E761,科目表!$B$4:$B$81,0)),""))</f>
        <v/>
      </c>
      <c r="G761" s="67" t="str">
        <f aca="false">IF($E761="","",IFERROR(INDEX(科目表!$E$4:$E$81,MATCH($E761,科目表!$B$4:$B$81,0)),""))</f>
        <v/>
      </c>
      <c r="H761" s="70" t="str">
        <f aca="false">IF($E761="","",N(INDEX(进销存对接!$M$4:$U$305,253,5)))</f>
        <v/>
      </c>
      <c r="I761" s="70" t="str">
        <f aca="false">IF($E761="","",N(INDEX(进销存对接!$M$4:$U$305,253,6)))</f>
        <v/>
      </c>
      <c r="J761" s="67"/>
      <c r="K761" s="67" t="str">
        <f aca="false">IF($E761="","",INDEX(进销存对接!$D$4:$D$305,253))</f>
        <v/>
      </c>
      <c r="L761" s="107"/>
      <c r="M761" s="107"/>
      <c r="N761" s="67" t="str">
        <f aca="false">IF($E761="","","系统")</f>
        <v/>
      </c>
      <c r="O761" s="67" t="str">
        <f aca="false">IF($E761="","","自动A")</f>
        <v/>
      </c>
      <c r="P761" s="18"/>
    </row>
    <row r="762" customFormat="false" ht="18" hidden="false" customHeight="true" outlineLevel="0" collapsed="false">
      <c r="A762" s="107" t="str">
        <f aca="false">IF($E762="","",ROW()-3)</f>
        <v/>
      </c>
      <c r="B762" s="110" t="str">
        <f aca="false">IF($E762="","",INDEX(进销存对接!$C$4:$C$305,253))</f>
        <v/>
      </c>
      <c r="C762" s="67" t="str">
        <f aca="false">IF($E762="","","记-"&amp;TEXT($B762,"YYYYMM")&amp;"-进销存")</f>
        <v/>
      </c>
      <c r="D762" s="107" t="str">
        <f aca="false">IF($E762="","",INDEX(进销存对接!$D$4:$D$305,253)&amp;" "&amp;TEXT($B762,"YYYY年M月")&amp;" 自动结转")</f>
        <v/>
      </c>
      <c r="E762" s="67" t="str">
        <f aca="false">IF(INDEX(进销存对接!$M$4:$U$305,253,7)=0,"",INDEX(进销存对接!$M$4:$U$305,253,7))</f>
        <v/>
      </c>
      <c r="F762" s="99" t="str">
        <f aca="false">IF($E762="","",IFERROR(INDEX(科目表!$A$4:$A$81,MATCH($E762,科目表!$B$4:$B$81,0)),""))</f>
        <v/>
      </c>
      <c r="G762" s="67" t="str">
        <f aca="false">IF($E762="","",IFERROR(INDEX(科目表!$E$4:$E$81,MATCH($E762,科目表!$B$4:$B$81,0)),""))</f>
        <v/>
      </c>
      <c r="H762" s="70" t="str">
        <f aca="false">IF($E762="","",N(INDEX(进销存对接!$M$4:$U$305,253,8)))</f>
        <v/>
      </c>
      <c r="I762" s="70" t="str">
        <f aca="false">IF($E762="","",N(INDEX(进销存对接!$M$4:$U$305,253,9)))</f>
        <v/>
      </c>
      <c r="J762" s="67"/>
      <c r="K762" s="67" t="str">
        <f aca="false">IF($E762="","",INDEX(进销存对接!$D$4:$D$305,253))</f>
        <v/>
      </c>
      <c r="L762" s="107"/>
      <c r="M762" s="107"/>
      <c r="N762" s="67" t="str">
        <f aca="false">IF($E762="","","系统")</f>
        <v/>
      </c>
      <c r="O762" s="67" t="str">
        <f aca="false">IF($E762="","","自动A")</f>
        <v/>
      </c>
      <c r="P762" s="18"/>
    </row>
    <row r="763" customFormat="false" ht="18" hidden="false" customHeight="true" outlineLevel="0" collapsed="false">
      <c r="A763" s="107" t="str">
        <f aca="false">IF($E763="","",ROW()-3)</f>
        <v/>
      </c>
      <c r="B763" s="110" t="str">
        <f aca="false">IF($E763="","",INDEX(进销存对接!$C$4:$C$305,254))</f>
        <v/>
      </c>
      <c r="C763" s="67" t="str">
        <f aca="false">IF($E763="","","记-"&amp;TEXT($B763,"YYYYMM")&amp;"-进销存")</f>
        <v/>
      </c>
      <c r="D763" s="107" t="str">
        <f aca="false">IF($E763="","",INDEX(进销存对接!$D$4:$D$305,254)&amp;" "&amp;TEXT($B763,"YYYY年M月")&amp;" 自动结转")</f>
        <v/>
      </c>
      <c r="E763" s="67" t="str">
        <f aca="false">IF(INDEX(进销存对接!$M$4:$U$305,254,1)=0,"",INDEX(进销存对接!$M$4:$U$305,254,1))</f>
        <v/>
      </c>
      <c r="F763" s="99" t="str">
        <f aca="false">IF($E763="","",IFERROR(INDEX(科目表!$A$4:$A$81,MATCH($E763,科目表!$B$4:$B$81,0)),""))</f>
        <v/>
      </c>
      <c r="G763" s="67" t="str">
        <f aca="false">IF($E763="","",IFERROR(INDEX(科目表!$E$4:$E$81,MATCH($E763,科目表!$B$4:$B$81,0)),""))</f>
        <v/>
      </c>
      <c r="H763" s="70" t="str">
        <f aca="false">IF($E763="","",N(INDEX(进销存对接!$M$4:$U$305,254,2)))</f>
        <v/>
      </c>
      <c r="I763" s="70" t="str">
        <f aca="false">IF($E763="","",N(INDEX(进销存对接!$M$4:$U$305,254,3)))</f>
        <v/>
      </c>
      <c r="J763" s="67"/>
      <c r="K763" s="67" t="str">
        <f aca="false">IF($E763="","",INDEX(进销存对接!$D$4:$D$305,254))</f>
        <v/>
      </c>
      <c r="L763" s="107"/>
      <c r="M763" s="107"/>
      <c r="N763" s="67" t="str">
        <f aca="false">IF($E763="","","系统")</f>
        <v/>
      </c>
      <c r="O763" s="67" t="str">
        <f aca="false">IF($E763="","","自动A")</f>
        <v/>
      </c>
      <c r="P763" s="18"/>
    </row>
    <row r="764" customFormat="false" ht="18" hidden="false" customHeight="true" outlineLevel="0" collapsed="false">
      <c r="A764" s="107" t="str">
        <f aca="false">IF($E764="","",ROW()-3)</f>
        <v/>
      </c>
      <c r="B764" s="110" t="str">
        <f aca="false">IF($E764="","",INDEX(进销存对接!$C$4:$C$305,254))</f>
        <v/>
      </c>
      <c r="C764" s="67" t="str">
        <f aca="false">IF($E764="","","记-"&amp;TEXT($B764,"YYYYMM")&amp;"-进销存")</f>
        <v/>
      </c>
      <c r="D764" s="107" t="str">
        <f aca="false">IF($E764="","",INDEX(进销存对接!$D$4:$D$305,254)&amp;" "&amp;TEXT($B764,"YYYY年M月")&amp;" 自动结转")</f>
        <v/>
      </c>
      <c r="E764" s="67" t="str">
        <f aca="false">IF(INDEX(进销存对接!$M$4:$U$305,254,4)=0,"",INDEX(进销存对接!$M$4:$U$305,254,4))</f>
        <v/>
      </c>
      <c r="F764" s="99" t="str">
        <f aca="false">IF($E764="","",IFERROR(INDEX(科目表!$A$4:$A$81,MATCH($E764,科目表!$B$4:$B$81,0)),""))</f>
        <v/>
      </c>
      <c r="G764" s="67" t="str">
        <f aca="false">IF($E764="","",IFERROR(INDEX(科目表!$E$4:$E$81,MATCH($E764,科目表!$B$4:$B$81,0)),""))</f>
        <v/>
      </c>
      <c r="H764" s="70" t="str">
        <f aca="false">IF($E764="","",N(INDEX(进销存对接!$M$4:$U$305,254,5)))</f>
        <v/>
      </c>
      <c r="I764" s="70" t="str">
        <f aca="false">IF($E764="","",N(INDEX(进销存对接!$M$4:$U$305,254,6)))</f>
        <v/>
      </c>
      <c r="J764" s="67"/>
      <c r="K764" s="67" t="str">
        <f aca="false">IF($E764="","",INDEX(进销存对接!$D$4:$D$305,254))</f>
        <v/>
      </c>
      <c r="L764" s="107"/>
      <c r="M764" s="107"/>
      <c r="N764" s="67" t="str">
        <f aca="false">IF($E764="","","系统")</f>
        <v/>
      </c>
      <c r="O764" s="67" t="str">
        <f aca="false">IF($E764="","","自动A")</f>
        <v/>
      </c>
      <c r="P764" s="18"/>
    </row>
    <row r="765" customFormat="false" ht="18" hidden="false" customHeight="true" outlineLevel="0" collapsed="false">
      <c r="A765" s="107" t="str">
        <f aca="false">IF($E765="","",ROW()-3)</f>
        <v/>
      </c>
      <c r="B765" s="110" t="str">
        <f aca="false">IF($E765="","",INDEX(进销存对接!$C$4:$C$305,254))</f>
        <v/>
      </c>
      <c r="C765" s="67" t="str">
        <f aca="false">IF($E765="","","记-"&amp;TEXT($B765,"YYYYMM")&amp;"-进销存")</f>
        <v/>
      </c>
      <c r="D765" s="107" t="str">
        <f aca="false">IF($E765="","",INDEX(进销存对接!$D$4:$D$305,254)&amp;" "&amp;TEXT($B765,"YYYY年M月")&amp;" 自动结转")</f>
        <v/>
      </c>
      <c r="E765" s="67" t="str">
        <f aca="false">IF(INDEX(进销存对接!$M$4:$U$305,254,7)=0,"",INDEX(进销存对接!$M$4:$U$305,254,7))</f>
        <v/>
      </c>
      <c r="F765" s="99" t="str">
        <f aca="false">IF($E765="","",IFERROR(INDEX(科目表!$A$4:$A$81,MATCH($E765,科目表!$B$4:$B$81,0)),""))</f>
        <v/>
      </c>
      <c r="G765" s="67" t="str">
        <f aca="false">IF($E765="","",IFERROR(INDEX(科目表!$E$4:$E$81,MATCH($E765,科目表!$B$4:$B$81,0)),""))</f>
        <v/>
      </c>
      <c r="H765" s="70" t="str">
        <f aca="false">IF($E765="","",N(INDEX(进销存对接!$M$4:$U$305,254,8)))</f>
        <v/>
      </c>
      <c r="I765" s="70" t="str">
        <f aca="false">IF($E765="","",N(INDEX(进销存对接!$M$4:$U$305,254,9)))</f>
        <v/>
      </c>
      <c r="J765" s="67"/>
      <c r="K765" s="67" t="str">
        <f aca="false">IF($E765="","",INDEX(进销存对接!$D$4:$D$305,254))</f>
        <v/>
      </c>
      <c r="L765" s="107"/>
      <c r="M765" s="107"/>
      <c r="N765" s="67" t="str">
        <f aca="false">IF($E765="","","系统")</f>
        <v/>
      </c>
      <c r="O765" s="67" t="str">
        <f aca="false">IF($E765="","","自动A")</f>
        <v/>
      </c>
      <c r="P765" s="18"/>
    </row>
    <row r="766" customFormat="false" ht="18" hidden="false" customHeight="true" outlineLevel="0" collapsed="false">
      <c r="A766" s="107" t="str">
        <f aca="false">IF($E766="","",ROW()-3)</f>
        <v/>
      </c>
      <c r="B766" s="110" t="str">
        <f aca="false">IF($E766="","",INDEX(进销存对接!$C$4:$C$305,255))</f>
        <v/>
      </c>
      <c r="C766" s="67" t="str">
        <f aca="false">IF($E766="","","记-"&amp;TEXT($B766,"YYYYMM")&amp;"-进销存")</f>
        <v/>
      </c>
      <c r="D766" s="107" t="str">
        <f aca="false">IF($E766="","",INDEX(进销存对接!$D$4:$D$305,255)&amp;" "&amp;TEXT($B766,"YYYY年M月")&amp;" 自动结转")</f>
        <v/>
      </c>
      <c r="E766" s="67" t="str">
        <f aca="false">IF(INDEX(进销存对接!$M$4:$U$305,255,1)=0,"",INDEX(进销存对接!$M$4:$U$305,255,1))</f>
        <v/>
      </c>
      <c r="F766" s="99" t="str">
        <f aca="false">IF($E766="","",IFERROR(INDEX(科目表!$A$4:$A$81,MATCH($E766,科目表!$B$4:$B$81,0)),""))</f>
        <v/>
      </c>
      <c r="G766" s="67" t="str">
        <f aca="false">IF($E766="","",IFERROR(INDEX(科目表!$E$4:$E$81,MATCH($E766,科目表!$B$4:$B$81,0)),""))</f>
        <v/>
      </c>
      <c r="H766" s="70" t="str">
        <f aca="false">IF($E766="","",N(INDEX(进销存对接!$M$4:$U$305,255,2)))</f>
        <v/>
      </c>
      <c r="I766" s="70" t="str">
        <f aca="false">IF($E766="","",N(INDEX(进销存对接!$M$4:$U$305,255,3)))</f>
        <v/>
      </c>
      <c r="J766" s="67"/>
      <c r="K766" s="67" t="str">
        <f aca="false">IF($E766="","",INDEX(进销存对接!$D$4:$D$305,255))</f>
        <v/>
      </c>
      <c r="L766" s="107"/>
      <c r="M766" s="107"/>
      <c r="N766" s="67" t="str">
        <f aca="false">IF($E766="","","系统")</f>
        <v/>
      </c>
      <c r="O766" s="67" t="str">
        <f aca="false">IF($E766="","","自动A")</f>
        <v/>
      </c>
      <c r="P766" s="18"/>
    </row>
    <row r="767" customFormat="false" ht="18" hidden="false" customHeight="true" outlineLevel="0" collapsed="false">
      <c r="A767" s="107" t="str">
        <f aca="false">IF($E767="","",ROW()-3)</f>
        <v/>
      </c>
      <c r="B767" s="110" t="str">
        <f aca="false">IF($E767="","",INDEX(进销存对接!$C$4:$C$305,255))</f>
        <v/>
      </c>
      <c r="C767" s="67" t="str">
        <f aca="false">IF($E767="","","记-"&amp;TEXT($B767,"YYYYMM")&amp;"-进销存")</f>
        <v/>
      </c>
      <c r="D767" s="107" t="str">
        <f aca="false">IF($E767="","",INDEX(进销存对接!$D$4:$D$305,255)&amp;" "&amp;TEXT($B767,"YYYY年M月")&amp;" 自动结转")</f>
        <v/>
      </c>
      <c r="E767" s="67" t="str">
        <f aca="false">IF(INDEX(进销存对接!$M$4:$U$305,255,4)=0,"",INDEX(进销存对接!$M$4:$U$305,255,4))</f>
        <v/>
      </c>
      <c r="F767" s="99" t="str">
        <f aca="false">IF($E767="","",IFERROR(INDEX(科目表!$A$4:$A$81,MATCH($E767,科目表!$B$4:$B$81,0)),""))</f>
        <v/>
      </c>
      <c r="G767" s="67" t="str">
        <f aca="false">IF($E767="","",IFERROR(INDEX(科目表!$E$4:$E$81,MATCH($E767,科目表!$B$4:$B$81,0)),""))</f>
        <v/>
      </c>
      <c r="H767" s="70" t="str">
        <f aca="false">IF($E767="","",N(INDEX(进销存对接!$M$4:$U$305,255,5)))</f>
        <v/>
      </c>
      <c r="I767" s="70" t="str">
        <f aca="false">IF($E767="","",N(INDEX(进销存对接!$M$4:$U$305,255,6)))</f>
        <v/>
      </c>
      <c r="J767" s="67"/>
      <c r="K767" s="67" t="str">
        <f aca="false">IF($E767="","",INDEX(进销存对接!$D$4:$D$305,255))</f>
        <v/>
      </c>
      <c r="L767" s="107"/>
      <c r="M767" s="107"/>
      <c r="N767" s="67" t="str">
        <f aca="false">IF($E767="","","系统")</f>
        <v/>
      </c>
      <c r="O767" s="67" t="str">
        <f aca="false">IF($E767="","","自动A")</f>
        <v/>
      </c>
      <c r="P767" s="18"/>
    </row>
    <row r="768" customFormat="false" ht="18" hidden="false" customHeight="true" outlineLevel="0" collapsed="false">
      <c r="A768" s="107" t="str">
        <f aca="false">IF($E768="","",ROW()-3)</f>
        <v/>
      </c>
      <c r="B768" s="110" t="str">
        <f aca="false">IF($E768="","",INDEX(进销存对接!$C$4:$C$305,255))</f>
        <v/>
      </c>
      <c r="C768" s="67" t="str">
        <f aca="false">IF($E768="","","记-"&amp;TEXT($B768,"YYYYMM")&amp;"-进销存")</f>
        <v/>
      </c>
      <c r="D768" s="107" t="str">
        <f aca="false">IF($E768="","",INDEX(进销存对接!$D$4:$D$305,255)&amp;" "&amp;TEXT($B768,"YYYY年M月")&amp;" 自动结转")</f>
        <v/>
      </c>
      <c r="E768" s="67" t="str">
        <f aca="false">IF(INDEX(进销存对接!$M$4:$U$305,255,7)=0,"",INDEX(进销存对接!$M$4:$U$305,255,7))</f>
        <v/>
      </c>
      <c r="F768" s="99" t="str">
        <f aca="false">IF($E768="","",IFERROR(INDEX(科目表!$A$4:$A$81,MATCH($E768,科目表!$B$4:$B$81,0)),""))</f>
        <v/>
      </c>
      <c r="G768" s="67" t="str">
        <f aca="false">IF($E768="","",IFERROR(INDEX(科目表!$E$4:$E$81,MATCH($E768,科目表!$B$4:$B$81,0)),""))</f>
        <v/>
      </c>
      <c r="H768" s="70" t="str">
        <f aca="false">IF($E768="","",N(INDEX(进销存对接!$M$4:$U$305,255,8)))</f>
        <v/>
      </c>
      <c r="I768" s="70" t="str">
        <f aca="false">IF($E768="","",N(INDEX(进销存对接!$M$4:$U$305,255,9)))</f>
        <v/>
      </c>
      <c r="J768" s="67"/>
      <c r="K768" s="67" t="str">
        <f aca="false">IF($E768="","",INDEX(进销存对接!$D$4:$D$305,255))</f>
        <v/>
      </c>
      <c r="L768" s="107"/>
      <c r="M768" s="107"/>
      <c r="N768" s="67" t="str">
        <f aca="false">IF($E768="","","系统")</f>
        <v/>
      </c>
      <c r="O768" s="67" t="str">
        <f aca="false">IF($E768="","","自动A")</f>
        <v/>
      </c>
      <c r="P768" s="18"/>
    </row>
    <row r="769" customFormat="false" ht="18" hidden="false" customHeight="true" outlineLevel="0" collapsed="false">
      <c r="A769" s="107" t="str">
        <f aca="false">IF($E769="","",ROW()-3)</f>
        <v/>
      </c>
      <c r="B769" s="110" t="str">
        <f aca="false">IF($E769="","",INDEX(进销存对接!$C$4:$C$305,256))</f>
        <v/>
      </c>
      <c r="C769" s="67" t="str">
        <f aca="false">IF($E769="","","记-"&amp;TEXT($B769,"YYYYMM")&amp;"-进销存")</f>
        <v/>
      </c>
      <c r="D769" s="107" t="str">
        <f aca="false">IF($E769="","",INDEX(进销存对接!$D$4:$D$305,256)&amp;" "&amp;TEXT($B769,"YYYY年M月")&amp;" 自动结转")</f>
        <v/>
      </c>
      <c r="E769" s="67" t="str">
        <f aca="false">IF(INDEX(进销存对接!$M$4:$U$305,256,1)=0,"",INDEX(进销存对接!$M$4:$U$305,256,1))</f>
        <v/>
      </c>
      <c r="F769" s="99" t="str">
        <f aca="false">IF($E769="","",IFERROR(INDEX(科目表!$A$4:$A$81,MATCH($E769,科目表!$B$4:$B$81,0)),""))</f>
        <v/>
      </c>
      <c r="G769" s="67" t="str">
        <f aca="false">IF($E769="","",IFERROR(INDEX(科目表!$E$4:$E$81,MATCH($E769,科目表!$B$4:$B$81,0)),""))</f>
        <v/>
      </c>
      <c r="H769" s="70" t="str">
        <f aca="false">IF($E769="","",N(INDEX(进销存对接!$M$4:$U$305,256,2)))</f>
        <v/>
      </c>
      <c r="I769" s="70" t="str">
        <f aca="false">IF($E769="","",N(INDEX(进销存对接!$M$4:$U$305,256,3)))</f>
        <v/>
      </c>
      <c r="J769" s="67"/>
      <c r="K769" s="67" t="str">
        <f aca="false">IF($E769="","",INDEX(进销存对接!$D$4:$D$305,256))</f>
        <v/>
      </c>
      <c r="L769" s="107"/>
      <c r="M769" s="107"/>
      <c r="N769" s="67" t="str">
        <f aca="false">IF($E769="","","系统")</f>
        <v/>
      </c>
      <c r="O769" s="67" t="str">
        <f aca="false">IF($E769="","","自动A")</f>
        <v/>
      </c>
      <c r="P769" s="18"/>
    </row>
    <row r="770" customFormat="false" ht="18" hidden="false" customHeight="true" outlineLevel="0" collapsed="false">
      <c r="A770" s="107" t="str">
        <f aca="false">IF($E770="","",ROW()-3)</f>
        <v/>
      </c>
      <c r="B770" s="110" t="str">
        <f aca="false">IF($E770="","",INDEX(进销存对接!$C$4:$C$305,256))</f>
        <v/>
      </c>
      <c r="C770" s="67" t="str">
        <f aca="false">IF($E770="","","记-"&amp;TEXT($B770,"YYYYMM")&amp;"-进销存")</f>
        <v/>
      </c>
      <c r="D770" s="107" t="str">
        <f aca="false">IF($E770="","",INDEX(进销存对接!$D$4:$D$305,256)&amp;" "&amp;TEXT($B770,"YYYY年M月")&amp;" 自动结转")</f>
        <v/>
      </c>
      <c r="E770" s="67" t="str">
        <f aca="false">IF(INDEX(进销存对接!$M$4:$U$305,256,4)=0,"",INDEX(进销存对接!$M$4:$U$305,256,4))</f>
        <v/>
      </c>
      <c r="F770" s="99" t="str">
        <f aca="false">IF($E770="","",IFERROR(INDEX(科目表!$A$4:$A$81,MATCH($E770,科目表!$B$4:$B$81,0)),""))</f>
        <v/>
      </c>
      <c r="G770" s="67" t="str">
        <f aca="false">IF($E770="","",IFERROR(INDEX(科目表!$E$4:$E$81,MATCH($E770,科目表!$B$4:$B$81,0)),""))</f>
        <v/>
      </c>
      <c r="H770" s="70" t="str">
        <f aca="false">IF($E770="","",N(INDEX(进销存对接!$M$4:$U$305,256,5)))</f>
        <v/>
      </c>
      <c r="I770" s="70" t="str">
        <f aca="false">IF($E770="","",N(INDEX(进销存对接!$M$4:$U$305,256,6)))</f>
        <v/>
      </c>
      <c r="J770" s="67"/>
      <c r="K770" s="67" t="str">
        <f aca="false">IF($E770="","",INDEX(进销存对接!$D$4:$D$305,256))</f>
        <v/>
      </c>
      <c r="L770" s="107"/>
      <c r="M770" s="107"/>
      <c r="N770" s="67" t="str">
        <f aca="false">IF($E770="","","系统")</f>
        <v/>
      </c>
      <c r="O770" s="67" t="str">
        <f aca="false">IF($E770="","","自动A")</f>
        <v/>
      </c>
      <c r="P770" s="18"/>
    </row>
    <row r="771" customFormat="false" ht="18" hidden="false" customHeight="true" outlineLevel="0" collapsed="false">
      <c r="A771" s="107" t="str">
        <f aca="false">IF($E771="","",ROW()-3)</f>
        <v/>
      </c>
      <c r="B771" s="110" t="str">
        <f aca="false">IF($E771="","",INDEX(进销存对接!$C$4:$C$305,256))</f>
        <v/>
      </c>
      <c r="C771" s="67" t="str">
        <f aca="false">IF($E771="","","记-"&amp;TEXT($B771,"YYYYMM")&amp;"-进销存")</f>
        <v/>
      </c>
      <c r="D771" s="107" t="str">
        <f aca="false">IF($E771="","",INDEX(进销存对接!$D$4:$D$305,256)&amp;" "&amp;TEXT($B771,"YYYY年M月")&amp;" 自动结转")</f>
        <v/>
      </c>
      <c r="E771" s="67" t="str">
        <f aca="false">IF(INDEX(进销存对接!$M$4:$U$305,256,7)=0,"",INDEX(进销存对接!$M$4:$U$305,256,7))</f>
        <v/>
      </c>
      <c r="F771" s="99" t="str">
        <f aca="false">IF($E771="","",IFERROR(INDEX(科目表!$A$4:$A$81,MATCH($E771,科目表!$B$4:$B$81,0)),""))</f>
        <v/>
      </c>
      <c r="G771" s="67" t="str">
        <f aca="false">IF($E771="","",IFERROR(INDEX(科目表!$E$4:$E$81,MATCH($E771,科目表!$B$4:$B$81,0)),""))</f>
        <v/>
      </c>
      <c r="H771" s="70" t="str">
        <f aca="false">IF($E771="","",N(INDEX(进销存对接!$M$4:$U$305,256,8)))</f>
        <v/>
      </c>
      <c r="I771" s="70" t="str">
        <f aca="false">IF($E771="","",N(INDEX(进销存对接!$M$4:$U$305,256,9)))</f>
        <v/>
      </c>
      <c r="J771" s="67"/>
      <c r="K771" s="67" t="str">
        <f aca="false">IF($E771="","",INDEX(进销存对接!$D$4:$D$305,256))</f>
        <v/>
      </c>
      <c r="L771" s="107"/>
      <c r="M771" s="107"/>
      <c r="N771" s="67" t="str">
        <f aca="false">IF($E771="","","系统")</f>
        <v/>
      </c>
      <c r="O771" s="67" t="str">
        <f aca="false">IF($E771="","","自动A")</f>
        <v/>
      </c>
      <c r="P771" s="18"/>
    </row>
    <row r="772" customFormat="false" ht="18" hidden="false" customHeight="true" outlineLevel="0" collapsed="false">
      <c r="A772" s="107" t="str">
        <f aca="false">IF($E772="","",ROW()-3)</f>
        <v/>
      </c>
      <c r="B772" s="110" t="str">
        <f aca="false">IF($E772="","",INDEX(进销存对接!$C$4:$C$305,257))</f>
        <v/>
      </c>
      <c r="C772" s="67" t="str">
        <f aca="false">IF($E772="","","记-"&amp;TEXT($B772,"YYYYMM")&amp;"-进销存")</f>
        <v/>
      </c>
      <c r="D772" s="107" t="str">
        <f aca="false">IF($E772="","",INDEX(进销存对接!$D$4:$D$305,257)&amp;" "&amp;TEXT($B772,"YYYY年M月")&amp;" 自动结转")</f>
        <v/>
      </c>
      <c r="E772" s="67" t="str">
        <f aca="false">IF(INDEX(进销存对接!$M$4:$U$305,257,1)=0,"",INDEX(进销存对接!$M$4:$U$305,257,1))</f>
        <v/>
      </c>
      <c r="F772" s="99" t="str">
        <f aca="false">IF($E772="","",IFERROR(INDEX(科目表!$A$4:$A$81,MATCH($E772,科目表!$B$4:$B$81,0)),""))</f>
        <v/>
      </c>
      <c r="G772" s="67" t="str">
        <f aca="false">IF($E772="","",IFERROR(INDEX(科目表!$E$4:$E$81,MATCH($E772,科目表!$B$4:$B$81,0)),""))</f>
        <v/>
      </c>
      <c r="H772" s="70" t="str">
        <f aca="false">IF($E772="","",N(INDEX(进销存对接!$M$4:$U$305,257,2)))</f>
        <v/>
      </c>
      <c r="I772" s="70" t="str">
        <f aca="false">IF($E772="","",N(INDEX(进销存对接!$M$4:$U$305,257,3)))</f>
        <v/>
      </c>
      <c r="J772" s="67"/>
      <c r="K772" s="67" t="str">
        <f aca="false">IF($E772="","",INDEX(进销存对接!$D$4:$D$305,257))</f>
        <v/>
      </c>
      <c r="L772" s="107"/>
      <c r="M772" s="107"/>
      <c r="N772" s="67" t="str">
        <f aca="false">IF($E772="","","系统")</f>
        <v/>
      </c>
      <c r="O772" s="67" t="str">
        <f aca="false">IF($E772="","","自动A")</f>
        <v/>
      </c>
      <c r="P772" s="18"/>
    </row>
    <row r="773" customFormat="false" ht="18" hidden="false" customHeight="true" outlineLevel="0" collapsed="false">
      <c r="A773" s="107" t="str">
        <f aca="false">IF($E773="","",ROW()-3)</f>
        <v/>
      </c>
      <c r="B773" s="110" t="str">
        <f aca="false">IF($E773="","",INDEX(进销存对接!$C$4:$C$305,257))</f>
        <v/>
      </c>
      <c r="C773" s="67" t="str">
        <f aca="false">IF($E773="","","记-"&amp;TEXT($B773,"YYYYMM")&amp;"-进销存")</f>
        <v/>
      </c>
      <c r="D773" s="107" t="str">
        <f aca="false">IF($E773="","",INDEX(进销存对接!$D$4:$D$305,257)&amp;" "&amp;TEXT($B773,"YYYY年M月")&amp;" 自动结转")</f>
        <v/>
      </c>
      <c r="E773" s="67" t="str">
        <f aca="false">IF(INDEX(进销存对接!$M$4:$U$305,257,4)=0,"",INDEX(进销存对接!$M$4:$U$305,257,4))</f>
        <v/>
      </c>
      <c r="F773" s="99" t="str">
        <f aca="false">IF($E773="","",IFERROR(INDEX(科目表!$A$4:$A$81,MATCH($E773,科目表!$B$4:$B$81,0)),""))</f>
        <v/>
      </c>
      <c r="G773" s="67" t="str">
        <f aca="false">IF($E773="","",IFERROR(INDEX(科目表!$E$4:$E$81,MATCH($E773,科目表!$B$4:$B$81,0)),""))</f>
        <v/>
      </c>
      <c r="H773" s="70" t="str">
        <f aca="false">IF($E773="","",N(INDEX(进销存对接!$M$4:$U$305,257,5)))</f>
        <v/>
      </c>
      <c r="I773" s="70" t="str">
        <f aca="false">IF($E773="","",N(INDEX(进销存对接!$M$4:$U$305,257,6)))</f>
        <v/>
      </c>
      <c r="J773" s="67"/>
      <c r="K773" s="67" t="str">
        <f aca="false">IF($E773="","",INDEX(进销存对接!$D$4:$D$305,257))</f>
        <v/>
      </c>
      <c r="L773" s="107"/>
      <c r="M773" s="107"/>
      <c r="N773" s="67" t="str">
        <f aca="false">IF($E773="","","系统")</f>
        <v/>
      </c>
      <c r="O773" s="67" t="str">
        <f aca="false">IF($E773="","","自动A")</f>
        <v/>
      </c>
      <c r="P773" s="18"/>
    </row>
    <row r="774" customFormat="false" ht="18" hidden="false" customHeight="true" outlineLevel="0" collapsed="false">
      <c r="A774" s="107" t="str">
        <f aca="false">IF($E774="","",ROW()-3)</f>
        <v/>
      </c>
      <c r="B774" s="110" t="str">
        <f aca="false">IF($E774="","",INDEX(进销存对接!$C$4:$C$305,257))</f>
        <v/>
      </c>
      <c r="C774" s="67" t="str">
        <f aca="false">IF($E774="","","记-"&amp;TEXT($B774,"YYYYMM")&amp;"-进销存")</f>
        <v/>
      </c>
      <c r="D774" s="107" t="str">
        <f aca="false">IF($E774="","",INDEX(进销存对接!$D$4:$D$305,257)&amp;" "&amp;TEXT($B774,"YYYY年M月")&amp;" 自动结转")</f>
        <v/>
      </c>
      <c r="E774" s="67" t="str">
        <f aca="false">IF(INDEX(进销存对接!$M$4:$U$305,257,7)=0,"",INDEX(进销存对接!$M$4:$U$305,257,7))</f>
        <v/>
      </c>
      <c r="F774" s="99" t="str">
        <f aca="false">IF($E774="","",IFERROR(INDEX(科目表!$A$4:$A$81,MATCH($E774,科目表!$B$4:$B$81,0)),""))</f>
        <v/>
      </c>
      <c r="G774" s="67" t="str">
        <f aca="false">IF($E774="","",IFERROR(INDEX(科目表!$E$4:$E$81,MATCH($E774,科目表!$B$4:$B$81,0)),""))</f>
        <v/>
      </c>
      <c r="H774" s="70" t="str">
        <f aca="false">IF($E774="","",N(INDEX(进销存对接!$M$4:$U$305,257,8)))</f>
        <v/>
      </c>
      <c r="I774" s="70" t="str">
        <f aca="false">IF($E774="","",N(INDEX(进销存对接!$M$4:$U$305,257,9)))</f>
        <v/>
      </c>
      <c r="J774" s="67"/>
      <c r="K774" s="67" t="str">
        <f aca="false">IF($E774="","",INDEX(进销存对接!$D$4:$D$305,257))</f>
        <v/>
      </c>
      <c r="L774" s="107"/>
      <c r="M774" s="107"/>
      <c r="N774" s="67" t="str">
        <f aca="false">IF($E774="","","系统")</f>
        <v/>
      </c>
      <c r="O774" s="67" t="str">
        <f aca="false">IF($E774="","","自动A")</f>
        <v/>
      </c>
      <c r="P774" s="18"/>
    </row>
    <row r="775" customFormat="false" ht="18" hidden="false" customHeight="true" outlineLevel="0" collapsed="false">
      <c r="A775" s="107" t="str">
        <f aca="false">IF($E775="","",ROW()-3)</f>
        <v/>
      </c>
      <c r="B775" s="110" t="str">
        <f aca="false">IF($E775="","",INDEX(进销存对接!$C$4:$C$305,258))</f>
        <v/>
      </c>
      <c r="C775" s="67" t="str">
        <f aca="false">IF($E775="","","记-"&amp;TEXT($B775,"YYYYMM")&amp;"-进销存")</f>
        <v/>
      </c>
      <c r="D775" s="107" t="str">
        <f aca="false">IF($E775="","",INDEX(进销存对接!$D$4:$D$305,258)&amp;" "&amp;TEXT($B775,"YYYY年M月")&amp;" 自动结转")</f>
        <v/>
      </c>
      <c r="E775" s="67" t="str">
        <f aca="false">IF(INDEX(进销存对接!$M$4:$U$305,258,1)=0,"",INDEX(进销存对接!$M$4:$U$305,258,1))</f>
        <v/>
      </c>
      <c r="F775" s="99" t="str">
        <f aca="false">IF($E775="","",IFERROR(INDEX(科目表!$A$4:$A$81,MATCH($E775,科目表!$B$4:$B$81,0)),""))</f>
        <v/>
      </c>
      <c r="G775" s="67" t="str">
        <f aca="false">IF($E775="","",IFERROR(INDEX(科目表!$E$4:$E$81,MATCH($E775,科目表!$B$4:$B$81,0)),""))</f>
        <v/>
      </c>
      <c r="H775" s="70" t="str">
        <f aca="false">IF($E775="","",N(INDEX(进销存对接!$M$4:$U$305,258,2)))</f>
        <v/>
      </c>
      <c r="I775" s="70" t="str">
        <f aca="false">IF($E775="","",N(INDEX(进销存对接!$M$4:$U$305,258,3)))</f>
        <v/>
      </c>
      <c r="J775" s="67"/>
      <c r="K775" s="67" t="str">
        <f aca="false">IF($E775="","",INDEX(进销存对接!$D$4:$D$305,258))</f>
        <v/>
      </c>
      <c r="L775" s="107"/>
      <c r="M775" s="107"/>
      <c r="N775" s="67" t="str">
        <f aca="false">IF($E775="","","系统")</f>
        <v/>
      </c>
      <c r="O775" s="67" t="str">
        <f aca="false">IF($E775="","","自动A")</f>
        <v/>
      </c>
      <c r="P775" s="18"/>
    </row>
    <row r="776" customFormat="false" ht="18" hidden="false" customHeight="true" outlineLevel="0" collapsed="false">
      <c r="A776" s="107" t="str">
        <f aca="false">IF($E776="","",ROW()-3)</f>
        <v/>
      </c>
      <c r="B776" s="110" t="str">
        <f aca="false">IF($E776="","",INDEX(进销存对接!$C$4:$C$305,258))</f>
        <v/>
      </c>
      <c r="C776" s="67" t="str">
        <f aca="false">IF($E776="","","记-"&amp;TEXT($B776,"YYYYMM")&amp;"-进销存")</f>
        <v/>
      </c>
      <c r="D776" s="107" t="str">
        <f aca="false">IF($E776="","",INDEX(进销存对接!$D$4:$D$305,258)&amp;" "&amp;TEXT($B776,"YYYY年M月")&amp;" 自动结转")</f>
        <v/>
      </c>
      <c r="E776" s="67" t="str">
        <f aca="false">IF(INDEX(进销存对接!$M$4:$U$305,258,4)=0,"",INDEX(进销存对接!$M$4:$U$305,258,4))</f>
        <v/>
      </c>
      <c r="F776" s="99" t="str">
        <f aca="false">IF($E776="","",IFERROR(INDEX(科目表!$A$4:$A$81,MATCH($E776,科目表!$B$4:$B$81,0)),""))</f>
        <v/>
      </c>
      <c r="G776" s="67" t="str">
        <f aca="false">IF($E776="","",IFERROR(INDEX(科目表!$E$4:$E$81,MATCH($E776,科目表!$B$4:$B$81,0)),""))</f>
        <v/>
      </c>
      <c r="H776" s="70" t="str">
        <f aca="false">IF($E776="","",N(INDEX(进销存对接!$M$4:$U$305,258,5)))</f>
        <v/>
      </c>
      <c r="I776" s="70" t="str">
        <f aca="false">IF($E776="","",N(INDEX(进销存对接!$M$4:$U$305,258,6)))</f>
        <v/>
      </c>
      <c r="J776" s="67"/>
      <c r="K776" s="67" t="str">
        <f aca="false">IF($E776="","",INDEX(进销存对接!$D$4:$D$305,258))</f>
        <v/>
      </c>
      <c r="L776" s="107"/>
      <c r="M776" s="107"/>
      <c r="N776" s="67" t="str">
        <f aca="false">IF($E776="","","系统")</f>
        <v/>
      </c>
      <c r="O776" s="67" t="str">
        <f aca="false">IF($E776="","","自动A")</f>
        <v/>
      </c>
      <c r="P776" s="18"/>
    </row>
    <row r="777" customFormat="false" ht="18" hidden="false" customHeight="true" outlineLevel="0" collapsed="false">
      <c r="A777" s="107" t="str">
        <f aca="false">IF($E777="","",ROW()-3)</f>
        <v/>
      </c>
      <c r="B777" s="110" t="str">
        <f aca="false">IF($E777="","",INDEX(进销存对接!$C$4:$C$305,258))</f>
        <v/>
      </c>
      <c r="C777" s="67" t="str">
        <f aca="false">IF($E777="","","记-"&amp;TEXT($B777,"YYYYMM")&amp;"-进销存")</f>
        <v/>
      </c>
      <c r="D777" s="107" t="str">
        <f aca="false">IF($E777="","",INDEX(进销存对接!$D$4:$D$305,258)&amp;" "&amp;TEXT($B777,"YYYY年M月")&amp;" 自动结转")</f>
        <v/>
      </c>
      <c r="E777" s="67" t="str">
        <f aca="false">IF(INDEX(进销存对接!$M$4:$U$305,258,7)=0,"",INDEX(进销存对接!$M$4:$U$305,258,7))</f>
        <v/>
      </c>
      <c r="F777" s="99" t="str">
        <f aca="false">IF($E777="","",IFERROR(INDEX(科目表!$A$4:$A$81,MATCH($E777,科目表!$B$4:$B$81,0)),""))</f>
        <v/>
      </c>
      <c r="G777" s="67" t="str">
        <f aca="false">IF($E777="","",IFERROR(INDEX(科目表!$E$4:$E$81,MATCH($E777,科目表!$B$4:$B$81,0)),""))</f>
        <v/>
      </c>
      <c r="H777" s="70" t="str">
        <f aca="false">IF($E777="","",N(INDEX(进销存对接!$M$4:$U$305,258,8)))</f>
        <v/>
      </c>
      <c r="I777" s="70" t="str">
        <f aca="false">IF($E777="","",N(INDEX(进销存对接!$M$4:$U$305,258,9)))</f>
        <v/>
      </c>
      <c r="J777" s="67"/>
      <c r="K777" s="67" t="str">
        <f aca="false">IF($E777="","",INDEX(进销存对接!$D$4:$D$305,258))</f>
        <v/>
      </c>
      <c r="L777" s="107"/>
      <c r="M777" s="107"/>
      <c r="N777" s="67" t="str">
        <f aca="false">IF($E777="","","系统")</f>
        <v/>
      </c>
      <c r="O777" s="67" t="str">
        <f aca="false">IF($E777="","","自动A")</f>
        <v/>
      </c>
      <c r="P777" s="18"/>
    </row>
    <row r="778" customFormat="false" ht="18" hidden="false" customHeight="true" outlineLevel="0" collapsed="false">
      <c r="A778" s="107" t="str">
        <f aca="false">IF($E778="","",ROW()-3)</f>
        <v/>
      </c>
      <c r="B778" s="110" t="str">
        <f aca="false">IF($E778="","",INDEX(进销存对接!$C$4:$C$305,259))</f>
        <v/>
      </c>
      <c r="C778" s="67" t="str">
        <f aca="false">IF($E778="","","记-"&amp;TEXT($B778,"YYYYMM")&amp;"-进销存")</f>
        <v/>
      </c>
      <c r="D778" s="107" t="str">
        <f aca="false">IF($E778="","",INDEX(进销存对接!$D$4:$D$305,259)&amp;" "&amp;TEXT($B778,"YYYY年M月")&amp;" 自动结转")</f>
        <v/>
      </c>
      <c r="E778" s="67" t="str">
        <f aca="false">IF(INDEX(进销存对接!$M$4:$U$305,259,1)=0,"",INDEX(进销存对接!$M$4:$U$305,259,1))</f>
        <v/>
      </c>
      <c r="F778" s="99" t="str">
        <f aca="false">IF($E778="","",IFERROR(INDEX(科目表!$A$4:$A$81,MATCH($E778,科目表!$B$4:$B$81,0)),""))</f>
        <v/>
      </c>
      <c r="G778" s="67" t="str">
        <f aca="false">IF($E778="","",IFERROR(INDEX(科目表!$E$4:$E$81,MATCH($E778,科目表!$B$4:$B$81,0)),""))</f>
        <v/>
      </c>
      <c r="H778" s="70" t="str">
        <f aca="false">IF($E778="","",N(INDEX(进销存对接!$M$4:$U$305,259,2)))</f>
        <v/>
      </c>
      <c r="I778" s="70" t="str">
        <f aca="false">IF($E778="","",N(INDEX(进销存对接!$M$4:$U$305,259,3)))</f>
        <v/>
      </c>
      <c r="J778" s="67"/>
      <c r="K778" s="67" t="str">
        <f aca="false">IF($E778="","",INDEX(进销存对接!$D$4:$D$305,259))</f>
        <v/>
      </c>
      <c r="L778" s="107"/>
      <c r="M778" s="107"/>
      <c r="N778" s="67" t="str">
        <f aca="false">IF($E778="","","系统")</f>
        <v/>
      </c>
      <c r="O778" s="67" t="str">
        <f aca="false">IF($E778="","","自动A")</f>
        <v/>
      </c>
      <c r="P778" s="18"/>
    </row>
    <row r="779" customFormat="false" ht="18" hidden="false" customHeight="true" outlineLevel="0" collapsed="false">
      <c r="A779" s="107" t="str">
        <f aca="false">IF($E779="","",ROW()-3)</f>
        <v/>
      </c>
      <c r="B779" s="110" t="str">
        <f aca="false">IF($E779="","",INDEX(进销存对接!$C$4:$C$305,259))</f>
        <v/>
      </c>
      <c r="C779" s="67" t="str">
        <f aca="false">IF($E779="","","记-"&amp;TEXT($B779,"YYYYMM")&amp;"-进销存")</f>
        <v/>
      </c>
      <c r="D779" s="107" t="str">
        <f aca="false">IF($E779="","",INDEX(进销存对接!$D$4:$D$305,259)&amp;" "&amp;TEXT($B779,"YYYY年M月")&amp;" 自动结转")</f>
        <v/>
      </c>
      <c r="E779" s="67" t="str">
        <f aca="false">IF(INDEX(进销存对接!$M$4:$U$305,259,4)=0,"",INDEX(进销存对接!$M$4:$U$305,259,4))</f>
        <v/>
      </c>
      <c r="F779" s="99" t="str">
        <f aca="false">IF($E779="","",IFERROR(INDEX(科目表!$A$4:$A$81,MATCH($E779,科目表!$B$4:$B$81,0)),""))</f>
        <v/>
      </c>
      <c r="G779" s="67" t="str">
        <f aca="false">IF($E779="","",IFERROR(INDEX(科目表!$E$4:$E$81,MATCH($E779,科目表!$B$4:$B$81,0)),""))</f>
        <v/>
      </c>
      <c r="H779" s="70" t="str">
        <f aca="false">IF($E779="","",N(INDEX(进销存对接!$M$4:$U$305,259,5)))</f>
        <v/>
      </c>
      <c r="I779" s="70" t="str">
        <f aca="false">IF($E779="","",N(INDEX(进销存对接!$M$4:$U$305,259,6)))</f>
        <v/>
      </c>
      <c r="J779" s="67"/>
      <c r="K779" s="67" t="str">
        <f aca="false">IF($E779="","",INDEX(进销存对接!$D$4:$D$305,259))</f>
        <v/>
      </c>
      <c r="L779" s="107"/>
      <c r="M779" s="107"/>
      <c r="N779" s="67" t="str">
        <f aca="false">IF($E779="","","系统")</f>
        <v/>
      </c>
      <c r="O779" s="67" t="str">
        <f aca="false">IF($E779="","","自动A")</f>
        <v/>
      </c>
      <c r="P779" s="18"/>
    </row>
    <row r="780" customFormat="false" ht="18" hidden="false" customHeight="true" outlineLevel="0" collapsed="false">
      <c r="A780" s="107" t="str">
        <f aca="false">IF($E780="","",ROW()-3)</f>
        <v/>
      </c>
      <c r="B780" s="110" t="str">
        <f aca="false">IF($E780="","",INDEX(进销存对接!$C$4:$C$305,259))</f>
        <v/>
      </c>
      <c r="C780" s="67" t="str">
        <f aca="false">IF($E780="","","记-"&amp;TEXT($B780,"YYYYMM")&amp;"-进销存")</f>
        <v/>
      </c>
      <c r="D780" s="107" t="str">
        <f aca="false">IF($E780="","",INDEX(进销存对接!$D$4:$D$305,259)&amp;" "&amp;TEXT($B780,"YYYY年M月")&amp;" 自动结转")</f>
        <v/>
      </c>
      <c r="E780" s="67" t="str">
        <f aca="false">IF(INDEX(进销存对接!$M$4:$U$305,259,7)=0,"",INDEX(进销存对接!$M$4:$U$305,259,7))</f>
        <v/>
      </c>
      <c r="F780" s="99" t="str">
        <f aca="false">IF($E780="","",IFERROR(INDEX(科目表!$A$4:$A$81,MATCH($E780,科目表!$B$4:$B$81,0)),""))</f>
        <v/>
      </c>
      <c r="G780" s="67" t="str">
        <f aca="false">IF($E780="","",IFERROR(INDEX(科目表!$E$4:$E$81,MATCH($E780,科目表!$B$4:$B$81,0)),""))</f>
        <v/>
      </c>
      <c r="H780" s="70" t="str">
        <f aca="false">IF($E780="","",N(INDEX(进销存对接!$M$4:$U$305,259,8)))</f>
        <v/>
      </c>
      <c r="I780" s="70" t="str">
        <f aca="false">IF($E780="","",N(INDEX(进销存对接!$M$4:$U$305,259,9)))</f>
        <v/>
      </c>
      <c r="J780" s="67"/>
      <c r="K780" s="67" t="str">
        <f aca="false">IF($E780="","",INDEX(进销存对接!$D$4:$D$305,259))</f>
        <v/>
      </c>
      <c r="L780" s="107"/>
      <c r="M780" s="107"/>
      <c r="N780" s="67" t="str">
        <f aca="false">IF($E780="","","系统")</f>
        <v/>
      </c>
      <c r="O780" s="67" t="str">
        <f aca="false">IF($E780="","","自动A")</f>
        <v/>
      </c>
      <c r="P780" s="18"/>
    </row>
    <row r="781" customFormat="false" ht="18" hidden="false" customHeight="true" outlineLevel="0" collapsed="false">
      <c r="A781" s="107" t="str">
        <f aca="false">IF($E781="","",ROW()-3)</f>
        <v/>
      </c>
      <c r="B781" s="110" t="str">
        <f aca="false">IF($E781="","",INDEX(进销存对接!$C$4:$C$305,260))</f>
        <v/>
      </c>
      <c r="C781" s="67" t="str">
        <f aca="false">IF($E781="","","记-"&amp;TEXT($B781,"YYYYMM")&amp;"-进销存")</f>
        <v/>
      </c>
      <c r="D781" s="107" t="str">
        <f aca="false">IF($E781="","",INDEX(进销存对接!$D$4:$D$305,260)&amp;" "&amp;TEXT($B781,"YYYY年M月")&amp;" 自动结转")</f>
        <v/>
      </c>
      <c r="E781" s="67" t="str">
        <f aca="false">IF(INDEX(进销存对接!$M$4:$U$305,260,1)=0,"",INDEX(进销存对接!$M$4:$U$305,260,1))</f>
        <v/>
      </c>
      <c r="F781" s="99" t="str">
        <f aca="false">IF($E781="","",IFERROR(INDEX(科目表!$A$4:$A$81,MATCH($E781,科目表!$B$4:$B$81,0)),""))</f>
        <v/>
      </c>
      <c r="G781" s="67" t="str">
        <f aca="false">IF($E781="","",IFERROR(INDEX(科目表!$E$4:$E$81,MATCH($E781,科目表!$B$4:$B$81,0)),""))</f>
        <v/>
      </c>
      <c r="H781" s="70" t="str">
        <f aca="false">IF($E781="","",N(INDEX(进销存对接!$M$4:$U$305,260,2)))</f>
        <v/>
      </c>
      <c r="I781" s="70" t="str">
        <f aca="false">IF($E781="","",N(INDEX(进销存对接!$M$4:$U$305,260,3)))</f>
        <v/>
      </c>
      <c r="J781" s="67"/>
      <c r="K781" s="67" t="str">
        <f aca="false">IF($E781="","",INDEX(进销存对接!$D$4:$D$305,260))</f>
        <v/>
      </c>
      <c r="L781" s="107"/>
      <c r="M781" s="107"/>
      <c r="N781" s="67" t="str">
        <f aca="false">IF($E781="","","系统")</f>
        <v/>
      </c>
      <c r="O781" s="67" t="str">
        <f aca="false">IF($E781="","","自动A")</f>
        <v/>
      </c>
      <c r="P781" s="18"/>
    </row>
    <row r="782" customFormat="false" ht="18" hidden="false" customHeight="true" outlineLevel="0" collapsed="false">
      <c r="A782" s="107" t="str">
        <f aca="false">IF($E782="","",ROW()-3)</f>
        <v/>
      </c>
      <c r="B782" s="110" t="str">
        <f aca="false">IF($E782="","",INDEX(进销存对接!$C$4:$C$305,260))</f>
        <v/>
      </c>
      <c r="C782" s="67" t="str">
        <f aca="false">IF($E782="","","记-"&amp;TEXT($B782,"YYYYMM")&amp;"-进销存")</f>
        <v/>
      </c>
      <c r="D782" s="107" t="str">
        <f aca="false">IF($E782="","",INDEX(进销存对接!$D$4:$D$305,260)&amp;" "&amp;TEXT($B782,"YYYY年M月")&amp;" 自动结转")</f>
        <v/>
      </c>
      <c r="E782" s="67" t="str">
        <f aca="false">IF(INDEX(进销存对接!$M$4:$U$305,260,4)=0,"",INDEX(进销存对接!$M$4:$U$305,260,4))</f>
        <v/>
      </c>
      <c r="F782" s="99" t="str">
        <f aca="false">IF($E782="","",IFERROR(INDEX(科目表!$A$4:$A$81,MATCH($E782,科目表!$B$4:$B$81,0)),""))</f>
        <v/>
      </c>
      <c r="G782" s="67" t="str">
        <f aca="false">IF($E782="","",IFERROR(INDEX(科目表!$E$4:$E$81,MATCH($E782,科目表!$B$4:$B$81,0)),""))</f>
        <v/>
      </c>
      <c r="H782" s="70" t="str">
        <f aca="false">IF($E782="","",N(INDEX(进销存对接!$M$4:$U$305,260,5)))</f>
        <v/>
      </c>
      <c r="I782" s="70" t="str">
        <f aca="false">IF($E782="","",N(INDEX(进销存对接!$M$4:$U$305,260,6)))</f>
        <v/>
      </c>
      <c r="J782" s="67"/>
      <c r="K782" s="67" t="str">
        <f aca="false">IF($E782="","",INDEX(进销存对接!$D$4:$D$305,260))</f>
        <v/>
      </c>
      <c r="L782" s="107"/>
      <c r="M782" s="107"/>
      <c r="N782" s="67" t="str">
        <f aca="false">IF($E782="","","系统")</f>
        <v/>
      </c>
      <c r="O782" s="67" t="str">
        <f aca="false">IF($E782="","","自动A")</f>
        <v/>
      </c>
      <c r="P782" s="18"/>
    </row>
    <row r="783" customFormat="false" ht="18" hidden="false" customHeight="true" outlineLevel="0" collapsed="false">
      <c r="A783" s="107" t="str">
        <f aca="false">IF($E783="","",ROW()-3)</f>
        <v/>
      </c>
      <c r="B783" s="110" t="str">
        <f aca="false">IF($E783="","",INDEX(进销存对接!$C$4:$C$305,260))</f>
        <v/>
      </c>
      <c r="C783" s="67" t="str">
        <f aca="false">IF($E783="","","记-"&amp;TEXT($B783,"YYYYMM")&amp;"-进销存")</f>
        <v/>
      </c>
      <c r="D783" s="107" t="str">
        <f aca="false">IF($E783="","",INDEX(进销存对接!$D$4:$D$305,260)&amp;" "&amp;TEXT($B783,"YYYY年M月")&amp;" 自动结转")</f>
        <v/>
      </c>
      <c r="E783" s="67" t="str">
        <f aca="false">IF(INDEX(进销存对接!$M$4:$U$305,260,7)=0,"",INDEX(进销存对接!$M$4:$U$305,260,7))</f>
        <v/>
      </c>
      <c r="F783" s="99" t="str">
        <f aca="false">IF($E783="","",IFERROR(INDEX(科目表!$A$4:$A$81,MATCH($E783,科目表!$B$4:$B$81,0)),""))</f>
        <v/>
      </c>
      <c r="G783" s="67" t="str">
        <f aca="false">IF($E783="","",IFERROR(INDEX(科目表!$E$4:$E$81,MATCH($E783,科目表!$B$4:$B$81,0)),""))</f>
        <v/>
      </c>
      <c r="H783" s="70" t="str">
        <f aca="false">IF($E783="","",N(INDEX(进销存对接!$M$4:$U$305,260,8)))</f>
        <v/>
      </c>
      <c r="I783" s="70" t="str">
        <f aca="false">IF($E783="","",N(INDEX(进销存对接!$M$4:$U$305,260,9)))</f>
        <v/>
      </c>
      <c r="J783" s="67"/>
      <c r="K783" s="67" t="str">
        <f aca="false">IF($E783="","",INDEX(进销存对接!$D$4:$D$305,260))</f>
        <v/>
      </c>
      <c r="L783" s="107"/>
      <c r="M783" s="107"/>
      <c r="N783" s="67" t="str">
        <f aca="false">IF($E783="","","系统")</f>
        <v/>
      </c>
      <c r="O783" s="67" t="str">
        <f aca="false">IF($E783="","","自动A")</f>
        <v/>
      </c>
      <c r="P783" s="18"/>
    </row>
    <row r="784" customFormat="false" ht="18" hidden="false" customHeight="true" outlineLevel="0" collapsed="false">
      <c r="A784" s="107" t="str">
        <f aca="false">IF($E784="","",ROW()-3)</f>
        <v/>
      </c>
      <c r="B784" s="110" t="str">
        <f aca="false">IF($E784="","",INDEX(进销存对接!$C$4:$C$305,261))</f>
        <v/>
      </c>
      <c r="C784" s="67" t="str">
        <f aca="false">IF($E784="","","记-"&amp;TEXT($B784,"YYYYMM")&amp;"-进销存")</f>
        <v/>
      </c>
      <c r="D784" s="107" t="str">
        <f aca="false">IF($E784="","",INDEX(进销存对接!$D$4:$D$305,261)&amp;" "&amp;TEXT($B784,"YYYY年M月")&amp;" 自动结转")</f>
        <v/>
      </c>
      <c r="E784" s="67" t="str">
        <f aca="false">IF(INDEX(进销存对接!$M$4:$U$305,261,1)=0,"",INDEX(进销存对接!$M$4:$U$305,261,1))</f>
        <v/>
      </c>
      <c r="F784" s="99" t="str">
        <f aca="false">IF($E784="","",IFERROR(INDEX(科目表!$A$4:$A$81,MATCH($E784,科目表!$B$4:$B$81,0)),""))</f>
        <v/>
      </c>
      <c r="G784" s="67" t="str">
        <f aca="false">IF($E784="","",IFERROR(INDEX(科目表!$E$4:$E$81,MATCH($E784,科目表!$B$4:$B$81,0)),""))</f>
        <v/>
      </c>
      <c r="H784" s="70" t="str">
        <f aca="false">IF($E784="","",N(INDEX(进销存对接!$M$4:$U$305,261,2)))</f>
        <v/>
      </c>
      <c r="I784" s="70" t="str">
        <f aca="false">IF($E784="","",N(INDEX(进销存对接!$M$4:$U$305,261,3)))</f>
        <v/>
      </c>
      <c r="J784" s="67"/>
      <c r="K784" s="67" t="str">
        <f aca="false">IF($E784="","",INDEX(进销存对接!$D$4:$D$305,261))</f>
        <v/>
      </c>
      <c r="L784" s="107"/>
      <c r="M784" s="107"/>
      <c r="N784" s="67" t="str">
        <f aca="false">IF($E784="","","系统")</f>
        <v/>
      </c>
      <c r="O784" s="67" t="str">
        <f aca="false">IF($E784="","","自动A")</f>
        <v/>
      </c>
      <c r="P784" s="18"/>
    </row>
    <row r="785" customFormat="false" ht="18" hidden="false" customHeight="true" outlineLevel="0" collapsed="false">
      <c r="A785" s="107" t="str">
        <f aca="false">IF($E785="","",ROW()-3)</f>
        <v/>
      </c>
      <c r="B785" s="110" t="str">
        <f aca="false">IF($E785="","",INDEX(进销存对接!$C$4:$C$305,261))</f>
        <v/>
      </c>
      <c r="C785" s="67" t="str">
        <f aca="false">IF($E785="","","记-"&amp;TEXT($B785,"YYYYMM")&amp;"-进销存")</f>
        <v/>
      </c>
      <c r="D785" s="107" t="str">
        <f aca="false">IF($E785="","",INDEX(进销存对接!$D$4:$D$305,261)&amp;" "&amp;TEXT($B785,"YYYY年M月")&amp;" 自动结转")</f>
        <v/>
      </c>
      <c r="E785" s="67" t="str">
        <f aca="false">IF(INDEX(进销存对接!$M$4:$U$305,261,4)=0,"",INDEX(进销存对接!$M$4:$U$305,261,4))</f>
        <v/>
      </c>
      <c r="F785" s="99" t="str">
        <f aca="false">IF($E785="","",IFERROR(INDEX(科目表!$A$4:$A$81,MATCH($E785,科目表!$B$4:$B$81,0)),""))</f>
        <v/>
      </c>
      <c r="G785" s="67" t="str">
        <f aca="false">IF($E785="","",IFERROR(INDEX(科目表!$E$4:$E$81,MATCH($E785,科目表!$B$4:$B$81,0)),""))</f>
        <v/>
      </c>
      <c r="H785" s="70" t="str">
        <f aca="false">IF($E785="","",N(INDEX(进销存对接!$M$4:$U$305,261,5)))</f>
        <v/>
      </c>
      <c r="I785" s="70" t="str">
        <f aca="false">IF($E785="","",N(INDEX(进销存对接!$M$4:$U$305,261,6)))</f>
        <v/>
      </c>
      <c r="J785" s="67"/>
      <c r="K785" s="67" t="str">
        <f aca="false">IF($E785="","",INDEX(进销存对接!$D$4:$D$305,261))</f>
        <v/>
      </c>
      <c r="L785" s="107"/>
      <c r="M785" s="107"/>
      <c r="N785" s="67" t="str">
        <f aca="false">IF($E785="","","系统")</f>
        <v/>
      </c>
      <c r="O785" s="67" t="str">
        <f aca="false">IF($E785="","","自动A")</f>
        <v/>
      </c>
      <c r="P785" s="18"/>
    </row>
    <row r="786" customFormat="false" ht="18" hidden="false" customHeight="true" outlineLevel="0" collapsed="false">
      <c r="A786" s="107" t="str">
        <f aca="false">IF($E786="","",ROW()-3)</f>
        <v/>
      </c>
      <c r="B786" s="110" t="str">
        <f aca="false">IF($E786="","",INDEX(进销存对接!$C$4:$C$305,261))</f>
        <v/>
      </c>
      <c r="C786" s="67" t="str">
        <f aca="false">IF($E786="","","记-"&amp;TEXT($B786,"YYYYMM")&amp;"-进销存")</f>
        <v/>
      </c>
      <c r="D786" s="107" t="str">
        <f aca="false">IF($E786="","",INDEX(进销存对接!$D$4:$D$305,261)&amp;" "&amp;TEXT($B786,"YYYY年M月")&amp;" 自动结转")</f>
        <v/>
      </c>
      <c r="E786" s="67" t="str">
        <f aca="false">IF(INDEX(进销存对接!$M$4:$U$305,261,7)=0,"",INDEX(进销存对接!$M$4:$U$305,261,7))</f>
        <v/>
      </c>
      <c r="F786" s="99" t="str">
        <f aca="false">IF($E786="","",IFERROR(INDEX(科目表!$A$4:$A$81,MATCH($E786,科目表!$B$4:$B$81,0)),""))</f>
        <v/>
      </c>
      <c r="G786" s="67" t="str">
        <f aca="false">IF($E786="","",IFERROR(INDEX(科目表!$E$4:$E$81,MATCH($E786,科目表!$B$4:$B$81,0)),""))</f>
        <v/>
      </c>
      <c r="H786" s="70" t="str">
        <f aca="false">IF($E786="","",N(INDEX(进销存对接!$M$4:$U$305,261,8)))</f>
        <v/>
      </c>
      <c r="I786" s="70" t="str">
        <f aca="false">IF($E786="","",N(INDEX(进销存对接!$M$4:$U$305,261,9)))</f>
        <v/>
      </c>
      <c r="J786" s="67"/>
      <c r="K786" s="67" t="str">
        <f aca="false">IF($E786="","",INDEX(进销存对接!$D$4:$D$305,261))</f>
        <v/>
      </c>
      <c r="L786" s="107"/>
      <c r="M786" s="107"/>
      <c r="N786" s="67" t="str">
        <f aca="false">IF($E786="","","系统")</f>
        <v/>
      </c>
      <c r="O786" s="67" t="str">
        <f aca="false">IF($E786="","","自动A")</f>
        <v/>
      </c>
      <c r="P786" s="18"/>
    </row>
    <row r="787" customFormat="false" ht="18" hidden="false" customHeight="true" outlineLevel="0" collapsed="false">
      <c r="A787" s="107" t="str">
        <f aca="false">IF($E787="","",ROW()-3)</f>
        <v/>
      </c>
      <c r="B787" s="110" t="str">
        <f aca="false">IF($E787="","",INDEX(进销存对接!$C$4:$C$305,262))</f>
        <v/>
      </c>
      <c r="C787" s="67" t="str">
        <f aca="false">IF($E787="","","记-"&amp;TEXT($B787,"YYYYMM")&amp;"-进销存")</f>
        <v/>
      </c>
      <c r="D787" s="107" t="str">
        <f aca="false">IF($E787="","",INDEX(进销存对接!$D$4:$D$305,262)&amp;" "&amp;TEXT($B787,"YYYY年M月")&amp;" 自动结转")</f>
        <v/>
      </c>
      <c r="E787" s="67" t="str">
        <f aca="false">IF(INDEX(进销存对接!$M$4:$U$305,262,1)=0,"",INDEX(进销存对接!$M$4:$U$305,262,1))</f>
        <v/>
      </c>
      <c r="F787" s="99" t="str">
        <f aca="false">IF($E787="","",IFERROR(INDEX(科目表!$A$4:$A$81,MATCH($E787,科目表!$B$4:$B$81,0)),""))</f>
        <v/>
      </c>
      <c r="G787" s="67" t="str">
        <f aca="false">IF($E787="","",IFERROR(INDEX(科目表!$E$4:$E$81,MATCH($E787,科目表!$B$4:$B$81,0)),""))</f>
        <v/>
      </c>
      <c r="H787" s="70" t="str">
        <f aca="false">IF($E787="","",N(INDEX(进销存对接!$M$4:$U$305,262,2)))</f>
        <v/>
      </c>
      <c r="I787" s="70" t="str">
        <f aca="false">IF($E787="","",N(INDEX(进销存对接!$M$4:$U$305,262,3)))</f>
        <v/>
      </c>
      <c r="J787" s="67"/>
      <c r="K787" s="67" t="str">
        <f aca="false">IF($E787="","",INDEX(进销存对接!$D$4:$D$305,262))</f>
        <v/>
      </c>
      <c r="L787" s="107"/>
      <c r="M787" s="107"/>
      <c r="N787" s="67" t="str">
        <f aca="false">IF($E787="","","系统")</f>
        <v/>
      </c>
      <c r="O787" s="67" t="str">
        <f aca="false">IF($E787="","","自动A")</f>
        <v/>
      </c>
      <c r="P787" s="18"/>
    </row>
    <row r="788" customFormat="false" ht="18" hidden="false" customHeight="true" outlineLevel="0" collapsed="false">
      <c r="A788" s="107" t="str">
        <f aca="false">IF($E788="","",ROW()-3)</f>
        <v/>
      </c>
      <c r="B788" s="110" t="str">
        <f aca="false">IF($E788="","",INDEX(进销存对接!$C$4:$C$305,262))</f>
        <v/>
      </c>
      <c r="C788" s="67" t="str">
        <f aca="false">IF($E788="","","记-"&amp;TEXT($B788,"YYYYMM")&amp;"-进销存")</f>
        <v/>
      </c>
      <c r="D788" s="107" t="str">
        <f aca="false">IF($E788="","",INDEX(进销存对接!$D$4:$D$305,262)&amp;" "&amp;TEXT($B788,"YYYY年M月")&amp;" 自动结转")</f>
        <v/>
      </c>
      <c r="E788" s="67" t="str">
        <f aca="false">IF(INDEX(进销存对接!$M$4:$U$305,262,4)=0,"",INDEX(进销存对接!$M$4:$U$305,262,4))</f>
        <v/>
      </c>
      <c r="F788" s="99" t="str">
        <f aca="false">IF($E788="","",IFERROR(INDEX(科目表!$A$4:$A$81,MATCH($E788,科目表!$B$4:$B$81,0)),""))</f>
        <v/>
      </c>
      <c r="G788" s="67" t="str">
        <f aca="false">IF($E788="","",IFERROR(INDEX(科目表!$E$4:$E$81,MATCH($E788,科目表!$B$4:$B$81,0)),""))</f>
        <v/>
      </c>
      <c r="H788" s="70" t="str">
        <f aca="false">IF($E788="","",N(INDEX(进销存对接!$M$4:$U$305,262,5)))</f>
        <v/>
      </c>
      <c r="I788" s="70" t="str">
        <f aca="false">IF($E788="","",N(INDEX(进销存对接!$M$4:$U$305,262,6)))</f>
        <v/>
      </c>
      <c r="J788" s="67"/>
      <c r="K788" s="67" t="str">
        <f aca="false">IF($E788="","",INDEX(进销存对接!$D$4:$D$305,262))</f>
        <v/>
      </c>
      <c r="L788" s="107"/>
      <c r="M788" s="107"/>
      <c r="N788" s="67" t="str">
        <f aca="false">IF($E788="","","系统")</f>
        <v/>
      </c>
      <c r="O788" s="67" t="str">
        <f aca="false">IF($E788="","","自动A")</f>
        <v/>
      </c>
      <c r="P788" s="18"/>
    </row>
    <row r="789" customFormat="false" ht="18" hidden="false" customHeight="true" outlineLevel="0" collapsed="false">
      <c r="A789" s="107" t="str">
        <f aca="false">IF($E789="","",ROW()-3)</f>
        <v/>
      </c>
      <c r="B789" s="110" t="str">
        <f aca="false">IF($E789="","",INDEX(进销存对接!$C$4:$C$305,262))</f>
        <v/>
      </c>
      <c r="C789" s="67" t="str">
        <f aca="false">IF($E789="","","记-"&amp;TEXT($B789,"YYYYMM")&amp;"-进销存")</f>
        <v/>
      </c>
      <c r="D789" s="107" t="str">
        <f aca="false">IF($E789="","",INDEX(进销存对接!$D$4:$D$305,262)&amp;" "&amp;TEXT($B789,"YYYY年M月")&amp;" 自动结转")</f>
        <v/>
      </c>
      <c r="E789" s="67" t="str">
        <f aca="false">IF(INDEX(进销存对接!$M$4:$U$305,262,7)=0,"",INDEX(进销存对接!$M$4:$U$305,262,7))</f>
        <v/>
      </c>
      <c r="F789" s="99" t="str">
        <f aca="false">IF($E789="","",IFERROR(INDEX(科目表!$A$4:$A$81,MATCH($E789,科目表!$B$4:$B$81,0)),""))</f>
        <v/>
      </c>
      <c r="G789" s="67" t="str">
        <f aca="false">IF($E789="","",IFERROR(INDEX(科目表!$E$4:$E$81,MATCH($E789,科目表!$B$4:$B$81,0)),""))</f>
        <v/>
      </c>
      <c r="H789" s="70" t="str">
        <f aca="false">IF($E789="","",N(INDEX(进销存对接!$M$4:$U$305,262,8)))</f>
        <v/>
      </c>
      <c r="I789" s="70" t="str">
        <f aca="false">IF($E789="","",N(INDEX(进销存对接!$M$4:$U$305,262,9)))</f>
        <v/>
      </c>
      <c r="J789" s="67"/>
      <c r="K789" s="67" t="str">
        <f aca="false">IF($E789="","",INDEX(进销存对接!$D$4:$D$305,262))</f>
        <v/>
      </c>
      <c r="L789" s="107"/>
      <c r="M789" s="107"/>
      <c r="N789" s="67" t="str">
        <f aca="false">IF($E789="","","系统")</f>
        <v/>
      </c>
      <c r="O789" s="67" t="str">
        <f aca="false">IF($E789="","","自动A")</f>
        <v/>
      </c>
      <c r="P789" s="18"/>
    </row>
    <row r="790" customFormat="false" ht="18" hidden="false" customHeight="true" outlineLevel="0" collapsed="false">
      <c r="A790" s="107" t="str">
        <f aca="false">IF($E790="","",ROW()-3)</f>
        <v/>
      </c>
      <c r="B790" s="110" t="str">
        <f aca="false">IF($E790="","",INDEX(进销存对接!$C$4:$C$305,263))</f>
        <v/>
      </c>
      <c r="C790" s="67" t="str">
        <f aca="false">IF($E790="","","记-"&amp;TEXT($B790,"YYYYMM")&amp;"-进销存")</f>
        <v/>
      </c>
      <c r="D790" s="107" t="str">
        <f aca="false">IF($E790="","",INDEX(进销存对接!$D$4:$D$305,263)&amp;" "&amp;TEXT($B790,"YYYY年M月")&amp;" 自动结转")</f>
        <v/>
      </c>
      <c r="E790" s="67" t="str">
        <f aca="false">IF(INDEX(进销存对接!$M$4:$U$305,263,1)=0,"",INDEX(进销存对接!$M$4:$U$305,263,1))</f>
        <v/>
      </c>
      <c r="F790" s="99" t="str">
        <f aca="false">IF($E790="","",IFERROR(INDEX(科目表!$A$4:$A$81,MATCH($E790,科目表!$B$4:$B$81,0)),""))</f>
        <v/>
      </c>
      <c r="G790" s="67" t="str">
        <f aca="false">IF($E790="","",IFERROR(INDEX(科目表!$E$4:$E$81,MATCH($E790,科目表!$B$4:$B$81,0)),""))</f>
        <v/>
      </c>
      <c r="H790" s="70" t="str">
        <f aca="false">IF($E790="","",N(INDEX(进销存对接!$M$4:$U$305,263,2)))</f>
        <v/>
      </c>
      <c r="I790" s="70" t="str">
        <f aca="false">IF($E790="","",N(INDEX(进销存对接!$M$4:$U$305,263,3)))</f>
        <v/>
      </c>
      <c r="J790" s="67"/>
      <c r="K790" s="67" t="str">
        <f aca="false">IF($E790="","",INDEX(进销存对接!$D$4:$D$305,263))</f>
        <v/>
      </c>
      <c r="L790" s="107"/>
      <c r="M790" s="107"/>
      <c r="N790" s="67" t="str">
        <f aca="false">IF($E790="","","系统")</f>
        <v/>
      </c>
      <c r="O790" s="67" t="str">
        <f aca="false">IF($E790="","","自动A")</f>
        <v/>
      </c>
      <c r="P790" s="18"/>
    </row>
    <row r="791" customFormat="false" ht="18" hidden="false" customHeight="true" outlineLevel="0" collapsed="false">
      <c r="A791" s="107" t="str">
        <f aca="false">IF($E791="","",ROW()-3)</f>
        <v/>
      </c>
      <c r="B791" s="110" t="str">
        <f aca="false">IF($E791="","",INDEX(进销存对接!$C$4:$C$305,263))</f>
        <v/>
      </c>
      <c r="C791" s="67" t="str">
        <f aca="false">IF($E791="","","记-"&amp;TEXT($B791,"YYYYMM")&amp;"-进销存")</f>
        <v/>
      </c>
      <c r="D791" s="107" t="str">
        <f aca="false">IF($E791="","",INDEX(进销存对接!$D$4:$D$305,263)&amp;" "&amp;TEXT($B791,"YYYY年M月")&amp;" 自动结转")</f>
        <v/>
      </c>
      <c r="E791" s="67" t="str">
        <f aca="false">IF(INDEX(进销存对接!$M$4:$U$305,263,4)=0,"",INDEX(进销存对接!$M$4:$U$305,263,4))</f>
        <v/>
      </c>
      <c r="F791" s="99" t="str">
        <f aca="false">IF($E791="","",IFERROR(INDEX(科目表!$A$4:$A$81,MATCH($E791,科目表!$B$4:$B$81,0)),""))</f>
        <v/>
      </c>
      <c r="G791" s="67" t="str">
        <f aca="false">IF($E791="","",IFERROR(INDEX(科目表!$E$4:$E$81,MATCH($E791,科目表!$B$4:$B$81,0)),""))</f>
        <v/>
      </c>
      <c r="H791" s="70" t="str">
        <f aca="false">IF($E791="","",N(INDEX(进销存对接!$M$4:$U$305,263,5)))</f>
        <v/>
      </c>
      <c r="I791" s="70" t="str">
        <f aca="false">IF($E791="","",N(INDEX(进销存对接!$M$4:$U$305,263,6)))</f>
        <v/>
      </c>
      <c r="J791" s="67"/>
      <c r="K791" s="67" t="str">
        <f aca="false">IF($E791="","",INDEX(进销存对接!$D$4:$D$305,263))</f>
        <v/>
      </c>
      <c r="L791" s="107"/>
      <c r="M791" s="107"/>
      <c r="N791" s="67" t="str">
        <f aca="false">IF($E791="","","系统")</f>
        <v/>
      </c>
      <c r="O791" s="67" t="str">
        <f aca="false">IF($E791="","","自动A")</f>
        <v/>
      </c>
      <c r="P791" s="18"/>
    </row>
    <row r="792" customFormat="false" ht="18" hidden="false" customHeight="true" outlineLevel="0" collapsed="false">
      <c r="A792" s="107" t="str">
        <f aca="false">IF($E792="","",ROW()-3)</f>
        <v/>
      </c>
      <c r="B792" s="110" t="str">
        <f aca="false">IF($E792="","",INDEX(进销存对接!$C$4:$C$305,263))</f>
        <v/>
      </c>
      <c r="C792" s="67" t="str">
        <f aca="false">IF($E792="","","记-"&amp;TEXT($B792,"YYYYMM")&amp;"-进销存")</f>
        <v/>
      </c>
      <c r="D792" s="107" t="str">
        <f aca="false">IF($E792="","",INDEX(进销存对接!$D$4:$D$305,263)&amp;" "&amp;TEXT($B792,"YYYY年M月")&amp;" 自动结转")</f>
        <v/>
      </c>
      <c r="E792" s="67" t="str">
        <f aca="false">IF(INDEX(进销存对接!$M$4:$U$305,263,7)=0,"",INDEX(进销存对接!$M$4:$U$305,263,7))</f>
        <v/>
      </c>
      <c r="F792" s="99" t="str">
        <f aca="false">IF($E792="","",IFERROR(INDEX(科目表!$A$4:$A$81,MATCH($E792,科目表!$B$4:$B$81,0)),""))</f>
        <v/>
      </c>
      <c r="G792" s="67" t="str">
        <f aca="false">IF($E792="","",IFERROR(INDEX(科目表!$E$4:$E$81,MATCH($E792,科目表!$B$4:$B$81,0)),""))</f>
        <v/>
      </c>
      <c r="H792" s="70" t="str">
        <f aca="false">IF($E792="","",N(INDEX(进销存对接!$M$4:$U$305,263,8)))</f>
        <v/>
      </c>
      <c r="I792" s="70" t="str">
        <f aca="false">IF($E792="","",N(INDEX(进销存对接!$M$4:$U$305,263,9)))</f>
        <v/>
      </c>
      <c r="J792" s="67"/>
      <c r="K792" s="67" t="str">
        <f aca="false">IF($E792="","",INDEX(进销存对接!$D$4:$D$305,263))</f>
        <v/>
      </c>
      <c r="L792" s="107"/>
      <c r="M792" s="107"/>
      <c r="N792" s="67" t="str">
        <f aca="false">IF($E792="","","系统")</f>
        <v/>
      </c>
      <c r="O792" s="67" t="str">
        <f aca="false">IF($E792="","","自动A")</f>
        <v/>
      </c>
      <c r="P792" s="18"/>
    </row>
    <row r="793" customFormat="false" ht="18" hidden="false" customHeight="true" outlineLevel="0" collapsed="false">
      <c r="A793" s="107" t="str">
        <f aca="false">IF($E793="","",ROW()-3)</f>
        <v/>
      </c>
      <c r="B793" s="110" t="str">
        <f aca="false">IF($E793="","",INDEX(进销存对接!$C$4:$C$305,264))</f>
        <v/>
      </c>
      <c r="C793" s="67" t="str">
        <f aca="false">IF($E793="","","记-"&amp;TEXT($B793,"YYYYMM")&amp;"-进销存")</f>
        <v/>
      </c>
      <c r="D793" s="107" t="str">
        <f aca="false">IF($E793="","",INDEX(进销存对接!$D$4:$D$305,264)&amp;" "&amp;TEXT($B793,"YYYY年M月")&amp;" 自动结转")</f>
        <v/>
      </c>
      <c r="E793" s="67" t="str">
        <f aca="false">IF(INDEX(进销存对接!$M$4:$U$305,264,1)=0,"",INDEX(进销存对接!$M$4:$U$305,264,1))</f>
        <v/>
      </c>
      <c r="F793" s="99" t="str">
        <f aca="false">IF($E793="","",IFERROR(INDEX(科目表!$A$4:$A$81,MATCH($E793,科目表!$B$4:$B$81,0)),""))</f>
        <v/>
      </c>
      <c r="G793" s="67" t="str">
        <f aca="false">IF($E793="","",IFERROR(INDEX(科目表!$E$4:$E$81,MATCH($E793,科目表!$B$4:$B$81,0)),""))</f>
        <v/>
      </c>
      <c r="H793" s="70" t="str">
        <f aca="false">IF($E793="","",N(INDEX(进销存对接!$M$4:$U$305,264,2)))</f>
        <v/>
      </c>
      <c r="I793" s="70" t="str">
        <f aca="false">IF($E793="","",N(INDEX(进销存对接!$M$4:$U$305,264,3)))</f>
        <v/>
      </c>
      <c r="J793" s="67"/>
      <c r="K793" s="67" t="str">
        <f aca="false">IF($E793="","",INDEX(进销存对接!$D$4:$D$305,264))</f>
        <v/>
      </c>
      <c r="L793" s="107"/>
      <c r="M793" s="107"/>
      <c r="N793" s="67" t="str">
        <f aca="false">IF($E793="","","系统")</f>
        <v/>
      </c>
      <c r="O793" s="67" t="str">
        <f aca="false">IF($E793="","","自动A")</f>
        <v/>
      </c>
      <c r="P793" s="18"/>
    </row>
    <row r="794" customFormat="false" ht="18" hidden="false" customHeight="true" outlineLevel="0" collapsed="false">
      <c r="A794" s="107" t="str">
        <f aca="false">IF($E794="","",ROW()-3)</f>
        <v/>
      </c>
      <c r="B794" s="110" t="str">
        <f aca="false">IF($E794="","",INDEX(进销存对接!$C$4:$C$305,264))</f>
        <v/>
      </c>
      <c r="C794" s="67" t="str">
        <f aca="false">IF($E794="","","记-"&amp;TEXT($B794,"YYYYMM")&amp;"-进销存")</f>
        <v/>
      </c>
      <c r="D794" s="107" t="str">
        <f aca="false">IF($E794="","",INDEX(进销存对接!$D$4:$D$305,264)&amp;" "&amp;TEXT($B794,"YYYY年M月")&amp;" 自动结转")</f>
        <v/>
      </c>
      <c r="E794" s="67" t="str">
        <f aca="false">IF(INDEX(进销存对接!$M$4:$U$305,264,4)=0,"",INDEX(进销存对接!$M$4:$U$305,264,4))</f>
        <v/>
      </c>
      <c r="F794" s="99" t="str">
        <f aca="false">IF($E794="","",IFERROR(INDEX(科目表!$A$4:$A$81,MATCH($E794,科目表!$B$4:$B$81,0)),""))</f>
        <v/>
      </c>
      <c r="G794" s="67" t="str">
        <f aca="false">IF($E794="","",IFERROR(INDEX(科目表!$E$4:$E$81,MATCH($E794,科目表!$B$4:$B$81,0)),""))</f>
        <v/>
      </c>
      <c r="H794" s="70" t="str">
        <f aca="false">IF($E794="","",N(INDEX(进销存对接!$M$4:$U$305,264,5)))</f>
        <v/>
      </c>
      <c r="I794" s="70" t="str">
        <f aca="false">IF($E794="","",N(INDEX(进销存对接!$M$4:$U$305,264,6)))</f>
        <v/>
      </c>
      <c r="J794" s="67"/>
      <c r="K794" s="67" t="str">
        <f aca="false">IF($E794="","",INDEX(进销存对接!$D$4:$D$305,264))</f>
        <v/>
      </c>
      <c r="L794" s="107"/>
      <c r="M794" s="107"/>
      <c r="N794" s="67" t="str">
        <f aca="false">IF($E794="","","系统")</f>
        <v/>
      </c>
      <c r="O794" s="67" t="str">
        <f aca="false">IF($E794="","","自动A")</f>
        <v/>
      </c>
      <c r="P794" s="18"/>
    </row>
    <row r="795" customFormat="false" ht="18" hidden="false" customHeight="true" outlineLevel="0" collapsed="false">
      <c r="A795" s="107" t="str">
        <f aca="false">IF($E795="","",ROW()-3)</f>
        <v/>
      </c>
      <c r="B795" s="110" t="str">
        <f aca="false">IF($E795="","",INDEX(进销存对接!$C$4:$C$305,264))</f>
        <v/>
      </c>
      <c r="C795" s="67" t="str">
        <f aca="false">IF($E795="","","记-"&amp;TEXT($B795,"YYYYMM")&amp;"-进销存")</f>
        <v/>
      </c>
      <c r="D795" s="107" t="str">
        <f aca="false">IF($E795="","",INDEX(进销存对接!$D$4:$D$305,264)&amp;" "&amp;TEXT($B795,"YYYY年M月")&amp;" 自动结转")</f>
        <v/>
      </c>
      <c r="E795" s="67" t="str">
        <f aca="false">IF(INDEX(进销存对接!$M$4:$U$305,264,7)=0,"",INDEX(进销存对接!$M$4:$U$305,264,7))</f>
        <v/>
      </c>
      <c r="F795" s="99" t="str">
        <f aca="false">IF($E795="","",IFERROR(INDEX(科目表!$A$4:$A$81,MATCH($E795,科目表!$B$4:$B$81,0)),""))</f>
        <v/>
      </c>
      <c r="G795" s="67" t="str">
        <f aca="false">IF($E795="","",IFERROR(INDEX(科目表!$E$4:$E$81,MATCH($E795,科目表!$B$4:$B$81,0)),""))</f>
        <v/>
      </c>
      <c r="H795" s="70" t="str">
        <f aca="false">IF($E795="","",N(INDEX(进销存对接!$M$4:$U$305,264,8)))</f>
        <v/>
      </c>
      <c r="I795" s="70" t="str">
        <f aca="false">IF($E795="","",N(INDEX(进销存对接!$M$4:$U$305,264,9)))</f>
        <v/>
      </c>
      <c r="J795" s="67"/>
      <c r="K795" s="67" t="str">
        <f aca="false">IF($E795="","",INDEX(进销存对接!$D$4:$D$305,264))</f>
        <v/>
      </c>
      <c r="L795" s="107"/>
      <c r="M795" s="107"/>
      <c r="N795" s="67" t="str">
        <f aca="false">IF($E795="","","系统")</f>
        <v/>
      </c>
      <c r="O795" s="67" t="str">
        <f aca="false">IF($E795="","","自动A")</f>
        <v/>
      </c>
      <c r="P795" s="18"/>
    </row>
    <row r="796" customFormat="false" ht="18" hidden="false" customHeight="true" outlineLevel="0" collapsed="false">
      <c r="A796" s="107" t="str">
        <f aca="false">IF($E796="","",ROW()-3)</f>
        <v/>
      </c>
      <c r="B796" s="110" t="str">
        <f aca="false">IF($E796="","",INDEX(进销存对接!$C$4:$C$305,265))</f>
        <v/>
      </c>
      <c r="C796" s="67" t="str">
        <f aca="false">IF($E796="","","记-"&amp;TEXT($B796,"YYYYMM")&amp;"-进销存")</f>
        <v/>
      </c>
      <c r="D796" s="107" t="str">
        <f aca="false">IF($E796="","",INDEX(进销存对接!$D$4:$D$305,265)&amp;" "&amp;TEXT($B796,"YYYY年M月")&amp;" 自动结转")</f>
        <v/>
      </c>
      <c r="E796" s="67" t="str">
        <f aca="false">IF(INDEX(进销存对接!$M$4:$U$305,265,1)=0,"",INDEX(进销存对接!$M$4:$U$305,265,1))</f>
        <v/>
      </c>
      <c r="F796" s="99" t="str">
        <f aca="false">IF($E796="","",IFERROR(INDEX(科目表!$A$4:$A$81,MATCH($E796,科目表!$B$4:$B$81,0)),""))</f>
        <v/>
      </c>
      <c r="G796" s="67" t="str">
        <f aca="false">IF($E796="","",IFERROR(INDEX(科目表!$E$4:$E$81,MATCH($E796,科目表!$B$4:$B$81,0)),""))</f>
        <v/>
      </c>
      <c r="H796" s="70" t="str">
        <f aca="false">IF($E796="","",N(INDEX(进销存对接!$M$4:$U$305,265,2)))</f>
        <v/>
      </c>
      <c r="I796" s="70" t="str">
        <f aca="false">IF($E796="","",N(INDEX(进销存对接!$M$4:$U$305,265,3)))</f>
        <v/>
      </c>
      <c r="J796" s="67"/>
      <c r="K796" s="67" t="str">
        <f aca="false">IF($E796="","",INDEX(进销存对接!$D$4:$D$305,265))</f>
        <v/>
      </c>
      <c r="L796" s="107"/>
      <c r="M796" s="107"/>
      <c r="N796" s="67" t="str">
        <f aca="false">IF($E796="","","系统")</f>
        <v/>
      </c>
      <c r="O796" s="67" t="str">
        <f aca="false">IF($E796="","","自动A")</f>
        <v/>
      </c>
      <c r="P796" s="18"/>
    </row>
    <row r="797" customFormat="false" ht="18" hidden="false" customHeight="true" outlineLevel="0" collapsed="false">
      <c r="A797" s="107" t="str">
        <f aca="false">IF($E797="","",ROW()-3)</f>
        <v/>
      </c>
      <c r="B797" s="110" t="str">
        <f aca="false">IF($E797="","",INDEX(进销存对接!$C$4:$C$305,265))</f>
        <v/>
      </c>
      <c r="C797" s="67" t="str">
        <f aca="false">IF($E797="","","记-"&amp;TEXT($B797,"YYYYMM")&amp;"-进销存")</f>
        <v/>
      </c>
      <c r="D797" s="107" t="str">
        <f aca="false">IF($E797="","",INDEX(进销存对接!$D$4:$D$305,265)&amp;" "&amp;TEXT($B797,"YYYY年M月")&amp;" 自动结转")</f>
        <v/>
      </c>
      <c r="E797" s="67" t="str">
        <f aca="false">IF(INDEX(进销存对接!$M$4:$U$305,265,4)=0,"",INDEX(进销存对接!$M$4:$U$305,265,4))</f>
        <v/>
      </c>
      <c r="F797" s="99" t="str">
        <f aca="false">IF($E797="","",IFERROR(INDEX(科目表!$A$4:$A$81,MATCH($E797,科目表!$B$4:$B$81,0)),""))</f>
        <v/>
      </c>
      <c r="G797" s="67" t="str">
        <f aca="false">IF($E797="","",IFERROR(INDEX(科目表!$E$4:$E$81,MATCH($E797,科目表!$B$4:$B$81,0)),""))</f>
        <v/>
      </c>
      <c r="H797" s="70" t="str">
        <f aca="false">IF($E797="","",N(INDEX(进销存对接!$M$4:$U$305,265,5)))</f>
        <v/>
      </c>
      <c r="I797" s="70" t="str">
        <f aca="false">IF($E797="","",N(INDEX(进销存对接!$M$4:$U$305,265,6)))</f>
        <v/>
      </c>
      <c r="J797" s="67"/>
      <c r="K797" s="67" t="str">
        <f aca="false">IF($E797="","",INDEX(进销存对接!$D$4:$D$305,265))</f>
        <v/>
      </c>
      <c r="L797" s="107"/>
      <c r="M797" s="107"/>
      <c r="N797" s="67" t="str">
        <f aca="false">IF($E797="","","系统")</f>
        <v/>
      </c>
      <c r="O797" s="67" t="str">
        <f aca="false">IF($E797="","","自动A")</f>
        <v/>
      </c>
      <c r="P797" s="18"/>
    </row>
    <row r="798" customFormat="false" ht="18" hidden="false" customHeight="true" outlineLevel="0" collapsed="false">
      <c r="A798" s="107" t="str">
        <f aca="false">IF($E798="","",ROW()-3)</f>
        <v/>
      </c>
      <c r="B798" s="110" t="str">
        <f aca="false">IF($E798="","",INDEX(进销存对接!$C$4:$C$305,265))</f>
        <v/>
      </c>
      <c r="C798" s="67" t="str">
        <f aca="false">IF($E798="","","记-"&amp;TEXT($B798,"YYYYMM")&amp;"-进销存")</f>
        <v/>
      </c>
      <c r="D798" s="107" t="str">
        <f aca="false">IF($E798="","",INDEX(进销存对接!$D$4:$D$305,265)&amp;" "&amp;TEXT($B798,"YYYY年M月")&amp;" 自动结转")</f>
        <v/>
      </c>
      <c r="E798" s="67" t="str">
        <f aca="false">IF(INDEX(进销存对接!$M$4:$U$305,265,7)=0,"",INDEX(进销存对接!$M$4:$U$305,265,7))</f>
        <v/>
      </c>
      <c r="F798" s="99" t="str">
        <f aca="false">IF($E798="","",IFERROR(INDEX(科目表!$A$4:$A$81,MATCH($E798,科目表!$B$4:$B$81,0)),""))</f>
        <v/>
      </c>
      <c r="G798" s="67" t="str">
        <f aca="false">IF($E798="","",IFERROR(INDEX(科目表!$E$4:$E$81,MATCH($E798,科目表!$B$4:$B$81,0)),""))</f>
        <v/>
      </c>
      <c r="H798" s="70" t="str">
        <f aca="false">IF($E798="","",N(INDEX(进销存对接!$M$4:$U$305,265,8)))</f>
        <v/>
      </c>
      <c r="I798" s="70" t="str">
        <f aca="false">IF($E798="","",N(INDEX(进销存对接!$M$4:$U$305,265,9)))</f>
        <v/>
      </c>
      <c r="J798" s="67"/>
      <c r="K798" s="67" t="str">
        <f aca="false">IF($E798="","",INDEX(进销存对接!$D$4:$D$305,265))</f>
        <v/>
      </c>
      <c r="L798" s="107"/>
      <c r="M798" s="107"/>
      <c r="N798" s="67" t="str">
        <f aca="false">IF($E798="","","系统")</f>
        <v/>
      </c>
      <c r="O798" s="67" t="str">
        <f aca="false">IF($E798="","","自动A")</f>
        <v/>
      </c>
      <c r="P798" s="18"/>
    </row>
    <row r="799" customFormat="false" ht="18" hidden="false" customHeight="true" outlineLevel="0" collapsed="false">
      <c r="A799" s="107" t="str">
        <f aca="false">IF($E799="","",ROW()-3)</f>
        <v/>
      </c>
      <c r="B799" s="110" t="str">
        <f aca="false">IF($E799="","",INDEX(进销存对接!$C$4:$C$305,266))</f>
        <v/>
      </c>
      <c r="C799" s="67" t="str">
        <f aca="false">IF($E799="","","记-"&amp;TEXT($B799,"YYYYMM")&amp;"-进销存")</f>
        <v/>
      </c>
      <c r="D799" s="107" t="str">
        <f aca="false">IF($E799="","",INDEX(进销存对接!$D$4:$D$305,266)&amp;" "&amp;TEXT($B799,"YYYY年M月")&amp;" 自动结转")</f>
        <v/>
      </c>
      <c r="E799" s="67" t="str">
        <f aca="false">IF(INDEX(进销存对接!$M$4:$U$305,266,1)=0,"",INDEX(进销存对接!$M$4:$U$305,266,1))</f>
        <v/>
      </c>
      <c r="F799" s="99" t="str">
        <f aca="false">IF($E799="","",IFERROR(INDEX(科目表!$A$4:$A$81,MATCH($E799,科目表!$B$4:$B$81,0)),""))</f>
        <v/>
      </c>
      <c r="G799" s="67" t="str">
        <f aca="false">IF($E799="","",IFERROR(INDEX(科目表!$E$4:$E$81,MATCH($E799,科目表!$B$4:$B$81,0)),""))</f>
        <v/>
      </c>
      <c r="H799" s="70" t="str">
        <f aca="false">IF($E799="","",N(INDEX(进销存对接!$M$4:$U$305,266,2)))</f>
        <v/>
      </c>
      <c r="I799" s="70" t="str">
        <f aca="false">IF($E799="","",N(INDEX(进销存对接!$M$4:$U$305,266,3)))</f>
        <v/>
      </c>
      <c r="J799" s="67"/>
      <c r="K799" s="67" t="str">
        <f aca="false">IF($E799="","",INDEX(进销存对接!$D$4:$D$305,266))</f>
        <v/>
      </c>
      <c r="L799" s="107"/>
      <c r="M799" s="107"/>
      <c r="N799" s="67" t="str">
        <f aca="false">IF($E799="","","系统")</f>
        <v/>
      </c>
      <c r="O799" s="67" t="str">
        <f aca="false">IF($E799="","","自动A")</f>
        <v/>
      </c>
      <c r="P799" s="18"/>
    </row>
    <row r="800" customFormat="false" ht="18" hidden="false" customHeight="true" outlineLevel="0" collapsed="false">
      <c r="A800" s="107" t="str">
        <f aca="false">IF($E800="","",ROW()-3)</f>
        <v/>
      </c>
      <c r="B800" s="110" t="str">
        <f aca="false">IF($E800="","",INDEX(进销存对接!$C$4:$C$305,266))</f>
        <v/>
      </c>
      <c r="C800" s="67" t="str">
        <f aca="false">IF($E800="","","记-"&amp;TEXT($B800,"YYYYMM")&amp;"-进销存")</f>
        <v/>
      </c>
      <c r="D800" s="107" t="str">
        <f aca="false">IF($E800="","",INDEX(进销存对接!$D$4:$D$305,266)&amp;" "&amp;TEXT($B800,"YYYY年M月")&amp;" 自动结转")</f>
        <v/>
      </c>
      <c r="E800" s="67" t="str">
        <f aca="false">IF(INDEX(进销存对接!$M$4:$U$305,266,4)=0,"",INDEX(进销存对接!$M$4:$U$305,266,4))</f>
        <v/>
      </c>
      <c r="F800" s="99" t="str">
        <f aca="false">IF($E800="","",IFERROR(INDEX(科目表!$A$4:$A$81,MATCH($E800,科目表!$B$4:$B$81,0)),""))</f>
        <v/>
      </c>
      <c r="G800" s="67" t="str">
        <f aca="false">IF($E800="","",IFERROR(INDEX(科目表!$E$4:$E$81,MATCH($E800,科目表!$B$4:$B$81,0)),""))</f>
        <v/>
      </c>
      <c r="H800" s="70" t="str">
        <f aca="false">IF($E800="","",N(INDEX(进销存对接!$M$4:$U$305,266,5)))</f>
        <v/>
      </c>
      <c r="I800" s="70" t="str">
        <f aca="false">IF($E800="","",N(INDEX(进销存对接!$M$4:$U$305,266,6)))</f>
        <v/>
      </c>
      <c r="J800" s="67"/>
      <c r="K800" s="67" t="str">
        <f aca="false">IF($E800="","",INDEX(进销存对接!$D$4:$D$305,266))</f>
        <v/>
      </c>
      <c r="L800" s="107"/>
      <c r="M800" s="107"/>
      <c r="N800" s="67" t="str">
        <f aca="false">IF($E800="","","系统")</f>
        <v/>
      </c>
      <c r="O800" s="67" t="str">
        <f aca="false">IF($E800="","","自动A")</f>
        <v/>
      </c>
      <c r="P800" s="18"/>
    </row>
    <row r="801" customFormat="false" ht="18" hidden="false" customHeight="true" outlineLevel="0" collapsed="false">
      <c r="A801" s="107" t="str">
        <f aca="false">IF($E801="","",ROW()-3)</f>
        <v/>
      </c>
      <c r="B801" s="110" t="str">
        <f aca="false">IF($E801="","",INDEX(进销存对接!$C$4:$C$305,266))</f>
        <v/>
      </c>
      <c r="C801" s="67" t="str">
        <f aca="false">IF($E801="","","记-"&amp;TEXT($B801,"YYYYMM")&amp;"-进销存")</f>
        <v/>
      </c>
      <c r="D801" s="107" t="str">
        <f aca="false">IF($E801="","",INDEX(进销存对接!$D$4:$D$305,266)&amp;" "&amp;TEXT($B801,"YYYY年M月")&amp;" 自动结转")</f>
        <v/>
      </c>
      <c r="E801" s="67" t="str">
        <f aca="false">IF(INDEX(进销存对接!$M$4:$U$305,266,7)=0,"",INDEX(进销存对接!$M$4:$U$305,266,7))</f>
        <v/>
      </c>
      <c r="F801" s="99" t="str">
        <f aca="false">IF($E801="","",IFERROR(INDEX(科目表!$A$4:$A$81,MATCH($E801,科目表!$B$4:$B$81,0)),""))</f>
        <v/>
      </c>
      <c r="G801" s="67" t="str">
        <f aca="false">IF($E801="","",IFERROR(INDEX(科目表!$E$4:$E$81,MATCH($E801,科目表!$B$4:$B$81,0)),""))</f>
        <v/>
      </c>
      <c r="H801" s="70" t="str">
        <f aca="false">IF($E801="","",N(INDEX(进销存对接!$M$4:$U$305,266,8)))</f>
        <v/>
      </c>
      <c r="I801" s="70" t="str">
        <f aca="false">IF($E801="","",N(INDEX(进销存对接!$M$4:$U$305,266,9)))</f>
        <v/>
      </c>
      <c r="J801" s="67"/>
      <c r="K801" s="67" t="str">
        <f aca="false">IF($E801="","",INDEX(进销存对接!$D$4:$D$305,266))</f>
        <v/>
      </c>
      <c r="L801" s="107"/>
      <c r="M801" s="107"/>
      <c r="N801" s="67" t="str">
        <f aca="false">IF($E801="","","系统")</f>
        <v/>
      </c>
      <c r="O801" s="67" t="str">
        <f aca="false">IF($E801="","","自动A")</f>
        <v/>
      </c>
      <c r="P801" s="18"/>
    </row>
    <row r="802" customFormat="false" ht="18" hidden="false" customHeight="true" outlineLevel="0" collapsed="false">
      <c r="A802" s="107" t="str">
        <f aca="false">IF($E802="","",ROW()-3)</f>
        <v/>
      </c>
      <c r="B802" s="110" t="str">
        <f aca="false">IF($E802="","",INDEX(进销存对接!$C$4:$C$305,267))</f>
        <v/>
      </c>
      <c r="C802" s="67" t="str">
        <f aca="false">IF($E802="","","记-"&amp;TEXT($B802,"YYYYMM")&amp;"-进销存")</f>
        <v/>
      </c>
      <c r="D802" s="107" t="str">
        <f aca="false">IF($E802="","",INDEX(进销存对接!$D$4:$D$305,267)&amp;" "&amp;TEXT($B802,"YYYY年M月")&amp;" 自动结转")</f>
        <v/>
      </c>
      <c r="E802" s="67" t="str">
        <f aca="false">IF(INDEX(进销存对接!$M$4:$U$305,267,1)=0,"",INDEX(进销存对接!$M$4:$U$305,267,1))</f>
        <v/>
      </c>
      <c r="F802" s="99" t="str">
        <f aca="false">IF($E802="","",IFERROR(INDEX(科目表!$A$4:$A$81,MATCH($E802,科目表!$B$4:$B$81,0)),""))</f>
        <v/>
      </c>
      <c r="G802" s="67" t="str">
        <f aca="false">IF($E802="","",IFERROR(INDEX(科目表!$E$4:$E$81,MATCH($E802,科目表!$B$4:$B$81,0)),""))</f>
        <v/>
      </c>
      <c r="H802" s="70" t="str">
        <f aca="false">IF($E802="","",N(INDEX(进销存对接!$M$4:$U$305,267,2)))</f>
        <v/>
      </c>
      <c r="I802" s="70" t="str">
        <f aca="false">IF($E802="","",N(INDEX(进销存对接!$M$4:$U$305,267,3)))</f>
        <v/>
      </c>
      <c r="J802" s="67"/>
      <c r="K802" s="67" t="str">
        <f aca="false">IF($E802="","",INDEX(进销存对接!$D$4:$D$305,267))</f>
        <v/>
      </c>
      <c r="L802" s="107"/>
      <c r="M802" s="107"/>
      <c r="N802" s="67" t="str">
        <f aca="false">IF($E802="","","系统")</f>
        <v/>
      </c>
      <c r="O802" s="67" t="str">
        <f aca="false">IF($E802="","","自动A")</f>
        <v/>
      </c>
      <c r="P802" s="18"/>
    </row>
    <row r="803" customFormat="false" ht="18" hidden="false" customHeight="true" outlineLevel="0" collapsed="false">
      <c r="A803" s="107" t="str">
        <f aca="false">IF($E803="","",ROW()-3)</f>
        <v/>
      </c>
      <c r="B803" s="110" t="str">
        <f aca="false">IF($E803="","",INDEX(进销存对接!$C$4:$C$305,267))</f>
        <v/>
      </c>
      <c r="C803" s="67" t="str">
        <f aca="false">IF($E803="","","记-"&amp;TEXT($B803,"YYYYMM")&amp;"-进销存")</f>
        <v/>
      </c>
      <c r="D803" s="107" t="str">
        <f aca="false">IF($E803="","",INDEX(进销存对接!$D$4:$D$305,267)&amp;" "&amp;TEXT($B803,"YYYY年M月")&amp;" 自动结转")</f>
        <v/>
      </c>
      <c r="E803" s="67" t="str">
        <f aca="false">IF(INDEX(进销存对接!$M$4:$U$305,267,4)=0,"",INDEX(进销存对接!$M$4:$U$305,267,4))</f>
        <v/>
      </c>
      <c r="F803" s="99" t="str">
        <f aca="false">IF($E803="","",IFERROR(INDEX(科目表!$A$4:$A$81,MATCH($E803,科目表!$B$4:$B$81,0)),""))</f>
        <v/>
      </c>
      <c r="G803" s="67" t="str">
        <f aca="false">IF($E803="","",IFERROR(INDEX(科目表!$E$4:$E$81,MATCH($E803,科目表!$B$4:$B$81,0)),""))</f>
        <v/>
      </c>
      <c r="H803" s="70" t="str">
        <f aca="false">IF($E803="","",N(INDEX(进销存对接!$M$4:$U$305,267,5)))</f>
        <v/>
      </c>
      <c r="I803" s="70" t="str">
        <f aca="false">IF($E803="","",N(INDEX(进销存对接!$M$4:$U$305,267,6)))</f>
        <v/>
      </c>
      <c r="J803" s="67"/>
      <c r="K803" s="67" t="str">
        <f aca="false">IF($E803="","",INDEX(进销存对接!$D$4:$D$305,267))</f>
        <v/>
      </c>
      <c r="L803" s="107"/>
      <c r="M803" s="107"/>
      <c r="N803" s="67" t="str">
        <f aca="false">IF($E803="","","系统")</f>
        <v/>
      </c>
      <c r="O803" s="67" t="str">
        <f aca="false">IF($E803="","","自动A")</f>
        <v/>
      </c>
      <c r="P803" s="18"/>
    </row>
    <row r="804" customFormat="false" ht="18" hidden="false" customHeight="true" outlineLevel="0" collapsed="false">
      <c r="A804" s="107" t="str">
        <f aca="false">IF($E804="","",ROW()-3)</f>
        <v/>
      </c>
      <c r="B804" s="110" t="str">
        <f aca="false">IF($E804="","",INDEX(进销存对接!$C$4:$C$305,267))</f>
        <v/>
      </c>
      <c r="C804" s="67" t="str">
        <f aca="false">IF($E804="","","记-"&amp;TEXT($B804,"YYYYMM")&amp;"-进销存")</f>
        <v/>
      </c>
      <c r="D804" s="107" t="str">
        <f aca="false">IF($E804="","",INDEX(进销存对接!$D$4:$D$305,267)&amp;" "&amp;TEXT($B804,"YYYY年M月")&amp;" 自动结转")</f>
        <v/>
      </c>
      <c r="E804" s="67" t="str">
        <f aca="false">IF(INDEX(进销存对接!$M$4:$U$305,267,7)=0,"",INDEX(进销存对接!$M$4:$U$305,267,7))</f>
        <v/>
      </c>
      <c r="F804" s="99" t="str">
        <f aca="false">IF($E804="","",IFERROR(INDEX(科目表!$A$4:$A$81,MATCH($E804,科目表!$B$4:$B$81,0)),""))</f>
        <v/>
      </c>
      <c r="G804" s="67" t="str">
        <f aca="false">IF($E804="","",IFERROR(INDEX(科目表!$E$4:$E$81,MATCH($E804,科目表!$B$4:$B$81,0)),""))</f>
        <v/>
      </c>
      <c r="H804" s="70" t="str">
        <f aca="false">IF($E804="","",N(INDEX(进销存对接!$M$4:$U$305,267,8)))</f>
        <v/>
      </c>
      <c r="I804" s="70" t="str">
        <f aca="false">IF($E804="","",N(INDEX(进销存对接!$M$4:$U$305,267,9)))</f>
        <v/>
      </c>
      <c r="J804" s="67"/>
      <c r="K804" s="67" t="str">
        <f aca="false">IF($E804="","",INDEX(进销存对接!$D$4:$D$305,267))</f>
        <v/>
      </c>
      <c r="L804" s="107"/>
      <c r="M804" s="107"/>
      <c r="N804" s="67" t="str">
        <f aca="false">IF($E804="","","系统")</f>
        <v/>
      </c>
      <c r="O804" s="67" t="str">
        <f aca="false">IF($E804="","","自动A")</f>
        <v/>
      </c>
      <c r="P804" s="18"/>
    </row>
    <row r="805" customFormat="false" ht="18" hidden="false" customHeight="true" outlineLevel="0" collapsed="false">
      <c r="A805" s="107" t="str">
        <f aca="false">IF($E805="","",ROW()-3)</f>
        <v/>
      </c>
      <c r="B805" s="110" t="str">
        <f aca="false">IF($E805="","",INDEX(进销存对接!$C$4:$C$305,268))</f>
        <v/>
      </c>
      <c r="C805" s="67" t="str">
        <f aca="false">IF($E805="","","记-"&amp;TEXT($B805,"YYYYMM")&amp;"-进销存")</f>
        <v/>
      </c>
      <c r="D805" s="107" t="str">
        <f aca="false">IF($E805="","",INDEX(进销存对接!$D$4:$D$305,268)&amp;" "&amp;TEXT($B805,"YYYY年M月")&amp;" 自动结转")</f>
        <v/>
      </c>
      <c r="E805" s="67" t="str">
        <f aca="false">IF(INDEX(进销存对接!$M$4:$U$305,268,1)=0,"",INDEX(进销存对接!$M$4:$U$305,268,1))</f>
        <v/>
      </c>
      <c r="F805" s="99" t="str">
        <f aca="false">IF($E805="","",IFERROR(INDEX(科目表!$A$4:$A$81,MATCH($E805,科目表!$B$4:$B$81,0)),""))</f>
        <v/>
      </c>
      <c r="G805" s="67" t="str">
        <f aca="false">IF($E805="","",IFERROR(INDEX(科目表!$E$4:$E$81,MATCH($E805,科目表!$B$4:$B$81,0)),""))</f>
        <v/>
      </c>
      <c r="H805" s="70" t="str">
        <f aca="false">IF($E805="","",N(INDEX(进销存对接!$M$4:$U$305,268,2)))</f>
        <v/>
      </c>
      <c r="I805" s="70" t="str">
        <f aca="false">IF($E805="","",N(INDEX(进销存对接!$M$4:$U$305,268,3)))</f>
        <v/>
      </c>
      <c r="J805" s="67"/>
      <c r="K805" s="67" t="str">
        <f aca="false">IF($E805="","",INDEX(进销存对接!$D$4:$D$305,268))</f>
        <v/>
      </c>
      <c r="L805" s="107"/>
      <c r="M805" s="107"/>
      <c r="N805" s="67" t="str">
        <f aca="false">IF($E805="","","系统")</f>
        <v/>
      </c>
      <c r="O805" s="67" t="str">
        <f aca="false">IF($E805="","","自动A")</f>
        <v/>
      </c>
      <c r="P805" s="18"/>
    </row>
    <row r="806" customFormat="false" ht="18" hidden="false" customHeight="true" outlineLevel="0" collapsed="false">
      <c r="A806" s="107" t="str">
        <f aca="false">IF($E806="","",ROW()-3)</f>
        <v/>
      </c>
      <c r="B806" s="110" t="str">
        <f aca="false">IF($E806="","",INDEX(进销存对接!$C$4:$C$305,268))</f>
        <v/>
      </c>
      <c r="C806" s="67" t="str">
        <f aca="false">IF($E806="","","记-"&amp;TEXT($B806,"YYYYMM")&amp;"-进销存")</f>
        <v/>
      </c>
      <c r="D806" s="107" t="str">
        <f aca="false">IF($E806="","",INDEX(进销存对接!$D$4:$D$305,268)&amp;" "&amp;TEXT($B806,"YYYY年M月")&amp;" 自动结转")</f>
        <v/>
      </c>
      <c r="E806" s="67" t="str">
        <f aca="false">IF(INDEX(进销存对接!$M$4:$U$305,268,4)=0,"",INDEX(进销存对接!$M$4:$U$305,268,4))</f>
        <v/>
      </c>
      <c r="F806" s="99" t="str">
        <f aca="false">IF($E806="","",IFERROR(INDEX(科目表!$A$4:$A$81,MATCH($E806,科目表!$B$4:$B$81,0)),""))</f>
        <v/>
      </c>
      <c r="G806" s="67" t="str">
        <f aca="false">IF($E806="","",IFERROR(INDEX(科目表!$E$4:$E$81,MATCH($E806,科目表!$B$4:$B$81,0)),""))</f>
        <v/>
      </c>
      <c r="H806" s="70" t="str">
        <f aca="false">IF($E806="","",N(INDEX(进销存对接!$M$4:$U$305,268,5)))</f>
        <v/>
      </c>
      <c r="I806" s="70" t="str">
        <f aca="false">IF($E806="","",N(INDEX(进销存对接!$M$4:$U$305,268,6)))</f>
        <v/>
      </c>
      <c r="J806" s="67"/>
      <c r="K806" s="67" t="str">
        <f aca="false">IF($E806="","",INDEX(进销存对接!$D$4:$D$305,268))</f>
        <v/>
      </c>
      <c r="L806" s="107"/>
      <c r="M806" s="107"/>
      <c r="N806" s="67" t="str">
        <f aca="false">IF($E806="","","系统")</f>
        <v/>
      </c>
      <c r="O806" s="67" t="str">
        <f aca="false">IF($E806="","","自动A")</f>
        <v/>
      </c>
      <c r="P806" s="18"/>
    </row>
    <row r="807" customFormat="false" ht="18" hidden="false" customHeight="true" outlineLevel="0" collapsed="false">
      <c r="A807" s="107" t="str">
        <f aca="false">IF($E807="","",ROW()-3)</f>
        <v/>
      </c>
      <c r="B807" s="110" t="str">
        <f aca="false">IF($E807="","",INDEX(进销存对接!$C$4:$C$305,268))</f>
        <v/>
      </c>
      <c r="C807" s="67" t="str">
        <f aca="false">IF($E807="","","记-"&amp;TEXT($B807,"YYYYMM")&amp;"-进销存")</f>
        <v/>
      </c>
      <c r="D807" s="107" t="str">
        <f aca="false">IF($E807="","",INDEX(进销存对接!$D$4:$D$305,268)&amp;" "&amp;TEXT($B807,"YYYY年M月")&amp;" 自动结转")</f>
        <v/>
      </c>
      <c r="E807" s="67" t="str">
        <f aca="false">IF(INDEX(进销存对接!$M$4:$U$305,268,7)=0,"",INDEX(进销存对接!$M$4:$U$305,268,7))</f>
        <v/>
      </c>
      <c r="F807" s="99" t="str">
        <f aca="false">IF($E807="","",IFERROR(INDEX(科目表!$A$4:$A$81,MATCH($E807,科目表!$B$4:$B$81,0)),""))</f>
        <v/>
      </c>
      <c r="G807" s="67" t="str">
        <f aca="false">IF($E807="","",IFERROR(INDEX(科目表!$E$4:$E$81,MATCH($E807,科目表!$B$4:$B$81,0)),""))</f>
        <v/>
      </c>
      <c r="H807" s="70" t="str">
        <f aca="false">IF($E807="","",N(INDEX(进销存对接!$M$4:$U$305,268,8)))</f>
        <v/>
      </c>
      <c r="I807" s="70" t="str">
        <f aca="false">IF($E807="","",N(INDEX(进销存对接!$M$4:$U$305,268,9)))</f>
        <v/>
      </c>
      <c r="J807" s="67"/>
      <c r="K807" s="67" t="str">
        <f aca="false">IF($E807="","",INDEX(进销存对接!$D$4:$D$305,268))</f>
        <v/>
      </c>
      <c r="L807" s="107"/>
      <c r="M807" s="107"/>
      <c r="N807" s="67" t="str">
        <f aca="false">IF($E807="","","系统")</f>
        <v/>
      </c>
      <c r="O807" s="67" t="str">
        <f aca="false">IF($E807="","","自动A")</f>
        <v/>
      </c>
      <c r="P807" s="18"/>
    </row>
    <row r="808" customFormat="false" ht="18" hidden="false" customHeight="true" outlineLevel="0" collapsed="false">
      <c r="A808" s="107" t="str">
        <f aca="false">IF($E808="","",ROW()-3)</f>
        <v/>
      </c>
      <c r="B808" s="110" t="str">
        <f aca="false">IF($E808="","",INDEX(进销存对接!$C$4:$C$305,269))</f>
        <v/>
      </c>
      <c r="C808" s="67" t="str">
        <f aca="false">IF($E808="","","记-"&amp;TEXT($B808,"YYYYMM")&amp;"-进销存")</f>
        <v/>
      </c>
      <c r="D808" s="107" t="str">
        <f aca="false">IF($E808="","",INDEX(进销存对接!$D$4:$D$305,269)&amp;" "&amp;TEXT($B808,"YYYY年M月")&amp;" 自动结转")</f>
        <v/>
      </c>
      <c r="E808" s="67" t="str">
        <f aca="false">IF(INDEX(进销存对接!$M$4:$U$305,269,1)=0,"",INDEX(进销存对接!$M$4:$U$305,269,1))</f>
        <v/>
      </c>
      <c r="F808" s="99" t="str">
        <f aca="false">IF($E808="","",IFERROR(INDEX(科目表!$A$4:$A$81,MATCH($E808,科目表!$B$4:$B$81,0)),""))</f>
        <v/>
      </c>
      <c r="G808" s="67" t="str">
        <f aca="false">IF($E808="","",IFERROR(INDEX(科目表!$E$4:$E$81,MATCH($E808,科目表!$B$4:$B$81,0)),""))</f>
        <v/>
      </c>
      <c r="H808" s="70" t="str">
        <f aca="false">IF($E808="","",N(INDEX(进销存对接!$M$4:$U$305,269,2)))</f>
        <v/>
      </c>
      <c r="I808" s="70" t="str">
        <f aca="false">IF($E808="","",N(INDEX(进销存对接!$M$4:$U$305,269,3)))</f>
        <v/>
      </c>
      <c r="J808" s="67"/>
      <c r="K808" s="67" t="str">
        <f aca="false">IF($E808="","",INDEX(进销存对接!$D$4:$D$305,269))</f>
        <v/>
      </c>
      <c r="L808" s="107"/>
      <c r="M808" s="107"/>
      <c r="N808" s="67" t="str">
        <f aca="false">IF($E808="","","系统")</f>
        <v/>
      </c>
      <c r="O808" s="67" t="str">
        <f aca="false">IF($E808="","","自动A")</f>
        <v/>
      </c>
      <c r="P808" s="18"/>
    </row>
    <row r="809" customFormat="false" ht="18" hidden="false" customHeight="true" outlineLevel="0" collapsed="false">
      <c r="A809" s="107" t="str">
        <f aca="false">IF($E809="","",ROW()-3)</f>
        <v/>
      </c>
      <c r="B809" s="110" t="str">
        <f aca="false">IF($E809="","",INDEX(进销存对接!$C$4:$C$305,269))</f>
        <v/>
      </c>
      <c r="C809" s="67" t="str">
        <f aca="false">IF($E809="","","记-"&amp;TEXT($B809,"YYYYMM")&amp;"-进销存")</f>
        <v/>
      </c>
      <c r="D809" s="107" t="str">
        <f aca="false">IF($E809="","",INDEX(进销存对接!$D$4:$D$305,269)&amp;" "&amp;TEXT($B809,"YYYY年M月")&amp;" 自动结转")</f>
        <v/>
      </c>
      <c r="E809" s="67" t="str">
        <f aca="false">IF(INDEX(进销存对接!$M$4:$U$305,269,4)=0,"",INDEX(进销存对接!$M$4:$U$305,269,4))</f>
        <v/>
      </c>
      <c r="F809" s="99" t="str">
        <f aca="false">IF($E809="","",IFERROR(INDEX(科目表!$A$4:$A$81,MATCH($E809,科目表!$B$4:$B$81,0)),""))</f>
        <v/>
      </c>
      <c r="G809" s="67" t="str">
        <f aca="false">IF($E809="","",IFERROR(INDEX(科目表!$E$4:$E$81,MATCH($E809,科目表!$B$4:$B$81,0)),""))</f>
        <v/>
      </c>
      <c r="H809" s="70" t="str">
        <f aca="false">IF($E809="","",N(INDEX(进销存对接!$M$4:$U$305,269,5)))</f>
        <v/>
      </c>
      <c r="I809" s="70" t="str">
        <f aca="false">IF($E809="","",N(INDEX(进销存对接!$M$4:$U$305,269,6)))</f>
        <v/>
      </c>
      <c r="J809" s="67"/>
      <c r="K809" s="67" t="str">
        <f aca="false">IF($E809="","",INDEX(进销存对接!$D$4:$D$305,269))</f>
        <v/>
      </c>
      <c r="L809" s="107"/>
      <c r="M809" s="107"/>
      <c r="N809" s="67" t="str">
        <f aca="false">IF($E809="","","系统")</f>
        <v/>
      </c>
      <c r="O809" s="67" t="str">
        <f aca="false">IF($E809="","","自动A")</f>
        <v/>
      </c>
      <c r="P809" s="18"/>
    </row>
    <row r="810" customFormat="false" ht="18" hidden="false" customHeight="true" outlineLevel="0" collapsed="false">
      <c r="A810" s="107" t="str">
        <f aca="false">IF($E810="","",ROW()-3)</f>
        <v/>
      </c>
      <c r="B810" s="110" t="str">
        <f aca="false">IF($E810="","",INDEX(进销存对接!$C$4:$C$305,269))</f>
        <v/>
      </c>
      <c r="C810" s="67" t="str">
        <f aca="false">IF($E810="","","记-"&amp;TEXT($B810,"YYYYMM")&amp;"-进销存")</f>
        <v/>
      </c>
      <c r="D810" s="107" t="str">
        <f aca="false">IF($E810="","",INDEX(进销存对接!$D$4:$D$305,269)&amp;" "&amp;TEXT($B810,"YYYY年M月")&amp;" 自动结转")</f>
        <v/>
      </c>
      <c r="E810" s="67" t="str">
        <f aca="false">IF(INDEX(进销存对接!$M$4:$U$305,269,7)=0,"",INDEX(进销存对接!$M$4:$U$305,269,7))</f>
        <v/>
      </c>
      <c r="F810" s="99" t="str">
        <f aca="false">IF($E810="","",IFERROR(INDEX(科目表!$A$4:$A$81,MATCH($E810,科目表!$B$4:$B$81,0)),""))</f>
        <v/>
      </c>
      <c r="G810" s="67" t="str">
        <f aca="false">IF($E810="","",IFERROR(INDEX(科目表!$E$4:$E$81,MATCH($E810,科目表!$B$4:$B$81,0)),""))</f>
        <v/>
      </c>
      <c r="H810" s="70" t="str">
        <f aca="false">IF($E810="","",N(INDEX(进销存对接!$M$4:$U$305,269,8)))</f>
        <v/>
      </c>
      <c r="I810" s="70" t="str">
        <f aca="false">IF($E810="","",N(INDEX(进销存对接!$M$4:$U$305,269,9)))</f>
        <v/>
      </c>
      <c r="J810" s="67"/>
      <c r="K810" s="67" t="str">
        <f aca="false">IF($E810="","",INDEX(进销存对接!$D$4:$D$305,269))</f>
        <v/>
      </c>
      <c r="L810" s="107"/>
      <c r="M810" s="107"/>
      <c r="N810" s="67" t="str">
        <f aca="false">IF($E810="","","系统")</f>
        <v/>
      </c>
      <c r="O810" s="67" t="str">
        <f aca="false">IF($E810="","","自动A")</f>
        <v/>
      </c>
      <c r="P810" s="18"/>
    </row>
    <row r="811" customFormat="false" ht="18" hidden="false" customHeight="true" outlineLevel="0" collapsed="false">
      <c r="A811" s="107" t="str">
        <f aca="false">IF($E811="","",ROW()-3)</f>
        <v/>
      </c>
      <c r="B811" s="110" t="str">
        <f aca="false">IF($E811="","",INDEX(进销存对接!$C$4:$C$305,270))</f>
        <v/>
      </c>
      <c r="C811" s="67" t="str">
        <f aca="false">IF($E811="","","记-"&amp;TEXT($B811,"YYYYMM")&amp;"-进销存")</f>
        <v/>
      </c>
      <c r="D811" s="107" t="str">
        <f aca="false">IF($E811="","",INDEX(进销存对接!$D$4:$D$305,270)&amp;" "&amp;TEXT($B811,"YYYY年M月")&amp;" 自动结转")</f>
        <v/>
      </c>
      <c r="E811" s="67" t="str">
        <f aca="false">IF(INDEX(进销存对接!$M$4:$U$305,270,1)=0,"",INDEX(进销存对接!$M$4:$U$305,270,1))</f>
        <v/>
      </c>
      <c r="F811" s="99" t="str">
        <f aca="false">IF($E811="","",IFERROR(INDEX(科目表!$A$4:$A$81,MATCH($E811,科目表!$B$4:$B$81,0)),""))</f>
        <v/>
      </c>
      <c r="G811" s="67" t="str">
        <f aca="false">IF($E811="","",IFERROR(INDEX(科目表!$E$4:$E$81,MATCH($E811,科目表!$B$4:$B$81,0)),""))</f>
        <v/>
      </c>
      <c r="H811" s="70" t="str">
        <f aca="false">IF($E811="","",N(INDEX(进销存对接!$M$4:$U$305,270,2)))</f>
        <v/>
      </c>
      <c r="I811" s="70" t="str">
        <f aca="false">IF($E811="","",N(INDEX(进销存对接!$M$4:$U$305,270,3)))</f>
        <v/>
      </c>
      <c r="J811" s="67"/>
      <c r="K811" s="67" t="str">
        <f aca="false">IF($E811="","",INDEX(进销存对接!$D$4:$D$305,270))</f>
        <v/>
      </c>
      <c r="L811" s="107"/>
      <c r="M811" s="107"/>
      <c r="N811" s="67" t="str">
        <f aca="false">IF($E811="","","系统")</f>
        <v/>
      </c>
      <c r="O811" s="67" t="str">
        <f aca="false">IF($E811="","","自动A")</f>
        <v/>
      </c>
      <c r="P811" s="18"/>
    </row>
    <row r="812" customFormat="false" ht="18" hidden="false" customHeight="true" outlineLevel="0" collapsed="false">
      <c r="A812" s="107" t="str">
        <f aca="false">IF($E812="","",ROW()-3)</f>
        <v/>
      </c>
      <c r="B812" s="110" t="str">
        <f aca="false">IF($E812="","",INDEX(进销存对接!$C$4:$C$305,270))</f>
        <v/>
      </c>
      <c r="C812" s="67" t="str">
        <f aca="false">IF($E812="","","记-"&amp;TEXT($B812,"YYYYMM")&amp;"-进销存")</f>
        <v/>
      </c>
      <c r="D812" s="107" t="str">
        <f aca="false">IF($E812="","",INDEX(进销存对接!$D$4:$D$305,270)&amp;" "&amp;TEXT($B812,"YYYY年M月")&amp;" 自动结转")</f>
        <v/>
      </c>
      <c r="E812" s="67" t="str">
        <f aca="false">IF(INDEX(进销存对接!$M$4:$U$305,270,4)=0,"",INDEX(进销存对接!$M$4:$U$305,270,4))</f>
        <v/>
      </c>
      <c r="F812" s="99" t="str">
        <f aca="false">IF($E812="","",IFERROR(INDEX(科目表!$A$4:$A$81,MATCH($E812,科目表!$B$4:$B$81,0)),""))</f>
        <v/>
      </c>
      <c r="G812" s="67" t="str">
        <f aca="false">IF($E812="","",IFERROR(INDEX(科目表!$E$4:$E$81,MATCH($E812,科目表!$B$4:$B$81,0)),""))</f>
        <v/>
      </c>
      <c r="H812" s="70" t="str">
        <f aca="false">IF($E812="","",N(INDEX(进销存对接!$M$4:$U$305,270,5)))</f>
        <v/>
      </c>
      <c r="I812" s="70" t="str">
        <f aca="false">IF($E812="","",N(INDEX(进销存对接!$M$4:$U$305,270,6)))</f>
        <v/>
      </c>
      <c r="J812" s="67"/>
      <c r="K812" s="67" t="str">
        <f aca="false">IF($E812="","",INDEX(进销存对接!$D$4:$D$305,270))</f>
        <v/>
      </c>
      <c r="L812" s="107"/>
      <c r="M812" s="107"/>
      <c r="N812" s="67" t="str">
        <f aca="false">IF($E812="","","系统")</f>
        <v/>
      </c>
      <c r="O812" s="67" t="str">
        <f aca="false">IF($E812="","","自动A")</f>
        <v/>
      </c>
      <c r="P812" s="18"/>
    </row>
    <row r="813" customFormat="false" ht="18" hidden="false" customHeight="true" outlineLevel="0" collapsed="false">
      <c r="A813" s="107" t="str">
        <f aca="false">IF($E813="","",ROW()-3)</f>
        <v/>
      </c>
      <c r="B813" s="110" t="str">
        <f aca="false">IF($E813="","",INDEX(进销存对接!$C$4:$C$305,270))</f>
        <v/>
      </c>
      <c r="C813" s="67" t="str">
        <f aca="false">IF($E813="","","记-"&amp;TEXT($B813,"YYYYMM")&amp;"-进销存")</f>
        <v/>
      </c>
      <c r="D813" s="107" t="str">
        <f aca="false">IF($E813="","",INDEX(进销存对接!$D$4:$D$305,270)&amp;" "&amp;TEXT($B813,"YYYY年M月")&amp;" 自动结转")</f>
        <v/>
      </c>
      <c r="E813" s="67" t="str">
        <f aca="false">IF(INDEX(进销存对接!$M$4:$U$305,270,7)=0,"",INDEX(进销存对接!$M$4:$U$305,270,7))</f>
        <v/>
      </c>
      <c r="F813" s="99" t="str">
        <f aca="false">IF($E813="","",IFERROR(INDEX(科目表!$A$4:$A$81,MATCH($E813,科目表!$B$4:$B$81,0)),""))</f>
        <v/>
      </c>
      <c r="G813" s="67" t="str">
        <f aca="false">IF($E813="","",IFERROR(INDEX(科目表!$E$4:$E$81,MATCH($E813,科目表!$B$4:$B$81,0)),""))</f>
        <v/>
      </c>
      <c r="H813" s="70" t="str">
        <f aca="false">IF($E813="","",N(INDEX(进销存对接!$M$4:$U$305,270,8)))</f>
        <v/>
      </c>
      <c r="I813" s="70" t="str">
        <f aca="false">IF($E813="","",N(INDEX(进销存对接!$M$4:$U$305,270,9)))</f>
        <v/>
      </c>
      <c r="J813" s="67"/>
      <c r="K813" s="67" t="str">
        <f aca="false">IF($E813="","",INDEX(进销存对接!$D$4:$D$305,270))</f>
        <v/>
      </c>
      <c r="L813" s="107"/>
      <c r="M813" s="107"/>
      <c r="N813" s="67" t="str">
        <f aca="false">IF($E813="","","系统")</f>
        <v/>
      </c>
      <c r="O813" s="67" t="str">
        <f aca="false">IF($E813="","","自动A")</f>
        <v/>
      </c>
      <c r="P813" s="18"/>
    </row>
    <row r="814" customFormat="false" ht="18" hidden="false" customHeight="true" outlineLevel="0" collapsed="false">
      <c r="A814" s="107" t="str">
        <f aca="false">IF($E814="","",ROW()-3)</f>
        <v/>
      </c>
      <c r="B814" s="110" t="str">
        <f aca="false">IF($E814="","",INDEX(进销存对接!$C$4:$C$305,271))</f>
        <v/>
      </c>
      <c r="C814" s="67" t="str">
        <f aca="false">IF($E814="","","记-"&amp;TEXT($B814,"YYYYMM")&amp;"-进销存")</f>
        <v/>
      </c>
      <c r="D814" s="107" t="str">
        <f aca="false">IF($E814="","",INDEX(进销存对接!$D$4:$D$305,271)&amp;" "&amp;TEXT($B814,"YYYY年M月")&amp;" 自动结转")</f>
        <v/>
      </c>
      <c r="E814" s="67" t="str">
        <f aca="false">IF(INDEX(进销存对接!$M$4:$U$305,271,1)=0,"",INDEX(进销存对接!$M$4:$U$305,271,1))</f>
        <v/>
      </c>
      <c r="F814" s="99" t="str">
        <f aca="false">IF($E814="","",IFERROR(INDEX(科目表!$A$4:$A$81,MATCH($E814,科目表!$B$4:$B$81,0)),""))</f>
        <v/>
      </c>
      <c r="G814" s="67" t="str">
        <f aca="false">IF($E814="","",IFERROR(INDEX(科目表!$E$4:$E$81,MATCH($E814,科目表!$B$4:$B$81,0)),""))</f>
        <v/>
      </c>
      <c r="H814" s="70" t="str">
        <f aca="false">IF($E814="","",N(INDEX(进销存对接!$M$4:$U$305,271,2)))</f>
        <v/>
      </c>
      <c r="I814" s="70" t="str">
        <f aca="false">IF($E814="","",N(INDEX(进销存对接!$M$4:$U$305,271,3)))</f>
        <v/>
      </c>
      <c r="J814" s="67"/>
      <c r="K814" s="67" t="str">
        <f aca="false">IF($E814="","",INDEX(进销存对接!$D$4:$D$305,271))</f>
        <v/>
      </c>
      <c r="L814" s="107"/>
      <c r="M814" s="107"/>
      <c r="N814" s="67" t="str">
        <f aca="false">IF($E814="","","系统")</f>
        <v/>
      </c>
      <c r="O814" s="67" t="str">
        <f aca="false">IF($E814="","","自动A")</f>
        <v/>
      </c>
      <c r="P814" s="18"/>
    </row>
    <row r="815" customFormat="false" ht="18" hidden="false" customHeight="true" outlineLevel="0" collapsed="false">
      <c r="A815" s="107" t="str">
        <f aca="false">IF($E815="","",ROW()-3)</f>
        <v/>
      </c>
      <c r="B815" s="110" t="str">
        <f aca="false">IF($E815="","",INDEX(进销存对接!$C$4:$C$305,271))</f>
        <v/>
      </c>
      <c r="C815" s="67" t="str">
        <f aca="false">IF($E815="","","记-"&amp;TEXT($B815,"YYYYMM")&amp;"-进销存")</f>
        <v/>
      </c>
      <c r="D815" s="107" t="str">
        <f aca="false">IF($E815="","",INDEX(进销存对接!$D$4:$D$305,271)&amp;" "&amp;TEXT($B815,"YYYY年M月")&amp;" 自动结转")</f>
        <v/>
      </c>
      <c r="E815" s="67" t="str">
        <f aca="false">IF(INDEX(进销存对接!$M$4:$U$305,271,4)=0,"",INDEX(进销存对接!$M$4:$U$305,271,4))</f>
        <v/>
      </c>
      <c r="F815" s="99" t="str">
        <f aca="false">IF($E815="","",IFERROR(INDEX(科目表!$A$4:$A$81,MATCH($E815,科目表!$B$4:$B$81,0)),""))</f>
        <v/>
      </c>
      <c r="G815" s="67" t="str">
        <f aca="false">IF($E815="","",IFERROR(INDEX(科目表!$E$4:$E$81,MATCH($E815,科目表!$B$4:$B$81,0)),""))</f>
        <v/>
      </c>
      <c r="H815" s="70" t="str">
        <f aca="false">IF($E815="","",N(INDEX(进销存对接!$M$4:$U$305,271,5)))</f>
        <v/>
      </c>
      <c r="I815" s="70" t="str">
        <f aca="false">IF($E815="","",N(INDEX(进销存对接!$M$4:$U$305,271,6)))</f>
        <v/>
      </c>
      <c r="J815" s="67"/>
      <c r="K815" s="67" t="str">
        <f aca="false">IF($E815="","",INDEX(进销存对接!$D$4:$D$305,271))</f>
        <v/>
      </c>
      <c r="L815" s="107"/>
      <c r="M815" s="107"/>
      <c r="N815" s="67" t="str">
        <f aca="false">IF($E815="","","系统")</f>
        <v/>
      </c>
      <c r="O815" s="67" t="str">
        <f aca="false">IF($E815="","","自动A")</f>
        <v/>
      </c>
      <c r="P815" s="18"/>
    </row>
    <row r="816" customFormat="false" ht="18" hidden="false" customHeight="true" outlineLevel="0" collapsed="false">
      <c r="A816" s="107" t="str">
        <f aca="false">IF($E816="","",ROW()-3)</f>
        <v/>
      </c>
      <c r="B816" s="110" t="str">
        <f aca="false">IF($E816="","",INDEX(进销存对接!$C$4:$C$305,271))</f>
        <v/>
      </c>
      <c r="C816" s="67" t="str">
        <f aca="false">IF($E816="","","记-"&amp;TEXT($B816,"YYYYMM")&amp;"-进销存")</f>
        <v/>
      </c>
      <c r="D816" s="107" t="str">
        <f aca="false">IF($E816="","",INDEX(进销存对接!$D$4:$D$305,271)&amp;" "&amp;TEXT($B816,"YYYY年M月")&amp;" 自动结转")</f>
        <v/>
      </c>
      <c r="E816" s="67" t="str">
        <f aca="false">IF(INDEX(进销存对接!$M$4:$U$305,271,7)=0,"",INDEX(进销存对接!$M$4:$U$305,271,7))</f>
        <v/>
      </c>
      <c r="F816" s="99" t="str">
        <f aca="false">IF($E816="","",IFERROR(INDEX(科目表!$A$4:$A$81,MATCH($E816,科目表!$B$4:$B$81,0)),""))</f>
        <v/>
      </c>
      <c r="G816" s="67" t="str">
        <f aca="false">IF($E816="","",IFERROR(INDEX(科目表!$E$4:$E$81,MATCH($E816,科目表!$B$4:$B$81,0)),""))</f>
        <v/>
      </c>
      <c r="H816" s="70" t="str">
        <f aca="false">IF($E816="","",N(INDEX(进销存对接!$M$4:$U$305,271,8)))</f>
        <v/>
      </c>
      <c r="I816" s="70" t="str">
        <f aca="false">IF($E816="","",N(INDEX(进销存对接!$M$4:$U$305,271,9)))</f>
        <v/>
      </c>
      <c r="J816" s="67"/>
      <c r="K816" s="67" t="str">
        <f aca="false">IF($E816="","",INDEX(进销存对接!$D$4:$D$305,271))</f>
        <v/>
      </c>
      <c r="L816" s="107"/>
      <c r="M816" s="107"/>
      <c r="N816" s="67" t="str">
        <f aca="false">IF($E816="","","系统")</f>
        <v/>
      </c>
      <c r="O816" s="67" t="str">
        <f aca="false">IF($E816="","","自动A")</f>
        <v/>
      </c>
      <c r="P816" s="18"/>
    </row>
    <row r="817" customFormat="false" ht="18" hidden="false" customHeight="true" outlineLevel="0" collapsed="false">
      <c r="A817" s="107" t="str">
        <f aca="false">IF($E817="","",ROW()-3)</f>
        <v/>
      </c>
      <c r="B817" s="110" t="str">
        <f aca="false">IF($E817="","",INDEX(进销存对接!$C$4:$C$305,272))</f>
        <v/>
      </c>
      <c r="C817" s="67" t="str">
        <f aca="false">IF($E817="","","记-"&amp;TEXT($B817,"YYYYMM")&amp;"-进销存")</f>
        <v/>
      </c>
      <c r="D817" s="107" t="str">
        <f aca="false">IF($E817="","",INDEX(进销存对接!$D$4:$D$305,272)&amp;" "&amp;TEXT($B817,"YYYY年M月")&amp;" 自动结转")</f>
        <v/>
      </c>
      <c r="E817" s="67" t="str">
        <f aca="false">IF(INDEX(进销存对接!$M$4:$U$305,272,1)=0,"",INDEX(进销存对接!$M$4:$U$305,272,1))</f>
        <v/>
      </c>
      <c r="F817" s="99" t="str">
        <f aca="false">IF($E817="","",IFERROR(INDEX(科目表!$A$4:$A$81,MATCH($E817,科目表!$B$4:$B$81,0)),""))</f>
        <v/>
      </c>
      <c r="G817" s="67" t="str">
        <f aca="false">IF($E817="","",IFERROR(INDEX(科目表!$E$4:$E$81,MATCH($E817,科目表!$B$4:$B$81,0)),""))</f>
        <v/>
      </c>
      <c r="H817" s="70" t="str">
        <f aca="false">IF($E817="","",N(INDEX(进销存对接!$M$4:$U$305,272,2)))</f>
        <v/>
      </c>
      <c r="I817" s="70" t="str">
        <f aca="false">IF($E817="","",N(INDEX(进销存对接!$M$4:$U$305,272,3)))</f>
        <v/>
      </c>
      <c r="J817" s="67"/>
      <c r="K817" s="67" t="str">
        <f aca="false">IF($E817="","",INDEX(进销存对接!$D$4:$D$305,272))</f>
        <v/>
      </c>
      <c r="L817" s="107"/>
      <c r="M817" s="107"/>
      <c r="N817" s="67" t="str">
        <f aca="false">IF($E817="","","系统")</f>
        <v/>
      </c>
      <c r="O817" s="67" t="str">
        <f aca="false">IF($E817="","","自动A")</f>
        <v/>
      </c>
      <c r="P817" s="18"/>
    </row>
    <row r="818" customFormat="false" ht="18" hidden="false" customHeight="true" outlineLevel="0" collapsed="false">
      <c r="A818" s="107" t="str">
        <f aca="false">IF($E818="","",ROW()-3)</f>
        <v/>
      </c>
      <c r="B818" s="110" t="str">
        <f aca="false">IF($E818="","",INDEX(进销存对接!$C$4:$C$305,272))</f>
        <v/>
      </c>
      <c r="C818" s="67" t="str">
        <f aca="false">IF($E818="","","记-"&amp;TEXT($B818,"YYYYMM")&amp;"-进销存")</f>
        <v/>
      </c>
      <c r="D818" s="107" t="str">
        <f aca="false">IF($E818="","",INDEX(进销存对接!$D$4:$D$305,272)&amp;" "&amp;TEXT($B818,"YYYY年M月")&amp;" 自动结转")</f>
        <v/>
      </c>
      <c r="E818" s="67" t="str">
        <f aca="false">IF(INDEX(进销存对接!$M$4:$U$305,272,4)=0,"",INDEX(进销存对接!$M$4:$U$305,272,4))</f>
        <v/>
      </c>
      <c r="F818" s="99" t="str">
        <f aca="false">IF($E818="","",IFERROR(INDEX(科目表!$A$4:$A$81,MATCH($E818,科目表!$B$4:$B$81,0)),""))</f>
        <v/>
      </c>
      <c r="G818" s="67" t="str">
        <f aca="false">IF($E818="","",IFERROR(INDEX(科目表!$E$4:$E$81,MATCH($E818,科目表!$B$4:$B$81,0)),""))</f>
        <v/>
      </c>
      <c r="H818" s="70" t="str">
        <f aca="false">IF($E818="","",N(INDEX(进销存对接!$M$4:$U$305,272,5)))</f>
        <v/>
      </c>
      <c r="I818" s="70" t="str">
        <f aca="false">IF($E818="","",N(INDEX(进销存对接!$M$4:$U$305,272,6)))</f>
        <v/>
      </c>
      <c r="J818" s="67"/>
      <c r="K818" s="67" t="str">
        <f aca="false">IF($E818="","",INDEX(进销存对接!$D$4:$D$305,272))</f>
        <v/>
      </c>
      <c r="L818" s="107"/>
      <c r="M818" s="107"/>
      <c r="N818" s="67" t="str">
        <f aca="false">IF($E818="","","系统")</f>
        <v/>
      </c>
      <c r="O818" s="67" t="str">
        <f aca="false">IF($E818="","","自动A")</f>
        <v/>
      </c>
      <c r="P818" s="18"/>
    </row>
    <row r="819" customFormat="false" ht="18" hidden="false" customHeight="true" outlineLevel="0" collapsed="false">
      <c r="A819" s="107" t="str">
        <f aca="false">IF($E819="","",ROW()-3)</f>
        <v/>
      </c>
      <c r="B819" s="110" t="str">
        <f aca="false">IF($E819="","",INDEX(进销存对接!$C$4:$C$305,272))</f>
        <v/>
      </c>
      <c r="C819" s="67" t="str">
        <f aca="false">IF($E819="","","记-"&amp;TEXT($B819,"YYYYMM")&amp;"-进销存")</f>
        <v/>
      </c>
      <c r="D819" s="107" t="str">
        <f aca="false">IF($E819="","",INDEX(进销存对接!$D$4:$D$305,272)&amp;" "&amp;TEXT($B819,"YYYY年M月")&amp;" 自动结转")</f>
        <v/>
      </c>
      <c r="E819" s="67" t="str">
        <f aca="false">IF(INDEX(进销存对接!$M$4:$U$305,272,7)=0,"",INDEX(进销存对接!$M$4:$U$305,272,7))</f>
        <v/>
      </c>
      <c r="F819" s="99" t="str">
        <f aca="false">IF($E819="","",IFERROR(INDEX(科目表!$A$4:$A$81,MATCH($E819,科目表!$B$4:$B$81,0)),""))</f>
        <v/>
      </c>
      <c r="G819" s="67" t="str">
        <f aca="false">IF($E819="","",IFERROR(INDEX(科目表!$E$4:$E$81,MATCH($E819,科目表!$B$4:$B$81,0)),""))</f>
        <v/>
      </c>
      <c r="H819" s="70" t="str">
        <f aca="false">IF($E819="","",N(INDEX(进销存对接!$M$4:$U$305,272,8)))</f>
        <v/>
      </c>
      <c r="I819" s="70" t="str">
        <f aca="false">IF($E819="","",N(INDEX(进销存对接!$M$4:$U$305,272,9)))</f>
        <v/>
      </c>
      <c r="J819" s="67"/>
      <c r="K819" s="67" t="str">
        <f aca="false">IF($E819="","",INDEX(进销存对接!$D$4:$D$305,272))</f>
        <v/>
      </c>
      <c r="L819" s="107"/>
      <c r="M819" s="107"/>
      <c r="N819" s="67" t="str">
        <f aca="false">IF($E819="","","系统")</f>
        <v/>
      </c>
      <c r="O819" s="67" t="str">
        <f aca="false">IF($E819="","","自动A")</f>
        <v/>
      </c>
      <c r="P819" s="18"/>
    </row>
    <row r="820" customFormat="false" ht="18" hidden="false" customHeight="true" outlineLevel="0" collapsed="false">
      <c r="A820" s="107" t="str">
        <f aca="false">IF($E820="","",ROW()-3)</f>
        <v/>
      </c>
      <c r="B820" s="110" t="str">
        <f aca="false">IF($E820="","",INDEX(进销存对接!$C$4:$C$305,273))</f>
        <v/>
      </c>
      <c r="C820" s="67" t="str">
        <f aca="false">IF($E820="","","记-"&amp;TEXT($B820,"YYYYMM")&amp;"-进销存")</f>
        <v/>
      </c>
      <c r="D820" s="107" t="str">
        <f aca="false">IF($E820="","",INDEX(进销存对接!$D$4:$D$305,273)&amp;" "&amp;TEXT($B820,"YYYY年M月")&amp;" 自动结转")</f>
        <v/>
      </c>
      <c r="E820" s="67" t="str">
        <f aca="false">IF(INDEX(进销存对接!$M$4:$U$305,273,1)=0,"",INDEX(进销存对接!$M$4:$U$305,273,1))</f>
        <v/>
      </c>
      <c r="F820" s="99" t="str">
        <f aca="false">IF($E820="","",IFERROR(INDEX(科目表!$A$4:$A$81,MATCH($E820,科目表!$B$4:$B$81,0)),""))</f>
        <v/>
      </c>
      <c r="G820" s="67" t="str">
        <f aca="false">IF($E820="","",IFERROR(INDEX(科目表!$E$4:$E$81,MATCH($E820,科目表!$B$4:$B$81,0)),""))</f>
        <v/>
      </c>
      <c r="H820" s="70" t="str">
        <f aca="false">IF($E820="","",N(INDEX(进销存对接!$M$4:$U$305,273,2)))</f>
        <v/>
      </c>
      <c r="I820" s="70" t="str">
        <f aca="false">IF($E820="","",N(INDEX(进销存对接!$M$4:$U$305,273,3)))</f>
        <v/>
      </c>
      <c r="J820" s="67"/>
      <c r="K820" s="67" t="str">
        <f aca="false">IF($E820="","",INDEX(进销存对接!$D$4:$D$305,273))</f>
        <v/>
      </c>
      <c r="L820" s="107"/>
      <c r="M820" s="107"/>
      <c r="N820" s="67" t="str">
        <f aca="false">IF($E820="","","系统")</f>
        <v/>
      </c>
      <c r="O820" s="67" t="str">
        <f aca="false">IF($E820="","","自动A")</f>
        <v/>
      </c>
      <c r="P820" s="18"/>
    </row>
    <row r="821" customFormat="false" ht="18" hidden="false" customHeight="true" outlineLevel="0" collapsed="false">
      <c r="A821" s="107" t="str">
        <f aca="false">IF($E821="","",ROW()-3)</f>
        <v/>
      </c>
      <c r="B821" s="110" t="str">
        <f aca="false">IF($E821="","",INDEX(进销存对接!$C$4:$C$305,273))</f>
        <v/>
      </c>
      <c r="C821" s="67" t="str">
        <f aca="false">IF($E821="","","记-"&amp;TEXT($B821,"YYYYMM")&amp;"-进销存")</f>
        <v/>
      </c>
      <c r="D821" s="107" t="str">
        <f aca="false">IF($E821="","",INDEX(进销存对接!$D$4:$D$305,273)&amp;" "&amp;TEXT($B821,"YYYY年M月")&amp;" 自动结转")</f>
        <v/>
      </c>
      <c r="E821" s="67" t="str">
        <f aca="false">IF(INDEX(进销存对接!$M$4:$U$305,273,4)=0,"",INDEX(进销存对接!$M$4:$U$305,273,4))</f>
        <v/>
      </c>
      <c r="F821" s="99" t="str">
        <f aca="false">IF($E821="","",IFERROR(INDEX(科目表!$A$4:$A$81,MATCH($E821,科目表!$B$4:$B$81,0)),""))</f>
        <v/>
      </c>
      <c r="G821" s="67" t="str">
        <f aca="false">IF($E821="","",IFERROR(INDEX(科目表!$E$4:$E$81,MATCH($E821,科目表!$B$4:$B$81,0)),""))</f>
        <v/>
      </c>
      <c r="H821" s="70" t="str">
        <f aca="false">IF($E821="","",N(INDEX(进销存对接!$M$4:$U$305,273,5)))</f>
        <v/>
      </c>
      <c r="I821" s="70" t="str">
        <f aca="false">IF($E821="","",N(INDEX(进销存对接!$M$4:$U$305,273,6)))</f>
        <v/>
      </c>
      <c r="J821" s="67"/>
      <c r="K821" s="67" t="str">
        <f aca="false">IF($E821="","",INDEX(进销存对接!$D$4:$D$305,273))</f>
        <v/>
      </c>
      <c r="L821" s="107"/>
      <c r="M821" s="107"/>
      <c r="N821" s="67" t="str">
        <f aca="false">IF($E821="","","系统")</f>
        <v/>
      </c>
      <c r="O821" s="67" t="str">
        <f aca="false">IF($E821="","","自动A")</f>
        <v/>
      </c>
      <c r="P821" s="18"/>
    </row>
    <row r="822" customFormat="false" ht="18" hidden="false" customHeight="true" outlineLevel="0" collapsed="false">
      <c r="A822" s="107" t="str">
        <f aca="false">IF($E822="","",ROW()-3)</f>
        <v/>
      </c>
      <c r="B822" s="110" t="str">
        <f aca="false">IF($E822="","",INDEX(进销存对接!$C$4:$C$305,273))</f>
        <v/>
      </c>
      <c r="C822" s="67" t="str">
        <f aca="false">IF($E822="","","记-"&amp;TEXT($B822,"YYYYMM")&amp;"-进销存")</f>
        <v/>
      </c>
      <c r="D822" s="107" t="str">
        <f aca="false">IF($E822="","",INDEX(进销存对接!$D$4:$D$305,273)&amp;" "&amp;TEXT($B822,"YYYY年M月")&amp;" 自动结转")</f>
        <v/>
      </c>
      <c r="E822" s="67" t="str">
        <f aca="false">IF(INDEX(进销存对接!$M$4:$U$305,273,7)=0,"",INDEX(进销存对接!$M$4:$U$305,273,7))</f>
        <v/>
      </c>
      <c r="F822" s="99" t="str">
        <f aca="false">IF($E822="","",IFERROR(INDEX(科目表!$A$4:$A$81,MATCH($E822,科目表!$B$4:$B$81,0)),""))</f>
        <v/>
      </c>
      <c r="G822" s="67" t="str">
        <f aca="false">IF($E822="","",IFERROR(INDEX(科目表!$E$4:$E$81,MATCH($E822,科目表!$B$4:$B$81,0)),""))</f>
        <v/>
      </c>
      <c r="H822" s="70" t="str">
        <f aca="false">IF($E822="","",N(INDEX(进销存对接!$M$4:$U$305,273,8)))</f>
        <v/>
      </c>
      <c r="I822" s="70" t="str">
        <f aca="false">IF($E822="","",N(INDEX(进销存对接!$M$4:$U$305,273,9)))</f>
        <v/>
      </c>
      <c r="J822" s="67"/>
      <c r="K822" s="67" t="str">
        <f aca="false">IF($E822="","",INDEX(进销存对接!$D$4:$D$305,273))</f>
        <v/>
      </c>
      <c r="L822" s="107"/>
      <c r="M822" s="107"/>
      <c r="N822" s="67" t="str">
        <f aca="false">IF($E822="","","系统")</f>
        <v/>
      </c>
      <c r="O822" s="67" t="str">
        <f aca="false">IF($E822="","","自动A")</f>
        <v/>
      </c>
      <c r="P822" s="18"/>
    </row>
    <row r="823" customFormat="false" ht="18" hidden="false" customHeight="true" outlineLevel="0" collapsed="false">
      <c r="A823" s="107" t="str">
        <f aca="false">IF($E823="","",ROW()-3)</f>
        <v/>
      </c>
      <c r="B823" s="110" t="str">
        <f aca="false">IF($E823="","",INDEX(进销存对接!$C$4:$C$305,274))</f>
        <v/>
      </c>
      <c r="C823" s="67" t="str">
        <f aca="false">IF($E823="","","记-"&amp;TEXT($B823,"YYYYMM")&amp;"-进销存")</f>
        <v/>
      </c>
      <c r="D823" s="107" t="str">
        <f aca="false">IF($E823="","",INDEX(进销存对接!$D$4:$D$305,274)&amp;" "&amp;TEXT($B823,"YYYY年M月")&amp;" 自动结转")</f>
        <v/>
      </c>
      <c r="E823" s="67" t="str">
        <f aca="false">IF(INDEX(进销存对接!$M$4:$U$305,274,1)=0,"",INDEX(进销存对接!$M$4:$U$305,274,1))</f>
        <v/>
      </c>
      <c r="F823" s="99" t="str">
        <f aca="false">IF($E823="","",IFERROR(INDEX(科目表!$A$4:$A$81,MATCH($E823,科目表!$B$4:$B$81,0)),""))</f>
        <v/>
      </c>
      <c r="G823" s="67" t="str">
        <f aca="false">IF($E823="","",IFERROR(INDEX(科目表!$E$4:$E$81,MATCH($E823,科目表!$B$4:$B$81,0)),""))</f>
        <v/>
      </c>
      <c r="H823" s="70" t="str">
        <f aca="false">IF($E823="","",N(INDEX(进销存对接!$M$4:$U$305,274,2)))</f>
        <v/>
      </c>
      <c r="I823" s="70" t="str">
        <f aca="false">IF($E823="","",N(INDEX(进销存对接!$M$4:$U$305,274,3)))</f>
        <v/>
      </c>
      <c r="J823" s="67"/>
      <c r="K823" s="67" t="str">
        <f aca="false">IF($E823="","",INDEX(进销存对接!$D$4:$D$305,274))</f>
        <v/>
      </c>
      <c r="L823" s="107"/>
      <c r="M823" s="107"/>
      <c r="N823" s="67" t="str">
        <f aca="false">IF($E823="","","系统")</f>
        <v/>
      </c>
      <c r="O823" s="67" t="str">
        <f aca="false">IF($E823="","","自动A")</f>
        <v/>
      </c>
      <c r="P823" s="18"/>
    </row>
    <row r="824" customFormat="false" ht="18" hidden="false" customHeight="true" outlineLevel="0" collapsed="false">
      <c r="A824" s="107" t="str">
        <f aca="false">IF($E824="","",ROW()-3)</f>
        <v/>
      </c>
      <c r="B824" s="110" t="str">
        <f aca="false">IF($E824="","",INDEX(进销存对接!$C$4:$C$305,274))</f>
        <v/>
      </c>
      <c r="C824" s="67" t="str">
        <f aca="false">IF($E824="","","记-"&amp;TEXT($B824,"YYYYMM")&amp;"-进销存")</f>
        <v/>
      </c>
      <c r="D824" s="107" t="str">
        <f aca="false">IF($E824="","",INDEX(进销存对接!$D$4:$D$305,274)&amp;" "&amp;TEXT($B824,"YYYY年M月")&amp;" 自动结转")</f>
        <v/>
      </c>
      <c r="E824" s="67" t="str">
        <f aca="false">IF(INDEX(进销存对接!$M$4:$U$305,274,4)=0,"",INDEX(进销存对接!$M$4:$U$305,274,4))</f>
        <v/>
      </c>
      <c r="F824" s="99" t="str">
        <f aca="false">IF($E824="","",IFERROR(INDEX(科目表!$A$4:$A$81,MATCH($E824,科目表!$B$4:$B$81,0)),""))</f>
        <v/>
      </c>
      <c r="G824" s="67" t="str">
        <f aca="false">IF($E824="","",IFERROR(INDEX(科目表!$E$4:$E$81,MATCH($E824,科目表!$B$4:$B$81,0)),""))</f>
        <v/>
      </c>
      <c r="H824" s="70" t="str">
        <f aca="false">IF($E824="","",N(INDEX(进销存对接!$M$4:$U$305,274,5)))</f>
        <v/>
      </c>
      <c r="I824" s="70" t="str">
        <f aca="false">IF($E824="","",N(INDEX(进销存对接!$M$4:$U$305,274,6)))</f>
        <v/>
      </c>
      <c r="J824" s="67"/>
      <c r="K824" s="67" t="str">
        <f aca="false">IF($E824="","",INDEX(进销存对接!$D$4:$D$305,274))</f>
        <v/>
      </c>
      <c r="L824" s="107"/>
      <c r="M824" s="107"/>
      <c r="N824" s="67" t="str">
        <f aca="false">IF($E824="","","系统")</f>
        <v/>
      </c>
      <c r="O824" s="67" t="str">
        <f aca="false">IF($E824="","","自动A")</f>
        <v/>
      </c>
      <c r="P824" s="18"/>
    </row>
    <row r="825" customFormat="false" ht="18" hidden="false" customHeight="true" outlineLevel="0" collapsed="false">
      <c r="A825" s="107" t="str">
        <f aca="false">IF($E825="","",ROW()-3)</f>
        <v/>
      </c>
      <c r="B825" s="110" t="str">
        <f aca="false">IF($E825="","",INDEX(进销存对接!$C$4:$C$305,274))</f>
        <v/>
      </c>
      <c r="C825" s="67" t="str">
        <f aca="false">IF($E825="","","记-"&amp;TEXT($B825,"YYYYMM")&amp;"-进销存")</f>
        <v/>
      </c>
      <c r="D825" s="107" t="str">
        <f aca="false">IF($E825="","",INDEX(进销存对接!$D$4:$D$305,274)&amp;" "&amp;TEXT($B825,"YYYY年M月")&amp;" 自动结转")</f>
        <v/>
      </c>
      <c r="E825" s="67" t="str">
        <f aca="false">IF(INDEX(进销存对接!$M$4:$U$305,274,7)=0,"",INDEX(进销存对接!$M$4:$U$305,274,7))</f>
        <v/>
      </c>
      <c r="F825" s="99" t="str">
        <f aca="false">IF($E825="","",IFERROR(INDEX(科目表!$A$4:$A$81,MATCH($E825,科目表!$B$4:$B$81,0)),""))</f>
        <v/>
      </c>
      <c r="G825" s="67" t="str">
        <f aca="false">IF($E825="","",IFERROR(INDEX(科目表!$E$4:$E$81,MATCH($E825,科目表!$B$4:$B$81,0)),""))</f>
        <v/>
      </c>
      <c r="H825" s="70" t="str">
        <f aca="false">IF($E825="","",N(INDEX(进销存对接!$M$4:$U$305,274,8)))</f>
        <v/>
      </c>
      <c r="I825" s="70" t="str">
        <f aca="false">IF($E825="","",N(INDEX(进销存对接!$M$4:$U$305,274,9)))</f>
        <v/>
      </c>
      <c r="J825" s="67"/>
      <c r="K825" s="67" t="str">
        <f aca="false">IF($E825="","",INDEX(进销存对接!$D$4:$D$305,274))</f>
        <v/>
      </c>
      <c r="L825" s="107"/>
      <c r="M825" s="107"/>
      <c r="N825" s="67" t="str">
        <f aca="false">IF($E825="","","系统")</f>
        <v/>
      </c>
      <c r="O825" s="67" t="str">
        <f aca="false">IF($E825="","","自动A")</f>
        <v/>
      </c>
      <c r="P825" s="18"/>
    </row>
    <row r="826" customFormat="false" ht="18" hidden="false" customHeight="true" outlineLevel="0" collapsed="false">
      <c r="A826" s="107" t="str">
        <f aca="false">IF($E826="","",ROW()-3)</f>
        <v/>
      </c>
      <c r="B826" s="110" t="str">
        <f aca="false">IF($E826="","",INDEX(进销存对接!$C$4:$C$305,275))</f>
        <v/>
      </c>
      <c r="C826" s="67" t="str">
        <f aca="false">IF($E826="","","记-"&amp;TEXT($B826,"YYYYMM")&amp;"-进销存")</f>
        <v/>
      </c>
      <c r="D826" s="107" t="str">
        <f aca="false">IF($E826="","",INDEX(进销存对接!$D$4:$D$305,275)&amp;" "&amp;TEXT($B826,"YYYY年M月")&amp;" 自动结转")</f>
        <v/>
      </c>
      <c r="E826" s="67" t="str">
        <f aca="false">IF(INDEX(进销存对接!$M$4:$U$305,275,1)=0,"",INDEX(进销存对接!$M$4:$U$305,275,1))</f>
        <v/>
      </c>
      <c r="F826" s="99" t="str">
        <f aca="false">IF($E826="","",IFERROR(INDEX(科目表!$A$4:$A$81,MATCH($E826,科目表!$B$4:$B$81,0)),""))</f>
        <v/>
      </c>
      <c r="G826" s="67" t="str">
        <f aca="false">IF($E826="","",IFERROR(INDEX(科目表!$E$4:$E$81,MATCH($E826,科目表!$B$4:$B$81,0)),""))</f>
        <v/>
      </c>
      <c r="H826" s="70" t="str">
        <f aca="false">IF($E826="","",N(INDEX(进销存对接!$M$4:$U$305,275,2)))</f>
        <v/>
      </c>
      <c r="I826" s="70" t="str">
        <f aca="false">IF($E826="","",N(INDEX(进销存对接!$M$4:$U$305,275,3)))</f>
        <v/>
      </c>
      <c r="J826" s="67"/>
      <c r="K826" s="67" t="str">
        <f aca="false">IF($E826="","",INDEX(进销存对接!$D$4:$D$305,275))</f>
        <v/>
      </c>
      <c r="L826" s="107"/>
      <c r="M826" s="107"/>
      <c r="N826" s="67" t="str">
        <f aca="false">IF($E826="","","系统")</f>
        <v/>
      </c>
      <c r="O826" s="67" t="str">
        <f aca="false">IF($E826="","","自动A")</f>
        <v/>
      </c>
      <c r="P826" s="18"/>
    </row>
    <row r="827" customFormat="false" ht="18" hidden="false" customHeight="true" outlineLevel="0" collapsed="false">
      <c r="A827" s="107" t="str">
        <f aca="false">IF($E827="","",ROW()-3)</f>
        <v/>
      </c>
      <c r="B827" s="110" t="str">
        <f aca="false">IF($E827="","",INDEX(进销存对接!$C$4:$C$305,275))</f>
        <v/>
      </c>
      <c r="C827" s="67" t="str">
        <f aca="false">IF($E827="","","记-"&amp;TEXT($B827,"YYYYMM")&amp;"-进销存")</f>
        <v/>
      </c>
      <c r="D827" s="107" t="str">
        <f aca="false">IF($E827="","",INDEX(进销存对接!$D$4:$D$305,275)&amp;" "&amp;TEXT($B827,"YYYY年M月")&amp;" 自动结转")</f>
        <v/>
      </c>
      <c r="E827" s="67" t="str">
        <f aca="false">IF(INDEX(进销存对接!$M$4:$U$305,275,4)=0,"",INDEX(进销存对接!$M$4:$U$305,275,4))</f>
        <v/>
      </c>
      <c r="F827" s="99" t="str">
        <f aca="false">IF($E827="","",IFERROR(INDEX(科目表!$A$4:$A$81,MATCH($E827,科目表!$B$4:$B$81,0)),""))</f>
        <v/>
      </c>
      <c r="G827" s="67" t="str">
        <f aca="false">IF($E827="","",IFERROR(INDEX(科目表!$E$4:$E$81,MATCH($E827,科目表!$B$4:$B$81,0)),""))</f>
        <v/>
      </c>
      <c r="H827" s="70" t="str">
        <f aca="false">IF($E827="","",N(INDEX(进销存对接!$M$4:$U$305,275,5)))</f>
        <v/>
      </c>
      <c r="I827" s="70" t="str">
        <f aca="false">IF($E827="","",N(INDEX(进销存对接!$M$4:$U$305,275,6)))</f>
        <v/>
      </c>
      <c r="J827" s="67"/>
      <c r="K827" s="67" t="str">
        <f aca="false">IF($E827="","",INDEX(进销存对接!$D$4:$D$305,275))</f>
        <v/>
      </c>
      <c r="L827" s="107"/>
      <c r="M827" s="107"/>
      <c r="N827" s="67" t="str">
        <f aca="false">IF($E827="","","系统")</f>
        <v/>
      </c>
      <c r="O827" s="67" t="str">
        <f aca="false">IF($E827="","","自动A")</f>
        <v/>
      </c>
      <c r="P827" s="18"/>
    </row>
    <row r="828" customFormat="false" ht="18" hidden="false" customHeight="true" outlineLevel="0" collapsed="false">
      <c r="A828" s="107" t="str">
        <f aca="false">IF($E828="","",ROW()-3)</f>
        <v/>
      </c>
      <c r="B828" s="110" t="str">
        <f aca="false">IF($E828="","",INDEX(进销存对接!$C$4:$C$305,275))</f>
        <v/>
      </c>
      <c r="C828" s="67" t="str">
        <f aca="false">IF($E828="","","记-"&amp;TEXT($B828,"YYYYMM")&amp;"-进销存")</f>
        <v/>
      </c>
      <c r="D828" s="107" t="str">
        <f aca="false">IF($E828="","",INDEX(进销存对接!$D$4:$D$305,275)&amp;" "&amp;TEXT($B828,"YYYY年M月")&amp;" 自动结转")</f>
        <v/>
      </c>
      <c r="E828" s="67" t="str">
        <f aca="false">IF(INDEX(进销存对接!$M$4:$U$305,275,7)=0,"",INDEX(进销存对接!$M$4:$U$305,275,7))</f>
        <v/>
      </c>
      <c r="F828" s="99" t="str">
        <f aca="false">IF($E828="","",IFERROR(INDEX(科目表!$A$4:$A$81,MATCH($E828,科目表!$B$4:$B$81,0)),""))</f>
        <v/>
      </c>
      <c r="G828" s="67" t="str">
        <f aca="false">IF($E828="","",IFERROR(INDEX(科目表!$E$4:$E$81,MATCH($E828,科目表!$B$4:$B$81,0)),""))</f>
        <v/>
      </c>
      <c r="H828" s="70" t="str">
        <f aca="false">IF($E828="","",N(INDEX(进销存对接!$M$4:$U$305,275,8)))</f>
        <v/>
      </c>
      <c r="I828" s="70" t="str">
        <f aca="false">IF($E828="","",N(INDEX(进销存对接!$M$4:$U$305,275,9)))</f>
        <v/>
      </c>
      <c r="J828" s="67"/>
      <c r="K828" s="67" t="str">
        <f aca="false">IF($E828="","",INDEX(进销存对接!$D$4:$D$305,275))</f>
        <v/>
      </c>
      <c r="L828" s="107"/>
      <c r="M828" s="107"/>
      <c r="N828" s="67" t="str">
        <f aca="false">IF($E828="","","系统")</f>
        <v/>
      </c>
      <c r="O828" s="67" t="str">
        <f aca="false">IF($E828="","","自动A")</f>
        <v/>
      </c>
      <c r="P828" s="18"/>
    </row>
    <row r="829" customFormat="false" ht="18" hidden="false" customHeight="true" outlineLevel="0" collapsed="false">
      <c r="A829" s="107" t="str">
        <f aca="false">IF($E829="","",ROW()-3)</f>
        <v/>
      </c>
      <c r="B829" s="110" t="str">
        <f aca="false">IF($E829="","",INDEX(进销存对接!$C$4:$C$305,276))</f>
        <v/>
      </c>
      <c r="C829" s="67" t="str">
        <f aca="false">IF($E829="","","记-"&amp;TEXT($B829,"YYYYMM")&amp;"-进销存")</f>
        <v/>
      </c>
      <c r="D829" s="107" t="str">
        <f aca="false">IF($E829="","",INDEX(进销存对接!$D$4:$D$305,276)&amp;" "&amp;TEXT($B829,"YYYY年M月")&amp;" 自动结转")</f>
        <v/>
      </c>
      <c r="E829" s="67" t="str">
        <f aca="false">IF(INDEX(进销存对接!$M$4:$U$305,276,1)=0,"",INDEX(进销存对接!$M$4:$U$305,276,1))</f>
        <v/>
      </c>
      <c r="F829" s="99" t="str">
        <f aca="false">IF($E829="","",IFERROR(INDEX(科目表!$A$4:$A$81,MATCH($E829,科目表!$B$4:$B$81,0)),""))</f>
        <v/>
      </c>
      <c r="G829" s="67" t="str">
        <f aca="false">IF($E829="","",IFERROR(INDEX(科目表!$E$4:$E$81,MATCH($E829,科目表!$B$4:$B$81,0)),""))</f>
        <v/>
      </c>
      <c r="H829" s="70" t="str">
        <f aca="false">IF($E829="","",N(INDEX(进销存对接!$M$4:$U$305,276,2)))</f>
        <v/>
      </c>
      <c r="I829" s="70" t="str">
        <f aca="false">IF($E829="","",N(INDEX(进销存对接!$M$4:$U$305,276,3)))</f>
        <v/>
      </c>
      <c r="J829" s="67"/>
      <c r="K829" s="67" t="str">
        <f aca="false">IF($E829="","",INDEX(进销存对接!$D$4:$D$305,276))</f>
        <v/>
      </c>
      <c r="L829" s="107"/>
      <c r="M829" s="107"/>
      <c r="N829" s="67" t="str">
        <f aca="false">IF($E829="","","系统")</f>
        <v/>
      </c>
      <c r="O829" s="67" t="str">
        <f aca="false">IF($E829="","","自动A")</f>
        <v/>
      </c>
      <c r="P829" s="18"/>
    </row>
    <row r="830" customFormat="false" ht="18" hidden="false" customHeight="true" outlineLevel="0" collapsed="false">
      <c r="A830" s="107" t="str">
        <f aca="false">IF($E830="","",ROW()-3)</f>
        <v/>
      </c>
      <c r="B830" s="110" t="str">
        <f aca="false">IF($E830="","",INDEX(进销存对接!$C$4:$C$305,276))</f>
        <v/>
      </c>
      <c r="C830" s="67" t="str">
        <f aca="false">IF($E830="","","记-"&amp;TEXT($B830,"YYYYMM")&amp;"-进销存")</f>
        <v/>
      </c>
      <c r="D830" s="107" t="str">
        <f aca="false">IF($E830="","",INDEX(进销存对接!$D$4:$D$305,276)&amp;" "&amp;TEXT($B830,"YYYY年M月")&amp;" 自动结转")</f>
        <v/>
      </c>
      <c r="E830" s="67" t="str">
        <f aca="false">IF(INDEX(进销存对接!$M$4:$U$305,276,4)=0,"",INDEX(进销存对接!$M$4:$U$305,276,4))</f>
        <v/>
      </c>
      <c r="F830" s="99" t="str">
        <f aca="false">IF($E830="","",IFERROR(INDEX(科目表!$A$4:$A$81,MATCH($E830,科目表!$B$4:$B$81,0)),""))</f>
        <v/>
      </c>
      <c r="G830" s="67" t="str">
        <f aca="false">IF($E830="","",IFERROR(INDEX(科目表!$E$4:$E$81,MATCH($E830,科目表!$B$4:$B$81,0)),""))</f>
        <v/>
      </c>
      <c r="H830" s="70" t="str">
        <f aca="false">IF($E830="","",N(INDEX(进销存对接!$M$4:$U$305,276,5)))</f>
        <v/>
      </c>
      <c r="I830" s="70" t="str">
        <f aca="false">IF($E830="","",N(INDEX(进销存对接!$M$4:$U$305,276,6)))</f>
        <v/>
      </c>
      <c r="J830" s="67"/>
      <c r="K830" s="67" t="str">
        <f aca="false">IF($E830="","",INDEX(进销存对接!$D$4:$D$305,276))</f>
        <v/>
      </c>
      <c r="L830" s="107"/>
      <c r="M830" s="107"/>
      <c r="N830" s="67" t="str">
        <f aca="false">IF($E830="","","系统")</f>
        <v/>
      </c>
      <c r="O830" s="67" t="str">
        <f aca="false">IF($E830="","","自动A")</f>
        <v/>
      </c>
      <c r="P830" s="18"/>
    </row>
    <row r="831" customFormat="false" ht="18" hidden="false" customHeight="true" outlineLevel="0" collapsed="false">
      <c r="A831" s="107" t="str">
        <f aca="false">IF($E831="","",ROW()-3)</f>
        <v/>
      </c>
      <c r="B831" s="110" t="str">
        <f aca="false">IF($E831="","",INDEX(进销存对接!$C$4:$C$305,276))</f>
        <v/>
      </c>
      <c r="C831" s="67" t="str">
        <f aca="false">IF($E831="","","记-"&amp;TEXT($B831,"YYYYMM")&amp;"-进销存")</f>
        <v/>
      </c>
      <c r="D831" s="107" t="str">
        <f aca="false">IF($E831="","",INDEX(进销存对接!$D$4:$D$305,276)&amp;" "&amp;TEXT($B831,"YYYY年M月")&amp;" 自动结转")</f>
        <v/>
      </c>
      <c r="E831" s="67" t="str">
        <f aca="false">IF(INDEX(进销存对接!$M$4:$U$305,276,7)=0,"",INDEX(进销存对接!$M$4:$U$305,276,7))</f>
        <v/>
      </c>
      <c r="F831" s="99" t="str">
        <f aca="false">IF($E831="","",IFERROR(INDEX(科目表!$A$4:$A$81,MATCH($E831,科目表!$B$4:$B$81,0)),""))</f>
        <v/>
      </c>
      <c r="G831" s="67" t="str">
        <f aca="false">IF($E831="","",IFERROR(INDEX(科目表!$E$4:$E$81,MATCH($E831,科目表!$B$4:$B$81,0)),""))</f>
        <v/>
      </c>
      <c r="H831" s="70" t="str">
        <f aca="false">IF($E831="","",N(INDEX(进销存对接!$M$4:$U$305,276,8)))</f>
        <v/>
      </c>
      <c r="I831" s="70" t="str">
        <f aca="false">IF($E831="","",N(INDEX(进销存对接!$M$4:$U$305,276,9)))</f>
        <v/>
      </c>
      <c r="J831" s="67"/>
      <c r="K831" s="67" t="str">
        <f aca="false">IF($E831="","",INDEX(进销存对接!$D$4:$D$305,276))</f>
        <v/>
      </c>
      <c r="L831" s="107"/>
      <c r="M831" s="107"/>
      <c r="N831" s="67" t="str">
        <f aca="false">IF($E831="","","系统")</f>
        <v/>
      </c>
      <c r="O831" s="67" t="str">
        <f aca="false">IF($E831="","","自动A")</f>
        <v/>
      </c>
      <c r="P831" s="18"/>
    </row>
    <row r="832" customFormat="false" ht="18" hidden="false" customHeight="true" outlineLevel="0" collapsed="false">
      <c r="A832" s="107" t="str">
        <f aca="false">IF($E832="","",ROW()-3)</f>
        <v/>
      </c>
      <c r="B832" s="110" t="str">
        <f aca="false">IF($E832="","",INDEX(进销存对接!$C$4:$C$305,277))</f>
        <v/>
      </c>
      <c r="C832" s="67" t="str">
        <f aca="false">IF($E832="","","记-"&amp;TEXT($B832,"YYYYMM")&amp;"-进销存")</f>
        <v/>
      </c>
      <c r="D832" s="107" t="str">
        <f aca="false">IF($E832="","",INDEX(进销存对接!$D$4:$D$305,277)&amp;" "&amp;TEXT($B832,"YYYY年M月")&amp;" 自动结转")</f>
        <v/>
      </c>
      <c r="E832" s="67" t="str">
        <f aca="false">IF(INDEX(进销存对接!$M$4:$U$305,277,1)=0,"",INDEX(进销存对接!$M$4:$U$305,277,1))</f>
        <v/>
      </c>
      <c r="F832" s="99" t="str">
        <f aca="false">IF($E832="","",IFERROR(INDEX(科目表!$A$4:$A$81,MATCH($E832,科目表!$B$4:$B$81,0)),""))</f>
        <v/>
      </c>
      <c r="G832" s="67" t="str">
        <f aca="false">IF($E832="","",IFERROR(INDEX(科目表!$E$4:$E$81,MATCH($E832,科目表!$B$4:$B$81,0)),""))</f>
        <v/>
      </c>
      <c r="H832" s="70" t="str">
        <f aca="false">IF($E832="","",N(INDEX(进销存对接!$M$4:$U$305,277,2)))</f>
        <v/>
      </c>
      <c r="I832" s="70" t="str">
        <f aca="false">IF($E832="","",N(INDEX(进销存对接!$M$4:$U$305,277,3)))</f>
        <v/>
      </c>
      <c r="J832" s="67"/>
      <c r="K832" s="67" t="str">
        <f aca="false">IF($E832="","",INDEX(进销存对接!$D$4:$D$305,277))</f>
        <v/>
      </c>
      <c r="L832" s="107"/>
      <c r="M832" s="107"/>
      <c r="N832" s="67" t="str">
        <f aca="false">IF($E832="","","系统")</f>
        <v/>
      </c>
      <c r="O832" s="67" t="str">
        <f aca="false">IF($E832="","","自动A")</f>
        <v/>
      </c>
      <c r="P832" s="18"/>
    </row>
    <row r="833" customFormat="false" ht="18" hidden="false" customHeight="true" outlineLevel="0" collapsed="false">
      <c r="A833" s="107" t="str">
        <f aca="false">IF($E833="","",ROW()-3)</f>
        <v/>
      </c>
      <c r="B833" s="110" t="str">
        <f aca="false">IF($E833="","",INDEX(进销存对接!$C$4:$C$305,277))</f>
        <v/>
      </c>
      <c r="C833" s="67" t="str">
        <f aca="false">IF($E833="","","记-"&amp;TEXT($B833,"YYYYMM")&amp;"-进销存")</f>
        <v/>
      </c>
      <c r="D833" s="107" t="str">
        <f aca="false">IF($E833="","",INDEX(进销存对接!$D$4:$D$305,277)&amp;" "&amp;TEXT($B833,"YYYY年M月")&amp;" 自动结转")</f>
        <v/>
      </c>
      <c r="E833" s="67" t="str">
        <f aca="false">IF(INDEX(进销存对接!$M$4:$U$305,277,4)=0,"",INDEX(进销存对接!$M$4:$U$305,277,4))</f>
        <v/>
      </c>
      <c r="F833" s="99" t="str">
        <f aca="false">IF($E833="","",IFERROR(INDEX(科目表!$A$4:$A$81,MATCH($E833,科目表!$B$4:$B$81,0)),""))</f>
        <v/>
      </c>
      <c r="G833" s="67" t="str">
        <f aca="false">IF($E833="","",IFERROR(INDEX(科目表!$E$4:$E$81,MATCH($E833,科目表!$B$4:$B$81,0)),""))</f>
        <v/>
      </c>
      <c r="H833" s="70" t="str">
        <f aca="false">IF($E833="","",N(INDEX(进销存对接!$M$4:$U$305,277,5)))</f>
        <v/>
      </c>
      <c r="I833" s="70" t="str">
        <f aca="false">IF($E833="","",N(INDEX(进销存对接!$M$4:$U$305,277,6)))</f>
        <v/>
      </c>
      <c r="J833" s="67"/>
      <c r="K833" s="67" t="str">
        <f aca="false">IF($E833="","",INDEX(进销存对接!$D$4:$D$305,277))</f>
        <v/>
      </c>
      <c r="L833" s="107"/>
      <c r="M833" s="107"/>
      <c r="N833" s="67" t="str">
        <f aca="false">IF($E833="","","系统")</f>
        <v/>
      </c>
      <c r="O833" s="67" t="str">
        <f aca="false">IF($E833="","","自动A")</f>
        <v/>
      </c>
      <c r="P833" s="18"/>
    </row>
    <row r="834" customFormat="false" ht="18" hidden="false" customHeight="true" outlineLevel="0" collapsed="false">
      <c r="A834" s="107" t="str">
        <f aca="false">IF($E834="","",ROW()-3)</f>
        <v/>
      </c>
      <c r="B834" s="110" t="str">
        <f aca="false">IF($E834="","",INDEX(进销存对接!$C$4:$C$305,277))</f>
        <v/>
      </c>
      <c r="C834" s="67" t="str">
        <f aca="false">IF($E834="","","记-"&amp;TEXT($B834,"YYYYMM")&amp;"-进销存")</f>
        <v/>
      </c>
      <c r="D834" s="107" t="str">
        <f aca="false">IF($E834="","",INDEX(进销存对接!$D$4:$D$305,277)&amp;" "&amp;TEXT($B834,"YYYY年M月")&amp;" 自动结转")</f>
        <v/>
      </c>
      <c r="E834" s="67" t="str">
        <f aca="false">IF(INDEX(进销存对接!$M$4:$U$305,277,7)=0,"",INDEX(进销存对接!$M$4:$U$305,277,7))</f>
        <v/>
      </c>
      <c r="F834" s="99" t="str">
        <f aca="false">IF($E834="","",IFERROR(INDEX(科目表!$A$4:$A$81,MATCH($E834,科目表!$B$4:$B$81,0)),""))</f>
        <v/>
      </c>
      <c r="G834" s="67" t="str">
        <f aca="false">IF($E834="","",IFERROR(INDEX(科目表!$E$4:$E$81,MATCH($E834,科目表!$B$4:$B$81,0)),""))</f>
        <v/>
      </c>
      <c r="H834" s="70" t="str">
        <f aca="false">IF($E834="","",N(INDEX(进销存对接!$M$4:$U$305,277,8)))</f>
        <v/>
      </c>
      <c r="I834" s="70" t="str">
        <f aca="false">IF($E834="","",N(INDEX(进销存对接!$M$4:$U$305,277,9)))</f>
        <v/>
      </c>
      <c r="J834" s="67"/>
      <c r="K834" s="67" t="str">
        <f aca="false">IF($E834="","",INDEX(进销存对接!$D$4:$D$305,277))</f>
        <v/>
      </c>
      <c r="L834" s="107"/>
      <c r="M834" s="107"/>
      <c r="N834" s="67" t="str">
        <f aca="false">IF($E834="","","系统")</f>
        <v/>
      </c>
      <c r="O834" s="67" t="str">
        <f aca="false">IF($E834="","","自动A")</f>
        <v/>
      </c>
      <c r="P834" s="18"/>
    </row>
    <row r="835" customFormat="false" ht="18" hidden="false" customHeight="true" outlineLevel="0" collapsed="false">
      <c r="A835" s="107" t="str">
        <f aca="false">IF($E835="","",ROW()-3)</f>
        <v/>
      </c>
      <c r="B835" s="110" t="str">
        <f aca="false">IF($E835="","",INDEX(进销存对接!$C$4:$C$305,278))</f>
        <v/>
      </c>
      <c r="C835" s="67" t="str">
        <f aca="false">IF($E835="","","记-"&amp;TEXT($B835,"YYYYMM")&amp;"-进销存")</f>
        <v/>
      </c>
      <c r="D835" s="107" t="str">
        <f aca="false">IF($E835="","",INDEX(进销存对接!$D$4:$D$305,278)&amp;" "&amp;TEXT($B835,"YYYY年M月")&amp;" 自动结转")</f>
        <v/>
      </c>
      <c r="E835" s="67" t="str">
        <f aca="false">IF(INDEX(进销存对接!$M$4:$U$305,278,1)=0,"",INDEX(进销存对接!$M$4:$U$305,278,1))</f>
        <v/>
      </c>
      <c r="F835" s="99" t="str">
        <f aca="false">IF($E835="","",IFERROR(INDEX(科目表!$A$4:$A$81,MATCH($E835,科目表!$B$4:$B$81,0)),""))</f>
        <v/>
      </c>
      <c r="G835" s="67" t="str">
        <f aca="false">IF($E835="","",IFERROR(INDEX(科目表!$E$4:$E$81,MATCH($E835,科目表!$B$4:$B$81,0)),""))</f>
        <v/>
      </c>
      <c r="H835" s="70" t="str">
        <f aca="false">IF($E835="","",N(INDEX(进销存对接!$M$4:$U$305,278,2)))</f>
        <v/>
      </c>
      <c r="I835" s="70" t="str">
        <f aca="false">IF($E835="","",N(INDEX(进销存对接!$M$4:$U$305,278,3)))</f>
        <v/>
      </c>
      <c r="J835" s="67"/>
      <c r="K835" s="67" t="str">
        <f aca="false">IF($E835="","",INDEX(进销存对接!$D$4:$D$305,278))</f>
        <v/>
      </c>
      <c r="L835" s="107"/>
      <c r="M835" s="107"/>
      <c r="N835" s="67" t="str">
        <f aca="false">IF($E835="","","系统")</f>
        <v/>
      </c>
      <c r="O835" s="67" t="str">
        <f aca="false">IF($E835="","","自动A")</f>
        <v/>
      </c>
      <c r="P835" s="18"/>
    </row>
    <row r="836" customFormat="false" ht="18" hidden="false" customHeight="true" outlineLevel="0" collapsed="false">
      <c r="A836" s="107" t="str">
        <f aca="false">IF($E836="","",ROW()-3)</f>
        <v/>
      </c>
      <c r="B836" s="110" t="str">
        <f aca="false">IF($E836="","",INDEX(进销存对接!$C$4:$C$305,278))</f>
        <v/>
      </c>
      <c r="C836" s="67" t="str">
        <f aca="false">IF($E836="","","记-"&amp;TEXT($B836,"YYYYMM")&amp;"-进销存")</f>
        <v/>
      </c>
      <c r="D836" s="107" t="str">
        <f aca="false">IF($E836="","",INDEX(进销存对接!$D$4:$D$305,278)&amp;" "&amp;TEXT($B836,"YYYY年M月")&amp;" 自动结转")</f>
        <v/>
      </c>
      <c r="E836" s="67" t="str">
        <f aca="false">IF(INDEX(进销存对接!$M$4:$U$305,278,4)=0,"",INDEX(进销存对接!$M$4:$U$305,278,4))</f>
        <v/>
      </c>
      <c r="F836" s="99" t="str">
        <f aca="false">IF($E836="","",IFERROR(INDEX(科目表!$A$4:$A$81,MATCH($E836,科目表!$B$4:$B$81,0)),""))</f>
        <v/>
      </c>
      <c r="G836" s="67" t="str">
        <f aca="false">IF($E836="","",IFERROR(INDEX(科目表!$E$4:$E$81,MATCH($E836,科目表!$B$4:$B$81,0)),""))</f>
        <v/>
      </c>
      <c r="H836" s="70" t="str">
        <f aca="false">IF($E836="","",N(INDEX(进销存对接!$M$4:$U$305,278,5)))</f>
        <v/>
      </c>
      <c r="I836" s="70" t="str">
        <f aca="false">IF($E836="","",N(INDEX(进销存对接!$M$4:$U$305,278,6)))</f>
        <v/>
      </c>
      <c r="J836" s="67"/>
      <c r="K836" s="67" t="str">
        <f aca="false">IF($E836="","",INDEX(进销存对接!$D$4:$D$305,278))</f>
        <v/>
      </c>
      <c r="L836" s="107"/>
      <c r="M836" s="107"/>
      <c r="N836" s="67" t="str">
        <f aca="false">IF($E836="","","系统")</f>
        <v/>
      </c>
      <c r="O836" s="67" t="str">
        <f aca="false">IF($E836="","","自动A")</f>
        <v/>
      </c>
      <c r="P836" s="18"/>
    </row>
    <row r="837" customFormat="false" ht="18" hidden="false" customHeight="true" outlineLevel="0" collapsed="false">
      <c r="A837" s="107" t="str">
        <f aca="false">IF($E837="","",ROW()-3)</f>
        <v/>
      </c>
      <c r="B837" s="110" t="str">
        <f aca="false">IF($E837="","",INDEX(进销存对接!$C$4:$C$305,278))</f>
        <v/>
      </c>
      <c r="C837" s="67" t="str">
        <f aca="false">IF($E837="","","记-"&amp;TEXT($B837,"YYYYMM")&amp;"-进销存")</f>
        <v/>
      </c>
      <c r="D837" s="107" t="str">
        <f aca="false">IF($E837="","",INDEX(进销存对接!$D$4:$D$305,278)&amp;" "&amp;TEXT($B837,"YYYY年M月")&amp;" 自动结转")</f>
        <v/>
      </c>
      <c r="E837" s="67" t="str">
        <f aca="false">IF(INDEX(进销存对接!$M$4:$U$305,278,7)=0,"",INDEX(进销存对接!$M$4:$U$305,278,7))</f>
        <v/>
      </c>
      <c r="F837" s="99" t="str">
        <f aca="false">IF($E837="","",IFERROR(INDEX(科目表!$A$4:$A$81,MATCH($E837,科目表!$B$4:$B$81,0)),""))</f>
        <v/>
      </c>
      <c r="G837" s="67" t="str">
        <f aca="false">IF($E837="","",IFERROR(INDEX(科目表!$E$4:$E$81,MATCH($E837,科目表!$B$4:$B$81,0)),""))</f>
        <v/>
      </c>
      <c r="H837" s="70" t="str">
        <f aca="false">IF($E837="","",N(INDEX(进销存对接!$M$4:$U$305,278,8)))</f>
        <v/>
      </c>
      <c r="I837" s="70" t="str">
        <f aca="false">IF($E837="","",N(INDEX(进销存对接!$M$4:$U$305,278,9)))</f>
        <v/>
      </c>
      <c r="J837" s="67"/>
      <c r="K837" s="67" t="str">
        <f aca="false">IF($E837="","",INDEX(进销存对接!$D$4:$D$305,278))</f>
        <v/>
      </c>
      <c r="L837" s="107"/>
      <c r="M837" s="107"/>
      <c r="N837" s="67" t="str">
        <f aca="false">IF($E837="","","系统")</f>
        <v/>
      </c>
      <c r="O837" s="67" t="str">
        <f aca="false">IF($E837="","","自动A")</f>
        <v/>
      </c>
      <c r="P837" s="18"/>
    </row>
    <row r="838" customFormat="false" ht="18" hidden="false" customHeight="true" outlineLevel="0" collapsed="false">
      <c r="A838" s="107" t="str">
        <f aca="false">IF($E838="","",ROW()-3)</f>
        <v/>
      </c>
      <c r="B838" s="110" t="str">
        <f aca="false">IF($E838="","",INDEX(进销存对接!$C$4:$C$305,279))</f>
        <v/>
      </c>
      <c r="C838" s="67" t="str">
        <f aca="false">IF($E838="","","记-"&amp;TEXT($B838,"YYYYMM")&amp;"-进销存")</f>
        <v/>
      </c>
      <c r="D838" s="107" t="str">
        <f aca="false">IF($E838="","",INDEX(进销存对接!$D$4:$D$305,279)&amp;" "&amp;TEXT($B838,"YYYY年M月")&amp;" 自动结转")</f>
        <v/>
      </c>
      <c r="E838" s="67" t="str">
        <f aca="false">IF(INDEX(进销存对接!$M$4:$U$305,279,1)=0,"",INDEX(进销存对接!$M$4:$U$305,279,1))</f>
        <v/>
      </c>
      <c r="F838" s="99" t="str">
        <f aca="false">IF($E838="","",IFERROR(INDEX(科目表!$A$4:$A$81,MATCH($E838,科目表!$B$4:$B$81,0)),""))</f>
        <v/>
      </c>
      <c r="G838" s="67" t="str">
        <f aca="false">IF($E838="","",IFERROR(INDEX(科目表!$E$4:$E$81,MATCH($E838,科目表!$B$4:$B$81,0)),""))</f>
        <v/>
      </c>
      <c r="H838" s="70" t="str">
        <f aca="false">IF($E838="","",N(INDEX(进销存对接!$M$4:$U$305,279,2)))</f>
        <v/>
      </c>
      <c r="I838" s="70" t="str">
        <f aca="false">IF($E838="","",N(INDEX(进销存对接!$M$4:$U$305,279,3)))</f>
        <v/>
      </c>
      <c r="J838" s="67"/>
      <c r="K838" s="67" t="str">
        <f aca="false">IF($E838="","",INDEX(进销存对接!$D$4:$D$305,279))</f>
        <v/>
      </c>
      <c r="L838" s="107"/>
      <c r="M838" s="107"/>
      <c r="N838" s="67" t="str">
        <f aca="false">IF($E838="","","系统")</f>
        <v/>
      </c>
      <c r="O838" s="67" t="str">
        <f aca="false">IF($E838="","","自动A")</f>
        <v/>
      </c>
      <c r="P838" s="18"/>
    </row>
    <row r="839" customFormat="false" ht="18" hidden="false" customHeight="true" outlineLevel="0" collapsed="false">
      <c r="A839" s="107" t="str">
        <f aca="false">IF($E839="","",ROW()-3)</f>
        <v/>
      </c>
      <c r="B839" s="110" t="str">
        <f aca="false">IF($E839="","",INDEX(进销存对接!$C$4:$C$305,279))</f>
        <v/>
      </c>
      <c r="C839" s="67" t="str">
        <f aca="false">IF($E839="","","记-"&amp;TEXT($B839,"YYYYMM")&amp;"-进销存")</f>
        <v/>
      </c>
      <c r="D839" s="107" t="str">
        <f aca="false">IF($E839="","",INDEX(进销存对接!$D$4:$D$305,279)&amp;" "&amp;TEXT($B839,"YYYY年M月")&amp;" 自动结转")</f>
        <v/>
      </c>
      <c r="E839" s="67" t="str">
        <f aca="false">IF(INDEX(进销存对接!$M$4:$U$305,279,4)=0,"",INDEX(进销存对接!$M$4:$U$305,279,4))</f>
        <v/>
      </c>
      <c r="F839" s="99" t="str">
        <f aca="false">IF($E839="","",IFERROR(INDEX(科目表!$A$4:$A$81,MATCH($E839,科目表!$B$4:$B$81,0)),""))</f>
        <v/>
      </c>
      <c r="G839" s="67" t="str">
        <f aca="false">IF($E839="","",IFERROR(INDEX(科目表!$E$4:$E$81,MATCH($E839,科目表!$B$4:$B$81,0)),""))</f>
        <v/>
      </c>
      <c r="H839" s="70" t="str">
        <f aca="false">IF($E839="","",N(INDEX(进销存对接!$M$4:$U$305,279,5)))</f>
        <v/>
      </c>
      <c r="I839" s="70" t="str">
        <f aca="false">IF($E839="","",N(INDEX(进销存对接!$M$4:$U$305,279,6)))</f>
        <v/>
      </c>
      <c r="J839" s="67"/>
      <c r="K839" s="67" t="str">
        <f aca="false">IF($E839="","",INDEX(进销存对接!$D$4:$D$305,279))</f>
        <v/>
      </c>
      <c r="L839" s="107"/>
      <c r="M839" s="107"/>
      <c r="N839" s="67" t="str">
        <f aca="false">IF($E839="","","系统")</f>
        <v/>
      </c>
      <c r="O839" s="67" t="str">
        <f aca="false">IF($E839="","","自动A")</f>
        <v/>
      </c>
      <c r="P839" s="18"/>
    </row>
    <row r="840" customFormat="false" ht="18" hidden="false" customHeight="true" outlineLevel="0" collapsed="false">
      <c r="A840" s="107" t="str">
        <f aca="false">IF($E840="","",ROW()-3)</f>
        <v/>
      </c>
      <c r="B840" s="110" t="str">
        <f aca="false">IF($E840="","",INDEX(进销存对接!$C$4:$C$305,279))</f>
        <v/>
      </c>
      <c r="C840" s="67" t="str">
        <f aca="false">IF($E840="","","记-"&amp;TEXT($B840,"YYYYMM")&amp;"-进销存")</f>
        <v/>
      </c>
      <c r="D840" s="107" t="str">
        <f aca="false">IF($E840="","",INDEX(进销存对接!$D$4:$D$305,279)&amp;" "&amp;TEXT($B840,"YYYY年M月")&amp;" 自动结转")</f>
        <v/>
      </c>
      <c r="E840" s="67" t="str">
        <f aca="false">IF(INDEX(进销存对接!$M$4:$U$305,279,7)=0,"",INDEX(进销存对接!$M$4:$U$305,279,7))</f>
        <v/>
      </c>
      <c r="F840" s="99" t="str">
        <f aca="false">IF($E840="","",IFERROR(INDEX(科目表!$A$4:$A$81,MATCH($E840,科目表!$B$4:$B$81,0)),""))</f>
        <v/>
      </c>
      <c r="G840" s="67" t="str">
        <f aca="false">IF($E840="","",IFERROR(INDEX(科目表!$E$4:$E$81,MATCH($E840,科目表!$B$4:$B$81,0)),""))</f>
        <v/>
      </c>
      <c r="H840" s="70" t="str">
        <f aca="false">IF($E840="","",N(INDEX(进销存对接!$M$4:$U$305,279,8)))</f>
        <v/>
      </c>
      <c r="I840" s="70" t="str">
        <f aca="false">IF($E840="","",N(INDEX(进销存对接!$M$4:$U$305,279,9)))</f>
        <v/>
      </c>
      <c r="J840" s="67"/>
      <c r="K840" s="67" t="str">
        <f aca="false">IF($E840="","",INDEX(进销存对接!$D$4:$D$305,279))</f>
        <v/>
      </c>
      <c r="L840" s="107"/>
      <c r="M840" s="107"/>
      <c r="N840" s="67" t="str">
        <f aca="false">IF($E840="","","系统")</f>
        <v/>
      </c>
      <c r="O840" s="67" t="str">
        <f aca="false">IF($E840="","","自动A")</f>
        <v/>
      </c>
      <c r="P840" s="18"/>
    </row>
    <row r="841" customFormat="false" ht="18" hidden="false" customHeight="true" outlineLevel="0" collapsed="false">
      <c r="A841" s="107" t="str">
        <f aca="false">IF($E841="","",ROW()-3)</f>
        <v/>
      </c>
      <c r="B841" s="110" t="str">
        <f aca="false">IF($E841="","",INDEX(进销存对接!$C$4:$C$305,280))</f>
        <v/>
      </c>
      <c r="C841" s="67" t="str">
        <f aca="false">IF($E841="","","记-"&amp;TEXT($B841,"YYYYMM")&amp;"-进销存")</f>
        <v/>
      </c>
      <c r="D841" s="107" t="str">
        <f aca="false">IF($E841="","",INDEX(进销存对接!$D$4:$D$305,280)&amp;" "&amp;TEXT($B841,"YYYY年M月")&amp;" 自动结转")</f>
        <v/>
      </c>
      <c r="E841" s="67" t="str">
        <f aca="false">IF(INDEX(进销存对接!$M$4:$U$305,280,1)=0,"",INDEX(进销存对接!$M$4:$U$305,280,1))</f>
        <v/>
      </c>
      <c r="F841" s="99" t="str">
        <f aca="false">IF($E841="","",IFERROR(INDEX(科目表!$A$4:$A$81,MATCH($E841,科目表!$B$4:$B$81,0)),""))</f>
        <v/>
      </c>
      <c r="G841" s="67" t="str">
        <f aca="false">IF($E841="","",IFERROR(INDEX(科目表!$E$4:$E$81,MATCH($E841,科目表!$B$4:$B$81,0)),""))</f>
        <v/>
      </c>
      <c r="H841" s="70" t="str">
        <f aca="false">IF($E841="","",N(INDEX(进销存对接!$M$4:$U$305,280,2)))</f>
        <v/>
      </c>
      <c r="I841" s="70" t="str">
        <f aca="false">IF($E841="","",N(INDEX(进销存对接!$M$4:$U$305,280,3)))</f>
        <v/>
      </c>
      <c r="J841" s="67"/>
      <c r="K841" s="67" t="str">
        <f aca="false">IF($E841="","",INDEX(进销存对接!$D$4:$D$305,280))</f>
        <v/>
      </c>
      <c r="L841" s="107"/>
      <c r="M841" s="107"/>
      <c r="N841" s="67" t="str">
        <f aca="false">IF($E841="","","系统")</f>
        <v/>
      </c>
      <c r="O841" s="67" t="str">
        <f aca="false">IF($E841="","","自动A")</f>
        <v/>
      </c>
      <c r="P841" s="18"/>
    </row>
    <row r="842" customFormat="false" ht="18" hidden="false" customHeight="true" outlineLevel="0" collapsed="false">
      <c r="A842" s="107" t="str">
        <f aca="false">IF($E842="","",ROW()-3)</f>
        <v/>
      </c>
      <c r="B842" s="110" t="str">
        <f aca="false">IF($E842="","",INDEX(进销存对接!$C$4:$C$305,280))</f>
        <v/>
      </c>
      <c r="C842" s="67" t="str">
        <f aca="false">IF($E842="","","记-"&amp;TEXT($B842,"YYYYMM")&amp;"-进销存")</f>
        <v/>
      </c>
      <c r="D842" s="107" t="str">
        <f aca="false">IF($E842="","",INDEX(进销存对接!$D$4:$D$305,280)&amp;" "&amp;TEXT($B842,"YYYY年M月")&amp;" 自动结转")</f>
        <v/>
      </c>
      <c r="E842" s="67" t="str">
        <f aca="false">IF(INDEX(进销存对接!$M$4:$U$305,280,4)=0,"",INDEX(进销存对接!$M$4:$U$305,280,4))</f>
        <v/>
      </c>
      <c r="F842" s="99" t="str">
        <f aca="false">IF($E842="","",IFERROR(INDEX(科目表!$A$4:$A$81,MATCH($E842,科目表!$B$4:$B$81,0)),""))</f>
        <v/>
      </c>
      <c r="G842" s="67" t="str">
        <f aca="false">IF($E842="","",IFERROR(INDEX(科目表!$E$4:$E$81,MATCH($E842,科目表!$B$4:$B$81,0)),""))</f>
        <v/>
      </c>
      <c r="H842" s="70" t="str">
        <f aca="false">IF($E842="","",N(INDEX(进销存对接!$M$4:$U$305,280,5)))</f>
        <v/>
      </c>
      <c r="I842" s="70" t="str">
        <f aca="false">IF($E842="","",N(INDEX(进销存对接!$M$4:$U$305,280,6)))</f>
        <v/>
      </c>
      <c r="J842" s="67"/>
      <c r="K842" s="67" t="str">
        <f aca="false">IF($E842="","",INDEX(进销存对接!$D$4:$D$305,280))</f>
        <v/>
      </c>
      <c r="L842" s="107"/>
      <c r="M842" s="107"/>
      <c r="N842" s="67" t="str">
        <f aca="false">IF($E842="","","系统")</f>
        <v/>
      </c>
      <c r="O842" s="67" t="str">
        <f aca="false">IF($E842="","","自动A")</f>
        <v/>
      </c>
      <c r="P842" s="18"/>
    </row>
    <row r="843" customFormat="false" ht="18" hidden="false" customHeight="true" outlineLevel="0" collapsed="false">
      <c r="A843" s="107" t="str">
        <f aca="false">IF($E843="","",ROW()-3)</f>
        <v/>
      </c>
      <c r="B843" s="110" t="str">
        <f aca="false">IF($E843="","",INDEX(进销存对接!$C$4:$C$305,280))</f>
        <v/>
      </c>
      <c r="C843" s="67" t="str">
        <f aca="false">IF($E843="","","记-"&amp;TEXT($B843,"YYYYMM")&amp;"-进销存")</f>
        <v/>
      </c>
      <c r="D843" s="107" t="str">
        <f aca="false">IF($E843="","",INDEX(进销存对接!$D$4:$D$305,280)&amp;" "&amp;TEXT($B843,"YYYY年M月")&amp;" 自动结转")</f>
        <v/>
      </c>
      <c r="E843" s="67" t="str">
        <f aca="false">IF(INDEX(进销存对接!$M$4:$U$305,280,7)=0,"",INDEX(进销存对接!$M$4:$U$305,280,7))</f>
        <v/>
      </c>
      <c r="F843" s="99" t="str">
        <f aca="false">IF($E843="","",IFERROR(INDEX(科目表!$A$4:$A$81,MATCH($E843,科目表!$B$4:$B$81,0)),""))</f>
        <v/>
      </c>
      <c r="G843" s="67" t="str">
        <f aca="false">IF($E843="","",IFERROR(INDEX(科目表!$E$4:$E$81,MATCH($E843,科目表!$B$4:$B$81,0)),""))</f>
        <v/>
      </c>
      <c r="H843" s="70" t="str">
        <f aca="false">IF($E843="","",N(INDEX(进销存对接!$M$4:$U$305,280,8)))</f>
        <v/>
      </c>
      <c r="I843" s="70" t="str">
        <f aca="false">IF($E843="","",N(INDEX(进销存对接!$M$4:$U$305,280,9)))</f>
        <v/>
      </c>
      <c r="J843" s="67"/>
      <c r="K843" s="67" t="str">
        <f aca="false">IF($E843="","",INDEX(进销存对接!$D$4:$D$305,280))</f>
        <v/>
      </c>
      <c r="L843" s="107"/>
      <c r="M843" s="107"/>
      <c r="N843" s="67" t="str">
        <f aca="false">IF($E843="","","系统")</f>
        <v/>
      </c>
      <c r="O843" s="67" t="str">
        <f aca="false">IF($E843="","","自动A")</f>
        <v/>
      </c>
      <c r="P843" s="18"/>
    </row>
    <row r="844" customFormat="false" ht="18" hidden="false" customHeight="true" outlineLevel="0" collapsed="false">
      <c r="A844" s="107" t="str">
        <f aca="false">IF($E844="","",ROW()-3)</f>
        <v/>
      </c>
      <c r="B844" s="110" t="str">
        <f aca="false">IF($E844="","",INDEX(进销存对接!$C$4:$C$305,281))</f>
        <v/>
      </c>
      <c r="C844" s="67" t="str">
        <f aca="false">IF($E844="","","记-"&amp;TEXT($B844,"YYYYMM")&amp;"-进销存")</f>
        <v/>
      </c>
      <c r="D844" s="107" t="str">
        <f aca="false">IF($E844="","",INDEX(进销存对接!$D$4:$D$305,281)&amp;" "&amp;TEXT($B844,"YYYY年M月")&amp;" 自动结转")</f>
        <v/>
      </c>
      <c r="E844" s="67" t="str">
        <f aca="false">IF(INDEX(进销存对接!$M$4:$U$305,281,1)=0,"",INDEX(进销存对接!$M$4:$U$305,281,1))</f>
        <v/>
      </c>
      <c r="F844" s="99" t="str">
        <f aca="false">IF($E844="","",IFERROR(INDEX(科目表!$A$4:$A$81,MATCH($E844,科目表!$B$4:$B$81,0)),""))</f>
        <v/>
      </c>
      <c r="G844" s="67" t="str">
        <f aca="false">IF($E844="","",IFERROR(INDEX(科目表!$E$4:$E$81,MATCH($E844,科目表!$B$4:$B$81,0)),""))</f>
        <v/>
      </c>
      <c r="H844" s="70" t="str">
        <f aca="false">IF($E844="","",N(INDEX(进销存对接!$M$4:$U$305,281,2)))</f>
        <v/>
      </c>
      <c r="I844" s="70" t="str">
        <f aca="false">IF($E844="","",N(INDEX(进销存对接!$M$4:$U$305,281,3)))</f>
        <v/>
      </c>
      <c r="J844" s="67"/>
      <c r="K844" s="67" t="str">
        <f aca="false">IF($E844="","",INDEX(进销存对接!$D$4:$D$305,281))</f>
        <v/>
      </c>
      <c r="L844" s="107"/>
      <c r="M844" s="107"/>
      <c r="N844" s="67" t="str">
        <f aca="false">IF($E844="","","系统")</f>
        <v/>
      </c>
      <c r="O844" s="67" t="str">
        <f aca="false">IF($E844="","","自动A")</f>
        <v/>
      </c>
      <c r="P844" s="18"/>
    </row>
    <row r="845" customFormat="false" ht="18" hidden="false" customHeight="true" outlineLevel="0" collapsed="false">
      <c r="A845" s="107" t="str">
        <f aca="false">IF($E845="","",ROW()-3)</f>
        <v/>
      </c>
      <c r="B845" s="110" t="str">
        <f aca="false">IF($E845="","",INDEX(进销存对接!$C$4:$C$305,281))</f>
        <v/>
      </c>
      <c r="C845" s="67" t="str">
        <f aca="false">IF($E845="","","记-"&amp;TEXT($B845,"YYYYMM")&amp;"-进销存")</f>
        <v/>
      </c>
      <c r="D845" s="107" t="str">
        <f aca="false">IF($E845="","",INDEX(进销存对接!$D$4:$D$305,281)&amp;" "&amp;TEXT($B845,"YYYY年M月")&amp;" 自动结转")</f>
        <v/>
      </c>
      <c r="E845" s="67" t="str">
        <f aca="false">IF(INDEX(进销存对接!$M$4:$U$305,281,4)=0,"",INDEX(进销存对接!$M$4:$U$305,281,4))</f>
        <v/>
      </c>
      <c r="F845" s="99" t="str">
        <f aca="false">IF($E845="","",IFERROR(INDEX(科目表!$A$4:$A$81,MATCH($E845,科目表!$B$4:$B$81,0)),""))</f>
        <v/>
      </c>
      <c r="G845" s="67" t="str">
        <f aca="false">IF($E845="","",IFERROR(INDEX(科目表!$E$4:$E$81,MATCH($E845,科目表!$B$4:$B$81,0)),""))</f>
        <v/>
      </c>
      <c r="H845" s="70" t="str">
        <f aca="false">IF($E845="","",N(INDEX(进销存对接!$M$4:$U$305,281,5)))</f>
        <v/>
      </c>
      <c r="I845" s="70" t="str">
        <f aca="false">IF($E845="","",N(INDEX(进销存对接!$M$4:$U$305,281,6)))</f>
        <v/>
      </c>
      <c r="J845" s="67"/>
      <c r="K845" s="67" t="str">
        <f aca="false">IF($E845="","",INDEX(进销存对接!$D$4:$D$305,281))</f>
        <v/>
      </c>
      <c r="L845" s="107"/>
      <c r="M845" s="107"/>
      <c r="N845" s="67" t="str">
        <f aca="false">IF($E845="","","系统")</f>
        <v/>
      </c>
      <c r="O845" s="67" t="str">
        <f aca="false">IF($E845="","","自动A")</f>
        <v/>
      </c>
      <c r="P845" s="18"/>
    </row>
    <row r="846" customFormat="false" ht="18" hidden="false" customHeight="true" outlineLevel="0" collapsed="false">
      <c r="A846" s="107" t="str">
        <f aca="false">IF($E846="","",ROW()-3)</f>
        <v/>
      </c>
      <c r="B846" s="110" t="str">
        <f aca="false">IF($E846="","",INDEX(进销存对接!$C$4:$C$305,281))</f>
        <v/>
      </c>
      <c r="C846" s="67" t="str">
        <f aca="false">IF($E846="","","记-"&amp;TEXT($B846,"YYYYMM")&amp;"-进销存")</f>
        <v/>
      </c>
      <c r="D846" s="107" t="str">
        <f aca="false">IF($E846="","",INDEX(进销存对接!$D$4:$D$305,281)&amp;" "&amp;TEXT($B846,"YYYY年M月")&amp;" 自动结转")</f>
        <v/>
      </c>
      <c r="E846" s="67" t="str">
        <f aca="false">IF(INDEX(进销存对接!$M$4:$U$305,281,7)=0,"",INDEX(进销存对接!$M$4:$U$305,281,7))</f>
        <v/>
      </c>
      <c r="F846" s="99" t="str">
        <f aca="false">IF($E846="","",IFERROR(INDEX(科目表!$A$4:$A$81,MATCH($E846,科目表!$B$4:$B$81,0)),""))</f>
        <v/>
      </c>
      <c r="G846" s="67" t="str">
        <f aca="false">IF($E846="","",IFERROR(INDEX(科目表!$E$4:$E$81,MATCH($E846,科目表!$B$4:$B$81,0)),""))</f>
        <v/>
      </c>
      <c r="H846" s="70" t="str">
        <f aca="false">IF($E846="","",N(INDEX(进销存对接!$M$4:$U$305,281,8)))</f>
        <v/>
      </c>
      <c r="I846" s="70" t="str">
        <f aca="false">IF($E846="","",N(INDEX(进销存对接!$M$4:$U$305,281,9)))</f>
        <v/>
      </c>
      <c r="J846" s="67"/>
      <c r="K846" s="67" t="str">
        <f aca="false">IF($E846="","",INDEX(进销存对接!$D$4:$D$305,281))</f>
        <v/>
      </c>
      <c r="L846" s="107"/>
      <c r="M846" s="107"/>
      <c r="N846" s="67" t="str">
        <f aca="false">IF($E846="","","系统")</f>
        <v/>
      </c>
      <c r="O846" s="67" t="str">
        <f aca="false">IF($E846="","","自动A")</f>
        <v/>
      </c>
      <c r="P846" s="18"/>
    </row>
    <row r="847" customFormat="false" ht="18" hidden="false" customHeight="true" outlineLevel="0" collapsed="false">
      <c r="A847" s="107" t="str">
        <f aca="false">IF($E847="","",ROW()-3)</f>
        <v/>
      </c>
      <c r="B847" s="110" t="str">
        <f aca="false">IF($E847="","",INDEX(进销存对接!$C$4:$C$305,282))</f>
        <v/>
      </c>
      <c r="C847" s="67" t="str">
        <f aca="false">IF($E847="","","记-"&amp;TEXT($B847,"YYYYMM")&amp;"-进销存")</f>
        <v/>
      </c>
      <c r="D847" s="107" t="str">
        <f aca="false">IF($E847="","",INDEX(进销存对接!$D$4:$D$305,282)&amp;" "&amp;TEXT($B847,"YYYY年M月")&amp;" 自动结转")</f>
        <v/>
      </c>
      <c r="E847" s="67" t="str">
        <f aca="false">IF(INDEX(进销存对接!$M$4:$U$305,282,1)=0,"",INDEX(进销存对接!$M$4:$U$305,282,1))</f>
        <v/>
      </c>
      <c r="F847" s="99" t="str">
        <f aca="false">IF($E847="","",IFERROR(INDEX(科目表!$A$4:$A$81,MATCH($E847,科目表!$B$4:$B$81,0)),""))</f>
        <v/>
      </c>
      <c r="G847" s="67" t="str">
        <f aca="false">IF($E847="","",IFERROR(INDEX(科目表!$E$4:$E$81,MATCH($E847,科目表!$B$4:$B$81,0)),""))</f>
        <v/>
      </c>
      <c r="H847" s="70" t="str">
        <f aca="false">IF($E847="","",N(INDEX(进销存对接!$M$4:$U$305,282,2)))</f>
        <v/>
      </c>
      <c r="I847" s="70" t="str">
        <f aca="false">IF($E847="","",N(INDEX(进销存对接!$M$4:$U$305,282,3)))</f>
        <v/>
      </c>
      <c r="J847" s="67"/>
      <c r="K847" s="67" t="str">
        <f aca="false">IF($E847="","",INDEX(进销存对接!$D$4:$D$305,282))</f>
        <v/>
      </c>
      <c r="L847" s="107"/>
      <c r="M847" s="107"/>
      <c r="N847" s="67" t="str">
        <f aca="false">IF($E847="","","系统")</f>
        <v/>
      </c>
      <c r="O847" s="67" t="str">
        <f aca="false">IF($E847="","","自动A")</f>
        <v/>
      </c>
      <c r="P847" s="18"/>
    </row>
    <row r="848" customFormat="false" ht="18" hidden="false" customHeight="true" outlineLevel="0" collapsed="false">
      <c r="A848" s="107" t="str">
        <f aca="false">IF($E848="","",ROW()-3)</f>
        <v/>
      </c>
      <c r="B848" s="110" t="str">
        <f aca="false">IF($E848="","",INDEX(进销存对接!$C$4:$C$305,282))</f>
        <v/>
      </c>
      <c r="C848" s="67" t="str">
        <f aca="false">IF($E848="","","记-"&amp;TEXT($B848,"YYYYMM")&amp;"-进销存")</f>
        <v/>
      </c>
      <c r="D848" s="107" t="str">
        <f aca="false">IF($E848="","",INDEX(进销存对接!$D$4:$D$305,282)&amp;" "&amp;TEXT($B848,"YYYY年M月")&amp;" 自动结转")</f>
        <v/>
      </c>
      <c r="E848" s="67" t="str">
        <f aca="false">IF(INDEX(进销存对接!$M$4:$U$305,282,4)=0,"",INDEX(进销存对接!$M$4:$U$305,282,4))</f>
        <v/>
      </c>
      <c r="F848" s="99" t="str">
        <f aca="false">IF($E848="","",IFERROR(INDEX(科目表!$A$4:$A$81,MATCH($E848,科目表!$B$4:$B$81,0)),""))</f>
        <v/>
      </c>
      <c r="G848" s="67" t="str">
        <f aca="false">IF($E848="","",IFERROR(INDEX(科目表!$E$4:$E$81,MATCH($E848,科目表!$B$4:$B$81,0)),""))</f>
        <v/>
      </c>
      <c r="H848" s="70" t="str">
        <f aca="false">IF($E848="","",N(INDEX(进销存对接!$M$4:$U$305,282,5)))</f>
        <v/>
      </c>
      <c r="I848" s="70" t="str">
        <f aca="false">IF($E848="","",N(INDEX(进销存对接!$M$4:$U$305,282,6)))</f>
        <v/>
      </c>
      <c r="J848" s="67"/>
      <c r="K848" s="67" t="str">
        <f aca="false">IF($E848="","",INDEX(进销存对接!$D$4:$D$305,282))</f>
        <v/>
      </c>
      <c r="L848" s="107"/>
      <c r="M848" s="107"/>
      <c r="N848" s="67" t="str">
        <f aca="false">IF($E848="","","系统")</f>
        <v/>
      </c>
      <c r="O848" s="67" t="str">
        <f aca="false">IF($E848="","","自动A")</f>
        <v/>
      </c>
      <c r="P848" s="18"/>
    </row>
    <row r="849" customFormat="false" ht="18" hidden="false" customHeight="true" outlineLevel="0" collapsed="false">
      <c r="A849" s="107" t="str">
        <f aca="false">IF($E849="","",ROW()-3)</f>
        <v/>
      </c>
      <c r="B849" s="110" t="str">
        <f aca="false">IF($E849="","",INDEX(进销存对接!$C$4:$C$305,282))</f>
        <v/>
      </c>
      <c r="C849" s="67" t="str">
        <f aca="false">IF($E849="","","记-"&amp;TEXT($B849,"YYYYMM")&amp;"-进销存")</f>
        <v/>
      </c>
      <c r="D849" s="107" t="str">
        <f aca="false">IF($E849="","",INDEX(进销存对接!$D$4:$D$305,282)&amp;" "&amp;TEXT($B849,"YYYY年M月")&amp;" 自动结转")</f>
        <v/>
      </c>
      <c r="E849" s="67" t="str">
        <f aca="false">IF(INDEX(进销存对接!$M$4:$U$305,282,7)=0,"",INDEX(进销存对接!$M$4:$U$305,282,7))</f>
        <v/>
      </c>
      <c r="F849" s="99" t="str">
        <f aca="false">IF($E849="","",IFERROR(INDEX(科目表!$A$4:$A$81,MATCH($E849,科目表!$B$4:$B$81,0)),""))</f>
        <v/>
      </c>
      <c r="G849" s="67" t="str">
        <f aca="false">IF($E849="","",IFERROR(INDEX(科目表!$E$4:$E$81,MATCH($E849,科目表!$B$4:$B$81,0)),""))</f>
        <v/>
      </c>
      <c r="H849" s="70" t="str">
        <f aca="false">IF($E849="","",N(INDEX(进销存对接!$M$4:$U$305,282,8)))</f>
        <v/>
      </c>
      <c r="I849" s="70" t="str">
        <f aca="false">IF($E849="","",N(INDEX(进销存对接!$M$4:$U$305,282,9)))</f>
        <v/>
      </c>
      <c r="J849" s="67"/>
      <c r="K849" s="67" t="str">
        <f aca="false">IF($E849="","",INDEX(进销存对接!$D$4:$D$305,282))</f>
        <v/>
      </c>
      <c r="L849" s="107"/>
      <c r="M849" s="107"/>
      <c r="N849" s="67" t="str">
        <f aca="false">IF($E849="","","系统")</f>
        <v/>
      </c>
      <c r="O849" s="67" t="str">
        <f aca="false">IF($E849="","","自动A")</f>
        <v/>
      </c>
      <c r="P849" s="18"/>
    </row>
    <row r="850" customFormat="false" ht="18" hidden="false" customHeight="true" outlineLevel="0" collapsed="false">
      <c r="A850" s="107" t="str">
        <f aca="false">IF($E850="","",ROW()-3)</f>
        <v/>
      </c>
      <c r="B850" s="110" t="str">
        <f aca="false">IF($E850="","",INDEX(进销存对接!$C$4:$C$305,283))</f>
        <v/>
      </c>
      <c r="C850" s="67" t="str">
        <f aca="false">IF($E850="","","记-"&amp;TEXT($B850,"YYYYMM")&amp;"-进销存")</f>
        <v/>
      </c>
      <c r="D850" s="107" t="str">
        <f aca="false">IF($E850="","",INDEX(进销存对接!$D$4:$D$305,283)&amp;" "&amp;TEXT($B850,"YYYY年M月")&amp;" 自动结转")</f>
        <v/>
      </c>
      <c r="E850" s="67" t="str">
        <f aca="false">IF(INDEX(进销存对接!$M$4:$U$305,283,1)=0,"",INDEX(进销存对接!$M$4:$U$305,283,1))</f>
        <v/>
      </c>
      <c r="F850" s="99" t="str">
        <f aca="false">IF($E850="","",IFERROR(INDEX(科目表!$A$4:$A$81,MATCH($E850,科目表!$B$4:$B$81,0)),""))</f>
        <v/>
      </c>
      <c r="G850" s="67" t="str">
        <f aca="false">IF($E850="","",IFERROR(INDEX(科目表!$E$4:$E$81,MATCH($E850,科目表!$B$4:$B$81,0)),""))</f>
        <v/>
      </c>
      <c r="H850" s="70" t="str">
        <f aca="false">IF($E850="","",N(INDEX(进销存对接!$M$4:$U$305,283,2)))</f>
        <v/>
      </c>
      <c r="I850" s="70" t="str">
        <f aca="false">IF($E850="","",N(INDEX(进销存对接!$M$4:$U$305,283,3)))</f>
        <v/>
      </c>
      <c r="J850" s="67"/>
      <c r="K850" s="67" t="str">
        <f aca="false">IF($E850="","",INDEX(进销存对接!$D$4:$D$305,283))</f>
        <v/>
      </c>
      <c r="L850" s="107"/>
      <c r="M850" s="107"/>
      <c r="N850" s="67" t="str">
        <f aca="false">IF($E850="","","系统")</f>
        <v/>
      </c>
      <c r="O850" s="67" t="str">
        <f aca="false">IF($E850="","","自动A")</f>
        <v/>
      </c>
      <c r="P850" s="18"/>
    </row>
    <row r="851" customFormat="false" ht="18" hidden="false" customHeight="true" outlineLevel="0" collapsed="false">
      <c r="A851" s="107" t="str">
        <f aca="false">IF($E851="","",ROW()-3)</f>
        <v/>
      </c>
      <c r="B851" s="110" t="str">
        <f aca="false">IF($E851="","",INDEX(进销存对接!$C$4:$C$305,283))</f>
        <v/>
      </c>
      <c r="C851" s="67" t="str">
        <f aca="false">IF($E851="","","记-"&amp;TEXT($B851,"YYYYMM")&amp;"-进销存")</f>
        <v/>
      </c>
      <c r="D851" s="107" t="str">
        <f aca="false">IF($E851="","",INDEX(进销存对接!$D$4:$D$305,283)&amp;" "&amp;TEXT($B851,"YYYY年M月")&amp;" 自动结转")</f>
        <v/>
      </c>
      <c r="E851" s="67" t="str">
        <f aca="false">IF(INDEX(进销存对接!$M$4:$U$305,283,4)=0,"",INDEX(进销存对接!$M$4:$U$305,283,4))</f>
        <v/>
      </c>
      <c r="F851" s="99" t="str">
        <f aca="false">IF($E851="","",IFERROR(INDEX(科目表!$A$4:$A$81,MATCH($E851,科目表!$B$4:$B$81,0)),""))</f>
        <v/>
      </c>
      <c r="G851" s="67" t="str">
        <f aca="false">IF($E851="","",IFERROR(INDEX(科目表!$E$4:$E$81,MATCH($E851,科目表!$B$4:$B$81,0)),""))</f>
        <v/>
      </c>
      <c r="H851" s="70" t="str">
        <f aca="false">IF($E851="","",N(INDEX(进销存对接!$M$4:$U$305,283,5)))</f>
        <v/>
      </c>
      <c r="I851" s="70" t="str">
        <f aca="false">IF($E851="","",N(INDEX(进销存对接!$M$4:$U$305,283,6)))</f>
        <v/>
      </c>
      <c r="J851" s="67"/>
      <c r="K851" s="67" t="str">
        <f aca="false">IF($E851="","",INDEX(进销存对接!$D$4:$D$305,283))</f>
        <v/>
      </c>
      <c r="L851" s="107"/>
      <c r="M851" s="107"/>
      <c r="N851" s="67" t="str">
        <f aca="false">IF($E851="","","系统")</f>
        <v/>
      </c>
      <c r="O851" s="67" t="str">
        <f aca="false">IF($E851="","","自动A")</f>
        <v/>
      </c>
      <c r="P851" s="18"/>
    </row>
    <row r="852" customFormat="false" ht="18" hidden="false" customHeight="true" outlineLevel="0" collapsed="false">
      <c r="A852" s="107" t="str">
        <f aca="false">IF($E852="","",ROW()-3)</f>
        <v/>
      </c>
      <c r="B852" s="110" t="str">
        <f aca="false">IF($E852="","",INDEX(进销存对接!$C$4:$C$305,283))</f>
        <v/>
      </c>
      <c r="C852" s="67" t="str">
        <f aca="false">IF($E852="","","记-"&amp;TEXT($B852,"YYYYMM")&amp;"-进销存")</f>
        <v/>
      </c>
      <c r="D852" s="107" t="str">
        <f aca="false">IF($E852="","",INDEX(进销存对接!$D$4:$D$305,283)&amp;" "&amp;TEXT($B852,"YYYY年M月")&amp;" 自动结转")</f>
        <v/>
      </c>
      <c r="E852" s="67" t="str">
        <f aca="false">IF(INDEX(进销存对接!$M$4:$U$305,283,7)=0,"",INDEX(进销存对接!$M$4:$U$305,283,7))</f>
        <v/>
      </c>
      <c r="F852" s="99" t="str">
        <f aca="false">IF($E852="","",IFERROR(INDEX(科目表!$A$4:$A$81,MATCH($E852,科目表!$B$4:$B$81,0)),""))</f>
        <v/>
      </c>
      <c r="G852" s="67" t="str">
        <f aca="false">IF($E852="","",IFERROR(INDEX(科目表!$E$4:$E$81,MATCH($E852,科目表!$B$4:$B$81,0)),""))</f>
        <v/>
      </c>
      <c r="H852" s="70" t="str">
        <f aca="false">IF($E852="","",N(INDEX(进销存对接!$M$4:$U$305,283,8)))</f>
        <v/>
      </c>
      <c r="I852" s="70" t="str">
        <f aca="false">IF($E852="","",N(INDEX(进销存对接!$M$4:$U$305,283,9)))</f>
        <v/>
      </c>
      <c r="J852" s="67"/>
      <c r="K852" s="67" t="str">
        <f aca="false">IF($E852="","",INDEX(进销存对接!$D$4:$D$305,283))</f>
        <v/>
      </c>
      <c r="L852" s="107"/>
      <c r="M852" s="107"/>
      <c r="N852" s="67" t="str">
        <f aca="false">IF($E852="","","系统")</f>
        <v/>
      </c>
      <c r="O852" s="67" t="str">
        <f aca="false">IF($E852="","","自动A")</f>
        <v/>
      </c>
      <c r="P852" s="18"/>
    </row>
    <row r="853" customFormat="false" ht="18" hidden="false" customHeight="true" outlineLevel="0" collapsed="false">
      <c r="A853" s="107" t="str">
        <f aca="false">IF($E853="","",ROW()-3)</f>
        <v/>
      </c>
      <c r="B853" s="110" t="str">
        <f aca="false">IF($E853="","",INDEX(进销存对接!$C$4:$C$305,284))</f>
        <v/>
      </c>
      <c r="C853" s="67" t="str">
        <f aca="false">IF($E853="","","记-"&amp;TEXT($B853,"YYYYMM")&amp;"-进销存")</f>
        <v/>
      </c>
      <c r="D853" s="107" t="str">
        <f aca="false">IF($E853="","",INDEX(进销存对接!$D$4:$D$305,284)&amp;" "&amp;TEXT($B853,"YYYY年M月")&amp;" 自动结转")</f>
        <v/>
      </c>
      <c r="E853" s="67" t="str">
        <f aca="false">IF(INDEX(进销存对接!$M$4:$U$305,284,1)=0,"",INDEX(进销存对接!$M$4:$U$305,284,1))</f>
        <v/>
      </c>
      <c r="F853" s="99" t="str">
        <f aca="false">IF($E853="","",IFERROR(INDEX(科目表!$A$4:$A$81,MATCH($E853,科目表!$B$4:$B$81,0)),""))</f>
        <v/>
      </c>
      <c r="G853" s="67" t="str">
        <f aca="false">IF($E853="","",IFERROR(INDEX(科目表!$E$4:$E$81,MATCH($E853,科目表!$B$4:$B$81,0)),""))</f>
        <v/>
      </c>
      <c r="H853" s="70" t="str">
        <f aca="false">IF($E853="","",N(INDEX(进销存对接!$M$4:$U$305,284,2)))</f>
        <v/>
      </c>
      <c r="I853" s="70" t="str">
        <f aca="false">IF($E853="","",N(INDEX(进销存对接!$M$4:$U$305,284,3)))</f>
        <v/>
      </c>
      <c r="J853" s="67"/>
      <c r="K853" s="67" t="str">
        <f aca="false">IF($E853="","",INDEX(进销存对接!$D$4:$D$305,284))</f>
        <v/>
      </c>
      <c r="L853" s="107"/>
      <c r="M853" s="107"/>
      <c r="N853" s="67" t="str">
        <f aca="false">IF($E853="","","系统")</f>
        <v/>
      </c>
      <c r="O853" s="67" t="str">
        <f aca="false">IF($E853="","","自动A")</f>
        <v/>
      </c>
      <c r="P853" s="18"/>
    </row>
    <row r="854" customFormat="false" ht="18" hidden="false" customHeight="true" outlineLevel="0" collapsed="false">
      <c r="A854" s="107" t="str">
        <f aca="false">IF($E854="","",ROW()-3)</f>
        <v/>
      </c>
      <c r="B854" s="110" t="str">
        <f aca="false">IF($E854="","",INDEX(进销存对接!$C$4:$C$305,284))</f>
        <v/>
      </c>
      <c r="C854" s="67" t="str">
        <f aca="false">IF($E854="","","记-"&amp;TEXT($B854,"YYYYMM")&amp;"-进销存")</f>
        <v/>
      </c>
      <c r="D854" s="107" t="str">
        <f aca="false">IF($E854="","",INDEX(进销存对接!$D$4:$D$305,284)&amp;" "&amp;TEXT($B854,"YYYY年M月")&amp;" 自动结转")</f>
        <v/>
      </c>
      <c r="E854" s="67" t="str">
        <f aca="false">IF(INDEX(进销存对接!$M$4:$U$305,284,4)=0,"",INDEX(进销存对接!$M$4:$U$305,284,4))</f>
        <v/>
      </c>
      <c r="F854" s="99" t="str">
        <f aca="false">IF($E854="","",IFERROR(INDEX(科目表!$A$4:$A$81,MATCH($E854,科目表!$B$4:$B$81,0)),""))</f>
        <v/>
      </c>
      <c r="G854" s="67" t="str">
        <f aca="false">IF($E854="","",IFERROR(INDEX(科目表!$E$4:$E$81,MATCH($E854,科目表!$B$4:$B$81,0)),""))</f>
        <v/>
      </c>
      <c r="H854" s="70" t="str">
        <f aca="false">IF($E854="","",N(INDEX(进销存对接!$M$4:$U$305,284,5)))</f>
        <v/>
      </c>
      <c r="I854" s="70" t="str">
        <f aca="false">IF($E854="","",N(INDEX(进销存对接!$M$4:$U$305,284,6)))</f>
        <v/>
      </c>
      <c r="J854" s="67"/>
      <c r="K854" s="67" t="str">
        <f aca="false">IF($E854="","",INDEX(进销存对接!$D$4:$D$305,284))</f>
        <v/>
      </c>
      <c r="L854" s="107"/>
      <c r="M854" s="107"/>
      <c r="N854" s="67" t="str">
        <f aca="false">IF($E854="","","系统")</f>
        <v/>
      </c>
      <c r="O854" s="67" t="str">
        <f aca="false">IF($E854="","","自动A")</f>
        <v/>
      </c>
      <c r="P854" s="18"/>
    </row>
    <row r="855" customFormat="false" ht="18" hidden="false" customHeight="true" outlineLevel="0" collapsed="false">
      <c r="A855" s="107" t="str">
        <f aca="false">IF($E855="","",ROW()-3)</f>
        <v/>
      </c>
      <c r="B855" s="110" t="str">
        <f aca="false">IF($E855="","",INDEX(进销存对接!$C$4:$C$305,284))</f>
        <v/>
      </c>
      <c r="C855" s="67" t="str">
        <f aca="false">IF($E855="","","记-"&amp;TEXT($B855,"YYYYMM")&amp;"-进销存")</f>
        <v/>
      </c>
      <c r="D855" s="107" t="str">
        <f aca="false">IF($E855="","",INDEX(进销存对接!$D$4:$D$305,284)&amp;" "&amp;TEXT($B855,"YYYY年M月")&amp;" 自动结转")</f>
        <v/>
      </c>
      <c r="E855" s="67" t="str">
        <f aca="false">IF(INDEX(进销存对接!$M$4:$U$305,284,7)=0,"",INDEX(进销存对接!$M$4:$U$305,284,7))</f>
        <v/>
      </c>
      <c r="F855" s="99" t="str">
        <f aca="false">IF($E855="","",IFERROR(INDEX(科目表!$A$4:$A$81,MATCH($E855,科目表!$B$4:$B$81,0)),""))</f>
        <v/>
      </c>
      <c r="G855" s="67" t="str">
        <f aca="false">IF($E855="","",IFERROR(INDEX(科目表!$E$4:$E$81,MATCH($E855,科目表!$B$4:$B$81,0)),""))</f>
        <v/>
      </c>
      <c r="H855" s="70" t="str">
        <f aca="false">IF($E855="","",N(INDEX(进销存对接!$M$4:$U$305,284,8)))</f>
        <v/>
      </c>
      <c r="I855" s="70" t="str">
        <f aca="false">IF($E855="","",N(INDEX(进销存对接!$M$4:$U$305,284,9)))</f>
        <v/>
      </c>
      <c r="J855" s="67"/>
      <c r="K855" s="67" t="str">
        <f aca="false">IF($E855="","",INDEX(进销存对接!$D$4:$D$305,284))</f>
        <v/>
      </c>
      <c r="L855" s="107"/>
      <c r="M855" s="107"/>
      <c r="N855" s="67" t="str">
        <f aca="false">IF($E855="","","系统")</f>
        <v/>
      </c>
      <c r="O855" s="67" t="str">
        <f aca="false">IF($E855="","","自动A")</f>
        <v/>
      </c>
      <c r="P855" s="18"/>
    </row>
    <row r="856" customFormat="false" ht="18" hidden="false" customHeight="true" outlineLevel="0" collapsed="false">
      <c r="A856" s="107" t="str">
        <f aca="false">IF($E856="","",ROW()-3)</f>
        <v/>
      </c>
      <c r="B856" s="110" t="str">
        <f aca="false">IF($E856="","",INDEX(进销存对接!$C$4:$C$305,285))</f>
        <v/>
      </c>
      <c r="C856" s="67" t="str">
        <f aca="false">IF($E856="","","记-"&amp;TEXT($B856,"YYYYMM")&amp;"-进销存")</f>
        <v/>
      </c>
      <c r="D856" s="107" t="str">
        <f aca="false">IF($E856="","",INDEX(进销存对接!$D$4:$D$305,285)&amp;" "&amp;TEXT($B856,"YYYY年M月")&amp;" 自动结转")</f>
        <v/>
      </c>
      <c r="E856" s="67" t="str">
        <f aca="false">IF(INDEX(进销存对接!$M$4:$U$305,285,1)=0,"",INDEX(进销存对接!$M$4:$U$305,285,1))</f>
        <v/>
      </c>
      <c r="F856" s="99" t="str">
        <f aca="false">IF($E856="","",IFERROR(INDEX(科目表!$A$4:$A$81,MATCH($E856,科目表!$B$4:$B$81,0)),""))</f>
        <v/>
      </c>
      <c r="G856" s="67" t="str">
        <f aca="false">IF($E856="","",IFERROR(INDEX(科目表!$E$4:$E$81,MATCH($E856,科目表!$B$4:$B$81,0)),""))</f>
        <v/>
      </c>
      <c r="H856" s="70" t="str">
        <f aca="false">IF($E856="","",N(INDEX(进销存对接!$M$4:$U$305,285,2)))</f>
        <v/>
      </c>
      <c r="I856" s="70" t="str">
        <f aca="false">IF($E856="","",N(INDEX(进销存对接!$M$4:$U$305,285,3)))</f>
        <v/>
      </c>
      <c r="J856" s="67"/>
      <c r="K856" s="67" t="str">
        <f aca="false">IF($E856="","",INDEX(进销存对接!$D$4:$D$305,285))</f>
        <v/>
      </c>
      <c r="L856" s="107"/>
      <c r="M856" s="107"/>
      <c r="N856" s="67" t="str">
        <f aca="false">IF($E856="","","系统")</f>
        <v/>
      </c>
      <c r="O856" s="67" t="str">
        <f aca="false">IF($E856="","","自动A")</f>
        <v/>
      </c>
      <c r="P856" s="18"/>
    </row>
    <row r="857" customFormat="false" ht="18" hidden="false" customHeight="true" outlineLevel="0" collapsed="false">
      <c r="A857" s="107" t="str">
        <f aca="false">IF($E857="","",ROW()-3)</f>
        <v/>
      </c>
      <c r="B857" s="110" t="str">
        <f aca="false">IF($E857="","",INDEX(进销存对接!$C$4:$C$305,285))</f>
        <v/>
      </c>
      <c r="C857" s="67" t="str">
        <f aca="false">IF($E857="","","记-"&amp;TEXT($B857,"YYYYMM")&amp;"-进销存")</f>
        <v/>
      </c>
      <c r="D857" s="107" t="str">
        <f aca="false">IF($E857="","",INDEX(进销存对接!$D$4:$D$305,285)&amp;" "&amp;TEXT($B857,"YYYY年M月")&amp;" 自动结转")</f>
        <v/>
      </c>
      <c r="E857" s="67" t="str">
        <f aca="false">IF(INDEX(进销存对接!$M$4:$U$305,285,4)=0,"",INDEX(进销存对接!$M$4:$U$305,285,4))</f>
        <v/>
      </c>
      <c r="F857" s="99" t="str">
        <f aca="false">IF($E857="","",IFERROR(INDEX(科目表!$A$4:$A$81,MATCH($E857,科目表!$B$4:$B$81,0)),""))</f>
        <v/>
      </c>
      <c r="G857" s="67" t="str">
        <f aca="false">IF($E857="","",IFERROR(INDEX(科目表!$E$4:$E$81,MATCH($E857,科目表!$B$4:$B$81,0)),""))</f>
        <v/>
      </c>
      <c r="H857" s="70" t="str">
        <f aca="false">IF($E857="","",N(INDEX(进销存对接!$M$4:$U$305,285,5)))</f>
        <v/>
      </c>
      <c r="I857" s="70" t="str">
        <f aca="false">IF($E857="","",N(INDEX(进销存对接!$M$4:$U$305,285,6)))</f>
        <v/>
      </c>
      <c r="J857" s="67"/>
      <c r="K857" s="67" t="str">
        <f aca="false">IF($E857="","",INDEX(进销存对接!$D$4:$D$305,285))</f>
        <v/>
      </c>
      <c r="L857" s="107"/>
      <c r="M857" s="107"/>
      <c r="N857" s="67" t="str">
        <f aca="false">IF($E857="","","系统")</f>
        <v/>
      </c>
      <c r="O857" s="67" t="str">
        <f aca="false">IF($E857="","","自动A")</f>
        <v/>
      </c>
      <c r="P857" s="18"/>
    </row>
    <row r="858" customFormat="false" ht="18" hidden="false" customHeight="true" outlineLevel="0" collapsed="false">
      <c r="A858" s="107" t="str">
        <f aca="false">IF($E858="","",ROW()-3)</f>
        <v/>
      </c>
      <c r="B858" s="110" t="str">
        <f aca="false">IF($E858="","",INDEX(进销存对接!$C$4:$C$305,285))</f>
        <v/>
      </c>
      <c r="C858" s="67" t="str">
        <f aca="false">IF($E858="","","记-"&amp;TEXT($B858,"YYYYMM")&amp;"-进销存")</f>
        <v/>
      </c>
      <c r="D858" s="107" t="str">
        <f aca="false">IF($E858="","",INDEX(进销存对接!$D$4:$D$305,285)&amp;" "&amp;TEXT($B858,"YYYY年M月")&amp;" 自动结转")</f>
        <v/>
      </c>
      <c r="E858" s="67" t="str">
        <f aca="false">IF(INDEX(进销存对接!$M$4:$U$305,285,7)=0,"",INDEX(进销存对接!$M$4:$U$305,285,7))</f>
        <v/>
      </c>
      <c r="F858" s="99" t="str">
        <f aca="false">IF($E858="","",IFERROR(INDEX(科目表!$A$4:$A$81,MATCH($E858,科目表!$B$4:$B$81,0)),""))</f>
        <v/>
      </c>
      <c r="G858" s="67" t="str">
        <f aca="false">IF($E858="","",IFERROR(INDEX(科目表!$E$4:$E$81,MATCH($E858,科目表!$B$4:$B$81,0)),""))</f>
        <v/>
      </c>
      <c r="H858" s="70" t="str">
        <f aca="false">IF($E858="","",N(INDEX(进销存对接!$M$4:$U$305,285,8)))</f>
        <v/>
      </c>
      <c r="I858" s="70" t="str">
        <f aca="false">IF($E858="","",N(INDEX(进销存对接!$M$4:$U$305,285,9)))</f>
        <v/>
      </c>
      <c r="J858" s="67"/>
      <c r="K858" s="67" t="str">
        <f aca="false">IF($E858="","",INDEX(进销存对接!$D$4:$D$305,285))</f>
        <v/>
      </c>
      <c r="L858" s="107"/>
      <c r="M858" s="107"/>
      <c r="N858" s="67" t="str">
        <f aca="false">IF($E858="","","系统")</f>
        <v/>
      </c>
      <c r="O858" s="67" t="str">
        <f aca="false">IF($E858="","","自动A")</f>
        <v/>
      </c>
      <c r="P858" s="18"/>
    </row>
    <row r="859" customFormat="false" ht="18" hidden="false" customHeight="true" outlineLevel="0" collapsed="false">
      <c r="A859" s="107" t="str">
        <f aca="false">IF($E859="","",ROW()-3)</f>
        <v/>
      </c>
      <c r="B859" s="110" t="str">
        <f aca="false">IF($E859="","",INDEX(进销存对接!$C$4:$C$305,286))</f>
        <v/>
      </c>
      <c r="C859" s="67" t="str">
        <f aca="false">IF($E859="","","记-"&amp;TEXT($B859,"YYYYMM")&amp;"-进销存")</f>
        <v/>
      </c>
      <c r="D859" s="107" t="str">
        <f aca="false">IF($E859="","",INDEX(进销存对接!$D$4:$D$305,286)&amp;" "&amp;TEXT($B859,"YYYY年M月")&amp;" 自动结转")</f>
        <v/>
      </c>
      <c r="E859" s="67" t="str">
        <f aca="false">IF(INDEX(进销存对接!$M$4:$U$305,286,1)=0,"",INDEX(进销存对接!$M$4:$U$305,286,1))</f>
        <v/>
      </c>
      <c r="F859" s="99" t="str">
        <f aca="false">IF($E859="","",IFERROR(INDEX(科目表!$A$4:$A$81,MATCH($E859,科目表!$B$4:$B$81,0)),""))</f>
        <v/>
      </c>
      <c r="G859" s="67" t="str">
        <f aca="false">IF($E859="","",IFERROR(INDEX(科目表!$E$4:$E$81,MATCH($E859,科目表!$B$4:$B$81,0)),""))</f>
        <v/>
      </c>
      <c r="H859" s="70" t="str">
        <f aca="false">IF($E859="","",N(INDEX(进销存对接!$M$4:$U$305,286,2)))</f>
        <v/>
      </c>
      <c r="I859" s="70" t="str">
        <f aca="false">IF($E859="","",N(INDEX(进销存对接!$M$4:$U$305,286,3)))</f>
        <v/>
      </c>
      <c r="J859" s="67"/>
      <c r="K859" s="67" t="str">
        <f aca="false">IF($E859="","",INDEX(进销存对接!$D$4:$D$305,286))</f>
        <v/>
      </c>
      <c r="L859" s="107"/>
      <c r="M859" s="107"/>
      <c r="N859" s="67" t="str">
        <f aca="false">IF($E859="","","系统")</f>
        <v/>
      </c>
      <c r="O859" s="67" t="str">
        <f aca="false">IF($E859="","","自动A")</f>
        <v/>
      </c>
      <c r="P859" s="18"/>
    </row>
    <row r="860" customFormat="false" ht="18" hidden="false" customHeight="true" outlineLevel="0" collapsed="false">
      <c r="A860" s="107" t="str">
        <f aca="false">IF($E860="","",ROW()-3)</f>
        <v/>
      </c>
      <c r="B860" s="110" t="str">
        <f aca="false">IF($E860="","",INDEX(进销存对接!$C$4:$C$305,286))</f>
        <v/>
      </c>
      <c r="C860" s="67" t="str">
        <f aca="false">IF($E860="","","记-"&amp;TEXT($B860,"YYYYMM")&amp;"-进销存")</f>
        <v/>
      </c>
      <c r="D860" s="107" t="str">
        <f aca="false">IF($E860="","",INDEX(进销存对接!$D$4:$D$305,286)&amp;" "&amp;TEXT($B860,"YYYY年M月")&amp;" 自动结转")</f>
        <v/>
      </c>
      <c r="E860" s="67" t="str">
        <f aca="false">IF(INDEX(进销存对接!$M$4:$U$305,286,4)=0,"",INDEX(进销存对接!$M$4:$U$305,286,4))</f>
        <v/>
      </c>
      <c r="F860" s="99" t="str">
        <f aca="false">IF($E860="","",IFERROR(INDEX(科目表!$A$4:$A$81,MATCH($E860,科目表!$B$4:$B$81,0)),""))</f>
        <v/>
      </c>
      <c r="G860" s="67" t="str">
        <f aca="false">IF($E860="","",IFERROR(INDEX(科目表!$E$4:$E$81,MATCH($E860,科目表!$B$4:$B$81,0)),""))</f>
        <v/>
      </c>
      <c r="H860" s="70" t="str">
        <f aca="false">IF($E860="","",N(INDEX(进销存对接!$M$4:$U$305,286,5)))</f>
        <v/>
      </c>
      <c r="I860" s="70" t="str">
        <f aca="false">IF($E860="","",N(INDEX(进销存对接!$M$4:$U$305,286,6)))</f>
        <v/>
      </c>
      <c r="J860" s="67"/>
      <c r="K860" s="67" t="str">
        <f aca="false">IF($E860="","",INDEX(进销存对接!$D$4:$D$305,286))</f>
        <v/>
      </c>
      <c r="L860" s="107"/>
      <c r="M860" s="107"/>
      <c r="N860" s="67" t="str">
        <f aca="false">IF($E860="","","系统")</f>
        <v/>
      </c>
      <c r="O860" s="67" t="str">
        <f aca="false">IF($E860="","","自动A")</f>
        <v/>
      </c>
      <c r="P860" s="18"/>
    </row>
    <row r="861" customFormat="false" ht="18" hidden="false" customHeight="true" outlineLevel="0" collapsed="false">
      <c r="A861" s="107" t="str">
        <f aca="false">IF($E861="","",ROW()-3)</f>
        <v/>
      </c>
      <c r="B861" s="110" t="str">
        <f aca="false">IF($E861="","",INDEX(进销存对接!$C$4:$C$305,286))</f>
        <v/>
      </c>
      <c r="C861" s="67" t="str">
        <f aca="false">IF($E861="","","记-"&amp;TEXT($B861,"YYYYMM")&amp;"-进销存")</f>
        <v/>
      </c>
      <c r="D861" s="107" t="str">
        <f aca="false">IF($E861="","",INDEX(进销存对接!$D$4:$D$305,286)&amp;" "&amp;TEXT($B861,"YYYY年M月")&amp;" 自动结转")</f>
        <v/>
      </c>
      <c r="E861" s="67" t="str">
        <f aca="false">IF(INDEX(进销存对接!$M$4:$U$305,286,7)=0,"",INDEX(进销存对接!$M$4:$U$305,286,7))</f>
        <v/>
      </c>
      <c r="F861" s="99" t="str">
        <f aca="false">IF($E861="","",IFERROR(INDEX(科目表!$A$4:$A$81,MATCH($E861,科目表!$B$4:$B$81,0)),""))</f>
        <v/>
      </c>
      <c r="G861" s="67" t="str">
        <f aca="false">IF($E861="","",IFERROR(INDEX(科目表!$E$4:$E$81,MATCH($E861,科目表!$B$4:$B$81,0)),""))</f>
        <v/>
      </c>
      <c r="H861" s="70" t="str">
        <f aca="false">IF($E861="","",N(INDEX(进销存对接!$M$4:$U$305,286,8)))</f>
        <v/>
      </c>
      <c r="I861" s="70" t="str">
        <f aca="false">IF($E861="","",N(INDEX(进销存对接!$M$4:$U$305,286,9)))</f>
        <v/>
      </c>
      <c r="J861" s="67"/>
      <c r="K861" s="67" t="str">
        <f aca="false">IF($E861="","",INDEX(进销存对接!$D$4:$D$305,286))</f>
        <v/>
      </c>
      <c r="L861" s="107"/>
      <c r="M861" s="107"/>
      <c r="N861" s="67" t="str">
        <f aca="false">IF($E861="","","系统")</f>
        <v/>
      </c>
      <c r="O861" s="67" t="str">
        <f aca="false">IF($E861="","","自动A")</f>
        <v/>
      </c>
      <c r="P861" s="18"/>
    </row>
    <row r="862" customFormat="false" ht="18" hidden="false" customHeight="true" outlineLevel="0" collapsed="false">
      <c r="A862" s="107" t="str">
        <f aca="false">IF($E862="","",ROW()-3)</f>
        <v/>
      </c>
      <c r="B862" s="110" t="str">
        <f aca="false">IF($E862="","",INDEX(进销存对接!$C$4:$C$305,287))</f>
        <v/>
      </c>
      <c r="C862" s="67" t="str">
        <f aca="false">IF($E862="","","记-"&amp;TEXT($B862,"YYYYMM")&amp;"-进销存")</f>
        <v/>
      </c>
      <c r="D862" s="107" t="str">
        <f aca="false">IF($E862="","",INDEX(进销存对接!$D$4:$D$305,287)&amp;" "&amp;TEXT($B862,"YYYY年M月")&amp;" 自动结转")</f>
        <v/>
      </c>
      <c r="E862" s="67" t="str">
        <f aca="false">IF(INDEX(进销存对接!$M$4:$U$305,287,1)=0,"",INDEX(进销存对接!$M$4:$U$305,287,1))</f>
        <v/>
      </c>
      <c r="F862" s="99" t="str">
        <f aca="false">IF($E862="","",IFERROR(INDEX(科目表!$A$4:$A$81,MATCH($E862,科目表!$B$4:$B$81,0)),""))</f>
        <v/>
      </c>
      <c r="G862" s="67" t="str">
        <f aca="false">IF($E862="","",IFERROR(INDEX(科目表!$E$4:$E$81,MATCH($E862,科目表!$B$4:$B$81,0)),""))</f>
        <v/>
      </c>
      <c r="H862" s="70" t="str">
        <f aca="false">IF($E862="","",N(INDEX(进销存对接!$M$4:$U$305,287,2)))</f>
        <v/>
      </c>
      <c r="I862" s="70" t="str">
        <f aca="false">IF($E862="","",N(INDEX(进销存对接!$M$4:$U$305,287,3)))</f>
        <v/>
      </c>
      <c r="J862" s="67"/>
      <c r="K862" s="67" t="str">
        <f aca="false">IF($E862="","",INDEX(进销存对接!$D$4:$D$305,287))</f>
        <v/>
      </c>
      <c r="L862" s="107"/>
      <c r="M862" s="107"/>
      <c r="N862" s="67" t="str">
        <f aca="false">IF($E862="","","系统")</f>
        <v/>
      </c>
      <c r="O862" s="67" t="str">
        <f aca="false">IF($E862="","","自动A")</f>
        <v/>
      </c>
      <c r="P862" s="18"/>
    </row>
    <row r="863" customFormat="false" ht="18" hidden="false" customHeight="true" outlineLevel="0" collapsed="false">
      <c r="A863" s="107" t="str">
        <f aca="false">IF($E863="","",ROW()-3)</f>
        <v/>
      </c>
      <c r="B863" s="110" t="str">
        <f aca="false">IF($E863="","",INDEX(进销存对接!$C$4:$C$305,287))</f>
        <v/>
      </c>
      <c r="C863" s="67" t="str">
        <f aca="false">IF($E863="","","记-"&amp;TEXT($B863,"YYYYMM")&amp;"-进销存")</f>
        <v/>
      </c>
      <c r="D863" s="107" t="str">
        <f aca="false">IF($E863="","",INDEX(进销存对接!$D$4:$D$305,287)&amp;" "&amp;TEXT($B863,"YYYY年M月")&amp;" 自动结转")</f>
        <v/>
      </c>
      <c r="E863" s="67" t="str">
        <f aca="false">IF(INDEX(进销存对接!$M$4:$U$305,287,4)=0,"",INDEX(进销存对接!$M$4:$U$305,287,4))</f>
        <v/>
      </c>
      <c r="F863" s="99" t="str">
        <f aca="false">IF($E863="","",IFERROR(INDEX(科目表!$A$4:$A$81,MATCH($E863,科目表!$B$4:$B$81,0)),""))</f>
        <v/>
      </c>
      <c r="G863" s="67" t="str">
        <f aca="false">IF($E863="","",IFERROR(INDEX(科目表!$E$4:$E$81,MATCH($E863,科目表!$B$4:$B$81,0)),""))</f>
        <v/>
      </c>
      <c r="H863" s="70" t="str">
        <f aca="false">IF($E863="","",N(INDEX(进销存对接!$M$4:$U$305,287,5)))</f>
        <v/>
      </c>
      <c r="I863" s="70" t="str">
        <f aca="false">IF($E863="","",N(INDEX(进销存对接!$M$4:$U$305,287,6)))</f>
        <v/>
      </c>
      <c r="J863" s="67"/>
      <c r="K863" s="67" t="str">
        <f aca="false">IF($E863="","",INDEX(进销存对接!$D$4:$D$305,287))</f>
        <v/>
      </c>
      <c r="L863" s="107"/>
      <c r="M863" s="107"/>
      <c r="N863" s="67" t="str">
        <f aca="false">IF($E863="","","系统")</f>
        <v/>
      </c>
      <c r="O863" s="67" t="str">
        <f aca="false">IF($E863="","","自动A")</f>
        <v/>
      </c>
      <c r="P863" s="18"/>
    </row>
    <row r="864" customFormat="false" ht="18" hidden="false" customHeight="true" outlineLevel="0" collapsed="false">
      <c r="A864" s="107" t="str">
        <f aca="false">IF($E864="","",ROW()-3)</f>
        <v/>
      </c>
      <c r="B864" s="110" t="str">
        <f aca="false">IF($E864="","",INDEX(进销存对接!$C$4:$C$305,287))</f>
        <v/>
      </c>
      <c r="C864" s="67" t="str">
        <f aca="false">IF($E864="","","记-"&amp;TEXT($B864,"YYYYMM")&amp;"-进销存")</f>
        <v/>
      </c>
      <c r="D864" s="107" t="str">
        <f aca="false">IF($E864="","",INDEX(进销存对接!$D$4:$D$305,287)&amp;" "&amp;TEXT($B864,"YYYY年M月")&amp;" 自动结转")</f>
        <v/>
      </c>
      <c r="E864" s="67" t="str">
        <f aca="false">IF(INDEX(进销存对接!$M$4:$U$305,287,7)=0,"",INDEX(进销存对接!$M$4:$U$305,287,7))</f>
        <v/>
      </c>
      <c r="F864" s="99" t="str">
        <f aca="false">IF($E864="","",IFERROR(INDEX(科目表!$A$4:$A$81,MATCH($E864,科目表!$B$4:$B$81,0)),""))</f>
        <v/>
      </c>
      <c r="G864" s="67" t="str">
        <f aca="false">IF($E864="","",IFERROR(INDEX(科目表!$E$4:$E$81,MATCH($E864,科目表!$B$4:$B$81,0)),""))</f>
        <v/>
      </c>
      <c r="H864" s="70" t="str">
        <f aca="false">IF($E864="","",N(INDEX(进销存对接!$M$4:$U$305,287,8)))</f>
        <v/>
      </c>
      <c r="I864" s="70" t="str">
        <f aca="false">IF($E864="","",N(INDEX(进销存对接!$M$4:$U$305,287,9)))</f>
        <v/>
      </c>
      <c r="J864" s="67"/>
      <c r="K864" s="67" t="str">
        <f aca="false">IF($E864="","",INDEX(进销存对接!$D$4:$D$305,287))</f>
        <v/>
      </c>
      <c r="L864" s="107"/>
      <c r="M864" s="107"/>
      <c r="N864" s="67" t="str">
        <f aca="false">IF($E864="","","系统")</f>
        <v/>
      </c>
      <c r="O864" s="67" t="str">
        <f aca="false">IF($E864="","","自动A")</f>
        <v/>
      </c>
      <c r="P864" s="18"/>
    </row>
    <row r="865" customFormat="false" ht="18" hidden="false" customHeight="true" outlineLevel="0" collapsed="false">
      <c r="A865" s="107" t="str">
        <f aca="false">IF($E865="","",ROW()-3)</f>
        <v/>
      </c>
      <c r="B865" s="110" t="str">
        <f aca="false">IF($E865="","",INDEX(进销存对接!$C$4:$C$305,288))</f>
        <v/>
      </c>
      <c r="C865" s="67" t="str">
        <f aca="false">IF($E865="","","记-"&amp;TEXT($B865,"YYYYMM")&amp;"-进销存")</f>
        <v/>
      </c>
      <c r="D865" s="107" t="str">
        <f aca="false">IF($E865="","",INDEX(进销存对接!$D$4:$D$305,288)&amp;" "&amp;TEXT($B865,"YYYY年M月")&amp;" 自动结转")</f>
        <v/>
      </c>
      <c r="E865" s="67" t="str">
        <f aca="false">IF(INDEX(进销存对接!$M$4:$U$305,288,1)=0,"",INDEX(进销存对接!$M$4:$U$305,288,1))</f>
        <v/>
      </c>
      <c r="F865" s="99" t="str">
        <f aca="false">IF($E865="","",IFERROR(INDEX(科目表!$A$4:$A$81,MATCH($E865,科目表!$B$4:$B$81,0)),""))</f>
        <v/>
      </c>
      <c r="G865" s="67" t="str">
        <f aca="false">IF($E865="","",IFERROR(INDEX(科目表!$E$4:$E$81,MATCH($E865,科目表!$B$4:$B$81,0)),""))</f>
        <v/>
      </c>
      <c r="H865" s="70" t="str">
        <f aca="false">IF($E865="","",N(INDEX(进销存对接!$M$4:$U$305,288,2)))</f>
        <v/>
      </c>
      <c r="I865" s="70" t="str">
        <f aca="false">IF($E865="","",N(INDEX(进销存对接!$M$4:$U$305,288,3)))</f>
        <v/>
      </c>
      <c r="J865" s="67"/>
      <c r="K865" s="67" t="str">
        <f aca="false">IF($E865="","",INDEX(进销存对接!$D$4:$D$305,288))</f>
        <v/>
      </c>
      <c r="L865" s="107"/>
      <c r="M865" s="107"/>
      <c r="N865" s="67" t="str">
        <f aca="false">IF($E865="","","系统")</f>
        <v/>
      </c>
      <c r="O865" s="67" t="str">
        <f aca="false">IF($E865="","","自动A")</f>
        <v/>
      </c>
      <c r="P865" s="18"/>
    </row>
    <row r="866" customFormat="false" ht="18" hidden="false" customHeight="true" outlineLevel="0" collapsed="false">
      <c r="A866" s="107" t="str">
        <f aca="false">IF($E866="","",ROW()-3)</f>
        <v/>
      </c>
      <c r="B866" s="110" t="str">
        <f aca="false">IF($E866="","",INDEX(进销存对接!$C$4:$C$305,288))</f>
        <v/>
      </c>
      <c r="C866" s="67" t="str">
        <f aca="false">IF($E866="","","记-"&amp;TEXT($B866,"YYYYMM")&amp;"-进销存")</f>
        <v/>
      </c>
      <c r="D866" s="107" t="str">
        <f aca="false">IF($E866="","",INDEX(进销存对接!$D$4:$D$305,288)&amp;" "&amp;TEXT($B866,"YYYY年M月")&amp;" 自动结转")</f>
        <v/>
      </c>
      <c r="E866" s="67" t="str">
        <f aca="false">IF(INDEX(进销存对接!$M$4:$U$305,288,4)=0,"",INDEX(进销存对接!$M$4:$U$305,288,4))</f>
        <v/>
      </c>
      <c r="F866" s="99" t="str">
        <f aca="false">IF($E866="","",IFERROR(INDEX(科目表!$A$4:$A$81,MATCH($E866,科目表!$B$4:$B$81,0)),""))</f>
        <v/>
      </c>
      <c r="G866" s="67" t="str">
        <f aca="false">IF($E866="","",IFERROR(INDEX(科目表!$E$4:$E$81,MATCH($E866,科目表!$B$4:$B$81,0)),""))</f>
        <v/>
      </c>
      <c r="H866" s="70" t="str">
        <f aca="false">IF($E866="","",N(INDEX(进销存对接!$M$4:$U$305,288,5)))</f>
        <v/>
      </c>
      <c r="I866" s="70" t="str">
        <f aca="false">IF($E866="","",N(INDEX(进销存对接!$M$4:$U$305,288,6)))</f>
        <v/>
      </c>
      <c r="J866" s="67"/>
      <c r="K866" s="67" t="str">
        <f aca="false">IF($E866="","",INDEX(进销存对接!$D$4:$D$305,288))</f>
        <v/>
      </c>
      <c r="L866" s="107"/>
      <c r="M866" s="107"/>
      <c r="N866" s="67" t="str">
        <f aca="false">IF($E866="","","系统")</f>
        <v/>
      </c>
      <c r="O866" s="67" t="str">
        <f aca="false">IF($E866="","","自动A")</f>
        <v/>
      </c>
      <c r="P866" s="18"/>
    </row>
    <row r="867" customFormat="false" ht="18" hidden="false" customHeight="true" outlineLevel="0" collapsed="false">
      <c r="A867" s="107" t="str">
        <f aca="false">IF($E867="","",ROW()-3)</f>
        <v/>
      </c>
      <c r="B867" s="110" t="str">
        <f aca="false">IF($E867="","",INDEX(进销存对接!$C$4:$C$305,288))</f>
        <v/>
      </c>
      <c r="C867" s="67" t="str">
        <f aca="false">IF($E867="","","记-"&amp;TEXT($B867,"YYYYMM")&amp;"-进销存")</f>
        <v/>
      </c>
      <c r="D867" s="107" t="str">
        <f aca="false">IF($E867="","",INDEX(进销存对接!$D$4:$D$305,288)&amp;" "&amp;TEXT($B867,"YYYY年M月")&amp;" 自动结转")</f>
        <v/>
      </c>
      <c r="E867" s="67" t="str">
        <f aca="false">IF(INDEX(进销存对接!$M$4:$U$305,288,7)=0,"",INDEX(进销存对接!$M$4:$U$305,288,7))</f>
        <v/>
      </c>
      <c r="F867" s="99" t="str">
        <f aca="false">IF($E867="","",IFERROR(INDEX(科目表!$A$4:$A$81,MATCH($E867,科目表!$B$4:$B$81,0)),""))</f>
        <v/>
      </c>
      <c r="G867" s="67" t="str">
        <f aca="false">IF($E867="","",IFERROR(INDEX(科目表!$E$4:$E$81,MATCH($E867,科目表!$B$4:$B$81,0)),""))</f>
        <v/>
      </c>
      <c r="H867" s="70" t="str">
        <f aca="false">IF($E867="","",N(INDEX(进销存对接!$M$4:$U$305,288,8)))</f>
        <v/>
      </c>
      <c r="I867" s="70" t="str">
        <f aca="false">IF($E867="","",N(INDEX(进销存对接!$M$4:$U$305,288,9)))</f>
        <v/>
      </c>
      <c r="J867" s="67"/>
      <c r="K867" s="67" t="str">
        <f aca="false">IF($E867="","",INDEX(进销存对接!$D$4:$D$305,288))</f>
        <v/>
      </c>
      <c r="L867" s="107"/>
      <c r="M867" s="107"/>
      <c r="N867" s="67" t="str">
        <f aca="false">IF($E867="","","系统")</f>
        <v/>
      </c>
      <c r="O867" s="67" t="str">
        <f aca="false">IF($E867="","","自动A")</f>
        <v/>
      </c>
      <c r="P867" s="18"/>
    </row>
    <row r="868" customFormat="false" ht="18" hidden="false" customHeight="true" outlineLevel="0" collapsed="false">
      <c r="A868" s="107" t="str">
        <f aca="false">IF($E868="","",ROW()-3)</f>
        <v/>
      </c>
      <c r="B868" s="110" t="str">
        <f aca="false">IF($E868="","",INDEX(进销存对接!$C$4:$C$305,289))</f>
        <v/>
      </c>
      <c r="C868" s="67" t="str">
        <f aca="false">IF($E868="","","记-"&amp;TEXT($B868,"YYYYMM")&amp;"-进销存")</f>
        <v/>
      </c>
      <c r="D868" s="107" t="str">
        <f aca="false">IF($E868="","",INDEX(进销存对接!$D$4:$D$305,289)&amp;" "&amp;TEXT($B868,"YYYY年M月")&amp;" 自动结转")</f>
        <v/>
      </c>
      <c r="E868" s="67" t="str">
        <f aca="false">IF(INDEX(进销存对接!$M$4:$U$305,289,1)=0,"",INDEX(进销存对接!$M$4:$U$305,289,1))</f>
        <v/>
      </c>
      <c r="F868" s="99" t="str">
        <f aca="false">IF($E868="","",IFERROR(INDEX(科目表!$A$4:$A$81,MATCH($E868,科目表!$B$4:$B$81,0)),""))</f>
        <v/>
      </c>
      <c r="G868" s="67" t="str">
        <f aca="false">IF($E868="","",IFERROR(INDEX(科目表!$E$4:$E$81,MATCH($E868,科目表!$B$4:$B$81,0)),""))</f>
        <v/>
      </c>
      <c r="H868" s="70" t="str">
        <f aca="false">IF($E868="","",N(INDEX(进销存对接!$M$4:$U$305,289,2)))</f>
        <v/>
      </c>
      <c r="I868" s="70" t="str">
        <f aca="false">IF($E868="","",N(INDEX(进销存对接!$M$4:$U$305,289,3)))</f>
        <v/>
      </c>
      <c r="J868" s="67"/>
      <c r="K868" s="67" t="str">
        <f aca="false">IF($E868="","",INDEX(进销存对接!$D$4:$D$305,289))</f>
        <v/>
      </c>
      <c r="L868" s="107"/>
      <c r="M868" s="107"/>
      <c r="N868" s="67" t="str">
        <f aca="false">IF($E868="","","系统")</f>
        <v/>
      </c>
      <c r="O868" s="67" t="str">
        <f aca="false">IF($E868="","","自动A")</f>
        <v/>
      </c>
      <c r="P868" s="18"/>
    </row>
    <row r="869" customFormat="false" ht="18" hidden="false" customHeight="true" outlineLevel="0" collapsed="false">
      <c r="A869" s="107" t="str">
        <f aca="false">IF($E869="","",ROW()-3)</f>
        <v/>
      </c>
      <c r="B869" s="110" t="str">
        <f aca="false">IF($E869="","",INDEX(进销存对接!$C$4:$C$305,289))</f>
        <v/>
      </c>
      <c r="C869" s="67" t="str">
        <f aca="false">IF($E869="","","记-"&amp;TEXT($B869,"YYYYMM")&amp;"-进销存")</f>
        <v/>
      </c>
      <c r="D869" s="107" t="str">
        <f aca="false">IF($E869="","",INDEX(进销存对接!$D$4:$D$305,289)&amp;" "&amp;TEXT($B869,"YYYY年M月")&amp;" 自动结转")</f>
        <v/>
      </c>
      <c r="E869" s="67" t="str">
        <f aca="false">IF(INDEX(进销存对接!$M$4:$U$305,289,4)=0,"",INDEX(进销存对接!$M$4:$U$305,289,4))</f>
        <v/>
      </c>
      <c r="F869" s="99" t="str">
        <f aca="false">IF($E869="","",IFERROR(INDEX(科目表!$A$4:$A$81,MATCH($E869,科目表!$B$4:$B$81,0)),""))</f>
        <v/>
      </c>
      <c r="G869" s="67" t="str">
        <f aca="false">IF($E869="","",IFERROR(INDEX(科目表!$E$4:$E$81,MATCH($E869,科目表!$B$4:$B$81,0)),""))</f>
        <v/>
      </c>
      <c r="H869" s="70" t="str">
        <f aca="false">IF($E869="","",N(INDEX(进销存对接!$M$4:$U$305,289,5)))</f>
        <v/>
      </c>
      <c r="I869" s="70" t="str">
        <f aca="false">IF($E869="","",N(INDEX(进销存对接!$M$4:$U$305,289,6)))</f>
        <v/>
      </c>
      <c r="J869" s="67"/>
      <c r="K869" s="67" t="str">
        <f aca="false">IF($E869="","",INDEX(进销存对接!$D$4:$D$305,289))</f>
        <v/>
      </c>
      <c r="L869" s="107"/>
      <c r="M869" s="107"/>
      <c r="N869" s="67" t="str">
        <f aca="false">IF($E869="","","系统")</f>
        <v/>
      </c>
      <c r="O869" s="67" t="str">
        <f aca="false">IF($E869="","","自动A")</f>
        <v/>
      </c>
      <c r="P869" s="18"/>
    </row>
    <row r="870" customFormat="false" ht="18" hidden="false" customHeight="true" outlineLevel="0" collapsed="false">
      <c r="A870" s="107" t="str">
        <f aca="false">IF($E870="","",ROW()-3)</f>
        <v/>
      </c>
      <c r="B870" s="110" t="str">
        <f aca="false">IF($E870="","",INDEX(进销存对接!$C$4:$C$305,289))</f>
        <v/>
      </c>
      <c r="C870" s="67" t="str">
        <f aca="false">IF($E870="","","记-"&amp;TEXT($B870,"YYYYMM")&amp;"-进销存")</f>
        <v/>
      </c>
      <c r="D870" s="107" t="str">
        <f aca="false">IF($E870="","",INDEX(进销存对接!$D$4:$D$305,289)&amp;" "&amp;TEXT($B870,"YYYY年M月")&amp;" 自动结转")</f>
        <v/>
      </c>
      <c r="E870" s="67" t="str">
        <f aca="false">IF(INDEX(进销存对接!$M$4:$U$305,289,7)=0,"",INDEX(进销存对接!$M$4:$U$305,289,7))</f>
        <v/>
      </c>
      <c r="F870" s="99" t="str">
        <f aca="false">IF($E870="","",IFERROR(INDEX(科目表!$A$4:$A$81,MATCH($E870,科目表!$B$4:$B$81,0)),""))</f>
        <v/>
      </c>
      <c r="G870" s="67" t="str">
        <f aca="false">IF($E870="","",IFERROR(INDEX(科目表!$E$4:$E$81,MATCH($E870,科目表!$B$4:$B$81,0)),""))</f>
        <v/>
      </c>
      <c r="H870" s="70" t="str">
        <f aca="false">IF($E870="","",N(INDEX(进销存对接!$M$4:$U$305,289,8)))</f>
        <v/>
      </c>
      <c r="I870" s="70" t="str">
        <f aca="false">IF($E870="","",N(INDEX(进销存对接!$M$4:$U$305,289,9)))</f>
        <v/>
      </c>
      <c r="J870" s="67"/>
      <c r="K870" s="67" t="str">
        <f aca="false">IF($E870="","",INDEX(进销存对接!$D$4:$D$305,289))</f>
        <v/>
      </c>
      <c r="L870" s="107"/>
      <c r="M870" s="107"/>
      <c r="N870" s="67" t="str">
        <f aca="false">IF($E870="","","系统")</f>
        <v/>
      </c>
      <c r="O870" s="67" t="str">
        <f aca="false">IF($E870="","","自动A")</f>
        <v/>
      </c>
      <c r="P870" s="18"/>
    </row>
    <row r="871" customFormat="false" ht="18" hidden="false" customHeight="true" outlineLevel="0" collapsed="false">
      <c r="A871" s="107" t="str">
        <f aca="false">IF($E871="","",ROW()-3)</f>
        <v/>
      </c>
      <c r="B871" s="110" t="str">
        <f aca="false">IF($E871="","",INDEX(进销存对接!$C$4:$C$305,290))</f>
        <v/>
      </c>
      <c r="C871" s="67" t="str">
        <f aca="false">IF($E871="","","记-"&amp;TEXT($B871,"YYYYMM")&amp;"-进销存")</f>
        <v/>
      </c>
      <c r="D871" s="107" t="str">
        <f aca="false">IF($E871="","",INDEX(进销存对接!$D$4:$D$305,290)&amp;" "&amp;TEXT($B871,"YYYY年M月")&amp;" 自动结转")</f>
        <v/>
      </c>
      <c r="E871" s="67" t="str">
        <f aca="false">IF(INDEX(进销存对接!$M$4:$U$305,290,1)=0,"",INDEX(进销存对接!$M$4:$U$305,290,1))</f>
        <v/>
      </c>
      <c r="F871" s="99" t="str">
        <f aca="false">IF($E871="","",IFERROR(INDEX(科目表!$A$4:$A$81,MATCH($E871,科目表!$B$4:$B$81,0)),""))</f>
        <v/>
      </c>
      <c r="G871" s="67" t="str">
        <f aca="false">IF($E871="","",IFERROR(INDEX(科目表!$E$4:$E$81,MATCH($E871,科目表!$B$4:$B$81,0)),""))</f>
        <v/>
      </c>
      <c r="H871" s="70" t="str">
        <f aca="false">IF($E871="","",N(INDEX(进销存对接!$M$4:$U$305,290,2)))</f>
        <v/>
      </c>
      <c r="I871" s="70" t="str">
        <f aca="false">IF($E871="","",N(INDEX(进销存对接!$M$4:$U$305,290,3)))</f>
        <v/>
      </c>
      <c r="J871" s="67"/>
      <c r="K871" s="67" t="str">
        <f aca="false">IF($E871="","",INDEX(进销存对接!$D$4:$D$305,290))</f>
        <v/>
      </c>
      <c r="L871" s="107"/>
      <c r="M871" s="107"/>
      <c r="N871" s="67" t="str">
        <f aca="false">IF($E871="","","系统")</f>
        <v/>
      </c>
      <c r="O871" s="67" t="str">
        <f aca="false">IF($E871="","","自动A")</f>
        <v/>
      </c>
      <c r="P871" s="18"/>
    </row>
    <row r="872" customFormat="false" ht="18" hidden="false" customHeight="true" outlineLevel="0" collapsed="false">
      <c r="A872" s="107" t="str">
        <f aca="false">IF($E872="","",ROW()-3)</f>
        <v/>
      </c>
      <c r="B872" s="110" t="str">
        <f aca="false">IF($E872="","",INDEX(进销存对接!$C$4:$C$305,290))</f>
        <v/>
      </c>
      <c r="C872" s="67" t="str">
        <f aca="false">IF($E872="","","记-"&amp;TEXT($B872,"YYYYMM")&amp;"-进销存")</f>
        <v/>
      </c>
      <c r="D872" s="107" t="str">
        <f aca="false">IF($E872="","",INDEX(进销存对接!$D$4:$D$305,290)&amp;" "&amp;TEXT($B872,"YYYY年M月")&amp;" 自动结转")</f>
        <v/>
      </c>
      <c r="E872" s="67" t="str">
        <f aca="false">IF(INDEX(进销存对接!$M$4:$U$305,290,4)=0,"",INDEX(进销存对接!$M$4:$U$305,290,4))</f>
        <v/>
      </c>
      <c r="F872" s="99" t="str">
        <f aca="false">IF($E872="","",IFERROR(INDEX(科目表!$A$4:$A$81,MATCH($E872,科目表!$B$4:$B$81,0)),""))</f>
        <v/>
      </c>
      <c r="G872" s="67" t="str">
        <f aca="false">IF($E872="","",IFERROR(INDEX(科目表!$E$4:$E$81,MATCH($E872,科目表!$B$4:$B$81,0)),""))</f>
        <v/>
      </c>
      <c r="H872" s="70" t="str">
        <f aca="false">IF($E872="","",N(INDEX(进销存对接!$M$4:$U$305,290,5)))</f>
        <v/>
      </c>
      <c r="I872" s="70" t="str">
        <f aca="false">IF($E872="","",N(INDEX(进销存对接!$M$4:$U$305,290,6)))</f>
        <v/>
      </c>
      <c r="J872" s="67"/>
      <c r="K872" s="67" t="str">
        <f aca="false">IF($E872="","",INDEX(进销存对接!$D$4:$D$305,290))</f>
        <v/>
      </c>
      <c r="L872" s="107"/>
      <c r="M872" s="107"/>
      <c r="N872" s="67" t="str">
        <f aca="false">IF($E872="","","系统")</f>
        <v/>
      </c>
      <c r="O872" s="67" t="str">
        <f aca="false">IF($E872="","","自动A")</f>
        <v/>
      </c>
      <c r="P872" s="18"/>
    </row>
    <row r="873" customFormat="false" ht="18" hidden="false" customHeight="true" outlineLevel="0" collapsed="false">
      <c r="A873" s="107" t="str">
        <f aca="false">IF($E873="","",ROW()-3)</f>
        <v/>
      </c>
      <c r="B873" s="110" t="str">
        <f aca="false">IF($E873="","",INDEX(进销存对接!$C$4:$C$305,290))</f>
        <v/>
      </c>
      <c r="C873" s="67" t="str">
        <f aca="false">IF($E873="","","记-"&amp;TEXT($B873,"YYYYMM")&amp;"-进销存")</f>
        <v/>
      </c>
      <c r="D873" s="107" t="str">
        <f aca="false">IF($E873="","",INDEX(进销存对接!$D$4:$D$305,290)&amp;" "&amp;TEXT($B873,"YYYY年M月")&amp;" 自动结转")</f>
        <v/>
      </c>
      <c r="E873" s="67" t="str">
        <f aca="false">IF(INDEX(进销存对接!$M$4:$U$305,290,7)=0,"",INDEX(进销存对接!$M$4:$U$305,290,7))</f>
        <v/>
      </c>
      <c r="F873" s="99" t="str">
        <f aca="false">IF($E873="","",IFERROR(INDEX(科目表!$A$4:$A$81,MATCH($E873,科目表!$B$4:$B$81,0)),""))</f>
        <v/>
      </c>
      <c r="G873" s="67" t="str">
        <f aca="false">IF($E873="","",IFERROR(INDEX(科目表!$E$4:$E$81,MATCH($E873,科目表!$B$4:$B$81,0)),""))</f>
        <v/>
      </c>
      <c r="H873" s="70" t="str">
        <f aca="false">IF($E873="","",N(INDEX(进销存对接!$M$4:$U$305,290,8)))</f>
        <v/>
      </c>
      <c r="I873" s="70" t="str">
        <f aca="false">IF($E873="","",N(INDEX(进销存对接!$M$4:$U$305,290,9)))</f>
        <v/>
      </c>
      <c r="J873" s="67"/>
      <c r="K873" s="67" t="str">
        <f aca="false">IF($E873="","",INDEX(进销存对接!$D$4:$D$305,290))</f>
        <v/>
      </c>
      <c r="L873" s="107"/>
      <c r="M873" s="107"/>
      <c r="N873" s="67" t="str">
        <f aca="false">IF($E873="","","系统")</f>
        <v/>
      </c>
      <c r="O873" s="67" t="str">
        <f aca="false">IF($E873="","","自动A")</f>
        <v/>
      </c>
      <c r="P873" s="18"/>
    </row>
    <row r="874" customFormat="false" ht="18" hidden="false" customHeight="true" outlineLevel="0" collapsed="false">
      <c r="A874" s="107" t="str">
        <f aca="false">IF($E874="","",ROW()-3)</f>
        <v/>
      </c>
      <c r="B874" s="110" t="str">
        <f aca="false">IF($E874="","",INDEX(进销存对接!$C$4:$C$305,291))</f>
        <v/>
      </c>
      <c r="C874" s="67" t="str">
        <f aca="false">IF($E874="","","记-"&amp;TEXT($B874,"YYYYMM")&amp;"-进销存")</f>
        <v/>
      </c>
      <c r="D874" s="107" t="str">
        <f aca="false">IF($E874="","",INDEX(进销存对接!$D$4:$D$305,291)&amp;" "&amp;TEXT($B874,"YYYY年M月")&amp;" 自动结转")</f>
        <v/>
      </c>
      <c r="E874" s="67" t="str">
        <f aca="false">IF(INDEX(进销存对接!$M$4:$U$305,291,1)=0,"",INDEX(进销存对接!$M$4:$U$305,291,1))</f>
        <v/>
      </c>
      <c r="F874" s="99" t="str">
        <f aca="false">IF($E874="","",IFERROR(INDEX(科目表!$A$4:$A$81,MATCH($E874,科目表!$B$4:$B$81,0)),""))</f>
        <v/>
      </c>
      <c r="G874" s="67" t="str">
        <f aca="false">IF($E874="","",IFERROR(INDEX(科目表!$E$4:$E$81,MATCH($E874,科目表!$B$4:$B$81,0)),""))</f>
        <v/>
      </c>
      <c r="H874" s="70" t="str">
        <f aca="false">IF($E874="","",N(INDEX(进销存对接!$M$4:$U$305,291,2)))</f>
        <v/>
      </c>
      <c r="I874" s="70" t="str">
        <f aca="false">IF($E874="","",N(INDEX(进销存对接!$M$4:$U$305,291,3)))</f>
        <v/>
      </c>
      <c r="J874" s="67"/>
      <c r="K874" s="67" t="str">
        <f aca="false">IF($E874="","",INDEX(进销存对接!$D$4:$D$305,291))</f>
        <v/>
      </c>
      <c r="L874" s="107"/>
      <c r="M874" s="107"/>
      <c r="N874" s="67" t="str">
        <f aca="false">IF($E874="","","系统")</f>
        <v/>
      </c>
      <c r="O874" s="67" t="str">
        <f aca="false">IF($E874="","","自动A")</f>
        <v/>
      </c>
      <c r="P874" s="18"/>
    </row>
    <row r="875" customFormat="false" ht="18" hidden="false" customHeight="true" outlineLevel="0" collapsed="false">
      <c r="A875" s="107" t="str">
        <f aca="false">IF($E875="","",ROW()-3)</f>
        <v/>
      </c>
      <c r="B875" s="110" t="str">
        <f aca="false">IF($E875="","",INDEX(进销存对接!$C$4:$C$305,291))</f>
        <v/>
      </c>
      <c r="C875" s="67" t="str">
        <f aca="false">IF($E875="","","记-"&amp;TEXT($B875,"YYYYMM")&amp;"-进销存")</f>
        <v/>
      </c>
      <c r="D875" s="107" t="str">
        <f aca="false">IF($E875="","",INDEX(进销存对接!$D$4:$D$305,291)&amp;" "&amp;TEXT($B875,"YYYY年M月")&amp;" 自动结转")</f>
        <v/>
      </c>
      <c r="E875" s="67" t="str">
        <f aca="false">IF(INDEX(进销存对接!$M$4:$U$305,291,4)=0,"",INDEX(进销存对接!$M$4:$U$305,291,4))</f>
        <v/>
      </c>
      <c r="F875" s="99" t="str">
        <f aca="false">IF($E875="","",IFERROR(INDEX(科目表!$A$4:$A$81,MATCH($E875,科目表!$B$4:$B$81,0)),""))</f>
        <v/>
      </c>
      <c r="G875" s="67" t="str">
        <f aca="false">IF($E875="","",IFERROR(INDEX(科目表!$E$4:$E$81,MATCH($E875,科目表!$B$4:$B$81,0)),""))</f>
        <v/>
      </c>
      <c r="H875" s="70" t="str">
        <f aca="false">IF($E875="","",N(INDEX(进销存对接!$M$4:$U$305,291,5)))</f>
        <v/>
      </c>
      <c r="I875" s="70" t="str">
        <f aca="false">IF($E875="","",N(INDEX(进销存对接!$M$4:$U$305,291,6)))</f>
        <v/>
      </c>
      <c r="J875" s="67"/>
      <c r="K875" s="67" t="str">
        <f aca="false">IF($E875="","",INDEX(进销存对接!$D$4:$D$305,291))</f>
        <v/>
      </c>
      <c r="L875" s="107"/>
      <c r="M875" s="107"/>
      <c r="N875" s="67" t="str">
        <f aca="false">IF($E875="","","系统")</f>
        <v/>
      </c>
      <c r="O875" s="67" t="str">
        <f aca="false">IF($E875="","","自动A")</f>
        <v/>
      </c>
      <c r="P875" s="18"/>
    </row>
    <row r="876" customFormat="false" ht="18" hidden="false" customHeight="true" outlineLevel="0" collapsed="false">
      <c r="A876" s="107" t="str">
        <f aca="false">IF($E876="","",ROW()-3)</f>
        <v/>
      </c>
      <c r="B876" s="110" t="str">
        <f aca="false">IF($E876="","",INDEX(进销存对接!$C$4:$C$305,291))</f>
        <v/>
      </c>
      <c r="C876" s="67" t="str">
        <f aca="false">IF($E876="","","记-"&amp;TEXT($B876,"YYYYMM")&amp;"-进销存")</f>
        <v/>
      </c>
      <c r="D876" s="107" t="str">
        <f aca="false">IF($E876="","",INDEX(进销存对接!$D$4:$D$305,291)&amp;" "&amp;TEXT($B876,"YYYY年M月")&amp;" 自动结转")</f>
        <v/>
      </c>
      <c r="E876" s="67" t="str">
        <f aca="false">IF(INDEX(进销存对接!$M$4:$U$305,291,7)=0,"",INDEX(进销存对接!$M$4:$U$305,291,7))</f>
        <v/>
      </c>
      <c r="F876" s="99" t="str">
        <f aca="false">IF($E876="","",IFERROR(INDEX(科目表!$A$4:$A$81,MATCH($E876,科目表!$B$4:$B$81,0)),""))</f>
        <v/>
      </c>
      <c r="G876" s="67" t="str">
        <f aca="false">IF($E876="","",IFERROR(INDEX(科目表!$E$4:$E$81,MATCH($E876,科目表!$B$4:$B$81,0)),""))</f>
        <v/>
      </c>
      <c r="H876" s="70" t="str">
        <f aca="false">IF($E876="","",N(INDEX(进销存对接!$M$4:$U$305,291,8)))</f>
        <v/>
      </c>
      <c r="I876" s="70" t="str">
        <f aca="false">IF($E876="","",N(INDEX(进销存对接!$M$4:$U$305,291,9)))</f>
        <v/>
      </c>
      <c r="J876" s="67"/>
      <c r="K876" s="67" t="str">
        <f aca="false">IF($E876="","",INDEX(进销存对接!$D$4:$D$305,291))</f>
        <v/>
      </c>
      <c r="L876" s="107"/>
      <c r="M876" s="107"/>
      <c r="N876" s="67" t="str">
        <f aca="false">IF($E876="","","系统")</f>
        <v/>
      </c>
      <c r="O876" s="67" t="str">
        <f aca="false">IF($E876="","","自动A")</f>
        <v/>
      </c>
      <c r="P876" s="18"/>
    </row>
    <row r="877" customFormat="false" ht="18" hidden="false" customHeight="true" outlineLevel="0" collapsed="false">
      <c r="A877" s="107" t="str">
        <f aca="false">IF($E877="","",ROW()-3)</f>
        <v/>
      </c>
      <c r="B877" s="110" t="str">
        <f aca="false">IF($E877="","",INDEX(进销存对接!$C$4:$C$305,292))</f>
        <v/>
      </c>
      <c r="C877" s="67" t="str">
        <f aca="false">IF($E877="","","记-"&amp;TEXT($B877,"YYYYMM")&amp;"-进销存")</f>
        <v/>
      </c>
      <c r="D877" s="107" t="str">
        <f aca="false">IF($E877="","",INDEX(进销存对接!$D$4:$D$305,292)&amp;" "&amp;TEXT($B877,"YYYY年M月")&amp;" 自动结转")</f>
        <v/>
      </c>
      <c r="E877" s="67" t="str">
        <f aca="false">IF(INDEX(进销存对接!$M$4:$U$305,292,1)=0,"",INDEX(进销存对接!$M$4:$U$305,292,1))</f>
        <v/>
      </c>
      <c r="F877" s="99" t="str">
        <f aca="false">IF($E877="","",IFERROR(INDEX(科目表!$A$4:$A$81,MATCH($E877,科目表!$B$4:$B$81,0)),""))</f>
        <v/>
      </c>
      <c r="G877" s="67" t="str">
        <f aca="false">IF($E877="","",IFERROR(INDEX(科目表!$E$4:$E$81,MATCH($E877,科目表!$B$4:$B$81,0)),""))</f>
        <v/>
      </c>
      <c r="H877" s="70" t="str">
        <f aca="false">IF($E877="","",N(INDEX(进销存对接!$M$4:$U$305,292,2)))</f>
        <v/>
      </c>
      <c r="I877" s="70" t="str">
        <f aca="false">IF($E877="","",N(INDEX(进销存对接!$M$4:$U$305,292,3)))</f>
        <v/>
      </c>
      <c r="J877" s="67"/>
      <c r="K877" s="67" t="str">
        <f aca="false">IF($E877="","",INDEX(进销存对接!$D$4:$D$305,292))</f>
        <v/>
      </c>
      <c r="L877" s="107"/>
      <c r="M877" s="107"/>
      <c r="N877" s="67" t="str">
        <f aca="false">IF($E877="","","系统")</f>
        <v/>
      </c>
      <c r="O877" s="67" t="str">
        <f aca="false">IF($E877="","","自动A")</f>
        <v/>
      </c>
      <c r="P877" s="18"/>
    </row>
    <row r="878" customFormat="false" ht="18" hidden="false" customHeight="true" outlineLevel="0" collapsed="false">
      <c r="A878" s="107" t="str">
        <f aca="false">IF($E878="","",ROW()-3)</f>
        <v/>
      </c>
      <c r="B878" s="110" t="str">
        <f aca="false">IF($E878="","",INDEX(进销存对接!$C$4:$C$305,292))</f>
        <v/>
      </c>
      <c r="C878" s="67" t="str">
        <f aca="false">IF($E878="","","记-"&amp;TEXT($B878,"YYYYMM")&amp;"-进销存")</f>
        <v/>
      </c>
      <c r="D878" s="107" t="str">
        <f aca="false">IF($E878="","",INDEX(进销存对接!$D$4:$D$305,292)&amp;" "&amp;TEXT($B878,"YYYY年M月")&amp;" 自动结转")</f>
        <v/>
      </c>
      <c r="E878" s="67" t="str">
        <f aca="false">IF(INDEX(进销存对接!$M$4:$U$305,292,4)=0,"",INDEX(进销存对接!$M$4:$U$305,292,4))</f>
        <v/>
      </c>
      <c r="F878" s="99" t="str">
        <f aca="false">IF($E878="","",IFERROR(INDEX(科目表!$A$4:$A$81,MATCH($E878,科目表!$B$4:$B$81,0)),""))</f>
        <v/>
      </c>
      <c r="G878" s="67" t="str">
        <f aca="false">IF($E878="","",IFERROR(INDEX(科目表!$E$4:$E$81,MATCH($E878,科目表!$B$4:$B$81,0)),""))</f>
        <v/>
      </c>
      <c r="H878" s="70" t="str">
        <f aca="false">IF($E878="","",N(INDEX(进销存对接!$M$4:$U$305,292,5)))</f>
        <v/>
      </c>
      <c r="I878" s="70" t="str">
        <f aca="false">IF($E878="","",N(INDEX(进销存对接!$M$4:$U$305,292,6)))</f>
        <v/>
      </c>
      <c r="J878" s="67"/>
      <c r="K878" s="67" t="str">
        <f aca="false">IF($E878="","",INDEX(进销存对接!$D$4:$D$305,292))</f>
        <v/>
      </c>
      <c r="L878" s="107"/>
      <c r="M878" s="107"/>
      <c r="N878" s="67" t="str">
        <f aca="false">IF($E878="","","系统")</f>
        <v/>
      </c>
      <c r="O878" s="67" t="str">
        <f aca="false">IF($E878="","","自动A")</f>
        <v/>
      </c>
      <c r="P878" s="18"/>
    </row>
    <row r="879" customFormat="false" ht="18" hidden="false" customHeight="true" outlineLevel="0" collapsed="false">
      <c r="A879" s="107" t="str">
        <f aca="false">IF($E879="","",ROW()-3)</f>
        <v/>
      </c>
      <c r="B879" s="110" t="str">
        <f aca="false">IF($E879="","",INDEX(进销存对接!$C$4:$C$305,292))</f>
        <v/>
      </c>
      <c r="C879" s="67" t="str">
        <f aca="false">IF($E879="","","记-"&amp;TEXT($B879,"YYYYMM")&amp;"-进销存")</f>
        <v/>
      </c>
      <c r="D879" s="107" t="str">
        <f aca="false">IF($E879="","",INDEX(进销存对接!$D$4:$D$305,292)&amp;" "&amp;TEXT($B879,"YYYY年M月")&amp;" 自动结转")</f>
        <v/>
      </c>
      <c r="E879" s="67" t="str">
        <f aca="false">IF(INDEX(进销存对接!$M$4:$U$305,292,7)=0,"",INDEX(进销存对接!$M$4:$U$305,292,7))</f>
        <v/>
      </c>
      <c r="F879" s="99" t="str">
        <f aca="false">IF($E879="","",IFERROR(INDEX(科目表!$A$4:$A$81,MATCH($E879,科目表!$B$4:$B$81,0)),""))</f>
        <v/>
      </c>
      <c r="G879" s="67" t="str">
        <f aca="false">IF($E879="","",IFERROR(INDEX(科目表!$E$4:$E$81,MATCH($E879,科目表!$B$4:$B$81,0)),""))</f>
        <v/>
      </c>
      <c r="H879" s="70" t="str">
        <f aca="false">IF($E879="","",N(INDEX(进销存对接!$M$4:$U$305,292,8)))</f>
        <v/>
      </c>
      <c r="I879" s="70" t="str">
        <f aca="false">IF($E879="","",N(INDEX(进销存对接!$M$4:$U$305,292,9)))</f>
        <v/>
      </c>
      <c r="J879" s="67"/>
      <c r="K879" s="67" t="str">
        <f aca="false">IF($E879="","",INDEX(进销存对接!$D$4:$D$305,292))</f>
        <v/>
      </c>
      <c r="L879" s="107"/>
      <c r="M879" s="107"/>
      <c r="N879" s="67" t="str">
        <f aca="false">IF($E879="","","系统")</f>
        <v/>
      </c>
      <c r="O879" s="67" t="str">
        <f aca="false">IF($E879="","","自动A")</f>
        <v/>
      </c>
      <c r="P879" s="18"/>
    </row>
    <row r="880" customFormat="false" ht="18" hidden="false" customHeight="true" outlineLevel="0" collapsed="false">
      <c r="A880" s="107" t="str">
        <f aca="false">IF($E880="","",ROW()-3)</f>
        <v/>
      </c>
      <c r="B880" s="110" t="str">
        <f aca="false">IF($E880="","",INDEX(进销存对接!$C$4:$C$305,293))</f>
        <v/>
      </c>
      <c r="C880" s="67" t="str">
        <f aca="false">IF($E880="","","记-"&amp;TEXT($B880,"YYYYMM")&amp;"-进销存")</f>
        <v/>
      </c>
      <c r="D880" s="107" t="str">
        <f aca="false">IF($E880="","",INDEX(进销存对接!$D$4:$D$305,293)&amp;" "&amp;TEXT($B880,"YYYY年M月")&amp;" 自动结转")</f>
        <v/>
      </c>
      <c r="E880" s="67" t="str">
        <f aca="false">IF(INDEX(进销存对接!$M$4:$U$305,293,1)=0,"",INDEX(进销存对接!$M$4:$U$305,293,1))</f>
        <v/>
      </c>
      <c r="F880" s="99" t="str">
        <f aca="false">IF($E880="","",IFERROR(INDEX(科目表!$A$4:$A$81,MATCH($E880,科目表!$B$4:$B$81,0)),""))</f>
        <v/>
      </c>
      <c r="G880" s="67" t="str">
        <f aca="false">IF($E880="","",IFERROR(INDEX(科目表!$E$4:$E$81,MATCH($E880,科目表!$B$4:$B$81,0)),""))</f>
        <v/>
      </c>
      <c r="H880" s="70" t="str">
        <f aca="false">IF($E880="","",N(INDEX(进销存对接!$M$4:$U$305,293,2)))</f>
        <v/>
      </c>
      <c r="I880" s="70" t="str">
        <f aca="false">IF($E880="","",N(INDEX(进销存对接!$M$4:$U$305,293,3)))</f>
        <v/>
      </c>
      <c r="J880" s="67"/>
      <c r="K880" s="67" t="str">
        <f aca="false">IF($E880="","",INDEX(进销存对接!$D$4:$D$305,293))</f>
        <v/>
      </c>
      <c r="L880" s="107"/>
      <c r="M880" s="107"/>
      <c r="N880" s="67" t="str">
        <f aca="false">IF($E880="","","系统")</f>
        <v/>
      </c>
      <c r="O880" s="67" t="str">
        <f aca="false">IF($E880="","","自动A")</f>
        <v/>
      </c>
      <c r="P880" s="18"/>
    </row>
    <row r="881" customFormat="false" ht="18" hidden="false" customHeight="true" outlineLevel="0" collapsed="false">
      <c r="A881" s="107" t="str">
        <f aca="false">IF($E881="","",ROW()-3)</f>
        <v/>
      </c>
      <c r="B881" s="110" t="str">
        <f aca="false">IF($E881="","",INDEX(进销存对接!$C$4:$C$305,293))</f>
        <v/>
      </c>
      <c r="C881" s="67" t="str">
        <f aca="false">IF($E881="","","记-"&amp;TEXT($B881,"YYYYMM")&amp;"-进销存")</f>
        <v/>
      </c>
      <c r="D881" s="107" t="str">
        <f aca="false">IF($E881="","",INDEX(进销存对接!$D$4:$D$305,293)&amp;" "&amp;TEXT($B881,"YYYY年M月")&amp;" 自动结转")</f>
        <v/>
      </c>
      <c r="E881" s="67" t="str">
        <f aca="false">IF(INDEX(进销存对接!$M$4:$U$305,293,4)=0,"",INDEX(进销存对接!$M$4:$U$305,293,4))</f>
        <v/>
      </c>
      <c r="F881" s="99" t="str">
        <f aca="false">IF($E881="","",IFERROR(INDEX(科目表!$A$4:$A$81,MATCH($E881,科目表!$B$4:$B$81,0)),""))</f>
        <v/>
      </c>
      <c r="G881" s="67" t="str">
        <f aca="false">IF($E881="","",IFERROR(INDEX(科目表!$E$4:$E$81,MATCH($E881,科目表!$B$4:$B$81,0)),""))</f>
        <v/>
      </c>
      <c r="H881" s="70" t="str">
        <f aca="false">IF($E881="","",N(INDEX(进销存对接!$M$4:$U$305,293,5)))</f>
        <v/>
      </c>
      <c r="I881" s="70" t="str">
        <f aca="false">IF($E881="","",N(INDEX(进销存对接!$M$4:$U$305,293,6)))</f>
        <v/>
      </c>
      <c r="J881" s="67"/>
      <c r="K881" s="67" t="str">
        <f aca="false">IF($E881="","",INDEX(进销存对接!$D$4:$D$305,293))</f>
        <v/>
      </c>
      <c r="L881" s="107"/>
      <c r="M881" s="107"/>
      <c r="N881" s="67" t="str">
        <f aca="false">IF($E881="","","系统")</f>
        <v/>
      </c>
      <c r="O881" s="67" t="str">
        <f aca="false">IF($E881="","","自动A")</f>
        <v/>
      </c>
      <c r="P881" s="18"/>
    </row>
    <row r="882" customFormat="false" ht="18" hidden="false" customHeight="true" outlineLevel="0" collapsed="false">
      <c r="A882" s="107" t="str">
        <f aca="false">IF($E882="","",ROW()-3)</f>
        <v/>
      </c>
      <c r="B882" s="110" t="str">
        <f aca="false">IF($E882="","",INDEX(进销存对接!$C$4:$C$305,293))</f>
        <v/>
      </c>
      <c r="C882" s="67" t="str">
        <f aca="false">IF($E882="","","记-"&amp;TEXT($B882,"YYYYMM")&amp;"-进销存")</f>
        <v/>
      </c>
      <c r="D882" s="107" t="str">
        <f aca="false">IF($E882="","",INDEX(进销存对接!$D$4:$D$305,293)&amp;" "&amp;TEXT($B882,"YYYY年M月")&amp;" 自动结转")</f>
        <v/>
      </c>
      <c r="E882" s="67" t="str">
        <f aca="false">IF(INDEX(进销存对接!$M$4:$U$305,293,7)=0,"",INDEX(进销存对接!$M$4:$U$305,293,7))</f>
        <v/>
      </c>
      <c r="F882" s="99" t="str">
        <f aca="false">IF($E882="","",IFERROR(INDEX(科目表!$A$4:$A$81,MATCH($E882,科目表!$B$4:$B$81,0)),""))</f>
        <v/>
      </c>
      <c r="G882" s="67" t="str">
        <f aca="false">IF($E882="","",IFERROR(INDEX(科目表!$E$4:$E$81,MATCH($E882,科目表!$B$4:$B$81,0)),""))</f>
        <v/>
      </c>
      <c r="H882" s="70" t="str">
        <f aca="false">IF($E882="","",N(INDEX(进销存对接!$M$4:$U$305,293,8)))</f>
        <v/>
      </c>
      <c r="I882" s="70" t="str">
        <f aca="false">IF($E882="","",N(INDEX(进销存对接!$M$4:$U$305,293,9)))</f>
        <v/>
      </c>
      <c r="J882" s="67"/>
      <c r="K882" s="67" t="str">
        <f aca="false">IF($E882="","",INDEX(进销存对接!$D$4:$D$305,293))</f>
        <v/>
      </c>
      <c r="L882" s="107"/>
      <c r="M882" s="107"/>
      <c r="N882" s="67" t="str">
        <f aca="false">IF($E882="","","系统")</f>
        <v/>
      </c>
      <c r="O882" s="67" t="str">
        <f aca="false">IF($E882="","","自动A")</f>
        <v/>
      </c>
      <c r="P882" s="18"/>
    </row>
    <row r="883" customFormat="false" ht="18" hidden="false" customHeight="true" outlineLevel="0" collapsed="false">
      <c r="A883" s="107" t="str">
        <f aca="false">IF($E883="","",ROW()-3)</f>
        <v/>
      </c>
      <c r="B883" s="110" t="str">
        <f aca="false">IF($E883="","",INDEX(进销存对接!$C$4:$C$305,294))</f>
        <v/>
      </c>
      <c r="C883" s="67" t="str">
        <f aca="false">IF($E883="","","记-"&amp;TEXT($B883,"YYYYMM")&amp;"-进销存")</f>
        <v/>
      </c>
      <c r="D883" s="107" t="str">
        <f aca="false">IF($E883="","",INDEX(进销存对接!$D$4:$D$305,294)&amp;" "&amp;TEXT($B883,"YYYY年M月")&amp;" 自动结转")</f>
        <v/>
      </c>
      <c r="E883" s="67" t="str">
        <f aca="false">IF(INDEX(进销存对接!$M$4:$U$305,294,1)=0,"",INDEX(进销存对接!$M$4:$U$305,294,1))</f>
        <v/>
      </c>
      <c r="F883" s="99" t="str">
        <f aca="false">IF($E883="","",IFERROR(INDEX(科目表!$A$4:$A$81,MATCH($E883,科目表!$B$4:$B$81,0)),""))</f>
        <v/>
      </c>
      <c r="G883" s="67" t="str">
        <f aca="false">IF($E883="","",IFERROR(INDEX(科目表!$E$4:$E$81,MATCH($E883,科目表!$B$4:$B$81,0)),""))</f>
        <v/>
      </c>
      <c r="H883" s="70" t="str">
        <f aca="false">IF($E883="","",N(INDEX(进销存对接!$M$4:$U$305,294,2)))</f>
        <v/>
      </c>
      <c r="I883" s="70" t="str">
        <f aca="false">IF($E883="","",N(INDEX(进销存对接!$M$4:$U$305,294,3)))</f>
        <v/>
      </c>
      <c r="J883" s="67"/>
      <c r="K883" s="67" t="str">
        <f aca="false">IF($E883="","",INDEX(进销存对接!$D$4:$D$305,294))</f>
        <v/>
      </c>
      <c r="L883" s="107"/>
      <c r="M883" s="107"/>
      <c r="N883" s="67" t="str">
        <f aca="false">IF($E883="","","系统")</f>
        <v/>
      </c>
      <c r="O883" s="67" t="str">
        <f aca="false">IF($E883="","","自动A")</f>
        <v/>
      </c>
      <c r="P883" s="18"/>
    </row>
    <row r="884" customFormat="false" ht="18" hidden="false" customHeight="true" outlineLevel="0" collapsed="false">
      <c r="A884" s="107" t="str">
        <f aca="false">IF($E884="","",ROW()-3)</f>
        <v/>
      </c>
      <c r="B884" s="110" t="str">
        <f aca="false">IF($E884="","",INDEX(进销存对接!$C$4:$C$305,294))</f>
        <v/>
      </c>
      <c r="C884" s="67" t="str">
        <f aca="false">IF($E884="","","记-"&amp;TEXT($B884,"YYYYMM")&amp;"-进销存")</f>
        <v/>
      </c>
      <c r="D884" s="107" t="str">
        <f aca="false">IF($E884="","",INDEX(进销存对接!$D$4:$D$305,294)&amp;" "&amp;TEXT($B884,"YYYY年M月")&amp;" 自动结转")</f>
        <v/>
      </c>
      <c r="E884" s="67" t="str">
        <f aca="false">IF(INDEX(进销存对接!$M$4:$U$305,294,4)=0,"",INDEX(进销存对接!$M$4:$U$305,294,4))</f>
        <v/>
      </c>
      <c r="F884" s="99" t="str">
        <f aca="false">IF($E884="","",IFERROR(INDEX(科目表!$A$4:$A$81,MATCH($E884,科目表!$B$4:$B$81,0)),""))</f>
        <v/>
      </c>
      <c r="G884" s="67" t="str">
        <f aca="false">IF($E884="","",IFERROR(INDEX(科目表!$E$4:$E$81,MATCH($E884,科目表!$B$4:$B$81,0)),""))</f>
        <v/>
      </c>
      <c r="H884" s="70" t="str">
        <f aca="false">IF($E884="","",N(INDEX(进销存对接!$M$4:$U$305,294,5)))</f>
        <v/>
      </c>
      <c r="I884" s="70" t="str">
        <f aca="false">IF($E884="","",N(INDEX(进销存对接!$M$4:$U$305,294,6)))</f>
        <v/>
      </c>
      <c r="J884" s="67"/>
      <c r="K884" s="67" t="str">
        <f aca="false">IF($E884="","",INDEX(进销存对接!$D$4:$D$305,294))</f>
        <v/>
      </c>
      <c r="L884" s="107"/>
      <c r="M884" s="107"/>
      <c r="N884" s="67" t="str">
        <f aca="false">IF($E884="","","系统")</f>
        <v/>
      </c>
      <c r="O884" s="67" t="str">
        <f aca="false">IF($E884="","","自动A")</f>
        <v/>
      </c>
      <c r="P884" s="18"/>
    </row>
    <row r="885" customFormat="false" ht="18" hidden="false" customHeight="true" outlineLevel="0" collapsed="false">
      <c r="A885" s="107" t="str">
        <f aca="false">IF($E885="","",ROW()-3)</f>
        <v/>
      </c>
      <c r="B885" s="110" t="str">
        <f aca="false">IF($E885="","",INDEX(进销存对接!$C$4:$C$305,294))</f>
        <v/>
      </c>
      <c r="C885" s="67" t="str">
        <f aca="false">IF($E885="","","记-"&amp;TEXT($B885,"YYYYMM")&amp;"-进销存")</f>
        <v/>
      </c>
      <c r="D885" s="107" t="str">
        <f aca="false">IF($E885="","",INDEX(进销存对接!$D$4:$D$305,294)&amp;" "&amp;TEXT($B885,"YYYY年M月")&amp;" 自动结转")</f>
        <v/>
      </c>
      <c r="E885" s="67" t="str">
        <f aca="false">IF(INDEX(进销存对接!$M$4:$U$305,294,7)=0,"",INDEX(进销存对接!$M$4:$U$305,294,7))</f>
        <v/>
      </c>
      <c r="F885" s="99" t="str">
        <f aca="false">IF($E885="","",IFERROR(INDEX(科目表!$A$4:$A$81,MATCH($E885,科目表!$B$4:$B$81,0)),""))</f>
        <v/>
      </c>
      <c r="G885" s="67" t="str">
        <f aca="false">IF($E885="","",IFERROR(INDEX(科目表!$E$4:$E$81,MATCH($E885,科目表!$B$4:$B$81,0)),""))</f>
        <v/>
      </c>
      <c r="H885" s="70" t="str">
        <f aca="false">IF($E885="","",N(INDEX(进销存对接!$M$4:$U$305,294,8)))</f>
        <v/>
      </c>
      <c r="I885" s="70" t="str">
        <f aca="false">IF($E885="","",N(INDEX(进销存对接!$M$4:$U$305,294,9)))</f>
        <v/>
      </c>
      <c r="J885" s="67"/>
      <c r="K885" s="67" t="str">
        <f aca="false">IF($E885="","",INDEX(进销存对接!$D$4:$D$305,294))</f>
        <v/>
      </c>
      <c r="L885" s="107"/>
      <c r="M885" s="107"/>
      <c r="N885" s="67" t="str">
        <f aca="false">IF($E885="","","系统")</f>
        <v/>
      </c>
      <c r="O885" s="67" t="str">
        <f aca="false">IF($E885="","","自动A")</f>
        <v/>
      </c>
      <c r="P885" s="18"/>
    </row>
    <row r="886" customFormat="false" ht="18" hidden="false" customHeight="true" outlineLevel="0" collapsed="false">
      <c r="A886" s="107" t="str">
        <f aca="false">IF($E886="","",ROW()-3)</f>
        <v/>
      </c>
      <c r="B886" s="110" t="str">
        <f aca="false">IF($E886="","",INDEX(进销存对接!$C$4:$C$305,295))</f>
        <v/>
      </c>
      <c r="C886" s="67" t="str">
        <f aca="false">IF($E886="","","记-"&amp;TEXT($B886,"YYYYMM")&amp;"-进销存")</f>
        <v/>
      </c>
      <c r="D886" s="107" t="str">
        <f aca="false">IF($E886="","",INDEX(进销存对接!$D$4:$D$305,295)&amp;" "&amp;TEXT($B886,"YYYY年M月")&amp;" 自动结转")</f>
        <v/>
      </c>
      <c r="E886" s="67" t="str">
        <f aca="false">IF(INDEX(进销存对接!$M$4:$U$305,295,1)=0,"",INDEX(进销存对接!$M$4:$U$305,295,1))</f>
        <v/>
      </c>
      <c r="F886" s="99" t="str">
        <f aca="false">IF($E886="","",IFERROR(INDEX(科目表!$A$4:$A$81,MATCH($E886,科目表!$B$4:$B$81,0)),""))</f>
        <v/>
      </c>
      <c r="G886" s="67" t="str">
        <f aca="false">IF($E886="","",IFERROR(INDEX(科目表!$E$4:$E$81,MATCH($E886,科目表!$B$4:$B$81,0)),""))</f>
        <v/>
      </c>
      <c r="H886" s="70" t="str">
        <f aca="false">IF($E886="","",N(INDEX(进销存对接!$M$4:$U$305,295,2)))</f>
        <v/>
      </c>
      <c r="I886" s="70" t="str">
        <f aca="false">IF($E886="","",N(INDEX(进销存对接!$M$4:$U$305,295,3)))</f>
        <v/>
      </c>
      <c r="J886" s="67"/>
      <c r="K886" s="67" t="str">
        <f aca="false">IF($E886="","",INDEX(进销存对接!$D$4:$D$305,295))</f>
        <v/>
      </c>
      <c r="L886" s="107"/>
      <c r="M886" s="107"/>
      <c r="N886" s="67" t="str">
        <f aca="false">IF($E886="","","系统")</f>
        <v/>
      </c>
      <c r="O886" s="67" t="str">
        <f aca="false">IF($E886="","","自动A")</f>
        <v/>
      </c>
      <c r="P886" s="18"/>
    </row>
    <row r="887" customFormat="false" ht="18" hidden="false" customHeight="true" outlineLevel="0" collapsed="false">
      <c r="A887" s="107" t="str">
        <f aca="false">IF($E887="","",ROW()-3)</f>
        <v/>
      </c>
      <c r="B887" s="110" t="str">
        <f aca="false">IF($E887="","",INDEX(进销存对接!$C$4:$C$305,295))</f>
        <v/>
      </c>
      <c r="C887" s="67" t="str">
        <f aca="false">IF($E887="","","记-"&amp;TEXT($B887,"YYYYMM")&amp;"-进销存")</f>
        <v/>
      </c>
      <c r="D887" s="107" t="str">
        <f aca="false">IF($E887="","",INDEX(进销存对接!$D$4:$D$305,295)&amp;" "&amp;TEXT($B887,"YYYY年M月")&amp;" 自动结转")</f>
        <v/>
      </c>
      <c r="E887" s="67" t="str">
        <f aca="false">IF(INDEX(进销存对接!$M$4:$U$305,295,4)=0,"",INDEX(进销存对接!$M$4:$U$305,295,4))</f>
        <v/>
      </c>
      <c r="F887" s="99" t="str">
        <f aca="false">IF($E887="","",IFERROR(INDEX(科目表!$A$4:$A$81,MATCH($E887,科目表!$B$4:$B$81,0)),""))</f>
        <v/>
      </c>
      <c r="G887" s="67" t="str">
        <f aca="false">IF($E887="","",IFERROR(INDEX(科目表!$E$4:$E$81,MATCH($E887,科目表!$B$4:$B$81,0)),""))</f>
        <v/>
      </c>
      <c r="H887" s="70" t="str">
        <f aca="false">IF($E887="","",N(INDEX(进销存对接!$M$4:$U$305,295,5)))</f>
        <v/>
      </c>
      <c r="I887" s="70" t="str">
        <f aca="false">IF($E887="","",N(INDEX(进销存对接!$M$4:$U$305,295,6)))</f>
        <v/>
      </c>
      <c r="J887" s="67"/>
      <c r="K887" s="67" t="str">
        <f aca="false">IF($E887="","",INDEX(进销存对接!$D$4:$D$305,295))</f>
        <v/>
      </c>
      <c r="L887" s="107"/>
      <c r="M887" s="107"/>
      <c r="N887" s="67" t="str">
        <f aca="false">IF($E887="","","系统")</f>
        <v/>
      </c>
      <c r="O887" s="67" t="str">
        <f aca="false">IF($E887="","","自动A")</f>
        <v/>
      </c>
      <c r="P887" s="18"/>
    </row>
    <row r="888" customFormat="false" ht="18" hidden="false" customHeight="true" outlineLevel="0" collapsed="false">
      <c r="A888" s="107" t="str">
        <f aca="false">IF($E888="","",ROW()-3)</f>
        <v/>
      </c>
      <c r="B888" s="110" t="str">
        <f aca="false">IF($E888="","",INDEX(进销存对接!$C$4:$C$305,295))</f>
        <v/>
      </c>
      <c r="C888" s="67" t="str">
        <f aca="false">IF($E888="","","记-"&amp;TEXT($B888,"YYYYMM")&amp;"-进销存")</f>
        <v/>
      </c>
      <c r="D888" s="107" t="str">
        <f aca="false">IF($E888="","",INDEX(进销存对接!$D$4:$D$305,295)&amp;" "&amp;TEXT($B888,"YYYY年M月")&amp;" 自动结转")</f>
        <v/>
      </c>
      <c r="E888" s="67" t="str">
        <f aca="false">IF(INDEX(进销存对接!$M$4:$U$305,295,7)=0,"",INDEX(进销存对接!$M$4:$U$305,295,7))</f>
        <v/>
      </c>
      <c r="F888" s="99" t="str">
        <f aca="false">IF($E888="","",IFERROR(INDEX(科目表!$A$4:$A$81,MATCH($E888,科目表!$B$4:$B$81,0)),""))</f>
        <v/>
      </c>
      <c r="G888" s="67" t="str">
        <f aca="false">IF($E888="","",IFERROR(INDEX(科目表!$E$4:$E$81,MATCH($E888,科目表!$B$4:$B$81,0)),""))</f>
        <v/>
      </c>
      <c r="H888" s="70" t="str">
        <f aca="false">IF($E888="","",N(INDEX(进销存对接!$M$4:$U$305,295,8)))</f>
        <v/>
      </c>
      <c r="I888" s="70" t="str">
        <f aca="false">IF($E888="","",N(INDEX(进销存对接!$M$4:$U$305,295,9)))</f>
        <v/>
      </c>
      <c r="J888" s="67"/>
      <c r="K888" s="67" t="str">
        <f aca="false">IF($E888="","",INDEX(进销存对接!$D$4:$D$305,295))</f>
        <v/>
      </c>
      <c r="L888" s="107"/>
      <c r="M888" s="107"/>
      <c r="N888" s="67" t="str">
        <f aca="false">IF($E888="","","系统")</f>
        <v/>
      </c>
      <c r="O888" s="67" t="str">
        <f aca="false">IF($E888="","","自动A")</f>
        <v/>
      </c>
      <c r="P888" s="18"/>
    </row>
    <row r="889" customFormat="false" ht="18" hidden="false" customHeight="true" outlineLevel="0" collapsed="false">
      <c r="A889" s="107" t="str">
        <f aca="false">IF($E889="","",ROW()-3)</f>
        <v/>
      </c>
      <c r="B889" s="110" t="str">
        <f aca="false">IF($E889="","",INDEX(进销存对接!$C$4:$C$305,296))</f>
        <v/>
      </c>
      <c r="C889" s="67" t="str">
        <f aca="false">IF($E889="","","记-"&amp;TEXT($B889,"YYYYMM")&amp;"-进销存")</f>
        <v/>
      </c>
      <c r="D889" s="107" t="str">
        <f aca="false">IF($E889="","",INDEX(进销存对接!$D$4:$D$305,296)&amp;" "&amp;TEXT($B889,"YYYY年M月")&amp;" 自动结转")</f>
        <v/>
      </c>
      <c r="E889" s="67" t="str">
        <f aca="false">IF(INDEX(进销存对接!$M$4:$U$305,296,1)=0,"",INDEX(进销存对接!$M$4:$U$305,296,1))</f>
        <v/>
      </c>
      <c r="F889" s="99" t="str">
        <f aca="false">IF($E889="","",IFERROR(INDEX(科目表!$A$4:$A$81,MATCH($E889,科目表!$B$4:$B$81,0)),""))</f>
        <v/>
      </c>
      <c r="G889" s="67" t="str">
        <f aca="false">IF($E889="","",IFERROR(INDEX(科目表!$E$4:$E$81,MATCH($E889,科目表!$B$4:$B$81,0)),""))</f>
        <v/>
      </c>
      <c r="H889" s="70" t="str">
        <f aca="false">IF($E889="","",N(INDEX(进销存对接!$M$4:$U$305,296,2)))</f>
        <v/>
      </c>
      <c r="I889" s="70" t="str">
        <f aca="false">IF($E889="","",N(INDEX(进销存对接!$M$4:$U$305,296,3)))</f>
        <v/>
      </c>
      <c r="J889" s="67"/>
      <c r="K889" s="67" t="str">
        <f aca="false">IF($E889="","",INDEX(进销存对接!$D$4:$D$305,296))</f>
        <v/>
      </c>
      <c r="L889" s="107"/>
      <c r="M889" s="107"/>
      <c r="N889" s="67" t="str">
        <f aca="false">IF($E889="","","系统")</f>
        <v/>
      </c>
      <c r="O889" s="67" t="str">
        <f aca="false">IF($E889="","","自动A")</f>
        <v/>
      </c>
      <c r="P889" s="18"/>
    </row>
    <row r="890" customFormat="false" ht="18" hidden="false" customHeight="true" outlineLevel="0" collapsed="false">
      <c r="A890" s="107" t="str">
        <f aca="false">IF($E890="","",ROW()-3)</f>
        <v/>
      </c>
      <c r="B890" s="110" t="str">
        <f aca="false">IF($E890="","",INDEX(进销存对接!$C$4:$C$305,296))</f>
        <v/>
      </c>
      <c r="C890" s="67" t="str">
        <f aca="false">IF($E890="","","记-"&amp;TEXT($B890,"YYYYMM")&amp;"-进销存")</f>
        <v/>
      </c>
      <c r="D890" s="107" t="str">
        <f aca="false">IF($E890="","",INDEX(进销存对接!$D$4:$D$305,296)&amp;" "&amp;TEXT($B890,"YYYY年M月")&amp;" 自动结转")</f>
        <v/>
      </c>
      <c r="E890" s="67" t="str">
        <f aca="false">IF(INDEX(进销存对接!$M$4:$U$305,296,4)=0,"",INDEX(进销存对接!$M$4:$U$305,296,4))</f>
        <v/>
      </c>
      <c r="F890" s="99" t="str">
        <f aca="false">IF($E890="","",IFERROR(INDEX(科目表!$A$4:$A$81,MATCH($E890,科目表!$B$4:$B$81,0)),""))</f>
        <v/>
      </c>
      <c r="G890" s="67" t="str">
        <f aca="false">IF($E890="","",IFERROR(INDEX(科目表!$E$4:$E$81,MATCH($E890,科目表!$B$4:$B$81,0)),""))</f>
        <v/>
      </c>
      <c r="H890" s="70" t="str">
        <f aca="false">IF($E890="","",N(INDEX(进销存对接!$M$4:$U$305,296,5)))</f>
        <v/>
      </c>
      <c r="I890" s="70" t="str">
        <f aca="false">IF($E890="","",N(INDEX(进销存对接!$M$4:$U$305,296,6)))</f>
        <v/>
      </c>
      <c r="J890" s="67"/>
      <c r="K890" s="67" t="str">
        <f aca="false">IF($E890="","",INDEX(进销存对接!$D$4:$D$305,296))</f>
        <v/>
      </c>
      <c r="L890" s="107"/>
      <c r="M890" s="107"/>
      <c r="N890" s="67" t="str">
        <f aca="false">IF($E890="","","系统")</f>
        <v/>
      </c>
      <c r="O890" s="67" t="str">
        <f aca="false">IF($E890="","","自动A")</f>
        <v/>
      </c>
      <c r="P890" s="18"/>
    </row>
    <row r="891" customFormat="false" ht="18" hidden="false" customHeight="true" outlineLevel="0" collapsed="false">
      <c r="A891" s="107" t="str">
        <f aca="false">IF($E891="","",ROW()-3)</f>
        <v/>
      </c>
      <c r="B891" s="110" t="str">
        <f aca="false">IF($E891="","",INDEX(进销存对接!$C$4:$C$305,296))</f>
        <v/>
      </c>
      <c r="C891" s="67" t="str">
        <f aca="false">IF($E891="","","记-"&amp;TEXT($B891,"YYYYMM")&amp;"-进销存")</f>
        <v/>
      </c>
      <c r="D891" s="107" t="str">
        <f aca="false">IF($E891="","",INDEX(进销存对接!$D$4:$D$305,296)&amp;" "&amp;TEXT($B891,"YYYY年M月")&amp;" 自动结转")</f>
        <v/>
      </c>
      <c r="E891" s="67" t="str">
        <f aca="false">IF(INDEX(进销存对接!$M$4:$U$305,296,7)=0,"",INDEX(进销存对接!$M$4:$U$305,296,7))</f>
        <v/>
      </c>
      <c r="F891" s="99" t="str">
        <f aca="false">IF($E891="","",IFERROR(INDEX(科目表!$A$4:$A$81,MATCH($E891,科目表!$B$4:$B$81,0)),""))</f>
        <v/>
      </c>
      <c r="G891" s="67" t="str">
        <f aca="false">IF($E891="","",IFERROR(INDEX(科目表!$E$4:$E$81,MATCH($E891,科目表!$B$4:$B$81,0)),""))</f>
        <v/>
      </c>
      <c r="H891" s="70" t="str">
        <f aca="false">IF($E891="","",N(INDEX(进销存对接!$M$4:$U$305,296,8)))</f>
        <v/>
      </c>
      <c r="I891" s="70" t="str">
        <f aca="false">IF($E891="","",N(INDEX(进销存对接!$M$4:$U$305,296,9)))</f>
        <v/>
      </c>
      <c r="J891" s="67"/>
      <c r="K891" s="67" t="str">
        <f aca="false">IF($E891="","",INDEX(进销存对接!$D$4:$D$305,296))</f>
        <v/>
      </c>
      <c r="L891" s="107"/>
      <c r="M891" s="107"/>
      <c r="N891" s="67" t="str">
        <f aca="false">IF($E891="","","系统")</f>
        <v/>
      </c>
      <c r="O891" s="67" t="str">
        <f aca="false">IF($E891="","","自动A")</f>
        <v/>
      </c>
      <c r="P891" s="18"/>
    </row>
    <row r="892" customFormat="false" ht="18" hidden="false" customHeight="true" outlineLevel="0" collapsed="false">
      <c r="A892" s="107" t="str">
        <f aca="false">IF($E892="","",ROW()-3)</f>
        <v/>
      </c>
      <c r="B892" s="110" t="str">
        <f aca="false">IF($E892="","",INDEX(进销存对接!$C$4:$C$305,297))</f>
        <v/>
      </c>
      <c r="C892" s="67" t="str">
        <f aca="false">IF($E892="","","记-"&amp;TEXT($B892,"YYYYMM")&amp;"-进销存")</f>
        <v/>
      </c>
      <c r="D892" s="107" t="str">
        <f aca="false">IF($E892="","",INDEX(进销存对接!$D$4:$D$305,297)&amp;" "&amp;TEXT($B892,"YYYY年M月")&amp;" 自动结转")</f>
        <v/>
      </c>
      <c r="E892" s="67" t="str">
        <f aca="false">IF(INDEX(进销存对接!$M$4:$U$305,297,1)=0,"",INDEX(进销存对接!$M$4:$U$305,297,1))</f>
        <v/>
      </c>
      <c r="F892" s="99" t="str">
        <f aca="false">IF($E892="","",IFERROR(INDEX(科目表!$A$4:$A$81,MATCH($E892,科目表!$B$4:$B$81,0)),""))</f>
        <v/>
      </c>
      <c r="G892" s="67" t="str">
        <f aca="false">IF($E892="","",IFERROR(INDEX(科目表!$E$4:$E$81,MATCH($E892,科目表!$B$4:$B$81,0)),""))</f>
        <v/>
      </c>
      <c r="H892" s="70" t="str">
        <f aca="false">IF($E892="","",N(INDEX(进销存对接!$M$4:$U$305,297,2)))</f>
        <v/>
      </c>
      <c r="I892" s="70" t="str">
        <f aca="false">IF($E892="","",N(INDEX(进销存对接!$M$4:$U$305,297,3)))</f>
        <v/>
      </c>
      <c r="J892" s="67"/>
      <c r="K892" s="67" t="str">
        <f aca="false">IF($E892="","",INDEX(进销存对接!$D$4:$D$305,297))</f>
        <v/>
      </c>
      <c r="L892" s="107"/>
      <c r="M892" s="107"/>
      <c r="N892" s="67" t="str">
        <f aca="false">IF($E892="","","系统")</f>
        <v/>
      </c>
      <c r="O892" s="67" t="str">
        <f aca="false">IF($E892="","","自动A")</f>
        <v/>
      </c>
      <c r="P892" s="18"/>
    </row>
    <row r="893" customFormat="false" ht="18" hidden="false" customHeight="true" outlineLevel="0" collapsed="false">
      <c r="A893" s="107" t="str">
        <f aca="false">IF($E893="","",ROW()-3)</f>
        <v/>
      </c>
      <c r="B893" s="110" t="str">
        <f aca="false">IF($E893="","",INDEX(进销存对接!$C$4:$C$305,297))</f>
        <v/>
      </c>
      <c r="C893" s="67" t="str">
        <f aca="false">IF($E893="","","记-"&amp;TEXT($B893,"YYYYMM")&amp;"-进销存")</f>
        <v/>
      </c>
      <c r="D893" s="107" t="str">
        <f aca="false">IF($E893="","",INDEX(进销存对接!$D$4:$D$305,297)&amp;" "&amp;TEXT($B893,"YYYY年M月")&amp;" 自动结转")</f>
        <v/>
      </c>
      <c r="E893" s="67" t="str">
        <f aca="false">IF(INDEX(进销存对接!$M$4:$U$305,297,4)=0,"",INDEX(进销存对接!$M$4:$U$305,297,4))</f>
        <v/>
      </c>
      <c r="F893" s="99" t="str">
        <f aca="false">IF($E893="","",IFERROR(INDEX(科目表!$A$4:$A$81,MATCH($E893,科目表!$B$4:$B$81,0)),""))</f>
        <v/>
      </c>
      <c r="G893" s="67" t="str">
        <f aca="false">IF($E893="","",IFERROR(INDEX(科目表!$E$4:$E$81,MATCH($E893,科目表!$B$4:$B$81,0)),""))</f>
        <v/>
      </c>
      <c r="H893" s="70" t="str">
        <f aca="false">IF($E893="","",N(INDEX(进销存对接!$M$4:$U$305,297,5)))</f>
        <v/>
      </c>
      <c r="I893" s="70" t="str">
        <f aca="false">IF($E893="","",N(INDEX(进销存对接!$M$4:$U$305,297,6)))</f>
        <v/>
      </c>
      <c r="J893" s="67"/>
      <c r="K893" s="67" t="str">
        <f aca="false">IF($E893="","",INDEX(进销存对接!$D$4:$D$305,297))</f>
        <v/>
      </c>
      <c r="L893" s="107"/>
      <c r="M893" s="107"/>
      <c r="N893" s="67" t="str">
        <f aca="false">IF($E893="","","系统")</f>
        <v/>
      </c>
      <c r="O893" s="67" t="str">
        <f aca="false">IF($E893="","","自动A")</f>
        <v/>
      </c>
      <c r="P893" s="18"/>
    </row>
    <row r="894" customFormat="false" ht="18" hidden="false" customHeight="true" outlineLevel="0" collapsed="false">
      <c r="A894" s="107" t="str">
        <f aca="false">IF($E894="","",ROW()-3)</f>
        <v/>
      </c>
      <c r="B894" s="110" t="str">
        <f aca="false">IF($E894="","",INDEX(进销存对接!$C$4:$C$305,297))</f>
        <v/>
      </c>
      <c r="C894" s="67" t="str">
        <f aca="false">IF($E894="","","记-"&amp;TEXT($B894,"YYYYMM")&amp;"-进销存")</f>
        <v/>
      </c>
      <c r="D894" s="107" t="str">
        <f aca="false">IF($E894="","",INDEX(进销存对接!$D$4:$D$305,297)&amp;" "&amp;TEXT($B894,"YYYY年M月")&amp;" 自动结转")</f>
        <v/>
      </c>
      <c r="E894" s="67" t="str">
        <f aca="false">IF(INDEX(进销存对接!$M$4:$U$305,297,7)=0,"",INDEX(进销存对接!$M$4:$U$305,297,7))</f>
        <v/>
      </c>
      <c r="F894" s="99" t="str">
        <f aca="false">IF($E894="","",IFERROR(INDEX(科目表!$A$4:$A$81,MATCH($E894,科目表!$B$4:$B$81,0)),""))</f>
        <v/>
      </c>
      <c r="G894" s="67" t="str">
        <f aca="false">IF($E894="","",IFERROR(INDEX(科目表!$E$4:$E$81,MATCH($E894,科目表!$B$4:$B$81,0)),""))</f>
        <v/>
      </c>
      <c r="H894" s="70" t="str">
        <f aca="false">IF($E894="","",N(INDEX(进销存对接!$M$4:$U$305,297,8)))</f>
        <v/>
      </c>
      <c r="I894" s="70" t="str">
        <f aca="false">IF($E894="","",N(INDEX(进销存对接!$M$4:$U$305,297,9)))</f>
        <v/>
      </c>
      <c r="J894" s="67"/>
      <c r="K894" s="67" t="str">
        <f aca="false">IF($E894="","",INDEX(进销存对接!$D$4:$D$305,297))</f>
        <v/>
      </c>
      <c r="L894" s="107"/>
      <c r="M894" s="107"/>
      <c r="N894" s="67" t="str">
        <f aca="false">IF($E894="","","系统")</f>
        <v/>
      </c>
      <c r="O894" s="67" t="str">
        <f aca="false">IF($E894="","","自动A")</f>
        <v/>
      </c>
      <c r="P894" s="18"/>
    </row>
    <row r="895" customFormat="false" ht="18" hidden="false" customHeight="true" outlineLevel="0" collapsed="false">
      <c r="A895" s="107" t="str">
        <f aca="false">IF($E895="","",ROW()-3)</f>
        <v/>
      </c>
      <c r="B895" s="110" t="str">
        <f aca="false">IF($E895="","",INDEX(进销存对接!$C$4:$C$305,298))</f>
        <v/>
      </c>
      <c r="C895" s="67" t="str">
        <f aca="false">IF($E895="","","记-"&amp;TEXT($B895,"YYYYMM")&amp;"-进销存")</f>
        <v/>
      </c>
      <c r="D895" s="107" t="str">
        <f aca="false">IF($E895="","",INDEX(进销存对接!$D$4:$D$305,298)&amp;" "&amp;TEXT($B895,"YYYY年M月")&amp;" 自动结转")</f>
        <v/>
      </c>
      <c r="E895" s="67" t="str">
        <f aca="false">IF(INDEX(进销存对接!$M$4:$U$305,298,1)=0,"",INDEX(进销存对接!$M$4:$U$305,298,1))</f>
        <v/>
      </c>
      <c r="F895" s="99" t="str">
        <f aca="false">IF($E895="","",IFERROR(INDEX(科目表!$A$4:$A$81,MATCH($E895,科目表!$B$4:$B$81,0)),""))</f>
        <v/>
      </c>
      <c r="G895" s="67" t="str">
        <f aca="false">IF($E895="","",IFERROR(INDEX(科目表!$E$4:$E$81,MATCH($E895,科目表!$B$4:$B$81,0)),""))</f>
        <v/>
      </c>
      <c r="H895" s="70" t="str">
        <f aca="false">IF($E895="","",N(INDEX(进销存对接!$M$4:$U$305,298,2)))</f>
        <v/>
      </c>
      <c r="I895" s="70" t="str">
        <f aca="false">IF($E895="","",N(INDEX(进销存对接!$M$4:$U$305,298,3)))</f>
        <v/>
      </c>
      <c r="J895" s="67"/>
      <c r="K895" s="67" t="str">
        <f aca="false">IF($E895="","",INDEX(进销存对接!$D$4:$D$305,298))</f>
        <v/>
      </c>
      <c r="L895" s="107"/>
      <c r="M895" s="107"/>
      <c r="N895" s="67" t="str">
        <f aca="false">IF($E895="","","系统")</f>
        <v/>
      </c>
      <c r="O895" s="67" t="str">
        <f aca="false">IF($E895="","","自动A")</f>
        <v/>
      </c>
      <c r="P895" s="18"/>
    </row>
    <row r="896" customFormat="false" ht="18" hidden="false" customHeight="true" outlineLevel="0" collapsed="false">
      <c r="A896" s="107" t="str">
        <f aca="false">IF($E896="","",ROW()-3)</f>
        <v/>
      </c>
      <c r="B896" s="110" t="str">
        <f aca="false">IF($E896="","",INDEX(进销存对接!$C$4:$C$305,298))</f>
        <v/>
      </c>
      <c r="C896" s="67" t="str">
        <f aca="false">IF($E896="","","记-"&amp;TEXT($B896,"YYYYMM")&amp;"-进销存")</f>
        <v/>
      </c>
      <c r="D896" s="107" t="str">
        <f aca="false">IF($E896="","",INDEX(进销存对接!$D$4:$D$305,298)&amp;" "&amp;TEXT($B896,"YYYY年M月")&amp;" 自动结转")</f>
        <v/>
      </c>
      <c r="E896" s="67" t="str">
        <f aca="false">IF(INDEX(进销存对接!$M$4:$U$305,298,4)=0,"",INDEX(进销存对接!$M$4:$U$305,298,4))</f>
        <v/>
      </c>
      <c r="F896" s="99" t="str">
        <f aca="false">IF($E896="","",IFERROR(INDEX(科目表!$A$4:$A$81,MATCH($E896,科目表!$B$4:$B$81,0)),""))</f>
        <v/>
      </c>
      <c r="G896" s="67" t="str">
        <f aca="false">IF($E896="","",IFERROR(INDEX(科目表!$E$4:$E$81,MATCH($E896,科目表!$B$4:$B$81,0)),""))</f>
        <v/>
      </c>
      <c r="H896" s="70" t="str">
        <f aca="false">IF($E896="","",N(INDEX(进销存对接!$M$4:$U$305,298,5)))</f>
        <v/>
      </c>
      <c r="I896" s="70" t="str">
        <f aca="false">IF($E896="","",N(INDEX(进销存对接!$M$4:$U$305,298,6)))</f>
        <v/>
      </c>
      <c r="J896" s="67"/>
      <c r="K896" s="67" t="str">
        <f aca="false">IF($E896="","",INDEX(进销存对接!$D$4:$D$305,298))</f>
        <v/>
      </c>
      <c r="L896" s="107"/>
      <c r="M896" s="107"/>
      <c r="N896" s="67" t="str">
        <f aca="false">IF($E896="","","系统")</f>
        <v/>
      </c>
      <c r="O896" s="67" t="str">
        <f aca="false">IF($E896="","","自动A")</f>
        <v/>
      </c>
      <c r="P896" s="18"/>
    </row>
    <row r="897" customFormat="false" ht="18" hidden="false" customHeight="true" outlineLevel="0" collapsed="false">
      <c r="A897" s="107" t="str">
        <f aca="false">IF($E897="","",ROW()-3)</f>
        <v/>
      </c>
      <c r="B897" s="110" t="str">
        <f aca="false">IF($E897="","",INDEX(进销存对接!$C$4:$C$305,298))</f>
        <v/>
      </c>
      <c r="C897" s="67" t="str">
        <f aca="false">IF($E897="","","记-"&amp;TEXT($B897,"YYYYMM")&amp;"-进销存")</f>
        <v/>
      </c>
      <c r="D897" s="107" t="str">
        <f aca="false">IF($E897="","",INDEX(进销存对接!$D$4:$D$305,298)&amp;" "&amp;TEXT($B897,"YYYY年M月")&amp;" 自动结转")</f>
        <v/>
      </c>
      <c r="E897" s="67" t="str">
        <f aca="false">IF(INDEX(进销存对接!$M$4:$U$305,298,7)=0,"",INDEX(进销存对接!$M$4:$U$305,298,7))</f>
        <v/>
      </c>
      <c r="F897" s="99" t="str">
        <f aca="false">IF($E897="","",IFERROR(INDEX(科目表!$A$4:$A$81,MATCH($E897,科目表!$B$4:$B$81,0)),""))</f>
        <v/>
      </c>
      <c r="G897" s="67" t="str">
        <f aca="false">IF($E897="","",IFERROR(INDEX(科目表!$E$4:$E$81,MATCH($E897,科目表!$B$4:$B$81,0)),""))</f>
        <v/>
      </c>
      <c r="H897" s="70" t="str">
        <f aca="false">IF($E897="","",N(INDEX(进销存对接!$M$4:$U$305,298,8)))</f>
        <v/>
      </c>
      <c r="I897" s="70" t="str">
        <f aca="false">IF($E897="","",N(INDEX(进销存对接!$M$4:$U$305,298,9)))</f>
        <v/>
      </c>
      <c r="J897" s="67"/>
      <c r="K897" s="67" t="str">
        <f aca="false">IF($E897="","",INDEX(进销存对接!$D$4:$D$305,298))</f>
        <v/>
      </c>
      <c r="L897" s="107"/>
      <c r="M897" s="107"/>
      <c r="N897" s="67" t="str">
        <f aca="false">IF($E897="","","系统")</f>
        <v/>
      </c>
      <c r="O897" s="67" t="str">
        <f aca="false">IF($E897="","","自动A")</f>
        <v/>
      </c>
      <c r="P897" s="18"/>
    </row>
    <row r="898" customFormat="false" ht="18" hidden="false" customHeight="true" outlineLevel="0" collapsed="false">
      <c r="A898" s="107" t="str">
        <f aca="false">IF($E898="","",ROW()-3)</f>
        <v/>
      </c>
      <c r="B898" s="110" t="str">
        <f aca="false">IF($E898="","",INDEX(进销存对接!$C$4:$C$305,299))</f>
        <v/>
      </c>
      <c r="C898" s="67" t="str">
        <f aca="false">IF($E898="","","记-"&amp;TEXT($B898,"YYYYMM")&amp;"-进销存")</f>
        <v/>
      </c>
      <c r="D898" s="107" t="str">
        <f aca="false">IF($E898="","",INDEX(进销存对接!$D$4:$D$305,299)&amp;" "&amp;TEXT($B898,"YYYY年M月")&amp;" 自动结转")</f>
        <v/>
      </c>
      <c r="E898" s="67" t="str">
        <f aca="false">IF(INDEX(进销存对接!$M$4:$U$305,299,1)=0,"",INDEX(进销存对接!$M$4:$U$305,299,1))</f>
        <v/>
      </c>
      <c r="F898" s="99" t="str">
        <f aca="false">IF($E898="","",IFERROR(INDEX(科目表!$A$4:$A$81,MATCH($E898,科目表!$B$4:$B$81,0)),""))</f>
        <v/>
      </c>
      <c r="G898" s="67" t="str">
        <f aca="false">IF($E898="","",IFERROR(INDEX(科目表!$E$4:$E$81,MATCH($E898,科目表!$B$4:$B$81,0)),""))</f>
        <v/>
      </c>
      <c r="H898" s="70" t="str">
        <f aca="false">IF($E898="","",N(INDEX(进销存对接!$M$4:$U$305,299,2)))</f>
        <v/>
      </c>
      <c r="I898" s="70" t="str">
        <f aca="false">IF($E898="","",N(INDEX(进销存对接!$M$4:$U$305,299,3)))</f>
        <v/>
      </c>
      <c r="J898" s="67"/>
      <c r="K898" s="67" t="str">
        <f aca="false">IF($E898="","",INDEX(进销存对接!$D$4:$D$305,299))</f>
        <v/>
      </c>
      <c r="L898" s="107"/>
      <c r="M898" s="107"/>
      <c r="N898" s="67" t="str">
        <f aca="false">IF($E898="","","系统")</f>
        <v/>
      </c>
      <c r="O898" s="67" t="str">
        <f aca="false">IF($E898="","","自动A")</f>
        <v/>
      </c>
      <c r="P898" s="18"/>
    </row>
    <row r="899" customFormat="false" ht="18" hidden="false" customHeight="true" outlineLevel="0" collapsed="false">
      <c r="A899" s="107" t="str">
        <f aca="false">IF($E899="","",ROW()-3)</f>
        <v/>
      </c>
      <c r="B899" s="110" t="str">
        <f aca="false">IF($E899="","",INDEX(进销存对接!$C$4:$C$305,299))</f>
        <v/>
      </c>
      <c r="C899" s="67" t="str">
        <f aca="false">IF($E899="","","记-"&amp;TEXT($B899,"YYYYMM")&amp;"-进销存")</f>
        <v/>
      </c>
      <c r="D899" s="107" t="str">
        <f aca="false">IF($E899="","",INDEX(进销存对接!$D$4:$D$305,299)&amp;" "&amp;TEXT($B899,"YYYY年M月")&amp;" 自动结转")</f>
        <v/>
      </c>
      <c r="E899" s="67" t="str">
        <f aca="false">IF(INDEX(进销存对接!$M$4:$U$305,299,4)=0,"",INDEX(进销存对接!$M$4:$U$305,299,4))</f>
        <v/>
      </c>
      <c r="F899" s="99" t="str">
        <f aca="false">IF($E899="","",IFERROR(INDEX(科目表!$A$4:$A$81,MATCH($E899,科目表!$B$4:$B$81,0)),""))</f>
        <v/>
      </c>
      <c r="G899" s="67" t="str">
        <f aca="false">IF($E899="","",IFERROR(INDEX(科目表!$E$4:$E$81,MATCH($E899,科目表!$B$4:$B$81,0)),""))</f>
        <v/>
      </c>
      <c r="H899" s="70" t="str">
        <f aca="false">IF($E899="","",N(INDEX(进销存对接!$M$4:$U$305,299,5)))</f>
        <v/>
      </c>
      <c r="I899" s="70" t="str">
        <f aca="false">IF($E899="","",N(INDEX(进销存对接!$M$4:$U$305,299,6)))</f>
        <v/>
      </c>
      <c r="J899" s="67"/>
      <c r="K899" s="67" t="str">
        <f aca="false">IF($E899="","",INDEX(进销存对接!$D$4:$D$305,299))</f>
        <v/>
      </c>
      <c r="L899" s="107"/>
      <c r="M899" s="107"/>
      <c r="N899" s="67" t="str">
        <f aca="false">IF($E899="","","系统")</f>
        <v/>
      </c>
      <c r="O899" s="67" t="str">
        <f aca="false">IF($E899="","","自动A")</f>
        <v/>
      </c>
      <c r="P899" s="18"/>
    </row>
    <row r="900" customFormat="false" ht="18" hidden="false" customHeight="true" outlineLevel="0" collapsed="false">
      <c r="A900" s="107" t="str">
        <f aca="false">IF($E900="","",ROW()-3)</f>
        <v/>
      </c>
      <c r="B900" s="110" t="str">
        <f aca="false">IF($E900="","",INDEX(进销存对接!$C$4:$C$305,299))</f>
        <v/>
      </c>
      <c r="C900" s="67" t="str">
        <f aca="false">IF($E900="","","记-"&amp;TEXT($B900,"YYYYMM")&amp;"-进销存")</f>
        <v/>
      </c>
      <c r="D900" s="107" t="str">
        <f aca="false">IF($E900="","",INDEX(进销存对接!$D$4:$D$305,299)&amp;" "&amp;TEXT($B900,"YYYY年M月")&amp;" 自动结转")</f>
        <v/>
      </c>
      <c r="E900" s="67" t="str">
        <f aca="false">IF(INDEX(进销存对接!$M$4:$U$305,299,7)=0,"",INDEX(进销存对接!$M$4:$U$305,299,7))</f>
        <v/>
      </c>
      <c r="F900" s="99" t="str">
        <f aca="false">IF($E900="","",IFERROR(INDEX(科目表!$A$4:$A$81,MATCH($E900,科目表!$B$4:$B$81,0)),""))</f>
        <v/>
      </c>
      <c r="G900" s="67" t="str">
        <f aca="false">IF($E900="","",IFERROR(INDEX(科目表!$E$4:$E$81,MATCH($E900,科目表!$B$4:$B$81,0)),""))</f>
        <v/>
      </c>
      <c r="H900" s="70" t="str">
        <f aca="false">IF($E900="","",N(INDEX(进销存对接!$M$4:$U$305,299,8)))</f>
        <v/>
      </c>
      <c r="I900" s="70" t="str">
        <f aca="false">IF($E900="","",N(INDEX(进销存对接!$M$4:$U$305,299,9)))</f>
        <v/>
      </c>
      <c r="J900" s="67"/>
      <c r="K900" s="67" t="str">
        <f aca="false">IF($E900="","",INDEX(进销存对接!$D$4:$D$305,299))</f>
        <v/>
      </c>
      <c r="L900" s="107"/>
      <c r="M900" s="107"/>
      <c r="N900" s="67" t="str">
        <f aca="false">IF($E900="","","系统")</f>
        <v/>
      </c>
      <c r="O900" s="67" t="str">
        <f aca="false">IF($E900="","","自动A")</f>
        <v/>
      </c>
      <c r="P900" s="18"/>
    </row>
    <row r="901" customFormat="false" ht="18" hidden="false" customHeight="true" outlineLevel="0" collapsed="false">
      <c r="A901" s="107" t="str">
        <f aca="false">IF($E901="","",ROW()-3)</f>
        <v/>
      </c>
      <c r="B901" s="110" t="str">
        <f aca="false">IF($E901="","",INDEX(进销存对接!$C$4:$C$305,300))</f>
        <v/>
      </c>
      <c r="C901" s="67" t="str">
        <f aca="false">IF($E901="","","记-"&amp;TEXT($B901,"YYYYMM")&amp;"-进销存")</f>
        <v/>
      </c>
      <c r="D901" s="107" t="str">
        <f aca="false">IF($E901="","",INDEX(进销存对接!$D$4:$D$305,300)&amp;" "&amp;TEXT($B901,"YYYY年M月")&amp;" 自动结转")</f>
        <v/>
      </c>
      <c r="E901" s="67" t="str">
        <f aca="false">IF(INDEX(进销存对接!$M$4:$U$305,300,1)=0,"",INDEX(进销存对接!$M$4:$U$305,300,1))</f>
        <v/>
      </c>
      <c r="F901" s="99" t="str">
        <f aca="false">IF($E901="","",IFERROR(INDEX(科目表!$A$4:$A$81,MATCH($E901,科目表!$B$4:$B$81,0)),""))</f>
        <v/>
      </c>
      <c r="G901" s="67" t="str">
        <f aca="false">IF($E901="","",IFERROR(INDEX(科目表!$E$4:$E$81,MATCH($E901,科目表!$B$4:$B$81,0)),""))</f>
        <v/>
      </c>
      <c r="H901" s="70" t="str">
        <f aca="false">IF($E901="","",N(INDEX(进销存对接!$M$4:$U$305,300,2)))</f>
        <v/>
      </c>
      <c r="I901" s="70" t="str">
        <f aca="false">IF($E901="","",N(INDEX(进销存对接!$M$4:$U$305,300,3)))</f>
        <v/>
      </c>
      <c r="J901" s="67"/>
      <c r="K901" s="67" t="str">
        <f aca="false">IF($E901="","",INDEX(进销存对接!$D$4:$D$305,300))</f>
        <v/>
      </c>
      <c r="L901" s="107"/>
      <c r="M901" s="107"/>
      <c r="N901" s="67" t="str">
        <f aca="false">IF($E901="","","系统")</f>
        <v/>
      </c>
      <c r="O901" s="67" t="str">
        <f aca="false">IF($E901="","","自动A")</f>
        <v/>
      </c>
      <c r="P901" s="18"/>
    </row>
    <row r="902" customFormat="false" ht="18" hidden="false" customHeight="true" outlineLevel="0" collapsed="false">
      <c r="A902" s="107" t="str">
        <f aca="false">IF($E902="","",ROW()-3)</f>
        <v/>
      </c>
      <c r="B902" s="110" t="str">
        <f aca="false">IF($E902="","",INDEX(进销存对接!$C$4:$C$305,300))</f>
        <v/>
      </c>
      <c r="C902" s="67" t="str">
        <f aca="false">IF($E902="","","记-"&amp;TEXT($B902,"YYYYMM")&amp;"-进销存")</f>
        <v/>
      </c>
      <c r="D902" s="107" t="str">
        <f aca="false">IF($E902="","",INDEX(进销存对接!$D$4:$D$305,300)&amp;" "&amp;TEXT($B902,"YYYY年M月")&amp;" 自动结转")</f>
        <v/>
      </c>
      <c r="E902" s="67" t="str">
        <f aca="false">IF(INDEX(进销存对接!$M$4:$U$305,300,4)=0,"",INDEX(进销存对接!$M$4:$U$305,300,4))</f>
        <v/>
      </c>
      <c r="F902" s="99" t="str">
        <f aca="false">IF($E902="","",IFERROR(INDEX(科目表!$A$4:$A$81,MATCH($E902,科目表!$B$4:$B$81,0)),""))</f>
        <v/>
      </c>
      <c r="G902" s="67" t="str">
        <f aca="false">IF($E902="","",IFERROR(INDEX(科目表!$E$4:$E$81,MATCH($E902,科目表!$B$4:$B$81,0)),""))</f>
        <v/>
      </c>
      <c r="H902" s="70" t="str">
        <f aca="false">IF($E902="","",N(INDEX(进销存对接!$M$4:$U$305,300,5)))</f>
        <v/>
      </c>
      <c r="I902" s="70" t="str">
        <f aca="false">IF($E902="","",N(INDEX(进销存对接!$M$4:$U$305,300,6)))</f>
        <v/>
      </c>
      <c r="J902" s="67"/>
      <c r="K902" s="67" t="str">
        <f aca="false">IF($E902="","",INDEX(进销存对接!$D$4:$D$305,300))</f>
        <v/>
      </c>
      <c r="L902" s="107"/>
      <c r="M902" s="107"/>
      <c r="N902" s="67" t="str">
        <f aca="false">IF($E902="","","系统")</f>
        <v/>
      </c>
      <c r="O902" s="67" t="str">
        <f aca="false">IF($E902="","","自动A")</f>
        <v/>
      </c>
      <c r="P902" s="18"/>
    </row>
    <row r="903" customFormat="false" ht="18" hidden="false" customHeight="true" outlineLevel="0" collapsed="false">
      <c r="A903" s="107" t="str">
        <f aca="false">IF($E903="","",ROW()-3)</f>
        <v/>
      </c>
      <c r="B903" s="110" t="str">
        <f aca="false">IF($E903="","",INDEX(进销存对接!$C$4:$C$305,300))</f>
        <v/>
      </c>
      <c r="C903" s="67" t="str">
        <f aca="false">IF($E903="","","记-"&amp;TEXT($B903,"YYYYMM")&amp;"-进销存")</f>
        <v/>
      </c>
      <c r="D903" s="107" t="str">
        <f aca="false">IF($E903="","",INDEX(进销存对接!$D$4:$D$305,300)&amp;" "&amp;TEXT($B903,"YYYY年M月")&amp;" 自动结转")</f>
        <v/>
      </c>
      <c r="E903" s="67" t="str">
        <f aca="false">IF(INDEX(进销存对接!$M$4:$U$305,300,7)=0,"",INDEX(进销存对接!$M$4:$U$305,300,7))</f>
        <v/>
      </c>
      <c r="F903" s="99" t="str">
        <f aca="false">IF($E903="","",IFERROR(INDEX(科目表!$A$4:$A$81,MATCH($E903,科目表!$B$4:$B$81,0)),""))</f>
        <v/>
      </c>
      <c r="G903" s="67" t="str">
        <f aca="false">IF($E903="","",IFERROR(INDEX(科目表!$E$4:$E$81,MATCH($E903,科目表!$B$4:$B$81,0)),""))</f>
        <v/>
      </c>
      <c r="H903" s="70" t="str">
        <f aca="false">IF($E903="","",N(INDEX(进销存对接!$M$4:$U$305,300,8)))</f>
        <v/>
      </c>
      <c r="I903" s="70" t="str">
        <f aca="false">IF($E903="","",N(INDEX(进销存对接!$M$4:$U$305,300,9)))</f>
        <v/>
      </c>
      <c r="J903" s="67"/>
      <c r="K903" s="67" t="str">
        <f aca="false">IF($E903="","",INDEX(进销存对接!$D$4:$D$305,300))</f>
        <v/>
      </c>
      <c r="L903" s="107"/>
      <c r="M903" s="107"/>
      <c r="N903" s="67" t="str">
        <f aca="false">IF($E903="","","系统")</f>
        <v/>
      </c>
      <c r="O903" s="67" t="str">
        <f aca="false">IF($E903="","","自动A")</f>
        <v/>
      </c>
      <c r="P903" s="18"/>
    </row>
    <row r="904" customFormat="false" ht="18" hidden="false" customHeight="true" outlineLevel="0" collapsed="false">
      <c r="A904" s="107" t="str">
        <f aca="false">IF($E904="","",ROW()-3)</f>
        <v/>
      </c>
      <c r="B904" s="110" t="str">
        <f aca="false">IF($E904="","",INDEX(进销存对接!$C$4:$C$305,301))</f>
        <v/>
      </c>
      <c r="C904" s="67" t="str">
        <f aca="false">IF($E904="","","记-"&amp;TEXT($B904,"YYYYMM")&amp;"-进销存")</f>
        <v/>
      </c>
      <c r="D904" s="107" t="str">
        <f aca="false">IF($E904="","",INDEX(进销存对接!$D$4:$D$305,301)&amp;" "&amp;TEXT($B904,"YYYY年M月")&amp;" 自动结转")</f>
        <v/>
      </c>
      <c r="E904" s="67" t="str">
        <f aca="false">IF(INDEX(进销存对接!$M$4:$U$305,301,1)=0,"",INDEX(进销存对接!$M$4:$U$305,301,1))</f>
        <v/>
      </c>
      <c r="F904" s="99" t="str">
        <f aca="false">IF($E904="","",IFERROR(INDEX(科目表!$A$4:$A$81,MATCH($E904,科目表!$B$4:$B$81,0)),""))</f>
        <v/>
      </c>
      <c r="G904" s="67" t="str">
        <f aca="false">IF($E904="","",IFERROR(INDEX(科目表!$E$4:$E$81,MATCH($E904,科目表!$B$4:$B$81,0)),""))</f>
        <v/>
      </c>
      <c r="H904" s="70" t="str">
        <f aca="false">IF($E904="","",N(INDEX(进销存对接!$M$4:$U$305,301,2)))</f>
        <v/>
      </c>
      <c r="I904" s="70" t="str">
        <f aca="false">IF($E904="","",N(INDEX(进销存对接!$M$4:$U$305,301,3)))</f>
        <v/>
      </c>
      <c r="J904" s="67"/>
      <c r="K904" s="67" t="str">
        <f aca="false">IF($E904="","",INDEX(进销存对接!$D$4:$D$305,301))</f>
        <v/>
      </c>
      <c r="L904" s="107"/>
      <c r="M904" s="107"/>
      <c r="N904" s="67" t="str">
        <f aca="false">IF($E904="","","系统")</f>
        <v/>
      </c>
      <c r="O904" s="67" t="str">
        <f aca="false">IF($E904="","","自动A")</f>
        <v/>
      </c>
      <c r="P904" s="18"/>
    </row>
    <row r="905" customFormat="false" ht="18" hidden="false" customHeight="true" outlineLevel="0" collapsed="false">
      <c r="A905" s="107" t="str">
        <f aca="false">IF($E905="","",ROW()-3)</f>
        <v/>
      </c>
      <c r="B905" s="110" t="str">
        <f aca="false">IF($E905="","",INDEX(进销存对接!$C$4:$C$305,301))</f>
        <v/>
      </c>
      <c r="C905" s="67" t="str">
        <f aca="false">IF($E905="","","记-"&amp;TEXT($B905,"YYYYMM")&amp;"-进销存")</f>
        <v/>
      </c>
      <c r="D905" s="107" t="str">
        <f aca="false">IF($E905="","",INDEX(进销存对接!$D$4:$D$305,301)&amp;" "&amp;TEXT($B905,"YYYY年M月")&amp;" 自动结转")</f>
        <v/>
      </c>
      <c r="E905" s="67" t="str">
        <f aca="false">IF(INDEX(进销存对接!$M$4:$U$305,301,4)=0,"",INDEX(进销存对接!$M$4:$U$305,301,4))</f>
        <v/>
      </c>
      <c r="F905" s="99" t="str">
        <f aca="false">IF($E905="","",IFERROR(INDEX(科目表!$A$4:$A$81,MATCH($E905,科目表!$B$4:$B$81,0)),""))</f>
        <v/>
      </c>
      <c r="G905" s="67" t="str">
        <f aca="false">IF($E905="","",IFERROR(INDEX(科目表!$E$4:$E$81,MATCH($E905,科目表!$B$4:$B$81,0)),""))</f>
        <v/>
      </c>
      <c r="H905" s="70" t="str">
        <f aca="false">IF($E905="","",N(INDEX(进销存对接!$M$4:$U$305,301,5)))</f>
        <v/>
      </c>
      <c r="I905" s="70" t="str">
        <f aca="false">IF($E905="","",N(INDEX(进销存对接!$M$4:$U$305,301,6)))</f>
        <v/>
      </c>
      <c r="J905" s="67"/>
      <c r="K905" s="67" t="str">
        <f aca="false">IF($E905="","",INDEX(进销存对接!$D$4:$D$305,301))</f>
        <v/>
      </c>
      <c r="L905" s="107"/>
      <c r="M905" s="107"/>
      <c r="N905" s="67" t="str">
        <f aca="false">IF($E905="","","系统")</f>
        <v/>
      </c>
      <c r="O905" s="67" t="str">
        <f aca="false">IF($E905="","","自动A")</f>
        <v/>
      </c>
      <c r="P905" s="18"/>
    </row>
    <row r="906" customFormat="false" ht="18" hidden="false" customHeight="true" outlineLevel="0" collapsed="false">
      <c r="A906" s="107" t="str">
        <f aca="false">IF($E906="","",ROW()-3)</f>
        <v/>
      </c>
      <c r="B906" s="110" t="str">
        <f aca="false">IF($E906="","",INDEX(进销存对接!$C$4:$C$305,301))</f>
        <v/>
      </c>
      <c r="C906" s="67" t="str">
        <f aca="false">IF($E906="","","记-"&amp;TEXT($B906,"YYYYMM")&amp;"-进销存")</f>
        <v/>
      </c>
      <c r="D906" s="107" t="str">
        <f aca="false">IF($E906="","",INDEX(进销存对接!$D$4:$D$305,301)&amp;" "&amp;TEXT($B906,"YYYY年M月")&amp;" 自动结转")</f>
        <v/>
      </c>
      <c r="E906" s="67" t="str">
        <f aca="false">IF(INDEX(进销存对接!$M$4:$U$305,301,7)=0,"",INDEX(进销存对接!$M$4:$U$305,301,7))</f>
        <v/>
      </c>
      <c r="F906" s="99" t="str">
        <f aca="false">IF($E906="","",IFERROR(INDEX(科目表!$A$4:$A$81,MATCH($E906,科目表!$B$4:$B$81,0)),""))</f>
        <v/>
      </c>
      <c r="G906" s="67" t="str">
        <f aca="false">IF($E906="","",IFERROR(INDEX(科目表!$E$4:$E$81,MATCH($E906,科目表!$B$4:$B$81,0)),""))</f>
        <v/>
      </c>
      <c r="H906" s="70" t="str">
        <f aca="false">IF($E906="","",N(INDEX(进销存对接!$M$4:$U$305,301,8)))</f>
        <v/>
      </c>
      <c r="I906" s="70" t="str">
        <f aca="false">IF($E906="","",N(INDEX(进销存对接!$M$4:$U$305,301,9)))</f>
        <v/>
      </c>
      <c r="J906" s="67"/>
      <c r="K906" s="67" t="str">
        <f aca="false">IF($E906="","",INDEX(进销存对接!$D$4:$D$305,301))</f>
        <v/>
      </c>
      <c r="L906" s="107"/>
      <c r="M906" s="107"/>
      <c r="N906" s="67" t="str">
        <f aca="false">IF($E906="","","系统")</f>
        <v/>
      </c>
      <c r="O906" s="67" t="str">
        <f aca="false">IF($E906="","","自动A")</f>
        <v/>
      </c>
      <c r="P906" s="18"/>
    </row>
    <row r="907" customFormat="false" ht="18" hidden="false" customHeight="true" outlineLevel="0" collapsed="false">
      <c r="A907" s="107" t="str">
        <f aca="false">IF($E907="","",ROW()-3)</f>
        <v/>
      </c>
      <c r="B907" s="110" t="str">
        <f aca="false">IF($E907="","",INDEX(进销存对接!$C$4:$C$305,302))</f>
        <v/>
      </c>
      <c r="C907" s="67" t="str">
        <f aca="false">IF($E907="","","记-"&amp;TEXT($B907,"YYYYMM")&amp;"-进销存")</f>
        <v/>
      </c>
      <c r="D907" s="107" t="str">
        <f aca="false">IF($E907="","",INDEX(进销存对接!$D$4:$D$305,302)&amp;" "&amp;TEXT($B907,"YYYY年M月")&amp;" 自动结转")</f>
        <v/>
      </c>
      <c r="E907" s="67" t="str">
        <f aca="false">IF(INDEX(进销存对接!$M$4:$U$305,302,1)=0,"",INDEX(进销存对接!$M$4:$U$305,302,1))</f>
        <v/>
      </c>
      <c r="F907" s="99" t="str">
        <f aca="false">IF($E907="","",IFERROR(INDEX(科目表!$A$4:$A$81,MATCH($E907,科目表!$B$4:$B$81,0)),""))</f>
        <v/>
      </c>
      <c r="G907" s="67" t="str">
        <f aca="false">IF($E907="","",IFERROR(INDEX(科目表!$E$4:$E$81,MATCH($E907,科目表!$B$4:$B$81,0)),""))</f>
        <v/>
      </c>
      <c r="H907" s="70" t="str">
        <f aca="false">IF($E907="","",N(INDEX(进销存对接!$M$4:$U$305,302,2)))</f>
        <v/>
      </c>
      <c r="I907" s="70" t="str">
        <f aca="false">IF($E907="","",N(INDEX(进销存对接!$M$4:$U$305,302,3)))</f>
        <v/>
      </c>
      <c r="J907" s="67"/>
      <c r="K907" s="67" t="str">
        <f aca="false">IF($E907="","",INDEX(进销存对接!$D$4:$D$305,302))</f>
        <v/>
      </c>
      <c r="L907" s="107"/>
      <c r="M907" s="107"/>
      <c r="N907" s="67" t="str">
        <f aca="false">IF($E907="","","系统")</f>
        <v/>
      </c>
      <c r="O907" s="67" t="str">
        <f aca="false">IF($E907="","","自动A")</f>
        <v/>
      </c>
      <c r="P907" s="18"/>
    </row>
    <row r="908" customFormat="false" ht="18" hidden="false" customHeight="true" outlineLevel="0" collapsed="false">
      <c r="A908" s="107" t="str">
        <f aca="false">IF($E908="","",ROW()-3)</f>
        <v/>
      </c>
      <c r="B908" s="110" t="str">
        <f aca="false">IF($E908="","",INDEX(进销存对接!$C$4:$C$305,302))</f>
        <v/>
      </c>
      <c r="C908" s="67" t="str">
        <f aca="false">IF($E908="","","记-"&amp;TEXT($B908,"YYYYMM")&amp;"-进销存")</f>
        <v/>
      </c>
      <c r="D908" s="107" t="str">
        <f aca="false">IF($E908="","",INDEX(进销存对接!$D$4:$D$305,302)&amp;" "&amp;TEXT($B908,"YYYY年M月")&amp;" 自动结转")</f>
        <v/>
      </c>
      <c r="E908" s="67" t="str">
        <f aca="false">IF(INDEX(进销存对接!$M$4:$U$305,302,4)=0,"",INDEX(进销存对接!$M$4:$U$305,302,4))</f>
        <v/>
      </c>
      <c r="F908" s="99" t="str">
        <f aca="false">IF($E908="","",IFERROR(INDEX(科目表!$A$4:$A$81,MATCH($E908,科目表!$B$4:$B$81,0)),""))</f>
        <v/>
      </c>
      <c r="G908" s="67" t="str">
        <f aca="false">IF($E908="","",IFERROR(INDEX(科目表!$E$4:$E$81,MATCH($E908,科目表!$B$4:$B$81,0)),""))</f>
        <v/>
      </c>
      <c r="H908" s="70" t="str">
        <f aca="false">IF($E908="","",N(INDEX(进销存对接!$M$4:$U$305,302,5)))</f>
        <v/>
      </c>
      <c r="I908" s="70" t="str">
        <f aca="false">IF($E908="","",N(INDEX(进销存对接!$M$4:$U$305,302,6)))</f>
        <v/>
      </c>
      <c r="J908" s="67"/>
      <c r="K908" s="67" t="str">
        <f aca="false">IF($E908="","",INDEX(进销存对接!$D$4:$D$305,302))</f>
        <v/>
      </c>
      <c r="L908" s="107"/>
      <c r="M908" s="107"/>
      <c r="N908" s="67" t="str">
        <f aca="false">IF($E908="","","系统")</f>
        <v/>
      </c>
      <c r="O908" s="67" t="str">
        <f aca="false">IF($E908="","","自动A")</f>
        <v/>
      </c>
      <c r="P908" s="18"/>
    </row>
    <row r="909" customFormat="false" ht="18" hidden="false" customHeight="true" outlineLevel="0" collapsed="false">
      <c r="A909" s="107" t="str">
        <f aca="false">IF($E909="","",ROW()-3)</f>
        <v/>
      </c>
      <c r="B909" s="110" t="str">
        <f aca="false">IF($E909="","",INDEX(进销存对接!$C$4:$C$305,302))</f>
        <v/>
      </c>
      <c r="C909" s="67" t="str">
        <f aca="false">IF($E909="","","记-"&amp;TEXT($B909,"YYYYMM")&amp;"-进销存")</f>
        <v/>
      </c>
      <c r="D909" s="107" t="str">
        <f aca="false">IF($E909="","",INDEX(进销存对接!$D$4:$D$305,302)&amp;" "&amp;TEXT($B909,"YYYY年M月")&amp;" 自动结转")</f>
        <v/>
      </c>
      <c r="E909" s="67" t="str">
        <f aca="false">IF(INDEX(进销存对接!$M$4:$U$305,302,7)=0,"",INDEX(进销存对接!$M$4:$U$305,302,7))</f>
        <v/>
      </c>
      <c r="F909" s="99" t="str">
        <f aca="false">IF($E909="","",IFERROR(INDEX(科目表!$A$4:$A$81,MATCH($E909,科目表!$B$4:$B$81,0)),""))</f>
        <v/>
      </c>
      <c r="G909" s="67" t="str">
        <f aca="false">IF($E909="","",IFERROR(INDEX(科目表!$E$4:$E$81,MATCH($E909,科目表!$B$4:$B$81,0)),""))</f>
        <v/>
      </c>
      <c r="H909" s="70" t="str">
        <f aca="false">IF($E909="","",N(INDEX(进销存对接!$M$4:$U$305,302,8)))</f>
        <v/>
      </c>
      <c r="I909" s="70" t="str">
        <f aca="false">IF($E909="","",N(INDEX(进销存对接!$M$4:$U$305,302,9)))</f>
        <v/>
      </c>
      <c r="J909" s="67"/>
      <c r="K909" s="67" t="str">
        <f aca="false">IF($E909="","",INDEX(进销存对接!$D$4:$D$305,302))</f>
        <v/>
      </c>
      <c r="L909" s="107"/>
      <c r="M909" s="107"/>
      <c r="N909" s="67" t="str">
        <f aca="false">IF($E909="","","系统")</f>
        <v/>
      </c>
      <c r="O909" s="67" t="str">
        <f aca="false">IF($E909="","","自动A")</f>
        <v/>
      </c>
      <c r="P909" s="18"/>
    </row>
    <row r="910" customFormat="false" ht="18" hidden="false" customHeight="true" outlineLevel="0" collapsed="false">
      <c r="A910" s="107" t="n">
        <f aca="false">IF($E910="","",ROW()-3)</f>
        <v>907</v>
      </c>
      <c r="B910" s="110" t="n">
        <f aca="false">IF($E910="","",INDEX(资金日记账!$B$4:$B$603,1))</f>
        <v>46266</v>
      </c>
      <c r="C910" s="67" t="str">
        <f aca="false">IF($E910="","",IF(INDEX(资金日记账!$W$4:$W$603,1)="","记-"&amp;TEXT($B910,"YYYYMM")&amp;"-资金",INDEX(资金日记账!$W$4:$W$603,1)))</f>
        <v>记-202609-资金</v>
      </c>
      <c r="D910" s="107" t="str">
        <f aca="false">IF($E910="","",INDEX(资金日记账!$D$4:$D$603,1))</f>
        <v>财务支出</v>
      </c>
      <c r="E910" s="67" t="str">
        <f aca="false">IF(INDEX(资金日记账!$N$4:$S$603,1,1)=0,"",INDEX(资金日记账!$N$4:$S$603,1,1))</f>
        <v>财务费用</v>
      </c>
      <c r="F910" s="99" t="str">
        <f aca="false">IF($E910="","",IFERROR(INDEX(科目表!$A$4:$A$81,MATCH($E910,科目表!$B$4:$B$81,0)),""))</f>
        <v>5603</v>
      </c>
      <c r="G910" s="67" t="str">
        <f aca="false">IF($E910="","",IFERROR(INDEX(科目表!$E$4:$E$81,MATCH($E910,科目表!$B$4:$B$81,0)),""))</f>
        <v>财务费用</v>
      </c>
      <c r="H910" s="70" t="n">
        <f aca="false">IF($E910="","",N(INDEX(资金日记账!$N$4:$S$603,1,2)))</f>
        <v>260</v>
      </c>
      <c r="I910" s="70" t="n">
        <f aca="false">IF($E910="","",N(INDEX(资金日记账!$N$4:$S$603,1,3)))</f>
        <v>0</v>
      </c>
      <c r="J910" s="67" t="n">
        <f aca="false">IF($E910="","",INDEX(资金日记账!$E$4:$E$603,1))</f>
        <v>0</v>
      </c>
      <c r="K910" s="67" t="str">
        <f aca="false">IF($E910="","",INDEX(资金日记账!$F$4:$F$603,1))</f>
        <v>永城财务</v>
      </c>
      <c r="L910" s="107" t="n">
        <f aca="false">IF($E910="","",INDEX(资金日记账!$X$4:$X$603,1))</f>
        <v>0</v>
      </c>
      <c r="M910" s="107"/>
      <c r="N910" s="67" t="n">
        <f aca="false">IF($E910="","",INDEX(资金日记账!$Y$4:$Y$603,1))</f>
        <v>0</v>
      </c>
      <c r="O910" s="67" t="str">
        <f aca="false">IF($E910="","","自动B")</f>
        <v>自动B</v>
      </c>
      <c r="P910" s="18"/>
    </row>
    <row r="911" customFormat="false" ht="18" hidden="false" customHeight="true" outlineLevel="0" collapsed="false">
      <c r="A911" s="107" t="n">
        <f aca="false">IF($E911="","",ROW()-3)</f>
        <v>908</v>
      </c>
      <c r="B911" s="110" t="n">
        <f aca="false">IF($E911="","",INDEX(资金日记账!$B$4:$B$603,1))</f>
        <v>46266</v>
      </c>
      <c r="C911" s="67" t="str">
        <f aca="false">IF($E911="","",IF(INDEX(资金日记账!$W$4:$W$603,1)="","记-"&amp;TEXT($B911,"YYYYMM")&amp;"-资金",INDEX(资金日记账!$W$4:$W$603,1)))</f>
        <v>记-202609-资金</v>
      </c>
      <c r="D911" s="107" t="str">
        <f aca="false">IF($E911="","",INDEX(资金日记账!$D$4:$D$603,1))</f>
        <v>财务支出</v>
      </c>
      <c r="E911" s="67" t="str">
        <f aca="false">IF(INDEX(资金日记账!$N$4:$S$603,1,4)=0,"",INDEX(资金日记账!$N$4:$S$603,1,4))</f>
        <v>银行存款</v>
      </c>
      <c r="F911" s="99" t="str">
        <f aca="false">IF($E911="","",IFERROR(INDEX(科目表!$A$4:$A$81,MATCH($E911,科目表!$B$4:$B$81,0)),""))</f>
        <v>1002</v>
      </c>
      <c r="G911" s="67" t="str">
        <f aca="false">IF($E911="","",IFERROR(INDEX(科目表!$E$4:$E$81,MATCH($E911,科目表!$B$4:$B$81,0)),""))</f>
        <v>货币资金</v>
      </c>
      <c r="H911" s="70" t="n">
        <f aca="false">IF($E911="","",N(INDEX(资金日记账!$N$4:$S$603,1,5)))</f>
        <v>0</v>
      </c>
      <c r="I911" s="70" t="n">
        <f aca="false">IF($E911="","",N(INDEX(资金日记账!$N$4:$S$603,1,6)))</f>
        <v>260</v>
      </c>
      <c r="J911" s="67" t="n">
        <f aca="false">IF($E911="","",INDEX(资金日记账!$E$4:$E$603,1))</f>
        <v>0</v>
      </c>
      <c r="K911" s="67" t="str">
        <f aca="false">IF($E911="","",INDEX(资金日记账!$F$4:$F$603,1))</f>
        <v>永城财务</v>
      </c>
      <c r="L911" s="107" t="n">
        <f aca="false">IF($E911="","",INDEX(资金日记账!$X$4:$X$603,1))</f>
        <v>0</v>
      </c>
      <c r="M911" s="107"/>
      <c r="N911" s="67" t="n">
        <f aca="false">IF($E911="","",INDEX(资金日记账!$Y$4:$Y$603,1))</f>
        <v>0</v>
      </c>
      <c r="O911" s="67" t="str">
        <f aca="false">IF($E911="","","自动B")</f>
        <v>自动B</v>
      </c>
      <c r="P911" s="18"/>
    </row>
    <row r="912" customFormat="false" ht="18" hidden="false" customHeight="true" outlineLevel="0" collapsed="false">
      <c r="A912" s="107" t="n">
        <f aca="false">IF($E912="","",ROW()-3)</f>
        <v>909</v>
      </c>
      <c r="B912" s="110" t="n">
        <f aca="false">IF($E912="","",INDEX(资金日记账!$B$4:$B$603,2))</f>
        <v>46267</v>
      </c>
      <c r="C912" s="67" t="str">
        <f aca="false">IF($E912="","",IF(INDEX(资金日记账!$W$4:$W$603,2)="","记-"&amp;TEXT($B912,"YYYYMM")&amp;"-资金",INDEX(资金日记账!$W$4:$W$603,2)))</f>
        <v>记-202609-资金</v>
      </c>
      <c r="D912" s="107" t="str">
        <f aca="false">IF($E912="","",INDEX(资金日记账!$D$4:$D$603,2))</f>
        <v>预支工资</v>
      </c>
      <c r="E912" s="67" t="str">
        <f aca="false">IF(INDEX(资金日记账!$N$4:$S$603,2,1)=0,"",INDEX(资金日记账!$N$4:$S$603,2,1))</f>
        <v>主营业务成本</v>
      </c>
      <c r="F912" s="99" t="str">
        <f aca="false">IF($E912="","",IFERROR(INDEX(科目表!$A$4:$A$81,MATCH($E912,科目表!$B$4:$B$81,0)),""))</f>
        <v>5401</v>
      </c>
      <c r="G912" s="67" t="str">
        <f aca="false">IF($E912="","",IFERROR(INDEX(科目表!$E$4:$E$81,MATCH($E912,科目表!$B$4:$B$81,0)),""))</f>
        <v>营业成本</v>
      </c>
      <c r="H912" s="70" t="n">
        <f aca="false">IF($E912="","",N(INDEX(资金日记账!$N$4:$S$603,2,2)))</f>
        <v>1500</v>
      </c>
      <c r="I912" s="70" t="n">
        <f aca="false">IF($E912="","",N(INDEX(资金日记账!$N$4:$S$603,2,3)))</f>
        <v>0</v>
      </c>
      <c r="J912" s="67" t="n">
        <f aca="false">IF($E912="","",INDEX(资金日记账!$E$4:$E$603,2))</f>
        <v>0</v>
      </c>
      <c r="K912" s="67" t="str">
        <f aca="false">IF($E912="","",INDEX(资金日记账!$F$4:$F$603,2))</f>
        <v>人工工资</v>
      </c>
      <c r="L912" s="107" t="n">
        <f aca="false">IF($E912="","",INDEX(资金日记账!$X$4:$X$603,2))</f>
        <v>0</v>
      </c>
      <c r="M912" s="107"/>
      <c r="N912" s="67" t="n">
        <f aca="false">IF($E912="","",INDEX(资金日记账!$Y$4:$Y$603,2))</f>
        <v>0</v>
      </c>
      <c r="O912" s="67" t="str">
        <f aca="false">IF($E912="","","自动B")</f>
        <v>自动B</v>
      </c>
      <c r="P912" s="18"/>
    </row>
    <row r="913" customFormat="false" ht="18" hidden="false" customHeight="true" outlineLevel="0" collapsed="false">
      <c r="A913" s="107" t="n">
        <f aca="false">IF($E913="","",ROW()-3)</f>
        <v>910</v>
      </c>
      <c r="B913" s="110" t="n">
        <f aca="false">IF($E913="","",INDEX(资金日记账!$B$4:$B$603,2))</f>
        <v>46267</v>
      </c>
      <c r="C913" s="67" t="str">
        <f aca="false">IF($E913="","",IF(INDEX(资金日记账!$W$4:$W$603,2)="","记-"&amp;TEXT($B913,"YYYYMM")&amp;"-资金",INDEX(资金日记账!$W$4:$W$603,2)))</f>
        <v>记-202609-资金</v>
      </c>
      <c r="D913" s="107" t="str">
        <f aca="false">IF($E913="","",INDEX(资金日记账!$D$4:$D$603,2))</f>
        <v>预支工资</v>
      </c>
      <c r="E913" s="67" t="str">
        <f aca="false">IF(INDEX(资金日记账!$N$4:$S$603,2,4)=0,"",INDEX(资金日记账!$N$4:$S$603,2,4))</f>
        <v>银行存款</v>
      </c>
      <c r="F913" s="99" t="str">
        <f aca="false">IF($E913="","",IFERROR(INDEX(科目表!$A$4:$A$81,MATCH($E913,科目表!$B$4:$B$81,0)),""))</f>
        <v>1002</v>
      </c>
      <c r="G913" s="67" t="str">
        <f aca="false">IF($E913="","",IFERROR(INDEX(科目表!$E$4:$E$81,MATCH($E913,科目表!$B$4:$B$81,0)),""))</f>
        <v>货币资金</v>
      </c>
      <c r="H913" s="70" t="n">
        <f aca="false">IF($E913="","",N(INDEX(资金日记账!$N$4:$S$603,2,5)))</f>
        <v>0</v>
      </c>
      <c r="I913" s="70" t="n">
        <f aca="false">IF($E913="","",N(INDEX(资金日记账!$N$4:$S$603,2,6)))</f>
        <v>1500</v>
      </c>
      <c r="J913" s="67" t="n">
        <f aca="false">IF($E913="","",INDEX(资金日记账!$E$4:$E$603,2))</f>
        <v>0</v>
      </c>
      <c r="K913" s="67" t="str">
        <f aca="false">IF($E913="","",INDEX(资金日记账!$F$4:$F$603,2))</f>
        <v>人工工资</v>
      </c>
      <c r="L913" s="107" t="n">
        <f aca="false">IF($E913="","",INDEX(资金日记账!$X$4:$X$603,2))</f>
        <v>0</v>
      </c>
      <c r="M913" s="107"/>
      <c r="N913" s="67" t="n">
        <f aca="false">IF($E913="","",INDEX(资金日记账!$Y$4:$Y$603,2))</f>
        <v>0</v>
      </c>
      <c r="O913" s="67" t="str">
        <f aca="false">IF($E913="","","自动B")</f>
        <v>自动B</v>
      </c>
      <c r="P913" s="18"/>
    </row>
    <row r="914" customFormat="false" ht="18" hidden="false" customHeight="true" outlineLevel="0" collapsed="false">
      <c r="A914" s="107" t="n">
        <f aca="false">IF($E914="","",ROW()-3)</f>
        <v>911</v>
      </c>
      <c r="B914" s="110" t="n">
        <f aca="false">IF($E914="","",INDEX(资金日记账!$B$4:$B$603,3))</f>
        <v>46268</v>
      </c>
      <c r="C914" s="67" t="str">
        <f aca="false">IF($E914="","",IF(INDEX(资金日记账!$W$4:$W$603,3)="","记-"&amp;TEXT($B914,"YYYYMM")&amp;"-资金",INDEX(资金日记账!$W$4:$W$603,3)))</f>
        <v>记-202609-资金</v>
      </c>
      <c r="D914" s="107" t="str">
        <f aca="false">IF($E914="","",INDEX(资金日记账!$D$4:$D$603,3))</f>
        <v>借款</v>
      </c>
      <c r="E914" s="67" t="str">
        <f aca="false">IF(INDEX(资金日记账!$N$4:$S$603,3,1)=0,"",INDEX(资金日记账!$N$4:$S$603,3,1))</f>
        <v>银行存款</v>
      </c>
      <c r="F914" s="99" t="str">
        <f aca="false">IF($E914="","",IFERROR(INDEX(科目表!$A$4:$A$81,MATCH($E914,科目表!$B$4:$B$81,0)),""))</f>
        <v>1002</v>
      </c>
      <c r="G914" s="67" t="str">
        <f aca="false">IF($E914="","",IFERROR(INDEX(科目表!$E$4:$E$81,MATCH($E914,科目表!$B$4:$B$81,0)),""))</f>
        <v>货币资金</v>
      </c>
      <c r="H914" s="70" t="n">
        <f aca="false">IF($E914="","",N(INDEX(资金日记账!$N$4:$S$603,3,2)))</f>
        <v>50000</v>
      </c>
      <c r="I914" s="70" t="n">
        <f aca="false">IF($E914="","",N(INDEX(资金日记账!$N$4:$S$603,3,3)))</f>
        <v>0</v>
      </c>
      <c r="J914" s="67" t="n">
        <f aca="false">IF($E914="","",INDEX(资金日记账!$E$4:$E$603,3))</f>
        <v>0</v>
      </c>
      <c r="K914" s="67" t="str">
        <f aca="false">IF($E914="","",INDEX(资金日记账!$F$4:$F$603,3))</f>
        <v>借款</v>
      </c>
      <c r="L914" s="107" t="n">
        <f aca="false">IF($E914="","",INDEX(资金日记账!$X$4:$X$603,3))</f>
        <v>0</v>
      </c>
      <c r="M914" s="107"/>
      <c r="N914" s="67" t="n">
        <f aca="false">IF($E914="","",INDEX(资金日记账!$Y$4:$Y$603,3))</f>
        <v>0</v>
      </c>
      <c r="O914" s="67" t="str">
        <f aca="false">IF($E914="","","自动B")</f>
        <v>自动B</v>
      </c>
      <c r="P914" s="18"/>
    </row>
    <row r="915" customFormat="false" ht="18" hidden="false" customHeight="true" outlineLevel="0" collapsed="false">
      <c r="A915" s="107" t="n">
        <f aca="false">IF($E915="","",ROW()-3)</f>
        <v>912</v>
      </c>
      <c r="B915" s="110" t="n">
        <f aca="false">IF($E915="","",INDEX(资金日记账!$B$4:$B$603,3))</f>
        <v>46268</v>
      </c>
      <c r="C915" s="67" t="str">
        <f aca="false">IF($E915="","",IF(INDEX(资金日记账!$W$4:$W$603,3)="","记-"&amp;TEXT($B915,"YYYYMM")&amp;"-资金",INDEX(资金日记账!$W$4:$W$603,3)))</f>
        <v>记-202609-资金</v>
      </c>
      <c r="D915" s="107" t="str">
        <f aca="false">IF($E915="","",INDEX(资金日记账!$D$4:$D$603,3))</f>
        <v>借款</v>
      </c>
      <c r="E915" s="67" t="str">
        <f aca="false">IF(INDEX(资金日记账!$N$4:$S$603,3,4)=0,"",INDEX(资金日记账!$N$4:$S$603,3,4))</f>
        <v>短期借款</v>
      </c>
      <c r="F915" s="99" t="str">
        <f aca="false">IF($E915="","",IFERROR(INDEX(科目表!$A$4:$A$81,MATCH($E915,科目表!$B$4:$B$81,0)),""))</f>
        <v>2001</v>
      </c>
      <c r="G915" s="67" t="str">
        <f aca="false">IF($E915="","",IFERROR(INDEX(科目表!$E$4:$E$81,MATCH($E915,科目表!$B$4:$B$81,0)),""))</f>
        <v>短期借款</v>
      </c>
      <c r="H915" s="70" t="n">
        <f aca="false">IF($E915="","",N(INDEX(资金日记账!$N$4:$S$603,3,5)))</f>
        <v>0</v>
      </c>
      <c r="I915" s="70" t="n">
        <f aca="false">IF($E915="","",N(INDEX(资金日记账!$N$4:$S$603,3,6)))</f>
        <v>50000</v>
      </c>
      <c r="J915" s="67" t="n">
        <f aca="false">IF($E915="","",INDEX(资金日记账!$E$4:$E$603,3))</f>
        <v>0</v>
      </c>
      <c r="K915" s="67" t="str">
        <f aca="false">IF($E915="","",INDEX(资金日记账!$F$4:$F$603,3))</f>
        <v>借款</v>
      </c>
      <c r="L915" s="107" t="n">
        <f aca="false">IF($E915="","",INDEX(资金日记账!$X$4:$X$603,3))</f>
        <v>0</v>
      </c>
      <c r="M915" s="107"/>
      <c r="N915" s="67" t="n">
        <f aca="false">IF($E915="","",INDEX(资金日记账!$Y$4:$Y$603,3))</f>
        <v>0</v>
      </c>
      <c r="O915" s="67" t="str">
        <f aca="false">IF($E915="","","自动B")</f>
        <v>自动B</v>
      </c>
      <c r="P915" s="18"/>
    </row>
    <row r="916" customFormat="false" ht="18" hidden="false" customHeight="true" outlineLevel="0" collapsed="false">
      <c r="A916" s="107" t="n">
        <f aca="false">IF($E916="","",ROW()-3)</f>
        <v>913</v>
      </c>
      <c r="B916" s="110" t="n">
        <f aca="false">IF($E916="","",INDEX(资金日记账!$B$4:$B$603,4))</f>
        <v>46268</v>
      </c>
      <c r="C916" s="67" t="str">
        <f aca="false">IF($E916="","",IF(INDEX(资金日记账!$W$4:$W$603,4)="","记-"&amp;TEXT($B916,"YYYYMM")&amp;"-资金",INDEX(资金日记账!$W$4:$W$603,4)))</f>
        <v>记-202609-资金</v>
      </c>
      <c r="D916" s="107" t="str">
        <f aca="false">IF($E916="","",INDEX(资金日记账!$D$4:$D$603,4))</f>
        <v>借款</v>
      </c>
      <c r="E916" s="67" t="str">
        <f aca="false">IF(INDEX(资金日记账!$N$4:$S$603,4,1)=0,"",INDEX(资金日记账!$N$4:$S$603,4,1))</f>
        <v>银行存款</v>
      </c>
      <c r="F916" s="99" t="str">
        <f aca="false">IF($E916="","",IFERROR(INDEX(科目表!$A$4:$A$81,MATCH($E916,科目表!$B$4:$B$81,0)),""))</f>
        <v>1002</v>
      </c>
      <c r="G916" s="67" t="str">
        <f aca="false">IF($E916="","",IFERROR(INDEX(科目表!$E$4:$E$81,MATCH($E916,科目表!$B$4:$B$81,0)),""))</f>
        <v>货币资金</v>
      </c>
      <c r="H916" s="70" t="n">
        <f aca="false">IF($E916="","",N(INDEX(资金日记账!$N$4:$S$603,4,2)))</f>
        <v>250000</v>
      </c>
      <c r="I916" s="70" t="n">
        <f aca="false">IF($E916="","",N(INDEX(资金日记账!$N$4:$S$603,4,3)))</f>
        <v>0</v>
      </c>
      <c r="J916" s="67" t="n">
        <f aca="false">IF($E916="","",INDEX(资金日记账!$E$4:$E$603,4))</f>
        <v>0</v>
      </c>
      <c r="K916" s="67" t="str">
        <f aca="false">IF($E916="","",INDEX(资金日记账!$F$4:$F$603,4))</f>
        <v>借款</v>
      </c>
      <c r="L916" s="107" t="n">
        <f aca="false">IF($E916="","",INDEX(资金日记账!$X$4:$X$603,4))</f>
        <v>0</v>
      </c>
      <c r="M916" s="107"/>
      <c r="N916" s="67" t="n">
        <f aca="false">IF($E916="","",INDEX(资金日记账!$Y$4:$Y$603,4))</f>
        <v>0</v>
      </c>
      <c r="O916" s="67" t="str">
        <f aca="false">IF($E916="","","自动B")</f>
        <v>自动B</v>
      </c>
      <c r="P916" s="18"/>
    </row>
    <row r="917" customFormat="false" ht="18" hidden="false" customHeight="true" outlineLevel="0" collapsed="false">
      <c r="A917" s="107" t="n">
        <f aca="false">IF($E917="","",ROW()-3)</f>
        <v>914</v>
      </c>
      <c r="B917" s="110" t="n">
        <f aca="false">IF($E917="","",INDEX(资金日记账!$B$4:$B$603,4))</f>
        <v>46268</v>
      </c>
      <c r="C917" s="67" t="str">
        <f aca="false">IF($E917="","",IF(INDEX(资金日记账!$W$4:$W$603,4)="","记-"&amp;TEXT($B917,"YYYYMM")&amp;"-资金",INDEX(资金日记账!$W$4:$W$603,4)))</f>
        <v>记-202609-资金</v>
      </c>
      <c r="D917" s="107" t="str">
        <f aca="false">IF($E917="","",INDEX(资金日记账!$D$4:$D$603,4))</f>
        <v>借款</v>
      </c>
      <c r="E917" s="67" t="str">
        <f aca="false">IF(INDEX(资金日记账!$N$4:$S$603,4,4)=0,"",INDEX(资金日记账!$N$4:$S$603,4,4))</f>
        <v>短期借款</v>
      </c>
      <c r="F917" s="99" t="str">
        <f aca="false">IF($E917="","",IFERROR(INDEX(科目表!$A$4:$A$81,MATCH($E917,科目表!$B$4:$B$81,0)),""))</f>
        <v>2001</v>
      </c>
      <c r="G917" s="67" t="str">
        <f aca="false">IF($E917="","",IFERROR(INDEX(科目表!$E$4:$E$81,MATCH($E917,科目表!$B$4:$B$81,0)),""))</f>
        <v>短期借款</v>
      </c>
      <c r="H917" s="70" t="n">
        <f aca="false">IF($E917="","",N(INDEX(资金日记账!$N$4:$S$603,4,5)))</f>
        <v>0</v>
      </c>
      <c r="I917" s="70" t="n">
        <f aca="false">IF($E917="","",N(INDEX(资金日记账!$N$4:$S$603,4,6)))</f>
        <v>250000</v>
      </c>
      <c r="J917" s="67" t="n">
        <f aca="false">IF($E917="","",INDEX(资金日记账!$E$4:$E$603,4))</f>
        <v>0</v>
      </c>
      <c r="K917" s="67" t="str">
        <f aca="false">IF($E917="","",INDEX(资金日记账!$F$4:$F$603,4))</f>
        <v>借款</v>
      </c>
      <c r="L917" s="107" t="n">
        <f aca="false">IF($E917="","",INDEX(资金日记账!$X$4:$X$603,4))</f>
        <v>0</v>
      </c>
      <c r="M917" s="107"/>
      <c r="N917" s="67" t="n">
        <f aca="false">IF($E917="","",INDEX(资金日记账!$Y$4:$Y$603,4))</f>
        <v>0</v>
      </c>
      <c r="O917" s="67" t="str">
        <f aca="false">IF($E917="","","自动B")</f>
        <v>自动B</v>
      </c>
      <c r="P917" s="18"/>
    </row>
    <row r="918" customFormat="false" ht="18" hidden="false" customHeight="true" outlineLevel="0" collapsed="false">
      <c r="A918" s="107" t="n">
        <f aca="false">IF($E918="","",ROW()-3)</f>
        <v>915</v>
      </c>
      <c r="B918" s="110" t="n">
        <f aca="false">IF($E918="","",INDEX(资金日记账!$B$4:$B$603,5))</f>
        <v>46269</v>
      </c>
      <c r="C918" s="67" t="str">
        <f aca="false">IF($E918="","",IF(INDEX(资金日记账!$W$4:$W$603,5)="","记-"&amp;TEXT($B918,"YYYYMM")&amp;"-资金",INDEX(资金日记账!$W$4:$W$603,5)))</f>
        <v>记-202609-资金</v>
      </c>
      <c r="D918" s="107" t="str">
        <f aca="false">IF($E918="","",INDEX(资金日记账!$D$4:$D$603,5))</f>
        <v>慢慢微信</v>
      </c>
      <c r="E918" s="67" t="str">
        <f aca="false">IF(INDEX(资金日记账!$N$4:$S$603,5,1)=0,"",INDEX(资金日记账!$N$4:$S$603,5,1))</f>
        <v>其他货币资金</v>
      </c>
      <c r="F918" s="99" t="str">
        <f aca="false">IF($E918="","",IFERROR(INDEX(科目表!$A$4:$A$81,MATCH($E918,科目表!$B$4:$B$81,0)),""))</f>
        <v>1012</v>
      </c>
      <c r="G918" s="67" t="str">
        <f aca="false">IF($E918="","",IFERROR(INDEX(科目表!$E$4:$E$81,MATCH($E918,科目表!$B$4:$B$81,0)),""))</f>
        <v>货币资金</v>
      </c>
      <c r="H918" s="70" t="n">
        <f aca="false">IF($E918="","",N(INDEX(资金日记账!$N$4:$S$603,5,2)))</f>
        <v>60000</v>
      </c>
      <c r="I918" s="70" t="n">
        <f aca="false">IF($E918="","",N(INDEX(资金日记账!$N$4:$S$603,5,3)))</f>
        <v>0</v>
      </c>
      <c r="J918" s="67" t="n">
        <f aca="false">IF($E918="","",INDEX(资金日记账!$E$4:$E$603,5))</f>
        <v>0</v>
      </c>
      <c r="K918" s="67" t="str">
        <f aca="false">IF($E918="","",INDEX(资金日记账!$F$4:$F$603,5))</f>
        <v>账户互转</v>
      </c>
      <c r="L918" s="107" t="n">
        <f aca="false">IF($E918="","",INDEX(资金日记账!$X$4:$X$603,5))</f>
        <v>0</v>
      </c>
      <c r="M918" s="107"/>
      <c r="N918" s="67" t="n">
        <f aca="false">IF($E918="","",INDEX(资金日记账!$Y$4:$Y$603,5))</f>
        <v>0</v>
      </c>
      <c r="O918" s="67" t="str">
        <f aca="false">IF($E918="","","自动B")</f>
        <v>自动B</v>
      </c>
      <c r="P918" s="18"/>
    </row>
    <row r="919" customFormat="false" ht="18" hidden="false" customHeight="true" outlineLevel="0" collapsed="false">
      <c r="A919" s="107" t="n">
        <f aca="false">IF($E919="","",ROW()-3)</f>
        <v>916</v>
      </c>
      <c r="B919" s="110" t="n">
        <f aca="false">IF($E919="","",INDEX(资金日记账!$B$4:$B$603,5))</f>
        <v>46269</v>
      </c>
      <c r="C919" s="67" t="str">
        <f aca="false">IF($E919="","",IF(INDEX(资金日记账!$W$4:$W$603,5)="","记-"&amp;TEXT($B919,"YYYYMM")&amp;"-资金",INDEX(资金日记账!$W$4:$W$603,5)))</f>
        <v>记-202609-资金</v>
      </c>
      <c r="D919" s="107" t="str">
        <f aca="false">IF($E919="","",INDEX(资金日记账!$D$4:$D$603,5))</f>
        <v>慢慢微信</v>
      </c>
      <c r="E919" s="67" t="str">
        <f aca="false">IF(INDEX(资金日记账!$N$4:$S$603,5,4)=0,"",INDEX(资金日记账!$N$4:$S$603,5,4))</f>
        <v>银行存款</v>
      </c>
      <c r="F919" s="99" t="str">
        <f aca="false">IF($E919="","",IFERROR(INDEX(科目表!$A$4:$A$81,MATCH($E919,科目表!$B$4:$B$81,0)),""))</f>
        <v>1002</v>
      </c>
      <c r="G919" s="67" t="str">
        <f aca="false">IF($E919="","",IFERROR(INDEX(科目表!$E$4:$E$81,MATCH($E919,科目表!$B$4:$B$81,0)),""))</f>
        <v>货币资金</v>
      </c>
      <c r="H919" s="70" t="n">
        <f aca="false">IF($E919="","",N(INDEX(资金日记账!$N$4:$S$603,5,5)))</f>
        <v>0</v>
      </c>
      <c r="I919" s="70" t="n">
        <f aca="false">IF($E919="","",N(INDEX(资金日记账!$N$4:$S$603,5,6)))</f>
        <v>60000</v>
      </c>
      <c r="J919" s="67" t="n">
        <f aca="false">IF($E919="","",INDEX(资金日记账!$E$4:$E$603,5))</f>
        <v>0</v>
      </c>
      <c r="K919" s="67" t="str">
        <f aca="false">IF($E919="","",INDEX(资金日记账!$F$4:$F$603,5))</f>
        <v>账户互转</v>
      </c>
      <c r="L919" s="107" t="n">
        <f aca="false">IF($E919="","",INDEX(资金日记账!$X$4:$X$603,5))</f>
        <v>0</v>
      </c>
      <c r="M919" s="107"/>
      <c r="N919" s="67" t="n">
        <f aca="false">IF($E919="","",INDEX(资金日记账!$Y$4:$Y$603,5))</f>
        <v>0</v>
      </c>
      <c r="O919" s="67" t="str">
        <f aca="false">IF($E919="","","自动B")</f>
        <v>自动B</v>
      </c>
      <c r="P919" s="18"/>
    </row>
    <row r="920" customFormat="false" ht="18" hidden="false" customHeight="true" outlineLevel="0" collapsed="false">
      <c r="A920" s="107" t="n">
        <f aca="false">IF($E920="","",ROW()-3)</f>
        <v>917</v>
      </c>
      <c r="B920" s="110" t="n">
        <f aca="false">IF($E920="","",INDEX(资金日记账!$B$4:$B$603,6))</f>
        <v>46269</v>
      </c>
      <c r="C920" s="67" t="str">
        <f aca="false">IF($E920="","",IF(INDEX(资金日记账!$W$4:$W$603,6)="","记-"&amp;TEXT($B920,"YYYYMM")&amp;"-资金",INDEX(资金日记账!$W$4:$W$603,6)))</f>
        <v>记-202609-资金</v>
      </c>
      <c r="D920" s="107" t="str">
        <f aca="false">IF($E920="","",INDEX(资金日记账!$D$4:$D$603,6))</f>
        <v>2025年度香梨款</v>
      </c>
      <c r="E920" s="67" t="str">
        <f aca="false">IF(INDEX(资金日记账!$N$4:$S$603,6,1)=0,"",INDEX(资金日记账!$N$4:$S$603,6,1))</f>
        <v>银行存款</v>
      </c>
      <c r="F920" s="99" t="str">
        <f aca="false">IF($E920="","",IFERROR(INDEX(科目表!$A$4:$A$81,MATCH($E920,科目表!$B$4:$B$81,0)),""))</f>
        <v>1002</v>
      </c>
      <c r="G920" s="67" t="str">
        <f aca="false">IF($E920="","",IFERROR(INDEX(科目表!$E$4:$E$81,MATCH($E920,科目表!$B$4:$B$81,0)),""))</f>
        <v>货币资金</v>
      </c>
      <c r="H920" s="70" t="n">
        <f aca="false">IF($E920="","",N(INDEX(资金日记账!$N$4:$S$603,6,2)))</f>
        <v>17800</v>
      </c>
      <c r="I920" s="70" t="n">
        <f aca="false">IF($E920="","",N(INDEX(资金日记账!$N$4:$S$603,6,3)))</f>
        <v>0</v>
      </c>
      <c r="J920" s="67" t="n">
        <f aca="false">IF($E920="","",INDEX(资金日记账!$E$4:$E$603,6))</f>
        <v>0</v>
      </c>
      <c r="K920" s="67" t="str">
        <f aca="false">IF($E920="","",INDEX(资金日记账!$F$4:$F$603,6))</f>
        <v>水果销售</v>
      </c>
      <c r="L920" s="107" t="n">
        <f aca="false">IF($E920="","",INDEX(资金日记账!$X$4:$X$603,6))</f>
        <v>0</v>
      </c>
      <c r="M920" s="107"/>
      <c r="N920" s="67" t="n">
        <f aca="false">IF($E920="","",INDEX(资金日记账!$Y$4:$Y$603,6))</f>
        <v>0</v>
      </c>
      <c r="O920" s="67" t="str">
        <f aca="false">IF($E920="","","自动B")</f>
        <v>自动B</v>
      </c>
      <c r="P920" s="18"/>
    </row>
    <row r="921" customFormat="false" ht="18" hidden="false" customHeight="true" outlineLevel="0" collapsed="false">
      <c r="A921" s="107" t="n">
        <f aca="false">IF($E921="","",ROW()-3)</f>
        <v>918</v>
      </c>
      <c r="B921" s="110" t="n">
        <f aca="false">IF($E921="","",INDEX(资金日记账!$B$4:$B$603,6))</f>
        <v>46269</v>
      </c>
      <c r="C921" s="67" t="str">
        <f aca="false">IF($E921="","",IF(INDEX(资金日记账!$W$4:$W$603,6)="","记-"&amp;TEXT($B921,"YYYYMM")&amp;"-资金",INDEX(资金日记账!$W$4:$W$603,6)))</f>
        <v>记-202609-资金</v>
      </c>
      <c r="D921" s="107" t="str">
        <f aca="false">IF($E921="","",INDEX(资金日记账!$D$4:$D$603,6))</f>
        <v>2025年度香梨款</v>
      </c>
      <c r="E921" s="67" t="str">
        <f aca="false">IF(INDEX(资金日记账!$N$4:$S$603,6,4)=0,"",INDEX(资金日记账!$N$4:$S$603,6,4))</f>
        <v>应收账款</v>
      </c>
      <c r="F921" s="99" t="str">
        <f aca="false">IF($E921="","",IFERROR(INDEX(科目表!$A$4:$A$81,MATCH($E921,科目表!$B$4:$B$81,0)),""))</f>
        <v>1122</v>
      </c>
      <c r="G921" s="67" t="str">
        <f aca="false">IF($E921="","",IFERROR(INDEX(科目表!$E$4:$E$81,MATCH($E921,科目表!$B$4:$B$81,0)),""))</f>
        <v>应收账款</v>
      </c>
      <c r="H921" s="70" t="n">
        <f aca="false">IF($E921="","",N(INDEX(资金日记账!$N$4:$S$603,6,5)))</f>
        <v>0</v>
      </c>
      <c r="I921" s="70" t="n">
        <f aca="false">IF($E921="","",N(INDEX(资金日记账!$N$4:$S$603,6,6)))</f>
        <v>17800</v>
      </c>
      <c r="J921" s="67" t="n">
        <f aca="false">IF($E921="","",INDEX(资金日记账!$E$4:$E$603,6))</f>
        <v>0</v>
      </c>
      <c r="K921" s="67" t="str">
        <f aca="false">IF($E921="","",INDEX(资金日记账!$F$4:$F$603,6))</f>
        <v>水果销售</v>
      </c>
      <c r="L921" s="107" t="n">
        <f aca="false">IF($E921="","",INDEX(资金日记账!$X$4:$X$603,6))</f>
        <v>0</v>
      </c>
      <c r="M921" s="107"/>
      <c r="N921" s="67" t="n">
        <f aca="false">IF($E921="","",INDEX(资金日记账!$Y$4:$Y$603,6))</f>
        <v>0</v>
      </c>
      <c r="O921" s="67" t="str">
        <f aca="false">IF($E921="","","自动B")</f>
        <v>自动B</v>
      </c>
      <c r="P921" s="18"/>
    </row>
    <row r="922" customFormat="false" ht="18" hidden="false" customHeight="true" outlineLevel="0" collapsed="false">
      <c r="A922" s="107" t="n">
        <f aca="false">IF($E922="","",ROW()-3)</f>
        <v>919</v>
      </c>
      <c r="B922" s="110" t="n">
        <f aca="false">IF($E922="","",INDEX(资金日记账!$B$4:$B$603,7))</f>
        <v>46269</v>
      </c>
      <c r="C922" s="67" t="str">
        <f aca="false">IF($E922="","",IF(INDEX(资金日记账!$W$4:$W$603,7)="","记-"&amp;TEXT($B922,"YYYYMM")&amp;"-资金",INDEX(资金日记账!$W$4:$W$603,7)))</f>
        <v>记-202609-资金</v>
      </c>
      <c r="D922" s="107" t="str">
        <f aca="false">IF($E922="","",INDEX(资金日记账!$D$4:$D$603,7))</f>
        <v>2026年度香梨款</v>
      </c>
      <c r="E922" s="67" t="str">
        <f aca="false">IF(INDEX(资金日记账!$N$4:$S$603,7,1)=0,"",INDEX(资金日记账!$N$4:$S$603,7,1))</f>
        <v>银行存款</v>
      </c>
      <c r="F922" s="99" t="str">
        <f aca="false">IF($E922="","",IFERROR(INDEX(科目表!$A$4:$A$81,MATCH($E922,科目表!$B$4:$B$81,0)),""))</f>
        <v>1002</v>
      </c>
      <c r="G922" s="67" t="str">
        <f aca="false">IF($E922="","",IFERROR(INDEX(科目表!$E$4:$E$81,MATCH($E922,科目表!$B$4:$B$81,0)),""))</f>
        <v>货币资金</v>
      </c>
      <c r="H922" s="70" t="n">
        <f aca="false">IF($E922="","",N(INDEX(资金日记账!$N$4:$S$603,7,2)))</f>
        <v>3000</v>
      </c>
      <c r="I922" s="70" t="n">
        <f aca="false">IF($E922="","",N(INDEX(资金日记账!$N$4:$S$603,7,3)))</f>
        <v>0</v>
      </c>
      <c r="J922" s="67" t="n">
        <f aca="false">IF($E922="","",INDEX(资金日记账!$E$4:$E$603,7))</f>
        <v>0</v>
      </c>
      <c r="K922" s="67" t="str">
        <f aca="false">IF($E922="","",INDEX(资金日记账!$F$4:$F$603,7))</f>
        <v>水果销售</v>
      </c>
      <c r="L922" s="107" t="n">
        <f aca="false">IF($E922="","",INDEX(资金日记账!$X$4:$X$603,7))</f>
        <v>0</v>
      </c>
      <c r="M922" s="107"/>
      <c r="N922" s="67" t="n">
        <f aca="false">IF($E922="","",INDEX(资金日记账!$Y$4:$Y$603,7))</f>
        <v>0</v>
      </c>
      <c r="O922" s="67" t="str">
        <f aca="false">IF($E922="","","自动B")</f>
        <v>自动B</v>
      </c>
      <c r="P922" s="18"/>
    </row>
    <row r="923" customFormat="false" ht="18" hidden="false" customHeight="true" outlineLevel="0" collapsed="false">
      <c r="A923" s="107" t="n">
        <f aca="false">IF($E923="","",ROW()-3)</f>
        <v>920</v>
      </c>
      <c r="B923" s="110" t="n">
        <f aca="false">IF($E923="","",INDEX(资金日记账!$B$4:$B$603,7))</f>
        <v>46269</v>
      </c>
      <c r="C923" s="67" t="str">
        <f aca="false">IF($E923="","",IF(INDEX(资金日记账!$W$4:$W$603,7)="","记-"&amp;TEXT($B923,"YYYYMM")&amp;"-资金",INDEX(资金日记账!$W$4:$W$603,7)))</f>
        <v>记-202609-资金</v>
      </c>
      <c r="D923" s="107" t="str">
        <f aca="false">IF($E923="","",INDEX(资金日记账!$D$4:$D$603,7))</f>
        <v>2026年度香梨款</v>
      </c>
      <c r="E923" s="67" t="str">
        <f aca="false">IF(INDEX(资金日记账!$N$4:$S$603,7,4)=0,"",INDEX(资金日记账!$N$4:$S$603,7,4))</f>
        <v>应收账款</v>
      </c>
      <c r="F923" s="99" t="str">
        <f aca="false">IF($E923="","",IFERROR(INDEX(科目表!$A$4:$A$81,MATCH($E923,科目表!$B$4:$B$81,0)),""))</f>
        <v>1122</v>
      </c>
      <c r="G923" s="67" t="str">
        <f aca="false">IF($E923="","",IFERROR(INDEX(科目表!$E$4:$E$81,MATCH($E923,科目表!$B$4:$B$81,0)),""))</f>
        <v>应收账款</v>
      </c>
      <c r="H923" s="70" t="n">
        <f aca="false">IF($E923="","",N(INDEX(资金日记账!$N$4:$S$603,7,5)))</f>
        <v>0</v>
      </c>
      <c r="I923" s="70" t="n">
        <f aca="false">IF($E923="","",N(INDEX(资金日记账!$N$4:$S$603,7,6)))</f>
        <v>3000</v>
      </c>
      <c r="J923" s="67" t="n">
        <f aca="false">IF($E923="","",INDEX(资金日记账!$E$4:$E$603,7))</f>
        <v>0</v>
      </c>
      <c r="K923" s="67" t="str">
        <f aca="false">IF($E923="","",INDEX(资金日记账!$F$4:$F$603,7))</f>
        <v>水果销售</v>
      </c>
      <c r="L923" s="107" t="n">
        <f aca="false">IF($E923="","",INDEX(资金日记账!$X$4:$X$603,7))</f>
        <v>0</v>
      </c>
      <c r="M923" s="107"/>
      <c r="N923" s="67" t="n">
        <f aca="false">IF($E923="","",INDEX(资金日记账!$Y$4:$Y$603,7))</f>
        <v>0</v>
      </c>
      <c r="O923" s="67" t="str">
        <f aca="false">IF($E923="","","自动B")</f>
        <v>自动B</v>
      </c>
      <c r="P923" s="18"/>
    </row>
    <row r="924" customFormat="false" ht="18" hidden="false" customHeight="true" outlineLevel="0" collapsed="false">
      <c r="A924" s="107" t="n">
        <f aca="false">IF($E924="","",ROW()-3)</f>
        <v>921</v>
      </c>
      <c r="B924" s="110" t="n">
        <f aca="false">IF($E924="","",INDEX(资金日记账!$B$4:$B$603,8))</f>
        <v>46269</v>
      </c>
      <c r="C924" s="67" t="str">
        <f aca="false">IF($E924="","",IF(INDEX(资金日记账!$W$4:$W$603,8)="","记-"&amp;TEXT($B924,"YYYYMM")&amp;"-资金",INDEX(资金日记账!$W$4:$W$603,8)))</f>
        <v>记-202609-资金</v>
      </c>
      <c r="D924" s="107" t="str">
        <f aca="false">IF($E924="","",INDEX(资金日记账!$D$4:$D$603,8))</f>
        <v>香梨代办费</v>
      </c>
      <c r="E924" s="67" t="str">
        <f aca="false">IF(INDEX(资金日记账!$N$4:$S$603,8,1)=0,"",INDEX(资金日记账!$N$4:$S$603,8,1))</f>
        <v>管理费用</v>
      </c>
      <c r="F924" s="99" t="str">
        <f aca="false">IF($E924="","",IFERROR(INDEX(科目表!$A$4:$A$81,MATCH($E924,科目表!$B$4:$B$81,0)),""))</f>
        <v>5602</v>
      </c>
      <c r="G924" s="67" t="str">
        <f aca="false">IF($E924="","",IFERROR(INDEX(科目表!$E$4:$E$81,MATCH($E924,科目表!$B$4:$B$81,0)),""))</f>
        <v>管理费用</v>
      </c>
      <c r="H924" s="70" t="n">
        <f aca="false">IF($E924="","",N(INDEX(资金日记账!$N$4:$S$603,8,2)))</f>
        <v>3000</v>
      </c>
      <c r="I924" s="70" t="n">
        <f aca="false">IF($E924="","",N(INDEX(资金日记账!$N$4:$S$603,8,3)))</f>
        <v>0</v>
      </c>
      <c r="J924" s="67" t="n">
        <f aca="false">IF($E924="","",INDEX(资金日记账!$E$4:$E$603,8))</f>
        <v>0</v>
      </c>
      <c r="K924" s="67" t="str">
        <f aca="false">IF($E924="","",INDEX(资金日记账!$F$4:$F$603,8))</f>
        <v>水果销售</v>
      </c>
      <c r="L924" s="107" t="n">
        <f aca="false">IF($E924="","",INDEX(资金日记账!$X$4:$X$603,8))</f>
        <v>0</v>
      </c>
      <c r="M924" s="107"/>
      <c r="N924" s="67" t="n">
        <f aca="false">IF($E924="","",INDEX(资金日记账!$Y$4:$Y$603,8))</f>
        <v>0</v>
      </c>
      <c r="O924" s="67" t="str">
        <f aca="false">IF($E924="","","自动B")</f>
        <v>自动B</v>
      </c>
      <c r="P924" s="18"/>
    </row>
    <row r="925" customFormat="false" ht="18" hidden="false" customHeight="true" outlineLevel="0" collapsed="false">
      <c r="A925" s="107" t="n">
        <f aca="false">IF($E925="","",ROW()-3)</f>
        <v>922</v>
      </c>
      <c r="B925" s="110" t="n">
        <f aca="false">IF($E925="","",INDEX(资金日记账!$B$4:$B$603,8))</f>
        <v>46269</v>
      </c>
      <c r="C925" s="67" t="str">
        <f aca="false">IF($E925="","",IF(INDEX(资金日记账!$W$4:$W$603,8)="","记-"&amp;TEXT($B925,"YYYYMM")&amp;"-资金",INDEX(资金日记账!$W$4:$W$603,8)))</f>
        <v>记-202609-资金</v>
      </c>
      <c r="D925" s="107" t="str">
        <f aca="false">IF($E925="","",INDEX(资金日记账!$D$4:$D$603,8))</f>
        <v>香梨代办费</v>
      </c>
      <c r="E925" s="67" t="str">
        <f aca="false">IF(INDEX(资金日记账!$N$4:$S$603,8,4)=0,"",INDEX(资金日记账!$N$4:$S$603,8,4))</f>
        <v>银行存款</v>
      </c>
      <c r="F925" s="99" t="str">
        <f aca="false">IF($E925="","",IFERROR(INDEX(科目表!$A$4:$A$81,MATCH($E925,科目表!$B$4:$B$81,0)),""))</f>
        <v>1002</v>
      </c>
      <c r="G925" s="67" t="str">
        <f aca="false">IF($E925="","",IFERROR(INDEX(科目表!$E$4:$E$81,MATCH($E925,科目表!$B$4:$B$81,0)),""))</f>
        <v>货币资金</v>
      </c>
      <c r="H925" s="70" t="n">
        <f aca="false">IF($E925="","",N(INDEX(资金日记账!$N$4:$S$603,8,5)))</f>
        <v>0</v>
      </c>
      <c r="I925" s="70" t="n">
        <f aca="false">IF($E925="","",N(INDEX(资金日记账!$N$4:$S$603,8,6)))</f>
        <v>3000</v>
      </c>
      <c r="J925" s="67" t="n">
        <f aca="false">IF($E925="","",INDEX(资金日记账!$E$4:$E$603,8))</f>
        <v>0</v>
      </c>
      <c r="K925" s="67" t="str">
        <f aca="false">IF($E925="","",INDEX(资金日记账!$F$4:$F$603,8))</f>
        <v>水果销售</v>
      </c>
      <c r="L925" s="107" t="n">
        <f aca="false">IF($E925="","",INDEX(资金日记账!$X$4:$X$603,8))</f>
        <v>0</v>
      </c>
      <c r="M925" s="107"/>
      <c r="N925" s="67" t="n">
        <f aca="false">IF($E925="","",INDEX(资金日记账!$Y$4:$Y$603,8))</f>
        <v>0</v>
      </c>
      <c r="O925" s="67" t="str">
        <f aca="false">IF($E925="","","自动B")</f>
        <v>自动B</v>
      </c>
      <c r="P925" s="18"/>
    </row>
    <row r="926" customFormat="false" ht="18" hidden="false" customHeight="true" outlineLevel="0" collapsed="false">
      <c r="A926" s="107" t="n">
        <f aca="false">IF($E926="","",ROW()-3)</f>
        <v>923</v>
      </c>
      <c r="B926" s="110" t="n">
        <f aca="false">IF($E926="","",INDEX(资金日记账!$B$4:$B$603,9))</f>
        <v>46274</v>
      </c>
      <c r="C926" s="67" t="str">
        <f aca="false">IF($E926="","",IF(INDEX(资金日记账!$W$4:$W$603,9)="","记-"&amp;TEXT($B926,"YYYYMM")&amp;"-资金",INDEX(资金日记账!$W$4:$W$603,9)))</f>
        <v>记-202609-资金</v>
      </c>
      <c r="D926" s="107" t="str">
        <f aca="false">IF($E926="","",INDEX(资金日记账!$D$4:$D$603,9))</f>
        <v>中秋月饼</v>
      </c>
      <c r="E926" s="67" t="str">
        <f aca="false">IF(INDEX(资金日记账!$N$4:$S$603,9,1)=0,"",INDEX(资金日记账!$N$4:$S$603,9,1))</f>
        <v>管理费用</v>
      </c>
      <c r="F926" s="99" t="str">
        <f aca="false">IF($E926="","",IFERROR(INDEX(科目表!$A$4:$A$81,MATCH($E926,科目表!$B$4:$B$81,0)),""))</f>
        <v>5602</v>
      </c>
      <c r="G926" s="67" t="str">
        <f aca="false">IF($E926="","",IFERROR(INDEX(科目表!$E$4:$E$81,MATCH($E926,科目表!$B$4:$B$81,0)),""))</f>
        <v>管理费用</v>
      </c>
      <c r="H926" s="70" t="n">
        <f aca="false">IF($E926="","",N(INDEX(资金日记账!$N$4:$S$603,9,2)))</f>
        <v>2640</v>
      </c>
      <c r="I926" s="70" t="n">
        <f aca="false">IF($E926="","",N(INDEX(资金日记账!$N$4:$S$603,9,3)))</f>
        <v>0</v>
      </c>
      <c r="J926" s="67" t="n">
        <f aca="false">IF($E926="","",INDEX(资金日记账!$E$4:$E$603,9))</f>
        <v>0</v>
      </c>
      <c r="K926" s="67" t="str">
        <f aca="false">IF($E926="","",INDEX(资金日记账!$F$4:$F$603,9))</f>
        <v>业务招待费</v>
      </c>
      <c r="L926" s="107" t="n">
        <f aca="false">IF($E926="","",INDEX(资金日记账!$X$4:$X$603,9))</f>
        <v>0</v>
      </c>
      <c r="M926" s="107"/>
      <c r="N926" s="67" t="n">
        <f aca="false">IF($E926="","",INDEX(资金日记账!$Y$4:$Y$603,9))</f>
        <v>0</v>
      </c>
      <c r="O926" s="67" t="str">
        <f aca="false">IF($E926="","","自动B")</f>
        <v>自动B</v>
      </c>
      <c r="P926" s="18"/>
    </row>
    <row r="927" customFormat="false" ht="18" hidden="false" customHeight="true" outlineLevel="0" collapsed="false">
      <c r="A927" s="107" t="n">
        <f aca="false">IF($E927="","",ROW()-3)</f>
        <v>924</v>
      </c>
      <c r="B927" s="110" t="n">
        <f aca="false">IF($E927="","",INDEX(资金日记账!$B$4:$B$603,9))</f>
        <v>46274</v>
      </c>
      <c r="C927" s="67" t="str">
        <f aca="false">IF($E927="","",IF(INDEX(资金日记账!$W$4:$W$603,9)="","记-"&amp;TEXT($B927,"YYYYMM")&amp;"-资金",INDEX(资金日记账!$W$4:$W$603,9)))</f>
        <v>记-202609-资金</v>
      </c>
      <c r="D927" s="107" t="str">
        <f aca="false">IF($E927="","",INDEX(资金日记账!$D$4:$D$603,9))</f>
        <v>中秋月饼</v>
      </c>
      <c r="E927" s="67" t="str">
        <f aca="false">IF(INDEX(资金日记账!$N$4:$S$603,9,4)=0,"",INDEX(资金日记账!$N$4:$S$603,9,4))</f>
        <v>银行存款</v>
      </c>
      <c r="F927" s="99" t="str">
        <f aca="false">IF($E927="","",IFERROR(INDEX(科目表!$A$4:$A$81,MATCH($E927,科目表!$B$4:$B$81,0)),""))</f>
        <v>1002</v>
      </c>
      <c r="G927" s="67" t="str">
        <f aca="false">IF($E927="","",IFERROR(INDEX(科目表!$E$4:$E$81,MATCH($E927,科目表!$B$4:$B$81,0)),""))</f>
        <v>货币资金</v>
      </c>
      <c r="H927" s="70" t="n">
        <f aca="false">IF($E927="","",N(INDEX(资金日记账!$N$4:$S$603,9,5)))</f>
        <v>0</v>
      </c>
      <c r="I927" s="70" t="n">
        <f aca="false">IF($E927="","",N(INDEX(资金日记账!$N$4:$S$603,9,6)))</f>
        <v>2640</v>
      </c>
      <c r="J927" s="67" t="n">
        <f aca="false">IF($E927="","",INDEX(资金日记账!$E$4:$E$603,9))</f>
        <v>0</v>
      </c>
      <c r="K927" s="67" t="str">
        <f aca="false">IF($E927="","",INDEX(资金日记账!$F$4:$F$603,9))</f>
        <v>业务招待费</v>
      </c>
      <c r="L927" s="107" t="n">
        <f aca="false">IF($E927="","",INDEX(资金日记账!$X$4:$X$603,9))</f>
        <v>0</v>
      </c>
      <c r="M927" s="107"/>
      <c r="N927" s="67" t="n">
        <f aca="false">IF($E927="","",INDEX(资金日记账!$Y$4:$Y$603,9))</f>
        <v>0</v>
      </c>
      <c r="O927" s="67" t="str">
        <f aca="false">IF($E927="","","自动B")</f>
        <v>自动B</v>
      </c>
      <c r="P927" s="18"/>
    </row>
    <row r="928" customFormat="false" ht="18" hidden="false" customHeight="true" outlineLevel="0" collapsed="false">
      <c r="A928" s="107" t="n">
        <f aca="false">IF($E928="","",ROW()-3)</f>
        <v>925</v>
      </c>
      <c r="B928" s="110" t="n">
        <f aca="false">IF($E928="","",INDEX(资金日记账!$B$4:$B$603,10))</f>
        <v>46266</v>
      </c>
      <c r="C928" s="67" t="str">
        <f aca="false">IF($E928="","",IF(INDEX(资金日记账!$W$4:$W$603,10)="","记-"&amp;TEXT($B928,"YYYYMM")&amp;"-资金",INDEX(资金日记账!$W$4:$W$603,10)))</f>
        <v>记-202609-资金</v>
      </c>
      <c r="D928" s="107" t="str">
        <f aca="false">IF($E928="","",INDEX(资金日记账!$D$4:$D$603,10))</f>
        <v>停车费</v>
      </c>
      <c r="E928" s="67" t="str">
        <f aca="false">IF(INDEX(资金日记账!$N$4:$S$603,10,1)=0,"",INDEX(资金日记账!$N$4:$S$603,10,1))</f>
        <v>管理费用</v>
      </c>
      <c r="F928" s="99" t="str">
        <f aca="false">IF($E928="","",IFERROR(INDEX(科目表!$A$4:$A$81,MATCH($E928,科目表!$B$4:$B$81,0)),""))</f>
        <v>5602</v>
      </c>
      <c r="G928" s="67" t="str">
        <f aca="false">IF($E928="","",IFERROR(INDEX(科目表!$E$4:$E$81,MATCH($E928,科目表!$B$4:$B$81,0)),""))</f>
        <v>管理费用</v>
      </c>
      <c r="H928" s="70" t="n">
        <f aca="false">IF($E928="","",N(INDEX(资金日记账!$N$4:$S$603,10,2)))</f>
        <v>2</v>
      </c>
      <c r="I928" s="70" t="n">
        <f aca="false">IF($E928="","",N(INDEX(资金日记账!$N$4:$S$603,10,3)))</f>
        <v>0</v>
      </c>
      <c r="J928" s="67" t="n">
        <f aca="false">IF($E928="","",INDEX(资金日记账!$E$4:$E$603,10))</f>
        <v>0</v>
      </c>
      <c r="K928" s="67" t="str">
        <f aca="false">IF($E928="","",INDEX(资金日记账!$F$4:$F$603,10))</f>
        <v>家用</v>
      </c>
      <c r="L928" s="107" t="n">
        <f aca="false">IF($E928="","",INDEX(资金日记账!$X$4:$X$603,10))</f>
        <v>0</v>
      </c>
      <c r="M928" s="107"/>
      <c r="N928" s="67" t="n">
        <f aca="false">IF($E928="","",INDEX(资金日记账!$Y$4:$Y$603,10))</f>
        <v>0</v>
      </c>
      <c r="O928" s="67" t="str">
        <f aca="false">IF($E928="","","自动B")</f>
        <v>自动B</v>
      </c>
      <c r="P928" s="18"/>
    </row>
    <row r="929" customFormat="false" ht="18" hidden="false" customHeight="true" outlineLevel="0" collapsed="false">
      <c r="A929" s="107" t="n">
        <f aca="false">IF($E929="","",ROW()-3)</f>
        <v>926</v>
      </c>
      <c r="B929" s="110" t="n">
        <f aca="false">IF($E929="","",INDEX(资金日记账!$B$4:$B$603,10))</f>
        <v>46266</v>
      </c>
      <c r="C929" s="67" t="str">
        <f aca="false">IF($E929="","",IF(INDEX(资金日记账!$W$4:$W$603,10)="","记-"&amp;TEXT($B929,"YYYYMM")&amp;"-资金",INDEX(资金日记账!$W$4:$W$603,10)))</f>
        <v>记-202609-资金</v>
      </c>
      <c r="D929" s="107" t="str">
        <f aca="false">IF($E929="","",INDEX(资金日记账!$D$4:$D$603,10))</f>
        <v>停车费</v>
      </c>
      <c r="E929" s="67" t="str">
        <f aca="false">IF(INDEX(资金日记账!$N$4:$S$603,10,4)=0,"",INDEX(资金日记账!$N$4:$S$603,10,4))</f>
        <v>其他货币资金</v>
      </c>
      <c r="F929" s="99" t="str">
        <f aca="false">IF($E929="","",IFERROR(INDEX(科目表!$A$4:$A$81,MATCH($E929,科目表!$B$4:$B$81,0)),""))</f>
        <v>1012</v>
      </c>
      <c r="G929" s="67" t="str">
        <f aca="false">IF($E929="","",IFERROR(INDEX(科目表!$E$4:$E$81,MATCH($E929,科目表!$B$4:$B$81,0)),""))</f>
        <v>货币资金</v>
      </c>
      <c r="H929" s="70" t="n">
        <f aca="false">IF($E929="","",N(INDEX(资金日记账!$N$4:$S$603,10,5)))</f>
        <v>0</v>
      </c>
      <c r="I929" s="70" t="n">
        <f aca="false">IF($E929="","",N(INDEX(资金日记账!$N$4:$S$603,10,6)))</f>
        <v>2</v>
      </c>
      <c r="J929" s="67" t="n">
        <f aca="false">IF($E929="","",INDEX(资金日记账!$E$4:$E$603,10))</f>
        <v>0</v>
      </c>
      <c r="K929" s="67" t="str">
        <f aca="false">IF($E929="","",INDEX(资金日记账!$F$4:$F$603,10))</f>
        <v>家用</v>
      </c>
      <c r="L929" s="107" t="n">
        <f aca="false">IF($E929="","",INDEX(资金日记账!$X$4:$X$603,10))</f>
        <v>0</v>
      </c>
      <c r="M929" s="107"/>
      <c r="N929" s="67" t="n">
        <f aca="false">IF($E929="","",INDEX(资金日记账!$Y$4:$Y$603,10))</f>
        <v>0</v>
      </c>
      <c r="O929" s="67" t="str">
        <f aca="false">IF($E929="","","自动B")</f>
        <v>自动B</v>
      </c>
      <c r="P929" s="18"/>
    </row>
    <row r="930" customFormat="false" ht="18" hidden="false" customHeight="true" outlineLevel="0" collapsed="false">
      <c r="A930" s="107" t="n">
        <f aca="false">IF($E930="","",ROW()-3)</f>
        <v>927</v>
      </c>
      <c r="B930" s="110" t="n">
        <f aca="false">IF($E930="","",INDEX(资金日记账!$B$4:$B$603,11))</f>
        <v>46266</v>
      </c>
      <c r="C930" s="67" t="str">
        <f aca="false">IF($E930="","",IF(INDEX(资金日记账!$W$4:$W$603,11)="","记-"&amp;TEXT($B930,"YYYYMM")&amp;"-资金",INDEX(资金日记账!$W$4:$W$603,11)))</f>
        <v>记-202609-资金</v>
      </c>
      <c r="D930" s="107" t="str">
        <f aca="false">IF($E930="","",INDEX(资金日记账!$D$4:$D$603,11))</f>
        <v>儿子班费</v>
      </c>
      <c r="E930" s="67" t="str">
        <f aca="false">IF(INDEX(资金日记账!$N$4:$S$603,11,1)=0,"",INDEX(资金日记账!$N$4:$S$603,11,1))</f>
        <v>管理费用</v>
      </c>
      <c r="F930" s="99" t="str">
        <f aca="false">IF($E930="","",IFERROR(INDEX(科目表!$A$4:$A$81,MATCH($E930,科目表!$B$4:$B$81,0)),""))</f>
        <v>5602</v>
      </c>
      <c r="G930" s="67" t="str">
        <f aca="false">IF($E930="","",IFERROR(INDEX(科目表!$E$4:$E$81,MATCH($E930,科目表!$B$4:$B$81,0)),""))</f>
        <v>管理费用</v>
      </c>
      <c r="H930" s="70" t="n">
        <f aca="false">IF($E930="","",N(INDEX(资金日记账!$N$4:$S$603,11,2)))</f>
        <v>30</v>
      </c>
      <c r="I930" s="70" t="n">
        <f aca="false">IF($E930="","",N(INDEX(资金日记账!$N$4:$S$603,11,3)))</f>
        <v>0</v>
      </c>
      <c r="J930" s="67" t="n">
        <f aca="false">IF($E930="","",INDEX(资金日记账!$E$4:$E$603,11))</f>
        <v>0</v>
      </c>
      <c r="K930" s="67" t="str">
        <f aca="false">IF($E930="","",INDEX(资金日记账!$F$4:$F$603,11))</f>
        <v>家用</v>
      </c>
      <c r="L930" s="107" t="n">
        <f aca="false">IF($E930="","",INDEX(资金日记账!$X$4:$X$603,11))</f>
        <v>0</v>
      </c>
      <c r="M930" s="107"/>
      <c r="N930" s="67" t="n">
        <f aca="false">IF($E930="","",INDEX(资金日记账!$Y$4:$Y$603,11))</f>
        <v>0</v>
      </c>
      <c r="O930" s="67" t="str">
        <f aca="false">IF($E930="","","自动B")</f>
        <v>自动B</v>
      </c>
      <c r="P930" s="18"/>
    </row>
    <row r="931" customFormat="false" ht="18" hidden="false" customHeight="true" outlineLevel="0" collapsed="false">
      <c r="A931" s="107" t="n">
        <f aca="false">IF($E931="","",ROW()-3)</f>
        <v>928</v>
      </c>
      <c r="B931" s="110" t="n">
        <f aca="false">IF($E931="","",INDEX(资金日记账!$B$4:$B$603,11))</f>
        <v>46266</v>
      </c>
      <c r="C931" s="67" t="str">
        <f aca="false">IF($E931="","",IF(INDEX(资金日记账!$W$4:$W$603,11)="","记-"&amp;TEXT($B931,"YYYYMM")&amp;"-资金",INDEX(资金日记账!$W$4:$W$603,11)))</f>
        <v>记-202609-资金</v>
      </c>
      <c r="D931" s="107" t="str">
        <f aca="false">IF($E931="","",INDEX(资金日记账!$D$4:$D$603,11))</f>
        <v>儿子班费</v>
      </c>
      <c r="E931" s="67" t="str">
        <f aca="false">IF(INDEX(资金日记账!$N$4:$S$603,11,4)=0,"",INDEX(资金日记账!$N$4:$S$603,11,4))</f>
        <v>其他货币资金</v>
      </c>
      <c r="F931" s="99" t="str">
        <f aca="false">IF($E931="","",IFERROR(INDEX(科目表!$A$4:$A$81,MATCH($E931,科目表!$B$4:$B$81,0)),""))</f>
        <v>1012</v>
      </c>
      <c r="G931" s="67" t="str">
        <f aca="false">IF($E931="","",IFERROR(INDEX(科目表!$E$4:$E$81,MATCH($E931,科目表!$B$4:$B$81,0)),""))</f>
        <v>货币资金</v>
      </c>
      <c r="H931" s="70" t="n">
        <f aca="false">IF($E931="","",N(INDEX(资金日记账!$N$4:$S$603,11,5)))</f>
        <v>0</v>
      </c>
      <c r="I931" s="70" t="n">
        <f aca="false">IF($E931="","",N(INDEX(资金日记账!$N$4:$S$603,11,6)))</f>
        <v>30</v>
      </c>
      <c r="J931" s="67" t="n">
        <f aca="false">IF($E931="","",INDEX(资金日记账!$E$4:$E$603,11))</f>
        <v>0</v>
      </c>
      <c r="K931" s="67" t="str">
        <f aca="false">IF($E931="","",INDEX(资金日记账!$F$4:$F$603,11))</f>
        <v>家用</v>
      </c>
      <c r="L931" s="107" t="n">
        <f aca="false">IF($E931="","",INDEX(资金日记账!$X$4:$X$603,11))</f>
        <v>0</v>
      </c>
      <c r="M931" s="107"/>
      <c r="N931" s="67" t="n">
        <f aca="false">IF($E931="","",INDEX(资金日记账!$Y$4:$Y$603,11))</f>
        <v>0</v>
      </c>
      <c r="O931" s="67" t="str">
        <f aca="false">IF($E931="","","自动B")</f>
        <v>自动B</v>
      </c>
      <c r="P931" s="18"/>
    </row>
    <row r="932" customFormat="false" ht="18" hidden="false" customHeight="true" outlineLevel="0" collapsed="false">
      <c r="A932" s="107" t="n">
        <f aca="false">IF($E932="","",ROW()-3)</f>
        <v>929</v>
      </c>
      <c r="B932" s="110" t="n">
        <f aca="false">IF($E932="","",INDEX(资金日记账!$B$4:$B$603,12))</f>
        <v>46266</v>
      </c>
      <c r="C932" s="67" t="str">
        <f aca="false">IF($E932="","",IF(INDEX(资金日记账!$W$4:$W$603,12)="","记-"&amp;TEXT($B932,"YYYYMM")&amp;"-资金",INDEX(资金日记账!$W$4:$W$603,12)))</f>
        <v>记-202609-资金</v>
      </c>
      <c r="D932" s="107" t="str">
        <f aca="false">IF($E932="","",INDEX(资金日记账!$D$4:$D$603,12))</f>
        <v>电车充电</v>
      </c>
      <c r="E932" s="67" t="str">
        <f aca="false">IF(INDEX(资金日记账!$N$4:$S$603,12,1)=0,"",INDEX(资金日记账!$N$4:$S$603,12,1))</f>
        <v>管理费用</v>
      </c>
      <c r="F932" s="99" t="str">
        <f aca="false">IF($E932="","",IFERROR(INDEX(科目表!$A$4:$A$81,MATCH($E932,科目表!$B$4:$B$81,0)),""))</f>
        <v>5602</v>
      </c>
      <c r="G932" s="67" t="str">
        <f aca="false">IF($E932="","",IFERROR(INDEX(科目表!$E$4:$E$81,MATCH($E932,科目表!$B$4:$B$81,0)),""))</f>
        <v>管理费用</v>
      </c>
      <c r="H932" s="70" t="n">
        <f aca="false">IF($E932="","",N(INDEX(资金日记账!$N$4:$S$603,12,2)))</f>
        <v>24.6</v>
      </c>
      <c r="I932" s="70" t="n">
        <f aca="false">IF($E932="","",N(INDEX(资金日记账!$N$4:$S$603,12,3)))</f>
        <v>0</v>
      </c>
      <c r="J932" s="67" t="n">
        <f aca="false">IF($E932="","",INDEX(资金日记账!$E$4:$E$603,12))</f>
        <v>0</v>
      </c>
      <c r="K932" s="67" t="str">
        <f aca="false">IF($E932="","",INDEX(资金日记账!$F$4:$F$603,12))</f>
        <v>车辆使用费</v>
      </c>
      <c r="L932" s="107" t="n">
        <f aca="false">IF($E932="","",INDEX(资金日记账!$X$4:$X$603,12))</f>
        <v>0</v>
      </c>
      <c r="M932" s="107"/>
      <c r="N932" s="67" t="n">
        <f aca="false">IF($E932="","",INDEX(资金日记账!$Y$4:$Y$603,12))</f>
        <v>0</v>
      </c>
      <c r="O932" s="67" t="str">
        <f aca="false">IF($E932="","","自动B")</f>
        <v>自动B</v>
      </c>
      <c r="P932" s="18"/>
    </row>
    <row r="933" customFormat="false" ht="18" hidden="false" customHeight="true" outlineLevel="0" collapsed="false">
      <c r="A933" s="107" t="n">
        <f aca="false">IF($E933="","",ROW()-3)</f>
        <v>930</v>
      </c>
      <c r="B933" s="110" t="n">
        <f aca="false">IF($E933="","",INDEX(资金日记账!$B$4:$B$603,12))</f>
        <v>46266</v>
      </c>
      <c r="C933" s="67" t="str">
        <f aca="false">IF($E933="","",IF(INDEX(资金日记账!$W$4:$W$603,12)="","记-"&amp;TEXT($B933,"YYYYMM")&amp;"-资金",INDEX(资金日记账!$W$4:$W$603,12)))</f>
        <v>记-202609-资金</v>
      </c>
      <c r="D933" s="107" t="str">
        <f aca="false">IF($E933="","",INDEX(资金日记账!$D$4:$D$603,12))</f>
        <v>电车充电</v>
      </c>
      <c r="E933" s="67" t="str">
        <f aca="false">IF(INDEX(资金日记账!$N$4:$S$603,12,4)=0,"",INDEX(资金日记账!$N$4:$S$603,12,4))</f>
        <v>其他货币资金</v>
      </c>
      <c r="F933" s="99" t="str">
        <f aca="false">IF($E933="","",IFERROR(INDEX(科目表!$A$4:$A$81,MATCH($E933,科目表!$B$4:$B$81,0)),""))</f>
        <v>1012</v>
      </c>
      <c r="G933" s="67" t="str">
        <f aca="false">IF($E933="","",IFERROR(INDEX(科目表!$E$4:$E$81,MATCH($E933,科目表!$B$4:$B$81,0)),""))</f>
        <v>货币资金</v>
      </c>
      <c r="H933" s="70" t="n">
        <f aca="false">IF($E933="","",N(INDEX(资金日记账!$N$4:$S$603,12,5)))</f>
        <v>0</v>
      </c>
      <c r="I933" s="70" t="n">
        <f aca="false">IF($E933="","",N(INDEX(资金日记账!$N$4:$S$603,12,6)))</f>
        <v>24.6</v>
      </c>
      <c r="J933" s="67" t="n">
        <f aca="false">IF($E933="","",INDEX(资金日记账!$E$4:$E$603,12))</f>
        <v>0</v>
      </c>
      <c r="K933" s="67" t="str">
        <f aca="false">IF($E933="","",INDEX(资金日记账!$F$4:$F$603,12))</f>
        <v>车辆使用费</v>
      </c>
      <c r="L933" s="107" t="n">
        <f aca="false">IF($E933="","",INDEX(资金日记账!$X$4:$X$603,12))</f>
        <v>0</v>
      </c>
      <c r="M933" s="107"/>
      <c r="N933" s="67" t="n">
        <f aca="false">IF($E933="","",INDEX(资金日记账!$Y$4:$Y$603,12))</f>
        <v>0</v>
      </c>
      <c r="O933" s="67" t="str">
        <f aca="false">IF($E933="","","自动B")</f>
        <v>自动B</v>
      </c>
      <c r="P933" s="18"/>
    </row>
    <row r="934" customFormat="false" ht="18" hidden="false" customHeight="true" outlineLevel="0" collapsed="false">
      <c r="A934" s="107" t="n">
        <f aca="false">IF($E934="","",ROW()-3)</f>
        <v>931</v>
      </c>
      <c r="B934" s="110" t="n">
        <f aca="false">IF($E934="","",INDEX(资金日记账!$B$4:$B$603,13))</f>
        <v>46267</v>
      </c>
      <c r="C934" s="67" t="str">
        <f aca="false">IF($E934="","",IF(INDEX(资金日记账!$W$4:$W$603,13)="","记-"&amp;TEXT($B934,"YYYYMM")&amp;"-资金",INDEX(资金日记账!$W$4:$W$603,13)))</f>
        <v>记-202609-资金</v>
      </c>
      <c r="D934" s="107" t="str">
        <f aca="false">IF($E934="","",INDEX(资金日记账!$D$4:$D$603,13))</f>
        <v>蛋白棒</v>
      </c>
      <c r="E934" s="67" t="str">
        <f aca="false">IF(INDEX(资金日记账!$N$4:$S$603,13,1)=0,"",INDEX(资金日记账!$N$4:$S$603,13,1))</f>
        <v>其他应收款</v>
      </c>
      <c r="F934" s="99" t="str">
        <f aca="false">IF($E934="","",IFERROR(INDEX(科目表!$A$4:$A$81,MATCH($E934,科目表!$B$4:$B$81,0)),""))</f>
        <v>1221</v>
      </c>
      <c r="G934" s="67" t="str">
        <f aca="false">IF($E934="","",IFERROR(INDEX(科目表!$E$4:$E$81,MATCH($E934,科目表!$B$4:$B$81,0)),""))</f>
        <v>其他应收款</v>
      </c>
      <c r="H934" s="70" t="n">
        <f aca="false">IF($E934="","",N(INDEX(资金日记账!$N$4:$S$603,13,2)))</f>
        <v>309</v>
      </c>
      <c r="I934" s="70" t="n">
        <f aca="false">IF($E934="","",N(INDEX(资金日记账!$N$4:$S$603,13,3)))</f>
        <v>0</v>
      </c>
      <c r="J934" s="67" t="n">
        <f aca="false">IF($E934="","",INDEX(资金日记账!$E$4:$E$603,13))</f>
        <v>0</v>
      </c>
      <c r="K934" s="67" t="str">
        <f aca="false">IF($E934="","",INDEX(资金日记账!$F$4:$F$603,13))</f>
        <v>家用</v>
      </c>
      <c r="L934" s="107" t="n">
        <f aca="false">IF($E934="","",INDEX(资金日记账!$X$4:$X$603,13))</f>
        <v>0</v>
      </c>
      <c r="M934" s="107"/>
      <c r="N934" s="67" t="n">
        <f aca="false">IF($E934="","",INDEX(资金日记账!$Y$4:$Y$603,13))</f>
        <v>0</v>
      </c>
      <c r="O934" s="67" t="str">
        <f aca="false">IF($E934="","","自动B")</f>
        <v>自动B</v>
      </c>
      <c r="P934" s="18"/>
    </row>
    <row r="935" customFormat="false" ht="18" hidden="false" customHeight="true" outlineLevel="0" collapsed="false">
      <c r="A935" s="107" t="n">
        <f aca="false">IF($E935="","",ROW()-3)</f>
        <v>932</v>
      </c>
      <c r="B935" s="110" t="n">
        <f aca="false">IF($E935="","",INDEX(资金日记账!$B$4:$B$603,13))</f>
        <v>46267</v>
      </c>
      <c r="C935" s="67" t="str">
        <f aca="false">IF($E935="","",IF(INDEX(资金日记账!$W$4:$W$603,13)="","记-"&amp;TEXT($B935,"YYYYMM")&amp;"-资金",INDEX(资金日记账!$W$4:$W$603,13)))</f>
        <v>记-202609-资金</v>
      </c>
      <c r="D935" s="107" t="str">
        <f aca="false">IF($E935="","",INDEX(资金日记账!$D$4:$D$603,13))</f>
        <v>蛋白棒</v>
      </c>
      <c r="E935" s="67" t="str">
        <f aca="false">IF(INDEX(资金日记账!$N$4:$S$603,13,4)=0,"",INDEX(资金日记账!$N$4:$S$603,13,4))</f>
        <v>其他货币资金</v>
      </c>
      <c r="F935" s="99" t="str">
        <f aca="false">IF($E935="","",IFERROR(INDEX(科目表!$A$4:$A$81,MATCH($E935,科目表!$B$4:$B$81,0)),""))</f>
        <v>1012</v>
      </c>
      <c r="G935" s="67" t="str">
        <f aca="false">IF($E935="","",IFERROR(INDEX(科目表!$E$4:$E$81,MATCH($E935,科目表!$B$4:$B$81,0)),""))</f>
        <v>货币资金</v>
      </c>
      <c r="H935" s="70" t="n">
        <f aca="false">IF($E935="","",N(INDEX(资金日记账!$N$4:$S$603,13,5)))</f>
        <v>0</v>
      </c>
      <c r="I935" s="70" t="n">
        <f aca="false">IF($E935="","",N(INDEX(资金日记账!$N$4:$S$603,13,6)))</f>
        <v>309</v>
      </c>
      <c r="J935" s="67" t="n">
        <f aca="false">IF($E935="","",INDEX(资金日记账!$E$4:$E$603,13))</f>
        <v>0</v>
      </c>
      <c r="K935" s="67" t="str">
        <f aca="false">IF($E935="","",INDEX(资金日记账!$F$4:$F$603,13))</f>
        <v>家用</v>
      </c>
      <c r="L935" s="107" t="n">
        <f aca="false">IF($E935="","",INDEX(资金日记账!$X$4:$X$603,13))</f>
        <v>0</v>
      </c>
      <c r="M935" s="107"/>
      <c r="N935" s="67" t="n">
        <f aca="false">IF($E935="","",INDEX(资金日记账!$Y$4:$Y$603,13))</f>
        <v>0</v>
      </c>
      <c r="O935" s="67" t="str">
        <f aca="false">IF($E935="","","自动B")</f>
        <v>自动B</v>
      </c>
      <c r="P935" s="18"/>
    </row>
    <row r="936" customFormat="false" ht="18" hidden="false" customHeight="true" outlineLevel="0" collapsed="false">
      <c r="A936" s="107" t="n">
        <f aca="false">IF($E936="","",ROW()-3)</f>
        <v>933</v>
      </c>
      <c r="B936" s="110" t="n">
        <f aca="false">IF($E936="","",INDEX(资金日记账!$B$4:$B$603,14))</f>
        <v>46267</v>
      </c>
      <c r="C936" s="67" t="str">
        <f aca="false">IF($E936="","",IF(INDEX(资金日记账!$W$4:$W$603,14)="","记-"&amp;TEXT($B936,"YYYYMM")&amp;"-资金",INDEX(资金日记账!$W$4:$W$603,14)))</f>
        <v>记-202609-资金</v>
      </c>
      <c r="D936" s="107" t="str">
        <f aca="false">IF($E936="","",INDEX(资金日记账!$D$4:$D$603,14))</f>
        <v>儿子</v>
      </c>
      <c r="E936" s="67" t="str">
        <f aca="false">IF(INDEX(资金日记账!$N$4:$S$603,14,1)=0,"",INDEX(资金日记账!$N$4:$S$603,14,1))</f>
        <v>其他应收款</v>
      </c>
      <c r="F936" s="99" t="str">
        <f aca="false">IF($E936="","",IFERROR(INDEX(科目表!$A$4:$A$81,MATCH($E936,科目表!$B$4:$B$81,0)),""))</f>
        <v>1221</v>
      </c>
      <c r="G936" s="67" t="str">
        <f aca="false">IF($E936="","",IFERROR(INDEX(科目表!$E$4:$E$81,MATCH($E936,科目表!$B$4:$B$81,0)),""))</f>
        <v>其他应收款</v>
      </c>
      <c r="H936" s="70" t="n">
        <f aca="false">IF($E936="","",N(INDEX(资金日记账!$N$4:$S$603,14,2)))</f>
        <v>50</v>
      </c>
      <c r="I936" s="70" t="n">
        <f aca="false">IF($E936="","",N(INDEX(资金日记账!$N$4:$S$603,14,3)))</f>
        <v>0</v>
      </c>
      <c r="J936" s="67" t="n">
        <f aca="false">IF($E936="","",INDEX(资金日记账!$E$4:$E$603,14))</f>
        <v>0</v>
      </c>
      <c r="K936" s="67" t="str">
        <f aca="false">IF($E936="","",INDEX(资金日记账!$F$4:$F$603,14))</f>
        <v>家用</v>
      </c>
      <c r="L936" s="107" t="n">
        <f aca="false">IF($E936="","",INDEX(资金日记账!$X$4:$X$603,14))</f>
        <v>0</v>
      </c>
      <c r="M936" s="107"/>
      <c r="N936" s="67" t="n">
        <f aca="false">IF($E936="","",INDEX(资金日记账!$Y$4:$Y$603,14))</f>
        <v>0</v>
      </c>
      <c r="O936" s="67" t="str">
        <f aca="false">IF($E936="","","自动B")</f>
        <v>自动B</v>
      </c>
      <c r="P936" s="18"/>
    </row>
    <row r="937" customFormat="false" ht="18" hidden="false" customHeight="true" outlineLevel="0" collapsed="false">
      <c r="A937" s="107" t="n">
        <f aca="false">IF($E937="","",ROW()-3)</f>
        <v>934</v>
      </c>
      <c r="B937" s="110" t="n">
        <f aca="false">IF($E937="","",INDEX(资金日记账!$B$4:$B$603,14))</f>
        <v>46267</v>
      </c>
      <c r="C937" s="67" t="str">
        <f aca="false">IF($E937="","",IF(INDEX(资金日记账!$W$4:$W$603,14)="","记-"&amp;TEXT($B937,"YYYYMM")&amp;"-资金",INDEX(资金日记账!$W$4:$W$603,14)))</f>
        <v>记-202609-资金</v>
      </c>
      <c r="D937" s="107" t="str">
        <f aca="false">IF($E937="","",INDEX(资金日记账!$D$4:$D$603,14))</f>
        <v>儿子</v>
      </c>
      <c r="E937" s="67" t="str">
        <f aca="false">IF(INDEX(资金日记账!$N$4:$S$603,14,4)=0,"",INDEX(资金日记账!$N$4:$S$603,14,4))</f>
        <v>其他货币资金</v>
      </c>
      <c r="F937" s="99" t="str">
        <f aca="false">IF($E937="","",IFERROR(INDEX(科目表!$A$4:$A$81,MATCH($E937,科目表!$B$4:$B$81,0)),""))</f>
        <v>1012</v>
      </c>
      <c r="G937" s="67" t="str">
        <f aca="false">IF($E937="","",IFERROR(INDEX(科目表!$E$4:$E$81,MATCH($E937,科目表!$B$4:$B$81,0)),""))</f>
        <v>货币资金</v>
      </c>
      <c r="H937" s="70" t="n">
        <f aca="false">IF($E937="","",N(INDEX(资金日记账!$N$4:$S$603,14,5)))</f>
        <v>0</v>
      </c>
      <c r="I937" s="70" t="n">
        <f aca="false">IF($E937="","",N(INDEX(资金日记账!$N$4:$S$603,14,6)))</f>
        <v>50</v>
      </c>
      <c r="J937" s="67" t="n">
        <f aca="false">IF($E937="","",INDEX(资金日记账!$E$4:$E$603,14))</f>
        <v>0</v>
      </c>
      <c r="K937" s="67" t="str">
        <f aca="false">IF($E937="","",INDEX(资金日记账!$F$4:$F$603,14))</f>
        <v>家用</v>
      </c>
      <c r="L937" s="107" t="n">
        <f aca="false">IF($E937="","",INDEX(资金日记账!$X$4:$X$603,14))</f>
        <v>0</v>
      </c>
      <c r="M937" s="107"/>
      <c r="N937" s="67" t="n">
        <f aca="false">IF($E937="","",INDEX(资金日记账!$Y$4:$Y$603,14))</f>
        <v>0</v>
      </c>
      <c r="O937" s="67" t="str">
        <f aca="false">IF($E937="","","自动B")</f>
        <v>自动B</v>
      </c>
      <c r="P937" s="18"/>
    </row>
    <row r="938" customFormat="false" ht="18" hidden="false" customHeight="true" outlineLevel="0" collapsed="false">
      <c r="A938" s="107" t="n">
        <f aca="false">IF($E938="","",ROW()-3)</f>
        <v>935</v>
      </c>
      <c r="B938" s="110" t="n">
        <f aca="false">IF($E938="","",INDEX(资金日记账!$B$4:$B$603,15))</f>
        <v>46267</v>
      </c>
      <c r="C938" s="67" t="str">
        <f aca="false">IF($E938="","",IF(INDEX(资金日记账!$W$4:$W$603,15)="","记-"&amp;TEXT($B938,"YYYYMM")&amp;"-资金",INDEX(资金日记账!$W$4:$W$603,15)))</f>
        <v>记-202609-资金</v>
      </c>
      <c r="D938" s="107" t="str">
        <f aca="false">IF($E938="","",INDEX(资金日记账!$D$4:$D$603,15))</f>
        <v>吃饭</v>
      </c>
      <c r="E938" s="67" t="str">
        <f aca="false">IF(INDEX(资金日记账!$N$4:$S$603,15,1)=0,"",INDEX(资金日记账!$N$4:$S$603,15,1))</f>
        <v>管理费用</v>
      </c>
      <c r="F938" s="99" t="str">
        <f aca="false">IF($E938="","",IFERROR(INDEX(科目表!$A$4:$A$81,MATCH($E938,科目表!$B$4:$B$81,0)),""))</f>
        <v>5602</v>
      </c>
      <c r="G938" s="67" t="str">
        <f aca="false">IF($E938="","",IFERROR(INDEX(科目表!$E$4:$E$81,MATCH($E938,科目表!$B$4:$B$81,0)),""))</f>
        <v>管理费用</v>
      </c>
      <c r="H938" s="70" t="n">
        <f aca="false">IF($E938="","",N(INDEX(资金日记账!$N$4:$S$603,15,2)))</f>
        <v>7</v>
      </c>
      <c r="I938" s="70" t="n">
        <f aca="false">IF($E938="","",N(INDEX(资金日记账!$N$4:$S$603,15,3)))</f>
        <v>0</v>
      </c>
      <c r="J938" s="67" t="n">
        <f aca="false">IF($E938="","",INDEX(资金日记账!$E$4:$E$603,15))</f>
        <v>0</v>
      </c>
      <c r="K938" s="67" t="str">
        <f aca="false">IF($E938="","",INDEX(资金日记账!$F$4:$F$603,15))</f>
        <v>家用</v>
      </c>
      <c r="L938" s="107" t="n">
        <f aca="false">IF($E938="","",INDEX(资金日记账!$X$4:$X$603,15))</f>
        <v>0</v>
      </c>
      <c r="M938" s="107"/>
      <c r="N938" s="67" t="n">
        <f aca="false">IF($E938="","",INDEX(资金日记账!$Y$4:$Y$603,15))</f>
        <v>0</v>
      </c>
      <c r="O938" s="67" t="str">
        <f aca="false">IF($E938="","","自动B")</f>
        <v>自动B</v>
      </c>
      <c r="P938" s="18"/>
    </row>
    <row r="939" customFormat="false" ht="18" hidden="false" customHeight="true" outlineLevel="0" collapsed="false">
      <c r="A939" s="107" t="n">
        <f aca="false">IF($E939="","",ROW()-3)</f>
        <v>936</v>
      </c>
      <c r="B939" s="110" t="n">
        <f aca="false">IF($E939="","",INDEX(资金日记账!$B$4:$B$603,15))</f>
        <v>46267</v>
      </c>
      <c r="C939" s="67" t="str">
        <f aca="false">IF($E939="","",IF(INDEX(资金日记账!$W$4:$W$603,15)="","记-"&amp;TEXT($B939,"YYYYMM")&amp;"-资金",INDEX(资金日记账!$W$4:$W$603,15)))</f>
        <v>记-202609-资金</v>
      </c>
      <c r="D939" s="107" t="str">
        <f aca="false">IF($E939="","",INDEX(资金日记账!$D$4:$D$603,15))</f>
        <v>吃饭</v>
      </c>
      <c r="E939" s="67" t="str">
        <f aca="false">IF(INDEX(资金日记账!$N$4:$S$603,15,4)=0,"",INDEX(资金日记账!$N$4:$S$603,15,4))</f>
        <v>其他货币资金</v>
      </c>
      <c r="F939" s="99" t="str">
        <f aca="false">IF($E939="","",IFERROR(INDEX(科目表!$A$4:$A$81,MATCH($E939,科目表!$B$4:$B$81,0)),""))</f>
        <v>1012</v>
      </c>
      <c r="G939" s="67" t="str">
        <f aca="false">IF($E939="","",IFERROR(INDEX(科目表!$E$4:$E$81,MATCH($E939,科目表!$B$4:$B$81,0)),""))</f>
        <v>货币资金</v>
      </c>
      <c r="H939" s="70" t="n">
        <f aca="false">IF($E939="","",N(INDEX(资金日记账!$N$4:$S$603,15,5)))</f>
        <v>0</v>
      </c>
      <c r="I939" s="70" t="n">
        <f aca="false">IF($E939="","",N(INDEX(资金日记账!$N$4:$S$603,15,6)))</f>
        <v>7</v>
      </c>
      <c r="J939" s="67" t="n">
        <f aca="false">IF($E939="","",INDEX(资金日记账!$E$4:$E$603,15))</f>
        <v>0</v>
      </c>
      <c r="K939" s="67" t="str">
        <f aca="false">IF($E939="","",INDEX(资金日记账!$F$4:$F$603,15))</f>
        <v>家用</v>
      </c>
      <c r="L939" s="107" t="n">
        <f aca="false">IF($E939="","",INDEX(资金日记账!$X$4:$X$603,15))</f>
        <v>0</v>
      </c>
      <c r="M939" s="107"/>
      <c r="N939" s="67" t="n">
        <f aca="false">IF($E939="","",INDEX(资金日记账!$Y$4:$Y$603,15))</f>
        <v>0</v>
      </c>
      <c r="O939" s="67" t="str">
        <f aca="false">IF($E939="","","自动B")</f>
        <v>自动B</v>
      </c>
      <c r="P939" s="18"/>
    </row>
    <row r="940" customFormat="false" ht="18" hidden="false" customHeight="true" outlineLevel="0" collapsed="false">
      <c r="A940" s="107" t="n">
        <f aca="false">IF($E940="","",ROW()-3)</f>
        <v>937</v>
      </c>
      <c r="B940" s="110" t="n">
        <f aca="false">IF($E940="","",INDEX(资金日记账!$B$4:$B$603,16))</f>
        <v>46267</v>
      </c>
      <c r="C940" s="67" t="str">
        <f aca="false">IF($E940="","",IF(INDEX(资金日记账!$W$4:$W$603,16)="","记-"&amp;TEXT($B940,"YYYYMM")&amp;"-资金",INDEX(资金日记账!$W$4:$W$603,16)))</f>
        <v>记-202609-资金</v>
      </c>
      <c r="D940" s="107" t="str">
        <f aca="false">IF($E940="","",INDEX(资金日记账!$D$4:$D$603,16))</f>
        <v>饮料</v>
      </c>
      <c r="E940" s="67" t="str">
        <f aca="false">IF(INDEX(资金日记账!$N$4:$S$603,16,1)=0,"",INDEX(资金日记账!$N$4:$S$603,16,1))</f>
        <v>管理费用</v>
      </c>
      <c r="F940" s="99" t="str">
        <f aca="false">IF($E940="","",IFERROR(INDEX(科目表!$A$4:$A$81,MATCH($E940,科目表!$B$4:$B$81,0)),""))</f>
        <v>5602</v>
      </c>
      <c r="G940" s="67" t="str">
        <f aca="false">IF($E940="","",IFERROR(INDEX(科目表!$E$4:$E$81,MATCH($E940,科目表!$B$4:$B$81,0)),""))</f>
        <v>管理费用</v>
      </c>
      <c r="H940" s="70" t="n">
        <f aca="false">IF($E940="","",N(INDEX(资金日记账!$N$4:$S$603,16,2)))</f>
        <v>11.2</v>
      </c>
      <c r="I940" s="70" t="n">
        <f aca="false">IF($E940="","",N(INDEX(资金日记账!$N$4:$S$603,16,3)))</f>
        <v>0</v>
      </c>
      <c r="J940" s="67" t="n">
        <f aca="false">IF($E940="","",INDEX(资金日记账!$E$4:$E$603,16))</f>
        <v>0</v>
      </c>
      <c r="K940" s="67" t="str">
        <f aca="false">IF($E940="","",INDEX(资金日记账!$F$4:$F$603,16))</f>
        <v>家用</v>
      </c>
      <c r="L940" s="107" t="n">
        <f aca="false">IF($E940="","",INDEX(资金日记账!$X$4:$X$603,16))</f>
        <v>0</v>
      </c>
      <c r="M940" s="107"/>
      <c r="N940" s="67" t="n">
        <f aca="false">IF($E940="","",INDEX(资金日记账!$Y$4:$Y$603,16))</f>
        <v>0</v>
      </c>
      <c r="O940" s="67" t="str">
        <f aca="false">IF($E940="","","自动B")</f>
        <v>自动B</v>
      </c>
      <c r="P940" s="18"/>
    </row>
    <row r="941" customFormat="false" ht="18" hidden="false" customHeight="true" outlineLevel="0" collapsed="false">
      <c r="A941" s="107" t="n">
        <f aca="false">IF($E941="","",ROW()-3)</f>
        <v>938</v>
      </c>
      <c r="B941" s="110" t="n">
        <f aca="false">IF($E941="","",INDEX(资金日记账!$B$4:$B$603,16))</f>
        <v>46267</v>
      </c>
      <c r="C941" s="67" t="str">
        <f aca="false">IF($E941="","",IF(INDEX(资金日记账!$W$4:$W$603,16)="","记-"&amp;TEXT($B941,"YYYYMM")&amp;"-资金",INDEX(资金日记账!$W$4:$W$603,16)))</f>
        <v>记-202609-资金</v>
      </c>
      <c r="D941" s="107" t="str">
        <f aca="false">IF($E941="","",INDEX(资金日记账!$D$4:$D$603,16))</f>
        <v>饮料</v>
      </c>
      <c r="E941" s="67" t="str">
        <f aca="false">IF(INDEX(资金日记账!$N$4:$S$603,16,4)=0,"",INDEX(资金日记账!$N$4:$S$603,16,4))</f>
        <v>其他货币资金</v>
      </c>
      <c r="F941" s="99" t="str">
        <f aca="false">IF($E941="","",IFERROR(INDEX(科目表!$A$4:$A$81,MATCH($E941,科目表!$B$4:$B$81,0)),""))</f>
        <v>1012</v>
      </c>
      <c r="G941" s="67" t="str">
        <f aca="false">IF($E941="","",IFERROR(INDEX(科目表!$E$4:$E$81,MATCH($E941,科目表!$B$4:$B$81,0)),""))</f>
        <v>货币资金</v>
      </c>
      <c r="H941" s="70" t="n">
        <f aca="false">IF($E941="","",N(INDEX(资金日记账!$N$4:$S$603,16,5)))</f>
        <v>0</v>
      </c>
      <c r="I941" s="70" t="n">
        <f aca="false">IF($E941="","",N(INDEX(资金日记账!$N$4:$S$603,16,6)))</f>
        <v>11.2</v>
      </c>
      <c r="J941" s="67" t="n">
        <f aca="false">IF($E941="","",INDEX(资金日记账!$E$4:$E$603,16))</f>
        <v>0</v>
      </c>
      <c r="K941" s="67" t="str">
        <f aca="false">IF($E941="","",INDEX(资金日记账!$F$4:$F$603,16))</f>
        <v>家用</v>
      </c>
      <c r="L941" s="107" t="n">
        <f aca="false">IF($E941="","",INDEX(资金日记账!$X$4:$X$603,16))</f>
        <v>0</v>
      </c>
      <c r="M941" s="107"/>
      <c r="N941" s="67" t="n">
        <f aca="false">IF($E941="","",INDEX(资金日记账!$Y$4:$Y$603,16))</f>
        <v>0</v>
      </c>
      <c r="O941" s="67" t="str">
        <f aca="false">IF($E941="","","自动B")</f>
        <v>自动B</v>
      </c>
      <c r="P941" s="18"/>
    </row>
    <row r="942" customFormat="false" ht="18" hidden="false" customHeight="true" outlineLevel="0" collapsed="false">
      <c r="A942" s="107" t="n">
        <f aca="false">IF($E942="","",ROW()-3)</f>
        <v>939</v>
      </c>
      <c r="B942" s="110" t="n">
        <f aca="false">IF($E942="","",INDEX(资金日记账!$B$4:$B$603,17))</f>
        <v>46267</v>
      </c>
      <c r="C942" s="67" t="str">
        <f aca="false">IF($E942="","",IF(INDEX(资金日记账!$W$4:$W$603,17)="","记-"&amp;TEXT($B942,"YYYYMM")&amp;"-资金",INDEX(资金日记账!$W$4:$W$603,17)))</f>
        <v>记-202609-资金</v>
      </c>
      <c r="D942" s="107" t="str">
        <f aca="false">IF($E942="","",INDEX(资金日记账!$D$4:$D$603,17))</f>
        <v>超市</v>
      </c>
      <c r="E942" s="67" t="str">
        <f aca="false">IF(INDEX(资金日记账!$N$4:$S$603,17,1)=0,"",INDEX(资金日记账!$N$4:$S$603,17,1))</f>
        <v>管理费用</v>
      </c>
      <c r="F942" s="99" t="str">
        <f aca="false">IF($E942="","",IFERROR(INDEX(科目表!$A$4:$A$81,MATCH($E942,科目表!$B$4:$B$81,0)),""))</f>
        <v>5602</v>
      </c>
      <c r="G942" s="67" t="str">
        <f aca="false">IF($E942="","",IFERROR(INDEX(科目表!$E$4:$E$81,MATCH($E942,科目表!$B$4:$B$81,0)),""))</f>
        <v>管理费用</v>
      </c>
      <c r="H942" s="70" t="n">
        <f aca="false">IF($E942="","",N(INDEX(资金日记账!$N$4:$S$603,17,2)))</f>
        <v>8</v>
      </c>
      <c r="I942" s="70" t="n">
        <f aca="false">IF($E942="","",N(INDEX(资金日记账!$N$4:$S$603,17,3)))</f>
        <v>0</v>
      </c>
      <c r="J942" s="67" t="n">
        <f aca="false">IF($E942="","",INDEX(资金日记账!$E$4:$E$603,17))</f>
        <v>0</v>
      </c>
      <c r="K942" s="67" t="str">
        <f aca="false">IF($E942="","",INDEX(资金日记账!$F$4:$F$603,17))</f>
        <v>家用</v>
      </c>
      <c r="L942" s="107" t="n">
        <f aca="false">IF($E942="","",INDEX(资金日记账!$X$4:$X$603,17))</f>
        <v>0</v>
      </c>
      <c r="M942" s="107"/>
      <c r="N942" s="67" t="n">
        <f aca="false">IF($E942="","",INDEX(资金日记账!$Y$4:$Y$603,17))</f>
        <v>0</v>
      </c>
      <c r="O942" s="67" t="str">
        <f aca="false">IF($E942="","","自动B")</f>
        <v>自动B</v>
      </c>
      <c r="P942" s="18"/>
    </row>
    <row r="943" customFormat="false" ht="18" hidden="false" customHeight="true" outlineLevel="0" collapsed="false">
      <c r="A943" s="107" t="n">
        <f aca="false">IF($E943="","",ROW()-3)</f>
        <v>940</v>
      </c>
      <c r="B943" s="110" t="n">
        <f aca="false">IF($E943="","",INDEX(资金日记账!$B$4:$B$603,17))</f>
        <v>46267</v>
      </c>
      <c r="C943" s="67" t="str">
        <f aca="false">IF($E943="","",IF(INDEX(资金日记账!$W$4:$W$603,17)="","记-"&amp;TEXT($B943,"YYYYMM")&amp;"-资金",INDEX(资金日记账!$W$4:$W$603,17)))</f>
        <v>记-202609-资金</v>
      </c>
      <c r="D943" s="107" t="str">
        <f aca="false">IF($E943="","",INDEX(资金日记账!$D$4:$D$603,17))</f>
        <v>超市</v>
      </c>
      <c r="E943" s="67" t="str">
        <f aca="false">IF(INDEX(资金日记账!$N$4:$S$603,17,4)=0,"",INDEX(资金日记账!$N$4:$S$603,17,4))</f>
        <v>其他货币资金</v>
      </c>
      <c r="F943" s="99" t="str">
        <f aca="false">IF($E943="","",IFERROR(INDEX(科目表!$A$4:$A$81,MATCH($E943,科目表!$B$4:$B$81,0)),""))</f>
        <v>1012</v>
      </c>
      <c r="G943" s="67" t="str">
        <f aca="false">IF($E943="","",IFERROR(INDEX(科目表!$E$4:$E$81,MATCH($E943,科目表!$B$4:$B$81,0)),""))</f>
        <v>货币资金</v>
      </c>
      <c r="H943" s="70" t="n">
        <f aca="false">IF($E943="","",N(INDEX(资金日记账!$N$4:$S$603,17,5)))</f>
        <v>0</v>
      </c>
      <c r="I943" s="70" t="n">
        <f aca="false">IF($E943="","",N(INDEX(资金日记账!$N$4:$S$603,17,6)))</f>
        <v>8</v>
      </c>
      <c r="J943" s="67" t="n">
        <f aca="false">IF($E943="","",INDEX(资金日记账!$E$4:$E$603,17))</f>
        <v>0</v>
      </c>
      <c r="K943" s="67" t="str">
        <f aca="false">IF($E943="","",INDEX(资金日记账!$F$4:$F$603,17))</f>
        <v>家用</v>
      </c>
      <c r="L943" s="107" t="n">
        <f aca="false">IF($E943="","",INDEX(资金日记账!$X$4:$X$603,17))</f>
        <v>0</v>
      </c>
      <c r="M943" s="107"/>
      <c r="N943" s="67" t="n">
        <f aca="false">IF($E943="","",INDEX(资金日记账!$Y$4:$Y$603,17))</f>
        <v>0</v>
      </c>
      <c r="O943" s="67" t="str">
        <f aca="false">IF($E943="","","自动B")</f>
        <v>自动B</v>
      </c>
      <c r="P943" s="18"/>
    </row>
    <row r="944" customFormat="false" ht="18" hidden="false" customHeight="true" outlineLevel="0" collapsed="false">
      <c r="A944" s="107" t="n">
        <f aca="false">IF($E944="","",ROW()-3)</f>
        <v>941</v>
      </c>
      <c r="B944" s="110" t="n">
        <f aca="false">IF($E944="","",INDEX(资金日记账!$B$4:$B$603,18))</f>
        <v>46268</v>
      </c>
      <c r="C944" s="67" t="str">
        <f aca="false">IF($E944="","",IF(INDEX(资金日记账!$W$4:$W$603,18)="","记-"&amp;TEXT($B944,"YYYYMM")&amp;"-资金",INDEX(资金日记账!$W$4:$W$603,18)))</f>
        <v>记-202609-资金</v>
      </c>
      <c r="D944" s="107" t="str">
        <f aca="false">IF($E944="","",INDEX(资金日记账!$D$4:$D$603,18))</f>
        <v>女王微信</v>
      </c>
      <c r="E944" s="67" t="str">
        <f aca="false">IF(INDEX(资金日记账!$N$4:$S$603,18,1)=0,"",INDEX(资金日记账!$N$4:$S$603,18,1))</f>
        <v>其他货币资金</v>
      </c>
      <c r="F944" s="99" t="str">
        <f aca="false">IF($E944="","",IFERROR(INDEX(科目表!$A$4:$A$81,MATCH($E944,科目表!$B$4:$B$81,0)),""))</f>
        <v>1012</v>
      </c>
      <c r="G944" s="67" t="str">
        <f aca="false">IF($E944="","",IFERROR(INDEX(科目表!$E$4:$E$81,MATCH($E944,科目表!$B$4:$B$81,0)),""))</f>
        <v>货币资金</v>
      </c>
      <c r="H944" s="70" t="n">
        <f aca="false">IF($E944="","",N(INDEX(资金日记账!$N$4:$S$603,18,2)))</f>
        <v>111</v>
      </c>
      <c r="I944" s="70" t="n">
        <f aca="false">IF($E944="","",N(INDEX(资金日记账!$N$4:$S$603,18,3)))</f>
        <v>0</v>
      </c>
      <c r="J944" s="67" t="n">
        <f aca="false">IF($E944="","",INDEX(资金日记账!$E$4:$E$603,18))</f>
        <v>0</v>
      </c>
      <c r="K944" s="67" t="str">
        <f aca="false">IF($E944="","",INDEX(资金日记账!$F$4:$F$603,18))</f>
        <v>个人收入</v>
      </c>
      <c r="L944" s="107" t="n">
        <f aca="false">IF($E944="","",INDEX(资金日记账!$X$4:$X$603,18))</f>
        <v>0</v>
      </c>
      <c r="M944" s="107"/>
      <c r="N944" s="67" t="n">
        <f aca="false">IF($E944="","",INDEX(资金日记账!$Y$4:$Y$603,18))</f>
        <v>0</v>
      </c>
      <c r="O944" s="67" t="str">
        <f aca="false">IF($E944="","","自动B")</f>
        <v>自动B</v>
      </c>
      <c r="P944" s="18"/>
    </row>
    <row r="945" customFormat="false" ht="18" hidden="false" customHeight="true" outlineLevel="0" collapsed="false">
      <c r="A945" s="107" t="n">
        <f aca="false">IF($E945="","",ROW()-3)</f>
        <v>942</v>
      </c>
      <c r="B945" s="110" t="n">
        <f aca="false">IF($E945="","",INDEX(资金日记账!$B$4:$B$603,18))</f>
        <v>46268</v>
      </c>
      <c r="C945" s="67" t="str">
        <f aca="false">IF($E945="","",IF(INDEX(资金日记账!$W$4:$W$603,18)="","记-"&amp;TEXT($B945,"YYYYMM")&amp;"-资金",INDEX(资金日记账!$W$4:$W$603,18)))</f>
        <v>记-202609-资金</v>
      </c>
      <c r="D945" s="107" t="str">
        <f aca="false">IF($E945="","",INDEX(资金日记账!$D$4:$D$603,18))</f>
        <v>女王微信</v>
      </c>
      <c r="E945" s="67" t="str">
        <f aca="false">IF(INDEX(资金日记账!$N$4:$S$603,18,4)=0,"",INDEX(资金日记账!$N$4:$S$603,18,4))</f>
        <v>其他应收款</v>
      </c>
      <c r="F945" s="99" t="str">
        <f aca="false">IF($E945="","",IFERROR(INDEX(科目表!$A$4:$A$81,MATCH($E945,科目表!$B$4:$B$81,0)),""))</f>
        <v>1221</v>
      </c>
      <c r="G945" s="67" t="str">
        <f aca="false">IF($E945="","",IFERROR(INDEX(科目表!$E$4:$E$81,MATCH($E945,科目表!$B$4:$B$81,0)),""))</f>
        <v>其他应收款</v>
      </c>
      <c r="H945" s="70" t="n">
        <f aca="false">IF($E945="","",N(INDEX(资金日记账!$N$4:$S$603,18,5)))</f>
        <v>0</v>
      </c>
      <c r="I945" s="70" t="n">
        <f aca="false">IF($E945="","",N(INDEX(资金日记账!$N$4:$S$603,18,6)))</f>
        <v>111</v>
      </c>
      <c r="J945" s="67" t="n">
        <f aca="false">IF($E945="","",INDEX(资金日记账!$E$4:$E$603,18))</f>
        <v>0</v>
      </c>
      <c r="K945" s="67" t="str">
        <f aca="false">IF($E945="","",INDEX(资金日记账!$F$4:$F$603,18))</f>
        <v>个人收入</v>
      </c>
      <c r="L945" s="107" t="n">
        <f aca="false">IF($E945="","",INDEX(资金日记账!$X$4:$X$603,18))</f>
        <v>0</v>
      </c>
      <c r="M945" s="107"/>
      <c r="N945" s="67" t="n">
        <f aca="false">IF($E945="","",INDEX(资金日记账!$Y$4:$Y$603,18))</f>
        <v>0</v>
      </c>
      <c r="O945" s="67" t="str">
        <f aca="false">IF($E945="","","自动B")</f>
        <v>自动B</v>
      </c>
      <c r="P945" s="18"/>
    </row>
    <row r="946" customFormat="false" ht="18" hidden="false" customHeight="true" outlineLevel="0" collapsed="false">
      <c r="A946" s="107" t="n">
        <f aca="false">IF($E946="","",ROW()-3)</f>
        <v>943</v>
      </c>
      <c r="B946" s="110" t="n">
        <f aca="false">IF($E946="","",INDEX(资金日记账!$B$4:$B$603,19))</f>
        <v>46268</v>
      </c>
      <c r="C946" s="67" t="str">
        <f aca="false">IF($E946="","",IF(INDEX(资金日记账!$W$4:$W$603,19)="","记-"&amp;TEXT($B946,"YYYYMM")&amp;"-资金",INDEX(资金日记账!$W$4:$W$603,19)))</f>
        <v>记-202609-资金</v>
      </c>
      <c r="D946" s="107" t="str">
        <f aca="false">IF($E946="","",INDEX(资金日记账!$D$4:$D$603,19))</f>
        <v>香梨纸款</v>
      </c>
      <c r="E946" s="67" t="str">
        <f aca="false">IF(INDEX(资金日记账!$N$4:$S$603,19,1)=0,"",INDEX(资金日记账!$N$4:$S$603,19,1))</f>
        <v>其他货币资金</v>
      </c>
      <c r="F946" s="99" t="str">
        <f aca="false">IF($E946="","",IFERROR(INDEX(科目表!$A$4:$A$81,MATCH($E946,科目表!$B$4:$B$81,0)),""))</f>
        <v>1012</v>
      </c>
      <c r="G946" s="67" t="str">
        <f aca="false">IF($E946="","",IFERROR(INDEX(科目表!$E$4:$E$81,MATCH($E946,科目表!$B$4:$B$81,0)),""))</f>
        <v>货币资金</v>
      </c>
      <c r="H946" s="70" t="n">
        <f aca="false">IF($E946="","",N(INDEX(资金日记账!$N$4:$S$603,19,2)))</f>
        <v>96</v>
      </c>
      <c r="I946" s="70" t="n">
        <f aca="false">IF($E946="","",N(INDEX(资金日记账!$N$4:$S$603,19,3)))</f>
        <v>0</v>
      </c>
      <c r="J946" s="67" t="n">
        <f aca="false">IF($E946="","",INDEX(资金日记账!$E$4:$E$603,19))</f>
        <v>0</v>
      </c>
      <c r="K946" s="67" t="str">
        <f aca="false">IF($E946="","",INDEX(资金日记账!$F$4:$F$603,19))</f>
        <v>包装物料销售</v>
      </c>
      <c r="L946" s="107" t="n">
        <f aca="false">IF($E946="","",INDEX(资金日记账!$X$4:$X$603,19))</f>
        <v>0</v>
      </c>
      <c r="M946" s="107"/>
      <c r="N946" s="67" t="n">
        <f aca="false">IF($E946="","",INDEX(资金日记账!$Y$4:$Y$603,19))</f>
        <v>0</v>
      </c>
      <c r="O946" s="67" t="str">
        <f aca="false">IF($E946="","","自动B")</f>
        <v>自动B</v>
      </c>
      <c r="P946" s="18"/>
    </row>
    <row r="947" customFormat="false" ht="18" hidden="false" customHeight="true" outlineLevel="0" collapsed="false">
      <c r="A947" s="107" t="n">
        <f aca="false">IF($E947="","",ROW()-3)</f>
        <v>944</v>
      </c>
      <c r="B947" s="110" t="n">
        <f aca="false">IF($E947="","",INDEX(资金日记账!$B$4:$B$603,19))</f>
        <v>46268</v>
      </c>
      <c r="C947" s="67" t="str">
        <f aca="false">IF($E947="","",IF(INDEX(资金日记账!$W$4:$W$603,19)="","记-"&amp;TEXT($B947,"YYYYMM")&amp;"-资金",INDEX(资金日记账!$W$4:$W$603,19)))</f>
        <v>记-202609-资金</v>
      </c>
      <c r="D947" s="107" t="str">
        <f aca="false">IF($E947="","",INDEX(资金日记账!$D$4:$D$603,19))</f>
        <v>香梨纸款</v>
      </c>
      <c r="E947" s="67" t="str">
        <f aca="false">IF(INDEX(资金日记账!$N$4:$S$603,19,4)=0,"",INDEX(资金日记账!$N$4:$S$603,19,4))</f>
        <v>应收账款</v>
      </c>
      <c r="F947" s="99" t="str">
        <f aca="false">IF($E947="","",IFERROR(INDEX(科目表!$A$4:$A$81,MATCH($E947,科目表!$B$4:$B$81,0)),""))</f>
        <v>1122</v>
      </c>
      <c r="G947" s="67" t="str">
        <f aca="false">IF($E947="","",IFERROR(INDEX(科目表!$E$4:$E$81,MATCH($E947,科目表!$B$4:$B$81,0)),""))</f>
        <v>应收账款</v>
      </c>
      <c r="H947" s="70" t="n">
        <f aca="false">IF($E947="","",N(INDEX(资金日记账!$N$4:$S$603,19,5)))</f>
        <v>0</v>
      </c>
      <c r="I947" s="70" t="n">
        <f aca="false">IF($E947="","",N(INDEX(资金日记账!$N$4:$S$603,19,6)))</f>
        <v>96</v>
      </c>
      <c r="J947" s="67" t="n">
        <f aca="false">IF($E947="","",INDEX(资金日记账!$E$4:$E$603,19))</f>
        <v>0</v>
      </c>
      <c r="K947" s="67" t="str">
        <f aca="false">IF($E947="","",INDEX(资金日记账!$F$4:$F$603,19))</f>
        <v>包装物料销售</v>
      </c>
      <c r="L947" s="107" t="n">
        <f aca="false">IF($E947="","",INDEX(资金日记账!$X$4:$X$603,19))</f>
        <v>0</v>
      </c>
      <c r="M947" s="107"/>
      <c r="N947" s="67" t="n">
        <f aca="false">IF($E947="","",INDEX(资金日记账!$Y$4:$Y$603,19))</f>
        <v>0</v>
      </c>
      <c r="O947" s="67" t="str">
        <f aca="false">IF($E947="","","自动B")</f>
        <v>自动B</v>
      </c>
      <c r="P947" s="18"/>
    </row>
    <row r="948" customFormat="false" ht="18" hidden="false" customHeight="true" outlineLevel="0" collapsed="false">
      <c r="A948" s="107" t="n">
        <f aca="false">IF($E948="","",ROW()-3)</f>
        <v>945</v>
      </c>
      <c r="B948" s="110" t="n">
        <f aca="false">IF($E948="","",INDEX(资金日记账!$B$4:$B$603,20))</f>
        <v>46268</v>
      </c>
      <c r="C948" s="67" t="str">
        <f aca="false">IF($E948="","",IF(INDEX(资金日记账!$W$4:$W$603,20)="","记-"&amp;TEXT($B948,"YYYYMM")&amp;"-资金",INDEX(资金日记账!$W$4:$W$603,20)))</f>
        <v>记-202609-资金</v>
      </c>
      <c r="D948" s="107" t="str">
        <f aca="false">IF($E948="","",INDEX(资金日记账!$D$4:$D$603,20))</f>
        <v>香梨纸款</v>
      </c>
      <c r="E948" s="67" t="str">
        <f aca="false">IF(INDEX(资金日记账!$N$4:$S$603,20,1)=0,"",INDEX(资金日记账!$N$4:$S$603,20,1))</f>
        <v>其他货币资金</v>
      </c>
      <c r="F948" s="99" t="str">
        <f aca="false">IF($E948="","",IFERROR(INDEX(科目表!$A$4:$A$81,MATCH($E948,科目表!$B$4:$B$81,0)),""))</f>
        <v>1012</v>
      </c>
      <c r="G948" s="67" t="str">
        <f aca="false">IF($E948="","",IFERROR(INDEX(科目表!$E$4:$E$81,MATCH($E948,科目表!$B$4:$B$81,0)),""))</f>
        <v>货币资金</v>
      </c>
      <c r="H948" s="70" t="n">
        <f aca="false">IF($E948="","",N(INDEX(资金日记账!$N$4:$S$603,20,2)))</f>
        <v>96</v>
      </c>
      <c r="I948" s="70" t="n">
        <f aca="false">IF($E948="","",N(INDEX(资金日记账!$N$4:$S$603,20,3)))</f>
        <v>0</v>
      </c>
      <c r="J948" s="67" t="n">
        <f aca="false">IF($E948="","",INDEX(资金日记账!$E$4:$E$603,20))</f>
        <v>0</v>
      </c>
      <c r="K948" s="67" t="str">
        <f aca="false">IF($E948="","",INDEX(资金日记账!$F$4:$F$603,20))</f>
        <v>包装物料销售</v>
      </c>
      <c r="L948" s="107" t="n">
        <f aca="false">IF($E948="","",INDEX(资金日记账!$X$4:$X$603,20))</f>
        <v>0</v>
      </c>
      <c r="M948" s="107"/>
      <c r="N948" s="67" t="n">
        <f aca="false">IF($E948="","",INDEX(资金日记账!$Y$4:$Y$603,20))</f>
        <v>0</v>
      </c>
      <c r="O948" s="67" t="str">
        <f aca="false">IF($E948="","","自动B")</f>
        <v>自动B</v>
      </c>
      <c r="P948" s="18"/>
    </row>
    <row r="949" customFormat="false" ht="18" hidden="false" customHeight="true" outlineLevel="0" collapsed="false">
      <c r="A949" s="107" t="n">
        <f aca="false">IF($E949="","",ROW()-3)</f>
        <v>946</v>
      </c>
      <c r="B949" s="110" t="n">
        <f aca="false">IF($E949="","",INDEX(资金日记账!$B$4:$B$603,20))</f>
        <v>46268</v>
      </c>
      <c r="C949" s="67" t="str">
        <f aca="false">IF($E949="","",IF(INDEX(资金日记账!$W$4:$W$603,20)="","记-"&amp;TEXT($B949,"YYYYMM")&amp;"-资金",INDEX(资金日记账!$W$4:$W$603,20)))</f>
        <v>记-202609-资金</v>
      </c>
      <c r="D949" s="107" t="str">
        <f aca="false">IF($E949="","",INDEX(资金日记账!$D$4:$D$603,20))</f>
        <v>香梨纸款</v>
      </c>
      <c r="E949" s="67" t="str">
        <f aca="false">IF(INDEX(资金日记账!$N$4:$S$603,20,4)=0,"",INDEX(资金日记账!$N$4:$S$603,20,4))</f>
        <v>应收账款</v>
      </c>
      <c r="F949" s="99" t="str">
        <f aca="false">IF($E949="","",IFERROR(INDEX(科目表!$A$4:$A$81,MATCH($E949,科目表!$B$4:$B$81,0)),""))</f>
        <v>1122</v>
      </c>
      <c r="G949" s="67" t="str">
        <f aca="false">IF($E949="","",IFERROR(INDEX(科目表!$E$4:$E$81,MATCH($E949,科目表!$B$4:$B$81,0)),""))</f>
        <v>应收账款</v>
      </c>
      <c r="H949" s="70" t="n">
        <f aca="false">IF($E949="","",N(INDEX(资金日记账!$N$4:$S$603,20,5)))</f>
        <v>0</v>
      </c>
      <c r="I949" s="70" t="n">
        <f aca="false">IF($E949="","",N(INDEX(资金日记账!$N$4:$S$603,20,6)))</f>
        <v>96</v>
      </c>
      <c r="J949" s="67" t="n">
        <f aca="false">IF($E949="","",INDEX(资金日记账!$E$4:$E$603,20))</f>
        <v>0</v>
      </c>
      <c r="K949" s="67" t="str">
        <f aca="false">IF($E949="","",INDEX(资金日记账!$F$4:$F$603,20))</f>
        <v>包装物料销售</v>
      </c>
      <c r="L949" s="107" t="n">
        <f aca="false">IF($E949="","",INDEX(资金日记账!$X$4:$X$603,20))</f>
        <v>0</v>
      </c>
      <c r="M949" s="107"/>
      <c r="N949" s="67" t="n">
        <f aca="false">IF($E949="","",INDEX(资金日记账!$Y$4:$Y$603,20))</f>
        <v>0</v>
      </c>
      <c r="O949" s="67" t="str">
        <f aca="false">IF($E949="","","自动B")</f>
        <v>自动B</v>
      </c>
      <c r="P949" s="18"/>
    </row>
    <row r="950" customFormat="false" ht="18" hidden="false" customHeight="true" outlineLevel="0" collapsed="false">
      <c r="A950" s="107" t="n">
        <f aca="false">IF($E950="","",ROW()-3)</f>
        <v>947</v>
      </c>
      <c r="B950" s="110" t="n">
        <f aca="false">IF($E950="","",INDEX(资金日记账!$B$4:$B$603,21))</f>
        <v>46268</v>
      </c>
      <c r="C950" s="67" t="str">
        <f aca="false">IF($E950="","",IF(INDEX(资金日记账!$W$4:$W$603,21)="","记-"&amp;TEXT($B950,"YYYYMM")&amp;"-资金",INDEX(资金日记账!$W$4:$W$603,21)))</f>
        <v>记-202609-资金</v>
      </c>
      <c r="D950" s="107" t="str">
        <f aca="false">IF($E950="","",INDEX(资金日记账!$D$4:$D$603,21))</f>
        <v>快递费</v>
      </c>
      <c r="E950" s="67" t="str">
        <f aca="false">IF(INDEX(资金日记账!$N$4:$S$603,21,1)=0,"",INDEX(资金日记账!$N$4:$S$603,21,1))</f>
        <v>销售费用</v>
      </c>
      <c r="F950" s="99" t="str">
        <f aca="false">IF($E950="","",IFERROR(INDEX(科目表!$A$4:$A$81,MATCH($E950,科目表!$B$4:$B$81,0)),""))</f>
        <v>5601</v>
      </c>
      <c r="G950" s="67" t="str">
        <f aca="false">IF($E950="","",IFERROR(INDEX(科目表!$E$4:$E$81,MATCH($E950,科目表!$B$4:$B$81,0)),""))</f>
        <v>销售费用</v>
      </c>
      <c r="H950" s="70" t="n">
        <f aca="false">IF($E950="","",N(INDEX(资金日记账!$N$4:$S$603,21,2)))</f>
        <v>14</v>
      </c>
      <c r="I950" s="70" t="n">
        <f aca="false">IF($E950="","",N(INDEX(资金日记账!$N$4:$S$603,21,3)))</f>
        <v>0</v>
      </c>
      <c r="J950" s="67" t="n">
        <f aca="false">IF($E950="","",INDEX(资金日记账!$E$4:$E$603,21))</f>
        <v>0</v>
      </c>
      <c r="K950" s="67" t="str">
        <f aca="false">IF($E950="","",INDEX(资金日记账!$F$4:$F$603,21))</f>
        <v>家用</v>
      </c>
      <c r="L950" s="107" t="n">
        <f aca="false">IF($E950="","",INDEX(资金日记账!$X$4:$X$603,21))</f>
        <v>0</v>
      </c>
      <c r="M950" s="107"/>
      <c r="N950" s="67" t="n">
        <f aca="false">IF($E950="","",INDEX(资金日记账!$Y$4:$Y$603,21))</f>
        <v>0</v>
      </c>
      <c r="O950" s="67" t="str">
        <f aca="false">IF($E950="","","自动B")</f>
        <v>自动B</v>
      </c>
      <c r="P950" s="18"/>
    </row>
    <row r="951" customFormat="false" ht="18" hidden="false" customHeight="true" outlineLevel="0" collapsed="false">
      <c r="A951" s="107" t="n">
        <f aca="false">IF($E951="","",ROW()-3)</f>
        <v>948</v>
      </c>
      <c r="B951" s="110" t="n">
        <f aca="false">IF($E951="","",INDEX(资金日记账!$B$4:$B$603,21))</f>
        <v>46268</v>
      </c>
      <c r="C951" s="67" t="str">
        <f aca="false">IF($E951="","",IF(INDEX(资金日记账!$W$4:$W$603,21)="","记-"&amp;TEXT($B951,"YYYYMM")&amp;"-资金",INDEX(资金日记账!$W$4:$W$603,21)))</f>
        <v>记-202609-资金</v>
      </c>
      <c r="D951" s="107" t="str">
        <f aca="false">IF($E951="","",INDEX(资金日记账!$D$4:$D$603,21))</f>
        <v>快递费</v>
      </c>
      <c r="E951" s="67" t="str">
        <f aca="false">IF(INDEX(资金日记账!$N$4:$S$603,21,4)=0,"",INDEX(资金日记账!$N$4:$S$603,21,4))</f>
        <v>其他货币资金</v>
      </c>
      <c r="F951" s="99" t="str">
        <f aca="false">IF($E951="","",IFERROR(INDEX(科目表!$A$4:$A$81,MATCH($E951,科目表!$B$4:$B$81,0)),""))</f>
        <v>1012</v>
      </c>
      <c r="G951" s="67" t="str">
        <f aca="false">IF($E951="","",IFERROR(INDEX(科目表!$E$4:$E$81,MATCH($E951,科目表!$B$4:$B$81,0)),""))</f>
        <v>货币资金</v>
      </c>
      <c r="H951" s="70" t="n">
        <f aca="false">IF($E951="","",N(INDEX(资金日记账!$N$4:$S$603,21,5)))</f>
        <v>0</v>
      </c>
      <c r="I951" s="70" t="n">
        <f aca="false">IF($E951="","",N(INDEX(资金日记账!$N$4:$S$603,21,6)))</f>
        <v>14</v>
      </c>
      <c r="J951" s="67" t="n">
        <f aca="false">IF($E951="","",INDEX(资金日记账!$E$4:$E$603,21))</f>
        <v>0</v>
      </c>
      <c r="K951" s="67" t="str">
        <f aca="false">IF($E951="","",INDEX(资金日记账!$F$4:$F$603,21))</f>
        <v>家用</v>
      </c>
      <c r="L951" s="107" t="n">
        <f aca="false">IF($E951="","",INDEX(资金日记账!$X$4:$X$603,21))</f>
        <v>0</v>
      </c>
      <c r="M951" s="107"/>
      <c r="N951" s="67" t="n">
        <f aca="false">IF($E951="","",INDEX(资金日记账!$Y$4:$Y$603,21))</f>
        <v>0</v>
      </c>
      <c r="O951" s="67" t="str">
        <f aca="false">IF($E951="","","自动B")</f>
        <v>自动B</v>
      </c>
      <c r="P951" s="18"/>
    </row>
    <row r="952" customFormat="false" ht="18" hidden="false" customHeight="true" outlineLevel="0" collapsed="false">
      <c r="A952" s="107" t="n">
        <f aca="false">IF($E952="","",ROW()-3)</f>
        <v>949</v>
      </c>
      <c r="B952" s="110" t="n">
        <f aca="false">IF($E952="","",INDEX(资金日记账!$B$4:$B$603,22))</f>
        <v>46268</v>
      </c>
      <c r="C952" s="67" t="str">
        <f aca="false">IF($E952="","",IF(INDEX(资金日记账!$W$4:$W$603,22)="","记-"&amp;TEXT($B952,"YYYYMM")&amp;"-资金",INDEX(资金日记账!$W$4:$W$603,22)))</f>
        <v>记-202609-资金</v>
      </c>
      <c r="D952" s="107" t="str">
        <f aca="false">IF($E952="","",INDEX(资金日记账!$D$4:$D$603,22))</f>
        <v>发红包</v>
      </c>
      <c r="E952" s="67" t="str">
        <f aca="false">IF(INDEX(资金日记账!$N$4:$S$603,22,1)=0,"",INDEX(资金日记账!$N$4:$S$603,22,1))</f>
        <v>财务费用</v>
      </c>
      <c r="F952" s="99" t="str">
        <f aca="false">IF($E952="","",IFERROR(INDEX(科目表!$A$4:$A$81,MATCH($E952,科目表!$B$4:$B$81,0)),""))</f>
        <v>5603</v>
      </c>
      <c r="G952" s="67" t="str">
        <f aca="false">IF($E952="","",IFERROR(INDEX(科目表!$E$4:$E$81,MATCH($E952,科目表!$B$4:$B$81,0)),""))</f>
        <v>财务费用</v>
      </c>
      <c r="H952" s="70" t="n">
        <f aca="false">IF($E952="","",N(INDEX(资金日记账!$N$4:$S$603,22,2)))</f>
        <v>30</v>
      </c>
      <c r="I952" s="70" t="n">
        <f aca="false">IF($E952="","",N(INDEX(资金日记账!$N$4:$S$603,22,3)))</f>
        <v>0</v>
      </c>
      <c r="J952" s="67" t="n">
        <f aca="false">IF($E952="","",INDEX(资金日记账!$E$4:$E$603,22))</f>
        <v>0</v>
      </c>
      <c r="K952" s="67" t="str">
        <f aca="false">IF($E952="","",INDEX(资金日记账!$F$4:$F$603,22))</f>
        <v>财务</v>
      </c>
      <c r="L952" s="107" t="n">
        <f aca="false">IF($E952="","",INDEX(资金日记账!$X$4:$X$603,22))</f>
        <v>0</v>
      </c>
      <c r="M952" s="107"/>
      <c r="N952" s="67" t="n">
        <f aca="false">IF($E952="","",INDEX(资金日记账!$Y$4:$Y$603,22))</f>
        <v>0</v>
      </c>
      <c r="O952" s="67" t="str">
        <f aca="false">IF($E952="","","自动B")</f>
        <v>自动B</v>
      </c>
      <c r="P952" s="18"/>
    </row>
    <row r="953" customFormat="false" ht="18" hidden="false" customHeight="true" outlineLevel="0" collapsed="false">
      <c r="A953" s="107" t="n">
        <f aca="false">IF($E953="","",ROW()-3)</f>
        <v>950</v>
      </c>
      <c r="B953" s="110" t="n">
        <f aca="false">IF($E953="","",INDEX(资金日记账!$B$4:$B$603,22))</f>
        <v>46268</v>
      </c>
      <c r="C953" s="67" t="str">
        <f aca="false">IF($E953="","",IF(INDEX(资金日记账!$W$4:$W$603,22)="","记-"&amp;TEXT($B953,"YYYYMM")&amp;"-资金",INDEX(资金日记账!$W$4:$W$603,22)))</f>
        <v>记-202609-资金</v>
      </c>
      <c r="D953" s="107" t="str">
        <f aca="false">IF($E953="","",INDEX(资金日记账!$D$4:$D$603,22))</f>
        <v>发红包</v>
      </c>
      <c r="E953" s="67" t="str">
        <f aca="false">IF(INDEX(资金日记账!$N$4:$S$603,22,4)=0,"",INDEX(资金日记账!$N$4:$S$603,22,4))</f>
        <v>其他货币资金</v>
      </c>
      <c r="F953" s="99" t="str">
        <f aca="false">IF($E953="","",IFERROR(INDEX(科目表!$A$4:$A$81,MATCH($E953,科目表!$B$4:$B$81,0)),""))</f>
        <v>1012</v>
      </c>
      <c r="G953" s="67" t="str">
        <f aca="false">IF($E953="","",IFERROR(INDEX(科目表!$E$4:$E$81,MATCH($E953,科目表!$B$4:$B$81,0)),""))</f>
        <v>货币资金</v>
      </c>
      <c r="H953" s="70" t="n">
        <f aca="false">IF($E953="","",N(INDEX(资金日记账!$N$4:$S$603,22,5)))</f>
        <v>0</v>
      </c>
      <c r="I953" s="70" t="n">
        <f aca="false">IF($E953="","",N(INDEX(资金日记账!$N$4:$S$603,22,6)))</f>
        <v>30</v>
      </c>
      <c r="J953" s="67" t="n">
        <f aca="false">IF($E953="","",INDEX(资金日记账!$E$4:$E$603,22))</f>
        <v>0</v>
      </c>
      <c r="K953" s="67" t="str">
        <f aca="false">IF($E953="","",INDEX(资金日记账!$F$4:$F$603,22))</f>
        <v>财务</v>
      </c>
      <c r="L953" s="107" t="n">
        <f aca="false">IF($E953="","",INDEX(资金日记账!$X$4:$X$603,22))</f>
        <v>0</v>
      </c>
      <c r="M953" s="107"/>
      <c r="N953" s="67" t="n">
        <f aca="false">IF($E953="","",INDEX(资金日记账!$Y$4:$Y$603,22))</f>
        <v>0</v>
      </c>
      <c r="O953" s="67" t="str">
        <f aca="false">IF($E953="","","自动B")</f>
        <v>自动B</v>
      </c>
      <c r="P953" s="18"/>
    </row>
    <row r="954" customFormat="false" ht="18" hidden="false" customHeight="true" outlineLevel="0" collapsed="false">
      <c r="A954" s="107" t="n">
        <f aca="false">IF($E954="","",ROW()-3)</f>
        <v>951</v>
      </c>
      <c r="B954" s="110" t="n">
        <f aca="false">IF($E954="","",INDEX(资金日记账!$B$4:$B$603,23))</f>
        <v>46269</v>
      </c>
      <c r="C954" s="67" t="str">
        <f aca="false">IF($E954="","",IF(INDEX(资金日记账!$W$4:$W$603,23)="","记-"&amp;TEXT($B954,"YYYYMM")&amp;"-资金",INDEX(资金日记账!$W$4:$W$603,23)))</f>
        <v>记-202609-资金</v>
      </c>
      <c r="D954" s="107" t="str">
        <f aca="false">IF($E954="","",INDEX(资金日记账!$D$4:$D$603,23))</f>
        <v>姜诗林转来</v>
      </c>
      <c r="E954" s="67" t="str">
        <f aca="false">IF(INDEX(资金日记账!$N$4:$S$603,23,1)=0,"",INDEX(资金日记账!$N$4:$S$603,23,1))</f>
        <v>其他货币资金</v>
      </c>
      <c r="F954" s="99" t="str">
        <f aca="false">IF($E954="","",IFERROR(INDEX(科目表!$A$4:$A$81,MATCH($E954,科目表!$B$4:$B$81,0)),""))</f>
        <v>1012</v>
      </c>
      <c r="G954" s="67" t="str">
        <f aca="false">IF($E954="","",IFERROR(INDEX(科目表!$E$4:$E$81,MATCH($E954,科目表!$B$4:$B$81,0)),""))</f>
        <v>货币资金</v>
      </c>
      <c r="H954" s="70" t="n">
        <f aca="false">IF($E954="","",N(INDEX(资金日记账!$N$4:$S$603,23,2)))</f>
        <v>60000</v>
      </c>
      <c r="I954" s="70" t="n">
        <f aca="false">IF($E954="","",N(INDEX(资金日记账!$N$4:$S$603,23,3)))</f>
        <v>0</v>
      </c>
      <c r="J954" s="67" t="n">
        <f aca="false">IF($E954="","",INDEX(资金日记账!$E$4:$E$603,23))</f>
        <v>0</v>
      </c>
      <c r="K954" s="67" t="str">
        <f aca="false">IF($E954="","",INDEX(资金日记账!$F$4:$F$603,23))</f>
        <v>账户互转</v>
      </c>
      <c r="L954" s="107" t="n">
        <f aca="false">IF($E954="","",INDEX(资金日记账!$X$4:$X$603,23))</f>
        <v>0</v>
      </c>
      <c r="M954" s="107"/>
      <c r="N954" s="67" t="n">
        <f aca="false">IF($E954="","",INDEX(资金日记账!$Y$4:$Y$603,23))</f>
        <v>0</v>
      </c>
      <c r="O954" s="67" t="str">
        <f aca="false">IF($E954="","","自动B")</f>
        <v>自动B</v>
      </c>
      <c r="P954" s="18"/>
    </row>
    <row r="955" customFormat="false" ht="18" hidden="false" customHeight="true" outlineLevel="0" collapsed="false">
      <c r="A955" s="107" t="n">
        <f aca="false">IF($E955="","",ROW()-3)</f>
        <v>952</v>
      </c>
      <c r="B955" s="110" t="n">
        <f aca="false">IF($E955="","",INDEX(资金日记账!$B$4:$B$603,23))</f>
        <v>46269</v>
      </c>
      <c r="C955" s="67" t="str">
        <f aca="false">IF($E955="","",IF(INDEX(资金日记账!$W$4:$W$603,23)="","记-"&amp;TEXT($B955,"YYYYMM")&amp;"-资金",INDEX(资金日记账!$W$4:$W$603,23)))</f>
        <v>记-202609-资金</v>
      </c>
      <c r="D955" s="107" t="str">
        <f aca="false">IF($E955="","",INDEX(资金日记账!$D$4:$D$603,23))</f>
        <v>姜诗林转来</v>
      </c>
      <c r="E955" s="67" t="str">
        <f aca="false">IF(INDEX(资金日记账!$N$4:$S$603,23,4)=0,"",INDEX(资金日记账!$N$4:$S$603,23,4))</f>
        <v>其他货币资金</v>
      </c>
      <c r="F955" s="99" t="str">
        <f aca="false">IF($E955="","",IFERROR(INDEX(科目表!$A$4:$A$81,MATCH($E955,科目表!$B$4:$B$81,0)),""))</f>
        <v>1012</v>
      </c>
      <c r="G955" s="67" t="str">
        <f aca="false">IF($E955="","",IFERROR(INDEX(科目表!$E$4:$E$81,MATCH($E955,科目表!$B$4:$B$81,0)),""))</f>
        <v>货币资金</v>
      </c>
      <c r="H955" s="70" t="n">
        <f aca="false">IF($E955="","",N(INDEX(资金日记账!$N$4:$S$603,23,5)))</f>
        <v>0</v>
      </c>
      <c r="I955" s="70" t="n">
        <f aca="false">IF($E955="","",N(INDEX(资金日记账!$N$4:$S$603,23,6)))</f>
        <v>60000</v>
      </c>
      <c r="J955" s="67" t="n">
        <f aca="false">IF($E955="","",INDEX(资金日记账!$E$4:$E$603,23))</f>
        <v>0</v>
      </c>
      <c r="K955" s="67" t="str">
        <f aca="false">IF($E955="","",INDEX(资金日记账!$F$4:$F$603,23))</f>
        <v>账户互转</v>
      </c>
      <c r="L955" s="107" t="n">
        <f aca="false">IF($E955="","",INDEX(资金日记账!$X$4:$X$603,23))</f>
        <v>0</v>
      </c>
      <c r="M955" s="107"/>
      <c r="N955" s="67" t="n">
        <f aca="false">IF($E955="","",INDEX(资金日记账!$Y$4:$Y$603,23))</f>
        <v>0</v>
      </c>
      <c r="O955" s="67" t="str">
        <f aca="false">IF($E955="","","自动B")</f>
        <v>自动B</v>
      </c>
      <c r="P955" s="18"/>
    </row>
    <row r="956" customFormat="false" ht="18" hidden="false" customHeight="true" outlineLevel="0" collapsed="false">
      <c r="A956" s="107" t="n">
        <f aca="false">IF($E956="","",ROW()-3)</f>
        <v>953</v>
      </c>
      <c r="B956" s="110" t="n">
        <f aca="false">IF($E956="","",INDEX(资金日记账!$B$4:$B$603,24))</f>
        <v>46269</v>
      </c>
      <c r="C956" s="67" t="str">
        <f aca="false">IF($E956="","",IF(INDEX(资金日记账!$W$4:$W$603,24)="","记-"&amp;TEXT($B956,"YYYYMM")&amp;"-资金",INDEX(资金日记账!$W$4:$W$603,24)))</f>
        <v>记-202609-资金</v>
      </c>
      <c r="D956" s="107" t="str">
        <f aca="false">IF($E956="","",INDEX(资金日记账!$D$4:$D$603,24))</f>
        <v>还款</v>
      </c>
      <c r="E956" s="67" t="str">
        <f aca="false">IF(INDEX(资金日记账!$N$4:$S$603,24,1)=0,"",INDEX(资金日记账!$N$4:$S$603,24,1))</f>
        <v>应付账款</v>
      </c>
      <c r="F956" s="99" t="str">
        <f aca="false">IF($E956="","",IFERROR(INDEX(科目表!$A$4:$A$81,MATCH($E956,科目表!$B$4:$B$81,0)),""))</f>
        <v>2202</v>
      </c>
      <c r="G956" s="67" t="str">
        <f aca="false">IF($E956="","",IFERROR(INDEX(科目表!$E$4:$E$81,MATCH($E956,科目表!$B$4:$B$81,0)),""))</f>
        <v>应付账款</v>
      </c>
      <c r="H956" s="70" t="n">
        <f aca="false">IF($E956="","",N(INDEX(资金日记账!$N$4:$S$603,24,2)))</f>
        <v>100000</v>
      </c>
      <c r="I956" s="70" t="n">
        <f aca="false">IF($E956="","",N(INDEX(资金日记账!$N$4:$S$603,24,3)))</f>
        <v>0</v>
      </c>
      <c r="J956" s="67" t="n">
        <f aca="false">IF($E956="","",INDEX(资金日记账!$E$4:$E$603,24))</f>
        <v>0</v>
      </c>
      <c r="K956" s="67" t="str">
        <f aca="false">IF($E956="","",INDEX(资金日记账!$F$4:$F$603,24))</f>
        <v>国外</v>
      </c>
      <c r="L956" s="107" t="n">
        <f aca="false">IF($E956="","",INDEX(资金日记账!$X$4:$X$603,24))</f>
        <v>0</v>
      </c>
      <c r="M956" s="107"/>
      <c r="N956" s="67" t="n">
        <f aca="false">IF($E956="","",INDEX(资金日记账!$Y$4:$Y$603,24))</f>
        <v>0</v>
      </c>
      <c r="O956" s="67" t="str">
        <f aca="false">IF($E956="","","自动B")</f>
        <v>自动B</v>
      </c>
      <c r="P956" s="18"/>
    </row>
    <row r="957" customFormat="false" ht="18" hidden="false" customHeight="true" outlineLevel="0" collapsed="false">
      <c r="A957" s="107" t="n">
        <f aca="false">IF($E957="","",ROW()-3)</f>
        <v>954</v>
      </c>
      <c r="B957" s="110" t="n">
        <f aca="false">IF($E957="","",INDEX(资金日记账!$B$4:$B$603,24))</f>
        <v>46269</v>
      </c>
      <c r="C957" s="67" t="str">
        <f aca="false">IF($E957="","",IF(INDEX(资金日记账!$W$4:$W$603,24)="","记-"&amp;TEXT($B957,"YYYYMM")&amp;"-资金",INDEX(资金日记账!$W$4:$W$603,24)))</f>
        <v>记-202609-资金</v>
      </c>
      <c r="D957" s="107" t="str">
        <f aca="false">IF($E957="","",INDEX(资金日记账!$D$4:$D$603,24))</f>
        <v>还款</v>
      </c>
      <c r="E957" s="67" t="str">
        <f aca="false">IF(INDEX(资金日记账!$N$4:$S$603,24,4)=0,"",INDEX(资金日记账!$N$4:$S$603,24,4))</f>
        <v>其他货币资金</v>
      </c>
      <c r="F957" s="99" t="str">
        <f aca="false">IF($E957="","",IFERROR(INDEX(科目表!$A$4:$A$81,MATCH($E957,科目表!$B$4:$B$81,0)),""))</f>
        <v>1012</v>
      </c>
      <c r="G957" s="67" t="str">
        <f aca="false">IF($E957="","",IFERROR(INDEX(科目表!$E$4:$E$81,MATCH($E957,科目表!$B$4:$B$81,0)),""))</f>
        <v>货币资金</v>
      </c>
      <c r="H957" s="70" t="n">
        <f aca="false">IF($E957="","",N(INDEX(资金日记账!$N$4:$S$603,24,5)))</f>
        <v>0</v>
      </c>
      <c r="I957" s="70" t="n">
        <f aca="false">IF($E957="","",N(INDEX(资金日记账!$N$4:$S$603,24,6)))</f>
        <v>100000</v>
      </c>
      <c r="J957" s="67" t="n">
        <f aca="false">IF($E957="","",INDEX(资金日记账!$E$4:$E$603,24))</f>
        <v>0</v>
      </c>
      <c r="K957" s="67" t="str">
        <f aca="false">IF($E957="","",INDEX(资金日记账!$F$4:$F$603,24))</f>
        <v>国外</v>
      </c>
      <c r="L957" s="107" t="n">
        <f aca="false">IF($E957="","",INDEX(资金日记账!$X$4:$X$603,24))</f>
        <v>0</v>
      </c>
      <c r="M957" s="107"/>
      <c r="N957" s="67" t="n">
        <f aca="false">IF($E957="","",INDEX(资金日记账!$Y$4:$Y$603,24))</f>
        <v>0</v>
      </c>
      <c r="O957" s="67" t="str">
        <f aca="false">IF($E957="","","自动B")</f>
        <v>自动B</v>
      </c>
      <c r="P957" s="18"/>
    </row>
    <row r="958" customFormat="false" ht="18" hidden="false" customHeight="true" outlineLevel="0" collapsed="false">
      <c r="A958" s="107" t="n">
        <f aca="false">IF($E958="","",ROW()-3)</f>
        <v>955</v>
      </c>
      <c r="B958" s="110" t="n">
        <f aca="false">IF($E958="","",INDEX(资金日记账!$B$4:$B$603,25))</f>
        <v>46269</v>
      </c>
      <c r="C958" s="67" t="str">
        <f aca="false">IF($E958="","",IF(INDEX(资金日记账!$W$4:$W$603,25)="","记-"&amp;TEXT($B958,"YYYYMM")&amp;"-资金",INDEX(资金日记账!$W$4:$W$603,25)))</f>
        <v>记-202609-资金</v>
      </c>
      <c r="D958" s="107" t="n">
        <f aca="false">IF($E958="","",INDEX(资金日记账!$D$4:$D$603,25))</f>
        <v>0</v>
      </c>
      <c r="E958" s="67" t="str">
        <f aca="false">IF(INDEX(资金日记账!$N$4:$S$603,25,1)=0,"",INDEX(资金日记账!$N$4:$S$603,25,1))</f>
        <v>其他应收款</v>
      </c>
      <c r="F958" s="99" t="str">
        <f aca="false">IF($E958="","",IFERROR(INDEX(科目表!$A$4:$A$81,MATCH($E958,科目表!$B$4:$B$81,0)),""))</f>
        <v>1221</v>
      </c>
      <c r="G958" s="67" t="str">
        <f aca="false">IF($E958="","",IFERROR(INDEX(科目表!$E$4:$E$81,MATCH($E958,科目表!$B$4:$B$81,0)),""))</f>
        <v>其他应收款</v>
      </c>
      <c r="H958" s="70" t="n">
        <f aca="false">IF($E958="","",N(INDEX(资金日记账!$N$4:$S$603,25,2)))</f>
        <v>600</v>
      </c>
      <c r="I958" s="70" t="n">
        <f aca="false">IF($E958="","",N(INDEX(资金日记账!$N$4:$S$603,25,3)))</f>
        <v>0</v>
      </c>
      <c r="J958" s="67" t="n">
        <f aca="false">IF($E958="","",INDEX(资金日记账!$E$4:$E$603,25))</f>
        <v>0</v>
      </c>
      <c r="K958" s="67" t="str">
        <f aca="false">IF($E958="","",INDEX(资金日记账!$F$4:$F$603,25))</f>
        <v>家用</v>
      </c>
      <c r="L958" s="107" t="n">
        <f aca="false">IF($E958="","",INDEX(资金日记账!$X$4:$X$603,25))</f>
        <v>0</v>
      </c>
      <c r="M958" s="107"/>
      <c r="N958" s="67" t="n">
        <f aca="false">IF($E958="","",INDEX(资金日记账!$Y$4:$Y$603,25))</f>
        <v>0</v>
      </c>
      <c r="O958" s="67" t="str">
        <f aca="false">IF($E958="","","自动B")</f>
        <v>自动B</v>
      </c>
      <c r="P958" s="18"/>
    </row>
    <row r="959" customFormat="false" ht="18" hidden="false" customHeight="true" outlineLevel="0" collapsed="false">
      <c r="A959" s="107" t="n">
        <f aca="false">IF($E959="","",ROW()-3)</f>
        <v>956</v>
      </c>
      <c r="B959" s="110" t="n">
        <f aca="false">IF($E959="","",INDEX(资金日记账!$B$4:$B$603,25))</f>
        <v>46269</v>
      </c>
      <c r="C959" s="67" t="str">
        <f aca="false">IF($E959="","",IF(INDEX(资金日记账!$W$4:$W$603,25)="","记-"&amp;TEXT($B959,"YYYYMM")&amp;"-资金",INDEX(资金日记账!$W$4:$W$603,25)))</f>
        <v>记-202609-资金</v>
      </c>
      <c r="D959" s="107" t="n">
        <f aca="false">IF($E959="","",INDEX(资金日记账!$D$4:$D$603,25))</f>
        <v>0</v>
      </c>
      <c r="E959" s="67" t="str">
        <f aca="false">IF(INDEX(资金日记账!$N$4:$S$603,25,4)=0,"",INDEX(资金日记账!$N$4:$S$603,25,4))</f>
        <v>其他货币资金</v>
      </c>
      <c r="F959" s="99" t="str">
        <f aca="false">IF($E959="","",IFERROR(INDEX(科目表!$A$4:$A$81,MATCH($E959,科目表!$B$4:$B$81,0)),""))</f>
        <v>1012</v>
      </c>
      <c r="G959" s="67" t="str">
        <f aca="false">IF($E959="","",IFERROR(INDEX(科目表!$E$4:$E$81,MATCH($E959,科目表!$B$4:$B$81,0)),""))</f>
        <v>货币资金</v>
      </c>
      <c r="H959" s="70" t="n">
        <f aca="false">IF($E959="","",N(INDEX(资金日记账!$N$4:$S$603,25,5)))</f>
        <v>0</v>
      </c>
      <c r="I959" s="70" t="n">
        <f aca="false">IF($E959="","",N(INDEX(资金日记账!$N$4:$S$603,25,6)))</f>
        <v>600</v>
      </c>
      <c r="J959" s="67" t="n">
        <f aca="false">IF($E959="","",INDEX(资金日记账!$E$4:$E$603,25))</f>
        <v>0</v>
      </c>
      <c r="K959" s="67" t="str">
        <f aca="false">IF($E959="","",INDEX(资金日记账!$F$4:$F$603,25))</f>
        <v>家用</v>
      </c>
      <c r="L959" s="107" t="n">
        <f aca="false">IF($E959="","",INDEX(资金日记账!$X$4:$X$603,25))</f>
        <v>0</v>
      </c>
      <c r="M959" s="107"/>
      <c r="N959" s="67" t="n">
        <f aca="false">IF($E959="","",INDEX(资金日记账!$Y$4:$Y$603,25))</f>
        <v>0</v>
      </c>
      <c r="O959" s="67" t="str">
        <f aca="false">IF($E959="","","自动B")</f>
        <v>自动B</v>
      </c>
      <c r="P959" s="18"/>
    </row>
    <row r="960" customFormat="false" ht="18" hidden="false" customHeight="true" outlineLevel="0" collapsed="false">
      <c r="A960" s="107" t="n">
        <f aca="false">IF($E960="","",ROW()-3)</f>
        <v>957</v>
      </c>
      <c r="B960" s="110" t="n">
        <f aca="false">IF($E960="","",INDEX(资金日记账!$B$4:$B$603,26))</f>
        <v>46269</v>
      </c>
      <c r="C960" s="67" t="str">
        <f aca="false">IF($E960="","",IF(INDEX(资金日记账!$W$4:$W$603,26)="","记-"&amp;TEXT($B960,"YYYYMM")&amp;"-资金",INDEX(资金日记账!$W$4:$W$603,26)))</f>
        <v>记-202609-资金</v>
      </c>
      <c r="D960" s="107" t="str">
        <f aca="false">IF($E960="","",INDEX(资金日记账!$D$4:$D$603,26))</f>
        <v>还信用卡</v>
      </c>
      <c r="E960" s="67" t="str">
        <f aca="false">IF(INDEX(资金日记账!$N$4:$S$603,26,1)=0,"",INDEX(资金日记账!$N$4:$S$603,26,1))</f>
        <v>其他应付款</v>
      </c>
      <c r="F960" s="99" t="str">
        <f aca="false">IF($E960="","",IFERROR(INDEX(科目表!$A$4:$A$81,MATCH($E960,科目表!$B$4:$B$81,0)),""))</f>
        <v>2241</v>
      </c>
      <c r="G960" s="67" t="str">
        <f aca="false">IF($E960="","",IFERROR(INDEX(科目表!$E$4:$E$81,MATCH($E960,科目表!$B$4:$B$81,0)),""))</f>
        <v>其他应付款</v>
      </c>
      <c r="H960" s="70" t="n">
        <f aca="false">IF($E960="","",N(INDEX(资金日记账!$N$4:$S$603,26,2)))</f>
        <v>800</v>
      </c>
      <c r="I960" s="70" t="n">
        <f aca="false">IF($E960="","",N(INDEX(资金日记账!$N$4:$S$603,26,3)))</f>
        <v>0</v>
      </c>
      <c r="J960" s="67" t="n">
        <f aca="false">IF($E960="","",INDEX(资金日记账!$E$4:$E$603,26))</f>
        <v>0</v>
      </c>
      <c r="K960" s="67" t="str">
        <f aca="false">IF($E960="","",INDEX(资金日记账!$F$4:$F$603,26))</f>
        <v>家用</v>
      </c>
      <c r="L960" s="107" t="n">
        <f aca="false">IF($E960="","",INDEX(资金日记账!$X$4:$X$603,26))</f>
        <v>0</v>
      </c>
      <c r="M960" s="107"/>
      <c r="N960" s="67" t="n">
        <f aca="false">IF($E960="","",INDEX(资金日记账!$Y$4:$Y$603,26))</f>
        <v>0</v>
      </c>
      <c r="O960" s="67" t="str">
        <f aca="false">IF($E960="","","自动B")</f>
        <v>自动B</v>
      </c>
      <c r="P960" s="18"/>
    </row>
    <row r="961" customFormat="false" ht="18" hidden="false" customHeight="true" outlineLevel="0" collapsed="false">
      <c r="A961" s="107" t="n">
        <f aca="false">IF($E961="","",ROW()-3)</f>
        <v>958</v>
      </c>
      <c r="B961" s="110" t="n">
        <f aca="false">IF($E961="","",INDEX(资金日记账!$B$4:$B$603,26))</f>
        <v>46269</v>
      </c>
      <c r="C961" s="67" t="str">
        <f aca="false">IF($E961="","",IF(INDEX(资金日记账!$W$4:$W$603,26)="","记-"&amp;TEXT($B961,"YYYYMM")&amp;"-资金",INDEX(资金日记账!$W$4:$W$603,26)))</f>
        <v>记-202609-资金</v>
      </c>
      <c r="D961" s="107" t="str">
        <f aca="false">IF($E961="","",INDEX(资金日记账!$D$4:$D$603,26))</f>
        <v>还信用卡</v>
      </c>
      <c r="E961" s="67" t="str">
        <f aca="false">IF(INDEX(资金日记账!$N$4:$S$603,26,4)=0,"",INDEX(资金日记账!$N$4:$S$603,26,4))</f>
        <v>其他货币资金</v>
      </c>
      <c r="F961" s="99" t="str">
        <f aca="false">IF($E961="","",IFERROR(INDEX(科目表!$A$4:$A$81,MATCH($E961,科目表!$B$4:$B$81,0)),""))</f>
        <v>1012</v>
      </c>
      <c r="G961" s="67" t="str">
        <f aca="false">IF($E961="","",IFERROR(INDEX(科目表!$E$4:$E$81,MATCH($E961,科目表!$B$4:$B$81,0)),""))</f>
        <v>货币资金</v>
      </c>
      <c r="H961" s="70" t="n">
        <f aca="false">IF($E961="","",N(INDEX(资金日记账!$N$4:$S$603,26,5)))</f>
        <v>0</v>
      </c>
      <c r="I961" s="70" t="n">
        <f aca="false">IF($E961="","",N(INDEX(资金日记账!$N$4:$S$603,26,6)))</f>
        <v>800</v>
      </c>
      <c r="J961" s="67" t="n">
        <f aca="false">IF($E961="","",INDEX(资金日记账!$E$4:$E$603,26))</f>
        <v>0</v>
      </c>
      <c r="K961" s="67" t="str">
        <f aca="false">IF($E961="","",INDEX(资金日记账!$F$4:$F$603,26))</f>
        <v>家用</v>
      </c>
      <c r="L961" s="107" t="n">
        <f aca="false">IF($E961="","",INDEX(资金日记账!$X$4:$X$603,26))</f>
        <v>0</v>
      </c>
      <c r="M961" s="107"/>
      <c r="N961" s="67" t="n">
        <f aca="false">IF($E961="","",INDEX(资金日记账!$Y$4:$Y$603,26))</f>
        <v>0</v>
      </c>
      <c r="O961" s="67" t="str">
        <f aca="false">IF($E961="","","自动B")</f>
        <v>自动B</v>
      </c>
      <c r="P961" s="18"/>
    </row>
    <row r="962" customFormat="false" ht="18" hidden="false" customHeight="true" outlineLevel="0" collapsed="false">
      <c r="A962" s="107" t="n">
        <f aca="false">IF($E962="","",ROW()-3)</f>
        <v>959</v>
      </c>
      <c r="B962" s="110" t="n">
        <f aca="false">IF($E962="","",INDEX(资金日记账!$B$4:$B$603,27))</f>
        <v>46270</v>
      </c>
      <c r="C962" s="67" t="str">
        <f aca="false">IF($E962="","",IF(INDEX(资金日记账!$W$4:$W$603,27)="","记-"&amp;TEXT($B962,"YYYYMM")&amp;"-资金",INDEX(资金日记账!$W$4:$W$603,27)))</f>
        <v>记-202609-资金</v>
      </c>
      <c r="D962" s="107" t="str">
        <f aca="false">IF($E962="","",INDEX(资金日记账!$D$4:$D$603,27))</f>
        <v>打车</v>
      </c>
      <c r="E962" s="67" t="str">
        <f aca="false">IF(INDEX(资金日记账!$N$4:$S$603,27,1)=0,"",INDEX(资金日记账!$N$4:$S$603,27,1))</f>
        <v>管理费用</v>
      </c>
      <c r="F962" s="99" t="str">
        <f aca="false">IF($E962="","",IFERROR(INDEX(科目表!$A$4:$A$81,MATCH($E962,科目表!$B$4:$B$81,0)),""))</f>
        <v>5602</v>
      </c>
      <c r="G962" s="67" t="str">
        <f aca="false">IF($E962="","",IFERROR(INDEX(科目表!$E$4:$E$81,MATCH($E962,科目表!$B$4:$B$81,0)),""))</f>
        <v>管理费用</v>
      </c>
      <c r="H962" s="70" t="n">
        <f aca="false">IF($E962="","",N(INDEX(资金日记账!$N$4:$S$603,27,2)))</f>
        <v>21</v>
      </c>
      <c r="I962" s="70" t="n">
        <f aca="false">IF($E962="","",N(INDEX(资金日记账!$N$4:$S$603,27,3)))</f>
        <v>0</v>
      </c>
      <c r="J962" s="67" t="n">
        <f aca="false">IF($E962="","",INDEX(资金日记账!$E$4:$E$603,27))</f>
        <v>0</v>
      </c>
      <c r="K962" s="67" t="str">
        <f aca="false">IF($E962="","",INDEX(资金日记账!$F$4:$F$603,27))</f>
        <v>家用</v>
      </c>
      <c r="L962" s="107" t="n">
        <f aca="false">IF($E962="","",INDEX(资金日记账!$X$4:$X$603,27))</f>
        <v>0</v>
      </c>
      <c r="M962" s="107"/>
      <c r="N962" s="67" t="n">
        <f aca="false">IF($E962="","",INDEX(资金日记账!$Y$4:$Y$603,27))</f>
        <v>0</v>
      </c>
      <c r="O962" s="67" t="str">
        <f aca="false">IF($E962="","","自动B")</f>
        <v>自动B</v>
      </c>
      <c r="P962" s="18"/>
    </row>
    <row r="963" customFormat="false" ht="18" hidden="false" customHeight="true" outlineLevel="0" collapsed="false">
      <c r="A963" s="107" t="n">
        <f aca="false">IF($E963="","",ROW()-3)</f>
        <v>960</v>
      </c>
      <c r="B963" s="110" t="n">
        <f aca="false">IF($E963="","",INDEX(资金日记账!$B$4:$B$603,27))</f>
        <v>46270</v>
      </c>
      <c r="C963" s="67" t="str">
        <f aca="false">IF($E963="","",IF(INDEX(资金日记账!$W$4:$W$603,27)="","记-"&amp;TEXT($B963,"YYYYMM")&amp;"-资金",INDEX(资金日记账!$W$4:$W$603,27)))</f>
        <v>记-202609-资金</v>
      </c>
      <c r="D963" s="107" t="str">
        <f aca="false">IF($E963="","",INDEX(资金日记账!$D$4:$D$603,27))</f>
        <v>打车</v>
      </c>
      <c r="E963" s="67" t="str">
        <f aca="false">IF(INDEX(资金日记账!$N$4:$S$603,27,4)=0,"",INDEX(资金日记账!$N$4:$S$603,27,4))</f>
        <v>其他货币资金</v>
      </c>
      <c r="F963" s="99" t="str">
        <f aca="false">IF($E963="","",IFERROR(INDEX(科目表!$A$4:$A$81,MATCH($E963,科目表!$B$4:$B$81,0)),""))</f>
        <v>1012</v>
      </c>
      <c r="G963" s="67" t="str">
        <f aca="false">IF($E963="","",IFERROR(INDEX(科目表!$E$4:$E$81,MATCH($E963,科目表!$B$4:$B$81,0)),""))</f>
        <v>货币资金</v>
      </c>
      <c r="H963" s="70" t="n">
        <f aca="false">IF($E963="","",N(INDEX(资金日记账!$N$4:$S$603,27,5)))</f>
        <v>0</v>
      </c>
      <c r="I963" s="70" t="n">
        <f aca="false">IF($E963="","",N(INDEX(资金日记账!$N$4:$S$603,27,6)))</f>
        <v>21</v>
      </c>
      <c r="J963" s="67" t="n">
        <f aca="false">IF($E963="","",INDEX(资金日记账!$E$4:$E$603,27))</f>
        <v>0</v>
      </c>
      <c r="K963" s="67" t="str">
        <f aca="false">IF($E963="","",INDEX(资金日记账!$F$4:$F$603,27))</f>
        <v>家用</v>
      </c>
      <c r="L963" s="107" t="n">
        <f aca="false">IF($E963="","",INDEX(资金日记账!$X$4:$X$603,27))</f>
        <v>0</v>
      </c>
      <c r="M963" s="107"/>
      <c r="N963" s="67" t="n">
        <f aca="false">IF($E963="","",INDEX(资金日记账!$Y$4:$Y$603,27))</f>
        <v>0</v>
      </c>
      <c r="O963" s="67" t="str">
        <f aca="false">IF($E963="","","自动B")</f>
        <v>自动B</v>
      </c>
      <c r="P963" s="18"/>
    </row>
    <row r="964" customFormat="false" ht="18" hidden="false" customHeight="true" outlineLevel="0" collapsed="false">
      <c r="A964" s="107" t="n">
        <f aca="false">IF($E964="","",ROW()-3)</f>
        <v>961</v>
      </c>
      <c r="B964" s="110" t="n">
        <f aca="false">IF($E964="","",INDEX(资金日记账!$B$4:$B$603,28))</f>
        <v>46270</v>
      </c>
      <c r="C964" s="67" t="str">
        <f aca="false">IF($E964="","",IF(INDEX(资金日记账!$W$4:$W$603,28)="","记-"&amp;TEXT($B964,"YYYYMM")&amp;"-资金",INDEX(资金日记账!$W$4:$W$603,28)))</f>
        <v>记-202609-资金</v>
      </c>
      <c r="D964" s="107" t="str">
        <f aca="false">IF($E964="","",INDEX(资金日记账!$D$4:$D$603,28))</f>
        <v>打车</v>
      </c>
      <c r="E964" s="67" t="str">
        <f aca="false">IF(INDEX(资金日记账!$N$4:$S$603,28,1)=0,"",INDEX(资金日记账!$N$4:$S$603,28,1))</f>
        <v>管理费用</v>
      </c>
      <c r="F964" s="99" t="str">
        <f aca="false">IF($E964="","",IFERROR(INDEX(科目表!$A$4:$A$81,MATCH($E964,科目表!$B$4:$B$81,0)),""))</f>
        <v>5602</v>
      </c>
      <c r="G964" s="67" t="str">
        <f aca="false">IF($E964="","",IFERROR(INDEX(科目表!$E$4:$E$81,MATCH($E964,科目表!$B$4:$B$81,0)),""))</f>
        <v>管理费用</v>
      </c>
      <c r="H964" s="70" t="n">
        <f aca="false">IF($E964="","",N(INDEX(资金日记账!$N$4:$S$603,28,2)))</f>
        <v>7.44</v>
      </c>
      <c r="I964" s="70" t="n">
        <f aca="false">IF($E964="","",N(INDEX(资金日记账!$N$4:$S$603,28,3)))</f>
        <v>0</v>
      </c>
      <c r="J964" s="67" t="n">
        <f aca="false">IF($E964="","",INDEX(资金日记账!$E$4:$E$603,28))</f>
        <v>0</v>
      </c>
      <c r="K964" s="67" t="str">
        <f aca="false">IF($E964="","",INDEX(资金日记账!$F$4:$F$603,28))</f>
        <v>家用</v>
      </c>
      <c r="L964" s="107" t="n">
        <f aca="false">IF($E964="","",INDEX(资金日记账!$X$4:$X$603,28))</f>
        <v>0</v>
      </c>
      <c r="M964" s="107"/>
      <c r="N964" s="67" t="n">
        <f aca="false">IF($E964="","",INDEX(资金日记账!$Y$4:$Y$603,28))</f>
        <v>0</v>
      </c>
      <c r="O964" s="67" t="str">
        <f aca="false">IF($E964="","","自动B")</f>
        <v>自动B</v>
      </c>
      <c r="P964" s="18"/>
    </row>
    <row r="965" customFormat="false" ht="18" hidden="false" customHeight="true" outlineLevel="0" collapsed="false">
      <c r="A965" s="107" t="n">
        <f aca="false">IF($E965="","",ROW()-3)</f>
        <v>962</v>
      </c>
      <c r="B965" s="110" t="n">
        <f aca="false">IF($E965="","",INDEX(资金日记账!$B$4:$B$603,28))</f>
        <v>46270</v>
      </c>
      <c r="C965" s="67" t="str">
        <f aca="false">IF($E965="","",IF(INDEX(资金日记账!$W$4:$W$603,28)="","记-"&amp;TEXT($B965,"YYYYMM")&amp;"-资金",INDEX(资金日记账!$W$4:$W$603,28)))</f>
        <v>记-202609-资金</v>
      </c>
      <c r="D965" s="107" t="str">
        <f aca="false">IF($E965="","",INDEX(资金日记账!$D$4:$D$603,28))</f>
        <v>打车</v>
      </c>
      <c r="E965" s="67" t="str">
        <f aca="false">IF(INDEX(资金日记账!$N$4:$S$603,28,4)=0,"",INDEX(资金日记账!$N$4:$S$603,28,4))</f>
        <v>其他货币资金</v>
      </c>
      <c r="F965" s="99" t="str">
        <f aca="false">IF($E965="","",IFERROR(INDEX(科目表!$A$4:$A$81,MATCH($E965,科目表!$B$4:$B$81,0)),""))</f>
        <v>1012</v>
      </c>
      <c r="G965" s="67" t="str">
        <f aca="false">IF($E965="","",IFERROR(INDEX(科目表!$E$4:$E$81,MATCH($E965,科目表!$B$4:$B$81,0)),""))</f>
        <v>货币资金</v>
      </c>
      <c r="H965" s="70" t="n">
        <f aca="false">IF($E965="","",N(INDEX(资金日记账!$N$4:$S$603,28,5)))</f>
        <v>0</v>
      </c>
      <c r="I965" s="70" t="n">
        <f aca="false">IF($E965="","",N(INDEX(资金日记账!$N$4:$S$603,28,6)))</f>
        <v>7.44</v>
      </c>
      <c r="J965" s="67" t="n">
        <f aca="false">IF($E965="","",INDEX(资金日记账!$E$4:$E$603,28))</f>
        <v>0</v>
      </c>
      <c r="K965" s="67" t="str">
        <f aca="false">IF($E965="","",INDEX(资金日记账!$F$4:$F$603,28))</f>
        <v>家用</v>
      </c>
      <c r="L965" s="107" t="n">
        <f aca="false">IF($E965="","",INDEX(资金日记账!$X$4:$X$603,28))</f>
        <v>0</v>
      </c>
      <c r="M965" s="107"/>
      <c r="N965" s="67" t="n">
        <f aca="false">IF($E965="","",INDEX(资金日记账!$Y$4:$Y$603,28))</f>
        <v>0</v>
      </c>
      <c r="O965" s="67" t="str">
        <f aca="false">IF($E965="","","自动B")</f>
        <v>自动B</v>
      </c>
      <c r="P965" s="18"/>
    </row>
    <row r="966" customFormat="false" ht="18" hidden="false" customHeight="true" outlineLevel="0" collapsed="false">
      <c r="A966" s="107" t="n">
        <f aca="false">IF($E966="","",ROW()-3)</f>
        <v>963</v>
      </c>
      <c r="B966" s="110" t="n">
        <f aca="false">IF($E966="","",INDEX(资金日记账!$B$4:$B$603,29))</f>
        <v>46270</v>
      </c>
      <c r="C966" s="67" t="str">
        <f aca="false">IF($E966="","",IF(INDEX(资金日记账!$W$4:$W$603,29)="","记-"&amp;TEXT($B966,"YYYYMM")&amp;"-资金",INDEX(资金日记账!$W$4:$W$603,29)))</f>
        <v>记-202609-资金</v>
      </c>
      <c r="D966" s="107" t="str">
        <f aca="false">IF($E966="","",INDEX(资金日记账!$D$4:$D$603,29))</f>
        <v>打车</v>
      </c>
      <c r="E966" s="67" t="str">
        <f aca="false">IF(INDEX(资金日记账!$N$4:$S$603,29,1)=0,"",INDEX(资金日记账!$N$4:$S$603,29,1))</f>
        <v>管理费用</v>
      </c>
      <c r="F966" s="99" t="str">
        <f aca="false">IF($E966="","",IFERROR(INDEX(科目表!$A$4:$A$81,MATCH($E966,科目表!$B$4:$B$81,0)),""))</f>
        <v>5602</v>
      </c>
      <c r="G966" s="67" t="str">
        <f aca="false">IF($E966="","",IFERROR(INDEX(科目表!$E$4:$E$81,MATCH($E966,科目表!$B$4:$B$81,0)),""))</f>
        <v>管理费用</v>
      </c>
      <c r="H966" s="70" t="n">
        <f aca="false">IF($E966="","",N(INDEX(资金日记账!$N$4:$S$603,29,2)))</f>
        <v>8.3</v>
      </c>
      <c r="I966" s="70" t="n">
        <f aca="false">IF($E966="","",N(INDEX(资金日记账!$N$4:$S$603,29,3)))</f>
        <v>0</v>
      </c>
      <c r="J966" s="67" t="n">
        <f aca="false">IF($E966="","",INDEX(资金日记账!$E$4:$E$603,29))</f>
        <v>0</v>
      </c>
      <c r="K966" s="67" t="str">
        <f aca="false">IF($E966="","",INDEX(资金日记账!$F$4:$F$603,29))</f>
        <v>家用</v>
      </c>
      <c r="L966" s="107" t="n">
        <f aca="false">IF($E966="","",INDEX(资金日记账!$X$4:$X$603,29))</f>
        <v>0</v>
      </c>
      <c r="M966" s="107"/>
      <c r="N966" s="67" t="n">
        <f aca="false">IF($E966="","",INDEX(资金日记账!$Y$4:$Y$603,29))</f>
        <v>0</v>
      </c>
      <c r="O966" s="67" t="str">
        <f aca="false">IF($E966="","","自动B")</f>
        <v>自动B</v>
      </c>
      <c r="P966" s="18"/>
    </row>
    <row r="967" customFormat="false" ht="18" hidden="false" customHeight="true" outlineLevel="0" collapsed="false">
      <c r="A967" s="107" t="n">
        <f aca="false">IF($E967="","",ROW()-3)</f>
        <v>964</v>
      </c>
      <c r="B967" s="110" t="n">
        <f aca="false">IF($E967="","",INDEX(资金日记账!$B$4:$B$603,29))</f>
        <v>46270</v>
      </c>
      <c r="C967" s="67" t="str">
        <f aca="false">IF($E967="","",IF(INDEX(资金日记账!$W$4:$W$603,29)="","记-"&amp;TEXT($B967,"YYYYMM")&amp;"-资金",INDEX(资金日记账!$W$4:$W$603,29)))</f>
        <v>记-202609-资金</v>
      </c>
      <c r="D967" s="107" t="str">
        <f aca="false">IF($E967="","",INDEX(资金日记账!$D$4:$D$603,29))</f>
        <v>打车</v>
      </c>
      <c r="E967" s="67" t="str">
        <f aca="false">IF(INDEX(资金日记账!$N$4:$S$603,29,4)=0,"",INDEX(资金日记账!$N$4:$S$603,29,4))</f>
        <v>其他货币资金</v>
      </c>
      <c r="F967" s="99" t="str">
        <f aca="false">IF($E967="","",IFERROR(INDEX(科目表!$A$4:$A$81,MATCH($E967,科目表!$B$4:$B$81,0)),""))</f>
        <v>1012</v>
      </c>
      <c r="G967" s="67" t="str">
        <f aca="false">IF($E967="","",IFERROR(INDEX(科目表!$E$4:$E$81,MATCH($E967,科目表!$B$4:$B$81,0)),""))</f>
        <v>货币资金</v>
      </c>
      <c r="H967" s="70" t="n">
        <f aca="false">IF($E967="","",N(INDEX(资金日记账!$N$4:$S$603,29,5)))</f>
        <v>0</v>
      </c>
      <c r="I967" s="70" t="n">
        <f aca="false">IF($E967="","",N(INDEX(资金日记账!$N$4:$S$603,29,6)))</f>
        <v>8.3</v>
      </c>
      <c r="J967" s="67" t="n">
        <f aca="false">IF($E967="","",INDEX(资金日记账!$E$4:$E$603,29))</f>
        <v>0</v>
      </c>
      <c r="K967" s="67" t="str">
        <f aca="false">IF($E967="","",INDEX(资金日记账!$F$4:$F$603,29))</f>
        <v>家用</v>
      </c>
      <c r="L967" s="107" t="n">
        <f aca="false">IF($E967="","",INDEX(资金日记账!$X$4:$X$603,29))</f>
        <v>0</v>
      </c>
      <c r="M967" s="107"/>
      <c r="N967" s="67" t="n">
        <f aca="false">IF($E967="","",INDEX(资金日记账!$Y$4:$Y$603,29))</f>
        <v>0</v>
      </c>
      <c r="O967" s="67" t="str">
        <f aca="false">IF($E967="","","自动B")</f>
        <v>自动B</v>
      </c>
      <c r="P967" s="18"/>
    </row>
    <row r="968" customFormat="false" ht="18" hidden="false" customHeight="true" outlineLevel="0" collapsed="false">
      <c r="A968" s="107" t="n">
        <f aca="false">IF($E968="","",ROW()-3)</f>
        <v>965</v>
      </c>
      <c r="B968" s="110" t="n">
        <f aca="false">IF($E968="","",INDEX(资金日记账!$B$4:$B$603,30))</f>
        <v>46270</v>
      </c>
      <c r="C968" s="67" t="str">
        <f aca="false">IF($E968="","",IF(INDEX(资金日记账!$W$4:$W$603,30)="","记-"&amp;TEXT($B968,"YYYYMM")&amp;"-资金",INDEX(资金日记账!$W$4:$W$603,30)))</f>
        <v>记-202609-资金</v>
      </c>
      <c r="D968" s="107" t="str">
        <f aca="false">IF($E968="","",INDEX(资金日记账!$D$4:$D$603,30))</f>
        <v>麻辣烫</v>
      </c>
      <c r="E968" s="67" t="str">
        <f aca="false">IF(INDEX(资金日记账!$N$4:$S$603,30,1)=0,"",INDEX(资金日记账!$N$4:$S$603,30,1))</f>
        <v>管理费用</v>
      </c>
      <c r="F968" s="99" t="str">
        <f aca="false">IF($E968="","",IFERROR(INDEX(科目表!$A$4:$A$81,MATCH($E968,科目表!$B$4:$B$81,0)),""))</f>
        <v>5602</v>
      </c>
      <c r="G968" s="67" t="str">
        <f aca="false">IF($E968="","",IFERROR(INDEX(科目表!$E$4:$E$81,MATCH($E968,科目表!$B$4:$B$81,0)),""))</f>
        <v>管理费用</v>
      </c>
      <c r="H968" s="70" t="n">
        <f aca="false">IF($E968="","",N(INDEX(资金日记账!$N$4:$S$603,30,2)))</f>
        <v>20</v>
      </c>
      <c r="I968" s="70" t="n">
        <f aca="false">IF($E968="","",N(INDEX(资金日记账!$N$4:$S$603,30,3)))</f>
        <v>0</v>
      </c>
      <c r="J968" s="67" t="n">
        <f aca="false">IF($E968="","",INDEX(资金日记账!$E$4:$E$603,30))</f>
        <v>0</v>
      </c>
      <c r="K968" s="67" t="n">
        <f aca="false">IF($E968="","",INDEX(资金日记账!$F$4:$F$603,30))</f>
        <v>0</v>
      </c>
      <c r="L968" s="107" t="n">
        <f aca="false">IF($E968="","",INDEX(资金日记账!$X$4:$X$603,30))</f>
        <v>0</v>
      </c>
      <c r="M968" s="107"/>
      <c r="N968" s="67" t="n">
        <f aca="false">IF($E968="","",INDEX(资金日记账!$Y$4:$Y$603,30))</f>
        <v>0</v>
      </c>
      <c r="O968" s="67" t="str">
        <f aca="false">IF($E968="","","自动B")</f>
        <v>自动B</v>
      </c>
      <c r="P968" s="18"/>
    </row>
    <row r="969" customFormat="false" ht="18" hidden="false" customHeight="true" outlineLevel="0" collapsed="false">
      <c r="A969" s="107" t="n">
        <f aca="false">IF($E969="","",ROW()-3)</f>
        <v>966</v>
      </c>
      <c r="B969" s="110" t="n">
        <f aca="false">IF($E969="","",INDEX(资金日记账!$B$4:$B$603,30))</f>
        <v>46270</v>
      </c>
      <c r="C969" s="67" t="str">
        <f aca="false">IF($E969="","",IF(INDEX(资金日记账!$W$4:$W$603,30)="","记-"&amp;TEXT($B969,"YYYYMM")&amp;"-资金",INDEX(资金日记账!$W$4:$W$603,30)))</f>
        <v>记-202609-资金</v>
      </c>
      <c r="D969" s="107" t="str">
        <f aca="false">IF($E969="","",INDEX(资金日记账!$D$4:$D$603,30))</f>
        <v>麻辣烫</v>
      </c>
      <c r="E969" s="67" t="str">
        <f aca="false">IF(INDEX(资金日记账!$N$4:$S$603,30,4)=0,"",INDEX(资金日记账!$N$4:$S$603,30,4))</f>
        <v>其他货币资金</v>
      </c>
      <c r="F969" s="99" t="str">
        <f aca="false">IF($E969="","",IFERROR(INDEX(科目表!$A$4:$A$81,MATCH($E969,科目表!$B$4:$B$81,0)),""))</f>
        <v>1012</v>
      </c>
      <c r="G969" s="67" t="str">
        <f aca="false">IF($E969="","",IFERROR(INDEX(科目表!$E$4:$E$81,MATCH($E969,科目表!$B$4:$B$81,0)),""))</f>
        <v>货币资金</v>
      </c>
      <c r="H969" s="70" t="n">
        <f aca="false">IF($E969="","",N(INDEX(资金日记账!$N$4:$S$603,30,5)))</f>
        <v>0</v>
      </c>
      <c r="I969" s="70" t="n">
        <f aca="false">IF($E969="","",N(INDEX(资金日记账!$N$4:$S$603,30,6)))</f>
        <v>20</v>
      </c>
      <c r="J969" s="67" t="n">
        <f aca="false">IF($E969="","",INDEX(资金日记账!$E$4:$E$603,30))</f>
        <v>0</v>
      </c>
      <c r="K969" s="67" t="n">
        <f aca="false">IF($E969="","",INDEX(资金日记账!$F$4:$F$603,30))</f>
        <v>0</v>
      </c>
      <c r="L969" s="107" t="n">
        <f aca="false">IF($E969="","",INDEX(资金日记账!$X$4:$X$603,30))</f>
        <v>0</v>
      </c>
      <c r="M969" s="107"/>
      <c r="N969" s="67" t="n">
        <f aca="false">IF($E969="","",INDEX(资金日记账!$Y$4:$Y$603,30))</f>
        <v>0</v>
      </c>
      <c r="O969" s="67" t="str">
        <f aca="false">IF($E969="","","自动B")</f>
        <v>自动B</v>
      </c>
      <c r="P969" s="18"/>
    </row>
    <row r="970" customFormat="false" ht="18" hidden="false" customHeight="true" outlineLevel="0" collapsed="false">
      <c r="A970" s="107" t="n">
        <f aca="false">IF($E970="","",ROW()-3)</f>
        <v>967</v>
      </c>
      <c r="B970" s="110" t="n">
        <f aca="false">IF($E970="","",INDEX(资金日记账!$B$4:$B$603,31))</f>
        <v>46270</v>
      </c>
      <c r="C970" s="67" t="str">
        <f aca="false">IF($E970="","",IF(INDEX(资金日记账!$W$4:$W$603,31)="","记-"&amp;TEXT($B970,"YYYYMM")&amp;"-资金",INDEX(资金日记账!$W$4:$W$603,31)))</f>
        <v>记-202609-资金</v>
      </c>
      <c r="D970" s="107" t="str">
        <f aca="false">IF($E970="","",INDEX(资金日记账!$D$4:$D$603,31))</f>
        <v>儿子补习班</v>
      </c>
      <c r="E970" s="67" t="str">
        <f aca="false">IF(INDEX(资金日记账!$N$4:$S$603,31,1)=0,"",INDEX(资金日记账!$N$4:$S$603,31,1))</f>
        <v>其他应收款</v>
      </c>
      <c r="F970" s="99" t="str">
        <f aca="false">IF($E970="","",IFERROR(INDEX(科目表!$A$4:$A$81,MATCH($E970,科目表!$B$4:$B$81,0)),""))</f>
        <v>1221</v>
      </c>
      <c r="G970" s="67" t="str">
        <f aca="false">IF($E970="","",IFERROR(INDEX(科目表!$E$4:$E$81,MATCH($E970,科目表!$B$4:$B$81,0)),""))</f>
        <v>其他应收款</v>
      </c>
      <c r="H970" s="70" t="n">
        <f aca="false">IF($E970="","",N(INDEX(资金日记账!$N$4:$S$603,31,2)))</f>
        <v>9800</v>
      </c>
      <c r="I970" s="70" t="n">
        <f aca="false">IF($E970="","",N(INDEX(资金日记账!$N$4:$S$603,31,3)))</f>
        <v>0</v>
      </c>
      <c r="J970" s="67" t="n">
        <f aca="false">IF($E970="","",INDEX(资金日记账!$E$4:$E$603,31))</f>
        <v>0</v>
      </c>
      <c r="K970" s="67" t="str">
        <f aca="false">IF($E970="","",INDEX(资金日记账!$F$4:$F$603,31))</f>
        <v>家用</v>
      </c>
      <c r="L970" s="107" t="n">
        <f aca="false">IF($E970="","",INDEX(资金日记账!$X$4:$X$603,31))</f>
        <v>0</v>
      </c>
      <c r="M970" s="107"/>
      <c r="N970" s="67" t="n">
        <f aca="false">IF($E970="","",INDEX(资金日记账!$Y$4:$Y$603,31))</f>
        <v>0</v>
      </c>
      <c r="O970" s="67" t="str">
        <f aca="false">IF($E970="","","自动B")</f>
        <v>自动B</v>
      </c>
      <c r="P970" s="18"/>
    </row>
    <row r="971" customFormat="false" ht="18" hidden="false" customHeight="true" outlineLevel="0" collapsed="false">
      <c r="A971" s="107" t="n">
        <f aca="false">IF($E971="","",ROW()-3)</f>
        <v>968</v>
      </c>
      <c r="B971" s="110" t="n">
        <f aca="false">IF($E971="","",INDEX(资金日记账!$B$4:$B$603,31))</f>
        <v>46270</v>
      </c>
      <c r="C971" s="67" t="str">
        <f aca="false">IF($E971="","",IF(INDEX(资金日记账!$W$4:$W$603,31)="","记-"&amp;TEXT($B971,"YYYYMM")&amp;"-资金",INDEX(资金日记账!$W$4:$W$603,31)))</f>
        <v>记-202609-资金</v>
      </c>
      <c r="D971" s="107" t="str">
        <f aca="false">IF($E971="","",INDEX(资金日记账!$D$4:$D$603,31))</f>
        <v>儿子补习班</v>
      </c>
      <c r="E971" s="67" t="str">
        <f aca="false">IF(INDEX(资金日记账!$N$4:$S$603,31,4)=0,"",INDEX(资金日记账!$N$4:$S$603,31,4))</f>
        <v>其他货币资金</v>
      </c>
      <c r="F971" s="99" t="str">
        <f aca="false">IF($E971="","",IFERROR(INDEX(科目表!$A$4:$A$81,MATCH($E971,科目表!$B$4:$B$81,0)),""))</f>
        <v>1012</v>
      </c>
      <c r="G971" s="67" t="str">
        <f aca="false">IF($E971="","",IFERROR(INDEX(科目表!$E$4:$E$81,MATCH($E971,科目表!$B$4:$B$81,0)),""))</f>
        <v>货币资金</v>
      </c>
      <c r="H971" s="70" t="n">
        <f aca="false">IF($E971="","",N(INDEX(资金日记账!$N$4:$S$603,31,5)))</f>
        <v>0</v>
      </c>
      <c r="I971" s="70" t="n">
        <f aca="false">IF($E971="","",N(INDEX(资金日记账!$N$4:$S$603,31,6)))</f>
        <v>9800</v>
      </c>
      <c r="J971" s="67" t="n">
        <f aca="false">IF($E971="","",INDEX(资金日记账!$E$4:$E$603,31))</f>
        <v>0</v>
      </c>
      <c r="K971" s="67" t="str">
        <f aca="false">IF($E971="","",INDEX(资金日记账!$F$4:$F$603,31))</f>
        <v>家用</v>
      </c>
      <c r="L971" s="107" t="n">
        <f aca="false">IF($E971="","",INDEX(资金日记账!$X$4:$X$603,31))</f>
        <v>0</v>
      </c>
      <c r="M971" s="107"/>
      <c r="N971" s="67" t="n">
        <f aca="false">IF($E971="","",INDEX(资金日记账!$Y$4:$Y$603,31))</f>
        <v>0</v>
      </c>
      <c r="O971" s="67" t="str">
        <f aca="false">IF($E971="","","自动B")</f>
        <v>自动B</v>
      </c>
      <c r="P971" s="18"/>
    </row>
    <row r="972" customFormat="false" ht="18" hidden="false" customHeight="true" outlineLevel="0" collapsed="false">
      <c r="A972" s="107" t="n">
        <f aca="false">IF($E972="","",ROW()-3)</f>
        <v>969</v>
      </c>
      <c r="B972" s="110" t="n">
        <f aca="false">IF($E972="","",INDEX(资金日记账!$B$4:$B$603,32))</f>
        <v>46270</v>
      </c>
      <c r="C972" s="67" t="str">
        <f aca="false">IF($E972="","",IF(INDEX(资金日记账!$W$4:$W$603,32)="","记-"&amp;TEXT($B972,"YYYYMM")&amp;"-资金",INDEX(资金日记账!$W$4:$W$603,32)))</f>
        <v>记-202609-资金</v>
      </c>
      <c r="D972" s="107" t="str">
        <f aca="false">IF($E972="","",INDEX(资金日记账!$D$4:$D$603,32))</f>
        <v>儿子补习班</v>
      </c>
      <c r="E972" s="67" t="str">
        <f aca="false">IF(INDEX(资金日记账!$N$4:$S$603,32,1)=0,"",INDEX(资金日记账!$N$4:$S$603,32,1))</f>
        <v>其他应收款</v>
      </c>
      <c r="F972" s="99" t="str">
        <f aca="false">IF($E972="","",IFERROR(INDEX(科目表!$A$4:$A$81,MATCH($E972,科目表!$B$4:$B$81,0)),""))</f>
        <v>1221</v>
      </c>
      <c r="G972" s="67" t="str">
        <f aca="false">IF($E972="","",IFERROR(INDEX(科目表!$E$4:$E$81,MATCH($E972,科目表!$B$4:$B$81,0)),""))</f>
        <v>其他应收款</v>
      </c>
      <c r="H972" s="70" t="n">
        <f aca="false">IF($E972="","",N(INDEX(资金日记账!$N$4:$S$603,32,2)))</f>
        <v>6999</v>
      </c>
      <c r="I972" s="70" t="n">
        <f aca="false">IF($E972="","",N(INDEX(资金日记账!$N$4:$S$603,32,3)))</f>
        <v>0</v>
      </c>
      <c r="J972" s="67" t="n">
        <f aca="false">IF($E972="","",INDEX(资金日记账!$E$4:$E$603,32))</f>
        <v>0</v>
      </c>
      <c r="K972" s="67" t="str">
        <f aca="false">IF($E972="","",INDEX(资金日记账!$F$4:$F$603,32))</f>
        <v>家用</v>
      </c>
      <c r="L972" s="107" t="n">
        <f aca="false">IF($E972="","",INDEX(资金日记账!$X$4:$X$603,32))</f>
        <v>0</v>
      </c>
      <c r="M972" s="107"/>
      <c r="N972" s="67" t="n">
        <f aca="false">IF($E972="","",INDEX(资金日记账!$Y$4:$Y$603,32))</f>
        <v>0</v>
      </c>
      <c r="O972" s="67" t="str">
        <f aca="false">IF($E972="","","自动B")</f>
        <v>自动B</v>
      </c>
      <c r="P972" s="18"/>
    </row>
    <row r="973" customFormat="false" ht="18" hidden="false" customHeight="true" outlineLevel="0" collapsed="false">
      <c r="A973" s="107" t="n">
        <f aca="false">IF($E973="","",ROW()-3)</f>
        <v>970</v>
      </c>
      <c r="B973" s="110" t="n">
        <f aca="false">IF($E973="","",INDEX(资金日记账!$B$4:$B$603,32))</f>
        <v>46270</v>
      </c>
      <c r="C973" s="67" t="str">
        <f aca="false">IF($E973="","",IF(INDEX(资金日记账!$W$4:$W$603,32)="","记-"&amp;TEXT($B973,"YYYYMM")&amp;"-资金",INDEX(资金日记账!$W$4:$W$603,32)))</f>
        <v>记-202609-资金</v>
      </c>
      <c r="D973" s="107" t="str">
        <f aca="false">IF($E973="","",INDEX(资金日记账!$D$4:$D$603,32))</f>
        <v>儿子补习班</v>
      </c>
      <c r="E973" s="67" t="str">
        <f aca="false">IF(INDEX(资金日记账!$N$4:$S$603,32,4)=0,"",INDEX(资金日记账!$N$4:$S$603,32,4))</f>
        <v>其他货币资金</v>
      </c>
      <c r="F973" s="99" t="str">
        <f aca="false">IF($E973="","",IFERROR(INDEX(科目表!$A$4:$A$81,MATCH($E973,科目表!$B$4:$B$81,0)),""))</f>
        <v>1012</v>
      </c>
      <c r="G973" s="67" t="str">
        <f aca="false">IF($E973="","",IFERROR(INDEX(科目表!$E$4:$E$81,MATCH($E973,科目表!$B$4:$B$81,0)),""))</f>
        <v>货币资金</v>
      </c>
      <c r="H973" s="70" t="n">
        <f aca="false">IF($E973="","",N(INDEX(资金日记账!$N$4:$S$603,32,5)))</f>
        <v>0</v>
      </c>
      <c r="I973" s="70" t="n">
        <f aca="false">IF($E973="","",N(INDEX(资金日记账!$N$4:$S$603,32,6)))</f>
        <v>6999</v>
      </c>
      <c r="J973" s="67" t="n">
        <f aca="false">IF($E973="","",INDEX(资金日记账!$E$4:$E$603,32))</f>
        <v>0</v>
      </c>
      <c r="K973" s="67" t="str">
        <f aca="false">IF($E973="","",INDEX(资金日记账!$F$4:$F$603,32))</f>
        <v>家用</v>
      </c>
      <c r="L973" s="107" t="n">
        <f aca="false">IF($E973="","",INDEX(资金日记账!$X$4:$X$603,32))</f>
        <v>0</v>
      </c>
      <c r="M973" s="107"/>
      <c r="N973" s="67" t="n">
        <f aca="false">IF($E973="","",INDEX(资金日记账!$Y$4:$Y$603,32))</f>
        <v>0</v>
      </c>
      <c r="O973" s="67" t="str">
        <f aca="false">IF($E973="","","自动B")</f>
        <v>自动B</v>
      </c>
      <c r="P973" s="18"/>
    </row>
    <row r="974" customFormat="false" ht="18" hidden="false" customHeight="true" outlineLevel="0" collapsed="false">
      <c r="A974" s="107" t="n">
        <f aca="false">IF($E974="","",ROW()-3)</f>
        <v>971</v>
      </c>
      <c r="B974" s="110" t="n">
        <f aca="false">IF($E974="","",INDEX(资金日记账!$B$4:$B$603,33))</f>
        <v>46270</v>
      </c>
      <c r="C974" s="67" t="str">
        <f aca="false">IF($E974="","",IF(INDEX(资金日记账!$W$4:$W$603,33)="","记-"&amp;TEXT($B974,"YYYYMM")&amp;"-资金",INDEX(资金日记账!$W$4:$W$603,33)))</f>
        <v>记-202609-资金</v>
      </c>
      <c r="D974" s="107" t="str">
        <f aca="false">IF($E974="","",INDEX(资金日记账!$D$4:$D$603,33))</f>
        <v>儿子补习班</v>
      </c>
      <c r="E974" s="67" t="str">
        <f aca="false">IF(INDEX(资金日记账!$N$4:$S$603,33,1)=0,"",INDEX(资金日记账!$N$4:$S$603,33,1))</f>
        <v>其他应收款</v>
      </c>
      <c r="F974" s="99" t="str">
        <f aca="false">IF($E974="","",IFERROR(INDEX(科目表!$A$4:$A$81,MATCH($E974,科目表!$B$4:$B$81,0)),""))</f>
        <v>1221</v>
      </c>
      <c r="G974" s="67" t="str">
        <f aca="false">IF($E974="","",IFERROR(INDEX(科目表!$E$4:$E$81,MATCH($E974,科目表!$B$4:$B$81,0)),""))</f>
        <v>其他应收款</v>
      </c>
      <c r="H974" s="70" t="n">
        <f aca="false">IF($E974="","",N(INDEX(资金日记账!$N$4:$S$603,33,2)))</f>
        <v>1300</v>
      </c>
      <c r="I974" s="70" t="n">
        <f aca="false">IF($E974="","",N(INDEX(资金日记账!$N$4:$S$603,33,3)))</f>
        <v>0</v>
      </c>
      <c r="J974" s="67" t="n">
        <f aca="false">IF($E974="","",INDEX(资金日记账!$E$4:$E$603,33))</f>
        <v>0</v>
      </c>
      <c r="K974" s="67" t="str">
        <f aca="false">IF($E974="","",INDEX(资金日记账!$F$4:$F$603,33))</f>
        <v>家用</v>
      </c>
      <c r="L974" s="107" t="n">
        <f aca="false">IF($E974="","",INDEX(资金日记账!$X$4:$X$603,33))</f>
        <v>0</v>
      </c>
      <c r="M974" s="107"/>
      <c r="N974" s="67" t="n">
        <f aca="false">IF($E974="","",INDEX(资金日记账!$Y$4:$Y$603,33))</f>
        <v>0</v>
      </c>
      <c r="O974" s="67" t="str">
        <f aca="false">IF($E974="","","自动B")</f>
        <v>自动B</v>
      </c>
      <c r="P974" s="18"/>
    </row>
    <row r="975" customFormat="false" ht="18" hidden="false" customHeight="true" outlineLevel="0" collapsed="false">
      <c r="A975" s="107" t="n">
        <f aca="false">IF($E975="","",ROW()-3)</f>
        <v>972</v>
      </c>
      <c r="B975" s="110" t="n">
        <f aca="false">IF($E975="","",INDEX(资金日记账!$B$4:$B$603,33))</f>
        <v>46270</v>
      </c>
      <c r="C975" s="67" t="str">
        <f aca="false">IF($E975="","",IF(INDEX(资金日记账!$W$4:$W$603,33)="","记-"&amp;TEXT($B975,"YYYYMM")&amp;"-资金",INDEX(资金日记账!$W$4:$W$603,33)))</f>
        <v>记-202609-资金</v>
      </c>
      <c r="D975" s="107" t="str">
        <f aca="false">IF($E975="","",INDEX(资金日记账!$D$4:$D$603,33))</f>
        <v>儿子补习班</v>
      </c>
      <c r="E975" s="67" t="str">
        <f aca="false">IF(INDEX(资金日记账!$N$4:$S$603,33,4)=0,"",INDEX(资金日记账!$N$4:$S$603,33,4))</f>
        <v>其他货币资金</v>
      </c>
      <c r="F975" s="99" t="str">
        <f aca="false">IF($E975="","",IFERROR(INDEX(科目表!$A$4:$A$81,MATCH($E975,科目表!$B$4:$B$81,0)),""))</f>
        <v>1012</v>
      </c>
      <c r="G975" s="67" t="str">
        <f aca="false">IF($E975="","",IFERROR(INDEX(科目表!$E$4:$E$81,MATCH($E975,科目表!$B$4:$B$81,0)),""))</f>
        <v>货币资金</v>
      </c>
      <c r="H975" s="70" t="n">
        <f aca="false">IF($E975="","",N(INDEX(资金日记账!$N$4:$S$603,33,5)))</f>
        <v>0</v>
      </c>
      <c r="I975" s="70" t="n">
        <f aca="false">IF($E975="","",N(INDEX(资金日记账!$N$4:$S$603,33,6)))</f>
        <v>1300</v>
      </c>
      <c r="J975" s="67" t="n">
        <f aca="false">IF($E975="","",INDEX(资金日记账!$E$4:$E$603,33))</f>
        <v>0</v>
      </c>
      <c r="K975" s="67" t="str">
        <f aca="false">IF($E975="","",INDEX(资金日记账!$F$4:$F$603,33))</f>
        <v>家用</v>
      </c>
      <c r="L975" s="107" t="n">
        <f aca="false">IF($E975="","",INDEX(资金日记账!$X$4:$X$603,33))</f>
        <v>0</v>
      </c>
      <c r="M975" s="107"/>
      <c r="N975" s="67" t="n">
        <f aca="false">IF($E975="","",INDEX(资金日记账!$Y$4:$Y$603,33))</f>
        <v>0</v>
      </c>
      <c r="O975" s="67" t="str">
        <f aca="false">IF($E975="","","自动B")</f>
        <v>自动B</v>
      </c>
      <c r="P975" s="18"/>
    </row>
    <row r="976" customFormat="false" ht="18" hidden="false" customHeight="true" outlineLevel="0" collapsed="false">
      <c r="A976" s="107" t="n">
        <f aca="false">IF($E976="","",ROW()-3)</f>
        <v>973</v>
      </c>
      <c r="B976" s="110" t="n">
        <f aca="false">IF($E976="","",INDEX(资金日记账!$B$4:$B$603,34))</f>
        <v>46270</v>
      </c>
      <c r="C976" s="67" t="str">
        <f aca="false">IF($E976="","",IF(INDEX(资金日记账!$W$4:$W$603,34)="","记-"&amp;TEXT($B976,"YYYYMM")&amp;"-资金",INDEX(资金日记账!$W$4:$W$603,34)))</f>
        <v>记-202609-资金</v>
      </c>
      <c r="D976" s="107" t="str">
        <f aca="false">IF($E976="","",INDEX(资金日记账!$D$4:$D$603,34))</f>
        <v>停车费</v>
      </c>
      <c r="E976" s="67" t="str">
        <f aca="false">IF(INDEX(资金日记账!$N$4:$S$603,34,1)=0,"",INDEX(资金日记账!$N$4:$S$603,34,1))</f>
        <v>管理费用</v>
      </c>
      <c r="F976" s="99" t="str">
        <f aca="false">IF($E976="","",IFERROR(INDEX(科目表!$A$4:$A$81,MATCH($E976,科目表!$B$4:$B$81,0)),""))</f>
        <v>5602</v>
      </c>
      <c r="G976" s="67" t="str">
        <f aca="false">IF($E976="","",IFERROR(INDEX(科目表!$E$4:$E$81,MATCH($E976,科目表!$B$4:$B$81,0)),""))</f>
        <v>管理费用</v>
      </c>
      <c r="H976" s="70" t="n">
        <f aca="false">IF($E976="","",N(INDEX(资金日记账!$N$4:$S$603,34,2)))</f>
        <v>2</v>
      </c>
      <c r="I976" s="70" t="n">
        <f aca="false">IF($E976="","",N(INDEX(资金日记账!$N$4:$S$603,34,3)))</f>
        <v>0</v>
      </c>
      <c r="J976" s="67" t="n">
        <f aca="false">IF($E976="","",INDEX(资金日记账!$E$4:$E$603,34))</f>
        <v>0</v>
      </c>
      <c r="K976" s="67" t="n">
        <f aca="false">IF($E976="","",INDEX(资金日记账!$F$4:$F$603,34))</f>
        <v>0</v>
      </c>
      <c r="L976" s="107" t="n">
        <f aca="false">IF($E976="","",INDEX(资金日记账!$X$4:$X$603,34))</f>
        <v>0</v>
      </c>
      <c r="M976" s="107"/>
      <c r="N976" s="67" t="n">
        <f aca="false">IF($E976="","",INDEX(资金日记账!$Y$4:$Y$603,34))</f>
        <v>0</v>
      </c>
      <c r="O976" s="67" t="str">
        <f aca="false">IF($E976="","","自动B")</f>
        <v>自动B</v>
      </c>
      <c r="P976" s="18"/>
    </row>
    <row r="977" customFormat="false" ht="18" hidden="false" customHeight="true" outlineLevel="0" collapsed="false">
      <c r="A977" s="107" t="n">
        <f aca="false">IF($E977="","",ROW()-3)</f>
        <v>974</v>
      </c>
      <c r="B977" s="110" t="n">
        <f aca="false">IF($E977="","",INDEX(资金日记账!$B$4:$B$603,34))</f>
        <v>46270</v>
      </c>
      <c r="C977" s="67" t="str">
        <f aca="false">IF($E977="","",IF(INDEX(资金日记账!$W$4:$W$603,34)="","记-"&amp;TEXT($B977,"YYYYMM")&amp;"-资金",INDEX(资金日记账!$W$4:$W$603,34)))</f>
        <v>记-202609-资金</v>
      </c>
      <c r="D977" s="107" t="str">
        <f aca="false">IF($E977="","",INDEX(资金日记账!$D$4:$D$603,34))</f>
        <v>停车费</v>
      </c>
      <c r="E977" s="67" t="str">
        <f aca="false">IF(INDEX(资金日记账!$N$4:$S$603,34,4)=0,"",INDEX(资金日记账!$N$4:$S$603,34,4))</f>
        <v>其他货币资金</v>
      </c>
      <c r="F977" s="99" t="str">
        <f aca="false">IF($E977="","",IFERROR(INDEX(科目表!$A$4:$A$81,MATCH($E977,科目表!$B$4:$B$81,0)),""))</f>
        <v>1012</v>
      </c>
      <c r="G977" s="67" t="str">
        <f aca="false">IF($E977="","",IFERROR(INDEX(科目表!$E$4:$E$81,MATCH($E977,科目表!$B$4:$B$81,0)),""))</f>
        <v>货币资金</v>
      </c>
      <c r="H977" s="70" t="n">
        <f aca="false">IF($E977="","",N(INDEX(资金日记账!$N$4:$S$603,34,5)))</f>
        <v>0</v>
      </c>
      <c r="I977" s="70" t="n">
        <f aca="false">IF($E977="","",N(INDEX(资金日记账!$N$4:$S$603,34,6)))</f>
        <v>2</v>
      </c>
      <c r="J977" s="67" t="n">
        <f aca="false">IF($E977="","",INDEX(资金日记账!$E$4:$E$603,34))</f>
        <v>0</v>
      </c>
      <c r="K977" s="67" t="n">
        <f aca="false">IF($E977="","",INDEX(资金日记账!$F$4:$F$603,34))</f>
        <v>0</v>
      </c>
      <c r="L977" s="107" t="n">
        <f aca="false">IF($E977="","",INDEX(资金日记账!$X$4:$X$603,34))</f>
        <v>0</v>
      </c>
      <c r="M977" s="107"/>
      <c r="N977" s="67" t="n">
        <f aca="false">IF($E977="","",INDEX(资金日记账!$Y$4:$Y$603,34))</f>
        <v>0</v>
      </c>
      <c r="O977" s="67" t="str">
        <f aca="false">IF($E977="","","自动B")</f>
        <v>自动B</v>
      </c>
      <c r="P977" s="18"/>
    </row>
    <row r="978" customFormat="false" ht="18" hidden="false" customHeight="true" outlineLevel="0" collapsed="false">
      <c r="A978" s="107" t="n">
        <f aca="false">IF($E978="","",ROW()-3)</f>
        <v>975</v>
      </c>
      <c r="B978" s="110" t="n">
        <f aca="false">IF($E978="","",INDEX(资金日记账!$B$4:$B$603,35))</f>
        <v>46270</v>
      </c>
      <c r="C978" s="67" t="str">
        <f aca="false">IF($E978="","",IF(INDEX(资金日记账!$W$4:$W$603,35)="","记-"&amp;TEXT($B978,"YYYYMM")&amp;"-资金",INDEX(资金日记账!$W$4:$W$603,35)))</f>
        <v>记-202609-资金</v>
      </c>
      <c r="D978" s="107" t="str">
        <f aca="false">IF($E978="","",INDEX(资金日记账!$D$4:$D$603,35))</f>
        <v>儿子零食</v>
      </c>
      <c r="E978" s="67" t="str">
        <f aca="false">IF(INDEX(资金日记账!$N$4:$S$603,35,1)=0,"",INDEX(资金日记账!$N$4:$S$603,35,1))</f>
        <v>其他应收款</v>
      </c>
      <c r="F978" s="99" t="str">
        <f aca="false">IF($E978="","",IFERROR(INDEX(科目表!$A$4:$A$81,MATCH($E978,科目表!$B$4:$B$81,0)),""))</f>
        <v>1221</v>
      </c>
      <c r="G978" s="67" t="str">
        <f aca="false">IF($E978="","",IFERROR(INDEX(科目表!$E$4:$E$81,MATCH($E978,科目表!$B$4:$B$81,0)),""))</f>
        <v>其他应收款</v>
      </c>
      <c r="H978" s="70" t="n">
        <f aca="false">IF($E978="","",N(INDEX(资金日记账!$N$4:$S$603,35,2)))</f>
        <v>51.5</v>
      </c>
      <c r="I978" s="70" t="n">
        <f aca="false">IF($E978="","",N(INDEX(资金日记账!$N$4:$S$603,35,3)))</f>
        <v>0</v>
      </c>
      <c r="J978" s="67" t="n">
        <f aca="false">IF($E978="","",INDEX(资金日记账!$E$4:$E$603,35))</f>
        <v>0</v>
      </c>
      <c r="K978" s="67" t="str">
        <f aca="false">IF($E978="","",INDEX(资金日记账!$F$4:$F$603,35))</f>
        <v>家用</v>
      </c>
      <c r="L978" s="107" t="n">
        <f aca="false">IF($E978="","",INDEX(资金日记账!$X$4:$X$603,35))</f>
        <v>0</v>
      </c>
      <c r="M978" s="107"/>
      <c r="N978" s="67" t="n">
        <f aca="false">IF($E978="","",INDEX(资金日记账!$Y$4:$Y$603,35))</f>
        <v>0</v>
      </c>
      <c r="O978" s="67" t="str">
        <f aca="false">IF($E978="","","自动B")</f>
        <v>自动B</v>
      </c>
      <c r="P978" s="18"/>
    </row>
    <row r="979" customFormat="false" ht="18" hidden="false" customHeight="true" outlineLevel="0" collapsed="false">
      <c r="A979" s="107" t="n">
        <f aca="false">IF($E979="","",ROW()-3)</f>
        <v>976</v>
      </c>
      <c r="B979" s="110" t="n">
        <f aca="false">IF($E979="","",INDEX(资金日记账!$B$4:$B$603,35))</f>
        <v>46270</v>
      </c>
      <c r="C979" s="67" t="str">
        <f aca="false">IF($E979="","",IF(INDEX(资金日记账!$W$4:$W$603,35)="","记-"&amp;TEXT($B979,"YYYYMM")&amp;"-资金",INDEX(资金日记账!$W$4:$W$603,35)))</f>
        <v>记-202609-资金</v>
      </c>
      <c r="D979" s="107" t="str">
        <f aca="false">IF($E979="","",INDEX(资金日记账!$D$4:$D$603,35))</f>
        <v>儿子零食</v>
      </c>
      <c r="E979" s="67" t="str">
        <f aca="false">IF(INDEX(资金日记账!$N$4:$S$603,35,4)=0,"",INDEX(资金日记账!$N$4:$S$603,35,4))</f>
        <v>其他货币资金</v>
      </c>
      <c r="F979" s="99" t="str">
        <f aca="false">IF($E979="","",IFERROR(INDEX(科目表!$A$4:$A$81,MATCH($E979,科目表!$B$4:$B$81,0)),""))</f>
        <v>1012</v>
      </c>
      <c r="G979" s="67" t="str">
        <f aca="false">IF($E979="","",IFERROR(INDEX(科目表!$E$4:$E$81,MATCH($E979,科目表!$B$4:$B$81,0)),""))</f>
        <v>货币资金</v>
      </c>
      <c r="H979" s="70" t="n">
        <f aca="false">IF($E979="","",N(INDEX(资金日记账!$N$4:$S$603,35,5)))</f>
        <v>0</v>
      </c>
      <c r="I979" s="70" t="n">
        <f aca="false">IF($E979="","",N(INDEX(资金日记账!$N$4:$S$603,35,6)))</f>
        <v>51.5</v>
      </c>
      <c r="J979" s="67" t="n">
        <f aca="false">IF($E979="","",INDEX(资金日记账!$E$4:$E$603,35))</f>
        <v>0</v>
      </c>
      <c r="K979" s="67" t="str">
        <f aca="false">IF($E979="","",INDEX(资金日记账!$F$4:$F$603,35))</f>
        <v>家用</v>
      </c>
      <c r="L979" s="107" t="n">
        <f aca="false">IF($E979="","",INDEX(资金日记账!$X$4:$X$603,35))</f>
        <v>0</v>
      </c>
      <c r="M979" s="107"/>
      <c r="N979" s="67" t="n">
        <f aca="false">IF($E979="","",INDEX(资金日记账!$Y$4:$Y$603,35))</f>
        <v>0</v>
      </c>
      <c r="O979" s="67" t="str">
        <f aca="false">IF($E979="","","自动B")</f>
        <v>自动B</v>
      </c>
      <c r="P979" s="18"/>
    </row>
    <row r="980" customFormat="false" ht="18" hidden="false" customHeight="true" outlineLevel="0" collapsed="false">
      <c r="A980" s="107" t="n">
        <f aca="false">IF($E980="","",ROW()-3)</f>
        <v>977</v>
      </c>
      <c r="B980" s="110" t="n">
        <f aca="false">IF($E980="","",INDEX(资金日记账!$B$4:$B$603,36))</f>
        <v>46270</v>
      </c>
      <c r="C980" s="67" t="str">
        <f aca="false">IF($E980="","",IF(INDEX(资金日记账!$W$4:$W$603,36)="","记-"&amp;TEXT($B980,"YYYYMM")&amp;"-资金",INDEX(资金日记账!$W$4:$W$603,36)))</f>
        <v>记-202609-资金</v>
      </c>
      <c r="D980" s="107" t="str">
        <f aca="false">IF($E980="","",INDEX(资金日记账!$D$4:$D$603,36))</f>
        <v>儿子零花钱</v>
      </c>
      <c r="E980" s="67" t="str">
        <f aca="false">IF(INDEX(资金日记账!$N$4:$S$603,36,1)=0,"",INDEX(资金日记账!$N$4:$S$603,36,1))</f>
        <v>其他应收款</v>
      </c>
      <c r="F980" s="99" t="str">
        <f aca="false">IF($E980="","",IFERROR(INDEX(科目表!$A$4:$A$81,MATCH($E980,科目表!$B$4:$B$81,0)),""))</f>
        <v>1221</v>
      </c>
      <c r="G980" s="67" t="str">
        <f aca="false">IF($E980="","",IFERROR(INDEX(科目表!$E$4:$E$81,MATCH($E980,科目表!$B$4:$B$81,0)),""))</f>
        <v>其他应收款</v>
      </c>
      <c r="H980" s="70" t="n">
        <f aca="false">IF($E980="","",N(INDEX(资金日记账!$N$4:$S$603,36,2)))</f>
        <v>100</v>
      </c>
      <c r="I980" s="70" t="n">
        <f aca="false">IF($E980="","",N(INDEX(资金日记账!$N$4:$S$603,36,3)))</f>
        <v>0</v>
      </c>
      <c r="J980" s="67" t="n">
        <f aca="false">IF($E980="","",INDEX(资金日记账!$E$4:$E$603,36))</f>
        <v>0</v>
      </c>
      <c r="K980" s="67" t="str">
        <f aca="false">IF($E980="","",INDEX(资金日记账!$F$4:$F$603,36))</f>
        <v>家用</v>
      </c>
      <c r="L980" s="107" t="n">
        <f aca="false">IF($E980="","",INDEX(资金日记账!$X$4:$X$603,36))</f>
        <v>0</v>
      </c>
      <c r="M980" s="107"/>
      <c r="N980" s="67" t="n">
        <f aca="false">IF($E980="","",INDEX(资金日记账!$Y$4:$Y$603,36))</f>
        <v>0</v>
      </c>
      <c r="O980" s="67" t="str">
        <f aca="false">IF($E980="","","自动B")</f>
        <v>自动B</v>
      </c>
      <c r="P980" s="18"/>
    </row>
    <row r="981" customFormat="false" ht="18" hidden="false" customHeight="true" outlineLevel="0" collapsed="false">
      <c r="A981" s="107" t="n">
        <f aca="false">IF($E981="","",ROW()-3)</f>
        <v>978</v>
      </c>
      <c r="B981" s="110" t="n">
        <f aca="false">IF($E981="","",INDEX(资金日记账!$B$4:$B$603,36))</f>
        <v>46270</v>
      </c>
      <c r="C981" s="67" t="str">
        <f aca="false">IF($E981="","",IF(INDEX(资金日记账!$W$4:$W$603,36)="","记-"&amp;TEXT($B981,"YYYYMM")&amp;"-资金",INDEX(资金日记账!$W$4:$W$603,36)))</f>
        <v>记-202609-资金</v>
      </c>
      <c r="D981" s="107" t="str">
        <f aca="false">IF($E981="","",INDEX(资金日记账!$D$4:$D$603,36))</f>
        <v>儿子零花钱</v>
      </c>
      <c r="E981" s="67" t="str">
        <f aca="false">IF(INDEX(资金日记账!$N$4:$S$603,36,4)=0,"",INDEX(资金日记账!$N$4:$S$603,36,4))</f>
        <v>其他货币资金</v>
      </c>
      <c r="F981" s="99" t="str">
        <f aca="false">IF($E981="","",IFERROR(INDEX(科目表!$A$4:$A$81,MATCH($E981,科目表!$B$4:$B$81,0)),""))</f>
        <v>1012</v>
      </c>
      <c r="G981" s="67" t="str">
        <f aca="false">IF($E981="","",IFERROR(INDEX(科目表!$E$4:$E$81,MATCH($E981,科目表!$B$4:$B$81,0)),""))</f>
        <v>货币资金</v>
      </c>
      <c r="H981" s="70" t="n">
        <f aca="false">IF($E981="","",N(INDEX(资金日记账!$N$4:$S$603,36,5)))</f>
        <v>0</v>
      </c>
      <c r="I981" s="70" t="n">
        <f aca="false">IF($E981="","",N(INDEX(资金日记账!$N$4:$S$603,36,6)))</f>
        <v>100</v>
      </c>
      <c r="J981" s="67" t="n">
        <f aca="false">IF($E981="","",INDEX(资金日记账!$E$4:$E$603,36))</f>
        <v>0</v>
      </c>
      <c r="K981" s="67" t="str">
        <f aca="false">IF($E981="","",INDEX(资金日记账!$F$4:$F$603,36))</f>
        <v>家用</v>
      </c>
      <c r="L981" s="107" t="n">
        <f aca="false">IF($E981="","",INDEX(资金日记账!$X$4:$X$603,36))</f>
        <v>0</v>
      </c>
      <c r="M981" s="107"/>
      <c r="N981" s="67" t="n">
        <f aca="false">IF($E981="","",INDEX(资金日记账!$Y$4:$Y$603,36))</f>
        <v>0</v>
      </c>
      <c r="O981" s="67" t="str">
        <f aca="false">IF($E981="","","自动B")</f>
        <v>自动B</v>
      </c>
      <c r="P981" s="18"/>
    </row>
    <row r="982" customFormat="false" ht="18" hidden="false" customHeight="true" outlineLevel="0" collapsed="false">
      <c r="A982" s="107" t="n">
        <f aca="false">IF($E982="","",ROW()-3)</f>
        <v>979</v>
      </c>
      <c r="B982" s="110" t="n">
        <f aca="false">IF($E982="","",INDEX(资金日记账!$B$4:$B$603,37))</f>
        <v>46270</v>
      </c>
      <c r="C982" s="67" t="str">
        <f aca="false">IF($E982="","",IF(INDEX(资金日记账!$W$4:$W$603,37)="","记-"&amp;TEXT($B982,"YYYYMM")&amp;"-资金",INDEX(资金日记账!$W$4:$W$603,37)))</f>
        <v>记-202609-资金</v>
      </c>
      <c r="D982" s="107" t="str">
        <f aca="false">IF($E982="","",INDEX(资金日记账!$D$4:$D$603,37))</f>
        <v>吃饭</v>
      </c>
      <c r="E982" s="67" t="str">
        <f aca="false">IF(INDEX(资金日记账!$N$4:$S$603,37,1)=0,"",INDEX(资金日记账!$N$4:$S$603,37,1))</f>
        <v>管理费用</v>
      </c>
      <c r="F982" s="99" t="str">
        <f aca="false">IF($E982="","",IFERROR(INDEX(科目表!$A$4:$A$81,MATCH($E982,科目表!$B$4:$B$81,0)),""))</f>
        <v>5602</v>
      </c>
      <c r="G982" s="67" t="str">
        <f aca="false">IF($E982="","",IFERROR(INDEX(科目表!$E$4:$E$81,MATCH($E982,科目表!$B$4:$B$81,0)),""))</f>
        <v>管理费用</v>
      </c>
      <c r="H982" s="70" t="n">
        <f aca="false">IF($E982="","",N(INDEX(资金日记账!$N$4:$S$603,37,2)))</f>
        <v>28</v>
      </c>
      <c r="I982" s="70" t="n">
        <f aca="false">IF($E982="","",N(INDEX(资金日记账!$N$4:$S$603,37,3)))</f>
        <v>0</v>
      </c>
      <c r="J982" s="67" t="n">
        <f aca="false">IF($E982="","",INDEX(资金日记账!$E$4:$E$603,37))</f>
        <v>0</v>
      </c>
      <c r="K982" s="67" t="n">
        <f aca="false">IF($E982="","",INDEX(资金日记账!$F$4:$F$603,37))</f>
        <v>0</v>
      </c>
      <c r="L982" s="107" t="n">
        <f aca="false">IF($E982="","",INDEX(资金日记账!$X$4:$X$603,37))</f>
        <v>0</v>
      </c>
      <c r="M982" s="107"/>
      <c r="N982" s="67" t="n">
        <f aca="false">IF($E982="","",INDEX(资金日记账!$Y$4:$Y$603,37))</f>
        <v>0</v>
      </c>
      <c r="O982" s="67" t="str">
        <f aca="false">IF($E982="","","自动B")</f>
        <v>自动B</v>
      </c>
      <c r="P982" s="18"/>
    </row>
    <row r="983" customFormat="false" ht="18" hidden="false" customHeight="true" outlineLevel="0" collapsed="false">
      <c r="A983" s="107" t="n">
        <f aca="false">IF($E983="","",ROW()-3)</f>
        <v>980</v>
      </c>
      <c r="B983" s="110" t="n">
        <f aca="false">IF($E983="","",INDEX(资金日记账!$B$4:$B$603,37))</f>
        <v>46270</v>
      </c>
      <c r="C983" s="67" t="str">
        <f aca="false">IF($E983="","",IF(INDEX(资金日记账!$W$4:$W$603,37)="","记-"&amp;TEXT($B983,"YYYYMM")&amp;"-资金",INDEX(资金日记账!$W$4:$W$603,37)))</f>
        <v>记-202609-资金</v>
      </c>
      <c r="D983" s="107" t="str">
        <f aca="false">IF($E983="","",INDEX(资金日记账!$D$4:$D$603,37))</f>
        <v>吃饭</v>
      </c>
      <c r="E983" s="67" t="str">
        <f aca="false">IF(INDEX(资金日记账!$N$4:$S$603,37,4)=0,"",INDEX(资金日记账!$N$4:$S$603,37,4))</f>
        <v>其他货币资金</v>
      </c>
      <c r="F983" s="99" t="str">
        <f aca="false">IF($E983="","",IFERROR(INDEX(科目表!$A$4:$A$81,MATCH($E983,科目表!$B$4:$B$81,0)),""))</f>
        <v>1012</v>
      </c>
      <c r="G983" s="67" t="str">
        <f aca="false">IF($E983="","",IFERROR(INDEX(科目表!$E$4:$E$81,MATCH($E983,科目表!$B$4:$B$81,0)),""))</f>
        <v>货币资金</v>
      </c>
      <c r="H983" s="70" t="n">
        <f aca="false">IF($E983="","",N(INDEX(资金日记账!$N$4:$S$603,37,5)))</f>
        <v>0</v>
      </c>
      <c r="I983" s="70" t="n">
        <f aca="false">IF($E983="","",N(INDEX(资金日记账!$N$4:$S$603,37,6)))</f>
        <v>28</v>
      </c>
      <c r="J983" s="67" t="n">
        <f aca="false">IF($E983="","",INDEX(资金日记账!$E$4:$E$603,37))</f>
        <v>0</v>
      </c>
      <c r="K983" s="67" t="n">
        <f aca="false">IF($E983="","",INDEX(资金日记账!$F$4:$F$603,37))</f>
        <v>0</v>
      </c>
      <c r="L983" s="107" t="n">
        <f aca="false">IF($E983="","",INDEX(资金日记账!$X$4:$X$603,37))</f>
        <v>0</v>
      </c>
      <c r="M983" s="107"/>
      <c r="N983" s="67" t="n">
        <f aca="false">IF($E983="","",INDEX(资金日记账!$Y$4:$Y$603,37))</f>
        <v>0</v>
      </c>
      <c r="O983" s="67" t="str">
        <f aca="false">IF($E983="","","自动B")</f>
        <v>自动B</v>
      </c>
      <c r="P983" s="18"/>
    </row>
    <row r="984" customFormat="false" ht="18" hidden="false" customHeight="true" outlineLevel="0" collapsed="false">
      <c r="A984" s="107" t="n">
        <f aca="false">IF($E984="","",ROW()-3)</f>
        <v>981</v>
      </c>
      <c r="B984" s="110" t="n">
        <f aca="false">IF($E984="","",INDEX(资金日记账!$B$4:$B$603,38))</f>
        <v>46270</v>
      </c>
      <c r="C984" s="67" t="str">
        <f aca="false">IF($E984="","",IF(INDEX(资金日记账!$W$4:$W$603,38)="","记-"&amp;TEXT($B984,"YYYYMM")&amp;"-资金",INDEX(资金日记账!$W$4:$W$603,38)))</f>
        <v>记-202609-资金</v>
      </c>
      <c r="D984" s="107" t="str">
        <f aca="false">IF($E984="","",INDEX(资金日记账!$D$4:$D$603,38))</f>
        <v>吃饭</v>
      </c>
      <c r="E984" s="67" t="str">
        <f aca="false">IF(INDEX(资金日记账!$N$4:$S$603,38,1)=0,"",INDEX(资金日记账!$N$4:$S$603,38,1))</f>
        <v>管理费用</v>
      </c>
      <c r="F984" s="99" t="str">
        <f aca="false">IF($E984="","",IFERROR(INDEX(科目表!$A$4:$A$81,MATCH($E984,科目表!$B$4:$B$81,0)),""))</f>
        <v>5602</v>
      </c>
      <c r="G984" s="67" t="str">
        <f aca="false">IF($E984="","",IFERROR(INDEX(科目表!$E$4:$E$81,MATCH($E984,科目表!$B$4:$B$81,0)),""))</f>
        <v>管理费用</v>
      </c>
      <c r="H984" s="70" t="n">
        <f aca="false">IF($E984="","",N(INDEX(资金日记账!$N$4:$S$603,38,2)))</f>
        <v>12</v>
      </c>
      <c r="I984" s="70" t="n">
        <f aca="false">IF($E984="","",N(INDEX(资金日记账!$N$4:$S$603,38,3)))</f>
        <v>0</v>
      </c>
      <c r="J984" s="67" t="n">
        <f aca="false">IF($E984="","",INDEX(资金日记账!$E$4:$E$603,38))</f>
        <v>0</v>
      </c>
      <c r="K984" s="67" t="n">
        <f aca="false">IF($E984="","",INDEX(资金日记账!$F$4:$F$603,38))</f>
        <v>0</v>
      </c>
      <c r="L984" s="107" t="n">
        <f aca="false">IF($E984="","",INDEX(资金日记账!$X$4:$X$603,38))</f>
        <v>0</v>
      </c>
      <c r="M984" s="107"/>
      <c r="N984" s="67" t="n">
        <f aca="false">IF($E984="","",INDEX(资金日记账!$Y$4:$Y$603,38))</f>
        <v>0</v>
      </c>
      <c r="O984" s="67" t="str">
        <f aca="false">IF($E984="","","自动B")</f>
        <v>自动B</v>
      </c>
      <c r="P984" s="18"/>
    </row>
    <row r="985" customFormat="false" ht="18" hidden="false" customHeight="true" outlineLevel="0" collapsed="false">
      <c r="A985" s="107" t="n">
        <f aca="false">IF($E985="","",ROW()-3)</f>
        <v>982</v>
      </c>
      <c r="B985" s="110" t="n">
        <f aca="false">IF($E985="","",INDEX(资金日记账!$B$4:$B$603,38))</f>
        <v>46270</v>
      </c>
      <c r="C985" s="67" t="str">
        <f aca="false">IF($E985="","",IF(INDEX(资金日记账!$W$4:$W$603,38)="","记-"&amp;TEXT($B985,"YYYYMM")&amp;"-资金",INDEX(资金日记账!$W$4:$W$603,38)))</f>
        <v>记-202609-资金</v>
      </c>
      <c r="D985" s="107" t="str">
        <f aca="false">IF($E985="","",INDEX(资金日记账!$D$4:$D$603,38))</f>
        <v>吃饭</v>
      </c>
      <c r="E985" s="67" t="str">
        <f aca="false">IF(INDEX(资金日记账!$N$4:$S$603,38,4)=0,"",INDEX(资金日记账!$N$4:$S$603,38,4))</f>
        <v>其他货币资金</v>
      </c>
      <c r="F985" s="99" t="str">
        <f aca="false">IF($E985="","",IFERROR(INDEX(科目表!$A$4:$A$81,MATCH($E985,科目表!$B$4:$B$81,0)),""))</f>
        <v>1012</v>
      </c>
      <c r="G985" s="67" t="str">
        <f aca="false">IF($E985="","",IFERROR(INDEX(科目表!$E$4:$E$81,MATCH($E985,科目表!$B$4:$B$81,0)),""))</f>
        <v>货币资金</v>
      </c>
      <c r="H985" s="70" t="n">
        <f aca="false">IF($E985="","",N(INDEX(资金日记账!$N$4:$S$603,38,5)))</f>
        <v>0</v>
      </c>
      <c r="I985" s="70" t="n">
        <f aca="false">IF($E985="","",N(INDEX(资金日记账!$N$4:$S$603,38,6)))</f>
        <v>12</v>
      </c>
      <c r="J985" s="67" t="n">
        <f aca="false">IF($E985="","",INDEX(资金日记账!$E$4:$E$603,38))</f>
        <v>0</v>
      </c>
      <c r="K985" s="67" t="n">
        <f aca="false">IF($E985="","",INDEX(资金日记账!$F$4:$F$603,38))</f>
        <v>0</v>
      </c>
      <c r="L985" s="107" t="n">
        <f aca="false">IF($E985="","",INDEX(资金日记账!$X$4:$X$603,38))</f>
        <v>0</v>
      </c>
      <c r="M985" s="107"/>
      <c r="N985" s="67" t="n">
        <f aca="false">IF($E985="","",INDEX(资金日记账!$Y$4:$Y$603,38))</f>
        <v>0</v>
      </c>
      <c r="O985" s="67" t="str">
        <f aca="false">IF($E985="","","自动B")</f>
        <v>自动B</v>
      </c>
      <c r="P985" s="18"/>
    </row>
    <row r="986" customFormat="false" ht="18" hidden="false" customHeight="true" outlineLevel="0" collapsed="false">
      <c r="A986" s="107" t="n">
        <f aca="false">IF($E986="","",ROW()-3)</f>
        <v>983</v>
      </c>
      <c r="B986" s="110" t="n">
        <f aca="false">IF($E986="","",INDEX(资金日记账!$B$4:$B$603,39))</f>
        <v>46270</v>
      </c>
      <c r="C986" s="67" t="str">
        <f aca="false">IF($E986="","",IF(INDEX(资金日记账!$W$4:$W$603,39)="","记-"&amp;TEXT($B986,"YYYYMM")&amp;"-资金",INDEX(资金日记账!$W$4:$W$603,39)))</f>
        <v>记-202609-资金</v>
      </c>
      <c r="D986" s="107" t="str">
        <f aca="false">IF($E986="","",INDEX(资金日记账!$D$4:$D$603,39))</f>
        <v>吃饭</v>
      </c>
      <c r="E986" s="67" t="str">
        <f aca="false">IF(INDEX(资金日记账!$N$4:$S$603,39,1)=0,"",INDEX(资金日记账!$N$4:$S$603,39,1))</f>
        <v>管理费用</v>
      </c>
      <c r="F986" s="99" t="str">
        <f aca="false">IF($E986="","",IFERROR(INDEX(科目表!$A$4:$A$81,MATCH($E986,科目表!$B$4:$B$81,0)),""))</f>
        <v>5602</v>
      </c>
      <c r="G986" s="67" t="str">
        <f aca="false">IF($E986="","",IFERROR(INDEX(科目表!$E$4:$E$81,MATCH($E986,科目表!$B$4:$B$81,0)),""))</f>
        <v>管理费用</v>
      </c>
      <c r="H986" s="70" t="n">
        <f aca="false">IF($E986="","",N(INDEX(资金日记账!$N$4:$S$603,39,2)))</f>
        <v>120</v>
      </c>
      <c r="I986" s="70" t="n">
        <f aca="false">IF($E986="","",N(INDEX(资金日记账!$N$4:$S$603,39,3)))</f>
        <v>0</v>
      </c>
      <c r="J986" s="67" t="n">
        <f aca="false">IF($E986="","",INDEX(资金日记账!$E$4:$E$603,39))</f>
        <v>0</v>
      </c>
      <c r="K986" s="67" t="n">
        <f aca="false">IF($E986="","",INDEX(资金日记账!$F$4:$F$603,39))</f>
        <v>0</v>
      </c>
      <c r="L986" s="107" t="n">
        <f aca="false">IF($E986="","",INDEX(资金日记账!$X$4:$X$603,39))</f>
        <v>0</v>
      </c>
      <c r="M986" s="107"/>
      <c r="N986" s="67" t="n">
        <f aca="false">IF($E986="","",INDEX(资金日记账!$Y$4:$Y$603,39))</f>
        <v>0</v>
      </c>
      <c r="O986" s="67" t="str">
        <f aca="false">IF($E986="","","自动B")</f>
        <v>自动B</v>
      </c>
      <c r="P986" s="18"/>
    </row>
    <row r="987" customFormat="false" ht="18" hidden="false" customHeight="true" outlineLevel="0" collapsed="false">
      <c r="A987" s="107" t="n">
        <f aca="false">IF($E987="","",ROW()-3)</f>
        <v>984</v>
      </c>
      <c r="B987" s="110" t="n">
        <f aca="false">IF($E987="","",INDEX(资金日记账!$B$4:$B$603,39))</f>
        <v>46270</v>
      </c>
      <c r="C987" s="67" t="str">
        <f aca="false">IF($E987="","",IF(INDEX(资金日记账!$W$4:$W$603,39)="","记-"&amp;TEXT($B987,"YYYYMM")&amp;"-资金",INDEX(资金日记账!$W$4:$W$603,39)))</f>
        <v>记-202609-资金</v>
      </c>
      <c r="D987" s="107" t="str">
        <f aca="false">IF($E987="","",INDEX(资金日记账!$D$4:$D$603,39))</f>
        <v>吃饭</v>
      </c>
      <c r="E987" s="67" t="str">
        <f aca="false">IF(INDEX(资金日记账!$N$4:$S$603,39,4)=0,"",INDEX(资金日记账!$N$4:$S$603,39,4))</f>
        <v>其他货币资金</v>
      </c>
      <c r="F987" s="99" t="str">
        <f aca="false">IF($E987="","",IFERROR(INDEX(科目表!$A$4:$A$81,MATCH($E987,科目表!$B$4:$B$81,0)),""))</f>
        <v>1012</v>
      </c>
      <c r="G987" s="67" t="str">
        <f aca="false">IF($E987="","",IFERROR(INDEX(科目表!$E$4:$E$81,MATCH($E987,科目表!$B$4:$B$81,0)),""))</f>
        <v>货币资金</v>
      </c>
      <c r="H987" s="70" t="n">
        <f aca="false">IF($E987="","",N(INDEX(资金日记账!$N$4:$S$603,39,5)))</f>
        <v>0</v>
      </c>
      <c r="I987" s="70" t="n">
        <f aca="false">IF($E987="","",N(INDEX(资金日记账!$N$4:$S$603,39,6)))</f>
        <v>120</v>
      </c>
      <c r="J987" s="67" t="n">
        <f aca="false">IF($E987="","",INDEX(资金日记账!$E$4:$E$603,39))</f>
        <v>0</v>
      </c>
      <c r="K987" s="67" t="n">
        <f aca="false">IF($E987="","",INDEX(资金日记账!$F$4:$F$603,39))</f>
        <v>0</v>
      </c>
      <c r="L987" s="107" t="n">
        <f aca="false">IF($E987="","",INDEX(资金日记账!$X$4:$X$603,39))</f>
        <v>0</v>
      </c>
      <c r="M987" s="107"/>
      <c r="N987" s="67" t="n">
        <f aca="false">IF($E987="","",INDEX(资金日记账!$Y$4:$Y$603,39))</f>
        <v>0</v>
      </c>
      <c r="O987" s="67" t="str">
        <f aca="false">IF($E987="","","自动B")</f>
        <v>自动B</v>
      </c>
      <c r="P987" s="18"/>
    </row>
    <row r="988" customFormat="false" ht="18" hidden="false" customHeight="true" outlineLevel="0" collapsed="false">
      <c r="A988" s="107" t="n">
        <f aca="false">IF($E988="","",ROW()-3)</f>
        <v>985</v>
      </c>
      <c r="B988" s="110" t="n">
        <f aca="false">IF($E988="","",INDEX(资金日记账!$B$4:$B$603,40))</f>
        <v>46271</v>
      </c>
      <c r="C988" s="67" t="str">
        <f aca="false">IF($E988="","",IF(INDEX(资金日记账!$W$4:$W$603,40)="","记-"&amp;TEXT($B988,"YYYYMM")&amp;"-资金",INDEX(资金日记账!$W$4:$W$603,40)))</f>
        <v>记-202609-资金</v>
      </c>
      <c r="D988" s="107" t="str">
        <f aca="false">IF($E988="","",INDEX(资金日记账!$D$4:$D$603,40))</f>
        <v>还信用卡</v>
      </c>
      <c r="E988" s="67" t="str">
        <f aca="false">IF(INDEX(资金日记账!$N$4:$S$603,40,1)=0,"",INDEX(资金日记账!$N$4:$S$603,40,1))</f>
        <v>其他应付款</v>
      </c>
      <c r="F988" s="99" t="str">
        <f aca="false">IF($E988="","",IFERROR(INDEX(科目表!$A$4:$A$81,MATCH($E988,科目表!$B$4:$B$81,0)),""))</f>
        <v>2241</v>
      </c>
      <c r="G988" s="67" t="str">
        <f aca="false">IF($E988="","",IFERROR(INDEX(科目表!$E$4:$E$81,MATCH($E988,科目表!$B$4:$B$81,0)),""))</f>
        <v>其他应付款</v>
      </c>
      <c r="H988" s="70" t="n">
        <f aca="false">IF($E988="","",N(INDEX(资金日记账!$N$4:$S$603,40,2)))</f>
        <v>10010</v>
      </c>
      <c r="I988" s="70" t="n">
        <f aca="false">IF($E988="","",N(INDEX(资金日记账!$N$4:$S$603,40,3)))</f>
        <v>0</v>
      </c>
      <c r="J988" s="67" t="n">
        <f aca="false">IF($E988="","",INDEX(资金日记账!$E$4:$E$603,40))</f>
        <v>0</v>
      </c>
      <c r="K988" s="67" t="str">
        <f aca="false">IF($E988="","",INDEX(资金日记账!$F$4:$F$603,40))</f>
        <v>家用</v>
      </c>
      <c r="L988" s="107" t="n">
        <f aca="false">IF($E988="","",INDEX(资金日记账!$X$4:$X$603,40))</f>
        <v>0</v>
      </c>
      <c r="M988" s="107"/>
      <c r="N988" s="67" t="n">
        <f aca="false">IF($E988="","",INDEX(资金日记账!$Y$4:$Y$603,40))</f>
        <v>0</v>
      </c>
      <c r="O988" s="67" t="str">
        <f aca="false">IF($E988="","","自动B")</f>
        <v>自动B</v>
      </c>
      <c r="P988" s="18"/>
    </row>
    <row r="989" customFormat="false" ht="18" hidden="false" customHeight="true" outlineLevel="0" collapsed="false">
      <c r="A989" s="107" t="n">
        <f aca="false">IF($E989="","",ROW()-3)</f>
        <v>986</v>
      </c>
      <c r="B989" s="110" t="n">
        <f aca="false">IF($E989="","",INDEX(资金日记账!$B$4:$B$603,40))</f>
        <v>46271</v>
      </c>
      <c r="C989" s="67" t="str">
        <f aca="false">IF($E989="","",IF(INDEX(资金日记账!$W$4:$W$603,40)="","记-"&amp;TEXT($B989,"YYYYMM")&amp;"-资金",INDEX(资金日记账!$W$4:$W$603,40)))</f>
        <v>记-202609-资金</v>
      </c>
      <c r="D989" s="107" t="str">
        <f aca="false">IF($E989="","",INDEX(资金日记账!$D$4:$D$603,40))</f>
        <v>还信用卡</v>
      </c>
      <c r="E989" s="67" t="str">
        <f aca="false">IF(INDEX(资金日记账!$N$4:$S$603,40,4)=0,"",INDEX(资金日记账!$N$4:$S$603,40,4))</f>
        <v>其他货币资金</v>
      </c>
      <c r="F989" s="99" t="str">
        <f aca="false">IF($E989="","",IFERROR(INDEX(科目表!$A$4:$A$81,MATCH($E989,科目表!$B$4:$B$81,0)),""))</f>
        <v>1012</v>
      </c>
      <c r="G989" s="67" t="str">
        <f aca="false">IF($E989="","",IFERROR(INDEX(科目表!$E$4:$E$81,MATCH($E989,科目表!$B$4:$B$81,0)),""))</f>
        <v>货币资金</v>
      </c>
      <c r="H989" s="70" t="n">
        <f aca="false">IF($E989="","",N(INDEX(资金日记账!$N$4:$S$603,40,5)))</f>
        <v>0</v>
      </c>
      <c r="I989" s="70" t="n">
        <f aca="false">IF($E989="","",N(INDEX(资金日记账!$N$4:$S$603,40,6)))</f>
        <v>10010</v>
      </c>
      <c r="J989" s="67" t="n">
        <f aca="false">IF($E989="","",INDEX(资金日记账!$E$4:$E$603,40))</f>
        <v>0</v>
      </c>
      <c r="K989" s="67" t="str">
        <f aca="false">IF($E989="","",INDEX(资金日记账!$F$4:$F$603,40))</f>
        <v>家用</v>
      </c>
      <c r="L989" s="107" t="n">
        <f aca="false">IF($E989="","",INDEX(资金日记账!$X$4:$X$603,40))</f>
        <v>0</v>
      </c>
      <c r="M989" s="107"/>
      <c r="N989" s="67" t="n">
        <f aca="false">IF($E989="","",INDEX(资金日记账!$Y$4:$Y$603,40))</f>
        <v>0</v>
      </c>
      <c r="O989" s="67" t="str">
        <f aca="false">IF($E989="","","自动B")</f>
        <v>自动B</v>
      </c>
      <c r="P989" s="18"/>
    </row>
    <row r="990" customFormat="false" ht="18" hidden="false" customHeight="true" outlineLevel="0" collapsed="false">
      <c r="A990" s="107" t="n">
        <f aca="false">IF($E990="","",ROW()-3)</f>
        <v>987</v>
      </c>
      <c r="B990" s="110" t="n">
        <f aca="false">IF($E990="","",INDEX(资金日记账!$B$4:$B$603,41))</f>
        <v>46271</v>
      </c>
      <c r="C990" s="67" t="str">
        <f aca="false">IF($E990="","",IF(INDEX(资金日记账!$W$4:$W$603,41)="","记-"&amp;TEXT($B990,"YYYYMM")&amp;"-资金",INDEX(资金日记账!$W$4:$W$603,41)))</f>
        <v>记-202609-资金</v>
      </c>
      <c r="D990" s="107" t="str">
        <f aca="false">IF($E990="","",INDEX(资金日记账!$D$4:$D$603,41))</f>
        <v>打车</v>
      </c>
      <c r="E990" s="67" t="str">
        <f aca="false">IF(INDEX(资金日记账!$N$4:$S$603,41,1)=0,"",INDEX(资金日记账!$N$4:$S$603,41,1))</f>
        <v>管理费用</v>
      </c>
      <c r="F990" s="99" t="str">
        <f aca="false">IF($E990="","",IFERROR(INDEX(科目表!$A$4:$A$81,MATCH($E990,科目表!$B$4:$B$81,0)),""))</f>
        <v>5602</v>
      </c>
      <c r="G990" s="67" t="str">
        <f aca="false">IF($E990="","",IFERROR(INDEX(科目表!$E$4:$E$81,MATCH($E990,科目表!$B$4:$B$81,0)),""))</f>
        <v>管理费用</v>
      </c>
      <c r="H990" s="70" t="n">
        <f aca="false">IF($E990="","",N(INDEX(资金日记账!$N$4:$S$603,41,2)))</f>
        <v>6.69</v>
      </c>
      <c r="I990" s="70" t="n">
        <f aca="false">IF($E990="","",N(INDEX(资金日记账!$N$4:$S$603,41,3)))</f>
        <v>0</v>
      </c>
      <c r="J990" s="67" t="n">
        <f aca="false">IF($E990="","",INDEX(资金日记账!$E$4:$E$603,41))</f>
        <v>0</v>
      </c>
      <c r="K990" s="67" t="str">
        <f aca="false">IF($E990="","",INDEX(资金日记账!$F$4:$F$603,41))</f>
        <v>家用</v>
      </c>
      <c r="L990" s="107" t="n">
        <f aca="false">IF($E990="","",INDEX(资金日记账!$X$4:$X$603,41))</f>
        <v>0</v>
      </c>
      <c r="M990" s="107"/>
      <c r="N990" s="67" t="n">
        <f aca="false">IF($E990="","",INDEX(资金日记账!$Y$4:$Y$603,41))</f>
        <v>0</v>
      </c>
      <c r="O990" s="67" t="str">
        <f aca="false">IF($E990="","","自动B")</f>
        <v>自动B</v>
      </c>
      <c r="P990" s="18"/>
    </row>
    <row r="991" customFormat="false" ht="18" hidden="false" customHeight="true" outlineLevel="0" collapsed="false">
      <c r="A991" s="107" t="n">
        <f aca="false">IF($E991="","",ROW()-3)</f>
        <v>988</v>
      </c>
      <c r="B991" s="110" t="n">
        <f aca="false">IF($E991="","",INDEX(资金日记账!$B$4:$B$603,41))</f>
        <v>46271</v>
      </c>
      <c r="C991" s="67" t="str">
        <f aca="false">IF($E991="","",IF(INDEX(资金日记账!$W$4:$W$603,41)="","记-"&amp;TEXT($B991,"YYYYMM")&amp;"-资金",INDEX(资金日记账!$W$4:$W$603,41)))</f>
        <v>记-202609-资金</v>
      </c>
      <c r="D991" s="107" t="str">
        <f aca="false">IF($E991="","",INDEX(资金日记账!$D$4:$D$603,41))</f>
        <v>打车</v>
      </c>
      <c r="E991" s="67" t="str">
        <f aca="false">IF(INDEX(资金日记账!$N$4:$S$603,41,4)=0,"",INDEX(资金日记账!$N$4:$S$603,41,4))</f>
        <v>其他货币资金</v>
      </c>
      <c r="F991" s="99" t="str">
        <f aca="false">IF($E991="","",IFERROR(INDEX(科目表!$A$4:$A$81,MATCH($E991,科目表!$B$4:$B$81,0)),""))</f>
        <v>1012</v>
      </c>
      <c r="G991" s="67" t="str">
        <f aca="false">IF($E991="","",IFERROR(INDEX(科目表!$E$4:$E$81,MATCH($E991,科目表!$B$4:$B$81,0)),""))</f>
        <v>货币资金</v>
      </c>
      <c r="H991" s="70" t="n">
        <f aca="false">IF($E991="","",N(INDEX(资金日记账!$N$4:$S$603,41,5)))</f>
        <v>0</v>
      </c>
      <c r="I991" s="70" t="n">
        <f aca="false">IF($E991="","",N(INDEX(资金日记账!$N$4:$S$603,41,6)))</f>
        <v>6.69</v>
      </c>
      <c r="J991" s="67" t="n">
        <f aca="false">IF($E991="","",INDEX(资金日记账!$E$4:$E$603,41))</f>
        <v>0</v>
      </c>
      <c r="K991" s="67" t="str">
        <f aca="false">IF($E991="","",INDEX(资金日记账!$F$4:$F$603,41))</f>
        <v>家用</v>
      </c>
      <c r="L991" s="107" t="n">
        <f aca="false">IF($E991="","",INDEX(资金日记账!$X$4:$X$603,41))</f>
        <v>0</v>
      </c>
      <c r="M991" s="107"/>
      <c r="N991" s="67" t="n">
        <f aca="false">IF($E991="","",INDEX(资金日记账!$Y$4:$Y$603,41))</f>
        <v>0</v>
      </c>
      <c r="O991" s="67" t="str">
        <f aca="false">IF($E991="","","自动B")</f>
        <v>自动B</v>
      </c>
      <c r="P991" s="18"/>
    </row>
    <row r="992" customFormat="false" ht="18" hidden="false" customHeight="true" outlineLevel="0" collapsed="false">
      <c r="A992" s="107" t="n">
        <f aca="false">IF($E992="","",ROW()-3)</f>
        <v>989</v>
      </c>
      <c r="B992" s="110" t="n">
        <f aca="false">IF($E992="","",INDEX(资金日记账!$B$4:$B$603,42))</f>
        <v>46271</v>
      </c>
      <c r="C992" s="67" t="str">
        <f aca="false">IF($E992="","",IF(INDEX(资金日记账!$W$4:$W$603,42)="","记-"&amp;TEXT($B992,"YYYYMM")&amp;"-资金",INDEX(资金日记账!$W$4:$W$603,42)))</f>
        <v>记-202609-资金</v>
      </c>
      <c r="D992" s="107" t="str">
        <f aca="false">IF($E992="","",INDEX(资金日记账!$D$4:$D$603,42))</f>
        <v>万和源</v>
      </c>
      <c r="E992" s="67" t="str">
        <f aca="false">IF(INDEX(资金日记账!$N$4:$S$603,42,1)=0,"",INDEX(资金日记账!$N$4:$S$603,42,1))</f>
        <v>其他货币资金</v>
      </c>
      <c r="F992" s="99" t="str">
        <f aca="false">IF($E992="","",IFERROR(INDEX(科目表!$A$4:$A$81,MATCH($E992,科目表!$B$4:$B$81,0)),""))</f>
        <v>1012</v>
      </c>
      <c r="G992" s="67" t="str">
        <f aca="false">IF($E992="","",IFERROR(INDEX(科目表!$E$4:$E$81,MATCH($E992,科目表!$B$4:$B$81,0)),""))</f>
        <v>货币资金</v>
      </c>
      <c r="H992" s="70" t="n">
        <f aca="false">IF($E992="","",N(INDEX(资金日记账!$N$4:$S$603,42,2)))</f>
        <v>10000</v>
      </c>
      <c r="I992" s="70" t="n">
        <f aca="false">IF($E992="","",N(INDEX(资金日记账!$N$4:$S$603,42,3)))</f>
        <v>0</v>
      </c>
      <c r="J992" s="67" t="n">
        <f aca="false">IF($E992="","",INDEX(资金日记账!$E$4:$E$603,42))</f>
        <v>0</v>
      </c>
      <c r="K992" s="67" t="str">
        <f aca="false">IF($E992="","",INDEX(资金日记账!$F$4:$F$603,42))</f>
        <v>还款</v>
      </c>
      <c r="L992" s="107" t="n">
        <f aca="false">IF($E992="","",INDEX(资金日记账!$X$4:$X$603,42))</f>
        <v>0</v>
      </c>
      <c r="M992" s="107"/>
      <c r="N992" s="67" t="n">
        <f aca="false">IF($E992="","",INDEX(资金日记账!$Y$4:$Y$603,42))</f>
        <v>0</v>
      </c>
      <c r="O992" s="67" t="str">
        <f aca="false">IF($E992="","","自动B")</f>
        <v>自动B</v>
      </c>
      <c r="P992" s="18"/>
    </row>
    <row r="993" customFormat="false" ht="18" hidden="false" customHeight="true" outlineLevel="0" collapsed="false">
      <c r="A993" s="107" t="n">
        <f aca="false">IF($E993="","",ROW()-3)</f>
        <v>990</v>
      </c>
      <c r="B993" s="110" t="n">
        <f aca="false">IF($E993="","",INDEX(资金日记账!$B$4:$B$603,42))</f>
        <v>46271</v>
      </c>
      <c r="C993" s="67" t="str">
        <f aca="false">IF($E993="","",IF(INDEX(资金日记账!$W$4:$W$603,42)="","记-"&amp;TEXT($B993,"YYYYMM")&amp;"-资金",INDEX(资金日记账!$W$4:$W$603,42)))</f>
        <v>记-202609-资金</v>
      </c>
      <c r="D993" s="107" t="str">
        <f aca="false">IF($E993="","",INDEX(资金日记账!$D$4:$D$603,42))</f>
        <v>万和源</v>
      </c>
      <c r="E993" s="67" t="str">
        <f aca="false">IF(INDEX(资金日记账!$N$4:$S$603,42,4)=0,"",INDEX(资金日记账!$N$4:$S$603,42,4))</f>
        <v>应收账款</v>
      </c>
      <c r="F993" s="99" t="str">
        <f aca="false">IF($E993="","",IFERROR(INDEX(科目表!$A$4:$A$81,MATCH($E993,科目表!$B$4:$B$81,0)),""))</f>
        <v>1122</v>
      </c>
      <c r="G993" s="67" t="str">
        <f aca="false">IF($E993="","",IFERROR(INDEX(科目表!$E$4:$E$81,MATCH($E993,科目表!$B$4:$B$81,0)),""))</f>
        <v>应收账款</v>
      </c>
      <c r="H993" s="70" t="n">
        <f aca="false">IF($E993="","",N(INDEX(资金日记账!$N$4:$S$603,42,5)))</f>
        <v>0</v>
      </c>
      <c r="I993" s="70" t="n">
        <f aca="false">IF($E993="","",N(INDEX(资金日记账!$N$4:$S$603,42,6)))</f>
        <v>10000</v>
      </c>
      <c r="J993" s="67" t="n">
        <f aca="false">IF($E993="","",INDEX(资金日记账!$E$4:$E$603,42))</f>
        <v>0</v>
      </c>
      <c r="K993" s="67" t="str">
        <f aca="false">IF($E993="","",INDEX(资金日记账!$F$4:$F$603,42))</f>
        <v>还款</v>
      </c>
      <c r="L993" s="107" t="n">
        <f aca="false">IF($E993="","",INDEX(资金日记账!$X$4:$X$603,42))</f>
        <v>0</v>
      </c>
      <c r="M993" s="107"/>
      <c r="N993" s="67" t="n">
        <f aca="false">IF($E993="","",INDEX(资金日记账!$Y$4:$Y$603,42))</f>
        <v>0</v>
      </c>
      <c r="O993" s="67" t="str">
        <f aca="false">IF($E993="","","自动B")</f>
        <v>自动B</v>
      </c>
      <c r="P993" s="18"/>
    </row>
    <row r="994" customFormat="false" ht="18" hidden="false" customHeight="true" outlineLevel="0" collapsed="false">
      <c r="A994" s="107" t="n">
        <f aca="false">IF($E994="","",ROW()-3)</f>
        <v>991</v>
      </c>
      <c r="B994" s="110" t="n">
        <f aca="false">IF($E994="","",INDEX(资金日记账!$B$4:$B$603,43))</f>
        <v>46271</v>
      </c>
      <c r="C994" s="67" t="str">
        <f aca="false">IF($E994="","",IF(INDEX(资金日记账!$W$4:$W$603,43)="","记-"&amp;TEXT($B994,"YYYYMM")&amp;"-资金",INDEX(资金日记账!$W$4:$W$603,43)))</f>
        <v>记-202609-资金</v>
      </c>
      <c r="D994" s="107" t="str">
        <f aca="false">IF($E994="","",INDEX(资金日记账!$D$4:$D$603,43))</f>
        <v>万和源</v>
      </c>
      <c r="E994" s="67" t="str">
        <f aca="false">IF(INDEX(资金日记账!$N$4:$S$603,43,1)=0,"",INDEX(资金日记账!$N$4:$S$603,43,1))</f>
        <v>其他货币资金</v>
      </c>
      <c r="F994" s="99" t="str">
        <f aca="false">IF($E994="","",IFERROR(INDEX(科目表!$A$4:$A$81,MATCH($E994,科目表!$B$4:$B$81,0)),""))</f>
        <v>1012</v>
      </c>
      <c r="G994" s="67" t="str">
        <f aca="false">IF($E994="","",IFERROR(INDEX(科目表!$E$4:$E$81,MATCH($E994,科目表!$B$4:$B$81,0)),""))</f>
        <v>货币资金</v>
      </c>
      <c r="H994" s="70" t="n">
        <f aca="false">IF($E994="","",N(INDEX(资金日记账!$N$4:$S$603,43,2)))</f>
        <v>4000</v>
      </c>
      <c r="I994" s="70" t="n">
        <f aca="false">IF($E994="","",N(INDEX(资金日记账!$N$4:$S$603,43,3)))</f>
        <v>0</v>
      </c>
      <c r="J994" s="67" t="n">
        <f aca="false">IF($E994="","",INDEX(资金日记账!$E$4:$E$603,43))</f>
        <v>0</v>
      </c>
      <c r="K994" s="67" t="str">
        <f aca="false">IF($E994="","",INDEX(资金日记账!$F$4:$F$603,43))</f>
        <v>还款</v>
      </c>
      <c r="L994" s="107" t="n">
        <f aca="false">IF($E994="","",INDEX(资金日记账!$X$4:$X$603,43))</f>
        <v>0</v>
      </c>
      <c r="M994" s="107"/>
      <c r="N994" s="67" t="n">
        <f aca="false">IF($E994="","",INDEX(资金日记账!$Y$4:$Y$603,43))</f>
        <v>0</v>
      </c>
      <c r="O994" s="67" t="str">
        <f aca="false">IF($E994="","","自动B")</f>
        <v>自动B</v>
      </c>
      <c r="P994" s="18"/>
    </row>
    <row r="995" customFormat="false" ht="18" hidden="false" customHeight="true" outlineLevel="0" collapsed="false">
      <c r="A995" s="107" t="n">
        <f aca="false">IF($E995="","",ROW()-3)</f>
        <v>992</v>
      </c>
      <c r="B995" s="110" t="n">
        <f aca="false">IF($E995="","",INDEX(资金日记账!$B$4:$B$603,43))</f>
        <v>46271</v>
      </c>
      <c r="C995" s="67" t="str">
        <f aca="false">IF($E995="","",IF(INDEX(资金日记账!$W$4:$W$603,43)="","记-"&amp;TEXT($B995,"YYYYMM")&amp;"-资金",INDEX(资金日记账!$W$4:$W$603,43)))</f>
        <v>记-202609-资金</v>
      </c>
      <c r="D995" s="107" t="str">
        <f aca="false">IF($E995="","",INDEX(资金日记账!$D$4:$D$603,43))</f>
        <v>万和源</v>
      </c>
      <c r="E995" s="67" t="str">
        <f aca="false">IF(INDEX(资金日记账!$N$4:$S$603,43,4)=0,"",INDEX(资金日记账!$N$4:$S$603,43,4))</f>
        <v>应收账款</v>
      </c>
      <c r="F995" s="99" t="str">
        <f aca="false">IF($E995="","",IFERROR(INDEX(科目表!$A$4:$A$81,MATCH($E995,科目表!$B$4:$B$81,0)),""))</f>
        <v>1122</v>
      </c>
      <c r="G995" s="67" t="str">
        <f aca="false">IF($E995="","",IFERROR(INDEX(科目表!$E$4:$E$81,MATCH($E995,科目表!$B$4:$B$81,0)),""))</f>
        <v>应收账款</v>
      </c>
      <c r="H995" s="70" t="n">
        <f aca="false">IF($E995="","",N(INDEX(资金日记账!$N$4:$S$603,43,5)))</f>
        <v>0</v>
      </c>
      <c r="I995" s="70" t="n">
        <f aca="false">IF($E995="","",N(INDEX(资金日记账!$N$4:$S$603,43,6)))</f>
        <v>4000</v>
      </c>
      <c r="J995" s="67" t="n">
        <f aca="false">IF($E995="","",INDEX(资金日记账!$E$4:$E$603,43))</f>
        <v>0</v>
      </c>
      <c r="K995" s="67" t="str">
        <f aca="false">IF($E995="","",INDEX(资金日记账!$F$4:$F$603,43))</f>
        <v>还款</v>
      </c>
      <c r="L995" s="107" t="n">
        <f aca="false">IF($E995="","",INDEX(资金日记账!$X$4:$X$603,43))</f>
        <v>0</v>
      </c>
      <c r="M995" s="107"/>
      <c r="N995" s="67" t="n">
        <f aca="false">IF($E995="","",INDEX(资金日记账!$Y$4:$Y$603,43))</f>
        <v>0</v>
      </c>
      <c r="O995" s="67" t="str">
        <f aca="false">IF($E995="","","自动B")</f>
        <v>自动B</v>
      </c>
      <c r="P995" s="18"/>
    </row>
    <row r="996" customFormat="false" ht="18" hidden="false" customHeight="true" outlineLevel="0" collapsed="false">
      <c r="A996" s="107" t="n">
        <f aca="false">IF($E996="","",ROW()-3)</f>
        <v>993</v>
      </c>
      <c r="B996" s="110" t="n">
        <f aca="false">IF($E996="","",INDEX(资金日记账!$B$4:$B$603,44))</f>
        <v>46271</v>
      </c>
      <c r="C996" s="67" t="str">
        <f aca="false">IF($E996="","",IF(INDEX(资金日记账!$W$4:$W$603,44)="","记-"&amp;TEXT($B996,"YYYYMM")&amp;"-资金",INDEX(资金日记账!$W$4:$W$603,44)))</f>
        <v>记-202609-资金</v>
      </c>
      <c r="D996" s="107" t="str">
        <f aca="false">IF($E996="","",INDEX(资金日记账!$D$4:$D$603,44))</f>
        <v>打车</v>
      </c>
      <c r="E996" s="67" t="str">
        <f aca="false">IF(INDEX(资金日记账!$N$4:$S$603,44,1)=0,"",INDEX(资金日记账!$N$4:$S$603,44,1))</f>
        <v>管理费用</v>
      </c>
      <c r="F996" s="99" t="str">
        <f aca="false">IF($E996="","",IFERROR(INDEX(科目表!$A$4:$A$81,MATCH($E996,科目表!$B$4:$B$81,0)),""))</f>
        <v>5602</v>
      </c>
      <c r="G996" s="67" t="str">
        <f aca="false">IF($E996="","",IFERROR(INDEX(科目表!$E$4:$E$81,MATCH($E996,科目表!$B$4:$B$81,0)),""))</f>
        <v>管理费用</v>
      </c>
      <c r="H996" s="70" t="n">
        <f aca="false">IF($E996="","",N(INDEX(资金日记账!$N$4:$S$603,44,2)))</f>
        <v>8.39</v>
      </c>
      <c r="I996" s="70" t="n">
        <f aca="false">IF($E996="","",N(INDEX(资金日记账!$N$4:$S$603,44,3)))</f>
        <v>0</v>
      </c>
      <c r="J996" s="67" t="n">
        <f aca="false">IF($E996="","",INDEX(资金日记账!$E$4:$E$603,44))</f>
        <v>0</v>
      </c>
      <c r="K996" s="67" t="n">
        <f aca="false">IF($E996="","",INDEX(资金日记账!$F$4:$F$603,44))</f>
        <v>0</v>
      </c>
      <c r="L996" s="107" t="n">
        <f aca="false">IF($E996="","",INDEX(资金日记账!$X$4:$X$603,44))</f>
        <v>0</v>
      </c>
      <c r="M996" s="107"/>
      <c r="N996" s="67" t="n">
        <f aca="false">IF($E996="","",INDEX(资金日记账!$Y$4:$Y$603,44))</f>
        <v>0</v>
      </c>
      <c r="O996" s="67" t="str">
        <f aca="false">IF($E996="","","自动B")</f>
        <v>自动B</v>
      </c>
      <c r="P996" s="18"/>
    </row>
    <row r="997" customFormat="false" ht="18" hidden="false" customHeight="true" outlineLevel="0" collapsed="false">
      <c r="A997" s="107" t="n">
        <f aca="false">IF($E997="","",ROW()-3)</f>
        <v>994</v>
      </c>
      <c r="B997" s="110" t="n">
        <f aca="false">IF($E997="","",INDEX(资金日记账!$B$4:$B$603,44))</f>
        <v>46271</v>
      </c>
      <c r="C997" s="67" t="str">
        <f aca="false">IF($E997="","",IF(INDEX(资金日记账!$W$4:$W$603,44)="","记-"&amp;TEXT($B997,"YYYYMM")&amp;"-资金",INDEX(资金日记账!$W$4:$W$603,44)))</f>
        <v>记-202609-资金</v>
      </c>
      <c r="D997" s="107" t="str">
        <f aca="false">IF($E997="","",INDEX(资金日记账!$D$4:$D$603,44))</f>
        <v>打车</v>
      </c>
      <c r="E997" s="67" t="str">
        <f aca="false">IF(INDEX(资金日记账!$N$4:$S$603,44,4)=0,"",INDEX(资金日记账!$N$4:$S$603,44,4))</f>
        <v>其他货币资金</v>
      </c>
      <c r="F997" s="99" t="str">
        <f aca="false">IF($E997="","",IFERROR(INDEX(科目表!$A$4:$A$81,MATCH($E997,科目表!$B$4:$B$81,0)),""))</f>
        <v>1012</v>
      </c>
      <c r="G997" s="67" t="str">
        <f aca="false">IF($E997="","",IFERROR(INDEX(科目表!$E$4:$E$81,MATCH($E997,科目表!$B$4:$B$81,0)),""))</f>
        <v>货币资金</v>
      </c>
      <c r="H997" s="70" t="n">
        <f aca="false">IF($E997="","",N(INDEX(资金日记账!$N$4:$S$603,44,5)))</f>
        <v>0</v>
      </c>
      <c r="I997" s="70" t="n">
        <f aca="false">IF($E997="","",N(INDEX(资金日记账!$N$4:$S$603,44,6)))</f>
        <v>8.39</v>
      </c>
      <c r="J997" s="67" t="n">
        <f aca="false">IF($E997="","",INDEX(资金日记账!$E$4:$E$603,44))</f>
        <v>0</v>
      </c>
      <c r="K997" s="67" t="n">
        <f aca="false">IF($E997="","",INDEX(资金日记账!$F$4:$F$603,44))</f>
        <v>0</v>
      </c>
      <c r="L997" s="107" t="n">
        <f aca="false">IF($E997="","",INDEX(资金日记账!$X$4:$X$603,44))</f>
        <v>0</v>
      </c>
      <c r="M997" s="107"/>
      <c r="N997" s="67" t="n">
        <f aca="false">IF($E997="","",INDEX(资金日记账!$Y$4:$Y$603,44))</f>
        <v>0</v>
      </c>
      <c r="O997" s="67" t="str">
        <f aca="false">IF($E997="","","自动B")</f>
        <v>自动B</v>
      </c>
      <c r="P997" s="18"/>
    </row>
    <row r="998" customFormat="false" ht="18" hidden="false" customHeight="true" outlineLevel="0" collapsed="false">
      <c r="A998" s="107" t="n">
        <f aca="false">IF($E998="","",ROW()-3)</f>
        <v>995</v>
      </c>
      <c r="B998" s="110" t="n">
        <f aca="false">IF($E998="","",INDEX(资金日记账!$B$4:$B$603,45))</f>
        <v>46271</v>
      </c>
      <c r="C998" s="67" t="str">
        <f aca="false">IF($E998="","",IF(INDEX(资金日记账!$W$4:$W$603,45)="","记-"&amp;TEXT($B998,"YYYYMM")&amp;"-资金",INDEX(资金日记账!$W$4:$W$603,45)))</f>
        <v>记-202609-资金</v>
      </c>
      <c r="D998" s="107" t="str">
        <f aca="false">IF($E998="","",INDEX(资金日记账!$D$4:$D$603,45))</f>
        <v>蛋糕开卡</v>
      </c>
      <c r="E998" s="67" t="str">
        <f aca="false">IF(INDEX(资金日记账!$N$4:$S$603,45,1)=0,"",INDEX(资金日记账!$N$4:$S$603,45,1))</f>
        <v>管理费用</v>
      </c>
      <c r="F998" s="99" t="str">
        <f aca="false">IF($E998="","",IFERROR(INDEX(科目表!$A$4:$A$81,MATCH($E998,科目表!$B$4:$B$81,0)),""))</f>
        <v>5602</v>
      </c>
      <c r="G998" s="67" t="str">
        <f aca="false">IF($E998="","",IFERROR(INDEX(科目表!$E$4:$E$81,MATCH($E998,科目表!$B$4:$B$81,0)),""))</f>
        <v>管理费用</v>
      </c>
      <c r="H998" s="70" t="n">
        <f aca="false">IF($E998="","",N(INDEX(资金日记账!$N$4:$S$603,45,2)))</f>
        <v>300</v>
      </c>
      <c r="I998" s="70" t="n">
        <f aca="false">IF($E998="","",N(INDEX(资金日记账!$N$4:$S$603,45,3)))</f>
        <v>0</v>
      </c>
      <c r="J998" s="67" t="n">
        <f aca="false">IF($E998="","",INDEX(资金日记账!$E$4:$E$603,45))</f>
        <v>0</v>
      </c>
      <c r="K998" s="67" t="str">
        <f aca="false">IF($E998="","",INDEX(资金日记账!$F$4:$F$603,45))</f>
        <v>家用</v>
      </c>
      <c r="L998" s="107" t="n">
        <f aca="false">IF($E998="","",INDEX(资金日记账!$X$4:$X$603,45))</f>
        <v>0</v>
      </c>
      <c r="M998" s="107"/>
      <c r="N998" s="67" t="n">
        <f aca="false">IF($E998="","",INDEX(资金日记账!$Y$4:$Y$603,45))</f>
        <v>0</v>
      </c>
      <c r="O998" s="67" t="str">
        <f aca="false">IF($E998="","","自动B")</f>
        <v>自动B</v>
      </c>
      <c r="P998" s="18"/>
    </row>
    <row r="999" customFormat="false" ht="18" hidden="false" customHeight="true" outlineLevel="0" collapsed="false">
      <c r="A999" s="107" t="n">
        <f aca="false">IF($E999="","",ROW()-3)</f>
        <v>996</v>
      </c>
      <c r="B999" s="110" t="n">
        <f aca="false">IF($E999="","",INDEX(资金日记账!$B$4:$B$603,45))</f>
        <v>46271</v>
      </c>
      <c r="C999" s="67" t="str">
        <f aca="false">IF($E999="","",IF(INDEX(资金日记账!$W$4:$W$603,45)="","记-"&amp;TEXT($B999,"YYYYMM")&amp;"-资金",INDEX(资金日记账!$W$4:$W$603,45)))</f>
        <v>记-202609-资金</v>
      </c>
      <c r="D999" s="107" t="str">
        <f aca="false">IF($E999="","",INDEX(资金日记账!$D$4:$D$603,45))</f>
        <v>蛋糕开卡</v>
      </c>
      <c r="E999" s="67" t="str">
        <f aca="false">IF(INDEX(资金日记账!$N$4:$S$603,45,4)=0,"",INDEX(资金日记账!$N$4:$S$603,45,4))</f>
        <v>其他货币资金</v>
      </c>
      <c r="F999" s="99" t="str">
        <f aca="false">IF($E999="","",IFERROR(INDEX(科目表!$A$4:$A$81,MATCH($E999,科目表!$B$4:$B$81,0)),""))</f>
        <v>1012</v>
      </c>
      <c r="G999" s="67" t="str">
        <f aca="false">IF($E999="","",IFERROR(INDEX(科目表!$E$4:$E$81,MATCH($E999,科目表!$B$4:$B$81,0)),""))</f>
        <v>货币资金</v>
      </c>
      <c r="H999" s="70" t="n">
        <f aca="false">IF($E999="","",N(INDEX(资金日记账!$N$4:$S$603,45,5)))</f>
        <v>0</v>
      </c>
      <c r="I999" s="70" t="n">
        <f aca="false">IF($E999="","",N(INDEX(资金日记账!$N$4:$S$603,45,6)))</f>
        <v>300</v>
      </c>
      <c r="J999" s="67" t="n">
        <f aca="false">IF($E999="","",INDEX(资金日记账!$E$4:$E$603,45))</f>
        <v>0</v>
      </c>
      <c r="K999" s="67" t="str">
        <f aca="false">IF($E999="","",INDEX(资金日记账!$F$4:$F$603,45))</f>
        <v>家用</v>
      </c>
      <c r="L999" s="107" t="n">
        <f aca="false">IF($E999="","",INDEX(资金日记账!$X$4:$X$603,45))</f>
        <v>0</v>
      </c>
      <c r="M999" s="107"/>
      <c r="N999" s="67" t="n">
        <f aca="false">IF($E999="","",INDEX(资金日记账!$Y$4:$Y$603,45))</f>
        <v>0</v>
      </c>
      <c r="O999" s="67" t="str">
        <f aca="false">IF($E999="","","自动B")</f>
        <v>自动B</v>
      </c>
      <c r="P999" s="18"/>
    </row>
    <row r="1000" customFormat="false" ht="18" hidden="false" customHeight="true" outlineLevel="0" collapsed="false">
      <c r="A1000" s="107" t="n">
        <f aca="false">IF($E1000="","",ROW()-3)</f>
        <v>997</v>
      </c>
      <c r="B1000" s="110" t="n">
        <f aca="false">IF($E1000="","",INDEX(资金日记账!$B$4:$B$603,46))</f>
        <v>46271</v>
      </c>
      <c r="C1000" s="67" t="str">
        <f aca="false">IF($E1000="","",IF(INDEX(资金日记账!$W$4:$W$603,46)="","记-"&amp;TEXT($B1000,"YYYYMM")&amp;"-资金",INDEX(资金日记账!$W$4:$W$603,46)))</f>
        <v>记-202609-资金</v>
      </c>
      <c r="D1000" s="107" t="str">
        <f aca="false">IF($E1000="","",INDEX(资金日记账!$D$4:$D$603,46))</f>
        <v>零食</v>
      </c>
      <c r="E1000" s="67" t="str">
        <f aca="false">IF(INDEX(资金日记账!$N$4:$S$603,46,1)=0,"",INDEX(资金日记账!$N$4:$S$603,46,1))</f>
        <v>其他应收款</v>
      </c>
      <c r="F1000" s="99" t="str">
        <f aca="false">IF($E1000="","",IFERROR(INDEX(科目表!$A$4:$A$81,MATCH($E1000,科目表!$B$4:$B$81,0)),""))</f>
        <v>1221</v>
      </c>
      <c r="G1000" s="67" t="str">
        <f aca="false">IF($E1000="","",IFERROR(INDEX(科目表!$E$4:$E$81,MATCH($E1000,科目表!$B$4:$B$81,0)),""))</f>
        <v>其他应收款</v>
      </c>
      <c r="H1000" s="70" t="n">
        <f aca="false">IF($E1000="","",N(INDEX(资金日记账!$N$4:$S$603,46,2)))</f>
        <v>25</v>
      </c>
      <c r="I1000" s="70" t="n">
        <f aca="false">IF($E1000="","",N(INDEX(资金日记账!$N$4:$S$603,46,3)))</f>
        <v>0</v>
      </c>
      <c r="J1000" s="67" t="n">
        <f aca="false">IF($E1000="","",INDEX(资金日记账!$E$4:$E$603,46))</f>
        <v>0</v>
      </c>
      <c r="K1000" s="67" t="str">
        <f aca="false">IF($E1000="","",INDEX(资金日记账!$F$4:$F$603,46))</f>
        <v>家用</v>
      </c>
      <c r="L1000" s="107" t="n">
        <f aca="false">IF($E1000="","",INDEX(资金日记账!$X$4:$X$603,46))</f>
        <v>0</v>
      </c>
      <c r="M1000" s="107"/>
      <c r="N1000" s="67" t="n">
        <f aca="false">IF($E1000="","",INDEX(资金日记账!$Y$4:$Y$603,46))</f>
        <v>0</v>
      </c>
      <c r="O1000" s="67" t="str">
        <f aca="false">IF($E1000="","","自动B")</f>
        <v>自动B</v>
      </c>
      <c r="P1000" s="18"/>
    </row>
    <row r="1001" customFormat="false" ht="18" hidden="false" customHeight="true" outlineLevel="0" collapsed="false">
      <c r="A1001" s="107" t="n">
        <f aca="false">IF($E1001="","",ROW()-3)</f>
        <v>998</v>
      </c>
      <c r="B1001" s="110" t="n">
        <f aca="false">IF($E1001="","",INDEX(资金日记账!$B$4:$B$603,46))</f>
        <v>46271</v>
      </c>
      <c r="C1001" s="67" t="str">
        <f aca="false">IF($E1001="","",IF(INDEX(资金日记账!$W$4:$W$603,46)="","记-"&amp;TEXT($B1001,"YYYYMM")&amp;"-资金",INDEX(资金日记账!$W$4:$W$603,46)))</f>
        <v>记-202609-资金</v>
      </c>
      <c r="D1001" s="107" t="str">
        <f aca="false">IF($E1001="","",INDEX(资金日记账!$D$4:$D$603,46))</f>
        <v>零食</v>
      </c>
      <c r="E1001" s="67" t="str">
        <f aca="false">IF(INDEX(资金日记账!$N$4:$S$603,46,4)=0,"",INDEX(资金日记账!$N$4:$S$603,46,4))</f>
        <v>其他货币资金</v>
      </c>
      <c r="F1001" s="99" t="str">
        <f aca="false">IF($E1001="","",IFERROR(INDEX(科目表!$A$4:$A$81,MATCH($E1001,科目表!$B$4:$B$81,0)),""))</f>
        <v>1012</v>
      </c>
      <c r="G1001" s="67" t="str">
        <f aca="false">IF($E1001="","",IFERROR(INDEX(科目表!$E$4:$E$81,MATCH($E1001,科目表!$B$4:$B$81,0)),""))</f>
        <v>货币资金</v>
      </c>
      <c r="H1001" s="70" t="n">
        <f aca="false">IF($E1001="","",N(INDEX(资金日记账!$N$4:$S$603,46,5)))</f>
        <v>0</v>
      </c>
      <c r="I1001" s="70" t="n">
        <f aca="false">IF($E1001="","",N(INDEX(资金日记账!$N$4:$S$603,46,6)))</f>
        <v>25</v>
      </c>
      <c r="J1001" s="67" t="n">
        <f aca="false">IF($E1001="","",INDEX(资金日记账!$E$4:$E$603,46))</f>
        <v>0</v>
      </c>
      <c r="K1001" s="67" t="str">
        <f aca="false">IF($E1001="","",INDEX(资金日记账!$F$4:$F$603,46))</f>
        <v>家用</v>
      </c>
      <c r="L1001" s="107" t="n">
        <f aca="false">IF($E1001="","",INDEX(资金日记账!$X$4:$X$603,46))</f>
        <v>0</v>
      </c>
      <c r="M1001" s="107"/>
      <c r="N1001" s="67" t="n">
        <f aca="false">IF($E1001="","",INDEX(资金日记账!$Y$4:$Y$603,46))</f>
        <v>0</v>
      </c>
      <c r="O1001" s="67" t="str">
        <f aca="false">IF($E1001="","","自动B")</f>
        <v>自动B</v>
      </c>
      <c r="P1001" s="18"/>
    </row>
    <row r="1002" customFormat="false" ht="18" hidden="false" customHeight="true" outlineLevel="0" collapsed="false">
      <c r="A1002" s="107" t="n">
        <f aca="false">IF($E1002="","",ROW()-3)</f>
        <v>999</v>
      </c>
      <c r="B1002" s="110" t="n">
        <f aca="false">IF($E1002="","",INDEX(资金日记账!$B$4:$B$603,47))</f>
        <v>46272</v>
      </c>
      <c r="C1002" s="67" t="str">
        <f aca="false">IF($E1002="","",IF(INDEX(资金日记账!$W$4:$W$603,47)="","记-"&amp;TEXT($B1002,"YYYYMM")&amp;"-资金",INDEX(资金日记账!$W$4:$W$603,47)))</f>
        <v>记-202609-资金</v>
      </c>
      <c r="D1002" s="107" t="str">
        <f aca="false">IF($E1002="","",INDEX(资金日记账!$D$4:$D$603,47))</f>
        <v>药</v>
      </c>
      <c r="E1002" s="67" t="str">
        <f aca="false">IF(INDEX(资金日记账!$N$4:$S$603,47,1)=0,"",INDEX(资金日记账!$N$4:$S$603,47,1))</f>
        <v>其他应收款</v>
      </c>
      <c r="F1002" s="99" t="str">
        <f aca="false">IF($E1002="","",IFERROR(INDEX(科目表!$A$4:$A$81,MATCH($E1002,科目表!$B$4:$B$81,0)),""))</f>
        <v>1221</v>
      </c>
      <c r="G1002" s="67" t="str">
        <f aca="false">IF($E1002="","",IFERROR(INDEX(科目表!$E$4:$E$81,MATCH($E1002,科目表!$B$4:$B$81,0)),""))</f>
        <v>其他应收款</v>
      </c>
      <c r="H1002" s="70" t="n">
        <f aca="false">IF($E1002="","",N(INDEX(资金日记账!$N$4:$S$603,47,2)))</f>
        <v>48</v>
      </c>
      <c r="I1002" s="70" t="n">
        <f aca="false">IF($E1002="","",N(INDEX(资金日记账!$N$4:$S$603,47,3)))</f>
        <v>0</v>
      </c>
      <c r="J1002" s="67" t="n">
        <f aca="false">IF($E1002="","",INDEX(资金日记账!$E$4:$E$603,47))</f>
        <v>0</v>
      </c>
      <c r="K1002" s="67" t="str">
        <f aca="false">IF($E1002="","",INDEX(资金日记账!$F$4:$F$603,47))</f>
        <v>家用</v>
      </c>
      <c r="L1002" s="107" t="n">
        <f aca="false">IF($E1002="","",INDEX(资金日记账!$X$4:$X$603,47))</f>
        <v>0</v>
      </c>
      <c r="M1002" s="107"/>
      <c r="N1002" s="67" t="n">
        <f aca="false">IF($E1002="","",INDEX(资金日记账!$Y$4:$Y$603,47))</f>
        <v>0</v>
      </c>
      <c r="O1002" s="67" t="str">
        <f aca="false">IF($E1002="","","自动B")</f>
        <v>自动B</v>
      </c>
      <c r="P1002" s="18"/>
    </row>
    <row r="1003" customFormat="false" ht="18" hidden="false" customHeight="true" outlineLevel="0" collapsed="false">
      <c r="A1003" s="107" t="n">
        <f aca="false">IF($E1003="","",ROW()-3)</f>
        <v>1000</v>
      </c>
      <c r="B1003" s="110" t="n">
        <f aca="false">IF($E1003="","",INDEX(资金日记账!$B$4:$B$603,47))</f>
        <v>46272</v>
      </c>
      <c r="C1003" s="67" t="str">
        <f aca="false">IF($E1003="","",IF(INDEX(资金日记账!$W$4:$W$603,47)="","记-"&amp;TEXT($B1003,"YYYYMM")&amp;"-资金",INDEX(资金日记账!$W$4:$W$603,47)))</f>
        <v>记-202609-资金</v>
      </c>
      <c r="D1003" s="107" t="str">
        <f aca="false">IF($E1003="","",INDEX(资金日记账!$D$4:$D$603,47))</f>
        <v>药</v>
      </c>
      <c r="E1003" s="67" t="str">
        <f aca="false">IF(INDEX(资金日记账!$N$4:$S$603,47,4)=0,"",INDEX(资金日记账!$N$4:$S$603,47,4))</f>
        <v>其他货币资金</v>
      </c>
      <c r="F1003" s="99" t="str">
        <f aca="false">IF($E1003="","",IFERROR(INDEX(科目表!$A$4:$A$81,MATCH($E1003,科目表!$B$4:$B$81,0)),""))</f>
        <v>1012</v>
      </c>
      <c r="G1003" s="67" t="str">
        <f aca="false">IF($E1003="","",IFERROR(INDEX(科目表!$E$4:$E$81,MATCH($E1003,科目表!$B$4:$B$81,0)),""))</f>
        <v>货币资金</v>
      </c>
      <c r="H1003" s="70" t="n">
        <f aca="false">IF($E1003="","",N(INDEX(资金日记账!$N$4:$S$603,47,5)))</f>
        <v>0</v>
      </c>
      <c r="I1003" s="70" t="n">
        <f aca="false">IF($E1003="","",N(INDEX(资金日记账!$N$4:$S$603,47,6)))</f>
        <v>48</v>
      </c>
      <c r="J1003" s="67" t="n">
        <f aca="false">IF($E1003="","",INDEX(资金日记账!$E$4:$E$603,47))</f>
        <v>0</v>
      </c>
      <c r="K1003" s="67" t="str">
        <f aca="false">IF($E1003="","",INDEX(资金日记账!$F$4:$F$603,47))</f>
        <v>家用</v>
      </c>
      <c r="L1003" s="107" t="n">
        <f aca="false">IF($E1003="","",INDEX(资金日记账!$X$4:$X$603,47))</f>
        <v>0</v>
      </c>
      <c r="M1003" s="107"/>
      <c r="N1003" s="67" t="n">
        <f aca="false">IF($E1003="","",INDEX(资金日记账!$Y$4:$Y$603,47))</f>
        <v>0</v>
      </c>
      <c r="O1003" s="67" t="str">
        <f aca="false">IF($E1003="","","自动B")</f>
        <v>自动B</v>
      </c>
      <c r="P1003" s="18"/>
    </row>
    <row r="1004" customFormat="false" ht="18" hidden="false" customHeight="true" outlineLevel="0" collapsed="false">
      <c r="A1004" s="107" t="n">
        <f aca="false">IF($E1004="","",ROW()-3)</f>
        <v>1001</v>
      </c>
      <c r="B1004" s="110" t="n">
        <f aca="false">IF($E1004="","",INDEX(资金日记账!$B$4:$B$603,48))</f>
        <v>46272</v>
      </c>
      <c r="C1004" s="67" t="str">
        <f aca="false">IF($E1004="","",IF(INDEX(资金日记账!$W$4:$W$603,48)="","记-"&amp;TEXT($B1004,"YYYYMM")&amp;"-资金",INDEX(资金日记账!$W$4:$W$603,48)))</f>
        <v>记-202609-资金</v>
      </c>
      <c r="D1004" s="107" t="str">
        <f aca="false">IF($E1004="","",INDEX(资金日记账!$D$4:$D$603,48))</f>
        <v>停车费</v>
      </c>
      <c r="E1004" s="67" t="str">
        <f aca="false">IF(INDEX(资金日记账!$N$4:$S$603,48,1)=0,"",INDEX(资金日记账!$N$4:$S$603,48,1))</f>
        <v>管理费用</v>
      </c>
      <c r="F1004" s="99" t="str">
        <f aca="false">IF($E1004="","",IFERROR(INDEX(科目表!$A$4:$A$81,MATCH($E1004,科目表!$B$4:$B$81,0)),""))</f>
        <v>5602</v>
      </c>
      <c r="G1004" s="67" t="str">
        <f aca="false">IF($E1004="","",IFERROR(INDEX(科目表!$E$4:$E$81,MATCH($E1004,科目表!$B$4:$B$81,0)),""))</f>
        <v>管理费用</v>
      </c>
      <c r="H1004" s="70" t="n">
        <f aca="false">IF($E1004="","",N(INDEX(资金日记账!$N$4:$S$603,48,2)))</f>
        <v>6</v>
      </c>
      <c r="I1004" s="70" t="n">
        <f aca="false">IF($E1004="","",N(INDEX(资金日记账!$N$4:$S$603,48,3)))</f>
        <v>0</v>
      </c>
      <c r="J1004" s="67" t="n">
        <f aca="false">IF($E1004="","",INDEX(资金日记账!$E$4:$E$603,48))</f>
        <v>0</v>
      </c>
      <c r="K1004" s="67" t="n">
        <f aca="false">IF($E1004="","",INDEX(资金日记账!$F$4:$F$603,48))</f>
        <v>0</v>
      </c>
      <c r="L1004" s="107" t="n">
        <f aca="false">IF($E1004="","",INDEX(资金日记账!$X$4:$X$603,48))</f>
        <v>0</v>
      </c>
      <c r="M1004" s="107"/>
      <c r="N1004" s="67" t="n">
        <f aca="false">IF($E1004="","",INDEX(资金日记账!$Y$4:$Y$603,48))</f>
        <v>0</v>
      </c>
      <c r="O1004" s="67" t="str">
        <f aca="false">IF($E1004="","","自动B")</f>
        <v>自动B</v>
      </c>
      <c r="P1004" s="18"/>
    </row>
    <row r="1005" customFormat="false" ht="18" hidden="false" customHeight="true" outlineLevel="0" collapsed="false">
      <c r="A1005" s="107" t="n">
        <f aca="false">IF($E1005="","",ROW()-3)</f>
        <v>1002</v>
      </c>
      <c r="B1005" s="110" t="n">
        <f aca="false">IF($E1005="","",INDEX(资金日记账!$B$4:$B$603,48))</f>
        <v>46272</v>
      </c>
      <c r="C1005" s="67" t="str">
        <f aca="false">IF($E1005="","",IF(INDEX(资金日记账!$W$4:$W$603,48)="","记-"&amp;TEXT($B1005,"YYYYMM")&amp;"-资金",INDEX(资金日记账!$W$4:$W$603,48)))</f>
        <v>记-202609-资金</v>
      </c>
      <c r="D1005" s="107" t="str">
        <f aca="false">IF($E1005="","",INDEX(资金日记账!$D$4:$D$603,48))</f>
        <v>停车费</v>
      </c>
      <c r="E1005" s="67" t="str">
        <f aca="false">IF(INDEX(资金日记账!$N$4:$S$603,48,4)=0,"",INDEX(资金日记账!$N$4:$S$603,48,4))</f>
        <v>其他货币资金</v>
      </c>
      <c r="F1005" s="99" t="str">
        <f aca="false">IF($E1005="","",IFERROR(INDEX(科目表!$A$4:$A$81,MATCH($E1005,科目表!$B$4:$B$81,0)),""))</f>
        <v>1012</v>
      </c>
      <c r="G1005" s="67" t="str">
        <f aca="false">IF($E1005="","",IFERROR(INDEX(科目表!$E$4:$E$81,MATCH($E1005,科目表!$B$4:$B$81,0)),""))</f>
        <v>货币资金</v>
      </c>
      <c r="H1005" s="70" t="n">
        <f aca="false">IF($E1005="","",N(INDEX(资金日记账!$N$4:$S$603,48,5)))</f>
        <v>0</v>
      </c>
      <c r="I1005" s="70" t="n">
        <f aca="false">IF($E1005="","",N(INDEX(资金日记账!$N$4:$S$603,48,6)))</f>
        <v>6</v>
      </c>
      <c r="J1005" s="67" t="n">
        <f aca="false">IF($E1005="","",INDEX(资金日记账!$E$4:$E$603,48))</f>
        <v>0</v>
      </c>
      <c r="K1005" s="67" t="n">
        <f aca="false">IF($E1005="","",INDEX(资金日记账!$F$4:$F$603,48))</f>
        <v>0</v>
      </c>
      <c r="L1005" s="107" t="n">
        <f aca="false">IF($E1005="","",INDEX(资金日记账!$X$4:$X$603,48))</f>
        <v>0</v>
      </c>
      <c r="M1005" s="107"/>
      <c r="N1005" s="67" t="n">
        <f aca="false">IF($E1005="","",INDEX(资金日记账!$Y$4:$Y$603,48))</f>
        <v>0</v>
      </c>
      <c r="O1005" s="67" t="str">
        <f aca="false">IF($E1005="","","自动B")</f>
        <v>自动B</v>
      </c>
      <c r="P1005" s="18"/>
    </row>
    <row r="1006" customFormat="false" ht="18" hidden="false" customHeight="true" outlineLevel="0" collapsed="false">
      <c r="A1006" s="107" t="n">
        <f aca="false">IF($E1006="","",ROW()-3)</f>
        <v>1003</v>
      </c>
      <c r="B1006" s="110" t="n">
        <f aca="false">IF($E1006="","",INDEX(资金日记账!$B$4:$B$603,49))</f>
        <v>46272</v>
      </c>
      <c r="C1006" s="67" t="str">
        <f aca="false">IF($E1006="","",IF(INDEX(资金日记账!$W$4:$W$603,49)="","记-"&amp;TEXT($B1006,"YYYYMM")&amp;"-资金",INDEX(资金日记账!$W$4:$W$603,49)))</f>
        <v>记-202609-资金</v>
      </c>
      <c r="D1006" s="107" t="n">
        <f aca="false">IF($E1006="","",INDEX(资金日记账!$D$4:$D$603,49))</f>
        <v>0</v>
      </c>
      <c r="E1006" s="67" t="str">
        <f aca="false">IF(INDEX(资金日记账!$N$4:$S$603,49,1)=0,"",INDEX(资金日记账!$N$4:$S$603,49,1))</f>
        <v>管理费用</v>
      </c>
      <c r="F1006" s="99" t="str">
        <f aca="false">IF($E1006="","",IFERROR(INDEX(科目表!$A$4:$A$81,MATCH($E1006,科目表!$B$4:$B$81,0)),""))</f>
        <v>5602</v>
      </c>
      <c r="G1006" s="67" t="str">
        <f aca="false">IF($E1006="","",IFERROR(INDEX(科目表!$E$4:$E$81,MATCH($E1006,科目表!$B$4:$B$81,0)),""))</f>
        <v>管理费用</v>
      </c>
      <c r="H1006" s="70" t="n">
        <f aca="false">IF($E1006="","",N(INDEX(资金日记账!$N$4:$S$603,49,2)))</f>
        <v>34</v>
      </c>
      <c r="I1006" s="70" t="n">
        <f aca="false">IF($E1006="","",N(INDEX(资金日记账!$N$4:$S$603,49,3)))</f>
        <v>0</v>
      </c>
      <c r="J1006" s="67" t="n">
        <f aca="false">IF($E1006="","",INDEX(资金日记账!$E$4:$E$603,49))</f>
        <v>0</v>
      </c>
      <c r="K1006" s="67" t="n">
        <f aca="false">IF($E1006="","",INDEX(资金日记账!$F$4:$F$603,49))</f>
        <v>0</v>
      </c>
      <c r="L1006" s="107" t="n">
        <f aca="false">IF($E1006="","",INDEX(资金日记账!$X$4:$X$603,49))</f>
        <v>0</v>
      </c>
      <c r="M1006" s="107"/>
      <c r="N1006" s="67" t="n">
        <f aca="false">IF($E1006="","",INDEX(资金日记账!$Y$4:$Y$603,49))</f>
        <v>0</v>
      </c>
      <c r="O1006" s="67" t="str">
        <f aca="false">IF($E1006="","","自动B")</f>
        <v>自动B</v>
      </c>
      <c r="P1006" s="18"/>
    </row>
    <row r="1007" customFormat="false" ht="18" hidden="false" customHeight="true" outlineLevel="0" collapsed="false">
      <c r="A1007" s="107" t="n">
        <f aca="false">IF($E1007="","",ROW()-3)</f>
        <v>1004</v>
      </c>
      <c r="B1007" s="110" t="n">
        <f aca="false">IF($E1007="","",INDEX(资金日记账!$B$4:$B$603,49))</f>
        <v>46272</v>
      </c>
      <c r="C1007" s="67" t="str">
        <f aca="false">IF($E1007="","",IF(INDEX(资金日记账!$W$4:$W$603,49)="","记-"&amp;TEXT($B1007,"YYYYMM")&amp;"-资金",INDEX(资金日记账!$W$4:$W$603,49)))</f>
        <v>记-202609-资金</v>
      </c>
      <c r="D1007" s="107" t="n">
        <f aca="false">IF($E1007="","",INDEX(资金日记账!$D$4:$D$603,49))</f>
        <v>0</v>
      </c>
      <c r="E1007" s="67" t="str">
        <f aca="false">IF(INDEX(资金日记账!$N$4:$S$603,49,4)=0,"",INDEX(资金日记账!$N$4:$S$603,49,4))</f>
        <v>其他货币资金</v>
      </c>
      <c r="F1007" s="99" t="str">
        <f aca="false">IF($E1007="","",IFERROR(INDEX(科目表!$A$4:$A$81,MATCH($E1007,科目表!$B$4:$B$81,0)),""))</f>
        <v>1012</v>
      </c>
      <c r="G1007" s="67" t="str">
        <f aca="false">IF($E1007="","",IFERROR(INDEX(科目表!$E$4:$E$81,MATCH($E1007,科目表!$B$4:$B$81,0)),""))</f>
        <v>货币资金</v>
      </c>
      <c r="H1007" s="70" t="n">
        <f aca="false">IF($E1007="","",N(INDEX(资金日记账!$N$4:$S$603,49,5)))</f>
        <v>0</v>
      </c>
      <c r="I1007" s="70" t="n">
        <f aca="false">IF($E1007="","",N(INDEX(资金日记账!$N$4:$S$603,49,6)))</f>
        <v>34</v>
      </c>
      <c r="J1007" s="67" t="n">
        <f aca="false">IF($E1007="","",INDEX(资金日记账!$E$4:$E$603,49))</f>
        <v>0</v>
      </c>
      <c r="K1007" s="67" t="n">
        <f aca="false">IF($E1007="","",INDEX(资金日记账!$F$4:$F$603,49))</f>
        <v>0</v>
      </c>
      <c r="L1007" s="107" t="n">
        <f aca="false">IF($E1007="","",INDEX(资金日记账!$X$4:$X$603,49))</f>
        <v>0</v>
      </c>
      <c r="M1007" s="107"/>
      <c r="N1007" s="67" t="n">
        <f aca="false">IF($E1007="","",INDEX(资金日记账!$Y$4:$Y$603,49))</f>
        <v>0</v>
      </c>
      <c r="O1007" s="67" t="str">
        <f aca="false">IF($E1007="","","自动B")</f>
        <v>自动B</v>
      </c>
      <c r="P1007" s="18"/>
    </row>
    <row r="1008" customFormat="false" ht="18" hidden="false" customHeight="true" outlineLevel="0" collapsed="false">
      <c r="A1008" s="107" t="n">
        <f aca="false">IF($E1008="","",ROW()-3)</f>
        <v>1005</v>
      </c>
      <c r="B1008" s="110" t="n">
        <f aca="false">IF($E1008="","",INDEX(资金日记账!$B$4:$B$603,50))</f>
        <v>46272</v>
      </c>
      <c r="C1008" s="67" t="str">
        <f aca="false">IF($E1008="","",IF(INDEX(资金日记账!$W$4:$W$603,50)="","记-"&amp;TEXT($B1008,"YYYYMM")&amp;"-资金",INDEX(资金日记账!$W$4:$W$603,50)))</f>
        <v>记-202609-资金</v>
      </c>
      <c r="D1008" s="107" t="n">
        <f aca="false">IF($E1008="","",INDEX(资金日记账!$D$4:$D$603,50))</f>
        <v>0</v>
      </c>
      <c r="E1008" s="67" t="str">
        <f aca="false">IF(INDEX(资金日记账!$N$4:$S$603,50,1)=0,"",INDEX(资金日记账!$N$4:$S$603,50,1))</f>
        <v>管理费用</v>
      </c>
      <c r="F1008" s="99" t="str">
        <f aca="false">IF($E1008="","",IFERROR(INDEX(科目表!$A$4:$A$81,MATCH($E1008,科目表!$B$4:$B$81,0)),""))</f>
        <v>5602</v>
      </c>
      <c r="G1008" s="67" t="str">
        <f aca="false">IF($E1008="","",IFERROR(INDEX(科目表!$E$4:$E$81,MATCH($E1008,科目表!$B$4:$B$81,0)),""))</f>
        <v>管理费用</v>
      </c>
      <c r="H1008" s="70" t="n">
        <f aca="false">IF($E1008="","",N(INDEX(资金日记账!$N$4:$S$603,50,2)))</f>
        <v>6</v>
      </c>
      <c r="I1008" s="70" t="n">
        <f aca="false">IF($E1008="","",N(INDEX(资金日记账!$N$4:$S$603,50,3)))</f>
        <v>0</v>
      </c>
      <c r="J1008" s="67" t="n">
        <f aca="false">IF($E1008="","",INDEX(资金日记账!$E$4:$E$603,50))</f>
        <v>0</v>
      </c>
      <c r="K1008" s="67" t="n">
        <f aca="false">IF($E1008="","",INDEX(资金日记账!$F$4:$F$603,50))</f>
        <v>0</v>
      </c>
      <c r="L1008" s="107" t="n">
        <f aca="false">IF($E1008="","",INDEX(资金日记账!$X$4:$X$603,50))</f>
        <v>0</v>
      </c>
      <c r="M1008" s="107"/>
      <c r="N1008" s="67" t="n">
        <f aca="false">IF($E1008="","",INDEX(资金日记账!$Y$4:$Y$603,50))</f>
        <v>0</v>
      </c>
      <c r="O1008" s="67" t="str">
        <f aca="false">IF($E1008="","","自动B")</f>
        <v>自动B</v>
      </c>
      <c r="P1008" s="18"/>
    </row>
    <row r="1009" customFormat="false" ht="18" hidden="false" customHeight="true" outlineLevel="0" collapsed="false">
      <c r="A1009" s="107" t="n">
        <f aca="false">IF($E1009="","",ROW()-3)</f>
        <v>1006</v>
      </c>
      <c r="B1009" s="110" t="n">
        <f aca="false">IF($E1009="","",INDEX(资金日记账!$B$4:$B$603,50))</f>
        <v>46272</v>
      </c>
      <c r="C1009" s="67" t="str">
        <f aca="false">IF($E1009="","",IF(INDEX(资金日记账!$W$4:$W$603,50)="","记-"&amp;TEXT($B1009,"YYYYMM")&amp;"-资金",INDEX(资金日记账!$W$4:$W$603,50)))</f>
        <v>记-202609-资金</v>
      </c>
      <c r="D1009" s="107" t="n">
        <f aca="false">IF($E1009="","",INDEX(资金日记账!$D$4:$D$603,50))</f>
        <v>0</v>
      </c>
      <c r="E1009" s="67" t="str">
        <f aca="false">IF(INDEX(资金日记账!$N$4:$S$603,50,4)=0,"",INDEX(资金日记账!$N$4:$S$603,50,4))</f>
        <v>其他货币资金</v>
      </c>
      <c r="F1009" s="99" t="str">
        <f aca="false">IF($E1009="","",IFERROR(INDEX(科目表!$A$4:$A$81,MATCH($E1009,科目表!$B$4:$B$81,0)),""))</f>
        <v>1012</v>
      </c>
      <c r="G1009" s="67" t="str">
        <f aca="false">IF($E1009="","",IFERROR(INDEX(科目表!$E$4:$E$81,MATCH($E1009,科目表!$B$4:$B$81,0)),""))</f>
        <v>货币资金</v>
      </c>
      <c r="H1009" s="70" t="n">
        <f aca="false">IF($E1009="","",N(INDEX(资金日记账!$N$4:$S$603,50,5)))</f>
        <v>0</v>
      </c>
      <c r="I1009" s="70" t="n">
        <f aca="false">IF($E1009="","",N(INDEX(资金日记账!$N$4:$S$603,50,6)))</f>
        <v>6</v>
      </c>
      <c r="J1009" s="67" t="n">
        <f aca="false">IF($E1009="","",INDEX(资金日记账!$E$4:$E$603,50))</f>
        <v>0</v>
      </c>
      <c r="K1009" s="67" t="n">
        <f aca="false">IF($E1009="","",INDEX(资金日记账!$F$4:$F$603,50))</f>
        <v>0</v>
      </c>
      <c r="L1009" s="107" t="n">
        <f aca="false">IF($E1009="","",INDEX(资金日记账!$X$4:$X$603,50))</f>
        <v>0</v>
      </c>
      <c r="M1009" s="107"/>
      <c r="N1009" s="67" t="n">
        <f aca="false">IF($E1009="","",INDEX(资金日记账!$Y$4:$Y$603,50))</f>
        <v>0</v>
      </c>
      <c r="O1009" s="67" t="str">
        <f aca="false">IF($E1009="","","自动B")</f>
        <v>自动B</v>
      </c>
      <c r="P1009" s="18"/>
    </row>
    <row r="1010" customFormat="false" ht="18" hidden="false" customHeight="true" outlineLevel="0" collapsed="false">
      <c r="A1010" s="107" t="n">
        <f aca="false">IF($E1010="","",ROW()-3)</f>
        <v>1007</v>
      </c>
      <c r="B1010" s="110" t="n">
        <f aca="false">IF($E1010="","",INDEX(资金日记账!$B$4:$B$603,51))</f>
        <v>46272</v>
      </c>
      <c r="C1010" s="67" t="str">
        <f aca="false">IF($E1010="","",IF(INDEX(资金日记账!$W$4:$W$603,51)="","记-"&amp;TEXT($B1010,"YYYYMM")&amp;"-资金",INDEX(资金日记账!$W$4:$W$603,51)))</f>
        <v>记-202609-资金</v>
      </c>
      <c r="D1010" s="107" t="n">
        <f aca="false">IF($E1010="","",INDEX(资金日记账!$D$4:$D$603,51))</f>
        <v>0</v>
      </c>
      <c r="E1010" s="67" t="str">
        <f aca="false">IF(INDEX(资金日记账!$N$4:$S$603,51,1)=0,"",INDEX(资金日记账!$N$4:$S$603,51,1))</f>
        <v>管理费用</v>
      </c>
      <c r="F1010" s="99" t="str">
        <f aca="false">IF($E1010="","",IFERROR(INDEX(科目表!$A$4:$A$81,MATCH($E1010,科目表!$B$4:$B$81,0)),""))</f>
        <v>5602</v>
      </c>
      <c r="G1010" s="67" t="str">
        <f aca="false">IF($E1010="","",IFERROR(INDEX(科目表!$E$4:$E$81,MATCH($E1010,科目表!$B$4:$B$81,0)),""))</f>
        <v>管理费用</v>
      </c>
      <c r="H1010" s="70" t="n">
        <f aca="false">IF($E1010="","",N(INDEX(资金日记账!$N$4:$S$603,51,2)))</f>
        <v>150</v>
      </c>
      <c r="I1010" s="70" t="n">
        <f aca="false">IF($E1010="","",N(INDEX(资金日记账!$N$4:$S$603,51,3)))</f>
        <v>0</v>
      </c>
      <c r="J1010" s="67" t="n">
        <f aca="false">IF($E1010="","",INDEX(资金日记账!$E$4:$E$603,51))</f>
        <v>0</v>
      </c>
      <c r="K1010" s="67" t="n">
        <f aca="false">IF($E1010="","",INDEX(资金日记账!$F$4:$F$603,51))</f>
        <v>0</v>
      </c>
      <c r="L1010" s="107" t="n">
        <f aca="false">IF($E1010="","",INDEX(资金日记账!$X$4:$X$603,51))</f>
        <v>0</v>
      </c>
      <c r="M1010" s="107"/>
      <c r="N1010" s="67" t="n">
        <f aca="false">IF($E1010="","",INDEX(资金日记账!$Y$4:$Y$603,51))</f>
        <v>0</v>
      </c>
      <c r="O1010" s="67" t="str">
        <f aca="false">IF($E1010="","","自动B")</f>
        <v>自动B</v>
      </c>
      <c r="P1010" s="18"/>
    </row>
    <row r="1011" customFormat="false" ht="18" hidden="false" customHeight="true" outlineLevel="0" collapsed="false">
      <c r="A1011" s="107" t="n">
        <f aca="false">IF($E1011="","",ROW()-3)</f>
        <v>1008</v>
      </c>
      <c r="B1011" s="110" t="n">
        <f aca="false">IF($E1011="","",INDEX(资金日记账!$B$4:$B$603,51))</f>
        <v>46272</v>
      </c>
      <c r="C1011" s="67" t="str">
        <f aca="false">IF($E1011="","",IF(INDEX(资金日记账!$W$4:$W$603,51)="","记-"&amp;TEXT($B1011,"YYYYMM")&amp;"-资金",INDEX(资金日记账!$W$4:$W$603,51)))</f>
        <v>记-202609-资金</v>
      </c>
      <c r="D1011" s="107" t="n">
        <f aca="false">IF($E1011="","",INDEX(资金日记账!$D$4:$D$603,51))</f>
        <v>0</v>
      </c>
      <c r="E1011" s="67" t="str">
        <f aca="false">IF(INDEX(资金日记账!$N$4:$S$603,51,4)=0,"",INDEX(资金日记账!$N$4:$S$603,51,4))</f>
        <v>其他货币资金</v>
      </c>
      <c r="F1011" s="99" t="str">
        <f aca="false">IF($E1011="","",IFERROR(INDEX(科目表!$A$4:$A$81,MATCH($E1011,科目表!$B$4:$B$81,0)),""))</f>
        <v>1012</v>
      </c>
      <c r="G1011" s="67" t="str">
        <f aca="false">IF($E1011="","",IFERROR(INDEX(科目表!$E$4:$E$81,MATCH($E1011,科目表!$B$4:$B$81,0)),""))</f>
        <v>货币资金</v>
      </c>
      <c r="H1011" s="70" t="n">
        <f aca="false">IF($E1011="","",N(INDEX(资金日记账!$N$4:$S$603,51,5)))</f>
        <v>0</v>
      </c>
      <c r="I1011" s="70" t="n">
        <f aca="false">IF($E1011="","",N(INDEX(资金日记账!$N$4:$S$603,51,6)))</f>
        <v>150</v>
      </c>
      <c r="J1011" s="67" t="n">
        <f aca="false">IF($E1011="","",INDEX(资金日记账!$E$4:$E$603,51))</f>
        <v>0</v>
      </c>
      <c r="K1011" s="67" t="n">
        <f aca="false">IF($E1011="","",INDEX(资金日记账!$F$4:$F$603,51))</f>
        <v>0</v>
      </c>
      <c r="L1011" s="107" t="n">
        <f aca="false">IF($E1011="","",INDEX(资金日记账!$X$4:$X$603,51))</f>
        <v>0</v>
      </c>
      <c r="M1011" s="107"/>
      <c r="N1011" s="67" t="n">
        <f aca="false">IF($E1011="","",INDEX(资金日记账!$Y$4:$Y$603,51))</f>
        <v>0</v>
      </c>
      <c r="O1011" s="67" t="str">
        <f aca="false">IF($E1011="","","自动B")</f>
        <v>自动B</v>
      </c>
      <c r="P1011" s="18"/>
    </row>
    <row r="1012" customFormat="false" ht="18" hidden="false" customHeight="true" outlineLevel="0" collapsed="false">
      <c r="A1012" s="107" t="n">
        <f aca="false">IF($E1012="","",ROW()-3)</f>
        <v>1009</v>
      </c>
      <c r="B1012" s="110" t="n">
        <f aca="false">IF($E1012="","",INDEX(资金日记账!$B$4:$B$603,52))</f>
        <v>46273</v>
      </c>
      <c r="C1012" s="67" t="str">
        <f aca="false">IF($E1012="","",IF(INDEX(资金日记账!$W$4:$W$603,52)="","记-"&amp;TEXT($B1012,"YYYYMM")&amp;"-资金",INDEX(资金日记账!$W$4:$W$603,52)))</f>
        <v>记-202609-资金</v>
      </c>
      <c r="D1012" s="107" t="n">
        <f aca="false">IF($E1012="","",INDEX(资金日记账!$D$4:$D$603,52))</f>
        <v>0</v>
      </c>
      <c r="E1012" s="67" t="str">
        <f aca="false">IF(INDEX(资金日记账!$N$4:$S$603,52,1)=0,"",INDEX(资金日记账!$N$4:$S$603,52,1))</f>
        <v>其他货币资金</v>
      </c>
      <c r="F1012" s="99" t="str">
        <f aca="false">IF($E1012="","",IFERROR(INDEX(科目表!$A$4:$A$81,MATCH($E1012,科目表!$B$4:$B$81,0)),""))</f>
        <v>1012</v>
      </c>
      <c r="G1012" s="67" t="str">
        <f aca="false">IF($E1012="","",IFERROR(INDEX(科目表!$E$4:$E$81,MATCH($E1012,科目表!$B$4:$B$81,0)),""))</f>
        <v>货币资金</v>
      </c>
      <c r="H1012" s="70" t="n">
        <f aca="false">IF($E1012="","",N(INDEX(资金日记账!$N$4:$S$603,52,2)))</f>
        <v>836</v>
      </c>
      <c r="I1012" s="70" t="n">
        <f aca="false">IF($E1012="","",N(INDEX(资金日记账!$N$4:$S$603,52,3)))</f>
        <v>0</v>
      </c>
      <c r="J1012" s="67" t="str">
        <f aca="false">IF($E1012="","",INDEX(资金日记账!$E$4:$E$603,52))</f>
        <v>伍元虎</v>
      </c>
      <c r="K1012" s="67" t="str">
        <f aca="false">IF($E1012="","",INDEX(资金日记账!$F$4:$F$603,52))</f>
        <v>装卸费</v>
      </c>
      <c r="L1012" s="107" t="n">
        <f aca="false">IF($E1012="","",INDEX(资金日记账!$X$4:$X$603,52))</f>
        <v>0</v>
      </c>
      <c r="M1012" s="107"/>
      <c r="N1012" s="67" t="n">
        <f aca="false">IF($E1012="","",INDEX(资金日记账!$Y$4:$Y$603,52))</f>
        <v>0</v>
      </c>
      <c r="O1012" s="67" t="str">
        <f aca="false">IF($E1012="","","自动B")</f>
        <v>自动B</v>
      </c>
      <c r="P1012" s="18"/>
    </row>
    <row r="1013" customFormat="false" ht="18" hidden="false" customHeight="true" outlineLevel="0" collapsed="false">
      <c r="A1013" s="107" t="n">
        <f aca="false">IF($E1013="","",ROW()-3)</f>
        <v>1010</v>
      </c>
      <c r="B1013" s="110" t="n">
        <f aca="false">IF($E1013="","",INDEX(资金日记账!$B$4:$B$603,52))</f>
        <v>46273</v>
      </c>
      <c r="C1013" s="67" t="str">
        <f aca="false">IF($E1013="","",IF(INDEX(资金日记账!$W$4:$W$603,52)="","记-"&amp;TEXT($B1013,"YYYYMM")&amp;"-资金",INDEX(资金日记账!$W$4:$W$603,52)))</f>
        <v>记-202609-资金</v>
      </c>
      <c r="D1013" s="107" t="n">
        <f aca="false">IF($E1013="","",INDEX(资金日记账!$D$4:$D$603,52))</f>
        <v>0</v>
      </c>
      <c r="E1013" s="67" t="str">
        <f aca="false">IF(INDEX(资金日记账!$N$4:$S$603,52,4)=0,"",INDEX(资金日记账!$N$4:$S$603,52,4))</f>
        <v>应收账款</v>
      </c>
      <c r="F1013" s="99" t="str">
        <f aca="false">IF($E1013="","",IFERROR(INDEX(科目表!$A$4:$A$81,MATCH($E1013,科目表!$B$4:$B$81,0)),""))</f>
        <v>1122</v>
      </c>
      <c r="G1013" s="67" t="str">
        <f aca="false">IF($E1013="","",IFERROR(INDEX(科目表!$E$4:$E$81,MATCH($E1013,科目表!$B$4:$B$81,0)),""))</f>
        <v>应收账款</v>
      </c>
      <c r="H1013" s="70" t="n">
        <f aca="false">IF($E1013="","",N(INDEX(资金日记账!$N$4:$S$603,52,5)))</f>
        <v>0</v>
      </c>
      <c r="I1013" s="70" t="n">
        <f aca="false">IF($E1013="","",N(INDEX(资金日记账!$N$4:$S$603,52,6)))</f>
        <v>836</v>
      </c>
      <c r="J1013" s="67" t="str">
        <f aca="false">IF($E1013="","",INDEX(资金日记账!$E$4:$E$603,52))</f>
        <v>伍元虎</v>
      </c>
      <c r="K1013" s="67" t="str">
        <f aca="false">IF($E1013="","",INDEX(资金日记账!$F$4:$F$603,52))</f>
        <v>装卸费</v>
      </c>
      <c r="L1013" s="107" t="n">
        <f aca="false">IF($E1013="","",INDEX(资金日记账!$X$4:$X$603,52))</f>
        <v>0</v>
      </c>
      <c r="M1013" s="107"/>
      <c r="N1013" s="67" t="n">
        <f aca="false">IF($E1013="","",INDEX(资金日记账!$Y$4:$Y$603,52))</f>
        <v>0</v>
      </c>
      <c r="O1013" s="67" t="str">
        <f aca="false">IF($E1013="","","自动B")</f>
        <v>自动B</v>
      </c>
      <c r="P1013" s="18"/>
    </row>
    <row r="1014" customFormat="false" ht="18" hidden="false" customHeight="true" outlineLevel="0" collapsed="false">
      <c r="A1014" s="107" t="n">
        <f aca="false">IF($E1014="","",ROW()-3)</f>
        <v>1011</v>
      </c>
      <c r="B1014" s="110" t="n">
        <f aca="false">IF($E1014="","",INDEX(资金日记账!$B$4:$B$603,53))</f>
        <v>46273</v>
      </c>
      <c r="C1014" s="67" t="str">
        <f aca="false">IF($E1014="","",IF(INDEX(资金日记账!$W$4:$W$603,53)="","记-"&amp;TEXT($B1014,"YYYYMM")&amp;"-资金",INDEX(资金日记账!$W$4:$W$603,53)))</f>
        <v>记-202609-资金</v>
      </c>
      <c r="D1014" s="107" t="str">
        <f aca="false">IF($E1014="","",INDEX(资金日记账!$D$4:$D$603,53))</f>
        <v>火锅</v>
      </c>
      <c r="E1014" s="67" t="str">
        <f aca="false">IF(INDEX(资金日记账!$N$4:$S$603,53,1)=0,"",INDEX(资金日记账!$N$4:$S$603,53,1))</f>
        <v>管理费用</v>
      </c>
      <c r="F1014" s="99" t="str">
        <f aca="false">IF($E1014="","",IFERROR(INDEX(科目表!$A$4:$A$81,MATCH($E1014,科目表!$B$4:$B$81,0)),""))</f>
        <v>5602</v>
      </c>
      <c r="G1014" s="67" t="str">
        <f aca="false">IF($E1014="","",IFERROR(INDEX(科目表!$E$4:$E$81,MATCH($E1014,科目表!$B$4:$B$81,0)),""))</f>
        <v>管理费用</v>
      </c>
      <c r="H1014" s="70" t="n">
        <f aca="false">IF($E1014="","",N(INDEX(资金日记账!$N$4:$S$603,53,2)))</f>
        <v>265</v>
      </c>
      <c r="I1014" s="70" t="n">
        <f aca="false">IF($E1014="","",N(INDEX(资金日记账!$N$4:$S$603,53,3)))</f>
        <v>0</v>
      </c>
      <c r="J1014" s="67" t="n">
        <f aca="false">IF($E1014="","",INDEX(资金日记账!$E$4:$E$603,53))</f>
        <v>0</v>
      </c>
      <c r="K1014" s="67" t="n">
        <f aca="false">IF($E1014="","",INDEX(资金日记账!$F$4:$F$603,53))</f>
        <v>0</v>
      </c>
      <c r="L1014" s="107" t="n">
        <f aca="false">IF($E1014="","",INDEX(资金日记账!$X$4:$X$603,53))</f>
        <v>0</v>
      </c>
      <c r="M1014" s="107"/>
      <c r="N1014" s="67" t="n">
        <f aca="false">IF($E1014="","",INDEX(资金日记账!$Y$4:$Y$603,53))</f>
        <v>0</v>
      </c>
      <c r="O1014" s="67" t="str">
        <f aca="false">IF($E1014="","","自动B")</f>
        <v>自动B</v>
      </c>
      <c r="P1014" s="18"/>
    </row>
    <row r="1015" customFormat="false" ht="18" hidden="false" customHeight="true" outlineLevel="0" collapsed="false">
      <c r="A1015" s="107" t="n">
        <f aca="false">IF($E1015="","",ROW()-3)</f>
        <v>1012</v>
      </c>
      <c r="B1015" s="110" t="n">
        <f aca="false">IF($E1015="","",INDEX(资金日记账!$B$4:$B$603,53))</f>
        <v>46273</v>
      </c>
      <c r="C1015" s="67" t="str">
        <f aca="false">IF($E1015="","",IF(INDEX(资金日记账!$W$4:$W$603,53)="","记-"&amp;TEXT($B1015,"YYYYMM")&amp;"-资金",INDEX(资金日记账!$W$4:$W$603,53)))</f>
        <v>记-202609-资金</v>
      </c>
      <c r="D1015" s="107" t="str">
        <f aca="false">IF($E1015="","",INDEX(资金日记账!$D$4:$D$603,53))</f>
        <v>火锅</v>
      </c>
      <c r="E1015" s="67" t="str">
        <f aca="false">IF(INDEX(资金日记账!$N$4:$S$603,53,4)=0,"",INDEX(资金日记账!$N$4:$S$603,53,4))</f>
        <v>其他货币资金</v>
      </c>
      <c r="F1015" s="99" t="str">
        <f aca="false">IF($E1015="","",IFERROR(INDEX(科目表!$A$4:$A$81,MATCH($E1015,科目表!$B$4:$B$81,0)),""))</f>
        <v>1012</v>
      </c>
      <c r="G1015" s="67" t="str">
        <f aca="false">IF($E1015="","",IFERROR(INDEX(科目表!$E$4:$E$81,MATCH($E1015,科目表!$B$4:$B$81,0)),""))</f>
        <v>货币资金</v>
      </c>
      <c r="H1015" s="70" t="n">
        <f aca="false">IF($E1015="","",N(INDEX(资金日记账!$N$4:$S$603,53,5)))</f>
        <v>0</v>
      </c>
      <c r="I1015" s="70" t="n">
        <f aca="false">IF($E1015="","",N(INDEX(资金日记账!$N$4:$S$603,53,6)))</f>
        <v>265</v>
      </c>
      <c r="J1015" s="67" t="n">
        <f aca="false">IF($E1015="","",INDEX(资金日记账!$E$4:$E$603,53))</f>
        <v>0</v>
      </c>
      <c r="K1015" s="67" t="n">
        <f aca="false">IF($E1015="","",INDEX(资金日记账!$F$4:$F$603,53))</f>
        <v>0</v>
      </c>
      <c r="L1015" s="107" t="n">
        <f aca="false">IF($E1015="","",INDEX(资金日记账!$X$4:$X$603,53))</f>
        <v>0</v>
      </c>
      <c r="M1015" s="107"/>
      <c r="N1015" s="67" t="n">
        <f aca="false">IF($E1015="","",INDEX(资金日记账!$Y$4:$Y$603,53))</f>
        <v>0</v>
      </c>
      <c r="O1015" s="67" t="str">
        <f aca="false">IF($E1015="","","自动B")</f>
        <v>自动B</v>
      </c>
      <c r="P1015" s="18"/>
    </row>
    <row r="1016" customFormat="false" ht="18" hidden="false" customHeight="true" outlineLevel="0" collapsed="false">
      <c r="A1016" s="107" t="n">
        <f aca="false">IF($E1016="","",ROW()-3)</f>
        <v>1013</v>
      </c>
      <c r="B1016" s="110" t="n">
        <f aca="false">IF($E1016="","",INDEX(资金日记账!$B$4:$B$603,54))</f>
        <v>46274</v>
      </c>
      <c r="C1016" s="67" t="str">
        <f aca="false">IF($E1016="","",IF(INDEX(资金日记账!$W$4:$W$603,54)="","记-"&amp;TEXT($B1016,"YYYYMM")&amp;"-资金",INDEX(资金日记账!$W$4:$W$603,54)))</f>
        <v>记-202609-资金</v>
      </c>
      <c r="D1016" s="107" t="str">
        <f aca="false">IF($E1016="","",INDEX(资金日记账!$D$4:$D$603,54))</f>
        <v>定金</v>
      </c>
      <c r="E1016" s="67" t="str">
        <f aca="false">IF(INDEX(资金日记账!$N$4:$S$603,54,1)=0,"",INDEX(资金日记账!$N$4:$S$603,54,1))</f>
        <v>其他货币资金</v>
      </c>
      <c r="F1016" s="99" t="str">
        <f aca="false">IF($E1016="","",IFERROR(INDEX(科目表!$A$4:$A$81,MATCH($E1016,科目表!$B$4:$B$81,0)),""))</f>
        <v>1012</v>
      </c>
      <c r="G1016" s="67" t="str">
        <f aca="false">IF($E1016="","",IFERROR(INDEX(科目表!$E$4:$E$81,MATCH($E1016,科目表!$B$4:$B$81,0)),""))</f>
        <v>货币资金</v>
      </c>
      <c r="H1016" s="70" t="n">
        <f aca="false">IF($E1016="","",N(INDEX(资金日记账!$N$4:$S$603,54,2)))</f>
        <v>2000</v>
      </c>
      <c r="I1016" s="70" t="n">
        <f aca="false">IF($E1016="","",N(INDEX(资金日记账!$N$4:$S$603,54,3)))</f>
        <v>0</v>
      </c>
      <c r="J1016" s="67" t="str">
        <f aca="false">IF($E1016="","",INDEX(资金日记账!$E$4:$E$603,54))</f>
        <v>吐尔逊</v>
      </c>
      <c r="K1016" s="67" t="str">
        <f aca="false">IF($E1016="","",INDEX(资金日记账!$F$4:$F$603,54))</f>
        <v>租库定金</v>
      </c>
      <c r="L1016" s="107" t="n">
        <f aca="false">IF($E1016="","",INDEX(资金日记账!$X$4:$X$603,54))</f>
        <v>0</v>
      </c>
      <c r="M1016" s="107"/>
      <c r="N1016" s="67" t="n">
        <f aca="false">IF($E1016="","",INDEX(资金日记账!$Y$4:$Y$603,54))</f>
        <v>0</v>
      </c>
      <c r="O1016" s="67" t="str">
        <f aca="false">IF($E1016="","","自动B")</f>
        <v>自动B</v>
      </c>
      <c r="P1016" s="18"/>
    </row>
    <row r="1017" customFormat="false" ht="18" hidden="false" customHeight="true" outlineLevel="0" collapsed="false">
      <c r="A1017" s="107" t="n">
        <f aca="false">IF($E1017="","",ROW()-3)</f>
        <v>1014</v>
      </c>
      <c r="B1017" s="110" t="n">
        <f aca="false">IF($E1017="","",INDEX(资金日记账!$B$4:$B$603,54))</f>
        <v>46274</v>
      </c>
      <c r="C1017" s="67" t="str">
        <f aca="false">IF($E1017="","",IF(INDEX(资金日记账!$W$4:$W$603,54)="","记-"&amp;TEXT($B1017,"YYYYMM")&amp;"-资金",INDEX(资金日记账!$W$4:$W$603,54)))</f>
        <v>记-202609-资金</v>
      </c>
      <c r="D1017" s="107" t="str">
        <f aca="false">IF($E1017="","",INDEX(资金日记账!$D$4:$D$603,54))</f>
        <v>定金</v>
      </c>
      <c r="E1017" s="67" t="str">
        <f aca="false">IF(INDEX(资金日记账!$N$4:$S$603,54,4)=0,"",INDEX(资金日记账!$N$4:$S$603,54,4))</f>
        <v>预付账款</v>
      </c>
      <c r="F1017" s="99" t="str">
        <f aca="false">IF($E1017="","",IFERROR(INDEX(科目表!$A$4:$A$81,MATCH($E1017,科目表!$B$4:$B$81,0)),""))</f>
        <v>1123</v>
      </c>
      <c r="G1017" s="67" t="str">
        <f aca="false">IF($E1017="","",IFERROR(INDEX(科目表!$E$4:$E$81,MATCH($E1017,科目表!$B$4:$B$81,0)),""))</f>
        <v>预付款项</v>
      </c>
      <c r="H1017" s="70" t="n">
        <f aca="false">IF($E1017="","",N(INDEX(资金日记账!$N$4:$S$603,54,5)))</f>
        <v>0</v>
      </c>
      <c r="I1017" s="70" t="n">
        <f aca="false">IF($E1017="","",N(INDEX(资金日记账!$N$4:$S$603,54,6)))</f>
        <v>2000</v>
      </c>
      <c r="J1017" s="67" t="str">
        <f aca="false">IF($E1017="","",INDEX(资金日记账!$E$4:$E$603,54))</f>
        <v>吐尔逊</v>
      </c>
      <c r="K1017" s="67" t="str">
        <f aca="false">IF($E1017="","",INDEX(资金日记账!$F$4:$F$603,54))</f>
        <v>租库定金</v>
      </c>
      <c r="L1017" s="107" t="n">
        <f aca="false">IF($E1017="","",INDEX(资金日记账!$X$4:$X$603,54))</f>
        <v>0</v>
      </c>
      <c r="M1017" s="107"/>
      <c r="N1017" s="67" t="n">
        <f aca="false">IF($E1017="","",INDEX(资金日记账!$Y$4:$Y$603,54))</f>
        <v>0</v>
      </c>
      <c r="O1017" s="67" t="str">
        <f aca="false">IF($E1017="","","自动B")</f>
        <v>自动B</v>
      </c>
      <c r="P1017" s="18"/>
    </row>
    <row r="1018" customFormat="false" ht="18" hidden="false" customHeight="true" outlineLevel="0" collapsed="false">
      <c r="A1018" s="107" t="n">
        <f aca="false">IF($E1018="","",ROW()-3)</f>
        <v>1015</v>
      </c>
      <c r="B1018" s="110" t="n">
        <f aca="false">IF($E1018="","",INDEX(资金日记账!$B$4:$B$603,55))</f>
        <v>46274</v>
      </c>
      <c r="C1018" s="67" t="str">
        <f aca="false">IF($E1018="","",IF(INDEX(资金日记账!$W$4:$W$603,55)="","记-"&amp;TEXT($B1018,"YYYYMM")&amp;"-资金",INDEX(资金日记账!$W$4:$W$603,55)))</f>
        <v>记-202609-资金</v>
      </c>
      <c r="D1018" s="107" t="n">
        <f aca="false">IF($E1018="","",INDEX(资金日记账!$D$4:$D$603,55))</f>
        <v>0</v>
      </c>
      <c r="E1018" s="67" t="str">
        <f aca="false">IF(INDEX(资金日记账!$N$4:$S$603,55,1)=0,"",INDEX(资金日记账!$N$4:$S$603,55,1))</f>
        <v>管理费用</v>
      </c>
      <c r="F1018" s="99" t="str">
        <f aca="false">IF($E1018="","",IFERROR(INDEX(科目表!$A$4:$A$81,MATCH($E1018,科目表!$B$4:$B$81,0)),""))</f>
        <v>5602</v>
      </c>
      <c r="G1018" s="67" t="str">
        <f aca="false">IF($E1018="","",IFERROR(INDEX(科目表!$E$4:$E$81,MATCH($E1018,科目表!$B$4:$B$81,0)),""))</f>
        <v>管理费用</v>
      </c>
      <c r="H1018" s="70" t="n">
        <f aca="false">IF($E1018="","",N(INDEX(资金日记账!$N$4:$S$603,55,2)))</f>
        <v>190</v>
      </c>
      <c r="I1018" s="70" t="n">
        <f aca="false">IF($E1018="","",N(INDEX(资金日记账!$N$4:$S$603,55,3)))</f>
        <v>0</v>
      </c>
      <c r="J1018" s="67" t="n">
        <f aca="false">IF($E1018="","",INDEX(资金日记账!$E$4:$E$603,55))</f>
        <v>0</v>
      </c>
      <c r="K1018" s="67" t="n">
        <f aca="false">IF($E1018="","",INDEX(资金日记账!$F$4:$F$603,55))</f>
        <v>0</v>
      </c>
      <c r="L1018" s="107" t="n">
        <f aca="false">IF($E1018="","",INDEX(资金日记账!$X$4:$X$603,55))</f>
        <v>0</v>
      </c>
      <c r="M1018" s="107"/>
      <c r="N1018" s="67" t="n">
        <f aca="false">IF($E1018="","",INDEX(资金日记账!$Y$4:$Y$603,55))</f>
        <v>0</v>
      </c>
      <c r="O1018" s="67" t="str">
        <f aca="false">IF($E1018="","","自动B")</f>
        <v>自动B</v>
      </c>
      <c r="P1018" s="18"/>
    </row>
    <row r="1019" customFormat="false" ht="18" hidden="false" customHeight="true" outlineLevel="0" collapsed="false">
      <c r="A1019" s="107" t="n">
        <f aca="false">IF($E1019="","",ROW()-3)</f>
        <v>1016</v>
      </c>
      <c r="B1019" s="110" t="n">
        <f aca="false">IF($E1019="","",INDEX(资金日记账!$B$4:$B$603,55))</f>
        <v>46274</v>
      </c>
      <c r="C1019" s="67" t="str">
        <f aca="false">IF($E1019="","",IF(INDEX(资金日记账!$W$4:$W$603,55)="","记-"&amp;TEXT($B1019,"YYYYMM")&amp;"-资金",INDEX(资金日记账!$W$4:$W$603,55)))</f>
        <v>记-202609-资金</v>
      </c>
      <c r="D1019" s="107" t="n">
        <f aca="false">IF($E1019="","",INDEX(资金日记账!$D$4:$D$603,55))</f>
        <v>0</v>
      </c>
      <c r="E1019" s="67" t="str">
        <f aca="false">IF(INDEX(资金日记账!$N$4:$S$603,55,4)=0,"",INDEX(资金日记账!$N$4:$S$603,55,4))</f>
        <v>其他货币资金</v>
      </c>
      <c r="F1019" s="99" t="str">
        <f aca="false">IF($E1019="","",IFERROR(INDEX(科目表!$A$4:$A$81,MATCH($E1019,科目表!$B$4:$B$81,0)),""))</f>
        <v>1012</v>
      </c>
      <c r="G1019" s="67" t="str">
        <f aca="false">IF($E1019="","",IFERROR(INDEX(科目表!$E$4:$E$81,MATCH($E1019,科目表!$B$4:$B$81,0)),""))</f>
        <v>货币资金</v>
      </c>
      <c r="H1019" s="70" t="n">
        <f aca="false">IF($E1019="","",N(INDEX(资金日记账!$N$4:$S$603,55,5)))</f>
        <v>0</v>
      </c>
      <c r="I1019" s="70" t="n">
        <f aca="false">IF($E1019="","",N(INDEX(资金日记账!$N$4:$S$603,55,6)))</f>
        <v>190</v>
      </c>
      <c r="J1019" s="67" t="n">
        <f aca="false">IF($E1019="","",INDEX(资金日记账!$E$4:$E$603,55))</f>
        <v>0</v>
      </c>
      <c r="K1019" s="67" t="n">
        <f aca="false">IF($E1019="","",INDEX(资金日记账!$F$4:$F$603,55))</f>
        <v>0</v>
      </c>
      <c r="L1019" s="107" t="n">
        <f aca="false">IF($E1019="","",INDEX(资金日记账!$X$4:$X$603,55))</f>
        <v>0</v>
      </c>
      <c r="M1019" s="107"/>
      <c r="N1019" s="67" t="n">
        <f aca="false">IF($E1019="","",INDEX(资金日记账!$Y$4:$Y$603,55))</f>
        <v>0</v>
      </c>
      <c r="O1019" s="67" t="str">
        <f aca="false">IF($E1019="","","自动B")</f>
        <v>自动B</v>
      </c>
      <c r="P1019" s="18"/>
    </row>
    <row r="1020" customFormat="false" ht="18" hidden="false" customHeight="true" outlineLevel="0" collapsed="false">
      <c r="A1020" s="107" t="n">
        <f aca="false">IF($E1020="","",ROW()-3)</f>
        <v>1017</v>
      </c>
      <c r="B1020" s="110" t="n">
        <f aca="false">IF($E1020="","",INDEX(资金日记账!$B$4:$B$603,56))</f>
        <v>46274</v>
      </c>
      <c r="C1020" s="67" t="str">
        <f aca="false">IF($E1020="","",IF(INDEX(资金日记账!$W$4:$W$603,56)="","记-"&amp;TEXT($B1020,"YYYYMM")&amp;"-资金",INDEX(资金日记账!$W$4:$W$603,56)))</f>
        <v>记-202609-资金</v>
      </c>
      <c r="D1020" s="107" t="n">
        <f aca="false">IF($E1020="","",INDEX(资金日记账!$D$4:$D$603,56))</f>
        <v>0</v>
      </c>
      <c r="E1020" s="67" t="str">
        <f aca="false">IF(INDEX(资金日记账!$N$4:$S$603,56,1)=0,"",INDEX(资金日记账!$N$4:$S$603,56,1))</f>
        <v>管理费用</v>
      </c>
      <c r="F1020" s="99" t="str">
        <f aca="false">IF($E1020="","",IFERROR(INDEX(科目表!$A$4:$A$81,MATCH($E1020,科目表!$B$4:$B$81,0)),""))</f>
        <v>5602</v>
      </c>
      <c r="G1020" s="67" t="str">
        <f aca="false">IF($E1020="","",IFERROR(INDEX(科目表!$E$4:$E$81,MATCH($E1020,科目表!$B$4:$B$81,0)),""))</f>
        <v>管理费用</v>
      </c>
      <c r="H1020" s="70" t="n">
        <f aca="false">IF($E1020="","",N(INDEX(资金日记账!$N$4:$S$603,56,2)))</f>
        <v>3</v>
      </c>
      <c r="I1020" s="70" t="n">
        <f aca="false">IF($E1020="","",N(INDEX(资金日记账!$N$4:$S$603,56,3)))</f>
        <v>0</v>
      </c>
      <c r="J1020" s="67" t="n">
        <f aca="false">IF($E1020="","",INDEX(资金日记账!$E$4:$E$603,56))</f>
        <v>0</v>
      </c>
      <c r="K1020" s="67" t="n">
        <f aca="false">IF($E1020="","",INDEX(资金日记账!$F$4:$F$603,56))</f>
        <v>0</v>
      </c>
      <c r="L1020" s="107" t="n">
        <f aca="false">IF($E1020="","",INDEX(资金日记账!$X$4:$X$603,56))</f>
        <v>0</v>
      </c>
      <c r="M1020" s="107"/>
      <c r="N1020" s="67" t="n">
        <f aca="false">IF($E1020="","",INDEX(资金日记账!$Y$4:$Y$603,56))</f>
        <v>0</v>
      </c>
      <c r="O1020" s="67" t="str">
        <f aca="false">IF($E1020="","","自动B")</f>
        <v>自动B</v>
      </c>
      <c r="P1020" s="18"/>
    </row>
    <row r="1021" customFormat="false" ht="18" hidden="false" customHeight="true" outlineLevel="0" collapsed="false">
      <c r="A1021" s="107" t="n">
        <f aca="false">IF($E1021="","",ROW()-3)</f>
        <v>1018</v>
      </c>
      <c r="B1021" s="110" t="n">
        <f aca="false">IF($E1021="","",INDEX(资金日记账!$B$4:$B$603,56))</f>
        <v>46274</v>
      </c>
      <c r="C1021" s="67" t="str">
        <f aca="false">IF($E1021="","",IF(INDEX(资金日记账!$W$4:$W$603,56)="","记-"&amp;TEXT($B1021,"YYYYMM")&amp;"-资金",INDEX(资金日记账!$W$4:$W$603,56)))</f>
        <v>记-202609-资金</v>
      </c>
      <c r="D1021" s="107" t="n">
        <f aca="false">IF($E1021="","",INDEX(资金日记账!$D$4:$D$603,56))</f>
        <v>0</v>
      </c>
      <c r="E1021" s="67" t="str">
        <f aca="false">IF(INDEX(资金日记账!$N$4:$S$603,56,4)=0,"",INDEX(资金日记账!$N$4:$S$603,56,4))</f>
        <v>其他货币资金</v>
      </c>
      <c r="F1021" s="99" t="str">
        <f aca="false">IF($E1021="","",IFERROR(INDEX(科目表!$A$4:$A$81,MATCH($E1021,科目表!$B$4:$B$81,0)),""))</f>
        <v>1012</v>
      </c>
      <c r="G1021" s="67" t="str">
        <f aca="false">IF($E1021="","",IFERROR(INDEX(科目表!$E$4:$E$81,MATCH($E1021,科目表!$B$4:$B$81,0)),""))</f>
        <v>货币资金</v>
      </c>
      <c r="H1021" s="70" t="n">
        <f aca="false">IF($E1021="","",N(INDEX(资金日记账!$N$4:$S$603,56,5)))</f>
        <v>0</v>
      </c>
      <c r="I1021" s="70" t="n">
        <f aca="false">IF($E1021="","",N(INDEX(资金日记账!$N$4:$S$603,56,6)))</f>
        <v>3</v>
      </c>
      <c r="J1021" s="67" t="n">
        <f aca="false">IF($E1021="","",INDEX(资金日记账!$E$4:$E$603,56))</f>
        <v>0</v>
      </c>
      <c r="K1021" s="67" t="n">
        <f aca="false">IF($E1021="","",INDEX(资金日记账!$F$4:$F$603,56))</f>
        <v>0</v>
      </c>
      <c r="L1021" s="107" t="n">
        <f aca="false">IF($E1021="","",INDEX(资金日记账!$X$4:$X$603,56))</f>
        <v>0</v>
      </c>
      <c r="M1021" s="107"/>
      <c r="N1021" s="67" t="n">
        <f aca="false">IF($E1021="","",INDEX(资金日记账!$Y$4:$Y$603,56))</f>
        <v>0</v>
      </c>
      <c r="O1021" s="67" t="str">
        <f aca="false">IF($E1021="","","自动B")</f>
        <v>自动B</v>
      </c>
      <c r="P1021" s="18"/>
    </row>
    <row r="1022" customFormat="false" ht="18" hidden="false" customHeight="true" outlineLevel="0" collapsed="false">
      <c r="A1022" s="107" t="n">
        <f aca="false">IF($E1022="","",ROW()-3)</f>
        <v>1019</v>
      </c>
      <c r="B1022" s="110" t="n">
        <f aca="false">IF($E1022="","",INDEX(资金日记账!$B$4:$B$603,57))</f>
        <v>46274</v>
      </c>
      <c r="C1022" s="67" t="str">
        <f aca="false">IF($E1022="","",IF(INDEX(资金日记账!$W$4:$W$603,57)="","记-"&amp;TEXT($B1022,"YYYYMM")&amp;"-资金",INDEX(资金日记账!$W$4:$W$603,57)))</f>
        <v>记-202609-资金</v>
      </c>
      <c r="D1022" s="107" t="str">
        <f aca="false">IF($E1022="","",INDEX(资金日记账!$D$4:$D$603,57))</f>
        <v>杨萌开业</v>
      </c>
      <c r="E1022" s="67" t="str">
        <f aca="false">IF(INDEX(资金日记账!$N$4:$S$603,57,1)=0,"",INDEX(资金日记账!$N$4:$S$603,57,1))</f>
        <v>管理费用</v>
      </c>
      <c r="F1022" s="99" t="str">
        <f aca="false">IF($E1022="","",IFERROR(INDEX(科目表!$A$4:$A$81,MATCH($E1022,科目表!$B$4:$B$81,0)),""))</f>
        <v>5602</v>
      </c>
      <c r="G1022" s="67" t="str">
        <f aca="false">IF($E1022="","",IFERROR(INDEX(科目表!$E$4:$E$81,MATCH($E1022,科目表!$B$4:$B$81,0)),""))</f>
        <v>管理费用</v>
      </c>
      <c r="H1022" s="70" t="n">
        <f aca="false">IF($E1022="","",N(INDEX(资金日记账!$N$4:$S$603,57,2)))</f>
        <v>520</v>
      </c>
      <c r="I1022" s="70" t="n">
        <f aca="false">IF($E1022="","",N(INDEX(资金日记账!$N$4:$S$603,57,3)))</f>
        <v>0</v>
      </c>
      <c r="J1022" s="67" t="n">
        <f aca="false">IF($E1022="","",INDEX(资金日记账!$E$4:$E$603,57))</f>
        <v>0</v>
      </c>
      <c r="K1022" s="67" t="str">
        <f aca="false">IF($E1022="","",INDEX(资金日记账!$F$4:$F$603,57))</f>
        <v>家用</v>
      </c>
      <c r="L1022" s="107" t="n">
        <f aca="false">IF($E1022="","",INDEX(资金日记账!$X$4:$X$603,57))</f>
        <v>0</v>
      </c>
      <c r="M1022" s="107"/>
      <c r="N1022" s="67" t="n">
        <f aca="false">IF($E1022="","",INDEX(资金日记账!$Y$4:$Y$603,57))</f>
        <v>0</v>
      </c>
      <c r="O1022" s="67" t="str">
        <f aca="false">IF($E1022="","","自动B")</f>
        <v>自动B</v>
      </c>
      <c r="P1022" s="18"/>
    </row>
    <row r="1023" customFormat="false" ht="18" hidden="false" customHeight="true" outlineLevel="0" collapsed="false">
      <c r="A1023" s="107" t="n">
        <f aca="false">IF($E1023="","",ROW()-3)</f>
        <v>1020</v>
      </c>
      <c r="B1023" s="110" t="n">
        <f aca="false">IF($E1023="","",INDEX(资金日记账!$B$4:$B$603,57))</f>
        <v>46274</v>
      </c>
      <c r="C1023" s="67" t="str">
        <f aca="false">IF($E1023="","",IF(INDEX(资金日记账!$W$4:$W$603,57)="","记-"&amp;TEXT($B1023,"YYYYMM")&amp;"-资金",INDEX(资金日记账!$W$4:$W$603,57)))</f>
        <v>记-202609-资金</v>
      </c>
      <c r="D1023" s="107" t="str">
        <f aca="false">IF($E1023="","",INDEX(资金日记账!$D$4:$D$603,57))</f>
        <v>杨萌开业</v>
      </c>
      <c r="E1023" s="67" t="str">
        <f aca="false">IF(INDEX(资金日记账!$N$4:$S$603,57,4)=0,"",INDEX(资金日记账!$N$4:$S$603,57,4))</f>
        <v>其他货币资金</v>
      </c>
      <c r="F1023" s="99" t="str">
        <f aca="false">IF($E1023="","",IFERROR(INDEX(科目表!$A$4:$A$81,MATCH($E1023,科目表!$B$4:$B$81,0)),""))</f>
        <v>1012</v>
      </c>
      <c r="G1023" s="67" t="str">
        <f aca="false">IF($E1023="","",IFERROR(INDEX(科目表!$E$4:$E$81,MATCH($E1023,科目表!$B$4:$B$81,0)),""))</f>
        <v>货币资金</v>
      </c>
      <c r="H1023" s="70" t="n">
        <f aca="false">IF($E1023="","",N(INDEX(资金日记账!$N$4:$S$603,57,5)))</f>
        <v>0</v>
      </c>
      <c r="I1023" s="70" t="n">
        <f aca="false">IF($E1023="","",N(INDEX(资金日记账!$N$4:$S$603,57,6)))</f>
        <v>520</v>
      </c>
      <c r="J1023" s="67" t="n">
        <f aca="false">IF($E1023="","",INDEX(资金日记账!$E$4:$E$603,57))</f>
        <v>0</v>
      </c>
      <c r="K1023" s="67" t="str">
        <f aca="false">IF($E1023="","",INDEX(资金日记账!$F$4:$F$603,57))</f>
        <v>家用</v>
      </c>
      <c r="L1023" s="107" t="n">
        <f aca="false">IF($E1023="","",INDEX(资金日记账!$X$4:$X$603,57))</f>
        <v>0</v>
      </c>
      <c r="M1023" s="107"/>
      <c r="N1023" s="67" t="n">
        <f aca="false">IF($E1023="","",INDEX(资金日记账!$Y$4:$Y$603,57))</f>
        <v>0</v>
      </c>
      <c r="O1023" s="67" t="str">
        <f aca="false">IF($E1023="","","自动B")</f>
        <v>自动B</v>
      </c>
      <c r="P1023" s="18"/>
    </row>
    <row r="1024" customFormat="false" ht="18" hidden="false" customHeight="true" outlineLevel="0" collapsed="false">
      <c r="A1024" s="107" t="n">
        <f aca="false">IF($E1024="","",ROW()-3)</f>
        <v>1021</v>
      </c>
      <c r="B1024" s="110" t="n">
        <f aca="false">IF($E1024="","",INDEX(资金日记账!$B$4:$B$603,58))</f>
        <v>46275</v>
      </c>
      <c r="C1024" s="67" t="str">
        <f aca="false">IF($E1024="","",IF(INDEX(资金日记账!$W$4:$W$603,58)="","记-"&amp;TEXT($B1024,"YYYYMM")&amp;"-资金",INDEX(资金日记账!$W$4:$W$603,58)))</f>
        <v>记-202609-资金</v>
      </c>
      <c r="D1024" s="107" t="n">
        <f aca="false">IF($E1024="","",INDEX(资金日记账!$D$4:$D$603,58))</f>
        <v>0</v>
      </c>
      <c r="E1024" s="67" t="str">
        <f aca="false">IF(INDEX(资金日记账!$N$4:$S$603,58,1)=0,"",INDEX(资金日记账!$N$4:$S$603,58,1))</f>
        <v>管理费用</v>
      </c>
      <c r="F1024" s="99" t="str">
        <f aca="false">IF($E1024="","",IFERROR(INDEX(科目表!$A$4:$A$81,MATCH($E1024,科目表!$B$4:$B$81,0)),""))</f>
        <v>5602</v>
      </c>
      <c r="G1024" s="67" t="str">
        <f aca="false">IF($E1024="","",IFERROR(INDEX(科目表!$E$4:$E$81,MATCH($E1024,科目表!$B$4:$B$81,0)),""))</f>
        <v>管理费用</v>
      </c>
      <c r="H1024" s="70" t="n">
        <f aca="false">IF($E1024="","",N(INDEX(资金日记账!$N$4:$S$603,58,2)))</f>
        <v>32</v>
      </c>
      <c r="I1024" s="70" t="n">
        <f aca="false">IF($E1024="","",N(INDEX(资金日记账!$N$4:$S$603,58,3)))</f>
        <v>0</v>
      </c>
      <c r="J1024" s="67" t="n">
        <f aca="false">IF($E1024="","",INDEX(资金日记账!$E$4:$E$603,58))</f>
        <v>0</v>
      </c>
      <c r="K1024" s="67" t="str">
        <f aca="false">IF($E1024="","",INDEX(资金日记账!$F$4:$F$603,58))</f>
        <v>办公用品</v>
      </c>
      <c r="L1024" s="107" t="n">
        <f aca="false">IF($E1024="","",INDEX(资金日记账!$X$4:$X$603,58))</f>
        <v>0</v>
      </c>
      <c r="M1024" s="107"/>
      <c r="N1024" s="67" t="n">
        <f aca="false">IF($E1024="","",INDEX(资金日记账!$Y$4:$Y$603,58))</f>
        <v>0</v>
      </c>
      <c r="O1024" s="67" t="str">
        <f aca="false">IF($E1024="","","自动B")</f>
        <v>自动B</v>
      </c>
      <c r="P1024" s="18"/>
    </row>
    <row r="1025" customFormat="false" ht="18" hidden="false" customHeight="true" outlineLevel="0" collapsed="false">
      <c r="A1025" s="107" t="n">
        <f aca="false">IF($E1025="","",ROW()-3)</f>
        <v>1022</v>
      </c>
      <c r="B1025" s="110" t="n">
        <f aca="false">IF($E1025="","",INDEX(资金日记账!$B$4:$B$603,58))</f>
        <v>46275</v>
      </c>
      <c r="C1025" s="67" t="str">
        <f aca="false">IF($E1025="","",IF(INDEX(资金日记账!$W$4:$W$603,58)="","记-"&amp;TEXT($B1025,"YYYYMM")&amp;"-资金",INDEX(资金日记账!$W$4:$W$603,58)))</f>
        <v>记-202609-资金</v>
      </c>
      <c r="D1025" s="107" t="n">
        <f aca="false">IF($E1025="","",INDEX(资金日记账!$D$4:$D$603,58))</f>
        <v>0</v>
      </c>
      <c r="E1025" s="67" t="str">
        <f aca="false">IF(INDEX(资金日记账!$N$4:$S$603,58,4)=0,"",INDEX(资金日记账!$N$4:$S$603,58,4))</f>
        <v>其他货币资金</v>
      </c>
      <c r="F1025" s="99" t="str">
        <f aca="false">IF($E1025="","",IFERROR(INDEX(科目表!$A$4:$A$81,MATCH($E1025,科目表!$B$4:$B$81,0)),""))</f>
        <v>1012</v>
      </c>
      <c r="G1025" s="67" t="str">
        <f aca="false">IF($E1025="","",IFERROR(INDEX(科目表!$E$4:$E$81,MATCH($E1025,科目表!$B$4:$B$81,0)),""))</f>
        <v>货币资金</v>
      </c>
      <c r="H1025" s="70" t="n">
        <f aca="false">IF($E1025="","",N(INDEX(资金日记账!$N$4:$S$603,58,5)))</f>
        <v>0</v>
      </c>
      <c r="I1025" s="70" t="n">
        <f aca="false">IF($E1025="","",N(INDEX(资金日记账!$N$4:$S$603,58,6)))</f>
        <v>32</v>
      </c>
      <c r="J1025" s="67" t="n">
        <f aca="false">IF($E1025="","",INDEX(资金日记账!$E$4:$E$603,58))</f>
        <v>0</v>
      </c>
      <c r="K1025" s="67" t="str">
        <f aca="false">IF($E1025="","",INDEX(资金日记账!$F$4:$F$603,58))</f>
        <v>办公用品</v>
      </c>
      <c r="L1025" s="107" t="n">
        <f aca="false">IF($E1025="","",INDEX(资金日记账!$X$4:$X$603,58))</f>
        <v>0</v>
      </c>
      <c r="M1025" s="107"/>
      <c r="N1025" s="67" t="n">
        <f aca="false">IF($E1025="","",INDEX(资金日记账!$Y$4:$Y$603,58))</f>
        <v>0</v>
      </c>
      <c r="O1025" s="67" t="str">
        <f aca="false">IF($E1025="","","自动B")</f>
        <v>自动B</v>
      </c>
      <c r="P1025" s="18"/>
    </row>
    <row r="1026" customFormat="false" ht="18" hidden="false" customHeight="true" outlineLevel="0" collapsed="false">
      <c r="A1026" s="107" t="n">
        <f aca="false">IF($E1026="","",ROW()-3)</f>
        <v>1023</v>
      </c>
      <c r="B1026" s="110" t="n">
        <f aca="false">IF($E1026="","",INDEX(资金日记账!$B$4:$B$603,59))</f>
        <v>46275</v>
      </c>
      <c r="C1026" s="67" t="str">
        <f aca="false">IF($E1026="","",IF(INDEX(资金日记账!$W$4:$W$603,59)="","记-"&amp;TEXT($B1026,"YYYYMM")&amp;"-资金",INDEX(资金日记账!$W$4:$W$603,59)))</f>
        <v>记-202609-资金</v>
      </c>
      <c r="D1026" s="107" t="n">
        <f aca="false">IF($E1026="","",INDEX(资金日记账!$D$4:$D$603,59))</f>
        <v>0</v>
      </c>
      <c r="E1026" s="67" t="str">
        <f aca="false">IF(INDEX(资金日记账!$N$4:$S$603,59,1)=0,"",INDEX(资金日记账!$N$4:$S$603,59,1))</f>
        <v>其他应付款</v>
      </c>
      <c r="F1026" s="99" t="str">
        <f aca="false">IF($E1026="","",IFERROR(INDEX(科目表!$A$4:$A$81,MATCH($E1026,科目表!$B$4:$B$81,0)),""))</f>
        <v>2241</v>
      </c>
      <c r="G1026" s="67" t="str">
        <f aca="false">IF($E1026="","",IFERROR(INDEX(科目表!$E$4:$E$81,MATCH($E1026,科目表!$B$4:$B$81,0)),""))</f>
        <v>其他应付款</v>
      </c>
      <c r="H1026" s="70" t="n">
        <f aca="false">IF($E1026="","",N(INDEX(资金日记账!$N$4:$S$603,59,2)))</f>
        <v>8300</v>
      </c>
      <c r="I1026" s="70" t="n">
        <f aca="false">IF($E1026="","",N(INDEX(资金日记账!$N$4:$S$603,59,3)))</f>
        <v>0</v>
      </c>
      <c r="J1026" s="67" t="n">
        <f aca="false">IF($E1026="","",INDEX(资金日记账!$E$4:$E$603,59))</f>
        <v>0</v>
      </c>
      <c r="K1026" s="67" t="str">
        <f aca="false">IF($E1026="","",INDEX(资金日记账!$F$4:$F$603,59))</f>
        <v>家用</v>
      </c>
      <c r="L1026" s="107" t="n">
        <f aca="false">IF($E1026="","",INDEX(资金日记账!$X$4:$X$603,59))</f>
        <v>0</v>
      </c>
      <c r="M1026" s="107"/>
      <c r="N1026" s="67" t="n">
        <f aca="false">IF($E1026="","",INDEX(资金日记账!$Y$4:$Y$603,59))</f>
        <v>0</v>
      </c>
      <c r="O1026" s="67" t="str">
        <f aca="false">IF($E1026="","","自动B")</f>
        <v>自动B</v>
      </c>
      <c r="P1026" s="18"/>
    </row>
    <row r="1027" customFormat="false" ht="18" hidden="false" customHeight="true" outlineLevel="0" collapsed="false">
      <c r="A1027" s="107" t="n">
        <f aca="false">IF($E1027="","",ROW()-3)</f>
        <v>1024</v>
      </c>
      <c r="B1027" s="110" t="n">
        <f aca="false">IF($E1027="","",INDEX(资金日记账!$B$4:$B$603,59))</f>
        <v>46275</v>
      </c>
      <c r="C1027" s="67" t="str">
        <f aca="false">IF($E1027="","",IF(INDEX(资金日记账!$W$4:$W$603,59)="","记-"&amp;TEXT($B1027,"YYYYMM")&amp;"-资金",INDEX(资金日记账!$W$4:$W$603,59)))</f>
        <v>记-202609-资金</v>
      </c>
      <c r="D1027" s="107" t="n">
        <f aca="false">IF($E1027="","",INDEX(资金日记账!$D$4:$D$603,59))</f>
        <v>0</v>
      </c>
      <c r="E1027" s="67" t="str">
        <f aca="false">IF(INDEX(资金日记账!$N$4:$S$603,59,4)=0,"",INDEX(资金日记账!$N$4:$S$603,59,4))</f>
        <v>其他货币资金</v>
      </c>
      <c r="F1027" s="99" t="str">
        <f aca="false">IF($E1027="","",IFERROR(INDEX(科目表!$A$4:$A$81,MATCH($E1027,科目表!$B$4:$B$81,0)),""))</f>
        <v>1012</v>
      </c>
      <c r="G1027" s="67" t="str">
        <f aca="false">IF($E1027="","",IFERROR(INDEX(科目表!$E$4:$E$81,MATCH($E1027,科目表!$B$4:$B$81,0)),""))</f>
        <v>货币资金</v>
      </c>
      <c r="H1027" s="70" t="n">
        <f aca="false">IF($E1027="","",N(INDEX(资金日记账!$N$4:$S$603,59,5)))</f>
        <v>0</v>
      </c>
      <c r="I1027" s="70" t="n">
        <f aca="false">IF($E1027="","",N(INDEX(资金日记账!$N$4:$S$603,59,6)))</f>
        <v>8300</v>
      </c>
      <c r="J1027" s="67" t="n">
        <f aca="false">IF($E1027="","",INDEX(资金日记账!$E$4:$E$603,59))</f>
        <v>0</v>
      </c>
      <c r="K1027" s="67" t="str">
        <f aca="false">IF($E1027="","",INDEX(资金日记账!$F$4:$F$603,59))</f>
        <v>家用</v>
      </c>
      <c r="L1027" s="107" t="n">
        <f aca="false">IF($E1027="","",INDEX(资金日记账!$X$4:$X$603,59))</f>
        <v>0</v>
      </c>
      <c r="M1027" s="107"/>
      <c r="N1027" s="67" t="n">
        <f aca="false">IF($E1027="","",INDEX(资金日记账!$Y$4:$Y$603,59))</f>
        <v>0</v>
      </c>
      <c r="O1027" s="67" t="str">
        <f aca="false">IF($E1027="","","自动B")</f>
        <v>自动B</v>
      </c>
      <c r="P1027" s="18"/>
    </row>
    <row r="1028" customFormat="false" ht="18" hidden="false" customHeight="true" outlineLevel="0" collapsed="false">
      <c r="A1028" s="107" t="n">
        <f aca="false">IF($E1028="","",ROW()-3)</f>
        <v>1025</v>
      </c>
      <c r="B1028" s="110" t="n">
        <f aca="false">IF($E1028="","",INDEX(资金日记账!$B$4:$B$603,60))</f>
        <v>46275</v>
      </c>
      <c r="C1028" s="67" t="str">
        <f aca="false">IF($E1028="","",IF(INDEX(资金日记账!$W$4:$W$603,60)="","记-"&amp;TEXT($B1028,"YYYYMM")&amp;"-资金",INDEX(资金日记账!$W$4:$W$603,60)))</f>
        <v>记-202609-资金</v>
      </c>
      <c r="D1028" s="107" t="n">
        <f aca="false">IF($E1028="","",INDEX(资金日记账!$D$4:$D$603,60))</f>
        <v>0</v>
      </c>
      <c r="E1028" s="67" t="str">
        <f aca="false">IF(INDEX(资金日记账!$N$4:$S$603,60,1)=0,"",INDEX(资金日记账!$N$4:$S$603,60,1))</f>
        <v>其他应付款</v>
      </c>
      <c r="F1028" s="99" t="str">
        <f aca="false">IF($E1028="","",IFERROR(INDEX(科目表!$A$4:$A$81,MATCH($E1028,科目表!$B$4:$B$81,0)),""))</f>
        <v>2241</v>
      </c>
      <c r="G1028" s="67" t="str">
        <f aca="false">IF($E1028="","",IFERROR(INDEX(科目表!$E$4:$E$81,MATCH($E1028,科目表!$B$4:$B$81,0)),""))</f>
        <v>其他应付款</v>
      </c>
      <c r="H1028" s="70" t="n">
        <f aca="false">IF($E1028="","",N(INDEX(资金日记账!$N$4:$S$603,60,2)))</f>
        <v>10010</v>
      </c>
      <c r="I1028" s="70" t="n">
        <f aca="false">IF($E1028="","",N(INDEX(资金日记账!$N$4:$S$603,60,3)))</f>
        <v>0</v>
      </c>
      <c r="J1028" s="67" t="n">
        <f aca="false">IF($E1028="","",INDEX(资金日记账!$E$4:$E$603,60))</f>
        <v>0</v>
      </c>
      <c r="K1028" s="67" t="str">
        <f aca="false">IF($E1028="","",INDEX(资金日记账!$F$4:$F$603,60))</f>
        <v>家用</v>
      </c>
      <c r="L1028" s="107" t="n">
        <f aca="false">IF($E1028="","",INDEX(资金日记账!$X$4:$X$603,60))</f>
        <v>0</v>
      </c>
      <c r="M1028" s="107"/>
      <c r="N1028" s="67" t="n">
        <f aca="false">IF($E1028="","",INDEX(资金日记账!$Y$4:$Y$603,60))</f>
        <v>0</v>
      </c>
      <c r="O1028" s="67" t="str">
        <f aca="false">IF($E1028="","","自动B")</f>
        <v>自动B</v>
      </c>
      <c r="P1028" s="18"/>
    </row>
    <row r="1029" customFormat="false" ht="18" hidden="false" customHeight="true" outlineLevel="0" collapsed="false">
      <c r="A1029" s="107" t="n">
        <f aca="false">IF($E1029="","",ROW()-3)</f>
        <v>1026</v>
      </c>
      <c r="B1029" s="110" t="n">
        <f aca="false">IF($E1029="","",INDEX(资金日记账!$B$4:$B$603,60))</f>
        <v>46275</v>
      </c>
      <c r="C1029" s="67" t="str">
        <f aca="false">IF($E1029="","",IF(INDEX(资金日记账!$W$4:$W$603,60)="","记-"&amp;TEXT($B1029,"YYYYMM")&amp;"-资金",INDEX(资金日记账!$W$4:$W$603,60)))</f>
        <v>记-202609-资金</v>
      </c>
      <c r="D1029" s="107" t="n">
        <f aca="false">IF($E1029="","",INDEX(资金日记账!$D$4:$D$603,60))</f>
        <v>0</v>
      </c>
      <c r="E1029" s="67" t="str">
        <f aca="false">IF(INDEX(资金日记账!$N$4:$S$603,60,4)=0,"",INDEX(资金日记账!$N$4:$S$603,60,4))</f>
        <v>其他货币资金</v>
      </c>
      <c r="F1029" s="99" t="str">
        <f aca="false">IF($E1029="","",IFERROR(INDEX(科目表!$A$4:$A$81,MATCH($E1029,科目表!$B$4:$B$81,0)),""))</f>
        <v>1012</v>
      </c>
      <c r="G1029" s="67" t="str">
        <f aca="false">IF($E1029="","",IFERROR(INDEX(科目表!$E$4:$E$81,MATCH($E1029,科目表!$B$4:$B$81,0)),""))</f>
        <v>货币资金</v>
      </c>
      <c r="H1029" s="70" t="n">
        <f aca="false">IF($E1029="","",N(INDEX(资金日记账!$N$4:$S$603,60,5)))</f>
        <v>0</v>
      </c>
      <c r="I1029" s="70" t="n">
        <f aca="false">IF($E1029="","",N(INDEX(资金日记账!$N$4:$S$603,60,6)))</f>
        <v>10010</v>
      </c>
      <c r="J1029" s="67" t="n">
        <f aca="false">IF($E1029="","",INDEX(资金日记账!$E$4:$E$603,60))</f>
        <v>0</v>
      </c>
      <c r="K1029" s="67" t="str">
        <f aca="false">IF($E1029="","",INDEX(资金日记账!$F$4:$F$603,60))</f>
        <v>家用</v>
      </c>
      <c r="L1029" s="107" t="n">
        <f aca="false">IF($E1029="","",INDEX(资金日记账!$X$4:$X$603,60))</f>
        <v>0</v>
      </c>
      <c r="M1029" s="107"/>
      <c r="N1029" s="67" t="n">
        <f aca="false">IF($E1029="","",INDEX(资金日记账!$Y$4:$Y$603,60))</f>
        <v>0</v>
      </c>
      <c r="O1029" s="67" t="str">
        <f aca="false">IF($E1029="","","自动B")</f>
        <v>自动B</v>
      </c>
      <c r="P1029" s="18"/>
    </row>
    <row r="1030" customFormat="false" ht="18" hidden="false" customHeight="true" outlineLevel="0" collapsed="false">
      <c r="A1030" s="107" t="n">
        <f aca="false">IF($E1030="","",ROW()-3)</f>
        <v>1027</v>
      </c>
      <c r="B1030" s="110" t="n">
        <f aca="false">IF($E1030="","",INDEX(资金日记账!$B$4:$B$603,61))</f>
        <v>46275</v>
      </c>
      <c r="C1030" s="67" t="str">
        <f aca="false">IF($E1030="","",IF(INDEX(资金日记账!$W$4:$W$603,61)="","记-"&amp;TEXT($B1030,"YYYYMM")&amp;"-资金",INDEX(资金日记账!$W$4:$W$603,61)))</f>
        <v>记-202609-资金</v>
      </c>
      <c r="D1030" s="107" t="n">
        <f aca="false">IF($E1030="","",INDEX(资金日记账!$D$4:$D$603,61))</f>
        <v>0</v>
      </c>
      <c r="E1030" s="67" t="str">
        <f aca="false">IF(INDEX(资金日记账!$N$4:$S$603,61,1)=0,"",INDEX(资金日记账!$N$4:$S$603,61,1))</f>
        <v>其他货币资金</v>
      </c>
      <c r="F1030" s="99" t="str">
        <f aca="false">IF($E1030="","",IFERROR(INDEX(科目表!$A$4:$A$81,MATCH($E1030,科目表!$B$4:$B$81,0)),""))</f>
        <v>1012</v>
      </c>
      <c r="G1030" s="67" t="str">
        <f aca="false">IF($E1030="","",IFERROR(INDEX(科目表!$E$4:$E$81,MATCH($E1030,科目表!$B$4:$B$81,0)),""))</f>
        <v>货币资金</v>
      </c>
      <c r="H1030" s="70" t="n">
        <f aca="false">IF($E1030="","",N(INDEX(资金日记账!$N$4:$S$603,61,2)))</f>
        <v>6</v>
      </c>
      <c r="I1030" s="70" t="n">
        <f aca="false">IF($E1030="","",N(INDEX(资金日记账!$N$4:$S$603,61,3)))</f>
        <v>0</v>
      </c>
      <c r="J1030" s="67" t="n">
        <f aca="false">IF($E1030="","",INDEX(资金日记账!$E$4:$E$603,61))</f>
        <v>0</v>
      </c>
      <c r="K1030" s="67" t="str">
        <f aca="false">IF($E1030="","",INDEX(资金日记账!$F$4:$F$603,61))</f>
        <v>利息</v>
      </c>
      <c r="L1030" s="107" t="n">
        <f aca="false">IF($E1030="","",INDEX(资金日记账!$X$4:$X$603,61))</f>
        <v>0</v>
      </c>
      <c r="M1030" s="107"/>
      <c r="N1030" s="67" t="n">
        <f aca="false">IF($E1030="","",INDEX(资金日记账!$Y$4:$Y$603,61))</f>
        <v>0</v>
      </c>
      <c r="O1030" s="67" t="str">
        <f aca="false">IF($E1030="","","自动B")</f>
        <v>自动B</v>
      </c>
      <c r="P1030" s="18"/>
    </row>
    <row r="1031" customFormat="false" ht="18" hidden="false" customHeight="true" outlineLevel="0" collapsed="false">
      <c r="A1031" s="107" t="n">
        <f aca="false">IF($E1031="","",ROW()-3)</f>
        <v>1028</v>
      </c>
      <c r="B1031" s="110" t="n">
        <f aca="false">IF($E1031="","",INDEX(资金日记账!$B$4:$B$603,61))</f>
        <v>46275</v>
      </c>
      <c r="C1031" s="67" t="str">
        <f aca="false">IF($E1031="","",IF(INDEX(资金日记账!$W$4:$W$603,61)="","记-"&amp;TEXT($B1031,"YYYYMM")&amp;"-资金",INDEX(资金日记账!$W$4:$W$603,61)))</f>
        <v>记-202609-资金</v>
      </c>
      <c r="D1031" s="107" t="n">
        <f aca="false">IF($E1031="","",INDEX(资金日记账!$D$4:$D$603,61))</f>
        <v>0</v>
      </c>
      <c r="E1031" s="67" t="str">
        <f aca="false">IF(INDEX(资金日记账!$N$4:$S$603,61,4)=0,"",INDEX(资金日记账!$N$4:$S$603,61,4))</f>
        <v>财务费用</v>
      </c>
      <c r="F1031" s="99" t="str">
        <f aca="false">IF($E1031="","",IFERROR(INDEX(科目表!$A$4:$A$81,MATCH($E1031,科目表!$B$4:$B$81,0)),""))</f>
        <v>5603</v>
      </c>
      <c r="G1031" s="67" t="str">
        <f aca="false">IF($E1031="","",IFERROR(INDEX(科目表!$E$4:$E$81,MATCH($E1031,科目表!$B$4:$B$81,0)),""))</f>
        <v>财务费用</v>
      </c>
      <c r="H1031" s="70" t="n">
        <f aca="false">IF($E1031="","",N(INDEX(资金日记账!$N$4:$S$603,61,5)))</f>
        <v>0</v>
      </c>
      <c r="I1031" s="70" t="n">
        <f aca="false">IF($E1031="","",N(INDEX(资金日记账!$N$4:$S$603,61,6)))</f>
        <v>6</v>
      </c>
      <c r="J1031" s="67" t="n">
        <f aca="false">IF($E1031="","",INDEX(资金日记账!$E$4:$E$603,61))</f>
        <v>0</v>
      </c>
      <c r="K1031" s="67" t="str">
        <f aca="false">IF($E1031="","",INDEX(资金日记账!$F$4:$F$603,61))</f>
        <v>利息</v>
      </c>
      <c r="L1031" s="107" t="n">
        <f aca="false">IF($E1031="","",INDEX(资金日记账!$X$4:$X$603,61))</f>
        <v>0</v>
      </c>
      <c r="M1031" s="107"/>
      <c r="N1031" s="67" t="n">
        <f aca="false">IF($E1031="","",INDEX(资金日记账!$Y$4:$Y$603,61))</f>
        <v>0</v>
      </c>
      <c r="O1031" s="67" t="str">
        <f aca="false">IF($E1031="","","自动B")</f>
        <v>自动B</v>
      </c>
      <c r="P1031" s="18"/>
    </row>
    <row r="1032" customFormat="false" ht="18" hidden="false" customHeight="true" outlineLevel="0" collapsed="false">
      <c r="A1032" s="107" t="n">
        <f aca="false">IF($E1032="","",ROW()-3)</f>
        <v>1029</v>
      </c>
      <c r="B1032" s="110" t="n">
        <f aca="false">IF($E1032="","",INDEX(资金日记账!$B$4:$B$603,62))</f>
        <v>46276</v>
      </c>
      <c r="C1032" s="67" t="str">
        <f aca="false">IF($E1032="","",IF(INDEX(资金日记账!$W$4:$W$603,62)="","记-"&amp;TEXT($B1032,"YYYYMM")&amp;"-资金",INDEX(资金日记账!$W$4:$W$603,62)))</f>
        <v>记-202609-资金</v>
      </c>
      <c r="D1032" s="107" t="str">
        <f aca="false">IF($E1032="","",INDEX(资金日记账!$D$4:$D$603,62))</f>
        <v>广告牌</v>
      </c>
      <c r="E1032" s="67" t="str">
        <f aca="false">IF(INDEX(资金日记账!$N$4:$S$603,62,1)=0,"",INDEX(资金日记账!$N$4:$S$603,62,1))</f>
        <v>销售费用</v>
      </c>
      <c r="F1032" s="99" t="str">
        <f aca="false">IF($E1032="","",IFERROR(INDEX(科目表!$A$4:$A$81,MATCH($E1032,科目表!$B$4:$B$81,0)),""))</f>
        <v>5601</v>
      </c>
      <c r="G1032" s="67" t="str">
        <f aca="false">IF($E1032="","",IFERROR(INDEX(科目表!$E$4:$E$81,MATCH($E1032,科目表!$B$4:$B$81,0)),""))</f>
        <v>销售费用</v>
      </c>
      <c r="H1032" s="70" t="n">
        <f aca="false">IF($E1032="","",N(INDEX(资金日记账!$N$4:$S$603,62,2)))</f>
        <v>160</v>
      </c>
      <c r="I1032" s="70" t="n">
        <f aca="false">IF($E1032="","",N(INDEX(资金日记账!$N$4:$S$603,62,3)))</f>
        <v>0</v>
      </c>
      <c r="J1032" s="67" t="n">
        <f aca="false">IF($E1032="","",INDEX(资金日记账!$E$4:$E$603,62))</f>
        <v>0</v>
      </c>
      <c r="K1032" s="67" t="n">
        <f aca="false">IF($E1032="","",INDEX(资金日记账!$F$4:$F$603,62))</f>
        <v>0</v>
      </c>
      <c r="L1032" s="107" t="n">
        <f aca="false">IF($E1032="","",INDEX(资金日记账!$X$4:$X$603,62))</f>
        <v>0</v>
      </c>
      <c r="M1032" s="107"/>
      <c r="N1032" s="67" t="n">
        <f aca="false">IF($E1032="","",INDEX(资金日记账!$Y$4:$Y$603,62))</f>
        <v>0</v>
      </c>
      <c r="O1032" s="67" t="str">
        <f aca="false">IF($E1032="","","自动B")</f>
        <v>自动B</v>
      </c>
      <c r="P1032" s="18"/>
    </row>
    <row r="1033" customFormat="false" ht="18" hidden="false" customHeight="true" outlineLevel="0" collapsed="false">
      <c r="A1033" s="107" t="n">
        <f aca="false">IF($E1033="","",ROW()-3)</f>
        <v>1030</v>
      </c>
      <c r="B1033" s="110" t="n">
        <f aca="false">IF($E1033="","",INDEX(资金日记账!$B$4:$B$603,62))</f>
        <v>46276</v>
      </c>
      <c r="C1033" s="67" t="str">
        <f aca="false">IF($E1033="","",IF(INDEX(资金日记账!$W$4:$W$603,62)="","记-"&amp;TEXT($B1033,"YYYYMM")&amp;"-资金",INDEX(资金日记账!$W$4:$W$603,62)))</f>
        <v>记-202609-资金</v>
      </c>
      <c r="D1033" s="107" t="str">
        <f aca="false">IF($E1033="","",INDEX(资金日记账!$D$4:$D$603,62))</f>
        <v>广告牌</v>
      </c>
      <c r="E1033" s="67" t="str">
        <f aca="false">IF(INDEX(资金日记账!$N$4:$S$603,62,4)=0,"",INDEX(资金日记账!$N$4:$S$603,62,4))</f>
        <v>其他货币资金</v>
      </c>
      <c r="F1033" s="99" t="str">
        <f aca="false">IF($E1033="","",IFERROR(INDEX(科目表!$A$4:$A$81,MATCH($E1033,科目表!$B$4:$B$81,0)),""))</f>
        <v>1012</v>
      </c>
      <c r="G1033" s="67" t="str">
        <f aca="false">IF($E1033="","",IFERROR(INDEX(科目表!$E$4:$E$81,MATCH($E1033,科目表!$B$4:$B$81,0)),""))</f>
        <v>货币资金</v>
      </c>
      <c r="H1033" s="70" t="n">
        <f aca="false">IF($E1033="","",N(INDEX(资金日记账!$N$4:$S$603,62,5)))</f>
        <v>0</v>
      </c>
      <c r="I1033" s="70" t="n">
        <f aca="false">IF($E1033="","",N(INDEX(资金日记账!$N$4:$S$603,62,6)))</f>
        <v>160</v>
      </c>
      <c r="J1033" s="67" t="n">
        <f aca="false">IF($E1033="","",INDEX(资金日记账!$E$4:$E$603,62))</f>
        <v>0</v>
      </c>
      <c r="K1033" s="67" t="n">
        <f aca="false">IF($E1033="","",INDEX(资金日记账!$F$4:$F$603,62))</f>
        <v>0</v>
      </c>
      <c r="L1033" s="107" t="n">
        <f aca="false">IF($E1033="","",INDEX(资金日记账!$X$4:$X$603,62))</f>
        <v>0</v>
      </c>
      <c r="M1033" s="107"/>
      <c r="N1033" s="67" t="n">
        <f aca="false">IF($E1033="","",INDEX(资金日记账!$Y$4:$Y$603,62))</f>
        <v>0</v>
      </c>
      <c r="O1033" s="67" t="str">
        <f aca="false">IF($E1033="","","自动B")</f>
        <v>自动B</v>
      </c>
      <c r="P1033" s="18"/>
    </row>
    <row r="1034" customFormat="false" ht="18" hidden="false" customHeight="true" outlineLevel="0" collapsed="false">
      <c r="A1034" s="107" t="n">
        <f aca="false">IF($E1034="","",ROW()-3)</f>
        <v>1031</v>
      </c>
      <c r="B1034" s="110" t="n">
        <f aca="false">IF($E1034="","",INDEX(资金日记账!$B$4:$B$603,63))</f>
        <v>46276</v>
      </c>
      <c r="C1034" s="67" t="str">
        <f aca="false">IF($E1034="","",IF(INDEX(资金日记账!$W$4:$W$603,63)="","记-"&amp;TEXT($B1034,"YYYYMM")&amp;"-资金",INDEX(资金日记账!$W$4:$W$603,63)))</f>
        <v>记-202609-资金</v>
      </c>
      <c r="D1034" s="107" t="n">
        <f aca="false">IF($E1034="","",INDEX(资金日记账!$D$4:$D$603,63))</f>
        <v>0</v>
      </c>
      <c r="E1034" s="67" t="str">
        <f aca="false">IF(INDEX(资金日记账!$N$4:$S$603,63,1)=0,"",INDEX(资金日记账!$N$4:$S$603,63,1))</f>
        <v>管理费用</v>
      </c>
      <c r="F1034" s="99" t="str">
        <f aca="false">IF($E1034="","",IFERROR(INDEX(科目表!$A$4:$A$81,MATCH($E1034,科目表!$B$4:$B$81,0)),""))</f>
        <v>5602</v>
      </c>
      <c r="G1034" s="67" t="str">
        <f aca="false">IF($E1034="","",IFERROR(INDEX(科目表!$E$4:$E$81,MATCH($E1034,科目表!$B$4:$B$81,0)),""))</f>
        <v>管理费用</v>
      </c>
      <c r="H1034" s="70" t="n">
        <f aca="false">IF($E1034="","",N(INDEX(资金日记账!$N$4:$S$603,63,2)))</f>
        <v>48</v>
      </c>
      <c r="I1034" s="70" t="n">
        <f aca="false">IF($E1034="","",N(INDEX(资金日记账!$N$4:$S$603,63,3)))</f>
        <v>0</v>
      </c>
      <c r="J1034" s="67" t="n">
        <f aca="false">IF($E1034="","",INDEX(资金日记账!$E$4:$E$603,63))</f>
        <v>0</v>
      </c>
      <c r="K1034" s="67" t="n">
        <f aca="false">IF($E1034="","",INDEX(资金日记账!$F$4:$F$603,63))</f>
        <v>0</v>
      </c>
      <c r="L1034" s="107" t="n">
        <f aca="false">IF($E1034="","",INDEX(资金日记账!$X$4:$X$603,63))</f>
        <v>0</v>
      </c>
      <c r="M1034" s="107"/>
      <c r="N1034" s="67" t="n">
        <f aca="false">IF($E1034="","",INDEX(资金日记账!$Y$4:$Y$603,63))</f>
        <v>0</v>
      </c>
      <c r="O1034" s="67" t="str">
        <f aca="false">IF($E1034="","","自动B")</f>
        <v>自动B</v>
      </c>
      <c r="P1034" s="18"/>
    </row>
    <row r="1035" customFormat="false" ht="18" hidden="false" customHeight="true" outlineLevel="0" collapsed="false">
      <c r="A1035" s="107" t="n">
        <f aca="false">IF($E1035="","",ROW()-3)</f>
        <v>1032</v>
      </c>
      <c r="B1035" s="110" t="n">
        <f aca="false">IF($E1035="","",INDEX(资金日记账!$B$4:$B$603,63))</f>
        <v>46276</v>
      </c>
      <c r="C1035" s="67" t="str">
        <f aca="false">IF($E1035="","",IF(INDEX(资金日记账!$W$4:$W$603,63)="","记-"&amp;TEXT($B1035,"YYYYMM")&amp;"-资金",INDEX(资金日记账!$W$4:$W$603,63)))</f>
        <v>记-202609-资金</v>
      </c>
      <c r="D1035" s="107" t="n">
        <f aca="false">IF($E1035="","",INDEX(资金日记账!$D$4:$D$603,63))</f>
        <v>0</v>
      </c>
      <c r="E1035" s="67" t="str">
        <f aca="false">IF(INDEX(资金日记账!$N$4:$S$603,63,4)=0,"",INDEX(资金日记账!$N$4:$S$603,63,4))</f>
        <v>其他货币资金</v>
      </c>
      <c r="F1035" s="99" t="str">
        <f aca="false">IF($E1035="","",IFERROR(INDEX(科目表!$A$4:$A$81,MATCH($E1035,科目表!$B$4:$B$81,0)),""))</f>
        <v>1012</v>
      </c>
      <c r="G1035" s="67" t="str">
        <f aca="false">IF($E1035="","",IFERROR(INDEX(科目表!$E$4:$E$81,MATCH($E1035,科目表!$B$4:$B$81,0)),""))</f>
        <v>货币资金</v>
      </c>
      <c r="H1035" s="70" t="n">
        <f aca="false">IF($E1035="","",N(INDEX(资金日记账!$N$4:$S$603,63,5)))</f>
        <v>0</v>
      </c>
      <c r="I1035" s="70" t="n">
        <f aca="false">IF($E1035="","",N(INDEX(资金日记账!$N$4:$S$603,63,6)))</f>
        <v>48</v>
      </c>
      <c r="J1035" s="67" t="n">
        <f aca="false">IF($E1035="","",INDEX(资金日记账!$E$4:$E$603,63))</f>
        <v>0</v>
      </c>
      <c r="K1035" s="67" t="n">
        <f aca="false">IF($E1035="","",INDEX(资金日记账!$F$4:$F$603,63))</f>
        <v>0</v>
      </c>
      <c r="L1035" s="107" t="n">
        <f aca="false">IF($E1035="","",INDEX(资金日记账!$X$4:$X$603,63))</f>
        <v>0</v>
      </c>
      <c r="M1035" s="107"/>
      <c r="N1035" s="67" t="n">
        <f aca="false">IF($E1035="","",INDEX(资金日记账!$Y$4:$Y$603,63))</f>
        <v>0</v>
      </c>
      <c r="O1035" s="67" t="str">
        <f aca="false">IF($E1035="","","自动B")</f>
        <v>自动B</v>
      </c>
      <c r="P1035" s="18"/>
    </row>
    <row r="1036" customFormat="false" ht="18" hidden="false" customHeight="true" outlineLevel="0" collapsed="false">
      <c r="A1036" s="107" t="n">
        <f aca="false">IF($E1036="","",ROW()-3)</f>
        <v>1033</v>
      </c>
      <c r="B1036" s="110" t="n">
        <f aca="false">IF($E1036="","",INDEX(资金日记账!$B$4:$B$603,64))</f>
        <v>46276</v>
      </c>
      <c r="C1036" s="67" t="str">
        <f aca="false">IF($E1036="","",IF(INDEX(资金日记账!$W$4:$W$603,64)="","记-"&amp;TEXT($B1036,"YYYYMM")&amp;"-资金",INDEX(资金日记账!$W$4:$W$603,64)))</f>
        <v>记-202609-资金</v>
      </c>
      <c r="D1036" s="107" t="n">
        <f aca="false">IF($E1036="","",INDEX(资金日记账!$D$4:$D$603,64))</f>
        <v>0</v>
      </c>
      <c r="E1036" s="67" t="str">
        <f aca="false">IF(INDEX(资金日记账!$N$4:$S$603,64,1)=0,"",INDEX(资金日记账!$N$4:$S$603,64,1))</f>
        <v>管理费用</v>
      </c>
      <c r="F1036" s="99" t="str">
        <f aca="false">IF($E1036="","",IFERROR(INDEX(科目表!$A$4:$A$81,MATCH($E1036,科目表!$B$4:$B$81,0)),""))</f>
        <v>5602</v>
      </c>
      <c r="G1036" s="67" t="str">
        <f aca="false">IF($E1036="","",IFERROR(INDEX(科目表!$E$4:$E$81,MATCH($E1036,科目表!$B$4:$B$81,0)),""))</f>
        <v>管理费用</v>
      </c>
      <c r="H1036" s="70" t="n">
        <f aca="false">IF($E1036="","",N(INDEX(资金日记账!$N$4:$S$603,64,2)))</f>
        <v>23</v>
      </c>
      <c r="I1036" s="70" t="n">
        <f aca="false">IF($E1036="","",N(INDEX(资金日记账!$N$4:$S$603,64,3)))</f>
        <v>0</v>
      </c>
      <c r="J1036" s="67" t="n">
        <f aca="false">IF($E1036="","",INDEX(资金日记账!$E$4:$E$603,64))</f>
        <v>0</v>
      </c>
      <c r="K1036" s="67" t="n">
        <f aca="false">IF($E1036="","",INDEX(资金日记账!$F$4:$F$603,64))</f>
        <v>0</v>
      </c>
      <c r="L1036" s="107" t="n">
        <f aca="false">IF($E1036="","",INDEX(资金日记账!$X$4:$X$603,64))</f>
        <v>0</v>
      </c>
      <c r="M1036" s="107"/>
      <c r="N1036" s="67" t="n">
        <f aca="false">IF($E1036="","",INDEX(资金日记账!$Y$4:$Y$603,64))</f>
        <v>0</v>
      </c>
      <c r="O1036" s="67" t="str">
        <f aca="false">IF($E1036="","","自动B")</f>
        <v>自动B</v>
      </c>
      <c r="P1036" s="18"/>
    </row>
    <row r="1037" customFormat="false" ht="18" hidden="false" customHeight="true" outlineLevel="0" collapsed="false">
      <c r="A1037" s="107" t="n">
        <f aca="false">IF($E1037="","",ROW()-3)</f>
        <v>1034</v>
      </c>
      <c r="B1037" s="110" t="n">
        <f aca="false">IF($E1037="","",INDEX(资金日记账!$B$4:$B$603,64))</f>
        <v>46276</v>
      </c>
      <c r="C1037" s="67" t="str">
        <f aca="false">IF($E1037="","",IF(INDEX(资金日记账!$W$4:$W$603,64)="","记-"&amp;TEXT($B1037,"YYYYMM")&amp;"-资金",INDEX(资金日记账!$W$4:$W$603,64)))</f>
        <v>记-202609-资金</v>
      </c>
      <c r="D1037" s="107" t="n">
        <f aca="false">IF($E1037="","",INDEX(资金日记账!$D$4:$D$603,64))</f>
        <v>0</v>
      </c>
      <c r="E1037" s="67" t="str">
        <f aca="false">IF(INDEX(资金日记账!$N$4:$S$603,64,4)=0,"",INDEX(资金日记账!$N$4:$S$603,64,4))</f>
        <v>其他货币资金</v>
      </c>
      <c r="F1037" s="99" t="str">
        <f aca="false">IF($E1037="","",IFERROR(INDEX(科目表!$A$4:$A$81,MATCH($E1037,科目表!$B$4:$B$81,0)),""))</f>
        <v>1012</v>
      </c>
      <c r="G1037" s="67" t="str">
        <f aca="false">IF($E1037="","",IFERROR(INDEX(科目表!$E$4:$E$81,MATCH($E1037,科目表!$B$4:$B$81,0)),""))</f>
        <v>货币资金</v>
      </c>
      <c r="H1037" s="70" t="n">
        <f aca="false">IF($E1037="","",N(INDEX(资金日记账!$N$4:$S$603,64,5)))</f>
        <v>0</v>
      </c>
      <c r="I1037" s="70" t="n">
        <f aca="false">IF($E1037="","",N(INDEX(资金日记账!$N$4:$S$603,64,6)))</f>
        <v>23</v>
      </c>
      <c r="J1037" s="67" t="n">
        <f aca="false">IF($E1037="","",INDEX(资金日记账!$E$4:$E$603,64))</f>
        <v>0</v>
      </c>
      <c r="K1037" s="67" t="n">
        <f aca="false">IF($E1037="","",INDEX(资金日记账!$F$4:$F$603,64))</f>
        <v>0</v>
      </c>
      <c r="L1037" s="107" t="n">
        <f aca="false">IF($E1037="","",INDEX(资金日记账!$X$4:$X$603,64))</f>
        <v>0</v>
      </c>
      <c r="M1037" s="107"/>
      <c r="N1037" s="67" t="n">
        <f aca="false">IF($E1037="","",INDEX(资金日记账!$Y$4:$Y$603,64))</f>
        <v>0</v>
      </c>
      <c r="O1037" s="67" t="str">
        <f aca="false">IF($E1037="","","自动B")</f>
        <v>自动B</v>
      </c>
      <c r="P1037" s="18"/>
    </row>
    <row r="1038" customFormat="false" ht="18" hidden="false" customHeight="true" outlineLevel="0" collapsed="false">
      <c r="A1038" s="107" t="n">
        <f aca="false">IF($E1038="","",ROW()-3)</f>
        <v>1035</v>
      </c>
      <c r="B1038" s="110" t="n">
        <f aca="false">IF($E1038="","",INDEX(资金日记账!$B$4:$B$603,65))</f>
        <v>46278</v>
      </c>
      <c r="C1038" s="67" t="str">
        <f aca="false">IF($E1038="","",IF(INDEX(资金日记账!$W$4:$W$603,65)="","记-"&amp;TEXT($B1038,"YYYYMM")&amp;"-资金",INDEX(资金日记账!$W$4:$W$603,65)))</f>
        <v>记-202609-资金</v>
      </c>
      <c r="D1038" s="107" t="n">
        <f aca="false">IF($E1038="","",INDEX(资金日记账!$D$4:$D$603,65))</f>
        <v>0</v>
      </c>
      <c r="E1038" s="67" t="str">
        <f aca="false">IF(INDEX(资金日记账!$N$4:$S$603,65,1)=0,"",INDEX(资金日记账!$N$4:$S$603,65,1))</f>
        <v>管理费用</v>
      </c>
      <c r="F1038" s="99" t="str">
        <f aca="false">IF($E1038="","",IFERROR(INDEX(科目表!$A$4:$A$81,MATCH($E1038,科目表!$B$4:$B$81,0)),""))</f>
        <v>5602</v>
      </c>
      <c r="G1038" s="67" t="str">
        <f aca="false">IF($E1038="","",IFERROR(INDEX(科目表!$E$4:$E$81,MATCH($E1038,科目表!$B$4:$B$81,0)),""))</f>
        <v>管理费用</v>
      </c>
      <c r="H1038" s="70" t="n">
        <f aca="false">IF($E1038="","",N(INDEX(资金日记账!$N$4:$S$603,65,2)))</f>
        <v>47.38</v>
      </c>
      <c r="I1038" s="70" t="n">
        <f aca="false">IF($E1038="","",N(INDEX(资金日记账!$N$4:$S$603,65,3)))</f>
        <v>0</v>
      </c>
      <c r="J1038" s="67" t="n">
        <f aca="false">IF($E1038="","",INDEX(资金日记账!$E$4:$E$603,65))</f>
        <v>0</v>
      </c>
      <c r="K1038" s="67" t="n">
        <f aca="false">IF($E1038="","",INDEX(资金日记账!$F$4:$F$603,65))</f>
        <v>0</v>
      </c>
      <c r="L1038" s="107" t="n">
        <f aca="false">IF($E1038="","",INDEX(资金日记账!$X$4:$X$603,65))</f>
        <v>0</v>
      </c>
      <c r="M1038" s="107"/>
      <c r="N1038" s="67" t="n">
        <f aca="false">IF($E1038="","",INDEX(资金日记账!$Y$4:$Y$603,65))</f>
        <v>0</v>
      </c>
      <c r="O1038" s="67" t="str">
        <f aca="false">IF($E1038="","","自动B")</f>
        <v>自动B</v>
      </c>
      <c r="P1038" s="18"/>
    </row>
    <row r="1039" customFormat="false" ht="18" hidden="false" customHeight="true" outlineLevel="0" collapsed="false">
      <c r="A1039" s="107" t="n">
        <f aca="false">IF($E1039="","",ROW()-3)</f>
        <v>1036</v>
      </c>
      <c r="B1039" s="110" t="n">
        <f aca="false">IF($E1039="","",INDEX(资金日记账!$B$4:$B$603,65))</f>
        <v>46278</v>
      </c>
      <c r="C1039" s="67" t="str">
        <f aca="false">IF($E1039="","",IF(INDEX(资金日记账!$W$4:$W$603,65)="","记-"&amp;TEXT($B1039,"YYYYMM")&amp;"-资金",INDEX(资金日记账!$W$4:$W$603,65)))</f>
        <v>记-202609-资金</v>
      </c>
      <c r="D1039" s="107" t="n">
        <f aca="false">IF($E1039="","",INDEX(资金日记账!$D$4:$D$603,65))</f>
        <v>0</v>
      </c>
      <c r="E1039" s="67" t="str">
        <f aca="false">IF(INDEX(资金日记账!$N$4:$S$603,65,4)=0,"",INDEX(资金日记账!$N$4:$S$603,65,4))</f>
        <v>其他货币资金</v>
      </c>
      <c r="F1039" s="99" t="str">
        <f aca="false">IF($E1039="","",IFERROR(INDEX(科目表!$A$4:$A$81,MATCH($E1039,科目表!$B$4:$B$81,0)),""))</f>
        <v>1012</v>
      </c>
      <c r="G1039" s="67" t="str">
        <f aca="false">IF($E1039="","",IFERROR(INDEX(科目表!$E$4:$E$81,MATCH($E1039,科目表!$B$4:$B$81,0)),""))</f>
        <v>货币资金</v>
      </c>
      <c r="H1039" s="70" t="n">
        <f aca="false">IF($E1039="","",N(INDEX(资金日记账!$N$4:$S$603,65,5)))</f>
        <v>0</v>
      </c>
      <c r="I1039" s="70" t="n">
        <f aca="false">IF($E1039="","",N(INDEX(资金日记账!$N$4:$S$603,65,6)))</f>
        <v>47.38</v>
      </c>
      <c r="J1039" s="67" t="n">
        <f aca="false">IF($E1039="","",INDEX(资金日记账!$E$4:$E$603,65))</f>
        <v>0</v>
      </c>
      <c r="K1039" s="67" t="n">
        <f aca="false">IF($E1039="","",INDEX(资金日记账!$F$4:$F$603,65))</f>
        <v>0</v>
      </c>
      <c r="L1039" s="107" t="n">
        <f aca="false">IF($E1039="","",INDEX(资金日记账!$X$4:$X$603,65))</f>
        <v>0</v>
      </c>
      <c r="M1039" s="107"/>
      <c r="N1039" s="67" t="n">
        <f aca="false">IF($E1039="","",INDEX(资金日记账!$Y$4:$Y$603,65))</f>
        <v>0</v>
      </c>
      <c r="O1039" s="67" t="str">
        <f aca="false">IF($E1039="","","自动B")</f>
        <v>自动B</v>
      </c>
      <c r="P1039" s="18"/>
    </row>
    <row r="1040" customFormat="false" ht="18" hidden="false" customHeight="true" outlineLevel="0" collapsed="false">
      <c r="A1040" s="107" t="n">
        <f aca="false">IF($E1040="","",ROW()-3)</f>
        <v>1037</v>
      </c>
      <c r="B1040" s="110" t="n">
        <f aca="false">IF($E1040="","",INDEX(资金日记账!$B$4:$B$603,66))</f>
        <v>46278</v>
      </c>
      <c r="C1040" s="67" t="str">
        <f aca="false">IF($E1040="","",IF(INDEX(资金日记账!$W$4:$W$603,66)="","记-"&amp;TEXT($B1040,"YYYYMM")&amp;"-资金",INDEX(资金日记账!$W$4:$W$603,66)))</f>
        <v>记-202609-资金</v>
      </c>
      <c r="D1040" s="107" t="n">
        <f aca="false">IF($E1040="","",INDEX(资金日记账!$D$4:$D$603,66))</f>
        <v>0</v>
      </c>
      <c r="E1040" s="67" t="str">
        <f aca="false">IF(INDEX(资金日记账!$N$4:$S$603,66,1)=0,"",INDEX(资金日记账!$N$4:$S$603,66,1))</f>
        <v>管理费用</v>
      </c>
      <c r="F1040" s="99" t="str">
        <f aca="false">IF($E1040="","",IFERROR(INDEX(科目表!$A$4:$A$81,MATCH($E1040,科目表!$B$4:$B$81,0)),""))</f>
        <v>5602</v>
      </c>
      <c r="G1040" s="67" t="str">
        <f aca="false">IF($E1040="","",IFERROR(INDEX(科目表!$E$4:$E$81,MATCH($E1040,科目表!$B$4:$B$81,0)),""))</f>
        <v>管理费用</v>
      </c>
      <c r="H1040" s="70" t="n">
        <f aca="false">IF($E1040="","",N(INDEX(资金日记账!$N$4:$S$603,66,2)))</f>
        <v>40</v>
      </c>
      <c r="I1040" s="70" t="n">
        <f aca="false">IF($E1040="","",N(INDEX(资金日记账!$N$4:$S$603,66,3)))</f>
        <v>0</v>
      </c>
      <c r="J1040" s="67" t="n">
        <f aca="false">IF($E1040="","",INDEX(资金日记账!$E$4:$E$603,66))</f>
        <v>0</v>
      </c>
      <c r="K1040" s="67" t="n">
        <f aca="false">IF($E1040="","",INDEX(资金日记账!$F$4:$F$603,66))</f>
        <v>0</v>
      </c>
      <c r="L1040" s="107" t="n">
        <f aca="false">IF($E1040="","",INDEX(资金日记账!$X$4:$X$603,66))</f>
        <v>0</v>
      </c>
      <c r="M1040" s="107"/>
      <c r="N1040" s="67" t="n">
        <f aca="false">IF($E1040="","",INDEX(资金日记账!$Y$4:$Y$603,66))</f>
        <v>0</v>
      </c>
      <c r="O1040" s="67" t="str">
        <f aca="false">IF($E1040="","","自动B")</f>
        <v>自动B</v>
      </c>
      <c r="P1040" s="18"/>
    </row>
    <row r="1041" customFormat="false" ht="18" hidden="false" customHeight="true" outlineLevel="0" collapsed="false">
      <c r="A1041" s="107" t="n">
        <f aca="false">IF($E1041="","",ROW()-3)</f>
        <v>1038</v>
      </c>
      <c r="B1041" s="110" t="n">
        <f aca="false">IF($E1041="","",INDEX(资金日记账!$B$4:$B$603,66))</f>
        <v>46278</v>
      </c>
      <c r="C1041" s="67" t="str">
        <f aca="false">IF($E1041="","",IF(INDEX(资金日记账!$W$4:$W$603,66)="","记-"&amp;TEXT($B1041,"YYYYMM")&amp;"-资金",INDEX(资金日记账!$W$4:$W$603,66)))</f>
        <v>记-202609-资金</v>
      </c>
      <c r="D1041" s="107" t="n">
        <f aca="false">IF($E1041="","",INDEX(资金日记账!$D$4:$D$603,66))</f>
        <v>0</v>
      </c>
      <c r="E1041" s="67" t="str">
        <f aca="false">IF(INDEX(资金日记账!$N$4:$S$603,66,4)=0,"",INDEX(资金日记账!$N$4:$S$603,66,4))</f>
        <v>其他货币资金</v>
      </c>
      <c r="F1041" s="99" t="str">
        <f aca="false">IF($E1041="","",IFERROR(INDEX(科目表!$A$4:$A$81,MATCH($E1041,科目表!$B$4:$B$81,0)),""))</f>
        <v>1012</v>
      </c>
      <c r="G1041" s="67" t="str">
        <f aca="false">IF($E1041="","",IFERROR(INDEX(科目表!$E$4:$E$81,MATCH($E1041,科目表!$B$4:$B$81,0)),""))</f>
        <v>货币资金</v>
      </c>
      <c r="H1041" s="70" t="n">
        <f aca="false">IF($E1041="","",N(INDEX(资金日记账!$N$4:$S$603,66,5)))</f>
        <v>0</v>
      </c>
      <c r="I1041" s="70" t="n">
        <f aca="false">IF($E1041="","",N(INDEX(资金日记账!$N$4:$S$603,66,6)))</f>
        <v>40</v>
      </c>
      <c r="J1041" s="67" t="n">
        <f aca="false">IF($E1041="","",INDEX(资金日记账!$E$4:$E$603,66))</f>
        <v>0</v>
      </c>
      <c r="K1041" s="67" t="n">
        <f aca="false">IF($E1041="","",INDEX(资金日记账!$F$4:$F$603,66))</f>
        <v>0</v>
      </c>
      <c r="L1041" s="107" t="n">
        <f aca="false">IF($E1041="","",INDEX(资金日记账!$X$4:$X$603,66))</f>
        <v>0</v>
      </c>
      <c r="M1041" s="107"/>
      <c r="N1041" s="67" t="n">
        <f aca="false">IF($E1041="","",INDEX(资金日记账!$Y$4:$Y$603,66))</f>
        <v>0</v>
      </c>
      <c r="O1041" s="67" t="str">
        <f aca="false">IF($E1041="","","自动B")</f>
        <v>自动B</v>
      </c>
      <c r="P1041" s="18"/>
    </row>
    <row r="1042" customFormat="false" ht="18" hidden="false" customHeight="true" outlineLevel="0" collapsed="false">
      <c r="A1042" s="107" t="n">
        <f aca="false">IF($E1042="","",ROW()-3)</f>
        <v>1039</v>
      </c>
      <c r="B1042" s="110" t="n">
        <f aca="false">IF($E1042="","",INDEX(资金日记账!$B$4:$B$603,67))</f>
        <v>46278</v>
      </c>
      <c r="C1042" s="67" t="str">
        <f aca="false">IF($E1042="","",IF(INDEX(资金日记账!$W$4:$W$603,67)="","记-"&amp;TEXT($B1042,"YYYYMM")&amp;"-资金",INDEX(资金日记账!$W$4:$W$603,67)))</f>
        <v>记-202609-资金</v>
      </c>
      <c r="D1042" s="107" t="n">
        <f aca="false">IF($E1042="","",INDEX(资金日记账!$D$4:$D$603,67))</f>
        <v>0</v>
      </c>
      <c r="E1042" s="67" t="str">
        <f aca="false">IF(INDEX(资金日记账!$N$4:$S$603,67,1)=0,"",INDEX(资金日记账!$N$4:$S$603,67,1))</f>
        <v>管理费用</v>
      </c>
      <c r="F1042" s="99" t="str">
        <f aca="false">IF($E1042="","",IFERROR(INDEX(科目表!$A$4:$A$81,MATCH($E1042,科目表!$B$4:$B$81,0)),""))</f>
        <v>5602</v>
      </c>
      <c r="G1042" s="67" t="str">
        <f aca="false">IF($E1042="","",IFERROR(INDEX(科目表!$E$4:$E$81,MATCH($E1042,科目表!$B$4:$B$81,0)),""))</f>
        <v>管理费用</v>
      </c>
      <c r="H1042" s="70" t="n">
        <f aca="false">IF($E1042="","",N(INDEX(资金日记账!$N$4:$S$603,67,2)))</f>
        <v>18</v>
      </c>
      <c r="I1042" s="70" t="n">
        <f aca="false">IF($E1042="","",N(INDEX(资金日记账!$N$4:$S$603,67,3)))</f>
        <v>0</v>
      </c>
      <c r="J1042" s="67" t="n">
        <f aca="false">IF($E1042="","",INDEX(资金日记账!$E$4:$E$603,67))</f>
        <v>0</v>
      </c>
      <c r="K1042" s="67" t="n">
        <f aca="false">IF($E1042="","",INDEX(资金日记账!$F$4:$F$603,67))</f>
        <v>0</v>
      </c>
      <c r="L1042" s="107" t="n">
        <f aca="false">IF($E1042="","",INDEX(资金日记账!$X$4:$X$603,67))</f>
        <v>0</v>
      </c>
      <c r="M1042" s="107"/>
      <c r="N1042" s="67" t="n">
        <f aca="false">IF($E1042="","",INDEX(资金日记账!$Y$4:$Y$603,67))</f>
        <v>0</v>
      </c>
      <c r="O1042" s="67" t="str">
        <f aca="false">IF($E1042="","","自动B")</f>
        <v>自动B</v>
      </c>
      <c r="P1042" s="18"/>
    </row>
    <row r="1043" customFormat="false" ht="18" hidden="false" customHeight="true" outlineLevel="0" collapsed="false">
      <c r="A1043" s="107" t="n">
        <f aca="false">IF($E1043="","",ROW()-3)</f>
        <v>1040</v>
      </c>
      <c r="B1043" s="110" t="n">
        <f aca="false">IF($E1043="","",INDEX(资金日记账!$B$4:$B$603,67))</f>
        <v>46278</v>
      </c>
      <c r="C1043" s="67" t="str">
        <f aca="false">IF($E1043="","",IF(INDEX(资金日记账!$W$4:$W$603,67)="","记-"&amp;TEXT($B1043,"YYYYMM")&amp;"-资金",INDEX(资金日记账!$W$4:$W$603,67)))</f>
        <v>记-202609-资金</v>
      </c>
      <c r="D1043" s="107" t="n">
        <f aca="false">IF($E1043="","",INDEX(资金日记账!$D$4:$D$603,67))</f>
        <v>0</v>
      </c>
      <c r="E1043" s="67" t="str">
        <f aca="false">IF(INDEX(资金日记账!$N$4:$S$603,67,4)=0,"",INDEX(资金日记账!$N$4:$S$603,67,4))</f>
        <v>其他货币资金</v>
      </c>
      <c r="F1043" s="99" t="str">
        <f aca="false">IF($E1043="","",IFERROR(INDEX(科目表!$A$4:$A$81,MATCH($E1043,科目表!$B$4:$B$81,0)),""))</f>
        <v>1012</v>
      </c>
      <c r="G1043" s="67" t="str">
        <f aca="false">IF($E1043="","",IFERROR(INDEX(科目表!$E$4:$E$81,MATCH($E1043,科目表!$B$4:$B$81,0)),""))</f>
        <v>货币资金</v>
      </c>
      <c r="H1043" s="70" t="n">
        <f aca="false">IF($E1043="","",N(INDEX(资金日记账!$N$4:$S$603,67,5)))</f>
        <v>0</v>
      </c>
      <c r="I1043" s="70" t="n">
        <f aca="false">IF($E1043="","",N(INDEX(资金日记账!$N$4:$S$603,67,6)))</f>
        <v>18</v>
      </c>
      <c r="J1043" s="67" t="n">
        <f aca="false">IF($E1043="","",INDEX(资金日记账!$E$4:$E$603,67))</f>
        <v>0</v>
      </c>
      <c r="K1043" s="67" t="n">
        <f aca="false">IF($E1043="","",INDEX(资金日记账!$F$4:$F$603,67))</f>
        <v>0</v>
      </c>
      <c r="L1043" s="107" t="n">
        <f aca="false">IF($E1043="","",INDEX(资金日记账!$X$4:$X$603,67))</f>
        <v>0</v>
      </c>
      <c r="M1043" s="107"/>
      <c r="N1043" s="67" t="n">
        <f aca="false">IF($E1043="","",INDEX(资金日记账!$Y$4:$Y$603,67))</f>
        <v>0</v>
      </c>
      <c r="O1043" s="67" t="str">
        <f aca="false">IF($E1043="","","自动B")</f>
        <v>自动B</v>
      </c>
      <c r="P1043" s="18"/>
    </row>
    <row r="1044" customFormat="false" ht="18" hidden="false" customHeight="true" outlineLevel="0" collapsed="false">
      <c r="A1044" s="107" t="n">
        <f aca="false">IF($E1044="","",ROW()-3)</f>
        <v>1041</v>
      </c>
      <c r="B1044" s="110" t="n">
        <f aca="false">IF($E1044="","",INDEX(资金日记账!$B$4:$B$603,68))</f>
        <v>46278</v>
      </c>
      <c r="C1044" s="67" t="str">
        <f aca="false">IF($E1044="","",IF(INDEX(资金日记账!$W$4:$W$603,68)="","记-"&amp;TEXT($B1044,"YYYYMM")&amp;"-资金",INDEX(资金日记账!$W$4:$W$603,68)))</f>
        <v>记-202609-资金</v>
      </c>
      <c r="D1044" s="107" t="n">
        <f aca="false">IF($E1044="","",INDEX(资金日记账!$D$4:$D$603,68))</f>
        <v>0</v>
      </c>
      <c r="E1044" s="67" t="str">
        <f aca="false">IF(INDEX(资金日记账!$N$4:$S$603,68,1)=0,"",INDEX(资金日记账!$N$4:$S$603,68,1))</f>
        <v>管理费用</v>
      </c>
      <c r="F1044" s="99" t="str">
        <f aca="false">IF($E1044="","",IFERROR(INDEX(科目表!$A$4:$A$81,MATCH($E1044,科目表!$B$4:$B$81,0)),""))</f>
        <v>5602</v>
      </c>
      <c r="G1044" s="67" t="str">
        <f aca="false">IF($E1044="","",IFERROR(INDEX(科目表!$E$4:$E$81,MATCH($E1044,科目表!$B$4:$B$81,0)),""))</f>
        <v>管理费用</v>
      </c>
      <c r="H1044" s="70" t="n">
        <f aca="false">IF($E1044="","",N(INDEX(资金日记账!$N$4:$S$603,68,2)))</f>
        <v>22</v>
      </c>
      <c r="I1044" s="70" t="n">
        <f aca="false">IF($E1044="","",N(INDEX(资金日记账!$N$4:$S$603,68,3)))</f>
        <v>0</v>
      </c>
      <c r="J1044" s="67" t="n">
        <f aca="false">IF($E1044="","",INDEX(资金日记账!$E$4:$E$603,68))</f>
        <v>0</v>
      </c>
      <c r="K1044" s="67" t="n">
        <f aca="false">IF($E1044="","",INDEX(资金日记账!$F$4:$F$603,68))</f>
        <v>0</v>
      </c>
      <c r="L1044" s="107" t="n">
        <f aca="false">IF($E1044="","",INDEX(资金日记账!$X$4:$X$603,68))</f>
        <v>0</v>
      </c>
      <c r="M1044" s="107"/>
      <c r="N1044" s="67" t="n">
        <f aca="false">IF($E1044="","",INDEX(资金日记账!$Y$4:$Y$603,68))</f>
        <v>0</v>
      </c>
      <c r="O1044" s="67" t="str">
        <f aca="false">IF($E1044="","","自动B")</f>
        <v>自动B</v>
      </c>
      <c r="P1044" s="18"/>
    </row>
    <row r="1045" customFormat="false" ht="18" hidden="false" customHeight="true" outlineLevel="0" collapsed="false">
      <c r="A1045" s="107" t="n">
        <f aca="false">IF($E1045="","",ROW()-3)</f>
        <v>1042</v>
      </c>
      <c r="B1045" s="110" t="n">
        <f aca="false">IF($E1045="","",INDEX(资金日记账!$B$4:$B$603,68))</f>
        <v>46278</v>
      </c>
      <c r="C1045" s="67" t="str">
        <f aca="false">IF($E1045="","",IF(INDEX(资金日记账!$W$4:$W$603,68)="","记-"&amp;TEXT($B1045,"YYYYMM")&amp;"-资金",INDEX(资金日记账!$W$4:$W$603,68)))</f>
        <v>记-202609-资金</v>
      </c>
      <c r="D1045" s="107" t="n">
        <f aca="false">IF($E1045="","",INDEX(资金日记账!$D$4:$D$603,68))</f>
        <v>0</v>
      </c>
      <c r="E1045" s="67" t="str">
        <f aca="false">IF(INDEX(资金日记账!$N$4:$S$603,68,4)=0,"",INDEX(资金日记账!$N$4:$S$603,68,4))</f>
        <v>其他货币资金</v>
      </c>
      <c r="F1045" s="99" t="str">
        <f aca="false">IF($E1045="","",IFERROR(INDEX(科目表!$A$4:$A$81,MATCH($E1045,科目表!$B$4:$B$81,0)),""))</f>
        <v>1012</v>
      </c>
      <c r="G1045" s="67" t="str">
        <f aca="false">IF($E1045="","",IFERROR(INDEX(科目表!$E$4:$E$81,MATCH($E1045,科目表!$B$4:$B$81,0)),""))</f>
        <v>货币资金</v>
      </c>
      <c r="H1045" s="70" t="n">
        <f aca="false">IF($E1045="","",N(INDEX(资金日记账!$N$4:$S$603,68,5)))</f>
        <v>0</v>
      </c>
      <c r="I1045" s="70" t="n">
        <f aca="false">IF($E1045="","",N(INDEX(资金日记账!$N$4:$S$603,68,6)))</f>
        <v>22</v>
      </c>
      <c r="J1045" s="67" t="n">
        <f aca="false">IF($E1045="","",INDEX(资金日记账!$E$4:$E$603,68))</f>
        <v>0</v>
      </c>
      <c r="K1045" s="67" t="n">
        <f aca="false">IF($E1045="","",INDEX(资金日记账!$F$4:$F$603,68))</f>
        <v>0</v>
      </c>
      <c r="L1045" s="107" t="n">
        <f aca="false">IF($E1045="","",INDEX(资金日记账!$X$4:$X$603,68))</f>
        <v>0</v>
      </c>
      <c r="M1045" s="107"/>
      <c r="N1045" s="67" t="n">
        <f aca="false">IF($E1045="","",INDEX(资金日记账!$Y$4:$Y$603,68))</f>
        <v>0</v>
      </c>
      <c r="O1045" s="67" t="str">
        <f aca="false">IF($E1045="","","自动B")</f>
        <v>自动B</v>
      </c>
      <c r="P1045" s="18"/>
    </row>
    <row r="1046" customFormat="false" ht="18" hidden="false" customHeight="true" outlineLevel="0" collapsed="false">
      <c r="A1046" s="107" t="n">
        <f aca="false">IF($E1046="","",ROW()-3)</f>
        <v>1043</v>
      </c>
      <c r="B1046" s="110" t="n">
        <f aca="false">IF($E1046="","",INDEX(资金日记账!$B$4:$B$603,69))</f>
        <v>46278</v>
      </c>
      <c r="C1046" s="67" t="str">
        <f aca="false">IF($E1046="","",IF(INDEX(资金日记账!$W$4:$W$603,69)="","记-"&amp;TEXT($B1046,"YYYYMM")&amp;"-资金",INDEX(资金日记账!$W$4:$W$603,69)))</f>
        <v>记-202609-资金</v>
      </c>
      <c r="D1046" s="107" t="n">
        <f aca="false">IF($E1046="","",INDEX(资金日记账!$D$4:$D$603,69))</f>
        <v>0</v>
      </c>
      <c r="E1046" s="67" t="str">
        <f aca="false">IF(INDEX(资金日记账!$N$4:$S$603,69,1)=0,"",INDEX(资金日记账!$N$4:$S$603,69,1))</f>
        <v>管理费用</v>
      </c>
      <c r="F1046" s="99" t="str">
        <f aca="false">IF($E1046="","",IFERROR(INDEX(科目表!$A$4:$A$81,MATCH($E1046,科目表!$B$4:$B$81,0)),""))</f>
        <v>5602</v>
      </c>
      <c r="G1046" s="67" t="str">
        <f aca="false">IF($E1046="","",IFERROR(INDEX(科目表!$E$4:$E$81,MATCH($E1046,科目表!$B$4:$B$81,0)),""))</f>
        <v>管理费用</v>
      </c>
      <c r="H1046" s="70" t="n">
        <f aca="false">IF($E1046="","",N(INDEX(资金日记账!$N$4:$S$603,69,2)))</f>
        <v>46</v>
      </c>
      <c r="I1046" s="70" t="n">
        <f aca="false">IF($E1046="","",N(INDEX(资金日记账!$N$4:$S$603,69,3)))</f>
        <v>0</v>
      </c>
      <c r="J1046" s="67" t="n">
        <f aca="false">IF($E1046="","",INDEX(资金日记账!$E$4:$E$603,69))</f>
        <v>0</v>
      </c>
      <c r="K1046" s="67" t="n">
        <f aca="false">IF($E1046="","",INDEX(资金日记账!$F$4:$F$603,69))</f>
        <v>0</v>
      </c>
      <c r="L1046" s="107" t="n">
        <f aca="false">IF($E1046="","",INDEX(资金日记账!$X$4:$X$603,69))</f>
        <v>0</v>
      </c>
      <c r="M1046" s="107"/>
      <c r="N1046" s="67" t="n">
        <f aca="false">IF($E1046="","",INDEX(资金日记账!$Y$4:$Y$603,69))</f>
        <v>0</v>
      </c>
      <c r="O1046" s="67" t="str">
        <f aca="false">IF($E1046="","","自动B")</f>
        <v>自动B</v>
      </c>
      <c r="P1046" s="18"/>
    </row>
    <row r="1047" customFormat="false" ht="18" hidden="false" customHeight="true" outlineLevel="0" collapsed="false">
      <c r="A1047" s="107" t="n">
        <f aca="false">IF($E1047="","",ROW()-3)</f>
        <v>1044</v>
      </c>
      <c r="B1047" s="110" t="n">
        <f aca="false">IF($E1047="","",INDEX(资金日记账!$B$4:$B$603,69))</f>
        <v>46278</v>
      </c>
      <c r="C1047" s="67" t="str">
        <f aca="false">IF($E1047="","",IF(INDEX(资金日记账!$W$4:$W$603,69)="","记-"&amp;TEXT($B1047,"YYYYMM")&amp;"-资金",INDEX(资金日记账!$W$4:$W$603,69)))</f>
        <v>记-202609-资金</v>
      </c>
      <c r="D1047" s="107" t="n">
        <f aca="false">IF($E1047="","",INDEX(资金日记账!$D$4:$D$603,69))</f>
        <v>0</v>
      </c>
      <c r="E1047" s="67" t="str">
        <f aca="false">IF(INDEX(资金日记账!$N$4:$S$603,69,4)=0,"",INDEX(资金日记账!$N$4:$S$603,69,4))</f>
        <v>其他货币资金</v>
      </c>
      <c r="F1047" s="99" t="str">
        <f aca="false">IF($E1047="","",IFERROR(INDEX(科目表!$A$4:$A$81,MATCH($E1047,科目表!$B$4:$B$81,0)),""))</f>
        <v>1012</v>
      </c>
      <c r="G1047" s="67" t="str">
        <f aca="false">IF($E1047="","",IFERROR(INDEX(科目表!$E$4:$E$81,MATCH($E1047,科目表!$B$4:$B$81,0)),""))</f>
        <v>货币资金</v>
      </c>
      <c r="H1047" s="70" t="n">
        <f aca="false">IF($E1047="","",N(INDEX(资金日记账!$N$4:$S$603,69,5)))</f>
        <v>0</v>
      </c>
      <c r="I1047" s="70" t="n">
        <f aca="false">IF($E1047="","",N(INDEX(资金日记账!$N$4:$S$603,69,6)))</f>
        <v>46</v>
      </c>
      <c r="J1047" s="67" t="n">
        <f aca="false">IF($E1047="","",INDEX(资金日记账!$E$4:$E$603,69))</f>
        <v>0</v>
      </c>
      <c r="K1047" s="67" t="n">
        <f aca="false">IF($E1047="","",INDEX(资金日记账!$F$4:$F$603,69))</f>
        <v>0</v>
      </c>
      <c r="L1047" s="107" t="n">
        <f aca="false">IF($E1047="","",INDEX(资金日记账!$X$4:$X$603,69))</f>
        <v>0</v>
      </c>
      <c r="M1047" s="107"/>
      <c r="N1047" s="67" t="n">
        <f aca="false">IF($E1047="","",INDEX(资金日记账!$Y$4:$Y$603,69))</f>
        <v>0</v>
      </c>
      <c r="O1047" s="67" t="str">
        <f aca="false">IF($E1047="","","自动B")</f>
        <v>自动B</v>
      </c>
      <c r="P1047" s="18"/>
    </row>
    <row r="1048" customFormat="false" ht="18" hidden="false" customHeight="true" outlineLevel="0" collapsed="false">
      <c r="A1048" s="107" t="n">
        <f aca="false">IF($E1048="","",ROW()-3)</f>
        <v>1045</v>
      </c>
      <c r="B1048" s="110" t="n">
        <f aca="false">IF($E1048="","",INDEX(资金日记账!$B$4:$B$603,70))</f>
        <v>46278</v>
      </c>
      <c r="C1048" s="67" t="str">
        <f aca="false">IF($E1048="","",IF(INDEX(资金日记账!$W$4:$W$603,70)="","记-"&amp;TEXT($B1048,"YYYYMM")&amp;"-资金",INDEX(资金日记账!$W$4:$W$603,70)))</f>
        <v>记-202609-资金</v>
      </c>
      <c r="D1048" s="107" t="n">
        <f aca="false">IF($E1048="","",INDEX(资金日记账!$D$4:$D$603,70))</f>
        <v>0</v>
      </c>
      <c r="E1048" s="67" t="str">
        <f aca="false">IF(INDEX(资金日记账!$N$4:$S$603,70,1)=0,"",INDEX(资金日记账!$N$4:$S$603,70,1))</f>
        <v>主营业务成本</v>
      </c>
      <c r="F1048" s="99" t="str">
        <f aca="false">IF($E1048="","",IFERROR(INDEX(科目表!$A$4:$A$81,MATCH($E1048,科目表!$B$4:$B$81,0)),""))</f>
        <v>5401</v>
      </c>
      <c r="G1048" s="67" t="str">
        <f aca="false">IF($E1048="","",IFERROR(INDEX(科目表!$E$4:$E$81,MATCH($E1048,科目表!$B$4:$B$81,0)),""))</f>
        <v>营业成本</v>
      </c>
      <c r="H1048" s="70" t="n">
        <f aca="false">IF($E1048="","",N(INDEX(资金日记账!$N$4:$S$603,70,2)))</f>
        <v>180</v>
      </c>
      <c r="I1048" s="70" t="n">
        <f aca="false">IF($E1048="","",N(INDEX(资金日记账!$N$4:$S$603,70,3)))</f>
        <v>0</v>
      </c>
      <c r="J1048" s="67" t="n">
        <f aca="false">IF($E1048="","",INDEX(资金日记账!$E$4:$E$603,70))</f>
        <v>0</v>
      </c>
      <c r="K1048" s="67" t="n">
        <f aca="false">IF($E1048="","",INDEX(资金日记账!$F$4:$F$603,70))</f>
        <v>0</v>
      </c>
      <c r="L1048" s="107" t="n">
        <f aca="false">IF($E1048="","",INDEX(资金日记账!$X$4:$X$603,70))</f>
        <v>0</v>
      </c>
      <c r="M1048" s="107"/>
      <c r="N1048" s="67" t="n">
        <f aca="false">IF($E1048="","",INDEX(资金日记账!$Y$4:$Y$603,70))</f>
        <v>0</v>
      </c>
      <c r="O1048" s="67" t="str">
        <f aca="false">IF($E1048="","","自动B")</f>
        <v>自动B</v>
      </c>
      <c r="P1048" s="18"/>
    </row>
    <row r="1049" customFormat="false" ht="18" hidden="false" customHeight="true" outlineLevel="0" collapsed="false">
      <c r="A1049" s="107" t="n">
        <f aca="false">IF($E1049="","",ROW()-3)</f>
        <v>1046</v>
      </c>
      <c r="B1049" s="110" t="n">
        <f aca="false">IF($E1049="","",INDEX(资金日记账!$B$4:$B$603,70))</f>
        <v>46278</v>
      </c>
      <c r="C1049" s="67" t="str">
        <f aca="false">IF($E1049="","",IF(INDEX(资金日记账!$W$4:$W$603,70)="","记-"&amp;TEXT($B1049,"YYYYMM")&amp;"-资金",INDEX(资金日记账!$W$4:$W$603,70)))</f>
        <v>记-202609-资金</v>
      </c>
      <c r="D1049" s="107" t="n">
        <f aca="false">IF($E1049="","",INDEX(资金日记账!$D$4:$D$603,70))</f>
        <v>0</v>
      </c>
      <c r="E1049" s="67" t="str">
        <f aca="false">IF(INDEX(资金日记账!$N$4:$S$603,70,4)=0,"",INDEX(资金日记账!$N$4:$S$603,70,4))</f>
        <v>其他货币资金</v>
      </c>
      <c r="F1049" s="99" t="str">
        <f aca="false">IF($E1049="","",IFERROR(INDEX(科目表!$A$4:$A$81,MATCH($E1049,科目表!$B$4:$B$81,0)),""))</f>
        <v>1012</v>
      </c>
      <c r="G1049" s="67" t="str">
        <f aca="false">IF($E1049="","",IFERROR(INDEX(科目表!$E$4:$E$81,MATCH($E1049,科目表!$B$4:$B$81,0)),""))</f>
        <v>货币资金</v>
      </c>
      <c r="H1049" s="70" t="n">
        <f aca="false">IF($E1049="","",N(INDEX(资金日记账!$N$4:$S$603,70,5)))</f>
        <v>0</v>
      </c>
      <c r="I1049" s="70" t="n">
        <f aca="false">IF($E1049="","",N(INDEX(资金日记账!$N$4:$S$603,70,6)))</f>
        <v>180</v>
      </c>
      <c r="J1049" s="67" t="n">
        <f aca="false">IF($E1049="","",INDEX(资金日记账!$E$4:$E$603,70))</f>
        <v>0</v>
      </c>
      <c r="K1049" s="67" t="n">
        <f aca="false">IF($E1049="","",INDEX(资金日记账!$F$4:$F$603,70))</f>
        <v>0</v>
      </c>
      <c r="L1049" s="107" t="n">
        <f aca="false">IF($E1049="","",INDEX(资金日记账!$X$4:$X$603,70))</f>
        <v>0</v>
      </c>
      <c r="M1049" s="107"/>
      <c r="N1049" s="67" t="n">
        <f aca="false">IF($E1049="","",INDEX(资金日记账!$Y$4:$Y$603,70))</f>
        <v>0</v>
      </c>
      <c r="O1049" s="67" t="str">
        <f aca="false">IF($E1049="","","自动B")</f>
        <v>自动B</v>
      </c>
      <c r="P1049" s="18"/>
    </row>
    <row r="1050" customFormat="false" ht="18" hidden="false" customHeight="true" outlineLevel="0" collapsed="false">
      <c r="A1050" s="107" t="n">
        <f aca="false">IF($E1050="","",ROW()-3)</f>
        <v>1047</v>
      </c>
      <c r="B1050" s="110" t="n">
        <f aca="false">IF($E1050="","",INDEX(资金日记账!$B$4:$B$603,71))</f>
        <v>46278</v>
      </c>
      <c r="C1050" s="67" t="str">
        <f aca="false">IF($E1050="","",IF(INDEX(资金日记账!$W$4:$W$603,71)="","记-"&amp;TEXT($B1050,"YYYYMM")&amp;"-资金",INDEX(资金日记账!$W$4:$W$603,71)))</f>
        <v>记-202609-资金</v>
      </c>
      <c r="D1050" s="107" t="n">
        <f aca="false">IF($E1050="","",INDEX(资金日记账!$D$4:$D$603,71))</f>
        <v>0</v>
      </c>
      <c r="E1050" s="67" t="str">
        <f aca="false">IF(INDEX(资金日记账!$N$4:$S$603,71,1)=0,"",INDEX(资金日记账!$N$4:$S$603,71,1))</f>
        <v>管理费用</v>
      </c>
      <c r="F1050" s="99" t="str">
        <f aca="false">IF($E1050="","",IFERROR(INDEX(科目表!$A$4:$A$81,MATCH($E1050,科目表!$B$4:$B$81,0)),""))</f>
        <v>5602</v>
      </c>
      <c r="G1050" s="67" t="str">
        <f aca="false">IF($E1050="","",IFERROR(INDEX(科目表!$E$4:$E$81,MATCH($E1050,科目表!$B$4:$B$81,0)),""))</f>
        <v>管理费用</v>
      </c>
      <c r="H1050" s="70" t="n">
        <f aca="false">IF($E1050="","",N(INDEX(资金日记账!$N$4:$S$603,71,2)))</f>
        <v>18</v>
      </c>
      <c r="I1050" s="70" t="n">
        <f aca="false">IF($E1050="","",N(INDEX(资金日记账!$N$4:$S$603,71,3)))</f>
        <v>0</v>
      </c>
      <c r="J1050" s="67" t="n">
        <f aca="false">IF($E1050="","",INDEX(资金日记账!$E$4:$E$603,71))</f>
        <v>0</v>
      </c>
      <c r="K1050" s="67" t="n">
        <f aca="false">IF($E1050="","",INDEX(资金日记账!$F$4:$F$603,71))</f>
        <v>0</v>
      </c>
      <c r="L1050" s="107" t="n">
        <f aca="false">IF($E1050="","",INDEX(资金日记账!$X$4:$X$603,71))</f>
        <v>0</v>
      </c>
      <c r="M1050" s="107"/>
      <c r="N1050" s="67" t="n">
        <f aca="false">IF($E1050="","",INDEX(资金日记账!$Y$4:$Y$603,71))</f>
        <v>0</v>
      </c>
      <c r="O1050" s="67" t="str">
        <f aca="false">IF($E1050="","","自动B")</f>
        <v>自动B</v>
      </c>
      <c r="P1050" s="18"/>
    </row>
    <row r="1051" customFormat="false" ht="18" hidden="false" customHeight="true" outlineLevel="0" collapsed="false">
      <c r="A1051" s="107" t="n">
        <f aca="false">IF($E1051="","",ROW()-3)</f>
        <v>1048</v>
      </c>
      <c r="B1051" s="110" t="n">
        <f aca="false">IF($E1051="","",INDEX(资金日记账!$B$4:$B$603,71))</f>
        <v>46278</v>
      </c>
      <c r="C1051" s="67" t="str">
        <f aca="false">IF($E1051="","",IF(INDEX(资金日记账!$W$4:$W$603,71)="","记-"&amp;TEXT($B1051,"YYYYMM")&amp;"-资金",INDEX(资金日记账!$W$4:$W$603,71)))</f>
        <v>记-202609-资金</v>
      </c>
      <c r="D1051" s="107" t="n">
        <f aca="false">IF($E1051="","",INDEX(资金日记账!$D$4:$D$603,71))</f>
        <v>0</v>
      </c>
      <c r="E1051" s="67" t="str">
        <f aca="false">IF(INDEX(资金日记账!$N$4:$S$603,71,4)=0,"",INDEX(资金日记账!$N$4:$S$603,71,4))</f>
        <v>其他货币资金</v>
      </c>
      <c r="F1051" s="99" t="str">
        <f aca="false">IF($E1051="","",IFERROR(INDEX(科目表!$A$4:$A$81,MATCH($E1051,科目表!$B$4:$B$81,0)),""))</f>
        <v>1012</v>
      </c>
      <c r="G1051" s="67" t="str">
        <f aca="false">IF($E1051="","",IFERROR(INDEX(科目表!$E$4:$E$81,MATCH($E1051,科目表!$B$4:$B$81,0)),""))</f>
        <v>货币资金</v>
      </c>
      <c r="H1051" s="70" t="n">
        <f aca="false">IF($E1051="","",N(INDEX(资金日记账!$N$4:$S$603,71,5)))</f>
        <v>0</v>
      </c>
      <c r="I1051" s="70" t="n">
        <f aca="false">IF($E1051="","",N(INDEX(资金日记账!$N$4:$S$603,71,6)))</f>
        <v>18</v>
      </c>
      <c r="J1051" s="67" t="n">
        <f aca="false">IF($E1051="","",INDEX(资金日记账!$E$4:$E$603,71))</f>
        <v>0</v>
      </c>
      <c r="K1051" s="67" t="n">
        <f aca="false">IF($E1051="","",INDEX(资金日记账!$F$4:$F$603,71))</f>
        <v>0</v>
      </c>
      <c r="L1051" s="107" t="n">
        <f aca="false">IF($E1051="","",INDEX(资金日记账!$X$4:$X$603,71))</f>
        <v>0</v>
      </c>
      <c r="M1051" s="107"/>
      <c r="N1051" s="67" t="n">
        <f aca="false">IF($E1051="","",INDEX(资金日记账!$Y$4:$Y$603,71))</f>
        <v>0</v>
      </c>
      <c r="O1051" s="67" t="str">
        <f aca="false">IF($E1051="","","自动B")</f>
        <v>自动B</v>
      </c>
      <c r="P1051" s="18"/>
    </row>
    <row r="1052" customFormat="false" ht="18" hidden="false" customHeight="true" outlineLevel="0" collapsed="false">
      <c r="A1052" s="107" t="n">
        <f aca="false">IF($E1052="","",ROW()-3)</f>
        <v>1049</v>
      </c>
      <c r="B1052" s="110" t="n">
        <f aca="false">IF($E1052="","",INDEX(资金日记账!$B$4:$B$603,72))</f>
        <v>46278</v>
      </c>
      <c r="C1052" s="67" t="str">
        <f aca="false">IF($E1052="","",IF(INDEX(资金日记账!$W$4:$W$603,72)="","记-"&amp;TEXT($B1052,"YYYYMM")&amp;"-资金",INDEX(资金日记账!$W$4:$W$603,72)))</f>
        <v>记-202609-资金</v>
      </c>
      <c r="D1052" s="107" t="n">
        <f aca="false">IF($E1052="","",INDEX(资金日记账!$D$4:$D$603,72))</f>
        <v>0</v>
      </c>
      <c r="E1052" s="67" t="str">
        <f aca="false">IF(INDEX(资金日记账!$N$4:$S$603,72,1)=0,"",INDEX(资金日记账!$N$4:$S$603,72,1))</f>
        <v>主营业务成本</v>
      </c>
      <c r="F1052" s="99" t="str">
        <f aca="false">IF($E1052="","",IFERROR(INDEX(科目表!$A$4:$A$81,MATCH($E1052,科目表!$B$4:$B$81,0)),""))</f>
        <v>5401</v>
      </c>
      <c r="G1052" s="67" t="str">
        <f aca="false">IF($E1052="","",IFERROR(INDEX(科目表!$E$4:$E$81,MATCH($E1052,科目表!$B$4:$B$81,0)),""))</f>
        <v>营业成本</v>
      </c>
      <c r="H1052" s="70" t="n">
        <f aca="false">IF($E1052="","",N(INDEX(资金日记账!$N$4:$S$603,72,2)))</f>
        <v>600</v>
      </c>
      <c r="I1052" s="70" t="n">
        <f aca="false">IF($E1052="","",N(INDEX(资金日记账!$N$4:$S$603,72,3)))</f>
        <v>0</v>
      </c>
      <c r="J1052" s="67" t="n">
        <f aca="false">IF($E1052="","",INDEX(资金日记账!$E$4:$E$603,72))</f>
        <v>0</v>
      </c>
      <c r="K1052" s="67" t="str">
        <f aca="false">IF($E1052="","",INDEX(资金日记账!$F$4:$F$603,72))</f>
        <v>家用</v>
      </c>
      <c r="L1052" s="107" t="n">
        <f aca="false">IF($E1052="","",INDEX(资金日记账!$X$4:$X$603,72))</f>
        <v>0</v>
      </c>
      <c r="M1052" s="107"/>
      <c r="N1052" s="67" t="n">
        <f aca="false">IF($E1052="","",INDEX(资金日记账!$Y$4:$Y$603,72))</f>
        <v>0</v>
      </c>
      <c r="O1052" s="67" t="str">
        <f aca="false">IF($E1052="","","自动B")</f>
        <v>自动B</v>
      </c>
      <c r="P1052" s="18"/>
    </row>
    <row r="1053" customFormat="false" ht="18" hidden="false" customHeight="true" outlineLevel="0" collapsed="false">
      <c r="A1053" s="107" t="n">
        <f aca="false">IF($E1053="","",ROW()-3)</f>
        <v>1050</v>
      </c>
      <c r="B1053" s="110" t="n">
        <f aca="false">IF($E1053="","",INDEX(资金日记账!$B$4:$B$603,72))</f>
        <v>46278</v>
      </c>
      <c r="C1053" s="67" t="str">
        <f aca="false">IF($E1053="","",IF(INDEX(资金日记账!$W$4:$W$603,72)="","记-"&amp;TEXT($B1053,"YYYYMM")&amp;"-资金",INDEX(资金日记账!$W$4:$W$603,72)))</f>
        <v>记-202609-资金</v>
      </c>
      <c r="D1053" s="107" t="n">
        <f aca="false">IF($E1053="","",INDEX(资金日记账!$D$4:$D$603,72))</f>
        <v>0</v>
      </c>
      <c r="E1053" s="67" t="str">
        <f aca="false">IF(INDEX(资金日记账!$N$4:$S$603,72,4)=0,"",INDEX(资金日记账!$N$4:$S$603,72,4))</f>
        <v>其他货币资金</v>
      </c>
      <c r="F1053" s="99" t="str">
        <f aca="false">IF($E1053="","",IFERROR(INDEX(科目表!$A$4:$A$81,MATCH($E1053,科目表!$B$4:$B$81,0)),""))</f>
        <v>1012</v>
      </c>
      <c r="G1053" s="67" t="str">
        <f aca="false">IF($E1053="","",IFERROR(INDEX(科目表!$E$4:$E$81,MATCH($E1053,科目表!$B$4:$B$81,0)),""))</f>
        <v>货币资金</v>
      </c>
      <c r="H1053" s="70" t="n">
        <f aca="false">IF($E1053="","",N(INDEX(资金日记账!$N$4:$S$603,72,5)))</f>
        <v>0</v>
      </c>
      <c r="I1053" s="70" t="n">
        <f aca="false">IF($E1053="","",N(INDEX(资金日记账!$N$4:$S$603,72,6)))</f>
        <v>600</v>
      </c>
      <c r="J1053" s="67" t="n">
        <f aca="false">IF($E1053="","",INDEX(资金日记账!$E$4:$E$603,72))</f>
        <v>0</v>
      </c>
      <c r="K1053" s="67" t="str">
        <f aca="false">IF($E1053="","",INDEX(资金日记账!$F$4:$F$603,72))</f>
        <v>家用</v>
      </c>
      <c r="L1053" s="107" t="n">
        <f aca="false">IF($E1053="","",INDEX(资金日记账!$X$4:$X$603,72))</f>
        <v>0</v>
      </c>
      <c r="M1053" s="107"/>
      <c r="N1053" s="67" t="n">
        <f aca="false">IF($E1053="","",INDEX(资金日记账!$Y$4:$Y$603,72))</f>
        <v>0</v>
      </c>
      <c r="O1053" s="67" t="str">
        <f aca="false">IF($E1053="","","自动B")</f>
        <v>自动B</v>
      </c>
      <c r="P1053" s="18"/>
    </row>
    <row r="1054" customFormat="false" ht="18" hidden="false" customHeight="true" outlineLevel="0" collapsed="false">
      <c r="A1054" s="107" t="n">
        <f aca="false">IF($E1054="","",ROW()-3)</f>
        <v>1051</v>
      </c>
      <c r="B1054" s="110" t="n">
        <f aca="false">IF($E1054="","",INDEX(资金日记账!$B$4:$B$603,73))</f>
        <v>46278</v>
      </c>
      <c r="C1054" s="67" t="str">
        <f aca="false">IF($E1054="","",IF(INDEX(资金日记账!$W$4:$W$603,73)="","记-"&amp;TEXT($B1054,"YYYYMM")&amp;"-资金",INDEX(资金日记账!$W$4:$W$603,73)))</f>
        <v>记-202609-资金</v>
      </c>
      <c r="D1054" s="107" t="str">
        <f aca="false">IF($E1054="","",INDEX(资金日记账!$D$4:$D$603,73))</f>
        <v>儿子零花钱</v>
      </c>
      <c r="E1054" s="67" t="str">
        <f aca="false">IF(INDEX(资金日记账!$N$4:$S$603,73,1)=0,"",INDEX(资金日记账!$N$4:$S$603,73,1))</f>
        <v>其他应收款</v>
      </c>
      <c r="F1054" s="99" t="str">
        <f aca="false">IF($E1054="","",IFERROR(INDEX(科目表!$A$4:$A$81,MATCH($E1054,科目表!$B$4:$B$81,0)),""))</f>
        <v>1221</v>
      </c>
      <c r="G1054" s="67" t="str">
        <f aca="false">IF($E1054="","",IFERROR(INDEX(科目表!$E$4:$E$81,MATCH($E1054,科目表!$B$4:$B$81,0)),""))</f>
        <v>其他应收款</v>
      </c>
      <c r="H1054" s="70" t="n">
        <f aca="false">IF($E1054="","",N(INDEX(资金日记账!$N$4:$S$603,73,2)))</f>
        <v>100</v>
      </c>
      <c r="I1054" s="70" t="n">
        <f aca="false">IF($E1054="","",N(INDEX(资金日记账!$N$4:$S$603,73,3)))</f>
        <v>0</v>
      </c>
      <c r="J1054" s="67" t="n">
        <f aca="false">IF($E1054="","",INDEX(资金日记账!$E$4:$E$603,73))</f>
        <v>0</v>
      </c>
      <c r="K1054" s="67" t="str">
        <f aca="false">IF($E1054="","",INDEX(资金日记账!$F$4:$F$603,73))</f>
        <v>家用</v>
      </c>
      <c r="L1054" s="107" t="n">
        <f aca="false">IF($E1054="","",INDEX(资金日记账!$X$4:$X$603,73))</f>
        <v>0</v>
      </c>
      <c r="M1054" s="107"/>
      <c r="N1054" s="67" t="n">
        <f aca="false">IF($E1054="","",INDEX(资金日记账!$Y$4:$Y$603,73))</f>
        <v>0</v>
      </c>
      <c r="O1054" s="67" t="str">
        <f aca="false">IF($E1054="","","自动B")</f>
        <v>自动B</v>
      </c>
      <c r="P1054" s="18"/>
    </row>
    <row r="1055" customFormat="false" ht="18" hidden="false" customHeight="true" outlineLevel="0" collapsed="false">
      <c r="A1055" s="107" t="n">
        <f aca="false">IF($E1055="","",ROW()-3)</f>
        <v>1052</v>
      </c>
      <c r="B1055" s="110" t="n">
        <f aca="false">IF($E1055="","",INDEX(资金日记账!$B$4:$B$603,73))</f>
        <v>46278</v>
      </c>
      <c r="C1055" s="67" t="str">
        <f aca="false">IF($E1055="","",IF(INDEX(资金日记账!$W$4:$W$603,73)="","记-"&amp;TEXT($B1055,"YYYYMM")&amp;"-资金",INDEX(资金日记账!$W$4:$W$603,73)))</f>
        <v>记-202609-资金</v>
      </c>
      <c r="D1055" s="107" t="str">
        <f aca="false">IF($E1055="","",INDEX(资金日记账!$D$4:$D$603,73))</f>
        <v>儿子零花钱</v>
      </c>
      <c r="E1055" s="67" t="str">
        <f aca="false">IF(INDEX(资金日记账!$N$4:$S$603,73,4)=0,"",INDEX(资金日记账!$N$4:$S$603,73,4))</f>
        <v>其他货币资金</v>
      </c>
      <c r="F1055" s="99" t="str">
        <f aca="false">IF($E1055="","",IFERROR(INDEX(科目表!$A$4:$A$81,MATCH($E1055,科目表!$B$4:$B$81,0)),""))</f>
        <v>1012</v>
      </c>
      <c r="G1055" s="67" t="str">
        <f aca="false">IF($E1055="","",IFERROR(INDEX(科目表!$E$4:$E$81,MATCH($E1055,科目表!$B$4:$B$81,0)),""))</f>
        <v>货币资金</v>
      </c>
      <c r="H1055" s="70" t="n">
        <f aca="false">IF($E1055="","",N(INDEX(资金日记账!$N$4:$S$603,73,5)))</f>
        <v>0</v>
      </c>
      <c r="I1055" s="70" t="n">
        <f aca="false">IF($E1055="","",N(INDEX(资金日记账!$N$4:$S$603,73,6)))</f>
        <v>100</v>
      </c>
      <c r="J1055" s="67" t="n">
        <f aca="false">IF($E1055="","",INDEX(资金日记账!$E$4:$E$603,73))</f>
        <v>0</v>
      </c>
      <c r="K1055" s="67" t="str">
        <f aca="false">IF($E1055="","",INDEX(资金日记账!$F$4:$F$603,73))</f>
        <v>家用</v>
      </c>
      <c r="L1055" s="107" t="n">
        <f aca="false">IF($E1055="","",INDEX(资金日记账!$X$4:$X$603,73))</f>
        <v>0</v>
      </c>
      <c r="M1055" s="107"/>
      <c r="N1055" s="67" t="n">
        <f aca="false">IF($E1055="","",INDEX(资金日记账!$Y$4:$Y$603,73))</f>
        <v>0</v>
      </c>
      <c r="O1055" s="67" t="str">
        <f aca="false">IF($E1055="","","自动B")</f>
        <v>自动B</v>
      </c>
      <c r="P1055" s="18"/>
    </row>
    <row r="1056" customFormat="false" ht="18" hidden="false" customHeight="true" outlineLevel="0" collapsed="false">
      <c r="A1056" s="107" t="n">
        <f aca="false">IF($E1056="","",ROW()-3)</f>
        <v>1053</v>
      </c>
      <c r="B1056" s="110" t="n">
        <f aca="false">IF($E1056="","",INDEX(资金日记账!$B$4:$B$603,74))</f>
        <v>46279</v>
      </c>
      <c r="C1056" s="67" t="str">
        <f aca="false">IF($E1056="","",IF(INDEX(资金日记账!$W$4:$W$603,74)="","记-"&amp;TEXT($B1056,"YYYYMM")&amp;"-资金",INDEX(资金日记账!$W$4:$W$603,74)))</f>
        <v>记-202609-资金</v>
      </c>
      <c r="D1056" s="107" t="str">
        <f aca="false">IF($E1056="","",INDEX(资金日记账!$D$4:$D$603,74))</f>
        <v>叉车工押金</v>
      </c>
      <c r="E1056" s="67" t="str">
        <f aca="false">IF(INDEX(资金日记账!$N$4:$S$603,74,1)=0,"",INDEX(资金日记账!$N$4:$S$603,74,1))</f>
        <v>其他货币资金</v>
      </c>
      <c r="F1056" s="99" t="str">
        <f aca="false">IF($E1056="","",IFERROR(INDEX(科目表!$A$4:$A$81,MATCH($E1056,科目表!$B$4:$B$81,0)),""))</f>
        <v>1012</v>
      </c>
      <c r="G1056" s="67" t="str">
        <f aca="false">IF($E1056="","",IFERROR(INDEX(科目表!$E$4:$E$81,MATCH($E1056,科目表!$B$4:$B$81,0)),""))</f>
        <v>货币资金</v>
      </c>
      <c r="H1056" s="70" t="n">
        <f aca="false">IF($E1056="","",N(INDEX(资金日记账!$N$4:$S$603,74,2)))</f>
        <v>500</v>
      </c>
      <c r="I1056" s="70" t="n">
        <f aca="false">IF($E1056="","",N(INDEX(资金日记账!$N$4:$S$603,74,3)))</f>
        <v>0</v>
      </c>
      <c r="J1056" s="67" t="n">
        <f aca="false">IF($E1056="","",INDEX(资金日记账!$E$4:$E$603,74))</f>
        <v>0</v>
      </c>
      <c r="K1056" s="67" t="str">
        <f aca="false">IF($E1056="","",INDEX(资金日记账!$F$4:$F$603,74))</f>
        <v>押金收取</v>
      </c>
      <c r="L1056" s="107" t="n">
        <f aca="false">IF($E1056="","",INDEX(资金日记账!$X$4:$X$603,74))</f>
        <v>0</v>
      </c>
      <c r="M1056" s="107"/>
      <c r="N1056" s="67" t="n">
        <f aca="false">IF($E1056="","",INDEX(资金日记账!$Y$4:$Y$603,74))</f>
        <v>0</v>
      </c>
      <c r="O1056" s="67" t="str">
        <f aca="false">IF($E1056="","","自动B")</f>
        <v>自动B</v>
      </c>
      <c r="P1056" s="18"/>
    </row>
    <row r="1057" customFormat="false" ht="18" hidden="false" customHeight="true" outlineLevel="0" collapsed="false">
      <c r="A1057" s="107" t="n">
        <f aca="false">IF($E1057="","",ROW()-3)</f>
        <v>1054</v>
      </c>
      <c r="B1057" s="110" t="n">
        <f aca="false">IF($E1057="","",INDEX(资金日记账!$B$4:$B$603,74))</f>
        <v>46279</v>
      </c>
      <c r="C1057" s="67" t="str">
        <f aca="false">IF($E1057="","",IF(INDEX(资金日记账!$W$4:$W$603,74)="","记-"&amp;TEXT($B1057,"YYYYMM")&amp;"-资金",INDEX(资金日记账!$W$4:$W$603,74)))</f>
        <v>记-202609-资金</v>
      </c>
      <c r="D1057" s="107" t="str">
        <f aca="false">IF($E1057="","",INDEX(资金日记账!$D$4:$D$603,74))</f>
        <v>叉车工押金</v>
      </c>
      <c r="E1057" s="67" t="str">
        <f aca="false">IF(INDEX(资金日记账!$N$4:$S$603,74,4)=0,"",INDEX(资金日记账!$N$4:$S$603,74,4))</f>
        <v>其他应付款</v>
      </c>
      <c r="F1057" s="99" t="str">
        <f aca="false">IF($E1057="","",IFERROR(INDEX(科目表!$A$4:$A$81,MATCH($E1057,科目表!$B$4:$B$81,0)),""))</f>
        <v>2241</v>
      </c>
      <c r="G1057" s="67" t="str">
        <f aca="false">IF($E1057="","",IFERROR(INDEX(科目表!$E$4:$E$81,MATCH($E1057,科目表!$B$4:$B$81,0)),""))</f>
        <v>其他应付款</v>
      </c>
      <c r="H1057" s="70" t="n">
        <f aca="false">IF($E1057="","",N(INDEX(资金日记账!$N$4:$S$603,74,5)))</f>
        <v>0</v>
      </c>
      <c r="I1057" s="70" t="n">
        <f aca="false">IF($E1057="","",N(INDEX(资金日记账!$N$4:$S$603,74,6)))</f>
        <v>500</v>
      </c>
      <c r="J1057" s="67" t="n">
        <f aca="false">IF($E1057="","",INDEX(资金日记账!$E$4:$E$603,74))</f>
        <v>0</v>
      </c>
      <c r="K1057" s="67" t="str">
        <f aca="false">IF($E1057="","",INDEX(资金日记账!$F$4:$F$603,74))</f>
        <v>押金收取</v>
      </c>
      <c r="L1057" s="107" t="n">
        <f aca="false">IF($E1057="","",INDEX(资金日记账!$X$4:$X$603,74))</f>
        <v>0</v>
      </c>
      <c r="M1057" s="107"/>
      <c r="N1057" s="67" t="n">
        <f aca="false">IF($E1057="","",INDEX(资金日记账!$Y$4:$Y$603,74))</f>
        <v>0</v>
      </c>
      <c r="O1057" s="67" t="str">
        <f aca="false">IF($E1057="","","自动B")</f>
        <v>自动B</v>
      </c>
      <c r="P1057" s="18"/>
    </row>
    <row r="1058" customFormat="false" ht="18" hidden="false" customHeight="true" outlineLevel="0" collapsed="false">
      <c r="A1058" s="107" t="n">
        <f aca="false">IF($E1058="","",ROW()-3)</f>
        <v>1055</v>
      </c>
      <c r="B1058" s="110" t="n">
        <f aca="false">IF($E1058="","",INDEX(资金日记账!$B$4:$B$603,75))</f>
        <v>46280</v>
      </c>
      <c r="C1058" s="67" t="str">
        <f aca="false">IF($E1058="","",IF(INDEX(资金日记账!$W$4:$W$603,75)="","记-"&amp;TEXT($B1058,"YYYYMM")&amp;"-资金",INDEX(资金日记账!$W$4:$W$603,75)))</f>
        <v>记-202609-资金</v>
      </c>
      <c r="D1058" s="107" t="n">
        <f aca="false">IF($E1058="","",INDEX(资金日记账!$D$4:$D$603,75))</f>
        <v>0</v>
      </c>
      <c r="E1058" s="67" t="str">
        <f aca="false">IF(INDEX(资金日记账!$N$4:$S$603,75,1)=0,"",INDEX(资金日记账!$N$4:$S$603,75,1))</f>
        <v>其他货币资金</v>
      </c>
      <c r="F1058" s="99" t="str">
        <f aca="false">IF($E1058="","",IFERROR(INDEX(科目表!$A$4:$A$81,MATCH($E1058,科目表!$B$4:$B$81,0)),""))</f>
        <v>1012</v>
      </c>
      <c r="G1058" s="67" t="str">
        <f aca="false">IF($E1058="","",IFERROR(INDEX(科目表!$E$4:$E$81,MATCH($E1058,科目表!$B$4:$B$81,0)),""))</f>
        <v>货币资金</v>
      </c>
      <c r="H1058" s="70" t="n">
        <f aca="false">IF($E1058="","",N(INDEX(资金日记账!$N$4:$S$603,75,2)))</f>
        <v>5000</v>
      </c>
      <c r="I1058" s="70" t="n">
        <f aca="false">IF($E1058="","",N(INDEX(资金日记账!$N$4:$S$603,75,3)))</f>
        <v>0</v>
      </c>
      <c r="J1058" s="67" t="n">
        <f aca="false">IF($E1058="","",INDEX(资金日记账!$E$4:$E$603,75))</f>
        <v>0</v>
      </c>
      <c r="K1058" s="67" t="str">
        <f aca="false">IF($E1058="","",INDEX(资金日记账!$F$4:$F$603,75))</f>
        <v>家用</v>
      </c>
      <c r="L1058" s="107" t="n">
        <f aca="false">IF($E1058="","",INDEX(资金日记账!$X$4:$X$603,75))</f>
        <v>0</v>
      </c>
      <c r="M1058" s="107"/>
      <c r="N1058" s="67" t="n">
        <f aca="false">IF($E1058="","",INDEX(资金日记账!$Y$4:$Y$603,75))</f>
        <v>0</v>
      </c>
      <c r="O1058" s="67" t="str">
        <f aca="false">IF($E1058="","","自动B")</f>
        <v>自动B</v>
      </c>
      <c r="P1058" s="18"/>
    </row>
    <row r="1059" customFormat="false" ht="18" hidden="false" customHeight="true" outlineLevel="0" collapsed="false">
      <c r="A1059" s="107" t="n">
        <f aca="false">IF($E1059="","",ROW()-3)</f>
        <v>1056</v>
      </c>
      <c r="B1059" s="110" t="n">
        <f aca="false">IF($E1059="","",INDEX(资金日记账!$B$4:$B$603,75))</f>
        <v>46280</v>
      </c>
      <c r="C1059" s="67" t="str">
        <f aca="false">IF($E1059="","",IF(INDEX(资金日记账!$W$4:$W$603,75)="","记-"&amp;TEXT($B1059,"YYYYMM")&amp;"-资金",INDEX(资金日记账!$W$4:$W$603,75)))</f>
        <v>记-202609-资金</v>
      </c>
      <c r="D1059" s="107" t="n">
        <f aca="false">IF($E1059="","",INDEX(资金日记账!$D$4:$D$603,75))</f>
        <v>0</v>
      </c>
      <c r="E1059" s="67" t="str">
        <f aca="false">IF(INDEX(资金日记账!$N$4:$S$603,75,4)=0,"",INDEX(资金日记账!$N$4:$S$603,75,4))</f>
        <v>其他应收款</v>
      </c>
      <c r="F1059" s="99" t="str">
        <f aca="false">IF($E1059="","",IFERROR(INDEX(科目表!$A$4:$A$81,MATCH($E1059,科目表!$B$4:$B$81,0)),""))</f>
        <v>1221</v>
      </c>
      <c r="G1059" s="67" t="str">
        <f aca="false">IF($E1059="","",IFERROR(INDEX(科目表!$E$4:$E$81,MATCH($E1059,科目表!$B$4:$B$81,0)),""))</f>
        <v>其他应收款</v>
      </c>
      <c r="H1059" s="70" t="n">
        <f aca="false">IF($E1059="","",N(INDEX(资金日记账!$N$4:$S$603,75,5)))</f>
        <v>0</v>
      </c>
      <c r="I1059" s="70" t="n">
        <f aca="false">IF($E1059="","",N(INDEX(资金日记账!$N$4:$S$603,75,6)))</f>
        <v>5000</v>
      </c>
      <c r="J1059" s="67" t="n">
        <f aca="false">IF($E1059="","",INDEX(资金日记账!$E$4:$E$603,75))</f>
        <v>0</v>
      </c>
      <c r="K1059" s="67" t="str">
        <f aca="false">IF($E1059="","",INDEX(资金日记账!$F$4:$F$603,75))</f>
        <v>家用</v>
      </c>
      <c r="L1059" s="107" t="n">
        <f aca="false">IF($E1059="","",INDEX(资金日记账!$X$4:$X$603,75))</f>
        <v>0</v>
      </c>
      <c r="M1059" s="107"/>
      <c r="N1059" s="67" t="n">
        <f aca="false">IF($E1059="","",INDEX(资金日记账!$Y$4:$Y$603,75))</f>
        <v>0</v>
      </c>
      <c r="O1059" s="67" t="str">
        <f aca="false">IF($E1059="","","自动B")</f>
        <v>自动B</v>
      </c>
      <c r="P1059" s="18"/>
    </row>
    <row r="1060" customFormat="false" ht="18" hidden="false" customHeight="true" outlineLevel="0" collapsed="false">
      <c r="A1060" s="107" t="n">
        <f aca="false">IF($E1060="","",ROW()-3)</f>
        <v>1057</v>
      </c>
      <c r="B1060" s="110" t="n">
        <f aca="false">IF($E1060="","",INDEX(资金日记账!$B$4:$B$603,76))</f>
        <v>46280</v>
      </c>
      <c r="C1060" s="67" t="str">
        <f aca="false">IF($E1060="","",IF(INDEX(资金日记账!$W$4:$W$603,76)="","记-"&amp;TEXT($B1060,"YYYYMM")&amp;"-资金",INDEX(资金日记账!$W$4:$W$603,76)))</f>
        <v>记-202609-资金</v>
      </c>
      <c r="D1060" s="107" t="str">
        <f aca="false">IF($E1060="","",INDEX(资金日记账!$D$4:$D$603,76))</f>
        <v>饺子速冻食品</v>
      </c>
      <c r="E1060" s="67" t="str">
        <f aca="false">IF(INDEX(资金日记账!$N$4:$S$603,76,1)=0,"",INDEX(资金日记账!$N$4:$S$603,76,1))</f>
        <v>管理费用</v>
      </c>
      <c r="F1060" s="99" t="str">
        <f aca="false">IF($E1060="","",IFERROR(INDEX(科目表!$A$4:$A$81,MATCH($E1060,科目表!$B$4:$B$81,0)),""))</f>
        <v>5602</v>
      </c>
      <c r="G1060" s="67" t="str">
        <f aca="false">IF($E1060="","",IFERROR(INDEX(科目表!$E$4:$E$81,MATCH($E1060,科目表!$B$4:$B$81,0)),""))</f>
        <v>管理费用</v>
      </c>
      <c r="H1060" s="70" t="n">
        <f aca="false">IF($E1060="","",N(INDEX(资金日记账!$N$4:$S$603,76,2)))</f>
        <v>1000</v>
      </c>
      <c r="I1060" s="70" t="n">
        <f aca="false">IF($E1060="","",N(INDEX(资金日记账!$N$4:$S$603,76,3)))</f>
        <v>0</v>
      </c>
      <c r="J1060" s="67" t="n">
        <f aca="false">IF($E1060="","",INDEX(资金日记账!$E$4:$E$603,76))</f>
        <v>0</v>
      </c>
      <c r="K1060" s="67" t="n">
        <f aca="false">IF($E1060="","",INDEX(资金日记账!$F$4:$F$603,76))</f>
        <v>0</v>
      </c>
      <c r="L1060" s="107" t="n">
        <f aca="false">IF($E1060="","",INDEX(资金日记账!$X$4:$X$603,76))</f>
        <v>0</v>
      </c>
      <c r="M1060" s="107"/>
      <c r="N1060" s="67" t="n">
        <f aca="false">IF($E1060="","",INDEX(资金日记账!$Y$4:$Y$603,76))</f>
        <v>0</v>
      </c>
      <c r="O1060" s="67" t="str">
        <f aca="false">IF($E1060="","","自动B")</f>
        <v>自动B</v>
      </c>
      <c r="P1060" s="18"/>
    </row>
    <row r="1061" customFormat="false" ht="18" hidden="false" customHeight="true" outlineLevel="0" collapsed="false">
      <c r="A1061" s="107" t="n">
        <f aca="false">IF($E1061="","",ROW()-3)</f>
        <v>1058</v>
      </c>
      <c r="B1061" s="110" t="n">
        <f aca="false">IF($E1061="","",INDEX(资金日记账!$B$4:$B$603,76))</f>
        <v>46280</v>
      </c>
      <c r="C1061" s="67" t="str">
        <f aca="false">IF($E1061="","",IF(INDEX(资金日记账!$W$4:$W$603,76)="","记-"&amp;TEXT($B1061,"YYYYMM")&amp;"-资金",INDEX(资金日记账!$W$4:$W$603,76)))</f>
        <v>记-202609-资金</v>
      </c>
      <c r="D1061" s="107" t="str">
        <f aca="false">IF($E1061="","",INDEX(资金日记账!$D$4:$D$603,76))</f>
        <v>饺子速冻食品</v>
      </c>
      <c r="E1061" s="67" t="str">
        <f aca="false">IF(INDEX(资金日记账!$N$4:$S$603,76,4)=0,"",INDEX(资金日记账!$N$4:$S$603,76,4))</f>
        <v>其他货币资金</v>
      </c>
      <c r="F1061" s="99" t="str">
        <f aca="false">IF($E1061="","",IFERROR(INDEX(科目表!$A$4:$A$81,MATCH($E1061,科目表!$B$4:$B$81,0)),""))</f>
        <v>1012</v>
      </c>
      <c r="G1061" s="67" t="str">
        <f aca="false">IF($E1061="","",IFERROR(INDEX(科目表!$E$4:$E$81,MATCH($E1061,科目表!$B$4:$B$81,0)),""))</f>
        <v>货币资金</v>
      </c>
      <c r="H1061" s="70" t="n">
        <f aca="false">IF($E1061="","",N(INDEX(资金日记账!$N$4:$S$603,76,5)))</f>
        <v>0</v>
      </c>
      <c r="I1061" s="70" t="n">
        <f aca="false">IF($E1061="","",N(INDEX(资金日记账!$N$4:$S$603,76,6)))</f>
        <v>1000</v>
      </c>
      <c r="J1061" s="67" t="n">
        <f aca="false">IF($E1061="","",INDEX(资金日记账!$E$4:$E$603,76))</f>
        <v>0</v>
      </c>
      <c r="K1061" s="67" t="n">
        <f aca="false">IF($E1061="","",INDEX(资金日记账!$F$4:$F$603,76))</f>
        <v>0</v>
      </c>
      <c r="L1061" s="107" t="n">
        <f aca="false">IF($E1061="","",INDEX(资金日记账!$X$4:$X$603,76))</f>
        <v>0</v>
      </c>
      <c r="M1061" s="107"/>
      <c r="N1061" s="67" t="n">
        <f aca="false">IF($E1061="","",INDEX(资金日记账!$Y$4:$Y$603,76))</f>
        <v>0</v>
      </c>
      <c r="O1061" s="67" t="str">
        <f aca="false">IF($E1061="","","自动B")</f>
        <v>自动B</v>
      </c>
      <c r="P1061" s="18"/>
    </row>
    <row r="1062" customFormat="false" ht="18" hidden="false" customHeight="true" outlineLevel="0" collapsed="false">
      <c r="A1062" s="107" t="n">
        <f aca="false">IF($E1062="","",ROW()-3)</f>
        <v>1059</v>
      </c>
      <c r="B1062" s="110" t="n">
        <f aca="false">IF($E1062="","",INDEX(资金日记账!$B$4:$B$603,77))</f>
        <v>46281</v>
      </c>
      <c r="C1062" s="67" t="str">
        <f aca="false">IF($E1062="","",IF(INDEX(资金日记账!$W$4:$W$603,77)="","记-"&amp;TEXT($B1062,"YYYYMM")&amp;"-资金",INDEX(资金日记账!$W$4:$W$603,77)))</f>
        <v>记-202609-资金</v>
      </c>
      <c r="D1062" s="107" t="str">
        <f aca="false">IF($E1062="","",INDEX(资金日记账!$D$4:$D$603,77))</f>
        <v>长城</v>
      </c>
      <c r="E1062" s="67" t="str">
        <f aca="false">IF(INDEX(资金日记账!$N$4:$S$603,77,1)=0,"",INDEX(资金日记账!$N$4:$S$603,77,1))</f>
        <v>管理费用</v>
      </c>
      <c r="F1062" s="99" t="str">
        <f aca="false">IF($E1062="","",IFERROR(INDEX(科目表!$A$4:$A$81,MATCH($E1062,科目表!$B$4:$B$81,0)),""))</f>
        <v>5602</v>
      </c>
      <c r="G1062" s="67" t="str">
        <f aca="false">IF($E1062="","",IFERROR(INDEX(科目表!$E$4:$E$81,MATCH($E1062,科目表!$B$4:$B$81,0)),""))</f>
        <v>管理费用</v>
      </c>
      <c r="H1062" s="70" t="n">
        <f aca="false">IF($E1062="","",N(INDEX(资金日记账!$N$4:$S$603,77,2)))</f>
        <v>85.7</v>
      </c>
      <c r="I1062" s="70" t="n">
        <f aca="false">IF($E1062="","",N(INDEX(资金日记账!$N$4:$S$603,77,3)))</f>
        <v>0</v>
      </c>
      <c r="J1062" s="67" t="n">
        <f aca="false">IF($E1062="","",INDEX(资金日记账!$E$4:$E$603,77))</f>
        <v>0</v>
      </c>
      <c r="K1062" s="67" t="n">
        <f aca="false">IF($E1062="","",INDEX(资金日记账!$F$4:$F$603,77))</f>
        <v>0</v>
      </c>
      <c r="L1062" s="107" t="n">
        <f aca="false">IF($E1062="","",INDEX(资金日记账!$X$4:$X$603,77))</f>
        <v>0</v>
      </c>
      <c r="M1062" s="107"/>
      <c r="N1062" s="67" t="n">
        <f aca="false">IF($E1062="","",INDEX(资金日记账!$Y$4:$Y$603,77))</f>
        <v>0</v>
      </c>
      <c r="O1062" s="67" t="str">
        <f aca="false">IF($E1062="","","自动B")</f>
        <v>自动B</v>
      </c>
      <c r="P1062" s="18"/>
    </row>
    <row r="1063" customFormat="false" ht="18" hidden="false" customHeight="true" outlineLevel="0" collapsed="false">
      <c r="A1063" s="107" t="n">
        <f aca="false">IF($E1063="","",ROW()-3)</f>
        <v>1060</v>
      </c>
      <c r="B1063" s="110" t="n">
        <f aca="false">IF($E1063="","",INDEX(资金日记账!$B$4:$B$603,77))</f>
        <v>46281</v>
      </c>
      <c r="C1063" s="67" t="str">
        <f aca="false">IF($E1063="","",IF(INDEX(资金日记账!$W$4:$W$603,77)="","记-"&amp;TEXT($B1063,"YYYYMM")&amp;"-资金",INDEX(资金日记账!$W$4:$W$603,77)))</f>
        <v>记-202609-资金</v>
      </c>
      <c r="D1063" s="107" t="str">
        <f aca="false">IF($E1063="","",INDEX(资金日记账!$D$4:$D$603,77))</f>
        <v>长城</v>
      </c>
      <c r="E1063" s="67" t="str">
        <f aca="false">IF(INDEX(资金日记账!$N$4:$S$603,77,4)=0,"",INDEX(资金日记账!$N$4:$S$603,77,4))</f>
        <v>其他货币资金</v>
      </c>
      <c r="F1063" s="99" t="str">
        <f aca="false">IF($E1063="","",IFERROR(INDEX(科目表!$A$4:$A$81,MATCH($E1063,科目表!$B$4:$B$81,0)),""))</f>
        <v>1012</v>
      </c>
      <c r="G1063" s="67" t="str">
        <f aca="false">IF($E1063="","",IFERROR(INDEX(科目表!$E$4:$E$81,MATCH($E1063,科目表!$B$4:$B$81,0)),""))</f>
        <v>货币资金</v>
      </c>
      <c r="H1063" s="70" t="n">
        <f aca="false">IF($E1063="","",N(INDEX(资金日记账!$N$4:$S$603,77,5)))</f>
        <v>0</v>
      </c>
      <c r="I1063" s="70" t="n">
        <f aca="false">IF($E1063="","",N(INDEX(资金日记账!$N$4:$S$603,77,6)))</f>
        <v>85.7</v>
      </c>
      <c r="J1063" s="67" t="n">
        <f aca="false">IF($E1063="","",INDEX(资金日记账!$E$4:$E$603,77))</f>
        <v>0</v>
      </c>
      <c r="K1063" s="67" t="n">
        <f aca="false">IF($E1063="","",INDEX(资金日记账!$F$4:$F$603,77))</f>
        <v>0</v>
      </c>
      <c r="L1063" s="107" t="n">
        <f aca="false">IF($E1063="","",INDEX(资金日记账!$X$4:$X$603,77))</f>
        <v>0</v>
      </c>
      <c r="M1063" s="107"/>
      <c r="N1063" s="67" t="n">
        <f aca="false">IF($E1063="","",INDEX(资金日记账!$Y$4:$Y$603,77))</f>
        <v>0</v>
      </c>
      <c r="O1063" s="67" t="str">
        <f aca="false">IF($E1063="","","自动B")</f>
        <v>自动B</v>
      </c>
      <c r="P1063" s="18"/>
    </row>
    <row r="1064" customFormat="false" ht="18" hidden="false" customHeight="true" outlineLevel="0" collapsed="false">
      <c r="A1064" s="107" t="n">
        <f aca="false">IF($E1064="","",ROW()-3)</f>
        <v>1061</v>
      </c>
      <c r="B1064" s="110" t="n">
        <f aca="false">IF($E1064="","",INDEX(资金日记账!$B$4:$B$603,78))</f>
        <v>46281</v>
      </c>
      <c r="C1064" s="67" t="str">
        <f aca="false">IF($E1064="","",IF(INDEX(资金日记账!$W$4:$W$603,78)="","记-"&amp;TEXT($B1064,"YYYYMM")&amp;"-资金",INDEX(资金日记账!$W$4:$W$603,78)))</f>
        <v>记-202609-资金</v>
      </c>
      <c r="D1064" s="107" t="str">
        <f aca="false">IF($E1064="","",INDEX(资金日记账!$D$4:$D$603,78))</f>
        <v>长城</v>
      </c>
      <c r="E1064" s="67" t="str">
        <f aca="false">IF(INDEX(资金日记账!$N$4:$S$603,78,1)=0,"",INDEX(资金日记账!$N$4:$S$603,78,1))</f>
        <v>管理费用</v>
      </c>
      <c r="F1064" s="99" t="str">
        <f aca="false">IF($E1064="","",IFERROR(INDEX(科目表!$A$4:$A$81,MATCH($E1064,科目表!$B$4:$B$81,0)),""))</f>
        <v>5602</v>
      </c>
      <c r="G1064" s="67" t="str">
        <f aca="false">IF($E1064="","",IFERROR(INDEX(科目表!$E$4:$E$81,MATCH($E1064,科目表!$B$4:$B$81,0)),""))</f>
        <v>管理费用</v>
      </c>
      <c r="H1064" s="70" t="n">
        <f aca="false">IF($E1064="","",N(INDEX(资金日记账!$N$4:$S$603,78,2)))</f>
        <v>130</v>
      </c>
      <c r="I1064" s="70" t="n">
        <f aca="false">IF($E1064="","",N(INDEX(资金日记账!$N$4:$S$603,78,3)))</f>
        <v>0</v>
      </c>
      <c r="J1064" s="67" t="n">
        <f aca="false">IF($E1064="","",INDEX(资金日记账!$E$4:$E$603,78))</f>
        <v>0</v>
      </c>
      <c r="K1064" s="67" t="n">
        <f aca="false">IF($E1064="","",INDEX(资金日记账!$F$4:$F$603,78))</f>
        <v>0</v>
      </c>
      <c r="L1064" s="107" t="n">
        <f aca="false">IF($E1064="","",INDEX(资金日记账!$X$4:$X$603,78))</f>
        <v>0</v>
      </c>
      <c r="M1064" s="107"/>
      <c r="N1064" s="67" t="n">
        <f aca="false">IF($E1064="","",INDEX(资金日记账!$Y$4:$Y$603,78))</f>
        <v>0</v>
      </c>
      <c r="O1064" s="67" t="str">
        <f aca="false">IF($E1064="","","自动B")</f>
        <v>自动B</v>
      </c>
      <c r="P1064" s="18"/>
    </row>
    <row r="1065" customFormat="false" ht="18" hidden="false" customHeight="true" outlineLevel="0" collapsed="false">
      <c r="A1065" s="107" t="n">
        <f aca="false">IF($E1065="","",ROW()-3)</f>
        <v>1062</v>
      </c>
      <c r="B1065" s="110" t="n">
        <f aca="false">IF($E1065="","",INDEX(资金日记账!$B$4:$B$603,78))</f>
        <v>46281</v>
      </c>
      <c r="C1065" s="67" t="str">
        <f aca="false">IF($E1065="","",IF(INDEX(资金日记账!$W$4:$W$603,78)="","记-"&amp;TEXT($B1065,"YYYYMM")&amp;"-资金",INDEX(资金日记账!$W$4:$W$603,78)))</f>
        <v>记-202609-资金</v>
      </c>
      <c r="D1065" s="107" t="str">
        <f aca="false">IF($E1065="","",INDEX(资金日记账!$D$4:$D$603,78))</f>
        <v>长城</v>
      </c>
      <c r="E1065" s="67" t="str">
        <f aca="false">IF(INDEX(资金日记账!$N$4:$S$603,78,4)=0,"",INDEX(资金日记账!$N$4:$S$603,78,4))</f>
        <v>其他货币资金</v>
      </c>
      <c r="F1065" s="99" t="str">
        <f aca="false">IF($E1065="","",IFERROR(INDEX(科目表!$A$4:$A$81,MATCH($E1065,科目表!$B$4:$B$81,0)),""))</f>
        <v>1012</v>
      </c>
      <c r="G1065" s="67" t="str">
        <f aca="false">IF($E1065="","",IFERROR(INDEX(科目表!$E$4:$E$81,MATCH($E1065,科目表!$B$4:$B$81,0)),""))</f>
        <v>货币资金</v>
      </c>
      <c r="H1065" s="70" t="n">
        <f aca="false">IF($E1065="","",N(INDEX(资金日记账!$N$4:$S$603,78,5)))</f>
        <v>0</v>
      </c>
      <c r="I1065" s="70" t="n">
        <f aca="false">IF($E1065="","",N(INDEX(资金日记账!$N$4:$S$603,78,6)))</f>
        <v>130</v>
      </c>
      <c r="J1065" s="67" t="n">
        <f aca="false">IF($E1065="","",INDEX(资金日记账!$E$4:$E$603,78))</f>
        <v>0</v>
      </c>
      <c r="K1065" s="67" t="n">
        <f aca="false">IF($E1065="","",INDEX(资金日记账!$F$4:$F$603,78))</f>
        <v>0</v>
      </c>
      <c r="L1065" s="107" t="n">
        <f aca="false">IF($E1065="","",INDEX(资金日记账!$X$4:$X$603,78))</f>
        <v>0</v>
      </c>
      <c r="M1065" s="107"/>
      <c r="N1065" s="67" t="n">
        <f aca="false">IF($E1065="","",INDEX(资金日记账!$Y$4:$Y$603,78))</f>
        <v>0</v>
      </c>
      <c r="O1065" s="67" t="str">
        <f aca="false">IF($E1065="","","自动B")</f>
        <v>自动B</v>
      </c>
      <c r="P1065" s="18"/>
    </row>
    <row r="1066" customFormat="false" ht="18" hidden="false" customHeight="true" outlineLevel="0" collapsed="false">
      <c r="A1066" s="107" t="n">
        <f aca="false">IF($E1066="","",ROW()-3)</f>
        <v>1063</v>
      </c>
      <c r="B1066" s="110" t="n">
        <f aca="false">IF($E1066="","",INDEX(资金日记账!$B$4:$B$603,79))</f>
        <v>46281</v>
      </c>
      <c r="C1066" s="67" t="str">
        <f aca="false">IF($E1066="","",IF(INDEX(资金日记账!$W$4:$W$603,79)="","记-"&amp;TEXT($B1066,"YYYYMM")&amp;"-资金",INDEX(资金日记账!$W$4:$W$603,79)))</f>
        <v>记-202609-资金</v>
      </c>
      <c r="D1066" s="107" t="n">
        <f aca="false">IF($E1066="","",INDEX(资金日记账!$D$4:$D$603,79))</f>
        <v>0</v>
      </c>
      <c r="E1066" s="67" t="str">
        <f aca="false">IF(INDEX(资金日记账!$N$4:$S$603,79,1)=0,"",INDEX(资金日记账!$N$4:$S$603,79,1))</f>
        <v>管理费用</v>
      </c>
      <c r="F1066" s="99" t="str">
        <f aca="false">IF($E1066="","",IFERROR(INDEX(科目表!$A$4:$A$81,MATCH($E1066,科目表!$B$4:$B$81,0)),""))</f>
        <v>5602</v>
      </c>
      <c r="G1066" s="67" t="str">
        <f aca="false">IF($E1066="","",IFERROR(INDEX(科目表!$E$4:$E$81,MATCH($E1066,科目表!$B$4:$B$81,0)),""))</f>
        <v>管理费用</v>
      </c>
      <c r="H1066" s="70" t="n">
        <f aca="false">IF($E1066="","",N(INDEX(资金日记账!$N$4:$S$603,79,2)))</f>
        <v>31.56</v>
      </c>
      <c r="I1066" s="70" t="n">
        <f aca="false">IF($E1066="","",N(INDEX(资金日记账!$N$4:$S$603,79,3)))</f>
        <v>0</v>
      </c>
      <c r="J1066" s="67" t="n">
        <f aca="false">IF($E1066="","",INDEX(资金日记账!$E$4:$E$603,79))</f>
        <v>0</v>
      </c>
      <c r="K1066" s="67" t="n">
        <f aca="false">IF($E1066="","",INDEX(资金日记账!$F$4:$F$603,79))</f>
        <v>0</v>
      </c>
      <c r="L1066" s="107" t="n">
        <f aca="false">IF($E1066="","",INDEX(资金日记账!$X$4:$X$603,79))</f>
        <v>0</v>
      </c>
      <c r="M1066" s="107"/>
      <c r="N1066" s="67" t="n">
        <f aca="false">IF($E1066="","",INDEX(资金日记账!$Y$4:$Y$603,79))</f>
        <v>0</v>
      </c>
      <c r="O1066" s="67" t="str">
        <f aca="false">IF($E1066="","","自动B")</f>
        <v>自动B</v>
      </c>
      <c r="P1066" s="18"/>
    </row>
    <row r="1067" customFormat="false" ht="18" hidden="false" customHeight="true" outlineLevel="0" collapsed="false">
      <c r="A1067" s="107" t="n">
        <f aca="false">IF($E1067="","",ROW()-3)</f>
        <v>1064</v>
      </c>
      <c r="B1067" s="110" t="n">
        <f aca="false">IF($E1067="","",INDEX(资金日记账!$B$4:$B$603,79))</f>
        <v>46281</v>
      </c>
      <c r="C1067" s="67" t="str">
        <f aca="false">IF($E1067="","",IF(INDEX(资金日记账!$W$4:$W$603,79)="","记-"&amp;TEXT($B1067,"YYYYMM")&amp;"-资金",INDEX(资金日记账!$W$4:$W$603,79)))</f>
        <v>记-202609-资金</v>
      </c>
      <c r="D1067" s="107" t="n">
        <f aca="false">IF($E1067="","",INDEX(资金日记账!$D$4:$D$603,79))</f>
        <v>0</v>
      </c>
      <c r="E1067" s="67" t="str">
        <f aca="false">IF(INDEX(资金日记账!$N$4:$S$603,79,4)=0,"",INDEX(资金日记账!$N$4:$S$603,79,4))</f>
        <v>其他货币资金</v>
      </c>
      <c r="F1067" s="99" t="str">
        <f aca="false">IF($E1067="","",IFERROR(INDEX(科目表!$A$4:$A$81,MATCH($E1067,科目表!$B$4:$B$81,0)),""))</f>
        <v>1012</v>
      </c>
      <c r="G1067" s="67" t="str">
        <f aca="false">IF($E1067="","",IFERROR(INDEX(科目表!$E$4:$E$81,MATCH($E1067,科目表!$B$4:$B$81,0)),""))</f>
        <v>货币资金</v>
      </c>
      <c r="H1067" s="70" t="n">
        <f aca="false">IF($E1067="","",N(INDEX(资金日记账!$N$4:$S$603,79,5)))</f>
        <v>0</v>
      </c>
      <c r="I1067" s="70" t="n">
        <f aca="false">IF($E1067="","",N(INDEX(资金日记账!$N$4:$S$603,79,6)))</f>
        <v>31.56</v>
      </c>
      <c r="J1067" s="67" t="n">
        <f aca="false">IF($E1067="","",INDEX(资金日记账!$E$4:$E$603,79))</f>
        <v>0</v>
      </c>
      <c r="K1067" s="67" t="n">
        <f aca="false">IF($E1067="","",INDEX(资金日记账!$F$4:$F$603,79))</f>
        <v>0</v>
      </c>
      <c r="L1067" s="107" t="n">
        <f aca="false">IF($E1067="","",INDEX(资金日记账!$X$4:$X$603,79))</f>
        <v>0</v>
      </c>
      <c r="M1067" s="107"/>
      <c r="N1067" s="67" t="n">
        <f aca="false">IF($E1067="","",INDEX(资金日记账!$Y$4:$Y$603,79))</f>
        <v>0</v>
      </c>
      <c r="O1067" s="67" t="str">
        <f aca="false">IF($E1067="","","自动B")</f>
        <v>自动B</v>
      </c>
      <c r="P1067" s="18"/>
    </row>
    <row r="1068" customFormat="false" ht="18" hidden="false" customHeight="true" outlineLevel="0" collapsed="false">
      <c r="A1068" s="107" t="n">
        <f aca="false">IF($E1068="","",ROW()-3)</f>
        <v>1065</v>
      </c>
      <c r="B1068" s="110" t="n">
        <f aca="false">IF($E1068="","",INDEX(资金日记账!$B$4:$B$603,80))</f>
        <v>46281</v>
      </c>
      <c r="C1068" s="67" t="str">
        <f aca="false">IF($E1068="","",IF(INDEX(资金日记账!$W$4:$W$603,80)="","记-"&amp;TEXT($B1068,"YYYYMM")&amp;"-资金",INDEX(资金日记账!$W$4:$W$603,80)))</f>
        <v>记-202609-资金</v>
      </c>
      <c r="D1068" s="107" t="str">
        <f aca="false">IF($E1068="","",INDEX(资金日记账!$D$4:$D$603,80))</f>
        <v>饮料</v>
      </c>
      <c r="E1068" s="67" t="str">
        <f aca="false">IF(INDEX(资金日记账!$N$4:$S$603,80,1)=0,"",INDEX(资金日记账!$N$4:$S$603,80,1))</f>
        <v>管理费用</v>
      </c>
      <c r="F1068" s="99" t="str">
        <f aca="false">IF($E1068="","",IFERROR(INDEX(科目表!$A$4:$A$81,MATCH($E1068,科目表!$B$4:$B$81,0)),""))</f>
        <v>5602</v>
      </c>
      <c r="G1068" s="67" t="str">
        <f aca="false">IF($E1068="","",IFERROR(INDEX(科目表!$E$4:$E$81,MATCH($E1068,科目表!$B$4:$B$81,0)),""))</f>
        <v>管理费用</v>
      </c>
      <c r="H1068" s="70" t="n">
        <f aca="false">IF($E1068="","",N(INDEX(资金日记账!$N$4:$S$603,80,2)))</f>
        <v>4.8</v>
      </c>
      <c r="I1068" s="70" t="n">
        <f aca="false">IF($E1068="","",N(INDEX(资金日记账!$N$4:$S$603,80,3)))</f>
        <v>0</v>
      </c>
      <c r="J1068" s="67" t="n">
        <f aca="false">IF($E1068="","",INDEX(资金日记账!$E$4:$E$603,80))</f>
        <v>0</v>
      </c>
      <c r="K1068" s="67" t="n">
        <f aca="false">IF($E1068="","",INDEX(资金日记账!$F$4:$F$603,80))</f>
        <v>0</v>
      </c>
      <c r="L1068" s="107" t="n">
        <f aca="false">IF($E1068="","",INDEX(资金日记账!$X$4:$X$603,80))</f>
        <v>0</v>
      </c>
      <c r="M1068" s="107"/>
      <c r="N1068" s="67" t="n">
        <f aca="false">IF($E1068="","",INDEX(资金日记账!$Y$4:$Y$603,80))</f>
        <v>0</v>
      </c>
      <c r="O1068" s="67" t="str">
        <f aca="false">IF($E1068="","","自动B")</f>
        <v>自动B</v>
      </c>
      <c r="P1068" s="18"/>
    </row>
    <row r="1069" customFormat="false" ht="18" hidden="false" customHeight="true" outlineLevel="0" collapsed="false">
      <c r="A1069" s="107" t="n">
        <f aca="false">IF($E1069="","",ROW()-3)</f>
        <v>1066</v>
      </c>
      <c r="B1069" s="110" t="n">
        <f aca="false">IF($E1069="","",INDEX(资金日记账!$B$4:$B$603,80))</f>
        <v>46281</v>
      </c>
      <c r="C1069" s="67" t="str">
        <f aca="false">IF($E1069="","",IF(INDEX(资金日记账!$W$4:$W$603,80)="","记-"&amp;TEXT($B1069,"YYYYMM")&amp;"-资金",INDEX(资金日记账!$W$4:$W$603,80)))</f>
        <v>记-202609-资金</v>
      </c>
      <c r="D1069" s="107" t="str">
        <f aca="false">IF($E1069="","",INDEX(资金日记账!$D$4:$D$603,80))</f>
        <v>饮料</v>
      </c>
      <c r="E1069" s="67" t="str">
        <f aca="false">IF(INDEX(资金日记账!$N$4:$S$603,80,4)=0,"",INDEX(资金日记账!$N$4:$S$603,80,4))</f>
        <v>其他货币资金</v>
      </c>
      <c r="F1069" s="99" t="str">
        <f aca="false">IF($E1069="","",IFERROR(INDEX(科目表!$A$4:$A$81,MATCH($E1069,科目表!$B$4:$B$81,0)),""))</f>
        <v>1012</v>
      </c>
      <c r="G1069" s="67" t="str">
        <f aca="false">IF($E1069="","",IFERROR(INDEX(科目表!$E$4:$E$81,MATCH($E1069,科目表!$B$4:$B$81,0)),""))</f>
        <v>货币资金</v>
      </c>
      <c r="H1069" s="70" t="n">
        <f aca="false">IF($E1069="","",N(INDEX(资金日记账!$N$4:$S$603,80,5)))</f>
        <v>0</v>
      </c>
      <c r="I1069" s="70" t="n">
        <f aca="false">IF($E1069="","",N(INDEX(资金日记账!$N$4:$S$603,80,6)))</f>
        <v>4.8</v>
      </c>
      <c r="J1069" s="67" t="n">
        <f aca="false">IF($E1069="","",INDEX(资金日记账!$E$4:$E$603,80))</f>
        <v>0</v>
      </c>
      <c r="K1069" s="67" t="n">
        <f aca="false">IF($E1069="","",INDEX(资金日记账!$F$4:$F$603,80))</f>
        <v>0</v>
      </c>
      <c r="L1069" s="107" t="n">
        <f aca="false">IF($E1069="","",INDEX(资金日记账!$X$4:$X$603,80))</f>
        <v>0</v>
      </c>
      <c r="M1069" s="107"/>
      <c r="N1069" s="67" t="n">
        <f aca="false">IF($E1069="","",INDEX(资金日记账!$Y$4:$Y$603,80))</f>
        <v>0</v>
      </c>
      <c r="O1069" s="67" t="str">
        <f aca="false">IF($E1069="","","自动B")</f>
        <v>自动B</v>
      </c>
      <c r="P1069" s="18"/>
    </row>
    <row r="1070" customFormat="false" ht="18" hidden="false" customHeight="true" outlineLevel="0" collapsed="false">
      <c r="A1070" s="107" t="n">
        <f aca="false">IF($E1070="","",ROW()-3)</f>
        <v>1067</v>
      </c>
      <c r="B1070" s="110" t="n">
        <f aca="false">IF($E1070="","",INDEX(资金日记账!$B$4:$B$603,81))</f>
        <v>46281</v>
      </c>
      <c r="C1070" s="67" t="str">
        <f aca="false">IF($E1070="","",IF(INDEX(资金日记账!$W$4:$W$603,81)="","记-"&amp;TEXT($B1070,"YYYYMM")&amp;"-资金",INDEX(资金日记账!$W$4:$W$603,81)))</f>
        <v>记-202609-资金</v>
      </c>
      <c r="D1070" s="107" t="str">
        <f aca="false">IF($E1070="","",INDEX(资金日记账!$D$4:$D$603,81))</f>
        <v>手抓饼</v>
      </c>
      <c r="E1070" s="67" t="str">
        <f aca="false">IF(INDEX(资金日记账!$N$4:$S$603,81,1)=0,"",INDEX(资金日记账!$N$4:$S$603,81,1))</f>
        <v>管理费用</v>
      </c>
      <c r="F1070" s="99" t="str">
        <f aca="false">IF($E1070="","",IFERROR(INDEX(科目表!$A$4:$A$81,MATCH($E1070,科目表!$B$4:$B$81,0)),""))</f>
        <v>5602</v>
      </c>
      <c r="G1070" s="67" t="str">
        <f aca="false">IF($E1070="","",IFERROR(INDEX(科目表!$E$4:$E$81,MATCH($E1070,科目表!$B$4:$B$81,0)),""))</f>
        <v>管理费用</v>
      </c>
      <c r="H1070" s="70" t="n">
        <f aca="false">IF($E1070="","",N(INDEX(资金日记账!$N$4:$S$603,81,2)))</f>
        <v>14</v>
      </c>
      <c r="I1070" s="70" t="n">
        <f aca="false">IF($E1070="","",N(INDEX(资金日记账!$N$4:$S$603,81,3)))</f>
        <v>0</v>
      </c>
      <c r="J1070" s="67" t="n">
        <f aca="false">IF($E1070="","",INDEX(资金日记账!$E$4:$E$603,81))</f>
        <v>0</v>
      </c>
      <c r="K1070" s="67" t="n">
        <f aca="false">IF($E1070="","",INDEX(资金日记账!$F$4:$F$603,81))</f>
        <v>0</v>
      </c>
      <c r="L1070" s="107" t="n">
        <f aca="false">IF($E1070="","",INDEX(资金日记账!$X$4:$X$603,81))</f>
        <v>0</v>
      </c>
      <c r="M1070" s="107"/>
      <c r="N1070" s="67" t="n">
        <f aca="false">IF($E1070="","",INDEX(资金日记账!$Y$4:$Y$603,81))</f>
        <v>0</v>
      </c>
      <c r="O1070" s="67" t="str">
        <f aca="false">IF($E1070="","","自动B")</f>
        <v>自动B</v>
      </c>
      <c r="P1070" s="18"/>
    </row>
    <row r="1071" customFormat="false" ht="18" hidden="false" customHeight="true" outlineLevel="0" collapsed="false">
      <c r="A1071" s="107" t="n">
        <f aca="false">IF($E1071="","",ROW()-3)</f>
        <v>1068</v>
      </c>
      <c r="B1071" s="110" t="n">
        <f aca="false">IF($E1071="","",INDEX(资金日记账!$B$4:$B$603,81))</f>
        <v>46281</v>
      </c>
      <c r="C1071" s="67" t="str">
        <f aca="false">IF($E1071="","",IF(INDEX(资金日记账!$W$4:$W$603,81)="","记-"&amp;TEXT($B1071,"YYYYMM")&amp;"-资金",INDEX(资金日记账!$W$4:$W$603,81)))</f>
        <v>记-202609-资金</v>
      </c>
      <c r="D1071" s="107" t="str">
        <f aca="false">IF($E1071="","",INDEX(资金日记账!$D$4:$D$603,81))</f>
        <v>手抓饼</v>
      </c>
      <c r="E1071" s="67" t="str">
        <f aca="false">IF(INDEX(资金日记账!$N$4:$S$603,81,4)=0,"",INDEX(资金日记账!$N$4:$S$603,81,4))</f>
        <v>其他货币资金</v>
      </c>
      <c r="F1071" s="99" t="str">
        <f aca="false">IF($E1071="","",IFERROR(INDEX(科目表!$A$4:$A$81,MATCH($E1071,科目表!$B$4:$B$81,0)),""))</f>
        <v>1012</v>
      </c>
      <c r="G1071" s="67" t="str">
        <f aca="false">IF($E1071="","",IFERROR(INDEX(科目表!$E$4:$E$81,MATCH($E1071,科目表!$B$4:$B$81,0)),""))</f>
        <v>货币资金</v>
      </c>
      <c r="H1071" s="70" t="n">
        <f aca="false">IF($E1071="","",N(INDEX(资金日记账!$N$4:$S$603,81,5)))</f>
        <v>0</v>
      </c>
      <c r="I1071" s="70" t="n">
        <f aca="false">IF($E1071="","",N(INDEX(资金日记账!$N$4:$S$603,81,6)))</f>
        <v>14</v>
      </c>
      <c r="J1071" s="67" t="n">
        <f aca="false">IF($E1071="","",INDEX(资金日记账!$E$4:$E$603,81))</f>
        <v>0</v>
      </c>
      <c r="K1071" s="67" t="n">
        <f aca="false">IF($E1071="","",INDEX(资金日记账!$F$4:$F$603,81))</f>
        <v>0</v>
      </c>
      <c r="L1071" s="107" t="n">
        <f aca="false">IF($E1071="","",INDEX(资金日记账!$X$4:$X$603,81))</f>
        <v>0</v>
      </c>
      <c r="M1071" s="107"/>
      <c r="N1071" s="67" t="n">
        <f aca="false">IF($E1071="","",INDEX(资金日记账!$Y$4:$Y$603,81))</f>
        <v>0</v>
      </c>
      <c r="O1071" s="67" t="str">
        <f aca="false">IF($E1071="","","自动B")</f>
        <v>自动B</v>
      </c>
      <c r="P1071" s="18"/>
    </row>
    <row r="1072" customFormat="false" ht="18" hidden="false" customHeight="true" outlineLevel="0" collapsed="false">
      <c r="A1072" s="107" t="n">
        <f aca="false">IF($E1072="","",ROW()-3)</f>
        <v>1069</v>
      </c>
      <c r="B1072" s="110" t="n">
        <f aca="false">IF($E1072="","",INDEX(资金日记账!$B$4:$B$603,82))</f>
        <v>46281</v>
      </c>
      <c r="C1072" s="67" t="str">
        <f aca="false">IF($E1072="","",IF(INDEX(资金日记账!$W$4:$W$603,82)="","记-"&amp;TEXT($B1072,"YYYYMM")&amp;"-资金",INDEX(资金日记账!$W$4:$W$603,82)))</f>
        <v>记-202609-资金</v>
      </c>
      <c r="D1072" s="107" t="str">
        <f aca="false">IF($E1072="","",INDEX(资金日记账!$D$4:$D$603,82))</f>
        <v>烧烤</v>
      </c>
      <c r="E1072" s="67" t="str">
        <f aca="false">IF(INDEX(资金日记账!$N$4:$S$603,82,1)=0,"",INDEX(资金日记账!$N$4:$S$603,82,1))</f>
        <v>管理费用</v>
      </c>
      <c r="F1072" s="99" t="str">
        <f aca="false">IF($E1072="","",IFERROR(INDEX(科目表!$A$4:$A$81,MATCH($E1072,科目表!$B$4:$B$81,0)),""))</f>
        <v>5602</v>
      </c>
      <c r="G1072" s="67" t="str">
        <f aca="false">IF($E1072="","",IFERROR(INDEX(科目表!$E$4:$E$81,MATCH($E1072,科目表!$B$4:$B$81,0)),""))</f>
        <v>管理费用</v>
      </c>
      <c r="H1072" s="70" t="n">
        <f aca="false">IF($E1072="","",N(INDEX(资金日记账!$N$4:$S$603,82,2)))</f>
        <v>65</v>
      </c>
      <c r="I1072" s="70" t="n">
        <f aca="false">IF($E1072="","",N(INDEX(资金日记账!$N$4:$S$603,82,3)))</f>
        <v>0</v>
      </c>
      <c r="J1072" s="67" t="n">
        <f aca="false">IF($E1072="","",INDEX(资金日记账!$E$4:$E$603,82))</f>
        <v>0</v>
      </c>
      <c r="K1072" s="67" t="n">
        <f aca="false">IF($E1072="","",INDEX(资金日记账!$F$4:$F$603,82))</f>
        <v>0</v>
      </c>
      <c r="L1072" s="107" t="n">
        <f aca="false">IF($E1072="","",INDEX(资金日记账!$X$4:$X$603,82))</f>
        <v>0</v>
      </c>
      <c r="M1072" s="107"/>
      <c r="N1072" s="67" t="n">
        <f aca="false">IF($E1072="","",INDEX(资金日记账!$Y$4:$Y$603,82))</f>
        <v>0</v>
      </c>
      <c r="O1072" s="67" t="str">
        <f aca="false">IF($E1072="","","自动B")</f>
        <v>自动B</v>
      </c>
      <c r="P1072" s="18"/>
    </row>
    <row r="1073" customFormat="false" ht="18" hidden="false" customHeight="true" outlineLevel="0" collapsed="false">
      <c r="A1073" s="107" t="n">
        <f aca="false">IF($E1073="","",ROW()-3)</f>
        <v>1070</v>
      </c>
      <c r="B1073" s="110" t="n">
        <f aca="false">IF($E1073="","",INDEX(资金日记账!$B$4:$B$603,82))</f>
        <v>46281</v>
      </c>
      <c r="C1073" s="67" t="str">
        <f aca="false">IF($E1073="","",IF(INDEX(资金日记账!$W$4:$W$603,82)="","记-"&amp;TEXT($B1073,"YYYYMM")&amp;"-资金",INDEX(资金日记账!$W$4:$W$603,82)))</f>
        <v>记-202609-资金</v>
      </c>
      <c r="D1073" s="107" t="str">
        <f aca="false">IF($E1073="","",INDEX(资金日记账!$D$4:$D$603,82))</f>
        <v>烧烤</v>
      </c>
      <c r="E1073" s="67" t="str">
        <f aca="false">IF(INDEX(资金日记账!$N$4:$S$603,82,4)=0,"",INDEX(资金日记账!$N$4:$S$603,82,4))</f>
        <v>其他货币资金</v>
      </c>
      <c r="F1073" s="99" t="str">
        <f aca="false">IF($E1073="","",IFERROR(INDEX(科目表!$A$4:$A$81,MATCH($E1073,科目表!$B$4:$B$81,0)),""))</f>
        <v>1012</v>
      </c>
      <c r="G1073" s="67" t="str">
        <f aca="false">IF($E1073="","",IFERROR(INDEX(科目表!$E$4:$E$81,MATCH($E1073,科目表!$B$4:$B$81,0)),""))</f>
        <v>货币资金</v>
      </c>
      <c r="H1073" s="70" t="n">
        <f aca="false">IF($E1073="","",N(INDEX(资金日记账!$N$4:$S$603,82,5)))</f>
        <v>0</v>
      </c>
      <c r="I1073" s="70" t="n">
        <f aca="false">IF($E1073="","",N(INDEX(资金日记账!$N$4:$S$603,82,6)))</f>
        <v>65</v>
      </c>
      <c r="J1073" s="67" t="n">
        <f aca="false">IF($E1073="","",INDEX(资金日记账!$E$4:$E$603,82))</f>
        <v>0</v>
      </c>
      <c r="K1073" s="67" t="n">
        <f aca="false">IF($E1073="","",INDEX(资金日记账!$F$4:$F$603,82))</f>
        <v>0</v>
      </c>
      <c r="L1073" s="107" t="n">
        <f aca="false">IF($E1073="","",INDEX(资金日记账!$X$4:$X$603,82))</f>
        <v>0</v>
      </c>
      <c r="M1073" s="107"/>
      <c r="N1073" s="67" t="n">
        <f aca="false">IF($E1073="","",INDEX(资金日记账!$Y$4:$Y$603,82))</f>
        <v>0</v>
      </c>
      <c r="O1073" s="67" t="str">
        <f aca="false">IF($E1073="","","自动B")</f>
        <v>自动B</v>
      </c>
      <c r="P1073" s="18"/>
    </row>
    <row r="1074" customFormat="false" ht="18" hidden="false" customHeight="true" outlineLevel="0" collapsed="false">
      <c r="A1074" s="107" t="n">
        <f aca="false">IF($E1074="","",ROW()-3)</f>
        <v>1071</v>
      </c>
      <c r="B1074" s="110" t="n">
        <f aca="false">IF($E1074="","",INDEX(资金日记账!$B$4:$B$603,83))</f>
        <v>46281</v>
      </c>
      <c r="C1074" s="67" t="str">
        <f aca="false">IF($E1074="","",IF(INDEX(资金日记账!$W$4:$W$603,83)="","记-"&amp;TEXT($B1074,"YYYYMM")&amp;"-资金",INDEX(资金日记账!$W$4:$W$603,83)))</f>
        <v>记-202609-资金</v>
      </c>
      <c r="D1074" s="107" t="str">
        <f aca="false">IF($E1074="","",INDEX(资金日记账!$D$4:$D$603,83))</f>
        <v>饮料</v>
      </c>
      <c r="E1074" s="67" t="str">
        <f aca="false">IF(INDEX(资金日记账!$N$4:$S$603,83,1)=0,"",INDEX(资金日记账!$N$4:$S$603,83,1))</f>
        <v>管理费用</v>
      </c>
      <c r="F1074" s="99" t="str">
        <f aca="false">IF($E1074="","",IFERROR(INDEX(科目表!$A$4:$A$81,MATCH($E1074,科目表!$B$4:$B$81,0)),""))</f>
        <v>5602</v>
      </c>
      <c r="G1074" s="67" t="str">
        <f aca="false">IF($E1074="","",IFERROR(INDEX(科目表!$E$4:$E$81,MATCH($E1074,科目表!$B$4:$B$81,0)),""))</f>
        <v>管理费用</v>
      </c>
      <c r="H1074" s="70" t="n">
        <f aca="false">IF($E1074="","",N(INDEX(资金日记账!$N$4:$S$603,83,2)))</f>
        <v>9.6</v>
      </c>
      <c r="I1074" s="70" t="n">
        <f aca="false">IF($E1074="","",N(INDEX(资金日记账!$N$4:$S$603,83,3)))</f>
        <v>0</v>
      </c>
      <c r="J1074" s="67" t="n">
        <f aca="false">IF($E1074="","",INDEX(资金日记账!$E$4:$E$603,83))</f>
        <v>0</v>
      </c>
      <c r="K1074" s="67" t="n">
        <f aca="false">IF($E1074="","",INDEX(资金日记账!$F$4:$F$603,83))</f>
        <v>0</v>
      </c>
      <c r="L1074" s="107" t="n">
        <f aca="false">IF($E1074="","",INDEX(资金日记账!$X$4:$X$603,83))</f>
        <v>0</v>
      </c>
      <c r="M1074" s="107"/>
      <c r="N1074" s="67" t="n">
        <f aca="false">IF($E1074="","",INDEX(资金日记账!$Y$4:$Y$603,83))</f>
        <v>0</v>
      </c>
      <c r="O1074" s="67" t="str">
        <f aca="false">IF($E1074="","","自动B")</f>
        <v>自动B</v>
      </c>
      <c r="P1074" s="18"/>
    </row>
    <row r="1075" customFormat="false" ht="18" hidden="false" customHeight="true" outlineLevel="0" collapsed="false">
      <c r="A1075" s="107" t="n">
        <f aca="false">IF($E1075="","",ROW()-3)</f>
        <v>1072</v>
      </c>
      <c r="B1075" s="110" t="n">
        <f aca="false">IF($E1075="","",INDEX(资金日记账!$B$4:$B$603,83))</f>
        <v>46281</v>
      </c>
      <c r="C1075" s="67" t="str">
        <f aca="false">IF($E1075="","",IF(INDEX(资金日记账!$W$4:$W$603,83)="","记-"&amp;TEXT($B1075,"YYYYMM")&amp;"-资金",INDEX(资金日记账!$W$4:$W$603,83)))</f>
        <v>记-202609-资金</v>
      </c>
      <c r="D1075" s="107" t="str">
        <f aca="false">IF($E1075="","",INDEX(资金日记账!$D$4:$D$603,83))</f>
        <v>饮料</v>
      </c>
      <c r="E1075" s="67" t="str">
        <f aca="false">IF(INDEX(资金日记账!$N$4:$S$603,83,4)=0,"",INDEX(资金日记账!$N$4:$S$603,83,4))</f>
        <v>其他货币资金</v>
      </c>
      <c r="F1075" s="99" t="str">
        <f aca="false">IF($E1075="","",IFERROR(INDEX(科目表!$A$4:$A$81,MATCH($E1075,科目表!$B$4:$B$81,0)),""))</f>
        <v>1012</v>
      </c>
      <c r="G1075" s="67" t="str">
        <f aca="false">IF($E1075="","",IFERROR(INDEX(科目表!$E$4:$E$81,MATCH($E1075,科目表!$B$4:$B$81,0)),""))</f>
        <v>货币资金</v>
      </c>
      <c r="H1075" s="70" t="n">
        <f aca="false">IF($E1075="","",N(INDEX(资金日记账!$N$4:$S$603,83,5)))</f>
        <v>0</v>
      </c>
      <c r="I1075" s="70" t="n">
        <f aca="false">IF($E1075="","",N(INDEX(资金日记账!$N$4:$S$603,83,6)))</f>
        <v>9.6</v>
      </c>
      <c r="J1075" s="67" t="n">
        <f aca="false">IF($E1075="","",INDEX(资金日记账!$E$4:$E$603,83))</f>
        <v>0</v>
      </c>
      <c r="K1075" s="67" t="n">
        <f aca="false">IF($E1075="","",INDEX(资金日记账!$F$4:$F$603,83))</f>
        <v>0</v>
      </c>
      <c r="L1075" s="107" t="n">
        <f aca="false">IF($E1075="","",INDEX(资金日记账!$X$4:$X$603,83))</f>
        <v>0</v>
      </c>
      <c r="M1075" s="107"/>
      <c r="N1075" s="67" t="n">
        <f aca="false">IF($E1075="","",INDEX(资金日记账!$Y$4:$Y$603,83))</f>
        <v>0</v>
      </c>
      <c r="O1075" s="67" t="str">
        <f aca="false">IF($E1075="","","自动B")</f>
        <v>自动B</v>
      </c>
      <c r="P1075" s="18"/>
    </row>
    <row r="1076" customFormat="false" ht="18" hidden="false" customHeight="true" outlineLevel="0" collapsed="false">
      <c r="A1076" s="107" t="n">
        <f aca="false">IF($E1076="","",ROW()-3)</f>
        <v>1073</v>
      </c>
      <c r="B1076" s="110" t="n">
        <f aca="false">IF($E1076="","",INDEX(资金日记账!$B$4:$B$603,84))</f>
        <v>46281</v>
      </c>
      <c r="C1076" s="67" t="str">
        <f aca="false">IF($E1076="","",IF(INDEX(资金日记账!$W$4:$W$603,84)="","记-"&amp;TEXT($B1076,"YYYYMM")&amp;"-资金",INDEX(资金日记账!$W$4:$W$603,84)))</f>
        <v>记-202609-资金</v>
      </c>
      <c r="D1076" s="107" t="n">
        <f aca="false">IF($E1076="","",INDEX(资金日记账!$D$4:$D$603,84))</f>
        <v>0</v>
      </c>
      <c r="E1076" s="67" t="str">
        <f aca="false">IF(INDEX(资金日记账!$N$4:$S$603,84,1)=0,"",INDEX(资金日记账!$N$4:$S$603,84,1))</f>
        <v>管理费用</v>
      </c>
      <c r="F1076" s="99" t="str">
        <f aca="false">IF($E1076="","",IFERROR(INDEX(科目表!$A$4:$A$81,MATCH($E1076,科目表!$B$4:$B$81,0)),""))</f>
        <v>5602</v>
      </c>
      <c r="G1076" s="67" t="str">
        <f aca="false">IF($E1076="","",IFERROR(INDEX(科目表!$E$4:$E$81,MATCH($E1076,科目表!$B$4:$B$81,0)),""))</f>
        <v>管理费用</v>
      </c>
      <c r="H1076" s="70" t="n">
        <f aca="false">IF($E1076="","",N(INDEX(资金日记账!$N$4:$S$603,84,2)))</f>
        <v>3</v>
      </c>
      <c r="I1076" s="70" t="n">
        <f aca="false">IF($E1076="","",N(INDEX(资金日记账!$N$4:$S$603,84,3)))</f>
        <v>0</v>
      </c>
      <c r="J1076" s="67" t="n">
        <f aca="false">IF($E1076="","",INDEX(资金日记账!$E$4:$E$603,84))</f>
        <v>0</v>
      </c>
      <c r="K1076" s="67" t="n">
        <f aca="false">IF($E1076="","",INDEX(资金日记账!$F$4:$F$603,84))</f>
        <v>0</v>
      </c>
      <c r="L1076" s="107" t="n">
        <f aca="false">IF($E1076="","",INDEX(资金日记账!$X$4:$X$603,84))</f>
        <v>0</v>
      </c>
      <c r="M1076" s="107"/>
      <c r="N1076" s="67" t="n">
        <f aca="false">IF($E1076="","",INDEX(资金日记账!$Y$4:$Y$603,84))</f>
        <v>0</v>
      </c>
      <c r="O1076" s="67" t="str">
        <f aca="false">IF($E1076="","","自动B")</f>
        <v>自动B</v>
      </c>
      <c r="P1076" s="18"/>
    </row>
    <row r="1077" customFormat="false" ht="18" hidden="false" customHeight="true" outlineLevel="0" collapsed="false">
      <c r="A1077" s="107" t="n">
        <f aca="false">IF($E1077="","",ROW()-3)</f>
        <v>1074</v>
      </c>
      <c r="B1077" s="110" t="n">
        <f aca="false">IF($E1077="","",INDEX(资金日记账!$B$4:$B$603,84))</f>
        <v>46281</v>
      </c>
      <c r="C1077" s="67" t="str">
        <f aca="false">IF($E1077="","",IF(INDEX(资金日记账!$W$4:$W$603,84)="","记-"&amp;TEXT($B1077,"YYYYMM")&amp;"-资金",INDEX(资金日记账!$W$4:$W$603,84)))</f>
        <v>记-202609-资金</v>
      </c>
      <c r="D1077" s="107" t="n">
        <f aca="false">IF($E1077="","",INDEX(资金日记账!$D$4:$D$603,84))</f>
        <v>0</v>
      </c>
      <c r="E1077" s="67" t="str">
        <f aca="false">IF(INDEX(资金日记账!$N$4:$S$603,84,4)=0,"",INDEX(资金日记账!$N$4:$S$603,84,4))</f>
        <v>其他货币资金</v>
      </c>
      <c r="F1077" s="99" t="str">
        <f aca="false">IF($E1077="","",IFERROR(INDEX(科目表!$A$4:$A$81,MATCH($E1077,科目表!$B$4:$B$81,0)),""))</f>
        <v>1012</v>
      </c>
      <c r="G1077" s="67" t="str">
        <f aca="false">IF($E1077="","",IFERROR(INDEX(科目表!$E$4:$E$81,MATCH($E1077,科目表!$B$4:$B$81,0)),""))</f>
        <v>货币资金</v>
      </c>
      <c r="H1077" s="70" t="n">
        <f aca="false">IF($E1077="","",N(INDEX(资金日记账!$N$4:$S$603,84,5)))</f>
        <v>0</v>
      </c>
      <c r="I1077" s="70" t="n">
        <f aca="false">IF($E1077="","",N(INDEX(资金日记账!$N$4:$S$603,84,6)))</f>
        <v>3</v>
      </c>
      <c r="J1077" s="67" t="n">
        <f aca="false">IF($E1077="","",INDEX(资金日记账!$E$4:$E$603,84))</f>
        <v>0</v>
      </c>
      <c r="K1077" s="67" t="n">
        <f aca="false">IF($E1077="","",INDEX(资金日记账!$F$4:$F$603,84))</f>
        <v>0</v>
      </c>
      <c r="L1077" s="107" t="n">
        <f aca="false">IF($E1077="","",INDEX(资金日记账!$X$4:$X$603,84))</f>
        <v>0</v>
      </c>
      <c r="M1077" s="107"/>
      <c r="N1077" s="67" t="n">
        <f aca="false">IF($E1077="","",INDEX(资金日记账!$Y$4:$Y$603,84))</f>
        <v>0</v>
      </c>
      <c r="O1077" s="67" t="str">
        <f aca="false">IF($E1077="","","自动B")</f>
        <v>自动B</v>
      </c>
      <c r="P1077" s="18"/>
    </row>
    <row r="1078" customFormat="false" ht="18" hidden="false" customHeight="true" outlineLevel="0" collapsed="false">
      <c r="A1078" s="107" t="n">
        <f aca="false">IF($E1078="","",ROW()-3)</f>
        <v>1075</v>
      </c>
      <c r="B1078" s="110" t="n">
        <f aca="false">IF($E1078="","",INDEX(资金日记账!$B$4:$B$603,85))</f>
        <v>46282</v>
      </c>
      <c r="C1078" s="67" t="str">
        <f aca="false">IF($E1078="","",IF(INDEX(资金日记账!$W$4:$W$603,85)="","记-"&amp;TEXT($B1078,"YYYYMM")&amp;"-资金",INDEX(资金日记账!$W$4:$W$603,85)))</f>
        <v>记-202609-资金</v>
      </c>
      <c r="D1078" s="107" t="str">
        <f aca="false">IF($E1078="","",INDEX(资金日记账!$D$4:$D$603,85))</f>
        <v>饮料</v>
      </c>
      <c r="E1078" s="67" t="str">
        <f aca="false">IF(INDEX(资金日记账!$N$4:$S$603,85,1)=0,"",INDEX(资金日记账!$N$4:$S$603,85,1))</f>
        <v>管理费用</v>
      </c>
      <c r="F1078" s="99" t="str">
        <f aca="false">IF($E1078="","",IFERROR(INDEX(科目表!$A$4:$A$81,MATCH($E1078,科目表!$B$4:$B$81,0)),""))</f>
        <v>5602</v>
      </c>
      <c r="G1078" s="67" t="str">
        <f aca="false">IF($E1078="","",IFERROR(INDEX(科目表!$E$4:$E$81,MATCH($E1078,科目表!$B$4:$B$81,0)),""))</f>
        <v>管理费用</v>
      </c>
      <c r="H1078" s="70" t="n">
        <f aca="false">IF($E1078="","",N(INDEX(资金日记账!$N$4:$S$603,85,2)))</f>
        <v>20</v>
      </c>
      <c r="I1078" s="70" t="n">
        <f aca="false">IF($E1078="","",N(INDEX(资金日记账!$N$4:$S$603,85,3)))</f>
        <v>0</v>
      </c>
      <c r="J1078" s="67" t="n">
        <f aca="false">IF($E1078="","",INDEX(资金日记账!$E$4:$E$603,85))</f>
        <v>0</v>
      </c>
      <c r="K1078" s="67" t="n">
        <f aca="false">IF($E1078="","",INDEX(资金日记账!$F$4:$F$603,85))</f>
        <v>0</v>
      </c>
      <c r="L1078" s="107" t="n">
        <f aca="false">IF($E1078="","",INDEX(资金日记账!$X$4:$X$603,85))</f>
        <v>0</v>
      </c>
      <c r="M1078" s="107"/>
      <c r="N1078" s="67" t="n">
        <f aca="false">IF($E1078="","",INDEX(资金日记账!$Y$4:$Y$603,85))</f>
        <v>0</v>
      </c>
      <c r="O1078" s="67" t="str">
        <f aca="false">IF($E1078="","","自动B")</f>
        <v>自动B</v>
      </c>
      <c r="P1078" s="18"/>
    </row>
    <row r="1079" customFormat="false" ht="18" hidden="false" customHeight="true" outlineLevel="0" collapsed="false">
      <c r="A1079" s="107" t="n">
        <f aca="false">IF($E1079="","",ROW()-3)</f>
        <v>1076</v>
      </c>
      <c r="B1079" s="110" t="n">
        <f aca="false">IF($E1079="","",INDEX(资金日记账!$B$4:$B$603,85))</f>
        <v>46282</v>
      </c>
      <c r="C1079" s="67" t="str">
        <f aca="false">IF($E1079="","",IF(INDEX(资金日记账!$W$4:$W$603,85)="","记-"&amp;TEXT($B1079,"YYYYMM")&amp;"-资金",INDEX(资金日记账!$W$4:$W$603,85)))</f>
        <v>记-202609-资金</v>
      </c>
      <c r="D1079" s="107" t="str">
        <f aca="false">IF($E1079="","",INDEX(资金日记账!$D$4:$D$603,85))</f>
        <v>饮料</v>
      </c>
      <c r="E1079" s="67" t="str">
        <f aca="false">IF(INDEX(资金日记账!$N$4:$S$603,85,4)=0,"",INDEX(资金日记账!$N$4:$S$603,85,4))</f>
        <v>其他货币资金</v>
      </c>
      <c r="F1079" s="99" t="str">
        <f aca="false">IF($E1079="","",IFERROR(INDEX(科目表!$A$4:$A$81,MATCH($E1079,科目表!$B$4:$B$81,0)),""))</f>
        <v>1012</v>
      </c>
      <c r="G1079" s="67" t="str">
        <f aca="false">IF($E1079="","",IFERROR(INDEX(科目表!$E$4:$E$81,MATCH($E1079,科目表!$B$4:$B$81,0)),""))</f>
        <v>货币资金</v>
      </c>
      <c r="H1079" s="70" t="n">
        <f aca="false">IF($E1079="","",N(INDEX(资金日记账!$N$4:$S$603,85,5)))</f>
        <v>0</v>
      </c>
      <c r="I1079" s="70" t="n">
        <f aca="false">IF($E1079="","",N(INDEX(资金日记账!$N$4:$S$603,85,6)))</f>
        <v>20</v>
      </c>
      <c r="J1079" s="67" t="n">
        <f aca="false">IF($E1079="","",INDEX(资金日记账!$E$4:$E$603,85))</f>
        <v>0</v>
      </c>
      <c r="K1079" s="67" t="n">
        <f aca="false">IF($E1079="","",INDEX(资金日记账!$F$4:$F$603,85))</f>
        <v>0</v>
      </c>
      <c r="L1079" s="107" t="n">
        <f aca="false">IF($E1079="","",INDEX(资金日记账!$X$4:$X$603,85))</f>
        <v>0</v>
      </c>
      <c r="M1079" s="107"/>
      <c r="N1079" s="67" t="n">
        <f aca="false">IF($E1079="","",INDEX(资金日记账!$Y$4:$Y$603,85))</f>
        <v>0</v>
      </c>
      <c r="O1079" s="67" t="str">
        <f aca="false">IF($E1079="","","自动B")</f>
        <v>自动B</v>
      </c>
      <c r="P1079" s="18"/>
    </row>
    <row r="1080" customFormat="false" ht="18" hidden="false" customHeight="true" outlineLevel="0" collapsed="false">
      <c r="A1080" s="107" t="n">
        <f aca="false">IF($E1080="","",ROW()-3)</f>
        <v>1077</v>
      </c>
      <c r="B1080" s="110" t="n">
        <f aca="false">IF($E1080="","",INDEX(资金日记账!$B$4:$B$603,86))</f>
        <v>46282</v>
      </c>
      <c r="C1080" s="67" t="str">
        <f aca="false">IF($E1080="","",IF(INDEX(资金日记账!$W$4:$W$603,86)="","记-"&amp;TEXT($B1080,"YYYYMM")&amp;"-资金",INDEX(资金日记账!$W$4:$W$603,86)))</f>
        <v>记-202609-资金</v>
      </c>
      <c r="D1080" s="107" t="str">
        <f aca="false">IF($E1080="","",INDEX(资金日记账!$D$4:$D$603,86))</f>
        <v>面包</v>
      </c>
      <c r="E1080" s="67" t="str">
        <f aca="false">IF(INDEX(资金日记账!$N$4:$S$603,86,1)=0,"",INDEX(资金日记账!$N$4:$S$603,86,1))</f>
        <v>管理费用</v>
      </c>
      <c r="F1080" s="99" t="str">
        <f aca="false">IF($E1080="","",IFERROR(INDEX(科目表!$A$4:$A$81,MATCH($E1080,科目表!$B$4:$B$81,0)),""))</f>
        <v>5602</v>
      </c>
      <c r="G1080" s="67" t="str">
        <f aca="false">IF($E1080="","",IFERROR(INDEX(科目表!$E$4:$E$81,MATCH($E1080,科目表!$B$4:$B$81,0)),""))</f>
        <v>管理费用</v>
      </c>
      <c r="H1080" s="70" t="n">
        <f aca="false">IF($E1080="","",N(INDEX(资金日记账!$N$4:$S$603,86,2)))</f>
        <v>9.5</v>
      </c>
      <c r="I1080" s="70" t="n">
        <f aca="false">IF($E1080="","",N(INDEX(资金日记账!$N$4:$S$603,86,3)))</f>
        <v>0</v>
      </c>
      <c r="J1080" s="67" t="n">
        <f aca="false">IF($E1080="","",INDEX(资金日记账!$E$4:$E$603,86))</f>
        <v>0</v>
      </c>
      <c r="K1080" s="67" t="n">
        <f aca="false">IF($E1080="","",INDEX(资金日记账!$F$4:$F$603,86))</f>
        <v>0</v>
      </c>
      <c r="L1080" s="107" t="n">
        <f aca="false">IF($E1080="","",INDEX(资金日记账!$X$4:$X$603,86))</f>
        <v>0</v>
      </c>
      <c r="M1080" s="107"/>
      <c r="N1080" s="67" t="n">
        <f aca="false">IF($E1080="","",INDEX(资金日记账!$Y$4:$Y$603,86))</f>
        <v>0</v>
      </c>
      <c r="O1080" s="67" t="str">
        <f aca="false">IF($E1080="","","自动B")</f>
        <v>自动B</v>
      </c>
      <c r="P1080" s="18"/>
    </row>
    <row r="1081" customFormat="false" ht="18" hidden="false" customHeight="true" outlineLevel="0" collapsed="false">
      <c r="A1081" s="107" t="n">
        <f aca="false">IF($E1081="","",ROW()-3)</f>
        <v>1078</v>
      </c>
      <c r="B1081" s="110" t="n">
        <f aca="false">IF($E1081="","",INDEX(资金日记账!$B$4:$B$603,86))</f>
        <v>46282</v>
      </c>
      <c r="C1081" s="67" t="str">
        <f aca="false">IF($E1081="","",IF(INDEX(资金日记账!$W$4:$W$603,86)="","记-"&amp;TEXT($B1081,"YYYYMM")&amp;"-资金",INDEX(资金日记账!$W$4:$W$603,86)))</f>
        <v>记-202609-资金</v>
      </c>
      <c r="D1081" s="107" t="str">
        <f aca="false">IF($E1081="","",INDEX(资金日记账!$D$4:$D$603,86))</f>
        <v>面包</v>
      </c>
      <c r="E1081" s="67" t="str">
        <f aca="false">IF(INDEX(资金日记账!$N$4:$S$603,86,4)=0,"",INDEX(资金日记账!$N$4:$S$603,86,4))</f>
        <v>其他货币资金</v>
      </c>
      <c r="F1081" s="99" t="str">
        <f aca="false">IF($E1081="","",IFERROR(INDEX(科目表!$A$4:$A$81,MATCH($E1081,科目表!$B$4:$B$81,0)),""))</f>
        <v>1012</v>
      </c>
      <c r="G1081" s="67" t="str">
        <f aca="false">IF($E1081="","",IFERROR(INDEX(科目表!$E$4:$E$81,MATCH($E1081,科目表!$B$4:$B$81,0)),""))</f>
        <v>货币资金</v>
      </c>
      <c r="H1081" s="70" t="n">
        <f aca="false">IF($E1081="","",N(INDEX(资金日记账!$N$4:$S$603,86,5)))</f>
        <v>0</v>
      </c>
      <c r="I1081" s="70" t="n">
        <f aca="false">IF($E1081="","",N(INDEX(资金日记账!$N$4:$S$603,86,6)))</f>
        <v>9.5</v>
      </c>
      <c r="J1081" s="67" t="n">
        <f aca="false">IF($E1081="","",INDEX(资金日记账!$E$4:$E$603,86))</f>
        <v>0</v>
      </c>
      <c r="K1081" s="67" t="n">
        <f aca="false">IF($E1081="","",INDEX(资金日记账!$F$4:$F$603,86))</f>
        <v>0</v>
      </c>
      <c r="L1081" s="107" t="n">
        <f aca="false">IF($E1081="","",INDEX(资金日记账!$X$4:$X$603,86))</f>
        <v>0</v>
      </c>
      <c r="M1081" s="107"/>
      <c r="N1081" s="67" t="n">
        <f aca="false">IF($E1081="","",INDEX(资金日记账!$Y$4:$Y$603,86))</f>
        <v>0</v>
      </c>
      <c r="O1081" s="67" t="str">
        <f aca="false">IF($E1081="","","自动B")</f>
        <v>自动B</v>
      </c>
      <c r="P1081" s="18"/>
    </row>
    <row r="1082" customFormat="false" ht="18" hidden="false" customHeight="true" outlineLevel="0" collapsed="false">
      <c r="A1082" s="107" t="n">
        <f aca="false">IF($E1082="","",ROW()-3)</f>
        <v>1079</v>
      </c>
      <c r="B1082" s="110" t="n">
        <f aca="false">IF($E1082="","",INDEX(资金日记账!$B$4:$B$603,87))</f>
        <v>46282</v>
      </c>
      <c r="C1082" s="67" t="str">
        <f aca="false">IF($E1082="","",IF(INDEX(资金日记账!$W$4:$W$603,87)="","记-"&amp;TEXT($B1082,"YYYYMM")&amp;"-资金",INDEX(资金日记账!$W$4:$W$603,87)))</f>
        <v>记-202609-资金</v>
      </c>
      <c r="D1082" s="107" t="str">
        <f aca="false">IF($E1082="","",INDEX(资金日记账!$D$4:$D$603,87))</f>
        <v>米线</v>
      </c>
      <c r="E1082" s="67" t="str">
        <f aca="false">IF(INDEX(资金日记账!$N$4:$S$603,87,1)=0,"",INDEX(资金日记账!$N$4:$S$603,87,1))</f>
        <v>管理费用</v>
      </c>
      <c r="F1082" s="99" t="str">
        <f aca="false">IF($E1082="","",IFERROR(INDEX(科目表!$A$4:$A$81,MATCH($E1082,科目表!$B$4:$B$81,0)),""))</f>
        <v>5602</v>
      </c>
      <c r="G1082" s="67" t="str">
        <f aca="false">IF($E1082="","",IFERROR(INDEX(科目表!$E$4:$E$81,MATCH($E1082,科目表!$B$4:$B$81,0)),""))</f>
        <v>管理费用</v>
      </c>
      <c r="H1082" s="70" t="n">
        <f aca="false">IF($E1082="","",N(INDEX(资金日记账!$N$4:$S$603,87,2)))</f>
        <v>41</v>
      </c>
      <c r="I1082" s="70" t="n">
        <f aca="false">IF($E1082="","",N(INDEX(资金日记账!$N$4:$S$603,87,3)))</f>
        <v>0</v>
      </c>
      <c r="J1082" s="67" t="n">
        <f aca="false">IF($E1082="","",INDEX(资金日记账!$E$4:$E$603,87))</f>
        <v>0</v>
      </c>
      <c r="K1082" s="67" t="n">
        <f aca="false">IF($E1082="","",INDEX(资金日记账!$F$4:$F$603,87))</f>
        <v>0</v>
      </c>
      <c r="L1082" s="107" t="n">
        <f aca="false">IF($E1082="","",INDEX(资金日记账!$X$4:$X$603,87))</f>
        <v>0</v>
      </c>
      <c r="M1082" s="107"/>
      <c r="N1082" s="67" t="n">
        <f aca="false">IF($E1082="","",INDEX(资金日记账!$Y$4:$Y$603,87))</f>
        <v>0</v>
      </c>
      <c r="O1082" s="67" t="str">
        <f aca="false">IF($E1082="","","自动B")</f>
        <v>自动B</v>
      </c>
      <c r="P1082" s="18"/>
    </row>
    <row r="1083" customFormat="false" ht="18" hidden="false" customHeight="true" outlineLevel="0" collapsed="false">
      <c r="A1083" s="107" t="n">
        <f aca="false">IF($E1083="","",ROW()-3)</f>
        <v>1080</v>
      </c>
      <c r="B1083" s="110" t="n">
        <f aca="false">IF($E1083="","",INDEX(资金日记账!$B$4:$B$603,87))</f>
        <v>46282</v>
      </c>
      <c r="C1083" s="67" t="str">
        <f aca="false">IF($E1083="","",IF(INDEX(资金日记账!$W$4:$W$603,87)="","记-"&amp;TEXT($B1083,"YYYYMM")&amp;"-资金",INDEX(资金日记账!$W$4:$W$603,87)))</f>
        <v>记-202609-资金</v>
      </c>
      <c r="D1083" s="107" t="str">
        <f aca="false">IF($E1083="","",INDEX(资金日记账!$D$4:$D$603,87))</f>
        <v>米线</v>
      </c>
      <c r="E1083" s="67" t="str">
        <f aca="false">IF(INDEX(资金日记账!$N$4:$S$603,87,4)=0,"",INDEX(资金日记账!$N$4:$S$603,87,4))</f>
        <v>其他货币资金</v>
      </c>
      <c r="F1083" s="99" t="str">
        <f aca="false">IF($E1083="","",IFERROR(INDEX(科目表!$A$4:$A$81,MATCH($E1083,科目表!$B$4:$B$81,0)),""))</f>
        <v>1012</v>
      </c>
      <c r="G1083" s="67" t="str">
        <f aca="false">IF($E1083="","",IFERROR(INDEX(科目表!$E$4:$E$81,MATCH($E1083,科目表!$B$4:$B$81,0)),""))</f>
        <v>货币资金</v>
      </c>
      <c r="H1083" s="70" t="n">
        <f aca="false">IF($E1083="","",N(INDEX(资金日记账!$N$4:$S$603,87,5)))</f>
        <v>0</v>
      </c>
      <c r="I1083" s="70" t="n">
        <f aca="false">IF($E1083="","",N(INDEX(资金日记账!$N$4:$S$603,87,6)))</f>
        <v>41</v>
      </c>
      <c r="J1083" s="67" t="n">
        <f aca="false">IF($E1083="","",INDEX(资金日记账!$E$4:$E$603,87))</f>
        <v>0</v>
      </c>
      <c r="K1083" s="67" t="n">
        <f aca="false">IF($E1083="","",INDEX(资金日记账!$F$4:$F$603,87))</f>
        <v>0</v>
      </c>
      <c r="L1083" s="107" t="n">
        <f aca="false">IF($E1083="","",INDEX(资金日记账!$X$4:$X$603,87))</f>
        <v>0</v>
      </c>
      <c r="M1083" s="107"/>
      <c r="N1083" s="67" t="n">
        <f aca="false">IF($E1083="","",INDEX(资金日记账!$Y$4:$Y$603,87))</f>
        <v>0</v>
      </c>
      <c r="O1083" s="67" t="str">
        <f aca="false">IF($E1083="","","自动B")</f>
        <v>自动B</v>
      </c>
      <c r="P1083" s="18"/>
    </row>
    <row r="1084" customFormat="false" ht="18" hidden="false" customHeight="true" outlineLevel="0" collapsed="false">
      <c r="A1084" s="107" t="n">
        <f aca="false">IF($E1084="","",ROW()-3)</f>
        <v>1081</v>
      </c>
      <c r="B1084" s="110" t="n">
        <f aca="false">IF($E1084="","",INDEX(资金日记账!$B$4:$B$603,88))</f>
        <v>46282</v>
      </c>
      <c r="C1084" s="67" t="str">
        <f aca="false">IF($E1084="","",IF(INDEX(资金日记账!$W$4:$W$603,88)="","记-"&amp;TEXT($B1084,"YYYYMM")&amp;"-资金",INDEX(资金日记账!$W$4:$W$603,88)))</f>
        <v>记-202609-资金</v>
      </c>
      <c r="D1084" s="107" t="str">
        <f aca="false">IF($E1084="","",INDEX(资金日记账!$D$4:$D$603,88))</f>
        <v>刀片</v>
      </c>
      <c r="E1084" s="67" t="str">
        <f aca="false">IF(INDEX(资金日记账!$N$4:$S$603,88,1)=0,"",INDEX(资金日记账!$N$4:$S$603,88,1))</f>
        <v>其他应收款</v>
      </c>
      <c r="F1084" s="99" t="str">
        <f aca="false">IF($E1084="","",IFERROR(INDEX(科目表!$A$4:$A$81,MATCH($E1084,科目表!$B$4:$B$81,0)),""))</f>
        <v>1221</v>
      </c>
      <c r="G1084" s="67" t="str">
        <f aca="false">IF($E1084="","",IFERROR(INDEX(科目表!$E$4:$E$81,MATCH($E1084,科目表!$B$4:$B$81,0)),""))</f>
        <v>其他应收款</v>
      </c>
      <c r="H1084" s="70" t="n">
        <f aca="false">IF($E1084="","",N(INDEX(资金日记账!$N$4:$S$603,88,2)))</f>
        <v>1</v>
      </c>
      <c r="I1084" s="70" t="n">
        <f aca="false">IF($E1084="","",N(INDEX(资金日记账!$N$4:$S$603,88,3)))</f>
        <v>0</v>
      </c>
      <c r="J1084" s="67" t="n">
        <f aca="false">IF($E1084="","",INDEX(资金日记账!$E$4:$E$603,88))</f>
        <v>0</v>
      </c>
      <c r="K1084" s="67" t="n">
        <f aca="false">IF($E1084="","",INDEX(资金日记账!$F$4:$F$603,88))</f>
        <v>0</v>
      </c>
      <c r="L1084" s="107" t="n">
        <f aca="false">IF($E1084="","",INDEX(资金日记账!$X$4:$X$603,88))</f>
        <v>0</v>
      </c>
      <c r="M1084" s="107"/>
      <c r="N1084" s="67" t="n">
        <f aca="false">IF($E1084="","",INDEX(资金日记账!$Y$4:$Y$603,88))</f>
        <v>0</v>
      </c>
      <c r="O1084" s="67" t="str">
        <f aca="false">IF($E1084="","","自动B")</f>
        <v>自动B</v>
      </c>
      <c r="P1084" s="18"/>
    </row>
    <row r="1085" customFormat="false" ht="18" hidden="false" customHeight="true" outlineLevel="0" collapsed="false">
      <c r="A1085" s="107" t="n">
        <f aca="false">IF($E1085="","",ROW()-3)</f>
        <v>1082</v>
      </c>
      <c r="B1085" s="110" t="n">
        <f aca="false">IF($E1085="","",INDEX(资金日记账!$B$4:$B$603,88))</f>
        <v>46282</v>
      </c>
      <c r="C1085" s="67" t="str">
        <f aca="false">IF($E1085="","",IF(INDEX(资金日记账!$W$4:$W$603,88)="","记-"&amp;TEXT($B1085,"YYYYMM")&amp;"-资金",INDEX(资金日记账!$W$4:$W$603,88)))</f>
        <v>记-202609-资金</v>
      </c>
      <c r="D1085" s="107" t="str">
        <f aca="false">IF($E1085="","",INDEX(资金日记账!$D$4:$D$603,88))</f>
        <v>刀片</v>
      </c>
      <c r="E1085" s="67" t="str">
        <f aca="false">IF(INDEX(资金日记账!$N$4:$S$603,88,4)=0,"",INDEX(资金日记账!$N$4:$S$603,88,4))</f>
        <v>其他货币资金</v>
      </c>
      <c r="F1085" s="99" t="str">
        <f aca="false">IF($E1085="","",IFERROR(INDEX(科目表!$A$4:$A$81,MATCH($E1085,科目表!$B$4:$B$81,0)),""))</f>
        <v>1012</v>
      </c>
      <c r="G1085" s="67" t="str">
        <f aca="false">IF($E1085="","",IFERROR(INDEX(科目表!$E$4:$E$81,MATCH($E1085,科目表!$B$4:$B$81,0)),""))</f>
        <v>货币资金</v>
      </c>
      <c r="H1085" s="70" t="n">
        <f aca="false">IF($E1085="","",N(INDEX(资金日记账!$N$4:$S$603,88,5)))</f>
        <v>0</v>
      </c>
      <c r="I1085" s="70" t="n">
        <f aca="false">IF($E1085="","",N(INDEX(资金日记账!$N$4:$S$603,88,6)))</f>
        <v>1</v>
      </c>
      <c r="J1085" s="67" t="n">
        <f aca="false">IF($E1085="","",INDEX(资金日记账!$E$4:$E$603,88))</f>
        <v>0</v>
      </c>
      <c r="K1085" s="67" t="n">
        <f aca="false">IF($E1085="","",INDEX(资金日记账!$F$4:$F$603,88))</f>
        <v>0</v>
      </c>
      <c r="L1085" s="107" t="n">
        <f aca="false">IF($E1085="","",INDEX(资金日记账!$X$4:$X$603,88))</f>
        <v>0</v>
      </c>
      <c r="M1085" s="107"/>
      <c r="N1085" s="67" t="n">
        <f aca="false">IF($E1085="","",INDEX(资金日记账!$Y$4:$Y$603,88))</f>
        <v>0</v>
      </c>
      <c r="O1085" s="67" t="str">
        <f aca="false">IF($E1085="","","自动B")</f>
        <v>自动B</v>
      </c>
      <c r="P1085" s="18"/>
    </row>
    <row r="1086" customFormat="false" ht="18" hidden="false" customHeight="true" outlineLevel="0" collapsed="false">
      <c r="A1086" s="107" t="n">
        <f aca="false">IF($E1086="","",ROW()-3)</f>
        <v>1083</v>
      </c>
      <c r="B1086" s="110" t="n">
        <f aca="false">IF($E1086="","",INDEX(资金日记账!$B$4:$B$603,89))</f>
        <v>46282</v>
      </c>
      <c r="C1086" s="67" t="str">
        <f aca="false">IF($E1086="","",IF(INDEX(资金日记账!$W$4:$W$603,89)="","记-"&amp;TEXT($B1086,"YYYYMM")&amp;"-资金",INDEX(资金日记账!$W$4:$W$603,89)))</f>
        <v>记-202609-资金</v>
      </c>
      <c r="D1086" s="107" t="str">
        <f aca="false">IF($E1086="","",INDEX(资金日记账!$D$4:$D$603,89))</f>
        <v>饮料</v>
      </c>
      <c r="E1086" s="67" t="str">
        <f aca="false">IF(INDEX(资金日记账!$N$4:$S$603,89,1)=0,"",INDEX(资金日记账!$N$4:$S$603,89,1))</f>
        <v>管理费用</v>
      </c>
      <c r="F1086" s="99" t="str">
        <f aca="false">IF($E1086="","",IFERROR(INDEX(科目表!$A$4:$A$81,MATCH($E1086,科目表!$B$4:$B$81,0)),""))</f>
        <v>5602</v>
      </c>
      <c r="G1086" s="67" t="str">
        <f aca="false">IF($E1086="","",IFERROR(INDEX(科目表!$E$4:$E$81,MATCH($E1086,科目表!$B$4:$B$81,0)),""))</f>
        <v>管理费用</v>
      </c>
      <c r="H1086" s="70" t="n">
        <f aca="false">IF($E1086="","",N(INDEX(资金日记账!$N$4:$S$603,89,2)))</f>
        <v>5</v>
      </c>
      <c r="I1086" s="70" t="n">
        <f aca="false">IF($E1086="","",N(INDEX(资金日记账!$N$4:$S$603,89,3)))</f>
        <v>0</v>
      </c>
      <c r="J1086" s="67" t="n">
        <f aca="false">IF($E1086="","",INDEX(资金日记账!$E$4:$E$603,89))</f>
        <v>0</v>
      </c>
      <c r="K1086" s="67" t="n">
        <f aca="false">IF($E1086="","",INDEX(资金日记账!$F$4:$F$603,89))</f>
        <v>0</v>
      </c>
      <c r="L1086" s="107" t="n">
        <f aca="false">IF($E1086="","",INDEX(资金日记账!$X$4:$X$603,89))</f>
        <v>0</v>
      </c>
      <c r="M1086" s="107"/>
      <c r="N1086" s="67" t="n">
        <f aca="false">IF($E1086="","",INDEX(资金日记账!$Y$4:$Y$603,89))</f>
        <v>0</v>
      </c>
      <c r="O1086" s="67" t="str">
        <f aca="false">IF($E1086="","","自动B")</f>
        <v>自动B</v>
      </c>
      <c r="P1086" s="18"/>
    </row>
    <row r="1087" customFormat="false" ht="18" hidden="false" customHeight="true" outlineLevel="0" collapsed="false">
      <c r="A1087" s="107" t="n">
        <f aca="false">IF($E1087="","",ROW()-3)</f>
        <v>1084</v>
      </c>
      <c r="B1087" s="110" t="n">
        <f aca="false">IF($E1087="","",INDEX(资金日记账!$B$4:$B$603,89))</f>
        <v>46282</v>
      </c>
      <c r="C1087" s="67" t="str">
        <f aca="false">IF($E1087="","",IF(INDEX(资金日记账!$W$4:$W$603,89)="","记-"&amp;TEXT($B1087,"YYYYMM")&amp;"-资金",INDEX(资金日记账!$W$4:$W$603,89)))</f>
        <v>记-202609-资金</v>
      </c>
      <c r="D1087" s="107" t="str">
        <f aca="false">IF($E1087="","",INDEX(资金日记账!$D$4:$D$603,89))</f>
        <v>饮料</v>
      </c>
      <c r="E1087" s="67" t="str">
        <f aca="false">IF(INDEX(资金日记账!$N$4:$S$603,89,4)=0,"",INDEX(资金日记账!$N$4:$S$603,89,4))</f>
        <v>其他货币资金</v>
      </c>
      <c r="F1087" s="99" t="str">
        <f aca="false">IF($E1087="","",IFERROR(INDEX(科目表!$A$4:$A$81,MATCH($E1087,科目表!$B$4:$B$81,0)),""))</f>
        <v>1012</v>
      </c>
      <c r="G1087" s="67" t="str">
        <f aca="false">IF($E1087="","",IFERROR(INDEX(科目表!$E$4:$E$81,MATCH($E1087,科目表!$B$4:$B$81,0)),""))</f>
        <v>货币资金</v>
      </c>
      <c r="H1087" s="70" t="n">
        <f aca="false">IF($E1087="","",N(INDEX(资金日记账!$N$4:$S$603,89,5)))</f>
        <v>0</v>
      </c>
      <c r="I1087" s="70" t="n">
        <f aca="false">IF($E1087="","",N(INDEX(资金日记账!$N$4:$S$603,89,6)))</f>
        <v>5</v>
      </c>
      <c r="J1087" s="67" t="n">
        <f aca="false">IF($E1087="","",INDEX(资金日记账!$E$4:$E$603,89))</f>
        <v>0</v>
      </c>
      <c r="K1087" s="67" t="n">
        <f aca="false">IF($E1087="","",INDEX(资金日记账!$F$4:$F$603,89))</f>
        <v>0</v>
      </c>
      <c r="L1087" s="107" t="n">
        <f aca="false">IF($E1087="","",INDEX(资金日记账!$X$4:$X$603,89))</f>
        <v>0</v>
      </c>
      <c r="M1087" s="107"/>
      <c r="N1087" s="67" t="n">
        <f aca="false">IF($E1087="","",INDEX(资金日记账!$Y$4:$Y$603,89))</f>
        <v>0</v>
      </c>
      <c r="O1087" s="67" t="str">
        <f aca="false">IF($E1087="","","自动B")</f>
        <v>自动B</v>
      </c>
      <c r="P1087" s="18"/>
    </row>
    <row r="1088" customFormat="false" ht="18" hidden="false" customHeight="true" outlineLevel="0" collapsed="false">
      <c r="A1088" s="107" t="n">
        <f aca="false">IF($E1088="","",ROW()-3)</f>
        <v>1085</v>
      </c>
      <c r="B1088" s="110" t="n">
        <f aca="false">IF($E1088="","",INDEX(资金日记账!$B$4:$B$603,90))</f>
        <v>46282</v>
      </c>
      <c r="C1088" s="67" t="str">
        <f aca="false">IF($E1088="","",IF(INDEX(资金日记账!$W$4:$W$603,90)="","记-"&amp;TEXT($B1088,"YYYYMM")&amp;"-资金",INDEX(资金日记账!$W$4:$W$603,90)))</f>
        <v>记-202609-资金</v>
      </c>
      <c r="D1088" s="107" t="str">
        <f aca="false">IF($E1088="","",INDEX(资金日记账!$D$4:$D$603,90))</f>
        <v>饮料</v>
      </c>
      <c r="E1088" s="67" t="str">
        <f aca="false">IF(INDEX(资金日记账!$N$4:$S$603,90,1)=0,"",INDEX(资金日记账!$N$4:$S$603,90,1))</f>
        <v>管理费用</v>
      </c>
      <c r="F1088" s="99" t="str">
        <f aca="false">IF($E1088="","",IFERROR(INDEX(科目表!$A$4:$A$81,MATCH($E1088,科目表!$B$4:$B$81,0)),""))</f>
        <v>5602</v>
      </c>
      <c r="G1088" s="67" t="str">
        <f aca="false">IF($E1088="","",IFERROR(INDEX(科目表!$E$4:$E$81,MATCH($E1088,科目表!$B$4:$B$81,0)),""))</f>
        <v>管理费用</v>
      </c>
      <c r="H1088" s="70" t="n">
        <f aca="false">IF($E1088="","",N(INDEX(资金日记账!$N$4:$S$603,90,2)))</f>
        <v>15</v>
      </c>
      <c r="I1088" s="70" t="n">
        <f aca="false">IF($E1088="","",N(INDEX(资金日记账!$N$4:$S$603,90,3)))</f>
        <v>0</v>
      </c>
      <c r="J1088" s="67" t="n">
        <f aca="false">IF($E1088="","",INDEX(资金日记账!$E$4:$E$603,90))</f>
        <v>0</v>
      </c>
      <c r="K1088" s="67" t="n">
        <f aca="false">IF($E1088="","",INDEX(资金日记账!$F$4:$F$603,90))</f>
        <v>0</v>
      </c>
      <c r="L1088" s="107" t="n">
        <f aca="false">IF($E1088="","",INDEX(资金日记账!$X$4:$X$603,90))</f>
        <v>0</v>
      </c>
      <c r="M1088" s="107"/>
      <c r="N1088" s="67" t="n">
        <f aca="false">IF($E1088="","",INDEX(资金日记账!$Y$4:$Y$603,90))</f>
        <v>0</v>
      </c>
      <c r="O1088" s="67" t="str">
        <f aca="false">IF($E1088="","","自动B")</f>
        <v>自动B</v>
      </c>
      <c r="P1088" s="18"/>
    </row>
    <row r="1089" customFormat="false" ht="18" hidden="false" customHeight="true" outlineLevel="0" collapsed="false">
      <c r="A1089" s="107" t="n">
        <f aca="false">IF($E1089="","",ROW()-3)</f>
        <v>1086</v>
      </c>
      <c r="B1089" s="110" t="n">
        <f aca="false">IF($E1089="","",INDEX(资金日记账!$B$4:$B$603,90))</f>
        <v>46282</v>
      </c>
      <c r="C1089" s="67" t="str">
        <f aca="false">IF($E1089="","",IF(INDEX(资金日记账!$W$4:$W$603,90)="","记-"&amp;TEXT($B1089,"YYYYMM")&amp;"-资金",INDEX(资金日记账!$W$4:$W$603,90)))</f>
        <v>记-202609-资金</v>
      </c>
      <c r="D1089" s="107" t="str">
        <f aca="false">IF($E1089="","",INDEX(资金日记账!$D$4:$D$603,90))</f>
        <v>饮料</v>
      </c>
      <c r="E1089" s="67" t="str">
        <f aca="false">IF(INDEX(资金日记账!$N$4:$S$603,90,4)=0,"",INDEX(资金日记账!$N$4:$S$603,90,4))</f>
        <v>其他货币资金</v>
      </c>
      <c r="F1089" s="99" t="str">
        <f aca="false">IF($E1089="","",IFERROR(INDEX(科目表!$A$4:$A$81,MATCH($E1089,科目表!$B$4:$B$81,0)),""))</f>
        <v>1012</v>
      </c>
      <c r="G1089" s="67" t="str">
        <f aca="false">IF($E1089="","",IFERROR(INDEX(科目表!$E$4:$E$81,MATCH($E1089,科目表!$B$4:$B$81,0)),""))</f>
        <v>货币资金</v>
      </c>
      <c r="H1089" s="70" t="n">
        <f aca="false">IF($E1089="","",N(INDEX(资金日记账!$N$4:$S$603,90,5)))</f>
        <v>0</v>
      </c>
      <c r="I1089" s="70" t="n">
        <f aca="false">IF($E1089="","",N(INDEX(资金日记账!$N$4:$S$603,90,6)))</f>
        <v>15</v>
      </c>
      <c r="J1089" s="67" t="n">
        <f aca="false">IF($E1089="","",INDEX(资金日记账!$E$4:$E$603,90))</f>
        <v>0</v>
      </c>
      <c r="K1089" s="67" t="n">
        <f aca="false">IF($E1089="","",INDEX(资金日记账!$F$4:$F$603,90))</f>
        <v>0</v>
      </c>
      <c r="L1089" s="107" t="n">
        <f aca="false">IF($E1089="","",INDEX(资金日记账!$X$4:$X$603,90))</f>
        <v>0</v>
      </c>
      <c r="M1089" s="107"/>
      <c r="N1089" s="67" t="n">
        <f aca="false">IF($E1089="","",INDEX(资金日记账!$Y$4:$Y$603,90))</f>
        <v>0</v>
      </c>
      <c r="O1089" s="67" t="str">
        <f aca="false">IF($E1089="","","自动B")</f>
        <v>自动B</v>
      </c>
      <c r="P1089" s="18"/>
    </row>
    <row r="1090" customFormat="false" ht="18" hidden="false" customHeight="true" outlineLevel="0" collapsed="false">
      <c r="A1090" s="107" t="n">
        <f aca="false">IF($E1090="","",ROW()-3)</f>
        <v>1087</v>
      </c>
      <c r="B1090" s="110" t="n">
        <f aca="false">IF($E1090="","",INDEX(资金日记账!$B$4:$B$603,91))</f>
        <v>46282</v>
      </c>
      <c r="C1090" s="67" t="str">
        <f aca="false">IF($E1090="","",IF(INDEX(资金日记账!$W$4:$W$603,91)="","记-"&amp;TEXT($B1090,"YYYYMM")&amp;"-资金",INDEX(资金日记账!$W$4:$W$603,91)))</f>
        <v>记-202609-资金</v>
      </c>
      <c r="D1090" s="107" t="n">
        <f aca="false">IF($E1090="","",INDEX(资金日记账!$D$4:$D$603,91))</f>
        <v>0</v>
      </c>
      <c r="E1090" s="67" t="str">
        <f aca="false">IF(INDEX(资金日记账!$N$4:$S$603,91,1)=0,"",INDEX(资金日记账!$N$4:$S$603,91,1))</f>
        <v>管理费用</v>
      </c>
      <c r="F1090" s="99" t="str">
        <f aca="false">IF($E1090="","",IFERROR(INDEX(科目表!$A$4:$A$81,MATCH($E1090,科目表!$B$4:$B$81,0)),""))</f>
        <v>5602</v>
      </c>
      <c r="G1090" s="67" t="str">
        <f aca="false">IF($E1090="","",IFERROR(INDEX(科目表!$E$4:$E$81,MATCH($E1090,科目表!$B$4:$B$81,0)),""))</f>
        <v>管理费用</v>
      </c>
      <c r="H1090" s="70" t="n">
        <f aca="false">IF($E1090="","",N(INDEX(资金日记账!$N$4:$S$603,91,2)))</f>
        <v>32.85</v>
      </c>
      <c r="I1090" s="70" t="n">
        <f aca="false">IF($E1090="","",N(INDEX(资金日记账!$N$4:$S$603,91,3)))</f>
        <v>0</v>
      </c>
      <c r="J1090" s="67" t="n">
        <f aca="false">IF($E1090="","",INDEX(资金日记账!$E$4:$E$603,91))</f>
        <v>0</v>
      </c>
      <c r="K1090" s="67" t="n">
        <f aca="false">IF($E1090="","",INDEX(资金日记账!$F$4:$F$603,91))</f>
        <v>0</v>
      </c>
      <c r="L1090" s="107" t="n">
        <f aca="false">IF($E1090="","",INDEX(资金日记账!$X$4:$X$603,91))</f>
        <v>0</v>
      </c>
      <c r="M1090" s="107"/>
      <c r="N1090" s="67" t="n">
        <f aca="false">IF($E1090="","",INDEX(资金日记账!$Y$4:$Y$603,91))</f>
        <v>0</v>
      </c>
      <c r="O1090" s="67" t="str">
        <f aca="false">IF($E1090="","","自动B")</f>
        <v>自动B</v>
      </c>
      <c r="P1090" s="18"/>
    </row>
    <row r="1091" customFormat="false" ht="18" hidden="false" customHeight="true" outlineLevel="0" collapsed="false">
      <c r="A1091" s="107" t="n">
        <f aca="false">IF($E1091="","",ROW()-3)</f>
        <v>1088</v>
      </c>
      <c r="B1091" s="110" t="n">
        <f aca="false">IF($E1091="","",INDEX(资金日记账!$B$4:$B$603,91))</f>
        <v>46282</v>
      </c>
      <c r="C1091" s="67" t="str">
        <f aca="false">IF($E1091="","",IF(INDEX(资金日记账!$W$4:$W$603,91)="","记-"&amp;TEXT($B1091,"YYYYMM")&amp;"-资金",INDEX(资金日记账!$W$4:$W$603,91)))</f>
        <v>记-202609-资金</v>
      </c>
      <c r="D1091" s="107" t="n">
        <f aca="false">IF($E1091="","",INDEX(资金日记账!$D$4:$D$603,91))</f>
        <v>0</v>
      </c>
      <c r="E1091" s="67" t="str">
        <f aca="false">IF(INDEX(资金日记账!$N$4:$S$603,91,4)=0,"",INDEX(资金日记账!$N$4:$S$603,91,4))</f>
        <v>其他货币资金</v>
      </c>
      <c r="F1091" s="99" t="str">
        <f aca="false">IF($E1091="","",IFERROR(INDEX(科目表!$A$4:$A$81,MATCH($E1091,科目表!$B$4:$B$81,0)),""))</f>
        <v>1012</v>
      </c>
      <c r="G1091" s="67" t="str">
        <f aca="false">IF($E1091="","",IFERROR(INDEX(科目表!$E$4:$E$81,MATCH($E1091,科目表!$B$4:$B$81,0)),""))</f>
        <v>货币资金</v>
      </c>
      <c r="H1091" s="70" t="n">
        <f aca="false">IF($E1091="","",N(INDEX(资金日记账!$N$4:$S$603,91,5)))</f>
        <v>0</v>
      </c>
      <c r="I1091" s="70" t="n">
        <f aca="false">IF($E1091="","",N(INDEX(资金日记账!$N$4:$S$603,91,6)))</f>
        <v>32.85</v>
      </c>
      <c r="J1091" s="67" t="n">
        <f aca="false">IF($E1091="","",INDEX(资金日记账!$E$4:$E$603,91))</f>
        <v>0</v>
      </c>
      <c r="K1091" s="67" t="n">
        <f aca="false">IF($E1091="","",INDEX(资金日记账!$F$4:$F$603,91))</f>
        <v>0</v>
      </c>
      <c r="L1091" s="107" t="n">
        <f aca="false">IF($E1091="","",INDEX(资金日记账!$X$4:$X$603,91))</f>
        <v>0</v>
      </c>
      <c r="M1091" s="107"/>
      <c r="N1091" s="67" t="n">
        <f aca="false">IF($E1091="","",INDEX(资金日记账!$Y$4:$Y$603,91))</f>
        <v>0</v>
      </c>
      <c r="O1091" s="67" t="str">
        <f aca="false">IF($E1091="","","自动B")</f>
        <v>自动B</v>
      </c>
      <c r="P1091" s="18"/>
    </row>
    <row r="1092" customFormat="false" ht="18" hidden="false" customHeight="true" outlineLevel="0" collapsed="false">
      <c r="A1092" s="107" t="n">
        <f aca="false">IF($E1092="","",ROW()-3)</f>
        <v>1089</v>
      </c>
      <c r="B1092" s="110" t="n">
        <f aca="false">IF($E1092="","",INDEX(资金日记账!$B$4:$B$603,92))</f>
        <v>46267</v>
      </c>
      <c r="C1092" s="67" t="str">
        <f aca="false">IF($E1092="","",IF(INDEX(资金日记账!$W$4:$W$603,92)="","记-"&amp;TEXT($B1092,"YYYYMM")&amp;"-资金",INDEX(资金日记账!$W$4:$W$603,92)))</f>
        <v>记-202609-资金</v>
      </c>
      <c r="D1092" s="107" t="n">
        <f aca="false">IF($E1092="","",INDEX(资金日记账!$D$4:$D$603,92))</f>
        <v>0</v>
      </c>
      <c r="E1092" s="67" t="str">
        <f aca="false">IF(INDEX(资金日记账!$N$4:$S$603,92,1)=0,"",INDEX(资金日记账!$N$4:$S$603,92,1))</f>
        <v>管理费用</v>
      </c>
      <c r="F1092" s="99" t="str">
        <f aca="false">IF($E1092="","",IFERROR(INDEX(科目表!$A$4:$A$81,MATCH($E1092,科目表!$B$4:$B$81,0)),""))</f>
        <v>5602</v>
      </c>
      <c r="G1092" s="67" t="str">
        <f aca="false">IF($E1092="","",IFERROR(INDEX(科目表!$E$4:$E$81,MATCH($E1092,科目表!$B$4:$B$81,0)),""))</f>
        <v>管理费用</v>
      </c>
      <c r="H1092" s="70" t="n">
        <f aca="false">IF($E1092="","",N(INDEX(资金日记账!$N$4:$S$603,92,2)))</f>
        <v>700</v>
      </c>
      <c r="I1092" s="70" t="n">
        <f aca="false">IF($E1092="","",N(INDEX(资金日记账!$N$4:$S$603,92,3)))</f>
        <v>0</v>
      </c>
      <c r="J1092" s="67" t="n">
        <f aca="false">IF($E1092="","",INDEX(资金日记账!$E$4:$E$603,92))</f>
        <v>0</v>
      </c>
      <c r="K1092" s="67" t="n">
        <f aca="false">IF($E1092="","",INDEX(资金日记账!$F$4:$F$603,92))</f>
        <v>0</v>
      </c>
      <c r="L1092" s="107" t="n">
        <f aca="false">IF($E1092="","",INDEX(资金日记账!$X$4:$X$603,92))</f>
        <v>0</v>
      </c>
      <c r="M1092" s="107"/>
      <c r="N1092" s="67" t="n">
        <f aca="false">IF($E1092="","",INDEX(资金日记账!$Y$4:$Y$603,92))</f>
        <v>0</v>
      </c>
      <c r="O1092" s="67" t="str">
        <f aca="false">IF($E1092="","","自动B")</f>
        <v>自动B</v>
      </c>
      <c r="P1092" s="18"/>
    </row>
    <row r="1093" customFormat="false" ht="18" hidden="false" customHeight="true" outlineLevel="0" collapsed="false">
      <c r="A1093" s="107" t="n">
        <f aca="false">IF($E1093="","",ROW()-3)</f>
        <v>1090</v>
      </c>
      <c r="B1093" s="110" t="n">
        <f aca="false">IF($E1093="","",INDEX(资金日记账!$B$4:$B$603,92))</f>
        <v>46267</v>
      </c>
      <c r="C1093" s="67" t="str">
        <f aca="false">IF($E1093="","",IF(INDEX(资金日记账!$W$4:$W$603,92)="","记-"&amp;TEXT($B1093,"YYYYMM")&amp;"-资金",INDEX(资金日记账!$W$4:$W$603,92)))</f>
        <v>记-202609-资金</v>
      </c>
      <c r="D1093" s="107" t="n">
        <f aca="false">IF($E1093="","",INDEX(资金日记账!$D$4:$D$603,92))</f>
        <v>0</v>
      </c>
      <c r="E1093" s="67" t="str">
        <f aca="false">IF(INDEX(资金日记账!$N$4:$S$603,92,4)=0,"",INDEX(资金日记账!$N$4:$S$603,92,4))</f>
        <v>其他货币资金</v>
      </c>
      <c r="F1093" s="99" t="str">
        <f aca="false">IF($E1093="","",IFERROR(INDEX(科目表!$A$4:$A$81,MATCH($E1093,科目表!$B$4:$B$81,0)),""))</f>
        <v>1012</v>
      </c>
      <c r="G1093" s="67" t="str">
        <f aca="false">IF($E1093="","",IFERROR(INDEX(科目表!$E$4:$E$81,MATCH($E1093,科目表!$B$4:$B$81,0)),""))</f>
        <v>货币资金</v>
      </c>
      <c r="H1093" s="70" t="n">
        <f aca="false">IF($E1093="","",N(INDEX(资金日记账!$N$4:$S$603,92,5)))</f>
        <v>0</v>
      </c>
      <c r="I1093" s="70" t="n">
        <f aca="false">IF($E1093="","",N(INDEX(资金日记账!$N$4:$S$603,92,6)))</f>
        <v>700</v>
      </c>
      <c r="J1093" s="67" t="n">
        <f aca="false">IF($E1093="","",INDEX(资金日记账!$E$4:$E$603,92))</f>
        <v>0</v>
      </c>
      <c r="K1093" s="67" t="n">
        <f aca="false">IF($E1093="","",INDEX(资金日记账!$F$4:$F$603,92))</f>
        <v>0</v>
      </c>
      <c r="L1093" s="107" t="n">
        <f aca="false">IF($E1093="","",INDEX(资金日记账!$X$4:$X$603,92))</f>
        <v>0</v>
      </c>
      <c r="M1093" s="107"/>
      <c r="N1093" s="67" t="n">
        <f aca="false">IF($E1093="","",INDEX(资金日记账!$Y$4:$Y$603,92))</f>
        <v>0</v>
      </c>
      <c r="O1093" s="67" t="str">
        <f aca="false">IF($E1093="","","自动B")</f>
        <v>自动B</v>
      </c>
      <c r="P1093" s="18"/>
    </row>
    <row r="1094" customFormat="false" ht="18" hidden="false" customHeight="true" outlineLevel="0" collapsed="false">
      <c r="A1094" s="107" t="n">
        <f aca="false">IF($E1094="","",ROW()-3)</f>
        <v>1091</v>
      </c>
      <c r="B1094" s="110" t="n">
        <f aca="false">IF($E1094="","",INDEX(资金日记账!$B$4:$B$603,93))</f>
        <v>46267</v>
      </c>
      <c r="C1094" s="67" t="str">
        <f aca="false">IF($E1094="","",IF(INDEX(资金日记账!$W$4:$W$603,93)="","记-"&amp;TEXT($B1094,"YYYYMM")&amp;"-资金",INDEX(资金日记账!$W$4:$W$603,93)))</f>
        <v>记-202609-资金</v>
      </c>
      <c r="D1094" s="107" t="str">
        <f aca="false">IF($E1094="","",INDEX(资金日记账!$D$4:$D$603,93))</f>
        <v>贾建国定金</v>
      </c>
      <c r="E1094" s="67" t="str">
        <f aca="false">IF(INDEX(资金日记账!$N$4:$S$603,93,1)=0,"",INDEX(资金日记账!$N$4:$S$603,93,1))</f>
        <v>其他货币资金</v>
      </c>
      <c r="F1094" s="99" t="str">
        <f aca="false">IF($E1094="","",IFERROR(INDEX(科目表!$A$4:$A$81,MATCH($E1094,科目表!$B$4:$B$81,0)),""))</f>
        <v>1012</v>
      </c>
      <c r="G1094" s="67" t="str">
        <f aca="false">IF($E1094="","",IFERROR(INDEX(科目表!$E$4:$E$81,MATCH($E1094,科目表!$B$4:$B$81,0)),""))</f>
        <v>货币资金</v>
      </c>
      <c r="H1094" s="70" t="n">
        <f aca="false">IF($E1094="","",N(INDEX(资金日记账!$N$4:$S$603,93,2)))</f>
        <v>2000</v>
      </c>
      <c r="I1094" s="70" t="n">
        <f aca="false">IF($E1094="","",N(INDEX(资金日记账!$N$4:$S$603,93,3)))</f>
        <v>0</v>
      </c>
      <c r="J1094" s="67" t="str">
        <f aca="false">IF($E1094="","",INDEX(资金日记账!$E$4:$E$603,93))</f>
        <v>贾建国</v>
      </c>
      <c r="K1094" s="67" t="str">
        <f aca="false">IF($E1094="","",INDEX(资金日记账!$F$4:$F$603,93))</f>
        <v>租库定金</v>
      </c>
      <c r="L1094" s="107" t="n">
        <f aca="false">IF($E1094="","",INDEX(资金日记账!$X$4:$X$603,93))</f>
        <v>0</v>
      </c>
      <c r="M1094" s="107"/>
      <c r="N1094" s="67" t="n">
        <f aca="false">IF($E1094="","",INDEX(资金日记账!$Y$4:$Y$603,93))</f>
        <v>0</v>
      </c>
      <c r="O1094" s="67" t="str">
        <f aca="false">IF($E1094="","","自动B")</f>
        <v>自动B</v>
      </c>
      <c r="P1094" s="18"/>
    </row>
    <row r="1095" customFormat="false" ht="18" hidden="false" customHeight="true" outlineLevel="0" collapsed="false">
      <c r="A1095" s="107" t="n">
        <f aca="false">IF($E1095="","",ROW()-3)</f>
        <v>1092</v>
      </c>
      <c r="B1095" s="110" t="n">
        <f aca="false">IF($E1095="","",INDEX(资金日记账!$B$4:$B$603,93))</f>
        <v>46267</v>
      </c>
      <c r="C1095" s="67" t="str">
        <f aca="false">IF($E1095="","",IF(INDEX(资金日记账!$W$4:$W$603,93)="","记-"&amp;TEXT($B1095,"YYYYMM")&amp;"-资金",INDEX(资金日记账!$W$4:$W$603,93)))</f>
        <v>记-202609-资金</v>
      </c>
      <c r="D1095" s="107" t="str">
        <f aca="false">IF($E1095="","",INDEX(资金日记账!$D$4:$D$603,93))</f>
        <v>贾建国定金</v>
      </c>
      <c r="E1095" s="67" t="str">
        <f aca="false">IF(INDEX(资金日记账!$N$4:$S$603,93,4)=0,"",INDEX(资金日记账!$N$4:$S$603,93,4))</f>
        <v>预付账款</v>
      </c>
      <c r="F1095" s="99" t="str">
        <f aca="false">IF($E1095="","",IFERROR(INDEX(科目表!$A$4:$A$81,MATCH($E1095,科目表!$B$4:$B$81,0)),""))</f>
        <v>1123</v>
      </c>
      <c r="G1095" s="67" t="str">
        <f aca="false">IF($E1095="","",IFERROR(INDEX(科目表!$E$4:$E$81,MATCH($E1095,科目表!$B$4:$B$81,0)),""))</f>
        <v>预付款项</v>
      </c>
      <c r="H1095" s="70" t="n">
        <f aca="false">IF($E1095="","",N(INDEX(资金日记账!$N$4:$S$603,93,5)))</f>
        <v>0</v>
      </c>
      <c r="I1095" s="70" t="n">
        <f aca="false">IF($E1095="","",N(INDEX(资金日记账!$N$4:$S$603,93,6)))</f>
        <v>2000</v>
      </c>
      <c r="J1095" s="67" t="str">
        <f aca="false">IF($E1095="","",INDEX(资金日记账!$E$4:$E$603,93))</f>
        <v>贾建国</v>
      </c>
      <c r="K1095" s="67" t="str">
        <f aca="false">IF($E1095="","",INDEX(资金日记账!$F$4:$F$603,93))</f>
        <v>租库定金</v>
      </c>
      <c r="L1095" s="107" t="n">
        <f aca="false">IF($E1095="","",INDEX(资金日记账!$X$4:$X$603,93))</f>
        <v>0</v>
      </c>
      <c r="M1095" s="107"/>
      <c r="N1095" s="67" t="n">
        <f aca="false">IF($E1095="","",INDEX(资金日记账!$Y$4:$Y$603,93))</f>
        <v>0</v>
      </c>
      <c r="O1095" s="67" t="str">
        <f aca="false">IF($E1095="","","自动B")</f>
        <v>自动B</v>
      </c>
      <c r="P1095" s="18"/>
    </row>
    <row r="1096" customFormat="false" ht="18" hidden="false" customHeight="true" outlineLevel="0" collapsed="false">
      <c r="A1096" s="107" t="n">
        <f aca="false">IF($E1096="","",ROW()-3)</f>
        <v>1093</v>
      </c>
      <c r="B1096" s="110" t="n">
        <f aca="false">IF($E1096="","",INDEX(资金日记账!$B$4:$B$603,94))</f>
        <v>46267</v>
      </c>
      <c r="C1096" s="67" t="str">
        <f aca="false">IF($E1096="","",IF(INDEX(资金日记账!$W$4:$W$603,94)="","记-"&amp;TEXT($B1096,"YYYYMM")&amp;"-资金",INDEX(资金日记账!$W$4:$W$603,94)))</f>
        <v>记-202609-资金</v>
      </c>
      <c r="D1096" s="107" t="str">
        <f aca="false">IF($E1096="","",INDEX(资金日记账!$D$4:$D$603,94))</f>
        <v>艾和买提定金</v>
      </c>
      <c r="E1096" s="67" t="str">
        <f aca="false">IF(INDEX(资金日记账!$N$4:$S$603,94,1)=0,"",INDEX(资金日记账!$N$4:$S$603,94,1))</f>
        <v>其他货币资金</v>
      </c>
      <c r="F1096" s="99" t="str">
        <f aca="false">IF($E1096="","",IFERROR(INDEX(科目表!$A$4:$A$81,MATCH($E1096,科目表!$B$4:$B$81,0)),""))</f>
        <v>1012</v>
      </c>
      <c r="G1096" s="67" t="str">
        <f aca="false">IF($E1096="","",IFERROR(INDEX(科目表!$E$4:$E$81,MATCH($E1096,科目表!$B$4:$B$81,0)),""))</f>
        <v>货币资金</v>
      </c>
      <c r="H1096" s="70" t="n">
        <f aca="false">IF($E1096="","",N(INDEX(资金日记账!$N$4:$S$603,94,2)))</f>
        <v>3000</v>
      </c>
      <c r="I1096" s="70" t="n">
        <f aca="false">IF($E1096="","",N(INDEX(资金日记账!$N$4:$S$603,94,3)))</f>
        <v>0</v>
      </c>
      <c r="J1096" s="67" t="n">
        <f aca="false">IF($E1096="","",INDEX(资金日记账!$E$4:$E$603,94))</f>
        <v>0</v>
      </c>
      <c r="K1096" s="67" t="str">
        <f aca="false">IF($E1096="","",INDEX(资金日记账!$F$4:$F$603,94))</f>
        <v>押金收取</v>
      </c>
      <c r="L1096" s="107" t="n">
        <f aca="false">IF($E1096="","",INDEX(资金日记账!$X$4:$X$603,94))</f>
        <v>0</v>
      </c>
      <c r="M1096" s="107"/>
      <c r="N1096" s="67" t="n">
        <f aca="false">IF($E1096="","",INDEX(资金日记账!$Y$4:$Y$603,94))</f>
        <v>0</v>
      </c>
      <c r="O1096" s="67" t="str">
        <f aca="false">IF($E1096="","","自动B")</f>
        <v>自动B</v>
      </c>
      <c r="P1096" s="18"/>
    </row>
    <row r="1097" customFormat="false" ht="18" hidden="false" customHeight="true" outlineLevel="0" collapsed="false">
      <c r="A1097" s="107" t="n">
        <f aca="false">IF($E1097="","",ROW()-3)</f>
        <v>1094</v>
      </c>
      <c r="B1097" s="110" t="n">
        <f aca="false">IF($E1097="","",INDEX(资金日记账!$B$4:$B$603,94))</f>
        <v>46267</v>
      </c>
      <c r="C1097" s="67" t="str">
        <f aca="false">IF($E1097="","",IF(INDEX(资金日记账!$W$4:$W$603,94)="","记-"&amp;TEXT($B1097,"YYYYMM")&amp;"-资金",INDEX(资金日记账!$W$4:$W$603,94)))</f>
        <v>记-202609-资金</v>
      </c>
      <c r="D1097" s="107" t="str">
        <f aca="false">IF($E1097="","",INDEX(资金日记账!$D$4:$D$603,94))</f>
        <v>艾和买提定金</v>
      </c>
      <c r="E1097" s="67" t="str">
        <f aca="false">IF(INDEX(资金日记账!$N$4:$S$603,94,4)=0,"",INDEX(资金日记账!$N$4:$S$603,94,4))</f>
        <v>其他应付款</v>
      </c>
      <c r="F1097" s="99" t="str">
        <f aca="false">IF($E1097="","",IFERROR(INDEX(科目表!$A$4:$A$81,MATCH($E1097,科目表!$B$4:$B$81,0)),""))</f>
        <v>2241</v>
      </c>
      <c r="G1097" s="67" t="str">
        <f aca="false">IF($E1097="","",IFERROR(INDEX(科目表!$E$4:$E$81,MATCH($E1097,科目表!$B$4:$B$81,0)),""))</f>
        <v>其他应付款</v>
      </c>
      <c r="H1097" s="70" t="n">
        <f aca="false">IF($E1097="","",N(INDEX(资金日记账!$N$4:$S$603,94,5)))</f>
        <v>0</v>
      </c>
      <c r="I1097" s="70" t="n">
        <f aca="false">IF($E1097="","",N(INDEX(资金日记账!$N$4:$S$603,94,6)))</f>
        <v>3000</v>
      </c>
      <c r="J1097" s="67" t="n">
        <f aca="false">IF($E1097="","",INDEX(资金日记账!$E$4:$E$603,94))</f>
        <v>0</v>
      </c>
      <c r="K1097" s="67" t="str">
        <f aca="false">IF($E1097="","",INDEX(资金日记账!$F$4:$F$603,94))</f>
        <v>押金收取</v>
      </c>
      <c r="L1097" s="107" t="n">
        <f aca="false">IF($E1097="","",INDEX(资金日记账!$X$4:$X$603,94))</f>
        <v>0</v>
      </c>
      <c r="M1097" s="107"/>
      <c r="N1097" s="67" t="n">
        <f aca="false">IF($E1097="","",INDEX(资金日记账!$Y$4:$Y$603,94))</f>
        <v>0</v>
      </c>
      <c r="O1097" s="67" t="str">
        <f aca="false">IF($E1097="","","自动B")</f>
        <v>自动B</v>
      </c>
      <c r="P1097" s="18"/>
    </row>
    <row r="1098" customFormat="false" ht="18" hidden="false" customHeight="true" outlineLevel="0" collapsed="false">
      <c r="A1098" s="107" t="n">
        <f aca="false">IF($E1098="","",ROW()-3)</f>
        <v>1095</v>
      </c>
      <c r="B1098" s="110" t="n">
        <f aca="false">IF($E1098="","",INDEX(资金日记账!$B$4:$B$603,95))</f>
        <v>46267</v>
      </c>
      <c r="C1098" s="67" t="str">
        <f aca="false">IF($E1098="","",IF(INDEX(资金日记账!$W$4:$W$603,95)="","记-"&amp;TEXT($B1098,"YYYYMM")&amp;"-资金",INDEX(资金日记账!$W$4:$W$603,95)))</f>
        <v>记-202609-资金</v>
      </c>
      <c r="D1098" s="107" t="str">
        <f aca="false">IF($E1098="","",INDEX(资金日记账!$D$4:$D$603,95))</f>
        <v>卡哈尔江定金</v>
      </c>
      <c r="E1098" s="67" t="str">
        <f aca="false">IF(INDEX(资金日记账!$N$4:$S$603,95,1)=0,"",INDEX(资金日记账!$N$4:$S$603,95,1))</f>
        <v>其他货币资金</v>
      </c>
      <c r="F1098" s="99" t="str">
        <f aca="false">IF($E1098="","",IFERROR(INDEX(科目表!$A$4:$A$81,MATCH($E1098,科目表!$B$4:$B$81,0)),""))</f>
        <v>1012</v>
      </c>
      <c r="G1098" s="67" t="str">
        <f aca="false">IF($E1098="","",IFERROR(INDEX(科目表!$E$4:$E$81,MATCH($E1098,科目表!$B$4:$B$81,0)),""))</f>
        <v>货币资金</v>
      </c>
      <c r="H1098" s="70" t="n">
        <f aca="false">IF($E1098="","",N(INDEX(资金日记账!$N$4:$S$603,95,2)))</f>
        <v>2000</v>
      </c>
      <c r="I1098" s="70" t="n">
        <f aca="false">IF($E1098="","",N(INDEX(资金日记账!$N$4:$S$603,95,3)))</f>
        <v>0</v>
      </c>
      <c r="J1098" s="67" t="n">
        <f aca="false">IF($E1098="","",INDEX(资金日记账!$E$4:$E$603,95))</f>
        <v>0</v>
      </c>
      <c r="K1098" s="67" t="str">
        <f aca="false">IF($E1098="","",INDEX(资金日记账!$F$4:$F$603,95))</f>
        <v>押金收取</v>
      </c>
      <c r="L1098" s="107" t="n">
        <f aca="false">IF($E1098="","",INDEX(资金日记账!$X$4:$X$603,95))</f>
        <v>0</v>
      </c>
      <c r="M1098" s="107"/>
      <c r="N1098" s="67" t="n">
        <f aca="false">IF($E1098="","",INDEX(资金日记账!$Y$4:$Y$603,95))</f>
        <v>0</v>
      </c>
      <c r="O1098" s="67" t="str">
        <f aca="false">IF($E1098="","","自动B")</f>
        <v>自动B</v>
      </c>
      <c r="P1098" s="18"/>
    </row>
    <row r="1099" customFormat="false" ht="18" hidden="false" customHeight="true" outlineLevel="0" collapsed="false">
      <c r="A1099" s="107" t="n">
        <f aca="false">IF($E1099="","",ROW()-3)</f>
        <v>1096</v>
      </c>
      <c r="B1099" s="110" t="n">
        <f aca="false">IF($E1099="","",INDEX(资金日记账!$B$4:$B$603,95))</f>
        <v>46267</v>
      </c>
      <c r="C1099" s="67" t="str">
        <f aca="false">IF($E1099="","",IF(INDEX(资金日记账!$W$4:$W$603,95)="","记-"&amp;TEXT($B1099,"YYYYMM")&amp;"-资金",INDEX(资金日记账!$W$4:$W$603,95)))</f>
        <v>记-202609-资金</v>
      </c>
      <c r="D1099" s="107" t="str">
        <f aca="false">IF($E1099="","",INDEX(资金日记账!$D$4:$D$603,95))</f>
        <v>卡哈尔江定金</v>
      </c>
      <c r="E1099" s="67" t="str">
        <f aca="false">IF(INDEX(资金日记账!$N$4:$S$603,95,4)=0,"",INDEX(资金日记账!$N$4:$S$603,95,4))</f>
        <v>其他应付款</v>
      </c>
      <c r="F1099" s="99" t="str">
        <f aca="false">IF($E1099="","",IFERROR(INDEX(科目表!$A$4:$A$81,MATCH($E1099,科目表!$B$4:$B$81,0)),""))</f>
        <v>2241</v>
      </c>
      <c r="G1099" s="67" t="str">
        <f aca="false">IF($E1099="","",IFERROR(INDEX(科目表!$E$4:$E$81,MATCH($E1099,科目表!$B$4:$B$81,0)),""))</f>
        <v>其他应付款</v>
      </c>
      <c r="H1099" s="70" t="n">
        <f aca="false">IF($E1099="","",N(INDEX(资金日记账!$N$4:$S$603,95,5)))</f>
        <v>0</v>
      </c>
      <c r="I1099" s="70" t="n">
        <f aca="false">IF($E1099="","",N(INDEX(资金日记账!$N$4:$S$603,95,6)))</f>
        <v>2000</v>
      </c>
      <c r="J1099" s="67" t="n">
        <f aca="false">IF($E1099="","",INDEX(资金日记账!$E$4:$E$603,95))</f>
        <v>0</v>
      </c>
      <c r="K1099" s="67" t="str">
        <f aca="false">IF($E1099="","",INDEX(资金日记账!$F$4:$F$603,95))</f>
        <v>押金收取</v>
      </c>
      <c r="L1099" s="107" t="n">
        <f aca="false">IF($E1099="","",INDEX(资金日记账!$X$4:$X$603,95))</f>
        <v>0</v>
      </c>
      <c r="M1099" s="107"/>
      <c r="N1099" s="67" t="n">
        <f aca="false">IF($E1099="","",INDEX(资金日记账!$Y$4:$Y$603,95))</f>
        <v>0</v>
      </c>
      <c r="O1099" s="67" t="str">
        <f aca="false">IF($E1099="","","自动B")</f>
        <v>自动B</v>
      </c>
      <c r="P1099" s="18"/>
    </row>
    <row r="1100" customFormat="false" ht="18" hidden="false" customHeight="true" outlineLevel="0" collapsed="false">
      <c r="A1100" s="107" t="n">
        <f aca="false">IF($E1100="","",ROW()-3)</f>
        <v>1097</v>
      </c>
      <c r="B1100" s="110" t="n">
        <f aca="false">IF($E1100="","",INDEX(资金日记账!$B$4:$B$603,96))</f>
        <v>46268</v>
      </c>
      <c r="C1100" s="67" t="str">
        <f aca="false">IF($E1100="","",IF(INDEX(资金日记账!$W$4:$W$603,96)="","记-"&amp;TEXT($B1100,"YYYYMM")&amp;"-资金",INDEX(资金日记账!$W$4:$W$603,96)))</f>
        <v>记-202609-资金</v>
      </c>
      <c r="D1100" s="107" t="str">
        <f aca="false">IF($E1100="","",INDEX(资金日记账!$D$4:$D$603,96))</f>
        <v>王灵云定金</v>
      </c>
      <c r="E1100" s="67" t="str">
        <f aca="false">IF(INDEX(资金日记账!$N$4:$S$603,96,1)=0,"",INDEX(资金日记账!$N$4:$S$603,96,1))</f>
        <v>其他货币资金</v>
      </c>
      <c r="F1100" s="99" t="str">
        <f aca="false">IF($E1100="","",IFERROR(INDEX(科目表!$A$4:$A$81,MATCH($E1100,科目表!$B$4:$B$81,0)),""))</f>
        <v>1012</v>
      </c>
      <c r="G1100" s="67" t="str">
        <f aca="false">IF($E1100="","",IFERROR(INDEX(科目表!$E$4:$E$81,MATCH($E1100,科目表!$B$4:$B$81,0)),""))</f>
        <v>货币资金</v>
      </c>
      <c r="H1100" s="70" t="n">
        <f aca="false">IF($E1100="","",N(INDEX(资金日记账!$N$4:$S$603,96,2)))</f>
        <v>3000</v>
      </c>
      <c r="I1100" s="70" t="n">
        <f aca="false">IF($E1100="","",N(INDEX(资金日记账!$N$4:$S$603,96,3)))</f>
        <v>0</v>
      </c>
      <c r="J1100" s="67" t="str">
        <f aca="false">IF($E1100="","",INDEX(资金日记账!$E$4:$E$603,96))</f>
        <v>王灵云</v>
      </c>
      <c r="K1100" s="67" t="str">
        <f aca="false">IF($E1100="","",INDEX(资金日记账!$F$4:$F$603,96))</f>
        <v>押金收取</v>
      </c>
      <c r="L1100" s="107" t="n">
        <f aca="false">IF($E1100="","",INDEX(资金日记账!$X$4:$X$603,96))</f>
        <v>0</v>
      </c>
      <c r="M1100" s="107"/>
      <c r="N1100" s="67" t="n">
        <f aca="false">IF($E1100="","",INDEX(资金日记账!$Y$4:$Y$603,96))</f>
        <v>0</v>
      </c>
      <c r="O1100" s="67" t="str">
        <f aca="false">IF($E1100="","","自动B")</f>
        <v>自动B</v>
      </c>
      <c r="P1100" s="18"/>
    </row>
    <row r="1101" customFormat="false" ht="18" hidden="false" customHeight="true" outlineLevel="0" collapsed="false">
      <c r="A1101" s="107" t="n">
        <f aca="false">IF($E1101="","",ROW()-3)</f>
        <v>1098</v>
      </c>
      <c r="B1101" s="110" t="n">
        <f aca="false">IF($E1101="","",INDEX(资金日记账!$B$4:$B$603,96))</f>
        <v>46268</v>
      </c>
      <c r="C1101" s="67" t="str">
        <f aca="false">IF($E1101="","",IF(INDEX(资金日记账!$W$4:$W$603,96)="","记-"&amp;TEXT($B1101,"YYYYMM")&amp;"-资金",INDEX(资金日记账!$W$4:$W$603,96)))</f>
        <v>记-202609-资金</v>
      </c>
      <c r="D1101" s="107" t="str">
        <f aca="false">IF($E1101="","",INDEX(资金日记账!$D$4:$D$603,96))</f>
        <v>王灵云定金</v>
      </c>
      <c r="E1101" s="67" t="str">
        <f aca="false">IF(INDEX(资金日记账!$N$4:$S$603,96,4)=0,"",INDEX(资金日记账!$N$4:$S$603,96,4))</f>
        <v>其他应付款</v>
      </c>
      <c r="F1101" s="99" t="str">
        <f aca="false">IF($E1101="","",IFERROR(INDEX(科目表!$A$4:$A$81,MATCH($E1101,科目表!$B$4:$B$81,0)),""))</f>
        <v>2241</v>
      </c>
      <c r="G1101" s="67" t="str">
        <f aca="false">IF($E1101="","",IFERROR(INDEX(科目表!$E$4:$E$81,MATCH($E1101,科目表!$B$4:$B$81,0)),""))</f>
        <v>其他应付款</v>
      </c>
      <c r="H1101" s="70" t="n">
        <f aca="false">IF($E1101="","",N(INDEX(资金日记账!$N$4:$S$603,96,5)))</f>
        <v>0</v>
      </c>
      <c r="I1101" s="70" t="n">
        <f aca="false">IF($E1101="","",N(INDEX(资金日记账!$N$4:$S$603,96,6)))</f>
        <v>3000</v>
      </c>
      <c r="J1101" s="67" t="str">
        <f aca="false">IF($E1101="","",INDEX(资金日记账!$E$4:$E$603,96))</f>
        <v>王灵云</v>
      </c>
      <c r="K1101" s="67" t="str">
        <f aca="false">IF($E1101="","",INDEX(资金日记账!$F$4:$F$603,96))</f>
        <v>押金收取</v>
      </c>
      <c r="L1101" s="107" t="n">
        <f aca="false">IF($E1101="","",INDEX(资金日记账!$X$4:$X$603,96))</f>
        <v>0</v>
      </c>
      <c r="M1101" s="107"/>
      <c r="N1101" s="67" t="n">
        <f aca="false">IF($E1101="","",INDEX(资金日记账!$Y$4:$Y$603,96))</f>
        <v>0</v>
      </c>
      <c r="O1101" s="67" t="str">
        <f aca="false">IF($E1101="","","自动B")</f>
        <v>自动B</v>
      </c>
      <c r="P1101" s="18"/>
    </row>
    <row r="1102" customFormat="false" ht="18" hidden="false" customHeight="true" outlineLevel="0" collapsed="false">
      <c r="A1102" s="107" t="n">
        <f aca="false">IF($E1102="","",ROW()-3)</f>
        <v>1099</v>
      </c>
      <c r="B1102" s="110" t="n">
        <f aca="false">IF($E1102="","",INDEX(资金日记账!$B$4:$B$603,97))</f>
        <v>46269</v>
      </c>
      <c r="C1102" s="67" t="str">
        <f aca="false">IF($E1102="","",IF(INDEX(资金日记账!$W$4:$W$603,97)="","记-"&amp;TEXT($B1102,"YYYYMM")&amp;"-资金",INDEX(资金日记账!$W$4:$W$603,97)))</f>
        <v>记-202609-资金</v>
      </c>
      <c r="D1102" s="107" t="str">
        <f aca="false">IF($E1102="","",INDEX(资金日记账!$D$4:$D$603,97))</f>
        <v>退卡哈尔江</v>
      </c>
      <c r="E1102" s="67" t="str">
        <f aca="false">IF(INDEX(资金日记账!$N$4:$S$603,97,1)=0,"",INDEX(资金日记账!$N$4:$S$603,97,1))</f>
        <v>其他应付款</v>
      </c>
      <c r="F1102" s="99" t="str">
        <f aca="false">IF($E1102="","",IFERROR(INDEX(科目表!$A$4:$A$81,MATCH($E1102,科目表!$B$4:$B$81,0)),""))</f>
        <v>2241</v>
      </c>
      <c r="G1102" s="67" t="str">
        <f aca="false">IF($E1102="","",IFERROR(INDEX(科目表!$E$4:$E$81,MATCH($E1102,科目表!$B$4:$B$81,0)),""))</f>
        <v>其他应付款</v>
      </c>
      <c r="H1102" s="70" t="n">
        <f aca="false">IF($E1102="","",N(INDEX(资金日记账!$N$4:$S$603,97,2)))</f>
        <v>2000</v>
      </c>
      <c r="I1102" s="70" t="n">
        <f aca="false">IF($E1102="","",N(INDEX(资金日记账!$N$4:$S$603,97,3)))</f>
        <v>0</v>
      </c>
      <c r="J1102" s="67" t="n">
        <f aca="false">IF($E1102="","",INDEX(资金日记账!$E$4:$E$603,97))</f>
        <v>0</v>
      </c>
      <c r="K1102" s="67" t="str">
        <f aca="false">IF($E1102="","",INDEX(资金日记账!$F$4:$F$603,97))</f>
        <v>押金退还</v>
      </c>
      <c r="L1102" s="107" t="n">
        <f aca="false">IF($E1102="","",INDEX(资金日记账!$X$4:$X$603,97))</f>
        <v>0</v>
      </c>
      <c r="M1102" s="107"/>
      <c r="N1102" s="67" t="n">
        <f aca="false">IF($E1102="","",INDEX(资金日记账!$Y$4:$Y$603,97))</f>
        <v>0</v>
      </c>
      <c r="O1102" s="67" t="str">
        <f aca="false">IF($E1102="","","自动B")</f>
        <v>自动B</v>
      </c>
      <c r="P1102" s="18"/>
    </row>
    <row r="1103" customFormat="false" ht="18" hidden="false" customHeight="true" outlineLevel="0" collapsed="false">
      <c r="A1103" s="107" t="n">
        <f aca="false">IF($E1103="","",ROW()-3)</f>
        <v>1100</v>
      </c>
      <c r="B1103" s="110" t="n">
        <f aca="false">IF($E1103="","",INDEX(资金日记账!$B$4:$B$603,97))</f>
        <v>46269</v>
      </c>
      <c r="C1103" s="67" t="str">
        <f aca="false">IF($E1103="","",IF(INDEX(资金日记账!$W$4:$W$603,97)="","记-"&amp;TEXT($B1103,"YYYYMM")&amp;"-资金",INDEX(资金日记账!$W$4:$W$603,97)))</f>
        <v>记-202609-资金</v>
      </c>
      <c r="D1103" s="107" t="str">
        <f aca="false">IF($E1103="","",INDEX(资金日记账!$D$4:$D$603,97))</f>
        <v>退卡哈尔江</v>
      </c>
      <c r="E1103" s="67" t="str">
        <f aca="false">IF(INDEX(资金日记账!$N$4:$S$603,97,4)=0,"",INDEX(资金日记账!$N$4:$S$603,97,4))</f>
        <v>其他货币资金</v>
      </c>
      <c r="F1103" s="99" t="str">
        <f aca="false">IF($E1103="","",IFERROR(INDEX(科目表!$A$4:$A$81,MATCH($E1103,科目表!$B$4:$B$81,0)),""))</f>
        <v>1012</v>
      </c>
      <c r="G1103" s="67" t="str">
        <f aca="false">IF($E1103="","",IFERROR(INDEX(科目表!$E$4:$E$81,MATCH($E1103,科目表!$B$4:$B$81,0)),""))</f>
        <v>货币资金</v>
      </c>
      <c r="H1103" s="70" t="n">
        <f aca="false">IF($E1103="","",N(INDEX(资金日记账!$N$4:$S$603,97,5)))</f>
        <v>0</v>
      </c>
      <c r="I1103" s="70" t="n">
        <f aca="false">IF($E1103="","",N(INDEX(资金日记账!$N$4:$S$603,97,6)))</f>
        <v>2000</v>
      </c>
      <c r="J1103" s="67" t="n">
        <f aca="false">IF($E1103="","",INDEX(资金日记账!$E$4:$E$603,97))</f>
        <v>0</v>
      </c>
      <c r="K1103" s="67" t="str">
        <f aca="false">IF($E1103="","",INDEX(资金日记账!$F$4:$F$603,97))</f>
        <v>押金退还</v>
      </c>
      <c r="L1103" s="107" t="n">
        <f aca="false">IF($E1103="","",INDEX(资金日记账!$X$4:$X$603,97))</f>
        <v>0</v>
      </c>
      <c r="M1103" s="107"/>
      <c r="N1103" s="67" t="n">
        <f aca="false">IF($E1103="","",INDEX(资金日记账!$Y$4:$Y$603,97))</f>
        <v>0</v>
      </c>
      <c r="O1103" s="67" t="str">
        <f aca="false">IF($E1103="","","自动B")</f>
        <v>自动B</v>
      </c>
      <c r="P1103" s="18"/>
    </row>
    <row r="1104" customFormat="false" ht="18" hidden="false" customHeight="true" outlineLevel="0" collapsed="false">
      <c r="A1104" s="107" t="n">
        <f aca="false">IF($E1104="","",ROW()-3)</f>
        <v>1101</v>
      </c>
      <c r="B1104" s="110" t="n">
        <f aca="false">IF($E1104="","",INDEX(资金日记账!$B$4:$B$603,98))</f>
        <v>46270</v>
      </c>
      <c r="C1104" s="67" t="str">
        <f aca="false">IF($E1104="","",IF(INDEX(资金日记账!$W$4:$W$603,98)="","记-"&amp;TEXT($B1104,"YYYYMM")&amp;"-资金",INDEX(资金日记账!$W$4:$W$603,98)))</f>
        <v>记-202609-资金</v>
      </c>
      <c r="D1104" s="107" t="str">
        <f aca="false">IF($E1104="","",INDEX(资金日记账!$D$4:$D$603,98))</f>
        <v>唐旭</v>
      </c>
      <c r="E1104" s="67" t="str">
        <f aca="false">IF(INDEX(资金日记账!$N$4:$S$603,98,1)=0,"",INDEX(资金日记账!$N$4:$S$603,98,1))</f>
        <v>其他货币资金</v>
      </c>
      <c r="F1104" s="99" t="str">
        <f aca="false">IF($E1104="","",IFERROR(INDEX(科目表!$A$4:$A$81,MATCH($E1104,科目表!$B$4:$B$81,0)),""))</f>
        <v>1012</v>
      </c>
      <c r="G1104" s="67" t="str">
        <f aca="false">IF($E1104="","",IFERROR(INDEX(科目表!$E$4:$E$81,MATCH($E1104,科目表!$B$4:$B$81,0)),""))</f>
        <v>货币资金</v>
      </c>
      <c r="H1104" s="70" t="n">
        <f aca="false">IF($E1104="","",N(INDEX(资金日记账!$N$4:$S$603,98,2)))</f>
        <v>30000</v>
      </c>
      <c r="I1104" s="70" t="n">
        <f aca="false">IF($E1104="","",N(INDEX(资金日记账!$N$4:$S$603,98,3)))</f>
        <v>0</v>
      </c>
      <c r="J1104" s="67" t="n">
        <f aca="false">IF($E1104="","",INDEX(资金日记账!$E$4:$E$603,98))</f>
        <v>0</v>
      </c>
      <c r="K1104" s="67" t="str">
        <f aca="false">IF($E1104="","",INDEX(资金日记账!$F$4:$F$603,98))</f>
        <v>借款</v>
      </c>
      <c r="L1104" s="107" t="n">
        <f aca="false">IF($E1104="","",INDEX(资金日记账!$X$4:$X$603,98))</f>
        <v>0</v>
      </c>
      <c r="M1104" s="107"/>
      <c r="N1104" s="67" t="n">
        <f aca="false">IF($E1104="","",INDEX(资金日记账!$Y$4:$Y$603,98))</f>
        <v>0</v>
      </c>
      <c r="O1104" s="67" t="str">
        <f aca="false">IF($E1104="","","自动B")</f>
        <v>自动B</v>
      </c>
      <c r="P1104" s="18"/>
    </row>
    <row r="1105" customFormat="false" ht="18" hidden="false" customHeight="true" outlineLevel="0" collapsed="false">
      <c r="A1105" s="107" t="n">
        <f aca="false">IF($E1105="","",ROW()-3)</f>
        <v>1102</v>
      </c>
      <c r="B1105" s="110" t="n">
        <f aca="false">IF($E1105="","",INDEX(资金日记账!$B$4:$B$603,98))</f>
        <v>46270</v>
      </c>
      <c r="C1105" s="67" t="str">
        <f aca="false">IF($E1105="","",IF(INDEX(资金日记账!$W$4:$W$603,98)="","记-"&amp;TEXT($B1105,"YYYYMM")&amp;"-资金",INDEX(资金日记账!$W$4:$W$603,98)))</f>
        <v>记-202609-资金</v>
      </c>
      <c r="D1105" s="107" t="str">
        <f aca="false">IF($E1105="","",INDEX(资金日记账!$D$4:$D$603,98))</f>
        <v>唐旭</v>
      </c>
      <c r="E1105" s="67" t="str">
        <f aca="false">IF(INDEX(资金日记账!$N$4:$S$603,98,4)=0,"",INDEX(资金日记账!$N$4:$S$603,98,4))</f>
        <v>短期借款</v>
      </c>
      <c r="F1105" s="99" t="str">
        <f aca="false">IF($E1105="","",IFERROR(INDEX(科目表!$A$4:$A$81,MATCH($E1105,科目表!$B$4:$B$81,0)),""))</f>
        <v>2001</v>
      </c>
      <c r="G1105" s="67" t="str">
        <f aca="false">IF($E1105="","",IFERROR(INDEX(科目表!$E$4:$E$81,MATCH($E1105,科目表!$B$4:$B$81,0)),""))</f>
        <v>短期借款</v>
      </c>
      <c r="H1105" s="70" t="n">
        <f aca="false">IF($E1105="","",N(INDEX(资金日记账!$N$4:$S$603,98,5)))</f>
        <v>0</v>
      </c>
      <c r="I1105" s="70" t="n">
        <f aca="false">IF($E1105="","",N(INDEX(资金日记账!$N$4:$S$603,98,6)))</f>
        <v>30000</v>
      </c>
      <c r="J1105" s="67" t="n">
        <f aca="false">IF($E1105="","",INDEX(资金日记账!$E$4:$E$603,98))</f>
        <v>0</v>
      </c>
      <c r="K1105" s="67" t="str">
        <f aca="false">IF($E1105="","",INDEX(资金日记账!$F$4:$F$603,98))</f>
        <v>借款</v>
      </c>
      <c r="L1105" s="107" t="n">
        <f aca="false">IF($E1105="","",INDEX(资金日记账!$X$4:$X$603,98))</f>
        <v>0</v>
      </c>
      <c r="M1105" s="107"/>
      <c r="N1105" s="67" t="n">
        <f aca="false">IF($E1105="","",INDEX(资金日记账!$Y$4:$Y$603,98))</f>
        <v>0</v>
      </c>
      <c r="O1105" s="67" t="str">
        <f aca="false">IF($E1105="","","自动B")</f>
        <v>自动B</v>
      </c>
      <c r="P1105" s="18"/>
    </row>
    <row r="1106" customFormat="false" ht="18" hidden="false" customHeight="true" outlineLevel="0" collapsed="false">
      <c r="A1106" s="107" t="n">
        <f aca="false">IF($E1106="","",ROW()-3)</f>
        <v>1103</v>
      </c>
      <c r="B1106" s="110" t="n">
        <f aca="false">IF($E1106="","",INDEX(资金日记账!$B$4:$B$603,99))</f>
        <v>46270</v>
      </c>
      <c r="C1106" s="67" t="str">
        <f aca="false">IF($E1106="","",IF(INDEX(资金日记账!$W$4:$W$603,99)="","记-"&amp;TEXT($B1106,"YYYYMM")&amp;"-资金",INDEX(资金日记账!$W$4:$W$603,99)))</f>
        <v>记-202609-资金</v>
      </c>
      <c r="D1106" s="107" t="n">
        <f aca="false">IF($E1106="","",INDEX(资金日记账!$D$4:$D$603,99))</f>
        <v>0</v>
      </c>
      <c r="E1106" s="67" t="str">
        <f aca="false">IF(INDEX(资金日记账!$N$4:$S$603,99,1)=0,"",INDEX(资金日记账!$N$4:$S$603,99,1))</f>
        <v>管理费用</v>
      </c>
      <c r="F1106" s="99" t="str">
        <f aca="false">IF($E1106="","",IFERROR(INDEX(科目表!$A$4:$A$81,MATCH($E1106,科目表!$B$4:$B$81,0)),""))</f>
        <v>5602</v>
      </c>
      <c r="G1106" s="67" t="str">
        <f aca="false">IF($E1106="","",IFERROR(INDEX(科目表!$E$4:$E$81,MATCH($E1106,科目表!$B$4:$B$81,0)),""))</f>
        <v>管理费用</v>
      </c>
      <c r="H1106" s="70" t="n">
        <f aca="false">IF($E1106="","",N(INDEX(资金日记账!$N$4:$S$603,99,2)))</f>
        <v>256</v>
      </c>
      <c r="I1106" s="70" t="n">
        <f aca="false">IF($E1106="","",N(INDEX(资金日记账!$N$4:$S$603,99,3)))</f>
        <v>0</v>
      </c>
      <c r="J1106" s="67" t="n">
        <f aca="false">IF($E1106="","",INDEX(资金日记账!$E$4:$E$603,99))</f>
        <v>0</v>
      </c>
      <c r="K1106" s="67" t="n">
        <f aca="false">IF($E1106="","",INDEX(资金日记账!$F$4:$F$603,99))</f>
        <v>0</v>
      </c>
      <c r="L1106" s="107" t="n">
        <f aca="false">IF($E1106="","",INDEX(资金日记账!$X$4:$X$603,99))</f>
        <v>0</v>
      </c>
      <c r="M1106" s="107"/>
      <c r="N1106" s="67" t="n">
        <f aca="false">IF($E1106="","",INDEX(资金日记账!$Y$4:$Y$603,99))</f>
        <v>0</v>
      </c>
      <c r="O1106" s="67" t="str">
        <f aca="false">IF($E1106="","","自动B")</f>
        <v>自动B</v>
      </c>
      <c r="P1106" s="18"/>
    </row>
    <row r="1107" customFormat="false" ht="18" hidden="false" customHeight="true" outlineLevel="0" collapsed="false">
      <c r="A1107" s="107" t="n">
        <f aca="false">IF($E1107="","",ROW()-3)</f>
        <v>1104</v>
      </c>
      <c r="B1107" s="110" t="n">
        <f aca="false">IF($E1107="","",INDEX(资金日记账!$B$4:$B$603,99))</f>
        <v>46270</v>
      </c>
      <c r="C1107" s="67" t="str">
        <f aca="false">IF($E1107="","",IF(INDEX(资金日记账!$W$4:$W$603,99)="","记-"&amp;TEXT($B1107,"YYYYMM")&amp;"-资金",INDEX(资金日记账!$W$4:$W$603,99)))</f>
        <v>记-202609-资金</v>
      </c>
      <c r="D1107" s="107" t="n">
        <f aca="false">IF($E1107="","",INDEX(资金日记账!$D$4:$D$603,99))</f>
        <v>0</v>
      </c>
      <c r="E1107" s="67" t="str">
        <f aca="false">IF(INDEX(资金日记账!$N$4:$S$603,99,4)=0,"",INDEX(资金日记账!$N$4:$S$603,99,4))</f>
        <v>其他货币资金</v>
      </c>
      <c r="F1107" s="99" t="str">
        <f aca="false">IF($E1107="","",IFERROR(INDEX(科目表!$A$4:$A$81,MATCH($E1107,科目表!$B$4:$B$81,0)),""))</f>
        <v>1012</v>
      </c>
      <c r="G1107" s="67" t="str">
        <f aca="false">IF($E1107="","",IFERROR(INDEX(科目表!$E$4:$E$81,MATCH($E1107,科目表!$B$4:$B$81,0)),""))</f>
        <v>货币资金</v>
      </c>
      <c r="H1107" s="70" t="n">
        <f aca="false">IF($E1107="","",N(INDEX(资金日记账!$N$4:$S$603,99,5)))</f>
        <v>0</v>
      </c>
      <c r="I1107" s="70" t="n">
        <f aca="false">IF($E1107="","",N(INDEX(资金日记账!$N$4:$S$603,99,6)))</f>
        <v>256</v>
      </c>
      <c r="J1107" s="67" t="n">
        <f aca="false">IF($E1107="","",INDEX(资金日记账!$E$4:$E$603,99))</f>
        <v>0</v>
      </c>
      <c r="K1107" s="67" t="n">
        <f aca="false">IF($E1107="","",INDEX(资金日记账!$F$4:$F$603,99))</f>
        <v>0</v>
      </c>
      <c r="L1107" s="107" t="n">
        <f aca="false">IF($E1107="","",INDEX(资金日记账!$X$4:$X$603,99))</f>
        <v>0</v>
      </c>
      <c r="M1107" s="107"/>
      <c r="N1107" s="67" t="n">
        <f aca="false">IF($E1107="","",INDEX(资金日记账!$Y$4:$Y$603,99))</f>
        <v>0</v>
      </c>
      <c r="O1107" s="67" t="str">
        <f aca="false">IF($E1107="","","自动B")</f>
        <v>自动B</v>
      </c>
      <c r="P1107" s="18"/>
    </row>
    <row r="1108" customFormat="false" ht="18" hidden="false" customHeight="true" outlineLevel="0" collapsed="false">
      <c r="A1108" s="107" t="n">
        <f aca="false">IF($E1108="","",ROW()-3)</f>
        <v>1105</v>
      </c>
      <c r="B1108" s="110" t="n">
        <f aca="false">IF($E1108="","",INDEX(资金日记账!$B$4:$B$603,100))</f>
        <v>46271</v>
      </c>
      <c r="C1108" s="67" t="str">
        <f aca="false">IF($E1108="","",IF(INDEX(资金日记账!$W$4:$W$603,100)="","记-"&amp;TEXT($B1108,"YYYYMM")&amp;"-资金",INDEX(资金日记账!$W$4:$W$603,100)))</f>
        <v>记-202609-资金</v>
      </c>
      <c r="D1108" s="107" t="str">
        <f aca="false">IF($E1108="","",INDEX(资金日记账!$D$4:$D$603,100))</f>
        <v>任斌</v>
      </c>
      <c r="E1108" s="67" t="str">
        <f aca="false">IF(INDEX(资金日记账!$N$4:$S$603,100,1)=0,"",INDEX(资金日记账!$N$4:$S$603,100,1))</f>
        <v>主营业务成本</v>
      </c>
      <c r="F1108" s="99" t="str">
        <f aca="false">IF($E1108="","",IFERROR(INDEX(科目表!$A$4:$A$81,MATCH($E1108,科目表!$B$4:$B$81,0)),""))</f>
        <v>5401</v>
      </c>
      <c r="G1108" s="67" t="str">
        <f aca="false">IF($E1108="","",IFERROR(INDEX(科目表!$E$4:$E$81,MATCH($E1108,科目表!$B$4:$B$81,0)),""))</f>
        <v>营业成本</v>
      </c>
      <c r="H1108" s="70" t="n">
        <f aca="false">IF($E1108="","",N(INDEX(资金日记账!$N$4:$S$603,100,2)))</f>
        <v>13500</v>
      </c>
      <c r="I1108" s="70" t="n">
        <f aca="false">IF($E1108="","",N(INDEX(资金日记账!$N$4:$S$603,100,3)))</f>
        <v>0</v>
      </c>
      <c r="J1108" s="67" t="n">
        <f aca="false">IF($E1108="","",INDEX(资金日记账!$E$4:$E$603,100))</f>
        <v>0</v>
      </c>
      <c r="K1108" s="67" t="n">
        <f aca="false">IF($E1108="","",INDEX(资金日记账!$F$4:$F$603,100))</f>
        <v>0</v>
      </c>
      <c r="L1108" s="107" t="n">
        <f aca="false">IF($E1108="","",INDEX(资金日记账!$X$4:$X$603,100))</f>
        <v>0</v>
      </c>
      <c r="M1108" s="107"/>
      <c r="N1108" s="67" t="n">
        <f aca="false">IF($E1108="","",INDEX(资金日记账!$Y$4:$Y$603,100))</f>
        <v>0</v>
      </c>
      <c r="O1108" s="67" t="str">
        <f aca="false">IF($E1108="","","自动B")</f>
        <v>自动B</v>
      </c>
      <c r="P1108" s="18"/>
    </row>
    <row r="1109" customFormat="false" ht="18" hidden="false" customHeight="true" outlineLevel="0" collapsed="false">
      <c r="A1109" s="107" t="n">
        <f aca="false">IF($E1109="","",ROW()-3)</f>
        <v>1106</v>
      </c>
      <c r="B1109" s="110" t="n">
        <f aca="false">IF($E1109="","",INDEX(资金日记账!$B$4:$B$603,100))</f>
        <v>46271</v>
      </c>
      <c r="C1109" s="67" t="str">
        <f aca="false">IF($E1109="","",IF(INDEX(资金日记账!$W$4:$W$603,100)="","记-"&amp;TEXT($B1109,"YYYYMM")&amp;"-资金",INDEX(资金日记账!$W$4:$W$603,100)))</f>
        <v>记-202609-资金</v>
      </c>
      <c r="D1109" s="107" t="str">
        <f aca="false">IF($E1109="","",INDEX(资金日记账!$D$4:$D$603,100))</f>
        <v>任斌</v>
      </c>
      <c r="E1109" s="67" t="str">
        <f aca="false">IF(INDEX(资金日记账!$N$4:$S$603,100,4)=0,"",INDEX(资金日记账!$N$4:$S$603,100,4))</f>
        <v>其他货币资金</v>
      </c>
      <c r="F1109" s="99" t="str">
        <f aca="false">IF($E1109="","",IFERROR(INDEX(科目表!$A$4:$A$81,MATCH($E1109,科目表!$B$4:$B$81,0)),""))</f>
        <v>1012</v>
      </c>
      <c r="G1109" s="67" t="str">
        <f aca="false">IF($E1109="","",IFERROR(INDEX(科目表!$E$4:$E$81,MATCH($E1109,科目表!$B$4:$B$81,0)),""))</f>
        <v>货币资金</v>
      </c>
      <c r="H1109" s="70" t="n">
        <f aca="false">IF($E1109="","",N(INDEX(资金日记账!$N$4:$S$603,100,5)))</f>
        <v>0</v>
      </c>
      <c r="I1109" s="70" t="n">
        <f aca="false">IF($E1109="","",N(INDEX(资金日记账!$N$4:$S$603,100,6)))</f>
        <v>13500</v>
      </c>
      <c r="J1109" s="67" t="n">
        <f aca="false">IF($E1109="","",INDEX(资金日记账!$E$4:$E$603,100))</f>
        <v>0</v>
      </c>
      <c r="K1109" s="67" t="n">
        <f aca="false">IF($E1109="","",INDEX(资金日记账!$F$4:$F$603,100))</f>
        <v>0</v>
      </c>
      <c r="L1109" s="107" t="n">
        <f aca="false">IF($E1109="","",INDEX(资金日记账!$X$4:$X$603,100))</f>
        <v>0</v>
      </c>
      <c r="M1109" s="107"/>
      <c r="N1109" s="67" t="n">
        <f aca="false">IF($E1109="","",INDEX(资金日记账!$Y$4:$Y$603,100))</f>
        <v>0</v>
      </c>
      <c r="O1109" s="67" t="str">
        <f aca="false">IF($E1109="","","自动B")</f>
        <v>自动B</v>
      </c>
      <c r="P1109" s="18"/>
    </row>
    <row r="1110" customFormat="false" ht="18" hidden="false" customHeight="true" outlineLevel="0" collapsed="false">
      <c r="A1110" s="107" t="n">
        <f aca="false">IF($E1110="","",ROW()-3)</f>
        <v>1107</v>
      </c>
      <c r="B1110" s="110" t="n">
        <f aca="false">IF($E1110="","",INDEX(资金日记账!$B$4:$B$603,101))</f>
        <v>46271</v>
      </c>
      <c r="C1110" s="67" t="str">
        <f aca="false">IF($E1110="","",IF(INDEX(资金日记账!$W$4:$W$603,101)="","记-"&amp;TEXT($B1110,"YYYYMM")&amp;"-资金",INDEX(资金日记账!$W$4:$W$603,101)))</f>
        <v>记-202609-资金</v>
      </c>
      <c r="D1110" s="107" t="str">
        <f aca="false">IF($E1110="","",INDEX(资金日记账!$D$4:$D$603,101))</f>
        <v>做饭许师傅</v>
      </c>
      <c r="E1110" s="67" t="str">
        <f aca="false">IF(INDEX(资金日记账!$N$4:$S$603,101,1)=0,"",INDEX(资金日记账!$N$4:$S$603,101,1))</f>
        <v>主营业务成本</v>
      </c>
      <c r="F1110" s="99" t="str">
        <f aca="false">IF($E1110="","",IFERROR(INDEX(科目表!$A$4:$A$81,MATCH($E1110,科目表!$B$4:$B$81,0)),""))</f>
        <v>5401</v>
      </c>
      <c r="G1110" s="67" t="str">
        <f aca="false">IF($E1110="","",IFERROR(INDEX(科目表!$E$4:$E$81,MATCH($E1110,科目表!$B$4:$B$81,0)),""))</f>
        <v>营业成本</v>
      </c>
      <c r="H1110" s="70" t="n">
        <f aca="false">IF($E1110="","",N(INDEX(资金日记账!$N$4:$S$603,101,2)))</f>
        <v>5000</v>
      </c>
      <c r="I1110" s="70" t="n">
        <f aca="false">IF($E1110="","",N(INDEX(资金日记账!$N$4:$S$603,101,3)))</f>
        <v>0</v>
      </c>
      <c r="J1110" s="67" t="n">
        <f aca="false">IF($E1110="","",INDEX(资金日记账!$E$4:$E$603,101))</f>
        <v>0</v>
      </c>
      <c r="K1110" s="67" t="n">
        <f aca="false">IF($E1110="","",INDEX(资金日记账!$F$4:$F$603,101))</f>
        <v>0</v>
      </c>
      <c r="L1110" s="107" t="n">
        <f aca="false">IF($E1110="","",INDEX(资金日记账!$X$4:$X$603,101))</f>
        <v>0</v>
      </c>
      <c r="M1110" s="107"/>
      <c r="N1110" s="67" t="n">
        <f aca="false">IF($E1110="","",INDEX(资金日记账!$Y$4:$Y$603,101))</f>
        <v>0</v>
      </c>
      <c r="O1110" s="67" t="str">
        <f aca="false">IF($E1110="","","自动B")</f>
        <v>自动B</v>
      </c>
      <c r="P1110" s="18"/>
    </row>
    <row r="1111" customFormat="false" ht="18" hidden="false" customHeight="true" outlineLevel="0" collapsed="false">
      <c r="A1111" s="107" t="n">
        <f aca="false">IF($E1111="","",ROW()-3)</f>
        <v>1108</v>
      </c>
      <c r="B1111" s="110" t="n">
        <f aca="false">IF($E1111="","",INDEX(资金日记账!$B$4:$B$603,101))</f>
        <v>46271</v>
      </c>
      <c r="C1111" s="67" t="str">
        <f aca="false">IF($E1111="","",IF(INDEX(资金日记账!$W$4:$W$603,101)="","记-"&amp;TEXT($B1111,"YYYYMM")&amp;"-资金",INDEX(资金日记账!$W$4:$W$603,101)))</f>
        <v>记-202609-资金</v>
      </c>
      <c r="D1111" s="107" t="str">
        <f aca="false">IF($E1111="","",INDEX(资金日记账!$D$4:$D$603,101))</f>
        <v>做饭许师傅</v>
      </c>
      <c r="E1111" s="67" t="str">
        <f aca="false">IF(INDEX(资金日记账!$N$4:$S$603,101,4)=0,"",INDEX(资金日记账!$N$4:$S$603,101,4))</f>
        <v>其他货币资金</v>
      </c>
      <c r="F1111" s="99" t="str">
        <f aca="false">IF($E1111="","",IFERROR(INDEX(科目表!$A$4:$A$81,MATCH($E1111,科目表!$B$4:$B$81,0)),""))</f>
        <v>1012</v>
      </c>
      <c r="G1111" s="67" t="str">
        <f aca="false">IF($E1111="","",IFERROR(INDEX(科目表!$E$4:$E$81,MATCH($E1111,科目表!$B$4:$B$81,0)),""))</f>
        <v>货币资金</v>
      </c>
      <c r="H1111" s="70" t="n">
        <f aca="false">IF($E1111="","",N(INDEX(资金日记账!$N$4:$S$603,101,5)))</f>
        <v>0</v>
      </c>
      <c r="I1111" s="70" t="n">
        <f aca="false">IF($E1111="","",N(INDEX(资金日记账!$N$4:$S$603,101,6)))</f>
        <v>5000</v>
      </c>
      <c r="J1111" s="67" t="n">
        <f aca="false">IF($E1111="","",INDEX(资金日记账!$E$4:$E$603,101))</f>
        <v>0</v>
      </c>
      <c r="K1111" s="67" t="n">
        <f aca="false">IF($E1111="","",INDEX(资金日记账!$F$4:$F$603,101))</f>
        <v>0</v>
      </c>
      <c r="L1111" s="107" t="n">
        <f aca="false">IF($E1111="","",INDEX(资金日记账!$X$4:$X$603,101))</f>
        <v>0</v>
      </c>
      <c r="M1111" s="107"/>
      <c r="N1111" s="67" t="n">
        <f aca="false">IF($E1111="","",INDEX(资金日记账!$Y$4:$Y$603,101))</f>
        <v>0</v>
      </c>
      <c r="O1111" s="67" t="str">
        <f aca="false">IF($E1111="","","自动B")</f>
        <v>自动B</v>
      </c>
      <c r="P1111" s="18"/>
    </row>
    <row r="1112" customFormat="false" ht="18" hidden="false" customHeight="true" outlineLevel="0" collapsed="false">
      <c r="A1112" s="107" t="n">
        <f aca="false">IF($E1112="","",ROW()-3)</f>
        <v>1109</v>
      </c>
      <c r="B1112" s="110" t="n">
        <f aca="false">IF($E1112="","",INDEX(资金日记账!$B$4:$B$603,102))</f>
        <v>46271</v>
      </c>
      <c r="C1112" s="67" t="str">
        <f aca="false">IF($E1112="","",IF(INDEX(资金日记账!$W$4:$W$603,102)="","记-"&amp;TEXT($B1112,"YYYYMM")&amp;"-资金",INDEX(资金日记账!$W$4:$W$603,102)))</f>
        <v>记-202609-资金</v>
      </c>
      <c r="D1112" s="107" t="str">
        <f aca="false">IF($E1112="","",INDEX(资金日记账!$D$4:$D$603,102))</f>
        <v>垫付任斌</v>
      </c>
      <c r="E1112" s="67" t="str">
        <f aca="false">IF(INDEX(资金日记账!$N$4:$S$603,102,1)=0,"",INDEX(资金日记账!$N$4:$S$603,102,1))</f>
        <v>其他货币资金</v>
      </c>
      <c r="F1112" s="99" t="str">
        <f aca="false">IF($E1112="","",IFERROR(INDEX(科目表!$A$4:$A$81,MATCH($E1112,科目表!$B$4:$B$81,0)),""))</f>
        <v>1012</v>
      </c>
      <c r="G1112" s="67" t="str">
        <f aca="false">IF($E1112="","",IFERROR(INDEX(科目表!$E$4:$E$81,MATCH($E1112,科目表!$B$4:$B$81,0)),""))</f>
        <v>货币资金</v>
      </c>
      <c r="H1112" s="70" t="n">
        <f aca="false">IF($E1112="","",N(INDEX(资金日记账!$N$4:$S$603,102,2)))</f>
        <v>1500</v>
      </c>
      <c r="I1112" s="70" t="n">
        <f aca="false">IF($E1112="","",N(INDEX(资金日记账!$N$4:$S$603,102,3)))</f>
        <v>0</v>
      </c>
      <c r="J1112" s="67" t="n">
        <f aca="false">IF($E1112="","",INDEX(资金日记账!$E$4:$E$603,102))</f>
        <v>0</v>
      </c>
      <c r="K1112" s="67" t="str">
        <f aca="false">IF($E1112="","",INDEX(资金日记账!$F$4:$F$603,102))</f>
        <v>还款</v>
      </c>
      <c r="L1112" s="107" t="n">
        <f aca="false">IF($E1112="","",INDEX(资金日记账!$X$4:$X$603,102))</f>
        <v>0</v>
      </c>
      <c r="M1112" s="107"/>
      <c r="N1112" s="67" t="n">
        <f aca="false">IF($E1112="","",INDEX(资金日记账!$Y$4:$Y$603,102))</f>
        <v>0</v>
      </c>
      <c r="O1112" s="67" t="str">
        <f aca="false">IF($E1112="","","自动B")</f>
        <v>自动B</v>
      </c>
      <c r="P1112" s="18"/>
    </row>
    <row r="1113" customFormat="false" ht="18" hidden="false" customHeight="true" outlineLevel="0" collapsed="false">
      <c r="A1113" s="107" t="n">
        <f aca="false">IF($E1113="","",ROW()-3)</f>
        <v>1110</v>
      </c>
      <c r="B1113" s="110" t="n">
        <f aca="false">IF($E1113="","",INDEX(资金日记账!$B$4:$B$603,102))</f>
        <v>46271</v>
      </c>
      <c r="C1113" s="67" t="str">
        <f aca="false">IF($E1113="","",IF(INDEX(资金日记账!$W$4:$W$603,102)="","记-"&amp;TEXT($B1113,"YYYYMM")&amp;"-资金",INDEX(资金日记账!$W$4:$W$603,102)))</f>
        <v>记-202609-资金</v>
      </c>
      <c r="D1113" s="107" t="str">
        <f aca="false">IF($E1113="","",INDEX(资金日记账!$D$4:$D$603,102))</f>
        <v>垫付任斌</v>
      </c>
      <c r="E1113" s="67" t="str">
        <f aca="false">IF(INDEX(资金日记账!$N$4:$S$603,102,4)=0,"",INDEX(资金日记账!$N$4:$S$603,102,4))</f>
        <v>应收账款</v>
      </c>
      <c r="F1113" s="99" t="str">
        <f aca="false">IF($E1113="","",IFERROR(INDEX(科目表!$A$4:$A$81,MATCH($E1113,科目表!$B$4:$B$81,0)),""))</f>
        <v>1122</v>
      </c>
      <c r="G1113" s="67" t="str">
        <f aca="false">IF($E1113="","",IFERROR(INDEX(科目表!$E$4:$E$81,MATCH($E1113,科目表!$B$4:$B$81,0)),""))</f>
        <v>应收账款</v>
      </c>
      <c r="H1113" s="70" t="n">
        <f aca="false">IF($E1113="","",N(INDEX(资金日记账!$N$4:$S$603,102,5)))</f>
        <v>0</v>
      </c>
      <c r="I1113" s="70" t="n">
        <f aca="false">IF($E1113="","",N(INDEX(资金日记账!$N$4:$S$603,102,6)))</f>
        <v>1500</v>
      </c>
      <c r="J1113" s="67" t="n">
        <f aca="false">IF($E1113="","",INDEX(资金日记账!$E$4:$E$603,102))</f>
        <v>0</v>
      </c>
      <c r="K1113" s="67" t="str">
        <f aca="false">IF($E1113="","",INDEX(资金日记账!$F$4:$F$603,102))</f>
        <v>还款</v>
      </c>
      <c r="L1113" s="107" t="n">
        <f aca="false">IF($E1113="","",INDEX(资金日记账!$X$4:$X$603,102))</f>
        <v>0</v>
      </c>
      <c r="M1113" s="107"/>
      <c r="N1113" s="67" t="n">
        <f aca="false">IF($E1113="","",INDEX(资金日记账!$Y$4:$Y$603,102))</f>
        <v>0</v>
      </c>
      <c r="O1113" s="67" t="str">
        <f aca="false">IF($E1113="","","自动B")</f>
        <v>自动B</v>
      </c>
      <c r="P1113" s="18"/>
    </row>
    <row r="1114" customFormat="false" ht="18" hidden="false" customHeight="true" outlineLevel="0" collapsed="false">
      <c r="A1114" s="107" t="n">
        <f aca="false">IF($E1114="","",ROW()-3)</f>
        <v>1111</v>
      </c>
      <c r="B1114" s="110" t="n">
        <f aca="false">IF($E1114="","",INDEX(资金日记账!$B$4:$B$603,103))</f>
        <v>46274</v>
      </c>
      <c r="C1114" s="67" t="str">
        <f aca="false">IF($E1114="","",IF(INDEX(资金日记账!$W$4:$W$603,103)="","记-"&amp;TEXT($B1114,"YYYYMM")&amp;"-资金",INDEX(资金日记账!$W$4:$W$603,103)))</f>
        <v>记-202609-资金</v>
      </c>
      <c r="D1114" s="107" t="n">
        <f aca="false">IF($E1114="","",INDEX(资金日记账!$D$4:$D$603,103))</f>
        <v>0</v>
      </c>
      <c r="E1114" s="67" t="str">
        <f aca="false">IF(INDEX(资金日记账!$N$4:$S$603,103,1)=0,"",INDEX(资金日记账!$N$4:$S$603,103,1))</f>
        <v>管理费用</v>
      </c>
      <c r="F1114" s="99" t="str">
        <f aca="false">IF($E1114="","",IFERROR(INDEX(科目表!$A$4:$A$81,MATCH($E1114,科目表!$B$4:$B$81,0)),""))</f>
        <v>5602</v>
      </c>
      <c r="G1114" s="67" t="str">
        <f aca="false">IF($E1114="","",IFERROR(INDEX(科目表!$E$4:$E$81,MATCH($E1114,科目表!$B$4:$B$81,0)),""))</f>
        <v>管理费用</v>
      </c>
      <c r="H1114" s="70" t="n">
        <f aca="false">IF($E1114="","",N(INDEX(资金日记账!$N$4:$S$603,103,2)))</f>
        <v>280</v>
      </c>
      <c r="I1114" s="70" t="n">
        <f aca="false">IF($E1114="","",N(INDEX(资金日记账!$N$4:$S$603,103,3)))</f>
        <v>0</v>
      </c>
      <c r="J1114" s="67" t="n">
        <f aca="false">IF($E1114="","",INDEX(资金日记账!$E$4:$E$603,103))</f>
        <v>0</v>
      </c>
      <c r="K1114" s="67" t="n">
        <f aca="false">IF($E1114="","",INDEX(资金日记账!$F$4:$F$603,103))</f>
        <v>0</v>
      </c>
      <c r="L1114" s="107" t="n">
        <f aca="false">IF($E1114="","",INDEX(资金日记账!$X$4:$X$603,103))</f>
        <v>0</v>
      </c>
      <c r="M1114" s="107"/>
      <c r="N1114" s="67" t="n">
        <f aca="false">IF($E1114="","",INDEX(资金日记账!$Y$4:$Y$603,103))</f>
        <v>0</v>
      </c>
      <c r="O1114" s="67" t="str">
        <f aca="false">IF($E1114="","","自动B")</f>
        <v>自动B</v>
      </c>
      <c r="P1114" s="18"/>
    </row>
    <row r="1115" customFormat="false" ht="18" hidden="false" customHeight="true" outlineLevel="0" collapsed="false">
      <c r="A1115" s="107" t="n">
        <f aca="false">IF($E1115="","",ROW()-3)</f>
        <v>1112</v>
      </c>
      <c r="B1115" s="110" t="n">
        <f aca="false">IF($E1115="","",INDEX(资金日记账!$B$4:$B$603,103))</f>
        <v>46274</v>
      </c>
      <c r="C1115" s="67" t="str">
        <f aca="false">IF($E1115="","",IF(INDEX(资金日记账!$W$4:$W$603,103)="","记-"&amp;TEXT($B1115,"YYYYMM")&amp;"-资金",INDEX(资金日记账!$W$4:$W$603,103)))</f>
        <v>记-202609-资金</v>
      </c>
      <c r="D1115" s="107" t="n">
        <f aca="false">IF($E1115="","",INDEX(资金日记账!$D$4:$D$603,103))</f>
        <v>0</v>
      </c>
      <c r="E1115" s="67" t="str">
        <f aca="false">IF(INDEX(资金日记账!$N$4:$S$603,103,4)=0,"",INDEX(资金日记账!$N$4:$S$603,103,4))</f>
        <v>其他货币资金</v>
      </c>
      <c r="F1115" s="99" t="str">
        <f aca="false">IF($E1115="","",IFERROR(INDEX(科目表!$A$4:$A$81,MATCH($E1115,科目表!$B$4:$B$81,0)),""))</f>
        <v>1012</v>
      </c>
      <c r="G1115" s="67" t="str">
        <f aca="false">IF($E1115="","",IFERROR(INDEX(科目表!$E$4:$E$81,MATCH($E1115,科目表!$B$4:$B$81,0)),""))</f>
        <v>货币资金</v>
      </c>
      <c r="H1115" s="70" t="n">
        <f aca="false">IF($E1115="","",N(INDEX(资金日记账!$N$4:$S$603,103,5)))</f>
        <v>0</v>
      </c>
      <c r="I1115" s="70" t="n">
        <f aca="false">IF($E1115="","",N(INDEX(资金日记账!$N$4:$S$603,103,6)))</f>
        <v>280</v>
      </c>
      <c r="J1115" s="67" t="n">
        <f aca="false">IF($E1115="","",INDEX(资金日记账!$E$4:$E$603,103))</f>
        <v>0</v>
      </c>
      <c r="K1115" s="67" t="n">
        <f aca="false">IF($E1115="","",INDEX(资金日记账!$F$4:$F$603,103))</f>
        <v>0</v>
      </c>
      <c r="L1115" s="107" t="n">
        <f aca="false">IF($E1115="","",INDEX(资金日记账!$X$4:$X$603,103))</f>
        <v>0</v>
      </c>
      <c r="M1115" s="107"/>
      <c r="N1115" s="67" t="n">
        <f aca="false">IF($E1115="","",INDEX(资金日记账!$Y$4:$Y$603,103))</f>
        <v>0</v>
      </c>
      <c r="O1115" s="67" t="str">
        <f aca="false">IF($E1115="","","自动B")</f>
        <v>自动B</v>
      </c>
      <c r="P1115" s="18"/>
    </row>
    <row r="1116" customFormat="false" ht="18" hidden="false" customHeight="true" outlineLevel="0" collapsed="false">
      <c r="A1116" s="107" t="n">
        <f aca="false">IF($E1116="","",ROW()-3)</f>
        <v>1113</v>
      </c>
      <c r="B1116" s="110" t="n">
        <f aca="false">IF($E1116="","",INDEX(资金日记账!$B$4:$B$603,104))</f>
        <v>46275</v>
      </c>
      <c r="C1116" s="67" t="str">
        <f aca="false">IF($E1116="","",IF(INDEX(资金日记账!$W$4:$W$603,104)="","记-"&amp;TEXT($B1116,"YYYYMM")&amp;"-资金",INDEX(资金日记账!$W$4:$W$603,104)))</f>
        <v>记-202609-资金</v>
      </c>
      <c r="D1116" s="107" t="n">
        <f aca="false">IF($E1116="","",INDEX(资金日记账!$D$4:$D$603,104))</f>
        <v>0</v>
      </c>
      <c r="E1116" s="67" t="str">
        <f aca="false">IF(INDEX(资金日记账!$N$4:$S$603,104,1)=0,"",INDEX(资金日记账!$N$4:$S$603,104,1))</f>
        <v>管理费用</v>
      </c>
      <c r="F1116" s="99" t="str">
        <f aca="false">IF($E1116="","",IFERROR(INDEX(科目表!$A$4:$A$81,MATCH($E1116,科目表!$B$4:$B$81,0)),""))</f>
        <v>5602</v>
      </c>
      <c r="G1116" s="67" t="str">
        <f aca="false">IF($E1116="","",IFERROR(INDEX(科目表!$E$4:$E$81,MATCH($E1116,科目表!$B$4:$B$81,0)),""))</f>
        <v>管理费用</v>
      </c>
      <c r="H1116" s="70" t="n">
        <f aca="false">IF($E1116="","",N(INDEX(资金日记账!$N$4:$S$603,104,2)))</f>
        <v>480</v>
      </c>
      <c r="I1116" s="70" t="n">
        <f aca="false">IF($E1116="","",N(INDEX(资金日记账!$N$4:$S$603,104,3)))</f>
        <v>0</v>
      </c>
      <c r="J1116" s="67" t="n">
        <f aca="false">IF($E1116="","",INDEX(资金日记账!$E$4:$E$603,104))</f>
        <v>0</v>
      </c>
      <c r="K1116" s="67" t="n">
        <f aca="false">IF($E1116="","",INDEX(资金日记账!$F$4:$F$603,104))</f>
        <v>0</v>
      </c>
      <c r="L1116" s="107" t="n">
        <f aca="false">IF($E1116="","",INDEX(资金日记账!$X$4:$X$603,104))</f>
        <v>0</v>
      </c>
      <c r="M1116" s="107"/>
      <c r="N1116" s="67" t="n">
        <f aca="false">IF($E1116="","",INDEX(资金日记账!$Y$4:$Y$603,104))</f>
        <v>0</v>
      </c>
      <c r="O1116" s="67" t="str">
        <f aca="false">IF($E1116="","","自动B")</f>
        <v>自动B</v>
      </c>
      <c r="P1116" s="18"/>
    </row>
    <row r="1117" customFormat="false" ht="18" hidden="false" customHeight="true" outlineLevel="0" collapsed="false">
      <c r="A1117" s="107" t="n">
        <f aca="false">IF($E1117="","",ROW()-3)</f>
        <v>1114</v>
      </c>
      <c r="B1117" s="110" t="n">
        <f aca="false">IF($E1117="","",INDEX(资金日记账!$B$4:$B$603,104))</f>
        <v>46275</v>
      </c>
      <c r="C1117" s="67" t="str">
        <f aca="false">IF($E1117="","",IF(INDEX(资金日记账!$W$4:$W$603,104)="","记-"&amp;TEXT($B1117,"YYYYMM")&amp;"-资金",INDEX(资金日记账!$W$4:$W$603,104)))</f>
        <v>记-202609-资金</v>
      </c>
      <c r="D1117" s="107" t="n">
        <f aca="false">IF($E1117="","",INDEX(资金日记账!$D$4:$D$603,104))</f>
        <v>0</v>
      </c>
      <c r="E1117" s="67" t="str">
        <f aca="false">IF(INDEX(资金日记账!$N$4:$S$603,104,4)=0,"",INDEX(资金日记账!$N$4:$S$603,104,4))</f>
        <v>其他货币资金</v>
      </c>
      <c r="F1117" s="99" t="str">
        <f aca="false">IF($E1117="","",IFERROR(INDEX(科目表!$A$4:$A$81,MATCH($E1117,科目表!$B$4:$B$81,0)),""))</f>
        <v>1012</v>
      </c>
      <c r="G1117" s="67" t="str">
        <f aca="false">IF($E1117="","",IFERROR(INDEX(科目表!$E$4:$E$81,MATCH($E1117,科目表!$B$4:$B$81,0)),""))</f>
        <v>货币资金</v>
      </c>
      <c r="H1117" s="70" t="n">
        <f aca="false">IF($E1117="","",N(INDEX(资金日记账!$N$4:$S$603,104,5)))</f>
        <v>0</v>
      </c>
      <c r="I1117" s="70" t="n">
        <f aca="false">IF($E1117="","",N(INDEX(资金日记账!$N$4:$S$603,104,6)))</f>
        <v>480</v>
      </c>
      <c r="J1117" s="67" t="n">
        <f aca="false">IF($E1117="","",INDEX(资金日记账!$E$4:$E$603,104))</f>
        <v>0</v>
      </c>
      <c r="K1117" s="67" t="n">
        <f aca="false">IF($E1117="","",INDEX(资金日记账!$F$4:$F$603,104))</f>
        <v>0</v>
      </c>
      <c r="L1117" s="107" t="n">
        <f aca="false">IF($E1117="","",INDEX(资金日记账!$X$4:$X$603,104))</f>
        <v>0</v>
      </c>
      <c r="M1117" s="107"/>
      <c r="N1117" s="67" t="n">
        <f aca="false">IF($E1117="","",INDEX(资金日记账!$Y$4:$Y$603,104))</f>
        <v>0</v>
      </c>
      <c r="O1117" s="67" t="str">
        <f aca="false">IF($E1117="","","自动B")</f>
        <v>自动B</v>
      </c>
      <c r="P1117" s="18"/>
    </row>
    <row r="1118" customFormat="false" ht="18" hidden="false" customHeight="true" outlineLevel="0" collapsed="false">
      <c r="A1118" s="107" t="n">
        <f aca="false">IF($E1118="","",ROW()-3)</f>
        <v>1115</v>
      </c>
      <c r="B1118" s="110" t="n">
        <f aca="false">IF($E1118="","",INDEX(资金日记账!$B$4:$B$603,105))</f>
        <v>46275</v>
      </c>
      <c r="C1118" s="67" t="str">
        <f aca="false">IF($E1118="","",IF(INDEX(资金日记账!$W$4:$W$603,105)="","记-"&amp;TEXT($B1118,"YYYYMM")&amp;"-资金",INDEX(资金日记账!$W$4:$W$603,105)))</f>
        <v>记-202609-资金</v>
      </c>
      <c r="D1118" s="107" t="str">
        <f aca="false">IF($E1118="","",INDEX(资金日记账!$D$4:$D$603,105))</f>
        <v>退王灵云</v>
      </c>
      <c r="E1118" s="67" t="str">
        <f aca="false">IF(INDEX(资金日记账!$N$4:$S$603,105,1)=0,"",INDEX(资金日记账!$N$4:$S$603,105,1))</f>
        <v>其他应付款</v>
      </c>
      <c r="F1118" s="99" t="str">
        <f aca="false">IF($E1118="","",IFERROR(INDEX(科目表!$A$4:$A$81,MATCH($E1118,科目表!$B$4:$B$81,0)),""))</f>
        <v>2241</v>
      </c>
      <c r="G1118" s="67" t="str">
        <f aca="false">IF($E1118="","",IFERROR(INDEX(科目表!$E$4:$E$81,MATCH($E1118,科目表!$B$4:$B$81,0)),""))</f>
        <v>其他应付款</v>
      </c>
      <c r="H1118" s="70" t="n">
        <f aca="false">IF($E1118="","",N(INDEX(资金日记账!$N$4:$S$603,105,2)))</f>
        <v>3000</v>
      </c>
      <c r="I1118" s="70" t="n">
        <f aca="false">IF($E1118="","",N(INDEX(资金日记账!$N$4:$S$603,105,3)))</f>
        <v>0</v>
      </c>
      <c r="J1118" s="67" t="str">
        <f aca="false">IF($E1118="","",INDEX(资金日记账!$E$4:$E$603,105))</f>
        <v>王灵云</v>
      </c>
      <c r="K1118" s="67" t="str">
        <f aca="false">IF($E1118="","",INDEX(资金日记账!$F$4:$F$603,105))</f>
        <v>押金退还</v>
      </c>
      <c r="L1118" s="107" t="n">
        <f aca="false">IF($E1118="","",INDEX(资金日记账!$X$4:$X$603,105))</f>
        <v>0</v>
      </c>
      <c r="M1118" s="107"/>
      <c r="N1118" s="67" t="n">
        <f aca="false">IF($E1118="","",INDEX(资金日记账!$Y$4:$Y$603,105))</f>
        <v>0</v>
      </c>
      <c r="O1118" s="67" t="str">
        <f aca="false">IF($E1118="","","自动B")</f>
        <v>自动B</v>
      </c>
      <c r="P1118" s="18"/>
    </row>
    <row r="1119" customFormat="false" ht="18" hidden="false" customHeight="true" outlineLevel="0" collapsed="false">
      <c r="A1119" s="107" t="n">
        <f aca="false">IF($E1119="","",ROW()-3)</f>
        <v>1116</v>
      </c>
      <c r="B1119" s="110" t="n">
        <f aca="false">IF($E1119="","",INDEX(资金日记账!$B$4:$B$603,105))</f>
        <v>46275</v>
      </c>
      <c r="C1119" s="67" t="str">
        <f aca="false">IF($E1119="","",IF(INDEX(资金日记账!$W$4:$W$603,105)="","记-"&amp;TEXT($B1119,"YYYYMM")&amp;"-资金",INDEX(资金日记账!$W$4:$W$603,105)))</f>
        <v>记-202609-资金</v>
      </c>
      <c r="D1119" s="107" t="str">
        <f aca="false">IF($E1119="","",INDEX(资金日记账!$D$4:$D$603,105))</f>
        <v>退王灵云</v>
      </c>
      <c r="E1119" s="67" t="str">
        <f aca="false">IF(INDEX(资金日记账!$N$4:$S$603,105,4)=0,"",INDEX(资金日记账!$N$4:$S$603,105,4))</f>
        <v>其他货币资金</v>
      </c>
      <c r="F1119" s="99" t="str">
        <f aca="false">IF($E1119="","",IFERROR(INDEX(科目表!$A$4:$A$81,MATCH($E1119,科目表!$B$4:$B$81,0)),""))</f>
        <v>1012</v>
      </c>
      <c r="G1119" s="67" t="str">
        <f aca="false">IF($E1119="","",IFERROR(INDEX(科目表!$E$4:$E$81,MATCH($E1119,科目表!$B$4:$B$81,0)),""))</f>
        <v>货币资金</v>
      </c>
      <c r="H1119" s="70" t="n">
        <f aca="false">IF($E1119="","",N(INDEX(资金日记账!$N$4:$S$603,105,5)))</f>
        <v>0</v>
      </c>
      <c r="I1119" s="70" t="n">
        <f aca="false">IF($E1119="","",N(INDEX(资金日记账!$N$4:$S$603,105,6)))</f>
        <v>3000</v>
      </c>
      <c r="J1119" s="67" t="str">
        <f aca="false">IF($E1119="","",INDEX(资金日记账!$E$4:$E$603,105))</f>
        <v>王灵云</v>
      </c>
      <c r="K1119" s="67" t="str">
        <f aca="false">IF($E1119="","",INDEX(资金日记账!$F$4:$F$603,105))</f>
        <v>押金退还</v>
      </c>
      <c r="L1119" s="107" t="n">
        <f aca="false">IF($E1119="","",INDEX(资金日记账!$X$4:$X$603,105))</f>
        <v>0</v>
      </c>
      <c r="M1119" s="107"/>
      <c r="N1119" s="67" t="n">
        <f aca="false">IF($E1119="","",INDEX(资金日记账!$Y$4:$Y$603,105))</f>
        <v>0</v>
      </c>
      <c r="O1119" s="67" t="str">
        <f aca="false">IF($E1119="","","自动B")</f>
        <v>自动B</v>
      </c>
      <c r="P1119" s="18"/>
    </row>
    <row r="1120" customFormat="false" ht="18" hidden="false" customHeight="true" outlineLevel="0" collapsed="false">
      <c r="A1120" s="107" t="n">
        <f aca="false">IF($E1120="","",ROW()-3)</f>
        <v>1117</v>
      </c>
      <c r="B1120" s="110" t="n">
        <f aca="false">IF($E1120="","",INDEX(资金日记账!$B$4:$B$603,106))</f>
        <v>46275</v>
      </c>
      <c r="C1120" s="67" t="str">
        <f aca="false">IF($E1120="","",IF(INDEX(资金日记账!$W$4:$W$603,106)="","记-"&amp;TEXT($B1120,"YYYYMM")&amp;"-资金",INDEX(资金日记账!$W$4:$W$603,106)))</f>
        <v>记-202609-资金</v>
      </c>
      <c r="D1120" s="107" t="n">
        <f aca="false">IF($E1120="","",INDEX(资金日记账!$D$4:$D$603,106))</f>
        <v>0</v>
      </c>
      <c r="E1120" s="67" t="str">
        <f aca="false">IF(INDEX(资金日记账!$N$4:$S$603,106,1)=0,"",INDEX(资金日记账!$N$4:$S$603,106,1))</f>
        <v>其他货币资金</v>
      </c>
      <c r="F1120" s="99" t="str">
        <f aca="false">IF($E1120="","",IFERROR(INDEX(科目表!$A$4:$A$81,MATCH($E1120,科目表!$B$4:$B$81,0)),""))</f>
        <v>1012</v>
      </c>
      <c r="G1120" s="67" t="str">
        <f aca="false">IF($E1120="","",IFERROR(INDEX(科目表!$E$4:$E$81,MATCH($E1120,科目表!$B$4:$B$81,0)),""))</f>
        <v>货币资金</v>
      </c>
      <c r="H1120" s="70" t="n">
        <f aca="false">IF($E1120="","",N(INDEX(资金日记账!$N$4:$S$603,106,2)))</f>
        <v>12000</v>
      </c>
      <c r="I1120" s="70" t="n">
        <f aca="false">IF($E1120="","",N(INDEX(资金日记账!$N$4:$S$603,106,3)))</f>
        <v>0</v>
      </c>
      <c r="J1120" s="67" t="str">
        <f aca="false">IF($E1120="","",INDEX(资金日记账!$E$4:$E$603,106))</f>
        <v>聂新平</v>
      </c>
      <c r="K1120" s="67" t="str">
        <f aca="false">IF($E1120="","",INDEX(资金日记账!$F$4:$F$603,106))</f>
        <v>利息</v>
      </c>
      <c r="L1120" s="107" t="n">
        <f aca="false">IF($E1120="","",INDEX(资金日记账!$X$4:$X$603,106))</f>
        <v>0</v>
      </c>
      <c r="M1120" s="107"/>
      <c r="N1120" s="67" t="n">
        <f aca="false">IF($E1120="","",INDEX(资金日记账!$Y$4:$Y$603,106))</f>
        <v>0</v>
      </c>
      <c r="O1120" s="67" t="str">
        <f aca="false">IF($E1120="","","自动B")</f>
        <v>自动B</v>
      </c>
      <c r="P1120" s="18"/>
    </row>
    <row r="1121" customFormat="false" ht="18" hidden="false" customHeight="true" outlineLevel="0" collapsed="false">
      <c r="A1121" s="107" t="n">
        <f aca="false">IF($E1121="","",ROW()-3)</f>
        <v>1118</v>
      </c>
      <c r="B1121" s="110" t="n">
        <f aca="false">IF($E1121="","",INDEX(资金日记账!$B$4:$B$603,106))</f>
        <v>46275</v>
      </c>
      <c r="C1121" s="67" t="str">
        <f aca="false">IF($E1121="","",IF(INDEX(资金日记账!$W$4:$W$603,106)="","记-"&amp;TEXT($B1121,"YYYYMM")&amp;"-资金",INDEX(资金日记账!$W$4:$W$603,106)))</f>
        <v>记-202609-资金</v>
      </c>
      <c r="D1121" s="107" t="n">
        <f aca="false">IF($E1121="","",INDEX(资金日记账!$D$4:$D$603,106))</f>
        <v>0</v>
      </c>
      <c r="E1121" s="67" t="str">
        <f aca="false">IF(INDEX(资金日记账!$N$4:$S$603,106,4)=0,"",INDEX(资金日记账!$N$4:$S$603,106,4))</f>
        <v>财务费用</v>
      </c>
      <c r="F1121" s="99" t="str">
        <f aca="false">IF($E1121="","",IFERROR(INDEX(科目表!$A$4:$A$81,MATCH($E1121,科目表!$B$4:$B$81,0)),""))</f>
        <v>5603</v>
      </c>
      <c r="G1121" s="67" t="str">
        <f aca="false">IF($E1121="","",IFERROR(INDEX(科目表!$E$4:$E$81,MATCH($E1121,科目表!$B$4:$B$81,0)),""))</f>
        <v>财务费用</v>
      </c>
      <c r="H1121" s="70" t="n">
        <f aca="false">IF($E1121="","",N(INDEX(资金日记账!$N$4:$S$603,106,5)))</f>
        <v>0</v>
      </c>
      <c r="I1121" s="70" t="n">
        <f aca="false">IF($E1121="","",N(INDEX(资金日记账!$N$4:$S$603,106,6)))</f>
        <v>12000</v>
      </c>
      <c r="J1121" s="67" t="str">
        <f aca="false">IF($E1121="","",INDEX(资金日记账!$E$4:$E$603,106))</f>
        <v>聂新平</v>
      </c>
      <c r="K1121" s="67" t="str">
        <f aca="false">IF($E1121="","",INDEX(资金日记账!$F$4:$F$603,106))</f>
        <v>利息</v>
      </c>
      <c r="L1121" s="107" t="n">
        <f aca="false">IF($E1121="","",INDEX(资金日记账!$X$4:$X$603,106))</f>
        <v>0</v>
      </c>
      <c r="M1121" s="107"/>
      <c r="N1121" s="67" t="n">
        <f aca="false">IF($E1121="","",INDEX(资金日记账!$Y$4:$Y$603,106))</f>
        <v>0</v>
      </c>
      <c r="O1121" s="67" t="str">
        <f aca="false">IF($E1121="","","自动B")</f>
        <v>自动B</v>
      </c>
      <c r="P1121" s="18"/>
    </row>
    <row r="1122" customFormat="false" ht="18" hidden="false" customHeight="true" outlineLevel="0" collapsed="false">
      <c r="A1122" s="107" t="n">
        <f aca="false">IF($E1122="","",ROW()-3)</f>
        <v>1119</v>
      </c>
      <c r="B1122" s="110" t="n">
        <f aca="false">IF($E1122="","",INDEX(资金日记账!$B$4:$B$603,107))</f>
        <v>46275</v>
      </c>
      <c r="C1122" s="67" t="str">
        <f aca="false">IF($E1122="","",IF(INDEX(资金日记账!$W$4:$W$603,107)="","记-"&amp;TEXT($B1122,"YYYYMM")&amp;"-资金",INDEX(资金日记账!$W$4:$W$603,107)))</f>
        <v>记-202609-资金</v>
      </c>
      <c r="D1122" s="107" t="n">
        <f aca="false">IF($E1122="","",INDEX(资金日记账!$D$4:$D$603,107))</f>
        <v>0</v>
      </c>
      <c r="E1122" s="67" t="str">
        <f aca="false">IF(INDEX(资金日记账!$N$4:$S$603,107,1)=0,"",INDEX(资金日记账!$N$4:$S$603,107,1))</f>
        <v>其他货币资金</v>
      </c>
      <c r="F1122" s="99" t="str">
        <f aca="false">IF($E1122="","",IFERROR(INDEX(科目表!$A$4:$A$81,MATCH($E1122,科目表!$B$4:$B$81,0)),""))</f>
        <v>1012</v>
      </c>
      <c r="G1122" s="67" t="str">
        <f aca="false">IF($E1122="","",IFERROR(INDEX(科目表!$E$4:$E$81,MATCH($E1122,科目表!$B$4:$B$81,0)),""))</f>
        <v>货币资金</v>
      </c>
      <c r="H1122" s="70" t="n">
        <f aca="false">IF($E1122="","",N(INDEX(资金日记账!$N$4:$S$603,107,2)))</f>
        <v>60</v>
      </c>
      <c r="I1122" s="70" t="n">
        <f aca="false">IF($E1122="","",N(INDEX(资金日记账!$N$4:$S$603,107,3)))</f>
        <v>0</v>
      </c>
      <c r="J1122" s="67" t="n">
        <f aca="false">IF($E1122="","",INDEX(资金日记账!$E$4:$E$603,107))</f>
        <v>0</v>
      </c>
      <c r="K1122" s="67" t="str">
        <f aca="false">IF($E1122="","",INDEX(资金日记账!$F$4:$F$603,107))</f>
        <v>利息</v>
      </c>
      <c r="L1122" s="107" t="n">
        <f aca="false">IF($E1122="","",INDEX(资金日记账!$X$4:$X$603,107))</f>
        <v>0</v>
      </c>
      <c r="M1122" s="107"/>
      <c r="N1122" s="67" t="n">
        <f aca="false">IF($E1122="","",INDEX(资金日记账!$Y$4:$Y$603,107))</f>
        <v>0</v>
      </c>
      <c r="O1122" s="67" t="str">
        <f aca="false">IF($E1122="","","自动B")</f>
        <v>自动B</v>
      </c>
      <c r="P1122" s="18"/>
    </row>
    <row r="1123" customFormat="false" ht="18" hidden="false" customHeight="true" outlineLevel="0" collapsed="false">
      <c r="A1123" s="107" t="n">
        <f aca="false">IF($E1123="","",ROW()-3)</f>
        <v>1120</v>
      </c>
      <c r="B1123" s="110" t="n">
        <f aca="false">IF($E1123="","",INDEX(资金日记账!$B$4:$B$603,107))</f>
        <v>46275</v>
      </c>
      <c r="C1123" s="67" t="str">
        <f aca="false">IF($E1123="","",IF(INDEX(资金日记账!$W$4:$W$603,107)="","记-"&amp;TEXT($B1123,"YYYYMM")&amp;"-资金",INDEX(资金日记账!$W$4:$W$603,107)))</f>
        <v>记-202609-资金</v>
      </c>
      <c r="D1123" s="107" t="n">
        <f aca="false">IF($E1123="","",INDEX(资金日记账!$D$4:$D$603,107))</f>
        <v>0</v>
      </c>
      <c r="E1123" s="67" t="str">
        <f aca="false">IF(INDEX(资金日记账!$N$4:$S$603,107,4)=0,"",INDEX(资金日记账!$N$4:$S$603,107,4))</f>
        <v>财务费用</v>
      </c>
      <c r="F1123" s="99" t="str">
        <f aca="false">IF($E1123="","",IFERROR(INDEX(科目表!$A$4:$A$81,MATCH($E1123,科目表!$B$4:$B$81,0)),""))</f>
        <v>5603</v>
      </c>
      <c r="G1123" s="67" t="str">
        <f aca="false">IF($E1123="","",IFERROR(INDEX(科目表!$E$4:$E$81,MATCH($E1123,科目表!$B$4:$B$81,0)),""))</f>
        <v>财务费用</v>
      </c>
      <c r="H1123" s="70" t="n">
        <f aca="false">IF($E1123="","",N(INDEX(资金日记账!$N$4:$S$603,107,5)))</f>
        <v>0</v>
      </c>
      <c r="I1123" s="70" t="n">
        <f aca="false">IF($E1123="","",N(INDEX(资金日记账!$N$4:$S$603,107,6)))</f>
        <v>60</v>
      </c>
      <c r="J1123" s="67" t="n">
        <f aca="false">IF($E1123="","",INDEX(资金日记账!$E$4:$E$603,107))</f>
        <v>0</v>
      </c>
      <c r="K1123" s="67" t="str">
        <f aca="false">IF($E1123="","",INDEX(资金日记账!$F$4:$F$603,107))</f>
        <v>利息</v>
      </c>
      <c r="L1123" s="107" t="n">
        <f aca="false">IF($E1123="","",INDEX(资金日记账!$X$4:$X$603,107))</f>
        <v>0</v>
      </c>
      <c r="M1123" s="107"/>
      <c r="N1123" s="67" t="n">
        <f aca="false">IF($E1123="","",INDEX(资金日记账!$Y$4:$Y$603,107))</f>
        <v>0</v>
      </c>
      <c r="O1123" s="67" t="str">
        <f aca="false">IF($E1123="","","自动B")</f>
        <v>自动B</v>
      </c>
      <c r="P1123" s="18"/>
    </row>
    <row r="1124" customFormat="false" ht="18" hidden="false" customHeight="true" outlineLevel="0" collapsed="false">
      <c r="A1124" s="107" t="n">
        <f aca="false">IF($E1124="","",ROW()-3)</f>
        <v>1121</v>
      </c>
      <c r="B1124" s="110" t="n">
        <f aca="false">IF($E1124="","",INDEX(资金日记账!$B$4:$B$603,108))</f>
        <v>46277</v>
      </c>
      <c r="C1124" s="67" t="str">
        <f aca="false">IF($E1124="","",IF(INDEX(资金日记账!$W$4:$W$603,108)="","记-"&amp;TEXT($B1124,"YYYYMM")&amp;"-资金",INDEX(资金日记账!$W$4:$W$603,108)))</f>
        <v>记-202609-资金</v>
      </c>
      <c r="D1124" s="107" t="str">
        <f aca="false">IF($E1124="","",INDEX(资金日记账!$D$4:$D$603,108))</f>
        <v>烟</v>
      </c>
      <c r="E1124" s="67" t="str">
        <f aca="false">IF(INDEX(资金日记账!$N$4:$S$603,108,1)=0,"",INDEX(资金日记账!$N$4:$S$603,108,1))</f>
        <v>管理费用</v>
      </c>
      <c r="F1124" s="99" t="str">
        <f aca="false">IF($E1124="","",IFERROR(INDEX(科目表!$A$4:$A$81,MATCH($E1124,科目表!$B$4:$B$81,0)),""))</f>
        <v>5602</v>
      </c>
      <c r="G1124" s="67" t="str">
        <f aca="false">IF($E1124="","",IFERROR(INDEX(科目表!$E$4:$E$81,MATCH($E1124,科目表!$B$4:$B$81,0)),""))</f>
        <v>管理费用</v>
      </c>
      <c r="H1124" s="70" t="n">
        <f aca="false">IF($E1124="","",N(INDEX(资金日记账!$N$4:$S$603,108,2)))</f>
        <v>1600</v>
      </c>
      <c r="I1124" s="70" t="n">
        <f aca="false">IF($E1124="","",N(INDEX(资金日记账!$N$4:$S$603,108,3)))</f>
        <v>0</v>
      </c>
      <c r="J1124" s="67" t="n">
        <f aca="false">IF($E1124="","",INDEX(资金日记账!$E$4:$E$603,108))</f>
        <v>0</v>
      </c>
      <c r="K1124" s="67" t="n">
        <f aca="false">IF($E1124="","",INDEX(资金日记账!$F$4:$F$603,108))</f>
        <v>0</v>
      </c>
      <c r="L1124" s="107" t="n">
        <f aca="false">IF($E1124="","",INDEX(资金日记账!$X$4:$X$603,108))</f>
        <v>0</v>
      </c>
      <c r="M1124" s="107"/>
      <c r="N1124" s="67" t="n">
        <f aca="false">IF($E1124="","",INDEX(资金日记账!$Y$4:$Y$603,108))</f>
        <v>0</v>
      </c>
      <c r="O1124" s="67" t="str">
        <f aca="false">IF($E1124="","","自动B")</f>
        <v>自动B</v>
      </c>
      <c r="P1124" s="18"/>
    </row>
    <row r="1125" customFormat="false" ht="18" hidden="false" customHeight="true" outlineLevel="0" collapsed="false">
      <c r="A1125" s="107" t="n">
        <f aca="false">IF($E1125="","",ROW()-3)</f>
        <v>1122</v>
      </c>
      <c r="B1125" s="110" t="n">
        <f aca="false">IF($E1125="","",INDEX(资金日记账!$B$4:$B$603,108))</f>
        <v>46277</v>
      </c>
      <c r="C1125" s="67" t="str">
        <f aca="false">IF($E1125="","",IF(INDEX(资金日记账!$W$4:$W$603,108)="","记-"&amp;TEXT($B1125,"YYYYMM")&amp;"-资金",INDEX(资金日记账!$W$4:$W$603,108)))</f>
        <v>记-202609-资金</v>
      </c>
      <c r="D1125" s="107" t="str">
        <f aca="false">IF($E1125="","",INDEX(资金日记账!$D$4:$D$603,108))</f>
        <v>烟</v>
      </c>
      <c r="E1125" s="67" t="str">
        <f aca="false">IF(INDEX(资金日记账!$N$4:$S$603,108,4)=0,"",INDEX(资金日记账!$N$4:$S$603,108,4))</f>
        <v>其他货币资金</v>
      </c>
      <c r="F1125" s="99" t="str">
        <f aca="false">IF($E1125="","",IFERROR(INDEX(科目表!$A$4:$A$81,MATCH($E1125,科目表!$B$4:$B$81,0)),""))</f>
        <v>1012</v>
      </c>
      <c r="G1125" s="67" t="str">
        <f aca="false">IF($E1125="","",IFERROR(INDEX(科目表!$E$4:$E$81,MATCH($E1125,科目表!$B$4:$B$81,0)),""))</f>
        <v>货币资金</v>
      </c>
      <c r="H1125" s="70" t="n">
        <f aca="false">IF($E1125="","",N(INDEX(资金日记账!$N$4:$S$603,108,5)))</f>
        <v>0</v>
      </c>
      <c r="I1125" s="70" t="n">
        <f aca="false">IF($E1125="","",N(INDEX(资金日记账!$N$4:$S$603,108,6)))</f>
        <v>1600</v>
      </c>
      <c r="J1125" s="67" t="n">
        <f aca="false">IF($E1125="","",INDEX(资金日记账!$E$4:$E$603,108))</f>
        <v>0</v>
      </c>
      <c r="K1125" s="67" t="n">
        <f aca="false">IF($E1125="","",INDEX(资金日记账!$F$4:$F$603,108))</f>
        <v>0</v>
      </c>
      <c r="L1125" s="107" t="n">
        <f aca="false">IF($E1125="","",INDEX(资金日记账!$X$4:$X$603,108))</f>
        <v>0</v>
      </c>
      <c r="M1125" s="107"/>
      <c r="N1125" s="67" t="n">
        <f aca="false">IF($E1125="","",INDEX(资金日记账!$Y$4:$Y$603,108))</f>
        <v>0</v>
      </c>
      <c r="O1125" s="67" t="str">
        <f aca="false">IF($E1125="","","自动B")</f>
        <v>自动B</v>
      </c>
      <c r="P1125" s="18"/>
    </row>
    <row r="1126" customFormat="false" ht="18" hidden="false" customHeight="true" outlineLevel="0" collapsed="false">
      <c r="A1126" s="107" t="n">
        <f aca="false">IF($E1126="","",ROW()-3)</f>
        <v>1123</v>
      </c>
      <c r="B1126" s="110" t="n">
        <f aca="false">IF($E1126="","",INDEX(资金日记账!$B$4:$B$603,109))</f>
        <v>46277</v>
      </c>
      <c r="C1126" s="67" t="str">
        <f aca="false">IF($E1126="","",IF(INDEX(资金日记账!$W$4:$W$603,109)="","记-"&amp;TEXT($B1126,"YYYYMM")&amp;"-资金",INDEX(资金日记账!$W$4:$W$603,109)))</f>
        <v>记-202609-资金</v>
      </c>
      <c r="D1126" s="107" t="n">
        <f aca="false">IF($E1126="","",INDEX(资金日记账!$D$4:$D$603,109))</f>
        <v>0</v>
      </c>
      <c r="E1126" s="67" t="str">
        <f aca="false">IF(INDEX(资金日记账!$N$4:$S$603,109,1)=0,"",INDEX(资金日记账!$N$4:$S$603,109,1))</f>
        <v>管理费用</v>
      </c>
      <c r="F1126" s="99" t="str">
        <f aca="false">IF($E1126="","",IFERROR(INDEX(科目表!$A$4:$A$81,MATCH($E1126,科目表!$B$4:$B$81,0)),""))</f>
        <v>5602</v>
      </c>
      <c r="G1126" s="67" t="str">
        <f aca="false">IF($E1126="","",IFERROR(INDEX(科目表!$E$4:$E$81,MATCH($E1126,科目表!$B$4:$B$81,0)),""))</f>
        <v>管理费用</v>
      </c>
      <c r="H1126" s="70" t="n">
        <f aca="false">IF($E1126="","",N(INDEX(资金日记账!$N$4:$S$603,109,2)))</f>
        <v>200</v>
      </c>
      <c r="I1126" s="70" t="n">
        <f aca="false">IF($E1126="","",N(INDEX(资金日记账!$N$4:$S$603,109,3)))</f>
        <v>0</v>
      </c>
      <c r="J1126" s="67" t="n">
        <f aca="false">IF($E1126="","",INDEX(资金日记账!$E$4:$E$603,109))</f>
        <v>0</v>
      </c>
      <c r="K1126" s="67" t="n">
        <f aca="false">IF($E1126="","",INDEX(资金日记账!$F$4:$F$603,109))</f>
        <v>0</v>
      </c>
      <c r="L1126" s="107" t="n">
        <f aca="false">IF($E1126="","",INDEX(资金日记账!$X$4:$X$603,109))</f>
        <v>0</v>
      </c>
      <c r="M1126" s="107"/>
      <c r="N1126" s="67" t="n">
        <f aca="false">IF($E1126="","",INDEX(资金日记账!$Y$4:$Y$603,109))</f>
        <v>0</v>
      </c>
      <c r="O1126" s="67" t="str">
        <f aca="false">IF($E1126="","","自动B")</f>
        <v>自动B</v>
      </c>
      <c r="P1126" s="18"/>
    </row>
    <row r="1127" customFormat="false" ht="18" hidden="false" customHeight="true" outlineLevel="0" collapsed="false">
      <c r="A1127" s="107" t="n">
        <f aca="false">IF($E1127="","",ROW()-3)</f>
        <v>1124</v>
      </c>
      <c r="B1127" s="110" t="n">
        <f aca="false">IF($E1127="","",INDEX(资金日记账!$B$4:$B$603,109))</f>
        <v>46277</v>
      </c>
      <c r="C1127" s="67" t="str">
        <f aca="false">IF($E1127="","",IF(INDEX(资金日记账!$W$4:$W$603,109)="","记-"&amp;TEXT($B1127,"YYYYMM")&amp;"-资金",INDEX(资金日记账!$W$4:$W$603,109)))</f>
        <v>记-202609-资金</v>
      </c>
      <c r="D1127" s="107" t="n">
        <f aca="false">IF($E1127="","",INDEX(资金日记账!$D$4:$D$603,109))</f>
        <v>0</v>
      </c>
      <c r="E1127" s="67" t="str">
        <f aca="false">IF(INDEX(资金日记账!$N$4:$S$603,109,4)=0,"",INDEX(资金日记账!$N$4:$S$603,109,4))</f>
        <v>其他货币资金</v>
      </c>
      <c r="F1127" s="99" t="str">
        <f aca="false">IF($E1127="","",IFERROR(INDEX(科目表!$A$4:$A$81,MATCH($E1127,科目表!$B$4:$B$81,0)),""))</f>
        <v>1012</v>
      </c>
      <c r="G1127" s="67" t="str">
        <f aca="false">IF($E1127="","",IFERROR(INDEX(科目表!$E$4:$E$81,MATCH($E1127,科目表!$B$4:$B$81,0)),""))</f>
        <v>货币资金</v>
      </c>
      <c r="H1127" s="70" t="n">
        <f aca="false">IF($E1127="","",N(INDEX(资金日记账!$N$4:$S$603,109,5)))</f>
        <v>0</v>
      </c>
      <c r="I1127" s="70" t="n">
        <f aca="false">IF($E1127="","",N(INDEX(资金日记账!$N$4:$S$603,109,6)))</f>
        <v>200</v>
      </c>
      <c r="J1127" s="67" t="n">
        <f aca="false">IF($E1127="","",INDEX(资金日记账!$E$4:$E$603,109))</f>
        <v>0</v>
      </c>
      <c r="K1127" s="67" t="n">
        <f aca="false">IF($E1127="","",INDEX(资金日记账!$F$4:$F$603,109))</f>
        <v>0</v>
      </c>
      <c r="L1127" s="107" t="n">
        <f aca="false">IF($E1127="","",INDEX(资金日记账!$X$4:$X$603,109))</f>
        <v>0</v>
      </c>
      <c r="M1127" s="107"/>
      <c r="N1127" s="67" t="n">
        <f aca="false">IF($E1127="","",INDEX(资金日记账!$Y$4:$Y$603,109))</f>
        <v>0</v>
      </c>
      <c r="O1127" s="67" t="str">
        <f aca="false">IF($E1127="","","自动B")</f>
        <v>自动B</v>
      </c>
      <c r="P1127" s="18"/>
    </row>
    <row r="1128" customFormat="false" ht="18" hidden="false" customHeight="true" outlineLevel="0" collapsed="false">
      <c r="A1128" s="107" t="n">
        <f aca="false">IF($E1128="","",ROW()-3)</f>
        <v>1125</v>
      </c>
      <c r="B1128" s="110" t="n">
        <f aca="false">IF($E1128="","",INDEX(资金日记账!$B$4:$B$603,110))</f>
        <v>46278</v>
      </c>
      <c r="C1128" s="67" t="str">
        <f aca="false">IF($E1128="","",IF(INDEX(资金日记账!$W$4:$W$603,110)="","记-"&amp;TEXT($B1128,"YYYYMM")&amp;"-资金",INDEX(资金日记账!$W$4:$W$603,110)))</f>
        <v>记-202609-资金</v>
      </c>
      <c r="D1128" s="107" t="str">
        <f aca="false">IF($E1128="","",INDEX(资金日记账!$D$4:$D$603,110))</f>
        <v>烟</v>
      </c>
      <c r="E1128" s="67" t="str">
        <f aca="false">IF(INDEX(资金日记账!$N$4:$S$603,110,1)=0,"",INDEX(资金日记账!$N$4:$S$603,110,1))</f>
        <v>管理费用</v>
      </c>
      <c r="F1128" s="99" t="str">
        <f aca="false">IF($E1128="","",IFERROR(INDEX(科目表!$A$4:$A$81,MATCH($E1128,科目表!$B$4:$B$81,0)),""))</f>
        <v>5602</v>
      </c>
      <c r="G1128" s="67" t="str">
        <f aca="false">IF($E1128="","",IFERROR(INDEX(科目表!$E$4:$E$81,MATCH($E1128,科目表!$B$4:$B$81,0)),""))</f>
        <v>管理费用</v>
      </c>
      <c r="H1128" s="70" t="n">
        <f aca="false">IF($E1128="","",N(INDEX(资金日记账!$N$4:$S$603,110,2)))</f>
        <v>3000</v>
      </c>
      <c r="I1128" s="70" t="n">
        <f aca="false">IF($E1128="","",N(INDEX(资金日记账!$N$4:$S$603,110,3)))</f>
        <v>0</v>
      </c>
      <c r="J1128" s="67" t="n">
        <f aca="false">IF($E1128="","",INDEX(资金日记账!$E$4:$E$603,110))</f>
        <v>0</v>
      </c>
      <c r="K1128" s="67" t="n">
        <f aca="false">IF($E1128="","",INDEX(资金日记账!$F$4:$F$603,110))</f>
        <v>0</v>
      </c>
      <c r="L1128" s="107" t="n">
        <f aca="false">IF($E1128="","",INDEX(资金日记账!$X$4:$X$603,110))</f>
        <v>0</v>
      </c>
      <c r="M1128" s="107"/>
      <c r="N1128" s="67" t="n">
        <f aca="false">IF($E1128="","",INDEX(资金日记账!$Y$4:$Y$603,110))</f>
        <v>0</v>
      </c>
      <c r="O1128" s="67" t="str">
        <f aca="false">IF($E1128="","","自动B")</f>
        <v>自动B</v>
      </c>
      <c r="P1128" s="18"/>
    </row>
    <row r="1129" customFormat="false" ht="18" hidden="false" customHeight="true" outlineLevel="0" collapsed="false">
      <c r="A1129" s="107" t="n">
        <f aca="false">IF($E1129="","",ROW()-3)</f>
        <v>1126</v>
      </c>
      <c r="B1129" s="110" t="n">
        <f aca="false">IF($E1129="","",INDEX(资金日记账!$B$4:$B$603,110))</f>
        <v>46278</v>
      </c>
      <c r="C1129" s="67" t="str">
        <f aca="false">IF($E1129="","",IF(INDEX(资金日记账!$W$4:$W$603,110)="","记-"&amp;TEXT($B1129,"YYYYMM")&amp;"-资金",INDEX(资金日记账!$W$4:$W$603,110)))</f>
        <v>记-202609-资金</v>
      </c>
      <c r="D1129" s="107" t="str">
        <f aca="false">IF($E1129="","",INDEX(资金日记账!$D$4:$D$603,110))</f>
        <v>烟</v>
      </c>
      <c r="E1129" s="67" t="str">
        <f aca="false">IF(INDEX(资金日记账!$N$4:$S$603,110,4)=0,"",INDEX(资金日记账!$N$4:$S$603,110,4))</f>
        <v>其他货币资金</v>
      </c>
      <c r="F1129" s="99" t="str">
        <f aca="false">IF($E1129="","",IFERROR(INDEX(科目表!$A$4:$A$81,MATCH($E1129,科目表!$B$4:$B$81,0)),""))</f>
        <v>1012</v>
      </c>
      <c r="G1129" s="67" t="str">
        <f aca="false">IF($E1129="","",IFERROR(INDEX(科目表!$E$4:$E$81,MATCH($E1129,科目表!$B$4:$B$81,0)),""))</f>
        <v>货币资金</v>
      </c>
      <c r="H1129" s="70" t="n">
        <f aca="false">IF($E1129="","",N(INDEX(资金日记账!$N$4:$S$603,110,5)))</f>
        <v>0</v>
      </c>
      <c r="I1129" s="70" t="n">
        <f aca="false">IF($E1129="","",N(INDEX(资金日记账!$N$4:$S$603,110,6)))</f>
        <v>3000</v>
      </c>
      <c r="J1129" s="67" t="n">
        <f aca="false">IF($E1129="","",INDEX(资金日记账!$E$4:$E$603,110))</f>
        <v>0</v>
      </c>
      <c r="K1129" s="67" t="n">
        <f aca="false">IF($E1129="","",INDEX(资金日记账!$F$4:$F$603,110))</f>
        <v>0</v>
      </c>
      <c r="L1129" s="107" t="n">
        <f aca="false">IF($E1129="","",INDEX(资金日记账!$X$4:$X$603,110))</f>
        <v>0</v>
      </c>
      <c r="M1129" s="107"/>
      <c r="N1129" s="67" t="n">
        <f aca="false">IF($E1129="","",INDEX(资金日记账!$Y$4:$Y$603,110))</f>
        <v>0</v>
      </c>
      <c r="O1129" s="67" t="str">
        <f aca="false">IF($E1129="","","自动B")</f>
        <v>自动B</v>
      </c>
      <c r="P1129" s="18"/>
    </row>
    <row r="1130" customFormat="false" ht="18" hidden="false" customHeight="true" outlineLevel="0" collapsed="false">
      <c r="A1130" s="107" t="n">
        <f aca="false">IF($E1130="","",ROW()-3)</f>
        <v>1127</v>
      </c>
      <c r="B1130" s="110" t="n">
        <f aca="false">IF($E1130="","",INDEX(资金日记账!$B$4:$B$603,111))</f>
        <v>46278</v>
      </c>
      <c r="C1130" s="67" t="str">
        <f aca="false">IF($E1130="","",IF(INDEX(资金日记账!$W$4:$W$603,111)="","记-"&amp;TEXT($B1130,"YYYYMM")&amp;"-资金",INDEX(资金日记账!$W$4:$W$603,111)))</f>
        <v>记-202609-资金</v>
      </c>
      <c r="D1130" s="107" t="n">
        <f aca="false">IF($E1130="","",INDEX(资金日记账!$D$4:$D$603,111))</f>
        <v>0</v>
      </c>
      <c r="E1130" s="67" t="str">
        <f aca="false">IF(INDEX(资金日记账!$N$4:$S$603,111,1)=0,"",INDEX(资金日记账!$N$4:$S$603,111,1))</f>
        <v>其他应付款</v>
      </c>
      <c r="F1130" s="99" t="str">
        <f aca="false">IF($E1130="","",IFERROR(INDEX(科目表!$A$4:$A$81,MATCH($E1130,科目表!$B$4:$B$81,0)),""))</f>
        <v>2241</v>
      </c>
      <c r="G1130" s="67" t="str">
        <f aca="false">IF($E1130="","",IFERROR(INDEX(科目表!$E$4:$E$81,MATCH($E1130,科目表!$B$4:$B$81,0)),""))</f>
        <v>其他应付款</v>
      </c>
      <c r="H1130" s="70" t="n">
        <f aca="false">IF($E1130="","",N(INDEX(资金日记账!$N$4:$S$603,111,2)))</f>
        <v>2000</v>
      </c>
      <c r="I1130" s="70" t="n">
        <f aca="false">IF($E1130="","",N(INDEX(资金日记账!$N$4:$S$603,111,3)))</f>
        <v>0</v>
      </c>
      <c r="J1130" s="67" t="str">
        <f aca="false">IF($E1130="","",INDEX(资金日记账!$E$4:$E$603,111))</f>
        <v>热合曼</v>
      </c>
      <c r="K1130" s="67" t="str">
        <f aca="false">IF($E1130="","",INDEX(资金日记账!$F$4:$F$603,111))</f>
        <v>押金退还</v>
      </c>
      <c r="L1130" s="107" t="n">
        <f aca="false">IF($E1130="","",INDEX(资金日记账!$X$4:$X$603,111))</f>
        <v>0</v>
      </c>
      <c r="M1130" s="107"/>
      <c r="N1130" s="67" t="n">
        <f aca="false">IF($E1130="","",INDEX(资金日记账!$Y$4:$Y$603,111))</f>
        <v>0</v>
      </c>
      <c r="O1130" s="67" t="str">
        <f aca="false">IF($E1130="","","自动B")</f>
        <v>自动B</v>
      </c>
      <c r="P1130" s="18"/>
    </row>
    <row r="1131" customFormat="false" ht="18" hidden="false" customHeight="true" outlineLevel="0" collapsed="false">
      <c r="A1131" s="107" t="n">
        <f aca="false">IF($E1131="","",ROW()-3)</f>
        <v>1128</v>
      </c>
      <c r="B1131" s="110" t="n">
        <f aca="false">IF($E1131="","",INDEX(资金日记账!$B$4:$B$603,111))</f>
        <v>46278</v>
      </c>
      <c r="C1131" s="67" t="str">
        <f aca="false">IF($E1131="","",IF(INDEX(资金日记账!$W$4:$W$603,111)="","记-"&amp;TEXT($B1131,"YYYYMM")&amp;"-资金",INDEX(资金日记账!$W$4:$W$603,111)))</f>
        <v>记-202609-资金</v>
      </c>
      <c r="D1131" s="107" t="n">
        <f aca="false">IF($E1131="","",INDEX(资金日记账!$D$4:$D$603,111))</f>
        <v>0</v>
      </c>
      <c r="E1131" s="67" t="str">
        <f aca="false">IF(INDEX(资金日记账!$N$4:$S$603,111,4)=0,"",INDEX(资金日记账!$N$4:$S$603,111,4))</f>
        <v>其他货币资金</v>
      </c>
      <c r="F1131" s="99" t="str">
        <f aca="false">IF($E1131="","",IFERROR(INDEX(科目表!$A$4:$A$81,MATCH($E1131,科目表!$B$4:$B$81,0)),""))</f>
        <v>1012</v>
      </c>
      <c r="G1131" s="67" t="str">
        <f aca="false">IF($E1131="","",IFERROR(INDEX(科目表!$E$4:$E$81,MATCH($E1131,科目表!$B$4:$B$81,0)),""))</f>
        <v>货币资金</v>
      </c>
      <c r="H1131" s="70" t="n">
        <f aca="false">IF($E1131="","",N(INDEX(资金日记账!$N$4:$S$603,111,5)))</f>
        <v>0</v>
      </c>
      <c r="I1131" s="70" t="n">
        <f aca="false">IF($E1131="","",N(INDEX(资金日记账!$N$4:$S$603,111,6)))</f>
        <v>2000</v>
      </c>
      <c r="J1131" s="67" t="str">
        <f aca="false">IF($E1131="","",INDEX(资金日记账!$E$4:$E$603,111))</f>
        <v>热合曼</v>
      </c>
      <c r="K1131" s="67" t="str">
        <f aca="false">IF($E1131="","",INDEX(资金日记账!$F$4:$F$603,111))</f>
        <v>押金退还</v>
      </c>
      <c r="L1131" s="107" t="n">
        <f aca="false">IF($E1131="","",INDEX(资金日记账!$X$4:$X$603,111))</f>
        <v>0</v>
      </c>
      <c r="M1131" s="107"/>
      <c r="N1131" s="67" t="n">
        <f aca="false">IF($E1131="","",INDEX(资金日记账!$Y$4:$Y$603,111))</f>
        <v>0</v>
      </c>
      <c r="O1131" s="67" t="str">
        <f aca="false">IF($E1131="","","自动B")</f>
        <v>自动B</v>
      </c>
      <c r="P1131" s="18"/>
    </row>
    <row r="1132" customFormat="false" ht="18" hidden="false" customHeight="true" outlineLevel="0" collapsed="false">
      <c r="A1132" s="107" t="n">
        <f aca="false">IF($E1132="","",ROW()-3)</f>
        <v>1129</v>
      </c>
      <c r="B1132" s="110" t="n">
        <f aca="false">IF($E1132="","",INDEX(资金日记账!$B$4:$B$603,112))</f>
        <v>46278</v>
      </c>
      <c r="C1132" s="67" t="str">
        <f aca="false">IF($E1132="","",IF(INDEX(资金日记账!$W$4:$W$603,112)="","记-"&amp;TEXT($B1132,"YYYYMM")&amp;"-资金",INDEX(资金日记账!$W$4:$W$603,112)))</f>
        <v>记-202609-资金</v>
      </c>
      <c r="D1132" s="107" t="n">
        <f aca="false">IF($E1132="","",INDEX(资金日记账!$D$4:$D$603,112))</f>
        <v>0</v>
      </c>
      <c r="E1132" s="67" t="str">
        <f aca="false">IF(INDEX(资金日记账!$N$4:$S$603,112,1)=0,"",INDEX(资金日记账!$N$4:$S$603,112,1))</f>
        <v>其他应付款</v>
      </c>
      <c r="F1132" s="99" t="str">
        <f aca="false">IF($E1132="","",IFERROR(INDEX(科目表!$A$4:$A$81,MATCH($E1132,科目表!$B$4:$B$81,0)),""))</f>
        <v>2241</v>
      </c>
      <c r="G1132" s="67" t="str">
        <f aca="false">IF($E1132="","",IFERROR(INDEX(科目表!$E$4:$E$81,MATCH($E1132,科目表!$B$4:$B$81,0)),""))</f>
        <v>其他应付款</v>
      </c>
      <c r="H1132" s="70" t="n">
        <f aca="false">IF($E1132="","",N(INDEX(资金日记账!$N$4:$S$603,112,2)))</f>
        <v>2000</v>
      </c>
      <c r="I1132" s="70" t="n">
        <f aca="false">IF($E1132="","",N(INDEX(资金日记账!$N$4:$S$603,112,3)))</f>
        <v>0</v>
      </c>
      <c r="J1132" s="67" t="str">
        <f aca="false">IF($E1132="","",INDEX(资金日记账!$E$4:$E$603,112))</f>
        <v>麦麦提</v>
      </c>
      <c r="K1132" s="67" t="str">
        <f aca="false">IF($E1132="","",INDEX(资金日记账!$F$4:$F$603,112))</f>
        <v>押金退还</v>
      </c>
      <c r="L1132" s="107" t="n">
        <f aca="false">IF($E1132="","",INDEX(资金日记账!$X$4:$X$603,112))</f>
        <v>0</v>
      </c>
      <c r="M1132" s="107"/>
      <c r="N1132" s="67" t="n">
        <f aca="false">IF($E1132="","",INDEX(资金日记账!$Y$4:$Y$603,112))</f>
        <v>0</v>
      </c>
      <c r="O1132" s="67" t="str">
        <f aca="false">IF($E1132="","","自动B")</f>
        <v>自动B</v>
      </c>
      <c r="P1132" s="18"/>
    </row>
    <row r="1133" customFormat="false" ht="18" hidden="false" customHeight="true" outlineLevel="0" collapsed="false">
      <c r="A1133" s="107" t="n">
        <f aca="false">IF($E1133="","",ROW()-3)</f>
        <v>1130</v>
      </c>
      <c r="B1133" s="110" t="n">
        <f aca="false">IF($E1133="","",INDEX(资金日记账!$B$4:$B$603,112))</f>
        <v>46278</v>
      </c>
      <c r="C1133" s="67" t="str">
        <f aca="false">IF($E1133="","",IF(INDEX(资金日记账!$W$4:$W$603,112)="","记-"&amp;TEXT($B1133,"YYYYMM")&amp;"-资金",INDEX(资金日记账!$W$4:$W$603,112)))</f>
        <v>记-202609-资金</v>
      </c>
      <c r="D1133" s="107" t="n">
        <f aca="false">IF($E1133="","",INDEX(资金日记账!$D$4:$D$603,112))</f>
        <v>0</v>
      </c>
      <c r="E1133" s="67" t="str">
        <f aca="false">IF(INDEX(资金日记账!$N$4:$S$603,112,4)=0,"",INDEX(资金日记账!$N$4:$S$603,112,4))</f>
        <v>其他货币资金</v>
      </c>
      <c r="F1133" s="99" t="str">
        <f aca="false">IF($E1133="","",IFERROR(INDEX(科目表!$A$4:$A$81,MATCH($E1133,科目表!$B$4:$B$81,0)),""))</f>
        <v>1012</v>
      </c>
      <c r="G1133" s="67" t="str">
        <f aca="false">IF($E1133="","",IFERROR(INDEX(科目表!$E$4:$E$81,MATCH($E1133,科目表!$B$4:$B$81,0)),""))</f>
        <v>货币资金</v>
      </c>
      <c r="H1133" s="70" t="n">
        <f aca="false">IF($E1133="","",N(INDEX(资金日记账!$N$4:$S$603,112,5)))</f>
        <v>0</v>
      </c>
      <c r="I1133" s="70" t="n">
        <f aca="false">IF($E1133="","",N(INDEX(资金日记账!$N$4:$S$603,112,6)))</f>
        <v>2000</v>
      </c>
      <c r="J1133" s="67" t="str">
        <f aca="false">IF($E1133="","",INDEX(资金日记账!$E$4:$E$603,112))</f>
        <v>麦麦提</v>
      </c>
      <c r="K1133" s="67" t="str">
        <f aca="false">IF($E1133="","",INDEX(资金日记账!$F$4:$F$603,112))</f>
        <v>押金退还</v>
      </c>
      <c r="L1133" s="107" t="n">
        <f aca="false">IF($E1133="","",INDEX(资金日记账!$X$4:$X$603,112))</f>
        <v>0</v>
      </c>
      <c r="M1133" s="107"/>
      <c r="N1133" s="67" t="n">
        <f aca="false">IF($E1133="","",INDEX(资金日记账!$Y$4:$Y$603,112))</f>
        <v>0</v>
      </c>
      <c r="O1133" s="67" t="str">
        <f aca="false">IF($E1133="","","自动B")</f>
        <v>自动B</v>
      </c>
      <c r="P1133" s="18"/>
    </row>
    <row r="1134" customFormat="false" ht="18" hidden="false" customHeight="true" outlineLevel="0" collapsed="false">
      <c r="A1134" s="107" t="n">
        <f aca="false">IF($E1134="","",ROW()-3)</f>
        <v>1131</v>
      </c>
      <c r="B1134" s="110" t="n">
        <f aca="false">IF($E1134="","",INDEX(资金日记账!$B$4:$B$603,113))</f>
        <v>46278</v>
      </c>
      <c r="C1134" s="67" t="str">
        <f aca="false">IF($E1134="","",IF(INDEX(资金日记账!$W$4:$W$603,113)="","记-"&amp;TEXT($B1134,"YYYYMM")&amp;"-资金",INDEX(资金日记账!$W$4:$W$603,113)))</f>
        <v>记-202609-资金</v>
      </c>
      <c r="D1134" s="107" t="n">
        <f aca="false">IF($E1134="","",INDEX(资金日记账!$D$4:$D$603,113))</f>
        <v>0</v>
      </c>
      <c r="E1134" s="67" t="str">
        <f aca="false">IF(INDEX(资金日记账!$N$4:$S$603,113,1)=0,"",INDEX(资金日记账!$N$4:$S$603,113,1))</f>
        <v>其他应付款</v>
      </c>
      <c r="F1134" s="99" t="str">
        <f aca="false">IF($E1134="","",IFERROR(INDEX(科目表!$A$4:$A$81,MATCH($E1134,科目表!$B$4:$B$81,0)),""))</f>
        <v>2241</v>
      </c>
      <c r="G1134" s="67" t="str">
        <f aca="false">IF($E1134="","",IFERROR(INDEX(科目表!$E$4:$E$81,MATCH($E1134,科目表!$B$4:$B$81,0)),""))</f>
        <v>其他应付款</v>
      </c>
      <c r="H1134" s="70" t="n">
        <f aca="false">IF($E1134="","",N(INDEX(资金日记账!$N$4:$S$603,113,2)))</f>
        <v>2000</v>
      </c>
      <c r="I1134" s="70" t="n">
        <f aca="false">IF($E1134="","",N(INDEX(资金日记账!$N$4:$S$603,113,3)))</f>
        <v>0</v>
      </c>
      <c r="J1134" s="67" t="str">
        <f aca="false">IF($E1134="","",INDEX(资金日记账!$E$4:$E$603,113))</f>
        <v>荆建君</v>
      </c>
      <c r="K1134" s="67" t="str">
        <f aca="false">IF($E1134="","",INDEX(资金日记账!$F$4:$F$603,113))</f>
        <v>押金退还</v>
      </c>
      <c r="L1134" s="107" t="n">
        <f aca="false">IF($E1134="","",INDEX(资金日记账!$X$4:$X$603,113))</f>
        <v>0</v>
      </c>
      <c r="M1134" s="107"/>
      <c r="N1134" s="67" t="n">
        <f aca="false">IF($E1134="","",INDEX(资金日记账!$Y$4:$Y$603,113))</f>
        <v>0</v>
      </c>
      <c r="O1134" s="67" t="str">
        <f aca="false">IF($E1134="","","自动B")</f>
        <v>自动B</v>
      </c>
      <c r="P1134" s="18"/>
    </row>
    <row r="1135" customFormat="false" ht="18" hidden="false" customHeight="true" outlineLevel="0" collapsed="false">
      <c r="A1135" s="107" t="n">
        <f aca="false">IF($E1135="","",ROW()-3)</f>
        <v>1132</v>
      </c>
      <c r="B1135" s="110" t="n">
        <f aca="false">IF($E1135="","",INDEX(资金日记账!$B$4:$B$603,113))</f>
        <v>46278</v>
      </c>
      <c r="C1135" s="67" t="str">
        <f aca="false">IF($E1135="","",IF(INDEX(资金日记账!$W$4:$W$603,113)="","记-"&amp;TEXT($B1135,"YYYYMM")&amp;"-资金",INDEX(资金日记账!$W$4:$W$603,113)))</f>
        <v>记-202609-资金</v>
      </c>
      <c r="D1135" s="107" t="n">
        <f aca="false">IF($E1135="","",INDEX(资金日记账!$D$4:$D$603,113))</f>
        <v>0</v>
      </c>
      <c r="E1135" s="67" t="str">
        <f aca="false">IF(INDEX(资金日记账!$N$4:$S$603,113,4)=0,"",INDEX(资金日记账!$N$4:$S$603,113,4))</f>
        <v>其他货币资金</v>
      </c>
      <c r="F1135" s="99" t="str">
        <f aca="false">IF($E1135="","",IFERROR(INDEX(科目表!$A$4:$A$81,MATCH($E1135,科目表!$B$4:$B$81,0)),""))</f>
        <v>1012</v>
      </c>
      <c r="G1135" s="67" t="str">
        <f aca="false">IF($E1135="","",IFERROR(INDEX(科目表!$E$4:$E$81,MATCH($E1135,科目表!$B$4:$B$81,0)),""))</f>
        <v>货币资金</v>
      </c>
      <c r="H1135" s="70" t="n">
        <f aca="false">IF($E1135="","",N(INDEX(资金日记账!$N$4:$S$603,113,5)))</f>
        <v>0</v>
      </c>
      <c r="I1135" s="70" t="n">
        <f aca="false">IF($E1135="","",N(INDEX(资金日记账!$N$4:$S$603,113,6)))</f>
        <v>2000</v>
      </c>
      <c r="J1135" s="67" t="str">
        <f aca="false">IF($E1135="","",INDEX(资金日记账!$E$4:$E$603,113))</f>
        <v>荆建君</v>
      </c>
      <c r="K1135" s="67" t="str">
        <f aca="false">IF($E1135="","",INDEX(资金日记账!$F$4:$F$603,113))</f>
        <v>押金退还</v>
      </c>
      <c r="L1135" s="107" t="n">
        <f aca="false">IF($E1135="","",INDEX(资金日记账!$X$4:$X$603,113))</f>
        <v>0</v>
      </c>
      <c r="M1135" s="107"/>
      <c r="N1135" s="67" t="n">
        <f aca="false">IF($E1135="","",INDEX(资金日记账!$Y$4:$Y$603,113))</f>
        <v>0</v>
      </c>
      <c r="O1135" s="67" t="str">
        <f aca="false">IF($E1135="","","自动B")</f>
        <v>自动B</v>
      </c>
      <c r="P1135" s="18"/>
    </row>
    <row r="1136" customFormat="false" ht="18" hidden="false" customHeight="true" outlineLevel="0" collapsed="false">
      <c r="A1136" s="107" t="n">
        <f aca="false">IF($E1136="","",ROW()-3)</f>
        <v>1133</v>
      </c>
      <c r="B1136" s="110" t="n">
        <f aca="false">IF($E1136="","",INDEX(资金日记账!$B$4:$B$603,114))</f>
        <v>46279</v>
      </c>
      <c r="C1136" s="67" t="str">
        <f aca="false">IF($E1136="","",IF(INDEX(资金日记账!$W$4:$W$603,114)="","记-"&amp;TEXT($B1136,"YYYYMM")&amp;"-资金",INDEX(资金日记账!$W$4:$W$603,114)))</f>
        <v>记-202609-资金</v>
      </c>
      <c r="D1136" s="107" t="str">
        <f aca="false">IF($E1136="","",INDEX(资金日记账!$D$4:$D$603,114))</f>
        <v>退艾合买提</v>
      </c>
      <c r="E1136" s="67" t="str">
        <f aca="false">IF(INDEX(资金日记账!$N$4:$S$603,114,1)=0,"",INDEX(资金日记账!$N$4:$S$603,114,1))</f>
        <v>其他应付款</v>
      </c>
      <c r="F1136" s="99" t="str">
        <f aca="false">IF($E1136="","",IFERROR(INDEX(科目表!$A$4:$A$81,MATCH($E1136,科目表!$B$4:$B$81,0)),""))</f>
        <v>2241</v>
      </c>
      <c r="G1136" s="67" t="str">
        <f aca="false">IF($E1136="","",IFERROR(INDEX(科目表!$E$4:$E$81,MATCH($E1136,科目表!$B$4:$B$81,0)),""))</f>
        <v>其他应付款</v>
      </c>
      <c r="H1136" s="70" t="n">
        <f aca="false">IF($E1136="","",N(INDEX(资金日记账!$N$4:$S$603,114,2)))</f>
        <v>3000</v>
      </c>
      <c r="I1136" s="70" t="n">
        <f aca="false">IF($E1136="","",N(INDEX(资金日记账!$N$4:$S$603,114,3)))</f>
        <v>0</v>
      </c>
      <c r="J1136" s="67" t="n">
        <f aca="false">IF($E1136="","",INDEX(资金日记账!$E$4:$E$603,114))</f>
        <v>0</v>
      </c>
      <c r="K1136" s="67" t="str">
        <f aca="false">IF($E1136="","",INDEX(资金日记账!$F$4:$F$603,114))</f>
        <v>押金退还</v>
      </c>
      <c r="L1136" s="107" t="n">
        <f aca="false">IF($E1136="","",INDEX(资金日记账!$X$4:$X$603,114))</f>
        <v>0</v>
      </c>
      <c r="M1136" s="107"/>
      <c r="N1136" s="67" t="n">
        <f aca="false">IF($E1136="","",INDEX(资金日记账!$Y$4:$Y$603,114))</f>
        <v>0</v>
      </c>
      <c r="O1136" s="67" t="str">
        <f aca="false">IF($E1136="","","自动B")</f>
        <v>自动B</v>
      </c>
      <c r="P1136" s="18"/>
    </row>
    <row r="1137" customFormat="false" ht="18" hidden="false" customHeight="true" outlineLevel="0" collapsed="false">
      <c r="A1137" s="107" t="n">
        <f aca="false">IF($E1137="","",ROW()-3)</f>
        <v>1134</v>
      </c>
      <c r="B1137" s="110" t="n">
        <f aca="false">IF($E1137="","",INDEX(资金日记账!$B$4:$B$603,114))</f>
        <v>46279</v>
      </c>
      <c r="C1137" s="67" t="str">
        <f aca="false">IF($E1137="","",IF(INDEX(资金日记账!$W$4:$W$603,114)="","记-"&amp;TEXT($B1137,"YYYYMM")&amp;"-资金",INDEX(资金日记账!$W$4:$W$603,114)))</f>
        <v>记-202609-资金</v>
      </c>
      <c r="D1137" s="107" t="str">
        <f aca="false">IF($E1137="","",INDEX(资金日记账!$D$4:$D$603,114))</f>
        <v>退艾合买提</v>
      </c>
      <c r="E1137" s="67" t="str">
        <f aca="false">IF(INDEX(资金日记账!$N$4:$S$603,114,4)=0,"",INDEX(资金日记账!$N$4:$S$603,114,4))</f>
        <v>其他货币资金</v>
      </c>
      <c r="F1137" s="99" t="str">
        <f aca="false">IF($E1137="","",IFERROR(INDEX(科目表!$A$4:$A$81,MATCH($E1137,科目表!$B$4:$B$81,0)),""))</f>
        <v>1012</v>
      </c>
      <c r="G1137" s="67" t="str">
        <f aca="false">IF($E1137="","",IFERROR(INDEX(科目表!$E$4:$E$81,MATCH($E1137,科目表!$B$4:$B$81,0)),""))</f>
        <v>货币资金</v>
      </c>
      <c r="H1137" s="70" t="n">
        <f aca="false">IF($E1137="","",N(INDEX(资金日记账!$N$4:$S$603,114,5)))</f>
        <v>0</v>
      </c>
      <c r="I1137" s="70" t="n">
        <f aca="false">IF($E1137="","",N(INDEX(资金日记账!$N$4:$S$603,114,6)))</f>
        <v>3000</v>
      </c>
      <c r="J1137" s="67" t="n">
        <f aca="false">IF($E1137="","",INDEX(资金日记账!$E$4:$E$603,114))</f>
        <v>0</v>
      </c>
      <c r="K1137" s="67" t="str">
        <f aca="false">IF($E1137="","",INDEX(资金日记账!$F$4:$F$603,114))</f>
        <v>押金退还</v>
      </c>
      <c r="L1137" s="107" t="n">
        <f aca="false">IF($E1137="","",INDEX(资金日记账!$X$4:$X$603,114))</f>
        <v>0</v>
      </c>
      <c r="M1137" s="107"/>
      <c r="N1137" s="67" t="n">
        <f aca="false">IF($E1137="","",INDEX(资金日记账!$Y$4:$Y$603,114))</f>
        <v>0</v>
      </c>
      <c r="O1137" s="67" t="str">
        <f aca="false">IF($E1137="","","自动B")</f>
        <v>自动B</v>
      </c>
      <c r="P1137" s="18"/>
    </row>
    <row r="1138" customFormat="false" ht="18" hidden="false" customHeight="true" outlineLevel="0" collapsed="false">
      <c r="A1138" s="107" t="n">
        <f aca="false">IF($E1138="","",ROW()-3)</f>
        <v>1135</v>
      </c>
      <c r="B1138" s="110" t="n">
        <f aca="false">IF($E1138="","",INDEX(资金日记账!$B$4:$B$603,115))</f>
        <v>46280</v>
      </c>
      <c r="C1138" s="67" t="str">
        <f aca="false">IF($E1138="","",IF(INDEX(资金日记账!$W$4:$W$603,115)="","记-"&amp;TEXT($B1138,"YYYYMM")&amp;"-资金",INDEX(资金日记账!$W$4:$W$603,115)))</f>
        <v>记-202609-资金</v>
      </c>
      <c r="D1138" s="107" t="str">
        <f aca="false">IF($E1138="","",INDEX(资金日记账!$D$4:$D$603,115))</f>
        <v>托盘押金</v>
      </c>
      <c r="E1138" s="67" t="str">
        <f aca="false">IF(INDEX(资金日记账!$N$4:$S$603,115,1)=0,"",INDEX(资金日记账!$N$4:$S$603,115,1))</f>
        <v>其他货币资金</v>
      </c>
      <c r="F1138" s="99" t="str">
        <f aca="false">IF($E1138="","",IFERROR(INDEX(科目表!$A$4:$A$81,MATCH($E1138,科目表!$B$4:$B$81,0)),""))</f>
        <v>1012</v>
      </c>
      <c r="G1138" s="67" t="str">
        <f aca="false">IF($E1138="","",IFERROR(INDEX(科目表!$E$4:$E$81,MATCH($E1138,科目表!$B$4:$B$81,0)),""))</f>
        <v>货币资金</v>
      </c>
      <c r="H1138" s="70" t="n">
        <f aca="false">IF($E1138="","",N(INDEX(资金日记账!$N$4:$S$603,115,2)))</f>
        <v>100</v>
      </c>
      <c r="I1138" s="70" t="n">
        <f aca="false">IF($E1138="","",N(INDEX(资金日记账!$N$4:$S$603,115,3)))</f>
        <v>0</v>
      </c>
      <c r="J1138" s="67" t="n">
        <f aca="false">IF($E1138="","",INDEX(资金日记账!$E$4:$E$603,115))</f>
        <v>0</v>
      </c>
      <c r="K1138" s="67" t="str">
        <f aca="false">IF($E1138="","",INDEX(资金日记账!$F$4:$F$603,115))</f>
        <v>押金收取</v>
      </c>
      <c r="L1138" s="107" t="n">
        <f aca="false">IF($E1138="","",INDEX(资金日记账!$X$4:$X$603,115))</f>
        <v>0</v>
      </c>
      <c r="M1138" s="107"/>
      <c r="N1138" s="67" t="n">
        <f aca="false">IF($E1138="","",INDEX(资金日记账!$Y$4:$Y$603,115))</f>
        <v>0</v>
      </c>
      <c r="O1138" s="67" t="str">
        <f aca="false">IF($E1138="","","自动B")</f>
        <v>自动B</v>
      </c>
      <c r="P1138" s="18"/>
    </row>
    <row r="1139" customFormat="false" ht="18" hidden="false" customHeight="true" outlineLevel="0" collapsed="false">
      <c r="A1139" s="107" t="n">
        <f aca="false">IF($E1139="","",ROW()-3)</f>
        <v>1136</v>
      </c>
      <c r="B1139" s="110" t="n">
        <f aca="false">IF($E1139="","",INDEX(资金日记账!$B$4:$B$603,115))</f>
        <v>46280</v>
      </c>
      <c r="C1139" s="67" t="str">
        <f aca="false">IF($E1139="","",IF(INDEX(资金日记账!$W$4:$W$603,115)="","记-"&amp;TEXT($B1139,"YYYYMM")&amp;"-资金",INDEX(资金日记账!$W$4:$W$603,115)))</f>
        <v>记-202609-资金</v>
      </c>
      <c r="D1139" s="107" t="str">
        <f aca="false">IF($E1139="","",INDEX(资金日记账!$D$4:$D$603,115))</f>
        <v>托盘押金</v>
      </c>
      <c r="E1139" s="67" t="str">
        <f aca="false">IF(INDEX(资金日记账!$N$4:$S$603,115,4)=0,"",INDEX(资金日记账!$N$4:$S$603,115,4))</f>
        <v>其他应付款</v>
      </c>
      <c r="F1139" s="99" t="str">
        <f aca="false">IF($E1139="","",IFERROR(INDEX(科目表!$A$4:$A$81,MATCH($E1139,科目表!$B$4:$B$81,0)),""))</f>
        <v>2241</v>
      </c>
      <c r="G1139" s="67" t="str">
        <f aca="false">IF($E1139="","",IFERROR(INDEX(科目表!$E$4:$E$81,MATCH($E1139,科目表!$B$4:$B$81,0)),""))</f>
        <v>其他应付款</v>
      </c>
      <c r="H1139" s="70" t="n">
        <f aca="false">IF($E1139="","",N(INDEX(资金日记账!$N$4:$S$603,115,5)))</f>
        <v>0</v>
      </c>
      <c r="I1139" s="70" t="n">
        <f aca="false">IF($E1139="","",N(INDEX(资金日记账!$N$4:$S$603,115,6)))</f>
        <v>100</v>
      </c>
      <c r="J1139" s="67" t="n">
        <f aca="false">IF($E1139="","",INDEX(资金日记账!$E$4:$E$603,115))</f>
        <v>0</v>
      </c>
      <c r="K1139" s="67" t="str">
        <f aca="false">IF($E1139="","",INDEX(资金日记账!$F$4:$F$603,115))</f>
        <v>押金收取</v>
      </c>
      <c r="L1139" s="107" t="n">
        <f aca="false">IF($E1139="","",INDEX(资金日记账!$X$4:$X$603,115))</f>
        <v>0</v>
      </c>
      <c r="M1139" s="107"/>
      <c r="N1139" s="67" t="n">
        <f aca="false">IF($E1139="","",INDEX(资金日记账!$Y$4:$Y$603,115))</f>
        <v>0</v>
      </c>
      <c r="O1139" s="67" t="str">
        <f aca="false">IF($E1139="","","自动B")</f>
        <v>自动B</v>
      </c>
      <c r="P1139" s="18"/>
    </row>
    <row r="1140" customFormat="false" ht="18" hidden="false" customHeight="true" outlineLevel="0" collapsed="false">
      <c r="A1140" s="107" t="n">
        <f aca="false">IF($E1140="","",ROW()-3)</f>
        <v>1137</v>
      </c>
      <c r="B1140" s="110" t="n">
        <f aca="false">IF($E1140="","",INDEX(资金日记账!$B$4:$B$603,116))</f>
        <v>46281</v>
      </c>
      <c r="C1140" s="67" t="str">
        <f aca="false">IF($E1140="","",IF(INDEX(资金日记账!$W$4:$W$603,116)="","记-"&amp;TEXT($B1140,"YYYYMM")&amp;"-资金",INDEX(资金日记账!$W$4:$W$603,116)))</f>
        <v>记-202609-资金</v>
      </c>
      <c r="D1140" s="107" t="n">
        <f aca="false">IF($E1140="","",INDEX(资金日记账!$D$4:$D$603,116))</f>
        <v>0</v>
      </c>
      <c r="E1140" s="67" t="str">
        <f aca="false">IF(INDEX(资金日记账!$N$4:$S$603,116,1)=0,"",INDEX(资金日记账!$N$4:$S$603,116,1))</f>
        <v>主营业务成本</v>
      </c>
      <c r="F1140" s="99" t="str">
        <f aca="false">IF($E1140="","",IFERROR(INDEX(科目表!$A$4:$A$81,MATCH($E1140,科目表!$B$4:$B$81,0)),""))</f>
        <v>5401</v>
      </c>
      <c r="G1140" s="67" t="str">
        <f aca="false">IF($E1140="","",IFERROR(INDEX(科目表!$E$4:$E$81,MATCH($E1140,科目表!$B$4:$B$81,0)),""))</f>
        <v>营业成本</v>
      </c>
      <c r="H1140" s="70" t="n">
        <f aca="false">IF($E1140="","",N(INDEX(资金日记账!$N$4:$S$603,116,2)))</f>
        <v>1800</v>
      </c>
      <c r="I1140" s="70" t="n">
        <f aca="false">IF($E1140="","",N(INDEX(资金日记账!$N$4:$S$603,116,3)))</f>
        <v>0</v>
      </c>
      <c r="J1140" s="67" t="n">
        <f aca="false">IF($E1140="","",INDEX(资金日记账!$E$4:$E$603,116))</f>
        <v>0</v>
      </c>
      <c r="K1140" s="67" t="n">
        <f aca="false">IF($E1140="","",INDEX(资金日记账!$F$4:$F$603,116))</f>
        <v>0</v>
      </c>
      <c r="L1140" s="107" t="n">
        <f aca="false">IF($E1140="","",INDEX(资金日记账!$X$4:$X$603,116))</f>
        <v>0</v>
      </c>
      <c r="M1140" s="107"/>
      <c r="N1140" s="67" t="n">
        <f aca="false">IF($E1140="","",INDEX(资金日记账!$Y$4:$Y$603,116))</f>
        <v>0</v>
      </c>
      <c r="O1140" s="67" t="str">
        <f aca="false">IF($E1140="","","自动B")</f>
        <v>自动B</v>
      </c>
      <c r="P1140" s="18"/>
    </row>
    <row r="1141" customFormat="false" ht="18" hidden="false" customHeight="true" outlineLevel="0" collapsed="false">
      <c r="A1141" s="107" t="n">
        <f aca="false">IF($E1141="","",ROW()-3)</f>
        <v>1138</v>
      </c>
      <c r="B1141" s="110" t="n">
        <f aca="false">IF($E1141="","",INDEX(资金日记账!$B$4:$B$603,116))</f>
        <v>46281</v>
      </c>
      <c r="C1141" s="67" t="str">
        <f aca="false">IF($E1141="","",IF(INDEX(资金日记账!$W$4:$W$603,116)="","记-"&amp;TEXT($B1141,"YYYYMM")&amp;"-资金",INDEX(资金日记账!$W$4:$W$603,116)))</f>
        <v>记-202609-资金</v>
      </c>
      <c r="D1141" s="107" t="n">
        <f aca="false">IF($E1141="","",INDEX(资金日记账!$D$4:$D$603,116))</f>
        <v>0</v>
      </c>
      <c r="E1141" s="67" t="str">
        <f aca="false">IF(INDEX(资金日记账!$N$4:$S$603,116,4)=0,"",INDEX(资金日记账!$N$4:$S$603,116,4))</f>
        <v>其他货币资金</v>
      </c>
      <c r="F1141" s="99" t="str">
        <f aca="false">IF($E1141="","",IFERROR(INDEX(科目表!$A$4:$A$81,MATCH($E1141,科目表!$B$4:$B$81,0)),""))</f>
        <v>1012</v>
      </c>
      <c r="G1141" s="67" t="str">
        <f aca="false">IF($E1141="","",IFERROR(INDEX(科目表!$E$4:$E$81,MATCH($E1141,科目表!$B$4:$B$81,0)),""))</f>
        <v>货币资金</v>
      </c>
      <c r="H1141" s="70" t="n">
        <f aca="false">IF($E1141="","",N(INDEX(资金日记账!$N$4:$S$603,116,5)))</f>
        <v>0</v>
      </c>
      <c r="I1141" s="70" t="n">
        <f aca="false">IF($E1141="","",N(INDEX(资金日记账!$N$4:$S$603,116,6)))</f>
        <v>1800</v>
      </c>
      <c r="J1141" s="67" t="n">
        <f aca="false">IF($E1141="","",INDEX(资金日记账!$E$4:$E$603,116))</f>
        <v>0</v>
      </c>
      <c r="K1141" s="67" t="n">
        <f aca="false">IF($E1141="","",INDEX(资金日记账!$F$4:$F$603,116))</f>
        <v>0</v>
      </c>
      <c r="L1141" s="107" t="n">
        <f aca="false">IF($E1141="","",INDEX(资金日记账!$X$4:$X$603,116))</f>
        <v>0</v>
      </c>
      <c r="M1141" s="107"/>
      <c r="N1141" s="67" t="n">
        <f aca="false">IF($E1141="","",INDEX(资金日记账!$Y$4:$Y$603,116))</f>
        <v>0</v>
      </c>
      <c r="O1141" s="67" t="str">
        <f aca="false">IF($E1141="","","自动B")</f>
        <v>自动B</v>
      </c>
      <c r="P1141" s="18"/>
    </row>
    <row r="1142" customFormat="false" ht="18" hidden="false" customHeight="true" outlineLevel="0" collapsed="false">
      <c r="A1142" s="107" t="n">
        <f aca="false">IF($E1142="","",ROW()-3)</f>
        <v>1139</v>
      </c>
      <c r="B1142" s="110" t="n">
        <f aca="false">IF($E1142="","",INDEX(资金日记账!$B$4:$B$603,117))</f>
        <v>46281</v>
      </c>
      <c r="C1142" s="67" t="str">
        <f aca="false">IF($E1142="","",IF(INDEX(资金日记账!$W$4:$W$603,117)="","记-"&amp;TEXT($B1142,"YYYYMM")&amp;"-资金",INDEX(资金日记账!$W$4:$W$603,117)))</f>
        <v>记-202609-资金</v>
      </c>
      <c r="D1142" s="107" t="str">
        <f aca="false">IF($E1142="","",INDEX(资金日记账!$D$4:$D$603,117))</f>
        <v>退托盘押金</v>
      </c>
      <c r="E1142" s="67" t="str">
        <f aca="false">IF(INDEX(资金日记账!$N$4:$S$603,117,1)=0,"",INDEX(资金日记账!$N$4:$S$603,117,1))</f>
        <v>其他应付款</v>
      </c>
      <c r="F1142" s="99" t="str">
        <f aca="false">IF($E1142="","",IFERROR(INDEX(科目表!$A$4:$A$81,MATCH($E1142,科目表!$B$4:$B$81,0)),""))</f>
        <v>2241</v>
      </c>
      <c r="G1142" s="67" t="str">
        <f aca="false">IF($E1142="","",IFERROR(INDEX(科目表!$E$4:$E$81,MATCH($E1142,科目表!$B$4:$B$81,0)),""))</f>
        <v>其他应付款</v>
      </c>
      <c r="H1142" s="70" t="n">
        <f aca="false">IF($E1142="","",N(INDEX(资金日记账!$N$4:$S$603,117,2)))</f>
        <v>100</v>
      </c>
      <c r="I1142" s="70" t="n">
        <f aca="false">IF($E1142="","",N(INDEX(资金日记账!$N$4:$S$603,117,3)))</f>
        <v>0</v>
      </c>
      <c r="J1142" s="67" t="n">
        <f aca="false">IF($E1142="","",INDEX(资金日记账!$E$4:$E$603,117))</f>
        <v>0</v>
      </c>
      <c r="K1142" s="67" t="str">
        <f aca="false">IF($E1142="","",INDEX(资金日记账!$F$4:$F$603,117))</f>
        <v>押金退还</v>
      </c>
      <c r="L1142" s="107" t="n">
        <f aca="false">IF($E1142="","",INDEX(资金日记账!$X$4:$X$603,117))</f>
        <v>0</v>
      </c>
      <c r="M1142" s="107"/>
      <c r="N1142" s="67" t="n">
        <f aca="false">IF($E1142="","",INDEX(资金日记账!$Y$4:$Y$603,117))</f>
        <v>0</v>
      </c>
      <c r="O1142" s="67" t="str">
        <f aca="false">IF($E1142="","","自动B")</f>
        <v>自动B</v>
      </c>
      <c r="P1142" s="18"/>
    </row>
    <row r="1143" customFormat="false" ht="18" hidden="false" customHeight="true" outlineLevel="0" collapsed="false">
      <c r="A1143" s="107" t="n">
        <f aca="false">IF($E1143="","",ROW()-3)</f>
        <v>1140</v>
      </c>
      <c r="B1143" s="110" t="n">
        <f aca="false">IF($E1143="","",INDEX(资金日记账!$B$4:$B$603,117))</f>
        <v>46281</v>
      </c>
      <c r="C1143" s="67" t="str">
        <f aca="false">IF($E1143="","",IF(INDEX(资金日记账!$W$4:$W$603,117)="","记-"&amp;TEXT($B1143,"YYYYMM")&amp;"-资金",INDEX(资金日记账!$W$4:$W$603,117)))</f>
        <v>记-202609-资金</v>
      </c>
      <c r="D1143" s="107" t="str">
        <f aca="false">IF($E1143="","",INDEX(资金日记账!$D$4:$D$603,117))</f>
        <v>退托盘押金</v>
      </c>
      <c r="E1143" s="67" t="str">
        <f aca="false">IF(INDEX(资金日记账!$N$4:$S$603,117,4)=0,"",INDEX(资金日记账!$N$4:$S$603,117,4))</f>
        <v>其他货币资金</v>
      </c>
      <c r="F1143" s="99" t="str">
        <f aca="false">IF($E1143="","",IFERROR(INDEX(科目表!$A$4:$A$81,MATCH($E1143,科目表!$B$4:$B$81,0)),""))</f>
        <v>1012</v>
      </c>
      <c r="G1143" s="67" t="str">
        <f aca="false">IF($E1143="","",IFERROR(INDEX(科目表!$E$4:$E$81,MATCH($E1143,科目表!$B$4:$B$81,0)),""))</f>
        <v>货币资金</v>
      </c>
      <c r="H1143" s="70" t="n">
        <f aca="false">IF($E1143="","",N(INDEX(资金日记账!$N$4:$S$603,117,5)))</f>
        <v>0</v>
      </c>
      <c r="I1143" s="70" t="n">
        <f aca="false">IF($E1143="","",N(INDEX(资金日记账!$N$4:$S$603,117,6)))</f>
        <v>100</v>
      </c>
      <c r="J1143" s="67" t="n">
        <f aca="false">IF($E1143="","",INDEX(资金日记账!$E$4:$E$603,117))</f>
        <v>0</v>
      </c>
      <c r="K1143" s="67" t="str">
        <f aca="false">IF($E1143="","",INDEX(资金日记账!$F$4:$F$603,117))</f>
        <v>押金退还</v>
      </c>
      <c r="L1143" s="107" t="n">
        <f aca="false">IF($E1143="","",INDEX(资金日记账!$X$4:$X$603,117))</f>
        <v>0</v>
      </c>
      <c r="M1143" s="107"/>
      <c r="N1143" s="67" t="n">
        <f aca="false">IF($E1143="","",INDEX(资金日记账!$Y$4:$Y$603,117))</f>
        <v>0</v>
      </c>
      <c r="O1143" s="67" t="str">
        <f aca="false">IF($E1143="","","自动B")</f>
        <v>自动B</v>
      </c>
      <c r="P1143" s="18"/>
    </row>
    <row r="1144" customFormat="false" ht="18" hidden="false" customHeight="true" outlineLevel="0" collapsed="false">
      <c r="A1144" s="107" t="n">
        <f aca="false">IF($E1144="","",ROW()-3)</f>
        <v>1141</v>
      </c>
      <c r="B1144" s="110" t="n">
        <f aca="false">IF($E1144="","",INDEX(资金日记账!$B$4:$B$603,118))</f>
        <v>46281</v>
      </c>
      <c r="C1144" s="67" t="str">
        <f aca="false">IF($E1144="","",IF(INDEX(资金日记账!$W$4:$W$603,118)="","记-"&amp;TEXT($B1144,"YYYYMM")&amp;"-资金",INDEX(资金日记账!$W$4:$W$603,118)))</f>
        <v>记-202609-资金</v>
      </c>
      <c r="D1144" s="107" t="n">
        <f aca="false">IF($E1144="","",INDEX(资金日记账!$D$4:$D$603,118))</f>
        <v>0</v>
      </c>
      <c r="E1144" s="67" t="str">
        <f aca="false">IF(INDEX(资金日记账!$N$4:$S$603,118,1)=0,"",INDEX(资金日记账!$N$4:$S$603,118,1))</f>
        <v>应付账款</v>
      </c>
      <c r="F1144" s="99" t="str">
        <f aca="false">IF($E1144="","",IFERROR(INDEX(科目表!$A$4:$A$81,MATCH($E1144,科目表!$B$4:$B$81,0)),""))</f>
        <v>2202</v>
      </c>
      <c r="G1144" s="67" t="str">
        <f aca="false">IF($E1144="","",IFERROR(INDEX(科目表!$E$4:$E$81,MATCH($E1144,科目表!$B$4:$B$81,0)),""))</f>
        <v>应付账款</v>
      </c>
      <c r="H1144" s="70" t="n">
        <f aca="false">IF($E1144="","",N(INDEX(资金日记账!$N$4:$S$603,118,2)))</f>
        <v>2000</v>
      </c>
      <c r="I1144" s="70" t="n">
        <f aca="false">IF($E1144="","",N(INDEX(资金日记账!$N$4:$S$603,118,3)))</f>
        <v>0</v>
      </c>
      <c r="J1144" s="67" t="n">
        <f aca="false">IF($E1144="","",INDEX(资金日记账!$E$4:$E$603,118))</f>
        <v>0</v>
      </c>
      <c r="K1144" s="67" t="str">
        <f aca="false">IF($E1144="","",INDEX(资金日记账!$F$4:$F$603,118))</f>
        <v>装卸费支出</v>
      </c>
      <c r="L1144" s="107" t="n">
        <f aca="false">IF($E1144="","",INDEX(资金日记账!$X$4:$X$603,118))</f>
        <v>0</v>
      </c>
      <c r="M1144" s="107"/>
      <c r="N1144" s="67" t="n">
        <f aca="false">IF($E1144="","",INDEX(资金日记账!$Y$4:$Y$603,118))</f>
        <v>0</v>
      </c>
      <c r="O1144" s="67" t="str">
        <f aca="false">IF($E1144="","","自动B")</f>
        <v>自动B</v>
      </c>
      <c r="P1144" s="18"/>
    </row>
    <row r="1145" customFormat="false" ht="18" hidden="false" customHeight="true" outlineLevel="0" collapsed="false">
      <c r="A1145" s="107" t="n">
        <f aca="false">IF($E1145="","",ROW()-3)</f>
        <v>1142</v>
      </c>
      <c r="B1145" s="110" t="n">
        <f aca="false">IF($E1145="","",INDEX(资金日记账!$B$4:$B$603,118))</f>
        <v>46281</v>
      </c>
      <c r="C1145" s="67" t="str">
        <f aca="false">IF($E1145="","",IF(INDEX(资金日记账!$W$4:$W$603,118)="","记-"&amp;TEXT($B1145,"YYYYMM")&amp;"-资金",INDEX(资金日记账!$W$4:$W$603,118)))</f>
        <v>记-202609-资金</v>
      </c>
      <c r="D1145" s="107" t="n">
        <f aca="false">IF($E1145="","",INDEX(资金日记账!$D$4:$D$603,118))</f>
        <v>0</v>
      </c>
      <c r="E1145" s="67" t="str">
        <f aca="false">IF(INDEX(资金日记账!$N$4:$S$603,118,4)=0,"",INDEX(资金日记账!$N$4:$S$603,118,4))</f>
        <v>其他货币资金</v>
      </c>
      <c r="F1145" s="99" t="str">
        <f aca="false">IF($E1145="","",IFERROR(INDEX(科目表!$A$4:$A$81,MATCH($E1145,科目表!$B$4:$B$81,0)),""))</f>
        <v>1012</v>
      </c>
      <c r="G1145" s="67" t="str">
        <f aca="false">IF($E1145="","",IFERROR(INDEX(科目表!$E$4:$E$81,MATCH($E1145,科目表!$B$4:$B$81,0)),""))</f>
        <v>货币资金</v>
      </c>
      <c r="H1145" s="70" t="n">
        <f aca="false">IF($E1145="","",N(INDEX(资金日记账!$N$4:$S$603,118,5)))</f>
        <v>0</v>
      </c>
      <c r="I1145" s="70" t="n">
        <f aca="false">IF($E1145="","",N(INDEX(资金日记账!$N$4:$S$603,118,6)))</f>
        <v>2000</v>
      </c>
      <c r="J1145" s="67" t="n">
        <f aca="false">IF($E1145="","",INDEX(资金日记账!$E$4:$E$603,118))</f>
        <v>0</v>
      </c>
      <c r="K1145" s="67" t="str">
        <f aca="false">IF($E1145="","",INDEX(资金日记账!$F$4:$F$603,118))</f>
        <v>装卸费支出</v>
      </c>
      <c r="L1145" s="107" t="n">
        <f aca="false">IF($E1145="","",INDEX(资金日记账!$X$4:$X$603,118))</f>
        <v>0</v>
      </c>
      <c r="M1145" s="107"/>
      <c r="N1145" s="67" t="n">
        <f aca="false">IF($E1145="","",INDEX(资金日记账!$Y$4:$Y$603,118))</f>
        <v>0</v>
      </c>
      <c r="O1145" s="67" t="str">
        <f aca="false">IF($E1145="","","自动B")</f>
        <v>自动B</v>
      </c>
      <c r="P1145" s="18"/>
    </row>
    <row r="1146" customFormat="false" ht="18" hidden="false" customHeight="true" outlineLevel="0" collapsed="false">
      <c r="A1146" s="107" t="n">
        <f aca="false">IF($E1146="","",ROW()-3)</f>
        <v>1143</v>
      </c>
      <c r="B1146" s="110" t="n">
        <f aca="false">IF($E1146="","",INDEX(资金日记账!$B$4:$B$603,119))</f>
        <v>46281</v>
      </c>
      <c r="C1146" s="67" t="str">
        <f aca="false">IF($E1146="","",IF(INDEX(资金日记账!$W$4:$W$603,119)="","记-"&amp;TEXT($B1146,"YYYYMM")&amp;"-资金",INDEX(资金日记账!$W$4:$W$603,119)))</f>
        <v>记-202609-资金</v>
      </c>
      <c r="D1146" s="107" t="n">
        <f aca="false">IF($E1146="","",INDEX(资金日记账!$D$4:$D$603,119))</f>
        <v>0</v>
      </c>
      <c r="E1146" s="67" t="str">
        <f aca="false">IF(INDEX(资金日记账!$N$4:$S$603,119,1)=0,"",INDEX(资金日记账!$N$4:$S$603,119,1))</f>
        <v>应付账款</v>
      </c>
      <c r="F1146" s="99" t="str">
        <f aca="false">IF($E1146="","",IFERROR(INDEX(科目表!$A$4:$A$81,MATCH($E1146,科目表!$B$4:$B$81,0)),""))</f>
        <v>2202</v>
      </c>
      <c r="G1146" s="67" t="str">
        <f aca="false">IF($E1146="","",IFERROR(INDEX(科目表!$E$4:$E$81,MATCH($E1146,科目表!$B$4:$B$81,0)),""))</f>
        <v>应付账款</v>
      </c>
      <c r="H1146" s="70" t="n">
        <f aca="false">IF($E1146="","",N(INDEX(资金日记账!$N$4:$S$603,119,2)))</f>
        <v>3000</v>
      </c>
      <c r="I1146" s="70" t="n">
        <f aca="false">IF($E1146="","",N(INDEX(资金日记账!$N$4:$S$603,119,3)))</f>
        <v>0</v>
      </c>
      <c r="J1146" s="67" t="n">
        <f aca="false">IF($E1146="","",INDEX(资金日记账!$E$4:$E$603,119))</f>
        <v>0</v>
      </c>
      <c r="K1146" s="67" t="str">
        <f aca="false">IF($E1146="","",INDEX(资金日记账!$F$4:$F$603,119))</f>
        <v>装卸费支出</v>
      </c>
      <c r="L1146" s="107" t="n">
        <f aca="false">IF($E1146="","",INDEX(资金日记账!$X$4:$X$603,119))</f>
        <v>0</v>
      </c>
      <c r="M1146" s="107"/>
      <c r="N1146" s="67" t="n">
        <f aca="false">IF($E1146="","",INDEX(资金日记账!$Y$4:$Y$603,119))</f>
        <v>0</v>
      </c>
      <c r="O1146" s="67" t="str">
        <f aca="false">IF($E1146="","","自动B")</f>
        <v>自动B</v>
      </c>
      <c r="P1146" s="18"/>
    </row>
    <row r="1147" customFormat="false" ht="18" hidden="false" customHeight="true" outlineLevel="0" collapsed="false">
      <c r="A1147" s="107" t="n">
        <f aca="false">IF($E1147="","",ROW()-3)</f>
        <v>1144</v>
      </c>
      <c r="B1147" s="110" t="n">
        <f aca="false">IF($E1147="","",INDEX(资金日记账!$B$4:$B$603,119))</f>
        <v>46281</v>
      </c>
      <c r="C1147" s="67" t="str">
        <f aca="false">IF($E1147="","",IF(INDEX(资金日记账!$W$4:$W$603,119)="","记-"&amp;TEXT($B1147,"YYYYMM")&amp;"-资金",INDEX(资金日记账!$W$4:$W$603,119)))</f>
        <v>记-202609-资金</v>
      </c>
      <c r="D1147" s="107" t="n">
        <f aca="false">IF($E1147="","",INDEX(资金日记账!$D$4:$D$603,119))</f>
        <v>0</v>
      </c>
      <c r="E1147" s="67" t="str">
        <f aca="false">IF(INDEX(资金日记账!$N$4:$S$603,119,4)=0,"",INDEX(资金日记账!$N$4:$S$603,119,4))</f>
        <v>其他货币资金</v>
      </c>
      <c r="F1147" s="99" t="str">
        <f aca="false">IF($E1147="","",IFERROR(INDEX(科目表!$A$4:$A$81,MATCH($E1147,科目表!$B$4:$B$81,0)),""))</f>
        <v>1012</v>
      </c>
      <c r="G1147" s="67" t="str">
        <f aca="false">IF($E1147="","",IFERROR(INDEX(科目表!$E$4:$E$81,MATCH($E1147,科目表!$B$4:$B$81,0)),""))</f>
        <v>货币资金</v>
      </c>
      <c r="H1147" s="70" t="n">
        <f aca="false">IF($E1147="","",N(INDEX(资金日记账!$N$4:$S$603,119,5)))</f>
        <v>0</v>
      </c>
      <c r="I1147" s="70" t="n">
        <f aca="false">IF($E1147="","",N(INDEX(资金日记账!$N$4:$S$603,119,6)))</f>
        <v>3000</v>
      </c>
      <c r="J1147" s="67" t="n">
        <f aca="false">IF($E1147="","",INDEX(资金日记账!$E$4:$E$603,119))</f>
        <v>0</v>
      </c>
      <c r="K1147" s="67" t="str">
        <f aca="false">IF($E1147="","",INDEX(资金日记账!$F$4:$F$603,119))</f>
        <v>装卸费支出</v>
      </c>
      <c r="L1147" s="107" t="n">
        <f aca="false">IF($E1147="","",INDEX(资金日记账!$X$4:$X$603,119))</f>
        <v>0</v>
      </c>
      <c r="M1147" s="107"/>
      <c r="N1147" s="67" t="n">
        <f aca="false">IF($E1147="","",INDEX(资金日记账!$Y$4:$Y$603,119))</f>
        <v>0</v>
      </c>
      <c r="O1147" s="67" t="str">
        <f aca="false">IF($E1147="","","自动B")</f>
        <v>自动B</v>
      </c>
      <c r="P1147" s="18"/>
    </row>
    <row r="1148" customFormat="false" ht="18" hidden="false" customHeight="true" outlineLevel="0" collapsed="false">
      <c r="A1148" s="107" t="n">
        <f aca="false">IF($E1148="","",ROW()-3)</f>
        <v>1145</v>
      </c>
      <c r="B1148" s="110" t="n">
        <f aca="false">IF($E1148="","",INDEX(资金日记账!$B$4:$B$603,120))</f>
        <v>46281</v>
      </c>
      <c r="C1148" s="67" t="str">
        <f aca="false">IF($E1148="","",IF(INDEX(资金日记账!$W$4:$W$603,120)="","记-"&amp;TEXT($B1148,"YYYYMM")&amp;"-资金",INDEX(资金日记账!$W$4:$W$603,120)))</f>
        <v>记-202609-资金</v>
      </c>
      <c r="D1148" s="107" t="n">
        <f aca="false">IF($E1148="","",INDEX(资金日记账!$D$4:$D$603,120))</f>
        <v>0</v>
      </c>
      <c r="E1148" s="67" t="str">
        <f aca="false">IF(INDEX(资金日记账!$N$4:$S$603,120,1)=0,"",INDEX(资金日记账!$N$4:$S$603,120,1))</f>
        <v>管理费用</v>
      </c>
      <c r="F1148" s="99" t="str">
        <f aca="false">IF($E1148="","",IFERROR(INDEX(科目表!$A$4:$A$81,MATCH($E1148,科目表!$B$4:$B$81,0)),""))</f>
        <v>5602</v>
      </c>
      <c r="G1148" s="67" t="str">
        <f aca="false">IF($E1148="","",IFERROR(INDEX(科目表!$E$4:$E$81,MATCH($E1148,科目表!$B$4:$B$81,0)),""))</f>
        <v>管理费用</v>
      </c>
      <c r="H1148" s="70" t="n">
        <f aca="false">IF($E1148="","",N(INDEX(资金日记账!$N$4:$S$603,120,2)))</f>
        <v>229</v>
      </c>
      <c r="I1148" s="70" t="n">
        <f aca="false">IF($E1148="","",N(INDEX(资金日记账!$N$4:$S$603,120,3)))</f>
        <v>0</v>
      </c>
      <c r="J1148" s="67" t="n">
        <f aca="false">IF($E1148="","",INDEX(资金日记账!$E$4:$E$603,120))</f>
        <v>0</v>
      </c>
      <c r="K1148" s="67" t="n">
        <f aca="false">IF($E1148="","",INDEX(资金日记账!$F$4:$F$603,120))</f>
        <v>0</v>
      </c>
      <c r="L1148" s="107" t="n">
        <f aca="false">IF($E1148="","",INDEX(资金日记账!$X$4:$X$603,120))</f>
        <v>0</v>
      </c>
      <c r="M1148" s="107"/>
      <c r="N1148" s="67" t="n">
        <f aca="false">IF($E1148="","",INDEX(资金日记账!$Y$4:$Y$603,120))</f>
        <v>0</v>
      </c>
      <c r="O1148" s="67" t="str">
        <f aca="false">IF($E1148="","","自动B")</f>
        <v>自动B</v>
      </c>
      <c r="P1148" s="18"/>
    </row>
    <row r="1149" customFormat="false" ht="18" hidden="false" customHeight="true" outlineLevel="0" collapsed="false">
      <c r="A1149" s="107" t="n">
        <f aca="false">IF($E1149="","",ROW()-3)</f>
        <v>1146</v>
      </c>
      <c r="B1149" s="110" t="n">
        <f aca="false">IF($E1149="","",INDEX(资金日记账!$B$4:$B$603,120))</f>
        <v>46281</v>
      </c>
      <c r="C1149" s="67" t="str">
        <f aca="false">IF($E1149="","",IF(INDEX(资金日记账!$W$4:$W$603,120)="","记-"&amp;TEXT($B1149,"YYYYMM")&amp;"-资金",INDEX(资金日记账!$W$4:$W$603,120)))</f>
        <v>记-202609-资金</v>
      </c>
      <c r="D1149" s="107" t="n">
        <f aca="false">IF($E1149="","",INDEX(资金日记账!$D$4:$D$603,120))</f>
        <v>0</v>
      </c>
      <c r="E1149" s="67" t="str">
        <f aca="false">IF(INDEX(资金日记账!$N$4:$S$603,120,4)=0,"",INDEX(资金日记账!$N$4:$S$603,120,4))</f>
        <v>其他货币资金</v>
      </c>
      <c r="F1149" s="99" t="str">
        <f aca="false">IF($E1149="","",IFERROR(INDEX(科目表!$A$4:$A$81,MATCH($E1149,科目表!$B$4:$B$81,0)),""))</f>
        <v>1012</v>
      </c>
      <c r="G1149" s="67" t="str">
        <f aca="false">IF($E1149="","",IFERROR(INDEX(科目表!$E$4:$E$81,MATCH($E1149,科目表!$B$4:$B$81,0)),""))</f>
        <v>货币资金</v>
      </c>
      <c r="H1149" s="70" t="n">
        <f aca="false">IF($E1149="","",N(INDEX(资金日记账!$N$4:$S$603,120,5)))</f>
        <v>0</v>
      </c>
      <c r="I1149" s="70" t="n">
        <f aca="false">IF($E1149="","",N(INDEX(资金日记账!$N$4:$S$603,120,6)))</f>
        <v>229</v>
      </c>
      <c r="J1149" s="67" t="n">
        <f aca="false">IF($E1149="","",INDEX(资金日记账!$E$4:$E$603,120))</f>
        <v>0</v>
      </c>
      <c r="K1149" s="67" t="n">
        <f aca="false">IF($E1149="","",INDEX(资金日记账!$F$4:$F$603,120))</f>
        <v>0</v>
      </c>
      <c r="L1149" s="107" t="n">
        <f aca="false">IF($E1149="","",INDEX(资金日记账!$X$4:$X$603,120))</f>
        <v>0</v>
      </c>
      <c r="M1149" s="107"/>
      <c r="N1149" s="67" t="n">
        <f aca="false">IF($E1149="","",INDEX(资金日记账!$Y$4:$Y$603,120))</f>
        <v>0</v>
      </c>
      <c r="O1149" s="67" t="str">
        <f aca="false">IF($E1149="","","自动B")</f>
        <v>自动B</v>
      </c>
      <c r="P1149" s="18"/>
    </row>
    <row r="1150" customFormat="false" ht="18" hidden="false" customHeight="true" outlineLevel="0" collapsed="false">
      <c r="A1150" s="107" t="n">
        <f aca="false">IF($E1150="","",ROW()-3)</f>
        <v>1147</v>
      </c>
      <c r="B1150" s="110" t="n">
        <f aca="false">IF($E1150="","",INDEX(资金日记账!$B$4:$B$603,121))</f>
        <v>46282</v>
      </c>
      <c r="C1150" s="67" t="str">
        <f aca="false">IF($E1150="","",IF(INDEX(资金日记账!$W$4:$W$603,121)="","记-"&amp;TEXT($B1150,"YYYYMM")&amp;"-资金",INDEX(资金日记账!$W$4:$W$603,121)))</f>
        <v>记-202609-资金</v>
      </c>
      <c r="D1150" s="107" t="str">
        <f aca="false">IF($E1150="","",INDEX(资金日记账!$D$4:$D$603,121))</f>
        <v>筐子押金</v>
      </c>
      <c r="E1150" s="67" t="str">
        <f aca="false">IF(INDEX(资金日记账!$N$4:$S$603,121,1)=0,"",INDEX(资金日记账!$N$4:$S$603,121,1))</f>
        <v>其他货币资金</v>
      </c>
      <c r="F1150" s="99" t="str">
        <f aca="false">IF($E1150="","",IFERROR(INDEX(科目表!$A$4:$A$81,MATCH($E1150,科目表!$B$4:$B$81,0)),""))</f>
        <v>1012</v>
      </c>
      <c r="G1150" s="67" t="str">
        <f aca="false">IF($E1150="","",IFERROR(INDEX(科目表!$E$4:$E$81,MATCH($E1150,科目表!$B$4:$B$81,0)),""))</f>
        <v>货币资金</v>
      </c>
      <c r="H1150" s="70" t="n">
        <f aca="false">IF($E1150="","",N(INDEX(资金日记账!$N$4:$S$603,121,2)))</f>
        <v>375</v>
      </c>
      <c r="I1150" s="70" t="n">
        <f aca="false">IF($E1150="","",N(INDEX(资金日记账!$N$4:$S$603,121,3)))</f>
        <v>0</v>
      </c>
      <c r="J1150" s="67" t="n">
        <f aca="false">IF($E1150="","",INDEX(资金日记账!$E$4:$E$603,121))</f>
        <v>0</v>
      </c>
      <c r="K1150" s="67" t="str">
        <f aca="false">IF($E1150="","",INDEX(资金日记账!$F$4:$F$603,121))</f>
        <v>押金收取</v>
      </c>
      <c r="L1150" s="107" t="n">
        <f aca="false">IF($E1150="","",INDEX(资金日记账!$X$4:$X$603,121))</f>
        <v>0</v>
      </c>
      <c r="M1150" s="107"/>
      <c r="N1150" s="67" t="n">
        <f aca="false">IF($E1150="","",INDEX(资金日记账!$Y$4:$Y$603,121))</f>
        <v>0</v>
      </c>
      <c r="O1150" s="67" t="str">
        <f aca="false">IF($E1150="","","自动B")</f>
        <v>自动B</v>
      </c>
      <c r="P1150" s="18"/>
    </row>
    <row r="1151" customFormat="false" ht="18" hidden="false" customHeight="true" outlineLevel="0" collapsed="false">
      <c r="A1151" s="107" t="n">
        <f aca="false">IF($E1151="","",ROW()-3)</f>
        <v>1148</v>
      </c>
      <c r="B1151" s="110" t="n">
        <f aca="false">IF($E1151="","",INDEX(资金日记账!$B$4:$B$603,121))</f>
        <v>46282</v>
      </c>
      <c r="C1151" s="67" t="str">
        <f aca="false">IF($E1151="","",IF(INDEX(资金日记账!$W$4:$W$603,121)="","记-"&amp;TEXT($B1151,"YYYYMM")&amp;"-资金",INDEX(资金日记账!$W$4:$W$603,121)))</f>
        <v>记-202609-资金</v>
      </c>
      <c r="D1151" s="107" t="str">
        <f aca="false">IF($E1151="","",INDEX(资金日记账!$D$4:$D$603,121))</f>
        <v>筐子押金</v>
      </c>
      <c r="E1151" s="67" t="str">
        <f aca="false">IF(INDEX(资金日记账!$N$4:$S$603,121,4)=0,"",INDEX(资金日记账!$N$4:$S$603,121,4))</f>
        <v>其他应付款</v>
      </c>
      <c r="F1151" s="99" t="str">
        <f aca="false">IF($E1151="","",IFERROR(INDEX(科目表!$A$4:$A$81,MATCH($E1151,科目表!$B$4:$B$81,0)),""))</f>
        <v>2241</v>
      </c>
      <c r="G1151" s="67" t="str">
        <f aca="false">IF($E1151="","",IFERROR(INDEX(科目表!$E$4:$E$81,MATCH($E1151,科目表!$B$4:$B$81,0)),""))</f>
        <v>其他应付款</v>
      </c>
      <c r="H1151" s="70" t="n">
        <f aca="false">IF($E1151="","",N(INDEX(资金日记账!$N$4:$S$603,121,5)))</f>
        <v>0</v>
      </c>
      <c r="I1151" s="70" t="n">
        <f aca="false">IF($E1151="","",N(INDEX(资金日记账!$N$4:$S$603,121,6)))</f>
        <v>375</v>
      </c>
      <c r="J1151" s="67" t="n">
        <f aca="false">IF($E1151="","",INDEX(资金日记账!$E$4:$E$603,121))</f>
        <v>0</v>
      </c>
      <c r="K1151" s="67" t="str">
        <f aca="false">IF($E1151="","",INDEX(资金日记账!$F$4:$F$603,121))</f>
        <v>押金收取</v>
      </c>
      <c r="L1151" s="107" t="n">
        <f aca="false">IF($E1151="","",INDEX(资金日记账!$X$4:$X$603,121))</f>
        <v>0</v>
      </c>
      <c r="M1151" s="107"/>
      <c r="N1151" s="67" t="n">
        <f aca="false">IF($E1151="","",INDEX(资金日记账!$Y$4:$Y$603,121))</f>
        <v>0</v>
      </c>
      <c r="O1151" s="67" t="str">
        <f aca="false">IF($E1151="","","自动B")</f>
        <v>自动B</v>
      </c>
      <c r="P1151" s="18"/>
    </row>
    <row r="1152" customFormat="false" ht="18" hidden="false" customHeight="true" outlineLevel="0" collapsed="false">
      <c r="A1152" s="107" t="n">
        <f aca="false">IF($E1152="","",ROW()-3)</f>
        <v>1149</v>
      </c>
      <c r="B1152" s="110" t="n">
        <f aca="false">IF($E1152="","",INDEX(资金日记账!$B$4:$B$603,122))</f>
        <v>46282</v>
      </c>
      <c r="C1152" s="67" t="str">
        <f aca="false">IF($E1152="","",IF(INDEX(资金日记账!$W$4:$W$603,122)="","记-"&amp;TEXT($B1152,"YYYYMM")&amp;"-资金",INDEX(资金日记账!$W$4:$W$603,122)))</f>
        <v>记-202609-资金</v>
      </c>
      <c r="D1152" s="107" t="str">
        <f aca="false">IF($E1152="","",INDEX(资金日记账!$D$4:$D$603,122))</f>
        <v>牛奶</v>
      </c>
      <c r="E1152" s="67" t="str">
        <f aca="false">IF(INDEX(资金日记账!$N$4:$S$603,122,1)=0,"",INDEX(资金日记账!$N$4:$S$603,122,1))</f>
        <v>管理费用</v>
      </c>
      <c r="F1152" s="99" t="str">
        <f aca="false">IF($E1152="","",IFERROR(INDEX(科目表!$A$4:$A$81,MATCH($E1152,科目表!$B$4:$B$81,0)),""))</f>
        <v>5602</v>
      </c>
      <c r="G1152" s="67" t="str">
        <f aca="false">IF($E1152="","",IFERROR(INDEX(科目表!$E$4:$E$81,MATCH($E1152,科目表!$B$4:$B$81,0)),""))</f>
        <v>管理费用</v>
      </c>
      <c r="H1152" s="70" t="n">
        <f aca="false">IF($E1152="","",N(INDEX(资金日记账!$N$4:$S$603,122,2)))</f>
        <v>1160</v>
      </c>
      <c r="I1152" s="70" t="n">
        <f aca="false">IF($E1152="","",N(INDEX(资金日记账!$N$4:$S$603,122,3)))</f>
        <v>0</v>
      </c>
      <c r="J1152" s="67" t="n">
        <f aca="false">IF($E1152="","",INDEX(资金日记账!$E$4:$E$603,122))</f>
        <v>0</v>
      </c>
      <c r="K1152" s="67" t="n">
        <f aca="false">IF($E1152="","",INDEX(资金日记账!$F$4:$F$603,122))</f>
        <v>0</v>
      </c>
      <c r="L1152" s="107" t="n">
        <f aca="false">IF($E1152="","",INDEX(资金日记账!$X$4:$X$603,122))</f>
        <v>0</v>
      </c>
      <c r="M1152" s="107"/>
      <c r="N1152" s="67" t="n">
        <f aca="false">IF($E1152="","",INDEX(资金日记账!$Y$4:$Y$603,122))</f>
        <v>0</v>
      </c>
      <c r="O1152" s="67" t="str">
        <f aca="false">IF($E1152="","","自动B")</f>
        <v>自动B</v>
      </c>
      <c r="P1152" s="18"/>
    </row>
    <row r="1153" customFormat="false" ht="18" hidden="false" customHeight="true" outlineLevel="0" collapsed="false">
      <c r="A1153" s="107" t="n">
        <f aca="false">IF($E1153="","",ROW()-3)</f>
        <v>1150</v>
      </c>
      <c r="B1153" s="110" t="n">
        <f aca="false">IF($E1153="","",INDEX(资金日记账!$B$4:$B$603,122))</f>
        <v>46282</v>
      </c>
      <c r="C1153" s="67" t="str">
        <f aca="false">IF($E1153="","",IF(INDEX(资金日记账!$W$4:$W$603,122)="","记-"&amp;TEXT($B1153,"YYYYMM")&amp;"-资金",INDEX(资金日记账!$W$4:$W$603,122)))</f>
        <v>记-202609-资金</v>
      </c>
      <c r="D1153" s="107" t="str">
        <f aca="false">IF($E1153="","",INDEX(资金日记账!$D$4:$D$603,122))</f>
        <v>牛奶</v>
      </c>
      <c r="E1153" s="67" t="str">
        <f aca="false">IF(INDEX(资金日记账!$N$4:$S$603,122,4)=0,"",INDEX(资金日记账!$N$4:$S$603,122,4))</f>
        <v>其他货币资金</v>
      </c>
      <c r="F1153" s="99" t="str">
        <f aca="false">IF($E1153="","",IFERROR(INDEX(科目表!$A$4:$A$81,MATCH($E1153,科目表!$B$4:$B$81,0)),""))</f>
        <v>1012</v>
      </c>
      <c r="G1153" s="67" t="str">
        <f aca="false">IF($E1153="","",IFERROR(INDEX(科目表!$E$4:$E$81,MATCH($E1153,科目表!$B$4:$B$81,0)),""))</f>
        <v>货币资金</v>
      </c>
      <c r="H1153" s="70" t="n">
        <f aca="false">IF($E1153="","",N(INDEX(资金日记账!$N$4:$S$603,122,5)))</f>
        <v>0</v>
      </c>
      <c r="I1153" s="70" t="n">
        <f aca="false">IF($E1153="","",N(INDEX(资金日记账!$N$4:$S$603,122,6)))</f>
        <v>1160</v>
      </c>
      <c r="J1153" s="67" t="n">
        <f aca="false">IF($E1153="","",INDEX(资金日记账!$E$4:$E$603,122))</f>
        <v>0</v>
      </c>
      <c r="K1153" s="67" t="n">
        <f aca="false">IF($E1153="","",INDEX(资金日记账!$F$4:$F$603,122))</f>
        <v>0</v>
      </c>
      <c r="L1153" s="107" t="n">
        <f aca="false">IF($E1153="","",INDEX(资金日记账!$X$4:$X$603,122))</f>
        <v>0</v>
      </c>
      <c r="M1153" s="107"/>
      <c r="N1153" s="67" t="n">
        <f aca="false">IF($E1153="","",INDEX(资金日记账!$Y$4:$Y$603,122))</f>
        <v>0</v>
      </c>
      <c r="O1153" s="67" t="str">
        <f aca="false">IF($E1153="","","自动B")</f>
        <v>自动B</v>
      </c>
      <c r="P1153" s="18"/>
    </row>
    <row r="1154" customFormat="false" ht="18" hidden="false" customHeight="true" outlineLevel="0" collapsed="false">
      <c r="A1154" s="107" t="n">
        <f aca="false">IF($E1154="","",ROW()-3)</f>
        <v>1151</v>
      </c>
      <c r="B1154" s="110" t="n">
        <f aca="false">IF($E1154="","",INDEX(资金日记账!$B$4:$B$603,123))</f>
        <v>46282</v>
      </c>
      <c r="C1154" s="67" t="str">
        <f aca="false">IF($E1154="","",IF(INDEX(资金日记账!$W$4:$W$603,123)="","记-"&amp;TEXT($B1154,"YYYYMM")&amp;"-资金",INDEX(资金日记账!$W$4:$W$603,123)))</f>
        <v>记-202609-资金</v>
      </c>
      <c r="D1154" s="107" t="str">
        <f aca="false">IF($E1154="","",INDEX(资金日记账!$D$4:$D$603,123))</f>
        <v>烟</v>
      </c>
      <c r="E1154" s="67" t="str">
        <f aca="false">IF(INDEX(资金日记账!$N$4:$S$603,123,1)=0,"",INDEX(资金日记账!$N$4:$S$603,123,1))</f>
        <v>管理费用</v>
      </c>
      <c r="F1154" s="99" t="str">
        <f aca="false">IF($E1154="","",IFERROR(INDEX(科目表!$A$4:$A$81,MATCH($E1154,科目表!$B$4:$B$81,0)),""))</f>
        <v>5602</v>
      </c>
      <c r="G1154" s="67" t="str">
        <f aca="false">IF($E1154="","",IFERROR(INDEX(科目表!$E$4:$E$81,MATCH($E1154,科目表!$B$4:$B$81,0)),""))</f>
        <v>管理费用</v>
      </c>
      <c r="H1154" s="70" t="n">
        <f aca="false">IF($E1154="","",N(INDEX(资金日记账!$N$4:$S$603,123,2)))</f>
        <v>1200</v>
      </c>
      <c r="I1154" s="70" t="n">
        <f aca="false">IF($E1154="","",N(INDEX(资金日记账!$N$4:$S$603,123,3)))</f>
        <v>0</v>
      </c>
      <c r="J1154" s="67" t="n">
        <f aca="false">IF($E1154="","",INDEX(资金日记账!$E$4:$E$603,123))</f>
        <v>0</v>
      </c>
      <c r="K1154" s="67" t="n">
        <f aca="false">IF($E1154="","",INDEX(资金日记账!$F$4:$F$603,123))</f>
        <v>0</v>
      </c>
      <c r="L1154" s="107" t="n">
        <f aca="false">IF($E1154="","",INDEX(资金日记账!$X$4:$X$603,123))</f>
        <v>0</v>
      </c>
      <c r="M1154" s="107"/>
      <c r="N1154" s="67" t="n">
        <f aca="false">IF($E1154="","",INDEX(资金日记账!$Y$4:$Y$603,123))</f>
        <v>0</v>
      </c>
      <c r="O1154" s="67" t="str">
        <f aca="false">IF($E1154="","","自动B")</f>
        <v>自动B</v>
      </c>
      <c r="P1154" s="18"/>
    </row>
    <row r="1155" customFormat="false" ht="18" hidden="false" customHeight="true" outlineLevel="0" collapsed="false">
      <c r="A1155" s="107" t="n">
        <f aca="false">IF($E1155="","",ROW()-3)</f>
        <v>1152</v>
      </c>
      <c r="B1155" s="110" t="n">
        <f aca="false">IF($E1155="","",INDEX(资金日记账!$B$4:$B$603,123))</f>
        <v>46282</v>
      </c>
      <c r="C1155" s="67" t="str">
        <f aca="false">IF($E1155="","",IF(INDEX(资金日记账!$W$4:$W$603,123)="","记-"&amp;TEXT($B1155,"YYYYMM")&amp;"-资金",INDEX(资金日记账!$W$4:$W$603,123)))</f>
        <v>记-202609-资金</v>
      </c>
      <c r="D1155" s="107" t="str">
        <f aca="false">IF($E1155="","",INDEX(资金日记账!$D$4:$D$603,123))</f>
        <v>烟</v>
      </c>
      <c r="E1155" s="67" t="str">
        <f aca="false">IF(INDEX(资金日记账!$N$4:$S$603,123,4)=0,"",INDEX(资金日记账!$N$4:$S$603,123,4))</f>
        <v>其他货币资金</v>
      </c>
      <c r="F1155" s="99" t="str">
        <f aca="false">IF($E1155="","",IFERROR(INDEX(科目表!$A$4:$A$81,MATCH($E1155,科目表!$B$4:$B$81,0)),""))</f>
        <v>1012</v>
      </c>
      <c r="G1155" s="67" t="str">
        <f aca="false">IF($E1155="","",IFERROR(INDEX(科目表!$E$4:$E$81,MATCH($E1155,科目表!$B$4:$B$81,0)),""))</f>
        <v>货币资金</v>
      </c>
      <c r="H1155" s="70" t="n">
        <f aca="false">IF($E1155="","",N(INDEX(资金日记账!$N$4:$S$603,123,5)))</f>
        <v>0</v>
      </c>
      <c r="I1155" s="70" t="n">
        <f aca="false">IF($E1155="","",N(INDEX(资金日记账!$N$4:$S$603,123,6)))</f>
        <v>1200</v>
      </c>
      <c r="J1155" s="67" t="n">
        <f aca="false">IF($E1155="","",INDEX(资金日记账!$E$4:$E$603,123))</f>
        <v>0</v>
      </c>
      <c r="K1155" s="67" t="n">
        <f aca="false">IF($E1155="","",INDEX(资金日记账!$F$4:$F$603,123))</f>
        <v>0</v>
      </c>
      <c r="L1155" s="107" t="n">
        <f aca="false">IF($E1155="","",INDEX(资金日记账!$X$4:$X$603,123))</f>
        <v>0</v>
      </c>
      <c r="M1155" s="107"/>
      <c r="N1155" s="67" t="n">
        <f aca="false">IF($E1155="","",INDEX(资金日记账!$Y$4:$Y$603,123))</f>
        <v>0</v>
      </c>
      <c r="O1155" s="67" t="str">
        <f aca="false">IF($E1155="","","自动B")</f>
        <v>自动B</v>
      </c>
      <c r="P1155" s="18"/>
    </row>
    <row r="1156" customFormat="false" ht="18" hidden="false" customHeight="true" outlineLevel="0" collapsed="false">
      <c r="A1156" s="107" t="n">
        <f aca="false">IF($E1156="","",ROW()-3)</f>
        <v>1153</v>
      </c>
      <c r="B1156" s="110" t="n">
        <f aca="false">IF($E1156="","",INDEX(资金日记账!$B$4:$B$603,124))</f>
        <v>46283</v>
      </c>
      <c r="C1156" s="67" t="str">
        <f aca="false">IF($E1156="","",IF(INDEX(资金日记账!$W$4:$W$603,124)="","记-"&amp;TEXT($B1156,"YYYYMM")&amp;"-资金",INDEX(资金日记账!$W$4:$W$603,124)))</f>
        <v>记-202609-资金</v>
      </c>
      <c r="D1156" s="107" t="n">
        <f aca="false">IF($E1156="","",INDEX(资金日记账!$D$4:$D$603,124))</f>
        <v>0</v>
      </c>
      <c r="E1156" s="67" t="str">
        <f aca="false">IF(INDEX(资金日记账!$N$4:$S$603,124,1)=0,"",INDEX(资金日记账!$N$4:$S$603,124,1))</f>
        <v>管理费用</v>
      </c>
      <c r="F1156" s="99" t="str">
        <f aca="false">IF($E1156="","",IFERROR(INDEX(科目表!$A$4:$A$81,MATCH($E1156,科目表!$B$4:$B$81,0)),""))</f>
        <v>5602</v>
      </c>
      <c r="G1156" s="67" t="str">
        <f aca="false">IF($E1156="","",IFERROR(INDEX(科目表!$E$4:$E$81,MATCH($E1156,科目表!$B$4:$B$81,0)),""))</f>
        <v>管理费用</v>
      </c>
      <c r="H1156" s="70" t="n">
        <f aca="false">IF($E1156="","",N(INDEX(资金日记账!$N$4:$S$603,124,2)))</f>
        <v>100</v>
      </c>
      <c r="I1156" s="70" t="n">
        <f aca="false">IF($E1156="","",N(INDEX(资金日记账!$N$4:$S$603,124,3)))</f>
        <v>0</v>
      </c>
      <c r="J1156" s="67" t="n">
        <f aca="false">IF($E1156="","",INDEX(资金日记账!$E$4:$E$603,124))</f>
        <v>0</v>
      </c>
      <c r="K1156" s="67" t="n">
        <f aca="false">IF($E1156="","",INDEX(资金日记账!$F$4:$F$603,124))</f>
        <v>0</v>
      </c>
      <c r="L1156" s="107" t="n">
        <f aca="false">IF($E1156="","",INDEX(资金日记账!$X$4:$X$603,124))</f>
        <v>0</v>
      </c>
      <c r="M1156" s="107"/>
      <c r="N1156" s="67" t="n">
        <f aca="false">IF($E1156="","",INDEX(资金日记账!$Y$4:$Y$603,124))</f>
        <v>0</v>
      </c>
      <c r="O1156" s="67" t="str">
        <f aca="false">IF($E1156="","","自动B")</f>
        <v>自动B</v>
      </c>
      <c r="P1156" s="18"/>
    </row>
    <row r="1157" customFormat="false" ht="18" hidden="false" customHeight="true" outlineLevel="0" collapsed="false">
      <c r="A1157" s="107" t="n">
        <f aca="false">IF($E1157="","",ROW()-3)</f>
        <v>1154</v>
      </c>
      <c r="B1157" s="110" t="n">
        <f aca="false">IF($E1157="","",INDEX(资金日记账!$B$4:$B$603,124))</f>
        <v>46283</v>
      </c>
      <c r="C1157" s="67" t="str">
        <f aca="false">IF($E1157="","",IF(INDEX(资金日记账!$W$4:$W$603,124)="","记-"&amp;TEXT($B1157,"YYYYMM")&amp;"-资金",INDEX(资金日记账!$W$4:$W$603,124)))</f>
        <v>记-202609-资金</v>
      </c>
      <c r="D1157" s="107" t="n">
        <f aca="false">IF($E1157="","",INDEX(资金日记账!$D$4:$D$603,124))</f>
        <v>0</v>
      </c>
      <c r="E1157" s="67" t="str">
        <f aca="false">IF(INDEX(资金日记账!$N$4:$S$603,124,4)=0,"",INDEX(资金日记账!$N$4:$S$603,124,4))</f>
        <v>其他货币资金</v>
      </c>
      <c r="F1157" s="99" t="str">
        <f aca="false">IF($E1157="","",IFERROR(INDEX(科目表!$A$4:$A$81,MATCH($E1157,科目表!$B$4:$B$81,0)),""))</f>
        <v>1012</v>
      </c>
      <c r="G1157" s="67" t="str">
        <f aca="false">IF($E1157="","",IFERROR(INDEX(科目表!$E$4:$E$81,MATCH($E1157,科目表!$B$4:$B$81,0)),""))</f>
        <v>货币资金</v>
      </c>
      <c r="H1157" s="70" t="n">
        <f aca="false">IF($E1157="","",N(INDEX(资金日记账!$N$4:$S$603,124,5)))</f>
        <v>0</v>
      </c>
      <c r="I1157" s="70" t="n">
        <f aca="false">IF($E1157="","",N(INDEX(资金日记账!$N$4:$S$603,124,6)))</f>
        <v>100</v>
      </c>
      <c r="J1157" s="67" t="n">
        <f aca="false">IF($E1157="","",INDEX(资金日记账!$E$4:$E$603,124))</f>
        <v>0</v>
      </c>
      <c r="K1157" s="67" t="n">
        <f aca="false">IF($E1157="","",INDEX(资金日记账!$F$4:$F$603,124))</f>
        <v>0</v>
      </c>
      <c r="L1157" s="107" t="n">
        <f aca="false">IF($E1157="","",INDEX(资金日记账!$X$4:$X$603,124))</f>
        <v>0</v>
      </c>
      <c r="M1157" s="107"/>
      <c r="N1157" s="67" t="n">
        <f aca="false">IF($E1157="","",INDEX(资金日记账!$Y$4:$Y$603,124))</f>
        <v>0</v>
      </c>
      <c r="O1157" s="67" t="str">
        <f aca="false">IF($E1157="","","自动B")</f>
        <v>自动B</v>
      </c>
      <c r="P1157" s="18"/>
    </row>
    <row r="1158" customFormat="false" ht="18" hidden="false" customHeight="true" outlineLevel="0" collapsed="false">
      <c r="A1158" s="107" t="n">
        <f aca="false">IF($E1158="","",ROW()-3)</f>
        <v>1155</v>
      </c>
      <c r="B1158" s="110" t="n">
        <f aca="false">IF($E1158="","",INDEX(资金日记账!$B$4:$B$603,125))</f>
        <v>46283</v>
      </c>
      <c r="C1158" s="67" t="str">
        <f aca="false">IF($E1158="","",IF(INDEX(资金日记账!$W$4:$W$603,125)="","记-"&amp;TEXT($B1158,"YYYYMM")&amp;"-资金",INDEX(资金日记账!$W$4:$W$603,125)))</f>
        <v>记-202609-资金</v>
      </c>
      <c r="D1158" s="107" t="str">
        <f aca="false">IF($E1158="","",INDEX(资金日记账!$D$4:$D$603,125))</f>
        <v>托盘采购</v>
      </c>
      <c r="E1158" s="67" t="str">
        <f aca="false">IF(INDEX(资金日记账!$N$4:$S$603,125,1)=0,"",INDEX(资金日记账!$N$4:$S$603,125,1))</f>
        <v>应付账款</v>
      </c>
      <c r="F1158" s="99" t="str">
        <f aca="false">IF($E1158="","",IFERROR(INDEX(科目表!$A$4:$A$81,MATCH($E1158,科目表!$B$4:$B$81,0)),""))</f>
        <v>2202</v>
      </c>
      <c r="G1158" s="67" t="str">
        <f aca="false">IF($E1158="","",IFERROR(INDEX(科目表!$E$4:$E$81,MATCH($E1158,科目表!$B$4:$B$81,0)),""))</f>
        <v>应付账款</v>
      </c>
      <c r="H1158" s="70" t="n">
        <f aca="false">IF($E1158="","",N(INDEX(资金日记账!$N$4:$S$603,125,2)))</f>
        <v>8000</v>
      </c>
      <c r="I1158" s="70" t="n">
        <f aca="false">IF($E1158="","",N(INDEX(资金日记账!$N$4:$S$603,125,3)))</f>
        <v>0</v>
      </c>
      <c r="J1158" s="67" t="n">
        <f aca="false">IF($E1158="","",INDEX(资金日记账!$E$4:$E$603,125))</f>
        <v>0</v>
      </c>
      <c r="K1158" s="67" t="str">
        <f aca="false">IF($E1158="","",INDEX(资金日记账!$F$4:$F$603,125))</f>
        <v>包装物料采购</v>
      </c>
      <c r="L1158" s="107" t="n">
        <f aca="false">IF($E1158="","",INDEX(资金日记账!$X$4:$X$603,125))</f>
        <v>0</v>
      </c>
      <c r="M1158" s="107"/>
      <c r="N1158" s="67" t="n">
        <f aca="false">IF($E1158="","",INDEX(资金日记账!$Y$4:$Y$603,125))</f>
        <v>0</v>
      </c>
      <c r="O1158" s="67" t="str">
        <f aca="false">IF($E1158="","","自动B")</f>
        <v>自动B</v>
      </c>
      <c r="P1158" s="18"/>
    </row>
    <row r="1159" customFormat="false" ht="18" hidden="false" customHeight="true" outlineLevel="0" collapsed="false">
      <c r="A1159" s="107" t="n">
        <f aca="false">IF($E1159="","",ROW()-3)</f>
        <v>1156</v>
      </c>
      <c r="B1159" s="110" t="n">
        <f aca="false">IF($E1159="","",INDEX(资金日记账!$B$4:$B$603,125))</f>
        <v>46283</v>
      </c>
      <c r="C1159" s="67" t="str">
        <f aca="false">IF($E1159="","",IF(INDEX(资金日记账!$W$4:$W$603,125)="","记-"&amp;TEXT($B1159,"YYYYMM")&amp;"-资金",INDEX(资金日记账!$W$4:$W$603,125)))</f>
        <v>记-202609-资金</v>
      </c>
      <c r="D1159" s="107" t="str">
        <f aca="false">IF($E1159="","",INDEX(资金日记账!$D$4:$D$603,125))</f>
        <v>托盘采购</v>
      </c>
      <c r="E1159" s="67" t="str">
        <f aca="false">IF(INDEX(资金日记账!$N$4:$S$603,125,4)=0,"",INDEX(资金日记账!$N$4:$S$603,125,4))</f>
        <v>其他货币资金</v>
      </c>
      <c r="F1159" s="99" t="str">
        <f aca="false">IF($E1159="","",IFERROR(INDEX(科目表!$A$4:$A$81,MATCH($E1159,科目表!$B$4:$B$81,0)),""))</f>
        <v>1012</v>
      </c>
      <c r="G1159" s="67" t="str">
        <f aca="false">IF($E1159="","",IFERROR(INDEX(科目表!$E$4:$E$81,MATCH($E1159,科目表!$B$4:$B$81,0)),""))</f>
        <v>货币资金</v>
      </c>
      <c r="H1159" s="70" t="n">
        <f aca="false">IF($E1159="","",N(INDEX(资金日记账!$N$4:$S$603,125,5)))</f>
        <v>0</v>
      </c>
      <c r="I1159" s="70" t="n">
        <f aca="false">IF($E1159="","",N(INDEX(资金日记账!$N$4:$S$603,125,6)))</f>
        <v>8000</v>
      </c>
      <c r="J1159" s="67" t="n">
        <f aca="false">IF($E1159="","",INDEX(资金日记账!$E$4:$E$603,125))</f>
        <v>0</v>
      </c>
      <c r="K1159" s="67" t="str">
        <f aca="false">IF($E1159="","",INDEX(资金日记账!$F$4:$F$603,125))</f>
        <v>包装物料采购</v>
      </c>
      <c r="L1159" s="107" t="n">
        <f aca="false">IF($E1159="","",INDEX(资金日记账!$X$4:$X$603,125))</f>
        <v>0</v>
      </c>
      <c r="M1159" s="107"/>
      <c r="N1159" s="67" t="n">
        <f aca="false">IF($E1159="","",INDEX(资金日记账!$Y$4:$Y$603,125))</f>
        <v>0</v>
      </c>
      <c r="O1159" s="67" t="str">
        <f aca="false">IF($E1159="","","自动B")</f>
        <v>自动B</v>
      </c>
      <c r="P1159" s="18"/>
    </row>
    <row r="1160" customFormat="false" ht="18" hidden="false" customHeight="true" outlineLevel="0" collapsed="false">
      <c r="A1160" s="107" t="str">
        <f aca="false">IF($E1160="","",ROW()-3)</f>
        <v/>
      </c>
      <c r="B1160" s="110" t="str">
        <f aca="false">IF($E1160="","",INDEX(资金日记账!$B$4:$B$603,126))</f>
        <v/>
      </c>
      <c r="C1160" s="67" t="str">
        <f aca="false">IF($E1160="","",IF(INDEX(资金日记账!$W$4:$W$603,126)="","记-"&amp;TEXT($B1160,"YYYYMM")&amp;"-资金",INDEX(资金日记账!$W$4:$W$603,126)))</f>
        <v/>
      </c>
      <c r="D1160" s="107" t="str">
        <f aca="false">IF($E1160="","",INDEX(资金日记账!$D$4:$D$603,126))</f>
        <v/>
      </c>
      <c r="E1160" s="67" t="str">
        <f aca="false">IF(INDEX(资金日记账!$N$4:$S$603,126,1)=0,"",INDEX(资金日记账!$N$4:$S$603,126,1))</f>
        <v/>
      </c>
      <c r="F1160" s="99" t="str">
        <f aca="false">IF($E1160="","",IFERROR(INDEX(科目表!$A$4:$A$81,MATCH($E1160,科目表!$B$4:$B$81,0)),""))</f>
        <v/>
      </c>
      <c r="G1160" s="67" t="str">
        <f aca="false">IF($E1160="","",IFERROR(INDEX(科目表!$E$4:$E$81,MATCH($E1160,科目表!$B$4:$B$81,0)),""))</f>
        <v/>
      </c>
      <c r="H1160" s="70" t="str">
        <f aca="false">IF($E1160="","",N(INDEX(资金日记账!$N$4:$S$603,126,2)))</f>
        <v/>
      </c>
      <c r="I1160" s="70" t="str">
        <f aca="false">IF($E1160="","",N(INDEX(资金日记账!$N$4:$S$603,126,3)))</f>
        <v/>
      </c>
      <c r="J1160" s="67" t="str">
        <f aca="false">IF($E1160="","",INDEX(资金日记账!$E$4:$E$603,126))</f>
        <v/>
      </c>
      <c r="K1160" s="67" t="str">
        <f aca="false">IF($E1160="","",INDEX(资金日记账!$F$4:$F$603,126))</f>
        <v/>
      </c>
      <c r="L1160" s="107" t="str">
        <f aca="false">IF($E1160="","",INDEX(资金日记账!$X$4:$X$603,126))</f>
        <v/>
      </c>
      <c r="M1160" s="107"/>
      <c r="N1160" s="67" t="str">
        <f aca="false">IF($E1160="","",INDEX(资金日记账!$Y$4:$Y$603,126))</f>
        <v/>
      </c>
      <c r="O1160" s="67" t="str">
        <f aca="false">IF($E1160="","","自动B")</f>
        <v/>
      </c>
      <c r="P1160" s="18"/>
    </row>
    <row r="1161" customFormat="false" ht="18" hidden="false" customHeight="true" outlineLevel="0" collapsed="false">
      <c r="A1161" s="107" t="str">
        <f aca="false">IF($E1161="","",ROW()-3)</f>
        <v/>
      </c>
      <c r="B1161" s="110" t="str">
        <f aca="false">IF($E1161="","",INDEX(资金日记账!$B$4:$B$603,126))</f>
        <v/>
      </c>
      <c r="C1161" s="67" t="str">
        <f aca="false">IF($E1161="","",IF(INDEX(资金日记账!$W$4:$W$603,126)="","记-"&amp;TEXT($B1161,"YYYYMM")&amp;"-资金",INDEX(资金日记账!$W$4:$W$603,126)))</f>
        <v/>
      </c>
      <c r="D1161" s="107" t="str">
        <f aca="false">IF($E1161="","",INDEX(资金日记账!$D$4:$D$603,126))</f>
        <v/>
      </c>
      <c r="E1161" s="67" t="str">
        <f aca="false">IF(INDEX(资金日记账!$N$4:$S$603,126,4)=0,"",INDEX(资金日记账!$N$4:$S$603,126,4))</f>
        <v/>
      </c>
      <c r="F1161" s="99" t="str">
        <f aca="false">IF($E1161="","",IFERROR(INDEX(科目表!$A$4:$A$81,MATCH($E1161,科目表!$B$4:$B$81,0)),""))</f>
        <v/>
      </c>
      <c r="G1161" s="67" t="str">
        <f aca="false">IF($E1161="","",IFERROR(INDEX(科目表!$E$4:$E$81,MATCH($E1161,科目表!$B$4:$B$81,0)),""))</f>
        <v/>
      </c>
      <c r="H1161" s="70" t="str">
        <f aca="false">IF($E1161="","",N(INDEX(资金日记账!$N$4:$S$603,126,5)))</f>
        <v/>
      </c>
      <c r="I1161" s="70" t="str">
        <f aca="false">IF($E1161="","",N(INDEX(资金日记账!$N$4:$S$603,126,6)))</f>
        <v/>
      </c>
      <c r="J1161" s="67" t="str">
        <f aca="false">IF($E1161="","",INDEX(资金日记账!$E$4:$E$603,126))</f>
        <v/>
      </c>
      <c r="K1161" s="67" t="str">
        <f aca="false">IF($E1161="","",INDEX(资金日记账!$F$4:$F$603,126))</f>
        <v/>
      </c>
      <c r="L1161" s="107" t="str">
        <f aca="false">IF($E1161="","",INDEX(资金日记账!$X$4:$X$603,126))</f>
        <v/>
      </c>
      <c r="M1161" s="107"/>
      <c r="N1161" s="67" t="str">
        <f aca="false">IF($E1161="","",INDEX(资金日记账!$Y$4:$Y$603,126))</f>
        <v/>
      </c>
      <c r="O1161" s="67" t="str">
        <f aca="false">IF($E1161="","","自动B")</f>
        <v/>
      </c>
      <c r="P1161" s="18"/>
    </row>
    <row r="1162" customFormat="false" ht="18" hidden="false" customHeight="true" outlineLevel="0" collapsed="false">
      <c r="A1162" s="107" t="str">
        <f aca="false">IF($E1162="","",ROW()-3)</f>
        <v/>
      </c>
      <c r="B1162" s="110" t="str">
        <f aca="false">IF($E1162="","",INDEX(资金日记账!$B$4:$B$603,127))</f>
        <v/>
      </c>
      <c r="C1162" s="67" t="str">
        <f aca="false">IF($E1162="","",IF(INDEX(资金日记账!$W$4:$W$603,127)="","记-"&amp;TEXT($B1162,"YYYYMM")&amp;"-资金",INDEX(资金日记账!$W$4:$W$603,127)))</f>
        <v/>
      </c>
      <c r="D1162" s="107" t="str">
        <f aca="false">IF($E1162="","",INDEX(资金日记账!$D$4:$D$603,127))</f>
        <v/>
      </c>
      <c r="E1162" s="67" t="str">
        <f aca="false">IF(INDEX(资金日记账!$N$4:$S$603,127,1)=0,"",INDEX(资金日记账!$N$4:$S$603,127,1))</f>
        <v/>
      </c>
      <c r="F1162" s="99" t="str">
        <f aca="false">IF($E1162="","",IFERROR(INDEX(科目表!$A$4:$A$81,MATCH($E1162,科目表!$B$4:$B$81,0)),""))</f>
        <v/>
      </c>
      <c r="G1162" s="67" t="str">
        <f aca="false">IF($E1162="","",IFERROR(INDEX(科目表!$E$4:$E$81,MATCH($E1162,科目表!$B$4:$B$81,0)),""))</f>
        <v/>
      </c>
      <c r="H1162" s="70" t="str">
        <f aca="false">IF($E1162="","",N(INDEX(资金日记账!$N$4:$S$603,127,2)))</f>
        <v/>
      </c>
      <c r="I1162" s="70" t="str">
        <f aca="false">IF($E1162="","",N(INDEX(资金日记账!$N$4:$S$603,127,3)))</f>
        <v/>
      </c>
      <c r="J1162" s="67" t="str">
        <f aca="false">IF($E1162="","",INDEX(资金日记账!$E$4:$E$603,127))</f>
        <v/>
      </c>
      <c r="K1162" s="67" t="str">
        <f aca="false">IF($E1162="","",INDEX(资金日记账!$F$4:$F$603,127))</f>
        <v/>
      </c>
      <c r="L1162" s="107" t="str">
        <f aca="false">IF($E1162="","",INDEX(资金日记账!$X$4:$X$603,127))</f>
        <v/>
      </c>
      <c r="M1162" s="107"/>
      <c r="N1162" s="67" t="str">
        <f aca="false">IF($E1162="","",INDEX(资金日记账!$Y$4:$Y$603,127))</f>
        <v/>
      </c>
      <c r="O1162" s="67" t="str">
        <f aca="false">IF($E1162="","","自动B")</f>
        <v/>
      </c>
      <c r="P1162" s="18"/>
    </row>
    <row r="1163" customFormat="false" ht="18" hidden="false" customHeight="true" outlineLevel="0" collapsed="false">
      <c r="A1163" s="107" t="str">
        <f aca="false">IF($E1163="","",ROW()-3)</f>
        <v/>
      </c>
      <c r="B1163" s="110" t="str">
        <f aca="false">IF($E1163="","",INDEX(资金日记账!$B$4:$B$603,127))</f>
        <v/>
      </c>
      <c r="C1163" s="67" t="str">
        <f aca="false">IF($E1163="","",IF(INDEX(资金日记账!$W$4:$W$603,127)="","记-"&amp;TEXT($B1163,"YYYYMM")&amp;"-资金",INDEX(资金日记账!$W$4:$W$603,127)))</f>
        <v/>
      </c>
      <c r="D1163" s="107" t="str">
        <f aca="false">IF($E1163="","",INDEX(资金日记账!$D$4:$D$603,127))</f>
        <v/>
      </c>
      <c r="E1163" s="67" t="str">
        <f aca="false">IF(INDEX(资金日记账!$N$4:$S$603,127,4)=0,"",INDEX(资金日记账!$N$4:$S$603,127,4))</f>
        <v/>
      </c>
      <c r="F1163" s="99" t="str">
        <f aca="false">IF($E1163="","",IFERROR(INDEX(科目表!$A$4:$A$81,MATCH($E1163,科目表!$B$4:$B$81,0)),""))</f>
        <v/>
      </c>
      <c r="G1163" s="67" t="str">
        <f aca="false">IF($E1163="","",IFERROR(INDEX(科目表!$E$4:$E$81,MATCH($E1163,科目表!$B$4:$B$81,0)),""))</f>
        <v/>
      </c>
      <c r="H1163" s="70" t="str">
        <f aca="false">IF($E1163="","",N(INDEX(资金日记账!$N$4:$S$603,127,5)))</f>
        <v/>
      </c>
      <c r="I1163" s="70" t="str">
        <f aca="false">IF($E1163="","",N(INDEX(资金日记账!$N$4:$S$603,127,6)))</f>
        <v/>
      </c>
      <c r="J1163" s="67" t="str">
        <f aca="false">IF($E1163="","",INDEX(资金日记账!$E$4:$E$603,127))</f>
        <v/>
      </c>
      <c r="K1163" s="67" t="str">
        <f aca="false">IF($E1163="","",INDEX(资金日记账!$F$4:$F$603,127))</f>
        <v/>
      </c>
      <c r="L1163" s="107" t="str">
        <f aca="false">IF($E1163="","",INDEX(资金日记账!$X$4:$X$603,127))</f>
        <v/>
      </c>
      <c r="M1163" s="107"/>
      <c r="N1163" s="67" t="str">
        <f aca="false">IF($E1163="","",INDEX(资金日记账!$Y$4:$Y$603,127))</f>
        <v/>
      </c>
      <c r="O1163" s="67" t="str">
        <f aca="false">IF($E1163="","","自动B")</f>
        <v/>
      </c>
      <c r="P1163" s="18"/>
    </row>
    <row r="1164" customFormat="false" ht="18" hidden="false" customHeight="true" outlineLevel="0" collapsed="false">
      <c r="A1164" s="107" t="str">
        <f aca="false">IF($E1164="","",ROW()-3)</f>
        <v/>
      </c>
      <c r="B1164" s="110" t="str">
        <f aca="false">IF($E1164="","",INDEX(资金日记账!$B$4:$B$603,128))</f>
        <v/>
      </c>
      <c r="C1164" s="67" t="str">
        <f aca="false">IF($E1164="","",IF(INDEX(资金日记账!$W$4:$W$603,128)="","记-"&amp;TEXT($B1164,"YYYYMM")&amp;"-资金",INDEX(资金日记账!$W$4:$W$603,128)))</f>
        <v/>
      </c>
      <c r="D1164" s="107" t="str">
        <f aca="false">IF($E1164="","",INDEX(资金日记账!$D$4:$D$603,128))</f>
        <v/>
      </c>
      <c r="E1164" s="67" t="str">
        <f aca="false">IF(INDEX(资金日记账!$N$4:$S$603,128,1)=0,"",INDEX(资金日记账!$N$4:$S$603,128,1))</f>
        <v/>
      </c>
      <c r="F1164" s="99" t="str">
        <f aca="false">IF($E1164="","",IFERROR(INDEX(科目表!$A$4:$A$81,MATCH($E1164,科目表!$B$4:$B$81,0)),""))</f>
        <v/>
      </c>
      <c r="G1164" s="67" t="str">
        <f aca="false">IF($E1164="","",IFERROR(INDEX(科目表!$E$4:$E$81,MATCH($E1164,科目表!$B$4:$B$81,0)),""))</f>
        <v/>
      </c>
      <c r="H1164" s="70" t="str">
        <f aca="false">IF($E1164="","",N(INDEX(资金日记账!$N$4:$S$603,128,2)))</f>
        <v/>
      </c>
      <c r="I1164" s="70" t="str">
        <f aca="false">IF($E1164="","",N(INDEX(资金日记账!$N$4:$S$603,128,3)))</f>
        <v/>
      </c>
      <c r="J1164" s="67" t="str">
        <f aca="false">IF($E1164="","",INDEX(资金日记账!$E$4:$E$603,128))</f>
        <v/>
      </c>
      <c r="K1164" s="67" t="str">
        <f aca="false">IF($E1164="","",INDEX(资金日记账!$F$4:$F$603,128))</f>
        <v/>
      </c>
      <c r="L1164" s="107" t="str">
        <f aca="false">IF($E1164="","",INDEX(资金日记账!$X$4:$X$603,128))</f>
        <v/>
      </c>
      <c r="M1164" s="107"/>
      <c r="N1164" s="67" t="str">
        <f aca="false">IF($E1164="","",INDEX(资金日记账!$Y$4:$Y$603,128))</f>
        <v/>
      </c>
      <c r="O1164" s="67" t="str">
        <f aca="false">IF($E1164="","","自动B")</f>
        <v/>
      </c>
      <c r="P1164" s="18"/>
    </row>
    <row r="1165" customFormat="false" ht="18" hidden="false" customHeight="true" outlineLevel="0" collapsed="false">
      <c r="A1165" s="107" t="str">
        <f aca="false">IF($E1165="","",ROW()-3)</f>
        <v/>
      </c>
      <c r="B1165" s="110" t="str">
        <f aca="false">IF($E1165="","",INDEX(资金日记账!$B$4:$B$603,128))</f>
        <v/>
      </c>
      <c r="C1165" s="67" t="str">
        <f aca="false">IF($E1165="","",IF(INDEX(资金日记账!$W$4:$W$603,128)="","记-"&amp;TEXT($B1165,"YYYYMM")&amp;"-资金",INDEX(资金日记账!$W$4:$W$603,128)))</f>
        <v/>
      </c>
      <c r="D1165" s="107" t="str">
        <f aca="false">IF($E1165="","",INDEX(资金日记账!$D$4:$D$603,128))</f>
        <v/>
      </c>
      <c r="E1165" s="67" t="str">
        <f aca="false">IF(INDEX(资金日记账!$N$4:$S$603,128,4)=0,"",INDEX(资金日记账!$N$4:$S$603,128,4))</f>
        <v/>
      </c>
      <c r="F1165" s="99" t="str">
        <f aca="false">IF($E1165="","",IFERROR(INDEX(科目表!$A$4:$A$81,MATCH($E1165,科目表!$B$4:$B$81,0)),""))</f>
        <v/>
      </c>
      <c r="G1165" s="67" t="str">
        <f aca="false">IF($E1165="","",IFERROR(INDEX(科目表!$E$4:$E$81,MATCH($E1165,科目表!$B$4:$B$81,0)),""))</f>
        <v/>
      </c>
      <c r="H1165" s="70" t="str">
        <f aca="false">IF($E1165="","",N(INDEX(资金日记账!$N$4:$S$603,128,5)))</f>
        <v/>
      </c>
      <c r="I1165" s="70" t="str">
        <f aca="false">IF($E1165="","",N(INDEX(资金日记账!$N$4:$S$603,128,6)))</f>
        <v/>
      </c>
      <c r="J1165" s="67" t="str">
        <f aca="false">IF($E1165="","",INDEX(资金日记账!$E$4:$E$603,128))</f>
        <v/>
      </c>
      <c r="K1165" s="67" t="str">
        <f aca="false">IF($E1165="","",INDEX(资金日记账!$F$4:$F$603,128))</f>
        <v/>
      </c>
      <c r="L1165" s="107" t="str">
        <f aca="false">IF($E1165="","",INDEX(资金日记账!$X$4:$X$603,128))</f>
        <v/>
      </c>
      <c r="M1165" s="107"/>
      <c r="N1165" s="67" t="str">
        <f aca="false">IF($E1165="","",INDEX(资金日记账!$Y$4:$Y$603,128))</f>
        <v/>
      </c>
      <c r="O1165" s="67" t="str">
        <f aca="false">IF($E1165="","","自动B")</f>
        <v/>
      </c>
      <c r="P1165" s="18"/>
    </row>
    <row r="1166" customFormat="false" ht="18" hidden="false" customHeight="true" outlineLevel="0" collapsed="false">
      <c r="A1166" s="107" t="str">
        <f aca="false">IF($E1166="","",ROW()-3)</f>
        <v/>
      </c>
      <c r="B1166" s="110" t="str">
        <f aca="false">IF($E1166="","",INDEX(资金日记账!$B$4:$B$603,129))</f>
        <v/>
      </c>
      <c r="C1166" s="67" t="str">
        <f aca="false">IF($E1166="","",IF(INDEX(资金日记账!$W$4:$W$603,129)="","记-"&amp;TEXT($B1166,"YYYYMM")&amp;"-资金",INDEX(资金日记账!$W$4:$W$603,129)))</f>
        <v/>
      </c>
      <c r="D1166" s="107" t="str">
        <f aca="false">IF($E1166="","",INDEX(资金日记账!$D$4:$D$603,129))</f>
        <v/>
      </c>
      <c r="E1166" s="67" t="str">
        <f aca="false">IF(INDEX(资金日记账!$N$4:$S$603,129,1)=0,"",INDEX(资金日记账!$N$4:$S$603,129,1))</f>
        <v/>
      </c>
      <c r="F1166" s="99" t="str">
        <f aca="false">IF($E1166="","",IFERROR(INDEX(科目表!$A$4:$A$81,MATCH($E1166,科目表!$B$4:$B$81,0)),""))</f>
        <v/>
      </c>
      <c r="G1166" s="67" t="str">
        <f aca="false">IF($E1166="","",IFERROR(INDEX(科目表!$E$4:$E$81,MATCH($E1166,科目表!$B$4:$B$81,0)),""))</f>
        <v/>
      </c>
      <c r="H1166" s="70" t="str">
        <f aca="false">IF($E1166="","",N(INDEX(资金日记账!$N$4:$S$603,129,2)))</f>
        <v/>
      </c>
      <c r="I1166" s="70" t="str">
        <f aca="false">IF($E1166="","",N(INDEX(资金日记账!$N$4:$S$603,129,3)))</f>
        <v/>
      </c>
      <c r="J1166" s="67" t="str">
        <f aca="false">IF($E1166="","",INDEX(资金日记账!$E$4:$E$603,129))</f>
        <v/>
      </c>
      <c r="K1166" s="67" t="str">
        <f aca="false">IF($E1166="","",INDEX(资金日记账!$F$4:$F$603,129))</f>
        <v/>
      </c>
      <c r="L1166" s="107" t="str">
        <f aca="false">IF($E1166="","",INDEX(资金日记账!$X$4:$X$603,129))</f>
        <v/>
      </c>
      <c r="M1166" s="107"/>
      <c r="N1166" s="67" t="str">
        <f aca="false">IF($E1166="","",INDEX(资金日记账!$Y$4:$Y$603,129))</f>
        <v/>
      </c>
      <c r="O1166" s="67" t="str">
        <f aca="false">IF($E1166="","","自动B")</f>
        <v/>
      </c>
      <c r="P1166" s="18"/>
    </row>
    <row r="1167" customFormat="false" ht="18" hidden="false" customHeight="true" outlineLevel="0" collapsed="false">
      <c r="A1167" s="107" t="str">
        <f aca="false">IF($E1167="","",ROW()-3)</f>
        <v/>
      </c>
      <c r="B1167" s="110" t="str">
        <f aca="false">IF($E1167="","",INDEX(资金日记账!$B$4:$B$603,129))</f>
        <v/>
      </c>
      <c r="C1167" s="67" t="str">
        <f aca="false">IF($E1167="","",IF(INDEX(资金日记账!$W$4:$W$603,129)="","记-"&amp;TEXT($B1167,"YYYYMM")&amp;"-资金",INDEX(资金日记账!$W$4:$W$603,129)))</f>
        <v/>
      </c>
      <c r="D1167" s="107" t="str">
        <f aca="false">IF($E1167="","",INDEX(资金日记账!$D$4:$D$603,129))</f>
        <v/>
      </c>
      <c r="E1167" s="67" t="str">
        <f aca="false">IF(INDEX(资金日记账!$N$4:$S$603,129,4)=0,"",INDEX(资金日记账!$N$4:$S$603,129,4))</f>
        <v/>
      </c>
      <c r="F1167" s="99" t="str">
        <f aca="false">IF($E1167="","",IFERROR(INDEX(科目表!$A$4:$A$81,MATCH($E1167,科目表!$B$4:$B$81,0)),""))</f>
        <v/>
      </c>
      <c r="G1167" s="67" t="str">
        <f aca="false">IF($E1167="","",IFERROR(INDEX(科目表!$E$4:$E$81,MATCH($E1167,科目表!$B$4:$B$81,0)),""))</f>
        <v/>
      </c>
      <c r="H1167" s="70" t="str">
        <f aca="false">IF($E1167="","",N(INDEX(资金日记账!$N$4:$S$603,129,5)))</f>
        <v/>
      </c>
      <c r="I1167" s="70" t="str">
        <f aca="false">IF($E1167="","",N(INDEX(资金日记账!$N$4:$S$603,129,6)))</f>
        <v/>
      </c>
      <c r="J1167" s="67" t="str">
        <f aca="false">IF($E1167="","",INDEX(资金日记账!$E$4:$E$603,129))</f>
        <v/>
      </c>
      <c r="K1167" s="67" t="str">
        <f aca="false">IF($E1167="","",INDEX(资金日记账!$F$4:$F$603,129))</f>
        <v/>
      </c>
      <c r="L1167" s="107" t="str">
        <f aca="false">IF($E1167="","",INDEX(资金日记账!$X$4:$X$603,129))</f>
        <v/>
      </c>
      <c r="M1167" s="107"/>
      <c r="N1167" s="67" t="str">
        <f aca="false">IF($E1167="","",INDEX(资金日记账!$Y$4:$Y$603,129))</f>
        <v/>
      </c>
      <c r="O1167" s="67" t="str">
        <f aca="false">IF($E1167="","","自动B")</f>
        <v/>
      </c>
      <c r="P1167" s="18"/>
    </row>
    <row r="1168" customFormat="false" ht="18" hidden="false" customHeight="true" outlineLevel="0" collapsed="false">
      <c r="A1168" s="107" t="str">
        <f aca="false">IF($E1168="","",ROW()-3)</f>
        <v/>
      </c>
      <c r="B1168" s="110" t="str">
        <f aca="false">IF($E1168="","",INDEX(资金日记账!$B$4:$B$603,130))</f>
        <v/>
      </c>
      <c r="C1168" s="67" t="str">
        <f aca="false">IF($E1168="","",IF(INDEX(资金日记账!$W$4:$W$603,130)="","记-"&amp;TEXT($B1168,"YYYYMM")&amp;"-资金",INDEX(资金日记账!$W$4:$W$603,130)))</f>
        <v/>
      </c>
      <c r="D1168" s="107" t="str">
        <f aca="false">IF($E1168="","",INDEX(资金日记账!$D$4:$D$603,130))</f>
        <v/>
      </c>
      <c r="E1168" s="67" t="str">
        <f aca="false">IF(INDEX(资金日记账!$N$4:$S$603,130,1)=0,"",INDEX(资金日记账!$N$4:$S$603,130,1))</f>
        <v/>
      </c>
      <c r="F1168" s="99" t="str">
        <f aca="false">IF($E1168="","",IFERROR(INDEX(科目表!$A$4:$A$81,MATCH($E1168,科目表!$B$4:$B$81,0)),""))</f>
        <v/>
      </c>
      <c r="G1168" s="67" t="str">
        <f aca="false">IF($E1168="","",IFERROR(INDEX(科目表!$E$4:$E$81,MATCH($E1168,科目表!$B$4:$B$81,0)),""))</f>
        <v/>
      </c>
      <c r="H1168" s="70" t="str">
        <f aca="false">IF($E1168="","",N(INDEX(资金日记账!$N$4:$S$603,130,2)))</f>
        <v/>
      </c>
      <c r="I1168" s="70" t="str">
        <f aca="false">IF($E1168="","",N(INDEX(资金日记账!$N$4:$S$603,130,3)))</f>
        <v/>
      </c>
      <c r="J1168" s="67" t="str">
        <f aca="false">IF($E1168="","",INDEX(资金日记账!$E$4:$E$603,130))</f>
        <v/>
      </c>
      <c r="K1168" s="67" t="str">
        <f aca="false">IF($E1168="","",INDEX(资金日记账!$F$4:$F$603,130))</f>
        <v/>
      </c>
      <c r="L1168" s="107" t="str">
        <f aca="false">IF($E1168="","",INDEX(资金日记账!$X$4:$X$603,130))</f>
        <v/>
      </c>
      <c r="M1168" s="107"/>
      <c r="N1168" s="67" t="str">
        <f aca="false">IF($E1168="","",INDEX(资金日记账!$Y$4:$Y$603,130))</f>
        <v/>
      </c>
      <c r="O1168" s="67" t="str">
        <f aca="false">IF($E1168="","","自动B")</f>
        <v/>
      </c>
      <c r="P1168" s="18"/>
    </row>
    <row r="1169" customFormat="false" ht="18" hidden="false" customHeight="true" outlineLevel="0" collapsed="false">
      <c r="A1169" s="107" t="str">
        <f aca="false">IF($E1169="","",ROW()-3)</f>
        <v/>
      </c>
      <c r="B1169" s="110" t="str">
        <f aca="false">IF($E1169="","",INDEX(资金日记账!$B$4:$B$603,130))</f>
        <v/>
      </c>
      <c r="C1169" s="67" t="str">
        <f aca="false">IF($E1169="","",IF(INDEX(资金日记账!$W$4:$W$603,130)="","记-"&amp;TEXT($B1169,"YYYYMM")&amp;"-资金",INDEX(资金日记账!$W$4:$W$603,130)))</f>
        <v/>
      </c>
      <c r="D1169" s="107" t="str">
        <f aca="false">IF($E1169="","",INDEX(资金日记账!$D$4:$D$603,130))</f>
        <v/>
      </c>
      <c r="E1169" s="67" t="str">
        <f aca="false">IF(INDEX(资金日记账!$N$4:$S$603,130,4)=0,"",INDEX(资金日记账!$N$4:$S$603,130,4))</f>
        <v/>
      </c>
      <c r="F1169" s="99" t="str">
        <f aca="false">IF($E1169="","",IFERROR(INDEX(科目表!$A$4:$A$81,MATCH($E1169,科目表!$B$4:$B$81,0)),""))</f>
        <v/>
      </c>
      <c r="G1169" s="67" t="str">
        <f aca="false">IF($E1169="","",IFERROR(INDEX(科目表!$E$4:$E$81,MATCH($E1169,科目表!$B$4:$B$81,0)),""))</f>
        <v/>
      </c>
      <c r="H1169" s="70" t="str">
        <f aca="false">IF($E1169="","",N(INDEX(资金日记账!$N$4:$S$603,130,5)))</f>
        <v/>
      </c>
      <c r="I1169" s="70" t="str">
        <f aca="false">IF($E1169="","",N(INDEX(资金日记账!$N$4:$S$603,130,6)))</f>
        <v/>
      </c>
      <c r="J1169" s="67" t="str">
        <f aca="false">IF($E1169="","",INDEX(资金日记账!$E$4:$E$603,130))</f>
        <v/>
      </c>
      <c r="K1169" s="67" t="str">
        <f aca="false">IF($E1169="","",INDEX(资金日记账!$F$4:$F$603,130))</f>
        <v/>
      </c>
      <c r="L1169" s="107" t="str">
        <f aca="false">IF($E1169="","",INDEX(资金日记账!$X$4:$X$603,130))</f>
        <v/>
      </c>
      <c r="M1169" s="107"/>
      <c r="N1169" s="67" t="str">
        <f aca="false">IF($E1169="","",INDEX(资金日记账!$Y$4:$Y$603,130))</f>
        <v/>
      </c>
      <c r="O1169" s="67" t="str">
        <f aca="false">IF($E1169="","","自动B")</f>
        <v/>
      </c>
      <c r="P1169" s="18"/>
    </row>
    <row r="1170" customFormat="false" ht="18" hidden="false" customHeight="true" outlineLevel="0" collapsed="false">
      <c r="A1170" s="107" t="str">
        <f aca="false">IF($E1170="","",ROW()-3)</f>
        <v/>
      </c>
      <c r="B1170" s="110" t="str">
        <f aca="false">IF($E1170="","",INDEX(资金日记账!$B$4:$B$603,131))</f>
        <v/>
      </c>
      <c r="C1170" s="67" t="str">
        <f aca="false">IF($E1170="","",IF(INDEX(资金日记账!$W$4:$W$603,131)="","记-"&amp;TEXT($B1170,"YYYYMM")&amp;"-资金",INDEX(资金日记账!$W$4:$W$603,131)))</f>
        <v/>
      </c>
      <c r="D1170" s="107" t="str">
        <f aca="false">IF($E1170="","",INDEX(资金日记账!$D$4:$D$603,131))</f>
        <v/>
      </c>
      <c r="E1170" s="67" t="str">
        <f aca="false">IF(INDEX(资金日记账!$N$4:$S$603,131,1)=0,"",INDEX(资金日记账!$N$4:$S$603,131,1))</f>
        <v/>
      </c>
      <c r="F1170" s="99" t="str">
        <f aca="false">IF($E1170="","",IFERROR(INDEX(科目表!$A$4:$A$81,MATCH($E1170,科目表!$B$4:$B$81,0)),""))</f>
        <v/>
      </c>
      <c r="G1170" s="67" t="str">
        <f aca="false">IF($E1170="","",IFERROR(INDEX(科目表!$E$4:$E$81,MATCH($E1170,科目表!$B$4:$B$81,0)),""))</f>
        <v/>
      </c>
      <c r="H1170" s="70" t="str">
        <f aca="false">IF($E1170="","",N(INDEX(资金日记账!$N$4:$S$603,131,2)))</f>
        <v/>
      </c>
      <c r="I1170" s="70" t="str">
        <f aca="false">IF($E1170="","",N(INDEX(资金日记账!$N$4:$S$603,131,3)))</f>
        <v/>
      </c>
      <c r="J1170" s="67" t="str">
        <f aca="false">IF($E1170="","",INDEX(资金日记账!$E$4:$E$603,131))</f>
        <v/>
      </c>
      <c r="K1170" s="67" t="str">
        <f aca="false">IF($E1170="","",INDEX(资金日记账!$F$4:$F$603,131))</f>
        <v/>
      </c>
      <c r="L1170" s="107" t="str">
        <f aca="false">IF($E1170="","",INDEX(资金日记账!$X$4:$X$603,131))</f>
        <v/>
      </c>
      <c r="M1170" s="107"/>
      <c r="N1170" s="67" t="str">
        <f aca="false">IF($E1170="","",INDEX(资金日记账!$Y$4:$Y$603,131))</f>
        <v/>
      </c>
      <c r="O1170" s="67" t="str">
        <f aca="false">IF($E1170="","","自动B")</f>
        <v/>
      </c>
      <c r="P1170" s="18"/>
    </row>
    <row r="1171" customFormat="false" ht="18" hidden="false" customHeight="true" outlineLevel="0" collapsed="false">
      <c r="A1171" s="107" t="str">
        <f aca="false">IF($E1171="","",ROW()-3)</f>
        <v/>
      </c>
      <c r="B1171" s="110" t="str">
        <f aca="false">IF($E1171="","",INDEX(资金日记账!$B$4:$B$603,131))</f>
        <v/>
      </c>
      <c r="C1171" s="67" t="str">
        <f aca="false">IF($E1171="","",IF(INDEX(资金日记账!$W$4:$W$603,131)="","记-"&amp;TEXT($B1171,"YYYYMM")&amp;"-资金",INDEX(资金日记账!$W$4:$W$603,131)))</f>
        <v/>
      </c>
      <c r="D1171" s="107" t="str">
        <f aca="false">IF($E1171="","",INDEX(资金日记账!$D$4:$D$603,131))</f>
        <v/>
      </c>
      <c r="E1171" s="67" t="str">
        <f aca="false">IF(INDEX(资金日记账!$N$4:$S$603,131,4)=0,"",INDEX(资金日记账!$N$4:$S$603,131,4))</f>
        <v/>
      </c>
      <c r="F1171" s="99" t="str">
        <f aca="false">IF($E1171="","",IFERROR(INDEX(科目表!$A$4:$A$81,MATCH($E1171,科目表!$B$4:$B$81,0)),""))</f>
        <v/>
      </c>
      <c r="G1171" s="67" t="str">
        <f aca="false">IF($E1171="","",IFERROR(INDEX(科目表!$E$4:$E$81,MATCH($E1171,科目表!$B$4:$B$81,0)),""))</f>
        <v/>
      </c>
      <c r="H1171" s="70" t="str">
        <f aca="false">IF($E1171="","",N(INDEX(资金日记账!$N$4:$S$603,131,5)))</f>
        <v/>
      </c>
      <c r="I1171" s="70" t="str">
        <f aca="false">IF($E1171="","",N(INDEX(资金日记账!$N$4:$S$603,131,6)))</f>
        <v/>
      </c>
      <c r="J1171" s="67" t="str">
        <f aca="false">IF($E1171="","",INDEX(资金日记账!$E$4:$E$603,131))</f>
        <v/>
      </c>
      <c r="K1171" s="67" t="str">
        <f aca="false">IF($E1171="","",INDEX(资金日记账!$F$4:$F$603,131))</f>
        <v/>
      </c>
      <c r="L1171" s="107" t="str">
        <f aca="false">IF($E1171="","",INDEX(资金日记账!$X$4:$X$603,131))</f>
        <v/>
      </c>
      <c r="M1171" s="107"/>
      <c r="N1171" s="67" t="str">
        <f aca="false">IF($E1171="","",INDEX(资金日记账!$Y$4:$Y$603,131))</f>
        <v/>
      </c>
      <c r="O1171" s="67" t="str">
        <f aca="false">IF($E1171="","","自动B")</f>
        <v/>
      </c>
      <c r="P1171" s="18"/>
    </row>
    <row r="1172" customFormat="false" ht="18" hidden="false" customHeight="true" outlineLevel="0" collapsed="false">
      <c r="A1172" s="107" t="str">
        <f aca="false">IF($E1172="","",ROW()-3)</f>
        <v/>
      </c>
      <c r="B1172" s="110" t="str">
        <f aca="false">IF($E1172="","",INDEX(资金日记账!$B$4:$B$603,132))</f>
        <v/>
      </c>
      <c r="C1172" s="67" t="str">
        <f aca="false">IF($E1172="","",IF(INDEX(资金日记账!$W$4:$W$603,132)="","记-"&amp;TEXT($B1172,"YYYYMM")&amp;"-资金",INDEX(资金日记账!$W$4:$W$603,132)))</f>
        <v/>
      </c>
      <c r="D1172" s="107" t="str">
        <f aca="false">IF($E1172="","",INDEX(资金日记账!$D$4:$D$603,132))</f>
        <v/>
      </c>
      <c r="E1172" s="67" t="str">
        <f aca="false">IF(INDEX(资金日记账!$N$4:$S$603,132,1)=0,"",INDEX(资金日记账!$N$4:$S$603,132,1))</f>
        <v/>
      </c>
      <c r="F1172" s="99" t="str">
        <f aca="false">IF($E1172="","",IFERROR(INDEX(科目表!$A$4:$A$81,MATCH($E1172,科目表!$B$4:$B$81,0)),""))</f>
        <v/>
      </c>
      <c r="G1172" s="67" t="str">
        <f aca="false">IF($E1172="","",IFERROR(INDEX(科目表!$E$4:$E$81,MATCH($E1172,科目表!$B$4:$B$81,0)),""))</f>
        <v/>
      </c>
      <c r="H1172" s="70" t="str">
        <f aca="false">IF($E1172="","",N(INDEX(资金日记账!$N$4:$S$603,132,2)))</f>
        <v/>
      </c>
      <c r="I1172" s="70" t="str">
        <f aca="false">IF($E1172="","",N(INDEX(资金日记账!$N$4:$S$603,132,3)))</f>
        <v/>
      </c>
      <c r="J1172" s="67" t="str">
        <f aca="false">IF($E1172="","",INDEX(资金日记账!$E$4:$E$603,132))</f>
        <v/>
      </c>
      <c r="K1172" s="67" t="str">
        <f aca="false">IF($E1172="","",INDEX(资金日记账!$F$4:$F$603,132))</f>
        <v/>
      </c>
      <c r="L1172" s="107" t="str">
        <f aca="false">IF($E1172="","",INDEX(资金日记账!$X$4:$X$603,132))</f>
        <v/>
      </c>
      <c r="M1172" s="107"/>
      <c r="N1172" s="67" t="str">
        <f aca="false">IF($E1172="","",INDEX(资金日记账!$Y$4:$Y$603,132))</f>
        <v/>
      </c>
      <c r="O1172" s="67" t="str">
        <f aca="false">IF($E1172="","","自动B")</f>
        <v/>
      </c>
      <c r="P1172" s="18"/>
    </row>
    <row r="1173" customFormat="false" ht="18" hidden="false" customHeight="true" outlineLevel="0" collapsed="false">
      <c r="A1173" s="107" t="str">
        <f aca="false">IF($E1173="","",ROW()-3)</f>
        <v/>
      </c>
      <c r="B1173" s="110" t="str">
        <f aca="false">IF($E1173="","",INDEX(资金日记账!$B$4:$B$603,132))</f>
        <v/>
      </c>
      <c r="C1173" s="67" t="str">
        <f aca="false">IF($E1173="","",IF(INDEX(资金日记账!$W$4:$W$603,132)="","记-"&amp;TEXT($B1173,"YYYYMM")&amp;"-资金",INDEX(资金日记账!$W$4:$W$603,132)))</f>
        <v/>
      </c>
      <c r="D1173" s="107" t="str">
        <f aca="false">IF($E1173="","",INDEX(资金日记账!$D$4:$D$603,132))</f>
        <v/>
      </c>
      <c r="E1173" s="67" t="str">
        <f aca="false">IF(INDEX(资金日记账!$N$4:$S$603,132,4)=0,"",INDEX(资金日记账!$N$4:$S$603,132,4))</f>
        <v/>
      </c>
      <c r="F1173" s="99" t="str">
        <f aca="false">IF($E1173="","",IFERROR(INDEX(科目表!$A$4:$A$81,MATCH($E1173,科目表!$B$4:$B$81,0)),""))</f>
        <v/>
      </c>
      <c r="G1173" s="67" t="str">
        <f aca="false">IF($E1173="","",IFERROR(INDEX(科目表!$E$4:$E$81,MATCH($E1173,科目表!$B$4:$B$81,0)),""))</f>
        <v/>
      </c>
      <c r="H1173" s="70" t="str">
        <f aca="false">IF($E1173="","",N(INDEX(资金日记账!$N$4:$S$603,132,5)))</f>
        <v/>
      </c>
      <c r="I1173" s="70" t="str">
        <f aca="false">IF($E1173="","",N(INDEX(资金日记账!$N$4:$S$603,132,6)))</f>
        <v/>
      </c>
      <c r="J1173" s="67" t="str">
        <f aca="false">IF($E1173="","",INDEX(资金日记账!$E$4:$E$603,132))</f>
        <v/>
      </c>
      <c r="K1173" s="67" t="str">
        <f aca="false">IF($E1173="","",INDEX(资金日记账!$F$4:$F$603,132))</f>
        <v/>
      </c>
      <c r="L1173" s="107" t="str">
        <f aca="false">IF($E1173="","",INDEX(资金日记账!$X$4:$X$603,132))</f>
        <v/>
      </c>
      <c r="M1173" s="107"/>
      <c r="N1173" s="67" t="str">
        <f aca="false">IF($E1173="","",INDEX(资金日记账!$Y$4:$Y$603,132))</f>
        <v/>
      </c>
      <c r="O1173" s="67" t="str">
        <f aca="false">IF($E1173="","","自动B")</f>
        <v/>
      </c>
      <c r="P1173" s="18"/>
    </row>
    <row r="1174" customFormat="false" ht="18" hidden="false" customHeight="true" outlineLevel="0" collapsed="false">
      <c r="A1174" s="107" t="str">
        <f aca="false">IF($E1174="","",ROW()-3)</f>
        <v/>
      </c>
      <c r="B1174" s="110" t="str">
        <f aca="false">IF($E1174="","",INDEX(资金日记账!$B$4:$B$603,133))</f>
        <v/>
      </c>
      <c r="C1174" s="67" t="str">
        <f aca="false">IF($E1174="","",IF(INDEX(资金日记账!$W$4:$W$603,133)="","记-"&amp;TEXT($B1174,"YYYYMM")&amp;"-资金",INDEX(资金日记账!$W$4:$W$603,133)))</f>
        <v/>
      </c>
      <c r="D1174" s="107" t="str">
        <f aca="false">IF($E1174="","",INDEX(资金日记账!$D$4:$D$603,133))</f>
        <v/>
      </c>
      <c r="E1174" s="67" t="str">
        <f aca="false">IF(INDEX(资金日记账!$N$4:$S$603,133,1)=0,"",INDEX(资金日记账!$N$4:$S$603,133,1))</f>
        <v/>
      </c>
      <c r="F1174" s="99" t="str">
        <f aca="false">IF($E1174="","",IFERROR(INDEX(科目表!$A$4:$A$81,MATCH($E1174,科目表!$B$4:$B$81,0)),""))</f>
        <v/>
      </c>
      <c r="G1174" s="67" t="str">
        <f aca="false">IF($E1174="","",IFERROR(INDEX(科目表!$E$4:$E$81,MATCH($E1174,科目表!$B$4:$B$81,0)),""))</f>
        <v/>
      </c>
      <c r="H1174" s="70" t="str">
        <f aca="false">IF($E1174="","",N(INDEX(资金日记账!$N$4:$S$603,133,2)))</f>
        <v/>
      </c>
      <c r="I1174" s="70" t="str">
        <f aca="false">IF($E1174="","",N(INDEX(资金日记账!$N$4:$S$603,133,3)))</f>
        <v/>
      </c>
      <c r="J1174" s="67" t="str">
        <f aca="false">IF($E1174="","",INDEX(资金日记账!$E$4:$E$603,133))</f>
        <v/>
      </c>
      <c r="K1174" s="67" t="str">
        <f aca="false">IF($E1174="","",INDEX(资金日记账!$F$4:$F$603,133))</f>
        <v/>
      </c>
      <c r="L1174" s="107" t="str">
        <f aca="false">IF($E1174="","",INDEX(资金日记账!$X$4:$X$603,133))</f>
        <v/>
      </c>
      <c r="M1174" s="107"/>
      <c r="N1174" s="67" t="str">
        <f aca="false">IF($E1174="","",INDEX(资金日记账!$Y$4:$Y$603,133))</f>
        <v/>
      </c>
      <c r="O1174" s="67" t="str">
        <f aca="false">IF($E1174="","","自动B")</f>
        <v/>
      </c>
      <c r="P1174" s="18"/>
    </row>
    <row r="1175" customFormat="false" ht="18" hidden="false" customHeight="true" outlineLevel="0" collapsed="false">
      <c r="A1175" s="107" t="str">
        <f aca="false">IF($E1175="","",ROW()-3)</f>
        <v/>
      </c>
      <c r="B1175" s="110" t="str">
        <f aca="false">IF($E1175="","",INDEX(资金日记账!$B$4:$B$603,133))</f>
        <v/>
      </c>
      <c r="C1175" s="67" t="str">
        <f aca="false">IF($E1175="","",IF(INDEX(资金日记账!$W$4:$W$603,133)="","记-"&amp;TEXT($B1175,"YYYYMM")&amp;"-资金",INDEX(资金日记账!$W$4:$W$603,133)))</f>
        <v/>
      </c>
      <c r="D1175" s="107" t="str">
        <f aca="false">IF($E1175="","",INDEX(资金日记账!$D$4:$D$603,133))</f>
        <v/>
      </c>
      <c r="E1175" s="67" t="str">
        <f aca="false">IF(INDEX(资金日记账!$N$4:$S$603,133,4)=0,"",INDEX(资金日记账!$N$4:$S$603,133,4))</f>
        <v/>
      </c>
      <c r="F1175" s="99" t="str">
        <f aca="false">IF($E1175="","",IFERROR(INDEX(科目表!$A$4:$A$81,MATCH($E1175,科目表!$B$4:$B$81,0)),""))</f>
        <v/>
      </c>
      <c r="G1175" s="67" t="str">
        <f aca="false">IF($E1175="","",IFERROR(INDEX(科目表!$E$4:$E$81,MATCH($E1175,科目表!$B$4:$B$81,0)),""))</f>
        <v/>
      </c>
      <c r="H1175" s="70" t="str">
        <f aca="false">IF($E1175="","",N(INDEX(资金日记账!$N$4:$S$603,133,5)))</f>
        <v/>
      </c>
      <c r="I1175" s="70" t="str">
        <f aca="false">IF($E1175="","",N(INDEX(资金日记账!$N$4:$S$603,133,6)))</f>
        <v/>
      </c>
      <c r="J1175" s="67" t="str">
        <f aca="false">IF($E1175="","",INDEX(资金日记账!$E$4:$E$603,133))</f>
        <v/>
      </c>
      <c r="K1175" s="67" t="str">
        <f aca="false">IF($E1175="","",INDEX(资金日记账!$F$4:$F$603,133))</f>
        <v/>
      </c>
      <c r="L1175" s="107" t="str">
        <f aca="false">IF($E1175="","",INDEX(资金日记账!$X$4:$X$603,133))</f>
        <v/>
      </c>
      <c r="M1175" s="107"/>
      <c r="N1175" s="67" t="str">
        <f aca="false">IF($E1175="","",INDEX(资金日记账!$Y$4:$Y$603,133))</f>
        <v/>
      </c>
      <c r="O1175" s="67" t="str">
        <f aca="false">IF($E1175="","","自动B")</f>
        <v/>
      </c>
      <c r="P1175" s="18"/>
    </row>
    <row r="1176" customFormat="false" ht="18" hidden="false" customHeight="true" outlineLevel="0" collapsed="false">
      <c r="A1176" s="107" t="str">
        <f aca="false">IF($E1176="","",ROW()-3)</f>
        <v/>
      </c>
      <c r="B1176" s="110" t="str">
        <f aca="false">IF($E1176="","",INDEX(资金日记账!$B$4:$B$603,134))</f>
        <v/>
      </c>
      <c r="C1176" s="67" t="str">
        <f aca="false">IF($E1176="","",IF(INDEX(资金日记账!$W$4:$W$603,134)="","记-"&amp;TEXT($B1176,"YYYYMM")&amp;"-资金",INDEX(资金日记账!$W$4:$W$603,134)))</f>
        <v/>
      </c>
      <c r="D1176" s="107" t="str">
        <f aca="false">IF($E1176="","",INDEX(资金日记账!$D$4:$D$603,134))</f>
        <v/>
      </c>
      <c r="E1176" s="67" t="str">
        <f aca="false">IF(INDEX(资金日记账!$N$4:$S$603,134,1)=0,"",INDEX(资金日记账!$N$4:$S$603,134,1))</f>
        <v/>
      </c>
      <c r="F1176" s="99" t="str">
        <f aca="false">IF($E1176="","",IFERROR(INDEX(科目表!$A$4:$A$81,MATCH($E1176,科目表!$B$4:$B$81,0)),""))</f>
        <v/>
      </c>
      <c r="G1176" s="67" t="str">
        <f aca="false">IF($E1176="","",IFERROR(INDEX(科目表!$E$4:$E$81,MATCH($E1176,科目表!$B$4:$B$81,0)),""))</f>
        <v/>
      </c>
      <c r="H1176" s="70" t="str">
        <f aca="false">IF($E1176="","",N(INDEX(资金日记账!$N$4:$S$603,134,2)))</f>
        <v/>
      </c>
      <c r="I1176" s="70" t="str">
        <f aca="false">IF($E1176="","",N(INDEX(资金日记账!$N$4:$S$603,134,3)))</f>
        <v/>
      </c>
      <c r="J1176" s="67" t="str">
        <f aca="false">IF($E1176="","",INDEX(资金日记账!$E$4:$E$603,134))</f>
        <v/>
      </c>
      <c r="K1176" s="67" t="str">
        <f aca="false">IF($E1176="","",INDEX(资金日记账!$F$4:$F$603,134))</f>
        <v/>
      </c>
      <c r="L1176" s="107" t="str">
        <f aca="false">IF($E1176="","",INDEX(资金日记账!$X$4:$X$603,134))</f>
        <v/>
      </c>
      <c r="M1176" s="107"/>
      <c r="N1176" s="67" t="str">
        <f aca="false">IF($E1176="","",INDEX(资金日记账!$Y$4:$Y$603,134))</f>
        <v/>
      </c>
      <c r="O1176" s="67" t="str">
        <f aca="false">IF($E1176="","","自动B")</f>
        <v/>
      </c>
      <c r="P1176" s="18"/>
    </row>
    <row r="1177" customFormat="false" ht="18" hidden="false" customHeight="true" outlineLevel="0" collapsed="false">
      <c r="A1177" s="107" t="str">
        <f aca="false">IF($E1177="","",ROW()-3)</f>
        <v/>
      </c>
      <c r="B1177" s="110" t="str">
        <f aca="false">IF($E1177="","",INDEX(资金日记账!$B$4:$B$603,134))</f>
        <v/>
      </c>
      <c r="C1177" s="67" t="str">
        <f aca="false">IF($E1177="","",IF(INDEX(资金日记账!$W$4:$W$603,134)="","记-"&amp;TEXT($B1177,"YYYYMM")&amp;"-资金",INDEX(资金日记账!$W$4:$W$603,134)))</f>
        <v/>
      </c>
      <c r="D1177" s="107" t="str">
        <f aca="false">IF($E1177="","",INDEX(资金日记账!$D$4:$D$603,134))</f>
        <v/>
      </c>
      <c r="E1177" s="67" t="str">
        <f aca="false">IF(INDEX(资金日记账!$N$4:$S$603,134,4)=0,"",INDEX(资金日记账!$N$4:$S$603,134,4))</f>
        <v/>
      </c>
      <c r="F1177" s="99" t="str">
        <f aca="false">IF($E1177="","",IFERROR(INDEX(科目表!$A$4:$A$81,MATCH($E1177,科目表!$B$4:$B$81,0)),""))</f>
        <v/>
      </c>
      <c r="G1177" s="67" t="str">
        <f aca="false">IF($E1177="","",IFERROR(INDEX(科目表!$E$4:$E$81,MATCH($E1177,科目表!$B$4:$B$81,0)),""))</f>
        <v/>
      </c>
      <c r="H1177" s="70" t="str">
        <f aca="false">IF($E1177="","",N(INDEX(资金日记账!$N$4:$S$603,134,5)))</f>
        <v/>
      </c>
      <c r="I1177" s="70" t="str">
        <f aca="false">IF($E1177="","",N(INDEX(资金日记账!$N$4:$S$603,134,6)))</f>
        <v/>
      </c>
      <c r="J1177" s="67" t="str">
        <f aca="false">IF($E1177="","",INDEX(资金日记账!$E$4:$E$603,134))</f>
        <v/>
      </c>
      <c r="K1177" s="67" t="str">
        <f aca="false">IF($E1177="","",INDEX(资金日记账!$F$4:$F$603,134))</f>
        <v/>
      </c>
      <c r="L1177" s="107" t="str">
        <f aca="false">IF($E1177="","",INDEX(资金日记账!$X$4:$X$603,134))</f>
        <v/>
      </c>
      <c r="M1177" s="107"/>
      <c r="N1177" s="67" t="str">
        <f aca="false">IF($E1177="","",INDEX(资金日记账!$Y$4:$Y$603,134))</f>
        <v/>
      </c>
      <c r="O1177" s="67" t="str">
        <f aca="false">IF($E1177="","","自动B")</f>
        <v/>
      </c>
      <c r="P1177" s="18"/>
    </row>
    <row r="1178" customFormat="false" ht="18" hidden="false" customHeight="true" outlineLevel="0" collapsed="false">
      <c r="A1178" s="107" t="str">
        <f aca="false">IF($E1178="","",ROW()-3)</f>
        <v/>
      </c>
      <c r="B1178" s="110" t="str">
        <f aca="false">IF($E1178="","",INDEX(资金日记账!$B$4:$B$603,135))</f>
        <v/>
      </c>
      <c r="C1178" s="67" t="str">
        <f aca="false">IF($E1178="","",IF(INDEX(资金日记账!$W$4:$W$603,135)="","记-"&amp;TEXT($B1178,"YYYYMM")&amp;"-资金",INDEX(资金日记账!$W$4:$W$603,135)))</f>
        <v/>
      </c>
      <c r="D1178" s="107" t="str">
        <f aca="false">IF($E1178="","",INDEX(资金日记账!$D$4:$D$603,135))</f>
        <v/>
      </c>
      <c r="E1178" s="67" t="str">
        <f aca="false">IF(INDEX(资金日记账!$N$4:$S$603,135,1)=0,"",INDEX(资金日记账!$N$4:$S$603,135,1))</f>
        <v/>
      </c>
      <c r="F1178" s="99" t="str">
        <f aca="false">IF($E1178="","",IFERROR(INDEX(科目表!$A$4:$A$81,MATCH($E1178,科目表!$B$4:$B$81,0)),""))</f>
        <v/>
      </c>
      <c r="G1178" s="67" t="str">
        <f aca="false">IF($E1178="","",IFERROR(INDEX(科目表!$E$4:$E$81,MATCH($E1178,科目表!$B$4:$B$81,0)),""))</f>
        <v/>
      </c>
      <c r="H1178" s="70" t="str">
        <f aca="false">IF($E1178="","",N(INDEX(资金日记账!$N$4:$S$603,135,2)))</f>
        <v/>
      </c>
      <c r="I1178" s="70" t="str">
        <f aca="false">IF($E1178="","",N(INDEX(资金日记账!$N$4:$S$603,135,3)))</f>
        <v/>
      </c>
      <c r="J1178" s="67" t="str">
        <f aca="false">IF($E1178="","",INDEX(资金日记账!$E$4:$E$603,135))</f>
        <v/>
      </c>
      <c r="K1178" s="67" t="str">
        <f aca="false">IF($E1178="","",INDEX(资金日记账!$F$4:$F$603,135))</f>
        <v/>
      </c>
      <c r="L1178" s="107" t="str">
        <f aca="false">IF($E1178="","",INDEX(资金日记账!$X$4:$X$603,135))</f>
        <v/>
      </c>
      <c r="M1178" s="107"/>
      <c r="N1178" s="67" t="str">
        <f aca="false">IF($E1178="","",INDEX(资金日记账!$Y$4:$Y$603,135))</f>
        <v/>
      </c>
      <c r="O1178" s="67" t="str">
        <f aca="false">IF($E1178="","","自动B")</f>
        <v/>
      </c>
      <c r="P1178" s="18"/>
    </row>
    <row r="1179" customFormat="false" ht="18" hidden="false" customHeight="true" outlineLevel="0" collapsed="false">
      <c r="A1179" s="107" t="str">
        <f aca="false">IF($E1179="","",ROW()-3)</f>
        <v/>
      </c>
      <c r="B1179" s="110" t="str">
        <f aca="false">IF($E1179="","",INDEX(资金日记账!$B$4:$B$603,135))</f>
        <v/>
      </c>
      <c r="C1179" s="67" t="str">
        <f aca="false">IF($E1179="","",IF(INDEX(资金日记账!$W$4:$W$603,135)="","记-"&amp;TEXT($B1179,"YYYYMM")&amp;"-资金",INDEX(资金日记账!$W$4:$W$603,135)))</f>
        <v/>
      </c>
      <c r="D1179" s="107" t="str">
        <f aca="false">IF($E1179="","",INDEX(资金日记账!$D$4:$D$603,135))</f>
        <v/>
      </c>
      <c r="E1179" s="67" t="str">
        <f aca="false">IF(INDEX(资金日记账!$N$4:$S$603,135,4)=0,"",INDEX(资金日记账!$N$4:$S$603,135,4))</f>
        <v/>
      </c>
      <c r="F1179" s="99" t="str">
        <f aca="false">IF($E1179="","",IFERROR(INDEX(科目表!$A$4:$A$81,MATCH($E1179,科目表!$B$4:$B$81,0)),""))</f>
        <v/>
      </c>
      <c r="G1179" s="67" t="str">
        <f aca="false">IF($E1179="","",IFERROR(INDEX(科目表!$E$4:$E$81,MATCH($E1179,科目表!$B$4:$B$81,0)),""))</f>
        <v/>
      </c>
      <c r="H1179" s="70" t="str">
        <f aca="false">IF($E1179="","",N(INDEX(资金日记账!$N$4:$S$603,135,5)))</f>
        <v/>
      </c>
      <c r="I1179" s="70" t="str">
        <f aca="false">IF($E1179="","",N(INDEX(资金日记账!$N$4:$S$603,135,6)))</f>
        <v/>
      </c>
      <c r="J1179" s="67" t="str">
        <f aca="false">IF($E1179="","",INDEX(资金日记账!$E$4:$E$603,135))</f>
        <v/>
      </c>
      <c r="K1179" s="67" t="str">
        <f aca="false">IF($E1179="","",INDEX(资金日记账!$F$4:$F$603,135))</f>
        <v/>
      </c>
      <c r="L1179" s="107" t="str">
        <f aca="false">IF($E1179="","",INDEX(资金日记账!$X$4:$X$603,135))</f>
        <v/>
      </c>
      <c r="M1179" s="107"/>
      <c r="N1179" s="67" t="str">
        <f aca="false">IF($E1179="","",INDEX(资金日记账!$Y$4:$Y$603,135))</f>
        <v/>
      </c>
      <c r="O1179" s="67" t="str">
        <f aca="false">IF($E1179="","","自动B")</f>
        <v/>
      </c>
      <c r="P1179" s="18"/>
    </row>
    <row r="1180" customFormat="false" ht="18" hidden="false" customHeight="true" outlineLevel="0" collapsed="false">
      <c r="A1180" s="107" t="str">
        <f aca="false">IF($E1180="","",ROW()-3)</f>
        <v/>
      </c>
      <c r="B1180" s="110" t="str">
        <f aca="false">IF($E1180="","",INDEX(资金日记账!$B$4:$B$603,136))</f>
        <v/>
      </c>
      <c r="C1180" s="67" t="str">
        <f aca="false">IF($E1180="","",IF(INDEX(资金日记账!$W$4:$W$603,136)="","记-"&amp;TEXT($B1180,"YYYYMM")&amp;"-资金",INDEX(资金日记账!$W$4:$W$603,136)))</f>
        <v/>
      </c>
      <c r="D1180" s="107" t="str">
        <f aca="false">IF($E1180="","",INDEX(资金日记账!$D$4:$D$603,136))</f>
        <v/>
      </c>
      <c r="E1180" s="67" t="str">
        <f aca="false">IF(INDEX(资金日记账!$N$4:$S$603,136,1)=0,"",INDEX(资金日记账!$N$4:$S$603,136,1))</f>
        <v/>
      </c>
      <c r="F1180" s="99" t="str">
        <f aca="false">IF($E1180="","",IFERROR(INDEX(科目表!$A$4:$A$81,MATCH($E1180,科目表!$B$4:$B$81,0)),""))</f>
        <v/>
      </c>
      <c r="G1180" s="67" t="str">
        <f aca="false">IF($E1180="","",IFERROR(INDEX(科目表!$E$4:$E$81,MATCH($E1180,科目表!$B$4:$B$81,0)),""))</f>
        <v/>
      </c>
      <c r="H1180" s="70" t="str">
        <f aca="false">IF($E1180="","",N(INDEX(资金日记账!$N$4:$S$603,136,2)))</f>
        <v/>
      </c>
      <c r="I1180" s="70" t="str">
        <f aca="false">IF($E1180="","",N(INDEX(资金日记账!$N$4:$S$603,136,3)))</f>
        <v/>
      </c>
      <c r="J1180" s="67" t="str">
        <f aca="false">IF($E1180="","",INDEX(资金日记账!$E$4:$E$603,136))</f>
        <v/>
      </c>
      <c r="K1180" s="67" t="str">
        <f aca="false">IF($E1180="","",INDEX(资金日记账!$F$4:$F$603,136))</f>
        <v/>
      </c>
      <c r="L1180" s="107" t="str">
        <f aca="false">IF($E1180="","",INDEX(资金日记账!$X$4:$X$603,136))</f>
        <v/>
      </c>
      <c r="M1180" s="107"/>
      <c r="N1180" s="67" t="str">
        <f aca="false">IF($E1180="","",INDEX(资金日记账!$Y$4:$Y$603,136))</f>
        <v/>
      </c>
      <c r="O1180" s="67" t="str">
        <f aca="false">IF($E1180="","","自动B")</f>
        <v/>
      </c>
      <c r="P1180" s="18"/>
    </row>
    <row r="1181" customFormat="false" ht="18" hidden="false" customHeight="true" outlineLevel="0" collapsed="false">
      <c r="A1181" s="107" t="str">
        <f aca="false">IF($E1181="","",ROW()-3)</f>
        <v/>
      </c>
      <c r="B1181" s="110" t="str">
        <f aca="false">IF($E1181="","",INDEX(资金日记账!$B$4:$B$603,136))</f>
        <v/>
      </c>
      <c r="C1181" s="67" t="str">
        <f aca="false">IF($E1181="","",IF(INDEX(资金日记账!$W$4:$W$603,136)="","记-"&amp;TEXT($B1181,"YYYYMM")&amp;"-资金",INDEX(资金日记账!$W$4:$W$603,136)))</f>
        <v/>
      </c>
      <c r="D1181" s="107" t="str">
        <f aca="false">IF($E1181="","",INDEX(资金日记账!$D$4:$D$603,136))</f>
        <v/>
      </c>
      <c r="E1181" s="67" t="str">
        <f aca="false">IF(INDEX(资金日记账!$N$4:$S$603,136,4)=0,"",INDEX(资金日记账!$N$4:$S$603,136,4))</f>
        <v/>
      </c>
      <c r="F1181" s="99" t="str">
        <f aca="false">IF($E1181="","",IFERROR(INDEX(科目表!$A$4:$A$81,MATCH($E1181,科目表!$B$4:$B$81,0)),""))</f>
        <v/>
      </c>
      <c r="G1181" s="67" t="str">
        <f aca="false">IF($E1181="","",IFERROR(INDEX(科目表!$E$4:$E$81,MATCH($E1181,科目表!$B$4:$B$81,0)),""))</f>
        <v/>
      </c>
      <c r="H1181" s="70" t="str">
        <f aca="false">IF($E1181="","",N(INDEX(资金日记账!$N$4:$S$603,136,5)))</f>
        <v/>
      </c>
      <c r="I1181" s="70" t="str">
        <f aca="false">IF($E1181="","",N(INDEX(资金日记账!$N$4:$S$603,136,6)))</f>
        <v/>
      </c>
      <c r="J1181" s="67" t="str">
        <f aca="false">IF($E1181="","",INDEX(资金日记账!$E$4:$E$603,136))</f>
        <v/>
      </c>
      <c r="K1181" s="67" t="str">
        <f aca="false">IF($E1181="","",INDEX(资金日记账!$F$4:$F$603,136))</f>
        <v/>
      </c>
      <c r="L1181" s="107" t="str">
        <f aca="false">IF($E1181="","",INDEX(资金日记账!$X$4:$X$603,136))</f>
        <v/>
      </c>
      <c r="M1181" s="107"/>
      <c r="N1181" s="67" t="str">
        <f aca="false">IF($E1181="","",INDEX(资金日记账!$Y$4:$Y$603,136))</f>
        <v/>
      </c>
      <c r="O1181" s="67" t="str">
        <f aca="false">IF($E1181="","","自动B")</f>
        <v/>
      </c>
      <c r="P1181" s="18"/>
    </row>
    <row r="1182" customFormat="false" ht="18" hidden="false" customHeight="true" outlineLevel="0" collapsed="false">
      <c r="A1182" s="107" t="str">
        <f aca="false">IF($E1182="","",ROW()-3)</f>
        <v/>
      </c>
      <c r="B1182" s="110" t="str">
        <f aca="false">IF($E1182="","",INDEX(资金日记账!$B$4:$B$603,137))</f>
        <v/>
      </c>
      <c r="C1182" s="67" t="str">
        <f aca="false">IF($E1182="","",IF(INDEX(资金日记账!$W$4:$W$603,137)="","记-"&amp;TEXT($B1182,"YYYYMM")&amp;"-资金",INDEX(资金日记账!$W$4:$W$603,137)))</f>
        <v/>
      </c>
      <c r="D1182" s="107" t="str">
        <f aca="false">IF($E1182="","",INDEX(资金日记账!$D$4:$D$603,137))</f>
        <v/>
      </c>
      <c r="E1182" s="67" t="str">
        <f aca="false">IF(INDEX(资金日记账!$N$4:$S$603,137,1)=0,"",INDEX(资金日记账!$N$4:$S$603,137,1))</f>
        <v/>
      </c>
      <c r="F1182" s="99" t="str">
        <f aca="false">IF($E1182="","",IFERROR(INDEX(科目表!$A$4:$A$81,MATCH($E1182,科目表!$B$4:$B$81,0)),""))</f>
        <v/>
      </c>
      <c r="G1182" s="67" t="str">
        <f aca="false">IF($E1182="","",IFERROR(INDEX(科目表!$E$4:$E$81,MATCH($E1182,科目表!$B$4:$B$81,0)),""))</f>
        <v/>
      </c>
      <c r="H1182" s="70" t="str">
        <f aca="false">IF($E1182="","",N(INDEX(资金日记账!$N$4:$S$603,137,2)))</f>
        <v/>
      </c>
      <c r="I1182" s="70" t="str">
        <f aca="false">IF($E1182="","",N(INDEX(资金日记账!$N$4:$S$603,137,3)))</f>
        <v/>
      </c>
      <c r="J1182" s="67" t="str">
        <f aca="false">IF($E1182="","",INDEX(资金日记账!$E$4:$E$603,137))</f>
        <v/>
      </c>
      <c r="K1182" s="67" t="str">
        <f aca="false">IF($E1182="","",INDEX(资金日记账!$F$4:$F$603,137))</f>
        <v/>
      </c>
      <c r="L1182" s="107" t="str">
        <f aca="false">IF($E1182="","",INDEX(资金日记账!$X$4:$X$603,137))</f>
        <v/>
      </c>
      <c r="M1182" s="107"/>
      <c r="N1182" s="67" t="str">
        <f aca="false">IF($E1182="","",INDEX(资金日记账!$Y$4:$Y$603,137))</f>
        <v/>
      </c>
      <c r="O1182" s="67" t="str">
        <f aca="false">IF($E1182="","","自动B")</f>
        <v/>
      </c>
      <c r="P1182" s="18"/>
    </row>
    <row r="1183" customFormat="false" ht="18" hidden="false" customHeight="true" outlineLevel="0" collapsed="false">
      <c r="A1183" s="107" t="str">
        <f aca="false">IF($E1183="","",ROW()-3)</f>
        <v/>
      </c>
      <c r="B1183" s="110" t="str">
        <f aca="false">IF($E1183="","",INDEX(资金日记账!$B$4:$B$603,137))</f>
        <v/>
      </c>
      <c r="C1183" s="67" t="str">
        <f aca="false">IF($E1183="","",IF(INDEX(资金日记账!$W$4:$W$603,137)="","记-"&amp;TEXT($B1183,"YYYYMM")&amp;"-资金",INDEX(资金日记账!$W$4:$W$603,137)))</f>
        <v/>
      </c>
      <c r="D1183" s="107" t="str">
        <f aca="false">IF($E1183="","",INDEX(资金日记账!$D$4:$D$603,137))</f>
        <v/>
      </c>
      <c r="E1183" s="67" t="str">
        <f aca="false">IF(INDEX(资金日记账!$N$4:$S$603,137,4)=0,"",INDEX(资金日记账!$N$4:$S$603,137,4))</f>
        <v/>
      </c>
      <c r="F1183" s="99" t="str">
        <f aca="false">IF($E1183="","",IFERROR(INDEX(科目表!$A$4:$A$81,MATCH($E1183,科目表!$B$4:$B$81,0)),""))</f>
        <v/>
      </c>
      <c r="G1183" s="67" t="str">
        <f aca="false">IF($E1183="","",IFERROR(INDEX(科目表!$E$4:$E$81,MATCH($E1183,科目表!$B$4:$B$81,0)),""))</f>
        <v/>
      </c>
      <c r="H1183" s="70" t="str">
        <f aca="false">IF($E1183="","",N(INDEX(资金日记账!$N$4:$S$603,137,5)))</f>
        <v/>
      </c>
      <c r="I1183" s="70" t="str">
        <f aca="false">IF($E1183="","",N(INDEX(资金日记账!$N$4:$S$603,137,6)))</f>
        <v/>
      </c>
      <c r="J1183" s="67" t="str">
        <f aca="false">IF($E1183="","",INDEX(资金日记账!$E$4:$E$603,137))</f>
        <v/>
      </c>
      <c r="K1183" s="67" t="str">
        <f aca="false">IF($E1183="","",INDEX(资金日记账!$F$4:$F$603,137))</f>
        <v/>
      </c>
      <c r="L1183" s="107" t="str">
        <f aca="false">IF($E1183="","",INDEX(资金日记账!$X$4:$X$603,137))</f>
        <v/>
      </c>
      <c r="M1183" s="107"/>
      <c r="N1183" s="67" t="str">
        <f aca="false">IF($E1183="","",INDEX(资金日记账!$Y$4:$Y$603,137))</f>
        <v/>
      </c>
      <c r="O1183" s="67" t="str">
        <f aca="false">IF($E1183="","","自动B")</f>
        <v/>
      </c>
      <c r="P1183" s="18"/>
    </row>
    <row r="1184" customFormat="false" ht="18" hidden="false" customHeight="true" outlineLevel="0" collapsed="false">
      <c r="A1184" s="107" t="str">
        <f aca="false">IF($E1184="","",ROW()-3)</f>
        <v/>
      </c>
      <c r="B1184" s="110" t="str">
        <f aca="false">IF($E1184="","",INDEX(资金日记账!$B$4:$B$603,138))</f>
        <v/>
      </c>
      <c r="C1184" s="67" t="str">
        <f aca="false">IF($E1184="","",IF(INDEX(资金日记账!$W$4:$W$603,138)="","记-"&amp;TEXT($B1184,"YYYYMM")&amp;"-资金",INDEX(资金日记账!$W$4:$W$603,138)))</f>
        <v/>
      </c>
      <c r="D1184" s="107" t="str">
        <f aca="false">IF($E1184="","",INDEX(资金日记账!$D$4:$D$603,138))</f>
        <v/>
      </c>
      <c r="E1184" s="67" t="str">
        <f aca="false">IF(INDEX(资金日记账!$N$4:$S$603,138,1)=0,"",INDEX(资金日记账!$N$4:$S$603,138,1))</f>
        <v/>
      </c>
      <c r="F1184" s="99" t="str">
        <f aca="false">IF($E1184="","",IFERROR(INDEX(科目表!$A$4:$A$81,MATCH($E1184,科目表!$B$4:$B$81,0)),""))</f>
        <v/>
      </c>
      <c r="G1184" s="67" t="str">
        <f aca="false">IF($E1184="","",IFERROR(INDEX(科目表!$E$4:$E$81,MATCH($E1184,科目表!$B$4:$B$81,0)),""))</f>
        <v/>
      </c>
      <c r="H1184" s="70" t="str">
        <f aca="false">IF($E1184="","",N(INDEX(资金日记账!$N$4:$S$603,138,2)))</f>
        <v/>
      </c>
      <c r="I1184" s="70" t="str">
        <f aca="false">IF($E1184="","",N(INDEX(资金日记账!$N$4:$S$603,138,3)))</f>
        <v/>
      </c>
      <c r="J1184" s="67" t="str">
        <f aca="false">IF($E1184="","",INDEX(资金日记账!$E$4:$E$603,138))</f>
        <v/>
      </c>
      <c r="K1184" s="67" t="str">
        <f aca="false">IF($E1184="","",INDEX(资金日记账!$F$4:$F$603,138))</f>
        <v/>
      </c>
      <c r="L1184" s="107" t="str">
        <f aca="false">IF($E1184="","",INDEX(资金日记账!$X$4:$X$603,138))</f>
        <v/>
      </c>
      <c r="M1184" s="107"/>
      <c r="N1184" s="67" t="str">
        <f aca="false">IF($E1184="","",INDEX(资金日记账!$Y$4:$Y$603,138))</f>
        <v/>
      </c>
      <c r="O1184" s="67" t="str">
        <f aca="false">IF($E1184="","","自动B")</f>
        <v/>
      </c>
      <c r="P1184" s="18"/>
    </row>
    <row r="1185" customFormat="false" ht="18" hidden="false" customHeight="true" outlineLevel="0" collapsed="false">
      <c r="A1185" s="107" t="str">
        <f aca="false">IF($E1185="","",ROW()-3)</f>
        <v/>
      </c>
      <c r="B1185" s="110" t="str">
        <f aca="false">IF($E1185="","",INDEX(资金日记账!$B$4:$B$603,138))</f>
        <v/>
      </c>
      <c r="C1185" s="67" t="str">
        <f aca="false">IF($E1185="","",IF(INDEX(资金日记账!$W$4:$W$603,138)="","记-"&amp;TEXT($B1185,"YYYYMM")&amp;"-资金",INDEX(资金日记账!$W$4:$W$603,138)))</f>
        <v/>
      </c>
      <c r="D1185" s="107" t="str">
        <f aca="false">IF($E1185="","",INDEX(资金日记账!$D$4:$D$603,138))</f>
        <v/>
      </c>
      <c r="E1185" s="67" t="str">
        <f aca="false">IF(INDEX(资金日记账!$N$4:$S$603,138,4)=0,"",INDEX(资金日记账!$N$4:$S$603,138,4))</f>
        <v/>
      </c>
      <c r="F1185" s="99" t="str">
        <f aca="false">IF($E1185="","",IFERROR(INDEX(科目表!$A$4:$A$81,MATCH($E1185,科目表!$B$4:$B$81,0)),""))</f>
        <v/>
      </c>
      <c r="G1185" s="67" t="str">
        <f aca="false">IF($E1185="","",IFERROR(INDEX(科目表!$E$4:$E$81,MATCH($E1185,科目表!$B$4:$B$81,0)),""))</f>
        <v/>
      </c>
      <c r="H1185" s="70" t="str">
        <f aca="false">IF($E1185="","",N(INDEX(资金日记账!$N$4:$S$603,138,5)))</f>
        <v/>
      </c>
      <c r="I1185" s="70" t="str">
        <f aca="false">IF($E1185="","",N(INDEX(资金日记账!$N$4:$S$603,138,6)))</f>
        <v/>
      </c>
      <c r="J1185" s="67" t="str">
        <f aca="false">IF($E1185="","",INDEX(资金日记账!$E$4:$E$603,138))</f>
        <v/>
      </c>
      <c r="K1185" s="67" t="str">
        <f aca="false">IF($E1185="","",INDEX(资金日记账!$F$4:$F$603,138))</f>
        <v/>
      </c>
      <c r="L1185" s="107" t="str">
        <f aca="false">IF($E1185="","",INDEX(资金日记账!$X$4:$X$603,138))</f>
        <v/>
      </c>
      <c r="M1185" s="107"/>
      <c r="N1185" s="67" t="str">
        <f aca="false">IF($E1185="","",INDEX(资金日记账!$Y$4:$Y$603,138))</f>
        <v/>
      </c>
      <c r="O1185" s="67" t="str">
        <f aca="false">IF($E1185="","","自动B")</f>
        <v/>
      </c>
      <c r="P1185" s="18"/>
    </row>
    <row r="1186" customFormat="false" ht="18" hidden="false" customHeight="true" outlineLevel="0" collapsed="false">
      <c r="A1186" s="107" t="str">
        <f aca="false">IF($E1186="","",ROW()-3)</f>
        <v/>
      </c>
      <c r="B1186" s="110" t="str">
        <f aca="false">IF($E1186="","",INDEX(资金日记账!$B$4:$B$603,139))</f>
        <v/>
      </c>
      <c r="C1186" s="67" t="str">
        <f aca="false">IF($E1186="","",IF(INDEX(资金日记账!$W$4:$W$603,139)="","记-"&amp;TEXT($B1186,"YYYYMM")&amp;"-资金",INDEX(资金日记账!$W$4:$W$603,139)))</f>
        <v/>
      </c>
      <c r="D1186" s="107" t="str">
        <f aca="false">IF($E1186="","",INDEX(资金日记账!$D$4:$D$603,139))</f>
        <v/>
      </c>
      <c r="E1186" s="67" t="str">
        <f aca="false">IF(INDEX(资金日记账!$N$4:$S$603,139,1)=0,"",INDEX(资金日记账!$N$4:$S$603,139,1))</f>
        <v/>
      </c>
      <c r="F1186" s="99" t="str">
        <f aca="false">IF($E1186="","",IFERROR(INDEX(科目表!$A$4:$A$81,MATCH($E1186,科目表!$B$4:$B$81,0)),""))</f>
        <v/>
      </c>
      <c r="G1186" s="67" t="str">
        <f aca="false">IF($E1186="","",IFERROR(INDEX(科目表!$E$4:$E$81,MATCH($E1186,科目表!$B$4:$B$81,0)),""))</f>
        <v/>
      </c>
      <c r="H1186" s="70" t="str">
        <f aca="false">IF($E1186="","",N(INDEX(资金日记账!$N$4:$S$603,139,2)))</f>
        <v/>
      </c>
      <c r="I1186" s="70" t="str">
        <f aca="false">IF($E1186="","",N(INDEX(资金日记账!$N$4:$S$603,139,3)))</f>
        <v/>
      </c>
      <c r="J1186" s="67" t="str">
        <f aca="false">IF($E1186="","",INDEX(资金日记账!$E$4:$E$603,139))</f>
        <v/>
      </c>
      <c r="K1186" s="67" t="str">
        <f aca="false">IF($E1186="","",INDEX(资金日记账!$F$4:$F$603,139))</f>
        <v/>
      </c>
      <c r="L1186" s="107" t="str">
        <f aca="false">IF($E1186="","",INDEX(资金日记账!$X$4:$X$603,139))</f>
        <v/>
      </c>
      <c r="M1186" s="107"/>
      <c r="N1186" s="67" t="str">
        <f aca="false">IF($E1186="","",INDEX(资金日记账!$Y$4:$Y$603,139))</f>
        <v/>
      </c>
      <c r="O1186" s="67" t="str">
        <f aca="false">IF($E1186="","","自动B")</f>
        <v/>
      </c>
      <c r="P1186" s="18"/>
    </row>
    <row r="1187" customFormat="false" ht="18" hidden="false" customHeight="true" outlineLevel="0" collapsed="false">
      <c r="A1187" s="107" t="str">
        <f aca="false">IF($E1187="","",ROW()-3)</f>
        <v/>
      </c>
      <c r="B1187" s="110" t="str">
        <f aca="false">IF($E1187="","",INDEX(资金日记账!$B$4:$B$603,139))</f>
        <v/>
      </c>
      <c r="C1187" s="67" t="str">
        <f aca="false">IF($E1187="","",IF(INDEX(资金日记账!$W$4:$W$603,139)="","记-"&amp;TEXT($B1187,"YYYYMM")&amp;"-资金",INDEX(资金日记账!$W$4:$W$603,139)))</f>
        <v/>
      </c>
      <c r="D1187" s="107" t="str">
        <f aca="false">IF($E1187="","",INDEX(资金日记账!$D$4:$D$603,139))</f>
        <v/>
      </c>
      <c r="E1187" s="67" t="str">
        <f aca="false">IF(INDEX(资金日记账!$N$4:$S$603,139,4)=0,"",INDEX(资金日记账!$N$4:$S$603,139,4))</f>
        <v/>
      </c>
      <c r="F1187" s="99" t="str">
        <f aca="false">IF($E1187="","",IFERROR(INDEX(科目表!$A$4:$A$81,MATCH($E1187,科目表!$B$4:$B$81,0)),""))</f>
        <v/>
      </c>
      <c r="G1187" s="67" t="str">
        <f aca="false">IF($E1187="","",IFERROR(INDEX(科目表!$E$4:$E$81,MATCH($E1187,科目表!$B$4:$B$81,0)),""))</f>
        <v/>
      </c>
      <c r="H1187" s="70" t="str">
        <f aca="false">IF($E1187="","",N(INDEX(资金日记账!$N$4:$S$603,139,5)))</f>
        <v/>
      </c>
      <c r="I1187" s="70" t="str">
        <f aca="false">IF($E1187="","",N(INDEX(资金日记账!$N$4:$S$603,139,6)))</f>
        <v/>
      </c>
      <c r="J1187" s="67" t="str">
        <f aca="false">IF($E1187="","",INDEX(资金日记账!$E$4:$E$603,139))</f>
        <v/>
      </c>
      <c r="K1187" s="67" t="str">
        <f aca="false">IF($E1187="","",INDEX(资金日记账!$F$4:$F$603,139))</f>
        <v/>
      </c>
      <c r="L1187" s="107" t="str">
        <f aca="false">IF($E1187="","",INDEX(资金日记账!$X$4:$X$603,139))</f>
        <v/>
      </c>
      <c r="M1187" s="107"/>
      <c r="N1187" s="67" t="str">
        <f aca="false">IF($E1187="","",INDEX(资金日记账!$Y$4:$Y$603,139))</f>
        <v/>
      </c>
      <c r="O1187" s="67" t="str">
        <f aca="false">IF($E1187="","","自动B")</f>
        <v/>
      </c>
      <c r="P1187" s="18"/>
    </row>
    <row r="1188" customFormat="false" ht="18" hidden="false" customHeight="true" outlineLevel="0" collapsed="false">
      <c r="A1188" s="107" t="str">
        <f aca="false">IF($E1188="","",ROW()-3)</f>
        <v/>
      </c>
      <c r="B1188" s="110" t="str">
        <f aca="false">IF($E1188="","",INDEX(资金日记账!$B$4:$B$603,140))</f>
        <v/>
      </c>
      <c r="C1188" s="67" t="str">
        <f aca="false">IF($E1188="","",IF(INDEX(资金日记账!$W$4:$W$603,140)="","记-"&amp;TEXT($B1188,"YYYYMM")&amp;"-资金",INDEX(资金日记账!$W$4:$W$603,140)))</f>
        <v/>
      </c>
      <c r="D1188" s="107" t="str">
        <f aca="false">IF($E1188="","",INDEX(资金日记账!$D$4:$D$603,140))</f>
        <v/>
      </c>
      <c r="E1188" s="67" t="str">
        <f aca="false">IF(INDEX(资金日记账!$N$4:$S$603,140,1)=0,"",INDEX(资金日记账!$N$4:$S$603,140,1))</f>
        <v/>
      </c>
      <c r="F1188" s="99" t="str">
        <f aca="false">IF($E1188="","",IFERROR(INDEX(科目表!$A$4:$A$81,MATCH($E1188,科目表!$B$4:$B$81,0)),""))</f>
        <v/>
      </c>
      <c r="G1188" s="67" t="str">
        <f aca="false">IF($E1188="","",IFERROR(INDEX(科目表!$E$4:$E$81,MATCH($E1188,科目表!$B$4:$B$81,0)),""))</f>
        <v/>
      </c>
      <c r="H1188" s="70" t="str">
        <f aca="false">IF($E1188="","",N(INDEX(资金日记账!$N$4:$S$603,140,2)))</f>
        <v/>
      </c>
      <c r="I1188" s="70" t="str">
        <f aca="false">IF($E1188="","",N(INDEX(资金日记账!$N$4:$S$603,140,3)))</f>
        <v/>
      </c>
      <c r="J1188" s="67" t="str">
        <f aca="false">IF($E1188="","",INDEX(资金日记账!$E$4:$E$603,140))</f>
        <v/>
      </c>
      <c r="K1188" s="67" t="str">
        <f aca="false">IF($E1188="","",INDEX(资金日记账!$F$4:$F$603,140))</f>
        <v/>
      </c>
      <c r="L1188" s="107" t="str">
        <f aca="false">IF($E1188="","",INDEX(资金日记账!$X$4:$X$603,140))</f>
        <v/>
      </c>
      <c r="M1188" s="107"/>
      <c r="N1188" s="67" t="str">
        <f aca="false">IF($E1188="","",INDEX(资金日记账!$Y$4:$Y$603,140))</f>
        <v/>
      </c>
      <c r="O1188" s="67" t="str">
        <f aca="false">IF($E1188="","","自动B")</f>
        <v/>
      </c>
      <c r="P1188" s="18"/>
    </row>
    <row r="1189" customFormat="false" ht="18" hidden="false" customHeight="true" outlineLevel="0" collapsed="false">
      <c r="A1189" s="107" t="str">
        <f aca="false">IF($E1189="","",ROW()-3)</f>
        <v/>
      </c>
      <c r="B1189" s="110" t="str">
        <f aca="false">IF($E1189="","",INDEX(资金日记账!$B$4:$B$603,140))</f>
        <v/>
      </c>
      <c r="C1189" s="67" t="str">
        <f aca="false">IF($E1189="","",IF(INDEX(资金日记账!$W$4:$W$603,140)="","记-"&amp;TEXT($B1189,"YYYYMM")&amp;"-资金",INDEX(资金日记账!$W$4:$W$603,140)))</f>
        <v/>
      </c>
      <c r="D1189" s="107" t="str">
        <f aca="false">IF($E1189="","",INDEX(资金日记账!$D$4:$D$603,140))</f>
        <v/>
      </c>
      <c r="E1189" s="67" t="str">
        <f aca="false">IF(INDEX(资金日记账!$N$4:$S$603,140,4)=0,"",INDEX(资金日记账!$N$4:$S$603,140,4))</f>
        <v/>
      </c>
      <c r="F1189" s="99" t="str">
        <f aca="false">IF($E1189="","",IFERROR(INDEX(科目表!$A$4:$A$81,MATCH($E1189,科目表!$B$4:$B$81,0)),""))</f>
        <v/>
      </c>
      <c r="G1189" s="67" t="str">
        <f aca="false">IF($E1189="","",IFERROR(INDEX(科目表!$E$4:$E$81,MATCH($E1189,科目表!$B$4:$B$81,0)),""))</f>
        <v/>
      </c>
      <c r="H1189" s="70" t="str">
        <f aca="false">IF($E1189="","",N(INDEX(资金日记账!$N$4:$S$603,140,5)))</f>
        <v/>
      </c>
      <c r="I1189" s="70" t="str">
        <f aca="false">IF($E1189="","",N(INDEX(资金日记账!$N$4:$S$603,140,6)))</f>
        <v/>
      </c>
      <c r="J1189" s="67" t="str">
        <f aca="false">IF($E1189="","",INDEX(资金日记账!$E$4:$E$603,140))</f>
        <v/>
      </c>
      <c r="K1189" s="67" t="str">
        <f aca="false">IF($E1189="","",INDEX(资金日记账!$F$4:$F$603,140))</f>
        <v/>
      </c>
      <c r="L1189" s="107" t="str">
        <f aca="false">IF($E1189="","",INDEX(资金日记账!$X$4:$X$603,140))</f>
        <v/>
      </c>
      <c r="M1189" s="107"/>
      <c r="N1189" s="67" t="str">
        <f aca="false">IF($E1189="","",INDEX(资金日记账!$Y$4:$Y$603,140))</f>
        <v/>
      </c>
      <c r="O1189" s="67" t="str">
        <f aca="false">IF($E1189="","","自动B")</f>
        <v/>
      </c>
      <c r="P1189" s="18"/>
    </row>
    <row r="1190" customFormat="false" ht="18" hidden="false" customHeight="true" outlineLevel="0" collapsed="false">
      <c r="A1190" s="107" t="str">
        <f aca="false">IF($E1190="","",ROW()-3)</f>
        <v/>
      </c>
      <c r="B1190" s="110" t="str">
        <f aca="false">IF($E1190="","",INDEX(资金日记账!$B$4:$B$603,141))</f>
        <v/>
      </c>
      <c r="C1190" s="67" t="str">
        <f aca="false">IF($E1190="","",IF(INDEX(资金日记账!$W$4:$W$603,141)="","记-"&amp;TEXT($B1190,"YYYYMM")&amp;"-资金",INDEX(资金日记账!$W$4:$W$603,141)))</f>
        <v/>
      </c>
      <c r="D1190" s="107" t="str">
        <f aca="false">IF($E1190="","",INDEX(资金日记账!$D$4:$D$603,141))</f>
        <v/>
      </c>
      <c r="E1190" s="67" t="str">
        <f aca="false">IF(INDEX(资金日记账!$N$4:$S$603,141,1)=0,"",INDEX(资金日记账!$N$4:$S$603,141,1))</f>
        <v/>
      </c>
      <c r="F1190" s="99" t="str">
        <f aca="false">IF($E1190="","",IFERROR(INDEX(科目表!$A$4:$A$81,MATCH($E1190,科目表!$B$4:$B$81,0)),""))</f>
        <v/>
      </c>
      <c r="G1190" s="67" t="str">
        <f aca="false">IF($E1190="","",IFERROR(INDEX(科目表!$E$4:$E$81,MATCH($E1190,科目表!$B$4:$B$81,0)),""))</f>
        <v/>
      </c>
      <c r="H1190" s="70" t="str">
        <f aca="false">IF($E1190="","",N(INDEX(资金日记账!$N$4:$S$603,141,2)))</f>
        <v/>
      </c>
      <c r="I1190" s="70" t="str">
        <f aca="false">IF($E1190="","",N(INDEX(资金日记账!$N$4:$S$603,141,3)))</f>
        <v/>
      </c>
      <c r="J1190" s="67" t="str">
        <f aca="false">IF($E1190="","",INDEX(资金日记账!$E$4:$E$603,141))</f>
        <v/>
      </c>
      <c r="K1190" s="67" t="str">
        <f aca="false">IF($E1190="","",INDEX(资金日记账!$F$4:$F$603,141))</f>
        <v/>
      </c>
      <c r="L1190" s="107" t="str">
        <f aca="false">IF($E1190="","",INDEX(资金日记账!$X$4:$X$603,141))</f>
        <v/>
      </c>
      <c r="M1190" s="107"/>
      <c r="N1190" s="67" t="str">
        <f aca="false">IF($E1190="","",INDEX(资金日记账!$Y$4:$Y$603,141))</f>
        <v/>
      </c>
      <c r="O1190" s="67" t="str">
        <f aca="false">IF($E1190="","","自动B")</f>
        <v/>
      </c>
      <c r="P1190" s="18"/>
    </row>
    <row r="1191" customFormat="false" ht="18" hidden="false" customHeight="true" outlineLevel="0" collapsed="false">
      <c r="A1191" s="107" t="str">
        <f aca="false">IF($E1191="","",ROW()-3)</f>
        <v/>
      </c>
      <c r="B1191" s="110" t="str">
        <f aca="false">IF($E1191="","",INDEX(资金日记账!$B$4:$B$603,141))</f>
        <v/>
      </c>
      <c r="C1191" s="67" t="str">
        <f aca="false">IF($E1191="","",IF(INDEX(资金日记账!$W$4:$W$603,141)="","记-"&amp;TEXT($B1191,"YYYYMM")&amp;"-资金",INDEX(资金日记账!$W$4:$W$603,141)))</f>
        <v/>
      </c>
      <c r="D1191" s="107" t="str">
        <f aca="false">IF($E1191="","",INDEX(资金日记账!$D$4:$D$603,141))</f>
        <v/>
      </c>
      <c r="E1191" s="67" t="str">
        <f aca="false">IF(INDEX(资金日记账!$N$4:$S$603,141,4)=0,"",INDEX(资金日记账!$N$4:$S$603,141,4))</f>
        <v/>
      </c>
      <c r="F1191" s="99" t="str">
        <f aca="false">IF($E1191="","",IFERROR(INDEX(科目表!$A$4:$A$81,MATCH($E1191,科目表!$B$4:$B$81,0)),""))</f>
        <v/>
      </c>
      <c r="G1191" s="67" t="str">
        <f aca="false">IF($E1191="","",IFERROR(INDEX(科目表!$E$4:$E$81,MATCH($E1191,科目表!$B$4:$B$81,0)),""))</f>
        <v/>
      </c>
      <c r="H1191" s="70" t="str">
        <f aca="false">IF($E1191="","",N(INDEX(资金日记账!$N$4:$S$603,141,5)))</f>
        <v/>
      </c>
      <c r="I1191" s="70" t="str">
        <f aca="false">IF($E1191="","",N(INDEX(资金日记账!$N$4:$S$603,141,6)))</f>
        <v/>
      </c>
      <c r="J1191" s="67" t="str">
        <f aca="false">IF($E1191="","",INDEX(资金日记账!$E$4:$E$603,141))</f>
        <v/>
      </c>
      <c r="K1191" s="67" t="str">
        <f aca="false">IF($E1191="","",INDEX(资金日记账!$F$4:$F$603,141))</f>
        <v/>
      </c>
      <c r="L1191" s="107" t="str">
        <f aca="false">IF($E1191="","",INDEX(资金日记账!$X$4:$X$603,141))</f>
        <v/>
      </c>
      <c r="M1191" s="107"/>
      <c r="N1191" s="67" t="str">
        <f aca="false">IF($E1191="","",INDEX(资金日记账!$Y$4:$Y$603,141))</f>
        <v/>
      </c>
      <c r="O1191" s="67" t="str">
        <f aca="false">IF($E1191="","","自动B")</f>
        <v/>
      </c>
      <c r="P1191" s="18"/>
    </row>
    <row r="1192" customFormat="false" ht="18" hidden="false" customHeight="true" outlineLevel="0" collapsed="false">
      <c r="A1192" s="107" t="str">
        <f aca="false">IF($E1192="","",ROW()-3)</f>
        <v/>
      </c>
      <c r="B1192" s="110" t="str">
        <f aca="false">IF($E1192="","",INDEX(资金日记账!$B$4:$B$603,142))</f>
        <v/>
      </c>
      <c r="C1192" s="67" t="str">
        <f aca="false">IF($E1192="","",IF(INDEX(资金日记账!$W$4:$W$603,142)="","记-"&amp;TEXT($B1192,"YYYYMM")&amp;"-资金",INDEX(资金日记账!$W$4:$W$603,142)))</f>
        <v/>
      </c>
      <c r="D1192" s="107" t="str">
        <f aca="false">IF($E1192="","",INDEX(资金日记账!$D$4:$D$603,142))</f>
        <v/>
      </c>
      <c r="E1192" s="67" t="str">
        <f aca="false">IF(INDEX(资金日记账!$N$4:$S$603,142,1)=0,"",INDEX(资金日记账!$N$4:$S$603,142,1))</f>
        <v/>
      </c>
      <c r="F1192" s="99" t="str">
        <f aca="false">IF($E1192="","",IFERROR(INDEX(科目表!$A$4:$A$81,MATCH($E1192,科目表!$B$4:$B$81,0)),""))</f>
        <v/>
      </c>
      <c r="G1192" s="67" t="str">
        <f aca="false">IF($E1192="","",IFERROR(INDEX(科目表!$E$4:$E$81,MATCH($E1192,科目表!$B$4:$B$81,0)),""))</f>
        <v/>
      </c>
      <c r="H1192" s="70" t="str">
        <f aca="false">IF($E1192="","",N(INDEX(资金日记账!$N$4:$S$603,142,2)))</f>
        <v/>
      </c>
      <c r="I1192" s="70" t="str">
        <f aca="false">IF($E1192="","",N(INDEX(资金日记账!$N$4:$S$603,142,3)))</f>
        <v/>
      </c>
      <c r="J1192" s="67" t="str">
        <f aca="false">IF($E1192="","",INDEX(资金日记账!$E$4:$E$603,142))</f>
        <v/>
      </c>
      <c r="K1192" s="67" t="str">
        <f aca="false">IF($E1192="","",INDEX(资金日记账!$F$4:$F$603,142))</f>
        <v/>
      </c>
      <c r="L1192" s="107" t="str">
        <f aca="false">IF($E1192="","",INDEX(资金日记账!$X$4:$X$603,142))</f>
        <v/>
      </c>
      <c r="M1192" s="107"/>
      <c r="N1192" s="67" t="str">
        <f aca="false">IF($E1192="","",INDEX(资金日记账!$Y$4:$Y$603,142))</f>
        <v/>
      </c>
      <c r="O1192" s="67" t="str">
        <f aca="false">IF($E1192="","","自动B")</f>
        <v/>
      </c>
      <c r="P1192" s="18"/>
    </row>
    <row r="1193" customFormat="false" ht="18" hidden="false" customHeight="true" outlineLevel="0" collapsed="false">
      <c r="A1193" s="107" t="str">
        <f aca="false">IF($E1193="","",ROW()-3)</f>
        <v/>
      </c>
      <c r="B1193" s="110" t="str">
        <f aca="false">IF($E1193="","",INDEX(资金日记账!$B$4:$B$603,142))</f>
        <v/>
      </c>
      <c r="C1193" s="67" t="str">
        <f aca="false">IF($E1193="","",IF(INDEX(资金日记账!$W$4:$W$603,142)="","记-"&amp;TEXT($B1193,"YYYYMM")&amp;"-资金",INDEX(资金日记账!$W$4:$W$603,142)))</f>
        <v/>
      </c>
      <c r="D1193" s="107" t="str">
        <f aca="false">IF($E1193="","",INDEX(资金日记账!$D$4:$D$603,142))</f>
        <v/>
      </c>
      <c r="E1193" s="67" t="str">
        <f aca="false">IF(INDEX(资金日记账!$N$4:$S$603,142,4)=0,"",INDEX(资金日记账!$N$4:$S$603,142,4))</f>
        <v/>
      </c>
      <c r="F1193" s="99" t="str">
        <f aca="false">IF($E1193="","",IFERROR(INDEX(科目表!$A$4:$A$81,MATCH($E1193,科目表!$B$4:$B$81,0)),""))</f>
        <v/>
      </c>
      <c r="G1193" s="67" t="str">
        <f aca="false">IF($E1193="","",IFERROR(INDEX(科目表!$E$4:$E$81,MATCH($E1193,科目表!$B$4:$B$81,0)),""))</f>
        <v/>
      </c>
      <c r="H1193" s="70" t="str">
        <f aca="false">IF($E1193="","",N(INDEX(资金日记账!$N$4:$S$603,142,5)))</f>
        <v/>
      </c>
      <c r="I1193" s="70" t="str">
        <f aca="false">IF($E1193="","",N(INDEX(资金日记账!$N$4:$S$603,142,6)))</f>
        <v/>
      </c>
      <c r="J1193" s="67" t="str">
        <f aca="false">IF($E1193="","",INDEX(资金日记账!$E$4:$E$603,142))</f>
        <v/>
      </c>
      <c r="K1193" s="67" t="str">
        <f aca="false">IF($E1193="","",INDEX(资金日记账!$F$4:$F$603,142))</f>
        <v/>
      </c>
      <c r="L1193" s="107" t="str">
        <f aca="false">IF($E1193="","",INDEX(资金日记账!$X$4:$X$603,142))</f>
        <v/>
      </c>
      <c r="M1193" s="107"/>
      <c r="N1193" s="67" t="str">
        <f aca="false">IF($E1193="","",INDEX(资金日记账!$Y$4:$Y$603,142))</f>
        <v/>
      </c>
      <c r="O1193" s="67" t="str">
        <f aca="false">IF($E1193="","","自动B")</f>
        <v/>
      </c>
      <c r="P1193" s="18"/>
    </row>
    <row r="1194" customFormat="false" ht="18" hidden="false" customHeight="true" outlineLevel="0" collapsed="false">
      <c r="A1194" s="107" t="str">
        <f aca="false">IF($E1194="","",ROW()-3)</f>
        <v/>
      </c>
      <c r="B1194" s="110" t="str">
        <f aca="false">IF($E1194="","",INDEX(资金日记账!$B$4:$B$603,143))</f>
        <v/>
      </c>
      <c r="C1194" s="67" t="str">
        <f aca="false">IF($E1194="","",IF(INDEX(资金日记账!$W$4:$W$603,143)="","记-"&amp;TEXT($B1194,"YYYYMM")&amp;"-资金",INDEX(资金日记账!$W$4:$W$603,143)))</f>
        <v/>
      </c>
      <c r="D1194" s="107" t="str">
        <f aca="false">IF($E1194="","",INDEX(资金日记账!$D$4:$D$603,143))</f>
        <v/>
      </c>
      <c r="E1194" s="67" t="str">
        <f aca="false">IF(INDEX(资金日记账!$N$4:$S$603,143,1)=0,"",INDEX(资金日记账!$N$4:$S$603,143,1))</f>
        <v/>
      </c>
      <c r="F1194" s="99" t="str">
        <f aca="false">IF($E1194="","",IFERROR(INDEX(科目表!$A$4:$A$81,MATCH($E1194,科目表!$B$4:$B$81,0)),""))</f>
        <v/>
      </c>
      <c r="G1194" s="67" t="str">
        <f aca="false">IF($E1194="","",IFERROR(INDEX(科目表!$E$4:$E$81,MATCH($E1194,科目表!$B$4:$B$81,0)),""))</f>
        <v/>
      </c>
      <c r="H1194" s="70" t="str">
        <f aca="false">IF($E1194="","",N(INDEX(资金日记账!$N$4:$S$603,143,2)))</f>
        <v/>
      </c>
      <c r="I1194" s="70" t="str">
        <f aca="false">IF($E1194="","",N(INDEX(资金日记账!$N$4:$S$603,143,3)))</f>
        <v/>
      </c>
      <c r="J1194" s="67" t="str">
        <f aca="false">IF($E1194="","",INDEX(资金日记账!$E$4:$E$603,143))</f>
        <v/>
      </c>
      <c r="K1194" s="67" t="str">
        <f aca="false">IF($E1194="","",INDEX(资金日记账!$F$4:$F$603,143))</f>
        <v/>
      </c>
      <c r="L1194" s="107" t="str">
        <f aca="false">IF($E1194="","",INDEX(资金日记账!$X$4:$X$603,143))</f>
        <v/>
      </c>
      <c r="M1194" s="107"/>
      <c r="N1194" s="67" t="str">
        <f aca="false">IF($E1194="","",INDEX(资金日记账!$Y$4:$Y$603,143))</f>
        <v/>
      </c>
      <c r="O1194" s="67" t="str">
        <f aca="false">IF($E1194="","","自动B")</f>
        <v/>
      </c>
      <c r="P1194" s="18"/>
    </row>
    <row r="1195" customFormat="false" ht="18" hidden="false" customHeight="true" outlineLevel="0" collapsed="false">
      <c r="A1195" s="107" t="str">
        <f aca="false">IF($E1195="","",ROW()-3)</f>
        <v/>
      </c>
      <c r="B1195" s="110" t="str">
        <f aca="false">IF($E1195="","",INDEX(资金日记账!$B$4:$B$603,143))</f>
        <v/>
      </c>
      <c r="C1195" s="67" t="str">
        <f aca="false">IF($E1195="","",IF(INDEX(资金日记账!$W$4:$W$603,143)="","记-"&amp;TEXT($B1195,"YYYYMM")&amp;"-资金",INDEX(资金日记账!$W$4:$W$603,143)))</f>
        <v/>
      </c>
      <c r="D1195" s="107" t="str">
        <f aca="false">IF($E1195="","",INDEX(资金日记账!$D$4:$D$603,143))</f>
        <v/>
      </c>
      <c r="E1195" s="67" t="str">
        <f aca="false">IF(INDEX(资金日记账!$N$4:$S$603,143,4)=0,"",INDEX(资金日记账!$N$4:$S$603,143,4))</f>
        <v/>
      </c>
      <c r="F1195" s="99" t="str">
        <f aca="false">IF($E1195="","",IFERROR(INDEX(科目表!$A$4:$A$81,MATCH($E1195,科目表!$B$4:$B$81,0)),""))</f>
        <v/>
      </c>
      <c r="G1195" s="67" t="str">
        <f aca="false">IF($E1195="","",IFERROR(INDEX(科目表!$E$4:$E$81,MATCH($E1195,科目表!$B$4:$B$81,0)),""))</f>
        <v/>
      </c>
      <c r="H1195" s="70" t="str">
        <f aca="false">IF($E1195="","",N(INDEX(资金日记账!$N$4:$S$603,143,5)))</f>
        <v/>
      </c>
      <c r="I1195" s="70" t="str">
        <f aca="false">IF($E1195="","",N(INDEX(资金日记账!$N$4:$S$603,143,6)))</f>
        <v/>
      </c>
      <c r="J1195" s="67" t="str">
        <f aca="false">IF($E1195="","",INDEX(资金日记账!$E$4:$E$603,143))</f>
        <v/>
      </c>
      <c r="K1195" s="67" t="str">
        <f aca="false">IF($E1195="","",INDEX(资金日记账!$F$4:$F$603,143))</f>
        <v/>
      </c>
      <c r="L1195" s="107" t="str">
        <f aca="false">IF($E1195="","",INDEX(资金日记账!$X$4:$X$603,143))</f>
        <v/>
      </c>
      <c r="M1195" s="107"/>
      <c r="N1195" s="67" t="str">
        <f aca="false">IF($E1195="","",INDEX(资金日记账!$Y$4:$Y$603,143))</f>
        <v/>
      </c>
      <c r="O1195" s="67" t="str">
        <f aca="false">IF($E1195="","","自动B")</f>
        <v/>
      </c>
      <c r="P1195" s="18"/>
    </row>
    <row r="1196" customFormat="false" ht="18" hidden="false" customHeight="true" outlineLevel="0" collapsed="false">
      <c r="A1196" s="107" t="str">
        <f aca="false">IF($E1196="","",ROW()-3)</f>
        <v/>
      </c>
      <c r="B1196" s="110" t="str">
        <f aca="false">IF($E1196="","",INDEX(资金日记账!$B$4:$B$603,144))</f>
        <v/>
      </c>
      <c r="C1196" s="67" t="str">
        <f aca="false">IF($E1196="","",IF(INDEX(资金日记账!$W$4:$W$603,144)="","记-"&amp;TEXT($B1196,"YYYYMM")&amp;"-资金",INDEX(资金日记账!$W$4:$W$603,144)))</f>
        <v/>
      </c>
      <c r="D1196" s="107" t="str">
        <f aca="false">IF($E1196="","",INDEX(资金日记账!$D$4:$D$603,144))</f>
        <v/>
      </c>
      <c r="E1196" s="67" t="str">
        <f aca="false">IF(INDEX(资金日记账!$N$4:$S$603,144,1)=0,"",INDEX(资金日记账!$N$4:$S$603,144,1))</f>
        <v/>
      </c>
      <c r="F1196" s="99" t="str">
        <f aca="false">IF($E1196="","",IFERROR(INDEX(科目表!$A$4:$A$81,MATCH($E1196,科目表!$B$4:$B$81,0)),""))</f>
        <v/>
      </c>
      <c r="G1196" s="67" t="str">
        <f aca="false">IF($E1196="","",IFERROR(INDEX(科目表!$E$4:$E$81,MATCH($E1196,科目表!$B$4:$B$81,0)),""))</f>
        <v/>
      </c>
      <c r="H1196" s="70" t="str">
        <f aca="false">IF($E1196="","",N(INDEX(资金日记账!$N$4:$S$603,144,2)))</f>
        <v/>
      </c>
      <c r="I1196" s="70" t="str">
        <f aca="false">IF($E1196="","",N(INDEX(资金日记账!$N$4:$S$603,144,3)))</f>
        <v/>
      </c>
      <c r="J1196" s="67" t="str">
        <f aca="false">IF($E1196="","",INDEX(资金日记账!$E$4:$E$603,144))</f>
        <v/>
      </c>
      <c r="K1196" s="67" t="str">
        <f aca="false">IF($E1196="","",INDEX(资金日记账!$F$4:$F$603,144))</f>
        <v/>
      </c>
      <c r="L1196" s="107" t="str">
        <f aca="false">IF($E1196="","",INDEX(资金日记账!$X$4:$X$603,144))</f>
        <v/>
      </c>
      <c r="M1196" s="107"/>
      <c r="N1196" s="67" t="str">
        <f aca="false">IF($E1196="","",INDEX(资金日记账!$Y$4:$Y$603,144))</f>
        <v/>
      </c>
      <c r="O1196" s="67" t="str">
        <f aca="false">IF($E1196="","","自动B")</f>
        <v/>
      </c>
      <c r="P1196" s="18"/>
    </row>
    <row r="1197" customFormat="false" ht="18" hidden="false" customHeight="true" outlineLevel="0" collapsed="false">
      <c r="A1197" s="107" t="str">
        <f aca="false">IF($E1197="","",ROW()-3)</f>
        <v/>
      </c>
      <c r="B1197" s="110" t="str">
        <f aca="false">IF($E1197="","",INDEX(资金日记账!$B$4:$B$603,144))</f>
        <v/>
      </c>
      <c r="C1197" s="67" t="str">
        <f aca="false">IF($E1197="","",IF(INDEX(资金日记账!$W$4:$W$603,144)="","记-"&amp;TEXT($B1197,"YYYYMM")&amp;"-资金",INDEX(资金日记账!$W$4:$W$603,144)))</f>
        <v/>
      </c>
      <c r="D1197" s="107" t="str">
        <f aca="false">IF($E1197="","",INDEX(资金日记账!$D$4:$D$603,144))</f>
        <v/>
      </c>
      <c r="E1197" s="67" t="str">
        <f aca="false">IF(INDEX(资金日记账!$N$4:$S$603,144,4)=0,"",INDEX(资金日记账!$N$4:$S$603,144,4))</f>
        <v/>
      </c>
      <c r="F1197" s="99" t="str">
        <f aca="false">IF($E1197="","",IFERROR(INDEX(科目表!$A$4:$A$81,MATCH($E1197,科目表!$B$4:$B$81,0)),""))</f>
        <v/>
      </c>
      <c r="G1197" s="67" t="str">
        <f aca="false">IF($E1197="","",IFERROR(INDEX(科目表!$E$4:$E$81,MATCH($E1197,科目表!$B$4:$B$81,0)),""))</f>
        <v/>
      </c>
      <c r="H1197" s="70" t="str">
        <f aca="false">IF($E1197="","",N(INDEX(资金日记账!$N$4:$S$603,144,5)))</f>
        <v/>
      </c>
      <c r="I1197" s="70" t="str">
        <f aca="false">IF($E1197="","",N(INDEX(资金日记账!$N$4:$S$603,144,6)))</f>
        <v/>
      </c>
      <c r="J1197" s="67" t="str">
        <f aca="false">IF($E1197="","",INDEX(资金日记账!$E$4:$E$603,144))</f>
        <v/>
      </c>
      <c r="K1197" s="67" t="str">
        <f aca="false">IF($E1197="","",INDEX(资金日记账!$F$4:$F$603,144))</f>
        <v/>
      </c>
      <c r="L1197" s="107" t="str">
        <f aca="false">IF($E1197="","",INDEX(资金日记账!$X$4:$X$603,144))</f>
        <v/>
      </c>
      <c r="M1197" s="107"/>
      <c r="N1197" s="67" t="str">
        <f aca="false">IF($E1197="","",INDEX(资金日记账!$Y$4:$Y$603,144))</f>
        <v/>
      </c>
      <c r="O1197" s="67" t="str">
        <f aca="false">IF($E1197="","","自动B")</f>
        <v/>
      </c>
      <c r="P1197" s="18"/>
    </row>
    <row r="1198" customFormat="false" ht="18" hidden="false" customHeight="true" outlineLevel="0" collapsed="false">
      <c r="A1198" s="107" t="str">
        <f aca="false">IF($E1198="","",ROW()-3)</f>
        <v/>
      </c>
      <c r="B1198" s="110" t="str">
        <f aca="false">IF($E1198="","",INDEX(资金日记账!$B$4:$B$603,145))</f>
        <v/>
      </c>
      <c r="C1198" s="67" t="str">
        <f aca="false">IF($E1198="","",IF(INDEX(资金日记账!$W$4:$W$603,145)="","记-"&amp;TEXT($B1198,"YYYYMM")&amp;"-资金",INDEX(资金日记账!$W$4:$W$603,145)))</f>
        <v/>
      </c>
      <c r="D1198" s="107" t="str">
        <f aca="false">IF($E1198="","",INDEX(资金日记账!$D$4:$D$603,145))</f>
        <v/>
      </c>
      <c r="E1198" s="67" t="str">
        <f aca="false">IF(INDEX(资金日记账!$N$4:$S$603,145,1)=0,"",INDEX(资金日记账!$N$4:$S$603,145,1))</f>
        <v/>
      </c>
      <c r="F1198" s="99" t="str">
        <f aca="false">IF($E1198="","",IFERROR(INDEX(科目表!$A$4:$A$81,MATCH($E1198,科目表!$B$4:$B$81,0)),""))</f>
        <v/>
      </c>
      <c r="G1198" s="67" t="str">
        <f aca="false">IF($E1198="","",IFERROR(INDEX(科目表!$E$4:$E$81,MATCH($E1198,科目表!$B$4:$B$81,0)),""))</f>
        <v/>
      </c>
      <c r="H1198" s="70" t="str">
        <f aca="false">IF($E1198="","",N(INDEX(资金日记账!$N$4:$S$603,145,2)))</f>
        <v/>
      </c>
      <c r="I1198" s="70" t="str">
        <f aca="false">IF($E1198="","",N(INDEX(资金日记账!$N$4:$S$603,145,3)))</f>
        <v/>
      </c>
      <c r="J1198" s="67" t="str">
        <f aca="false">IF($E1198="","",INDEX(资金日记账!$E$4:$E$603,145))</f>
        <v/>
      </c>
      <c r="K1198" s="67" t="str">
        <f aca="false">IF($E1198="","",INDEX(资金日记账!$F$4:$F$603,145))</f>
        <v/>
      </c>
      <c r="L1198" s="107" t="str">
        <f aca="false">IF($E1198="","",INDEX(资金日记账!$X$4:$X$603,145))</f>
        <v/>
      </c>
      <c r="M1198" s="107"/>
      <c r="N1198" s="67" t="str">
        <f aca="false">IF($E1198="","",INDEX(资金日记账!$Y$4:$Y$603,145))</f>
        <v/>
      </c>
      <c r="O1198" s="67" t="str">
        <f aca="false">IF($E1198="","","自动B")</f>
        <v/>
      </c>
      <c r="P1198" s="18"/>
    </row>
    <row r="1199" customFormat="false" ht="18" hidden="false" customHeight="true" outlineLevel="0" collapsed="false">
      <c r="A1199" s="107" t="str">
        <f aca="false">IF($E1199="","",ROW()-3)</f>
        <v/>
      </c>
      <c r="B1199" s="110" t="str">
        <f aca="false">IF($E1199="","",INDEX(资金日记账!$B$4:$B$603,145))</f>
        <v/>
      </c>
      <c r="C1199" s="67" t="str">
        <f aca="false">IF($E1199="","",IF(INDEX(资金日记账!$W$4:$W$603,145)="","记-"&amp;TEXT($B1199,"YYYYMM")&amp;"-资金",INDEX(资金日记账!$W$4:$W$603,145)))</f>
        <v/>
      </c>
      <c r="D1199" s="107" t="str">
        <f aca="false">IF($E1199="","",INDEX(资金日记账!$D$4:$D$603,145))</f>
        <v/>
      </c>
      <c r="E1199" s="67" t="str">
        <f aca="false">IF(INDEX(资金日记账!$N$4:$S$603,145,4)=0,"",INDEX(资金日记账!$N$4:$S$603,145,4))</f>
        <v/>
      </c>
      <c r="F1199" s="99" t="str">
        <f aca="false">IF($E1199="","",IFERROR(INDEX(科目表!$A$4:$A$81,MATCH($E1199,科目表!$B$4:$B$81,0)),""))</f>
        <v/>
      </c>
      <c r="G1199" s="67" t="str">
        <f aca="false">IF($E1199="","",IFERROR(INDEX(科目表!$E$4:$E$81,MATCH($E1199,科目表!$B$4:$B$81,0)),""))</f>
        <v/>
      </c>
      <c r="H1199" s="70" t="str">
        <f aca="false">IF($E1199="","",N(INDEX(资金日记账!$N$4:$S$603,145,5)))</f>
        <v/>
      </c>
      <c r="I1199" s="70" t="str">
        <f aca="false">IF($E1199="","",N(INDEX(资金日记账!$N$4:$S$603,145,6)))</f>
        <v/>
      </c>
      <c r="J1199" s="67" t="str">
        <f aca="false">IF($E1199="","",INDEX(资金日记账!$E$4:$E$603,145))</f>
        <v/>
      </c>
      <c r="K1199" s="67" t="str">
        <f aca="false">IF($E1199="","",INDEX(资金日记账!$F$4:$F$603,145))</f>
        <v/>
      </c>
      <c r="L1199" s="107" t="str">
        <f aca="false">IF($E1199="","",INDEX(资金日记账!$X$4:$X$603,145))</f>
        <v/>
      </c>
      <c r="M1199" s="107"/>
      <c r="N1199" s="67" t="str">
        <f aca="false">IF($E1199="","",INDEX(资金日记账!$Y$4:$Y$603,145))</f>
        <v/>
      </c>
      <c r="O1199" s="67" t="str">
        <f aca="false">IF($E1199="","","自动B")</f>
        <v/>
      </c>
      <c r="P1199" s="18"/>
    </row>
    <row r="1200" customFormat="false" ht="18" hidden="false" customHeight="true" outlineLevel="0" collapsed="false">
      <c r="A1200" s="107" t="str">
        <f aca="false">IF($E1200="","",ROW()-3)</f>
        <v/>
      </c>
      <c r="B1200" s="110" t="str">
        <f aca="false">IF($E1200="","",INDEX(资金日记账!$B$4:$B$603,146))</f>
        <v/>
      </c>
      <c r="C1200" s="67" t="str">
        <f aca="false">IF($E1200="","",IF(INDEX(资金日记账!$W$4:$W$603,146)="","记-"&amp;TEXT($B1200,"YYYYMM")&amp;"-资金",INDEX(资金日记账!$W$4:$W$603,146)))</f>
        <v/>
      </c>
      <c r="D1200" s="107" t="str">
        <f aca="false">IF($E1200="","",INDEX(资金日记账!$D$4:$D$603,146))</f>
        <v/>
      </c>
      <c r="E1200" s="67" t="str">
        <f aca="false">IF(INDEX(资金日记账!$N$4:$S$603,146,1)=0,"",INDEX(资金日记账!$N$4:$S$603,146,1))</f>
        <v/>
      </c>
      <c r="F1200" s="99" t="str">
        <f aca="false">IF($E1200="","",IFERROR(INDEX(科目表!$A$4:$A$81,MATCH($E1200,科目表!$B$4:$B$81,0)),""))</f>
        <v/>
      </c>
      <c r="G1200" s="67" t="str">
        <f aca="false">IF($E1200="","",IFERROR(INDEX(科目表!$E$4:$E$81,MATCH($E1200,科目表!$B$4:$B$81,0)),""))</f>
        <v/>
      </c>
      <c r="H1200" s="70" t="str">
        <f aca="false">IF($E1200="","",N(INDEX(资金日记账!$N$4:$S$603,146,2)))</f>
        <v/>
      </c>
      <c r="I1200" s="70" t="str">
        <f aca="false">IF($E1200="","",N(INDEX(资金日记账!$N$4:$S$603,146,3)))</f>
        <v/>
      </c>
      <c r="J1200" s="67" t="str">
        <f aca="false">IF($E1200="","",INDEX(资金日记账!$E$4:$E$603,146))</f>
        <v/>
      </c>
      <c r="K1200" s="67" t="str">
        <f aca="false">IF($E1200="","",INDEX(资金日记账!$F$4:$F$603,146))</f>
        <v/>
      </c>
      <c r="L1200" s="107" t="str">
        <f aca="false">IF($E1200="","",INDEX(资金日记账!$X$4:$X$603,146))</f>
        <v/>
      </c>
      <c r="M1200" s="107"/>
      <c r="N1200" s="67" t="str">
        <f aca="false">IF($E1200="","",INDEX(资金日记账!$Y$4:$Y$603,146))</f>
        <v/>
      </c>
      <c r="O1200" s="67" t="str">
        <f aca="false">IF($E1200="","","自动B")</f>
        <v/>
      </c>
      <c r="P1200" s="18"/>
    </row>
    <row r="1201" customFormat="false" ht="18" hidden="false" customHeight="true" outlineLevel="0" collapsed="false">
      <c r="A1201" s="107" t="str">
        <f aca="false">IF($E1201="","",ROW()-3)</f>
        <v/>
      </c>
      <c r="B1201" s="110" t="str">
        <f aca="false">IF($E1201="","",INDEX(资金日记账!$B$4:$B$603,146))</f>
        <v/>
      </c>
      <c r="C1201" s="67" t="str">
        <f aca="false">IF($E1201="","",IF(INDEX(资金日记账!$W$4:$W$603,146)="","记-"&amp;TEXT($B1201,"YYYYMM")&amp;"-资金",INDEX(资金日记账!$W$4:$W$603,146)))</f>
        <v/>
      </c>
      <c r="D1201" s="107" t="str">
        <f aca="false">IF($E1201="","",INDEX(资金日记账!$D$4:$D$603,146))</f>
        <v/>
      </c>
      <c r="E1201" s="67" t="str">
        <f aca="false">IF(INDEX(资金日记账!$N$4:$S$603,146,4)=0,"",INDEX(资金日记账!$N$4:$S$603,146,4))</f>
        <v/>
      </c>
      <c r="F1201" s="99" t="str">
        <f aca="false">IF($E1201="","",IFERROR(INDEX(科目表!$A$4:$A$81,MATCH($E1201,科目表!$B$4:$B$81,0)),""))</f>
        <v/>
      </c>
      <c r="G1201" s="67" t="str">
        <f aca="false">IF($E1201="","",IFERROR(INDEX(科目表!$E$4:$E$81,MATCH($E1201,科目表!$B$4:$B$81,0)),""))</f>
        <v/>
      </c>
      <c r="H1201" s="70" t="str">
        <f aca="false">IF($E1201="","",N(INDEX(资金日记账!$N$4:$S$603,146,5)))</f>
        <v/>
      </c>
      <c r="I1201" s="70" t="str">
        <f aca="false">IF($E1201="","",N(INDEX(资金日记账!$N$4:$S$603,146,6)))</f>
        <v/>
      </c>
      <c r="J1201" s="67" t="str">
        <f aca="false">IF($E1201="","",INDEX(资金日记账!$E$4:$E$603,146))</f>
        <v/>
      </c>
      <c r="K1201" s="67" t="str">
        <f aca="false">IF($E1201="","",INDEX(资金日记账!$F$4:$F$603,146))</f>
        <v/>
      </c>
      <c r="L1201" s="107" t="str">
        <f aca="false">IF($E1201="","",INDEX(资金日记账!$X$4:$X$603,146))</f>
        <v/>
      </c>
      <c r="M1201" s="107"/>
      <c r="N1201" s="67" t="str">
        <f aca="false">IF($E1201="","",INDEX(资金日记账!$Y$4:$Y$603,146))</f>
        <v/>
      </c>
      <c r="O1201" s="67" t="str">
        <f aca="false">IF($E1201="","","自动B")</f>
        <v/>
      </c>
      <c r="P1201" s="18"/>
    </row>
    <row r="1202" customFormat="false" ht="18" hidden="false" customHeight="true" outlineLevel="0" collapsed="false">
      <c r="A1202" s="107" t="str">
        <f aca="false">IF($E1202="","",ROW()-3)</f>
        <v/>
      </c>
      <c r="B1202" s="110" t="str">
        <f aca="false">IF($E1202="","",INDEX(资金日记账!$B$4:$B$603,147))</f>
        <v/>
      </c>
      <c r="C1202" s="67" t="str">
        <f aca="false">IF($E1202="","",IF(INDEX(资金日记账!$W$4:$W$603,147)="","记-"&amp;TEXT($B1202,"YYYYMM")&amp;"-资金",INDEX(资金日记账!$W$4:$W$603,147)))</f>
        <v/>
      </c>
      <c r="D1202" s="107" t="str">
        <f aca="false">IF($E1202="","",INDEX(资金日记账!$D$4:$D$603,147))</f>
        <v/>
      </c>
      <c r="E1202" s="67" t="str">
        <f aca="false">IF(INDEX(资金日记账!$N$4:$S$603,147,1)=0,"",INDEX(资金日记账!$N$4:$S$603,147,1))</f>
        <v/>
      </c>
      <c r="F1202" s="99" t="str">
        <f aca="false">IF($E1202="","",IFERROR(INDEX(科目表!$A$4:$A$81,MATCH($E1202,科目表!$B$4:$B$81,0)),""))</f>
        <v/>
      </c>
      <c r="G1202" s="67" t="str">
        <f aca="false">IF($E1202="","",IFERROR(INDEX(科目表!$E$4:$E$81,MATCH($E1202,科目表!$B$4:$B$81,0)),""))</f>
        <v/>
      </c>
      <c r="H1202" s="70" t="str">
        <f aca="false">IF($E1202="","",N(INDEX(资金日记账!$N$4:$S$603,147,2)))</f>
        <v/>
      </c>
      <c r="I1202" s="70" t="str">
        <f aca="false">IF($E1202="","",N(INDEX(资金日记账!$N$4:$S$603,147,3)))</f>
        <v/>
      </c>
      <c r="J1202" s="67" t="str">
        <f aca="false">IF($E1202="","",INDEX(资金日记账!$E$4:$E$603,147))</f>
        <v/>
      </c>
      <c r="K1202" s="67" t="str">
        <f aca="false">IF($E1202="","",INDEX(资金日记账!$F$4:$F$603,147))</f>
        <v/>
      </c>
      <c r="L1202" s="107" t="str">
        <f aca="false">IF($E1202="","",INDEX(资金日记账!$X$4:$X$603,147))</f>
        <v/>
      </c>
      <c r="M1202" s="107"/>
      <c r="N1202" s="67" t="str">
        <f aca="false">IF($E1202="","",INDEX(资金日记账!$Y$4:$Y$603,147))</f>
        <v/>
      </c>
      <c r="O1202" s="67" t="str">
        <f aca="false">IF($E1202="","","自动B")</f>
        <v/>
      </c>
      <c r="P1202" s="18"/>
    </row>
    <row r="1203" customFormat="false" ht="18" hidden="false" customHeight="true" outlineLevel="0" collapsed="false">
      <c r="A1203" s="107" t="str">
        <f aca="false">IF($E1203="","",ROW()-3)</f>
        <v/>
      </c>
      <c r="B1203" s="110" t="str">
        <f aca="false">IF($E1203="","",INDEX(资金日记账!$B$4:$B$603,147))</f>
        <v/>
      </c>
      <c r="C1203" s="67" t="str">
        <f aca="false">IF($E1203="","",IF(INDEX(资金日记账!$W$4:$W$603,147)="","记-"&amp;TEXT($B1203,"YYYYMM")&amp;"-资金",INDEX(资金日记账!$W$4:$W$603,147)))</f>
        <v/>
      </c>
      <c r="D1203" s="107" t="str">
        <f aca="false">IF($E1203="","",INDEX(资金日记账!$D$4:$D$603,147))</f>
        <v/>
      </c>
      <c r="E1203" s="67" t="str">
        <f aca="false">IF(INDEX(资金日记账!$N$4:$S$603,147,4)=0,"",INDEX(资金日记账!$N$4:$S$603,147,4))</f>
        <v/>
      </c>
      <c r="F1203" s="99" t="str">
        <f aca="false">IF($E1203="","",IFERROR(INDEX(科目表!$A$4:$A$81,MATCH($E1203,科目表!$B$4:$B$81,0)),""))</f>
        <v/>
      </c>
      <c r="G1203" s="67" t="str">
        <f aca="false">IF($E1203="","",IFERROR(INDEX(科目表!$E$4:$E$81,MATCH($E1203,科目表!$B$4:$B$81,0)),""))</f>
        <v/>
      </c>
      <c r="H1203" s="70" t="str">
        <f aca="false">IF($E1203="","",N(INDEX(资金日记账!$N$4:$S$603,147,5)))</f>
        <v/>
      </c>
      <c r="I1203" s="70" t="str">
        <f aca="false">IF($E1203="","",N(INDEX(资金日记账!$N$4:$S$603,147,6)))</f>
        <v/>
      </c>
      <c r="J1203" s="67" t="str">
        <f aca="false">IF($E1203="","",INDEX(资金日记账!$E$4:$E$603,147))</f>
        <v/>
      </c>
      <c r="K1203" s="67" t="str">
        <f aca="false">IF($E1203="","",INDEX(资金日记账!$F$4:$F$603,147))</f>
        <v/>
      </c>
      <c r="L1203" s="107" t="str">
        <f aca="false">IF($E1203="","",INDEX(资金日记账!$X$4:$X$603,147))</f>
        <v/>
      </c>
      <c r="M1203" s="107"/>
      <c r="N1203" s="67" t="str">
        <f aca="false">IF($E1203="","",INDEX(资金日记账!$Y$4:$Y$603,147))</f>
        <v/>
      </c>
      <c r="O1203" s="67" t="str">
        <f aca="false">IF($E1203="","","自动B")</f>
        <v/>
      </c>
      <c r="P1203" s="18"/>
    </row>
    <row r="1204" customFormat="false" ht="18" hidden="false" customHeight="true" outlineLevel="0" collapsed="false">
      <c r="A1204" s="107" t="str">
        <f aca="false">IF($E1204="","",ROW()-3)</f>
        <v/>
      </c>
      <c r="B1204" s="110" t="str">
        <f aca="false">IF($E1204="","",INDEX(资金日记账!$B$4:$B$603,148))</f>
        <v/>
      </c>
      <c r="C1204" s="67" t="str">
        <f aca="false">IF($E1204="","",IF(INDEX(资金日记账!$W$4:$W$603,148)="","记-"&amp;TEXT($B1204,"YYYYMM")&amp;"-资金",INDEX(资金日记账!$W$4:$W$603,148)))</f>
        <v/>
      </c>
      <c r="D1204" s="107" t="str">
        <f aca="false">IF($E1204="","",INDEX(资金日记账!$D$4:$D$603,148))</f>
        <v/>
      </c>
      <c r="E1204" s="67" t="str">
        <f aca="false">IF(INDEX(资金日记账!$N$4:$S$603,148,1)=0,"",INDEX(资金日记账!$N$4:$S$603,148,1))</f>
        <v/>
      </c>
      <c r="F1204" s="99" t="str">
        <f aca="false">IF($E1204="","",IFERROR(INDEX(科目表!$A$4:$A$81,MATCH($E1204,科目表!$B$4:$B$81,0)),""))</f>
        <v/>
      </c>
      <c r="G1204" s="67" t="str">
        <f aca="false">IF($E1204="","",IFERROR(INDEX(科目表!$E$4:$E$81,MATCH($E1204,科目表!$B$4:$B$81,0)),""))</f>
        <v/>
      </c>
      <c r="H1204" s="70" t="str">
        <f aca="false">IF($E1204="","",N(INDEX(资金日记账!$N$4:$S$603,148,2)))</f>
        <v/>
      </c>
      <c r="I1204" s="70" t="str">
        <f aca="false">IF($E1204="","",N(INDEX(资金日记账!$N$4:$S$603,148,3)))</f>
        <v/>
      </c>
      <c r="J1204" s="67" t="str">
        <f aca="false">IF($E1204="","",INDEX(资金日记账!$E$4:$E$603,148))</f>
        <v/>
      </c>
      <c r="K1204" s="67" t="str">
        <f aca="false">IF($E1204="","",INDEX(资金日记账!$F$4:$F$603,148))</f>
        <v/>
      </c>
      <c r="L1204" s="107" t="str">
        <f aca="false">IF($E1204="","",INDEX(资金日记账!$X$4:$X$603,148))</f>
        <v/>
      </c>
      <c r="M1204" s="107"/>
      <c r="N1204" s="67" t="str">
        <f aca="false">IF($E1204="","",INDEX(资金日记账!$Y$4:$Y$603,148))</f>
        <v/>
      </c>
      <c r="O1204" s="67" t="str">
        <f aca="false">IF($E1204="","","自动B")</f>
        <v/>
      </c>
      <c r="P1204" s="18"/>
    </row>
    <row r="1205" customFormat="false" ht="18" hidden="false" customHeight="true" outlineLevel="0" collapsed="false">
      <c r="A1205" s="107" t="str">
        <f aca="false">IF($E1205="","",ROW()-3)</f>
        <v/>
      </c>
      <c r="B1205" s="110" t="str">
        <f aca="false">IF($E1205="","",INDEX(资金日记账!$B$4:$B$603,148))</f>
        <v/>
      </c>
      <c r="C1205" s="67" t="str">
        <f aca="false">IF($E1205="","",IF(INDEX(资金日记账!$W$4:$W$603,148)="","记-"&amp;TEXT($B1205,"YYYYMM")&amp;"-资金",INDEX(资金日记账!$W$4:$W$603,148)))</f>
        <v/>
      </c>
      <c r="D1205" s="107" t="str">
        <f aca="false">IF($E1205="","",INDEX(资金日记账!$D$4:$D$603,148))</f>
        <v/>
      </c>
      <c r="E1205" s="67" t="str">
        <f aca="false">IF(INDEX(资金日记账!$N$4:$S$603,148,4)=0,"",INDEX(资金日记账!$N$4:$S$603,148,4))</f>
        <v/>
      </c>
      <c r="F1205" s="99" t="str">
        <f aca="false">IF($E1205="","",IFERROR(INDEX(科目表!$A$4:$A$81,MATCH($E1205,科目表!$B$4:$B$81,0)),""))</f>
        <v/>
      </c>
      <c r="G1205" s="67" t="str">
        <f aca="false">IF($E1205="","",IFERROR(INDEX(科目表!$E$4:$E$81,MATCH($E1205,科目表!$B$4:$B$81,0)),""))</f>
        <v/>
      </c>
      <c r="H1205" s="70" t="str">
        <f aca="false">IF($E1205="","",N(INDEX(资金日记账!$N$4:$S$603,148,5)))</f>
        <v/>
      </c>
      <c r="I1205" s="70" t="str">
        <f aca="false">IF($E1205="","",N(INDEX(资金日记账!$N$4:$S$603,148,6)))</f>
        <v/>
      </c>
      <c r="J1205" s="67" t="str">
        <f aca="false">IF($E1205="","",INDEX(资金日记账!$E$4:$E$603,148))</f>
        <v/>
      </c>
      <c r="K1205" s="67" t="str">
        <f aca="false">IF($E1205="","",INDEX(资金日记账!$F$4:$F$603,148))</f>
        <v/>
      </c>
      <c r="L1205" s="107" t="str">
        <f aca="false">IF($E1205="","",INDEX(资金日记账!$X$4:$X$603,148))</f>
        <v/>
      </c>
      <c r="M1205" s="107"/>
      <c r="N1205" s="67" t="str">
        <f aca="false">IF($E1205="","",INDEX(资金日记账!$Y$4:$Y$603,148))</f>
        <v/>
      </c>
      <c r="O1205" s="67" t="str">
        <f aca="false">IF($E1205="","","自动B")</f>
        <v/>
      </c>
      <c r="P1205" s="18"/>
    </row>
    <row r="1206" customFormat="false" ht="18" hidden="false" customHeight="true" outlineLevel="0" collapsed="false">
      <c r="A1206" s="107" t="str">
        <f aca="false">IF($E1206="","",ROW()-3)</f>
        <v/>
      </c>
      <c r="B1206" s="110" t="str">
        <f aca="false">IF($E1206="","",INDEX(资金日记账!$B$4:$B$603,149))</f>
        <v/>
      </c>
      <c r="C1206" s="67" t="str">
        <f aca="false">IF($E1206="","",IF(INDEX(资金日记账!$W$4:$W$603,149)="","记-"&amp;TEXT($B1206,"YYYYMM")&amp;"-资金",INDEX(资金日记账!$W$4:$W$603,149)))</f>
        <v/>
      </c>
      <c r="D1206" s="107" t="str">
        <f aca="false">IF($E1206="","",INDEX(资金日记账!$D$4:$D$603,149))</f>
        <v/>
      </c>
      <c r="E1206" s="67" t="str">
        <f aca="false">IF(INDEX(资金日记账!$N$4:$S$603,149,1)=0,"",INDEX(资金日记账!$N$4:$S$603,149,1))</f>
        <v/>
      </c>
      <c r="F1206" s="99" t="str">
        <f aca="false">IF($E1206="","",IFERROR(INDEX(科目表!$A$4:$A$81,MATCH($E1206,科目表!$B$4:$B$81,0)),""))</f>
        <v/>
      </c>
      <c r="G1206" s="67" t="str">
        <f aca="false">IF($E1206="","",IFERROR(INDEX(科目表!$E$4:$E$81,MATCH($E1206,科目表!$B$4:$B$81,0)),""))</f>
        <v/>
      </c>
      <c r="H1206" s="70" t="str">
        <f aca="false">IF($E1206="","",N(INDEX(资金日记账!$N$4:$S$603,149,2)))</f>
        <v/>
      </c>
      <c r="I1206" s="70" t="str">
        <f aca="false">IF($E1206="","",N(INDEX(资金日记账!$N$4:$S$603,149,3)))</f>
        <v/>
      </c>
      <c r="J1206" s="67" t="str">
        <f aca="false">IF($E1206="","",INDEX(资金日记账!$E$4:$E$603,149))</f>
        <v/>
      </c>
      <c r="K1206" s="67" t="str">
        <f aca="false">IF($E1206="","",INDEX(资金日记账!$F$4:$F$603,149))</f>
        <v/>
      </c>
      <c r="L1206" s="107" t="str">
        <f aca="false">IF($E1206="","",INDEX(资金日记账!$X$4:$X$603,149))</f>
        <v/>
      </c>
      <c r="M1206" s="107"/>
      <c r="N1206" s="67" t="str">
        <f aca="false">IF($E1206="","",INDEX(资金日记账!$Y$4:$Y$603,149))</f>
        <v/>
      </c>
      <c r="O1206" s="67" t="str">
        <f aca="false">IF($E1206="","","自动B")</f>
        <v/>
      </c>
      <c r="P1206" s="18"/>
    </row>
    <row r="1207" customFormat="false" ht="18" hidden="false" customHeight="true" outlineLevel="0" collapsed="false">
      <c r="A1207" s="107" t="str">
        <f aca="false">IF($E1207="","",ROW()-3)</f>
        <v/>
      </c>
      <c r="B1207" s="110" t="str">
        <f aca="false">IF($E1207="","",INDEX(资金日记账!$B$4:$B$603,149))</f>
        <v/>
      </c>
      <c r="C1207" s="67" t="str">
        <f aca="false">IF($E1207="","",IF(INDEX(资金日记账!$W$4:$W$603,149)="","记-"&amp;TEXT($B1207,"YYYYMM")&amp;"-资金",INDEX(资金日记账!$W$4:$W$603,149)))</f>
        <v/>
      </c>
      <c r="D1207" s="107" t="str">
        <f aca="false">IF($E1207="","",INDEX(资金日记账!$D$4:$D$603,149))</f>
        <v/>
      </c>
      <c r="E1207" s="67" t="str">
        <f aca="false">IF(INDEX(资金日记账!$N$4:$S$603,149,4)=0,"",INDEX(资金日记账!$N$4:$S$603,149,4))</f>
        <v/>
      </c>
      <c r="F1207" s="99" t="str">
        <f aca="false">IF($E1207="","",IFERROR(INDEX(科目表!$A$4:$A$81,MATCH($E1207,科目表!$B$4:$B$81,0)),""))</f>
        <v/>
      </c>
      <c r="G1207" s="67" t="str">
        <f aca="false">IF($E1207="","",IFERROR(INDEX(科目表!$E$4:$E$81,MATCH($E1207,科目表!$B$4:$B$81,0)),""))</f>
        <v/>
      </c>
      <c r="H1207" s="70" t="str">
        <f aca="false">IF($E1207="","",N(INDEX(资金日记账!$N$4:$S$603,149,5)))</f>
        <v/>
      </c>
      <c r="I1207" s="70" t="str">
        <f aca="false">IF($E1207="","",N(INDEX(资金日记账!$N$4:$S$603,149,6)))</f>
        <v/>
      </c>
      <c r="J1207" s="67" t="str">
        <f aca="false">IF($E1207="","",INDEX(资金日记账!$E$4:$E$603,149))</f>
        <v/>
      </c>
      <c r="K1207" s="67" t="str">
        <f aca="false">IF($E1207="","",INDEX(资金日记账!$F$4:$F$603,149))</f>
        <v/>
      </c>
      <c r="L1207" s="107" t="str">
        <f aca="false">IF($E1207="","",INDEX(资金日记账!$X$4:$X$603,149))</f>
        <v/>
      </c>
      <c r="M1207" s="107"/>
      <c r="N1207" s="67" t="str">
        <f aca="false">IF($E1207="","",INDEX(资金日记账!$Y$4:$Y$603,149))</f>
        <v/>
      </c>
      <c r="O1207" s="67" t="str">
        <f aca="false">IF($E1207="","","自动B")</f>
        <v/>
      </c>
      <c r="P1207" s="18"/>
    </row>
    <row r="1208" customFormat="false" ht="18" hidden="false" customHeight="true" outlineLevel="0" collapsed="false">
      <c r="A1208" s="107" t="str">
        <f aca="false">IF($E1208="","",ROW()-3)</f>
        <v/>
      </c>
      <c r="B1208" s="110" t="str">
        <f aca="false">IF($E1208="","",INDEX(资金日记账!$B$4:$B$603,150))</f>
        <v/>
      </c>
      <c r="C1208" s="67" t="str">
        <f aca="false">IF($E1208="","",IF(INDEX(资金日记账!$W$4:$W$603,150)="","记-"&amp;TEXT($B1208,"YYYYMM")&amp;"-资金",INDEX(资金日记账!$W$4:$W$603,150)))</f>
        <v/>
      </c>
      <c r="D1208" s="107" t="str">
        <f aca="false">IF($E1208="","",INDEX(资金日记账!$D$4:$D$603,150))</f>
        <v/>
      </c>
      <c r="E1208" s="67" t="str">
        <f aca="false">IF(INDEX(资金日记账!$N$4:$S$603,150,1)=0,"",INDEX(资金日记账!$N$4:$S$603,150,1))</f>
        <v/>
      </c>
      <c r="F1208" s="99" t="str">
        <f aca="false">IF($E1208="","",IFERROR(INDEX(科目表!$A$4:$A$81,MATCH($E1208,科目表!$B$4:$B$81,0)),""))</f>
        <v/>
      </c>
      <c r="G1208" s="67" t="str">
        <f aca="false">IF($E1208="","",IFERROR(INDEX(科目表!$E$4:$E$81,MATCH($E1208,科目表!$B$4:$B$81,0)),""))</f>
        <v/>
      </c>
      <c r="H1208" s="70" t="str">
        <f aca="false">IF($E1208="","",N(INDEX(资金日记账!$N$4:$S$603,150,2)))</f>
        <v/>
      </c>
      <c r="I1208" s="70" t="str">
        <f aca="false">IF($E1208="","",N(INDEX(资金日记账!$N$4:$S$603,150,3)))</f>
        <v/>
      </c>
      <c r="J1208" s="67" t="str">
        <f aca="false">IF($E1208="","",INDEX(资金日记账!$E$4:$E$603,150))</f>
        <v/>
      </c>
      <c r="K1208" s="67" t="str">
        <f aca="false">IF($E1208="","",INDEX(资金日记账!$F$4:$F$603,150))</f>
        <v/>
      </c>
      <c r="L1208" s="107" t="str">
        <f aca="false">IF($E1208="","",INDEX(资金日记账!$X$4:$X$603,150))</f>
        <v/>
      </c>
      <c r="M1208" s="107"/>
      <c r="N1208" s="67" t="str">
        <f aca="false">IF($E1208="","",INDEX(资金日记账!$Y$4:$Y$603,150))</f>
        <v/>
      </c>
      <c r="O1208" s="67" t="str">
        <f aca="false">IF($E1208="","","自动B")</f>
        <v/>
      </c>
      <c r="P1208" s="18"/>
    </row>
    <row r="1209" customFormat="false" ht="18" hidden="false" customHeight="true" outlineLevel="0" collapsed="false">
      <c r="A1209" s="107" t="str">
        <f aca="false">IF($E1209="","",ROW()-3)</f>
        <v/>
      </c>
      <c r="B1209" s="110" t="str">
        <f aca="false">IF($E1209="","",INDEX(资金日记账!$B$4:$B$603,150))</f>
        <v/>
      </c>
      <c r="C1209" s="67" t="str">
        <f aca="false">IF($E1209="","",IF(INDEX(资金日记账!$W$4:$W$603,150)="","记-"&amp;TEXT($B1209,"YYYYMM")&amp;"-资金",INDEX(资金日记账!$W$4:$W$603,150)))</f>
        <v/>
      </c>
      <c r="D1209" s="107" t="str">
        <f aca="false">IF($E1209="","",INDEX(资金日记账!$D$4:$D$603,150))</f>
        <v/>
      </c>
      <c r="E1209" s="67" t="str">
        <f aca="false">IF(INDEX(资金日记账!$N$4:$S$603,150,4)=0,"",INDEX(资金日记账!$N$4:$S$603,150,4))</f>
        <v/>
      </c>
      <c r="F1209" s="99" t="str">
        <f aca="false">IF($E1209="","",IFERROR(INDEX(科目表!$A$4:$A$81,MATCH($E1209,科目表!$B$4:$B$81,0)),""))</f>
        <v/>
      </c>
      <c r="G1209" s="67" t="str">
        <f aca="false">IF($E1209="","",IFERROR(INDEX(科目表!$E$4:$E$81,MATCH($E1209,科目表!$B$4:$B$81,0)),""))</f>
        <v/>
      </c>
      <c r="H1209" s="70" t="str">
        <f aca="false">IF($E1209="","",N(INDEX(资金日记账!$N$4:$S$603,150,5)))</f>
        <v/>
      </c>
      <c r="I1209" s="70" t="str">
        <f aca="false">IF($E1209="","",N(INDEX(资金日记账!$N$4:$S$603,150,6)))</f>
        <v/>
      </c>
      <c r="J1209" s="67" t="str">
        <f aca="false">IF($E1209="","",INDEX(资金日记账!$E$4:$E$603,150))</f>
        <v/>
      </c>
      <c r="K1209" s="67" t="str">
        <f aca="false">IF($E1209="","",INDEX(资金日记账!$F$4:$F$603,150))</f>
        <v/>
      </c>
      <c r="L1209" s="107" t="str">
        <f aca="false">IF($E1209="","",INDEX(资金日记账!$X$4:$X$603,150))</f>
        <v/>
      </c>
      <c r="M1209" s="107"/>
      <c r="N1209" s="67" t="str">
        <f aca="false">IF($E1209="","",INDEX(资金日记账!$Y$4:$Y$603,150))</f>
        <v/>
      </c>
      <c r="O1209" s="67" t="str">
        <f aca="false">IF($E1209="","","自动B")</f>
        <v/>
      </c>
      <c r="P1209" s="18"/>
    </row>
    <row r="1210" customFormat="false" ht="18" hidden="false" customHeight="true" outlineLevel="0" collapsed="false">
      <c r="A1210" s="107" t="str">
        <f aca="false">IF($E1210="","",ROW()-3)</f>
        <v/>
      </c>
      <c r="B1210" s="110" t="str">
        <f aca="false">IF($E1210="","",INDEX(资金日记账!$B$4:$B$603,151))</f>
        <v/>
      </c>
      <c r="C1210" s="67" t="str">
        <f aca="false">IF($E1210="","",IF(INDEX(资金日记账!$W$4:$W$603,151)="","记-"&amp;TEXT($B1210,"YYYYMM")&amp;"-资金",INDEX(资金日记账!$W$4:$W$603,151)))</f>
        <v/>
      </c>
      <c r="D1210" s="107" t="str">
        <f aca="false">IF($E1210="","",INDEX(资金日记账!$D$4:$D$603,151))</f>
        <v/>
      </c>
      <c r="E1210" s="67" t="str">
        <f aca="false">IF(INDEX(资金日记账!$N$4:$S$603,151,1)=0,"",INDEX(资金日记账!$N$4:$S$603,151,1))</f>
        <v/>
      </c>
      <c r="F1210" s="99" t="str">
        <f aca="false">IF($E1210="","",IFERROR(INDEX(科目表!$A$4:$A$81,MATCH($E1210,科目表!$B$4:$B$81,0)),""))</f>
        <v/>
      </c>
      <c r="G1210" s="67" t="str">
        <f aca="false">IF($E1210="","",IFERROR(INDEX(科目表!$E$4:$E$81,MATCH($E1210,科目表!$B$4:$B$81,0)),""))</f>
        <v/>
      </c>
      <c r="H1210" s="70" t="str">
        <f aca="false">IF($E1210="","",N(INDEX(资金日记账!$N$4:$S$603,151,2)))</f>
        <v/>
      </c>
      <c r="I1210" s="70" t="str">
        <f aca="false">IF($E1210="","",N(INDEX(资金日记账!$N$4:$S$603,151,3)))</f>
        <v/>
      </c>
      <c r="J1210" s="67" t="str">
        <f aca="false">IF($E1210="","",INDEX(资金日记账!$E$4:$E$603,151))</f>
        <v/>
      </c>
      <c r="K1210" s="67" t="str">
        <f aca="false">IF($E1210="","",INDEX(资金日记账!$F$4:$F$603,151))</f>
        <v/>
      </c>
      <c r="L1210" s="107" t="str">
        <f aca="false">IF($E1210="","",INDEX(资金日记账!$X$4:$X$603,151))</f>
        <v/>
      </c>
      <c r="M1210" s="107"/>
      <c r="N1210" s="67" t="str">
        <f aca="false">IF($E1210="","",INDEX(资金日记账!$Y$4:$Y$603,151))</f>
        <v/>
      </c>
      <c r="O1210" s="67" t="str">
        <f aca="false">IF($E1210="","","自动B")</f>
        <v/>
      </c>
      <c r="P1210" s="18"/>
    </row>
    <row r="1211" customFormat="false" ht="18" hidden="false" customHeight="true" outlineLevel="0" collapsed="false">
      <c r="A1211" s="107" t="str">
        <f aca="false">IF($E1211="","",ROW()-3)</f>
        <v/>
      </c>
      <c r="B1211" s="110" t="str">
        <f aca="false">IF($E1211="","",INDEX(资金日记账!$B$4:$B$603,151))</f>
        <v/>
      </c>
      <c r="C1211" s="67" t="str">
        <f aca="false">IF($E1211="","",IF(INDEX(资金日记账!$W$4:$W$603,151)="","记-"&amp;TEXT($B1211,"YYYYMM")&amp;"-资金",INDEX(资金日记账!$W$4:$W$603,151)))</f>
        <v/>
      </c>
      <c r="D1211" s="107" t="str">
        <f aca="false">IF($E1211="","",INDEX(资金日记账!$D$4:$D$603,151))</f>
        <v/>
      </c>
      <c r="E1211" s="67" t="str">
        <f aca="false">IF(INDEX(资金日记账!$N$4:$S$603,151,4)=0,"",INDEX(资金日记账!$N$4:$S$603,151,4))</f>
        <v/>
      </c>
      <c r="F1211" s="99" t="str">
        <f aca="false">IF($E1211="","",IFERROR(INDEX(科目表!$A$4:$A$81,MATCH($E1211,科目表!$B$4:$B$81,0)),""))</f>
        <v/>
      </c>
      <c r="G1211" s="67" t="str">
        <f aca="false">IF($E1211="","",IFERROR(INDEX(科目表!$E$4:$E$81,MATCH($E1211,科目表!$B$4:$B$81,0)),""))</f>
        <v/>
      </c>
      <c r="H1211" s="70" t="str">
        <f aca="false">IF($E1211="","",N(INDEX(资金日记账!$N$4:$S$603,151,5)))</f>
        <v/>
      </c>
      <c r="I1211" s="70" t="str">
        <f aca="false">IF($E1211="","",N(INDEX(资金日记账!$N$4:$S$603,151,6)))</f>
        <v/>
      </c>
      <c r="J1211" s="67" t="str">
        <f aca="false">IF($E1211="","",INDEX(资金日记账!$E$4:$E$603,151))</f>
        <v/>
      </c>
      <c r="K1211" s="67" t="str">
        <f aca="false">IF($E1211="","",INDEX(资金日记账!$F$4:$F$603,151))</f>
        <v/>
      </c>
      <c r="L1211" s="107" t="str">
        <f aca="false">IF($E1211="","",INDEX(资金日记账!$X$4:$X$603,151))</f>
        <v/>
      </c>
      <c r="M1211" s="107"/>
      <c r="N1211" s="67" t="str">
        <f aca="false">IF($E1211="","",INDEX(资金日记账!$Y$4:$Y$603,151))</f>
        <v/>
      </c>
      <c r="O1211" s="67" t="str">
        <f aca="false">IF($E1211="","","自动B")</f>
        <v/>
      </c>
      <c r="P1211" s="18"/>
    </row>
    <row r="1212" customFormat="false" ht="18" hidden="false" customHeight="true" outlineLevel="0" collapsed="false">
      <c r="A1212" s="107" t="str">
        <f aca="false">IF($E1212="","",ROW()-3)</f>
        <v/>
      </c>
      <c r="B1212" s="110" t="str">
        <f aca="false">IF($E1212="","",INDEX(资金日记账!$B$4:$B$603,152))</f>
        <v/>
      </c>
      <c r="C1212" s="67" t="str">
        <f aca="false">IF($E1212="","",IF(INDEX(资金日记账!$W$4:$W$603,152)="","记-"&amp;TEXT($B1212,"YYYYMM")&amp;"-资金",INDEX(资金日记账!$W$4:$W$603,152)))</f>
        <v/>
      </c>
      <c r="D1212" s="107" t="str">
        <f aca="false">IF($E1212="","",INDEX(资金日记账!$D$4:$D$603,152))</f>
        <v/>
      </c>
      <c r="E1212" s="67" t="str">
        <f aca="false">IF(INDEX(资金日记账!$N$4:$S$603,152,1)=0,"",INDEX(资金日记账!$N$4:$S$603,152,1))</f>
        <v/>
      </c>
      <c r="F1212" s="99" t="str">
        <f aca="false">IF($E1212="","",IFERROR(INDEX(科目表!$A$4:$A$81,MATCH($E1212,科目表!$B$4:$B$81,0)),""))</f>
        <v/>
      </c>
      <c r="G1212" s="67" t="str">
        <f aca="false">IF($E1212="","",IFERROR(INDEX(科目表!$E$4:$E$81,MATCH($E1212,科目表!$B$4:$B$81,0)),""))</f>
        <v/>
      </c>
      <c r="H1212" s="70" t="str">
        <f aca="false">IF($E1212="","",N(INDEX(资金日记账!$N$4:$S$603,152,2)))</f>
        <v/>
      </c>
      <c r="I1212" s="70" t="str">
        <f aca="false">IF($E1212="","",N(INDEX(资金日记账!$N$4:$S$603,152,3)))</f>
        <v/>
      </c>
      <c r="J1212" s="67" t="str">
        <f aca="false">IF($E1212="","",INDEX(资金日记账!$E$4:$E$603,152))</f>
        <v/>
      </c>
      <c r="K1212" s="67" t="str">
        <f aca="false">IF($E1212="","",INDEX(资金日记账!$F$4:$F$603,152))</f>
        <v/>
      </c>
      <c r="L1212" s="107" t="str">
        <f aca="false">IF($E1212="","",INDEX(资金日记账!$X$4:$X$603,152))</f>
        <v/>
      </c>
      <c r="M1212" s="107"/>
      <c r="N1212" s="67" t="str">
        <f aca="false">IF($E1212="","",INDEX(资金日记账!$Y$4:$Y$603,152))</f>
        <v/>
      </c>
      <c r="O1212" s="67" t="str">
        <f aca="false">IF($E1212="","","自动B")</f>
        <v/>
      </c>
      <c r="P1212" s="18"/>
    </row>
    <row r="1213" customFormat="false" ht="18" hidden="false" customHeight="true" outlineLevel="0" collapsed="false">
      <c r="A1213" s="107" t="str">
        <f aca="false">IF($E1213="","",ROW()-3)</f>
        <v/>
      </c>
      <c r="B1213" s="110" t="str">
        <f aca="false">IF($E1213="","",INDEX(资金日记账!$B$4:$B$603,152))</f>
        <v/>
      </c>
      <c r="C1213" s="67" t="str">
        <f aca="false">IF($E1213="","",IF(INDEX(资金日记账!$W$4:$W$603,152)="","记-"&amp;TEXT($B1213,"YYYYMM")&amp;"-资金",INDEX(资金日记账!$W$4:$W$603,152)))</f>
        <v/>
      </c>
      <c r="D1213" s="107" t="str">
        <f aca="false">IF($E1213="","",INDEX(资金日记账!$D$4:$D$603,152))</f>
        <v/>
      </c>
      <c r="E1213" s="67" t="str">
        <f aca="false">IF(INDEX(资金日记账!$N$4:$S$603,152,4)=0,"",INDEX(资金日记账!$N$4:$S$603,152,4))</f>
        <v/>
      </c>
      <c r="F1213" s="99" t="str">
        <f aca="false">IF($E1213="","",IFERROR(INDEX(科目表!$A$4:$A$81,MATCH($E1213,科目表!$B$4:$B$81,0)),""))</f>
        <v/>
      </c>
      <c r="G1213" s="67" t="str">
        <f aca="false">IF($E1213="","",IFERROR(INDEX(科目表!$E$4:$E$81,MATCH($E1213,科目表!$B$4:$B$81,0)),""))</f>
        <v/>
      </c>
      <c r="H1213" s="70" t="str">
        <f aca="false">IF($E1213="","",N(INDEX(资金日记账!$N$4:$S$603,152,5)))</f>
        <v/>
      </c>
      <c r="I1213" s="70" t="str">
        <f aca="false">IF($E1213="","",N(INDEX(资金日记账!$N$4:$S$603,152,6)))</f>
        <v/>
      </c>
      <c r="J1213" s="67" t="str">
        <f aca="false">IF($E1213="","",INDEX(资金日记账!$E$4:$E$603,152))</f>
        <v/>
      </c>
      <c r="K1213" s="67" t="str">
        <f aca="false">IF($E1213="","",INDEX(资金日记账!$F$4:$F$603,152))</f>
        <v/>
      </c>
      <c r="L1213" s="107" t="str">
        <f aca="false">IF($E1213="","",INDEX(资金日记账!$X$4:$X$603,152))</f>
        <v/>
      </c>
      <c r="M1213" s="107"/>
      <c r="N1213" s="67" t="str">
        <f aca="false">IF($E1213="","",INDEX(资金日记账!$Y$4:$Y$603,152))</f>
        <v/>
      </c>
      <c r="O1213" s="67" t="str">
        <f aca="false">IF($E1213="","","自动B")</f>
        <v/>
      </c>
      <c r="P1213" s="18"/>
    </row>
    <row r="1214" customFormat="false" ht="18" hidden="false" customHeight="true" outlineLevel="0" collapsed="false">
      <c r="A1214" s="107" t="str">
        <f aca="false">IF($E1214="","",ROW()-3)</f>
        <v/>
      </c>
      <c r="B1214" s="110" t="str">
        <f aca="false">IF($E1214="","",INDEX(资金日记账!$B$4:$B$603,153))</f>
        <v/>
      </c>
      <c r="C1214" s="67" t="str">
        <f aca="false">IF($E1214="","",IF(INDEX(资金日记账!$W$4:$W$603,153)="","记-"&amp;TEXT($B1214,"YYYYMM")&amp;"-资金",INDEX(资金日记账!$W$4:$W$603,153)))</f>
        <v/>
      </c>
      <c r="D1214" s="107" t="str">
        <f aca="false">IF($E1214="","",INDEX(资金日记账!$D$4:$D$603,153))</f>
        <v/>
      </c>
      <c r="E1214" s="67" t="str">
        <f aca="false">IF(INDEX(资金日记账!$N$4:$S$603,153,1)=0,"",INDEX(资金日记账!$N$4:$S$603,153,1))</f>
        <v/>
      </c>
      <c r="F1214" s="99" t="str">
        <f aca="false">IF($E1214="","",IFERROR(INDEX(科目表!$A$4:$A$81,MATCH($E1214,科目表!$B$4:$B$81,0)),""))</f>
        <v/>
      </c>
      <c r="G1214" s="67" t="str">
        <f aca="false">IF($E1214="","",IFERROR(INDEX(科目表!$E$4:$E$81,MATCH($E1214,科目表!$B$4:$B$81,0)),""))</f>
        <v/>
      </c>
      <c r="H1214" s="70" t="str">
        <f aca="false">IF($E1214="","",N(INDEX(资金日记账!$N$4:$S$603,153,2)))</f>
        <v/>
      </c>
      <c r="I1214" s="70" t="str">
        <f aca="false">IF($E1214="","",N(INDEX(资金日记账!$N$4:$S$603,153,3)))</f>
        <v/>
      </c>
      <c r="J1214" s="67" t="str">
        <f aca="false">IF($E1214="","",INDEX(资金日记账!$E$4:$E$603,153))</f>
        <v/>
      </c>
      <c r="K1214" s="67" t="str">
        <f aca="false">IF($E1214="","",INDEX(资金日记账!$F$4:$F$603,153))</f>
        <v/>
      </c>
      <c r="L1214" s="107" t="str">
        <f aca="false">IF($E1214="","",INDEX(资金日记账!$X$4:$X$603,153))</f>
        <v/>
      </c>
      <c r="M1214" s="107"/>
      <c r="N1214" s="67" t="str">
        <f aca="false">IF($E1214="","",INDEX(资金日记账!$Y$4:$Y$603,153))</f>
        <v/>
      </c>
      <c r="O1214" s="67" t="str">
        <f aca="false">IF($E1214="","","自动B")</f>
        <v/>
      </c>
      <c r="P1214" s="18"/>
    </row>
    <row r="1215" customFormat="false" ht="18" hidden="false" customHeight="true" outlineLevel="0" collapsed="false">
      <c r="A1215" s="107" t="str">
        <f aca="false">IF($E1215="","",ROW()-3)</f>
        <v/>
      </c>
      <c r="B1215" s="110" t="str">
        <f aca="false">IF($E1215="","",INDEX(资金日记账!$B$4:$B$603,153))</f>
        <v/>
      </c>
      <c r="C1215" s="67" t="str">
        <f aca="false">IF($E1215="","",IF(INDEX(资金日记账!$W$4:$W$603,153)="","记-"&amp;TEXT($B1215,"YYYYMM")&amp;"-资金",INDEX(资金日记账!$W$4:$W$603,153)))</f>
        <v/>
      </c>
      <c r="D1215" s="107" t="str">
        <f aca="false">IF($E1215="","",INDEX(资金日记账!$D$4:$D$603,153))</f>
        <v/>
      </c>
      <c r="E1215" s="67" t="str">
        <f aca="false">IF(INDEX(资金日记账!$N$4:$S$603,153,4)=0,"",INDEX(资金日记账!$N$4:$S$603,153,4))</f>
        <v/>
      </c>
      <c r="F1215" s="99" t="str">
        <f aca="false">IF($E1215="","",IFERROR(INDEX(科目表!$A$4:$A$81,MATCH($E1215,科目表!$B$4:$B$81,0)),""))</f>
        <v/>
      </c>
      <c r="G1215" s="67" t="str">
        <f aca="false">IF($E1215="","",IFERROR(INDEX(科目表!$E$4:$E$81,MATCH($E1215,科目表!$B$4:$B$81,0)),""))</f>
        <v/>
      </c>
      <c r="H1215" s="70" t="str">
        <f aca="false">IF($E1215="","",N(INDEX(资金日记账!$N$4:$S$603,153,5)))</f>
        <v/>
      </c>
      <c r="I1215" s="70" t="str">
        <f aca="false">IF($E1215="","",N(INDEX(资金日记账!$N$4:$S$603,153,6)))</f>
        <v/>
      </c>
      <c r="J1215" s="67" t="str">
        <f aca="false">IF($E1215="","",INDEX(资金日记账!$E$4:$E$603,153))</f>
        <v/>
      </c>
      <c r="K1215" s="67" t="str">
        <f aca="false">IF($E1215="","",INDEX(资金日记账!$F$4:$F$603,153))</f>
        <v/>
      </c>
      <c r="L1215" s="107" t="str">
        <f aca="false">IF($E1215="","",INDEX(资金日记账!$X$4:$X$603,153))</f>
        <v/>
      </c>
      <c r="M1215" s="107"/>
      <c r="N1215" s="67" t="str">
        <f aca="false">IF($E1215="","",INDEX(资金日记账!$Y$4:$Y$603,153))</f>
        <v/>
      </c>
      <c r="O1215" s="67" t="str">
        <f aca="false">IF($E1215="","","自动B")</f>
        <v/>
      </c>
      <c r="P1215" s="18"/>
    </row>
    <row r="1216" customFormat="false" ht="18" hidden="false" customHeight="true" outlineLevel="0" collapsed="false">
      <c r="A1216" s="107" t="str">
        <f aca="false">IF($E1216="","",ROW()-3)</f>
        <v/>
      </c>
      <c r="B1216" s="110" t="str">
        <f aca="false">IF($E1216="","",INDEX(资金日记账!$B$4:$B$603,154))</f>
        <v/>
      </c>
      <c r="C1216" s="67" t="str">
        <f aca="false">IF($E1216="","",IF(INDEX(资金日记账!$W$4:$W$603,154)="","记-"&amp;TEXT($B1216,"YYYYMM")&amp;"-资金",INDEX(资金日记账!$W$4:$W$603,154)))</f>
        <v/>
      </c>
      <c r="D1216" s="107" t="str">
        <f aca="false">IF($E1216="","",INDEX(资金日记账!$D$4:$D$603,154))</f>
        <v/>
      </c>
      <c r="E1216" s="67" t="str">
        <f aca="false">IF(INDEX(资金日记账!$N$4:$S$603,154,1)=0,"",INDEX(资金日记账!$N$4:$S$603,154,1))</f>
        <v/>
      </c>
      <c r="F1216" s="99" t="str">
        <f aca="false">IF($E1216="","",IFERROR(INDEX(科目表!$A$4:$A$81,MATCH($E1216,科目表!$B$4:$B$81,0)),""))</f>
        <v/>
      </c>
      <c r="G1216" s="67" t="str">
        <f aca="false">IF($E1216="","",IFERROR(INDEX(科目表!$E$4:$E$81,MATCH($E1216,科目表!$B$4:$B$81,0)),""))</f>
        <v/>
      </c>
      <c r="H1216" s="70" t="str">
        <f aca="false">IF($E1216="","",N(INDEX(资金日记账!$N$4:$S$603,154,2)))</f>
        <v/>
      </c>
      <c r="I1216" s="70" t="str">
        <f aca="false">IF($E1216="","",N(INDEX(资金日记账!$N$4:$S$603,154,3)))</f>
        <v/>
      </c>
      <c r="J1216" s="67" t="str">
        <f aca="false">IF($E1216="","",INDEX(资金日记账!$E$4:$E$603,154))</f>
        <v/>
      </c>
      <c r="K1216" s="67" t="str">
        <f aca="false">IF($E1216="","",INDEX(资金日记账!$F$4:$F$603,154))</f>
        <v/>
      </c>
      <c r="L1216" s="107" t="str">
        <f aca="false">IF($E1216="","",INDEX(资金日记账!$X$4:$X$603,154))</f>
        <v/>
      </c>
      <c r="M1216" s="107"/>
      <c r="N1216" s="67" t="str">
        <f aca="false">IF($E1216="","",INDEX(资金日记账!$Y$4:$Y$603,154))</f>
        <v/>
      </c>
      <c r="O1216" s="67" t="str">
        <f aca="false">IF($E1216="","","自动B")</f>
        <v/>
      </c>
      <c r="P1216" s="18"/>
    </row>
    <row r="1217" customFormat="false" ht="18" hidden="false" customHeight="true" outlineLevel="0" collapsed="false">
      <c r="A1217" s="107" t="str">
        <f aca="false">IF($E1217="","",ROW()-3)</f>
        <v/>
      </c>
      <c r="B1217" s="110" t="str">
        <f aca="false">IF($E1217="","",INDEX(资金日记账!$B$4:$B$603,154))</f>
        <v/>
      </c>
      <c r="C1217" s="67" t="str">
        <f aca="false">IF($E1217="","",IF(INDEX(资金日记账!$W$4:$W$603,154)="","记-"&amp;TEXT($B1217,"YYYYMM")&amp;"-资金",INDEX(资金日记账!$W$4:$W$603,154)))</f>
        <v/>
      </c>
      <c r="D1217" s="107" t="str">
        <f aca="false">IF($E1217="","",INDEX(资金日记账!$D$4:$D$603,154))</f>
        <v/>
      </c>
      <c r="E1217" s="67" t="str">
        <f aca="false">IF(INDEX(资金日记账!$N$4:$S$603,154,4)=0,"",INDEX(资金日记账!$N$4:$S$603,154,4))</f>
        <v/>
      </c>
      <c r="F1217" s="99" t="str">
        <f aca="false">IF($E1217="","",IFERROR(INDEX(科目表!$A$4:$A$81,MATCH($E1217,科目表!$B$4:$B$81,0)),""))</f>
        <v/>
      </c>
      <c r="G1217" s="67" t="str">
        <f aca="false">IF($E1217="","",IFERROR(INDEX(科目表!$E$4:$E$81,MATCH($E1217,科目表!$B$4:$B$81,0)),""))</f>
        <v/>
      </c>
      <c r="H1217" s="70" t="str">
        <f aca="false">IF($E1217="","",N(INDEX(资金日记账!$N$4:$S$603,154,5)))</f>
        <v/>
      </c>
      <c r="I1217" s="70" t="str">
        <f aca="false">IF($E1217="","",N(INDEX(资金日记账!$N$4:$S$603,154,6)))</f>
        <v/>
      </c>
      <c r="J1217" s="67" t="str">
        <f aca="false">IF($E1217="","",INDEX(资金日记账!$E$4:$E$603,154))</f>
        <v/>
      </c>
      <c r="K1217" s="67" t="str">
        <f aca="false">IF($E1217="","",INDEX(资金日记账!$F$4:$F$603,154))</f>
        <v/>
      </c>
      <c r="L1217" s="107" t="str">
        <f aca="false">IF($E1217="","",INDEX(资金日记账!$X$4:$X$603,154))</f>
        <v/>
      </c>
      <c r="M1217" s="107"/>
      <c r="N1217" s="67" t="str">
        <f aca="false">IF($E1217="","",INDEX(资金日记账!$Y$4:$Y$603,154))</f>
        <v/>
      </c>
      <c r="O1217" s="67" t="str">
        <f aca="false">IF($E1217="","","自动B")</f>
        <v/>
      </c>
      <c r="P1217" s="18"/>
    </row>
    <row r="1218" customFormat="false" ht="18" hidden="false" customHeight="true" outlineLevel="0" collapsed="false">
      <c r="A1218" s="107" t="str">
        <f aca="false">IF($E1218="","",ROW()-3)</f>
        <v/>
      </c>
      <c r="B1218" s="110" t="str">
        <f aca="false">IF($E1218="","",INDEX(资金日记账!$B$4:$B$603,155))</f>
        <v/>
      </c>
      <c r="C1218" s="67" t="str">
        <f aca="false">IF($E1218="","",IF(INDEX(资金日记账!$W$4:$W$603,155)="","记-"&amp;TEXT($B1218,"YYYYMM")&amp;"-资金",INDEX(资金日记账!$W$4:$W$603,155)))</f>
        <v/>
      </c>
      <c r="D1218" s="107" t="str">
        <f aca="false">IF($E1218="","",INDEX(资金日记账!$D$4:$D$603,155))</f>
        <v/>
      </c>
      <c r="E1218" s="67" t="str">
        <f aca="false">IF(INDEX(资金日记账!$N$4:$S$603,155,1)=0,"",INDEX(资金日记账!$N$4:$S$603,155,1))</f>
        <v/>
      </c>
      <c r="F1218" s="99" t="str">
        <f aca="false">IF($E1218="","",IFERROR(INDEX(科目表!$A$4:$A$81,MATCH($E1218,科目表!$B$4:$B$81,0)),""))</f>
        <v/>
      </c>
      <c r="G1218" s="67" t="str">
        <f aca="false">IF($E1218="","",IFERROR(INDEX(科目表!$E$4:$E$81,MATCH($E1218,科目表!$B$4:$B$81,0)),""))</f>
        <v/>
      </c>
      <c r="H1218" s="70" t="str">
        <f aca="false">IF($E1218="","",N(INDEX(资金日记账!$N$4:$S$603,155,2)))</f>
        <v/>
      </c>
      <c r="I1218" s="70" t="str">
        <f aca="false">IF($E1218="","",N(INDEX(资金日记账!$N$4:$S$603,155,3)))</f>
        <v/>
      </c>
      <c r="J1218" s="67" t="str">
        <f aca="false">IF($E1218="","",INDEX(资金日记账!$E$4:$E$603,155))</f>
        <v/>
      </c>
      <c r="K1218" s="67" t="str">
        <f aca="false">IF($E1218="","",INDEX(资金日记账!$F$4:$F$603,155))</f>
        <v/>
      </c>
      <c r="L1218" s="107" t="str">
        <f aca="false">IF($E1218="","",INDEX(资金日记账!$X$4:$X$603,155))</f>
        <v/>
      </c>
      <c r="M1218" s="107"/>
      <c r="N1218" s="67" t="str">
        <f aca="false">IF($E1218="","",INDEX(资金日记账!$Y$4:$Y$603,155))</f>
        <v/>
      </c>
      <c r="O1218" s="67" t="str">
        <f aca="false">IF($E1218="","","自动B")</f>
        <v/>
      </c>
      <c r="P1218" s="18"/>
    </row>
    <row r="1219" customFormat="false" ht="18" hidden="false" customHeight="true" outlineLevel="0" collapsed="false">
      <c r="A1219" s="107" t="str">
        <f aca="false">IF($E1219="","",ROW()-3)</f>
        <v/>
      </c>
      <c r="B1219" s="110" t="str">
        <f aca="false">IF($E1219="","",INDEX(资金日记账!$B$4:$B$603,155))</f>
        <v/>
      </c>
      <c r="C1219" s="67" t="str">
        <f aca="false">IF($E1219="","",IF(INDEX(资金日记账!$W$4:$W$603,155)="","记-"&amp;TEXT($B1219,"YYYYMM")&amp;"-资金",INDEX(资金日记账!$W$4:$W$603,155)))</f>
        <v/>
      </c>
      <c r="D1219" s="107" t="str">
        <f aca="false">IF($E1219="","",INDEX(资金日记账!$D$4:$D$603,155))</f>
        <v/>
      </c>
      <c r="E1219" s="67" t="str">
        <f aca="false">IF(INDEX(资金日记账!$N$4:$S$603,155,4)=0,"",INDEX(资金日记账!$N$4:$S$603,155,4))</f>
        <v/>
      </c>
      <c r="F1219" s="99" t="str">
        <f aca="false">IF($E1219="","",IFERROR(INDEX(科目表!$A$4:$A$81,MATCH($E1219,科目表!$B$4:$B$81,0)),""))</f>
        <v/>
      </c>
      <c r="G1219" s="67" t="str">
        <f aca="false">IF($E1219="","",IFERROR(INDEX(科目表!$E$4:$E$81,MATCH($E1219,科目表!$B$4:$B$81,0)),""))</f>
        <v/>
      </c>
      <c r="H1219" s="70" t="str">
        <f aca="false">IF($E1219="","",N(INDEX(资金日记账!$N$4:$S$603,155,5)))</f>
        <v/>
      </c>
      <c r="I1219" s="70" t="str">
        <f aca="false">IF($E1219="","",N(INDEX(资金日记账!$N$4:$S$603,155,6)))</f>
        <v/>
      </c>
      <c r="J1219" s="67" t="str">
        <f aca="false">IF($E1219="","",INDEX(资金日记账!$E$4:$E$603,155))</f>
        <v/>
      </c>
      <c r="K1219" s="67" t="str">
        <f aca="false">IF($E1219="","",INDEX(资金日记账!$F$4:$F$603,155))</f>
        <v/>
      </c>
      <c r="L1219" s="107" t="str">
        <f aca="false">IF($E1219="","",INDEX(资金日记账!$X$4:$X$603,155))</f>
        <v/>
      </c>
      <c r="M1219" s="107"/>
      <c r="N1219" s="67" t="str">
        <f aca="false">IF($E1219="","",INDEX(资金日记账!$Y$4:$Y$603,155))</f>
        <v/>
      </c>
      <c r="O1219" s="67" t="str">
        <f aca="false">IF($E1219="","","自动B")</f>
        <v/>
      </c>
      <c r="P1219" s="18"/>
    </row>
    <row r="1220" customFormat="false" ht="18" hidden="false" customHeight="true" outlineLevel="0" collapsed="false">
      <c r="A1220" s="107" t="str">
        <f aca="false">IF($E1220="","",ROW()-3)</f>
        <v/>
      </c>
      <c r="B1220" s="110" t="str">
        <f aca="false">IF($E1220="","",INDEX(资金日记账!$B$4:$B$603,156))</f>
        <v/>
      </c>
      <c r="C1220" s="67" t="str">
        <f aca="false">IF($E1220="","",IF(INDEX(资金日记账!$W$4:$W$603,156)="","记-"&amp;TEXT($B1220,"YYYYMM")&amp;"-资金",INDEX(资金日记账!$W$4:$W$603,156)))</f>
        <v/>
      </c>
      <c r="D1220" s="107" t="str">
        <f aca="false">IF($E1220="","",INDEX(资金日记账!$D$4:$D$603,156))</f>
        <v/>
      </c>
      <c r="E1220" s="67" t="str">
        <f aca="false">IF(INDEX(资金日记账!$N$4:$S$603,156,1)=0,"",INDEX(资金日记账!$N$4:$S$603,156,1))</f>
        <v/>
      </c>
      <c r="F1220" s="99" t="str">
        <f aca="false">IF($E1220="","",IFERROR(INDEX(科目表!$A$4:$A$81,MATCH($E1220,科目表!$B$4:$B$81,0)),""))</f>
        <v/>
      </c>
      <c r="G1220" s="67" t="str">
        <f aca="false">IF($E1220="","",IFERROR(INDEX(科目表!$E$4:$E$81,MATCH($E1220,科目表!$B$4:$B$81,0)),""))</f>
        <v/>
      </c>
      <c r="H1220" s="70" t="str">
        <f aca="false">IF($E1220="","",N(INDEX(资金日记账!$N$4:$S$603,156,2)))</f>
        <v/>
      </c>
      <c r="I1220" s="70" t="str">
        <f aca="false">IF($E1220="","",N(INDEX(资金日记账!$N$4:$S$603,156,3)))</f>
        <v/>
      </c>
      <c r="J1220" s="67" t="str">
        <f aca="false">IF($E1220="","",INDEX(资金日记账!$E$4:$E$603,156))</f>
        <v/>
      </c>
      <c r="K1220" s="67" t="str">
        <f aca="false">IF($E1220="","",INDEX(资金日记账!$F$4:$F$603,156))</f>
        <v/>
      </c>
      <c r="L1220" s="107" t="str">
        <f aca="false">IF($E1220="","",INDEX(资金日记账!$X$4:$X$603,156))</f>
        <v/>
      </c>
      <c r="M1220" s="107"/>
      <c r="N1220" s="67" t="str">
        <f aca="false">IF($E1220="","",INDEX(资金日记账!$Y$4:$Y$603,156))</f>
        <v/>
      </c>
      <c r="O1220" s="67" t="str">
        <f aca="false">IF($E1220="","","自动B")</f>
        <v/>
      </c>
      <c r="P1220" s="18"/>
    </row>
    <row r="1221" customFormat="false" ht="18" hidden="false" customHeight="true" outlineLevel="0" collapsed="false">
      <c r="A1221" s="107" t="str">
        <f aca="false">IF($E1221="","",ROW()-3)</f>
        <v/>
      </c>
      <c r="B1221" s="110" t="str">
        <f aca="false">IF($E1221="","",INDEX(资金日记账!$B$4:$B$603,156))</f>
        <v/>
      </c>
      <c r="C1221" s="67" t="str">
        <f aca="false">IF($E1221="","",IF(INDEX(资金日记账!$W$4:$W$603,156)="","记-"&amp;TEXT($B1221,"YYYYMM")&amp;"-资金",INDEX(资金日记账!$W$4:$W$603,156)))</f>
        <v/>
      </c>
      <c r="D1221" s="107" t="str">
        <f aca="false">IF($E1221="","",INDEX(资金日记账!$D$4:$D$603,156))</f>
        <v/>
      </c>
      <c r="E1221" s="67" t="str">
        <f aca="false">IF(INDEX(资金日记账!$N$4:$S$603,156,4)=0,"",INDEX(资金日记账!$N$4:$S$603,156,4))</f>
        <v/>
      </c>
      <c r="F1221" s="99" t="str">
        <f aca="false">IF($E1221="","",IFERROR(INDEX(科目表!$A$4:$A$81,MATCH($E1221,科目表!$B$4:$B$81,0)),""))</f>
        <v/>
      </c>
      <c r="G1221" s="67" t="str">
        <f aca="false">IF($E1221="","",IFERROR(INDEX(科目表!$E$4:$E$81,MATCH($E1221,科目表!$B$4:$B$81,0)),""))</f>
        <v/>
      </c>
      <c r="H1221" s="70" t="str">
        <f aca="false">IF($E1221="","",N(INDEX(资金日记账!$N$4:$S$603,156,5)))</f>
        <v/>
      </c>
      <c r="I1221" s="70" t="str">
        <f aca="false">IF($E1221="","",N(INDEX(资金日记账!$N$4:$S$603,156,6)))</f>
        <v/>
      </c>
      <c r="J1221" s="67" t="str">
        <f aca="false">IF($E1221="","",INDEX(资金日记账!$E$4:$E$603,156))</f>
        <v/>
      </c>
      <c r="K1221" s="67" t="str">
        <f aca="false">IF($E1221="","",INDEX(资金日记账!$F$4:$F$603,156))</f>
        <v/>
      </c>
      <c r="L1221" s="107" t="str">
        <f aca="false">IF($E1221="","",INDEX(资金日记账!$X$4:$X$603,156))</f>
        <v/>
      </c>
      <c r="M1221" s="107"/>
      <c r="N1221" s="67" t="str">
        <f aca="false">IF($E1221="","",INDEX(资金日记账!$Y$4:$Y$603,156))</f>
        <v/>
      </c>
      <c r="O1221" s="67" t="str">
        <f aca="false">IF($E1221="","","自动B")</f>
        <v/>
      </c>
      <c r="P1221" s="18"/>
    </row>
    <row r="1222" customFormat="false" ht="18" hidden="false" customHeight="true" outlineLevel="0" collapsed="false">
      <c r="A1222" s="107" t="str">
        <f aca="false">IF($E1222="","",ROW()-3)</f>
        <v/>
      </c>
      <c r="B1222" s="110" t="str">
        <f aca="false">IF($E1222="","",INDEX(资金日记账!$B$4:$B$603,157))</f>
        <v/>
      </c>
      <c r="C1222" s="67" t="str">
        <f aca="false">IF($E1222="","",IF(INDEX(资金日记账!$W$4:$W$603,157)="","记-"&amp;TEXT($B1222,"YYYYMM")&amp;"-资金",INDEX(资金日记账!$W$4:$W$603,157)))</f>
        <v/>
      </c>
      <c r="D1222" s="107" t="str">
        <f aca="false">IF($E1222="","",INDEX(资金日记账!$D$4:$D$603,157))</f>
        <v/>
      </c>
      <c r="E1222" s="67" t="str">
        <f aca="false">IF(INDEX(资金日记账!$N$4:$S$603,157,1)=0,"",INDEX(资金日记账!$N$4:$S$603,157,1))</f>
        <v/>
      </c>
      <c r="F1222" s="99" t="str">
        <f aca="false">IF($E1222="","",IFERROR(INDEX(科目表!$A$4:$A$81,MATCH($E1222,科目表!$B$4:$B$81,0)),""))</f>
        <v/>
      </c>
      <c r="G1222" s="67" t="str">
        <f aca="false">IF($E1222="","",IFERROR(INDEX(科目表!$E$4:$E$81,MATCH($E1222,科目表!$B$4:$B$81,0)),""))</f>
        <v/>
      </c>
      <c r="H1222" s="70" t="str">
        <f aca="false">IF($E1222="","",N(INDEX(资金日记账!$N$4:$S$603,157,2)))</f>
        <v/>
      </c>
      <c r="I1222" s="70" t="str">
        <f aca="false">IF($E1222="","",N(INDEX(资金日记账!$N$4:$S$603,157,3)))</f>
        <v/>
      </c>
      <c r="J1222" s="67" t="str">
        <f aca="false">IF($E1222="","",INDEX(资金日记账!$E$4:$E$603,157))</f>
        <v/>
      </c>
      <c r="K1222" s="67" t="str">
        <f aca="false">IF($E1222="","",INDEX(资金日记账!$F$4:$F$603,157))</f>
        <v/>
      </c>
      <c r="L1222" s="107" t="str">
        <f aca="false">IF($E1222="","",INDEX(资金日记账!$X$4:$X$603,157))</f>
        <v/>
      </c>
      <c r="M1222" s="107"/>
      <c r="N1222" s="67" t="str">
        <f aca="false">IF($E1222="","",INDEX(资金日记账!$Y$4:$Y$603,157))</f>
        <v/>
      </c>
      <c r="O1222" s="67" t="str">
        <f aca="false">IF($E1222="","","自动B")</f>
        <v/>
      </c>
      <c r="P1222" s="18"/>
    </row>
    <row r="1223" customFormat="false" ht="18" hidden="false" customHeight="true" outlineLevel="0" collapsed="false">
      <c r="A1223" s="107" t="str">
        <f aca="false">IF($E1223="","",ROW()-3)</f>
        <v/>
      </c>
      <c r="B1223" s="110" t="str">
        <f aca="false">IF($E1223="","",INDEX(资金日记账!$B$4:$B$603,157))</f>
        <v/>
      </c>
      <c r="C1223" s="67" t="str">
        <f aca="false">IF($E1223="","",IF(INDEX(资金日记账!$W$4:$W$603,157)="","记-"&amp;TEXT($B1223,"YYYYMM")&amp;"-资金",INDEX(资金日记账!$W$4:$W$603,157)))</f>
        <v/>
      </c>
      <c r="D1223" s="107" t="str">
        <f aca="false">IF($E1223="","",INDEX(资金日记账!$D$4:$D$603,157))</f>
        <v/>
      </c>
      <c r="E1223" s="67" t="str">
        <f aca="false">IF(INDEX(资金日记账!$N$4:$S$603,157,4)=0,"",INDEX(资金日记账!$N$4:$S$603,157,4))</f>
        <v/>
      </c>
      <c r="F1223" s="99" t="str">
        <f aca="false">IF($E1223="","",IFERROR(INDEX(科目表!$A$4:$A$81,MATCH($E1223,科目表!$B$4:$B$81,0)),""))</f>
        <v/>
      </c>
      <c r="G1223" s="67" t="str">
        <f aca="false">IF($E1223="","",IFERROR(INDEX(科目表!$E$4:$E$81,MATCH($E1223,科目表!$B$4:$B$81,0)),""))</f>
        <v/>
      </c>
      <c r="H1223" s="70" t="str">
        <f aca="false">IF($E1223="","",N(INDEX(资金日记账!$N$4:$S$603,157,5)))</f>
        <v/>
      </c>
      <c r="I1223" s="70" t="str">
        <f aca="false">IF($E1223="","",N(INDEX(资金日记账!$N$4:$S$603,157,6)))</f>
        <v/>
      </c>
      <c r="J1223" s="67" t="str">
        <f aca="false">IF($E1223="","",INDEX(资金日记账!$E$4:$E$603,157))</f>
        <v/>
      </c>
      <c r="K1223" s="67" t="str">
        <f aca="false">IF($E1223="","",INDEX(资金日记账!$F$4:$F$603,157))</f>
        <v/>
      </c>
      <c r="L1223" s="107" t="str">
        <f aca="false">IF($E1223="","",INDEX(资金日记账!$X$4:$X$603,157))</f>
        <v/>
      </c>
      <c r="M1223" s="107"/>
      <c r="N1223" s="67" t="str">
        <f aca="false">IF($E1223="","",INDEX(资金日记账!$Y$4:$Y$603,157))</f>
        <v/>
      </c>
      <c r="O1223" s="67" t="str">
        <f aca="false">IF($E1223="","","自动B")</f>
        <v/>
      </c>
      <c r="P1223" s="18"/>
    </row>
    <row r="1224" customFormat="false" ht="18" hidden="false" customHeight="true" outlineLevel="0" collapsed="false">
      <c r="A1224" s="107" t="str">
        <f aca="false">IF($E1224="","",ROW()-3)</f>
        <v/>
      </c>
      <c r="B1224" s="110" t="str">
        <f aca="false">IF($E1224="","",INDEX(资金日记账!$B$4:$B$603,158))</f>
        <v/>
      </c>
      <c r="C1224" s="67" t="str">
        <f aca="false">IF($E1224="","",IF(INDEX(资金日记账!$W$4:$W$603,158)="","记-"&amp;TEXT($B1224,"YYYYMM")&amp;"-资金",INDEX(资金日记账!$W$4:$W$603,158)))</f>
        <v/>
      </c>
      <c r="D1224" s="107" t="str">
        <f aca="false">IF($E1224="","",INDEX(资金日记账!$D$4:$D$603,158))</f>
        <v/>
      </c>
      <c r="E1224" s="67" t="str">
        <f aca="false">IF(INDEX(资金日记账!$N$4:$S$603,158,1)=0,"",INDEX(资金日记账!$N$4:$S$603,158,1))</f>
        <v/>
      </c>
      <c r="F1224" s="99" t="str">
        <f aca="false">IF($E1224="","",IFERROR(INDEX(科目表!$A$4:$A$81,MATCH($E1224,科目表!$B$4:$B$81,0)),""))</f>
        <v/>
      </c>
      <c r="G1224" s="67" t="str">
        <f aca="false">IF($E1224="","",IFERROR(INDEX(科目表!$E$4:$E$81,MATCH($E1224,科目表!$B$4:$B$81,0)),""))</f>
        <v/>
      </c>
      <c r="H1224" s="70" t="str">
        <f aca="false">IF($E1224="","",N(INDEX(资金日记账!$N$4:$S$603,158,2)))</f>
        <v/>
      </c>
      <c r="I1224" s="70" t="str">
        <f aca="false">IF($E1224="","",N(INDEX(资金日记账!$N$4:$S$603,158,3)))</f>
        <v/>
      </c>
      <c r="J1224" s="67" t="str">
        <f aca="false">IF($E1224="","",INDEX(资金日记账!$E$4:$E$603,158))</f>
        <v/>
      </c>
      <c r="K1224" s="67" t="str">
        <f aca="false">IF($E1224="","",INDEX(资金日记账!$F$4:$F$603,158))</f>
        <v/>
      </c>
      <c r="L1224" s="107" t="str">
        <f aca="false">IF($E1224="","",INDEX(资金日记账!$X$4:$X$603,158))</f>
        <v/>
      </c>
      <c r="M1224" s="107"/>
      <c r="N1224" s="67" t="str">
        <f aca="false">IF($E1224="","",INDEX(资金日记账!$Y$4:$Y$603,158))</f>
        <v/>
      </c>
      <c r="O1224" s="67" t="str">
        <f aca="false">IF($E1224="","","自动B")</f>
        <v/>
      </c>
      <c r="P1224" s="18"/>
    </row>
    <row r="1225" customFormat="false" ht="18" hidden="false" customHeight="true" outlineLevel="0" collapsed="false">
      <c r="A1225" s="107" t="str">
        <f aca="false">IF($E1225="","",ROW()-3)</f>
        <v/>
      </c>
      <c r="B1225" s="110" t="str">
        <f aca="false">IF($E1225="","",INDEX(资金日记账!$B$4:$B$603,158))</f>
        <v/>
      </c>
      <c r="C1225" s="67" t="str">
        <f aca="false">IF($E1225="","",IF(INDEX(资金日记账!$W$4:$W$603,158)="","记-"&amp;TEXT($B1225,"YYYYMM")&amp;"-资金",INDEX(资金日记账!$W$4:$W$603,158)))</f>
        <v/>
      </c>
      <c r="D1225" s="107" t="str">
        <f aca="false">IF($E1225="","",INDEX(资金日记账!$D$4:$D$603,158))</f>
        <v/>
      </c>
      <c r="E1225" s="67" t="str">
        <f aca="false">IF(INDEX(资金日记账!$N$4:$S$603,158,4)=0,"",INDEX(资金日记账!$N$4:$S$603,158,4))</f>
        <v/>
      </c>
      <c r="F1225" s="99" t="str">
        <f aca="false">IF($E1225="","",IFERROR(INDEX(科目表!$A$4:$A$81,MATCH($E1225,科目表!$B$4:$B$81,0)),""))</f>
        <v/>
      </c>
      <c r="G1225" s="67" t="str">
        <f aca="false">IF($E1225="","",IFERROR(INDEX(科目表!$E$4:$E$81,MATCH($E1225,科目表!$B$4:$B$81,0)),""))</f>
        <v/>
      </c>
      <c r="H1225" s="70" t="str">
        <f aca="false">IF($E1225="","",N(INDEX(资金日记账!$N$4:$S$603,158,5)))</f>
        <v/>
      </c>
      <c r="I1225" s="70" t="str">
        <f aca="false">IF($E1225="","",N(INDEX(资金日记账!$N$4:$S$603,158,6)))</f>
        <v/>
      </c>
      <c r="J1225" s="67" t="str">
        <f aca="false">IF($E1225="","",INDEX(资金日记账!$E$4:$E$603,158))</f>
        <v/>
      </c>
      <c r="K1225" s="67" t="str">
        <f aca="false">IF($E1225="","",INDEX(资金日记账!$F$4:$F$603,158))</f>
        <v/>
      </c>
      <c r="L1225" s="107" t="str">
        <f aca="false">IF($E1225="","",INDEX(资金日记账!$X$4:$X$603,158))</f>
        <v/>
      </c>
      <c r="M1225" s="107"/>
      <c r="N1225" s="67" t="str">
        <f aca="false">IF($E1225="","",INDEX(资金日记账!$Y$4:$Y$603,158))</f>
        <v/>
      </c>
      <c r="O1225" s="67" t="str">
        <f aca="false">IF($E1225="","","自动B")</f>
        <v/>
      </c>
      <c r="P1225" s="18"/>
    </row>
    <row r="1226" customFormat="false" ht="18" hidden="false" customHeight="true" outlineLevel="0" collapsed="false">
      <c r="A1226" s="107" t="str">
        <f aca="false">IF($E1226="","",ROW()-3)</f>
        <v/>
      </c>
      <c r="B1226" s="110" t="str">
        <f aca="false">IF($E1226="","",INDEX(资金日记账!$B$4:$B$603,159))</f>
        <v/>
      </c>
      <c r="C1226" s="67" t="str">
        <f aca="false">IF($E1226="","",IF(INDEX(资金日记账!$W$4:$W$603,159)="","记-"&amp;TEXT($B1226,"YYYYMM")&amp;"-资金",INDEX(资金日记账!$W$4:$W$603,159)))</f>
        <v/>
      </c>
      <c r="D1226" s="107" t="str">
        <f aca="false">IF($E1226="","",INDEX(资金日记账!$D$4:$D$603,159))</f>
        <v/>
      </c>
      <c r="E1226" s="67" t="str">
        <f aca="false">IF(INDEX(资金日记账!$N$4:$S$603,159,1)=0,"",INDEX(资金日记账!$N$4:$S$603,159,1))</f>
        <v/>
      </c>
      <c r="F1226" s="99" t="str">
        <f aca="false">IF($E1226="","",IFERROR(INDEX(科目表!$A$4:$A$81,MATCH($E1226,科目表!$B$4:$B$81,0)),""))</f>
        <v/>
      </c>
      <c r="G1226" s="67" t="str">
        <f aca="false">IF($E1226="","",IFERROR(INDEX(科目表!$E$4:$E$81,MATCH($E1226,科目表!$B$4:$B$81,0)),""))</f>
        <v/>
      </c>
      <c r="H1226" s="70" t="str">
        <f aca="false">IF($E1226="","",N(INDEX(资金日记账!$N$4:$S$603,159,2)))</f>
        <v/>
      </c>
      <c r="I1226" s="70" t="str">
        <f aca="false">IF($E1226="","",N(INDEX(资金日记账!$N$4:$S$603,159,3)))</f>
        <v/>
      </c>
      <c r="J1226" s="67" t="str">
        <f aca="false">IF($E1226="","",INDEX(资金日记账!$E$4:$E$603,159))</f>
        <v/>
      </c>
      <c r="K1226" s="67" t="str">
        <f aca="false">IF($E1226="","",INDEX(资金日记账!$F$4:$F$603,159))</f>
        <v/>
      </c>
      <c r="L1226" s="107" t="str">
        <f aca="false">IF($E1226="","",INDEX(资金日记账!$X$4:$X$603,159))</f>
        <v/>
      </c>
      <c r="M1226" s="107"/>
      <c r="N1226" s="67" t="str">
        <f aca="false">IF($E1226="","",INDEX(资金日记账!$Y$4:$Y$603,159))</f>
        <v/>
      </c>
      <c r="O1226" s="67" t="str">
        <f aca="false">IF($E1226="","","自动B")</f>
        <v/>
      </c>
      <c r="P1226" s="18"/>
    </row>
    <row r="1227" customFormat="false" ht="18" hidden="false" customHeight="true" outlineLevel="0" collapsed="false">
      <c r="A1227" s="107" t="str">
        <f aca="false">IF($E1227="","",ROW()-3)</f>
        <v/>
      </c>
      <c r="B1227" s="110" t="str">
        <f aca="false">IF($E1227="","",INDEX(资金日记账!$B$4:$B$603,159))</f>
        <v/>
      </c>
      <c r="C1227" s="67" t="str">
        <f aca="false">IF($E1227="","",IF(INDEX(资金日记账!$W$4:$W$603,159)="","记-"&amp;TEXT($B1227,"YYYYMM")&amp;"-资金",INDEX(资金日记账!$W$4:$W$603,159)))</f>
        <v/>
      </c>
      <c r="D1227" s="107" t="str">
        <f aca="false">IF($E1227="","",INDEX(资金日记账!$D$4:$D$603,159))</f>
        <v/>
      </c>
      <c r="E1227" s="67" t="str">
        <f aca="false">IF(INDEX(资金日记账!$N$4:$S$603,159,4)=0,"",INDEX(资金日记账!$N$4:$S$603,159,4))</f>
        <v/>
      </c>
      <c r="F1227" s="99" t="str">
        <f aca="false">IF($E1227="","",IFERROR(INDEX(科目表!$A$4:$A$81,MATCH($E1227,科目表!$B$4:$B$81,0)),""))</f>
        <v/>
      </c>
      <c r="G1227" s="67" t="str">
        <f aca="false">IF($E1227="","",IFERROR(INDEX(科目表!$E$4:$E$81,MATCH($E1227,科目表!$B$4:$B$81,0)),""))</f>
        <v/>
      </c>
      <c r="H1227" s="70" t="str">
        <f aca="false">IF($E1227="","",N(INDEX(资金日记账!$N$4:$S$603,159,5)))</f>
        <v/>
      </c>
      <c r="I1227" s="70" t="str">
        <f aca="false">IF($E1227="","",N(INDEX(资金日记账!$N$4:$S$603,159,6)))</f>
        <v/>
      </c>
      <c r="J1227" s="67" t="str">
        <f aca="false">IF($E1227="","",INDEX(资金日记账!$E$4:$E$603,159))</f>
        <v/>
      </c>
      <c r="K1227" s="67" t="str">
        <f aca="false">IF($E1227="","",INDEX(资金日记账!$F$4:$F$603,159))</f>
        <v/>
      </c>
      <c r="L1227" s="107" t="str">
        <f aca="false">IF($E1227="","",INDEX(资金日记账!$X$4:$X$603,159))</f>
        <v/>
      </c>
      <c r="M1227" s="107"/>
      <c r="N1227" s="67" t="str">
        <f aca="false">IF($E1227="","",INDEX(资金日记账!$Y$4:$Y$603,159))</f>
        <v/>
      </c>
      <c r="O1227" s="67" t="str">
        <f aca="false">IF($E1227="","","自动B")</f>
        <v/>
      </c>
      <c r="P1227" s="18"/>
    </row>
    <row r="1228" customFormat="false" ht="18" hidden="false" customHeight="true" outlineLevel="0" collapsed="false">
      <c r="A1228" s="107" t="str">
        <f aca="false">IF($E1228="","",ROW()-3)</f>
        <v/>
      </c>
      <c r="B1228" s="110" t="str">
        <f aca="false">IF($E1228="","",INDEX(资金日记账!$B$4:$B$603,160))</f>
        <v/>
      </c>
      <c r="C1228" s="67" t="str">
        <f aca="false">IF($E1228="","",IF(INDEX(资金日记账!$W$4:$W$603,160)="","记-"&amp;TEXT($B1228,"YYYYMM")&amp;"-资金",INDEX(资金日记账!$W$4:$W$603,160)))</f>
        <v/>
      </c>
      <c r="D1228" s="107" t="str">
        <f aca="false">IF($E1228="","",INDEX(资金日记账!$D$4:$D$603,160))</f>
        <v/>
      </c>
      <c r="E1228" s="67" t="str">
        <f aca="false">IF(INDEX(资金日记账!$N$4:$S$603,160,1)=0,"",INDEX(资金日记账!$N$4:$S$603,160,1))</f>
        <v/>
      </c>
      <c r="F1228" s="99" t="str">
        <f aca="false">IF($E1228="","",IFERROR(INDEX(科目表!$A$4:$A$81,MATCH($E1228,科目表!$B$4:$B$81,0)),""))</f>
        <v/>
      </c>
      <c r="G1228" s="67" t="str">
        <f aca="false">IF($E1228="","",IFERROR(INDEX(科目表!$E$4:$E$81,MATCH($E1228,科目表!$B$4:$B$81,0)),""))</f>
        <v/>
      </c>
      <c r="H1228" s="70" t="str">
        <f aca="false">IF($E1228="","",N(INDEX(资金日记账!$N$4:$S$603,160,2)))</f>
        <v/>
      </c>
      <c r="I1228" s="70" t="str">
        <f aca="false">IF($E1228="","",N(INDEX(资金日记账!$N$4:$S$603,160,3)))</f>
        <v/>
      </c>
      <c r="J1228" s="67" t="str">
        <f aca="false">IF($E1228="","",INDEX(资金日记账!$E$4:$E$603,160))</f>
        <v/>
      </c>
      <c r="K1228" s="67" t="str">
        <f aca="false">IF($E1228="","",INDEX(资金日记账!$F$4:$F$603,160))</f>
        <v/>
      </c>
      <c r="L1228" s="107" t="str">
        <f aca="false">IF($E1228="","",INDEX(资金日记账!$X$4:$X$603,160))</f>
        <v/>
      </c>
      <c r="M1228" s="107"/>
      <c r="N1228" s="67" t="str">
        <f aca="false">IF($E1228="","",INDEX(资金日记账!$Y$4:$Y$603,160))</f>
        <v/>
      </c>
      <c r="O1228" s="67" t="str">
        <f aca="false">IF($E1228="","","自动B")</f>
        <v/>
      </c>
      <c r="P1228" s="18"/>
    </row>
    <row r="1229" customFormat="false" ht="18" hidden="false" customHeight="true" outlineLevel="0" collapsed="false">
      <c r="A1229" s="107" t="str">
        <f aca="false">IF($E1229="","",ROW()-3)</f>
        <v/>
      </c>
      <c r="B1229" s="110" t="str">
        <f aca="false">IF($E1229="","",INDEX(资金日记账!$B$4:$B$603,160))</f>
        <v/>
      </c>
      <c r="C1229" s="67" t="str">
        <f aca="false">IF($E1229="","",IF(INDEX(资金日记账!$W$4:$W$603,160)="","记-"&amp;TEXT($B1229,"YYYYMM")&amp;"-资金",INDEX(资金日记账!$W$4:$W$603,160)))</f>
        <v/>
      </c>
      <c r="D1229" s="107" t="str">
        <f aca="false">IF($E1229="","",INDEX(资金日记账!$D$4:$D$603,160))</f>
        <v/>
      </c>
      <c r="E1229" s="67" t="str">
        <f aca="false">IF(INDEX(资金日记账!$N$4:$S$603,160,4)=0,"",INDEX(资金日记账!$N$4:$S$603,160,4))</f>
        <v/>
      </c>
      <c r="F1229" s="99" t="str">
        <f aca="false">IF($E1229="","",IFERROR(INDEX(科目表!$A$4:$A$81,MATCH($E1229,科目表!$B$4:$B$81,0)),""))</f>
        <v/>
      </c>
      <c r="G1229" s="67" t="str">
        <f aca="false">IF($E1229="","",IFERROR(INDEX(科目表!$E$4:$E$81,MATCH($E1229,科目表!$B$4:$B$81,0)),""))</f>
        <v/>
      </c>
      <c r="H1229" s="70" t="str">
        <f aca="false">IF($E1229="","",N(INDEX(资金日记账!$N$4:$S$603,160,5)))</f>
        <v/>
      </c>
      <c r="I1229" s="70" t="str">
        <f aca="false">IF($E1229="","",N(INDEX(资金日记账!$N$4:$S$603,160,6)))</f>
        <v/>
      </c>
      <c r="J1229" s="67" t="str">
        <f aca="false">IF($E1229="","",INDEX(资金日记账!$E$4:$E$603,160))</f>
        <v/>
      </c>
      <c r="K1229" s="67" t="str">
        <f aca="false">IF($E1229="","",INDEX(资金日记账!$F$4:$F$603,160))</f>
        <v/>
      </c>
      <c r="L1229" s="107" t="str">
        <f aca="false">IF($E1229="","",INDEX(资金日记账!$X$4:$X$603,160))</f>
        <v/>
      </c>
      <c r="M1229" s="107"/>
      <c r="N1229" s="67" t="str">
        <f aca="false">IF($E1229="","",INDEX(资金日记账!$Y$4:$Y$603,160))</f>
        <v/>
      </c>
      <c r="O1229" s="67" t="str">
        <f aca="false">IF($E1229="","","自动B")</f>
        <v/>
      </c>
      <c r="P1229" s="18"/>
    </row>
    <row r="1230" customFormat="false" ht="18" hidden="false" customHeight="true" outlineLevel="0" collapsed="false">
      <c r="A1230" s="107" t="str">
        <f aca="false">IF($E1230="","",ROW()-3)</f>
        <v/>
      </c>
      <c r="B1230" s="110" t="str">
        <f aca="false">IF($E1230="","",INDEX(资金日记账!$B$4:$B$603,161))</f>
        <v/>
      </c>
      <c r="C1230" s="67" t="str">
        <f aca="false">IF($E1230="","",IF(INDEX(资金日记账!$W$4:$W$603,161)="","记-"&amp;TEXT($B1230,"YYYYMM")&amp;"-资金",INDEX(资金日记账!$W$4:$W$603,161)))</f>
        <v/>
      </c>
      <c r="D1230" s="107" t="str">
        <f aca="false">IF($E1230="","",INDEX(资金日记账!$D$4:$D$603,161))</f>
        <v/>
      </c>
      <c r="E1230" s="67" t="str">
        <f aca="false">IF(INDEX(资金日记账!$N$4:$S$603,161,1)=0,"",INDEX(资金日记账!$N$4:$S$603,161,1))</f>
        <v/>
      </c>
      <c r="F1230" s="99" t="str">
        <f aca="false">IF($E1230="","",IFERROR(INDEX(科目表!$A$4:$A$81,MATCH($E1230,科目表!$B$4:$B$81,0)),""))</f>
        <v/>
      </c>
      <c r="G1230" s="67" t="str">
        <f aca="false">IF($E1230="","",IFERROR(INDEX(科目表!$E$4:$E$81,MATCH($E1230,科目表!$B$4:$B$81,0)),""))</f>
        <v/>
      </c>
      <c r="H1230" s="70" t="str">
        <f aca="false">IF($E1230="","",N(INDEX(资金日记账!$N$4:$S$603,161,2)))</f>
        <v/>
      </c>
      <c r="I1230" s="70" t="str">
        <f aca="false">IF($E1230="","",N(INDEX(资金日记账!$N$4:$S$603,161,3)))</f>
        <v/>
      </c>
      <c r="J1230" s="67" t="str">
        <f aca="false">IF($E1230="","",INDEX(资金日记账!$E$4:$E$603,161))</f>
        <v/>
      </c>
      <c r="K1230" s="67" t="str">
        <f aca="false">IF($E1230="","",INDEX(资金日记账!$F$4:$F$603,161))</f>
        <v/>
      </c>
      <c r="L1230" s="107" t="str">
        <f aca="false">IF($E1230="","",INDEX(资金日记账!$X$4:$X$603,161))</f>
        <v/>
      </c>
      <c r="M1230" s="107"/>
      <c r="N1230" s="67" t="str">
        <f aca="false">IF($E1230="","",INDEX(资金日记账!$Y$4:$Y$603,161))</f>
        <v/>
      </c>
      <c r="O1230" s="67" t="str">
        <f aca="false">IF($E1230="","","自动B")</f>
        <v/>
      </c>
      <c r="P1230" s="18"/>
    </row>
    <row r="1231" customFormat="false" ht="18" hidden="false" customHeight="true" outlineLevel="0" collapsed="false">
      <c r="A1231" s="107" t="str">
        <f aca="false">IF($E1231="","",ROW()-3)</f>
        <v/>
      </c>
      <c r="B1231" s="110" t="str">
        <f aca="false">IF($E1231="","",INDEX(资金日记账!$B$4:$B$603,161))</f>
        <v/>
      </c>
      <c r="C1231" s="67" t="str">
        <f aca="false">IF($E1231="","",IF(INDEX(资金日记账!$W$4:$W$603,161)="","记-"&amp;TEXT($B1231,"YYYYMM")&amp;"-资金",INDEX(资金日记账!$W$4:$W$603,161)))</f>
        <v/>
      </c>
      <c r="D1231" s="107" t="str">
        <f aca="false">IF($E1231="","",INDEX(资金日记账!$D$4:$D$603,161))</f>
        <v/>
      </c>
      <c r="E1231" s="67" t="str">
        <f aca="false">IF(INDEX(资金日记账!$N$4:$S$603,161,4)=0,"",INDEX(资金日记账!$N$4:$S$603,161,4))</f>
        <v/>
      </c>
      <c r="F1231" s="99" t="str">
        <f aca="false">IF($E1231="","",IFERROR(INDEX(科目表!$A$4:$A$81,MATCH($E1231,科目表!$B$4:$B$81,0)),""))</f>
        <v/>
      </c>
      <c r="G1231" s="67" t="str">
        <f aca="false">IF($E1231="","",IFERROR(INDEX(科目表!$E$4:$E$81,MATCH($E1231,科目表!$B$4:$B$81,0)),""))</f>
        <v/>
      </c>
      <c r="H1231" s="70" t="str">
        <f aca="false">IF($E1231="","",N(INDEX(资金日记账!$N$4:$S$603,161,5)))</f>
        <v/>
      </c>
      <c r="I1231" s="70" t="str">
        <f aca="false">IF($E1231="","",N(INDEX(资金日记账!$N$4:$S$603,161,6)))</f>
        <v/>
      </c>
      <c r="J1231" s="67" t="str">
        <f aca="false">IF($E1231="","",INDEX(资金日记账!$E$4:$E$603,161))</f>
        <v/>
      </c>
      <c r="K1231" s="67" t="str">
        <f aca="false">IF($E1231="","",INDEX(资金日记账!$F$4:$F$603,161))</f>
        <v/>
      </c>
      <c r="L1231" s="107" t="str">
        <f aca="false">IF($E1231="","",INDEX(资金日记账!$X$4:$X$603,161))</f>
        <v/>
      </c>
      <c r="M1231" s="107"/>
      <c r="N1231" s="67" t="str">
        <f aca="false">IF($E1231="","",INDEX(资金日记账!$Y$4:$Y$603,161))</f>
        <v/>
      </c>
      <c r="O1231" s="67" t="str">
        <f aca="false">IF($E1231="","","自动B")</f>
        <v/>
      </c>
      <c r="P1231" s="18"/>
    </row>
    <row r="1232" customFormat="false" ht="18" hidden="false" customHeight="true" outlineLevel="0" collapsed="false">
      <c r="A1232" s="107" t="str">
        <f aca="false">IF($E1232="","",ROW()-3)</f>
        <v/>
      </c>
      <c r="B1232" s="110" t="str">
        <f aca="false">IF($E1232="","",INDEX(资金日记账!$B$4:$B$603,162))</f>
        <v/>
      </c>
      <c r="C1232" s="67" t="str">
        <f aca="false">IF($E1232="","",IF(INDEX(资金日记账!$W$4:$W$603,162)="","记-"&amp;TEXT($B1232,"YYYYMM")&amp;"-资金",INDEX(资金日记账!$W$4:$W$603,162)))</f>
        <v/>
      </c>
      <c r="D1232" s="107" t="str">
        <f aca="false">IF($E1232="","",INDEX(资金日记账!$D$4:$D$603,162))</f>
        <v/>
      </c>
      <c r="E1232" s="67" t="str">
        <f aca="false">IF(INDEX(资金日记账!$N$4:$S$603,162,1)=0,"",INDEX(资金日记账!$N$4:$S$603,162,1))</f>
        <v/>
      </c>
      <c r="F1232" s="99" t="str">
        <f aca="false">IF($E1232="","",IFERROR(INDEX(科目表!$A$4:$A$81,MATCH($E1232,科目表!$B$4:$B$81,0)),""))</f>
        <v/>
      </c>
      <c r="G1232" s="67" t="str">
        <f aca="false">IF($E1232="","",IFERROR(INDEX(科目表!$E$4:$E$81,MATCH($E1232,科目表!$B$4:$B$81,0)),""))</f>
        <v/>
      </c>
      <c r="H1232" s="70" t="str">
        <f aca="false">IF($E1232="","",N(INDEX(资金日记账!$N$4:$S$603,162,2)))</f>
        <v/>
      </c>
      <c r="I1232" s="70" t="str">
        <f aca="false">IF($E1232="","",N(INDEX(资金日记账!$N$4:$S$603,162,3)))</f>
        <v/>
      </c>
      <c r="J1232" s="67" t="str">
        <f aca="false">IF($E1232="","",INDEX(资金日记账!$E$4:$E$603,162))</f>
        <v/>
      </c>
      <c r="K1232" s="67" t="str">
        <f aca="false">IF($E1232="","",INDEX(资金日记账!$F$4:$F$603,162))</f>
        <v/>
      </c>
      <c r="L1232" s="107" t="str">
        <f aca="false">IF($E1232="","",INDEX(资金日记账!$X$4:$X$603,162))</f>
        <v/>
      </c>
      <c r="M1232" s="107"/>
      <c r="N1232" s="67" t="str">
        <f aca="false">IF($E1232="","",INDEX(资金日记账!$Y$4:$Y$603,162))</f>
        <v/>
      </c>
      <c r="O1232" s="67" t="str">
        <f aca="false">IF($E1232="","","自动B")</f>
        <v/>
      </c>
      <c r="P1232" s="18"/>
    </row>
    <row r="1233" customFormat="false" ht="18" hidden="false" customHeight="true" outlineLevel="0" collapsed="false">
      <c r="A1233" s="107" t="str">
        <f aca="false">IF($E1233="","",ROW()-3)</f>
        <v/>
      </c>
      <c r="B1233" s="110" t="str">
        <f aca="false">IF($E1233="","",INDEX(资金日记账!$B$4:$B$603,162))</f>
        <v/>
      </c>
      <c r="C1233" s="67" t="str">
        <f aca="false">IF($E1233="","",IF(INDEX(资金日记账!$W$4:$W$603,162)="","记-"&amp;TEXT($B1233,"YYYYMM")&amp;"-资金",INDEX(资金日记账!$W$4:$W$603,162)))</f>
        <v/>
      </c>
      <c r="D1233" s="107" t="str">
        <f aca="false">IF($E1233="","",INDEX(资金日记账!$D$4:$D$603,162))</f>
        <v/>
      </c>
      <c r="E1233" s="67" t="str">
        <f aca="false">IF(INDEX(资金日记账!$N$4:$S$603,162,4)=0,"",INDEX(资金日记账!$N$4:$S$603,162,4))</f>
        <v/>
      </c>
      <c r="F1233" s="99" t="str">
        <f aca="false">IF($E1233="","",IFERROR(INDEX(科目表!$A$4:$A$81,MATCH($E1233,科目表!$B$4:$B$81,0)),""))</f>
        <v/>
      </c>
      <c r="G1233" s="67" t="str">
        <f aca="false">IF($E1233="","",IFERROR(INDEX(科目表!$E$4:$E$81,MATCH($E1233,科目表!$B$4:$B$81,0)),""))</f>
        <v/>
      </c>
      <c r="H1233" s="70" t="str">
        <f aca="false">IF($E1233="","",N(INDEX(资金日记账!$N$4:$S$603,162,5)))</f>
        <v/>
      </c>
      <c r="I1233" s="70" t="str">
        <f aca="false">IF($E1233="","",N(INDEX(资金日记账!$N$4:$S$603,162,6)))</f>
        <v/>
      </c>
      <c r="J1233" s="67" t="str">
        <f aca="false">IF($E1233="","",INDEX(资金日记账!$E$4:$E$603,162))</f>
        <v/>
      </c>
      <c r="K1233" s="67" t="str">
        <f aca="false">IF($E1233="","",INDEX(资金日记账!$F$4:$F$603,162))</f>
        <v/>
      </c>
      <c r="L1233" s="107" t="str">
        <f aca="false">IF($E1233="","",INDEX(资金日记账!$X$4:$X$603,162))</f>
        <v/>
      </c>
      <c r="M1233" s="107"/>
      <c r="N1233" s="67" t="str">
        <f aca="false">IF($E1233="","",INDEX(资金日记账!$Y$4:$Y$603,162))</f>
        <v/>
      </c>
      <c r="O1233" s="67" t="str">
        <f aca="false">IF($E1233="","","自动B")</f>
        <v/>
      </c>
      <c r="P1233" s="18"/>
    </row>
    <row r="1234" customFormat="false" ht="18" hidden="false" customHeight="true" outlineLevel="0" collapsed="false">
      <c r="A1234" s="107" t="str">
        <f aca="false">IF($E1234="","",ROW()-3)</f>
        <v/>
      </c>
      <c r="B1234" s="110" t="str">
        <f aca="false">IF($E1234="","",INDEX(资金日记账!$B$4:$B$603,163))</f>
        <v/>
      </c>
      <c r="C1234" s="67" t="str">
        <f aca="false">IF($E1234="","",IF(INDEX(资金日记账!$W$4:$W$603,163)="","记-"&amp;TEXT($B1234,"YYYYMM")&amp;"-资金",INDEX(资金日记账!$W$4:$W$603,163)))</f>
        <v/>
      </c>
      <c r="D1234" s="107" t="str">
        <f aca="false">IF($E1234="","",INDEX(资金日记账!$D$4:$D$603,163))</f>
        <v/>
      </c>
      <c r="E1234" s="67" t="str">
        <f aca="false">IF(INDEX(资金日记账!$N$4:$S$603,163,1)=0,"",INDEX(资金日记账!$N$4:$S$603,163,1))</f>
        <v/>
      </c>
      <c r="F1234" s="99" t="str">
        <f aca="false">IF($E1234="","",IFERROR(INDEX(科目表!$A$4:$A$81,MATCH($E1234,科目表!$B$4:$B$81,0)),""))</f>
        <v/>
      </c>
      <c r="G1234" s="67" t="str">
        <f aca="false">IF($E1234="","",IFERROR(INDEX(科目表!$E$4:$E$81,MATCH($E1234,科目表!$B$4:$B$81,0)),""))</f>
        <v/>
      </c>
      <c r="H1234" s="70" t="str">
        <f aca="false">IF($E1234="","",N(INDEX(资金日记账!$N$4:$S$603,163,2)))</f>
        <v/>
      </c>
      <c r="I1234" s="70" t="str">
        <f aca="false">IF($E1234="","",N(INDEX(资金日记账!$N$4:$S$603,163,3)))</f>
        <v/>
      </c>
      <c r="J1234" s="67" t="str">
        <f aca="false">IF($E1234="","",INDEX(资金日记账!$E$4:$E$603,163))</f>
        <v/>
      </c>
      <c r="K1234" s="67" t="str">
        <f aca="false">IF($E1234="","",INDEX(资金日记账!$F$4:$F$603,163))</f>
        <v/>
      </c>
      <c r="L1234" s="107" t="str">
        <f aca="false">IF($E1234="","",INDEX(资金日记账!$X$4:$X$603,163))</f>
        <v/>
      </c>
      <c r="M1234" s="107"/>
      <c r="N1234" s="67" t="str">
        <f aca="false">IF($E1234="","",INDEX(资金日记账!$Y$4:$Y$603,163))</f>
        <v/>
      </c>
      <c r="O1234" s="67" t="str">
        <f aca="false">IF($E1234="","","自动B")</f>
        <v/>
      </c>
      <c r="P1234" s="18"/>
    </row>
    <row r="1235" customFormat="false" ht="18" hidden="false" customHeight="true" outlineLevel="0" collapsed="false">
      <c r="A1235" s="107" t="str">
        <f aca="false">IF($E1235="","",ROW()-3)</f>
        <v/>
      </c>
      <c r="B1235" s="110" t="str">
        <f aca="false">IF($E1235="","",INDEX(资金日记账!$B$4:$B$603,163))</f>
        <v/>
      </c>
      <c r="C1235" s="67" t="str">
        <f aca="false">IF($E1235="","",IF(INDEX(资金日记账!$W$4:$W$603,163)="","记-"&amp;TEXT($B1235,"YYYYMM")&amp;"-资金",INDEX(资金日记账!$W$4:$W$603,163)))</f>
        <v/>
      </c>
      <c r="D1235" s="107" t="str">
        <f aca="false">IF($E1235="","",INDEX(资金日记账!$D$4:$D$603,163))</f>
        <v/>
      </c>
      <c r="E1235" s="67" t="str">
        <f aca="false">IF(INDEX(资金日记账!$N$4:$S$603,163,4)=0,"",INDEX(资金日记账!$N$4:$S$603,163,4))</f>
        <v/>
      </c>
      <c r="F1235" s="99" t="str">
        <f aca="false">IF($E1235="","",IFERROR(INDEX(科目表!$A$4:$A$81,MATCH($E1235,科目表!$B$4:$B$81,0)),""))</f>
        <v/>
      </c>
      <c r="G1235" s="67" t="str">
        <f aca="false">IF($E1235="","",IFERROR(INDEX(科目表!$E$4:$E$81,MATCH($E1235,科目表!$B$4:$B$81,0)),""))</f>
        <v/>
      </c>
      <c r="H1235" s="70" t="str">
        <f aca="false">IF($E1235="","",N(INDEX(资金日记账!$N$4:$S$603,163,5)))</f>
        <v/>
      </c>
      <c r="I1235" s="70" t="str">
        <f aca="false">IF($E1235="","",N(INDEX(资金日记账!$N$4:$S$603,163,6)))</f>
        <v/>
      </c>
      <c r="J1235" s="67" t="str">
        <f aca="false">IF($E1235="","",INDEX(资金日记账!$E$4:$E$603,163))</f>
        <v/>
      </c>
      <c r="K1235" s="67" t="str">
        <f aca="false">IF($E1235="","",INDEX(资金日记账!$F$4:$F$603,163))</f>
        <v/>
      </c>
      <c r="L1235" s="107" t="str">
        <f aca="false">IF($E1235="","",INDEX(资金日记账!$X$4:$X$603,163))</f>
        <v/>
      </c>
      <c r="M1235" s="107"/>
      <c r="N1235" s="67" t="str">
        <f aca="false">IF($E1235="","",INDEX(资金日记账!$Y$4:$Y$603,163))</f>
        <v/>
      </c>
      <c r="O1235" s="67" t="str">
        <f aca="false">IF($E1235="","","自动B")</f>
        <v/>
      </c>
      <c r="P1235" s="18"/>
    </row>
    <row r="1236" customFormat="false" ht="18" hidden="false" customHeight="true" outlineLevel="0" collapsed="false">
      <c r="A1236" s="107" t="str">
        <f aca="false">IF($E1236="","",ROW()-3)</f>
        <v/>
      </c>
      <c r="B1236" s="110" t="str">
        <f aca="false">IF($E1236="","",INDEX(资金日记账!$B$4:$B$603,164))</f>
        <v/>
      </c>
      <c r="C1236" s="67" t="str">
        <f aca="false">IF($E1236="","",IF(INDEX(资金日记账!$W$4:$W$603,164)="","记-"&amp;TEXT($B1236,"YYYYMM")&amp;"-资金",INDEX(资金日记账!$W$4:$W$603,164)))</f>
        <v/>
      </c>
      <c r="D1236" s="107" t="str">
        <f aca="false">IF($E1236="","",INDEX(资金日记账!$D$4:$D$603,164))</f>
        <v/>
      </c>
      <c r="E1236" s="67" t="str">
        <f aca="false">IF(INDEX(资金日记账!$N$4:$S$603,164,1)=0,"",INDEX(资金日记账!$N$4:$S$603,164,1))</f>
        <v/>
      </c>
      <c r="F1236" s="99" t="str">
        <f aca="false">IF($E1236="","",IFERROR(INDEX(科目表!$A$4:$A$81,MATCH($E1236,科目表!$B$4:$B$81,0)),""))</f>
        <v/>
      </c>
      <c r="G1236" s="67" t="str">
        <f aca="false">IF($E1236="","",IFERROR(INDEX(科目表!$E$4:$E$81,MATCH($E1236,科目表!$B$4:$B$81,0)),""))</f>
        <v/>
      </c>
      <c r="H1236" s="70" t="str">
        <f aca="false">IF($E1236="","",N(INDEX(资金日记账!$N$4:$S$603,164,2)))</f>
        <v/>
      </c>
      <c r="I1236" s="70" t="str">
        <f aca="false">IF($E1236="","",N(INDEX(资金日记账!$N$4:$S$603,164,3)))</f>
        <v/>
      </c>
      <c r="J1236" s="67" t="str">
        <f aca="false">IF($E1236="","",INDEX(资金日记账!$E$4:$E$603,164))</f>
        <v/>
      </c>
      <c r="K1236" s="67" t="str">
        <f aca="false">IF($E1236="","",INDEX(资金日记账!$F$4:$F$603,164))</f>
        <v/>
      </c>
      <c r="L1236" s="107" t="str">
        <f aca="false">IF($E1236="","",INDEX(资金日记账!$X$4:$X$603,164))</f>
        <v/>
      </c>
      <c r="M1236" s="107"/>
      <c r="N1236" s="67" t="str">
        <f aca="false">IF($E1236="","",INDEX(资金日记账!$Y$4:$Y$603,164))</f>
        <v/>
      </c>
      <c r="O1236" s="67" t="str">
        <f aca="false">IF($E1236="","","自动B")</f>
        <v/>
      </c>
      <c r="P1236" s="18"/>
    </row>
    <row r="1237" customFormat="false" ht="18" hidden="false" customHeight="true" outlineLevel="0" collapsed="false">
      <c r="A1237" s="107" t="str">
        <f aca="false">IF($E1237="","",ROW()-3)</f>
        <v/>
      </c>
      <c r="B1237" s="110" t="str">
        <f aca="false">IF($E1237="","",INDEX(资金日记账!$B$4:$B$603,164))</f>
        <v/>
      </c>
      <c r="C1237" s="67" t="str">
        <f aca="false">IF($E1237="","",IF(INDEX(资金日记账!$W$4:$W$603,164)="","记-"&amp;TEXT($B1237,"YYYYMM")&amp;"-资金",INDEX(资金日记账!$W$4:$W$603,164)))</f>
        <v/>
      </c>
      <c r="D1237" s="107" t="str">
        <f aca="false">IF($E1237="","",INDEX(资金日记账!$D$4:$D$603,164))</f>
        <v/>
      </c>
      <c r="E1237" s="67" t="str">
        <f aca="false">IF(INDEX(资金日记账!$N$4:$S$603,164,4)=0,"",INDEX(资金日记账!$N$4:$S$603,164,4))</f>
        <v/>
      </c>
      <c r="F1237" s="99" t="str">
        <f aca="false">IF($E1237="","",IFERROR(INDEX(科目表!$A$4:$A$81,MATCH($E1237,科目表!$B$4:$B$81,0)),""))</f>
        <v/>
      </c>
      <c r="G1237" s="67" t="str">
        <f aca="false">IF($E1237="","",IFERROR(INDEX(科目表!$E$4:$E$81,MATCH($E1237,科目表!$B$4:$B$81,0)),""))</f>
        <v/>
      </c>
      <c r="H1237" s="70" t="str">
        <f aca="false">IF($E1237="","",N(INDEX(资金日记账!$N$4:$S$603,164,5)))</f>
        <v/>
      </c>
      <c r="I1237" s="70" t="str">
        <f aca="false">IF($E1237="","",N(INDEX(资金日记账!$N$4:$S$603,164,6)))</f>
        <v/>
      </c>
      <c r="J1237" s="67" t="str">
        <f aca="false">IF($E1237="","",INDEX(资金日记账!$E$4:$E$603,164))</f>
        <v/>
      </c>
      <c r="K1237" s="67" t="str">
        <f aca="false">IF($E1237="","",INDEX(资金日记账!$F$4:$F$603,164))</f>
        <v/>
      </c>
      <c r="L1237" s="107" t="str">
        <f aca="false">IF($E1237="","",INDEX(资金日记账!$X$4:$X$603,164))</f>
        <v/>
      </c>
      <c r="M1237" s="107"/>
      <c r="N1237" s="67" t="str">
        <f aca="false">IF($E1237="","",INDEX(资金日记账!$Y$4:$Y$603,164))</f>
        <v/>
      </c>
      <c r="O1237" s="67" t="str">
        <f aca="false">IF($E1237="","","自动B")</f>
        <v/>
      </c>
      <c r="P1237" s="18"/>
    </row>
    <row r="1238" customFormat="false" ht="18" hidden="false" customHeight="true" outlineLevel="0" collapsed="false">
      <c r="A1238" s="107" t="str">
        <f aca="false">IF($E1238="","",ROW()-3)</f>
        <v/>
      </c>
      <c r="B1238" s="110" t="str">
        <f aca="false">IF($E1238="","",INDEX(资金日记账!$B$4:$B$603,165))</f>
        <v/>
      </c>
      <c r="C1238" s="67" t="str">
        <f aca="false">IF($E1238="","",IF(INDEX(资金日记账!$W$4:$W$603,165)="","记-"&amp;TEXT($B1238,"YYYYMM")&amp;"-资金",INDEX(资金日记账!$W$4:$W$603,165)))</f>
        <v/>
      </c>
      <c r="D1238" s="107" t="str">
        <f aca="false">IF($E1238="","",INDEX(资金日记账!$D$4:$D$603,165))</f>
        <v/>
      </c>
      <c r="E1238" s="67" t="str">
        <f aca="false">IF(INDEX(资金日记账!$N$4:$S$603,165,1)=0,"",INDEX(资金日记账!$N$4:$S$603,165,1))</f>
        <v/>
      </c>
      <c r="F1238" s="99" t="str">
        <f aca="false">IF($E1238="","",IFERROR(INDEX(科目表!$A$4:$A$81,MATCH($E1238,科目表!$B$4:$B$81,0)),""))</f>
        <v/>
      </c>
      <c r="G1238" s="67" t="str">
        <f aca="false">IF($E1238="","",IFERROR(INDEX(科目表!$E$4:$E$81,MATCH($E1238,科目表!$B$4:$B$81,0)),""))</f>
        <v/>
      </c>
      <c r="H1238" s="70" t="str">
        <f aca="false">IF($E1238="","",N(INDEX(资金日记账!$N$4:$S$603,165,2)))</f>
        <v/>
      </c>
      <c r="I1238" s="70" t="str">
        <f aca="false">IF($E1238="","",N(INDEX(资金日记账!$N$4:$S$603,165,3)))</f>
        <v/>
      </c>
      <c r="J1238" s="67" t="str">
        <f aca="false">IF($E1238="","",INDEX(资金日记账!$E$4:$E$603,165))</f>
        <v/>
      </c>
      <c r="K1238" s="67" t="str">
        <f aca="false">IF($E1238="","",INDEX(资金日记账!$F$4:$F$603,165))</f>
        <v/>
      </c>
      <c r="L1238" s="107" t="str">
        <f aca="false">IF($E1238="","",INDEX(资金日记账!$X$4:$X$603,165))</f>
        <v/>
      </c>
      <c r="M1238" s="107"/>
      <c r="N1238" s="67" t="str">
        <f aca="false">IF($E1238="","",INDEX(资金日记账!$Y$4:$Y$603,165))</f>
        <v/>
      </c>
      <c r="O1238" s="67" t="str">
        <f aca="false">IF($E1238="","","自动B")</f>
        <v/>
      </c>
      <c r="P1238" s="18"/>
    </row>
    <row r="1239" customFormat="false" ht="18" hidden="false" customHeight="true" outlineLevel="0" collapsed="false">
      <c r="A1239" s="107" t="str">
        <f aca="false">IF($E1239="","",ROW()-3)</f>
        <v/>
      </c>
      <c r="B1239" s="110" t="str">
        <f aca="false">IF($E1239="","",INDEX(资金日记账!$B$4:$B$603,165))</f>
        <v/>
      </c>
      <c r="C1239" s="67" t="str">
        <f aca="false">IF($E1239="","",IF(INDEX(资金日记账!$W$4:$W$603,165)="","记-"&amp;TEXT($B1239,"YYYYMM")&amp;"-资金",INDEX(资金日记账!$W$4:$W$603,165)))</f>
        <v/>
      </c>
      <c r="D1239" s="107" t="str">
        <f aca="false">IF($E1239="","",INDEX(资金日记账!$D$4:$D$603,165))</f>
        <v/>
      </c>
      <c r="E1239" s="67" t="str">
        <f aca="false">IF(INDEX(资金日记账!$N$4:$S$603,165,4)=0,"",INDEX(资金日记账!$N$4:$S$603,165,4))</f>
        <v/>
      </c>
      <c r="F1239" s="99" t="str">
        <f aca="false">IF($E1239="","",IFERROR(INDEX(科目表!$A$4:$A$81,MATCH($E1239,科目表!$B$4:$B$81,0)),""))</f>
        <v/>
      </c>
      <c r="G1239" s="67" t="str">
        <f aca="false">IF($E1239="","",IFERROR(INDEX(科目表!$E$4:$E$81,MATCH($E1239,科目表!$B$4:$B$81,0)),""))</f>
        <v/>
      </c>
      <c r="H1239" s="70" t="str">
        <f aca="false">IF($E1239="","",N(INDEX(资金日记账!$N$4:$S$603,165,5)))</f>
        <v/>
      </c>
      <c r="I1239" s="70" t="str">
        <f aca="false">IF($E1239="","",N(INDEX(资金日记账!$N$4:$S$603,165,6)))</f>
        <v/>
      </c>
      <c r="J1239" s="67" t="str">
        <f aca="false">IF($E1239="","",INDEX(资金日记账!$E$4:$E$603,165))</f>
        <v/>
      </c>
      <c r="K1239" s="67" t="str">
        <f aca="false">IF($E1239="","",INDEX(资金日记账!$F$4:$F$603,165))</f>
        <v/>
      </c>
      <c r="L1239" s="107" t="str">
        <f aca="false">IF($E1239="","",INDEX(资金日记账!$X$4:$X$603,165))</f>
        <v/>
      </c>
      <c r="M1239" s="107"/>
      <c r="N1239" s="67" t="str">
        <f aca="false">IF($E1239="","",INDEX(资金日记账!$Y$4:$Y$603,165))</f>
        <v/>
      </c>
      <c r="O1239" s="67" t="str">
        <f aca="false">IF($E1239="","","自动B")</f>
        <v/>
      </c>
      <c r="P1239" s="18"/>
    </row>
    <row r="1240" customFormat="false" ht="18" hidden="false" customHeight="true" outlineLevel="0" collapsed="false">
      <c r="A1240" s="107" t="str">
        <f aca="false">IF($E1240="","",ROW()-3)</f>
        <v/>
      </c>
      <c r="B1240" s="110" t="str">
        <f aca="false">IF($E1240="","",INDEX(资金日记账!$B$4:$B$603,166))</f>
        <v/>
      </c>
      <c r="C1240" s="67" t="str">
        <f aca="false">IF($E1240="","",IF(INDEX(资金日记账!$W$4:$W$603,166)="","记-"&amp;TEXT($B1240,"YYYYMM")&amp;"-资金",INDEX(资金日记账!$W$4:$W$603,166)))</f>
        <v/>
      </c>
      <c r="D1240" s="107" t="str">
        <f aca="false">IF($E1240="","",INDEX(资金日记账!$D$4:$D$603,166))</f>
        <v/>
      </c>
      <c r="E1240" s="67" t="str">
        <f aca="false">IF(INDEX(资金日记账!$N$4:$S$603,166,1)=0,"",INDEX(资金日记账!$N$4:$S$603,166,1))</f>
        <v/>
      </c>
      <c r="F1240" s="99" t="str">
        <f aca="false">IF($E1240="","",IFERROR(INDEX(科目表!$A$4:$A$81,MATCH($E1240,科目表!$B$4:$B$81,0)),""))</f>
        <v/>
      </c>
      <c r="G1240" s="67" t="str">
        <f aca="false">IF($E1240="","",IFERROR(INDEX(科目表!$E$4:$E$81,MATCH($E1240,科目表!$B$4:$B$81,0)),""))</f>
        <v/>
      </c>
      <c r="H1240" s="70" t="str">
        <f aca="false">IF($E1240="","",N(INDEX(资金日记账!$N$4:$S$603,166,2)))</f>
        <v/>
      </c>
      <c r="I1240" s="70" t="str">
        <f aca="false">IF($E1240="","",N(INDEX(资金日记账!$N$4:$S$603,166,3)))</f>
        <v/>
      </c>
      <c r="J1240" s="67" t="str">
        <f aca="false">IF($E1240="","",INDEX(资金日记账!$E$4:$E$603,166))</f>
        <v/>
      </c>
      <c r="K1240" s="67" t="str">
        <f aca="false">IF($E1240="","",INDEX(资金日记账!$F$4:$F$603,166))</f>
        <v/>
      </c>
      <c r="L1240" s="107" t="str">
        <f aca="false">IF($E1240="","",INDEX(资金日记账!$X$4:$X$603,166))</f>
        <v/>
      </c>
      <c r="M1240" s="107"/>
      <c r="N1240" s="67" t="str">
        <f aca="false">IF($E1240="","",INDEX(资金日记账!$Y$4:$Y$603,166))</f>
        <v/>
      </c>
      <c r="O1240" s="67" t="str">
        <f aca="false">IF($E1240="","","自动B")</f>
        <v/>
      </c>
      <c r="P1240" s="18"/>
    </row>
    <row r="1241" customFormat="false" ht="18" hidden="false" customHeight="true" outlineLevel="0" collapsed="false">
      <c r="A1241" s="107" t="str">
        <f aca="false">IF($E1241="","",ROW()-3)</f>
        <v/>
      </c>
      <c r="B1241" s="110" t="str">
        <f aca="false">IF($E1241="","",INDEX(资金日记账!$B$4:$B$603,166))</f>
        <v/>
      </c>
      <c r="C1241" s="67" t="str">
        <f aca="false">IF($E1241="","",IF(INDEX(资金日记账!$W$4:$W$603,166)="","记-"&amp;TEXT($B1241,"YYYYMM")&amp;"-资金",INDEX(资金日记账!$W$4:$W$603,166)))</f>
        <v/>
      </c>
      <c r="D1241" s="107" t="str">
        <f aca="false">IF($E1241="","",INDEX(资金日记账!$D$4:$D$603,166))</f>
        <v/>
      </c>
      <c r="E1241" s="67" t="str">
        <f aca="false">IF(INDEX(资金日记账!$N$4:$S$603,166,4)=0,"",INDEX(资金日记账!$N$4:$S$603,166,4))</f>
        <v/>
      </c>
      <c r="F1241" s="99" t="str">
        <f aca="false">IF($E1241="","",IFERROR(INDEX(科目表!$A$4:$A$81,MATCH($E1241,科目表!$B$4:$B$81,0)),""))</f>
        <v/>
      </c>
      <c r="G1241" s="67" t="str">
        <f aca="false">IF($E1241="","",IFERROR(INDEX(科目表!$E$4:$E$81,MATCH($E1241,科目表!$B$4:$B$81,0)),""))</f>
        <v/>
      </c>
      <c r="H1241" s="70" t="str">
        <f aca="false">IF($E1241="","",N(INDEX(资金日记账!$N$4:$S$603,166,5)))</f>
        <v/>
      </c>
      <c r="I1241" s="70" t="str">
        <f aca="false">IF($E1241="","",N(INDEX(资金日记账!$N$4:$S$603,166,6)))</f>
        <v/>
      </c>
      <c r="J1241" s="67" t="str">
        <f aca="false">IF($E1241="","",INDEX(资金日记账!$E$4:$E$603,166))</f>
        <v/>
      </c>
      <c r="K1241" s="67" t="str">
        <f aca="false">IF($E1241="","",INDEX(资金日记账!$F$4:$F$603,166))</f>
        <v/>
      </c>
      <c r="L1241" s="107" t="str">
        <f aca="false">IF($E1241="","",INDEX(资金日记账!$X$4:$X$603,166))</f>
        <v/>
      </c>
      <c r="M1241" s="107"/>
      <c r="N1241" s="67" t="str">
        <f aca="false">IF($E1241="","",INDEX(资金日记账!$Y$4:$Y$603,166))</f>
        <v/>
      </c>
      <c r="O1241" s="67" t="str">
        <f aca="false">IF($E1241="","","自动B")</f>
        <v/>
      </c>
      <c r="P1241" s="18"/>
    </row>
    <row r="1242" customFormat="false" ht="18" hidden="false" customHeight="true" outlineLevel="0" collapsed="false">
      <c r="A1242" s="107" t="str">
        <f aca="false">IF($E1242="","",ROW()-3)</f>
        <v/>
      </c>
      <c r="B1242" s="110" t="str">
        <f aca="false">IF($E1242="","",INDEX(资金日记账!$B$4:$B$603,167))</f>
        <v/>
      </c>
      <c r="C1242" s="67" t="str">
        <f aca="false">IF($E1242="","",IF(INDEX(资金日记账!$W$4:$W$603,167)="","记-"&amp;TEXT($B1242,"YYYYMM")&amp;"-资金",INDEX(资金日记账!$W$4:$W$603,167)))</f>
        <v/>
      </c>
      <c r="D1242" s="107" t="str">
        <f aca="false">IF($E1242="","",INDEX(资金日记账!$D$4:$D$603,167))</f>
        <v/>
      </c>
      <c r="E1242" s="67" t="str">
        <f aca="false">IF(INDEX(资金日记账!$N$4:$S$603,167,1)=0,"",INDEX(资金日记账!$N$4:$S$603,167,1))</f>
        <v/>
      </c>
      <c r="F1242" s="99" t="str">
        <f aca="false">IF($E1242="","",IFERROR(INDEX(科目表!$A$4:$A$81,MATCH($E1242,科目表!$B$4:$B$81,0)),""))</f>
        <v/>
      </c>
      <c r="G1242" s="67" t="str">
        <f aca="false">IF($E1242="","",IFERROR(INDEX(科目表!$E$4:$E$81,MATCH($E1242,科目表!$B$4:$B$81,0)),""))</f>
        <v/>
      </c>
      <c r="H1242" s="70" t="str">
        <f aca="false">IF($E1242="","",N(INDEX(资金日记账!$N$4:$S$603,167,2)))</f>
        <v/>
      </c>
      <c r="I1242" s="70" t="str">
        <f aca="false">IF($E1242="","",N(INDEX(资金日记账!$N$4:$S$603,167,3)))</f>
        <v/>
      </c>
      <c r="J1242" s="67" t="str">
        <f aca="false">IF($E1242="","",INDEX(资金日记账!$E$4:$E$603,167))</f>
        <v/>
      </c>
      <c r="K1242" s="67" t="str">
        <f aca="false">IF($E1242="","",INDEX(资金日记账!$F$4:$F$603,167))</f>
        <v/>
      </c>
      <c r="L1242" s="107" t="str">
        <f aca="false">IF($E1242="","",INDEX(资金日记账!$X$4:$X$603,167))</f>
        <v/>
      </c>
      <c r="M1242" s="107"/>
      <c r="N1242" s="67" t="str">
        <f aca="false">IF($E1242="","",INDEX(资金日记账!$Y$4:$Y$603,167))</f>
        <v/>
      </c>
      <c r="O1242" s="67" t="str">
        <f aca="false">IF($E1242="","","自动B")</f>
        <v/>
      </c>
      <c r="P1242" s="18"/>
    </row>
    <row r="1243" customFormat="false" ht="18" hidden="false" customHeight="true" outlineLevel="0" collapsed="false">
      <c r="A1243" s="107" t="str">
        <f aca="false">IF($E1243="","",ROW()-3)</f>
        <v/>
      </c>
      <c r="B1243" s="110" t="str">
        <f aca="false">IF($E1243="","",INDEX(资金日记账!$B$4:$B$603,167))</f>
        <v/>
      </c>
      <c r="C1243" s="67" t="str">
        <f aca="false">IF($E1243="","",IF(INDEX(资金日记账!$W$4:$W$603,167)="","记-"&amp;TEXT($B1243,"YYYYMM")&amp;"-资金",INDEX(资金日记账!$W$4:$W$603,167)))</f>
        <v/>
      </c>
      <c r="D1243" s="107" t="str">
        <f aca="false">IF($E1243="","",INDEX(资金日记账!$D$4:$D$603,167))</f>
        <v/>
      </c>
      <c r="E1243" s="67" t="str">
        <f aca="false">IF(INDEX(资金日记账!$N$4:$S$603,167,4)=0,"",INDEX(资金日记账!$N$4:$S$603,167,4))</f>
        <v/>
      </c>
      <c r="F1243" s="99" t="str">
        <f aca="false">IF($E1243="","",IFERROR(INDEX(科目表!$A$4:$A$81,MATCH($E1243,科目表!$B$4:$B$81,0)),""))</f>
        <v/>
      </c>
      <c r="G1243" s="67" t="str">
        <f aca="false">IF($E1243="","",IFERROR(INDEX(科目表!$E$4:$E$81,MATCH($E1243,科目表!$B$4:$B$81,0)),""))</f>
        <v/>
      </c>
      <c r="H1243" s="70" t="str">
        <f aca="false">IF($E1243="","",N(INDEX(资金日记账!$N$4:$S$603,167,5)))</f>
        <v/>
      </c>
      <c r="I1243" s="70" t="str">
        <f aca="false">IF($E1243="","",N(INDEX(资金日记账!$N$4:$S$603,167,6)))</f>
        <v/>
      </c>
      <c r="J1243" s="67" t="str">
        <f aca="false">IF($E1243="","",INDEX(资金日记账!$E$4:$E$603,167))</f>
        <v/>
      </c>
      <c r="K1243" s="67" t="str">
        <f aca="false">IF($E1243="","",INDEX(资金日记账!$F$4:$F$603,167))</f>
        <v/>
      </c>
      <c r="L1243" s="107" t="str">
        <f aca="false">IF($E1243="","",INDEX(资金日记账!$X$4:$X$603,167))</f>
        <v/>
      </c>
      <c r="M1243" s="107"/>
      <c r="N1243" s="67" t="str">
        <f aca="false">IF($E1243="","",INDEX(资金日记账!$Y$4:$Y$603,167))</f>
        <v/>
      </c>
      <c r="O1243" s="67" t="str">
        <f aca="false">IF($E1243="","","自动B")</f>
        <v/>
      </c>
      <c r="P1243" s="18"/>
    </row>
    <row r="1244" customFormat="false" ht="18" hidden="false" customHeight="true" outlineLevel="0" collapsed="false">
      <c r="A1244" s="107" t="str">
        <f aca="false">IF($E1244="","",ROW()-3)</f>
        <v/>
      </c>
      <c r="B1244" s="110" t="str">
        <f aca="false">IF($E1244="","",INDEX(资金日记账!$B$4:$B$603,168))</f>
        <v/>
      </c>
      <c r="C1244" s="67" t="str">
        <f aca="false">IF($E1244="","",IF(INDEX(资金日记账!$W$4:$W$603,168)="","记-"&amp;TEXT($B1244,"YYYYMM")&amp;"-资金",INDEX(资金日记账!$W$4:$W$603,168)))</f>
        <v/>
      </c>
      <c r="D1244" s="107" t="str">
        <f aca="false">IF($E1244="","",INDEX(资金日记账!$D$4:$D$603,168))</f>
        <v/>
      </c>
      <c r="E1244" s="67" t="str">
        <f aca="false">IF(INDEX(资金日记账!$N$4:$S$603,168,1)=0,"",INDEX(资金日记账!$N$4:$S$603,168,1))</f>
        <v/>
      </c>
      <c r="F1244" s="99" t="str">
        <f aca="false">IF($E1244="","",IFERROR(INDEX(科目表!$A$4:$A$81,MATCH($E1244,科目表!$B$4:$B$81,0)),""))</f>
        <v/>
      </c>
      <c r="G1244" s="67" t="str">
        <f aca="false">IF($E1244="","",IFERROR(INDEX(科目表!$E$4:$E$81,MATCH($E1244,科目表!$B$4:$B$81,0)),""))</f>
        <v/>
      </c>
      <c r="H1244" s="70" t="str">
        <f aca="false">IF($E1244="","",N(INDEX(资金日记账!$N$4:$S$603,168,2)))</f>
        <v/>
      </c>
      <c r="I1244" s="70" t="str">
        <f aca="false">IF($E1244="","",N(INDEX(资金日记账!$N$4:$S$603,168,3)))</f>
        <v/>
      </c>
      <c r="J1244" s="67" t="str">
        <f aca="false">IF($E1244="","",INDEX(资金日记账!$E$4:$E$603,168))</f>
        <v/>
      </c>
      <c r="K1244" s="67" t="str">
        <f aca="false">IF($E1244="","",INDEX(资金日记账!$F$4:$F$603,168))</f>
        <v/>
      </c>
      <c r="L1244" s="107" t="str">
        <f aca="false">IF($E1244="","",INDEX(资金日记账!$X$4:$X$603,168))</f>
        <v/>
      </c>
      <c r="M1244" s="107"/>
      <c r="N1244" s="67" t="str">
        <f aca="false">IF($E1244="","",INDEX(资金日记账!$Y$4:$Y$603,168))</f>
        <v/>
      </c>
      <c r="O1244" s="67" t="str">
        <f aca="false">IF($E1244="","","自动B")</f>
        <v/>
      </c>
      <c r="P1244" s="18"/>
    </row>
    <row r="1245" customFormat="false" ht="18" hidden="false" customHeight="true" outlineLevel="0" collapsed="false">
      <c r="A1245" s="107" t="str">
        <f aca="false">IF($E1245="","",ROW()-3)</f>
        <v/>
      </c>
      <c r="B1245" s="110" t="str">
        <f aca="false">IF($E1245="","",INDEX(资金日记账!$B$4:$B$603,168))</f>
        <v/>
      </c>
      <c r="C1245" s="67" t="str">
        <f aca="false">IF($E1245="","",IF(INDEX(资金日记账!$W$4:$W$603,168)="","记-"&amp;TEXT($B1245,"YYYYMM")&amp;"-资金",INDEX(资金日记账!$W$4:$W$603,168)))</f>
        <v/>
      </c>
      <c r="D1245" s="107" t="str">
        <f aca="false">IF($E1245="","",INDEX(资金日记账!$D$4:$D$603,168))</f>
        <v/>
      </c>
      <c r="E1245" s="67" t="str">
        <f aca="false">IF(INDEX(资金日记账!$N$4:$S$603,168,4)=0,"",INDEX(资金日记账!$N$4:$S$603,168,4))</f>
        <v/>
      </c>
      <c r="F1245" s="99" t="str">
        <f aca="false">IF($E1245="","",IFERROR(INDEX(科目表!$A$4:$A$81,MATCH($E1245,科目表!$B$4:$B$81,0)),""))</f>
        <v/>
      </c>
      <c r="G1245" s="67" t="str">
        <f aca="false">IF($E1245="","",IFERROR(INDEX(科目表!$E$4:$E$81,MATCH($E1245,科目表!$B$4:$B$81,0)),""))</f>
        <v/>
      </c>
      <c r="H1245" s="70" t="str">
        <f aca="false">IF($E1245="","",N(INDEX(资金日记账!$N$4:$S$603,168,5)))</f>
        <v/>
      </c>
      <c r="I1245" s="70" t="str">
        <f aca="false">IF($E1245="","",N(INDEX(资金日记账!$N$4:$S$603,168,6)))</f>
        <v/>
      </c>
      <c r="J1245" s="67" t="str">
        <f aca="false">IF($E1245="","",INDEX(资金日记账!$E$4:$E$603,168))</f>
        <v/>
      </c>
      <c r="K1245" s="67" t="str">
        <f aca="false">IF($E1245="","",INDEX(资金日记账!$F$4:$F$603,168))</f>
        <v/>
      </c>
      <c r="L1245" s="107" t="str">
        <f aca="false">IF($E1245="","",INDEX(资金日记账!$X$4:$X$603,168))</f>
        <v/>
      </c>
      <c r="M1245" s="107"/>
      <c r="N1245" s="67" t="str">
        <f aca="false">IF($E1245="","",INDEX(资金日记账!$Y$4:$Y$603,168))</f>
        <v/>
      </c>
      <c r="O1245" s="67" t="str">
        <f aca="false">IF($E1245="","","自动B")</f>
        <v/>
      </c>
      <c r="P1245" s="18"/>
    </row>
    <row r="1246" customFormat="false" ht="18" hidden="false" customHeight="true" outlineLevel="0" collapsed="false">
      <c r="A1246" s="107" t="str">
        <f aca="false">IF($E1246="","",ROW()-3)</f>
        <v/>
      </c>
      <c r="B1246" s="110" t="str">
        <f aca="false">IF($E1246="","",INDEX(资金日记账!$B$4:$B$603,169))</f>
        <v/>
      </c>
      <c r="C1246" s="67" t="str">
        <f aca="false">IF($E1246="","",IF(INDEX(资金日记账!$W$4:$W$603,169)="","记-"&amp;TEXT($B1246,"YYYYMM")&amp;"-资金",INDEX(资金日记账!$W$4:$W$603,169)))</f>
        <v/>
      </c>
      <c r="D1246" s="107" t="str">
        <f aca="false">IF($E1246="","",INDEX(资金日记账!$D$4:$D$603,169))</f>
        <v/>
      </c>
      <c r="E1246" s="67" t="str">
        <f aca="false">IF(INDEX(资金日记账!$N$4:$S$603,169,1)=0,"",INDEX(资金日记账!$N$4:$S$603,169,1))</f>
        <v/>
      </c>
      <c r="F1246" s="99" t="str">
        <f aca="false">IF($E1246="","",IFERROR(INDEX(科目表!$A$4:$A$81,MATCH($E1246,科目表!$B$4:$B$81,0)),""))</f>
        <v/>
      </c>
      <c r="G1246" s="67" t="str">
        <f aca="false">IF($E1246="","",IFERROR(INDEX(科目表!$E$4:$E$81,MATCH($E1246,科目表!$B$4:$B$81,0)),""))</f>
        <v/>
      </c>
      <c r="H1246" s="70" t="str">
        <f aca="false">IF($E1246="","",N(INDEX(资金日记账!$N$4:$S$603,169,2)))</f>
        <v/>
      </c>
      <c r="I1246" s="70" t="str">
        <f aca="false">IF($E1246="","",N(INDEX(资金日记账!$N$4:$S$603,169,3)))</f>
        <v/>
      </c>
      <c r="J1246" s="67" t="str">
        <f aca="false">IF($E1246="","",INDEX(资金日记账!$E$4:$E$603,169))</f>
        <v/>
      </c>
      <c r="K1246" s="67" t="str">
        <f aca="false">IF($E1246="","",INDEX(资金日记账!$F$4:$F$603,169))</f>
        <v/>
      </c>
      <c r="L1246" s="107" t="str">
        <f aca="false">IF($E1246="","",INDEX(资金日记账!$X$4:$X$603,169))</f>
        <v/>
      </c>
      <c r="M1246" s="107"/>
      <c r="N1246" s="67" t="str">
        <f aca="false">IF($E1246="","",INDEX(资金日记账!$Y$4:$Y$603,169))</f>
        <v/>
      </c>
      <c r="O1246" s="67" t="str">
        <f aca="false">IF($E1246="","","自动B")</f>
        <v/>
      </c>
      <c r="P1246" s="18"/>
    </row>
    <row r="1247" customFormat="false" ht="18" hidden="false" customHeight="true" outlineLevel="0" collapsed="false">
      <c r="A1247" s="107" t="str">
        <f aca="false">IF($E1247="","",ROW()-3)</f>
        <v/>
      </c>
      <c r="B1247" s="110" t="str">
        <f aca="false">IF($E1247="","",INDEX(资金日记账!$B$4:$B$603,169))</f>
        <v/>
      </c>
      <c r="C1247" s="67" t="str">
        <f aca="false">IF($E1247="","",IF(INDEX(资金日记账!$W$4:$W$603,169)="","记-"&amp;TEXT($B1247,"YYYYMM")&amp;"-资金",INDEX(资金日记账!$W$4:$W$603,169)))</f>
        <v/>
      </c>
      <c r="D1247" s="107" t="str">
        <f aca="false">IF($E1247="","",INDEX(资金日记账!$D$4:$D$603,169))</f>
        <v/>
      </c>
      <c r="E1247" s="67" t="str">
        <f aca="false">IF(INDEX(资金日记账!$N$4:$S$603,169,4)=0,"",INDEX(资金日记账!$N$4:$S$603,169,4))</f>
        <v/>
      </c>
      <c r="F1247" s="99" t="str">
        <f aca="false">IF($E1247="","",IFERROR(INDEX(科目表!$A$4:$A$81,MATCH($E1247,科目表!$B$4:$B$81,0)),""))</f>
        <v/>
      </c>
      <c r="G1247" s="67" t="str">
        <f aca="false">IF($E1247="","",IFERROR(INDEX(科目表!$E$4:$E$81,MATCH($E1247,科目表!$B$4:$B$81,0)),""))</f>
        <v/>
      </c>
      <c r="H1247" s="70" t="str">
        <f aca="false">IF($E1247="","",N(INDEX(资金日记账!$N$4:$S$603,169,5)))</f>
        <v/>
      </c>
      <c r="I1247" s="70" t="str">
        <f aca="false">IF($E1247="","",N(INDEX(资金日记账!$N$4:$S$603,169,6)))</f>
        <v/>
      </c>
      <c r="J1247" s="67" t="str">
        <f aca="false">IF($E1247="","",INDEX(资金日记账!$E$4:$E$603,169))</f>
        <v/>
      </c>
      <c r="K1247" s="67" t="str">
        <f aca="false">IF($E1247="","",INDEX(资金日记账!$F$4:$F$603,169))</f>
        <v/>
      </c>
      <c r="L1247" s="107" t="str">
        <f aca="false">IF($E1247="","",INDEX(资金日记账!$X$4:$X$603,169))</f>
        <v/>
      </c>
      <c r="M1247" s="107"/>
      <c r="N1247" s="67" t="str">
        <f aca="false">IF($E1247="","",INDEX(资金日记账!$Y$4:$Y$603,169))</f>
        <v/>
      </c>
      <c r="O1247" s="67" t="str">
        <f aca="false">IF($E1247="","","自动B")</f>
        <v/>
      </c>
      <c r="P1247" s="18"/>
    </row>
    <row r="1248" customFormat="false" ht="18" hidden="false" customHeight="true" outlineLevel="0" collapsed="false">
      <c r="A1248" s="107" t="str">
        <f aca="false">IF($E1248="","",ROW()-3)</f>
        <v/>
      </c>
      <c r="B1248" s="110" t="str">
        <f aca="false">IF($E1248="","",INDEX(资金日记账!$B$4:$B$603,170))</f>
        <v/>
      </c>
      <c r="C1248" s="67" t="str">
        <f aca="false">IF($E1248="","",IF(INDEX(资金日记账!$W$4:$W$603,170)="","记-"&amp;TEXT($B1248,"YYYYMM")&amp;"-资金",INDEX(资金日记账!$W$4:$W$603,170)))</f>
        <v/>
      </c>
      <c r="D1248" s="107" t="str">
        <f aca="false">IF($E1248="","",INDEX(资金日记账!$D$4:$D$603,170))</f>
        <v/>
      </c>
      <c r="E1248" s="67" t="str">
        <f aca="false">IF(INDEX(资金日记账!$N$4:$S$603,170,1)=0,"",INDEX(资金日记账!$N$4:$S$603,170,1))</f>
        <v/>
      </c>
      <c r="F1248" s="99" t="str">
        <f aca="false">IF($E1248="","",IFERROR(INDEX(科目表!$A$4:$A$81,MATCH($E1248,科目表!$B$4:$B$81,0)),""))</f>
        <v/>
      </c>
      <c r="G1248" s="67" t="str">
        <f aca="false">IF($E1248="","",IFERROR(INDEX(科目表!$E$4:$E$81,MATCH($E1248,科目表!$B$4:$B$81,0)),""))</f>
        <v/>
      </c>
      <c r="H1248" s="70" t="str">
        <f aca="false">IF($E1248="","",N(INDEX(资金日记账!$N$4:$S$603,170,2)))</f>
        <v/>
      </c>
      <c r="I1248" s="70" t="str">
        <f aca="false">IF($E1248="","",N(INDEX(资金日记账!$N$4:$S$603,170,3)))</f>
        <v/>
      </c>
      <c r="J1248" s="67" t="str">
        <f aca="false">IF($E1248="","",INDEX(资金日记账!$E$4:$E$603,170))</f>
        <v/>
      </c>
      <c r="K1248" s="67" t="str">
        <f aca="false">IF($E1248="","",INDEX(资金日记账!$F$4:$F$603,170))</f>
        <v/>
      </c>
      <c r="L1248" s="107" t="str">
        <f aca="false">IF($E1248="","",INDEX(资金日记账!$X$4:$X$603,170))</f>
        <v/>
      </c>
      <c r="M1248" s="107"/>
      <c r="N1248" s="67" t="str">
        <f aca="false">IF($E1248="","",INDEX(资金日记账!$Y$4:$Y$603,170))</f>
        <v/>
      </c>
      <c r="O1248" s="67" t="str">
        <f aca="false">IF($E1248="","","自动B")</f>
        <v/>
      </c>
      <c r="P1248" s="18"/>
    </row>
    <row r="1249" customFormat="false" ht="18" hidden="false" customHeight="true" outlineLevel="0" collapsed="false">
      <c r="A1249" s="107" t="str">
        <f aca="false">IF($E1249="","",ROW()-3)</f>
        <v/>
      </c>
      <c r="B1249" s="110" t="str">
        <f aca="false">IF($E1249="","",INDEX(资金日记账!$B$4:$B$603,170))</f>
        <v/>
      </c>
      <c r="C1249" s="67" t="str">
        <f aca="false">IF($E1249="","",IF(INDEX(资金日记账!$W$4:$W$603,170)="","记-"&amp;TEXT($B1249,"YYYYMM")&amp;"-资金",INDEX(资金日记账!$W$4:$W$603,170)))</f>
        <v/>
      </c>
      <c r="D1249" s="107" t="str">
        <f aca="false">IF($E1249="","",INDEX(资金日记账!$D$4:$D$603,170))</f>
        <v/>
      </c>
      <c r="E1249" s="67" t="str">
        <f aca="false">IF(INDEX(资金日记账!$N$4:$S$603,170,4)=0,"",INDEX(资金日记账!$N$4:$S$603,170,4))</f>
        <v/>
      </c>
      <c r="F1249" s="99" t="str">
        <f aca="false">IF($E1249="","",IFERROR(INDEX(科目表!$A$4:$A$81,MATCH($E1249,科目表!$B$4:$B$81,0)),""))</f>
        <v/>
      </c>
      <c r="G1249" s="67" t="str">
        <f aca="false">IF($E1249="","",IFERROR(INDEX(科目表!$E$4:$E$81,MATCH($E1249,科目表!$B$4:$B$81,0)),""))</f>
        <v/>
      </c>
      <c r="H1249" s="70" t="str">
        <f aca="false">IF($E1249="","",N(INDEX(资金日记账!$N$4:$S$603,170,5)))</f>
        <v/>
      </c>
      <c r="I1249" s="70" t="str">
        <f aca="false">IF($E1249="","",N(INDEX(资金日记账!$N$4:$S$603,170,6)))</f>
        <v/>
      </c>
      <c r="J1249" s="67" t="str">
        <f aca="false">IF($E1249="","",INDEX(资金日记账!$E$4:$E$603,170))</f>
        <v/>
      </c>
      <c r="K1249" s="67" t="str">
        <f aca="false">IF($E1249="","",INDEX(资金日记账!$F$4:$F$603,170))</f>
        <v/>
      </c>
      <c r="L1249" s="107" t="str">
        <f aca="false">IF($E1249="","",INDEX(资金日记账!$X$4:$X$603,170))</f>
        <v/>
      </c>
      <c r="M1249" s="107"/>
      <c r="N1249" s="67" t="str">
        <f aca="false">IF($E1249="","",INDEX(资金日记账!$Y$4:$Y$603,170))</f>
        <v/>
      </c>
      <c r="O1249" s="67" t="str">
        <f aca="false">IF($E1249="","","自动B")</f>
        <v/>
      </c>
      <c r="P1249" s="18"/>
    </row>
    <row r="1250" customFormat="false" ht="18" hidden="false" customHeight="true" outlineLevel="0" collapsed="false">
      <c r="A1250" s="107" t="str">
        <f aca="false">IF($E1250="","",ROW()-3)</f>
        <v/>
      </c>
      <c r="B1250" s="110" t="str">
        <f aca="false">IF($E1250="","",INDEX(资金日记账!$B$4:$B$603,171))</f>
        <v/>
      </c>
      <c r="C1250" s="67" t="str">
        <f aca="false">IF($E1250="","",IF(INDEX(资金日记账!$W$4:$W$603,171)="","记-"&amp;TEXT($B1250,"YYYYMM")&amp;"-资金",INDEX(资金日记账!$W$4:$W$603,171)))</f>
        <v/>
      </c>
      <c r="D1250" s="107" t="str">
        <f aca="false">IF($E1250="","",INDEX(资金日记账!$D$4:$D$603,171))</f>
        <v/>
      </c>
      <c r="E1250" s="67" t="str">
        <f aca="false">IF(INDEX(资金日记账!$N$4:$S$603,171,1)=0,"",INDEX(资金日记账!$N$4:$S$603,171,1))</f>
        <v/>
      </c>
      <c r="F1250" s="99" t="str">
        <f aca="false">IF($E1250="","",IFERROR(INDEX(科目表!$A$4:$A$81,MATCH($E1250,科目表!$B$4:$B$81,0)),""))</f>
        <v/>
      </c>
      <c r="G1250" s="67" t="str">
        <f aca="false">IF($E1250="","",IFERROR(INDEX(科目表!$E$4:$E$81,MATCH($E1250,科目表!$B$4:$B$81,0)),""))</f>
        <v/>
      </c>
      <c r="H1250" s="70" t="str">
        <f aca="false">IF($E1250="","",N(INDEX(资金日记账!$N$4:$S$603,171,2)))</f>
        <v/>
      </c>
      <c r="I1250" s="70" t="str">
        <f aca="false">IF($E1250="","",N(INDEX(资金日记账!$N$4:$S$603,171,3)))</f>
        <v/>
      </c>
      <c r="J1250" s="67" t="str">
        <f aca="false">IF($E1250="","",INDEX(资金日记账!$E$4:$E$603,171))</f>
        <v/>
      </c>
      <c r="K1250" s="67" t="str">
        <f aca="false">IF($E1250="","",INDEX(资金日记账!$F$4:$F$603,171))</f>
        <v/>
      </c>
      <c r="L1250" s="107" t="str">
        <f aca="false">IF($E1250="","",INDEX(资金日记账!$X$4:$X$603,171))</f>
        <v/>
      </c>
      <c r="M1250" s="107"/>
      <c r="N1250" s="67" t="str">
        <f aca="false">IF($E1250="","",INDEX(资金日记账!$Y$4:$Y$603,171))</f>
        <v/>
      </c>
      <c r="O1250" s="67" t="str">
        <f aca="false">IF($E1250="","","自动B")</f>
        <v/>
      </c>
      <c r="P1250" s="18"/>
    </row>
    <row r="1251" customFormat="false" ht="18" hidden="false" customHeight="true" outlineLevel="0" collapsed="false">
      <c r="A1251" s="107" t="str">
        <f aca="false">IF($E1251="","",ROW()-3)</f>
        <v/>
      </c>
      <c r="B1251" s="110" t="str">
        <f aca="false">IF($E1251="","",INDEX(资金日记账!$B$4:$B$603,171))</f>
        <v/>
      </c>
      <c r="C1251" s="67" t="str">
        <f aca="false">IF($E1251="","",IF(INDEX(资金日记账!$W$4:$W$603,171)="","记-"&amp;TEXT($B1251,"YYYYMM")&amp;"-资金",INDEX(资金日记账!$W$4:$W$603,171)))</f>
        <v/>
      </c>
      <c r="D1251" s="107" t="str">
        <f aca="false">IF($E1251="","",INDEX(资金日记账!$D$4:$D$603,171))</f>
        <v/>
      </c>
      <c r="E1251" s="67" t="str">
        <f aca="false">IF(INDEX(资金日记账!$N$4:$S$603,171,4)=0,"",INDEX(资金日记账!$N$4:$S$603,171,4))</f>
        <v/>
      </c>
      <c r="F1251" s="99" t="str">
        <f aca="false">IF($E1251="","",IFERROR(INDEX(科目表!$A$4:$A$81,MATCH($E1251,科目表!$B$4:$B$81,0)),""))</f>
        <v/>
      </c>
      <c r="G1251" s="67" t="str">
        <f aca="false">IF($E1251="","",IFERROR(INDEX(科目表!$E$4:$E$81,MATCH($E1251,科目表!$B$4:$B$81,0)),""))</f>
        <v/>
      </c>
      <c r="H1251" s="70" t="str">
        <f aca="false">IF($E1251="","",N(INDEX(资金日记账!$N$4:$S$603,171,5)))</f>
        <v/>
      </c>
      <c r="I1251" s="70" t="str">
        <f aca="false">IF($E1251="","",N(INDEX(资金日记账!$N$4:$S$603,171,6)))</f>
        <v/>
      </c>
      <c r="J1251" s="67" t="str">
        <f aca="false">IF($E1251="","",INDEX(资金日记账!$E$4:$E$603,171))</f>
        <v/>
      </c>
      <c r="K1251" s="67" t="str">
        <f aca="false">IF($E1251="","",INDEX(资金日记账!$F$4:$F$603,171))</f>
        <v/>
      </c>
      <c r="L1251" s="107" t="str">
        <f aca="false">IF($E1251="","",INDEX(资金日记账!$X$4:$X$603,171))</f>
        <v/>
      </c>
      <c r="M1251" s="107"/>
      <c r="N1251" s="67" t="str">
        <f aca="false">IF($E1251="","",INDEX(资金日记账!$Y$4:$Y$603,171))</f>
        <v/>
      </c>
      <c r="O1251" s="67" t="str">
        <f aca="false">IF($E1251="","","自动B")</f>
        <v/>
      </c>
      <c r="P1251" s="18"/>
    </row>
    <row r="1252" customFormat="false" ht="18" hidden="false" customHeight="true" outlineLevel="0" collapsed="false">
      <c r="A1252" s="107" t="str">
        <f aca="false">IF($E1252="","",ROW()-3)</f>
        <v/>
      </c>
      <c r="B1252" s="110" t="str">
        <f aca="false">IF($E1252="","",INDEX(资金日记账!$B$4:$B$603,172))</f>
        <v/>
      </c>
      <c r="C1252" s="67" t="str">
        <f aca="false">IF($E1252="","",IF(INDEX(资金日记账!$W$4:$W$603,172)="","记-"&amp;TEXT($B1252,"YYYYMM")&amp;"-资金",INDEX(资金日记账!$W$4:$W$603,172)))</f>
        <v/>
      </c>
      <c r="D1252" s="107" t="str">
        <f aca="false">IF($E1252="","",INDEX(资金日记账!$D$4:$D$603,172))</f>
        <v/>
      </c>
      <c r="E1252" s="67" t="str">
        <f aca="false">IF(INDEX(资金日记账!$N$4:$S$603,172,1)=0,"",INDEX(资金日记账!$N$4:$S$603,172,1))</f>
        <v/>
      </c>
      <c r="F1252" s="99" t="str">
        <f aca="false">IF($E1252="","",IFERROR(INDEX(科目表!$A$4:$A$81,MATCH($E1252,科目表!$B$4:$B$81,0)),""))</f>
        <v/>
      </c>
      <c r="G1252" s="67" t="str">
        <f aca="false">IF($E1252="","",IFERROR(INDEX(科目表!$E$4:$E$81,MATCH($E1252,科目表!$B$4:$B$81,0)),""))</f>
        <v/>
      </c>
      <c r="H1252" s="70" t="str">
        <f aca="false">IF($E1252="","",N(INDEX(资金日记账!$N$4:$S$603,172,2)))</f>
        <v/>
      </c>
      <c r="I1252" s="70" t="str">
        <f aca="false">IF($E1252="","",N(INDEX(资金日记账!$N$4:$S$603,172,3)))</f>
        <v/>
      </c>
      <c r="J1252" s="67" t="str">
        <f aca="false">IF($E1252="","",INDEX(资金日记账!$E$4:$E$603,172))</f>
        <v/>
      </c>
      <c r="K1252" s="67" t="str">
        <f aca="false">IF($E1252="","",INDEX(资金日记账!$F$4:$F$603,172))</f>
        <v/>
      </c>
      <c r="L1252" s="107" t="str">
        <f aca="false">IF($E1252="","",INDEX(资金日记账!$X$4:$X$603,172))</f>
        <v/>
      </c>
      <c r="M1252" s="107"/>
      <c r="N1252" s="67" t="str">
        <f aca="false">IF($E1252="","",INDEX(资金日记账!$Y$4:$Y$603,172))</f>
        <v/>
      </c>
      <c r="O1252" s="67" t="str">
        <f aca="false">IF($E1252="","","自动B")</f>
        <v/>
      </c>
      <c r="P1252" s="18"/>
    </row>
    <row r="1253" customFormat="false" ht="18" hidden="false" customHeight="true" outlineLevel="0" collapsed="false">
      <c r="A1253" s="107" t="str">
        <f aca="false">IF($E1253="","",ROW()-3)</f>
        <v/>
      </c>
      <c r="B1253" s="110" t="str">
        <f aca="false">IF($E1253="","",INDEX(资金日记账!$B$4:$B$603,172))</f>
        <v/>
      </c>
      <c r="C1253" s="67" t="str">
        <f aca="false">IF($E1253="","",IF(INDEX(资金日记账!$W$4:$W$603,172)="","记-"&amp;TEXT($B1253,"YYYYMM")&amp;"-资金",INDEX(资金日记账!$W$4:$W$603,172)))</f>
        <v/>
      </c>
      <c r="D1253" s="107" t="str">
        <f aca="false">IF($E1253="","",INDEX(资金日记账!$D$4:$D$603,172))</f>
        <v/>
      </c>
      <c r="E1253" s="67" t="str">
        <f aca="false">IF(INDEX(资金日记账!$N$4:$S$603,172,4)=0,"",INDEX(资金日记账!$N$4:$S$603,172,4))</f>
        <v/>
      </c>
      <c r="F1253" s="99" t="str">
        <f aca="false">IF($E1253="","",IFERROR(INDEX(科目表!$A$4:$A$81,MATCH($E1253,科目表!$B$4:$B$81,0)),""))</f>
        <v/>
      </c>
      <c r="G1253" s="67" t="str">
        <f aca="false">IF($E1253="","",IFERROR(INDEX(科目表!$E$4:$E$81,MATCH($E1253,科目表!$B$4:$B$81,0)),""))</f>
        <v/>
      </c>
      <c r="H1253" s="70" t="str">
        <f aca="false">IF($E1253="","",N(INDEX(资金日记账!$N$4:$S$603,172,5)))</f>
        <v/>
      </c>
      <c r="I1253" s="70" t="str">
        <f aca="false">IF($E1253="","",N(INDEX(资金日记账!$N$4:$S$603,172,6)))</f>
        <v/>
      </c>
      <c r="J1253" s="67" t="str">
        <f aca="false">IF($E1253="","",INDEX(资金日记账!$E$4:$E$603,172))</f>
        <v/>
      </c>
      <c r="K1253" s="67" t="str">
        <f aca="false">IF($E1253="","",INDEX(资金日记账!$F$4:$F$603,172))</f>
        <v/>
      </c>
      <c r="L1253" s="107" t="str">
        <f aca="false">IF($E1253="","",INDEX(资金日记账!$X$4:$X$603,172))</f>
        <v/>
      </c>
      <c r="M1253" s="107"/>
      <c r="N1253" s="67" t="str">
        <f aca="false">IF($E1253="","",INDEX(资金日记账!$Y$4:$Y$603,172))</f>
        <v/>
      </c>
      <c r="O1253" s="67" t="str">
        <f aca="false">IF($E1253="","","自动B")</f>
        <v/>
      </c>
      <c r="P1253" s="18"/>
    </row>
    <row r="1254" customFormat="false" ht="18" hidden="false" customHeight="true" outlineLevel="0" collapsed="false">
      <c r="A1254" s="107" t="str">
        <f aca="false">IF($E1254="","",ROW()-3)</f>
        <v/>
      </c>
      <c r="B1254" s="110" t="str">
        <f aca="false">IF($E1254="","",INDEX(资金日记账!$B$4:$B$603,173))</f>
        <v/>
      </c>
      <c r="C1254" s="67" t="str">
        <f aca="false">IF($E1254="","",IF(INDEX(资金日记账!$W$4:$W$603,173)="","记-"&amp;TEXT($B1254,"YYYYMM")&amp;"-资金",INDEX(资金日记账!$W$4:$W$603,173)))</f>
        <v/>
      </c>
      <c r="D1254" s="107" t="str">
        <f aca="false">IF($E1254="","",INDEX(资金日记账!$D$4:$D$603,173))</f>
        <v/>
      </c>
      <c r="E1254" s="67" t="str">
        <f aca="false">IF(INDEX(资金日记账!$N$4:$S$603,173,1)=0,"",INDEX(资金日记账!$N$4:$S$603,173,1))</f>
        <v/>
      </c>
      <c r="F1254" s="99" t="str">
        <f aca="false">IF($E1254="","",IFERROR(INDEX(科目表!$A$4:$A$81,MATCH($E1254,科目表!$B$4:$B$81,0)),""))</f>
        <v/>
      </c>
      <c r="G1254" s="67" t="str">
        <f aca="false">IF($E1254="","",IFERROR(INDEX(科目表!$E$4:$E$81,MATCH($E1254,科目表!$B$4:$B$81,0)),""))</f>
        <v/>
      </c>
      <c r="H1254" s="70" t="str">
        <f aca="false">IF($E1254="","",N(INDEX(资金日记账!$N$4:$S$603,173,2)))</f>
        <v/>
      </c>
      <c r="I1254" s="70" t="str">
        <f aca="false">IF($E1254="","",N(INDEX(资金日记账!$N$4:$S$603,173,3)))</f>
        <v/>
      </c>
      <c r="J1254" s="67" t="str">
        <f aca="false">IF($E1254="","",INDEX(资金日记账!$E$4:$E$603,173))</f>
        <v/>
      </c>
      <c r="K1254" s="67" t="str">
        <f aca="false">IF($E1254="","",INDEX(资金日记账!$F$4:$F$603,173))</f>
        <v/>
      </c>
      <c r="L1254" s="107" t="str">
        <f aca="false">IF($E1254="","",INDEX(资金日记账!$X$4:$X$603,173))</f>
        <v/>
      </c>
      <c r="M1254" s="107"/>
      <c r="N1254" s="67" t="str">
        <f aca="false">IF($E1254="","",INDEX(资金日记账!$Y$4:$Y$603,173))</f>
        <v/>
      </c>
      <c r="O1254" s="67" t="str">
        <f aca="false">IF($E1254="","","自动B")</f>
        <v/>
      </c>
      <c r="P1254" s="18"/>
    </row>
    <row r="1255" customFormat="false" ht="18" hidden="false" customHeight="true" outlineLevel="0" collapsed="false">
      <c r="A1255" s="107" t="str">
        <f aca="false">IF($E1255="","",ROW()-3)</f>
        <v/>
      </c>
      <c r="B1255" s="110" t="str">
        <f aca="false">IF($E1255="","",INDEX(资金日记账!$B$4:$B$603,173))</f>
        <v/>
      </c>
      <c r="C1255" s="67" t="str">
        <f aca="false">IF($E1255="","",IF(INDEX(资金日记账!$W$4:$W$603,173)="","记-"&amp;TEXT($B1255,"YYYYMM")&amp;"-资金",INDEX(资金日记账!$W$4:$W$603,173)))</f>
        <v/>
      </c>
      <c r="D1255" s="107" t="str">
        <f aca="false">IF($E1255="","",INDEX(资金日记账!$D$4:$D$603,173))</f>
        <v/>
      </c>
      <c r="E1255" s="67" t="str">
        <f aca="false">IF(INDEX(资金日记账!$N$4:$S$603,173,4)=0,"",INDEX(资金日记账!$N$4:$S$603,173,4))</f>
        <v/>
      </c>
      <c r="F1255" s="99" t="str">
        <f aca="false">IF($E1255="","",IFERROR(INDEX(科目表!$A$4:$A$81,MATCH($E1255,科目表!$B$4:$B$81,0)),""))</f>
        <v/>
      </c>
      <c r="G1255" s="67" t="str">
        <f aca="false">IF($E1255="","",IFERROR(INDEX(科目表!$E$4:$E$81,MATCH($E1255,科目表!$B$4:$B$81,0)),""))</f>
        <v/>
      </c>
      <c r="H1255" s="70" t="str">
        <f aca="false">IF($E1255="","",N(INDEX(资金日记账!$N$4:$S$603,173,5)))</f>
        <v/>
      </c>
      <c r="I1255" s="70" t="str">
        <f aca="false">IF($E1255="","",N(INDEX(资金日记账!$N$4:$S$603,173,6)))</f>
        <v/>
      </c>
      <c r="J1255" s="67" t="str">
        <f aca="false">IF($E1255="","",INDEX(资金日记账!$E$4:$E$603,173))</f>
        <v/>
      </c>
      <c r="K1255" s="67" t="str">
        <f aca="false">IF($E1255="","",INDEX(资金日记账!$F$4:$F$603,173))</f>
        <v/>
      </c>
      <c r="L1255" s="107" t="str">
        <f aca="false">IF($E1255="","",INDEX(资金日记账!$X$4:$X$603,173))</f>
        <v/>
      </c>
      <c r="M1255" s="107"/>
      <c r="N1255" s="67" t="str">
        <f aca="false">IF($E1255="","",INDEX(资金日记账!$Y$4:$Y$603,173))</f>
        <v/>
      </c>
      <c r="O1255" s="67" t="str">
        <f aca="false">IF($E1255="","","自动B")</f>
        <v/>
      </c>
      <c r="P1255" s="18"/>
    </row>
    <row r="1256" customFormat="false" ht="18" hidden="false" customHeight="true" outlineLevel="0" collapsed="false">
      <c r="A1256" s="107" t="str">
        <f aca="false">IF($E1256="","",ROW()-3)</f>
        <v/>
      </c>
      <c r="B1256" s="110" t="str">
        <f aca="false">IF($E1256="","",INDEX(资金日记账!$B$4:$B$603,174))</f>
        <v/>
      </c>
      <c r="C1256" s="67" t="str">
        <f aca="false">IF($E1256="","",IF(INDEX(资金日记账!$W$4:$W$603,174)="","记-"&amp;TEXT($B1256,"YYYYMM")&amp;"-资金",INDEX(资金日记账!$W$4:$W$603,174)))</f>
        <v/>
      </c>
      <c r="D1256" s="107" t="str">
        <f aca="false">IF($E1256="","",INDEX(资金日记账!$D$4:$D$603,174))</f>
        <v/>
      </c>
      <c r="E1256" s="67" t="str">
        <f aca="false">IF(INDEX(资金日记账!$N$4:$S$603,174,1)=0,"",INDEX(资金日记账!$N$4:$S$603,174,1))</f>
        <v/>
      </c>
      <c r="F1256" s="99" t="str">
        <f aca="false">IF($E1256="","",IFERROR(INDEX(科目表!$A$4:$A$81,MATCH($E1256,科目表!$B$4:$B$81,0)),""))</f>
        <v/>
      </c>
      <c r="G1256" s="67" t="str">
        <f aca="false">IF($E1256="","",IFERROR(INDEX(科目表!$E$4:$E$81,MATCH($E1256,科目表!$B$4:$B$81,0)),""))</f>
        <v/>
      </c>
      <c r="H1256" s="70" t="str">
        <f aca="false">IF($E1256="","",N(INDEX(资金日记账!$N$4:$S$603,174,2)))</f>
        <v/>
      </c>
      <c r="I1256" s="70" t="str">
        <f aca="false">IF($E1256="","",N(INDEX(资金日记账!$N$4:$S$603,174,3)))</f>
        <v/>
      </c>
      <c r="J1256" s="67" t="str">
        <f aca="false">IF($E1256="","",INDEX(资金日记账!$E$4:$E$603,174))</f>
        <v/>
      </c>
      <c r="K1256" s="67" t="str">
        <f aca="false">IF($E1256="","",INDEX(资金日记账!$F$4:$F$603,174))</f>
        <v/>
      </c>
      <c r="L1256" s="107" t="str">
        <f aca="false">IF($E1256="","",INDEX(资金日记账!$X$4:$X$603,174))</f>
        <v/>
      </c>
      <c r="M1256" s="107"/>
      <c r="N1256" s="67" t="str">
        <f aca="false">IF($E1256="","",INDEX(资金日记账!$Y$4:$Y$603,174))</f>
        <v/>
      </c>
      <c r="O1256" s="67" t="str">
        <f aca="false">IF($E1256="","","自动B")</f>
        <v/>
      </c>
      <c r="P1256" s="18"/>
    </row>
    <row r="1257" customFormat="false" ht="18" hidden="false" customHeight="true" outlineLevel="0" collapsed="false">
      <c r="A1257" s="107" t="str">
        <f aca="false">IF($E1257="","",ROW()-3)</f>
        <v/>
      </c>
      <c r="B1257" s="110" t="str">
        <f aca="false">IF($E1257="","",INDEX(资金日记账!$B$4:$B$603,174))</f>
        <v/>
      </c>
      <c r="C1257" s="67" t="str">
        <f aca="false">IF($E1257="","",IF(INDEX(资金日记账!$W$4:$W$603,174)="","记-"&amp;TEXT($B1257,"YYYYMM")&amp;"-资金",INDEX(资金日记账!$W$4:$W$603,174)))</f>
        <v/>
      </c>
      <c r="D1257" s="107" t="str">
        <f aca="false">IF($E1257="","",INDEX(资金日记账!$D$4:$D$603,174))</f>
        <v/>
      </c>
      <c r="E1257" s="67" t="str">
        <f aca="false">IF(INDEX(资金日记账!$N$4:$S$603,174,4)=0,"",INDEX(资金日记账!$N$4:$S$603,174,4))</f>
        <v/>
      </c>
      <c r="F1257" s="99" t="str">
        <f aca="false">IF($E1257="","",IFERROR(INDEX(科目表!$A$4:$A$81,MATCH($E1257,科目表!$B$4:$B$81,0)),""))</f>
        <v/>
      </c>
      <c r="G1257" s="67" t="str">
        <f aca="false">IF($E1257="","",IFERROR(INDEX(科目表!$E$4:$E$81,MATCH($E1257,科目表!$B$4:$B$81,0)),""))</f>
        <v/>
      </c>
      <c r="H1257" s="70" t="str">
        <f aca="false">IF($E1257="","",N(INDEX(资金日记账!$N$4:$S$603,174,5)))</f>
        <v/>
      </c>
      <c r="I1257" s="70" t="str">
        <f aca="false">IF($E1257="","",N(INDEX(资金日记账!$N$4:$S$603,174,6)))</f>
        <v/>
      </c>
      <c r="J1257" s="67" t="str">
        <f aca="false">IF($E1257="","",INDEX(资金日记账!$E$4:$E$603,174))</f>
        <v/>
      </c>
      <c r="K1257" s="67" t="str">
        <f aca="false">IF($E1257="","",INDEX(资金日记账!$F$4:$F$603,174))</f>
        <v/>
      </c>
      <c r="L1257" s="107" t="str">
        <f aca="false">IF($E1257="","",INDEX(资金日记账!$X$4:$X$603,174))</f>
        <v/>
      </c>
      <c r="M1257" s="107"/>
      <c r="N1257" s="67" t="str">
        <f aca="false">IF($E1257="","",INDEX(资金日记账!$Y$4:$Y$603,174))</f>
        <v/>
      </c>
      <c r="O1257" s="67" t="str">
        <f aca="false">IF($E1257="","","自动B")</f>
        <v/>
      </c>
      <c r="P1257" s="18"/>
    </row>
    <row r="1258" customFormat="false" ht="18" hidden="false" customHeight="true" outlineLevel="0" collapsed="false">
      <c r="A1258" s="107" t="str">
        <f aca="false">IF($E1258="","",ROW()-3)</f>
        <v/>
      </c>
      <c r="B1258" s="110" t="str">
        <f aca="false">IF($E1258="","",INDEX(资金日记账!$B$4:$B$603,175))</f>
        <v/>
      </c>
      <c r="C1258" s="67" t="str">
        <f aca="false">IF($E1258="","",IF(INDEX(资金日记账!$W$4:$W$603,175)="","记-"&amp;TEXT($B1258,"YYYYMM")&amp;"-资金",INDEX(资金日记账!$W$4:$W$603,175)))</f>
        <v/>
      </c>
      <c r="D1258" s="107" t="str">
        <f aca="false">IF($E1258="","",INDEX(资金日记账!$D$4:$D$603,175))</f>
        <v/>
      </c>
      <c r="E1258" s="67" t="str">
        <f aca="false">IF(INDEX(资金日记账!$N$4:$S$603,175,1)=0,"",INDEX(资金日记账!$N$4:$S$603,175,1))</f>
        <v/>
      </c>
      <c r="F1258" s="99" t="str">
        <f aca="false">IF($E1258="","",IFERROR(INDEX(科目表!$A$4:$A$81,MATCH($E1258,科目表!$B$4:$B$81,0)),""))</f>
        <v/>
      </c>
      <c r="G1258" s="67" t="str">
        <f aca="false">IF($E1258="","",IFERROR(INDEX(科目表!$E$4:$E$81,MATCH($E1258,科目表!$B$4:$B$81,0)),""))</f>
        <v/>
      </c>
      <c r="H1258" s="70" t="str">
        <f aca="false">IF($E1258="","",N(INDEX(资金日记账!$N$4:$S$603,175,2)))</f>
        <v/>
      </c>
      <c r="I1258" s="70" t="str">
        <f aca="false">IF($E1258="","",N(INDEX(资金日记账!$N$4:$S$603,175,3)))</f>
        <v/>
      </c>
      <c r="J1258" s="67" t="str">
        <f aca="false">IF($E1258="","",INDEX(资金日记账!$E$4:$E$603,175))</f>
        <v/>
      </c>
      <c r="K1258" s="67" t="str">
        <f aca="false">IF($E1258="","",INDEX(资金日记账!$F$4:$F$603,175))</f>
        <v/>
      </c>
      <c r="L1258" s="107" t="str">
        <f aca="false">IF($E1258="","",INDEX(资金日记账!$X$4:$X$603,175))</f>
        <v/>
      </c>
      <c r="M1258" s="107"/>
      <c r="N1258" s="67" t="str">
        <f aca="false">IF($E1258="","",INDEX(资金日记账!$Y$4:$Y$603,175))</f>
        <v/>
      </c>
      <c r="O1258" s="67" t="str">
        <f aca="false">IF($E1258="","","自动B")</f>
        <v/>
      </c>
      <c r="P1258" s="18"/>
    </row>
    <row r="1259" customFormat="false" ht="18" hidden="false" customHeight="true" outlineLevel="0" collapsed="false">
      <c r="A1259" s="107" t="str">
        <f aca="false">IF($E1259="","",ROW()-3)</f>
        <v/>
      </c>
      <c r="B1259" s="110" t="str">
        <f aca="false">IF($E1259="","",INDEX(资金日记账!$B$4:$B$603,175))</f>
        <v/>
      </c>
      <c r="C1259" s="67" t="str">
        <f aca="false">IF($E1259="","",IF(INDEX(资金日记账!$W$4:$W$603,175)="","记-"&amp;TEXT($B1259,"YYYYMM")&amp;"-资金",INDEX(资金日记账!$W$4:$W$603,175)))</f>
        <v/>
      </c>
      <c r="D1259" s="107" t="str">
        <f aca="false">IF($E1259="","",INDEX(资金日记账!$D$4:$D$603,175))</f>
        <v/>
      </c>
      <c r="E1259" s="67" t="str">
        <f aca="false">IF(INDEX(资金日记账!$N$4:$S$603,175,4)=0,"",INDEX(资金日记账!$N$4:$S$603,175,4))</f>
        <v/>
      </c>
      <c r="F1259" s="99" t="str">
        <f aca="false">IF($E1259="","",IFERROR(INDEX(科目表!$A$4:$A$81,MATCH($E1259,科目表!$B$4:$B$81,0)),""))</f>
        <v/>
      </c>
      <c r="G1259" s="67" t="str">
        <f aca="false">IF($E1259="","",IFERROR(INDEX(科目表!$E$4:$E$81,MATCH($E1259,科目表!$B$4:$B$81,0)),""))</f>
        <v/>
      </c>
      <c r="H1259" s="70" t="str">
        <f aca="false">IF($E1259="","",N(INDEX(资金日记账!$N$4:$S$603,175,5)))</f>
        <v/>
      </c>
      <c r="I1259" s="70" t="str">
        <f aca="false">IF($E1259="","",N(INDEX(资金日记账!$N$4:$S$603,175,6)))</f>
        <v/>
      </c>
      <c r="J1259" s="67" t="str">
        <f aca="false">IF($E1259="","",INDEX(资金日记账!$E$4:$E$603,175))</f>
        <v/>
      </c>
      <c r="K1259" s="67" t="str">
        <f aca="false">IF($E1259="","",INDEX(资金日记账!$F$4:$F$603,175))</f>
        <v/>
      </c>
      <c r="L1259" s="107" t="str">
        <f aca="false">IF($E1259="","",INDEX(资金日记账!$X$4:$X$603,175))</f>
        <v/>
      </c>
      <c r="M1259" s="107"/>
      <c r="N1259" s="67" t="str">
        <f aca="false">IF($E1259="","",INDEX(资金日记账!$Y$4:$Y$603,175))</f>
        <v/>
      </c>
      <c r="O1259" s="67" t="str">
        <f aca="false">IF($E1259="","","自动B")</f>
        <v/>
      </c>
      <c r="P1259" s="18"/>
    </row>
    <row r="1260" customFormat="false" ht="18" hidden="false" customHeight="true" outlineLevel="0" collapsed="false">
      <c r="A1260" s="107" t="str">
        <f aca="false">IF($E1260="","",ROW()-3)</f>
        <v/>
      </c>
      <c r="B1260" s="110" t="str">
        <f aca="false">IF($E1260="","",INDEX(资金日记账!$B$4:$B$603,176))</f>
        <v/>
      </c>
      <c r="C1260" s="67" t="str">
        <f aca="false">IF($E1260="","",IF(INDEX(资金日记账!$W$4:$W$603,176)="","记-"&amp;TEXT($B1260,"YYYYMM")&amp;"-资金",INDEX(资金日记账!$W$4:$W$603,176)))</f>
        <v/>
      </c>
      <c r="D1260" s="107" t="str">
        <f aca="false">IF($E1260="","",INDEX(资金日记账!$D$4:$D$603,176))</f>
        <v/>
      </c>
      <c r="E1260" s="67" t="str">
        <f aca="false">IF(INDEX(资金日记账!$N$4:$S$603,176,1)=0,"",INDEX(资金日记账!$N$4:$S$603,176,1))</f>
        <v/>
      </c>
      <c r="F1260" s="99" t="str">
        <f aca="false">IF($E1260="","",IFERROR(INDEX(科目表!$A$4:$A$81,MATCH($E1260,科目表!$B$4:$B$81,0)),""))</f>
        <v/>
      </c>
      <c r="G1260" s="67" t="str">
        <f aca="false">IF($E1260="","",IFERROR(INDEX(科目表!$E$4:$E$81,MATCH($E1260,科目表!$B$4:$B$81,0)),""))</f>
        <v/>
      </c>
      <c r="H1260" s="70" t="str">
        <f aca="false">IF($E1260="","",N(INDEX(资金日记账!$N$4:$S$603,176,2)))</f>
        <v/>
      </c>
      <c r="I1260" s="70" t="str">
        <f aca="false">IF($E1260="","",N(INDEX(资金日记账!$N$4:$S$603,176,3)))</f>
        <v/>
      </c>
      <c r="J1260" s="67" t="str">
        <f aca="false">IF($E1260="","",INDEX(资金日记账!$E$4:$E$603,176))</f>
        <v/>
      </c>
      <c r="K1260" s="67" t="str">
        <f aca="false">IF($E1260="","",INDEX(资金日记账!$F$4:$F$603,176))</f>
        <v/>
      </c>
      <c r="L1260" s="107" t="str">
        <f aca="false">IF($E1260="","",INDEX(资金日记账!$X$4:$X$603,176))</f>
        <v/>
      </c>
      <c r="M1260" s="107"/>
      <c r="N1260" s="67" t="str">
        <f aca="false">IF($E1260="","",INDEX(资金日记账!$Y$4:$Y$603,176))</f>
        <v/>
      </c>
      <c r="O1260" s="67" t="str">
        <f aca="false">IF($E1260="","","自动B")</f>
        <v/>
      </c>
      <c r="P1260" s="18"/>
    </row>
    <row r="1261" customFormat="false" ht="18" hidden="false" customHeight="true" outlineLevel="0" collapsed="false">
      <c r="A1261" s="107" t="str">
        <f aca="false">IF($E1261="","",ROW()-3)</f>
        <v/>
      </c>
      <c r="B1261" s="110" t="str">
        <f aca="false">IF($E1261="","",INDEX(资金日记账!$B$4:$B$603,176))</f>
        <v/>
      </c>
      <c r="C1261" s="67" t="str">
        <f aca="false">IF($E1261="","",IF(INDEX(资金日记账!$W$4:$W$603,176)="","记-"&amp;TEXT($B1261,"YYYYMM")&amp;"-资金",INDEX(资金日记账!$W$4:$W$603,176)))</f>
        <v/>
      </c>
      <c r="D1261" s="107" t="str">
        <f aca="false">IF($E1261="","",INDEX(资金日记账!$D$4:$D$603,176))</f>
        <v/>
      </c>
      <c r="E1261" s="67" t="str">
        <f aca="false">IF(INDEX(资金日记账!$N$4:$S$603,176,4)=0,"",INDEX(资金日记账!$N$4:$S$603,176,4))</f>
        <v/>
      </c>
      <c r="F1261" s="99" t="str">
        <f aca="false">IF($E1261="","",IFERROR(INDEX(科目表!$A$4:$A$81,MATCH($E1261,科目表!$B$4:$B$81,0)),""))</f>
        <v/>
      </c>
      <c r="G1261" s="67" t="str">
        <f aca="false">IF($E1261="","",IFERROR(INDEX(科目表!$E$4:$E$81,MATCH($E1261,科目表!$B$4:$B$81,0)),""))</f>
        <v/>
      </c>
      <c r="H1261" s="70" t="str">
        <f aca="false">IF($E1261="","",N(INDEX(资金日记账!$N$4:$S$603,176,5)))</f>
        <v/>
      </c>
      <c r="I1261" s="70" t="str">
        <f aca="false">IF($E1261="","",N(INDEX(资金日记账!$N$4:$S$603,176,6)))</f>
        <v/>
      </c>
      <c r="J1261" s="67" t="str">
        <f aca="false">IF($E1261="","",INDEX(资金日记账!$E$4:$E$603,176))</f>
        <v/>
      </c>
      <c r="K1261" s="67" t="str">
        <f aca="false">IF($E1261="","",INDEX(资金日记账!$F$4:$F$603,176))</f>
        <v/>
      </c>
      <c r="L1261" s="107" t="str">
        <f aca="false">IF($E1261="","",INDEX(资金日记账!$X$4:$X$603,176))</f>
        <v/>
      </c>
      <c r="M1261" s="107"/>
      <c r="N1261" s="67" t="str">
        <f aca="false">IF($E1261="","",INDEX(资金日记账!$Y$4:$Y$603,176))</f>
        <v/>
      </c>
      <c r="O1261" s="67" t="str">
        <f aca="false">IF($E1261="","","自动B")</f>
        <v/>
      </c>
      <c r="P1261" s="18"/>
    </row>
    <row r="1262" customFormat="false" ht="18" hidden="false" customHeight="true" outlineLevel="0" collapsed="false">
      <c r="A1262" s="107" t="str">
        <f aca="false">IF($E1262="","",ROW()-3)</f>
        <v/>
      </c>
      <c r="B1262" s="110" t="str">
        <f aca="false">IF($E1262="","",INDEX(资金日记账!$B$4:$B$603,177))</f>
        <v/>
      </c>
      <c r="C1262" s="67" t="str">
        <f aca="false">IF($E1262="","",IF(INDEX(资金日记账!$W$4:$W$603,177)="","记-"&amp;TEXT($B1262,"YYYYMM")&amp;"-资金",INDEX(资金日记账!$W$4:$W$603,177)))</f>
        <v/>
      </c>
      <c r="D1262" s="107" t="str">
        <f aca="false">IF($E1262="","",INDEX(资金日记账!$D$4:$D$603,177))</f>
        <v/>
      </c>
      <c r="E1262" s="67" t="str">
        <f aca="false">IF(INDEX(资金日记账!$N$4:$S$603,177,1)=0,"",INDEX(资金日记账!$N$4:$S$603,177,1))</f>
        <v/>
      </c>
      <c r="F1262" s="99" t="str">
        <f aca="false">IF($E1262="","",IFERROR(INDEX(科目表!$A$4:$A$81,MATCH($E1262,科目表!$B$4:$B$81,0)),""))</f>
        <v/>
      </c>
      <c r="G1262" s="67" t="str">
        <f aca="false">IF($E1262="","",IFERROR(INDEX(科目表!$E$4:$E$81,MATCH($E1262,科目表!$B$4:$B$81,0)),""))</f>
        <v/>
      </c>
      <c r="H1262" s="70" t="str">
        <f aca="false">IF($E1262="","",N(INDEX(资金日记账!$N$4:$S$603,177,2)))</f>
        <v/>
      </c>
      <c r="I1262" s="70" t="str">
        <f aca="false">IF($E1262="","",N(INDEX(资金日记账!$N$4:$S$603,177,3)))</f>
        <v/>
      </c>
      <c r="J1262" s="67" t="str">
        <f aca="false">IF($E1262="","",INDEX(资金日记账!$E$4:$E$603,177))</f>
        <v/>
      </c>
      <c r="K1262" s="67" t="str">
        <f aca="false">IF($E1262="","",INDEX(资金日记账!$F$4:$F$603,177))</f>
        <v/>
      </c>
      <c r="L1262" s="107" t="str">
        <f aca="false">IF($E1262="","",INDEX(资金日记账!$X$4:$X$603,177))</f>
        <v/>
      </c>
      <c r="M1262" s="107"/>
      <c r="N1262" s="67" t="str">
        <f aca="false">IF($E1262="","",INDEX(资金日记账!$Y$4:$Y$603,177))</f>
        <v/>
      </c>
      <c r="O1262" s="67" t="str">
        <f aca="false">IF($E1262="","","自动B")</f>
        <v/>
      </c>
      <c r="P1262" s="18"/>
    </row>
    <row r="1263" customFormat="false" ht="18" hidden="false" customHeight="true" outlineLevel="0" collapsed="false">
      <c r="A1263" s="107" t="str">
        <f aca="false">IF($E1263="","",ROW()-3)</f>
        <v/>
      </c>
      <c r="B1263" s="110" t="str">
        <f aca="false">IF($E1263="","",INDEX(资金日记账!$B$4:$B$603,177))</f>
        <v/>
      </c>
      <c r="C1263" s="67" t="str">
        <f aca="false">IF($E1263="","",IF(INDEX(资金日记账!$W$4:$W$603,177)="","记-"&amp;TEXT($B1263,"YYYYMM")&amp;"-资金",INDEX(资金日记账!$W$4:$W$603,177)))</f>
        <v/>
      </c>
      <c r="D1263" s="107" t="str">
        <f aca="false">IF($E1263="","",INDEX(资金日记账!$D$4:$D$603,177))</f>
        <v/>
      </c>
      <c r="E1263" s="67" t="str">
        <f aca="false">IF(INDEX(资金日记账!$N$4:$S$603,177,4)=0,"",INDEX(资金日记账!$N$4:$S$603,177,4))</f>
        <v/>
      </c>
      <c r="F1263" s="99" t="str">
        <f aca="false">IF($E1263="","",IFERROR(INDEX(科目表!$A$4:$A$81,MATCH($E1263,科目表!$B$4:$B$81,0)),""))</f>
        <v/>
      </c>
      <c r="G1263" s="67" t="str">
        <f aca="false">IF($E1263="","",IFERROR(INDEX(科目表!$E$4:$E$81,MATCH($E1263,科目表!$B$4:$B$81,0)),""))</f>
        <v/>
      </c>
      <c r="H1263" s="70" t="str">
        <f aca="false">IF($E1263="","",N(INDEX(资金日记账!$N$4:$S$603,177,5)))</f>
        <v/>
      </c>
      <c r="I1263" s="70" t="str">
        <f aca="false">IF($E1263="","",N(INDEX(资金日记账!$N$4:$S$603,177,6)))</f>
        <v/>
      </c>
      <c r="J1263" s="67" t="str">
        <f aca="false">IF($E1263="","",INDEX(资金日记账!$E$4:$E$603,177))</f>
        <v/>
      </c>
      <c r="K1263" s="67" t="str">
        <f aca="false">IF($E1263="","",INDEX(资金日记账!$F$4:$F$603,177))</f>
        <v/>
      </c>
      <c r="L1263" s="107" t="str">
        <f aca="false">IF($E1263="","",INDEX(资金日记账!$X$4:$X$603,177))</f>
        <v/>
      </c>
      <c r="M1263" s="107"/>
      <c r="N1263" s="67" t="str">
        <f aca="false">IF($E1263="","",INDEX(资金日记账!$Y$4:$Y$603,177))</f>
        <v/>
      </c>
      <c r="O1263" s="67" t="str">
        <f aca="false">IF($E1263="","","自动B")</f>
        <v/>
      </c>
      <c r="P1263" s="18"/>
    </row>
    <row r="1264" customFormat="false" ht="18" hidden="false" customHeight="true" outlineLevel="0" collapsed="false">
      <c r="A1264" s="107" t="str">
        <f aca="false">IF($E1264="","",ROW()-3)</f>
        <v/>
      </c>
      <c r="B1264" s="110" t="str">
        <f aca="false">IF($E1264="","",INDEX(资金日记账!$B$4:$B$603,178))</f>
        <v/>
      </c>
      <c r="C1264" s="67" t="str">
        <f aca="false">IF($E1264="","",IF(INDEX(资金日记账!$W$4:$W$603,178)="","记-"&amp;TEXT($B1264,"YYYYMM")&amp;"-资金",INDEX(资金日记账!$W$4:$W$603,178)))</f>
        <v/>
      </c>
      <c r="D1264" s="107" t="str">
        <f aca="false">IF($E1264="","",INDEX(资金日记账!$D$4:$D$603,178))</f>
        <v/>
      </c>
      <c r="E1264" s="67" t="str">
        <f aca="false">IF(INDEX(资金日记账!$N$4:$S$603,178,1)=0,"",INDEX(资金日记账!$N$4:$S$603,178,1))</f>
        <v/>
      </c>
      <c r="F1264" s="99" t="str">
        <f aca="false">IF($E1264="","",IFERROR(INDEX(科目表!$A$4:$A$81,MATCH($E1264,科目表!$B$4:$B$81,0)),""))</f>
        <v/>
      </c>
      <c r="G1264" s="67" t="str">
        <f aca="false">IF($E1264="","",IFERROR(INDEX(科目表!$E$4:$E$81,MATCH($E1264,科目表!$B$4:$B$81,0)),""))</f>
        <v/>
      </c>
      <c r="H1264" s="70" t="str">
        <f aca="false">IF($E1264="","",N(INDEX(资金日记账!$N$4:$S$603,178,2)))</f>
        <v/>
      </c>
      <c r="I1264" s="70" t="str">
        <f aca="false">IF($E1264="","",N(INDEX(资金日记账!$N$4:$S$603,178,3)))</f>
        <v/>
      </c>
      <c r="J1264" s="67" t="str">
        <f aca="false">IF($E1264="","",INDEX(资金日记账!$E$4:$E$603,178))</f>
        <v/>
      </c>
      <c r="K1264" s="67" t="str">
        <f aca="false">IF($E1264="","",INDEX(资金日记账!$F$4:$F$603,178))</f>
        <v/>
      </c>
      <c r="L1264" s="107" t="str">
        <f aca="false">IF($E1264="","",INDEX(资金日记账!$X$4:$X$603,178))</f>
        <v/>
      </c>
      <c r="M1264" s="107"/>
      <c r="N1264" s="67" t="str">
        <f aca="false">IF($E1264="","",INDEX(资金日记账!$Y$4:$Y$603,178))</f>
        <v/>
      </c>
      <c r="O1264" s="67" t="str">
        <f aca="false">IF($E1264="","","自动B")</f>
        <v/>
      </c>
      <c r="P1264" s="18"/>
    </row>
    <row r="1265" customFormat="false" ht="18" hidden="false" customHeight="true" outlineLevel="0" collapsed="false">
      <c r="A1265" s="107" t="str">
        <f aca="false">IF($E1265="","",ROW()-3)</f>
        <v/>
      </c>
      <c r="B1265" s="110" t="str">
        <f aca="false">IF($E1265="","",INDEX(资金日记账!$B$4:$B$603,178))</f>
        <v/>
      </c>
      <c r="C1265" s="67" t="str">
        <f aca="false">IF($E1265="","",IF(INDEX(资金日记账!$W$4:$W$603,178)="","记-"&amp;TEXT($B1265,"YYYYMM")&amp;"-资金",INDEX(资金日记账!$W$4:$W$603,178)))</f>
        <v/>
      </c>
      <c r="D1265" s="107" t="str">
        <f aca="false">IF($E1265="","",INDEX(资金日记账!$D$4:$D$603,178))</f>
        <v/>
      </c>
      <c r="E1265" s="67" t="str">
        <f aca="false">IF(INDEX(资金日记账!$N$4:$S$603,178,4)=0,"",INDEX(资金日记账!$N$4:$S$603,178,4))</f>
        <v/>
      </c>
      <c r="F1265" s="99" t="str">
        <f aca="false">IF($E1265="","",IFERROR(INDEX(科目表!$A$4:$A$81,MATCH($E1265,科目表!$B$4:$B$81,0)),""))</f>
        <v/>
      </c>
      <c r="G1265" s="67" t="str">
        <f aca="false">IF($E1265="","",IFERROR(INDEX(科目表!$E$4:$E$81,MATCH($E1265,科目表!$B$4:$B$81,0)),""))</f>
        <v/>
      </c>
      <c r="H1265" s="70" t="str">
        <f aca="false">IF($E1265="","",N(INDEX(资金日记账!$N$4:$S$603,178,5)))</f>
        <v/>
      </c>
      <c r="I1265" s="70" t="str">
        <f aca="false">IF($E1265="","",N(INDEX(资金日记账!$N$4:$S$603,178,6)))</f>
        <v/>
      </c>
      <c r="J1265" s="67" t="str">
        <f aca="false">IF($E1265="","",INDEX(资金日记账!$E$4:$E$603,178))</f>
        <v/>
      </c>
      <c r="K1265" s="67" t="str">
        <f aca="false">IF($E1265="","",INDEX(资金日记账!$F$4:$F$603,178))</f>
        <v/>
      </c>
      <c r="L1265" s="107" t="str">
        <f aca="false">IF($E1265="","",INDEX(资金日记账!$X$4:$X$603,178))</f>
        <v/>
      </c>
      <c r="M1265" s="107"/>
      <c r="N1265" s="67" t="str">
        <f aca="false">IF($E1265="","",INDEX(资金日记账!$Y$4:$Y$603,178))</f>
        <v/>
      </c>
      <c r="O1265" s="67" t="str">
        <f aca="false">IF($E1265="","","自动B")</f>
        <v/>
      </c>
      <c r="P1265" s="18"/>
    </row>
    <row r="1266" customFormat="false" ht="18" hidden="false" customHeight="true" outlineLevel="0" collapsed="false">
      <c r="A1266" s="107" t="str">
        <f aca="false">IF($E1266="","",ROW()-3)</f>
        <v/>
      </c>
      <c r="B1266" s="110" t="str">
        <f aca="false">IF($E1266="","",INDEX(资金日记账!$B$4:$B$603,179))</f>
        <v/>
      </c>
      <c r="C1266" s="67" t="str">
        <f aca="false">IF($E1266="","",IF(INDEX(资金日记账!$W$4:$W$603,179)="","记-"&amp;TEXT($B1266,"YYYYMM")&amp;"-资金",INDEX(资金日记账!$W$4:$W$603,179)))</f>
        <v/>
      </c>
      <c r="D1266" s="107" t="str">
        <f aca="false">IF($E1266="","",INDEX(资金日记账!$D$4:$D$603,179))</f>
        <v/>
      </c>
      <c r="E1266" s="67" t="str">
        <f aca="false">IF(INDEX(资金日记账!$N$4:$S$603,179,1)=0,"",INDEX(资金日记账!$N$4:$S$603,179,1))</f>
        <v/>
      </c>
      <c r="F1266" s="99" t="str">
        <f aca="false">IF($E1266="","",IFERROR(INDEX(科目表!$A$4:$A$81,MATCH($E1266,科目表!$B$4:$B$81,0)),""))</f>
        <v/>
      </c>
      <c r="G1266" s="67" t="str">
        <f aca="false">IF($E1266="","",IFERROR(INDEX(科目表!$E$4:$E$81,MATCH($E1266,科目表!$B$4:$B$81,0)),""))</f>
        <v/>
      </c>
      <c r="H1266" s="70" t="str">
        <f aca="false">IF($E1266="","",N(INDEX(资金日记账!$N$4:$S$603,179,2)))</f>
        <v/>
      </c>
      <c r="I1266" s="70" t="str">
        <f aca="false">IF($E1266="","",N(INDEX(资金日记账!$N$4:$S$603,179,3)))</f>
        <v/>
      </c>
      <c r="J1266" s="67" t="str">
        <f aca="false">IF($E1266="","",INDEX(资金日记账!$E$4:$E$603,179))</f>
        <v/>
      </c>
      <c r="K1266" s="67" t="str">
        <f aca="false">IF($E1266="","",INDEX(资金日记账!$F$4:$F$603,179))</f>
        <v/>
      </c>
      <c r="L1266" s="107" t="str">
        <f aca="false">IF($E1266="","",INDEX(资金日记账!$X$4:$X$603,179))</f>
        <v/>
      </c>
      <c r="M1266" s="107"/>
      <c r="N1266" s="67" t="str">
        <f aca="false">IF($E1266="","",INDEX(资金日记账!$Y$4:$Y$603,179))</f>
        <v/>
      </c>
      <c r="O1266" s="67" t="str">
        <f aca="false">IF($E1266="","","自动B")</f>
        <v/>
      </c>
      <c r="P1266" s="18"/>
    </row>
    <row r="1267" customFormat="false" ht="18" hidden="false" customHeight="true" outlineLevel="0" collapsed="false">
      <c r="A1267" s="107" t="str">
        <f aca="false">IF($E1267="","",ROW()-3)</f>
        <v/>
      </c>
      <c r="B1267" s="110" t="str">
        <f aca="false">IF($E1267="","",INDEX(资金日记账!$B$4:$B$603,179))</f>
        <v/>
      </c>
      <c r="C1267" s="67" t="str">
        <f aca="false">IF($E1267="","",IF(INDEX(资金日记账!$W$4:$W$603,179)="","记-"&amp;TEXT($B1267,"YYYYMM")&amp;"-资金",INDEX(资金日记账!$W$4:$W$603,179)))</f>
        <v/>
      </c>
      <c r="D1267" s="107" t="str">
        <f aca="false">IF($E1267="","",INDEX(资金日记账!$D$4:$D$603,179))</f>
        <v/>
      </c>
      <c r="E1267" s="67" t="str">
        <f aca="false">IF(INDEX(资金日记账!$N$4:$S$603,179,4)=0,"",INDEX(资金日记账!$N$4:$S$603,179,4))</f>
        <v/>
      </c>
      <c r="F1267" s="99" t="str">
        <f aca="false">IF($E1267="","",IFERROR(INDEX(科目表!$A$4:$A$81,MATCH($E1267,科目表!$B$4:$B$81,0)),""))</f>
        <v/>
      </c>
      <c r="G1267" s="67" t="str">
        <f aca="false">IF($E1267="","",IFERROR(INDEX(科目表!$E$4:$E$81,MATCH($E1267,科目表!$B$4:$B$81,0)),""))</f>
        <v/>
      </c>
      <c r="H1267" s="70" t="str">
        <f aca="false">IF($E1267="","",N(INDEX(资金日记账!$N$4:$S$603,179,5)))</f>
        <v/>
      </c>
      <c r="I1267" s="70" t="str">
        <f aca="false">IF($E1267="","",N(INDEX(资金日记账!$N$4:$S$603,179,6)))</f>
        <v/>
      </c>
      <c r="J1267" s="67" t="str">
        <f aca="false">IF($E1267="","",INDEX(资金日记账!$E$4:$E$603,179))</f>
        <v/>
      </c>
      <c r="K1267" s="67" t="str">
        <f aca="false">IF($E1267="","",INDEX(资金日记账!$F$4:$F$603,179))</f>
        <v/>
      </c>
      <c r="L1267" s="107" t="str">
        <f aca="false">IF($E1267="","",INDEX(资金日记账!$X$4:$X$603,179))</f>
        <v/>
      </c>
      <c r="M1267" s="107"/>
      <c r="N1267" s="67" t="str">
        <f aca="false">IF($E1267="","",INDEX(资金日记账!$Y$4:$Y$603,179))</f>
        <v/>
      </c>
      <c r="O1267" s="67" t="str">
        <f aca="false">IF($E1267="","","自动B")</f>
        <v/>
      </c>
      <c r="P1267" s="18"/>
    </row>
    <row r="1268" customFormat="false" ht="18" hidden="false" customHeight="true" outlineLevel="0" collapsed="false">
      <c r="A1268" s="107" t="str">
        <f aca="false">IF($E1268="","",ROW()-3)</f>
        <v/>
      </c>
      <c r="B1268" s="110" t="str">
        <f aca="false">IF($E1268="","",INDEX(资金日记账!$B$4:$B$603,180))</f>
        <v/>
      </c>
      <c r="C1268" s="67" t="str">
        <f aca="false">IF($E1268="","",IF(INDEX(资金日记账!$W$4:$W$603,180)="","记-"&amp;TEXT($B1268,"YYYYMM")&amp;"-资金",INDEX(资金日记账!$W$4:$W$603,180)))</f>
        <v/>
      </c>
      <c r="D1268" s="107" t="str">
        <f aca="false">IF($E1268="","",INDEX(资金日记账!$D$4:$D$603,180))</f>
        <v/>
      </c>
      <c r="E1268" s="67" t="str">
        <f aca="false">IF(INDEX(资金日记账!$N$4:$S$603,180,1)=0,"",INDEX(资金日记账!$N$4:$S$603,180,1))</f>
        <v/>
      </c>
      <c r="F1268" s="99" t="str">
        <f aca="false">IF($E1268="","",IFERROR(INDEX(科目表!$A$4:$A$81,MATCH($E1268,科目表!$B$4:$B$81,0)),""))</f>
        <v/>
      </c>
      <c r="G1268" s="67" t="str">
        <f aca="false">IF($E1268="","",IFERROR(INDEX(科目表!$E$4:$E$81,MATCH($E1268,科目表!$B$4:$B$81,0)),""))</f>
        <v/>
      </c>
      <c r="H1268" s="70" t="str">
        <f aca="false">IF($E1268="","",N(INDEX(资金日记账!$N$4:$S$603,180,2)))</f>
        <v/>
      </c>
      <c r="I1268" s="70" t="str">
        <f aca="false">IF($E1268="","",N(INDEX(资金日记账!$N$4:$S$603,180,3)))</f>
        <v/>
      </c>
      <c r="J1268" s="67" t="str">
        <f aca="false">IF($E1268="","",INDEX(资金日记账!$E$4:$E$603,180))</f>
        <v/>
      </c>
      <c r="K1268" s="67" t="str">
        <f aca="false">IF($E1268="","",INDEX(资金日记账!$F$4:$F$603,180))</f>
        <v/>
      </c>
      <c r="L1268" s="107" t="str">
        <f aca="false">IF($E1268="","",INDEX(资金日记账!$X$4:$X$603,180))</f>
        <v/>
      </c>
      <c r="M1268" s="107"/>
      <c r="N1268" s="67" t="str">
        <f aca="false">IF($E1268="","",INDEX(资金日记账!$Y$4:$Y$603,180))</f>
        <v/>
      </c>
      <c r="O1268" s="67" t="str">
        <f aca="false">IF($E1268="","","自动B")</f>
        <v/>
      </c>
      <c r="P1268" s="18"/>
    </row>
    <row r="1269" customFormat="false" ht="18" hidden="false" customHeight="true" outlineLevel="0" collapsed="false">
      <c r="A1269" s="107" t="str">
        <f aca="false">IF($E1269="","",ROW()-3)</f>
        <v/>
      </c>
      <c r="B1269" s="110" t="str">
        <f aca="false">IF($E1269="","",INDEX(资金日记账!$B$4:$B$603,180))</f>
        <v/>
      </c>
      <c r="C1269" s="67" t="str">
        <f aca="false">IF($E1269="","",IF(INDEX(资金日记账!$W$4:$W$603,180)="","记-"&amp;TEXT($B1269,"YYYYMM")&amp;"-资金",INDEX(资金日记账!$W$4:$W$603,180)))</f>
        <v/>
      </c>
      <c r="D1269" s="107" t="str">
        <f aca="false">IF($E1269="","",INDEX(资金日记账!$D$4:$D$603,180))</f>
        <v/>
      </c>
      <c r="E1269" s="67" t="str">
        <f aca="false">IF(INDEX(资金日记账!$N$4:$S$603,180,4)=0,"",INDEX(资金日记账!$N$4:$S$603,180,4))</f>
        <v/>
      </c>
      <c r="F1269" s="99" t="str">
        <f aca="false">IF($E1269="","",IFERROR(INDEX(科目表!$A$4:$A$81,MATCH($E1269,科目表!$B$4:$B$81,0)),""))</f>
        <v/>
      </c>
      <c r="G1269" s="67" t="str">
        <f aca="false">IF($E1269="","",IFERROR(INDEX(科目表!$E$4:$E$81,MATCH($E1269,科目表!$B$4:$B$81,0)),""))</f>
        <v/>
      </c>
      <c r="H1269" s="70" t="str">
        <f aca="false">IF($E1269="","",N(INDEX(资金日记账!$N$4:$S$603,180,5)))</f>
        <v/>
      </c>
      <c r="I1269" s="70" t="str">
        <f aca="false">IF($E1269="","",N(INDEX(资金日记账!$N$4:$S$603,180,6)))</f>
        <v/>
      </c>
      <c r="J1269" s="67" t="str">
        <f aca="false">IF($E1269="","",INDEX(资金日记账!$E$4:$E$603,180))</f>
        <v/>
      </c>
      <c r="K1269" s="67" t="str">
        <f aca="false">IF($E1269="","",INDEX(资金日记账!$F$4:$F$603,180))</f>
        <v/>
      </c>
      <c r="L1269" s="107" t="str">
        <f aca="false">IF($E1269="","",INDEX(资金日记账!$X$4:$X$603,180))</f>
        <v/>
      </c>
      <c r="M1269" s="107"/>
      <c r="N1269" s="67" t="str">
        <f aca="false">IF($E1269="","",INDEX(资金日记账!$Y$4:$Y$603,180))</f>
        <v/>
      </c>
      <c r="O1269" s="67" t="str">
        <f aca="false">IF($E1269="","","自动B")</f>
        <v/>
      </c>
      <c r="P1269" s="18"/>
    </row>
    <row r="1270" customFormat="false" ht="18" hidden="false" customHeight="true" outlineLevel="0" collapsed="false">
      <c r="A1270" s="107" t="str">
        <f aca="false">IF($E1270="","",ROW()-3)</f>
        <v/>
      </c>
      <c r="B1270" s="110" t="str">
        <f aca="false">IF($E1270="","",INDEX(资金日记账!$B$4:$B$603,181))</f>
        <v/>
      </c>
      <c r="C1270" s="67" t="str">
        <f aca="false">IF($E1270="","",IF(INDEX(资金日记账!$W$4:$W$603,181)="","记-"&amp;TEXT($B1270,"YYYYMM")&amp;"-资金",INDEX(资金日记账!$W$4:$W$603,181)))</f>
        <v/>
      </c>
      <c r="D1270" s="107" t="str">
        <f aca="false">IF($E1270="","",INDEX(资金日记账!$D$4:$D$603,181))</f>
        <v/>
      </c>
      <c r="E1270" s="67" t="str">
        <f aca="false">IF(INDEX(资金日记账!$N$4:$S$603,181,1)=0,"",INDEX(资金日记账!$N$4:$S$603,181,1))</f>
        <v/>
      </c>
      <c r="F1270" s="99" t="str">
        <f aca="false">IF($E1270="","",IFERROR(INDEX(科目表!$A$4:$A$81,MATCH($E1270,科目表!$B$4:$B$81,0)),""))</f>
        <v/>
      </c>
      <c r="G1270" s="67" t="str">
        <f aca="false">IF($E1270="","",IFERROR(INDEX(科目表!$E$4:$E$81,MATCH($E1270,科目表!$B$4:$B$81,0)),""))</f>
        <v/>
      </c>
      <c r="H1270" s="70" t="str">
        <f aca="false">IF($E1270="","",N(INDEX(资金日记账!$N$4:$S$603,181,2)))</f>
        <v/>
      </c>
      <c r="I1270" s="70" t="str">
        <f aca="false">IF($E1270="","",N(INDEX(资金日记账!$N$4:$S$603,181,3)))</f>
        <v/>
      </c>
      <c r="J1270" s="67" t="str">
        <f aca="false">IF($E1270="","",INDEX(资金日记账!$E$4:$E$603,181))</f>
        <v/>
      </c>
      <c r="K1270" s="67" t="str">
        <f aca="false">IF($E1270="","",INDEX(资金日记账!$F$4:$F$603,181))</f>
        <v/>
      </c>
      <c r="L1270" s="107" t="str">
        <f aca="false">IF($E1270="","",INDEX(资金日记账!$X$4:$X$603,181))</f>
        <v/>
      </c>
      <c r="M1270" s="107"/>
      <c r="N1270" s="67" t="str">
        <f aca="false">IF($E1270="","",INDEX(资金日记账!$Y$4:$Y$603,181))</f>
        <v/>
      </c>
      <c r="O1270" s="67" t="str">
        <f aca="false">IF($E1270="","","自动B")</f>
        <v/>
      </c>
      <c r="P1270" s="18"/>
    </row>
    <row r="1271" customFormat="false" ht="18" hidden="false" customHeight="true" outlineLevel="0" collapsed="false">
      <c r="A1271" s="107" t="str">
        <f aca="false">IF($E1271="","",ROW()-3)</f>
        <v/>
      </c>
      <c r="B1271" s="110" t="str">
        <f aca="false">IF($E1271="","",INDEX(资金日记账!$B$4:$B$603,181))</f>
        <v/>
      </c>
      <c r="C1271" s="67" t="str">
        <f aca="false">IF($E1271="","",IF(INDEX(资金日记账!$W$4:$W$603,181)="","记-"&amp;TEXT($B1271,"YYYYMM")&amp;"-资金",INDEX(资金日记账!$W$4:$W$603,181)))</f>
        <v/>
      </c>
      <c r="D1271" s="107" t="str">
        <f aca="false">IF($E1271="","",INDEX(资金日记账!$D$4:$D$603,181))</f>
        <v/>
      </c>
      <c r="E1271" s="67" t="str">
        <f aca="false">IF(INDEX(资金日记账!$N$4:$S$603,181,4)=0,"",INDEX(资金日记账!$N$4:$S$603,181,4))</f>
        <v/>
      </c>
      <c r="F1271" s="99" t="str">
        <f aca="false">IF($E1271="","",IFERROR(INDEX(科目表!$A$4:$A$81,MATCH($E1271,科目表!$B$4:$B$81,0)),""))</f>
        <v/>
      </c>
      <c r="G1271" s="67" t="str">
        <f aca="false">IF($E1271="","",IFERROR(INDEX(科目表!$E$4:$E$81,MATCH($E1271,科目表!$B$4:$B$81,0)),""))</f>
        <v/>
      </c>
      <c r="H1271" s="70" t="str">
        <f aca="false">IF($E1271="","",N(INDEX(资金日记账!$N$4:$S$603,181,5)))</f>
        <v/>
      </c>
      <c r="I1271" s="70" t="str">
        <f aca="false">IF($E1271="","",N(INDEX(资金日记账!$N$4:$S$603,181,6)))</f>
        <v/>
      </c>
      <c r="J1271" s="67" t="str">
        <f aca="false">IF($E1271="","",INDEX(资金日记账!$E$4:$E$603,181))</f>
        <v/>
      </c>
      <c r="K1271" s="67" t="str">
        <f aca="false">IF($E1271="","",INDEX(资金日记账!$F$4:$F$603,181))</f>
        <v/>
      </c>
      <c r="L1271" s="107" t="str">
        <f aca="false">IF($E1271="","",INDEX(资金日记账!$X$4:$X$603,181))</f>
        <v/>
      </c>
      <c r="M1271" s="107"/>
      <c r="N1271" s="67" t="str">
        <f aca="false">IF($E1271="","",INDEX(资金日记账!$Y$4:$Y$603,181))</f>
        <v/>
      </c>
      <c r="O1271" s="67" t="str">
        <f aca="false">IF($E1271="","","自动B")</f>
        <v/>
      </c>
      <c r="P1271" s="18"/>
    </row>
    <row r="1272" customFormat="false" ht="18" hidden="false" customHeight="true" outlineLevel="0" collapsed="false">
      <c r="A1272" s="107" t="str">
        <f aca="false">IF($E1272="","",ROW()-3)</f>
        <v/>
      </c>
      <c r="B1272" s="110" t="str">
        <f aca="false">IF($E1272="","",INDEX(资金日记账!$B$4:$B$603,182))</f>
        <v/>
      </c>
      <c r="C1272" s="67" t="str">
        <f aca="false">IF($E1272="","",IF(INDEX(资金日记账!$W$4:$W$603,182)="","记-"&amp;TEXT($B1272,"YYYYMM")&amp;"-资金",INDEX(资金日记账!$W$4:$W$603,182)))</f>
        <v/>
      </c>
      <c r="D1272" s="107" t="str">
        <f aca="false">IF($E1272="","",INDEX(资金日记账!$D$4:$D$603,182))</f>
        <v/>
      </c>
      <c r="E1272" s="67" t="str">
        <f aca="false">IF(INDEX(资金日记账!$N$4:$S$603,182,1)=0,"",INDEX(资金日记账!$N$4:$S$603,182,1))</f>
        <v/>
      </c>
      <c r="F1272" s="99" t="str">
        <f aca="false">IF($E1272="","",IFERROR(INDEX(科目表!$A$4:$A$81,MATCH($E1272,科目表!$B$4:$B$81,0)),""))</f>
        <v/>
      </c>
      <c r="G1272" s="67" t="str">
        <f aca="false">IF($E1272="","",IFERROR(INDEX(科目表!$E$4:$E$81,MATCH($E1272,科目表!$B$4:$B$81,0)),""))</f>
        <v/>
      </c>
      <c r="H1272" s="70" t="str">
        <f aca="false">IF($E1272="","",N(INDEX(资金日记账!$N$4:$S$603,182,2)))</f>
        <v/>
      </c>
      <c r="I1272" s="70" t="str">
        <f aca="false">IF($E1272="","",N(INDEX(资金日记账!$N$4:$S$603,182,3)))</f>
        <v/>
      </c>
      <c r="J1272" s="67" t="str">
        <f aca="false">IF($E1272="","",INDEX(资金日记账!$E$4:$E$603,182))</f>
        <v/>
      </c>
      <c r="K1272" s="67" t="str">
        <f aca="false">IF($E1272="","",INDEX(资金日记账!$F$4:$F$603,182))</f>
        <v/>
      </c>
      <c r="L1272" s="107" t="str">
        <f aca="false">IF($E1272="","",INDEX(资金日记账!$X$4:$X$603,182))</f>
        <v/>
      </c>
      <c r="M1272" s="107"/>
      <c r="N1272" s="67" t="str">
        <f aca="false">IF($E1272="","",INDEX(资金日记账!$Y$4:$Y$603,182))</f>
        <v/>
      </c>
      <c r="O1272" s="67" t="str">
        <f aca="false">IF($E1272="","","自动B")</f>
        <v/>
      </c>
      <c r="P1272" s="18"/>
    </row>
    <row r="1273" customFormat="false" ht="18" hidden="false" customHeight="true" outlineLevel="0" collapsed="false">
      <c r="A1273" s="107" t="str">
        <f aca="false">IF($E1273="","",ROW()-3)</f>
        <v/>
      </c>
      <c r="B1273" s="110" t="str">
        <f aca="false">IF($E1273="","",INDEX(资金日记账!$B$4:$B$603,182))</f>
        <v/>
      </c>
      <c r="C1273" s="67" t="str">
        <f aca="false">IF($E1273="","",IF(INDEX(资金日记账!$W$4:$W$603,182)="","记-"&amp;TEXT($B1273,"YYYYMM")&amp;"-资金",INDEX(资金日记账!$W$4:$W$603,182)))</f>
        <v/>
      </c>
      <c r="D1273" s="107" t="str">
        <f aca="false">IF($E1273="","",INDEX(资金日记账!$D$4:$D$603,182))</f>
        <v/>
      </c>
      <c r="E1273" s="67" t="str">
        <f aca="false">IF(INDEX(资金日记账!$N$4:$S$603,182,4)=0,"",INDEX(资金日记账!$N$4:$S$603,182,4))</f>
        <v/>
      </c>
      <c r="F1273" s="99" t="str">
        <f aca="false">IF($E1273="","",IFERROR(INDEX(科目表!$A$4:$A$81,MATCH($E1273,科目表!$B$4:$B$81,0)),""))</f>
        <v/>
      </c>
      <c r="G1273" s="67" t="str">
        <f aca="false">IF($E1273="","",IFERROR(INDEX(科目表!$E$4:$E$81,MATCH($E1273,科目表!$B$4:$B$81,0)),""))</f>
        <v/>
      </c>
      <c r="H1273" s="70" t="str">
        <f aca="false">IF($E1273="","",N(INDEX(资金日记账!$N$4:$S$603,182,5)))</f>
        <v/>
      </c>
      <c r="I1273" s="70" t="str">
        <f aca="false">IF($E1273="","",N(INDEX(资金日记账!$N$4:$S$603,182,6)))</f>
        <v/>
      </c>
      <c r="J1273" s="67" t="str">
        <f aca="false">IF($E1273="","",INDEX(资金日记账!$E$4:$E$603,182))</f>
        <v/>
      </c>
      <c r="K1273" s="67" t="str">
        <f aca="false">IF($E1273="","",INDEX(资金日记账!$F$4:$F$603,182))</f>
        <v/>
      </c>
      <c r="L1273" s="107" t="str">
        <f aca="false">IF($E1273="","",INDEX(资金日记账!$X$4:$X$603,182))</f>
        <v/>
      </c>
      <c r="M1273" s="107"/>
      <c r="N1273" s="67" t="str">
        <f aca="false">IF($E1273="","",INDEX(资金日记账!$Y$4:$Y$603,182))</f>
        <v/>
      </c>
      <c r="O1273" s="67" t="str">
        <f aca="false">IF($E1273="","","自动B")</f>
        <v/>
      </c>
      <c r="P1273" s="18"/>
    </row>
    <row r="1274" customFormat="false" ht="18" hidden="false" customHeight="true" outlineLevel="0" collapsed="false">
      <c r="A1274" s="107" t="str">
        <f aca="false">IF($E1274="","",ROW()-3)</f>
        <v/>
      </c>
      <c r="B1274" s="110" t="str">
        <f aca="false">IF($E1274="","",INDEX(资金日记账!$B$4:$B$603,183))</f>
        <v/>
      </c>
      <c r="C1274" s="67" t="str">
        <f aca="false">IF($E1274="","",IF(INDEX(资金日记账!$W$4:$W$603,183)="","记-"&amp;TEXT($B1274,"YYYYMM")&amp;"-资金",INDEX(资金日记账!$W$4:$W$603,183)))</f>
        <v/>
      </c>
      <c r="D1274" s="107" t="str">
        <f aca="false">IF($E1274="","",INDEX(资金日记账!$D$4:$D$603,183))</f>
        <v/>
      </c>
      <c r="E1274" s="67" t="str">
        <f aca="false">IF(INDEX(资金日记账!$N$4:$S$603,183,1)=0,"",INDEX(资金日记账!$N$4:$S$603,183,1))</f>
        <v/>
      </c>
      <c r="F1274" s="99" t="str">
        <f aca="false">IF($E1274="","",IFERROR(INDEX(科目表!$A$4:$A$81,MATCH($E1274,科目表!$B$4:$B$81,0)),""))</f>
        <v/>
      </c>
      <c r="G1274" s="67" t="str">
        <f aca="false">IF($E1274="","",IFERROR(INDEX(科目表!$E$4:$E$81,MATCH($E1274,科目表!$B$4:$B$81,0)),""))</f>
        <v/>
      </c>
      <c r="H1274" s="70" t="str">
        <f aca="false">IF($E1274="","",N(INDEX(资金日记账!$N$4:$S$603,183,2)))</f>
        <v/>
      </c>
      <c r="I1274" s="70" t="str">
        <f aca="false">IF($E1274="","",N(INDEX(资金日记账!$N$4:$S$603,183,3)))</f>
        <v/>
      </c>
      <c r="J1274" s="67" t="str">
        <f aca="false">IF($E1274="","",INDEX(资金日记账!$E$4:$E$603,183))</f>
        <v/>
      </c>
      <c r="K1274" s="67" t="str">
        <f aca="false">IF($E1274="","",INDEX(资金日记账!$F$4:$F$603,183))</f>
        <v/>
      </c>
      <c r="L1274" s="107" t="str">
        <f aca="false">IF($E1274="","",INDEX(资金日记账!$X$4:$X$603,183))</f>
        <v/>
      </c>
      <c r="M1274" s="107"/>
      <c r="N1274" s="67" t="str">
        <f aca="false">IF($E1274="","",INDEX(资金日记账!$Y$4:$Y$603,183))</f>
        <v/>
      </c>
      <c r="O1274" s="67" t="str">
        <f aca="false">IF($E1274="","","自动B")</f>
        <v/>
      </c>
      <c r="P1274" s="18"/>
    </row>
    <row r="1275" customFormat="false" ht="18" hidden="false" customHeight="true" outlineLevel="0" collapsed="false">
      <c r="A1275" s="107" t="str">
        <f aca="false">IF($E1275="","",ROW()-3)</f>
        <v/>
      </c>
      <c r="B1275" s="110" t="str">
        <f aca="false">IF($E1275="","",INDEX(资金日记账!$B$4:$B$603,183))</f>
        <v/>
      </c>
      <c r="C1275" s="67" t="str">
        <f aca="false">IF($E1275="","",IF(INDEX(资金日记账!$W$4:$W$603,183)="","记-"&amp;TEXT($B1275,"YYYYMM")&amp;"-资金",INDEX(资金日记账!$W$4:$W$603,183)))</f>
        <v/>
      </c>
      <c r="D1275" s="107" t="str">
        <f aca="false">IF($E1275="","",INDEX(资金日记账!$D$4:$D$603,183))</f>
        <v/>
      </c>
      <c r="E1275" s="67" t="str">
        <f aca="false">IF(INDEX(资金日记账!$N$4:$S$603,183,4)=0,"",INDEX(资金日记账!$N$4:$S$603,183,4))</f>
        <v/>
      </c>
      <c r="F1275" s="99" t="str">
        <f aca="false">IF($E1275="","",IFERROR(INDEX(科目表!$A$4:$A$81,MATCH($E1275,科目表!$B$4:$B$81,0)),""))</f>
        <v/>
      </c>
      <c r="G1275" s="67" t="str">
        <f aca="false">IF($E1275="","",IFERROR(INDEX(科目表!$E$4:$E$81,MATCH($E1275,科目表!$B$4:$B$81,0)),""))</f>
        <v/>
      </c>
      <c r="H1275" s="70" t="str">
        <f aca="false">IF($E1275="","",N(INDEX(资金日记账!$N$4:$S$603,183,5)))</f>
        <v/>
      </c>
      <c r="I1275" s="70" t="str">
        <f aca="false">IF($E1275="","",N(INDEX(资金日记账!$N$4:$S$603,183,6)))</f>
        <v/>
      </c>
      <c r="J1275" s="67" t="str">
        <f aca="false">IF($E1275="","",INDEX(资金日记账!$E$4:$E$603,183))</f>
        <v/>
      </c>
      <c r="K1275" s="67" t="str">
        <f aca="false">IF($E1275="","",INDEX(资金日记账!$F$4:$F$603,183))</f>
        <v/>
      </c>
      <c r="L1275" s="107" t="str">
        <f aca="false">IF($E1275="","",INDEX(资金日记账!$X$4:$X$603,183))</f>
        <v/>
      </c>
      <c r="M1275" s="107"/>
      <c r="N1275" s="67" t="str">
        <f aca="false">IF($E1275="","",INDEX(资金日记账!$Y$4:$Y$603,183))</f>
        <v/>
      </c>
      <c r="O1275" s="67" t="str">
        <f aca="false">IF($E1275="","","自动B")</f>
        <v/>
      </c>
      <c r="P1275" s="18"/>
    </row>
    <row r="1276" customFormat="false" ht="18" hidden="false" customHeight="true" outlineLevel="0" collapsed="false">
      <c r="A1276" s="107" t="str">
        <f aca="false">IF($E1276="","",ROW()-3)</f>
        <v/>
      </c>
      <c r="B1276" s="110" t="str">
        <f aca="false">IF($E1276="","",INDEX(资金日记账!$B$4:$B$603,184))</f>
        <v/>
      </c>
      <c r="C1276" s="67" t="str">
        <f aca="false">IF($E1276="","",IF(INDEX(资金日记账!$W$4:$W$603,184)="","记-"&amp;TEXT($B1276,"YYYYMM")&amp;"-资金",INDEX(资金日记账!$W$4:$W$603,184)))</f>
        <v/>
      </c>
      <c r="D1276" s="107" t="str">
        <f aca="false">IF($E1276="","",INDEX(资金日记账!$D$4:$D$603,184))</f>
        <v/>
      </c>
      <c r="E1276" s="67" t="str">
        <f aca="false">IF(INDEX(资金日记账!$N$4:$S$603,184,1)=0,"",INDEX(资金日记账!$N$4:$S$603,184,1))</f>
        <v/>
      </c>
      <c r="F1276" s="99" t="str">
        <f aca="false">IF($E1276="","",IFERROR(INDEX(科目表!$A$4:$A$81,MATCH($E1276,科目表!$B$4:$B$81,0)),""))</f>
        <v/>
      </c>
      <c r="G1276" s="67" t="str">
        <f aca="false">IF($E1276="","",IFERROR(INDEX(科目表!$E$4:$E$81,MATCH($E1276,科目表!$B$4:$B$81,0)),""))</f>
        <v/>
      </c>
      <c r="H1276" s="70" t="str">
        <f aca="false">IF($E1276="","",N(INDEX(资金日记账!$N$4:$S$603,184,2)))</f>
        <v/>
      </c>
      <c r="I1276" s="70" t="str">
        <f aca="false">IF($E1276="","",N(INDEX(资金日记账!$N$4:$S$603,184,3)))</f>
        <v/>
      </c>
      <c r="J1276" s="67" t="str">
        <f aca="false">IF($E1276="","",INDEX(资金日记账!$E$4:$E$603,184))</f>
        <v/>
      </c>
      <c r="K1276" s="67" t="str">
        <f aca="false">IF($E1276="","",INDEX(资金日记账!$F$4:$F$603,184))</f>
        <v/>
      </c>
      <c r="L1276" s="107" t="str">
        <f aca="false">IF($E1276="","",INDEX(资金日记账!$X$4:$X$603,184))</f>
        <v/>
      </c>
      <c r="M1276" s="107"/>
      <c r="N1276" s="67" t="str">
        <f aca="false">IF($E1276="","",INDEX(资金日记账!$Y$4:$Y$603,184))</f>
        <v/>
      </c>
      <c r="O1276" s="67" t="str">
        <f aca="false">IF($E1276="","","自动B")</f>
        <v/>
      </c>
      <c r="P1276" s="18"/>
    </row>
    <row r="1277" customFormat="false" ht="18" hidden="false" customHeight="true" outlineLevel="0" collapsed="false">
      <c r="A1277" s="107" t="str">
        <f aca="false">IF($E1277="","",ROW()-3)</f>
        <v/>
      </c>
      <c r="B1277" s="110" t="str">
        <f aca="false">IF($E1277="","",INDEX(资金日记账!$B$4:$B$603,184))</f>
        <v/>
      </c>
      <c r="C1277" s="67" t="str">
        <f aca="false">IF($E1277="","",IF(INDEX(资金日记账!$W$4:$W$603,184)="","记-"&amp;TEXT($B1277,"YYYYMM")&amp;"-资金",INDEX(资金日记账!$W$4:$W$603,184)))</f>
        <v/>
      </c>
      <c r="D1277" s="107" t="str">
        <f aca="false">IF($E1277="","",INDEX(资金日记账!$D$4:$D$603,184))</f>
        <v/>
      </c>
      <c r="E1277" s="67" t="str">
        <f aca="false">IF(INDEX(资金日记账!$N$4:$S$603,184,4)=0,"",INDEX(资金日记账!$N$4:$S$603,184,4))</f>
        <v/>
      </c>
      <c r="F1277" s="99" t="str">
        <f aca="false">IF($E1277="","",IFERROR(INDEX(科目表!$A$4:$A$81,MATCH($E1277,科目表!$B$4:$B$81,0)),""))</f>
        <v/>
      </c>
      <c r="G1277" s="67" t="str">
        <f aca="false">IF($E1277="","",IFERROR(INDEX(科目表!$E$4:$E$81,MATCH($E1277,科目表!$B$4:$B$81,0)),""))</f>
        <v/>
      </c>
      <c r="H1277" s="70" t="str">
        <f aca="false">IF($E1277="","",N(INDEX(资金日记账!$N$4:$S$603,184,5)))</f>
        <v/>
      </c>
      <c r="I1277" s="70" t="str">
        <f aca="false">IF($E1277="","",N(INDEX(资金日记账!$N$4:$S$603,184,6)))</f>
        <v/>
      </c>
      <c r="J1277" s="67" t="str">
        <f aca="false">IF($E1277="","",INDEX(资金日记账!$E$4:$E$603,184))</f>
        <v/>
      </c>
      <c r="K1277" s="67" t="str">
        <f aca="false">IF($E1277="","",INDEX(资金日记账!$F$4:$F$603,184))</f>
        <v/>
      </c>
      <c r="L1277" s="107" t="str">
        <f aca="false">IF($E1277="","",INDEX(资金日记账!$X$4:$X$603,184))</f>
        <v/>
      </c>
      <c r="M1277" s="107"/>
      <c r="N1277" s="67" t="str">
        <f aca="false">IF($E1277="","",INDEX(资金日记账!$Y$4:$Y$603,184))</f>
        <v/>
      </c>
      <c r="O1277" s="67" t="str">
        <f aca="false">IF($E1277="","","自动B")</f>
        <v/>
      </c>
      <c r="P1277" s="18"/>
    </row>
    <row r="1278" customFormat="false" ht="18" hidden="false" customHeight="true" outlineLevel="0" collapsed="false">
      <c r="A1278" s="107" t="str">
        <f aca="false">IF($E1278="","",ROW()-3)</f>
        <v/>
      </c>
      <c r="B1278" s="110" t="str">
        <f aca="false">IF($E1278="","",INDEX(资金日记账!$B$4:$B$603,185))</f>
        <v/>
      </c>
      <c r="C1278" s="67" t="str">
        <f aca="false">IF($E1278="","",IF(INDEX(资金日记账!$W$4:$W$603,185)="","记-"&amp;TEXT($B1278,"YYYYMM")&amp;"-资金",INDEX(资金日记账!$W$4:$W$603,185)))</f>
        <v/>
      </c>
      <c r="D1278" s="107" t="str">
        <f aca="false">IF($E1278="","",INDEX(资金日记账!$D$4:$D$603,185))</f>
        <v/>
      </c>
      <c r="E1278" s="67" t="str">
        <f aca="false">IF(INDEX(资金日记账!$N$4:$S$603,185,1)=0,"",INDEX(资金日记账!$N$4:$S$603,185,1))</f>
        <v/>
      </c>
      <c r="F1278" s="99" t="str">
        <f aca="false">IF($E1278="","",IFERROR(INDEX(科目表!$A$4:$A$81,MATCH($E1278,科目表!$B$4:$B$81,0)),""))</f>
        <v/>
      </c>
      <c r="G1278" s="67" t="str">
        <f aca="false">IF($E1278="","",IFERROR(INDEX(科目表!$E$4:$E$81,MATCH($E1278,科目表!$B$4:$B$81,0)),""))</f>
        <v/>
      </c>
      <c r="H1278" s="70" t="str">
        <f aca="false">IF($E1278="","",N(INDEX(资金日记账!$N$4:$S$603,185,2)))</f>
        <v/>
      </c>
      <c r="I1278" s="70" t="str">
        <f aca="false">IF($E1278="","",N(INDEX(资金日记账!$N$4:$S$603,185,3)))</f>
        <v/>
      </c>
      <c r="J1278" s="67" t="str">
        <f aca="false">IF($E1278="","",INDEX(资金日记账!$E$4:$E$603,185))</f>
        <v/>
      </c>
      <c r="K1278" s="67" t="str">
        <f aca="false">IF($E1278="","",INDEX(资金日记账!$F$4:$F$603,185))</f>
        <v/>
      </c>
      <c r="L1278" s="107" t="str">
        <f aca="false">IF($E1278="","",INDEX(资金日记账!$X$4:$X$603,185))</f>
        <v/>
      </c>
      <c r="M1278" s="107"/>
      <c r="N1278" s="67" t="str">
        <f aca="false">IF($E1278="","",INDEX(资金日记账!$Y$4:$Y$603,185))</f>
        <v/>
      </c>
      <c r="O1278" s="67" t="str">
        <f aca="false">IF($E1278="","","自动B")</f>
        <v/>
      </c>
      <c r="P1278" s="18"/>
    </row>
    <row r="1279" customFormat="false" ht="18" hidden="false" customHeight="true" outlineLevel="0" collapsed="false">
      <c r="A1279" s="107" t="str">
        <f aca="false">IF($E1279="","",ROW()-3)</f>
        <v/>
      </c>
      <c r="B1279" s="110" t="str">
        <f aca="false">IF($E1279="","",INDEX(资金日记账!$B$4:$B$603,185))</f>
        <v/>
      </c>
      <c r="C1279" s="67" t="str">
        <f aca="false">IF($E1279="","",IF(INDEX(资金日记账!$W$4:$W$603,185)="","记-"&amp;TEXT($B1279,"YYYYMM")&amp;"-资金",INDEX(资金日记账!$W$4:$W$603,185)))</f>
        <v/>
      </c>
      <c r="D1279" s="107" t="str">
        <f aca="false">IF($E1279="","",INDEX(资金日记账!$D$4:$D$603,185))</f>
        <v/>
      </c>
      <c r="E1279" s="67" t="str">
        <f aca="false">IF(INDEX(资金日记账!$N$4:$S$603,185,4)=0,"",INDEX(资金日记账!$N$4:$S$603,185,4))</f>
        <v/>
      </c>
      <c r="F1279" s="99" t="str">
        <f aca="false">IF($E1279="","",IFERROR(INDEX(科目表!$A$4:$A$81,MATCH($E1279,科目表!$B$4:$B$81,0)),""))</f>
        <v/>
      </c>
      <c r="G1279" s="67" t="str">
        <f aca="false">IF($E1279="","",IFERROR(INDEX(科目表!$E$4:$E$81,MATCH($E1279,科目表!$B$4:$B$81,0)),""))</f>
        <v/>
      </c>
      <c r="H1279" s="70" t="str">
        <f aca="false">IF($E1279="","",N(INDEX(资金日记账!$N$4:$S$603,185,5)))</f>
        <v/>
      </c>
      <c r="I1279" s="70" t="str">
        <f aca="false">IF($E1279="","",N(INDEX(资金日记账!$N$4:$S$603,185,6)))</f>
        <v/>
      </c>
      <c r="J1279" s="67" t="str">
        <f aca="false">IF($E1279="","",INDEX(资金日记账!$E$4:$E$603,185))</f>
        <v/>
      </c>
      <c r="K1279" s="67" t="str">
        <f aca="false">IF($E1279="","",INDEX(资金日记账!$F$4:$F$603,185))</f>
        <v/>
      </c>
      <c r="L1279" s="107" t="str">
        <f aca="false">IF($E1279="","",INDEX(资金日记账!$X$4:$X$603,185))</f>
        <v/>
      </c>
      <c r="M1279" s="107"/>
      <c r="N1279" s="67" t="str">
        <f aca="false">IF($E1279="","",INDEX(资金日记账!$Y$4:$Y$603,185))</f>
        <v/>
      </c>
      <c r="O1279" s="67" t="str">
        <f aca="false">IF($E1279="","","自动B")</f>
        <v/>
      </c>
      <c r="P1279" s="18"/>
    </row>
    <row r="1280" customFormat="false" ht="18" hidden="false" customHeight="true" outlineLevel="0" collapsed="false">
      <c r="A1280" s="107" t="str">
        <f aca="false">IF($E1280="","",ROW()-3)</f>
        <v/>
      </c>
      <c r="B1280" s="110" t="str">
        <f aca="false">IF($E1280="","",INDEX(资金日记账!$B$4:$B$603,186))</f>
        <v/>
      </c>
      <c r="C1280" s="67" t="str">
        <f aca="false">IF($E1280="","",IF(INDEX(资金日记账!$W$4:$W$603,186)="","记-"&amp;TEXT($B1280,"YYYYMM")&amp;"-资金",INDEX(资金日记账!$W$4:$W$603,186)))</f>
        <v/>
      </c>
      <c r="D1280" s="107" t="str">
        <f aca="false">IF($E1280="","",INDEX(资金日记账!$D$4:$D$603,186))</f>
        <v/>
      </c>
      <c r="E1280" s="67" t="str">
        <f aca="false">IF(INDEX(资金日记账!$N$4:$S$603,186,1)=0,"",INDEX(资金日记账!$N$4:$S$603,186,1))</f>
        <v/>
      </c>
      <c r="F1280" s="99" t="str">
        <f aca="false">IF($E1280="","",IFERROR(INDEX(科目表!$A$4:$A$81,MATCH($E1280,科目表!$B$4:$B$81,0)),""))</f>
        <v/>
      </c>
      <c r="G1280" s="67" t="str">
        <f aca="false">IF($E1280="","",IFERROR(INDEX(科目表!$E$4:$E$81,MATCH($E1280,科目表!$B$4:$B$81,0)),""))</f>
        <v/>
      </c>
      <c r="H1280" s="70" t="str">
        <f aca="false">IF($E1280="","",N(INDEX(资金日记账!$N$4:$S$603,186,2)))</f>
        <v/>
      </c>
      <c r="I1280" s="70" t="str">
        <f aca="false">IF($E1280="","",N(INDEX(资金日记账!$N$4:$S$603,186,3)))</f>
        <v/>
      </c>
      <c r="J1280" s="67" t="str">
        <f aca="false">IF($E1280="","",INDEX(资金日记账!$E$4:$E$603,186))</f>
        <v/>
      </c>
      <c r="K1280" s="67" t="str">
        <f aca="false">IF($E1280="","",INDEX(资金日记账!$F$4:$F$603,186))</f>
        <v/>
      </c>
      <c r="L1280" s="107" t="str">
        <f aca="false">IF($E1280="","",INDEX(资金日记账!$X$4:$X$603,186))</f>
        <v/>
      </c>
      <c r="M1280" s="107"/>
      <c r="N1280" s="67" t="str">
        <f aca="false">IF($E1280="","",INDEX(资金日记账!$Y$4:$Y$603,186))</f>
        <v/>
      </c>
      <c r="O1280" s="67" t="str">
        <f aca="false">IF($E1280="","","自动B")</f>
        <v/>
      </c>
      <c r="P1280" s="18"/>
    </row>
    <row r="1281" customFormat="false" ht="18" hidden="false" customHeight="true" outlineLevel="0" collapsed="false">
      <c r="A1281" s="107" t="str">
        <f aca="false">IF($E1281="","",ROW()-3)</f>
        <v/>
      </c>
      <c r="B1281" s="110" t="str">
        <f aca="false">IF($E1281="","",INDEX(资金日记账!$B$4:$B$603,186))</f>
        <v/>
      </c>
      <c r="C1281" s="67" t="str">
        <f aca="false">IF($E1281="","",IF(INDEX(资金日记账!$W$4:$W$603,186)="","记-"&amp;TEXT($B1281,"YYYYMM")&amp;"-资金",INDEX(资金日记账!$W$4:$W$603,186)))</f>
        <v/>
      </c>
      <c r="D1281" s="107" t="str">
        <f aca="false">IF($E1281="","",INDEX(资金日记账!$D$4:$D$603,186))</f>
        <v/>
      </c>
      <c r="E1281" s="67" t="str">
        <f aca="false">IF(INDEX(资金日记账!$N$4:$S$603,186,4)=0,"",INDEX(资金日记账!$N$4:$S$603,186,4))</f>
        <v/>
      </c>
      <c r="F1281" s="99" t="str">
        <f aca="false">IF($E1281="","",IFERROR(INDEX(科目表!$A$4:$A$81,MATCH($E1281,科目表!$B$4:$B$81,0)),""))</f>
        <v/>
      </c>
      <c r="G1281" s="67" t="str">
        <f aca="false">IF($E1281="","",IFERROR(INDEX(科目表!$E$4:$E$81,MATCH($E1281,科目表!$B$4:$B$81,0)),""))</f>
        <v/>
      </c>
      <c r="H1281" s="70" t="str">
        <f aca="false">IF($E1281="","",N(INDEX(资金日记账!$N$4:$S$603,186,5)))</f>
        <v/>
      </c>
      <c r="I1281" s="70" t="str">
        <f aca="false">IF($E1281="","",N(INDEX(资金日记账!$N$4:$S$603,186,6)))</f>
        <v/>
      </c>
      <c r="J1281" s="67" t="str">
        <f aca="false">IF($E1281="","",INDEX(资金日记账!$E$4:$E$603,186))</f>
        <v/>
      </c>
      <c r="K1281" s="67" t="str">
        <f aca="false">IF($E1281="","",INDEX(资金日记账!$F$4:$F$603,186))</f>
        <v/>
      </c>
      <c r="L1281" s="107" t="str">
        <f aca="false">IF($E1281="","",INDEX(资金日记账!$X$4:$X$603,186))</f>
        <v/>
      </c>
      <c r="M1281" s="107"/>
      <c r="N1281" s="67" t="str">
        <f aca="false">IF($E1281="","",INDEX(资金日记账!$Y$4:$Y$603,186))</f>
        <v/>
      </c>
      <c r="O1281" s="67" t="str">
        <f aca="false">IF($E1281="","","自动B")</f>
        <v/>
      </c>
      <c r="P1281" s="18"/>
    </row>
    <row r="1282" customFormat="false" ht="18" hidden="false" customHeight="true" outlineLevel="0" collapsed="false">
      <c r="A1282" s="107" t="str">
        <f aca="false">IF($E1282="","",ROW()-3)</f>
        <v/>
      </c>
      <c r="B1282" s="110" t="str">
        <f aca="false">IF($E1282="","",INDEX(资金日记账!$B$4:$B$603,187))</f>
        <v/>
      </c>
      <c r="C1282" s="67" t="str">
        <f aca="false">IF($E1282="","",IF(INDEX(资金日记账!$W$4:$W$603,187)="","记-"&amp;TEXT($B1282,"YYYYMM")&amp;"-资金",INDEX(资金日记账!$W$4:$W$603,187)))</f>
        <v/>
      </c>
      <c r="D1282" s="107" t="str">
        <f aca="false">IF($E1282="","",INDEX(资金日记账!$D$4:$D$603,187))</f>
        <v/>
      </c>
      <c r="E1282" s="67" t="str">
        <f aca="false">IF(INDEX(资金日记账!$N$4:$S$603,187,1)=0,"",INDEX(资金日记账!$N$4:$S$603,187,1))</f>
        <v/>
      </c>
      <c r="F1282" s="99" t="str">
        <f aca="false">IF($E1282="","",IFERROR(INDEX(科目表!$A$4:$A$81,MATCH($E1282,科目表!$B$4:$B$81,0)),""))</f>
        <v/>
      </c>
      <c r="G1282" s="67" t="str">
        <f aca="false">IF($E1282="","",IFERROR(INDEX(科目表!$E$4:$E$81,MATCH($E1282,科目表!$B$4:$B$81,0)),""))</f>
        <v/>
      </c>
      <c r="H1282" s="70" t="str">
        <f aca="false">IF($E1282="","",N(INDEX(资金日记账!$N$4:$S$603,187,2)))</f>
        <v/>
      </c>
      <c r="I1282" s="70" t="str">
        <f aca="false">IF($E1282="","",N(INDEX(资金日记账!$N$4:$S$603,187,3)))</f>
        <v/>
      </c>
      <c r="J1282" s="67" t="str">
        <f aca="false">IF($E1282="","",INDEX(资金日记账!$E$4:$E$603,187))</f>
        <v/>
      </c>
      <c r="K1282" s="67" t="str">
        <f aca="false">IF($E1282="","",INDEX(资金日记账!$F$4:$F$603,187))</f>
        <v/>
      </c>
      <c r="L1282" s="107" t="str">
        <f aca="false">IF($E1282="","",INDEX(资金日记账!$X$4:$X$603,187))</f>
        <v/>
      </c>
      <c r="M1282" s="107"/>
      <c r="N1282" s="67" t="str">
        <f aca="false">IF($E1282="","",INDEX(资金日记账!$Y$4:$Y$603,187))</f>
        <v/>
      </c>
      <c r="O1282" s="67" t="str">
        <f aca="false">IF($E1282="","","自动B")</f>
        <v/>
      </c>
      <c r="P1282" s="18"/>
    </row>
    <row r="1283" customFormat="false" ht="18" hidden="false" customHeight="true" outlineLevel="0" collapsed="false">
      <c r="A1283" s="107" t="str">
        <f aca="false">IF($E1283="","",ROW()-3)</f>
        <v/>
      </c>
      <c r="B1283" s="110" t="str">
        <f aca="false">IF($E1283="","",INDEX(资金日记账!$B$4:$B$603,187))</f>
        <v/>
      </c>
      <c r="C1283" s="67" t="str">
        <f aca="false">IF($E1283="","",IF(INDEX(资金日记账!$W$4:$W$603,187)="","记-"&amp;TEXT($B1283,"YYYYMM")&amp;"-资金",INDEX(资金日记账!$W$4:$W$603,187)))</f>
        <v/>
      </c>
      <c r="D1283" s="107" t="str">
        <f aca="false">IF($E1283="","",INDEX(资金日记账!$D$4:$D$603,187))</f>
        <v/>
      </c>
      <c r="E1283" s="67" t="str">
        <f aca="false">IF(INDEX(资金日记账!$N$4:$S$603,187,4)=0,"",INDEX(资金日记账!$N$4:$S$603,187,4))</f>
        <v/>
      </c>
      <c r="F1283" s="99" t="str">
        <f aca="false">IF($E1283="","",IFERROR(INDEX(科目表!$A$4:$A$81,MATCH($E1283,科目表!$B$4:$B$81,0)),""))</f>
        <v/>
      </c>
      <c r="G1283" s="67" t="str">
        <f aca="false">IF($E1283="","",IFERROR(INDEX(科目表!$E$4:$E$81,MATCH($E1283,科目表!$B$4:$B$81,0)),""))</f>
        <v/>
      </c>
      <c r="H1283" s="70" t="str">
        <f aca="false">IF($E1283="","",N(INDEX(资金日记账!$N$4:$S$603,187,5)))</f>
        <v/>
      </c>
      <c r="I1283" s="70" t="str">
        <f aca="false">IF($E1283="","",N(INDEX(资金日记账!$N$4:$S$603,187,6)))</f>
        <v/>
      </c>
      <c r="J1283" s="67" t="str">
        <f aca="false">IF($E1283="","",INDEX(资金日记账!$E$4:$E$603,187))</f>
        <v/>
      </c>
      <c r="K1283" s="67" t="str">
        <f aca="false">IF($E1283="","",INDEX(资金日记账!$F$4:$F$603,187))</f>
        <v/>
      </c>
      <c r="L1283" s="107" t="str">
        <f aca="false">IF($E1283="","",INDEX(资金日记账!$X$4:$X$603,187))</f>
        <v/>
      </c>
      <c r="M1283" s="107"/>
      <c r="N1283" s="67" t="str">
        <f aca="false">IF($E1283="","",INDEX(资金日记账!$Y$4:$Y$603,187))</f>
        <v/>
      </c>
      <c r="O1283" s="67" t="str">
        <f aca="false">IF($E1283="","","自动B")</f>
        <v/>
      </c>
      <c r="P1283" s="18"/>
    </row>
    <row r="1284" customFormat="false" ht="18" hidden="false" customHeight="true" outlineLevel="0" collapsed="false">
      <c r="A1284" s="107" t="str">
        <f aca="false">IF($E1284="","",ROW()-3)</f>
        <v/>
      </c>
      <c r="B1284" s="110" t="str">
        <f aca="false">IF($E1284="","",INDEX(资金日记账!$B$4:$B$603,188))</f>
        <v/>
      </c>
      <c r="C1284" s="67" t="str">
        <f aca="false">IF($E1284="","",IF(INDEX(资金日记账!$W$4:$W$603,188)="","记-"&amp;TEXT($B1284,"YYYYMM")&amp;"-资金",INDEX(资金日记账!$W$4:$W$603,188)))</f>
        <v/>
      </c>
      <c r="D1284" s="107" t="str">
        <f aca="false">IF($E1284="","",INDEX(资金日记账!$D$4:$D$603,188))</f>
        <v/>
      </c>
      <c r="E1284" s="67" t="str">
        <f aca="false">IF(INDEX(资金日记账!$N$4:$S$603,188,1)=0,"",INDEX(资金日记账!$N$4:$S$603,188,1))</f>
        <v/>
      </c>
      <c r="F1284" s="99" t="str">
        <f aca="false">IF($E1284="","",IFERROR(INDEX(科目表!$A$4:$A$81,MATCH($E1284,科目表!$B$4:$B$81,0)),""))</f>
        <v/>
      </c>
      <c r="G1284" s="67" t="str">
        <f aca="false">IF($E1284="","",IFERROR(INDEX(科目表!$E$4:$E$81,MATCH($E1284,科目表!$B$4:$B$81,0)),""))</f>
        <v/>
      </c>
      <c r="H1284" s="70" t="str">
        <f aca="false">IF($E1284="","",N(INDEX(资金日记账!$N$4:$S$603,188,2)))</f>
        <v/>
      </c>
      <c r="I1284" s="70" t="str">
        <f aca="false">IF($E1284="","",N(INDEX(资金日记账!$N$4:$S$603,188,3)))</f>
        <v/>
      </c>
      <c r="J1284" s="67" t="str">
        <f aca="false">IF($E1284="","",INDEX(资金日记账!$E$4:$E$603,188))</f>
        <v/>
      </c>
      <c r="K1284" s="67" t="str">
        <f aca="false">IF($E1284="","",INDEX(资金日记账!$F$4:$F$603,188))</f>
        <v/>
      </c>
      <c r="L1284" s="107" t="str">
        <f aca="false">IF($E1284="","",INDEX(资金日记账!$X$4:$X$603,188))</f>
        <v/>
      </c>
      <c r="M1284" s="107"/>
      <c r="N1284" s="67" t="str">
        <f aca="false">IF($E1284="","",INDEX(资金日记账!$Y$4:$Y$603,188))</f>
        <v/>
      </c>
      <c r="O1284" s="67" t="str">
        <f aca="false">IF($E1284="","","自动B")</f>
        <v/>
      </c>
      <c r="P1284" s="18"/>
    </row>
    <row r="1285" customFormat="false" ht="18" hidden="false" customHeight="true" outlineLevel="0" collapsed="false">
      <c r="A1285" s="107" t="str">
        <f aca="false">IF($E1285="","",ROW()-3)</f>
        <v/>
      </c>
      <c r="B1285" s="110" t="str">
        <f aca="false">IF($E1285="","",INDEX(资金日记账!$B$4:$B$603,188))</f>
        <v/>
      </c>
      <c r="C1285" s="67" t="str">
        <f aca="false">IF($E1285="","",IF(INDEX(资金日记账!$W$4:$W$603,188)="","记-"&amp;TEXT($B1285,"YYYYMM")&amp;"-资金",INDEX(资金日记账!$W$4:$W$603,188)))</f>
        <v/>
      </c>
      <c r="D1285" s="107" t="str">
        <f aca="false">IF($E1285="","",INDEX(资金日记账!$D$4:$D$603,188))</f>
        <v/>
      </c>
      <c r="E1285" s="67" t="str">
        <f aca="false">IF(INDEX(资金日记账!$N$4:$S$603,188,4)=0,"",INDEX(资金日记账!$N$4:$S$603,188,4))</f>
        <v/>
      </c>
      <c r="F1285" s="99" t="str">
        <f aca="false">IF($E1285="","",IFERROR(INDEX(科目表!$A$4:$A$81,MATCH($E1285,科目表!$B$4:$B$81,0)),""))</f>
        <v/>
      </c>
      <c r="G1285" s="67" t="str">
        <f aca="false">IF($E1285="","",IFERROR(INDEX(科目表!$E$4:$E$81,MATCH($E1285,科目表!$B$4:$B$81,0)),""))</f>
        <v/>
      </c>
      <c r="H1285" s="70" t="str">
        <f aca="false">IF($E1285="","",N(INDEX(资金日记账!$N$4:$S$603,188,5)))</f>
        <v/>
      </c>
      <c r="I1285" s="70" t="str">
        <f aca="false">IF($E1285="","",N(INDEX(资金日记账!$N$4:$S$603,188,6)))</f>
        <v/>
      </c>
      <c r="J1285" s="67" t="str">
        <f aca="false">IF($E1285="","",INDEX(资金日记账!$E$4:$E$603,188))</f>
        <v/>
      </c>
      <c r="K1285" s="67" t="str">
        <f aca="false">IF($E1285="","",INDEX(资金日记账!$F$4:$F$603,188))</f>
        <v/>
      </c>
      <c r="L1285" s="107" t="str">
        <f aca="false">IF($E1285="","",INDEX(资金日记账!$X$4:$X$603,188))</f>
        <v/>
      </c>
      <c r="M1285" s="107"/>
      <c r="N1285" s="67" t="str">
        <f aca="false">IF($E1285="","",INDEX(资金日记账!$Y$4:$Y$603,188))</f>
        <v/>
      </c>
      <c r="O1285" s="67" t="str">
        <f aca="false">IF($E1285="","","自动B")</f>
        <v/>
      </c>
      <c r="P1285" s="18"/>
    </row>
    <row r="1286" customFormat="false" ht="18" hidden="false" customHeight="true" outlineLevel="0" collapsed="false">
      <c r="A1286" s="107" t="str">
        <f aca="false">IF($E1286="","",ROW()-3)</f>
        <v/>
      </c>
      <c r="B1286" s="110" t="str">
        <f aca="false">IF($E1286="","",INDEX(资金日记账!$B$4:$B$603,189))</f>
        <v/>
      </c>
      <c r="C1286" s="67" t="str">
        <f aca="false">IF($E1286="","",IF(INDEX(资金日记账!$W$4:$W$603,189)="","记-"&amp;TEXT($B1286,"YYYYMM")&amp;"-资金",INDEX(资金日记账!$W$4:$W$603,189)))</f>
        <v/>
      </c>
      <c r="D1286" s="107" t="str">
        <f aca="false">IF($E1286="","",INDEX(资金日记账!$D$4:$D$603,189))</f>
        <v/>
      </c>
      <c r="E1286" s="67" t="str">
        <f aca="false">IF(INDEX(资金日记账!$N$4:$S$603,189,1)=0,"",INDEX(资金日记账!$N$4:$S$603,189,1))</f>
        <v/>
      </c>
      <c r="F1286" s="99" t="str">
        <f aca="false">IF($E1286="","",IFERROR(INDEX(科目表!$A$4:$A$81,MATCH($E1286,科目表!$B$4:$B$81,0)),""))</f>
        <v/>
      </c>
      <c r="G1286" s="67" t="str">
        <f aca="false">IF($E1286="","",IFERROR(INDEX(科目表!$E$4:$E$81,MATCH($E1286,科目表!$B$4:$B$81,0)),""))</f>
        <v/>
      </c>
      <c r="H1286" s="70" t="str">
        <f aca="false">IF($E1286="","",N(INDEX(资金日记账!$N$4:$S$603,189,2)))</f>
        <v/>
      </c>
      <c r="I1286" s="70" t="str">
        <f aca="false">IF($E1286="","",N(INDEX(资金日记账!$N$4:$S$603,189,3)))</f>
        <v/>
      </c>
      <c r="J1286" s="67" t="str">
        <f aca="false">IF($E1286="","",INDEX(资金日记账!$E$4:$E$603,189))</f>
        <v/>
      </c>
      <c r="K1286" s="67" t="str">
        <f aca="false">IF($E1286="","",INDEX(资金日记账!$F$4:$F$603,189))</f>
        <v/>
      </c>
      <c r="L1286" s="107" t="str">
        <f aca="false">IF($E1286="","",INDEX(资金日记账!$X$4:$X$603,189))</f>
        <v/>
      </c>
      <c r="M1286" s="107"/>
      <c r="N1286" s="67" t="str">
        <f aca="false">IF($E1286="","",INDEX(资金日记账!$Y$4:$Y$603,189))</f>
        <v/>
      </c>
      <c r="O1286" s="67" t="str">
        <f aca="false">IF($E1286="","","自动B")</f>
        <v/>
      </c>
      <c r="P1286" s="18"/>
    </row>
    <row r="1287" customFormat="false" ht="18" hidden="false" customHeight="true" outlineLevel="0" collapsed="false">
      <c r="A1287" s="107" t="str">
        <f aca="false">IF($E1287="","",ROW()-3)</f>
        <v/>
      </c>
      <c r="B1287" s="110" t="str">
        <f aca="false">IF($E1287="","",INDEX(资金日记账!$B$4:$B$603,189))</f>
        <v/>
      </c>
      <c r="C1287" s="67" t="str">
        <f aca="false">IF($E1287="","",IF(INDEX(资金日记账!$W$4:$W$603,189)="","记-"&amp;TEXT($B1287,"YYYYMM")&amp;"-资金",INDEX(资金日记账!$W$4:$W$603,189)))</f>
        <v/>
      </c>
      <c r="D1287" s="107" t="str">
        <f aca="false">IF($E1287="","",INDEX(资金日记账!$D$4:$D$603,189))</f>
        <v/>
      </c>
      <c r="E1287" s="67" t="str">
        <f aca="false">IF(INDEX(资金日记账!$N$4:$S$603,189,4)=0,"",INDEX(资金日记账!$N$4:$S$603,189,4))</f>
        <v/>
      </c>
      <c r="F1287" s="99" t="str">
        <f aca="false">IF($E1287="","",IFERROR(INDEX(科目表!$A$4:$A$81,MATCH($E1287,科目表!$B$4:$B$81,0)),""))</f>
        <v/>
      </c>
      <c r="G1287" s="67" t="str">
        <f aca="false">IF($E1287="","",IFERROR(INDEX(科目表!$E$4:$E$81,MATCH($E1287,科目表!$B$4:$B$81,0)),""))</f>
        <v/>
      </c>
      <c r="H1287" s="70" t="str">
        <f aca="false">IF($E1287="","",N(INDEX(资金日记账!$N$4:$S$603,189,5)))</f>
        <v/>
      </c>
      <c r="I1287" s="70" t="str">
        <f aca="false">IF($E1287="","",N(INDEX(资金日记账!$N$4:$S$603,189,6)))</f>
        <v/>
      </c>
      <c r="J1287" s="67" t="str">
        <f aca="false">IF($E1287="","",INDEX(资金日记账!$E$4:$E$603,189))</f>
        <v/>
      </c>
      <c r="K1287" s="67" t="str">
        <f aca="false">IF($E1287="","",INDEX(资金日记账!$F$4:$F$603,189))</f>
        <v/>
      </c>
      <c r="L1287" s="107" t="str">
        <f aca="false">IF($E1287="","",INDEX(资金日记账!$X$4:$X$603,189))</f>
        <v/>
      </c>
      <c r="M1287" s="107"/>
      <c r="N1287" s="67" t="str">
        <f aca="false">IF($E1287="","",INDEX(资金日记账!$Y$4:$Y$603,189))</f>
        <v/>
      </c>
      <c r="O1287" s="67" t="str">
        <f aca="false">IF($E1287="","","自动B")</f>
        <v/>
      </c>
      <c r="P1287" s="18"/>
    </row>
    <row r="1288" customFormat="false" ht="18" hidden="false" customHeight="true" outlineLevel="0" collapsed="false">
      <c r="A1288" s="107" t="str">
        <f aca="false">IF($E1288="","",ROW()-3)</f>
        <v/>
      </c>
      <c r="B1288" s="110" t="str">
        <f aca="false">IF($E1288="","",INDEX(资金日记账!$B$4:$B$603,190))</f>
        <v/>
      </c>
      <c r="C1288" s="67" t="str">
        <f aca="false">IF($E1288="","",IF(INDEX(资金日记账!$W$4:$W$603,190)="","记-"&amp;TEXT($B1288,"YYYYMM")&amp;"-资金",INDEX(资金日记账!$W$4:$W$603,190)))</f>
        <v/>
      </c>
      <c r="D1288" s="107" t="str">
        <f aca="false">IF($E1288="","",INDEX(资金日记账!$D$4:$D$603,190))</f>
        <v/>
      </c>
      <c r="E1288" s="67" t="str">
        <f aca="false">IF(INDEX(资金日记账!$N$4:$S$603,190,1)=0,"",INDEX(资金日记账!$N$4:$S$603,190,1))</f>
        <v/>
      </c>
      <c r="F1288" s="99" t="str">
        <f aca="false">IF($E1288="","",IFERROR(INDEX(科目表!$A$4:$A$81,MATCH($E1288,科目表!$B$4:$B$81,0)),""))</f>
        <v/>
      </c>
      <c r="G1288" s="67" t="str">
        <f aca="false">IF($E1288="","",IFERROR(INDEX(科目表!$E$4:$E$81,MATCH($E1288,科目表!$B$4:$B$81,0)),""))</f>
        <v/>
      </c>
      <c r="H1288" s="70" t="str">
        <f aca="false">IF($E1288="","",N(INDEX(资金日记账!$N$4:$S$603,190,2)))</f>
        <v/>
      </c>
      <c r="I1288" s="70" t="str">
        <f aca="false">IF($E1288="","",N(INDEX(资金日记账!$N$4:$S$603,190,3)))</f>
        <v/>
      </c>
      <c r="J1288" s="67" t="str">
        <f aca="false">IF($E1288="","",INDEX(资金日记账!$E$4:$E$603,190))</f>
        <v/>
      </c>
      <c r="K1288" s="67" t="str">
        <f aca="false">IF($E1288="","",INDEX(资金日记账!$F$4:$F$603,190))</f>
        <v/>
      </c>
      <c r="L1288" s="107" t="str">
        <f aca="false">IF($E1288="","",INDEX(资金日记账!$X$4:$X$603,190))</f>
        <v/>
      </c>
      <c r="M1288" s="107"/>
      <c r="N1288" s="67" t="str">
        <f aca="false">IF($E1288="","",INDEX(资金日记账!$Y$4:$Y$603,190))</f>
        <v/>
      </c>
      <c r="O1288" s="67" t="str">
        <f aca="false">IF($E1288="","","自动B")</f>
        <v/>
      </c>
      <c r="P1288" s="18"/>
    </row>
    <row r="1289" customFormat="false" ht="18" hidden="false" customHeight="true" outlineLevel="0" collapsed="false">
      <c r="A1289" s="107" t="str">
        <f aca="false">IF($E1289="","",ROW()-3)</f>
        <v/>
      </c>
      <c r="B1289" s="110" t="str">
        <f aca="false">IF($E1289="","",INDEX(资金日记账!$B$4:$B$603,190))</f>
        <v/>
      </c>
      <c r="C1289" s="67" t="str">
        <f aca="false">IF($E1289="","",IF(INDEX(资金日记账!$W$4:$W$603,190)="","记-"&amp;TEXT($B1289,"YYYYMM")&amp;"-资金",INDEX(资金日记账!$W$4:$W$603,190)))</f>
        <v/>
      </c>
      <c r="D1289" s="107" t="str">
        <f aca="false">IF($E1289="","",INDEX(资金日记账!$D$4:$D$603,190))</f>
        <v/>
      </c>
      <c r="E1289" s="67" t="str">
        <f aca="false">IF(INDEX(资金日记账!$N$4:$S$603,190,4)=0,"",INDEX(资金日记账!$N$4:$S$603,190,4))</f>
        <v/>
      </c>
      <c r="F1289" s="99" t="str">
        <f aca="false">IF($E1289="","",IFERROR(INDEX(科目表!$A$4:$A$81,MATCH($E1289,科目表!$B$4:$B$81,0)),""))</f>
        <v/>
      </c>
      <c r="G1289" s="67" t="str">
        <f aca="false">IF($E1289="","",IFERROR(INDEX(科目表!$E$4:$E$81,MATCH($E1289,科目表!$B$4:$B$81,0)),""))</f>
        <v/>
      </c>
      <c r="H1289" s="70" t="str">
        <f aca="false">IF($E1289="","",N(INDEX(资金日记账!$N$4:$S$603,190,5)))</f>
        <v/>
      </c>
      <c r="I1289" s="70" t="str">
        <f aca="false">IF($E1289="","",N(INDEX(资金日记账!$N$4:$S$603,190,6)))</f>
        <v/>
      </c>
      <c r="J1289" s="67" t="str">
        <f aca="false">IF($E1289="","",INDEX(资金日记账!$E$4:$E$603,190))</f>
        <v/>
      </c>
      <c r="K1289" s="67" t="str">
        <f aca="false">IF($E1289="","",INDEX(资金日记账!$F$4:$F$603,190))</f>
        <v/>
      </c>
      <c r="L1289" s="107" t="str">
        <f aca="false">IF($E1289="","",INDEX(资金日记账!$X$4:$X$603,190))</f>
        <v/>
      </c>
      <c r="M1289" s="107"/>
      <c r="N1289" s="67" t="str">
        <f aca="false">IF($E1289="","",INDEX(资金日记账!$Y$4:$Y$603,190))</f>
        <v/>
      </c>
      <c r="O1289" s="67" t="str">
        <f aca="false">IF($E1289="","","自动B")</f>
        <v/>
      </c>
      <c r="P1289" s="18"/>
    </row>
    <row r="1290" customFormat="false" ht="18" hidden="false" customHeight="true" outlineLevel="0" collapsed="false">
      <c r="A1290" s="107" t="str">
        <f aca="false">IF($E1290="","",ROW()-3)</f>
        <v/>
      </c>
      <c r="B1290" s="110" t="str">
        <f aca="false">IF($E1290="","",INDEX(资金日记账!$B$4:$B$603,191))</f>
        <v/>
      </c>
      <c r="C1290" s="67" t="str">
        <f aca="false">IF($E1290="","",IF(INDEX(资金日记账!$W$4:$W$603,191)="","记-"&amp;TEXT($B1290,"YYYYMM")&amp;"-资金",INDEX(资金日记账!$W$4:$W$603,191)))</f>
        <v/>
      </c>
      <c r="D1290" s="107" t="str">
        <f aca="false">IF($E1290="","",INDEX(资金日记账!$D$4:$D$603,191))</f>
        <v/>
      </c>
      <c r="E1290" s="67" t="str">
        <f aca="false">IF(INDEX(资金日记账!$N$4:$S$603,191,1)=0,"",INDEX(资金日记账!$N$4:$S$603,191,1))</f>
        <v/>
      </c>
      <c r="F1290" s="99" t="str">
        <f aca="false">IF($E1290="","",IFERROR(INDEX(科目表!$A$4:$A$81,MATCH($E1290,科目表!$B$4:$B$81,0)),""))</f>
        <v/>
      </c>
      <c r="G1290" s="67" t="str">
        <f aca="false">IF($E1290="","",IFERROR(INDEX(科目表!$E$4:$E$81,MATCH($E1290,科目表!$B$4:$B$81,0)),""))</f>
        <v/>
      </c>
      <c r="H1290" s="70" t="str">
        <f aca="false">IF($E1290="","",N(INDEX(资金日记账!$N$4:$S$603,191,2)))</f>
        <v/>
      </c>
      <c r="I1290" s="70" t="str">
        <f aca="false">IF($E1290="","",N(INDEX(资金日记账!$N$4:$S$603,191,3)))</f>
        <v/>
      </c>
      <c r="J1290" s="67" t="str">
        <f aca="false">IF($E1290="","",INDEX(资金日记账!$E$4:$E$603,191))</f>
        <v/>
      </c>
      <c r="K1290" s="67" t="str">
        <f aca="false">IF($E1290="","",INDEX(资金日记账!$F$4:$F$603,191))</f>
        <v/>
      </c>
      <c r="L1290" s="107" t="str">
        <f aca="false">IF($E1290="","",INDEX(资金日记账!$X$4:$X$603,191))</f>
        <v/>
      </c>
      <c r="M1290" s="107"/>
      <c r="N1290" s="67" t="str">
        <f aca="false">IF($E1290="","",INDEX(资金日记账!$Y$4:$Y$603,191))</f>
        <v/>
      </c>
      <c r="O1290" s="67" t="str">
        <f aca="false">IF($E1290="","","自动B")</f>
        <v/>
      </c>
      <c r="P1290" s="18"/>
    </row>
    <row r="1291" customFormat="false" ht="18" hidden="false" customHeight="true" outlineLevel="0" collapsed="false">
      <c r="A1291" s="107" t="str">
        <f aca="false">IF($E1291="","",ROW()-3)</f>
        <v/>
      </c>
      <c r="B1291" s="110" t="str">
        <f aca="false">IF($E1291="","",INDEX(资金日记账!$B$4:$B$603,191))</f>
        <v/>
      </c>
      <c r="C1291" s="67" t="str">
        <f aca="false">IF($E1291="","",IF(INDEX(资金日记账!$W$4:$W$603,191)="","记-"&amp;TEXT($B1291,"YYYYMM")&amp;"-资金",INDEX(资金日记账!$W$4:$W$603,191)))</f>
        <v/>
      </c>
      <c r="D1291" s="107" t="str">
        <f aca="false">IF($E1291="","",INDEX(资金日记账!$D$4:$D$603,191))</f>
        <v/>
      </c>
      <c r="E1291" s="67" t="str">
        <f aca="false">IF(INDEX(资金日记账!$N$4:$S$603,191,4)=0,"",INDEX(资金日记账!$N$4:$S$603,191,4))</f>
        <v/>
      </c>
      <c r="F1291" s="99" t="str">
        <f aca="false">IF($E1291="","",IFERROR(INDEX(科目表!$A$4:$A$81,MATCH($E1291,科目表!$B$4:$B$81,0)),""))</f>
        <v/>
      </c>
      <c r="G1291" s="67" t="str">
        <f aca="false">IF($E1291="","",IFERROR(INDEX(科目表!$E$4:$E$81,MATCH($E1291,科目表!$B$4:$B$81,0)),""))</f>
        <v/>
      </c>
      <c r="H1291" s="70" t="str">
        <f aca="false">IF($E1291="","",N(INDEX(资金日记账!$N$4:$S$603,191,5)))</f>
        <v/>
      </c>
      <c r="I1291" s="70" t="str">
        <f aca="false">IF($E1291="","",N(INDEX(资金日记账!$N$4:$S$603,191,6)))</f>
        <v/>
      </c>
      <c r="J1291" s="67" t="str">
        <f aca="false">IF($E1291="","",INDEX(资金日记账!$E$4:$E$603,191))</f>
        <v/>
      </c>
      <c r="K1291" s="67" t="str">
        <f aca="false">IF($E1291="","",INDEX(资金日记账!$F$4:$F$603,191))</f>
        <v/>
      </c>
      <c r="L1291" s="107" t="str">
        <f aca="false">IF($E1291="","",INDEX(资金日记账!$X$4:$X$603,191))</f>
        <v/>
      </c>
      <c r="M1291" s="107"/>
      <c r="N1291" s="67" t="str">
        <f aca="false">IF($E1291="","",INDEX(资金日记账!$Y$4:$Y$603,191))</f>
        <v/>
      </c>
      <c r="O1291" s="67" t="str">
        <f aca="false">IF($E1291="","","自动B")</f>
        <v/>
      </c>
      <c r="P1291" s="18"/>
    </row>
    <row r="1292" customFormat="false" ht="18" hidden="false" customHeight="true" outlineLevel="0" collapsed="false">
      <c r="A1292" s="107" t="str">
        <f aca="false">IF($E1292="","",ROW()-3)</f>
        <v/>
      </c>
      <c r="B1292" s="110" t="str">
        <f aca="false">IF($E1292="","",INDEX(资金日记账!$B$4:$B$603,192))</f>
        <v/>
      </c>
      <c r="C1292" s="67" t="str">
        <f aca="false">IF($E1292="","",IF(INDEX(资金日记账!$W$4:$W$603,192)="","记-"&amp;TEXT($B1292,"YYYYMM")&amp;"-资金",INDEX(资金日记账!$W$4:$W$603,192)))</f>
        <v/>
      </c>
      <c r="D1292" s="107" t="str">
        <f aca="false">IF($E1292="","",INDEX(资金日记账!$D$4:$D$603,192))</f>
        <v/>
      </c>
      <c r="E1292" s="67" t="str">
        <f aca="false">IF(INDEX(资金日记账!$N$4:$S$603,192,1)=0,"",INDEX(资金日记账!$N$4:$S$603,192,1))</f>
        <v/>
      </c>
      <c r="F1292" s="99" t="str">
        <f aca="false">IF($E1292="","",IFERROR(INDEX(科目表!$A$4:$A$81,MATCH($E1292,科目表!$B$4:$B$81,0)),""))</f>
        <v/>
      </c>
      <c r="G1292" s="67" t="str">
        <f aca="false">IF($E1292="","",IFERROR(INDEX(科目表!$E$4:$E$81,MATCH($E1292,科目表!$B$4:$B$81,0)),""))</f>
        <v/>
      </c>
      <c r="H1292" s="70" t="str">
        <f aca="false">IF($E1292="","",N(INDEX(资金日记账!$N$4:$S$603,192,2)))</f>
        <v/>
      </c>
      <c r="I1292" s="70" t="str">
        <f aca="false">IF($E1292="","",N(INDEX(资金日记账!$N$4:$S$603,192,3)))</f>
        <v/>
      </c>
      <c r="J1292" s="67" t="str">
        <f aca="false">IF($E1292="","",INDEX(资金日记账!$E$4:$E$603,192))</f>
        <v/>
      </c>
      <c r="K1292" s="67" t="str">
        <f aca="false">IF($E1292="","",INDEX(资金日记账!$F$4:$F$603,192))</f>
        <v/>
      </c>
      <c r="L1292" s="107" t="str">
        <f aca="false">IF($E1292="","",INDEX(资金日记账!$X$4:$X$603,192))</f>
        <v/>
      </c>
      <c r="M1292" s="107"/>
      <c r="N1292" s="67" t="str">
        <f aca="false">IF($E1292="","",INDEX(资金日记账!$Y$4:$Y$603,192))</f>
        <v/>
      </c>
      <c r="O1292" s="67" t="str">
        <f aca="false">IF($E1292="","","自动B")</f>
        <v/>
      </c>
      <c r="P1292" s="18"/>
    </row>
    <row r="1293" customFormat="false" ht="18" hidden="false" customHeight="true" outlineLevel="0" collapsed="false">
      <c r="A1293" s="107" t="str">
        <f aca="false">IF($E1293="","",ROW()-3)</f>
        <v/>
      </c>
      <c r="B1293" s="110" t="str">
        <f aca="false">IF($E1293="","",INDEX(资金日记账!$B$4:$B$603,192))</f>
        <v/>
      </c>
      <c r="C1293" s="67" t="str">
        <f aca="false">IF($E1293="","",IF(INDEX(资金日记账!$W$4:$W$603,192)="","记-"&amp;TEXT($B1293,"YYYYMM")&amp;"-资金",INDEX(资金日记账!$W$4:$W$603,192)))</f>
        <v/>
      </c>
      <c r="D1293" s="107" t="str">
        <f aca="false">IF($E1293="","",INDEX(资金日记账!$D$4:$D$603,192))</f>
        <v/>
      </c>
      <c r="E1293" s="67" t="str">
        <f aca="false">IF(INDEX(资金日记账!$N$4:$S$603,192,4)=0,"",INDEX(资金日记账!$N$4:$S$603,192,4))</f>
        <v/>
      </c>
      <c r="F1293" s="99" t="str">
        <f aca="false">IF($E1293="","",IFERROR(INDEX(科目表!$A$4:$A$81,MATCH($E1293,科目表!$B$4:$B$81,0)),""))</f>
        <v/>
      </c>
      <c r="G1293" s="67" t="str">
        <f aca="false">IF($E1293="","",IFERROR(INDEX(科目表!$E$4:$E$81,MATCH($E1293,科目表!$B$4:$B$81,0)),""))</f>
        <v/>
      </c>
      <c r="H1293" s="70" t="str">
        <f aca="false">IF($E1293="","",N(INDEX(资金日记账!$N$4:$S$603,192,5)))</f>
        <v/>
      </c>
      <c r="I1293" s="70" t="str">
        <f aca="false">IF($E1293="","",N(INDEX(资金日记账!$N$4:$S$603,192,6)))</f>
        <v/>
      </c>
      <c r="J1293" s="67" t="str">
        <f aca="false">IF($E1293="","",INDEX(资金日记账!$E$4:$E$603,192))</f>
        <v/>
      </c>
      <c r="K1293" s="67" t="str">
        <f aca="false">IF($E1293="","",INDEX(资金日记账!$F$4:$F$603,192))</f>
        <v/>
      </c>
      <c r="L1293" s="107" t="str">
        <f aca="false">IF($E1293="","",INDEX(资金日记账!$X$4:$X$603,192))</f>
        <v/>
      </c>
      <c r="M1293" s="107"/>
      <c r="N1293" s="67" t="str">
        <f aca="false">IF($E1293="","",INDEX(资金日记账!$Y$4:$Y$603,192))</f>
        <v/>
      </c>
      <c r="O1293" s="67" t="str">
        <f aca="false">IF($E1293="","","自动B")</f>
        <v/>
      </c>
      <c r="P1293" s="18"/>
    </row>
    <row r="1294" customFormat="false" ht="18" hidden="false" customHeight="true" outlineLevel="0" collapsed="false">
      <c r="A1294" s="107" t="str">
        <f aca="false">IF($E1294="","",ROW()-3)</f>
        <v/>
      </c>
      <c r="B1294" s="110" t="str">
        <f aca="false">IF($E1294="","",INDEX(资金日记账!$B$4:$B$603,193))</f>
        <v/>
      </c>
      <c r="C1294" s="67" t="str">
        <f aca="false">IF($E1294="","",IF(INDEX(资金日记账!$W$4:$W$603,193)="","记-"&amp;TEXT($B1294,"YYYYMM")&amp;"-资金",INDEX(资金日记账!$W$4:$W$603,193)))</f>
        <v/>
      </c>
      <c r="D1294" s="107" t="str">
        <f aca="false">IF($E1294="","",INDEX(资金日记账!$D$4:$D$603,193))</f>
        <v/>
      </c>
      <c r="E1294" s="67" t="str">
        <f aca="false">IF(INDEX(资金日记账!$N$4:$S$603,193,1)=0,"",INDEX(资金日记账!$N$4:$S$603,193,1))</f>
        <v/>
      </c>
      <c r="F1294" s="99" t="str">
        <f aca="false">IF($E1294="","",IFERROR(INDEX(科目表!$A$4:$A$81,MATCH($E1294,科目表!$B$4:$B$81,0)),""))</f>
        <v/>
      </c>
      <c r="G1294" s="67" t="str">
        <f aca="false">IF($E1294="","",IFERROR(INDEX(科目表!$E$4:$E$81,MATCH($E1294,科目表!$B$4:$B$81,0)),""))</f>
        <v/>
      </c>
      <c r="H1294" s="70" t="str">
        <f aca="false">IF($E1294="","",N(INDEX(资金日记账!$N$4:$S$603,193,2)))</f>
        <v/>
      </c>
      <c r="I1294" s="70" t="str">
        <f aca="false">IF($E1294="","",N(INDEX(资金日记账!$N$4:$S$603,193,3)))</f>
        <v/>
      </c>
      <c r="J1294" s="67" t="str">
        <f aca="false">IF($E1294="","",INDEX(资金日记账!$E$4:$E$603,193))</f>
        <v/>
      </c>
      <c r="K1294" s="67" t="str">
        <f aca="false">IF($E1294="","",INDEX(资金日记账!$F$4:$F$603,193))</f>
        <v/>
      </c>
      <c r="L1294" s="107" t="str">
        <f aca="false">IF($E1294="","",INDEX(资金日记账!$X$4:$X$603,193))</f>
        <v/>
      </c>
      <c r="M1294" s="107"/>
      <c r="N1294" s="67" t="str">
        <f aca="false">IF($E1294="","",INDEX(资金日记账!$Y$4:$Y$603,193))</f>
        <v/>
      </c>
      <c r="O1294" s="67" t="str">
        <f aca="false">IF($E1294="","","自动B")</f>
        <v/>
      </c>
      <c r="P1294" s="18"/>
    </row>
    <row r="1295" customFormat="false" ht="18" hidden="false" customHeight="true" outlineLevel="0" collapsed="false">
      <c r="A1295" s="107" t="str">
        <f aca="false">IF($E1295="","",ROW()-3)</f>
        <v/>
      </c>
      <c r="B1295" s="110" t="str">
        <f aca="false">IF($E1295="","",INDEX(资金日记账!$B$4:$B$603,193))</f>
        <v/>
      </c>
      <c r="C1295" s="67" t="str">
        <f aca="false">IF($E1295="","",IF(INDEX(资金日记账!$W$4:$W$603,193)="","记-"&amp;TEXT($B1295,"YYYYMM")&amp;"-资金",INDEX(资金日记账!$W$4:$W$603,193)))</f>
        <v/>
      </c>
      <c r="D1295" s="107" t="str">
        <f aca="false">IF($E1295="","",INDEX(资金日记账!$D$4:$D$603,193))</f>
        <v/>
      </c>
      <c r="E1295" s="67" t="str">
        <f aca="false">IF(INDEX(资金日记账!$N$4:$S$603,193,4)=0,"",INDEX(资金日记账!$N$4:$S$603,193,4))</f>
        <v/>
      </c>
      <c r="F1295" s="99" t="str">
        <f aca="false">IF($E1295="","",IFERROR(INDEX(科目表!$A$4:$A$81,MATCH($E1295,科目表!$B$4:$B$81,0)),""))</f>
        <v/>
      </c>
      <c r="G1295" s="67" t="str">
        <f aca="false">IF($E1295="","",IFERROR(INDEX(科目表!$E$4:$E$81,MATCH($E1295,科目表!$B$4:$B$81,0)),""))</f>
        <v/>
      </c>
      <c r="H1295" s="70" t="str">
        <f aca="false">IF($E1295="","",N(INDEX(资金日记账!$N$4:$S$603,193,5)))</f>
        <v/>
      </c>
      <c r="I1295" s="70" t="str">
        <f aca="false">IF($E1295="","",N(INDEX(资金日记账!$N$4:$S$603,193,6)))</f>
        <v/>
      </c>
      <c r="J1295" s="67" t="str">
        <f aca="false">IF($E1295="","",INDEX(资金日记账!$E$4:$E$603,193))</f>
        <v/>
      </c>
      <c r="K1295" s="67" t="str">
        <f aca="false">IF($E1295="","",INDEX(资金日记账!$F$4:$F$603,193))</f>
        <v/>
      </c>
      <c r="L1295" s="107" t="str">
        <f aca="false">IF($E1295="","",INDEX(资金日记账!$X$4:$X$603,193))</f>
        <v/>
      </c>
      <c r="M1295" s="107"/>
      <c r="N1295" s="67" t="str">
        <f aca="false">IF($E1295="","",INDEX(资金日记账!$Y$4:$Y$603,193))</f>
        <v/>
      </c>
      <c r="O1295" s="67" t="str">
        <f aca="false">IF($E1295="","","自动B")</f>
        <v/>
      </c>
      <c r="P1295" s="18"/>
    </row>
    <row r="1296" customFormat="false" ht="18" hidden="false" customHeight="true" outlineLevel="0" collapsed="false">
      <c r="A1296" s="107" t="str">
        <f aca="false">IF($E1296="","",ROW()-3)</f>
        <v/>
      </c>
      <c r="B1296" s="110" t="str">
        <f aca="false">IF($E1296="","",INDEX(资金日记账!$B$4:$B$603,194))</f>
        <v/>
      </c>
      <c r="C1296" s="67" t="str">
        <f aca="false">IF($E1296="","",IF(INDEX(资金日记账!$W$4:$W$603,194)="","记-"&amp;TEXT($B1296,"YYYYMM")&amp;"-资金",INDEX(资金日记账!$W$4:$W$603,194)))</f>
        <v/>
      </c>
      <c r="D1296" s="107" t="str">
        <f aca="false">IF($E1296="","",INDEX(资金日记账!$D$4:$D$603,194))</f>
        <v/>
      </c>
      <c r="E1296" s="67" t="str">
        <f aca="false">IF(INDEX(资金日记账!$N$4:$S$603,194,1)=0,"",INDEX(资金日记账!$N$4:$S$603,194,1))</f>
        <v/>
      </c>
      <c r="F1296" s="99" t="str">
        <f aca="false">IF($E1296="","",IFERROR(INDEX(科目表!$A$4:$A$81,MATCH($E1296,科目表!$B$4:$B$81,0)),""))</f>
        <v/>
      </c>
      <c r="G1296" s="67" t="str">
        <f aca="false">IF($E1296="","",IFERROR(INDEX(科目表!$E$4:$E$81,MATCH($E1296,科目表!$B$4:$B$81,0)),""))</f>
        <v/>
      </c>
      <c r="H1296" s="70" t="str">
        <f aca="false">IF($E1296="","",N(INDEX(资金日记账!$N$4:$S$603,194,2)))</f>
        <v/>
      </c>
      <c r="I1296" s="70" t="str">
        <f aca="false">IF($E1296="","",N(INDEX(资金日记账!$N$4:$S$603,194,3)))</f>
        <v/>
      </c>
      <c r="J1296" s="67" t="str">
        <f aca="false">IF($E1296="","",INDEX(资金日记账!$E$4:$E$603,194))</f>
        <v/>
      </c>
      <c r="K1296" s="67" t="str">
        <f aca="false">IF($E1296="","",INDEX(资金日记账!$F$4:$F$603,194))</f>
        <v/>
      </c>
      <c r="L1296" s="107" t="str">
        <f aca="false">IF($E1296="","",INDEX(资金日记账!$X$4:$X$603,194))</f>
        <v/>
      </c>
      <c r="M1296" s="107"/>
      <c r="N1296" s="67" t="str">
        <f aca="false">IF($E1296="","",INDEX(资金日记账!$Y$4:$Y$603,194))</f>
        <v/>
      </c>
      <c r="O1296" s="67" t="str">
        <f aca="false">IF($E1296="","","自动B")</f>
        <v/>
      </c>
      <c r="P1296" s="18"/>
    </row>
    <row r="1297" customFormat="false" ht="18" hidden="false" customHeight="true" outlineLevel="0" collapsed="false">
      <c r="A1297" s="107" t="str">
        <f aca="false">IF($E1297="","",ROW()-3)</f>
        <v/>
      </c>
      <c r="B1297" s="110" t="str">
        <f aca="false">IF($E1297="","",INDEX(资金日记账!$B$4:$B$603,194))</f>
        <v/>
      </c>
      <c r="C1297" s="67" t="str">
        <f aca="false">IF($E1297="","",IF(INDEX(资金日记账!$W$4:$W$603,194)="","记-"&amp;TEXT($B1297,"YYYYMM")&amp;"-资金",INDEX(资金日记账!$W$4:$W$603,194)))</f>
        <v/>
      </c>
      <c r="D1297" s="107" t="str">
        <f aca="false">IF($E1297="","",INDEX(资金日记账!$D$4:$D$603,194))</f>
        <v/>
      </c>
      <c r="E1297" s="67" t="str">
        <f aca="false">IF(INDEX(资金日记账!$N$4:$S$603,194,4)=0,"",INDEX(资金日记账!$N$4:$S$603,194,4))</f>
        <v/>
      </c>
      <c r="F1297" s="99" t="str">
        <f aca="false">IF($E1297="","",IFERROR(INDEX(科目表!$A$4:$A$81,MATCH($E1297,科目表!$B$4:$B$81,0)),""))</f>
        <v/>
      </c>
      <c r="G1297" s="67" t="str">
        <f aca="false">IF($E1297="","",IFERROR(INDEX(科目表!$E$4:$E$81,MATCH($E1297,科目表!$B$4:$B$81,0)),""))</f>
        <v/>
      </c>
      <c r="H1297" s="70" t="str">
        <f aca="false">IF($E1297="","",N(INDEX(资金日记账!$N$4:$S$603,194,5)))</f>
        <v/>
      </c>
      <c r="I1297" s="70" t="str">
        <f aca="false">IF($E1297="","",N(INDEX(资金日记账!$N$4:$S$603,194,6)))</f>
        <v/>
      </c>
      <c r="J1297" s="67" t="str">
        <f aca="false">IF($E1297="","",INDEX(资金日记账!$E$4:$E$603,194))</f>
        <v/>
      </c>
      <c r="K1297" s="67" t="str">
        <f aca="false">IF($E1297="","",INDEX(资金日记账!$F$4:$F$603,194))</f>
        <v/>
      </c>
      <c r="L1297" s="107" t="str">
        <f aca="false">IF($E1297="","",INDEX(资金日记账!$X$4:$X$603,194))</f>
        <v/>
      </c>
      <c r="M1297" s="107"/>
      <c r="N1297" s="67" t="str">
        <f aca="false">IF($E1297="","",INDEX(资金日记账!$Y$4:$Y$603,194))</f>
        <v/>
      </c>
      <c r="O1297" s="67" t="str">
        <f aca="false">IF($E1297="","","自动B")</f>
        <v/>
      </c>
      <c r="P1297" s="18"/>
    </row>
    <row r="1298" customFormat="false" ht="18" hidden="false" customHeight="true" outlineLevel="0" collapsed="false">
      <c r="A1298" s="107" t="str">
        <f aca="false">IF($E1298="","",ROW()-3)</f>
        <v/>
      </c>
      <c r="B1298" s="110" t="str">
        <f aca="false">IF($E1298="","",INDEX(资金日记账!$B$4:$B$603,195))</f>
        <v/>
      </c>
      <c r="C1298" s="67" t="str">
        <f aca="false">IF($E1298="","",IF(INDEX(资金日记账!$W$4:$W$603,195)="","记-"&amp;TEXT($B1298,"YYYYMM")&amp;"-资金",INDEX(资金日记账!$W$4:$W$603,195)))</f>
        <v/>
      </c>
      <c r="D1298" s="107" t="str">
        <f aca="false">IF($E1298="","",INDEX(资金日记账!$D$4:$D$603,195))</f>
        <v/>
      </c>
      <c r="E1298" s="67" t="str">
        <f aca="false">IF(INDEX(资金日记账!$N$4:$S$603,195,1)=0,"",INDEX(资金日记账!$N$4:$S$603,195,1))</f>
        <v/>
      </c>
      <c r="F1298" s="99" t="str">
        <f aca="false">IF($E1298="","",IFERROR(INDEX(科目表!$A$4:$A$81,MATCH($E1298,科目表!$B$4:$B$81,0)),""))</f>
        <v/>
      </c>
      <c r="G1298" s="67" t="str">
        <f aca="false">IF($E1298="","",IFERROR(INDEX(科目表!$E$4:$E$81,MATCH($E1298,科目表!$B$4:$B$81,0)),""))</f>
        <v/>
      </c>
      <c r="H1298" s="70" t="str">
        <f aca="false">IF($E1298="","",N(INDEX(资金日记账!$N$4:$S$603,195,2)))</f>
        <v/>
      </c>
      <c r="I1298" s="70" t="str">
        <f aca="false">IF($E1298="","",N(INDEX(资金日记账!$N$4:$S$603,195,3)))</f>
        <v/>
      </c>
      <c r="J1298" s="67" t="str">
        <f aca="false">IF($E1298="","",INDEX(资金日记账!$E$4:$E$603,195))</f>
        <v/>
      </c>
      <c r="K1298" s="67" t="str">
        <f aca="false">IF($E1298="","",INDEX(资金日记账!$F$4:$F$603,195))</f>
        <v/>
      </c>
      <c r="L1298" s="107" t="str">
        <f aca="false">IF($E1298="","",INDEX(资金日记账!$X$4:$X$603,195))</f>
        <v/>
      </c>
      <c r="M1298" s="107"/>
      <c r="N1298" s="67" t="str">
        <f aca="false">IF($E1298="","",INDEX(资金日记账!$Y$4:$Y$603,195))</f>
        <v/>
      </c>
      <c r="O1298" s="67" t="str">
        <f aca="false">IF($E1298="","","自动B")</f>
        <v/>
      </c>
      <c r="P1298" s="18"/>
    </row>
    <row r="1299" customFormat="false" ht="18" hidden="false" customHeight="true" outlineLevel="0" collapsed="false">
      <c r="A1299" s="107" t="str">
        <f aca="false">IF($E1299="","",ROW()-3)</f>
        <v/>
      </c>
      <c r="B1299" s="110" t="str">
        <f aca="false">IF($E1299="","",INDEX(资金日记账!$B$4:$B$603,195))</f>
        <v/>
      </c>
      <c r="C1299" s="67" t="str">
        <f aca="false">IF($E1299="","",IF(INDEX(资金日记账!$W$4:$W$603,195)="","记-"&amp;TEXT($B1299,"YYYYMM")&amp;"-资金",INDEX(资金日记账!$W$4:$W$603,195)))</f>
        <v/>
      </c>
      <c r="D1299" s="107" t="str">
        <f aca="false">IF($E1299="","",INDEX(资金日记账!$D$4:$D$603,195))</f>
        <v/>
      </c>
      <c r="E1299" s="67" t="str">
        <f aca="false">IF(INDEX(资金日记账!$N$4:$S$603,195,4)=0,"",INDEX(资金日记账!$N$4:$S$603,195,4))</f>
        <v/>
      </c>
      <c r="F1299" s="99" t="str">
        <f aca="false">IF($E1299="","",IFERROR(INDEX(科目表!$A$4:$A$81,MATCH($E1299,科目表!$B$4:$B$81,0)),""))</f>
        <v/>
      </c>
      <c r="G1299" s="67" t="str">
        <f aca="false">IF($E1299="","",IFERROR(INDEX(科目表!$E$4:$E$81,MATCH($E1299,科目表!$B$4:$B$81,0)),""))</f>
        <v/>
      </c>
      <c r="H1299" s="70" t="str">
        <f aca="false">IF($E1299="","",N(INDEX(资金日记账!$N$4:$S$603,195,5)))</f>
        <v/>
      </c>
      <c r="I1299" s="70" t="str">
        <f aca="false">IF($E1299="","",N(INDEX(资金日记账!$N$4:$S$603,195,6)))</f>
        <v/>
      </c>
      <c r="J1299" s="67" t="str">
        <f aca="false">IF($E1299="","",INDEX(资金日记账!$E$4:$E$603,195))</f>
        <v/>
      </c>
      <c r="K1299" s="67" t="str">
        <f aca="false">IF($E1299="","",INDEX(资金日记账!$F$4:$F$603,195))</f>
        <v/>
      </c>
      <c r="L1299" s="107" t="str">
        <f aca="false">IF($E1299="","",INDEX(资金日记账!$X$4:$X$603,195))</f>
        <v/>
      </c>
      <c r="M1299" s="107"/>
      <c r="N1299" s="67" t="str">
        <f aca="false">IF($E1299="","",INDEX(资金日记账!$Y$4:$Y$603,195))</f>
        <v/>
      </c>
      <c r="O1299" s="67" t="str">
        <f aca="false">IF($E1299="","","自动B")</f>
        <v/>
      </c>
      <c r="P1299" s="18"/>
    </row>
    <row r="1300" customFormat="false" ht="18" hidden="false" customHeight="true" outlineLevel="0" collapsed="false">
      <c r="A1300" s="107" t="str">
        <f aca="false">IF($E1300="","",ROW()-3)</f>
        <v/>
      </c>
      <c r="B1300" s="110" t="str">
        <f aca="false">IF($E1300="","",INDEX(资金日记账!$B$4:$B$603,196))</f>
        <v/>
      </c>
      <c r="C1300" s="67" t="str">
        <f aca="false">IF($E1300="","",IF(INDEX(资金日记账!$W$4:$W$603,196)="","记-"&amp;TEXT($B1300,"YYYYMM")&amp;"-资金",INDEX(资金日记账!$W$4:$W$603,196)))</f>
        <v/>
      </c>
      <c r="D1300" s="107" t="str">
        <f aca="false">IF($E1300="","",INDEX(资金日记账!$D$4:$D$603,196))</f>
        <v/>
      </c>
      <c r="E1300" s="67" t="str">
        <f aca="false">IF(INDEX(资金日记账!$N$4:$S$603,196,1)=0,"",INDEX(资金日记账!$N$4:$S$603,196,1))</f>
        <v/>
      </c>
      <c r="F1300" s="99" t="str">
        <f aca="false">IF($E1300="","",IFERROR(INDEX(科目表!$A$4:$A$81,MATCH($E1300,科目表!$B$4:$B$81,0)),""))</f>
        <v/>
      </c>
      <c r="G1300" s="67" t="str">
        <f aca="false">IF($E1300="","",IFERROR(INDEX(科目表!$E$4:$E$81,MATCH($E1300,科目表!$B$4:$B$81,0)),""))</f>
        <v/>
      </c>
      <c r="H1300" s="70" t="str">
        <f aca="false">IF($E1300="","",N(INDEX(资金日记账!$N$4:$S$603,196,2)))</f>
        <v/>
      </c>
      <c r="I1300" s="70" t="str">
        <f aca="false">IF($E1300="","",N(INDEX(资金日记账!$N$4:$S$603,196,3)))</f>
        <v/>
      </c>
      <c r="J1300" s="67" t="str">
        <f aca="false">IF($E1300="","",INDEX(资金日记账!$E$4:$E$603,196))</f>
        <v/>
      </c>
      <c r="K1300" s="67" t="str">
        <f aca="false">IF($E1300="","",INDEX(资金日记账!$F$4:$F$603,196))</f>
        <v/>
      </c>
      <c r="L1300" s="107" t="str">
        <f aca="false">IF($E1300="","",INDEX(资金日记账!$X$4:$X$603,196))</f>
        <v/>
      </c>
      <c r="M1300" s="107"/>
      <c r="N1300" s="67" t="str">
        <f aca="false">IF($E1300="","",INDEX(资金日记账!$Y$4:$Y$603,196))</f>
        <v/>
      </c>
      <c r="O1300" s="67" t="str">
        <f aca="false">IF($E1300="","","自动B")</f>
        <v/>
      </c>
      <c r="P1300" s="18"/>
    </row>
    <row r="1301" customFormat="false" ht="18" hidden="false" customHeight="true" outlineLevel="0" collapsed="false">
      <c r="A1301" s="107" t="str">
        <f aca="false">IF($E1301="","",ROW()-3)</f>
        <v/>
      </c>
      <c r="B1301" s="110" t="str">
        <f aca="false">IF($E1301="","",INDEX(资金日记账!$B$4:$B$603,196))</f>
        <v/>
      </c>
      <c r="C1301" s="67" t="str">
        <f aca="false">IF($E1301="","",IF(INDEX(资金日记账!$W$4:$W$603,196)="","记-"&amp;TEXT($B1301,"YYYYMM")&amp;"-资金",INDEX(资金日记账!$W$4:$W$603,196)))</f>
        <v/>
      </c>
      <c r="D1301" s="107" t="str">
        <f aca="false">IF($E1301="","",INDEX(资金日记账!$D$4:$D$603,196))</f>
        <v/>
      </c>
      <c r="E1301" s="67" t="str">
        <f aca="false">IF(INDEX(资金日记账!$N$4:$S$603,196,4)=0,"",INDEX(资金日记账!$N$4:$S$603,196,4))</f>
        <v/>
      </c>
      <c r="F1301" s="99" t="str">
        <f aca="false">IF($E1301="","",IFERROR(INDEX(科目表!$A$4:$A$81,MATCH($E1301,科目表!$B$4:$B$81,0)),""))</f>
        <v/>
      </c>
      <c r="G1301" s="67" t="str">
        <f aca="false">IF($E1301="","",IFERROR(INDEX(科目表!$E$4:$E$81,MATCH($E1301,科目表!$B$4:$B$81,0)),""))</f>
        <v/>
      </c>
      <c r="H1301" s="70" t="str">
        <f aca="false">IF($E1301="","",N(INDEX(资金日记账!$N$4:$S$603,196,5)))</f>
        <v/>
      </c>
      <c r="I1301" s="70" t="str">
        <f aca="false">IF($E1301="","",N(INDEX(资金日记账!$N$4:$S$603,196,6)))</f>
        <v/>
      </c>
      <c r="J1301" s="67" t="str">
        <f aca="false">IF($E1301="","",INDEX(资金日记账!$E$4:$E$603,196))</f>
        <v/>
      </c>
      <c r="K1301" s="67" t="str">
        <f aca="false">IF($E1301="","",INDEX(资金日记账!$F$4:$F$603,196))</f>
        <v/>
      </c>
      <c r="L1301" s="107" t="str">
        <f aca="false">IF($E1301="","",INDEX(资金日记账!$X$4:$X$603,196))</f>
        <v/>
      </c>
      <c r="M1301" s="107"/>
      <c r="N1301" s="67" t="str">
        <f aca="false">IF($E1301="","",INDEX(资金日记账!$Y$4:$Y$603,196))</f>
        <v/>
      </c>
      <c r="O1301" s="67" t="str">
        <f aca="false">IF($E1301="","","自动B")</f>
        <v/>
      </c>
      <c r="P1301" s="18"/>
    </row>
    <row r="1302" customFormat="false" ht="18" hidden="false" customHeight="true" outlineLevel="0" collapsed="false">
      <c r="A1302" s="107" t="str">
        <f aca="false">IF($E1302="","",ROW()-3)</f>
        <v/>
      </c>
      <c r="B1302" s="110" t="str">
        <f aca="false">IF($E1302="","",INDEX(资金日记账!$B$4:$B$603,197))</f>
        <v/>
      </c>
      <c r="C1302" s="67" t="str">
        <f aca="false">IF($E1302="","",IF(INDEX(资金日记账!$W$4:$W$603,197)="","记-"&amp;TEXT($B1302,"YYYYMM")&amp;"-资金",INDEX(资金日记账!$W$4:$W$603,197)))</f>
        <v/>
      </c>
      <c r="D1302" s="107" t="str">
        <f aca="false">IF($E1302="","",INDEX(资金日记账!$D$4:$D$603,197))</f>
        <v/>
      </c>
      <c r="E1302" s="67" t="str">
        <f aca="false">IF(INDEX(资金日记账!$N$4:$S$603,197,1)=0,"",INDEX(资金日记账!$N$4:$S$603,197,1))</f>
        <v/>
      </c>
      <c r="F1302" s="99" t="str">
        <f aca="false">IF($E1302="","",IFERROR(INDEX(科目表!$A$4:$A$81,MATCH($E1302,科目表!$B$4:$B$81,0)),""))</f>
        <v/>
      </c>
      <c r="G1302" s="67" t="str">
        <f aca="false">IF($E1302="","",IFERROR(INDEX(科目表!$E$4:$E$81,MATCH($E1302,科目表!$B$4:$B$81,0)),""))</f>
        <v/>
      </c>
      <c r="H1302" s="70" t="str">
        <f aca="false">IF($E1302="","",N(INDEX(资金日记账!$N$4:$S$603,197,2)))</f>
        <v/>
      </c>
      <c r="I1302" s="70" t="str">
        <f aca="false">IF($E1302="","",N(INDEX(资金日记账!$N$4:$S$603,197,3)))</f>
        <v/>
      </c>
      <c r="J1302" s="67" t="str">
        <f aca="false">IF($E1302="","",INDEX(资金日记账!$E$4:$E$603,197))</f>
        <v/>
      </c>
      <c r="K1302" s="67" t="str">
        <f aca="false">IF($E1302="","",INDEX(资金日记账!$F$4:$F$603,197))</f>
        <v/>
      </c>
      <c r="L1302" s="107" t="str">
        <f aca="false">IF($E1302="","",INDEX(资金日记账!$X$4:$X$603,197))</f>
        <v/>
      </c>
      <c r="M1302" s="107"/>
      <c r="N1302" s="67" t="str">
        <f aca="false">IF($E1302="","",INDEX(资金日记账!$Y$4:$Y$603,197))</f>
        <v/>
      </c>
      <c r="O1302" s="67" t="str">
        <f aca="false">IF($E1302="","","自动B")</f>
        <v/>
      </c>
      <c r="P1302" s="18"/>
    </row>
    <row r="1303" customFormat="false" ht="18" hidden="false" customHeight="true" outlineLevel="0" collapsed="false">
      <c r="A1303" s="107" t="str">
        <f aca="false">IF($E1303="","",ROW()-3)</f>
        <v/>
      </c>
      <c r="B1303" s="110" t="str">
        <f aca="false">IF($E1303="","",INDEX(资金日记账!$B$4:$B$603,197))</f>
        <v/>
      </c>
      <c r="C1303" s="67" t="str">
        <f aca="false">IF($E1303="","",IF(INDEX(资金日记账!$W$4:$W$603,197)="","记-"&amp;TEXT($B1303,"YYYYMM")&amp;"-资金",INDEX(资金日记账!$W$4:$W$603,197)))</f>
        <v/>
      </c>
      <c r="D1303" s="107" t="str">
        <f aca="false">IF($E1303="","",INDEX(资金日记账!$D$4:$D$603,197))</f>
        <v/>
      </c>
      <c r="E1303" s="67" t="str">
        <f aca="false">IF(INDEX(资金日记账!$N$4:$S$603,197,4)=0,"",INDEX(资金日记账!$N$4:$S$603,197,4))</f>
        <v/>
      </c>
      <c r="F1303" s="99" t="str">
        <f aca="false">IF($E1303="","",IFERROR(INDEX(科目表!$A$4:$A$81,MATCH($E1303,科目表!$B$4:$B$81,0)),""))</f>
        <v/>
      </c>
      <c r="G1303" s="67" t="str">
        <f aca="false">IF($E1303="","",IFERROR(INDEX(科目表!$E$4:$E$81,MATCH($E1303,科目表!$B$4:$B$81,0)),""))</f>
        <v/>
      </c>
      <c r="H1303" s="70" t="str">
        <f aca="false">IF($E1303="","",N(INDEX(资金日记账!$N$4:$S$603,197,5)))</f>
        <v/>
      </c>
      <c r="I1303" s="70" t="str">
        <f aca="false">IF($E1303="","",N(INDEX(资金日记账!$N$4:$S$603,197,6)))</f>
        <v/>
      </c>
      <c r="J1303" s="67" t="str">
        <f aca="false">IF($E1303="","",INDEX(资金日记账!$E$4:$E$603,197))</f>
        <v/>
      </c>
      <c r="K1303" s="67" t="str">
        <f aca="false">IF($E1303="","",INDEX(资金日记账!$F$4:$F$603,197))</f>
        <v/>
      </c>
      <c r="L1303" s="107" t="str">
        <f aca="false">IF($E1303="","",INDEX(资金日记账!$X$4:$X$603,197))</f>
        <v/>
      </c>
      <c r="M1303" s="107"/>
      <c r="N1303" s="67" t="str">
        <f aca="false">IF($E1303="","",INDEX(资金日记账!$Y$4:$Y$603,197))</f>
        <v/>
      </c>
      <c r="O1303" s="67" t="str">
        <f aca="false">IF($E1303="","","自动B")</f>
        <v/>
      </c>
      <c r="P1303" s="18"/>
    </row>
    <row r="1304" customFormat="false" ht="18" hidden="false" customHeight="true" outlineLevel="0" collapsed="false">
      <c r="A1304" s="107" t="str">
        <f aca="false">IF($E1304="","",ROW()-3)</f>
        <v/>
      </c>
      <c r="B1304" s="110" t="str">
        <f aca="false">IF($E1304="","",INDEX(资金日记账!$B$4:$B$603,198))</f>
        <v/>
      </c>
      <c r="C1304" s="67" t="str">
        <f aca="false">IF($E1304="","",IF(INDEX(资金日记账!$W$4:$W$603,198)="","记-"&amp;TEXT($B1304,"YYYYMM")&amp;"-资金",INDEX(资金日记账!$W$4:$W$603,198)))</f>
        <v/>
      </c>
      <c r="D1304" s="107" t="str">
        <f aca="false">IF($E1304="","",INDEX(资金日记账!$D$4:$D$603,198))</f>
        <v/>
      </c>
      <c r="E1304" s="67" t="str">
        <f aca="false">IF(INDEX(资金日记账!$N$4:$S$603,198,1)=0,"",INDEX(资金日记账!$N$4:$S$603,198,1))</f>
        <v/>
      </c>
      <c r="F1304" s="99" t="str">
        <f aca="false">IF($E1304="","",IFERROR(INDEX(科目表!$A$4:$A$81,MATCH($E1304,科目表!$B$4:$B$81,0)),""))</f>
        <v/>
      </c>
      <c r="G1304" s="67" t="str">
        <f aca="false">IF($E1304="","",IFERROR(INDEX(科目表!$E$4:$E$81,MATCH($E1304,科目表!$B$4:$B$81,0)),""))</f>
        <v/>
      </c>
      <c r="H1304" s="70" t="str">
        <f aca="false">IF($E1304="","",N(INDEX(资金日记账!$N$4:$S$603,198,2)))</f>
        <v/>
      </c>
      <c r="I1304" s="70" t="str">
        <f aca="false">IF($E1304="","",N(INDEX(资金日记账!$N$4:$S$603,198,3)))</f>
        <v/>
      </c>
      <c r="J1304" s="67" t="str">
        <f aca="false">IF($E1304="","",INDEX(资金日记账!$E$4:$E$603,198))</f>
        <v/>
      </c>
      <c r="K1304" s="67" t="str">
        <f aca="false">IF($E1304="","",INDEX(资金日记账!$F$4:$F$603,198))</f>
        <v/>
      </c>
      <c r="L1304" s="107" t="str">
        <f aca="false">IF($E1304="","",INDEX(资金日记账!$X$4:$X$603,198))</f>
        <v/>
      </c>
      <c r="M1304" s="107"/>
      <c r="N1304" s="67" t="str">
        <f aca="false">IF($E1304="","",INDEX(资金日记账!$Y$4:$Y$603,198))</f>
        <v/>
      </c>
      <c r="O1304" s="67" t="str">
        <f aca="false">IF($E1304="","","自动B")</f>
        <v/>
      </c>
      <c r="P1304" s="18"/>
    </row>
    <row r="1305" customFormat="false" ht="18" hidden="false" customHeight="true" outlineLevel="0" collapsed="false">
      <c r="A1305" s="107" t="str">
        <f aca="false">IF($E1305="","",ROW()-3)</f>
        <v/>
      </c>
      <c r="B1305" s="110" t="str">
        <f aca="false">IF($E1305="","",INDEX(资金日记账!$B$4:$B$603,198))</f>
        <v/>
      </c>
      <c r="C1305" s="67" t="str">
        <f aca="false">IF($E1305="","",IF(INDEX(资金日记账!$W$4:$W$603,198)="","记-"&amp;TEXT($B1305,"YYYYMM")&amp;"-资金",INDEX(资金日记账!$W$4:$W$603,198)))</f>
        <v/>
      </c>
      <c r="D1305" s="107" t="str">
        <f aca="false">IF($E1305="","",INDEX(资金日记账!$D$4:$D$603,198))</f>
        <v/>
      </c>
      <c r="E1305" s="67" t="str">
        <f aca="false">IF(INDEX(资金日记账!$N$4:$S$603,198,4)=0,"",INDEX(资金日记账!$N$4:$S$603,198,4))</f>
        <v/>
      </c>
      <c r="F1305" s="99" t="str">
        <f aca="false">IF($E1305="","",IFERROR(INDEX(科目表!$A$4:$A$81,MATCH($E1305,科目表!$B$4:$B$81,0)),""))</f>
        <v/>
      </c>
      <c r="G1305" s="67" t="str">
        <f aca="false">IF($E1305="","",IFERROR(INDEX(科目表!$E$4:$E$81,MATCH($E1305,科目表!$B$4:$B$81,0)),""))</f>
        <v/>
      </c>
      <c r="H1305" s="70" t="str">
        <f aca="false">IF($E1305="","",N(INDEX(资金日记账!$N$4:$S$603,198,5)))</f>
        <v/>
      </c>
      <c r="I1305" s="70" t="str">
        <f aca="false">IF($E1305="","",N(INDEX(资金日记账!$N$4:$S$603,198,6)))</f>
        <v/>
      </c>
      <c r="J1305" s="67" t="str">
        <f aca="false">IF($E1305="","",INDEX(资金日记账!$E$4:$E$603,198))</f>
        <v/>
      </c>
      <c r="K1305" s="67" t="str">
        <f aca="false">IF($E1305="","",INDEX(资金日记账!$F$4:$F$603,198))</f>
        <v/>
      </c>
      <c r="L1305" s="107" t="str">
        <f aca="false">IF($E1305="","",INDEX(资金日记账!$X$4:$X$603,198))</f>
        <v/>
      </c>
      <c r="M1305" s="107"/>
      <c r="N1305" s="67" t="str">
        <f aca="false">IF($E1305="","",INDEX(资金日记账!$Y$4:$Y$603,198))</f>
        <v/>
      </c>
      <c r="O1305" s="67" t="str">
        <f aca="false">IF($E1305="","","自动B")</f>
        <v/>
      </c>
      <c r="P1305" s="18"/>
    </row>
    <row r="1306" customFormat="false" ht="18" hidden="false" customHeight="true" outlineLevel="0" collapsed="false">
      <c r="A1306" s="107" t="str">
        <f aca="false">IF($E1306="","",ROW()-3)</f>
        <v/>
      </c>
      <c r="B1306" s="110" t="str">
        <f aca="false">IF($E1306="","",INDEX(资金日记账!$B$4:$B$603,199))</f>
        <v/>
      </c>
      <c r="C1306" s="67" t="str">
        <f aca="false">IF($E1306="","",IF(INDEX(资金日记账!$W$4:$W$603,199)="","记-"&amp;TEXT($B1306,"YYYYMM")&amp;"-资金",INDEX(资金日记账!$W$4:$W$603,199)))</f>
        <v/>
      </c>
      <c r="D1306" s="107" t="str">
        <f aca="false">IF($E1306="","",INDEX(资金日记账!$D$4:$D$603,199))</f>
        <v/>
      </c>
      <c r="E1306" s="67" t="str">
        <f aca="false">IF(INDEX(资金日记账!$N$4:$S$603,199,1)=0,"",INDEX(资金日记账!$N$4:$S$603,199,1))</f>
        <v/>
      </c>
      <c r="F1306" s="99" t="str">
        <f aca="false">IF($E1306="","",IFERROR(INDEX(科目表!$A$4:$A$81,MATCH($E1306,科目表!$B$4:$B$81,0)),""))</f>
        <v/>
      </c>
      <c r="G1306" s="67" t="str">
        <f aca="false">IF($E1306="","",IFERROR(INDEX(科目表!$E$4:$E$81,MATCH($E1306,科目表!$B$4:$B$81,0)),""))</f>
        <v/>
      </c>
      <c r="H1306" s="70" t="str">
        <f aca="false">IF($E1306="","",N(INDEX(资金日记账!$N$4:$S$603,199,2)))</f>
        <v/>
      </c>
      <c r="I1306" s="70" t="str">
        <f aca="false">IF($E1306="","",N(INDEX(资金日记账!$N$4:$S$603,199,3)))</f>
        <v/>
      </c>
      <c r="J1306" s="67" t="str">
        <f aca="false">IF($E1306="","",INDEX(资金日记账!$E$4:$E$603,199))</f>
        <v/>
      </c>
      <c r="K1306" s="67" t="str">
        <f aca="false">IF($E1306="","",INDEX(资金日记账!$F$4:$F$603,199))</f>
        <v/>
      </c>
      <c r="L1306" s="107" t="str">
        <f aca="false">IF($E1306="","",INDEX(资金日记账!$X$4:$X$603,199))</f>
        <v/>
      </c>
      <c r="M1306" s="107"/>
      <c r="N1306" s="67" t="str">
        <f aca="false">IF($E1306="","",INDEX(资金日记账!$Y$4:$Y$603,199))</f>
        <v/>
      </c>
      <c r="O1306" s="67" t="str">
        <f aca="false">IF($E1306="","","自动B")</f>
        <v/>
      </c>
      <c r="P1306" s="18"/>
    </row>
    <row r="1307" customFormat="false" ht="18" hidden="false" customHeight="true" outlineLevel="0" collapsed="false">
      <c r="A1307" s="107" t="str">
        <f aca="false">IF($E1307="","",ROW()-3)</f>
        <v/>
      </c>
      <c r="B1307" s="110" t="str">
        <f aca="false">IF($E1307="","",INDEX(资金日记账!$B$4:$B$603,199))</f>
        <v/>
      </c>
      <c r="C1307" s="67" t="str">
        <f aca="false">IF($E1307="","",IF(INDEX(资金日记账!$W$4:$W$603,199)="","记-"&amp;TEXT($B1307,"YYYYMM")&amp;"-资金",INDEX(资金日记账!$W$4:$W$603,199)))</f>
        <v/>
      </c>
      <c r="D1307" s="107" t="str">
        <f aca="false">IF($E1307="","",INDEX(资金日记账!$D$4:$D$603,199))</f>
        <v/>
      </c>
      <c r="E1307" s="67" t="str">
        <f aca="false">IF(INDEX(资金日记账!$N$4:$S$603,199,4)=0,"",INDEX(资金日记账!$N$4:$S$603,199,4))</f>
        <v/>
      </c>
      <c r="F1307" s="99" t="str">
        <f aca="false">IF($E1307="","",IFERROR(INDEX(科目表!$A$4:$A$81,MATCH($E1307,科目表!$B$4:$B$81,0)),""))</f>
        <v/>
      </c>
      <c r="G1307" s="67" t="str">
        <f aca="false">IF($E1307="","",IFERROR(INDEX(科目表!$E$4:$E$81,MATCH($E1307,科目表!$B$4:$B$81,0)),""))</f>
        <v/>
      </c>
      <c r="H1307" s="70" t="str">
        <f aca="false">IF($E1307="","",N(INDEX(资金日记账!$N$4:$S$603,199,5)))</f>
        <v/>
      </c>
      <c r="I1307" s="70" t="str">
        <f aca="false">IF($E1307="","",N(INDEX(资金日记账!$N$4:$S$603,199,6)))</f>
        <v/>
      </c>
      <c r="J1307" s="67" t="str">
        <f aca="false">IF($E1307="","",INDEX(资金日记账!$E$4:$E$603,199))</f>
        <v/>
      </c>
      <c r="K1307" s="67" t="str">
        <f aca="false">IF($E1307="","",INDEX(资金日记账!$F$4:$F$603,199))</f>
        <v/>
      </c>
      <c r="L1307" s="107" t="str">
        <f aca="false">IF($E1307="","",INDEX(资金日记账!$X$4:$X$603,199))</f>
        <v/>
      </c>
      <c r="M1307" s="107"/>
      <c r="N1307" s="67" t="str">
        <f aca="false">IF($E1307="","",INDEX(资金日记账!$Y$4:$Y$603,199))</f>
        <v/>
      </c>
      <c r="O1307" s="67" t="str">
        <f aca="false">IF($E1307="","","自动B")</f>
        <v/>
      </c>
      <c r="P1307" s="18"/>
    </row>
    <row r="1308" customFormat="false" ht="18" hidden="false" customHeight="true" outlineLevel="0" collapsed="false">
      <c r="A1308" s="107" t="str">
        <f aca="false">IF($E1308="","",ROW()-3)</f>
        <v/>
      </c>
      <c r="B1308" s="110" t="str">
        <f aca="false">IF($E1308="","",INDEX(资金日记账!$B$4:$B$603,200))</f>
        <v/>
      </c>
      <c r="C1308" s="67" t="str">
        <f aca="false">IF($E1308="","",IF(INDEX(资金日记账!$W$4:$W$603,200)="","记-"&amp;TEXT($B1308,"YYYYMM")&amp;"-资金",INDEX(资金日记账!$W$4:$W$603,200)))</f>
        <v/>
      </c>
      <c r="D1308" s="107" t="str">
        <f aca="false">IF($E1308="","",INDEX(资金日记账!$D$4:$D$603,200))</f>
        <v/>
      </c>
      <c r="E1308" s="67" t="str">
        <f aca="false">IF(INDEX(资金日记账!$N$4:$S$603,200,1)=0,"",INDEX(资金日记账!$N$4:$S$603,200,1))</f>
        <v/>
      </c>
      <c r="F1308" s="99" t="str">
        <f aca="false">IF($E1308="","",IFERROR(INDEX(科目表!$A$4:$A$81,MATCH($E1308,科目表!$B$4:$B$81,0)),""))</f>
        <v/>
      </c>
      <c r="G1308" s="67" t="str">
        <f aca="false">IF($E1308="","",IFERROR(INDEX(科目表!$E$4:$E$81,MATCH($E1308,科目表!$B$4:$B$81,0)),""))</f>
        <v/>
      </c>
      <c r="H1308" s="70" t="str">
        <f aca="false">IF($E1308="","",N(INDEX(资金日记账!$N$4:$S$603,200,2)))</f>
        <v/>
      </c>
      <c r="I1308" s="70" t="str">
        <f aca="false">IF($E1308="","",N(INDEX(资金日记账!$N$4:$S$603,200,3)))</f>
        <v/>
      </c>
      <c r="J1308" s="67" t="str">
        <f aca="false">IF($E1308="","",INDEX(资金日记账!$E$4:$E$603,200))</f>
        <v/>
      </c>
      <c r="K1308" s="67" t="str">
        <f aca="false">IF($E1308="","",INDEX(资金日记账!$F$4:$F$603,200))</f>
        <v/>
      </c>
      <c r="L1308" s="107" t="str">
        <f aca="false">IF($E1308="","",INDEX(资金日记账!$X$4:$X$603,200))</f>
        <v/>
      </c>
      <c r="M1308" s="107"/>
      <c r="N1308" s="67" t="str">
        <f aca="false">IF($E1308="","",INDEX(资金日记账!$Y$4:$Y$603,200))</f>
        <v/>
      </c>
      <c r="O1308" s="67" t="str">
        <f aca="false">IF($E1308="","","自动B")</f>
        <v/>
      </c>
      <c r="P1308" s="18"/>
    </row>
    <row r="1309" customFormat="false" ht="18" hidden="false" customHeight="true" outlineLevel="0" collapsed="false">
      <c r="A1309" s="107" t="str">
        <f aca="false">IF($E1309="","",ROW()-3)</f>
        <v/>
      </c>
      <c r="B1309" s="110" t="str">
        <f aca="false">IF($E1309="","",INDEX(资金日记账!$B$4:$B$603,200))</f>
        <v/>
      </c>
      <c r="C1309" s="67" t="str">
        <f aca="false">IF($E1309="","",IF(INDEX(资金日记账!$W$4:$W$603,200)="","记-"&amp;TEXT($B1309,"YYYYMM")&amp;"-资金",INDEX(资金日记账!$W$4:$W$603,200)))</f>
        <v/>
      </c>
      <c r="D1309" s="107" t="str">
        <f aca="false">IF($E1309="","",INDEX(资金日记账!$D$4:$D$603,200))</f>
        <v/>
      </c>
      <c r="E1309" s="67" t="str">
        <f aca="false">IF(INDEX(资金日记账!$N$4:$S$603,200,4)=0,"",INDEX(资金日记账!$N$4:$S$603,200,4))</f>
        <v/>
      </c>
      <c r="F1309" s="99" t="str">
        <f aca="false">IF($E1309="","",IFERROR(INDEX(科目表!$A$4:$A$81,MATCH($E1309,科目表!$B$4:$B$81,0)),""))</f>
        <v/>
      </c>
      <c r="G1309" s="67" t="str">
        <f aca="false">IF($E1309="","",IFERROR(INDEX(科目表!$E$4:$E$81,MATCH($E1309,科目表!$B$4:$B$81,0)),""))</f>
        <v/>
      </c>
      <c r="H1309" s="70" t="str">
        <f aca="false">IF($E1309="","",N(INDEX(资金日记账!$N$4:$S$603,200,5)))</f>
        <v/>
      </c>
      <c r="I1309" s="70" t="str">
        <f aca="false">IF($E1309="","",N(INDEX(资金日记账!$N$4:$S$603,200,6)))</f>
        <v/>
      </c>
      <c r="J1309" s="67" t="str">
        <f aca="false">IF($E1309="","",INDEX(资金日记账!$E$4:$E$603,200))</f>
        <v/>
      </c>
      <c r="K1309" s="67" t="str">
        <f aca="false">IF($E1309="","",INDEX(资金日记账!$F$4:$F$603,200))</f>
        <v/>
      </c>
      <c r="L1309" s="107" t="str">
        <f aca="false">IF($E1309="","",INDEX(资金日记账!$X$4:$X$603,200))</f>
        <v/>
      </c>
      <c r="M1309" s="107"/>
      <c r="N1309" s="67" t="str">
        <f aca="false">IF($E1309="","",INDEX(资金日记账!$Y$4:$Y$603,200))</f>
        <v/>
      </c>
      <c r="O1309" s="67" t="str">
        <f aca="false">IF($E1309="","","自动B")</f>
        <v/>
      </c>
      <c r="P1309" s="18"/>
    </row>
    <row r="1310" customFormat="false" ht="18" hidden="false" customHeight="true" outlineLevel="0" collapsed="false">
      <c r="A1310" s="107" t="str">
        <f aca="false">IF($E1310="","",ROW()-3)</f>
        <v/>
      </c>
      <c r="B1310" s="110" t="str">
        <f aca="false">IF($E1310="","",INDEX(资金日记账!$B$4:$B$603,201))</f>
        <v/>
      </c>
      <c r="C1310" s="67" t="str">
        <f aca="false">IF($E1310="","",IF(INDEX(资金日记账!$W$4:$W$603,201)="","记-"&amp;TEXT($B1310,"YYYYMM")&amp;"-资金",INDEX(资金日记账!$W$4:$W$603,201)))</f>
        <v/>
      </c>
      <c r="D1310" s="107" t="str">
        <f aca="false">IF($E1310="","",INDEX(资金日记账!$D$4:$D$603,201))</f>
        <v/>
      </c>
      <c r="E1310" s="67" t="str">
        <f aca="false">IF(INDEX(资金日记账!$N$4:$S$603,201,1)=0,"",INDEX(资金日记账!$N$4:$S$603,201,1))</f>
        <v/>
      </c>
      <c r="F1310" s="99" t="str">
        <f aca="false">IF($E1310="","",IFERROR(INDEX(科目表!$A$4:$A$81,MATCH($E1310,科目表!$B$4:$B$81,0)),""))</f>
        <v/>
      </c>
      <c r="G1310" s="67" t="str">
        <f aca="false">IF($E1310="","",IFERROR(INDEX(科目表!$E$4:$E$81,MATCH($E1310,科目表!$B$4:$B$81,0)),""))</f>
        <v/>
      </c>
      <c r="H1310" s="70" t="str">
        <f aca="false">IF($E1310="","",N(INDEX(资金日记账!$N$4:$S$603,201,2)))</f>
        <v/>
      </c>
      <c r="I1310" s="70" t="str">
        <f aca="false">IF($E1310="","",N(INDEX(资金日记账!$N$4:$S$603,201,3)))</f>
        <v/>
      </c>
      <c r="J1310" s="67" t="str">
        <f aca="false">IF($E1310="","",INDEX(资金日记账!$E$4:$E$603,201))</f>
        <v/>
      </c>
      <c r="K1310" s="67" t="str">
        <f aca="false">IF($E1310="","",INDEX(资金日记账!$F$4:$F$603,201))</f>
        <v/>
      </c>
      <c r="L1310" s="107" t="str">
        <f aca="false">IF($E1310="","",INDEX(资金日记账!$X$4:$X$603,201))</f>
        <v/>
      </c>
      <c r="M1310" s="107"/>
      <c r="N1310" s="67" t="str">
        <f aca="false">IF($E1310="","",INDEX(资金日记账!$Y$4:$Y$603,201))</f>
        <v/>
      </c>
      <c r="O1310" s="67" t="str">
        <f aca="false">IF($E1310="","","自动B")</f>
        <v/>
      </c>
      <c r="P1310" s="18"/>
    </row>
    <row r="1311" customFormat="false" ht="18" hidden="false" customHeight="true" outlineLevel="0" collapsed="false">
      <c r="A1311" s="107" t="str">
        <f aca="false">IF($E1311="","",ROW()-3)</f>
        <v/>
      </c>
      <c r="B1311" s="110" t="str">
        <f aca="false">IF($E1311="","",INDEX(资金日记账!$B$4:$B$603,201))</f>
        <v/>
      </c>
      <c r="C1311" s="67" t="str">
        <f aca="false">IF($E1311="","",IF(INDEX(资金日记账!$W$4:$W$603,201)="","记-"&amp;TEXT($B1311,"YYYYMM")&amp;"-资金",INDEX(资金日记账!$W$4:$W$603,201)))</f>
        <v/>
      </c>
      <c r="D1311" s="107" t="str">
        <f aca="false">IF($E1311="","",INDEX(资金日记账!$D$4:$D$603,201))</f>
        <v/>
      </c>
      <c r="E1311" s="67" t="str">
        <f aca="false">IF(INDEX(资金日记账!$N$4:$S$603,201,4)=0,"",INDEX(资金日记账!$N$4:$S$603,201,4))</f>
        <v/>
      </c>
      <c r="F1311" s="99" t="str">
        <f aca="false">IF($E1311="","",IFERROR(INDEX(科目表!$A$4:$A$81,MATCH($E1311,科目表!$B$4:$B$81,0)),""))</f>
        <v/>
      </c>
      <c r="G1311" s="67" t="str">
        <f aca="false">IF($E1311="","",IFERROR(INDEX(科目表!$E$4:$E$81,MATCH($E1311,科目表!$B$4:$B$81,0)),""))</f>
        <v/>
      </c>
      <c r="H1311" s="70" t="str">
        <f aca="false">IF($E1311="","",N(INDEX(资金日记账!$N$4:$S$603,201,5)))</f>
        <v/>
      </c>
      <c r="I1311" s="70" t="str">
        <f aca="false">IF($E1311="","",N(INDEX(资金日记账!$N$4:$S$603,201,6)))</f>
        <v/>
      </c>
      <c r="J1311" s="67" t="str">
        <f aca="false">IF($E1311="","",INDEX(资金日记账!$E$4:$E$603,201))</f>
        <v/>
      </c>
      <c r="K1311" s="67" t="str">
        <f aca="false">IF($E1311="","",INDEX(资金日记账!$F$4:$F$603,201))</f>
        <v/>
      </c>
      <c r="L1311" s="107" t="str">
        <f aca="false">IF($E1311="","",INDEX(资金日记账!$X$4:$X$603,201))</f>
        <v/>
      </c>
      <c r="M1311" s="107"/>
      <c r="N1311" s="67" t="str">
        <f aca="false">IF($E1311="","",INDEX(资金日记账!$Y$4:$Y$603,201))</f>
        <v/>
      </c>
      <c r="O1311" s="67" t="str">
        <f aca="false">IF($E1311="","","自动B")</f>
        <v/>
      </c>
      <c r="P1311" s="18"/>
    </row>
    <row r="1312" customFormat="false" ht="18" hidden="false" customHeight="true" outlineLevel="0" collapsed="false">
      <c r="A1312" s="107" t="str">
        <f aca="false">IF($E1312="","",ROW()-3)</f>
        <v/>
      </c>
      <c r="B1312" s="110" t="str">
        <f aca="false">IF($E1312="","",INDEX(资金日记账!$B$4:$B$603,202))</f>
        <v/>
      </c>
      <c r="C1312" s="67" t="str">
        <f aca="false">IF($E1312="","",IF(INDEX(资金日记账!$W$4:$W$603,202)="","记-"&amp;TEXT($B1312,"YYYYMM")&amp;"-资金",INDEX(资金日记账!$W$4:$W$603,202)))</f>
        <v/>
      </c>
      <c r="D1312" s="107" t="str">
        <f aca="false">IF($E1312="","",INDEX(资金日记账!$D$4:$D$603,202))</f>
        <v/>
      </c>
      <c r="E1312" s="67" t="str">
        <f aca="false">IF(INDEX(资金日记账!$N$4:$S$603,202,1)=0,"",INDEX(资金日记账!$N$4:$S$603,202,1))</f>
        <v/>
      </c>
      <c r="F1312" s="99" t="str">
        <f aca="false">IF($E1312="","",IFERROR(INDEX(科目表!$A$4:$A$81,MATCH($E1312,科目表!$B$4:$B$81,0)),""))</f>
        <v/>
      </c>
      <c r="G1312" s="67" t="str">
        <f aca="false">IF($E1312="","",IFERROR(INDEX(科目表!$E$4:$E$81,MATCH($E1312,科目表!$B$4:$B$81,0)),""))</f>
        <v/>
      </c>
      <c r="H1312" s="70" t="str">
        <f aca="false">IF($E1312="","",N(INDEX(资金日记账!$N$4:$S$603,202,2)))</f>
        <v/>
      </c>
      <c r="I1312" s="70" t="str">
        <f aca="false">IF($E1312="","",N(INDEX(资金日记账!$N$4:$S$603,202,3)))</f>
        <v/>
      </c>
      <c r="J1312" s="67" t="str">
        <f aca="false">IF($E1312="","",INDEX(资金日记账!$E$4:$E$603,202))</f>
        <v/>
      </c>
      <c r="K1312" s="67" t="str">
        <f aca="false">IF($E1312="","",INDEX(资金日记账!$F$4:$F$603,202))</f>
        <v/>
      </c>
      <c r="L1312" s="107" t="str">
        <f aca="false">IF($E1312="","",INDEX(资金日记账!$X$4:$X$603,202))</f>
        <v/>
      </c>
      <c r="M1312" s="107"/>
      <c r="N1312" s="67" t="str">
        <f aca="false">IF($E1312="","",INDEX(资金日记账!$Y$4:$Y$603,202))</f>
        <v/>
      </c>
      <c r="O1312" s="67" t="str">
        <f aca="false">IF($E1312="","","自动B")</f>
        <v/>
      </c>
      <c r="P1312" s="18"/>
    </row>
    <row r="1313" customFormat="false" ht="18" hidden="false" customHeight="true" outlineLevel="0" collapsed="false">
      <c r="A1313" s="107" t="str">
        <f aca="false">IF($E1313="","",ROW()-3)</f>
        <v/>
      </c>
      <c r="B1313" s="110" t="str">
        <f aca="false">IF($E1313="","",INDEX(资金日记账!$B$4:$B$603,202))</f>
        <v/>
      </c>
      <c r="C1313" s="67" t="str">
        <f aca="false">IF($E1313="","",IF(INDEX(资金日记账!$W$4:$W$603,202)="","记-"&amp;TEXT($B1313,"YYYYMM")&amp;"-资金",INDEX(资金日记账!$W$4:$W$603,202)))</f>
        <v/>
      </c>
      <c r="D1313" s="107" t="str">
        <f aca="false">IF($E1313="","",INDEX(资金日记账!$D$4:$D$603,202))</f>
        <v/>
      </c>
      <c r="E1313" s="67" t="str">
        <f aca="false">IF(INDEX(资金日记账!$N$4:$S$603,202,4)=0,"",INDEX(资金日记账!$N$4:$S$603,202,4))</f>
        <v/>
      </c>
      <c r="F1313" s="99" t="str">
        <f aca="false">IF($E1313="","",IFERROR(INDEX(科目表!$A$4:$A$81,MATCH($E1313,科目表!$B$4:$B$81,0)),""))</f>
        <v/>
      </c>
      <c r="G1313" s="67" t="str">
        <f aca="false">IF($E1313="","",IFERROR(INDEX(科目表!$E$4:$E$81,MATCH($E1313,科目表!$B$4:$B$81,0)),""))</f>
        <v/>
      </c>
      <c r="H1313" s="70" t="str">
        <f aca="false">IF($E1313="","",N(INDEX(资金日记账!$N$4:$S$603,202,5)))</f>
        <v/>
      </c>
      <c r="I1313" s="70" t="str">
        <f aca="false">IF($E1313="","",N(INDEX(资金日记账!$N$4:$S$603,202,6)))</f>
        <v/>
      </c>
      <c r="J1313" s="67" t="str">
        <f aca="false">IF($E1313="","",INDEX(资金日记账!$E$4:$E$603,202))</f>
        <v/>
      </c>
      <c r="K1313" s="67" t="str">
        <f aca="false">IF($E1313="","",INDEX(资金日记账!$F$4:$F$603,202))</f>
        <v/>
      </c>
      <c r="L1313" s="107" t="str">
        <f aca="false">IF($E1313="","",INDEX(资金日记账!$X$4:$X$603,202))</f>
        <v/>
      </c>
      <c r="M1313" s="107"/>
      <c r="N1313" s="67" t="str">
        <f aca="false">IF($E1313="","",INDEX(资金日记账!$Y$4:$Y$603,202))</f>
        <v/>
      </c>
      <c r="O1313" s="67" t="str">
        <f aca="false">IF($E1313="","","自动B")</f>
        <v/>
      </c>
      <c r="P1313" s="18"/>
    </row>
    <row r="1314" customFormat="false" ht="18" hidden="false" customHeight="true" outlineLevel="0" collapsed="false">
      <c r="A1314" s="107" t="str">
        <f aca="false">IF($E1314="","",ROW()-3)</f>
        <v/>
      </c>
      <c r="B1314" s="110" t="str">
        <f aca="false">IF($E1314="","",INDEX(资金日记账!$B$4:$B$603,203))</f>
        <v/>
      </c>
      <c r="C1314" s="67" t="str">
        <f aca="false">IF($E1314="","",IF(INDEX(资金日记账!$W$4:$W$603,203)="","记-"&amp;TEXT($B1314,"YYYYMM")&amp;"-资金",INDEX(资金日记账!$W$4:$W$603,203)))</f>
        <v/>
      </c>
      <c r="D1314" s="107" t="str">
        <f aca="false">IF($E1314="","",INDEX(资金日记账!$D$4:$D$603,203))</f>
        <v/>
      </c>
      <c r="E1314" s="67" t="str">
        <f aca="false">IF(INDEX(资金日记账!$N$4:$S$603,203,1)=0,"",INDEX(资金日记账!$N$4:$S$603,203,1))</f>
        <v/>
      </c>
      <c r="F1314" s="99" t="str">
        <f aca="false">IF($E1314="","",IFERROR(INDEX(科目表!$A$4:$A$81,MATCH($E1314,科目表!$B$4:$B$81,0)),""))</f>
        <v/>
      </c>
      <c r="G1314" s="67" t="str">
        <f aca="false">IF($E1314="","",IFERROR(INDEX(科目表!$E$4:$E$81,MATCH($E1314,科目表!$B$4:$B$81,0)),""))</f>
        <v/>
      </c>
      <c r="H1314" s="70" t="str">
        <f aca="false">IF($E1314="","",N(INDEX(资金日记账!$N$4:$S$603,203,2)))</f>
        <v/>
      </c>
      <c r="I1314" s="70" t="str">
        <f aca="false">IF($E1314="","",N(INDEX(资金日记账!$N$4:$S$603,203,3)))</f>
        <v/>
      </c>
      <c r="J1314" s="67" t="str">
        <f aca="false">IF($E1314="","",INDEX(资金日记账!$E$4:$E$603,203))</f>
        <v/>
      </c>
      <c r="K1314" s="67" t="str">
        <f aca="false">IF($E1314="","",INDEX(资金日记账!$F$4:$F$603,203))</f>
        <v/>
      </c>
      <c r="L1314" s="107" t="str">
        <f aca="false">IF($E1314="","",INDEX(资金日记账!$X$4:$X$603,203))</f>
        <v/>
      </c>
      <c r="M1314" s="107"/>
      <c r="N1314" s="67" t="str">
        <f aca="false">IF($E1314="","",INDEX(资金日记账!$Y$4:$Y$603,203))</f>
        <v/>
      </c>
      <c r="O1314" s="67" t="str">
        <f aca="false">IF($E1314="","","自动B")</f>
        <v/>
      </c>
      <c r="P1314" s="18"/>
    </row>
    <row r="1315" customFormat="false" ht="18" hidden="false" customHeight="true" outlineLevel="0" collapsed="false">
      <c r="A1315" s="107" t="str">
        <f aca="false">IF($E1315="","",ROW()-3)</f>
        <v/>
      </c>
      <c r="B1315" s="110" t="str">
        <f aca="false">IF($E1315="","",INDEX(资金日记账!$B$4:$B$603,203))</f>
        <v/>
      </c>
      <c r="C1315" s="67" t="str">
        <f aca="false">IF($E1315="","",IF(INDEX(资金日记账!$W$4:$W$603,203)="","记-"&amp;TEXT($B1315,"YYYYMM")&amp;"-资金",INDEX(资金日记账!$W$4:$W$603,203)))</f>
        <v/>
      </c>
      <c r="D1315" s="107" t="str">
        <f aca="false">IF($E1315="","",INDEX(资金日记账!$D$4:$D$603,203))</f>
        <v/>
      </c>
      <c r="E1315" s="67" t="str">
        <f aca="false">IF(INDEX(资金日记账!$N$4:$S$603,203,4)=0,"",INDEX(资金日记账!$N$4:$S$603,203,4))</f>
        <v/>
      </c>
      <c r="F1315" s="99" t="str">
        <f aca="false">IF($E1315="","",IFERROR(INDEX(科目表!$A$4:$A$81,MATCH($E1315,科目表!$B$4:$B$81,0)),""))</f>
        <v/>
      </c>
      <c r="G1315" s="67" t="str">
        <f aca="false">IF($E1315="","",IFERROR(INDEX(科目表!$E$4:$E$81,MATCH($E1315,科目表!$B$4:$B$81,0)),""))</f>
        <v/>
      </c>
      <c r="H1315" s="70" t="str">
        <f aca="false">IF($E1315="","",N(INDEX(资金日记账!$N$4:$S$603,203,5)))</f>
        <v/>
      </c>
      <c r="I1315" s="70" t="str">
        <f aca="false">IF($E1315="","",N(INDEX(资金日记账!$N$4:$S$603,203,6)))</f>
        <v/>
      </c>
      <c r="J1315" s="67" t="str">
        <f aca="false">IF($E1315="","",INDEX(资金日记账!$E$4:$E$603,203))</f>
        <v/>
      </c>
      <c r="K1315" s="67" t="str">
        <f aca="false">IF($E1315="","",INDEX(资金日记账!$F$4:$F$603,203))</f>
        <v/>
      </c>
      <c r="L1315" s="107" t="str">
        <f aca="false">IF($E1315="","",INDEX(资金日记账!$X$4:$X$603,203))</f>
        <v/>
      </c>
      <c r="M1315" s="107"/>
      <c r="N1315" s="67" t="str">
        <f aca="false">IF($E1315="","",INDEX(资金日记账!$Y$4:$Y$603,203))</f>
        <v/>
      </c>
      <c r="O1315" s="67" t="str">
        <f aca="false">IF($E1315="","","自动B")</f>
        <v/>
      </c>
      <c r="P1315" s="18"/>
    </row>
    <row r="1316" customFormat="false" ht="18" hidden="false" customHeight="true" outlineLevel="0" collapsed="false">
      <c r="A1316" s="107" t="str">
        <f aca="false">IF($E1316="","",ROW()-3)</f>
        <v/>
      </c>
      <c r="B1316" s="110" t="str">
        <f aca="false">IF($E1316="","",INDEX(资金日记账!$B$4:$B$603,204))</f>
        <v/>
      </c>
      <c r="C1316" s="67" t="str">
        <f aca="false">IF($E1316="","",IF(INDEX(资金日记账!$W$4:$W$603,204)="","记-"&amp;TEXT($B1316,"YYYYMM")&amp;"-资金",INDEX(资金日记账!$W$4:$W$603,204)))</f>
        <v/>
      </c>
      <c r="D1316" s="107" t="str">
        <f aca="false">IF($E1316="","",INDEX(资金日记账!$D$4:$D$603,204))</f>
        <v/>
      </c>
      <c r="E1316" s="67" t="str">
        <f aca="false">IF(INDEX(资金日记账!$N$4:$S$603,204,1)=0,"",INDEX(资金日记账!$N$4:$S$603,204,1))</f>
        <v/>
      </c>
      <c r="F1316" s="99" t="str">
        <f aca="false">IF($E1316="","",IFERROR(INDEX(科目表!$A$4:$A$81,MATCH($E1316,科目表!$B$4:$B$81,0)),""))</f>
        <v/>
      </c>
      <c r="G1316" s="67" t="str">
        <f aca="false">IF($E1316="","",IFERROR(INDEX(科目表!$E$4:$E$81,MATCH($E1316,科目表!$B$4:$B$81,0)),""))</f>
        <v/>
      </c>
      <c r="H1316" s="70" t="str">
        <f aca="false">IF($E1316="","",N(INDEX(资金日记账!$N$4:$S$603,204,2)))</f>
        <v/>
      </c>
      <c r="I1316" s="70" t="str">
        <f aca="false">IF($E1316="","",N(INDEX(资金日记账!$N$4:$S$603,204,3)))</f>
        <v/>
      </c>
      <c r="J1316" s="67" t="str">
        <f aca="false">IF($E1316="","",INDEX(资金日记账!$E$4:$E$603,204))</f>
        <v/>
      </c>
      <c r="K1316" s="67" t="str">
        <f aca="false">IF($E1316="","",INDEX(资金日记账!$F$4:$F$603,204))</f>
        <v/>
      </c>
      <c r="L1316" s="107" t="str">
        <f aca="false">IF($E1316="","",INDEX(资金日记账!$X$4:$X$603,204))</f>
        <v/>
      </c>
      <c r="M1316" s="107"/>
      <c r="N1316" s="67" t="str">
        <f aca="false">IF($E1316="","",INDEX(资金日记账!$Y$4:$Y$603,204))</f>
        <v/>
      </c>
      <c r="O1316" s="67" t="str">
        <f aca="false">IF($E1316="","","自动B")</f>
        <v/>
      </c>
      <c r="P1316" s="18"/>
    </row>
    <row r="1317" customFormat="false" ht="18" hidden="false" customHeight="true" outlineLevel="0" collapsed="false">
      <c r="A1317" s="107" t="str">
        <f aca="false">IF($E1317="","",ROW()-3)</f>
        <v/>
      </c>
      <c r="B1317" s="110" t="str">
        <f aca="false">IF($E1317="","",INDEX(资金日记账!$B$4:$B$603,204))</f>
        <v/>
      </c>
      <c r="C1317" s="67" t="str">
        <f aca="false">IF($E1317="","",IF(INDEX(资金日记账!$W$4:$W$603,204)="","记-"&amp;TEXT($B1317,"YYYYMM")&amp;"-资金",INDEX(资金日记账!$W$4:$W$603,204)))</f>
        <v/>
      </c>
      <c r="D1317" s="107" t="str">
        <f aca="false">IF($E1317="","",INDEX(资金日记账!$D$4:$D$603,204))</f>
        <v/>
      </c>
      <c r="E1317" s="67" t="str">
        <f aca="false">IF(INDEX(资金日记账!$N$4:$S$603,204,4)=0,"",INDEX(资金日记账!$N$4:$S$603,204,4))</f>
        <v/>
      </c>
      <c r="F1317" s="99" t="str">
        <f aca="false">IF($E1317="","",IFERROR(INDEX(科目表!$A$4:$A$81,MATCH($E1317,科目表!$B$4:$B$81,0)),""))</f>
        <v/>
      </c>
      <c r="G1317" s="67" t="str">
        <f aca="false">IF($E1317="","",IFERROR(INDEX(科目表!$E$4:$E$81,MATCH($E1317,科目表!$B$4:$B$81,0)),""))</f>
        <v/>
      </c>
      <c r="H1317" s="70" t="str">
        <f aca="false">IF($E1317="","",N(INDEX(资金日记账!$N$4:$S$603,204,5)))</f>
        <v/>
      </c>
      <c r="I1317" s="70" t="str">
        <f aca="false">IF($E1317="","",N(INDEX(资金日记账!$N$4:$S$603,204,6)))</f>
        <v/>
      </c>
      <c r="J1317" s="67" t="str">
        <f aca="false">IF($E1317="","",INDEX(资金日记账!$E$4:$E$603,204))</f>
        <v/>
      </c>
      <c r="K1317" s="67" t="str">
        <f aca="false">IF($E1317="","",INDEX(资金日记账!$F$4:$F$603,204))</f>
        <v/>
      </c>
      <c r="L1317" s="107" t="str">
        <f aca="false">IF($E1317="","",INDEX(资金日记账!$X$4:$X$603,204))</f>
        <v/>
      </c>
      <c r="M1317" s="107"/>
      <c r="N1317" s="67" t="str">
        <f aca="false">IF($E1317="","",INDEX(资金日记账!$Y$4:$Y$603,204))</f>
        <v/>
      </c>
      <c r="O1317" s="67" t="str">
        <f aca="false">IF($E1317="","","自动B")</f>
        <v/>
      </c>
      <c r="P1317" s="18"/>
    </row>
    <row r="1318" customFormat="false" ht="18" hidden="false" customHeight="true" outlineLevel="0" collapsed="false">
      <c r="A1318" s="107" t="str">
        <f aca="false">IF($E1318="","",ROW()-3)</f>
        <v/>
      </c>
      <c r="B1318" s="110" t="str">
        <f aca="false">IF($E1318="","",INDEX(资金日记账!$B$4:$B$603,205))</f>
        <v/>
      </c>
      <c r="C1318" s="67" t="str">
        <f aca="false">IF($E1318="","",IF(INDEX(资金日记账!$W$4:$W$603,205)="","记-"&amp;TEXT($B1318,"YYYYMM")&amp;"-资金",INDEX(资金日记账!$W$4:$W$603,205)))</f>
        <v/>
      </c>
      <c r="D1318" s="107" t="str">
        <f aca="false">IF($E1318="","",INDEX(资金日记账!$D$4:$D$603,205))</f>
        <v/>
      </c>
      <c r="E1318" s="67" t="str">
        <f aca="false">IF(INDEX(资金日记账!$N$4:$S$603,205,1)=0,"",INDEX(资金日记账!$N$4:$S$603,205,1))</f>
        <v/>
      </c>
      <c r="F1318" s="99" t="str">
        <f aca="false">IF($E1318="","",IFERROR(INDEX(科目表!$A$4:$A$81,MATCH($E1318,科目表!$B$4:$B$81,0)),""))</f>
        <v/>
      </c>
      <c r="G1318" s="67" t="str">
        <f aca="false">IF($E1318="","",IFERROR(INDEX(科目表!$E$4:$E$81,MATCH($E1318,科目表!$B$4:$B$81,0)),""))</f>
        <v/>
      </c>
      <c r="H1318" s="70" t="str">
        <f aca="false">IF($E1318="","",N(INDEX(资金日记账!$N$4:$S$603,205,2)))</f>
        <v/>
      </c>
      <c r="I1318" s="70" t="str">
        <f aca="false">IF($E1318="","",N(INDEX(资金日记账!$N$4:$S$603,205,3)))</f>
        <v/>
      </c>
      <c r="J1318" s="67" t="str">
        <f aca="false">IF($E1318="","",INDEX(资金日记账!$E$4:$E$603,205))</f>
        <v/>
      </c>
      <c r="K1318" s="67" t="str">
        <f aca="false">IF($E1318="","",INDEX(资金日记账!$F$4:$F$603,205))</f>
        <v/>
      </c>
      <c r="L1318" s="107" t="str">
        <f aca="false">IF($E1318="","",INDEX(资金日记账!$X$4:$X$603,205))</f>
        <v/>
      </c>
      <c r="M1318" s="107"/>
      <c r="N1318" s="67" t="str">
        <f aca="false">IF($E1318="","",INDEX(资金日记账!$Y$4:$Y$603,205))</f>
        <v/>
      </c>
      <c r="O1318" s="67" t="str">
        <f aca="false">IF($E1318="","","自动B")</f>
        <v/>
      </c>
      <c r="P1318" s="18"/>
    </row>
    <row r="1319" customFormat="false" ht="18" hidden="false" customHeight="true" outlineLevel="0" collapsed="false">
      <c r="A1319" s="107" t="str">
        <f aca="false">IF($E1319="","",ROW()-3)</f>
        <v/>
      </c>
      <c r="B1319" s="110" t="str">
        <f aca="false">IF($E1319="","",INDEX(资金日记账!$B$4:$B$603,205))</f>
        <v/>
      </c>
      <c r="C1319" s="67" t="str">
        <f aca="false">IF($E1319="","",IF(INDEX(资金日记账!$W$4:$W$603,205)="","记-"&amp;TEXT($B1319,"YYYYMM")&amp;"-资金",INDEX(资金日记账!$W$4:$W$603,205)))</f>
        <v/>
      </c>
      <c r="D1319" s="107" t="str">
        <f aca="false">IF($E1319="","",INDEX(资金日记账!$D$4:$D$603,205))</f>
        <v/>
      </c>
      <c r="E1319" s="67" t="str">
        <f aca="false">IF(INDEX(资金日记账!$N$4:$S$603,205,4)=0,"",INDEX(资金日记账!$N$4:$S$603,205,4))</f>
        <v/>
      </c>
      <c r="F1319" s="99" t="str">
        <f aca="false">IF($E1319="","",IFERROR(INDEX(科目表!$A$4:$A$81,MATCH($E1319,科目表!$B$4:$B$81,0)),""))</f>
        <v/>
      </c>
      <c r="G1319" s="67" t="str">
        <f aca="false">IF($E1319="","",IFERROR(INDEX(科目表!$E$4:$E$81,MATCH($E1319,科目表!$B$4:$B$81,0)),""))</f>
        <v/>
      </c>
      <c r="H1319" s="70" t="str">
        <f aca="false">IF($E1319="","",N(INDEX(资金日记账!$N$4:$S$603,205,5)))</f>
        <v/>
      </c>
      <c r="I1319" s="70" t="str">
        <f aca="false">IF($E1319="","",N(INDEX(资金日记账!$N$4:$S$603,205,6)))</f>
        <v/>
      </c>
      <c r="J1319" s="67" t="str">
        <f aca="false">IF($E1319="","",INDEX(资金日记账!$E$4:$E$603,205))</f>
        <v/>
      </c>
      <c r="K1319" s="67" t="str">
        <f aca="false">IF($E1319="","",INDEX(资金日记账!$F$4:$F$603,205))</f>
        <v/>
      </c>
      <c r="L1319" s="107" t="str">
        <f aca="false">IF($E1319="","",INDEX(资金日记账!$X$4:$X$603,205))</f>
        <v/>
      </c>
      <c r="M1319" s="107"/>
      <c r="N1319" s="67" t="str">
        <f aca="false">IF($E1319="","",INDEX(资金日记账!$Y$4:$Y$603,205))</f>
        <v/>
      </c>
      <c r="O1319" s="67" t="str">
        <f aca="false">IF($E1319="","","自动B")</f>
        <v/>
      </c>
      <c r="P1319" s="18"/>
    </row>
    <row r="1320" customFormat="false" ht="18" hidden="false" customHeight="true" outlineLevel="0" collapsed="false">
      <c r="A1320" s="107" t="str">
        <f aca="false">IF($E1320="","",ROW()-3)</f>
        <v/>
      </c>
      <c r="B1320" s="110" t="str">
        <f aca="false">IF($E1320="","",INDEX(资金日记账!$B$4:$B$603,206))</f>
        <v/>
      </c>
      <c r="C1320" s="67" t="str">
        <f aca="false">IF($E1320="","",IF(INDEX(资金日记账!$W$4:$W$603,206)="","记-"&amp;TEXT($B1320,"YYYYMM")&amp;"-资金",INDEX(资金日记账!$W$4:$W$603,206)))</f>
        <v/>
      </c>
      <c r="D1320" s="107" t="str">
        <f aca="false">IF($E1320="","",INDEX(资金日记账!$D$4:$D$603,206))</f>
        <v/>
      </c>
      <c r="E1320" s="67" t="str">
        <f aca="false">IF(INDEX(资金日记账!$N$4:$S$603,206,1)=0,"",INDEX(资金日记账!$N$4:$S$603,206,1))</f>
        <v/>
      </c>
      <c r="F1320" s="99" t="str">
        <f aca="false">IF($E1320="","",IFERROR(INDEX(科目表!$A$4:$A$81,MATCH($E1320,科目表!$B$4:$B$81,0)),""))</f>
        <v/>
      </c>
      <c r="G1320" s="67" t="str">
        <f aca="false">IF($E1320="","",IFERROR(INDEX(科目表!$E$4:$E$81,MATCH($E1320,科目表!$B$4:$B$81,0)),""))</f>
        <v/>
      </c>
      <c r="H1320" s="70" t="str">
        <f aca="false">IF($E1320="","",N(INDEX(资金日记账!$N$4:$S$603,206,2)))</f>
        <v/>
      </c>
      <c r="I1320" s="70" t="str">
        <f aca="false">IF($E1320="","",N(INDEX(资金日记账!$N$4:$S$603,206,3)))</f>
        <v/>
      </c>
      <c r="J1320" s="67" t="str">
        <f aca="false">IF($E1320="","",INDEX(资金日记账!$E$4:$E$603,206))</f>
        <v/>
      </c>
      <c r="K1320" s="67" t="str">
        <f aca="false">IF($E1320="","",INDEX(资金日记账!$F$4:$F$603,206))</f>
        <v/>
      </c>
      <c r="L1320" s="107" t="str">
        <f aca="false">IF($E1320="","",INDEX(资金日记账!$X$4:$X$603,206))</f>
        <v/>
      </c>
      <c r="M1320" s="107"/>
      <c r="N1320" s="67" t="str">
        <f aca="false">IF($E1320="","",INDEX(资金日记账!$Y$4:$Y$603,206))</f>
        <v/>
      </c>
      <c r="O1320" s="67" t="str">
        <f aca="false">IF($E1320="","","自动B")</f>
        <v/>
      </c>
      <c r="P1320" s="18"/>
    </row>
    <row r="1321" customFormat="false" ht="18" hidden="false" customHeight="true" outlineLevel="0" collapsed="false">
      <c r="A1321" s="107" t="str">
        <f aca="false">IF($E1321="","",ROW()-3)</f>
        <v/>
      </c>
      <c r="B1321" s="110" t="str">
        <f aca="false">IF($E1321="","",INDEX(资金日记账!$B$4:$B$603,206))</f>
        <v/>
      </c>
      <c r="C1321" s="67" t="str">
        <f aca="false">IF($E1321="","",IF(INDEX(资金日记账!$W$4:$W$603,206)="","记-"&amp;TEXT($B1321,"YYYYMM")&amp;"-资金",INDEX(资金日记账!$W$4:$W$603,206)))</f>
        <v/>
      </c>
      <c r="D1321" s="107" t="str">
        <f aca="false">IF($E1321="","",INDEX(资金日记账!$D$4:$D$603,206))</f>
        <v/>
      </c>
      <c r="E1321" s="67" t="str">
        <f aca="false">IF(INDEX(资金日记账!$N$4:$S$603,206,4)=0,"",INDEX(资金日记账!$N$4:$S$603,206,4))</f>
        <v/>
      </c>
      <c r="F1321" s="99" t="str">
        <f aca="false">IF($E1321="","",IFERROR(INDEX(科目表!$A$4:$A$81,MATCH($E1321,科目表!$B$4:$B$81,0)),""))</f>
        <v/>
      </c>
      <c r="G1321" s="67" t="str">
        <f aca="false">IF($E1321="","",IFERROR(INDEX(科目表!$E$4:$E$81,MATCH($E1321,科目表!$B$4:$B$81,0)),""))</f>
        <v/>
      </c>
      <c r="H1321" s="70" t="str">
        <f aca="false">IF($E1321="","",N(INDEX(资金日记账!$N$4:$S$603,206,5)))</f>
        <v/>
      </c>
      <c r="I1321" s="70" t="str">
        <f aca="false">IF($E1321="","",N(INDEX(资金日记账!$N$4:$S$603,206,6)))</f>
        <v/>
      </c>
      <c r="J1321" s="67" t="str">
        <f aca="false">IF($E1321="","",INDEX(资金日记账!$E$4:$E$603,206))</f>
        <v/>
      </c>
      <c r="K1321" s="67" t="str">
        <f aca="false">IF($E1321="","",INDEX(资金日记账!$F$4:$F$603,206))</f>
        <v/>
      </c>
      <c r="L1321" s="107" t="str">
        <f aca="false">IF($E1321="","",INDEX(资金日记账!$X$4:$X$603,206))</f>
        <v/>
      </c>
      <c r="M1321" s="107"/>
      <c r="N1321" s="67" t="str">
        <f aca="false">IF($E1321="","",INDEX(资金日记账!$Y$4:$Y$603,206))</f>
        <v/>
      </c>
      <c r="O1321" s="67" t="str">
        <f aca="false">IF($E1321="","","自动B")</f>
        <v/>
      </c>
      <c r="P1321" s="18"/>
    </row>
    <row r="1322" customFormat="false" ht="18" hidden="false" customHeight="true" outlineLevel="0" collapsed="false">
      <c r="A1322" s="107" t="str">
        <f aca="false">IF($E1322="","",ROW()-3)</f>
        <v/>
      </c>
      <c r="B1322" s="110" t="str">
        <f aca="false">IF($E1322="","",INDEX(资金日记账!$B$4:$B$603,207))</f>
        <v/>
      </c>
      <c r="C1322" s="67" t="str">
        <f aca="false">IF($E1322="","",IF(INDEX(资金日记账!$W$4:$W$603,207)="","记-"&amp;TEXT($B1322,"YYYYMM")&amp;"-资金",INDEX(资金日记账!$W$4:$W$603,207)))</f>
        <v/>
      </c>
      <c r="D1322" s="107" t="str">
        <f aca="false">IF($E1322="","",INDEX(资金日记账!$D$4:$D$603,207))</f>
        <v/>
      </c>
      <c r="E1322" s="67" t="str">
        <f aca="false">IF(INDEX(资金日记账!$N$4:$S$603,207,1)=0,"",INDEX(资金日记账!$N$4:$S$603,207,1))</f>
        <v/>
      </c>
      <c r="F1322" s="99" t="str">
        <f aca="false">IF($E1322="","",IFERROR(INDEX(科目表!$A$4:$A$81,MATCH($E1322,科目表!$B$4:$B$81,0)),""))</f>
        <v/>
      </c>
      <c r="G1322" s="67" t="str">
        <f aca="false">IF($E1322="","",IFERROR(INDEX(科目表!$E$4:$E$81,MATCH($E1322,科目表!$B$4:$B$81,0)),""))</f>
        <v/>
      </c>
      <c r="H1322" s="70" t="str">
        <f aca="false">IF($E1322="","",N(INDEX(资金日记账!$N$4:$S$603,207,2)))</f>
        <v/>
      </c>
      <c r="I1322" s="70" t="str">
        <f aca="false">IF($E1322="","",N(INDEX(资金日记账!$N$4:$S$603,207,3)))</f>
        <v/>
      </c>
      <c r="J1322" s="67" t="str">
        <f aca="false">IF($E1322="","",INDEX(资金日记账!$E$4:$E$603,207))</f>
        <v/>
      </c>
      <c r="K1322" s="67" t="str">
        <f aca="false">IF($E1322="","",INDEX(资金日记账!$F$4:$F$603,207))</f>
        <v/>
      </c>
      <c r="L1322" s="107" t="str">
        <f aca="false">IF($E1322="","",INDEX(资金日记账!$X$4:$X$603,207))</f>
        <v/>
      </c>
      <c r="M1322" s="107"/>
      <c r="N1322" s="67" t="str">
        <f aca="false">IF($E1322="","",INDEX(资金日记账!$Y$4:$Y$603,207))</f>
        <v/>
      </c>
      <c r="O1322" s="67" t="str">
        <f aca="false">IF($E1322="","","自动B")</f>
        <v/>
      </c>
      <c r="P1322" s="18"/>
    </row>
    <row r="1323" customFormat="false" ht="18" hidden="false" customHeight="true" outlineLevel="0" collapsed="false">
      <c r="A1323" s="107" t="str">
        <f aca="false">IF($E1323="","",ROW()-3)</f>
        <v/>
      </c>
      <c r="B1323" s="110" t="str">
        <f aca="false">IF($E1323="","",INDEX(资金日记账!$B$4:$B$603,207))</f>
        <v/>
      </c>
      <c r="C1323" s="67" t="str">
        <f aca="false">IF($E1323="","",IF(INDEX(资金日记账!$W$4:$W$603,207)="","记-"&amp;TEXT($B1323,"YYYYMM")&amp;"-资金",INDEX(资金日记账!$W$4:$W$603,207)))</f>
        <v/>
      </c>
      <c r="D1323" s="107" t="str">
        <f aca="false">IF($E1323="","",INDEX(资金日记账!$D$4:$D$603,207))</f>
        <v/>
      </c>
      <c r="E1323" s="67" t="str">
        <f aca="false">IF(INDEX(资金日记账!$N$4:$S$603,207,4)=0,"",INDEX(资金日记账!$N$4:$S$603,207,4))</f>
        <v/>
      </c>
      <c r="F1323" s="99" t="str">
        <f aca="false">IF($E1323="","",IFERROR(INDEX(科目表!$A$4:$A$81,MATCH($E1323,科目表!$B$4:$B$81,0)),""))</f>
        <v/>
      </c>
      <c r="G1323" s="67" t="str">
        <f aca="false">IF($E1323="","",IFERROR(INDEX(科目表!$E$4:$E$81,MATCH($E1323,科目表!$B$4:$B$81,0)),""))</f>
        <v/>
      </c>
      <c r="H1323" s="70" t="str">
        <f aca="false">IF($E1323="","",N(INDEX(资金日记账!$N$4:$S$603,207,5)))</f>
        <v/>
      </c>
      <c r="I1323" s="70" t="str">
        <f aca="false">IF($E1323="","",N(INDEX(资金日记账!$N$4:$S$603,207,6)))</f>
        <v/>
      </c>
      <c r="J1323" s="67" t="str">
        <f aca="false">IF($E1323="","",INDEX(资金日记账!$E$4:$E$603,207))</f>
        <v/>
      </c>
      <c r="K1323" s="67" t="str">
        <f aca="false">IF($E1323="","",INDEX(资金日记账!$F$4:$F$603,207))</f>
        <v/>
      </c>
      <c r="L1323" s="107" t="str">
        <f aca="false">IF($E1323="","",INDEX(资金日记账!$X$4:$X$603,207))</f>
        <v/>
      </c>
      <c r="M1323" s="107"/>
      <c r="N1323" s="67" t="str">
        <f aca="false">IF($E1323="","",INDEX(资金日记账!$Y$4:$Y$603,207))</f>
        <v/>
      </c>
      <c r="O1323" s="67" t="str">
        <f aca="false">IF($E1323="","","自动B")</f>
        <v/>
      </c>
      <c r="P1323" s="18"/>
    </row>
    <row r="1324" customFormat="false" ht="18" hidden="false" customHeight="true" outlineLevel="0" collapsed="false">
      <c r="A1324" s="107" t="str">
        <f aca="false">IF($E1324="","",ROW()-3)</f>
        <v/>
      </c>
      <c r="B1324" s="110" t="str">
        <f aca="false">IF($E1324="","",INDEX(资金日记账!$B$4:$B$603,208))</f>
        <v/>
      </c>
      <c r="C1324" s="67" t="str">
        <f aca="false">IF($E1324="","",IF(INDEX(资金日记账!$W$4:$W$603,208)="","记-"&amp;TEXT($B1324,"YYYYMM")&amp;"-资金",INDEX(资金日记账!$W$4:$W$603,208)))</f>
        <v/>
      </c>
      <c r="D1324" s="107" t="str">
        <f aca="false">IF($E1324="","",INDEX(资金日记账!$D$4:$D$603,208))</f>
        <v/>
      </c>
      <c r="E1324" s="67" t="str">
        <f aca="false">IF(INDEX(资金日记账!$N$4:$S$603,208,1)=0,"",INDEX(资金日记账!$N$4:$S$603,208,1))</f>
        <v/>
      </c>
      <c r="F1324" s="99" t="str">
        <f aca="false">IF($E1324="","",IFERROR(INDEX(科目表!$A$4:$A$81,MATCH($E1324,科目表!$B$4:$B$81,0)),""))</f>
        <v/>
      </c>
      <c r="G1324" s="67" t="str">
        <f aca="false">IF($E1324="","",IFERROR(INDEX(科目表!$E$4:$E$81,MATCH($E1324,科目表!$B$4:$B$81,0)),""))</f>
        <v/>
      </c>
      <c r="H1324" s="70" t="str">
        <f aca="false">IF($E1324="","",N(INDEX(资金日记账!$N$4:$S$603,208,2)))</f>
        <v/>
      </c>
      <c r="I1324" s="70" t="str">
        <f aca="false">IF($E1324="","",N(INDEX(资金日记账!$N$4:$S$603,208,3)))</f>
        <v/>
      </c>
      <c r="J1324" s="67" t="str">
        <f aca="false">IF($E1324="","",INDEX(资金日记账!$E$4:$E$603,208))</f>
        <v/>
      </c>
      <c r="K1324" s="67" t="str">
        <f aca="false">IF($E1324="","",INDEX(资金日记账!$F$4:$F$603,208))</f>
        <v/>
      </c>
      <c r="L1324" s="107" t="str">
        <f aca="false">IF($E1324="","",INDEX(资金日记账!$X$4:$X$603,208))</f>
        <v/>
      </c>
      <c r="M1324" s="107"/>
      <c r="N1324" s="67" t="str">
        <f aca="false">IF($E1324="","",INDEX(资金日记账!$Y$4:$Y$603,208))</f>
        <v/>
      </c>
      <c r="O1324" s="67" t="str">
        <f aca="false">IF($E1324="","","自动B")</f>
        <v/>
      </c>
      <c r="P1324" s="18"/>
    </row>
    <row r="1325" customFormat="false" ht="18" hidden="false" customHeight="true" outlineLevel="0" collapsed="false">
      <c r="A1325" s="107" t="str">
        <f aca="false">IF($E1325="","",ROW()-3)</f>
        <v/>
      </c>
      <c r="B1325" s="110" t="str">
        <f aca="false">IF($E1325="","",INDEX(资金日记账!$B$4:$B$603,208))</f>
        <v/>
      </c>
      <c r="C1325" s="67" t="str">
        <f aca="false">IF($E1325="","",IF(INDEX(资金日记账!$W$4:$W$603,208)="","记-"&amp;TEXT($B1325,"YYYYMM")&amp;"-资金",INDEX(资金日记账!$W$4:$W$603,208)))</f>
        <v/>
      </c>
      <c r="D1325" s="107" t="str">
        <f aca="false">IF($E1325="","",INDEX(资金日记账!$D$4:$D$603,208))</f>
        <v/>
      </c>
      <c r="E1325" s="67" t="str">
        <f aca="false">IF(INDEX(资金日记账!$N$4:$S$603,208,4)=0,"",INDEX(资金日记账!$N$4:$S$603,208,4))</f>
        <v/>
      </c>
      <c r="F1325" s="99" t="str">
        <f aca="false">IF($E1325="","",IFERROR(INDEX(科目表!$A$4:$A$81,MATCH($E1325,科目表!$B$4:$B$81,0)),""))</f>
        <v/>
      </c>
      <c r="G1325" s="67" t="str">
        <f aca="false">IF($E1325="","",IFERROR(INDEX(科目表!$E$4:$E$81,MATCH($E1325,科目表!$B$4:$B$81,0)),""))</f>
        <v/>
      </c>
      <c r="H1325" s="70" t="str">
        <f aca="false">IF($E1325="","",N(INDEX(资金日记账!$N$4:$S$603,208,5)))</f>
        <v/>
      </c>
      <c r="I1325" s="70" t="str">
        <f aca="false">IF($E1325="","",N(INDEX(资金日记账!$N$4:$S$603,208,6)))</f>
        <v/>
      </c>
      <c r="J1325" s="67" t="str">
        <f aca="false">IF($E1325="","",INDEX(资金日记账!$E$4:$E$603,208))</f>
        <v/>
      </c>
      <c r="K1325" s="67" t="str">
        <f aca="false">IF($E1325="","",INDEX(资金日记账!$F$4:$F$603,208))</f>
        <v/>
      </c>
      <c r="L1325" s="107" t="str">
        <f aca="false">IF($E1325="","",INDEX(资金日记账!$X$4:$X$603,208))</f>
        <v/>
      </c>
      <c r="M1325" s="107"/>
      <c r="N1325" s="67" t="str">
        <f aca="false">IF($E1325="","",INDEX(资金日记账!$Y$4:$Y$603,208))</f>
        <v/>
      </c>
      <c r="O1325" s="67" t="str">
        <f aca="false">IF($E1325="","","自动B")</f>
        <v/>
      </c>
      <c r="P1325" s="18"/>
    </row>
    <row r="1326" customFormat="false" ht="18" hidden="false" customHeight="true" outlineLevel="0" collapsed="false">
      <c r="A1326" s="107" t="str">
        <f aca="false">IF($E1326="","",ROW()-3)</f>
        <v/>
      </c>
      <c r="B1326" s="110" t="str">
        <f aca="false">IF($E1326="","",INDEX(资金日记账!$B$4:$B$603,209))</f>
        <v/>
      </c>
      <c r="C1326" s="67" t="str">
        <f aca="false">IF($E1326="","",IF(INDEX(资金日记账!$W$4:$W$603,209)="","记-"&amp;TEXT($B1326,"YYYYMM")&amp;"-资金",INDEX(资金日记账!$W$4:$W$603,209)))</f>
        <v/>
      </c>
      <c r="D1326" s="107" t="str">
        <f aca="false">IF($E1326="","",INDEX(资金日记账!$D$4:$D$603,209))</f>
        <v/>
      </c>
      <c r="E1326" s="67" t="str">
        <f aca="false">IF(INDEX(资金日记账!$N$4:$S$603,209,1)=0,"",INDEX(资金日记账!$N$4:$S$603,209,1))</f>
        <v/>
      </c>
      <c r="F1326" s="99" t="str">
        <f aca="false">IF($E1326="","",IFERROR(INDEX(科目表!$A$4:$A$81,MATCH($E1326,科目表!$B$4:$B$81,0)),""))</f>
        <v/>
      </c>
      <c r="G1326" s="67" t="str">
        <f aca="false">IF($E1326="","",IFERROR(INDEX(科目表!$E$4:$E$81,MATCH($E1326,科目表!$B$4:$B$81,0)),""))</f>
        <v/>
      </c>
      <c r="H1326" s="70" t="str">
        <f aca="false">IF($E1326="","",N(INDEX(资金日记账!$N$4:$S$603,209,2)))</f>
        <v/>
      </c>
      <c r="I1326" s="70" t="str">
        <f aca="false">IF($E1326="","",N(INDEX(资金日记账!$N$4:$S$603,209,3)))</f>
        <v/>
      </c>
      <c r="J1326" s="67" t="str">
        <f aca="false">IF($E1326="","",INDEX(资金日记账!$E$4:$E$603,209))</f>
        <v/>
      </c>
      <c r="K1326" s="67" t="str">
        <f aca="false">IF($E1326="","",INDEX(资金日记账!$F$4:$F$603,209))</f>
        <v/>
      </c>
      <c r="L1326" s="107" t="str">
        <f aca="false">IF($E1326="","",INDEX(资金日记账!$X$4:$X$603,209))</f>
        <v/>
      </c>
      <c r="M1326" s="107"/>
      <c r="N1326" s="67" t="str">
        <f aca="false">IF($E1326="","",INDEX(资金日记账!$Y$4:$Y$603,209))</f>
        <v/>
      </c>
      <c r="O1326" s="67" t="str">
        <f aca="false">IF($E1326="","","自动B")</f>
        <v/>
      </c>
      <c r="P1326" s="18"/>
    </row>
    <row r="1327" customFormat="false" ht="18" hidden="false" customHeight="true" outlineLevel="0" collapsed="false">
      <c r="A1327" s="107" t="str">
        <f aca="false">IF($E1327="","",ROW()-3)</f>
        <v/>
      </c>
      <c r="B1327" s="110" t="str">
        <f aca="false">IF($E1327="","",INDEX(资金日记账!$B$4:$B$603,209))</f>
        <v/>
      </c>
      <c r="C1327" s="67" t="str">
        <f aca="false">IF($E1327="","",IF(INDEX(资金日记账!$W$4:$W$603,209)="","记-"&amp;TEXT($B1327,"YYYYMM")&amp;"-资金",INDEX(资金日记账!$W$4:$W$603,209)))</f>
        <v/>
      </c>
      <c r="D1327" s="107" t="str">
        <f aca="false">IF($E1327="","",INDEX(资金日记账!$D$4:$D$603,209))</f>
        <v/>
      </c>
      <c r="E1327" s="67" t="str">
        <f aca="false">IF(INDEX(资金日记账!$N$4:$S$603,209,4)=0,"",INDEX(资金日记账!$N$4:$S$603,209,4))</f>
        <v/>
      </c>
      <c r="F1327" s="99" t="str">
        <f aca="false">IF($E1327="","",IFERROR(INDEX(科目表!$A$4:$A$81,MATCH($E1327,科目表!$B$4:$B$81,0)),""))</f>
        <v/>
      </c>
      <c r="G1327" s="67" t="str">
        <f aca="false">IF($E1327="","",IFERROR(INDEX(科目表!$E$4:$E$81,MATCH($E1327,科目表!$B$4:$B$81,0)),""))</f>
        <v/>
      </c>
      <c r="H1327" s="70" t="str">
        <f aca="false">IF($E1327="","",N(INDEX(资金日记账!$N$4:$S$603,209,5)))</f>
        <v/>
      </c>
      <c r="I1327" s="70" t="str">
        <f aca="false">IF($E1327="","",N(INDEX(资金日记账!$N$4:$S$603,209,6)))</f>
        <v/>
      </c>
      <c r="J1327" s="67" t="str">
        <f aca="false">IF($E1327="","",INDEX(资金日记账!$E$4:$E$603,209))</f>
        <v/>
      </c>
      <c r="K1327" s="67" t="str">
        <f aca="false">IF($E1327="","",INDEX(资金日记账!$F$4:$F$603,209))</f>
        <v/>
      </c>
      <c r="L1327" s="107" t="str">
        <f aca="false">IF($E1327="","",INDEX(资金日记账!$X$4:$X$603,209))</f>
        <v/>
      </c>
      <c r="M1327" s="107"/>
      <c r="N1327" s="67" t="str">
        <f aca="false">IF($E1327="","",INDEX(资金日记账!$Y$4:$Y$603,209))</f>
        <v/>
      </c>
      <c r="O1327" s="67" t="str">
        <f aca="false">IF($E1327="","","自动B")</f>
        <v/>
      </c>
      <c r="P1327" s="18"/>
    </row>
    <row r="1328" customFormat="false" ht="18" hidden="false" customHeight="true" outlineLevel="0" collapsed="false">
      <c r="A1328" s="107" t="str">
        <f aca="false">IF($E1328="","",ROW()-3)</f>
        <v/>
      </c>
      <c r="B1328" s="110" t="str">
        <f aca="false">IF($E1328="","",INDEX(资金日记账!$B$4:$B$603,210))</f>
        <v/>
      </c>
      <c r="C1328" s="67" t="str">
        <f aca="false">IF($E1328="","",IF(INDEX(资金日记账!$W$4:$W$603,210)="","记-"&amp;TEXT($B1328,"YYYYMM")&amp;"-资金",INDEX(资金日记账!$W$4:$W$603,210)))</f>
        <v/>
      </c>
      <c r="D1328" s="107" t="str">
        <f aca="false">IF($E1328="","",INDEX(资金日记账!$D$4:$D$603,210))</f>
        <v/>
      </c>
      <c r="E1328" s="67" t="str">
        <f aca="false">IF(INDEX(资金日记账!$N$4:$S$603,210,1)=0,"",INDEX(资金日记账!$N$4:$S$603,210,1))</f>
        <v/>
      </c>
      <c r="F1328" s="99" t="str">
        <f aca="false">IF($E1328="","",IFERROR(INDEX(科目表!$A$4:$A$81,MATCH($E1328,科目表!$B$4:$B$81,0)),""))</f>
        <v/>
      </c>
      <c r="G1328" s="67" t="str">
        <f aca="false">IF($E1328="","",IFERROR(INDEX(科目表!$E$4:$E$81,MATCH($E1328,科目表!$B$4:$B$81,0)),""))</f>
        <v/>
      </c>
      <c r="H1328" s="70" t="str">
        <f aca="false">IF($E1328="","",N(INDEX(资金日记账!$N$4:$S$603,210,2)))</f>
        <v/>
      </c>
      <c r="I1328" s="70" t="str">
        <f aca="false">IF($E1328="","",N(INDEX(资金日记账!$N$4:$S$603,210,3)))</f>
        <v/>
      </c>
      <c r="J1328" s="67" t="str">
        <f aca="false">IF($E1328="","",INDEX(资金日记账!$E$4:$E$603,210))</f>
        <v/>
      </c>
      <c r="K1328" s="67" t="str">
        <f aca="false">IF($E1328="","",INDEX(资金日记账!$F$4:$F$603,210))</f>
        <v/>
      </c>
      <c r="L1328" s="107" t="str">
        <f aca="false">IF($E1328="","",INDEX(资金日记账!$X$4:$X$603,210))</f>
        <v/>
      </c>
      <c r="M1328" s="107"/>
      <c r="N1328" s="67" t="str">
        <f aca="false">IF($E1328="","",INDEX(资金日记账!$Y$4:$Y$603,210))</f>
        <v/>
      </c>
      <c r="O1328" s="67" t="str">
        <f aca="false">IF($E1328="","","自动B")</f>
        <v/>
      </c>
      <c r="P1328" s="18"/>
    </row>
    <row r="1329" customFormat="false" ht="18" hidden="false" customHeight="true" outlineLevel="0" collapsed="false">
      <c r="A1329" s="107" t="str">
        <f aca="false">IF($E1329="","",ROW()-3)</f>
        <v/>
      </c>
      <c r="B1329" s="110" t="str">
        <f aca="false">IF($E1329="","",INDEX(资金日记账!$B$4:$B$603,210))</f>
        <v/>
      </c>
      <c r="C1329" s="67" t="str">
        <f aca="false">IF($E1329="","",IF(INDEX(资金日记账!$W$4:$W$603,210)="","记-"&amp;TEXT($B1329,"YYYYMM")&amp;"-资金",INDEX(资金日记账!$W$4:$W$603,210)))</f>
        <v/>
      </c>
      <c r="D1329" s="107" t="str">
        <f aca="false">IF($E1329="","",INDEX(资金日记账!$D$4:$D$603,210))</f>
        <v/>
      </c>
      <c r="E1329" s="67" t="str">
        <f aca="false">IF(INDEX(资金日记账!$N$4:$S$603,210,4)=0,"",INDEX(资金日记账!$N$4:$S$603,210,4))</f>
        <v/>
      </c>
      <c r="F1329" s="99" t="str">
        <f aca="false">IF($E1329="","",IFERROR(INDEX(科目表!$A$4:$A$81,MATCH($E1329,科目表!$B$4:$B$81,0)),""))</f>
        <v/>
      </c>
      <c r="G1329" s="67" t="str">
        <f aca="false">IF($E1329="","",IFERROR(INDEX(科目表!$E$4:$E$81,MATCH($E1329,科目表!$B$4:$B$81,0)),""))</f>
        <v/>
      </c>
      <c r="H1329" s="70" t="str">
        <f aca="false">IF($E1329="","",N(INDEX(资金日记账!$N$4:$S$603,210,5)))</f>
        <v/>
      </c>
      <c r="I1329" s="70" t="str">
        <f aca="false">IF($E1329="","",N(INDEX(资金日记账!$N$4:$S$603,210,6)))</f>
        <v/>
      </c>
      <c r="J1329" s="67" t="str">
        <f aca="false">IF($E1329="","",INDEX(资金日记账!$E$4:$E$603,210))</f>
        <v/>
      </c>
      <c r="K1329" s="67" t="str">
        <f aca="false">IF($E1329="","",INDEX(资金日记账!$F$4:$F$603,210))</f>
        <v/>
      </c>
      <c r="L1329" s="107" t="str">
        <f aca="false">IF($E1329="","",INDEX(资金日记账!$X$4:$X$603,210))</f>
        <v/>
      </c>
      <c r="M1329" s="107"/>
      <c r="N1329" s="67" t="str">
        <f aca="false">IF($E1329="","",INDEX(资金日记账!$Y$4:$Y$603,210))</f>
        <v/>
      </c>
      <c r="O1329" s="67" t="str">
        <f aca="false">IF($E1329="","","自动B")</f>
        <v/>
      </c>
      <c r="P1329" s="18"/>
    </row>
    <row r="1330" customFormat="false" ht="18" hidden="false" customHeight="true" outlineLevel="0" collapsed="false">
      <c r="A1330" s="107" t="str">
        <f aca="false">IF($E1330="","",ROW()-3)</f>
        <v/>
      </c>
      <c r="B1330" s="110" t="str">
        <f aca="false">IF($E1330="","",INDEX(资金日记账!$B$4:$B$603,211))</f>
        <v/>
      </c>
      <c r="C1330" s="67" t="str">
        <f aca="false">IF($E1330="","",IF(INDEX(资金日记账!$W$4:$W$603,211)="","记-"&amp;TEXT($B1330,"YYYYMM")&amp;"-资金",INDEX(资金日记账!$W$4:$W$603,211)))</f>
        <v/>
      </c>
      <c r="D1330" s="107" t="str">
        <f aca="false">IF($E1330="","",INDEX(资金日记账!$D$4:$D$603,211))</f>
        <v/>
      </c>
      <c r="E1330" s="67" t="str">
        <f aca="false">IF(INDEX(资金日记账!$N$4:$S$603,211,1)=0,"",INDEX(资金日记账!$N$4:$S$603,211,1))</f>
        <v/>
      </c>
      <c r="F1330" s="99" t="str">
        <f aca="false">IF($E1330="","",IFERROR(INDEX(科目表!$A$4:$A$81,MATCH($E1330,科目表!$B$4:$B$81,0)),""))</f>
        <v/>
      </c>
      <c r="G1330" s="67" t="str">
        <f aca="false">IF($E1330="","",IFERROR(INDEX(科目表!$E$4:$E$81,MATCH($E1330,科目表!$B$4:$B$81,0)),""))</f>
        <v/>
      </c>
      <c r="H1330" s="70" t="str">
        <f aca="false">IF($E1330="","",N(INDEX(资金日记账!$N$4:$S$603,211,2)))</f>
        <v/>
      </c>
      <c r="I1330" s="70" t="str">
        <f aca="false">IF($E1330="","",N(INDEX(资金日记账!$N$4:$S$603,211,3)))</f>
        <v/>
      </c>
      <c r="J1330" s="67" t="str">
        <f aca="false">IF($E1330="","",INDEX(资金日记账!$E$4:$E$603,211))</f>
        <v/>
      </c>
      <c r="K1330" s="67" t="str">
        <f aca="false">IF($E1330="","",INDEX(资金日记账!$F$4:$F$603,211))</f>
        <v/>
      </c>
      <c r="L1330" s="107" t="str">
        <f aca="false">IF($E1330="","",INDEX(资金日记账!$X$4:$X$603,211))</f>
        <v/>
      </c>
      <c r="M1330" s="107"/>
      <c r="N1330" s="67" t="str">
        <f aca="false">IF($E1330="","",INDEX(资金日记账!$Y$4:$Y$603,211))</f>
        <v/>
      </c>
      <c r="O1330" s="67" t="str">
        <f aca="false">IF($E1330="","","自动B")</f>
        <v/>
      </c>
      <c r="P1330" s="18"/>
    </row>
    <row r="1331" customFormat="false" ht="18" hidden="false" customHeight="true" outlineLevel="0" collapsed="false">
      <c r="A1331" s="107" t="str">
        <f aca="false">IF($E1331="","",ROW()-3)</f>
        <v/>
      </c>
      <c r="B1331" s="110" t="str">
        <f aca="false">IF($E1331="","",INDEX(资金日记账!$B$4:$B$603,211))</f>
        <v/>
      </c>
      <c r="C1331" s="67" t="str">
        <f aca="false">IF($E1331="","",IF(INDEX(资金日记账!$W$4:$W$603,211)="","记-"&amp;TEXT($B1331,"YYYYMM")&amp;"-资金",INDEX(资金日记账!$W$4:$W$603,211)))</f>
        <v/>
      </c>
      <c r="D1331" s="107" t="str">
        <f aca="false">IF($E1331="","",INDEX(资金日记账!$D$4:$D$603,211))</f>
        <v/>
      </c>
      <c r="E1331" s="67" t="str">
        <f aca="false">IF(INDEX(资金日记账!$N$4:$S$603,211,4)=0,"",INDEX(资金日记账!$N$4:$S$603,211,4))</f>
        <v/>
      </c>
      <c r="F1331" s="99" t="str">
        <f aca="false">IF($E1331="","",IFERROR(INDEX(科目表!$A$4:$A$81,MATCH($E1331,科目表!$B$4:$B$81,0)),""))</f>
        <v/>
      </c>
      <c r="G1331" s="67" t="str">
        <f aca="false">IF($E1331="","",IFERROR(INDEX(科目表!$E$4:$E$81,MATCH($E1331,科目表!$B$4:$B$81,0)),""))</f>
        <v/>
      </c>
      <c r="H1331" s="70" t="str">
        <f aca="false">IF($E1331="","",N(INDEX(资金日记账!$N$4:$S$603,211,5)))</f>
        <v/>
      </c>
      <c r="I1331" s="70" t="str">
        <f aca="false">IF($E1331="","",N(INDEX(资金日记账!$N$4:$S$603,211,6)))</f>
        <v/>
      </c>
      <c r="J1331" s="67" t="str">
        <f aca="false">IF($E1331="","",INDEX(资金日记账!$E$4:$E$603,211))</f>
        <v/>
      </c>
      <c r="K1331" s="67" t="str">
        <f aca="false">IF($E1331="","",INDEX(资金日记账!$F$4:$F$603,211))</f>
        <v/>
      </c>
      <c r="L1331" s="107" t="str">
        <f aca="false">IF($E1331="","",INDEX(资金日记账!$X$4:$X$603,211))</f>
        <v/>
      </c>
      <c r="M1331" s="107"/>
      <c r="N1331" s="67" t="str">
        <f aca="false">IF($E1331="","",INDEX(资金日记账!$Y$4:$Y$603,211))</f>
        <v/>
      </c>
      <c r="O1331" s="67" t="str">
        <f aca="false">IF($E1331="","","自动B")</f>
        <v/>
      </c>
      <c r="P1331" s="18"/>
    </row>
    <row r="1332" customFormat="false" ht="18" hidden="false" customHeight="true" outlineLevel="0" collapsed="false">
      <c r="A1332" s="107" t="str">
        <f aca="false">IF($E1332="","",ROW()-3)</f>
        <v/>
      </c>
      <c r="B1332" s="110" t="str">
        <f aca="false">IF($E1332="","",INDEX(资金日记账!$B$4:$B$603,212))</f>
        <v/>
      </c>
      <c r="C1332" s="67" t="str">
        <f aca="false">IF($E1332="","",IF(INDEX(资金日记账!$W$4:$W$603,212)="","记-"&amp;TEXT($B1332,"YYYYMM")&amp;"-资金",INDEX(资金日记账!$W$4:$W$603,212)))</f>
        <v/>
      </c>
      <c r="D1332" s="107" t="str">
        <f aca="false">IF($E1332="","",INDEX(资金日记账!$D$4:$D$603,212))</f>
        <v/>
      </c>
      <c r="E1332" s="67" t="str">
        <f aca="false">IF(INDEX(资金日记账!$N$4:$S$603,212,1)=0,"",INDEX(资金日记账!$N$4:$S$603,212,1))</f>
        <v/>
      </c>
      <c r="F1332" s="99" t="str">
        <f aca="false">IF($E1332="","",IFERROR(INDEX(科目表!$A$4:$A$81,MATCH($E1332,科目表!$B$4:$B$81,0)),""))</f>
        <v/>
      </c>
      <c r="G1332" s="67" t="str">
        <f aca="false">IF($E1332="","",IFERROR(INDEX(科目表!$E$4:$E$81,MATCH($E1332,科目表!$B$4:$B$81,0)),""))</f>
        <v/>
      </c>
      <c r="H1332" s="70" t="str">
        <f aca="false">IF($E1332="","",N(INDEX(资金日记账!$N$4:$S$603,212,2)))</f>
        <v/>
      </c>
      <c r="I1332" s="70" t="str">
        <f aca="false">IF($E1332="","",N(INDEX(资金日记账!$N$4:$S$603,212,3)))</f>
        <v/>
      </c>
      <c r="J1332" s="67" t="str">
        <f aca="false">IF($E1332="","",INDEX(资金日记账!$E$4:$E$603,212))</f>
        <v/>
      </c>
      <c r="K1332" s="67" t="str">
        <f aca="false">IF($E1332="","",INDEX(资金日记账!$F$4:$F$603,212))</f>
        <v/>
      </c>
      <c r="L1332" s="107" t="str">
        <f aca="false">IF($E1332="","",INDEX(资金日记账!$X$4:$X$603,212))</f>
        <v/>
      </c>
      <c r="M1332" s="107"/>
      <c r="N1332" s="67" t="str">
        <f aca="false">IF($E1332="","",INDEX(资金日记账!$Y$4:$Y$603,212))</f>
        <v/>
      </c>
      <c r="O1332" s="67" t="str">
        <f aca="false">IF($E1332="","","自动B")</f>
        <v/>
      </c>
      <c r="P1332" s="18"/>
    </row>
    <row r="1333" customFormat="false" ht="18" hidden="false" customHeight="true" outlineLevel="0" collapsed="false">
      <c r="A1333" s="107" t="str">
        <f aca="false">IF($E1333="","",ROW()-3)</f>
        <v/>
      </c>
      <c r="B1333" s="110" t="str">
        <f aca="false">IF($E1333="","",INDEX(资金日记账!$B$4:$B$603,212))</f>
        <v/>
      </c>
      <c r="C1333" s="67" t="str">
        <f aca="false">IF($E1333="","",IF(INDEX(资金日记账!$W$4:$W$603,212)="","记-"&amp;TEXT($B1333,"YYYYMM")&amp;"-资金",INDEX(资金日记账!$W$4:$W$603,212)))</f>
        <v/>
      </c>
      <c r="D1333" s="107" t="str">
        <f aca="false">IF($E1333="","",INDEX(资金日记账!$D$4:$D$603,212))</f>
        <v/>
      </c>
      <c r="E1333" s="67" t="str">
        <f aca="false">IF(INDEX(资金日记账!$N$4:$S$603,212,4)=0,"",INDEX(资金日记账!$N$4:$S$603,212,4))</f>
        <v/>
      </c>
      <c r="F1333" s="99" t="str">
        <f aca="false">IF($E1333="","",IFERROR(INDEX(科目表!$A$4:$A$81,MATCH($E1333,科目表!$B$4:$B$81,0)),""))</f>
        <v/>
      </c>
      <c r="G1333" s="67" t="str">
        <f aca="false">IF($E1333="","",IFERROR(INDEX(科目表!$E$4:$E$81,MATCH($E1333,科目表!$B$4:$B$81,0)),""))</f>
        <v/>
      </c>
      <c r="H1333" s="70" t="str">
        <f aca="false">IF($E1333="","",N(INDEX(资金日记账!$N$4:$S$603,212,5)))</f>
        <v/>
      </c>
      <c r="I1333" s="70" t="str">
        <f aca="false">IF($E1333="","",N(INDEX(资金日记账!$N$4:$S$603,212,6)))</f>
        <v/>
      </c>
      <c r="J1333" s="67" t="str">
        <f aca="false">IF($E1333="","",INDEX(资金日记账!$E$4:$E$603,212))</f>
        <v/>
      </c>
      <c r="K1333" s="67" t="str">
        <f aca="false">IF($E1333="","",INDEX(资金日记账!$F$4:$F$603,212))</f>
        <v/>
      </c>
      <c r="L1333" s="107" t="str">
        <f aca="false">IF($E1333="","",INDEX(资金日记账!$X$4:$X$603,212))</f>
        <v/>
      </c>
      <c r="M1333" s="107"/>
      <c r="N1333" s="67" t="str">
        <f aca="false">IF($E1333="","",INDEX(资金日记账!$Y$4:$Y$603,212))</f>
        <v/>
      </c>
      <c r="O1333" s="67" t="str">
        <f aca="false">IF($E1333="","","自动B")</f>
        <v/>
      </c>
      <c r="P1333" s="18"/>
    </row>
    <row r="1334" customFormat="false" ht="18" hidden="false" customHeight="true" outlineLevel="0" collapsed="false">
      <c r="A1334" s="107" t="str">
        <f aca="false">IF($E1334="","",ROW()-3)</f>
        <v/>
      </c>
      <c r="B1334" s="110" t="str">
        <f aca="false">IF($E1334="","",INDEX(资金日记账!$B$4:$B$603,213))</f>
        <v/>
      </c>
      <c r="C1334" s="67" t="str">
        <f aca="false">IF($E1334="","",IF(INDEX(资金日记账!$W$4:$W$603,213)="","记-"&amp;TEXT($B1334,"YYYYMM")&amp;"-资金",INDEX(资金日记账!$W$4:$W$603,213)))</f>
        <v/>
      </c>
      <c r="D1334" s="107" t="str">
        <f aca="false">IF($E1334="","",INDEX(资金日记账!$D$4:$D$603,213))</f>
        <v/>
      </c>
      <c r="E1334" s="67" t="str">
        <f aca="false">IF(INDEX(资金日记账!$N$4:$S$603,213,1)=0,"",INDEX(资金日记账!$N$4:$S$603,213,1))</f>
        <v/>
      </c>
      <c r="F1334" s="99" t="str">
        <f aca="false">IF($E1334="","",IFERROR(INDEX(科目表!$A$4:$A$81,MATCH($E1334,科目表!$B$4:$B$81,0)),""))</f>
        <v/>
      </c>
      <c r="G1334" s="67" t="str">
        <f aca="false">IF($E1334="","",IFERROR(INDEX(科目表!$E$4:$E$81,MATCH($E1334,科目表!$B$4:$B$81,0)),""))</f>
        <v/>
      </c>
      <c r="H1334" s="70" t="str">
        <f aca="false">IF($E1334="","",N(INDEX(资金日记账!$N$4:$S$603,213,2)))</f>
        <v/>
      </c>
      <c r="I1334" s="70" t="str">
        <f aca="false">IF($E1334="","",N(INDEX(资金日记账!$N$4:$S$603,213,3)))</f>
        <v/>
      </c>
      <c r="J1334" s="67" t="str">
        <f aca="false">IF($E1334="","",INDEX(资金日记账!$E$4:$E$603,213))</f>
        <v/>
      </c>
      <c r="K1334" s="67" t="str">
        <f aca="false">IF($E1334="","",INDEX(资金日记账!$F$4:$F$603,213))</f>
        <v/>
      </c>
      <c r="L1334" s="107" t="str">
        <f aca="false">IF($E1334="","",INDEX(资金日记账!$X$4:$X$603,213))</f>
        <v/>
      </c>
      <c r="M1334" s="107"/>
      <c r="N1334" s="67" t="str">
        <f aca="false">IF($E1334="","",INDEX(资金日记账!$Y$4:$Y$603,213))</f>
        <v/>
      </c>
      <c r="O1334" s="67" t="str">
        <f aca="false">IF($E1334="","","自动B")</f>
        <v/>
      </c>
      <c r="P1334" s="18"/>
    </row>
    <row r="1335" customFormat="false" ht="18" hidden="false" customHeight="true" outlineLevel="0" collapsed="false">
      <c r="A1335" s="107" t="str">
        <f aca="false">IF($E1335="","",ROW()-3)</f>
        <v/>
      </c>
      <c r="B1335" s="110" t="str">
        <f aca="false">IF($E1335="","",INDEX(资金日记账!$B$4:$B$603,213))</f>
        <v/>
      </c>
      <c r="C1335" s="67" t="str">
        <f aca="false">IF($E1335="","",IF(INDEX(资金日记账!$W$4:$W$603,213)="","记-"&amp;TEXT($B1335,"YYYYMM")&amp;"-资金",INDEX(资金日记账!$W$4:$W$603,213)))</f>
        <v/>
      </c>
      <c r="D1335" s="107" t="str">
        <f aca="false">IF($E1335="","",INDEX(资金日记账!$D$4:$D$603,213))</f>
        <v/>
      </c>
      <c r="E1335" s="67" t="str">
        <f aca="false">IF(INDEX(资金日记账!$N$4:$S$603,213,4)=0,"",INDEX(资金日记账!$N$4:$S$603,213,4))</f>
        <v/>
      </c>
      <c r="F1335" s="99" t="str">
        <f aca="false">IF($E1335="","",IFERROR(INDEX(科目表!$A$4:$A$81,MATCH($E1335,科目表!$B$4:$B$81,0)),""))</f>
        <v/>
      </c>
      <c r="G1335" s="67" t="str">
        <f aca="false">IF($E1335="","",IFERROR(INDEX(科目表!$E$4:$E$81,MATCH($E1335,科目表!$B$4:$B$81,0)),""))</f>
        <v/>
      </c>
      <c r="H1335" s="70" t="str">
        <f aca="false">IF($E1335="","",N(INDEX(资金日记账!$N$4:$S$603,213,5)))</f>
        <v/>
      </c>
      <c r="I1335" s="70" t="str">
        <f aca="false">IF($E1335="","",N(INDEX(资金日记账!$N$4:$S$603,213,6)))</f>
        <v/>
      </c>
      <c r="J1335" s="67" t="str">
        <f aca="false">IF($E1335="","",INDEX(资金日记账!$E$4:$E$603,213))</f>
        <v/>
      </c>
      <c r="K1335" s="67" t="str">
        <f aca="false">IF($E1335="","",INDEX(资金日记账!$F$4:$F$603,213))</f>
        <v/>
      </c>
      <c r="L1335" s="107" t="str">
        <f aca="false">IF($E1335="","",INDEX(资金日记账!$X$4:$X$603,213))</f>
        <v/>
      </c>
      <c r="M1335" s="107"/>
      <c r="N1335" s="67" t="str">
        <f aca="false">IF($E1335="","",INDEX(资金日记账!$Y$4:$Y$603,213))</f>
        <v/>
      </c>
      <c r="O1335" s="67" t="str">
        <f aca="false">IF($E1335="","","自动B")</f>
        <v/>
      </c>
      <c r="P1335" s="18"/>
    </row>
    <row r="1336" customFormat="false" ht="18" hidden="false" customHeight="true" outlineLevel="0" collapsed="false">
      <c r="A1336" s="107" t="str">
        <f aca="false">IF($E1336="","",ROW()-3)</f>
        <v/>
      </c>
      <c r="B1336" s="110" t="str">
        <f aca="false">IF($E1336="","",INDEX(资金日记账!$B$4:$B$603,214))</f>
        <v/>
      </c>
      <c r="C1336" s="67" t="str">
        <f aca="false">IF($E1336="","",IF(INDEX(资金日记账!$W$4:$W$603,214)="","记-"&amp;TEXT($B1336,"YYYYMM")&amp;"-资金",INDEX(资金日记账!$W$4:$W$603,214)))</f>
        <v/>
      </c>
      <c r="D1336" s="107" t="str">
        <f aca="false">IF($E1336="","",INDEX(资金日记账!$D$4:$D$603,214))</f>
        <v/>
      </c>
      <c r="E1336" s="67" t="str">
        <f aca="false">IF(INDEX(资金日记账!$N$4:$S$603,214,1)=0,"",INDEX(资金日记账!$N$4:$S$603,214,1))</f>
        <v/>
      </c>
      <c r="F1336" s="99" t="str">
        <f aca="false">IF($E1336="","",IFERROR(INDEX(科目表!$A$4:$A$81,MATCH($E1336,科目表!$B$4:$B$81,0)),""))</f>
        <v/>
      </c>
      <c r="G1336" s="67" t="str">
        <f aca="false">IF($E1336="","",IFERROR(INDEX(科目表!$E$4:$E$81,MATCH($E1336,科目表!$B$4:$B$81,0)),""))</f>
        <v/>
      </c>
      <c r="H1336" s="70" t="str">
        <f aca="false">IF($E1336="","",N(INDEX(资金日记账!$N$4:$S$603,214,2)))</f>
        <v/>
      </c>
      <c r="I1336" s="70" t="str">
        <f aca="false">IF($E1336="","",N(INDEX(资金日记账!$N$4:$S$603,214,3)))</f>
        <v/>
      </c>
      <c r="J1336" s="67" t="str">
        <f aca="false">IF($E1336="","",INDEX(资金日记账!$E$4:$E$603,214))</f>
        <v/>
      </c>
      <c r="K1336" s="67" t="str">
        <f aca="false">IF($E1336="","",INDEX(资金日记账!$F$4:$F$603,214))</f>
        <v/>
      </c>
      <c r="L1336" s="107" t="str">
        <f aca="false">IF($E1336="","",INDEX(资金日记账!$X$4:$X$603,214))</f>
        <v/>
      </c>
      <c r="M1336" s="107"/>
      <c r="N1336" s="67" t="str">
        <f aca="false">IF($E1336="","",INDEX(资金日记账!$Y$4:$Y$603,214))</f>
        <v/>
      </c>
      <c r="O1336" s="67" t="str">
        <f aca="false">IF($E1336="","","自动B")</f>
        <v/>
      </c>
      <c r="P1336" s="18"/>
    </row>
    <row r="1337" customFormat="false" ht="18" hidden="false" customHeight="true" outlineLevel="0" collapsed="false">
      <c r="A1337" s="107" t="str">
        <f aca="false">IF($E1337="","",ROW()-3)</f>
        <v/>
      </c>
      <c r="B1337" s="110" t="str">
        <f aca="false">IF($E1337="","",INDEX(资金日记账!$B$4:$B$603,214))</f>
        <v/>
      </c>
      <c r="C1337" s="67" t="str">
        <f aca="false">IF($E1337="","",IF(INDEX(资金日记账!$W$4:$W$603,214)="","记-"&amp;TEXT($B1337,"YYYYMM")&amp;"-资金",INDEX(资金日记账!$W$4:$W$603,214)))</f>
        <v/>
      </c>
      <c r="D1337" s="107" t="str">
        <f aca="false">IF($E1337="","",INDEX(资金日记账!$D$4:$D$603,214))</f>
        <v/>
      </c>
      <c r="E1337" s="67" t="str">
        <f aca="false">IF(INDEX(资金日记账!$N$4:$S$603,214,4)=0,"",INDEX(资金日记账!$N$4:$S$603,214,4))</f>
        <v/>
      </c>
      <c r="F1337" s="99" t="str">
        <f aca="false">IF($E1337="","",IFERROR(INDEX(科目表!$A$4:$A$81,MATCH($E1337,科目表!$B$4:$B$81,0)),""))</f>
        <v/>
      </c>
      <c r="G1337" s="67" t="str">
        <f aca="false">IF($E1337="","",IFERROR(INDEX(科目表!$E$4:$E$81,MATCH($E1337,科目表!$B$4:$B$81,0)),""))</f>
        <v/>
      </c>
      <c r="H1337" s="70" t="str">
        <f aca="false">IF($E1337="","",N(INDEX(资金日记账!$N$4:$S$603,214,5)))</f>
        <v/>
      </c>
      <c r="I1337" s="70" t="str">
        <f aca="false">IF($E1337="","",N(INDEX(资金日记账!$N$4:$S$603,214,6)))</f>
        <v/>
      </c>
      <c r="J1337" s="67" t="str">
        <f aca="false">IF($E1337="","",INDEX(资金日记账!$E$4:$E$603,214))</f>
        <v/>
      </c>
      <c r="K1337" s="67" t="str">
        <f aca="false">IF($E1337="","",INDEX(资金日记账!$F$4:$F$603,214))</f>
        <v/>
      </c>
      <c r="L1337" s="107" t="str">
        <f aca="false">IF($E1337="","",INDEX(资金日记账!$X$4:$X$603,214))</f>
        <v/>
      </c>
      <c r="M1337" s="107"/>
      <c r="N1337" s="67" t="str">
        <f aca="false">IF($E1337="","",INDEX(资金日记账!$Y$4:$Y$603,214))</f>
        <v/>
      </c>
      <c r="O1337" s="67" t="str">
        <f aca="false">IF($E1337="","","自动B")</f>
        <v/>
      </c>
      <c r="P1337" s="18"/>
    </row>
    <row r="1338" customFormat="false" ht="18" hidden="false" customHeight="true" outlineLevel="0" collapsed="false">
      <c r="A1338" s="107" t="str">
        <f aca="false">IF($E1338="","",ROW()-3)</f>
        <v/>
      </c>
      <c r="B1338" s="110" t="str">
        <f aca="false">IF($E1338="","",INDEX(资金日记账!$B$4:$B$603,215))</f>
        <v/>
      </c>
      <c r="C1338" s="67" t="str">
        <f aca="false">IF($E1338="","",IF(INDEX(资金日记账!$W$4:$W$603,215)="","记-"&amp;TEXT($B1338,"YYYYMM")&amp;"-资金",INDEX(资金日记账!$W$4:$W$603,215)))</f>
        <v/>
      </c>
      <c r="D1338" s="107" t="str">
        <f aca="false">IF($E1338="","",INDEX(资金日记账!$D$4:$D$603,215))</f>
        <v/>
      </c>
      <c r="E1338" s="67" t="str">
        <f aca="false">IF(INDEX(资金日记账!$N$4:$S$603,215,1)=0,"",INDEX(资金日记账!$N$4:$S$603,215,1))</f>
        <v/>
      </c>
      <c r="F1338" s="99" t="str">
        <f aca="false">IF($E1338="","",IFERROR(INDEX(科目表!$A$4:$A$81,MATCH($E1338,科目表!$B$4:$B$81,0)),""))</f>
        <v/>
      </c>
      <c r="G1338" s="67" t="str">
        <f aca="false">IF($E1338="","",IFERROR(INDEX(科目表!$E$4:$E$81,MATCH($E1338,科目表!$B$4:$B$81,0)),""))</f>
        <v/>
      </c>
      <c r="H1338" s="70" t="str">
        <f aca="false">IF($E1338="","",N(INDEX(资金日记账!$N$4:$S$603,215,2)))</f>
        <v/>
      </c>
      <c r="I1338" s="70" t="str">
        <f aca="false">IF($E1338="","",N(INDEX(资金日记账!$N$4:$S$603,215,3)))</f>
        <v/>
      </c>
      <c r="J1338" s="67" t="str">
        <f aca="false">IF($E1338="","",INDEX(资金日记账!$E$4:$E$603,215))</f>
        <v/>
      </c>
      <c r="K1338" s="67" t="str">
        <f aca="false">IF($E1338="","",INDEX(资金日记账!$F$4:$F$603,215))</f>
        <v/>
      </c>
      <c r="L1338" s="107" t="str">
        <f aca="false">IF($E1338="","",INDEX(资金日记账!$X$4:$X$603,215))</f>
        <v/>
      </c>
      <c r="M1338" s="107"/>
      <c r="N1338" s="67" t="str">
        <f aca="false">IF($E1338="","",INDEX(资金日记账!$Y$4:$Y$603,215))</f>
        <v/>
      </c>
      <c r="O1338" s="67" t="str">
        <f aca="false">IF($E1338="","","自动B")</f>
        <v/>
      </c>
      <c r="P1338" s="18"/>
    </row>
    <row r="1339" customFormat="false" ht="18" hidden="false" customHeight="true" outlineLevel="0" collapsed="false">
      <c r="A1339" s="107" t="str">
        <f aca="false">IF($E1339="","",ROW()-3)</f>
        <v/>
      </c>
      <c r="B1339" s="110" t="str">
        <f aca="false">IF($E1339="","",INDEX(资金日记账!$B$4:$B$603,215))</f>
        <v/>
      </c>
      <c r="C1339" s="67" t="str">
        <f aca="false">IF($E1339="","",IF(INDEX(资金日记账!$W$4:$W$603,215)="","记-"&amp;TEXT($B1339,"YYYYMM")&amp;"-资金",INDEX(资金日记账!$W$4:$W$603,215)))</f>
        <v/>
      </c>
      <c r="D1339" s="107" t="str">
        <f aca="false">IF($E1339="","",INDEX(资金日记账!$D$4:$D$603,215))</f>
        <v/>
      </c>
      <c r="E1339" s="67" t="str">
        <f aca="false">IF(INDEX(资金日记账!$N$4:$S$603,215,4)=0,"",INDEX(资金日记账!$N$4:$S$603,215,4))</f>
        <v/>
      </c>
      <c r="F1339" s="99" t="str">
        <f aca="false">IF($E1339="","",IFERROR(INDEX(科目表!$A$4:$A$81,MATCH($E1339,科目表!$B$4:$B$81,0)),""))</f>
        <v/>
      </c>
      <c r="G1339" s="67" t="str">
        <f aca="false">IF($E1339="","",IFERROR(INDEX(科目表!$E$4:$E$81,MATCH($E1339,科目表!$B$4:$B$81,0)),""))</f>
        <v/>
      </c>
      <c r="H1339" s="70" t="str">
        <f aca="false">IF($E1339="","",N(INDEX(资金日记账!$N$4:$S$603,215,5)))</f>
        <v/>
      </c>
      <c r="I1339" s="70" t="str">
        <f aca="false">IF($E1339="","",N(INDEX(资金日记账!$N$4:$S$603,215,6)))</f>
        <v/>
      </c>
      <c r="J1339" s="67" t="str">
        <f aca="false">IF($E1339="","",INDEX(资金日记账!$E$4:$E$603,215))</f>
        <v/>
      </c>
      <c r="K1339" s="67" t="str">
        <f aca="false">IF($E1339="","",INDEX(资金日记账!$F$4:$F$603,215))</f>
        <v/>
      </c>
      <c r="L1339" s="107" t="str">
        <f aca="false">IF($E1339="","",INDEX(资金日记账!$X$4:$X$603,215))</f>
        <v/>
      </c>
      <c r="M1339" s="107"/>
      <c r="N1339" s="67" t="str">
        <f aca="false">IF($E1339="","",INDEX(资金日记账!$Y$4:$Y$603,215))</f>
        <v/>
      </c>
      <c r="O1339" s="67" t="str">
        <f aca="false">IF($E1339="","","自动B")</f>
        <v/>
      </c>
      <c r="P1339" s="18"/>
    </row>
    <row r="1340" customFormat="false" ht="18" hidden="false" customHeight="true" outlineLevel="0" collapsed="false">
      <c r="A1340" s="107" t="str">
        <f aca="false">IF($E1340="","",ROW()-3)</f>
        <v/>
      </c>
      <c r="B1340" s="110" t="str">
        <f aca="false">IF($E1340="","",INDEX(资金日记账!$B$4:$B$603,216))</f>
        <v/>
      </c>
      <c r="C1340" s="67" t="str">
        <f aca="false">IF($E1340="","",IF(INDEX(资金日记账!$W$4:$W$603,216)="","记-"&amp;TEXT($B1340,"YYYYMM")&amp;"-资金",INDEX(资金日记账!$W$4:$W$603,216)))</f>
        <v/>
      </c>
      <c r="D1340" s="107" t="str">
        <f aca="false">IF($E1340="","",INDEX(资金日记账!$D$4:$D$603,216))</f>
        <v/>
      </c>
      <c r="E1340" s="67" t="str">
        <f aca="false">IF(INDEX(资金日记账!$N$4:$S$603,216,1)=0,"",INDEX(资金日记账!$N$4:$S$603,216,1))</f>
        <v/>
      </c>
      <c r="F1340" s="99" t="str">
        <f aca="false">IF($E1340="","",IFERROR(INDEX(科目表!$A$4:$A$81,MATCH($E1340,科目表!$B$4:$B$81,0)),""))</f>
        <v/>
      </c>
      <c r="G1340" s="67" t="str">
        <f aca="false">IF($E1340="","",IFERROR(INDEX(科目表!$E$4:$E$81,MATCH($E1340,科目表!$B$4:$B$81,0)),""))</f>
        <v/>
      </c>
      <c r="H1340" s="70" t="str">
        <f aca="false">IF($E1340="","",N(INDEX(资金日记账!$N$4:$S$603,216,2)))</f>
        <v/>
      </c>
      <c r="I1340" s="70" t="str">
        <f aca="false">IF($E1340="","",N(INDEX(资金日记账!$N$4:$S$603,216,3)))</f>
        <v/>
      </c>
      <c r="J1340" s="67" t="str">
        <f aca="false">IF($E1340="","",INDEX(资金日记账!$E$4:$E$603,216))</f>
        <v/>
      </c>
      <c r="K1340" s="67" t="str">
        <f aca="false">IF($E1340="","",INDEX(资金日记账!$F$4:$F$603,216))</f>
        <v/>
      </c>
      <c r="L1340" s="107" t="str">
        <f aca="false">IF($E1340="","",INDEX(资金日记账!$X$4:$X$603,216))</f>
        <v/>
      </c>
      <c r="M1340" s="107"/>
      <c r="N1340" s="67" t="str">
        <f aca="false">IF($E1340="","",INDEX(资金日记账!$Y$4:$Y$603,216))</f>
        <v/>
      </c>
      <c r="O1340" s="67" t="str">
        <f aca="false">IF($E1340="","","自动B")</f>
        <v/>
      </c>
      <c r="P1340" s="18"/>
    </row>
    <row r="1341" customFormat="false" ht="18" hidden="false" customHeight="true" outlineLevel="0" collapsed="false">
      <c r="A1341" s="107" t="str">
        <f aca="false">IF($E1341="","",ROW()-3)</f>
        <v/>
      </c>
      <c r="B1341" s="110" t="str">
        <f aca="false">IF($E1341="","",INDEX(资金日记账!$B$4:$B$603,216))</f>
        <v/>
      </c>
      <c r="C1341" s="67" t="str">
        <f aca="false">IF($E1341="","",IF(INDEX(资金日记账!$W$4:$W$603,216)="","记-"&amp;TEXT($B1341,"YYYYMM")&amp;"-资金",INDEX(资金日记账!$W$4:$W$603,216)))</f>
        <v/>
      </c>
      <c r="D1341" s="107" t="str">
        <f aca="false">IF($E1341="","",INDEX(资金日记账!$D$4:$D$603,216))</f>
        <v/>
      </c>
      <c r="E1341" s="67" t="str">
        <f aca="false">IF(INDEX(资金日记账!$N$4:$S$603,216,4)=0,"",INDEX(资金日记账!$N$4:$S$603,216,4))</f>
        <v/>
      </c>
      <c r="F1341" s="99" t="str">
        <f aca="false">IF($E1341="","",IFERROR(INDEX(科目表!$A$4:$A$81,MATCH($E1341,科目表!$B$4:$B$81,0)),""))</f>
        <v/>
      </c>
      <c r="G1341" s="67" t="str">
        <f aca="false">IF($E1341="","",IFERROR(INDEX(科目表!$E$4:$E$81,MATCH($E1341,科目表!$B$4:$B$81,0)),""))</f>
        <v/>
      </c>
      <c r="H1341" s="70" t="str">
        <f aca="false">IF($E1341="","",N(INDEX(资金日记账!$N$4:$S$603,216,5)))</f>
        <v/>
      </c>
      <c r="I1341" s="70" t="str">
        <f aca="false">IF($E1341="","",N(INDEX(资金日记账!$N$4:$S$603,216,6)))</f>
        <v/>
      </c>
      <c r="J1341" s="67" t="str">
        <f aca="false">IF($E1341="","",INDEX(资金日记账!$E$4:$E$603,216))</f>
        <v/>
      </c>
      <c r="K1341" s="67" t="str">
        <f aca="false">IF($E1341="","",INDEX(资金日记账!$F$4:$F$603,216))</f>
        <v/>
      </c>
      <c r="L1341" s="107" t="str">
        <f aca="false">IF($E1341="","",INDEX(资金日记账!$X$4:$X$603,216))</f>
        <v/>
      </c>
      <c r="M1341" s="107"/>
      <c r="N1341" s="67" t="str">
        <f aca="false">IF($E1341="","",INDEX(资金日记账!$Y$4:$Y$603,216))</f>
        <v/>
      </c>
      <c r="O1341" s="67" t="str">
        <f aca="false">IF($E1341="","","自动B")</f>
        <v/>
      </c>
      <c r="P1341" s="18"/>
    </row>
    <row r="1342" customFormat="false" ht="18" hidden="false" customHeight="true" outlineLevel="0" collapsed="false">
      <c r="A1342" s="107" t="str">
        <f aca="false">IF($E1342="","",ROW()-3)</f>
        <v/>
      </c>
      <c r="B1342" s="110" t="str">
        <f aca="false">IF($E1342="","",INDEX(资金日记账!$B$4:$B$603,217))</f>
        <v/>
      </c>
      <c r="C1342" s="67" t="str">
        <f aca="false">IF($E1342="","",IF(INDEX(资金日记账!$W$4:$W$603,217)="","记-"&amp;TEXT($B1342,"YYYYMM")&amp;"-资金",INDEX(资金日记账!$W$4:$W$603,217)))</f>
        <v/>
      </c>
      <c r="D1342" s="107" t="str">
        <f aca="false">IF($E1342="","",INDEX(资金日记账!$D$4:$D$603,217))</f>
        <v/>
      </c>
      <c r="E1342" s="67" t="str">
        <f aca="false">IF(INDEX(资金日记账!$N$4:$S$603,217,1)=0,"",INDEX(资金日记账!$N$4:$S$603,217,1))</f>
        <v/>
      </c>
      <c r="F1342" s="99" t="str">
        <f aca="false">IF($E1342="","",IFERROR(INDEX(科目表!$A$4:$A$81,MATCH($E1342,科目表!$B$4:$B$81,0)),""))</f>
        <v/>
      </c>
      <c r="G1342" s="67" t="str">
        <f aca="false">IF($E1342="","",IFERROR(INDEX(科目表!$E$4:$E$81,MATCH($E1342,科目表!$B$4:$B$81,0)),""))</f>
        <v/>
      </c>
      <c r="H1342" s="70" t="str">
        <f aca="false">IF($E1342="","",N(INDEX(资金日记账!$N$4:$S$603,217,2)))</f>
        <v/>
      </c>
      <c r="I1342" s="70" t="str">
        <f aca="false">IF($E1342="","",N(INDEX(资金日记账!$N$4:$S$603,217,3)))</f>
        <v/>
      </c>
      <c r="J1342" s="67" t="str">
        <f aca="false">IF($E1342="","",INDEX(资金日记账!$E$4:$E$603,217))</f>
        <v/>
      </c>
      <c r="K1342" s="67" t="str">
        <f aca="false">IF($E1342="","",INDEX(资金日记账!$F$4:$F$603,217))</f>
        <v/>
      </c>
      <c r="L1342" s="107" t="str">
        <f aca="false">IF($E1342="","",INDEX(资金日记账!$X$4:$X$603,217))</f>
        <v/>
      </c>
      <c r="M1342" s="107"/>
      <c r="N1342" s="67" t="str">
        <f aca="false">IF($E1342="","",INDEX(资金日记账!$Y$4:$Y$603,217))</f>
        <v/>
      </c>
      <c r="O1342" s="67" t="str">
        <f aca="false">IF($E1342="","","自动B")</f>
        <v/>
      </c>
      <c r="P1342" s="18"/>
    </row>
    <row r="1343" customFormat="false" ht="18" hidden="false" customHeight="true" outlineLevel="0" collapsed="false">
      <c r="A1343" s="107" t="str">
        <f aca="false">IF($E1343="","",ROW()-3)</f>
        <v/>
      </c>
      <c r="B1343" s="110" t="str">
        <f aca="false">IF($E1343="","",INDEX(资金日记账!$B$4:$B$603,217))</f>
        <v/>
      </c>
      <c r="C1343" s="67" t="str">
        <f aca="false">IF($E1343="","",IF(INDEX(资金日记账!$W$4:$W$603,217)="","记-"&amp;TEXT($B1343,"YYYYMM")&amp;"-资金",INDEX(资金日记账!$W$4:$W$603,217)))</f>
        <v/>
      </c>
      <c r="D1343" s="107" t="str">
        <f aca="false">IF($E1343="","",INDEX(资金日记账!$D$4:$D$603,217))</f>
        <v/>
      </c>
      <c r="E1343" s="67" t="str">
        <f aca="false">IF(INDEX(资金日记账!$N$4:$S$603,217,4)=0,"",INDEX(资金日记账!$N$4:$S$603,217,4))</f>
        <v/>
      </c>
      <c r="F1343" s="99" t="str">
        <f aca="false">IF($E1343="","",IFERROR(INDEX(科目表!$A$4:$A$81,MATCH($E1343,科目表!$B$4:$B$81,0)),""))</f>
        <v/>
      </c>
      <c r="G1343" s="67" t="str">
        <f aca="false">IF($E1343="","",IFERROR(INDEX(科目表!$E$4:$E$81,MATCH($E1343,科目表!$B$4:$B$81,0)),""))</f>
        <v/>
      </c>
      <c r="H1343" s="70" t="str">
        <f aca="false">IF($E1343="","",N(INDEX(资金日记账!$N$4:$S$603,217,5)))</f>
        <v/>
      </c>
      <c r="I1343" s="70" t="str">
        <f aca="false">IF($E1343="","",N(INDEX(资金日记账!$N$4:$S$603,217,6)))</f>
        <v/>
      </c>
      <c r="J1343" s="67" t="str">
        <f aca="false">IF($E1343="","",INDEX(资金日记账!$E$4:$E$603,217))</f>
        <v/>
      </c>
      <c r="K1343" s="67" t="str">
        <f aca="false">IF($E1343="","",INDEX(资金日记账!$F$4:$F$603,217))</f>
        <v/>
      </c>
      <c r="L1343" s="107" t="str">
        <f aca="false">IF($E1343="","",INDEX(资金日记账!$X$4:$X$603,217))</f>
        <v/>
      </c>
      <c r="M1343" s="107"/>
      <c r="N1343" s="67" t="str">
        <f aca="false">IF($E1343="","",INDEX(资金日记账!$Y$4:$Y$603,217))</f>
        <v/>
      </c>
      <c r="O1343" s="67" t="str">
        <f aca="false">IF($E1343="","","自动B")</f>
        <v/>
      </c>
      <c r="P1343" s="18"/>
    </row>
    <row r="1344" customFormat="false" ht="18" hidden="false" customHeight="true" outlineLevel="0" collapsed="false">
      <c r="A1344" s="107" t="str">
        <f aca="false">IF($E1344="","",ROW()-3)</f>
        <v/>
      </c>
      <c r="B1344" s="110" t="str">
        <f aca="false">IF($E1344="","",INDEX(资金日记账!$B$4:$B$603,218))</f>
        <v/>
      </c>
      <c r="C1344" s="67" t="str">
        <f aca="false">IF($E1344="","",IF(INDEX(资金日记账!$W$4:$W$603,218)="","记-"&amp;TEXT($B1344,"YYYYMM")&amp;"-资金",INDEX(资金日记账!$W$4:$W$603,218)))</f>
        <v/>
      </c>
      <c r="D1344" s="107" t="str">
        <f aca="false">IF($E1344="","",INDEX(资金日记账!$D$4:$D$603,218))</f>
        <v/>
      </c>
      <c r="E1344" s="67" t="str">
        <f aca="false">IF(INDEX(资金日记账!$N$4:$S$603,218,1)=0,"",INDEX(资金日记账!$N$4:$S$603,218,1))</f>
        <v/>
      </c>
      <c r="F1344" s="99" t="str">
        <f aca="false">IF($E1344="","",IFERROR(INDEX(科目表!$A$4:$A$81,MATCH($E1344,科目表!$B$4:$B$81,0)),""))</f>
        <v/>
      </c>
      <c r="G1344" s="67" t="str">
        <f aca="false">IF($E1344="","",IFERROR(INDEX(科目表!$E$4:$E$81,MATCH($E1344,科目表!$B$4:$B$81,0)),""))</f>
        <v/>
      </c>
      <c r="H1344" s="70" t="str">
        <f aca="false">IF($E1344="","",N(INDEX(资金日记账!$N$4:$S$603,218,2)))</f>
        <v/>
      </c>
      <c r="I1344" s="70" t="str">
        <f aca="false">IF($E1344="","",N(INDEX(资金日记账!$N$4:$S$603,218,3)))</f>
        <v/>
      </c>
      <c r="J1344" s="67" t="str">
        <f aca="false">IF($E1344="","",INDEX(资金日记账!$E$4:$E$603,218))</f>
        <v/>
      </c>
      <c r="K1344" s="67" t="str">
        <f aca="false">IF($E1344="","",INDEX(资金日记账!$F$4:$F$603,218))</f>
        <v/>
      </c>
      <c r="L1344" s="107" t="str">
        <f aca="false">IF($E1344="","",INDEX(资金日记账!$X$4:$X$603,218))</f>
        <v/>
      </c>
      <c r="M1344" s="107"/>
      <c r="N1344" s="67" t="str">
        <f aca="false">IF($E1344="","",INDEX(资金日记账!$Y$4:$Y$603,218))</f>
        <v/>
      </c>
      <c r="O1344" s="67" t="str">
        <f aca="false">IF($E1344="","","自动B")</f>
        <v/>
      </c>
      <c r="P1344" s="18"/>
    </row>
    <row r="1345" customFormat="false" ht="18" hidden="false" customHeight="true" outlineLevel="0" collapsed="false">
      <c r="A1345" s="107" t="str">
        <f aca="false">IF($E1345="","",ROW()-3)</f>
        <v/>
      </c>
      <c r="B1345" s="110" t="str">
        <f aca="false">IF($E1345="","",INDEX(资金日记账!$B$4:$B$603,218))</f>
        <v/>
      </c>
      <c r="C1345" s="67" t="str">
        <f aca="false">IF($E1345="","",IF(INDEX(资金日记账!$W$4:$W$603,218)="","记-"&amp;TEXT($B1345,"YYYYMM")&amp;"-资金",INDEX(资金日记账!$W$4:$W$603,218)))</f>
        <v/>
      </c>
      <c r="D1345" s="107" t="str">
        <f aca="false">IF($E1345="","",INDEX(资金日记账!$D$4:$D$603,218))</f>
        <v/>
      </c>
      <c r="E1345" s="67" t="str">
        <f aca="false">IF(INDEX(资金日记账!$N$4:$S$603,218,4)=0,"",INDEX(资金日记账!$N$4:$S$603,218,4))</f>
        <v/>
      </c>
      <c r="F1345" s="99" t="str">
        <f aca="false">IF($E1345="","",IFERROR(INDEX(科目表!$A$4:$A$81,MATCH($E1345,科目表!$B$4:$B$81,0)),""))</f>
        <v/>
      </c>
      <c r="G1345" s="67" t="str">
        <f aca="false">IF($E1345="","",IFERROR(INDEX(科目表!$E$4:$E$81,MATCH($E1345,科目表!$B$4:$B$81,0)),""))</f>
        <v/>
      </c>
      <c r="H1345" s="70" t="str">
        <f aca="false">IF($E1345="","",N(INDEX(资金日记账!$N$4:$S$603,218,5)))</f>
        <v/>
      </c>
      <c r="I1345" s="70" t="str">
        <f aca="false">IF($E1345="","",N(INDEX(资金日记账!$N$4:$S$603,218,6)))</f>
        <v/>
      </c>
      <c r="J1345" s="67" t="str">
        <f aca="false">IF($E1345="","",INDEX(资金日记账!$E$4:$E$603,218))</f>
        <v/>
      </c>
      <c r="K1345" s="67" t="str">
        <f aca="false">IF($E1345="","",INDEX(资金日记账!$F$4:$F$603,218))</f>
        <v/>
      </c>
      <c r="L1345" s="107" t="str">
        <f aca="false">IF($E1345="","",INDEX(资金日记账!$X$4:$X$603,218))</f>
        <v/>
      </c>
      <c r="M1345" s="107"/>
      <c r="N1345" s="67" t="str">
        <f aca="false">IF($E1345="","",INDEX(资金日记账!$Y$4:$Y$603,218))</f>
        <v/>
      </c>
      <c r="O1345" s="67" t="str">
        <f aca="false">IF($E1345="","","自动B")</f>
        <v/>
      </c>
      <c r="P1345" s="18"/>
    </row>
    <row r="1346" customFormat="false" ht="18" hidden="false" customHeight="true" outlineLevel="0" collapsed="false">
      <c r="A1346" s="107" t="str">
        <f aca="false">IF($E1346="","",ROW()-3)</f>
        <v/>
      </c>
      <c r="B1346" s="110" t="str">
        <f aca="false">IF($E1346="","",INDEX(资金日记账!$B$4:$B$603,219))</f>
        <v/>
      </c>
      <c r="C1346" s="67" t="str">
        <f aca="false">IF($E1346="","",IF(INDEX(资金日记账!$W$4:$W$603,219)="","记-"&amp;TEXT($B1346,"YYYYMM")&amp;"-资金",INDEX(资金日记账!$W$4:$W$603,219)))</f>
        <v/>
      </c>
      <c r="D1346" s="107" t="str">
        <f aca="false">IF($E1346="","",INDEX(资金日记账!$D$4:$D$603,219))</f>
        <v/>
      </c>
      <c r="E1346" s="67" t="str">
        <f aca="false">IF(INDEX(资金日记账!$N$4:$S$603,219,1)=0,"",INDEX(资金日记账!$N$4:$S$603,219,1))</f>
        <v/>
      </c>
      <c r="F1346" s="99" t="str">
        <f aca="false">IF($E1346="","",IFERROR(INDEX(科目表!$A$4:$A$81,MATCH($E1346,科目表!$B$4:$B$81,0)),""))</f>
        <v/>
      </c>
      <c r="G1346" s="67" t="str">
        <f aca="false">IF($E1346="","",IFERROR(INDEX(科目表!$E$4:$E$81,MATCH($E1346,科目表!$B$4:$B$81,0)),""))</f>
        <v/>
      </c>
      <c r="H1346" s="70" t="str">
        <f aca="false">IF($E1346="","",N(INDEX(资金日记账!$N$4:$S$603,219,2)))</f>
        <v/>
      </c>
      <c r="I1346" s="70" t="str">
        <f aca="false">IF($E1346="","",N(INDEX(资金日记账!$N$4:$S$603,219,3)))</f>
        <v/>
      </c>
      <c r="J1346" s="67" t="str">
        <f aca="false">IF($E1346="","",INDEX(资金日记账!$E$4:$E$603,219))</f>
        <v/>
      </c>
      <c r="K1346" s="67" t="str">
        <f aca="false">IF($E1346="","",INDEX(资金日记账!$F$4:$F$603,219))</f>
        <v/>
      </c>
      <c r="L1346" s="107" t="str">
        <f aca="false">IF($E1346="","",INDEX(资金日记账!$X$4:$X$603,219))</f>
        <v/>
      </c>
      <c r="M1346" s="107"/>
      <c r="N1346" s="67" t="str">
        <f aca="false">IF($E1346="","",INDEX(资金日记账!$Y$4:$Y$603,219))</f>
        <v/>
      </c>
      <c r="O1346" s="67" t="str">
        <f aca="false">IF($E1346="","","自动B")</f>
        <v/>
      </c>
      <c r="P1346" s="18"/>
    </row>
    <row r="1347" customFormat="false" ht="18" hidden="false" customHeight="true" outlineLevel="0" collapsed="false">
      <c r="A1347" s="107" t="str">
        <f aca="false">IF($E1347="","",ROW()-3)</f>
        <v/>
      </c>
      <c r="B1347" s="110" t="str">
        <f aca="false">IF($E1347="","",INDEX(资金日记账!$B$4:$B$603,219))</f>
        <v/>
      </c>
      <c r="C1347" s="67" t="str">
        <f aca="false">IF($E1347="","",IF(INDEX(资金日记账!$W$4:$W$603,219)="","记-"&amp;TEXT($B1347,"YYYYMM")&amp;"-资金",INDEX(资金日记账!$W$4:$W$603,219)))</f>
        <v/>
      </c>
      <c r="D1347" s="107" t="str">
        <f aca="false">IF($E1347="","",INDEX(资金日记账!$D$4:$D$603,219))</f>
        <v/>
      </c>
      <c r="E1347" s="67" t="str">
        <f aca="false">IF(INDEX(资金日记账!$N$4:$S$603,219,4)=0,"",INDEX(资金日记账!$N$4:$S$603,219,4))</f>
        <v/>
      </c>
      <c r="F1347" s="99" t="str">
        <f aca="false">IF($E1347="","",IFERROR(INDEX(科目表!$A$4:$A$81,MATCH($E1347,科目表!$B$4:$B$81,0)),""))</f>
        <v/>
      </c>
      <c r="G1347" s="67" t="str">
        <f aca="false">IF($E1347="","",IFERROR(INDEX(科目表!$E$4:$E$81,MATCH($E1347,科目表!$B$4:$B$81,0)),""))</f>
        <v/>
      </c>
      <c r="H1347" s="70" t="str">
        <f aca="false">IF($E1347="","",N(INDEX(资金日记账!$N$4:$S$603,219,5)))</f>
        <v/>
      </c>
      <c r="I1347" s="70" t="str">
        <f aca="false">IF($E1347="","",N(INDEX(资金日记账!$N$4:$S$603,219,6)))</f>
        <v/>
      </c>
      <c r="J1347" s="67" t="str">
        <f aca="false">IF($E1347="","",INDEX(资金日记账!$E$4:$E$603,219))</f>
        <v/>
      </c>
      <c r="K1347" s="67" t="str">
        <f aca="false">IF($E1347="","",INDEX(资金日记账!$F$4:$F$603,219))</f>
        <v/>
      </c>
      <c r="L1347" s="107" t="str">
        <f aca="false">IF($E1347="","",INDEX(资金日记账!$X$4:$X$603,219))</f>
        <v/>
      </c>
      <c r="M1347" s="107"/>
      <c r="N1347" s="67" t="str">
        <f aca="false">IF($E1347="","",INDEX(资金日记账!$Y$4:$Y$603,219))</f>
        <v/>
      </c>
      <c r="O1347" s="67" t="str">
        <f aca="false">IF($E1347="","","自动B")</f>
        <v/>
      </c>
      <c r="P1347" s="18"/>
    </row>
    <row r="1348" customFormat="false" ht="18" hidden="false" customHeight="true" outlineLevel="0" collapsed="false">
      <c r="A1348" s="107" t="str">
        <f aca="false">IF($E1348="","",ROW()-3)</f>
        <v/>
      </c>
      <c r="B1348" s="110" t="str">
        <f aca="false">IF($E1348="","",INDEX(资金日记账!$B$4:$B$603,220))</f>
        <v/>
      </c>
      <c r="C1348" s="67" t="str">
        <f aca="false">IF($E1348="","",IF(INDEX(资金日记账!$W$4:$W$603,220)="","记-"&amp;TEXT($B1348,"YYYYMM")&amp;"-资金",INDEX(资金日记账!$W$4:$W$603,220)))</f>
        <v/>
      </c>
      <c r="D1348" s="107" t="str">
        <f aca="false">IF($E1348="","",INDEX(资金日记账!$D$4:$D$603,220))</f>
        <v/>
      </c>
      <c r="E1348" s="67" t="str">
        <f aca="false">IF(INDEX(资金日记账!$N$4:$S$603,220,1)=0,"",INDEX(资金日记账!$N$4:$S$603,220,1))</f>
        <v/>
      </c>
      <c r="F1348" s="99" t="str">
        <f aca="false">IF($E1348="","",IFERROR(INDEX(科目表!$A$4:$A$81,MATCH($E1348,科目表!$B$4:$B$81,0)),""))</f>
        <v/>
      </c>
      <c r="G1348" s="67" t="str">
        <f aca="false">IF($E1348="","",IFERROR(INDEX(科目表!$E$4:$E$81,MATCH($E1348,科目表!$B$4:$B$81,0)),""))</f>
        <v/>
      </c>
      <c r="H1348" s="70" t="str">
        <f aca="false">IF($E1348="","",N(INDEX(资金日记账!$N$4:$S$603,220,2)))</f>
        <v/>
      </c>
      <c r="I1348" s="70" t="str">
        <f aca="false">IF($E1348="","",N(INDEX(资金日记账!$N$4:$S$603,220,3)))</f>
        <v/>
      </c>
      <c r="J1348" s="67" t="str">
        <f aca="false">IF($E1348="","",INDEX(资金日记账!$E$4:$E$603,220))</f>
        <v/>
      </c>
      <c r="K1348" s="67" t="str">
        <f aca="false">IF($E1348="","",INDEX(资金日记账!$F$4:$F$603,220))</f>
        <v/>
      </c>
      <c r="L1348" s="107" t="str">
        <f aca="false">IF($E1348="","",INDEX(资金日记账!$X$4:$X$603,220))</f>
        <v/>
      </c>
      <c r="M1348" s="107"/>
      <c r="N1348" s="67" t="str">
        <f aca="false">IF($E1348="","",INDEX(资金日记账!$Y$4:$Y$603,220))</f>
        <v/>
      </c>
      <c r="O1348" s="67" t="str">
        <f aca="false">IF($E1348="","","自动B")</f>
        <v/>
      </c>
      <c r="P1348" s="18"/>
    </row>
    <row r="1349" customFormat="false" ht="18" hidden="false" customHeight="true" outlineLevel="0" collapsed="false">
      <c r="A1349" s="107" t="str">
        <f aca="false">IF($E1349="","",ROW()-3)</f>
        <v/>
      </c>
      <c r="B1349" s="110" t="str">
        <f aca="false">IF($E1349="","",INDEX(资金日记账!$B$4:$B$603,220))</f>
        <v/>
      </c>
      <c r="C1349" s="67" t="str">
        <f aca="false">IF($E1349="","",IF(INDEX(资金日记账!$W$4:$W$603,220)="","记-"&amp;TEXT($B1349,"YYYYMM")&amp;"-资金",INDEX(资金日记账!$W$4:$W$603,220)))</f>
        <v/>
      </c>
      <c r="D1349" s="107" t="str">
        <f aca="false">IF($E1349="","",INDEX(资金日记账!$D$4:$D$603,220))</f>
        <v/>
      </c>
      <c r="E1349" s="67" t="str">
        <f aca="false">IF(INDEX(资金日记账!$N$4:$S$603,220,4)=0,"",INDEX(资金日记账!$N$4:$S$603,220,4))</f>
        <v/>
      </c>
      <c r="F1349" s="99" t="str">
        <f aca="false">IF($E1349="","",IFERROR(INDEX(科目表!$A$4:$A$81,MATCH($E1349,科目表!$B$4:$B$81,0)),""))</f>
        <v/>
      </c>
      <c r="G1349" s="67" t="str">
        <f aca="false">IF($E1349="","",IFERROR(INDEX(科目表!$E$4:$E$81,MATCH($E1349,科目表!$B$4:$B$81,0)),""))</f>
        <v/>
      </c>
      <c r="H1349" s="70" t="str">
        <f aca="false">IF($E1349="","",N(INDEX(资金日记账!$N$4:$S$603,220,5)))</f>
        <v/>
      </c>
      <c r="I1349" s="70" t="str">
        <f aca="false">IF($E1349="","",N(INDEX(资金日记账!$N$4:$S$603,220,6)))</f>
        <v/>
      </c>
      <c r="J1349" s="67" t="str">
        <f aca="false">IF($E1349="","",INDEX(资金日记账!$E$4:$E$603,220))</f>
        <v/>
      </c>
      <c r="K1349" s="67" t="str">
        <f aca="false">IF($E1349="","",INDEX(资金日记账!$F$4:$F$603,220))</f>
        <v/>
      </c>
      <c r="L1349" s="107" t="str">
        <f aca="false">IF($E1349="","",INDEX(资金日记账!$X$4:$X$603,220))</f>
        <v/>
      </c>
      <c r="M1349" s="107"/>
      <c r="N1349" s="67" t="str">
        <f aca="false">IF($E1349="","",INDEX(资金日记账!$Y$4:$Y$603,220))</f>
        <v/>
      </c>
      <c r="O1349" s="67" t="str">
        <f aca="false">IF($E1349="","","自动B")</f>
        <v/>
      </c>
      <c r="P1349" s="18"/>
    </row>
    <row r="1350" customFormat="false" ht="18" hidden="false" customHeight="true" outlineLevel="0" collapsed="false">
      <c r="A1350" s="107" t="str">
        <f aca="false">IF($E1350="","",ROW()-3)</f>
        <v/>
      </c>
      <c r="B1350" s="110" t="str">
        <f aca="false">IF($E1350="","",INDEX(资金日记账!$B$4:$B$603,221))</f>
        <v/>
      </c>
      <c r="C1350" s="67" t="str">
        <f aca="false">IF($E1350="","",IF(INDEX(资金日记账!$W$4:$W$603,221)="","记-"&amp;TEXT($B1350,"YYYYMM")&amp;"-资金",INDEX(资金日记账!$W$4:$W$603,221)))</f>
        <v/>
      </c>
      <c r="D1350" s="107" t="str">
        <f aca="false">IF($E1350="","",INDEX(资金日记账!$D$4:$D$603,221))</f>
        <v/>
      </c>
      <c r="E1350" s="67" t="str">
        <f aca="false">IF(INDEX(资金日记账!$N$4:$S$603,221,1)=0,"",INDEX(资金日记账!$N$4:$S$603,221,1))</f>
        <v/>
      </c>
      <c r="F1350" s="99" t="str">
        <f aca="false">IF($E1350="","",IFERROR(INDEX(科目表!$A$4:$A$81,MATCH($E1350,科目表!$B$4:$B$81,0)),""))</f>
        <v/>
      </c>
      <c r="G1350" s="67" t="str">
        <f aca="false">IF($E1350="","",IFERROR(INDEX(科目表!$E$4:$E$81,MATCH($E1350,科目表!$B$4:$B$81,0)),""))</f>
        <v/>
      </c>
      <c r="H1350" s="70" t="str">
        <f aca="false">IF($E1350="","",N(INDEX(资金日记账!$N$4:$S$603,221,2)))</f>
        <v/>
      </c>
      <c r="I1350" s="70" t="str">
        <f aca="false">IF($E1350="","",N(INDEX(资金日记账!$N$4:$S$603,221,3)))</f>
        <v/>
      </c>
      <c r="J1350" s="67" t="str">
        <f aca="false">IF($E1350="","",INDEX(资金日记账!$E$4:$E$603,221))</f>
        <v/>
      </c>
      <c r="K1350" s="67" t="str">
        <f aca="false">IF($E1350="","",INDEX(资金日记账!$F$4:$F$603,221))</f>
        <v/>
      </c>
      <c r="L1350" s="107" t="str">
        <f aca="false">IF($E1350="","",INDEX(资金日记账!$X$4:$X$603,221))</f>
        <v/>
      </c>
      <c r="M1350" s="107"/>
      <c r="N1350" s="67" t="str">
        <f aca="false">IF($E1350="","",INDEX(资金日记账!$Y$4:$Y$603,221))</f>
        <v/>
      </c>
      <c r="O1350" s="67" t="str">
        <f aca="false">IF($E1350="","","自动B")</f>
        <v/>
      </c>
      <c r="P1350" s="18"/>
    </row>
    <row r="1351" customFormat="false" ht="18" hidden="false" customHeight="true" outlineLevel="0" collapsed="false">
      <c r="A1351" s="107" t="str">
        <f aca="false">IF($E1351="","",ROW()-3)</f>
        <v/>
      </c>
      <c r="B1351" s="110" t="str">
        <f aca="false">IF($E1351="","",INDEX(资金日记账!$B$4:$B$603,221))</f>
        <v/>
      </c>
      <c r="C1351" s="67" t="str">
        <f aca="false">IF($E1351="","",IF(INDEX(资金日记账!$W$4:$W$603,221)="","记-"&amp;TEXT($B1351,"YYYYMM")&amp;"-资金",INDEX(资金日记账!$W$4:$W$603,221)))</f>
        <v/>
      </c>
      <c r="D1351" s="107" t="str">
        <f aca="false">IF($E1351="","",INDEX(资金日记账!$D$4:$D$603,221))</f>
        <v/>
      </c>
      <c r="E1351" s="67" t="str">
        <f aca="false">IF(INDEX(资金日记账!$N$4:$S$603,221,4)=0,"",INDEX(资金日记账!$N$4:$S$603,221,4))</f>
        <v/>
      </c>
      <c r="F1351" s="99" t="str">
        <f aca="false">IF($E1351="","",IFERROR(INDEX(科目表!$A$4:$A$81,MATCH($E1351,科目表!$B$4:$B$81,0)),""))</f>
        <v/>
      </c>
      <c r="G1351" s="67" t="str">
        <f aca="false">IF($E1351="","",IFERROR(INDEX(科目表!$E$4:$E$81,MATCH($E1351,科目表!$B$4:$B$81,0)),""))</f>
        <v/>
      </c>
      <c r="H1351" s="70" t="str">
        <f aca="false">IF($E1351="","",N(INDEX(资金日记账!$N$4:$S$603,221,5)))</f>
        <v/>
      </c>
      <c r="I1351" s="70" t="str">
        <f aca="false">IF($E1351="","",N(INDEX(资金日记账!$N$4:$S$603,221,6)))</f>
        <v/>
      </c>
      <c r="J1351" s="67" t="str">
        <f aca="false">IF($E1351="","",INDEX(资金日记账!$E$4:$E$603,221))</f>
        <v/>
      </c>
      <c r="K1351" s="67" t="str">
        <f aca="false">IF($E1351="","",INDEX(资金日记账!$F$4:$F$603,221))</f>
        <v/>
      </c>
      <c r="L1351" s="107" t="str">
        <f aca="false">IF($E1351="","",INDEX(资金日记账!$X$4:$X$603,221))</f>
        <v/>
      </c>
      <c r="M1351" s="107"/>
      <c r="N1351" s="67" t="str">
        <f aca="false">IF($E1351="","",INDEX(资金日记账!$Y$4:$Y$603,221))</f>
        <v/>
      </c>
      <c r="O1351" s="67" t="str">
        <f aca="false">IF($E1351="","","自动B")</f>
        <v/>
      </c>
      <c r="P1351" s="18"/>
    </row>
    <row r="1352" customFormat="false" ht="18" hidden="false" customHeight="true" outlineLevel="0" collapsed="false">
      <c r="A1352" s="107" t="str">
        <f aca="false">IF($E1352="","",ROW()-3)</f>
        <v/>
      </c>
      <c r="B1352" s="110" t="str">
        <f aca="false">IF($E1352="","",INDEX(资金日记账!$B$4:$B$603,222))</f>
        <v/>
      </c>
      <c r="C1352" s="67" t="str">
        <f aca="false">IF($E1352="","",IF(INDEX(资金日记账!$W$4:$W$603,222)="","记-"&amp;TEXT($B1352,"YYYYMM")&amp;"-资金",INDEX(资金日记账!$W$4:$W$603,222)))</f>
        <v/>
      </c>
      <c r="D1352" s="107" t="str">
        <f aca="false">IF($E1352="","",INDEX(资金日记账!$D$4:$D$603,222))</f>
        <v/>
      </c>
      <c r="E1352" s="67" t="str">
        <f aca="false">IF(INDEX(资金日记账!$N$4:$S$603,222,1)=0,"",INDEX(资金日记账!$N$4:$S$603,222,1))</f>
        <v/>
      </c>
      <c r="F1352" s="99" t="str">
        <f aca="false">IF($E1352="","",IFERROR(INDEX(科目表!$A$4:$A$81,MATCH($E1352,科目表!$B$4:$B$81,0)),""))</f>
        <v/>
      </c>
      <c r="G1352" s="67" t="str">
        <f aca="false">IF($E1352="","",IFERROR(INDEX(科目表!$E$4:$E$81,MATCH($E1352,科目表!$B$4:$B$81,0)),""))</f>
        <v/>
      </c>
      <c r="H1352" s="70" t="str">
        <f aca="false">IF($E1352="","",N(INDEX(资金日记账!$N$4:$S$603,222,2)))</f>
        <v/>
      </c>
      <c r="I1352" s="70" t="str">
        <f aca="false">IF($E1352="","",N(INDEX(资金日记账!$N$4:$S$603,222,3)))</f>
        <v/>
      </c>
      <c r="J1352" s="67" t="str">
        <f aca="false">IF($E1352="","",INDEX(资金日记账!$E$4:$E$603,222))</f>
        <v/>
      </c>
      <c r="K1352" s="67" t="str">
        <f aca="false">IF($E1352="","",INDEX(资金日记账!$F$4:$F$603,222))</f>
        <v/>
      </c>
      <c r="L1352" s="107" t="str">
        <f aca="false">IF($E1352="","",INDEX(资金日记账!$X$4:$X$603,222))</f>
        <v/>
      </c>
      <c r="M1352" s="107"/>
      <c r="N1352" s="67" t="str">
        <f aca="false">IF($E1352="","",INDEX(资金日记账!$Y$4:$Y$603,222))</f>
        <v/>
      </c>
      <c r="O1352" s="67" t="str">
        <f aca="false">IF($E1352="","","自动B")</f>
        <v/>
      </c>
      <c r="P1352" s="18"/>
    </row>
    <row r="1353" customFormat="false" ht="18" hidden="false" customHeight="true" outlineLevel="0" collapsed="false">
      <c r="A1353" s="107" t="str">
        <f aca="false">IF($E1353="","",ROW()-3)</f>
        <v/>
      </c>
      <c r="B1353" s="110" t="str">
        <f aca="false">IF($E1353="","",INDEX(资金日记账!$B$4:$B$603,222))</f>
        <v/>
      </c>
      <c r="C1353" s="67" t="str">
        <f aca="false">IF($E1353="","",IF(INDEX(资金日记账!$W$4:$W$603,222)="","记-"&amp;TEXT($B1353,"YYYYMM")&amp;"-资金",INDEX(资金日记账!$W$4:$W$603,222)))</f>
        <v/>
      </c>
      <c r="D1353" s="107" t="str">
        <f aca="false">IF($E1353="","",INDEX(资金日记账!$D$4:$D$603,222))</f>
        <v/>
      </c>
      <c r="E1353" s="67" t="str">
        <f aca="false">IF(INDEX(资金日记账!$N$4:$S$603,222,4)=0,"",INDEX(资金日记账!$N$4:$S$603,222,4))</f>
        <v/>
      </c>
      <c r="F1353" s="99" t="str">
        <f aca="false">IF($E1353="","",IFERROR(INDEX(科目表!$A$4:$A$81,MATCH($E1353,科目表!$B$4:$B$81,0)),""))</f>
        <v/>
      </c>
      <c r="G1353" s="67" t="str">
        <f aca="false">IF($E1353="","",IFERROR(INDEX(科目表!$E$4:$E$81,MATCH($E1353,科目表!$B$4:$B$81,0)),""))</f>
        <v/>
      </c>
      <c r="H1353" s="70" t="str">
        <f aca="false">IF($E1353="","",N(INDEX(资金日记账!$N$4:$S$603,222,5)))</f>
        <v/>
      </c>
      <c r="I1353" s="70" t="str">
        <f aca="false">IF($E1353="","",N(INDEX(资金日记账!$N$4:$S$603,222,6)))</f>
        <v/>
      </c>
      <c r="J1353" s="67" t="str">
        <f aca="false">IF($E1353="","",INDEX(资金日记账!$E$4:$E$603,222))</f>
        <v/>
      </c>
      <c r="K1353" s="67" t="str">
        <f aca="false">IF($E1353="","",INDEX(资金日记账!$F$4:$F$603,222))</f>
        <v/>
      </c>
      <c r="L1353" s="107" t="str">
        <f aca="false">IF($E1353="","",INDEX(资金日记账!$X$4:$X$603,222))</f>
        <v/>
      </c>
      <c r="M1353" s="107"/>
      <c r="N1353" s="67" t="str">
        <f aca="false">IF($E1353="","",INDEX(资金日记账!$Y$4:$Y$603,222))</f>
        <v/>
      </c>
      <c r="O1353" s="67" t="str">
        <f aca="false">IF($E1353="","","自动B")</f>
        <v/>
      </c>
      <c r="P1353" s="18"/>
    </row>
    <row r="1354" customFormat="false" ht="18" hidden="false" customHeight="true" outlineLevel="0" collapsed="false">
      <c r="A1354" s="107" t="str">
        <f aca="false">IF($E1354="","",ROW()-3)</f>
        <v/>
      </c>
      <c r="B1354" s="110" t="str">
        <f aca="false">IF($E1354="","",INDEX(资金日记账!$B$4:$B$603,223))</f>
        <v/>
      </c>
      <c r="C1354" s="67" t="str">
        <f aca="false">IF($E1354="","",IF(INDEX(资金日记账!$W$4:$W$603,223)="","记-"&amp;TEXT($B1354,"YYYYMM")&amp;"-资金",INDEX(资金日记账!$W$4:$W$603,223)))</f>
        <v/>
      </c>
      <c r="D1354" s="107" t="str">
        <f aca="false">IF($E1354="","",INDEX(资金日记账!$D$4:$D$603,223))</f>
        <v/>
      </c>
      <c r="E1354" s="67" t="str">
        <f aca="false">IF(INDEX(资金日记账!$N$4:$S$603,223,1)=0,"",INDEX(资金日记账!$N$4:$S$603,223,1))</f>
        <v/>
      </c>
      <c r="F1354" s="99" t="str">
        <f aca="false">IF($E1354="","",IFERROR(INDEX(科目表!$A$4:$A$81,MATCH($E1354,科目表!$B$4:$B$81,0)),""))</f>
        <v/>
      </c>
      <c r="G1354" s="67" t="str">
        <f aca="false">IF($E1354="","",IFERROR(INDEX(科目表!$E$4:$E$81,MATCH($E1354,科目表!$B$4:$B$81,0)),""))</f>
        <v/>
      </c>
      <c r="H1354" s="70" t="str">
        <f aca="false">IF($E1354="","",N(INDEX(资金日记账!$N$4:$S$603,223,2)))</f>
        <v/>
      </c>
      <c r="I1354" s="70" t="str">
        <f aca="false">IF($E1354="","",N(INDEX(资金日记账!$N$4:$S$603,223,3)))</f>
        <v/>
      </c>
      <c r="J1354" s="67" t="str">
        <f aca="false">IF($E1354="","",INDEX(资金日记账!$E$4:$E$603,223))</f>
        <v/>
      </c>
      <c r="K1354" s="67" t="str">
        <f aca="false">IF($E1354="","",INDEX(资金日记账!$F$4:$F$603,223))</f>
        <v/>
      </c>
      <c r="L1354" s="107" t="str">
        <f aca="false">IF($E1354="","",INDEX(资金日记账!$X$4:$X$603,223))</f>
        <v/>
      </c>
      <c r="M1354" s="107"/>
      <c r="N1354" s="67" t="str">
        <f aca="false">IF($E1354="","",INDEX(资金日记账!$Y$4:$Y$603,223))</f>
        <v/>
      </c>
      <c r="O1354" s="67" t="str">
        <f aca="false">IF($E1354="","","自动B")</f>
        <v/>
      </c>
      <c r="P1354" s="18"/>
    </row>
    <row r="1355" customFormat="false" ht="18" hidden="false" customHeight="true" outlineLevel="0" collapsed="false">
      <c r="A1355" s="107" t="str">
        <f aca="false">IF($E1355="","",ROW()-3)</f>
        <v/>
      </c>
      <c r="B1355" s="110" t="str">
        <f aca="false">IF($E1355="","",INDEX(资金日记账!$B$4:$B$603,223))</f>
        <v/>
      </c>
      <c r="C1355" s="67" t="str">
        <f aca="false">IF($E1355="","",IF(INDEX(资金日记账!$W$4:$W$603,223)="","记-"&amp;TEXT($B1355,"YYYYMM")&amp;"-资金",INDEX(资金日记账!$W$4:$W$603,223)))</f>
        <v/>
      </c>
      <c r="D1355" s="107" t="str">
        <f aca="false">IF($E1355="","",INDEX(资金日记账!$D$4:$D$603,223))</f>
        <v/>
      </c>
      <c r="E1355" s="67" t="str">
        <f aca="false">IF(INDEX(资金日记账!$N$4:$S$603,223,4)=0,"",INDEX(资金日记账!$N$4:$S$603,223,4))</f>
        <v/>
      </c>
      <c r="F1355" s="99" t="str">
        <f aca="false">IF($E1355="","",IFERROR(INDEX(科目表!$A$4:$A$81,MATCH($E1355,科目表!$B$4:$B$81,0)),""))</f>
        <v/>
      </c>
      <c r="G1355" s="67" t="str">
        <f aca="false">IF($E1355="","",IFERROR(INDEX(科目表!$E$4:$E$81,MATCH($E1355,科目表!$B$4:$B$81,0)),""))</f>
        <v/>
      </c>
      <c r="H1355" s="70" t="str">
        <f aca="false">IF($E1355="","",N(INDEX(资金日记账!$N$4:$S$603,223,5)))</f>
        <v/>
      </c>
      <c r="I1355" s="70" t="str">
        <f aca="false">IF($E1355="","",N(INDEX(资金日记账!$N$4:$S$603,223,6)))</f>
        <v/>
      </c>
      <c r="J1355" s="67" t="str">
        <f aca="false">IF($E1355="","",INDEX(资金日记账!$E$4:$E$603,223))</f>
        <v/>
      </c>
      <c r="K1355" s="67" t="str">
        <f aca="false">IF($E1355="","",INDEX(资金日记账!$F$4:$F$603,223))</f>
        <v/>
      </c>
      <c r="L1355" s="107" t="str">
        <f aca="false">IF($E1355="","",INDEX(资金日记账!$X$4:$X$603,223))</f>
        <v/>
      </c>
      <c r="M1355" s="107"/>
      <c r="N1355" s="67" t="str">
        <f aca="false">IF($E1355="","",INDEX(资金日记账!$Y$4:$Y$603,223))</f>
        <v/>
      </c>
      <c r="O1355" s="67" t="str">
        <f aca="false">IF($E1355="","","自动B")</f>
        <v/>
      </c>
      <c r="P1355" s="18"/>
    </row>
    <row r="1356" customFormat="false" ht="18" hidden="false" customHeight="true" outlineLevel="0" collapsed="false">
      <c r="A1356" s="107" t="str">
        <f aca="false">IF($E1356="","",ROW()-3)</f>
        <v/>
      </c>
      <c r="B1356" s="110" t="str">
        <f aca="false">IF($E1356="","",INDEX(资金日记账!$B$4:$B$603,224))</f>
        <v/>
      </c>
      <c r="C1356" s="67" t="str">
        <f aca="false">IF($E1356="","",IF(INDEX(资金日记账!$W$4:$W$603,224)="","记-"&amp;TEXT($B1356,"YYYYMM")&amp;"-资金",INDEX(资金日记账!$W$4:$W$603,224)))</f>
        <v/>
      </c>
      <c r="D1356" s="107" t="str">
        <f aca="false">IF($E1356="","",INDEX(资金日记账!$D$4:$D$603,224))</f>
        <v/>
      </c>
      <c r="E1356" s="67" t="str">
        <f aca="false">IF(INDEX(资金日记账!$N$4:$S$603,224,1)=0,"",INDEX(资金日记账!$N$4:$S$603,224,1))</f>
        <v/>
      </c>
      <c r="F1356" s="99" t="str">
        <f aca="false">IF($E1356="","",IFERROR(INDEX(科目表!$A$4:$A$81,MATCH($E1356,科目表!$B$4:$B$81,0)),""))</f>
        <v/>
      </c>
      <c r="G1356" s="67" t="str">
        <f aca="false">IF($E1356="","",IFERROR(INDEX(科目表!$E$4:$E$81,MATCH($E1356,科目表!$B$4:$B$81,0)),""))</f>
        <v/>
      </c>
      <c r="H1356" s="70" t="str">
        <f aca="false">IF($E1356="","",N(INDEX(资金日记账!$N$4:$S$603,224,2)))</f>
        <v/>
      </c>
      <c r="I1356" s="70" t="str">
        <f aca="false">IF($E1356="","",N(INDEX(资金日记账!$N$4:$S$603,224,3)))</f>
        <v/>
      </c>
      <c r="J1356" s="67" t="str">
        <f aca="false">IF($E1356="","",INDEX(资金日记账!$E$4:$E$603,224))</f>
        <v/>
      </c>
      <c r="K1356" s="67" t="str">
        <f aca="false">IF($E1356="","",INDEX(资金日记账!$F$4:$F$603,224))</f>
        <v/>
      </c>
      <c r="L1356" s="107" t="str">
        <f aca="false">IF($E1356="","",INDEX(资金日记账!$X$4:$X$603,224))</f>
        <v/>
      </c>
      <c r="M1356" s="107"/>
      <c r="N1356" s="67" t="str">
        <f aca="false">IF($E1356="","",INDEX(资金日记账!$Y$4:$Y$603,224))</f>
        <v/>
      </c>
      <c r="O1356" s="67" t="str">
        <f aca="false">IF($E1356="","","自动B")</f>
        <v/>
      </c>
      <c r="P1356" s="18"/>
    </row>
    <row r="1357" customFormat="false" ht="18" hidden="false" customHeight="true" outlineLevel="0" collapsed="false">
      <c r="A1357" s="107" t="str">
        <f aca="false">IF($E1357="","",ROW()-3)</f>
        <v/>
      </c>
      <c r="B1357" s="110" t="str">
        <f aca="false">IF($E1357="","",INDEX(资金日记账!$B$4:$B$603,224))</f>
        <v/>
      </c>
      <c r="C1357" s="67" t="str">
        <f aca="false">IF($E1357="","",IF(INDEX(资金日记账!$W$4:$W$603,224)="","记-"&amp;TEXT($B1357,"YYYYMM")&amp;"-资金",INDEX(资金日记账!$W$4:$W$603,224)))</f>
        <v/>
      </c>
      <c r="D1357" s="107" t="str">
        <f aca="false">IF($E1357="","",INDEX(资金日记账!$D$4:$D$603,224))</f>
        <v/>
      </c>
      <c r="E1357" s="67" t="str">
        <f aca="false">IF(INDEX(资金日记账!$N$4:$S$603,224,4)=0,"",INDEX(资金日记账!$N$4:$S$603,224,4))</f>
        <v/>
      </c>
      <c r="F1357" s="99" t="str">
        <f aca="false">IF($E1357="","",IFERROR(INDEX(科目表!$A$4:$A$81,MATCH($E1357,科目表!$B$4:$B$81,0)),""))</f>
        <v/>
      </c>
      <c r="G1357" s="67" t="str">
        <f aca="false">IF($E1357="","",IFERROR(INDEX(科目表!$E$4:$E$81,MATCH($E1357,科目表!$B$4:$B$81,0)),""))</f>
        <v/>
      </c>
      <c r="H1357" s="70" t="str">
        <f aca="false">IF($E1357="","",N(INDEX(资金日记账!$N$4:$S$603,224,5)))</f>
        <v/>
      </c>
      <c r="I1357" s="70" t="str">
        <f aca="false">IF($E1357="","",N(INDEX(资金日记账!$N$4:$S$603,224,6)))</f>
        <v/>
      </c>
      <c r="J1357" s="67" t="str">
        <f aca="false">IF($E1357="","",INDEX(资金日记账!$E$4:$E$603,224))</f>
        <v/>
      </c>
      <c r="K1357" s="67" t="str">
        <f aca="false">IF($E1357="","",INDEX(资金日记账!$F$4:$F$603,224))</f>
        <v/>
      </c>
      <c r="L1357" s="107" t="str">
        <f aca="false">IF($E1357="","",INDEX(资金日记账!$X$4:$X$603,224))</f>
        <v/>
      </c>
      <c r="M1357" s="107"/>
      <c r="N1357" s="67" t="str">
        <f aca="false">IF($E1357="","",INDEX(资金日记账!$Y$4:$Y$603,224))</f>
        <v/>
      </c>
      <c r="O1357" s="67" t="str">
        <f aca="false">IF($E1357="","","自动B")</f>
        <v/>
      </c>
      <c r="P1357" s="18"/>
    </row>
    <row r="1358" customFormat="false" ht="18" hidden="false" customHeight="true" outlineLevel="0" collapsed="false">
      <c r="A1358" s="107" t="str">
        <f aca="false">IF($E1358="","",ROW()-3)</f>
        <v/>
      </c>
      <c r="B1358" s="110" t="str">
        <f aca="false">IF($E1358="","",INDEX(资金日记账!$B$4:$B$603,225))</f>
        <v/>
      </c>
      <c r="C1358" s="67" t="str">
        <f aca="false">IF($E1358="","",IF(INDEX(资金日记账!$W$4:$W$603,225)="","记-"&amp;TEXT($B1358,"YYYYMM")&amp;"-资金",INDEX(资金日记账!$W$4:$W$603,225)))</f>
        <v/>
      </c>
      <c r="D1358" s="107" t="str">
        <f aca="false">IF($E1358="","",INDEX(资金日记账!$D$4:$D$603,225))</f>
        <v/>
      </c>
      <c r="E1358" s="67" t="str">
        <f aca="false">IF(INDEX(资金日记账!$N$4:$S$603,225,1)=0,"",INDEX(资金日记账!$N$4:$S$603,225,1))</f>
        <v/>
      </c>
      <c r="F1358" s="99" t="str">
        <f aca="false">IF($E1358="","",IFERROR(INDEX(科目表!$A$4:$A$81,MATCH($E1358,科目表!$B$4:$B$81,0)),""))</f>
        <v/>
      </c>
      <c r="G1358" s="67" t="str">
        <f aca="false">IF($E1358="","",IFERROR(INDEX(科目表!$E$4:$E$81,MATCH($E1358,科目表!$B$4:$B$81,0)),""))</f>
        <v/>
      </c>
      <c r="H1358" s="70" t="str">
        <f aca="false">IF($E1358="","",N(INDEX(资金日记账!$N$4:$S$603,225,2)))</f>
        <v/>
      </c>
      <c r="I1358" s="70" t="str">
        <f aca="false">IF($E1358="","",N(INDEX(资金日记账!$N$4:$S$603,225,3)))</f>
        <v/>
      </c>
      <c r="J1358" s="67" t="str">
        <f aca="false">IF($E1358="","",INDEX(资金日记账!$E$4:$E$603,225))</f>
        <v/>
      </c>
      <c r="K1358" s="67" t="str">
        <f aca="false">IF($E1358="","",INDEX(资金日记账!$F$4:$F$603,225))</f>
        <v/>
      </c>
      <c r="L1358" s="107" t="str">
        <f aca="false">IF($E1358="","",INDEX(资金日记账!$X$4:$X$603,225))</f>
        <v/>
      </c>
      <c r="M1358" s="107"/>
      <c r="N1358" s="67" t="str">
        <f aca="false">IF($E1358="","",INDEX(资金日记账!$Y$4:$Y$603,225))</f>
        <v/>
      </c>
      <c r="O1358" s="67" t="str">
        <f aca="false">IF($E1358="","","自动B")</f>
        <v/>
      </c>
      <c r="P1358" s="18"/>
    </row>
    <row r="1359" customFormat="false" ht="18" hidden="false" customHeight="true" outlineLevel="0" collapsed="false">
      <c r="A1359" s="107" t="str">
        <f aca="false">IF($E1359="","",ROW()-3)</f>
        <v/>
      </c>
      <c r="B1359" s="110" t="str">
        <f aca="false">IF($E1359="","",INDEX(资金日记账!$B$4:$B$603,225))</f>
        <v/>
      </c>
      <c r="C1359" s="67" t="str">
        <f aca="false">IF($E1359="","",IF(INDEX(资金日记账!$W$4:$W$603,225)="","记-"&amp;TEXT($B1359,"YYYYMM")&amp;"-资金",INDEX(资金日记账!$W$4:$W$603,225)))</f>
        <v/>
      </c>
      <c r="D1359" s="107" t="str">
        <f aca="false">IF($E1359="","",INDEX(资金日记账!$D$4:$D$603,225))</f>
        <v/>
      </c>
      <c r="E1359" s="67" t="str">
        <f aca="false">IF(INDEX(资金日记账!$N$4:$S$603,225,4)=0,"",INDEX(资金日记账!$N$4:$S$603,225,4))</f>
        <v/>
      </c>
      <c r="F1359" s="99" t="str">
        <f aca="false">IF($E1359="","",IFERROR(INDEX(科目表!$A$4:$A$81,MATCH($E1359,科目表!$B$4:$B$81,0)),""))</f>
        <v/>
      </c>
      <c r="G1359" s="67" t="str">
        <f aca="false">IF($E1359="","",IFERROR(INDEX(科目表!$E$4:$E$81,MATCH($E1359,科目表!$B$4:$B$81,0)),""))</f>
        <v/>
      </c>
      <c r="H1359" s="70" t="str">
        <f aca="false">IF($E1359="","",N(INDEX(资金日记账!$N$4:$S$603,225,5)))</f>
        <v/>
      </c>
      <c r="I1359" s="70" t="str">
        <f aca="false">IF($E1359="","",N(INDEX(资金日记账!$N$4:$S$603,225,6)))</f>
        <v/>
      </c>
      <c r="J1359" s="67" t="str">
        <f aca="false">IF($E1359="","",INDEX(资金日记账!$E$4:$E$603,225))</f>
        <v/>
      </c>
      <c r="K1359" s="67" t="str">
        <f aca="false">IF($E1359="","",INDEX(资金日记账!$F$4:$F$603,225))</f>
        <v/>
      </c>
      <c r="L1359" s="107" t="str">
        <f aca="false">IF($E1359="","",INDEX(资金日记账!$X$4:$X$603,225))</f>
        <v/>
      </c>
      <c r="M1359" s="107"/>
      <c r="N1359" s="67" t="str">
        <f aca="false">IF($E1359="","",INDEX(资金日记账!$Y$4:$Y$603,225))</f>
        <v/>
      </c>
      <c r="O1359" s="67" t="str">
        <f aca="false">IF($E1359="","","自动B")</f>
        <v/>
      </c>
      <c r="P1359" s="18"/>
    </row>
    <row r="1360" customFormat="false" ht="18" hidden="false" customHeight="true" outlineLevel="0" collapsed="false">
      <c r="A1360" s="107" t="str">
        <f aca="false">IF($E1360="","",ROW()-3)</f>
        <v/>
      </c>
      <c r="B1360" s="110" t="str">
        <f aca="false">IF($E1360="","",INDEX(资金日记账!$B$4:$B$603,226))</f>
        <v/>
      </c>
      <c r="C1360" s="67" t="str">
        <f aca="false">IF($E1360="","",IF(INDEX(资金日记账!$W$4:$W$603,226)="","记-"&amp;TEXT($B1360,"YYYYMM")&amp;"-资金",INDEX(资金日记账!$W$4:$W$603,226)))</f>
        <v/>
      </c>
      <c r="D1360" s="107" t="str">
        <f aca="false">IF($E1360="","",INDEX(资金日记账!$D$4:$D$603,226))</f>
        <v/>
      </c>
      <c r="E1360" s="67" t="str">
        <f aca="false">IF(INDEX(资金日记账!$N$4:$S$603,226,1)=0,"",INDEX(资金日记账!$N$4:$S$603,226,1))</f>
        <v/>
      </c>
      <c r="F1360" s="99" t="str">
        <f aca="false">IF($E1360="","",IFERROR(INDEX(科目表!$A$4:$A$81,MATCH($E1360,科目表!$B$4:$B$81,0)),""))</f>
        <v/>
      </c>
      <c r="G1360" s="67" t="str">
        <f aca="false">IF($E1360="","",IFERROR(INDEX(科目表!$E$4:$E$81,MATCH($E1360,科目表!$B$4:$B$81,0)),""))</f>
        <v/>
      </c>
      <c r="H1360" s="70" t="str">
        <f aca="false">IF($E1360="","",N(INDEX(资金日记账!$N$4:$S$603,226,2)))</f>
        <v/>
      </c>
      <c r="I1360" s="70" t="str">
        <f aca="false">IF($E1360="","",N(INDEX(资金日记账!$N$4:$S$603,226,3)))</f>
        <v/>
      </c>
      <c r="J1360" s="67" t="str">
        <f aca="false">IF($E1360="","",INDEX(资金日记账!$E$4:$E$603,226))</f>
        <v/>
      </c>
      <c r="K1360" s="67" t="str">
        <f aca="false">IF($E1360="","",INDEX(资金日记账!$F$4:$F$603,226))</f>
        <v/>
      </c>
      <c r="L1360" s="107" t="str">
        <f aca="false">IF($E1360="","",INDEX(资金日记账!$X$4:$X$603,226))</f>
        <v/>
      </c>
      <c r="M1360" s="107"/>
      <c r="N1360" s="67" t="str">
        <f aca="false">IF($E1360="","",INDEX(资金日记账!$Y$4:$Y$603,226))</f>
        <v/>
      </c>
      <c r="O1360" s="67" t="str">
        <f aca="false">IF($E1360="","","自动B")</f>
        <v/>
      </c>
      <c r="P1360" s="18"/>
    </row>
    <row r="1361" customFormat="false" ht="18" hidden="false" customHeight="true" outlineLevel="0" collapsed="false">
      <c r="A1361" s="107" t="str">
        <f aca="false">IF($E1361="","",ROW()-3)</f>
        <v/>
      </c>
      <c r="B1361" s="110" t="str">
        <f aca="false">IF($E1361="","",INDEX(资金日记账!$B$4:$B$603,226))</f>
        <v/>
      </c>
      <c r="C1361" s="67" t="str">
        <f aca="false">IF($E1361="","",IF(INDEX(资金日记账!$W$4:$W$603,226)="","记-"&amp;TEXT($B1361,"YYYYMM")&amp;"-资金",INDEX(资金日记账!$W$4:$W$603,226)))</f>
        <v/>
      </c>
      <c r="D1361" s="107" t="str">
        <f aca="false">IF($E1361="","",INDEX(资金日记账!$D$4:$D$603,226))</f>
        <v/>
      </c>
      <c r="E1361" s="67" t="str">
        <f aca="false">IF(INDEX(资金日记账!$N$4:$S$603,226,4)=0,"",INDEX(资金日记账!$N$4:$S$603,226,4))</f>
        <v/>
      </c>
      <c r="F1361" s="99" t="str">
        <f aca="false">IF($E1361="","",IFERROR(INDEX(科目表!$A$4:$A$81,MATCH($E1361,科目表!$B$4:$B$81,0)),""))</f>
        <v/>
      </c>
      <c r="G1361" s="67" t="str">
        <f aca="false">IF($E1361="","",IFERROR(INDEX(科目表!$E$4:$E$81,MATCH($E1361,科目表!$B$4:$B$81,0)),""))</f>
        <v/>
      </c>
      <c r="H1361" s="70" t="str">
        <f aca="false">IF($E1361="","",N(INDEX(资金日记账!$N$4:$S$603,226,5)))</f>
        <v/>
      </c>
      <c r="I1361" s="70" t="str">
        <f aca="false">IF($E1361="","",N(INDEX(资金日记账!$N$4:$S$603,226,6)))</f>
        <v/>
      </c>
      <c r="J1361" s="67" t="str">
        <f aca="false">IF($E1361="","",INDEX(资金日记账!$E$4:$E$603,226))</f>
        <v/>
      </c>
      <c r="K1361" s="67" t="str">
        <f aca="false">IF($E1361="","",INDEX(资金日记账!$F$4:$F$603,226))</f>
        <v/>
      </c>
      <c r="L1361" s="107" t="str">
        <f aca="false">IF($E1361="","",INDEX(资金日记账!$X$4:$X$603,226))</f>
        <v/>
      </c>
      <c r="M1361" s="107"/>
      <c r="N1361" s="67" t="str">
        <f aca="false">IF($E1361="","",INDEX(资金日记账!$Y$4:$Y$603,226))</f>
        <v/>
      </c>
      <c r="O1361" s="67" t="str">
        <f aca="false">IF($E1361="","","自动B")</f>
        <v/>
      </c>
      <c r="P1361" s="18"/>
    </row>
    <row r="1362" customFormat="false" ht="18" hidden="false" customHeight="true" outlineLevel="0" collapsed="false">
      <c r="A1362" s="107" t="str">
        <f aca="false">IF($E1362="","",ROW()-3)</f>
        <v/>
      </c>
      <c r="B1362" s="110" t="str">
        <f aca="false">IF($E1362="","",INDEX(资金日记账!$B$4:$B$603,227))</f>
        <v/>
      </c>
      <c r="C1362" s="67" t="str">
        <f aca="false">IF($E1362="","",IF(INDEX(资金日记账!$W$4:$W$603,227)="","记-"&amp;TEXT($B1362,"YYYYMM")&amp;"-资金",INDEX(资金日记账!$W$4:$W$603,227)))</f>
        <v/>
      </c>
      <c r="D1362" s="107" t="str">
        <f aca="false">IF($E1362="","",INDEX(资金日记账!$D$4:$D$603,227))</f>
        <v/>
      </c>
      <c r="E1362" s="67" t="str">
        <f aca="false">IF(INDEX(资金日记账!$N$4:$S$603,227,1)=0,"",INDEX(资金日记账!$N$4:$S$603,227,1))</f>
        <v/>
      </c>
      <c r="F1362" s="99" t="str">
        <f aca="false">IF($E1362="","",IFERROR(INDEX(科目表!$A$4:$A$81,MATCH($E1362,科目表!$B$4:$B$81,0)),""))</f>
        <v/>
      </c>
      <c r="G1362" s="67" t="str">
        <f aca="false">IF($E1362="","",IFERROR(INDEX(科目表!$E$4:$E$81,MATCH($E1362,科目表!$B$4:$B$81,0)),""))</f>
        <v/>
      </c>
      <c r="H1362" s="70" t="str">
        <f aca="false">IF($E1362="","",N(INDEX(资金日记账!$N$4:$S$603,227,2)))</f>
        <v/>
      </c>
      <c r="I1362" s="70" t="str">
        <f aca="false">IF($E1362="","",N(INDEX(资金日记账!$N$4:$S$603,227,3)))</f>
        <v/>
      </c>
      <c r="J1362" s="67" t="str">
        <f aca="false">IF($E1362="","",INDEX(资金日记账!$E$4:$E$603,227))</f>
        <v/>
      </c>
      <c r="K1362" s="67" t="str">
        <f aca="false">IF($E1362="","",INDEX(资金日记账!$F$4:$F$603,227))</f>
        <v/>
      </c>
      <c r="L1362" s="107" t="str">
        <f aca="false">IF($E1362="","",INDEX(资金日记账!$X$4:$X$603,227))</f>
        <v/>
      </c>
      <c r="M1362" s="107"/>
      <c r="N1362" s="67" t="str">
        <f aca="false">IF($E1362="","",INDEX(资金日记账!$Y$4:$Y$603,227))</f>
        <v/>
      </c>
      <c r="O1362" s="67" t="str">
        <f aca="false">IF($E1362="","","自动B")</f>
        <v/>
      </c>
      <c r="P1362" s="18"/>
    </row>
    <row r="1363" customFormat="false" ht="18" hidden="false" customHeight="true" outlineLevel="0" collapsed="false">
      <c r="A1363" s="107" t="str">
        <f aca="false">IF($E1363="","",ROW()-3)</f>
        <v/>
      </c>
      <c r="B1363" s="110" t="str">
        <f aca="false">IF($E1363="","",INDEX(资金日记账!$B$4:$B$603,227))</f>
        <v/>
      </c>
      <c r="C1363" s="67" t="str">
        <f aca="false">IF($E1363="","",IF(INDEX(资金日记账!$W$4:$W$603,227)="","记-"&amp;TEXT($B1363,"YYYYMM")&amp;"-资金",INDEX(资金日记账!$W$4:$W$603,227)))</f>
        <v/>
      </c>
      <c r="D1363" s="107" t="str">
        <f aca="false">IF($E1363="","",INDEX(资金日记账!$D$4:$D$603,227))</f>
        <v/>
      </c>
      <c r="E1363" s="67" t="str">
        <f aca="false">IF(INDEX(资金日记账!$N$4:$S$603,227,4)=0,"",INDEX(资金日记账!$N$4:$S$603,227,4))</f>
        <v/>
      </c>
      <c r="F1363" s="99" t="str">
        <f aca="false">IF($E1363="","",IFERROR(INDEX(科目表!$A$4:$A$81,MATCH($E1363,科目表!$B$4:$B$81,0)),""))</f>
        <v/>
      </c>
      <c r="G1363" s="67" t="str">
        <f aca="false">IF($E1363="","",IFERROR(INDEX(科目表!$E$4:$E$81,MATCH($E1363,科目表!$B$4:$B$81,0)),""))</f>
        <v/>
      </c>
      <c r="H1363" s="70" t="str">
        <f aca="false">IF($E1363="","",N(INDEX(资金日记账!$N$4:$S$603,227,5)))</f>
        <v/>
      </c>
      <c r="I1363" s="70" t="str">
        <f aca="false">IF($E1363="","",N(INDEX(资金日记账!$N$4:$S$603,227,6)))</f>
        <v/>
      </c>
      <c r="J1363" s="67" t="str">
        <f aca="false">IF($E1363="","",INDEX(资金日记账!$E$4:$E$603,227))</f>
        <v/>
      </c>
      <c r="K1363" s="67" t="str">
        <f aca="false">IF($E1363="","",INDEX(资金日记账!$F$4:$F$603,227))</f>
        <v/>
      </c>
      <c r="L1363" s="107" t="str">
        <f aca="false">IF($E1363="","",INDEX(资金日记账!$X$4:$X$603,227))</f>
        <v/>
      </c>
      <c r="M1363" s="107"/>
      <c r="N1363" s="67" t="str">
        <f aca="false">IF($E1363="","",INDEX(资金日记账!$Y$4:$Y$603,227))</f>
        <v/>
      </c>
      <c r="O1363" s="67" t="str">
        <f aca="false">IF($E1363="","","自动B")</f>
        <v/>
      </c>
      <c r="P1363" s="18"/>
    </row>
    <row r="1364" customFormat="false" ht="18" hidden="false" customHeight="true" outlineLevel="0" collapsed="false">
      <c r="A1364" s="107" t="str">
        <f aca="false">IF($E1364="","",ROW()-3)</f>
        <v/>
      </c>
      <c r="B1364" s="110" t="str">
        <f aca="false">IF($E1364="","",INDEX(资金日记账!$B$4:$B$603,228))</f>
        <v/>
      </c>
      <c r="C1364" s="67" t="str">
        <f aca="false">IF($E1364="","",IF(INDEX(资金日记账!$W$4:$W$603,228)="","记-"&amp;TEXT($B1364,"YYYYMM")&amp;"-资金",INDEX(资金日记账!$W$4:$W$603,228)))</f>
        <v/>
      </c>
      <c r="D1364" s="107" t="str">
        <f aca="false">IF($E1364="","",INDEX(资金日记账!$D$4:$D$603,228))</f>
        <v/>
      </c>
      <c r="E1364" s="67" t="str">
        <f aca="false">IF(INDEX(资金日记账!$N$4:$S$603,228,1)=0,"",INDEX(资金日记账!$N$4:$S$603,228,1))</f>
        <v/>
      </c>
      <c r="F1364" s="99" t="str">
        <f aca="false">IF($E1364="","",IFERROR(INDEX(科目表!$A$4:$A$81,MATCH($E1364,科目表!$B$4:$B$81,0)),""))</f>
        <v/>
      </c>
      <c r="G1364" s="67" t="str">
        <f aca="false">IF($E1364="","",IFERROR(INDEX(科目表!$E$4:$E$81,MATCH($E1364,科目表!$B$4:$B$81,0)),""))</f>
        <v/>
      </c>
      <c r="H1364" s="70" t="str">
        <f aca="false">IF($E1364="","",N(INDEX(资金日记账!$N$4:$S$603,228,2)))</f>
        <v/>
      </c>
      <c r="I1364" s="70" t="str">
        <f aca="false">IF($E1364="","",N(INDEX(资金日记账!$N$4:$S$603,228,3)))</f>
        <v/>
      </c>
      <c r="J1364" s="67" t="str">
        <f aca="false">IF($E1364="","",INDEX(资金日记账!$E$4:$E$603,228))</f>
        <v/>
      </c>
      <c r="K1364" s="67" t="str">
        <f aca="false">IF($E1364="","",INDEX(资金日记账!$F$4:$F$603,228))</f>
        <v/>
      </c>
      <c r="L1364" s="107" t="str">
        <f aca="false">IF($E1364="","",INDEX(资金日记账!$X$4:$X$603,228))</f>
        <v/>
      </c>
      <c r="M1364" s="107"/>
      <c r="N1364" s="67" t="str">
        <f aca="false">IF($E1364="","",INDEX(资金日记账!$Y$4:$Y$603,228))</f>
        <v/>
      </c>
      <c r="O1364" s="67" t="str">
        <f aca="false">IF($E1364="","","自动B")</f>
        <v/>
      </c>
      <c r="P1364" s="18"/>
    </row>
    <row r="1365" customFormat="false" ht="18" hidden="false" customHeight="true" outlineLevel="0" collapsed="false">
      <c r="A1365" s="107" t="str">
        <f aca="false">IF($E1365="","",ROW()-3)</f>
        <v/>
      </c>
      <c r="B1365" s="110" t="str">
        <f aca="false">IF($E1365="","",INDEX(资金日记账!$B$4:$B$603,228))</f>
        <v/>
      </c>
      <c r="C1365" s="67" t="str">
        <f aca="false">IF($E1365="","",IF(INDEX(资金日记账!$W$4:$W$603,228)="","记-"&amp;TEXT($B1365,"YYYYMM")&amp;"-资金",INDEX(资金日记账!$W$4:$W$603,228)))</f>
        <v/>
      </c>
      <c r="D1365" s="107" t="str">
        <f aca="false">IF($E1365="","",INDEX(资金日记账!$D$4:$D$603,228))</f>
        <v/>
      </c>
      <c r="E1365" s="67" t="str">
        <f aca="false">IF(INDEX(资金日记账!$N$4:$S$603,228,4)=0,"",INDEX(资金日记账!$N$4:$S$603,228,4))</f>
        <v/>
      </c>
      <c r="F1365" s="99" t="str">
        <f aca="false">IF($E1365="","",IFERROR(INDEX(科目表!$A$4:$A$81,MATCH($E1365,科目表!$B$4:$B$81,0)),""))</f>
        <v/>
      </c>
      <c r="G1365" s="67" t="str">
        <f aca="false">IF($E1365="","",IFERROR(INDEX(科目表!$E$4:$E$81,MATCH($E1365,科目表!$B$4:$B$81,0)),""))</f>
        <v/>
      </c>
      <c r="H1365" s="70" t="str">
        <f aca="false">IF($E1365="","",N(INDEX(资金日记账!$N$4:$S$603,228,5)))</f>
        <v/>
      </c>
      <c r="I1365" s="70" t="str">
        <f aca="false">IF($E1365="","",N(INDEX(资金日记账!$N$4:$S$603,228,6)))</f>
        <v/>
      </c>
      <c r="J1365" s="67" t="str">
        <f aca="false">IF($E1365="","",INDEX(资金日记账!$E$4:$E$603,228))</f>
        <v/>
      </c>
      <c r="K1365" s="67" t="str">
        <f aca="false">IF($E1365="","",INDEX(资金日记账!$F$4:$F$603,228))</f>
        <v/>
      </c>
      <c r="L1365" s="107" t="str">
        <f aca="false">IF($E1365="","",INDEX(资金日记账!$X$4:$X$603,228))</f>
        <v/>
      </c>
      <c r="M1365" s="107"/>
      <c r="N1365" s="67" t="str">
        <f aca="false">IF($E1365="","",INDEX(资金日记账!$Y$4:$Y$603,228))</f>
        <v/>
      </c>
      <c r="O1365" s="67" t="str">
        <f aca="false">IF($E1365="","","自动B")</f>
        <v/>
      </c>
      <c r="P1365" s="18"/>
    </row>
    <row r="1366" customFormat="false" ht="18" hidden="false" customHeight="true" outlineLevel="0" collapsed="false">
      <c r="A1366" s="107" t="str">
        <f aca="false">IF($E1366="","",ROW()-3)</f>
        <v/>
      </c>
      <c r="B1366" s="110" t="str">
        <f aca="false">IF($E1366="","",INDEX(资金日记账!$B$4:$B$603,229))</f>
        <v/>
      </c>
      <c r="C1366" s="67" t="str">
        <f aca="false">IF($E1366="","",IF(INDEX(资金日记账!$W$4:$W$603,229)="","记-"&amp;TEXT($B1366,"YYYYMM")&amp;"-资金",INDEX(资金日记账!$W$4:$W$603,229)))</f>
        <v/>
      </c>
      <c r="D1366" s="107" t="str">
        <f aca="false">IF($E1366="","",INDEX(资金日记账!$D$4:$D$603,229))</f>
        <v/>
      </c>
      <c r="E1366" s="67" t="str">
        <f aca="false">IF(INDEX(资金日记账!$N$4:$S$603,229,1)=0,"",INDEX(资金日记账!$N$4:$S$603,229,1))</f>
        <v/>
      </c>
      <c r="F1366" s="99" t="str">
        <f aca="false">IF($E1366="","",IFERROR(INDEX(科目表!$A$4:$A$81,MATCH($E1366,科目表!$B$4:$B$81,0)),""))</f>
        <v/>
      </c>
      <c r="G1366" s="67" t="str">
        <f aca="false">IF($E1366="","",IFERROR(INDEX(科目表!$E$4:$E$81,MATCH($E1366,科目表!$B$4:$B$81,0)),""))</f>
        <v/>
      </c>
      <c r="H1366" s="70" t="str">
        <f aca="false">IF($E1366="","",N(INDEX(资金日记账!$N$4:$S$603,229,2)))</f>
        <v/>
      </c>
      <c r="I1366" s="70" t="str">
        <f aca="false">IF($E1366="","",N(INDEX(资金日记账!$N$4:$S$603,229,3)))</f>
        <v/>
      </c>
      <c r="J1366" s="67" t="str">
        <f aca="false">IF($E1366="","",INDEX(资金日记账!$E$4:$E$603,229))</f>
        <v/>
      </c>
      <c r="K1366" s="67" t="str">
        <f aca="false">IF($E1366="","",INDEX(资金日记账!$F$4:$F$603,229))</f>
        <v/>
      </c>
      <c r="L1366" s="107" t="str">
        <f aca="false">IF($E1366="","",INDEX(资金日记账!$X$4:$X$603,229))</f>
        <v/>
      </c>
      <c r="M1366" s="107"/>
      <c r="N1366" s="67" t="str">
        <f aca="false">IF($E1366="","",INDEX(资金日记账!$Y$4:$Y$603,229))</f>
        <v/>
      </c>
      <c r="O1366" s="67" t="str">
        <f aca="false">IF($E1366="","","自动B")</f>
        <v/>
      </c>
      <c r="P1366" s="18"/>
    </row>
    <row r="1367" customFormat="false" ht="18" hidden="false" customHeight="true" outlineLevel="0" collapsed="false">
      <c r="A1367" s="107" t="str">
        <f aca="false">IF($E1367="","",ROW()-3)</f>
        <v/>
      </c>
      <c r="B1367" s="110" t="str">
        <f aca="false">IF($E1367="","",INDEX(资金日记账!$B$4:$B$603,229))</f>
        <v/>
      </c>
      <c r="C1367" s="67" t="str">
        <f aca="false">IF($E1367="","",IF(INDEX(资金日记账!$W$4:$W$603,229)="","记-"&amp;TEXT($B1367,"YYYYMM")&amp;"-资金",INDEX(资金日记账!$W$4:$W$603,229)))</f>
        <v/>
      </c>
      <c r="D1367" s="107" t="str">
        <f aca="false">IF($E1367="","",INDEX(资金日记账!$D$4:$D$603,229))</f>
        <v/>
      </c>
      <c r="E1367" s="67" t="str">
        <f aca="false">IF(INDEX(资金日记账!$N$4:$S$603,229,4)=0,"",INDEX(资金日记账!$N$4:$S$603,229,4))</f>
        <v/>
      </c>
      <c r="F1367" s="99" t="str">
        <f aca="false">IF($E1367="","",IFERROR(INDEX(科目表!$A$4:$A$81,MATCH($E1367,科目表!$B$4:$B$81,0)),""))</f>
        <v/>
      </c>
      <c r="G1367" s="67" t="str">
        <f aca="false">IF($E1367="","",IFERROR(INDEX(科目表!$E$4:$E$81,MATCH($E1367,科目表!$B$4:$B$81,0)),""))</f>
        <v/>
      </c>
      <c r="H1367" s="70" t="str">
        <f aca="false">IF($E1367="","",N(INDEX(资金日记账!$N$4:$S$603,229,5)))</f>
        <v/>
      </c>
      <c r="I1367" s="70" t="str">
        <f aca="false">IF($E1367="","",N(INDEX(资金日记账!$N$4:$S$603,229,6)))</f>
        <v/>
      </c>
      <c r="J1367" s="67" t="str">
        <f aca="false">IF($E1367="","",INDEX(资金日记账!$E$4:$E$603,229))</f>
        <v/>
      </c>
      <c r="K1367" s="67" t="str">
        <f aca="false">IF($E1367="","",INDEX(资金日记账!$F$4:$F$603,229))</f>
        <v/>
      </c>
      <c r="L1367" s="107" t="str">
        <f aca="false">IF($E1367="","",INDEX(资金日记账!$X$4:$X$603,229))</f>
        <v/>
      </c>
      <c r="M1367" s="107"/>
      <c r="N1367" s="67" t="str">
        <f aca="false">IF($E1367="","",INDEX(资金日记账!$Y$4:$Y$603,229))</f>
        <v/>
      </c>
      <c r="O1367" s="67" t="str">
        <f aca="false">IF($E1367="","","自动B")</f>
        <v/>
      </c>
      <c r="P1367" s="18"/>
    </row>
    <row r="1368" customFormat="false" ht="18" hidden="false" customHeight="true" outlineLevel="0" collapsed="false">
      <c r="A1368" s="107" t="str">
        <f aca="false">IF($E1368="","",ROW()-3)</f>
        <v/>
      </c>
      <c r="B1368" s="110" t="str">
        <f aca="false">IF($E1368="","",INDEX(资金日记账!$B$4:$B$603,230))</f>
        <v/>
      </c>
      <c r="C1368" s="67" t="str">
        <f aca="false">IF($E1368="","",IF(INDEX(资金日记账!$W$4:$W$603,230)="","记-"&amp;TEXT($B1368,"YYYYMM")&amp;"-资金",INDEX(资金日记账!$W$4:$W$603,230)))</f>
        <v/>
      </c>
      <c r="D1368" s="107" t="str">
        <f aca="false">IF($E1368="","",INDEX(资金日记账!$D$4:$D$603,230))</f>
        <v/>
      </c>
      <c r="E1368" s="67" t="str">
        <f aca="false">IF(INDEX(资金日记账!$N$4:$S$603,230,1)=0,"",INDEX(资金日记账!$N$4:$S$603,230,1))</f>
        <v/>
      </c>
      <c r="F1368" s="99" t="str">
        <f aca="false">IF($E1368="","",IFERROR(INDEX(科目表!$A$4:$A$81,MATCH($E1368,科目表!$B$4:$B$81,0)),""))</f>
        <v/>
      </c>
      <c r="G1368" s="67" t="str">
        <f aca="false">IF($E1368="","",IFERROR(INDEX(科目表!$E$4:$E$81,MATCH($E1368,科目表!$B$4:$B$81,0)),""))</f>
        <v/>
      </c>
      <c r="H1368" s="70" t="str">
        <f aca="false">IF($E1368="","",N(INDEX(资金日记账!$N$4:$S$603,230,2)))</f>
        <v/>
      </c>
      <c r="I1368" s="70" t="str">
        <f aca="false">IF($E1368="","",N(INDEX(资金日记账!$N$4:$S$603,230,3)))</f>
        <v/>
      </c>
      <c r="J1368" s="67" t="str">
        <f aca="false">IF($E1368="","",INDEX(资金日记账!$E$4:$E$603,230))</f>
        <v/>
      </c>
      <c r="K1368" s="67" t="str">
        <f aca="false">IF($E1368="","",INDEX(资金日记账!$F$4:$F$603,230))</f>
        <v/>
      </c>
      <c r="L1368" s="107" t="str">
        <f aca="false">IF($E1368="","",INDEX(资金日记账!$X$4:$X$603,230))</f>
        <v/>
      </c>
      <c r="M1368" s="107"/>
      <c r="N1368" s="67" t="str">
        <f aca="false">IF($E1368="","",INDEX(资金日记账!$Y$4:$Y$603,230))</f>
        <v/>
      </c>
      <c r="O1368" s="67" t="str">
        <f aca="false">IF($E1368="","","自动B")</f>
        <v/>
      </c>
      <c r="P1368" s="18"/>
    </row>
    <row r="1369" customFormat="false" ht="18" hidden="false" customHeight="true" outlineLevel="0" collapsed="false">
      <c r="A1369" s="107" t="str">
        <f aca="false">IF($E1369="","",ROW()-3)</f>
        <v/>
      </c>
      <c r="B1369" s="110" t="str">
        <f aca="false">IF($E1369="","",INDEX(资金日记账!$B$4:$B$603,230))</f>
        <v/>
      </c>
      <c r="C1369" s="67" t="str">
        <f aca="false">IF($E1369="","",IF(INDEX(资金日记账!$W$4:$W$603,230)="","记-"&amp;TEXT($B1369,"YYYYMM")&amp;"-资金",INDEX(资金日记账!$W$4:$W$603,230)))</f>
        <v/>
      </c>
      <c r="D1369" s="107" t="str">
        <f aca="false">IF($E1369="","",INDEX(资金日记账!$D$4:$D$603,230))</f>
        <v/>
      </c>
      <c r="E1369" s="67" t="str">
        <f aca="false">IF(INDEX(资金日记账!$N$4:$S$603,230,4)=0,"",INDEX(资金日记账!$N$4:$S$603,230,4))</f>
        <v/>
      </c>
      <c r="F1369" s="99" t="str">
        <f aca="false">IF($E1369="","",IFERROR(INDEX(科目表!$A$4:$A$81,MATCH($E1369,科目表!$B$4:$B$81,0)),""))</f>
        <v/>
      </c>
      <c r="G1369" s="67" t="str">
        <f aca="false">IF($E1369="","",IFERROR(INDEX(科目表!$E$4:$E$81,MATCH($E1369,科目表!$B$4:$B$81,0)),""))</f>
        <v/>
      </c>
      <c r="H1369" s="70" t="str">
        <f aca="false">IF($E1369="","",N(INDEX(资金日记账!$N$4:$S$603,230,5)))</f>
        <v/>
      </c>
      <c r="I1369" s="70" t="str">
        <f aca="false">IF($E1369="","",N(INDEX(资金日记账!$N$4:$S$603,230,6)))</f>
        <v/>
      </c>
      <c r="J1369" s="67" t="str">
        <f aca="false">IF($E1369="","",INDEX(资金日记账!$E$4:$E$603,230))</f>
        <v/>
      </c>
      <c r="K1369" s="67" t="str">
        <f aca="false">IF($E1369="","",INDEX(资金日记账!$F$4:$F$603,230))</f>
        <v/>
      </c>
      <c r="L1369" s="107" t="str">
        <f aca="false">IF($E1369="","",INDEX(资金日记账!$X$4:$X$603,230))</f>
        <v/>
      </c>
      <c r="M1369" s="107"/>
      <c r="N1369" s="67" t="str">
        <f aca="false">IF($E1369="","",INDEX(资金日记账!$Y$4:$Y$603,230))</f>
        <v/>
      </c>
      <c r="O1369" s="67" t="str">
        <f aca="false">IF($E1369="","","自动B")</f>
        <v/>
      </c>
      <c r="P1369" s="18"/>
    </row>
    <row r="1370" customFormat="false" ht="18" hidden="false" customHeight="true" outlineLevel="0" collapsed="false">
      <c r="A1370" s="107" t="str">
        <f aca="false">IF($E1370="","",ROW()-3)</f>
        <v/>
      </c>
      <c r="B1370" s="110" t="str">
        <f aca="false">IF($E1370="","",INDEX(资金日记账!$B$4:$B$603,231))</f>
        <v/>
      </c>
      <c r="C1370" s="67" t="str">
        <f aca="false">IF($E1370="","",IF(INDEX(资金日记账!$W$4:$W$603,231)="","记-"&amp;TEXT($B1370,"YYYYMM")&amp;"-资金",INDEX(资金日记账!$W$4:$W$603,231)))</f>
        <v/>
      </c>
      <c r="D1370" s="107" t="str">
        <f aca="false">IF($E1370="","",INDEX(资金日记账!$D$4:$D$603,231))</f>
        <v/>
      </c>
      <c r="E1370" s="67" t="str">
        <f aca="false">IF(INDEX(资金日记账!$N$4:$S$603,231,1)=0,"",INDEX(资金日记账!$N$4:$S$603,231,1))</f>
        <v/>
      </c>
      <c r="F1370" s="99" t="str">
        <f aca="false">IF($E1370="","",IFERROR(INDEX(科目表!$A$4:$A$81,MATCH($E1370,科目表!$B$4:$B$81,0)),""))</f>
        <v/>
      </c>
      <c r="G1370" s="67" t="str">
        <f aca="false">IF($E1370="","",IFERROR(INDEX(科目表!$E$4:$E$81,MATCH($E1370,科目表!$B$4:$B$81,0)),""))</f>
        <v/>
      </c>
      <c r="H1370" s="70" t="str">
        <f aca="false">IF($E1370="","",N(INDEX(资金日记账!$N$4:$S$603,231,2)))</f>
        <v/>
      </c>
      <c r="I1370" s="70" t="str">
        <f aca="false">IF($E1370="","",N(INDEX(资金日记账!$N$4:$S$603,231,3)))</f>
        <v/>
      </c>
      <c r="J1370" s="67" t="str">
        <f aca="false">IF($E1370="","",INDEX(资金日记账!$E$4:$E$603,231))</f>
        <v/>
      </c>
      <c r="K1370" s="67" t="str">
        <f aca="false">IF($E1370="","",INDEX(资金日记账!$F$4:$F$603,231))</f>
        <v/>
      </c>
      <c r="L1370" s="107" t="str">
        <f aca="false">IF($E1370="","",INDEX(资金日记账!$X$4:$X$603,231))</f>
        <v/>
      </c>
      <c r="M1370" s="107"/>
      <c r="N1370" s="67" t="str">
        <f aca="false">IF($E1370="","",INDEX(资金日记账!$Y$4:$Y$603,231))</f>
        <v/>
      </c>
      <c r="O1370" s="67" t="str">
        <f aca="false">IF($E1370="","","自动B")</f>
        <v/>
      </c>
      <c r="P1370" s="18"/>
    </row>
    <row r="1371" customFormat="false" ht="18" hidden="false" customHeight="true" outlineLevel="0" collapsed="false">
      <c r="A1371" s="107" t="str">
        <f aca="false">IF($E1371="","",ROW()-3)</f>
        <v/>
      </c>
      <c r="B1371" s="110" t="str">
        <f aca="false">IF($E1371="","",INDEX(资金日记账!$B$4:$B$603,231))</f>
        <v/>
      </c>
      <c r="C1371" s="67" t="str">
        <f aca="false">IF($E1371="","",IF(INDEX(资金日记账!$W$4:$W$603,231)="","记-"&amp;TEXT($B1371,"YYYYMM")&amp;"-资金",INDEX(资金日记账!$W$4:$W$603,231)))</f>
        <v/>
      </c>
      <c r="D1371" s="107" t="str">
        <f aca="false">IF($E1371="","",INDEX(资金日记账!$D$4:$D$603,231))</f>
        <v/>
      </c>
      <c r="E1371" s="67" t="str">
        <f aca="false">IF(INDEX(资金日记账!$N$4:$S$603,231,4)=0,"",INDEX(资金日记账!$N$4:$S$603,231,4))</f>
        <v/>
      </c>
      <c r="F1371" s="99" t="str">
        <f aca="false">IF($E1371="","",IFERROR(INDEX(科目表!$A$4:$A$81,MATCH($E1371,科目表!$B$4:$B$81,0)),""))</f>
        <v/>
      </c>
      <c r="G1371" s="67" t="str">
        <f aca="false">IF($E1371="","",IFERROR(INDEX(科目表!$E$4:$E$81,MATCH($E1371,科目表!$B$4:$B$81,0)),""))</f>
        <v/>
      </c>
      <c r="H1371" s="70" t="str">
        <f aca="false">IF($E1371="","",N(INDEX(资金日记账!$N$4:$S$603,231,5)))</f>
        <v/>
      </c>
      <c r="I1371" s="70" t="str">
        <f aca="false">IF($E1371="","",N(INDEX(资金日记账!$N$4:$S$603,231,6)))</f>
        <v/>
      </c>
      <c r="J1371" s="67" t="str">
        <f aca="false">IF($E1371="","",INDEX(资金日记账!$E$4:$E$603,231))</f>
        <v/>
      </c>
      <c r="K1371" s="67" t="str">
        <f aca="false">IF($E1371="","",INDEX(资金日记账!$F$4:$F$603,231))</f>
        <v/>
      </c>
      <c r="L1371" s="107" t="str">
        <f aca="false">IF($E1371="","",INDEX(资金日记账!$X$4:$X$603,231))</f>
        <v/>
      </c>
      <c r="M1371" s="107"/>
      <c r="N1371" s="67" t="str">
        <f aca="false">IF($E1371="","",INDEX(资金日记账!$Y$4:$Y$603,231))</f>
        <v/>
      </c>
      <c r="O1371" s="67" t="str">
        <f aca="false">IF($E1371="","","自动B")</f>
        <v/>
      </c>
      <c r="P1371" s="18"/>
    </row>
    <row r="1372" customFormat="false" ht="18" hidden="false" customHeight="true" outlineLevel="0" collapsed="false">
      <c r="A1372" s="107" t="str">
        <f aca="false">IF($E1372="","",ROW()-3)</f>
        <v/>
      </c>
      <c r="B1372" s="110" t="str">
        <f aca="false">IF($E1372="","",INDEX(资金日记账!$B$4:$B$603,232))</f>
        <v/>
      </c>
      <c r="C1372" s="67" t="str">
        <f aca="false">IF($E1372="","",IF(INDEX(资金日记账!$W$4:$W$603,232)="","记-"&amp;TEXT($B1372,"YYYYMM")&amp;"-资金",INDEX(资金日记账!$W$4:$W$603,232)))</f>
        <v/>
      </c>
      <c r="D1372" s="107" t="str">
        <f aca="false">IF($E1372="","",INDEX(资金日记账!$D$4:$D$603,232))</f>
        <v/>
      </c>
      <c r="E1372" s="67" t="str">
        <f aca="false">IF(INDEX(资金日记账!$N$4:$S$603,232,1)=0,"",INDEX(资金日记账!$N$4:$S$603,232,1))</f>
        <v/>
      </c>
      <c r="F1372" s="99" t="str">
        <f aca="false">IF($E1372="","",IFERROR(INDEX(科目表!$A$4:$A$81,MATCH($E1372,科目表!$B$4:$B$81,0)),""))</f>
        <v/>
      </c>
      <c r="G1372" s="67" t="str">
        <f aca="false">IF($E1372="","",IFERROR(INDEX(科目表!$E$4:$E$81,MATCH($E1372,科目表!$B$4:$B$81,0)),""))</f>
        <v/>
      </c>
      <c r="H1372" s="70" t="str">
        <f aca="false">IF($E1372="","",N(INDEX(资金日记账!$N$4:$S$603,232,2)))</f>
        <v/>
      </c>
      <c r="I1372" s="70" t="str">
        <f aca="false">IF($E1372="","",N(INDEX(资金日记账!$N$4:$S$603,232,3)))</f>
        <v/>
      </c>
      <c r="J1372" s="67" t="str">
        <f aca="false">IF($E1372="","",INDEX(资金日记账!$E$4:$E$603,232))</f>
        <v/>
      </c>
      <c r="K1372" s="67" t="str">
        <f aca="false">IF($E1372="","",INDEX(资金日记账!$F$4:$F$603,232))</f>
        <v/>
      </c>
      <c r="L1372" s="107" t="str">
        <f aca="false">IF($E1372="","",INDEX(资金日记账!$X$4:$X$603,232))</f>
        <v/>
      </c>
      <c r="M1372" s="107"/>
      <c r="N1372" s="67" t="str">
        <f aca="false">IF($E1372="","",INDEX(资金日记账!$Y$4:$Y$603,232))</f>
        <v/>
      </c>
      <c r="O1372" s="67" t="str">
        <f aca="false">IF($E1372="","","自动B")</f>
        <v/>
      </c>
      <c r="P1372" s="18"/>
    </row>
    <row r="1373" customFormat="false" ht="18" hidden="false" customHeight="true" outlineLevel="0" collapsed="false">
      <c r="A1373" s="107" t="str">
        <f aca="false">IF($E1373="","",ROW()-3)</f>
        <v/>
      </c>
      <c r="B1373" s="110" t="str">
        <f aca="false">IF($E1373="","",INDEX(资金日记账!$B$4:$B$603,232))</f>
        <v/>
      </c>
      <c r="C1373" s="67" t="str">
        <f aca="false">IF($E1373="","",IF(INDEX(资金日记账!$W$4:$W$603,232)="","记-"&amp;TEXT($B1373,"YYYYMM")&amp;"-资金",INDEX(资金日记账!$W$4:$W$603,232)))</f>
        <v/>
      </c>
      <c r="D1373" s="107" t="str">
        <f aca="false">IF($E1373="","",INDEX(资金日记账!$D$4:$D$603,232))</f>
        <v/>
      </c>
      <c r="E1373" s="67" t="str">
        <f aca="false">IF(INDEX(资金日记账!$N$4:$S$603,232,4)=0,"",INDEX(资金日记账!$N$4:$S$603,232,4))</f>
        <v/>
      </c>
      <c r="F1373" s="99" t="str">
        <f aca="false">IF($E1373="","",IFERROR(INDEX(科目表!$A$4:$A$81,MATCH($E1373,科目表!$B$4:$B$81,0)),""))</f>
        <v/>
      </c>
      <c r="G1373" s="67" t="str">
        <f aca="false">IF($E1373="","",IFERROR(INDEX(科目表!$E$4:$E$81,MATCH($E1373,科目表!$B$4:$B$81,0)),""))</f>
        <v/>
      </c>
      <c r="H1373" s="70" t="str">
        <f aca="false">IF($E1373="","",N(INDEX(资金日记账!$N$4:$S$603,232,5)))</f>
        <v/>
      </c>
      <c r="I1373" s="70" t="str">
        <f aca="false">IF($E1373="","",N(INDEX(资金日记账!$N$4:$S$603,232,6)))</f>
        <v/>
      </c>
      <c r="J1373" s="67" t="str">
        <f aca="false">IF($E1373="","",INDEX(资金日记账!$E$4:$E$603,232))</f>
        <v/>
      </c>
      <c r="K1373" s="67" t="str">
        <f aca="false">IF($E1373="","",INDEX(资金日记账!$F$4:$F$603,232))</f>
        <v/>
      </c>
      <c r="L1373" s="107" t="str">
        <f aca="false">IF($E1373="","",INDEX(资金日记账!$X$4:$X$603,232))</f>
        <v/>
      </c>
      <c r="M1373" s="107"/>
      <c r="N1373" s="67" t="str">
        <f aca="false">IF($E1373="","",INDEX(资金日记账!$Y$4:$Y$603,232))</f>
        <v/>
      </c>
      <c r="O1373" s="67" t="str">
        <f aca="false">IF($E1373="","","自动B")</f>
        <v/>
      </c>
      <c r="P1373" s="18"/>
    </row>
    <row r="1374" customFormat="false" ht="18" hidden="false" customHeight="true" outlineLevel="0" collapsed="false">
      <c r="A1374" s="107" t="str">
        <f aca="false">IF($E1374="","",ROW()-3)</f>
        <v/>
      </c>
      <c r="B1374" s="110" t="str">
        <f aca="false">IF($E1374="","",INDEX(资金日记账!$B$4:$B$603,233))</f>
        <v/>
      </c>
      <c r="C1374" s="67" t="str">
        <f aca="false">IF($E1374="","",IF(INDEX(资金日记账!$W$4:$W$603,233)="","记-"&amp;TEXT($B1374,"YYYYMM")&amp;"-资金",INDEX(资金日记账!$W$4:$W$603,233)))</f>
        <v/>
      </c>
      <c r="D1374" s="107" t="str">
        <f aca="false">IF($E1374="","",INDEX(资金日记账!$D$4:$D$603,233))</f>
        <v/>
      </c>
      <c r="E1374" s="67" t="str">
        <f aca="false">IF(INDEX(资金日记账!$N$4:$S$603,233,1)=0,"",INDEX(资金日记账!$N$4:$S$603,233,1))</f>
        <v/>
      </c>
      <c r="F1374" s="99" t="str">
        <f aca="false">IF($E1374="","",IFERROR(INDEX(科目表!$A$4:$A$81,MATCH($E1374,科目表!$B$4:$B$81,0)),""))</f>
        <v/>
      </c>
      <c r="G1374" s="67" t="str">
        <f aca="false">IF($E1374="","",IFERROR(INDEX(科目表!$E$4:$E$81,MATCH($E1374,科目表!$B$4:$B$81,0)),""))</f>
        <v/>
      </c>
      <c r="H1374" s="70" t="str">
        <f aca="false">IF($E1374="","",N(INDEX(资金日记账!$N$4:$S$603,233,2)))</f>
        <v/>
      </c>
      <c r="I1374" s="70" t="str">
        <f aca="false">IF($E1374="","",N(INDEX(资金日记账!$N$4:$S$603,233,3)))</f>
        <v/>
      </c>
      <c r="J1374" s="67" t="str">
        <f aca="false">IF($E1374="","",INDEX(资金日记账!$E$4:$E$603,233))</f>
        <v/>
      </c>
      <c r="K1374" s="67" t="str">
        <f aca="false">IF($E1374="","",INDEX(资金日记账!$F$4:$F$603,233))</f>
        <v/>
      </c>
      <c r="L1374" s="107" t="str">
        <f aca="false">IF($E1374="","",INDEX(资金日记账!$X$4:$X$603,233))</f>
        <v/>
      </c>
      <c r="M1374" s="107"/>
      <c r="N1374" s="67" t="str">
        <f aca="false">IF($E1374="","",INDEX(资金日记账!$Y$4:$Y$603,233))</f>
        <v/>
      </c>
      <c r="O1374" s="67" t="str">
        <f aca="false">IF($E1374="","","自动B")</f>
        <v/>
      </c>
      <c r="P1374" s="18"/>
    </row>
    <row r="1375" customFormat="false" ht="18" hidden="false" customHeight="true" outlineLevel="0" collapsed="false">
      <c r="A1375" s="107" t="str">
        <f aca="false">IF($E1375="","",ROW()-3)</f>
        <v/>
      </c>
      <c r="B1375" s="110" t="str">
        <f aca="false">IF($E1375="","",INDEX(资金日记账!$B$4:$B$603,233))</f>
        <v/>
      </c>
      <c r="C1375" s="67" t="str">
        <f aca="false">IF($E1375="","",IF(INDEX(资金日记账!$W$4:$W$603,233)="","记-"&amp;TEXT($B1375,"YYYYMM")&amp;"-资金",INDEX(资金日记账!$W$4:$W$603,233)))</f>
        <v/>
      </c>
      <c r="D1375" s="107" t="str">
        <f aca="false">IF($E1375="","",INDEX(资金日记账!$D$4:$D$603,233))</f>
        <v/>
      </c>
      <c r="E1375" s="67" t="str">
        <f aca="false">IF(INDEX(资金日记账!$N$4:$S$603,233,4)=0,"",INDEX(资金日记账!$N$4:$S$603,233,4))</f>
        <v/>
      </c>
      <c r="F1375" s="99" t="str">
        <f aca="false">IF($E1375="","",IFERROR(INDEX(科目表!$A$4:$A$81,MATCH($E1375,科目表!$B$4:$B$81,0)),""))</f>
        <v/>
      </c>
      <c r="G1375" s="67" t="str">
        <f aca="false">IF($E1375="","",IFERROR(INDEX(科目表!$E$4:$E$81,MATCH($E1375,科目表!$B$4:$B$81,0)),""))</f>
        <v/>
      </c>
      <c r="H1375" s="70" t="str">
        <f aca="false">IF($E1375="","",N(INDEX(资金日记账!$N$4:$S$603,233,5)))</f>
        <v/>
      </c>
      <c r="I1375" s="70" t="str">
        <f aca="false">IF($E1375="","",N(INDEX(资金日记账!$N$4:$S$603,233,6)))</f>
        <v/>
      </c>
      <c r="J1375" s="67" t="str">
        <f aca="false">IF($E1375="","",INDEX(资金日记账!$E$4:$E$603,233))</f>
        <v/>
      </c>
      <c r="K1375" s="67" t="str">
        <f aca="false">IF($E1375="","",INDEX(资金日记账!$F$4:$F$603,233))</f>
        <v/>
      </c>
      <c r="L1375" s="107" t="str">
        <f aca="false">IF($E1375="","",INDEX(资金日记账!$X$4:$X$603,233))</f>
        <v/>
      </c>
      <c r="M1375" s="107"/>
      <c r="N1375" s="67" t="str">
        <f aca="false">IF($E1375="","",INDEX(资金日记账!$Y$4:$Y$603,233))</f>
        <v/>
      </c>
      <c r="O1375" s="67" t="str">
        <f aca="false">IF($E1375="","","自动B")</f>
        <v/>
      </c>
      <c r="P1375" s="18"/>
    </row>
    <row r="1376" customFormat="false" ht="18" hidden="false" customHeight="true" outlineLevel="0" collapsed="false">
      <c r="A1376" s="107" t="str">
        <f aca="false">IF($E1376="","",ROW()-3)</f>
        <v/>
      </c>
      <c r="B1376" s="110" t="str">
        <f aca="false">IF($E1376="","",INDEX(资金日记账!$B$4:$B$603,234))</f>
        <v/>
      </c>
      <c r="C1376" s="67" t="str">
        <f aca="false">IF($E1376="","",IF(INDEX(资金日记账!$W$4:$W$603,234)="","记-"&amp;TEXT($B1376,"YYYYMM")&amp;"-资金",INDEX(资金日记账!$W$4:$W$603,234)))</f>
        <v/>
      </c>
      <c r="D1376" s="107" t="str">
        <f aca="false">IF($E1376="","",INDEX(资金日记账!$D$4:$D$603,234))</f>
        <v/>
      </c>
      <c r="E1376" s="67" t="str">
        <f aca="false">IF(INDEX(资金日记账!$N$4:$S$603,234,1)=0,"",INDEX(资金日记账!$N$4:$S$603,234,1))</f>
        <v/>
      </c>
      <c r="F1376" s="99" t="str">
        <f aca="false">IF($E1376="","",IFERROR(INDEX(科目表!$A$4:$A$81,MATCH($E1376,科目表!$B$4:$B$81,0)),""))</f>
        <v/>
      </c>
      <c r="G1376" s="67" t="str">
        <f aca="false">IF($E1376="","",IFERROR(INDEX(科目表!$E$4:$E$81,MATCH($E1376,科目表!$B$4:$B$81,0)),""))</f>
        <v/>
      </c>
      <c r="H1376" s="70" t="str">
        <f aca="false">IF($E1376="","",N(INDEX(资金日记账!$N$4:$S$603,234,2)))</f>
        <v/>
      </c>
      <c r="I1376" s="70" t="str">
        <f aca="false">IF($E1376="","",N(INDEX(资金日记账!$N$4:$S$603,234,3)))</f>
        <v/>
      </c>
      <c r="J1376" s="67" t="str">
        <f aca="false">IF($E1376="","",INDEX(资金日记账!$E$4:$E$603,234))</f>
        <v/>
      </c>
      <c r="K1376" s="67" t="str">
        <f aca="false">IF($E1376="","",INDEX(资金日记账!$F$4:$F$603,234))</f>
        <v/>
      </c>
      <c r="L1376" s="107" t="str">
        <f aca="false">IF($E1376="","",INDEX(资金日记账!$X$4:$X$603,234))</f>
        <v/>
      </c>
      <c r="M1376" s="107"/>
      <c r="N1376" s="67" t="str">
        <f aca="false">IF($E1376="","",INDEX(资金日记账!$Y$4:$Y$603,234))</f>
        <v/>
      </c>
      <c r="O1376" s="67" t="str">
        <f aca="false">IF($E1376="","","自动B")</f>
        <v/>
      </c>
      <c r="P1376" s="18"/>
    </row>
    <row r="1377" customFormat="false" ht="18" hidden="false" customHeight="true" outlineLevel="0" collapsed="false">
      <c r="A1377" s="107" t="str">
        <f aca="false">IF($E1377="","",ROW()-3)</f>
        <v/>
      </c>
      <c r="B1377" s="110" t="str">
        <f aca="false">IF($E1377="","",INDEX(资金日记账!$B$4:$B$603,234))</f>
        <v/>
      </c>
      <c r="C1377" s="67" t="str">
        <f aca="false">IF($E1377="","",IF(INDEX(资金日记账!$W$4:$W$603,234)="","记-"&amp;TEXT($B1377,"YYYYMM")&amp;"-资金",INDEX(资金日记账!$W$4:$W$603,234)))</f>
        <v/>
      </c>
      <c r="D1377" s="107" t="str">
        <f aca="false">IF($E1377="","",INDEX(资金日记账!$D$4:$D$603,234))</f>
        <v/>
      </c>
      <c r="E1377" s="67" t="str">
        <f aca="false">IF(INDEX(资金日记账!$N$4:$S$603,234,4)=0,"",INDEX(资金日记账!$N$4:$S$603,234,4))</f>
        <v/>
      </c>
      <c r="F1377" s="99" t="str">
        <f aca="false">IF($E1377="","",IFERROR(INDEX(科目表!$A$4:$A$81,MATCH($E1377,科目表!$B$4:$B$81,0)),""))</f>
        <v/>
      </c>
      <c r="G1377" s="67" t="str">
        <f aca="false">IF($E1377="","",IFERROR(INDEX(科目表!$E$4:$E$81,MATCH($E1377,科目表!$B$4:$B$81,0)),""))</f>
        <v/>
      </c>
      <c r="H1377" s="70" t="str">
        <f aca="false">IF($E1377="","",N(INDEX(资金日记账!$N$4:$S$603,234,5)))</f>
        <v/>
      </c>
      <c r="I1377" s="70" t="str">
        <f aca="false">IF($E1377="","",N(INDEX(资金日记账!$N$4:$S$603,234,6)))</f>
        <v/>
      </c>
      <c r="J1377" s="67" t="str">
        <f aca="false">IF($E1377="","",INDEX(资金日记账!$E$4:$E$603,234))</f>
        <v/>
      </c>
      <c r="K1377" s="67" t="str">
        <f aca="false">IF($E1377="","",INDEX(资金日记账!$F$4:$F$603,234))</f>
        <v/>
      </c>
      <c r="L1377" s="107" t="str">
        <f aca="false">IF($E1377="","",INDEX(资金日记账!$X$4:$X$603,234))</f>
        <v/>
      </c>
      <c r="M1377" s="107"/>
      <c r="N1377" s="67" t="str">
        <f aca="false">IF($E1377="","",INDEX(资金日记账!$Y$4:$Y$603,234))</f>
        <v/>
      </c>
      <c r="O1377" s="67" t="str">
        <f aca="false">IF($E1377="","","自动B")</f>
        <v/>
      </c>
      <c r="P1377" s="18"/>
    </row>
    <row r="1378" customFormat="false" ht="18" hidden="false" customHeight="true" outlineLevel="0" collapsed="false">
      <c r="A1378" s="107" t="str">
        <f aca="false">IF($E1378="","",ROW()-3)</f>
        <v/>
      </c>
      <c r="B1378" s="110" t="str">
        <f aca="false">IF($E1378="","",INDEX(资金日记账!$B$4:$B$603,235))</f>
        <v/>
      </c>
      <c r="C1378" s="67" t="str">
        <f aca="false">IF($E1378="","",IF(INDEX(资金日记账!$W$4:$W$603,235)="","记-"&amp;TEXT($B1378,"YYYYMM")&amp;"-资金",INDEX(资金日记账!$W$4:$W$603,235)))</f>
        <v/>
      </c>
      <c r="D1378" s="107" t="str">
        <f aca="false">IF($E1378="","",INDEX(资金日记账!$D$4:$D$603,235))</f>
        <v/>
      </c>
      <c r="E1378" s="67" t="str">
        <f aca="false">IF(INDEX(资金日记账!$N$4:$S$603,235,1)=0,"",INDEX(资金日记账!$N$4:$S$603,235,1))</f>
        <v/>
      </c>
      <c r="F1378" s="99" t="str">
        <f aca="false">IF($E1378="","",IFERROR(INDEX(科目表!$A$4:$A$81,MATCH($E1378,科目表!$B$4:$B$81,0)),""))</f>
        <v/>
      </c>
      <c r="G1378" s="67" t="str">
        <f aca="false">IF($E1378="","",IFERROR(INDEX(科目表!$E$4:$E$81,MATCH($E1378,科目表!$B$4:$B$81,0)),""))</f>
        <v/>
      </c>
      <c r="H1378" s="70" t="str">
        <f aca="false">IF($E1378="","",N(INDEX(资金日记账!$N$4:$S$603,235,2)))</f>
        <v/>
      </c>
      <c r="I1378" s="70" t="str">
        <f aca="false">IF($E1378="","",N(INDEX(资金日记账!$N$4:$S$603,235,3)))</f>
        <v/>
      </c>
      <c r="J1378" s="67" t="str">
        <f aca="false">IF($E1378="","",INDEX(资金日记账!$E$4:$E$603,235))</f>
        <v/>
      </c>
      <c r="K1378" s="67" t="str">
        <f aca="false">IF($E1378="","",INDEX(资金日记账!$F$4:$F$603,235))</f>
        <v/>
      </c>
      <c r="L1378" s="107" t="str">
        <f aca="false">IF($E1378="","",INDEX(资金日记账!$X$4:$X$603,235))</f>
        <v/>
      </c>
      <c r="M1378" s="107"/>
      <c r="N1378" s="67" t="str">
        <f aca="false">IF($E1378="","",INDEX(资金日记账!$Y$4:$Y$603,235))</f>
        <v/>
      </c>
      <c r="O1378" s="67" t="str">
        <f aca="false">IF($E1378="","","自动B")</f>
        <v/>
      </c>
      <c r="P1378" s="18"/>
    </row>
    <row r="1379" customFormat="false" ht="18" hidden="false" customHeight="true" outlineLevel="0" collapsed="false">
      <c r="A1379" s="107" t="str">
        <f aca="false">IF($E1379="","",ROW()-3)</f>
        <v/>
      </c>
      <c r="B1379" s="110" t="str">
        <f aca="false">IF($E1379="","",INDEX(资金日记账!$B$4:$B$603,235))</f>
        <v/>
      </c>
      <c r="C1379" s="67" t="str">
        <f aca="false">IF($E1379="","",IF(INDEX(资金日记账!$W$4:$W$603,235)="","记-"&amp;TEXT($B1379,"YYYYMM")&amp;"-资金",INDEX(资金日记账!$W$4:$W$603,235)))</f>
        <v/>
      </c>
      <c r="D1379" s="107" t="str">
        <f aca="false">IF($E1379="","",INDEX(资金日记账!$D$4:$D$603,235))</f>
        <v/>
      </c>
      <c r="E1379" s="67" t="str">
        <f aca="false">IF(INDEX(资金日记账!$N$4:$S$603,235,4)=0,"",INDEX(资金日记账!$N$4:$S$603,235,4))</f>
        <v/>
      </c>
      <c r="F1379" s="99" t="str">
        <f aca="false">IF($E1379="","",IFERROR(INDEX(科目表!$A$4:$A$81,MATCH($E1379,科目表!$B$4:$B$81,0)),""))</f>
        <v/>
      </c>
      <c r="G1379" s="67" t="str">
        <f aca="false">IF($E1379="","",IFERROR(INDEX(科目表!$E$4:$E$81,MATCH($E1379,科目表!$B$4:$B$81,0)),""))</f>
        <v/>
      </c>
      <c r="H1379" s="70" t="str">
        <f aca="false">IF($E1379="","",N(INDEX(资金日记账!$N$4:$S$603,235,5)))</f>
        <v/>
      </c>
      <c r="I1379" s="70" t="str">
        <f aca="false">IF($E1379="","",N(INDEX(资金日记账!$N$4:$S$603,235,6)))</f>
        <v/>
      </c>
      <c r="J1379" s="67" t="str">
        <f aca="false">IF($E1379="","",INDEX(资金日记账!$E$4:$E$603,235))</f>
        <v/>
      </c>
      <c r="K1379" s="67" t="str">
        <f aca="false">IF($E1379="","",INDEX(资金日记账!$F$4:$F$603,235))</f>
        <v/>
      </c>
      <c r="L1379" s="107" t="str">
        <f aca="false">IF($E1379="","",INDEX(资金日记账!$X$4:$X$603,235))</f>
        <v/>
      </c>
      <c r="M1379" s="107"/>
      <c r="N1379" s="67" t="str">
        <f aca="false">IF($E1379="","",INDEX(资金日记账!$Y$4:$Y$603,235))</f>
        <v/>
      </c>
      <c r="O1379" s="67" t="str">
        <f aca="false">IF($E1379="","","自动B")</f>
        <v/>
      </c>
      <c r="P1379" s="18"/>
    </row>
    <row r="1380" customFormat="false" ht="18" hidden="false" customHeight="true" outlineLevel="0" collapsed="false">
      <c r="A1380" s="107" t="str">
        <f aca="false">IF($E1380="","",ROW()-3)</f>
        <v/>
      </c>
      <c r="B1380" s="110" t="str">
        <f aca="false">IF($E1380="","",INDEX(资金日记账!$B$4:$B$603,236))</f>
        <v/>
      </c>
      <c r="C1380" s="67" t="str">
        <f aca="false">IF($E1380="","",IF(INDEX(资金日记账!$W$4:$W$603,236)="","记-"&amp;TEXT($B1380,"YYYYMM")&amp;"-资金",INDEX(资金日记账!$W$4:$W$603,236)))</f>
        <v/>
      </c>
      <c r="D1380" s="107" t="str">
        <f aca="false">IF($E1380="","",INDEX(资金日记账!$D$4:$D$603,236))</f>
        <v/>
      </c>
      <c r="E1380" s="67" t="str">
        <f aca="false">IF(INDEX(资金日记账!$N$4:$S$603,236,1)=0,"",INDEX(资金日记账!$N$4:$S$603,236,1))</f>
        <v/>
      </c>
      <c r="F1380" s="99" t="str">
        <f aca="false">IF($E1380="","",IFERROR(INDEX(科目表!$A$4:$A$81,MATCH($E1380,科目表!$B$4:$B$81,0)),""))</f>
        <v/>
      </c>
      <c r="G1380" s="67" t="str">
        <f aca="false">IF($E1380="","",IFERROR(INDEX(科目表!$E$4:$E$81,MATCH($E1380,科目表!$B$4:$B$81,0)),""))</f>
        <v/>
      </c>
      <c r="H1380" s="70" t="str">
        <f aca="false">IF($E1380="","",N(INDEX(资金日记账!$N$4:$S$603,236,2)))</f>
        <v/>
      </c>
      <c r="I1380" s="70" t="str">
        <f aca="false">IF($E1380="","",N(INDEX(资金日记账!$N$4:$S$603,236,3)))</f>
        <v/>
      </c>
      <c r="J1380" s="67" t="str">
        <f aca="false">IF($E1380="","",INDEX(资金日记账!$E$4:$E$603,236))</f>
        <v/>
      </c>
      <c r="K1380" s="67" t="str">
        <f aca="false">IF($E1380="","",INDEX(资金日记账!$F$4:$F$603,236))</f>
        <v/>
      </c>
      <c r="L1380" s="107" t="str">
        <f aca="false">IF($E1380="","",INDEX(资金日记账!$X$4:$X$603,236))</f>
        <v/>
      </c>
      <c r="M1380" s="107"/>
      <c r="N1380" s="67" t="str">
        <f aca="false">IF($E1380="","",INDEX(资金日记账!$Y$4:$Y$603,236))</f>
        <v/>
      </c>
      <c r="O1380" s="67" t="str">
        <f aca="false">IF($E1380="","","自动B")</f>
        <v/>
      </c>
      <c r="P1380" s="18"/>
    </row>
    <row r="1381" customFormat="false" ht="18" hidden="false" customHeight="true" outlineLevel="0" collapsed="false">
      <c r="A1381" s="107" t="str">
        <f aca="false">IF($E1381="","",ROW()-3)</f>
        <v/>
      </c>
      <c r="B1381" s="110" t="str">
        <f aca="false">IF($E1381="","",INDEX(资金日记账!$B$4:$B$603,236))</f>
        <v/>
      </c>
      <c r="C1381" s="67" t="str">
        <f aca="false">IF($E1381="","",IF(INDEX(资金日记账!$W$4:$W$603,236)="","记-"&amp;TEXT($B1381,"YYYYMM")&amp;"-资金",INDEX(资金日记账!$W$4:$W$603,236)))</f>
        <v/>
      </c>
      <c r="D1381" s="107" t="str">
        <f aca="false">IF($E1381="","",INDEX(资金日记账!$D$4:$D$603,236))</f>
        <v/>
      </c>
      <c r="E1381" s="67" t="str">
        <f aca="false">IF(INDEX(资金日记账!$N$4:$S$603,236,4)=0,"",INDEX(资金日记账!$N$4:$S$603,236,4))</f>
        <v/>
      </c>
      <c r="F1381" s="99" t="str">
        <f aca="false">IF($E1381="","",IFERROR(INDEX(科目表!$A$4:$A$81,MATCH($E1381,科目表!$B$4:$B$81,0)),""))</f>
        <v/>
      </c>
      <c r="G1381" s="67" t="str">
        <f aca="false">IF($E1381="","",IFERROR(INDEX(科目表!$E$4:$E$81,MATCH($E1381,科目表!$B$4:$B$81,0)),""))</f>
        <v/>
      </c>
      <c r="H1381" s="70" t="str">
        <f aca="false">IF($E1381="","",N(INDEX(资金日记账!$N$4:$S$603,236,5)))</f>
        <v/>
      </c>
      <c r="I1381" s="70" t="str">
        <f aca="false">IF($E1381="","",N(INDEX(资金日记账!$N$4:$S$603,236,6)))</f>
        <v/>
      </c>
      <c r="J1381" s="67" t="str">
        <f aca="false">IF($E1381="","",INDEX(资金日记账!$E$4:$E$603,236))</f>
        <v/>
      </c>
      <c r="K1381" s="67" t="str">
        <f aca="false">IF($E1381="","",INDEX(资金日记账!$F$4:$F$603,236))</f>
        <v/>
      </c>
      <c r="L1381" s="107" t="str">
        <f aca="false">IF($E1381="","",INDEX(资金日记账!$X$4:$X$603,236))</f>
        <v/>
      </c>
      <c r="M1381" s="107"/>
      <c r="N1381" s="67" t="str">
        <f aca="false">IF($E1381="","",INDEX(资金日记账!$Y$4:$Y$603,236))</f>
        <v/>
      </c>
      <c r="O1381" s="67" t="str">
        <f aca="false">IF($E1381="","","自动B")</f>
        <v/>
      </c>
      <c r="P1381" s="18"/>
    </row>
    <row r="1382" customFormat="false" ht="18" hidden="false" customHeight="true" outlineLevel="0" collapsed="false">
      <c r="A1382" s="107" t="str">
        <f aca="false">IF($E1382="","",ROW()-3)</f>
        <v/>
      </c>
      <c r="B1382" s="110" t="str">
        <f aca="false">IF($E1382="","",INDEX(资金日记账!$B$4:$B$603,237))</f>
        <v/>
      </c>
      <c r="C1382" s="67" t="str">
        <f aca="false">IF($E1382="","",IF(INDEX(资金日记账!$W$4:$W$603,237)="","记-"&amp;TEXT($B1382,"YYYYMM")&amp;"-资金",INDEX(资金日记账!$W$4:$W$603,237)))</f>
        <v/>
      </c>
      <c r="D1382" s="107" t="str">
        <f aca="false">IF($E1382="","",INDEX(资金日记账!$D$4:$D$603,237))</f>
        <v/>
      </c>
      <c r="E1382" s="67" t="str">
        <f aca="false">IF(INDEX(资金日记账!$N$4:$S$603,237,1)=0,"",INDEX(资金日记账!$N$4:$S$603,237,1))</f>
        <v/>
      </c>
      <c r="F1382" s="99" t="str">
        <f aca="false">IF($E1382="","",IFERROR(INDEX(科目表!$A$4:$A$81,MATCH($E1382,科目表!$B$4:$B$81,0)),""))</f>
        <v/>
      </c>
      <c r="G1382" s="67" t="str">
        <f aca="false">IF($E1382="","",IFERROR(INDEX(科目表!$E$4:$E$81,MATCH($E1382,科目表!$B$4:$B$81,0)),""))</f>
        <v/>
      </c>
      <c r="H1382" s="70" t="str">
        <f aca="false">IF($E1382="","",N(INDEX(资金日记账!$N$4:$S$603,237,2)))</f>
        <v/>
      </c>
      <c r="I1382" s="70" t="str">
        <f aca="false">IF($E1382="","",N(INDEX(资金日记账!$N$4:$S$603,237,3)))</f>
        <v/>
      </c>
      <c r="J1382" s="67" t="str">
        <f aca="false">IF($E1382="","",INDEX(资金日记账!$E$4:$E$603,237))</f>
        <v/>
      </c>
      <c r="K1382" s="67" t="str">
        <f aca="false">IF($E1382="","",INDEX(资金日记账!$F$4:$F$603,237))</f>
        <v/>
      </c>
      <c r="L1382" s="107" t="str">
        <f aca="false">IF($E1382="","",INDEX(资金日记账!$X$4:$X$603,237))</f>
        <v/>
      </c>
      <c r="M1382" s="107"/>
      <c r="N1382" s="67" t="str">
        <f aca="false">IF($E1382="","",INDEX(资金日记账!$Y$4:$Y$603,237))</f>
        <v/>
      </c>
      <c r="O1382" s="67" t="str">
        <f aca="false">IF($E1382="","","自动B")</f>
        <v/>
      </c>
      <c r="P1382" s="18"/>
    </row>
    <row r="1383" customFormat="false" ht="18" hidden="false" customHeight="true" outlineLevel="0" collapsed="false">
      <c r="A1383" s="107" t="str">
        <f aca="false">IF($E1383="","",ROW()-3)</f>
        <v/>
      </c>
      <c r="B1383" s="110" t="str">
        <f aca="false">IF($E1383="","",INDEX(资金日记账!$B$4:$B$603,237))</f>
        <v/>
      </c>
      <c r="C1383" s="67" t="str">
        <f aca="false">IF($E1383="","",IF(INDEX(资金日记账!$W$4:$W$603,237)="","记-"&amp;TEXT($B1383,"YYYYMM")&amp;"-资金",INDEX(资金日记账!$W$4:$W$603,237)))</f>
        <v/>
      </c>
      <c r="D1383" s="107" t="str">
        <f aca="false">IF($E1383="","",INDEX(资金日记账!$D$4:$D$603,237))</f>
        <v/>
      </c>
      <c r="E1383" s="67" t="str">
        <f aca="false">IF(INDEX(资金日记账!$N$4:$S$603,237,4)=0,"",INDEX(资金日记账!$N$4:$S$603,237,4))</f>
        <v/>
      </c>
      <c r="F1383" s="99" t="str">
        <f aca="false">IF($E1383="","",IFERROR(INDEX(科目表!$A$4:$A$81,MATCH($E1383,科目表!$B$4:$B$81,0)),""))</f>
        <v/>
      </c>
      <c r="G1383" s="67" t="str">
        <f aca="false">IF($E1383="","",IFERROR(INDEX(科目表!$E$4:$E$81,MATCH($E1383,科目表!$B$4:$B$81,0)),""))</f>
        <v/>
      </c>
      <c r="H1383" s="70" t="str">
        <f aca="false">IF($E1383="","",N(INDEX(资金日记账!$N$4:$S$603,237,5)))</f>
        <v/>
      </c>
      <c r="I1383" s="70" t="str">
        <f aca="false">IF($E1383="","",N(INDEX(资金日记账!$N$4:$S$603,237,6)))</f>
        <v/>
      </c>
      <c r="J1383" s="67" t="str">
        <f aca="false">IF($E1383="","",INDEX(资金日记账!$E$4:$E$603,237))</f>
        <v/>
      </c>
      <c r="K1383" s="67" t="str">
        <f aca="false">IF($E1383="","",INDEX(资金日记账!$F$4:$F$603,237))</f>
        <v/>
      </c>
      <c r="L1383" s="107" t="str">
        <f aca="false">IF($E1383="","",INDEX(资金日记账!$X$4:$X$603,237))</f>
        <v/>
      </c>
      <c r="M1383" s="107"/>
      <c r="N1383" s="67" t="str">
        <f aca="false">IF($E1383="","",INDEX(资金日记账!$Y$4:$Y$603,237))</f>
        <v/>
      </c>
      <c r="O1383" s="67" t="str">
        <f aca="false">IF($E1383="","","自动B")</f>
        <v/>
      </c>
      <c r="P1383" s="18"/>
    </row>
    <row r="1384" customFormat="false" ht="18" hidden="false" customHeight="true" outlineLevel="0" collapsed="false">
      <c r="A1384" s="107" t="str">
        <f aca="false">IF($E1384="","",ROW()-3)</f>
        <v/>
      </c>
      <c r="B1384" s="110" t="str">
        <f aca="false">IF($E1384="","",INDEX(资金日记账!$B$4:$B$603,238))</f>
        <v/>
      </c>
      <c r="C1384" s="67" t="str">
        <f aca="false">IF($E1384="","",IF(INDEX(资金日记账!$W$4:$W$603,238)="","记-"&amp;TEXT($B1384,"YYYYMM")&amp;"-资金",INDEX(资金日记账!$W$4:$W$603,238)))</f>
        <v/>
      </c>
      <c r="D1384" s="107" t="str">
        <f aca="false">IF($E1384="","",INDEX(资金日记账!$D$4:$D$603,238))</f>
        <v/>
      </c>
      <c r="E1384" s="67" t="str">
        <f aca="false">IF(INDEX(资金日记账!$N$4:$S$603,238,1)=0,"",INDEX(资金日记账!$N$4:$S$603,238,1))</f>
        <v/>
      </c>
      <c r="F1384" s="99" t="str">
        <f aca="false">IF($E1384="","",IFERROR(INDEX(科目表!$A$4:$A$81,MATCH($E1384,科目表!$B$4:$B$81,0)),""))</f>
        <v/>
      </c>
      <c r="G1384" s="67" t="str">
        <f aca="false">IF($E1384="","",IFERROR(INDEX(科目表!$E$4:$E$81,MATCH($E1384,科目表!$B$4:$B$81,0)),""))</f>
        <v/>
      </c>
      <c r="H1384" s="70" t="str">
        <f aca="false">IF($E1384="","",N(INDEX(资金日记账!$N$4:$S$603,238,2)))</f>
        <v/>
      </c>
      <c r="I1384" s="70" t="str">
        <f aca="false">IF($E1384="","",N(INDEX(资金日记账!$N$4:$S$603,238,3)))</f>
        <v/>
      </c>
      <c r="J1384" s="67" t="str">
        <f aca="false">IF($E1384="","",INDEX(资金日记账!$E$4:$E$603,238))</f>
        <v/>
      </c>
      <c r="K1384" s="67" t="str">
        <f aca="false">IF($E1384="","",INDEX(资金日记账!$F$4:$F$603,238))</f>
        <v/>
      </c>
      <c r="L1384" s="107" t="str">
        <f aca="false">IF($E1384="","",INDEX(资金日记账!$X$4:$X$603,238))</f>
        <v/>
      </c>
      <c r="M1384" s="107"/>
      <c r="N1384" s="67" t="str">
        <f aca="false">IF($E1384="","",INDEX(资金日记账!$Y$4:$Y$603,238))</f>
        <v/>
      </c>
      <c r="O1384" s="67" t="str">
        <f aca="false">IF($E1384="","","自动B")</f>
        <v/>
      </c>
      <c r="P1384" s="18"/>
    </row>
    <row r="1385" customFormat="false" ht="18" hidden="false" customHeight="true" outlineLevel="0" collapsed="false">
      <c r="A1385" s="107" t="str">
        <f aca="false">IF($E1385="","",ROW()-3)</f>
        <v/>
      </c>
      <c r="B1385" s="110" t="str">
        <f aca="false">IF($E1385="","",INDEX(资金日记账!$B$4:$B$603,238))</f>
        <v/>
      </c>
      <c r="C1385" s="67" t="str">
        <f aca="false">IF($E1385="","",IF(INDEX(资金日记账!$W$4:$W$603,238)="","记-"&amp;TEXT($B1385,"YYYYMM")&amp;"-资金",INDEX(资金日记账!$W$4:$W$603,238)))</f>
        <v/>
      </c>
      <c r="D1385" s="107" t="str">
        <f aca="false">IF($E1385="","",INDEX(资金日记账!$D$4:$D$603,238))</f>
        <v/>
      </c>
      <c r="E1385" s="67" t="str">
        <f aca="false">IF(INDEX(资金日记账!$N$4:$S$603,238,4)=0,"",INDEX(资金日记账!$N$4:$S$603,238,4))</f>
        <v/>
      </c>
      <c r="F1385" s="99" t="str">
        <f aca="false">IF($E1385="","",IFERROR(INDEX(科目表!$A$4:$A$81,MATCH($E1385,科目表!$B$4:$B$81,0)),""))</f>
        <v/>
      </c>
      <c r="G1385" s="67" t="str">
        <f aca="false">IF($E1385="","",IFERROR(INDEX(科目表!$E$4:$E$81,MATCH($E1385,科目表!$B$4:$B$81,0)),""))</f>
        <v/>
      </c>
      <c r="H1385" s="70" t="str">
        <f aca="false">IF($E1385="","",N(INDEX(资金日记账!$N$4:$S$603,238,5)))</f>
        <v/>
      </c>
      <c r="I1385" s="70" t="str">
        <f aca="false">IF($E1385="","",N(INDEX(资金日记账!$N$4:$S$603,238,6)))</f>
        <v/>
      </c>
      <c r="J1385" s="67" t="str">
        <f aca="false">IF($E1385="","",INDEX(资金日记账!$E$4:$E$603,238))</f>
        <v/>
      </c>
      <c r="K1385" s="67" t="str">
        <f aca="false">IF($E1385="","",INDEX(资金日记账!$F$4:$F$603,238))</f>
        <v/>
      </c>
      <c r="L1385" s="107" t="str">
        <f aca="false">IF($E1385="","",INDEX(资金日记账!$X$4:$X$603,238))</f>
        <v/>
      </c>
      <c r="M1385" s="107"/>
      <c r="N1385" s="67" t="str">
        <f aca="false">IF($E1385="","",INDEX(资金日记账!$Y$4:$Y$603,238))</f>
        <v/>
      </c>
      <c r="O1385" s="67" t="str">
        <f aca="false">IF($E1385="","","自动B")</f>
        <v/>
      </c>
      <c r="P1385" s="18"/>
    </row>
    <row r="1386" customFormat="false" ht="18" hidden="false" customHeight="true" outlineLevel="0" collapsed="false">
      <c r="A1386" s="107" t="str">
        <f aca="false">IF($E1386="","",ROW()-3)</f>
        <v/>
      </c>
      <c r="B1386" s="110" t="str">
        <f aca="false">IF($E1386="","",INDEX(资金日记账!$B$4:$B$603,239))</f>
        <v/>
      </c>
      <c r="C1386" s="67" t="str">
        <f aca="false">IF($E1386="","",IF(INDEX(资金日记账!$W$4:$W$603,239)="","记-"&amp;TEXT($B1386,"YYYYMM")&amp;"-资金",INDEX(资金日记账!$W$4:$W$603,239)))</f>
        <v/>
      </c>
      <c r="D1386" s="107" t="str">
        <f aca="false">IF($E1386="","",INDEX(资金日记账!$D$4:$D$603,239))</f>
        <v/>
      </c>
      <c r="E1386" s="67" t="str">
        <f aca="false">IF(INDEX(资金日记账!$N$4:$S$603,239,1)=0,"",INDEX(资金日记账!$N$4:$S$603,239,1))</f>
        <v/>
      </c>
      <c r="F1386" s="99" t="str">
        <f aca="false">IF($E1386="","",IFERROR(INDEX(科目表!$A$4:$A$81,MATCH($E1386,科目表!$B$4:$B$81,0)),""))</f>
        <v/>
      </c>
      <c r="G1386" s="67" t="str">
        <f aca="false">IF($E1386="","",IFERROR(INDEX(科目表!$E$4:$E$81,MATCH($E1386,科目表!$B$4:$B$81,0)),""))</f>
        <v/>
      </c>
      <c r="H1386" s="70" t="str">
        <f aca="false">IF($E1386="","",N(INDEX(资金日记账!$N$4:$S$603,239,2)))</f>
        <v/>
      </c>
      <c r="I1386" s="70" t="str">
        <f aca="false">IF($E1386="","",N(INDEX(资金日记账!$N$4:$S$603,239,3)))</f>
        <v/>
      </c>
      <c r="J1386" s="67" t="str">
        <f aca="false">IF($E1386="","",INDEX(资金日记账!$E$4:$E$603,239))</f>
        <v/>
      </c>
      <c r="K1386" s="67" t="str">
        <f aca="false">IF($E1386="","",INDEX(资金日记账!$F$4:$F$603,239))</f>
        <v/>
      </c>
      <c r="L1386" s="107" t="str">
        <f aca="false">IF($E1386="","",INDEX(资金日记账!$X$4:$X$603,239))</f>
        <v/>
      </c>
      <c r="M1386" s="107"/>
      <c r="N1386" s="67" t="str">
        <f aca="false">IF($E1386="","",INDEX(资金日记账!$Y$4:$Y$603,239))</f>
        <v/>
      </c>
      <c r="O1386" s="67" t="str">
        <f aca="false">IF($E1386="","","自动B")</f>
        <v/>
      </c>
      <c r="P1386" s="18"/>
    </row>
    <row r="1387" customFormat="false" ht="18" hidden="false" customHeight="true" outlineLevel="0" collapsed="false">
      <c r="A1387" s="107" t="str">
        <f aca="false">IF($E1387="","",ROW()-3)</f>
        <v/>
      </c>
      <c r="B1387" s="110" t="str">
        <f aca="false">IF($E1387="","",INDEX(资金日记账!$B$4:$B$603,239))</f>
        <v/>
      </c>
      <c r="C1387" s="67" t="str">
        <f aca="false">IF($E1387="","",IF(INDEX(资金日记账!$W$4:$W$603,239)="","记-"&amp;TEXT($B1387,"YYYYMM")&amp;"-资金",INDEX(资金日记账!$W$4:$W$603,239)))</f>
        <v/>
      </c>
      <c r="D1387" s="107" t="str">
        <f aca="false">IF($E1387="","",INDEX(资金日记账!$D$4:$D$603,239))</f>
        <v/>
      </c>
      <c r="E1387" s="67" t="str">
        <f aca="false">IF(INDEX(资金日记账!$N$4:$S$603,239,4)=0,"",INDEX(资金日记账!$N$4:$S$603,239,4))</f>
        <v/>
      </c>
      <c r="F1387" s="99" t="str">
        <f aca="false">IF($E1387="","",IFERROR(INDEX(科目表!$A$4:$A$81,MATCH($E1387,科目表!$B$4:$B$81,0)),""))</f>
        <v/>
      </c>
      <c r="G1387" s="67" t="str">
        <f aca="false">IF($E1387="","",IFERROR(INDEX(科目表!$E$4:$E$81,MATCH($E1387,科目表!$B$4:$B$81,0)),""))</f>
        <v/>
      </c>
      <c r="H1387" s="70" t="str">
        <f aca="false">IF($E1387="","",N(INDEX(资金日记账!$N$4:$S$603,239,5)))</f>
        <v/>
      </c>
      <c r="I1387" s="70" t="str">
        <f aca="false">IF($E1387="","",N(INDEX(资金日记账!$N$4:$S$603,239,6)))</f>
        <v/>
      </c>
      <c r="J1387" s="67" t="str">
        <f aca="false">IF($E1387="","",INDEX(资金日记账!$E$4:$E$603,239))</f>
        <v/>
      </c>
      <c r="K1387" s="67" t="str">
        <f aca="false">IF($E1387="","",INDEX(资金日记账!$F$4:$F$603,239))</f>
        <v/>
      </c>
      <c r="L1387" s="107" t="str">
        <f aca="false">IF($E1387="","",INDEX(资金日记账!$X$4:$X$603,239))</f>
        <v/>
      </c>
      <c r="M1387" s="107"/>
      <c r="N1387" s="67" t="str">
        <f aca="false">IF($E1387="","",INDEX(资金日记账!$Y$4:$Y$603,239))</f>
        <v/>
      </c>
      <c r="O1387" s="67" t="str">
        <f aca="false">IF($E1387="","","自动B")</f>
        <v/>
      </c>
      <c r="P1387" s="18"/>
    </row>
    <row r="1388" customFormat="false" ht="18" hidden="false" customHeight="true" outlineLevel="0" collapsed="false">
      <c r="A1388" s="107" t="str">
        <f aca="false">IF($E1388="","",ROW()-3)</f>
        <v/>
      </c>
      <c r="B1388" s="110" t="str">
        <f aca="false">IF($E1388="","",INDEX(资金日记账!$B$4:$B$603,240))</f>
        <v/>
      </c>
      <c r="C1388" s="67" t="str">
        <f aca="false">IF($E1388="","",IF(INDEX(资金日记账!$W$4:$W$603,240)="","记-"&amp;TEXT($B1388,"YYYYMM")&amp;"-资金",INDEX(资金日记账!$W$4:$W$603,240)))</f>
        <v/>
      </c>
      <c r="D1388" s="107" t="str">
        <f aca="false">IF($E1388="","",INDEX(资金日记账!$D$4:$D$603,240))</f>
        <v/>
      </c>
      <c r="E1388" s="67" t="str">
        <f aca="false">IF(INDEX(资金日记账!$N$4:$S$603,240,1)=0,"",INDEX(资金日记账!$N$4:$S$603,240,1))</f>
        <v/>
      </c>
      <c r="F1388" s="99" t="str">
        <f aca="false">IF($E1388="","",IFERROR(INDEX(科目表!$A$4:$A$81,MATCH($E1388,科目表!$B$4:$B$81,0)),""))</f>
        <v/>
      </c>
      <c r="G1388" s="67" t="str">
        <f aca="false">IF($E1388="","",IFERROR(INDEX(科目表!$E$4:$E$81,MATCH($E1388,科目表!$B$4:$B$81,0)),""))</f>
        <v/>
      </c>
      <c r="H1388" s="70" t="str">
        <f aca="false">IF($E1388="","",N(INDEX(资金日记账!$N$4:$S$603,240,2)))</f>
        <v/>
      </c>
      <c r="I1388" s="70" t="str">
        <f aca="false">IF($E1388="","",N(INDEX(资金日记账!$N$4:$S$603,240,3)))</f>
        <v/>
      </c>
      <c r="J1388" s="67" t="str">
        <f aca="false">IF($E1388="","",INDEX(资金日记账!$E$4:$E$603,240))</f>
        <v/>
      </c>
      <c r="K1388" s="67" t="str">
        <f aca="false">IF($E1388="","",INDEX(资金日记账!$F$4:$F$603,240))</f>
        <v/>
      </c>
      <c r="L1388" s="107" t="str">
        <f aca="false">IF($E1388="","",INDEX(资金日记账!$X$4:$X$603,240))</f>
        <v/>
      </c>
      <c r="M1388" s="107"/>
      <c r="N1388" s="67" t="str">
        <f aca="false">IF($E1388="","",INDEX(资金日记账!$Y$4:$Y$603,240))</f>
        <v/>
      </c>
      <c r="O1388" s="67" t="str">
        <f aca="false">IF($E1388="","","自动B")</f>
        <v/>
      </c>
      <c r="P1388" s="18"/>
    </row>
    <row r="1389" customFormat="false" ht="18" hidden="false" customHeight="true" outlineLevel="0" collapsed="false">
      <c r="A1389" s="107" t="str">
        <f aca="false">IF($E1389="","",ROW()-3)</f>
        <v/>
      </c>
      <c r="B1389" s="110" t="str">
        <f aca="false">IF($E1389="","",INDEX(资金日记账!$B$4:$B$603,240))</f>
        <v/>
      </c>
      <c r="C1389" s="67" t="str">
        <f aca="false">IF($E1389="","",IF(INDEX(资金日记账!$W$4:$W$603,240)="","记-"&amp;TEXT($B1389,"YYYYMM")&amp;"-资金",INDEX(资金日记账!$W$4:$W$603,240)))</f>
        <v/>
      </c>
      <c r="D1389" s="107" t="str">
        <f aca="false">IF($E1389="","",INDEX(资金日记账!$D$4:$D$603,240))</f>
        <v/>
      </c>
      <c r="E1389" s="67" t="str">
        <f aca="false">IF(INDEX(资金日记账!$N$4:$S$603,240,4)=0,"",INDEX(资金日记账!$N$4:$S$603,240,4))</f>
        <v/>
      </c>
      <c r="F1389" s="99" t="str">
        <f aca="false">IF($E1389="","",IFERROR(INDEX(科目表!$A$4:$A$81,MATCH($E1389,科目表!$B$4:$B$81,0)),""))</f>
        <v/>
      </c>
      <c r="G1389" s="67" t="str">
        <f aca="false">IF($E1389="","",IFERROR(INDEX(科目表!$E$4:$E$81,MATCH($E1389,科目表!$B$4:$B$81,0)),""))</f>
        <v/>
      </c>
      <c r="H1389" s="70" t="str">
        <f aca="false">IF($E1389="","",N(INDEX(资金日记账!$N$4:$S$603,240,5)))</f>
        <v/>
      </c>
      <c r="I1389" s="70" t="str">
        <f aca="false">IF($E1389="","",N(INDEX(资金日记账!$N$4:$S$603,240,6)))</f>
        <v/>
      </c>
      <c r="J1389" s="67" t="str">
        <f aca="false">IF($E1389="","",INDEX(资金日记账!$E$4:$E$603,240))</f>
        <v/>
      </c>
      <c r="K1389" s="67" t="str">
        <f aca="false">IF($E1389="","",INDEX(资金日记账!$F$4:$F$603,240))</f>
        <v/>
      </c>
      <c r="L1389" s="107" t="str">
        <f aca="false">IF($E1389="","",INDEX(资金日记账!$X$4:$X$603,240))</f>
        <v/>
      </c>
      <c r="M1389" s="107"/>
      <c r="N1389" s="67" t="str">
        <f aca="false">IF($E1389="","",INDEX(资金日记账!$Y$4:$Y$603,240))</f>
        <v/>
      </c>
      <c r="O1389" s="67" t="str">
        <f aca="false">IF($E1389="","","自动B")</f>
        <v/>
      </c>
      <c r="P1389" s="18"/>
    </row>
    <row r="1390" customFormat="false" ht="18" hidden="false" customHeight="true" outlineLevel="0" collapsed="false">
      <c r="A1390" s="107" t="str">
        <f aca="false">IF($E1390="","",ROW()-3)</f>
        <v/>
      </c>
      <c r="B1390" s="110" t="str">
        <f aca="false">IF($E1390="","",INDEX(资金日记账!$B$4:$B$603,241))</f>
        <v/>
      </c>
      <c r="C1390" s="67" t="str">
        <f aca="false">IF($E1390="","",IF(INDEX(资金日记账!$W$4:$W$603,241)="","记-"&amp;TEXT($B1390,"YYYYMM")&amp;"-资金",INDEX(资金日记账!$W$4:$W$603,241)))</f>
        <v/>
      </c>
      <c r="D1390" s="107" t="str">
        <f aca="false">IF($E1390="","",INDEX(资金日记账!$D$4:$D$603,241))</f>
        <v/>
      </c>
      <c r="E1390" s="67" t="str">
        <f aca="false">IF(INDEX(资金日记账!$N$4:$S$603,241,1)=0,"",INDEX(资金日记账!$N$4:$S$603,241,1))</f>
        <v/>
      </c>
      <c r="F1390" s="99" t="str">
        <f aca="false">IF($E1390="","",IFERROR(INDEX(科目表!$A$4:$A$81,MATCH($E1390,科目表!$B$4:$B$81,0)),""))</f>
        <v/>
      </c>
      <c r="G1390" s="67" t="str">
        <f aca="false">IF($E1390="","",IFERROR(INDEX(科目表!$E$4:$E$81,MATCH($E1390,科目表!$B$4:$B$81,0)),""))</f>
        <v/>
      </c>
      <c r="H1390" s="70" t="str">
        <f aca="false">IF($E1390="","",N(INDEX(资金日记账!$N$4:$S$603,241,2)))</f>
        <v/>
      </c>
      <c r="I1390" s="70" t="str">
        <f aca="false">IF($E1390="","",N(INDEX(资金日记账!$N$4:$S$603,241,3)))</f>
        <v/>
      </c>
      <c r="J1390" s="67" t="str">
        <f aca="false">IF($E1390="","",INDEX(资金日记账!$E$4:$E$603,241))</f>
        <v/>
      </c>
      <c r="K1390" s="67" t="str">
        <f aca="false">IF($E1390="","",INDEX(资金日记账!$F$4:$F$603,241))</f>
        <v/>
      </c>
      <c r="L1390" s="107" t="str">
        <f aca="false">IF($E1390="","",INDEX(资金日记账!$X$4:$X$603,241))</f>
        <v/>
      </c>
      <c r="M1390" s="107"/>
      <c r="N1390" s="67" t="str">
        <f aca="false">IF($E1390="","",INDEX(资金日记账!$Y$4:$Y$603,241))</f>
        <v/>
      </c>
      <c r="O1390" s="67" t="str">
        <f aca="false">IF($E1390="","","自动B")</f>
        <v/>
      </c>
      <c r="P1390" s="18"/>
    </row>
    <row r="1391" customFormat="false" ht="18" hidden="false" customHeight="true" outlineLevel="0" collapsed="false">
      <c r="A1391" s="107" t="str">
        <f aca="false">IF($E1391="","",ROW()-3)</f>
        <v/>
      </c>
      <c r="B1391" s="110" t="str">
        <f aca="false">IF($E1391="","",INDEX(资金日记账!$B$4:$B$603,241))</f>
        <v/>
      </c>
      <c r="C1391" s="67" t="str">
        <f aca="false">IF($E1391="","",IF(INDEX(资金日记账!$W$4:$W$603,241)="","记-"&amp;TEXT($B1391,"YYYYMM")&amp;"-资金",INDEX(资金日记账!$W$4:$W$603,241)))</f>
        <v/>
      </c>
      <c r="D1391" s="107" t="str">
        <f aca="false">IF($E1391="","",INDEX(资金日记账!$D$4:$D$603,241))</f>
        <v/>
      </c>
      <c r="E1391" s="67" t="str">
        <f aca="false">IF(INDEX(资金日记账!$N$4:$S$603,241,4)=0,"",INDEX(资金日记账!$N$4:$S$603,241,4))</f>
        <v/>
      </c>
      <c r="F1391" s="99" t="str">
        <f aca="false">IF($E1391="","",IFERROR(INDEX(科目表!$A$4:$A$81,MATCH($E1391,科目表!$B$4:$B$81,0)),""))</f>
        <v/>
      </c>
      <c r="G1391" s="67" t="str">
        <f aca="false">IF($E1391="","",IFERROR(INDEX(科目表!$E$4:$E$81,MATCH($E1391,科目表!$B$4:$B$81,0)),""))</f>
        <v/>
      </c>
      <c r="H1391" s="70" t="str">
        <f aca="false">IF($E1391="","",N(INDEX(资金日记账!$N$4:$S$603,241,5)))</f>
        <v/>
      </c>
      <c r="I1391" s="70" t="str">
        <f aca="false">IF($E1391="","",N(INDEX(资金日记账!$N$4:$S$603,241,6)))</f>
        <v/>
      </c>
      <c r="J1391" s="67" t="str">
        <f aca="false">IF($E1391="","",INDEX(资金日记账!$E$4:$E$603,241))</f>
        <v/>
      </c>
      <c r="K1391" s="67" t="str">
        <f aca="false">IF($E1391="","",INDEX(资金日记账!$F$4:$F$603,241))</f>
        <v/>
      </c>
      <c r="L1391" s="107" t="str">
        <f aca="false">IF($E1391="","",INDEX(资金日记账!$X$4:$X$603,241))</f>
        <v/>
      </c>
      <c r="M1391" s="107"/>
      <c r="N1391" s="67" t="str">
        <f aca="false">IF($E1391="","",INDEX(资金日记账!$Y$4:$Y$603,241))</f>
        <v/>
      </c>
      <c r="O1391" s="67" t="str">
        <f aca="false">IF($E1391="","","自动B")</f>
        <v/>
      </c>
      <c r="P1391" s="18"/>
    </row>
    <row r="1392" customFormat="false" ht="18" hidden="false" customHeight="true" outlineLevel="0" collapsed="false">
      <c r="A1392" s="107" t="str">
        <f aca="false">IF($E1392="","",ROW()-3)</f>
        <v/>
      </c>
      <c r="B1392" s="110" t="str">
        <f aca="false">IF($E1392="","",INDEX(资金日记账!$B$4:$B$603,242))</f>
        <v/>
      </c>
      <c r="C1392" s="67" t="str">
        <f aca="false">IF($E1392="","",IF(INDEX(资金日记账!$W$4:$W$603,242)="","记-"&amp;TEXT($B1392,"YYYYMM")&amp;"-资金",INDEX(资金日记账!$W$4:$W$603,242)))</f>
        <v/>
      </c>
      <c r="D1392" s="107" t="str">
        <f aca="false">IF($E1392="","",INDEX(资金日记账!$D$4:$D$603,242))</f>
        <v/>
      </c>
      <c r="E1392" s="67" t="str">
        <f aca="false">IF(INDEX(资金日记账!$N$4:$S$603,242,1)=0,"",INDEX(资金日记账!$N$4:$S$603,242,1))</f>
        <v/>
      </c>
      <c r="F1392" s="99" t="str">
        <f aca="false">IF($E1392="","",IFERROR(INDEX(科目表!$A$4:$A$81,MATCH($E1392,科目表!$B$4:$B$81,0)),""))</f>
        <v/>
      </c>
      <c r="G1392" s="67" t="str">
        <f aca="false">IF($E1392="","",IFERROR(INDEX(科目表!$E$4:$E$81,MATCH($E1392,科目表!$B$4:$B$81,0)),""))</f>
        <v/>
      </c>
      <c r="H1392" s="70" t="str">
        <f aca="false">IF($E1392="","",N(INDEX(资金日记账!$N$4:$S$603,242,2)))</f>
        <v/>
      </c>
      <c r="I1392" s="70" t="str">
        <f aca="false">IF($E1392="","",N(INDEX(资金日记账!$N$4:$S$603,242,3)))</f>
        <v/>
      </c>
      <c r="J1392" s="67" t="str">
        <f aca="false">IF($E1392="","",INDEX(资金日记账!$E$4:$E$603,242))</f>
        <v/>
      </c>
      <c r="K1392" s="67" t="str">
        <f aca="false">IF($E1392="","",INDEX(资金日记账!$F$4:$F$603,242))</f>
        <v/>
      </c>
      <c r="L1392" s="107" t="str">
        <f aca="false">IF($E1392="","",INDEX(资金日记账!$X$4:$X$603,242))</f>
        <v/>
      </c>
      <c r="M1392" s="107"/>
      <c r="N1392" s="67" t="str">
        <f aca="false">IF($E1392="","",INDEX(资金日记账!$Y$4:$Y$603,242))</f>
        <v/>
      </c>
      <c r="O1392" s="67" t="str">
        <f aca="false">IF($E1392="","","自动B")</f>
        <v/>
      </c>
      <c r="P1392" s="18"/>
    </row>
    <row r="1393" customFormat="false" ht="18" hidden="false" customHeight="true" outlineLevel="0" collapsed="false">
      <c r="A1393" s="107" t="str">
        <f aca="false">IF($E1393="","",ROW()-3)</f>
        <v/>
      </c>
      <c r="B1393" s="110" t="str">
        <f aca="false">IF($E1393="","",INDEX(资金日记账!$B$4:$B$603,242))</f>
        <v/>
      </c>
      <c r="C1393" s="67" t="str">
        <f aca="false">IF($E1393="","",IF(INDEX(资金日记账!$W$4:$W$603,242)="","记-"&amp;TEXT($B1393,"YYYYMM")&amp;"-资金",INDEX(资金日记账!$W$4:$W$603,242)))</f>
        <v/>
      </c>
      <c r="D1393" s="107" t="str">
        <f aca="false">IF($E1393="","",INDEX(资金日记账!$D$4:$D$603,242))</f>
        <v/>
      </c>
      <c r="E1393" s="67" t="str">
        <f aca="false">IF(INDEX(资金日记账!$N$4:$S$603,242,4)=0,"",INDEX(资金日记账!$N$4:$S$603,242,4))</f>
        <v/>
      </c>
      <c r="F1393" s="99" t="str">
        <f aca="false">IF($E1393="","",IFERROR(INDEX(科目表!$A$4:$A$81,MATCH($E1393,科目表!$B$4:$B$81,0)),""))</f>
        <v/>
      </c>
      <c r="G1393" s="67" t="str">
        <f aca="false">IF($E1393="","",IFERROR(INDEX(科目表!$E$4:$E$81,MATCH($E1393,科目表!$B$4:$B$81,0)),""))</f>
        <v/>
      </c>
      <c r="H1393" s="70" t="str">
        <f aca="false">IF($E1393="","",N(INDEX(资金日记账!$N$4:$S$603,242,5)))</f>
        <v/>
      </c>
      <c r="I1393" s="70" t="str">
        <f aca="false">IF($E1393="","",N(INDEX(资金日记账!$N$4:$S$603,242,6)))</f>
        <v/>
      </c>
      <c r="J1393" s="67" t="str">
        <f aca="false">IF($E1393="","",INDEX(资金日记账!$E$4:$E$603,242))</f>
        <v/>
      </c>
      <c r="K1393" s="67" t="str">
        <f aca="false">IF($E1393="","",INDEX(资金日记账!$F$4:$F$603,242))</f>
        <v/>
      </c>
      <c r="L1393" s="107" t="str">
        <f aca="false">IF($E1393="","",INDEX(资金日记账!$X$4:$X$603,242))</f>
        <v/>
      </c>
      <c r="M1393" s="107"/>
      <c r="N1393" s="67" t="str">
        <f aca="false">IF($E1393="","",INDEX(资金日记账!$Y$4:$Y$603,242))</f>
        <v/>
      </c>
      <c r="O1393" s="67" t="str">
        <f aca="false">IF($E1393="","","自动B")</f>
        <v/>
      </c>
      <c r="P1393" s="18"/>
    </row>
    <row r="1394" customFormat="false" ht="18" hidden="false" customHeight="true" outlineLevel="0" collapsed="false">
      <c r="A1394" s="107" t="str">
        <f aca="false">IF($E1394="","",ROW()-3)</f>
        <v/>
      </c>
      <c r="B1394" s="110" t="str">
        <f aca="false">IF($E1394="","",INDEX(资金日记账!$B$4:$B$603,243))</f>
        <v/>
      </c>
      <c r="C1394" s="67" t="str">
        <f aca="false">IF($E1394="","",IF(INDEX(资金日记账!$W$4:$W$603,243)="","记-"&amp;TEXT($B1394,"YYYYMM")&amp;"-资金",INDEX(资金日记账!$W$4:$W$603,243)))</f>
        <v/>
      </c>
      <c r="D1394" s="107" t="str">
        <f aca="false">IF($E1394="","",INDEX(资金日记账!$D$4:$D$603,243))</f>
        <v/>
      </c>
      <c r="E1394" s="67" t="str">
        <f aca="false">IF(INDEX(资金日记账!$N$4:$S$603,243,1)=0,"",INDEX(资金日记账!$N$4:$S$603,243,1))</f>
        <v/>
      </c>
      <c r="F1394" s="99" t="str">
        <f aca="false">IF($E1394="","",IFERROR(INDEX(科目表!$A$4:$A$81,MATCH($E1394,科目表!$B$4:$B$81,0)),""))</f>
        <v/>
      </c>
      <c r="G1394" s="67" t="str">
        <f aca="false">IF($E1394="","",IFERROR(INDEX(科目表!$E$4:$E$81,MATCH($E1394,科目表!$B$4:$B$81,0)),""))</f>
        <v/>
      </c>
      <c r="H1394" s="70" t="str">
        <f aca="false">IF($E1394="","",N(INDEX(资金日记账!$N$4:$S$603,243,2)))</f>
        <v/>
      </c>
      <c r="I1394" s="70" t="str">
        <f aca="false">IF($E1394="","",N(INDEX(资金日记账!$N$4:$S$603,243,3)))</f>
        <v/>
      </c>
      <c r="J1394" s="67" t="str">
        <f aca="false">IF($E1394="","",INDEX(资金日记账!$E$4:$E$603,243))</f>
        <v/>
      </c>
      <c r="K1394" s="67" t="str">
        <f aca="false">IF($E1394="","",INDEX(资金日记账!$F$4:$F$603,243))</f>
        <v/>
      </c>
      <c r="L1394" s="107" t="str">
        <f aca="false">IF($E1394="","",INDEX(资金日记账!$X$4:$X$603,243))</f>
        <v/>
      </c>
      <c r="M1394" s="107"/>
      <c r="N1394" s="67" t="str">
        <f aca="false">IF($E1394="","",INDEX(资金日记账!$Y$4:$Y$603,243))</f>
        <v/>
      </c>
      <c r="O1394" s="67" t="str">
        <f aca="false">IF($E1394="","","自动B")</f>
        <v/>
      </c>
      <c r="P1394" s="18"/>
    </row>
    <row r="1395" customFormat="false" ht="18" hidden="false" customHeight="true" outlineLevel="0" collapsed="false">
      <c r="A1395" s="107" t="str">
        <f aca="false">IF($E1395="","",ROW()-3)</f>
        <v/>
      </c>
      <c r="B1395" s="110" t="str">
        <f aca="false">IF($E1395="","",INDEX(资金日记账!$B$4:$B$603,243))</f>
        <v/>
      </c>
      <c r="C1395" s="67" t="str">
        <f aca="false">IF($E1395="","",IF(INDEX(资金日记账!$W$4:$W$603,243)="","记-"&amp;TEXT($B1395,"YYYYMM")&amp;"-资金",INDEX(资金日记账!$W$4:$W$603,243)))</f>
        <v/>
      </c>
      <c r="D1395" s="107" t="str">
        <f aca="false">IF($E1395="","",INDEX(资金日记账!$D$4:$D$603,243))</f>
        <v/>
      </c>
      <c r="E1395" s="67" t="str">
        <f aca="false">IF(INDEX(资金日记账!$N$4:$S$603,243,4)=0,"",INDEX(资金日记账!$N$4:$S$603,243,4))</f>
        <v/>
      </c>
      <c r="F1395" s="99" t="str">
        <f aca="false">IF($E1395="","",IFERROR(INDEX(科目表!$A$4:$A$81,MATCH($E1395,科目表!$B$4:$B$81,0)),""))</f>
        <v/>
      </c>
      <c r="G1395" s="67" t="str">
        <f aca="false">IF($E1395="","",IFERROR(INDEX(科目表!$E$4:$E$81,MATCH($E1395,科目表!$B$4:$B$81,0)),""))</f>
        <v/>
      </c>
      <c r="H1395" s="70" t="str">
        <f aca="false">IF($E1395="","",N(INDEX(资金日记账!$N$4:$S$603,243,5)))</f>
        <v/>
      </c>
      <c r="I1395" s="70" t="str">
        <f aca="false">IF($E1395="","",N(INDEX(资金日记账!$N$4:$S$603,243,6)))</f>
        <v/>
      </c>
      <c r="J1395" s="67" t="str">
        <f aca="false">IF($E1395="","",INDEX(资金日记账!$E$4:$E$603,243))</f>
        <v/>
      </c>
      <c r="K1395" s="67" t="str">
        <f aca="false">IF($E1395="","",INDEX(资金日记账!$F$4:$F$603,243))</f>
        <v/>
      </c>
      <c r="L1395" s="107" t="str">
        <f aca="false">IF($E1395="","",INDEX(资金日记账!$X$4:$X$603,243))</f>
        <v/>
      </c>
      <c r="M1395" s="107"/>
      <c r="N1395" s="67" t="str">
        <f aca="false">IF($E1395="","",INDEX(资金日记账!$Y$4:$Y$603,243))</f>
        <v/>
      </c>
      <c r="O1395" s="67" t="str">
        <f aca="false">IF($E1395="","","自动B")</f>
        <v/>
      </c>
      <c r="P1395" s="18"/>
    </row>
    <row r="1396" customFormat="false" ht="18" hidden="false" customHeight="true" outlineLevel="0" collapsed="false">
      <c r="A1396" s="107" t="str">
        <f aca="false">IF($E1396="","",ROW()-3)</f>
        <v/>
      </c>
      <c r="B1396" s="110" t="str">
        <f aca="false">IF($E1396="","",INDEX(资金日记账!$B$4:$B$603,244))</f>
        <v/>
      </c>
      <c r="C1396" s="67" t="str">
        <f aca="false">IF($E1396="","",IF(INDEX(资金日记账!$W$4:$W$603,244)="","记-"&amp;TEXT($B1396,"YYYYMM")&amp;"-资金",INDEX(资金日记账!$W$4:$W$603,244)))</f>
        <v/>
      </c>
      <c r="D1396" s="107" t="str">
        <f aca="false">IF($E1396="","",INDEX(资金日记账!$D$4:$D$603,244))</f>
        <v/>
      </c>
      <c r="E1396" s="67" t="str">
        <f aca="false">IF(INDEX(资金日记账!$N$4:$S$603,244,1)=0,"",INDEX(资金日记账!$N$4:$S$603,244,1))</f>
        <v/>
      </c>
      <c r="F1396" s="99" t="str">
        <f aca="false">IF($E1396="","",IFERROR(INDEX(科目表!$A$4:$A$81,MATCH($E1396,科目表!$B$4:$B$81,0)),""))</f>
        <v/>
      </c>
      <c r="G1396" s="67" t="str">
        <f aca="false">IF($E1396="","",IFERROR(INDEX(科目表!$E$4:$E$81,MATCH($E1396,科目表!$B$4:$B$81,0)),""))</f>
        <v/>
      </c>
      <c r="H1396" s="70" t="str">
        <f aca="false">IF($E1396="","",N(INDEX(资金日记账!$N$4:$S$603,244,2)))</f>
        <v/>
      </c>
      <c r="I1396" s="70" t="str">
        <f aca="false">IF($E1396="","",N(INDEX(资金日记账!$N$4:$S$603,244,3)))</f>
        <v/>
      </c>
      <c r="J1396" s="67" t="str">
        <f aca="false">IF($E1396="","",INDEX(资金日记账!$E$4:$E$603,244))</f>
        <v/>
      </c>
      <c r="K1396" s="67" t="str">
        <f aca="false">IF($E1396="","",INDEX(资金日记账!$F$4:$F$603,244))</f>
        <v/>
      </c>
      <c r="L1396" s="107" t="str">
        <f aca="false">IF($E1396="","",INDEX(资金日记账!$X$4:$X$603,244))</f>
        <v/>
      </c>
      <c r="M1396" s="107"/>
      <c r="N1396" s="67" t="str">
        <f aca="false">IF($E1396="","",INDEX(资金日记账!$Y$4:$Y$603,244))</f>
        <v/>
      </c>
      <c r="O1396" s="67" t="str">
        <f aca="false">IF($E1396="","","自动B")</f>
        <v/>
      </c>
      <c r="P1396" s="18"/>
    </row>
    <row r="1397" customFormat="false" ht="18" hidden="false" customHeight="true" outlineLevel="0" collapsed="false">
      <c r="A1397" s="107" t="str">
        <f aca="false">IF($E1397="","",ROW()-3)</f>
        <v/>
      </c>
      <c r="B1397" s="110" t="str">
        <f aca="false">IF($E1397="","",INDEX(资金日记账!$B$4:$B$603,244))</f>
        <v/>
      </c>
      <c r="C1397" s="67" t="str">
        <f aca="false">IF($E1397="","",IF(INDEX(资金日记账!$W$4:$W$603,244)="","记-"&amp;TEXT($B1397,"YYYYMM")&amp;"-资金",INDEX(资金日记账!$W$4:$W$603,244)))</f>
        <v/>
      </c>
      <c r="D1397" s="107" t="str">
        <f aca="false">IF($E1397="","",INDEX(资金日记账!$D$4:$D$603,244))</f>
        <v/>
      </c>
      <c r="E1397" s="67" t="str">
        <f aca="false">IF(INDEX(资金日记账!$N$4:$S$603,244,4)=0,"",INDEX(资金日记账!$N$4:$S$603,244,4))</f>
        <v/>
      </c>
      <c r="F1397" s="99" t="str">
        <f aca="false">IF($E1397="","",IFERROR(INDEX(科目表!$A$4:$A$81,MATCH($E1397,科目表!$B$4:$B$81,0)),""))</f>
        <v/>
      </c>
      <c r="G1397" s="67" t="str">
        <f aca="false">IF($E1397="","",IFERROR(INDEX(科目表!$E$4:$E$81,MATCH($E1397,科目表!$B$4:$B$81,0)),""))</f>
        <v/>
      </c>
      <c r="H1397" s="70" t="str">
        <f aca="false">IF($E1397="","",N(INDEX(资金日记账!$N$4:$S$603,244,5)))</f>
        <v/>
      </c>
      <c r="I1397" s="70" t="str">
        <f aca="false">IF($E1397="","",N(INDEX(资金日记账!$N$4:$S$603,244,6)))</f>
        <v/>
      </c>
      <c r="J1397" s="67" t="str">
        <f aca="false">IF($E1397="","",INDEX(资金日记账!$E$4:$E$603,244))</f>
        <v/>
      </c>
      <c r="K1397" s="67" t="str">
        <f aca="false">IF($E1397="","",INDEX(资金日记账!$F$4:$F$603,244))</f>
        <v/>
      </c>
      <c r="L1397" s="107" t="str">
        <f aca="false">IF($E1397="","",INDEX(资金日记账!$X$4:$X$603,244))</f>
        <v/>
      </c>
      <c r="M1397" s="107"/>
      <c r="N1397" s="67" t="str">
        <f aca="false">IF($E1397="","",INDEX(资金日记账!$Y$4:$Y$603,244))</f>
        <v/>
      </c>
      <c r="O1397" s="67" t="str">
        <f aca="false">IF($E1397="","","自动B")</f>
        <v/>
      </c>
      <c r="P1397" s="18"/>
    </row>
    <row r="1398" customFormat="false" ht="18" hidden="false" customHeight="true" outlineLevel="0" collapsed="false">
      <c r="A1398" s="107" t="str">
        <f aca="false">IF($E1398="","",ROW()-3)</f>
        <v/>
      </c>
      <c r="B1398" s="110" t="str">
        <f aca="false">IF($E1398="","",INDEX(资金日记账!$B$4:$B$603,245))</f>
        <v/>
      </c>
      <c r="C1398" s="67" t="str">
        <f aca="false">IF($E1398="","",IF(INDEX(资金日记账!$W$4:$W$603,245)="","记-"&amp;TEXT($B1398,"YYYYMM")&amp;"-资金",INDEX(资金日记账!$W$4:$W$603,245)))</f>
        <v/>
      </c>
      <c r="D1398" s="107" t="str">
        <f aca="false">IF($E1398="","",INDEX(资金日记账!$D$4:$D$603,245))</f>
        <v/>
      </c>
      <c r="E1398" s="67" t="str">
        <f aca="false">IF(INDEX(资金日记账!$N$4:$S$603,245,1)=0,"",INDEX(资金日记账!$N$4:$S$603,245,1))</f>
        <v/>
      </c>
      <c r="F1398" s="99" t="str">
        <f aca="false">IF($E1398="","",IFERROR(INDEX(科目表!$A$4:$A$81,MATCH($E1398,科目表!$B$4:$B$81,0)),""))</f>
        <v/>
      </c>
      <c r="G1398" s="67" t="str">
        <f aca="false">IF($E1398="","",IFERROR(INDEX(科目表!$E$4:$E$81,MATCH($E1398,科目表!$B$4:$B$81,0)),""))</f>
        <v/>
      </c>
      <c r="H1398" s="70" t="str">
        <f aca="false">IF($E1398="","",N(INDEX(资金日记账!$N$4:$S$603,245,2)))</f>
        <v/>
      </c>
      <c r="I1398" s="70" t="str">
        <f aca="false">IF($E1398="","",N(INDEX(资金日记账!$N$4:$S$603,245,3)))</f>
        <v/>
      </c>
      <c r="J1398" s="67" t="str">
        <f aca="false">IF($E1398="","",INDEX(资金日记账!$E$4:$E$603,245))</f>
        <v/>
      </c>
      <c r="K1398" s="67" t="str">
        <f aca="false">IF($E1398="","",INDEX(资金日记账!$F$4:$F$603,245))</f>
        <v/>
      </c>
      <c r="L1398" s="107" t="str">
        <f aca="false">IF($E1398="","",INDEX(资金日记账!$X$4:$X$603,245))</f>
        <v/>
      </c>
      <c r="M1398" s="107"/>
      <c r="N1398" s="67" t="str">
        <f aca="false">IF($E1398="","",INDEX(资金日记账!$Y$4:$Y$603,245))</f>
        <v/>
      </c>
      <c r="O1398" s="67" t="str">
        <f aca="false">IF($E1398="","","自动B")</f>
        <v/>
      </c>
      <c r="P1398" s="18"/>
    </row>
    <row r="1399" customFormat="false" ht="18" hidden="false" customHeight="true" outlineLevel="0" collapsed="false">
      <c r="A1399" s="107" t="str">
        <f aca="false">IF($E1399="","",ROW()-3)</f>
        <v/>
      </c>
      <c r="B1399" s="110" t="str">
        <f aca="false">IF($E1399="","",INDEX(资金日记账!$B$4:$B$603,245))</f>
        <v/>
      </c>
      <c r="C1399" s="67" t="str">
        <f aca="false">IF($E1399="","",IF(INDEX(资金日记账!$W$4:$W$603,245)="","记-"&amp;TEXT($B1399,"YYYYMM")&amp;"-资金",INDEX(资金日记账!$W$4:$W$603,245)))</f>
        <v/>
      </c>
      <c r="D1399" s="107" t="str">
        <f aca="false">IF($E1399="","",INDEX(资金日记账!$D$4:$D$603,245))</f>
        <v/>
      </c>
      <c r="E1399" s="67" t="str">
        <f aca="false">IF(INDEX(资金日记账!$N$4:$S$603,245,4)=0,"",INDEX(资金日记账!$N$4:$S$603,245,4))</f>
        <v/>
      </c>
      <c r="F1399" s="99" t="str">
        <f aca="false">IF($E1399="","",IFERROR(INDEX(科目表!$A$4:$A$81,MATCH($E1399,科目表!$B$4:$B$81,0)),""))</f>
        <v/>
      </c>
      <c r="G1399" s="67" t="str">
        <f aca="false">IF($E1399="","",IFERROR(INDEX(科目表!$E$4:$E$81,MATCH($E1399,科目表!$B$4:$B$81,0)),""))</f>
        <v/>
      </c>
      <c r="H1399" s="70" t="str">
        <f aca="false">IF($E1399="","",N(INDEX(资金日记账!$N$4:$S$603,245,5)))</f>
        <v/>
      </c>
      <c r="I1399" s="70" t="str">
        <f aca="false">IF($E1399="","",N(INDEX(资金日记账!$N$4:$S$603,245,6)))</f>
        <v/>
      </c>
      <c r="J1399" s="67" t="str">
        <f aca="false">IF($E1399="","",INDEX(资金日记账!$E$4:$E$603,245))</f>
        <v/>
      </c>
      <c r="K1399" s="67" t="str">
        <f aca="false">IF($E1399="","",INDEX(资金日记账!$F$4:$F$603,245))</f>
        <v/>
      </c>
      <c r="L1399" s="107" t="str">
        <f aca="false">IF($E1399="","",INDEX(资金日记账!$X$4:$X$603,245))</f>
        <v/>
      </c>
      <c r="M1399" s="107"/>
      <c r="N1399" s="67" t="str">
        <f aca="false">IF($E1399="","",INDEX(资金日记账!$Y$4:$Y$603,245))</f>
        <v/>
      </c>
      <c r="O1399" s="67" t="str">
        <f aca="false">IF($E1399="","","自动B")</f>
        <v/>
      </c>
      <c r="P1399" s="18"/>
    </row>
    <row r="1400" customFormat="false" ht="18" hidden="false" customHeight="true" outlineLevel="0" collapsed="false">
      <c r="A1400" s="107" t="str">
        <f aca="false">IF($E1400="","",ROW()-3)</f>
        <v/>
      </c>
      <c r="B1400" s="110" t="str">
        <f aca="false">IF($E1400="","",INDEX(资金日记账!$B$4:$B$603,246))</f>
        <v/>
      </c>
      <c r="C1400" s="67" t="str">
        <f aca="false">IF($E1400="","",IF(INDEX(资金日记账!$W$4:$W$603,246)="","记-"&amp;TEXT($B1400,"YYYYMM")&amp;"-资金",INDEX(资金日记账!$W$4:$W$603,246)))</f>
        <v/>
      </c>
      <c r="D1400" s="107" t="str">
        <f aca="false">IF($E1400="","",INDEX(资金日记账!$D$4:$D$603,246))</f>
        <v/>
      </c>
      <c r="E1400" s="67" t="str">
        <f aca="false">IF(INDEX(资金日记账!$N$4:$S$603,246,1)=0,"",INDEX(资金日记账!$N$4:$S$603,246,1))</f>
        <v/>
      </c>
      <c r="F1400" s="99" t="str">
        <f aca="false">IF($E1400="","",IFERROR(INDEX(科目表!$A$4:$A$81,MATCH($E1400,科目表!$B$4:$B$81,0)),""))</f>
        <v/>
      </c>
      <c r="G1400" s="67" t="str">
        <f aca="false">IF($E1400="","",IFERROR(INDEX(科目表!$E$4:$E$81,MATCH($E1400,科目表!$B$4:$B$81,0)),""))</f>
        <v/>
      </c>
      <c r="H1400" s="70" t="str">
        <f aca="false">IF($E1400="","",N(INDEX(资金日记账!$N$4:$S$603,246,2)))</f>
        <v/>
      </c>
      <c r="I1400" s="70" t="str">
        <f aca="false">IF($E1400="","",N(INDEX(资金日记账!$N$4:$S$603,246,3)))</f>
        <v/>
      </c>
      <c r="J1400" s="67" t="str">
        <f aca="false">IF($E1400="","",INDEX(资金日记账!$E$4:$E$603,246))</f>
        <v/>
      </c>
      <c r="K1400" s="67" t="str">
        <f aca="false">IF($E1400="","",INDEX(资金日记账!$F$4:$F$603,246))</f>
        <v/>
      </c>
      <c r="L1400" s="107" t="str">
        <f aca="false">IF($E1400="","",INDEX(资金日记账!$X$4:$X$603,246))</f>
        <v/>
      </c>
      <c r="M1400" s="107"/>
      <c r="N1400" s="67" t="str">
        <f aca="false">IF($E1400="","",INDEX(资金日记账!$Y$4:$Y$603,246))</f>
        <v/>
      </c>
      <c r="O1400" s="67" t="str">
        <f aca="false">IF($E1400="","","自动B")</f>
        <v/>
      </c>
      <c r="P1400" s="18"/>
    </row>
    <row r="1401" customFormat="false" ht="18" hidden="false" customHeight="true" outlineLevel="0" collapsed="false">
      <c r="A1401" s="107" t="str">
        <f aca="false">IF($E1401="","",ROW()-3)</f>
        <v/>
      </c>
      <c r="B1401" s="110" t="str">
        <f aca="false">IF($E1401="","",INDEX(资金日记账!$B$4:$B$603,246))</f>
        <v/>
      </c>
      <c r="C1401" s="67" t="str">
        <f aca="false">IF($E1401="","",IF(INDEX(资金日记账!$W$4:$W$603,246)="","记-"&amp;TEXT($B1401,"YYYYMM")&amp;"-资金",INDEX(资金日记账!$W$4:$W$603,246)))</f>
        <v/>
      </c>
      <c r="D1401" s="107" t="str">
        <f aca="false">IF($E1401="","",INDEX(资金日记账!$D$4:$D$603,246))</f>
        <v/>
      </c>
      <c r="E1401" s="67" t="str">
        <f aca="false">IF(INDEX(资金日记账!$N$4:$S$603,246,4)=0,"",INDEX(资金日记账!$N$4:$S$603,246,4))</f>
        <v/>
      </c>
      <c r="F1401" s="99" t="str">
        <f aca="false">IF($E1401="","",IFERROR(INDEX(科目表!$A$4:$A$81,MATCH($E1401,科目表!$B$4:$B$81,0)),""))</f>
        <v/>
      </c>
      <c r="G1401" s="67" t="str">
        <f aca="false">IF($E1401="","",IFERROR(INDEX(科目表!$E$4:$E$81,MATCH($E1401,科目表!$B$4:$B$81,0)),""))</f>
        <v/>
      </c>
      <c r="H1401" s="70" t="str">
        <f aca="false">IF($E1401="","",N(INDEX(资金日记账!$N$4:$S$603,246,5)))</f>
        <v/>
      </c>
      <c r="I1401" s="70" t="str">
        <f aca="false">IF($E1401="","",N(INDEX(资金日记账!$N$4:$S$603,246,6)))</f>
        <v/>
      </c>
      <c r="J1401" s="67" t="str">
        <f aca="false">IF($E1401="","",INDEX(资金日记账!$E$4:$E$603,246))</f>
        <v/>
      </c>
      <c r="K1401" s="67" t="str">
        <f aca="false">IF($E1401="","",INDEX(资金日记账!$F$4:$F$603,246))</f>
        <v/>
      </c>
      <c r="L1401" s="107" t="str">
        <f aca="false">IF($E1401="","",INDEX(资金日记账!$X$4:$X$603,246))</f>
        <v/>
      </c>
      <c r="M1401" s="107"/>
      <c r="N1401" s="67" t="str">
        <f aca="false">IF($E1401="","",INDEX(资金日记账!$Y$4:$Y$603,246))</f>
        <v/>
      </c>
      <c r="O1401" s="67" t="str">
        <f aca="false">IF($E1401="","","自动B")</f>
        <v/>
      </c>
      <c r="P1401" s="18"/>
    </row>
    <row r="1402" customFormat="false" ht="18" hidden="false" customHeight="true" outlineLevel="0" collapsed="false">
      <c r="A1402" s="107" t="str">
        <f aca="false">IF($E1402="","",ROW()-3)</f>
        <v/>
      </c>
      <c r="B1402" s="110" t="str">
        <f aca="false">IF($E1402="","",INDEX(资金日记账!$B$4:$B$603,247))</f>
        <v/>
      </c>
      <c r="C1402" s="67" t="str">
        <f aca="false">IF($E1402="","",IF(INDEX(资金日记账!$W$4:$W$603,247)="","记-"&amp;TEXT($B1402,"YYYYMM")&amp;"-资金",INDEX(资金日记账!$W$4:$W$603,247)))</f>
        <v/>
      </c>
      <c r="D1402" s="107" t="str">
        <f aca="false">IF($E1402="","",INDEX(资金日记账!$D$4:$D$603,247))</f>
        <v/>
      </c>
      <c r="E1402" s="67" t="str">
        <f aca="false">IF(INDEX(资金日记账!$N$4:$S$603,247,1)=0,"",INDEX(资金日记账!$N$4:$S$603,247,1))</f>
        <v/>
      </c>
      <c r="F1402" s="99" t="str">
        <f aca="false">IF($E1402="","",IFERROR(INDEX(科目表!$A$4:$A$81,MATCH($E1402,科目表!$B$4:$B$81,0)),""))</f>
        <v/>
      </c>
      <c r="G1402" s="67" t="str">
        <f aca="false">IF($E1402="","",IFERROR(INDEX(科目表!$E$4:$E$81,MATCH($E1402,科目表!$B$4:$B$81,0)),""))</f>
        <v/>
      </c>
      <c r="H1402" s="70" t="str">
        <f aca="false">IF($E1402="","",N(INDEX(资金日记账!$N$4:$S$603,247,2)))</f>
        <v/>
      </c>
      <c r="I1402" s="70" t="str">
        <f aca="false">IF($E1402="","",N(INDEX(资金日记账!$N$4:$S$603,247,3)))</f>
        <v/>
      </c>
      <c r="J1402" s="67" t="str">
        <f aca="false">IF($E1402="","",INDEX(资金日记账!$E$4:$E$603,247))</f>
        <v/>
      </c>
      <c r="K1402" s="67" t="str">
        <f aca="false">IF($E1402="","",INDEX(资金日记账!$F$4:$F$603,247))</f>
        <v/>
      </c>
      <c r="L1402" s="107" t="str">
        <f aca="false">IF($E1402="","",INDEX(资金日记账!$X$4:$X$603,247))</f>
        <v/>
      </c>
      <c r="M1402" s="107"/>
      <c r="N1402" s="67" t="str">
        <f aca="false">IF($E1402="","",INDEX(资金日记账!$Y$4:$Y$603,247))</f>
        <v/>
      </c>
      <c r="O1402" s="67" t="str">
        <f aca="false">IF($E1402="","","自动B")</f>
        <v/>
      </c>
      <c r="P1402" s="18"/>
    </row>
    <row r="1403" customFormat="false" ht="18" hidden="false" customHeight="true" outlineLevel="0" collapsed="false">
      <c r="A1403" s="107" t="str">
        <f aca="false">IF($E1403="","",ROW()-3)</f>
        <v/>
      </c>
      <c r="B1403" s="110" t="str">
        <f aca="false">IF($E1403="","",INDEX(资金日记账!$B$4:$B$603,247))</f>
        <v/>
      </c>
      <c r="C1403" s="67" t="str">
        <f aca="false">IF($E1403="","",IF(INDEX(资金日记账!$W$4:$W$603,247)="","记-"&amp;TEXT($B1403,"YYYYMM")&amp;"-资金",INDEX(资金日记账!$W$4:$W$603,247)))</f>
        <v/>
      </c>
      <c r="D1403" s="107" t="str">
        <f aca="false">IF($E1403="","",INDEX(资金日记账!$D$4:$D$603,247))</f>
        <v/>
      </c>
      <c r="E1403" s="67" t="str">
        <f aca="false">IF(INDEX(资金日记账!$N$4:$S$603,247,4)=0,"",INDEX(资金日记账!$N$4:$S$603,247,4))</f>
        <v/>
      </c>
      <c r="F1403" s="99" t="str">
        <f aca="false">IF($E1403="","",IFERROR(INDEX(科目表!$A$4:$A$81,MATCH($E1403,科目表!$B$4:$B$81,0)),""))</f>
        <v/>
      </c>
      <c r="G1403" s="67" t="str">
        <f aca="false">IF($E1403="","",IFERROR(INDEX(科目表!$E$4:$E$81,MATCH($E1403,科目表!$B$4:$B$81,0)),""))</f>
        <v/>
      </c>
      <c r="H1403" s="70" t="str">
        <f aca="false">IF($E1403="","",N(INDEX(资金日记账!$N$4:$S$603,247,5)))</f>
        <v/>
      </c>
      <c r="I1403" s="70" t="str">
        <f aca="false">IF($E1403="","",N(INDEX(资金日记账!$N$4:$S$603,247,6)))</f>
        <v/>
      </c>
      <c r="J1403" s="67" t="str">
        <f aca="false">IF($E1403="","",INDEX(资金日记账!$E$4:$E$603,247))</f>
        <v/>
      </c>
      <c r="K1403" s="67" t="str">
        <f aca="false">IF($E1403="","",INDEX(资金日记账!$F$4:$F$603,247))</f>
        <v/>
      </c>
      <c r="L1403" s="107" t="str">
        <f aca="false">IF($E1403="","",INDEX(资金日记账!$X$4:$X$603,247))</f>
        <v/>
      </c>
      <c r="M1403" s="107"/>
      <c r="N1403" s="67" t="str">
        <f aca="false">IF($E1403="","",INDEX(资金日记账!$Y$4:$Y$603,247))</f>
        <v/>
      </c>
      <c r="O1403" s="67" t="str">
        <f aca="false">IF($E1403="","","自动B")</f>
        <v/>
      </c>
      <c r="P1403" s="18"/>
    </row>
    <row r="1404" customFormat="false" ht="18" hidden="false" customHeight="true" outlineLevel="0" collapsed="false">
      <c r="A1404" s="107" t="str">
        <f aca="false">IF($E1404="","",ROW()-3)</f>
        <v/>
      </c>
      <c r="B1404" s="110" t="str">
        <f aca="false">IF($E1404="","",INDEX(资金日记账!$B$4:$B$603,248))</f>
        <v/>
      </c>
      <c r="C1404" s="67" t="str">
        <f aca="false">IF($E1404="","",IF(INDEX(资金日记账!$W$4:$W$603,248)="","记-"&amp;TEXT($B1404,"YYYYMM")&amp;"-资金",INDEX(资金日记账!$W$4:$W$603,248)))</f>
        <v/>
      </c>
      <c r="D1404" s="107" t="str">
        <f aca="false">IF($E1404="","",INDEX(资金日记账!$D$4:$D$603,248))</f>
        <v/>
      </c>
      <c r="E1404" s="67" t="str">
        <f aca="false">IF(INDEX(资金日记账!$N$4:$S$603,248,1)=0,"",INDEX(资金日记账!$N$4:$S$603,248,1))</f>
        <v/>
      </c>
      <c r="F1404" s="99" t="str">
        <f aca="false">IF($E1404="","",IFERROR(INDEX(科目表!$A$4:$A$81,MATCH($E1404,科目表!$B$4:$B$81,0)),""))</f>
        <v/>
      </c>
      <c r="G1404" s="67" t="str">
        <f aca="false">IF($E1404="","",IFERROR(INDEX(科目表!$E$4:$E$81,MATCH($E1404,科目表!$B$4:$B$81,0)),""))</f>
        <v/>
      </c>
      <c r="H1404" s="70" t="str">
        <f aca="false">IF($E1404="","",N(INDEX(资金日记账!$N$4:$S$603,248,2)))</f>
        <v/>
      </c>
      <c r="I1404" s="70" t="str">
        <f aca="false">IF($E1404="","",N(INDEX(资金日记账!$N$4:$S$603,248,3)))</f>
        <v/>
      </c>
      <c r="J1404" s="67" t="str">
        <f aca="false">IF($E1404="","",INDEX(资金日记账!$E$4:$E$603,248))</f>
        <v/>
      </c>
      <c r="K1404" s="67" t="str">
        <f aca="false">IF($E1404="","",INDEX(资金日记账!$F$4:$F$603,248))</f>
        <v/>
      </c>
      <c r="L1404" s="107" t="str">
        <f aca="false">IF($E1404="","",INDEX(资金日记账!$X$4:$X$603,248))</f>
        <v/>
      </c>
      <c r="M1404" s="107"/>
      <c r="N1404" s="67" t="str">
        <f aca="false">IF($E1404="","",INDEX(资金日记账!$Y$4:$Y$603,248))</f>
        <v/>
      </c>
      <c r="O1404" s="67" t="str">
        <f aca="false">IF($E1404="","","自动B")</f>
        <v/>
      </c>
      <c r="P1404" s="18"/>
    </row>
    <row r="1405" customFormat="false" ht="18" hidden="false" customHeight="true" outlineLevel="0" collapsed="false">
      <c r="A1405" s="107" t="str">
        <f aca="false">IF($E1405="","",ROW()-3)</f>
        <v/>
      </c>
      <c r="B1405" s="110" t="str">
        <f aca="false">IF($E1405="","",INDEX(资金日记账!$B$4:$B$603,248))</f>
        <v/>
      </c>
      <c r="C1405" s="67" t="str">
        <f aca="false">IF($E1405="","",IF(INDEX(资金日记账!$W$4:$W$603,248)="","记-"&amp;TEXT($B1405,"YYYYMM")&amp;"-资金",INDEX(资金日记账!$W$4:$W$603,248)))</f>
        <v/>
      </c>
      <c r="D1405" s="107" t="str">
        <f aca="false">IF($E1405="","",INDEX(资金日记账!$D$4:$D$603,248))</f>
        <v/>
      </c>
      <c r="E1405" s="67" t="str">
        <f aca="false">IF(INDEX(资金日记账!$N$4:$S$603,248,4)=0,"",INDEX(资金日记账!$N$4:$S$603,248,4))</f>
        <v/>
      </c>
      <c r="F1405" s="99" t="str">
        <f aca="false">IF($E1405="","",IFERROR(INDEX(科目表!$A$4:$A$81,MATCH($E1405,科目表!$B$4:$B$81,0)),""))</f>
        <v/>
      </c>
      <c r="G1405" s="67" t="str">
        <f aca="false">IF($E1405="","",IFERROR(INDEX(科目表!$E$4:$E$81,MATCH($E1405,科目表!$B$4:$B$81,0)),""))</f>
        <v/>
      </c>
      <c r="H1405" s="70" t="str">
        <f aca="false">IF($E1405="","",N(INDEX(资金日记账!$N$4:$S$603,248,5)))</f>
        <v/>
      </c>
      <c r="I1405" s="70" t="str">
        <f aca="false">IF($E1405="","",N(INDEX(资金日记账!$N$4:$S$603,248,6)))</f>
        <v/>
      </c>
      <c r="J1405" s="67" t="str">
        <f aca="false">IF($E1405="","",INDEX(资金日记账!$E$4:$E$603,248))</f>
        <v/>
      </c>
      <c r="K1405" s="67" t="str">
        <f aca="false">IF($E1405="","",INDEX(资金日记账!$F$4:$F$603,248))</f>
        <v/>
      </c>
      <c r="L1405" s="107" t="str">
        <f aca="false">IF($E1405="","",INDEX(资金日记账!$X$4:$X$603,248))</f>
        <v/>
      </c>
      <c r="M1405" s="107"/>
      <c r="N1405" s="67" t="str">
        <f aca="false">IF($E1405="","",INDEX(资金日记账!$Y$4:$Y$603,248))</f>
        <v/>
      </c>
      <c r="O1405" s="67" t="str">
        <f aca="false">IF($E1405="","","自动B")</f>
        <v/>
      </c>
      <c r="P1405" s="18"/>
    </row>
    <row r="1406" customFormat="false" ht="18" hidden="false" customHeight="true" outlineLevel="0" collapsed="false">
      <c r="A1406" s="107" t="str">
        <f aca="false">IF($E1406="","",ROW()-3)</f>
        <v/>
      </c>
      <c r="B1406" s="110" t="str">
        <f aca="false">IF($E1406="","",INDEX(资金日记账!$B$4:$B$603,249))</f>
        <v/>
      </c>
      <c r="C1406" s="67" t="str">
        <f aca="false">IF($E1406="","",IF(INDEX(资金日记账!$W$4:$W$603,249)="","记-"&amp;TEXT($B1406,"YYYYMM")&amp;"-资金",INDEX(资金日记账!$W$4:$W$603,249)))</f>
        <v/>
      </c>
      <c r="D1406" s="107" t="str">
        <f aca="false">IF($E1406="","",INDEX(资金日记账!$D$4:$D$603,249))</f>
        <v/>
      </c>
      <c r="E1406" s="67" t="str">
        <f aca="false">IF(INDEX(资金日记账!$N$4:$S$603,249,1)=0,"",INDEX(资金日记账!$N$4:$S$603,249,1))</f>
        <v/>
      </c>
      <c r="F1406" s="99" t="str">
        <f aca="false">IF($E1406="","",IFERROR(INDEX(科目表!$A$4:$A$81,MATCH($E1406,科目表!$B$4:$B$81,0)),""))</f>
        <v/>
      </c>
      <c r="G1406" s="67" t="str">
        <f aca="false">IF($E1406="","",IFERROR(INDEX(科目表!$E$4:$E$81,MATCH($E1406,科目表!$B$4:$B$81,0)),""))</f>
        <v/>
      </c>
      <c r="H1406" s="70" t="str">
        <f aca="false">IF($E1406="","",N(INDEX(资金日记账!$N$4:$S$603,249,2)))</f>
        <v/>
      </c>
      <c r="I1406" s="70" t="str">
        <f aca="false">IF($E1406="","",N(INDEX(资金日记账!$N$4:$S$603,249,3)))</f>
        <v/>
      </c>
      <c r="J1406" s="67" t="str">
        <f aca="false">IF($E1406="","",INDEX(资金日记账!$E$4:$E$603,249))</f>
        <v/>
      </c>
      <c r="K1406" s="67" t="str">
        <f aca="false">IF($E1406="","",INDEX(资金日记账!$F$4:$F$603,249))</f>
        <v/>
      </c>
      <c r="L1406" s="107" t="str">
        <f aca="false">IF($E1406="","",INDEX(资金日记账!$X$4:$X$603,249))</f>
        <v/>
      </c>
      <c r="M1406" s="107"/>
      <c r="N1406" s="67" t="str">
        <f aca="false">IF($E1406="","",INDEX(资金日记账!$Y$4:$Y$603,249))</f>
        <v/>
      </c>
      <c r="O1406" s="67" t="str">
        <f aca="false">IF($E1406="","","自动B")</f>
        <v/>
      </c>
      <c r="P1406" s="18"/>
    </row>
    <row r="1407" customFormat="false" ht="18" hidden="false" customHeight="true" outlineLevel="0" collapsed="false">
      <c r="A1407" s="107" t="str">
        <f aca="false">IF($E1407="","",ROW()-3)</f>
        <v/>
      </c>
      <c r="B1407" s="110" t="str">
        <f aca="false">IF($E1407="","",INDEX(资金日记账!$B$4:$B$603,249))</f>
        <v/>
      </c>
      <c r="C1407" s="67" t="str">
        <f aca="false">IF($E1407="","",IF(INDEX(资金日记账!$W$4:$W$603,249)="","记-"&amp;TEXT($B1407,"YYYYMM")&amp;"-资金",INDEX(资金日记账!$W$4:$W$603,249)))</f>
        <v/>
      </c>
      <c r="D1407" s="107" t="str">
        <f aca="false">IF($E1407="","",INDEX(资金日记账!$D$4:$D$603,249))</f>
        <v/>
      </c>
      <c r="E1407" s="67" t="str">
        <f aca="false">IF(INDEX(资金日记账!$N$4:$S$603,249,4)=0,"",INDEX(资金日记账!$N$4:$S$603,249,4))</f>
        <v/>
      </c>
      <c r="F1407" s="99" t="str">
        <f aca="false">IF($E1407="","",IFERROR(INDEX(科目表!$A$4:$A$81,MATCH($E1407,科目表!$B$4:$B$81,0)),""))</f>
        <v/>
      </c>
      <c r="G1407" s="67" t="str">
        <f aca="false">IF($E1407="","",IFERROR(INDEX(科目表!$E$4:$E$81,MATCH($E1407,科目表!$B$4:$B$81,0)),""))</f>
        <v/>
      </c>
      <c r="H1407" s="70" t="str">
        <f aca="false">IF($E1407="","",N(INDEX(资金日记账!$N$4:$S$603,249,5)))</f>
        <v/>
      </c>
      <c r="I1407" s="70" t="str">
        <f aca="false">IF($E1407="","",N(INDEX(资金日记账!$N$4:$S$603,249,6)))</f>
        <v/>
      </c>
      <c r="J1407" s="67" t="str">
        <f aca="false">IF($E1407="","",INDEX(资金日记账!$E$4:$E$603,249))</f>
        <v/>
      </c>
      <c r="K1407" s="67" t="str">
        <f aca="false">IF($E1407="","",INDEX(资金日记账!$F$4:$F$603,249))</f>
        <v/>
      </c>
      <c r="L1407" s="107" t="str">
        <f aca="false">IF($E1407="","",INDEX(资金日记账!$X$4:$X$603,249))</f>
        <v/>
      </c>
      <c r="M1407" s="107"/>
      <c r="N1407" s="67" t="str">
        <f aca="false">IF($E1407="","",INDEX(资金日记账!$Y$4:$Y$603,249))</f>
        <v/>
      </c>
      <c r="O1407" s="67" t="str">
        <f aca="false">IF($E1407="","","自动B")</f>
        <v/>
      </c>
      <c r="P1407" s="18"/>
    </row>
    <row r="1408" customFormat="false" ht="18" hidden="false" customHeight="true" outlineLevel="0" collapsed="false">
      <c r="A1408" s="107" t="str">
        <f aca="false">IF($E1408="","",ROW()-3)</f>
        <v/>
      </c>
      <c r="B1408" s="110" t="str">
        <f aca="false">IF($E1408="","",INDEX(资金日记账!$B$4:$B$603,250))</f>
        <v/>
      </c>
      <c r="C1408" s="67" t="str">
        <f aca="false">IF($E1408="","",IF(INDEX(资金日记账!$W$4:$W$603,250)="","记-"&amp;TEXT($B1408,"YYYYMM")&amp;"-资金",INDEX(资金日记账!$W$4:$W$603,250)))</f>
        <v/>
      </c>
      <c r="D1408" s="107" t="str">
        <f aca="false">IF($E1408="","",INDEX(资金日记账!$D$4:$D$603,250))</f>
        <v/>
      </c>
      <c r="E1408" s="67" t="str">
        <f aca="false">IF(INDEX(资金日记账!$N$4:$S$603,250,1)=0,"",INDEX(资金日记账!$N$4:$S$603,250,1))</f>
        <v/>
      </c>
      <c r="F1408" s="99" t="str">
        <f aca="false">IF($E1408="","",IFERROR(INDEX(科目表!$A$4:$A$81,MATCH($E1408,科目表!$B$4:$B$81,0)),""))</f>
        <v/>
      </c>
      <c r="G1408" s="67" t="str">
        <f aca="false">IF($E1408="","",IFERROR(INDEX(科目表!$E$4:$E$81,MATCH($E1408,科目表!$B$4:$B$81,0)),""))</f>
        <v/>
      </c>
      <c r="H1408" s="70" t="str">
        <f aca="false">IF($E1408="","",N(INDEX(资金日记账!$N$4:$S$603,250,2)))</f>
        <v/>
      </c>
      <c r="I1408" s="70" t="str">
        <f aca="false">IF($E1408="","",N(INDEX(资金日记账!$N$4:$S$603,250,3)))</f>
        <v/>
      </c>
      <c r="J1408" s="67" t="str">
        <f aca="false">IF($E1408="","",INDEX(资金日记账!$E$4:$E$603,250))</f>
        <v/>
      </c>
      <c r="K1408" s="67" t="str">
        <f aca="false">IF($E1408="","",INDEX(资金日记账!$F$4:$F$603,250))</f>
        <v/>
      </c>
      <c r="L1408" s="107" t="str">
        <f aca="false">IF($E1408="","",INDEX(资金日记账!$X$4:$X$603,250))</f>
        <v/>
      </c>
      <c r="M1408" s="107"/>
      <c r="N1408" s="67" t="str">
        <f aca="false">IF($E1408="","",INDEX(资金日记账!$Y$4:$Y$603,250))</f>
        <v/>
      </c>
      <c r="O1408" s="67" t="str">
        <f aca="false">IF($E1408="","","自动B")</f>
        <v/>
      </c>
      <c r="P1408" s="18"/>
    </row>
    <row r="1409" customFormat="false" ht="18" hidden="false" customHeight="true" outlineLevel="0" collapsed="false">
      <c r="A1409" s="107" t="str">
        <f aca="false">IF($E1409="","",ROW()-3)</f>
        <v/>
      </c>
      <c r="B1409" s="110" t="str">
        <f aca="false">IF($E1409="","",INDEX(资金日记账!$B$4:$B$603,250))</f>
        <v/>
      </c>
      <c r="C1409" s="67" t="str">
        <f aca="false">IF($E1409="","",IF(INDEX(资金日记账!$W$4:$W$603,250)="","记-"&amp;TEXT($B1409,"YYYYMM")&amp;"-资金",INDEX(资金日记账!$W$4:$W$603,250)))</f>
        <v/>
      </c>
      <c r="D1409" s="107" t="str">
        <f aca="false">IF($E1409="","",INDEX(资金日记账!$D$4:$D$603,250))</f>
        <v/>
      </c>
      <c r="E1409" s="67" t="str">
        <f aca="false">IF(INDEX(资金日记账!$N$4:$S$603,250,4)=0,"",INDEX(资金日记账!$N$4:$S$603,250,4))</f>
        <v/>
      </c>
      <c r="F1409" s="99" t="str">
        <f aca="false">IF($E1409="","",IFERROR(INDEX(科目表!$A$4:$A$81,MATCH($E1409,科目表!$B$4:$B$81,0)),""))</f>
        <v/>
      </c>
      <c r="G1409" s="67" t="str">
        <f aca="false">IF($E1409="","",IFERROR(INDEX(科目表!$E$4:$E$81,MATCH($E1409,科目表!$B$4:$B$81,0)),""))</f>
        <v/>
      </c>
      <c r="H1409" s="70" t="str">
        <f aca="false">IF($E1409="","",N(INDEX(资金日记账!$N$4:$S$603,250,5)))</f>
        <v/>
      </c>
      <c r="I1409" s="70" t="str">
        <f aca="false">IF($E1409="","",N(INDEX(资金日记账!$N$4:$S$603,250,6)))</f>
        <v/>
      </c>
      <c r="J1409" s="67" t="str">
        <f aca="false">IF($E1409="","",INDEX(资金日记账!$E$4:$E$603,250))</f>
        <v/>
      </c>
      <c r="K1409" s="67" t="str">
        <f aca="false">IF($E1409="","",INDEX(资金日记账!$F$4:$F$603,250))</f>
        <v/>
      </c>
      <c r="L1409" s="107" t="str">
        <f aca="false">IF($E1409="","",INDEX(资金日记账!$X$4:$X$603,250))</f>
        <v/>
      </c>
      <c r="M1409" s="107"/>
      <c r="N1409" s="67" t="str">
        <f aca="false">IF($E1409="","",INDEX(资金日记账!$Y$4:$Y$603,250))</f>
        <v/>
      </c>
      <c r="O1409" s="67" t="str">
        <f aca="false">IF($E1409="","","自动B")</f>
        <v/>
      </c>
      <c r="P1409" s="18"/>
    </row>
    <row r="1410" customFormat="false" ht="18" hidden="false" customHeight="true" outlineLevel="0" collapsed="false">
      <c r="A1410" s="107" t="str">
        <f aca="false">IF($E1410="","",ROW()-3)</f>
        <v/>
      </c>
      <c r="B1410" s="110" t="str">
        <f aca="false">IF($E1410="","",INDEX(资金日记账!$B$4:$B$603,251))</f>
        <v/>
      </c>
      <c r="C1410" s="67" t="str">
        <f aca="false">IF($E1410="","",IF(INDEX(资金日记账!$W$4:$W$603,251)="","记-"&amp;TEXT($B1410,"YYYYMM")&amp;"-资金",INDEX(资金日记账!$W$4:$W$603,251)))</f>
        <v/>
      </c>
      <c r="D1410" s="107" t="str">
        <f aca="false">IF($E1410="","",INDEX(资金日记账!$D$4:$D$603,251))</f>
        <v/>
      </c>
      <c r="E1410" s="67" t="str">
        <f aca="false">IF(INDEX(资金日记账!$N$4:$S$603,251,1)=0,"",INDEX(资金日记账!$N$4:$S$603,251,1))</f>
        <v/>
      </c>
      <c r="F1410" s="99" t="str">
        <f aca="false">IF($E1410="","",IFERROR(INDEX(科目表!$A$4:$A$81,MATCH($E1410,科目表!$B$4:$B$81,0)),""))</f>
        <v/>
      </c>
      <c r="G1410" s="67" t="str">
        <f aca="false">IF($E1410="","",IFERROR(INDEX(科目表!$E$4:$E$81,MATCH($E1410,科目表!$B$4:$B$81,0)),""))</f>
        <v/>
      </c>
      <c r="H1410" s="70" t="str">
        <f aca="false">IF($E1410="","",N(INDEX(资金日记账!$N$4:$S$603,251,2)))</f>
        <v/>
      </c>
      <c r="I1410" s="70" t="str">
        <f aca="false">IF($E1410="","",N(INDEX(资金日记账!$N$4:$S$603,251,3)))</f>
        <v/>
      </c>
      <c r="J1410" s="67" t="str">
        <f aca="false">IF($E1410="","",INDEX(资金日记账!$E$4:$E$603,251))</f>
        <v/>
      </c>
      <c r="K1410" s="67" t="str">
        <f aca="false">IF($E1410="","",INDEX(资金日记账!$F$4:$F$603,251))</f>
        <v/>
      </c>
      <c r="L1410" s="107" t="str">
        <f aca="false">IF($E1410="","",INDEX(资金日记账!$X$4:$X$603,251))</f>
        <v/>
      </c>
      <c r="M1410" s="107"/>
      <c r="N1410" s="67" t="str">
        <f aca="false">IF($E1410="","",INDEX(资金日记账!$Y$4:$Y$603,251))</f>
        <v/>
      </c>
      <c r="O1410" s="67" t="str">
        <f aca="false">IF($E1410="","","自动B")</f>
        <v/>
      </c>
      <c r="P1410" s="18"/>
    </row>
    <row r="1411" customFormat="false" ht="18" hidden="false" customHeight="true" outlineLevel="0" collapsed="false">
      <c r="A1411" s="107" t="str">
        <f aca="false">IF($E1411="","",ROW()-3)</f>
        <v/>
      </c>
      <c r="B1411" s="110" t="str">
        <f aca="false">IF($E1411="","",INDEX(资金日记账!$B$4:$B$603,251))</f>
        <v/>
      </c>
      <c r="C1411" s="67" t="str">
        <f aca="false">IF($E1411="","",IF(INDEX(资金日记账!$W$4:$W$603,251)="","记-"&amp;TEXT($B1411,"YYYYMM")&amp;"-资金",INDEX(资金日记账!$W$4:$W$603,251)))</f>
        <v/>
      </c>
      <c r="D1411" s="107" t="str">
        <f aca="false">IF($E1411="","",INDEX(资金日记账!$D$4:$D$603,251))</f>
        <v/>
      </c>
      <c r="E1411" s="67" t="str">
        <f aca="false">IF(INDEX(资金日记账!$N$4:$S$603,251,4)=0,"",INDEX(资金日记账!$N$4:$S$603,251,4))</f>
        <v/>
      </c>
      <c r="F1411" s="99" t="str">
        <f aca="false">IF($E1411="","",IFERROR(INDEX(科目表!$A$4:$A$81,MATCH($E1411,科目表!$B$4:$B$81,0)),""))</f>
        <v/>
      </c>
      <c r="G1411" s="67" t="str">
        <f aca="false">IF($E1411="","",IFERROR(INDEX(科目表!$E$4:$E$81,MATCH($E1411,科目表!$B$4:$B$81,0)),""))</f>
        <v/>
      </c>
      <c r="H1411" s="70" t="str">
        <f aca="false">IF($E1411="","",N(INDEX(资金日记账!$N$4:$S$603,251,5)))</f>
        <v/>
      </c>
      <c r="I1411" s="70" t="str">
        <f aca="false">IF($E1411="","",N(INDEX(资金日记账!$N$4:$S$603,251,6)))</f>
        <v/>
      </c>
      <c r="J1411" s="67" t="str">
        <f aca="false">IF($E1411="","",INDEX(资金日记账!$E$4:$E$603,251))</f>
        <v/>
      </c>
      <c r="K1411" s="67" t="str">
        <f aca="false">IF($E1411="","",INDEX(资金日记账!$F$4:$F$603,251))</f>
        <v/>
      </c>
      <c r="L1411" s="107" t="str">
        <f aca="false">IF($E1411="","",INDEX(资金日记账!$X$4:$X$603,251))</f>
        <v/>
      </c>
      <c r="M1411" s="107"/>
      <c r="N1411" s="67" t="str">
        <f aca="false">IF($E1411="","",INDEX(资金日记账!$Y$4:$Y$603,251))</f>
        <v/>
      </c>
      <c r="O1411" s="67" t="str">
        <f aca="false">IF($E1411="","","自动B")</f>
        <v/>
      </c>
      <c r="P1411" s="18"/>
    </row>
    <row r="1412" customFormat="false" ht="18" hidden="false" customHeight="true" outlineLevel="0" collapsed="false">
      <c r="A1412" s="107" t="str">
        <f aca="false">IF($E1412="","",ROW()-3)</f>
        <v/>
      </c>
      <c r="B1412" s="110" t="str">
        <f aca="false">IF($E1412="","",INDEX(资金日记账!$B$4:$B$603,252))</f>
        <v/>
      </c>
      <c r="C1412" s="67" t="str">
        <f aca="false">IF($E1412="","",IF(INDEX(资金日记账!$W$4:$W$603,252)="","记-"&amp;TEXT($B1412,"YYYYMM")&amp;"-资金",INDEX(资金日记账!$W$4:$W$603,252)))</f>
        <v/>
      </c>
      <c r="D1412" s="107" t="str">
        <f aca="false">IF($E1412="","",INDEX(资金日记账!$D$4:$D$603,252))</f>
        <v/>
      </c>
      <c r="E1412" s="67" t="str">
        <f aca="false">IF(INDEX(资金日记账!$N$4:$S$603,252,1)=0,"",INDEX(资金日记账!$N$4:$S$603,252,1))</f>
        <v/>
      </c>
      <c r="F1412" s="99" t="str">
        <f aca="false">IF($E1412="","",IFERROR(INDEX(科目表!$A$4:$A$81,MATCH($E1412,科目表!$B$4:$B$81,0)),""))</f>
        <v/>
      </c>
      <c r="G1412" s="67" t="str">
        <f aca="false">IF($E1412="","",IFERROR(INDEX(科目表!$E$4:$E$81,MATCH($E1412,科目表!$B$4:$B$81,0)),""))</f>
        <v/>
      </c>
      <c r="H1412" s="70" t="str">
        <f aca="false">IF($E1412="","",N(INDEX(资金日记账!$N$4:$S$603,252,2)))</f>
        <v/>
      </c>
      <c r="I1412" s="70" t="str">
        <f aca="false">IF($E1412="","",N(INDEX(资金日记账!$N$4:$S$603,252,3)))</f>
        <v/>
      </c>
      <c r="J1412" s="67" t="str">
        <f aca="false">IF($E1412="","",INDEX(资金日记账!$E$4:$E$603,252))</f>
        <v/>
      </c>
      <c r="K1412" s="67" t="str">
        <f aca="false">IF($E1412="","",INDEX(资金日记账!$F$4:$F$603,252))</f>
        <v/>
      </c>
      <c r="L1412" s="107" t="str">
        <f aca="false">IF($E1412="","",INDEX(资金日记账!$X$4:$X$603,252))</f>
        <v/>
      </c>
      <c r="M1412" s="107"/>
      <c r="N1412" s="67" t="str">
        <f aca="false">IF($E1412="","",INDEX(资金日记账!$Y$4:$Y$603,252))</f>
        <v/>
      </c>
      <c r="O1412" s="67" t="str">
        <f aca="false">IF($E1412="","","自动B")</f>
        <v/>
      </c>
      <c r="P1412" s="18"/>
    </row>
    <row r="1413" customFormat="false" ht="18" hidden="false" customHeight="true" outlineLevel="0" collapsed="false">
      <c r="A1413" s="107" t="str">
        <f aca="false">IF($E1413="","",ROW()-3)</f>
        <v/>
      </c>
      <c r="B1413" s="110" t="str">
        <f aca="false">IF($E1413="","",INDEX(资金日记账!$B$4:$B$603,252))</f>
        <v/>
      </c>
      <c r="C1413" s="67" t="str">
        <f aca="false">IF($E1413="","",IF(INDEX(资金日记账!$W$4:$W$603,252)="","记-"&amp;TEXT($B1413,"YYYYMM")&amp;"-资金",INDEX(资金日记账!$W$4:$W$603,252)))</f>
        <v/>
      </c>
      <c r="D1413" s="107" t="str">
        <f aca="false">IF($E1413="","",INDEX(资金日记账!$D$4:$D$603,252))</f>
        <v/>
      </c>
      <c r="E1413" s="67" t="str">
        <f aca="false">IF(INDEX(资金日记账!$N$4:$S$603,252,4)=0,"",INDEX(资金日记账!$N$4:$S$603,252,4))</f>
        <v/>
      </c>
      <c r="F1413" s="99" t="str">
        <f aca="false">IF($E1413="","",IFERROR(INDEX(科目表!$A$4:$A$81,MATCH($E1413,科目表!$B$4:$B$81,0)),""))</f>
        <v/>
      </c>
      <c r="G1413" s="67" t="str">
        <f aca="false">IF($E1413="","",IFERROR(INDEX(科目表!$E$4:$E$81,MATCH($E1413,科目表!$B$4:$B$81,0)),""))</f>
        <v/>
      </c>
      <c r="H1413" s="70" t="str">
        <f aca="false">IF($E1413="","",N(INDEX(资金日记账!$N$4:$S$603,252,5)))</f>
        <v/>
      </c>
      <c r="I1413" s="70" t="str">
        <f aca="false">IF($E1413="","",N(INDEX(资金日记账!$N$4:$S$603,252,6)))</f>
        <v/>
      </c>
      <c r="J1413" s="67" t="str">
        <f aca="false">IF($E1413="","",INDEX(资金日记账!$E$4:$E$603,252))</f>
        <v/>
      </c>
      <c r="K1413" s="67" t="str">
        <f aca="false">IF($E1413="","",INDEX(资金日记账!$F$4:$F$603,252))</f>
        <v/>
      </c>
      <c r="L1413" s="107" t="str">
        <f aca="false">IF($E1413="","",INDEX(资金日记账!$X$4:$X$603,252))</f>
        <v/>
      </c>
      <c r="M1413" s="107"/>
      <c r="N1413" s="67" t="str">
        <f aca="false">IF($E1413="","",INDEX(资金日记账!$Y$4:$Y$603,252))</f>
        <v/>
      </c>
      <c r="O1413" s="67" t="str">
        <f aca="false">IF($E1413="","","自动B")</f>
        <v/>
      </c>
      <c r="P1413" s="18"/>
    </row>
    <row r="1414" customFormat="false" ht="18" hidden="false" customHeight="true" outlineLevel="0" collapsed="false">
      <c r="A1414" s="107" t="str">
        <f aca="false">IF($E1414="","",ROW()-3)</f>
        <v/>
      </c>
      <c r="B1414" s="110" t="str">
        <f aca="false">IF($E1414="","",INDEX(资金日记账!$B$4:$B$603,253))</f>
        <v/>
      </c>
      <c r="C1414" s="67" t="str">
        <f aca="false">IF($E1414="","",IF(INDEX(资金日记账!$W$4:$W$603,253)="","记-"&amp;TEXT($B1414,"YYYYMM")&amp;"-资金",INDEX(资金日记账!$W$4:$W$603,253)))</f>
        <v/>
      </c>
      <c r="D1414" s="107" t="str">
        <f aca="false">IF($E1414="","",INDEX(资金日记账!$D$4:$D$603,253))</f>
        <v/>
      </c>
      <c r="E1414" s="67" t="str">
        <f aca="false">IF(INDEX(资金日记账!$N$4:$S$603,253,1)=0,"",INDEX(资金日记账!$N$4:$S$603,253,1))</f>
        <v/>
      </c>
      <c r="F1414" s="99" t="str">
        <f aca="false">IF($E1414="","",IFERROR(INDEX(科目表!$A$4:$A$81,MATCH($E1414,科目表!$B$4:$B$81,0)),""))</f>
        <v/>
      </c>
      <c r="G1414" s="67" t="str">
        <f aca="false">IF($E1414="","",IFERROR(INDEX(科目表!$E$4:$E$81,MATCH($E1414,科目表!$B$4:$B$81,0)),""))</f>
        <v/>
      </c>
      <c r="H1414" s="70" t="str">
        <f aca="false">IF($E1414="","",N(INDEX(资金日记账!$N$4:$S$603,253,2)))</f>
        <v/>
      </c>
      <c r="I1414" s="70" t="str">
        <f aca="false">IF($E1414="","",N(INDEX(资金日记账!$N$4:$S$603,253,3)))</f>
        <v/>
      </c>
      <c r="J1414" s="67" t="str">
        <f aca="false">IF($E1414="","",INDEX(资金日记账!$E$4:$E$603,253))</f>
        <v/>
      </c>
      <c r="K1414" s="67" t="str">
        <f aca="false">IF($E1414="","",INDEX(资金日记账!$F$4:$F$603,253))</f>
        <v/>
      </c>
      <c r="L1414" s="107" t="str">
        <f aca="false">IF($E1414="","",INDEX(资金日记账!$X$4:$X$603,253))</f>
        <v/>
      </c>
      <c r="M1414" s="107"/>
      <c r="N1414" s="67" t="str">
        <f aca="false">IF($E1414="","",INDEX(资金日记账!$Y$4:$Y$603,253))</f>
        <v/>
      </c>
      <c r="O1414" s="67" t="str">
        <f aca="false">IF($E1414="","","自动B")</f>
        <v/>
      </c>
      <c r="P1414" s="18"/>
    </row>
    <row r="1415" customFormat="false" ht="18" hidden="false" customHeight="true" outlineLevel="0" collapsed="false">
      <c r="A1415" s="107" t="str">
        <f aca="false">IF($E1415="","",ROW()-3)</f>
        <v/>
      </c>
      <c r="B1415" s="110" t="str">
        <f aca="false">IF($E1415="","",INDEX(资金日记账!$B$4:$B$603,253))</f>
        <v/>
      </c>
      <c r="C1415" s="67" t="str">
        <f aca="false">IF($E1415="","",IF(INDEX(资金日记账!$W$4:$W$603,253)="","记-"&amp;TEXT($B1415,"YYYYMM")&amp;"-资金",INDEX(资金日记账!$W$4:$W$603,253)))</f>
        <v/>
      </c>
      <c r="D1415" s="107" t="str">
        <f aca="false">IF($E1415="","",INDEX(资金日记账!$D$4:$D$603,253))</f>
        <v/>
      </c>
      <c r="E1415" s="67" t="str">
        <f aca="false">IF(INDEX(资金日记账!$N$4:$S$603,253,4)=0,"",INDEX(资金日记账!$N$4:$S$603,253,4))</f>
        <v/>
      </c>
      <c r="F1415" s="99" t="str">
        <f aca="false">IF($E1415="","",IFERROR(INDEX(科目表!$A$4:$A$81,MATCH($E1415,科目表!$B$4:$B$81,0)),""))</f>
        <v/>
      </c>
      <c r="G1415" s="67" t="str">
        <f aca="false">IF($E1415="","",IFERROR(INDEX(科目表!$E$4:$E$81,MATCH($E1415,科目表!$B$4:$B$81,0)),""))</f>
        <v/>
      </c>
      <c r="H1415" s="70" t="str">
        <f aca="false">IF($E1415="","",N(INDEX(资金日记账!$N$4:$S$603,253,5)))</f>
        <v/>
      </c>
      <c r="I1415" s="70" t="str">
        <f aca="false">IF($E1415="","",N(INDEX(资金日记账!$N$4:$S$603,253,6)))</f>
        <v/>
      </c>
      <c r="J1415" s="67" t="str">
        <f aca="false">IF($E1415="","",INDEX(资金日记账!$E$4:$E$603,253))</f>
        <v/>
      </c>
      <c r="K1415" s="67" t="str">
        <f aca="false">IF($E1415="","",INDEX(资金日记账!$F$4:$F$603,253))</f>
        <v/>
      </c>
      <c r="L1415" s="107" t="str">
        <f aca="false">IF($E1415="","",INDEX(资金日记账!$X$4:$X$603,253))</f>
        <v/>
      </c>
      <c r="M1415" s="107"/>
      <c r="N1415" s="67" t="str">
        <f aca="false">IF($E1415="","",INDEX(资金日记账!$Y$4:$Y$603,253))</f>
        <v/>
      </c>
      <c r="O1415" s="67" t="str">
        <f aca="false">IF($E1415="","","自动B")</f>
        <v/>
      </c>
      <c r="P1415" s="18"/>
    </row>
    <row r="1416" customFormat="false" ht="18" hidden="false" customHeight="true" outlineLevel="0" collapsed="false">
      <c r="A1416" s="107" t="str">
        <f aca="false">IF($E1416="","",ROW()-3)</f>
        <v/>
      </c>
      <c r="B1416" s="110" t="str">
        <f aca="false">IF($E1416="","",INDEX(资金日记账!$B$4:$B$603,254))</f>
        <v/>
      </c>
      <c r="C1416" s="67" t="str">
        <f aca="false">IF($E1416="","",IF(INDEX(资金日记账!$W$4:$W$603,254)="","记-"&amp;TEXT($B1416,"YYYYMM")&amp;"-资金",INDEX(资金日记账!$W$4:$W$603,254)))</f>
        <v/>
      </c>
      <c r="D1416" s="107" t="str">
        <f aca="false">IF($E1416="","",INDEX(资金日记账!$D$4:$D$603,254))</f>
        <v/>
      </c>
      <c r="E1416" s="67" t="str">
        <f aca="false">IF(INDEX(资金日记账!$N$4:$S$603,254,1)=0,"",INDEX(资金日记账!$N$4:$S$603,254,1))</f>
        <v/>
      </c>
      <c r="F1416" s="99" t="str">
        <f aca="false">IF($E1416="","",IFERROR(INDEX(科目表!$A$4:$A$81,MATCH($E1416,科目表!$B$4:$B$81,0)),""))</f>
        <v/>
      </c>
      <c r="G1416" s="67" t="str">
        <f aca="false">IF($E1416="","",IFERROR(INDEX(科目表!$E$4:$E$81,MATCH($E1416,科目表!$B$4:$B$81,0)),""))</f>
        <v/>
      </c>
      <c r="H1416" s="70" t="str">
        <f aca="false">IF($E1416="","",N(INDEX(资金日记账!$N$4:$S$603,254,2)))</f>
        <v/>
      </c>
      <c r="I1416" s="70" t="str">
        <f aca="false">IF($E1416="","",N(INDEX(资金日记账!$N$4:$S$603,254,3)))</f>
        <v/>
      </c>
      <c r="J1416" s="67" t="str">
        <f aca="false">IF($E1416="","",INDEX(资金日记账!$E$4:$E$603,254))</f>
        <v/>
      </c>
      <c r="K1416" s="67" t="str">
        <f aca="false">IF($E1416="","",INDEX(资金日记账!$F$4:$F$603,254))</f>
        <v/>
      </c>
      <c r="L1416" s="107" t="str">
        <f aca="false">IF($E1416="","",INDEX(资金日记账!$X$4:$X$603,254))</f>
        <v/>
      </c>
      <c r="M1416" s="107"/>
      <c r="N1416" s="67" t="str">
        <f aca="false">IF($E1416="","",INDEX(资金日记账!$Y$4:$Y$603,254))</f>
        <v/>
      </c>
      <c r="O1416" s="67" t="str">
        <f aca="false">IF($E1416="","","自动B")</f>
        <v/>
      </c>
      <c r="P1416" s="18"/>
    </row>
    <row r="1417" customFormat="false" ht="18" hidden="false" customHeight="true" outlineLevel="0" collapsed="false">
      <c r="A1417" s="107" t="str">
        <f aca="false">IF($E1417="","",ROW()-3)</f>
        <v/>
      </c>
      <c r="B1417" s="110" t="str">
        <f aca="false">IF($E1417="","",INDEX(资金日记账!$B$4:$B$603,254))</f>
        <v/>
      </c>
      <c r="C1417" s="67" t="str">
        <f aca="false">IF($E1417="","",IF(INDEX(资金日记账!$W$4:$W$603,254)="","记-"&amp;TEXT($B1417,"YYYYMM")&amp;"-资金",INDEX(资金日记账!$W$4:$W$603,254)))</f>
        <v/>
      </c>
      <c r="D1417" s="107" t="str">
        <f aca="false">IF($E1417="","",INDEX(资金日记账!$D$4:$D$603,254))</f>
        <v/>
      </c>
      <c r="E1417" s="67" t="str">
        <f aca="false">IF(INDEX(资金日记账!$N$4:$S$603,254,4)=0,"",INDEX(资金日记账!$N$4:$S$603,254,4))</f>
        <v/>
      </c>
      <c r="F1417" s="99" t="str">
        <f aca="false">IF($E1417="","",IFERROR(INDEX(科目表!$A$4:$A$81,MATCH($E1417,科目表!$B$4:$B$81,0)),""))</f>
        <v/>
      </c>
      <c r="G1417" s="67" t="str">
        <f aca="false">IF($E1417="","",IFERROR(INDEX(科目表!$E$4:$E$81,MATCH($E1417,科目表!$B$4:$B$81,0)),""))</f>
        <v/>
      </c>
      <c r="H1417" s="70" t="str">
        <f aca="false">IF($E1417="","",N(INDEX(资金日记账!$N$4:$S$603,254,5)))</f>
        <v/>
      </c>
      <c r="I1417" s="70" t="str">
        <f aca="false">IF($E1417="","",N(INDEX(资金日记账!$N$4:$S$603,254,6)))</f>
        <v/>
      </c>
      <c r="J1417" s="67" t="str">
        <f aca="false">IF($E1417="","",INDEX(资金日记账!$E$4:$E$603,254))</f>
        <v/>
      </c>
      <c r="K1417" s="67" t="str">
        <f aca="false">IF($E1417="","",INDEX(资金日记账!$F$4:$F$603,254))</f>
        <v/>
      </c>
      <c r="L1417" s="107" t="str">
        <f aca="false">IF($E1417="","",INDEX(资金日记账!$X$4:$X$603,254))</f>
        <v/>
      </c>
      <c r="M1417" s="107"/>
      <c r="N1417" s="67" t="str">
        <f aca="false">IF($E1417="","",INDEX(资金日记账!$Y$4:$Y$603,254))</f>
        <v/>
      </c>
      <c r="O1417" s="67" t="str">
        <f aca="false">IF($E1417="","","自动B")</f>
        <v/>
      </c>
      <c r="P1417" s="18"/>
    </row>
    <row r="1418" customFormat="false" ht="18" hidden="false" customHeight="true" outlineLevel="0" collapsed="false">
      <c r="A1418" s="107" t="str">
        <f aca="false">IF($E1418="","",ROW()-3)</f>
        <v/>
      </c>
      <c r="B1418" s="110" t="str">
        <f aca="false">IF($E1418="","",INDEX(资金日记账!$B$4:$B$603,255))</f>
        <v/>
      </c>
      <c r="C1418" s="67" t="str">
        <f aca="false">IF($E1418="","",IF(INDEX(资金日记账!$W$4:$W$603,255)="","记-"&amp;TEXT($B1418,"YYYYMM")&amp;"-资金",INDEX(资金日记账!$W$4:$W$603,255)))</f>
        <v/>
      </c>
      <c r="D1418" s="107" t="str">
        <f aca="false">IF($E1418="","",INDEX(资金日记账!$D$4:$D$603,255))</f>
        <v/>
      </c>
      <c r="E1418" s="67" t="str">
        <f aca="false">IF(INDEX(资金日记账!$N$4:$S$603,255,1)=0,"",INDEX(资金日记账!$N$4:$S$603,255,1))</f>
        <v/>
      </c>
      <c r="F1418" s="99" t="str">
        <f aca="false">IF($E1418="","",IFERROR(INDEX(科目表!$A$4:$A$81,MATCH($E1418,科目表!$B$4:$B$81,0)),""))</f>
        <v/>
      </c>
      <c r="G1418" s="67" t="str">
        <f aca="false">IF($E1418="","",IFERROR(INDEX(科目表!$E$4:$E$81,MATCH($E1418,科目表!$B$4:$B$81,0)),""))</f>
        <v/>
      </c>
      <c r="H1418" s="70" t="str">
        <f aca="false">IF($E1418="","",N(INDEX(资金日记账!$N$4:$S$603,255,2)))</f>
        <v/>
      </c>
      <c r="I1418" s="70" t="str">
        <f aca="false">IF($E1418="","",N(INDEX(资金日记账!$N$4:$S$603,255,3)))</f>
        <v/>
      </c>
      <c r="J1418" s="67" t="str">
        <f aca="false">IF($E1418="","",INDEX(资金日记账!$E$4:$E$603,255))</f>
        <v/>
      </c>
      <c r="K1418" s="67" t="str">
        <f aca="false">IF($E1418="","",INDEX(资金日记账!$F$4:$F$603,255))</f>
        <v/>
      </c>
      <c r="L1418" s="107" t="str">
        <f aca="false">IF($E1418="","",INDEX(资金日记账!$X$4:$X$603,255))</f>
        <v/>
      </c>
      <c r="M1418" s="107"/>
      <c r="N1418" s="67" t="str">
        <f aca="false">IF($E1418="","",INDEX(资金日记账!$Y$4:$Y$603,255))</f>
        <v/>
      </c>
      <c r="O1418" s="67" t="str">
        <f aca="false">IF($E1418="","","自动B")</f>
        <v/>
      </c>
      <c r="P1418" s="18"/>
    </row>
    <row r="1419" customFormat="false" ht="18" hidden="false" customHeight="true" outlineLevel="0" collapsed="false">
      <c r="A1419" s="107" t="str">
        <f aca="false">IF($E1419="","",ROW()-3)</f>
        <v/>
      </c>
      <c r="B1419" s="110" t="str">
        <f aca="false">IF($E1419="","",INDEX(资金日记账!$B$4:$B$603,255))</f>
        <v/>
      </c>
      <c r="C1419" s="67" t="str">
        <f aca="false">IF($E1419="","",IF(INDEX(资金日记账!$W$4:$W$603,255)="","记-"&amp;TEXT($B1419,"YYYYMM")&amp;"-资金",INDEX(资金日记账!$W$4:$W$603,255)))</f>
        <v/>
      </c>
      <c r="D1419" s="107" t="str">
        <f aca="false">IF($E1419="","",INDEX(资金日记账!$D$4:$D$603,255))</f>
        <v/>
      </c>
      <c r="E1419" s="67" t="str">
        <f aca="false">IF(INDEX(资金日记账!$N$4:$S$603,255,4)=0,"",INDEX(资金日记账!$N$4:$S$603,255,4))</f>
        <v/>
      </c>
      <c r="F1419" s="99" t="str">
        <f aca="false">IF($E1419="","",IFERROR(INDEX(科目表!$A$4:$A$81,MATCH($E1419,科目表!$B$4:$B$81,0)),""))</f>
        <v/>
      </c>
      <c r="G1419" s="67" t="str">
        <f aca="false">IF($E1419="","",IFERROR(INDEX(科目表!$E$4:$E$81,MATCH($E1419,科目表!$B$4:$B$81,0)),""))</f>
        <v/>
      </c>
      <c r="H1419" s="70" t="str">
        <f aca="false">IF($E1419="","",N(INDEX(资金日记账!$N$4:$S$603,255,5)))</f>
        <v/>
      </c>
      <c r="I1419" s="70" t="str">
        <f aca="false">IF($E1419="","",N(INDEX(资金日记账!$N$4:$S$603,255,6)))</f>
        <v/>
      </c>
      <c r="J1419" s="67" t="str">
        <f aca="false">IF($E1419="","",INDEX(资金日记账!$E$4:$E$603,255))</f>
        <v/>
      </c>
      <c r="K1419" s="67" t="str">
        <f aca="false">IF($E1419="","",INDEX(资金日记账!$F$4:$F$603,255))</f>
        <v/>
      </c>
      <c r="L1419" s="107" t="str">
        <f aca="false">IF($E1419="","",INDEX(资金日记账!$X$4:$X$603,255))</f>
        <v/>
      </c>
      <c r="M1419" s="107"/>
      <c r="N1419" s="67" t="str">
        <f aca="false">IF($E1419="","",INDEX(资金日记账!$Y$4:$Y$603,255))</f>
        <v/>
      </c>
      <c r="O1419" s="67" t="str">
        <f aca="false">IF($E1419="","","自动B")</f>
        <v/>
      </c>
      <c r="P1419" s="18"/>
    </row>
    <row r="1420" customFormat="false" ht="18" hidden="false" customHeight="true" outlineLevel="0" collapsed="false">
      <c r="A1420" s="107" t="str">
        <f aca="false">IF($E1420="","",ROW()-3)</f>
        <v/>
      </c>
      <c r="B1420" s="110" t="str">
        <f aca="false">IF($E1420="","",INDEX(资金日记账!$B$4:$B$603,256))</f>
        <v/>
      </c>
      <c r="C1420" s="67" t="str">
        <f aca="false">IF($E1420="","",IF(INDEX(资金日记账!$W$4:$W$603,256)="","记-"&amp;TEXT($B1420,"YYYYMM")&amp;"-资金",INDEX(资金日记账!$W$4:$W$603,256)))</f>
        <v/>
      </c>
      <c r="D1420" s="107" t="str">
        <f aca="false">IF($E1420="","",INDEX(资金日记账!$D$4:$D$603,256))</f>
        <v/>
      </c>
      <c r="E1420" s="67" t="str">
        <f aca="false">IF(INDEX(资金日记账!$N$4:$S$603,256,1)=0,"",INDEX(资金日记账!$N$4:$S$603,256,1))</f>
        <v/>
      </c>
      <c r="F1420" s="99" t="str">
        <f aca="false">IF($E1420="","",IFERROR(INDEX(科目表!$A$4:$A$81,MATCH($E1420,科目表!$B$4:$B$81,0)),""))</f>
        <v/>
      </c>
      <c r="G1420" s="67" t="str">
        <f aca="false">IF($E1420="","",IFERROR(INDEX(科目表!$E$4:$E$81,MATCH($E1420,科目表!$B$4:$B$81,0)),""))</f>
        <v/>
      </c>
      <c r="H1420" s="70" t="str">
        <f aca="false">IF($E1420="","",N(INDEX(资金日记账!$N$4:$S$603,256,2)))</f>
        <v/>
      </c>
      <c r="I1420" s="70" t="str">
        <f aca="false">IF($E1420="","",N(INDEX(资金日记账!$N$4:$S$603,256,3)))</f>
        <v/>
      </c>
      <c r="J1420" s="67" t="str">
        <f aca="false">IF($E1420="","",INDEX(资金日记账!$E$4:$E$603,256))</f>
        <v/>
      </c>
      <c r="K1420" s="67" t="str">
        <f aca="false">IF($E1420="","",INDEX(资金日记账!$F$4:$F$603,256))</f>
        <v/>
      </c>
      <c r="L1420" s="107" t="str">
        <f aca="false">IF($E1420="","",INDEX(资金日记账!$X$4:$X$603,256))</f>
        <v/>
      </c>
      <c r="M1420" s="107"/>
      <c r="N1420" s="67" t="str">
        <f aca="false">IF($E1420="","",INDEX(资金日记账!$Y$4:$Y$603,256))</f>
        <v/>
      </c>
      <c r="O1420" s="67" t="str">
        <f aca="false">IF($E1420="","","自动B")</f>
        <v/>
      </c>
      <c r="P1420" s="18"/>
    </row>
    <row r="1421" customFormat="false" ht="18" hidden="false" customHeight="true" outlineLevel="0" collapsed="false">
      <c r="A1421" s="107" t="str">
        <f aca="false">IF($E1421="","",ROW()-3)</f>
        <v/>
      </c>
      <c r="B1421" s="110" t="str">
        <f aca="false">IF($E1421="","",INDEX(资金日记账!$B$4:$B$603,256))</f>
        <v/>
      </c>
      <c r="C1421" s="67" t="str">
        <f aca="false">IF($E1421="","",IF(INDEX(资金日记账!$W$4:$W$603,256)="","记-"&amp;TEXT($B1421,"YYYYMM")&amp;"-资金",INDEX(资金日记账!$W$4:$W$603,256)))</f>
        <v/>
      </c>
      <c r="D1421" s="107" t="str">
        <f aca="false">IF($E1421="","",INDEX(资金日记账!$D$4:$D$603,256))</f>
        <v/>
      </c>
      <c r="E1421" s="67" t="str">
        <f aca="false">IF(INDEX(资金日记账!$N$4:$S$603,256,4)=0,"",INDEX(资金日记账!$N$4:$S$603,256,4))</f>
        <v/>
      </c>
      <c r="F1421" s="99" t="str">
        <f aca="false">IF($E1421="","",IFERROR(INDEX(科目表!$A$4:$A$81,MATCH($E1421,科目表!$B$4:$B$81,0)),""))</f>
        <v/>
      </c>
      <c r="G1421" s="67" t="str">
        <f aca="false">IF($E1421="","",IFERROR(INDEX(科目表!$E$4:$E$81,MATCH($E1421,科目表!$B$4:$B$81,0)),""))</f>
        <v/>
      </c>
      <c r="H1421" s="70" t="str">
        <f aca="false">IF($E1421="","",N(INDEX(资金日记账!$N$4:$S$603,256,5)))</f>
        <v/>
      </c>
      <c r="I1421" s="70" t="str">
        <f aca="false">IF($E1421="","",N(INDEX(资金日记账!$N$4:$S$603,256,6)))</f>
        <v/>
      </c>
      <c r="J1421" s="67" t="str">
        <f aca="false">IF($E1421="","",INDEX(资金日记账!$E$4:$E$603,256))</f>
        <v/>
      </c>
      <c r="K1421" s="67" t="str">
        <f aca="false">IF($E1421="","",INDEX(资金日记账!$F$4:$F$603,256))</f>
        <v/>
      </c>
      <c r="L1421" s="107" t="str">
        <f aca="false">IF($E1421="","",INDEX(资金日记账!$X$4:$X$603,256))</f>
        <v/>
      </c>
      <c r="M1421" s="107"/>
      <c r="N1421" s="67" t="str">
        <f aca="false">IF($E1421="","",INDEX(资金日记账!$Y$4:$Y$603,256))</f>
        <v/>
      </c>
      <c r="O1421" s="67" t="str">
        <f aca="false">IF($E1421="","","自动B")</f>
        <v/>
      </c>
      <c r="P1421" s="18"/>
    </row>
    <row r="1422" customFormat="false" ht="18" hidden="false" customHeight="true" outlineLevel="0" collapsed="false">
      <c r="A1422" s="107" t="str">
        <f aca="false">IF($E1422="","",ROW()-3)</f>
        <v/>
      </c>
      <c r="B1422" s="110" t="str">
        <f aca="false">IF($E1422="","",INDEX(资金日记账!$B$4:$B$603,257))</f>
        <v/>
      </c>
      <c r="C1422" s="67" t="str">
        <f aca="false">IF($E1422="","",IF(INDEX(资金日记账!$W$4:$W$603,257)="","记-"&amp;TEXT($B1422,"YYYYMM")&amp;"-资金",INDEX(资金日记账!$W$4:$W$603,257)))</f>
        <v/>
      </c>
      <c r="D1422" s="107" t="str">
        <f aca="false">IF($E1422="","",INDEX(资金日记账!$D$4:$D$603,257))</f>
        <v/>
      </c>
      <c r="E1422" s="67" t="str">
        <f aca="false">IF(INDEX(资金日记账!$N$4:$S$603,257,1)=0,"",INDEX(资金日记账!$N$4:$S$603,257,1))</f>
        <v/>
      </c>
      <c r="F1422" s="99" t="str">
        <f aca="false">IF($E1422="","",IFERROR(INDEX(科目表!$A$4:$A$81,MATCH($E1422,科目表!$B$4:$B$81,0)),""))</f>
        <v/>
      </c>
      <c r="G1422" s="67" t="str">
        <f aca="false">IF($E1422="","",IFERROR(INDEX(科目表!$E$4:$E$81,MATCH($E1422,科目表!$B$4:$B$81,0)),""))</f>
        <v/>
      </c>
      <c r="H1422" s="70" t="str">
        <f aca="false">IF($E1422="","",N(INDEX(资金日记账!$N$4:$S$603,257,2)))</f>
        <v/>
      </c>
      <c r="I1422" s="70" t="str">
        <f aca="false">IF($E1422="","",N(INDEX(资金日记账!$N$4:$S$603,257,3)))</f>
        <v/>
      </c>
      <c r="J1422" s="67" t="str">
        <f aca="false">IF($E1422="","",INDEX(资金日记账!$E$4:$E$603,257))</f>
        <v/>
      </c>
      <c r="K1422" s="67" t="str">
        <f aca="false">IF($E1422="","",INDEX(资金日记账!$F$4:$F$603,257))</f>
        <v/>
      </c>
      <c r="L1422" s="107" t="str">
        <f aca="false">IF($E1422="","",INDEX(资金日记账!$X$4:$X$603,257))</f>
        <v/>
      </c>
      <c r="M1422" s="107"/>
      <c r="N1422" s="67" t="str">
        <f aca="false">IF($E1422="","",INDEX(资金日记账!$Y$4:$Y$603,257))</f>
        <v/>
      </c>
      <c r="O1422" s="67" t="str">
        <f aca="false">IF($E1422="","","自动B")</f>
        <v/>
      </c>
      <c r="P1422" s="18"/>
    </row>
    <row r="1423" customFormat="false" ht="18" hidden="false" customHeight="true" outlineLevel="0" collapsed="false">
      <c r="A1423" s="107" t="str">
        <f aca="false">IF($E1423="","",ROW()-3)</f>
        <v/>
      </c>
      <c r="B1423" s="110" t="str">
        <f aca="false">IF($E1423="","",INDEX(资金日记账!$B$4:$B$603,257))</f>
        <v/>
      </c>
      <c r="C1423" s="67" t="str">
        <f aca="false">IF($E1423="","",IF(INDEX(资金日记账!$W$4:$W$603,257)="","记-"&amp;TEXT($B1423,"YYYYMM")&amp;"-资金",INDEX(资金日记账!$W$4:$W$603,257)))</f>
        <v/>
      </c>
      <c r="D1423" s="107" t="str">
        <f aca="false">IF($E1423="","",INDEX(资金日记账!$D$4:$D$603,257))</f>
        <v/>
      </c>
      <c r="E1423" s="67" t="str">
        <f aca="false">IF(INDEX(资金日记账!$N$4:$S$603,257,4)=0,"",INDEX(资金日记账!$N$4:$S$603,257,4))</f>
        <v/>
      </c>
      <c r="F1423" s="99" t="str">
        <f aca="false">IF($E1423="","",IFERROR(INDEX(科目表!$A$4:$A$81,MATCH($E1423,科目表!$B$4:$B$81,0)),""))</f>
        <v/>
      </c>
      <c r="G1423" s="67" t="str">
        <f aca="false">IF($E1423="","",IFERROR(INDEX(科目表!$E$4:$E$81,MATCH($E1423,科目表!$B$4:$B$81,0)),""))</f>
        <v/>
      </c>
      <c r="H1423" s="70" t="str">
        <f aca="false">IF($E1423="","",N(INDEX(资金日记账!$N$4:$S$603,257,5)))</f>
        <v/>
      </c>
      <c r="I1423" s="70" t="str">
        <f aca="false">IF($E1423="","",N(INDEX(资金日记账!$N$4:$S$603,257,6)))</f>
        <v/>
      </c>
      <c r="J1423" s="67" t="str">
        <f aca="false">IF($E1423="","",INDEX(资金日记账!$E$4:$E$603,257))</f>
        <v/>
      </c>
      <c r="K1423" s="67" t="str">
        <f aca="false">IF($E1423="","",INDEX(资金日记账!$F$4:$F$603,257))</f>
        <v/>
      </c>
      <c r="L1423" s="107" t="str">
        <f aca="false">IF($E1423="","",INDEX(资金日记账!$X$4:$X$603,257))</f>
        <v/>
      </c>
      <c r="M1423" s="107"/>
      <c r="N1423" s="67" t="str">
        <f aca="false">IF($E1423="","",INDEX(资金日记账!$Y$4:$Y$603,257))</f>
        <v/>
      </c>
      <c r="O1423" s="67" t="str">
        <f aca="false">IF($E1423="","","自动B")</f>
        <v/>
      </c>
      <c r="P1423" s="18"/>
    </row>
    <row r="1424" customFormat="false" ht="18" hidden="false" customHeight="true" outlineLevel="0" collapsed="false">
      <c r="A1424" s="107" t="str">
        <f aca="false">IF($E1424="","",ROW()-3)</f>
        <v/>
      </c>
      <c r="B1424" s="110" t="str">
        <f aca="false">IF($E1424="","",INDEX(资金日记账!$B$4:$B$603,258))</f>
        <v/>
      </c>
      <c r="C1424" s="67" t="str">
        <f aca="false">IF($E1424="","",IF(INDEX(资金日记账!$W$4:$W$603,258)="","记-"&amp;TEXT($B1424,"YYYYMM")&amp;"-资金",INDEX(资金日记账!$W$4:$W$603,258)))</f>
        <v/>
      </c>
      <c r="D1424" s="107" t="str">
        <f aca="false">IF($E1424="","",INDEX(资金日记账!$D$4:$D$603,258))</f>
        <v/>
      </c>
      <c r="E1424" s="67" t="str">
        <f aca="false">IF(INDEX(资金日记账!$N$4:$S$603,258,1)=0,"",INDEX(资金日记账!$N$4:$S$603,258,1))</f>
        <v/>
      </c>
      <c r="F1424" s="99" t="str">
        <f aca="false">IF($E1424="","",IFERROR(INDEX(科目表!$A$4:$A$81,MATCH($E1424,科目表!$B$4:$B$81,0)),""))</f>
        <v/>
      </c>
      <c r="G1424" s="67" t="str">
        <f aca="false">IF($E1424="","",IFERROR(INDEX(科目表!$E$4:$E$81,MATCH($E1424,科目表!$B$4:$B$81,0)),""))</f>
        <v/>
      </c>
      <c r="H1424" s="70" t="str">
        <f aca="false">IF($E1424="","",N(INDEX(资金日记账!$N$4:$S$603,258,2)))</f>
        <v/>
      </c>
      <c r="I1424" s="70" t="str">
        <f aca="false">IF($E1424="","",N(INDEX(资金日记账!$N$4:$S$603,258,3)))</f>
        <v/>
      </c>
      <c r="J1424" s="67" t="str">
        <f aca="false">IF($E1424="","",INDEX(资金日记账!$E$4:$E$603,258))</f>
        <v/>
      </c>
      <c r="K1424" s="67" t="str">
        <f aca="false">IF($E1424="","",INDEX(资金日记账!$F$4:$F$603,258))</f>
        <v/>
      </c>
      <c r="L1424" s="107" t="str">
        <f aca="false">IF($E1424="","",INDEX(资金日记账!$X$4:$X$603,258))</f>
        <v/>
      </c>
      <c r="M1424" s="107"/>
      <c r="N1424" s="67" t="str">
        <f aca="false">IF($E1424="","",INDEX(资金日记账!$Y$4:$Y$603,258))</f>
        <v/>
      </c>
      <c r="O1424" s="67" t="str">
        <f aca="false">IF($E1424="","","自动B")</f>
        <v/>
      </c>
      <c r="P1424" s="18"/>
    </row>
    <row r="1425" customFormat="false" ht="18" hidden="false" customHeight="true" outlineLevel="0" collapsed="false">
      <c r="A1425" s="107" t="str">
        <f aca="false">IF($E1425="","",ROW()-3)</f>
        <v/>
      </c>
      <c r="B1425" s="110" t="str">
        <f aca="false">IF($E1425="","",INDEX(资金日记账!$B$4:$B$603,258))</f>
        <v/>
      </c>
      <c r="C1425" s="67" t="str">
        <f aca="false">IF($E1425="","",IF(INDEX(资金日记账!$W$4:$W$603,258)="","记-"&amp;TEXT($B1425,"YYYYMM")&amp;"-资金",INDEX(资金日记账!$W$4:$W$603,258)))</f>
        <v/>
      </c>
      <c r="D1425" s="107" t="str">
        <f aca="false">IF($E1425="","",INDEX(资金日记账!$D$4:$D$603,258))</f>
        <v/>
      </c>
      <c r="E1425" s="67" t="str">
        <f aca="false">IF(INDEX(资金日记账!$N$4:$S$603,258,4)=0,"",INDEX(资金日记账!$N$4:$S$603,258,4))</f>
        <v/>
      </c>
      <c r="F1425" s="99" t="str">
        <f aca="false">IF($E1425="","",IFERROR(INDEX(科目表!$A$4:$A$81,MATCH($E1425,科目表!$B$4:$B$81,0)),""))</f>
        <v/>
      </c>
      <c r="G1425" s="67" t="str">
        <f aca="false">IF($E1425="","",IFERROR(INDEX(科目表!$E$4:$E$81,MATCH($E1425,科目表!$B$4:$B$81,0)),""))</f>
        <v/>
      </c>
      <c r="H1425" s="70" t="str">
        <f aca="false">IF($E1425="","",N(INDEX(资金日记账!$N$4:$S$603,258,5)))</f>
        <v/>
      </c>
      <c r="I1425" s="70" t="str">
        <f aca="false">IF($E1425="","",N(INDEX(资金日记账!$N$4:$S$603,258,6)))</f>
        <v/>
      </c>
      <c r="J1425" s="67" t="str">
        <f aca="false">IF($E1425="","",INDEX(资金日记账!$E$4:$E$603,258))</f>
        <v/>
      </c>
      <c r="K1425" s="67" t="str">
        <f aca="false">IF($E1425="","",INDEX(资金日记账!$F$4:$F$603,258))</f>
        <v/>
      </c>
      <c r="L1425" s="107" t="str">
        <f aca="false">IF($E1425="","",INDEX(资金日记账!$X$4:$X$603,258))</f>
        <v/>
      </c>
      <c r="M1425" s="107"/>
      <c r="N1425" s="67" t="str">
        <f aca="false">IF($E1425="","",INDEX(资金日记账!$Y$4:$Y$603,258))</f>
        <v/>
      </c>
      <c r="O1425" s="67" t="str">
        <f aca="false">IF($E1425="","","自动B")</f>
        <v/>
      </c>
      <c r="P1425" s="18"/>
    </row>
    <row r="1426" customFormat="false" ht="18" hidden="false" customHeight="true" outlineLevel="0" collapsed="false">
      <c r="A1426" s="107" t="str">
        <f aca="false">IF($E1426="","",ROW()-3)</f>
        <v/>
      </c>
      <c r="B1426" s="110" t="str">
        <f aca="false">IF($E1426="","",INDEX(资金日记账!$B$4:$B$603,259))</f>
        <v/>
      </c>
      <c r="C1426" s="67" t="str">
        <f aca="false">IF($E1426="","",IF(INDEX(资金日记账!$W$4:$W$603,259)="","记-"&amp;TEXT($B1426,"YYYYMM")&amp;"-资金",INDEX(资金日记账!$W$4:$W$603,259)))</f>
        <v/>
      </c>
      <c r="D1426" s="107" t="str">
        <f aca="false">IF($E1426="","",INDEX(资金日记账!$D$4:$D$603,259))</f>
        <v/>
      </c>
      <c r="E1426" s="67" t="str">
        <f aca="false">IF(INDEX(资金日记账!$N$4:$S$603,259,1)=0,"",INDEX(资金日记账!$N$4:$S$603,259,1))</f>
        <v/>
      </c>
      <c r="F1426" s="99" t="str">
        <f aca="false">IF($E1426="","",IFERROR(INDEX(科目表!$A$4:$A$81,MATCH($E1426,科目表!$B$4:$B$81,0)),""))</f>
        <v/>
      </c>
      <c r="G1426" s="67" t="str">
        <f aca="false">IF($E1426="","",IFERROR(INDEX(科目表!$E$4:$E$81,MATCH($E1426,科目表!$B$4:$B$81,0)),""))</f>
        <v/>
      </c>
      <c r="H1426" s="70" t="str">
        <f aca="false">IF($E1426="","",N(INDEX(资金日记账!$N$4:$S$603,259,2)))</f>
        <v/>
      </c>
      <c r="I1426" s="70" t="str">
        <f aca="false">IF($E1426="","",N(INDEX(资金日记账!$N$4:$S$603,259,3)))</f>
        <v/>
      </c>
      <c r="J1426" s="67" t="str">
        <f aca="false">IF($E1426="","",INDEX(资金日记账!$E$4:$E$603,259))</f>
        <v/>
      </c>
      <c r="K1426" s="67" t="str">
        <f aca="false">IF($E1426="","",INDEX(资金日记账!$F$4:$F$603,259))</f>
        <v/>
      </c>
      <c r="L1426" s="107" t="str">
        <f aca="false">IF($E1426="","",INDEX(资金日记账!$X$4:$X$603,259))</f>
        <v/>
      </c>
      <c r="M1426" s="107"/>
      <c r="N1426" s="67" t="str">
        <f aca="false">IF($E1426="","",INDEX(资金日记账!$Y$4:$Y$603,259))</f>
        <v/>
      </c>
      <c r="O1426" s="67" t="str">
        <f aca="false">IF($E1426="","","自动B")</f>
        <v/>
      </c>
      <c r="P1426" s="18"/>
    </row>
    <row r="1427" customFormat="false" ht="18" hidden="false" customHeight="true" outlineLevel="0" collapsed="false">
      <c r="A1427" s="107" t="str">
        <f aca="false">IF($E1427="","",ROW()-3)</f>
        <v/>
      </c>
      <c r="B1427" s="110" t="str">
        <f aca="false">IF($E1427="","",INDEX(资金日记账!$B$4:$B$603,259))</f>
        <v/>
      </c>
      <c r="C1427" s="67" t="str">
        <f aca="false">IF($E1427="","",IF(INDEX(资金日记账!$W$4:$W$603,259)="","记-"&amp;TEXT($B1427,"YYYYMM")&amp;"-资金",INDEX(资金日记账!$W$4:$W$603,259)))</f>
        <v/>
      </c>
      <c r="D1427" s="107" t="str">
        <f aca="false">IF($E1427="","",INDEX(资金日记账!$D$4:$D$603,259))</f>
        <v/>
      </c>
      <c r="E1427" s="67" t="str">
        <f aca="false">IF(INDEX(资金日记账!$N$4:$S$603,259,4)=0,"",INDEX(资金日记账!$N$4:$S$603,259,4))</f>
        <v/>
      </c>
      <c r="F1427" s="99" t="str">
        <f aca="false">IF($E1427="","",IFERROR(INDEX(科目表!$A$4:$A$81,MATCH($E1427,科目表!$B$4:$B$81,0)),""))</f>
        <v/>
      </c>
      <c r="G1427" s="67" t="str">
        <f aca="false">IF($E1427="","",IFERROR(INDEX(科目表!$E$4:$E$81,MATCH($E1427,科目表!$B$4:$B$81,0)),""))</f>
        <v/>
      </c>
      <c r="H1427" s="70" t="str">
        <f aca="false">IF($E1427="","",N(INDEX(资金日记账!$N$4:$S$603,259,5)))</f>
        <v/>
      </c>
      <c r="I1427" s="70" t="str">
        <f aca="false">IF($E1427="","",N(INDEX(资金日记账!$N$4:$S$603,259,6)))</f>
        <v/>
      </c>
      <c r="J1427" s="67" t="str">
        <f aca="false">IF($E1427="","",INDEX(资金日记账!$E$4:$E$603,259))</f>
        <v/>
      </c>
      <c r="K1427" s="67" t="str">
        <f aca="false">IF($E1427="","",INDEX(资金日记账!$F$4:$F$603,259))</f>
        <v/>
      </c>
      <c r="L1427" s="107" t="str">
        <f aca="false">IF($E1427="","",INDEX(资金日记账!$X$4:$X$603,259))</f>
        <v/>
      </c>
      <c r="M1427" s="107"/>
      <c r="N1427" s="67" t="str">
        <f aca="false">IF($E1427="","",INDEX(资金日记账!$Y$4:$Y$603,259))</f>
        <v/>
      </c>
      <c r="O1427" s="67" t="str">
        <f aca="false">IF($E1427="","","自动B")</f>
        <v/>
      </c>
      <c r="P1427" s="18"/>
    </row>
    <row r="1428" customFormat="false" ht="18" hidden="false" customHeight="true" outlineLevel="0" collapsed="false">
      <c r="A1428" s="107" t="str">
        <f aca="false">IF($E1428="","",ROW()-3)</f>
        <v/>
      </c>
      <c r="B1428" s="110" t="str">
        <f aca="false">IF($E1428="","",INDEX(资金日记账!$B$4:$B$603,260))</f>
        <v/>
      </c>
      <c r="C1428" s="67" t="str">
        <f aca="false">IF($E1428="","",IF(INDEX(资金日记账!$W$4:$W$603,260)="","记-"&amp;TEXT($B1428,"YYYYMM")&amp;"-资金",INDEX(资金日记账!$W$4:$W$603,260)))</f>
        <v/>
      </c>
      <c r="D1428" s="107" t="str">
        <f aca="false">IF($E1428="","",INDEX(资金日记账!$D$4:$D$603,260))</f>
        <v/>
      </c>
      <c r="E1428" s="67" t="str">
        <f aca="false">IF(INDEX(资金日记账!$N$4:$S$603,260,1)=0,"",INDEX(资金日记账!$N$4:$S$603,260,1))</f>
        <v/>
      </c>
      <c r="F1428" s="99" t="str">
        <f aca="false">IF($E1428="","",IFERROR(INDEX(科目表!$A$4:$A$81,MATCH($E1428,科目表!$B$4:$B$81,0)),""))</f>
        <v/>
      </c>
      <c r="G1428" s="67" t="str">
        <f aca="false">IF($E1428="","",IFERROR(INDEX(科目表!$E$4:$E$81,MATCH($E1428,科目表!$B$4:$B$81,0)),""))</f>
        <v/>
      </c>
      <c r="H1428" s="70" t="str">
        <f aca="false">IF($E1428="","",N(INDEX(资金日记账!$N$4:$S$603,260,2)))</f>
        <v/>
      </c>
      <c r="I1428" s="70" t="str">
        <f aca="false">IF($E1428="","",N(INDEX(资金日记账!$N$4:$S$603,260,3)))</f>
        <v/>
      </c>
      <c r="J1428" s="67" t="str">
        <f aca="false">IF($E1428="","",INDEX(资金日记账!$E$4:$E$603,260))</f>
        <v/>
      </c>
      <c r="K1428" s="67" t="str">
        <f aca="false">IF($E1428="","",INDEX(资金日记账!$F$4:$F$603,260))</f>
        <v/>
      </c>
      <c r="L1428" s="107" t="str">
        <f aca="false">IF($E1428="","",INDEX(资金日记账!$X$4:$X$603,260))</f>
        <v/>
      </c>
      <c r="M1428" s="107"/>
      <c r="N1428" s="67" t="str">
        <f aca="false">IF($E1428="","",INDEX(资金日记账!$Y$4:$Y$603,260))</f>
        <v/>
      </c>
      <c r="O1428" s="67" t="str">
        <f aca="false">IF($E1428="","","自动B")</f>
        <v/>
      </c>
      <c r="P1428" s="18"/>
    </row>
    <row r="1429" customFormat="false" ht="18" hidden="false" customHeight="true" outlineLevel="0" collapsed="false">
      <c r="A1429" s="107" t="str">
        <f aca="false">IF($E1429="","",ROW()-3)</f>
        <v/>
      </c>
      <c r="B1429" s="110" t="str">
        <f aca="false">IF($E1429="","",INDEX(资金日记账!$B$4:$B$603,260))</f>
        <v/>
      </c>
      <c r="C1429" s="67" t="str">
        <f aca="false">IF($E1429="","",IF(INDEX(资金日记账!$W$4:$W$603,260)="","记-"&amp;TEXT($B1429,"YYYYMM")&amp;"-资金",INDEX(资金日记账!$W$4:$W$603,260)))</f>
        <v/>
      </c>
      <c r="D1429" s="107" t="str">
        <f aca="false">IF($E1429="","",INDEX(资金日记账!$D$4:$D$603,260))</f>
        <v/>
      </c>
      <c r="E1429" s="67" t="str">
        <f aca="false">IF(INDEX(资金日记账!$N$4:$S$603,260,4)=0,"",INDEX(资金日记账!$N$4:$S$603,260,4))</f>
        <v/>
      </c>
      <c r="F1429" s="99" t="str">
        <f aca="false">IF($E1429="","",IFERROR(INDEX(科目表!$A$4:$A$81,MATCH($E1429,科目表!$B$4:$B$81,0)),""))</f>
        <v/>
      </c>
      <c r="G1429" s="67" t="str">
        <f aca="false">IF($E1429="","",IFERROR(INDEX(科目表!$E$4:$E$81,MATCH($E1429,科目表!$B$4:$B$81,0)),""))</f>
        <v/>
      </c>
      <c r="H1429" s="70" t="str">
        <f aca="false">IF($E1429="","",N(INDEX(资金日记账!$N$4:$S$603,260,5)))</f>
        <v/>
      </c>
      <c r="I1429" s="70" t="str">
        <f aca="false">IF($E1429="","",N(INDEX(资金日记账!$N$4:$S$603,260,6)))</f>
        <v/>
      </c>
      <c r="J1429" s="67" t="str">
        <f aca="false">IF($E1429="","",INDEX(资金日记账!$E$4:$E$603,260))</f>
        <v/>
      </c>
      <c r="K1429" s="67" t="str">
        <f aca="false">IF($E1429="","",INDEX(资金日记账!$F$4:$F$603,260))</f>
        <v/>
      </c>
      <c r="L1429" s="107" t="str">
        <f aca="false">IF($E1429="","",INDEX(资金日记账!$X$4:$X$603,260))</f>
        <v/>
      </c>
      <c r="M1429" s="107"/>
      <c r="N1429" s="67" t="str">
        <f aca="false">IF($E1429="","",INDEX(资金日记账!$Y$4:$Y$603,260))</f>
        <v/>
      </c>
      <c r="O1429" s="67" t="str">
        <f aca="false">IF($E1429="","","自动B")</f>
        <v/>
      </c>
      <c r="P1429" s="18"/>
    </row>
    <row r="1430" customFormat="false" ht="18" hidden="false" customHeight="true" outlineLevel="0" collapsed="false">
      <c r="A1430" s="107" t="str">
        <f aca="false">IF($E1430="","",ROW()-3)</f>
        <v/>
      </c>
      <c r="B1430" s="110" t="str">
        <f aca="false">IF($E1430="","",INDEX(资金日记账!$B$4:$B$603,261))</f>
        <v/>
      </c>
      <c r="C1430" s="67" t="str">
        <f aca="false">IF($E1430="","",IF(INDEX(资金日记账!$W$4:$W$603,261)="","记-"&amp;TEXT($B1430,"YYYYMM")&amp;"-资金",INDEX(资金日记账!$W$4:$W$603,261)))</f>
        <v/>
      </c>
      <c r="D1430" s="107" t="str">
        <f aca="false">IF($E1430="","",INDEX(资金日记账!$D$4:$D$603,261))</f>
        <v/>
      </c>
      <c r="E1430" s="67" t="str">
        <f aca="false">IF(INDEX(资金日记账!$N$4:$S$603,261,1)=0,"",INDEX(资金日记账!$N$4:$S$603,261,1))</f>
        <v/>
      </c>
      <c r="F1430" s="99" t="str">
        <f aca="false">IF($E1430="","",IFERROR(INDEX(科目表!$A$4:$A$81,MATCH($E1430,科目表!$B$4:$B$81,0)),""))</f>
        <v/>
      </c>
      <c r="G1430" s="67" t="str">
        <f aca="false">IF($E1430="","",IFERROR(INDEX(科目表!$E$4:$E$81,MATCH($E1430,科目表!$B$4:$B$81,0)),""))</f>
        <v/>
      </c>
      <c r="H1430" s="70" t="str">
        <f aca="false">IF($E1430="","",N(INDEX(资金日记账!$N$4:$S$603,261,2)))</f>
        <v/>
      </c>
      <c r="I1430" s="70" t="str">
        <f aca="false">IF($E1430="","",N(INDEX(资金日记账!$N$4:$S$603,261,3)))</f>
        <v/>
      </c>
      <c r="J1430" s="67" t="str">
        <f aca="false">IF($E1430="","",INDEX(资金日记账!$E$4:$E$603,261))</f>
        <v/>
      </c>
      <c r="K1430" s="67" t="str">
        <f aca="false">IF($E1430="","",INDEX(资金日记账!$F$4:$F$603,261))</f>
        <v/>
      </c>
      <c r="L1430" s="107" t="str">
        <f aca="false">IF($E1430="","",INDEX(资金日记账!$X$4:$X$603,261))</f>
        <v/>
      </c>
      <c r="M1430" s="107"/>
      <c r="N1430" s="67" t="str">
        <f aca="false">IF($E1430="","",INDEX(资金日记账!$Y$4:$Y$603,261))</f>
        <v/>
      </c>
      <c r="O1430" s="67" t="str">
        <f aca="false">IF($E1430="","","自动B")</f>
        <v/>
      </c>
      <c r="P1430" s="18"/>
    </row>
    <row r="1431" customFormat="false" ht="18" hidden="false" customHeight="true" outlineLevel="0" collapsed="false">
      <c r="A1431" s="107" t="str">
        <f aca="false">IF($E1431="","",ROW()-3)</f>
        <v/>
      </c>
      <c r="B1431" s="110" t="str">
        <f aca="false">IF($E1431="","",INDEX(资金日记账!$B$4:$B$603,261))</f>
        <v/>
      </c>
      <c r="C1431" s="67" t="str">
        <f aca="false">IF($E1431="","",IF(INDEX(资金日记账!$W$4:$W$603,261)="","记-"&amp;TEXT($B1431,"YYYYMM")&amp;"-资金",INDEX(资金日记账!$W$4:$W$603,261)))</f>
        <v/>
      </c>
      <c r="D1431" s="107" t="str">
        <f aca="false">IF($E1431="","",INDEX(资金日记账!$D$4:$D$603,261))</f>
        <v/>
      </c>
      <c r="E1431" s="67" t="str">
        <f aca="false">IF(INDEX(资金日记账!$N$4:$S$603,261,4)=0,"",INDEX(资金日记账!$N$4:$S$603,261,4))</f>
        <v/>
      </c>
      <c r="F1431" s="99" t="str">
        <f aca="false">IF($E1431="","",IFERROR(INDEX(科目表!$A$4:$A$81,MATCH($E1431,科目表!$B$4:$B$81,0)),""))</f>
        <v/>
      </c>
      <c r="G1431" s="67" t="str">
        <f aca="false">IF($E1431="","",IFERROR(INDEX(科目表!$E$4:$E$81,MATCH($E1431,科目表!$B$4:$B$81,0)),""))</f>
        <v/>
      </c>
      <c r="H1431" s="70" t="str">
        <f aca="false">IF($E1431="","",N(INDEX(资金日记账!$N$4:$S$603,261,5)))</f>
        <v/>
      </c>
      <c r="I1431" s="70" t="str">
        <f aca="false">IF($E1431="","",N(INDEX(资金日记账!$N$4:$S$603,261,6)))</f>
        <v/>
      </c>
      <c r="J1431" s="67" t="str">
        <f aca="false">IF($E1431="","",INDEX(资金日记账!$E$4:$E$603,261))</f>
        <v/>
      </c>
      <c r="K1431" s="67" t="str">
        <f aca="false">IF($E1431="","",INDEX(资金日记账!$F$4:$F$603,261))</f>
        <v/>
      </c>
      <c r="L1431" s="107" t="str">
        <f aca="false">IF($E1431="","",INDEX(资金日记账!$X$4:$X$603,261))</f>
        <v/>
      </c>
      <c r="M1431" s="107"/>
      <c r="N1431" s="67" t="str">
        <f aca="false">IF($E1431="","",INDEX(资金日记账!$Y$4:$Y$603,261))</f>
        <v/>
      </c>
      <c r="O1431" s="67" t="str">
        <f aca="false">IF($E1431="","","自动B")</f>
        <v/>
      </c>
      <c r="P1431" s="18"/>
    </row>
    <row r="1432" customFormat="false" ht="18" hidden="false" customHeight="true" outlineLevel="0" collapsed="false">
      <c r="A1432" s="107" t="str">
        <f aca="false">IF($E1432="","",ROW()-3)</f>
        <v/>
      </c>
      <c r="B1432" s="110" t="str">
        <f aca="false">IF($E1432="","",INDEX(资金日记账!$B$4:$B$603,262))</f>
        <v/>
      </c>
      <c r="C1432" s="67" t="str">
        <f aca="false">IF($E1432="","",IF(INDEX(资金日记账!$W$4:$W$603,262)="","记-"&amp;TEXT($B1432,"YYYYMM")&amp;"-资金",INDEX(资金日记账!$W$4:$W$603,262)))</f>
        <v/>
      </c>
      <c r="D1432" s="107" t="str">
        <f aca="false">IF($E1432="","",INDEX(资金日记账!$D$4:$D$603,262))</f>
        <v/>
      </c>
      <c r="E1432" s="67" t="str">
        <f aca="false">IF(INDEX(资金日记账!$N$4:$S$603,262,1)=0,"",INDEX(资金日记账!$N$4:$S$603,262,1))</f>
        <v/>
      </c>
      <c r="F1432" s="99" t="str">
        <f aca="false">IF($E1432="","",IFERROR(INDEX(科目表!$A$4:$A$81,MATCH($E1432,科目表!$B$4:$B$81,0)),""))</f>
        <v/>
      </c>
      <c r="G1432" s="67" t="str">
        <f aca="false">IF($E1432="","",IFERROR(INDEX(科目表!$E$4:$E$81,MATCH($E1432,科目表!$B$4:$B$81,0)),""))</f>
        <v/>
      </c>
      <c r="H1432" s="70" t="str">
        <f aca="false">IF($E1432="","",N(INDEX(资金日记账!$N$4:$S$603,262,2)))</f>
        <v/>
      </c>
      <c r="I1432" s="70" t="str">
        <f aca="false">IF($E1432="","",N(INDEX(资金日记账!$N$4:$S$603,262,3)))</f>
        <v/>
      </c>
      <c r="J1432" s="67" t="str">
        <f aca="false">IF($E1432="","",INDEX(资金日记账!$E$4:$E$603,262))</f>
        <v/>
      </c>
      <c r="K1432" s="67" t="str">
        <f aca="false">IF($E1432="","",INDEX(资金日记账!$F$4:$F$603,262))</f>
        <v/>
      </c>
      <c r="L1432" s="107" t="str">
        <f aca="false">IF($E1432="","",INDEX(资金日记账!$X$4:$X$603,262))</f>
        <v/>
      </c>
      <c r="M1432" s="107"/>
      <c r="N1432" s="67" t="str">
        <f aca="false">IF($E1432="","",INDEX(资金日记账!$Y$4:$Y$603,262))</f>
        <v/>
      </c>
      <c r="O1432" s="67" t="str">
        <f aca="false">IF($E1432="","","自动B")</f>
        <v/>
      </c>
      <c r="P1432" s="18"/>
    </row>
    <row r="1433" customFormat="false" ht="18" hidden="false" customHeight="true" outlineLevel="0" collapsed="false">
      <c r="A1433" s="107" t="str">
        <f aca="false">IF($E1433="","",ROW()-3)</f>
        <v/>
      </c>
      <c r="B1433" s="110" t="str">
        <f aca="false">IF($E1433="","",INDEX(资金日记账!$B$4:$B$603,262))</f>
        <v/>
      </c>
      <c r="C1433" s="67" t="str">
        <f aca="false">IF($E1433="","",IF(INDEX(资金日记账!$W$4:$W$603,262)="","记-"&amp;TEXT($B1433,"YYYYMM")&amp;"-资金",INDEX(资金日记账!$W$4:$W$603,262)))</f>
        <v/>
      </c>
      <c r="D1433" s="107" t="str">
        <f aca="false">IF($E1433="","",INDEX(资金日记账!$D$4:$D$603,262))</f>
        <v/>
      </c>
      <c r="E1433" s="67" t="str">
        <f aca="false">IF(INDEX(资金日记账!$N$4:$S$603,262,4)=0,"",INDEX(资金日记账!$N$4:$S$603,262,4))</f>
        <v/>
      </c>
      <c r="F1433" s="99" t="str">
        <f aca="false">IF($E1433="","",IFERROR(INDEX(科目表!$A$4:$A$81,MATCH($E1433,科目表!$B$4:$B$81,0)),""))</f>
        <v/>
      </c>
      <c r="G1433" s="67" t="str">
        <f aca="false">IF($E1433="","",IFERROR(INDEX(科目表!$E$4:$E$81,MATCH($E1433,科目表!$B$4:$B$81,0)),""))</f>
        <v/>
      </c>
      <c r="H1433" s="70" t="str">
        <f aca="false">IF($E1433="","",N(INDEX(资金日记账!$N$4:$S$603,262,5)))</f>
        <v/>
      </c>
      <c r="I1433" s="70" t="str">
        <f aca="false">IF($E1433="","",N(INDEX(资金日记账!$N$4:$S$603,262,6)))</f>
        <v/>
      </c>
      <c r="J1433" s="67" t="str">
        <f aca="false">IF($E1433="","",INDEX(资金日记账!$E$4:$E$603,262))</f>
        <v/>
      </c>
      <c r="K1433" s="67" t="str">
        <f aca="false">IF($E1433="","",INDEX(资金日记账!$F$4:$F$603,262))</f>
        <v/>
      </c>
      <c r="L1433" s="107" t="str">
        <f aca="false">IF($E1433="","",INDEX(资金日记账!$X$4:$X$603,262))</f>
        <v/>
      </c>
      <c r="M1433" s="107"/>
      <c r="N1433" s="67" t="str">
        <f aca="false">IF($E1433="","",INDEX(资金日记账!$Y$4:$Y$603,262))</f>
        <v/>
      </c>
      <c r="O1433" s="67" t="str">
        <f aca="false">IF($E1433="","","自动B")</f>
        <v/>
      </c>
      <c r="P1433" s="18"/>
    </row>
    <row r="1434" customFormat="false" ht="18" hidden="false" customHeight="true" outlineLevel="0" collapsed="false">
      <c r="A1434" s="107" t="str">
        <f aca="false">IF($E1434="","",ROW()-3)</f>
        <v/>
      </c>
      <c r="B1434" s="110" t="str">
        <f aca="false">IF($E1434="","",INDEX(资金日记账!$B$4:$B$603,263))</f>
        <v/>
      </c>
      <c r="C1434" s="67" t="str">
        <f aca="false">IF($E1434="","",IF(INDEX(资金日记账!$W$4:$W$603,263)="","记-"&amp;TEXT($B1434,"YYYYMM")&amp;"-资金",INDEX(资金日记账!$W$4:$W$603,263)))</f>
        <v/>
      </c>
      <c r="D1434" s="107" t="str">
        <f aca="false">IF($E1434="","",INDEX(资金日记账!$D$4:$D$603,263))</f>
        <v/>
      </c>
      <c r="E1434" s="67" t="str">
        <f aca="false">IF(INDEX(资金日记账!$N$4:$S$603,263,1)=0,"",INDEX(资金日记账!$N$4:$S$603,263,1))</f>
        <v/>
      </c>
      <c r="F1434" s="99" t="str">
        <f aca="false">IF($E1434="","",IFERROR(INDEX(科目表!$A$4:$A$81,MATCH($E1434,科目表!$B$4:$B$81,0)),""))</f>
        <v/>
      </c>
      <c r="G1434" s="67" t="str">
        <f aca="false">IF($E1434="","",IFERROR(INDEX(科目表!$E$4:$E$81,MATCH($E1434,科目表!$B$4:$B$81,0)),""))</f>
        <v/>
      </c>
      <c r="H1434" s="70" t="str">
        <f aca="false">IF($E1434="","",N(INDEX(资金日记账!$N$4:$S$603,263,2)))</f>
        <v/>
      </c>
      <c r="I1434" s="70" t="str">
        <f aca="false">IF($E1434="","",N(INDEX(资金日记账!$N$4:$S$603,263,3)))</f>
        <v/>
      </c>
      <c r="J1434" s="67" t="str">
        <f aca="false">IF($E1434="","",INDEX(资金日记账!$E$4:$E$603,263))</f>
        <v/>
      </c>
      <c r="K1434" s="67" t="str">
        <f aca="false">IF($E1434="","",INDEX(资金日记账!$F$4:$F$603,263))</f>
        <v/>
      </c>
      <c r="L1434" s="107" t="str">
        <f aca="false">IF($E1434="","",INDEX(资金日记账!$X$4:$X$603,263))</f>
        <v/>
      </c>
      <c r="M1434" s="107"/>
      <c r="N1434" s="67" t="str">
        <f aca="false">IF($E1434="","",INDEX(资金日记账!$Y$4:$Y$603,263))</f>
        <v/>
      </c>
      <c r="O1434" s="67" t="str">
        <f aca="false">IF($E1434="","","自动B")</f>
        <v/>
      </c>
      <c r="P1434" s="18"/>
    </row>
    <row r="1435" customFormat="false" ht="18" hidden="false" customHeight="true" outlineLevel="0" collapsed="false">
      <c r="A1435" s="107" t="str">
        <f aca="false">IF($E1435="","",ROW()-3)</f>
        <v/>
      </c>
      <c r="B1435" s="110" t="str">
        <f aca="false">IF($E1435="","",INDEX(资金日记账!$B$4:$B$603,263))</f>
        <v/>
      </c>
      <c r="C1435" s="67" t="str">
        <f aca="false">IF($E1435="","",IF(INDEX(资金日记账!$W$4:$W$603,263)="","记-"&amp;TEXT($B1435,"YYYYMM")&amp;"-资金",INDEX(资金日记账!$W$4:$W$603,263)))</f>
        <v/>
      </c>
      <c r="D1435" s="107" t="str">
        <f aca="false">IF($E1435="","",INDEX(资金日记账!$D$4:$D$603,263))</f>
        <v/>
      </c>
      <c r="E1435" s="67" t="str">
        <f aca="false">IF(INDEX(资金日记账!$N$4:$S$603,263,4)=0,"",INDEX(资金日记账!$N$4:$S$603,263,4))</f>
        <v/>
      </c>
      <c r="F1435" s="99" t="str">
        <f aca="false">IF($E1435="","",IFERROR(INDEX(科目表!$A$4:$A$81,MATCH($E1435,科目表!$B$4:$B$81,0)),""))</f>
        <v/>
      </c>
      <c r="G1435" s="67" t="str">
        <f aca="false">IF($E1435="","",IFERROR(INDEX(科目表!$E$4:$E$81,MATCH($E1435,科目表!$B$4:$B$81,0)),""))</f>
        <v/>
      </c>
      <c r="H1435" s="70" t="str">
        <f aca="false">IF($E1435="","",N(INDEX(资金日记账!$N$4:$S$603,263,5)))</f>
        <v/>
      </c>
      <c r="I1435" s="70" t="str">
        <f aca="false">IF($E1435="","",N(INDEX(资金日记账!$N$4:$S$603,263,6)))</f>
        <v/>
      </c>
      <c r="J1435" s="67" t="str">
        <f aca="false">IF($E1435="","",INDEX(资金日记账!$E$4:$E$603,263))</f>
        <v/>
      </c>
      <c r="K1435" s="67" t="str">
        <f aca="false">IF($E1435="","",INDEX(资金日记账!$F$4:$F$603,263))</f>
        <v/>
      </c>
      <c r="L1435" s="107" t="str">
        <f aca="false">IF($E1435="","",INDEX(资金日记账!$X$4:$X$603,263))</f>
        <v/>
      </c>
      <c r="M1435" s="107"/>
      <c r="N1435" s="67" t="str">
        <f aca="false">IF($E1435="","",INDEX(资金日记账!$Y$4:$Y$603,263))</f>
        <v/>
      </c>
      <c r="O1435" s="67" t="str">
        <f aca="false">IF($E1435="","","自动B")</f>
        <v/>
      </c>
      <c r="P1435" s="18"/>
    </row>
    <row r="1436" customFormat="false" ht="18" hidden="false" customHeight="true" outlineLevel="0" collapsed="false">
      <c r="A1436" s="107" t="str">
        <f aca="false">IF($E1436="","",ROW()-3)</f>
        <v/>
      </c>
      <c r="B1436" s="110" t="str">
        <f aca="false">IF($E1436="","",INDEX(资金日记账!$B$4:$B$603,264))</f>
        <v/>
      </c>
      <c r="C1436" s="67" t="str">
        <f aca="false">IF($E1436="","",IF(INDEX(资金日记账!$W$4:$W$603,264)="","记-"&amp;TEXT($B1436,"YYYYMM")&amp;"-资金",INDEX(资金日记账!$W$4:$W$603,264)))</f>
        <v/>
      </c>
      <c r="D1436" s="107" t="str">
        <f aca="false">IF($E1436="","",INDEX(资金日记账!$D$4:$D$603,264))</f>
        <v/>
      </c>
      <c r="E1436" s="67" t="str">
        <f aca="false">IF(INDEX(资金日记账!$N$4:$S$603,264,1)=0,"",INDEX(资金日记账!$N$4:$S$603,264,1))</f>
        <v/>
      </c>
      <c r="F1436" s="99" t="str">
        <f aca="false">IF($E1436="","",IFERROR(INDEX(科目表!$A$4:$A$81,MATCH($E1436,科目表!$B$4:$B$81,0)),""))</f>
        <v/>
      </c>
      <c r="G1436" s="67" t="str">
        <f aca="false">IF($E1436="","",IFERROR(INDEX(科目表!$E$4:$E$81,MATCH($E1436,科目表!$B$4:$B$81,0)),""))</f>
        <v/>
      </c>
      <c r="H1436" s="70" t="str">
        <f aca="false">IF($E1436="","",N(INDEX(资金日记账!$N$4:$S$603,264,2)))</f>
        <v/>
      </c>
      <c r="I1436" s="70" t="str">
        <f aca="false">IF($E1436="","",N(INDEX(资金日记账!$N$4:$S$603,264,3)))</f>
        <v/>
      </c>
      <c r="J1436" s="67" t="str">
        <f aca="false">IF($E1436="","",INDEX(资金日记账!$E$4:$E$603,264))</f>
        <v/>
      </c>
      <c r="K1436" s="67" t="str">
        <f aca="false">IF($E1436="","",INDEX(资金日记账!$F$4:$F$603,264))</f>
        <v/>
      </c>
      <c r="L1436" s="107" t="str">
        <f aca="false">IF($E1436="","",INDEX(资金日记账!$X$4:$X$603,264))</f>
        <v/>
      </c>
      <c r="M1436" s="107"/>
      <c r="N1436" s="67" t="str">
        <f aca="false">IF($E1436="","",INDEX(资金日记账!$Y$4:$Y$603,264))</f>
        <v/>
      </c>
      <c r="O1436" s="67" t="str">
        <f aca="false">IF($E1436="","","自动B")</f>
        <v/>
      </c>
      <c r="P1436" s="18"/>
    </row>
    <row r="1437" customFormat="false" ht="18" hidden="false" customHeight="true" outlineLevel="0" collapsed="false">
      <c r="A1437" s="107" t="str">
        <f aca="false">IF($E1437="","",ROW()-3)</f>
        <v/>
      </c>
      <c r="B1437" s="110" t="str">
        <f aca="false">IF($E1437="","",INDEX(资金日记账!$B$4:$B$603,264))</f>
        <v/>
      </c>
      <c r="C1437" s="67" t="str">
        <f aca="false">IF($E1437="","",IF(INDEX(资金日记账!$W$4:$W$603,264)="","记-"&amp;TEXT($B1437,"YYYYMM")&amp;"-资金",INDEX(资金日记账!$W$4:$W$603,264)))</f>
        <v/>
      </c>
      <c r="D1437" s="107" t="str">
        <f aca="false">IF($E1437="","",INDEX(资金日记账!$D$4:$D$603,264))</f>
        <v/>
      </c>
      <c r="E1437" s="67" t="str">
        <f aca="false">IF(INDEX(资金日记账!$N$4:$S$603,264,4)=0,"",INDEX(资金日记账!$N$4:$S$603,264,4))</f>
        <v/>
      </c>
      <c r="F1437" s="99" t="str">
        <f aca="false">IF($E1437="","",IFERROR(INDEX(科目表!$A$4:$A$81,MATCH($E1437,科目表!$B$4:$B$81,0)),""))</f>
        <v/>
      </c>
      <c r="G1437" s="67" t="str">
        <f aca="false">IF($E1437="","",IFERROR(INDEX(科目表!$E$4:$E$81,MATCH($E1437,科目表!$B$4:$B$81,0)),""))</f>
        <v/>
      </c>
      <c r="H1437" s="70" t="str">
        <f aca="false">IF($E1437="","",N(INDEX(资金日记账!$N$4:$S$603,264,5)))</f>
        <v/>
      </c>
      <c r="I1437" s="70" t="str">
        <f aca="false">IF($E1437="","",N(INDEX(资金日记账!$N$4:$S$603,264,6)))</f>
        <v/>
      </c>
      <c r="J1437" s="67" t="str">
        <f aca="false">IF($E1437="","",INDEX(资金日记账!$E$4:$E$603,264))</f>
        <v/>
      </c>
      <c r="K1437" s="67" t="str">
        <f aca="false">IF($E1437="","",INDEX(资金日记账!$F$4:$F$603,264))</f>
        <v/>
      </c>
      <c r="L1437" s="107" t="str">
        <f aca="false">IF($E1437="","",INDEX(资金日记账!$X$4:$X$603,264))</f>
        <v/>
      </c>
      <c r="M1437" s="107"/>
      <c r="N1437" s="67" t="str">
        <f aca="false">IF($E1437="","",INDEX(资金日记账!$Y$4:$Y$603,264))</f>
        <v/>
      </c>
      <c r="O1437" s="67" t="str">
        <f aca="false">IF($E1437="","","自动B")</f>
        <v/>
      </c>
      <c r="P1437" s="18"/>
    </row>
    <row r="1438" customFormat="false" ht="18" hidden="false" customHeight="true" outlineLevel="0" collapsed="false">
      <c r="A1438" s="107" t="str">
        <f aca="false">IF($E1438="","",ROW()-3)</f>
        <v/>
      </c>
      <c r="B1438" s="110" t="str">
        <f aca="false">IF($E1438="","",INDEX(资金日记账!$B$4:$B$603,265))</f>
        <v/>
      </c>
      <c r="C1438" s="67" t="str">
        <f aca="false">IF($E1438="","",IF(INDEX(资金日记账!$W$4:$W$603,265)="","记-"&amp;TEXT($B1438,"YYYYMM")&amp;"-资金",INDEX(资金日记账!$W$4:$W$603,265)))</f>
        <v/>
      </c>
      <c r="D1438" s="107" t="str">
        <f aca="false">IF($E1438="","",INDEX(资金日记账!$D$4:$D$603,265))</f>
        <v/>
      </c>
      <c r="E1438" s="67" t="str">
        <f aca="false">IF(INDEX(资金日记账!$N$4:$S$603,265,1)=0,"",INDEX(资金日记账!$N$4:$S$603,265,1))</f>
        <v/>
      </c>
      <c r="F1438" s="99" t="str">
        <f aca="false">IF($E1438="","",IFERROR(INDEX(科目表!$A$4:$A$81,MATCH($E1438,科目表!$B$4:$B$81,0)),""))</f>
        <v/>
      </c>
      <c r="G1438" s="67" t="str">
        <f aca="false">IF($E1438="","",IFERROR(INDEX(科目表!$E$4:$E$81,MATCH($E1438,科目表!$B$4:$B$81,0)),""))</f>
        <v/>
      </c>
      <c r="H1438" s="70" t="str">
        <f aca="false">IF($E1438="","",N(INDEX(资金日记账!$N$4:$S$603,265,2)))</f>
        <v/>
      </c>
      <c r="I1438" s="70" t="str">
        <f aca="false">IF($E1438="","",N(INDEX(资金日记账!$N$4:$S$603,265,3)))</f>
        <v/>
      </c>
      <c r="J1438" s="67" t="str">
        <f aca="false">IF($E1438="","",INDEX(资金日记账!$E$4:$E$603,265))</f>
        <v/>
      </c>
      <c r="K1438" s="67" t="str">
        <f aca="false">IF($E1438="","",INDEX(资金日记账!$F$4:$F$603,265))</f>
        <v/>
      </c>
      <c r="L1438" s="107" t="str">
        <f aca="false">IF($E1438="","",INDEX(资金日记账!$X$4:$X$603,265))</f>
        <v/>
      </c>
      <c r="M1438" s="107"/>
      <c r="N1438" s="67" t="str">
        <f aca="false">IF($E1438="","",INDEX(资金日记账!$Y$4:$Y$603,265))</f>
        <v/>
      </c>
      <c r="O1438" s="67" t="str">
        <f aca="false">IF($E1438="","","自动B")</f>
        <v/>
      </c>
      <c r="P1438" s="18"/>
    </row>
    <row r="1439" customFormat="false" ht="18" hidden="false" customHeight="true" outlineLevel="0" collapsed="false">
      <c r="A1439" s="107" t="str">
        <f aca="false">IF($E1439="","",ROW()-3)</f>
        <v/>
      </c>
      <c r="B1439" s="110" t="str">
        <f aca="false">IF($E1439="","",INDEX(资金日记账!$B$4:$B$603,265))</f>
        <v/>
      </c>
      <c r="C1439" s="67" t="str">
        <f aca="false">IF($E1439="","",IF(INDEX(资金日记账!$W$4:$W$603,265)="","记-"&amp;TEXT($B1439,"YYYYMM")&amp;"-资金",INDEX(资金日记账!$W$4:$W$603,265)))</f>
        <v/>
      </c>
      <c r="D1439" s="107" t="str">
        <f aca="false">IF($E1439="","",INDEX(资金日记账!$D$4:$D$603,265))</f>
        <v/>
      </c>
      <c r="E1439" s="67" t="str">
        <f aca="false">IF(INDEX(资金日记账!$N$4:$S$603,265,4)=0,"",INDEX(资金日记账!$N$4:$S$603,265,4))</f>
        <v/>
      </c>
      <c r="F1439" s="99" t="str">
        <f aca="false">IF($E1439="","",IFERROR(INDEX(科目表!$A$4:$A$81,MATCH($E1439,科目表!$B$4:$B$81,0)),""))</f>
        <v/>
      </c>
      <c r="G1439" s="67" t="str">
        <f aca="false">IF($E1439="","",IFERROR(INDEX(科目表!$E$4:$E$81,MATCH($E1439,科目表!$B$4:$B$81,0)),""))</f>
        <v/>
      </c>
      <c r="H1439" s="70" t="str">
        <f aca="false">IF($E1439="","",N(INDEX(资金日记账!$N$4:$S$603,265,5)))</f>
        <v/>
      </c>
      <c r="I1439" s="70" t="str">
        <f aca="false">IF($E1439="","",N(INDEX(资金日记账!$N$4:$S$603,265,6)))</f>
        <v/>
      </c>
      <c r="J1439" s="67" t="str">
        <f aca="false">IF($E1439="","",INDEX(资金日记账!$E$4:$E$603,265))</f>
        <v/>
      </c>
      <c r="K1439" s="67" t="str">
        <f aca="false">IF($E1439="","",INDEX(资金日记账!$F$4:$F$603,265))</f>
        <v/>
      </c>
      <c r="L1439" s="107" t="str">
        <f aca="false">IF($E1439="","",INDEX(资金日记账!$X$4:$X$603,265))</f>
        <v/>
      </c>
      <c r="M1439" s="107"/>
      <c r="N1439" s="67" t="str">
        <f aca="false">IF($E1439="","",INDEX(资金日记账!$Y$4:$Y$603,265))</f>
        <v/>
      </c>
      <c r="O1439" s="67" t="str">
        <f aca="false">IF($E1439="","","自动B")</f>
        <v/>
      </c>
      <c r="P1439" s="18"/>
    </row>
    <row r="1440" customFormat="false" ht="18" hidden="false" customHeight="true" outlineLevel="0" collapsed="false">
      <c r="A1440" s="107" t="str">
        <f aca="false">IF($E1440="","",ROW()-3)</f>
        <v/>
      </c>
      <c r="B1440" s="110" t="str">
        <f aca="false">IF($E1440="","",INDEX(资金日记账!$B$4:$B$603,266))</f>
        <v/>
      </c>
      <c r="C1440" s="67" t="str">
        <f aca="false">IF($E1440="","",IF(INDEX(资金日记账!$W$4:$W$603,266)="","记-"&amp;TEXT($B1440,"YYYYMM")&amp;"-资金",INDEX(资金日记账!$W$4:$W$603,266)))</f>
        <v/>
      </c>
      <c r="D1440" s="107" t="str">
        <f aca="false">IF($E1440="","",INDEX(资金日记账!$D$4:$D$603,266))</f>
        <v/>
      </c>
      <c r="E1440" s="67" t="str">
        <f aca="false">IF(INDEX(资金日记账!$N$4:$S$603,266,1)=0,"",INDEX(资金日记账!$N$4:$S$603,266,1))</f>
        <v/>
      </c>
      <c r="F1440" s="99" t="str">
        <f aca="false">IF($E1440="","",IFERROR(INDEX(科目表!$A$4:$A$81,MATCH($E1440,科目表!$B$4:$B$81,0)),""))</f>
        <v/>
      </c>
      <c r="G1440" s="67" t="str">
        <f aca="false">IF($E1440="","",IFERROR(INDEX(科目表!$E$4:$E$81,MATCH($E1440,科目表!$B$4:$B$81,0)),""))</f>
        <v/>
      </c>
      <c r="H1440" s="70" t="str">
        <f aca="false">IF($E1440="","",N(INDEX(资金日记账!$N$4:$S$603,266,2)))</f>
        <v/>
      </c>
      <c r="I1440" s="70" t="str">
        <f aca="false">IF($E1440="","",N(INDEX(资金日记账!$N$4:$S$603,266,3)))</f>
        <v/>
      </c>
      <c r="J1440" s="67" t="str">
        <f aca="false">IF($E1440="","",INDEX(资金日记账!$E$4:$E$603,266))</f>
        <v/>
      </c>
      <c r="K1440" s="67" t="str">
        <f aca="false">IF($E1440="","",INDEX(资金日记账!$F$4:$F$603,266))</f>
        <v/>
      </c>
      <c r="L1440" s="107" t="str">
        <f aca="false">IF($E1440="","",INDEX(资金日记账!$X$4:$X$603,266))</f>
        <v/>
      </c>
      <c r="M1440" s="107"/>
      <c r="N1440" s="67" t="str">
        <f aca="false">IF($E1440="","",INDEX(资金日记账!$Y$4:$Y$603,266))</f>
        <v/>
      </c>
      <c r="O1440" s="67" t="str">
        <f aca="false">IF($E1440="","","自动B")</f>
        <v/>
      </c>
      <c r="P1440" s="18"/>
    </row>
    <row r="1441" customFormat="false" ht="18" hidden="false" customHeight="true" outlineLevel="0" collapsed="false">
      <c r="A1441" s="107" t="str">
        <f aca="false">IF($E1441="","",ROW()-3)</f>
        <v/>
      </c>
      <c r="B1441" s="110" t="str">
        <f aca="false">IF($E1441="","",INDEX(资金日记账!$B$4:$B$603,266))</f>
        <v/>
      </c>
      <c r="C1441" s="67" t="str">
        <f aca="false">IF($E1441="","",IF(INDEX(资金日记账!$W$4:$W$603,266)="","记-"&amp;TEXT($B1441,"YYYYMM")&amp;"-资金",INDEX(资金日记账!$W$4:$W$603,266)))</f>
        <v/>
      </c>
      <c r="D1441" s="107" t="str">
        <f aca="false">IF($E1441="","",INDEX(资金日记账!$D$4:$D$603,266))</f>
        <v/>
      </c>
      <c r="E1441" s="67" t="str">
        <f aca="false">IF(INDEX(资金日记账!$N$4:$S$603,266,4)=0,"",INDEX(资金日记账!$N$4:$S$603,266,4))</f>
        <v/>
      </c>
      <c r="F1441" s="99" t="str">
        <f aca="false">IF($E1441="","",IFERROR(INDEX(科目表!$A$4:$A$81,MATCH($E1441,科目表!$B$4:$B$81,0)),""))</f>
        <v/>
      </c>
      <c r="G1441" s="67" t="str">
        <f aca="false">IF($E1441="","",IFERROR(INDEX(科目表!$E$4:$E$81,MATCH($E1441,科目表!$B$4:$B$81,0)),""))</f>
        <v/>
      </c>
      <c r="H1441" s="70" t="str">
        <f aca="false">IF($E1441="","",N(INDEX(资金日记账!$N$4:$S$603,266,5)))</f>
        <v/>
      </c>
      <c r="I1441" s="70" t="str">
        <f aca="false">IF($E1441="","",N(INDEX(资金日记账!$N$4:$S$603,266,6)))</f>
        <v/>
      </c>
      <c r="J1441" s="67" t="str">
        <f aca="false">IF($E1441="","",INDEX(资金日记账!$E$4:$E$603,266))</f>
        <v/>
      </c>
      <c r="K1441" s="67" t="str">
        <f aca="false">IF($E1441="","",INDEX(资金日记账!$F$4:$F$603,266))</f>
        <v/>
      </c>
      <c r="L1441" s="107" t="str">
        <f aca="false">IF($E1441="","",INDEX(资金日记账!$X$4:$X$603,266))</f>
        <v/>
      </c>
      <c r="M1441" s="107"/>
      <c r="N1441" s="67" t="str">
        <f aca="false">IF($E1441="","",INDEX(资金日记账!$Y$4:$Y$603,266))</f>
        <v/>
      </c>
      <c r="O1441" s="67" t="str">
        <f aca="false">IF($E1441="","","自动B")</f>
        <v/>
      </c>
      <c r="P1441" s="18"/>
    </row>
    <row r="1442" customFormat="false" ht="18" hidden="false" customHeight="true" outlineLevel="0" collapsed="false">
      <c r="A1442" s="107" t="str">
        <f aca="false">IF($E1442="","",ROW()-3)</f>
        <v/>
      </c>
      <c r="B1442" s="110" t="str">
        <f aca="false">IF($E1442="","",INDEX(资金日记账!$B$4:$B$603,267))</f>
        <v/>
      </c>
      <c r="C1442" s="67" t="str">
        <f aca="false">IF($E1442="","",IF(INDEX(资金日记账!$W$4:$W$603,267)="","记-"&amp;TEXT($B1442,"YYYYMM")&amp;"-资金",INDEX(资金日记账!$W$4:$W$603,267)))</f>
        <v/>
      </c>
      <c r="D1442" s="107" t="str">
        <f aca="false">IF($E1442="","",INDEX(资金日记账!$D$4:$D$603,267))</f>
        <v/>
      </c>
      <c r="E1442" s="67" t="str">
        <f aca="false">IF(INDEX(资金日记账!$N$4:$S$603,267,1)=0,"",INDEX(资金日记账!$N$4:$S$603,267,1))</f>
        <v/>
      </c>
      <c r="F1442" s="99" t="str">
        <f aca="false">IF($E1442="","",IFERROR(INDEX(科目表!$A$4:$A$81,MATCH($E1442,科目表!$B$4:$B$81,0)),""))</f>
        <v/>
      </c>
      <c r="G1442" s="67" t="str">
        <f aca="false">IF($E1442="","",IFERROR(INDEX(科目表!$E$4:$E$81,MATCH($E1442,科目表!$B$4:$B$81,0)),""))</f>
        <v/>
      </c>
      <c r="H1442" s="70" t="str">
        <f aca="false">IF($E1442="","",N(INDEX(资金日记账!$N$4:$S$603,267,2)))</f>
        <v/>
      </c>
      <c r="I1442" s="70" t="str">
        <f aca="false">IF($E1442="","",N(INDEX(资金日记账!$N$4:$S$603,267,3)))</f>
        <v/>
      </c>
      <c r="J1442" s="67" t="str">
        <f aca="false">IF($E1442="","",INDEX(资金日记账!$E$4:$E$603,267))</f>
        <v/>
      </c>
      <c r="K1442" s="67" t="str">
        <f aca="false">IF($E1442="","",INDEX(资金日记账!$F$4:$F$603,267))</f>
        <v/>
      </c>
      <c r="L1442" s="107" t="str">
        <f aca="false">IF($E1442="","",INDEX(资金日记账!$X$4:$X$603,267))</f>
        <v/>
      </c>
      <c r="M1442" s="107"/>
      <c r="N1442" s="67" t="str">
        <f aca="false">IF($E1442="","",INDEX(资金日记账!$Y$4:$Y$603,267))</f>
        <v/>
      </c>
      <c r="O1442" s="67" t="str">
        <f aca="false">IF($E1442="","","自动B")</f>
        <v/>
      </c>
      <c r="P1442" s="18"/>
    </row>
    <row r="1443" customFormat="false" ht="18" hidden="false" customHeight="true" outlineLevel="0" collapsed="false">
      <c r="A1443" s="107" t="str">
        <f aca="false">IF($E1443="","",ROW()-3)</f>
        <v/>
      </c>
      <c r="B1443" s="110" t="str">
        <f aca="false">IF($E1443="","",INDEX(资金日记账!$B$4:$B$603,267))</f>
        <v/>
      </c>
      <c r="C1443" s="67" t="str">
        <f aca="false">IF($E1443="","",IF(INDEX(资金日记账!$W$4:$W$603,267)="","记-"&amp;TEXT($B1443,"YYYYMM")&amp;"-资金",INDEX(资金日记账!$W$4:$W$603,267)))</f>
        <v/>
      </c>
      <c r="D1443" s="107" t="str">
        <f aca="false">IF($E1443="","",INDEX(资金日记账!$D$4:$D$603,267))</f>
        <v/>
      </c>
      <c r="E1443" s="67" t="str">
        <f aca="false">IF(INDEX(资金日记账!$N$4:$S$603,267,4)=0,"",INDEX(资金日记账!$N$4:$S$603,267,4))</f>
        <v/>
      </c>
      <c r="F1443" s="99" t="str">
        <f aca="false">IF($E1443="","",IFERROR(INDEX(科目表!$A$4:$A$81,MATCH($E1443,科目表!$B$4:$B$81,0)),""))</f>
        <v/>
      </c>
      <c r="G1443" s="67" t="str">
        <f aca="false">IF($E1443="","",IFERROR(INDEX(科目表!$E$4:$E$81,MATCH($E1443,科目表!$B$4:$B$81,0)),""))</f>
        <v/>
      </c>
      <c r="H1443" s="70" t="str">
        <f aca="false">IF($E1443="","",N(INDEX(资金日记账!$N$4:$S$603,267,5)))</f>
        <v/>
      </c>
      <c r="I1443" s="70" t="str">
        <f aca="false">IF($E1443="","",N(INDEX(资金日记账!$N$4:$S$603,267,6)))</f>
        <v/>
      </c>
      <c r="J1443" s="67" t="str">
        <f aca="false">IF($E1443="","",INDEX(资金日记账!$E$4:$E$603,267))</f>
        <v/>
      </c>
      <c r="K1443" s="67" t="str">
        <f aca="false">IF($E1443="","",INDEX(资金日记账!$F$4:$F$603,267))</f>
        <v/>
      </c>
      <c r="L1443" s="107" t="str">
        <f aca="false">IF($E1443="","",INDEX(资金日记账!$X$4:$X$603,267))</f>
        <v/>
      </c>
      <c r="M1443" s="107"/>
      <c r="N1443" s="67" t="str">
        <f aca="false">IF($E1443="","",INDEX(资金日记账!$Y$4:$Y$603,267))</f>
        <v/>
      </c>
      <c r="O1443" s="67" t="str">
        <f aca="false">IF($E1443="","","自动B")</f>
        <v/>
      </c>
      <c r="P1443" s="18"/>
    </row>
    <row r="1444" customFormat="false" ht="18" hidden="false" customHeight="true" outlineLevel="0" collapsed="false">
      <c r="A1444" s="107" t="str">
        <f aca="false">IF($E1444="","",ROW()-3)</f>
        <v/>
      </c>
      <c r="B1444" s="110" t="str">
        <f aca="false">IF($E1444="","",INDEX(资金日记账!$B$4:$B$603,268))</f>
        <v/>
      </c>
      <c r="C1444" s="67" t="str">
        <f aca="false">IF($E1444="","",IF(INDEX(资金日记账!$W$4:$W$603,268)="","记-"&amp;TEXT($B1444,"YYYYMM")&amp;"-资金",INDEX(资金日记账!$W$4:$W$603,268)))</f>
        <v/>
      </c>
      <c r="D1444" s="107" t="str">
        <f aca="false">IF($E1444="","",INDEX(资金日记账!$D$4:$D$603,268))</f>
        <v/>
      </c>
      <c r="E1444" s="67" t="str">
        <f aca="false">IF(INDEX(资金日记账!$N$4:$S$603,268,1)=0,"",INDEX(资金日记账!$N$4:$S$603,268,1))</f>
        <v/>
      </c>
      <c r="F1444" s="99" t="str">
        <f aca="false">IF($E1444="","",IFERROR(INDEX(科目表!$A$4:$A$81,MATCH($E1444,科目表!$B$4:$B$81,0)),""))</f>
        <v/>
      </c>
      <c r="G1444" s="67" t="str">
        <f aca="false">IF($E1444="","",IFERROR(INDEX(科目表!$E$4:$E$81,MATCH($E1444,科目表!$B$4:$B$81,0)),""))</f>
        <v/>
      </c>
      <c r="H1444" s="70" t="str">
        <f aca="false">IF($E1444="","",N(INDEX(资金日记账!$N$4:$S$603,268,2)))</f>
        <v/>
      </c>
      <c r="I1444" s="70" t="str">
        <f aca="false">IF($E1444="","",N(INDEX(资金日记账!$N$4:$S$603,268,3)))</f>
        <v/>
      </c>
      <c r="J1444" s="67" t="str">
        <f aca="false">IF($E1444="","",INDEX(资金日记账!$E$4:$E$603,268))</f>
        <v/>
      </c>
      <c r="K1444" s="67" t="str">
        <f aca="false">IF($E1444="","",INDEX(资金日记账!$F$4:$F$603,268))</f>
        <v/>
      </c>
      <c r="L1444" s="107" t="str">
        <f aca="false">IF($E1444="","",INDEX(资金日记账!$X$4:$X$603,268))</f>
        <v/>
      </c>
      <c r="M1444" s="107"/>
      <c r="N1444" s="67" t="str">
        <f aca="false">IF($E1444="","",INDEX(资金日记账!$Y$4:$Y$603,268))</f>
        <v/>
      </c>
      <c r="O1444" s="67" t="str">
        <f aca="false">IF($E1444="","","自动B")</f>
        <v/>
      </c>
      <c r="P1444" s="18"/>
    </row>
    <row r="1445" customFormat="false" ht="18" hidden="false" customHeight="true" outlineLevel="0" collapsed="false">
      <c r="A1445" s="107" t="str">
        <f aca="false">IF($E1445="","",ROW()-3)</f>
        <v/>
      </c>
      <c r="B1445" s="110" t="str">
        <f aca="false">IF($E1445="","",INDEX(资金日记账!$B$4:$B$603,268))</f>
        <v/>
      </c>
      <c r="C1445" s="67" t="str">
        <f aca="false">IF($E1445="","",IF(INDEX(资金日记账!$W$4:$W$603,268)="","记-"&amp;TEXT($B1445,"YYYYMM")&amp;"-资金",INDEX(资金日记账!$W$4:$W$603,268)))</f>
        <v/>
      </c>
      <c r="D1445" s="107" t="str">
        <f aca="false">IF($E1445="","",INDEX(资金日记账!$D$4:$D$603,268))</f>
        <v/>
      </c>
      <c r="E1445" s="67" t="str">
        <f aca="false">IF(INDEX(资金日记账!$N$4:$S$603,268,4)=0,"",INDEX(资金日记账!$N$4:$S$603,268,4))</f>
        <v/>
      </c>
      <c r="F1445" s="99" t="str">
        <f aca="false">IF($E1445="","",IFERROR(INDEX(科目表!$A$4:$A$81,MATCH($E1445,科目表!$B$4:$B$81,0)),""))</f>
        <v/>
      </c>
      <c r="G1445" s="67" t="str">
        <f aca="false">IF($E1445="","",IFERROR(INDEX(科目表!$E$4:$E$81,MATCH($E1445,科目表!$B$4:$B$81,0)),""))</f>
        <v/>
      </c>
      <c r="H1445" s="70" t="str">
        <f aca="false">IF($E1445="","",N(INDEX(资金日记账!$N$4:$S$603,268,5)))</f>
        <v/>
      </c>
      <c r="I1445" s="70" t="str">
        <f aca="false">IF($E1445="","",N(INDEX(资金日记账!$N$4:$S$603,268,6)))</f>
        <v/>
      </c>
      <c r="J1445" s="67" t="str">
        <f aca="false">IF($E1445="","",INDEX(资金日记账!$E$4:$E$603,268))</f>
        <v/>
      </c>
      <c r="K1445" s="67" t="str">
        <f aca="false">IF($E1445="","",INDEX(资金日记账!$F$4:$F$603,268))</f>
        <v/>
      </c>
      <c r="L1445" s="107" t="str">
        <f aca="false">IF($E1445="","",INDEX(资金日记账!$X$4:$X$603,268))</f>
        <v/>
      </c>
      <c r="M1445" s="107"/>
      <c r="N1445" s="67" t="str">
        <f aca="false">IF($E1445="","",INDEX(资金日记账!$Y$4:$Y$603,268))</f>
        <v/>
      </c>
      <c r="O1445" s="67" t="str">
        <f aca="false">IF($E1445="","","自动B")</f>
        <v/>
      </c>
      <c r="P1445" s="18"/>
    </row>
    <row r="1446" customFormat="false" ht="18" hidden="false" customHeight="true" outlineLevel="0" collapsed="false">
      <c r="A1446" s="107" t="str">
        <f aca="false">IF($E1446="","",ROW()-3)</f>
        <v/>
      </c>
      <c r="B1446" s="110" t="str">
        <f aca="false">IF($E1446="","",INDEX(资金日记账!$B$4:$B$603,269))</f>
        <v/>
      </c>
      <c r="C1446" s="67" t="str">
        <f aca="false">IF($E1446="","",IF(INDEX(资金日记账!$W$4:$W$603,269)="","记-"&amp;TEXT($B1446,"YYYYMM")&amp;"-资金",INDEX(资金日记账!$W$4:$W$603,269)))</f>
        <v/>
      </c>
      <c r="D1446" s="107" t="str">
        <f aca="false">IF($E1446="","",INDEX(资金日记账!$D$4:$D$603,269))</f>
        <v/>
      </c>
      <c r="E1446" s="67" t="str">
        <f aca="false">IF(INDEX(资金日记账!$N$4:$S$603,269,1)=0,"",INDEX(资金日记账!$N$4:$S$603,269,1))</f>
        <v/>
      </c>
      <c r="F1446" s="99" t="str">
        <f aca="false">IF($E1446="","",IFERROR(INDEX(科目表!$A$4:$A$81,MATCH($E1446,科目表!$B$4:$B$81,0)),""))</f>
        <v/>
      </c>
      <c r="G1446" s="67" t="str">
        <f aca="false">IF($E1446="","",IFERROR(INDEX(科目表!$E$4:$E$81,MATCH($E1446,科目表!$B$4:$B$81,0)),""))</f>
        <v/>
      </c>
      <c r="H1446" s="70" t="str">
        <f aca="false">IF($E1446="","",N(INDEX(资金日记账!$N$4:$S$603,269,2)))</f>
        <v/>
      </c>
      <c r="I1446" s="70" t="str">
        <f aca="false">IF($E1446="","",N(INDEX(资金日记账!$N$4:$S$603,269,3)))</f>
        <v/>
      </c>
      <c r="J1446" s="67" t="str">
        <f aca="false">IF($E1446="","",INDEX(资金日记账!$E$4:$E$603,269))</f>
        <v/>
      </c>
      <c r="K1446" s="67" t="str">
        <f aca="false">IF($E1446="","",INDEX(资金日记账!$F$4:$F$603,269))</f>
        <v/>
      </c>
      <c r="L1446" s="107" t="str">
        <f aca="false">IF($E1446="","",INDEX(资金日记账!$X$4:$X$603,269))</f>
        <v/>
      </c>
      <c r="M1446" s="107"/>
      <c r="N1446" s="67" t="str">
        <f aca="false">IF($E1446="","",INDEX(资金日记账!$Y$4:$Y$603,269))</f>
        <v/>
      </c>
      <c r="O1446" s="67" t="str">
        <f aca="false">IF($E1446="","","自动B")</f>
        <v/>
      </c>
      <c r="P1446" s="18"/>
    </row>
    <row r="1447" customFormat="false" ht="18" hidden="false" customHeight="true" outlineLevel="0" collapsed="false">
      <c r="A1447" s="107" t="str">
        <f aca="false">IF($E1447="","",ROW()-3)</f>
        <v/>
      </c>
      <c r="B1447" s="110" t="str">
        <f aca="false">IF($E1447="","",INDEX(资金日记账!$B$4:$B$603,269))</f>
        <v/>
      </c>
      <c r="C1447" s="67" t="str">
        <f aca="false">IF($E1447="","",IF(INDEX(资金日记账!$W$4:$W$603,269)="","记-"&amp;TEXT($B1447,"YYYYMM")&amp;"-资金",INDEX(资金日记账!$W$4:$W$603,269)))</f>
        <v/>
      </c>
      <c r="D1447" s="107" t="str">
        <f aca="false">IF($E1447="","",INDEX(资金日记账!$D$4:$D$603,269))</f>
        <v/>
      </c>
      <c r="E1447" s="67" t="str">
        <f aca="false">IF(INDEX(资金日记账!$N$4:$S$603,269,4)=0,"",INDEX(资金日记账!$N$4:$S$603,269,4))</f>
        <v/>
      </c>
      <c r="F1447" s="99" t="str">
        <f aca="false">IF($E1447="","",IFERROR(INDEX(科目表!$A$4:$A$81,MATCH($E1447,科目表!$B$4:$B$81,0)),""))</f>
        <v/>
      </c>
      <c r="G1447" s="67" t="str">
        <f aca="false">IF($E1447="","",IFERROR(INDEX(科目表!$E$4:$E$81,MATCH($E1447,科目表!$B$4:$B$81,0)),""))</f>
        <v/>
      </c>
      <c r="H1447" s="70" t="str">
        <f aca="false">IF($E1447="","",N(INDEX(资金日记账!$N$4:$S$603,269,5)))</f>
        <v/>
      </c>
      <c r="I1447" s="70" t="str">
        <f aca="false">IF($E1447="","",N(INDEX(资金日记账!$N$4:$S$603,269,6)))</f>
        <v/>
      </c>
      <c r="J1447" s="67" t="str">
        <f aca="false">IF($E1447="","",INDEX(资金日记账!$E$4:$E$603,269))</f>
        <v/>
      </c>
      <c r="K1447" s="67" t="str">
        <f aca="false">IF($E1447="","",INDEX(资金日记账!$F$4:$F$603,269))</f>
        <v/>
      </c>
      <c r="L1447" s="107" t="str">
        <f aca="false">IF($E1447="","",INDEX(资金日记账!$X$4:$X$603,269))</f>
        <v/>
      </c>
      <c r="M1447" s="107"/>
      <c r="N1447" s="67" t="str">
        <f aca="false">IF($E1447="","",INDEX(资金日记账!$Y$4:$Y$603,269))</f>
        <v/>
      </c>
      <c r="O1447" s="67" t="str">
        <f aca="false">IF($E1447="","","自动B")</f>
        <v/>
      </c>
      <c r="P1447" s="18"/>
    </row>
    <row r="1448" customFormat="false" ht="18" hidden="false" customHeight="true" outlineLevel="0" collapsed="false">
      <c r="A1448" s="107" t="str">
        <f aca="false">IF($E1448="","",ROW()-3)</f>
        <v/>
      </c>
      <c r="B1448" s="110" t="str">
        <f aca="false">IF($E1448="","",INDEX(资金日记账!$B$4:$B$603,270))</f>
        <v/>
      </c>
      <c r="C1448" s="67" t="str">
        <f aca="false">IF($E1448="","",IF(INDEX(资金日记账!$W$4:$W$603,270)="","记-"&amp;TEXT($B1448,"YYYYMM")&amp;"-资金",INDEX(资金日记账!$W$4:$W$603,270)))</f>
        <v/>
      </c>
      <c r="D1448" s="107" t="str">
        <f aca="false">IF($E1448="","",INDEX(资金日记账!$D$4:$D$603,270))</f>
        <v/>
      </c>
      <c r="E1448" s="67" t="str">
        <f aca="false">IF(INDEX(资金日记账!$N$4:$S$603,270,1)=0,"",INDEX(资金日记账!$N$4:$S$603,270,1))</f>
        <v/>
      </c>
      <c r="F1448" s="99" t="str">
        <f aca="false">IF($E1448="","",IFERROR(INDEX(科目表!$A$4:$A$81,MATCH($E1448,科目表!$B$4:$B$81,0)),""))</f>
        <v/>
      </c>
      <c r="G1448" s="67" t="str">
        <f aca="false">IF($E1448="","",IFERROR(INDEX(科目表!$E$4:$E$81,MATCH($E1448,科目表!$B$4:$B$81,0)),""))</f>
        <v/>
      </c>
      <c r="H1448" s="70" t="str">
        <f aca="false">IF($E1448="","",N(INDEX(资金日记账!$N$4:$S$603,270,2)))</f>
        <v/>
      </c>
      <c r="I1448" s="70" t="str">
        <f aca="false">IF($E1448="","",N(INDEX(资金日记账!$N$4:$S$603,270,3)))</f>
        <v/>
      </c>
      <c r="J1448" s="67" t="str">
        <f aca="false">IF($E1448="","",INDEX(资金日记账!$E$4:$E$603,270))</f>
        <v/>
      </c>
      <c r="K1448" s="67" t="str">
        <f aca="false">IF($E1448="","",INDEX(资金日记账!$F$4:$F$603,270))</f>
        <v/>
      </c>
      <c r="L1448" s="107" t="str">
        <f aca="false">IF($E1448="","",INDEX(资金日记账!$X$4:$X$603,270))</f>
        <v/>
      </c>
      <c r="M1448" s="107"/>
      <c r="N1448" s="67" t="str">
        <f aca="false">IF($E1448="","",INDEX(资金日记账!$Y$4:$Y$603,270))</f>
        <v/>
      </c>
      <c r="O1448" s="67" t="str">
        <f aca="false">IF($E1448="","","自动B")</f>
        <v/>
      </c>
      <c r="P1448" s="18"/>
    </row>
    <row r="1449" customFormat="false" ht="18" hidden="false" customHeight="true" outlineLevel="0" collapsed="false">
      <c r="A1449" s="107" t="str">
        <f aca="false">IF($E1449="","",ROW()-3)</f>
        <v/>
      </c>
      <c r="B1449" s="110" t="str">
        <f aca="false">IF($E1449="","",INDEX(资金日记账!$B$4:$B$603,270))</f>
        <v/>
      </c>
      <c r="C1449" s="67" t="str">
        <f aca="false">IF($E1449="","",IF(INDEX(资金日记账!$W$4:$W$603,270)="","记-"&amp;TEXT($B1449,"YYYYMM")&amp;"-资金",INDEX(资金日记账!$W$4:$W$603,270)))</f>
        <v/>
      </c>
      <c r="D1449" s="107" t="str">
        <f aca="false">IF($E1449="","",INDEX(资金日记账!$D$4:$D$603,270))</f>
        <v/>
      </c>
      <c r="E1449" s="67" t="str">
        <f aca="false">IF(INDEX(资金日记账!$N$4:$S$603,270,4)=0,"",INDEX(资金日记账!$N$4:$S$603,270,4))</f>
        <v/>
      </c>
      <c r="F1449" s="99" t="str">
        <f aca="false">IF($E1449="","",IFERROR(INDEX(科目表!$A$4:$A$81,MATCH($E1449,科目表!$B$4:$B$81,0)),""))</f>
        <v/>
      </c>
      <c r="G1449" s="67" t="str">
        <f aca="false">IF($E1449="","",IFERROR(INDEX(科目表!$E$4:$E$81,MATCH($E1449,科目表!$B$4:$B$81,0)),""))</f>
        <v/>
      </c>
      <c r="H1449" s="70" t="str">
        <f aca="false">IF($E1449="","",N(INDEX(资金日记账!$N$4:$S$603,270,5)))</f>
        <v/>
      </c>
      <c r="I1449" s="70" t="str">
        <f aca="false">IF($E1449="","",N(INDEX(资金日记账!$N$4:$S$603,270,6)))</f>
        <v/>
      </c>
      <c r="J1449" s="67" t="str">
        <f aca="false">IF($E1449="","",INDEX(资金日记账!$E$4:$E$603,270))</f>
        <v/>
      </c>
      <c r="K1449" s="67" t="str">
        <f aca="false">IF($E1449="","",INDEX(资金日记账!$F$4:$F$603,270))</f>
        <v/>
      </c>
      <c r="L1449" s="107" t="str">
        <f aca="false">IF($E1449="","",INDEX(资金日记账!$X$4:$X$603,270))</f>
        <v/>
      </c>
      <c r="M1449" s="107"/>
      <c r="N1449" s="67" t="str">
        <f aca="false">IF($E1449="","",INDEX(资金日记账!$Y$4:$Y$603,270))</f>
        <v/>
      </c>
      <c r="O1449" s="67" t="str">
        <f aca="false">IF($E1449="","","自动B")</f>
        <v/>
      </c>
      <c r="P1449" s="18"/>
    </row>
    <row r="1450" customFormat="false" ht="18" hidden="false" customHeight="true" outlineLevel="0" collapsed="false">
      <c r="A1450" s="107" t="str">
        <f aca="false">IF($E1450="","",ROW()-3)</f>
        <v/>
      </c>
      <c r="B1450" s="110" t="str">
        <f aca="false">IF($E1450="","",INDEX(资金日记账!$B$4:$B$603,271))</f>
        <v/>
      </c>
      <c r="C1450" s="67" t="str">
        <f aca="false">IF($E1450="","",IF(INDEX(资金日记账!$W$4:$W$603,271)="","记-"&amp;TEXT($B1450,"YYYYMM")&amp;"-资金",INDEX(资金日记账!$W$4:$W$603,271)))</f>
        <v/>
      </c>
      <c r="D1450" s="107" t="str">
        <f aca="false">IF($E1450="","",INDEX(资金日记账!$D$4:$D$603,271))</f>
        <v/>
      </c>
      <c r="E1450" s="67" t="str">
        <f aca="false">IF(INDEX(资金日记账!$N$4:$S$603,271,1)=0,"",INDEX(资金日记账!$N$4:$S$603,271,1))</f>
        <v/>
      </c>
      <c r="F1450" s="99" t="str">
        <f aca="false">IF($E1450="","",IFERROR(INDEX(科目表!$A$4:$A$81,MATCH($E1450,科目表!$B$4:$B$81,0)),""))</f>
        <v/>
      </c>
      <c r="G1450" s="67" t="str">
        <f aca="false">IF($E1450="","",IFERROR(INDEX(科目表!$E$4:$E$81,MATCH($E1450,科目表!$B$4:$B$81,0)),""))</f>
        <v/>
      </c>
      <c r="H1450" s="70" t="str">
        <f aca="false">IF($E1450="","",N(INDEX(资金日记账!$N$4:$S$603,271,2)))</f>
        <v/>
      </c>
      <c r="I1450" s="70" t="str">
        <f aca="false">IF($E1450="","",N(INDEX(资金日记账!$N$4:$S$603,271,3)))</f>
        <v/>
      </c>
      <c r="J1450" s="67" t="str">
        <f aca="false">IF($E1450="","",INDEX(资金日记账!$E$4:$E$603,271))</f>
        <v/>
      </c>
      <c r="K1450" s="67" t="str">
        <f aca="false">IF($E1450="","",INDEX(资金日记账!$F$4:$F$603,271))</f>
        <v/>
      </c>
      <c r="L1450" s="107" t="str">
        <f aca="false">IF($E1450="","",INDEX(资金日记账!$X$4:$X$603,271))</f>
        <v/>
      </c>
      <c r="M1450" s="107"/>
      <c r="N1450" s="67" t="str">
        <f aca="false">IF($E1450="","",INDEX(资金日记账!$Y$4:$Y$603,271))</f>
        <v/>
      </c>
      <c r="O1450" s="67" t="str">
        <f aca="false">IF($E1450="","","自动B")</f>
        <v/>
      </c>
      <c r="P1450" s="18"/>
    </row>
    <row r="1451" customFormat="false" ht="18" hidden="false" customHeight="true" outlineLevel="0" collapsed="false">
      <c r="A1451" s="107" t="str">
        <f aca="false">IF($E1451="","",ROW()-3)</f>
        <v/>
      </c>
      <c r="B1451" s="110" t="str">
        <f aca="false">IF($E1451="","",INDEX(资金日记账!$B$4:$B$603,271))</f>
        <v/>
      </c>
      <c r="C1451" s="67" t="str">
        <f aca="false">IF($E1451="","",IF(INDEX(资金日记账!$W$4:$W$603,271)="","记-"&amp;TEXT($B1451,"YYYYMM")&amp;"-资金",INDEX(资金日记账!$W$4:$W$603,271)))</f>
        <v/>
      </c>
      <c r="D1451" s="107" t="str">
        <f aca="false">IF($E1451="","",INDEX(资金日记账!$D$4:$D$603,271))</f>
        <v/>
      </c>
      <c r="E1451" s="67" t="str">
        <f aca="false">IF(INDEX(资金日记账!$N$4:$S$603,271,4)=0,"",INDEX(资金日记账!$N$4:$S$603,271,4))</f>
        <v/>
      </c>
      <c r="F1451" s="99" t="str">
        <f aca="false">IF($E1451="","",IFERROR(INDEX(科目表!$A$4:$A$81,MATCH($E1451,科目表!$B$4:$B$81,0)),""))</f>
        <v/>
      </c>
      <c r="G1451" s="67" t="str">
        <f aca="false">IF($E1451="","",IFERROR(INDEX(科目表!$E$4:$E$81,MATCH($E1451,科目表!$B$4:$B$81,0)),""))</f>
        <v/>
      </c>
      <c r="H1451" s="70" t="str">
        <f aca="false">IF($E1451="","",N(INDEX(资金日记账!$N$4:$S$603,271,5)))</f>
        <v/>
      </c>
      <c r="I1451" s="70" t="str">
        <f aca="false">IF($E1451="","",N(INDEX(资金日记账!$N$4:$S$603,271,6)))</f>
        <v/>
      </c>
      <c r="J1451" s="67" t="str">
        <f aca="false">IF($E1451="","",INDEX(资金日记账!$E$4:$E$603,271))</f>
        <v/>
      </c>
      <c r="K1451" s="67" t="str">
        <f aca="false">IF($E1451="","",INDEX(资金日记账!$F$4:$F$603,271))</f>
        <v/>
      </c>
      <c r="L1451" s="107" t="str">
        <f aca="false">IF($E1451="","",INDEX(资金日记账!$X$4:$X$603,271))</f>
        <v/>
      </c>
      <c r="M1451" s="107"/>
      <c r="N1451" s="67" t="str">
        <f aca="false">IF($E1451="","",INDEX(资金日记账!$Y$4:$Y$603,271))</f>
        <v/>
      </c>
      <c r="O1451" s="67" t="str">
        <f aca="false">IF($E1451="","","自动B")</f>
        <v/>
      </c>
      <c r="P1451" s="18"/>
    </row>
    <row r="1452" customFormat="false" ht="18" hidden="false" customHeight="true" outlineLevel="0" collapsed="false">
      <c r="A1452" s="107" t="str">
        <f aca="false">IF($E1452="","",ROW()-3)</f>
        <v/>
      </c>
      <c r="B1452" s="110" t="str">
        <f aca="false">IF($E1452="","",INDEX(资金日记账!$B$4:$B$603,272))</f>
        <v/>
      </c>
      <c r="C1452" s="67" t="str">
        <f aca="false">IF($E1452="","",IF(INDEX(资金日记账!$W$4:$W$603,272)="","记-"&amp;TEXT($B1452,"YYYYMM")&amp;"-资金",INDEX(资金日记账!$W$4:$W$603,272)))</f>
        <v/>
      </c>
      <c r="D1452" s="107" t="str">
        <f aca="false">IF($E1452="","",INDEX(资金日记账!$D$4:$D$603,272))</f>
        <v/>
      </c>
      <c r="E1452" s="67" t="str">
        <f aca="false">IF(INDEX(资金日记账!$N$4:$S$603,272,1)=0,"",INDEX(资金日记账!$N$4:$S$603,272,1))</f>
        <v/>
      </c>
      <c r="F1452" s="99" t="str">
        <f aca="false">IF($E1452="","",IFERROR(INDEX(科目表!$A$4:$A$81,MATCH($E1452,科目表!$B$4:$B$81,0)),""))</f>
        <v/>
      </c>
      <c r="G1452" s="67" t="str">
        <f aca="false">IF($E1452="","",IFERROR(INDEX(科目表!$E$4:$E$81,MATCH($E1452,科目表!$B$4:$B$81,0)),""))</f>
        <v/>
      </c>
      <c r="H1452" s="70" t="str">
        <f aca="false">IF($E1452="","",N(INDEX(资金日记账!$N$4:$S$603,272,2)))</f>
        <v/>
      </c>
      <c r="I1452" s="70" t="str">
        <f aca="false">IF($E1452="","",N(INDEX(资金日记账!$N$4:$S$603,272,3)))</f>
        <v/>
      </c>
      <c r="J1452" s="67" t="str">
        <f aca="false">IF($E1452="","",INDEX(资金日记账!$E$4:$E$603,272))</f>
        <v/>
      </c>
      <c r="K1452" s="67" t="str">
        <f aca="false">IF($E1452="","",INDEX(资金日记账!$F$4:$F$603,272))</f>
        <v/>
      </c>
      <c r="L1452" s="107" t="str">
        <f aca="false">IF($E1452="","",INDEX(资金日记账!$X$4:$X$603,272))</f>
        <v/>
      </c>
      <c r="M1452" s="107"/>
      <c r="N1452" s="67" t="str">
        <f aca="false">IF($E1452="","",INDEX(资金日记账!$Y$4:$Y$603,272))</f>
        <v/>
      </c>
      <c r="O1452" s="67" t="str">
        <f aca="false">IF($E1452="","","自动B")</f>
        <v/>
      </c>
      <c r="P1452" s="18"/>
    </row>
    <row r="1453" customFormat="false" ht="18" hidden="false" customHeight="true" outlineLevel="0" collapsed="false">
      <c r="A1453" s="107" t="str">
        <f aca="false">IF($E1453="","",ROW()-3)</f>
        <v/>
      </c>
      <c r="B1453" s="110" t="str">
        <f aca="false">IF($E1453="","",INDEX(资金日记账!$B$4:$B$603,272))</f>
        <v/>
      </c>
      <c r="C1453" s="67" t="str">
        <f aca="false">IF($E1453="","",IF(INDEX(资金日记账!$W$4:$W$603,272)="","记-"&amp;TEXT($B1453,"YYYYMM")&amp;"-资金",INDEX(资金日记账!$W$4:$W$603,272)))</f>
        <v/>
      </c>
      <c r="D1453" s="107" t="str">
        <f aca="false">IF($E1453="","",INDEX(资金日记账!$D$4:$D$603,272))</f>
        <v/>
      </c>
      <c r="E1453" s="67" t="str">
        <f aca="false">IF(INDEX(资金日记账!$N$4:$S$603,272,4)=0,"",INDEX(资金日记账!$N$4:$S$603,272,4))</f>
        <v/>
      </c>
      <c r="F1453" s="99" t="str">
        <f aca="false">IF($E1453="","",IFERROR(INDEX(科目表!$A$4:$A$81,MATCH($E1453,科目表!$B$4:$B$81,0)),""))</f>
        <v/>
      </c>
      <c r="G1453" s="67" t="str">
        <f aca="false">IF($E1453="","",IFERROR(INDEX(科目表!$E$4:$E$81,MATCH($E1453,科目表!$B$4:$B$81,0)),""))</f>
        <v/>
      </c>
      <c r="H1453" s="70" t="str">
        <f aca="false">IF($E1453="","",N(INDEX(资金日记账!$N$4:$S$603,272,5)))</f>
        <v/>
      </c>
      <c r="I1453" s="70" t="str">
        <f aca="false">IF($E1453="","",N(INDEX(资金日记账!$N$4:$S$603,272,6)))</f>
        <v/>
      </c>
      <c r="J1453" s="67" t="str">
        <f aca="false">IF($E1453="","",INDEX(资金日记账!$E$4:$E$603,272))</f>
        <v/>
      </c>
      <c r="K1453" s="67" t="str">
        <f aca="false">IF($E1453="","",INDEX(资金日记账!$F$4:$F$603,272))</f>
        <v/>
      </c>
      <c r="L1453" s="107" t="str">
        <f aca="false">IF($E1453="","",INDEX(资金日记账!$X$4:$X$603,272))</f>
        <v/>
      </c>
      <c r="M1453" s="107"/>
      <c r="N1453" s="67" t="str">
        <f aca="false">IF($E1453="","",INDEX(资金日记账!$Y$4:$Y$603,272))</f>
        <v/>
      </c>
      <c r="O1453" s="67" t="str">
        <f aca="false">IF($E1453="","","自动B")</f>
        <v/>
      </c>
      <c r="P1453" s="18"/>
    </row>
    <row r="1454" customFormat="false" ht="18" hidden="false" customHeight="true" outlineLevel="0" collapsed="false">
      <c r="A1454" s="107" t="str">
        <f aca="false">IF($E1454="","",ROW()-3)</f>
        <v/>
      </c>
      <c r="B1454" s="110" t="str">
        <f aca="false">IF($E1454="","",INDEX(资金日记账!$B$4:$B$603,273))</f>
        <v/>
      </c>
      <c r="C1454" s="67" t="str">
        <f aca="false">IF($E1454="","",IF(INDEX(资金日记账!$W$4:$W$603,273)="","记-"&amp;TEXT($B1454,"YYYYMM")&amp;"-资金",INDEX(资金日记账!$W$4:$W$603,273)))</f>
        <v/>
      </c>
      <c r="D1454" s="107" t="str">
        <f aca="false">IF($E1454="","",INDEX(资金日记账!$D$4:$D$603,273))</f>
        <v/>
      </c>
      <c r="E1454" s="67" t="str">
        <f aca="false">IF(INDEX(资金日记账!$N$4:$S$603,273,1)=0,"",INDEX(资金日记账!$N$4:$S$603,273,1))</f>
        <v/>
      </c>
      <c r="F1454" s="99" t="str">
        <f aca="false">IF($E1454="","",IFERROR(INDEX(科目表!$A$4:$A$81,MATCH($E1454,科目表!$B$4:$B$81,0)),""))</f>
        <v/>
      </c>
      <c r="G1454" s="67" t="str">
        <f aca="false">IF($E1454="","",IFERROR(INDEX(科目表!$E$4:$E$81,MATCH($E1454,科目表!$B$4:$B$81,0)),""))</f>
        <v/>
      </c>
      <c r="H1454" s="70" t="str">
        <f aca="false">IF($E1454="","",N(INDEX(资金日记账!$N$4:$S$603,273,2)))</f>
        <v/>
      </c>
      <c r="I1454" s="70" t="str">
        <f aca="false">IF($E1454="","",N(INDEX(资金日记账!$N$4:$S$603,273,3)))</f>
        <v/>
      </c>
      <c r="J1454" s="67" t="str">
        <f aca="false">IF($E1454="","",INDEX(资金日记账!$E$4:$E$603,273))</f>
        <v/>
      </c>
      <c r="K1454" s="67" t="str">
        <f aca="false">IF($E1454="","",INDEX(资金日记账!$F$4:$F$603,273))</f>
        <v/>
      </c>
      <c r="L1454" s="107" t="str">
        <f aca="false">IF($E1454="","",INDEX(资金日记账!$X$4:$X$603,273))</f>
        <v/>
      </c>
      <c r="M1454" s="107"/>
      <c r="N1454" s="67" t="str">
        <f aca="false">IF($E1454="","",INDEX(资金日记账!$Y$4:$Y$603,273))</f>
        <v/>
      </c>
      <c r="O1454" s="67" t="str">
        <f aca="false">IF($E1454="","","自动B")</f>
        <v/>
      </c>
      <c r="P1454" s="18"/>
    </row>
    <row r="1455" customFormat="false" ht="18" hidden="false" customHeight="true" outlineLevel="0" collapsed="false">
      <c r="A1455" s="107" t="str">
        <f aca="false">IF($E1455="","",ROW()-3)</f>
        <v/>
      </c>
      <c r="B1455" s="110" t="str">
        <f aca="false">IF($E1455="","",INDEX(资金日记账!$B$4:$B$603,273))</f>
        <v/>
      </c>
      <c r="C1455" s="67" t="str">
        <f aca="false">IF($E1455="","",IF(INDEX(资金日记账!$W$4:$W$603,273)="","记-"&amp;TEXT($B1455,"YYYYMM")&amp;"-资金",INDEX(资金日记账!$W$4:$W$603,273)))</f>
        <v/>
      </c>
      <c r="D1455" s="107" t="str">
        <f aca="false">IF($E1455="","",INDEX(资金日记账!$D$4:$D$603,273))</f>
        <v/>
      </c>
      <c r="E1455" s="67" t="str">
        <f aca="false">IF(INDEX(资金日记账!$N$4:$S$603,273,4)=0,"",INDEX(资金日记账!$N$4:$S$603,273,4))</f>
        <v/>
      </c>
      <c r="F1455" s="99" t="str">
        <f aca="false">IF($E1455="","",IFERROR(INDEX(科目表!$A$4:$A$81,MATCH($E1455,科目表!$B$4:$B$81,0)),""))</f>
        <v/>
      </c>
      <c r="G1455" s="67" t="str">
        <f aca="false">IF($E1455="","",IFERROR(INDEX(科目表!$E$4:$E$81,MATCH($E1455,科目表!$B$4:$B$81,0)),""))</f>
        <v/>
      </c>
      <c r="H1455" s="70" t="str">
        <f aca="false">IF($E1455="","",N(INDEX(资金日记账!$N$4:$S$603,273,5)))</f>
        <v/>
      </c>
      <c r="I1455" s="70" t="str">
        <f aca="false">IF($E1455="","",N(INDEX(资金日记账!$N$4:$S$603,273,6)))</f>
        <v/>
      </c>
      <c r="J1455" s="67" t="str">
        <f aca="false">IF($E1455="","",INDEX(资金日记账!$E$4:$E$603,273))</f>
        <v/>
      </c>
      <c r="K1455" s="67" t="str">
        <f aca="false">IF($E1455="","",INDEX(资金日记账!$F$4:$F$603,273))</f>
        <v/>
      </c>
      <c r="L1455" s="107" t="str">
        <f aca="false">IF($E1455="","",INDEX(资金日记账!$X$4:$X$603,273))</f>
        <v/>
      </c>
      <c r="M1455" s="107"/>
      <c r="N1455" s="67" t="str">
        <f aca="false">IF($E1455="","",INDEX(资金日记账!$Y$4:$Y$603,273))</f>
        <v/>
      </c>
      <c r="O1455" s="67" t="str">
        <f aca="false">IF($E1455="","","自动B")</f>
        <v/>
      </c>
      <c r="P1455" s="18"/>
    </row>
    <row r="1456" customFormat="false" ht="18" hidden="false" customHeight="true" outlineLevel="0" collapsed="false">
      <c r="A1456" s="107" t="str">
        <f aca="false">IF($E1456="","",ROW()-3)</f>
        <v/>
      </c>
      <c r="B1456" s="110" t="str">
        <f aca="false">IF($E1456="","",INDEX(资金日记账!$B$4:$B$603,274))</f>
        <v/>
      </c>
      <c r="C1456" s="67" t="str">
        <f aca="false">IF($E1456="","",IF(INDEX(资金日记账!$W$4:$W$603,274)="","记-"&amp;TEXT($B1456,"YYYYMM")&amp;"-资金",INDEX(资金日记账!$W$4:$W$603,274)))</f>
        <v/>
      </c>
      <c r="D1456" s="107" t="str">
        <f aca="false">IF($E1456="","",INDEX(资金日记账!$D$4:$D$603,274))</f>
        <v/>
      </c>
      <c r="E1456" s="67" t="str">
        <f aca="false">IF(INDEX(资金日记账!$N$4:$S$603,274,1)=0,"",INDEX(资金日记账!$N$4:$S$603,274,1))</f>
        <v/>
      </c>
      <c r="F1456" s="99" t="str">
        <f aca="false">IF($E1456="","",IFERROR(INDEX(科目表!$A$4:$A$81,MATCH($E1456,科目表!$B$4:$B$81,0)),""))</f>
        <v/>
      </c>
      <c r="G1456" s="67" t="str">
        <f aca="false">IF($E1456="","",IFERROR(INDEX(科目表!$E$4:$E$81,MATCH($E1456,科目表!$B$4:$B$81,0)),""))</f>
        <v/>
      </c>
      <c r="H1456" s="70" t="str">
        <f aca="false">IF($E1456="","",N(INDEX(资金日记账!$N$4:$S$603,274,2)))</f>
        <v/>
      </c>
      <c r="I1456" s="70" t="str">
        <f aca="false">IF($E1456="","",N(INDEX(资金日记账!$N$4:$S$603,274,3)))</f>
        <v/>
      </c>
      <c r="J1456" s="67" t="str">
        <f aca="false">IF($E1456="","",INDEX(资金日记账!$E$4:$E$603,274))</f>
        <v/>
      </c>
      <c r="K1456" s="67" t="str">
        <f aca="false">IF($E1456="","",INDEX(资金日记账!$F$4:$F$603,274))</f>
        <v/>
      </c>
      <c r="L1456" s="107" t="str">
        <f aca="false">IF($E1456="","",INDEX(资金日记账!$X$4:$X$603,274))</f>
        <v/>
      </c>
      <c r="M1456" s="107"/>
      <c r="N1456" s="67" t="str">
        <f aca="false">IF($E1456="","",INDEX(资金日记账!$Y$4:$Y$603,274))</f>
        <v/>
      </c>
      <c r="O1456" s="67" t="str">
        <f aca="false">IF($E1456="","","自动B")</f>
        <v/>
      </c>
      <c r="P1456" s="18"/>
    </row>
    <row r="1457" customFormat="false" ht="18" hidden="false" customHeight="true" outlineLevel="0" collapsed="false">
      <c r="A1457" s="107" t="str">
        <f aca="false">IF($E1457="","",ROW()-3)</f>
        <v/>
      </c>
      <c r="B1457" s="110" t="str">
        <f aca="false">IF($E1457="","",INDEX(资金日记账!$B$4:$B$603,274))</f>
        <v/>
      </c>
      <c r="C1457" s="67" t="str">
        <f aca="false">IF($E1457="","",IF(INDEX(资金日记账!$W$4:$W$603,274)="","记-"&amp;TEXT($B1457,"YYYYMM")&amp;"-资金",INDEX(资金日记账!$W$4:$W$603,274)))</f>
        <v/>
      </c>
      <c r="D1457" s="107" t="str">
        <f aca="false">IF($E1457="","",INDEX(资金日记账!$D$4:$D$603,274))</f>
        <v/>
      </c>
      <c r="E1457" s="67" t="str">
        <f aca="false">IF(INDEX(资金日记账!$N$4:$S$603,274,4)=0,"",INDEX(资金日记账!$N$4:$S$603,274,4))</f>
        <v/>
      </c>
      <c r="F1457" s="99" t="str">
        <f aca="false">IF($E1457="","",IFERROR(INDEX(科目表!$A$4:$A$81,MATCH($E1457,科目表!$B$4:$B$81,0)),""))</f>
        <v/>
      </c>
      <c r="G1457" s="67" t="str">
        <f aca="false">IF($E1457="","",IFERROR(INDEX(科目表!$E$4:$E$81,MATCH($E1457,科目表!$B$4:$B$81,0)),""))</f>
        <v/>
      </c>
      <c r="H1457" s="70" t="str">
        <f aca="false">IF($E1457="","",N(INDEX(资金日记账!$N$4:$S$603,274,5)))</f>
        <v/>
      </c>
      <c r="I1457" s="70" t="str">
        <f aca="false">IF($E1457="","",N(INDEX(资金日记账!$N$4:$S$603,274,6)))</f>
        <v/>
      </c>
      <c r="J1457" s="67" t="str">
        <f aca="false">IF($E1457="","",INDEX(资金日记账!$E$4:$E$603,274))</f>
        <v/>
      </c>
      <c r="K1457" s="67" t="str">
        <f aca="false">IF($E1457="","",INDEX(资金日记账!$F$4:$F$603,274))</f>
        <v/>
      </c>
      <c r="L1457" s="107" t="str">
        <f aca="false">IF($E1457="","",INDEX(资金日记账!$X$4:$X$603,274))</f>
        <v/>
      </c>
      <c r="M1457" s="107"/>
      <c r="N1457" s="67" t="str">
        <f aca="false">IF($E1457="","",INDEX(资金日记账!$Y$4:$Y$603,274))</f>
        <v/>
      </c>
      <c r="O1457" s="67" t="str">
        <f aca="false">IF($E1457="","","自动B")</f>
        <v/>
      </c>
      <c r="P1457" s="18"/>
    </row>
    <row r="1458" customFormat="false" ht="18" hidden="false" customHeight="true" outlineLevel="0" collapsed="false">
      <c r="A1458" s="107" t="str">
        <f aca="false">IF($E1458="","",ROW()-3)</f>
        <v/>
      </c>
      <c r="B1458" s="110" t="str">
        <f aca="false">IF($E1458="","",INDEX(资金日记账!$B$4:$B$603,275))</f>
        <v/>
      </c>
      <c r="C1458" s="67" t="str">
        <f aca="false">IF($E1458="","",IF(INDEX(资金日记账!$W$4:$W$603,275)="","记-"&amp;TEXT($B1458,"YYYYMM")&amp;"-资金",INDEX(资金日记账!$W$4:$W$603,275)))</f>
        <v/>
      </c>
      <c r="D1458" s="107" t="str">
        <f aca="false">IF($E1458="","",INDEX(资金日记账!$D$4:$D$603,275))</f>
        <v/>
      </c>
      <c r="E1458" s="67" t="str">
        <f aca="false">IF(INDEX(资金日记账!$N$4:$S$603,275,1)=0,"",INDEX(资金日记账!$N$4:$S$603,275,1))</f>
        <v/>
      </c>
      <c r="F1458" s="99" t="str">
        <f aca="false">IF($E1458="","",IFERROR(INDEX(科目表!$A$4:$A$81,MATCH($E1458,科目表!$B$4:$B$81,0)),""))</f>
        <v/>
      </c>
      <c r="G1458" s="67" t="str">
        <f aca="false">IF($E1458="","",IFERROR(INDEX(科目表!$E$4:$E$81,MATCH($E1458,科目表!$B$4:$B$81,0)),""))</f>
        <v/>
      </c>
      <c r="H1458" s="70" t="str">
        <f aca="false">IF($E1458="","",N(INDEX(资金日记账!$N$4:$S$603,275,2)))</f>
        <v/>
      </c>
      <c r="I1458" s="70" t="str">
        <f aca="false">IF($E1458="","",N(INDEX(资金日记账!$N$4:$S$603,275,3)))</f>
        <v/>
      </c>
      <c r="J1458" s="67" t="str">
        <f aca="false">IF($E1458="","",INDEX(资金日记账!$E$4:$E$603,275))</f>
        <v/>
      </c>
      <c r="K1458" s="67" t="str">
        <f aca="false">IF($E1458="","",INDEX(资金日记账!$F$4:$F$603,275))</f>
        <v/>
      </c>
      <c r="L1458" s="107" t="str">
        <f aca="false">IF($E1458="","",INDEX(资金日记账!$X$4:$X$603,275))</f>
        <v/>
      </c>
      <c r="M1458" s="107"/>
      <c r="N1458" s="67" t="str">
        <f aca="false">IF($E1458="","",INDEX(资金日记账!$Y$4:$Y$603,275))</f>
        <v/>
      </c>
      <c r="O1458" s="67" t="str">
        <f aca="false">IF($E1458="","","自动B")</f>
        <v/>
      </c>
      <c r="P1458" s="18"/>
    </row>
    <row r="1459" customFormat="false" ht="18" hidden="false" customHeight="true" outlineLevel="0" collapsed="false">
      <c r="A1459" s="107" t="str">
        <f aca="false">IF($E1459="","",ROW()-3)</f>
        <v/>
      </c>
      <c r="B1459" s="110" t="str">
        <f aca="false">IF($E1459="","",INDEX(资金日记账!$B$4:$B$603,275))</f>
        <v/>
      </c>
      <c r="C1459" s="67" t="str">
        <f aca="false">IF($E1459="","",IF(INDEX(资金日记账!$W$4:$W$603,275)="","记-"&amp;TEXT($B1459,"YYYYMM")&amp;"-资金",INDEX(资金日记账!$W$4:$W$603,275)))</f>
        <v/>
      </c>
      <c r="D1459" s="107" t="str">
        <f aca="false">IF($E1459="","",INDEX(资金日记账!$D$4:$D$603,275))</f>
        <v/>
      </c>
      <c r="E1459" s="67" t="str">
        <f aca="false">IF(INDEX(资金日记账!$N$4:$S$603,275,4)=0,"",INDEX(资金日记账!$N$4:$S$603,275,4))</f>
        <v/>
      </c>
      <c r="F1459" s="99" t="str">
        <f aca="false">IF($E1459="","",IFERROR(INDEX(科目表!$A$4:$A$81,MATCH($E1459,科目表!$B$4:$B$81,0)),""))</f>
        <v/>
      </c>
      <c r="G1459" s="67" t="str">
        <f aca="false">IF($E1459="","",IFERROR(INDEX(科目表!$E$4:$E$81,MATCH($E1459,科目表!$B$4:$B$81,0)),""))</f>
        <v/>
      </c>
      <c r="H1459" s="70" t="str">
        <f aca="false">IF($E1459="","",N(INDEX(资金日记账!$N$4:$S$603,275,5)))</f>
        <v/>
      </c>
      <c r="I1459" s="70" t="str">
        <f aca="false">IF($E1459="","",N(INDEX(资金日记账!$N$4:$S$603,275,6)))</f>
        <v/>
      </c>
      <c r="J1459" s="67" t="str">
        <f aca="false">IF($E1459="","",INDEX(资金日记账!$E$4:$E$603,275))</f>
        <v/>
      </c>
      <c r="K1459" s="67" t="str">
        <f aca="false">IF($E1459="","",INDEX(资金日记账!$F$4:$F$603,275))</f>
        <v/>
      </c>
      <c r="L1459" s="107" t="str">
        <f aca="false">IF($E1459="","",INDEX(资金日记账!$X$4:$X$603,275))</f>
        <v/>
      </c>
      <c r="M1459" s="107"/>
      <c r="N1459" s="67" t="str">
        <f aca="false">IF($E1459="","",INDEX(资金日记账!$Y$4:$Y$603,275))</f>
        <v/>
      </c>
      <c r="O1459" s="67" t="str">
        <f aca="false">IF($E1459="","","自动B")</f>
        <v/>
      </c>
      <c r="P1459" s="18"/>
    </row>
    <row r="1460" customFormat="false" ht="18" hidden="false" customHeight="true" outlineLevel="0" collapsed="false">
      <c r="A1460" s="107" t="str">
        <f aca="false">IF($E1460="","",ROW()-3)</f>
        <v/>
      </c>
      <c r="B1460" s="110" t="str">
        <f aca="false">IF($E1460="","",INDEX(资金日记账!$B$4:$B$603,276))</f>
        <v/>
      </c>
      <c r="C1460" s="67" t="str">
        <f aca="false">IF($E1460="","",IF(INDEX(资金日记账!$W$4:$W$603,276)="","记-"&amp;TEXT($B1460,"YYYYMM")&amp;"-资金",INDEX(资金日记账!$W$4:$W$603,276)))</f>
        <v/>
      </c>
      <c r="D1460" s="107" t="str">
        <f aca="false">IF($E1460="","",INDEX(资金日记账!$D$4:$D$603,276))</f>
        <v/>
      </c>
      <c r="E1460" s="67" t="str">
        <f aca="false">IF(INDEX(资金日记账!$N$4:$S$603,276,1)=0,"",INDEX(资金日记账!$N$4:$S$603,276,1))</f>
        <v/>
      </c>
      <c r="F1460" s="99" t="str">
        <f aca="false">IF($E1460="","",IFERROR(INDEX(科目表!$A$4:$A$81,MATCH($E1460,科目表!$B$4:$B$81,0)),""))</f>
        <v/>
      </c>
      <c r="G1460" s="67" t="str">
        <f aca="false">IF($E1460="","",IFERROR(INDEX(科目表!$E$4:$E$81,MATCH($E1460,科目表!$B$4:$B$81,0)),""))</f>
        <v/>
      </c>
      <c r="H1460" s="70" t="str">
        <f aca="false">IF($E1460="","",N(INDEX(资金日记账!$N$4:$S$603,276,2)))</f>
        <v/>
      </c>
      <c r="I1460" s="70" t="str">
        <f aca="false">IF($E1460="","",N(INDEX(资金日记账!$N$4:$S$603,276,3)))</f>
        <v/>
      </c>
      <c r="J1460" s="67" t="str">
        <f aca="false">IF($E1460="","",INDEX(资金日记账!$E$4:$E$603,276))</f>
        <v/>
      </c>
      <c r="K1460" s="67" t="str">
        <f aca="false">IF($E1460="","",INDEX(资金日记账!$F$4:$F$603,276))</f>
        <v/>
      </c>
      <c r="L1460" s="107" t="str">
        <f aca="false">IF($E1460="","",INDEX(资金日记账!$X$4:$X$603,276))</f>
        <v/>
      </c>
      <c r="M1460" s="107"/>
      <c r="N1460" s="67" t="str">
        <f aca="false">IF($E1460="","",INDEX(资金日记账!$Y$4:$Y$603,276))</f>
        <v/>
      </c>
      <c r="O1460" s="67" t="str">
        <f aca="false">IF($E1460="","","自动B")</f>
        <v/>
      </c>
      <c r="P1460" s="18"/>
    </row>
    <row r="1461" customFormat="false" ht="18" hidden="false" customHeight="true" outlineLevel="0" collapsed="false">
      <c r="A1461" s="107" t="str">
        <f aca="false">IF($E1461="","",ROW()-3)</f>
        <v/>
      </c>
      <c r="B1461" s="110" t="str">
        <f aca="false">IF($E1461="","",INDEX(资金日记账!$B$4:$B$603,276))</f>
        <v/>
      </c>
      <c r="C1461" s="67" t="str">
        <f aca="false">IF($E1461="","",IF(INDEX(资金日记账!$W$4:$W$603,276)="","记-"&amp;TEXT($B1461,"YYYYMM")&amp;"-资金",INDEX(资金日记账!$W$4:$W$603,276)))</f>
        <v/>
      </c>
      <c r="D1461" s="107" t="str">
        <f aca="false">IF($E1461="","",INDEX(资金日记账!$D$4:$D$603,276))</f>
        <v/>
      </c>
      <c r="E1461" s="67" t="str">
        <f aca="false">IF(INDEX(资金日记账!$N$4:$S$603,276,4)=0,"",INDEX(资金日记账!$N$4:$S$603,276,4))</f>
        <v/>
      </c>
      <c r="F1461" s="99" t="str">
        <f aca="false">IF($E1461="","",IFERROR(INDEX(科目表!$A$4:$A$81,MATCH($E1461,科目表!$B$4:$B$81,0)),""))</f>
        <v/>
      </c>
      <c r="G1461" s="67" t="str">
        <f aca="false">IF($E1461="","",IFERROR(INDEX(科目表!$E$4:$E$81,MATCH($E1461,科目表!$B$4:$B$81,0)),""))</f>
        <v/>
      </c>
      <c r="H1461" s="70" t="str">
        <f aca="false">IF($E1461="","",N(INDEX(资金日记账!$N$4:$S$603,276,5)))</f>
        <v/>
      </c>
      <c r="I1461" s="70" t="str">
        <f aca="false">IF($E1461="","",N(INDEX(资金日记账!$N$4:$S$603,276,6)))</f>
        <v/>
      </c>
      <c r="J1461" s="67" t="str">
        <f aca="false">IF($E1461="","",INDEX(资金日记账!$E$4:$E$603,276))</f>
        <v/>
      </c>
      <c r="K1461" s="67" t="str">
        <f aca="false">IF($E1461="","",INDEX(资金日记账!$F$4:$F$603,276))</f>
        <v/>
      </c>
      <c r="L1461" s="107" t="str">
        <f aca="false">IF($E1461="","",INDEX(资金日记账!$X$4:$X$603,276))</f>
        <v/>
      </c>
      <c r="M1461" s="107"/>
      <c r="N1461" s="67" t="str">
        <f aca="false">IF($E1461="","",INDEX(资金日记账!$Y$4:$Y$603,276))</f>
        <v/>
      </c>
      <c r="O1461" s="67" t="str">
        <f aca="false">IF($E1461="","","自动B")</f>
        <v/>
      </c>
      <c r="P1461" s="18"/>
    </row>
    <row r="1462" customFormat="false" ht="18" hidden="false" customHeight="true" outlineLevel="0" collapsed="false">
      <c r="A1462" s="107" t="str">
        <f aca="false">IF($E1462="","",ROW()-3)</f>
        <v/>
      </c>
      <c r="B1462" s="110" t="str">
        <f aca="false">IF($E1462="","",INDEX(资金日记账!$B$4:$B$603,277))</f>
        <v/>
      </c>
      <c r="C1462" s="67" t="str">
        <f aca="false">IF($E1462="","",IF(INDEX(资金日记账!$W$4:$W$603,277)="","记-"&amp;TEXT($B1462,"YYYYMM")&amp;"-资金",INDEX(资金日记账!$W$4:$W$603,277)))</f>
        <v/>
      </c>
      <c r="D1462" s="107" t="str">
        <f aca="false">IF($E1462="","",INDEX(资金日记账!$D$4:$D$603,277))</f>
        <v/>
      </c>
      <c r="E1462" s="67" t="str">
        <f aca="false">IF(INDEX(资金日记账!$N$4:$S$603,277,1)=0,"",INDEX(资金日记账!$N$4:$S$603,277,1))</f>
        <v/>
      </c>
      <c r="F1462" s="99" t="str">
        <f aca="false">IF($E1462="","",IFERROR(INDEX(科目表!$A$4:$A$81,MATCH($E1462,科目表!$B$4:$B$81,0)),""))</f>
        <v/>
      </c>
      <c r="G1462" s="67" t="str">
        <f aca="false">IF($E1462="","",IFERROR(INDEX(科目表!$E$4:$E$81,MATCH($E1462,科目表!$B$4:$B$81,0)),""))</f>
        <v/>
      </c>
      <c r="H1462" s="70" t="str">
        <f aca="false">IF($E1462="","",N(INDEX(资金日记账!$N$4:$S$603,277,2)))</f>
        <v/>
      </c>
      <c r="I1462" s="70" t="str">
        <f aca="false">IF($E1462="","",N(INDEX(资金日记账!$N$4:$S$603,277,3)))</f>
        <v/>
      </c>
      <c r="J1462" s="67" t="str">
        <f aca="false">IF($E1462="","",INDEX(资金日记账!$E$4:$E$603,277))</f>
        <v/>
      </c>
      <c r="K1462" s="67" t="str">
        <f aca="false">IF($E1462="","",INDEX(资金日记账!$F$4:$F$603,277))</f>
        <v/>
      </c>
      <c r="L1462" s="107" t="str">
        <f aca="false">IF($E1462="","",INDEX(资金日记账!$X$4:$X$603,277))</f>
        <v/>
      </c>
      <c r="M1462" s="107"/>
      <c r="N1462" s="67" t="str">
        <f aca="false">IF($E1462="","",INDEX(资金日记账!$Y$4:$Y$603,277))</f>
        <v/>
      </c>
      <c r="O1462" s="67" t="str">
        <f aca="false">IF($E1462="","","自动B")</f>
        <v/>
      </c>
      <c r="P1462" s="18"/>
    </row>
    <row r="1463" customFormat="false" ht="18" hidden="false" customHeight="true" outlineLevel="0" collapsed="false">
      <c r="A1463" s="107" t="str">
        <f aca="false">IF($E1463="","",ROW()-3)</f>
        <v/>
      </c>
      <c r="B1463" s="110" t="str">
        <f aca="false">IF($E1463="","",INDEX(资金日记账!$B$4:$B$603,277))</f>
        <v/>
      </c>
      <c r="C1463" s="67" t="str">
        <f aca="false">IF($E1463="","",IF(INDEX(资金日记账!$W$4:$W$603,277)="","记-"&amp;TEXT($B1463,"YYYYMM")&amp;"-资金",INDEX(资金日记账!$W$4:$W$603,277)))</f>
        <v/>
      </c>
      <c r="D1463" s="107" t="str">
        <f aca="false">IF($E1463="","",INDEX(资金日记账!$D$4:$D$603,277))</f>
        <v/>
      </c>
      <c r="E1463" s="67" t="str">
        <f aca="false">IF(INDEX(资金日记账!$N$4:$S$603,277,4)=0,"",INDEX(资金日记账!$N$4:$S$603,277,4))</f>
        <v/>
      </c>
      <c r="F1463" s="99" t="str">
        <f aca="false">IF($E1463="","",IFERROR(INDEX(科目表!$A$4:$A$81,MATCH($E1463,科目表!$B$4:$B$81,0)),""))</f>
        <v/>
      </c>
      <c r="G1463" s="67" t="str">
        <f aca="false">IF($E1463="","",IFERROR(INDEX(科目表!$E$4:$E$81,MATCH($E1463,科目表!$B$4:$B$81,0)),""))</f>
        <v/>
      </c>
      <c r="H1463" s="70" t="str">
        <f aca="false">IF($E1463="","",N(INDEX(资金日记账!$N$4:$S$603,277,5)))</f>
        <v/>
      </c>
      <c r="I1463" s="70" t="str">
        <f aca="false">IF($E1463="","",N(INDEX(资金日记账!$N$4:$S$603,277,6)))</f>
        <v/>
      </c>
      <c r="J1463" s="67" t="str">
        <f aca="false">IF($E1463="","",INDEX(资金日记账!$E$4:$E$603,277))</f>
        <v/>
      </c>
      <c r="K1463" s="67" t="str">
        <f aca="false">IF($E1463="","",INDEX(资金日记账!$F$4:$F$603,277))</f>
        <v/>
      </c>
      <c r="L1463" s="107" t="str">
        <f aca="false">IF($E1463="","",INDEX(资金日记账!$X$4:$X$603,277))</f>
        <v/>
      </c>
      <c r="M1463" s="107"/>
      <c r="N1463" s="67" t="str">
        <f aca="false">IF($E1463="","",INDEX(资金日记账!$Y$4:$Y$603,277))</f>
        <v/>
      </c>
      <c r="O1463" s="67" t="str">
        <f aca="false">IF($E1463="","","自动B")</f>
        <v/>
      </c>
      <c r="P1463" s="18"/>
    </row>
    <row r="1464" customFormat="false" ht="18" hidden="false" customHeight="true" outlineLevel="0" collapsed="false">
      <c r="A1464" s="107" t="str">
        <f aca="false">IF($E1464="","",ROW()-3)</f>
        <v/>
      </c>
      <c r="B1464" s="110" t="str">
        <f aca="false">IF($E1464="","",INDEX(资金日记账!$B$4:$B$603,278))</f>
        <v/>
      </c>
      <c r="C1464" s="67" t="str">
        <f aca="false">IF($E1464="","",IF(INDEX(资金日记账!$W$4:$W$603,278)="","记-"&amp;TEXT($B1464,"YYYYMM")&amp;"-资金",INDEX(资金日记账!$W$4:$W$603,278)))</f>
        <v/>
      </c>
      <c r="D1464" s="107" t="str">
        <f aca="false">IF($E1464="","",INDEX(资金日记账!$D$4:$D$603,278))</f>
        <v/>
      </c>
      <c r="E1464" s="67" t="str">
        <f aca="false">IF(INDEX(资金日记账!$N$4:$S$603,278,1)=0,"",INDEX(资金日记账!$N$4:$S$603,278,1))</f>
        <v/>
      </c>
      <c r="F1464" s="99" t="str">
        <f aca="false">IF($E1464="","",IFERROR(INDEX(科目表!$A$4:$A$81,MATCH($E1464,科目表!$B$4:$B$81,0)),""))</f>
        <v/>
      </c>
      <c r="G1464" s="67" t="str">
        <f aca="false">IF($E1464="","",IFERROR(INDEX(科目表!$E$4:$E$81,MATCH($E1464,科目表!$B$4:$B$81,0)),""))</f>
        <v/>
      </c>
      <c r="H1464" s="70" t="str">
        <f aca="false">IF($E1464="","",N(INDEX(资金日记账!$N$4:$S$603,278,2)))</f>
        <v/>
      </c>
      <c r="I1464" s="70" t="str">
        <f aca="false">IF($E1464="","",N(INDEX(资金日记账!$N$4:$S$603,278,3)))</f>
        <v/>
      </c>
      <c r="J1464" s="67" t="str">
        <f aca="false">IF($E1464="","",INDEX(资金日记账!$E$4:$E$603,278))</f>
        <v/>
      </c>
      <c r="K1464" s="67" t="str">
        <f aca="false">IF($E1464="","",INDEX(资金日记账!$F$4:$F$603,278))</f>
        <v/>
      </c>
      <c r="L1464" s="107" t="str">
        <f aca="false">IF($E1464="","",INDEX(资金日记账!$X$4:$X$603,278))</f>
        <v/>
      </c>
      <c r="M1464" s="107"/>
      <c r="N1464" s="67" t="str">
        <f aca="false">IF($E1464="","",INDEX(资金日记账!$Y$4:$Y$603,278))</f>
        <v/>
      </c>
      <c r="O1464" s="67" t="str">
        <f aca="false">IF($E1464="","","自动B")</f>
        <v/>
      </c>
      <c r="P1464" s="18"/>
    </row>
    <row r="1465" customFormat="false" ht="18" hidden="false" customHeight="true" outlineLevel="0" collapsed="false">
      <c r="A1465" s="107" t="str">
        <f aca="false">IF($E1465="","",ROW()-3)</f>
        <v/>
      </c>
      <c r="B1465" s="110" t="str">
        <f aca="false">IF($E1465="","",INDEX(资金日记账!$B$4:$B$603,278))</f>
        <v/>
      </c>
      <c r="C1465" s="67" t="str">
        <f aca="false">IF($E1465="","",IF(INDEX(资金日记账!$W$4:$W$603,278)="","记-"&amp;TEXT($B1465,"YYYYMM")&amp;"-资金",INDEX(资金日记账!$W$4:$W$603,278)))</f>
        <v/>
      </c>
      <c r="D1465" s="107" t="str">
        <f aca="false">IF($E1465="","",INDEX(资金日记账!$D$4:$D$603,278))</f>
        <v/>
      </c>
      <c r="E1465" s="67" t="str">
        <f aca="false">IF(INDEX(资金日记账!$N$4:$S$603,278,4)=0,"",INDEX(资金日记账!$N$4:$S$603,278,4))</f>
        <v/>
      </c>
      <c r="F1465" s="99" t="str">
        <f aca="false">IF($E1465="","",IFERROR(INDEX(科目表!$A$4:$A$81,MATCH($E1465,科目表!$B$4:$B$81,0)),""))</f>
        <v/>
      </c>
      <c r="G1465" s="67" t="str">
        <f aca="false">IF($E1465="","",IFERROR(INDEX(科目表!$E$4:$E$81,MATCH($E1465,科目表!$B$4:$B$81,0)),""))</f>
        <v/>
      </c>
      <c r="H1465" s="70" t="str">
        <f aca="false">IF($E1465="","",N(INDEX(资金日记账!$N$4:$S$603,278,5)))</f>
        <v/>
      </c>
      <c r="I1465" s="70" t="str">
        <f aca="false">IF($E1465="","",N(INDEX(资金日记账!$N$4:$S$603,278,6)))</f>
        <v/>
      </c>
      <c r="J1465" s="67" t="str">
        <f aca="false">IF($E1465="","",INDEX(资金日记账!$E$4:$E$603,278))</f>
        <v/>
      </c>
      <c r="K1465" s="67" t="str">
        <f aca="false">IF($E1465="","",INDEX(资金日记账!$F$4:$F$603,278))</f>
        <v/>
      </c>
      <c r="L1465" s="107" t="str">
        <f aca="false">IF($E1465="","",INDEX(资金日记账!$X$4:$X$603,278))</f>
        <v/>
      </c>
      <c r="M1465" s="107"/>
      <c r="N1465" s="67" t="str">
        <f aca="false">IF($E1465="","",INDEX(资金日记账!$Y$4:$Y$603,278))</f>
        <v/>
      </c>
      <c r="O1465" s="67" t="str">
        <f aca="false">IF($E1465="","","自动B")</f>
        <v/>
      </c>
      <c r="P1465" s="18"/>
    </row>
    <row r="1466" customFormat="false" ht="18" hidden="false" customHeight="true" outlineLevel="0" collapsed="false">
      <c r="A1466" s="107" t="str">
        <f aca="false">IF($E1466="","",ROW()-3)</f>
        <v/>
      </c>
      <c r="B1466" s="110" t="str">
        <f aca="false">IF($E1466="","",INDEX(资金日记账!$B$4:$B$603,279))</f>
        <v/>
      </c>
      <c r="C1466" s="67" t="str">
        <f aca="false">IF($E1466="","",IF(INDEX(资金日记账!$W$4:$W$603,279)="","记-"&amp;TEXT($B1466,"YYYYMM")&amp;"-资金",INDEX(资金日记账!$W$4:$W$603,279)))</f>
        <v/>
      </c>
      <c r="D1466" s="107" t="str">
        <f aca="false">IF($E1466="","",INDEX(资金日记账!$D$4:$D$603,279))</f>
        <v/>
      </c>
      <c r="E1466" s="67" t="str">
        <f aca="false">IF(INDEX(资金日记账!$N$4:$S$603,279,1)=0,"",INDEX(资金日记账!$N$4:$S$603,279,1))</f>
        <v/>
      </c>
      <c r="F1466" s="99" t="str">
        <f aca="false">IF($E1466="","",IFERROR(INDEX(科目表!$A$4:$A$81,MATCH($E1466,科目表!$B$4:$B$81,0)),""))</f>
        <v/>
      </c>
      <c r="G1466" s="67" t="str">
        <f aca="false">IF($E1466="","",IFERROR(INDEX(科目表!$E$4:$E$81,MATCH($E1466,科目表!$B$4:$B$81,0)),""))</f>
        <v/>
      </c>
      <c r="H1466" s="70" t="str">
        <f aca="false">IF($E1466="","",N(INDEX(资金日记账!$N$4:$S$603,279,2)))</f>
        <v/>
      </c>
      <c r="I1466" s="70" t="str">
        <f aca="false">IF($E1466="","",N(INDEX(资金日记账!$N$4:$S$603,279,3)))</f>
        <v/>
      </c>
      <c r="J1466" s="67" t="str">
        <f aca="false">IF($E1466="","",INDEX(资金日记账!$E$4:$E$603,279))</f>
        <v/>
      </c>
      <c r="K1466" s="67" t="str">
        <f aca="false">IF($E1466="","",INDEX(资金日记账!$F$4:$F$603,279))</f>
        <v/>
      </c>
      <c r="L1466" s="107" t="str">
        <f aca="false">IF($E1466="","",INDEX(资金日记账!$X$4:$X$603,279))</f>
        <v/>
      </c>
      <c r="M1466" s="107"/>
      <c r="N1466" s="67" t="str">
        <f aca="false">IF($E1466="","",INDEX(资金日记账!$Y$4:$Y$603,279))</f>
        <v/>
      </c>
      <c r="O1466" s="67" t="str">
        <f aca="false">IF($E1466="","","自动B")</f>
        <v/>
      </c>
      <c r="P1466" s="18"/>
    </row>
    <row r="1467" customFormat="false" ht="18" hidden="false" customHeight="true" outlineLevel="0" collapsed="false">
      <c r="A1467" s="107" t="str">
        <f aca="false">IF($E1467="","",ROW()-3)</f>
        <v/>
      </c>
      <c r="B1467" s="110" t="str">
        <f aca="false">IF($E1467="","",INDEX(资金日记账!$B$4:$B$603,279))</f>
        <v/>
      </c>
      <c r="C1467" s="67" t="str">
        <f aca="false">IF($E1467="","",IF(INDEX(资金日记账!$W$4:$W$603,279)="","记-"&amp;TEXT($B1467,"YYYYMM")&amp;"-资金",INDEX(资金日记账!$W$4:$W$603,279)))</f>
        <v/>
      </c>
      <c r="D1467" s="107" t="str">
        <f aca="false">IF($E1467="","",INDEX(资金日记账!$D$4:$D$603,279))</f>
        <v/>
      </c>
      <c r="E1467" s="67" t="str">
        <f aca="false">IF(INDEX(资金日记账!$N$4:$S$603,279,4)=0,"",INDEX(资金日记账!$N$4:$S$603,279,4))</f>
        <v/>
      </c>
      <c r="F1467" s="99" t="str">
        <f aca="false">IF($E1467="","",IFERROR(INDEX(科目表!$A$4:$A$81,MATCH($E1467,科目表!$B$4:$B$81,0)),""))</f>
        <v/>
      </c>
      <c r="G1467" s="67" t="str">
        <f aca="false">IF($E1467="","",IFERROR(INDEX(科目表!$E$4:$E$81,MATCH($E1467,科目表!$B$4:$B$81,0)),""))</f>
        <v/>
      </c>
      <c r="H1467" s="70" t="str">
        <f aca="false">IF($E1467="","",N(INDEX(资金日记账!$N$4:$S$603,279,5)))</f>
        <v/>
      </c>
      <c r="I1467" s="70" t="str">
        <f aca="false">IF($E1467="","",N(INDEX(资金日记账!$N$4:$S$603,279,6)))</f>
        <v/>
      </c>
      <c r="J1467" s="67" t="str">
        <f aca="false">IF($E1467="","",INDEX(资金日记账!$E$4:$E$603,279))</f>
        <v/>
      </c>
      <c r="K1467" s="67" t="str">
        <f aca="false">IF($E1467="","",INDEX(资金日记账!$F$4:$F$603,279))</f>
        <v/>
      </c>
      <c r="L1467" s="107" t="str">
        <f aca="false">IF($E1467="","",INDEX(资金日记账!$X$4:$X$603,279))</f>
        <v/>
      </c>
      <c r="M1467" s="107"/>
      <c r="N1467" s="67" t="str">
        <f aca="false">IF($E1467="","",INDEX(资金日记账!$Y$4:$Y$603,279))</f>
        <v/>
      </c>
      <c r="O1467" s="67" t="str">
        <f aca="false">IF($E1467="","","自动B")</f>
        <v/>
      </c>
      <c r="P1467" s="18"/>
    </row>
    <row r="1468" customFormat="false" ht="18" hidden="false" customHeight="true" outlineLevel="0" collapsed="false">
      <c r="A1468" s="107" t="str">
        <f aca="false">IF($E1468="","",ROW()-3)</f>
        <v/>
      </c>
      <c r="B1468" s="110" t="str">
        <f aca="false">IF($E1468="","",INDEX(资金日记账!$B$4:$B$603,280))</f>
        <v/>
      </c>
      <c r="C1468" s="67" t="str">
        <f aca="false">IF($E1468="","",IF(INDEX(资金日记账!$W$4:$W$603,280)="","记-"&amp;TEXT($B1468,"YYYYMM")&amp;"-资金",INDEX(资金日记账!$W$4:$W$603,280)))</f>
        <v/>
      </c>
      <c r="D1468" s="107" t="str">
        <f aca="false">IF($E1468="","",INDEX(资金日记账!$D$4:$D$603,280))</f>
        <v/>
      </c>
      <c r="E1468" s="67" t="str">
        <f aca="false">IF(INDEX(资金日记账!$N$4:$S$603,280,1)=0,"",INDEX(资金日记账!$N$4:$S$603,280,1))</f>
        <v/>
      </c>
      <c r="F1468" s="99" t="str">
        <f aca="false">IF($E1468="","",IFERROR(INDEX(科目表!$A$4:$A$81,MATCH($E1468,科目表!$B$4:$B$81,0)),""))</f>
        <v/>
      </c>
      <c r="G1468" s="67" t="str">
        <f aca="false">IF($E1468="","",IFERROR(INDEX(科目表!$E$4:$E$81,MATCH($E1468,科目表!$B$4:$B$81,0)),""))</f>
        <v/>
      </c>
      <c r="H1468" s="70" t="str">
        <f aca="false">IF($E1468="","",N(INDEX(资金日记账!$N$4:$S$603,280,2)))</f>
        <v/>
      </c>
      <c r="I1468" s="70" t="str">
        <f aca="false">IF($E1468="","",N(INDEX(资金日记账!$N$4:$S$603,280,3)))</f>
        <v/>
      </c>
      <c r="J1468" s="67" t="str">
        <f aca="false">IF($E1468="","",INDEX(资金日记账!$E$4:$E$603,280))</f>
        <v/>
      </c>
      <c r="K1468" s="67" t="str">
        <f aca="false">IF($E1468="","",INDEX(资金日记账!$F$4:$F$603,280))</f>
        <v/>
      </c>
      <c r="L1468" s="107" t="str">
        <f aca="false">IF($E1468="","",INDEX(资金日记账!$X$4:$X$603,280))</f>
        <v/>
      </c>
      <c r="M1468" s="107"/>
      <c r="N1468" s="67" t="str">
        <f aca="false">IF($E1468="","",INDEX(资金日记账!$Y$4:$Y$603,280))</f>
        <v/>
      </c>
      <c r="O1468" s="67" t="str">
        <f aca="false">IF($E1468="","","自动B")</f>
        <v/>
      </c>
      <c r="P1468" s="18"/>
    </row>
    <row r="1469" customFormat="false" ht="18" hidden="false" customHeight="true" outlineLevel="0" collapsed="false">
      <c r="A1469" s="107" t="str">
        <f aca="false">IF($E1469="","",ROW()-3)</f>
        <v/>
      </c>
      <c r="B1469" s="110" t="str">
        <f aca="false">IF($E1469="","",INDEX(资金日记账!$B$4:$B$603,280))</f>
        <v/>
      </c>
      <c r="C1469" s="67" t="str">
        <f aca="false">IF($E1469="","",IF(INDEX(资金日记账!$W$4:$W$603,280)="","记-"&amp;TEXT($B1469,"YYYYMM")&amp;"-资金",INDEX(资金日记账!$W$4:$W$603,280)))</f>
        <v/>
      </c>
      <c r="D1469" s="107" t="str">
        <f aca="false">IF($E1469="","",INDEX(资金日记账!$D$4:$D$603,280))</f>
        <v/>
      </c>
      <c r="E1469" s="67" t="str">
        <f aca="false">IF(INDEX(资金日记账!$N$4:$S$603,280,4)=0,"",INDEX(资金日记账!$N$4:$S$603,280,4))</f>
        <v/>
      </c>
      <c r="F1469" s="99" t="str">
        <f aca="false">IF($E1469="","",IFERROR(INDEX(科目表!$A$4:$A$81,MATCH($E1469,科目表!$B$4:$B$81,0)),""))</f>
        <v/>
      </c>
      <c r="G1469" s="67" t="str">
        <f aca="false">IF($E1469="","",IFERROR(INDEX(科目表!$E$4:$E$81,MATCH($E1469,科目表!$B$4:$B$81,0)),""))</f>
        <v/>
      </c>
      <c r="H1469" s="70" t="str">
        <f aca="false">IF($E1469="","",N(INDEX(资金日记账!$N$4:$S$603,280,5)))</f>
        <v/>
      </c>
      <c r="I1469" s="70" t="str">
        <f aca="false">IF($E1469="","",N(INDEX(资金日记账!$N$4:$S$603,280,6)))</f>
        <v/>
      </c>
      <c r="J1469" s="67" t="str">
        <f aca="false">IF($E1469="","",INDEX(资金日记账!$E$4:$E$603,280))</f>
        <v/>
      </c>
      <c r="K1469" s="67" t="str">
        <f aca="false">IF($E1469="","",INDEX(资金日记账!$F$4:$F$603,280))</f>
        <v/>
      </c>
      <c r="L1469" s="107" t="str">
        <f aca="false">IF($E1469="","",INDEX(资金日记账!$X$4:$X$603,280))</f>
        <v/>
      </c>
      <c r="M1469" s="107"/>
      <c r="N1469" s="67" t="str">
        <f aca="false">IF($E1469="","",INDEX(资金日记账!$Y$4:$Y$603,280))</f>
        <v/>
      </c>
      <c r="O1469" s="67" t="str">
        <f aca="false">IF($E1469="","","自动B")</f>
        <v/>
      </c>
      <c r="P1469" s="18"/>
    </row>
    <row r="1470" customFormat="false" ht="18" hidden="false" customHeight="true" outlineLevel="0" collapsed="false">
      <c r="A1470" s="107" t="str">
        <f aca="false">IF($E1470="","",ROW()-3)</f>
        <v/>
      </c>
      <c r="B1470" s="110" t="str">
        <f aca="false">IF($E1470="","",INDEX(资金日记账!$B$4:$B$603,281))</f>
        <v/>
      </c>
      <c r="C1470" s="67" t="str">
        <f aca="false">IF($E1470="","",IF(INDEX(资金日记账!$W$4:$W$603,281)="","记-"&amp;TEXT($B1470,"YYYYMM")&amp;"-资金",INDEX(资金日记账!$W$4:$W$603,281)))</f>
        <v/>
      </c>
      <c r="D1470" s="107" t="str">
        <f aca="false">IF($E1470="","",INDEX(资金日记账!$D$4:$D$603,281))</f>
        <v/>
      </c>
      <c r="E1470" s="67" t="str">
        <f aca="false">IF(INDEX(资金日记账!$N$4:$S$603,281,1)=0,"",INDEX(资金日记账!$N$4:$S$603,281,1))</f>
        <v/>
      </c>
      <c r="F1470" s="99" t="str">
        <f aca="false">IF($E1470="","",IFERROR(INDEX(科目表!$A$4:$A$81,MATCH($E1470,科目表!$B$4:$B$81,0)),""))</f>
        <v/>
      </c>
      <c r="G1470" s="67" t="str">
        <f aca="false">IF($E1470="","",IFERROR(INDEX(科目表!$E$4:$E$81,MATCH($E1470,科目表!$B$4:$B$81,0)),""))</f>
        <v/>
      </c>
      <c r="H1470" s="70" t="str">
        <f aca="false">IF($E1470="","",N(INDEX(资金日记账!$N$4:$S$603,281,2)))</f>
        <v/>
      </c>
      <c r="I1470" s="70" t="str">
        <f aca="false">IF($E1470="","",N(INDEX(资金日记账!$N$4:$S$603,281,3)))</f>
        <v/>
      </c>
      <c r="J1470" s="67" t="str">
        <f aca="false">IF($E1470="","",INDEX(资金日记账!$E$4:$E$603,281))</f>
        <v/>
      </c>
      <c r="K1470" s="67" t="str">
        <f aca="false">IF($E1470="","",INDEX(资金日记账!$F$4:$F$603,281))</f>
        <v/>
      </c>
      <c r="L1470" s="107" t="str">
        <f aca="false">IF($E1470="","",INDEX(资金日记账!$X$4:$X$603,281))</f>
        <v/>
      </c>
      <c r="M1470" s="107"/>
      <c r="N1470" s="67" t="str">
        <f aca="false">IF($E1470="","",INDEX(资金日记账!$Y$4:$Y$603,281))</f>
        <v/>
      </c>
      <c r="O1470" s="67" t="str">
        <f aca="false">IF($E1470="","","自动B")</f>
        <v/>
      </c>
      <c r="P1470" s="18"/>
    </row>
    <row r="1471" customFormat="false" ht="18" hidden="false" customHeight="true" outlineLevel="0" collapsed="false">
      <c r="A1471" s="107" t="str">
        <f aca="false">IF($E1471="","",ROW()-3)</f>
        <v/>
      </c>
      <c r="B1471" s="110" t="str">
        <f aca="false">IF($E1471="","",INDEX(资金日记账!$B$4:$B$603,281))</f>
        <v/>
      </c>
      <c r="C1471" s="67" t="str">
        <f aca="false">IF($E1471="","",IF(INDEX(资金日记账!$W$4:$W$603,281)="","记-"&amp;TEXT($B1471,"YYYYMM")&amp;"-资金",INDEX(资金日记账!$W$4:$W$603,281)))</f>
        <v/>
      </c>
      <c r="D1471" s="107" t="str">
        <f aca="false">IF($E1471="","",INDEX(资金日记账!$D$4:$D$603,281))</f>
        <v/>
      </c>
      <c r="E1471" s="67" t="str">
        <f aca="false">IF(INDEX(资金日记账!$N$4:$S$603,281,4)=0,"",INDEX(资金日记账!$N$4:$S$603,281,4))</f>
        <v/>
      </c>
      <c r="F1471" s="99" t="str">
        <f aca="false">IF($E1471="","",IFERROR(INDEX(科目表!$A$4:$A$81,MATCH($E1471,科目表!$B$4:$B$81,0)),""))</f>
        <v/>
      </c>
      <c r="G1471" s="67" t="str">
        <f aca="false">IF($E1471="","",IFERROR(INDEX(科目表!$E$4:$E$81,MATCH($E1471,科目表!$B$4:$B$81,0)),""))</f>
        <v/>
      </c>
      <c r="H1471" s="70" t="str">
        <f aca="false">IF($E1471="","",N(INDEX(资金日记账!$N$4:$S$603,281,5)))</f>
        <v/>
      </c>
      <c r="I1471" s="70" t="str">
        <f aca="false">IF($E1471="","",N(INDEX(资金日记账!$N$4:$S$603,281,6)))</f>
        <v/>
      </c>
      <c r="J1471" s="67" t="str">
        <f aca="false">IF($E1471="","",INDEX(资金日记账!$E$4:$E$603,281))</f>
        <v/>
      </c>
      <c r="K1471" s="67" t="str">
        <f aca="false">IF($E1471="","",INDEX(资金日记账!$F$4:$F$603,281))</f>
        <v/>
      </c>
      <c r="L1471" s="107" t="str">
        <f aca="false">IF($E1471="","",INDEX(资金日记账!$X$4:$X$603,281))</f>
        <v/>
      </c>
      <c r="M1471" s="107"/>
      <c r="N1471" s="67" t="str">
        <f aca="false">IF($E1471="","",INDEX(资金日记账!$Y$4:$Y$603,281))</f>
        <v/>
      </c>
      <c r="O1471" s="67" t="str">
        <f aca="false">IF($E1471="","","自动B")</f>
        <v/>
      </c>
      <c r="P1471" s="18"/>
    </row>
    <row r="1472" customFormat="false" ht="18" hidden="false" customHeight="true" outlineLevel="0" collapsed="false">
      <c r="A1472" s="107" t="str">
        <f aca="false">IF($E1472="","",ROW()-3)</f>
        <v/>
      </c>
      <c r="B1472" s="110" t="str">
        <f aca="false">IF($E1472="","",INDEX(资金日记账!$B$4:$B$603,282))</f>
        <v/>
      </c>
      <c r="C1472" s="67" t="str">
        <f aca="false">IF($E1472="","",IF(INDEX(资金日记账!$W$4:$W$603,282)="","记-"&amp;TEXT($B1472,"YYYYMM")&amp;"-资金",INDEX(资金日记账!$W$4:$W$603,282)))</f>
        <v/>
      </c>
      <c r="D1472" s="107" t="str">
        <f aca="false">IF($E1472="","",INDEX(资金日记账!$D$4:$D$603,282))</f>
        <v/>
      </c>
      <c r="E1472" s="67" t="str">
        <f aca="false">IF(INDEX(资金日记账!$N$4:$S$603,282,1)=0,"",INDEX(资金日记账!$N$4:$S$603,282,1))</f>
        <v/>
      </c>
      <c r="F1472" s="99" t="str">
        <f aca="false">IF($E1472="","",IFERROR(INDEX(科目表!$A$4:$A$81,MATCH($E1472,科目表!$B$4:$B$81,0)),""))</f>
        <v/>
      </c>
      <c r="G1472" s="67" t="str">
        <f aca="false">IF($E1472="","",IFERROR(INDEX(科目表!$E$4:$E$81,MATCH($E1472,科目表!$B$4:$B$81,0)),""))</f>
        <v/>
      </c>
      <c r="H1472" s="70" t="str">
        <f aca="false">IF($E1472="","",N(INDEX(资金日记账!$N$4:$S$603,282,2)))</f>
        <v/>
      </c>
      <c r="I1472" s="70" t="str">
        <f aca="false">IF($E1472="","",N(INDEX(资金日记账!$N$4:$S$603,282,3)))</f>
        <v/>
      </c>
      <c r="J1472" s="67" t="str">
        <f aca="false">IF($E1472="","",INDEX(资金日记账!$E$4:$E$603,282))</f>
        <v/>
      </c>
      <c r="K1472" s="67" t="str">
        <f aca="false">IF($E1472="","",INDEX(资金日记账!$F$4:$F$603,282))</f>
        <v/>
      </c>
      <c r="L1472" s="107" t="str">
        <f aca="false">IF($E1472="","",INDEX(资金日记账!$X$4:$X$603,282))</f>
        <v/>
      </c>
      <c r="M1472" s="107"/>
      <c r="N1472" s="67" t="str">
        <f aca="false">IF($E1472="","",INDEX(资金日记账!$Y$4:$Y$603,282))</f>
        <v/>
      </c>
      <c r="O1472" s="67" t="str">
        <f aca="false">IF($E1472="","","自动B")</f>
        <v/>
      </c>
      <c r="P1472" s="18"/>
    </row>
    <row r="1473" customFormat="false" ht="18" hidden="false" customHeight="true" outlineLevel="0" collapsed="false">
      <c r="A1473" s="107" t="str">
        <f aca="false">IF($E1473="","",ROW()-3)</f>
        <v/>
      </c>
      <c r="B1473" s="110" t="str">
        <f aca="false">IF($E1473="","",INDEX(资金日记账!$B$4:$B$603,282))</f>
        <v/>
      </c>
      <c r="C1473" s="67" t="str">
        <f aca="false">IF($E1473="","",IF(INDEX(资金日记账!$W$4:$W$603,282)="","记-"&amp;TEXT($B1473,"YYYYMM")&amp;"-资金",INDEX(资金日记账!$W$4:$W$603,282)))</f>
        <v/>
      </c>
      <c r="D1473" s="107" t="str">
        <f aca="false">IF($E1473="","",INDEX(资金日记账!$D$4:$D$603,282))</f>
        <v/>
      </c>
      <c r="E1473" s="67" t="str">
        <f aca="false">IF(INDEX(资金日记账!$N$4:$S$603,282,4)=0,"",INDEX(资金日记账!$N$4:$S$603,282,4))</f>
        <v/>
      </c>
      <c r="F1473" s="99" t="str">
        <f aca="false">IF($E1473="","",IFERROR(INDEX(科目表!$A$4:$A$81,MATCH($E1473,科目表!$B$4:$B$81,0)),""))</f>
        <v/>
      </c>
      <c r="G1473" s="67" t="str">
        <f aca="false">IF($E1473="","",IFERROR(INDEX(科目表!$E$4:$E$81,MATCH($E1473,科目表!$B$4:$B$81,0)),""))</f>
        <v/>
      </c>
      <c r="H1473" s="70" t="str">
        <f aca="false">IF($E1473="","",N(INDEX(资金日记账!$N$4:$S$603,282,5)))</f>
        <v/>
      </c>
      <c r="I1473" s="70" t="str">
        <f aca="false">IF($E1473="","",N(INDEX(资金日记账!$N$4:$S$603,282,6)))</f>
        <v/>
      </c>
      <c r="J1473" s="67" t="str">
        <f aca="false">IF($E1473="","",INDEX(资金日记账!$E$4:$E$603,282))</f>
        <v/>
      </c>
      <c r="K1473" s="67" t="str">
        <f aca="false">IF($E1473="","",INDEX(资金日记账!$F$4:$F$603,282))</f>
        <v/>
      </c>
      <c r="L1473" s="107" t="str">
        <f aca="false">IF($E1473="","",INDEX(资金日记账!$X$4:$X$603,282))</f>
        <v/>
      </c>
      <c r="M1473" s="107"/>
      <c r="N1473" s="67" t="str">
        <f aca="false">IF($E1473="","",INDEX(资金日记账!$Y$4:$Y$603,282))</f>
        <v/>
      </c>
      <c r="O1473" s="67" t="str">
        <f aca="false">IF($E1473="","","自动B")</f>
        <v/>
      </c>
      <c r="P1473" s="18"/>
    </row>
    <row r="1474" customFormat="false" ht="18" hidden="false" customHeight="true" outlineLevel="0" collapsed="false">
      <c r="A1474" s="107" t="str">
        <f aca="false">IF($E1474="","",ROW()-3)</f>
        <v/>
      </c>
      <c r="B1474" s="110" t="str">
        <f aca="false">IF($E1474="","",INDEX(资金日记账!$B$4:$B$603,283))</f>
        <v/>
      </c>
      <c r="C1474" s="67" t="str">
        <f aca="false">IF($E1474="","",IF(INDEX(资金日记账!$W$4:$W$603,283)="","记-"&amp;TEXT($B1474,"YYYYMM")&amp;"-资金",INDEX(资金日记账!$W$4:$W$603,283)))</f>
        <v/>
      </c>
      <c r="D1474" s="107" t="str">
        <f aca="false">IF($E1474="","",INDEX(资金日记账!$D$4:$D$603,283))</f>
        <v/>
      </c>
      <c r="E1474" s="67" t="str">
        <f aca="false">IF(INDEX(资金日记账!$N$4:$S$603,283,1)=0,"",INDEX(资金日记账!$N$4:$S$603,283,1))</f>
        <v/>
      </c>
      <c r="F1474" s="99" t="str">
        <f aca="false">IF($E1474="","",IFERROR(INDEX(科目表!$A$4:$A$81,MATCH($E1474,科目表!$B$4:$B$81,0)),""))</f>
        <v/>
      </c>
      <c r="G1474" s="67" t="str">
        <f aca="false">IF($E1474="","",IFERROR(INDEX(科目表!$E$4:$E$81,MATCH($E1474,科目表!$B$4:$B$81,0)),""))</f>
        <v/>
      </c>
      <c r="H1474" s="70" t="str">
        <f aca="false">IF($E1474="","",N(INDEX(资金日记账!$N$4:$S$603,283,2)))</f>
        <v/>
      </c>
      <c r="I1474" s="70" t="str">
        <f aca="false">IF($E1474="","",N(INDEX(资金日记账!$N$4:$S$603,283,3)))</f>
        <v/>
      </c>
      <c r="J1474" s="67" t="str">
        <f aca="false">IF($E1474="","",INDEX(资金日记账!$E$4:$E$603,283))</f>
        <v/>
      </c>
      <c r="K1474" s="67" t="str">
        <f aca="false">IF($E1474="","",INDEX(资金日记账!$F$4:$F$603,283))</f>
        <v/>
      </c>
      <c r="L1474" s="107" t="str">
        <f aca="false">IF($E1474="","",INDEX(资金日记账!$X$4:$X$603,283))</f>
        <v/>
      </c>
      <c r="M1474" s="107"/>
      <c r="N1474" s="67" t="str">
        <f aca="false">IF($E1474="","",INDEX(资金日记账!$Y$4:$Y$603,283))</f>
        <v/>
      </c>
      <c r="O1474" s="67" t="str">
        <f aca="false">IF($E1474="","","自动B")</f>
        <v/>
      </c>
      <c r="P1474" s="18"/>
    </row>
    <row r="1475" customFormat="false" ht="18" hidden="false" customHeight="true" outlineLevel="0" collapsed="false">
      <c r="A1475" s="107" t="str">
        <f aca="false">IF($E1475="","",ROW()-3)</f>
        <v/>
      </c>
      <c r="B1475" s="110" t="str">
        <f aca="false">IF($E1475="","",INDEX(资金日记账!$B$4:$B$603,283))</f>
        <v/>
      </c>
      <c r="C1475" s="67" t="str">
        <f aca="false">IF($E1475="","",IF(INDEX(资金日记账!$W$4:$W$603,283)="","记-"&amp;TEXT($B1475,"YYYYMM")&amp;"-资金",INDEX(资金日记账!$W$4:$W$603,283)))</f>
        <v/>
      </c>
      <c r="D1475" s="107" t="str">
        <f aca="false">IF($E1475="","",INDEX(资金日记账!$D$4:$D$603,283))</f>
        <v/>
      </c>
      <c r="E1475" s="67" t="str">
        <f aca="false">IF(INDEX(资金日记账!$N$4:$S$603,283,4)=0,"",INDEX(资金日记账!$N$4:$S$603,283,4))</f>
        <v/>
      </c>
      <c r="F1475" s="99" t="str">
        <f aca="false">IF($E1475="","",IFERROR(INDEX(科目表!$A$4:$A$81,MATCH($E1475,科目表!$B$4:$B$81,0)),""))</f>
        <v/>
      </c>
      <c r="G1475" s="67" t="str">
        <f aca="false">IF($E1475="","",IFERROR(INDEX(科目表!$E$4:$E$81,MATCH($E1475,科目表!$B$4:$B$81,0)),""))</f>
        <v/>
      </c>
      <c r="H1475" s="70" t="str">
        <f aca="false">IF($E1475="","",N(INDEX(资金日记账!$N$4:$S$603,283,5)))</f>
        <v/>
      </c>
      <c r="I1475" s="70" t="str">
        <f aca="false">IF($E1475="","",N(INDEX(资金日记账!$N$4:$S$603,283,6)))</f>
        <v/>
      </c>
      <c r="J1475" s="67" t="str">
        <f aca="false">IF($E1475="","",INDEX(资金日记账!$E$4:$E$603,283))</f>
        <v/>
      </c>
      <c r="K1475" s="67" t="str">
        <f aca="false">IF($E1475="","",INDEX(资金日记账!$F$4:$F$603,283))</f>
        <v/>
      </c>
      <c r="L1475" s="107" t="str">
        <f aca="false">IF($E1475="","",INDEX(资金日记账!$X$4:$X$603,283))</f>
        <v/>
      </c>
      <c r="M1475" s="107"/>
      <c r="N1475" s="67" t="str">
        <f aca="false">IF($E1475="","",INDEX(资金日记账!$Y$4:$Y$603,283))</f>
        <v/>
      </c>
      <c r="O1475" s="67" t="str">
        <f aca="false">IF($E1475="","","自动B")</f>
        <v/>
      </c>
      <c r="P1475" s="18"/>
    </row>
    <row r="1476" customFormat="false" ht="18" hidden="false" customHeight="true" outlineLevel="0" collapsed="false">
      <c r="A1476" s="107" t="str">
        <f aca="false">IF($E1476="","",ROW()-3)</f>
        <v/>
      </c>
      <c r="B1476" s="110" t="str">
        <f aca="false">IF($E1476="","",INDEX(资金日记账!$B$4:$B$603,284))</f>
        <v/>
      </c>
      <c r="C1476" s="67" t="str">
        <f aca="false">IF($E1476="","",IF(INDEX(资金日记账!$W$4:$W$603,284)="","记-"&amp;TEXT($B1476,"YYYYMM")&amp;"-资金",INDEX(资金日记账!$W$4:$W$603,284)))</f>
        <v/>
      </c>
      <c r="D1476" s="107" t="str">
        <f aca="false">IF($E1476="","",INDEX(资金日记账!$D$4:$D$603,284))</f>
        <v/>
      </c>
      <c r="E1476" s="67" t="str">
        <f aca="false">IF(INDEX(资金日记账!$N$4:$S$603,284,1)=0,"",INDEX(资金日记账!$N$4:$S$603,284,1))</f>
        <v/>
      </c>
      <c r="F1476" s="99" t="str">
        <f aca="false">IF($E1476="","",IFERROR(INDEX(科目表!$A$4:$A$81,MATCH($E1476,科目表!$B$4:$B$81,0)),""))</f>
        <v/>
      </c>
      <c r="G1476" s="67" t="str">
        <f aca="false">IF($E1476="","",IFERROR(INDEX(科目表!$E$4:$E$81,MATCH($E1476,科目表!$B$4:$B$81,0)),""))</f>
        <v/>
      </c>
      <c r="H1476" s="70" t="str">
        <f aca="false">IF($E1476="","",N(INDEX(资金日记账!$N$4:$S$603,284,2)))</f>
        <v/>
      </c>
      <c r="I1476" s="70" t="str">
        <f aca="false">IF($E1476="","",N(INDEX(资金日记账!$N$4:$S$603,284,3)))</f>
        <v/>
      </c>
      <c r="J1476" s="67" t="str">
        <f aca="false">IF($E1476="","",INDEX(资金日记账!$E$4:$E$603,284))</f>
        <v/>
      </c>
      <c r="K1476" s="67" t="str">
        <f aca="false">IF($E1476="","",INDEX(资金日记账!$F$4:$F$603,284))</f>
        <v/>
      </c>
      <c r="L1476" s="107" t="str">
        <f aca="false">IF($E1476="","",INDEX(资金日记账!$X$4:$X$603,284))</f>
        <v/>
      </c>
      <c r="M1476" s="107"/>
      <c r="N1476" s="67" t="str">
        <f aca="false">IF($E1476="","",INDEX(资金日记账!$Y$4:$Y$603,284))</f>
        <v/>
      </c>
      <c r="O1476" s="67" t="str">
        <f aca="false">IF($E1476="","","自动B")</f>
        <v/>
      </c>
      <c r="P1476" s="18"/>
    </row>
    <row r="1477" customFormat="false" ht="18" hidden="false" customHeight="true" outlineLevel="0" collapsed="false">
      <c r="A1477" s="107" t="str">
        <f aca="false">IF($E1477="","",ROW()-3)</f>
        <v/>
      </c>
      <c r="B1477" s="110" t="str">
        <f aca="false">IF($E1477="","",INDEX(资金日记账!$B$4:$B$603,284))</f>
        <v/>
      </c>
      <c r="C1477" s="67" t="str">
        <f aca="false">IF($E1477="","",IF(INDEX(资金日记账!$W$4:$W$603,284)="","记-"&amp;TEXT($B1477,"YYYYMM")&amp;"-资金",INDEX(资金日记账!$W$4:$W$603,284)))</f>
        <v/>
      </c>
      <c r="D1477" s="107" t="str">
        <f aca="false">IF($E1477="","",INDEX(资金日记账!$D$4:$D$603,284))</f>
        <v/>
      </c>
      <c r="E1477" s="67" t="str">
        <f aca="false">IF(INDEX(资金日记账!$N$4:$S$603,284,4)=0,"",INDEX(资金日记账!$N$4:$S$603,284,4))</f>
        <v/>
      </c>
      <c r="F1477" s="99" t="str">
        <f aca="false">IF($E1477="","",IFERROR(INDEX(科目表!$A$4:$A$81,MATCH($E1477,科目表!$B$4:$B$81,0)),""))</f>
        <v/>
      </c>
      <c r="G1477" s="67" t="str">
        <f aca="false">IF($E1477="","",IFERROR(INDEX(科目表!$E$4:$E$81,MATCH($E1477,科目表!$B$4:$B$81,0)),""))</f>
        <v/>
      </c>
      <c r="H1477" s="70" t="str">
        <f aca="false">IF($E1477="","",N(INDEX(资金日记账!$N$4:$S$603,284,5)))</f>
        <v/>
      </c>
      <c r="I1477" s="70" t="str">
        <f aca="false">IF($E1477="","",N(INDEX(资金日记账!$N$4:$S$603,284,6)))</f>
        <v/>
      </c>
      <c r="J1477" s="67" t="str">
        <f aca="false">IF($E1477="","",INDEX(资金日记账!$E$4:$E$603,284))</f>
        <v/>
      </c>
      <c r="K1477" s="67" t="str">
        <f aca="false">IF($E1477="","",INDEX(资金日记账!$F$4:$F$603,284))</f>
        <v/>
      </c>
      <c r="L1477" s="107" t="str">
        <f aca="false">IF($E1477="","",INDEX(资金日记账!$X$4:$X$603,284))</f>
        <v/>
      </c>
      <c r="M1477" s="107"/>
      <c r="N1477" s="67" t="str">
        <f aca="false">IF($E1477="","",INDEX(资金日记账!$Y$4:$Y$603,284))</f>
        <v/>
      </c>
      <c r="O1477" s="67" t="str">
        <f aca="false">IF($E1477="","","自动B")</f>
        <v/>
      </c>
      <c r="P1477" s="18"/>
    </row>
    <row r="1478" customFormat="false" ht="18" hidden="false" customHeight="true" outlineLevel="0" collapsed="false">
      <c r="A1478" s="107" t="str">
        <f aca="false">IF($E1478="","",ROW()-3)</f>
        <v/>
      </c>
      <c r="B1478" s="110" t="str">
        <f aca="false">IF($E1478="","",INDEX(资金日记账!$B$4:$B$603,285))</f>
        <v/>
      </c>
      <c r="C1478" s="67" t="str">
        <f aca="false">IF($E1478="","",IF(INDEX(资金日记账!$W$4:$W$603,285)="","记-"&amp;TEXT($B1478,"YYYYMM")&amp;"-资金",INDEX(资金日记账!$W$4:$W$603,285)))</f>
        <v/>
      </c>
      <c r="D1478" s="107" t="str">
        <f aca="false">IF($E1478="","",INDEX(资金日记账!$D$4:$D$603,285))</f>
        <v/>
      </c>
      <c r="E1478" s="67" t="str">
        <f aca="false">IF(INDEX(资金日记账!$N$4:$S$603,285,1)=0,"",INDEX(资金日记账!$N$4:$S$603,285,1))</f>
        <v/>
      </c>
      <c r="F1478" s="99" t="str">
        <f aca="false">IF($E1478="","",IFERROR(INDEX(科目表!$A$4:$A$81,MATCH($E1478,科目表!$B$4:$B$81,0)),""))</f>
        <v/>
      </c>
      <c r="G1478" s="67" t="str">
        <f aca="false">IF($E1478="","",IFERROR(INDEX(科目表!$E$4:$E$81,MATCH($E1478,科目表!$B$4:$B$81,0)),""))</f>
        <v/>
      </c>
      <c r="H1478" s="70" t="str">
        <f aca="false">IF($E1478="","",N(INDEX(资金日记账!$N$4:$S$603,285,2)))</f>
        <v/>
      </c>
      <c r="I1478" s="70" t="str">
        <f aca="false">IF($E1478="","",N(INDEX(资金日记账!$N$4:$S$603,285,3)))</f>
        <v/>
      </c>
      <c r="J1478" s="67" t="str">
        <f aca="false">IF($E1478="","",INDEX(资金日记账!$E$4:$E$603,285))</f>
        <v/>
      </c>
      <c r="K1478" s="67" t="str">
        <f aca="false">IF($E1478="","",INDEX(资金日记账!$F$4:$F$603,285))</f>
        <v/>
      </c>
      <c r="L1478" s="107" t="str">
        <f aca="false">IF($E1478="","",INDEX(资金日记账!$X$4:$X$603,285))</f>
        <v/>
      </c>
      <c r="M1478" s="107"/>
      <c r="N1478" s="67" t="str">
        <f aca="false">IF($E1478="","",INDEX(资金日记账!$Y$4:$Y$603,285))</f>
        <v/>
      </c>
      <c r="O1478" s="67" t="str">
        <f aca="false">IF($E1478="","","自动B")</f>
        <v/>
      </c>
      <c r="P1478" s="18"/>
    </row>
    <row r="1479" customFormat="false" ht="18" hidden="false" customHeight="true" outlineLevel="0" collapsed="false">
      <c r="A1479" s="107" t="str">
        <f aca="false">IF($E1479="","",ROW()-3)</f>
        <v/>
      </c>
      <c r="B1479" s="110" t="str">
        <f aca="false">IF($E1479="","",INDEX(资金日记账!$B$4:$B$603,285))</f>
        <v/>
      </c>
      <c r="C1479" s="67" t="str">
        <f aca="false">IF($E1479="","",IF(INDEX(资金日记账!$W$4:$W$603,285)="","记-"&amp;TEXT($B1479,"YYYYMM")&amp;"-资金",INDEX(资金日记账!$W$4:$W$603,285)))</f>
        <v/>
      </c>
      <c r="D1479" s="107" t="str">
        <f aca="false">IF($E1479="","",INDEX(资金日记账!$D$4:$D$603,285))</f>
        <v/>
      </c>
      <c r="E1479" s="67" t="str">
        <f aca="false">IF(INDEX(资金日记账!$N$4:$S$603,285,4)=0,"",INDEX(资金日记账!$N$4:$S$603,285,4))</f>
        <v/>
      </c>
      <c r="F1479" s="99" t="str">
        <f aca="false">IF($E1479="","",IFERROR(INDEX(科目表!$A$4:$A$81,MATCH($E1479,科目表!$B$4:$B$81,0)),""))</f>
        <v/>
      </c>
      <c r="G1479" s="67" t="str">
        <f aca="false">IF($E1479="","",IFERROR(INDEX(科目表!$E$4:$E$81,MATCH($E1479,科目表!$B$4:$B$81,0)),""))</f>
        <v/>
      </c>
      <c r="H1479" s="70" t="str">
        <f aca="false">IF($E1479="","",N(INDEX(资金日记账!$N$4:$S$603,285,5)))</f>
        <v/>
      </c>
      <c r="I1479" s="70" t="str">
        <f aca="false">IF($E1479="","",N(INDEX(资金日记账!$N$4:$S$603,285,6)))</f>
        <v/>
      </c>
      <c r="J1479" s="67" t="str">
        <f aca="false">IF($E1479="","",INDEX(资金日记账!$E$4:$E$603,285))</f>
        <v/>
      </c>
      <c r="K1479" s="67" t="str">
        <f aca="false">IF($E1479="","",INDEX(资金日记账!$F$4:$F$603,285))</f>
        <v/>
      </c>
      <c r="L1479" s="107" t="str">
        <f aca="false">IF($E1479="","",INDEX(资金日记账!$X$4:$X$603,285))</f>
        <v/>
      </c>
      <c r="M1479" s="107"/>
      <c r="N1479" s="67" t="str">
        <f aca="false">IF($E1479="","",INDEX(资金日记账!$Y$4:$Y$603,285))</f>
        <v/>
      </c>
      <c r="O1479" s="67" t="str">
        <f aca="false">IF($E1479="","","自动B")</f>
        <v/>
      </c>
      <c r="P1479" s="18"/>
    </row>
    <row r="1480" customFormat="false" ht="18" hidden="false" customHeight="true" outlineLevel="0" collapsed="false">
      <c r="A1480" s="107" t="str">
        <f aca="false">IF($E1480="","",ROW()-3)</f>
        <v/>
      </c>
      <c r="B1480" s="110" t="str">
        <f aca="false">IF($E1480="","",INDEX(资金日记账!$B$4:$B$603,286))</f>
        <v/>
      </c>
      <c r="C1480" s="67" t="str">
        <f aca="false">IF($E1480="","",IF(INDEX(资金日记账!$W$4:$W$603,286)="","记-"&amp;TEXT($B1480,"YYYYMM")&amp;"-资金",INDEX(资金日记账!$W$4:$W$603,286)))</f>
        <v/>
      </c>
      <c r="D1480" s="107" t="str">
        <f aca="false">IF($E1480="","",INDEX(资金日记账!$D$4:$D$603,286))</f>
        <v/>
      </c>
      <c r="E1480" s="67" t="str">
        <f aca="false">IF(INDEX(资金日记账!$N$4:$S$603,286,1)=0,"",INDEX(资金日记账!$N$4:$S$603,286,1))</f>
        <v/>
      </c>
      <c r="F1480" s="99" t="str">
        <f aca="false">IF($E1480="","",IFERROR(INDEX(科目表!$A$4:$A$81,MATCH($E1480,科目表!$B$4:$B$81,0)),""))</f>
        <v/>
      </c>
      <c r="G1480" s="67" t="str">
        <f aca="false">IF($E1480="","",IFERROR(INDEX(科目表!$E$4:$E$81,MATCH($E1480,科目表!$B$4:$B$81,0)),""))</f>
        <v/>
      </c>
      <c r="H1480" s="70" t="str">
        <f aca="false">IF($E1480="","",N(INDEX(资金日记账!$N$4:$S$603,286,2)))</f>
        <v/>
      </c>
      <c r="I1480" s="70" t="str">
        <f aca="false">IF($E1480="","",N(INDEX(资金日记账!$N$4:$S$603,286,3)))</f>
        <v/>
      </c>
      <c r="J1480" s="67" t="str">
        <f aca="false">IF($E1480="","",INDEX(资金日记账!$E$4:$E$603,286))</f>
        <v/>
      </c>
      <c r="K1480" s="67" t="str">
        <f aca="false">IF($E1480="","",INDEX(资金日记账!$F$4:$F$603,286))</f>
        <v/>
      </c>
      <c r="L1480" s="107" t="str">
        <f aca="false">IF($E1480="","",INDEX(资金日记账!$X$4:$X$603,286))</f>
        <v/>
      </c>
      <c r="M1480" s="107"/>
      <c r="N1480" s="67" t="str">
        <f aca="false">IF($E1480="","",INDEX(资金日记账!$Y$4:$Y$603,286))</f>
        <v/>
      </c>
      <c r="O1480" s="67" t="str">
        <f aca="false">IF($E1480="","","自动B")</f>
        <v/>
      </c>
      <c r="P1480" s="18"/>
    </row>
    <row r="1481" customFormat="false" ht="18" hidden="false" customHeight="true" outlineLevel="0" collapsed="false">
      <c r="A1481" s="107" t="str">
        <f aca="false">IF($E1481="","",ROW()-3)</f>
        <v/>
      </c>
      <c r="B1481" s="110" t="str">
        <f aca="false">IF($E1481="","",INDEX(资金日记账!$B$4:$B$603,286))</f>
        <v/>
      </c>
      <c r="C1481" s="67" t="str">
        <f aca="false">IF($E1481="","",IF(INDEX(资金日记账!$W$4:$W$603,286)="","记-"&amp;TEXT($B1481,"YYYYMM")&amp;"-资金",INDEX(资金日记账!$W$4:$W$603,286)))</f>
        <v/>
      </c>
      <c r="D1481" s="107" t="str">
        <f aca="false">IF($E1481="","",INDEX(资金日记账!$D$4:$D$603,286))</f>
        <v/>
      </c>
      <c r="E1481" s="67" t="str">
        <f aca="false">IF(INDEX(资金日记账!$N$4:$S$603,286,4)=0,"",INDEX(资金日记账!$N$4:$S$603,286,4))</f>
        <v/>
      </c>
      <c r="F1481" s="99" t="str">
        <f aca="false">IF($E1481="","",IFERROR(INDEX(科目表!$A$4:$A$81,MATCH($E1481,科目表!$B$4:$B$81,0)),""))</f>
        <v/>
      </c>
      <c r="G1481" s="67" t="str">
        <f aca="false">IF($E1481="","",IFERROR(INDEX(科目表!$E$4:$E$81,MATCH($E1481,科目表!$B$4:$B$81,0)),""))</f>
        <v/>
      </c>
      <c r="H1481" s="70" t="str">
        <f aca="false">IF($E1481="","",N(INDEX(资金日记账!$N$4:$S$603,286,5)))</f>
        <v/>
      </c>
      <c r="I1481" s="70" t="str">
        <f aca="false">IF($E1481="","",N(INDEX(资金日记账!$N$4:$S$603,286,6)))</f>
        <v/>
      </c>
      <c r="J1481" s="67" t="str">
        <f aca="false">IF($E1481="","",INDEX(资金日记账!$E$4:$E$603,286))</f>
        <v/>
      </c>
      <c r="K1481" s="67" t="str">
        <f aca="false">IF($E1481="","",INDEX(资金日记账!$F$4:$F$603,286))</f>
        <v/>
      </c>
      <c r="L1481" s="107" t="str">
        <f aca="false">IF($E1481="","",INDEX(资金日记账!$X$4:$X$603,286))</f>
        <v/>
      </c>
      <c r="M1481" s="107"/>
      <c r="N1481" s="67" t="str">
        <f aca="false">IF($E1481="","",INDEX(资金日记账!$Y$4:$Y$603,286))</f>
        <v/>
      </c>
      <c r="O1481" s="67" t="str">
        <f aca="false">IF($E1481="","","自动B")</f>
        <v/>
      </c>
      <c r="P1481" s="18"/>
    </row>
    <row r="1482" customFormat="false" ht="18" hidden="false" customHeight="true" outlineLevel="0" collapsed="false">
      <c r="A1482" s="107" t="str">
        <f aca="false">IF($E1482="","",ROW()-3)</f>
        <v/>
      </c>
      <c r="B1482" s="110" t="str">
        <f aca="false">IF($E1482="","",INDEX(资金日记账!$B$4:$B$603,287))</f>
        <v/>
      </c>
      <c r="C1482" s="67" t="str">
        <f aca="false">IF($E1482="","",IF(INDEX(资金日记账!$W$4:$W$603,287)="","记-"&amp;TEXT($B1482,"YYYYMM")&amp;"-资金",INDEX(资金日记账!$W$4:$W$603,287)))</f>
        <v/>
      </c>
      <c r="D1482" s="107" t="str">
        <f aca="false">IF($E1482="","",INDEX(资金日记账!$D$4:$D$603,287))</f>
        <v/>
      </c>
      <c r="E1482" s="67" t="str">
        <f aca="false">IF(INDEX(资金日记账!$N$4:$S$603,287,1)=0,"",INDEX(资金日记账!$N$4:$S$603,287,1))</f>
        <v/>
      </c>
      <c r="F1482" s="99" t="str">
        <f aca="false">IF($E1482="","",IFERROR(INDEX(科目表!$A$4:$A$81,MATCH($E1482,科目表!$B$4:$B$81,0)),""))</f>
        <v/>
      </c>
      <c r="G1482" s="67" t="str">
        <f aca="false">IF($E1482="","",IFERROR(INDEX(科目表!$E$4:$E$81,MATCH($E1482,科目表!$B$4:$B$81,0)),""))</f>
        <v/>
      </c>
      <c r="H1482" s="70" t="str">
        <f aca="false">IF($E1482="","",N(INDEX(资金日记账!$N$4:$S$603,287,2)))</f>
        <v/>
      </c>
      <c r="I1482" s="70" t="str">
        <f aca="false">IF($E1482="","",N(INDEX(资金日记账!$N$4:$S$603,287,3)))</f>
        <v/>
      </c>
      <c r="J1482" s="67" t="str">
        <f aca="false">IF($E1482="","",INDEX(资金日记账!$E$4:$E$603,287))</f>
        <v/>
      </c>
      <c r="K1482" s="67" t="str">
        <f aca="false">IF($E1482="","",INDEX(资金日记账!$F$4:$F$603,287))</f>
        <v/>
      </c>
      <c r="L1482" s="107" t="str">
        <f aca="false">IF($E1482="","",INDEX(资金日记账!$X$4:$X$603,287))</f>
        <v/>
      </c>
      <c r="M1482" s="107"/>
      <c r="N1482" s="67" t="str">
        <f aca="false">IF($E1482="","",INDEX(资金日记账!$Y$4:$Y$603,287))</f>
        <v/>
      </c>
      <c r="O1482" s="67" t="str">
        <f aca="false">IF($E1482="","","自动B")</f>
        <v/>
      </c>
      <c r="P1482" s="18"/>
    </row>
    <row r="1483" customFormat="false" ht="18" hidden="false" customHeight="true" outlineLevel="0" collapsed="false">
      <c r="A1483" s="107" t="str">
        <f aca="false">IF($E1483="","",ROW()-3)</f>
        <v/>
      </c>
      <c r="B1483" s="110" t="str">
        <f aca="false">IF($E1483="","",INDEX(资金日记账!$B$4:$B$603,287))</f>
        <v/>
      </c>
      <c r="C1483" s="67" t="str">
        <f aca="false">IF($E1483="","",IF(INDEX(资金日记账!$W$4:$W$603,287)="","记-"&amp;TEXT($B1483,"YYYYMM")&amp;"-资金",INDEX(资金日记账!$W$4:$W$603,287)))</f>
        <v/>
      </c>
      <c r="D1483" s="107" t="str">
        <f aca="false">IF($E1483="","",INDEX(资金日记账!$D$4:$D$603,287))</f>
        <v/>
      </c>
      <c r="E1483" s="67" t="str">
        <f aca="false">IF(INDEX(资金日记账!$N$4:$S$603,287,4)=0,"",INDEX(资金日记账!$N$4:$S$603,287,4))</f>
        <v/>
      </c>
      <c r="F1483" s="99" t="str">
        <f aca="false">IF($E1483="","",IFERROR(INDEX(科目表!$A$4:$A$81,MATCH($E1483,科目表!$B$4:$B$81,0)),""))</f>
        <v/>
      </c>
      <c r="G1483" s="67" t="str">
        <f aca="false">IF($E1483="","",IFERROR(INDEX(科目表!$E$4:$E$81,MATCH($E1483,科目表!$B$4:$B$81,0)),""))</f>
        <v/>
      </c>
      <c r="H1483" s="70" t="str">
        <f aca="false">IF($E1483="","",N(INDEX(资金日记账!$N$4:$S$603,287,5)))</f>
        <v/>
      </c>
      <c r="I1483" s="70" t="str">
        <f aca="false">IF($E1483="","",N(INDEX(资金日记账!$N$4:$S$603,287,6)))</f>
        <v/>
      </c>
      <c r="J1483" s="67" t="str">
        <f aca="false">IF($E1483="","",INDEX(资金日记账!$E$4:$E$603,287))</f>
        <v/>
      </c>
      <c r="K1483" s="67" t="str">
        <f aca="false">IF($E1483="","",INDEX(资金日记账!$F$4:$F$603,287))</f>
        <v/>
      </c>
      <c r="L1483" s="107" t="str">
        <f aca="false">IF($E1483="","",INDEX(资金日记账!$X$4:$X$603,287))</f>
        <v/>
      </c>
      <c r="M1483" s="107"/>
      <c r="N1483" s="67" t="str">
        <f aca="false">IF($E1483="","",INDEX(资金日记账!$Y$4:$Y$603,287))</f>
        <v/>
      </c>
      <c r="O1483" s="67" t="str">
        <f aca="false">IF($E1483="","","自动B")</f>
        <v/>
      </c>
      <c r="P1483" s="18"/>
    </row>
    <row r="1484" customFormat="false" ht="18" hidden="false" customHeight="true" outlineLevel="0" collapsed="false">
      <c r="A1484" s="107" t="str">
        <f aca="false">IF($E1484="","",ROW()-3)</f>
        <v/>
      </c>
      <c r="B1484" s="110" t="str">
        <f aca="false">IF($E1484="","",INDEX(资金日记账!$B$4:$B$603,288))</f>
        <v/>
      </c>
      <c r="C1484" s="67" t="str">
        <f aca="false">IF($E1484="","",IF(INDEX(资金日记账!$W$4:$W$603,288)="","记-"&amp;TEXT($B1484,"YYYYMM")&amp;"-资金",INDEX(资金日记账!$W$4:$W$603,288)))</f>
        <v/>
      </c>
      <c r="D1484" s="107" t="str">
        <f aca="false">IF($E1484="","",INDEX(资金日记账!$D$4:$D$603,288))</f>
        <v/>
      </c>
      <c r="E1484" s="67" t="str">
        <f aca="false">IF(INDEX(资金日记账!$N$4:$S$603,288,1)=0,"",INDEX(资金日记账!$N$4:$S$603,288,1))</f>
        <v/>
      </c>
      <c r="F1484" s="99" t="str">
        <f aca="false">IF($E1484="","",IFERROR(INDEX(科目表!$A$4:$A$81,MATCH($E1484,科目表!$B$4:$B$81,0)),""))</f>
        <v/>
      </c>
      <c r="G1484" s="67" t="str">
        <f aca="false">IF($E1484="","",IFERROR(INDEX(科目表!$E$4:$E$81,MATCH($E1484,科目表!$B$4:$B$81,0)),""))</f>
        <v/>
      </c>
      <c r="H1484" s="70" t="str">
        <f aca="false">IF($E1484="","",N(INDEX(资金日记账!$N$4:$S$603,288,2)))</f>
        <v/>
      </c>
      <c r="I1484" s="70" t="str">
        <f aca="false">IF($E1484="","",N(INDEX(资金日记账!$N$4:$S$603,288,3)))</f>
        <v/>
      </c>
      <c r="J1484" s="67" t="str">
        <f aca="false">IF($E1484="","",INDEX(资金日记账!$E$4:$E$603,288))</f>
        <v/>
      </c>
      <c r="K1484" s="67" t="str">
        <f aca="false">IF($E1484="","",INDEX(资金日记账!$F$4:$F$603,288))</f>
        <v/>
      </c>
      <c r="L1484" s="107" t="str">
        <f aca="false">IF($E1484="","",INDEX(资金日记账!$X$4:$X$603,288))</f>
        <v/>
      </c>
      <c r="M1484" s="107"/>
      <c r="N1484" s="67" t="str">
        <f aca="false">IF($E1484="","",INDEX(资金日记账!$Y$4:$Y$603,288))</f>
        <v/>
      </c>
      <c r="O1484" s="67" t="str">
        <f aca="false">IF($E1484="","","自动B")</f>
        <v/>
      </c>
      <c r="P1484" s="18"/>
    </row>
    <row r="1485" customFormat="false" ht="18" hidden="false" customHeight="true" outlineLevel="0" collapsed="false">
      <c r="A1485" s="107" t="str">
        <f aca="false">IF($E1485="","",ROW()-3)</f>
        <v/>
      </c>
      <c r="B1485" s="110" t="str">
        <f aca="false">IF($E1485="","",INDEX(资金日记账!$B$4:$B$603,288))</f>
        <v/>
      </c>
      <c r="C1485" s="67" t="str">
        <f aca="false">IF($E1485="","",IF(INDEX(资金日记账!$W$4:$W$603,288)="","记-"&amp;TEXT($B1485,"YYYYMM")&amp;"-资金",INDEX(资金日记账!$W$4:$W$603,288)))</f>
        <v/>
      </c>
      <c r="D1485" s="107" t="str">
        <f aca="false">IF($E1485="","",INDEX(资金日记账!$D$4:$D$603,288))</f>
        <v/>
      </c>
      <c r="E1485" s="67" t="str">
        <f aca="false">IF(INDEX(资金日记账!$N$4:$S$603,288,4)=0,"",INDEX(资金日记账!$N$4:$S$603,288,4))</f>
        <v/>
      </c>
      <c r="F1485" s="99" t="str">
        <f aca="false">IF($E1485="","",IFERROR(INDEX(科目表!$A$4:$A$81,MATCH($E1485,科目表!$B$4:$B$81,0)),""))</f>
        <v/>
      </c>
      <c r="G1485" s="67" t="str">
        <f aca="false">IF($E1485="","",IFERROR(INDEX(科目表!$E$4:$E$81,MATCH($E1485,科目表!$B$4:$B$81,0)),""))</f>
        <v/>
      </c>
      <c r="H1485" s="70" t="str">
        <f aca="false">IF($E1485="","",N(INDEX(资金日记账!$N$4:$S$603,288,5)))</f>
        <v/>
      </c>
      <c r="I1485" s="70" t="str">
        <f aca="false">IF($E1485="","",N(INDEX(资金日记账!$N$4:$S$603,288,6)))</f>
        <v/>
      </c>
      <c r="J1485" s="67" t="str">
        <f aca="false">IF($E1485="","",INDEX(资金日记账!$E$4:$E$603,288))</f>
        <v/>
      </c>
      <c r="K1485" s="67" t="str">
        <f aca="false">IF($E1485="","",INDEX(资金日记账!$F$4:$F$603,288))</f>
        <v/>
      </c>
      <c r="L1485" s="107" t="str">
        <f aca="false">IF($E1485="","",INDEX(资金日记账!$X$4:$X$603,288))</f>
        <v/>
      </c>
      <c r="M1485" s="107"/>
      <c r="N1485" s="67" t="str">
        <f aca="false">IF($E1485="","",INDEX(资金日记账!$Y$4:$Y$603,288))</f>
        <v/>
      </c>
      <c r="O1485" s="67" t="str">
        <f aca="false">IF($E1485="","","自动B")</f>
        <v/>
      </c>
      <c r="P1485" s="18"/>
    </row>
    <row r="1486" customFormat="false" ht="18" hidden="false" customHeight="true" outlineLevel="0" collapsed="false">
      <c r="A1486" s="107" t="str">
        <f aca="false">IF($E1486="","",ROW()-3)</f>
        <v/>
      </c>
      <c r="B1486" s="110" t="str">
        <f aca="false">IF($E1486="","",INDEX(资金日记账!$B$4:$B$603,289))</f>
        <v/>
      </c>
      <c r="C1486" s="67" t="str">
        <f aca="false">IF($E1486="","",IF(INDEX(资金日记账!$W$4:$W$603,289)="","记-"&amp;TEXT($B1486,"YYYYMM")&amp;"-资金",INDEX(资金日记账!$W$4:$W$603,289)))</f>
        <v/>
      </c>
      <c r="D1486" s="107" t="str">
        <f aca="false">IF($E1486="","",INDEX(资金日记账!$D$4:$D$603,289))</f>
        <v/>
      </c>
      <c r="E1486" s="67" t="str">
        <f aca="false">IF(INDEX(资金日记账!$N$4:$S$603,289,1)=0,"",INDEX(资金日记账!$N$4:$S$603,289,1))</f>
        <v/>
      </c>
      <c r="F1486" s="99" t="str">
        <f aca="false">IF($E1486="","",IFERROR(INDEX(科目表!$A$4:$A$81,MATCH($E1486,科目表!$B$4:$B$81,0)),""))</f>
        <v/>
      </c>
      <c r="G1486" s="67" t="str">
        <f aca="false">IF($E1486="","",IFERROR(INDEX(科目表!$E$4:$E$81,MATCH($E1486,科目表!$B$4:$B$81,0)),""))</f>
        <v/>
      </c>
      <c r="H1486" s="70" t="str">
        <f aca="false">IF($E1486="","",N(INDEX(资金日记账!$N$4:$S$603,289,2)))</f>
        <v/>
      </c>
      <c r="I1486" s="70" t="str">
        <f aca="false">IF($E1486="","",N(INDEX(资金日记账!$N$4:$S$603,289,3)))</f>
        <v/>
      </c>
      <c r="J1486" s="67" t="str">
        <f aca="false">IF($E1486="","",INDEX(资金日记账!$E$4:$E$603,289))</f>
        <v/>
      </c>
      <c r="K1486" s="67" t="str">
        <f aca="false">IF($E1486="","",INDEX(资金日记账!$F$4:$F$603,289))</f>
        <v/>
      </c>
      <c r="L1486" s="107" t="str">
        <f aca="false">IF($E1486="","",INDEX(资金日记账!$X$4:$X$603,289))</f>
        <v/>
      </c>
      <c r="M1486" s="107"/>
      <c r="N1486" s="67" t="str">
        <f aca="false">IF($E1486="","",INDEX(资金日记账!$Y$4:$Y$603,289))</f>
        <v/>
      </c>
      <c r="O1486" s="67" t="str">
        <f aca="false">IF($E1486="","","自动B")</f>
        <v/>
      </c>
      <c r="P1486" s="18"/>
    </row>
    <row r="1487" customFormat="false" ht="18" hidden="false" customHeight="true" outlineLevel="0" collapsed="false">
      <c r="A1487" s="107" t="str">
        <f aca="false">IF($E1487="","",ROW()-3)</f>
        <v/>
      </c>
      <c r="B1487" s="110" t="str">
        <f aca="false">IF($E1487="","",INDEX(资金日记账!$B$4:$B$603,289))</f>
        <v/>
      </c>
      <c r="C1487" s="67" t="str">
        <f aca="false">IF($E1487="","",IF(INDEX(资金日记账!$W$4:$W$603,289)="","记-"&amp;TEXT($B1487,"YYYYMM")&amp;"-资金",INDEX(资金日记账!$W$4:$W$603,289)))</f>
        <v/>
      </c>
      <c r="D1487" s="107" t="str">
        <f aca="false">IF($E1487="","",INDEX(资金日记账!$D$4:$D$603,289))</f>
        <v/>
      </c>
      <c r="E1487" s="67" t="str">
        <f aca="false">IF(INDEX(资金日记账!$N$4:$S$603,289,4)=0,"",INDEX(资金日记账!$N$4:$S$603,289,4))</f>
        <v/>
      </c>
      <c r="F1487" s="99" t="str">
        <f aca="false">IF($E1487="","",IFERROR(INDEX(科目表!$A$4:$A$81,MATCH($E1487,科目表!$B$4:$B$81,0)),""))</f>
        <v/>
      </c>
      <c r="G1487" s="67" t="str">
        <f aca="false">IF($E1487="","",IFERROR(INDEX(科目表!$E$4:$E$81,MATCH($E1487,科目表!$B$4:$B$81,0)),""))</f>
        <v/>
      </c>
      <c r="H1487" s="70" t="str">
        <f aca="false">IF($E1487="","",N(INDEX(资金日记账!$N$4:$S$603,289,5)))</f>
        <v/>
      </c>
      <c r="I1487" s="70" t="str">
        <f aca="false">IF($E1487="","",N(INDEX(资金日记账!$N$4:$S$603,289,6)))</f>
        <v/>
      </c>
      <c r="J1487" s="67" t="str">
        <f aca="false">IF($E1487="","",INDEX(资金日记账!$E$4:$E$603,289))</f>
        <v/>
      </c>
      <c r="K1487" s="67" t="str">
        <f aca="false">IF($E1487="","",INDEX(资金日记账!$F$4:$F$603,289))</f>
        <v/>
      </c>
      <c r="L1487" s="107" t="str">
        <f aca="false">IF($E1487="","",INDEX(资金日记账!$X$4:$X$603,289))</f>
        <v/>
      </c>
      <c r="M1487" s="107"/>
      <c r="N1487" s="67" t="str">
        <f aca="false">IF($E1487="","",INDEX(资金日记账!$Y$4:$Y$603,289))</f>
        <v/>
      </c>
      <c r="O1487" s="67" t="str">
        <f aca="false">IF($E1487="","","自动B")</f>
        <v/>
      </c>
      <c r="P1487" s="18"/>
    </row>
    <row r="1488" customFormat="false" ht="18" hidden="false" customHeight="true" outlineLevel="0" collapsed="false">
      <c r="A1488" s="107" t="str">
        <f aca="false">IF($E1488="","",ROW()-3)</f>
        <v/>
      </c>
      <c r="B1488" s="110" t="str">
        <f aca="false">IF($E1488="","",INDEX(资金日记账!$B$4:$B$603,290))</f>
        <v/>
      </c>
      <c r="C1488" s="67" t="str">
        <f aca="false">IF($E1488="","",IF(INDEX(资金日记账!$W$4:$W$603,290)="","记-"&amp;TEXT($B1488,"YYYYMM")&amp;"-资金",INDEX(资金日记账!$W$4:$W$603,290)))</f>
        <v/>
      </c>
      <c r="D1488" s="107" t="str">
        <f aca="false">IF($E1488="","",INDEX(资金日记账!$D$4:$D$603,290))</f>
        <v/>
      </c>
      <c r="E1488" s="67" t="str">
        <f aca="false">IF(INDEX(资金日记账!$N$4:$S$603,290,1)=0,"",INDEX(资金日记账!$N$4:$S$603,290,1))</f>
        <v/>
      </c>
      <c r="F1488" s="99" t="str">
        <f aca="false">IF($E1488="","",IFERROR(INDEX(科目表!$A$4:$A$81,MATCH($E1488,科目表!$B$4:$B$81,0)),""))</f>
        <v/>
      </c>
      <c r="G1488" s="67" t="str">
        <f aca="false">IF($E1488="","",IFERROR(INDEX(科目表!$E$4:$E$81,MATCH($E1488,科目表!$B$4:$B$81,0)),""))</f>
        <v/>
      </c>
      <c r="H1488" s="70" t="str">
        <f aca="false">IF($E1488="","",N(INDEX(资金日记账!$N$4:$S$603,290,2)))</f>
        <v/>
      </c>
      <c r="I1488" s="70" t="str">
        <f aca="false">IF($E1488="","",N(INDEX(资金日记账!$N$4:$S$603,290,3)))</f>
        <v/>
      </c>
      <c r="J1488" s="67" t="str">
        <f aca="false">IF($E1488="","",INDEX(资金日记账!$E$4:$E$603,290))</f>
        <v/>
      </c>
      <c r="K1488" s="67" t="str">
        <f aca="false">IF($E1488="","",INDEX(资金日记账!$F$4:$F$603,290))</f>
        <v/>
      </c>
      <c r="L1488" s="107" t="str">
        <f aca="false">IF($E1488="","",INDEX(资金日记账!$X$4:$X$603,290))</f>
        <v/>
      </c>
      <c r="M1488" s="107"/>
      <c r="N1488" s="67" t="str">
        <f aca="false">IF($E1488="","",INDEX(资金日记账!$Y$4:$Y$603,290))</f>
        <v/>
      </c>
      <c r="O1488" s="67" t="str">
        <f aca="false">IF($E1488="","","自动B")</f>
        <v/>
      </c>
      <c r="P1488" s="18"/>
    </row>
    <row r="1489" customFormat="false" ht="18" hidden="false" customHeight="true" outlineLevel="0" collapsed="false">
      <c r="A1489" s="107" t="str">
        <f aca="false">IF($E1489="","",ROW()-3)</f>
        <v/>
      </c>
      <c r="B1489" s="110" t="str">
        <f aca="false">IF($E1489="","",INDEX(资金日记账!$B$4:$B$603,290))</f>
        <v/>
      </c>
      <c r="C1489" s="67" t="str">
        <f aca="false">IF($E1489="","",IF(INDEX(资金日记账!$W$4:$W$603,290)="","记-"&amp;TEXT($B1489,"YYYYMM")&amp;"-资金",INDEX(资金日记账!$W$4:$W$603,290)))</f>
        <v/>
      </c>
      <c r="D1489" s="107" t="str">
        <f aca="false">IF($E1489="","",INDEX(资金日记账!$D$4:$D$603,290))</f>
        <v/>
      </c>
      <c r="E1489" s="67" t="str">
        <f aca="false">IF(INDEX(资金日记账!$N$4:$S$603,290,4)=0,"",INDEX(资金日记账!$N$4:$S$603,290,4))</f>
        <v/>
      </c>
      <c r="F1489" s="99" t="str">
        <f aca="false">IF($E1489="","",IFERROR(INDEX(科目表!$A$4:$A$81,MATCH($E1489,科目表!$B$4:$B$81,0)),""))</f>
        <v/>
      </c>
      <c r="G1489" s="67" t="str">
        <f aca="false">IF($E1489="","",IFERROR(INDEX(科目表!$E$4:$E$81,MATCH($E1489,科目表!$B$4:$B$81,0)),""))</f>
        <v/>
      </c>
      <c r="H1489" s="70" t="str">
        <f aca="false">IF($E1489="","",N(INDEX(资金日记账!$N$4:$S$603,290,5)))</f>
        <v/>
      </c>
      <c r="I1489" s="70" t="str">
        <f aca="false">IF($E1489="","",N(INDEX(资金日记账!$N$4:$S$603,290,6)))</f>
        <v/>
      </c>
      <c r="J1489" s="67" t="str">
        <f aca="false">IF($E1489="","",INDEX(资金日记账!$E$4:$E$603,290))</f>
        <v/>
      </c>
      <c r="K1489" s="67" t="str">
        <f aca="false">IF($E1489="","",INDEX(资金日记账!$F$4:$F$603,290))</f>
        <v/>
      </c>
      <c r="L1489" s="107" t="str">
        <f aca="false">IF($E1489="","",INDEX(资金日记账!$X$4:$X$603,290))</f>
        <v/>
      </c>
      <c r="M1489" s="107"/>
      <c r="N1489" s="67" t="str">
        <f aca="false">IF($E1489="","",INDEX(资金日记账!$Y$4:$Y$603,290))</f>
        <v/>
      </c>
      <c r="O1489" s="67" t="str">
        <f aca="false">IF($E1489="","","自动B")</f>
        <v/>
      </c>
      <c r="P1489" s="18"/>
    </row>
    <row r="1490" customFormat="false" ht="18" hidden="false" customHeight="true" outlineLevel="0" collapsed="false">
      <c r="A1490" s="107" t="str">
        <f aca="false">IF($E1490="","",ROW()-3)</f>
        <v/>
      </c>
      <c r="B1490" s="110" t="str">
        <f aca="false">IF($E1490="","",INDEX(资金日记账!$B$4:$B$603,291))</f>
        <v/>
      </c>
      <c r="C1490" s="67" t="str">
        <f aca="false">IF($E1490="","",IF(INDEX(资金日记账!$W$4:$W$603,291)="","记-"&amp;TEXT($B1490,"YYYYMM")&amp;"-资金",INDEX(资金日记账!$W$4:$W$603,291)))</f>
        <v/>
      </c>
      <c r="D1490" s="107" t="str">
        <f aca="false">IF($E1490="","",INDEX(资金日记账!$D$4:$D$603,291))</f>
        <v/>
      </c>
      <c r="E1490" s="67" t="str">
        <f aca="false">IF(INDEX(资金日记账!$N$4:$S$603,291,1)=0,"",INDEX(资金日记账!$N$4:$S$603,291,1))</f>
        <v/>
      </c>
      <c r="F1490" s="99" t="str">
        <f aca="false">IF($E1490="","",IFERROR(INDEX(科目表!$A$4:$A$81,MATCH($E1490,科目表!$B$4:$B$81,0)),""))</f>
        <v/>
      </c>
      <c r="G1490" s="67" t="str">
        <f aca="false">IF($E1490="","",IFERROR(INDEX(科目表!$E$4:$E$81,MATCH($E1490,科目表!$B$4:$B$81,0)),""))</f>
        <v/>
      </c>
      <c r="H1490" s="70" t="str">
        <f aca="false">IF($E1490="","",N(INDEX(资金日记账!$N$4:$S$603,291,2)))</f>
        <v/>
      </c>
      <c r="I1490" s="70" t="str">
        <f aca="false">IF($E1490="","",N(INDEX(资金日记账!$N$4:$S$603,291,3)))</f>
        <v/>
      </c>
      <c r="J1490" s="67" t="str">
        <f aca="false">IF($E1490="","",INDEX(资金日记账!$E$4:$E$603,291))</f>
        <v/>
      </c>
      <c r="K1490" s="67" t="str">
        <f aca="false">IF($E1490="","",INDEX(资金日记账!$F$4:$F$603,291))</f>
        <v/>
      </c>
      <c r="L1490" s="107" t="str">
        <f aca="false">IF($E1490="","",INDEX(资金日记账!$X$4:$X$603,291))</f>
        <v/>
      </c>
      <c r="M1490" s="107"/>
      <c r="N1490" s="67" t="str">
        <f aca="false">IF($E1490="","",INDEX(资金日记账!$Y$4:$Y$603,291))</f>
        <v/>
      </c>
      <c r="O1490" s="67" t="str">
        <f aca="false">IF($E1490="","","自动B")</f>
        <v/>
      </c>
      <c r="P1490" s="18"/>
    </row>
    <row r="1491" customFormat="false" ht="18" hidden="false" customHeight="true" outlineLevel="0" collapsed="false">
      <c r="A1491" s="107" t="str">
        <f aca="false">IF($E1491="","",ROW()-3)</f>
        <v/>
      </c>
      <c r="B1491" s="110" t="str">
        <f aca="false">IF($E1491="","",INDEX(资金日记账!$B$4:$B$603,291))</f>
        <v/>
      </c>
      <c r="C1491" s="67" t="str">
        <f aca="false">IF($E1491="","",IF(INDEX(资金日记账!$W$4:$W$603,291)="","记-"&amp;TEXT($B1491,"YYYYMM")&amp;"-资金",INDEX(资金日记账!$W$4:$W$603,291)))</f>
        <v/>
      </c>
      <c r="D1491" s="107" t="str">
        <f aca="false">IF($E1491="","",INDEX(资金日记账!$D$4:$D$603,291))</f>
        <v/>
      </c>
      <c r="E1491" s="67" t="str">
        <f aca="false">IF(INDEX(资金日记账!$N$4:$S$603,291,4)=0,"",INDEX(资金日记账!$N$4:$S$603,291,4))</f>
        <v/>
      </c>
      <c r="F1491" s="99" t="str">
        <f aca="false">IF($E1491="","",IFERROR(INDEX(科目表!$A$4:$A$81,MATCH($E1491,科目表!$B$4:$B$81,0)),""))</f>
        <v/>
      </c>
      <c r="G1491" s="67" t="str">
        <f aca="false">IF($E1491="","",IFERROR(INDEX(科目表!$E$4:$E$81,MATCH($E1491,科目表!$B$4:$B$81,0)),""))</f>
        <v/>
      </c>
      <c r="H1491" s="70" t="str">
        <f aca="false">IF($E1491="","",N(INDEX(资金日记账!$N$4:$S$603,291,5)))</f>
        <v/>
      </c>
      <c r="I1491" s="70" t="str">
        <f aca="false">IF($E1491="","",N(INDEX(资金日记账!$N$4:$S$603,291,6)))</f>
        <v/>
      </c>
      <c r="J1491" s="67" t="str">
        <f aca="false">IF($E1491="","",INDEX(资金日记账!$E$4:$E$603,291))</f>
        <v/>
      </c>
      <c r="K1491" s="67" t="str">
        <f aca="false">IF($E1491="","",INDEX(资金日记账!$F$4:$F$603,291))</f>
        <v/>
      </c>
      <c r="L1491" s="107" t="str">
        <f aca="false">IF($E1491="","",INDEX(资金日记账!$X$4:$X$603,291))</f>
        <v/>
      </c>
      <c r="M1491" s="107"/>
      <c r="N1491" s="67" t="str">
        <f aca="false">IF($E1491="","",INDEX(资金日记账!$Y$4:$Y$603,291))</f>
        <v/>
      </c>
      <c r="O1491" s="67" t="str">
        <f aca="false">IF($E1491="","","自动B")</f>
        <v/>
      </c>
      <c r="P1491" s="18"/>
    </row>
    <row r="1492" customFormat="false" ht="18" hidden="false" customHeight="true" outlineLevel="0" collapsed="false">
      <c r="A1492" s="107" t="str">
        <f aca="false">IF($E1492="","",ROW()-3)</f>
        <v/>
      </c>
      <c r="B1492" s="110" t="str">
        <f aca="false">IF($E1492="","",INDEX(资金日记账!$B$4:$B$603,292))</f>
        <v/>
      </c>
      <c r="C1492" s="67" t="str">
        <f aca="false">IF($E1492="","",IF(INDEX(资金日记账!$W$4:$W$603,292)="","记-"&amp;TEXT($B1492,"YYYYMM")&amp;"-资金",INDEX(资金日记账!$W$4:$W$603,292)))</f>
        <v/>
      </c>
      <c r="D1492" s="107" t="str">
        <f aca="false">IF($E1492="","",INDEX(资金日记账!$D$4:$D$603,292))</f>
        <v/>
      </c>
      <c r="E1492" s="67" t="str">
        <f aca="false">IF(INDEX(资金日记账!$N$4:$S$603,292,1)=0,"",INDEX(资金日记账!$N$4:$S$603,292,1))</f>
        <v/>
      </c>
      <c r="F1492" s="99" t="str">
        <f aca="false">IF($E1492="","",IFERROR(INDEX(科目表!$A$4:$A$81,MATCH($E1492,科目表!$B$4:$B$81,0)),""))</f>
        <v/>
      </c>
      <c r="G1492" s="67" t="str">
        <f aca="false">IF($E1492="","",IFERROR(INDEX(科目表!$E$4:$E$81,MATCH($E1492,科目表!$B$4:$B$81,0)),""))</f>
        <v/>
      </c>
      <c r="H1492" s="70" t="str">
        <f aca="false">IF($E1492="","",N(INDEX(资金日记账!$N$4:$S$603,292,2)))</f>
        <v/>
      </c>
      <c r="I1492" s="70" t="str">
        <f aca="false">IF($E1492="","",N(INDEX(资金日记账!$N$4:$S$603,292,3)))</f>
        <v/>
      </c>
      <c r="J1492" s="67" t="str">
        <f aca="false">IF($E1492="","",INDEX(资金日记账!$E$4:$E$603,292))</f>
        <v/>
      </c>
      <c r="K1492" s="67" t="str">
        <f aca="false">IF($E1492="","",INDEX(资金日记账!$F$4:$F$603,292))</f>
        <v/>
      </c>
      <c r="L1492" s="107" t="str">
        <f aca="false">IF($E1492="","",INDEX(资金日记账!$X$4:$X$603,292))</f>
        <v/>
      </c>
      <c r="M1492" s="107"/>
      <c r="N1492" s="67" t="str">
        <f aca="false">IF($E1492="","",INDEX(资金日记账!$Y$4:$Y$603,292))</f>
        <v/>
      </c>
      <c r="O1492" s="67" t="str">
        <f aca="false">IF($E1492="","","自动B")</f>
        <v/>
      </c>
      <c r="P1492" s="18"/>
    </row>
    <row r="1493" customFormat="false" ht="18" hidden="false" customHeight="true" outlineLevel="0" collapsed="false">
      <c r="A1493" s="107" t="str">
        <f aca="false">IF($E1493="","",ROW()-3)</f>
        <v/>
      </c>
      <c r="B1493" s="110" t="str">
        <f aca="false">IF($E1493="","",INDEX(资金日记账!$B$4:$B$603,292))</f>
        <v/>
      </c>
      <c r="C1493" s="67" t="str">
        <f aca="false">IF($E1493="","",IF(INDEX(资金日记账!$W$4:$W$603,292)="","记-"&amp;TEXT($B1493,"YYYYMM")&amp;"-资金",INDEX(资金日记账!$W$4:$W$603,292)))</f>
        <v/>
      </c>
      <c r="D1493" s="107" t="str">
        <f aca="false">IF($E1493="","",INDEX(资金日记账!$D$4:$D$603,292))</f>
        <v/>
      </c>
      <c r="E1493" s="67" t="str">
        <f aca="false">IF(INDEX(资金日记账!$N$4:$S$603,292,4)=0,"",INDEX(资金日记账!$N$4:$S$603,292,4))</f>
        <v/>
      </c>
      <c r="F1493" s="99" t="str">
        <f aca="false">IF($E1493="","",IFERROR(INDEX(科目表!$A$4:$A$81,MATCH($E1493,科目表!$B$4:$B$81,0)),""))</f>
        <v/>
      </c>
      <c r="G1493" s="67" t="str">
        <f aca="false">IF($E1493="","",IFERROR(INDEX(科目表!$E$4:$E$81,MATCH($E1493,科目表!$B$4:$B$81,0)),""))</f>
        <v/>
      </c>
      <c r="H1493" s="70" t="str">
        <f aca="false">IF($E1493="","",N(INDEX(资金日记账!$N$4:$S$603,292,5)))</f>
        <v/>
      </c>
      <c r="I1493" s="70" t="str">
        <f aca="false">IF($E1493="","",N(INDEX(资金日记账!$N$4:$S$603,292,6)))</f>
        <v/>
      </c>
      <c r="J1493" s="67" t="str">
        <f aca="false">IF($E1493="","",INDEX(资金日记账!$E$4:$E$603,292))</f>
        <v/>
      </c>
      <c r="K1493" s="67" t="str">
        <f aca="false">IF($E1493="","",INDEX(资金日记账!$F$4:$F$603,292))</f>
        <v/>
      </c>
      <c r="L1493" s="107" t="str">
        <f aca="false">IF($E1493="","",INDEX(资金日记账!$X$4:$X$603,292))</f>
        <v/>
      </c>
      <c r="M1493" s="107"/>
      <c r="N1493" s="67" t="str">
        <f aca="false">IF($E1493="","",INDEX(资金日记账!$Y$4:$Y$603,292))</f>
        <v/>
      </c>
      <c r="O1493" s="67" t="str">
        <f aca="false">IF($E1493="","","自动B")</f>
        <v/>
      </c>
      <c r="P1493" s="18"/>
    </row>
    <row r="1494" customFormat="false" ht="18" hidden="false" customHeight="true" outlineLevel="0" collapsed="false">
      <c r="A1494" s="107" t="str">
        <f aca="false">IF($E1494="","",ROW()-3)</f>
        <v/>
      </c>
      <c r="B1494" s="110" t="str">
        <f aca="false">IF($E1494="","",INDEX(资金日记账!$B$4:$B$603,293))</f>
        <v/>
      </c>
      <c r="C1494" s="67" t="str">
        <f aca="false">IF($E1494="","",IF(INDEX(资金日记账!$W$4:$W$603,293)="","记-"&amp;TEXT($B1494,"YYYYMM")&amp;"-资金",INDEX(资金日记账!$W$4:$W$603,293)))</f>
        <v/>
      </c>
      <c r="D1494" s="107" t="str">
        <f aca="false">IF($E1494="","",INDEX(资金日记账!$D$4:$D$603,293))</f>
        <v/>
      </c>
      <c r="E1494" s="67" t="str">
        <f aca="false">IF(INDEX(资金日记账!$N$4:$S$603,293,1)=0,"",INDEX(资金日记账!$N$4:$S$603,293,1))</f>
        <v/>
      </c>
      <c r="F1494" s="99" t="str">
        <f aca="false">IF($E1494="","",IFERROR(INDEX(科目表!$A$4:$A$81,MATCH($E1494,科目表!$B$4:$B$81,0)),""))</f>
        <v/>
      </c>
      <c r="G1494" s="67" t="str">
        <f aca="false">IF($E1494="","",IFERROR(INDEX(科目表!$E$4:$E$81,MATCH($E1494,科目表!$B$4:$B$81,0)),""))</f>
        <v/>
      </c>
      <c r="H1494" s="70" t="str">
        <f aca="false">IF($E1494="","",N(INDEX(资金日记账!$N$4:$S$603,293,2)))</f>
        <v/>
      </c>
      <c r="I1494" s="70" t="str">
        <f aca="false">IF($E1494="","",N(INDEX(资金日记账!$N$4:$S$603,293,3)))</f>
        <v/>
      </c>
      <c r="J1494" s="67" t="str">
        <f aca="false">IF($E1494="","",INDEX(资金日记账!$E$4:$E$603,293))</f>
        <v/>
      </c>
      <c r="K1494" s="67" t="str">
        <f aca="false">IF($E1494="","",INDEX(资金日记账!$F$4:$F$603,293))</f>
        <v/>
      </c>
      <c r="L1494" s="107" t="str">
        <f aca="false">IF($E1494="","",INDEX(资金日记账!$X$4:$X$603,293))</f>
        <v/>
      </c>
      <c r="M1494" s="107"/>
      <c r="N1494" s="67" t="str">
        <f aca="false">IF($E1494="","",INDEX(资金日记账!$Y$4:$Y$603,293))</f>
        <v/>
      </c>
      <c r="O1494" s="67" t="str">
        <f aca="false">IF($E1494="","","自动B")</f>
        <v/>
      </c>
      <c r="P1494" s="18"/>
    </row>
    <row r="1495" customFormat="false" ht="18" hidden="false" customHeight="true" outlineLevel="0" collapsed="false">
      <c r="A1495" s="107" t="str">
        <f aca="false">IF($E1495="","",ROW()-3)</f>
        <v/>
      </c>
      <c r="B1495" s="110" t="str">
        <f aca="false">IF($E1495="","",INDEX(资金日记账!$B$4:$B$603,293))</f>
        <v/>
      </c>
      <c r="C1495" s="67" t="str">
        <f aca="false">IF($E1495="","",IF(INDEX(资金日记账!$W$4:$W$603,293)="","记-"&amp;TEXT($B1495,"YYYYMM")&amp;"-资金",INDEX(资金日记账!$W$4:$W$603,293)))</f>
        <v/>
      </c>
      <c r="D1495" s="107" t="str">
        <f aca="false">IF($E1495="","",INDEX(资金日记账!$D$4:$D$603,293))</f>
        <v/>
      </c>
      <c r="E1495" s="67" t="str">
        <f aca="false">IF(INDEX(资金日记账!$N$4:$S$603,293,4)=0,"",INDEX(资金日记账!$N$4:$S$603,293,4))</f>
        <v/>
      </c>
      <c r="F1495" s="99" t="str">
        <f aca="false">IF($E1495="","",IFERROR(INDEX(科目表!$A$4:$A$81,MATCH($E1495,科目表!$B$4:$B$81,0)),""))</f>
        <v/>
      </c>
      <c r="G1495" s="67" t="str">
        <f aca="false">IF($E1495="","",IFERROR(INDEX(科目表!$E$4:$E$81,MATCH($E1495,科目表!$B$4:$B$81,0)),""))</f>
        <v/>
      </c>
      <c r="H1495" s="70" t="str">
        <f aca="false">IF($E1495="","",N(INDEX(资金日记账!$N$4:$S$603,293,5)))</f>
        <v/>
      </c>
      <c r="I1495" s="70" t="str">
        <f aca="false">IF($E1495="","",N(INDEX(资金日记账!$N$4:$S$603,293,6)))</f>
        <v/>
      </c>
      <c r="J1495" s="67" t="str">
        <f aca="false">IF($E1495="","",INDEX(资金日记账!$E$4:$E$603,293))</f>
        <v/>
      </c>
      <c r="K1495" s="67" t="str">
        <f aca="false">IF($E1495="","",INDEX(资金日记账!$F$4:$F$603,293))</f>
        <v/>
      </c>
      <c r="L1495" s="107" t="str">
        <f aca="false">IF($E1495="","",INDEX(资金日记账!$X$4:$X$603,293))</f>
        <v/>
      </c>
      <c r="M1495" s="107"/>
      <c r="N1495" s="67" t="str">
        <f aca="false">IF($E1495="","",INDEX(资金日记账!$Y$4:$Y$603,293))</f>
        <v/>
      </c>
      <c r="O1495" s="67" t="str">
        <f aca="false">IF($E1495="","","自动B")</f>
        <v/>
      </c>
      <c r="P1495" s="18"/>
    </row>
    <row r="1496" customFormat="false" ht="18" hidden="false" customHeight="true" outlineLevel="0" collapsed="false">
      <c r="A1496" s="107" t="str">
        <f aca="false">IF($E1496="","",ROW()-3)</f>
        <v/>
      </c>
      <c r="B1496" s="110" t="str">
        <f aca="false">IF($E1496="","",INDEX(资金日记账!$B$4:$B$603,294))</f>
        <v/>
      </c>
      <c r="C1496" s="67" t="str">
        <f aca="false">IF($E1496="","",IF(INDEX(资金日记账!$W$4:$W$603,294)="","记-"&amp;TEXT($B1496,"YYYYMM")&amp;"-资金",INDEX(资金日记账!$W$4:$W$603,294)))</f>
        <v/>
      </c>
      <c r="D1496" s="107" t="str">
        <f aca="false">IF($E1496="","",INDEX(资金日记账!$D$4:$D$603,294))</f>
        <v/>
      </c>
      <c r="E1496" s="67" t="str">
        <f aca="false">IF(INDEX(资金日记账!$N$4:$S$603,294,1)=0,"",INDEX(资金日记账!$N$4:$S$603,294,1))</f>
        <v/>
      </c>
      <c r="F1496" s="99" t="str">
        <f aca="false">IF($E1496="","",IFERROR(INDEX(科目表!$A$4:$A$81,MATCH($E1496,科目表!$B$4:$B$81,0)),""))</f>
        <v/>
      </c>
      <c r="G1496" s="67" t="str">
        <f aca="false">IF($E1496="","",IFERROR(INDEX(科目表!$E$4:$E$81,MATCH($E1496,科目表!$B$4:$B$81,0)),""))</f>
        <v/>
      </c>
      <c r="H1496" s="70" t="str">
        <f aca="false">IF($E1496="","",N(INDEX(资金日记账!$N$4:$S$603,294,2)))</f>
        <v/>
      </c>
      <c r="I1496" s="70" t="str">
        <f aca="false">IF($E1496="","",N(INDEX(资金日记账!$N$4:$S$603,294,3)))</f>
        <v/>
      </c>
      <c r="J1496" s="67" t="str">
        <f aca="false">IF($E1496="","",INDEX(资金日记账!$E$4:$E$603,294))</f>
        <v/>
      </c>
      <c r="K1496" s="67" t="str">
        <f aca="false">IF($E1496="","",INDEX(资金日记账!$F$4:$F$603,294))</f>
        <v/>
      </c>
      <c r="L1496" s="107" t="str">
        <f aca="false">IF($E1496="","",INDEX(资金日记账!$X$4:$X$603,294))</f>
        <v/>
      </c>
      <c r="M1496" s="107"/>
      <c r="N1496" s="67" t="str">
        <f aca="false">IF($E1496="","",INDEX(资金日记账!$Y$4:$Y$603,294))</f>
        <v/>
      </c>
      <c r="O1496" s="67" t="str">
        <f aca="false">IF($E1496="","","自动B")</f>
        <v/>
      </c>
      <c r="P1496" s="18"/>
    </row>
    <row r="1497" customFormat="false" ht="18" hidden="false" customHeight="true" outlineLevel="0" collapsed="false">
      <c r="A1497" s="107" t="str">
        <f aca="false">IF($E1497="","",ROW()-3)</f>
        <v/>
      </c>
      <c r="B1497" s="110" t="str">
        <f aca="false">IF($E1497="","",INDEX(资金日记账!$B$4:$B$603,294))</f>
        <v/>
      </c>
      <c r="C1497" s="67" t="str">
        <f aca="false">IF($E1497="","",IF(INDEX(资金日记账!$W$4:$W$603,294)="","记-"&amp;TEXT($B1497,"YYYYMM")&amp;"-资金",INDEX(资金日记账!$W$4:$W$603,294)))</f>
        <v/>
      </c>
      <c r="D1497" s="107" t="str">
        <f aca="false">IF($E1497="","",INDEX(资金日记账!$D$4:$D$603,294))</f>
        <v/>
      </c>
      <c r="E1497" s="67" t="str">
        <f aca="false">IF(INDEX(资金日记账!$N$4:$S$603,294,4)=0,"",INDEX(资金日记账!$N$4:$S$603,294,4))</f>
        <v/>
      </c>
      <c r="F1497" s="99" t="str">
        <f aca="false">IF($E1497="","",IFERROR(INDEX(科目表!$A$4:$A$81,MATCH($E1497,科目表!$B$4:$B$81,0)),""))</f>
        <v/>
      </c>
      <c r="G1497" s="67" t="str">
        <f aca="false">IF($E1497="","",IFERROR(INDEX(科目表!$E$4:$E$81,MATCH($E1497,科目表!$B$4:$B$81,0)),""))</f>
        <v/>
      </c>
      <c r="H1497" s="70" t="str">
        <f aca="false">IF($E1497="","",N(INDEX(资金日记账!$N$4:$S$603,294,5)))</f>
        <v/>
      </c>
      <c r="I1497" s="70" t="str">
        <f aca="false">IF($E1497="","",N(INDEX(资金日记账!$N$4:$S$603,294,6)))</f>
        <v/>
      </c>
      <c r="J1497" s="67" t="str">
        <f aca="false">IF($E1497="","",INDEX(资金日记账!$E$4:$E$603,294))</f>
        <v/>
      </c>
      <c r="K1497" s="67" t="str">
        <f aca="false">IF($E1497="","",INDEX(资金日记账!$F$4:$F$603,294))</f>
        <v/>
      </c>
      <c r="L1497" s="107" t="str">
        <f aca="false">IF($E1497="","",INDEX(资金日记账!$X$4:$X$603,294))</f>
        <v/>
      </c>
      <c r="M1497" s="107"/>
      <c r="N1497" s="67" t="str">
        <f aca="false">IF($E1497="","",INDEX(资金日记账!$Y$4:$Y$603,294))</f>
        <v/>
      </c>
      <c r="O1497" s="67" t="str">
        <f aca="false">IF($E1497="","","自动B")</f>
        <v/>
      </c>
      <c r="P1497" s="18"/>
    </row>
    <row r="1498" customFormat="false" ht="18" hidden="false" customHeight="true" outlineLevel="0" collapsed="false">
      <c r="A1498" s="107" t="str">
        <f aca="false">IF($E1498="","",ROW()-3)</f>
        <v/>
      </c>
      <c r="B1498" s="110" t="str">
        <f aca="false">IF($E1498="","",INDEX(资金日记账!$B$4:$B$603,295))</f>
        <v/>
      </c>
      <c r="C1498" s="67" t="str">
        <f aca="false">IF($E1498="","",IF(INDEX(资金日记账!$W$4:$W$603,295)="","记-"&amp;TEXT($B1498,"YYYYMM")&amp;"-资金",INDEX(资金日记账!$W$4:$W$603,295)))</f>
        <v/>
      </c>
      <c r="D1498" s="107" t="str">
        <f aca="false">IF($E1498="","",INDEX(资金日记账!$D$4:$D$603,295))</f>
        <v/>
      </c>
      <c r="E1498" s="67" t="str">
        <f aca="false">IF(INDEX(资金日记账!$N$4:$S$603,295,1)=0,"",INDEX(资金日记账!$N$4:$S$603,295,1))</f>
        <v/>
      </c>
      <c r="F1498" s="99" t="str">
        <f aca="false">IF($E1498="","",IFERROR(INDEX(科目表!$A$4:$A$81,MATCH($E1498,科目表!$B$4:$B$81,0)),""))</f>
        <v/>
      </c>
      <c r="G1498" s="67" t="str">
        <f aca="false">IF($E1498="","",IFERROR(INDEX(科目表!$E$4:$E$81,MATCH($E1498,科目表!$B$4:$B$81,0)),""))</f>
        <v/>
      </c>
      <c r="H1498" s="70" t="str">
        <f aca="false">IF($E1498="","",N(INDEX(资金日记账!$N$4:$S$603,295,2)))</f>
        <v/>
      </c>
      <c r="I1498" s="70" t="str">
        <f aca="false">IF($E1498="","",N(INDEX(资金日记账!$N$4:$S$603,295,3)))</f>
        <v/>
      </c>
      <c r="J1498" s="67" t="str">
        <f aca="false">IF($E1498="","",INDEX(资金日记账!$E$4:$E$603,295))</f>
        <v/>
      </c>
      <c r="K1498" s="67" t="str">
        <f aca="false">IF($E1498="","",INDEX(资金日记账!$F$4:$F$603,295))</f>
        <v/>
      </c>
      <c r="L1498" s="107" t="str">
        <f aca="false">IF($E1498="","",INDEX(资金日记账!$X$4:$X$603,295))</f>
        <v/>
      </c>
      <c r="M1498" s="107"/>
      <c r="N1498" s="67" t="str">
        <f aca="false">IF($E1498="","",INDEX(资金日记账!$Y$4:$Y$603,295))</f>
        <v/>
      </c>
      <c r="O1498" s="67" t="str">
        <f aca="false">IF($E1498="","","自动B")</f>
        <v/>
      </c>
      <c r="P1498" s="18"/>
    </row>
    <row r="1499" customFormat="false" ht="18" hidden="false" customHeight="true" outlineLevel="0" collapsed="false">
      <c r="A1499" s="107" t="str">
        <f aca="false">IF($E1499="","",ROW()-3)</f>
        <v/>
      </c>
      <c r="B1499" s="110" t="str">
        <f aca="false">IF($E1499="","",INDEX(资金日记账!$B$4:$B$603,295))</f>
        <v/>
      </c>
      <c r="C1499" s="67" t="str">
        <f aca="false">IF($E1499="","",IF(INDEX(资金日记账!$W$4:$W$603,295)="","记-"&amp;TEXT($B1499,"YYYYMM")&amp;"-资金",INDEX(资金日记账!$W$4:$W$603,295)))</f>
        <v/>
      </c>
      <c r="D1499" s="107" t="str">
        <f aca="false">IF($E1499="","",INDEX(资金日记账!$D$4:$D$603,295))</f>
        <v/>
      </c>
      <c r="E1499" s="67" t="str">
        <f aca="false">IF(INDEX(资金日记账!$N$4:$S$603,295,4)=0,"",INDEX(资金日记账!$N$4:$S$603,295,4))</f>
        <v/>
      </c>
      <c r="F1499" s="99" t="str">
        <f aca="false">IF($E1499="","",IFERROR(INDEX(科目表!$A$4:$A$81,MATCH($E1499,科目表!$B$4:$B$81,0)),""))</f>
        <v/>
      </c>
      <c r="G1499" s="67" t="str">
        <f aca="false">IF($E1499="","",IFERROR(INDEX(科目表!$E$4:$E$81,MATCH($E1499,科目表!$B$4:$B$81,0)),""))</f>
        <v/>
      </c>
      <c r="H1499" s="70" t="str">
        <f aca="false">IF($E1499="","",N(INDEX(资金日记账!$N$4:$S$603,295,5)))</f>
        <v/>
      </c>
      <c r="I1499" s="70" t="str">
        <f aca="false">IF($E1499="","",N(INDEX(资金日记账!$N$4:$S$603,295,6)))</f>
        <v/>
      </c>
      <c r="J1499" s="67" t="str">
        <f aca="false">IF($E1499="","",INDEX(资金日记账!$E$4:$E$603,295))</f>
        <v/>
      </c>
      <c r="K1499" s="67" t="str">
        <f aca="false">IF($E1499="","",INDEX(资金日记账!$F$4:$F$603,295))</f>
        <v/>
      </c>
      <c r="L1499" s="107" t="str">
        <f aca="false">IF($E1499="","",INDEX(资金日记账!$X$4:$X$603,295))</f>
        <v/>
      </c>
      <c r="M1499" s="107"/>
      <c r="N1499" s="67" t="str">
        <f aca="false">IF($E1499="","",INDEX(资金日记账!$Y$4:$Y$603,295))</f>
        <v/>
      </c>
      <c r="O1499" s="67" t="str">
        <f aca="false">IF($E1499="","","自动B")</f>
        <v/>
      </c>
      <c r="P1499" s="18"/>
    </row>
    <row r="1500" customFormat="false" ht="18" hidden="false" customHeight="true" outlineLevel="0" collapsed="false">
      <c r="A1500" s="107" t="str">
        <f aca="false">IF($E1500="","",ROW()-3)</f>
        <v/>
      </c>
      <c r="B1500" s="110" t="str">
        <f aca="false">IF($E1500="","",INDEX(资金日记账!$B$4:$B$603,296))</f>
        <v/>
      </c>
      <c r="C1500" s="67" t="str">
        <f aca="false">IF($E1500="","",IF(INDEX(资金日记账!$W$4:$W$603,296)="","记-"&amp;TEXT($B1500,"YYYYMM")&amp;"-资金",INDEX(资金日记账!$W$4:$W$603,296)))</f>
        <v/>
      </c>
      <c r="D1500" s="107" t="str">
        <f aca="false">IF($E1500="","",INDEX(资金日记账!$D$4:$D$603,296))</f>
        <v/>
      </c>
      <c r="E1500" s="67" t="str">
        <f aca="false">IF(INDEX(资金日记账!$N$4:$S$603,296,1)=0,"",INDEX(资金日记账!$N$4:$S$603,296,1))</f>
        <v/>
      </c>
      <c r="F1500" s="99" t="str">
        <f aca="false">IF($E1500="","",IFERROR(INDEX(科目表!$A$4:$A$81,MATCH($E1500,科目表!$B$4:$B$81,0)),""))</f>
        <v/>
      </c>
      <c r="G1500" s="67" t="str">
        <f aca="false">IF($E1500="","",IFERROR(INDEX(科目表!$E$4:$E$81,MATCH($E1500,科目表!$B$4:$B$81,0)),""))</f>
        <v/>
      </c>
      <c r="H1500" s="70" t="str">
        <f aca="false">IF($E1500="","",N(INDEX(资金日记账!$N$4:$S$603,296,2)))</f>
        <v/>
      </c>
      <c r="I1500" s="70" t="str">
        <f aca="false">IF($E1500="","",N(INDEX(资金日记账!$N$4:$S$603,296,3)))</f>
        <v/>
      </c>
      <c r="J1500" s="67" t="str">
        <f aca="false">IF($E1500="","",INDEX(资金日记账!$E$4:$E$603,296))</f>
        <v/>
      </c>
      <c r="K1500" s="67" t="str">
        <f aca="false">IF($E1500="","",INDEX(资金日记账!$F$4:$F$603,296))</f>
        <v/>
      </c>
      <c r="L1500" s="107" t="str">
        <f aca="false">IF($E1500="","",INDEX(资金日记账!$X$4:$X$603,296))</f>
        <v/>
      </c>
      <c r="M1500" s="107"/>
      <c r="N1500" s="67" t="str">
        <f aca="false">IF($E1500="","",INDEX(资金日记账!$Y$4:$Y$603,296))</f>
        <v/>
      </c>
      <c r="O1500" s="67" t="str">
        <f aca="false">IF($E1500="","","自动B")</f>
        <v/>
      </c>
      <c r="P1500" s="18"/>
    </row>
    <row r="1501" customFormat="false" ht="18" hidden="false" customHeight="true" outlineLevel="0" collapsed="false">
      <c r="A1501" s="107" t="str">
        <f aca="false">IF($E1501="","",ROW()-3)</f>
        <v/>
      </c>
      <c r="B1501" s="110" t="str">
        <f aca="false">IF($E1501="","",INDEX(资金日记账!$B$4:$B$603,296))</f>
        <v/>
      </c>
      <c r="C1501" s="67" t="str">
        <f aca="false">IF($E1501="","",IF(INDEX(资金日记账!$W$4:$W$603,296)="","记-"&amp;TEXT($B1501,"YYYYMM")&amp;"-资金",INDEX(资金日记账!$W$4:$W$603,296)))</f>
        <v/>
      </c>
      <c r="D1501" s="107" t="str">
        <f aca="false">IF($E1501="","",INDEX(资金日记账!$D$4:$D$603,296))</f>
        <v/>
      </c>
      <c r="E1501" s="67" t="str">
        <f aca="false">IF(INDEX(资金日记账!$N$4:$S$603,296,4)=0,"",INDEX(资金日记账!$N$4:$S$603,296,4))</f>
        <v/>
      </c>
      <c r="F1501" s="99" t="str">
        <f aca="false">IF($E1501="","",IFERROR(INDEX(科目表!$A$4:$A$81,MATCH($E1501,科目表!$B$4:$B$81,0)),""))</f>
        <v/>
      </c>
      <c r="G1501" s="67" t="str">
        <f aca="false">IF($E1501="","",IFERROR(INDEX(科目表!$E$4:$E$81,MATCH($E1501,科目表!$B$4:$B$81,0)),""))</f>
        <v/>
      </c>
      <c r="H1501" s="70" t="str">
        <f aca="false">IF($E1501="","",N(INDEX(资金日记账!$N$4:$S$603,296,5)))</f>
        <v/>
      </c>
      <c r="I1501" s="70" t="str">
        <f aca="false">IF($E1501="","",N(INDEX(资金日记账!$N$4:$S$603,296,6)))</f>
        <v/>
      </c>
      <c r="J1501" s="67" t="str">
        <f aca="false">IF($E1501="","",INDEX(资金日记账!$E$4:$E$603,296))</f>
        <v/>
      </c>
      <c r="K1501" s="67" t="str">
        <f aca="false">IF($E1501="","",INDEX(资金日记账!$F$4:$F$603,296))</f>
        <v/>
      </c>
      <c r="L1501" s="107" t="str">
        <f aca="false">IF($E1501="","",INDEX(资金日记账!$X$4:$X$603,296))</f>
        <v/>
      </c>
      <c r="M1501" s="107"/>
      <c r="N1501" s="67" t="str">
        <f aca="false">IF($E1501="","",INDEX(资金日记账!$Y$4:$Y$603,296))</f>
        <v/>
      </c>
      <c r="O1501" s="67" t="str">
        <f aca="false">IF($E1501="","","自动B")</f>
        <v/>
      </c>
      <c r="P1501" s="18"/>
    </row>
    <row r="1502" customFormat="false" ht="18" hidden="false" customHeight="true" outlineLevel="0" collapsed="false">
      <c r="A1502" s="107" t="str">
        <f aca="false">IF($E1502="","",ROW()-3)</f>
        <v/>
      </c>
      <c r="B1502" s="110" t="str">
        <f aca="false">IF($E1502="","",INDEX(资金日记账!$B$4:$B$603,297))</f>
        <v/>
      </c>
      <c r="C1502" s="67" t="str">
        <f aca="false">IF($E1502="","",IF(INDEX(资金日记账!$W$4:$W$603,297)="","记-"&amp;TEXT($B1502,"YYYYMM")&amp;"-资金",INDEX(资金日记账!$W$4:$W$603,297)))</f>
        <v/>
      </c>
      <c r="D1502" s="107" t="str">
        <f aca="false">IF($E1502="","",INDEX(资金日记账!$D$4:$D$603,297))</f>
        <v/>
      </c>
      <c r="E1502" s="67" t="str">
        <f aca="false">IF(INDEX(资金日记账!$N$4:$S$603,297,1)=0,"",INDEX(资金日记账!$N$4:$S$603,297,1))</f>
        <v/>
      </c>
      <c r="F1502" s="99" t="str">
        <f aca="false">IF($E1502="","",IFERROR(INDEX(科目表!$A$4:$A$81,MATCH($E1502,科目表!$B$4:$B$81,0)),""))</f>
        <v/>
      </c>
      <c r="G1502" s="67" t="str">
        <f aca="false">IF($E1502="","",IFERROR(INDEX(科目表!$E$4:$E$81,MATCH($E1502,科目表!$B$4:$B$81,0)),""))</f>
        <v/>
      </c>
      <c r="H1502" s="70" t="str">
        <f aca="false">IF($E1502="","",N(INDEX(资金日记账!$N$4:$S$603,297,2)))</f>
        <v/>
      </c>
      <c r="I1502" s="70" t="str">
        <f aca="false">IF($E1502="","",N(INDEX(资金日记账!$N$4:$S$603,297,3)))</f>
        <v/>
      </c>
      <c r="J1502" s="67" t="str">
        <f aca="false">IF($E1502="","",INDEX(资金日记账!$E$4:$E$603,297))</f>
        <v/>
      </c>
      <c r="K1502" s="67" t="str">
        <f aca="false">IF($E1502="","",INDEX(资金日记账!$F$4:$F$603,297))</f>
        <v/>
      </c>
      <c r="L1502" s="107" t="str">
        <f aca="false">IF($E1502="","",INDEX(资金日记账!$X$4:$X$603,297))</f>
        <v/>
      </c>
      <c r="M1502" s="107"/>
      <c r="N1502" s="67" t="str">
        <f aca="false">IF($E1502="","",INDEX(资金日记账!$Y$4:$Y$603,297))</f>
        <v/>
      </c>
      <c r="O1502" s="67" t="str">
        <f aca="false">IF($E1502="","","自动B")</f>
        <v/>
      </c>
      <c r="P1502" s="18"/>
    </row>
    <row r="1503" customFormat="false" ht="18" hidden="false" customHeight="true" outlineLevel="0" collapsed="false">
      <c r="A1503" s="107" t="str">
        <f aca="false">IF($E1503="","",ROW()-3)</f>
        <v/>
      </c>
      <c r="B1503" s="110" t="str">
        <f aca="false">IF($E1503="","",INDEX(资金日记账!$B$4:$B$603,297))</f>
        <v/>
      </c>
      <c r="C1503" s="67" t="str">
        <f aca="false">IF($E1503="","",IF(INDEX(资金日记账!$W$4:$W$603,297)="","记-"&amp;TEXT($B1503,"YYYYMM")&amp;"-资金",INDEX(资金日记账!$W$4:$W$603,297)))</f>
        <v/>
      </c>
      <c r="D1503" s="107" t="str">
        <f aca="false">IF($E1503="","",INDEX(资金日记账!$D$4:$D$603,297))</f>
        <v/>
      </c>
      <c r="E1503" s="67" t="str">
        <f aca="false">IF(INDEX(资金日记账!$N$4:$S$603,297,4)=0,"",INDEX(资金日记账!$N$4:$S$603,297,4))</f>
        <v/>
      </c>
      <c r="F1503" s="99" t="str">
        <f aca="false">IF($E1503="","",IFERROR(INDEX(科目表!$A$4:$A$81,MATCH($E1503,科目表!$B$4:$B$81,0)),""))</f>
        <v/>
      </c>
      <c r="G1503" s="67" t="str">
        <f aca="false">IF($E1503="","",IFERROR(INDEX(科目表!$E$4:$E$81,MATCH($E1503,科目表!$B$4:$B$81,0)),""))</f>
        <v/>
      </c>
      <c r="H1503" s="70" t="str">
        <f aca="false">IF($E1503="","",N(INDEX(资金日记账!$N$4:$S$603,297,5)))</f>
        <v/>
      </c>
      <c r="I1503" s="70" t="str">
        <f aca="false">IF($E1503="","",N(INDEX(资金日记账!$N$4:$S$603,297,6)))</f>
        <v/>
      </c>
      <c r="J1503" s="67" t="str">
        <f aca="false">IF($E1503="","",INDEX(资金日记账!$E$4:$E$603,297))</f>
        <v/>
      </c>
      <c r="K1503" s="67" t="str">
        <f aca="false">IF($E1503="","",INDEX(资金日记账!$F$4:$F$603,297))</f>
        <v/>
      </c>
      <c r="L1503" s="107" t="str">
        <f aca="false">IF($E1503="","",INDEX(资金日记账!$X$4:$X$603,297))</f>
        <v/>
      </c>
      <c r="M1503" s="107"/>
      <c r="N1503" s="67" t="str">
        <f aca="false">IF($E1503="","",INDEX(资金日记账!$Y$4:$Y$603,297))</f>
        <v/>
      </c>
      <c r="O1503" s="67" t="str">
        <f aca="false">IF($E1503="","","自动B")</f>
        <v/>
      </c>
      <c r="P1503" s="18"/>
    </row>
    <row r="1504" customFormat="false" ht="18" hidden="false" customHeight="true" outlineLevel="0" collapsed="false">
      <c r="A1504" s="107" t="str">
        <f aca="false">IF($E1504="","",ROW()-3)</f>
        <v/>
      </c>
      <c r="B1504" s="110" t="str">
        <f aca="false">IF($E1504="","",INDEX(资金日记账!$B$4:$B$603,298))</f>
        <v/>
      </c>
      <c r="C1504" s="67" t="str">
        <f aca="false">IF($E1504="","",IF(INDEX(资金日记账!$W$4:$W$603,298)="","记-"&amp;TEXT($B1504,"YYYYMM")&amp;"-资金",INDEX(资金日记账!$W$4:$W$603,298)))</f>
        <v/>
      </c>
      <c r="D1504" s="107" t="str">
        <f aca="false">IF($E1504="","",INDEX(资金日记账!$D$4:$D$603,298))</f>
        <v/>
      </c>
      <c r="E1504" s="67" t="str">
        <f aca="false">IF(INDEX(资金日记账!$N$4:$S$603,298,1)=0,"",INDEX(资金日记账!$N$4:$S$603,298,1))</f>
        <v/>
      </c>
      <c r="F1504" s="99" t="str">
        <f aca="false">IF($E1504="","",IFERROR(INDEX(科目表!$A$4:$A$81,MATCH($E1504,科目表!$B$4:$B$81,0)),""))</f>
        <v/>
      </c>
      <c r="G1504" s="67" t="str">
        <f aca="false">IF($E1504="","",IFERROR(INDEX(科目表!$E$4:$E$81,MATCH($E1504,科目表!$B$4:$B$81,0)),""))</f>
        <v/>
      </c>
      <c r="H1504" s="70" t="str">
        <f aca="false">IF($E1504="","",N(INDEX(资金日记账!$N$4:$S$603,298,2)))</f>
        <v/>
      </c>
      <c r="I1504" s="70" t="str">
        <f aca="false">IF($E1504="","",N(INDEX(资金日记账!$N$4:$S$603,298,3)))</f>
        <v/>
      </c>
      <c r="J1504" s="67" t="str">
        <f aca="false">IF($E1504="","",INDEX(资金日记账!$E$4:$E$603,298))</f>
        <v/>
      </c>
      <c r="K1504" s="67" t="str">
        <f aca="false">IF($E1504="","",INDEX(资金日记账!$F$4:$F$603,298))</f>
        <v/>
      </c>
      <c r="L1504" s="107" t="str">
        <f aca="false">IF($E1504="","",INDEX(资金日记账!$X$4:$X$603,298))</f>
        <v/>
      </c>
      <c r="M1504" s="107"/>
      <c r="N1504" s="67" t="str">
        <f aca="false">IF($E1504="","",INDEX(资金日记账!$Y$4:$Y$603,298))</f>
        <v/>
      </c>
      <c r="O1504" s="67" t="str">
        <f aca="false">IF($E1504="","","自动B")</f>
        <v/>
      </c>
      <c r="P1504" s="18"/>
    </row>
    <row r="1505" customFormat="false" ht="18" hidden="false" customHeight="true" outlineLevel="0" collapsed="false">
      <c r="A1505" s="107" t="str">
        <f aca="false">IF($E1505="","",ROW()-3)</f>
        <v/>
      </c>
      <c r="B1505" s="110" t="str">
        <f aca="false">IF($E1505="","",INDEX(资金日记账!$B$4:$B$603,298))</f>
        <v/>
      </c>
      <c r="C1505" s="67" t="str">
        <f aca="false">IF($E1505="","",IF(INDEX(资金日记账!$W$4:$W$603,298)="","记-"&amp;TEXT($B1505,"YYYYMM")&amp;"-资金",INDEX(资金日记账!$W$4:$W$603,298)))</f>
        <v/>
      </c>
      <c r="D1505" s="107" t="str">
        <f aca="false">IF($E1505="","",INDEX(资金日记账!$D$4:$D$603,298))</f>
        <v/>
      </c>
      <c r="E1505" s="67" t="str">
        <f aca="false">IF(INDEX(资金日记账!$N$4:$S$603,298,4)=0,"",INDEX(资金日记账!$N$4:$S$603,298,4))</f>
        <v/>
      </c>
      <c r="F1505" s="99" t="str">
        <f aca="false">IF($E1505="","",IFERROR(INDEX(科目表!$A$4:$A$81,MATCH($E1505,科目表!$B$4:$B$81,0)),""))</f>
        <v/>
      </c>
      <c r="G1505" s="67" t="str">
        <f aca="false">IF($E1505="","",IFERROR(INDEX(科目表!$E$4:$E$81,MATCH($E1505,科目表!$B$4:$B$81,0)),""))</f>
        <v/>
      </c>
      <c r="H1505" s="70" t="str">
        <f aca="false">IF($E1505="","",N(INDEX(资金日记账!$N$4:$S$603,298,5)))</f>
        <v/>
      </c>
      <c r="I1505" s="70" t="str">
        <f aca="false">IF($E1505="","",N(INDEX(资金日记账!$N$4:$S$603,298,6)))</f>
        <v/>
      </c>
      <c r="J1505" s="67" t="str">
        <f aca="false">IF($E1505="","",INDEX(资金日记账!$E$4:$E$603,298))</f>
        <v/>
      </c>
      <c r="K1505" s="67" t="str">
        <f aca="false">IF($E1505="","",INDEX(资金日记账!$F$4:$F$603,298))</f>
        <v/>
      </c>
      <c r="L1505" s="107" t="str">
        <f aca="false">IF($E1505="","",INDEX(资金日记账!$X$4:$X$603,298))</f>
        <v/>
      </c>
      <c r="M1505" s="107"/>
      <c r="N1505" s="67" t="str">
        <f aca="false">IF($E1505="","",INDEX(资金日记账!$Y$4:$Y$603,298))</f>
        <v/>
      </c>
      <c r="O1505" s="67" t="str">
        <f aca="false">IF($E1505="","","自动B")</f>
        <v/>
      </c>
      <c r="P1505" s="18"/>
    </row>
    <row r="1506" customFormat="false" ht="18" hidden="false" customHeight="true" outlineLevel="0" collapsed="false">
      <c r="A1506" s="107" t="str">
        <f aca="false">IF($E1506="","",ROW()-3)</f>
        <v/>
      </c>
      <c r="B1506" s="110" t="str">
        <f aca="false">IF($E1506="","",INDEX(资金日记账!$B$4:$B$603,299))</f>
        <v/>
      </c>
      <c r="C1506" s="67" t="str">
        <f aca="false">IF($E1506="","",IF(INDEX(资金日记账!$W$4:$W$603,299)="","记-"&amp;TEXT($B1506,"YYYYMM")&amp;"-资金",INDEX(资金日记账!$W$4:$W$603,299)))</f>
        <v/>
      </c>
      <c r="D1506" s="107" t="str">
        <f aca="false">IF($E1506="","",INDEX(资金日记账!$D$4:$D$603,299))</f>
        <v/>
      </c>
      <c r="E1506" s="67" t="str">
        <f aca="false">IF(INDEX(资金日记账!$N$4:$S$603,299,1)=0,"",INDEX(资金日记账!$N$4:$S$603,299,1))</f>
        <v/>
      </c>
      <c r="F1506" s="99" t="str">
        <f aca="false">IF($E1506="","",IFERROR(INDEX(科目表!$A$4:$A$81,MATCH($E1506,科目表!$B$4:$B$81,0)),""))</f>
        <v/>
      </c>
      <c r="G1506" s="67" t="str">
        <f aca="false">IF($E1506="","",IFERROR(INDEX(科目表!$E$4:$E$81,MATCH($E1506,科目表!$B$4:$B$81,0)),""))</f>
        <v/>
      </c>
      <c r="H1506" s="70" t="str">
        <f aca="false">IF($E1506="","",N(INDEX(资金日记账!$N$4:$S$603,299,2)))</f>
        <v/>
      </c>
      <c r="I1506" s="70" t="str">
        <f aca="false">IF($E1506="","",N(INDEX(资金日记账!$N$4:$S$603,299,3)))</f>
        <v/>
      </c>
      <c r="J1506" s="67" t="str">
        <f aca="false">IF($E1506="","",INDEX(资金日记账!$E$4:$E$603,299))</f>
        <v/>
      </c>
      <c r="K1506" s="67" t="str">
        <f aca="false">IF($E1506="","",INDEX(资金日记账!$F$4:$F$603,299))</f>
        <v/>
      </c>
      <c r="L1506" s="107" t="str">
        <f aca="false">IF($E1506="","",INDEX(资金日记账!$X$4:$X$603,299))</f>
        <v/>
      </c>
      <c r="M1506" s="107"/>
      <c r="N1506" s="67" t="str">
        <f aca="false">IF($E1506="","",INDEX(资金日记账!$Y$4:$Y$603,299))</f>
        <v/>
      </c>
      <c r="O1506" s="67" t="str">
        <f aca="false">IF($E1506="","","自动B")</f>
        <v/>
      </c>
      <c r="P1506" s="18"/>
    </row>
    <row r="1507" customFormat="false" ht="18" hidden="false" customHeight="true" outlineLevel="0" collapsed="false">
      <c r="A1507" s="107" t="str">
        <f aca="false">IF($E1507="","",ROW()-3)</f>
        <v/>
      </c>
      <c r="B1507" s="110" t="str">
        <f aca="false">IF($E1507="","",INDEX(资金日记账!$B$4:$B$603,299))</f>
        <v/>
      </c>
      <c r="C1507" s="67" t="str">
        <f aca="false">IF($E1507="","",IF(INDEX(资金日记账!$W$4:$W$603,299)="","记-"&amp;TEXT($B1507,"YYYYMM")&amp;"-资金",INDEX(资金日记账!$W$4:$W$603,299)))</f>
        <v/>
      </c>
      <c r="D1507" s="107" t="str">
        <f aca="false">IF($E1507="","",INDEX(资金日记账!$D$4:$D$603,299))</f>
        <v/>
      </c>
      <c r="E1507" s="67" t="str">
        <f aca="false">IF(INDEX(资金日记账!$N$4:$S$603,299,4)=0,"",INDEX(资金日记账!$N$4:$S$603,299,4))</f>
        <v/>
      </c>
      <c r="F1507" s="99" t="str">
        <f aca="false">IF($E1507="","",IFERROR(INDEX(科目表!$A$4:$A$81,MATCH($E1507,科目表!$B$4:$B$81,0)),""))</f>
        <v/>
      </c>
      <c r="G1507" s="67" t="str">
        <f aca="false">IF($E1507="","",IFERROR(INDEX(科目表!$E$4:$E$81,MATCH($E1507,科目表!$B$4:$B$81,0)),""))</f>
        <v/>
      </c>
      <c r="H1507" s="70" t="str">
        <f aca="false">IF($E1507="","",N(INDEX(资金日记账!$N$4:$S$603,299,5)))</f>
        <v/>
      </c>
      <c r="I1507" s="70" t="str">
        <f aca="false">IF($E1507="","",N(INDEX(资金日记账!$N$4:$S$603,299,6)))</f>
        <v/>
      </c>
      <c r="J1507" s="67" t="str">
        <f aca="false">IF($E1507="","",INDEX(资金日记账!$E$4:$E$603,299))</f>
        <v/>
      </c>
      <c r="K1507" s="67" t="str">
        <f aca="false">IF($E1507="","",INDEX(资金日记账!$F$4:$F$603,299))</f>
        <v/>
      </c>
      <c r="L1507" s="107" t="str">
        <f aca="false">IF($E1507="","",INDEX(资金日记账!$X$4:$X$603,299))</f>
        <v/>
      </c>
      <c r="M1507" s="107"/>
      <c r="N1507" s="67" t="str">
        <f aca="false">IF($E1507="","",INDEX(资金日记账!$Y$4:$Y$603,299))</f>
        <v/>
      </c>
      <c r="O1507" s="67" t="str">
        <f aca="false">IF($E1507="","","自动B")</f>
        <v/>
      </c>
      <c r="P1507" s="18"/>
    </row>
    <row r="1508" customFormat="false" ht="18" hidden="false" customHeight="true" outlineLevel="0" collapsed="false">
      <c r="A1508" s="107" t="str">
        <f aca="false">IF($E1508="","",ROW()-3)</f>
        <v/>
      </c>
      <c r="B1508" s="110" t="str">
        <f aca="false">IF($E1508="","",INDEX(资金日记账!$B$4:$B$603,300))</f>
        <v/>
      </c>
      <c r="C1508" s="67" t="str">
        <f aca="false">IF($E1508="","",IF(INDEX(资金日记账!$W$4:$W$603,300)="","记-"&amp;TEXT($B1508,"YYYYMM")&amp;"-资金",INDEX(资金日记账!$W$4:$W$603,300)))</f>
        <v/>
      </c>
      <c r="D1508" s="107" t="str">
        <f aca="false">IF($E1508="","",INDEX(资金日记账!$D$4:$D$603,300))</f>
        <v/>
      </c>
      <c r="E1508" s="67" t="str">
        <f aca="false">IF(INDEX(资金日记账!$N$4:$S$603,300,1)=0,"",INDEX(资金日记账!$N$4:$S$603,300,1))</f>
        <v/>
      </c>
      <c r="F1508" s="99" t="str">
        <f aca="false">IF($E1508="","",IFERROR(INDEX(科目表!$A$4:$A$81,MATCH($E1508,科目表!$B$4:$B$81,0)),""))</f>
        <v/>
      </c>
      <c r="G1508" s="67" t="str">
        <f aca="false">IF($E1508="","",IFERROR(INDEX(科目表!$E$4:$E$81,MATCH($E1508,科目表!$B$4:$B$81,0)),""))</f>
        <v/>
      </c>
      <c r="H1508" s="70" t="str">
        <f aca="false">IF($E1508="","",N(INDEX(资金日记账!$N$4:$S$603,300,2)))</f>
        <v/>
      </c>
      <c r="I1508" s="70" t="str">
        <f aca="false">IF($E1508="","",N(INDEX(资金日记账!$N$4:$S$603,300,3)))</f>
        <v/>
      </c>
      <c r="J1508" s="67" t="str">
        <f aca="false">IF($E1508="","",INDEX(资金日记账!$E$4:$E$603,300))</f>
        <v/>
      </c>
      <c r="K1508" s="67" t="str">
        <f aca="false">IF($E1508="","",INDEX(资金日记账!$F$4:$F$603,300))</f>
        <v/>
      </c>
      <c r="L1508" s="107" t="str">
        <f aca="false">IF($E1508="","",INDEX(资金日记账!$X$4:$X$603,300))</f>
        <v/>
      </c>
      <c r="M1508" s="107"/>
      <c r="N1508" s="67" t="str">
        <f aca="false">IF($E1508="","",INDEX(资金日记账!$Y$4:$Y$603,300))</f>
        <v/>
      </c>
      <c r="O1508" s="67" t="str">
        <f aca="false">IF($E1508="","","自动B")</f>
        <v/>
      </c>
      <c r="P1508" s="18"/>
    </row>
    <row r="1509" customFormat="false" ht="18" hidden="false" customHeight="true" outlineLevel="0" collapsed="false">
      <c r="A1509" s="107" t="str">
        <f aca="false">IF($E1509="","",ROW()-3)</f>
        <v/>
      </c>
      <c r="B1509" s="110" t="str">
        <f aca="false">IF($E1509="","",INDEX(资金日记账!$B$4:$B$603,300))</f>
        <v/>
      </c>
      <c r="C1509" s="67" t="str">
        <f aca="false">IF($E1509="","",IF(INDEX(资金日记账!$W$4:$W$603,300)="","记-"&amp;TEXT($B1509,"YYYYMM")&amp;"-资金",INDEX(资金日记账!$W$4:$W$603,300)))</f>
        <v/>
      </c>
      <c r="D1509" s="107" t="str">
        <f aca="false">IF($E1509="","",INDEX(资金日记账!$D$4:$D$603,300))</f>
        <v/>
      </c>
      <c r="E1509" s="67" t="str">
        <f aca="false">IF(INDEX(资金日记账!$N$4:$S$603,300,4)=0,"",INDEX(资金日记账!$N$4:$S$603,300,4))</f>
        <v/>
      </c>
      <c r="F1509" s="99" t="str">
        <f aca="false">IF($E1509="","",IFERROR(INDEX(科目表!$A$4:$A$81,MATCH($E1509,科目表!$B$4:$B$81,0)),""))</f>
        <v/>
      </c>
      <c r="G1509" s="67" t="str">
        <f aca="false">IF($E1509="","",IFERROR(INDEX(科目表!$E$4:$E$81,MATCH($E1509,科目表!$B$4:$B$81,0)),""))</f>
        <v/>
      </c>
      <c r="H1509" s="70" t="str">
        <f aca="false">IF($E1509="","",N(INDEX(资金日记账!$N$4:$S$603,300,5)))</f>
        <v/>
      </c>
      <c r="I1509" s="70" t="str">
        <f aca="false">IF($E1509="","",N(INDEX(资金日记账!$N$4:$S$603,300,6)))</f>
        <v/>
      </c>
      <c r="J1509" s="67" t="str">
        <f aca="false">IF($E1509="","",INDEX(资金日记账!$E$4:$E$603,300))</f>
        <v/>
      </c>
      <c r="K1509" s="67" t="str">
        <f aca="false">IF($E1509="","",INDEX(资金日记账!$F$4:$F$603,300))</f>
        <v/>
      </c>
      <c r="L1509" s="107" t="str">
        <f aca="false">IF($E1509="","",INDEX(资金日记账!$X$4:$X$603,300))</f>
        <v/>
      </c>
      <c r="M1509" s="107"/>
      <c r="N1509" s="67" t="str">
        <f aca="false">IF($E1509="","",INDEX(资金日记账!$Y$4:$Y$603,300))</f>
        <v/>
      </c>
      <c r="O1509" s="67" t="str">
        <f aca="false">IF($E1509="","","自动B")</f>
        <v/>
      </c>
      <c r="P1509" s="18"/>
    </row>
    <row r="1510" customFormat="false" ht="18" hidden="false" customHeight="true" outlineLevel="0" collapsed="false">
      <c r="A1510" s="107" t="str">
        <f aca="false">IF($E1510="","",ROW()-3)</f>
        <v/>
      </c>
      <c r="B1510" s="110" t="str">
        <f aca="false">IF($E1510="","",INDEX(资金日记账!$B$4:$B$603,301))</f>
        <v/>
      </c>
      <c r="C1510" s="67" t="str">
        <f aca="false">IF($E1510="","",IF(INDEX(资金日记账!$W$4:$W$603,301)="","记-"&amp;TEXT($B1510,"YYYYMM")&amp;"-资金",INDEX(资金日记账!$W$4:$W$603,301)))</f>
        <v/>
      </c>
      <c r="D1510" s="107" t="str">
        <f aca="false">IF($E1510="","",INDEX(资金日记账!$D$4:$D$603,301))</f>
        <v/>
      </c>
      <c r="E1510" s="67" t="str">
        <f aca="false">IF(INDEX(资金日记账!$N$4:$S$603,301,1)=0,"",INDEX(资金日记账!$N$4:$S$603,301,1))</f>
        <v/>
      </c>
      <c r="F1510" s="99" t="str">
        <f aca="false">IF($E1510="","",IFERROR(INDEX(科目表!$A$4:$A$81,MATCH($E1510,科目表!$B$4:$B$81,0)),""))</f>
        <v/>
      </c>
      <c r="G1510" s="67" t="str">
        <f aca="false">IF($E1510="","",IFERROR(INDEX(科目表!$E$4:$E$81,MATCH($E1510,科目表!$B$4:$B$81,0)),""))</f>
        <v/>
      </c>
      <c r="H1510" s="70" t="str">
        <f aca="false">IF($E1510="","",N(INDEX(资金日记账!$N$4:$S$603,301,2)))</f>
        <v/>
      </c>
      <c r="I1510" s="70" t="str">
        <f aca="false">IF($E1510="","",N(INDEX(资金日记账!$N$4:$S$603,301,3)))</f>
        <v/>
      </c>
      <c r="J1510" s="67" t="str">
        <f aca="false">IF($E1510="","",INDEX(资金日记账!$E$4:$E$603,301))</f>
        <v/>
      </c>
      <c r="K1510" s="67" t="str">
        <f aca="false">IF($E1510="","",INDEX(资金日记账!$F$4:$F$603,301))</f>
        <v/>
      </c>
      <c r="L1510" s="107" t="str">
        <f aca="false">IF($E1510="","",INDEX(资金日记账!$X$4:$X$603,301))</f>
        <v/>
      </c>
      <c r="M1510" s="107"/>
      <c r="N1510" s="67" t="str">
        <f aca="false">IF($E1510="","",INDEX(资金日记账!$Y$4:$Y$603,301))</f>
        <v/>
      </c>
      <c r="O1510" s="67" t="str">
        <f aca="false">IF($E1510="","","自动B")</f>
        <v/>
      </c>
      <c r="P1510" s="18"/>
    </row>
    <row r="1511" customFormat="false" ht="18" hidden="false" customHeight="true" outlineLevel="0" collapsed="false">
      <c r="A1511" s="107" t="str">
        <f aca="false">IF($E1511="","",ROW()-3)</f>
        <v/>
      </c>
      <c r="B1511" s="110" t="str">
        <f aca="false">IF($E1511="","",INDEX(资金日记账!$B$4:$B$603,301))</f>
        <v/>
      </c>
      <c r="C1511" s="67" t="str">
        <f aca="false">IF($E1511="","",IF(INDEX(资金日记账!$W$4:$W$603,301)="","记-"&amp;TEXT($B1511,"YYYYMM")&amp;"-资金",INDEX(资金日记账!$W$4:$W$603,301)))</f>
        <v/>
      </c>
      <c r="D1511" s="107" t="str">
        <f aca="false">IF($E1511="","",INDEX(资金日记账!$D$4:$D$603,301))</f>
        <v/>
      </c>
      <c r="E1511" s="67" t="str">
        <f aca="false">IF(INDEX(资金日记账!$N$4:$S$603,301,4)=0,"",INDEX(资金日记账!$N$4:$S$603,301,4))</f>
        <v/>
      </c>
      <c r="F1511" s="99" t="str">
        <f aca="false">IF($E1511="","",IFERROR(INDEX(科目表!$A$4:$A$81,MATCH($E1511,科目表!$B$4:$B$81,0)),""))</f>
        <v/>
      </c>
      <c r="G1511" s="67" t="str">
        <f aca="false">IF($E1511="","",IFERROR(INDEX(科目表!$E$4:$E$81,MATCH($E1511,科目表!$B$4:$B$81,0)),""))</f>
        <v/>
      </c>
      <c r="H1511" s="70" t="str">
        <f aca="false">IF($E1511="","",N(INDEX(资金日记账!$N$4:$S$603,301,5)))</f>
        <v/>
      </c>
      <c r="I1511" s="70" t="str">
        <f aca="false">IF($E1511="","",N(INDEX(资金日记账!$N$4:$S$603,301,6)))</f>
        <v/>
      </c>
      <c r="J1511" s="67" t="str">
        <f aca="false">IF($E1511="","",INDEX(资金日记账!$E$4:$E$603,301))</f>
        <v/>
      </c>
      <c r="K1511" s="67" t="str">
        <f aca="false">IF($E1511="","",INDEX(资金日记账!$F$4:$F$603,301))</f>
        <v/>
      </c>
      <c r="L1511" s="107" t="str">
        <f aca="false">IF($E1511="","",INDEX(资金日记账!$X$4:$X$603,301))</f>
        <v/>
      </c>
      <c r="M1511" s="107"/>
      <c r="N1511" s="67" t="str">
        <f aca="false">IF($E1511="","",INDEX(资金日记账!$Y$4:$Y$603,301))</f>
        <v/>
      </c>
      <c r="O1511" s="67" t="str">
        <f aca="false">IF($E1511="","","自动B")</f>
        <v/>
      </c>
      <c r="P1511" s="18"/>
    </row>
    <row r="1512" customFormat="false" ht="18" hidden="false" customHeight="true" outlineLevel="0" collapsed="false">
      <c r="A1512" s="107" t="str">
        <f aca="false">IF($E1512="","",ROW()-3)</f>
        <v/>
      </c>
      <c r="B1512" s="110" t="str">
        <f aca="false">IF($E1512="","",INDEX(资金日记账!$B$4:$B$603,302))</f>
        <v/>
      </c>
      <c r="C1512" s="67" t="str">
        <f aca="false">IF($E1512="","",IF(INDEX(资金日记账!$W$4:$W$603,302)="","记-"&amp;TEXT($B1512,"YYYYMM")&amp;"-资金",INDEX(资金日记账!$W$4:$W$603,302)))</f>
        <v/>
      </c>
      <c r="D1512" s="107" t="str">
        <f aca="false">IF($E1512="","",INDEX(资金日记账!$D$4:$D$603,302))</f>
        <v/>
      </c>
      <c r="E1512" s="67" t="str">
        <f aca="false">IF(INDEX(资金日记账!$N$4:$S$603,302,1)=0,"",INDEX(资金日记账!$N$4:$S$603,302,1))</f>
        <v/>
      </c>
      <c r="F1512" s="99" t="str">
        <f aca="false">IF($E1512="","",IFERROR(INDEX(科目表!$A$4:$A$81,MATCH($E1512,科目表!$B$4:$B$81,0)),""))</f>
        <v/>
      </c>
      <c r="G1512" s="67" t="str">
        <f aca="false">IF($E1512="","",IFERROR(INDEX(科目表!$E$4:$E$81,MATCH($E1512,科目表!$B$4:$B$81,0)),""))</f>
        <v/>
      </c>
      <c r="H1512" s="70" t="str">
        <f aca="false">IF($E1512="","",N(INDEX(资金日记账!$N$4:$S$603,302,2)))</f>
        <v/>
      </c>
      <c r="I1512" s="70" t="str">
        <f aca="false">IF($E1512="","",N(INDEX(资金日记账!$N$4:$S$603,302,3)))</f>
        <v/>
      </c>
      <c r="J1512" s="67" t="str">
        <f aca="false">IF($E1512="","",INDEX(资金日记账!$E$4:$E$603,302))</f>
        <v/>
      </c>
      <c r="K1512" s="67" t="str">
        <f aca="false">IF($E1512="","",INDEX(资金日记账!$F$4:$F$603,302))</f>
        <v/>
      </c>
      <c r="L1512" s="107" t="str">
        <f aca="false">IF($E1512="","",INDEX(资金日记账!$X$4:$X$603,302))</f>
        <v/>
      </c>
      <c r="M1512" s="107"/>
      <c r="N1512" s="67" t="str">
        <f aca="false">IF($E1512="","",INDEX(资金日记账!$Y$4:$Y$603,302))</f>
        <v/>
      </c>
      <c r="O1512" s="67" t="str">
        <f aca="false">IF($E1512="","","自动B")</f>
        <v/>
      </c>
      <c r="P1512" s="18"/>
    </row>
    <row r="1513" customFormat="false" ht="18" hidden="false" customHeight="true" outlineLevel="0" collapsed="false">
      <c r="A1513" s="107" t="str">
        <f aca="false">IF($E1513="","",ROW()-3)</f>
        <v/>
      </c>
      <c r="B1513" s="110" t="str">
        <f aca="false">IF($E1513="","",INDEX(资金日记账!$B$4:$B$603,302))</f>
        <v/>
      </c>
      <c r="C1513" s="67" t="str">
        <f aca="false">IF($E1513="","",IF(INDEX(资金日记账!$W$4:$W$603,302)="","记-"&amp;TEXT($B1513,"YYYYMM")&amp;"-资金",INDEX(资金日记账!$W$4:$W$603,302)))</f>
        <v/>
      </c>
      <c r="D1513" s="107" t="str">
        <f aca="false">IF($E1513="","",INDEX(资金日记账!$D$4:$D$603,302))</f>
        <v/>
      </c>
      <c r="E1513" s="67" t="str">
        <f aca="false">IF(INDEX(资金日记账!$N$4:$S$603,302,4)=0,"",INDEX(资金日记账!$N$4:$S$603,302,4))</f>
        <v/>
      </c>
      <c r="F1513" s="99" t="str">
        <f aca="false">IF($E1513="","",IFERROR(INDEX(科目表!$A$4:$A$81,MATCH($E1513,科目表!$B$4:$B$81,0)),""))</f>
        <v/>
      </c>
      <c r="G1513" s="67" t="str">
        <f aca="false">IF($E1513="","",IFERROR(INDEX(科目表!$E$4:$E$81,MATCH($E1513,科目表!$B$4:$B$81,0)),""))</f>
        <v/>
      </c>
      <c r="H1513" s="70" t="str">
        <f aca="false">IF($E1513="","",N(INDEX(资金日记账!$N$4:$S$603,302,5)))</f>
        <v/>
      </c>
      <c r="I1513" s="70" t="str">
        <f aca="false">IF($E1513="","",N(INDEX(资金日记账!$N$4:$S$603,302,6)))</f>
        <v/>
      </c>
      <c r="J1513" s="67" t="str">
        <f aca="false">IF($E1513="","",INDEX(资金日记账!$E$4:$E$603,302))</f>
        <v/>
      </c>
      <c r="K1513" s="67" t="str">
        <f aca="false">IF($E1513="","",INDEX(资金日记账!$F$4:$F$603,302))</f>
        <v/>
      </c>
      <c r="L1513" s="107" t="str">
        <f aca="false">IF($E1513="","",INDEX(资金日记账!$X$4:$X$603,302))</f>
        <v/>
      </c>
      <c r="M1513" s="107"/>
      <c r="N1513" s="67" t="str">
        <f aca="false">IF($E1513="","",INDEX(资金日记账!$Y$4:$Y$603,302))</f>
        <v/>
      </c>
      <c r="O1513" s="67" t="str">
        <f aca="false">IF($E1513="","","自动B")</f>
        <v/>
      </c>
      <c r="P1513" s="18"/>
    </row>
    <row r="1514" customFormat="false" ht="18" hidden="false" customHeight="true" outlineLevel="0" collapsed="false">
      <c r="A1514" s="107" t="str">
        <f aca="false">IF($E1514="","",ROW()-3)</f>
        <v/>
      </c>
      <c r="B1514" s="110" t="str">
        <f aca="false">IF($E1514="","",INDEX(资金日记账!$B$4:$B$603,303))</f>
        <v/>
      </c>
      <c r="C1514" s="67" t="str">
        <f aca="false">IF($E1514="","",IF(INDEX(资金日记账!$W$4:$W$603,303)="","记-"&amp;TEXT($B1514,"YYYYMM")&amp;"-资金",INDEX(资金日记账!$W$4:$W$603,303)))</f>
        <v/>
      </c>
      <c r="D1514" s="107" t="str">
        <f aca="false">IF($E1514="","",INDEX(资金日记账!$D$4:$D$603,303))</f>
        <v/>
      </c>
      <c r="E1514" s="67" t="str">
        <f aca="false">IF(INDEX(资金日记账!$N$4:$S$603,303,1)=0,"",INDEX(资金日记账!$N$4:$S$603,303,1))</f>
        <v/>
      </c>
      <c r="F1514" s="99" t="str">
        <f aca="false">IF($E1514="","",IFERROR(INDEX(科目表!$A$4:$A$81,MATCH($E1514,科目表!$B$4:$B$81,0)),""))</f>
        <v/>
      </c>
      <c r="G1514" s="67" t="str">
        <f aca="false">IF($E1514="","",IFERROR(INDEX(科目表!$E$4:$E$81,MATCH($E1514,科目表!$B$4:$B$81,0)),""))</f>
        <v/>
      </c>
      <c r="H1514" s="70" t="str">
        <f aca="false">IF($E1514="","",N(INDEX(资金日记账!$N$4:$S$603,303,2)))</f>
        <v/>
      </c>
      <c r="I1514" s="70" t="str">
        <f aca="false">IF($E1514="","",N(INDEX(资金日记账!$N$4:$S$603,303,3)))</f>
        <v/>
      </c>
      <c r="J1514" s="67" t="str">
        <f aca="false">IF($E1514="","",INDEX(资金日记账!$E$4:$E$603,303))</f>
        <v/>
      </c>
      <c r="K1514" s="67" t="str">
        <f aca="false">IF($E1514="","",INDEX(资金日记账!$F$4:$F$603,303))</f>
        <v/>
      </c>
      <c r="L1514" s="107" t="str">
        <f aca="false">IF($E1514="","",INDEX(资金日记账!$X$4:$X$603,303))</f>
        <v/>
      </c>
      <c r="M1514" s="107"/>
      <c r="N1514" s="67" t="str">
        <f aca="false">IF($E1514="","",INDEX(资金日记账!$Y$4:$Y$603,303))</f>
        <v/>
      </c>
      <c r="O1514" s="67" t="str">
        <f aca="false">IF($E1514="","","自动B")</f>
        <v/>
      </c>
      <c r="P1514" s="18"/>
    </row>
    <row r="1515" customFormat="false" ht="18" hidden="false" customHeight="true" outlineLevel="0" collapsed="false">
      <c r="A1515" s="107" t="str">
        <f aca="false">IF($E1515="","",ROW()-3)</f>
        <v/>
      </c>
      <c r="B1515" s="110" t="str">
        <f aca="false">IF($E1515="","",INDEX(资金日记账!$B$4:$B$603,303))</f>
        <v/>
      </c>
      <c r="C1515" s="67" t="str">
        <f aca="false">IF($E1515="","",IF(INDEX(资金日记账!$W$4:$W$603,303)="","记-"&amp;TEXT($B1515,"YYYYMM")&amp;"-资金",INDEX(资金日记账!$W$4:$W$603,303)))</f>
        <v/>
      </c>
      <c r="D1515" s="107" t="str">
        <f aca="false">IF($E1515="","",INDEX(资金日记账!$D$4:$D$603,303))</f>
        <v/>
      </c>
      <c r="E1515" s="67" t="str">
        <f aca="false">IF(INDEX(资金日记账!$N$4:$S$603,303,4)=0,"",INDEX(资金日记账!$N$4:$S$603,303,4))</f>
        <v/>
      </c>
      <c r="F1515" s="99" t="str">
        <f aca="false">IF($E1515="","",IFERROR(INDEX(科目表!$A$4:$A$81,MATCH($E1515,科目表!$B$4:$B$81,0)),""))</f>
        <v/>
      </c>
      <c r="G1515" s="67" t="str">
        <f aca="false">IF($E1515="","",IFERROR(INDEX(科目表!$E$4:$E$81,MATCH($E1515,科目表!$B$4:$B$81,0)),""))</f>
        <v/>
      </c>
      <c r="H1515" s="70" t="str">
        <f aca="false">IF($E1515="","",N(INDEX(资金日记账!$N$4:$S$603,303,5)))</f>
        <v/>
      </c>
      <c r="I1515" s="70" t="str">
        <f aca="false">IF($E1515="","",N(INDEX(资金日记账!$N$4:$S$603,303,6)))</f>
        <v/>
      </c>
      <c r="J1515" s="67" t="str">
        <f aca="false">IF($E1515="","",INDEX(资金日记账!$E$4:$E$603,303))</f>
        <v/>
      </c>
      <c r="K1515" s="67" t="str">
        <f aca="false">IF($E1515="","",INDEX(资金日记账!$F$4:$F$603,303))</f>
        <v/>
      </c>
      <c r="L1515" s="107" t="str">
        <f aca="false">IF($E1515="","",INDEX(资金日记账!$X$4:$X$603,303))</f>
        <v/>
      </c>
      <c r="M1515" s="107"/>
      <c r="N1515" s="67" t="str">
        <f aca="false">IF($E1515="","",INDEX(资金日记账!$Y$4:$Y$603,303))</f>
        <v/>
      </c>
      <c r="O1515" s="67" t="str">
        <f aca="false">IF($E1515="","","自动B")</f>
        <v/>
      </c>
      <c r="P1515" s="18"/>
    </row>
    <row r="1516" customFormat="false" ht="18" hidden="false" customHeight="true" outlineLevel="0" collapsed="false">
      <c r="A1516" s="107" t="str">
        <f aca="false">IF($E1516="","",ROW()-3)</f>
        <v/>
      </c>
      <c r="B1516" s="110" t="str">
        <f aca="false">IF($E1516="","",INDEX(资金日记账!$B$4:$B$603,304))</f>
        <v/>
      </c>
      <c r="C1516" s="67" t="str">
        <f aca="false">IF($E1516="","",IF(INDEX(资金日记账!$W$4:$W$603,304)="","记-"&amp;TEXT($B1516,"YYYYMM")&amp;"-资金",INDEX(资金日记账!$W$4:$W$603,304)))</f>
        <v/>
      </c>
      <c r="D1516" s="107" t="str">
        <f aca="false">IF($E1516="","",INDEX(资金日记账!$D$4:$D$603,304))</f>
        <v/>
      </c>
      <c r="E1516" s="67" t="str">
        <f aca="false">IF(INDEX(资金日记账!$N$4:$S$603,304,1)=0,"",INDEX(资金日记账!$N$4:$S$603,304,1))</f>
        <v/>
      </c>
      <c r="F1516" s="99" t="str">
        <f aca="false">IF($E1516="","",IFERROR(INDEX(科目表!$A$4:$A$81,MATCH($E1516,科目表!$B$4:$B$81,0)),""))</f>
        <v/>
      </c>
      <c r="G1516" s="67" t="str">
        <f aca="false">IF($E1516="","",IFERROR(INDEX(科目表!$E$4:$E$81,MATCH($E1516,科目表!$B$4:$B$81,0)),""))</f>
        <v/>
      </c>
      <c r="H1516" s="70" t="str">
        <f aca="false">IF($E1516="","",N(INDEX(资金日记账!$N$4:$S$603,304,2)))</f>
        <v/>
      </c>
      <c r="I1516" s="70" t="str">
        <f aca="false">IF($E1516="","",N(INDEX(资金日记账!$N$4:$S$603,304,3)))</f>
        <v/>
      </c>
      <c r="J1516" s="67" t="str">
        <f aca="false">IF($E1516="","",INDEX(资金日记账!$E$4:$E$603,304))</f>
        <v/>
      </c>
      <c r="K1516" s="67" t="str">
        <f aca="false">IF($E1516="","",INDEX(资金日记账!$F$4:$F$603,304))</f>
        <v/>
      </c>
      <c r="L1516" s="107" t="str">
        <f aca="false">IF($E1516="","",INDEX(资金日记账!$X$4:$X$603,304))</f>
        <v/>
      </c>
      <c r="M1516" s="107"/>
      <c r="N1516" s="67" t="str">
        <f aca="false">IF($E1516="","",INDEX(资金日记账!$Y$4:$Y$603,304))</f>
        <v/>
      </c>
      <c r="O1516" s="67" t="str">
        <f aca="false">IF($E1516="","","自动B")</f>
        <v/>
      </c>
      <c r="P1516" s="18"/>
    </row>
    <row r="1517" customFormat="false" ht="18" hidden="false" customHeight="true" outlineLevel="0" collapsed="false">
      <c r="A1517" s="107" t="str">
        <f aca="false">IF($E1517="","",ROW()-3)</f>
        <v/>
      </c>
      <c r="B1517" s="110" t="str">
        <f aca="false">IF($E1517="","",INDEX(资金日记账!$B$4:$B$603,304))</f>
        <v/>
      </c>
      <c r="C1517" s="67" t="str">
        <f aca="false">IF($E1517="","",IF(INDEX(资金日记账!$W$4:$W$603,304)="","记-"&amp;TEXT($B1517,"YYYYMM")&amp;"-资金",INDEX(资金日记账!$W$4:$W$603,304)))</f>
        <v/>
      </c>
      <c r="D1517" s="107" t="str">
        <f aca="false">IF($E1517="","",INDEX(资金日记账!$D$4:$D$603,304))</f>
        <v/>
      </c>
      <c r="E1517" s="67" t="str">
        <f aca="false">IF(INDEX(资金日记账!$N$4:$S$603,304,4)=0,"",INDEX(资金日记账!$N$4:$S$603,304,4))</f>
        <v/>
      </c>
      <c r="F1517" s="99" t="str">
        <f aca="false">IF($E1517="","",IFERROR(INDEX(科目表!$A$4:$A$81,MATCH($E1517,科目表!$B$4:$B$81,0)),""))</f>
        <v/>
      </c>
      <c r="G1517" s="67" t="str">
        <f aca="false">IF($E1517="","",IFERROR(INDEX(科目表!$E$4:$E$81,MATCH($E1517,科目表!$B$4:$B$81,0)),""))</f>
        <v/>
      </c>
      <c r="H1517" s="70" t="str">
        <f aca="false">IF($E1517="","",N(INDEX(资金日记账!$N$4:$S$603,304,5)))</f>
        <v/>
      </c>
      <c r="I1517" s="70" t="str">
        <f aca="false">IF($E1517="","",N(INDEX(资金日记账!$N$4:$S$603,304,6)))</f>
        <v/>
      </c>
      <c r="J1517" s="67" t="str">
        <f aca="false">IF($E1517="","",INDEX(资金日记账!$E$4:$E$603,304))</f>
        <v/>
      </c>
      <c r="K1517" s="67" t="str">
        <f aca="false">IF($E1517="","",INDEX(资金日记账!$F$4:$F$603,304))</f>
        <v/>
      </c>
      <c r="L1517" s="107" t="str">
        <f aca="false">IF($E1517="","",INDEX(资金日记账!$X$4:$X$603,304))</f>
        <v/>
      </c>
      <c r="M1517" s="107"/>
      <c r="N1517" s="67" t="str">
        <f aca="false">IF($E1517="","",INDEX(资金日记账!$Y$4:$Y$603,304))</f>
        <v/>
      </c>
      <c r="O1517" s="67" t="str">
        <f aca="false">IF($E1517="","","自动B")</f>
        <v/>
      </c>
      <c r="P1517" s="18"/>
    </row>
    <row r="1518" customFormat="false" ht="18" hidden="false" customHeight="true" outlineLevel="0" collapsed="false">
      <c r="A1518" s="107" t="str">
        <f aca="false">IF($E1518="","",ROW()-3)</f>
        <v/>
      </c>
      <c r="B1518" s="110" t="str">
        <f aca="false">IF($E1518="","",INDEX(资金日记账!$B$4:$B$603,305))</f>
        <v/>
      </c>
      <c r="C1518" s="67" t="str">
        <f aca="false">IF($E1518="","",IF(INDEX(资金日记账!$W$4:$W$603,305)="","记-"&amp;TEXT($B1518,"YYYYMM")&amp;"-资金",INDEX(资金日记账!$W$4:$W$603,305)))</f>
        <v/>
      </c>
      <c r="D1518" s="107" t="str">
        <f aca="false">IF($E1518="","",INDEX(资金日记账!$D$4:$D$603,305))</f>
        <v/>
      </c>
      <c r="E1518" s="67" t="str">
        <f aca="false">IF(INDEX(资金日记账!$N$4:$S$603,305,1)=0,"",INDEX(资金日记账!$N$4:$S$603,305,1))</f>
        <v/>
      </c>
      <c r="F1518" s="99" t="str">
        <f aca="false">IF($E1518="","",IFERROR(INDEX(科目表!$A$4:$A$81,MATCH($E1518,科目表!$B$4:$B$81,0)),""))</f>
        <v/>
      </c>
      <c r="G1518" s="67" t="str">
        <f aca="false">IF($E1518="","",IFERROR(INDEX(科目表!$E$4:$E$81,MATCH($E1518,科目表!$B$4:$B$81,0)),""))</f>
        <v/>
      </c>
      <c r="H1518" s="70" t="str">
        <f aca="false">IF($E1518="","",N(INDEX(资金日记账!$N$4:$S$603,305,2)))</f>
        <v/>
      </c>
      <c r="I1518" s="70" t="str">
        <f aca="false">IF($E1518="","",N(INDEX(资金日记账!$N$4:$S$603,305,3)))</f>
        <v/>
      </c>
      <c r="J1518" s="67" t="str">
        <f aca="false">IF($E1518="","",INDEX(资金日记账!$E$4:$E$603,305))</f>
        <v/>
      </c>
      <c r="K1518" s="67" t="str">
        <f aca="false">IF($E1518="","",INDEX(资金日记账!$F$4:$F$603,305))</f>
        <v/>
      </c>
      <c r="L1518" s="107" t="str">
        <f aca="false">IF($E1518="","",INDEX(资金日记账!$X$4:$X$603,305))</f>
        <v/>
      </c>
      <c r="M1518" s="107"/>
      <c r="N1518" s="67" t="str">
        <f aca="false">IF($E1518="","",INDEX(资金日记账!$Y$4:$Y$603,305))</f>
        <v/>
      </c>
      <c r="O1518" s="67" t="str">
        <f aca="false">IF($E1518="","","自动B")</f>
        <v/>
      </c>
      <c r="P1518" s="18"/>
    </row>
    <row r="1519" customFormat="false" ht="18" hidden="false" customHeight="true" outlineLevel="0" collapsed="false">
      <c r="A1519" s="107" t="str">
        <f aca="false">IF($E1519="","",ROW()-3)</f>
        <v/>
      </c>
      <c r="B1519" s="110" t="str">
        <f aca="false">IF($E1519="","",INDEX(资金日记账!$B$4:$B$603,305))</f>
        <v/>
      </c>
      <c r="C1519" s="67" t="str">
        <f aca="false">IF($E1519="","",IF(INDEX(资金日记账!$W$4:$W$603,305)="","记-"&amp;TEXT($B1519,"YYYYMM")&amp;"-资金",INDEX(资金日记账!$W$4:$W$603,305)))</f>
        <v/>
      </c>
      <c r="D1519" s="107" t="str">
        <f aca="false">IF($E1519="","",INDEX(资金日记账!$D$4:$D$603,305))</f>
        <v/>
      </c>
      <c r="E1519" s="67" t="str">
        <f aca="false">IF(INDEX(资金日记账!$N$4:$S$603,305,4)=0,"",INDEX(资金日记账!$N$4:$S$603,305,4))</f>
        <v/>
      </c>
      <c r="F1519" s="99" t="str">
        <f aca="false">IF($E1519="","",IFERROR(INDEX(科目表!$A$4:$A$81,MATCH($E1519,科目表!$B$4:$B$81,0)),""))</f>
        <v/>
      </c>
      <c r="G1519" s="67" t="str">
        <f aca="false">IF($E1519="","",IFERROR(INDEX(科目表!$E$4:$E$81,MATCH($E1519,科目表!$B$4:$B$81,0)),""))</f>
        <v/>
      </c>
      <c r="H1519" s="70" t="str">
        <f aca="false">IF($E1519="","",N(INDEX(资金日记账!$N$4:$S$603,305,5)))</f>
        <v/>
      </c>
      <c r="I1519" s="70" t="str">
        <f aca="false">IF($E1519="","",N(INDEX(资金日记账!$N$4:$S$603,305,6)))</f>
        <v/>
      </c>
      <c r="J1519" s="67" t="str">
        <f aca="false">IF($E1519="","",INDEX(资金日记账!$E$4:$E$603,305))</f>
        <v/>
      </c>
      <c r="K1519" s="67" t="str">
        <f aca="false">IF($E1519="","",INDEX(资金日记账!$F$4:$F$603,305))</f>
        <v/>
      </c>
      <c r="L1519" s="107" t="str">
        <f aca="false">IF($E1519="","",INDEX(资金日记账!$X$4:$X$603,305))</f>
        <v/>
      </c>
      <c r="M1519" s="107"/>
      <c r="N1519" s="67" t="str">
        <f aca="false">IF($E1519="","",INDEX(资金日记账!$Y$4:$Y$603,305))</f>
        <v/>
      </c>
      <c r="O1519" s="67" t="str">
        <f aca="false">IF($E1519="","","自动B")</f>
        <v/>
      </c>
      <c r="P1519" s="18"/>
    </row>
    <row r="1520" customFormat="false" ht="18" hidden="false" customHeight="true" outlineLevel="0" collapsed="false">
      <c r="A1520" s="107" t="str">
        <f aca="false">IF($E1520="","",ROW()-3)</f>
        <v/>
      </c>
      <c r="B1520" s="110" t="str">
        <f aca="false">IF($E1520="","",INDEX(资金日记账!$B$4:$B$603,306))</f>
        <v/>
      </c>
      <c r="C1520" s="67" t="str">
        <f aca="false">IF($E1520="","",IF(INDEX(资金日记账!$W$4:$W$603,306)="","记-"&amp;TEXT($B1520,"YYYYMM")&amp;"-资金",INDEX(资金日记账!$W$4:$W$603,306)))</f>
        <v/>
      </c>
      <c r="D1520" s="107" t="str">
        <f aca="false">IF($E1520="","",INDEX(资金日记账!$D$4:$D$603,306))</f>
        <v/>
      </c>
      <c r="E1520" s="67" t="str">
        <f aca="false">IF(INDEX(资金日记账!$N$4:$S$603,306,1)=0,"",INDEX(资金日记账!$N$4:$S$603,306,1))</f>
        <v/>
      </c>
      <c r="F1520" s="99" t="str">
        <f aca="false">IF($E1520="","",IFERROR(INDEX(科目表!$A$4:$A$81,MATCH($E1520,科目表!$B$4:$B$81,0)),""))</f>
        <v/>
      </c>
      <c r="G1520" s="67" t="str">
        <f aca="false">IF($E1520="","",IFERROR(INDEX(科目表!$E$4:$E$81,MATCH($E1520,科目表!$B$4:$B$81,0)),""))</f>
        <v/>
      </c>
      <c r="H1520" s="70" t="str">
        <f aca="false">IF($E1520="","",N(INDEX(资金日记账!$N$4:$S$603,306,2)))</f>
        <v/>
      </c>
      <c r="I1520" s="70" t="str">
        <f aca="false">IF($E1520="","",N(INDEX(资金日记账!$N$4:$S$603,306,3)))</f>
        <v/>
      </c>
      <c r="J1520" s="67" t="str">
        <f aca="false">IF($E1520="","",INDEX(资金日记账!$E$4:$E$603,306))</f>
        <v/>
      </c>
      <c r="K1520" s="67" t="str">
        <f aca="false">IF($E1520="","",INDEX(资金日记账!$F$4:$F$603,306))</f>
        <v/>
      </c>
      <c r="L1520" s="107" t="str">
        <f aca="false">IF($E1520="","",INDEX(资金日记账!$X$4:$X$603,306))</f>
        <v/>
      </c>
      <c r="M1520" s="107"/>
      <c r="N1520" s="67" t="str">
        <f aca="false">IF($E1520="","",INDEX(资金日记账!$Y$4:$Y$603,306))</f>
        <v/>
      </c>
      <c r="O1520" s="67" t="str">
        <f aca="false">IF($E1520="","","自动B")</f>
        <v/>
      </c>
      <c r="P1520" s="18"/>
    </row>
    <row r="1521" customFormat="false" ht="18" hidden="false" customHeight="true" outlineLevel="0" collapsed="false">
      <c r="A1521" s="107" t="str">
        <f aca="false">IF($E1521="","",ROW()-3)</f>
        <v/>
      </c>
      <c r="B1521" s="110" t="str">
        <f aca="false">IF($E1521="","",INDEX(资金日记账!$B$4:$B$603,306))</f>
        <v/>
      </c>
      <c r="C1521" s="67" t="str">
        <f aca="false">IF($E1521="","",IF(INDEX(资金日记账!$W$4:$W$603,306)="","记-"&amp;TEXT($B1521,"YYYYMM")&amp;"-资金",INDEX(资金日记账!$W$4:$W$603,306)))</f>
        <v/>
      </c>
      <c r="D1521" s="107" t="str">
        <f aca="false">IF($E1521="","",INDEX(资金日记账!$D$4:$D$603,306))</f>
        <v/>
      </c>
      <c r="E1521" s="67" t="str">
        <f aca="false">IF(INDEX(资金日记账!$N$4:$S$603,306,4)=0,"",INDEX(资金日记账!$N$4:$S$603,306,4))</f>
        <v/>
      </c>
      <c r="F1521" s="99" t="str">
        <f aca="false">IF($E1521="","",IFERROR(INDEX(科目表!$A$4:$A$81,MATCH($E1521,科目表!$B$4:$B$81,0)),""))</f>
        <v/>
      </c>
      <c r="G1521" s="67" t="str">
        <f aca="false">IF($E1521="","",IFERROR(INDEX(科目表!$E$4:$E$81,MATCH($E1521,科目表!$B$4:$B$81,0)),""))</f>
        <v/>
      </c>
      <c r="H1521" s="70" t="str">
        <f aca="false">IF($E1521="","",N(INDEX(资金日记账!$N$4:$S$603,306,5)))</f>
        <v/>
      </c>
      <c r="I1521" s="70" t="str">
        <f aca="false">IF($E1521="","",N(INDEX(资金日记账!$N$4:$S$603,306,6)))</f>
        <v/>
      </c>
      <c r="J1521" s="67" t="str">
        <f aca="false">IF($E1521="","",INDEX(资金日记账!$E$4:$E$603,306))</f>
        <v/>
      </c>
      <c r="K1521" s="67" t="str">
        <f aca="false">IF($E1521="","",INDEX(资金日记账!$F$4:$F$603,306))</f>
        <v/>
      </c>
      <c r="L1521" s="107" t="str">
        <f aca="false">IF($E1521="","",INDEX(资金日记账!$X$4:$X$603,306))</f>
        <v/>
      </c>
      <c r="M1521" s="107"/>
      <c r="N1521" s="67" t="str">
        <f aca="false">IF($E1521="","",INDEX(资金日记账!$Y$4:$Y$603,306))</f>
        <v/>
      </c>
      <c r="O1521" s="67" t="str">
        <f aca="false">IF($E1521="","","自动B")</f>
        <v/>
      </c>
      <c r="P1521" s="18"/>
    </row>
    <row r="1522" customFormat="false" ht="18" hidden="false" customHeight="true" outlineLevel="0" collapsed="false">
      <c r="A1522" s="107" t="str">
        <f aca="false">IF($E1522="","",ROW()-3)</f>
        <v/>
      </c>
      <c r="B1522" s="110" t="str">
        <f aca="false">IF($E1522="","",INDEX(资金日记账!$B$4:$B$603,307))</f>
        <v/>
      </c>
      <c r="C1522" s="67" t="str">
        <f aca="false">IF($E1522="","",IF(INDEX(资金日记账!$W$4:$W$603,307)="","记-"&amp;TEXT($B1522,"YYYYMM")&amp;"-资金",INDEX(资金日记账!$W$4:$W$603,307)))</f>
        <v/>
      </c>
      <c r="D1522" s="107" t="str">
        <f aca="false">IF($E1522="","",INDEX(资金日记账!$D$4:$D$603,307))</f>
        <v/>
      </c>
      <c r="E1522" s="67" t="str">
        <f aca="false">IF(INDEX(资金日记账!$N$4:$S$603,307,1)=0,"",INDEX(资金日记账!$N$4:$S$603,307,1))</f>
        <v/>
      </c>
      <c r="F1522" s="99" t="str">
        <f aca="false">IF($E1522="","",IFERROR(INDEX(科目表!$A$4:$A$81,MATCH($E1522,科目表!$B$4:$B$81,0)),""))</f>
        <v/>
      </c>
      <c r="G1522" s="67" t="str">
        <f aca="false">IF($E1522="","",IFERROR(INDEX(科目表!$E$4:$E$81,MATCH($E1522,科目表!$B$4:$B$81,0)),""))</f>
        <v/>
      </c>
      <c r="H1522" s="70" t="str">
        <f aca="false">IF($E1522="","",N(INDEX(资金日记账!$N$4:$S$603,307,2)))</f>
        <v/>
      </c>
      <c r="I1522" s="70" t="str">
        <f aca="false">IF($E1522="","",N(INDEX(资金日记账!$N$4:$S$603,307,3)))</f>
        <v/>
      </c>
      <c r="J1522" s="67" t="str">
        <f aca="false">IF($E1522="","",INDEX(资金日记账!$E$4:$E$603,307))</f>
        <v/>
      </c>
      <c r="K1522" s="67" t="str">
        <f aca="false">IF($E1522="","",INDEX(资金日记账!$F$4:$F$603,307))</f>
        <v/>
      </c>
      <c r="L1522" s="107" t="str">
        <f aca="false">IF($E1522="","",INDEX(资金日记账!$X$4:$X$603,307))</f>
        <v/>
      </c>
      <c r="M1522" s="107"/>
      <c r="N1522" s="67" t="str">
        <f aca="false">IF($E1522="","",INDEX(资金日记账!$Y$4:$Y$603,307))</f>
        <v/>
      </c>
      <c r="O1522" s="67" t="str">
        <f aca="false">IF($E1522="","","自动B")</f>
        <v/>
      </c>
      <c r="P1522" s="18"/>
    </row>
    <row r="1523" customFormat="false" ht="18" hidden="false" customHeight="true" outlineLevel="0" collapsed="false">
      <c r="A1523" s="107" t="str">
        <f aca="false">IF($E1523="","",ROW()-3)</f>
        <v/>
      </c>
      <c r="B1523" s="110" t="str">
        <f aca="false">IF($E1523="","",INDEX(资金日记账!$B$4:$B$603,307))</f>
        <v/>
      </c>
      <c r="C1523" s="67" t="str">
        <f aca="false">IF($E1523="","",IF(INDEX(资金日记账!$W$4:$W$603,307)="","记-"&amp;TEXT($B1523,"YYYYMM")&amp;"-资金",INDEX(资金日记账!$W$4:$W$603,307)))</f>
        <v/>
      </c>
      <c r="D1523" s="107" t="str">
        <f aca="false">IF($E1523="","",INDEX(资金日记账!$D$4:$D$603,307))</f>
        <v/>
      </c>
      <c r="E1523" s="67" t="str">
        <f aca="false">IF(INDEX(资金日记账!$N$4:$S$603,307,4)=0,"",INDEX(资金日记账!$N$4:$S$603,307,4))</f>
        <v/>
      </c>
      <c r="F1523" s="99" t="str">
        <f aca="false">IF($E1523="","",IFERROR(INDEX(科目表!$A$4:$A$81,MATCH($E1523,科目表!$B$4:$B$81,0)),""))</f>
        <v/>
      </c>
      <c r="G1523" s="67" t="str">
        <f aca="false">IF($E1523="","",IFERROR(INDEX(科目表!$E$4:$E$81,MATCH($E1523,科目表!$B$4:$B$81,0)),""))</f>
        <v/>
      </c>
      <c r="H1523" s="70" t="str">
        <f aca="false">IF($E1523="","",N(INDEX(资金日记账!$N$4:$S$603,307,5)))</f>
        <v/>
      </c>
      <c r="I1523" s="70" t="str">
        <f aca="false">IF($E1523="","",N(INDEX(资金日记账!$N$4:$S$603,307,6)))</f>
        <v/>
      </c>
      <c r="J1523" s="67" t="str">
        <f aca="false">IF($E1523="","",INDEX(资金日记账!$E$4:$E$603,307))</f>
        <v/>
      </c>
      <c r="K1523" s="67" t="str">
        <f aca="false">IF($E1523="","",INDEX(资金日记账!$F$4:$F$603,307))</f>
        <v/>
      </c>
      <c r="L1523" s="107" t="str">
        <f aca="false">IF($E1523="","",INDEX(资金日记账!$X$4:$X$603,307))</f>
        <v/>
      </c>
      <c r="M1523" s="107"/>
      <c r="N1523" s="67" t="str">
        <f aca="false">IF($E1523="","",INDEX(资金日记账!$Y$4:$Y$603,307))</f>
        <v/>
      </c>
      <c r="O1523" s="67" t="str">
        <f aca="false">IF($E1523="","","自动B")</f>
        <v/>
      </c>
      <c r="P1523" s="18"/>
    </row>
    <row r="1524" customFormat="false" ht="18" hidden="false" customHeight="true" outlineLevel="0" collapsed="false">
      <c r="A1524" s="107" t="str">
        <f aca="false">IF($E1524="","",ROW()-3)</f>
        <v/>
      </c>
      <c r="B1524" s="110" t="str">
        <f aca="false">IF($E1524="","",INDEX(资金日记账!$B$4:$B$603,308))</f>
        <v/>
      </c>
      <c r="C1524" s="67" t="str">
        <f aca="false">IF($E1524="","",IF(INDEX(资金日记账!$W$4:$W$603,308)="","记-"&amp;TEXT($B1524,"YYYYMM")&amp;"-资金",INDEX(资金日记账!$W$4:$W$603,308)))</f>
        <v/>
      </c>
      <c r="D1524" s="107" t="str">
        <f aca="false">IF($E1524="","",INDEX(资金日记账!$D$4:$D$603,308))</f>
        <v/>
      </c>
      <c r="E1524" s="67" t="str">
        <f aca="false">IF(INDEX(资金日记账!$N$4:$S$603,308,1)=0,"",INDEX(资金日记账!$N$4:$S$603,308,1))</f>
        <v/>
      </c>
      <c r="F1524" s="99" t="str">
        <f aca="false">IF($E1524="","",IFERROR(INDEX(科目表!$A$4:$A$81,MATCH($E1524,科目表!$B$4:$B$81,0)),""))</f>
        <v/>
      </c>
      <c r="G1524" s="67" t="str">
        <f aca="false">IF($E1524="","",IFERROR(INDEX(科目表!$E$4:$E$81,MATCH($E1524,科目表!$B$4:$B$81,0)),""))</f>
        <v/>
      </c>
      <c r="H1524" s="70" t="str">
        <f aca="false">IF($E1524="","",N(INDEX(资金日记账!$N$4:$S$603,308,2)))</f>
        <v/>
      </c>
      <c r="I1524" s="70" t="str">
        <f aca="false">IF($E1524="","",N(INDEX(资金日记账!$N$4:$S$603,308,3)))</f>
        <v/>
      </c>
      <c r="J1524" s="67" t="str">
        <f aca="false">IF($E1524="","",INDEX(资金日记账!$E$4:$E$603,308))</f>
        <v/>
      </c>
      <c r="K1524" s="67" t="str">
        <f aca="false">IF($E1524="","",INDEX(资金日记账!$F$4:$F$603,308))</f>
        <v/>
      </c>
      <c r="L1524" s="107" t="str">
        <f aca="false">IF($E1524="","",INDEX(资金日记账!$X$4:$X$603,308))</f>
        <v/>
      </c>
      <c r="M1524" s="107"/>
      <c r="N1524" s="67" t="str">
        <f aca="false">IF($E1524="","",INDEX(资金日记账!$Y$4:$Y$603,308))</f>
        <v/>
      </c>
      <c r="O1524" s="67" t="str">
        <f aca="false">IF($E1524="","","自动B")</f>
        <v/>
      </c>
      <c r="P1524" s="18"/>
    </row>
    <row r="1525" customFormat="false" ht="18" hidden="false" customHeight="true" outlineLevel="0" collapsed="false">
      <c r="A1525" s="107" t="str">
        <f aca="false">IF($E1525="","",ROW()-3)</f>
        <v/>
      </c>
      <c r="B1525" s="110" t="str">
        <f aca="false">IF($E1525="","",INDEX(资金日记账!$B$4:$B$603,308))</f>
        <v/>
      </c>
      <c r="C1525" s="67" t="str">
        <f aca="false">IF($E1525="","",IF(INDEX(资金日记账!$W$4:$W$603,308)="","记-"&amp;TEXT($B1525,"YYYYMM")&amp;"-资金",INDEX(资金日记账!$W$4:$W$603,308)))</f>
        <v/>
      </c>
      <c r="D1525" s="107" t="str">
        <f aca="false">IF($E1525="","",INDEX(资金日记账!$D$4:$D$603,308))</f>
        <v/>
      </c>
      <c r="E1525" s="67" t="str">
        <f aca="false">IF(INDEX(资金日记账!$N$4:$S$603,308,4)=0,"",INDEX(资金日记账!$N$4:$S$603,308,4))</f>
        <v/>
      </c>
      <c r="F1525" s="99" t="str">
        <f aca="false">IF($E1525="","",IFERROR(INDEX(科目表!$A$4:$A$81,MATCH($E1525,科目表!$B$4:$B$81,0)),""))</f>
        <v/>
      </c>
      <c r="G1525" s="67" t="str">
        <f aca="false">IF($E1525="","",IFERROR(INDEX(科目表!$E$4:$E$81,MATCH($E1525,科目表!$B$4:$B$81,0)),""))</f>
        <v/>
      </c>
      <c r="H1525" s="70" t="str">
        <f aca="false">IF($E1525="","",N(INDEX(资金日记账!$N$4:$S$603,308,5)))</f>
        <v/>
      </c>
      <c r="I1525" s="70" t="str">
        <f aca="false">IF($E1525="","",N(INDEX(资金日记账!$N$4:$S$603,308,6)))</f>
        <v/>
      </c>
      <c r="J1525" s="67" t="str">
        <f aca="false">IF($E1525="","",INDEX(资金日记账!$E$4:$E$603,308))</f>
        <v/>
      </c>
      <c r="K1525" s="67" t="str">
        <f aca="false">IF($E1525="","",INDEX(资金日记账!$F$4:$F$603,308))</f>
        <v/>
      </c>
      <c r="L1525" s="107" t="str">
        <f aca="false">IF($E1525="","",INDEX(资金日记账!$X$4:$X$603,308))</f>
        <v/>
      </c>
      <c r="M1525" s="107"/>
      <c r="N1525" s="67" t="str">
        <f aca="false">IF($E1525="","",INDEX(资金日记账!$Y$4:$Y$603,308))</f>
        <v/>
      </c>
      <c r="O1525" s="67" t="str">
        <f aca="false">IF($E1525="","","自动B")</f>
        <v/>
      </c>
      <c r="P1525" s="18"/>
    </row>
    <row r="1526" customFormat="false" ht="18" hidden="false" customHeight="true" outlineLevel="0" collapsed="false">
      <c r="A1526" s="107" t="str">
        <f aca="false">IF($E1526="","",ROW()-3)</f>
        <v/>
      </c>
      <c r="B1526" s="110" t="str">
        <f aca="false">IF($E1526="","",INDEX(资金日记账!$B$4:$B$603,309))</f>
        <v/>
      </c>
      <c r="C1526" s="67" t="str">
        <f aca="false">IF($E1526="","",IF(INDEX(资金日记账!$W$4:$W$603,309)="","记-"&amp;TEXT($B1526,"YYYYMM")&amp;"-资金",INDEX(资金日记账!$W$4:$W$603,309)))</f>
        <v/>
      </c>
      <c r="D1526" s="107" t="str">
        <f aca="false">IF($E1526="","",INDEX(资金日记账!$D$4:$D$603,309))</f>
        <v/>
      </c>
      <c r="E1526" s="67" t="str">
        <f aca="false">IF(INDEX(资金日记账!$N$4:$S$603,309,1)=0,"",INDEX(资金日记账!$N$4:$S$603,309,1))</f>
        <v/>
      </c>
      <c r="F1526" s="99" t="str">
        <f aca="false">IF($E1526="","",IFERROR(INDEX(科目表!$A$4:$A$81,MATCH($E1526,科目表!$B$4:$B$81,0)),""))</f>
        <v/>
      </c>
      <c r="G1526" s="67" t="str">
        <f aca="false">IF($E1526="","",IFERROR(INDEX(科目表!$E$4:$E$81,MATCH($E1526,科目表!$B$4:$B$81,0)),""))</f>
        <v/>
      </c>
      <c r="H1526" s="70" t="str">
        <f aca="false">IF($E1526="","",N(INDEX(资金日记账!$N$4:$S$603,309,2)))</f>
        <v/>
      </c>
      <c r="I1526" s="70" t="str">
        <f aca="false">IF($E1526="","",N(INDEX(资金日记账!$N$4:$S$603,309,3)))</f>
        <v/>
      </c>
      <c r="J1526" s="67" t="str">
        <f aca="false">IF($E1526="","",INDEX(资金日记账!$E$4:$E$603,309))</f>
        <v/>
      </c>
      <c r="K1526" s="67" t="str">
        <f aca="false">IF($E1526="","",INDEX(资金日记账!$F$4:$F$603,309))</f>
        <v/>
      </c>
      <c r="L1526" s="107" t="str">
        <f aca="false">IF($E1526="","",INDEX(资金日记账!$X$4:$X$603,309))</f>
        <v/>
      </c>
      <c r="M1526" s="107"/>
      <c r="N1526" s="67" t="str">
        <f aca="false">IF($E1526="","",INDEX(资金日记账!$Y$4:$Y$603,309))</f>
        <v/>
      </c>
      <c r="O1526" s="67" t="str">
        <f aca="false">IF($E1526="","","自动B")</f>
        <v/>
      </c>
      <c r="P1526" s="18"/>
    </row>
    <row r="1527" customFormat="false" ht="18" hidden="false" customHeight="true" outlineLevel="0" collapsed="false">
      <c r="A1527" s="107" t="str">
        <f aca="false">IF($E1527="","",ROW()-3)</f>
        <v/>
      </c>
      <c r="B1527" s="110" t="str">
        <f aca="false">IF($E1527="","",INDEX(资金日记账!$B$4:$B$603,309))</f>
        <v/>
      </c>
      <c r="C1527" s="67" t="str">
        <f aca="false">IF($E1527="","",IF(INDEX(资金日记账!$W$4:$W$603,309)="","记-"&amp;TEXT($B1527,"YYYYMM")&amp;"-资金",INDEX(资金日记账!$W$4:$W$603,309)))</f>
        <v/>
      </c>
      <c r="D1527" s="107" t="str">
        <f aca="false">IF($E1527="","",INDEX(资金日记账!$D$4:$D$603,309))</f>
        <v/>
      </c>
      <c r="E1527" s="67" t="str">
        <f aca="false">IF(INDEX(资金日记账!$N$4:$S$603,309,4)=0,"",INDEX(资金日记账!$N$4:$S$603,309,4))</f>
        <v/>
      </c>
      <c r="F1527" s="99" t="str">
        <f aca="false">IF($E1527="","",IFERROR(INDEX(科目表!$A$4:$A$81,MATCH($E1527,科目表!$B$4:$B$81,0)),""))</f>
        <v/>
      </c>
      <c r="G1527" s="67" t="str">
        <f aca="false">IF($E1527="","",IFERROR(INDEX(科目表!$E$4:$E$81,MATCH($E1527,科目表!$B$4:$B$81,0)),""))</f>
        <v/>
      </c>
      <c r="H1527" s="70" t="str">
        <f aca="false">IF($E1527="","",N(INDEX(资金日记账!$N$4:$S$603,309,5)))</f>
        <v/>
      </c>
      <c r="I1527" s="70" t="str">
        <f aca="false">IF($E1527="","",N(INDEX(资金日记账!$N$4:$S$603,309,6)))</f>
        <v/>
      </c>
      <c r="J1527" s="67" t="str">
        <f aca="false">IF($E1527="","",INDEX(资金日记账!$E$4:$E$603,309))</f>
        <v/>
      </c>
      <c r="K1527" s="67" t="str">
        <f aca="false">IF($E1527="","",INDEX(资金日记账!$F$4:$F$603,309))</f>
        <v/>
      </c>
      <c r="L1527" s="107" t="str">
        <f aca="false">IF($E1527="","",INDEX(资金日记账!$X$4:$X$603,309))</f>
        <v/>
      </c>
      <c r="M1527" s="107"/>
      <c r="N1527" s="67" t="str">
        <f aca="false">IF($E1527="","",INDEX(资金日记账!$Y$4:$Y$603,309))</f>
        <v/>
      </c>
      <c r="O1527" s="67" t="str">
        <f aca="false">IF($E1527="","","自动B")</f>
        <v/>
      </c>
      <c r="P1527" s="18"/>
    </row>
    <row r="1528" customFormat="false" ht="18" hidden="false" customHeight="true" outlineLevel="0" collapsed="false">
      <c r="A1528" s="107" t="str">
        <f aca="false">IF($E1528="","",ROW()-3)</f>
        <v/>
      </c>
      <c r="B1528" s="110" t="str">
        <f aca="false">IF($E1528="","",INDEX(资金日记账!$B$4:$B$603,310))</f>
        <v/>
      </c>
      <c r="C1528" s="67" t="str">
        <f aca="false">IF($E1528="","",IF(INDEX(资金日记账!$W$4:$W$603,310)="","记-"&amp;TEXT($B1528,"YYYYMM")&amp;"-资金",INDEX(资金日记账!$W$4:$W$603,310)))</f>
        <v/>
      </c>
      <c r="D1528" s="107" t="str">
        <f aca="false">IF($E1528="","",INDEX(资金日记账!$D$4:$D$603,310))</f>
        <v/>
      </c>
      <c r="E1528" s="67" t="str">
        <f aca="false">IF(INDEX(资金日记账!$N$4:$S$603,310,1)=0,"",INDEX(资金日记账!$N$4:$S$603,310,1))</f>
        <v/>
      </c>
      <c r="F1528" s="99" t="str">
        <f aca="false">IF($E1528="","",IFERROR(INDEX(科目表!$A$4:$A$81,MATCH($E1528,科目表!$B$4:$B$81,0)),""))</f>
        <v/>
      </c>
      <c r="G1528" s="67" t="str">
        <f aca="false">IF($E1528="","",IFERROR(INDEX(科目表!$E$4:$E$81,MATCH($E1528,科目表!$B$4:$B$81,0)),""))</f>
        <v/>
      </c>
      <c r="H1528" s="70" t="str">
        <f aca="false">IF($E1528="","",N(INDEX(资金日记账!$N$4:$S$603,310,2)))</f>
        <v/>
      </c>
      <c r="I1528" s="70" t="str">
        <f aca="false">IF($E1528="","",N(INDEX(资金日记账!$N$4:$S$603,310,3)))</f>
        <v/>
      </c>
      <c r="J1528" s="67" t="str">
        <f aca="false">IF($E1528="","",INDEX(资金日记账!$E$4:$E$603,310))</f>
        <v/>
      </c>
      <c r="K1528" s="67" t="str">
        <f aca="false">IF($E1528="","",INDEX(资金日记账!$F$4:$F$603,310))</f>
        <v/>
      </c>
      <c r="L1528" s="107" t="str">
        <f aca="false">IF($E1528="","",INDEX(资金日记账!$X$4:$X$603,310))</f>
        <v/>
      </c>
      <c r="M1528" s="107"/>
      <c r="N1528" s="67" t="str">
        <f aca="false">IF($E1528="","",INDEX(资金日记账!$Y$4:$Y$603,310))</f>
        <v/>
      </c>
      <c r="O1528" s="67" t="str">
        <f aca="false">IF($E1528="","","自动B")</f>
        <v/>
      </c>
      <c r="P1528" s="18"/>
    </row>
    <row r="1529" customFormat="false" ht="18" hidden="false" customHeight="true" outlineLevel="0" collapsed="false">
      <c r="A1529" s="107" t="str">
        <f aca="false">IF($E1529="","",ROW()-3)</f>
        <v/>
      </c>
      <c r="B1529" s="110" t="str">
        <f aca="false">IF($E1529="","",INDEX(资金日记账!$B$4:$B$603,310))</f>
        <v/>
      </c>
      <c r="C1529" s="67" t="str">
        <f aca="false">IF($E1529="","",IF(INDEX(资金日记账!$W$4:$W$603,310)="","记-"&amp;TEXT($B1529,"YYYYMM")&amp;"-资金",INDEX(资金日记账!$W$4:$W$603,310)))</f>
        <v/>
      </c>
      <c r="D1529" s="107" t="str">
        <f aca="false">IF($E1529="","",INDEX(资金日记账!$D$4:$D$603,310))</f>
        <v/>
      </c>
      <c r="E1529" s="67" t="str">
        <f aca="false">IF(INDEX(资金日记账!$N$4:$S$603,310,4)=0,"",INDEX(资金日记账!$N$4:$S$603,310,4))</f>
        <v/>
      </c>
      <c r="F1529" s="99" t="str">
        <f aca="false">IF($E1529="","",IFERROR(INDEX(科目表!$A$4:$A$81,MATCH($E1529,科目表!$B$4:$B$81,0)),""))</f>
        <v/>
      </c>
      <c r="G1529" s="67" t="str">
        <f aca="false">IF($E1529="","",IFERROR(INDEX(科目表!$E$4:$E$81,MATCH($E1529,科目表!$B$4:$B$81,0)),""))</f>
        <v/>
      </c>
      <c r="H1529" s="70" t="str">
        <f aca="false">IF($E1529="","",N(INDEX(资金日记账!$N$4:$S$603,310,5)))</f>
        <v/>
      </c>
      <c r="I1529" s="70" t="str">
        <f aca="false">IF($E1529="","",N(INDEX(资金日记账!$N$4:$S$603,310,6)))</f>
        <v/>
      </c>
      <c r="J1529" s="67" t="str">
        <f aca="false">IF($E1529="","",INDEX(资金日记账!$E$4:$E$603,310))</f>
        <v/>
      </c>
      <c r="K1529" s="67" t="str">
        <f aca="false">IF($E1529="","",INDEX(资金日记账!$F$4:$F$603,310))</f>
        <v/>
      </c>
      <c r="L1529" s="107" t="str">
        <f aca="false">IF($E1529="","",INDEX(资金日记账!$X$4:$X$603,310))</f>
        <v/>
      </c>
      <c r="M1529" s="107"/>
      <c r="N1529" s="67" t="str">
        <f aca="false">IF($E1529="","",INDEX(资金日记账!$Y$4:$Y$603,310))</f>
        <v/>
      </c>
      <c r="O1529" s="67" t="str">
        <f aca="false">IF($E1529="","","自动B")</f>
        <v/>
      </c>
      <c r="P1529" s="18"/>
    </row>
    <row r="1530" customFormat="false" ht="18" hidden="false" customHeight="true" outlineLevel="0" collapsed="false">
      <c r="A1530" s="107" t="str">
        <f aca="false">IF($E1530="","",ROW()-3)</f>
        <v/>
      </c>
      <c r="B1530" s="110" t="str">
        <f aca="false">IF($E1530="","",INDEX(资金日记账!$B$4:$B$603,311))</f>
        <v/>
      </c>
      <c r="C1530" s="67" t="str">
        <f aca="false">IF($E1530="","",IF(INDEX(资金日记账!$W$4:$W$603,311)="","记-"&amp;TEXT($B1530,"YYYYMM")&amp;"-资金",INDEX(资金日记账!$W$4:$W$603,311)))</f>
        <v/>
      </c>
      <c r="D1530" s="107" t="str">
        <f aca="false">IF($E1530="","",INDEX(资金日记账!$D$4:$D$603,311))</f>
        <v/>
      </c>
      <c r="E1530" s="67" t="str">
        <f aca="false">IF(INDEX(资金日记账!$N$4:$S$603,311,1)=0,"",INDEX(资金日记账!$N$4:$S$603,311,1))</f>
        <v/>
      </c>
      <c r="F1530" s="99" t="str">
        <f aca="false">IF($E1530="","",IFERROR(INDEX(科目表!$A$4:$A$81,MATCH($E1530,科目表!$B$4:$B$81,0)),""))</f>
        <v/>
      </c>
      <c r="G1530" s="67" t="str">
        <f aca="false">IF($E1530="","",IFERROR(INDEX(科目表!$E$4:$E$81,MATCH($E1530,科目表!$B$4:$B$81,0)),""))</f>
        <v/>
      </c>
      <c r="H1530" s="70" t="str">
        <f aca="false">IF($E1530="","",N(INDEX(资金日记账!$N$4:$S$603,311,2)))</f>
        <v/>
      </c>
      <c r="I1530" s="70" t="str">
        <f aca="false">IF($E1530="","",N(INDEX(资金日记账!$N$4:$S$603,311,3)))</f>
        <v/>
      </c>
      <c r="J1530" s="67" t="str">
        <f aca="false">IF($E1530="","",INDEX(资金日记账!$E$4:$E$603,311))</f>
        <v/>
      </c>
      <c r="K1530" s="67" t="str">
        <f aca="false">IF($E1530="","",INDEX(资金日记账!$F$4:$F$603,311))</f>
        <v/>
      </c>
      <c r="L1530" s="107" t="str">
        <f aca="false">IF($E1530="","",INDEX(资金日记账!$X$4:$X$603,311))</f>
        <v/>
      </c>
      <c r="M1530" s="107"/>
      <c r="N1530" s="67" t="str">
        <f aca="false">IF($E1530="","",INDEX(资金日记账!$Y$4:$Y$603,311))</f>
        <v/>
      </c>
      <c r="O1530" s="67" t="str">
        <f aca="false">IF($E1530="","","自动B")</f>
        <v/>
      </c>
      <c r="P1530" s="18"/>
    </row>
    <row r="1531" customFormat="false" ht="18" hidden="false" customHeight="true" outlineLevel="0" collapsed="false">
      <c r="A1531" s="107" t="str">
        <f aca="false">IF($E1531="","",ROW()-3)</f>
        <v/>
      </c>
      <c r="B1531" s="110" t="str">
        <f aca="false">IF($E1531="","",INDEX(资金日记账!$B$4:$B$603,311))</f>
        <v/>
      </c>
      <c r="C1531" s="67" t="str">
        <f aca="false">IF($E1531="","",IF(INDEX(资金日记账!$W$4:$W$603,311)="","记-"&amp;TEXT($B1531,"YYYYMM")&amp;"-资金",INDEX(资金日记账!$W$4:$W$603,311)))</f>
        <v/>
      </c>
      <c r="D1531" s="107" t="str">
        <f aca="false">IF($E1531="","",INDEX(资金日记账!$D$4:$D$603,311))</f>
        <v/>
      </c>
      <c r="E1531" s="67" t="str">
        <f aca="false">IF(INDEX(资金日记账!$N$4:$S$603,311,4)=0,"",INDEX(资金日记账!$N$4:$S$603,311,4))</f>
        <v/>
      </c>
      <c r="F1531" s="99" t="str">
        <f aca="false">IF($E1531="","",IFERROR(INDEX(科目表!$A$4:$A$81,MATCH($E1531,科目表!$B$4:$B$81,0)),""))</f>
        <v/>
      </c>
      <c r="G1531" s="67" t="str">
        <f aca="false">IF($E1531="","",IFERROR(INDEX(科目表!$E$4:$E$81,MATCH($E1531,科目表!$B$4:$B$81,0)),""))</f>
        <v/>
      </c>
      <c r="H1531" s="70" t="str">
        <f aca="false">IF($E1531="","",N(INDEX(资金日记账!$N$4:$S$603,311,5)))</f>
        <v/>
      </c>
      <c r="I1531" s="70" t="str">
        <f aca="false">IF($E1531="","",N(INDEX(资金日记账!$N$4:$S$603,311,6)))</f>
        <v/>
      </c>
      <c r="J1531" s="67" t="str">
        <f aca="false">IF($E1531="","",INDEX(资金日记账!$E$4:$E$603,311))</f>
        <v/>
      </c>
      <c r="K1531" s="67" t="str">
        <f aca="false">IF($E1531="","",INDEX(资金日记账!$F$4:$F$603,311))</f>
        <v/>
      </c>
      <c r="L1531" s="107" t="str">
        <f aca="false">IF($E1531="","",INDEX(资金日记账!$X$4:$X$603,311))</f>
        <v/>
      </c>
      <c r="M1531" s="107"/>
      <c r="N1531" s="67" t="str">
        <f aca="false">IF($E1531="","",INDEX(资金日记账!$Y$4:$Y$603,311))</f>
        <v/>
      </c>
      <c r="O1531" s="67" t="str">
        <f aca="false">IF($E1531="","","自动B")</f>
        <v/>
      </c>
      <c r="P1531" s="18"/>
    </row>
    <row r="1532" customFormat="false" ht="18" hidden="false" customHeight="true" outlineLevel="0" collapsed="false">
      <c r="A1532" s="107" t="str">
        <f aca="false">IF($E1532="","",ROW()-3)</f>
        <v/>
      </c>
      <c r="B1532" s="110" t="str">
        <f aca="false">IF($E1532="","",INDEX(资金日记账!$B$4:$B$603,312))</f>
        <v/>
      </c>
      <c r="C1532" s="67" t="str">
        <f aca="false">IF($E1532="","",IF(INDEX(资金日记账!$W$4:$W$603,312)="","记-"&amp;TEXT($B1532,"YYYYMM")&amp;"-资金",INDEX(资金日记账!$W$4:$W$603,312)))</f>
        <v/>
      </c>
      <c r="D1532" s="107" t="str">
        <f aca="false">IF($E1532="","",INDEX(资金日记账!$D$4:$D$603,312))</f>
        <v/>
      </c>
      <c r="E1532" s="67" t="str">
        <f aca="false">IF(INDEX(资金日记账!$N$4:$S$603,312,1)=0,"",INDEX(资金日记账!$N$4:$S$603,312,1))</f>
        <v/>
      </c>
      <c r="F1532" s="99" t="str">
        <f aca="false">IF($E1532="","",IFERROR(INDEX(科目表!$A$4:$A$81,MATCH($E1532,科目表!$B$4:$B$81,0)),""))</f>
        <v/>
      </c>
      <c r="G1532" s="67" t="str">
        <f aca="false">IF($E1532="","",IFERROR(INDEX(科目表!$E$4:$E$81,MATCH($E1532,科目表!$B$4:$B$81,0)),""))</f>
        <v/>
      </c>
      <c r="H1532" s="70" t="str">
        <f aca="false">IF($E1532="","",N(INDEX(资金日记账!$N$4:$S$603,312,2)))</f>
        <v/>
      </c>
      <c r="I1532" s="70" t="str">
        <f aca="false">IF($E1532="","",N(INDEX(资金日记账!$N$4:$S$603,312,3)))</f>
        <v/>
      </c>
      <c r="J1532" s="67" t="str">
        <f aca="false">IF($E1532="","",INDEX(资金日记账!$E$4:$E$603,312))</f>
        <v/>
      </c>
      <c r="K1532" s="67" t="str">
        <f aca="false">IF($E1532="","",INDEX(资金日记账!$F$4:$F$603,312))</f>
        <v/>
      </c>
      <c r="L1532" s="107" t="str">
        <f aca="false">IF($E1532="","",INDEX(资金日记账!$X$4:$X$603,312))</f>
        <v/>
      </c>
      <c r="M1532" s="107"/>
      <c r="N1532" s="67" t="str">
        <f aca="false">IF($E1532="","",INDEX(资金日记账!$Y$4:$Y$603,312))</f>
        <v/>
      </c>
      <c r="O1532" s="67" t="str">
        <f aca="false">IF($E1532="","","自动B")</f>
        <v/>
      </c>
      <c r="P1532" s="18"/>
    </row>
    <row r="1533" customFormat="false" ht="18" hidden="false" customHeight="true" outlineLevel="0" collapsed="false">
      <c r="A1533" s="107" t="str">
        <f aca="false">IF($E1533="","",ROW()-3)</f>
        <v/>
      </c>
      <c r="B1533" s="110" t="str">
        <f aca="false">IF($E1533="","",INDEX(资金日记账!$B$4:$B$603,312))</f>
        <v/>
      </c>
      <c r="C1533" s="67" t="str">
        <f aca="false">IF($E1533="","",IF(INDEX(资金日记账!$W$4:$W$603,312)="","记-"&amp;TEXT($B1533,"YYYYMM")&amp;"-资金",INDEX(资金日记账!$W$4:$W$603,312)))</f>
        <v/>
      </c>
      <c r="D1533" s="107" t="str">
        <f aca="false">IF($E1533="","",INDEX(资金日记账!$D$4:$D$603,312))</f>
        <v/>
      </c>
      <c r="E1533" s="67" t="str">
        <f aca="false">IF(INDEX(资金日记账!$N$4:$S$603,312,4)=0,"",INDEX(资金日记账!$N$4:$S$603,312,4))</f>
        <v/>
      </c>
      <c r="F1533" s="99" t="str">
        <f aca="false">IF($E1533="","",IFERROR(INDEX(科目表!$A$4:$A$81,MATCH($E1533,科目表!$B$4:$B$81,0)),""))</f>
        <v/>
      </c>
      <c r="G1533" s="67" t="str">
        <f aca="false">IF($E1533="","",IFERROR(INDEX(科目表!$E$4:$E$81,MATCH($E1533,科目表!$B$4:$B$81,0)),""))</f>
        <v/>
      </c>
      <c r="H1533" s="70" t="str">
        <f aca="false">IF($E1533="","",N(INDEX(资金日记账!$N$4:$S$603,312,5)))</f>
        <v/>
      </c>
      <c r="I1533" s="70" t="str">
        <f aca="false">IF($E1533="","",N(INDEX(资金日记账!$N$4:$S$603,312,6)))</f>
        <v/>
      </c>
      <c r="J1533" s="67" t="str">
        <f aca="false">IF($E1533="","",INDEX(资金日记账!$E$4:$E$603,312))</f>
        <v/>
      </c>
      <c r="K1533" s="67" t="str">
        <f aca="false">IF($E1533="","",INDEX(资金日记账!$F$4:$F$603,312))</f>
        <v/>
      </c>
      <c r="L1533" s="107" t="str">
        <f aca="false">IF($E1533="","",INDEX(资金日记账!$X$4:$X$603,312))</f>
        <v/>
      </c>
      <c r="M1533" s="107"/>
      <c r="N1533" s="67" t="str">
        <f aca="false">IF($E1533="","",INDEX(资金日记账!$Y$4:$Y$603,312))</f>
        <v/>
      </c>
      <c r="O1533" s="67" t="str">
        <f aca="false">IF($E1533="","","自动B")</f>
        <v/>
      </c>
      <c r="P1533" s="18"/>
    </row>
    <row r="1534" customFormat="false" ht="18" hidden="false" customHeight="true" outlineLevel="0" collapsed="false">
      <c r="A1534" s="107" t="str">
        <f aca="false">IF($E1534="","",ROW()-3)</f>
        <v/>
      </c>
      <c r="B1534" s="110" t="str">
        <f aca="false">IF($E1534="","",INDEX(资金日记账!$B$4:$B$603,313))</f>
        <v/>
      </c>
      <c r="C1534" s="67" t="str">
        <f aca="false">IF($E1534="","",IF(INDEX(资金日记账!$W$4:$W$603,313)="","记-"&amp;TEXT($B1534,"YYYYMM")&amp;"-资金",INDEX(资金日记账!$W$4:$W$603,313)))</f>
        <v/>
      </c>
      <c r="D1534" s="107" t="str">
        <f aca="false">IF($E1534="","",INDEX(资金日记账!$D$4:$D$603,313))</f>
        <v/>
      </c>
      <c r="E1534" s="67" t="str">
        <f aca="false">IF(INDEX(资金日记账!$N$4:$S$603,313,1)=0,"",INDEX(资金日记账!$N$4:$S$603,313,1))</f>
        <v/>
      </c>
      <c r="F1534" s="99" t="str">
        <f aca="false">IF($E1534="","",IFERROR(INDEX(科目表!$A$4:$A$81,MATCH($E1534,科目表!$B$4:$B$81,0)),""))</f>
        <v/>
      </c>
      <c r="G1534" s="67" t="str">
        <f aca="false">IF($E1534="","",IFERROR(INDEX(科目表!$E$4:$E$81,MATCH($E1534,科目表!$B$4:$B$81,0)),""))</f>
        <v/>
      </c>
      <c r="H1534" s="70" t="str">
        <f aca="false">IF($E1534="","",N(INDEX(资金日记账!$N$4:$S$603,313,2)))</f>
        <v/>
      </c>
      <c r="I1534" s="70" t="str">
        <f aca="false">IF($E1534="","",N(INDEX(资金日记账!$N$4:$S$603,313,3)))</f>
        <v/>
      </c>
      <c r="J1534" s="67" t="str">
        <f aca="false">IF($E1534="","",INDEX(资金日记账!$E$4:$E$603,313))</f>
        <v/>
      </c>
      <c r="K1534" s="67" t="str">
        <f aca="false">IF($E1534="","",INDEX(资金日记账!$F$4:$F$603,313))</f>
        <v/>
      </c>
      <c r="L1534" s="107" t="str">
        <f aca="false">IF($E1534="","",INDEX(资金日记账!$X$4:$X$603,313))</f>
        <v/>
      </c>
      <c r="M1534" s="107"/>
      <c r="N1534" s="67" t="str">
        <f aca="false">IF($E1534="","",INDEX(资金日记账!$Y$4:$Y$603,313))</f>
        <v/>
      </c>
      <c r="O1534" s="67" t="str">
        <f aca="false">IF($E1534="","","自动B")</f>
        <v/>
      </c>
      <c r="P1534" s="18"/>
    </row>
    <row r="1535" customFormat="false" ht="18" hidden="false" customHeight="true" outlineLevel="0" collapsed="false">
      <c r="A1535" s="107" t="str">
        <f aca="false">IF($E1535="","",ROW()-3)</f>
        <v/>
      </c>
      <c r="B1535" s="110" t="str">
        <f aca="false">IF($E1535="","",INDEX(资金日记账!$B$4:$B$603,313))</f>
        <v/>
      </c>
      <c r="C1535" s="67" t="str">
        <f aca="false">IF($E1535="","",IF(INDEX(资金日记账!$W$4:$W$603,313)="","记-"&amp;TEXT($B1535,"YYYYMM")&amp;"-资金",INDEX(资金日记账!$W$4:$W$603,313)))</f>
        <v/>
      </c>
      <c r="D1535" s="107" t="str">
        <f aca="false">IF($E1535="","",INDEX(资金日记账!$D$4:$D$603,313))</f>
        <v/>
      </c>
      <c r="E1535" s="67" t="str">
        <f aca="false">IF(INDEX(资金日记账!$N$4:$S$603,313,4)=0,"",INDEX(资金日记账!$N$4:$S$603,313,4))</f>
        <v/>
      </c>
      <c r="F1535" s="99" t="str">
        <f aca="false">IF($E1535="","",IFERROR(INDEX(科目表!$A$4:$A$81,MATCH($E1535,科目表!$B$4:$B$81,0)),""))</f>
        <v/>
      </c>
      <c r="G1535" s="67" t="str">
        <f aca="false">IF($E1535="","",IFERROR(INDEX(科目表!$E$4:$E$81,MATCH($E1535,科目表!$B$4:$B$81,0)),""))</f>
        <v/>
      </c>
      <c r="H1535" s="70" t="str">
        <f aca="false">IF($E1535="","",N(INDEX(资金日记账!$N$4:$S$603,313,5)))</f>
        <v/>
      </c>
      <c r="I1535" s="70" t="str">
        <f aca="false">IF($E1535="","",N(INDEX(资金日记账!$N$4:$S$603,313,6)))</f>
        <v/>
      </c>
      <c r="J1535" s="67" t="str">
        <f aca="false">IF($E1535="","",INDEX(资金日记账!$E$4:$E$603,313))</f>
        <v/>
      </c>
      <c r="K1535" s="67" t="str">
        <f aca="false">IF($E1535="","",INDEX(资金日记账!$F$4:$F$603,313))</f>
        <v/>
      </c>
      <c r="L1535" s="107" t="str">
        <f aca="false">IF($E1535="","",INDEX(资金日记账!$X$4:$X$603,313))</f>
        <v/>
      </c>
      <c r="M1535" s="107"/>
      <c r="N1535" s="67" t="str">
        <f aca="false">IF($E1535="","",INDEX(资金日记账!$Y$4:$Y$603,313))</f>
        <v/>
      </c>
      <c r="O1535" s="67" t="str">
        <f aca="false">IF($E1535="","","自动B")</f>
        <v/>
      </c>
      <c r="P1535" s="18"/>
    </row>
    <row r="1536" customFormat="false" ht="18" hidden="false" customHeight="true" outlineLevel="0" collapsed="false">
      <c r="A1536" s="107" t="str">
        <f aca="false">IF($E1536="","",ROW()-3)</f>
        <v/>
      </c>
      <c r="B1536" s="110" t="str">
        <f aca="false">IF($E1536="","",INDEX(资金日记账!$B$4:$B$603,314))</f>
        <v/>
      </c>
      <c r="C1536" s="67" t="str">
        <f aca="false">IF($E1536="","",IF(INDEX(资金日记账!$W$4:$W$603,314)="","记-"&amp;TEXT($B1536,"YYYYMM")&amp;"-资金",INDEX(资金日记账!$W$4:$W$603,314)))</f>
        <v/>
      </c>
      <c r="D1536" s="107" t="str">
        <f aca="false">IF($E1536="","",INDEX(资金日记账!$D$4:$D$603,314))</f>
        <v/>
      </c>
      <c r="E1536" s="67" t="str">
        <f aca="false">IF(INDEX(资金日记账!$N$4:$S$603,314,1)=0,"",INDEX(资金日记账!$N$4:$S$603,314,1))</f>
        <v/>
      </c>
      <c r="F1536" s="99" t="str">
        <f aca="false">IF($E1536="","",IFERROR(INDEX(科目表!$A$4:$A$81,MATCH($E1536,科目表!$B$4:$B$81,0)),""))</f>
        <v/>
      </c>
      <c r="G1536" s="67" t="str">
        <f aca="false">IF($E1536="","",IFERROR(INDEX(科目表!$E$4:$E$81,MATCH($E1536,科目表!$B$4:$B$81,0)),""))</f>
        <v/>
      </c>
      <c r="H1536" s="70" t="str">
        <f aca="false">IF($E1536="","",N(INDEX(资金日记账!$N$4:$S$603,314,2)))</f>
        <v/>
      </c>
      <c r="I1536" s="70" t="str">
        <f aca="false">IF($E1536="","",N(INDEX(资金日记账!$N$4:$S$603,314,3)))</f>
        <v/>
      </c>
      <c r="J1536" s="67" t="str">
        <f aca="false">IF($E1536="","",INDEX(资金日记账!$E$4:$E$603,314))</f>
        <v/>
      </c>
      <c r="K1536" s="67" t="str">
        <f aca="false">IF($E1536="","",INDEX(资金日记账!$F$4:$F$603,314))</f>
        <v/>
      </c>
      <c r="L1536" s="107" t="str">
        <f aca="false">IF($E1536="","",INDEX(资金日记账!$X$4:$X$603,314))</f>
        <v/>
      </c>
      <c r="M1536" s="107"/>
      <c r="N1536" s="67" t="str">
        <f aca="false">IF($E1536="","",INDEX(资金日记账!$Y$4:$Y$603,314))</f>
        <v/>
      </c>
      <c r="O1536" s="67" t="str">
        <f aca="false">IF($E1536="","","自动B")</f>
        <v/>
      </c>
      <c r="P1536" s="18"/>
    </row>
    <row r="1537" customFormat="false" ht="18" hidden="false" customHeight="true" outlineLevel="0" collapsed="false">
      <c r="A1537" s="107" t="str">
        <f aca="false">IF($E1537="","",ROW()-3)</f>
        <v/>
      </c>
      <c r="B1537" s="110" t="str">
        <f aca="false">IF($E1537="","",INDEX(资金日记账!$B$4:$B$603,314))</f>
        <v/>
      </c>
      <c r="C1537" s="67" t="str">
        <f aca="false">IF($E1537="","",IF(INDEX(资金日记账!$W$4:$W$603,314)="","记-"&amp;TEXT($B1537,"YYYYMM")&amp;"-资金",INDEX(资金日记账!$W$4:$W$603,314)))</f>
        <v/>
      </c>
      <c r="D1537" s="107" t="str">
        <f aca="false">IF($E1537="","",INDEX(资金日记账!$D$4:$D$603,314))</f>
        <v/>
      </c>
      <c r="E1537" s="67" t="str">
        <f aca="false">IF(INDEX(资金日记账!$N$4:$S$603,314,4)=0,"",INDEX(资金日记账!$N$4:$S$603,314,4))</f>
        <v/>
      </c>
      <c r="F1537" s="99" t="str">
        <f aca="false">IF($E1537="","",IFERROR(INDEX(科目表!$A$4:$A$81,MATCH($E1537,科目表!$B$4:$B$81,0)),""))</f>
        <v/>
      </c>
      <c r="G1537" s="67" t="str">
        <f aca="false">IF($E1537="","",IFERROR(INDEX(科目表!$E$4:$E$81,MATCH($E1537,科目表!$B$4:$B$81,0)),""))</f>
        <v/>
      </c>
      <c r="H1537" s="70" t="str">
        <f aca="false">IF($E1537="","",N(INDEX(资金日记账!$N$4:$S$603,314,5)))</f>
        <v/>
      </c>
      <c r="I1537" s="70" t="str">
        <f aca="false">IF($E1537="","",N(INDEX(资金日记账!$N$4:$S$603,314,6)))</f>
        <v/>
      </c>
      <c r="J1537" s="67" t="str">
        <f aca="false">IF($E1537="","",INDEX(资金日记账!$E$4:$E$603,314))</f>
        <v/>
      </c>
      <c r="K1537" s="67" t="str">
        <f aca="false">IF($E1537="","",INDEX(资金日记账!$F$4:$F$603,314))</f>
        <v/>
      </c>
      <c r="L1537" s="107" t="str">
        <f aca="false">IF($E1537="","",INDEX(资金日记账!$X$4:$X$603,314))</f>
        <v/>
      </c>
      <c r="M1537" s="107"/>
      <c r="N1537" s="67" t="str">
        <f aca="false">IF($E1537="","",INDEX(资金日记账!$Y$4:$Y$603,314))</f>
        <v/>
      </c>
      <c r="O1537" s="67" t="str">
        <f aca="false">IF($E1537="","","自动B")</f>
        <v/>
      </c>
      <c r="P1537" s="18"/>
    </row>
    <row r="1538" customFormat="false" ht="18" hidden="false" customHeight="true" outlineLevel="0" collapsed="false">
      <c r="A1538" s="107" t="str">
        <f aca="false">IF($E1538="","",ROW()-3)</f>
        <v/>
      </c>
      <c r="B1538" s="110" t="str">
        <f aca="false">IF($E1538="","",INDEX(资金日记账!$B$4:$B$603,315))</f>
        <v/>
      </c>
      <c r="C1538" s="67" t="str">
        <f aca="false">IF($E1538="","",IF(INDEX(资金日记账!$W$4:$W$603,315)="","记-"&amp;TEXT($B1538,"YYYYMM")&amp;"-资金",INDEX(资金日记账!$W$4:$W$603,315)))</f>
        <v/>
      </c>
      <c r="D1538" s="107" t="str">
        <f aca="false">IF($E1538="","",INDEX(资金日记账!$D$4:$D$603,315))</f>
        <v/>
      </c>
      <c r="E1538" s="67" t="str">
        <f aca="false">IF(INDEX(资金日记账!$N$4:$S$603,315,1)=0,"",INDEX(资金日记账!$N$4:$S$603,315,1))</f>
        <v/>
      </c>
      <c r="F1538" s="99" t="str">
        <f aca="false">IF($E1538="","",IFERROR(INDEX(科目表!$A$4:$A$81,MATCH($E1538,科目表!$B$4:$B$81,0)),""))</f>
        <v/>
      </c>
      <c r="G1538" s="67" t="str">
        <f aca="false">IF($E1538="","",IFERROR(INDEX(科目表!$E$4:$E$81,MATCH($E1538,科目表!$B$4:$B$81,0)),""))</f>
        <v/>
      </c>
      <c r="H1538" s="70" t="str">
        <f aca="false">IF($E1538="","",N(INDEX(资金日记账!$N$4:$S$603,315,2)))</f>
        <v/>
      </c>
      <c r="I1538" s="70" t="str">
        <f aca="false">IF($E1538="","",N(INDEX(资金日记账!$N$4:$S$603,315,3)))</f>
        <v/>
      </c>
      <c r="J1538" s="67" t="str">
        <f aca="false">IF($E1538="","",INDEX(资金日记账!$E$4:$E$603,315))</f>
        <v/>
      </c>
      <c r="K1538" s="67" t="str">
        <f aca="false">IF($E1538="","",INDEX(资金日记账!$F$4:$F$603,315))</f>
        <v/>
      </c>
      <c r="L1538" s="107" t="str">
        <f aca="false">IF($E1538="","",INDEX(资金日记账!$X$4:$X$603,315))</f>
        <v/>
      </c>
      <c r="M1538" s="107"/>
      <c r="N1538" s="67" t="str">
        <f aca="false">IF($E1538="","",INDEX(资金日记账!$Y$4:$Y$603,315))</f>
        <v/>
      </c>
      <c r="O1538" s="67" t="str">
        <f aca="false">IF($E1538="","","自动B")</f>
        <v/>
      </c>
      <c r="P1538" s="18"/>
    </row>
    <row r="1539" customFormat="false" ht="18" hidden="false" customHeight="true" outlineLevel="0" collapsed="false">
      <c r="A1539" s="107" t="str">
        <f aca="false">IF($E1539="","",ROW()-3)</f>
        <v/>
      </c>
      <c r="B1539" s="110" t="str">
        <f aca="false">IF($E1539="","",INDEX(资金日记账!$B$4:$B$603,315))</f>
        <v/>
      </c>
      <c r="C1539" s="67" t="str">
        <f aca="false">IF($E1539="","",IF(INDEX(资金日记账!$W$4:$W$603,315)="","记-"&amp;TEXT($B1539,"YYYYMM")&amp;"-资金",INDEX(资金日记账!$W$4:$W$603,315)))</f>
        <v/>
      </c>
      <c r="D1539" s="107" t="str">
        <f aca="false">IF($E1539="","",INDEX(资金日记账!$D$4:$D$603,315))</f>
        <v/>
      </c>
      <c r="E1539" s="67" t="str">
        <f aca="false">IF(INDEX(资金日记账!$N$4:$S$603,315,4)=0,"",INDEX(资金日记账!$N$4:$S$603,315,4))</f>
        <v/>
      </c>
      <c r="F1539" s="99" t="str">
        <f aca="false">IF($E1539="","",IFERROR(INDEX(科目表!$A$4:$A$81,MATCH($E1539,科目表!$B$4:$B$81,0)),""))</f>
        <v/>
      </c>
      <c r="G1539" s="67" t="str">
        <f aca="false">IF($E1539="","",IFERROR(INDEX(科目表!$E$4:$E$81,MATCH($E1539,科目表!$B$4:$B$81,0)),""))</f>
        <v/>
      </c>
      <c r="H1539" s="70" t="str">
        <f aca="false">IF($E1539="","",N(INDEX(资金日记账!$N$4:$S$603,315,5)))</f>
        <v/>
      </c>
      <c r="I1539" s="70" t="str">
        <f aca="false">IF($E1539="","",N(INDEX(资金日记账!$N$4:$S$603,315,6)))</f>
        <v/>
      </c>
      <c r="J1539" s="67" t="str">
        <f aca="false">IF($E1539="","",INDEX(资金日记账!$E$4:$E$603,315))</f>
        <v/>
      </c>
      <c r="K1539" s="67" t="str">
        <f aca="false">IF($E1539="","",INDEX(资金日记账!$F$4:$F$603,315))</f>
        <v/>
      </c>
      <c r="L1539" s="107" t="str">
        <f aca="false">IF($E1539="","",INDEX(资金日记账!$X$4:$X$603,315))</f>
        <v/>
      </c>
      <c r="M1539" s="107"/>
      <c r="N1539" s="67" t="str">
        <f aca="false">IF($E1539="","",INDEX(资金日记账!$Y$4:$Y$603,315))</f>
        <v/>
      </c>
      <c r="O1539" s="67" t="str">
        <f aca="false">IF($E1539="","","自动B")</f>
        <v/>
      </c>
      <c r="P1539" s="18"/>
    </row>
    <row r="1540" customFormat="false" ht="18" hidden="false" customHeight="true" outlineLevel="0" collapsed="false">
      <c r="A1540" s="107" t="str">
        <f aca="false">IF($E1540="","",ROW()-3)</f>
        <v/>
      </c>
      <c r="B1540" s="110" t="str">
        <f aca="false">IF($E1540="","",INDEX(资金日记账!$B$4:$B$603,316))</f>
        <v/>
      </c>
      <c r="C1540" s="67" t="str">
        <f aca="false">IF($E1540="","",IF(INDEX(资金日记账!$W$4:$W$603,316)="","记-"&amp;TEXT($B1540,"YYYYMM")&amp;"-资金",INDEX(资金日记账!$W$4:$W$603,316)))</f>
        <v/>
      </c>
      <c r="D1540" s="107" t="str">
        <f aca="false">IF($E1540="","",INDEX(资金日记账!$D$4:$D$603,316))</f>
        <v/>
      </c>
      <c r="E1540" s="67" t="str">
        <f aca="false">IF(INDEX(资金日记账!$N$4:$S$603,316,1)=0,"",INDEX(资金日记账!$N$4:$S$603,316,1))</f>
        <v/>
      </c>
      <c r="F1540" s="99" t="str">
        <f aca="false">IF($E1540="","",IFERROR(INDEX(科目表!$A$4:$A$81,MATCH($E1540,科目表!$B$4:$B$81,0)),""))</f>
        <v/>
      </c>
      <c r="G1540" s="67" t="str">
        <f aca="false">IF($E1540="","",IFERROR(INDEX(科目表!$E$4:$E$81,MATCH($E1540,科目表!$B$4:$B$81,0)),""))</f>
        <v/>
      </c>
      <c r="H1540" s="70" t="str">
        <f aca="false">IF($E1540="","",N(INDEX(资金日记账!$N$4:$S$603,316,2)))</f>
        <v/>
      </c>
      <c r="I1540" s="70" t="str">
        <f aca="false">IF($E1540="","",N(INDEX(资金日记账!$N$4:$S$603,316,3)))</f>
        <v/>
      </c>
      <c r="J1540" s="67" t="str">
        <f aca="false">IF($E1540="","",INDEX(资金日记账!$E$4:$E$603,316))</f>
        <v/>
      </c>
      <c r="K1540" s="67" t="str">
        <f aca="false">IF($E1540="","",INDEX(资金日记账!$F$4:$F$603,316))</f>
        <v/>
      </c>
      <c r="L1540" s="107" t="str">
        <f aca="false">IF($E1540="","",INDEX(资金日记账!$X$4:$X$603,316))</f>
        <v/>
      </c>
      <c r="M1540" s="107"/>
      <c r="N1540" s="67" t="str">
        <f aca="false">IF($E1540="","",INDEX(资金日记账!$Y$4:$Y$603,316))</f>
        <v/>
      </c>
      <c r="O1540" s="67" t="str">
        <f aca="false">IF($E1540="","","自动B")</f>
        <v/>
      </c>
      <c r="P1540" s="18"/>
    </row>
    <row r="1541" customFormat="false" ht="18" hidden="false" customHeight="true" outlineLevel="0" collapsed="false">
      <c r="A1541" s="107" t="str">
        <f aca="false">IF($E1541="","",ROW()-3)</f>
        <v/>
      </c>
      <c r="B1541" s="110" t="str">
        <f aca="false">IF($E1541="","",INDEX(资金日记账!$B$4:$B$603,316))</f>
        <v/>
      </c>
      <c r="C1541" s="67" t="str">
        <f aca="false">IF($E1541="","",IF(INDEX(资金日记账!$W$4:$W$603,316)="","记-"&amp;TEXT($B1541,"YYYYMM")&amp;"-资金",INDEX(资金日记账!$W$4:$W$603,316)))</f>
        <v/>
      </c>
      <c r="D1541" s="107" t="str">
        <f aca="false">IF($E1541="","",INDEX(资金日记账!$D$4:$D$603,316))</f>
        <v/>
      </c>
      <c r="E1541" s="67" t="str">
        <f aca="false">IF(INDEX(资金日记账!$N$4:$S$603,316,4)=0,"",INDEX(资金日记账!$N$4:$S$603,316,4))</f>
        <v/>
      </c>
      <c r="F1541" s="99" t="str">
        <f aca="false">IF($E1541="","",IFERROR(INDEX(科目表!$A$4:$A$81,MATCH($E1541,科目表!$B$4:$B$81,0)),""))</f>
        <v/>
      </c>
      <c r="G1541" s="67" t="str">
        <f aca="false">IF($E1541="","",IFERROR(INDEX(科目表!$E$4:$E$81,MATCH($E1541,科目表!$B$4:$B$81,0)),""))</f>
        <v/>
      </c>
      <c r="H1541" s="70" t="str">
        <f aca="false">IF($E1541="","",N(INDEX(资金日记账!$N$4:$S$603,316,5)))</f>
        <v/>
      </c>
      <c r="I1541" s="70" t="str">
        <f aca="false">IF($E1541="","",N(INDEX(资金日记账!$N$4:$S$603,316,6)))</f>
        <v/>
      </c>
      <c r="J1541" s="67" t="str">
        <f aca="false">IF($E1541="","",INDEX(资金日记账!$E$4:$E$603,316))</f>
        <v/>
      </c>
      <c r="K1541" s="67" t="str">
        <f aca="false">IF($E1541="","",INDEX(资金日记账!$F$4:$F$603,316))</f>
        <v/>
      </c>
      <c r="L1541" s="107" t="str">
        <f aca="false">IF($E1541="","",INDEX(资金日记账!$X$4:$X$603,316))</f>
        <v/>
      </c>
      <c r="M1541" s="107"/>
      <c r="N1541" s="67" t="str">
        <f aca="false">IF($E1541="","",INDEX(资金日记账!$Y$4:$Y$603,316))</f>
        <v/>
      </c>
      <c r="O1541" s="67" t="str">
        <f aca="false">IF($E1541="","","自动B")</f>
        <v/>
      </c>
      <c r="P1541" s="18"/>
    </row>
    <row r="1542" customFormat="false" ht="18" hidden="false" customHeight="true" outlineLevel="0" collapsed="false">
      <c r="A1542" s="107" t="str">
        <f aca="false">IF($E1542="","",ROW()-3)</f>
        <v/>
      </c>
      <c r="B1542" s="110" t="str">
        <f aca="false">IF($E1542="","",INDEX(资金日记账!$B$4:$B$603,317))</f>
        <v/>
      </c>
      <c r="C1542" s="67" t="str">
        <f aca="false">IF($E1542="","",IF(INDEX(资金日记账!$W$4:$W$603,317)="","记-"&amp;TEXT($B1542,"YYYYMM")&amp;"-资金",INDEX(资金日记账!$W$4:$W$603,317)))</f>
        <v/>
      </c>
      <c r="D1542" s="107" t="str">
        <f aca="false">IF($E1542="","",INDEX(资金日记账!$D$4:$D$603,317))</f>
        <v/>
      </c>
      <c r="E1542" s="67" t="str">
        <f aca="false">IF(INDEX(资金日记账!$N$4:$S$603,317,1)=0,"",INDEX(资金日记账!$N$4:$S$603,317,1))</f>
        <v/>
      </c>
      <c r="F1542" s="99" t="str">
        <f aca="false">IF($E1542="","",IFERROR(INDEX(科目表!$A$4:$A$81,MATCH($E1542,科目表!$B$4:$B$81,0)),""))</f>
        <v/>
      </c>
      <c r="G1542" s="67" t="str">
        <f aca="false">IF($E1542="","",IFERROR(INDEX(科目表!$E$4:$E$81,MATCH($E1542,科目表!$B$4:$B$81,0)),""))</f>
        <v/>
      </c>
      <c r="H1542" s="70" t="str">
        <f aca="false">IF($E1542="","",N(INDEX(资金日记账!$N$4:$S$603,317,2)))</f>
        <v/>
      </c>
      <c r="I1542" s="70" t="str">
        <f aca="false">IF($E1542="","",N(INDEX(资金日记账!$N$4:$S$603,317,3)))</f>
        <v/>
      </c>
      <c r="J1542" s="67" t="str">
        <f aca="false">IF($E1542="","",INDEX(资金日记账!$E$4:$E$603,317))</f>
        <v/>
      </c>
      <c r="K1542" s="67" t="str">
        <f aca="false">IF($E1542="","",INDEX(资金日记账!$F$4:$F$603,317))</f>
        <v/>
      </c>
      <c r="L1542" s="107" t="str">
        <f aca="false">IF($E1542="","",INDEX(资金日记账!$X$4:$X$603,317))</f>
        <v/>
      </c>
      <c r="M1542" s="107"/>
      <c r="N1542" s="67" t="str">
        <f aca="false">IF($E1542="","",INDEX(资金日记账!$Y$4:$Y$603,317))</f>
        <v/>
      </c>
      <c r="O1542" s="67" t="str">
        <f aca="false">IF($E1542="","","自动B")</f>
        <v/>
      </c>
      <c r="P1542" s="18"/>
    </row>
    <row r="1543" customFormat="false" ht="18" hidden="false" customHeight="true" outlineLevel="0" collapsed="false">
      <c r="A1543" s="107" t="str">
        <f aca="false">IF($E1543="","",ROW()-3)</f>
        <v/>
      </c>
      <c r="B1543" s="110" t="str">
        <f aca="false">IF($E1543="","",INDEX(资金日记账!$B$4:$B$603,317))</f>
        <v/>
      </c>
      <c r="C1543" s="67" t="str">
        <f aca="false">IF($E1543="","",IF(INDEX(资金日记账!$W$4:$W$603,317)="","记-"&amp;TEXT($B1543,"YYYYMM")&amp;"-资金",INDEX(资金日记账!$W$4:$W$603,317)))</f>
        <v/>
      </c>
      <c r="D1543" s="107" t="str">
        <f aca="false">IF($E1543="","",INDEX(资金日记账!$D$4:$D$603,317))</f>
        <v/>
      </c>
      <c r="E1543" s="67" t="str">
        <f aca="false">IF(INDEX(资金日记账!$N$4:$S$603,317,4)=0,"",INDEX(资金日记账!$N$4:$S$603,317,4))</f>
        <v/>
      </c>
      <c r="F1543" s="99" t="str">
        <f aca="false">IF($E1543="","",IFERROR(INDEX(科目表!$A$4:$A$81,MATCH($E1543,科目表!$B$4:$B$81,0)),""))</f>
        <v/>
      </c>
      <c r="G1543" s="67" t="str">
        <f aca="false">IF($E1543="","",IFERROR(INDEX(科目表!$E$4:$E$81,MATCH($E1543,科目表!$B$4:$B$81,0)),""))</f>
        <v/>
      </c>
      <c r="H1543" s="70" t="str">
        <f aca="false">IF($E1543="","",N(INDEX(资金日记账!$N$4:$S$603,317,5)))</f>
        <v/>
      </c>
      <c r="I1543" s="70" t="str">
        <f aca="false">IF($E1543="","",N(INDEX(资金日记账!$N$4:$S$603,317,6)))</f>
        <v/>
      </c>
      <c r="J1543" s="67" t="str">
        <f aca="false">IF($E1543="","",INDEX(资金日记账!$E$4:$E$603,317))</f>
        <v/>
      </c>
      <c r="K1543" s="67" t="str">
        <f aca="false">IF($E1543="","",INDEX(资金日记账!$F$4:$F$603,317))</f>
        <v/>
      </c>
      <c r="L1543" s="107" t="str">
        <f aca="false">IF($E1543="","",INDEX(资金日记账!$X$4:$X$603,317))</f>
        <v/>
      </c>
      <c r="M1543" s="107"/>
      <c r="N1543" s="67" t="str">
        <f aca="false">IF($E1543="","",INDEX(资金日记账!$Y$4:$Y$603,317))</f>
        <v/>
      </c>
      <c r="O1543" s="67" t="str">
        <f aca="false">IF($E1543="","","自动B")</f>
        <v/>
      </c>
      <c r="P1543" s="18"/>
    </row>
    <row r="1544" customFormat="false" ht="18" hidden="false" customHeight="true" outlineLevel="0" collapsed="false">
      <c r="A1544" s="107" t="str">
        <f aca="false">IF($E1544="","",ROW()-3)</f>
        <v/>
      </c>
      <c r="B1544" s="110" t="str">
        <f aca="false">IF($E1544="","",INDEX(资金日记账!$B$4:$B$603,318))</f>
        <v/>
      </c>
      <c r="C1544" s="67" t="str">
        <f aca="false">IF($E1544="","",IF(INDEX(资金日记账!$W$4:$W$603,318)="","记-"&amp;TEXT($B1544,"YYYYMM")&amp;"-资金",INDEX(资金日记账!$W$4:$W$603,318)))</f>
        <v/>
      </c>
      <c r="D1544" s="107" t="str">
        <f aca="false">IF($E1544="","",INDEX(资金日记账!$D$4:$D$603,318))</f>
        <v/>
      </c>
      <c r="E1544" s="67" t="str">
        <f aca="false">IF(INDEX(资金日记账!$N$4:$S$603,318,1)=0,"",INDEX(资金日记账!$N$4:$S$603,318,1))</f>
        <v/>
      </c>
      <c r="F1544" s="99" t="str">
        <f aca="false">IF($E1544="","",IFERROR(INDEX(科目表!$A$4:$A$81,MATCH($E1544,科目表!$B$4:$B$81,0)),""))</f>
        <v/>
      </c>
      <c r="G1544" s="67" t="str">
        <f aca="false">IF($E1544="","",IFERROR(INDEX(科目表!$E$4:$E$81,MATCH($E1544,科目表!$B$4:$B$81,0)),""))</f>
        <v/>
      </c>
      <c r="H1544" s="70" t="str">
        <f aca="false">IF($E1544="","",N(INDEX(资金日记账!$N$4:$S$603,318,2)))</f>
        <v/>
      </c>
      <c r="I1544" s="70" t="str">
        <f aca="false">IF($E1544="","",N(INDEX(资金日记账!$N$4:$S$603,318,3)))</f>
        <v/>
      </c>
      <c r="J1544" s="67" t="str">
        <f aca="false">IF($E1544="","",INDEX(资金日记账!$E$4:$E$603,318))</f>
        <v/>
      </c>
      <c r="K1544" s="67" t="str">
        <f aca="false">IF($E1544="","",INDEX(资金日记账!$F$4:$F$603,318))</f>
        <v/>
      </c>
      <c r="L1544" s="107" t="str">
        <f aca="false">IF($E1544="","",INDEX(资金日记账!$X$4:$X$603,318))</f>
        <v/>
      </c>
      <c r="M1544" s="107"/>
      <c r="N1544" s="67" t="str">
        <f aca="false">IF($E1544="","",INDEX(资金日记账!$Y$4:$Y$603,318))</f>
        <v/>
      </c>
      <c r="O1544" s="67" t="str">
        <f aca="false">IF($E1544="","","自动B")</f>
        <v/>
      </c>
      <c r="P1544" s="18"/>
    </row>
    <row r="1545" customFormat="false" ht="18" hidden="false" customHeight="true" outlineLevel="0" collapsed="false">
      <c r="A1545" s="107" t="str">
        <f aca="false">IF($E1545="","",ROW()-3)</f>
        <v/>
      </c>
      <c r="B1545" s="110" t="str">
        <f aca="false">IF($E1545="","",INDEX(资金日记账!$B$4:$B$603,318))</f>
        <v/>
      </c>
      <c r="C1545" s="67" t="str">
        <f aca="false">IF($E1545="","",IF(INDEX(资金日记账!$W$4:$W$603,318)="","记-"&amp;TEXT($B1545,"YYYYMM")&amp;"-资金",INDEX(资金日记账!$W$4:$W$603,318)))</f>
        <v/>
      </c>
      <c r="D1545" s="107" t="str">
        <f aca="false">IF($E1545="","",INDEX(资金日记账!$D$4:$D$603,318))</f>
        <v/>
      </c>
      <c r="E1545" s="67" t="str">
        <f aca="false">IF(INDEX(资金日记账!$N$4:$S$603,318,4)=0,"",INDEX(资金日记账!$N$4:$S$603,318,4))</f>
        <v/>
      </c>
      <c r="F1545" s="99" t="str">
        <f aca="false">IF($E1545="","",IFERROR(INDEX(科目表!$A$4:$A$81,MATCH($E1545,科目表!$B$4:$B$81,0)),""))</f>
        <v/>
      </c>
      <c r="G1545" s="67" t="str">
        <f aca="false">IF($E1545="","",IFERROR(INDEX(科目表!$E$4:$E$81,MATCH($E1545,科目表!$B$4:$B$81,0)),""))</f>
        <v/>
      </c>
      <c r="H1545" s="70" t="str">
        <f aca="false">IF($E1545="","",N(INDEX(资金日记账!$N$4:$S$603,318,5)))</f>
        <v/>
      </c>
      <c r="I1545" s="70" t="str">
        <f aca="false">IF($E1545="","",N(INDEX(资金日记账!$N$4:$S$603,318,6)))</f>
        <v/>
      </c>
      <c r="J1545" s="67" t="str">
        <f aca="false">IF($E1545="","",INDEX(资金日记账!$E$4:$E$603,318))</f>
        <v/>
      </c>
      <c r="K1545" s="67" t="str">
        <f aca="false">IF($E1545="","",INDEX(资金日记账!$F$4:$F$603,318))</f>
        <v/>
      </c>
      <c r="L1545" s="107" t="str">
        <f aca="false">IF($E1545="","",INDEX(资金日记账!$X$4:$X$603,318))</f>
        <v/>
      </c>
      <c r="M1545" s="107"/>
      <c r="N1545" s="67" t="str">
        <f aca="false">IF($E1545="","",INDEX(资金日记账!$Y$4:$Y$603,318))</f>
        <v/>
      </c>
      <c r="O1545" s="67" t="str">
        <f aca="false">IF($E1545="","","自动B")</f>
        <v/>
      </c>
      <c r="P1545" s="18"/>
    </row>
    <row r="1546" customFormat="false" ht="18" hidden="false" customHeight="true" outlineLevel="0" collapsed="false">
      <c r="A1546" s="107" t="str">
        <f aca="false">IF($E1546="","",ROW()-3)</f>
        <v/>
      </c>
      <c r="B1546" s="110" t="str">
        <f aca="false">IF($E1546="","",INDEX(资金日记账!$B$4:$B$603,319))</f>
        <v/>
      </c>
      <c r="C1546" s="67" t="str">
        <f aca="false">IF($E1546="","",IF(INDEX(资金日记账!$W$4:$W$603,319)="","记-"&amp;TEXT($B1546,"YYYYMM")&amp;"-资金",INDEX(资金日记账!$W$4:$W$603,319)))</f>
        <v/>
      </c>
      <c r="D1546" s="107" t="str">
        <f aca="false">IF($E1546="","",INDEX(资金日记账!$D$4:$D$603,319))</f>
        <v/>
      </c>
      <c r="E1546" s="67" t="str">
        <f aca="false">IF(INDEX(资金日记账!$N$4:$S$603,319,1)=0,"",INDEX(资金日记账!$N$4:$S$603,319,1))</f>
        <v/>
      </c>
      <c r="F1546" s="99" t="str">
        <f aca="false">IF($E1546="","",IFERROR(INDEX(科目表!$A$4:$A$81,MATCH($E1546,科目表!$B$4:$B$81,0)),""))</f>
        <v/>
      </c>
      <c r="G1546" s="67" t="str">
        <f aca="false">IF($E1546="","",IFERROR(INDEX(科目表!$E$4:$E$81,MATCH($E1546,科目表!$B$4:$B$81,0)),""))</f>
        <v/>
      </c>
      <c r="H1546" s="70" t="str">
        <f aca="false">IF($E1546="","",N(INDEX(资金日记账!$N$4:$S$603,319,2)))</f>
        <v/>
      </c>
      <c r="I1546" s="70" t="str">
        <f aca="false">IF($E1546="","",N(INDEX(资金日记账!$N$4:$S$603,319,3)))</f>
        <v/>
      </c>
      <c r="J1546" s="67" t="str">
        <f aca="false">IF($E1546="","",INDEX(资金日记账!$E$4:$E$603,319))</f>
        <v/>
      </c>
      <c r="K1546" s="67" t="str">
        <f aca="false">IF($E1546="","",INDEX(资金日记账!$F$4:$F$603,319))</f>
        <v/>
      </c>
      <c r="L1546" s="107" t="str">
        <f aca="false">IF($E1546="","",INDEX(资金日记账!$X$4:$X$603,319))</f>
        <v/>
      </c>
      <c r="M1546" s="107"/>
      <c r="N1546" s="67" t="str">
        <f aca="false">IF($E1546="","",INDEX(资金日记账!$Y$4:$Y$603,319))</f>
        <v/>
      </c>
      <c r="O1546" s="67" t="str">
        <f aca="false">IF($E1546="","","自动B")</f>
        <v/>
      </c>
      <c r="P1546" s="18"/>
    </row>
    <row r="1547" customFormat="false" ht="18" hidden="false" customHeight="true" outlineLevel="0" collapsed="false">
      <c r="A1547" s="107" t="str">
        <f aca="false">IF($E1547="","",ROW()-3)</f>
        <v/>
      </c>
      <c r="B1547" s="110" t="str">
        <f aca="false">IF($E1547="","",INDEX(资金日记账!$B$4:$B$603,319))</f>
        <v/>
      </c>
      <c r="C1547" s="67" t="str">
        <f aca="false">IF($E1547="","",IF(INDEX(资金日记账!$W$4:$W$603,319)="","记-"&amp;TEXT($B1547,"YYYYMM")&amp;"-资金",INDEX(资金日记账!$W$4:$W$603,319)))</f>
        <v/>
      </c>
      <c r="D1547" s="107" t="str">
        <f aca="false">IF($E1547="","",INDEX(资金日记账!$D$4:$D$603,319))</f>
        <v/>
      </c>
      <c r="E1547" s="67" t="str">
        <f aca="false">IF(INDEX(资金日记账!$N$4:$S$603,319,4)=0,"",INDEX(资金日记账!$N$4:$S$603,319,4))</f>
        <v/>
      </c>
      <c r="F1547" s="99" t="str">
        <f aca="false">IF($E1547="","",IFERROR(INDEX(科目表!$A$4:$A$81,MATCH($E1547,科目表!$B$4:$B$81,0)),""))</f>
        <v/>
      </c>
      <c r="G1547" s="67" t="str">
        <f aca="false">IF($E1547="","",IFERROR(INDEX(科目表!$E$4:$E$81,MATCH($E1547,科目表!$B$4:$B$81,0)),""))</f>
        <v/>
      </c>
      <c r="H1547" s="70" t="str">
        <f aca="false">IF($E1547="","",N(INDEX(资金日记账!$N$4:$S$603,319,5)))</f>
        <v/>
      </c>
      <c r="I1547" s="70" t="str">
        <f aca="false">IF($E1547="","",N(INDEX(资金日记账!$N$4:$S$603,319,6)))</f>
        <v/>
      </c>
      <c r="J1547" s="67" t="str">
        <f aca="false">IF($E1547="","",INDEX(资金日记账!$E$4:$E$603,319))</f>
        <v/>
      </c>
      <c r="K1547" s="67" t="str">
        <f aca="false">IF($E1547="","",INDEX(资金日记账!$F$4:$F$603,319))</f>
        <v/>
      </c>
      <c r="L1547" s="107" t="str">
        <f aca="false">IF($E1547="","",INDEX(资金日记账!$X$4:$X$603,319))</f>
        <v/>
      </c>
      <c r="M1547" s="107"/>
      <c r="N1547" s="67" t="str">
        <f aca="false">IF($E1547="","",INDEX(资金日记账!$Y$4:$Y$603,319))</f>
        <v/>
      </c>
      <c r="O1547" s="67" t="str">
        <f aca="false">IF($E1547="","","自动B")</f>
        <v/>
      </c>
      <c r="P1547" s="18"/>
    </row>
    <row r="1548" customFormat="false" ht="18" hidden="false" customHeight="true" outlineLevel="0" collapsed="false">
      <c r="A1548" s="107" t="str">
        <f aca="false">IF($E1548="","",ROW()-3)</f>
        <v/>
      </c>
      <c r="B1548" s="110" t="str">
        <f aca="false">IF($E1548="","",INDEX(资金日记账!$B$4:$B$603,320))</f>
        <v/>
      </c>
      <c r="C1548" s="67" t="str">
        <f aca="false">IF($E1548="","",IF(INDEX(资金日记账!$W$4:$W$603,320)="","记-"&amp;TEXT($B1548,"YYYYMM")&amp;"-资金",INDEX(资金日记账!$W$4:$W$603,320)))</f>
        <v/>
      </c>
      <c r="D1548" s="107" t="str">
        <f aca="false">IF($E1548="","",INDEX(资金日记账!$D$4:$D$603,320))</f>
        <v/>
      </c>
      <c r="E1548" s="67" t="str">
        <f aca="false">IF(INDEX(资金日记账!$N$4:$S$603,320,1)=0,"",INDEX(资金日记账!$N$4:$S$603,320,1))</f>
        <v/>
      </c>
      <c r="F1548" s="99" t="str">
        <f aca="false">IF($E1548="","",IFERROR(INDEX(科目表!$A$4:$A$81,MATCH($E1548,科目表!$B$4:$B$81,0)),""))</f>
        <v/>
      </c>
      <c r="G1548" s="67" t="str">
        <f aca="false">IF($E1548="","",IFERROR(INDEX(科目表!$E$4:$E$81,MATCH($E1548,科目表!$B$4:$B$81,0)),""))</f>
        <v/>
      </c>
      <c r="H1548" s="70" t="str">
        <f aca="false">IF($E1548="","",N(INDEX(资金日记账!$N$4:$S$603,320,2)))</f>
        <v/>
      </c>
      <c r="I1548" s="70" t="str">
        <f aca="false">IF($E1548="","",N(INDEX(资金日记账!$N$4:$S$603,320,3)))</f>
        <v/>
      </c>
      <c r="J1548" s="67" t="str">
        <f aca="false">IF($E1548="","",INDEX(资金日记账!$E$4:$E$603,320))</f>
        <v/>
      </c>
      <c r="K1548" s="67" t="str">
        <f aca="false">IF($E1548="","",INDEX(资金日记账!$F$4:$F$603,320))</f>
        <v/>
      </c>
      <c r="L1548" s="107" t="str">
        <f aca="false">IF($E1548="","",INDEX(资金日记账!$X$4:$X$603,320))</f>
        <v/>
      </c>
      <c r="M1548" s="107"/>
      <c r="N1548" s="67" t="str">
        <f aca="false">IF($E1548="","",INDEX(资金日记账!$Y$4:$Y$603,320))</f>
        <v/>
      </c>
      <c r="O1548" s="67" t="str">
        <f aca="false">IF($E1548="","","自动B")</f>
        <v/>
      </c>
      <c r="P1548" s="18"/>
    </row>
    <row r="1549" customFormat="false" ht="18" hidden="false" customHeight="true" outlineLevel="0" collapsed="false">
      <c r="A1549" s="107" t="str">
        <f aca="false">IF($E1549="","",ROW()-3)</f>
        <v/>
      </c>
      <c r="B1549" s="110" t="str">
        <f aca="false">IF($E1549="","",INDEX(资金日记账!$B$4:$B$603,320))</f>
        <v/>
      </c>
      <c r="C1549" s="67" t="str">
        <f aca="false">IF($E1549="","",IF(INDEX(资金日记账!$W$4:$W$603,320)="","记-"&amp;TEXT($B1549,"YYYYMM")&amp;"-资金",INDEX(资金日记账!$W$4:$W$603,320)))</f>
        <v/>
      </c>
      <c r="D1549" s="107" t="str">
        <f aca="false">IF($E1549="","",INDEX(资金日记账!$D$4:$D$603,320))</f>
        <v/>
      </c>
      <c r="E1549" s="67" t="str">
        <f aca="false">IF(INDEX(资金日记账!$N$4:$S$603,320,4)=0,"",INDEX(资金日记账!$N$4:$S$603,320,4))</f>
        <v/>
      </c>
      <c r="F1549" s="99" t="str">
        <f aca="false">IF($E1549="","",IFERROR(INDEX(科目表!$A$4:$A$81,MATCH($E1549,科目表!$B$4:$B$81,0)),""))</f>
        <v/>
      </c>
      <c r="G1549" s="67" t="str">
        <f aca="false">IF($E1549="","",IFERROR(INDEX(科目表!$E$4:$E$81,MATCH($E1549,科目表!$B$4:$B$81,0)),""))</f>
        <v/>
      </c>
      <c r="H1549" s="70" t="str">
        <f aca="false">IF($E1549="","",N(INDEX(资金日记账!$N$4:$S$603,320,5)))</f>
        <v/>
      </c>
      <c r="I1549" s="70" t="str">
        <f aca="false">IF($E1549="","",N(INDEX(资金日记账!$N$4:$S$603,320,6)))</f>
        <v/>
      </c>
      <c r="J1549" s="67" t="str">
        <f aca="false">IF($E1549="","",INDEX(资金日记账!$E$4:$E$603,320))</f>
        <v/>
      </c>
      <c r="K1549" s="67" t="str">
        <f aca="false">IF($E1549="","",INDEX(资金日记账!$F$4:$F$603,320))</f>
        <v/>
      </c>
      <c r="L1549" s="107" t="str">
        <f aca="false">IF($E1549="","",INDEX(资金日记账!$X$4:$X$603,320))</f>
        <v/>
      </c>
      <c r="M1549" s="107"/>
      <c r="N1549" s="67" t="str">
        <f aca="false">IF($E1549="","",INDEX(资金日记账!$Y$4:$Y$603,320))</f>
        <v/>
      </c>
      <c r="O1549" s="67" t="str">
        <f aca="false">IF($E1549="","","自动B")</f>
        <v/>
      </c>
      <c r="P1549" s="18"/>
    </row>
    <row r="1550" customFormat="false" ht="18" hidden="false" customHeight="true" outlineLevel="0" collapsed="false">
      <c r="A1550" s="107" t="str">
        <f aca="false">IF($E1550="","",ROW()-3)</f>
        <v/>
      </c>
      <c r="B1550" s="110" t="str">
        <f aca="false">IF($E1550="","",INDEX(资金日记账!$B$4:$B$603,321))</f>
        <v/>
      </c>
      <c r="C1550" s="67" t="str">
        <f aca="false">IF($E1550="","",IF(INDEX(资金日记账!$W$4:$W$603,321)="","记-"&amp;TEXT($B1550,"YYYYMM")&amp;"-资金",INDEX(资金日记账!$W$4:$W$603,321)))</f>
        <v/>
      </c>
      <c r="D1550" s="107" t="str">
        <f aca="false">IF($E1550="","",INDEX(资金日记账!$D$4:$D$603,321))</f>
        <v/>
      </c>
      <c r="E1550" s="67" t="str">
        <f aca="false">IF(INDEX(资金日记账!$N$4:$S$603,321,1)=0,"",INDEX(资金日记账!$N$4:$S$603,321,1))</f>
        <v/>
      </c>
      <c r="F1550" s="99" t="str">
        <f aca="false">IF($E1550="","",IFERROR(INDEX(科目表!$A$4:$A$81,MATCH($E1550,科目表!$B$4:$B$81,0)),""))</f>
        <v/>
      </c>
      <c r="G1550" s="67" t="str">
        <f aca="false">IF($E1550="","",IFERROR(INDEX(科目表!$E$4:$E$81,MATCH($E1550,科目表!$B$4:$B$81,0)),""))</f>
        <v/>
      </c>
      <c r="H1550" s="70" t="str">
        <f aca="false">IF($E1550="","",N(INDEX(资金日记账!$N$4:$S$603,321,2)))</f>
        <v/>
      </c>
      <c r="I1550" s="70" t="str">
        <f aca="false">IF($E1550="","",N(INDEX(资金日记账!$N$4:$S$603,321,3)))</f>
        <v/>
      </c>
      <c r="J1550" s="67" t="str">
        <f aca="false">IF($E1550="","",INDEX(资金日记账!$E$4:$E$603,321))</f>
        <v/>
      </c>
      <c r="K1550" s="67" t="str">
        <f aca="false">IF($E1550="","",INDEX(资金日记账!$F$4:$F$603,321))</f>
        <v/>
      </c>
      <c r="L1550" s="107" t="str">
        <f aca="false">IF($E1550="","",INDEX(资金日记账!$X$4:$X$603,321))</f>
        <v/>
      </c>
      <c r="M1550" s="107"/>
      <c r="N1550" s="67" t="str">
        <f aca="false">IF($E1550="","",INDEX(资金日记账!$Y$4:$Y$603,321))</f>
        <v/>
      </c>
      <c r="O1550" s="67" t="str">
        <f aca="false">IF($E1550="","","自动B")</f>
        <v/>
      </c>
      <c r="P1550" s="18"/>
    </row>
    <row r="1551" customFormat="false" ht="18" hidden="false" customHeight="true" outlineLevel="0" collapsed="false">
      <c r="A1551" s="107" t="str">
        <f aca="false">IF($E1551="","",ROW()-3)</f>
        <v/>
      </c>
      <c r="B1551" s="110" t="str">
        <f aca="false">IF($E1551="","",INDEX(资金日记账!$B$4:$B$603,321))</f>
        <v/>
      </c>
      <c r="C1551" s="67" t="str">
        <f aca="false">IF($E1551="","",IF(INDEX(资金日记账!$W$4:$W$603,321)="","记-"&amp;TEXT($B1551,"YYYYMM")&amp;"-资金",INDEX(资金日记账!$W$4:$W$603,321)))</f>
        <v/>
      </c>
      <c r="D1551" s="107" t="str">
        <f aca="false">IF($E1551="","",INDEX(资金日记账!$D$4:$D$603,321))</f>
        <v/>
      </c>
      <c r="E1551" s="67" t="str">
        <f aca="false">IF(INDEX(资金日记账!$N$4:$S$603,321,4)=0,"",INDEX(资金日记账!$N$4:$S$603,321,4))</f>
        <v/>
      </c>
      <c r="F1551" s="99" t="str">
        <f aca="false">IF($E1551="","",IFERROR(INDEX(科目表!$A$4:$A$81,MATCH($E1551,科目表!$B$4:$B$81,0)),""))</f>
        <v/>
      </c>
      <c r="G1551" s="67" t="str">
        <f aca="false">IF($E1551="","",IFERROR(INDEX(科目表!$E$4:$E$81,MATCH($E1551,科目表!$B$4:$B$81,0)),""))</f>
        <v/>
      </c>
      <c r="H1551" s="70" t="str">
        <f aca="false">IF($E1551="","",N(INDEX(资金日记账!$N$4:$S$603,321,5)))</f>
        <v/>
      </c>
      <c r="I1551" s="70" t="str">
        <f aca="false">IF($E1551="","",N(INDEX(资金日记账!$N$4:$S$603,321,6)))</f>
        <v/>
      </c>
      <c r="J1551" s="67" t="str">
        <f aca="false">IF($E1551="","",INDEX(资金日记账!$E$4:$E$603,321))</f>
        <v/>
      </c>
      <c r="K1551" s="67" t="str">
        <f aca="false">IF($E1551="","",INDEX(资金日记账!$F$4:$F$603,321))</f>
        <v/>
      </c>
      <c r="L1551" s="107" t="str">
        <f aca="false">IF($E1551="","",INDEX(资金日记账!$X$4:$X$603,321))</f>
        <v/>
      </c>
      <c r="M1551" s="107"/>
      <c r="N1551" s="67" t="str">
        <f aca="false">IF($E1551="","",INDEX(资金日记账!$Y$4:$Y$603,321))</f>
        <v/>
      </c>
      <c r="O1551" s="67" t="str">
        <f aca="false">IF($E1551="","","自动B")</f>
        <v/>
      </c>
      <c r="P1551" s="18"/>
    </row>
    <row r="1552" customFormat="false" ht="18" hidden="false" customHeight="true" outlineLevel="0" collapsed="false">
      <c r="A1552" s="107" t="str">
        <f aca="false">IF($E1552="","",ROW()-3)</f>
        <v/>
      </c>
      <c r="B1552" s="110" t="str">
        <f aca="false">IF($E1552="","",INDEX(资金日记账!$B$4:$B$603,322))</f>
        <v/>
      </c>
      <c r="C1552" s="67" t="str">
        <f aca="false">IF($E1552="","",IF(INDEX(资金日记账!$W$4:$W$603,322)="","记-"&amp;TEXT($B1552,"YYYYMM")&amp;"-资金",INDEX(资金日记账!$W$4:$W$603,322)))</f>
        <v/>
      </c>
      <c r="D1552" s="107" t="str">
        <f aca="false">IF($E1552="","",INDEX(资金日记账!$D$4:$D$603,322))</f>
        <v/>
      </c>
      <c r="E1552" s="67" t="str">
        <f aca="false">IF(INDEX(资金日记账!$N$4:$S$603,322,1)=0,"",INDEX(资金日记账!$N$4:$S$603,322,1))</f>
        <v/>
      </c>
      <c r="F1552" s="99" t="str">
        <f aca="false">IF($E1552="","",IFERROR(INDEX(科目表!$A$4:$A$81,MATCH($E1552,科目表!$B$4:$B$81,0)),""))</f>
        <v/>
      </c>
      <c r="G1552" s="67" t="str">
        <f aca="false">IF($E1552="","",IFERROR(INDEX(科目表!$E$4:$E$81,MATCH($E1552,科目表!$B$4:$B$81,0)),""))</f>
        <v/>
      </c>
      <c r="H1552" s="70" t="str">
        <f aca="false">IF($E1552="","",N(INDEX(资金日记账!$N$4:$S$603,322,2)))</f>
        <v/>
      </c>
      <c r="I1552" s="70" t="str">
        <f aca="false">IF($E1552="","",N(INDEX(资金日记账!$N$4:$S$603,322,3)))</f>
        <v/>
      </c>
      <c r="J1552" s="67" t="str">
        <f aca="false">IF($E1552="","",INDEX(资金日记账!$E$4:$E$603,322))</f>
        <v/>
      </c>
      <c r="K1552" s="67" t="str">
        <f aca="false">IF($E1552="","",INDEX(资金日记账!$F$4:$F$603,322))</f>
        <v/>
      </c>
      <c r="L1552" s="107" t="str">
        <f aca="false">IF($E1552="","",INDEX(资金日记账!$X$4:$X$603,322))</f>
        <v/>
      </c>
      <c r="M1552" s="107"/>
      <c r="N1552" s="67" t="str">
        <f aca="false">IF($E1552="","",INDEX(资金日记账!$Y$4:$Y$603,322))</f>
        <v/>
      </c>
      <c r="O1552" s="67" t="str">
        <f aca="false">IF($E1552="","","自动B")</f>
        <v/>
      </c>
      <c r="P1552" s="18"/>
    </row>
    <row r="1553" customFormat="false" ht="18" hidden="false" customHeight="true" outlineLevel="0" collapsed="false">
      <c r="A1553" s="107" t="str">
        <f aca="false">IF($E1553="","",ROW()-3)</f>
        <v/>
      </c>
      <c r="B1553" s="110" t="str">
        <f aca="false">IF($E1553="","",INDEX(资金日记账!$B$4:$B$603,322))</f>
        <v/>
      </c>
      <c r="C1553" s="67" t="str">
        <f aca="false">IF($E1553="","",IF(INDEX(资金日记账!$W$4:$W$603,322)="","记-"&amp;TEXT($B1553,"YYYYMM")&amp;"-资金",INDEX(资金日记账!$W$4:$W$603,322)))</f>
        <v/>
      </c>
      <c r="D1553" s="107" t="str">
        <f aca="false">IF($E1553="","",INDEX(资金日记账!$D$4:$D$603,322))</f>
        <v/>
      </c>
      <c r="E1553" s="67" t="str">
        <f aca="false">IF(INDEX(资金日记账!$N$4:$S$603,322,4)=0,"",INDEX(资金日记账!$N$4:$S$603,322,4))</f>
        <v/>
      </c>
      <c r="F1553" s="99" t="str">
        <f aca="false">IF($E1553="","",IFERROR(INDEX(科目表!$A$4:$A$81,MATCH($E1553,科目表!$B$4:$B$81,0)),""))</f>
        <v/>
      </c>
      <c r="G1553" s="67" t="str">
        <f aca="false">IF($E1553="","",IFERROR(INDEX(科目表!$E$4:$E$81,MATCH($E1553,科目表!$B$4:$B$81,0)),""))</f>
        <v/>
      </c>
      <c r="H1553" s="70" t="str">
        <f aca="false">IF($E1553="","",N(INDEX(资金日记账!$N$4:$S$603,322,5)))</f>
        <v/>
      </c>
      <c r="I1553" s="70" t="str">
        <f aca="false">IF($E1553="","",N(INDEX(资金日记账!$N$4:$S$603,322,6)))</f>
        <v/>
      </c>
      <c r="J1553" s="67" t="str">
        <f aca="false">IF($E1553="","",INDEX(资金日记账!$E$4:$E$603,322))</f>
        <v/>
      </c>
      <c r="K1553" s="67" t="str">
        <f aca="false">IF($E1553="","",INDEX(资金日记账!$F$4:$F$603,322))</f>
        <v/>
      </c>
      <c r="L1553" s="107" t="str">
        <f aca="false">IF($E1553="","",INDEX(资金日记账!$X$4:$X$603,322))</f>
        <v/>
      </c>
      <c r="M1553" s="107"/>
      <c r="N1553" s="67" t="str">
        <f aca="false">IF($E1553="","",INDEX(资金日记账!$Y$4:$Y$603,322))</f>
        <v/>
      </c>
      <c r="O1553" s="67" t="str">
        <f aca="false">IF($E1553="","","自动B")</f>
        <v/>
      </c>
      <c r="P1553" s="18"/>
    </row>
    <row r="1554" customFormat="false" ht="18" hidden="false" customHeight="true" outlineLevel="0" collapsed="false">
      <c r="A1554" s="107" t="str">
        <f aca="false">IF($E1554="","",ROW()-3)</f>
        <v/>
      </c>
      <c r="B1554" s="110" t="str">
        <f aca="false">IF($E1554="","",INDEX(资金日记账!$B$4:$B$603,323))</f>
        <v/>
      </c>
      <c r="C1554" s="67" t="str">
        <f aca="false">IF($E1554="","",IF(INDEX(资金日记账!$W$4:$W$603,323)="","记-"&amp;TEXT($B1554,"YYYYMM")&amp;"-资金",INDEX(资金日记账!$W$4:$W$603,323)))</f>
        <v/>
      </c>
      <c r="D1554" s="107" t="str">
        <f aca="false">IF($E1554="","",INDEX(资金日记账!$D$4:$D$603,323))</f>
        <v/>
      </c>
      <c r="E1554" s="67" t="str">
        <f aca="false">IF(INDEX(资金日记账!$N$4:$S$603,323,1)=0,"",INDEX(资金日记账!$N$4:$S$603,323,1))</f>
        <v/>
      </c>
      <c r="F1554" s="99" t="str">
        <f aca="false">IF($E1554="","",IFERROR(INDEX(科目表!$A$4:$A$81,MATCH($E1554,科目表!$B$4:$B$81,0)),""))</f>
        <v/>
      </c>
      <c r="G1554" s="67" t="str">
        <f aca="false">IF($E1554="","",IFERROR(INDEX(科目表!$E$4:$E$81,MATCH($E1554,科目表!$B$4:$B$81,0)),""))</f>
        <v/>
      </c>
      <c r="H1554" s="70" t="str">
        <f aca="false">IF($E1554="","",N(INDEX(资金日记账!$N$4:$S$603,323,2)))</f>
        <v/>
      </c>
      <c r="I1554" s="70" t="str">
        <f aca="false">IF($E1554="","",N(INDEX(资金日记账!$N$4:$S$603,323,3)))</f>
        <v/>
      </c>
      <c r="J1554" s="67" t="str">
        <f aca="false">IF($E1554="","",INDEX(资金日记账!$E$4:$E$603,323))</f>
        <v/>
      </c>
      <c r="K1554" s="67" t="str">
        <f aca="false">IF($E1554="","",INDEX(资金日记账!$F$4:$F$603,323))</f>
        <v/>
      </c>
      <c r="L1554" s="107" t="str">
        <f aca="false">IF($E1554="","",INDEX(资金日记账!$X$4:$X$603,323))</f>
        <v/>
      </c>
      <c r="M1554" s="107"/>
      <c r="N1554" s="67" t="str">
        <f aca="false">IF($E1554="","",INDEX(资金日记账!$Y$4:$Y$603,323))</f>
        <v/>
      </c>
      <c r="O1554" s="67" t="str">
        <f aca="false">IF($E1554="","","自动B")</f>
        <v/>
      </c>
      <c r="P1554" s="18"/>
    </row>
    <row r="1555" customFormat="false" ht="18" hidden="false" customHeight="true" outlineLevel="0" collapsed="false">
      <c r="A1555" s="107" t="str">
        <f aca="false">IF($E1555="","",ROW()-3)</f>
        <v/>
      </c>
      <c r="B1555" s="110" t="str">
        <f aca="false">IF($E1555="","",INDEX(资金日记账!$B$4:$B$603,323))</f>
        <v/>
      </c>
      <c r="C1555" s="67" t="str">
        <f aca="false">IF($E1555="","",IF(INDEX(资金日记账!$W$4:$W$603,323)="","记-"&amp;TEXT($B1555,"YYYYMM")&amp;"-资金",INDEX(资金日记账!$W$4:$W$603,323)))</f>
        <v/>
      </c>
      <c r="D1555" s="107" t="str">
        <f aca="false">IF($E1555="","",INDEX(资金日记账!$D$4:$D$603,323))</f>
        <v/>
      </c>
      <c r="E1555" s="67" t="str">
        <f aca="false">IF(INDEX(资金日记账!$N$4:$S$603,323,4)=0,"",INDEX(资金日记账!$N$4:$S$603,323,4))</f>
        <v/>
      </c>
      <c r="F1555" s="99" t="str">
        <f aca="false">IF($E1555="","",IFERROR(INDEX(科目表!$A$4:$A$81,MATCH($E1555,科目表!$B$4:$B$81,0)),""))</f>
        <v/>
      </c>
      <c r="G1555" s="67" t="str">
        <f aca="false">IF($E1555="","",IFERROR(INDEX(科目表!$E$4:$E$81,MATCH($E1555,科目表!$B$4:$B$81,0)),""))</f>
        <v/>
      </c>
      <c r="H1555" s="70" t="str">
        <f aca="false">IF($E1555="","",N(INDEX(资金日记账!$N$4:$S$603,323,5)))</f>
        <v/>
      </c>
      <c r="I1555" s="70" t="str">
        <f aca="false">IF($E1555="","",N(INDEX(资金日记账!$N$4:$S$603,323,6)))</f>
        <v/>
      </c>
      <c r="J1555" s="67" t="str">
        <f aca="false">IF($E1555="","",INDEX(资金日记账!$E$4:$E$603,323))</f>
        <v/>
      </c>
      <c r="K1555" s="67" t="str">
        <f aca="false">IF($E1555="","",INDEX(资金日记账!$F$4:$F$603,323))</f>
        <v/>
      </c>
      <c r="L1555" s="107" t="str">
        <f aca="false">IF($E1555="","",INDEX(资金日记账!$X$4:$X$603,323))</f>
        <v/>
      </c>
      <c r="M1555" s="107"/>
      <c r="N1555" s="67" t="str">
        <f aca="false">IF($E1555="","",INDEX(资金日记账!$Y$4:$Y$603,323))</f>
        <v/>
      </c>
      <c r="O1555" s="67" t="str">
        <f aca="false">IF($E1555="","","自动B")</f>
        <v/>
      </c>
      <c r="P1555" s="18"/>
    </row>
    <row r="1556" customFormat="false" ht="18" hidden="false" customHeight="true" outlineLevel="0" collapsed="false">
      <c r="A1556" s="107" t="str">
        <f aca="false">IF($E1556="","",ROW()-3)</f>
        <v/>
      </c>
      <c r="B1556" s="110" t="str">
        <f aca="false">IF($E1556="","",INDEX(资金日记账!$B$4:$B$603,324))</f>
        <v/>
      </c>
      <c r="C1556" s="67" t="str">
        <f aca="false">IF($E1556="","",IF(INDEX(资金日记账!$W$4:$W$603,324)="","记-"&amp;TEXT($B1556,"YYYYMM")&amp;"-资金",INDEX(资金日记账!$W$4:$W$603,324)))</f>
        <v/>
      </c>
      <c r="D1556" s="107" t="str">
        <f aca="false">IF($E1556="","",INDEX(资金日记账!$D$4:$D$603,324))</f>
        <v/>
      </c>
      <c r="E1556" s="67" t="str">
        <f aca="false">IF(INDEX(资金日记账!$N$4:$S$603,324,1)=0,"",INDEX(资金日记账!$N$4:$S$603,324,1))</f>
        <v/>
      </c>
      <c r="F1556" s="99" t="str">
        <f aca="false">IF($E1556="","",IFERROR(INDEX(科目表!$A$4:$A$81,MATCH($E1556,科目表!$B$4:$B$81,0)),""))</f>
        <v/>
      </c>
      <c r="G1556" s="67" t="str">
        <f aca="false">IF($E1556="","",IFERROR(INDEX(科目表!$E$4:$E$81,MATCH($E1556,科目表!$B$4:$B$81,0)),""))</f>
        <v/>
      </c>
      <c r="H1556" s="70" t="str">
        <f aca="false">IF($E1556="","",N(INDEX(资金日记账!$N$4:$S$603,324,2)))</f>
        <v/>
      </c>
      <c r="I1556" s="70" t="str">
        <f aca="false">IF($E1556="","",N(INDEX(资金日记账!$N$4:$S$603,324,3)))</f>
        <v/>
      </c>
      <c r="J1556" s="67" t="str">
        <f aca="false">IF($E1556="","",INDEX(资金日记账!$E$4:$E$603,324))</f>
        <v/>
      </c>
      <c r="K1556" s="67" t="str">
        <f aca="false">IF($E1556="","",INDEX(资金日记账!$F$4:$F$603,324))</f>
        <v/>
      </c>
      <c r="L1556" s="107" t="str">
        <f aca="false">IF($E1556="","",INDEX(资金日记账!$X$4:$X$603,324))</f>
        <v/>
      </c>
      <c r="M1556" s="107"/>
      <c r="N1556" s="67" t="str">
        <f aca="false">IF($E1556="","",INDEX(资金日记账!$Y$4:$Y$603,324))</f>
        <v/>
      </c>
      <c r="O1556" s="67" t="str">
        <f aca="false">IF($E1556="","","自动B")</f>
        <v/>
      </c>
      <c r="P1556" s="18"/>
    </row>
    <row r="1557" customFormat="false" ht="18" hidden="false" customHeight="true" outlineLevel="0" collapsed="false">
      <c r="A1557" s="107" t="str">
        <f aca="false">IF($E1557="","",ROW()-3)</f>
        <v/>
      </c>
      <c r="B1557" s="110" t="str">
        <f aca="false">IF($E1557="","",INDEX(资金日记账!$B$4:$B$603,324))</f>
        <v/>
      </c>
      <c r="C1557" s="67" t="str">
        <f aca="false">IF($E1557="","",IF(INDEX(资金日记账!$W$4:$W$603,324)="","记-"&amp;TEXT($B1557,"YYYYMM")&amp;"-资金",INDEX(资金日记账!$W$4:$W$603,324)))</f>
        <v/>
      </c>
      <c r="D1557" s="107" t="str">
        <f aca="false">IF($E1557="","",INDEX(资金日记账!$D$4:$D$603,324))</f>
        <v/>
      </c>
      <c r="E1557" s="67" t="str">
        <f aca="false">IF(INDEX(资金日记账!$N$4:$S$603,324,4)=0,"",INDEX(资金日记账!$N$4:$S$603,324,4))</f>
        <v/>
      </c>
      <c r="F1557" s="99" t="str">
        <f aca="false">IF($E1557="","",IFERROR(INDEX(科目表!$A$4:$A$81,MATCH($E1557,科目表!$B$4:$B$81,0)),""))</f>
        <v/>
      </c>
      <c r="G1557" s="67" t="str">
        <f aca="false">IF($E1557="","",IFERROR(INDEX(科目表!$E$4:$E$81,MATCH($E1557,科目表!$B$4:$B$81,0)),""))</f>
        <v/>
      </c>
      <c r="H1557" s="70" t="str">
        <f aca="false">IF($E1557="","",N(INDEX(资金日记账!$N$4:$S$603,324,5)))</f>
        <v/>
      </c>
      <c r="I1557" s="70" t="str">
        <f aca="false">IF($E1557="","",N(INDEX(资金日记账!$N$4:$S$603,324,6)))</f>
        <v/>
      </c>
      <c r="J1557" s="67" t="str">
        <f aca="false">IF($E1557="","",INDEX(资金日记账!$E$4:$E$603,324))</f>
        <v/>
      </c>
      <c r="K1557" s="67" t="str">
        <f aca="false">IF($E1557="","",INDEX(资金日记账!$F$4:$F$603,324))</f>
        <v/>
      </c>
      <c r="L1557" s="107" t="str">
        <f aca="false">IF($E1557="","",INDEX(资金日记账!$X$4:$X$603,324))</f>
        <v/>
      </c>
      <c r="M1557" s="107"/>
      <c r="N1557" s="67" t="str">
        <f aca="false">IF($E1557="","",INDEX(资金日记账!$Y$4:$Y$603,324))</f>
        <v/>
      </c>
      <c r="O1557" s="67" t="str">
        <f aca="false">IF($E1557="","","自动B")</f>
        <v/>
      </c>
      <c r="P1557" s="18"/>
    </row>
    <row r="1558" customFormat="false" ht="18" hidden="false" customHeight="true" outlineLevel="0" collapsed="false">
      <c r="A1558" s="107" t="str">
        <f aca="false">IF($E1558="","",ROW()-3)</f>
        <v/>
      </c>
      <c r="B1558" s="110" t="str">
        <f aca="false">IF($E1558="","",INDEX(资金日记账!$B$4:$B$603,325))</f>
        <v/>
      </c>
      <c r="C1558" s="67" t="str">
        <f aca="false">IF($E1558="","",IF(INDEX(资金日记账!$W$4:$W$603,325)="","记-"&amp;TEXT($B1558,"YYYYMM")&amp;"-资金",INDEX(资金日记账!$W$4:$W$603,325)))</f>
        <v/>
      </c>
      <c r="D1558" s="107" t="str">
        <f aca="false">IF($E1558="","",INDEX(资金日记账!$D$4:$D$603,325))</f>
        <v/>
      </c>
      <c r="E1558" s="67" t="str">
        <f aca="false">IF(INDEX(资金日记账!$N$4:$S$603,325,1)=0,"",INDEX(资金日记账!$N$4:$S$603,325,1))</f>
        <v/>
      </c>
      <c r="F1558" s="99" t="str">
        <f aca="false">IF($E1558="","",IFERROR(INDEX(科目表!$A$4:$A$81,MATCH($E1558,科目表!$B$4:$B$81,0)),""))</f>
        <v/>
      </c>
      <c r="G1558" s="67" t="str">
        <f aca="false">IF($E1558="","",IFERROR(INDEX(科目表!$E$4:$E$81,MATCH($E1558,科目表!$B$4:$B$81,0)),""))</f>
        <v/>
      </c>
      <c r="H1558" s="70" t="str">
        <f aca="false">IF($E1558="","",N(INDEX(资金日记账!$N$4:$S$603,325,2)))</f>
        <v/>
      </c>
      <c r="I1558" s="70" t="str">
        <f aca="false">IF($E1558="","",N(INDEX(资金日记账!$N$4:$S$603,325,3)))</f>
        <v/>
      </c>
      <c r="J1558" s="67" t="str">
        <f aca="false">IF($E1558="","",INDEX(资金日记账!$E$4:$E$603,325))</f>
        <v/>
      </c>
      <c r="K1558" s="67" t="str">
        <f aca="false">IF($E1558="","",INDEX(资金日记账!$F$4:$F$603,325))</f>
        <v/>
      </c>
      <c r="L1558" s="107" t="str">
        <f aca="false">IF($E1558="","",INDEX(资金日记账!$X$4:$X$603,325))</f>
        <v/>
      </c>
      <c r="M1558" s="107"/>
      <c r="N1558" s="67" t="str">
        <f aca="false">IF($E1558="","",INDEX(资金日记账!$Y$4:$Y$603,325))</f>
        <v/>
      </c>
      <c r="O1558" s="67" t="str">
        <f aca="false">IF($E1558="","","自动B")</f>
        <v/>
      </c>
      <c r="P1558" s="18"/>
    </row>
    <row r="1559" customFormat="false" ht="18" hidden="false" customHeight="true" outlineLevel="0" collapsed="false">
      <c r="A1559" s="107" t="str">
        <f aca="false">IF($E1559="","",ROW()-3)</f>
        <v/>
      </c>
      <c r="B1559" s="110" t="str">
        <f aca="false">IF($E1559="","",INDEX(资金日记账!$B$4:$B$603,325))</f>
        <v/>
      </c>
      <c r="C1559" s="67" t="str">
        <f aca="false">IF($E1559="","",IF(INDEX(资金日记账!$W$4:$W$603,325)="","记-"&amp;TEXT($B1559,"YYYYMM")&amp;"-资金",INDEX(资金日记账!$W$4:$W$603,325)))</f>
        <v/>
      </c>
      <c r="D1559" s="107" t="str">
        <f aca="false">IF($E1559="","",INDEX(资金日记账!$D$4:$D$603,325))</f>
        <v/>
      </c>
      <c r="E1559" s="67" t="str">
        <f aca="false">IF(INDEX(资金日记账!$N$4:$S$603,325,4)=0,"",INDEX(资金日记账!$N$4:$S$603,325,4))</f>
        <v/>
      </c>
      <c r="F1559" s="99" t="str">
        <f aca="false">IF($E1559="","",IFERROR(INDEX(科目表!$A$4:$A$81,MATCH($E1559,科目表!$B$4:$B$81,0)),""))</f>
        <v/>
      </c>
      <c r="G1559" s="67" t="str">
        <f aca="false">IF($E1559="","",IFERROR(INDEX(科目表!$E$4:$E$81,MATCH($E1559,科目表!$B$4:$B$81,0)),""))</f>
        <v/>
      </c>
      <c r="H1559" s="70" t="str">
        <f aca="false">IF($E1559="","",N(INDEX(资金日记账!$N$4:$S$603,325,5)))</f>
        <v/>
      </c>
      <c r="I1559" s="70" t="str">
        <f aca="false">IF($E1559="","",N(INDEX(资金日记账!$N$4:$S$603,325,6)))</f>
        <v/>
      </c>
      <c r="J1559" s="67" t="str">
        <f aca="false">IF($E1559="","",INDEX(资金日记账!$E$4:$E$603,325))</f>
        <v/>
      </c>
      <c r="K1559" s="67" t="str">
        <f aca="false">IF($E1559="","",INDEX(资金日记账!$F$4:$F$603,325))</f>
        <v/>
      </c>
      <c r="L1559" s="107" t="str">
        <f aca="false">IF($E1559="","",INDEX(资金日记账!$X$4:$X$603,325))</f>
        <v/>
      </c>
      <c r="M1559" s="107"/>
      <c r="N1559" s="67" t="str">
        <f aca="false">IF($E1559="","",INDEX(资金日记账!$Y$4:$Y$603,325))</f>
        <v/>
      </c>
      <c r="O1559" s="67" t="str">
        <f aca="false">IF($E1559="","","自动B")</f>
        <v/>
      </c>
      <c r="P1559" s="18"/>
    </row>
    <row r="1560" customFormat="false" ht="18" hidden="false" customHeight="true" outlineLevel="0" collapsed="false">
      <c r="A1560" s="107" t="str">
        <f aca="false">IF($E1560="","",ROW()-3)</f>
        <v/>
      </c>
      <c r="B1560" s="110" t="str">
        <f aca="false">IF($E1560="","",INDEX(资金日记账!$B$4:$B$603,326))</f>
        <v/>
      </c>
      <c r="C1560" s="67" t="str">
        <f aca="false">IF($E1560="","",IF(INDEX(资金日记账!$W$4:$W$603,326)="","记-"&amp;TEXT($B1560,"YYYYMM")&amp;"-资金",INDEX(资金日记账!$W$4:$W$603,326)))</f>
        <v/>
      </c>
      <c r="D1560" s="107" t="str">
        <f aca="false">IF($E1560="","",INDEX(资金日记账!$D$4:$D$603,326))</f>
        <v/>
      </c>
      <c r="E1560" s="67" t="str">
        <f aca="false">IF(INDEX(资金日记账!$N$4:$S$603,326,1)=0,"",INDEX(资金日记账!$N$4:$S$603,326,1))</f>
        <v/>
      </c>
      <c r="F1560" s="99" t="str">
        <f aca="false">IF($E1560="","",IFERROR(INDEX(科目表!$A$4:$A$81,MATCH($E1560,科目表!$B$4:$B$81,0)),""))</f>
        <v/>
      </c>
      <c r="G1560" s="67" t="str">
        <f aca="false">IF($E1560="","",IFERROR(INDEX(科目表!$E$4:$E$81,MATCH($E1560,科目表!$B$4:$B$81,0)),""))</f>
        <v/>
      </c>
      <c r="H1560" s="70" t="str">
        <f aca="false">IF($E1560="","",N(INDEX(资金日记账!$N$4:$S$603,326,2)))</f>
        <v/>
      </c>
      <c r="I1560" s="70" t="str">
        <f aca="false">IF($E1560="","",N(INDEX(资金日记账!$N$4:$S$603,326,3)))</f>
        <v/>
      </c>
      <c r="J1560" s="67" t="str">
        <f aca="false">IF($E1560="","",INDEX(资金日记账!$E$4:$E$603,326))</f>
        <v/>
      </c>
      <c r="K1560" s="67" t="str">
        <f aca="false">IF($E1560="","",INDEX(资金日记账!$F$4:$F$603,326))</f>
        <v/>
      </c>
      <c r="L1560" s="107" t="str">
        <f aca="false">IF($E1560="","",INDEX(资金日记账!$X$4:$X$603,326))</f>
        <v/>
      </c>
      <c r="M1560" s="107"/>
      <c r="N1560" s="67" t="str">
        <f aca="false">IF($E1560="","",INDEX(资金日记账!$Y$4:$Y$603,326))</f>
        <v/>
      </c>
      <c r="O1560" s="67" t="str">
        <f aca="false">IF($E1560="","","自动B")</f>
        <v/>
      </c>
      <c r="P1560" s="18"/>
    </row>
    <row r="1561" customFormat="false" ht="18" hidden="false" customHeight="true" outlineLevel="0" collapsed="false">
      <c r="A1561" s="107" t="str">
        <f aca="false">IF($E1561="","",ROW()-3)</f>
        <v/>
      </c>
      <c r="B1561" s="110" t="str">
        <f aca="false">IF($E1561="","",INDEX(资金日记账!$B$4:$B$603,326))</f>
        <v/>
      </c>
      <c r="C1561" s="67" t="str">
        <f aca="false">IF($E1561="","",IF(INDEX(资金日记账!$W$4:$W$603,326)="","记-"&amp;TEXT($B1561,"YYYYMM")&amp;"-资金",INDEX(资金日记账!$W$4:$W$603,326)))</f>
        <v/>
      </c>
      <c r="D1561" s="107" t="str">
        <f aca="false">IF($E1561="","",INDEX(资金日记账!$D$4:$D$603,326))</f>
        <v/>
      </c>
      <c r="E1561" s="67" t="str">
        <f aca="false">IF(INDEX(资金日记账!$N$4:$S$603,326,4)=0,"",INDEX(资金日记账!$N$4:$S$603,326,4))</f>
        <v/>
      </c>
      <c r="F1561" s="99" t="str">
        <f aca="false">IF($E1561="","",IFERROR(INDEX(科目表!$A$4:$A$81,MATCH($E1561,科目表!$B$4:$B$81,0)),""))</f>
        <v/>
      </c>
      <c r="G1561" s="67" t="str">
        <f aca="false">IF($E1561="","",IFERROR(INDEX(科目表!$E$4:$E$81,MATCH($E1561,科目表!$B$4:$B$81,0)),""))</f>
        <v/>
      </c>
      <c r="H1561" s="70" t="str">
        <f aca="false">IF($E1561="","",N(INDEX(资金日记账!$N$4:$S$603,326,5)))</f>
        <v/>
      </c>
      <c r="I1561" s="70" t="str">
        <f aca="false">IF($E1561="","",N(INDEX(资金日记账!$N$4:$S$603,326,6)))</f>
        <v/>
      </c>
      <c r="J1561" s="67" t="str">
        <f aca="false">IF($E1561="","",INDEX(资金日记账!$E$4:$E$603,326))</f>
        <v/>
      </c>
      <c r="K1561" s="67" t="str">
        <f aca="false">IF($E1561="","",INDEX(资金日记账!$F$4:$F$603,326))</f>
        <v/>
      </c>
      <c r="L1561" s="107" t="str">
        <f aca="false">IF($E1561="","",INDEX(资金日记账!$X$4:$X$603,326))</f>
        <v/>
      </c>
      <c r="M1561" s="107"/>
      <c r="N1561" s="67" t="str">
        <f aca="false">IF($E1561="","",INDEX(资金日记账!$Y$4:$Y$603,326))</f>
        <v/>
      </c>
      <c r="O1561" s="67" t="str">
        <f aca="false">IF($E1561="","","自动B")</f>
        <v/>
      </c>
      <c r="P1561" s="18"/>
    </row>
    <row r="1562" customFormat="false" ht="18" hidden="false" customHeight="true" outlineLevel="0" collapsed="false">
      <c r="A1562" s="107" t="str">
        <f aca="false">IF($E1562="","",ROW()-3)</f>
        <v/>
      </c>
      <c r="B1562" s="110" t="str">
        <f aca="false">IF($E1562="","",INDEX(资金日记账!$B$4:$B$603,327))</f>
        <v/>
      </c>
      <c r="C1562" s="67" t="str">
        <f aca="false">IF($E1562="","",IF(INDEX(资金日记账!$W$4:$W$603,327)="","记-"&amp;TEXT($B1562,"YYYYMM")&amp;"-资金",INDEX(资金日记账!$W$4:$W$603,327)))</f>
        <v/>
      </c>
      <c r="D1562" s="107" t="str">
        <f aca="false">IF($E1562="","",INDEX(资金日记账!$D$4:$D$603,327))</f>
        <v/>
      </c>
      <c r="E1562" s="67" t="str">
        <f aca="false">IF(INDEX(资金日记账!$N$4:$S$603,327,1)=0,"",INDEX(资金日记账!$N$4:$S$603,327,1))</f>
        <v/>
      </c>
      <c r="F1562" s="99" t="str">
        <f aca="false">IF($E1562="","",IFERROR(INDEX(科目表!$A$4:$A$81,MATCH($E1562,科目表!$B$4:$B$81,0)),""))</f>
        <v/>
      </c>
      <c r="G1562" s="67" t="str">
        <f aca="false">IF($E1562="","",IFERROR(INDEX(科目表!$E$4:$E$81,MATCH($E1562,科目表!$B$4:$B$81,0)),""))</f>
        <v/>
      </c>
      <c r="H1562" s="70" t="str">
        <f aca="false">IF($E1562="","",N(INDEX(资金日记账!$N$4:$S$603,327,2)))</f>
        <v/>
      </c>
      <c r="I1562" s="70" t="str">
        <f aca="false">IF($E1562="","",N(INDEX(资金日记账!$N$4:$S$603,327,3)))</f>
        <v/>
      </c>
      <c r="J1562" s="67" t="str">
        <f aca="false">IF($E1562="","",INDEX(资金日记账!$E$4:$E$603,327))</f>
        <v/>
      </c>
      <c r="K1562" s="67" t="str">
        <f aca="false">IF($E1562="","",INDEX(资金日记账!$F$4:$F$603,327))</f>
        <v/>
      </c>
      <c r="L1562" s="107" t="str">
        <f aca="false">IF($E1562="","",INDEX(资金日记账!$X$4:$X$603,327))</f>
        <v/>
      </c>
      <c r="M1562" s="107"/>
      <c r="N1562" s="67" t="str">
        <f aca="false">IF($E1562="","",INDEX(资金日记账!$Y$4:$Y$603,327))</f>
        <v/>
      </c>
      <c r="O1562" s="67" t="str">
        <f aca="false">IF($E1562="","","自动B")</f>
        <v/>
      </c>
      <c r="P1562" s="18"/>
    </row>
    <row r="1563" customFormat="false" ht="18" hidden="false" customHeight="true" outlineLevel="0" collapsed="false">
      <c r="A1563" s="107" t="str">
        <f aca="false">IF($E1563="","",ROW()-3)</f>
        <v/>
      </c>
      <c r="B1563" s="110" t="str">
        <f aca="false">IF($E1563="","",INDEX(资金日记账!$B$4:$B$603,327))</f>
        <v/>
      </c>
      <c r="C1563" s="67" t="str">
        <f aca="false">IF($E1563="","",IF(INDEX(资金日记账!$W$4:$W$603,327)="","记-"&amp;TEXT($B1563,"YYYYMM")&amp;"-资金",INDEX(资金日记账!$W$4:$W$603,327)))</f>
        <v/>
      </c>
      <c r="D1563" s="107" t="str">
        <f aca="false">IF($E1563="","",INDEX(资金日记账!$D$4:$D$603,327))</f>
        <v/>
      </c>
      <c r="E1563" s="67" t="str">
        <f aca="false">IF(INDEX(资金日记账!$N$4:$S$603,327,4)=0,"",INDEX(资金日记账!$N$4:$S$603,327,4))</f>
        <v/>
      </c>
      <c r="F1563" s="99" t="str">
        <f aca="false">IF($E1563="","",IFERROR(INDEX(科目表!$A$4:$A$81,MATCH($E1563,科目表!$B$4:$B$81,0)),""))</f>
        <v/>
      </c>
      <c r="G1563" s="67" t="str">
        <f aca="false">IF($E1563="","",IFERROR(INDEX(科目表!$E$4:$E$81,MATCH($E1563,科目表!$B$4:$B$81,0)),""))</f>
        <v/>
      </c>
      <c r="H1563" s="70" t="str">
        <f aca="false">IF($E1563="","",N(INDEX(资金日记账!$N$4:$S$603,327,5)))</f>
        <v/>
      </c>
      <c r="I1563" s="70" t="str">
        <f aca="false">IF($E1563="","",N(INDEX(资金日记账!$N$4:$S$603,327,6)))</f>
        <v/>
      </c>
      <c r="J1563" s="67" t="str">
        <f aca="false">IF($E1563="","",INDEX(资金日记账!$E$4:$E$603,327))</f>
        <v/>
      </c>
      <c r="K1563" s="67" t="str">
        <f aca="false">IF($E1563="","",INDEX(资金日记账!$F$4:$F$603,327))</f>
        <v/>
      </c>
      <c r="L1563" s="107" t="str">
        <f aca="false">IF($E1563="","",INDEX(资金日记账!$X$4:$X$603,327))</f>
        <v/>
      </c>
      <c r="M1563" s="107"/>
      <c r="N1563" s="67" t="str">
        <f aca="false">IF($E1563="","",INDEX(资金日记账!$Y$4:$Y$603,327))</f>
        <v/>
      </c>
      <c r="O1563" s="67" t="str">
        <f aca="false">IF($E1563="","","自动B")</f>
        <v/>
      </c>
      <c r="P1563" s="18"/>
    </row>
    <row r="1564" customFormat="false" ht="18" hidden="false" customHeight="true" outlineLevel="0" collapsed="false">
      <c r="A1564" s="107" t="str">
        <f aca="false">IF($E1564="","",ROW()-3)</f>
        <v/>
      </c>
      <c r="B1564" s="110" t="str">
        <f aca="false">IF($E1564="","",INDEX(资金日记账!$B$4:$B$603,328))</f>
        <v/>
      </c>
      <c r="C1564" s="67" t="str">
        <f aca="false">IF($E1564="","",IF(INDEX(资金日记账!$W$4:$W$603,328)="","记-"&amp;TEXT($B1564,"YYYYMM")&amp;"-资金",INDEX(资金日记账!$W$4:$W$603,328)))</f>
        <v/>
      </c>
      <c r="D1564" s="107" t="str">
        <f aca="false">IF($E1564="","",INDEX(资金日记账!$D$4:$D$603,328))</f>
        <v/>
      </c>
      <c r="E1564" s="67" t="str">
        <f aca="false">IF(INDEX(资金日记账!$N$4:$S$603,328,1)=0,"",INDEX(资金日记账!$N$4:$S$603,328,1))</f>
        <v/>
      </c>
      <c r="F1564" s="99" t="str">
        <f aca="false">IF($E1564="","",IFERROR(INDEX(科目表!$A$4:$A$81,MATCH($E1564,科目表!$B$4:$B$81,0)),""))</f>
        <v/>
      </c>
      <c r="G1564" s="67" t="str">
        <f aca="false">IF($E1564="","",IFERROR(INDEX(科目表!$E$4:$E$81,MATCH($E1564,科目表!$B$4:$B$81,0)),""))</f>
        <v/>
      </c>
      <c r="H1564" s="70" t="str">
        <f aca="false">IF($E1564="","",N(INDEX(资金日记账!$N$4:$S$603,328,2)))</f>
        <v/>
      </c>
      <c r="I1564" s="70" t="str">
        <f aca="false">IF($E1564="","",N(INDEX(资金日记账!$N$4:$S$603,328,3)))</f>
        <v/>
      </c>
      <c r="J1564" s="67" t="str">
        <f aca="false">IF($E1564="","",INDEX(资金日记账!$E$4:$E$603,328))</f>
        <v/>
      </c>
      <c r="K1564" s="67" t="str">
        <f aca="false">IF($E1564="","",INDEX(资金日记账!$F$4:$F$603,328))</f>
        <v/>
      </c>
      <c r="L1564" s="107" t="str">
        <f aca="false">IF($E1564="","",INDEX(资金日记账!$X$4:$X$603,328))</f>
        <v/>
      </c>
      <c r="M1564" s="107"/>
      <c r="N1564" s="67" t="str">
        <f aca="false">IF($E1564="","",INDEX(资金日记账!$Y$4:$Y$603,328))</f>
        <v/>
      </c>
      <c r="O1564" s="67" t="str">
        <f aca="false">IF($E1564="","","自动B")</f>
        <v/>
      </c>
      <c r="P1564" s="18"/>
    </row>
    <row r="1565" customFormat="false" ht="18" hidden="false" customHeight="true" outlineLevel="0" collapsed="false">
      <c r="A1565" s="107" t="str">
        <f aca="false">IF($E1565="","",ROW()-3)</f>
        <v/>
      </c>
      <c r="B1565" s="110" t="str">
        <f aca="false">IF($E1565="","",INDEX(资金日记账!$B$4:$B$603,328))</f>
        <v/>
      </c>
      <c r="C1565" s="67" t="str">
        <f aca="false">IF($E1565="","",IF(INDEX(资金日记账!$W$4:$W$603,328)="","记-"&amp;TEXT($B1565,"YYYYMM")&amp;"-资金",INDEX(资金日记账!$W$4:$W$603,328)))</f>
        <v/>
      </c>
      <c r="D1565" s="107" t="str">
        <f aca="false">IF($E1565="","",INDEX(资金日记账!$D$4:$D$603,328))</f>
        <v/>
      </c>
      <c r="E1565" s="67" t="str">
        <f aca="false">IF(INDEX(资金日记账!$N$4:$S$603,328,4)=0,"",INDEX(资金日记账!$N$4:$S$603,328,4))</f>
        <v/>
      </c>
      <c r="F1565" s="99" t="str">
        <f aca="false">IF($E1565="","",IFERROR(INDEX(科目表!$A$4:$A$81,MATCH($E1565,科目表!$B$4:$B$81,0)),""))</f>
        <v/>
      </c>
      <c r="G1565" s="67" t="str">
        <f aca="false">IF($E1565="","",IFERROR(INDEX(科目表!$E$4:$E$81,MATCH($E1565,科目表!$B$4:$B$81,0)),""))</f>
        <v/>
      </c>
      <c r="H1565" s="70" t="str">
        <f aca="false">IF($E1565="","",N(INDEX(资金日记账!$N$4:$S$603,328,5)))</f>
        <v/>
      </c>
      <c r="I1565" s="70" t="str">
        <f aca="false">IF($E1565="","",N(INDEX(资金日记账!$N$4:$S$603,328,6)))</f>
        <v/>
      </c>
      <c r="J1565" s="67" t="str">
        <f aca="false">IF($E1565="","",INDEX(资金日记账!$E$4:$E$603,328))</f>
        <v/>
      </c>
      <c r="K1565" s="67" t="str">
        <f aca="false">IF($E1565="","",INDEX(资金日记账!$F$4:$F$603,328))</f>
        <v/>
      </c>
      <c r="L1565" s="107" t="str">
        <f aca="false">IF($E1565="","",INDEX(资金日记账!$X$4:$X$603,328))</f>
        <v/>
      </c>
      <c r="M1565" s="107"/>
      <c r="N1565" s="67" t="str">
        <f aca="false">IF($E1565="","",INDEX(资金日记账!$Y$4:$Y$603,328))</f>
        <v/>
      </c>
      <c r="O1565" s="67" t="str">
        <f aca="false">IF($E1565="","","自动B")</f>
        <v/>
      </c>
      <c r="P1565" s="18"/>
    </row>
    <row r="1566" customFormat="false" ht="18" hidden="false" customHeight="true" outlineLevel="0" collapsed="false">
      <c r="A1566" s="107" t="str">
        <f aca="false">IF($E1566="","",ROW()-3)</f>
        <v/>
      </c>
      <c r="B1566" s="110" t="str">
        <f aca="false">IF($E1566="","",INDEX(资金日记账!$B$4:$B$603,329))</f>
        <v/>
      </c>
      <c r="C1566" s="67" t="str">
        <f aca="false">IF($E1566="","",IF(INDEX(资金日记账!$W$4:$W$603,329)="","记-"&amp;TEXT($B1566,"YYYYMM")&amp;"-资金",INDEX(资金日记账!$W$4:$W$603,329)))</f>
        <v/>
      </c>
      <c r="D1566" s="107" t="str">
        <f aca="false">IF($E1566="","",INDEX(资金日记账!$D$4:$D$603,329))</f>
        <v/>
      </c>
      <c r="E1566" s="67" t="str">
        <f aca="false">IF(INDEX(资金日记账!$N$4:$S$603,329,1)=0,"",INDEX(资金日记账!$N$4:$S$603,329,1))</f>
        <v/>
      </c>
      <c r="F1566" s="99" t="str">
        <f aca="false">IF($E1566="","",IFERROR(INDEX(科目表!$A$4:$A$81,MATCH($E1566,科目表!$B$4:$B$81,0)),""))</f>
        <v/>
      </c>
      <c r="G1566" s="67" t="str">
        <f aca="false">IF($E1566="","",IFERROR(INDEX(科目表!$E$4:$E$81,MATCH($E1566,科目表!$B$4:$B$81,0)),""))</f>
        <v/>
      </c>
      <c r="H1566" s="70" t="str">
        <f aca="false">IF($E1566="","",N(INDEX(资金日记账!$N$4:$S$603,329,2)))</f>
        <v/>
      </c>
      <c r="I1566" s="70" t="str">
        <f aca="false">IF($E1566="","",N(INDEX(资金日记账!$N$4:$S$603,329,3)))</f>
        <v/>
      </c>
      <c r="J1566" s="67" t="str">
        <f aca="false">IF($E1566="","",INDEX(资金日记账!$E$4:$E$603,329))</f>
        <v/>
      </c>
      <c r="K1566" s="67" t="str">
        <f aca="false">IF($E1566="","",INDEX(资金日记账!$F$4:$F$603,329))</f>
        <v/>
      </c>
      <c r="L1566" s="107" t="str">
        <f aca="false">IF($E1566="","",INDEX(资金日记账!$X$4:$X$603,329))</f>
        <v/>
      </c>
      <c r="M1566" s="107"/>
      <c r="N1566" s="67" t="str">
        <f aca="false">IF($E1566="","",INDEX(资金日记账!$Y$4:$Y$603,329))</f>
        <v/>
      </c>
      <c r="O1566" s="67" t="str">
        <f aca="false">IF($E1566="","","自动B")</f>
        <v/>
      </c>
      <c r="P1566" s="18"/>
    </row>
    <row r="1567" customFormat="false" ht="18" hidden="false" customHeight="true" outlineLevel="0" collapsed="false">
      <c r="A1567" s="107" t="str">
        <f aca="false">IF($E1567="","",ROW()-3)</f>
        <v/>
      </c>
      <c r="B1567" s="110" t="str">
        <f aca="false">IF($E1567="","",INDEX(资金日记账!$B$4:$B$603,329))</f>
        <v/>
      </c>
      <c r="C1567" s="67" t="str">
        <f aca="false">IF($E1567="","",IF(INDEX(资金日记账!$W$4:$W$603,329)="","记-"&amp;TEXT($B1567,"YYYYMM")&amp;"-资金",INDEX(资金日记账!$W$4:$W$603,329)))</f>
        <v/>
      </c>
      <c r="D1567" s="107" t="str">
        <f aca="false">IF($E1567="","",INDEX(资金日记账!$D$4:$D$603,329))</f>
        <v/>
      </c>
      <c r="E1567" s="67" t="str">
        <f aca="false">IF(INDEX(资金日记账!$N$4:$S$603,329,4)=0,"",INDEX(资金日记账!$N$4:$S$603,329,4))</f>
        <v/>
      </c>
      <c r="F1567" s="99" t="str">
        <f aca="false">IF($E1567="","",IFERROR(INDEX(科目表!$A$4:$A$81,MATCH($E1567,科目表!$B$4:$B$81,0)),""))</f>
        <v/>
      </c>
      <c r="G1567" s="67" t="str">
        <f aca="false">IF($E1567="","",IFERROR(INDEX(科目表!$E$4:$E$81,MATCH($E1567,科目表!$B$4:$B$81,0)),""))</f>
        <v/>
      </c>
      <c r="H1567" s="70" t="str">
        <f aca="false">IF($E1567="","",N(INDEX(资金日记账!$N$4:$S$603,329,5)))</f>
        <v/>
      </c>
      <c r="I1567" s="70" t="str">
        <f aca="false">IF($E1567="","",N(INDEX(资金日记账!$N$4:$S$603,329,6)))</f>
        <v/>
      </c>
      <c r="J1567" s="67" t="str">
        <f aca="false">IF($E1567="","",INDEX(资金日记账!$E$4:$E$603,329))</f>
        <v/>
      </c>
      <c r="K1567" s="67" t="str">
        <f aca="false">IF($E1567="","",INDEX(资金日记账!$F$4:$F$603,329))</f>
        <v/>
      </c>
      <c r="L1567" s="107" t="str">
        <f aca="false">IF($E1567="","",INDEX(资金日记账!$X$4:$X$603,329))</f>
        <v/>
      </c>
      <c r="M1567" s="107"/>
      <c r="N1567" s="67" t="str">
        <f aca="false">IF($E1567="","",INDEX(资金日记账!$Y$4:$Y$603,329))</f>
        <v/>
      </c>
      <c r="O1567" s="67" t="str">
        <f aca="false">IF($E1567="","","自动B")</f>
        <v/>
      </c>
      <c r="P1567" s="18"/>
    </row>
    <row r="1568" customFormat="false" ht="18" hidden="false" customHeight="true" outlineLevel="0" collapsed="false">
      <c r="A1568" s="107" t="str">
        <f aca="false">IF($E1568="","",ROW()-3)</f>
        <v/>
      </c>
      <c r="B1568" s="110" t="str">
        <f aca="false">IF($E1568="","",INDEX(资金日记账!$B$4:$B$603,330))</f>
        <v/>
      </c>
      <c r="C1568" s="67" t="str">
        <f aca="false">IF($E1568="","",IF(INDEX(资金日记账!$W$4:$W$603,330)="","记-"&amp;TEXT($B1568,"YYYYMM")&amp;"-资金",INDEX(资金日记账!$W$4:$W$603,330)))</f>
        <v/>
      </c>
      <c r="D1568" s="107" t="str">
        <f aca="false">IF($E1568="","",INDEX(资金日记账!$D$4:$D$603,330))</f>
        <v/>
      </c>
      <c r="E1568" s="67" t="str">
        <f aca="false">IF(INDEX(资金日记账!$N$4:$S$603,330,1)=0,"",INDEX(资金日记账!$N$4:$S$603,330,1))</f>
        <v/>
      </c>
      <c r="F1568" s="99" t="str">
        <f aca="false">IF($E1568="","",IFERROR(INDEX(科目表!$A$4:$A$81,MATCH($E1568,科目表!$B$4:$B$81,0)),""))</f>
        <v/>
      </c>
      <c r="G1568" s="67" t="str">
        <f aca="false">IF($E1568="","",IFERROR(INDEX(科目表!$E$4:$E$81,MATCH($E1568,科目表!$B$4:$B$81,0)),""))</f>
        <v/>
      </c>
      <c r="H1568" s="70" t="str">
        <f aca="false">IF($E1568="","",N(INDEX(资金日记账!$N$4:$S$603,330,2)))</f>
        <v/>
      </c>
      <c r="I1568" s="70" t="str">
        <f aca="false">IF($E1568="","",N(INDEX(资金日记账!$N$4:$S$603,330,3)))</f>
        <v/>
      </c>
      <c r="J1568" s="67" t="str">
        <f aca="false">IF($E1568="","",INDEX(资金日记账!$E$4:$E$603,330))</f>
        <v/>
      </c>
      <c r="K1568" s="67" t="str">
        <f aca="false">IF($E1568="","",INDEX(资金日记账!$F$4:$F$603,330))</f>
        <v/>
      </c>
      <c r="L1568" s="107" t="str">
        <f aca="false">IF($E1568="","",INDEX(资金日记账!$X$4:$X$603,330))</f>
        <v/>
      </c>
      <c r="M1568" s="107"/>
      <c r="N1568" s="67" t="str">
        <f aca="false">IF($E1568="","",INDEX(资金日记账!$Y$4:$Y$603,330))</f>
        <v/>
      </c>
      <c r="O1568" s="67" t="str">
        <f aca="false">IF($E1568="","","自动B")</f>
        <v/>
      </c>
      <c r="P1568" s="18"/>
    </row>
    <row r="1569" customFormat="false" ht="18" hidden="false" customHeight="true" outlineLevel="0" collapsed="false">
      <c r="A1569" s="107" t="str">
        <f aca="false">IF($E1569="","",ROW()-3)</f>
        <v/>
      </c>
      <c r="B1569" s="110" t="str">
        <f aca="false">IF($E1569="","",INDEX(资金日记账!$B$4:$B$603,330))</f>
        <v/>
      </c>
      <c r="C1569" s="67" t="str">
        <f aca="false">IF($E1569="","",IF(INDEX(资金日记账!$W$4:$W$603,330)="","记-"&amp;TEXT($B1569,"YYYYMM")&amp;"-资金",INDEX(资金日记账!$W$4:$W$603,330)))</f>
        <v/>
      </c>
      <c r="D1569" s="107" t="str">
        <f aca="false">IF($E1569="","",INDEX(资金日记账!$D$4:$D$603,330))</f>
        <v/>
      </c>
      <c r="E1569" s="67" t="str">
        <f aca="false">IF(INDEX(资金日记账!$N$4:$S$603,330,4)=0,"",INDEX(资金日记账!$N$4:$S$603,330,4))</f>
        <v/>
      </c>
      <c r="F1569" s="99" t="str">
        <f aca="false">IF($E1569="","",IFERROR(INDEX(科目表!$A$4:$A$81,MATCH($E1569,科目表!$B$4:$B$81,0)),""))</f>
        <v/>
      </c>
      <c r="G1569" s="67" t="str">
        <f aca="false">IF($E1569="","",IFERROR(INDEX(科目表!$E$4:$E$81,MATCH($E1569,科目表!$B$4:$B$81,0)),""))</f>
        <v/>
      </c>
      <c r="H1569" s="70" t="str">
        <f aca="false">IF($E1569="","",N(INDEX(资金日记账!$N$4:$S$603,330,5)))</f>
        <v/>
      </c>
      <c r="I1569" s="70" t="str">
        <f aca="false">IF($E1569="","",N(INDEX(资金日记账!$N$4:$S$603,330,6)))</f>
        <v/>
      </c>
      <c r="J1569" s="67" t="str">
        <f aca="false">IF($E1569="","",INDEX(资金日记账!$E$4:$E$603,330))</f>
        <v/>
      </c>
      <c r="K1569" s="67" t="str">
        <f aca="false">IF($E1569="","",INDEX(资金日记账!$F$4:$F$603,330))</f>
        <v/>
      </c>
      <c r="L1569" s="107" t="str">
        <f aca="false">IF($E1569="","",INDEX(资金日记账!$X$4:$X$603,330))</f>
        <v/>
      </c>
      <c r="M1569" s="107"/>
      <c r="N1569" s="67" t="str">
        <f aca="false">IF($E1569="","",INDEX(资金日记账!$Y$4:$Y$603,330))</f>
        <v/>
      </c>
      <c r="O1569" s="67" t="str">
        <f aca="false">IF($E1569="","","自动B")</f>
        <v/>
      </c>
      <c r="P1569" s="18"/>
    </row>
    <row r="1570" customFormat="false" ht="18" hidden="false" customHeight="true" outlineLevel="0" collapsed="false">
      <c r="A1570" s="107" t="str">
        <f aca="false">IF($E1570="","",ROW()-3)</f>
        <v/>
      </c>
      <c r="B1570" s="110" t="str">
        <f aca="false">IF($E1570="","",INDEX(资金日记账!$B$4:$B$603,331))</f>
        <v/>
      </c>
      <c r="C1570" s="67" t="str">
        <f aca="false">IF($E1570="","",IF(INDEX(资金日记账!$W$4:$W$603,331)="","记-"&amp;TEXT($B1570,"YYYYMM")&amp;"-资金",INDEX(资金日记账!$W$4:$W$603,331)))</f>
        <v/>
      </c>
      <c r="D1570" s="107" t="str">
        <f aca="false">IF($E1570="","",INDEX(资金日记账!$D$4:$D$603,331))</f>
        <v/>
      </c>
      <c r="E1570" s="67" t="str">
        <f aca="false">IF(INDEX(资金日记账!$N$4:$S$603,331,1)=0,"",INDEX(资金日记账!$N$4:$S$603,331,1))</f>
        <v/>
      </c>
      <c r="F1570" s="99" t="str">
        <f aca="false">IF($E1570="","",IFERROR(INDEX(科目表!$A$4:$A$81,MATCH($E1570,科目表!$B$4:$B$81,0)),""))</f>
        <v/>
      </c>
      <c r="G1570" s="67" t="str">
        <f aca="false">IF($E1570="","",IFERROR(INDEX(科目表!$E$4:$E$81,MATCH($E1570,科目表!$B$4:$B$81,0)),""))</f>
        <v/>
      </c>
      <c r="H1570" s="70" t="str">
        <f aca="false">IF($E1570="","",N(INDEX(资金日记账!$N$4:$S$603,331,2)))</f>
        <v/>
      </c>
      <c r="I1570" s="70" t="str">
        <f aca="false">IF($E1570="","",N(INDEX(资金日记账!$N$4:$S$603,331,3)))</f>
        <v/>
      </c>
      <c r="J1570" s="67" t="str">
        <f aca="false">IF($E1570="","",INDEX(资金日记账!$E$4:$E$603,331))</f>
        <v/>
      </c>
      <c r="K1570" s="67" t="str">
        <f aca="false">IF($E1570="","",INDEX(资金日记账!$F$4:$F$603,331))</f>
        <v/>
      </c>
      <c r="L1570" s="107" t="str">
        <f aca="false">IF($E1570="","",INDEX(资金日记账!$X$4:$X$603,331))</f>
        <v/>
      </c>
      <c r="M1570" s="107"/>
      <c r="N1570" s="67" t="str">
        <f aca="false">IF($E1570="","",INDEX(资金日记账!$Y$4:$Y$603,331))</f>
        <v/>
      </c>
      <c r="O1570" s="67" t="str">
        <f aca="false">IF($E1570="","","自动B")</f>
        <v/>
      </c>
      <c r="P1570" s="18"/>
    </row>
    <row r="1571" customFormat="false" ht="18" hidden="false" customHeight="true" outlineLevel="0" collapsed="false">
      <c r="A1571" s="107" t="str">
        <f aca="false">IF($E1571="","",ROW()-3)</f>
        <v/>
      </c>
      <c r="B1571" s="110" t="str">
        <f aca="false">IF($E1571="","",INDEX(资金日记账!$B$4:$B$603,331))</f>
        <v/>
      </c>
      <c r="C1571" s="67" t="str">
        <f aca="false">IF($E1571="","",IF(INDEX(资金日记账!$W$4:$W$603,331)="","记-"&amp;TEXT($B1571,"YYYYMM")&amp;"-资金",INDEX(资金日记账!$W$4:$W$603,331)))</f>
        <v/>
      </c>
      <c r="D1571" s="107" t="str">
        <f aca="false">IF($E1571="","",INDEX(资金日记账!$D$4:$D$603,331))</f>
        <v/>
      </c>
      <c r="E1571" s="67" t="str">
        <f aca="false">IF(INDEX(资金日记账!$N$4:$S$603,331,4)=0,"",INDEX(资金日记账!$N$4:$S$603,331,4))</f>
        <v/>
      </c>
      <c r="F1571" s="99" t="str">
        <f aca="false">IF($E1571="","",IFERROR(INDEX(科目表!$A$4:$A$81,MATCH($E1571,科目表!$B$4:$B$81,0)),""))</f>
        <v/>
      </c>
      <c r="G1571" s="67" t="str">
        <f aca="false">IF($E1571="","",IFERROR(INDEX(科目表!$E$4:$E$81,MATCH($E1571,科目表!$B$4:$B$81,0)),""))</f>
        <v/>
      </c>
      <c r="H1571" s="70" t="str">
        <f aca="false">IF($E1571="","",N(INDEX(资金日记账!$N$4:$S$603,331,5)))</f>
        <v/>
      </c>
      <c r="I1571" s="70" t="str">
        <f aca="false">IF($E1571="","",N(INDEX(资金日记账!$N$4:$S$603,331,6)))</f>
        <v/>
      </c>
      <c r="J1571" s="67" t="str">
        <f aca="false">IF($E1571="","",INDEX(资金日记账!$E$4:$E$603,331))</f>
        <v/>
      </c>
      <c r="K1571" s="67" t="str">
        <f aca="false">IF($E1571="","",INDEX(资金日记账!$F$4:$F$603,331))</f>
        <v/>
      </c>
      <c r="L1571" s="107" t="str">
        <f aca="false">IF($E1571="","",INDEX(资金日记账!$X$4:$X$603,331))</f>
        <v/>
      </c>
      <c r="M1571" s="107"/>
      <c r="N1571" s="67" t="str">
        <f aca="false">IF($E1571="","",INDEX(资金日记账!$Y$4:$Y$603,331))</f>
        <v/>
      </c>
      <c r="O1571" s="67" t="str">
        <f aca="false">IF($E1571="","","自动B")</f>
        <v/>
      </c>
      <c r="P1571" s="18"/>
    </row>
    <row r="1572" customFormat="false" ht="18" hidden="false" customHeight="true" outlineLevel="0" collapsed="false">
      <c r="A1572" s="107" t="str">
        <f aca="false">IF($E1572="","",ROW()-3)</f>
        <v/>
      </c>
      <c r="B1572" s="110" t="str">
        <f aca="false">IF($E1572="","",INDEX(资金日记账!$B$4:$B$603,332))</f>
        <v/>
      </c>
      <c r="C1572" s="67" t="str">
        <f aca="false">IF($E1572="","",IF(INDEX(资金日记账!$W$4:$W$603,332)="","记-"&amp;TEXT($B1572,"YYYYMM")&amp;"-资金",INDEX(资金日记账!$W$4:$W$603,332)))</f>
        <v/>
      </c>
      <c r="D1572" s="107" t="str">
        <f aca="false">IF($E1572="","",INDEX(资金日记账!$D$4:$D$603,332))</f>
        <v/>
      </c>
      <c r="E1572" s="67" t="str">
        <f aca="false">IF(INDEX(资金日记账!$N$4:$S$603,332,1)=0,"",INDEX(资金日记账!$N$4:$S$603,332,1))</f>
        <v/>
      </c>
      <c r="F1572" s="99" t="str">
        <f aca="false">IF($E1572="","",IFERROR(INDEX(科目表!$A$4:$A$81,MATCH($E1572,科目表!$B$4:$B$81,0)),""))</f>
        <v/>
      </c>
      <c r="G1572" s="67" t="str">
        <f aca="false">IF($E1572="","",IFERROR(INDEX(科目表!$E$4:$E$81,MATCH($E1572,科目表!$B$4:$B$81,0)),""))</f>
        <v/>
      </c>
      <c r="H1572" s="70" t="str">
        <f aca="false">IF($E1572="","",N(INDEX(资金日记账!$N$4:$S$603,332,2)))</f>
        <v/>
      </c>
      <c r="I1572" s="70" t="str">
        <f aca="false">IF($E1572="","",N(INDEX(资金日记账!$N$4:$S$603,332,3)))</f>
        <v/>
      </c>
      <c r="J1572" s="67" t="str">
        <f aca="false">IF($E1572="","",INDEX(资金日记账!$E$4:$E$603,332))</f>
        <v/>
      </c>
      <c r="K1572" s="67" t="str">
        <f aca="false">IF($E1572="","",INDEX(资金日记账!$F$4:$F$603,332))</f>
        <v/>
      </c>
      <c r="L1572" s="107" t="str">
        <f aca="false">IF($E1572="","",INDEX(资金日记账!$X$4:$X$603,332))</f>
        <v/>
      </c>
      <c r="M1572" s="107"/>
      <c r="N1572" s="67" t="str">
        <f aca="false">IF($E1572="","",INDEX(资金日记账!$Y$4:$Y$603,332))</f>
        <v/>
      </c>
      <c r="O1572" s="67" t="str">
        <f aca="false">IF($E1572="","","自动B")</f>
        <v/>
      </c>
      <c r="P1572" s="18"/>
    </row>
    <row r="1573" customFormat="false" ht="18" hidden="false" customHeight="true" outlineLevel="0" collapsed="false">
      <c r="A1573" s="107" t="str">
        <f aca="false">IF($E1573="","",ROW()-3)</f>
        <v/>
      </c>
      <c r="B1573" s="110" t="str">
        <f aca="false">IF($E1573="","",INDEX(资金日记账!$B$4:$B$603,332))</f>
        <v/>
      </c>
      <c r="C1573" s="67" t="str">
        <f aca="false">IF($E1573="","",IF(INDEX(资金日记账!$W$4:$W$603,332)="","记-"&amp;TEXT($B1573,"YYYYMM")&amp;"-资金",INDEX(资金日记账!$W$4:$W$603,332)))</f>
        <v/>
      </c>
      <c r="D1573" s="107" t="str">
        <f aca="false">IF($E1573="","",INDEX(资金日记账!$D$4:$D$603,332))</f>
        <v/>
      </c>
      <c r="E1573" s="67" t="str">
        <f aca="false">IF(INDEX(资金日记账!$N$4:$S$603,332,4)=0,"",INDEX(资金日记账!$N$4:$S$603,332,4))</f>
        <v/>
      </c>
      <c r="F1573" s="99" t="str">
        <f aca="false">IF($E1573="","",IFERROR(INDEX(科目表!$A$4:$A$81,MATCH($E1573,科目表!$B$4:$B$81,0)),""))</f>
        <v/>
      </c>
      <c r="G1573" s="67" t="str">
        <f aca="false">IF($E1573="","",IFERROR(INDEX(科目表!$E$4:$E$81,MATCH($E1573,科目表!$B$4:$B$81,0)),""))</f>
        <v/>
      </c>
      <c r="H1573" s="70" t="str">
        <f aca="false">IF($E1573="","",N(INDEX(资金日记账!$N$4:$S$603,332,5)))</f>
        <v/>
      </c>
      <c r="I1573" s="70" t="str">
        <f aca="false">IF($E1573="","",N(INDEX(资金日记账!$N$4:$S$603,332,6)))</f>
        <v/>
      </c>
      <c r="J1573" s="67" t="str">
        <f aca="false">IF($E1573="","",INDEX(资金日记账!$E$4:$E$603,332))</f>
        <v/>
      </c>
      <c r="K1573" s="67" t="str">
        <f aca="false">IF($E1573="","",INDEX(资金日记账!$F$4:$F$603,332))</f>
        <v/>
      </c>
      <c r="L1573" s="107" t="str">
        <f aca="false">IF($E1573="","",INDEX(资金日记账!$X$4:$X$603,332))</f>
        <v/>
      </c>
      <c r="M1573" s="107"/>
      <c r="N1573" s="67" t="str">
        <f aca="false">IF($E1573="","",INDEX(资金日记账!$Y$4:$Y$603,332))</f>
        <v/>
      </c>
      <c r="O1573" s="67" t="str">
        <f aca="false">IF($E1573="","","自动B")</f>
        <v/>
      </c>
      <c r="P1573" s="18"/>
    </row>
    <row r="1574" customFormat="false" ht="18" hidden="false" customHeight="true" outlineLevel="0" collapsed="false">
      <c r="A1574" s="107" t="str">
        <f aca="false">IF($E1574="","",ROW()-3)</f>
        <v/>
      </c>
      <c r="B1574" s="110" t="str">
        <f aca="false">IF($E1574="","",INDEX(资金日记账!$B$4:$B$603,333))</f>
        <v/>
      </c>
      <c r="C1574" s="67" t="str">
        <f aca="false">IF($E1574="","",IF(INDEX(资金日记账!$W$4:$W$603,333)="","记-"&amp;TEXT($B1574,"YYYYMM")&amp;"-资金",INDEX(资金日记账!$W$4:$W$603,333)))</f>
        <v/>
      </c>
      <c r="D1574" s="107" t="str">
        <f aca="false">IF($E1574="","",INDEX(资金日记账!$D$4:$D$603,333))</f>
        <v/>
      </c>
      <c r="E1574" s="67" t="str">
        <f aca="false">IF(INDEX(资金日记账!$N$4:$S$603,333,1)=0,"",INDEX(资金日记账!$N$4:$S$603,333,1))</f>
        <v/>
      </c>
      <c r="F1574" s="99" t="str">
        <f aca="false">IF($E1574="","",IFERROR(INDEX(科目表!$A$4:$A$81,MATCH($E1574,科目表!$B$4:$B$81,0)),""))</f>
        <v/>
      </c>
      <c r="G1574" s="67" t="str">
        <f aca="false">IF($E1574="","",IFERROR(INDEX(科目表!$E$4:$E$81,MATCH($E1574,科目表!$B$4:$B$81,0)),""))</f>
        <v/>
      </c>
      <c r="H1574" s="70" t="str">
        <f aca="false">IF($E1574="","",N(INDEX(资金日记账!$N$4:$S$603,333,2)))</f>
        <v/>
      </c>
      <c r="I1574" s="70" t="str">
        <f aca="false">IF($E1574="","",N(INDEX(资金日记账!$N$4:$S$603,333,3)))</f>
        <v/>
      </c>
      <c r="J1574" s="67" t="str">
        <f aca="false">IF($E1574="","",INDEX(资金日记账!$E$4:$E$603,333))</f>
        <v/>
      </c>
      <c r="K1574" s="67" t="str">
        <f aca="false">IF($E1574="","",INDEX(资金日记账!$F$4:$F$603,333))</f>
        <v/>
      </c>
      <c r="L1574" s="107" t="str">
        <f aca="false">IF($E1574="","",INDEX(资金日记账!$X$4:$X$603,333))</f>
        <v/>
      </c>
      <c r="M1574" s="107"/>
      <c r="N1574" s="67" t="str">
        <f aca="false">IF($E1574="","",INDEX(资金日记账!$Y$4:$Y$603,333))</f>
        <v/>
      </c>
      <c r="O1574" s="67" t="str">
        <f aca="false">IF($E1574="","","自动B")</f>
        <v/>
      </c>
      <c r="P1574" s="18"/>
    </row>
    <row r="1575" customFormat="false" ht="18" hidden="false" customHeight="true" outlineLevel="0" collapsed="false">
      <c r="A1575" s="107" t="str">
        <f aca="false">IF($E1575="","",ROW()-3)</f>
        <v/>
      </c>
      <c r="B1575" s="110" t="str">
        <f aca="false">IF($E1575="","",INDEX(资金日记账!$B$4:$B$603,333))</f>
        <v/>
      </c>
      <c r="C1575" s="67" t="str">
        <f aca="false">IF($E1575="","",IF(INDEX(资金日记账!$W$4:$W$603,333)="","记-"&amp;TEXT($B1575,"YYYYMM")&amp;"-资金",INDEX(资金日记账!$W$4:$W$603,333)))</f>
        <v/>
      </c>
      <c r="D1575" s="107" t="str">
        <f aca="false">IF($E1575="","",INDEX(资金日记账!$D$4:$D$603,333))</f>
        <v/>
      </c>
      <c r="E1575" s="67" t="str">
        <f aca="false">IF(INDEX(资金日记账!$N$4:$S$603,333,4)=0,"",INDEX(资金日记账!$N$4:$S$603,333,4))</f>
        <v/>
      </c>
      <c r="F1575" s="99" t="str">
        <f aca="false">IF($E1575="","",IFERROR(INDEX(科目表!$A$4:$A$81,MATCH($E1575,科目表!$B$4:$B$81,0)),""))</f>
        <v/>
      </c>
      <c r="G1575" s="67" t="str">
        <f aca="false">IF($E1575="","",IFERROR(INDEX(科目表!$E$4:$E$81,MATCH($E1575,科目表!$B$4:$B$81,0)),""))</f>
        <v/>
      </c>
      <c r="H1575" s="70" t="str">
        <f aca="false">IF($E1575="","",N(INDEX(资金日记账!$N$4:$S$603,333,5)))</f>
        <v/>
      </c>
      <c r="I1575" s="70" t="str">
        <f aca="false">IF($E1575="","",N(INDEX(资金日记账!$N$4:$S$603,333,6)))</f>
        <v/>
      </c>
      <c r="J1575" s="67" t="str">
        <f aca="false">IF($E1575="","",INDEX(资金日记账!$E$4:$E$603,333))</f>
        <v/>
      </c>
      <c r="K1575" s="67" t="str">
        <f aca="false">IF($E1575="","",INDEX(资金日记账!$F$4:$F$603,333))</f>
        <v/>
      </c>
      <c r="L1575" s="107" t="str">
        <f aca="false">IF($E1575="","",INDEX(资金日记账!$X$4:$X$603,333))</f>
        <v/>
      </c>
      <c r="M1575" s="107"/>
      <c r="N1575" s="67" t="str">
        <f aca="false">IF($E1575="","",INDEX(资金日记账!$Y$4:$Y$603,333))</f>
        <v/>
      </c>
      <c r="O1575" s="67" t="str">
        <f aca="false">IF($E1575="","","自动B")</f>
        <v/>
      </c>
      <c r="P1575" s="18"/>
    </row>
    <row r="1576" customFormat="false" ht="18" hidden="false" customHeight="true" outlineLevel="0" collapsed="false">
      <c r="A1576" s="107" t="str">
        <f aca="false">IF($E1576="","",ROW()-3)</f>
        <v/>
      </c>
      <c r="B1576" s="110" t="str">
        <f aca="false">IF($E1576="","",INDEX(资金日记账!$B$4:$B$603,334))</f>
        <v/>
      </c>
      <c r="C1576" s="67" t="str">
        <f aca="false">IF($E1576="","",IF(INDEX(资金日记账!$W$4:$W$603,334)="","记-"&amp;TEXT($B1576,"YYYYMM")&amp;"-资金",INDEX(资金日记账!$W$4:$W$603,334)))</f>
        <v/>
      </c>
      <c r="D1576" s="107" t="str">
        <f aca="false">IF($E1576="","",INDEX(资金日记账!$D$4:$D$603,334))</f>
        <v/>
      </c>
      <c r="E1576" s="67" t="str">
        <f aca="false">IF(INDEX(资金日记账!$N$4:$S$603,334,1)=0,"",INDEX(资金日记账!$N$4:$S$603,334,1))</f>
        <v/>
      </c>
      <c r="F1576" s="99" t="str">
        <f aca="false">IF($E1576="","",IFERROR(INDEX(科目表!$A$4:$A$81,MATCH($E1576,科目表!$B$4:$B$81,0)),""))</f>
        <v/>
      </c>
      <c r="G1576" s="67" t="str">
        <f aca="false">IF($E1576="","",IFERROR(INDEX(科目表!$E$4:$E$81,MATCH($E1576,科目表!$B$4:$B$81,0)),""))</f>
        <v/>
      </c>
      <c r="H1576" s="70" t="str">
        <f aca="false">IF($E1576="","",N(INDEX(资金日记账!$N$4:$S$603,334,2)))</f>
        <v/>
      </c>
      <c r="I1576" s="70" t="str">
        <f aca="false">IF($E1576="","",N(INDEX(资金日记账!$N$4:$S$603,334,3)))</f>
        <v/>
      </c>
      <c r="J1576" s="67" t="str">
        <f aca="false">IF($E1576="","",INDEX(资金日记账!$E$4:$E$603,334))</f>
        <v/>
      </c>
      <c r="K1576" s="67" t="str">
        <f aca="false">IF($E1576="","",INDEX(资金日记账!$F$4:$F$603,334))</f>
        <v/>
      </c>
      <c r="L1576" s="107" t="str">
        <f aca="false">IF($E1576="","",INDEX(资金日记账!$X$4:$X$603,334))</f>
        <v/>
      </c>
      <c r="M1576" s="107"/>
      <c r="N1576" s="67" t="str">
        <f aca="false">IF($E1576="","",INDEX(资金日记账!$Y$4:$Y$603,334))</f>
        <v/>
      </c>
      <c r="O1576" s="67" t="str">
        <f aca="false">IF($E1576="","","自动B")</f>
        <v/>
      </c>
      <c r="P1576" s="18"/>
    </row>
    <row r="1577" customFormat="false" ht="18" hidden="false" customHeight="true" outlineLevel="0" collapsed="false">
      <c r="A1577" s="107" t="str">
        <f aca="false">IF($E1577="","",ROW()-3)</f>
        <v/>
      </c>
      <c r="B1577" s="110" t="str">
        <f aca="false">IF($E1577="","",INDEX(资金日记账!$B$4:$B$603,334))</f>
        <v/>
      </c>
      <c r="C1577" s="67" t="str">
        <f aca="false">IF($E1577="","",IF(INDEX(资金日记账!$W$4:$W$603,334)="","记-"&amp;TEXT($B1577,"YYYYMM")&amp;"-资金",INDEX(资金日记账!$W$4:$W$603,334)))</f>
        <v/>
      </c>
      <c r="D1577" s="107" t="str">
        <f aca="false">IF($E1577="","",INDEX(资金日记账!$D$4:$D$603,334))</f>
        <v/>
      </c>
      <c r="E1577" s="67" t="str">
        <f aca="false">IF(INDEX(资金日记账!$N$4:$S$603,334,4)=0,"",INDEX(资金日记账!$N$4:$S$603,334,4))</f>
        <v/>
      </c>
      <c r="F1577" s="99" t="str">
        <f aca="false">IF($E1577="","",IFERROR(INDEX(科目表!$A$4:$A$81,MATCH($E1577,科目表!$B$4:$B$81,0)),""))</f>
        <v/>
      </c>
      <c r="G1577" s="67" t="str">
        <f aca="false">IF($E1577="","",IFERROR(INDEX(科目表!$E$4:$E$81,MATCH($E1577,科目表!$B$4:$B$81,0)),""))</f>
        <v/>
      </c>
      <c r="H1577" s="70" t="str">
        <f aca="false">IF($E1577="","",N(INDEX(资金日记账!$N$4:$S$603,334,5)))</f>
        <v/>
      </c>
      <c r="I1577" s="70" t="str">
        <f aca="false">IF($E1577="","",N(INDEX(资金日记账!$N$4:$S$603,334,6)))</f>
        <v/>
      </c>
      <c r="J1577" s="67" t="str">
        <f aca="false">IF($E1577="","",INDEX(资金日记账!$E$4:$E$603,334))</f>
        <v/>
      </c>
      <c r="K1577" s="67" t="str">
        <f aca="false">IF($E1577="","",INDEX(资金日记账!$F$4:$F$603,334))</f>
        <v/>
      </c>
      <c r="L1577" s="107" t="str">
        <f aca="false">IF($E1577="","",INDEX(资金日记账!$X$4:$X$603,334))</f>
        <v/>
      </c>
      <c r="M1577" s="107"/>
      <c r="N1577" s="67" t="str">
        <f aca="false">IF($E1577="","",INDEX(资金日记账!$Y$4:$Y$603,334))</f>
        <v/>
      </c>
      <c r="O1577" s="67" t="str">
        <f aca="false">IF($E1577="","","自动B")</f>
        <v/>
      </c>
      <c r="P1577" s="18"/>
    </row>
    <row r="1578" customFormat="false" ht="18" hidden="false" customHeight="true" outlineLevel="0" collapsed="false">
      <c r="A1578" s="107" t="str">
        <f aca="false">IF($E1578="","",ROW()-3)</f>
        <v/>
      </c>
      <c r="B1578" s="110" t="str">
        <f aca="false">IF($E1578="","",INDEX(资金日记账!$B$4:$B$603,335))</f>
        <v/>
      </c>
      <c r="C1578" s="67" t="str">
        <f aca="false">IF($E1578="","",IF(INDEX(资金日记账!$W$4:$W$603,335)="","记-"&amp;TEXT($B1578,"YYYYMM")&amp;"-资金",INDEX(资金日记账!$W$4:$W$603,335)))</f>
        <v/>
      </c>
      <c r="D1578" s="107" t="str">
        <f aca="false">IF($E1578="","",INDEX(资金日记账!$D$4:$D$603,335))</f>
        <v/>
      </c>
      <c r="E1578" s="67" t="str">
        <f aca="false">IF(INDEX(资金日记账!$N$4:$S$603,335,1)=0,"",INDEX(资金日记账!$N$4:$S$603,335,1))</f>
        <v/>
      </c>
      <c r="F1578" s="99" t="str">
        <f aca="false">IF($E1578="","",IFERROR(INDEX(科目表!$A$4:$A$81,MATCH($E1578,科目表!$B$4:$B$81,0)),""))</f>
        <v/>
      </c>
      <c r="G1578" s="67" t="str">
        <f aca="false">IF($E1578="","",IFERROR(INDEX(科目表!$E$4:$E$81,MATCH($E1578,科目表!$B$4:$B$81,0)),""))</f>
        <v/>
      </c>
      <c r="H1578" s="70" t="str">
        <f aca="false">IF($E1578="","",N(INDEX(资金日记账!$N$4:$S$603,335,2)))</f>
        <v/>
      </c>
      <c r="I1578" s="70" t="str">
        <f aca="false">IF($E1578="","",N(INDEX(资金日记账!$N$4:$S$603,335,3)))</f>
        <v/>
      </c>
      <c r="J1578" s="67" t="str">
        <f aca="false">IF($E1578="","",INDEX(资金日记账!$E$4:$E$603,335))</f>
        <v/>
      </c>
      <c r="K1578" s="67" t="str">
        <f aca="false">IF($E1578="","",INDEX(资金日记账!$F$4:$F$603,335))</f>
        <v/>
      </c>
      <c r="L1578" s="107" t="str">
        <f aca="false">IF($E1578="","",INDEX(资金日记账!$X$4:$X$603,335))</f>
        <v/>
      </c>
      <c r="M1578" s="107"/>
      <c r="N1578" s="67" t="str">
        <f aca="false">IF($E1578="","",INDEX(资金日记账!$Y$4:$Y$603,335))</f>
        <v/>
      </c>
      <c r="O1578" s="67" t="str">
        <f aca="false">IF($E1578="","","自动B")</f>
        <v/>
      </c>
      <c r="P1578" s="18"/>
    </row>
    <row r="1579" customFormat="false" ht="18" hidden="false" customHeight="true" outlineLevel="0" collapsed="false">
      <c r="A1579" s="107" t="str">
        <f aca="false">IF($E1579="","",ROW()-3)</f>
        <v/>
      </c>
      <c r="B1579" s="110" t="str">
        <f aca="false">IF($E1579="","",INDEX(资金日记账!$B$4:$B$603,335))</f>
        <v/>
      </c>
      <c r="C1579" s="67" t="str">
        <f aca="false">IF($E1579="","",IF(INDEX(资金日记账!$W$4:$W$603,335)="","记-"&amp;TEXT($B1579,"YYYYMM")&amp;"-资金",INDEX(资金日记账!$W$4:$W$603,335)))</f>
        <v/>
      </c>
      <c r="D1579" s="107" t="str">
        <f aca="false">IF($E1579="","",INDEX(资金日记账!$D$4:$D$603,335))</f>
        <v/>
      </c>
      <c r="E1579" s="67" t="str">
        <f aca="false">IF(INDEX(资金日记账!$N$4:$S$603,335,4)=0,"",INDEX(资金日记账!$N$4:$S$603,335,4))</f>
        <v/>
      </c>
      <c r="F1579" s="99" t="str">
        <f aca="false">IF($E1579="","",IFERROR(INDEX(科目表!$A$4:$A$81,MATCH($E1579,科目表!$B$4:$B$81,0)),""))</f>
        <v/>
      </c>
      <c r="G1579" s="67" t="str">
        <f aca="false">IF($E1579="","",IFERROR(INDEX(科目表!$E$4:$E$81,MATCH($E1579,科目表!$B$4:$B$81,0)),""))</f>
        <v/>
      </c>
      <c r="H1579" s="70" t="str">
        <f aca="false">IF($E1579="","",N(INDEX(资金日记账!$N$4:$S$603,335,5)))</f>
        <v/>
      </c>
      <c r="I1579" s="70" t="str">
        <f aca="false">IF($E1579="","",N(INDEX(资金日记账!$N$4:$S$603,335,6)))</f>
        <v/>
      </c>
      <c r="J1579" s="67" t="str">
        <f aca="false">IF($E1579="","",INDEX(资金日记账!$E$4:$E$603,335))</f>
        <v/>
      </c>
      <c r="K1579" s="67" t="str">
        <f aca="false">IF($E1579="","",INDEX(资金日记账!$F$4:$F$603,335))</f>
        <v/>
      </c>
      <c r="L1579" s="107" t="str">
        <f aca="false">IF($E1579="","",INDEX(资金日记账!$X$4:$X$603,335))</f>
        <v/>
      </c>
      <c r="M1579" s="107"/>
      <c r="N1579" s="67" t="str">
        <f aca="false">IF($E1579="","",INDEX(资金日记账!$Y$4:$Y$603,335))</f>
        <v/>
      </c>
      <c r="O1579" s="67" t="str">
        <f aca="false">IF($E1579="","","自动B")</f>
        <v/>
      </c>
      <c r="P1579" s="18"/>
    </row>
    <row r="1580" customFormat="false" ht="18" hidden="false" customHeight="true" outlineLevel="0" collapsed="false">
      <c r="A1580" s="107" t="str">
        <f aca="false">IF($E1580="","",ROW()-3)</f>
        <v/>
      </c>
      <c r="B1580" s="110" t="str">
        <f aca="false">IF($E1580="","",INDEX(资金日记账!$B$4:$B$603,336))</f>
        <v/>
      </c>
      <c r="C1580" s="67" t="str">
        <f aca="false">IF($E1580="","",IF(INDEX(资金日记账!$W$4:$W$603,336)="","记-"&amp;TEXT($B1580,"YYYYMM")&amp;"-资金",INDEX(资金日记账!$W$4:$W$603,336)))</f>
        <v/>
      </c>
      <c r="D1580" s="107" t="str">
        <f aca="false">IF($E1580="","",INDEX(资金日记账!$D$4:$D$603,336))</f>
        <v/>
      </c>
      <c r="E1580" s="67" t="str">
        <f aca="false">IF(INDEX(资金日记账!$N$4:$S$603,336,1)=0,"",INDEX(资金日记账!$N$4:$S$603,336,1))</f>
        <v/>
      </c>
      <c r="F1580" s="99" t="str">
        <f aca="false">IF($E1580="","",IFERROR(INDEX(科目表!$A$4:$A$81,MATCH($E1580,科目表!$B$4:$B$81,0)),""))</f>
        <v/>
      </c>
      <c r="G1580" s="67" t="str">
        <f aca="false">IF($E1580="","",IFERROR(INDEX(科目表!$E$4:$E$81,MATCH($E1580,科目表!$B$4:$B$81,0)),""))</f>
        <v/>
      </c>
      <c r="H1580" s="70" t="str">
        <f aca="false">IF($E1580="","",N(INDEX(资金日记账!$N$4:$S$603,336,2)))</f>
        <v/>
      </c>
      <c r="I1580" s="70" t="str">
        <f aca="false">IF($E1580="","",N(INDEX(资金日记账!$N$4:$S$603,336,3)))</f>
        <v/>
      </c>
      <c r="J1580" s="67" t="str">
        <f aca="false">IF($E1580="","",INDEX(资金日记账!$E$4:$E$603,336))</f>
        <v/>
      </c>
      <c r="K1580" s="67" t="str">
        <f aca="false">IF($E1580="","",INDEX(资金日记账!$F$4:$F$603,336))</f>
        <v/>
      </c>
      <c r="L1580" s="107" t="str">
        <f aca="false">IF($E1580="","",INDEX(资金日记账!$X$4:$X$603,336))</f>
        <v/>
      </c>
      <c r="M1580" s="107"/>
      <c r="N1580" s="67" t="str">
        <f aca="false">IF($E1580="","",INDEX(资金日记账!$Y$4:$Y$603,336))</f>
        <v/>
      </c>
      <c r="O1580" s="67" t="str">
        <f aca="false">IF($E1580="","","自动B")</f>
        <v/>
      </c>
      <c r="P1580" s="18"/>
    </row>
    <row r="1581" customFormat="false" ht="18" hidden="false" customHeight="true" outlineLevel="0" collapsed="false">
      <c r="A1581" s="107" t="str">
        <f aca="false">IF($E1581="","",ROW()-3)</f>
        <v/>
      </c>
      <c r="B1581" s="110" t="str">
        <f aca="false">IF($E1581="","",INDEX(资金日记账!$B$4:$B$603,336))</f>
        <v/>
      </c>
      <c r="C1581" s="67" t="str">
        <f aca="false">IF($E1581="","",IF(INDEX(资金日记账!$W$4:$W$603,336)="","记-"&amp;TEXT($B1581,"YYYYMM")&amp;"-资金",INDEX(资金日记账!$W$4:$W$603,336)))</f>
        <v/>
      </c>
      <c r="D1581" s="107" t="str">
        <f aca="false">IF($E1581="","",INDEX(资金日记账!$D$4:$D$603,336))</f>
        <v/>
      </c>
      <c r="E1581" s="67" t="str">
        <f aca="false">IF(INDEX(资金日记账!$N$4:$S$603,336,4)=0,"",INDEX(资金日记账!$N$4:$S$603,336,4))</f>
        <v/>
      </c>
      <c r="F1581" s="99" t="str">
        <f aca="false">IF($E1581="","",IFERROR(INDEX(科目表!$A$4:$A$81,MATCH($E1581,科目表!$B$4:$B$81,0)),""))</f>
        <v/>
      </c>
      <c r="G1581" s="67" t="str">
        <f aca="false">IF($E1581="","",IFERROR(INDEX(科目表!$E$4:$E$81,MATCH($E1581,科目表!$B$4:$B$81,0)),""))</f>
        <v/>
      </c>
      <c r="H1581" s="70" t="str">
        <f aca="false">IF($E1581="","",N(INDEX(资金日记账!$N$4:$S$603,336,5)))</f>
        <v/>
      </c>
      <c r="I1581" s="70" t="str">
        <f aca="false">IF($E1581="","",N(INDEX(资金日记账!$N$4:$S$603,336,6)))</f>
        <v/>
      </c>
      <c r="J1581" s="67" t="str">
        <f aca="false">IF($E1581="","",INDEX(资金日记账!$E$4:$E$603,336))</f>
        <v/>
      </c>
      <c r="K1581" s="67" t="str">
        <f aca="false">IF($E1581="","",INDEX(资金日记账!$F$4:$F$603,336))</f>
        <v/>
      </c>
      <c r="L1581" s="107" t="str">
        <f aca="false">IF($E1581="","",INDEX(资金日记账!$X$4:$X$603,336))</f>
        <v/>
      </c>
      <c r="M1581" s="107"/>
      <c r="N1581" s="67" t="str">
        <f aca="false">IF($E1581="","",INDEX(资金日记账!$Y$4:$Y$603,336))</f>
        <v/>
      </c>
      <c r="O1581" s="67" t="str">
        <f aca="false">IF($E1581="","","自动B")</f>
        <v/>
      </c>
      <c r="P1581" s="18"/>
    </row>
    <row r="1582" customFormat="false" ht="18" hidden="false" customHeight="true" outlineLevel="0" collapsed="false">
      <c r="A1582" s="107" t="str">
        <f aca="false">IF($E1582="","",ROW()-3)</f>
        <v/>
      </c>
      <c r="B1582" s="110" t="str">
        <f aca="false">IF($E1582="","",INDEX(资金日记账!$B$4:$B$603,337))</f>
        <v/>
      </c>
      <c r="C1582" s="67" t="str">
        <f aca="false">IF($E1582="","",IF(INDEX(资金日记账!$W$4:$W$603,337)="","记-"&amp;TEXT($B1582,"YYYYMM")&amp;"-资金",INDEX(资金日记账!$W$4:$W$603,337)))</f>
        <v/>
      </c>
      <c r="D1582" s="107" t="str">
        <f aca="false">IF($E1582="","",INDEX(资金日记账!$D$4:$D$603,337))</f>
        <v/>
      </c>
      <c r="E1582" s="67" t="str">
        <f aca="false">IF(INDEX(资金日记账!$N$4:$S$603,337,1)=0,"",INDEX(资金日记账!$N$4:$S$603,337,1))</f>
        <v/>
      </c>
      <c r="F1582" s="99" t="str">
        <f aca="false">IF($E1582="","",IFERROR(INDEX(科目表!$A$4:$A$81,MATCH($E1582,科目表!$B$4:$B$81,0)),""))</f>
        <v/>
      </c>
      <c r="G1582" s="67" t="str">
        <f aca="false">IF($E1582="","",IFERROR(INDEX(科目表!$E$4:$E$81,MATCH($E1582,科目表!$B$4:$B$81,0)),""))</f>
        <v/>
      </c>
      <c r="H1582" s="70" t="str">
        <f aca="false">IF($E1582="","",N(INDEX(资金日记账!$N$4:$S$603,337,2)))</f>
        <v/>
      </c>
      <c r="I1582" s="70" t="str">
        <f aca="false">IF($E1582="","",N(INDEX(资金日记账!$N$4:$S$603,337,3)))</f>
        <v/>
      </c>
      <c r="J1582" s="67" t="str">
        <f aca="false">IF($E1582="","",INDEX(资金日记账!$E$4:$E$603,337))</f>
        <v/>
      </c>
      <c r="K1582" s="67" t="str">
        <f aca="false">IF($E1582="","",INDEX(资金日记账!$F$4:$F$603,337))</f>
        <v/>
      </c>
      <c r="L1582" s="107" t="str">
        <f aca="false">IF($E1582="","",INDEX(资金日记账!$X$4:$X$603,337))</f>
        <v/>
      </c>
      <c r="M1582" s="107"/>
      <c r="N1582" s="67" t="str">
        <f aca="false">IF($E1582="","",INDEX(资金日记账!$Y$4:$Y$603,337))</f>
        <v/>
      </c>
      <c r="O1582" s="67" t="str">
        <f aca="false">IF($E1582="","","自动B")</f>
        <v/>
      </c>
      <c r="P1582" s="18"/>
    </row>
    <row r="1583" customFormat="false" ht="18" hidden="false" customHeight="true" outlineLevel="0" collapsed="false">
      <c r="A1583" s="107" t="str">
        <f aca="false">IF($E1583="","",ROW()-3)</f>
        <v/>
      </c>
      <c r="B1583" s="110" t="str">
        <f aca="false">IF($E1583="","",INDEX(资金日记账!$B$4:$B$603,337))</f>
        <v/>
      </c>
      <c r="C1583" s="67" t="str">
        <f aca="false">IF($E1583="","",IF(INDEX(资金日记账!$W$4:$W$603,337)="","记-"&amp;TEXT($B1583,"YYYYMM")&amp;"-资金",INDEX(资金日记账!$W$4:$W$603,337)))</f>
        <v/>
      </c>
      <c r="D1583" s="107" t="str">
        <f aca="false">IF($E1583="","",INDEX(资金日记账!$D$4:$D$603,337))</f>
        <v/>
      </c>
      <c r="E1583" s="67" t="str">
        <f aca="false">IF(INDEX(资金日记账!$N$4:$S$603,337,4)=0,"",INDEX(资金日记账!$N$4:$S$603,337,4))</f>
        <v/>
      </c>
      <c r="F1583" s="99" t="str">
        <f aca="false">IF($E1583="","",IFERROR(INDEX(科目表!$A$4:$A$81,MATCH($E1583,科目表!$B$4:$B$81,0)),""))</f>
        <v/>
      </c>
      <c r="G1583" s="67" t="str">
        <f aca="false">IF($E1583="","",IFERROR(INDEX(科目表!$E$4:$E$81,MATCH($E1583,科目表!$B$4:$B$81,0)),""))</f>
        <v/>
      </c>
      <c r="H1583" s="70" t="str">
        <f aca="false">IF($E1583="","",N(INDEX(资金日记账!$N$4:$S$603,337,5)))</f>
        <v/>
      </c>
      <c r="I1583" s="70" t="str">
        <f aca="false">IF($E1583="","",N(INDEX(资金日记账!$N$4:$S$603,337,6)))</f>
        <v/>
      </c>
      <c r="J1583" s="67" t="str">
        <f aca="false">IF($E1583="","",INDEX(资金日记账!$E$4:$E$603,337))</f>
        <v/>
      </c>
      <c r="K1583" s="67" t="str">
        <f aca="false">IF($E1583="","",INDEX(资金日记账!$F$4:$F$603,337))</f>
        <v/>
      </c>
      <c r="L1583" s="107" t="str">
        <f aca="false">IF($E1583="","",INDEX(资金日记账!$X$4:$X$603,337))</f>
        <v/>
      </c>
      <c r="M1583" s="107"/>
      <c r="N1583" s="67" t="str">
        <f aca="false">IF($E1583="","",INDEX(资金日记账!$Y$4:$Y$603,337))</f>
        <v/>
      </c>
      <c r="O1583" s="67" t="str">
        <f aca="false">IF($E1583="","","自动B")</f>
        <v/>
      </c>
      <c r="P1583" s="18"/>
    </row>
    <row r="1584" customFormat="false" ht="18" hidden="false" customHeight="true" outlineLevel="0" collapsed="false">
      <c r="A1584" s="107" t="str">
        <f aca="false">IF($E1584="","",ROW()-3)</f>
        <v/>
      </c>
      <c r="B1584" s="110" t="str">
        <f aca="false">IF($E1584="","",INDEX(资金日记账!$B$4:$B$603,338))</f>
        <v/>
      </c>
      <c r="C1584" s="67" t="str">
        <f aca="false">IF($E1584="","",IF(INDEX(资金日记账!$W$4:$W$603,338)="","记-"&amp;TEXT($B1584,"YYYYMM")&amp;"-资金",INDEX(资金日记账!$W$4:$W$603,338)))</f>
        <v/>
      </c>
      <c r="D1584" s="107" t="str">
        <f aca="false">IF($E1584="","",INDEX(资金日记账!$D$4:$D$603,338))</f>
        <v/>
      </c>
      <c r="E1584" s="67" t="str">
        <f aca="false">IF(INDEX(资金日记账!$N$4:$S$603,338,1)=0,"",INDEX(资金日记账!$N$4:$S$603,338,1))</f>
        <v/>
      </c>
      <c r="F1584" s="99" t="str">
        <f aca="false">IF($E1584="","",IFERROR(INDEX(科目表!$A$4:$A$81,MATCH($E1584,科目表!$B$4:$B$81,0)),""))</f>
        <v/>
      </c>
      <c r="G1584" s="67" t="str">
        <f aca="false">IF($E1584="","",IFERROR(INDEX(科目表!$E$4:$E$81,MATCH($E1584,科目表!$B$4:$B$81,0)),""))</f>
        <v/>
      </c>
      <c r="H1584" s="70" t="str">
        <f aca="false">IF($E1584="","",N(INDEX(资金日记账!$N$4:$S$603,338,2)))</f>
        <v/>
      </c>
      <c r="I1584" s="70" t="str">
        <f aca="false">IF($E1584="","",N(INDEX(资金日记账!$N$4:$S$603,338,3)))</f>
        <v/>
      </c>
      <c r="J1584" s="67" t="str">
        <f aca="false">IF($E1584="","",INDEX(资金日记账!$E$4:$E$603,338))</f>
        <v/>
      </c>
      <c r="K1584" s="67" t="str">
        <f aca="false">IF($E1584="","",INDEX(资金日记账!$F$4:$F$603,338))</f>
        <v/>
      </c>
      <c r="L1584" s="107" t="str">
        <f aca="false">IF($E1584="","",INDEX(资金日记账!$X$4:$X$603,338))</f>
        <v/>
      </c>
      <c r="M1584" s="107"/>
      <c r="N1584" s="67" t="str">
        <f aca="false">IF($E1584="","",INDEX(资金日记账!$Y$4:$Y$603,338))</f>
        <v/>
      </c>
      <c r="O1584" s="67" t="str">
        <f aca="false">IF($E1584="","","自动B")</f>
        <v/>
      </c>
      <c r="P1584" s="18"/>
    </row>
    <row r="1585" customFormat="false" ht="18" hidden="false" customHeight="true" outlineLevel="0" collapsed="false">
      <c r="A1585" s="107" t="str">
        <f aca="false">IF($E1585="","",ROW()-3)</f>
        <v/>
      </c>
      <c r="B1585" s="110" t="str">
        <f aca="false">IF($E1585="","",INDEX(资金日记账!$B$4:$B$603,338))</f>
        <v/>
      </c>
      <c r="C1585" s="67" t="str">
        <f aca="false">IF($E1585="","",IF(INDEX(资金日记账!$W$4:$W$603,338)="","记-"&amp;TEXT($B1585,"YYYYMM")&amp;"-资金",INDEX(资金日记账!$W$4:$W$603,338)))</f>
        <v/>
      </c>
      <c r="D1585" s="107" t="str">
        <f aca="false">IF($E1585="","",INDEX(资金日记账!$D$4:$D$603,338))</f>
        <v/>
      </c>
      <c r="E1585" s="67" t="str">
        <f aca="false">IF(INDEX(资金日记账!$N$4:$S$603,338,4)=0,"",INDEX(资金日记账!$N$4:$S$603,338,4))</f>
        <v/>
      </c>
      <c r="F1585" s="99" t="str">
        <f aca="false">IF($E1585="","",IFERROR(INDEX(科目表!$A$4:$A$81,MATCH($E1585,科目表!$B$4:$B$81,0)),""))</f>
        <v/>
      </c>
      <c r="G1585" s="67" t="str">
        <f aca="false">IF($E1585="","",IFERROR(INDEX(科目表!$E$4:$E$81,MATCH($E1585,科目表!$B$4:$B$81,0)),""))</f>
        <v/>
      </c>
      <c r="H1585" s="70" t="str">
        <f aca="false">IF($E1585="","",N(INDEX(资金日记账!$N$4:$S$603,338,5)))</f>
        <v/>
      </c>
      <c r="I1585" s="70" t="str">
        <f aca="false">IF($E1585="","",N(INDEX(资金日记账!$N$4:$S$603,338,6)))</f>
        <v/>
      </c>
      <c r="J1585" s="67" t="str">
        <f aca="false">IF($E1585="","",INDEX(资金日记账!$E$4:$E$603,338))</f>
        <v/>
      </c>
      <c r="K1585" s="67" t="str">
        <f aca="false">IF($E1585="","",INDEX(资金日记账!$F$4:$F$603,338))</f>
        <v/>
      </c>
      <c r="L1585" s="107" t="str">
        <f aca="false">IF($E1585="","",INDEX(资金日记账!$X$4:$X$603,338))</f>
        <v/>
      </c>
      <c r="M1585" s="107"/>
      <c r="N1585" s="67" t="str">
        <f aca="false">IF($E1585="","",INDEX(资金日记账!$Y$4:$Y$603,338))</f>
        <v/>
      </c>
      <c r="O1585" s="67" t="str">
        <f aca="false">IF($E1585="","","自动B")</f>
        <v/>
      </c>
      <c r="P1585" s="18"/>
    </row>
    <row r="1586" customFormat="false" ht="18" hidden="false" customHeight="true" outlineLevel="0" collapsed="false">
      <c r="A1586" s="107" t="str">
        <f aca="false">IF($E1586="","",ROW()-3)</f>
        <v/>
      </c>
      <c r="B1586" s="110" t="str">
        <f aca="false">IF($E1586="","",INDEX(资金日记账!$B$4:$B$603,339))</f>
        <v/>
      </c>
      <c r="C1586" s="67" t="str">
        <f aca="false">IF($E1586="","",IF(INDEX(资金日记账!$W$4:$W$603,339)="","记-"&amp;TEXT($B1586,"YYYYMM")&amp;"-资金",INDEX(资金日记账!$W$4:$W$603,339)))</f>
        <v/>
      </c>
      <c r="D1586" s="107" t="str">
        <f aca="false">IF($E1586="","",INDEX(资金日记账!$D$4:$D$603,339))</f>
        <v/>
      </c>
      <c r="E1586" s="67" t="str">
        <f aca="false">IF(INDEX(资金日记账!$N$4:$S$603,339,1)=0,"",INDEX(资金日记账!$N$4:$S$603,339,1))</f>
        <v/>
      </c>
      <c r="F1586" s="99" t="str">
        <f aca="false">IF($E1586="","",IFERROR(INDEX(科目表!$A$4:$A$81,MATCH($E1586,科目表!$B$4:$B$81,0)),""))</f>
        <v/>
      </c>
      <c r="G1586" s="67" t="str">
        <f aca="false">IF($E1586="","",IFERROR(INDEX(科目表!$E$4:$E$81,MATCH($E1586,科目表!$B$4:$B$81,0)),""))</f>
        <v/>
      </c>
      <c r="H1586" s="70" t="str">
        <f aca="false">IF($E1586="","",N(INDEX(资金日记账!$N$4:$S$603,339,2)))</f>
        <v/>
      </c>
      <c r="I1586" s="70" t="str">
        <f aca="false">IF($E1586="","",N(INDEX(资金日记账!$N$4:$S$603,339,3)))</f>
        <v/>
      </c>
      <c r="J1586" s="67" t="str">
        <f aca="false">IF($E1586="","",INDEX(资金日记账!$E$4:$E$603,339))</f>
        <v/>
      </c>
      <c r="K1586" s="67" t="str">
        <f aca="false">IF($E1586="","",INDEX(资金日记账!$F$4:$F$603,339))</f>
        <v/>
      </c>
      <c r="L1586" s="107" t="str">
        <f aca="false">IF($E1586="","",INDEX(资金日记账!$X$4:$X$603,339))</f>
        <v/>
      </c>
      <c r="M1586" s="107"/>
      <c r="N1586" s="67" t="str">
        <f aca="false">IF($E1586="","",INDEX(资金日记账!$Y$4:$Y$603,339))</f>
        <v/>
      </c>
      <c r="O1586" s="67" t="str">
        <f aca="false">IF($E1586="","","自动B")</f>
        <v/>
      </c>
      <c r="P1586" s="18"/>
    </row>
    <row r="1587" customFormat="false" ht="18" hidden="false" customHeight="true" outlineLevel="0" collapsed="false">
      <c r="A1587" s="107" t="str">
        <f aca="false">IF($E1587="","",ROW()-3)</f>
        <v/>
      </c>
      <c r="B1587" s="110" t="str">
        <f aca="false">IF($E1587="","",INDEX(资金日记账!$B$4:$B$603,339))</f>
        <v/>
      </c>
      <c r="C1587" s="67" t="str">
        <f aca="false">IF($E1587="","",IF(INDEX(资金日记账!$W$4:$W$603,339)="","记-"&amp;TEXT($B1587,"YYYYMM")&amp;"-资金",INDEX(资金日记账!$W$4:$W$603,339)))</f>
        <v/>
      </c>
      <c r="D1587" s="107" t="str">
        <f aca="false">IF($E1587="","",INDEX(资金日记账!$D$4:$D$603,339))</f>
        <v/>
      </c>
      <c r="E1587" s="67" t="str">
        <f aca="false">IF(INDEX(资金日记账!$N$4:$S$603,339,4)=0,"",INDEX(资金日记账!$N$4:$S$603,339,4))</f>
        <v/>
      </c>
      <c r="F1587" s="99" t="str">
        <f aca="false">IF($E1587="","",IFERROR(INDEX(科目表!$A$4:$A$81,MATCH($E1587,科目表!$B$4:$B$81,0)),""))</f>
        <v/>
      </c>
      <c r="G1587" s="67" t="str">
        <f aca="false">IF($E1587="","",IFERROR(INDEX(科目表!$E$4:$E$81,MATCH($E1587,科目表!$B$4:$B$81,0)),""))</f>
        <v/>
      </c>
      <c r="H1587" s="70" t="str">
        <f aca="false">IF($E1587="","",N(INDEX(资金日记账!$N$4:$S$603,339,5)))</f>
        <v/>
      </c>
      <c r="I1587" s="70" t="str">
        <f aca="false">IF($E1587="","",N(INDEX(资金日记账!$N$4:$S$603,339,6)))</f>
        <v/>
      </c>
      <c r="J1587" s="67" t="str">
        <f aca="false">IF($E1587="","",INDEX(资金日记账!$E$4:$E$603,339))</f>
        <v/>
      </c>
      <c r="K1587" s="67" t="str">
        <f aca="false">IF($E1587="","",INDEX(资金日记账!$F$4:$F$603,339))</f>
        <v/>
      </c>
      <c r="L1587" s="107" t="str">
        <f aca="false">IF($E1587="","",INDEX(资金日记账!$X$4:$X$603,339))</f>
        <v/>
      </c>
      <c r="M1587" s="107"/>
      <c r="N1587" s="67" t="str">
        <f aca="false">IF($E1587="","",INDEX(资金日记账!$Y$4:$Y$603,339))</f>
        <v/>
      </c>
      <c r="O1587" s="67" t="str">
        <f aca="false">IF($E1587="","","自动B")</f>
        <v/>
      </c>
      <c r="P1587" s="18"/>
    </row>
    <row r="1588" customFormat="false" ht="18" hidden="false" customHeight="true" outlineLevel="0" collapsed="false">
      <c r="A1588" s="107" t="str">
        <f aca="false">IF($E1588="","",ROW()-3)</f>
        <v/>
      </c>
      <c r="B1588" s="110" t="str">
        <f aca="false">IF($E1588="","",INDEX(资金日记账!$B$4:$B$603,340))</f>
        <v/>
      </c>
      <c r="C1588" s="67" t="str">
        <f aca="false">IF($E1588="","",IF(INDEX(资金日记账!$W$4:$W$603,340)="","记-"&amp;TEXT($B1588,"YYYYMM")&amp;"-资金",INDEX(资金日记账!$W$4:$W$603,340)))</f>
        <v/>
      </c>
      <c r="D1588" s="107" t="str">
        <f aca="false">IF($E1588="","",INDEX(资金日记账!$D$4:$D$603,340))</f>
        <v/>
      </c>
      <c r="E1588" s="67" t="str">
        <f aca="false">IF(INDEX(资金日记账!$N$4:$S$603,340,1)=0,"",INDEX(资金日记账!$N$4:$S$603,340,1))</f>
        <v/>
      </c>
      <c r="F1588" s="99" t="str">
        <f aca="false">IF($E1588="","",IFERROR(INDEX(科目表!$A$4:$A$81,MATCH($E1588,科目表!$B$4:$B$81,0)),""))</f>
        <v/>
      </c>
      <c r="G1588" s="67" t="str">
        <f aca="false">IF($E1588="","",IFERROR(INDEX(科目表!$E$4:$E$81,MATCH($E1588,科目表!$B$4:$B$81,0)),""))</f>
        <v/>
      </c>
      <c r="H1588" s="70" t="str">
        <f aca="false">IF($E1588="","",N(INDEX(资金日记账!$N$4:$S$603,340,2)))</f>
        <v/>
      </c>
      <c r="I1588" s="70" t="str">
        <f aca="false">IF($E1588="","",N(INDEX(资金日记账!$N$4:$S$603,340,3)))</f>
        <v/>
      </c>
      <c r="J1588" s="67" t="str">
        <f aca="false">IF($E1588="","",INDEX(资金日记账!$E$4:$E$603,340))</f>
        <v/>
      </c>
      <c r="K1588" s="67" t="str">
        <f aca="false">IF($E1588="","",INDEX(资金日记账!$F$4:$F$603,340))</f>
        <v/>
      </c>
      <c r="L1588" s="107" t="str">
        <f aca="false">IF($E1588="","",INDEX(资金日记账!$X$4:$X$603,340))</f>
        <v/>
      </c>
      <c r="M1588" s="107"/>
      <c r="N1588" s="67" t="str">
        <f aca="false">IF($E1588="","",INDEX(资金日记账!$Y$4:$Y$603,340))</f>
        <v/>
      </c>
      <c r="O1588" s="67" t="str">
        <f aca="false">IF($E1588="","","自动B")</f>
        <v/>
      </c>
      <c r="P1588" s="18"/>
    </row>
    <row r="1589" customFormat="false" ht="18" hidden="false" customHeight="true" outlineLevel="0" collapsed="false">
      <c r="A1589" s="107" t="str">
        <f aca="false">IF($E1589="","",ROW()-3)</f>
        <v/>
      </c>
      <c r="B1589" s="110" t="str">
        <f aca="false">IF($E1589="","",INDEX(资金日记账!$B$4:$B$603,340))</f>
        <v/>
      </c>
      <c r="C1589" s="67" t="str">
        <f aca="false">IF($E1589="","",IF(INDEX(资金日记账!$W$4:$W$603,340)="","记-"&amp;TEXT($B1589,"YYYYMM")&amp;"-资金",INDEX(资金日记账!$W$4:$W$603,340)))</f>
        <v/>
      </c>
      <c r="D1589" s="107" t="str">
        <f aca="false">IF($E1589="","",INDEX(资金日记账!$D$4:$D$603,340))</f>
        <v/>
      </c>
      <c r="E1589" s="67" t="str">
        <f aca="false">IF(INDEX(资金日记账!$N$4:$S$603,340,4)=0,"",INDEX(资金日记账!$N$4:$S$603,340,4))</f>
        <v/>
      </c>
      <c r="F1589" s="99" t="str">
        <f aca="false">IF($E1589="","",IFERROR(INDEX(科目表!$A$4:$A$81,MATCH($E1589,科目表!$B$4:$B$81,0)),""))</f>
        <v/>
      </c>
      <c r="G1589" s="67" t="str">
        <f aca="false">IF($E1589="","",IFERROR(INDEX(科目表!$E$4:$E$81,MATCH($E1589,科目表!$B$4:$B$81,0)),""))</f>
        <v/>
      </c>
      <c r="H1589" s="70" t="str">
        <f aca="false">IF($E1589="","",N(INDEX(资金日记账!$N$4:$S$603,340,5)))</f>
        <v/>
      </c>
      <c r="I1589" s="70" t="str">
        <f aca="false">IF($E1589="","",N(INDEX(资金日记账!$N$4:$S$603,340,6)))</f>
        <v/>
      </c>
      <c r="J1589" s="67" t="str">
        <f aca="false">IF($E1589="","",INDEX(资金日记账!$E$4:$E$603,340))</f>
        <v/>
      </c>
      <c r="K1589" s="67" t="str">
        <f aca="false">IF($E1589="","",INDEX(资金日记账!$F$4:$F$603,340))</f>
        <v/>
      </c>
      <c r="L1589" s="107" t="str">
        <f aca="false">IF($E1589="","",INDEX(资金日记账!$X$4:$X$603,340))</f>
        <v/>
      </c>
      <c r="M1589" s="107"/>
      <c r="N1589" s="67" t="str">
        <f aca="false">IF($E1589="","",INDEX(资金日记账!$Y$4:$Y$603,340))</f>
        <v/>
      </c>
      <c r="O1589" s="67" t="str">
        <f aca="false">IF($E1589="","","自动B")</f>
        <v/>
      </c>
      <c r="P1589" s="18"/>
    </row>
    <row r="1590" customFormat="false" ht="18" hidden="false" customHeight="true" outlineLevel="0" collapsed="false">
      <c r="A1590" s="107" t="str">
        <f aca="false">IF($E1590="","",ROW()-3)</f>
        <v/>
      </c>
      <c r="B1590" s="110" t="str">
        <f aca="false">IF($E1590="","",INDEX(资金日记账!$B$4:$B$603,341))</f>
        <v/>
      </c>
      <c r="C1590" s="67" t="str">
        <f aca="false">IF($E1590="","",IF(INDEX(资金日记账!$W$4:$W$603,341)="","记-"&amp;TEXT($B1590,"YYYYMM")&amp;"-资金",INDEX(资金日记账!$W$4:$W$603,341)))</f>
        <v/>
      </c>
      <c r="D1590" s="107" t="str">
        <f aca="false">IF($E1590="","",INDEX(资金日记账!$D$4:$D$603,341))</f>
        <v/>
      </c>
      <c r="E1590" s="67" t="str">
        <f aca="false">IF(INDEX(资金日记账!$N$4:$S$603,341,1)=0,"",INDEX(资金日记账!$N$4:$S$603,341,1))</f>
        <v/>
      </c>
      <c r="F1590" s="99" t="str">
        <f aca="false">IF($E1590="","",IFERROR(INDEX(科目表!$A$4:$A$81,MATCH($E1590,科目表!$B$4:$B$81,0)),""))</f>
        <v/>
      </c>
      <c r="G1590" s="67" t="str">
        <f aca="false">IF($E1590="","",IFERROR(INDEX(科目表!$E$4:$E$81,MATCH($E1590,科目表!$B$4:$B$81,0)),""))</f>
        <v/>
      </c>
      <c r="H1590" s="70" t="str">
        <f aca="false">IF($E1590="","",N(INDEX(资金日记账!$N$4:$S$603,341,2)))</f>
        <v/>
      </c>
      <c r="I1590" s="70" t="str">
        <f aca="false">IF($E1590="","",N(INDEX(资金日记账!$N$4:$S$603,341,3)))</f>
        <v/>
      </c>
      <c r="J1590" s="67" t="str">
        <f aca="false">IF($E1590="","",INDEX(资金日记账!$E$4:$E$603,341))</f>
        <v/>
      </c>
      <c r="K1590" s="67" t="str">
        <f aca="false">IF($E1590="","",INDEX(资金日记账!$F$4:$F$603,341))</f>
        <v/>
      </c>
      <c r="L1590" s="107" t="str">
        <f aca="false">IF($E1590="","",INDEX(资金日记账!$X$4:$X$603,341))</f>
        <v/>
      </c>
      <c r="M1590" s="107"/>
      <c r="N1590" s="67" t="str">
        <f aca="false">IF($E1590="","",INDEX(资金日记账!$Y$4:$Y$603,341))</f>
        <v/>
      </c>
      <c r="O1590" s="67" t="str">
        <f aca="false">IF($E1590="","","自动B")</f>
        <v/>
      </c>
      <c r="P1590" s="18"/>
    </row>
    <row r="1591" customFormat="false" ht="18" hidden="false" customHeight="true" outlineLevel="0" collapsed="false">
      <c r="A1591" s="107" t="str">
        <f aca="false">IF($E1591="","",ROW()-3)</f>
        <v/>
      </c>
      <c r="B1591" s="110" t="str">
        <f aca="false">IF($E1591="","",INDEX(资金日记账!$B$4:$B$603,341))</f>
        <v/>
      </c>
      <c r="C1591" s="67" t="str">
        <f aca="false">IF($E1591="","",IF(INDEX(资金日记账!$W$4:$W$603,341)="","记-"&amp;TEXT($B1591,"YYYYMM")&amp;"-资金",INDEX(资金日记账!$W$4:$W$603,341)))</f>
        <v/>
      </c>
      <c r="D1591" s="107" t="str">
        <f aca="false">IF($E1591="","",INDEX(资金日记账!$D$4:$D$603,341))</f>
        <v/>
      </c>
      <c r="E1591" s="67" t="str">
        <f aca="false">IF(INDEX(资金日记账!$N$4:$S$603,341,4)=0,"",INDEX(资金日记账!$N$4:$S$603,341,4))</f>
        <v/>
      </c>
      <c r="F1591" s="99" t="str">
        <f aca="false">IF($E1591="","",IFERROR(INDEX(科目表!$A$4:$A$81,MATCH($E1591,科目表!$B$4:$B$81,0)),""))</f>
        <v/>
      </c>
      <c r="G1591" s="67" t="str">
        <f aca="false">IF($E1591="","",IFERROR(INDEX(科目表!$E$4:$E$81,MATCH($E1591,科目表!$B$4:$B$81,0)),""))</f>
        <v/>
      </c>
      <c r="H1591" s="70" t="str">
        <f aca="false">IF($E1591="","",N(INDEX(资金日记账!$N$4:$S$603,341,5)))</f>
        <v/>
      </c>
      <c r="I1591" s="70" t="str">
        <f aca="false">IF($E1591="","",N(INDEX(资金日记账!$N$4:$S$603,341,6)))</f>
        <v/>
      </c>
      <c r="J1591" s="67" t="str">
        <f aca="false">IF($E1591="","",INDEX(资金日记账!$E$4:$E$603,341))</f>
        <v/>
      </c>
      <c r="K1591" s="67" t="str">
        <f aca="false">IF($E1591="","",INDEX(资金日记账!$F$4:$F$603,341))</f>
        <v/>
      </c>
      <c r="L1591" s="107" t="str">
        <f aca="false">IF($E1591="","",INDEX(资金日记账!$X$4:$X$603,341))</f>
        <v/>
      </c>
      <c r="M1591" s="107"/>
      <c r="N1591" s="67" t="str">
        <f aca="false">IF($E1591="","",INDEX(资金日记账!$Y$4:$Y$603,341))</f>
        <v/>
      </c>
      <c r="O1591" s="67" t="str">
        <f aca="false">IF($E1591="","","自动B")</f>
        <v/>
      </c>
      <c r="P1591" s="18"/>
    </row>
    <row r="1592" customFormat="false" ht="18" hidden="false" customHeight="true" outlineLevel="0" collapsed="false">
      <c r="A1592" s="107" t="str">
        <f aca="false">IF($E1592="","",ROW()-3)</f>
        <v/>
      </c>
      <c r="B1592" s="110" t="str">
        <f aca="false">IF($E1592="","",INDEX(资金日记账!$B$4:$B$603,342))</f>
        <v/>
      </c>
      <c r="C1592" s="67" t="str">
        <f aca="false">IF($E1592="","",IF(INDEX(资金日记账!$W$4:$W$603,342)="","记-"&amp;TEXT($B1592,"YYYYMM")&amp;"-资金",INDEX(资金日记账!$W$4:$W$603,342)))</f>
        <v/>
      </c>
      <c r="D1592" s="107" t="str">
        <f aca="false">IF($E1592="","",INDEX(资金日记账!$D$4:$D$603,342))</f>
        <v/>
      </c>
      <c r="E1592" s="67" t="str">
        <f aca="false">IF(INDEX(资金日记账!$N$4:$S$603,342,1)=0,"",INDEX(资金日记账!$N$4:$S$603,342,1))</f>
        <v/>
      </c>
      <c r="F1592" s="99" t="str">
        <f aca="false">IF($E1592="","",IFERROR(INDEX(科目表!$A$4:$A$81,MATCH($E1592,科目表!$B$4:$B$81,0)),""))</f>
        <v/>
      </c>
      <c r="G1592" s="67" t="str">
        <f aca="false">IF($E1592="","",IFERROR(INDEX(科目表!$E$4:$E$81,MATCH($E1592,科目表!$B$4:$B$81,0)),""))</f>
        <v/>
      </c>
      <c r="H1592" s="70" t="str">
        <f aca="false">IF($E1592="","",N(INDEX(资金日记账!$N$4:$S$603,342,2)))</f>
        <v/>
      </c>
      <c r="I1592" s="70" t="str">
        <f aca="false">IF($E1592="","",N(INDEX(资金日记账!$N$4:$S$603,342,3)))</f>
        <v/>
      </c>
      <c r="J1592" s="67" t="str">
        <f aca="false">IF($E1592="","",INDEX(资金日记账!$E$4:$E$603,342))</f>
        <v/>
      </c>
      <c r="K1592" s="67" t="str">
        <f aca="false">IF($E1592="","",INDEX(资金日记账!$F$4:$F$603,342))</f>
        <v/>
      </c>
      <c r="L1592" s="107" t="str">
        <f aca="false">IF($E1592="","",INDEX(资金日记账!$X$4:$X$603,342))</f>
        <v/>
      </c>
      <c r="M1592" s="107"/>
      <c r="N1592" s="67" t="str">
        <f aca="false">IF($E1592="","",INDEX(资金日记账!$Y$4:$Y$603,342))</f>
        <v/>
      </c>
      <c r="O1592" s="67" t="str">
        <f aca="false">IF($E1592="","","自动B")</f>
        <v/>
      </c>
      <c r="P1592" s="18"/>
    </row>
    <row r="1593" customFormat="false" ht="18" hidden="false" customHeight="true" outlineLevel="0" collapsed="false">
      <c r="A1593" s="107" t="str">
        <f aca="false">IF($E1593="","",ROW()-3)</f>
        <v/>
      </c>
      <c r="B1593" s="110" t="str">
        <f aca="false">IF($E1593="","",INDEX(资金日记账!$B$4:$B$603,342))</f>
        <v/>
      </c>
      <c r="C1593" s="67" t="str">
        <f aca="false">IF($E1593="","",IF(INDEX(资金日记账!$W$4:$W$603,342)="","记-"&amp;TEXT($B1593,"YYYYMM")&amp;"-资金",INDEX(资金日记账!$W$4:$W$603,342)))</f>
        <v/>
      </c>
      <c r="D1593" s="107" t="str">
        <f aca="false">IF($E1593="","",INDEX(资金日记账!$D$4:$D$603,342))</f>
        <v/>
      </c>
      <c r="E1593" s="67" t="str">
        <f aca="false">IF(INDEX(资金日记账!$N$4:$S$603,342,4)=0,"",INDEX(资金日记账!$N$4:$S$603,342,4))</f>
        <v/>
      </c>
      <c r="F1593" s="99" t="str">
        <f aca="false">IF($E1593="","",IFERROR(INDEX(科目表!$A$4:$A$81,MATCH($E1593,科目表!$B$4:$B$81,0)),""))</f>
        <v/>
      </c>
      <c r="G1593" s="67" t="str">
        <f aca="false">IF($E1593="","",IFERROR(INDEX(科目表!$E$4:$E$81,MATCH($E1593,科目表!$B$4:$B$81,0)),""))</f>
        <v/>
      </c>
      <c r="H1593" s="70" t="str">
        <f aca="false">IF($E1593="","",N(INDEX(资金日记账!$N$4:$S$603,342,5)))</f>
        <v/>
      </c>
      <c r="I1593" s="70" t="str">
        <f aca="false">IF($E1593="","",N(INDEX(资金日记账!$N$4:$S$603,342,6)))</f>
        <v/>
      </c>
      <c r="J1593" s="67" t="str">
        <f aca="false">IF($E1593="","",INDEX(资金日记账!$E$4:$E$603,342))</f>
        <v/>
      </c>
      <c r="K1593" s="67" t="str">
        <f aca="false">IF($E1593="","",INDEX(资金日记账!$F$4:$F$603,342))</f>
        <v/>
      </c>
      <c r="L1593" s="107" t="str">
        <f aca="false">IF($E1593="","",INDEX(资金日记账!$X$4:$X$603,342))</f>
        <v/>
      </c>
      <c r="M1593" s="107"/>
      <c r="N1593" s="67" t="str">
        <f aca="false">IF($E1593="","",INDEX(资金日记账!$Y$4:$Y$603,342))</f>
        <v/>
      </c>
      <c r="O1593" s="67" t="str">
        <f aca="false">IF($E1593="","","自动B")</f>
        <v/>
      </c>
      <c r="P1593" s="18"/>
    </row>
    <row r="1594" customFormat="false" ht="18" hidden="false" customHeight="true" outlineLevel="0" collapsed="false">
      <c r="A1594" s="107" t="str">
        <f aca="false">IF($E1594="","",ROW()-3)</f>
        <v/>
      </c>
      <c r="B1594" s="110" t="str">
        <f aca="false">IF($E1594="","",INDEX(资金日记账!$B$4:$B$603,343))</f>
        <v/>
      </c>
      <c r="C1594" s="67" t="str">
        <f aca="false">IF($E1594="","",IF(INDEX(资金日记账!$W$4:$W$603,343)="","记-"&amp;TEXT($B1594,"YYYYMM")&amp;"-资金",INDEX(资金日记账!$W$4:$W$603,343)))</f>
        <v/>
      </c>
      <c r="D1594" s="107" t="str">
        <f aca="false">IF($E1594="","",INDEX(资金日记账!$D$4:$D$603,343))</f>
        <v/>
      </c>
      <c r="E1594" s="67" t="str">
        <f aca="false">IF(INDEX(资金日记账!$N$4:$S$603,343,1)=0,"",INDEX(资金日记账!$N$4:$S$603,343,1))</f>
        <v/>
      </c>
      <c r="F1594" s="99" t="str">
        <f aca="false">IF($E1594="","",IFERROR(INDEX(科目表!$A$4:$A$81,MATCH($E1594,科目表!$B$4:$B$81,0)),""))</f>
        <v/>
      </c>
      <c r="G1594" s="67" t="str">
        <f aca="false">IF($E1594="","",IFERROR(INDEX(科目表!$E$4:$E$81,MATCH($E1594,科目表!$B$4:$B$81,0)),""))</f>
        <v/>
      </c>
      <c r="H1594" s="70" t="str">
        <f aca="false">IF($E1594="","",N(INDEX(资金日记账!$N$4:$S$603,343,2)))</f>
        <v/>
      </c>
      <c r="I1594" s="70" t="str">
        <f aca="false">IF($E1594="","",N(INDEX(资金日记账!$N$4:$S$603,343,3)))</f>
        <v/>
      </c>
      <c r="J1594" s="67" t="str">
        <f aca="false">IF($E1594="","",INDEX(资金日记账!$E$4:$E$603,343))</f>
        <v/>
      </c>
      <c r="K1594" s="67" t="str">
        <f aca="false">IF($E1594="","",INDEX(资金日记账!$F$4:$F$603,343))</f>
        <v/>
      </c>
      <c r="L1594" s="107" t="str">
        <f aca="false">IF($E1594="","",INDEX(资金日记账!$X$4:$X$603,343))</f>
        <v/>
      </c>
      <c r="M1594" s="107"/>
      <c r="N1594" s="67" t="str">
        <f aca="false">IF($E1594="","",INDEX(资金日记账!$Y$4:$Y$603,343))</f>
        <v/>
      </c>
      <c r="O1594" s="67" t="str">
        <f aca="false">IF($E1594="","","自动B")</f>
        <v/>
      </c>
      <c r="P1594" s="18"/>
    </row>
    <row r="1595" customFormat="false" ht="18" hidden="false" customHeight="true" outlineLevel="0" collapsed="false">
      <c r="A1595" s="107" t="str">
        <f aca="false">IF($E1595="","",ROW()-3)</f>
        <v/>
      </c>
      <c r="B1595" s="110" t="str">
        <f aca="false">IF($E1595="","",INDEX(资金日记账!$B$4:$B$603,343))</f>
        <v/>
      </c>
      <c r="C1595" s="67" t="str">
        <f aca="false">IF($E1595="","",IF(INDEX(资金日记账!$W$4:$W$603,343)="","记-"&amp;TEXT($B1595,"YYYYMM")&amp;"-资金",INDEX(资金日记账!$W$4:$W$603,343)))</f>
        <v/>
      </c>
      <c r="D1595" s="107" t="str">
        <f aca="false">IF($E1595="","",INDEX(资金日记账!$D$4:$D$603,343))</f>
        <v/>
      </c>
      <c r="E1595" s="67" t="str">
        <f aca="false">IF(INDEX(资金日记账!$N$4:$S$603,343,4)=0,"",INDEX(资金日记账!$N$4:$S$603,343,4))</f>
        <v/>
      </c>
      <c r="F1595" s="99" t="str">
        <f aca="false">IF($E1595="","",IFERROR(INDEX(科目表!$A$4:$A$81,MATCH($E1595,科目表!$B$4:$B$81,0)),""))</f>
        <v/>
      </c>
      <c r="G1595" s="67" t="str">
        <f aca="false">IF($E1595="","",IFERROR(INDEX(科目表!$E$4:$E$81,MATCH($E1595,科目表!$B$4:$B$81,0)),""))</f>
        <v/>
      </c>
      <c r="H1595" s="70" t="str">
        <f aca="false">IF($E1595="","",N(INDEX(资金日记账!$N$4:$S$603,343,5)))</f>
        <v/>
      </c>
      <c r="I1595" s="70" t="str">
        <f aca="false">IF($E1595="","",N(INDEX(资金日记账!$N$4:$S$603,343,6)))</f>
        <v/>
      </c>
      <c r="J1595" s="67" t="str">
        <f aca="false">IF($E1595="","",INDEX(资金日记账!$E$4:$E$603,343))</f>
        <v/>
      </c>
      <c r="K1595" s="67" t="str">
        <f aca="false">IF($E1595="","",INDEX(资金日记账!$F$4:$F$603,343))</f>
        <v/>
      </c>
      <c r="L1595" s="107" t="str">
        <f aca="false">IF($E1595="","",INDEX(资金日记账!$X$4:$X$603,343))</f>
        <v/>
      </c>
      <c r="M1595" s="107"/>
      <c r="N1595" s="67" t="str">
        <f aca="false">IF($E1595="","",INDEX(资金日记账!$Y$4:$Y$603,343))</f>
        <v/>
      </c>
      <c r="O1595" s="67" t="str">
        <f aca="false">IF($E1595="","","自动B")</f>
        <v/>
      </c>
      <c r="P1595" s="18"/>
    </row>
    <row r="1596" customFormat="false" ht="18" hidden="false" customHeight="true" outlineLevel="0" collapsed="false">
      <c r="A1596" s="107" t="str">
        <f aca="false">IF($E1596="","",ROW()-3)</f>
        <v/>
      </c>
      <c r="B1596" s="110" t="str">
        <f aca="false">IF($E1596="","",INDEX(资金日记账!$B$4:$B$603,344))</f>
        <v/>
      </c>
      <c r="C1596" s="67" t="str">
        <f aca="false">IF($E1596="","",IF(INDEX(资金日记账!$W$4:$W$603,344)="","记-"&amp;TEXT($B1596,"YYYYMM")&amp;"-资金",INDEX(资金日记账!$W$4:$W$603,344)))</f>
        <v/>
      </c>
      <c r="D1596" s="107" t="str">
        <f aca="false">IF($E1596="","",INDEX(资金日记账!$D$4:$D$603,344))</f>
        <v/>
      </c>
      <c r="E1596" s="67" t="str">
        <f aca="false">IF(INDEX(资金日记账!$N$4:$S$603,344,1)=0,"",INDEX(资金日记账!$N$4:$S$603,344,1))</f>
        <v/>
      </c>
      <c r="F1596" s="99" t="str">
        <f aca="false">IF($E1596="","",IFERROR(INDEX(科目表!$A$4:$A$81,MATCH($E1596,科目表!$B$4:$B$81,0)),""))</f>
        <v/>
      </c>
      <c r="G1596" s="67" t="str">
        <f aca="false">IF($E1596="","",IFERROR(INDEX(科目表!$E$4:$E$81,MATCH($E1596,科目表!$B$4:$B$81,0)),""))</f>
        <v/>
      </c>
      <c r="H1596" s="70" t="str">
        <f aca="false">IF($E1596="","",N(INDEX(资金日记账!$N$4:$S$603,344,2)))</f>
        <v/>
      </c>
      <c r="I1596" s="70" t="str">
        <f aca="false">IF($E1596="","",N(INDEX(资金日记账!$N$4:$S$603,344,3)))</f>
        <v/>
      </c>
      <c r="J1596" s="67" t="str">
        <f aca="false">IF($E1596="","",INDEX(资金日记账!$E$4:$E$603,344))</f>
        <v/>
      </c>
      <c r="K1596" s="67" t="str">
        <f aca="false">IF($E1596="","",INDEX(资金日记账!$F$4:$F$603,344))</f>
        <v/>
      </c>
      <c r="L1596" s="107" t="str">
        <f aca="false">IF($E1596="","",INDEX(资金日记账!$X$4:$X$603,344))</f>
        <v/>
      </c>
      <c r="M1596" s="107"/>
      <c r="N1596" s="67" t="str">
        <f aca="false">IF($E1596="","",INDEX(资金日记账!$Y$4:$Y$603,344))</f>
        <v/>
      </c>
      <c r="O1596" s="67" t="str">
        <f aca="false">IF($E1596="","","自动B")</f>
        <v/>
      </c>
      <c r="P1596" s="18"/>
    </row>
    <row r="1597" customFormat="false" ht="18" hidden="false" customHeight="true" outlineLevel="0" collapsed="false">
      <c r="A1597" s="107" t="str">
        <f aca="false">IF($E1597="","",ROW()-3)</f>
        <v/>
      </c>
      <c r="B1597" s="110" t="str">
        <f aca="false">IF($E1597="","",INDEX(资金日记账!$B$4:$B$603,344))</f>
        <v/>
      </c>
      <c r="C1597" s="67" t="str">
        <f aca="false">IF($E1597="","",IF(INDEX(资金日记账!$W$4:$W$603,344)="","记-"&amp;TEXT($B1597,"YYYYMM")&amp;"-资金",INDEX(资金日记账!$W$4:$W$603,344)))</f>
        <v/>
      </c>
      <c r="D1597" s="107" t="str">
        <f aca="false">IF($E1597="","",INDEX(资金日记账!$D$4:$D$603,344))</f>
        <v/>
      </c>
      <c r="E1597" s="67" t="str">
        <f aca="false">IF(INDEX(资金日记账!$N$4:$S$603,344,4)=0,"",INDEX(资金日记账!$N$4:$S$603,344,4))</f>
        <v/>
      </c>
      <c r="F1597" s="99" t="str">
        <f aca="false">IF($E1597="","",IFERROR(INDEX(科目表!$A$4:$A$81,MATCH($E1597,科目表!$B$4:$B$81,0)),""))</f>
        <v/>
      </c>
      <c r="G1597" s="67" t="str">
        <f aca="false">IF($E1597="","",IFERROR(INDEX(科目表!$E$4:$E$81,MATCH($E1597,科目表!$B$4:$B$81,0)),""))</f>
        <v/>
      </c>
      <c r="H1597" s="70" t="str">
        <f aca="false">IF($E1597="","",N(INDEX(资金日记账!$N$4:$S$603,344,5)))</f>
        <v/>
      </c>
      <c r="I1597" s="70" t="str">
        <f aca="false">IF($E1597="","",N(INDEX(资金日记账!$N$4:$S$603,344,6)))</f>
        <v/>
      </c>
      <c r="J1597" s="67" t="str">
        <f aca="false">IF($E1597="","",INDEX(资金日记账!$E$4:$E$603,344))</f>
        <v/>
      </c>
      <c r="K1597" s="67" t="str">
        <f aca="false">IF($E1597="","",INDEX(资金日记账!$F$4:$F$603,344))</f>
        <v/>
      </c>
      <c r="L1597" s="107" t="str">
        <f aca="false">IF($E1597="","",INDEX(资金日记账!$X$4:$X$603,344))</f>
        <v/>
      </c>
      <c r="M1597" s="107"/>
      <c r="N1597" s="67" t="str">
        <f aca="false">IF($E1597="","",INDEX(资金日记账!$Y$4:$Y$603,344))</f>
        <v/>
      </c>
      <c r="O1597" s="67" t="str">
        <f aca="false">IF($E1597="","","自动B")</f>
        <v/>
      </c>
      <c r="P1597" s="18"/>
    </row>
    <row r="1598" customFormat="false" ht="18" hidden="false" customHeight="true" outlineLevel="0" collapsed="false">
      <c r="A1598" s="107" t="str">
        <f aca="false">IF($E1598="","",ROW()-3)</f>
        <v/>
      </c>
      <c r="B1598" s="110" t="str">
        <f aca="false">IF($E1598="","",INDEX(资金日记账!$B$4:$B$603,345))</f>
        <v/>
      </c>
      <c r="C1598" s="67" t="str">
        <f aca="false">IF($E1598="","",IF(INDEX(资金日记账!$W$4:$W$603,345)="","记-"&amp;TEXT($B1598,"YYYYMM")&amp;"-资金",INDEX(资金日记账!$W$4:$W$603,345)))</f>
        <v/>
      </c>
      <c r="D1598" s="107" t="str">
        <f aca="false">IF($E1598="","",INDEX(资金日记账!$D$4:$D$603,345))</f>
        <v/>
      </c>
      <c r="E1598" s="67" t="str">
        <f aca="false">IF(INDEX(资金日记账!$N$4:$S$603,345,1)=0,"",INDEX(资金日记账!$N$4:$S$603,345,1))</f>
        <v/>
      </c>
      <c r="F1598" s="99" t="str">
        <f aca="false">IF($E1598="","",IFERROR(INDEX(科目表!$A$4:$A$81,MATCH($E1598,科目表!$B$4:$B$81,0)),""))</f>
        <v/>
      </c>
      <c r="G1598" s="67" t="str">
        <f aca="false">IF($E1598="","",IFERROR(INDEX(科目表!$E$4:$E$81,MATCH($E1598,科目表!$B$4:$B$81,0)),""))</f>
        <v/>
      </c>
      <c r="H1598" s="70" t="str">
        <f aca="false">IF($E1598="","",N(INDEX(资金日记账!$N$4:$S$603,345,2)))</f>
        <v/>
      </c>
      <c r="I1598" s="70" t="str">
        <f aca="false">IF($E1598="","",N(INDEX(资金日记账!$N$4:$S$603,345,3)))</f>
        <v/>
      </c>
      <c r="J1598" s="67" t="str">
        <f aca="false">IF($E1598="","",INDEX(资金日记账!$E$4:$E$603,345))</f>
        <v/>
      </c>
      <c r="K1598" s="67" t="str">
        <f aca="false">IF($E1598="","",INDEX(资金日记账!$F$4:$F$603,345))</f>
        <v/>
      </c>
      <c r="L1598" s="107" t="str">
        <f aca="false">IF($E1598="","",INDEX(资金日记账!$X$4:$X$603,345))</f>
        <v/>
      </c>
      <c r="M1598" s="107"/>
      <c r="N1598" s="67" t="str">
        <f aca="false">IF($E1598="","",INDEX(资金日记账!$Y$4:$Y$603,345))</f>
        <v/>
      </c>
      <c r="O1598" s="67" t="str">
        <f aca="false">IF($E1598="","","自动B")</f>
        <v/>
      </c>
      <c r="P1598" s="18"/>
    </row>
    <row r="1599" customFormat="false" ht="18" hidden="false" customHeight="true" outlineLevel="0" collapsed="false">
      <c r="A1599" s="107" t="str">
        <f aca="false">IF($E1599="","",ROW()-3)</f>
        <v/>
      </c>
      <c r="B1599" s="110" t="str">
        <f aca="false">IF($E1599="","",INDEX(资金日记账!$B$4:$B$603,345))</f>
        <v/>
      </c>
      <c r="C1599" s="67" t="str">
        <f aca="false">IF($E1599="","",IF(INDEX(资金日记账!$W$4:$W$603,345)="","记-"&amp;TEXT($B1599,"YYYYMM")&amp;"-资金",INDEX(资金日记账!$W$4:$W$603,345)))</f>
        <v/>
      </c>
      <c r="D1599" s="107" t="str">
        <f aca="false">IF($E1599="","",INDEX(资金日记账!$D$4:$D$603,345))</f>
        <v/>
      </c>
      <c r="E1599" s="67" t="str">
        <f aca="false">IF(INDEX(资金日记账!$N$4:$S$603,345,4)=0,"",INDEX(资金日记账!$N$4:$S$603,345,4))</f>
        <v/>
      </c>
      <c r="F1599" s="99" t="str">
        <f aca="false">IF($E1599="","",IFERROR(INDEX(科目表!$A$4:$A$81,MATCH($E1599,科目表!$B$4:$B$81,0)),""))</f>
        <v/>
      </c>
      <c r="G1599" s="67" t="str">
        <f aca="false">IF($E1599="","",IFERROR(INDEX(科目表!$E$4:$E$81,MATCH($E1599,科目表!$B$4:$B$81,0)),""))</f>
        <v/>
      </c>
      <c r="H1599" s="70" t="str">
        <f aca="false">IF($E1599="","",N(INDEX(资金日记账!$N$4:$S$603,345,5)))</f>
        <v/>
      </c>
      <c r="I1599" s="70" t="str">
        <f aca="false">IF($E1599="","",N(INDEX(资金日记账!$N$4:$S$603,345,6)))</f>
        <v/>
      </c>
      <c r="J1599" s="67" t="str">
        <f aca="false">IF($E1599="","",INDEX(资金日记账!$E$4:$E$603,345))</f>
        <v/>
      </c>
      <c r="K1599" s="67" t="str">
        <f aca="false">IF($E1599="","",INDEX(资金日记账!$F$4:$F$603,345))</f>
        <v/>
      </c>
      <c r="L1599" s="107" t="str">
        <f aca="false">IF($E1599="","",INDEX(资金日记账!$X$4:$X$603,345))</f>
        <v/>
      </c>
      <c r="M1599" s="107"/>
      <c r="N1599" s="67" t="str">
        <f aca="false">IF($E1599="","",INDEX(资金日记账!$Y$4:$Y$603,345))</f>
        <v/>
      </c>
      <c r="O1599" s="67" t="str">
        <f aca="false">IF($E1599="","","自动B")</f>
        <v/>
      </c>
      <c r="P1599" s="18"/>
    </row>
    <row r="1600" customFormat="false" ht="18" hidden="false" customHeight="true" outlineLevel="0" collapsed="false">
      <c r="A1600" s="107" t="str">
        <f aca="false">IF($E1600="","",ROW()-3)</f>
        <v/>
      </c>
      <c r="B1600" s="110" t="str">
        <f aca="false">IF($E1600="","",INDEX(资金日记账!$B$4:$B$603,346))</f>
        <v/>
      </c>
      <c r="C1600" s="67" t="str">
        <f aca="false">IF($E1600="","",IF(INDEX(资金日记账!$W$4:$W$603,346)="","记-"&amp;TEXT($B1600,"YYYYMM")&amp;"-资金",INDEX(资金日记账!$W$4:$W$603,346)))</f>
        <v/>
      </c>
      <c r="D1600" s="107" t="str">
        <f aca="false">IF($E1600="","",INDEX(资金日记账!$D$4:$D$603,346))</f>
        <v/>
      </c>
      <c r="E1600" s="67" t="str">
        <f aca="false">IF(INDEX(资金日记账!$N$4:$S$603,346,1)=0,"",INDEX(资金日记账!$N$4:$S$603,346,1))</f>
        <v/>
      </c>
      <c r="F1600" s="99" t="str">
        <f aca="false">IF($E1600="","",IFERROR(INDEX(科目表!$A$4:$A$81,MATCH($E1600,科目表!$B$4:$B$81,0)),""))</f>
        <v/>
      </c>
      <c r="G1600" s="67" t="str">
        <f aca="false">IF($E1600="","",IFERROR(INDEX(科目表!$E$4:$E$81,MATCH($E1600,科目表!$B$4:$B$81,0)),""))</f>
        <v/>
      </c>
      <c r="H1600" s="70" t="str">
        <f aca="false">IF($E1600="","",N(INDEX(资金日记账!$N$4:$S$603,346,2)))</f>
        <v/>
      </c>
      <c r="I1600" s="70" t="str">
        <f aca="false">IF($E1600="","",N(INDEX(资金日记账!$N$4:$S$603,346,3)))</f>
        <v/>
      </c>
      <c r="J1600" s="67" t="str">
        <f aca="false">IF($E1600="","",INDEX(资金日记账!$E$4:$E$603,346))</f>
        <v/>
      </c>
      <c r="K1600" s="67" t="str">
        <f aca="false">IF($E1600="","",INDEX(资金日记账!$F$4:$F$603,346))</f>
        <v/>
      </c>
      <c r="L1600" s="107" t="str">
        <f aca="false">IF($E1600="","",INDEX(资金日记账!$X$4:$X$603,346))</f>
        <v/>
      </c>
      <c r="M1600" s="107"/>
      <c r="N1600" s="67" t="str">
        <f aca="false">IF($E1600="","",INDEX(资金日记账!$Y$4:$Y$603,346))</f>
        <v/>
      </c>
      <c r="O1600" s="67" t="str">
        <f aca="false">IF($E1600="","","自动B")</f>
        <v/>
      </c>
      <c r="P1600" s="18"/>
    </row>
    <row r="1601" customFormat="false" ht="18" hidden="false" customHeight="true" outlineLevel="0" collapsed="false">
      <c r="A1601" s="107" t="str">
        <f aca="false">IF($E1601="","",ROW()-3)</f>
        <v/>
      </c>
      <c r="B1601" s="110" t="str">
        <f aca="false">IF($E1601="","",INDEX(资金日记账!$B$4:$B$603,346))</f>
        <v/>
      </c>
      <c r="C1601" s="67" t="str">
        <f aca="false">IF($E1601="","",IF(INDEX(资金日记账!$W$4:$W$603,346)="","记-"&amp;TEXT($B1601,"YYYYMM")&amp;"-资金",INDEX(资金日记账!$W$4:$W$603,346)))</f>
        <v/>
      </c>
      <c r="D1601" s="107" t="str">
        <f aca="false">IF($E1601="","",INDEX(资金日记账!$D$4:$D$603,346))</f>
        <v/>
      </c>
      <c r="E1601" s="67" t="str">
        <f aca="false">IF(INDEX(资金日记账!$N$4:$S$603,346,4)=0,"",INDEX(资金日记账!$N$4:$S$603,346,4))</f>
        <v/>
      </c>
      <c r="F1601" s="99" t="str">
        <f aca="false">IF($E1601="","",IFERROR(INDEX(科目表!$A$4:$A$81,MATCH($E1601,科目表!$B$4:$B$81,0)),""))</f>
        <v/>
      </c>
      <c r="G1601" s="67" t="str">
        <f aca="false">IF($E1601="","",IFERROR(INDEX(科目表!$E$4:$E$81,MATCH($E1601,科目表!$B$4:$B$81,0)),""))</f>
        <v/>
      </c>
      <c r="H1601" s="70" t="str">
        <f aca="false">IF($E1601="","",N(INDEX(资金日记账!$N$4:$S$603,346,5)))</f>
        <v/>
      </c>
      <c r="I1601" s="70" t="str">
        <f aca="false">IF($E1601="","",N(INDEX(资金日记账!$N$4:$S$603,346,6)))</f>
        <v/>
      </c>
      <c r="J1601" s="67" t="str">
        <f aca="false">IF($E1601="","",INDEX(资金日记账!$E$4:$E$603,346))</f>
        <v/>
      </c>
      <c r="K1601" s="67" t="str">
        <f aca="false">IF($E1601="","",INDEX(资金日记账!$F$4:$F$603,346))</f>
        <v/>
      </c>
      <c r="L1601" s="107" t="str">
        <f aca="false">IF($E1601="","",INDEX(资金日记账!$X$4:$X$603,346))</f>
        <v/>
      </c>
      <c r="M1601" s="107"/>
      <c r="N1601" s="67" t="str">
        <f aca="false">IF($E1601="","",INDEX(资金日记账!$Y$4:$Y$603,346))</f>
        <v/>
      </c>
      <c r="O1601" s="67" t="str">
        <f aca="false">IF($E1601="","","自动B")</f>
        <v/>
      </c>
      <c r="P1601" s="18"/>
    </row>
    <row r="1602" customFormat="false" ht="18" hidden="false" customHeight="true" outlineLevel="0" collapsed="false">
      <c r="A1602" s="107" t="str">
        <f aca="false">IF($E1602="","",ROW()-3)</f>
        <v/>
      </c>
      <c r="B1602" s="110" t="str">
        <f aca="false">IF($E1602="","",INDEX(资金日记账!$B$4:$B$603,347))</f>
        <v/>
      </c>
      <c r="C1602" s="67" t="str">
        <f aca="false">IF($E1602="","",IF(INDEX(资金日记账!$W$4:$W$603,347)="","记-"&amp;TEXT($B1602,"YYYYMM")&amp;"-资金",INDEX(资金日记账!$W$4:$W$603,347)))</f>
        <v/>
      </c>
      <c r="D1602" s="107" t="str">
        <f aca="false">IF($E1602="","",INDEX(资金日记账!$D$4:$D$603,347))</f>
        <v/>
      </c>
      <c r="E1602" s="67" t="str">
        <f aca="false">IF(INDEX(资金日记账!$N$4:$S$603,347,1)=0,"",INDEX(资金日记账!$N$4:$S$603,347,1))</f>
        <v/>
      </c>
      <c r="F1602" s="99" t="str">
        <f aca="false">IF($E1602="","",IFERROR(INDEX(科目表!$A$4:$A$81,MATCH($E1602,科目表!$B$4:$B$81,0)),""))</f>
        <v/>
      </c>
      <c r="G1602" s="67" t="str">
        <f aca="false">IF($E1602="","",IFERROR(INDEX(科目表!$E$4:$E$81,MATCH($E1602,科目表!$B$4:$B$81,0)),""))</f>
        <v/>
      </c>
      <c r="H1602" s="70" t="str">
        <f aca="false">IF($E1602="","",N(INDEX(资金日记账!$N$4:$S$603,347,2)))</f>
        <v/>
      </c>
      <c r="I1602" s="70" t="str">
        <f aca="false">IF($E1602="","",N(INDEX(资金日记账!$N$4:$S$603,347,3)))</f>
        <v/>
      </c>
      <c r="J1602" s="67" t="str">
        <f aca="false">IF($E1602="","",INDEX(资金日记账!$E$4:$E$603,347))</f>
        <v/>
      </c>
      <c r="K1602" s="67" t="str">
        <f aca="false">IF($E1602="","",INDEX(资金日记账!$F$4:$F$603,347))</f>
        <v/>
      </c>
      <c r="L1602" s="107" t="str">
        <f aca="false">IF($E1602="","",INDEX(资金日记账!$X$4:$X$603,347))</f>
        <v/>
      </c>
      <c r="M1602" s="107"/>
      <c r="N1602" s="67" t="str">
        <f aca="false">IF($E1602="","",INDEX(资金日记账!$Y$4:$Y$603,347))</f>
        <v/>
      </c>
      <c r="O1602" s="67" t="str">
        <f aca="false">IF($E1602="","","自动B")</f>
        <v/>
      </c>
      <c r="P1602" s="18"/>
    </row>
    <row r="1603" customFormat="false" ht="18" hidden="false" customHeight="true" outlineLevel="0" collapsed="false">
      <c r="A1603" s="107" t="str">
        <f aca="false">IF($E1603="","",ROW()-3)</f>
        <v/>
      </c>
      <c r="B1603" s="110" t="str">
        <f aca="false">IF($E1603="","",INDEX(资金日记账!$B$4:$B$603,347))</f>
        <v/>
      </c>
      <c r="C1603" s="67" t="str">
        <f aca="false">IF($E1603="","",IF(INDEX(资金日记账!$W$4:$W$603,347)="","记-"&amp;TEXT($B1603,"YYYYMM")&amp;"-资金",INDEX(资金日记账!$W$4:$W$603,347)))</f>
        <v/>
      </c>
      <c r="D1603" s="107" t="str">
        <f aca="false">IF($E1603="","",INDEX(资金日记账!$D$4:$D$603,347))</f>
        <v/>
      </c>
      <c r="E1603" s="67" t="str">
        <f aca="false">IF(INDEX(资金日记账!$N$4:$S$603,347,4)=0,"",INDEX(资金日记账!$N$4:$S$603,347,4))</f>
        <v/>
      </c>
      <c r="F1603" s="99" t="str">
        <f aca="false">IF($E1603="","",IFERROR(INDEX(科目表!$A$4:$A$81,MATCH($E1603,科目表!$B$4:$B$81,0)),""))</f>
        <v/>
      </c>
      <c r="G1603" s="67" t="str">
        <f aca="false">IF($E1603="","",IFERROR(INDEX(科目表!$E$4:$E$81,MATCH($E1603,科目表!$B$4:$B$81,0)),""))</f>
        <v/>
      </c>
      <c r="H1603" s="70" t="str">
        <f aca="false">IF($E1603="","",N(INDEX(资金日记账!$N$4:$S$603,347,5)))</f>
        <v/>
      </c>
      <c r="I1603" s="70" t="str">
        <f aca="false">IF($E1603="","",N(INDEX(资金日记账!$N$4:$S$603,347,6)))</f>
        <v/>
      </c>
      <c r="J1603" s="67" t="str">
        <f aca="false">IF($E1603="","",INDEX(资金日记账!$E$4:$E$603,347))</f>
        <v/>
      </c>
      <c r="K1603" s="67" t="str">
        <f aca="false">IF($E1603="","",INDEX(资金日记账!$F$4:$F$603,347))</f>
        <v/>
      </c>
      <c r="L1603" s="107" t="str">
        <f aca="false">IF($E1603="","",INDEX(资金日记账!$X$4:$X$603,347))</f>
        <v/>
      </c>
      <c r="M1603" s="107"/>
      <c r="N1603" s="67" t="str">
        <f aca="false">IF($E1603="","",INDEX(资金日记账!$Y$4:$Y$603,347))</f>
        <v/>
      </c>
      <c r="O1603" s="67" t="str">
        <f aca="false">IF($E1603="","","自动B")</f>
        <v/>
      </c>
      <c r="P1603" s="18"/>
    </row>
    <row r="1604" customFormat="false" ht="18" hidden="false" customHeight="true" outlineLevel="0" collapsed="false">
      <c r="A1604" s="107" t="str">
        <f aca="false">IF($E1604="","",ROW()-3)</f>
        <v/>
      </c>
      <c r="B1604" s="110" t="str">
        <f aca="false">IF($E1604="","",INDEX(资金日记账!$B$4:$B$603,348))</f>
        <v/>
      </c>
      <c r="C1604" s="67" t="str">
        <f aca="false">IF($E1604="","",IF(INDEX(资金日记账!$W$4:$W$603,348)="","记-"&amp;TEXT($B1604,"YYYYMM")&amp;"-资金",INDEX(资金日记账!$W$4:$W$603,348)))</f>
        <v/>
      </c>
      <c r="D1604" s="107" t="str">
        <f aca="false">IF($E1604="","",INDEX(资金日记账!$D$4:$D$603,348))</f>
        <v/>
      </c>
      <c r="E1604" s="67" t="str">
        <f aca="false">IF(INDEX(资金日记账!$N$4:$S$603,348,1)=0,"",INDEX(资金日记账!$N$4:$S$603,348,1))</f>
        <v/>
      </c>
      <c r="F1604" s="99" t="str">
        <f aca="false">IF($E1604="","",IFERROR(INDEX(科目表!$A$4:$A$81,MATCH($E1604,科目表!$B$4:$B$81,0)),""))</f>
        <v/>
      </c>
      <c r="G1604" s="67" t="str">
        <f aca="false">IF($E1604="","",IFERROR(INDEX(科目表!$E$4:$E$81,MATCH($E1604,科目表!$B$4:$B$81,0)),""))</f>
        <v/>
      </c>
      <c r="H1604" s="70" t="str">
        <f aca="false">IF($E1604="","",N(INDEX(资金日记账!$N$4:$S$603,348,2)))</f>
        <v/>
      </c>
      <c r="I1604" s="70" t="str">
        <f aca="false">IF($E1604="","",N(INDEX(资金日记账!$N$4:$S$603,348,3)))</f>
        <v/>
      </c>
      <c r="J1604" s="67" t="str">
        <f aca="false">IF($E1604="","",INDEX(资金日记账!$E$4:$E$603,348))</f>
        <v/>
      </c>
      <c r="K1604" s="67" t="str">
        <f aca="false">IF($E1604="","",INDEX(资金日记账!$F$4:$F$603,348))</f>
        <v/>
      </c>
      <c r="L1604" s="107" t="str">
        <f aca="false">IF($E1604="","",INDEX(资金日记账!$X$4:$X$603,348))</f>
        <v/>
      </c>
      <c r="M1604" s="107"/>
      <c r="N1604" s="67" t="str">
        <f aca="false">IF($E1604="","",INDEX(资金日记账!$Y$4:$Y$603,348))</f>
        <v/>
      </c>
      <c r="O1604" s="67" t="str">
        <f aca="false">IF($E1604="","","自动B")</f>
        <v/>
      </c>
      <c r="P1604" s="18"/>
    </row>
    <row r="1605" customFormat="false" ht="18" hidden="false" customHeight="true" outlineLevel="0" collapsed="false">
      <c r="A1605" s="107" t="str">
        <f aca="false">IF($E1605="","",ROW()-3)</f>
        <v/>
      </c>
      <c r="B1605" s="110" t="str">
        <f aca="false">IF($E1605="","",INDEX(资金日记账!$B$4:$B$603,348))</f>
        <v/>
      </c>
      <c r="C1605" s="67" t="str">
        <f aca="false">IF($E1605="","",IF(INDEX(资金日记账!$W$4:$W$603,348)="","记-"&amp;TEXT($B1605,"YYYYMM")&amp;"-资金",INDEX(资金日记账!$W$4:$W$603,348)))</f>
        <v/>
      </c>
      <c r="D1605" s="107" t="str">
        <f aca="false">IF($E1605="","",INDEX(资金日记账!$D$4:$D$603,348))</f>
        <v/>
      </c>
      <c r="E1605" s="67" t="str">
        <f aca="false">IF(INDEX(资金日记账!$N$4:$S$603,348,4)=0,"",INDEX(资金日记账!$N$4:$S$603,348,4))</f>
        <v/>
      </c>
      <c r="F1605" s="99" t="str">
        <f aca="false">IF($E1605="","",IFERROR(INDEX(科目表!$A$4:$A$81,MATCH($E1605,科目表!$B$4:$B$81,0)),""))</f>
        <v/>
      </c>
      <c r="G1605" s="67" t="str">
        <f aca="false">IF($E1605="","",IFERROR(INDEX(科目表!$E$4:$E$81,MATCH($E1605,科目表!$B$4:$B$81,0)),""))</f>
        <v/>
      </c>
      <c r="H1605" s="70" t="str">
        <f aca="false">IF($E1605="","",N(INDEX(资金日记账!$N$4:$S$603,348,5)))</f>
        <v/>
      </c>
      <c r="I1605" s="70" t="str">
        <f aca="false">IF($E1605="","",N(INDEX(资金日记账!$N$4:$S$603,348,6)))</f>
        <v/>
      </c>
      <c r="J1605" s="67" t="str">
        <f aca="false">IF($E1605="","",INDEX(资金日记账!$E$4:$E$603,348))</f>
        <v/>
      </c>
      <c r="K1605" s="67" t="str">
        <f aca="false">IF($E1605="","",INDEX(资金日记账!$F$4:$F$603,348))</f>
        <v/>
      </c>
      <c r="L1605" s="107" t="str">
        <f aca="false">IF($E1605="","",INDEX(资金日记账!$X$4:$X$603,348))</f>
        <v/>
      </c>
      <c r="M1605" s="107"/>
      <c r="N1605" s="67" t="str">
        <f aca="false">IF($E1605="","",INDEX(资金日记账!$Y$4:$Y$603,348))</f>
        <v/>
      </c>
      <c r="O1605" s="67" t="str">
        <f aca="false">IF($E1605="","","自动B")</f>
        <v/>
      </c>
      <c r="P1605" s="18"/>
    </row>
    <row r="1606" customFormat="false" ht="18" hidden="false" customHeight="true" outlineLevel="0" collapsed="false">
      <c r="A1606" s="107" t="str">
        <f aca="false">IF($E1606="","",ROW()-3)</f>
        <v/>
      </c>
      <c r="B1606" s="110" t="str">
        <f aca="false">IF($E1606="","",INDEX(资金日记账!$B$4:$B$603,349))</f>
        <v/>
      </c>
      <c r="C1606" s="67" t="str">
        <f aca="false">IF($E1606="","",IF(INDEX(资金日记账!$W$4:$W$603,349)="","记-"&amp;TEXT($B1606,"YYYYMM")&amp;"-资金",INDEX(资金日记账!$W$4:$W$603,349)))</f>
        <v/>
      </c>
      <c r="D1606" s="107" t="str">
        <f aca="false">IF($E1606="","",INDEX(资金日记账!$D$4:$D$603,349))</f>
        <v/>
      </c>
      <c r="E1606" s="67" t="str">
        <f aca="false">IF(INDEX(资金日记账!$N$4:$S$603,349,1)=0,"",INDEX(资金日记账!$N$4:$S$603,349,1))</f>
        <v/>
      </c>
      <c r="F1606" s="99" t="str">
        <f aca="false">IF($E1606="","",IFERROR(INDEX(科目表!$A$4:$A$81,MATCH($E1606,科目表!$B$4:$B$81,0)),""))</f>
        <v/>
      </c>
      <c r="G1606" s="67" t="str">
        <f aca="false">IF($E1606="","",IFERROR(INDEX(科目表!$E$4:$E$81,MATCH($E1606,科目表!$B$4:$B$81,0)),""))</f>
        <v/>
      </c>
      <c r="H1606" s="70" t="str">
        <f aca="false">IF($E1606="","",N(INDEX(资金日记账!$N$4:$S$603,349,2)))</f>
        <v/>
      </c>
      <c r="I1606" s="70" t="str">
        <f aca="false">IF($E1606="","",N(INDEX(资金日记账!$N$4:$S$603,349,3)))</f>
        <v/>
      </c>
      <c r="J1606" s="67" t="str">
        <f aca="false">IF($E1606="","",INDEX(资金日记账!$E$4:$E$603,349))</f>
        <v/>
      </c>
      <c r="K1606" s="67" t="str">
        <f aca="false">IF($E1606="","",INDEX(资金日记账!$F$4:$F$603,349))</f>
        <v/>
      </c>
      <c r="L1606" s="107" t="str">
        <f aca="false">IF($E1606="","",INDEX(资金日记账!$X$4:$X$603,349))</f>
        <v/>
      </c>
      <c r="M1606" s="107"/>
      <c r="N1606" s="67" t="str">
        <f aca="false">IF($E1606="","",INDEX(资金日记账!$Y$4:$Y$603,349))</f>
        <v/>
      </c>
      <c r="O1606" s="67" t="str">
        <f aca="false">IF($E1606="","","自动B")</f>
        <v/>
      </c>
      <c r="P1606" s="18"/>
    </row>
    <row r="1607" customFormat="false" ht="18" hidden="false" customHeight="true" outlineLevel="0" collapsed="false">
      <c r="A1607" s="107" t="str">
        <f aca="false">IF($E1607="","",ROW()-3)</f>
        <v/>
      </c>
      <c r="B1607" s="110" t="str">
        <f aca="false">IF($E1607="","",INDEX(资金日记账!$B$4:$B$603,349))</f>
        <v/>
      </c>
      <c r="C1607" s="67" t="str">
        <f aca="false">IF($E1607="","",IF(INDEX(资金日记账!$W$4:$W$603,349)="","记-"&amp;TEXT($B1607,"YYYYMM")&amp;"-资金",INDEX(资金日记账!$W$4:$W$603,349)))</f>
        <v/>
      </c>
      <c r="D1607" s="107" t="str">
        <f aca="false">IF($E1607="","",INDEX(资金日记账!$D$4:$D$603,349))</f>
        <v/>
      </c>
      <c r="E1607" s="67" t="str">
        <f aca="false">IF(INDEX(资金日记账!$N$4:$S$603,349,4)=0,"",INDEX(资金日记账!$N$4:$S$603,349,4))</f>
        <v/>
      </c>
      <c r="F1607" s="99" t="str">
        <f aca="false">IF($E1607="","",IFERROR(INDEX(科目表!$A$4:$A$81,MATCH($E1607,科目表!$B$4:$B$81,0)),""))</f>
        <v/>
      </c>
      <c r="G1607" s="67" t="str">
        <f aca="false">IF($E1607="","",IFERROR(INDEX(科目表!$E$4:$E$81,MATCH($E1607,科目表!$B$4:$B$81,0)),""))</f>
        <v/>
      </c>
      <c r="H1607" s="70" t="str">
        <f aca="false">IF($E1607="","",N(INDEX(资金日记账!$N$4:$S$603,349,5)))</f>
        <v/>
      </c>
      <c r="I1607" s="70" t="str">
        <f aca="false">IF($E1607="","",N(INDEX(资金日记账!$N$4:$S$603,349,6)))</f>
        <v/>
      </c>
      <c r="J1607" s="67" t="str">
        <f aca="false">IF($E1607="","",INDEX(资金日记账!$E$4:$E$603,349))</f>
        <v/>
      </c>
      <c r="K1607" s="67" t="str">
        <f aca="false">IF($E1607="","",INDEX(资金日记账!$F$4:$F$603,349))</f>
        <v/>
      </c>
      <c r="L1607" s="107" t="str">
        <f aca="false">IF($E1607="","",INDEX(资金日记账!$X$4:$X$603,349))</f>
        <v/>
      </c>
      <c r="M1607" s="107"/>
      <c r="N1607" s="67" t="str">
        <f aca="false">IF($E1607="","",INDEX(资金日记账!$Y$4:$Y$603,349))</f>
        <v/>
      </c>
      <c r="O1607" s="67" t="str">
        <f aca="false">IF($E1607="","","自动B")</f>
        <v/>
      </c>
      <c r="P1607" s="18"/>
    </row>
    <row r="1608" customFormat="false" ht="18" hidden="false" customHeight="true" outlineLevel="0" collapsed="false">
      <c r="A1608" s="107" t="str">
        <f aca="false">IF($E1608="","",ROW()-3)</f>
        <v/>
      </c>
      <c r="B1608" s="110" t="str">
        <f aca="false">IF($E1608="","",INDEX(资金日记账!$B$4:$B$603,350))</f>
        <v/>
      </c>
      <c r="C1608" s="67" t="str">
        <f aca="false">IF($E1608="","",IF(INDEX(资金日记账!$W$4:$W$603,350)="","记-"&amp;TEXT($B1608,"YYYYMM")&amp;"-资金",INDEX(资金日记账!$W$4:$W$603,350)))</f>
        <v/>
      </c>
      <c r="D1608" s="107" t="str">
        <f aca="false">IF($E1608="","",INDEX(资金日记账!$D$4:$D$603,350))</f>
        <v/>
      </c>
      <c r="E1608" s="67" t="str">
        <f aca="false">IF(INDEX(资金日记账!$N$4:$S$603,350,1)=0,"",INDEX(资金日记账!$N$4:$S$603,350,1))</f>
        <v/>
      </c>
      <c r="F1608" s="99" t="str">
        <f aca="false">IF($E1608="","",IFERROR(INDEX(科目表!$A$4:$A$81,MATCH($E1608,科目表!$B$4:$B$81,0)),""))</f>
        <v/>
      </c>
      <c r="G1608" s="67" t="str">
        <f aca="false">IF($E1608="","",IFERROR(INDEX(科目表!$E$4:$E$81,MATCH($E1608,科目表!$B$4:$B$81,0)),""))</f>
        <v/>
      </c>
      <c r="H1608" s="70" t="str">
        <f aca="false">IF($E1608="","",N(INDEX(资金日记账!$N$4:$S$603,350,2)))</f>
        <v/>
      </c>
      <c r="I1608" s="70" t="str">
        <f aca="false">IF($E1608="","",N(INDEX(资金日记账!$N$4:$S$603,350,3)))</f>
        <v/>
      </c>
      <c r="J1608" s="67" t="str">
        <f aca="false">IF($E1608="","",INDEX(资金日记账!$E$4:$E$603,350))</f>
        <v/>
      </c>
      <c r="K1608" s="67" t="str">
        <f aca="false">IF($E1608="","",INDEX(资金日记账!$F$4:$F$603,350))</f>
        <v/>
      </c>
      <c r="L1608" s="107" t="str">
        <f aca="false">IF($E1608="","",INDEX(资金日记账!$X$4:$X$603,350))</f>
        <v/>
      </c>
      <c r="M1608" s="107"/>
      <c r="N1608" s="67" t="str">
        <f aca="false">IF($E1608="","",INDEX(资金日记账!$Y$4:$Y$603,350))</f>
        <v/>
      </c>
      <c r="O1608" s="67" t="str">
        <f aca="false">IF($E1608="","","自动B")</f>
        <v/>
      </c>
      <c r="P1608" s="18"/>
    </row>
    <row r="1609" customFormat="false" ht="18" hidden="false" customHeight="true" outlineLevel="0" collapsed="false">
      <c r="A1609" s="107" t="str">
        <f aca="false">IF($E1609="","",ROW()-3)</f>
        <v/>
      </c>
      <c r="B1609" s="110" t="str">
        <f aca="false">IF($E1609="","",INDEX(资金日记账!$B$4:$B$603,350))</f>
        <v/>
      </c>
      <c r="C1609" s="67" t="str">
        <f aca="false">IF($E1609="","",IF(INDEX(资金日记账!$W$4:$W$603,350)="","记-"&amp;TEXT($B1609,"YYYYMM")&amp;"-资金",INDEX(资金日记账!$W$4:$W$603,350)))</f>
        <v/>
      </c>
      <c r="D1609" s="107" t="str">
        <f aca="false">IF($E1609="","",INDEX(资金日记账!$D$4:$D$603,350))</f>
        <v/>
      </c>
      <c r="E1609" s="67" t="str">
        <f aca="false">IF(INDEX(资金日记账!$N$4:$S$603,350,4)=0,"",INDEX(资金日记账!$N$4:$S$603,350,4))</f>
        <v/>
      </c>
      <c r="F1609" s="99" t="str">
        <f aca="false">IF($E1609="","",IFERROR(INDEX(科目表!$A$4:$A$81,MATCH($E1609,科目表!$B$4:$B$81,0)),""))</f>
        <v/>
      </c>
      <c r="G1609" s="67" t="str">
        <f aca="false">IF($E1609="","",IFERROR(INDEX(科目表!$E$4:$E$81,MATCH($E1609,科目表!$B$4:$B$81,0)),""))</f>
        <v/>
      </c>
      <c r="H1609" s="70" t="str">
        <f aca="false">IF($E1609="","",N(INDEX(资金日记账!$N$4:$S$603,350,5)))</f>
        <v/>
      </c>
      <c r="I1609" s="70" t="str">
        <f aca="false">IF($E1609="","",N(INDEX(资金日记账!$N$4:$S$603,350,6)))</f>
        <v/>
      </c>
      <c r="J1609" s="67" t="str">
        <f aca="false">IF($E1609="","",INDEX(资金日记账!$E$4:$E$603,350))</f>
        <v/>
      </c>
      <c r="K1609" s="67" t="str">
        <f aca="false">IF($E1609="","",INDEX(资金日记账!$F$4:$F$603,350))</f>
        <v/>
      </c>
      <c r="L1609" s="107" t="str">
        <f aca="false">IF($E1609="","",INDEX(资金日记账!$X$4:$X$603,350))</f>
        <v/>
      </c>
      <c r="M1609" s="107"/>
      <c r="N1609" s="67" t="str">
        <f aca="false">IF($E1609="","",INDEX(资金日记账!$Y$4:$Y$603,350))</f>
        <v/>
      </c>
      <c r="O1609" s="67" t="str">
        <f aca="false">IF($E1609="","","自动B")</f>
        <v/>
      </c>
      <c r="P1609" s="18"/>
    </row>
    <row r="1610" customFormat="false" ht="18" hidden="false" customHeight="true" outlineLevel="0" collapsed="false">
      <c r="A1610" s="107" t="str">
        <f aca="false">IF($E1610="","",ROW()-3)</f>
        <v/>
      </c>
      <c r="B1610" s="110" t="str">
        <f aca="false">IF($E1610="","",INDEX(资金日记账!$B$4:$B$603,351))</f>
        <v/>
      </c>
      <c r="C1610" s="67" t="str">
        <f aca="false">IF($E1610="","",IF(INDEX(资金日记账!$W$4:$W$603,351)="","记-"&amp;TEXT($B1610,"YYYYMM")&amp;"-资金",INDEX(资金日记账!$W$4:$W$603,351)))</f>
        <v/>
      </c>
      <c r="D1610" s="107" t="str">
        <f aca="false">IF($E1610="","",INDEX(资金日记账!$D$4:$D$603,351))</f>
        <v/>
      </c>
      <c r="E1610" s="67" t="str">
        <f aca="false">IF(INDEX(资金日记账!$N$4:$S$603,351,1)=0,"",INDEX(资金日记账!$N$4:$S$603,351,1))</f>
        <v/>
      </c>
      <c r="F1610" s="99" t="str">
        <f aca="false">IF($E1610="","",IFERROR(INDEX(科目表!$A$4:$A$81,MATCH($E1610,科目表!$B$4:$B$81,0)),""))</f>
        <v/>
      </c>
      <c r="G1610" s="67" t="str">
        <f aca="false">IF($E1610="","",IFERROR(INDEX(科目表!$E$4:$E$81,MATCH($E1610,科目表!$B$4:$B$81,0)),""))</f>
        <v/>
      </c>
      <c r="H1610" s="70" t="str">
        <f aca="false">IF($E1610="","",N(INDEX(资金日记账!$N$4:$S$603,351,2)))</f>
        <v/>
      </c>
      <c r="I1610" s="70" t="str">
        <f aca="false">IF($E1610="","",N(INDEX(资金日记账!$N$4:$S$603,351,3)))</f>
        <v/>
      </c>
      <c r="J1610" s="67" t="str">
        <f aca="false">IF($E1610="","",INDEX(资金日记账!$E$4:$E$603,351))</f>
        <v/>
      </c>
      <c r="K1610" s="67" t="str">
        <f aca="false">IF($E1610="","",INDEX(资金日记账!$F$4:$F$603,351))</f>
        <v/>
      </c>
      <c r="L1610" s="107" t="str">
        <f aca="false">IF($E1610="","",INDEX(资金日记账!$X$4:$X$603,351))</f>
        <v/>
      </c>
      <c r="M1610" s="107"/>
      <c r="N1610" s="67" t="str">
        <f aca="false">IF($E1610="","",INDEX(资金日记账!$Y$4:$Y$603,351))</f>
        <v/>
      </c>
      <c r="O1610" s="67" t="str">
        <f aca="false">IF($E1610="","","自动B")</f>
        <v/>
      </c>
      <c r="P1610" s="18"/>
    </row>
    <row r="1611" customFormat="false" ht="18" hidden="false" customHeight="true" outlineLevel="0" collapsed="false">
      <c r="A1611" s="107" t="str">
        <f aca="false">IF($E1611="","",ROW()-3)</f>
        <v/>
      </c>
      <c r="B1611" s="110" t="str">
        <f aca="false">IF($E1611="","",INDEX(资金日记账!$B$4:$B$603,351))</f>
        <v/>
      </c>
      <c r="C1611" s="67" t="str">
        <f aca="false">IF($E1611="","",IF(INDEX(资金日记账!$W$4:$W$603,351)="","记-"&amp;TEXT($B1611,"YYYYMM")&amp;"-资金",INDEX(资金日记账!$W$4:$W$603,351)))</f>
        <v/>
      </c>
      <c r="D1611" s="107" t="str">
        <f aca="false">IF($E1611="","",INDEX(资金日记账!$D$4:$D$603,351))</f>
        <v/>
      </c>
      <c r="E1611" s="67" t="str">
        <f aca="false">IF(INDEX(资金日记账!$N$4:$S$603,351,4)=0,"",INDEX(资金日记账!$N$4:$S$603,351,4))</f>
        <v/>
      </c>
      <c r="F1611" s="99" t="str">
        <f aca="false">IF($E1611="","",IFERROR(INDEX(科目表!$A$4:$A$81,MATCH($E1611,科目表!$B$4:$B$81,0)),""))</f>
        <v/>
      </c>
      <c r="G1611" s="67" t="str">
        <f aca="false">IF($E1611="","",IFERROR(INDEX(科目表!$E$4:$E$81,MATCH($E1611,科目表!$B$4:$B$81,0)),""))</f>
        <v/>
      </c>
      <c r="H1611" s="70" t="str">
        <f aca="false">IF($E1611="","",N(INDEX(资金日记账!$N$4:$S$603,351,5)))</f>
        <v/>
      </c>
      <c r="I1611" s="70" t="str">
        <f aca="false">IF($E1611="","",N(INDEX(资金日记账!$N$4:$S$603,351,6)))</f>
        <v/>
      </c>
      <c r="J1611" s="67" t="str">
        <f aca="false">IF($E1611="","",INDEX(资金日记账!$E$4:$E$603,351))</f>
        <v/>
      </c>
      <c r="K1611" s="67" t="str">
        <f aca="false">IF($E1611="","",INDEX(资金日记账!$F$4:$F$603,351))</f>
        <v/>
      </c>
      <c r="L1611" s="107" t="str">
        <f aca="false">IF($E1611="","",INDEX(资金日记账!$X$4:$X$603,351))</f>
        <v/>
      </c>
      <c r="M1611" s="107"/>
      <c r="N1611" s="67" t="str">
        <f aca="false">IF($E1611="","",INDEX(资金日记账!$Y$4:$Y$603,351))</f>
        <v/>
      </c>
      <c r="O1611" s="67" t="str">
        <f aca="false">IF($E1611="","","自动B")</f>
        <v/>
      </c>
      <c r="P1611" s="18"/>
    </row>
    <row r="1612" customFormat="false" ht="18" hidden="false" customHeight="true" outlineLevel="0" collapsed="false">
      <c r="A1612" s="107" t="str">
        <f aca="false">IF($E1612="","",ROW()-3)</f>
        <v/>
      </c>
      <c r="B1612" s="110" t="str">
        <f aca="false">IF($E1612="","",INDEX(资金日记账!$B$4:$B$603,352))</f>
        <v/>
      </c>
      <c r="C1612" s="67" t="str">
        <f aca="false">IF($E1612="","",IF(INDEX(资金日记账!$W$4:$W$603,352)="","记-"&amp;TEXT($B1612,"YYYYMM")&amp;"-资金",INDEX(资金日记账!$W$4:$W$603,352)))</f>
        <v/>
      </c>
      <c r="D1612" s="107" t="str">
        <f aca="false">IF($E1612="","",INDEX(资金日记账!$D$4:$D$603,352))</f>
        <v/>
      </c>
      <c r="E1612" s="67" t="str">
        <f aca="false">IF(INDEX(资金日记账!$N$4:$S$603,352,1)=0,"",INDEX(资金日记账!$N$4:$S$603,352,1))</f>
        <v/>
      </c>
      <c r="F1612" s="99" t="str">
        <f aca="false">IF($E1612="","",IFERROR(INDEX(科目表!$A$4:$A$81,MATCH($E1612,科目表!$B$4:$B$81,0)),""))</f>
        <v/>
      </c>
      <c r="G1612" s="67" t="str">
        <f aca="false">IF($E1612="","",IFERROR(INDEX(科目表!$E$4:$E$81,MATCH($E1612,科目表!$B$4:$B$81,0)),""))</f>
        <v/>
      </c>
      <c r="H1612" s="70" t="str">
        <f aca="false">IF($E1612="","",N(INDEX(资金日记账!$N$4:$S$603,352,2)))</f>
        <v/>
      </c>
      <c r="I1612" s="70" t="str">
        <f aca="false">IF($E1612="","",N(INDEX(资金日记账!$N$4:$S$603,352,3)))</f>
        <v/>
      </c>
      <c r="J1612" s="67" t="str">
        <f aca="false">IF($E1612="","",INDEX(资金日记账!$E$4:$E$603,352))</f>
        <v/>
      </c>
      <c r="K1612" s="67" t="str">
        <f aca="false">IF($E1612="","",INDEX(资金日记账!$F$4:$F$603,352))</f>
        <v/>
      </c>
      <c r="L1612" s="107" t="str">
        <f aca="false">IF($E1612="","",INDEX(资金日记账!$X$4:$X$603,352))</f>
        <v/>
      </c>
      <c r="M1612" s="107"/>
      <c r="N1612" s="67" t="str">
        <f aca="false">IF($E1612="","",INDEX(资金日记账!$Y$4:$Y$603,352))</f>
        <v/>
      </c>
      <c r="O1612" s="67" t="str">
        <f aca="false">IF($E1612="","","自动B")</f>
        <v/>
      </c>
      <c r="P1612" s="18"/>
    </row>
    <row r="1613" customFormat="false" ht="18" hidden="false" customHeight="true" outlineLevel="0" collapsed="false">
      <c r="A1613" s="107" t="str">
        <f aca="false">IF($E1613="","",ROW()-3)</f>
        <v/>
      </c>
      <c r="B1613" s="110" t="str">
        <f aca="false">IF($E1613="","",INDEX(资金日记账!$B$4:$B$603,352))</f>
        <v/>
      </c>
      <c r="C1613" s="67" t="str">
        <f aca="false">IF($E1613="","",IF(INDEX(资金日记账!$W$4:$W$603,352)="","记-"&amp;TEXT($B1613,"YYYYMM")&amp;"-资金",INDEX(资金日记账!$W$4:$W$603,352)))</f>
        <v/>
      </c>
      <c r="D1613" s="107" t="str">
        <f aca="false">IF($E1613="","",INDEX(资金日记账!$D$4:$D$603,352))</f>
        <v/>
      </c>
      <c r="E1613" s="67" t="str">
        <f aca="false">IF(INDEX(资金日记账!$N$4:$S$603,352,4)=0,"",INDEX(资金日记账!$N$4:$S$603,352,4))</f>
        <v/>
      </c>
      <c r="F1613" s="99" t="str">
        <f aca="false">IF($E1613="","",IFERROR(INDEX(科目表!$A$4:$A$81,MATCH($E1613,科目表!$B$4:$B$81,0)),""))</f>
        <v/>
      </c>
      <c r="G1613" s="67" t="str">
        <f aca="false">IF($E1613="","",IFERROR(INDEX(科目表!$E$4:$E$81,MATCH($E1613,科目表!$B$4:$B$81,0)),""))</f>
        <v/>
      </c>
      <c r="H1613" s="70" t="str">
        <f aca="false">IF($E1613="","",N(INDEX(资金日记账!$N$4:$S$603,352,5)))</f>
        <v/>
      </c>
      <c r="I1613" s="70" t="str">
        <f aca="false">IF($E1613="","",N(INDEX(资金日记账!$N$4:$S$603,352,6)))</f>
        <v/>
      </c>
      <c r="J1613" s="67" t="str">
        <f aca="false">IF($E1613="","",INDEX(资金日记账!$E$4:$E$603,352))</f>
        <v/>
      </c>
      <c r="K1613" s="67" t="str">
        <f aca="false">IF($E1613="","",INDEX(资金日记账!$F$4:$F$603,352))</f>
        <v/>
      </c>
      <c r="L1613" s="107" t="str">
        <f aca="false">IF($E1613="","",INDEX(资金日记账!$X$4:$X$603,352))</f>
        <v/>
      </c>
      <c r="M1613" s="107"/>
      <c r="N1613" s="67" t="str">
        <f aca="false">IF($E1613="","",INDEX(资金日记账!$Y$4:$Y$603,352))</f>
        <v/>
      </c>
      <c r="O1613" s="67" t="str">
        <f aca="false">IF($E1613="","","自动B")</f>
        <v/>
      </c>
      <c r="P1613" s="18"/>
    </row>
    <row r="1614" customFormat="false" ht="18" hidden="false" customHeight="true" outlineLevel="0" collapsed="false">
      <c r="A1614" s="107" t="str">
        <f aca="false">IF($E1614="","",ROW()-3)</f>
        <v/>
      </c>
      <c r="B1614" s="110" t="str">
        <f aca="false">IF($E1614="","",INDEX(资金日记账!$B$4:$B$603,353))</f>
        <v/>
      </c>
      <c r="C1614" s="67" t="str">
        <f aca="false">IF($E1614="","",IF(INDEX(资金日记账!$W$4:$W$603,353)="","记-"&amp;TEXT($B1614,"YYYYMM")&amp;"-资金",INDEX(资金日记账!$W$4:$W$603,353)))</f>
        <v/>
      </c>
      <c r="D1614" s="107" t="str">
        <f aca="false">IF($E1614="","",INDEX(资金日记账!$D$4:$D$603,353))</f>
        <v/>
      </c>
      <c r="E1614" s="67" t="str">
        <f aca="false">IF(INDEX(资金日记账!$N$4:$S$603,353,1)=0,"",INDEX(资金日记账!$N$4:$S$603,353,1))</f>
        <v/>
      </c>
      <c r="F1614" s="99" t="str">
        <f aca="false">IF($E1614="","",IFERROR(INDEX(科目表!$A$4:$A$81,MATCH($E1614,科目表!$B$4:$B$81,0)),""))</f>
        <v/>
      </c>
      <c r="G1614" s="67" t="str">
        <f aca="false">IF($E1614="","",IFERROR(INDEX(科目表!$E$4:$E$81,MATCH($E1614,科目表!$B$4:$B$81,0)),""))</f>
        <v/>
      </c>
      <c r="H1614" s="70" t="str">
        <f aca="false">IF($E1614="","",N(INDEX(资金日记账!$N$4:$S$603,353,2)))</f>
        <v/>
      </c>
      <c r="I1614" s="70" t="str">
        <f aca="false">IF($E1614="","",N(INDEX(资金日记账!$N$4:$S$603,353,3)))</f>
        <v/>
      </c>
      <c r="J1614" s="67" t="str">
        <f aca="false">IF($E1614="","",INDEX(资金日记账!$E$4:$E$603,353))</f>
        <v/>
      </c>
      <c r="K1614" s="67" t="str">
        <f aca="false">IF($E1614="","",INDEX(资金日记账!$F$4:$F$603,353))</f>
        <v/>
      </c>
      <c r="L1614" s="107" t="str">
        <f aca="false">IF($E1614="","",INDEX(资金日记账!$X$4:$X$603,353))</f>
        <v/>
      </c>
      <c r="M1614" s="107"/>
      <c r="N1614" s="67" t="str">
        <f aca="false">IF($E1614="","",INDEX(资金日记账!$Y$4:$Y$603,353))</f>
        <v/>
      </c>
      <c r="O1614" s="67" t="str">
        <f aca="false">IF($E1614="","","自动B")</f>
        <v/>
      </c>
      <c r="P1614" s="18"/>
    </row>
    <row r="1615" customFormat="false" ht="18" hidden="false" customHeight="true" outlineLevel="0" collapsed="false">
      <c r="A1615" s="107" t="str">
        <f aca="false">IF($E1615="","",ROW()-3)</f>
        <v/>
      </c>
      <c r="B1615" s="110" t="str">
        <f aca="false">IF($E1615="","",INDEX(资金日记账!$B$4:$B$603,353))</f>
        <v/>
      </c>
      <c r="C1615" s="67" t="str">
        <f aca="false">IF($E1615="","",IF(INDEX(资金日记账!$W$4:$W$603,353)="","记-"&amp;TEXT($B1615,"YYYYMM")&amp;"-资金",INDEX(资金日记账!$W$4:$W$603,353)))</f>
        <v/>
      </c>
      <c r="D1615" s="107" t="str">
        <f aca="false">IF($E1615="","",INDEX(资金日记账!$D$4:$D$603,353))</f>
        <v/>
      </c>
      <c r="E1615" s="67" t="str">
        <f aca="false">IF(INDEX(资金日记账!$N$4:$S$603,353,4)=0,"",INDEX(资金日记账!$N$4:$S$603,353,4))</f>
        <v/>
      </c>
      <c r="F1615" s="99" t="str">
        <f aca="false">IF($E1615="","",IFERROR(INDEX(科目表!$A$4:$A$81,MATCH($E1615,科目表!$B$4:$B$81,0)),""))</f>
        <v/>
      </c>
      <c r="G1615" s="67" t="str">
        <f aca="false">IF($E1615="","",IFERROR(INDEX(科目表!$E$4:$E$81,MATCH($E1615,科目表!$B$4:$B$81,0)),""))</f>
        <v/>
      </c>
      <c r="H1615" s="70" t="str">
        <f aca="false">IF($E1615="","",N(INDEX(资金日记账!$N$4:$S$603,353,5)))</f>
        <v/>
      </c>
      <c r="I1615" s="70" t="str">
        <f aca="false">IF($E1615="","",N(INDEX(资金日记账!$N$4:$S$603,353,6)))</f>
        <v/>
      </c>
      <c r="J1615" s="67" t="str">
        <f aca="false">IF($E1615="","",INDEX(资金日记账!$E$4:$E$603,353))</f>
        <v/>
      </c>
      <c r="K1615" s="67" t="str">
        <f aca="false">IF($E1615="","",INDEX(资金日记账!$F$4:$F$603,353))</f>
        <v/>
      </c>
      <c r="L1615" s="107" t="str">
        <f aca="false">IF($E1615="","",INDEX(资金日记账!$X$4:$X$603,353))</f>
        <v/>
      </c>
      <c r="M1615" s="107"/>
      <c r="N1615" s="67" t="str">
        <f aca="false">IF($E1615="","",INDEX(资金日记账!$Y$4:$Y$603,353))</f>
        <v/>
      </c>
      <c r="O1615" s="67" t="str">
        <f aca="false">IF($E1615="","","自动B")</f>
        <v/>
      </c>
      <c r="P1615" s="18"/>
    </row>
    <row r="1616" customFormat="false" ht="18" hidden="false" customHeight="true" outlineLevel="0" collapsed="false">
      <c r="A1616" s="107" t="str">
        <f aca="false">IF($E1616="","",ROW()-3)</f>
        <v/>
      </c>
      <c r="B1616" s="110" t="str">
        <f aca="false">IF($E1616="","",INDEX(资金日记账!$B$4:$B$603,354))</f>
        <v/>
      </c>
      <c r="C1616" s="67" t="str">
        <f aca="false">IF($E1616="","",IF(INDEX(资金日记账!$W$4:$W$603,354)="","记-"&amp;TEXT($B1616,"YYYYMM")&amp;"-资金",INDEX(资金日记账!$W$4:$W$603,354)))</f>
        <v/>
      </c>
      <c r="D1616" s="107" t="str">
        <f aca="false">IF($E1616="","",INDEX(资金日记账!$D$4:$D$603,354))</f>
        <v/>
      </c>
      <c r="E1616" s="67" t="str">
        <f aca="false">IF(INDEX(资金日记账!$N$4:$S$603,354,1)=0,"",INDEX(资金日记账!$N$4:$S$603,354,1))</f>
        <v/>
      </c>
      <c r="F1616" s="99" t="str">
        <f aca="false">IF($E1616="","",IFERROR(INDEX(科目表!$A$4:$A$81,MATCH($E1616,科目表!$B$4:$B$81,0)),""))</f>
        <v/>
      </c>
      <c r="G1616" s="67" t="str">
        <f aca="false">IF($E1616="","",IFERROR(INDEX(科目表!$E$4:$E$81,MATCH($E1616,科目表!$B$4:$B$81,0)),""))</f>
        <v/>
      </c>
      <c r="H1616" s="70" t="str">
        <f aca="false">IF($E1616="","",N(INDEX(资金日记账!$N$4:$S$603,354,2)))</f>
        <v/>
      </c>
      <c r="I1616" s="70" t="str">
        <f aca="false">IF($E1616="","",N(INDEX(资金日记账!$N$4:$S$603,354,3)))</f>
        <v/>
      </c>
      <c r="J1616" s="67" t="str">
        <f aca="false">IF($E1616="","",INDEX(资金日记账!$E$4:$E$603,354))</f>
        <v/>
      </c>
      <c r="K1616" s="67" t="str">
        <f aca="false">IF($E1616="","",INDEX(资金日记账!$F$4:$F$603,354))</f>
        <v/>
      </c>
      <c r="L1616" s="107" t="str">
        <f aca="false">IF($E1616="","",INDEX(资金日记账!$X$4:$X$603,354))</f>
        <v/>
      </c>
      <c r="M1616" s="107"/>
      <c r="N1616" s="67" t="str">
        <f aca="false">IF($E1616="","",INDEX(资金日记账!$Y$4:$Y$603,354))</f>
        <v/>
      </c>
      <c r="O1616" s="67" t="str">
        <f aca="false">IF($E1616="","","自动B")</f>
        <v/>
      </c>
      <c r="P1616" s="18"/>
    </row>
    <row r="1617" customFormat="false" ht="18" hidden="false" customHeight="true" outlineLevel="0" collapsed="false">
      <c r="A1617" s="107" t="str">
        <f aca="false">IF($E1617="","",ROW()-3)</f>
        <v/>
      </c>
      <c r="B1617" s="110" t="str">
        <f aca="false">IF($E1617="","",INDEX(资金日记账!$B$4:$B$603,354))</f>
        <v/>
      </c>
      <c r="C1617" s="67" t="str">
        <f aca="false">IF($E1617="","",IF(INDEX(资金日记账!$W$4:$W$603,354)="","记-"&amp;TEXT($B1617,"YYYYMM")&amp;"-资金",INDEX(资金日记账!$W$4:$W$603,354)))</f>
        <v/>
      </c>
      <c r="D1617" s="107" t="str">
        <f aca="false">IF($E1617="","",INDEX(资金日记账!$D$4:$D$603,354))</f>
        <v/>
      </c>
      <c r="E1617" s="67" t="str">
        <f aca="false">IF(INDEX(资金日记账!$N$4:$S$603,354,4)=0,"",INDEX(资金日记账!$N$4:$S$603,354,4))</f>
        <v/>
      </c>
      <c r="F1617" s="99" t="str">
        <f aca="false">IF($E1617="","",IFERROR(INDEX(科目表!$A$4:$A$81,MATCH($E1617,科目表!$B$4:$B$81,0)),""))</f>
        <v/>
      </c>
      <c r="G1617" s="67" t="str">
        <f aca="false">IF($E1617="","",IFERROR(INDEX(科目表!$E$4:$E$81,MATCH($E1617,科目表!$B$4:$B$81,0)),""))</f>
        <v/>
      </c>
      <c r="H1617" s="70" t="str">
        <f aca="false">IF($E1617="","",N(INDEX(资金日记账!$N$4:$S$603,354,5)))</f>
        <v/>
      </c>
      <c r="I1617" s="70" t="str">
        <f aca="false">IF($E1617="","",N(INDEX(资金日记账!$N$4:$S$603,354,6)))</f>
        <v/>
      </c>
      <c r="J1617" s="67" t="str">
        <f aca="false">IF($E1617="","",INDEX(资金日记账!$E$4:$E$603,354))</f>
        <v/>
      </c>
      <c r="K1617" s="67" t="str">
        <f aca="false">IF($E1617="","",INDEX(资金日记账!$F$4:$F$603,354))</f>
        <v/>
      </c>
      <c r="L1617" s="107" t="str">
        <f aca="false">IF($E1617="","",INDEX(资金日记账!$X$4:$X$603,354))</f>
        <v/>
      </c>
      <c r="M1617" s="107"/>
      <c r="N1617" s="67" t="str">
        <f aca="false">IF($E1617="","",INDEX(资金日记账!$Y$4:$Y$603,354))</f>
        <v/>
      </c>
      <c r="O1617" s="67" t="str">
        <f aca="false">IF($E1617="","","自动B")</f>
        <v/>
      </c>
      <c r="P1617" s="18"/>
    </row>
    <row r="1618" customFormat="false" ht="18" hidden="false" customHeight="true" outlineLevel="0" collapsed="false">
      <c r="A1618" s="107" t="str">
        <f aca="false">IF($E1618="","",ROW()-3)</f>
        <v/>
      </c>
      <c r="B1618" s="110" t="str">
        <f aca="false">IF($E1618="","",INDEX(资金日记账!$B$4:$B$603,355))</f>
        <v/>
      </c>
      <c r="C1618" s="67" t="str">
        <f aca="false">IF($E1618="","",IF(INDEX(资金日记账!$W$4:$W$603,355)="","记-"&amp;TEXT($B1618,"YYYYMM")&amp;"-资金",INDEX(资金日记账!$W$4:$W$603,355)))</f>
        <v/>
      </c>
      <c r="D1618" s="107" t="str">
        <f aca="false">IF($E1618="","",INDEX(资金日记账!$D$4:$D$603,355))</f>
        <v/>
      </c>
      <c r="E1618" s="67" t="str">
        <f aca="false">IF(INDEX(资金日记账!$N$4:$S$603,355,1)=0,"",INDEX(资金日记账!$N$4:$S$603,355,1))</f>
        <v/>
      </c>
      <c r="F1618" s="99" t="str">
        <f aca="false">IF($E1618="","",IFERROR(INDEX(科目表!$A$4:$A$81,MATCH($E1618,科目表!$B$4:$B$81,0)),""))</f>
        <v/>
      </c>
      <c r="G1618" s="67" t="str">
        <f aca="false">IF($E1618="","",IFERROR(INDEX(科目表!$E$4:$E$81,MATCH($E1618,科目表!$B$4:$B$81,0)),""))</f>
        <v/>
      </c>
      <c r="H1618" s="70" t="str">
        <f aca="false">IF($E1618="","",N(INDEX(资金日记账!$N$4:$S$603,355,2)))</f>
        <v/>
      </c>
      <c r="I1618" s="70" t="str">
        <f aca="false">IF($E1618="","",N(INDEX(资金日记账!$N$4:$S$603,355,3)))</f>
        <v/>
      </c>
      <c r="J1618" s="67" t="str">
        <f aca="false">IF($E1618="","",INDEX(资金日记账!$E$4:$E$603,355))</f>
        <v/>
      </c>
      <c r="K1618" s="67" t="str">
        <f aca="false">IF($E1618="","",INDEX(资金日记账!$F$4:$F$603,355))</f>
        <v/>
      </c>
      <c r="L1618" s="107" t="str">
        <f aca="false">IF($E1618="","",INDEX(资金日记账!$X$4:$X$603,355))</f>
        <v/>
      </c>
      <c r="M1618" s="107"/>
      <c r="N1618" s="67" t="str">
        <f aca="false">IF($E1618="","",INDEX(资金日记账!$Y$4:$Y$603,355))</f>
        <v/>
      </c>
      <c r="O1618" s="67" t="str">
        <f aca="false">IF($E1618="","","自动B")</f>
        <v/>
      </c>
      <c r="P1618" s="18"/>
    </row>
    <row r="1619" customFormat="false" ht="18" hidden="false" customHeight="true" outlineLevel="0" collapsed="false">
      <c r="A1619" s="107" t="str">
        <f aca="false">IF($E1619="","",ROW()-3)</f>
        <v/>
      </c>
      <c r="B1619" s="110" t="str">
        <f aca="false">IF($E1619="","",INDEX(资金日记账!$B$4:$B$603,355))</f>
        <v/>
      </c>
      <c r="C1619" s="67" t="str">
        <f aca="false">IF($E1619="","",IF(INDEX(资金日记账!$W$4:$W$603,355)="","记-"&amp;TEXT($B1619,"YYYYMM")&amp;"-资金",INDEX(资金日记账!$W$4:$W$603,355)))</f>
        <v/>
      </c>
      <c r="D1619" s="107" t="str">
        <f aca="false">IF($E1619="","",INDEX(资金日记账!$D$4:$D$603,355))</f>
        <v/>
      </c>
      <c r="E1619" s="67" t="str">
        <f aca="false">IF(INDEX(资金日记账!$N$4:$S$603,355,4)=0,"",INDEX(资金日记账!$N$4:$S$603,355,4))</f>
        <v/>
      </c>
      <c r="F1619" s="99" t="str">
        <f aca="false">IF($E1619="","",IFERROR(INDEX(科目表!$A$4:$A$81,MATCH($E1619,科目表!$B$4:$B$81,0)),""))</f>
        <v/>
      </c>
      <c r="G1619" s="67" t="str">
        <f aca="false">IF($E1619="","",IFERROR(INDEX(科目表!$E$4:$E$81,MATCH($E1619,科目表!$B$4:$B$81,0)),""))</f>
        <v/>
      </c>
      <c r="H1619" s="70" t="str">
        <f aca="false">IF($E1619="","",N(INDEX(资金日记账!$N$4:$S$603,355,5)))</f>
        <v/>
      </c>
      <c r="I1619" s="70" t="str">
        <f aca="false">IF($E1619="","",N(INDEX(资金日记账!$N$4:$S$603,355,6)))</f>
        <v/>
      </c>
      <c r="J1619" s="67" t="str">
        <f aca="false">IF($E1619="","",INDEX(资金日记账!$E$4:$E$603,355))</f>
        <v/>
      </c>
      <c r="K1619" s="67" t="str">
        <f aca="false">IF($E1619="","",INDEX(资金日记账!$F$4:$F$603,355))</f>
        <v/>
      </c>
      <c r="L1619" s="107" t="str">
        <f aca="false">IF($E1619="","",INDEX(资金日记账!$X$4:$X$603,355))</f>
        <v/>
      </c>
      <c r="M1619" s="107"/>
      <c r="N1619" s="67" t="str">
        <f aca="false">IF($E1619="","",INDEX(资金日记账!$Y$4:$Y$603,355))</f>
        <v/>
      </c>
      <c r="O1619" s="67" t="str">
        <f aca="false">IF($E1619="","","自动B")</f>
        <v/>
      </c>
      <c r="P1619" s="18"/>
    </row>
    <row r="1620" customFormat="false" ht="18" hidden="false" customHeight="true" outlineLevel="0" collapsed="false">
      <c r="A1620" s="107" t="str">
        <f aca="false">IF($E1620="","",ROW()-3)</f>
        <v/>
      </c>
      <c r="B1620" s="110" t="str">
        <f aca="false">IF($E1620="","",INDEX(资金日记账!$B$4:$B$603,356))</f>
        <v/>
      </c>
      <c r="C1620" s="67" t="str">
        <f aca="false">IF($E1620="","",IF(INDEX(资金日记账!$W$4:$W$603,356)="","记-"&amp;TEXT($B1620,"YYYYMM")&amp;"-资金",INDEX(资金日记账!$W$4:$W$603,356)))</f>
        <v/>
      </c>
      <c r="D1620" s="107" t="str">
        <f aca="false">IF($E1620="","",INDEX(资金日记账!$D$4:$D$603,356))</f>
        <v/>
      </c>
      <c r="E1620" s="67" t="str">
        <f aca="false">IF(INDEX(资金日记账!$N$4:$S$603,356,1)=0,"",INDEX(资金日记账!$N$4:$S$603,356,1))</f>
        <v/>
      </c>
      <c r="F1620" s="99" t="str">
        <f aca="false">IF($E1620="","",IFERROR(INDEX(科目表!$A$4:$A$81,MATCH($E1620,科目表!$B$4:$B$81,0)),""))</f>
        <v/>
      </c>
      <c r="G1620" s="67" t="str">
        <f aca="false">IF($E1620="","",IFERROR(INDEX(科目表!$E$4:$E$81,MATCH($E1620,科目表!$B$4:$B$81,0)),""))</f>
        <v/>
      </c>
      <c r="H1620" s="70" t="str">
        <f aca="false">IF($E1620="","",N(INDEX(资金日记账!$N$4:$S$603,356,2)))</f>
        <v/>
      </c>
      <c r="I1620" s="70" t="str">
        <f aca="false">IF($E1620="","",N(INDEX(资金日记账!$N$4:$S$603,356,3)))</f>
        <v/>
      </c>
      <c r="J1620" s="67" t="str">
        <f aca="false">IF($E1620="","",INDEX(资金日记账!$E$4:$E$603,356))</f>
        <v/>
      </c>
      <c r="K1620" s="67" t="str">
        <f aca="false">IF($E1620="","",INDEX(资金日记账!$F$4:$F$603,356))</f>
        <v/>
      </c>
      <c r="L1620" s="107" t="str">
        <f aca="false">IF($E1620="","",INDEX(资金日记账!$X$4:$X$603,356))</f>
        <v/>
      </c>
      <c r="M1620" s="107"/>
      <c r="N1620" s="67" t="str">
        <f aca="false">IF($E1620="","",INDEX(资金日记账!$Y$4:$Y$603,356))</f>
        <v/>
      </c>
      <c r="O1620" s="67" t="str">
        <f aca="false">IF($E1620="","","自动B")</f>
        <v/>
      </c>
      <c r="P1620" s="18"/>
    </row>
    <row r="1621" customFormat="false" ht="18" hidden="false" customHeight="true" outlineLevel="0" collapsed="false">
      <c r="A1621" s="107" t="str">
        <f aca="false">IF($E1621="","",ROW()-3)</f>
        <v/>
      </c>
      <c r="B1621" s="110" t="str">
        <f aca="false">IF($E1621="","",INDEX(资金日记账!$B$4:$B$603,356))</f>
        <v/>
      </c>
      <c r="C1621" s="67" t="str">
        <f aca="false">IF($E1621="","",IF(INDEX(资金日记账!$W$4:$W$603,356)="","记-"&amp;TEXT($B1621,"YYYYMM")&amp;"-资金",INDEX(资金日记账!$W$4:$W$603,356)))</f>
        <v/>
      </c>
      <c r="D1621" s="107" t="str">
        <f aca="false">IF($E1621="","",INDEX(资金日记账!$D$4:$D$603,356))</f>
        <v/>
      </c>
      <c r="E1621" s="67" t="str">
        <f aca="false">IF(INDEX(资金日记账!$N$4:$S$603,356,4)=0,"",INDEX(资金日记账!$N$4:$S$603,356,4))</f>
        <v/>
      </c>
      <c r="F1621" s="99" t="str">
        <f aca="false">IF($E1621="","",IFERROR(INDEX(科目表!$A$4:$A$81,MATCH($E1621,科目表!$B$4:$B$81,0)),""))</f>
        <v/>
      </c>
      <c r="G1621" s="67" t="str">
        <f aca="false">IF($E1621="","",IFERROR(INDEX(科目表!$E$4:$E$81,MATCH($E1621,科目表!$B$4:$B$81,0)),""))</f>
        <v/>
      </c>
      <c r="H1621" s="70" t="str">
        <f aca="false">IF($E1621="","",N(INDEX(资金日记账!$N$4:$S$603,356,5)))</f>
        <v/>
      </c>
      <c r="I1621" s="70" t="str">
        <f aca="false">IF($E1621="","",N(INDEX(资金日记账!$N$4:$S$603,356,6)))</f>
        <v/>
      </c>
      <c r="J1621" s="67" t="str">
        <f aca="false">IF($E1621="","",INDEX(资金日记账!$E$4:$E$603,356))</f>
        <v/>
      </c>
      <c r="K1621" s="67" t="str">
        <f aca="false">IF($E1621="","",INDEX(资金日记账!$F$4:$F$603,356))</f>
        <v/>
      </c>
      <c r="L1621" s="107" t="str">
        <f aca="false">IF($E1621="","",INDEX(资金日记账!$X$4:$X$603,356))</f>
        <v/>
      </c>
      <c r="M1621" s="107"/>
      <c r="N1621" s="67" t="str">
        <f aca="false">IF($E1621="","",INDEX(资金日记账!$Y$4:$Y$603,356))</f>
        <v/>
      </c>
      <c r="O1621" s="67" t="str">
        <f aca="false">IF($E1621="","","自动B")</f>
        <v/>
      </c>
      <c r="P1621" s="18"/>
    </row>
    <row r="1622" customFormat="false" ht="18" hidden="false" customHeight="true" outlineLevel="0" collapsed="false">
      <c r="A1622" s="107" t="str">
        <f aca="false">IF($E1622="","",ROW()-3)</f>
        <v/>
      </c>
      <c r="B1622" s="110" t="str">
        <f aca="false">IF($E1622="","",INDEX(资金日记账!$B$4:$B$603,357))</f>
        <v/>
      </c>
      <c r="C1622" s="67" t="str">
        <f aca="false">IF($E1622="","",IF(INDEX(资金日记账!$W$4:$W$603,357)="","记-"&amp;TEXT($B1622,"YYYYMM")&amp;"-资金",INDEX(资金日记账!$W$4:$W$603,357)))</f>
        <v/>
      </c>
      <c r="D1622" s="107" t="str">
        <f aca="false">IF($E1622="","",INDEX(资金日记账!$D$4:$D$603,357))</f>
        <v/>
      </c>
      <c r="E1622" s="67" t="str">
        <f aca="false">IF(INDEX(资金日记账!$N$4:$S$603,357,1)=0,"",INDEX(资金日记账!$N$4:$S$603,357,1))</f>
        <v/>
      </c>
      <c r="F1622" s="99" t="str">
        <f aca="false">IF($E1622="","",IFERROR(INDEX(科目表!$A$4:$A$81,MATCH($E1622,科目表!$B$4:$B$81,0)),""))</f>
        <v/>
      </c>
      <c r="G1622" s="67" t="str">
        <f aca="false">IF($E1622="","",IFERROR(INDEX(科目表!$E$4:$E$81,MATCH($E1622,科目表!$B$4:$B$81,0)),""))</f>
        <v/>
      </c>
      <c r="H1622" s="70" t="str">
        <f aca="false">IF($E1622="","",N(INDEX(资金日记账!$N$4:$S$603,357,2)))</f>
        <v/>
      </c>
      <c r="I1622" s="70" t="str">
        <f aca="false">IF($E1622="","",N(INDEX(资金日记账!$N$4:$S$603,357,3)))</f>
        <v/>
      </c>
      <c r="J1622" s="67" t="str">
        <f aca="false">IF($E1622="","",INDEX(资金日记账!$E$4:$E$603,357))</f>
        <v/>
      </c>
      <c r="K1622" s="67" t="str">
        <f aca="false">IF($E1622="","",INDEX(资金日记账!$F$4:$F$603,357))</f>
        <v/>
      </c>
      <c r="L1622" s="107" t="str">
        <f aca="false">IF($E1622="","",INDEX(资金日记账!$X$4:$X$603,357))</f>
        <v/>
      </c>
      <c r="M1622" s="107"/>
      <c r="N1622" s="67" t="str">
        <f aca="false">IF($E1622="","",INDEX(资金日记账!$Y$4:$Y$603,357))</f>
        <v/>
      </c>
      <c r="O1622" s="67" t="str">
        <f aca="false">IF($E1622="","","自动B")</f>
        <v/>
      </c>
      <c r="P1622" s="18"/>
    </row>
    <row r="1623" customFormat="false" ht="18" hidden="false" customHeight="true" outlineLevel="0" collapsed="false">
      <c r="A1623" s="107" t="str">
        <f aca="false">IF($E1623="","",ROW()-3)</f>
        <v/>
      </c>
      <c r="B1623" s="110" t="str">
        <f aca="false">IF($E1623="","",INDEX(资金日记账!$B$4:$B$603,357))</f>
        <v/>
      </c>
      <c r="C1623" s="67" t="str">
        <f aca="false">IF($E1623="","",IF(INDEX(资金日记账!$W$4:$W$603,357)="","记-"&amp;TEXT($B1623,"YYYYMM")&amp;"-资金",INDEX(资金日记账!$W$4:$W$603,357)))</f>
        <v/>
      </c>
      <c r="D1623" s="107" t="str">
        <f aca="false">IF($E1623="","",INDEX(资金日记账!$D$4:$D$603,357))</f>
        <v/>
      </c>
      <c r="E1623" s="67" t="str">
        <f aca="false">IF(INDEX(资金日记账!$N$4:$S$603,357,4)=0,"",INDEX(资金日记账!$N$4:$S$603,357,4))</f>
        <v/>
      </c>
      <c r="F1623" s="99" t="str">
        <f aca="false">IF($E1623="","",IFERROR(INDEX(科目表!$A$4:$A$81,MATCH($E1623,科目表!$B$4:$B$81,0)),""))</f>
        <v/>
      </c>
      <c r="G1623" s="67" t="str">
        <f aca="false">IF($E1623="","",IFERROR(INDEX(科目表!$E$4:$E$81,MATCH($E1623,科目表!$B$4:$B$81,0)),""))</f>
        <v/>
      </c>
      <c r="H1623" s="70" t="str">
        <f aca="false">IF($E1623="","",N(INDEX(资金日记账!$N$4:$S$603,357,5)))</f>
        <v/>
      </c>
      <c r="I1623" s="70" t="str">
        <f aca="false">IF($E1623="","",N(INDEX(资金日记账!$N$4:$S$603,357,6)))</f>
        <v/>
      </c>
      <c r="J1623" s="67" t="str">
        <f aca="false">IF($E1623="","",INDEX(资金日记账!$E$4:$E$603,357))</f>
        <v/>
      </c>
      <c r="K1623" s="67" t="str">
        <f aca="false">IF($E1623="","",INDEX(资金日记账!$F$4:$F$603,357))</f>
        <v/>
      </c>
      <c r="L1623" s="107" t="str">
        <f aca="false">IF($E1623="","",INDEX(资金日记账!$X$4:$X$603,357))</f>
        <v/>
      </c>
      <c r="M1623" s="107"/>
      <c r="N1623" s="67" t="str">
        <f aca="false">IF($E1623="","",INDEX(资金日记账!$Y$4:$Y$603,357))</f>
        <v/>
      </c>
      <c r="O1623" s="67" t="str">
        <f aca="false">IF($E1623="","","自动B")</f>
        <v/>
      </c>
      <c r="P1623" s="18"/>
    </row>
    <row r="1624" customFormat="false" ht="18" hidden="false" customHeight="true" outlineLevel="0" collapsed="false">
      <c r="A1624" s="107" t="str">
        <f aca="false">IF($E1624="","",ROW()-3)</f>
        <v/>
      </c>
      <c r="B1624" s="110" t="str">
        <f aca="false">IF($E1624="","",INDEX(资金日记账!$B$4:$B$603,358))</f>
        <v/>
      </c>
      <c r="C1624" s="67" t="str">
        <f aca="false">IF($E1624="","",IF(INDEX(资金日记账!$W$4:$W$603,358)="","记-"&amp;TEXT($B1624,"YYYYMM")&amp;"-资金",INDEX(资金日记账!$W$4:$W$603,358)))</f>
        <v/>
      </c>
      <c r="D1624" s="107" t="str">
        <f aca="false">IF($E1624="","",INDEX(资金日记账!$D$4:$D$603,358))</f>
        <v/>
      </c>
      <c r="E1624" s="67" t="str">
        <f aca="false">IF(INDEX(资金日记账!$N$4:$S$603,358,1)=0,"",INDEX(资金日记账!$N$4:$S$603,358,1))</f>
        <v/>
      </c>
      <c r="F1624" s="99" t="str">
        <f aca="false">IF($E1624="","",IFERROR(INDEX(科目表!$A$4:$A$81,MATCH($E1624,科目表!$B$4:$B$81,0)),""))</f>
        <v/>
      </c>
      <c r="G1624" s="67" t="str">
        <f aca="false">IF($E1624="","",IFERROR(INDEX(科目表!$E$4:$E$81,MATCH($E1624,科目表!$B$4:$B$81,0)),""))</f>
        <v/>
      </c>
      <c r="H1624" s="70" t="str">
        <f aca="false">IF($E1624="","",N(INDEX(资金日记账!$N$4:$S$603,358,2)))</f>
        <v/>
      </c>
      <c r="I1624" s="70" t="str">
        <f aca="false">IF($E1624="","",N(INDEX(资金日记账!$N$4:$S$603,358,3)))</f>
        <v/>
      </c>
      <c r="J1624" s="67" t="str">
        <f aca="false">IF($E1624="","",INDEX(资金日记账!$E$4:$E$603,358))</f>
        <v/>
      </c>
      <c r="K1624" s="67" t="str">
        <f aca="false">IF($E1624="","",INDEX(资金日记账!$F$4:$F$603,358))</f>
        <v/>
      </c>
      <c r="L1624" s="107" t="str">
        <f aca="false">IF($E1624="","",INDEX(资金日记账!$X$4:$X$603,358))</f>
        <v/>
      </c>
      <c r="M1624" s="107"/>
      <c r="N1624" s="67" t="str">
        <f aca="false">IF($E1624="","",INDEX(资金日记账!$Y$4:$Y$603,358))</f>
        <v/>
      </c>
      <c r="O1624" s="67" t="str">
        <f aca="false">IF($E1624="","","自动B")</f>
        <v/>
      </c>
      <c r="P1624" s="18"/>
    </row>
    <row r="1625" customFormat="false" ht="18" hidden="false" customHeight="true" outlineLevel="0" collapsed="false">
      <c r="A1625" s="107" t="str">
        <f aca="false">IF($E1625="","",ROW()-3)</f>
        <v/>
      </c>
      <c r="B1625" s="110" t="str">
        <f aca="false">IF($E1625="","",INDEX(资金日记账!$B$4:$B$603,358))</f>
        <v/>
      </c>
      <c r="C1625" s="67" t="str">
        <f aca="false">IF($E1625="","",IF(INDEX(资金日记账!$W$4:$W$603,358)="","记-"&amp;TEXT($B1625,"YYYYMM")&amp;"-资金",INDEX(资金日记账!$W$4:$W$603,358)))</f>
        <v/>
      </c>
      <c r="D1625" s="107" t="str">
        <f aca="false">IF($E1625="","",INDEX(资金日记账!$D$4:$D$603,358))</f>
        <v/>
      </c>
      <c r="E1625" s="67" t="str">
        <f aca="false">IF(INDEX(资金日记账!$N$4:$S$603,358,4)=0,"",INDEX(资金日记账!$N$4:$S$603,358,4))</f>
        <v/>
      </c>
      <c r="F1625" s="99" t="str">
        <f aca="false">IF($E1625="","",IFERROR(INDEX(科目表!$A$4:$A$81,MATCH($E1625,科目表!$B$4:$B$81,0)),""))</f>
        <v/>
      </c>
      <c r="G1625" s="67" t="str">
        <f aca="false">IF($E1625="","",IFERROR(INDEX(科目表!$E$4:$E$81,MATCH($E1625,科目表!$B$4:$B$81,0)),""))</f>
        <v/>
      </c>
      <c r="H1625" s="70" t="str">
        <f aca="false">IF($E1625="","",N(INDEX(资金日记账!$N$4:$S$603,358,5)))</f>
        <v/>
      </c>
      <c r="I1625" s="70" t="str">
        <f aca="false">IF($E1625="","",N(INDEX(资金日记账!$N$4:$S$603,358,6)))</f>
        <v/>
      </c>
      <c r="J1625" s="67" t="str">
        <f aca="false">IF($E1625="","",INDEX(资金日记账!$E$4:$E$603,358))</f>
        <v/>
      </c>
      <c r="K1625" s="67" t="str">
        <f aca="false">IF($E1625="","",INDEX(资金日记账!$F$4:$F$603,358))</f>
        <v/>
      </c>
      <c r="L1625" s="107" t="str">
        <f aca="false">IF($E1625="","",INDEX(资金日记账!$X$4:$X$603,358))</f>
        <v/>
      </c>
      <c r="M1625" s="107"/>
      <c r="N1625" s="67" t="str">
        <f aca="false">IF($E1625="","",INDEX(资金日记账!$Y$4:$Y$603,358))</f>
        <v/>
      </c>
      <c r="O1625" s="67" t="str">
        <f aca="false">IF($E1625="","","自动B")</f>
        <v/>
      </c>
      <c r="P1625" s="18"/>
    </row>
    <row r="1626" customFormat="false" ht="18" hidden="false" customHeight="true" outlineLevel="0" collapsed="false">
      <c r="A1626" s="107" t="str">
        <f aca="false">IF($E1626="","",ROW()-3)</f>
        <v/>
      </c>
      <c r="B1626" s="110" t="str">
        <f aca="false">IF($E1626="","",INDEX(资金日记账!$B$4:$B$603,359))</f>
        <v/>
      </c>
      <c r="C1626" s="67" t="str">
        <f aca="false">IF($E1626="","",IF(INDEX(资金日记账!$W$4:$W$603,359)="","记-"&amp;TEXT($B1626,"YYYYMM")&amp;"-资金",INDEX(资金日记账!$W$4:$W$603,359)))</f>
        <v/>
      </c>
      <c r="D1626" s="107" t="str">
        <f aca="false">IF($E1626="","",INDEX(资金日记账!$D$4:$D$603,359))</f>
        <v/>
      </c>
      <c r="E1626" s="67" t="str">
        <f aca="false">IF(INDEX(资金日记账!$N$4:$S$603,359,1)=0,"",INDEX(资金日记账!$N$4:$S$603,359,1))</f>
        <v/>
      </c>
      <c r="F1626" s="99" t="str">
        <f aca="false">IF($E1626="","",IFERROR(INDEX(科目表!$A$4:$A$81,MATCH($E1626,科目表!$B$4:$B$81,0)),""))</f>
        <v/>
      </c>
      <c r="G1626" s="67" t="str">
        <f aca="false">IF($E1626="","",IFERROR(INDEX(科目表!$E$4:$E$81,MATCH($E1626,科目表!$B$4:$B$81,0)),""))</f>
        <v/>
      </c>
      <c r="H1626" s="70" t="str">
        <f aca="false">IF($E1626="","",N(INDEX(资金日记账!$N$4:$S$603,359,2)))</f>
        <v/>
      </c>
      <c r="I1626" s="70" t="str">
        <f aca="false">IF($E1626="","",N(INDEX(资金日记账!$N$4:$S$603,359,3)))</f>
        <v/>
      </c>
      <c r="J1626" s="67" t="str">
        <f aca="false">IF($E1626="","",INDEX(资金日记账!$E$4:$E$603,359))</f>
        <v/>
      </c>
      <c r="K1626" s="67" t="str">
        <f aca="false">IF($E1626="","",INDEX(资金日记账!$F$4:$F$603,359))</f>
        <v/>
      </c>
      <c r="L1626" s="107" t="str">
        <f aca="false">IF($E1626="","",INDEX(资金日记账!$X$4:$X$603,359))</f>
        <v/>
      </c>
      <c r="M1626" s="107"/>
      <c r="N1626" s="67" t="str">
        <f aca="false">IF($E1626="","",INDEX(资金日记账!$Y$4:$Y$603,359))</f>
        <v/>
      </c>
      <c r="O1626" s="67" t="str">
        <f aca="false">IF($E1626="","","自动B")</f>
        <v/>
      </c>
      <c r="P1626" s="18"/>
    </row>
    <row r="1627" customFormat="false" ht="18" hidden="false" customHeight="true" outlineLevel="0" collapsed="false">
      <c r="A1627" s="107" t="str">
        <f aca="false">IF($E1627="","",ROW()-3)</f>
        <v/>
      </c>
      <c r="B1627" s="110" t="str">
        <f aca="false">IF($E1627="","",INDEX(资金日记账!$B$4:$B$603,359))</f>
        <v/>
      </c>
      <c r="C1627" s="67" t="str">
        <f aca="false">IF($E1627="","",IF(INDEX(资金日记账!$W$4:$W$603,359)="","记-"&amp;TEXT($B1627,"YYYYMM")&amp;"-资金",INDEX(资金日记账!$W$4:$W$603,359)))</f>
        <v/>
      </c>
      <c r="D1627" s="107" t="str">
        <f aca="false">IF($E1627="","",INDEX(资金日记账!$D$4:$D$603,359))</f>
        <v/>
      </c>
      <c r="E1627" s="67" t="str">
        <f aca="false">IF(INDEX(资金日记账!$N$4:$S$603,359,4)=0,"",INDEX(资金日记账!$N$4:$S$603,359,4))</f>
        <v/>
      </c>
      <c r="F1627" s="99" t="str">
        <f aca="false">IF($E1627="","",IFERROR(INDEX(科目表!$A$4:$A$81,MATCH($E1627,科目表!$B$4:$B$81,0)),""))</f>
        <v/>
      </c>
      <c r="G1627" s="67" t="str">
        <f aca="false">IF($E1627="","",IFERROR(INDEX(科目表!$E$4:$E$81,MATCH($E1627,科目表!$B$4:$B$81,0)),""))</f>
        <v/>
      </c>
      <c r="H1627" s="70" t="str">
        <f aca="false">IF($E1627="","",N(INDEX(资金日记账!$N$4:$S$603,359,5)))</f>
        <v/>
      </c>
      <c r="I1627" s="70" t="str">
        <f aca="false">IF($E1627="","",N(INDEX(资金日记账!$N$4:$S$603,359,6)))</f>
        <v/>
      </c>
      <c r="J1627" s="67" t="str">
        <f aca="false">IF($E1627="","",INDEX(资金日记账!$E$4:$E$603,359))</f>
        <v/>
      </c>
      <c r="K1627" s="67" t="str">
        <f aca="false">IF($E1627="","",INDEX(资金日记账!$F$4:$F$603,359))</f>
        <v/>
      </c>
      <c r="L1627" s="107" t="str">
        <f aca="false">IF($E1627="","",INDEX(资金日记账!$X$4:$X$603,359))</f>
        <v/>
      </c>
      <c r="M1627" s="107"/>
      <c r="N1627" s="67" t="str">
        <f aca="false">IF($E1627="","",INDEX(资金日记账!$Y$4:$Y$603,359))</f>
        <v/>
      </c>
      <c r="O1627" s="67" t="str">
        <f aca="false">IF($E1627="","","自动B")</f>
        <v/>
      </c>
      <c r="P1627" s="18"/>
    </row>
    <row r="1628" customFormat="false" ht="18" hidden="false" customHeight="true" outlineLevel="0" collapsed="false">
      <c r="A1628" s="107" t="str">
        <f aca="false">IF($E1628="","",ROW()-3)</f>
        <v/>
      </c>
      <c r="B1628" s="110" t="str">
        <f aca="false">IF($E1628="","",INDEX(资金日记账!$B$4:$B$603,360))</f>
        <v/>
      </c>
      <c r="C1628" s="67" t="str">
        <f aca="false">IF($E1628="","",IF(INDEX(资金日记账!$W$4:$W$603,360)="","记-"&amp;TEXT($B1628,"YYYYMM")&amp;"-资金",INDEX(资金日记账!$W$4:$W$603,360)))</f>
        <v/>
      </c>
      <c r="D1628" s="107" t="str">
        <f aca="false">IF($E1628="","",INDEX(资金日记账!$D$4:$D$603,360))</f>
        <v/>
      </c>
      <c r="E1628" s="67" t="str">
        <f aca="false">IF(INDEX(资金日记账!$N$4:$S$603,360,1)=0,"",INDEX(资金日记账!$N$4:$S$603,360,1))</f>
        <v/>
      </c>
      <c r="F1628" s="99" t="str">
        <f aca="false">IF($E1628="","",IFERROR(INDEX(科目表!$A$4:$A$81,MATCH($E1628,科目表!$B$4:$B$81,0)),""))</f>
        <v/>
      </c>
      <c r="G1628" s="67" t="str">
        <f aca="false">IF($E1628="","",IFERROR(INDEX(科目表!$E$4:$E$81,MATCH($E1628,科目表!$B$4:$B$81,0)),""))</f>
        <v/>
      </c>
      <c r="H1628" s="70" t="str">
        <f aca="false">IF($E1628="","",N(INDEX(资金日记账!$N$4:$S$603,360,2)))</f>
        <v/>
      </c>
      <c r="I1628" s="70" t="str">
        <f aca="false">IF($E1628="","",N(INDEX(资金日记账!$N$4:$S$603,360,3)))</f>
        <v/>
      </c>
      <c r="J1628" s="67" t="str">
        <f aca="false">IF($E1628="","",INDEX(资金日记账!$E$4:$E$603,360))</f>
        <v/>
      </c>
      <c r="K1628" s="67" t="str">
        <f aca="false">IF($E1628="","",INDEX(资金日记账!$F$4:$F$603,360))</f>
        <v/>
      </c>
      <c r="L1628" s="107" t="str">
        <f aca="false">IF($E1628="","",INDEX(资金日记账!$X$4:$X$603,360))</f>
        <v/>
      </c>
      <c r="M1628" s="107"/>
      <c r="N1628" s="67" t="str">
        <f aca="false">IF($E1628="","",INDEX(资金日记账!$Y$4:$Y$603,360))</f>
        <v/>
      </c>
      <c r="O1628" s="67" t="str">
        <f aca="false">IF($E1628="","","自动B")</f>
        <v/>
      </c>
      <c r="P1628" s="18"/>
    </row>
    <row r="1629" customFormat="false" ht="18" hidden="false" customHeight="true" outlineLevel="0" collapsed="false">
      <c r="A1629" s="107" t="str">
        <f aca="false">IF($E1629="","",ROW()-3)</f>
        <v/>
      </c>
      <c r="B1629" s="110" t="str">
        <f aca="false">IF($E1629="","",INDEX(资金日记账!$B$4:$B$603,360))</f>
        <v/>
      </c>
      <c r="C1629" s="67" t="str">
        <f aca="false">IF($E1629="","",IF(INDEX(资金日记账!$W$4:$W$603,360)="","记-"&amp;TEXT($B1629,"YYYYMM")&amp;"-资金",INDEX(资金日记账!$W$4:$W$603,360)))</f>
        <v/>
      </c>
      <c r="D1629" s="107" t="str">
        <f aca="false">IF($E1629="","",INDEX(资金日记账!$D$4:$D$603,360))</f>
        <v/>
      </c>
      <c r="E1629" s="67" t="str">
        <f aca="false">IF(INDEX(资金日记账!$N$4:$S$603,360,4)=0,"",INDEX(资金日记账!$N$4:$S$603,360,4))</f>
        <v/>
      </c>
      <c r="F1629" s="99" t="str">
        <f aca="false">IF($E1629="","",IFERROR(INDEX(科目表!$A$4:$A$81,MATCH($E1629,科目表!$B$4:$B$81,0)),""))</f>
        <v/>
      </c>
      <c r="G1629" s="67" t="str">
        <f aca="false">IF($E1629="","",IFERROR(INDEX(科目表!$E$4:$E$81,MATCH($E1629,科目表!$B$4:$B$81,0)),""))</f>
        <v/>
      </c>
      <c r="H1629" s="70" t="str">
        <f aca="false">IF($E1629="","",N(INDEX(资金日记账!$N$4:$S$603,360,5)))</f>
        <v/>
      </c>
      <c r="I1629" s="70" t="str">
        <f aca="false">IF($E1629="","",N(INDEX(资金日记账!$N$4:$S$603,360,6)))</f>
        <v/>
      </c>
      <c r="J1629" s="67" t="str">
        <f aca="false">IF($E1629="","",INDEX(资金日记账!$E$4:$E$603,360))</f>
        <v/>
      </c>
      <c r="K1629" s="67" t="str">
        <f aca="false">IF($E1629="","",INDEX(资金日记账!$F$4:$F$603,360))</f>
        <v/>
      </c>
      <c r="L1629" s="107" t="str">
        <f aca="false">IF($E1629="","",INDEX(资金日记账!$X$4:$X$603,360))</f>
        <v/>
      </c>
      <c r="M1629" s="107"/>
      <c r="N1629" s="67" t="str">
        <f aca="false">IF($E1629="","",INDEX(资金日记账!$Y$4:$Y$603,360))</f>
        <v/>
      </c>
      <c r="O1629" s="67" t="str">
        <f aca="false">IF($E1629="","","自动B")</f>
        <v/>
      </c>
      <c r="P1629" s="18"/>
    </row>
    <row r="1630" customFormat="false" ht="18" hidden="false" customHeight="true" outlineLevel="0" collapsed="false">
      <c r="A1630" s="107" t="str">
        <f aca="false">IF($E1630="","",ROW()-3)</f>
        <v/>
      </c>
      <c r="B1630" s="110" t="str">
        <f aca="false">IF($E1630="","",INDEX(资金日记账!$B$4:$B$603,361))</f>
        <v/>
      </c>
      <c r="C1630" s="67" t="str">
        <f aca="false">IF($E1630="","",IF(INDEX(资金日记账!$W$4:$W$603,361)="","记-"&amp;TEXT($B1630,"YYYYMM")&amp;"-资金",INDEX(资金日记账!$W$4:$W$603,361)))</f>
        <v/>
      </c>
      <c r="D1630" s="107" t="str">
        <f aca="false">IF($E1630="","",INDEX(资金日记账!$D$4:$D$603,361))</f>
        <v/>
      </c>
      <c r="E1630" s="67" t="str">
        <f aca="false">IF(INDEX(资金日记账!$N$4:$S$603,361,1)=0,"",INDEX(资金日记账!$N$4:$S$603,361,1))</f>
        <v/>
      </c>
      <c r="F1630" s="99" t="str">
        <f aca="false">IF($E1630="","",IFERROR(INDEX(科目表!$A$4:$A$81,MATCH($E1630,科目表!$B$4:$B$81,0)),""))</f>
        <v/>
      </c>
      <c r="G1630" s="67" t="str">
        <f aca="false">IF($E1630="","",IFERROR(INDEX(科目表!$E$4:$E$81,MATCH($E1630,科目表!$B$4:$B$81,0)),""))</f>
        <v/>
      </c>
      <c r="H1630" s="70" t="str">
        <f aca="false">IF($E1630="","",N(INDEX(资金日记账!$N$4:$S$603,361,2)))</f>
        <v/>
      </c>
      <c r="I1630" s="70" t="str">
        <f aca="false">IF($E1630="","",N(INDEX(资金日记账!$N$4:$S$603,361,3)))</f>
        <v/>
      </c>
      <c r="J1630" s="67" t="str">
        <f aca="false">IF($E1630="","",INDEX(资金日记账!$E$4:$E$603,361))</f>
        <v/>
      </c>
      <c r="K1630" s="67" t="str">
        <f aca="false">IF($E1630="","",INDEX(资金日记账!$F$4:$F$603,361))</f>
        <v/>
      </c>
      <c r="L1630" s="107" t="str">
        <f aca="false">IF($E1630="","",INDEX(资金日记账!$X$4:$X$603,361))</f>
        <v/>
      </c>
      <c r="M1630" s="107"/>
      <c r="N1630" s="67" t="str">
        <f aca="false">IF($E1630="","",INDEX(资金日记账!$Y$4:$Y$603,361))</f>
        <v/>
      </c>
      <c r="O1630" s="67" t="str">
        <f aca="false">IF($E1630="","","自动B")</f>
        <v/>
      </c>
      <c r="P1630" s="18"/>
    </row>
    <row r="1631" customFormat="false" ht="18" hidden="false" customHeight="true" outlineLevel="0" collapsed="false">
      <c r="A1631" s="107" t="str">
        <f aca="false">IF($E1631="","",ROW()-3)</f>
        <v/>
      </c>
      <c r="B1631" s="110" t="str">
        <f aca="false">IF($E1631="","",INDEX(资金日记账!$B$4:$B$603,361))</f>
        <v/>
      </c>
      <c r="C1631" s="67" t="str">
        <f aca="false">IF($E1631="","",IF(INDEX(资金日记账!$W$4:$W$603,361)="","记-"&amp;TEXT($B1631,"YYYYMM")&amp;"-资金",INDEX(资金日记账!$W$4:$W$603,361)))</f>
        <v/>
      </c>
      <c r="D1631" s="107" t="str">
        <f aca="false">IF($E1631="","",INDEX(资金日记账!$D$4:$D$603,361))</f>
        <v/>
      </c>
      <c r="E1631" s="67" t="str">
        <f aca="false">IF(INDEX(资金日记账!$N$4:$S$603,361,4)=0,"",INDEX(资金日记账!$N$4:$S$603,361,4))</f>
        <v/>
      </c>
      <c r="F1631" s="99" t="str">
        <f aca="false">IF($E1631="","",IFERROR(INDEX(科目表!$A$4:$A$81,MATCH($E1631,科目表!$B$4:$B$81,0)),""))</f>
        <v/>
      </c>
      <c r="G1631" s="67" t="str">
        <f aca="false">IF($E1631="","",IFERROR(INDEX(科目表!$E$4:$E$81,MATCH($E1631,科目表!$B$4:$B$81,0)),""))</f>
        <v/>
      </c>
      <c r="H1631" s="70" t="str">
        <f aca="false">IF($E1631="","",N(INDEX(资金日记账!$N$4:$S$603,361,5)))</f>
        <v/>
      </c>
      <c r="I1631" s="70" t="str">
        <f aca="false">IF($E1631="","",N(INDEX(资金日记账!$N$4:$S$603,361,6)))</f>
        <v/>
      </c>
      <c r="J1631" s="67" t="str">
        <f aca="false">IF($E1631="","",INDEX(资金日记账!$E$4:$E$603,361))</f>
        <v/>
      </c>
      <c r="K1631" s="67" t="str">
        <f aca="false">IF($E1631="","",INDEX(资金日记账!$F$4:$F$603,361))</f>
        <v/>
      </c>
      <c r="L1631" s="107" t="str">
        <f aca="false">IF($E1631="","",INDEX(资金日记账!$X$4:$X$603,361))</f>
        <v/>
      </c>
      <c r="M1631" s="107"/>
      <c r="N1631" s="67" t="str">
        <f aca="false">IF($E1631="","",INDEX(资金日记账!$Y$4:$Y$603,361))</f>
        <v/>
      </c>
      <c r="O1631" s="67" t="str">
        <f aca="false">IF($E1631="","","自动B")</f>
        <v/>
      </c>
      <c r="P1631" s="18"/>
    </row>
    <row r="1632" customFormat="false" ht="18" hidden="false" customHeight="true" outlineLevel="0" collapsed="false">
      <c r="A1632" s="107" t="str">
        <f aca="false">IF($E1632="","",ROW()-3)</f>
        <v/>
      </c>
      <c r="B1632" s="110" t="str">
        <f aca="false">IF($E1632="","",INDEX(资金日记账!$B$4:$B$603,362))</f>
        <v/>
      </c>
      <c r="C1632" s="67" t="str">
        <f aca="false">IF($E1632="","",IF(INDEX(资金日记账!$W$4:$W$603,362)="","记-"&amp;TEXT($B1632,"YYYYMM")&amp;"-资金",INDEX(资金日记账!$W$4:$W$603,362)))</f>
        <v/>
      </c>
      <c r="D1632" s="107" t="str">
        <f aca="false">IF($E1632="","",INDEX(资金日记账!$D$4:$D$603,362))</f>
        <v/>
      </c>
      <c r="E1632" s="67" t="str">
        <f aca="false">IF(INDEX(资金日记账!$N$4:$S$603,362,1)=0,"",INDEX(资金日记账!$N$4:$S$603,362,1))</f>
        <v/>
      </c>
      <c r="F1632" s="99" t="str">
        <f aca="false">IF($E1632="","",IFERROR(INDEX(科目表!$A$4:$A$81,MATCH($E1632,科目表!$B$4:$B$81,0)),""))</f>
        <v/>
      </c>
      <c r="G1632" s="67" t="str">
        <f aca="false">IF($E1632="","",IFERROR(INDEX(科目表!$E$4:$E$81,MATCH($E1632,科目表!$B$4:$B$81,0)),""))</f>
        <v/>
      </c>
      <c r="H1632" s="70" t="str">
        <f aca="false">IF($E1632="","",N(INDEX(资金日记账!$N$4:$S$603,362,2)))</f>
        <v/>
      </c>
      <c r="I1632" s="70" t="str">
        <f aca="false">IF($E1632="","",N(INDEX(资金日记账!$N$4:$S$603,362,3)))</f>
        <v/>
      </c>
      <c r="J1632" s="67" t="str">
        <f aca="false">IF($E1632="","",INDEX(资金日记账!$E$4:$E$603,362))</f>
        <v/>
      </c>
      <c r="K1632" s="67" t="str">
        <f aca="false">IF($E1632="","",INDEX(资金日记账!$F$4:$F$603,362))</f>
        <v/>
      </c>
      <c r="L1632" s="107" t="str">
        <f aca="false">IF($E1632="","",INDEX(资金日记账!$X$4:$X$603,362))</f>
        <v/>
      </c>
      <c r="M1632" s="107"/>
      <c r="N1632" s="67" t="str">
        <f aca="false">IF($E1632="","",INDEX(资金日记账!$Y$4:$Y$603,362))</f>
        <v/>
      </c>
      <c r="O1632" s="67" t="str">
        <f aca="false">IF($E1632="","","自动B")</f>
        <v/>
      </c>
      <c r="P1632" s="18"/>
    </row>
    <row r="1633" customFormat="false" ht="18" hidden="false" customHeight="true" outlineLevel="0" collapsed="false">
      <c r="A1633" s="107" t="str">
        <f aca="false">IF($E1633="","",ROW()-3)</f>
        <v/>
      </c>
      <c r="B1633" s="110" t="str">
        <f aca="false">IF($E1633="","",INDEX(资金日记账!$B$4:$B$603,362))</f>
        <v/>
      </c>
      <c r="C1633" s="67" t="str">
        <f aca="false">IF($E1633="","",IF(INDEX(资金日记账!$W$4:$W$603,362)="","记-"&amp;TEXT($B1633,"YYYYMM")&amp;"-资金",INDEX(资金日记账!$W$4:$W$603,362)))</f>
        <v/>
      </c>
      <c r="D1633" s="107" t="str">
        <f aca="false">IF($E1633="","",INDEX(资金日记账!$D$4:$D$603,362))</f>
        <v/>
      </c>
      <c r="E1633" s="67" t="str">
        <f aca="false">IF(INDEX(资金日记账!$N$4:$S$603,362,4)=0,"",INDEX(资金日记账!$N$4:$S$603,362,4))</f>
        <v/>
      </c>
      <c r="F1633" s="99" t="str">
        <f aca="false">IF($E1633="","",IFERROR(INDEX(科目表!$A$4:$A$81,MATCH($E1633,科目表!$B$4:$B$81,0)),""))</f>
        <v/>
      </c>
      <c r="G1633" s="67" t="str">
        <f aca="false">IF($E1633="","",IFERROR(INDEX(科目表!$E$4:$E$81,MATCH($E1633,科目表!$B$4:$B$81,0)),""))</f>
        <v/>
      </c>
      <c r="H1633" s="70" t="str">
        <f aca="false">IF($E1633="","",N(INDEX(资金日记账!$N$4:$S$603,362,5)))</f>
        <v/>
      </c>
      <c r="I1633" s="70" t="str">
        <f aca="false">IF($E1633="","",N(INDEX(资金日记账!$N$4:$S$603,362,6)))</f>
        <v/>
      </c>
      <c r="J1633" s="67" t="str">
        <f aca="false">IF($E1633="","",INDEX(资金日记账!$E$4:$E$603,362))</f>
        <v/>
      </c>
      <c r="K1633" s="67" t="str">
        <f aca="false">IF($E1633="","",INDEX(资金日记账!$F$4:$F$603,362))</f>
        <v/>
      </c>
      <c r="L1633" s="107" t="str">
        <f aca="false">IF($E1633="","",INDEX(资金日记账!$X$4:$X$603,362))</f>
        <v/>
      </c>
      <c r="M1633" s="107"/>
      <c r="N1633" s="67" t="str">
        <f aca="false">IF($E1633="","",INDEX(资金日记账!$Y$4:$Y$603,362))</f>
        <v/>
      </c>
      <c r="O1633" s="67" t="str">
        <f aca="false">IF($E1633="","","自动B")</f>
        <v/>
      </c>
      <c r="P1633" s="18"/>
    </row>
    <row r="1634" customFormat="false" ht="18" hidden="false" customHeight="true" outlineLevel="0" collapsed="false">
      <c r="A1634" s="107" t="str">
        <f aca="false">IF($E1634="","",ROW()-3)</f>
        <v/>
      </c>
      <c r="B1634" s="110" t="str">
        <f aca="false">IF($E1634="","",INDEX(资金日记账!$B$4:$B$603,363))</f>
        <v/>
      </c>
      <c r="C1634" s="67" t="str">
        <f aca="false">IF($E1634="","",IF(INDEX(资金日记账!$W$4:$W$603,363)="","记-"&amp;TEXT($B1634,"YYYYMM")&amp;"-资金",INDEX(资金日记账!$W$4:$W$603,363)))</f>
        <v/>
      </c>
      <c r="D1634" s="107" t="str">
        <f aca="false">IF($E1634="","",INDEX(资金日记账!$D$4:$D$603,363))</f>
        <v/>
      </c>
      <c r="E1634" s="67" t="str">
        <f aca="false">IF(INDEX(资金日记账!$N$4:$S$603,363,1)=0,"",INDEX(资金日记账!$N$4:$S$603,363,1))</f>
        <v/>
      </c>
      <c r="F1634" s="99" t="str">
        <f aca="false">IF($E1634="","",IFERROR(INDEX(科目表!$A$4:$A$81,MATCH($E1634,科目表!$B$4:$B$81,0)),""))</f>
        <v/>
      </c>
      <c r="G1634" s="67" t="str">
        <f aca="false">IF($E1634="","",IFERROR(INDEX(科目表!$E$4:$E$81,MATCH($E1634,科目表!$B$4:$B$81,0)),""))</f>
        <v/>
      </c>
      <c r="H1634" s="70" t="str">
        <f aca="false">IF($E1634="","",N(INDEX(资金日记账!$N$4:$S$603,363,2)))</f>
        <v/>
      </c>
      <c r="I1634" s="70" t="str">
        <f aca="false">IF($E1634="","",N(INDEX(资金日记账!$N$4:$S$603,363,3)))</f>
        <v/>
      </c>
      <c r="J1634" s="67" t="str">
        <f aca="false">IF($E1634="","",INDEX(资金日记账!$E$4:$E$603,363))</f>
        <v/>
      </c>
      <c r="K1634" s="67" t="str">
        <f aca="false">IF($E1634="","",INDEX(资金日记账!$F$4:$F$603,363))</f>
        <v/>
      </c>
      <c r="L1634" s="107" t="str">
        <f aca="false">IF($E1634="","",INDEX(资金日记账!$X$4:$X$603,363))</f>
        <v/>
      </c>
      <c r="M1634" s="107"/>
      <c r="N1634" s="67" t="str">
        <f aca="false">IF($E1634="","",INDEX(资金日记账!$Y$4:$Y$603,363))</f>
        <v/>
      </c>
      <c r="O1634" s="67" t="str">
        <f aca="false">IF($E1634="","","自动B")</f>
        <v/>
      </c>
      <c r="P1634" s="18"/>
    </row>
    <row r="1635" customFormat="false" ht="18" hidden="false" customHeight="true" outlineLevel="0" collapsed="false">
      <c r="A1635" s="107" t="str">
        <f aca="false">IF($E1635="","",ROW()-3)</f>
        <v/>
      </c>
      <c r="B1635" s="110" t="str">
        <f aca="false">IF($E1635="","",INDEX(资金日记账!$B$4:$B$603,363))</f>
        <v/>
      </c>
      <c r="C1635" s="67" t="str">
        <f aca="false">IF($E1635="","",IF(INDEX(资金日记账!$W$4:$W$603,363)="","记-"&amp;TEXT($B1635,"YYYYMM")&amp;"-资金",INDEX(资金日记账!$W$4:$W$603,363)))</f>
        <v/>
      </c>
      <c r="D1635" s="107" t="str">
        <f aca="false">IF($E1635="","",INDEX(资金日记账!$D$4:$D$603,363))</f>
        <v/>
      </c>
      <c r="E1635" s="67" t="str">
        <f aca="false">IF(INDEX(资金日记账!$N$4:$S$603,363,4)=0,"",INDEX(资金日记账!$N$4:$S$603,363,4))</f>
        <v/>
      </c>
      <c r="F1635" s="99" t="str">
        <f aca="false">IF($E1635="","",IFERROR(INDEX(科目表!$A$4:$A$81,MATCH($E1635,科目表!$B$4:$B$81,0)),""))</f>
        <v/>
      </c>
      <c r="G1635" s="67" t="str">
        <f aca="false">IF($E1635="","",IFERROR(INDEX(科目表!$E$4:$E$81,MATCH($E1635,科目表!$B$4:$B$81,0)),""))</f>
        <v/>
      </c>
      <c r="H1635" s="70" t="str">
        <f aca="false">IF($E1635="","",N(INDEX(资金日记账!$N$4:$S$603,363,5)))</f>
        <v/>
      </c>
      <c r="I1635" s="70" t="str">
        <f aca="false">IF($E1635="","",N(INDEX(资金日记账!$N$4:$S$603,363,6)))</f>
        <v/>
      </c>
      <c r="J1635" s="67" t="str">
        <f aca="false">IF($E1635="","",INDEX(资金日记账!$E$4:$E$603,363))</f>
        <v/>
      </c>
      <c r="K1635" s="67" t="str">
        <f aca="false">IF($E1635="","",INDEX(资金日记账!$F$4:$F$603,363))</f>
        <v/>
      </c>
      <c r="L1635" s="107" t="str">
        <f aca="false">IF($E1635="","",INDEX(资金日记账!$X$4:$X$603,363))</f>
        <v/>
      </c>
      <c r="M1635" s="107"/>
      <c r="N1635" s="67" t="str">
        <f aca="false">IF($E1635="","",INDEX(资金日记账!$Y$4:$Y$603,363))</f>
        <v/>
      </c>
      <c r="O1635" s="67" t="str">
        <f aca="false">IF($E1635="","","自动B")</f>
        <v/>
      </c>
      <c r="P1635" s="18"/>
    </row>
    <row r="1636" customFormat="false" ht="18" hidden="false" customHeight="true" outlineLevel="0" collapsed="false">
      <c r="A1636" s="107" t="str">
        <f aca="false">IF($E1636="","",ROW()-3)</f>
        <v/>
      </c>
      <c r="B1636" s="110" t="str">
        <f aca="false">IF($E1636="","",INDEX(资金日记账!$B$4:$B$603,364))</f>
        <v/>
      </c>
      <c r="C1636" s="67" t="str">
        <f aca="false">IF($E1636="","",IF(INDEX(资金日记账!$W$4:$W$603,364)="","记-"&amp;TEXT($B1636,"YYYYMM")&amp;"-资金",INDEX(资金日记账!$W$4:$W$603,364)))</f>
        <v/>
      </c>
      <c r="D1636" s="107" t="str">
        <f aca="false">IF($E1636="","",INDEX(资金日记账!$D$4:$D$603,364))</f>
        <v/>
      </c>
      <c r="E1636" s="67" t="str">
        <f aca="false">IF(INDEX(资金日记账!$N$4:$S$603,364,1)=0,"",INDEX(资金日记账!$N$4:$S$603,364,1))</f>
        <v/>
      </c>
      <c r="F1636" s="99" t="str">
        <f aca="false">IF($E1636="","",IFERROR(INDEX(科目表!$A$4:$A$81,MATCH($E1636,科目表!$B$4:$B$81,0)),""))</f>
        <v/>
      </c>
      <c r="G1636" s="67" t="str">
        <f aca="false">IF($E1636="","",IFERROR(INDEX(科目表!$E$4:$E$81,MATCH($E1636,科目表!$B$4:$B$81,0)),""))</f>
        <v/>
      </c>
      <c r="H1636" s="70" t="str">
        <f aca="false">IF($E1636="","",N(INDEX(资金日记账!$N$4:$S$603,364,2)))</f>
        <v/>
      </c>
      <c r="I1636" s="70" t="str">
        <f aca="false">IF($E1636="","",N(INDEX(资金日记账!$N$4:$S$603,364,3)))</f>
        <v/>
      </c>
      <c r="J1636" s="67" t="str">
        <f aca="false">IF($E1636="","",INDEX(资金日记账!$E$4:$E$603,364))</f>
        <v/>
      </c>
      <c r="K1636" s="67" t="str">
        <f aca="false">IF($E1636="","",INDEX(资金日记账!$F$4:$F$603,364))</f>
        <v/>
      </c>
      <c r="L1636" s="107" t="str">
        <f aca="false">IF($E1636="","",INDEX(资金日记账!$X$4:$X$603,364))</f>
        <v/>
      </c>
      <c r="M1636" s="107"/>
      <c r="N1636" s="67" t="str">
        <f aca="false">IF($E1636="","",INDEX(资金日记账!$Y$4:$Y$603,364))</f>
        <v/>
      </c>
      <c r="O1636" s="67" t="str">
        <f aca="false">IF($E1636="","","自动B")</f>
        <v/>
      </c>
      <c r="P1636" s="18"/>
    </row>
    <row r="1637" customFormat="false" ht="18" hidden="false" customHeight="true" outlineLevel="0" collapsed="false">
      <c r="A1637" s="107" t="str">
        <f aca="false">IF($E1637="","",ROW()-3)</f>
        <v/>
      </c>
      <c r="B1637" s="110" t="str">
        <f aca="false">IF($E1637="","",INDEX(资金日记账!$B$4:$B$603,364))</f>
        <v/>
      </c>
      <c r="C1637" s="67" t="str">
        <f aca="false">IF($E1637="","",IF(INDEX(资金日记账!$W$4:$W$603,364)="","记-"&amp;TEXT($B1637,"YYYYMM")&amp;"-资金",INDEX(资金日记账!$W$4:$W$603,364)))</f>
        <v/>
      </c>
      <c r="D1637" s="107" t="str">
        <f aca="false">IF($E1637="","",INDEX(资金日记账!$D$4:$D$603,364))</f>
        <v/>
      </c>
      <c r="E1637" s="67" t="str">
        <f aca="false">IF(INDEX(资金日记账!$N$4:$S$603,364,4)=0,"",INDEX(资金日记账!$N$4:$S$603,364,4))</f>
        <v/>
      </c>
      <c r="F1637" s="99" t="str">
        <f aca="false">IF($E1637="","",IFERROR(INDEX(科目表!$A$4:$A$81,MATCH($E1637,科目表!$B$4:$B$81,0)),""))</f>
        <v/>
      </c>
      <c r="G1637" s="67" t="str">
        <f aca="false">IF($E1637="","",IFERROR(INDEX(科目表!$E$4:$E$81,MATCH($E1637,科目表!$B$4:$B$81,0)),""))</f>
        <v/>
      </c>
      <c r="H1637" s="70" t="str">
        <f aca="false">IF($E1637="","",N(INDEX(资金日记账!$N$4:$S$603,364,5)))</f>
        <v/>
      </c>
      <c r="I1637" s="70" t="str">
        <f aca="false">IF($E1637="","",N(INDEX(资金日记账!$N$4:$S$603,364,6)))</f>
        <v/>
      </c>
      <c r="J1637" s="67" t="str">
        <f aca="false">IF($E1637="","",INDEX(资金日记账!$E$4:$E$603,364))</f>
        <v/>
      </c>
      <c r="K1637" s="67" t="str">
        <f aca="false">IF($E1637="","",INDEX(资金日记账!$F$4:$F$603,364))</f>
        <v/>
      </c>
      <c r="L1637" s="107" t="str">
        <f aca="false">IF($E1637="","",INDEX(资金日记账!$X$4:$X$603,364))</f>
        <v/>
      </c>
      <c r="M1637" s="107"/>
      <c r="N1637" s="67" t="str">
        <f aca="false">IF($E1637="","",INDEX(资金日记账!$Y$4:$Y$603,364))</f>
        <v/>
      </c>
      <c r="O1637" s="67" t="str">
        <f aca="false">IF($E1637="","","自动B")</f>
        <v/>
      </c>
      <c r="P1637" s="18"/>
    </row>
    <row r="1638" customFormat="false" ht="18" hidden="false" customHeight="true" outlineLevel="0" collapsed="false">
      <c r="A1638" s="107" t="str">
        <f aca="false">IF($E1638="","",ROW()-3)</f>
        <v/>
      </c>
      <c r="B1638" s="110" t="str">
        <f aca="false">IF($E1638="","",INDEX(资金日记账!$B$4:$B$603,365))</f>
        <v/>
      </c>
      <c r="C1638" s="67" t="str">
        <f aca="false">IF($E1638="","",IF(INDEX(资金日记账!$W$4:$W$603,365)="","记-"&amp;TEXT($B1638,"YYYYMM")&amp;"-资金",INDEX(资金日记账!$W$4:$W$603,365)))</f>
        <v/>
      </c>
      <c r="D1638" s="107" t="str">
        <f aca="false">IF($E1638="","",INDEX(资金日记账!$D$4:$D$603,365))</f>
        <v/>
      </c>
      <c r="E1638" s="67" t="str">
        <f aca="false">IF(INDEX(资金日记账!$N$4:$S$603,365,1)=0,"",INDEX(资金日记账!$N$4:$S$603,365,1))</f>
        <v/>
      </c>
      <c r="F1638" s="99" t="str">
        <f aca="false">IF($E1638="","",IFERROR(INDEX(科目表!$A$4:$A$81,MATCH($E1638,科目表!$B$4:$B$81,0)),""))</f>
        <v/>
      </c>
      <c r="G1638" s="67" t="str">
        <f aca="false">IF($E1638="","",IFERROR(INDEX(科目表!$E$4:$E$81,MATCH($E1638,科目表!$B$4:$B$81,0)),""))</f>
        <v/>
      </c>
      <c r="H1638" s="70" t="str">
        <f aca="false">IF($E1638="","",N(INDEX(资金日记账!$N$4:$S$603,365,2)))</f>
        <v/>
      </c>
      <c r="I1638" s="70" t="str">
        <f aca="false">IF($E1638="","",N(INDEX(资金日记账!$N$4:$S$603,365,3)))</f>
        <v/>
      </c>
      <c r="J1638" s="67" t="str">
        <f aca="false">IF($E1638="","",INDEX(资金日记账!$E$4:$E$603,365))</f>
        <v/>
      </c>
      <c r="K1638" s="67" t="str">
        <f aca="false">IF($E1638="","",INDEX(资金日记账!$F$4:$F$603,365))</f>
        <v/>
      </c>
      <c r="L1638" s="107" t="str">
        <f aca="false">IF($E1638="","",INDEX(资金日记账!$X$4:$X$603,365))</f>
        <v/>
      </c>
      <c r="M1638" s="107"/>
      <c r="N1638" s="67" t="str">
        <f aca="false">IF($E1638="","",INDEX(资金日记账!$Y$4:$Y$603,365))</f>
        <v/>
      </c>
      <c r="O1638" s="67" t="str">
        <f aca="false">IF($E1638="","","自动B")</f>
        <v/>
      </c>
      <c r="P1638" s="18"/>
    </row>
    <row r="1639" customFormat="false" ht="18" hidden="false" customHeight="true" outlineLevel="0" collapsed="false">
      <c r="A1639" s="107" t="str">
        <f aca="false">IF($E1639="","",ROW()-3)</f>
        <v/>
      </c>
      <c r="B1639" s="110" t="str">
        <f aca="false">IF($E1639="","",INDEX(资金日记账!$B$4:$B$603,365))</f>
        <v/>
      </c>
      <c r="C1639" s="67" t="str">
        <f aca="false">IF($E1639="","",IF(INDEX(资金日记账!$W$4:$W$603,365)="","记-"&amp;TEXT($B1639,"YYYYMM")&amp;"-资金",INDEX(资金日记账!$W$4:$W$603,365)))</f>
        <v/>
      </c>
      <c r="D1639" s="107" t="str">
        <f aca="false">IF($E1639="","",INDEX(资金日记账!$D$4:$D$603,365))</f>
        <v/>
      </c>
      <c r="E1639" s="67" t="str">
        <f aca="false">IF(INDEX(资金日记账!$N$4:$S$603,365,4)=0,"",INDEX(资金日记账!$N$4:$S$603,365,4))</f>
        <v/>
      </c>
      <c r="F1639" s="99" t="str">
        <f aca="false">IF($E1639="","",IFERROR(INDEX(科目表!$A$4:$A$81,MATCH($E1639,科目表!$B$4:$B$81,0)),""))</f>
        <v/>
      </c>
      <c r="G1639" s="67" t="str">
        <f aca="false">IF($E1639="","",IFERROR(INDEX(科目表!$E$4:$E$81,MATCH($E1639,科目表!$B$4:$B$81,0)),""))</f>
        <v/>
      </c>
      <c r="H1639" s="70" t="str">
        <f aca="false">IF($E1639="","",N(INDEX(资金日记账!$N$4:$S$603,365,5)))</f>
        <v/>
      </c>
      <c r="I1639" s="70" t="str">
        <f aca="false">IF($E1639="","",N(INDEX(资金日记账!$N$4:$S$603,365,6)))</f>
        <v/>
      </c>
      <c r="J1639" s="67" t="str">
        <f aca="false">IF($E1639="","",INDEX(资金日记账!$E$4:$E$603,365))</f>
        <v/>
      </c>
      <c r="K1639" s="67" t="str">
        <f aca="false">IF($E1639="","",INDEX(资金日记账!$F$4:$F$603,365))</f>
        <v/>
      </c>
      <c r="L1639" s="107" t="str">
        <f aca="false">IF($E1639="","",INDEX(资金日记账!$X$4:$X$603,365))</f>
        <v/>
      </c>
      <c r="M1639" s="107"/>
      <c r="N1639" s="67" t="str">
        <f aca="false">IF($E1639="","",INDEX(资金日记账!$Y$4:$Y$603,365))</f>
        <v/>
      </c>
      <c r="O1639" s="67" t="str">
        <f aca="false">IF($E1639="","","自动B")</f>
        <v/>
      </c>
      <c r="P1639" s="18"/>
    </row>
    <row r="1640" customFormat="false" ht="18" hidden="false" customHeight="true" outlineLevel="0" collapsed="false">
      <c r="A1640" s="107" t="str">
        <f aca="false">IF($E1640="","",ROW()-3)</f>
        <v/>
      </c>
      <c r="B1640" s="110" t="str">
        <f aca="false">IF($E1640="","",INDEX(资金日记账!$B$4:$B$603,366))</f>
        <v/>
      </c>
      <c r="C1640" s="67" t="str">
        <f aca="false">IF($E1640="","",IF(INDEX(资金日记账!$W$4:$W$603,366)="","记-"&amp;TEXT($B1640,"YYYYMM")&amp;"-资金",INDEX(资金日记账!$W$4:$W$603,366)))</f>
        <v/>
      </c>
      <c r="D1640" s="107" t="str">
        <f aca="false">IF($E1640="","",INDEX(资金日记账!$D$4:$D$603,366))</f>
        <v/>
      </c>
      <c r="E1640" s="67" t="str">
        <f aca="false">IF(INDEX(资金日记账!$N$4:$S$603,366,1)=0,"",INDEX(资金日记账!$N$4:$S$603,366,1))</f>
        <v/>
      </c>
      <c r="F1640" s="99" t="str">
        <f aca="false">IF($E1640="","",IFERROR(INDEX(科目表!$A$4:$A$81,MATCH($E1640,科目表!$B$4:$B$81,0)),""))</f>
        <v/>
      </c>
      <c r="G1640" s="67" t="str">
        <f aca="false">IF($E1640="","",IFERROR(INDEX(科目表!$E$4:$E$81,MATCH($E1640,科目表!$B$4:$B$81,0)),""))</f>
        <v/>
      </c>
      <c r="H1640" s="70" t="str">
        <f aca="false">IF($E1640="","",N(INDEX(资金日记账!$N$4:$S$603,366,2)))</f>
        <v/>
      </c>
      <c r="I1640" s="70" t="str">
        <f aca="false">IF($E1640="","",N(INDEX(资金日记账!$N$4:$S$603,366,3)))</f>
        <v/>
      </c>
      <c r="J1640" s="67" t="str">
        <f aca="false">IF($E1640="","",INDEX(资金日记账!$E$4:$E$603,366))</f>
        <v/>
      </c>
      <c r="K1640" s="67" t="str">
        <f aca="false">IF($E1640="","",INDEX(资金日记账!$F$4:$F$603,366))</f>
        <v/>
      </c>
      <c r="L1640" s="107" t="str">
        <f aca="false">IF($E1640="","",INDEX(资金日记账!$X$4:$X$603,366))</f>
        <v/>
      </c>
      <c r="M1640" s="107"/>
      <c r="N1640" s="67" t="str">
        <f aca="false">IF($E1640="","",INDEX(资金日记账!$Y$4:$Y$603,366))</f>
        <v/>
      </c>
      <c r="O1640" s="67" t="str">
        <f aca="false">IF($E1640="","","自动B")</f>
        <v/>
      </c>
      <c r="P1640" s="18"/>
    </row>
    <row r="1641" customFormat="false" ht="18" hidden="false" customHeight="true" outlineLevel="0" collapsed="false">
      <c r="A1641" s="107" t="str">
        <f aca="false">IF($E1641="","",ROW()-3)</f>
        <v/>
      </c>
      <c r="B1641" s="110" t="str">
        <f aca="false">IF($E1641="","",INDEX(资金日记账!$B$4:$B$603,366))</f>
        <v/>
      </c>
      <c r="C1641" s="67" t="str">
        <f aca="false">IF($E1641="","",IF(INDEX(资金日记账!$W$4:$W$603,366)="","记-"&amp;TEXT($B1641,"YYYYMM")&amp;"-资金",INDEX(资金日记账!$W$4:$W$603,366)))</f>
        <v/>
      </c>
      <c r="D1641" s="107" t="str">
        <f aca="false">IF($E1641="","",INDEX(资金日记账!$D$4:$D$603,366))</f>
        <v/>
      </c>
      <c r="E1641" s="67" t="str">
        <f aca="false">IF(INDEX(资金日记账!$N$4:$S$603,366,4)=0,"",INDEX(资金日记账!$N$4:$S$603,366,4))</f>
        <v/>
      </c>
      <c r="F1641" s="99" t="str">
        <f aca="false">IF($E1641="","",IFERROR(INDEX(科目表!$A$4:$A$81,MATCH($E1641,科目表!$B$4:$B$81,0)),""))</f>
        <v/>
      </c>
      <c r="G1641" s="67" t="str">
        <f aca="false">IF($E1641="","",IFERROR(INDEX(科目表!$E$4:$E$81,MATCH($E1641,科目表!$B$4:$B$81,0)),""))</f>
        <v/>
      </c>
      <c r="H1641" s="70" t="str">
        <f aca="false">IF($E1641="","",N(INDEX(资金日记账!$N$4:$S$603,366,5)))</f>
        <v/>
      </c>
      <c r="I1641" s="70" t="str">
        <f aca="false">IF($E1641="","",N(INDEX(资金日记账!$N$4:$S$603,366,6)))</f>
        <v/>
      </c>
      <c r="J1641" s="67" t="str">
        <f aca="false">IF($E1641="","",INDEX(资金日记账!$E$4:$E$603,366))</f>
        <v/>
      </c>
      <c r="K1641" s="67" t="str">
        <f aca="false">IF($E1641="","",INDEX(资金日记账!$F$4:$F$603,366))</f>
        <v/>
      </c>
      <c r="L1641" s="107" t="str">
        <f aca="false">IF($E1641="","",INDEX(资金日记账!$X$4:$X$603,366))</f>
        <v/>
      </c>
      <c r="M1641" s="107"/>
      <c r="N1641" s="67" t="str">
        <f aca="false">IF($E1641="","",INDEX(资金日记账!$Y$4:$Y$603,366))</f>
        <v/>
      </c>
      <c r="O1641" s="67" t="str">
        <f aca="false">IF($E1641="","","自动B")</f>
        <v/>
      </c>
      <c r="P1641" s="18"/>
    </row>
    <row r="1642" customFormat="false" ht="18" hidden="false" customHeight="true" outlineLevel="0" collapsed="false">
      <c r="A1642" s="107" t="str">
        <f aca="false">IF($E1642="","",ROW()-3)</f>
        <v/>
      </c>
      <c r="B1642" s="110" t="str">
        <f aca="false">IF($E1642="","",INDEX(资金日记账!$B$4:$B$603,367))</f>
        <v/>
      </c>
      <c r="C1642" s="67" t="str">
        <f aca="false">IF($E1642="","",IF(INDEX(资金日记账!$W$4:$W$603,367)="","记-"&amp;TEXT($B1642,"YYYYMM")&amp;"-资金",INDEX(资金日记账!$W$4:$W$603,367)))</f>
        <v/>
      </c>
      <c r="D1642" s="107" t="str">
        <f aca="false">IF($E1642="","",INDEX(资金日记账!$D$4:$D$603,367))</f>
        <v/>
      </c>
      <c r="E1642" s="67" t="str">
        <f aca="false">IF(INDEX(资金日记账!$N$4:$S$603,367,1)=0,"",INDEX(资金日记账!$N$4:$S$603,367,1))</f>
        <v/>
      </c>
      <c r="F1642" s="99" t="str">
        <f aca="false">IF($E1642="","",IFERROR(INDEX(科目表!$A$4:$A$81,MATCH($E1642,科目表!$B$4:$B$81,0)),""))</f>
        <v/>
      </c>
      <c r="G1642" s="67" t="str">
        <f aca="false">IF($E1642="","",IFERROR(INDEX(科目表!$E$4:$E$81,MATCH($E1642,科目表!$B$4:$B$81,0)),""))</f>
        <v/>
      </c>
      <c r="H1642" s="70" t="str">
        <f aca="false">IF($E1642="","",N(INDEX(资金日记账!$N$4:$S$603,367,2)))</f>
        <v/>
      </c>
      <c r="I1642" s="70" t="str">
        <f aca="false">IF($E1642="","",N(INDEX(资金日记账!$N$4:$S$603,367,3)))</f>
        <v/>
      </c>
      <c r="J1642" s="67" t="str">
        <f aca="false">IF($E1642="","",INDEX(资金日记账!$E$4:$E$603,367))</f>
        <v/>
      </c>
      <c r="K1642" s="67" t="str">
        <f aca="false">IF($E1642="","",INDEX(资金日记账!$F$4:$F$603,367))</f>
        <v/>
      </c>
      <c r="L1642" s="107" t="str">
        <f aca="false">IF($E1642="","",INDEX(资金日记账!$X$4:$X$603,367))</f>
        <v/>
      </c>
      <c r="M1642" s="107"/>
      <c r="N1642" s="67" t="str">
        <f aca="false">IF($E1642="","",INDEX(资金日记账!$Y$4:$Y$603,367))</f>
        <v/>
      </c>
      <c r="O1642" s="67" t="str">
        <f aca="false">IF($E1642="","","自动B")</f>
        <v/>
      </c>
      <c r="P1642" s="18"/>
    </row>
    <row r="1643" customFormat="false" ht="18" hidden="false" customHeight="true" outlineLevel="0" collapsed="false">
      <c r="A1643" s="107" t="str">
        <f aca="false">IF($E1643="","",ROW()-3)</f>
        <v/>
      </c>
      <c r="B1643" s="110" t="str">
        <f aca="false">IF($E1643="","",INDEX(资金日记账!$B$4:$B$603,367))</f>
        <v/>
      </c>
      <c r="C1643" s="67" t="str">
        <f aca="false">IF($E1643="","",IF(INDEX(资金日记账!$W$4:$W$603,367)="","记-"&amp;TEXT($B1643,"YYYYMM")&amp;"-资金",INDEX(资金日记账!$W$4:$W$603,367)))</f>
        <v/>
      </c>
      <c r="D1643" s="107" t="str">
        <f aca="false">IF($E1643="","",INDEX(资金日记账!$D$4:$D$603,367))</f>
        <v/>
      </c>
      <c r="E1643" s="67" t="str">
        <f aca="false">IF(INDEX(资金日记账!$N$4:$S$603,367,4)=0,"",INDEX(资金日记账!$N$4:$S$603,367,4))</f>
        <v/>
      </c>
      <c r="F1643" s="99" t="str">
        <f aca="false">IF($E1643="","",IFERROR(INDEX(科目表!$A$4:$A$81,MATCH($E1643,科目表!$B$4:$B$81,0)),""))</f>
        <v/>
      </c>
      <c r="G1643" s="67" t="str">
        <f aca="false">IF($E1643="","",IFERROR(INDEX(科目表!$E$4:$E$81,MATCH($E1643,科目表!$B$4:$B$81,0)),""))</f>
        <v/>
      </c>
      <c r="H1643" s="70" t="str">
        <f aca="false">IF($E1643="","",N(INDEX(资金日记账!$N$4:$S$603,367,5)))</f>
        <v/>
      </c>
      <c r="I1643" s="70" t="str">
        <f aca="false">IF($E1643="","",N(INDEX(资金日记账!$N$4:$S$603,367,6)))</f>
        <v/>
      </c>
      <c r="J1643" s="67" t="str">
        <f aca="false">IF($E1643="","",INDEX(资金日记账!$E$4:$E$603,367))</f>
        <v/>
      </c>
      <c r="K1643" s="67" t="str">
        <f aca="false">IF($E1643="","",INDEX(资金日记账!$F$4:$F$603,367))</f>
        <v/>
      </c>
      <c r="L1643" s="107" t="str">
        <f aca="false">IF($E1643="","",INDEX(资金日记账!$X$4:$X$603,367))</f>
        <v/>
      </c>
      <c r="M1643" s="107"/>
      <c r="N1643" s="67" t="str">
        <f aca="false">IF($E1643="","",INDEX(资金日记账!$Y$4:$Y$603,367))</f>
        <v/>
      </c>
      <c r="O1643" s="67" t="str">
        <f aca="false">IF($E1643="","","自动B")</f>
        <v/>
      </c>
      <c r="P1643" s="18"/>
    </row>
    <row r="1644" customFormat="false" ht="18" hidden="false" customHeight="true" outlineLevel="0" collapsed="false">
      <c r="A1644" s="107" t="str">
        <f aca="false">IF($E1644="","",ROW()-3)</f>
        <v/>
      </c>
      <c r="B1644" s="110" t="str">
        <f aca="false">IF($E1644="","",INDEX(资金日记账!$B$4:$B$603,368))</f>
        <v/>
      </c>
      <c r="C1644" s="67" t="str">
        <f aca="false">IF($E1644="","",IF(INDEX(资金日记账!$W$4:$W$603,368)="","记-"&amp;TEXT($B1644,"YYYYMM")&amp;"-资金",INDEX(资金日记账!$W$4:$W$603,368)))</f>
        <v/>
      </c>
      <c r="D1644" s="107" t="str">
        <f aca="false">IF($E1644="","",INDEX(资金日记账!$D$4:$D$603,368))</f>
        <v/>
      </c>
      <c r="E1644" s="67" t="str">
        <f aca="false">IF(INDEX(资金日记账!$N$4:$S$603,368,1)=0,"",INDEX(资金日记账!$N$4:$S$603,368,1))</f>
        <v/>
      </c>
      <c r="F1644" s="99" t="str">
        <f aca="false">IF($E1644="","",IFERROR(INDEX(科目表!$A$4:$A$81,MATCH($E1644,科目表!$B$4:$B$81,0)),""))</f>
        <v/>
      </c>
      <c r="G1644" s="67" t="str">
        <f aca="false">IF($E1644="","",IFERROR(INDEX(科目表!$E$4:$E$81,MATCH($E1644,科目表!$B$4:$B$81,0)),""))</f>
        <v/>
      </c>
      <c r="H1644" s="70" t="str">
        <f aca="false">IF($E1644="","",N(INDEX(资金日记账!$N$4:$S$603,368,2)))</f>
        <v/>
      </c>
      <c r="I1644" s="70" t="str">
        <f aca="false">IF($E1644="","",N(INDEX(资金日记账!$N$4:$S$603,368,3)))</f>
        <v/>
      </c>
      <c r="J1644" s="67" t="str">
        <f aca="false">IF($E1644="","",INDEX(资金日记账!$E$4:$E$603,368))</f>
        <v/>
      </c>
      <c r="K1644" s="67" t="str">
        <f aca="false">IF($E1644="","",INDEX(资金日记账!$F$4:$F$603,368))</f>
        <v/>
      </c>
      <c r="L1644" s="107" t="str">
        <f aca="false">IF($E1644="","",INDEX(资金日记账!$X$4:$X$603,368))</f>
        <v/>
      </c>
      <c r="M1644" s="107"/>
      <c r="N1644" s="67" t="str">
        <f aca="false">IF($E1644="","",INDEX(资金日记账!$Y$4:$Y$603,368))</f>
        <v/>
      </c>
      <c r="O1644" s="67" t="str">
        <f aca="false">IF($E1644="","","自动B")</f>
        <v/>
      </c>
      <c r="P1644" s="18"/>
    </row>
    <row r="1645" customFormat="false" ht="18" hidden="false" customHeight="true" outlineLevel="0" collapsed="false">
      <c r="A1645" s="107" t="str">
        <f aca="false">IF($E1645="","",ROW()-3)</f>
        <v/>
      </c>
      <c r="B1645" s="110" t="str">
        <f aca="false">IF($E1645="","",INDEX(资金日记账!$B$4:$B$603,368))</f>
        <v/>
      </c>
      <c r="C1645" s="67" t="str">
        <f aca="false">IF($E1645="","",IF(INDEX(资金日记账!$W$4:$W$603,368)="","记-"&amp;TEXT($B1645,"YYYYMM")&amp;"-资金",INDEX(资金日记账!$W$4:$W$603,368)))</f>
        <v/>
      </c>
      <c r="D1645" s="107" t="str">
        <f aca="false">IF($E1645="","",INDEX(资金日记账!$D$4:$D$603,368))</f>
        <v/>
      </c>
      <c r="E1645" s="67" t="str">
        <f aca="false">IF(INDEX(资金日记账!$N$4:$S$603,368,4)=0,"",INDEX(资金日记账!$N$4:$S$603,368,4))</f>
        <v/>
      </c>
      <c r="F1645" s="99" t="str">
        <f aca="false">IF($E1645="","",IFERROR(INDEX(科目表!$A$4:$A$81,MATCH($E1645,科目表!$B$4:$B$81,0)),""))</f>
        <v/>
      </c>
      <c r="G1645" s="67" t="str">
        <f aca="false">IF($E1645="","",IFERROR(INDEX(科目表!$E$4:$E$81,MATCH($E1645,科目表!$B$4:$B$81,0)),""))</f>
        <v/>
      </c>
      <c r="H1645" s="70" t="str">
        <f aca="false">IF($E1645="","",N(INDEX(资金日记账!$N$4:$S$603,368,5)))</f>
        <v/>
      </c>
      <c r="I1645" s="70" t="str">
        <f aca="false">IF($E1645="","",N(INDEX(资金日记账!$N$4:$S$603,368,6)))</f>
        <v/>
      </c>
      <c r="J1645" s="67" t="str">
        <f aca="false">IF($E1645="","",INDEX(资金日记账!$E$4:$E$603,368))</f>
        <v/>
      </c>
      <c r="K1645" s="67" t="str">
        <f aca="false">IF($E1645="","",INDEX(资金日记账!$F$4:$F$603,368))</f>
        <v/>
      </c>
      <c r="L1645" s="107" t="str">
        <f aca="false">IF($E1645="","",INDEX(资金日记账!$X$4:$X$603,368))</f>
        <v/>
      </c>
      <c r="M1645" s="107"/>
      <c r="N1645" s="67" t="str">
        <f aca="false">IF($E1645="","",INDEX(资金日记账!$Y$4:$Y$603,368))</f>
        <v/>
      </c>
      <c r="O1645" s="67" t="str">
        <f aca="false">IF($E1645="","","自动B")</f>
        <v/>
      </c>
      <c r="P1645" s="18"/>
    </row>
    <row r="1646" customFormat="false" ht="18" hidden="false" customHeight="true" outlineLevel="0" collapsed="false">
      <c r="A1646" s="107" t="str">
        <f aca="false">IF($E1646="","",ROW()-3)</f>
        <v/>
      </c>
      <c r="B1646" s="110" t="str">
        <f aca="false">IF($E1646="","",INDEX(资金日记账!$B$4:$B$603,369))</f>
        <v/>
      </c>
      <c r="C1646" s="67" t="str">
        <f aca="false">IF($E1646="","",IF(INDEX(资金日记账!$W$4:$W$603,369)="","记-"&amp;TEXT($B1646,"YYYYMM")&amp;"-资金",INDEX(资金日记账!$W$4:$W$603,369)))</f>
        <v/>
      </c>
      <c r="D1646" s="107" t="str">
        <f aca="false">IF($E1646="","",INDEX(资金日记账!$D$4:$D$603,369))</f>
        <v/>
      </c>
      <c r="E1646" s="67" t="str">
        <f aca="false">IF(INDEX(资金日记账!$N$4:$S$603,369,1)=0,"",INDEX(资金日记账!$N$4:$S$603,369,1))</f>
        <v/>
      </c>
      <c r="F1646" s="99" t="str">
        <f aca="false">IF($E1646="","",IFERROR(INDEX(科目表!$A$4:$A$81,MATCH($E1646,科目表!$B$4:$B$81,0)),""))</f>
        <v/>
      </c>
      <c r="G1646" s="67" t="str">
        <f aca="false">IF($E1646="","",IFERROR(INDEX(科目表!$E$4:$E$81,MATCH($E1646,科目表!$B$4:$B$81,0)),""))</f>
        <v/>
      </c>
      <c r="H1646" s="70" t="str">
        <f aca="false">IF($E1646="","",N(INDEX(资金日记账!$N$4:$S$603,369,2)))</f>
        <v/>
      </c>
      <c r="I1646" s="70" t="str">
        <f aca="false">IF($E1646="","",N(INDEX(资金日记账!$N$4:$S$603,369,3)))</f>
        <v/>
      </c>
      <c r="J1646" s="67" t="str">
        <f aca="false">IF($E1646="","",INDEX(资金日记账!$E$4:$E$603,369))</f>
        <v/>
      </c>
      <c r="K1646" s="67" t="str">
        <f aca="false">IF($E1646="","",INDEX(资金日记账!$F$4:$F$603,369))</f>
        <v/>
      </c>
      <c r="L1646" s="107" t="str">
        <f aca="false">IF($E1646="","",INDEX(资金日记账!$X$4:$X$603,369))</f>
        <v/>
      </c>
      <c r="M1646" s="107"/>
      <c r="N1646" s="67" t="str">
        <f aca="false">IF($E1646="","",INDEX(资金日记账!$Y$4:$Y$603,369))</f>
        <v/>
      </c>
      <c r="O1646" s="67" t="str">
        <f aca="false">IF($E1646="","","自动B")</f>
        <v/>
      </c>
      <c r="P1646" s="18"/>
    </row>
    <row r="1647" customFormat="false" ht="18" hidden="false" customHeight="true" outlineLevel="0" collapsed="false">
      <c r="A1647" s="107" t="str">
        <f aca="false">IF($E1647="","",ROW()-3)</f>
        <v/>
      </c>
      <c r="B1647" s="110" t="str">
        <f aca="false">IF($E1647="","",INDEX(资金日记账!$B$4:$B$603,369))</f>
        <v/>
      </c>
      <c r="C1647" s="67" t="str">
        <f aca="false">IF($E1647="","",IF(INDEX(资金日记账!$W$4:$W$603,369)="","记-"&amp;TEXT($B1647,"YYYYMM")&amp;"-资金",INDEX(资金日记账!$W$4:$W$603,369)))</f>
        <v/>
      </c>
      <c r="D1647" s="107" t="str">
        <f aca="false">IF($E1647="","",INDEX(资金日记账!$D$4:$D$603,369))</f>
        <v/>
      </c>
      <c r="E1647" s="67" t="str">
        <f aca="false">IF(INDEX(资金日记账!$N$4:$S$603,369,4)=0,"",INDEX(资金日记账!$N$4:$S$603,369,4))</f>
        <v/>
      </c>
      <c r="F1647" s="99" t="str">
        <f aca="false">IF($E1647="","",IFERROR(INDEX(科目表!$A$4:$A$81,MATCH($E1647,科目表!$B$4:$B$81,0)),""))</f>
        <v/>
      </c>
      <c r="G1647" s="67" t="str">
        <f aca="false">IF($E1647="","",IFERROR(INDEX(科目表!$E$4:$E$81,MATCH($E1647,科目表!$B$4:$B$81,0)),""))</f>
        <v/>
      </c>
      <c r="H1647" s="70" t="str">
        <f aca="false">IF($E1647="","",N(INDEX(资金日记账!$N$4:$S$603,369,5)))</f>
        <v/>
      </c>
      <c r="I1647" s="70" t="str">
        <f aca="false">IF($E1647="","",N(INDEX(资金日记账!$N$4:$S$603,369,6)))</f>
        <v/>
      </c>
      <c r="J1647" s="67" t="str">
        <f aca="false">IF($E1647="","",INDEX(资金日记账!$E$4:$E$603,369))</f>
        <v/>
      </c>
      <c r="K1647" s="67" t="str">
        <f aca="false">IF($E1647="","",INDEX(资金日记账!$F$4:$F$603,369))</f>
        <v/>
      </c>
      <c r="L1647" s="107" t="str">
        <f aca="false">IF($E1647="","",INDEX(资金日记账!$X$4:$X$603,369))</f>
        <v/>
      </c>
      <c r="M1647" s="107"/>
      <c r="N1647" s="67" t="str">
        <f aca="false">IF($E1647="","",INDEX(资金日记账!$Y$4:$Y$603,369))</f>
        <v/>
      </c>
      <c r="O1647" s="67" t="str">
        <f aca="false">IF($E1647="","","自动B")</f>
        <v/>
      </c>
      <c r="P1647" s="18"/>
    </row>
    <row r="1648" customFormat="false" ht="18" hidden="false" customHeight="true" outlineLevel="0" collapsed="false">
      <c r="A1648" s="107" t="str">
        <f aca="false">IF($E1648="","",ROW()-3)</f>
        <v/>
      </c>
      <c r="B1648" s="110" t="str">
        <f aca="false">IF($E1648="","",INDEX(资金日记账!$B$4:$B$603,370))</f>
        <v/>
      </c>
      <c r="C1648" s="67" t="str">
        <f aca="false">IF($E1648="","",IF(INDEX(资金日记账!$W$4:$W$603,370)="","记-"&amp;TEXT($B1648,"YYYYMM")&amp;"-资金",INDEX(资金日记账!$W$4:$W$603,370)))</f>
        <v/>
      </c>
      <c r="D1648" s="107" t="str">
        <f aca="false">IF($E1648="","",INDEX(资金日记账!$D$4:$D$603,370))</f>
        <v/>
      </c>
      <c r="E1648" s="67" t="str">
        <f aca="false">IF(INDEX(资金日记账!$N$4:$S$603,370,1)=0,"",INDEX(资金日记账!$N$4:$S$603,370,1))</f>
        <v/>
      </c>
      <c r="F1648" s="99" t="str">
        <f aca="false">IF($E1648="","",IFERROR(INDEX(科目表!$A$4:$A$81,MATCH($E1648,科目表!$B$4:$B$81,0)),""))</f>
        <v/>
      </c>
      <c r="G1648" s="67" t="str">
        <f aca="false">IF($E1648="","",IFERROR(INDEX(科目表!$E$4:$E$81,MATCH($E1648,科目表!$B$4:$B$81,0)),""))</f>
        <v/>
      </c>
      <c r="H1648" s="70" t="str">
        <f aca="false">IF($E1648="","",N(INDEX(资金日记账!$N$4:$S$603,370,2)))</f>
        <v/>
      </c>
      <c r="I1648" s="70" t="str">
        <f aca="false">IF($E1648="","",N(INDEX(资金日记账!$N$4:$S$603,370,3)))</f>
        <v/>
      </c>
      <c r="J1648" s="67" t="str">
        <f aca="false">IF($E1648="","",INDEX(资金日记账!$E$4:$E$603,370))</f>
        <v/>
      </c>
      <c r="K1648" s="67" t="str">
        <f aca="false">IF($E1648="","",INDEX(资金日记账!$F$4:$F$603,370))</f>
        <v/>
      </c>
      <c r="L1648" s="107" t="str">
        <f aca="false">IF($E1648="","",INDEX(资金日记账!$X$4:$X$603,370))</f>
        <v/>
      </c>
      <c r="M1648" s="107"/>
      <c r="N1648" s="67" t="str">
        <f aca="false">IF($E1648="","",INDEX(资金日记账!$Y$4:$Y$603,370))</f>
        <v/>
      </c>
      <c r="O1648" s="67" t="str">
        <f aca="false">IF($E1648="","","自动B")</f>
        <v/>
      </c>
      <c r="P1648" s="18"/>
    </row>
    <row r="1649" customFormat="false" ht="18" hidden="false" customHeight="true" outlineLevel="0" collapsed="false">
      <c r="A1649" s="107" t="str">
        <f aca="false">IF($E1649="","",ROW()-3)</f>
        <v/>
      </c>
      <c r="B1649" s="110" t="str">
        <f aca="false">IF($E1649="","",INDEX(资金日记账!$B$4:$B$603,370))</f>
        <v/>
      </c>
      <c r="C1649" s="67" t="str">
        <f aca="false">IF($E1649="","",IF(INDEX(资金日记账!$W$4:$W$603,370)="","记-"&amp;TEXT($B1649,"YYYYMM")&amp;"-资金",INDEX(资金日记账!$W$4:$W$603,370)))</f>
        <v/>
      </c>
      <c r="D1649" s="107" t="str">
        <f aca="false">IF($E1649="","",INDEX(资金日记账!$D$4:$D$603,370))</f>
        <v/>
      </c>
      <c r="E1649" s="67" t="str">
        <f aca="false">IF(INDEX(资金日记账!$N$4:$S$603,370,4)=0,"",INDEX(资金日记账!$N$4:$S$603,370,4))</f>
        <v/>
      </c>
      <c r="F1649" s="99" t="str">
        <f aca="false">IF($E1649="","",IFERROR(INDEX(科目表!$A$4:$A$81,MATCH($E1649,科目表!$B$4:$B$81,0)),""))</f>
        <v/>
      </c>
      <c r="G1649" s="67" t="str">
        <f aca="false">IF($E1649="","",IFERROR(INDEX(科目表!$E$4:$E$81,MATCH($E1649,科目表!$B$4:$B$81,0)),""))</f>
        <v/>
      </c>
      <c r="H1649" s="70" t="str">
        <f aca="false">IF($E1649="","",N(INDEX(资金日记账!$N$4:$S$603,370,5)))</f>
        <v/>
      </c>
      <c r="I1649" s="70" t="str">
        <f aca="false">IF($E1649="","",N(INDEX(资金日记账!$N$4:$S$603,370,6)))</f>
        <v/>
      </c>
      <c r="J1649" s="67" t="str">
        <f aca="false">IF($E1649="","",INDEX(资金日记账!$E$4:$E$603,370))</f>
        <v/>
      </c>
      <c r="K1649" s="67" t="str">
        <f aca="false">IF($E1649="","",INDEX(资金日记账!$F$4:$F$603,370))</f>
        <v/>
      </c>
      <c r="L1649" s="107" t="str">
        <f aca="false">IF($E1649="","",INDEX(资金日记账!$X$4:$X$603,370))</f>
        <v/>
      </c>
      <c r="M1649" s="107"/>
      <c r="N1649" s="67" t="str">
        <f aca="false">IF($E1649="","",INDEX(资金日记账!$Y$4:$Y$603,370))</f>
        <v/>
      </c>
      <c r="O1649" s="67" t="str">
        <f aca="false">IF($E1649="","","自动B")</f>
        <v/>
      </c>
      <c r="P1649" s="18"/>
    </row>
    <row r="1650" customFormat="false" ht="18" hidden="false" customHeight="true" outlineLevel="0" collapsed="false">
      <c r="A1650" s="107" t="str">
        <f aca="false">IF($E1650="","",ROW()-3)</f>
        <v/>
      </c>
      <c r="B1650" s="110" t="str">
        <f aca="false">IF($E1650="","",INDEX(资金日记账!$B$4:$B$603,371))</f>
        <v/>
      </c>
      <c r="C1650" s="67" t="str">
        <f aca="false">IF($E1650="","",IF(INDEX(资金日记账!$W$4:$W$603,371)="","记-"&amp;TEXT($B1650,"YYYYMM")&amp;"-资金",INDEX(资金日记账!$W$4:$W$603,371)))</f>
        <v/>
      </c>
      <c r="D1650" s="107" t="str">
        <f aca="false">IF($E1650="","",INDEX(资金日记账!$D$4:$D$603,371))</f>
        <v/>
      </c>
      <c r="E1650" s="67" t="str">
        <f aca="false">IF(INDEX(资金日记账!$N$4:$S$603,371,1)=0,"",INDEX(资金日记账!$N$4:$S$603,371,1))</f>
        <v/>
      </c>
      <c r="F1650" s="99" t="str">
        <f aca="false">IF($E1650="","",IFERROR(INDEX(科目表!$A$4:$A$81,MATCH($E1650,科目表!$B$4:$B$81,0)),""))</f>
        <v/>
      </c>
      <c r="G1650" s="67" t="str">
        <f aca="false">IF($E1650="","",IFERROR(INDEX(科目表!$E$4:$E$81,MATCH($E1650,科目表!$B$4:$B$81,0)),""))</f>
        <v/>
      </c>
      <c r="H1650" s="70" t="str">
        <f aca="false">IF($E1650="","",N(INDEX(资金日记账!$N$4:$S$603,371,2)))</f>
        <v/>
      </c>
      <c r="I1650" s="70" t="str">
        <f aca="false">IF($E1650="","",N(INDEX(资金日记账!$N$4:$S$603,371,3)))</f>
        <v/>
      </c>
      <c r="J1650" s="67" t="str">
        <f aca="false">IF($E1650="","",INDEX(资金日记账!$E$4:$E$603,371))</f>
        <v/>
      </c>
      <c r="K1650" s="67" t="str">
        <f aca="false">IF($E1650="","",INDEX(资金日记账!$F$4:$F$603,371))</f>
        <v/>
      </c>
      <c r="L1650" s="107" t="str">
        <f aca="false">IF($E1650="","",INDEX(资金日记账!$X$4:$X$603,371))</f>
        <v/>
      </c>
      <c r="M1650" s="107"/>
      <c r="N1650" s="67" t="str">
        <f aca="false">IF($E1650="","",INDEX(资金日记账!$Y$4:$Y$603,371))</f>
        <v/>
      </c>
      <c r="O1650" s="67" t="str">
        <f aca="false">IF($E1650="","","自动B")</f>
        <v/>
      </c>
      <c r="P1650" s="18"/>
    </row>
    <row r="1651" customFormat="false" ht="18" hidden="false" customHeight="true" outlineLevel="0" collapsed="false">
      <c r="A1651" s="107" t="str">
        <f aca="false">IF($E1651="","",ROW()-3)</f>
        <v/>
      </c>
      <c r="B1651" s="110" t="str">
        <f aca="false">IF($E1651="","",INDEX(资金日记账!$B$4:$B$603,371))</f>
        <v/>
      </c>
      <c r="C1651" s="67" t="str">
        <f aca="false">IF($E1651="","",IF(INDEX(资金日记账!$W$4:$W$603,371)="","记-"&amp;TEXT($B1651,"YYYYMM")&amp;"-资金",INDEX(资金日记账!$W$4:$W$603,371)))</f>
        <v/>
      </c>
      <c r="D1651" s="107" t="str">
        <f aca="false">IF($E1651="","",INDEX(资金日记账!$D$4:$D$603,371))</f>
        <v/>
      </c>
      <c r="E1651" s="67" t="str">
        <f aca="false">IF(INDEX(资金日记账!$N$4:$S$603,371,4)=0,"",INDEX(资金日记账!$N$4:$S$603,371,4))</f>
        <v/>
      </c>
      <c r="F1651" s="99" t="str">
        <f aca="false">IF($E1651="","",IFERROR(INDEX(科目表!$A$4:$A$81,MATCH($E1651,科目表!$B$4:$B$81,0)),""))</f>
        <v/>
      </c>
      <c r="G1651" s="67" t="str">
        <f aca="false">IF($E1651="","",IFERROR(INDEX(科目表!$E$4:$E$81,MATCH($E1651,科目表!$B$4:$B$81,0)),""))</f>
        <v/>
      </c>
      <c r="H1651" s="70" t="str">
        <f aca="false">IF($E1651="","",N(INDEX(资金日记账!$N$4:$S$603,371,5)))</f>
        <v/>
      </c>
      <c r="I1651" s="70" t="str">
        <f aca="false">IF($E1651="","",N(INDEX(资金日记账!$N$4:$S$603,371,6)))</f>
        <v/>
      </c>
      <c r="J1651" s="67" t="str">
        <f aca="false">IF($E1651="","",INDEX(资金日记账!$E$4:$E$603,371))</f>
        <v/>
      </c>
      <c r="K1651" s="67" t="str">
        <f aca="false">IF($E1651="","",INDEX(资金日记账!$F$4:$F$603,371))</f>
        <v/>
      </c>
      <c r="L1651" s="107" t="str">
        <f aca="false">IF($E1651="","",INDEX(资金日记账!$X$4:$X$603,371))</f>
        <v/>
      </c>
      <c r="M1651" s="107"/>
      <c r="N1651" s="67" t="str">
        <f aca="false">IF($E1651="","",INDEX(资金日记账!$Y$4:$Y$603,371))</f>
        <v/>
      </c>
      <c r="O1651" s="67" t="str">
        <f aca="false">IF($E1651="","","自动B")</f>
        <v/>
      </c>
      <c r="P1651" s="18"/>
    </row>
    <row r="1652" customFormat="false" ht="18" hidden="false" customHeight="true" outlineLevel="0" collapsed="false">
      <c r="A1652" s="107" t="str">
        <f aca="false">IF($E1652="","",ROW()-3)</f>
        <v/>
      </c>
      <c r="B1652" s="110" t="str">
        <f aca="false">IF($E1652="","",INDEX(资金日记账!$B$4:$B$603,372))</f>
        <v/>
      </c>
      <c r="C1652" s="67" t="str">
        <f aca="false">IF($E1652="","",IF(INDEX(资金日记账!$W$4:$W$603,372)="","记-"&amp;TEXT($B1652,"YYYYMM")&amp;"-资金",INDEX(资金日记账!$W$4:$W$603,372)))</f>
        <v/>
      </c>
      <c r="D1652" s="107" t="str">
        <f aca="false">IF($E1652="","",INDEX(资金日记账!$D$4:$D$603,372))</f>
        <v/>
      </c>
      <c r="E1652" s="67" t="str">
        <f aca="false">IF(INDEX(资金日记账!$N$4:$S$603,372,1)=0,"",INDEX(资金日记账!$N$4:$S$603,372,1))</f>
        <v/>
      </c>
      <c r="F1652" s="99" t="str">
        <f aca="false">IF($E1652="","",IFERROR(INDEX(科目表!$A$4:$A$81,MATCH($E1652,科目表!$B$4:$B$81,0)),""))</f>
        <v/>
      </c>
      <c r="G1652" s="67" t="str">
        <f aca="false">IF($E1652="","",IFERROR(INDEX(科目表!$E$4:$E$81,MATCH($E1652,科目表!$B$4:$B$81,0)),""))</f>
        <v/>
      </c>
      <c r="H1652" s="70" t="str">
        <f aca="false">IF($E1652="","",N(INDEX(资金日记账!$N$4:$S$603,372,2)))</f>
        <v/>
      </c>
      <c r="I1652" s="70" t="str">
        <f aca="false">IF($E1652="","",N(INDEX(资金日记账!$N$4:$S$603,372,3)))</f>
        <v/>
      </c>
      <c r="J1652" s="67" t="str">
        <f aca="false">IF($E1652="","",INDEX(资金日记账!$E$4:$E$603,372))</f>
        <v/>
      </c>
      <c r="K1652" s="67" t="str">
        <f aca="false">IF($E1652="","",INDEX(资金日记账!$F$4:$F$603,372))</f>
        <v/>
      </c>
      <c r="L1652" s="107" t="str">
        <f aca="false">IF($E1652="","",INDEX(资金日记账!$X$4:$X$603,372))</f>
        <v/>
      </c>
      <c r="M1652" s="107"/>
      <c r="N1652" s="67" t="str">
        <f aca="false">IF($E1652="","",INDEX(资金日记账!$Y$4:$Y$603,372))</f>
        <v/>
      </c>
      <c r="O1652" s="67" t="str">
        <f aca="false">IF($E1652="","","自动B")</f>
        <v/>
      </c>
      <c r="P1652" s="18"/>
    </row>
    <row r="1653" customFormat="false" ht="18" hidden="false" customHeight="true" outlineLevel="0" collapsed="false">
      <c r="A1653" s="107" t="str">
        <f aca="false">IF($E1653="","",ROW()-3)</f>
        <v/>
      </c>
      <c r="B1653" s="110" t="str">
        <f aca="false">IF($E1653="","",INDEX(资金日记账!$B$4:$B$603,372))</f>
        <v/>
      </c>
      <c r="C1653" s="67" t="str">
        <f aca="false">IF($E1653="","",IF(INDEX(资金日记账!$W$4:$W$603,372)="","记-"&amp;TEXT($B1653,"YYYYMM")&amp;"-资金",INDEX(资金日记账!$W$4:$W$603,372)))</f>
        <v/>
      </c>
      <c r="D1653" s="107" t="str">
        <f aca="false">IF($E1653="","",INDEX(资金日记账!$D$4:$D$603,372))</f>
        <v/>
      </c>
      <c r="E1653" s="67" t="str">
        <f aca="false">IF(INDEX(资金日记账!$N$4:$S$603,372,4)=0,"",INDEX(资金日记账!$N$4:$S$603,372,4))</f>
        <v/>
      </c>
      <c r="F1653" s="99" t="str">
        <f aca="false">IF($E1653="","",IFERROR(INDEX(科目表!$A$4:$A$81,MATCH($E1653,科目表!$B$4:$B$81,0)),""))</f>
        <v/>
      </c>
      <c r="G1653" s="67" t="str">
        <f aca="false">IF($E1653="","",IFERROR(INDEX(科目表!$E$4:$E$81,MATCH($E1653,科目表!$B$4:$B$81,0)),""))</f>
        <v/>
      </c>
      <c r="H1653" s="70" t="str">
        <f aca="false">IF($E1653="","",N(INDEX(资金日记账!$N$4:$S$603,372,5)))</f>
        <v/>
      </c>
      <c r="I1653" s="70" t="str">
        <f aca="false">IF($E1653="","",N(INDEX(资金日记账!$N$4:$S$603,372,6)))</f>
        <v/>
      </c>
      <c r="J1653" s="67" t="str">
        <f aca="false">IF($E1653="","",INDEX(资金日记账!$E$4:$E$603,372))</f>
        <v/>
      </c>
      <c r="K1653" s="67" t="str">
        <f aca="false">IF($E1653="","",INDEX(资金日记账!$F$4:$F$603,372))</f>
        <v/>
      </c>
      <c r="L1653" s="107" t="str">
        <f aca="false">IF($E1653="","",INDEX(资金日记账!$X$4:$X$603,372))</f>
        <v/>
      </c>
      <c r="M1653" s="107"/>
      <c r="N1653" s="67" t="str">
        <f aca="false">IF($E1653="","",INDEX(资金日记账!$Y$4:$Y$603,372))</f>
        <v/>
      </c>
      <c r="O1653" s="67" t="str">
        <f aca="false">IF($E1653="","","自动B")</f>
        <v/>
      </c>
      <c r="P1653" s="18"/>
    </row>
    <row r="1654" customFormat="false" ht="18" hidden="false" customHeight="true" outlineLevel="0" collapsed="false">
      <c r="A1654" s="107" t="str">
        <f aca="false">IF($E1654="","",ROW()-3)</f>
        <v/>
      </c>
      <c r="B1654" s="110" t="str">
        <f aca="false">IF($E1654="","",INDEX(资金日记账!$B$4:$B$603,373))</f>
        <v/>
      </c>
      <c r="C1654" s="67" t="str">
        <f aca="false">IF($E1654="","",IF(INDEX(资金日记账!$W$4:$W$603,373)="","记-"&amp;TEXT($B1654,"YYYYMM")&amp;"-资金",INDEX(资金日记账!$W$4:$W$603,373)))</f>
        <v/>
      </c>
      <c r="D1654" s="107" t="str">
        <f aca="false">IF($E1654="","",INDEX(资金日记账!$D$4:$D$603,373))</f>
        <v/>
      </c>
      <c r="E1654" s="67" t="str">
        <f aca="false">IF(INDEX(资金日记账!$N$4:$S$603,373,1)=0,"",INDEX(资金日记账!$N$4:$S$603,373,1))</f>
        <v/>
      </c>
      <c r="F1654" s="99" t="str">
        <f aca="false">IF($E1654="","",IFERROR(INDEX(科目表!$A$4:$A$81,MATCH($E1654,科目表!$B$4:$B$81,0)),""))</f>
        <v/>
      </c>
      <c r="G1654" s="67" t="str">
        <f aca="false">IF($E1654="","",IFERROR(INDEX(科目表!$E$4:$E$81,MATCH($E1654,科目表!$B$4:$B$81,0)),""))</f>
        <v/>
      </c>
      <c r="H1654" s="70" t="str">
        <f aca="false">IF($E1654="","",N(INDEX(资金日记账!$N$4:$S$603,373,2)))</f>
        <v/>
      </c>
      <c r="I1654" s="70" t="str">
        <f aca="false">IF($E1654="","",N(INDEX(资金日记账!$N$4:$S$603,373,3)))</f>
        <v/>
      </c>
      <c r="J1654" s="67" t="str">
        <f aca="false">IF($E1654="","",INDEX(资金日记账!$E$4:$E$603,373))</f>
        <v/>
      </c>
      <c r="K1654" s="67" t="str">
        <f aca="false">IF($E1654="","",INDEX(资金日记账!$F$4:$F$603,373))</f>
        <v/>
      </c>
      <c r="L1654" s="107" t="str">
        <f aca="false">IF($E1654="","",INDEX(资金日记账!$X$4:$X$603,373))</f>
        <v/>
      </c>
      <c r="M1654" s="107"/>
      <c r="N1654" s="67" t="str">
        <f aca="false">IF($E1654="","",INDEX(资金日记账!$Y$4:$Y$603,373))</f>
        <v/>
      </c>
      <c r="O1654" s="67" t="str">
        <f aca="false">IF($E1654="","","自动B")</f>
        <v/>
      </c>
      <c r="P1654" s="18"/>
    </row>
    <row r="1655" customFormat="false" ht="18" hidden="false" customHeight="true" outlineLevel="0" collapsed="false">
      <c r="A1655" s="107" t="str">
        <f aca="false">IF($E1655="","",ROW()-3)</f>
        <v/>
      </c>
      <c r="B1655" s="110" t="str">
        <f aca="false">IF($E1655="","",INDEX(资金日记账!$B$4:$B$603,373))</f>
        <v/>
      </c>
      <c r="C1655" s="67" t="str">
        <f aca="false">IF($E1655="","",IF(INDEX(资金日记账!$W$4:$W$603,373)="","记-"&amp;TEXT($B1655,"YYYYMM")&amp;"-资金",INDEX(资金日记账!$W$4:$W$603,373)))</f>
        <v/>
      </c>
      <c r="D1655" s="107" t="str">
        <f aca="false">IF($E1655="","",INDEX(资金日记账!$D$4:$D$603,373))</f>
        <v/>
      </c>
      <c r="E1655" s="67" t="str">
        <f aca="false">IF(INDEX(资金日记账!$N$4:$S$603,373,4)=0,"",INDEX(资金日记账!$N$4:$S$603,373,4))</f>
        <v/>
      </c>
      <c r="F1655" s="99" t="str">
        <f aca="false">IF($E1655="","",IFERROR(INDEX(科目表!$A$4:$A$81,MATCH($E1655,科目表!$B$4:$B$81,0)),""))</f>
        <v/>
      </c>
      <c r="G1655" s="67" t="str">
        <f aca="false">IF($E1655="","",IFERROR(INDEX(科目表!$E$4:$E$81,MATCH($E1655,科目表!$B$4:$B$81,0)),""))</f>
        <v/>
      </c>
      <c r="H1655" s="70" t="str">
        <f aca="false">IF($E1655="","",N(INDEX(资金日记账!$N$4:$S$603,373,5)))</f>
        <v/>
      </c>
      <c r="I1655" s="70" t="str">
        <f aca="false">IF($E1655="","",N(INDEX(资金日记账!$N$4:$S$603,373,6)))</f>
        <v/>
      </c>
      <c r="J1655" s="67" t="str">
        <f aca="false">IF($E1655="","",INDEX(资金日记账!$E$4:$E$603,373))</f>
        <v/>
      </c>
      <c r="K1655" s="67" t="str">
        <f aca="false">IF($E1655="","",INDEX(资金日记账!$F$4:$F$603,373))</f>
        <v/>
      </c>
      <c r="L1655" s="107" t="str">
        <f aca="false">IF($E1655="","",INDEX(资金日记账!$X$4:$X$603,373))</f>
        <v/>
      </c>
      <c r="M1655" s="107"/>
      <c r="N1655" s="67" t="str">
        <f aca="false">IF($E1655="","",INDEX(资金日记账!$Y$4:$Y$603,373))</f>
        <v/>
      </c>
      <c r="O1655" s="67" t="str">
        <f aca="false">IF($E1655="","","自动B")</f>
        <v/>
      </c>
      <c r="P1655" s="18"/>
    </row>
    <row r="1656" customFormat="false" ht="18" hidden="false" customHeight="true" outlineLevel="0" collapsed="false">
      <c r="A1656" s="107" t="str">
        <f aca="false">IF($E1656="","",ROW()-3)</f>
        <v/>
      </c>
      <c r="B1656" s="110" t="str">
        <f aca="false">IF($E1656="","",INDEX(资金日记账!$B$4:$B$603,374))</f>
        <v/>
      </c>
      <c r="C1656" s="67" t="str">
        <f aca="false">IF($E1656="","",IF(INDEX(资金日记账!$W$4:$W$603,374)="","记-"&amp;TEXT($B1656,"YYYYMM")&amp;"-资金",INDEX(资金日记账!$W$4:$W$603,374)))</f>
        <v/>
      </c>
      <c r="D1656" s="107" t="str">
        <f aca="false">IF($E1656="","",INDEX(资金日记账!$D$4:$D$603,374))</f>
        <v/>
      </c>
      <c r="E1656" s="67" t="str">
        <f aca="false">IF(INDEX(资金日记账!$N$4:$S$603,374,1)=0,"",INDEX(资金日记账!$N$4:$S$603,374,1))</f>
        <v/>
      </c>
      <c r="F1656" s="99" t="str">
        <f aca="false">IF($E1656="","",IFERROR(INDEX(科目表!$A$4:$A$81,MATCH($E1656,科目表!$B$4:$B$81,0)),""))</f>
        <v/>
      </c>
      <c r="G1656" s="67" t="str">
        <f aca="false">IF($E1656="","",IFERROR(INDEX(科目表!$E$4:$E$81,MATCH($E1656,科目表!$B$4:$B$81,0)),""))</f>
        <v/>
      </c>
      <c r="H1656" s="70" t="str">
        <f aca="false">IF($E1656="","",N(INDEX(资金日记账!$N$4:$S$603,374,2)))</f>
        <v/>
      </c>
      <c r="I1656" s="70" t="str">
        <f aca="false">IF($E1656="","",N(INDEX(资金日记账!$N$4:$S$603,374,3)))</f>
        <v/>
      </c>
      <c r="J1656" s="67" t="str">
        <f aca="false">IF($E1656="","",INDEX(资金日记账!$E$4:$E$603,374))</f>
        <v/>
      </c>
      <c r="K1656" s="67" t="str">
        <f aca="false">IF($E1656="","",INDEX(资金日记账!$F$4:$F$603,374))</f>
        <v/>
      </c>
      <c r="L1656" s="107" t="str">
        <f aca="false">IF($E1656="","",INDEX(资金日记账!$X$4:$X$603,374))</f>
        <v/>
      </c>
      <c r="M1656" s="107"/>
      <c r="N1656" s="67" t="str">
        <f aca="false">IF($E1656="","",INDEX(资金日记账!$Y$4:$Y$603,374))</f>
        <v/>
      </c>
      <c r="O1656" s="67" t="str">
        <f aca="false">IF($E1656="","","自动B")</f>
        <v/>
      </c>
      <c r="P1656" s="18"/>
    </row>
    <row r="1657" customFormat="false" ht="18" hidden="false" customHeight="true" outlineLevel="0" collapsed="false">
      <c r="A1657" s="107" t="str">
        <f aca="false">IF($E1657="","",ROW()-3)</f>
        <v/>
      </c>
      <c r="B1657" s="110" t="str">
        <f aca="false">IF($E1657="","",INDEX(资金日记账!$B$4:$B$603,374))</f>
        <v/>
      </c>
      <c r="C1657" s="67" t="str">
        <f aca="false">IF($E1657="","",IF(INDEX(资金日记账!$W$4:$W$603,374)="","记-"&amp;TEXT($B1657,"YYYYMM")&amp;"-资金",INDEX(资金日记账!$W$4:$W$603,374)))</f>
        <v/>
      </c>
      <c r="D1657" s="107" t="str">
        <f aca="false">IF($E1657="","",INDEX(资金日记账!$D$4:$D$603,374))</f>
        <v/>
      </c>
      <c r="E1657" s="67" t="str">
        <f aca="false">IF(INDEX(资金日记账!$N$4:$S$603,374,4)=0,"",INDEX(资金日记账!$N$4:$S$603,374,4))</f>
        <v/>
      </c>
      <c r="F1657" s="99" t="str">
        <f aca="false">IF($E1657="","",IFERROR(INDEX(科目表!$A$4:$A$81,MATCH($E1657,科目表!$B$4:$B$81,0)),""))</f>
        <v/>
      </c>
      <c r="G1657" s="67" t="str">
        <f aca="false">IF($E1657="","",IFERROR(INDEX(科目表!$E$4:$E$81,MATCH($E1657,科目表!$B$4:$B$81,0)),""))</f>
        <v/>
      </c>
      <c r="H1657" s="70" t="str">
        <f aca="false">IF($E1657="","",N(INDEX(资金日记账!$N$4:$S$603,374,5)))</f>
        <v/>
      </c>
      <c r="I1657" s="70" t="str">
        <f aca="false">IF($E1657="","",N(INDEX(资金日记账!$N$4:$S$603,374,6)))</f>
        <v/>
      </c>
      <c r="J1657" s="67" t="str">
        <f aca="false">IF($E1657="","",INDEX(资金日记账!$E$4:$E$603,374))</f>
        <v/>
      </c>
      <c r="K1657" s="67" t="str">
        <f aca="false">IF($E1657="","",INDEX(资金日记账!$F$4:$F$603,374))</f>
        <v/>
      </c>
      <c r="L1657" s="107" t="str">
        <f aca="false">IF($E1657="","",INDEX(资金日记账!$X$4:$X$603,374))</f>
        <v/>
      </c>
      <c r="M1657" s="107"/>
      <c r="N1657" s="67" t="str">
        <f aca="false">IF($E1657="","",INDEX(资金日记账!$Y$4:$Y$603,374))</f>
        <v/>
      </c>
      <c r="O1657" s="67" t="str">
        <f aca="false">IF($E1657="","","自动B")</f>
        <v/>
      </c>
      <c r="P1657" s="18"/>
    </row>
    <row r="1658" customFormat="false" ht="18" hidden="false" customHeight="true" outlineLevel="0" collapsed="false">
      <c r="A1658" s="107" t="str">
        <f aca="false">IF($E1658="","",ROW()-3)</f>
        <v/>
      </c>
      <c r="B1658" s="110" t="str">
        <f aca="false">IF($E1658="","",INDEX(资金日记账!$B$4:$B$603,375))</f>
        <v/>
      </c>
      <c r="C1658" s="67" t="str">
        <f aca="false">IF($E1658="","",IF(INDEX(资金日记账!$W$4:$W$603,375)="","记-"&amp;TEXT($B1658,"YYYYMM")&amp;"-资金",INDEX(资金日记账!$W$4:$W$603,375)))</f>
        <v/>
      </c>
      <c r="D1658" s="107" t="str">
        <f aca="false">IF($E1658="","",INDEX(资金日记账!$D$4:$D$603,375))</f>
        <v/>
      </c>
      <c r="E1658" s="67" t="str">
        <f aca="false">IF(INDEX(资金日记账!$N$4:$S$603,375,1)=0,"",INDEX(资金日记账!$N$4:$S$603,375,1))</f>
        <v/>
      </c>
      <c r="F1658" s="99" t="str">
        <f aca="false">IF($E1658="","",IFERROR(INDEX(科目表!$A$4:$A$81,MATCH($E1658,科目表!$B$4:$B$81,0)),""))</f>
        <v/>
      </c>
      <c r="G1658" s="67" t="str">
        <f aca="false">IF($E1658="","",IFERROR(INDEX(科目表!$E$4:$E$81,MATCH($E1658,科目表!$B$4:$B$81,0)),""))</f>
        <v/>
      </c>
      <c r="H1658" s="70" t="str">
        <f aca="false">IF($E1658="","",N(INDEX(资金日记账!$N$4:$S$603,375,2)))</f>
        <v/>
      </c>
      <c r="I1658" s="70" t="str">
        <f aca="false">IF($E1658="","",N(INDEX(资金日记账!$N$4:$S$603,375,3)))</f>
        <v/>
      </c>
      <c r="J1658" s="67" t="str">
        <f aca="false">IF($E1658="","",INDEX(资金日记账!$E$4:$E$603,375))</f>
        <v/>
      </c>
      <c r="K1658" s="67" t="str">
        <f aca="false">IF($E1658="","",INDEX(资金日记账!$F$4:$F$603,375))</f>
        <v/>
      </c>
      <c r="L1658" s="107" t="str">
        <f aca="false">IF($E1658="","",INDEX(资金日记账!$X$4:$X$603,375))</f>
        <v/>
      </c>
      <c r="M1658" s="107"/>
      <c r="N1658" s="67" t="str">
        <f aca="false">IF($E1658="","",INDEX(资金日记账!$Y$4:$Y$603,375))</f>
        <v/>
      </c>
      <c r="O1658" s="67" t="str">
        <f aca="false">IF($E1658="","","自动B")</f>
        <v/>
      </c>
      <c r="P1658" s="18"/>
    </row>
    <row r="1659" customFormat="false" ht="18" hidden="false" customHeight="true" outlineLevel="0" collapsed="false">
      <c r="A1659" s="107" t="str">
        <f aca="false">IF($E1659="","",ROW()-3)</f>
        <v/>
      </c>
      <c r="B1659" s="110" t="str">
        <f aca="false">IF($E1659="","",INDEX(资金日记账!$B$4:$B$603,375))</f>
        <v/>
      </c>
      <c r="C1659" s="67" t="str">
        <f aca="false">IF($E1659="","",IF(INDEX(资金日记账!$W$4:$W$603,375)="","记-"&amp;TEXT($B1659,"YYYYMM")&amp;"-资金",INDEX(资金日记账!$W$4:$W$603,375)))</f>
        <v/>
      </c>
      <c r="D1659" s="107" t="str">
        <f aca="false">IF($E1659="","",INDEX(资金日记账!$D$4:$D$603,375))</f>
        <v/>
      </c>
      <c r="E1659" s="67" t="str">
        <f aca="false">IF(INDEX(资金日记账!$N$4:$S$603,375,4)=0,"",INDEX(资金日记账!$N$4:$S$603,375,4))</f>
        <v/>
      </c>
      <c r="F1659" s="99" t="str">
        <f aca="false">IF($E1659="","",IFERROR(INDEX(科目表!$A$4:$A$81,MATCH($E1659,科目表!$B$4:$B$81,0)),""))</f>
        <v/>
      </c>
      <c r="G1659" s="67" t="str">
        <f aca="false">IF($E1659="","",IFERROR(INDEX(科目表!$E$4:$E$81,MATCH($E1659,科目表!$B$4:$B$81,0)),""))</f>
        <v/>
      </c>
      <c r="H1659" s="70" t="str">
        <f aca="false">IF($E1659="","",N(INDEX(资金日记账!$N$4:$S$603,375,5)))</f>
        <v/>
      </c>
      <c r="I1659" s="70" t="str">
        <f aca="false">IF($E1659="","",N(INDEX(资金日记账!$N$4:$S$603,375,6)))</f>
        <v/>
      </c>
      <c r="J1659" s="67" t="str">
        <f aca="false">IF($E1659="","",INDEX(资金日记账!$E$4:$E$603,375))</f>
        <v/>
      </c>
      <c r="K1659" s="67" t="str">
        <f aca="false">IF($E1659="","",INDEX(资金日记账!$F$4:$F$603,375))</f>
        <v/>
      </c>
      <c r="L1659" s="107" t="str">
        <f aca="false">IF($E1659="","",INDEX(资金日记账!$X$4:$X$603,375))</f>
        <v/>
      </c>
      <c r="M1659" s="107"/>
      <c r="N1659" s="67" t="str">
        <f aca="false">IF($E1659="","",INDEX(资金日记账!$Y$4:$Y$603,375))</f>
        <v/>
      </c>
      <c r="O1659" s="67" t="str">
        <f aca="false">IF($E1659="","","自动B")</f>
        <v/>
      </c>
      <c r="P1659" s="18"/>
    </row>
    <row r="1660" customFormat="false" ht="18" hidden="false" customHeight="true" outlineLevel="0" collapsed="false">
      <c r="A1660" s="107" t="str">
        <f aca="false">IF($E1660="","",ROW()-3)</f>
        <v/>
      </c>
      <c r="B1660" s="110" t="str">
        <f aca="false">IF($E1660="","",INDEX(资金日记账!$B$4:$B$603,376))</f>
        <v/>
      </c>
      <c r="C1660" s="67" t="str">
        <f aca="false">IF($E1660="","",IF(INDEX(资金日记账!$W$4:$W$603,376)="","记-"&amp;TEXT($B1660,"YYYYMM")&amp;"-资金",INDEX(资金日记账!$W$4:$W$603,376)))</f>
        <v/>
      </c>
      <c r="D1660" s="107" t="str">
        <f aca="false">IF($E1660="","",INDEX(资金日记账!$D$4:$D$603,376))</f>
        <v/>
      </c>
      <c r="E1660" s="67" t="str">
        <f aca="false">IF(INDEX(资金日记账!$N$4:$S$603,376,1)=0,"",INDEX(资金日记账!$N$4:$S$603,376,1))</f>
        <v/>
      </c>
      <c r="F1660" s="99" t="str">
        <f aca="false">IF($E1660="","",IFERROR(INDEX(科目表!$A$4:$A$81,MATCH($E1660,科目表!$B$4:$B$81,0)),""))</f>
        <v/>
      </c>
      <c r="G1660" s="67" t="str">
        <f aca="false">IF($E1660="","",IFERROR(INDEX(科目表!$E$4:$E$81,MATCH($E1660,科目表!$B$4:$B$81,0)),""))</f>
        <v/>
      </c>
      <c r="H1660" s="70" t="str">
        <f aca="false">IF($E1660="","",N(INDEX(资金日记账!$N$4:$S$603,376,2)))</f>
        <v/>
      </c>
      <c r="I1660" s="70" t="str">
        <f aca="false">IF($E1660="","",N(INDEX(资金日记账!$N$4:$S$603,376,3)))</f>
        <v/>
      </c>
      <c r="J1660" s="67" t="str">
        <f aca="false">IF($E1660="","",INDEX(资金日记账!$E$4:$E$603,376))</f>
        <v/>
      </c>
      <c r="K1660" s="67" t="str">
        <f aca="false">IF($E1660="","",INDEX(资金日记账!$F$4:$F$603,376))</f>
        <v/>
      </c>
      <c r="L1660" s="107" t="str">
        <f aca="false">IF($E1660="","",INDEX(资金日记账!$X$4:$X$603,376))</f>
        <v/>
      </c>
      <c r="M1660" s="107"/>
      <c r="N1660" s="67" t="str">
        <f aca="false">IF($E1660="","",INDEX(资金日记账!$Y$4:$Y$603,376))</f>
        <v/>
      </c>
      <c r="O1660" s="67" t="str">
        <f aca="false">IF($E1660="","","自动B")</f>
        <v/>
      </c>
      <c r="P1660" s="18"/>
    </row>
    <row r="1661" customFormat="false" ht="18" hidden="false" customHeight="true" outlineLevel="0" collapsed="false">
      <c r="A1661" s="107" t="str">
        <f aca="false">IF($E1661="","",ROW()-3)</f>
        <v/>
      </c>
      <c r="B1661" s="110" t="str">
        <f aca="false">IF($E1661="","",INDEX(资金日记账!$B$4:$B$603,376))</f>
        <v/>
      </c>
      <c r="C1661" s="67" t="str">
        <f aca="false">IF($E1661="","",IF(INDEX(资金日记账!$W$4:$W$603,376)="","记-"&amp;TEXT($B1661,"YYYYMM")&amp;"-资金",INDEX(资金日记账!$W$4:$W$603,376)))</f>
        <v/>
      </c>
      <c r="D1661" s="107" t="str">
        <f aca="false">IF($E1661="","",INDEX(资金日记账!$D$4:$D$603,376))</f>
        <v/>
      </c>
      <c r="E1661" s="67" t="str">
        <f aca="false">IF(INDEX(资金日记账!$N$4:$S$603,376,4)=0,"",INDEX(资金日记账!$N$4:$S$603,376,4))</f>
        <v/>
      </c>
      <c r="F1661" s="99" t="str">
        <f aca="false">IF($E1661="","",IFERROR(INDEX(科目表!$A$4:$A$81,MATCH($E1661,科目表!$B$4:$B$81,0)),""))</f>
        <v/>
      </c>
      <c r="G1661" s="67" t="str">
        <f aca="false">IF($E1661="","",IFERROR(INDEX(科目表!$E$4:$E$81,MATCH($E1661,科目表!$B$4:$B$81,0)),""))</f>
        <v/>
      </c>
      <c r="H1661" s="70" t="str">
        <f aca="false">IF($E1661="","",N(INDEX(资金日记账!$N$4:$S$603,376,5)))</f>
        <v/>
      </c>
      <c r="I1661" s="70" t="str">
        <f aca="false">IF($E1661="","",N(INDEX(资金日记账!$N$4:$S$603,376,6)))</f>
        <v/>
      </c>
      <c r="J1661" s="67" t="str">
        <f aca="false">IF($E1661="","",INDEX(资金日记账!$E$4:$E$603,376))</f>
        <v/>
      </c>
      <c r="K1661" s="67" t="str">
        <f aca="false">IF($E1661="","",INDEX(资金日记账!$F$4:$F$603,376))</f>
        <v/>
      </c>
      <c r="L1661" s="107" t="str">
        <f aca="false">IF($E1661="","",INDEX(资金日记账!$X$4:$X$603,376))</f>
        <v/>
      </c>
      <c r="M1661" s="107"/>
      <c r="N1661" s="67" t="str">
        <f aca="false">IF($E1661="","",INDEX(资金日记账!$Y$4:$Y$603,376))</f>
        <v/>
      </c>
      <c r="O1661" s="67" t="str">
        <f aca="false">IF($E1661="","","自动B")</f>
        <v/>
      </c>
      <c r="P1661" s="18"/>
    </row>
    <row r="1662" customFormat="false" ht="18" hidden="false" customHeight="true" outlineLevel="0" collapsed="false">
      <c r="A1662" s="107" t="str">
        <f aca="false">IF($E1662="","",ROW()-3)</f>
        <v/>
      </c>
      <c r="B1662" s="110" t="str">
        <f aca="false">IF($E1662="","",INDEX(资金日记账!$B$4:$B$603,377))</f>
        <v/>
      </c>
      <c r="C1662" s="67" t="str">
        <f aca="false">IF($E1662="","",IF(INDEX(资金日记账!$W$4:$W$603,377)="","记-"&amp;TEXT($B1662,"YYYYMM")&amp;"-资金",INDEX(资金日记账!$W$4:$W$603,377)))</f>
        <v/>
      </c>
      <c r="D1662" s="107" t="str">
        <f aca="false">IF($E1662="","",INDEX(资金日记账!$D$4:$D$603,377))</f>
        <v/>
      </c>
      <c r="E1662" s="67" t="str">
        <f aca="false">IF(INDEX(资金日记账!$N$4:$S$603,377,1)=0,"",INDEX(资金日记账!$N$4:$S$603,377,1))</f>
        <v/>
      </c>
      <c r="F1662" s="99" t="str">
        <f aca="false">IF($E1662="","",IFERROR(INDEX(科目表!$A$4:$A$81,MATCH($E1662,科目表!$B$4:$B$81,0)),""))</f>
        <v/>
      </c>
      <c r="G1662" s="67" t="str">
        <f aca="false">IF($E1662="","",IFERROR(INDEX(科目表!$E$4:$E$81,MATCH($E1662,科目表!$B$4:$B$81,0)),""))</f>
        <v/>
      </c>
      <c r="H1662" s="70" t="str">
        <f aca="false">IF($E1662="","",N(INDEX(资金日记账!$N$4:$S$603,377,2)))</f>
        <v/>
      </c>
      <c r="I1662" s="70" t="str">
        <f aca="false">IF($E1662="","",N(INDEX(资金日记账!$N$4:$S$603,377,3)))</f>
        <v/>
      </c>
      <c r="J1662" s="67" t="str">
        <f aca="false">IF($E1662="","",INDEX(资金日记账!$E$4:$E$603,377))</f>
        <v/>
      </c>
      <c r="K1662" s="67" t="str">
        <f aca="false">IF($E1662="","",INDEX(资金日记账!$F$4:$F$603,377))</f>
        <v/>
      </c>
      <c r="L1662" s="107" t="str">
        <f aca="false">IF($E1662="","",INDEX(资金日记账!$X$4:$X$603,377))</f>
        <v/>
      </c>
      <c r="M1662" s="107"/>
      <c r="N1662" s="67" t="str">
        <f aca="false">IF($E1662="","",INDEX(资金日记账!$Y$4:$Y$603,377))</f>
        <v/>
      </c>
      <c r="O1662" s="67" t="str">
        <f aca="false">IF($E1662="","","自动B")</f>
        <v/>
      </c>
      <c r="P1662" s="18"/>
    </row>
    <row r="1663" customFormat="false" ht="18" hidden="false" customHeight="true" outlineLevel="0" collapsed="false">
      <c r="A1663" s="107" t="str">
        <f aca="false">IF($E1663="","",ROW()-3)</f>
        <v/>
      </c>
      <c r="B1663" s="110" t="str">
        <f aca="false">IF($E1663="","",INDEX(资金日记账!$B$4:$B$603,377))</f>
        <v/>
      </c>
      <c r="C1663" s="67" t="str">
        <f aca="false">IF($E1663="","",IF(INDEX(资金日记账!$W$4:$W$603,377)="","记-"&amp;TEXT($B1663,"YYYYMM")&amp;"-资金",INDEX(资金日记账!$W$4:$W$603,377)))</f>
        <v/>
      </c>
      <c r="D1663" s="107" t="str">
        <f aca="false">IF($E1663="","",INDEX(资金日记账!$D$4:$D$603,377))</f>
        <v/>
      </c>
      <c r="E1663" s="67" t="str">
        <f aca="false">IF(INDEX(资金日记账!$N$4:$S$603,377,4)=0,"",INDEX(资金日记账!$N$4:$S$603,377,4))</f>
        <v/>
      </c>
      <c r="F1663" s="99" t="str">
        <f aca="false">IF($E1663="","",IFERROR(INDEX(科目表!$A$4:$A$81,MATCH($E1663,科目表!$B$4:$B$81,0)),""))</f>
        <v/>
      </c>
      <c r="G1663" s="67" t="str">
        <f aca="false">IF($E1663="","",IFERROR(INDEX(科目表!$E$4:$E$81,MATCH($E1663,科目表!$B$4:$B$81,0)),""))</f>
        <v/>
      </c>
      <c r="H1663" s="70" t="str">
        <f aca="false">IF($E1663="","",N(INDEX(资金日记账!$N$4:$S$603,377,5)))</f>
        <v/>
      </c>
      <c r="I1663" s="70" t="str">
        <f aca="false">IF($E1663="","",N(INDEX(资金日记账!$N$4:$S$603,377,6)))</f>
        <v/>
      </c>
      <c r="J1663" s="67" t="str">
        <f aca="false">IF($E1663="","",INDEX(资金日记账!$E$4:$E$603,377))</f>
        <v/>
      </c>
      <c r="K1663" s="67" t="str">
        <f aca="false">IF($E1663="","",INDEX(资金日记账!$F$4:$F$603,377))</f>
        <v/>
      </c>
      <c r="L1663" s="107" t="str">
        <f aca="false">IF($E1663="","",INDEX(资金日记账!$X$4:$X$603,377))</f>
        <v/>
      </c>
      <c r="M1663" s="107"/>
      <c r="N1663" s="67" t="str">
        <f aca="false">IF($E1663="","",INDEX(资金日记账!$Y$4:$Y$603,377))</f>
        <v/>
      </c>
      <c r="O1663" s="67" t="str">
        <f aca="false">IF($E1663="","","自动B")</f>
        <v/>
      </c>
      <c r="P1663" s="18"/>
    </row>
    <row r="1664" customFormat="false" ht="18" hidden="false" customHeight="true" outlineLevel="0" collapsed="false">
      <c r="A1664" s="107" t="str">
        <f aca="false">IF($E1664="","",ROW()-3)</f>
        <v/>
      </c>
      <c r="B1664" s="110" t="str">
        <f aca="false">IF($E1664="","",INDEX(资金日记账!$B$4:$B$603,378))</f>
        <v/>
      </c>
      <c r="C1664" s="67" t="str">
        <f aca="false">IF($E1664="","",IF(INDEX(资金日记账!$W$4:$W$603,378)="","记-"&amp;TEXT($B1664,"YYYYMM")&amp;"-资金",INDEX(资金日记账!$W$4:$W$603,378)))</f>
        <v/>
      </c>
      <c r="D1664" s="107" t="str">
        <f aca="false">IF($E1664="","",INDEX(资金日记账!$D$4:$D$603,378))</f>
        <v/>
      </c>
      <c r="E1664" s="67" t="str">
        <f aca="false">IF(INDEX(资金日记账!$N$4:$S$603,378,1)=0,"",INDEX(资金日记账!$N$4:$S$603,378,1))</f>
        <v/>
      </c>
      <c r="F1664" s="99" t="str">
        <f aca="false">IF($E1664="","",IFERROR(INDEX(科目表!$A$4:$A$81,MATCH($E1664,科目表!$B$4:$B$81,0)),""))</f>
        <v/>
      </c>
      <c r="G1664" s="67" t="str">
        <f aca="false">IF($E1664="","",IFERROR(INDEX(科目表!$E$4:$E$81,MATCH($E1664,科目表!$B$4:$B$81,0)),""))</f>
        <v/>
      </c>
      <c r="H1664" s="70" t="str">
        <f aca="false">IF($E1664="","",N(INDEX(资金日记账!$N$4:$S$603,378,2)))</f>
        <v/>
      </c>
      <c r="I1664" s="70" t="str">
        <f aca="false">IF($E1664="","",N(INDEX(资金日记账!$N$4:$S$603,378,3)))</f>
        <v/>
      </c>
      <c r="J1664" s="67" t="str">
        <f aca="false">IF($E1664="","",INDEX(资金日记账!$E$4:$E$603,378))</f>
        <v/>
      </c>
      <c r="K1664" s="67" t="str">
        <f aca="false">IF($E1664="","",INDEX(资金日记账!$F$4:$F$603,378))</f>
        <v/>
      </c>
      <c r="L1664" s="107" t="str">
        <f aca="false">IF($E1664="","",INDEX(资金日记账!$X$4:$X$603,378))</f>
        <v/>
      </c>
      <c r="M1664" s="107"/>
      <c r="N1664" s="67" t="str">
        <f aca="false">IF($E1664="","",INDEX(资金日记账!$Y$4:$Y$603,378))</f>
        <v/>
      </c>
      <c r="O1664" s="67" t="str">
        <f aca="false">IF($E1664="","","自动B")</f>
        <v/>
      </c>
      <c r="P1664" s="18"/>
    </row>
    <row r="1665" customFormat="false" ht="18" hidden="false" customHeight="true" outlineLevel="0" collapsed="false">
      <c r="A1665" s="107" t="str">
        <f aca="false">IF($E1665="","",ROW()-3)</f>
        <v/>
      </c>
      <c r="B1665" s="110" t="str">
        <f aca="false">IF($E1665="","",INDEX(资金日记账!$B$4:$B$603,378))</f>
        <v/>
      </c>
      <c r="C1665" s="67" t="str">
        <f aca="false">IF($E1665="","",IF(INDEX(资金日记账!$W$4:$W$603,378)="","记-"&amp;TEXT($B1665,"YYYYMM")&amp;"-资金",INDEX(资金日记账!$W$4:$W$603,378)))</f>
        <v/>
      </c>
      <c r="D1665" s="107" t="str">
        <f aca="false">IF($E1665="","",INDEX(资金日记账!$D$4:$D$603,378))</f>
        <v/>
      </c>
      <c r="E1665" s="67" t="str">
        <f aca="false">IF(INDEX(资金日记账!$N$4:$S$603,378,4)=0,"",INDEX(资金日记账!$N$4:$S$603,378,4))</f>
        <v/>
      </c>
      <c r="F1665" s="99" t="str">
        <f aca="false">IF($E1665="","",IFERROR(INDEX(科目表!$A$4:$A$81,MATCH($E1665,科目表!$B$4:$B$81,0)),""))</f>
        <v/>
      </c>
      <c r="G1665" s="67" t="str">
        <f aca="false">IF($E1665="","",IFERROR(INDEX(科目表!$E$4:$E$81,MATCH($E1665,科目表!$B$4:$B$81,0)),""))</f>
        <v/>
      </c>
      <c r="H1665" s="70" t="str">
        <f aca="false">IF($E1665="","",N(INDEX(资金日记账!$N$4:$S$603,378,5)))</f>
        <v/>
      </c>
      <c r="I1665" s="70" t="str">
        <f aca="false">IF($E1665="","",N(INDEX(资金日记账!$N$4:$S$603,378,6)))</f>
        <v/>
      </c>
      <c r="J1665" s="67" t="str">
        <f aca="false">IF($E1665="","",INDEX(资金日记账!$E$4:$E$603,378))</f>
        <v/>
      </c>
      <c r="K1665" s="67" t="str">
        <f aca="false">IF($E1665="","",INDEX(资金日记账!$F$4:$F$603,378))</f>
        <v/>
      </c>
      <c r="L1665" s="107" t="str">
        <f aca="false">IF($E1665="","",INDEX(资金日记账!$X$4:$X$603,378))</f>
        <v/>
      </c>
      <c r="M1665" s="107"/>
      <c r="N1665" s="67" t="str">
        <f aca="false">IF($E1665="","",INDEX(资金日记账!$Y$4:$Y$603,378))</f>
        <v/>
      </c>
      <c r="O1665" s="67" t="str">
        <f aca="false">IF($E1665="","","自动B")</f>
        <v/>
      </c>
      <c r="P1665" s="18"/>
    </row>
    <row r="1666" customFormat="false" ht="18" hidden="false" customHeight="true" outlineLevel="0" collapsed="false">
      <c r="A1666" s="107" t="str">
        <f aca="false">IF($E1666="","",ROW()-3)</f>
        <v/>
      </c>
      <c r="B1666" s="110" t="str">
        <f aca="false">IF($E1666="","",INDEX(资金日记账!$B$4:$B$603,379))</f>
        <v/>
      </c>
      <c r="C1666" s="67" t="str">
        <f aca="false">IF($E1666="","",IF(INDEX(资金日记账!$W$4:$W$603,379)="","记-"&amp;TEXT($B1666,"YYYYMM")&amp;"-资金",INDEX(资金日记账!$W$4:$W$603,379)))</f>
        <v/>
      </c>
      <c r="D1666" s="107" t="str">
        <f aca="false">IF($E1666="","",INDEX(资金日记账!$D$4:$D$603,379))</f>
        <v/>
      </c>
      <c r="E1666" s="67" t="str">
        <f aca="false">IF(INDEX(资金日记账!$N$4:$S$603,379,1)=0,"",INDEX(资金日记账!$N$4:$S$603,379,1))</f>
        <v/>
      </c>
      <c r="F1666" s="99" t="str">
        <f aca="false">IF($E1666="","",IFERROR(INDEX(科目表!$A$4:$A$81,MATCH($E1666,科目表!$B$4:$B$81,0)),""))</f>
        <v/>
      </c>
      <c r="G1666" s="67" t="str">
        <f aca="false">IF($E1666="","",IFERROR(INDEX(科目表!$E$4:$E$81,MATCH($E1666,科目表!$B$4:$B$81,0)),""))</f>
        <v/>
      </c>
      <c r="H1666" s="70" t="str">
        <f aca="false">IF($E1666="","",N(INDEX(资金日记账!$N$4:$S$603,379,2)))</f>
        <v/>
      </c>
      <c r="I1666" s="70" t="str">
        <f aca="false">IF($E1666="","",N(INDEX(资金日记账!$N$4:$S$603,379,3)))</f>
        <v/>
      </c>
      <c r="J1666" s="67" t="str">
        <f aca="false">IF($E1666="","",INDEX(资金日记账!$E$4:$E$603,379))</f>
        <v/>
      </c>
      <c r="K1666" s="67" t="str">
        <f aca="false">IF($E1666="","",INDEX(资金日记账!$F$4:$F$603,379))</f>
        <v/>
      </c>
      <c r="L1666" s="107" t="str">
        <f aca="false">IF($E1666="","",INDEX(资金日记账!$X$4:$X$603,379))</f>
        <v/>
      </c>
      <c r="M1666" s="107"/>
      <c r="N1666" s="67" t="str">
        <f aca="false">IF($E1666="","",INDEX(资金日记账!$Y$4:$Y$603,379))</f>
        <v/>
      </c>
      <c r="O1666" s="67" t="str">
        <f aca="false">IF($E1666="","","自动B")</f>
        <v/>
      </c>
      <c r="P1666" s="18"/>
    </row>
    <row r="1667" customFormat="false" ht="18" hidden="false" customHeight="true" outlineLevel="0" collapsed="false">
      <c r="A1667" s="107" t="str">
        <f aca="false">IF($E1667="","",ROW()-3)</f>
        <v/>
      </c>
      <c r="B1667" s="110" t="str">
        <f aca="false">IF($E1667="","",INDEX(资金日记账!$B$4:$B$603,379))</f>
        <v/>
      </c>
      <c r="C1667" s="67" t="str">
        <f aca="false">IF($E1667="","",IF(INDEX(资金日记账!$W$4:$W$603,379)="","记-"&amp;TEXT($B1667,"YYYYMM")&amp;"-资金",INDEX(资金日记账!$W$4:$W$603,379)))</f>
        <v/>
      </c>
      <c r="D1667" s="107" t="str">
        <f aca="false">IF($E1667="","",INDEX(资金日记账!$D$4:$D$603,379))</f>
        <v/>
      </c>
      <c r="E1667" s="67" t="str">
        <f aca="false">IF(INDEX(资金日记账!$N$4:$S$603,379,4)=0,"",INDEX(资金日记账!$N$4:$S$603,379,4))</f>
        <v/>
      </c>
      <c r="F1667" s="99" t="str">
        <f aca="false">IF($E1667="","",IFERROR(INDEX(科目表!$A$4:$A$81,MATCH($E1667,科目表!$B$4:$B$81,0)),""))</f>
        <v/>
      </c>
      <c r="G1667" s="67" t="str">
        <f aca="false">IF($E1667="","",IFERROR(INDEX(科目表!$E$4:$E$81,MATCH($E1667,科目表!$B$4:$B$81,0)),""))</f>
        <v/>
      </c>
      <c r="H1667" s="70" t="str">
        <f aca="false">IF($E1667="","",N(INDEX(资金日记账!$N$4:$S$603,379,5)))</f>
        <v/>
      </c>
      <c r="I1667" s="70" t="str">
        <f aca="false">IF($E1667="","",N(INDEX(资金日记账!$N$4:$S$603,379,6)))</f>
        <v/>
      </c>
      <c r="J1667" s="67" t="str">
        <f aca="false">IF($E1667="","",INDEX(资金日记账!$E$4:$E$603,379))</f>
        <v/>
      </c>
      <c r="K1667" s="67" t="str">
        <f aca="false">IF($E1667="","",INDEX(资金日记账!$F$4:$F$603,379))</f>
        <v/>
      </c>
      <c r="L1667" s="107" t="str">
        <f aca="false">IF($E1667="","",INDEX(资金日记账!$X$4:$X$603,379))</f>
        <v/>
      </c>
      <c r="M1667" s="107"/>
      <c r="N1667" s="67" t="str">
        <f aca="false">IF($E1667="","",INDEX(资金日记账!$Y$4:$Y$603,379))</f>
        <v/>
      </c>
      <c r="O1667" s="67" t="str">
        <f aca="false">IF($E1667="","","自动B")</f>
        <v/>
      </c>
      <c r="P1667" s="18"/>
    </row>
    <row r="1668" customFormat="false" ht="18" hidden="false" customHeight="true" outlineLevel="0" collapsed="false">
      <c r="A1668" s="107" t="str">
        <f aca="false">IF($E1668="","",ROW()-3)</f>
        <v/>
      </c>
      <c r="B1668" s="110" t="str">
        <f aca="false">IF($E1668="","",INDEX(资金日记账!$B$4:$B$603,380))</f>
        <v/>
      </c>
      <c r="C1668" s="67" t="str">
        <f aca="false">IF($E1668="","",IF(INDEX(资金日记账!$W$4:$W$603,380)="","记-"&amp;TEXT($B1668,"YYYYMM")&amp;"-资金",INDEX(资金日记账!$W$4:$W$603,380)))</f>
        <v/>
      </c>
      <c r="D1668" s="107" t="str">
        <f aca="false">IF($E1668="","",INDEX(资金日记账!$D$4:$D$603,380))</f>
        <v/>
      </c>
      <c r="E1668" s="67" t="str">
        <f aca="false">IF(INDEX(资金日记账!$N$4:$S$603,380,1)=0,"",INDEX(资金日记账!$N$4:$S$603,380,1))</f>
        <v/>
      </c>
      <c r="F1668" s="99" t="str">
        <f aca="false">IF($E1668="","",IFERROR(INDEX(科目表!$A$4:$A$81,MATCH($E1668,科目表!$B$4:$B$81,0)),""))</f>
        <v/>
      </c>
      <c r="G1668" s="67" t="str">
        <f aca="false">IF($E1668="","",IFERROR(INDEX(科目表!$E$4:$E$81,MATCH($E1668,科目表!$B$4:$B$81,0)),""))</f>
        <v/>
      </c>
      <c r="H1668" s="70" t="str">
        <f aca="false">IF($E1668="","",N(INDEX(资金日记账!$N$4:$S$603,380,2)))</f>
        <v/>
      </c>
      <c r="I1668" s="70" t="str">
        <f aca="false">IF($E1668="","",N(INDEX(资金日记账!$N$4:$S$603,380,3)))</f>
        <v/>
      </c>
      <c r="J1668" s="67" t="str">
        <f aca="false">IF($E1668="","",INDEX(资金日记账!$E$4:$E$603,380))</f>
        <v/>
      </c>
      <c r="K1668" s="67" t="str">
        <f aca="false">IF($E1668="","",INDEX(资金日记账!$F$4:$F$603,380))</f>
        <v/>
      </c>
      <c r="L1668" s="107" t="str">
        <f aca="false">IF($E1668="","",INDEX(资金日记账!$X$4:$X$603,380))</f>
        <v/>
      </c>
      <c r="M1668" s="107"/>
      <c r="N1668" s="67" t="str">
        <f aca="false">IF($E1668="","",INDEX(资金日记账!$Y$4:$Y$603,380))</f>
        <v/>
      </c>
      <c r="O1668" s="67" t="str">
        <f aca="false">IF($E1668="","","自动B")</f>
        <v/>
      </c>
      <c r="P1668" s="18"/>
    </row>
    <row r="1669" customFormat="false" ht="18" hidden="false" customHeight="true" outlineLevel="0" collapsed="false">
      <c r="A1669" s="107" t="str">
        <f aca="false">IF($E1669="","",ROW()-3)</f>
        <v/>
      </c>
      <c r="B1669" s="110" t="str">
        <f aca="false">IF($E1669="","",INDEX(资金日记账!$B$4:$B$603,380))</f>
        <v/>
      </c>
      <c r="C1669" s="67" t="str">
        <f aca="false">IF($E1669="","",IF(INDEX(资金日记账!$W$4:$W$603,380)="","记-"&amp;TEXT($B1669,"YYYYMM")&amp;"-资金",INDEX(资金日记账!$W$4:$W$603,380)))</f>
        <v/>
      </c>
      <c r="D1669" s="107" t="str">
        <f aca="false">IF($E1669="","",INDEX(资金日记账!$D$4:$D$603,380))</f>
        <v/>
      </c>
      <c r="E1669" s="67" t="str">
        <f aca="false">IF(INDEX(资金日记账!$N$4:$S$603,380,4)=0,"",INDEX(资金日记账!$N$4:$S$603,380,4))</f>
        <v/>
      </c>
      <c r="F1669" s="99" t="str">
        <f aca="false">IF($E1669="","",IFERROR(INDEX(科目表!$A$4:$A$81,MATCH($E1669,科目表!$B$4:$B$81,0)),""))</f>
        <v/>
      </c>
      <c r="G1669" s="67" t="str">
        <f aca="false">IF($E1669="","",IFERROR(INDEX(科目表!$E$4:$E$81,MATCH($E1669,科目表!$B$4:$B$81,0)),""))</f>
        <v/>
      </c>
      <c r="H1669" s="70" t="str">
        <f aca="false">IF($E1669="","",N(INDEX(资金日记账!$N$4:$S$603,380,5)))</f>
        <v/>
      </c>
      <c r="I1669" s="70" t="str">
        <f aca="false">IF($E1669="","",N(INDEX(资金日记账!$N$4:$S$603,380,6)))</f>
        <v/>
      </c>
      <c r="J1669" s="67" t="str">
        <f aca="false">IF($E1669="","",INDEX(资金日记账!$E$4:$E$603,380))</f>
        <v/>
      </c>
      <c r="K1669" s="67" t="str">
        <f aca="false">IF($E1669="","",INDEX(资金日记账!$F$4:$F$603,380))</f>
        <v/>
      </c>
      <c r="L1669" s="107" t="str">
        <f aca="false">IF($E1669="","",INDEX(资金日记账!$X$4:$X$603,380))</f>
        <v/>
      </c>
      <c r="M1669" s="107"/>
      <c r="N1669" s="67" t="str">
        <f aca="false">IF($E1669="","",INDEX(资金日记账!$Y$4:$Y$603,380))</f>
        <v/>
      </c>
      <c r="O1669" s="67" t="str">
        <f aca="false">IF($E1669="","","自动B")</f>
        <v/>
      </c>
      <c r="P1669" s="18"/>
    </row>
    <row r="1670" customFormat="false" ht="18" hidden="false" customHeight="true" outlineLevel="0" collapsed="false">
      <c r="A1670" s="107" t="str">
        <f aca="false">IF($E1670="","",ROW()-3)</f>
        <v/>
      </c>
      <c r="B1670" s="110" t="str">
        <f aca="false">IF($E1670="","",INDEX(资金日记账!$B$4:$B$603,381))</f>
        <v/>
      </c>
      <c r="C1670" s="67" t="str">
        <f aca="false">IF($E1670="","",IF(INDEX(资金日记账!$W$4:$W$603,381)="","记-"&amp;TEXT($B1670,"YYYYMM")&amp;"-资金",INDEX(资金日记账!$W$4:$W$603,381)))</f>
        <v/>
      </c>
      <c r="D1670" s="107" t="str">
        <f aca="false">IF($E1670="","",INDEX(资金日记账!$D$4:$D$603,381))</f>
        <v/>
      </c>
      <c r="E1670" s="67" t="str">
        <f aca="false">IF(INDEX(资金日记账!$N$4:$S$603,381,1)=0,"",INDEX(资金日记账!$N$4:$S$603,381,1))</f>
        <v/>
      </c>
      <c r="F1670" s="99" t="str">
        <f aca="false">IF($E1670="","",IFERROR(INDEX(科目表!$A$4:$A$81,MATCH($E1670,科目表!$B$4:$B$81,0)),""))</f>
        <v/>
      </c>
      <c r="G1670" s="67" t="str">
        <f aca="false">IF($E1670="","",IFERROR(INDEX(科目表!$E$4:$E$81,MATCH($E1670,科目表!$B$4:$B$81,0)),""))</f>
        <v/>
      </c>
      <c r="H1670" s="70" t="str">
        <f aca="false">IF($E1670="","",N(INDEX(资金日记账!$N$4:$S$603,381,2)))</f>
        <v/>
      </c>
      <c r="I1670" s="70" t="str">
        <f aca="false">IF($E1670="","",N(INDEX(资金日记账!$N$4:$S$603,381,3)))</f>
        <v/>
      </c>
      <c r="J1670" s="67" t="str">
        <f aca="false">IF($E1670="","",INDEX(资金日记账!$E$4:$E$603,381))</f>
        <v/>
      </c>
      <c r="K1670" s="67" t="str">
        <f aca="false">IF($E1670="","",INDEX(资金日记账!$F$4:$F$603,381))</f>
        <v/>
      </c>
      <c r="L1670" s="107" t="str">
        <f aca="false">IF($E1670="","",INDEX(资金日记账!$X$4:$X$603,381))</f>
        <v/>
      </c>
      <c r="M1670" s="107"/>
      <c r="N1670" s="67" t="str">
        <f aca="false">IF($E1670="","",INDEX(资金日记账!$Y$4:$Y$603,381))</f>
        <v/>
      </c>
      <c r="O1670" s="67" t="str">
        <f aca="false">IF($E1670="","","自动B")</f>
        <v/>
      </c>
      <c r="P1670" s="18"/>
    </row>
    <row r="1671" customFormat="false" ht="18" hidden="false" customHeight="true" outlineLevel="0" collapsed="false">
      <c r="A1671" s="107" t="str">
        <f aca="false">IF($E1671="","",ROW()-3)</f>
        <v/>
      </c>
      <c r="B1671" s="110" t="str">
        <f aca="false">IF($E1671="","",INDEX(资金日记账!$B$4:$B$603,381))</f>
        <v/>
      </c>
      <c r="C1671" s="67" t="str">
        <f aca="false">IF($E1671="","",IF(INDEX(资金日记账!$W$4:$W$603,381)="","记-"&amp;TEXT($B1671,"YYYYMM")&amp;"-资金",INDEX(资金日记账!$W$4:$W$603,381)))</f>
        <v/>
      </c>
      <c r="D1671" s="107" t="str">
        <f aca="false">IF($E1671="","",INDEX(资金日记账!$D$4:$D$603,381))</f>
        <v/>
      </c>
      <c r="E1671" s="67" t="str">
        <f aca="false">IF(INDEX(资金日记账!$N$4:$S$603,381,4)=0,"",INDEX(资金日记账!$N$4:$S$603,381,4))</f>
        <v/>
      </c>
      <c r="F1671" s="99" t="str">
        <f aca="false">IF($E1671="","",IFERROR(INDEX(科目表!$A$4:$A$81,MATCH($E1671,科目表!$B$4:$B$81,0)),""))</f>
        <v/>
      </c>
      <c r="G1671" s="67" t="str">
        <f aca="false">IF($E1671="","",IFERROR(INDEX(科目表!$E$4:$E$81,MATCH($E1671,科目表!$B$4:$B$81,0)),""))</f>
        <v/>
      </c>
      <c r="H1671" s="70" t="str">
        <f aca="false">IF($E1671="","",N(INDEX(资金日记账!$N$4:$S$603,381,5)))</f>
        <v/>
      </c>
      <c r="I1671" s="70" t="str">
        <f aca="false">IF($E1671="","",N(INDEX(资金日记账!$N$4:$S$603,381,6)))</f>
        <v/>
      </c>
      <c r="J1671" s="67" t="str">
        <f aca="false">IF($E1671="","",INDEX(资金日记账!$E$4:$E$603,381))</f>
        <v/>
      </c>
      <c r="K1671" s="67" t="str">
        <f aca="false">IF($E1671="","",INDEX(资金日记账!$F$4:$F$603,381))</f>
        <v/>
      </c>
      <c r="L1671" s="107" t="str">
        <f aca="false">IF($E1671="","",INDEX(资金日记账!$X$4:$X$603,381))</f>
        <v/>
      </c>
      <c r="M1671" s="107"/>
      <c r="N1671" s="67" t="str">
        <f aca="false">IF($E1671="","",INDEX(资金日记账!$Y$4:$Y$603,381))</f>
        <v/>
      </c>
      <c r="O1671" s="67" t="str">
        <f aca="false">IF($E1671="","","自动B")</f>
        <v/>
      </c>
      <c r="P1671" s="18"/>
    </row>
    <row r="1672" customFormat="false" ht="18" hidden="false" customHeight="true" outlineLevel="0" collapsed="false">
      <c r="A1672" s="107" t="str">
        <f aca="false">IF($E1672="","",ROW()-3)</f>
        <v/>
      </c>
      <c r="B1672" s="110" t="str">
        <f aca="false">IF($E1672="","",INDEX(资金日记账!$B$4:$B$603,382))</f>
        <v/>
      </c>
      <c r="C1672" s="67" t="str">
        <f aca="false">IF($E1672="","",IF(INDEX(资金日记账!$W$4:$W$603,382)="","记-"&amp;TEXT($B1672,"YYYYMM")&amp;"-资金",INDEX(资金日记账!$W$4:$W$603,382)))</f>
        <v/>
      </c>
      <c r="D1672" s="107" t="str">
        <f aca="false">IF($E1672="","",INDEX(资金日记账!$D$4:$D$603,382))</f>
        <v/>
      </c>
      <c r="E1672" s="67" t="str">
        <f aca="false">IF(INDEX(资金日记账!$N$4:$S$603,382,1)=0,"",INDEX(资金日记账!$N$4:$S$603,382,1))</f>
        <v/>
      </c>
      <c r="F1672" s="99" t="str">
        <f aca="false">IF($E1672="","",IFERROR(INDEX(科目表!$A$4:$A$81,MATCH($E1672,科目表!$B$4:$B$81,0)),""))</f>
        <v/>
      </c>
      <c r="G1672" s="67" t="str">
        <f aca="false">IF($E1672="","",IFERROR(INDEX(科目表!$E$4:$E$81,MATCH($E1672,科目表!$B$4:$B$81,0)),""))</f>
        <v/>
      </c>
      <c r="H1672" s="70" t="str">
        <f aca="false">IF($E1672="","",N(INDEX(资金日记账!$N$4:$S$603,382,2)))</f>
        <v/>
      </c>
      <c r="I1672" s="70" t="str">
        <f aca="false">IF($E1672="","",N(INDEX(资金日记账!$N$4:$S$603,382,3)))</f>
        <v/>
      </c>
      <c r="J1672" s="67" t="str">
        <f aca="false">IF($E1672="","",INDEX(资金日记账!$E$4:$E$603,382))</f>
        <v/>
      </c>
      <c r="K1672" s="67" t="str">
        <f aca="false">IF($E1672="","",INDEX(资金日记账!$F$4:$F$603,382))</f>
        <v/>
      </c>
      <c r="L1672" s="107" t="str">
        <f aca="false">IF($E1672="","",INDEX(资金日记账!$X$4:$X$603,382))</f>
        <v/>
      </c>
      <c r="M1672" s="107"/>
      <c r="N1672" s="67" t="str">
        <f aca="false">IF($E1672="","",INDEX(资金日记账!$Y$4:$Y$603,382))</f>
        <v/>
      </c>
      <c r="O1672" s="67" t="str">
        <f aca="false">IF($E1672="","","自动B")</f>
        <v/>
      </c>
      <c r="P1672" s="18"/>
    </row>
    <row r="1673" customFormat="false" ht="18" hidden="false" customHeight="true" outlineLevel="0" collapsed="false">
      <c r="A1673" s="107" t="str">
        <f aca="false">IF($E1673="","",ROW()-3)</f>
        <v/>
      </c>
      <c r="B1673" s="110" t="str">
        <f aca="false">IF($E1673="","",INDEX(资金日记账!$B$4:$B$603,382))</f>
        <v/>
      </c>
      <c r="C1673" s="67" t="str">
        <f aca="false">IF($E1673="","",IF(INDEX(资金日记账!$W$4:$W$603,382)="","记-"&amp;TEXT($B1673,"YYYYMM")&amp;"-资金",INDEX(资金日记账!$W$4:$W$603,382)))</f>
        <v/>
      </c>
      <c r="D1673" s="107" t="str">
        <f aca="false">IF($E1673="","",INDEX(资金日记账!$D$4:$D$603,382))</f>
        <v/>
      </c>
      <c r="E1673" s="67" t="str">
        <f aca="false">IF(INDEX(资金日记账!$N$4:$S$603,382,4)=0,"",INDEX(资金日记账!$N$4:$S$603,382,4))</f>
        <v/>
      </c>
      <c r="F1673" s="99" t="str">
        <f aca="false">IF($E1673="","",IFERROR(INDEX(科目表!$A$4:$A$81,MATCH($E1673,科目表!$B$4:$B$81,0)),""))</f>
        <v/>
      </c>
      <c r="G1673" s="67" t="str">
        <f aca="false">IF($E1673="","",IFERROR(INDEX(科目表!$E$4:$E$81,MATCH($E1673,科目表!$B$4:$B$81,0)),""))</f>
        <v/>
      </c>
      <c r="H1673" s="70" t="str">
        <f aca="false">IF($E1673="","",N(INDEX(资金日记账!$N$4:$S$603,382,5)))</f>
        <v/>
      </c>
      <c r="I1673" s="70" t="str">
        <f aca="false">IF($E1673="","",N(INDEX(资金日记账!$N$4:$S$603,382,6)))</f>
        <v/>
      </c>
      <c r="J1673" s="67" t="str">
        <f aca="false">IF($E1673="","",INDEX(资金日记账!$E$4:$E$603,382))</f>
        <v/>
      </c>
      <c r="K1673" s="67" t="str">
        <f aca="false">IF($E1673="","",INDEX(资金日记账!$F$4:$F$603,382))</f>
        <v/>
      </c>
      <c r="L1673" s="107" t="str">
        <f aca="false">IF($E1673="","",INDEX(资金日记账!$X$4:$X$603,382))</f>
        <v/>
      </c>
      <c r="M1673" s="107"/>
      <c r="N1673" s="67" t="str">
        <f aca="false">IF($E1673="","",INDEX(资金日记账!$Y$4:$Y$603,382))</f>
        <v/>
      </c>
      <c r="O1673" s="67" t="str">
        <f aca="false">IF($E1673="","","自动B")</f>
        <v/>
      </c>
      <c r="P1673" s="18"/>
    </row>
    <row r="1674" customFormat="false" ht="18" hidden="false" customHeight="true" outlineLevel="0" collapsed="false">
      <c r="A1674" s="107" t="str">
        <f aca="false">IF($E1674="","",ROW()-3)</f>
        <v/>
      </c>
      <c r="B1674" s="110" t="str">
        <f aca="false">IF($E1674="","",INDEX(资金日记账!$B$4:$B$603,383))</f>
        <v/>
      </c>
      <c r="C1674" s="67" t="str">
        <f aca="false">IF($E1674="","",IF(INDEX(资金日记账!$W$4:$W$603,383)="","记-"&amp;TEXT($B1674,"YYYYMM")&amp;"-资金",INDEX(资金日记账!$W$4:$W$603,383)))</f>
        <v/>
      </c>
      <c r="D1674" s="107" t="str">
        <f aca="false">IF($E1674="","",INDEX(资金日记账!$D$4:$D$603,383))</f>
        <v/>
      </c>
      <c r="E1674" s="67" t="str">
        <f aca="false">IF(INDEX(资金日记账!$N$4:$S$603,383,1)=0,"",INDEX(资金日记账!$N$4:$S$603,383,1))</f>
        <v/>
      </c>
      <c r="F1674" s="99" t="str">
        <f aca="false">IF($E1674="","",IFERROR(INDEX(科目表!$A$4:$A$81,MATCH($E1674,科目表!$B$4:$B$81,0)),""))</f>
        <v/>
      </c>
      <c r="G1674" s="67" t="str">
        <f aca="false">IF($E1674="","",IFERROR(INDEX(科目表!$E$4:$E$81,MATCH($E1674,科目表!$B$4:$B$81,0)),""))</f>
        <v/>
      </c>
      <c r="H1674" s="70" t="str">
        <f aca="false">IF($E1674="","",N(INDEX(资金日记账!$N$4:$S$603,383,2)))</f>
        <v/>
      </c>
      <c r="I1674" s="70" t="str">
        <f aca="false">IF($E1674="","",N(INDEX(资金日记账!$N$4:$S$603,383,3)))</f>
        <v/>
      </c>
      <c r="J1674" s="67" t="str">
        <f aca="false">IF($E1674="","",INDEX(资金日记账!$E$4:$E$603,383))</f>
        <v/>
      </c>
      <c r="K1674" s="67" t="str">
        <f aca="false">IF($E1674="","",INDEX(资金日记账!$F$4:$F$603,383))</f>
        <v/>
      </c>
      <c r="L1674" s="107" t="str">
        <f aca="false">IF($E1674="","",INDEX(资金日记账!$X$4:$X$603,383))</f>
        <v/>
      </c>
      <c r="M1674" s="107"/>
      <c r="N1674" s="67" t="str">
        <f aca="false">IF($E1674="","",INDEX(资金日记账!$Y$4:$Y$603,383))</f>
        <v/>
      </c>
      <c r="O1674" s="67" t="str">
        <f aca="false">IF($E1674="","","自动B")</f>
        <v/>
      </c>
      <c r="P1674" s="18"/>
    </row>
    <row r="1675" customFormat="false" ht="18" hidden="false" customHeight="true" outlineLevel="0" collapsed="false">
      <c r="A1675" s="107" t="str">
        <f aca="false">IF($E1675="","",ROW()-3)</f>
        <v/>
      </c>
      <c r="B1675" s="110" t="str">
        <f aca="false">IF($E1675="","",INDEX(资金日记账!$B$4:$B$603,383))</f>
        <v/>
      </c>
      <c r="C1675" s="67" t="str">
        <f aca="false">IF($E1675="","",IF(INDEX(资金日记账!$W$4:$W$603,383)="","记-"&amp;TEXT($B1675,"YYYYMM")&amp;"-资金",INDEX(资金日记账!$W$4:$W$603,383)))</f>
        <v/>
      </c>
      <c r="D1675" s="107" t="str">
        <f aca="false">IF($E1675="","",INDEX(资金日记账!$D$4:$D$603,383))</f>
        <v/>
      </c>
      <c r="E1675" s="67" t="str">
        <f aca="false">IF(INDEX(资金日记账!$N$4:$S$603,383,4)=0,"",INDEX(资金日记账!$N$4:$S$603,383,4))</f>
        <v/>
      </c>
      <c r="F1675" s="99" t="str">
        <f aca="false">IF($E1675="","",IFERROR(INDEX(科目表!$A$4:$A$81,MATCH($E1675,科目表!$B$4:$B$81,0)),""))</f>
        <v/>
      </c>
      <c r="G1675" s="67" t="str">
        <f aca="false">IF($E1675="","",IFERROR(INDEX(科目表!$E$4:$E$81,MATCH($E1675,科目表!$B$4:$B$81,0)),""))</f>
        <v/>
      </c>
      <c r="H1675" s="70" t="str">
        <f aca="false">IF($E1675="","",N(INDEX(资金日记账!$N$4:$S$603,383,5)))</f>
        <v/>
      </c>
      <c r="I1675" s="70" t="str">
        <f aca="false">IF($E1675="","",N(INDEX(资金日记账!$N$4:$S$603,383,6)))</f>
        <v/>
      </c>
      <c r="J1675" s="67" t="str">
        <f aca="false">IF($E1675="","",INDEX(资金日记账!$E$4:$E$603,383))</f>
        <v/>
      </c>
      <c r="K1675" s="67" t="str">
        <f aca="false">IF($E1675="","",INDEX(资金日记账!$F$4:$F$603,383))</f>
        <v/>
      </c>
      <c r="L1675" s="107" t="str">
        <f aca="false">IF($E1675="","",INDEX(资金日记账!$X$4:$X$603,383))</f>
        <v/>
      </c>
      <c r="M1675" s="107"/>
      <c r="N1675" s="67" t="str">
        <f aca="false">IF($E1675="","",INDEX(资金日记账!$Y$4:$Y$603,383))</f>
        <v/>
      </c>
      <c r="O1675" s="67" t="str">
        <f aca="false">IF($E1675="","","自动B")</f>
        <v/>
      </c>
      <c r="P1675" s="18"/>
    </row>
    <row r="1676" customFormat="false" ht="18" hidden="false" customHeight="true" outlineLevel="0" collapsed="false">
      <c r="A1676" s="107" t="str">
        <f aca="false">IF($E1676="","",ROW()-3)</f>
        <v/>
      </c>
      <c r="B1676" s="110" t="str">
        <f aca="false">IF($E1676="","",INDEX(资金日记账!$B$4:$B$603,384))</f>
        <v/>
      </c>
      <c r="C1676" s="67" t="str">
        <f aca="false">IF($E1676="","",IF(INDEX(资金日记账!$W$4:$W$603,384)="","记-"&amp;TEXT($B1676,"YYYYMM")&amp;"-资金",INDEX(资金日记账!$W$4:$W$603,384)))</f>
        <v/>
      </c>
      <c r="D1676" s="107" t="str">
        <f aca="false">IF($E1676="","",INDEX(资金日记账!$D$4:$D$603,384))</f>
        <v/>
      </c>
      <c r="E1676" s="67" t="str">
        <f aca="false">IF(INDEX(资金日记账!$N$4:$S$603,384,1)=0,"",INDEX(资金日记账!$N$4:$S$603,384,1))</f>
        <v/>
      </c>
      <c r="F1676" s="99" t="str">
        <f aca="false">IF($E1676="","",IFERROR(INDEX(科目表!$A$4:$A$81,MATCH($E1676,科目表!$B$4:$B$81,0)),""))</f>
        <v/>
      </c>
      <c r="G1676" s="67" t="str">
        <f aca="false">IF($E1676="","",IFERROR(INDEX(科目表!$E$4:$E$81,MATCH($E1676,科目表!$B$4:$B$81,0)),""))</f>
        <v/>
      </c>
      <c r="H1676" s="70" t="str">
        <f aca="false">IF($E1676="","",N(INDEX(资金日记账!$N$4:$S$603,384,2)))</f>
        <v/>
      </c>
      <c r="I1676" s="70" t="str">
        <f aca="false">IF($E1676="","",N(INDEX(资金日记账!$N$4:$S$603,384,3)))</f>
        <v/>
      </c>
      <c r="J1676" s="67" t="str">
        <f aca="false">IF($E1676="","",INDEX(资金日记账!$E$4:$E$603,384))</f>
        <v/>
      </c>
      <c r="K1676" s="67" t="str">
        <f aca="false">IF($E1676="","",INDEX(资金日记账!$F$4:$F$603,384))</f>
        <v/>
      </c>
      <c r="L1676" s="107" t="str">
        <f aca="false">IF($E1676="","",INDEX(资金日记账!$X$4:$X$603,384))</f>
        <v/>
      </c>
      <c r="M1676" s="107"/>
      <c r="N1676" s="67" t="str">
        <f aca="false">IF($E1676="","",INDEX(资金日记账!$Y$4:$Y$603,384))</f>
        <v/>
      </c>
      <c r="O1676" s="67" t="str">
        <f aca="false">IF($E1676="","","自动B")</f>
        <v/>
      </c>
      <c r="P1676" s="18"/>
    </row>
    <row r="1677" customFormat="false" ht="18" hidden="false" customHeight="true" outlineLevel="0" collapsed="false">
      <c r="A1677" s="107" t="str">
        <f aca="false">IF($E1677="","",ROW()-3)</f>
        <v/>
      </c>
      <c r="B1677" s="110" t="str">
        <f aca="false">IF($E1677="","",INDEX(资金日记账!$B$4:$B$603,384))</f>
        <v/>
      </c>
      <c r="C1677" s="67" t="str">
        <f aca="false">IF($E1677="","",IF(INDEX(资金日记账!$W$4:$W$603,384)="","记-"&amp;TEXT($B1677,"YYYYMM")&amp;"-资金",INDEX(资金日记账!$W$4:$W$603,384)))</f>
        <v/>
      </c>
      <c r="D1677" s="107" t="str">
        <f aca="false">IF($E1677="","",INDEX(资金日记账!$D$4:$D$603,384))</f>
        <v/>
      </c>
      <c r="E1677" s="67" t="str">
        <f aca="false">IF(INDEX(资金日记账!$N$4:$S$603,384,4)=0,"",INDEX(资金日记账!$N$4:$S$603,384,4))</f>
        <v/>
      </c>
      <c r="F1677" s="99" t="str">
        <f aca="false">IF($E1677="","",IFERROR(INDEX(科目表!$A$4:$A$81,MATCH($E1677,科目表!$B$4:$B$81,0)),""))</f>
        <v/>
      </c>
      <c r="G1677" s="67" t="str">
        <f aca="false">IF($E1677="","",IFERROR(INDEX(科目表!$E$4:$E$81,MATCH($E1677,科目表!$B$4:$B$81,0)),""))</f>
        <v/>
      </c>
      <c r="H1677" s="70" t="str">
        <f aca="false">IF($E1677="","",N(INDEX(资金日记账!$N$4:$S$603,384,5)))</f>
        <v/>
      </c>
      <c r="I1677" s="70" t="str">
        <f aca="false">IF($E1677="","",N(INDEX(资金日记账!$N$4:$S$603,384,6)))</f>
        <v/>
      </c>
      <c r="J1677" s="67" t="str">
        <f aca="false">IF($E1677="","",INDEX(资金日记账!$E$4:$E$603,384))</f>
        <v/>
      </c>
      <c r="K1677" s="67" t="str">
        <f aca="false">IF($E1677="","",INDEX(资金日记账!$F$4:$F$603,384))</f>
        <v/>
      </c>
      <c r="L1677" s="107" t="str">
        <f aca="false">IF($E1677="","",INDEX(资金日记账!$X$4:$X$603,384))</f>
        <v/>
      </c>
      <c r="M1677" s="107"/>
      <c r="N1677" s="67" t="str">
        <f aca="false">IF($E1677="","",INDEX(资金日记账!$Y$4:$Y$603,384))</f>
        <v/>
      </c>
      <c r="O1677" s="67" t="str">
        <f aca="false">IF($E1677="","","自动B")</f>
        <v/>
      </c>
      <c r="P1677" s="18"/>
    </row>
    <row r="1678" customFormat="false" ht="18" hidden="false" customHeight="true" outlineLevel="0" collapsed="false">
      <c r="A1678" s="107" t="str">
        <f aca="false">IF($E1678="","",ROW()-3)</f>
        <v/>
      </c>
      <c r="B1678" s="110" t="str">
        <f aca="false">IF($E1678="","",INDEX(资金日记账!$B$4:$B$603,385))</f>
        <v/>
      </c>
      <c r="C1678" s="67" t="str">
        <f aca="false">IF($E1678="","",IF(INDEX(资金日记账!$W$4:$W$603,385)="","记-"&amp;TEXT($B1678,"YYYYMM")&amp;"-资金",INDEX(资金日记账!$W$4:$W$603,385)))</f>
        <v/>
      </c>
      <c r="D1678" s="107" t="str">
        <f aca="false">IF($E1678="","",INDEX(资金日记账!$D$4:$D$603,385))</f>
        <v/>
      </c>
      <c r="E1678" s="67" t="str">
        <f aca="false">IF(INDEX(资金日记账!$N$4:$S$603,385,1)=0,"",INDEX(资金日记账!$N$4:$S$603,385,1))</f>
        <v/>
      </c>
      <c r="F1678" s="99" t="str">
        <f aca="false">IF($E1678="","",IFERROR(INDEX(科目表!$A$4:$A$81,MATCH($E1678,科目表!$B$4:$B$81,0)),""))</f>
        <v/>
      </c>
      <c r="G1678" s="67" t="str">
        <f aca="false">IF($E1678="","",IFERROR(INDEX(科目表!$E$4:$E$81,MATCH($E1678,科目表!$B$4:$B$81,0)),""))</f>
        <v/>
      </c>
      <c r="H1678" s="70" t="str">
        <f aca="false">IF($E1678="","",N(INDEX(资金日记账!$N$4:$S$603,385,2)))</f>
        <v/>
      </c>
      <c r="I1678" s="70" t="str">
        <f aca="false">IF($E1678="","",N(INDEX(资金日记账!$N$4:$S$603,385,3)))</f>
        <v/>
      </c>
      <c r="J1678" s="67" t="str">
        <f aca="false">IF($E1678="","",INDEX(资金日记账!$E$4:$E$603,385))</f>
        <v/>
      </c>
      <c r="K1678" s="67" t="str">
        <f aca="false">IF($E1678="","",INDEX(资金日记账!$F$4:$F$603,385))</f>
        <v/>
      </c>
      <c r="L1678" s="107" t="str">
        <f aca="false">IF($E1678="","",INDEX(资金日记账!$X$4:$X$603,385))</f>
        <v/>
      </c>
      <c r="M1678" s="107"/>
      <c r="N1678" s="67" t="str">
        <f aca="false">IF($E1678="","",INDEX(资金日记账!$Y$4:$Y$603,385))</f>
        <v/>
      </c>
      <c r="O1678" s="67" t="str">
        <f aca="false">IF($E1678="","","自动B")</f>
        <v/>
      </c>
      <c r="P1678" s="18"/>
    </row>
    <row r="1679" customFormat="false" ht="18" hidden="false" customHeight="true" outlineLevel="0" collapsed="false">
      <c r="A1679" s="107" t="str">
        <f aca="false">IF($E1679="","",ROW()-3)</f>
        <v/>
      </c>
      <c r="B1679" s="110" t="str">
        <f aca="false">IF($E1679="","",INDEX(资金日记账!$B$4:$B$603,385))</f>
        <v/>
      </c>
      <c r="C1679" s="67" t="str">
        <f aca="false">IF($E1679="","",IF(INDEX(资金日记账!$W$4:$W$603,385)="","记-"&amp;TEXT($B1679,"YYYYMM")&amp;"-资金",INDEX(资金日记账!$W$4:$W$603,385)))</f>
        <v/>
      </c>
      <c r="D1679" s="107" t="str">
        <f aca="false">IF($E1679="","",INDEX(资金日记账!$D$4:$D$603,385))</f>
        <v/>
      </c>
      <c r="E1679" s="67" t="str">
        <f aca="false">IF(INDEX(资金日记账!$N$4:$S$603,385,4)=0,"",INDEX(资金日记账!$N$4:$S$603,385,4))</f>
        <v/>
      </c>
      <c r="F1679" s="99" t="str">
        <f aca="false">IF($E1679="","",IFERROR(INDEX(科目表!$A$4:$A$81,MATCH($E1679,科目表!$B$4:$B$81,0)),""))</f>
        <v/>
      </c>
      <c r="G1679" s="67" t="str">
        <f aca="false">IF($E1679="","",IFERROR(INDEX(科目表!$E$4:$E$81,MATCH($E1679,科目表!$B$4:$B$81,0)),""))</f>
        <v/>
      </c>
      <c r="H1679" s="70" t="str">
        <f aca="false">IF($E1679="","",N(INDEX(资金日记账!$N$4:$S$603,385,5)))</f>
        <v/>
      </c>
      <c r="I1679" s="70" t="str">
        <f aca="false">IF($E1679="","",N(INDEX(资金日记账!$N$4:$S$603,385,6)))</f>
        <v/>
      </c>
      <c r="J1679" s="67" t="str">
        <f aca="false">IF($E1679="","",INDEX(资金日记账!$E$4:$E$603,385))</f>
        <v/>
      </c>
      <c r="K1679" s="67" t="str">
        <f aca="false">IF($E1679="","",INDEX(资金日记账!$F$4:$F$603,385))</f>
        <v/>
      </c>
      <c r="L1679" s="107" t="str">
        <f aca="false">IF($E1679="","",INDEX(资金日记账!$X$4:$X$603,385))</f>
        <v/>
      </c>
      <c r="M1679" s="107"/>
      <c r="N1679" s="67" t="str">
        <f aca="false">IF($E1679="","",INDEX(资金日记账!$Y$4:$Y$603,385))</f>
        <v/>
      </c>
      <c r="O1679" s="67" t="str">
        <f aca="false">IF($E1679="","","自动B")</f>
        <v/>
      </c>
      <c r="P1679" s="18"/>
    </row>
    <row r="1680" customFormat="false" ht="18" hidden="false" customHeight="true" outlineLevel="0" collapsed="false">
      <c r="A1680" s="107" t="str">
        <f aca="false">IF($E1680="","",ROW()-3)</f>
        <v/>
      </c>
      <c r="B1680" s="110" t="str">
        <f aca="false">IF($E1680="","",INDEX(资金日记账!$B$4:$B$603,386))</f>
        <v/>
      </c>
      <c r="C1680" s="67" t="str">
        <f aca="false">IF($E1680="","",IF(INDEX(资金日记账!$W$4:$W$603,386)="","记-"&amp;TEXT($B1680,"YYYYMM")&amp;"-资金",INDEX(资金日记账!$W$4:$W$603,386)))</f>
        <v/>
      </c>
      <c r="D1680" s="107" t="str">
        <f aca="false">IF($E1680="","",INDEX(资金日记账!$D$4:$D$603,386))</f>
        <v/>
      </c>
      <c r="E1680" s="67" t="str">
        <f aca="false">IF(INDEX(资金日记账!$N$4:$S$603,386,1)=0,"",INDEX(资金日记账!$N$4:$S$603,386,1))</f>
        <v/>
      </c>
      <c r="F1680" s="99" t="str">
        <f aca="false">IF($E1680="","",IFERROR(INDEX(科目表!$A$4:$A$81,MATCH($E1680,科目表!$B$4:$B$81,0)),""))</f>
        <v/>
      </c>
      <c r="G1680" s="67" t="str">
        <f aca="false">IF($E1680="","",IFERROR(INDEX(科目表!$E$4:$E$81,MATCH($E1680,科目表!$B$4:$B$81,0)),""))</f>
        <v/>
      </c>
      <c r="H1680" s="70" t="str">
        <f aca="false">IF($E1680="","",N(INDEX(资金日记账!$N$4:$S$603,386,2)))</f>
        <v/>
      </c>
      <c r="I1680" s="70" t="str">
        <f aca="false">IF($E1680="","",N(INDEX(资金日记账!$N$4:$S$603,386,3)))</f>
        <v/>
      </c>
      <c r="J1680" s="67" t="str">
        <f aca="false">IF($E1680="","",INDEX(资金日记账!$E$4:$E$603,386))</f>
        <v/>
      </c>
      <c r="K1680" s="67" t="str">
        <f aca="false">IF($E1680="","",INDEX(资金日记账!$F$4:$F$603,386))</f>
        <v/>
      </c>
      <c r="L1680" s="107" t="str">
        <f aca="false">IF($E1680="","",INDEX(资金日记账!$X$4:$X$603,386))</f>
        <v/>
      </c>
      <c r="M1680" s="107"/>
      <c r="N1680" s="67" t="str">
        <f aca="false">IF($E1680="","",INDEX(资金日记账!$Y$4:$Y$603,386))</f>
        <v/>
      </c>
      <c r="O1680" s="67" t="str">
        <f aca="false">IF($E1680="","","自动B")</f>
        <v/>
      </c>
      <c r="P1680" s="18"/>
    </row>
    <row r="1681" customFormat="false" ht="18" hidden="false" customHeight="true" outlineLevel="0" collapsed="false">
      <c r="A1681" s="107" t="str">
        <f aca="false">IF($E1681="","",ROW()-3)</f>
        <v/>
      </c>
      <c r="B1681" s="110" t="str">
        <f aca="false">IF($E1681="","",INDEX(资金日记账!$B$4:$B$603,386))</f>
        <v/>
      </c>
      <c r="C1681" s="67" t="str">
        <f aca="false">IF($E1681="","",IF(INDEX(资金日记账!$W$4:$W$603,386)="","记-"&amp;TEXT($B1681,"YYYYMM")&amp;"-资金",INDEX(资金日记账!$W$4:$W$603,386)))</f>
        <v/>
      </c>
      <c r="D1681" s="107" t="str">
        <f aca="false">IF($E1681="","",INDEX(资金日记账!$D$4:$D$603,386))</f>
        <v/>
      </c>
      <c r="E1681" s="67" t="str">
        <f aca="false">IF(INDEX(资金日记账!$N$4:$S$603,386,4)=0,"",INDEX(资金日记账!$N$4:$S$603,386,4))</f>
        <v/>
      </c>
      <c r="F1681" s="99" t="str">
        <f aca="false">IF($E1681="","",IFERROR(INDEX(科目表!$A$4:$A$81,MATCH($E1681,科目表!$B$4:$B$81,0)),""))</f>
        <v/>
      </c>
      <c r="G1681" s="67" t="str">
        <f aca="false">IF($E1681="","",IFERROR(INDEX(科目表!$E$4:$E$81,MATCH($E1681,科目表!$B$4:$B$81,0)),""))</f>
        <v/>
      </c>
      <c r="H1681" s="70" t="str">
        <f aca="false">IF($E1681="","",N(INDEX(资金日记账!$N$4:$S$603,386,5)))</f>
        <v/>
      </c>
      <c r="I1681" s="70" t="str">
        <f aca="false">IF($E1681="","",N(INDEX(资金日记账!$N$4:$S$603,386,6)))</f>
        <v/>
      </c>
      <c r="J1681" s="67" t="str">
        <f aca="false">IF($E1681="","",INDEX(资金日记账!$E$4:$E$603,386))</f>
        <v/>
      </c>
      <c r="K1681" s="67" t="str">
        <f aca="false">IF($E1681="","",INDEX(资金日记账!$F$4:$F$603,386))</f>
        <v/>
      </c>
      <c r="L1681" s="107" t="str">
        <f aca="false">IF($E1681="","",INDEX(资金日记账!$X$4:$X$603,386))</f>
        <v/>
      </c>
      <c r="M1681" s="107"/>
      <c r="N1681" s="67" t="str">
        <f aca="false">IF($E1681="","",INDEX(资金日记账!$Y$4:$Y$603,386))</f>
        <v/>
      </c>
      <c r="O1681" s="67" t="str">
        <f aca="false">IF($E1681="","","自动B")</f>
        <v/>
      </c>
      <c r="P1681" s="18"/>
    </row>
    <row r="1682" customFormat="false" ht="18" hidden="false" customHeight="true" outlineLevel="0" collapsed="false">
      <c r="A1682" s="107" t="str">
        <f aca="false">IF($E1682="","",ROW()-3)</f>
        <v/>
      </c>
      <c r="B1682" s="110" t="str">
        <f aca="false">IF($E1682="","",INDEX(资金日记账!$B$4:$B$603,387))</f>
        <v/>
      </c>
      <c r="C1682" s="67" t="str">
        <f aca="false">IF($E1682="","",IF(INDEX(资金日记账!$W$4:$W$603,387)="","记-"&amp;TEXT($B1682,"YYYYMM")&amp;"-资金",INDEX(资金日记账!$W$4:$W$603,387)))</f>
        <v/>
      </c>
      <c r="D1682" s="107" t="str">
        <f aca="false">IF($E1682="","",INDEX(资金日记账!$D$4:$D$603,387))</f>
        <v/>
      </c>
      <c r="E1682" s="67" t="str">
        <f aca="false">IF(INDEX(资金日记账!$N$4:$S$603,387,1)=0,"",INDEX(资金日记账!$N$4:$S$603,387,1))</f>
        <v/>
      </c>
      <c r="F1682" s="99" t="str">
        <f aca="false">IF($E1682="","",IFERROR(INDEX(科目表!$A$4:$A$81,MATCH($E1682,科目表!$B$4:$B$81,0)),""))</f>
        <v/>
      </c>
      <c r="G1682" s="67" t="str">
        <f aca="false">IF($E1682="","",IFERROR(INDEX(科目表!$E$4:$E$81,MATCH($E1682,科目表!$B$4:$B$81,0)),""))</f>
        <v/>
      </c>
      <c r="H1682" s="70" t="str">
        <f aca="false">IF($E1682="","",N(INDEX(资金日记账!$N$4:$S$603,387,2)))</f>
        <v/>
      </c>
      <c r="I1682" s="70" t="str">
        <f aca="false">IF($E1682="","",N(INDEX(资金日记账!$N$4:$S$603,387,3)))</f>
        <v/>
      </c>
      <c r="J1682" s="67" t="str">
        <f aca="false">IF($E1682="","",INDEX(资金日记账!$E$4:$E$603,387))</f>
        <v/>
      </c>
      <c r="K1682" s="67" t="str">
        <f aca="false">IF($E1682="","",INDEX(资金日记账!$F$4:$F$603,387))</f>
        <v/>
      </c>
      <c r="L1682" s="107" t="str">
        <f aca="false">IF($E1682="","",INDEX(资金日记账!$X$4:$X$603,387))</f>
        <v/>
      </c>
      <c r="M1682" s="107"/>
      <c r="N1682" s="67" t="str">
        <f aca="false">IF($E1682="","",INDEX(资金日记账!$Y$4:$Y$603,387))</f>
        <v/>
      </c>
      <c r="O1682" s="67" t="str">
        <f aca="false">IF($E1682="","","自动B")</f>
        <v/>
      </c>
      <c r="P1682" s="18"/>
    </row>
    <row r="1683" customFormat="false" ht="18" hidden="false" customHeight="true" outlineLevel="0" collapsed="false">
      <c r="A1683" s="107" t="str">
        <f aca="false">IF($E1683="","",ROW()-3)</f>
        <v/>
      </c>
      <c r="B1683" s="110" t="str">
        <f aca="false">IF($E1683="","",INDEX(资金日记账!$B$4:$B$603,387))</f>
        <v/>
      </c>
      <c r="C1683" s="67" t="str">
        <f aca="false">IF($E1683="","",IF(INDEX(资金日记账!$W$4:$W$603,387)="","记-"&amp;TEXT($B1683,"YYYYMM")&amp;"-资金",INDEX(资金日记账!$W$4:$W$603,387)))</f>
        <v/>
      </c>
      <c r="D1683" s="107" t="str">
        <f aca="false">IF($E1683="","",INDEX(资金日记账!$D$4:$D$603,387))</f>
        <v/>
      </c>
      <c r="E1683" s="67" t="str">
        <f aca="false">IF(INDEX(资金日记账!$N$4:$S$603,387,4)=0,"",INDEX(资金日记账!$N$4:$S$603,387,4))</f>
        <v/>
      </c>
      <c r="F1683" s="99" t="str">
        <f aca="false">IF($E1683="","",IFERROR(INDEX(科目表!$A$4:$A$81,MATCH($E1683,科目表!$B$4:$B$81,0)),""))</f>
        <v/>
      </c>
      <c r="G1683" s="67" t="str">
        <f aca="false">IF($E1683="","",IFERROR(INDEX(科目表!$E$4:$E$81,MATCH($E1683,科目表!$B$4:$B$81,0)),""))</f>
        <v/>
      </c>
      <c r="H1683" s="70" t="str">
        <f aca="false">IF($E1683="","",N(INDEX(资金日记账!$N$4:$S$603,387,5)))</f>
        <v/>
      </c>
      <c r="I1683" s="70" t="str">
        <f aca="false">IF($E1683="","",N(INDEX(资金日记账!$N$4:$S$603,387,6)))</f>
        <v/>
      </c>
      <c r="J1683" s="67" t="str">
        <f aca="false">IF($E1683="","",INDEX(资金日记账!$E$4:$E$603,387))</f>
        <v/>
      </c>
      <c r="K1683" s="67" t="str">
        <f aca="false">IF($E1683="","",INDEX(资金日记账!$F$4:$F$603,387))</f>
        <v/>
      </c>
      <c r="L1683" s="107" t="str">
        <f aca="false">IF($E1683="","",INDEX(资金日记账!$X$4:$X$603,387))</f>
        <v/>
      </c>
      <c r="M1683" s="107"/>
      <c r="N1683" s="67" t="str">
        <f aca="false">IF($E1683="","",INDEX(资金日记账!$Y$4:$Y$603,387))</f>
        <v/>
      </c>
      <c r="O1683" s="67" t="str">
        <f aca="false">IF($E1683="","","自动B")</f>
        <v/>
      </c>
      <c r="P1683" s="18"/>
    </row>
    <row r="1684" customFormat="false" ht="18" hidden="false" customHeight="true" outlineLevel="0" collapsed="false">
      <c r="A1684" s="107" t="str">
        <f aca="false">IF($E1684="","",ROW()-3)</f>
        <v/>
      </c>
      <c r="B1684" s="110" t="str">
        <f aca="false">IF($E1684="","",INDEX(资金日记账!$B$4:$B$603,388))</f>
        <v/>
      </c>
      <c r="C1684" s="67" t="str">
        <f aca="false">IF($E1684="","",IF(INDEX(资金日记账!$W$4:$W$603,388)="","记-"&amp;TEXT($B1684,"YYYYMM")&amp;"-资金",INDEX(资金日记账!$W$4:$W$603,388)))</f>
        <v/>
      </c>
      <c r="D1684" s="107" t="str">
        <f aca="false">IF($E1684="","",INDEX(资金日记账!$D$4:$D$603,388))</f>
        <v/>
      </c>
      <c r="E1684" s="67" t="str">
        <f aca="false">IF(INDEX(资金日记账!$N$4:$S$603,388,1)=0,"",INDEX(资金日记账!$N$4:$S$603,388,1))</f>
        <v/>
      </c>
      <c r="F1684" s="99" t="str">
        <f aca="false">IF($E1684="","",IFERROR(INDEX(科目表!$A$4:$A$81,MATCH($E1684,科目表!$B$4:$B$81,0)),""))</f>
        <v/>
      </c>
      <c r="G1684" s="67" t="str">
        <f aca="false">IF($E1684="","",IFERROR(INDEX(科目表!$E$4:$E$81,MATCH($E1684,科目表!$B$4:$B$81,0)),""))</f>
        <v/>
      </c>
      <c r="H1684" s="70" t="str">
        <f aca="false">IF($E1684="","",N(INDEX(资金日记账!$N$4:$S$603,388,2)))</f>
        <v/>
      </c>
      <c r="I1684" s="70" t="str">
        <f aca="false">IF($E1684="","",N(INDEX(资金日记账!$N$4:$S$603,388,3)))</f>
        <v/>
      </c>
      <c r="J1684" s="67" t="str">
        <f aca="false">IF($E1684="","",INDEX(资金日记账!$E$4:$E$603,388))</f>
        <v/>
      </c>
      <c r="K1684" s="67" t="str">
        <f aca="false">IF($E1684="","",INDEX(资金日记账!$F$4:$F$603,388))</f>
        <v/>
      </c>
      <c r="L1684" s="107" t="str">
        <f aca="false">IF($E1684="","",INDEX(资金日记账!$X$4:$X$603,388))</f>
        <v/>
      </c>
      <c r="M1684" s="107"/>
      <c r="N1684" s="67" t="str">
        <f aca="false">IF($E1684="","",INDEX(资金日记账!$Y$4:$Y$603,388))</f>
        <v/>
      </c>
      <c r="O1684" s="67" t="str">
        <f aca="false">IF($E1684="","","自动B")</f>
        <v/>
      </c>
      <c r="P1684" s="18"/>
    </row>
    <row r="1685" customFormat="false" ht="18" hidden="false" customHeight="true" outlineLevel="0" collapsed="false">
      <c r="A1685" s="107" t="str">
        <f aca="false">IF($E1685="","",ROW()-3)</f>
        <v/>
      </c>
      <c r="B1685" s="110" t="str">
        <f aca="false">IF($E1685="","",INDEX(资金日记账!$B$4:$B$603,388))</f>
        <v/>
      </c>
      <c r="C1685" s="67" t="str">
        <f aca="false">IF($E1685="","",IF(INDEX(资金日记账!$W$4:$W$603,388)="","记-"&amp;TEXT($B1685,"YYYYMM")&amp;"-资金",INDEX(资金日记账!$W$4:$W$603,388)))</f>
        <v/>
      </c>
      <c r="D1685" s="107" t="str">
        <f aca="false">IF($E1685="","",INDEX(资金日记账!$D$4:$D$603,388))</f>
        <v/>
      </c>
      <c r="E1685" s="67" t="str">
        <f aca="false">IF(INDEX(资金日记账!$N$4:$S$603,388,4)=0,"",INDEX(资金日记账!$N$4:$S$603,388,4))</f>
        <v/>
      </c>
      <c r="F1685" s="99" t="str">
        <f aca="false">IF($E1685="","",IFERROR(INDEX(科目表!$A$4:$A$81,MATCH($E1685,科目表!$B$4:$B$81,0)),""))</f>
        <v/>
      </c>
      <c r="G1685" s="67" t="str">
        <f aca="false">IF($E1685="","",IFERROR(INDEX(科目表!$E$4:$E$81,MATCH($E1685,科目表!$B$4:$B$81,0)),""))</f>
        <v/>
      </c>
      <c r="H1685" s="70" t="str">
        <f aca="false">IF($E1685="","",N(INDEX(资金日记账!$N$4:$S$603,388,5)))</f>
        <v/>
      </c>
      <c r="I1685" s="70" t="str">
        <f aca="false">IF($E1685="","",N(INDEX(资金日记账!$N$4:$S$603,388,6)))</f>
        <v/>
      </c>
      <c r="J1685" s="67" t="str">
        <f aca="false">IF($E1685="","",INDEX(资金日记账!$E$4:$E$603,388))</f>
        <v/>
      </c>
      <c r="K1685" s="67" t="str">
        <f aca="false">IF($E1685="","",INDEX(资金日记账!$F$4:$F$603,388))</f>
        <v/>
      </c>
      <c r="L1685" s="107" t="str">
        <f aca="false">IF($E1685="","",INDEX(资金日记账!$X$4:$X$603,388))</f>
        <v/>
      </c>
      <c r="M1685" s="107"/>
      <c r="N1685" s="67" t="str">
        <f aca="false">IF($E1685="","",INDEX(资金日记账!$Y$4:$Y$603,388))</f>
        <v/>
      </c>
      <c r="O1685" s="67" t="str">
        <f aca="false">IF($E1685="","","自动B")</f>
        <v/>
      </c>
      <c r="P1685" s="18"/>
    </row>
    <row r="1686" customFormat="false" ht="18" hidden="false" customHeight="true" outlineLevel="0" collapsed="false">
      <c r="A1686" s="107" t="str">
        <f aca="false">IF($E1686="","",ROW()-3)</f>
        <v/>
      </c>
      <c r="B1686" s="110" t="str">
        <f aca="false">IF($E1686="","",INDEX(资金日记账!$B$4:$B$603,389))</f>
        <v/>
      </c>
      <c r="C1686" s="67" t="str">
        <f aca="false">IF($E1686="","",IF(INDEX(资金日记账!$W$4:$W$603,389)="","记-"&amp;TEXT($B1686,"YYYYMM")&amp;"-资金",INDEX(资金日记账!$W$4:$W$603,389)))</f>
        <v/>
      </c>
      <c r="D1686" s="107" t="str">
        <f aca="false">IF($E1686="","",INDEX(资金日记账!$D$4:$D$603,389))</f>
        <v/>
      </c>
      <c r="E1686" s="67" t="str">
        <f aca="false">IF(INDEX(资金日记账!$N$4:$S$603,389,1)=0,"",INDEX(资金日记账!$N$4:$S$603,389,1))</f>
        <v/>
      </c>
      <c r="F1686" s="99" t="str">
        <f aca="false">IF($E1686="","",IFERROR(INDEX(科目表!$A$4:$A$81,MATCH($E1686,科目表!$B$4:$B$81,0)),""))</f>
        <v/>
      </c>
      <c r="G1686" s="67" t="str">
        <f aca="false">IF($E1686="","",IFERROR(INDEX(科目表!$E$4:$E$81,MATCH($E1686,科目表!$B$4:$B$81,0)),""))</f>
        <v/>
      </c>
      <c r="H1686" s="70" t="str">
        <f aca="false">IF($E1686="","",N(INDEX(资金日记账!$N$4:$S$603,389,2)))</f>
        <v/>
      </c>
      <c r="I1686" s="70" t="str">
        <f aca="false">IF($E1686="","",N(INDEX(资金日记账!$N$4:$S$603,389,3)))</f>
        <v/>
      </c>
      <c r="J1686" s="67" t="str">
        <f aca="false">IF($E1686="","",INDEX(资金日记账!$E$4:$E$603,389))</f>
        <v/>
      </c>
      <c r="K1686" s="67" t="str">
        <f aca="false">IF($E1686="","",INDEX(资金日记账!$F$4:$F$603,389))</f>
        <v/>
      </c>
      <c r="L1686" s="107" t="str">
        <f aca="false">IF($E1686="","",INDEX(资金日记账!$X$4:$X$603,389))</f>
        <v/>
      </c>
      <c r="M1686" s="107"/>
      <c r="N1686" s="67" t="str">
        <f aca="false">IF($E1686="","",INDEX(资金日记账!$Y$4:$Y$603,389))</f>
        <v/>
      </c>
      <c r="O1686" s="67" t="str">
        <f aca="false">IF($E1686="","","自动B")</f>
        <v/>
      </c>
      <c r="P1686" s="18"/>
    </row>
    <row r="1687" customFormat="false" ht="18" hidden="false" customHeight="true" outlineLevel="0" collapsed="false">
      <c r="A1687" s="107" t="str">
        <f aca="false">IF($E1687="","",ROW()-3)</f>
        <v/>
      </c>
      <c r="B1687" s="110" t="str">
        <f aca="false">IF($E1687="","",INDEX(资金日记账!$B$4:$B$603,389))</f>
        <v/>
      </c>
      <c r="C1687" s="67" t="str">
        <f aca="false">IF($E1687="","",IF(INDEX(资金日记账!$W$4:$W$603,389)="","记-"&amp;TEXT($B1687,"YYYYMM")&amp;"-资金",INDEX(资金日记账!$W$4:$W$603,389)))</f>
        <v/>
      </c>
      <c r="D1687" s="107" t="str">
        <f aca="false">IF($E1687="","",INDEX(资金日记账!$D$4:$D$603,389))</f>
        <v/>
      </c>
      <c r="E1687" s="67" t="str">
        <f aca="false">IF(INDEX(资金日记账!$N$4:$S$603,389,4)=0,"",INDEX(资金日记账!$N$4:$S$603,389,4))</f>
        <v/>
      </c>
      <c r="F1687" s="99" t="str">
        <f aca="false">IF($E1687="","",IFERROR(INDEX(科目表!$A$4:$A$81,MATCH($E1687,科目表!$B$4:$B$81,0)),""))</f>
        <v/>
      </c>
      <c r="G1687" s="67" t="str">
        <f aca="false">IF($E1687="","",IFERROR(INDEX(科目表!$E$4:$E$81,MATCH($E1687,科目表!$B$4:$B$81,0)),""))</f>
        <v/>
      </c>
      <c r="H1687" s="70" t="str">
        <f aca="false">IF($E1687="","",N(INDEX(资金日记账!$N$4:$S$603,389,5)))</f>
        <v/>
      </c>
      <c r="I1687" s="70" t="str">
        <f aca="false">IF($E1687="","",N(INDEX(资金日记账!$N$4:$S$603,389,6)))</f>
        <v/>
      </c>
      <c r="J1687" s="67" t="str">
        <f aca="false">IF($E1687="","",INDEX(资金日记账!$E$4:$E$603,389))</f>
        <v/>
      </c>
      <c r="K1687" s="67" t="str">
        <f aca="false">IF($E1687="","",INDEX(资金日记账!$F$4:$F$603,389))</f>
        <v/>
      </c>
      <c r="L1687" s="107" t="str">
        <f aca="false">IF($E1687="","",INDEX(资金日记账!$X$4:$X$603,389))</f>
        <v/>
      </c>
      <c r="M1687" s="107"/>
      <c r="N1687" s="67" t="str">
        <f aca="false">IF($E1687="","",INDEX(资金日记账!$Y$4:$Y$603,389))</f>
        <v/>
      </c>
      <c r="O1687" s="67" t="str">
        <f aca="false">IF($E1687="","","自动B")</f>
        <v/>
      </c>
      <c r="P1687" s="18"/>
    </row>
    <row r="1688" customFormat="false" ht="18" hidden="false" customHeight="true" outlineLevel="0" collapsed="false">
      <c r="A1688" s="107" t="str">
        <f aca="false">IF($E1688="","",ROW()-3)</f>
        <v/>
      </c>
      <c r="B1688" s="110" t="str">
        <f aca="false">IF($E1688="","",INDEX(资金日记账!$B$4:$B$603,390))</f>
        <v/>
      </c>
      <c r="C1688" s="67" t="str">
        <f aca="false">IF($E1688="","",IF(INDEX(资金日记账!$W$4:$W$603,390)="","记-"&amp;TEXT($B1688,"YYYYMM")&amp;"-资金",INDEX(资金日记账!$W$4:$W$603,390)))</f>
        <v/>
      </c>
      <c r="D1688" s="107" t="str">
        <f aca="false">IF($E1688="","",INDEX(资金日记账!$D$4:$D$603,390))</f>
        <v/>
      </c>
      <c r="E1688" s="67" t="str">
        <f aca="false">IF(INDEX(资金日记账!$N$4:$S$603,390,1)=0,"",INDEX(资金日记账!$N$4:$S$603,390,1))</f>
        <v/>
      </c>
      <c r="F1688" s="99" t="str">
        <f aca="false">IF($E1688="","",IFERROR(INDEX(科目表!$A$4:$A$81,MATCH($E1688,科目表!$B$4:$B$81,0)),""))</f>
        <v/>
      </c>
      <c r="G1688" s="67" t="str">
        <f aca="false">IF($E1688="","",IFERROR(INDEX(科目表!$E$4:$E$81,MATCH($E1688,科目表!$B$4:$B$81,0)),""))</f>
        <v/>
      </c>
      <c r="H1688" s="70" t="str">
        <f aca="false">IF($E1688="","",N(INDEX(资金日记账!$N$4:$S$603,390,2)))</f>
        <v/>
      </c>
      <c r="I1688" s="70" t="str">
        <f aca="false">IF($E1688="","",N(INDEX(资金日记账!$N$4:$S$603,390,3)))</f>
        <v/>
      </c>
      <c r="J1688" s="67" t="str">
        <f aca="false">IF($E1688="","",INDEX(资金日记账!$E$4:$E$603,390))</f>
        <v/>
      </c>
      <c r="K1688" s="67" t="str">
        <f aca="false">IF($E1688="","",INDEX(资金日记账!$F$4:$F$603,390))</f>
        <v/>
      </c>
      <c r="L1688" s="107" t="str">
        <f aca="false">IF($E1688="","",INDEX(资金日记账!$X$4:$X$603,390))</f>
        <v/>
      </c>
      <c r="M1688" s="107"/>
      <c r="N1688" s="67" t="str">
        <f aca="false">IF($E1688="","",INDEX(资金日记账!$Y$4:$Y$603,390))</f>
        <v/>
      </c>
      <c r="O1688" s="67" t="str">
        <f aca="false">IF($E1688="","","自动B")</f>
        <v/>
      </c>
      <c r="P1688" s="18"/>
    </row>
    <row r="1689" customFormat="false" ht="18" hidden="false" customHeight="true" outlineLevel="0" collapsed="false">
      <c r="A1689" s="107" t="str">
        <f aca="false">IF($E1689="","",ROW()-3)</f>
        <v/>
      </c>
      <c r="B1689" s="110" t="str">
        <f aca="false">IF($E1689="","",INDEX(资金日记账!$B$4:$B$603,390))</f>
        <v/>
      </c>
      <c r="C1689" s="67" t="str">
        <f aca="false">IF($E1689="","",IF(INDEX(资金日记账!$W$4:$W$603,390)="","记-"&amp;TEXT($B1689,"YYYYMM")&amp;"-资金",INDEX(资金日记账!$W$4:$W$603,390)))</f>
        <v/>
      </c>
      <c r="D1689" s="107" t="str">
        <f aca="false">IF($E1689="","",INDEX(资金日记账!$D$4:$D$603,390))</f>
        <v/>
      </c>
      <c r="E1689" s="67" t="str">
        <f aca="false">IF(INDEX(资金日记账!$N$4:$S$603,390,4)=0,"",INDEX(资金日记账!$N$4:$S$603,390,4))</f>
        <v/>
      </c>
      <c r="F1689" s="99" t="str">
        <f aca="false">IF($E1689="","",IFERROR(INDEX(科目表!$A$4:$A$81,MATCH($E1689,科目表!$B$4:$B$81,0)),""))</f>
        <v/>
      </c>
      <c r="G1689" s="67" t="str">
        <f aca="false">IF($E1689="","",IFERROR(INDEX(科目表!$E$4:$E$81,MATCH($E1689,科目表!$B$4:$B$81,0)),""))</f>
        <v/>
      </c>
      <c r="H1689" s="70" t="str">
        <f aca="false">IF($E1689="","",N(INDEX(资金日记账!$N$4:$S$603,390,5)))</f>
        <v/>
      </c>
      <c r="I1689" s="70" t="str">
        <f aca="false">IF($E1689="","",N(INDEX(资金日记账!$N$4:$S$603,390,6)))</f>
        <v/>
      </c>
      <c r="J1689" s="67" t="str">
        <f aca="false">IF($E1689="","",INDEX(资金日记账!$E$4:$E$603,390))</f>
        <v/>
      </c>
      <c r="K1689" s="67" t="str">
        <f aca="false">IF($E1689="","",INDEX(资金日记账!$F$4:$F$603,390))</f>
        <v/>
      </c>
      <c r="L1689" s="107" t="str">
        <f aca="false">IF($E1689="","",INDEX(资金日记账!$X$4:$X$603,390))</f>
        <v/>
      </c>
      <c r="M1689" s="107"/>
      <c r="N1689" s="67" t="str">
        <f aca="false">IF($E1689="","",INDEX(资金日记账!$Y$4:$Y$603,390))</f>
        <v/>
      </c>
      <c r="O1689" s="67" t="str">
        <f aca="false">IF($E1689="","","自动B")</f>
        <v/>
      </c>
      <c r="P1689" s="18"/>
    </row>
    <row r="1690" customFormat="false" ht="18" hidden="false" customHeight="true" outlineLevel="0" collapsed="false">
      <c r="A1690" s="107" t="str">
        <f aca="false">IF($E1690="","",ROW()-3)</f>
        <v/>
      </c>
      <c r="B1690" s="110" t="str">
        <f aca="false">IF($E1690="","",INDEX(资金日记账!$B$4:$B$603,391))</f>
        <v/>
      </c>
      <c r="C1690" s="67" t="str">
        <f aca="false">IF($E1690="","",IF(INDEX(资金日记账!$W$4:$W$603,391)="","记-"&amp;TEXT($B1690,"YYYYMM")&amp;"-资金",INDEX(资金日记账!$W$4:$W$603,391)))</f>
        <v/>
      </c>
      <c r="D1690" s="107" t="str">
        <f aca="false">IF($E1690="","",INDEX(资金日记账!$D$4:$D$603,391))</f>
        <v/>
      </c>
      <c r="E1690" s="67" t="str">
        <f aca="false">IF(INDEX(资金日记账!$N$4:$S$603,391,1)=0,"",INDEX(资金日记账!$N$4:$S$603,391,1))</f>
        <v/>
      </c>
      <c r="F1690" s="99" t="str">
        <f aca="false">IF($E1690="","",IFERROR(INDEX(科目表!$A$4:$A$81,MATCH($E1690,科目表!$B$4:$B$81,0)),""))</f>
        <v/>
      </c>
      <c r="G1690" s="67" t="str">
        <f aca="false">IF($E1690="","",IFERROR(INDEX(科目表!$E$4:$E$81,MATCH($E1690,科目表!$B$4:$B$81,0)),""))</f>
        <v/>
      </c>
      <c r="H1690" s="70" t="str">
        <f aca="false">IF($E1690="","",N(INDEX(资金日记账!$N$4:$S$603,391,2)))</f>
        <v/>
      </c>
      <c r="I1690" s="70" t="str">
        <f aca="false">IF($E1690="","",N(INDEX(资金日记账!$N$4:$S$603,391,3)))</f>
        <v/>
      </c>
      <c r="J1690" s="67" t="str">
        <f aca="false">IF($E1690="","",INDEX(资金日记账!$E$4:$E$603,391))</f>
        <v/>
      </c>
      <c r="K1690" s="67" t="str">
        <f aca="false">IF($E1690="","",INDEX(资金日记账!$F$4:$F$603,391))</f>
        <v/>
      </c>
      <c r="L1690" s="107" t="str">
        <f aca="false">IF($E1690="","",INDEX(资金日记账!$X$4:$X$603,391))</f>
        <v/>
      </c>
      <c r="M1690" s="107"/>
      <c r="N1690" s="67" t="str">
        <f aca="false">IF($E1690="","",INDEX(资金日记账!$Y$4:$Y$603,391))</f>
        <v/>
      </c>
      <c r="O1690" s="67" t="str">
        <f aca="false">IF($E1690="","","自动B")</f>
        <v/>
      </c>
      <c r="P1690" s="18"/>
    </row>
    <row r="1691" customFormat="false" ht="18" hidden="false" customHeight="true" outlineLevel="0" collapsed="false">
      <c r="A1691" s="107" t="str">
        <f aca="false">IF($E1691="","",ROW()-3)</f>
        <v/>
      </c>
      <c r="B1691" s="110" t="str">
        <f aca="false">IF($E1691="","",INDEX(资金日记账!$B$4:$B$603,391))</f>
        <v/>
      </c>
      <c r="C1691" s="67" t="str">
        <f aca="false">IF($E1691="","",IF(INDEX(资金日记账!$W$4:$W$603,391)="","记-"&amp;TEXT($B1691,"YYYYMM")&amp;"-资金",INDEX(资金日记账!$W$4:$W$603,391)))</f>
        <v/>
      </c>
      <c r="D1691" s="107" t="str">
        <f aca="false">IF($E1691="","",INDEX(资金日记账!$D$4:$D$603,391))</f>
        <v/>
      </c>
      <c r="E1691" s="67" t="str">
        <f aca="false">IF(INDEX(资金日记账!$N$4:$S$603,391,4)=0,"",INDEX(资金日记账!$N$4:$S$603,391,4))</f>
        <v/>
      </c>
      <c r="F1691" s="99" t="str">
        <f aca="false">IF($E1691="","",IFERROR(INDEX(科目表!$A$4:$A$81,MATCH($E1691,科目表!$B$4:$B$81,0)),""))</f>
        <v/>
      </c>
      <c r="G1691" s="67" t="str">
        <f aca="false">IF($E1691="","",IFERROR(INDEX(科目表!$E$4:$E$81,MATCH($E1691,科目表!$B$4:$B$81,0)),""))</f>
        <v/>
      </c>
      <c r="H1691" s="70" t="str">
        <f aca="false">IF($E1691="","",N(INDEX(资金日记账!$N$4:$S$603,391,5)))</f>
        <v/>
      </c>
      <c r="I1691" s="70" t="str">
        <f aca="false">IF($E1691="","",N(INDEX(资金日记账!$N$4:$S$603,391,6)))</f>
        <v/>
      </c>
      <c r="J1691" s="67" t="str">
        <f aca="false">IF($E1691="","",INDEX(资金日记账!$E$4:$E$603,391))</f>
        <v/>
      </c>
      <c r="K1691" s="67" t="str">
        <f aca="false">IF($E1691="","",INDEX(资金日记账!$F$4:$F$603,391))</f>
        <v/>
      </c>
      <c r="L1691" s="107" t="str">
        <f aca="false">IF($E1691="","",INDEX(资金日记账!$X$4:$X$603,391))</f>
        <v/>
      </c>
      <c r="M1691" s="107"/>
      <c r="N1691" s="67" t="str">
        <f aca="false">IF($E1691="","",INDEX(资金日记账!$Y$4:$Y$603,391))</f>
        <v/>
      </c>
      <c r="O1691" s="67" t="str">
        <f aca="false">IF($E1691="","","自动B")</f>
        <v/>
      </c>
      <c r="P1691" s="18"/>
    </row>
    <row r="1692" customFormat="false" ht="18" hidden="false" customHeight="true" outlineLevel="0" collapsed="false">
      <c r="A1692" s="107" t="str">
        <f aca="false">IF($E1692="","",ROW()-3)</f>
        <v/>
      </c>
      <c r="B1692" s="110" t="str">
        <f aca="false">IF($E1692="","",INDEX(资金日记账!$B$4:$B$603,392))</f>
        <v/>
      </c>
      <c r="C1692" s="67" t="str">
        <f aca="false">IF($E1692="","",IF(INDEX(资金日记账!$W$4:$W$603,392)="","记-"&amp;TEXT($B1692,"YYYYMM")&amp;"-资金",INDEX(资金日记账!$W$4:$W$603,392)))</f>
        <v/>
      </c>
      <c r="D1692" s="107" t="str">
        <f aca="false">IF($E1692="","",INDEX(资金日记账!$D$4:$D$603,392))</f>
        <v/>
      </c>
      <c r="E1692" s="67" t="str">
        <f aca="false">IF(INDEX(资金日记账!$N$4:$S$603,392,1)=0,"",INDEX(资金日记账!$N$4:$S$603,392,1))</f>
        <v/>
      </c>
      <c r="F1692" s="99" t="str">
        <f aca="false">IF($E1692="","",IFERROR(INDEX(科目表!$A$4:$A$81,MATCH($E1692,科目表!$B$4:$B$81,0)),""))</f>
        <v/>
      </c>
      <c r="G1692" s="67" t="str">
        <f aca="false">IF($E1692="","",IFERROR(INDEX(科目表!$E$4:$E$81,MATCH($E1692,科目表!$B$4:$B$81,0)),""))</f>
        <v/>
      </c>
      <c r="H1692" s="70" t="str">
        <f aca="false">IF($E1692="","",N(INDEX(资金日记账!$N$4:$S$603,392,2)))</f>
        <v/>
      </c>
      <c r="I1692" s="70" t="str">
        <f aca="false">IF($E1692="","",N(INDEX(资金日记账!$N$4:$S$603,392,3)))</f>
        <v/>
      </c>
      <c r="J1692" s="67" t="str">
        <f aca="false">IF($E1692="","",INDEX(资金日记账!$E$4:$E$603,392))</f>
        <v/>
      </c>
      <c r="K1692" s="67" t="str">
        <f aca="false">IF($E1692="","",INDEX(资金日记账!$F$4:$F$603,392))</f>
        <v/>
      </c>
      <c r="L1692" s="107" t="str">
        <f aca="false">IF($E1692="","",INDEX(资金日记账!$X$4:$X$603,392))</f>
        <v/>
      </c>
      <c r="M1692" s="107"/>
      <c r="N1692" s="67" t="str">
        <f aca="false">IF($E1692="","",INDEX(资金日记账!$Y$4:$Y$603,392))</f>
        <v/>
      </c>
      <c r="O1692" s="67" t="str">
        <f aca="false">IF($E1692="","","自动B")</f>
        <v/>
      </c>
      <c r="P1692" s="18"/>
    </row>
    <row r="1693" customFormat="false" ht="18" hidden="false" customHeight="true" outlineLevel="0" collapsed="false">
      <c r="A1693" s="107" t="str">
        <f aca="false">IF($E1693="","",ROW()-3)</f>
        <v/>
      </c>
      <c r="B1693" s="110" t="str">
        <f aca="false">IF($E1693="","",INDEX(资金日记账!$B$4:$B$603,392))</f>
        <v/>
      </c>
      <c r="C1693" s="67" t="str">
        <f aca="false">IF($E1693="","",IF(INDEX(资金日记账!$W$4:$W$603,392)="","记-"&amp;TEXT($B1693,"YYYYMM")&amp;"-资金",INDEX(资金日记账!$W$4:$W$603,392)))</f>
        <v/>
      </c>
      <c r="D1693" s="107" t="str">
        <f aca="false">IF($E1693="","",INDEX(资金日记账!$D$4:$D$603,392))</f>
        <v/>
      </c>
      <c r="E1693" s="67" t="str">
        <f aca="false">IF(INDEX(资金日记账!$N$4:$S$603,392,4)=0,"",INDEX(资金日记账!$N$4:$S$603,392,4))</f>
        <v/>
      </c>
      <c r="F1693" s="99" t="str">
        <f aca="false">IF($E1693="","",IFERROR(INDEX(科目表!$A$4:$A$81,MATCH($E1693,科目表!$B$4:$B$81,0)),""))</f>
        <v/>
      </c>
      <c r="G1693" s="67" t="str">
        <f aca="false">IF($E1693="","",IFERROR(INDEX(科目表!$E$4:$E$81,MATCH($E1693,科目表!$B$4:$B$81,0)),""))</f>
        <v/>
      </c>
      <c r="H1693" s="70" t="str">
        <f aca="false">IF($E1693="","",N(INDEX(资金日记账!$N$4:$S$603,392,5)))</f>
        <v/>
      </c>
      <c r="I1693" s="70" t="str">
        <f aca="false">IF($E1693="","",N(INDEX(资金日记账!$N$4:$S$603,392,6)))</f>
        <v/>
      </c>
      <c r="J1693" s="67" t="str">
        <f aca="false">IF($E1693="","",INDEX(资金日记账!$E$4:$E$603,392))</f>
        <v/>
      </c>
      <c r="K1693" s="67" t="str">
        <f aca="false">IF($E1693="","",INDEX(资金日记账!$F$4:$F$603,392))</f>
        <v/>
      </c>
      <c r="L1693" s="107" t="str">
        <f aca="false">IF($E1693="","",INDEX(资金日记账!$X$4:$X$603,392))</f>
        <v/>
      </c>
      <c r="M1693" s="107"/>
      <c r="N1693" s="67" t="str">
        <f aca="false">IF($E1693="","",INDEX(资金日记账!$Y$4:$Y$603,392))</f>
        <v/>
      </c>
      <c r="O1693" s="67" t="str">
        <f aca="false">IF($E1693="","","自动B")</f>
        <v/>
      </c>
      <c r="P1693" s="18"/>
    </row>
    <row r="1694" customFormat="false" ht="18" hidden="false" customHeight="true" outlineLevel="0" collapsed="false">
      <c r="A1694" s="107" t="str">
        <f aca="false">IF($E1694="","",ROW()-3)</f>
        <v/>
      </c>
      <c r="B1694" s="110" t="str">
        <f aca="false">IF($E1694="","",INDEX(资金日记账!$B$4:$B$603,393))</f>
        <v/>
      </c>
      <c r="C1694" s="67" t="str">
        <f aca="false">IF($E1694="","",IF(INDEX(资金日记账!$W$4:$W$603,393)="","记-"&amp;TEXT($B1694,"YYYYMM")&amp;"-资金",INDEX(资金日记账!$W$4:$W$603,393)))</f>
        <v/>
      </c>
      <c r="D1694" s="107" t="str">
        <f aca="false">IF($E1694="","",INDEX(资金日记账!$D$4:$D$603,393))</f>
        <v/>
      </c>
      <c r="E1694" s="67" t="str">
        <f aca="false">IF(INDEX(资金日记账!$N$4:$S$603,393,1)=0,"",INDEX(资金日记账!$N$4:$S$603,393,1))</f>
        <v/>
      </c>
      <c r="F1694" s="99" t="str">
        <f aca="false">IF($E1694="","",IFERROR(INDEX(科目表!$A$4:$A$81,MATCH($E1694,科目表!$B$4:$B$81,0)),""))</f>
        <v/>
      </c>
      <c r="G1694" s="67" t="str">
        <f aca="false">IF($E1694="","",IFERROR(INDEX(科目表!$E$4:$E$81,MATCH($E1694,科目表!$B$4:$B$81,0)),""))</f>
        <v/>
      </c>
      <c r="H1694" s="70" t="str">
        <f aca="false">IF($E1694="","",N(INDEX(资金日记账!$N$4:$S$603,393,2)))</f>
        <v/>
      </c>
      <c r="I1694" s="70" t="str">
        <f aca="false">IF($E1694="","",N(INDEX(资金日记账!$N$4:$S$603,393,3)))</f>
        <v/>
      </c>
      <c r="J1694" s="67" t="str">
        <f aca="false">IF($E1694="","",INDEX(资金日记账!$E$4:$E$603,393))</f>
        <v/>
      </c>
      <c r="K1694" s="67" t="str">
        <f aca="false">IF($E1694="","",INDEX(资金日记账!$F$4:$F$603,393))</f>
        <v/>
      </c>
      <c r="L1694" s="107" t="str">
        <f aca="false">IF($E1694="","",INDEX(资金日记账!$X$4:$X$603,393))</f>
        <v/>
      </c>
      <c r="M1694" s="107"/>
      <c r="N1694" s="67" t="str">
        <f aca="false">IF($E1694="","",INDEX(资金日记账!$Y$4:$Y$603,393))</f>
        <v/>
      </c>
      <c r="O1694" s="67" t="str">
        <f aca="false">IF($E1694="","","自动B")</f>
        <v/>
      </c>
      <c r="P1694" s="18"/>
    </row>
    <row r="1695" customFormat="false" ht="18" hidden="false" customHeight="true" outlineLevel="0" collapsed="false">
      <c r="A1695" s="107" t="str">
        <f aca="false">IF($E1695="","",ROW()-3)</f>
        <v/>
      </c>
      <c r="B1695" s="110" t="str">
        <f aca="false">IF($E1695="","",INDEX(资金日记账!$B$4:$B$603,393))</f>
        <v/>
      </c>
      <c r="C1695" s="67" t="str">
        <f aca="false">IF($E1695="","",IF(INDEX(资金日记账!$W$4:$W$603,393)="","记-"&amp;TEXT($B1695,"YYYYMM")&amp;"-资金",INDEX(资金日记账!$W$4:$W$603,393)))</f>
        <v/>
      </c>
      <c r="D1695" s="107" t="str">
        <f aca="false">IF($E1695="","",INDEX(资金日记账!$D$4:$D$603,393))</f>
        <v/>
      </c>
      <c r="E1695" s="67" t="str">
        <f aca="false">IF(INDEX(资金日记账!$N$4:$S$603,393,4)=0,"",INDEX(资金日记账!$N$4:$S$603,393,4))</f>
        <v/>
      </c>
      <c r="F1695" s="99" t="str">
        <f aca="false">IF($E1695="","",IFERROR(INDEX(科目表!$A$4:$A$81,MATCH($E1695,科目表!$B$4:$B$81,0)),""))</f>
        <v/>
      </c>
      <c r="G1695" s="67" t="str">
        <f aca="false">IF($E1695="","",IFERROR(INDEX(科目表!$E$4:$E$81,MATCH($E1695,科目表!$B$4:$B$81,0)),""))</f>
        <v/>
      </c>
      <c r="H1695" s="70" t="str">
        <f aca="false">IF($E1695="","",N(INDEX(资金日记账!$N$4:$S$603,393,5)))</f>
        <v/>
      </c>
      <c r="I1695" s="70" t="str">
        <f aca="false">IF($E1695="","",N(INDEX(资金日记账!$N$4:$S$603,393,6)))</f>
        <v/>
      </c>
      <c r="J1695" s="67" t="str">
        <f aca="false">IF($E1695="","",INDEX(资金日记账!$E$4:$E$603,393))</f>
        <v/>
      </c>
      <c r="K1695" s="67" t="str">
        <f aca="false">IF($E1695="","",INDEX(资金日记账!$F$4:$F$603,393))</f>
        <v/>
      </c>
      <c r="L1695" s="107" t="str">
        <f aca="false">IF($E1695="","",INDEX(资金日记账!$X$4:$X$603,393))</f>
        <v/>
      </c>
      <c r="M1695" s="107"/>
      <c r="N1695" s="67" t="str">
        <f aca="false">IF($E1695="","",INDEX(资金日记账!$Y$4:$Y$603,393))</f>
        <v/>
      </c>
      <c r="O1695" s="67" t="str">
        <f aca="false">IF($E1695="","","自动B")</f>
        <v/>
      </c>
      <c r="P1695" s="18"/>
    </row>
    <row r="1696" customFormat="false" ht="18" hidden="false" customHeight="true" outlineLevel="0" collapsed="false">
      <c r="A1696" s="107" t="str">
        <f aca="false">IF($E1696="","",ROW()-3)</f>
        <v/>
      </c>
      <c r="B1696" s="110" t="str">
        <f aca="false">IF($E1696="","",INDEX(资金日记账!$B$4:$B$603,394))</f>
        <v/>
      </c>
      <c r="C1696" s="67" t="str">
        <f aca="false">IF($E1696="","",IF(INDEX(资金日记账!$W$4:$W$603,394)="","记-"&amp;TEXT($B1696,"YYYYMM")&amp;"-资金",INDEX(资金日记账!$W$4:$W$603,394)))</f>
        <v/>
      </c>
      <c r="D1696" s="107" t="str">
        <f aca="false">IF($E1696="","",INDEX(资金日记账!$D$4:$D$603,394))</f>
        <v/>
      </c>
      <c r="E1696" s="67" t="str">
        <f aca="false">IF(INDEX(资金日记账!$N$4:$S$603,394,1)=0,"",INDEX(资金日记账!$N$4:$S$603,394,1))</f>
        <v/>
      </c>
      <c r="F1696" s="99" t="str">
        <f aca="false">IF($E1696="","",IFERROR(INDEX(科目表!$A$4:$A$81,MATCH($E1696,科目表!$B$4:$B$81,0)),""))</f>
        <v/>
      </c>
      <c r="G1696" s="67" t="str">
        <f aca="false">IF($E1696="","",IFERROR(INDEX(科目表!$E$4:$E$81,MATCH($E1696,科目表!$B$4:$B$81,0)),""))</f>
        <v/>
      </c>
      <c r="H1696" s="70" t="str">
        <f aca="false">IF($E1696="","",N(INDEX(资金日记账!$N$4:$S$603,394,2)))</f>
        <v/>
      </c>
      <c r="I1696" s="70" t="str">
        <f aca="false">IF($E1696="","",N(INDEX(资金日记账!$N$4:$S$603,394,3)))</f>
        <v/>
      </c>
      <c r="J1696" s="67" t="str">
        <f aca="false">IF($E1696="","",INDEX(资金日记账!$E$4:$E$603,394))</f>
        <v/>
      </c>
      <c r="K1696" s="67" t="str">
        <f aca="false">IF($E1696="","",INDEX(资金日记账!$F$4:$F$603,394))</f>
        <v/>
      </c>
      <c r="L1696" s="107" t="str">
        <f aca="false">IF($E1696="","",INDEX(资金日记账!$X$4:$X$603,394))</f>
        <v/>
      </c>
      <c r="M1696" s="107"/>
      <c r="N1696" s="67" t="str">
        <f aca="false">IF($E1696="","",INDEX(资金日记账!$Y$4:$Y$603,394))</f>
        <v/>
      </c>
      <c r="O1696" s="67" t="str">
        <f aca="false">IF($E1696="","","自动B")</f>
        <v/>
      </c>
      <c r="P1696" s="18"/>
    </row>
    <row r="1697" customFormat="false" ht="18" hidden="false" customHeight="true" outlineLevel="0" collapsed="false">
      <c r="A1697" s="107" t="str">
        <f aca="false">IF($E1697="","",ROW()-3)</f>
        <v/>
      </c>
      <c r="B1697" s="110" t="str">
        <f aca="false">IF($E1697="","",INDEX(资金日记账!$B$4:$B$603,394))</f>
        <v/>
      </c>
      <c r="C1697" s="67" t="str">
        <f aca="false">IF($E1697="","",IF(INDEX(资金日记账!$W$4:$W$603,394)="","记-"&amp;TEXT($B1697,"YYYYMM")&amp;"-资金",INDEX(资金日记账!$W$4:$W$603,394)))</f>
        <v/>
      </c>
      <c r="D1697" s="107" t="str">
        <f aca="false">IF($E1697="","",INDEX(资金日记账!$D$4:$D$603,394))</f>
        <v/>
      </c>
      <c r="E1697" s="67" t="str">
        <f aca="false">IF(INDEX(资金日记账!$N$4:$S$603,394,4)=0,"",INDEX(资金日记账!$N$4:$S$603,394,4))</f>
        <v/>
      </c>
      <c r="F1697" s="99" t="str">
        <f aca="false">IF($E1697="","",IFERROR(INDEX(科目表!$A$4:$A$81,MATCH($E1697,科目表!$B$4:$B$81,0)),""))</f>
        <v/>
      </c>
      <c r="G1697" s="67" t="str">
        <f aca="false">IF($E1697="","",IFERROR(INDEX(科目表!$E$4:$E$81,MATCH($E1697,科目表!$B$4:$B$81,0)),""))</f>
        <v/>
      </c>
      <c r="H1697" s="70" t="str">
        <f aca="false">IF($E1697="","",N(INDEX(资金日记账!$N$4:$S$603,394,5)))</f>
        <v/>
      </c>
      <c r="I1697" s="70" t="str">
        <f aca="false">IF($E1697="","",N(INDEX(资金日记账!$N$4:$S$603,394,6)))</f>
        <v/>
      </c>
      <c r="J1697" s="67" t="str">
        <f aca="false">IF($E1697="","",INDEX(资金日记账!$E$4:$E$603,394))</f>
        <v/>
      </c>
      <c r="K1697" s="67" t="str">
        <f aca="false">IF($E1697="","",INDEX(资金日记账!$F$4:$F$603,394))</f>
        <v/>
      </c>
      <c r="L1697" s="107" t="str">
        <f aca="false">IF($E1697="","",INDEX(资金日记账!$X$4:$X$603,394))</f>
        <v/>
      </c>
      <c r="M1697" s="107"/>
      <c r="N1697" s="67" t="str">
        <f aca="false">IF($E1697="","",INDEX(资金日记账!$Y$4:$Y$603,394))</f>
        <v/>
      </c>
      <c r="O1697" s="67" t="str">
        <f aca="false">IF($E1697="","","自动B")</f>
        <v/>
      </c>
      <c r="P1697" s="18"/>
    </row>
    <row r="1698" customFormat="false" ht="18" hidden="false" customHeight="true" outlineLevel="0" collapsed="false">
      <c r="A1698" s="107" t="str">
        <f aca="false">IF($E1698="","",ROW()-3)</f>
        <v/>
      </c>
      <c r="B1698" s="110" t="str">
        <f aca="false">IF($E1698="","",INDEX(资金日记账!$B$4:$B$603,395))</f>
        <v/>
      </c>
      <c r="C1698" s="67" t="str">
        <f aca="false">IF($E1698="","",IF(INDEX(资金日记账!$W$4:$W$603,395)="","记-"&amp;TEXT($B1698,"YYYYMM")&amp;"-资金",INDEX(资金日记账!$W$4:$W$603,395)))</f>
        <v/>
      </c>
      <c r="D1698" s="107" t="str">
        <f aca="false">IF($E1698="","",INDEX(资金日记账!$D$4:$D$603,395))</f>
        <v/>
      </c>
      <c r="E1698" s="67" t="str">
        <f aca="false">IF(INDEX(资金日记账!$N$4:$S$603,395,1)=0,"",INDEX(资金日记账!$N$4:$S$603,395,1))</f>
        <v/>
      </c>
      <c r="F1698" s="99" t="str">
        <f aca="false">IF($E1698="","",IFERROR(INDEX(科目表!$A$4:$A$81,MATCH($E1698,科目表!$B$4:$B$81,0)),""))</f>
        <v/>
      </c>
      <c r="G1698" s="67" t="str">
        <f aca="false">IF($E1698="","",IFERROR(INDEX(科目表!$E$4:$E$81,MATCH($E1698,科目表!$B$4:$B$81,0)),""))</f>
        <v/>
      </c>
      <c r="H1698" s="70" t="str">
        <f aca="false">IF($E1698="","",N(INDEX(资金日记账!$N$4:$S$603,395,2)))</f>
        <v/>
      </c>
      <c r="I1698" s="70" t="str">
        <f aca="false">IF($E1698="","",N(INDEX(资金日记账!$N$4:$S$603,395,3)))</f>
        <v/>
      </c>
      <c r="J1698" s="67" t="str">
        <f aca="false">IF($E1698="","",INDEX(资金日记账!$E$4:$E$603,395))</f>
        <v/>
      </c>
      <c r="K1698" s="67" t="str">
        <f aca="false">IF($E1698="","",INDEX(资金日记账!$F$4:$F$603,395))</f>
        <v/>
      </c>
      <c r="L1698" s="107" t="str">
        <f aca="false">IF($E1698="","",INDEX(资金日记账!$X$4:$X$603,395))</f>
        <v/>
      </c>
      <c r="M1698" s="107"/>
      <c r="N1698" s="67" t="str">
        <f aca="false">IF($E1698="","",INDEX(资金日记账!$Y$4:$Y$603,395))</f>
        <v/>
      </c>
      <c r="O1698" s="67" t="str">
        <f aca="false">IF($E1698="","","自动B")</f>
        <v/>
      </c>
      <c r="P1698" s="18"/>
    </row>
    <row r="1699" customFormat="false" ht="18" hidden="false" customHeight="true" outlineLevel="0" collapsed="false">
      <c r="A1699" s="107" t="str">
        <f aca="false">IF($E1699="","",ROW()-3)</f>
        <v/>
      </c>
      <c r="B1699" s="110" t="str">
        <f aca="false">IF($E1699="","",INDEX(资金日记账!$B$4:$B$603,395))</f>
        <v/>
      </c>
      <c r="C1699" s="67" t="str">
        <f aca="false">IF($E1699="","",IF(INDEX(资金日记账!$W$4:$W$603,395)="","记-"&amp;TEXT($B1699,"YYYYMM")&amp;"-资金",INDEX(资金日记账!$W$4:$W$603,395)))</f>
        <v/>
      </c>
      <c r="D1699" s="107" t="str">
        <f aca="false">IF($E1699="","",INDEX(资金日记账!$D$4:$D$603,395))</f>
        <v/>
      </c>
      <c r="E1699" s="67" t="str">
        <f aca="false">IF(INDEX(资金日记账!$N$4:$S$603,395,4)=0,"",INDEX(资金日记账!$N$4:$S$603,395,4))</f>
        <v/>
      </c>
      <c r="F1699" s="99" t="str">
        <f aca="false">IF($E1699="","",IFERROR(INDEX(科目表!$A$4:$A$81,MATCH($E1699,科目表!$B$4:$B$81,0)),""))</f>
        <v/>
      </c>
      <c r="G1699" s="67" t="str">
        <f aca="false">IF($E1699="","",IFERROR(INDEX(科目表!$E$4:$E$81,MATCH($E1699,科目表!$B$4:$B$81,0)),""))</f>
        <v/>
      </c>
      <c r="H1699" s="70" t="str">
        <f aca="false">IF($E1699="","",N(INDEX(资金日记账!$N$4:$S$603,395,5)))</f>
        <v/>
      </c>
      <c r="I1699" s="70" t="str">
        <f aca="false">IF($E1699="","",N(INDEX(资金日记账!$N$4:$S$603,395,6)))</f>
        <v/>
      </c>
      <c r="J1699" s="67" t="str">
        <f aca="false">IF($E1699="","",INDEX(资金日记账!$E$4:$E$603,395))</f>
        <v/>
      </c>
      <c r="K1699" s="67" t="str">
        <f aca="false">IF($E1699="","",INDEX(资金日记账!$F$4:$F$603,395))</f>
        <v/>
      </c>
      <c r="L1699" s="107" t="str">
        <f aca="false">IF($E1699="","",INDEX(资金日记账!$X$4:$X$603,395))</f>
        <v/>
      </c>
      <c r="M1699" s="107"/>
      <c r="N1699" s="67" t="str">
        <f aca="false">IF($E1699="","",INDEX(资金日记账!$Y$4:$Y$603,395))</f>
        <v/>
      </c>
      <c r="O1699" s="67" t="str">
        <f aca="false">IF($E1699="","","自动B")</f>
        <v/>
      </c>
      <c r="P1699" s="18"/>
    </row>
    <row r="1700" customFormat="false" ht="18" hidden="false" customHeight="true" outlineLevel="0" collapsed="false">
      <c r="A1700" s="107" t="str">
        <f aca="false">IF($E1700="","",ROW()-3)</f>
        <v/>
      </c>
      <c r="B1700" s="110" t="str">
        <f aca="false">IF($E1700="","",INDEX(资金日记账!$B$4:$B$603,396))</f>
        <v/>
      </c>
      <c r="C1700" s="67" t="str">
        <f aca="false">IF($E1700="","",IF(INDEX(资金日记账!$W$4:$W$603,396)="","记-"&amp;TEXT($B1700,"YYYYMM")&amp;"-资金",INDEX(资金日记账!$W$4:$W$603,396)))</f>
        <v/>
      </c>
      <c r="D1700" s="107" t="str">
        <f aca="false">IF($E1700="","",INDEX(资金日记账!$D$4:$D$603,396))</f>
        <v/>
      </c>
      <c r="E1700" s="67" t="str">
        <f aca="false">IF(INDEX(资金日记账!$N$4:$S$603,396,1)=0,"",INDEX(资金日记账!$N$4:$S$603,396,1))</f>
        <v/>
      </c>
      <c r="F1700" s="99" t="str">
        <f aca="false">IF($E1700="","",IFERROR(INDEX(科目表!$A$4:$A$81,MATCH($E1700,科目表!$B$4:$B$81,0)),""))</f>
        <v/>
      </c>
      <c r="G1700" s="67" t="str">
        <f aca="false">IF($E1700="","",IFERROR(INDEX(科目表!$E$4:$E$81,MATCH($E1700,科目表!$B$4:$B$81,0)),""))</f>
        <v/>
      </c>
      <c r="H1700" s="70" t="str">
        <f aca="false">IF($E1700="","",N(INDEX(资金日记账!$N$4:$S$603,396,2)))</f>
        <v/>
      </c>
      <c r="I1700" s="70" t="str">
        <f aca="false">IF($E1700="","",N(INDEX(资金日记账!$N$4:$S$603,396,3)))</f>
        <v/>
      </c>
      <c r="J1700" s="67" t="str">
        <f aca="false">IF($E1700="","",INDEX(资金日记账!$E$4:$E$603,396))</f>
        <v/>
      </c>
      <c r="K1700" s="67" t="str">
        <f aca="false">IF($E1700="","",INDEX(资金日记账!$F$4:$F$603,396))</f>
        <v/>
      </c>
      <c r="L1700" s="107" t="str">
        <f aca="false">IF($E1700="","",INDEX(资金日记账!$X$4:$X$603,396))</f>
        <v/>
      </c>
      <c r="M1700" s="107"/>
      <c r="N1700" s="67" t="str">
        <f aca="false">IF($E1700="","",INDEX(资金日记账!$Y$4:$Y$603,396))</f>
        <v/>
      </c>
      <c r="O1700" s="67" t="str">
        <f aca="false">IF($E1700="","","自动B")</f>
        <v/>
      </c>
      <c r="P1700" s="18"/>
    </row>
    <row r="1701" customFormat="false" ht="18" hidden="false" customHeight="true" outlineLevel="0" collapsed="false">
      <c r="A1701" s="107" t="str">
        <f aca="false">IF($E1701="","",ROW()-3)</f>
        <v/>
      </c>
      <c r="B1701" s="110" t="str">
        <f aca="false">IF($E1701="","",INDEX(资金日记账!$B$4:$B$603,396))</f>
        <v/>
      </c>
      <c r="C1701" s="67" t="str">
        <f aca="false">IF($E1701="","",IF(INDEX(资金日记账!$W$4:$W$603,396)="","记-"&amp;TEXT($B1701,"YYYYMM")&amp;"-资金",INDEX(资金日记账!$W$4:$W$603,396)))</f>
        <v/>
      </c>
      <c r="D1701" s="107" t="str">
        <f aca="false">IF($E1701="","",INDEX(资金日记账!$D$4:$D$603,396))</f>
        <v/>
      </c>
      <c r="E1701" s="67" t="str">
        <f aca="false">IF(INDEX(资金日记账!$N$4:$S$603,396,4)=0,"",INDEX(资金日记账!$N$4:$S$603,396,4))</f>
        <v/>
      </c>
      <c r="F1701" s="99" t="str">
        <f aca="false">IF($E1701="","",IFERROR(INDEX(科目表!$A$4:$A$81,MATCH($E1701,科目表!$B$4:$B$81,0)),""))</f>
        <v/>
      </c>
      <c r="G1701" s="67" t="str">
        <f aca="false">IF($E1701="","",IFERROR(INDEX(科目表!$E$4:$E$81,MATCH($E1701,科目表!$B$4:$B$81,0)),""))</f>
        <v/>
      </c>
      <c r="H1701" s="70" t="str">
        <f aca="false">IF($E1701="","",N(INDEX(资金日记账!$N$4:$S$603,396,5)))</f>
        <v/>
      </c>
      <c r="I1701" s="70" t="str">
        <f aca="false">IF($E1701="","",N(INDEX(资金日记账!$N$4:$S$603,396,6)))</f>
        <v/>
      </c>
      <c r="J1701" s="67" t="str">
        <f aca="false">IF($E1701="","",INDEX(资金日记账!$E$4:$E$603,396))</f>
        <v/>
      </c>
      <c r="K1701" s="67" t="str">
        <f aca="false">IF($E1701="","",INDEX(资金日记账!$F$4:$F$603,396))</f>
        <v/>
      </c>
      <c r="L1701" s="107" t="str">
        <f aca="false">IF($E1701="","",INDEX(资金日记账!$X$4:$X$603,396))</f>
        <v/>
      </c>
      <c r="M1701" s="107"/>
      <c r="N1701" s="67" t="str">
        <f aca="false">IF($E1701="","",INDEX(资金日记账!$Y$4:$Y$603,396))</f>
        <v/>
      </c>
      <c r="O1701" s="67" t="str">
        <f aca="false">IF($E1701="","","自动B")</f>
        <v/>
      </c>
      <c r="P1701" s="18"/>
    </row>
    <row r="1702" customFormat="false" ht="18" hidden="false" customHeight="true" outlineLevel="0" collapsed="false">
      <c r="A1702" s="107" t="str">
        <f aca="false">IF($E1702="","",ROW()-3)</f>
        <v/>
      </c>
      <c r="B1702" s="110" t="str">
        <f aca="false">IF($E1702="","",INDEX(资金日记账!$B$4:$B$603,397))</f>
        <v/>
      </c>
      <c r="C1702" s="67" t="str">
        <f aca="false">IF($E1702="","",IF(INDEX(资金日记账!$W$4:$W$603,397)="","记-"&amp;TEXT($B1702,"YYYYMM")&amp;"-资金",INDEX(资金日记账!$W$4:$W$603,397)))</f>
        <v/>
      </c>
      <c r="D1702" s="107" t="str">
        <f aca="false">IF($E1702="","",INDEX(资金日记账!$D$4:$D$603,397))</f>
        <v/>
      </c>
      <c r="E1702" s="67" t="str">
        <f aca="false">IF(INDEX(资金日记账!$N$4:$S$603,397,1)=0,"",INDEX(资金日记账!$N$4:$S$603,397,1))</f>
        <v/>
      </c>
      <c r="F1702" s="99" t="str">
        <f aca="false">IF($E1702="","",IFERROR(INDEX(科目表!$A$4:$A$81,MATCH($E1702,科目表!$B$4:$B$81,0)),""))</f>
        <v/>
      </c>
      <c r="G1702" s="67" t="str">
        <f aca="false">IF($E1702="","",IFERROR(INDEX(科目表!$E$4:$E$81,MATCH($E1702,科目表!$B$4:$B$81,0)),""))</f>
        <v/>
      </c>
      <c r="H1702" s="70" t="str">
        <f aca="false">IF($E1702="","",N(INDEX(资金日记账!$N$4:$S$603,397,2)))</f>
        <v/>
      </c>
      <c r="I1702" s="70" t="str">
        <f aca="false">IF($E1702="","",N(INDEX(资金日记账!$N$4:$S$603,397,3)))</f>
        <v/>
      </c>
      <c r="J1702" s="67" t="str">
        <f aca="false">IF($E1702="","",INDEX(资金日记账!$E$4:$E$603,397))</f>
        <v/>
      </c>
      <c r="K1702" s="67" t="str">
        <f aca="false">IF($E1702="","",INDEX(资金日记账!$F$4:$F$603,397))</f>
        <v/>
      </c>
      <c r="L1702" s="107" t="str">
        <f aca="false">IF($E1702="","",INDEX(资金日记账!$X$4:$X$603,397))</f>
        <v/>
      </c>
      <c r="M1702" s="107"/>
      <c r="N1702" s="67" t="str">
        <f aca="false">IF($E1702="","",INDEX(资金日记账!$Y$4:$Y$603,397))</f>
        <v/>
      </c>
      <c r="O1702" s="67" t="str">
        <f aca="false">IF($E1702="","","自动B")</f>
        <v/>
      </c>
      <c r="P1702" s="18"/>
    </row>
    <row r="1703" customFormat="false" ht="18" hidden="false" customHeight="true" outlineLevel="0" collapsed="false">
      <c r="A1703" s="107" t="str">
        <f aca="false">IF($E1703="","",ROW()-3)</f>
        <v/>
      </c>
      <c r="B1703" s="110" t="str">
        <f aca="false">IF($E1703="","",INDEX(资金日记账!$B$4:$B$603,397))</f>
        <v/>
      </c>
      <c r="C1703" s="67" t="str">
        <f aca="false">IF($E1703="","",IF(INDEX(资金日记账!$W$4:$W$603,397)="","记-"&amp;TEXT($B1703,"YYYYMM")&amp;"-资金",INDEX(资金日记账!$W$4:$W$603,397)))</f>
        <v/>
      </c>
      <c r="D1703" s="107" t="str">
        <f aca="false">IF($E1703="","",INDEX(资金日记账!$D$4:$D$603,397))</f>
        <v/>
      </c>
      <c r="E1703" s="67" t="str">
        <f aca="false">IF(INDEX(资金日记账!$N$4:$S$603,397,4)=0,"",INDEX(资金日记账!$N$4:$S$603,397,4))</f>
        <v/>
      </c>
      <c r="F1703" s="99" t="str">
        <f aca="false">IF($E1703="","",IFERROR(INDEX(科目表!$A$4:$A$81,MATCH($E1703,科目表!$B$4:$B$81,0)),""))</f>
        <v/>
      </c>
      <c r="G1703" s="67" t="str">
        <f aca="false">IF($E1703="","",IFERROR(INDEX(科目表!$E$4:$E$81,MATCH($E1703,科目表!$B$4:$B$81,0)),""))</f>
        <v/>
      </c>
      <c r="H1703" s="70" t="str">
        <f aca="false">IF($E1703="","",N(INDEX(资金日记账!$N$4:$S$603,397,5)))</f>
        <v/>
      </c>
      <c r="I1703" s="70" t="str">
        <f aca="false">IF($E1703="","",N(INDEX(资金日记账!$N$4:$S$603,397,6)))</f>
        <v/>
      </c>
      <c r="J1703" s="67" t="str">
        <f aca="false">IF($E1703="","",INDEX(资金日记账!$E$4:$E$603,397))</f>
        <v/>
      </c>
      <c r="K1703" s="67" t="str">
        <f aca="false">IF($E1703="","",INDEX(资金日记账!$F$4:$F$603,397))</f>
        <v/>
      </c>
      <c r="L1703" s="107" t="str">
        <f aca="false">IF($E1703="","",INDEX(资金日记账!$X$4:$X$603,397))</f>
        <v/>
      </c>
      <c r="M1703" s="107"/>
      <c r="N1703" s="67" t="str">
        <f aca="false">IF($E1703="","",INDEX(资金日记账!$Y$4:$Y$603,397))</f>
        <v/>
      </c>
      <c r="O1703" s="67" t="str">
        <f aca="false">IF($E1703="","","自动B")</f>
        <v/>
      </c>
      <c r="P1703" s="18"/>
    </row>
    <row r="1704" customFormat="false" ht="18" hidden="false" customHeight="true" outlineLevel="0" collapsed="false">
      <c r="A1704" s="107" t="str">
        <f aca="false">IF($E1704="","",ROW()-3)</f>
        <v/>
      </c>
      <c r="B1704" s="110" t="str">
        <f aca="false">IF($E1704="","",INDEX(资金日记账!$B$4:$B$603,398))</f>
        <v/>
      </c>
      <c r="C1704" s="67" t="str">
        <f aca="false">IF($E1704="","",IF(INDEX(资金日记账!$W$4:$W$603,398)="","记-"&amp;TEXT($B1704,"YYYYMM")&amp;"-资金",INDEX(资金日记账!$W$4:$W$603,398)))</f>
        <v/>
      </c>
      <c r="D1704" s="107" t="str">
        <f aca="false">IF($E1704="","",INDEX(资金日记账!$D$4:$D$603,398))</f>
        <v/>
      </c>
      <c r="E1704" s="67" t="str">
        <f aca="false">IF(INDEX(资金日记账!$N$4:$S$603,398,1)=0,"",INDEX(资金日记账!$N$4:$S$603,398,1))</f>
        <v/>
      </c>
      <c r="F1704" s="99" t="str">
        <f aca="false">IF($E1704="","",IFERROR(INDEX(科目表!$A$4:$A$81,MATCH($E1704,科目表!$B$4:$B$81,0)),""))</f>
        <v/>
      </c>
      <c r="G1704" s="67" t="str">
        <f aca="false">IF($E1704="","",IFERROR(INDEX(科目表!$E$4:$E$81,MATCH($E1704,科目表!$B$4:$B$81,0)),""))</f>
        <v/>
      </c>
      <c r="H1704" s="70" t="str">
        <f aca="false">IF($E1704="","",N(INDEX(资金日记账!$N$4:$S$603,398,2)))</f>
        <v/>
      </c>
      <c r="I1704" s="70" t="str">
        <f aca="false">IF($E1704="","",N(INDEX(资金日记账!$N$4:$S$603,398,3)))</f>
        <v/>
      </c>
      <c r="J1704" s="67" t="str">
        <f aca="false">IF($E1704="","",INDEX(资金日记账!$E$4:$E$603,398))</f>
        <v/>
      </c>
      <c r="K1704" s="67" t="str">
        <f aca="false">IF($E1704="","",INDEX(资金日记账!$F$4:$F$603,398))</f>
        <v/>
      </c>
      <c r="L1704" s="107" t="str">
        <f aca="false">IF($E1704="","",INDEX(资金日记账!$X$4:$X$603,398))</f>
        <v/>
      </c>
      <c r="M1704" s="107"/>
      <c r="N1704" s="67" t="str">
        <f aca="false">IF($E1704="","",INDEX(资金日记账!$Y$4:$Y$603,398))</f>
        <v/>
      </c>
      <c r="O1704" s="67" t="str">
        <f aca="false">IF($E1704="","","自动B")</f>
        <v/>
      </c>
      <c r="P1704" s="18"/>
    </row>
    <row r="1705" customFormat="false" ht="18" hidden="false" customHeight="true" outlineLevel="0" collapsed="false">
      <c r="A1705" s="107" t="str">
        <f aca="false">IF($E1705="","",ROW()-3)</f>
        <v/>
      </c>
      <c r="B1705" s="110" t="str">
        <f aca="false">IF($E1705="","",INDEX(资金日记账!$B$4:$B$603,398))</f>
        <v/>
      </c>
      <c r="C1705" s="67" t="str">
        <f aca="false">IF($E1705="","",IF(INDEX(资金日记账!$W$4:$W$603,398)="","记-"&amp;TEXT($B1705,"YYYYMM")&amp;"-资金",INDEX(资金日记账!$W$4:$W$603,398)))</f>
        <v/>
      </c>
      <c r="D1705" s="107" t="str">
        <f aca="false">IF($E1705="","",INDEX(资金日记账!$D$4:$D$603,398))</f>
        <v/>
      </c>
      <c r="E1705" s="67" t="str">
        <f aca="false">IF(INDEX(资金日记账!$N$4:$S$603,398,4)=0,"",INDEX(资金日记账!$N$4:$S$603,398,4))</f>
        <v/>
      </c>
      <c r="F1705" s="99" t="str">
        <f aca="false">IF($E1705="","",IFERROR(INDEX(科目表!$A$4:$A$81,MATCH($E1705,科目表!$B$4:$B$81,0)),""))</f>
        <v/>
      </c>
      <c r="G1705" s="67" t="str">
        <f aca="false">IF($E1705="","",IFERROR(INDEX(科目表!$E$4:$E$81,MATCH($E1705,科目表!$B$4:$B$81,0)),""))</f>
        <v/>
      </c>
      <c r="H1705" s="70" t="str">
        <f aca="false">IF($E1705="","",N(INDEX(资金日记账!$N$4:$S$603,398,5)))</f>
        <v/>
      </c>
      <c r="I1705" s="70" t="str">
        <f aca="false">IF($E1705="","",N(INDEX(资金日记账!$N$4:$S$603,398,6)))</f>
        <v/>
      </c>
      <c r="J1705" s="67" t="str">
        <f aca="false">IF($E1705="","",INDEX(资金日记账!$E$4:$E$603,398))</f>
        <v/>
      </c>
      <c r="K1705" s="67" t="str">
        <f aca="false">IF($E1705="","",INDEX(资金日记账!$F$4:$F$603,398))</f>
        <v/>
      </c>
      <c r="L1705" s="107" t="str">
        <f aca="false">IF($E1705="","",INDEX(资金日记账!$X$4:$X$603,398))</f>
        <v/>
      </c>
      <c r="M1705" s="107"/>
      <c r="N1705" s="67" t="str">
        <f aca="false">IF($E1705="","",INDEX(资金日记账!$Y$4:$Y$603,398))</f>
        <v/>
      </c>
      <c r="O1705" s="67" t="str">
        <f aca="false">IF($E1705="","","自动B")</f>
        <v/>
      </c>
      <c r="P1705" s="18"/>
    </row>
    <row r="1706" customFormat="false" ht="18" hidden="false" customHeight="true" outlineLevel="0" collapsed="false">
      <c r="A1706" s="107" t="str">
        <f aca="false">IF($E1706="","",ROW()-3)</f>
        <v/>
      </c>
      <c r="B1706" s="110" t="str">
        <f aca="false">IF($E1706="","",INDEX(资金日记账!$B$4:$B$603,399))</f>
        <v/>
      </c>
      <c r="C1706" s="67" t="str">
        <f aca="false">IF($E1706="","",IF(INDEX(资金日记账!$W$4:$W$603,399)="","记-"&amp;TEXT($B1706,"YYYYMM")&amp;"-资金",INDEX(资金日记账!$W$4:$W$603,399)))</f>
        <v/>
      </c>
      <c r="D1706" s="107" t="str">
        <f aca="false">IF($E1706="","",INDEX(资金日记账!$D$4:$D$603,399))</f>
        <v/>
      </c>
      <c r="E1706" s="67" t="str">
        <f aca="false">IF(INDEX(资金日记账!$N$4:$S$603,399,1)=0,"",INDEX(资金日记账!$N$4:$S$603,399,1))</f>
        <v/>
      </c>
      <c r="F1706" s="99" t="str">
        <f aca="false">IF($E1706="","",IFERROR(INDEX(科目表!$A$4:$A$81,MATCH($E1706,科目表!$B$4:$B$81,0)),""))</f>
        <v/>
      </c>
      <c r="G1706" s="67" t="str">
        <f aca="false">IF($E1706="","",IFERROR(INDEX(科目表!$E$4:$E$81,MATCH($E1706,科目表!$B$4:$B$81,0)),""))</f>
        <v/>
      </c>
      <c r="H1706" s="70" t="str">
        <f aca="false">IF($E1706="","",N(INDEX(资金日记账!$N$4:$S$603,399,2)))</f>
        <v/>
      </c>
      <c r="I1706" s="70" t="str">
        <f aca="false">IF($E1706="","",N(INDEX(资金日记账!$N$4:$S$603,399,3)))</f>
        <v/>
      </c>
      <c r="J1706" s="67" t="str">
        <f aca="false">IF($E1706="","",INDEX(资金日记账!$E$4:$E$603,399))</f>
        <v/>
      </c>
      <c r="K1706" s="67" t="str">
        <f aca="false">IF($E1706="","",INDEX(资金日记账!$F$4:$F$603,399))</f>
        <v/>
      </c>
      <c r="L1706" s="107" t="str">
        <f aca="false">IF($E1706="","",INDEX(资金日记账!$X$4:$X$603,399))</f>
        <v/>
      </c>
      <c r="M1706" s="107"/>
      <c r="N1706" s="67" t="str">
        <f aca="false">IF($E1706="","",INDEX(资金日记账!$Y$4:$Y$603,399))</f>
        <v/>
      </c>
      <c r="O1706" s="67" t="str">
        <f aca="false">IF($E1706="","","自动B")</f>
        <v/>
      </c>
      <c r="P1706" s="18"/>
    </row>
    <row r="1707" customFormat="false" ht="18" hidden="false" customHeight="true" outlineLevel="0" collapsed="false">
      <c r="A1707" s="107" t="str">
        <f aca="false">IF($E1707="","",ROW()-3)</f>
        <v/>
      </c>
      <c r="B1707" s="110" t="str">
        <f aca="false">IF($E1707="","",INDEX(资金日记账!$B$4:$B$603,399))</f>
        <v/>
      </c>
      <c r="C1707" s="67" t="str">
        <f aca="false">IF($E1707="","",IF(INDEX(资金日记账!$W$4:$W$603,399)="","记-"&amp;TEXT($B1707,"YYYYMM")&amp;"-资金",INDEX(资金日记账!$W$4:$W$603,399)))</f>
        <v/>
      </c>
      <c r="D1707" s="107" t="str">
        <f aca="false">IF($E1707="","",INDEX(资金日记账!$D$4:$D$603,399))</f>
        <v/>
      </c>
      <c r="E1707" s="67" t="str">
        <f aca="false">IF(INDEX(资金日记账!$N$4:$S$603,399,4)=0,"",INDEX(资金日记账!$N$4:$S$603,399,4))</f>
        <v/>
      </c>
      <c r="F1707" s="99" t="str">
        <f aca="false">IF($E1707="","",IFERROR(INDEX(科目表!$A$4:$A$81,MATCH($E1707,科目表!$B$4:$B$81,0)),""))</f>
        <v/>
      </c>
      <c r="G1707" s="67" t="str">
        <f aca="false">IF($E1707="","",IFERROR(INDEX(科目表!$E$4:$E$81,MATCH($E1707,科目表!$B$4:$B$81,0)),""))</f>
        <v/>
      </c>
      <c r="H1707" s="70" t="str">
        <f aca="false">IF($E1707="","",N(INDEX(资金日记账!$N$4:$S$603,399,5)))</f>
        <v/>
      </c>
      <c r="I1707" s="70" t="str">
        <f aca="false">IF($E1707="","",N(INDEX(资金日记账!$N$4:$S$603,399,6)))</f>
        <v/>
      </c>
      <c r="J1707" s="67" t="str">
        <f aca="false">IF($E1707="","",INDEX(资金日记账!$E$4:$E$603,399))</f>
        <v/>
      </c>
      <c r="K1707" s="67" t="str">
        <f aca="false">IF($E1707="","",INDEX(资金日记账!$F$4:$F$603,399))</f>
        <v/>
      </c>
      <c r="L1707" s="107" t="str">
        <f aca="false">IF($E1707="","",INDEX(资金日记账!$X$4:$X$603,399))</f>
        <v/>
      </c>
      <c r="M1707" s="107"/>
      <c r="N1707" s="67" t="str">
        <f aca="false">IF($E1707="","",INDEX(资金日记账!$Y$4:$Y$603,399))</f>
        <v/>
      </c>
      <c r="O1707" s="67" t="str">
        <f aca="false">IF($E1707="","","自动B")</f>
        <v/>
      </c>
      <c r="P1707" s="18"/>
    </row>
    <row r="1708" customFormat="false" ht="18" hidden="false" customHeight="true" outlineLevel="0" collapsed="false">
      <c r="A1708" s="107" t="str">
        <f aca="false">IF($E1708="","",ROW()-3)</f>
        <v/>
      </c>
      <c r="B1708" s="110" t="str">
        <f aca="false">IF($E1708="","",INDEX(资金日记账!$B$4:$B$603,400))</f>
        <v/>
      </c>
      <c r="C1708" s="67" t="str">
        <f aca="false">IF($E1708="","",IF(INDEX(资金日记账!$W$4:$W$603,400)="","记-"&amp;TEXT($B1708,"YYYYMM")&amp;"-资金",INDEX(资金日记账!$W$4:$W$603,400)))</f>
        <v/>
      </c>
      <c r="D1708" s="107" t="str">
        <f aca="false">IF($E1708="","",INDEX(资金日记账!$D$4:$D$603,400))</f>
        <v/>
      </c>
      <c r="E1708" s="67" t="str">
        <f aca="false">IF(INDEX(资金日记账!$N$4:$S$603,400,1)=0,"",INDEX(资金日记账!$N$4:$S$603,400,1))</f>
        <v/>
      </c>
      <c r="F1708" s="99" t="str">
        <f aca="false">IF($E1708="","",IFERROR(INDEX(科目表!$A$4:$A$81,MATCH($E1708,科目表!$B$4:$B$81,0)),""))</f>
        <v/>
      </c>
      <c r="G1708" s="67" t="str">
        <f aca="false">IF($E1708="","",IFERROR(INDEX(科目表!$E$4:$E$81,MATCH($E1708,科目表!$B$4:$B$81,0)),""))</f>
        <v/>
      </c>
      <c r="H1708" s="70" t="str">
        <f aca="false">IF($E1708="","",N(INDEX(资金日记账!$N$4:$S$603,400,2)))</f>
        <v/>
      </c>
      <c r="I1708" s="70" t="str">
        <f aca="false">IF($E1708="","",N(INDEX(资金日记账!$N$4:$S$603,400,3)))</f>
        <v/>
      </c>
      <c r="J1708" s="67" t="str">
        <f aca="false">IF($E1708="","",INDEX(资金日记账!$E$4:$E$603,400))</f>
        <v/>
      </c>
      <c r="K1708" s="67" t="str">
        <f aca="false">IF($E1708="","",INDEX(资金日记账!$F$4:$F$603,400))</f>
        <v/>
      </c>
      <c r="L1708" s="107" t="str">
        <f aca="false">IF($E1708="","",INDEX(资金日记账!$X$4:$X$603,400))</f>
        <v/>
      </c>
      <c r="M1708" s="107"/>
      <c r="N1708" s="67" t="str">
        <f aca="false">IF($E1708="","",INDEX(资金日记账!$Y$4:$Y$603,400))</f>
        <v/>
      </c>
      <c r="O1708" s="67" t="str">
        <f aca="false">IF($E1708="","","自动B")</f>
        <v/>
      </c>
      <c r="P1708" s="18"/>
    </row>
    <row r="1709" customFormat="false" ht="18" hidden="false" customHeight="true" outlineLevel="0" collapsed="false">
      <c r="A1709" s="107" t="str">
        <f aca="false">IF($E1709="","",ROW()-3)</f>
        <v/>
      </c>
      <c r="B1709" s="110" t="str">
        <f aca="false">IF($E1709="","",INDEX(资金日记账!$B$4:$B$603,400))</f>
        <v/>
      </c>
      <c r="C1709" s="67" t="str">
        <f aca="false">IF($E1709="","",IF(INDEX(资金日记账!$W$4:$W$603,400)="","记-"&amp;TEXT($B1709,"YYYYMM")&amp;"-资金",INDEX(资金日记账!$W$4:$W$603,400)))</f>
        <v/>
      </c>
      <c r="D1709" s="107" t="str">
        <f aca="false">IF($E1709="","",INDEX(资金日记账!$D$4:$D$603,400))</f>
        <v/>
      </c>
      <c r="E1709" s="67" t="str">
        <f aca="false">IF(INDEX(资金日记账!$N$4:$S$603,400,4)=0,"",INDEX(资金日记账!$N$4:$S$603,400,4))</f>
        <v/>
      </c>
      <c r="F1709" s="99" t="str">
        <f aca="false">IF($E1709="","",IFERROR(INDEX(科目表!$A$4:$A$81,MATCH($E1709,科目表!$B$4:$B$81,0)),""))</f>
        <v/>
      </c>
      <c r="G1709" s="67" t="str">
        <f aca="false">IF($E1709="","",IFERROR(INDEX(科目表!$E$4:$E$81,MATCH($E1709,科目表!$B$4:$B$81,0)),""))</f>
        <v/>
      </c>
      <c r="H1709" s="70" t="str">
        <f aca="false">IF($E1709="","",N(INDEX(资金日记账!$N$4:$S$603,400,5)))</f>
        <v/>
      </c>
      <c r="I1709" s="70" t="str">
        <f aca="false">IF($E1709="","",N(INDEX(资金日记账!$N$4:$S$603,400,6)))</f>
        <v/>
      </c>
      <c r="J1709" s="67" t="str">
        <f aca="false">IF($E1709="","",INDEX(资金日记账!$E$4:$E$603,400))</f>
        <v/>
      </c>
      <c r="K1709" s="67" t="str">
        <f aca="false">IF($E1709="","",INDEX(资金日记账!$F$4:$F$603,400))</f>
        <v/>
      </c>
      <c r="L1709" s="107" t="str">
        <f aca="false">IF($E1709="","",INDEX(资金日记账!$X$4:$X$603,400))</f>
        <v/>
      </c>
      <c r="M1709" s="107"/>
      <c r="N1709" s="67" t="str">
        <f aca="false">IF($E1709="","",INDEX(资金日记账!$Y$4:$Y$603,400))</f>
        <v/>
      </c>
      <c r="O1709" s="67" t="str">
        <f aca="false">IF($E1709="","","自动B")</f>
        <v/>
      </c>
      <c r="P1709" s="18"/>
    </row>
    <row r="1710" customFormat="false" ht="18" hidden="false" customHeight="true" outlineLevel="0" collapsed="false">
      <c r="A1710" s="107" t="str">
        <f aca="false">IF($E1710="","",ROW()-3)</f>
        <v/>
      </c>
      <c r="B1710" s="110" t="str">
        <f aca="false">IF($E1710="","",INDEX(资金日记账!$B$4:$B$603,401))</f>
        <v/>
      </c>
      <c r="C1710" s="67" t="str">
        <f aca="false">IF($E1710="","",IF(INDEX(资金日记账!$W$4:$W$603,401)="","记-"&amp;TEXT($B1710,"YYYYMM")&amp;"-资金",INDEX(资金日记账!$W$4:$W$603,401)))</f>
        <v/>
      </c>
      <c r="D1710" s="107" t="str">
        <f aca="false">IF($E1710="","",INDEX(资金日记账!$D$4:$D$603,401))</f>
        <v/>
      </c>
      <c r="E1710" s="67" t="str">
        <f aca="false">IF(INDEX(资金日记账!$N$4:$S$603,401,1)=0,"",INDEX(资金日记账!$N$4:$S$603,401,1))</f>
        <v/>
      </c>
      <c r="F1710" s="99" t="str">
        <f aca="false">IF($E1710="","",IFERROR(INDEX(科目表!$A$4:$A$81,MATCH($E1710,科目表!$B$4:$B$81,0)),""))</f>
        <v/>
      </c>
      <c r="G1710" s="67" t="str">
        <f aca="false">IF($E1710="","",IFERROR(INDEX(科目表!$E$4:$E$81,MATCH($E1710,科目表!$B$4:$B$81,0)),""))</f>
        <v/>
      </c>
      <c r="H1710" s="70" t="str">
        <f aca="false">IF($E1710="","",N(INDEX(资金日记账!$N$4:$S$603,401,2)))</f>
        <v/>
      </c>
      <c r="I1710" s="70" t="str">
        <f aca="false">IF($E1710="","",N(INDEX(资金日记账!$N$4:$S$603,401,3)))</f>
        <v/>
      </c>
      <c r="J1710" s="67" t="str">
        <f aca="false">IF($E1710="","",INDEX(资金日记账!$E$4:$E$603,401))</f>
        <v/>
      </c>
      <c r="K1710" s="67" t="str">
        <f aca="false">IF($E1710="","",INDEX(资金日记账!$F$4:$F$603,401))</f>
        <v/>
      </c>
      <c r="L1710" s="107" t="str">
        <f aca="false">IF($E1710="","",INDEX(资金日记账!$X$4:$X$603,401))</f>
        <v/>
      </c>
      <c r="M1710" s="107"/>
      <c r="N1710" s="67" t="str">
        <f aca="false">IF($E1710="","",INDEX(资金日记账!$Y$4:$Y$603,401))</f>
        <v/>
      </c>
      <c r="O1710" s="67" t="str">
        <f aca="false">IF($E1710="","","自动B")</f>
        <v/>
      </c>
      <c r="P1710" s="18"/>
    </row>
    <row r="1711" customFormat="false" ht="18" hidden="false" customHeight="true" outlineLevel="0" collapsed="false">
      <c r="A1711" s="107" t="str">
        <f aca="false">IF($E1711="","",ROW()-3)</f>
        <v/>
      </c>
      <c r="B1711" s="110" t="str">
        <f aca="false">IF($E1711="","",INDEX(资金日记账!$B$4:$B$603,401))</f>
        <v/>
      </c>
      <c r="C1711" s="67" t="str">
        <f aca="false">IF($E1711="","",IF(INDEX(资金日记账!$W$4:$W$603,401)="","记-"&amp;TEXT($B1711,"YYYYMM")&amp;"-资金",INDEX(资金日记账!$W$4:$W$603,401)))</f>
        <v/>
      </c>
      <c r="D1711" s="107" t="str">
        <f aca="false">IF($E1711="","",INDEX(资金日记账!$D$4:$D$603,401))</f>
        <v/>
      </c>
      <c r="E1711" s="67" t="str">
        <f aca="false">IF(INDEX(资金日记账!$N$4:$S$603,401,4)=0,"",INDEX(资金日记账!$N$4:$S$603,401,4))</f>
        <v/>
      </c>
      <c r="F1711" s="99" t="str">
        <f aca="false">IF($E1711="","",IFERROR(INDEX(科目表!$A$4:$A$81,MATCH($E1711,科目表!$B$4:$B$81,0)),""))</f>
        <v/>
      </c>
      <c r="G1711" s="67" t="str">
        <f aca="false">IF($E1711="","",IFERROR(INDEX(科目表!$E$4:$E$81,MATCH($E1711,科目表!$B$4:$B$81,0)),""))</f>
        <v/>
      </c>
      <c r="H1711" s="70" t="str">
        <f aca="false">IF($E1711="","",N(INDEX(资金日记账!$N$4:$S$603,401,5)))</f>
        <v/>
      </c>
      <c r="I1711" s="70" t="str">
        <f aca="false">IF($E1711="","",N(INDEX(资金日记账!$N$4:$S$603,401,6)))</f>
        <v/>
      </c>
      <c r="J1711" s="67" t="str">
        <f aca="false">IF($E1711="","",INDEX(资金日记账!$E$4:$E$603,401))</f>
        <v/>
      </c>
      <c r="K1711" s="67" t="str">
        <f aca="false">IF($E1711="","",INDEX(资金日记账!$F$4:$F$603,401))</f>
        <v/>
      </c>
      <c r="L1711" s="107" t="str">
        <f aca="false">IF($E1711="","",INDEX(资金日记账!$X$4:$X$603,401))</f>
        <v/>
      </c>
      <c r="M1711" s="107"/>
      <c r="N1711" s="67" t="str">
        <f aca="false">IF($E1711="","",INDEX(资金日记账!$Y$4:$Y$603,401))</f>
        <v/>
      </c>
      <c r="O1711" s="67" t="str">
        <f aca="false">IF($E1711="","","自动B")</f>
        <v/>
      </c>
      <c r="P1711" s="18"/>
    </row>
    <row r="1712" customFormat="false" ht="18" hidden="false" customHeight="true" outlineLevel="0" collapsed="false">
      <c r="A1712" s="107" t="str">
        <f aca="false">IF($E1712="","",ROW()-3)</f>
        <v/>
      </c>
      <c r="B1712" s="110" t="str">
        <f aca="false">IF($E1712="","",INDEX(资金日记账!$B$4:$B$603,402))</f>
        <v/>
      </c>
      <c r="C1712" s="67" t="str">
        <f aca="false">IF($E1712="","",IF(INDEX(资金日记账!$W$4:$W$603,402)="","记-"&amp;TEXT($B1712,"YYYYMM")&amp;"-资金",INDEX(资金日记账!$W$4:$W$603,402)))</f>
        <v/>
      </c>
      <c r="D1712" s="107" t="str">
        <f aca="false">IF($E1712="","",INDEX(资金日记账!$D$4:$D$603,402))</f>
        <v/>
      </c>
      <c r="E1712" s="67" t="str">
        <f aca="false">IF(INDEX(资金日记账!$N$4:$S$603,402,1)=0,"",INDEX(资金日记账!$N$4:$S$603,402,1))</f>
        <v/>
      </c>
      <c r="F1712" s="99" t="str">
        <f aca="false">IF($E1712="","",IFERROR(INDEX(科目表!$A$4:$A$81,MATCH($E1712,科目表!$B$4:$B$81,0)),""))</f>
        <v/>
      </c>
      <c r="G1712" s="67" t="str">
        <f aca="false">IF($E1712="","",IFERROR(INDEX(科目表!$E$4:$E$81,MATCH($E1712,科目表!$B$4:$B$81,0)),""))</f>
        <v/>
      </c>
      <c r="H1712" s="70" t="str">
        <f aca="false">IF($E1712="","",N(INDEX(资金日记账!$N$4:$S$603,402,2)))</f>
        <v/>
      </c>
      <c r="I1712" s="70" t="str">
        <f aca="false">IF($E1712="","",N(INDEX(资金日记账!$N$4:$S$603,402,3)))</f>
        <v/>
      </c>
      <c r="J1712" s="67" t="str">
        <f aca="false">IF($E1712="","",INDEX(资金日记账!$E$4:$E$603,402))</f>
        <v/>
      </c>
      <c r="K1712" s="67" t="str">
        <f aca="false">IF($E1712="","",INDEX(资金日记账!$F$4:$F$603,402))</f>
        <v/>
      </c>
      <c r="L1712" s="107" t="str">
        <f aca="false">IF($E1712="","",INDEX(资金日记账!$X$4:$X$603,402))</f>
        <v/>
      </c>
      <c r="M1712" s="107"/>
      <c r="N1712" s="67" t="str">
        <f aca="false">IF($E1712="","",INDEX(资金日记账!$Y$4:$Y$603,402))</f>
        <v/>
      </c>
      <c r="O1712" s="67" t="str">
        <f aca="false">IF($E1712="","","自动B")</f>
        <v/>
      </c>
      <c r="P1712" s="18"/>
    </row>
    <row r="1713" customFormat="false" ht="18" hidden="false" customHeight="true" outlineLevel="0" collapsed="false">
      <c r="A1713" s="107" t="str">
        <f aca="false">IF($E1713="","",ROW()-3)</f>
        <v/>
      </c>
      <c r="B1713" s="110" t="str">
        <f aca="false">IF($E1713="","",INDEX(资金日记账!$B$4:$B$603,402))</f>
        <v/>
      </c>
      <c r="C1713" s="67" t="str">
        <f aca="false">IF($E1713="","",IF(INDEX(资金日记账!$W$4:$W$603,402)="","记-"&amp;TEXT($B1713,"YYYYMM")&amp;"-资金",INDEX(资金日记账!$W$4:$W$603,402)))</f>
        <v/>
      </c>
      <c r="D1713" s="107" t="str">
        <f aca="false">IF($E1713="","",INDEX(资金日记账!$D$4:$D$603,402))</f>
        <v/>
      </c>
      <c r="E1713" s="67" t="str">
        <f aca="false">IF(INDEX(资金日记账!$N$4:$S$603,402,4)=0,"",INDEX(资金日记账!$N$4:$S$603,402,4))</f>
        <v/>
      </c>
      <c r="F1713" s="99" t="str">
        <f aca="false">IF($E1713="","",IFERROR(INDEX(科目表!$A$4:$A$81,MATCH($E1713,科目表!$B$4:$B$81,0)),""))</f>
        <v/>
      </c>
      <c r="G1713" s="67" t="str">
        <f aca="false">IF($E1713="","",IFERROR(INDEX(科目表!$E$4:$E$81,MATCH($E1713,科目表!$B$4:$B$81,0)),""))</f>
        <v/>
      </c>
      <c r="H1713" s="70" t="str">
        <f aca="false">IF($E1713="","",N(INDEX(资金日记账!$N$4:$S$603,402,5)))</f>
        <v/>
      </c>
      <c r="I1713" s="70" t="str">
        <f aca="false">IF($E1713="","",N(INDEX(资金日记账!$N$4:$S$603,402,6)))</f>
        <v/>
      </c>
      <c r="J1713" s="67" t="str">
        <f aca="false">IF($E1713="","",INDEX(资金日记账!$E$4:$E$603,402))</f>
        <v/>
      </c>
      <c r="K1713" s="67" t="str">
        <f aca="false">IF($E1713="","",INDEX(资金日记账!$F$4:$F$603,402))</f>
        <v/>
      </c>
      <c r="L1713" s="107" t="str">
        <f aca="false">IF($E1713="","",INDEX(资金日记账!$X$4:$X$603,402))</f>
        <v/>
      </c>
      <c r="M1713" s="107"/>
      <c r="N1713" s="67" t="str">
        <f aca="false">IF($E1713="","",INDEX(资金日记账!$Y$4:$Y$603,402))</f>
        <v/>
      </c>
      <c r="O1713" s="67" t="str">
        <f aca="false">IF($E1713="","","自动B")</f>
        <v/>
      </c>
      <c r="P1713" s="18"/>
    </row>
    <row r="1714" customFormat="false" ht="18" hidden="false" customHeight="true" outlineLevel="0" collapsed="false">
      <c r="A1714" s="107" t="str">
        <f aca="false">IF($E1714="","",ROW()-3)</f>
        <v/>
      </c>
      <c r="B1714" s="110" t="str">
        <f aca="false">IF($E1714="","",INDEX(资金日记账!$B$4:$B$603,403))</f>
        <v/>
      </c>
      <c r="C1714" s="67" t="str">
        <f aca="false">IF($E1714="","",IF(INDEX(资金日记账!$W$4:$W$603,403)="","记-"&amp;TEXT($B1714,"YYYYMM")&amp;"-资金",INDEX(资金日记账!$W$4:$W$603,403)))</f>
        <v/>
      </c>
      <c r="D1714" s="107" t="str">
        <f aca="false">IF($E1714="","",INDEX(资金日记账!$D$4:$D$603,403))</f>
        <v/>
      </c>
      <c r="E1714" s="67" t="str">
        <f aca="false">IF(INDEX(资金日记账!$N$4:$S$603,403,1)=0,"",INDEX(资金日记账!$N$4:$S$603,403,1))</f>
        <v/>
      </c>
      <c r="F1714" s="99" t="str">
        <f aca="false">IF($E1714="","",IFERROR(INDEX(科目表!$A$4:$A$81,MATCH($E1714,科目表!$B$4:$B$81,0)),""))</f>
        <v/>
      </c>
      <c r="G1714" s="67" t="str">
        <f aca="false">IF($E1714="","",IFERROR(INDEX(科目表!$E$4:$E$81,MATCH($E1714,科目表!$B$4:$B$81,0)),""))</f>
        <v/>
      </c>
      <c r="H1714" s="70" t="str">
        <f aca="false">IF($E1714="","",N(INDEX(资金日记账!$N$4:$S$603,403,2)))</f>
        <v/>
      </c>
      <c r="I1714" s="70" t="str">
        <f aca="false">IF($E1714="","",N(INDEX(资金日记账!$N$4:$S$603,403,3)))</f>
        <v/>
      </c>
      <c r="J1714" s="67" t="str">
        <f aca="false">IF($E1714="","",INDEX(资金日记账!$E$4:$E$603,403))</f>
        <v/>
      </c>
      <c r="K1714" s="67" t="str">
        <f aca="false">IF($E1714="","",INDEX(资金日记账!$F$4:$F$603,403))</f>
        <v/>
      </c>
      <c r="L1714" s="107" t="str">
        <f aca="false">IF($E1714="","",INDEX(资金日记账!$X$4:$X$603,403))</f>
        <v/>
      </c>
      <c r="M1714" s="107"/>
      <c r="N1714" s="67" t="str">
        <f aca="false">IF($E1714="","",INDEX(资金日记账!$Y$4:$Y$603,403))</f>
        <v/>
      </c>
      <c r="O1714" s="67" t="str">
        <f aca="false">IF($E1714="","","自动B")</f>
        <v/>
      </c>
      <c r="P1714" s="18"/>
    </row>
    <row r="1715" customFormat="false" ht="18" hidden="false" customHeight="true" outlineLevel="0" collapsed="false">
      <c r="A1715" s="107" t="str">
        <f aca="false">IF($E1715="","",ROW()-3)</f>
        <v/>
      </c>
      <c r="B1715" s="110" t="str">
        <f aca="false">IF($E1715="","",INDEX(资金日记账!$B$4:$B$603,403))</f>
        <v/>
      </c>
      <c r="C1715" s="67" t="str">
        <f aca="false">IF($E1715="","",IF(INDEX(资金日记账!$W$4:$W$603,403)="","记-"&amp;TEXT($B1715,"YYYYMM")&amp;"-资金",INDEX(资金日记账!$W$4:$W$603,403)))</f>
        <v/>
      </c>
      <c r="D1715" s="107" t="str">
        <f aca="false">IF($E1715="","",INDEX(资金日记账!$D$4:$D$603,403))</f>
        <v/>
      </c>
      <c r="E1715" s="67" t="str">
        <f aca="false">IF(INDEX(资金日记账!$N$4:$S$603,403,4)=0,"",INDEX(资金日记账!$N$4:$S$603,403,4))</f>
        <v/>
      </c>
      <c r="F1715" s="99" t="str">
        <f aca="false">IF($E1715="","",IFERROR(INDEX(科目表!$A$4:$A$81,MATCH($E1715,科目表!$B$4:$B$81,0)),""))</f>
        <v/>
      </c>
      <c r="G1715" s="67" t="str">
        <f aca="false">IF($E1715="","",IFERROR(INDEX(科目表!$E$4:$E$81,MATCH($E1715,科目表!$B$4:$B$81,0)),""))</f>
        <v/>
      </c>
      <c r="H1715" s="70" t="str">
        <f aca="false">IF($E1715="","",N(INDEX(资金日记账!$N$4:$S$603,403,5)))</f>
        <v/>
      </c>
      <c r="I1715" s="70" t="str">
        <f aca="false">IF($E1715="","",N(INDEX(资金日记账!$N$4:$S$603,403,6)))</f>
        <v/>
      </c>
      <c r="J1715" s="67" t="str">
        <f aca="false">IF($E1715="","",INDEX(资金日记账!$E$4:$E$603,403))</f>
        <v/>
      </c>
      <c r="K1715" s="67" t="str">
        <f aca="false">IF($E1715="","",INDEX(资金日记账!$F$4:$F$603,403))</f>
        <v/>
      </c>
      <c r="L1715" s="107" t="str">
        <f aca="false">IF($E1715="","",INDEX(资金日记账!$X$4:$X$603,403))</f>
        <v/>
      </c>
      <c r="M1715" s="107"/>
      <c r="N1715" s="67" t="str">
        <f aca="false">IF($E1715="","",INDEX(资金日记账!$Y$4:$Y$603,403))</f>
        <v/>
      </c>
      <c r="O1715" s="67" t="str">
        <f aca="false">IF($E1715="","","自动B")</f>
        <v/>
      </c>
      <c r="P1715" s="18"/>
    </row>
    <row r="1716" customFormat="false" ht="18" hidden="false" customHeight="true" outlineLevel="0" collapsed="false">
      <c r="A1716" s="107" t="str">
        <f aca="false">IF($E1716="","",ROW()-3)</f>
        <v/>
      </c>
      <c r="B1716" s="110" t="str">
        <f aca="false">IF($E1716="","",INDEX(资金日记账!$B$4:$B$603,404))</f>
        <v/>
      </c>
      <c r="C1716" s="67" t="str">
        <f aca="false">IF($E1716="","",IF(INDEX(资金日记账!$W$4:$W$603,404)="","记-"&amp;TEXT($B1716,"YYYYMM")&amp;"-资金",INDEX(资金日记账!$W$4:$W$603,404)))</f>
        <v/>
      </c>
      <c r="D1716" s="107" t="str">
        <f aca="false">IF($E1716="","",INDEX(资金日记账!$D$4:$D$603,404))</f>
        <v/>
      </c>
      <c r="E1716" s="67" t="str">
        <f aca="false">IF(INDEX(资金日记账!$N$4:$S$603,404,1)=0,"",INDEX(资金日记账!$N$4:$S$603,404,1))</f>
        <v/>
      </c>
      <c r="F1716" s="99" t="str">
        <f aca="false">IF($E1716="","",IFERROR(INDEX(科目表!$A$4:$A$81,MATCH($E1716,科目表!$B$4:$B$81,0)),""))</f>
        <v/>
      </c>
      <c r="G1716" s="67" t="str">
        <f aca="false">IF($E1716="","",IFERROR(INDEX(科目表!$E$4:$E$81,MATCH($E1716,科目表!$B$4:$B$81,0)),""))</f>
        <v/>
      </c>
      <c r="H1716" s="70" t="str">
        <f aca="false">IF($E1716="","",N(INDEX(资金日记账!$N$4:$S$603,404,2)))</f>
        <v/>
      </c>
      <c r="I1716" s="70" t="str">
        <f aca="false">IF($E1716="","",N(INDEX(资金日记账!$N$4:$S$603,404,3)))</f>
        <v/>
      </c>
      <c r="J1716" s="67" t="str">
        <f aca="false">IF($E1716="","",INDEX(资金日记账!$E$4:$E$603,404))</f>
        <v/>
      </c>
      <c r="K1716" s="67" t="str">
        <f aca="false">IF($E1716="","",INDEX(资金日记账!$F$4:$F$603,404))</f>
        <v/>
      </c>
      <c r="L1716" s="107" t="str">
        <f aca="false">IF($E1716="","",INDEX(资金日记账!$X$4:$X$603,404))</f>
        <v/>
      </c>
      <c r="M1716" s="107"/>
      <c r="N1716" s="67" t="str">
        <f aca="false">IF($E1716="","",INDEX(资金日记账!$Y$4:$Y$603,404))</f>
        <v/>
      </c>
      <c r="O1716" s="67" t="str">
        <f aca="false">IF($E1716="","","自动B")</f>
        <v/>
      </c>
      <c r="P1716" s="18"/>
    </row>
    <row r="1717" customFormat="false" ht="18" hidden="false" customHeight="true" outlineLevel="0" collapsed="false">
      <c r="A1717" s="107" t="str">
        <f aca="false">IF($E1717="","",ROW()-3)</f>
        <v/>
      </c>
      <c r="B1717" s="110" t="str">
        <f aca="false">IF($E1717="","",INDEX(资金日记账!$B$4:$B$603,404))</f>
        <v/>
      </c>
      <c r="C1717" s="67" t="str">
        <f aca="false">IF($E1717="","",IF(INDEX(资金日记账!$W$4:$W$603,404)="","记-"&amp;TEXT($B1717,"YYYYMM")&amp;"-资金",INDEX(资金日记账!$W$4:$W$603,404)))</f>
        <v/>
      </c>
      <c r="D1717" s="107" t="str">
        <f aca="false">IF($E1717="","",INDEX(资金日记账!$D$4:$D$603,404))</f>
        <v/>
      </c>
      <c r="E1717" s="67" t="str">
        <f aca="false">IF(INDEX(资金日记账!$N$4:$S$603,404,4)=0,"",INDEX(资金日记账!$N$4:$S$603,404,4))</f>
        <v/>
      </c>
      <c r="F1717" s="99" t="str">
        <f aca="false">IF($E1717="","",IFERROR(INDEX(科目表!$A$4:$A$81,MATCH($E1717,科目表!$B$4:$B$81,0)),""))</f>
        <v/>
      </c>
      <c r="G1717" s="67" t="str">
        <f aca="false">IF($E1717="","",IFERROR(INDEX(科目表!$E$4:$E$81,MATCH($E1717,科目表!$B$4:$B$81,0)),""))</f>
        <v/>
      </c>
      <c r="H1717" s="70" t="str">
        <f aca="false">IF($E1717="","",N(INDEX(资金日记账!$N$4:$S$603,404,5)))</f>
        <v/>
      </c>
      <c r="I1717" s="70" t="str">
        <f aca="false">IF($E1717="","",N(INDEX(资金日记账!$N$4:$S$603,404,6)))</f>
        <v/>
      </c>
      <c r="J1717" s="67" t="str">
        <f aca="false">IF($E1717="","",INDEX(资金日记账!$E$4:$E$603,404))</f>
        <v/>
      </c>
      <c r="K1717" s="67" t="str">
        <f aca="false">IF($E1717="","",INDEX(资金日记账!$F$4:$F$603,404))</f>
        <v/>
      </c>
      <c r="L1717" s="107" t="str">
        <f aca="false">IF($E1717="","",INDEX(资金日记账!$X$4:$X$603,404))</f>
        <v/>
      </c>
      <c r="M1717" s="107"/>
      <c r="N1717" s="67" t="str">
        <f aca="false">IF($E1717="","",INDEX(资金日记账!$Y$4:$Y$603,404))</f>
        <v/>
      </c>
      <c r="O1717" s="67" t="str">
        <f aca="false">IF($E1717="","","自动B")</f>
        <v/>
      </c>
      <c r="P1717" s="18"/>
    </row>
    <row r="1718" customFormat="false" ht="18" hidden="false" customHeight="true" outlineLevel="0" collapsed="false">
      <c r="A1718" s="107" t="str">
        <f aca="false">IF($E1718="","",ROW()-3)</f>
        <v/>
      </c>
      <c r="B1718" s="110" t="str">
        <f aca="false">IF($E1718="","",INDEX(资金日记账!$B$4:$B$603,405))</f>
        <v/>
      </c>
      <c r="C1718" s="67" t="str">
        <f aca="false">IF($E1718="","",IF(INDEX(资金日记账!$W$4:$W$603,405)="","记-"&amp;TEXT($B1718,"YYYYMM")&amp;"-资金",INDEX(资金日记账!$W$4:$W$603,405)))</f>
        <v/>
      </c>
      <c r="D1718" s="107" t="str">
        <f aca="false">IF($E1718="","",INDEX(资金日记账!$D$4:$D$603,405))</f>
        <v/>
      </c>
      <c r="E1718" s="67" t="str">
        <f aca="false">IF(INDEX(资金日记账!$N$4:$S$603,405,1)=0,"",INDEX(资金日记账!$N$4:$S$603,405,1))</f>
        <v/>
      </c>
      <c r="F1718" s="99" t="str">
        <f aca="false">IF($E1718="","",IFERROR(INDEX(科目表!$A$4:$A$81,MATCH($E1718,科目表!$B$4:$B$81,0)),""))</f>
        <v/>
      </c>
      <c r="G1718" s="67" t="str">
        <f aca="false">IF($E1718="","",IFERROR(INDEX(科目表!$E$4:$E$81,MATCH($E1718,科目表!$B$4:$B$81,0)),""))</f>
        <v/>
      </c>
      <c r="H1718" s="70" t="str">
        <f aca="false">IF($E1718="","",N(INDEX(资金日记账!$N$4:$S$603,405,2)))</f>
        <v/>
      </c>
      <c r="I1718" s="70" t="str">
        <f aca="false">IF($E1718="","",N(INDEX(资金日记账!$N$4:$S$603,405,3)))</f>
        <v/>
      </c>
      <c r="J1718" s="67" t="str">
        <f aca="false">IF($E1718="","",INDEX(资金日记账!$E$4:$E$603,405))</f>
        <v/>
      </c>
      <c r="K1718" s="67" t="str">
        <f aca="false">IF($E1718="","",INDEX(资金日记账!$F$4:$F$603,405))</f>
        <v/>
      </c>
      <c r="L1718" s="107" t="str">
        <f aca="false">IF($E1718="","",INDEX(资金日记账!$X$4:$X$603,405))</f>
        <v/>
      </c>
      <c r="M1718" s="107"/>
      <c r="N1718" s="67" t="str">
        <f aca="false">IF($E1718="","",INDEX(资金日记账!$Y$4:$Y$603,405))</f>
        <v/>
      </c>
      <c r="O1718" s="67" t="str">
        <f aca="false">IF($E1718="","","自动B")</f>
        <v/>
      </c>
      <c r="P1718" s="18"/>
    </row>
    <row r="1719" customFormat="false" ht="18" hidden="false" customHeight="true" outlineLevel="0" collapsed="false">
      <c r="A1719" s="107" t="str">
        <f aca="false">IF($E1719="","",ROW()-3)</f>
        <v/>
      </c>
      <c r="B1719" s="110" t="str">
        <f aca="false">IF($E1719="","",INDEX(资金日记账!$B$4:$B$603,405))</f>
        <v/>
      </c>
      <c r="C1719" s="67" t="str">
        <f aca="false">IF($E1719="","",IF(INDEX(资金日记账!$W$4:$W$603,405)="","记-"&amp;TEXT($B1719,"YYYYMM")&amp;"-资金",INDEX(资金日记账!$W$4:$W$603,405)))</f>
        <v/>
      </c>
      <c r="D1719" s="107" t="str">
        <f aca="false">IF($E1719="","",INDEX(资金日记账!$D$4:$D$603,405))</f>
        <v/>
      </c>
      <c r="E1719" s="67" t="str">
        <f aca="false">IF(INDEX(资金日记账!$N$4:$S$603,405,4)=0,"",INDEX(资金日记账!$N$4:$S$603,405,4))</f>
        <v/>
      </c>
      <c r="F1719" s="99" t="str">
        <f aca="false">IF($E1719="","",IFERROR(INDEX(科目表!$A$4:$A$81,MATCH($E1719,科目表!$B$4:$B$81,0)),""))</f>
        <v/>
      </c>
      <c r="G1719" s="67" t="str">
        <f aca="false">IF($E1719="","",IFERROR(INDEX(科目表!$E$4:$E$81,MATCH($E1719,科目表!$B$4:$B$81,0)),""))</f>
        <v/>
      </c>
      <c r="H1719" s="70" t="str">
        <f aca="false">IF($E1719="","",N(INDEX(资金日记账!$N$4:$S$603,405,5)))</f>
        <v/>
      </c>
      <c r="I1719" s="70" t="str">
        <f aca="false">IF($E1719="","",N(INDEX(资金日记账!$N$4:$S$603,405,6)))</f>
        <v/>
      </c>
      <c r="J1719" s="67" t="str">
        <f aca="false">IF($E1719="","",INDEX(资金日记账!$E$4:$E$603,405))</f>
        <v/>
      </c>
      <c r="K1719" s="67" t="str">
        <f aca="false">IF($E1719="","",INDEX(资金日记账!$F$4:$F$603,405))</f>
        <v/>
      </c>
      <c r="L1719" s="107" t="str">
        <f aca="false">IF($E1719="","",INDEX(资金日记账!$X$4:$X$603,405))</f>
        <v/>
      </c>
      <c r="M1719" s="107"/>
      <c r="N1719" s="67" t="str">
        <f aca="false">IF($E1719="","",INDEX(资金日记账!$Y$4:$Y$603,405))</f>
        <v/>
      </c>
      <c r="O1719" s="67" t="str">
        <f aca="false">IF($E1719="","","自动B")</f>
        <v/>
      </c>
      <c r="P1719" s="18"/>
    </row>
    <row r="1720" customFormat="false" ht="18" hidden="false" customHeight="true" outlineLevel="0" collapsed="false">
      <c r="A1720" s="107" t="str">
        <f aca="false">IF($E1720="","",ROW()-3)</f>
        <v/>
      </c>
      <c r="B1720" s="110" t="str">
        <f aca="false">IF($E1720="","",INDEX(资金日记账!$B$4:$B$603,406))</f>
        <v/>
      </c>
      <c r="C1720" s="67" t="str">
        <f aca="false">IF($E1720="","",IF(INDEX(资金日记账!$W$4:$W$603,406)="","记-"&amp;TEXT($B1720,"YYYYMM")&amp;"-资金",INDEX(资金日记账!$W$4:$W$603,406)))</f>
        <v/>
      </c>
      <c r="D1720" s="107" t="str">
        <f aca="false">IF($E1720="","",INDEX(资金日记账!$D$4:$D$603,406))</f>
        <v/>
      </c>
      <c r="E1720" s="67" t="str">
        <f aca="false">IF(INDEX(资金日记账!$N$4:$S$603,406,1)=0,"",INDEX(资金日记账!$N$4:$S$603,406,1))</f>
        <v/>
      </c>
      <c r="F1720" s="99" t="str">
        <f aca="false">IF($E1720="","",IFERROR(INDEX(科目表!$A$4:$A$81,MATCH($E1720,科目表!$B$4:$B$81,0)),""))</f>
        <v/>
      </c>
      <c r="G1720" s="67" t="str">
        <f aca="false">IF($E1720="","",IFERROR(INDEX(科目表!$E$4:$E$81,MATCH($E1720,科目表!$B$4:$B$81,0)),""))</f>
        <v/>
      </c>
      <c r="H1720" s="70" t="str">
        <f aca="false">IF($E1720="","",N(INDEX(资金日记账!$N$4:$S$603,406,2)))</f>
        <v/>
      </c>
      <c r="I1720" s="70" t="str">
        <f aca="false">IF($E1720="","",N(INDEX(资金日记账!$N$4:$S$603,406,3)))</f>
        <v/>
      </c>
      <c r="J1720" s="67" t="str">
        <f aca="false">IF($E1720="","",INDEX(资金日记账!$E$4:$E$603,406))</f>
        <v/>
      </c>
      <c r="K1720" s="67" t="str">
        <f aca="false">IF($E1720="","",INDEX(资金日记账!$F$4:$F$603,406))</f>
        <v/>
      </c>
      <c r="L1720" s="107" t="str">
        <f aca="false">IF($E1720="","",INDEX(资金日记账!$X$4:$X$603,406))</f>
        <v/>
      </c>
      <c r="M1720" s="107"/>
      <c r="N1720" s="67" t="str">
        <f aca="false">IF($E1720="","",INDEX(资金日记账!$Y$4:$Y$603,406))</f>
        <v/>
      </c>
      <c r="O1720" s="67" t="str">
        <f aca="false">IF($E1720="","","自动B")</f>
        <v/>
      </c>
      <c r="P1720" s="18"/>
    </row>
    <row r="1721" customFormat="false" ht="18" hidden="false" customHeight="true" outlineLevel="0" collapsed="false">
      <c r="A1721" s="107" t="str">
        <f aca="false">IF($E1721="","",ROW()-3)</f>
        <v/>
      </c>
      <c r="B1721" s="110" t="str">
        <f aca="false">IF($E1721="","",INDEX(资金日记账!$B$4:$B$603,406))</f>
        <v/>
      </c>
      <c r="C1721" s="67" t="str">
        <f aca="false">IF($E1721="","",IF(INDEX(资金日记账!$W$4:$W$603,406)="","记-"&amp;TEXT($B1721,"YYYYMM")&amp;"-资金",INDEX(资金日记账!$W$4:$W$603,406)))</f>
        <v/>
      </c>
      <c r="D1721" s="107" t="str">
        <f aca="false">IF($E1721="","",INDEX(资金日记账!$D$4:$D$603,406))</f>
        <v/>
      </c>
      <c r="E1721" s="67" t="str">
        <f aca="false">IF(INDEX(资金日记账!$N$4:$S$603,406,4)=0,"",INDEX(资金日记账!$N$4:$S$603,406,4))</f>
        <v/>
      </c>
      <c r="F1721" s="99" t="str">
        <f aca="false">IF($E1721="","",IFERROR(INDEX(科目表!$A$4:$A$81,MATCH($E1721,科目表!$B$4:$B$81,0)),""))</f>
        <v/>
      </c>
      <c r="G1721" s="67" t="str">
        <f aca="false">IF($E1721="","",IFERROR(INDEX(科目表!$E$4:$E$81,MATCH($E1721,科目表!$B$4:$B$81,0)),""))</f>
        <v/>
      </c>
      <c r="H1721" s="70" t="str">
        <f aca="false">IF($E1721="","",N(INDEX(资金日记账!$N$4:$S$603,406,5)))</f>
        <v/>
      </c>
      <c r="I1721" s="70" t="str">
        <f aca="false">IF($E1721="","",N(INDEX(资金日记账!$N$4:$S$603,406,6)))</f>
        <v/>
      </c>
      <c r="J1721" s="67" t="str">
        <f aca="false">IF($E1721="","",INDEX(资金日记账!$E$4:$E$603,406))</f>
        <v/>
      </c>
      <c r="K1721" s="67" t="str">
        <f aca="false">IF($E1721="","",INDEX(资金日记账!$F$4:$F$603,406))</f>
        <v/>
      </c>
      <c r="L1721" s="107" t="str">
        <f aca="false">IF($E1721="","",INDEX(资金日记账!$X$4:$X$603,406))</f>
        <v/>
      </c>
      <c r="M1721" s="107"/>
      <c r="N1721" s="67" t="str">
        <f aca="false">IF($E1721="","",INDEX(资金日记账!$Y$4:$Y$603,406))</f>
        <v/>
      </c>
      <c r="O1721" s="67" t="str">
        <f aca="false">IF($E1721="","","自动B")</f>
        <v/>
      </c>
      <c r="P1721" s="18"/>
    </row>
    <row r="1722" customFormat="false" ht="18" hidden="false" customHeight="true" outlineLevel="0" collapsed="false">
      <c r="A1722" s="107" t="str">
        <f aca="false">IF($E1722="","",ROW()-3)</f>
        <v/>
      </c>
      <c r="B1722" s="110" t="str">
        <f aca="false">IF($E1722="","",INDEX(资金日记账!$B$4:$B$603,407))</f>
        <v/>
      </c>
      <c r="C1722" s="67" t="str">
        <f aca="false">IF($E1722="","",IF(INDEX(资金日记账!$W$4:$W$603,407)="","记-"&amp;TEXT($B1722,"YYYYMM")&amp;"-资金",INDEX(资金日记账!$W$4:$W$603,407)))</f>
        <v/>
      </c>
      <c r="D1722" s="107" t="str">
        <f aca="false">IF($E1722="","",INDEX(资金日记账!$D$4:$D$603,407))</f>
        <v/>
      </c>
      <c r="E1722" s="67" t="str">
        <f aca="false">IF(INDEX(资金日记账!$N$4:$S$603,407,1)=0,"",INDEX(资金日记账!$N$4:$S$603,407,1))</f>
        <v/>
      </c>
      <c r="F1722" s="99" t="str">
        <f aca="false">IF($E1722="","",IFERROR(INDEX(科目表!$A$4:$A$81,MATCH($E1722,科目表!$B$4:$B$81,0)),""))</f>
        <v/>
      </c>
      <c r="G1722" s="67" t="str">
        <f aca="false">IF($E1722="","",IFERROR(INDEX(科目表!$E$4:$E$81,MATCH($E1722,科目表!$B$4:$B$81,0)),""))</f>
        <v/>
      </c>
      <c r="H1722" s="70" t="str">
        <f aca="false">IF($E1722="","",N(INDEX(资金日记账!$N$4:$S$603,407,2)))</f>
        <v/>
      </c>
      <c r="I1722" s="70" t="str">
        <f aca="false">IF($E1722="","",N(INDEX(资金日记账!$N$4:$S$603,407,3)))</f>
        <v/>
      </c>
      <c r="J1722" s="67" t="str">
        <f aca="false">IF($E1722="","",INDEX(资金日记账!$E$4:$E$603,407))</f>
        <v/>
      </c>
      <c r="K1722" s="67" t="str">
        <f aca="false">IF($E1722="","",INDEX(资金日记账!$F$4:$F$603,407))</f>
        <v/>
      </c>
      <c r="L1722" s="107" t="str">
        <f aca="false">IF($E1722="","",INDEX(资金日记账!$X$4:$X$603,407))</f>
        <v/>
      </c>
      <c r="M1722" s="107"/>
      <c r="N1722" s="67" t="str">
        <f aca="false">IF($E1722="","",INDEX(资金日记账!$Y$4:$Y$603,407))</f>
        <v/>
      </c>
      <c r="O1722" s="67" t="str">
        <f aca="false">IF($E1722="","","自动B")</f>
        <v/>
      </c>
      <c r="P1722" s="18"/>
    </row>
    <row r="1723" customFormat="false" ht="18" hidden="false" customHeight="true" outlineLevel="0" collapsed="false">
      <c r="A1723" s="107" t="str">
        <f aca="false">IF($E1723="","",ROW()-3)</f>
        <v/>
      </c>
      <c r="B1723" s="110" t="str">
        <f aca="false">IF($E1723="","",INDEX(资金日记账!$B$4:$B$603,407))</f>
        <v/>
      </c>
      <c r="C1723" s="67" t="str">
        <f aca="false">IF($E1723="","",IF(INDEX(资金日记账!$W$4:$W$603,407)="","记-"&amp;TEXT($B1723,"YYYYMM")&amp;"-资金",INDEX(资金日记账!$W$4:$W$603,407)))</f>
        <v/>
      </c>
      <c r="D1723" s="107" t="str">
        <f aca="false">IF($E1723="","",INDEX(资金日记账!$D$4:$D$603,407))</f>
        <v/>
      </c>
      <c r="E1723" s="67" t="str">
        <f aca="false">IF(INDEX(资金日记账!$N$4:$S$603,407,4)=0,"",INDEX(资金日记账!$N$4:$S$603,407,4))</f>
        <v/>
      </c>
      <c r="F1723" s="99" t="str">
        <f aca="false">IF($E1723="","",IFERROR(INDEX(科目表!$A$4:$A$81,MATCH($E1723,科目表!$B$4:$B$81,0)),""))</f>
        <v/>
      </c>
      <c r="G1723" s="67" t="str">
        <f aca="false">IF($E1723="","",IFERROR(INDEX(科目表!$E$4:$E$81,MATCH($E1723,科目表!$B$4:$B$81,0)),""))</f>
        <v/>
      </c>
      <c r="H1723" s="70" t="str">
        <f aca="false">IF($E1723="","",N(INDEX(资金日记账!$N$4:$S$603,407,5)))</f>
        <v/>
      </c>
      <c r="I1723" s="70" t="str">
        <f aca="false">IF($E1723="","",N(INDEX(资金日记账!$N$4:$S$603,407,6)))</f>
        <v/>
      </c>
      <c r="J1723" s="67" t="str">
        <f aca="false">IF($E1723="","",INDEX(资金日记账!$E$4:$E$603,407))</f>
        <v/>
      </c>
      <c r="K1723" s="67" t="str">
        <f aca="false">IF($E1723="","",INDEX(资金日记账!$F$4:$F$603,407))</f>
        <v/>
      </c>
      <c r="L1723" s="107" t="str">
        <f aca="false">IF($E1723="","",INDEX(资金日记账!$X$4:$X$603,407))</f>
        <v/>
      </c>
      <c r="M1723" s="107"/>
      <c r="N1723" s="67" t="str">
        <f aca="false">IF($E1723="","",INDEX(资金日记账!$Y$4:$Y$603,407))</f>
        <v/>
      </c>
      <c r="O1723" s="67" t="str">
        <f aca="false">IF($E1723="","","自动B")</f>
        <v/>
      </c>
      <c r="P1723" s="18"/>
    </row>
    <row r="1724" customFormat="false" ht="18" hidden="false" customHeight="true" outlineLevel="0" collapsed="false">
      <c r="A1724" s="107" t="str">
        <f aca="false">IF($E1724="","",ROW()-3)</f>
        <v/>
      </c>
      <c r="B1724" s="110" t="str">
        <f aca="false">IF($E1724="","",INDEX(资金日记账!$B$4:$B$603,408))</f>
        <v/>
      </c>
      <c r="C1724" s="67" t="str">
        <f aca="false">IF($E1724="","",IF(INDEX(资金日记账!$W$4:$W$603,408)="","记-"&amp;TEXT($B1724,"YYYYMM")&amp;"-资金",INDEX(资金日记账!$W$4:$W$603,408)))</f>
        <v/>
      </c>
      <c r="D1724" s="107" t="str">
        <f aca="false">IF($E1724="","",INDEX(资金日记账!$D$4:$D$603,408))</f>
        <v/>
      </c>
      <c r="E1724" s="67" t="str">
        <f aca="false">IF(INDEX(资金日记账!$N$4:$S$603,408,1)=0,"",INDEX(资金日记账!$N$4:$S$603,408,1))</f>
        <v/>
      </c>
      <c r="F1724" s="99" t="str">
        <f aca="false">IF($E1724="","",IFERROR(INDEX(科目表!$A$4:$A$81,MATCH($E1724,科目表!$B$4:$B$81,0)),""))</f>
        <v/>
      </c>
      <c r="G1724" s="67" t="str">
        <f aca="false">IF($E1724="","",IFERROR(INDEX(科目表!$E$4:$E$81,MATCH($E1724,科目表!$B$4:$B$81,0)),""))</f>
        <v/>
      </c>
      <c r="H1724" s="70" t="str">
        <f aca="false">IF($E1724="","",N(INDEX(资金日记账!$N$4:$S$603,408,2)))</f>
        <v/>
      </c>
      <c r="I1724" s="70" t="str">
        <f aca="false">IF($E1724="","",N(INDEX(资金日记账!$N$4:$S$603,408,3)))</f>
        <v/>
      </c>
      <c r="J1724" s="67" t="str">
        <f aca="false">IF($E1724="","",INDEX(资金日记账!$E$4:$E$603,408))</f>
        <v/>
      </c>
      <c r="K1724" s="67" t="str">
        <f aca="false">IF($E1724="","",INDEX(资金日记账!$F$4:$F$603,408))</f>
        <v/>
      </c>
      <c r="L1724" s="107" t="str">
        <f aca="false">IF($E1724="","",INDEX(资金日记账!$X$4:$X$603,408))</f>
        <v/>
      </c>
      <c r="M1724" s="107"/>
      <c r="N1724" s="67" t="str">
        <f aca="false">IF($E1724="","",INDEX(资金日记账!$Y$4:$Y$603,408))</f>
        <v/>
      </c>
      <c r="O1724" s="67" t="str">
        <f aca="false">IF($E1724="","","自动B")</f>
        <v/>
      </c>
      <c r="P1724" s="18"/>
    </row>
    <row r="1725" customFormat="false" ht="18" hidden="false" customHeight="true" outlineLevel="0" collapsed="false">
      <c r="A1725" s="107" t="str">
        <f aca="false">IF($E1725="","",ROW()-3)</f>
        <v/>
      </c>
      <c r="B1725" s="110" t="str">
        <f aca="false">IF($E1725="","",INDEX(资金日记账!$B$4:$B$603,408))</f>
        <v/>
      </c>
      <c r="C1725" s="67" t="str">
        <f aca="false">IF($E1725="","",IF(INDEX(资金日记账!$W$4:$W$603,408)="","记-"&amp;TEXT($B1725,"YYYYMM")&amp;"-资金",INDEX(资金日记账!$W$4:$W$603,408)))</f>
        <v/>
      </c>
      <c r="D1725" s="107" t="str">
        <f aca="false">IF($E1725="","",INDEX(资金日记账!$D$4:$D$603,408))</f>
        <v/>
      </c>
      <c r="E1725" s="67" t="str">
        <f aca="false">IF(INDEX(资金日记账!$N$4:$S$603,408,4)=0,"",INDEX(资金日记账!$N$4:$S$603,408,4))</f>
        <v/>
      </c>
      <c r="F1725" s="99" t="str">
        <f aca="false">IF($E1725="","",IFERROR(INDEX(科目表!$A$4:$A$81,MATCH($E1725,科目表!$B$4:$B$81,0)),""))</f>
        <v/>
      </c>
      <c r="G1725" s="67" t="str">
        <f aca="false">IF($E1725="","",IFERROR(INDEX(科目表!$E$4:$E$81,MATCH($E1725,科目表!$B$4:$B$81,0)),""))</f>
        <v/>
      </c>
      <c r="H1725" s="70" t="str">
        <f aca="false">IF($E1725="","",N(INDEX(资金日记账!$N$4:$S$603,408,5)))</f>
        <v/>
      </c>
      <c r="I1725" s="70" t="str">
        <f aca="false">IF($E1725="","",N(INDEX(资金日记账!$N$4:$S$603,408,6)))</f>
        <v/>
      </c>
      <c r="J1725" s="67" t="str">
        <f aca="false">IF($E1725="","",INDEX(资金日记账!$E$4:$E$603,408))</f>
        <v/>
      </c>
      <c r="K1725" s="67" t="str">
        <f aca="false">IF($E1725="","",INDEX(资金日记账!$F$4:$F$603,408))</f>
        <v/>
      </c>
      <c r="L1725" s="107" t="str">
        <f aca="false">IF($E1725="","",INDEX(资金日记账!$X$4:$X$603,408))</f>
        <v/>
      </c>
      <c r="M1725" s="107"/>
      <c r="N1725" s="67" t="str">
        <f aca="false">IF($E1725="","",INDEX(资金日记账!$Y$4:$Y$603,408))</f>
        <v/>
      </c>
      <c r="O1725" s="67" t="str">
        <f aca="false">IF($E1725="","","自动B")</f>
        <v/>
      </c>
      <c r="P1725" s="18"/>
    </row>
    <row r="1726" customFormat="false" ht="18" hidden="false" customHeight="true" outlineLevel="0" collapsed="false">
      <c r="A1726" s="107" t="str">
        <f aca="false">IF($E1726="","",ROW()-3)</f>
        <v/>
      </c>
      <c r="B1726" s="110" t="str">
        <f aca="false">IF($E1726="","",INDEX(资金日记账!$B$4:$B$603,409))</f>
        <v/>
      </c>
      <c r="C1726" s="67" t="str">
        <f aca="false">IF($E1726="","",IF(INDEX(资金日记账!$W$4:$W$603,409)="","记-"&amp;TEXT($B1726,"YYYYMM")&amp;"-资金",INDEX(资金日记账!$W$4:$W$603,409)))</f>
        <v/>
      </c>
      <c r="D1726" s="107" t="str">
        <f aca="false">IF($E1726="","",INDEX(资金日记账!$D$4:$D$603,409))</f>
        <v/>
      </c>
      <c r="E1726" s="67" t="str">
        <f aca="false">IF(INDEX(资金日记账!$N$4:$S$603,409,1)=0,"",INDEX(资金日记账!$N$4:$S$603,409,1))</f>
        <v/>
      </c>
      <c r="F1726" s="99" t="str">
        <f aca="false">IF($E1726="","",IFERROR(INDEX(科目表!$A$4:$A$81,MATCH($E1726,科目表!$B$4:$B$81,0)),""))</f>
        <v/>
      </c>
      <c r="G1726" s="67" t="str">
        <f aca="false">IF($E1726="","",IFERROR(INDEX(科目表!$E$4:$E$81,MATCH($E1726,科目表!$B$4:$B$81,0)),""))</f>
        <v/>
      </c>
      <c r="H1726" s="70" t="str">
        <f aca="false">IF($E1726="","",N(INDEX(资金日记账!$N$4:$S$603,409,2)))</f>
        <v/>
      </c>
      <c r="I1726" s="70" t="str">
        <f aca="false">IF($E1726="","",N(INDEX(资金日记账!$N$4:$S$603,409,3)))</f>
        <v/>
      </c>
      <c r="J1726" s="67" t="str">
        <f aca="false">IF($E1726="","",INDEX(资金日记账!$E$4:$E$603,409))</f>
        <v/>
      </c>
      <c r="K1726" s="67" t="str">
        <f aca="false">IF($E1726="","",INDEX(资金日记账!$F$4:$F$603,409))</f>
        <v/>
      </c>
      <c r="L1726" s="107" t="str">
        <f aca="false">IF($E1726="","",INDEX(资金日记账!$X$4:$X$603,409))</f>
        <v/>
      </c>
      <c r="M1726" s="107"/>
      <c r="N1726" s="67" t="str">
        <f aca="false">IF($E1726="","",INDEX(资金日记账!$Y$4:$Y$603,409))</f>
        <v/>
      </c>
      <c r="O1726" s="67" t="str">
        <f aca="false">IF($E1726="","","自动B")</f>
        <v/>
      </c>
      <c r="P1726" s="18"/>
    </row>
    <row r="1727" customFormat="false" ht="18" hidden="false" customHeight="true" outlineLevel="0" collapsed="false">
      <c r="A1727" s="107" t="str">
        <f aca="false">IF($E1727="","",ROW()-3)</f>
        <v/>
      </c>
      <c r="B1727" s="110" t="str">
        <f aca="false">IF($E1727="","",INDEX(资金日记账!$B$4:$B$603,409))</f>
        <v/>
      </c>
      <c r="C1727" s="67" t="str">
        <f aca="false">IF($E1727="","",IF(INDEX(资金日记账!$W$4:$W$603,409)="","记-"&amp;TEXT($B1727,"YYYYMM")&amp;"-资金",INDEX(资金日记账!$W$4:$W$603,409)))</f>
        <v/>
      </c>
      <c r="D1727" s="107" t="str">
        <f aca="false">IF($E1727="","",INDEX(资金日记账!$D$4:$D$603,409))</f>
        <v/>
      </c>
      <c r="E1727" s="67" t="str">
        <f aca="false">IF(INDEX(资金日记账!$N$4:$S$603,409,4)=0,"",INDEX(资金日记账!$N$4:$S$603,409,4))</f>
        <v/>
      </c>
      <c r="F1727" s="99" t="str">
        <f aca="false">IF($E1727="","",IFERROR(INDEX(科目表!$A$4:$A$81,MATCH($E1727,科目表!$B$4:$B$81,0)),""))</f>
        <v/>
      </c>
      <c r="G1727" s="67" t="str">
        <f aca="false">IF($E1727="","",IFERROR(INDEX(科目表!$E$4:$E$81,MATCH($E1727,科目表!$B$4:$B$81,0)),""))</f>
        <v/>
      </c>
      <c r="H1727" s="70" t="str">
        <f aca="false">IF($E1727="","",N(INDEX(资金日记账!$N$4:$S$603,409,5)))</f>
        <v/>
      </c>
      <c r="I1727" s="70" t="str">
        <f aca="false">IF($E1727="","",N(INDEX(资金日记账!$N$4:$S$603,409,6)))</f>
        <v/>
      </c>
      <c r="J1727" s="67" t="str">
        <f aca="false">IF($E1727="","",INDEX(资金日记账!$E$4:$E$603,409))</f>
        <v/>
      </c>
      <c r="K1727" s="67" t="str">
        <f aca="false">IF($E1727="","",INDEX(资金日记账!$F$4:$F$603,409))</f>
        <v/>
      </c>
      <c r="L1727" s="107" t="str">
        <f aca="false">IF($E1727="","",INDEX(资金日记账!$X$4:$X$603,409))</f>
        <v/>
      </c>
      <c r="M1727" s="107"/>
      <c r="N1727" s="67" t="str">
        <f aca="false">IF($E1727="","",INDEX(资金日记账!$Y$4:$Y$603,409))</f>
        <v/>
      </c>
      <c r="O1727" s="67" t="str">
        <f aca="false">IF($E1727="","","自动B")</f>
        <v/>
      </c>
      <c r="P1727" s="18"/>
    </row>
    <row r="1728" customFormat="false" ht="18" hidden="false" customHeight="true" outlineLevel="0" collapsed="false">
      <c r="A1728" s="107" t="str">
        <f aca="false">IF($E1728="","",ROW()-3)</f>
        <v/>
      </c>
      <c r="B1728" s="110" t="str">
        <f aca="false">IF($E1728="","",INDEX(资金日记账!$B$4:$B$603,410))</f>
        <v/>
      </c>
      <c r="C1728" s="67" t="str">
        <f aca="false">IF($E1728="","",IF(INDEX(资金日记账!$W$4:$W$603,410)="","记-"&amp;TEXT($B1728,"YYYYMM")&amp;"-资金",INDEX(资金日记账!$W$4:$W$603,410)))</f>
        <v/>
      </c>
      <c r="D1728" s="107" t="str">
        <f aca="false">IF($E1728="","",INDEX(资金日记账!$D$4:$D$603,410))</f>
        <v/>
      </c>
      <c r="E1728" s="67" t="str">
        <f aca="false">IF(INDEX(资金日记账!$N$4:$S$603,410,1)=0,"",INDEX(资金日记账!$N$4:$S$603,410,1))</f>
        <v/>
      </c>
      <c r="F1728" s="99" t="str">
        <f aca="false">IF($E1728="","",IFERROR(INDEX(科目表!$A$4:$A$81,MATCH($E1728,科目表!$B$4:$B$81,0)),""))</f>
        <v/>
      </c>
      <c r="G1728" s="67" t="str">
        <f aca="false">IF($E1728="","",IFERROR(INDEX(科目表!$E$4:$E$81,MATCH($E1728,科目表!$B$4:$B$81,0)),""))</f>
        <v/>
      </c>
      <c r="H1728" s="70" t="str">
        <f aca="false">IF($E1728="","",N(INDEX(资金日记账!$N$4:$S$603,410,2)))</f>
        <v/>
      </c>
      <c r="I1728" s="70" t="str">
        <f aca="false">IF($E1728="","",N(INDEX(资金日记账!$N$4:$S$603,410,3)))</f>
        <v/>
      </c>
      <c r="J1728" s="67" t="str">
        <f aca="false">IF($E1728="","",INDEX(资金日记账!$E$4:$E$603,410))</f>
        <v/>
      </c>
      <c r="K1728" s="67" t="str">
        <f aca="false">IF($E1728="","",INDEX(资金日记账!$F$4:$F$603,410))</f>
        <v/>
      </c>
      <c r="L1728" s="107" t="str">
        <f aca="false">IF($E1728="","",INDEX(资金日记账!$X$4:$X$603,410))</f>
        <v/>
      </c>
      <c r="M1728" s="107"/>
      <c r="N1728" s="67" t="str">
        <f aca="false">IF($E1728="","",INDEX(资金日记账!$Y$4:$Y$603,410))</f>
        <v/>
      </c>
      <c r="O1728" s="67" t="str">
        <f aca="false">IF($E1728="","","自动B")</f>
        <v/>
      </c>
      <c r="P1728" s="18"/>
    </row>
    <row r="1729" customFormat="false" ht="18" hidden="false" customHeight="true" outlineLevel="0" collapsed="false">
      <c r="A1729" s="107" t="str">
        <f aca="false">IF($E1729="","",ROW()-3)</f>
        <v/>
      </c>
      <c r="B1729" s="110" t="str">
        <f aca="false">IF($E1729="","",INDEX(资金日记账!$B$4:$B$603,410))</f>
        <v/>
      </c>
      <c r="C1729" s="67" t="str">
        <f aca="false">IF($E1729="","",IF(INDEX(资金日记账!$W$4:$W$603,410)="","记-"&amp;TEXT($B1729,"YYYYMM")&amp;"-资金",INDEX(资金日记账!$W$4:$W$603,410)))</f>
        <v/>
      </c>
      <c r="D1729" s="107" t="str">
        <f aca="false">IF($E1729="","",INDEX(资金日记账!$D$4:$D$603,410))</f>
        <v/>
      </c>
      <c r="E1729" s="67" t="str">
        <f aca="false">IF(INDEX(资金日记账!$N$4:$S$603,410,4)=0,"",INDEX(资金日记账!$N$4:$S$603,410,4))</f>
        <v/>
      </c>
      <c r="F1729" s="99" t="str">
        <f aca="false">IF($E1729="","",IFERROR(INDEX(科目表!$A$4:$A$81,MATCH($E1729,科目表!$B$4:$B$81,0)),""))</f>
        <v/>
      </c>
      <c r="G1729" s="67" t="str">
        <f aca="false">IF($E1729="","",IFERROR(INDEX(科目表!$E$4:$E$81,MATCH($E1729,科目表!$B$4:$B$81,0)),""))</f>
        <v/>
      </c>
      <c r="H1729" s="70" t="str">
        <f aca="false">IF($E1729="","",N(INDEX(资金日记账!$N$4:$S$603,410,5)))</f>
        <v/>
      </c>
      <c r="I1729" s="70" t="str">
        <f aca="false">IF($E1729="","",N(INDEX(资金日记账!$N$4:$S$603,410,6)))</f>
        <v/>
      </c>
      <c r="J1729" s="67" t="str">
        <f aca="false">IF($E1729="","",INDEX(资金日记账!$E$4:$E$603,410))</f>
        <v/>
      </c>
      <c r="K1729" s="67" t="str">
        <f aca="false">IF($E1729="","",INDEX(资金日记账!$F$4:$F$603,410))</f>
        <v/>
      </c>
      <c r="L1729" s="107" t="str">
        <f aca="false">IF($E1729="","",INDEX(资金日记账!$X$4:$X$603,410))</f>
        <v/>
      </c>
      <c r="M1729" s="107"/>
      <c r="N1729" s="67" t="str">
        <f aca="false">IF($E1729="","",INDEX(资金日记账!$Y$4:$Y$603,410))</f>
        <v/>
      </c>
      <c r="O1729" s="67" t="str">
        <f aca="false">IF($E1729="","","自动B")</f>
        <v/>
      </c>
      <c r="P1729" s="18"/>
    </row>
    <row r="1730" customFormat="false" ht="18" hidden="false" customHeight="true" outlineLevel="0" collapsed="false">
      <c r="A1730" s="107" t="str">
        <f aca="false">IF($E1730="","",ROW()-3)</f>
        <v/>
      </c>
      <c r="B1730" s="110" t="str">
        <f aca="false">IF($E1730="","",INDEX(资金日记账!$B$4:$B$603,411))</f>
        <v/>
      </c>
      <c r="C1730" s="67" t="str">
        <f aca="false">IF($E1730="","",IF(INDEX(资金日记账!$W$4:$W$603,411)="","记-"&amp;TEXT($B1730,"YYYYMM")&amp;"-资金",INDEX(资金日记账!$W$4:$W$603,411)))</f>
        <v/>
      </c>
      <c r="D1730" s="107" t="str">
        <f aca="false">IF($E1730="","",INDEX(资金日记账!$D$4:$D$603,411))</f>
        <v/>
      </c>
      <c r="E1730" s="67" t="str">
        <f aca="false">IF(INDEX(资金日记账!$N$4:$S$603,411,1)=0,"",INDEX(资金日记账!$N$4:$S$603,411,1))</f>
        <v/>
      </c>
      <c r="F1730" s="99" t="str">
        <f aca="false">IF($E1730="","",IFERROR(INDEX(科目表!$A$4:$A$81,MATCH($E1730,科目表!$B$4:$B$81,0)),""))</f>
        <v/>
      </c>
      <c r="G1730" s="67" t="str">
        <f aca="false">IF($E1730="","",IFERROR(INDEX(科目表!$E$4:$E$81,MATCH($E1730,科目表!$B$4:$B$81,0)),""))</f>
        <v/>
      </c>
      <c r="H1730" s="70" t="str">
        <f aca="false">IF($E1730="","",N(INDEX(资金日记账!$N$4:$S$603,411,2)))</f>
        <v/>
      </c>
      <c r="I1730" s="70" t="str">
        <f aca="false">IF($E1730="","",N(INDEX(资金日记账!$N$4:$S$603,411,3)))</f>
        <v/>
      </c>
      <c r="J1730" s="67" t="str">
        <f aca="false">IF($E1730="","",INDEX(资金日记账!$E$4:$E$603,411))</f>
        <v/>
      </c>
      <c r="K1730" s="67" t="str">
        <f aca="false">IF($E1730="","",INDEX(资金日记账!$F$4:$F$603,411))</f>
        <v/>
      </c>
      <c r="L1730" s="107" t="str">
        <f aca="false">IF($E1730="","",INDEX(资金日记账!$X$4:$X$603,411))</f>
        <v/>
      </c>
      <c r="M1730" s="107"/>
      <c r="N1730" s="67" t="str">
        <f aca="false">IF($E1730="","",INDEX(资金日记账!$Y$4:$Y$603,411))</f>
        <v/>
      </c>
      <c r="O1730" s="67" t="str">
        <f aca="false">IF($E1730="","","自动B")</f>
        <v/>
      </c>
      <c r="P1730" s="18"/>
    </row>
    <row r="1731" customFormat="false" ht="18" hidden="false" customHeight="true" outlineLevel="0" collapsed="false">
      <c r="A1731" s="107" t="str">
        <f aca="false">IF($E1731="","",ROW()-3)</f>
        <v/>
      </c>
      <c r="B1731" s="110" t="str">
        <f aca="false">IF($E1731="","",INDEX(资金日记账!$B$4:$B$603,411))</f>
        <v/>
      </c>
      <c r="C1731" s="67" t="str">
        <f aca="false">IF($E1731="","",IF(INDEX(资金日记账!$W$4:$W$603,411)="","记-"&amp;TEXT($B1731,"YYYYMM")&amp;"-资金",INDEX(资金日记账!$W$4:$W$603,411)))</f>
        <v/>
      </c>
      <c r="D1731" s="107" t="str">
        <f aca="false">IF($E1731="","",INDEX(资金日记账!$D$4:$D$603,411))</f>
        <v/>
      </c>
      <c r="E1731" s="67" t="str">
        <f aca="false">IF(INDEX(资金日记账!$N$4:$S$603,411,4)=0,"",INDEX(资金日记账!$N$4:$S$603,411,4))</f>
        <v/>
      </c>
      <c r="F1731" s="99" t="str">
        <f aca="false">IF($E1731="","",IFERROR(INDEX(科目表!$A$4:$A$81,MATCH($E1731,科目表!$B$4:$B$81,0)),""))</f>
        <v/>
      </c>
      <c r="G1731" s="67" t="str">
        <f aca="false">IF($E1731="","",IFERROR(INDEX(科目表!$E$4:$E$81,MATCH($E1731,科目表!$B$4:$B$81,0)),""))</f>
        <v/>
      </c>
      <c r="H1731" s="70" t="str">
        <f aca="false">IF($E1731="","",N(INDEX(资金日记账!$N$4:$S$603,411,5)))</f>
        <v/>
      </c>
      <c r="I1731" s="70" t="str">
        <f aca="false">IF($E1731="","",N(INDEX(资金日记账!$N$4:$S$603,411,6)))</f>
        <v/>
      </c>
      <c r="J1731" s="67" t="str">
        <f aca="false">IF($E1731="","",INDEX(资金日记账!$E$4:$E$603,411))</f>
        <v/>
      </c>
      <c r="K1731" s="67" t="str">
        <f aca="false">IF($E1731="","",INDEX(资金日记账!$F$4:$F$603,411))</f>
        <v/>
      </c>
      <c r="L1731" s="107" t="str">
        <f aca="false">IF($E1731="","",INDEX(资金日记账!$X$4:$X$603,411))</f>
        <v/>
      </c>
      <c r="M1731" s="107"/>
      <c r="N1731" s="67" t="str">
        <f aca="false">IF($E1731="","",INDEX(资金日记账!$Y$4:$Y$603,411))</f>
        <v/>
      </c>
      <c r="O1731" s="67" t="str">
        <f aca="false">IF($E1731="","","自动B")</f>
        <v/>
      </c>
      <c r="P1731" s="18"/>
    </row>
    <row r="1732" customFormat="false" ht="18" hidden="false" customHeight="true" outlineLevel="0" collapsed="false">
      <c r="A1732" s="107" t="str">
        <f aca="false">IF($E1732="","",ROW()-3)</f>
        <v/>
      </c>
      <c r="B1732" s="110" t="str">
        <f aca="false">IF($E1732="","",INDEX(资金日记账!$B$4:$B$603,412))</f>
        <v/>
      </c>
      <c r="C1732" s="67" t="str">
        <f aca="false">IF($E1732="","",IF(INDEX(资金日记账!$W$4:$W$603,412)="","记-"&amp;TEXT($B1732,"YYYYMM")&amp;"-资金",INDEX(资金日记账!$W$4:$W$603,412)))</f>
        <v/>
      </c>
      <c r="D1732" s="107" t="str">
        <f aca="false">IF($E1732="","",INDEX(资金日记账!$D$4:$D$603,412))</f>
        <v/>
      </c>
      <c r="E1732" s="67" t="str">
        <f aca="false">IF(INDEX(资金日记账!$N$4:$S$603,412,1)=0,"",INDEX(资金日记账!$N$4:$S$603,412,1))</f>
        <v/>
      </c>
      <c r="F1732" s="99" t="str">
        <f aca="false">IF($E1732="","",IFERROR(INDEX(科目表!$A$4:$A$81,MATCH($E1732,科目表!$B$4:$B$81,0)),""))</f>
        <v/>
      </c>
      <c r="G1732" s="67" t="str">
        <f aca="false">IF($E1732="","",IFERROR(INDEX(科目表!$E$4:$E$81,MATCH($E1732,科目表!$B$4:$B$81,0)),""))</f>
        <v/>
      </c>
      <c r="H1732" s="70" t="str">
        <f aca="false">IF($E1732="","",N(INDEX(资金日记账!$N$4:$S$603,412,2)))</f>
        <v/>
      </c>
      <c r="I1732" s="70" t="str">
        <f aca="false">IF($E1732="","",N(INDEX(资金日记账!$N$4:$S$603,412,3)))</f>
        <v/>
      </c>
      <c r="J1732" s="67" t="str">
        <f aca="false">IF($E1732="","",INDEX(资金日记账!$E$4:$E$603,412))</f>
        <v/>
      </c>
      <c r="K1732" s="67" t="str">
        <f aca="false">IF($E1732="","",INDEX(资金日记账!$F$4:$F$603,412))</f>
        <v/>
      </c>
      <c r="L1732" s="107" t="str">
        <f aca="false">IF($E1732="","",INDEX(资金日记账!$X$4:$X$603,412))</f>
        <v/>
      </c>
      <c r="M1732" s="107"/>
      <c r="N1732" s="67" t="str">
        <f aca="false">IF($E1732="","",INDEX(资金日记账!$Y$4:$Y$603,412))</f>
        <v/>
      </c>
      <c r="O1732" s="67" t="str">
        <f aca="false">IF($E1732="","","自动B")</f>
        <v/>
      </c>
      <c r="P1732" s="18"/>
    </row>
    <row r="1733" customFormat="false" ht="18" hidden="false" customHeight="true" outlineLevel="0" collapsed="false">
      <c r="A1733" s="107" t="str">
        <f aca="false">IF($E1733="","",ROW()-3)</f>
        <v/>
      </c>
      <c r="B1733" s="110" t="str">
        <f aca="false">IF($E1733="","",INDEX(资金日记账!$B$4:$B$603,412))</f>
        <v/>
      </c>
      <c r="C1733" s="67" t="str">
        <f aca="false">IF($E1733="","",IF(INDEX(资金日记账!$W$4:$W$603,412)="","记-"&amp;TEXT($B1733,"YYYYMM")&amp;"-资金",INDEX(资金日记账!$W$4:$W$603,412)))</f>
        <v/>
      </c>
      <c r="D1733" s="107" t="str">
        <f aca="false">IF($E1733="","",INDEX(资金日记账!$D$4:$D$603,412))</f>
        <v/>
      </c>
      <c r="E1733" s="67" t="str">
        <f aca="false">IF(INDEX(资金日记账!$N$4:$S$603,412,4)=0,"",INDEX(资金日记账!$N$4:$S$603,412,4))</f>
        <v/>
      </c>
      <c r="F1733" s="99" t="str">
        <f aca="false">IF($E1733="","",IFERROR(INDEX(科目表!$A$4:$A$81,MATCH($E1733,科目表!$B$4:$B$81,0)),""))</f>
        <v/>
      </c>
      <c r="G1733" s="67" t="str">
        <f aca="false">IF($E1733="","",IFERROR(INDEX(科目表!$E$4:$E$81,MATCH($E1733,科目表!$B$4:$B$81,0)),""))</f>
        <v/>
      </c>
      <c r="H1733" s="70" t="str">
        <f aca="false">IF($E1733="","",N(INDEX(资金日记账!$N$4:$S$603,412,5)))</f>
        <v/>
      </c>
      <c r="I1733" s="70" t="str">
        <f aca="false">IF($E1733="","",N(INDEX(资金日记账!$N$4:$S$603,412,6)))</f>
        <v/>
      </c>
      <c r="J1733" s="67" t="str">
        <f aca="false">IF($E1733="","",INDEX(资金日记账!$E$4:$E$603,412))</f>
        <v/>
      </c>
      <c r="K1733" s="67" t="str">
        <f aca="false">IF($E1733="","",INDEX(资金日记账!$F$4:$F$603,412))</f>
        <v/>
      </c>
      <c r="L1733" s="107" t="str">
        <f aca="false">IF($E1733="","",INDEX(资金日记账!$X$4:$X$603,412))</f>
        <v/>
      </c>
      <c r="M1733" s="107"/>
      <c r="N1733" s="67" t="str">
        <f aca="false">IF($E1733="","",INDEX(资金日记账!$Y$4:$Y$603,412))</f>
        <v/>
      </c>
      <c r="O1733" s="67" t="str">
        <f aca="false">IF($E1733="","","自动B")</f>
        <v/>
      </c>
      <c r="P1733" s="18"/>
    </row>
    <row r="1734" customFormat="false" ht="18" hidden="false" customHeight="true" outlineLevel="0" collapsed="false">
      <c r="A1734" s="107" t="str">
        <f aca="false">IF($E1734="","",ROW()-3)</f>
        <v/>
      </c>
      <c r="B1734" s="110" t="str">
        <f aca="false">IF($E1734="","",INDEX(资金日记账!$B$4:$B$603,413))</f>
        <v/>
      </c>
      <c r="C1734" s="67" t="str">
        <f aca="false">IF($E1734="","",IF(INDEX(资金日记账!$W$4:$W$603,413)="","记-"&amp;TEXT($B1734,"YYYYMM")&amp;"-资金",INDEX(资金日记账!$W$4:$W$603,413)))</f>
        <v/>
      </c>
      <c r="D1734" s="107" t="str">
        <f aca="false">IF($E1734="","",INDEX(资金日记账!$D$4:$D$603,413))</f>
        <v/>
      </c>
      <c r="E1734" s="67" t="str">
        <f aca="false">IF(INDEX(资金日记账!$N$4:$S$603,413,1)=0,"",INDEX(资金日记账!$N$4:$S$603,413,1))</f>
        <v/>
      </c>
      <c r="F1734" s="99" t="str">
        <f aca="false">IF($E1734="","",IFERROR(INDEX(科目表!$A$4:$A$81,MATCH($E1734,科目表!$B$4:$B$81,0)),""))</f>
        <v/>
      </c>
      <c r="G1734" s="67" t="str">
        <f aca="false">IF($E1734="","",IFERROR(INDEX(科目表!$E$4:$E$81,MATCH($E1734,科目表!$B$4:$B$81,0)),""))</f>
        <v/>
      </c>
      <c r="H1734" s="70" t="str">
        <f aca="false">IF($E1734="","",N(INDEX(资金日记账!$N$4:$S$603,413,2)))</f>
        <v/>
      </c>
      <c r="I1734" s="70" t="str">
        <f aca="false">IF($E1734="","",N(INDEX(资金日记账!$N$4:$S$603,413,3)))</f>
        <v/>
      </c>
      <c r="J1734" s="67" t="str">
        <f aca="false">IF($E1734="","",INDEX(资金日记账!$E$4:$E$603,413))</f>
        <v/>
      </c>
      <c r="K1734" s="67" t="str">
        <f aca="false">IF($E1734="","",INDEX(资金日记账!$F$4:$F$603,413))</f>
        <v/>
      </c>
      <c r="L1734" s="107" t="str">
        <f aca="false">IF($E1734="","",INDEX(资金日记账!$X$4:$X$603,413))</f>
        <v/>
      </c>
      <c r="M1734" s="107"/>
      <c r="N1734" s="67" t="str">
        <f aca="false">IF($E1734="","",INDEX(资金日记账!$Y$4:$Y$603,413))</f>
        <v/>
      </c>
      <c r="O1734" s="67" t="str">
        <f aca="false">IF($E1734="","","自动B")</f>
        <v/>
      </c>
      <c r="P1734" s="18"/>
    </row>
    <row r="1735" customFormat="false" ht="18" hidden="false" customHeight="true" outlineLevel="0" collapsed="false">
      <c r="A1735" s="107" t="str">
        <f aca="false">IF($E1735="","",ROW()-3)</f>
        <v/>
      </c>
      <c r="B1735" s="110" t="str">
        <f aca="false">IF($E1735="","",INDEX(资金日记账!$B$4:$B$603,413))</f>
        <v/>
      </c>
      <c r="C1735" s="67" t="str">
        <f aca="false">IF($E1735="","",IF(INDEX(资金日记账!$W$4:$W$603,413)="","记-"&amp;TEXT($B1735,"YYYYMM")&amp;"-资金",INDEX(资金日记账!$W$4:$W$603,413)))</f>
        <v/>
      </c>
      <c r="D1735" s="107" t="str">
        <f aca="false">IF($E1735="","",INDEX(资金日记账!$D$4:$D$603,413))</f>
        <v/>
      </c>
      <c r="E1735" s="67" t="str">
        <f aca="false">IF(INDEX(资金日记账!$N$4:$S$603,413,4)=0,"",INDEX(资金日记账!$N$4:$S$603,413,4))</f>
        <v/>
      </c>
      <c r="F1735" s="99" t="str">
        <f aca="false">IF($E1735="","",IFERROR(INDEX(科目表!$A$4:$A$81,MATCH($E1735,科目表!$B$4:$B$81,0)),""))</f>
        <v/>
      </c>
      <c r="G1735" s="67" t="str">
        <f aca="false">IF($E1735="","",IFERROR(INDEX(科目表!$E$4:$E$81,MATCH($E1735,科目表!$B$4:$B$81,0)),""))</f>
        <v/>
      </c>
      <c r="H1735" s="70" t="str">
        <f aca="false">IF($E1735="","",N(INDEX(资金日记账!$N$4:$S$603,413,5)))</f>
        <v/>
      </c>
      <c r="I1735" s="70" t="str">
        <f aca="false">IF($E1735="","",N(INDEX(资金日记账!$N$4:$S$603,413,6)))</f>
        <v/>
      </c>
      <c r="J1735" s="67" t="str">
        <f aca="false">IF($E1735="","",INDEX(资金日记账!$E$4:$E$603,413))</f>
        <v/>
      </c>
      <c r="K1735" s="67" t="str">
        <f aca="false">IF($E1735="","",INDEX(资金日记账!$F$4:$F$603,413))</f>
        <v/>
      </c>
      <c r="L1735" s="107" t="str">
        <f aca="false">IF($E1735="","",INDEX(资金日记账!$X$4:$X$603,413))</f>
        <v/>
      </c>
      <c r="M1735" s="107"/>
      <c r="N1735" s="67" t="str">
        <f aca="false">IF($E1735="","",INDEX(资金日记账!$Y$4:$Y$603,413))</f>
        <v/>
      </c>
      <c r="O1735" s="67" t="str">
        <f aca="false">IF($E1735="","","自动B")</f>
        <v/>
      </c>
      <c r="P1735" s="18"/>
    </row>
    <row r="1736" customFormat="false" ht="18" hidden="false" customHeight="true" outlineLevel="0" collapsed="false">
      <c r="A1736" s="107" t="str">
        <f aca="false">IF($E1736="","",ROW()-3)</f>
        <v/>
      </c>
      <c r="B1736" s="110" t="str">
        <f aca="false">IF($E1736="","",INDEX(资金日记账!$B$4:$B$603,414))</f>
        <v/>
      </c>
      <c r="C1736" s="67" t="str">
        <f aca="false">IF($E1736="","",IF(INDEX(资金日记账!$W$4:$W$603,414)="","记-"&amp;TEXT($B1736,"YYYYMM")&amp;"-资金",INDEX(资金日记账!$W$4:$W$603,414)))</f>
        <v/>
      </c>
      <c r="D1736" s="107" t="str">
        <f aca="false">IF($E1736="","",INDEX(资金日记账!$D$4:$D$603,414))</f>
        <v/>
      </c>
      <c r="E1736" s="67" t="str">
        <f aca="false">IF(INDEX(资金日记账!$N$4:$S$603,414,1)=0,"",INDEX(资金日记账!$N$4:$S$603,414,1))</f>
        <v/>
      </c>
      <c r="F1736" s="99" t="str">
        <f aca="false">IF($E1736="","",IFERROR(INDEX(科目表!$A$4:$A$81,MATCH($E1736,科目表!$B$4:$B$81,0)),""))</f>
        <v/>
      </c>
      <c r="G1736" s="67" t="str">
        <f aca="false">IF($E1736="","",IFERROR(INDEX(科目表!$E$4:$E$81,MATCH($E1736,科目表!$B$4:$B$81,0)),""))</f>
        <v/>
      </c>
      <c r="H1736" s="70" t="str">
        <f aca="false">IF($E1736="","",N(INDEX(资金日记账!$N$4:$S$603,414,2)))</f>
        <v/>
      </c>
      <c r="I1736" s="70" t="str">
        <f aca="false">IF($E1736="","",N(INDEX(资金日记账!$N$4:$S$603,414,3)))</f>
        <v/>
      </c>
      <c r="J1736" s="67" t="str">
        <f aca="false">IF($E1736="","",INDEX(资金日记账!$E$4:$E$603,414))</f>
        <v/>
      </c>
      <c r="K1736" s="67" t="str">
        <f aca="false">IF($E1736="","",INDEX(资金日记账!$F$4:$F$603,414))</f>
        <v/>
      </c>
      <c r="L1736" s="107" t="str">
        <f aca="false">IF($E1736="","",INDEX(资金日记账!$X$4:$X$603,414))</f>
        <v/>
      </c>
      <c r="M1736" s="107"/>
      <c r="N1736" s="67" t="str">
        <f aca="false">IF($E1736="","",INDEX(资金日记账!$Y$4:$Y$603,414))</f>
        <v/>
      </c>
      <c r="O1736" s="67" t="str">
        <f aca="false">IF($E1736="","","自动B")</f>
        <v/>
      </c>
      <c r="P1736" s="18"/>
    </row>
    <row r="1737" customFormat="false" ht="18" hidden="false" customHeight="true" outlineLevel="0" collapsed="false">
      <c r="A1737" s="107" t="str">
        <f aca="false">IF($E1737="","",ROW()-3)</f>
        <v/>
      </c>
      <c r="B1737" s="110" t="str">
        <f aca="false">IF($E1737="","",INDEX(资金日记账!$B$4:$B$603,414))</f>
        <v/>
      </c>
      <c r="C1737" s="67" t="str">
        <f aca="false">IF($E1737="","",IF(INDEX(资金日记账!$W$4:$W$603,414)="","记-"&amp;TEXT($B1737,"YYYYMM")&amp;"-资金",INDEX(资金日记账!$W$4:$W$603,414)))</f>
        <v/>
      </c>
      <c r="D1737" s="107" t="str">
        <f aca="false">IF($E1737="","",INDEX(资金日记账!$D$4:$D$603,414))</f>
        <v/>
      </c>
      <c r="E1737" s="67" t="str">
        <f aca="false">IF(INDEX(资金日记账!$N$4:$S$603,414,4)=0,"",INDEX(资金日记账!$N$4:$S$603,414,4))</f>
        <v/>
      </c>
      <c r="F1737" s="99" t="str">
        <f aca="false">IF($E1737="","",IFERROR(INDEX(科目表!$A$4:$A$81,MATCH($E1737,科目表!$B$4:$B$81,0)),""))</f>
        <v/>
      </c>
      <c r="G1737" s="67" t="str">
        <f aca="false">IF($E1737="","",IFERROR(INDEX(科目表!$E$4:$E$81,MATCH($E1737,科目表!$B$4:$B$81,0)),""))</f>
        <v/>
      </c>
      <c r="H1737" s="70" t="str">
        <f aca="false">IF($E1737="","",N(INDEX(资金日记账!$N$4:$S$603,414,5)))</f>
        <v/>
      </c>
      <c r="I1737" s="70" t="str">
        <f aca="false">IF($E1737="","",N(INDEX(资金日记账!$N$4:$S$603,414,6)))</f>
        <v/>
      </c>
      <c r="J1737" s="67" t="str">
        <f aca="false">IF($E1737="","",INDEX(资金日记账!$E$4:$E$603,414))</f>
        <v/>
      </c>
      <c r="K1737" s="67" t="str">
        <f aca="false">IF($E1737="","",INDEX(资金日记账!$F$4:$F$603,414))</f>
        <v/>
      </c>
      <c r="L1737" s="107" t="str">
        <f aca="false">IF($E1737="","",INDEX(资金日记账!$X$4:$X$603,414))</f>
        <v/>
      </c>
      <c r="M1737" s="107"/>
      <c r="N1737" s="67" t="str">
        <f aca="false">IF($E1737="","",INDEX(资金日记账!$Y$4:$Y$603,414))</f>
        <v/>
      </c>
      <c r="O1737" s="67" t="str">
        <f aca="false">IF($E1737="","","自动B")</f>
        <v/>
      </c>
      <c r="P1737" s="18"/>
    </row>
    <row r="1738" customFormat="false" ht="18" hidden="false" customHeight="true" outlineLevel="0" collapsed="false">
      <c r="A1738" s="107" t="str">
        <f aca="false">IF($E1738="","",ROW()-3)</f>
        <v/>
      </c>
      <c r="B1738" s="110" t="str">
        <f aca="false">IF($E1738="","",INDEX(资金日记账!$B$4:$B$603,415))</f>
        <v/>
      </c>
      <c r="C1738" s="67" t="str">
        <f aca="false">IF($E1738="","",IF(INDEX(资金日记账!$W$4:$W$603,415)="","记-"&amp;TEXT($B1738,"YYYYMM")&amp;"-资金",INDEX(资金日记账!$W$4:$W$603,415)))</f>
        <v/>
      </c>
      <c r="D1738" s="107" t="str">
        <f aca="false">IF($E1738="","",INDEX(资金日记账!$D$4:$D$603,415))</f>
        <v/>
      </c>
      <c r="E1738" s="67" t="str">
        <f aca="false">IF(INDEX(资金日记账!$N$4:$S$603,415,1)=0,"",INDEX(资金日记账!$N$4:$S$603,415,1))</f>
        <v/>
      </c>
      <c r="F1738" s="99" t="str">
        <f aca="false">IF($E1738="","",IFERROR(INDEX(科目表!$A$4:$A$81,MATCH($E1738,科目表!$B$4:$B$81,0)),""))</f>
        <v/>
      </c>
      <c r="G1738" s="67" t="str">
        <f aca="false">IF($E1738="","",IFERROR(INDEX(科目表!$E$4:$E$81,MATCH($E1738,科目表!$B$4:$B$81,0)),""))</f>
        <v/>
      </c>
      <c r="H1738" s="70" t="str">
        <f aca="false">IF($E1738="","",N(INDEX(资金日记账!$N$4:$S$603,415,2)))</f>
        <v/>
      </c>
      <c r="I1738" s="70" t="str">
        <f aca="false">IF($E1738="","",N(INDEX(资金日记账!$N$4:$S$603,415,3)))</f>
        <v/>
      </c>
      <c r="J1738" s="67" t="str">
        <f aca="false">IF($E1738="","",INDEX(资金日记账!$E$4:$E$603,415))</f>
        <v/>
      </c>
      <c r="K1738" s="67" t="str">
        <f aca="false">IF($E1738="","",INDEX(资金日记账!$F$4:$F$603,415))</f>
        <v/>
      </c>
      <c r="L1738" s="107" t="str">
        <f aca="false">IF($E1738="","",INDEX(资金日记账!$X$4:$X$603,415))</f>
        <v/>
      </c>
      <c r="M1738" s="107"/>
      <c r="N1738" s="67" t="str">
        <f aca="false">IF($E1738="","",INDEX(资金日记账!$Y$4:$Y$603,415))</f>
        <v/>
      </c>
      <c r="O1738" s="67" t="str">
        <f aca="false">IF($E1738="","","自动B")</f>
        <v/>
      </c>
      <c r="P1738" s="18"/>
    </row>
    <row r="1739" customFormat="false" ht="18" hidden="false" customHeight="true" outlineLevel="0" collapsed="false">
      <c r="A1739" s="107" t="str">
        <f aca="false">IF($E1739="","",ROW()-3)</f>
        <v/>
      </c>
      <c r="B1739" s="110" t="str">
        <f aca="false">IF($E1739="","",INDEX(资金日记账!$B$4:$B$603,415))</f>
        <v/>
      </c>
      <c r="C1739" s="67" t="str">
        <f aca="false">IF($E1739="","",IF(INDEX(资金日记账!$W$4:$W$603,415)="","记-"&amp;TEXT($B1739,"YYYYMM")&amp;"-资金",INDEX(资金日记账!$W$4:$W$603,415)))</f>
        <v/>
      </c>
      <c r="D1739" s="107" t="str">
        <f aca="false">IF($E1739="","",INDEX(资金日记账!$D$4:$D$603,415))</f>
        <v/>
      </c>
      <c r="E1739" s="67" t="str">
        <f aca="false">IF(INDEX(资金日记账!$N$4:$S$603,415,4)=0,"",INDEX(资金日记账!$N$4:$S$603,415,4))</f>
        <v/>
      </c>
      <c r="F1739" s="99" t="str">
        <f aca="false">IF($E1739="","",IFERROR(INDEX(科目表!$A$4:$A$81,MATCH($E1739,科目表!$B$4:$B$81,0)),""))</f>
        <v/>
      </c>
      <c r="G1739" s="67" t="str">
        <f aca="false">IF($E1739="","",IFERROR(INDEX(科目表!$E$4:$E$81,MATCH($E1739,科目表!$B$4:$B$81,0)),""))</f>
        <v/>
      </c>
      <c r="H1739" s="70" t="str">
        <f aca="false">IF($E1739="","",N(INDEX(资金日记账!$N$4:$S$603,415,5)))</f>
        <v/>
      </c>
      <c r="I1739" s="70" t="str">
        <f aca="false">IF($E1739="","",N(INDEX(资金日记账!$N$4:$S$603,415,6)))</f>
        <v/>
      </c>
      <c r="J1739" s="67" t="str">
        <f aca="false">IF($E1739="","",INDEX(资金日记账!$E$4:$E$603,415))</f>
        <v/>
      </c>
      <c r="K1739" s="67" t="str">
        <f aca="false">IF($E1739="","",INDEX(资金日记账!$F$4:$F$603,415))</f>
        <v/>
      </c>
      <c r="L1739" s="107" t="str">
        <f aca="false">IF($E1739="","",INDEX(资金日记账!$X$4:$X$603,415))</f>
        <v/>
      </c>
      <c r="M1739" s="107"/>
      <c r="N1739" s="67" t="str">
        <f aca="false">IF($E1739="","",INDEX(资金日记账!$Y$4:$Y$603,415))</f>
        <v/>
      </c>
      <c r="O1739" s="67" t="str">
        <f aca="false">IF($E1739="","","自动B")</f>
        <v/>
      </c>
      <c r="P1739" s="18"/>
    </row>
    <row r="1740" customFormat="false" ht="18" hidden="false" customHeight="true" outlineLevel="0" collapsed="false">
      <c r="A1740" s="107" t="str">
        <f aca="false">IF($E1740="","",ROW()-3)</f>
        <v/>
      </c>
      <c r="B1740" s="110" t="str">
        <f aca="false">IF($E1740="","",INDEX(资金日记账!$B$4:$B$603,416))</f>
        <v/>
      </c>
      <c r="C1740" s="67" t="str">
        <f aca="false">IF($E1740="","",IF(INDEX(资金日记账!$W$4:$W$603,416)="","记-"&amp;TEXT($B1740,"YYYYMM")&amp;"-资金",INDEX(资金日记账!$W$4:$W$603,416)))</f>
        <v/>
      </c>
      <c r="D1740" s="107" t="str">
        <f aca="false">IF($E1740="","",INDEX(资金日记账!$D$4:$D$603,416))</f>
        <v/>
      </c>
      <c r="E1740" s="67" t="str">
        <f aca="false">IF(INDEX(资金日记账!$N$4:$S$603,416,1)=0,"",INDEX(资金日记账!$N$4:$S$603,416,1))</f>
        <v/>
      </c>
      <c r="F1740" s="99" t="str">
        <f aca="false">IF($E1740="","",IFERROR(INDEX(科目表!$A$4:$A$81,MATCH($E1740,科目表!$B$4:$B$81,0)),""))</f>
        <v/>
      </c>
      <c r="G1740" s="67" t="str">
        <f aca="false">IF($E1740="","",IFERROR(INDEX(科目表!$E$4:$E$81,MATCH($E1740,科目表!$B$4:$B$81,0)),""))</f>
        <v/>
      </c>
      <c r="H1740" s="70" t="str">
        <f aca="false">IF($E1740="","",N(INDEX(资金日记账!$N$4:$S$603,416,2)))</f>
        <v/>
      </c>
      <c r="I1740" s="70" t="str">
        <f aca="false">IF($E1740="","",N(INDEX(资金日记账!$N$4:$S$603,416,3)))</f>
        <v/>
      </c>
      <c r="J1740" s="67" t="str">
        <f aca="false">IF($E1740="","",INDEX(资金日记账!$E$4:$E$603,416))</f>
        <v/>
      </c>
      <c r="K1740" s="67" t="str">
        <f aca="false">IF($E1740="","",INDEX(资金日记账!$F$4:$F$603,416))</f>
        <v/>
      </c>
      <c r="L1740" s="107" t="str">
        <f aca="false">IF($E1740="","",INDEX(资金日记账!$X$4:$X$603,416))</f>
        <v/>
      </c>
      <c r="M1740" s="107"/>
      <c r="N1740" s="67" t="str">
        <f aca="false">IF($E1740="","",INDEX(资金日记账!$Y$4:$Y$603,416))</f>
        <v/>
      </c>
      <c r="O1740" s="67" t="str">
        <f aca="false">IF($E1740="","","自动B")</f>
        <v/>
      </c>
      <c r="P1740" s="18"/>
    </row>
    <row r="1741" customFormat="false" ht="18" hidden="false" customHeight="true" outlineLevel="0" collapsed="false">
      <c r="A1741" s="107" t="str">
        <f aca="false">IF($E1741="","",ROW()-3)</f>
        <v/>
      </c>
      <c r="B1741" s="110" t="str">
        <f aca="false">IF($E1741="","",INDEX(资金日记账!$B$4:$B$603,416))</f>
        <v/>
      </c>
      <c r="C1741" s="67" t="str">
        <f aca="false">IF($E1741="","",IF(INDEX(资金日记账!$W$4:$W$603,416)="","记-"&amp;TEXT($B1741,"YYYYMM")&amp;"-资金",INDEX(资金日记账!$W$4:$W$603,416)))</f>
        <v/>
      </c>
      <c r="D1741" s="107" t="str">
        <f aca="false">IF($E1741="","",INDEX(资金日记账!$D$4:$D$603,416))</f>
        <v/>
      </c>
      <c r="E1741" s="67" t="str">
        <f aca="false">IF(INDEX(资金日记账!$N$4:$S$603,416,4)=0,"",INDEX(资金日记账!$N$4:$S$603,416,4))</f>
        <v/>
      </c>
      <c r="F1741" s="99" t="str">
        <f aca="false">IF($E1741="","",IFERROR(INDEX(科目表!$A$4:$A$81,MATCH($E1741,科目表!$B$4:$B$81,0)),""))</f>
        <v/>
      </c>
      <c r="G1741" s="67" t="str">
        <f aca="false">IF($E1741="","",IFERROR(INDEX(科目表!$E$4:$E$81,MATCH($E1741,科目表!$B$4:$B$81,0)),""))</f>
        <v/>
      </c>
      <c r="H1741" s="70" t="str">
        <f aca="false">IF($E1741="","",N(INDEX(资金日记账!$N$4:$S$603,416,5)))</f>
        <v/>
      </c>
      <c r="I1741" s="70" t="str">
        <f aca="false">IF($E1741="","",N(INDEX(资金日记账!$N$4:$S$603,416,6)))</f>
        <v/>
      </c>
      <c r="J1741" s="67" t="str">
        <f aca="false">IF($E1741="","",INDEX(资金日记账!$E$4:$E$603,416))</f>
        <v/>
      </c>
      <c r="K1741" s="67" t="str">
        <f aca="false">IF($E1741="","",INDEX(资金日记账!$F$4:$F$603,416))</f>
        <v/>
      </c>
      <c r="L1741" s="107" t="str">
        <f aca="false">IF($E1741="","",INDEX(资金日记账!$X$4:$X$603,416))</f>
        <v/>
      </c>
      <c r="M1741" s="107"/>
      <c r="N1741" s="67" t="str">
        <f aca="false">IF($E1741="","",INDEX(资金日记账!$Y$4:$Y$603,416))</f>
        <v/>
      </c>
      <c r="O1741" s="67" t="str">
        <f aca="false">IF($E1741="","","自动B")</f>
        <v/>
      </c>
      <c r="P1741" s="18"/>
    </row>
    <row r="1742" customFormat="false" ht="18" hidden="false" customHeight="true" outlineLevel="0" collapsed="false">
      <c r="A1742" s="107" t="str">
        <f aca="false">IF($E1742="","",ROW()-3)</f>
        <v/>
      </c>
      <c r="B1742" s="110" t="str">
        <f aca="false">IF($E1742="","",INDEX(资金日记账!$B$4:$B$603,417))</f>
        <v/>
      </c>
      <c r="C1742" s="67" t="str">
        <f aca="false">IF($E1742="","",IF(INDEX(资金日记账!$W$4:$W$603,417)="","记-"&amp;TEXT($B1742,"YYYYMM")&amp;"-资金",INDEX(资金日记账!$W$4:$W$603,417)))</f>
        <v/>
      </c>
      <c r="D1742" s="107" t="str">
        <f aca="false">IF($E1742="","",INDEX(资金日记账!$D$4:$D$603,417))</f>
        <v/>
      </c>
      <c r="E1742" s="67" t="str">
        <f aca="false">IF(INDEX(资金日记账!$N$4:$S$603,417,1)=0,"",INDEX(资金日记账!$N$4:$S$603,417,1))</f>
        <v/>
      </c>
      <c r="F1742" s="99" t="str">
        <f aca="false">IF($E1742="","",IFERROR(INDEX(科目表!$A$4:$A$81,MATCH($E1742,科目表!$B$4:$B$81,0)),""))</f>
        <v/>
      </c>
      <c r="G1742" s="67" t="str">
        <f aca="false">IF($E1742="","",IFERROR(INDEX(科目表!$E$4:$E$81,MATCH($E1742,科目表!$B$4:$B$81,0)),""))</f>
        <v/>
      </c>
      <c r="H1742" s="70" t="str">
        <f aca="false">IF($E1742="","",N(INDEX(资金日记账!$N$4:$S$603,417,2)))</f>
        <v/>
      </c>
      <c r="I1742" s="70" t="str">
        <f aca="false">IF($E1742="","",N(INDEX(资金日记账!$N$4:$S$603,417,3)))</f>
        <v/>
      </c>
      <c r="J1742" s="67" t="str">
        <f aca="false">IF($E1742="","",INDEX(资金日记账!$E$4:$E$603,417))</f>
        <v/>
      </c>
      <c r="K1742" s="67" t="str">
        <f aca="false">IF($E1742="","",INDEX(资金日记账!$F$4:$F$603,417))</f>
        <v/>
      </c>
      <c r="L1742" s="107" t="str">
        <f aca="false">IF($E1742="","",INDEX(资金日记账!$X$4:$X$603,417))</f>
        <v/>
      </c>
      <c r="M1742" s="107"/>
      <c r="N1742" s="67" t="str">
        <f aca="false">IF($E1742="","",INDEX(资金日记账!$Y$4:$Y$603,417))</f>
        <v/>
      </c>
      <c r="O1742" s="67" t="str">
        <f aca="false">IF($E1742="","","自动B")</f>
        <v/>
      </c>
      <c r="P1742" s="18"/>
    </row>
    <row r="1743" customFormat="false" ht="18" hidden="false" customHeight="true" outlineLevel="0" collapsed="false">
      <c r="A1743" s="107" t="str">
        <f aca="false">IF($E1743="","",ROW()-3)</f>
        <v/>
      </c>
      <c r="B1743" s="110" t="str">
        <f aca="false">IF($E1743="","",INDEX(资金日记账!$B$4:$B$603,417))</f>
        <v/>
      </c>
      <c r="C1743" s="67" t="str">
        <f aca="false">IF($E1743="","",IF(INDEX(资金日记账!$W$4:$W$603,417)="","记-"&amp;TEXT($B1743,"YYYYMM")&amp;"-资金",INDEX(资金日记账!$W$4:$W$603,417)))</f>
        <v/>
      </c>
      <c r="D1743" s="107" t="str">
        <f aca="false">IF($E1743="","",INDEX(资金日记账!$D$4:$D$603,417))</f>
        <v/>
      </c>
      <c r="E1743" s="67" t="str">
        <f aca="false">IF(INDEX(资金日记账!$N$4:$S$603,417,4)=0,"",INDEX(资金日记账!$N$4:$S$603,417,4))</f>
        <v/>
      </c>
      <c r="F1743" s="99" t="str">
        <f aca="false">IF($E1743="","",IFERROR(INDEX(科目表!$A$4:$A$81,MATCH($E1743,科目表!$B$4:$B$81,0)),""))</f>
        <v/>
      </c>
      <c r="G1743" s="67" t="str">
        <f aca="false">IF($E1743="","",IFERROR(INDEX(科目表!$E$4:$E$81,MATCH($E1743,科目表!$B$4:$B$81,0)),""))</f>
        <v/>
      </c>
      <c r="H1743" s="70" t="str">
        <f aca="false">IF($E1743="","",N(INDEX(资金日记账!$N$4:$S$603,417,5)))</f>
        <v/>
      </c>
      <c r="I1743" s="70" t="str">
        <f aca="false">IF($E1743="","",N(INDEX(资金日记账!$N$4:$S$603,417,6)))</f>
        <v/>
      </c>
      <c r="J1743" s="67" t="str">
        <f aca="false">IF($E1743="","",INDEX(资金日记账!$E$4:$E$603,417))</f>
        <v/>
      </c>
      <c r="K1743" s="67" t="str">
        <f aca="false">IF($E1743="","",INDEX(资金日记账!$F$4:$F$603,417))</f>
        <v/>
      </c>
      <c r="L1743" s="107" t="str">
        <f aca="false">IF($E1743="","",INDEX(资金日记账!$X$4:$X$603,417))</f>
        <v/>
      </c>
      <c r="M1743" s="107"/>
      <c r="N1743" s="67" t="str">
        <f aca="false">IF($E1743="","",INDEX(资金日记账!$Y$4:$Y$603,417))</f>
        <v/>
      </c>
      <c r="O1743" s="67" t="str">
        <f aca="false">IF($E1743="","","自动B")</f>
        <v/>
      </c>
      <c r="P1743" s="18"/>
    </row>
    <row r="1744" customFormat="false" ht="18" hidden="false" customHeight="true" outlineLevel="0" collapsed="false">
      <c r="A1744" s="107" t="str">
        <f aca="false">IF($E1744="","",ROW()-3)</f>
        <v/>
      </c>
      <c r="B1744" s="110" t="str">
        <f aca="false">IF($E1744="","",INDEX(资金日记账!$B$4:$B$603,418))</f>
        <v/>
      </c>
      <c r="C1744" s="67" t="str">
        <f aca="false">IF($E1744="","",IF(INDEX(资金日记账!$W$4:$W$603,418)="","记-"&amp;TEXT($B1744,"YYYYMM")&amp;"-资金",INDEX(资金日记账!$W$4:$W$603,418)))</f>
        <v/>
      </c>
      <c r="D1744" s="107" t="str">
        <f aca="false">IF($E1744="","",INDEX(资金日记账!$D$4:$D$603,418))</f>
        <v/>
      </c>
      <c r="E1744" s="67" t="str">
        <f aca="false">IF(INDEX(资金日记账!$N$4:$S$603,418,1)=0,"",INDEX(资金日记账!$N$4:$S$603,418,1))</f>
        <v/>
      </c>
      <c r="F1744" s="99" t="str">
        <f aca="false">IF($E1744="","",IFERROR(INDEX(科目表!$A$4:$A$81,MATCH($E1744,科目表!$B$4:$B$81,0)),""))</f>
        <v/>
      </c>
      <c r="G1744" s="67" t="str">
        <f aca="false">IF($E1744="","",IFERROR(INDEX(科目表!$E$4:$E$81,MATCH($E1744,科目表!$B$4:$B$81,0)),""))</f>
        <v/>
      </c>
      <c r="H1744" s="70" t="str">
        <f aca="false">IF($E1744="","",N(INDEX(资金日记账!$N$4:$S$603,418,2)))</f>
        <v/>
      </c>
      <c r="I1744" s="70" t="str">
        <f aca="false">IF($E1744="","",N(INDEX(资金日记账!$N$4:$S$603,418,3)))</f>
        <v/>
      </c>
      <c r="J1744" s="67" t="str">
        <f aca="false">IF($E1744="","",INDEX(资金日记账!$E$4:$E$603,418))</f>
        <v/>
      </c>
      <c r="K1744" s="67" t="str">
        <f aca="false">IF($E1744="","",INDEX(资金日记账!$F$4:$F$603,418))</f>
        <v/>
      </c>
      <c r="L1744" s="107" t="str">
        <f aca="false">IF($E1744="","",INDEX(资金日记账!$X$4:$X$603,418))</f>
        <v/>
      </c>
      <c r="M1744" s="107"/>
      <c r="N1744" s="67" t="str">
        <f aca="false">IF($E1744="","",INDEX(资金日记账!$Y$4:$Y$603,418))</f>
        <v/>
      </c>
      <c r="O1744" s="67" t="str">
        <f aca="false">IF($E1744="","","自动B")</f>
        <v/>
      </c>
      <c r="P1744" s="18"/>
    </row>
    <row r="1745" customFormat="false" ht="18" hidden="false" customHeight="true" outlineLevel="0" collapsed="false">
      <c r="A1745" s="107" t="str">
        <f aca="false">IF($E1745="","",ROW()-3)</f>
        <v/>
      </c>
      <c r="B1745" s="110" t="str">
        <f aca="false">IF($E1745="","",INDEX(资金日记账!$B$4:$B$603,418))</f>
        <v/>
      </c>
      <c r="C1745" s="67" t="str">
        <f aca="false">IF($E1745="","",IF(INDEX(资金日记账!$W$4:$W$603,418)="","记-"&amp;TEXT($B1745,"YYYYMM")&amp;"-资金",INDEX(资金日记账!$W$4:$W$603,418)))</f>
        <v/>
      </c>
      <c r="D1745" s="107" t="str">
        <f aca="false">IF($E1745="","",INDEX(资金日记账!$D$4:$D$603,418))</f>
        <v/>
      </c>
      <c r="E1745" s="67" t="str">
        <f aca="false">IF(INDEX(资金日记账!$N$4:$S$603,418,4)=0,"",INDEX(资金日记账!$N$4:$S$603,418,4))</f>
        <v/>
      </c>
      <c r="F1745" s="99" t="str">
        <f aca="false">IF($E1745="","",IFERROR(INDEX(科目表!$A$4:$A$81,MATCH($E1745,科目表!$B$4:$B$81,0)),""))</f>
        <v/>
      </c>
      <c r="G1745" s="67" t="str">
        <f aca="false">IF($E1745="","",IFERROR(INDEX(科目表!$E$4:$E$81,MATCH($E1745,科目表!$B$4:$B$81,0)),""))</f>
        <v/>
      </c>
      <c r="H1745" s="70" t="str">
        <f aca="false">IF($E1745="","",N(INDEX(资金日记账!$N$4:$S$603,418,5)))</f>
        <v/>
      </c>
      <c r="I1745" s="70" t="str">
        <f aca="false">IF($E1745="","",N(INDEX(资金日记账!$N$4:$S$603,418,6)))</f>
        <v/>
      </c>
      <c r="J1745" s="67" t="str">
        <f aca="false">IF($E1745="","",INDEX(资金日记账!$E$4:$E$603,418))</f>
        <v/>
      </c>
      <c r="K1745" s="67" t="str">
        <f aca="false">IF($E1745="","",INDEX(资金日记账!$F$4:$F$603,418))</f>
        <v/>
      </c>
      <c r="L1745" s="107" t="str">
        <f aca="false">IF($E1745="","",INDEX(资金日记账!$X$4:$X$603,418))</f>
        <v/>
      </c>
      <c r="M1745" s="107"/>
      <c r="N1745" s="67" t="str">
        <f aca="false">IF($E1745="","",INDEX(资金日记账!$Y$4:$Y$603,418))</f>
        <v/>
      </c>
      <c r="O1745" s="67" t="str">
        <f aca="false">IF($E1745="","","自动B")</f>
        <v/>
      </c>
      <c r="P1745" s="18"/>
    </row>
    <row r="1746" customFormat="false" ht="18" hidden="false" customHeight="true" outlineLevel="0" collapsed="false">
      <c r="A1746" s="107" t="str">
        <f aca="false">IF($E1746="","",ROW()-3)</f>
        <v/>
      </c>
      <c r="B1746" s="110" t="str">
        <f aca="false">IF($E1746="","",INDEX(资金日记账!$B$4:$B$603,419))</f>
        <v/>
      </c>
      <c r="C1746" s="67" t="str">
        <f aca="false">IF($E1746="","",IF(INDEX(资金日记账!$W$4:$W$603,419)="","记-"&amp;TEXT($B1746,"YYYYMM")&amp;"-资金",INDEX(资金日记账!$W$4:$W$603,419)))</f>
        <v/>
      </c>
      <c r="D1746" s="107" t="str">
        <f aca="false">IF($E1746="","",INDEX(资金日记账!$D$4:$D$603,419))</f>
        <v/>
      </c>
      <c r="E1746" s="67" t="str">
        <f aca="false">IF(INDEX(资金日记账!$N$4:$S$603,419,1)=0,"",INDEX(资金日记账!$N$4:$S$603,419,1))</f>
        <v/>
      </c>
      <c r="F1746" s="99" t="str">
        <f aca="false">IF($E1746="","",IFERROR(INDEX(科目表!$A$4:$A$81,MATCH($E1746,科目表!$B$4:$B$81,0)),""))</f>
        <v/>
      </c>
      <c r="G1746" s="67" t="str">
        <f aca="false">IF($E1746="","",IFERROR(INDEX(科目表!$E$4:$E$81,MATCH($E1746,科目表!$B$4:$B$81,0)),""))</f>
        <v/>
      </c>
      <c r="H1746" s="70" t="str">
        <f aca="false">IF($E1746="","",N(INDEX(资金日记账!$N$4:$S$603,419,2)))</f>
        <v/>
      </c>
      <c r="I1746" s="70" t="str">
        <f aca="false">IF($E1746="","",N(INDEX(资金日记账!$N$4:$S$603,419,3)))</f>
        <v/>
      </c>
      <c r="J1746" s="67" t="str">
        <f aca="false">IF($E1746="","",INDEX(资金日记账!$E$4:$E$603,419))</f>
        <v/>
      </c>
      <c r="K1746" s="67" t="str">
        <f aca="false">IF($E1746="","",INDEX(资金日记账!$F$4:$F$603,419))</f>
        <v/>
      </c>
      <c r="L1746" s="107" t="str">
        <f aca="false">IF($E1746="","",INDEX(资金日记账!$X$4:$X$603,419))</f>
        <v/>
      </c>
      <c r="M1746" s="107"/>
      <c r="N1746" s="67" t="str">
        <f aca="false">IF($E1746="","",INDEX(资金日记账!$Y$4:$Y$603,419))</f>
        <v/>
      </c>
      <c r="O1746" s="67" t="str">
        <f aca="false">IF($E1746="","","自动B")</f>
        <v/>
      </c>
      <c r="P1746" s="18"/>
    </row>
    <row r="1747" customFormat="false" ht="18" hidden="false" customHeight="true" outlineLevel="0" collapsed="false">
      <c r="A1747" s="107" t="str">
        <f aca="false">IF($E1747="","",ROW()-3)</f>
        <v/>
      </c>
      <c r="B1747" s="110" t="str">
        <f aca="false">IF($E1747="","",INDEX(资金日记账!$B$4:$B$603,419))</f>
        <v/>
      </c>
      <c r="C1747" s="67" t="str">
        <f aca="false">IF($E1747="","",IF(INDEX(资金日记账!$W$4:$W$603,419)="","记-"&amp;TEXT($B1747,"YYYYMM")&amp;"-资金",INDEX(资金日记账!$W$4:$W$603,419)))</f>
        <v/>
      </c>
      <c r="D1747" s="107" t="str">
        <f aca="false">IF($E1747="","",INDEX(资金日记账!$D$4:$D$603,419))</f>
        <v/>
      </c>
      <c r="E1747" s="67" t="str">
        <f aca="false">IF(INDEX(资金日记账!$N$4:$S$603,419,4)=0,"",INDEX(资金日记账!$N$4:$S$603,419,4))</f>
        <v/>
      </c>
      <c r="F1747" s="99" t="str">
        <f aca="false">IF($E1747="","",IFERROR(INDEX(科目表!$A$4:$A$81,MATCH($E1747,科目表!$B$4:$B$81,0)),""))</f>
        <v/>
      </c>
      <c r="G1747" s="67" t="str">
        <f aca="false">IF($E1747="","",IFERROR(INDEX(科目表!$E$4:$E$81,MATCH($E1747,科目表!$B$4:$B$81,0)),""))</f>
        <v/>
      </c>
      <c r="H1747" s="70" t="str">
        <f aca="false">IF($E1747="","",N(INDEX(资金日记账!$N$4:$S$603,419,5)))</f>
        <v/>
      </c>
      <c r="I1747" s="70" t="str">
        <f aca="false">IF($E1747="","",N(INDEX(资金日记账!$N$4:$S$603,419,6)))</f>
        <v/>
      </c>
      <c r="J1747" s="67" t="str">
        <f aca="false">IF($E1747="","",INDEX(资金日记账!$E$4:$E$603,419))</f>
        <v/>
      </c>
      <c r="K1747" s="67" t="str">
        <f aca="false">IF($E1747="","",INDEX(资金日记账!$F$4:$F$603,419))</f>
        <v/>
      </c>
      <c r="L1747" s="107" t="str">
        <f aca="false">IF($E1747="","",INDEX(资金日记账!$X$4:$X$603,419))</f>
        <v/>
      </c>
      <c r="M1747" s="107"/>
      <c r="N1747" s="67" t="str">
        <f aca="false">IF($E1747="","",INDEX(资金日记账!$Y$4:$Y$603,419))</f>
        <v/>
      </c>
      <c r="O1747" s="67" t="str">
        <f aca="false">IF($E1747="","","自动B")</f>
        <v/>
      </c>
      <c r="P1747" s="18"/>
    </row>
    <row r="1748" customFormat="false" ht="18" hidden="false" customHeight="true" outlineLevel="0" collapsed="false">
      <c r="A1748" s="107" t="str">
        <f aca="false">IF($E1748="","",ROW()-3)</f>
        <v/>
      </c>
      <c r="B1748" s="110" t="str">
        <f aca="false">IF($E1748="","",INDEX(资金日记账!$B$4:$B$603,420))</f>
        <v/>
      </c>
      <c r="C1748" s="67" t="str">
        <f aca="false">IF($E1748="","",IF(INDEX(资金日记账!$W$4:$W$603,420)="","记-"&amp;TEXT($B1748,"YYYYMM")&amp;"-资金",INDEX(资金日记账!$W$4:$W$603,420)))</f>
        <v/>
      </c>
      <c r="D1748" s="107" t="str">
        <f aca="false">IF($E1748="","",INDEX(资金日记账!$D$4:$D$603,420))</f>
        <v/>
      </c>
      <c r="E1748" s="67" t="str">
        <f aca="false">IF(INDEX(资金日记账!$N$4:$S$603,420,1)=0,"",INDEX(资金日记账!$N$4:$S$603,420,1))</f>
        <v/>
      </c>
      <c r="F1748" s="99" t="str">
        <f aca="false">IF($E1748="","",IFERROR(INDEX(科目表!$A$4:$A$81,MATCH($E1748,科目表!$B$4:$B$81,0)),""))</f>
        <v/>
      </c>
      <c r="G1748" s="67" t="str">
        <f aca="false">IF($E1748="","",IFERROR(INDEX(科目表!$E$4:$E$81,MATCH($E1748,科目表!$B$4:$B$81,0)),""))</f>
        <v/>
      </c>
      <c r="H1748" s="70" t="str">
        <f aca="false">IF($E1748="","",N(INDEX(资金日记账!$N$4:$S$603,420,2)))</f>
        <v/>
      </c>
      <c r="I1748" s="70" t="str">
        <f aca="false">IF($E1748="","",N(INDEX(资金日记账!$N$4:$S$603,420,3)))</f>
        <v/>
      </c>
      <c r="J1748" s="67" t="str">
        <f aca="false">IF($E1748="","",INDEX(资金日记账!$E$4:$E$603,420))</f>
        <v/>
      </c>
      <c r="K1748" s="67" t="str">
        <f aca="false">IF($E1748="","",INDEX(资金日记账!$F$4:$F$603,420))</f>
        <v/>
      </c>
      <c r="L1748" s="107" t="str">
        <f aca="false">IF($E1748="","",INDEX(资金日记账!$X$4:$X$603,420))</f>
        <v/>
      </c>
      <c r="M1748" s="107"/>
      <c r="N1748" s="67" t="str">
        <f aca="false">IF($E1748="","",INDEX(资金日记账!$Y$4:$Y$603,420))</f>
        <v/>
      </c>
      <c r="O1748" s="67" t="str">
        <f aca="false">IF($E1748="","","自动B")</f>
        <v/>
      </c>
      <c r="P1748" s="18"/>
    </row>
    <row r="1749" customFormat="false" ht="18" hidden="false" customHeight="true" outlineLevel="0" collapsed="false">
      <c r="A1749" s="107" t="str">
        <f aca="false">IF($E1749="","",ROW()-3)</f>
        <v/>
      </c>
      <c r="B1749" s="110" t="str">
        <f aca="false">IF($E1749="","",INDEX(资金日记账!$B$4:$B$603,420))</f>
        <v/>
      </c>
      <c r="C1749" s="67" t="str">
        <f aca="false">IF($E1749="","",IF(INDEX(资金日记账!$W$4:$W$603,420)="","记-"&amp;TEXT($B1749,"YYYYMM")&amp;"-资金",INDEX(资金日记账!$W$4:$W$603,420)))</f>
        <v/>
      </c>
      <c r="D1749" s="107" t="str">
        <f aca="false">IF($E1749="","",INDEX(资金日记账!$D$4:$D$603,420))</f>
        <v/>
      </c>
      <c r="E1749" s="67" t="str">
        <f aca="false">IF(INDEX(资金日记账!$N$4:$S$603,420,4)=0,"",INDEX(资金日记账!$N$4:$S$603,420,4))</f>
        <v/>
      </c>
      <c r="F1749" s="99" t="str">
        <f aca="false">IF($E1749="","",IFERROR(INDEX(科目表!$A$4:$A$81,MATCH($E1749,科目表!$B$4:$B$81,0)),""))</f>
        <v/>
      </c>
      <c r="G1749" s="67" t="str">
        <f aca="false">IF($E1749="","",IFERROR(INDEX(科目表!$E$4:$E$81,MATCH($E1749,科目表!$B$4:$B$81,0)),""))</f>
        <v/>
      </c>
      <c r="H1749" s="70" t="str">
        <f aca="false">IF($E1749="","",N(INDEX(资金日记账!$N$4:$S$603,420,5)))</f>
        <v/>
      </c>
      <c r="I1749" s="70" t="str">
        <f aca="false">IF($E1749="","",N(INDEX(资金日记账!$N$4:$S$603,420,6)))</f>
        <v/>
      </c>
      <c r="J1749" s="67" t="str">
        <f aca="false">IF($E1749="","",INDEX(资金日记账!$E$4:$E$603,420))</f>
        <v/>
      </c>
      <c r="K1749" s="67" t="str">
        <f aca="false">IF($E1749="","",INDEX(资金日记账!$F$4:$F$603,420))</f>
        <v/>
      </c>
      <c r="L1749" s="107" t="str">
        <f aca="false">IF($E1749="","",INDEX(资金日记账!$X$4:$X$603,420))</f>
        <v/>
      </c>
      <c r="M1749" s="107"/>
      <c r="N1749" s="67" t="str">
        <f aca="false">IF($E1749="","",INDEX(资金日记账!$Y$4:$Y$603,420))</f>
        <v/>
      </c>
      <c r="O1749" s="67" t="str">
        <f aca="false">IF($E1749="","","自动B")</f>
        <v/>
      </c>
      <c r="P1749" s="18"/>
    </row>
    <row r="1750" customFormat="false" ht="18" hidden="false" customHeight="true" outlineLevel="0" collapsed="false">
      <c r="A1750" s="107" t="str">
        <f aca="false">IF($E1750="","",ROW()-3)</f>
        <v/>
      </c>
      <c r="B1750" s="110" t="str">
        <f aca="false">IF($E1750="","",INDEX(资金日记账!$B$4:$B$603,421))</f>
        <v/>
      </c>
      <c r="C1750" s="67" t="str">
        <f aca="false">IF($E1750="","",IF(INDEX(资金日记账!$W$4:$W$603,421)="","记-"&amp;TEXT($B1750,"YYYYMM")&amp;"-资金",INDEX(资金日记账!$W$4:$W$603,421)))</f>
        <v/>
      </c>
      <c r="D1750" s="107" t="str">
        <f aca="false">IF($E1750="","",INDEX(资金日记账!$D$4:$D$603,421))</f>
        <v/>
      </c>
      <c r="E1750" s="67" t="str">
        <f aca="false">IF(INDEX(资金日记账!$N$4:$S$603,421,1)=0,"",INDEX(资金日记账!$N$4:$S$603,421,1))</f>
        <v/>
      </c>
      <c r="F1750" s="99" t="str">
        <f aca="false">IF($E1750="","",IFERROR(INDEX(科目表!$A$4:$A$81,MATCH($E1750,科目表!$B$4:$B$81,0)),""))</f>
        <v/>
      </c>
      <c r="G1750" s="67" t="str">
        <f aca="false">IF($E1750="","",IFERROR(INDEX(科目表!$E$4:$E$81,MATCH($E1750,科目表!$B$4:$B$81,0)),""))</f>
        <v/>
      </c>
      <c r="H1750" s="70" t="str">
        <f aca="false">IF($E1750="","",N(INDEX(资金日记账!$N$4:$S$603,421,2)))</f>
        <v/>
      </c>
      <c r="I1750" s="70" t="str">
        <f aca="false">IF($E1750="","",N(INDEX(资金日记账!$N$4:$S$603,421,3)))</f>
        <v/>
      </c>
      <c r="J1750" s="67" t="str">
        <f aca="false">IF($E1750="","",INDEX(资金日记账!$E$4:$E$603,421))</f>
        <v/>
      </c>
      <c r="K1750" s="67" t="str">
        <f aca="false">IF($E1750="","",INDEX(资金日记账!$F$4:$F$603,421))</f>
        <v/>
      </c>
      <c r="L1750" s="107" t="str">
        <f aca="false">IF($E1750="","",INDEX(资金日记账!$X$4:$X$603,421))</f>
        <v/>
      </c>
      <c r="M1750" s="107"/>
      <c r="N1750" s="67" t="str">
        <f aca="false">IF($E1750="","",INDEX(资金日记账!$Y$4:$Y$603,421))</f>
        <v/>
      </c>
      <c r="O1750" s="67" t="str">
        <f aca="false">IF($E1750="","","自动B")</f>
        <v/>
      </c>
      <c r="P1750" s="18"/>
    </row>
    <row r="1751" customFormat="false" ht="18" hidden="false" customHeight="true" outlineLevel="0" collapsed="false">
      <c r="A1751" s="107" t="str">
        <f aca="false">IF($E1751="","",ROW()-3)</f>
        <v/>
      </c>
      <c r="B1751" s="110" t="str">
        <f aca="false">IF($E1751="","",INDEX(资金日记账!$B$4:$B$603,421))</f>
        <v/>
      </c>
      <c r="C1751" s="67" t="str">
        <f aca="false">IF($E1751="","",IF(INDEX(资金日记账!$W$4:$W$603,421)="","记-"&amp;TEXT($B1751,"YYYYMM")&amp;"-资金",INDEX(资金日记账!$W$4:$W$603,421)))</f>
        <v/>
      </c>
      <c r="D1751" s="107" t="str">
        <f aca="false">IF($E1751="","",INDEX(资金日记账!$D$4:$D$603,421))</f>
        <v/>
      </c>
      <c r="E1751" s="67" t="str">
        <f aca="false">IF(INDEX(资金日记账!$N$4:$S$603,421,4)=0,"",INDEX(资金日记账!$N$4:$S$603,421,4))</f>
        <v/>
      </c>
      <c r="F1751" s="99" t="str">
        <f aca="false">IF($E1751="","",IFERROR(INDEX(科目表!$A$4:$A$81,MATCH($E1751,科目表!$B$4:$B$81,0)),""))</f>
        <v/>
      </c>
      <c r="G1751" s="67" t="str">
        <f aca="false">IF($E1751="","",IFERROR(INDEX(科目表!$E$4:$E$81,MATCH($E1751,科目表!$B$4:$B$81,0)),""))</f>
        <v/>
      </c>
      <c r="H1751" s="70" t="str">
        <f aca="false">IF($E1751="","",N(INDEX(资金日记账!$N$4:$S$603,421,5)))</f>
        <v/>
      </c>
      <c r="I1751" s="70" t="str">
        <f aca="false">IF($E1751="","",N(INDEX(资金日记账!$N$4:$S$603,421,6)))</f>
        <v/>
      </c>
      <c r="J1751" s="67" t="str">
        <f aca="false">IF($E1751="","",INDEX(资金日记账!$E$4:$E$603,421))</f>
        <v/>
      </c>
      <c r="K1751" s="67" t="str">
        <f aca="false">IF($E1751="","",INDEX(资金日记账!$F$4:$F$603,421))</f>
        <v/>
      </c>
      <c r="L1751" s="107" t="str">
        <f aca="false">IF($E1751="","",INDEX(资金日记账!$X$4:$X$603,421))</f>
        <v/>
      </c>
      <c r="M1751" s="107"/>
      <c r="N1751" s="67" t="str">
        <f aca="false">IF($E1751="","",INDEX(资金日记账!$Y$4:$Y$603,421))</f>
        <v/>
      </c>
      <c r="O1751" s="67" t="str">
        <f aca="false">IF($E1751="","","自动B")</f>
        <v/>
      </c>
      <c r="P1751" s="18"/>
    </row>
    <row r="1752" customFormat="false" ht="18" hidden="false" customHeight="true" outlineLevel="0" collapsed="false">
      <c r="A1752" s="107" t="str">
        <f aca="false">IF($E1752="","",ROW()-3)</f>
        <v/>
      </c>
      <c r="B1752" s="110" t="str">
        <f aca="false">IF($E1752="","",INDEX(资金日记账!$B$4:$B$603,422))</f>
        <v/>
      </c>
      <c r="C1752" s="67" t="str">
        <f aca="false">IF($E1752="","",IF(INDEX(资金日记账!$W$4:$W$603,422)="","记-"&amp;TEXT($B1752,"YYYYMM")&amp;"-资金",INDEX(资金日记账!$W$4:$W$603,422)))</f>
        <v/>
      </c>
      <c r="D1752" s="107" t="str">
        <f aca="false">IF($E1752="","",INDEX(资金日记账!$D$4:$D$603,422))</f>
        <v/>
      </c>
      <c r="E1752" s="67" t="str">
        <f aca="false">IF(INDEX(资金日记账!$N$4:$S$603,422,1)=0,"",INDEX(资金日记账!$N$4:$S$603,422,1))</f>
        <v/>
      </c>
      <c r="F1752" s="99" t="str">
        <f aca="false">IF($E1752="","",IFERROR(INDEX(科目表!$A$4:$A$81,MATCH($E1752,科目表!$B$4:$B$81,0)),""))</f>
        <v/>
      </c>
      <c r="G1752" s="67" t="str">
        <f aca="false">IF($E1752="","",IFERROR(INDEX(科目表!$E$4:$E$81,MATCH($E1752,科目表!$B$4:$B$81,0)),""))</f>
        <v/>
      </c>
      <c r="H1752" s="70" t="str">
        <f aca="false">IF($E1752="","",N(INDEX(资金日记账!$N$4:$S$603,422,2)))</f>
        <v/>
      </c>
      <c r="I1752" s="70" t="str">
        <f aca="false">IF($E1752="","",N(INDEX(资金日记账!$N$4:$S$603,422,3)))</f>
        <v/>
      </c>
      <c r="J1752" s="67" t="str">
        <f aca="false">IF($E1752="","",INDEX(资金日记账!$E$4:$E$603,422))</f>
        <v/>
      </c>
      <c r="K1752" s="67" t="str">
        <f aca="false">IF($E1752="","",INDEX(资金日记账!$F$4:$F$603,422))</f>
        <v/>
      </c>
      <c r="L1752" s="107" t="str">
        <f aca="false">IF($E1752="","",INDEX(资金日记账!$X$4:$X$603,422))</f>
        <v/>
      </c>
      <c r="M1752" s="107"/>
      <c r="N1752" s="67" t="str">
        <f aca="false">IF($E1752="","",INDEX(资金日记账!$Y$4:$Y$603,422))</f>
        <v/>
      </c>
      <c r="O1752" s="67" t="str">
        <f aca="false">IF($E1752="","","自动B")</f>
        <v/>
      </c>
      <c r="P1752" s="18"/>
    </row>
    <row r="1753" customFormat="false" ht="18" hidden="false" customHeight="true" outlineLevel="0" collapsed="false">
      <c r="A1753" s="107" t="str">
        <f aca="false">IF($E1753="","",ROW()-3)</f>
        <v/>
      </c>
      <c r="B1753" s="110" t="str">
        <f aca="false">IF($E1753="","",INDEX(资金日记账!$B$4:$B$603,422))</f>
        <v/>
      </c>
      <c r="C1753" s="67" t="str">
        <f aca="false">IF($E1753="","",IF(INDEX(资金日记账!$W$4:$W$603,422)="","记-"&amp;TEXT($B1753,"YYYYMM")&amp;"-资金",INDEX(资金日记账!$W$4:$W$603,422)))</f>
        <v/>
      </c>
      <c r="D1753" s="107" t="str">
        <f aca="false">IF($E1753="","",INDEX(资金日记账!$D$4:$D$603,422))</f>
        <v/>
      </c>
      <c r="E1753" s="67" t="str">
        <f aca="false">IF(INDEX(资金日记账!$N$4:$S$603,422,4)=0,"",INDEX(资金日记账!$N$4:$S$603,422,4))</f>
        <v/>
      </c>
      <c r="F1753" s="99" t="str">
        <f aca="false">IF($E1753="","",IFERROR(INDEX(科目表!$A$4:$A$81,MATCH($E1753,科目表!$B$4:$B$81,0)),""))</f>
        <v/>
      </c>
      <c r="G1753" s="67" t="str">
        <f aca="false">IF($E1753="","",IFERROR(INDEX(科目表!$E$4:$E$81,MATCH($E1753,科目表!$B$4:$B$81,0)),""))</f>
        <v/>
      </c>
      <c r="H1753" s="70" t="str">
        <f aca="false">IF($E1753="","",N(INDEX(资金日记账!$N$4:$S$603,422,5)))</f>
        <v/>
      </c>
      <c r="I1753" s="70" t="str">
        <f aca="false">IF($E1753="","",N(INDEX(资金日记账!$N$4:$S$603,422,6)))</f>
        <v/>
      </c>
      <c r="J1753" s="67" t="str">
        <f aca="false">IF($E1753="","",INDEX(资金日记账!$E$4:$E$603,422))</f>
        <v/>
      </c>
      <c r="K1753" s="67" t="str">
        <f aca="false">IF($E1753="","",INDEX(资金日记账!$F$4:$F$603,422))</f>
        <v/>
      </c>
      <c r="L1753" s="107" t="str">
        <f aca="false">IF($E1753="","",INDEX(资金日记账!$X$4:$X$603,422))</f>
        <v/>
      </c>
      <c r="M1753" s="107"/>
      <c r="N1753" s="67" t="str">
        <f aca="false">IF($E1753="","",INDEX(资金日记账!$Y$4:$Y$603,422))</f>
        <v/>
      </c>
      <c r="O1753" s="67" t="str">
        <f aca="false">IF($E1753="","","自动B")</f>
        <v/>
      </c>
      <c r="P1753" s="18"/>
    </row>
    <row r="1754" customFormat="false" ht="18" hidden="false" customHeight="true" outlineLevel="0" collapsed="false">
      <c r="A1754" s="107" t="str">
        <f aca="false">IF($E1754="","",ROW()-3)</f>
        <v/>
      </c>
      <c r="B1754" s="110" t="str">
        <f aca="false">IF($E1754="","",INDEX(资金日记账!$B$4:$B$603,423))</f>
        <v/>
      </c>
      <c r="C1754" s="67" t="str">
        <f aca="false">IF($E1754="","",IF(INDEX(资金日记账!$W$4:$W$603,423)="","记-"&amp;TEXT($B1754,"YYYYMM")&amp;"-资金",INDEX(资金日记账!$W$4:$W$603,423)))</f>
        <v/>
      </c>
      <c r="D1754" s="107" t="str">
        <f aca="false">IF($E1754="","",INDEX(资金日记账!$D$4:$D$603,423))</f>
        <v/>
      </c>
      <c r="E1754" s="67" t="str">
        <f aca="false">IF(INDEX(资金日记账!$N$4:$S$603,423,1)=0,"",INDEX(资金日记账!$N$4:$S$603,423,1))</f>
        <v/>
      </c>
      <c r="F1754" s="99" t="str">
        <f aca="false">IF($E1754="","",IFERROR(INDEX(科目表!$A$4:$A$81,MATCH($E1754,科目表!$B$4:$B$81,0)),""))</f>
        <v/>
      </c>
      <c r="G1754" s="67" t="str">
        <f aca="false">IF($E1754="","",IFERROR(INDEX(科目表!$E$4:$E$81,MATCH($E1754,科目表!$B$4:$B$81,0)),""))</f>
        <v/>
      </c>
      <c r="H1754" s="70" t="str">
        <f aca="false">IF($E1754="","",N(INDEX(资金日记账!$N$4:$S$603,423,2)))</f>
        <v/>
      </c>
      <c r="I1754" s="70" t="str">
        <f aca="false">IF($E1754="","",N(INDEX(资金日记账!$N$4:$S$603,423,3)))</f>
        <v/>
      </c>
      <c r="J1754" s="67" t="str">
        <f aca="false">IF($E1754="","",INDEX(资金日记账!$E$4:$E$603,423))</f>
        <v/>
      </c>
      <c r="K1754" s="67" t="str">
        <f aca="false">IF($E1754="","",INDEX(资金日记账!$F$4:$F$603,423))</f>
        <v/>
      </c>
      <c r="L1754" s="107" t="str">
        <f aca="false">IF($E1754="","",INDEX(资金日记账!$X$4:$X$603,423))</f>
        <v/>
      </c>
      <c r="M1754" s="107"/>
      <c r="N1754" s="67" t="str">
        <f aca="false">IF($E1754="","",INDEX(资金日记账!$Y$4:$Y$603,423))</f>
        <v/>
      </c>
      <c r="O1754" s="67" t="str">
        <f aca="false">IF($E1754="","","自动B")</f>
        <v/>
      </c>
      <c r="P1754" s="18"/>
    </row>
    <row r="1755" customFormat="false" ht="18" hidden="false" customHeight="true" outlineLevel="0" collapsed="false">
      <c r="A1755" s="107" t="str">
        <f aca="false">IF($E1755="","",ROW()-3)</f>
        <v/>
      </c>
      <c r="B1755" s="110" t="str">
        <f aca="false">IF($E1755="","",INDEX(资金日记账!$B$4:$B$603,423))</f>
        <v/>
      </c>
      <c r="C1755" s="67" t="str">
        <f aca="false">IF($E1755="","",IF(INDEX(资金日记账!$W$4:$W$603,423)="","记-"&amp;TEXT($B1755,"YYYYMM")&amp;"-资金",INDEX(资金日记账!$W$4:$W$603,423)))</f>
        <v/>
      </c>
      <c r="D1755" s="107" t="str">
        <f aca="false">IF($E1755="","",INDEX(资金日记账!$D$4:$D$603,423))</f>
        <v/>
      </c>
      <c r="E1755" s="67" t="str">
        <f aca="false">IF(INDEX(资金日记账!$N$4:$S$603,423,4)=0,"",INDEX(资金日记账!$N$4:$S$603,423,4))</f>
        <v/>
      </c>
      <c r="F1755" s="99" t="str">
        <f aca="false">IF($E1755="","",IFERROR(INDEX(科目表!$A$4:$A$81,MATCH($E1755,科目表!$B$4:$B$81,0)),""))</f>
        <v/>
      </c>
      <c r="G1755" s="67" t="str">
        <f aca="false">IF($E1755="","",IFERROR(INDEX(科目表!$E$4:$E$81,MATCH($E1755,科目表!$B$4:$B$81,0)),""))</f>
        <v/>
      </c>
      <c r="H1755" s="70" t="str">
        <f aca="false">IF($E1755="","",N(INDEX(资金日记账!$N$4:$S$603,423,5)))</f>
        <v/>
      </c>
      <c r="I1755" s="70" t="str">
        <f aca="false">IF($E1755="","",N(INDEX(资金日记账!$N$4:$S$603,423,6)))</f>
        <v/>
      </c>
      <c r="J1755" s="67" t="str">
        <f aca="false">IF($E1755="","",INDEX(资金日记账!$E$4:$E$603,423))</f>
        <v/>
      </c>
      <c r="K1755" s="67" t="str">
        <f aca="false">IF($E1755="","",INDEX(资金日记账!$F$4:$F$603,423))</f>
        <v/>
      </c>
      <c r="L1755" s="107" t="str">
        <f aca="false">IF($E1755="","",INDEX(资金日记账!$X$4:$X$603,423))</f>
        <v/>
      </c>
      <c r="M1755" s="107"/>
      <c r="N1755" s="67" t="str">
        <f aca="false">IF($E1755="","",INDEX(资金日记账!$Y$4:$Y$603,423))</f>
        <v/>
      </c>
      <c r="O1755" s="67" t="str">
        <f aca="false">IF($E1755="","","自动B")</f>
        <v/>
      </c>
      <c r="P1755" s="18"/>
    </row>
    <row r="1756" customFormat="false" ht="18" hidden="false" customHeight="true" outlineLevel="0" collapsed="false">
      <c r="A1756" s="107" t="str">
        <f aca="false">IF($E1756="","",ROW()-3)</f>
        <v/>
      </c>
      <c r="B1756" s="110" t="str">
        <f aca="false">IF($E1756="","",INDEX(资金日记账!$B$4:$B$603,424))</f>
        <v/>
      </c>
      <c r="C1756" s="67" t="str">
        <f aca="false">IF($E1756="","",IF(INDEX(资金日记账!$W$4:$W$603,424)="","记-"&amp;TEXT($B1756,"YYYYMM")&amp;"-资金",INDEX(资金日记账!$W$4:$W$603,424)))</f>
        <v/>
      </c>
      <c r="D1756" s="107" t="str">
        <f aca="false">IF($E1756="","",INDEX(资金日记账!$D$4:$D$603,424))</f>
        <v/>
      </c>
      <c r="E1756" s="67" t="str">
        <f aca="false">IF(INDEX(资金日记账!$N$4:$S$603,424,1)=0,"",INDEX(资金日记账!$N$4:$S$603,424,1))</f>
        <v/>
      </c>
      <c r="F1756" s="99" t="str">
        <f aca="false">IF($E1756="","",IFERROR(INDEX(科目表!$A$4:$A$81,MATCH($E1756,科目表!$B$4:$B$81,0)),""))</f>
        <v/>
      </c>
      <c r="G1756" s="67" t="str">
        <f aca="false">IF($E1756="","",IFERROR(INDEX(科目表!$E$4:$E$81,MATCH($E1756,科目表!$B$4:$B$81,0)),""))</f>
        <v/>
      </c>
      <c r="H1756" s="70" t="str">
        <f aca="false">IF($E1756="","",N(INDEX(资金日记账!$N$4:$S$603,424,2)))</f>
        <v/>
      </c>
      <c r="I1756" s="70" t="str">
        <f aca="false">IF($E1756="","",N(INDEX(资金日记账!$N$4:$S$603,424,3)))</f>
        <v/>
      </c>
      <c r="J1756" s="67" t="str">
        <f aca="false">IF($E1756="","",INDEX(资金日记账!$E$4:$E$603,424))</f>
        <v/>
      </c>
      <c r="K1756" s="67" t="str">
        <f aca="false">IF($E1756="","",INDEX(资金日记账!$F$4:$F$603,424))</f>
        <v/>
      </c>
      <c r="L1756" s="107" t="str">
        <f aca="false">IF($E1756="","",INDEX(资金日记账!$X$4:$X$603,424))</f>
        <v/>
      </c>
      <c r="M1756" s="107"/>
      <c r="N1756" s="67" t="str">
        <f aca="false">IF($E1756="","",INDEX(资金日记账!$Y$4:$Y$603,424))</f>
        <v/>
      </c>
      <c r="O1756" s="67" t="str">
        <f aca="false">IF($E1756="","","自动B")</f>
        <v/>
      </c>
      <c r="P1756" s="18"/>
    </row>
    <row r="1757" customFormat="false" ht="18" hidden="false" customHeight="true" outlineLevel="0" collapsed="false">
      <c r="A1757" s="107" t="str">
        <f aca="false">IF($E1757="","",ROW()-3)</f>
        <v/>
      </c>
      <c r="B1757" s="110" t="str">
        <f aca="false">IF($E1757="","",INDEX(资金日记账!$B$4:$B$603,424))</f>
        <v/>
      </c>
      <c r="C1757" s="67" t="str">
        <f aca="false">IF($E1757="","",IF(INDEX(资金日记账!$W$4:$W$603,424)="","记-"&amp;TEXT($B1757,"YYYYMM")&amp;"-资金",INDEX(资金日记账!$W$4:$W$603,424)))</f>
        <v/>
      </c>
      <c r="D1757" s="107" t="str">
        <f aca="false">IF($E1757="","",INDEX(资金日记账!$D$4:$D$603,424))</f>
        <v/>
      </c>
      <c r="E1757" s="67" t="str">
        <f aca="false">IF(INDEX(资金日记账!$N$4:$S$603,424,4)=0,"",INDEX(资金日记账!$N$4:$S$603,424,4))</f>
        <v/>
      </c>
      <c r="F1757" s="99" t="str">
        <f aca="false">IF($E1757="","",IFERROR(INDEX(科目表!$A$4:$A$81,MATCH($E1757,科目表!$B$4:$B$81,0)),""))</f>
        <v/>
      </c>
      <c r="G1757" s="67" t="str">
        <f aca="false">IF($E1757="","",IFERROR(INDEX(科目表!$E$4:$E$81,MATCH($E1757,科目表!$B$4:$B$81,0)),""))</f>
        <v/>
      </c>
      <c r="H1757" s="70" t="str">
        <f aca="false">IF($E1757="","",N(INDEX(资金日记账!$N$4:$S$603,424,5)))</f>
        <v/>
      </c>
      <c r="I1757" s="70" t="str">
        <f aca="false">IF($E1757="","",N(INDEX(资金日记账!$N$4:$S$603,424,6)))</f>
        <v/>
      </c>
      <c r="J1757" s="67" t="str">
        <f aca="false">IF($E1757="","",INDEX(资金日记账!$E$4:$E$603,424))</f>
        <v/>
      </c>
      <c r="K1757" s="67" t="str">
        <f aca="false">IF($E1757="","",INDEX(资金日记账!$F$4:$F$603,424))</f>
        <v/>
      </c>
      <c r="L1757" s="107" t="str">
        <f aca="false">IF($E1757="","",INDEX(资金日记账!$X$4:$X$603,424))</f>
        <v/>
      </c>
      <c r="M1757" s="107"/>
      <c r="N1757" s="67" t="str">
        <f aca="false">IF($E1757="","",INDEX(资金日记账!$Y$4:$Y$603,424))</f>
        <v/>
      </c>
      <c r="O1757" s="67" t="str">
        <f aca="false">IF($E1757="","","自动B")</f>
        <v/>
      </c>
      <c r="P1757" s="18"/>
    </row>
    <row r="1758" customFormat="false" ht="18" hidden="false" customHeight="true" outlineLevel="0" collapsed="false">
      <c r="A1758" s="107" t="str">
        <f aca="false">IF($E1758="","",ROW()-3)</f>
        <v/>
      </c>
      <c r="B1758" s="110" t="str">
        <f aca="false">IF($E1758="","",INDEX(资金日记账!$B$4:$B$603,425))</f>
        <v/>
      </c>
      <c r="C1758" s="67" t="str">
        <f aca="false">IF($E1758="","",IF(INDEX(资金日记账!$W$4:$W$603,425)="","记-"&amp;TEXT($B1758,"YYYYMM")&amp;"-资金",INDEX(资金日记账!$W$4:$W$603,425)))</f>
        <v/>
      </c>
      <c r="D1758" s="107" t="str">
        <f aca="false">IF($E1758="","",INDEX(资金日记账!$D$4:$D$603,425))</f>
        <v/>
      </c>
      <c r="E1758" s="67" t="str">
        <f aca="false">IF(INDEX(资金日记账!$N$4:$S$603,425,1)=0,"",INDEX(资金日记账!$N$4:$S$603,425,1))</f>
        <v/>
      </c>
      <c r="F1758" s="99" t="str">
        <f aca="false">IF($E1758="","",IFERROR(INDEX(科目表!$A$4:$A$81,MATCH($E1758,科目表!$B$4:$B$81,0)),""))</f>
        <v/>
      </c>
      <c r="G1758" s="67" t="str">
        <f aca="false">IF($E1758="","",IFERROR(INDEX(科目表!$E$4:$E$81,MATCH($E1758,科目表!$B$4:$B$81,0)),""))</f>
        <v/>
      </c>
      <c r="H1758" s="70" t="str">
        <f aca="false">IF($E1758="","",N(INDEX(资金日记账!$N$4:$S$603,425,2)))</f>
        <v/>
      </c>
      <c r="I1758" s="70" t="str">
        <f aca="false">IF($E1758="","",N(INDEX(资金日记账!$N$4:$S$603,425,3)))</f>
        <v/>
      </c>
      <c r="J1758" s="67" t="str">
        <f aca="false">IF($E1758="","",INDEX(资金日记账!$E$4:$E$603,425))</f>
        <v/>
      </c>
      <c r="K1758" s="67" t="str">
        <f aca="false">IF($E1758="","",INDEX(资金日记账!$F$4:$F$603,425))</f>
        <v/>
      </c>
      <c r="L1758" s="107" t="str">
        <f aca="false">IF($E1758="","",INDEX(资金日记账!$X$4:$X$603,425))</f>
        <v/>
      </c>
      <c r="M1758" s="107"/>
      <c r="N1758" s="67" t="str">
        <f aca="false">IF($E1758="","",INDEX(资金日记账!$Y$4:$Y$603,425))</f>
        <v/>
      </c>
      <c r="O1758" s="67" t="str">
        <f aca="false">IF($E1758="","","自动B")</f>
        <v/>
      </c>
      <c r="P1758" s="18"/>
    </row>
    <row r="1759" customFormat="false" ht="18" hidden="false" customHeight="true" outlineLevel="0" collapsed="false">
      <c r="A1759" s="107" t="str">
        <f aca="false">IF($E1759="","",ROW()-3)</f>
        <v/>
      </c>
      <c r="B1759" s="110" t="str">
        <f aca="false">IF($E1759="","",INDEX(资金日记账!$B$4:$B$603,425))</f>
        <v/>
      </c>
      <c r="C1759" s="67" t="str">
        <f aca="false">IF($E1759="","",IF(INDEX(资金日记账!$W$4:$W$603,425)="","记-"&amp;TEXT($B1759,"YYYYMM")&amp;"-资金",INDEX(资金日记账!$W$4:$W$603,425)))</f>
        <v/>
      </c>
      <c r="D1759" s="107" t="str">
        <f aca="false">IF($E1759="","",INDEX(资金日记账!$D$4:$D$603,425))</f>
        <v/>
      </c>
      <c r="E1759" s="67" t="str">
        <f aca="false">IF(INDEX(资金日记账!$N$4:$S$603,425,4)=0,"",INDEX(资金日记账!$N$4:$S$603,425,4))</f>
        <v/>
      </c>
      <c r="F1759" s="99" t="str">
        <f aca="false">IF($E1759="","",IFERROR(INDEX(科目表!$A$4:$A$81,MATCH($E1759,科目表!$B$4:$B$81,0)),""))</f>
        <v/>
      </c>
      <c r="G1759" s="67" t="str">
        <f aca="false">IF($E1759="","",IFERROR(INDEX(科目表!$E$4:$E$81,MATCH($E1759,科目表!$B$4:$B$81,0)),""))</f>
        <v/>
      </c>
      <c r="H1759" s="70" t="str">
        <f aca="false">IF($E1759="","",N(INDEX(资金日记账!$N$4:$S$603,425,5)))</f>
        <v/>
      </c>
      <c r="I1759" s="70" t="str">
        <f aca="false">IF($E1759="","",N(INDEX(资金日记账!$N$4:$S$603,425,6)))</f>
        <v/>
      </c>
      <c r="J1759" s="67" t="str">
        <f aca="false">IF($E1759="","",INDEX(资金日记账!$E$4:$E$603,425))</f>
        <v/>
      </c>
      <c r="K1759" s="67" t="str">
        <f aca="false">IF($E1759="","",INDEX(资金日记账!$F$4:$F$603,425))</f>
        <v/>
      </c>
      <c r="L1759" s="107" t="str">
        <f aca="false">IF($E1759="","",INDEX(资金日记账!$X$4:$X$603,425))</f>
        <v/>
      </c>
      <c r="M1759" s="107"/>
      <c r="N1759" s="67" t="str">
        <f aca="false">IF($E1759="","",INDEX(资金日记账!$Y$4:$Y$603,425))</f>
        <v/>
      </c>
      <c r="O1759" s="67" t="str">
        <f aca="false">IF($E1759="","","自动B")</f>
        <v/>
      </c>
      <c r="P1759" s="18"/>
    </row>
    <row r="1760" customFormat="false" ht="18" hidden="false" customHeight="true" outlineLevel="0" collapsed="false">
      <c r="A1760" s="107" t="str">
        <f aca="false">IF($E1760="","",ROW()-3)</f>
        <v/>
      </c>
      <c r="B1760" s="110" t="str">
        <f aca="false">IF($E1760="","",INDEX(资金日记账!$B$4:$B$603,426))</f>
        <v/>
      </c>
      <c r="C1760" s="67" t="str">
        <f aca="false">IF($E1760="","",IF(INDEX(资金日记账!$W$4:$W$603,426)="","记-"&amp;TEXT($B1760,"YYYYMM")&amp;"-资金",INDEX(资金日记账!$W$4:$W$603,426)))</f>
        <v/>
      </c>
      <c r="D1760" s="107" t="str">
        <f aca="false">IF($E1760="","",INDEX(资金日记账!$D$4:$D$603,426))</f>
        <v/>
      </c>
      <c r="E1760" s="67" t="str">
        <f aca="false">IF(INDEX(资金日记账!$N$4:$S$603,426,1)=0,"",INDEX(资金日记账!$N$4:$S$603,426,1))</f>
        <v/>
      </c>
      <c r="F1760" s="99" t="str">
        <f aca="false">IF($E1760="","",IFERROR(INDEX(科目表!$A$4:$A$81,MATCH($E1760,科目表!$B$4:$B$81,0)),""))</f>
        <v/>
      </c>
      <c r="G1760" s="67" t="str">
        <f aca="false">IF($E1760="","",IFERROR(INDEX(科目表!$E$4:$E$81,MATCH($E1760,科目表!$B$4:$B$81,0)),""))</f>
        <v/>
      </c>
      <c r="H1760" s="70" t="str">
        <f aca="false">IF($E1760="","",N(INDEX(资金日记账!$N$4:$S$603,426,2)))</f>
        <v/>
      </c>
      <c r="I1760" s="70" t="str">
        <f aca="false">IF($E1760="","",N(INDEX(资金日记账!$N$4:$S$603,426,3)))</f>
        <v/>
      </c>
      <c r="J1760" s="67" t="str">
        <f aca="false">IF($E1760="","",INDEX(资金日记账!$E$4:$E$603,426))</f>
        <v/>
      </c>
      <c r="K1760" s="67" t="str">
        <f aca="false">IF($E1760="","",INDEX(资金日记账!$F$4:$F$603,426))</f>
        <v/>
      </c>
      <c r="L1760" s="107" t="str">
        <f aca="false">IF($E1760="","",INDEX(资金日记账!$X$4:$X$603,426))</f>
        <v/>
      </c>
      <c r="M1760" s="107"/>
      <c r="N1760" s="67" t="str">
        <f aca="false">IF($E1760="","",INDEX(资金日记账!$Y$4:$Y$603,426))</f>
        <v/>
      </c>
      <c r="O1760" s="67" t="str">
        <f aca="false">IF($E1760="","","自动B")</f>
        <v/>
      </c>
      <c r="P1760" s="18"/>
    </row>
    <row r="1761" customFormat="false" ht="18" hidden="false" customHeight="true" outlineLevel="0" collapsed="false">
      <c r="A1761" s="107" t="str">
        <f aca="false">IF($E1761="","",ROW()-3)</f>
        <v/>
      </c>
      <c r="B1761" s="110" t="str">
        <f aca="false">IF($E1761="","",INDEX(资金日记账!$B$4:$B$603,426))</f>
        <v/>
      </c>
      <c r="C1761" s="67" t="str">
        <f aca="false">IF($E1761="","",IF(INDEX(资金日记账!$W$4:$W$603,426)="","记-"&amp;TEXT($B1761,"YYYYMM")&amp;"-资金",INDEX(资金日记账!$W$4:$W$603,426)))</f>
        <v/>
      </c>
      <c r="D1761" s="107" t="str">
        <f aca="false">IF($E1761="","",INDEX(资金日记账!$D$4:$D$603,426))</f>
        <v/>
      </c>
      <c r="E1761" s="67" t="str">
        <f aca="false">IF(INDEX(资金日记账!$N$4:$S$603,426,4)=0,"",INDEX(资金日记账!$N$4:$S$603,426,4))</f>
        <v/>
      </c>
      <c r="F1761" s="99" t="str">
        <f aca="false">IF($E1761="","",IFERROR(INDEX(科目表!$A$4:$A$81,MATCH($E1761,科目表!$B$4:$B$81,0)),""))</f>
        <v/>
      </c>
      <c r="G1761" s="67" t="str">
        <f aca="false">IF($E1761="","",IFERROR(INDEX(科目表!$E$4:$E$81,MATCH($E1761,科目表!$B$4:$B$81,0)),""))</f>
        <v/>
      </c>
      <c r="H1761" s="70" t="str">
        <f aca="false">IF($E1761="","",N(INDEX(资金日记账!$N$4:$S$603,426,5)))</f>
        <v/>
      </c>
      <c r="I1761" s="70" t="str">
        <f aca="false">IF($E1761="","",N(INDEX(资金日记账!$N$4:$S$603,426,6)))</f>
        <v/>
      </c>
      <c r="J1761" s="67" t="str">
        <f aca="false">IF($E1761="","",INDEX(资金日记账!$E$4:$E$603,426))</f>
        <v/>
      </c>
      <c r="K1761" s="67" t="str">
        <f aca="false">IF($E1761="","",INDEX(资金日记账!$F$4:$F$603,426))</f>
        <v/>
      </c>
      <c r="L1761" s="107" t="str">
        <f aca="false">IF($E1761="","",INDEX(资金日记账!$X$4:$X$603,426))</f>
        <v/>
      </c>
      <c r="M1761" s="107"/>
      <c r="N1761" s="67" t="str">
        <f aca="false">IF($E1761="","",INDEX(资金日记账!$Y$4:$Y$603,426))</f>
        <v/>
      </c>
      <c r="O1761" s="67" t="str">
        <f aca="false">IF($E1761="","","自动B")</f>
        <v/>
      </c>
      <c r="P1761" s="18"/>
    </row>
    <row r="1762" customFormat="false" ht="18" hidden="false" customHeight="true" outlineLevel="0" collapsed="false">
      <c r="A1762" s="107" t="str">
        <f aca="false">IF($E1762="","",ROW()-3)</f>
        <v/>
      </c>
      <c r="B1762" s="110" t="str">
        <f aca="false">IF($E1762="","",INDEX(资金日记账!$B$4:$B$603,427))</f>
        <v/>
      </c>
      <c r="C1762" s="67" t="str">
        <f aca="false">IF($E1762="","",IF(INDEX(资金日记账!$W$4:$W$603,427)="","记-"&amp;TEXT($B1762,"YYYYMM")&amp;"-资金",INDEX(资金日记账!$W$4:$W$603,427)))</f>
        <v/>
      </c>
      <c r="D1762" s="107" t="str">
        <f aca="false">IF($E1762="","",INDEX(资金日记账!$D$4:$D$603,427))</f>
        <v/>
      </c>
      <c r="E1762" s="67" t="str">
        <f aca="false">IF(INDEX(资金日记账!$N$4:$S$603,427,1)=0,"",INDEX(资金日记账!$N$4:$S$603,427,1))</f>
        <v/>
      </c>
      <c r="F1762" s="99" t="str">
        <f aca="false">IF($E1762="","",IFERROR(INDEX(科目表!$A$4:$A$81,MATCH($E1762,科目表!$B$4:$B$81,0)),""))</f>
        <v/>
      </c>
      <c r="G1762" s="67" t="str">
        <f aca="false">IF($E1762="","",IFERROR(INDEX(科目表!$E$4:$E$81,MATCH($E1762,科目表!$B$4:$B$81,0)),""))</f>
        <v/>
      </c>
      <c r="H1762" s="70" t="str">
        <f aca="false">IF($E1762="","",N(INDEX(资金日记账!$N$4:$S$603,427,2)))</f>
        <v/>
      </c>
      <c r="I1762" s="70" t="str">
        <f aca="false">IF($E1762="","",N(INDEX(资金日记账!$N$4:$S$603,427,3)))</f>
        <v/>
      </c>
      <c r="J1762" s="67" t="str">
        <f aca="false">IF($E1762="","",INDEX(资金日记账!$E$4:$E$603,427))</f>
        <v/>
      </c>
      <c r="K1762" s="67" t="str">
        <f aca="false">IF($E1762="","",INDEX(资金日记账!$F$4:$F$603,427))</f>
        <v/>
      </c>
      <c r="L1762" s="107" t="str">
        <f aca="false">IF($E1762="","",INDEX(资金日记账!$X$4:$X$603,427))</f>
        <v/>
      </c>
      <c r="M1762" s="107"/>
      <c r="N1762" s="67" t="str">
        <f aca="false">IF($E1762="","",INDEX(资金日记账!$Y$4:$Y$603,427))</f>
        <v/>
      </c>
      <c r="O1762" s="67" t="str">
        <f aca="false">IF($E1762="","","自动B")</f>
        <v/>
      </c>
      <c r="P1762" s="18"/>
    </row>
    <row r="1763" customFormat="false" ht="18" hidden="false" customHeight="true" outlineLevel="0" collapsed="false">
      <c r="A1763" s="107" t="str">
        <f aca="false">IF($E1763="","",ROW()-3)</f>
        <v/>
      </c>
      <c r="B1763" s="110" t="str">
        <f aca="false">IF($E1763="","",INDEX(资金日记账!$B$4:$B$603,427))</f>
        <v/>
      </c>
      <c r="C1763" s="67" t="str">
        <f aca="false">IF($E1763="","",IF(INDEX(资金日记账!$W$4:$W$603,427)="","记-"&amp;TEXT($B1763,"YYYYMM")&amp;"-资金",INDEX(资金日记账!$W$4:$W$603,427)))</f>
        <v/>
      </c>
      <c r="D1763" s="107" t="str">
        <f aca="false">IF($E1763="","",INDEX(资金日记账!$D$4:$D$603,427))</f>
        <v/>
      </c>
      <c r="E1763" s="67" t="str">
        <f aca="false">IF(INDEX(资金日记账!$N$4:$S$603,427,4)=0,"",INDEX(资金日记账!$N$4:$S$603,427,4))</f>
        <v/>
      </c>
      <c r="F1763" s="99" t="str">
        <f aca="false">IF($E1763="","",IFERROR(INDEX(科目表!$A$4:$A$81,MATCH($E1763,科目表!$B$4:$B$81,0)),""))</f>
        <v/>
      </c>
      <c r="G1763" s="67" t="str">
        <f aca="false">IF($E1763="","",IFERROR(INDEX(科目表!$E$4:$E$81,MATCH($E1763,科目表!$B$4:$B$81,0)),""))</f>
        <v/>
      </c>
      <c r="H1763" s="70" t="str">
        <f aca="false">IF($E1763="","",N(INDEX(资金日记账!$N$4:$S$603,427,5)))</f>
        <v/>
      </c>
      <c r="I1763" s="70" t="str">
        <f aca="false">IF($E1763="","",N(INDEX(资金日记账!$N$4:$S$603,427,6)))</f>
        <v/>
      </c>
      <c r="J1763" s="67" t="str">
        <f aca="false">IF($E1763="","",INDEX(资金日记账!$E$4:$E$603,427))</f>
        <v/>
      </c>
      <c r="K1763" s="67" t="str">
        <f aca="false">IF($E1763="","",INDEX(资金日记账!$F$4:$F$603,427))</f>
        <v/>
      </c>
      <c r="L1763" s="107" t="str">
        <f aca="false">IF($E1763="","",INDEX(资金日记账!$X$4:$X$603,427))</f>
        <v/>
      </c>
      <c r="M1763" s="107"/>
      <c r="N1763" s="67" t="str">
        <f aca="false">IF($E1763="","",INDEX(资金日记账!$Y$4:$Y$603,427))</f>
        <v/>
      </c>
      <c r="O1763" s="67" t="str">
        <f aca="false">IF($E1763="","","自动B")</f>
        <v/>
      </c>
      <c r="P1763" s="18"/>
    </row>
    <row r="1764" customFormat="false" ht="18" hidden="false" customHeight="true" outlineLevel="0" collapsed="false">
      <c r="A1764" s="107" t="str">
        <f aca="false">IF($E1764="","",ROW()-3)</f>
        <v/>
      </c>
      <c r="B1764" s="110" t="str">
        <f aca="false">IF($E1764="","",INDEX(资金日记账!$B$4:$B$603,428))</f>
        <v/>
      </c>
      <c r="C1764" s="67" t="str">
        <f aca="false">IF($E1764="","",IF(INDEX(资金日记账!$W$4:$W$603,428)="","记-"&amp;TEXT($B1764,"YYYYMM")&amp;"-资金",INDEX(资金日记账!$W$4:$W$603,428)))</f>
        <v/>
      </c>
      <c r="D1764" s="107" t="str">
        <f aca="false">IF($E1764="","",INDEX(资金日记账!$D$4:$D$603,428))</f>
        <v/>
      </c>
      <c r="E1764" s="67" t="str">
        <f aca="false">IF(INDEX(资金日记账!$N$4:$S$603,428,1)=0,"",INDEX(资金日记账!$N$4:$S$603,428,1))</f>
        <v/>
      </c>
      <c r="F1764" s="99" t="str">
        <f aca="false">IF($E1764="","",IFERROR(INDEX(科目表!$A$4:$A$81,MATCH($E1764,科目表!$B$4:$B$81,0)),""))</f>
        <v/>
      </c>
      <c r="G1764" s="67" t="str">
        <f aca="false">IF($E1764="","",IFERROR(INDEX(科目表!$E$4:$E$81,MATCH($E1764,科目表!$B$4:$B$81,0)),""))</f>
        <v/>
      </c>
      <c r="H1764" s="70" t="str">
        <f aca="false">IF($E1764="","",N(INDEX(资金日记账!$N$4:$S$603,428,2)))</f>
        <v/>
      </c>
      <c r="I1764" s="70" t="str">
        <f aca="false">IF($E1764="","",N(INDEX(资金日记账!$N$4:$S$603,428,3)))</f>
        <v/>
      </c>
      <c r="J1764" s="67" t="str">
        <f aca="false">IF($E1764="","",INDEX(资金日记账!$E$4:$E$603,428))</f>
        <v/>
      </c>
      <c r="K1764" s="67" t="str">
        <f aca="false">IF($E1764="","",INDEX(资金日记账!$F$4:$F$603,428))</f>
        <v/>
      </c>
      <c r="L1764" s="107" t="str">
        <f aca="false">IF($E1764="","",INDEX(资金日记账!$X$4:$X$603,428))</f>
        <v/>
      </c>
      <c r="M1764" s="107"/>
      <c r="N1764" s="67" t="str">
        <f aca="false">IF($E1764="","",INDEX(资金日记账!$Y$4:$Y$603,428))</f>
        <v/>
      </c>
      <c r="O1764" s="67" t="str">
        <f aca="false">IF($E1764="","","自动B")</f>
        <v/>
      </c>
      <c r="P1764" s="18"/>
    </row>
    <row r="1765" customFormat="false" ht="18" hidden="false" customHeight="true" outlineLevel="0" collapsed="false">
      <c r="A1765" s="107" t="str">
        <f aca="false">IF($E1765="","",ROW()-3)</f>
        <v/>
      </c>
      <c r="B1765" s="110" t="str">
        <f aca="false">IF($E1765="","",INDEX(资金日记账!$B$4:$B$603,428))</f>
        <v/>
      </c>
      <c r="C1765" s="67" t="str">
        <f aca="false">IF($E1765="","",IF(INDEX(资金日记账!$W$4:$W$603,428)="","记-"&amp;TEXT($B1765,"YYYYMM")&amp;"-资金",INDEX(资金日记账!$W$4:$W$603,428)))</f>
        <v/>
      </c>
      <c r="D1765" s="107" t="str">
        <f aca="false">IF($E1765="","",INDEX(资金日记账!$D$4:$D$603,428))</f>
        <v/>
      </c>
      <c r="E1765" s="67" t="str">
        <f aca="false">IF(INDEX(资金日记账!$N$4:$S$603,428,4)=0,"",INDEX(资金日记账!$N$4:$S$603,428,4))</f>
        <v/>
      </c>
      <c r="F1765" s="99" t="str">
        <f aca="false">IF($E1765="","",IFERROR(INDEX(科目表!$A$4:$A$81,MATCH($E1765,科目表!$B$4:$B$81,0)),""))</f>
        <v/>
      </c>
      <c r="G1765" s="67" t="str">
        <f aca="false">IF($E1765="","",IFERROR(INDEX(科目表!$E$4:$E$81,MATCH($E1765,科目表!$B$4:$B$81,0)),""))</f>
        <v/>
      </c>
      <c r="H1765" s="70" t="str">
        <f aca="false">IF($E1765="","",N(INDEX(资金日记账!$N$4:$S$603,428,5)))</f>
        <v/>
      </c>
      <c r="I1765" s="70" t="str">
        <f aca="false">IF($E1765="","",N(INDEX(资金日记账!$N$4:$S$603,428,6)))</f>
        <v/>
      </c>
      <c r="J1765" s="67" t="str">
        <f aca="false">IF($E1765="","",INDEX(资金日记账!$E$4:$E$603,428))</f>
        <v/>
      </c>
      <c r="K1765" s="67" t="str">
        <f aca="false">IF($E1765="","",INDEX(资金日记账!$F$4:$F$603,428))</f>
        <v/>
      </c>
      <c r="L1765" s="107" t="str">
        <f aca="false">IF($E1765="","",INDEX(资金日记账!$X$4:$X$603,428))</f>
        <v/>
      </c>
      <c r="M1765" s="107"/>
      <c r="N1765" s="67" t="str">
        <f aca="false">IF($E1765="","",INDEX(资金日记账!$Y$4:$Y$603,428))</f>
        <v/>
      </c>
      <c r="O1765" s="67" t="str">
        <f aca="false">IF($E1765="","","自动B")</f>
        <v/>
      </c>
      <c r="P1765" s="18"/>
    </row>
    <row r="1766" customFormat="false" ht="18" hidden="false" customHeight="true" outlineLevel="0" collapsed="false">
      <c r="A1766" s="107" t="str">
        <f aca="false">IF($E1766="","",ROW()-3)</f>
        <v/>
      </c>
      <c r="B1766" s="110" t="str">
        <f aca="false">IF($E1766="","",INDEX(资金日记账!$B$4:$B$603,429))</f>
        <v/>
      </c>
      <c r="C1766" s="67" t="str">
        <f aca="false">IF($E1766="","",IF(INDEX(资金日记账!$W$4:$W$603,429)="","记-"&amp;TEXT($B1766,"YYYYMM")&amp;"-资金",INDEX(资金日记账!$W$4:$W$603,429)))</f>
        <v/>
      </c>
      <c r="D1766" s="107" t="str">
        <f aca="false">IF($E1766="","",INDEX(资金日记账!$D$4:$D$603,429))</f>
        <v/>
      </c>
      <c r="E1766" s="67" t="str">
        <f aca="false">IF(INDEX(资金日记账!$N$4:$S$603,429,1)=0,"",INDEX(资金日记账!$N$4:$S$603,429,1))</f>
        <v/>
      </c>
      <c r="F1766" s="99" t="str">
        <f aca="false">IF($E1766="","",IFERROR(INDEX(科目表!$A$4:$A$81,MATCH($E1766,科目表!$B$4:$B$81,0)),""))</f>
        <v/>
      </c>
      <c r="G1766" s="67" t="str">
        <f aca="false">IF($E1766="","",IFERROR(INDEX(科目表!$E$4:$E$81,MATCH($E1766,科目表!$B$4:$B$81,0)),""))</f>
        <v/>
      </c>
      <c r="H1766" s="70" t="str">
        <f aca="false">IF($E1766="","",N(INDEX(资金日记账!$N$4:$S$603,429,2)))</f>
        <v/>
      </c>
      <c r="I1766" s="70" t="str">
        <f aca="false">IF($E1766="","",N(INDEX(资金日记账!$N$4:$S$603,429,3)))</f>
        <v/>
      </c>
      <c r="J1766" s="67" t="str">
        <f aca="false">IF($E1766="","",INDEX(资金日记账!$E$4:$E$603,429))</f>
        <v/>
      </c>
      <c r="K1766" s="67" t="str">
        <f aca="false">IF($E1766="","",INDEX(资金日记账!$F$4:$F$603,429))</f>
        <v/>
      </c>
      <c r="L1766" s="107" t="str">
        <f aca="false">IF($E1766="","",INDEX(资金日记账!$X$4:$X$603,429))</f>
        <v/>
      </c>
      <c r="M1766" s="107"/>
      <c r="N1766" s="67" t="str">
        <f aca="false">IF($E1766="","",INDEX(资金日记账!$Y$4:$Y$603,429))</f>
        <v/>
      </c>
      <c r="O1766" s="67" t="str">
        <f aca="false">IF($E1766="","","自动B")</f>
        <v/>
      </c>
      <c r="P1766" s="18"/>
    </row>
    <row r="1767" customFormat="false" ht="18" hidden="false" customHeight="true" outlineLevel="0" collapsed="false">
      <c r="A1767" s="107" t="str">
        <f aca="false">IF($E1767="","",ROW()-3)</f>
        <v/>
      </c>
      <c r="B1767" s="110" t="str">
        <f aca="false">IF($E1767="","",INDEX(资金日记账!$B$4:$B$603,429))</f>
        <v/>
      </c>
      <c r="C1767" s="67" t="str">
        <f aca="false">IF($E1767="","",IF(INDEX(资金日记账!$W$4:$W$603,429)="","记-"&amp;TEXT($B1767,"YYYYMM")&amp;"-资金",INDEX(资金日记账!$W$4:$W$603,429)))</f>
        <v/>
      </c>
      <c r="D1767" s="107" t="str">
        <f aca="false">IF($E1767="","",INDEX(资金日记账!$D$4:$D$603,429))</f>
        <v/>
      </c>
      <c r="E1767" s="67" t="str">
        <f aca="false">IF(INDEX(资金日记账!$N$4:$S$603,429,4)=0,"",INDEX(资金日记账!$N$4:$S$603,429,4))</f>
        <v/>
      </c>
      <c r="F1767" s="99" t="str">
        <f aca="false">IF($E1767="","",IFERROR(INDEX(科目表!$A$4:$A$81,MATCH($E1767,科目表!$B$4:$B$81,0)),""))</f>
        <v/>
      </c>
      <c r="G1767" s="67" t="str">
        <f aca="false">IF($E1767="","",IFERROR(INDEX(科目表!$E$4:$E$81,MATCH($E1767,科目表!$B$4:$B$81,0)),""))</f>
        <v/>
      </c>
      <c r="H1767" s="70" t="str">
        <f aca="false">IF($E1767="","",N(INDEX(资金日记账!$N$4:$S$603,429,5)))</f>
        <v/>
      </c>
      <c r="I1767" s="70" t="str">
        <f aca="false">IF($E1767="","",N(INDEX(资金日记账!$N$4:$S$603,429,6)))</f>
        <v/>
      </c>
      <c r="J1767" s="67" t="str">
        <f aca="false">IF($E1767="","",INDEX(资金日记账!$E$4:$E$603,429))</f>
        <v/>
      </c>
      <c r="K1767" s="67" t="str">
        <f aca="false">IF($E1767="","",INDEX(资金日记账!$F$4:$F$603,429))</f>
        <v/>
      </c>
      <c r="L1767" s="107" t="str">
        <f aca="false">IF($E1767="","",INDEX(资金日记账!$X$4:$X$603,429))</f>
        <v/>
      </c>
      <c r="M1767" s="107"/>
      <c r="N1767" s="67" t="str">
        <f aca="false">IF($E1767="","",INDEX(资金日记账!$Y$4:$Y$603,429))</f>
        <v/>
      </c>
      <c r="O1767" s="67" t="str">
        <f aca="false">IF($E1767="","","自动B")</f>
        <v/>
      </c>
      <c r="P1767" s="18"/>
    </row>
    <row r="1768" customFormat="false" ht="18" hidden="false" customHeight="true" outlineLevel="0" collapsed="false">
      <c r="A1768" s="107" t="str">
        <f aca="false">IF($E1768="","",ROW()-3)</f>
        <v/>
      </c>
      <c r="B1768" s="110" t="str">
        <f aca="false">IF($E1768="","",INDEX(资金日记账!$B$4:$B$603,430))</f>
        <v/>
      </c>
      <c r="C1768" s="67" t="str">
        <f aca="false">IF($E1768="","",IF(INDEX(资金日记账!$W$4:$W$603,430)="","记-"&amp;TEXT($B1768,"YYYYMM")&amp;"-资金",INDEX(资金日记账!$W$4:$W$603,430)))</f>
        <v/>
      </c>
      <c r="D1768" s="107" t="str">
        <f aca="false">IF($E1768="","",INDEX(资金日记账!$D$4:$D$603,430))</f>
        <v/>
      </c>
      <c r="E1768" s="67" t="str">
        <f aca="false">IF(INDEX(资金日记账!$N$4:$S$603,430,1)=0,"",INDEX(资金日记账!$N$4:$S$603,430,1))</f>
        <v/>
      </c>
      <c r="F1768" s="99" t="str">
        <f aca="false">IF($E1768="","",IFERROR(INDEX(科目表!$A$4:$A$81,MATCH($E1768,科目表!$B$4:$B$81,0)),""))</f>
        <v/>
      </c>
      <c r="G1768" s="67" t="str">
        <f aca="false">IF($E1768="","",IFERROR(INDEX(科目表!$E$4:$E$81,MATCH($E1768,科目表!$B$4:$B$81,0)),""))</f>
        <v/>
      </c>
      <c r="H1768" s="70" t="str">
        <f aca="false">IF($E1768="","",N(INDEX(资金日记账!$N$4:$S$603,430,2)))</f>
        <v/>
      </c>
      <c r="I1768" s="70" t="str">
        <f aca="false">IF($E1768="","",N(INDEX(资金日记账!$N$4:$S$603,430,3)))</f>
        <v/>
      </c>
      <c r="J1768" s="67" t="str">
        <f aca="false">IF($E1768="","",INDEX(资金日记账!$E$4:$E$603,430))</f>
        <v/>
      </c>
      <c r="K1768" s="67" t="str">
        <f aca="false">IF($E1768="","",INDEX(资金日记账!$F$4:$F$603,430))</f>
        <v/>
      </c>
      <c r="L1768" s="107" t="str">
        <f aca="false">IF($E1768="","",INDEX(资金日记账!$X$4:$X$603,430))</f>
        <v/>
      </c>
      <c r="M1768" s="107"/>
      <c r="N1768" s="67" t="str">
        <f aca="false">IF($E1768="","",INDEX(资金日记账!$Y$4:$Y$603,430))</f>
        <v/>
      </c>
      <c r="O1768" s="67" t="str">
        <f aca="false">IF($E1768="","","自动B")</f>
        <v/>
      </c>
      <c r="P1768" s="18"/>
    </row>
    <row r="1769" customFormat="false" ht="18" hidden="false" customHeight="true" outlineLevel="0" collapsed="false">
      <c r="A1769" s="107" t="str">
        <f aca="false">IF($E1769="","",ROW()-3)</f>
        <v/>
      </c>
      <c r="B1769" s="110" t="str">
        <f aca="false">IF($E1769="","",INDEX(资金日记账!$B$4:$B$603,430))</f>
        <v/>
      </c>
      <c r="C1769" s="67" t="str">
        <f aca="false">IF($E1769="","",IF(INDEX(资金日记账!$W$4:$W$603,430)="","记-"&amp;TEXT($B1769,"YYYYMM")&amp;"-资金",INDEX(资金日记账!$W$4:$W$603,430)))</f>
        <v/>
      </c>
      <c r="D1769" s="107" t="str">
        <f aca="false">IF($E1769="","",INDEX(资金日记账!$D$4:$D$603,430))</f>
        <v/>
      </c>
      <c r="E1769" s="67" t="str">
        <f aca="false">IF(INDEX(资金日记账!$N$4:$S$603,430,4)=0,"",INDEX(资金日记账!$N$4:$S$603,430,4))</f>
        <v/>
      </c>
      <c r="F1769" s="99" t="str">
        <f aca="false">IF($E1769="","",IFERROR(INDEX(科目表!$A$4:$A$81,MATCH($E1769,科目表!$B$4:$B$81,0)),""))</f>
        <v/>
      </c>
      <c r="G1769" s="67" t="str">
        <f aca="false">IF($E1769="","",IFERROR(INDEX(科目表!$E$4:$E$81,MATCH($E1769,科目表!$B$4:$B$81,0)),""))</f>
        <v/>
      </c>
      <c r="H1769" s="70" t="str">
        <f aca="false">IF($E1769="","",N(INDEX(资金日记账!$N$4:$S$603,430,5)))</f>
        <v/>
      </c>
      <c r="I1769" s="70" t="str">
        <f aca="false">IF($E1769="","",N(INDEX(资金日记账!$N$4:$S$603,430,6)))</f>
        <v/>
      </c>
      <c r="J1769" s="67" t="str">
        <f aca="false">IF($E1769="","",INDEX(资金日记账!$E$4:$E$603,430))</f>
        <v/>
      </c>
      <c r="K1769" s="67" t="str">
        <f aca="false">IF($E1769="","",INDEX(资金日记账!$F$4:$F$603,430))</f>
        <v/>
      </c>
      <c r="L1769" s="107" t="str">
        <f aca="false">IF($E1769="","",INDEX(资金日记账!$X$4:$X$603,430))</f>
        <v/>
      </c>
      <c r="M1769" s="107"/>
      <c r="N1769" s="67" t="str">
        <f aca="false">IF($E1769="","",INDEX(资金日记账!$Y$4:$Y$603,430))</f>
        <v/>
      </c>
      <c r="O1769" s="67" t="str">
        <f aca="false">IF($E1769="","","自动B")</f>
        <v/>
      </c>
      <c r="P1769" s="18"/>
    </row>
    <row r="1770" customFormat="false" ht="18" hidden="false" customHeight="true" outlineLevel="0" collapsed="false">
      <c r="A1770" s="107" t="str">
        <f aca="false">IF($E1770="","",ROW()-3)</f>
        <v/>
      </c>
      <c r="B1770" s="110" t="str">
        <f aca="false">IF($E1770="","",INDEX(资金日记账!$B$4:$B$603,431))</f>
        <v/>
      </c>
      <c r="C1770" s="67" t="str">
        <f aca="false">IF($E1770="","",IF(INDEX(资金日记账!$W$4:$W$603,431)="","记-"&amp;TEXT($B1770,"YYYYMM")&amp;"-资金",INDEX(资金日记账!$W$4:$W$603,431)))</f>
        <v/>
      </c>
      <c r="D1770" s="107" t="str">
        <f aca="false">IF($E1770="","",INDEX(资金日记账!$D$4:$D$603,431))</f>
        <v/>
      </c>
      <c r="E1770" s="67" t="str">
        <f aca="false">IF(INDEX(资金日记账!$N$4:$S$603,431,1)=0,"",INDEX(资金日记账!$N$4:$S$603,431,1))</f>
        <v/>
      </c>
      <c r="F1770" s="99" t="str">
        <f aca="false">IF($E1770="","",IFERROR(INDEX(科目表!$A$4:$A$81,MATCH($E1770,科目表!$B$4:$B$81,0)),""))</f>
        <v/>
      </c>
      <c r="G1770" s="67" t="str">
        <f aca="false">IF($E1770="","",IFERROR(INDEX(科目表!$E$4:$E$81,MATCH($E1770,科目表!$B$4:$B$81,0)),""))</f>
        <v/>
      </c>
      <c r="H1770" s="70" t="str">
        <f aca="false">IF($E1770="","",N(INDEX(资金日记账!$N$4:$S$603,431,2)))</f>
        <v/>
      </c>
      <c r="I1770" s="70" t="str">
        <f aca="false">IF($E1770="","",N(INDEX(资金日记账!$N$4:$S$603,431,3)))</f>
        <v/>
      </c>
      <c r="J1770" s="67" t="str">
        <f aca="false">IF($E1770="","",INDEX(资金日记账!$E$4:$E$603,431))</f>
        <v/>
      </c>
      <c r="K1770" s="67" t="str">
        <f aca="false">IF($E1770="","",INDEX(资金日记账!$F$4:$F$603,431))</f>
        <v/>
      </c>
      <c r="L1770" s="107" t="str">
        <f aca="false">IF($E1770="","",INDEX(资金日记账!$X$4:$X$603,431))</f>
        <v/>
      </c>
      <c r="M1770" s="107"/>
      <c r="N1770" s="67" t="str">
        <f aca="false">IF($E1770="","",INDEX(资金日记账!$Y$4:$Y$603,431))</f>
        <v/>
      </c>
      <c r="O1770" s="67" t="str">
        <f aca="false">IF($E1770="","","自动B")</f>
        <v/>
      </c>
      <c r="P1770" s="18"/>
    </row>
    <row r="1771" customFormat="false" ht="18" hidden="false" customHeight="true" outlineLevel="0" collapsed="false">
      <c r="A1771" s="107" t="str">
        <f aca="false">IF($E1771="","",ROW()-3)</f>
        <v/>
      </c>
      <c r="B1771" s="110" t="str">
        <f aca="false">IF($E1771="","",INDEX(资金日记账!$B$4:$B$603,431))</f>
        <v/>
      </c>
      <c r="C1771" s="67" t="str">
        <f aca="false">IF($E1771="","",IF(INDEX(资金日记账!$W$4:$W$603,431)="","记-"&amp;TEXT($B1771,"YYYYMM")&amp;"-资金",INDEX(资金日记账!$W$4:$W$603,431)))</f>
        <v/>
      </c>
      <c r="D1771" s="107" t="str">
        <f aca="false">IF($E1771="","",INDEX(资金日记账!$D$4:$D$603,431))</f>
        <v/>
      </c>
      <c r="E1771" s="67" t="str">
        <f aca="false">IF(INDEX(资金日记账!$N$4:$S$603,431,4)=0,"",INDEX(资金日记账!$N$4:$S$603,431,4))</f>
        <v/>
      </c>
      <c r="F1771" s="99" t="str">
        <f aca="false">IF($E1771="","",IFERROR(INDEX(科目表!$A$4:$A$81,MATCH($E1771,科目表!$B$4:$B$81,0)),""))</f>
        <v/>
      </c>
      <c r="G1771" s="67" t="str">
        <f aca="false">IF($E1771="","",IFERROR(INDEX(科目表!$E$4:$E$81,MATCH($E1771,科目表!$B$4:$B$81,0)),""))</f>
        <v/>
      </c>
      <c r="H1771" s="70" t="str">
        <f aca="false">IF($E1771="","",N(INDEX(资金日记账!$N$4:$S$603,431,5)))</f>
        <v/>
      </c>
      <c r="I1771" s="70" t="str">
        <f aca="false">IF($E1771="","",N(INDEX(资金日记账!$N$4:$S$603,431,6)))</f>
        <v/>
      </c>
      <c r="J1771" s="67" t="str">
        <f aca="false">IF($E1771="","",INDEX(资金日记账!$E$4:$E$603,431))</f>
        <v/>
      </c>
      <c r="K1771" s="67" t="str">
        <f aca="false">IF($E1771="","",INDEX(资金日记账!$F$4:$F$603,431))</f>
        <v/>
      </c>
      <c r="L1771" s="107" t="str">
        <f aca="false">IF($E1771="","",INDEX(资金日记账!$X$4:$X$603,431))</f>
        <v/>
      </c>
      <c r="M1771" s="107"/>
      <c r="N1771" s="67" t="str">
        <f aca="false">IF($E1771="","",INDEX(资金日记账!$Y$4:$Y$603,431))</f>
        <v/>
      </c>
      <c r="O1771" s="67" t="str">
        <f aca="false">IF($E1771="","","自动B")</f>
        <v/>
      </c>
      <c r="P1771" s="18"/>
    </row>
    <row r="1772" customFormat="false" ht="18" hidden="false" customHeight="true" outlineLevel="0" collapsed="false">
      <c r="A1772" s="107" t="str">
        <f aca="false">IF($E1772="","",ROW()-3)</f>
        <v/>
      </c>
      <c r="B1772" s="110" t="str">
        <f aca="false">IF($E1772="","",INDEX(资金日记账!$B$4:$B$603,432))</f>
        <v/>
      </c>
      <c r="C1772" s="67" t="str">
        <f aca="false">IF($E1772="","",IF(INDEX(资金日记账!$W$4:$W$603,432)="","记-"&amp;TEXT($B1772,"YYYYMM")&amp;"-资金",INDEX(资金日记账!$W$4:$W$603,432)))</f>
        <v/>
      </c>
      <c r="D1772" s="107" t="str">
        <f aca="false">IF($E1772="","",INDEX(资金日记账!$D$4:$D$603,432))</f>
        <v/>
      </c>
      <c r="E1772" s="67" t="str">
        <f aca="false">IF(INDEX(资金日记账!$N$4:$S$603,432,1)=0,"",INDEX(资金日记账!$N$4:$S$603,432,1))</f>
        <v/>
      </c>
      <c r="F1772" s="99" t="str">
        <f aca="false">IF($E1772="","",IFERROR(INDEX(科目表!$A$4:$A$81,MATCH($E1772,科目表!$B$4:$B$81,0)),""))</f>
        <v/>
      </c>
      <c r="G1772" s="67" t="str">
        <f aca="false">IF($E1772="","",IFERROR(INDEX(科目表!$E$4:$E$81,MATCH($E1772,科目表!$B$4:$B$81,0)),""))</f>
        <v/>
      </c>
      <c r="H1772" s="70" t="str">
        <f aca="false">IF($E1772="","",N(INDEX(资金日记账!$N$4:$S$603,432,2)))</f>
        <v/>
      </c>
      <c r="I1772" s="70" t="str">
        <f aca="false">IF($E1772="","",N(INDEX(资金日记账!$N$4:$S$603,432,3)))</f>
        <v/>
      </c>
      <c r="J1772" s="67" t="str">
        <f aca="false">IF($E1772="","",INDEX(资金日记账!$E$4:$E$603,432))</f>
        <v/>
      </c>
      <c r="K1772" s="67" t="str">
        <f aca="false">IF($E1772="","",INDEX(资金日记账!$F$4:$F$603,432))</f>
        <v/>
      </c>
      <c r="L1772" s="107" t="str">
        <f aca="false">IF($E1772="","",INDEX(资金日记账!$X$4:$X$603,432))</f>
        <v/>
      </c>
      <c r="M1772" s="107"/>
      <c r="N1772" s="67" t="str">
        <f aca="false">IF($E1772="","",INDEX(资金日记账!$Y$4:$Y$603,432))</f>
        <v/>
      </c>
      <c r="O1772" s="67" t="str">
        <f aca="false">IF($E1772="","","自动B")</f>
        <v/>
      </c>
      <c r="P1772" s="18"/>
    </row>
    <row r="1773" customFormat="false" ht="18" hidden="false" customHeight="true" outlineLevel="0" collapsed="false">
      <c r="A1773" s="107" t="str">
        <f aca="false">IF($E1773="","",ROW()-3)</f>
        <v/>
      </c>
      <c r="B1773" s="110" t="str">
        <f aca="false">IF($E1773="","",INDEX(资金日记账!$B$4:$B$603,432))</f>
        <v/>
      </c>
      <c r="C1773" s="67" t="str">
        <f aca="false">IF($E1773="","",IF(INDEX(资金日记账!$W$4:$W$603,432)="","记-"&amp;TEXT($B1773,"YYYYMM")&amp;"-资金",INDEX(资金日记账!$W$4:$W$603,432)))</f>
        <v/>
      </c>
      <c r="D1773" s="107" t="str">
        <f aca="false">IF($E1773="","",INDEX(资金日记账!$D$4:$D$603,432))</f>
        <v/>
      </c>
      <c r="E1773" s="67" t="str">
        <f aca="false">IF(INDEX(资金日记账!$N$4:$S$603,432,4)=0,"",INDEX(资金日记账!$N$4:$S$603,432,4))</f>
        <v/>
      </c>
      <c r="F1773" s="99" t="str">
        <f aca="false">IF($E1773="","",IFERROR(INDEX(科目表!$A$4:$A$81,MATCH($E1773,科目表!$B$4:$B$81,0)),""))</f>
        <v/>
      </c>
      <c r="G1773" s="67" t="str">
        <f aca="false">IF($E1773="","",IFERROR(INDEX(科目表!$E$4:$E$81,MATCH($E1773,科目表!$B$4:$B$81,0)),""))</f>
        <v/>
      </c>
      <c r="H1773" s="70" t="str">
        <f aca="false">IF($E1773="","",N(INDEX(资金日记账!$N$4:$S$603,432,5)))</f>
        <v/>
      </c>
      <c r="I1773" s="70" t="str">
        <f aca="false">IF($E1773="","",N(INDEX(资金日记账!$N$4:$S$603,432,6)))</f>
        <v/>
      </c>
      <c r="J1773" s="67" t="str">
        <f aca="false">IF($E1773="","",INDEX(资金日记账!$E$4:$E$603,432))</f>
        <v/>
      </c>
      <c r="K1773" s="67" t="str">
        <f aca="false">IF($E1773="","",INDEX(资金日记账!$F$4:$F$603,432))</f>
        <v/>
      </c>
      <c r="L1773" s="107" t="str">
        <f aca="false">IF($E1773="","",INDEX(资金日记账!$X$4:$X$603,432))</f>
        <v/>
      </c>
      <c r="M1773" s="107"/>
      <c r="N1773" s="67" t="str">
        <f aca="false">IF($E1773="","",INDEX(资金日记账!$Y$4:$Y$603,432))</f>
        <v/>
      </c>
      <c r="O1773" s="67" t="str">
        <f aca="false">IF($E1773="","","自动B")</f>
        <v/>
      </c>
      <c r="P1773" s="18"/>
    </row>
    <row r="1774" customFormat="false" ht="18" hidden="false" customHeight="true" outlineLevel="0" collapsed="false">
      <c r="A1774" s="107" t="str">
        <f aca="false">IF($E1774="","",ROW()-3)</f>
        <v/>
      </c>
      <c r="B1774" s="110" t="str">
        <f aca="false">IF($E1774="","",INDEX(资金日记账!$B$4:$B$603,433))</f>
        <v/>
      </c>
      <c r="C1774" s="67" t="str">
        <f aca="false">IF($E1774="","",IF(INDEX(资金日记账!$W$4:$W$603,433)="","记-"&amp;TEXT($B1774,"YYYYMM")&amp;"-资金",INDEX(资金日记账!$W$4:$W$603,433)))</f>
        <v/>
      </c>
      <c r="D1774" s="107" t="str">
        <f aca="false">IF($E1774="","",INDEX(资金日记账!$D$4:$D$603,433))</f>
        <v/>
      </c>
      <c r="E1774" s="67" t="str">
        <f aca="false">IF(INDEX(资金日记账!$N$4:$S$603,433,1)=0,"",INDEX(资金日记账!$N$4:$S$603,433,1))</f>
        <v/>
      </c>
      <c r="F1774" s="99" t="str">
        <f aca="false">IF($E1774="","",IFERROR(INDEX(科目表!$A$4:$A$81,MATCH($E1774,科目表!$B$4:$B$81,0)),""))</f>
        <v/>
      </c>
      <c r="G1774" s="67" t="str">
        <f aca="false">IF($E1774="","",IFERROR(INDEX(科目表!$E$4:$E$81,MATCH($E1774,科目表!$B$4:$B$81,0)),""))</f>
        <v/>
      </c>
      <c r="H1774" s="70" t="str">
        <f aca="false">IF($E1774="","",N(INDEX(资金日记账!$N$4:$S$603,433,2)))</f>
        <v/>
      </c>
      <c r="I1774" s="70" t="str">
        <f aca="false">IF($E1774="","",N(INDEX(资金日记账!$N$4:$S$603,433,3)))</f>
        <v/>
      </c>
      <c r="J1774" s="67" t="str">
        <f aca="false">IF($E1774="","",INDEX(资金日记账!$E$4:$E$603,433))</f>
        <v/>
      </c>
      <c r="K1774" s="67" t="str">
        <f aca="false">IF($E1774="","",INDEX(资金日记账!$F$4:$F$603,433))</f>
        <v/>
      </c>
      <c r="L1774" s="107" t="str">
        <f aca="false">IF($E1774="","",INDEX(资金日记账!$X$4:$X$603,433))</f>
        <v/>
      </c>
      <c r="M1774" s="107"/>
      <c r="N1774" s="67" t="str">
        <f aca="false">IF($E1774="","",INDEX(资金日记账!$Y$4:$Y$603,433))</f>
        <v/>
      </c>
      <c r="O1774" s="67" t="str">
        <f aca="false">IF($E1774="","","自动B")</f>
        <v/>
      </c>
      <c r="P1774" s="18"/>
    </row>
    <row r="1775" customFormat="false" ht="18" hidden="false" customHeight="true" outlineLevel="0" collapsed="false">
      <c r="A1775" s="107" t="str">
        <f aca="false">IF($E1775="","",ROW()-3)</f>
        <v/>
      </c>
      <c r="B1775" s="110" t="str">
        <f aca="false">IF($E1775="","",INDEX(资金日记账!$B$4:$B$603,433))</f>
        <v/>
      </c>
      <c r="C1775" s="67" t="str">
        <f aca="false">IF($E1775="","",IF(INDEX(资金日记账!$W$4:$W$603,433)="","记-"&amp;TEXT($B1775,"YYYYMM")&amp;"-资金",INDEX(资金日记账!$W$4:$W$603,433)))</f>
        <v/>
      </c>
      <c r="D1775" s="107" t="str">
        <f aca="false">IF($E1775="","",INDEX(资金日记账!$D$4:$D$603,433))</f>
        <v/>
      </c>
      <c r="E1775" s="67" t="str">
        <f aca="false">IF(INDEX(资金日记账!$N$4:$S$603,433,4)=0,"",INDEX(资金日记账!$N$4:$S$603,433,4))</f>
        <v/>
      </c>
      <c r="F1775" s="99" t="str">
        <f aca="false">IF($E1775="","",IFERROR(INDEX(科目表!$A$4:$A$81,MATCH($E1775,科目表!$B$4:$B$81,0)),""))</f>
        <v/>
      </c>
      <c r="G1775" s="67" t="str">
        <f aca="false">IF($E1775="","",IFERROR(INDEX(科目表!$E$4:$E$81,MATCH($E1775,科目表!$B$4:$B$81,0)),""))</f>
        <v/>
      </c>
      <c r="H1775" s="70" t="str">
        <f aca="false">IF($E1775="","",N(INDEX(资金日记账!$N$4:$S$603,433,5)))</f>
        <v/>
      </c>
      <c r="I1775" s="70" t="str">
        <f aca="false">IF($E1775="","",N(INDEX(资金日记账!$N$4:$S$603,433,6)))</f>
        <v/>
      </c>
      <c r="J1775" s="67" t="str">
        <f aca="false">IF($E1775="","",INDEX(资金日记账!$E$4:$E$603,433))</f>
        <v/>
      </c>
      <c r="K1775" s="67" t="str">
        <f aca="false">IF($E1775="","",INDEX(资金日记账!$F$4:$F$603,433))</f>
        <v/>
      </c>
      <c r="L1775" s="107" t="str">
        <f aca="false">IF($E1775="","",INDEX(资金日记账!$X$4:$X$603,433))</f>
        <v/>
      </c>
      <c r="M1775" s="107"/>
      <c r="N1775" s="67" t="str">
        <f aca="false">IF($E1775="","",INDEX(资金日记账!$Y$4:$Y$603,433))</f>
        <v/>
      </c>
      <c r="O1775" s="67" t="str">
        <f aca="false">IF($E1775="","","自动B")</f>
        <v/>
      </c>
      <c r="P1775" s="18"/>
    </row>
    <row r="1776" customFormat="false" ht="18" hidden="false" customHeight="true" outlineLevel="0" collapsed="false">
      <c r="A1776" s="107" t="str">
        <f aca="false">IF($E1776="","",ROW()-3)</f>
        <v/>
      </c>
      <c r="B1776" s="110" t="str">
        <f aca="false">IF($E1776="","",INDEX(资金日记账!$B$4:$B$603,434))</f>
        <v/>
      </c>
      <c r="C1776" s="67" t="str">
        <f aca="false">IF($E1776="","",IF(INDEX(资金日记账!$W$4:$W$603,434)="","记-"&amp;TEXT($B1776,"YYYYMM")&amp;"-资金",INDEX(资金日记账!$W$4:$W$603,434)))</f>
        <v/>
      </c>
      <c r="D1776" s="107" t="str">
        <f aca="false">IF($E1776="","",INDEX(资金日记账!$D$4:$D$603,434))</f>
        <v/>
      </c>
      <c r="E1776" s="67" t="str">
        <f aca="false">IF(INDEX(资金日记账!$N$4:$S$603,434,1)=0,"",INDEX(资金日记账!$N$4:$S$603,434,1))</f>
        <v/>
      </c>
      <c r="F1776" s="99" t="str">
        <f aca="false">IF($E1776="","",IFERROR(INDEX(科目表!$A$4:$A$81,MATCH($E1776,科目表!$B$4:$B$81,0)),""))</f>
        <v/>
      </c>
      <c r="G1776" s="67" t="str">
        <f aca="false">IF($E1776="","",IFERROR(INDEX(科目表!$E$4:$E$81,MATCH($E1776,科目表!$B$4:$B$81,0)),""))</f>
        <v/>
      </c>
      <c r="H1776" s="70" t="str">
        <f aca="false">IF($E1776="","",N(INDEX(资金日记账!$N$4:$S$603,434,2)))</f>
        <v/>
      </c>
      <c r="I1776" s="70" t="str">
        <f aca="false">IF($E1776="","",N(INDEX(资金日记账!$N$4:$S$603,434,3)))</f>
        <v/>
      </c>
      <c r="J1776" s="67" t="str">
        <f aca="false">IF($E1776="","",INDEX(资金日记账!$E$4:$E$603,434))</f>
        <v/>
      </c>
      <c r="K1776" s="67" t="str">
        <f aca="false">IF($E1776="","",INDEX(资金日记账!$F$4:$F$603,434))</f>
        <v/>
      </c>
      <c r="L1776" s="107" t="str">
        <f aca="false">IF($E1776="","",INDEX(资金日记账!$X$4:$X$603,434))</f>
        <v/>
      </c>
      <c r="M1776" s="107"/>
      <c r="N1776" s="67" t="str">
        <f aca="false">IF($E1776="","",INDEX(资金日记账!$Y$4:$Y$603,434))</f>
        <v/>
      </c>
      <c r="O1776" s="67" t="str">
        <f aca="false">IF($E1776="","","自动B")</f>
        <v/>
      </c>
      <c r="P1776" s="18"/>
    </row>
    <row r="1777" customFormat="false" ht="18" hidden="false" customHeight="true" outlineLevel="0" collapsed="false">
      <c r="A1777" s="107" t="str">
        <f aca="false">IF($E1777="","",ROW()-3)</f>
        <v/>
      </c>
      <c r="B1777" s="110" t="str">
        <f aca="false">IF($E1777="","",INDEX(资金日记账!$B$4:$B$603,434))</f>
        <v/>
      </c>
      <c r="C1777" s="67" t="str">
        <f aca="false">IF($E1777="","",IF(INDEX(资金日记账!$W$4:$W$603,434)="","记-"&amp;TEXT($B1777,"YYYYMM")&amp;"-资金",INDEX(资金日记账!$W$4:$W$603,434)))</f>
        <v/>
      </c>
      <c r="D1777" s="107" t="str">
        <f aca="false">IF($E1777="","",INDEX(资金日记账!$D$4:$D$603,434))</f>
        <v/>
      </c>
      <c r="E1777" s="67" t="str">
        <f aca="false">IF(INDEX(资金日记账!$N$4:$S$603,434,4)=0,"",INDEX(资金日记账!$N$4:$S$603,434,4))</f>
        <v/>
      </c>
      <c r="F1777" s="99" t="str">
        <f aca="false">IF($E1777="","",IFERROR(INDEX(科目表!$A$4:$A$81,MATCH($E1777,科目表!$B$4:$B$81,0)),""))</f>
        <v/>
      </c>
      <c r="G1777" s="67" t="str">
        <f aca="false">IF($E1777="","",IFERROR(INDEX(科目表!$E$4:$E$81,MATCH($E1777,科目表!$B$4:$B$81,0)),""))</f>
        <v/>
      </c>
      <c r="H1777" s="70" t="str">
        <f aca="false">IF($E1777="","",N(INDEX(资金日记账!$N$4:$S$603,434,5)))</f>
        <v/>
      </c>
      <c r="I1777" s="70" t="str">
        <f aca="false">IF($E1777="","",N(INDEX(资金日记账!$N$4:$S$603,434,6)))</f>
        <v/>
      </c>
      <c r="J1777" s="67" t="str">
        <f aca="false">IF($E1777="","",INDEX(资金日记账!$E$4:$E$603,434))</f>
        <v/>
      </c>
      <c r="K1777" s="67" t="str">
        <f aca="false">IF($E1777="","",INDEX(资金日记账!$F$4:$F$603,434))</f>
        <v/>
      </c>
      <c r="L1777" s="107" t="str">
        <f aca="false">IF($E1777="","",INDEX(资金日记账!$X$4:$X$603,434))</f>
        <v/>
      </c>
      <c r="M1777" s="107"/>
      <c r="N1777" s="67" t="str">
        <f aca="false">IF($E1777="","",INDEX(资金日记账!$Y$4:$Y$603,434))</f>
        <v/>
      </c>
      <c r="O1777" s="67" t="str">
        <f aca="false">IF($E1777="","","自动B")</f>
        <v/>
      </c>
      <c r="P1777" s="18"/>
    </row>
    <row r="1778" customFormat="false" ht="18" hidden="false" customHeight="true" outlineLevel="0" collapsed="false">
      <c r="A1778" s="107" t="str">
        <f aca="false">IF($E1778="","",ROW()-3)</f>
        <v/>
      </c>
      <c r="B1778" s="110" t="str">
        <f aca="false">IF($E1778="","",INDEX(资金日记账!$B$4:$B$603,435))</f>
        <v/>
      </c>
      <c r="C1778" s="67" t="str">
        <f aca="false">IF($E1778="","",IF(INDEX(资金日记账!$W$4:$W$603,435)="","记-"&amp;TEXT($B1778,"YYYYMM")&amp;"-资金",INDEX(资金日记账!$W$4:$W$603,435)))</f>
        <v/>
      </c>
      <c r="D1778" s="107" t="str">
        <f aca="false">IF($E1778="","",INDEX(资金日记账!$D$4:$D$603,435))</f>
        <v/>
      </c>
      <c r="E1778" s="67" t="str">
        <f aca="false">IF(INDEX(资金日记账!$N$4:$S$603,435,1)=0,"",INDEX(资金日记账!$N$4:$S$603,435,1))</f>
        <v/>
      </c>
      <c r="F1778" s="99" t="str">
        <f aca="false">IF($E1778="","",IFERROR(INDEX(科目表!$A$4:$A$81,MATCH($E1778,科目表!$B$4:$B$81,0)),""))</f>
        <v/>
      </c>
      <c r="G1778" s="67" t="str">
        <f aca="false">IF($E1778="","",IFERROR(INDEX(科目表!$E$4:$E$81,MATCH($E1778,科目表!$B$4:$B$81,0)),""))</f>
        <v/>
      </c>
      <c r="H1778" s="70" t="str">
        <f aca="false">IF($E1778="","",N(INDEX(资金日记账!$N$4:$S$603,435,2)))</f>
        <v/>
      </c>
      <c r="I1778" s="70" t="str">
        <f aca="false">IF($E1778="","",N(INDEX(资金日记账!$N$4:$S$603,435,3)))</f>
        <v/>
      </c>
      <c r="J1778" s="67" t="str">
        <f aca="false">IF($E1778="","",INDEX(资金日记账!$E$4:$E$603,435))</f>
        <v/>
      </c>
      <c r="K1778" s="67" t="str">
        <f aca="false">IF($E1778="","",INDEX(资金日记账!$F$4:$F$603,435))</f>
        <v/>
      </c>
      <c r="L1778" s="107" t="str">
        <f aca="false">IF($E1778="","",INDEX(资金日记账!$X$4:$X$603,435))</f>
        <v/>
      </c>
      <c r="M1778" s="107"/>
      <c r="N1778" s="67" t="str">
        <f aca="false">IF($E1778="","",INDEX(资金日记账!$Y$4:$Y$603,435))</f>
        <v/>
      </c>
      <c r="O1778" s="67" t="str">
        <f aca="false">IF($E1778="","","自动B")</f>
        <v/>
      </c>
      <c r="P1778" s="18"/>
    </row>
    <row r="1779" customFormat="false" ht="18" hidden="false" customHeight="true" outlineLevel="0" collapsed="false">
      <c r="A1779" s="107" t="str">
        <f aca="false">IF($E1779="","",ROW()-3)</f>
        <v/>
      </c>
      <c r="B1779" s="110" t="str">
        <f aca="false">IF($E1779="","",INDEX(资金日记账!$B$4:$B$603,435))</f>
        <v/>
      </c>
      <c r="C1779" s="67" t="str">
        <f aca="false">IF($E1779="","",IF(INDEX(资金日记账!$W$4:$W$603,435)="","记-"&amp;TEXT($B1779,"YYYYMM")&amp;"-资金",INDEX(资金日记账!$W$4:$W$603,435)))</f>
        <v/>
      </c>
      <c r="D1779" s="107" t="str">
        <f aca="false">IF($E1779="","",INDEX(资金日记账!$D$4:$D$603,435))</f>
        <v/>
      </c>
      <c r="E1779" s="67" t="str">
        <f aca="false">IF(INDEX(资金日记账!$N$4:$S$603,435,4)=0,"",INDEX(资金日记账!$N$4:$S$603,435,4))</f>
        <v/>
      </c>
      <c r="F1779" s="99" t="str">
        <f aca="false">IF($E1779="","",IFERROR(INDEX(科目表!$A$4:$A$81,MATCH($E1779,科目表!$B$4:$B$81,0)),""))</f>
        <v/>
      </c>
      <c r="G1779" s="67" t="str">
        <f aca="false">IF($E1779="","",IFERROR(INDEX(科目表!$E$4:$E$81,MATCH($E1779,科目表!$B$4:$B$81,0)),""))</f>
        <v/>
      </c>
      <c r="H1779" s="70" t="str">
        <f aca="false">IF($E1779="","",N(INDEX(资金日记账!$N$4:$S$603,435,5)))</f>
        <v/>
      </c>
      <c r="I1779" s="70" t="str">
        <f aca="false">IF($E1779="","",N(INDEX(资金日记账!$N$4:$S$603,435,6)))</f>
        <v/>
      </c>
      <c r="J1779" s="67" t="str">
        <f aca="false">IF($E1779="","",INDEX(资金日记账!$E$4:$E$603,435))</f>
        <v/>
      </c>
      <c r="K1779" s="67" t="str">
        <f aca="false">IF($E1779="","",INDEX(资金日记账!$F$4:$F$603,435))</f>
        <v/>
      </c>
      <c r="L1779" s="107" t="str">
        <f aca="false">IF($E1779="","",INDEX(资金日记账!$X$4:$X$603,435))</f>
        <v/>
      </c>
      <c r="M1779" s="107"/>
      <c r="N1779" s="67" t="str">
        <f aca="false">IF($E1779="","",INDEX(资金日记账!$Y$4:$Y$603,435))</f>
        <v/>
      </c>
      <c r="O1779" s="67" t="str">
        <f aca="false">IF($E1779="","","自动B")</f>
        <v/>
      </c>
      <c r="P1779" s="18"/>
    </row>
    <row r="1780" customFormat="false" ht="18" hidden="false" customHeight="true" outlineLevel="0" collapsed="false">
      <c r="A1780" s="107" t="str">
        <f aca="false">IF($E1780="","",ROW()-3)</f>
        <v/>
      </c>
      <c r="B1780" s="110" t="str">
        <f aca="false">IF($E1780="","",INDEX(资金日记账!$B$4:$B$603,436))</f>
        <v/>
      </c>
      <c r="C1780" s="67" t="str">
        <f aca="false">IF($E1780="","",IF(INDEX(资金日记账!$W$4:$W$603,436)="","记-"&amp;TEXT($B1780,"YYYYMM")&amp;"-资金",INDEX(资金日记账!$W$4:$W$603,436)))</f>
        <v/>
      </c>
      <c r="D1780" s="107" t="str">
        <f aca="false">IF($E1780="","",INDEX(资金日记账!$D$4:$D$603,436))</f>
        <v/>
      </c>
      <c r="E1780" s="67" t="str">
        <f aca="false">IF(INDEX(资金日记账!$N$4:$S$603,436,1)=0,"",INDEX(资金日记账!$N$4:$S$603,436,1))</f>
        <v/>
      </c>
      <c r="F1780" s="99" t="str">
        <f aca="false">IF($E1780="","",IFERROR(INDEX(科目表!$A$4:$A$81,MATCH($E1780,科目表!$B$4:$B$81,0)),""))</f>
        <v/>
      </c>
      <c r="G1780" s="67" t="str">
        <f aca="false">IF($E1780="","",IFERROR(INDEX(科目表!$E$4:$E$81,MATCH($E1780,科目表!$B$4:$B$81,0)),""))</f>
        <v/>
      </c>
      <c r="H1780" s="70" t="str">
        <f aca="false">IF($E1780="","",N(INDEX(资金日记账!$N$4:$S$603,436,2)))</f>
        <v/>
      </c>
      <c r="I1780" s="70" t="str">
        <f aca="false">IF($E1780="","",N(INDEX(资金日记账!$N$4:$S$603,436,3)))</f>
        <v/>
      </c>
      <c r="J1780" s="67" t="str">
        <f aca="false">IF($E1780="","",INDEX(资金日记账!$E$4:$E$603,436))</f>
        <v/>
      </c>
      <c r="K1780" s="67" t="str">
        <f aca="false">IF($E1780="","",INDEX(资金日记账!$F$4:$F$603,436))</f>
        <v/>
      </c>
      <c r="L1780" s="107" t="str">
        <f aca="false">IF($E1780="","",INDEX(资金日记账!$X$4:$X$603,436))</f>
        <v/>
      </c>
      <c r="M1780" s="107"/>
      <c r="N1780" s="67" t="str">
        <f aca="false">IF($E1780="","",INDEX(资金日记账!$Y$4:$Y$603,436))</f>
        <v/>
      </c>
      <c r="O1780" s="67" t="str">
        <f aca="false">IF($E1780="","","自动B")</f>
        <v/>
      </c>
      <c r="P1780" s="18"/>
    </row>
    <row r="1781" customFormat="false" ht="18" hidden="false" customHeight="true" outlineLevel="0" collapsed="false">
      <c r="A1781" s="107" t="str">
        <f aca="false">IF($E1781="","",ROW()-3)</f>
        <v/>
      </c>
      <c r="B1781" s="110" t="str">
        <f aca="false">IF($E1781="","",INDEX(资金日记账!$B$4:$B$603,436))</f>
        <v/>
      </c>
      <c r="C1781" s="67" t="str">
        <f aca="false">IF($E1781="","",IF(INDEX(资金日记账!$W$4:$W$603,436)="","记-"&amp;TEXT($B1781,"YYYYMM")&amp;"-资金",INDEX(资金日记账!$W$4:$W$603,436)))</f>
        <v/>
      </c>
      <c r="D1781" s="107" t="str">
        <f aca="false">IF($E1781="","",INDEX(资金日记账!$D$4:$D$603,436))</f>
        <v/>
      </c>
      <c r="E1781" s="67" t="str">
        <f aca="false">IF(INDEX(资金日记账!$N$4:$S$603,436,4)=0,"",INDEX(资金日记账!$N$4:$S$603,436,4))</f>
        <v/>
      </c>
      <c r="F1781" s="99" t="str">
        <f aca="false">IF($E1781="","",IFERROR(INDEX(科目表!$A$4:$A$81,MATCH($E1781,科目表!$B$4:$B$81,0)),""))</f>
        <v/>
      </c>
      <c r="G1781" s="67" t="str">
        <f aca="false">IF($E1781="","",IFERROR(INDEX(科目表!$E$4:$E$81,MATCH($E1781,科目表!$B$4:$B$81,0)),""))</f>
        <v/>
      </c>
      <c r="H1781" s="70" t="str">
        <f aca="false">IF($E1781="","",N(INDEX(资金日记账!$N$4:$S$603,436,5)))</f>
        <v/>
      </c>
      <c r="I1781" s="70" t="str">
        <f aca="false">IF($E1781="","",N(INDEX(资金日记账!$N$4:$S$603,436,6)))</f>
        <v/>
      </c>
      <c r="J1781" s="67" t="str">
        <f aca="false">IF($E1781="","",INDEX(资金日记账!$E$4:$E$603,436))</f>
        <v/>
      </c>
      <c r="K1781" s="67" t="str">
        <f aca="false">IF($E1781="","",INDEX(资金日记账!$F$4:$F$603,436))</f>
        <v/>
      </c>
      <c r="L1781" s="107" t="str">
        <f aca="false">IF($E1781="","",INDEX(资金日记账!$X$4:$X$603,436))</f>
        <v/>
      </c>
      <c r="M1781" s="107"/>
      <c r="N1781" s="67" t="str">
        <f aca="false">IF($E1781="","",INDEX(资金日记账!$Y$4:$Y$603,436))</f>
        <v/>
      </c>
      <c r="O1781" s="67" t="str">
        <f aca="false">IF($E1781="","","自动B")</f>
        <v/>
      </c>
      <c r="P1781" s="18"/>
    </row>
    <row r="1782" customFormat="false" ht="18" hidden="false" customHeight="true" outlineLevel="0" collapsed="false">
      <c r="A1782" s="107" t="str">
        <f aca="false">IF($E1782="","",ROW()-3)</f>
        <v/>
      </c>
      <c r="B1782" s="110" t="str">
        <f aca="false">IF($E1782="","",INDEX(资金日记账!$B$4:$B$603,437))</f>
        <v/>
      </c>
      <c r="C1782" s="67" t="str">
        <f aca="false">IF($E1782="","",IF(INDEX(资金日记账!$W$4:$W$603,437)="","记-"&amp;TEXT($B1782,"YYYYMM")&amp;"-资金",INDEX(资金日记账!$W$4:$W$603,437)))</f>
        <v/>
      </c>
      <c r="D1782" s="107" t="str">
        <f aca="false">IF($E1782="","",INDEX(资金日记账!$D$4:$D$603,437))</f>
        <v/>
      </c>
      <c r="E1782" s="67" t="str">
        <f aca="false">IF(INDEX(资金日记账!$N$4:$S$603,437,1)=0,"",INDEX(资金日记账!$N$4:$S$603,437,1))</f>
        <v/>
      </c>
      <c r="F1782" s="99" t="str">
        <f aca="false">IF($E1782="","",IFERROR(INDEX(科目表!$A$4:$A$81,MATCH($E1782,科目表!$B$4:$B$81,0)),""))</f>
        <v/>
      </c>
      <c r="G1782" s="67" t="str">
        <f aca="false">IF($E1782="","",IFERROR(INDEX(科目表!$E$4:$E$81,MATCH($E1782,科目表!$B$4:$B$81,0)),""))</f>
        <v/>
      </c>
      <c r="H1782" s="70" t="str">
        <f aca="false">IF($E1782="","",N(INDEX(资金日记账!$N$4:$S$603,437,2)))</f>
        <v/>
      </c>
      <c r="I1782" s="70" t="str">
        <f aca="false">IF($E1782="","",N(INDEX(资金日记账!$N$4:$S$603,437,3)))</f>
        <v/>
      </c>
      <c r="J1782" s="67" t="str">
        <f aca="false">IF($E1782="","",INDEX(资金日记账!$E$4:$E$603,437))</f>
        <v/>
      </c>
      <c r="K1782" s="67" t="str">
        <f aca="false">IF($E1782="","",INDEX(资金日记账!$F$4:$F$603,437))</f>
        <v/>
      </c>
      <c r="L1782" s="107" t="str">
        <f aca="false">IF($E1782="","",INDEX(资金日记账!$X$4:$X$603,437))</f>
        <v/>
      </c>
      <c r="M1782" s="107"/>
      <c r="N1782" s="67" t="str">
        <f aca="false">IF($E1782="","",INDEX(资金日记账!$Y$4:$Y$603,437))</f>
        <v/>
      </c>
      <c r="O1782" s="67" t="str">
        <f aca="false">IF($E1782="","","自动B")</f>
        <v/>
      </c>
      <c r="P1782" s="18"/>
    </row>
    <row r="1783" customFormat="false" ht="18" hidden="false" customHeight="true" outlineLevel="0" collapsed="false">
      <c r="A1783" s="107" t="str">
        <f aca="false">IF($E1783="","",ROW()-3)</f>
        <v/>
      </c>
      <c r="B1783" s="110" t="str">
        <f aca="false">IF($E1783="","",INDEX(资金日记账!$B$4:$B$603,437))</f>
        <v/>
      </c>
      <c r="C1783" s="67" t="str">
        <f aca="false">IF($E1783="","",IF(INDEX(资金日记账!$W$4:$W$603,437)="","记-"&amp;TEXT($B1783,"YYYYMM")&amp;"-资金",INDEX(资金日记账!$W$4:$W$603,437)))</f>
        <v/>
      </c>
      <c r="D1783" s="107" t="str">
        <f aca="false">IF($E1783="","",INDEX(资金日记账!$D$4:$D$603,437))</f>
        <v/>
      </c>
      <c r="E1783" s="67" t="str">
        <f aca="false">IF(INDEX(资金日记账!$N$4:$S$603,437,4)=0,"",INDEX(资金日记账!$N$4:$S$603,437,4))</f>
        <v/>
      </c>
      <c r="F1783" s="99" t="str">
        <f aca="false">IF($E1783="","",IFERROR(INDEX(科目表!$A$4:$A$81,MATCH($E1783,科目表!$B$4:$B$81,0)),""))</f>
        <v/>
      </c>
      <c r="G1783" s="67" t="str">
        <f aca="false">IF($E1783="","",IFERROR(INDEX(科目表!$E$4:$E$81,MATCH($E1783,科目表!$B$4:$B$81,0)),""))</f>
        <v/>
      </c>
      <c r="H1783" s="70" t="str">
        <f aca="false">IF($E1783="","",N(INDEX(资金日记账!$N$4:$S$603,437,5)))</f>
        <v/>
      </c>
      <c r="I1783" s="70" t="str">
        <f aca="false">IF($E1783="","",N(INDEX(资金日记账!$N$4:$S$603,437,6)))</f>
        <v/>
      </c>
      <c r="J1783" s="67" t="str">
        <f aca="false">IF($E1783="","",INDEX(资金日记账!$E$4:$E$603,437))</f>
        <v/>
      </c>
      <c r="K1783" s="67" t="str">
        <f aca="false">IF($E1783="","",INDEX(资金日记账!$F$4:$F$603,437))</f>
        <v/>
      </c>
      <c r="L1783" s="107" t="str">
        <f aca="false">IF($E1783="","",INDEX(资金日记账!$X$4:$X$603,437))</f>
        <v/>
      </c>
      <c r="M1783" s="107"/>
      <c r="N1783" s="67" t="str">
        <f aca="false">IF($E1783="","",INDEX(资金日记账!$Y$4:$Y$603,437))</f>
        <v/>
      </c>
      <c r="O1783" s="67" t="str">
        <f aca="false">IF($E1783="","","自动B")</f>
        <v/>
      </c>
      <c r="P1783" s="18"/>
    </row>
    <row r="1784" customFormat="false" ht="18" hidden="false" customHeight="true" outlineLevel="0" collapsed="false">
      <c r="A1784" s="107" t="str">
        <f aca="false">IF($E1784="","",ROW()-3)</f>
        <v/>
      </c>
      <c r="B1784" s="110" t="str">
        <f aca="false">IF($E1784="","",INDEX(资金日记账!$B$4:$B$603,438))</f>
        <v/>
      </c>
      <c r="C1784" s="67" t="str">
        <f aca="false">IF($E1784="","",IF(INDEX(资金日记账!$W$4:$W$603,438)="","记-"&amp;TEXT($B1784,"YYYYMM")&amp;"-资金",INDEX(资金日记账!$W$4:$W$603,438)))</f>
        <v/>
      </c>
      <c r="D1784" s="107" t="str">
        <f aca="false">IF($E1784="","",INDEX(资金日记账!$D$4:$D$603,438))</f>
        <v/>
      </c>
      <c r="E1784" s="67" t="str">
        <f aca="false">IF(INDEX(资金日记账!$N$4:$S$603,438,1)=0,"",INDEX(资金日记账!$N$4:$S$603,438,1))</f>
        <v/>
      </c>
      <c r="F1784" s="99" t="str">
        <f aca="false">IF($E1784="","",IFERROR(INDEX(科目表!$A$4:$A$81,MATCH($E1784,科目表!$B$4:$B$81,0)),""))</f>
        <v/>
      </c>
      <c r="G1784" s="67" t="str">
        <f aca="false">IF($E1784="","",IFERROR(INDEX(科目表!$E$4:$E$81,MATCH($E1784,科目表!$B$4:$B$81,0)),""))</f>
        <v/>
      </c>
      <c r="H1784" s="70" t="str">
        <f aca="false">IF($E1784="","",N(INDEX(资金日记账!$N$4:$S$603,438,2)))</f>
        <v/>
      </c>
      <c r="I1784" s="70" t="str">
        <f aca="false">IF($E1784="","",N(INDEX(资金日记账!$N$4:$S$603,438,3)))</f>
        <v/>
      </c>
      <c r="J1784" s="67" t="str">
        <f aca="false">IF($E1784="","",INDEX(资金日记账!$E$4:$E$603,438))</f>
        <v/>
      </c>
      <c r="K1784" s="67" t="str">
        <f aca="false">IF($E1784="","",INDEX(资金日记账!$F$4:$F$603,438))</f>
        <v/>
      </c>
      <c r="L1784" s="107" t="str">
        <f aca="false">IF($E1784="","",INDEX(资金日记账!$X$4:$X$603,438))</f>
        <v/>
      </c>
      <c r="M1784" s="107"/>
      <c r="N1784" s="67" t="str">
        <f aca="false">IF($E1784="","",INDEX(资金日记账!$Y$4:$Y$603,438))</f>
        <v/>
      </c>
      <c r="O1784" s="67" t="str">
        <f aca="false">IF($E1784="","","自动B")</f>
        <v/>
      </c>
      <c r="P1784" s="18"/>
    </row>
    <row r="1785" customFormat="false" ht="18" hidden="false" customHeight="true" outlineLevel="0" collapsed="false">
      <c r="A1785" s="107" t="str">
        <f aca="false">IF($E1785="","",ROW()-3)</f>
        <v/>
      </c>
      <c r="B1785" s="110" t="str">
        <f aca="false">IF($E1785="","",INDEX(资金日记账!$B$4:$B$603,438))</f>
        <v/>
      </c>
      <c r="C1785" s="67" t="str">
        <f aca="false">IF($E1785="","",IF(INDEX(资金日记账!$W$4:$W$603,438)="","记-"&amp;TEXT($B1785,"YYYYMM")&amp;"-资金",INDEX(资金日记账!$W$4:$W$603,438)))</f>
        <v/>
      </c>
      <c r="D1785" s="107" t="str">
        <f aca="false">IF($E1785="","",INDEX(资金日记账!$D$4:$D$603,438))</f>
        <v/>
      </c>
      <c r="E1785" s="67" t="str">
        <f aca="false">IF(INDEX(资金日记账!$N$4:$S$603,438,4)=0,"",INDEX(资金日记账!$N$4:$S$603,438,4))</f>
        <v/>
      </c>
      <c r="F1785" s="99" t="str">
        <f aca="false">IF($E1785="","",IFERROR(INDEX(科目表!$A$4:$A$81,MATCH($E1785,科目表!$B$4:$B$81,0)),""))</f>
        <v/>
      </c>
      <c r="G1785" s="67" t="str">
        <f aca="false">IF($E1785="","",IFERROR(INDEX(科目表!$E$4:$E$81,MATCH($E1785,科目表!$B$4:$B$81,0)),""))</f>
        <v/>
      </c>
      <c r="H1785" s="70" t="str">
        <f aca="false">IF($E1785="","",N(INDEX(资金日记账!$N$4:$S$603,438,5)))</f>
        <v/>
      </c>
      <c r="I1785" s="70" t="str">
        <f aca="false">IF($E1785="","",N(INDEX(资金日记账!$N$4:$S$603,438,6)))</f>
        <v/>
      </c>
      <c r="J1785" s="67" t="str">
        <f aca="false">IF($E1785="","",INDEX(资金日记账!$E$4:$E$603,438))</f>
        <v/>
      </c>
      <c r="K1785" s="67" t="str">
        <f aca="false">IF($E1785="","",INDEX(资金日记账!$F$4:$F$603,438))</f>
        <v/>
      </c>
      <c r="L1785" s="107" t="str">
        <f aca="false">IF($E1785="","",INDEX(资金日记账!$X$4:$X$603,438))</f>
        <v/>
      </c>
      <c r="M1785" s="107"/>
      <c r="N1785" s="67" t="str">
        <f aca="false">IF($E1785="","",INDEX(资金日记账!$Y$4:$Y$603,438))</f>
        <v/>
      </c>
      <c r="O1785" s="67" t="str">
        <f aca="false">IF($E1785="","","自动B")</f>
        <v/>
      </c>
      <c r="P1785" s="18"/>
    </row>
    <row r="1786" customFormat="false" ht="18" hidden="false" customHeight="true" outlineLevel="0" collapsed="false">
      <c r="A1786" s="107" t="str">
        <f aca="false">IF($E1786="","",ROW()-3)</f>
        <v/>
      </c>
      <c r="B1786" s="110" t="str">
        <f aca="false">IF($E1786="","",INDEX(资金日记账!$B$4:$B$603,439))</f>
        <v/>
      </c>
      <c r="C1786" s="67" t="str">
        <f aca="false">IF($E1786="","",IF(INDEX(资金日记账!$W$4:$W$603,439)="","记-"&amp;TEXT($B1786,"YYYYMM")&amp;"-资金",INDEX(资金日记账!$W$4:$W$603,439)))</f>
        <v/>
      </c>
      <c r="D1786" s="107" t="str">
        <f aca="false">IF($E1786="","",INDEX(资金日记账!$D$4:$D$603,439))</f>
        <v/>
      </c>
      <c r="E1786" s="67" t="str">
        <f aca="false">IF(INDEX(资金日记账!$N$4:$S$603,439,1)=0,"",INDEX(资金日记账!$N$4:$S$603,439,1))</f>
        <v/>
      </c>
      <c r="F1786" s="99" t="str">
        <f aca="false">IF($E1786="","",IFERROR(INDEX(科目表!$A$4:$A$81,MATCH($E1786,科目表!$B$4:$B$81,0)),""))</f>
        <v/>
      </c>
      <c r="G1786" s="67" t="str">
        <f aca="false">IF($E1786="","",IFERROR(INDEX(科目表!$E$4:$E$81,MATCH($E1786,科目表!$B$4:$B$81,0)),""))</f>
        <v/>
      </c>
      <c r="H1786" s="70" t="str">
        <f aca="false">IF($E1786="","",N(INDEX(资金日记账!$N$4:$S$603,439,2)))</f>
        <v/>
      </c>
      <c r="I1786" s="70" t="str">
        <f aca="false">IF($E1786="","",N(INDEX(资金日记账!$N$4:$S$603,439,3)))</f>
        <v/>
      </c>
      <c r="J1786" s="67" t="str">
        <f aca="false">IF($E1786="","",INDEX(资金日记账!$E$4:$E$603,439))</f>
        <v/>
      </c>
      <c r="K1786" s="67" t="str">
        <f aca="false">IF($E1786="","",INDEX(资金日记账!$F$4:$F$603,439))</f>
        <v/>
      </c>
      <c r="L1786" s="107" t="str">
        <f aca="false">IF($E1786="","",INDEX(资金日记账!$X$4:$X$603,439))</f>
        <v/>
      </c>
      <c r="M1786" s="107"/>
      <c r="N1786" s="67" t="str">
        <f aca="false">IF($E1786="","",INDEX(资金日记账!$Y$4:$Y$603,439))</f>
        <v/>
      </c>
      <c r="O1786" s="67" t="str">
        <f aca="false">IF($E1786="","","自动B")</f>
        <v/>
      </c>
      <c r="P1786" s="18"/>
    </row>
    <row r="1787" customFormat="false" ht="18" hidden="false" customHeight="true" outlineLevel="0" collapsed="false">
      <c r="A1787" s="107" t="str">
        <f aca="false">IF($E1787="","",ROW()-3)</f>
        <v/>
      </c>
      <c r="B1787" s="110" t="str">
        <f aca="false">IF($E1787="","",INDEX(资金日记账!$B$4:$B$603,439))</f>
        <v/>
      </c>
      <c r="C1787" s="67" t="str">
        <f aca="false">IF($E1787="","",IF(INDEX(资金日记账!$W$4:$W$603,439)="","记-"&amp;TEXT($B1787,"YYYYMM")&amp;"-资金",INDEX(资金日记账!$W$4:$W$603,439)))</f>
        <v/>
      </c>
      <c r="D1787" s="107" t="str">
        <f aca="false">IF($E1787="","",INDEX(资金日记账!$D$4:$D$603,439))</f>
        <v/>
      </c>
      <c r="E1787" s="67" t="str">
        <f aca="false">IF(INDEX(资金日记账!$N$4:$S$603,439,4)=0,"",INDEX(资金日记账!$N$4:$S$603,439,4))</f>
        <v/>
      </c>
      <c r="F1787" s="99" t="str">
        <f aca="false">IF($E1787="","",IFERROR(INDEX(科目表!$A$4:$A$81,MATCH($E1787,科目表!$B$4:$B$81,0)),""))</f>
        <v/>
      </c>
      <c r="G1787" s="67" t="str">
        <f aca="false">IF($E1787="","",IFERROR(INDEX(科目表!$E$4:$E$81,MATCH($E1787,科目表!$B$4:$B$81,0)),""))</f>
        <v/>
      </c>
      <c r="H1787" s="70" t="str">
        <f aca="false">IF($E1787="","",N(INDEX(资金日记账!$N$4:$S$603,439,5)))</f>
        <v/>
      </c>
      <c r="I1787" s="70" t="str">
        <f aca="false">IF($E1787="","",N(INDEX(资金日记账!$N$4:$S$603,439,6)))</f>
        <v/>
      </c>
      <c r="J1787" s="67" t="str">
        <f aca="false">IF($E1787="","",INDEX(资金日记账!$E$4:$E$603,439))</f>
        <v/>
      </c>
      <c r="K1787" s="67" t="str">
        <f aca="false">IF($E1787="","",INDEX(资金日记账!$F$4:$F$603,439))</f>
        <v/>
      </c>
      <c r="L1787" s="107" t="str">
        <f aca="false">IF($E1787="","",INDEX(资金日记账!$X$4:$X$603,439))</f>
        <v/>
      </c>
      <c r="M1787" s="107"/>
      <c r="N1787" s="67" t="str">
        <f aca="false">IF($E1787="","",INDEX(资金日记账!$Y$4:$Y$603,439))</f>
        <v/>
      </c>
      <c r="O1787" s="67" t="str">
        <f aca="false">IF($E1787="","","自动B")</f>
        <v/>
      </c>
      <c r="P1787" s="18"/>
    </row>
    <row r="1788" customFormat="false" ht="18" hidden="false" customHeight="true" outlineLevel="0" collapsed="false">
      <c r="A1788" s="107" t="str">
        <f aca="false">IF($E1788="","",ROW()-3)</f>
        <v/>
      </c>
      <c r="B1788" s="110" t="str">
        <f aca="false">IF($E1788="","",INDEX(资金日记账!$B$4:$B$603,440))</f>
        <v/>
      </c>
      <c r="C1788" s="67" t="str">
        <f aca="false">IF($E1788="","",IF(INDEX(资金日记账!$W$4:$W$603,440)="","记-"&amp;TEXT($B1788,"YYYYMM")&amp;"-资金",INDEX(资金日记账!$W$4:$W$603,440)))</f>
        <v/>
      </c>
      <c r="D1788" s="107" t="str">
        <f aca="false">IF($E1788="","",INDEX(资金日记账!$D$4:$D$603,440))</f>
        <v/>
      </c>
      <c r="E1788" s="67" t="str">
        <f aca="false">IF(INDEX(资金日记账!$N$4:$S$603,440,1)=0,"",INDEX(资金日记账!$N$4:$S$603,440,1))</f>
        <v/>
      </c>
      <c r="F1788" s="99" t="str">
        <f aca="false">IF($E1788="","",IFERROR(INDEX(科目表!$A$4:$A$81,MATCH($E1788,科目表!$B$4:$B$81,0)),""))</f>
        <v/>
      </c>
      <c r="G1788" s="67" t="str">
        <f aca="false">IF($E1788="","",IFERROR(INDEX(科目表!$E$4:$E$81,MATCH($E1788,科目表!$B$4:$B$81,0)),""))</f>
        <v/>
      </c>
      <c r="H1788" s="70" t="str">
        <f aca="false">IF($E1788="","",N(INDEX(资金日记账!$N$4:$S$603,440,2)))</f>
        <v/>
      </c>
      <c r="I1788" s="70" t="str">
        <f aca="false">IF($E1788="","",N(INDEX(资金日记账!$N$4:$S$603,440,3)))</f>
        <v/>
      </c>
      <c r="J1788" s="67" t="str">
        <f aca="false">IF($E1788="","",INDEX(资金日记账!$E$4:$E$603,440))</f>
        <v/>
      </c>
      <c r="K1788" s="67" t="str">
        <f aca="false">IF($E1788="","",INDEX(资金日记账!$F$4:$F$603,440))</f>
        <v/>
      </c>
      <c r="L1788" s="107" t="str">
        <f aca="false">IF($E1788="","",INDEX(资金日记账!$X$4:$X$603,440))</f>
        <v/>
      </c>
      <c r="M1788" s="107"/>
      <c r="N1788" s="67" t="str">
        <f aca="false">IF($E1788="","",INDEX(资金日记账!$Y$4:$Y$603,440))</f>
        <v/>
      </c>
      <c r="O1788" s="67" t="str">
        <f aca="false">IF($E1788="","","自动B")</f>
        <v/>
      </c>
      <c r="P1788" s="18"/>
    </row>
    <row r="1789" customFormat="false" ht="18" hidden="false" customHeight="true" outlineLevel="0" collapsed="false">
      <c r="A1789" s="107" t="str">
        <f aca="false">IF($E1789="","",ROW()-3)</f>
        <v/>
      </c>
      <c r="B1789" s="110" t="str">
        <f aca="false">IF($E1789="","",INDEX(资金日记账!$B$4:$B$603,440))</f>
        <v/>
      </c>
      <c r="C1789" s="67" t="str">
        <f aca="false">IF($E1789="","",IF(INDEX(资金日记账!$W$4:$W$603,440)="","记-"&amp;TEXT($B1789,"YYYYMM")&amp;"-资金",INDEX(资金日记账!$W$4:$W$603,440)))</f>
        <v/>
      </c>
      <c r="D1789" s="107" t="str">
        <f aca="false">IF($E1789="","",INDEX(资金日记账!$D$4:$D$603,440))</f>
        <v/>
      </c>
      <c r="E1789" s="67" t="str">
        <f aca="false">IF(INDEX(资金日记账!$N$4:$S$603,440,4)=0,"",INDEX(资金日记账!$N$4:$S$603,440,4))</f>
        <v/>
      </c>
      <c r="F1789" s="99" t="str">
        <f aca="false">IF($E1789="","",IFERROR(INDEX(科目表!$A$4:$A$81,MATCH($E1789,科目表!$B$4:$B$81,0)),""))</f>
        <v/>
      </c>
      <c r="G1789" s="67" t="str">
        <f aca="false">IF($E1789="","",IFERROR(INDEX(科目表!$E$4:$E$81,MATCH($E1789,科目表!$B$4:$B$81,0)),""))</f>
        <v/>
      </c>
      <c r="H1789" s="70" t="str">
        <f aca="false">IF($E1789="","",N(INDEX(资金日记账!$N$4:$S$603,440,5)))</f>
        <v/>
      </c>
      <c r="I1789" s="70" t="str">
        <f aca="false">IF($E1789="","",N(INDEX(资金日记账!$N$4:$S$603,440,6)))</f>
        <v/>
      </c>
      <c r="J1789" s="67" t="str">
        <f aca="false">IF($E1789="","",INDEX(资金日记账!$E$4:$E$603,440))</f>
        <v/>
      </c>
      <c r="K1789" s="67" t="str">
        <f aca="false">IF($E1789="","",INDEX(资金日记账!$F$4:$F$603,440))</f>
        <v/>
      </c>
      <c r="L1789" s="107" t="str">
        <f aca="false">IF($E1789="","",INDEX(资金日记账!$X$4:$X$603,440))</f>
        <v/>
      </c>
      <c r="M1789" s="107"/>
      <c r="N1789" s="67" t="str">
        <f aca="false">IF($E1789="","",INDEX(资金日记账!$Y$4:$Y$603,440))</f>
        <v/>
      </c>
      <c r="O1789" s="67" t="str">
        <f aca="false">IF($E1789="","","自动B")</f>
        <v/>
      </c>
      <c r="P1789" s="18"/>
    </row>
    <row r="1790" customFormat="false" ht="18" hidden="false" customHeight="true" outlineLevel="0" collapsed="false">
      <c r="A1790" s="107" t="str">
        <f aca="false">IF($E1790="","",ROW()-3)</f>
        <v/>
      </c>
      <c r="B1790" s="110" t="str">
        <f aca="false">IF($E1790="","",INDEX(资金日记账!$B$4:$B$603,441))</f>
        <v/>
      </c>
      <c r="C1790" s="67" t="str">
        <f aca="false">IF($E1790="","",IF(INDEX(资金日记账!$W$4:$W$603,441)="","记-"&amp;TEXT($B1790,"YYYYMM")&amp;"-资金",INDEX(资金日记账!$W$4:$W$603,441)))</f>
        <v/>
      </c>
      <c r="D1790" s="107" t="str">
        <f aca="false">IF($E1790="","",INDEX(资金日记账!$D$4:$D$603,441))</f>
        <v/>
      </c>
      <c r="E1790" s="67" t="str">
        <f aca="false">IF(INDEX(资金日记账!$N$4:$S$603,441,1)=0,"",INDEX(资金日记账!$N$4:$S$603,441,1))</f>
        <v/>
      </c>
      <c r="F1790" s="99" t="str">
        <f aca="false">IF($E1790="","",IFERROR(INDEX(科目表!$A$4:$A$81,MATCH($E1790,科目表!$B$4:$B$81,0)),""))</f>
        <v/>
      </c>
      <c r="G1790" s="67" t="str">
        <f aca="false">IF($E1790="","",IFERROR(INDEX(科目表!$E$4:$E$81,MATCH($E1790,科目表!$B$4:$B$81,0)),""))</f>
        <v/>
      </c>
      <c r="H1790" s="70" t="str">
        <f aca="false">IF($E1790="","",N(INDEX(资金日记账!$N$4:$S$603,441,2)))</f>
        <v/>
      </c>
      <c r="I1790" s="70" t="str">
        <f aca="false">IF($E1790="","",N(INDEX(资金日记账!$N$4:$S$603,441,3)))</f>
        <v/>
      </c>
      <c r="J1790" s="67" t="str">
        <f aca="false">IF($E1790="","",INDEX(资金日记账!$E$4:$E$603,441))</f>
        <v/>
      </c>
      <c r="K1790" s="67" t="str">
        <f aca="false">IF($E1790="","",INDEX(资金日记账!$F$4:$F$603,441))</f>
        <v/>
      </c>
      <c r="L1790" s="107" t="str">
        <f aca="false">IF($E1790="","",INDEX(资金日记账!$X$4:$X$603,441))</f>
        <v/>
      </c>
      <c r="M1790" s="107"/>
      <c r="N1790" s="67" t="str">
        <f aca="false">IF($E1790="","",INDEX(资金日记账!$Y$4:$Y$603,441))</f>
        <v/>
      </c>
      <c r="O1790" s="67" t="str">
        <f aca="false">IF($E1790="","","自动B")</f>
        <v/>
      </c>
      <c r="P1790" s="18"/>
    </row>
    <row r="1791" customFormat="false" ht="18" hidden="false" customHeight="true" outlineLevel="0" collapsed="false">
      <c r="A1791" s="107" t="str">
        <f aca="false">IF($E1791="","",ROW()-3)</f>
        <v/>
      </c>
      <c r="B1791" s="110" t="str">
        <f aca="false">IF($E1791="","",INDEX(资金日记账!$B$4:$B$603,441))</f>
        <v/>
      </c>
      <c r="C1791" s="67" t="str">
        <f aca="false">IF($E1791="","",IF(INDEX(资金日记账!$W$4:$W$603,441)="","记-"&amp;TEXT($B1791,"YYYYMM")&amp;"-资金",INDEX(资金日记账!$W$4:$W$603,441)))</f>
        <v/>
      </c>
      <c r="D1791" s="107" t="str">
        <f aca="false">IF($E1791="","",INDEX(资金日记账!$D$4:$D$603,441))</f>
        <v/>
      </c>
      <c r="E1791" s="67" t="str">
        <f aca="false">IF(INDEX(资金日记账!$N$4:$S$603,441,4)=0,"",INDEX(资金日记账!$N$4:$S$603,441,4))</f>
        <v/>
      </c>
      <c r="F1791" s="99" t="str">
        <f aca="false">IF($E1791="","",IFERROR(INDEX(科目表!$A$4:$A$81,MATCH($E1791,科目表!$B$4:$B$81,0)),""))</f>
        <v/>
      </c>
      <c r="G1791" s="67" t="str">
        <f aca="false">IF($E1791="","",IFERROR(INDEX(科目表!$E$4:$E$81,MATCH($E1791,科目表!$B$4:$B$81,0)),""))</f>
        <v/>
      </c>
      <c r="H1791" s="70" t="str">
        <f aca="false">IF($E1791="","",N(INDEX(资金日记账!$N$4:$S$603,441,5)))</f>
        <v/>
      </c>
      <c r="I1791" s="70" t="str">
        <f aca="false">IF($E1791="","",N(INDEX(资金日记账!$N$4:$S$603,441,6)))</f>
        <v/>
      </c>
      <c r="J1791" s="67" t="str">
        <f aca="false">IF($E1791="","",INDEX(资金日记账!$E$4:$E$603,441))</f>
        <v/>
      </c>
      <c r="K1791" s="67" t="str">
        <f aca="false">IF($E1791="","",INDEX(资金日记账!$F$4:$F$603,441))</f>
        <v/>
      </c>
      <c r="L1791" s="107" t="str">
        <f aca="false">IF($E1791="","",INDEX(资金日记账!$X$4:$X$603,441))</f>
        <v/>
      </c>
      <c r="M1791" s="107"/>
      <c r="N1791" s="67" t="str">
        <f aca="false">IF($E1791="","",INDEX(资金日记账!$Y$4:$Y$603,441))</f>
        <v/>
      </c>
      <c r="O1791" s="67" t="str">
        <f aca="false">IF($E1791="","","自动B")</f>
        <v/>
      </c>
      <c r="P1791" s="18"/>
    </row>
    <row r="1792" customFormat="false" ht="18" hidden="false" customHeight="true" outlineLevel="0" collapsed="false">
      <c r="A1792" s="107" t="str">
        <f aca="false">IF($E1792="","",ROW()-3)</f>
        <v/>
      </c>
      <c r="B1792" s="110" t="str">
        <f aca="false">IF($E1792="","",INDEX(资金日记账!$B$4:$B$603,442))</f>
        <v/>
      </c>
      <c r="C1792" s="67" t="str">
        <f aca="false">IF($E1792="","",IF(INDEX(资金日记账!$W$4:$W$603,442)="","记-"&amp;TEXT($B1792,"YYYYMM")&amp;"-资金",INDEX(资金日记账!$W$4:$W$603,442)))</f>
        <v/>
      </c>
      <c r="D1792" s="107" t="str">
        <f aca="false">IF($E1792="","",INDEX(资金日记账!$D$4:$D$603,442))</f>
        <v/>
      </c>
      <c r="E1792" s="67" t="str">
        <f aca="false">IF(INDEX(资金日记账!$N$4:$S$603,442,1)=0,"",INDEX(资金日记账!$N$4:$S$603,442,1))</f>
        <v/>
      </c>
      <c r="F1792" s="99" t="str">
        <f aca="false">IF($E1792="","",IFERROR(INDEX(科目表!$A$4:$A$81,MATCH($E1792,科目表!$B$4:$B$81,0)),""))</f>
        <v/>
      </c>
      <c r="G1792" s="67" t="str">
        <f aca="false">IF($E1792="","",IFERROR(INDEX(科目表!$E$4:$E$81,MATCH($E1792,科目表!$B$4:$B$81,0)),""))</f>
        <v/>
      </c>
      <c r="H1792" s="70" t="str">
        <f aca="false">IF($E1792="","",N(INDEX(资金日记账!$N$4:$S$603,442,2)))</f>
        <v/>
      </c>
      <c r="I1792" s="70" t="str">
        <f aca="false">IF($E1792="","",N(INDEX(资金日记账!$N$4:$S$603,442,3)))</f>
        <v/>
      </c>
      <c r="J1792" s="67" t="str">
        <f aca="false">IF($E1792="","",INDEX(资金日记账!$E$4:$E$603,442))</f>
        <v/>
      </c>
      <c r="K1792" s="67" t="str">
        <f aca="false">IF($E1792="","",INDEX(资金日记账!$F$4:$F$603,442))</f>
        <v/>
      </c>
      <c r="L1792" s="107" t="str">
        <f aca="false">IF($E1792="","",INDEX(资金日记账!$X$4:$X$603,442))</f>
        <v/>
      </c>
      <c r="M1792" s="107"/>
      <c r="N1792" s="67" t="str">
        <f aca="false">IF($E1792="","",INDEX(资金日记账!$Y$4:$Y$603,442))</f>
        <v/>
      </c>
      <c r="O1792" s="67" t="str">
        <f aca="false">IF($E1792="","","自动B")</f>
        <v/>
      </c>
      <c r="P1792" s="18"/>
    </row>
    <row r="1793" customFormat="false" ht="18" hidden="false" customHeight="true" outlineLevel="0" collapsed="false">
      <c r="A1793" s="107" t="str">
        <f aca="false">IF($E1793="","",ROW()-3)</f>
        <v/>
      </c>
      <c r="B1793" s="110" t="str">
        <f aca="false">IF($E1793="","",INDEX(资金日记账!$B$4:$B$603,442))</f>
        <v/>
      </c>
      <c r="C1793" s="67" t="str">
        <f aca="false">IF($E1793="","",IF(INDEX(资金日记账!$W$4:$W$603,442)="","记-"&amp;TEXT($B1793,"YYYYMM")&amp;"-资金",INDEX(资金日记账!$W$4:$W$603,442)))</f>
        <v/>
      </c>
      <c r="D1793" s="107" t="str">
        <f aca="false">IF($E1793="","",INDEX(资金日记账!$D$4:$D$603,442))</f>
        <v/>
      </c>
      <c r="E1793" s="67" t="str">
        <f aca="false">IF(INDEX(资金日记账!$N$4:$S$603,442,4)=0,"",INDEX(资金日记账!$N$4:$S$603,442,4))</f>
        <v/>
      </c>
      <c r="F1793" s="99" t="str">
        <f aca="false">IF($E1793="","",IFERROR(INDEX(科目表!$A$4:$A$81,MATCH($E1793,科目表!$B$4:$B$81,0)),""))</f>
        <v/>
      </c>
      <c r="G1793" s="67" t="str">
        <f aca="false">IF($E1793="","",IFERROR(INDEX(科目表!$E$4:$E$81,MATCH($E1793,科目表!$B$4:$B$81,0)),""))</f>
        <v/>
      </c>
      <c r="H1793" s="70" t="str">
        <f aca="false">IF($E1793="","",N(INDEX(资金日记账!$N$4:$S$603,442,5)))</f>
        <v/>
      </c>
      <c r="I1793" s="70" t="str">
        <f aca="false">IF($E1793="","",N(INDEX(资金日记账!$N$4:$S$603,442,6)))</f>
        <v/>
      </c>
      <c r="J1793" s="67" t="str">
        <f aca="false">IF($E1793="","",INDEX(资金日记账!$E$4:$E$603,442))</f>
        <v/>
      </c>
      <c r="K1793" s="67" t="str">
        <f aca="false">IF($E1793="","",INDEX(资金日记账!$F$4:$F$603,442))</f>
        <v/>
      </c>
      <c r="L1793" s="107" t="str">
        <f aca="false">IF($E1793="","",INDEX(资金日记账!$X$4:$X$603,442))</f>
        <v/>
      </c>
      <c r="M1793" s="107"/>
      <c r="N1793" s="67" t="str">
        <f aca="false">IF($E1793="","",INDEX(资金日记账!$Y$4:$Y$603,442))</f>
        <v/>
      </c>
      <c r="O1793" s="67" t="str">
        <f aca="false">IF($E1793="","","自动B")</f>
        <v/>
      </c>
      <c r="P1793" s="18"/>
    </row>
    <row r="1794" customFormat="false" ht="18" hidden="false" customHeight="true" outlineLevel="0" collapsed="false">
      <c r="A1794" s="107" t="str">
        <f aca="false">IF($E1794="","",ROW()-3)</f>
        <v/>
      </c>
      <c r="B1794" s="110" t="str">
        <f aca="false">IF($E1794="","",INDEX(资金日记账!$B$4:$B$603,443))</f>
        <v/>
      </c>
      <c r="C1794" s="67" t="str">
        <f aca="false">IF($E1794="","",IF(INDEX(资金日记账!$W$4:$W$603,443)="","记-"&amp;TEXT($B1794,"YYYYMM")&amp;"-资金",INDEX(资金日记账!$W$4:$W$603,443)))</f>
        <v/>
      </c>
      <c r="D1794" s="107" t="str">
        <f aca="false">IF($E1794="","",INDEX(资金日记账!$D$4:$D$603,443))</f>
        <v/>
      </c>
      <c r="E1794" s="67" t="str">
        <f aca="false">IF(INDEX(资金日记账!$N$4:$S$603,443,1)=0,"",INDEX(资金日记账!$N$4:$S$603,443,1))</f>
        <v/>
      </c>
      <c r="F1794" s="99" t="str">
        <f aca="false">IF($E1794="","",IFERROR(INDEX(科目表!$A$4:$A$81,MATCH($E1794,科目表!$B$4:$B$81,0)),""))</f>
        <v/>
      </c>
      <c r="G1794" s="67" t="str">
        <f aca="false">IF($E1794="","",IFERROR(INDEX(科目表!$E$4:$E$81,MATCH($E1794,科目表!$B$4:$B$81,0)),""))</f>
        <v/>
      </c>
      <c r="H1794" s="70" t="str">
        <f aca="false">IF($E1794="","",N(INDEX(资金日记账!$N$4:$S$603,443,2)))</f>
        <v/>
      </c>
      <c r="I1794" s="70" t="str">
        <f aca="false">IF($E1794="","",N(INDEX(资金日记账!$N$4:$S$603,443,3)))</f>
        <v/>
      </c>
      <c r="J1794" s="67" t="str">
        <f aca="false">IF($E1794="","",INDEX(资金日记账!$E$4:$E$603,443))</f>
        <v/>
      </c>
      <c r="K1794" s="67" t="str">
        <f aca="false">IF($E1794="","",INDEX(资金日记账!$F$4:$F$603,443))</f>
        <v/>
      </c>
      <c r="L1794" s="107" t="str">
        <f aca="false">IF($E1794="","",INDEX(资金日记账!$X$4:$X$603,443))</f>
        <v/>
      </c>
      <c r="M1794" s="107"/>
      <c r="N1794" s="67" t="str">
        <f aca="false">IF($E1794="","",INDEX(资金日记账!$Y$4:$Y$603,443))</f>
        <v/>
      </c>
      <c r="O1794" s="67" t="str">
        <f aca="false">IF($E1794="","","自动B")</f>
        <v/>
      </c>
      <c r="P1794" s="18"/>
    </row>
    <row r="1795" customFormat="false" ht="18" hidden="false" customHeight="true" outlineLevel="0" collapsed="false">
      <c r="A1795" s="107" t="str">
        <f aca="false">IF($E1795="","",ROW()-3)</f>
        <v/>
      </c>
      <c r="B1795" s="110" t="str">
        <f aca="false">IF($E1795="","",INDEX(资金日记账!$B$4:$B$603,443))</f>
        <v/>
      </c>
      <c r="C1795" s="67" t="str">
        <f aca="false">IF($E1795="","",IF(INDEX(资金日记账!$W$4:$W$603,443)="","记-"&amp;TEXT($B1795,"YYYYMM")&amp;"-资金",INDEX(资金日记账!$W$4:$W$603,443)))</f>
        <v/>
      </c>
      <c r="D1795" s="107" t="str">
        <f aca="false">IF($E1795="","",INDEX(资金日记账!$D$4:$D$603,443))</f>
        <v/>
      </c>
      <c r="E1795" s="67" t="str">
        <f aca="false">IF(INDEX(资金日记账!$N$4:$S$603,443,4)=0,"",INDEX(资金日记账!$N$4:$S$603,443,4))</f>
        <v/>
      </c>
      <c r="F1795" s="99" t="str">
        <f aca="false">IF($E1795="","",IFERROR(INDEX(科目表!$A$4:$A$81,MATCH($E1795,科目表!$B$4:$B$81,0)),""))</f>
        <v/>
      </c>
      <c r="G1795" s="67" t="str">
        <f aca="false">IF($E1795="","",IFERROR(INDEX(科目表!$E$4:$E$81,MATCH($E1795,科目表!$B$4:$B$81,0)),""))</f>
        <v/>
      </c>
      <c r="H1795" s="70" t="str">
        <f aca="false">IF($E1795="","",N(INDEX(资金日记账!$N$4:$S$603,443,5)))</f>
        <v/>
      </c>
      <c r="I1795" s="70" t="str">
        <f aca="false">IF($E1795="","",N(INDEX(资金日记账!$N$4:$S$603,443,6)))</f>
        <v/>
      </c>
      <c r="J1795" s="67" t="str">
        <f aca="false">IF($E1795="","",INDEX(资金日记账!$E$4:$E$603,443))</f>
        <v/>
      </c>
      <c r="K1795" s="67" t="str">
        <f aca="false">IF($E1795="","",INDEX(资金日记账!$F$4:$F$603,443))</f>
        <v/>
      </c>
      <c r="L1795" s="107" t="str">
        <f aca="false">IF($E1795="","",INDEX(资金日记账!$X$4:$X$603,443))</f>
        <v/>
      </c>
      <c r="M1795" s="107"/>
      <c r="N1795" s="67" t="str">
        <f aca="false">IF($E1795="","",INDEX(资金日记账!$Y$4:$Y$603,443))</f>
        <v/>
      </c>
      <c r="O1795" s="67" t="str">
        <f aca="false">IF($E1795="","","自动B")</f>
        <v/>
      </c>
      <c r="P1795" s="18"/>
    </row>
    <row r="1796" customFormat="false" ht="18" hidden="false" customHeight="true" outlineLevel="0" collapsed="false">
      <c r="A1796" s="107" t="str">
        <f aca="false">IF($E1796="","",ROW()-3)</f>
        <v/>
      </c>
      <c r="B1796" s="110" t="str">
        <f aca="false">IF($E1796="","",INDEX(资金日记账!$B$4:$B$603,444))</f>
        <v/>
      </c>
      <c r="C1796" s="67" t="str">
        <f aca="false">IF($E1796="","",IF(INDEX(资金日记账!$W$4:$W$603,444)="","记-"&amp;TEXT($B1796,"YYYYMM")&amp;"-资金",INDEX(资金日记账!$W$4:$W$603,444)))</f>
        <v/>
      </c>
      <c r="D1796" s="107" t="str">
        <f aca="false">IF($E1796="","",INDEX(资金日记账!$D$4:$D$603,444))</f>
        <v/>
      </c>
      <c r="E1796" s="67" t="str">
        <f aca="false">IF(INDEX(资金日记账!$N$4:$S$603,444,1)=0,"",INDEX(资金日记账!$N$4:$S$603,444,1))</f>
        <v/>
      </c>
      <c r="F1796" s="99" t="str">
        <f aca="false">IF($E1796="","",IFERROR(INDEX(科目表!$A$4:$A$81,MATCH($E1796,科目表!$B$4:$B$81,0)),""))</f>
        <v/>
      </c>
      <c r="G1796" s="67" t="str">
        <f aca="false">IF($E1796="","",IFERROR(INDEX(科目表!$E$4:$E$81,MATCH($E1796,科目表!$B$4:$B$81,0)),""))</f>
        <v/>
      </c>
      <c r="H1796" s="70" t="str">
        <f aca="false">IF($E1796="","",N(INDEX(资金日记账!$N$4:$S$603,444,2)))</f>
        <v/>
      </c>
      <c r="I1796" s="70" t="str">
        <f aca="false">IF($E1796="","",N(INDEX(资金日记账!$N$4:$S$603,444,3)))</f>
        <v/>
      </c>
      <c r="J1796" s="67" t="str">
        <f aca="false">IF($E1796="","",INDEX(资金日记账!$E$4:$E$603,444))</f>
        <v/>
      </c>
      <c r="K1796" s="67" t="str">
        <f aca="false">IF($E1796="","",INDEX(资金日记账!$F$4:$F$603,444))</f>
        <v/>
      </c>
      <c r="L1796" s="107" t="str">
        <f aca="false">IF($E1796="","",INDEX(资金日记账!$X$4:$X$603,444))</f>
        <v/>
      </c>
      <c r="M1796" s="107"/>
      <c r="N1796" s="67" t="str">
        <f aca="false">IF($E1796="","",INDEX(资金日记账!$Y$4:$Y$603,444))</f>
        <v/>
      </c>
      <c r="O1796" s="67" t="str">
        <f aca="false">IF($E1796="","","自动B")</f>
        <v/>
      </c>
      <c r="P1796" s="18"/>
    </row>
    <row r="1797" customFormat="false" ht="18" hidden="false" customHeight="true" outlineLevel="0" collapsed="false">
      <c r="A1797" s="107" t="str">
        <f aca="false">IF($E1797="","",ROW()-3)</f>
        <v/>
      </c>
      <c r="B1797" s="110" t="str">
        <f aca="false">IF($E1797="","",INDEX(资金日记账!$B$4:$B$603,444))</f>
        <v/>
      </c>
      <c r="C1797" s="67" t="str">
        <f aca="false">IF($E1797="","",IF(INDEX(资金日记账!$W$4:$W$603,444)="","记-"&amp;TEXT($B1797,"YYYYMM")&amp;"-资金",INDEX(资金日记账!$W$4:$W$603,444)))</f>
        <v/>
      </c>
      <c r="D1797" s="107" t="str">
        <f aca="false">IF($E1797="","",INDEX(资金日记账!$D$4:$D$603,444))</f>
        <v/>
      </c>
      <c r="E1797" s="67" t="str">
        <f aca="false">IF(INDEX(资金日记账!$N$4:$S$603,444,4)=0,"",INDEX(资金日记账!$N$4:$S$603,444,4))</f>
        <v/>
      </c>
      <c r="F1797" s="99" t="str">
        <f aca="false">IF($E1797="","",IFERROR(INDEX(科目表!$A$4:$A$81,MATCH($E1797,科目表!$B$4:$B$81,0)),""))</f>
        <v/>
      </c>
      <c r="G1797" s="67" t="str">
        <f aca="false">IF($E1797="","",IFERROR(INDEX(科目表!$E$4:$E$81,MATCH($E1797,科目表!$B$4:$B$81,0)),""))</f>
        <v/>
      </c>
      <c r="H1797" s="70" t="str">
        <f aca="false">IF($E1797="","",N(INDEX(资金日记账!$N$4:$S$603,444,5)))</f>
        <v/>
      </c>
      <c r="I1797" s="70" t="str">
        <f aca="false">IF($E1797="","",N(INDEX(资金日记账!$N$4:$S$603,444,6)))</f>
        <v/>
      </c>
      <c r="J1797" s="67" t="str">
        <f aca="false">IF($E1797="","",INDEX(资金日记账!$E$4:$E$603,444))</f>
        <v/>
      </c>
      <c r="K1797" s="67" t="str">
        <f aca="false">IF($E1797="","",INDEX(资金日记账!$F$4:$F$603,444))</f>
        <v/>
      </c>
      <c r="L1797" s="107" t="str">
        <f aca="false">IF($E1797="","",INDEX(资金日记账!$X$4:$X$603,444))</f>
        <v/>
      </c>
      <c r="M1797" s="107"/>
      <c r="N1797" s="67" t="str">
        <f aca="false">IF($E1797="","",INDEX(资金日记账!$Y$4:$Y$603,444))</f>
        <v/>
      </c>
      <c r="O1797" s="67" t="str">
        <f aca="false">IF($E1797="","","自动B")</f>
        <v/>
      </c>
      <c r="P1797" s="18"/>
    </row>
    <row r="1798" customFormat="false" ht="18" hidden="false" customHeight="true" outlineLevel="0" collapsed="false">
      <c r="A1798" s="107" t="str">
        <f aca="false">IF($E1798="","",ROW()-3)</f>
        <v/>
      </c>
      <c r="B1798" s="110" t="str">
        <f aca="false">IF($E1798="","",INDEX(资金日记账!$B$4:$B$603,445))</f>
        <v/>
      </c>
      <c r="C1798" s="67" t="str">
        <f aca="false">IF($E1798="","",IF(INDEX(资金日记账!$W$4:$W$603,445)="","记-"&amp;TEXT($B1798,"YYYYMM")&amp;"-资金",INDEX(资金日记账!$W$4:$W$603,445)))</f>
        <v/>
      </c>
      <c r="D1798" s="107" t="str">
        <f aca="false">IF($E1798="","",INDEX(资金日记账!$D$4:$D$603,445))</f>
        <v/>
      </c>
      <c r="E1798" s="67" t="str">
        <f aca="false">IF(INDEX(资金日记账!$N$4:$S$603,445,1)=0,"",INDEX(资金日记账!$N$4:$S$603,445,1))</f>
        <v/>
      </c>
      <c r="F1798" s="99" t="str">
        <f aca="false">IF($E1798="","",IFERROR(INDEX(科目表!$A$4:$A$81,MATCH($E1798,科目表!$B$4:$B$81,0)),""))</f>
        <v/>
      </c>
      <c r="G1798" s="67" t="str">
        <f aca="false">IF($E1798="","",IFERROR(INDEX(科目表!$E$4:$E$81,MATCH($E1798,科目表!$B$4:$B$81,0)),""))</f>
        <v/>
      </c>
      <c r="H1798" s="70" t="str">
        <f aca="false">IF($E1798="","",N(INDEX(资金日记账!$N$4:$S$603,445,2)))</f>
        <v/>
      </c>
      <c r="I1798" s="70" t="str">
        <f aca="false">IF($E1798="","",N(INDEX(资金日记账!$N$4:$S$603,445,3)))</f>
        <v/>
      </c>
      <c r="J1798" s="67" t="str">
        <f aca="false">IF($E1798="","",INDEX(资金日记账!$E$4:$E$603,445))</f>
        <v/>
      </c>
      <c r="K1798" s="67" t="str">
        <f aca="false">IF($E1798="","",INDEX(资金日记账!$F$4:$F$603,445))</f>
        <v/>
      </c>
      <c r="L1798" s="107" t="str">
        <f aca="false">IF($E1798="","",INDEX(资金日记账!$X$4:$X$603,445))</f>
        <v/>
      </c>
      <c r="M1798" s="107"/>
      <c r="N1798" s="67" t="str">
        <f aca="false">IF($E1798="","",INDEX(资金日记账!$Y$4:$Y$603,445))</f>
        <v/>
      </c>
      <c r="O1798" s="67" t="str">
        <f aca="false">IF($E1798="","","自动B")</f>
        <v/>
      </c>
      <c r="P1798" s="18"/>
    </row>
    <row r="1799" customFormat="false" ht="18" hidden="false" customHeight="true" outlineLevel="0" collapsed="false">
      <c r="A1799" s="107" t="str">
        <f aca="false">IF($E1799="","",ROW()-3)</f>
        <v/>
      </c>
      <c r="B1799" s="110" t="str">
        <f aca="false">IF($E1799="","",INDEX(资金日记账!$B$4:$B$603,445))</f>
        <v/>
      </c>
      <c r="C1799" s="67" t="str">
        <f aca="false">IF($E1799="","",IF(INDEX(资金日记账!$W$4:$W$603,445)="","记-"&amp;TEXT($B1799,"YYYYMM")&amp;"-资金",INDEX(资金日记账!$W$4:$W$603,445)))</f>
        <v/>
      </c>
      <c r="D1799" s="107" t="str">
        <f aca="false">IF($E1799="","",INDEX(资金日记账!$D$4:$D$603,445))</f>
        <v/>
      </c>
      <c r="E1799" s="67" t="str">
        <f aca="false">IF(INDEX(资金日记账!$N$4:$S$603,445,4)=0,"",INDEX(资金日记账!$N$4:$S$603,445,4))</f>
        <v/>
      </c>
      <c r="F1799" s="99" t="str">
        <f aca="false">IF($E1799="","",IFERROR(INDEX(科目表!$A$4:$A$81,MATCH($E1799,科目表!$B$4:$B$81,0)),""))</f>
        <v/>
      </c>
      <c r="G1799" s="67" t="str">
        <f aca="false">IF($E1799="","",IFERROR(INDEX(科目表!$E$4:$E$81,MATCH($E1799,科目表!$B$4:$B$81,0)),""))</f>
        <v/>
      </c>
      <c r="H1799" s="70" t="str">
        <f aca="false">IF($E1799="","",N(INDEX(资金日记账!$N$4:$S$603,445,5)))</f>
        <v/>
      </c>
      <c r="I1799" s="70" t="str">
        <f aca="false">IF($E1799="","",N(INDEX(资金日记账!$N$4:$S$603,445,6)))</f>
        <v/>
      </c>
      <c r="J1799" s="67" t="str">
        <f aca="false">IF($E1799="","",INDEX(资金日记账!$E$4:$E$603,445))</f>
        <v/>
      </c>
      <c r="K1799" s="67" t="str">
        <f aca="false">IF($E1799="","",INDEX(资金日记账!$F$4:$F$603,445))</f>
        <v/>
      </c>
      <c r="L1799" s="107" t="str">
        <f aca="false">IF($E1799="","",INDEX(资金日记账!$X$4:$X$603,445))</f>
        <v/>
      </c>
      <c r="M1799" s="107"/>
      <c r="N1799" s="67" t="str">
        <f aca="false">IF($E1799="","",INDEX(资金日记账!$Y$4:$Y$603,445))</f>
        <v/>
      </c>
      <c r="O1799" s="67" t="str">
        <f aca="false">IF($E1799="","","自动B")</f>
        <v/>
      </c>
      <c r="P1799" s="18"/>
    </row>
    <row r="1800" customFormat="false" ht="18" hidden="false" customHeight="true" outlineLevel="0" collapsed="false">
      <c r="A1800" s="107" t="str">
        <f aca="false">IF($E1800="","",ROW()-3)</f>
        <v/>
      </c>
      <c r="B1800" s="110" t="str">
        <f aca="false">IF($E1800="","",INDEX(资金日记账!$B$4:$B$603,446))</f>
        <v/>
      </c>
      <c r="C1800" s="67" t="str">
        <f aca="false">IF($E1800="","",IF(INDEX(资金日记账!$W$4:$W$603,446)="","记-"&amp;TEXT($B1800,"YYYYMM")&amp;"-资金",INDEX(资金日记账!$W$4:$W$603,446)))</f>
        <v/>
      </c>
      <c r="D1800" s="107" t="str">
        <f aca="false">IF($E1800="","",INDEX(资金日记账!$D$4:$D$603,446))</f>
        <v/>
      </c>
      <c r="E1800" s="67" t="str">
        <f aca="false">IF(INDEX(资金日记账!$N$4:$S$603,446,1)=0,"",INDEX(资金日记账!$N$4:$S$603,446,1))</f>
        <v/>
      </c>
      <c r="F1800" s="99" t="str">
        <f aca="false">IF($E1800="","",IFERROR(INDEX(科目表!$A$4:$A$81,MATCH($E1800,科目表!$B$4:$B$81,0)),""))</f>
        <v/>
      </c>
      <c r="G1800" s="67" t="str">
        <f aca="false">IF($E1800="","",IFERROR(INDEX(科目表!$E$4:$E$81,MATCH($E1800,科目表!$B$4:$B$81,0)),""))</f>
        <v/>
      </c>
      <c r="H1800" s="70" t="str">
        <f aca="false">IF($E1800="","",N(INDEX(资金日记账!$N$4:$S$603,446,2)))</f>
        <v/>
      </c>
      <c r="I1800" s="70" t="str">
        <f aca="false">IF($E1800="","",N(INDEX(资金日记账!$N$4:$S$603,446,3)))</f>
        <v/>
      </c>
      <c r="J1800" s="67" t="str">
        <f aca="false">IF($E1800="","",INDEX(资金日记账!$E$4:$E$603,446))</f>
        <v/>
      </c>
      <c r="K1800" s="67" t="str">
        <f aca="false">IF($E1800="","",INDEX(资金日记账!$F$4:$F$603,446))</f>
        <v/>
      </c>
      <c r="L1800" s="107" t="str">
        <f aca="false">IF($E1800="","",INDEX(资金日记账!$X$4:$X$603,446))</f>
        <v/>
      </c>
      <c r="M1800" s="107"/>
      <c r="N1800" s="67" t="str">
        <f aca="false">IF($E1800="","",INDEX(资金日记账!$Y$4:$Y$603,446))</f>
        <v/>
      </c>
      <c r="O1800" s="67" t="str">
        <f aca="false">IF($E1800="","","自动B")</f>
        <v/>
      </c>
      <c r="P1800" s="18"/>
    </row>
    <row r="1801" customFormat="false" ht="18" hidden="false" customHeight="true" outlineLevel="0" collapsed="false">
      <c r="A1801" s="107" t="str">
        <f aca="false">IF($E1801="","",ROW()-3)</f>
        <v/>
      </c>
      <c r="B1801" s="110" t="str">
        <f aca="false">IF($E1801="","",INDEX(资金日记账!$B$4:$B$603,446))</f>
        <v/>
      </c>
      <c r="C1801" s="67" t="str">
        <f aca="false">IF($E1801="","",IF(INDEX(资金日记账!$W$4:$W$603,446)="","记-"&amp;TEXT($B1801,"YYYYMM")&amp;"-资金",INDEX(资金日记账!$W$4:$W$603,446)))</f>
        <v/>
      </c>
      <c r="D1801" s="107" t="str">
        <f aca="false">IF($E1801="","",INDEX(资金日记账!$D$4:$D$603,446))</f>
        <v/>
      </c>
      <c r="E1801" s="67" t="str">
        <f aca="false">IF(INDEX(资金日记账!$N$4:$S$603,446,4)=0,"",INDEX(资金日记账!$N$4:$S$603,446,4))</f>
        <v/>
      </c>
      <c r="F1801" s="99" t="str">
        <f aca="false">IF($E1801="","",IFERROR(INDEX(科目表!$A$4:$A$81,MATCH($E1801,科目表!$B$4:$B$81,0)),""))</f>
        <v/>
      </c>
      <c r="G1801" s="67" t="str">
        <f aca="false">IF($E1801="","",IFERROR(INDEX(科目表!$E$4:$E$81,MATCH($E1801,科目表!$B$4:$B$81,0)),""))</f>
        <v/>
      </c>
      <c r="H1801" s="70" t="str">
        <f aca="false">IF($E1801="","",N(INDEX(资金日记账!$N$4:$S$603,446,5)))</f>
        <v/>
      </c>
      <c r="I1801" s="70" t="str">
        <f aca="false">IF($E1801="","",N(INDEX(资金日记账!$N$4:$S$603,446,6)))</f>
        <v/>
      </c>
      <c r="J1801" s="67" t="str">
        <f aca="false">IF($E1801="","",INDEX(资金日记账!$E$4:$E$603,446))</f>
        <v/>
      </c>
      <c r="K1801" s="67" t="str">
        <f aca="false">IF($E1801="","",INDEX(资金日记账!$F$4:$F$603,446))</f>
        <v/>
      </c>
      <c r="L1801" s="107" t="str">
        <f aca="false">IF($E1801="","",INDEX(资金日记账!$X$4:$X$603,446))</f>
        <v/>
      </c>
      <c r="M1801" s="107"/>
      <c r="N1801" s="67" t="str">
        <f aca="false">IF($E1801="","",INDEX(资金日记账!$Y$4:$Y$603,446))</f>
        <v/>
      </c>
      <c r="O1801" s="67" t="str">
        <f aca="false">IF($E1801="","","自动B")</f>
        <v/>
      </c>
      <c r="P1801" s="18"/>
    </row>
    <row r="1802" customFormat="false" ht="18" hidden="false" customHeight="true" outlineLevel="0" collapsed="false">
      <c r="A1802" s="107" t="str">
        <f aca="false">IF($E1802="","",ROW()-3)</f>
        <v/>
      </c>
      <c r="B1802" s="110" t="str">
        <f aca="false">IF($E1802="","",INDEX(资金日记账!$B$4:$B$603,447))</f>
        <v/>
      </c>
      <c r="C1802" s="67" t="str">
        <f aca="false">IF($E1802="","",IF(INDEX(资金日记账!$W$4:$W$603,447)="","记-"&amp;TEXT($B1802,"YYYYMM")&amp;"-资金",INDEX(资金日记账!$W$4:$W$603,447)))</f>
        <v/>
      </c>
      <c r="D1802" s="107" t="str">
        <f aca="false">IF($E1802="","",INDEX(资金日记账!$D$4:$D$603,447))</f>
        <v/>
      </c>
      <c r="E1802" s="67" t="str">
        <f aca="false">IF(INDEX(资金日记账!$N$4:$S$603,447,1)=0,"",INDEX(资金日记账!$N$4:$S$603,447,1))</f>
        <v/>
      </c>
      <c r="F1802" s="99" t="str">
        <f aca="false">IF($E1802="","",IFERROR(INDEX(科目表!$A$4:$A$81,MATCH($E1802,科目表!$B$4:$B$81,0)),""))</f>
        <v/>
      </c>
      <c r="G1802" s="67" t="str">
        <f aca="false">IF($E1802="","",IFERROR(INDEX(科目表!$E$4:$E$81,MATCH($E1802,科目表!$B$4:$B$81,0)),""))</f>
        <v/>
      </c>
      <c r="H1802" s="70" t="str">
        <f aca="false">IF($E1802="","",N(INDEX(资金日记账!$N$4:$S$603,447,2)))</f>
        <v/>
      </c>
      <c r="I1802" s="70" t="str">
        <f aca="false">IF($E1802="","",N(INDEX(资金日记账!$N$4:$S$603,447,3)))</f>
        <v/>
      </c>
      <c r="J1802" s="67" t="str">
        <f aca="false">IF($E1802="","",INDEX(资金日记账!$E$4:$E$603,447))</f>
        <v/>
      </c>
      <c r="K1802" s="67" t="str">
        <f aca="false">IF($E1802="","",INDEX(资金日记账!$F$4:$F$603,447))</f>
        <v/>
      </c>
      <c r="L1802" s="107" t="str">
        <f aca="false">IF($E1802="","",INDEX(资金日记账!$X$4:$X$603,447))</f>
        <v/>
      </c>
      <c r="M1802" s="107"/>
      <c r="N1802" s="67" t="str">
        <f aca="false">IF($E1802="","",INDEX(资金日记账!$Y$4:$Y$603,447))</f>
        <v/>
      </c>
      <c r="O1802" s="67" t="str">
        <f aca="false">IF($E1802="","","自动B")</f>
        <v/>
      </c>
      <c r="P1802" s="18"/>
    </row>
    <row r="1803" customFormat="false" ht="18" hidden="false" customHeight="true" outlineLevel="0" collapsed="false">
      <c r="A1803" s="107" t="str">
        <f aca="false">IF($E1803="","",ROW()-3)</f>
        <v/>
      </c>
      <c r="B1803" s="110" t="str">
        <f aca="false">IF($E1803="","",INDEX(资金日记账!$B$4:$B$603,447))</f>
        <v/>
      </c>
      <c r="C1803" s="67" t="str">
        <f aca="false">IF($E1803="","",IF(INDEX(资金日记账!$W$4:$W$603,447)="","记-"&amp;TEXT($B1803,"YYYYMM")&amp;"-资金",INDEX(资金日记账!$W$4:$W$603,447)))</f>
        <v/>
      </c>
      <c r="D1803" s="107" t="str">
        <f aca="false">IF($E1803="","",INDEX(资金日记账!$D$4:$D$603,447))</f>
        <v/>
      </c>
      <c r="E1803" s="67" t="str">
        <f aca="false">IF(INDEX(资金日记账!$N$4:$S$603,447,4)=0,"",INDEX(资金日记账!$N$4:$S$603,447,4))</f>
        <v/>
      </c>
      <c r="F1803" s="99" t="str">
        <f aca="false">IF($E1803="","",IFERROR(INDEX(科目表!$A$4:$A$81,MATCH($E1803,科目表!$B$4:$B$81,0)),""))</f>
        <v/>
      </c>
      <c r="G1803" s="67" t="str">
        <f aca="false">IF($E1803="","",IFERROR(INDEX(科目表!$E$4:$E$81,MATCH($E1803,科目表!$B$4:$B$81,0)),""))</f>
        <v/>
      </c>
      <c r="H1803" s="70" t="str">
        <f aca="false">IF($E1803="","",N(INDEX(资金日记账!$N$4:$S$603,447,5)))</f>
        <v/>
      </c>
      <c r="I1803" s="70" t="str">
        <f aca="false">IF($E1803="","",N(INDEX(资金日记账!$N$4:$S$603,447,6)))</f>
        <v/>
      </c>
      <c r="J1803" s="67" t="str">
        <f aca="false">IF($E1803="","",INDEX(资金日记账!$E$4:$E$603,447))</f>
        <v/>
      </c>
      <c r="K1803" s="67" t="str">
        <f aca="false">IF($E1803="","",INDEX(资金日记账!$F$4:$F$603,447))</f>
        <v/>
      </c>
      <c r="L1803" s="107" t="str">
        <f aca="false">IF($E1803="","",INDEX(资金日记账!$X$4:$X$603,447))</f>
        <v/>
      </c>
      <c r="M1803" s="107"/>
      <c r="N1803" s="67" t="str">
        <f aca="false">IF($E1803="","",INDEX(资金日记账!$Y$4:$Y$603,447))</f>
        <v/>
      </c>
      <c r="O1803" s="67" t="str">
        <f aca="false">IF($E1803="","","自动B")</f>
        <v/>
      </c>
      <c r="P1803" s="18"/>
    </row>
    <row r="1804" customFormat="false" ht="18" hidden="false" customHeight="true" outlineLevel="0" collapsed="false">
      <c r="A1804" s="107" t="str">
        <f aca="false">IF($E1804="","",ROW()-3)</f>
        <v/>
      </c>
      <c r="B1804" s="110" t="str">
        <f aca="false">IF($E1804="","",INDEX(资金日记账!$B$4:$B$603,448))</f>
        <v/>
      </c>
      <c r="C1804" s="67" t="str">
        <f aca="false">IF($E1804="","",IF(INDEX(资金日记账!$W$4:$W$603,448)="","记-"&amp;TEXT($B1804,"YYYYMM")&amp;"-资金",INDEX(资金日记账!$W$4:$W$603,448)))</f>
        <v/>
      </c>
      <c r="D1804" s="107" t="str">
        <f aca="false">IF($E1804="","",INDEX(资金日记账!$D$4:$D$603,448))</f>
        <v/>
      </c>
      <c r="E1804" s="67" t="str">
        <f aca="false">IF(INDEX(资金日记账!$N$4:$S$603,448,1)=0,"",INDEX(资金日记账!$N$4:$S$603,448,1))</f>
        <v/>
      </c>
      <c r="F1804" s="99" t="str">
        <f aca="false">IF($E1804="","",IFERROR(INDEX(科目表!$A$4:$A$81,MATCH($E1804,科目表!$B$4:$B$81,0)),""))</f>
        <v/>
      </c>
      <c r="G1804" s="67" t="str">
        <f aca="false">IF($E1804="","",IFERROR(INDEX(科目表!$E$4:$E$81,MATCH($E1804,科目表!$B$4:$B$81,0)),""))</f>
        <v/>
      </c>
      <c r="H1804" s="70" t="str">
        <f aca="false">IF($E1804="","",N(INDEX(资金日记账!$N$4:$S$603,448,2)))</f>
        <v/>
      </c>
      <c r="I1804" s="70" t="str">
        <f aca="false">IF($E1804="","",N(INDEX(资金日记账!$N$4:$S$603,448,3)))</f>
        <v/>
      </c>
      <c r="J1804" s="67" t="str">
        <f aca="false">IF($E1804="","",INDEX(资金日记账!$E$4:$E$603,448))</f>
        <v/>
      </c>
      <c r="K1804" s="67" t="str">
        <f aca="false">IF($E1804="","",INDEX(资金日记账!$F$4:$F$603,448))</f>
        <v/>
      </c>
      <c r="L1804" s="107" t="str">
        <f aca="false">IF($E1804="","",INDEX(资金日记账!$X$4:$X$603,448))</f>
        <v/>
      </c>
      <c r="M1804" s="107"/>
      <c r="N1804" s="67" t="str">
        <f aca="false">IF($E1804="","",INDEX(资金日记账!$Y$4:$Y$603,448))</f>
        <v/>
      </c>
      <c r="O1804" s="67" t="str">
        <f aca="false">IF($E1804="","","自动B")</f>
        <v/>
      </c>
      <c r="P1804" s="18"/>
    </row>
    <row r="1805" customFormat="false" ht="18" hidden="false" customHeight="true" outlineLevel="0" collapsed="false">
      <c r="A1805" s="107" t="str">
        <f aca="false">IF($E1805="","",ROW()-3)</f>
        <v/>
      </c>
      <c r="B1805" s="110" t="str">
        <f aca="false">IF($E1805="","",INDEX(资金日记账!$B$4:$B$603,448))</f>
        <v/>
      </c>
      <c r="C1805" s="67" t="str">
        <f aca="false">IF($E1805="","",IF(INDEX(资金日记账!$W$4:$W$603,448)="","记-"&amp;TEXT($B1805,"YYYYMM")&amp;"-资金",INDEX(资金日记账!$W$4:$W$603,448)))</f>
        <v/>
      </c>
      <c r="D1805" s="107" t="str">
        <f aca="false">IF($E1805="","",INDEX(资金日记账!$D$4:$D$603,448))</f>
        <v/>
      </c>
      <c r="E1805" s="67" t="str">
        <f aca="false">IF(INDEX(资金日记账!$N$4:$S$603,448,4)=0,"",INDEX(资金日记账!$N$4:$S$603,448,4))</f>
        <v/>
      </c>
      <c r="F1805" s="99" t="str">
        <f aca="false">IF($E1805="","",IFERROR(INDEX(科目表!$A$4:$A$81,MATCH($E1805,科目表!$B$4:$B$81,0)),""))</f>
        <v/>
      </c>
      <c r="G1805" s="67" t="str">
        <f aca="false">IF($E1805="","",IFERROR(INDEX(科目表!$E$4:$E$81,MATCH($E1805,科目表!$B$4:$B$81,0)),""))</f>
        <v/>
      </c>
      <c r="H1805" s="70" t="str">
        <f aca="false">IF($E1805="","",N(INDEX(资金日记账!$N$4:$S$603,448,5)))</f>
        <v/>
      </c>
      <c r="I1805" s="70" t="str">
        <f aca="false">IF($E1805="","",N(INDEX(资金日记账!$N$4:$S$603,448,6)))</f>
        <v/>
      </c>
      <c r="J1805" s="67" t="str">
        <f aca="false">IF($E1805="","",INDEX(资金日记账!$E$4:$E$603,448))</f>
        <v/>
      </c>
      <c r="K1805" s="67" t="str">
        <f aca="false">IF($E1805="","",INDEX(资金日记账!$F$4:$F$603,448))</f>
        <v/>
      </c>
      <c r="L1805" s="107" t="str">
        <f aca="false">IF($E1805="","",INDEX(资金日记账!$X$4:$X$603,448))</f>
        <v/>
      </c>
      <c r="M1805" s="107"/>
      <c r="N1805" s="67" t="str">
        <f aca="false">IF($E1805="","",INDEX(资金日记账!$Y$4:$Y$603,448))</f>
        <v/>
      </c>
      <c r="O1805" s="67" t="str">
        <f aca="false">IF($E1805="","","自动B")</f>
        <v/>
      </c>
      <c r="P1805" s="18"/>
    </row>
    <row r="1806" customFormat="false" ht="18" hidden="false" customHeight="true" outlineLevel="0" collapsed="false">
      <c r="A1806" s="107" t="str">
        <f aca="false">IF($E1806="","",ROW()-3)</f>
        <v/>
      </c>
      <c r="B1806" s="110" t="str">
        <f aca="false">IF($E1806="","",INDEX(资金日记账!$B$4:$B$603,449))</f>
        <v/>
      </c>
      <c r="C1806" s="67" t="str">
        <f aca="false">IF($E1806="","",IF(INDEX(资金日记账!$W$4:$W$603,449)="","记-"&amp;TEXT($B1806,"YYYYMM")&amp;"-资金",INDEX(资金日记账!$W$4:$W$603,449)))</f>
        <v/>
      </c>
      <c r="D1806" s="107" t="str">
        <f aca="false">IF($E1806="","",INDEX(资金日记账!$D$4:$D$603,449))</f>
        <v/>
      </c>
      <c r="E1806" s="67" t="str">
        <f aca="false">IF(INDEX(资金日记账!$N$4:$S$603,449,1)=0,"",INDEX(资金日记账!$N$4:$S$603,449,1))</f>
        <v/>
      </c>
      <c r="F1806" s="99" t="str">
        <f aca="false">IF($E1806="","",IFERROR(INDEX(科目表!$A$4:$A$81,MATCH($E1806,科目表!$B$4:$B$81,0)),""))</f>
        <v/>
      </c>
      <c r="G1806" s="67" t="str">
        <f aca="false">IF($E1806="","",IFERROR(INDEX(科目表!$E$4:$E$81,MATCH($E1806,科目表!$B$4:$B$81,0)),""))</f>
        <v/>
      </c>
      <c r="H1806" s="70" t="str">
        <f aca="false">IF($E1806="","",N(INDEX(资金日记账!$N$4:$S$603,449,2)))</f>
        <v/>
      </c>
      <c r="I1806" s="70" t="str">
        <f aca="false">IF($E1806="","",N(INDEX(资金日记账!$N$4:$S$603,449,3)))</f>
        <v/>
      </c>
      <c r="J1806" s="67" t="str">
        <f aca="false">IF($E1806="","",INDEX(资金日记账!$E$4:$E$603,449))</f>
        <v/>
      </c>
      <c r="K1806" s="67" t="str">
        <f aca="false">IF($E1806="","",INDEX(资金日记账!$F$4:$F$603,449))</f>
        <v/>
      </c>
      <c r="L1806" s="107" t="str">
        <f aca="false">IF($E1806="","",INDEX(资金日记账!$X$4:$X$603,449))</f>
        <v/>
      </c>
      <c r="M1806" s="107"/>
      <c r="N1806" s="67" t="str">
        <f aca="false">IF($E1806="","",INDEX(资金日记账!$Y$4:$Y$603,449))</f>
        <v/>
      </c>
      <c r="O1806" s="67" t="str">
        <f aca="false">IF($E1806="","","自动B")</f>
        <v/>
      </c>
      <c r="P1806" s="18"/>
    </row>
    <row r="1807" customFormat="false" ht="18" hidden="false" customHeight="true" outlineLevel="0" collapsed="false">
      <c r="A1807" s="107" t="str">
        <f aca="false">IF($E1807="","",ROW()-3)</f>
        <v/>
      </c>
      <c r="B1807" s="110" t="str">
        <f aca="false">IF($E1807="","",INDEX(资金日记账!$B$4:$B$603,449))</f>
        <v/>
      </c>
      <c r="C1807" s="67" t="str">
        <f aca="false">IF($E1807="","",IF(INDEX(资金日记账!$W$4:$W$603,449)="","记-"&amp;TEXT($B1807,"YYYYMM")&amp;"-资金",INDEX(资金日记账!$W$4:$W$603,449)))</f>
        <v/>
      </c>
      <c r="D1807" s="107" t="str">
        <f aca="false">IF($E1807="","",INDEX(资金日记账!$D$4:$D$603,449))</f>
        <v/>
      </c>
      <c r="E1807" s="67" t="str">
        <f aca="false">IF(INDEX(资金日记账!$N$4:$S$603,449,4)=0,"",INDEX(资金日记账!$N$4:$S$603,449,4))</f>
        <v/>
      </c>
      <c r="F1807" s="99" t="str">
        <f aca="false">IF($E1807="","",IFERROR(INDEX(科目表!$A$4:$A$81,MATCH($E1807,科目表!$B$4:$B$81,0)),""))</f>
        <v/>
      </c>
      <c r="G1807" s="67" t="str">
        <f aca="false">IF($E1807="","",IFERROR(INDEX(科目表!$E$4:$E$81,MATCH($E1807,科目表!$B$4:$B$81,0)),""))</f>
        <v/>
      </c>
      <c r="H1807" s="70" t="str">
        <f aca="false">IF($E1807="","",N(INDEX(资金日记账!$N$4:$S$603,449,5)))</f>
        <v/>
      </c>
      <c r="I1807" s="70" t="str">
        <f aca="false">IF($E1807="","",N(INDEX(资金日记账!$N$4:$S$603,449,6)))</f>
        <v/>
      </c>
      <c r="J1807" s="67" t="str">
        <f aca="false">IF($E1807="","",INDEX(资金日记账!$E$4:$E$603,449))</f>
        <v/>
      </c>
      <c r="K1807" s="67" t="str">
        <f aca="false">IF($E1807="","",INDEX(资金日记账!$F$4:$F$603,449))</f>
        <v/>
      </c>
      <c r="L1807" s="107" t="str">
        <f aca="false">IF($E1807="","",INDEX(资金日记账!$X$4:$X$603,449))</f>
        <v/>
      </c>
      <c r="M1807" s="107"/>
      <c r="N1807" s="67" t="str">
        <f aca="false">IF($E1807="","",INDEX(资金日记账!$Y$4:$Y$603,449))</f>
        <v/>
      </c>
      <c r="O1807" s="67" t="str">
        <f aca="false">IF($E1807="","","自动B")</f>
        <v/>
      </c>
      <c r="P1807" s="18"/>
    </row>
    <row r="1808" customFormat="false" ht="18" hidden="false" customHeight="true" outlineLevel="0" collapsed="false">
      <c r="A1808" s="107" t="str">
        <f aca="false">IF($E1808="","",ROW()-3)</f>
        <v/>
      </c>
      <c r="B1808" s="110" t="str">
        <f aca="false">IF($E1808="","",INDEX(资金日记账!$B$4:$B$603,450))</f>
        <v/>
      </c>
      <c r="C1808" s="67" t="str">
        <f aca="false">IF($E1808="","",IF(INDEX(资金日记账!$W$4:$W$603,450)="","记-"&amp;TEXT($B1808,"YYYYMM")&amp;"-资金",INDEX(资金日记账!$W$4:$W$603,450)))</f>
        <v/>
      </c>
      <c r="D1808" s="107" t="str">
        <f aca="false">IF($E1808="","",INDEX(资金日记账!$D$4:$D$603,450))</f>
        <v/>
      </c>
      <c r="E1808" s="67" t="str">
        <f aca="false">IF(INDEX(资金日记账!$N$4:$S$603,450,1)=0,"",INDEX(资金日记账!$N$4:$S$603,450,1))</f>
        <v/>
      </c>
      <c r="F1808" s="99" t="str">
        <f aca="false">IF($E1808="","",IFERROR(INDEX(科目表!$A$4:$A$81,MATCH($E1808,科目表!$B$4:$B$81,0)),""))</f>
        <v/>
      </c>
      <c r="G1808" s="67" t="str">
        <f aca="false">IF($E1808="","",IFERROR(INDEX(科目表!$E$4:$E$81,MATCH($E1808,科目表!$B$4:$B$81,0)),""))</f>
        <v/>
      </c>
      <c r="H1808" s="70" t="str">
        <f aca="false">IF($E1808="","",N(INDEX(资金日记账!$N$4:$S$603,450,2)))</f>
        <v/>
      </c>
      <c r="I1808" s="70" t="str">
        <f aca="false">IF($E1808="","",N(INDEX(资金日记账!$N$4:$S$603,450,3)))</f>
        <v/>
      </c>
      <c r="J1808" s="67" t="str">
        <f aca="false">IF($E1808="","",INDEX(资金日记账!$E$4:$E$603,450))</f>
        <v/>
      </c>
      <c r="K1808" s="67" t="str">
        <f aca="false">IF($E1808="","",INDEX(资金日记账!$F$4:$F$603,450))</f>
        <v/>
      </c>
      <c r="L1808" s="107" t="str">
        <f aca="false">IF($E1808="","",INDEX(资金日记账!$X$4:$X$603,450))</f>
        <v/>
      </c>
      <c r="M1808" s="107"/>
      <c r="N1808" s="67" t="str">
        <f aca="false">IF($E1808="","",INDEX(资金日记账!$Y$4:$Y$603,450))</f>
        <v/>
      </c>
      <c r="O1808" s="67" t="str">
        <f aca="false">IF($E1808="","","自动B")</f>
        <v/>
      </c>
      <c r="P1808" s="18"/>
    </row>
    <row r="1809" customFormat="false" ht="18" hidden="false" customHeight="true" outlineLevel="0" collapsed="false">
      <c r="A1809" s="107" t="str">
        <f aca="false">IF($E1809="","",ROW()-3)</f>
        <v/>
      </c>
      <c r="B1809" s="110" t="str">
        <f aca="false">IF($E1809="","",INDEX(资金日记账!$B$4:$B$603,450))</f>
        <v/>
      </c>
      <c r="C1809" s="67" t="str">
        <f aca="false">IF($E1809="","",IF(INDEX(资金日记账!$W$4:$W$603,450)="","记-"&amp;TEXT($B1809,"YYYYMM")&amp;"-资金",INDEX(资金日记账!$W$4:$W$603,450)))</f>
        <v/>
      </c>
      <c r="D1809" s="107" t="str">
        <f aca="false">IF($E1809="","",INDEX(资金日记账!$D$4:$D$603,450))</f>
        <v/>
      </c>
      <c r="E1809" s="67" t="str">
        <f aca="false">IF(INDEX(资金日记账!$N$4:$S$603,450,4)=0,"",INDEX(资金日记账!$N$4:$S$603,450,4))</f>
        <v/>
      </c>
      <c r="F1809" s="99" t="str">
        <f aca="false">IF($E1809="","",IFERROR(INDEX(科目表!$A$4:$A$81,MATCH($E1809,科目表!$B$4:$B$81,0)),""))</f>
        <v/>
      </c>
      <c r="G1809" s="67" t="str">
        <f aca="false">IF($E1809="","",IFERROR(INDEX(科目表!$E$4:$E$81,MATCH($E1809,科目表!$B$4:$B$81,0)),""))</f>
        <v/>
      </c>
      <c r="H1809" s="70" t="str">
        <f aca="false">IF($E1809="","",N(INDEX(资金日记账!$N$4:$S$603,450,5)))</f>
        <v/>
      </c>
      <c r="I1809" s="70" t="str">
        <f aca="false">IF($E1809="","",N(INDEX(资金日记账!$N$4:$S$603,450,6)))</f>
        <v/>
      </c>
      <c r="J1809" s="67" t="str">
        <f aca="false">IF($E1809="","",INDEX(资金日记账!$E$4:$E$603,450))</f>
        <v/>
      </c>
      <c r="K1809" s="67" t="str">
        <f aca="false">IF($E1809="","",INDEX(资金日记账!$F$4:$F$603,450))</f>
        <v/>
      </c>
      <c r="L1809" s="107" t="str">
        <f aca="false">IF($E1809="","",INDEX(资金日记账!$X$4:$X$603,450))</f>
        <v/>
      </c>
      <c r="M1809" s="107"/>
      <c r="N1809" s="67" t="str">
        <f aca="false">IF($E1809="","",INDEX(资金日记账!$Y$4:$Y$603,450))</f>
        <v/>
      </c>
      <c r="O1809" s="67" t="str">
        <f aca="false">IF($E1809="","","自动B")</f>
        <v/>
      </c>
      <c r="P1809" s="18"/>
    </row>
    <row r="1810" customFormat="false" ht="18" hidden="false" customHeight="true" outlineLevel="0" collapsed="false">
      <c r="A1810" s="107" t="str">
        <f aca="false">IF($E1810="","",ROW()-3)</f>
        <v/>
      </c>
      <c r="B1810" s="110" t="str">
        <f aca="false">IF($E1810="","",INDEX(资金日记账!$B$4:$B$603,451))</f>
        <v/>
      </c>
      <c r="C1810" s="67" t="str">
        <f aca="false">IF($E1810="","",IF(INDEX(资金日记账!$W$4:$W$603,451)="","记-"&amp;TEXT($B1810,"YYYYMM")&amp;"-资金",INDEX(资金日记账!$W$4:$W$603,451)))</f>
        <v/>
      </c>
      <c r="D1810" s="107" t="str">
        <f aca="false">IF($E1810="","",INDEX(资金日记账!$D$4:$D$603,451))</f>
        <v/>
      </c>
      <c r="E1810" s="67" t="str">
        <f aca="false">IF(INDEX(资金日记账!$N$4:$S$603,451,1)=0,"",INDEX(资金日记账!$N$4:$S$603,451,1))</f>
        <v/>
      </c>
      <c r="F1810" s="99" t="str">
        <f aca="false">IF($E1810="","",IFERROR(INDEX(科目表!$A$4:$A$81,MATCH($E1810,科目表!$B$4:$B$81,0)),""))</f>
        <v/>
      </c>
      <c r="G1810" s="67" t="str">
        <f aca="false">IF($E1810="","",IFERROR(INDEX(科目表!$E$4:$E$81,MATCH($E1810,科目表!$B$4:$B$81,0)),""))</f>
        <v/>
      </c>
      <c r="H1810" s="70" t="str">
        <f aca="false">IF($E1810="","",N(INDEX(资金日记账!$N$4:$S$603,451,2)))</f>
        <v/>
      </c>
      <c r="I1810" s="70" t="str">
        <f aca="false">IF($E1810="","",N(INDEX(资金日记账!$N$4:$S$603,451,3)))</f>
        <v/>
      </c>
      <c r="J1810" s="67" t="str">
        <f aca="false">IF($E1810="","",INDEX(资金日记账!$E$4:$E$603,451))</f>
        <v/>
      </c>
      <c r="K1810" s="67" t="str">
        <f aca="false">IF($E1810="","",INDEX(资金日记账!$F$4:$F$603,451))</f>
        <v/>
      </c>
      <c r="L1810" s="107" t="str">
        <f aca="false">IF($E1810="","",INDEX(资金日记账!$X$4:$X$603,451))</f>
        <v/>
      </c>
      <c r="M1810" s="107"/>
      <c r="N1810" s="67" t="str">
        <f aca="false">IF($E1810="","",INDEX(资金日记账!$Y$4:$Y$603,451))</f>
        <v/>
      </c>
      <c r="O1810" s="67" t="str">
        <f aca="false">IF($E1810="","","自动B")</f>
        <v/>
      </c>
      <c r="P1810" s="18"/>
    </row>
    <row r="1811" customFormat="false" ht="18" hidden="false" customHeight="true" outlineLevel="0" collapsed="false">
      <c r="A1811" s="107" t="str">
        <f aca="false">IF($E1811="","",ROW()-3)</f>
        <v/>
      </c>
      <c r="B1811" s="110" t="str">
        <f aca="false">IF($E1811="","",INDEX(资金日记账!$B$4:$B$603,451))</f>
        <v/>
      </c>
      <c r="C1811" s="67" t="str">
        <f aca="false">IF($E1811="","",IF(INDEX(资金日记账!$W$4:$W$603,451)="","记-"&amp;TEXT($B1811,"YYYYMM")&amp;"-资金",INDEX(资金日记账!$W$4:$W$603,451)))</f>
        <v/>
      </c>
      <c r="D1811" s="107" t="str">
        <f aca="false">IF($E1811="","",INDEX(资金日记账!$D$4:$D$603,451))</f>
        <v/>
      </c>
      <c r="E1811" s="67" t="str">
        <f aca="false">IF(INDEX(资金日记账!$N$4:$S$603,451,4)=0,"",INDEX(资金日记账!$N$4:$S$603,451,4))</f>
        <v/>
      </c>
      <c r="F1811" s="99" t="str">
        <f aca="false">IF($E1811="","",IFERROR(INDEX(科目表!$A$4:$A$81,MATCH($E1811,科目表!$B$4:$B$81,0)),""))</f>
        <v/>
      </c>
      <c r="G1811" s="67" t="str">
        <f aca="false">IF($E1811="","",IFERROR(INDEX(科目表!$E$4:$E$81,MATCH($E1811,科目表!$B$4:$B$81,0)),""))</f>
        <v/>
      </c>
      <c r="H1811" s="70" t="str">
        <f aca="false">IF($E1811="","",N(INDEX(资金日记账!$N$4:$S$603,451,5)))</f>
        <v/>
      </c>
      <c r="I1811" s="70" t="str">
        <f aca="false">IF($E1811="","",N(INDEX(资金日记账!$N$4:$S$603,451,6)))</f>
        <v/>
      </c>
      <c r="J1811" s="67" t="str">
        <f aca="false">IF($E1811="","",INDEX(资金日记账!$E$4:$E$603,451))</f>
        <v/>
      </c>
      <c r="K1811" s="67" t="str">
        <f aca="false">IF($E1811="","",INDEX(资金日记账!$F$4:$F$603,451))</f>
        <v/>
      </c>
      <c r="L1811" s="107" t="str">
        <f aca="false">IF($E1811="","",INDEX(资金日记账!$X$4:$X$603,451))</f>
        <v/>
      </c>
      <c r="M1811" s="107"/>
      <c r="N1811" s="67" t="str">
        <f aca="false">IF($E1811="","",INDEX(资金日记账!$Y$4:$Y$603,451))</f>
        <v/>
      </c>
      <c r="O1811" s="67" t="str">
        <f aca="false">IF($E1811="","","自动B")</f>
        <v/>
      </c>
      <c r="P1811" s="18"/>
    </row>
    <row r="1812" customFormat="false" ht="18" hidden="false" customHeight="true" outlineLevel="0" collapsed="false">
      <c r="A1812" s="107" t="str">
        <f aca="false">IF($E1812="","",ROW()-3)</f>
        <v/>
      </c>
      <c r="B1812" s="110" t="str">
        <f aca="false">IF($E1812="","",INDEX(资金日记账!$B$4:$B$603,452))</f>
        <v/>
      </c>
      <c r="C1812" s="67" t="str">
        <f aca="false">IF($E1812="","",IF(INDEX(资金日记账!$W$4:$W$603,452)="","记-"&amp;TEXT($B1812,"YYYYMM")&amp;"-资金",INDEX(资金日记账!$W$4:$W$603,452)))</f>
        <v/>
      </c>
      <c r="D1812" s="107" t="str">
        <f aca="false">IF($E1812="","",INDEX(资金日记账!$D$4:$D$603,452))</f>
        <v/>
      </c>
      <c r="E1812" s="67" t="str">
        <f aca="false">IF(INDEX(资金日记账!$N$4:$S$603,452,1)=0,"",INDEX(资金日记账!$N$4:$S$603,452,1))</f>
        <v/>
      </c>
      <c r="F1812" s="99" t="str">
        <f aca="false">IF($E1812="","",IFERROR(INDEX(科目表!$A$4:$A$81,MATCH($E1812,科目表!$B$4:$B$81,0)),""))</f>
        <v/>
      </c>
      <c r="G1812" s="67" t="str">
        <f aca="false">IF($E1812="","",IFERROR(INDEX(科目表!$E$4:$E$81,MATCH($E1812,科目表!$B$4:$B$81,0)),""))</f>
        <v/>
      </c>
      <c r="H1812" s="70" t="str">
        <f aca="false">IF($E1812="","",N(INDEX(资金日记账!$N$4:$S$603,452,2)))</f>
        <v/>
      </c>
      <c r="I1812" s="70" t="str">
        <f aca="false">IF($E1812="","",N(INDEX(资金日记账!$N$4:$S$603,452,3)))</f>
        <v/>
      </c>
      <c r="J1812" s="67" t="str">
        <f aca="false">IF($E1812="","",INDEX(资金日记账!$E$4:$E$603,452))</f>
        <v/>
      </c>
      <c r="K1812" s="67" t="str">
        <f aca="false">IF($E1812="","",INDEX(资金日记账!$F$4:$F$603,452))</f>
        <v/>
      </c>
      <c r="L1812" s="107" t="str">
        <f aca="false">IF($E1812="","",INDEX(资金日记账!$X$4:$X$603,452))</f>
        <v/>
      </c>
      <c r="M1812" s="107"/>
      <c r="N1812" s="67" t="str">
        <f aca="false">IF($E1812="","",INDEX(资金日记账!$Y$4:$Y$603,452))</f>
        <v/>
      </c>
      <c r="O1812" s="67" t="str">
        <f aca="false">IF($E1812="","","自动B")</f>
        <v/>
      </c>
      <c r="P1812" s="18"/>
    </row>
    <row r="1813" customFormat="false" ht="18" hidden="false" customHeight="true" outlineLevel="0" collapsed="false">
      <c r="A1813" s="107" t="str">
        <f aca="false">IF($E1813="","",ROW()-3)</f>
        <v/>
      </c>
      <c r="B1813" s="110" t="str">
        <f aca="false">IF($E1813="","",INDEX(资金日记账!$B$4:$B$603,452))</f>
        <v/>
      </c>
      <c r="C1813" s="67" t="str">
        <f aca="false">IF($E1813="","",IF(INDEX(资金日记账!$W$4:$W$603,452)="","记-"&amp;TEXT($B1813,"YYYYMM")&amp;"-资金",INDEX(资金日记账!$W$4:$W$603,452)))</f>
        <v/>
      </c>
      <c r="D1813" s="107" t="str">
        <f aca="false">IF($E1813="","",INDEX(资金日记账!$D$4:$D$603,452))</f>
        <v/>
      </c>
      <c r="E1813" s="67" t="str">
        <f aca="false">IF(INDEX(资金日记账!$N$4:$S$603,452,4)=0,"",INDEX(资金日记账!$N$4:$S$603,452,4))</f>
        <v/>
      </c>
      <c r="F1813" s="99" t="str">
        <f aca="false">IF($E1813="","",IFERROR(INDEX(科目表!$A$4:$A$81,MATCH($E1813,科目表!$B$4:$B$81,0)),""))</f>
        <v/>
      </c>
      <c r="G1813" s="67" t="str">
        <f aca="false">IF($E1813="","",IFERROR(INDEX(科目表!$E$4:$E$81,MATCH($E1813,科目表!$B$4:$B$81,0)),""))</f>
        <v/>
      </c>
      <c r="H1813" s="70" t="str">
        <f aca="false">IF($E1813="","",N(INDEX(资金日记账!$N$4:$S$603,452,5)))</f>
        <v/>
      </c>
      <c r="I1813" s="70" t="str">
        <f aca="false">IF($E1813="","",N(INDEX(资金日记账!$N$4:$S$603,452,6)))</f>
        <v/>
      </c>
      <c r="J1813" s="67" t="str">
        <f aca="false">IF($E1813="","",INDEX(资金日记账!$E$4:$E$603,452))</f>
        <v/>
      </c>
      <c r="K1813" s="67" t="str">
        <f aca="false">IF($E1813="","",INDEX(资金日记账!$F$4:$F$603,452))</f>
        <v/>
      </c>
      <c r="L1813" s="107" t="str">
        <f aca="false">IF($E1813="","",INDEX(资金日记账!$X$4:$X$603,452))</f>
        <v/>
      </c>
      <c r="M1813" s="107"/>
      <c r="N1813" s="67" t="str">
        <f aca="false">IF($E1813="","",INDEX(资金日记账!$Y$4:$Y$603,452))</f>
        <v/>
      </c>
      <c r="O1813" s="67" t="str">
        <f aca="false">IF($E1813="","","自动B")</f>
        <v/>
      </c>
      <c r="P1813" s="18"/>
    </row>
    <row r="1814" customFormat="false" ht="18" hidden="false" customHeight="true" outlineLevel="0" collapsed="false">
      <c r="A1814" s="107" t="str">
        <f aca="false">IF($E1814="","",ROW()-3)</f>
        <v/>
      </c>
      <c r="B1814" s="110" t="str">
        <f aca="false">IF($E1814="","",INDEX(资金日记账!$B$4:$B$603,453))</f>
        <v/>
      </c>
      <c r="C1814" s="67" t="str">
        <f aca="false">IF($E1814="","",IF(INDEX(资金日记账!$W$4:$W$603,453)="","记-"&amp;TEXT($B1814,"YYYYMM")&amp;"-资金",INDEX(资金日记账!$W$4:$W$603,453)))</f>
        <v/>
      </c>
      <c r="D1814" s="107" t="str">
        <f aca="false">IF($E1814="","",INDEX(资金日记账!$D$4:$D$603,453))</f>
        <v/>
      </c>
      <c r="E1814" s="67" t="str">
        <f aca="false">IF(INDEX(资金日记账!$N$4:$S$603,453,1)=0,"",INDEX(资金日记账!$N$4:$S$603,453,1))</f>
        <v/>
      </c>
      <c r="F1814" s="99" t="str">
        <f aca="false">IF($E1814="","",IFERROR(INDEX(科目表!$A$4:$A$81,MATCH($E1814,科目表!$B$4:$B$81,0)),""))</f>
        <v/>
      </c>
      <c r="G1814" s="67" t="str">
        <f aca="false">IF($E1814="","",IFERROR(INDEX(科目表!$E$4:$E$81,MATCH($E1814,科目表!$B$4:$B$81,0)),""))</f>
        <v/>
      </c>
      <c r="H1814" s="70" t="str">
        <f aca="false">IF($E1814="","",N(INDEX(资金日记账!$N$4:$S$603,453,2)))</f>
        <v/>
      </c>
      <c r="I1814" s="70" t="str">
        <f aca="false">IF($E1814="","",N(INDEX(资金日记账!$N$4:$S$603,453,3)))</f>
        <v/>
      </c>
      <c r="J1814" s="67" t="str">
        <f aca="false">IF($E1814="","",INDEX(资金日记账!$E$4:$E$603,453))</f>
        <v/>
      </c>
      <c r="K1814" s="67" t="str">
        <f aca="false">IF($E1814="","",INDEX(资金日记账!$F$4:$F$603,453))</f>
        <v/>
      </c>
      <c r="L1814" s="107" t="str">
        <f aca="false">IF($E1814="","",INDEX(资金日记账!$X$4:$X$603,453))</f>
        <v/>
      </c>
      <c r="M1814" s="107"/>
      <c r="N1814" s="67" t="str">
        <f aca="false">IF($E1814="","",INDEX(资金日记账!$Y$4:$Y$603,453))</f>
        <v/>
      </c>
      <c r="O1814" s="67" t="str">
        <f aca="false">IF($E1814="","","自动B")</f>
        <v/>
      </c>
      <c r="P1814" s="18"/>
    </row>
    <row r="1815" customFormat="false" ht="18" hidden="false" customHeight="true" outlineLevel="0" collapsed="false">
      <c r="A1815" s="107" t="str">
        <f aca="false">IF($E1815="","",ROW()-3)</f>
        <v/>
      </c>
      <c r="B1815" s="110" t="str">
        <f aca="false">IF($E1815="","",INDEX(资金日记账!$B$4:$B$603,453))</f>
        <v/>
      </c>
      <c r="C1815" s="67" t="str">
        <f aca="false">IF($E1815="","",IF(INDEX(资金日记账!$W$4:$W$603,453)="","记-"&amp;TEXT($B1815,"YYYYMM")&amp;"-资金",INDEX(资金日记账!$W$4:$W$603,453)))</f>
        <v/>
      </c>
      <c r="D1815" s="107" t="str">
        <f aca="false">IF($E1815="","",INDEX(资金日记账!$D$4:$D$603,453))</f>
        <v/>
      </c>
      <c r="E1815" s="67" t="str">
        <f aca="false">IF(INDEX(资金日记账!$N$4:$S$603,453,4)=0,"",INDEX(资金日记账!$N$4:$S$603,453,4))</f>
        <v/>
      </c>
      <c r="F1815" s="99" t="str">
        <f aca="false">IF($E1815="","",IFERROR(INDEX(科目表!$A$4:$A$81,MATCH($E1815,科目表!$B$4:$B$81,0)),""))</f>
        <v/>
      </c>
      <c r="G1815" s="67" t="str">
        <f aca="false">IF($E1815="","",IFERROR(INDEX(科目表!$E$4:$E$81,MATCH($E1815,科目表!$B$4:$B$81,0)),""))</f>
        <v/>
      </c>
      <c r="H1815" s="70" t="str">
        <f aca="false">IF($E1815="","",N(INDEX(资金日记账!$N$4:$S$603,453,5)))</f>
        <v/>
      </c>
      <c r="I1815" s="70" t="str">
        <f aca="false">IF($E1815="","",N(INDEX(资金日记账!$N$4:$S$603,453,6)))</f>
        <v/>
      </c>
      <c r="J1815" s="67" t="str">
        <f aca="false">IF($E1815="","",INDEX(资金日记账!$E$4:$E$603,453))</f>
        <v/>
      </c>
      <c r="K1815" s="67" t="str">
        <f aca="false">IF($E1815="","",INDEX(资金日记账!$F$4:$F$603,453))</f>
        <v/>
      </c>
      <c r="L1815" s="107" t="str">
        <f aca="false">IF($E1815="","",INDEX(资金日记账!$X$4:$X$603,453))</f>
        <v/>
      </c>
      <c r="M1815" s="107"/>
      <c r="N1815" s="67" t="str">
        <f aca="false">IF($E1815="","",INDEX(资金日记账!$Y$4:$Y$603,453))</f>
        <v/>
      </c>
      <c r="O1815" s="67" t="str">
        <f aca="false">IF($E1815="","","自动B")</f>
        <v/>
      </c>
      <c r="P1815" s="18"/>
    </row>
    <row r="1816" customFormat="false" ht="18" hidden="false" customHeight="true" outlineLevel="0" collapsed="false">
      <c r="A1816" s="107" t="str">
        <f aca="false">IF($E1816="","",ROW()-3)</f>
        <v/>
      </c>
      <c r="B1816" s="110" t="str">
        <f aca="false">IF($E1816="","",INDEX(资金日记账!$B$4:$B$603,454))</f>
        <v/>
      </c>
      <c r="C1816" s="67" t="str">
        <f aca="false">IF($E1816="","",IF(INDEX(资金日记账!$W$4:$W$603,454)="","记-"&amp;TEXT($B1816,"YYYYMM")&amp;"-资金",INDEX(资金日记账!$W$4:$W$603,454)))</f>
        <v/>
      </c>
      <c r="D1816" s="107" t="str">
        <f aca="false">IF($E1816="","",INDEX(资金日记账!$D$4:$D$603,454))</f>
        <v/>
      </c>
      <c r="E1816" s="67" t="str">
        <f aca="false">IF(INDEX(资金日记账!$N$4:$S$603,454,1)=0,"",INDEX(资金日记账!$N$4:$S$603,454,1))</f>
        <v/>
      </c>
      <c r="F1816" s="99" t="str">
        <f aca="false">IF($E1816="","",IFERROR(INDEX(科目表!$A$4:$A$81,MATCH($E1816,科目表!$B$4:$B$81,0)),""))</f>
        <v/>
      </c>
      <c r="G1816" s="67" t="str">
        <f aca="false">IF($E1816="","",IFERROR(INDEX(科目表!$E$4:$E$81,MATCH($E1816,科目表!$B$4:$B$81,0)),""))</f>
        <v/>
      </c>
      <c r="H1816" s="70" t="str">
        <f aca="false">IF($E1816="","",N(INDEX(资金日记账!$N$4:$S$603,454,2)))</f>
        <v/>
      </c>
      <c r="I1816" s="70" t="str">
        <f aca="false">IF($E1816="","",N(INDEX(资金日记账!$N$4:$S$603,454,3)))</f>
        <v/>
      </c>
      <c r="J1816" s="67" t="str">
        <f aca="false">IF($E1816="","",INDEX(资金日记账!$E$4:$E$603,454))</f>
        <v/>
      </c>
      <c r="K1816" s="67" t="str">
        <f aca="false">IF($E1816="","",INDEX(资金日记账!$F$4:$F$603,454))</f>
        <v/>
      </c>
      <c r="L1816" s="107" t="str">
        <f aca="false">IF($E1816="","",INDEX(资金日记账!$X$4:$X$603,454))</f>
        <v/>
      </c>
      <c r="M1816" s="107"/>
      <c r="N1816" s="67" t="str">
        <f aca="false">IF($E1816="","",INDEX(资金日记账!$Y$4:$Y$603,454))</f>
        <v/>
      </c>
      <c r="O1816" s="67" t="str">
        <f aca="false">IF($E1816="","","自动B")</f>
        <v/>
      </c>
      <c r="P1816" s="18"/>
    </row>
    <row r="1817" customFormat="false" ht="18" hidden="false" customHeight="true" outlineLevel="0" collapsed="false">
      <c r="A1817" s="107" t="str">
        <f aca="false">IF($E1817="","",ROW()-3)</f>
        <v/>
      </c>
      <c r="B1817" s="110" t="str">
        <f aca="false">IF($E1817="","",INDEX(资金日记账!$B$4:$B$603,454))</f>
        <v/>
      </c>
      <c r="C1817" s="67" t="str">
        <f aca="false">IF($E1817="","",IF(INDEX(资金日记账!$W$4:$W$603,454)="","记-"&amp;TEXT($B1817,"YYYYMM")&amp;"-资金",INDEX(资金日记账!$W$4:$W$603,454)))</f>
        <v/>
      </c>
      <c r="D1817" s="107" t="str">
        <f aca="false">IF($E1817="","",INDEX(资金日记账!$D$4:$D$603,454))</f>
        <v/>
      </c>
      <c r="E1817" s="67" t="str">
        <f aca="false">IF(INDEX(资金日记账!$N$4:$S$603,454,4)=0,"",INDEX(资金日记账!$N$4:$S$603,454,4))</f>
        <v/>
      </c>
      <c r="F1817" s="99" t="str">
        <f aca="false">IF($E1817="","",IFERROR(INDEX(科目表!$A$4:$A$81,MATCH($E1817,科目表!$B$4:$B$81,0)),""))</f>
        <v/>
      </c>
      <c r="G1817" s="67" t="str">
        <f aca="false">IF($E1817="","",IFERROR(INDEX(科目表!$E$4:$E$81,MATCH($E1817,科目表!$B$4:$B$81,0)),""))</f>
        <v/>
      </c>
      <c r="H1817" s="70" t="str">
        <f aca="false">IF($E1817="","",N(INDEX(资金日记账!$N$4:$S$603,454,5)))</f>
        <v/>
      </c>
      <c r="I1817" s="70" t="str">
        <f aca="false">IF($E1817="","",N(INDEX(资金日记账!$N$4:$S$603,454,6)))</f>
        <v/>
      </c>
      <c r="J1817" s="67" t="str">
        <f aca="false">IF($E1817="","",INDEX(资金日记账!$E$4:$E$603,454))</f>
        <v/>
      </c>
      <c r="K1817" s="67" t="str">
        <f aca="false">IF($E1817="","",INDEX(资金日记账!$F$4:$F$603,454))</f>
        <v/>
      </c>
      <c r="L1817" s="107" t="str">
        <f aca="false">IF($E1817="","",INDEX(资金日记账!$X$4:$X$603,454))</f>
        <v/>
      </c>
      <c r="M1817" s="107"/>
      <c r="N1817" s="67" t="str">
        <f aca="false">IF($E1817="","",INDEX(资金日记账!$Y$4:$Y$603,454))</f>
        <v/>
      </c>
      <c r="O1817" s="67" t="str">
        <f aca="false">IF($E1817="","","自动B")</f>
        <v/>
      </c>
      <c r="P1817" s="18"/>
    </row>
    <row r="1818" customFormat="false" ht="18" hidden="false" customHeight="true" outlineLevel="0" collapsed="false">
      <c r="A1818" s="107" t="str">
        <f aca="false">IF($E1818="","",ROW()-3)</f>
        <v/>
      </c>
      <c r="B1818" s="110" t="str">
        <f aca="false">IF($E1818="","",INDEX(资金日记账!$B$4:$B$603,455))</f>
        <v/>
      </c>
      <c r="C1818" s="67" t="str">
        <f aca="false">IF($E1818="","",IF(INDEX(资金日记账!$W$4:$W$603,455)="","记-"&amp;TEXT($B1818,"YYYYMM")&amp;"-资金",INDEX(资金日记账!$W$4:$W$603,455)))</f>
        <v/>
      </c>
      <c r="D1818" s="107" t="str">
        <f aca="false">IF($E1818="","",INDEX(资金日记账!$D$4:$D$603,455))</f>
        <v/>
      </c>
      <c r="E1818" s="67" t="str">
        <f aca="false">IF(INDEX(资金日记账!$N$4:$S$603,455,1)=0,"",INDEX(资金日记账!$N$4:$S$603,455,1))</f>
        <v/>
      </c>
      <c r="F1818" s="99" t="str">
        <f aca="false">IF($E1818="","",IFERROR(INDEX(科目表!$A$4:$A$81,MATCH($E1818,科目表!$B$4:$B$81,0)),""))</f>
        <v/>
      </c>
      <c r="G1818" s="67" t="str">
        <f aca="false">IF($E1818="","",IFERROR(INDEX(科目表!$E$4:$E$81,MATCH($E1818,科目表!$B$4:$B$81,0)),""))</f>
        <v/>
      </c>
      <c r="H1818" s="70" t="str">
        <f aca="false">IF($E1818="","",N(INDEX(资金日记账!$N$4:$S$603,455,2)))</f>
        <v/>
      </c>
      <c r="I1818" s="70" t="str">
        <f aca="false">IF($E1818="","",N(INDEX(资金日记账!$N$4:$S$603,455,3)))</f>
        <v/>
      </c>
      <c r="J1818" s="67" t="str">
        <f aca="false">IF($E1818="","",INDEX(资金日记账!$E$4:$E$603,455))</f>
        <v/>
      </c>
      <c r="K1818" s="67" t="str">
        <f aca="false">IF($E1818="","",INDEX(资金日记账!$F$4:$F$603,455))</f>
        <v/>
      </c>
      <c r="L1818" s="107" t="str">
        <f aca="false">IF($E1818="","",INDEX(资金日记账!$X$4:$X$603,455))</f>
        <v/>
      </c>
      <c r="M1818" s="107"/>
      <c r="N1818" s="67" t="str">
        <f aca="false">IF($E1818="","",INDEX(资金日记账!$Y$4:$Y$603,455))</f>
        <v/>
      </c>
      <c r="O1818" s="67" t="str">
        <f aca="false">IF($E1818="","","自动B")</f>
        <v/>
      </c>
      <c r="P1818" s="18"/>
    </row>
    <row r="1819" customFormat="false" ht="18" hidden="false" customHeight="true" outlineLevel="0" collapsed="false">
      <c r="A1819" s="107" t="str">
        <f aca="false">IF($E1819="","",ROW()-3)</f>
        <v/>
      </c>
      <c r="B1819" s="110" t="str">
        <f aca="false">IF($E1819="","",INDEX(资金日记账!$B$4:$B$603,455))</f>
        <v/>
      </c>
      <c r="C1819" s="67" t="str">
        <f aca="false">IF($E1819="","",IF(INDEX(资金日记账!$W$4:$W$603,455)="","记-"&amp;TEXT($B1819,"YYYYMM")&amp;"-资金",INDEX(资金日记账!$W$4:$W$603,455)))</f>
        <v/>
      </c>
      <c r="D1819" s="107" t="str">
        <f aca="false">IF($E1819="","",INDEX(资金日记账!$D$4:$D$603,455))</f>
        <v/>
      </c>
      <c r="E1819" s="67" t="str">
        <f aca="false">IF(INDEX(资金日记账!$N$4:$S$603,455,4)=0,"",INDEX(资金日记账!$N$4:$S$603,455,4))</f>
        <v/>
      </c>
      <c r="F1819" s="99" t="str">
        <f aca="false">IF($E1819="","",IFERROR(INDEX(科目表!$A$4:$A$81,MATCH($E1819,科目表!$B$4:$B$81,0)),""))</f>
        <v/>
      </c>
      <c r="G1819" s="67" t="str">
        <f aca="false">IF($E1819="","",IFERROR(INDEX(科目表!$E$4:$E$81,MATCH($E1819,科目表!$B$4:$B$81,0)),""))</f>
        <v/>
      </c>
      <c r="H1819" s="70" t="str">
        <f aca="false">IF($E1819="","",N(INDEX(资金日记账!$N$4:$S$603,455,5)))</f>
        <v/>
      </c>
      <c r="I1819" s="70" t="str">
        <f aca="false">IF($E1819="","",N(INDEX(资金日记账!$N$4:$S$603,455,6)))</f>
        <v/>
      </c>
      <c r="J1819" s="67" t="str">
        <f aca="false">IF($E1819="","",INDEX(资金日记账!$E$4:$E$603,455))</f>
        <v/>
      </c>
      <c r="K1819" s="67" t="str">
        <f aca="false">IF($E1819="","",INDEX(资金日记账!$F$4:$F$603,455))</f>
        <v/>
      </c>
      <c r="L1819" s="107" t="str">
        <f aca="false">IF($E1819="","",INDEX(资金日记账!$X$4:$X$603,455))</f>
        <v/>
      </c>
      <c r="M1819" s="107"/>
      <c r="N1819" s="67" t="str">
        <f aca="false">IF($E1819="","",INDEX(资金日记账!$Y$4:$Y$603,455))</f>
        <v/>
      </c>
      <c r="O1819" s="67" t="str">
        <f aca="false">IF($E1819="","","自动B")</f>
        <v/>
      </c>
      <c r="P1819" s="18"/>
    </row>
    <row r="1820" customFormat="false" ht="18" hidden="false" customHeight="true" outlineLevel="0" collapsed="false">
      <c r="A1820" s="107" t="str">
        <f aca="false">IF($E1820="","",ROW()-3)</f>
        <v/>
      </c>
      <c r="B1820" s="110" t="str">
        <f aca="false">IF($E1820="","",INDEX(资金日记账!$B$4:$B$603,456))</f>
        <v/>
      </c>
      <c r="C1820" s="67" t="str">
        <f aca="false">IF($E1820="","",IF(INDEX(资金日记账!$W$4:$W$603,456)="","记-"&amp;TEXT($B1820,"YYYYMM")&amp;"-资金",INDEX(资金日记账!$W$4:$W$603,456)))</f>
        <v/>
      </c>
      <c r="D1820" s="107" t="str">
        <f aca="false">IF($E1820="","",INDEX(资金日记账!$D$4:$D$603,456))</f>
        <v/>
      </c>
      <c r="E1820" s="67" t="str">
        <f aca="false">IF(INDEX(资金日记账!$N$4:$S$603,456,1)=0,"",INDEX(资金日记账!$N$4:$S$603,456,1))</f>
        <v/>
      </c>
      <c r="F1820" s="99" t="str">
        <f aca="false">IF($E1820="","",IFERROR(INDEX(科目表!$A$4:$A$81,MATCH($E1820,科目表!$B$4:$B$81,0)),""))</f>
        <v/>
      </c>
      <c r="G1820" s="67" t="str">
        <f aca="false">IF($E1820="","",IFERROR(INDEX(科目表!$E$4:$E$81,MATCH($E1820,科目表!$B$4:$B$81,0)),""))</f>
        <v/>
      </c>
      <c r="H1820" s="70" t="str">
        <f aca="false">IF($E1820="","",N(INDEX(资金日记账!$N$4:$S$603,456,2)))</f>
        <v/>
      </c>
      <c r="I1820" s="70" t="str">
        <f aca="false">IF($E1820="","",N(INDEX(资金日记账!$N$4:$S$603,456,3)))</f>
        <v/>
      </c>
      <c r="J1820" s="67" t="str">
        <f aca="false">IF($E1820="","",INDEX(资金日记账!$E$4:$E$603,456))</f>
        <v/>
      </c>
      <c r="K1820" s="67" t="str">
        <f aca="false">IF($E1820="","",INDEX(资金日记账!$F$4:$F$603,456))</f>
        <v/>
      </c>
      <c r="L1820" s="107" t="str">
        <f aca="false">IF($E1820="","",INDEX(资金日记账!$X$4:$X$603,456))</f>
        <v/>
      </c>
      <c r="M1820" s="107"/>
      <c r="N1820" s="67" t="str">
        <f aca="false">IF($E1820="","",INDEX(资金日记账!$Y$4:$Y$603,456))</f>
        <v/>
      </c>
      <c r="O1820" s="67" t="str">
        <f aca="false">IF($E1820="","","自动B")</f>
        <v/>
      </c>
      <c r="P1820" s="18"/>
    </row>
    <row r="1821" customFormat="false" ht="18" hidden="false" customHeight="true" outlineLevel="0" collapsed="false">
      <c r="A1821" s="107" t="str">
        <f aca="false">IF($E1821="","",ROW()-3)</f>
        <v/>
      </c>
      <c r="B1821" s="110" t="str">
        <f aca="false">IF($E1821="","",INDEX(资金日记账!$B$4:$B$603,456))</f>
        <v/>
      </c>
      <c r="C1821" s="67" t="str">
        <f aca="false">IF($E1821="","",IF(INDEX(资金日记账!$W$4:$W$603,456)="","记-"&amp;TEXT($B1821,"YYYYMM")&amp;"-资金",INDEX(资金日记账!$W$4:$W$603,456)))</f>
        <v/>
      </c>
      <c r="D1821" s="107" t="str">
        <f aca="false">IF($E1821="","",INDEX(资金日记账!$D$4:$D$603,456))</f>
        <v/>
      </c>
      <c r="E1821" s="67" t="str">
        <f aca="false">IF(INDEX(资金日记账!$N$4:$S$603,456,4)=0,"",INDEX(资金日记账!$N$4:$S$603,456,4))</f>
        <v/>
      </c>
      <c r="F1821" s="99" t="str">
        <f aca="false">IF($E1821="","",IFERROR(INDEX(科目表!$A$4:$A$81,MATCH($E1821,科目表!$B$4:$B$81,0)),""))</f>
        <v/>
      </c>
      <c r="G1821" s="67" t="str">
        <f aca="false">IF($E1821="","",IFERROR(INDEX(科目表!$E$4:$E$81,MATCH($E1821,科目表!$B$4:$B$81,0)),""))</f>
        <v/>
      </c>
      <c r="H1821" s="70" t="str">
        <f aca="false">IF($E1821="","",N(INDEX(资金日记账!$N$4:$S$603,456,5)))</f>
        <v/>
      </c>
      <c r="I1821" s="70" t="str">
        <f aca="false">IF($E1821="","",N(INDEX(资金日记账!$N$4:$S$603,456,6)))</f>
        <v/>
      </c>
      <c r="J1821" s="67" t="str">
        <f aca="false">IF($E1821="","",INDEX(资金日记账!$E$4:$E$603,456))</f>
        <v/>
      </c>
      <c r="K1821" s="67" t="str">
        <f aca="false">IF($E1821="","",INDEX(资金日记账!$F$4:$F$603,456))</f>
        <v/>
      </c>
      <c r="L1821" s="107" t="str">
        <f aca="false">IF($E1821="","",INDEX(资金日记账!$X$4:$X$603,456))</f>
        <v/>
      </c>
      <c r="M1821" s="107"/>
      <c r="N1821" s="67" t="str">
        <f aca="false">IF($E1821="","",INDEX(资金日记账!$Y$4:$Y$603,456))</f>
        <v/>
      </c>
      <c r="O1821" s="67" t="str">
        <f aca="false">IF($E1821="","","自动B")</f>
        <v/>
      </c>
      <c r="P1821" s="18"/>
    </row>
    <row r="1822" customFormat="false" ht="18" hidden="false" customHeight="true" outlineLevel="0" collapsed="false">
      <c r="A1822" s="107" t="str">
        <f aca="false">IF($E1822="","",ROW()-3)</f>
        <v/>
      </c>
      <c r="B1822" s="110" t="str">
        <f aca="false">IF($E1822="","",INDEX(资金日记账!$B$4:$B$603,457))</f>
        <v/>
      </c>
      <c r="C1822" s="67" t="str">
        <f aca="false">IF($E1822="","",IF(INDEX(资金日记账!$W$4:$W$603,457)="","记-"&amp;TEXT($B1822,"YYYYMM")&amp;"-资金",INDEX(资金日记账!$W$4:$W$603,457)))</f>
        <v/>
      </c>
      <c r="D1822" s="107" t="str">
        <f aca="false">IF($E1822="","",INDEX(资金日记账!$D$4:$D$603,457))</f>
        <v/>
      </c>
      <c r="E1822" s="67" t="str">
        <f aca="false">IF(INDEX(资金日记账!$N$4:$S$603,457,1)=0,"",INDEX(资金日记账!$N$4:$S$603,457,1))</f>
        <v/>
      </c>
      <c r="F1822" s="99" t="str">
        <f aca="false">IF($E1822="","",IFERROR(INDEX(科目表!$A$4:$A$81,MATCH($E1822,科目表!$B$4:$B$81,0)),""))</f>
        <v/>
      </c>
      <c r="G1822" s="67" t="str">
        <f aca="false">IF($E1822="","",IFERROR(INDEX(科目表!$E$4:$E$81,MATCH($E1822,科目表!$B$4:$B$81,0)),""))</f>
        <v/>
      </c>
      <c r="H1822" s="70" t="str">
        <f aca="false">IF($E1822="","",N(INDEX(资金日记账!$N$4:$S$603,457,2)))</f>
        <v/>
      </c>
      <c r="I1822" s="70" t="str">
        <f aca="false">IF($E1822="","",N(INDEX(资金日记账!$N$4:$S$603,457,3)))</f>
        <v/>
      </c>
      <c r="J1822" s="67" t="str">
        <f aca="false">IF($E1822="","",INDEX(资金日记账!$E$4:$E$603,457))</f>
        <v/>
      </c>
      <c r="K1822" s="67" t="str">
        <f aca="false">IF($E1822="","",INDEX(资金日记账!$F$4:$F$603,457))</f>
        <v/>
      </c>
      <c r="L1822" s="107" t="str">
        <f aca="false">IF($E1822="","",INDEX(资金日记账!$X$4:$X$603,457))</f>
        <v/>
      </c>
      <c r="M1822" s="107"/>
      <c r="N1822" s="67" t="str">
        <f aca="false">IF($E1822="","",INDEX(资金日记账!$Y$4:$Y$603,457))</f>
        <v/>
      </c>
      <c r="O1822" s="67" t="str">
        <f aca="false">IF($E1822="","","自动B")</f>
        <v/>
      </c>
      <c r="P1822" s="18"/>
    </row>
    <row r="1823" customFormat="false" ht="18" hidden="false" customHeight="true" outlineLevel="0" collapsed="false">
      <c r="A1823" s="107" t="str">
        <f aca="false">IF($E1823="","",ROW()-3)</f>
        <v/>
      </c>
      <c r="B1823" s="110" t="str">
        <f aca="false">IF($E1823="","",INDEX(资金日记账!$B$4:$B$603,457))</f>
        <v/>
      </c>
      <c r="C1823" s="67" t="str">
        <f aca="false">IF($E1823="","",IF(INDEX(资金日记账!$W$4:$W$603,457)="","记-"&amp;TEXT($B1823,"YYYYMM")&amp;"-资金",INDEX(资金日记账!$W$4:$W$603,457)))</f>
        <v/>
      </c>
      <c r="D1823" s="107" t="str">
        <f aca="false">IF($E1823="","",INDEX(资金日记账!$D$4:$D$603,457))</f>
        <v/>
      </c>
      <c r="E1823" s="67" t="str">
        <f aca="false">IF(INDEX(资金日记账!$N$4:$S$603,457,4)=0,"",INDEX(资金日记账!$N$4:$S$603,457,4))</f>
        <v/>
      </c>
      <c r="F1823" s="99" t="str">
        <f aca="false">IF($E1823="","",IFERROR(INDEX(科目表!$A$4:$A$81,MATCH($E1823,科目表!$B$4:$B$81,0)),""))</f>
        <v/>
      </c>
      <c r="G1823" s="67" t="str">
        <f aca="false">IF($E1823="","",IFERROR(INDEX(科目表!$E$4:$E$81,MATCH($E1823,科目表!$B$4:$B$81,0)),""))</f>
        <v/>
      </c>
      <c r="H1823" s="70" t="str">
        <f aca="false">IF($E1823="","",N(INDEX(资金日记账!$N$4:$S$603,457,5)))</f>
        <v/>
      </c>
      <c r="I1823" s="70" t="str">
        <f aca="false">IF($E1823="","",N(INDEX(资金日记账!$N$4:$S$603,457,6)))</f>
        <v/>
      </c>
      <c r="J1823" s="67" t="str">
        <f aca="false">IF($E1823="","",INDEX(资金日记账!$E$4:$E$603,457))</f>
        <v/>
      </c>
      <c r="K1823" s="67" t="str">
        <f aca="false">IF($E1823="","",INDEX(资金日记账!$F$4:$F$603,457))</f>
        <v/>
      </c>
      <c r="L1823" s="107" t="str">
        <f aca="false">IF($E1823="","",INDEX(资金日记账!$X$4:$X$603,457))</f>
        <v/>
      </c>
      <c r="M1823" s="107"/>
      <c r="N1823" s="67" t="str">
        <f aca="false">IF($E1823="","",INDEX(资金日记账!$Y$4:$Y$603,457))</f>
        <v/>
      </c>
      <c r="O1823" s="67" t="str">
        <f aca="false">IF($E1823="","","自动B")</f>
        <v/>
      </c>
      <c r="P1823" s="18"/>
    </row>
    <row r="1824" customFormat="false" ht="18" hidden="false" customHeight="true" outlineLevel="0" collapsed="false">
      <c r="A1824" s="107" t="str">
        <f aca="false">IF($E1824="","",ROW()-3)</f>
        <v/>
      </c>
      <c r="B1824" s="110" t="str">
        <f aca="false">IF($E1824="","",INDEX(资金日记账!$B$4:$B$603,458))</f>
        <v/>
      </c>
      <c r="C1824" s="67" t="str">
        <f aca="false">IF($E1824="","",IF(INDEX(资金日记账!$W$4:$W$603,458)="","记-"&amp;TEXT($B1824,"YYYYMM")&amp;"-资金",INDEX(资金日记账!$W$4:$W$603,458)))</f>
        <v/>
      </c>
      <c r="D1824" s="107" t="str">
        <f aca="false">IF($E1824="","",INDEX(资金日记账!$D$4:$D$603,458))</f>
        <v/>
      </c>
      <c r="E1824" s="67" t="str">
        <f aca="false">IF(INDEX(资金日记账!$N$4:$S$603,458,1)=0,"",INDEX(资金日记账!$N$4:$S$603,458,1))</f>
        <v/>
      </c>
      <c r="F1824" s="99" t="str">
        <f aca="false">IF($E1824="","",IFERROR(INDEX(科目表!$A$4:$A$81,MATCH($E1824,科目表!$B$4:$B$81,0)),""))</f>
        <v/>
      </c>
      <c r="G1824" s="67" t="str">
        <f aca="false">IF($E1824="","",IFERROR(INDEX(科目表!$E$4:$E$81,MATCH($E1824,科目表!$B$4:$B$81,0)),""))</f>
        <v/>
      </c>
      <c r="H1824" s="70" t="str">
        <f aca="false">IF($E1824="","",N(INDEX(资金日记账!$N$4:$S$603,458,2)))</f>
        <v/>
      </c>
      <c r="I1824" s="70" t="str">
        <f aca="false">IF($E1824="","",N(INDEX(资金日记账!$N$4:$S$603,458,3)))</f>
        <v/>
      </c>
      <c r="J1824" s="67" t="str">
        <f aca="false">IF($E1824="","",INDEX(资金日记账!$E$4:$E$603,458))</f>
        <v/>
      </c>
      <c r="K1824" s="67" t="str">
        <f aca="false">IF($E1824="","",INDEX(资金日记账!$F$4:$F$603,458))</f>
        <v/>
      </c>
      <c r="L1824" s="107" t="str">
        <f aca="false">IF($E1824="","",INDEX(资金日记账!$X$4:$X$603,458))</f>
        <v/>
      </c>
      <c r="M1824" s="107"/>
      <c r="N1824" s="67" t="str">
        <f aca="false">IF($E1824="","",INDEX(资金日记账!$Y$4:$Y$603,458))</f>
        <v/>
      </c>
      <c r="O1824" s="67" t="str">
        <f aca="false">IF($E1824="","","自动B")</f>
        <v/>
      </c>
      <c r="P1824" s="18"/>
    </row>
    <row r="1825" customFormat="false" ht="18" hidden="false" customHeight="true" outlineLevel="0" collapsed="false">
      <c r="A1825" s="107" t="str">
        <f aca="false">IF($E1825="","",ROW()-3)</f>
        <v/>
      </c>
      <c r="B1825" s="110" t="str">
        <f aca="false">IF($E1825="","",INDEX(资金日记账!$B$4:$B$603,458))</f>
        <v/>
      </c>
      <c r="C1825" s="67" t="str">
        <f aca="false">IF($E1825="","",IF(INDEX(资金日记账!$W$4:$W$603,458)="","记-"&amp;TEXT($B1825,"YYYYMM")&amp;"-资金",INDEX(资金日记账!$W$4:$W$603,458)))</f>
        <v/>
      </c>
      <c r="D1825" s="107" t="str">
        <f aca="false">IF($E1825="","",INDEX(资金日记账!$D$4:$D$603,458))</f>
        <v/>
      </c>
      <c r="E1825" s="67" t="str">
        <f aca="false">IF(INDEX(资金日记账!$N$4:$S$603,458,4)=0,"",INDEX(资金日记账!$N$4:$S$603,458,4))</f>
        <v/>
      </c>
      <c r="F1825" s="99" t="str">
        <f aca="false">IF($E1825="","",IFERROR(INDEX(科目表!$A$4:$A$81,MATCH($E1825,科目表!$B$4:$B$81,0)),""))</f>
        <v/>
      </c>
      <c r="G1825" s="67" t="str">
        <f aca="false">IF($E1825="","",IFERROR(INDEX(科目表!$E$4:$E$81,MATCH($E1825,科目表!$B$4:$B$81,0)),""))</f>
        <v/>
      </c>
      <c r="H1825" s="70" t="str">
        <f aca="false">IF($E1825="","",N(INDEX(资金日记账!$N$4:$S$603,458,5)))</f>
        <v/>
      </c>
      <c r="I1825" s="70" t="str">
        <f aca="false">IF($E1825="","",N(INDEX(资金日记账!$N$4:$S$603,458,6)))</f>
        <v/>
      </c>
      <c r="J1825" s="67" t="str">
        <f aca="false">IF($E1825="","",INDEX(资金日记账!$E$4:$E$603,458))</f>
        <v/>
      </c>
      <c r="K1825" s="67" t="str">
        <f aca="false">IF($E1825="","",INDEX(资金日记账!$F$4:$F$603,458))</f>
        <v/>
      </c>
      <c r="L1825" s="107" t="str">
        <f aca="false">IF($E1825="","",INDEX(资金日记账!$X$4:$X$603,458))</f>
        <v/>
      </c>
      <c r="M1825" s="107"/>
      <c r="N1825" s="67" t="str">
        <f aca="false">IF($E1825="","",INDEX(资金日记账!$Y$4:$Y$603,458))</f>
        <v/>
      </c>
      <c r="O1825" s="67" t="str">
        <f aca="false">IF($E1825="","","自动B")</f>
        <v/>
      </c>
      <c r="P1825" s="18"/>
    </row>
    <row r="1826" customFormat="false" ht="18" hidden="false" customHeight="true" outlineLevel="0" collapsed="false">
      <c r="A1826" s="107" t="str">
        <f aca="false">IF($E1826="","",ROW()-3)</f>
        <v/>
      </c>
      <c r="B1826" s="110" t="str">
        <f aca="false">IF($E1826="","",INDEX(资金日记账!$B$4:$B$603,459))</f>
        <v/>
      </c>
      <c r="C1826" s="67" t="str">
        <f aca="false">IF($E1826="","",IF(INDEX(资金日记账!$W$4:$W$603,459)="","记-"&amp;TEXT($B1826,"YYYYMM")&amp;"-资金",INDEX(资金日记账!$W$4:$W$603,459)))</f>
        <v/>
      </c>
      <c r="D1826" s="107" t="str">
        <f aca="false">IF($E1826="","",INDEX(资金日记账!$D$4:$D$603,459))</f>
        <v/>
      </c>
      <c r="E1826" s="67" t="str">
        <f aca="false">IF(INDEX(资金日记账!$N$4:$S$603,459,1)=0,"",INDEX(资金日记账!$N$4:$S$603,459,1))</f>
        <v/>
      </c>
      <c r="F1826" s="99" t="str">
        <f aca="false">IF($E1826="","",IFERROR(INDEX(科目表!$A$4:$A$81,MATCH($E1826,科目表!$B$4:$B$81,0)),""))</f>
        <v/>
      </c>
      <c r="G1826" s="67" t="str">
        <f aca="false">IF($E1826="","",IFERROR(INDEX(科目表!$E$4:$E$81,MATCH($E1826,科目表!$B$4:$B$81,0)),""))</f>
        <v/>
      </c>
      <c r="H1826" s="70" t="str">
        <f aca="false">IF($E1826="","",N(INDEX(资金日记账!$N$4:$S$603,459,2)))</f>
        <v/>
      </c>
      <c r="I1826" s="70" t="str">
        <f aca="false">IF($E1826="","",N(INDEX(资金日记账!$N$4:$S$603,459,3)))</f>
        <v/>
      </c>
      <c r="J1826" s="67" t="str">
        <f aca="false">IF($E1826="","",INDEX(资金日记账!$E$4:$E$603,459))</f>
        <v/>
      </c>
      <c r="K1826" s="67" t="str">
        <f aca="false">IF($E1826="","",INDEX(资金日记账!$F$4:$F$603,459))</f>
        <v/>
      </c>
      <c r="L1826" s="107" t="str">
        <f aca="false">IF($E1826="","",INDEX(资金日记账!$X$4:$X$603,459))</f>
        <v/>
      </c>
      <c r="M1826" s="107"/>
      <c r="N1826" s="67" t="str">
        <f aca="false">IF($E1826="","",INDEX(资金日记账!$Y$4:$Y$603,459))</f>
        <v/>
      </c>
      <c r="O1826" s="67" t="str">
        <f aca="false">IF($E1826="","","自动B")</f>
        <v/>
      </c>
      <c r="P1826" s="18"/>
    </row>
    <row r="1827" customFormat="false" ht="18" hidden="false" customHeight="true" outlineLevel="0" collapsed="false">
      <c r="A1827" s="107" t="str">
        <f aca="false">IF($E1827="","",ROW()-3)</f>
        <v/>
      </c>
      <c r="B1827" s="110" t="str">
        <f aca="false">IF($E1827="","",INDEX(资金日记账!$B$4:$B$603,459))</f>
        <v/>
      </c>
      <c r="C1827" s="67" t="str">
        <f aca="false">IF($E1827="","",IF(INDEX(资金日记账!$W$4:$W$603,459)="","记-"&amp;TEXT($B1827,"YYYYMM")&amp;"-资金",INDEX(资金日记账!$W$4:$W$603,459)))</f>
        <v/>
      </c>
      <c r="D1827" s="107" t="str">
        <f aca="false">IF($E1827="","",INDEX(资金日记账!$D$4:$D$603,459))</f>
        <v/>
      </c>
      <c r="E1827" s="67" t="str">
        <f aca="false">IF(INDEX(资金日记账!$N$4:$S$603,459,4)=0,"",INDEX(资金日记账!$N$4:$S$603,459,4))</f>
        <v/>
      </c>
      <c r="F1827" s="99" t="str">
        <f aca="false">IF($E1827="","",IFERROR(INDEX(科目表!$A$4:$A$81,MATCH($E1827,科目表!$B$4:$B$81,0)),""))</f>
        <v/>
      </c>
      <c r="G1827" s="67" t="str">
        <f aca="false">IF($E1827="","",IFERROR(INDEX(科目表!$E$4:$E$81,MATCH($E1827,科目表!$B$4:$B$81,0)),""))</f>
        <v/>
      </c>
      <c r="H1827" s="70" t="str">
        <f aca="false">IF($E1827="","",N(INDEX(资金日记账!$N$4:$S$603,459,5)))</f>
        <v/>
      </c>
      <c r="I1827" s="70" t="str">
        <f aca="false">IF($E1827="","",N(INDEX(资金日记账!$N$4:$S$603,459,6)))</f>
        <v/>
      </c>
      <c r="J1827" s="67" t="str">
        <f aca="false">IF($E1827="","",INDEX(资金日记账!$E$4:$E$603,459))</f>
        <v/>
      </c>
      <c r="K1827" s="67" t="str">
        <f aca="false">IF($E1827="","",INDEX(资金日记账!$F$4:$F$603,459))</f>
        <v/>
      </c>
      <c r="L1827" s="107" t="str">
        <f aca="false">IF($E1827="","",INDEX(资金日记账!$X$4:$X$603,459))</f>
        <v/>
      </c>
      <c r="M1827" s="107"/>
      <c r="N1827" s="67" t="str">
        <f aca="false">IF($E1827="","",INDEX(资金日记账!$Y$4:$Y$603,459))</f>
        <v/>
      </c>
      <c r="O1827" s="67" t="str">
        <f aca="false">IF($E1827="","","自动B")</f>
        <v/>
      </c>
      <c r="P1827" s="18"/>
    </row>
    <row r="1828" customFormat="false" ht="18" hidden="false" customHeight="true" outlineLevel="0" collapsed="false">
      <c r="A1828" s="107" t="str">
        <f aca="false">IF($E1828="","",ROW()-3)</f>
        <v/>
      </c>
      <c r="B1828" s="110" t="str">
        <f aca="false">IF($E1828="","",INDEX(资金日记账!$B$4:$B$603,460))</f>
        <v/>
      </c>
      <c r="C1828" s="67" t="str">
        <f aca="false">IF($E1828="","",IF(INDEX(资金日记账!$W$4:$W$603,460)="","记-"&amp;TEXT($B1828,"YYYYMM")&amp;"-资金",INDEX(资金日记账!$W$4:$W$603,460)))</f>
        <v/>
      </c>
      <c r="D1828" s="107" t="str">
        <f aca="false">IF($E1828="","",INDEX(资金日记账!$D$4:$D$603,460))</f>
        <v/>
      </c>
      <c r="E1828" s="67" t="str">
        <f aca="false">IF(INDEX(资金日记账!$N$4:$S$603,460,1)=0,"",INDEX(资金日记账!$N$4:$S$603,460,1))</f>
        <v/>
      </c>
      <c r="F1828" s="99" t="str">
        <f aca="false">IF($E1828="","",IFERROR(INDEX(科目表!$A$4:$A$81,MATCH($E1828,科目表!$B$4:$B$81,0)),""))</f>
        <v/>
      </c>
      <c r="G1828" s="67" t="str">
        <f aca="false">IF($E1828="","",IFERROR(INDEX(科目表!$E$4:$E$81,MATCH($E1828,科目表!$B$4:$B$81,0)),""))</f>
        <v/>
      </c>
      <c r="H1828" s="70" t="str">
        <f aca="false">IF($E1828="","",N(INDEX(资金日记账!$N$4:$S$603,460,2)))</f>
        <v/>
      </c>
      <c r="I1828" s="70" t="str">
        <f aca="false">IF($E1828="","",N(INDEX(资金日记账!$N$4:$S$603,460,3)))</f>
        <v/>
      </c>
      <c r="J1828" s="67" t="str">
        <f aca="false">IF($E1828="","",INDEX(资金日记账!$E$4:$E$603,460))</f>
        <v/>
      </c>
      <c r="K1828" s="67" t="str">
        <f aca="false">IF($E1828="","",INDEX(资金日记账!$F$4:$F$603,460))</f>
        <v/>
      </c>
      <c r="L1828" s="107" t="str">
        <f aca="false">IF($E1828="","",INDEX(资金日记账!$X$4:$X$603,460))</f>
        <v/>
      </c>
      <c r="M1828" s="107"/>
      <c r="N1828" s="67" t="str">
        <f aca="false">IF($E1828="","",INDEX(资金日记账!$Y$4:$Y$603,460))</f>
        <v/>
      </c>
      <c r="O1828" s="67" t="str">
        <f aca="false">IF($E1828="","","自动B")</f>
        <v/>
      </c>
      <c r="P1828" s="18"/>
    </row>
    <row r="1829" customFormat="false" ht="18" hidden="false" customHeight="true" outlineLevel="0" collapsed="false">
      <c r="A1829" s="107" t="str">
        <f aca="false">IF($E1829="","",ROW()-3)</f>
        <v/>
      </c>
      <c r="B1829" s="110" t="str">
        <f aca="false">IF($E1829="","",INDEX(资金日记账!$B$4:$B$603,460))</f>
        <v/>
      </c>
      <c r="C1829" s="67" t="str">
        <f aca="false">IF($E1829="","",IF(INDEX(资金日记账!$W$4:$W$603,460)="","记-"&amp;TEXT($B1829,"YYYYMM")&amp;"-资金",INDEX(资金日记账!$W$4:$W$603,460)))</f>
        <v/>
      </c>
      <c r="D1829" s="107" t="str">
        <f aca="false">IF($E1829="","",INDEX(资金日记账!$D$4:$D$603,460))</f>
        <v/>
      </c>
      <c r="E1829" s="67" t="str">
        <f aca="false">IF(INDEX(资金日记账!$N$4:$S$603,460,4)=0,"",INDEX(资金日记账!$N$4:$S$603,460,4))</f>
        <v/>
      </c>
      <c r="F1829" s="99" t="str">
        <f aca="false">IF($E1829="","",IFERROR(INDEX(科目表!$A$4:$A$81,MATCH($E1829,科目表!$B$4:$B$81,0)),""))</f>
        <v/>
      </c>
      <c r="G1829" s="67" t="str">
        <f aca="false">IF($E1829="","",IFERROR(INDEX(科目表!$E$4:$E$81,MATCH($E1829,科目表!$B$4:$B$81,0)),""))</f>
        <v/>
      </c>
      <c r="H1829" s="70" t="str">
        <f aca="false">IF($E1829="","",N(INDEX(资金日记账!$N$4:$S$603,460,5)))</f>
        <v/>
      </c>
      <c r="I1829" s="70" t="str">
        <f aca="false">IF($E1829="","",N(INDEX(资金日记账!$N$4:$S$603,460,6)))</f>
        <v/>
      </c>
      <c r="J1829" s="67" t="str">
        <f aca="false">IF($E1829="","",INDEX(资金日记账!$E$4:$E$603,460))</f>
        <v/>
      </c>
      <c r="K1829" s="67" t="str">
        <f aca="false">IF($E1829="","",INDEX(资金日记账!$F$4:$F$603,460))</f>
        <v/>
      </c>
      <c r="L1829" s="107" t="str">
        <f aca="false">IF($E1829="","",INDEX(资金日记账!$X$4:$X$603,460))</f>
        <v/>
      </c>
      <c r="M1829" s="107"/>
      <c r="N1829" s="67" t="str">
        <f aca="false">IF($E1829="","",INDEX(资金日记账!$Y$4:$Y$603,460))</f>
        <v/>
      </c>
      <c r="O1829" s="67" t="str">
        <f aca="false">IF($E1829="","","自动B")</f>
        <v/>
      </c>
      <c r="P1829" s="18"/>
    </row>
    <row r="1830" customFormat="false" ht="18" hidden="false" customHeight="true" outlineLevel="0" collapsed="false">
      <c r="A1830" s="107" t="str">
        <f aca="false">IF($E1830="","",ROW()-3)</f>
        <v/>
      </c>
      <c r="B1830" s="110" t="str">
        <f aca="false">IF($E1830="","",INDEX(资金日记账!$B$4:$B$603,461))</f>
        <v/>
      </c>
      <c r="C1830" s="67" t="str">
        <f aca="false">IF($E1830="","",IF(INDEX(资金日记账!$W$4:$W$603,461)="","记-"&amp;TEXT($B1830,"YYYYMM")&amp;"-资金",INDEX(资金日记账!$W$4:$W$603,461)))</f>
        <v/>
      </c>
      <c r="D1830" s="107" t="str">
        <f aca="false">IF($E1830="","",INDEX(资金日记账!$D$4:$D$603,461))</f>
        <v/>
      </c>
      <c r="E1830" s="67" t="str">
        <f aca="false">IF(INDEX(资金日记账!$N$4:$S$603,461,1)=0,"",INDEX(资金日记账!$N$4:$S$603,461,1))</f>
        <v/>
      </c>
      <c r="F1830" s="99" t="str">
        <f aca="false">IF($E1830="","",IFERROR(INDEX(科目表!$A$4:$A$81,MATCH($E1830,科目表!$B$4:$B$81,0)),""))</f>
        <v/>
      </c>
      <c r="G1830" s="67" t="str">
        <f aca="false">IF($E1830="","",IFERROR(INDEX(科目表!$E$4:$E$81,MATCH($E1830,科目表!$B$4:$B$81,0)),""))</f>
        <v/>
      </c>
      <c r="H1830" s="70" t="str">
        <f aca="false">IF($E1830="","",N(INDEX(资金日记账!$N$4:$S$603,461,2)))</f>
        <v/>
      </c>
      <c r="I1830" s="70" t="str">
        <f aca="false">IF($E1830="","",N(INDEX(资金日记账!$N$4:$S$603,461,3)))</f>
        <v/>
      </c>
      <c r="J1830" s="67" t="str">
        <f aca="false">IF($E1830="","",INDEX(资金日记账!$E$4:$E$603,461))</f>
        <v/>
      </c>
      <c r="K1830" s="67" t="str">
        <f aca="false">IF($E1830="","",INDEX(资金日记账!$F$4:$F$603,461))</f>
        <v/>
      </c>
      <c r="L1830" s="107" t="str">
        <f aca="false">IF($E1830="","",INDEX(资金日记账!$X$4:$X$603,461))</f>
        <v/>
      </c>
      <c r="M1830" s="107"/>
      <c r="N1830" s="67" t="str">
        <f aca="false">IF($E1830="","",INDEX(资金日记账!$Y$4:$Y$603,461))</f>
        <v/>
      </c>
      <c r="O1830" s="67" t="str">
        <f aca="false">IF($E1830="","","自动B")</f>
        <v/>
      </c>
      <c r="P1830" s="18"/>
    </row>
    <row r="1831" customFormat="false" ht="18" hidden="false" customHeight="true" outlineLevel="0" collapsed="false">
      <c r="A1831" s="107" t="str">
        <f aca="false">IF($E1831="","",ROW()-3)</f>
        <v/>
      </c>
      <c r="B1831" s="110" t="str">
        <f aca="false">IF($E1831="","",INDEX(资金日记账!$B$4:$B$603,461))</f>
        <v/>
      </c>
      <c r="C1831" s="67" t="str">
        <f aca="false">IF($E1831="","",IF(INDEX(资金日记账!$W$4:$W$603,461)="","记-"&amp;TEXT($B1831,"YYYYMM")&amp;"-资金",INDEX(资金日记账!$W$4:$W$603,461)))</f>
        <v/>
      </c>
      <c r="D1831" s="107" t="str">
        <f aca="false">IF($E1831="","",INDEX(资金日记账!$D$4:$D$603,461))</f>
        <v/>
      </c>
      <c r="E1831" s="67" t="str">
        <f aca="false">IF(INDEX(资金日记账!$N$4:$S$603,461,4)=0,"",INDEX(资金日记账!$N$4:$S$603,461,4))</f>
        <v/>
      </c>
      <c r="F1831" s="99" t="str">
        <f aca="false">IF($E1831="","",IFERROR(INDEX(科目表!$A$4:$A$81,MATCH($E1831,科目表!$B$4:$B$81,0)),""))</f>
        <v/>
      </c>
      <c r="G1831" s="67" t="str">
        <f aca="false">IF($E1831="","",IFERROR(INDEX(科目表!$E$4:$E$81,MATCH($E1831,科目表!$B$4:$B$81,0)),""))</f>
        <v/>
      </c>
      <c r="H1831" s="70" t="str">
        <f aca="false">IF($E1831="","",N(INDEX(资金日记账!$N$4:$S$603,461,5)))</f>
        <v/>
      </c>
      <c r="I1831" s="70" t="str">
        <f aca="false">IF($E1831="","",N(INDEX(资金日记账!$N$4:$S$603,461,6)))</f>
        <v/>
      </c>
      <c r="J1831" s="67" t="str">
        <f aca="false">IF($E1831="","",INDEX(资金日记账!$E$4:$E$603,461))</f>
        <v/>
      </c>
      <c r="K1831" s="67" t="str">
        <f aca="false">IF($E1831="","",INDEX(资金日记账!$F$4:$F$603,461))</f>
        <v/>
      </c>
      <c r="L1831" s="107" t="str">
        <f aca="false">IF($E1831="","",INDEX(资金日记账!$X$4:$X$603,461))</f>
        <v/>
      </c>
      <c r="M1831" s="107"/>
      <c r="N1831" s="67" t="str">
        <f aca="false">IF($E1831="","",INDEX(资金日记账!$Y$4:$Y$603,461))</f>
        <v/>
      </c>
      <c r="O1831" s="67" t="str">
        <f aca="false">IF($E1831="","","自动B")</f>
        <v/>
      </c>
      <c r="P1831" s="18"/>
    </row>
    <row r="1832" customFormat="false" ht="18" hidden="false" customHeight="true" outlineLevel="0" collapsed="false">
      <c r="A1832" s="107" t="str">
        <f aca="false">IF($E1832="","",ROW()-3)</f>
        <v/>
      </c>
      <c r="B1832" s="110" t="str">
        <f aca="false">IF($E1832="","",INDEX(资金日记账!$B$4:$B$603,462))</f>
        <v/>
      </c>
      <c r="C1832" s="67" t="str">
        <f aca="false">IF($E1832="","",IF(INDEX(资金日记账!$W$4:$W$603,462)="","记-"&amp;TEXT($B1832,"YYYYMM")&amp;"-资金",INDEX(资金日记账!$W$4:$W$603,462)))</f>
        <v/>
      </c>
      <c r="D1832" s="107" t="str">
        <f aca="false">IF($E1832="","",INDEX(资金日记账!$D$4:$D$603,462))</f>
        <v/>
      </c>
      <c r="E1832" s="67" t="str">
        <f aca="false">IF(INDEX(资金日记账!$N$4:$S$603,462,1)=0,"",INDEX(资金日记账!$N$4:$S$603,462,1))</f>
        <v/>
      </c>
      <c r="F1832" s="99" t="str">
        <f aca="false">IF($E1832="","",IFERROR(INDEX(科目表!$A$4:$A$81,MATCH($E1832,科目表!$B$4:$B$81,0)),""))</f>
        <v/>
      </c>
      <c r="G1832" s="67" t="str">
        <f aca="false">IF($E1832="","",IFERROR(INDEX(科目表!$E$4:$E$81,MATCH($E1832,科目表!$B$4:$B$81,0)),""))</f>
        <v/>
      </c>
      <c r="H1832" s="70" t="str">
        <f aca="false">IF($E1832="","",N(INDEX(资金日记账!$N$4:$S$603,462,2)))</f>
        <v/>
      </c>
      <c r="I1832" s="70" t="str">
        <f aca="false">IF($E1832="","",N(INDEX(资金日记账!$N$4:$S$603,462,3)))</f>
        <v/>
      </c>
      <c r="J1832" s="67" t="str">
        <f aca="false">IF($E1832="","",INDEX(资金日记账!$E$4:$E$603,462))</f>
        <v/>
      </c>
      <c r="K1832" s="67" t="str">
        <f aca="false">IF($E1832="","",INDEX(资金日记账!$F$4:$F$603,462))</f>
        <v/>
      </c>
      <c r="L1832" s="107" t="str">
        <f aca="false">IF($E1832="","",INDEX(资金日记账!$X$4:$X$603,462))</f>
        <v/>
      </c>
      <c r="M1832" s="107"/>
      <c r="N1832" s="67" t="str">
        <f aca="false">IF($E1832="","",INDEX(资金日记账!$Y$4:$Y$603,462))</f>
        <v/>
      </c>
      <c r="O1832" s="67" t="str">
        <f aca="false">IF($E1832="","","自动B")</f>
        <v/>
      </c>
      <c r="P1832" s="18"/>
    </row>
    <row r="1833" customFormat="false" ht="18" hidden="false" customHeight="true" outlineLevel="0" collapsed="false">
      <c r="A1833" s="107" t="str">
        <f aca="false">IF($E1833="","",ROW()-3)</f>
        <v/>
      </c>
      <c r="B1833" s="110" t="str">
        <f aca="false">IF($E1833="","",INDEX(资金日记账!$B$4:$B$603,462))</f>
        <v/>
      </c>
      <c r="C1833" s="67" t="str">
        <f aca="false">IF($E1833="","",IF(INDEX(资金日记账!$W$4:$W$603,462)="","记-"&amp;TEXT($B1833,"YYYYMM")&amp;"-资金",INDEX(资金日记账!$W$4:$W$603,462)))</f>
        <v/>
      </c>
      <c r="D1833" s="107" t="str">
        <f aca="false">IF($E1833="","",INDEX(资金日记账!$D$4:$D$603,462))</f>
        <v/>
      </c>
      <c r="E1833" s="67" t="str">
        <f aca="false">IF(INDEX(资金日记账!$N$4:$S$603,462,4)=0,"",INDEX(资金日记账!$N$4:$S$603,462,4))</f>
        <v/>
      </c>
      <c r="F1833" s="99" t="str">
        <f aca="false">IF($E1833="","",IFERROR(INDEX(科目表!$A$4:$A$81,MATCH($E1833,科目表!$B$4:$B$81,0)),""))</f>
        <v/>
      </c>
      <c r="G1833" s="67" t="str">
        <f aca="false">IF($E1833="","",IFERROR(INDEX(科目表!$E$4:$E$81,MATCH($E1833,科目表!$B$4:$B$81,0)),""))</f>
        <v/>
      </c>
      <c r="H1833" s="70" t="str">
        <f aca="false">IF($E1833="","",N(INDEX(资金日记账!$N$4:$S$603,462,5)))</f>
        <v/>
      </c>
      <c r="I1833" s="70" t="str">
        <f aca="false">IF($E1833="","",N(INDEX(资金日记账!$N$4:$S$603,462,6)))</f>
        <v/>
      </c>
      <c r="J1833" s="67" t="str">
        <f aca="false">IF($E1833="","",INDEX(资金日记账!$E$4:$E$603,462))</f>
        <v/>
      </c>
      <c r="K1833" s="67" t="str">
        <f aca="false">IF($E1833="","",INDEX(资金日记账!$F$4:$F$603,462))</f>
        <v/>
      </c>
      <c r="L1833" s="107" t="str">
        <f aca="false">IF($E1833="","",INDEX(资金日记账!$X$4:$X$603,462))</f>
        <v/>
      </c>
      <c r="M1833" s="107"/>
      <c r="N1833" s="67" t="str">
        <f aca="false">IF($E1833="","",INDEX(资金日记账!$Y$4:$Y$603,462))</f>
        <v/>
      </c>
      <c r="O1833" s="67" t="str">
        <f aca="false">IF($E1833="","","自动B")</f>
        <v/>
      </c>
      <c r="P1833" s="18"/>
    </row>
    <row r="1834" customFormat="false" ht="18" hidden="false" customHeight="true" outlineLevel="0" collapsed="false">
      <c r="A1834" s="107" t="str">
        <f aca="false">IF($E1834="","",ROW()-3)</f>
        <v/>
      </c>
      <c r="B1834" s="110" t="str">
        <f aca="false">IF($E1834="","",INDEX(资金日记账!$B$4:$B$603,463))</f>
        <v/>
      </c>
      <c r="C1834" s="67" t="str">
        <f aca="false">IF($E1834="","",IF(INDEX(资金日记账!$W$4:$W$603,463)="","记-"&amp;TEXT($B1834,"YYYYMM")&amp;"-资金",INDEX(资金日记账!$W$4:$W$603,463)))</f>
        <v/>
      </c>
      <c r="D1834" s="107" t="str">
        <f aca="false">IF($E1834="","",INDEX(资金日记账!$D$4:$D$603,463))</f>
        <v/>
      </c>
      <c r="E1834" s="67" t="str">
        <f aca="false">IF(INDEX(资金日记账!$N$4:$S$603,463,1)=0,"",INDEX(资金日记账!$N$4:$S$603,463,1))</f>
        <v/>
      </c>
      <c r="F1834" s="99" t="str">
        <f aca="false">IF($E1834="","",IFERROR(INDEX(科目表!$A$4:$A$81,MATCH($E1834,科目表!$B$4:$B$81,0)),""))</f>
        <v/>
      </c>
      <c r="G1834" s="67" t="str">
        <f aca="false">IF($E1834="","",IFERROR(INDEX(科目表!$E$4:$E$81,MATCH($E1834,科目表!$B$4:$B$81,0)),""))</f>
        <v/>
      </c>
      <c r="H1834" s="70" t="str">
        <f aca="false">IF($E1834="","",N(INDEX(资金日记账!$N$4:$S$603,463,2)))</f>
        <v/>
      </c>
      <c r="I1834" s="70" t="str">
        <f aca="false">IF($E1834="","",N(INDEX(资金日记账!$N$4:$S$603,463,3)))</f>
        <v/>
      </c>
      <c r="J1834" s="67" t="str">
        <f aca="false">IF($E1834="","",INDEX(资金日记账!$E$4:$E$603,463))</f>
        <v/>
      </c>
      <c r="K1834" s="67" t="str">
        <f aca="false">IF($E1834="","",INDEX(资金日记账!$F$4:$F$603,463))</f>
        <v/>
      </c>
      <c r="L1834" s="107" t="str">
        <f aca="false">IF($E1834="","",INDEX(资金日记账!$X$4:$X$603,463))</f>
        <v/>
      </c>
      <c r="M1834" s="107"/>
      <c r="N1834" s="67" t="str">
        <f aca="false">IF($E1834="","",INDEX(资金日记账!$Y$4:$Y$603,463))</f>
        <v/>
      </c>
      <c r="O1834" s="67" t="str">
        <f aca="false">IF($E1834="","","自动B")</f>
        <v/>
      </c>
      <c r="P1834" s="18"/>
    </row>
    <row r="1835" customFormat="false" ht="18" hidden="false" customHeight="true" outlineLevel="0" collapsed="false">
      <c r="A1835" s="107" t="str">
        <f aca="false">IF($E1835="","",ROW()-3)</f>
        <v/>
      </c>
      <c r="B1835" s="110" t="str">
        <f aca="false">IF($E1835="","",INDEX(资金日记账!$B$4:$B$603,463))</f>
        <v/>
      </c>
      <c r="C1835" s="67" t="str">
        <f aca="false">IF($E1835="","",IF(INDEX(资金日记账!$W$4:$W$603,463)="","记-"&amp;TEXT($B1835,"YYYYMM")&amp;"-资金",INDEX(资金日记账!$W$4:$W$603,463)))</f>
        <v/>
      </c>
      <c r="D1835" s="107" t="str">
        <f aca="false">IF($E1835="","",INDEX(资金日记账!$D$4:$D$603,463))</f>
        <v/>
      </c>
      <c r="E1835" s="67" t="str">
        <f aca="false">IF(INDEX(资金日记账!$N$4:$S$603,463,4)=0,"",INDEX(资金日记账!$N$4:$S$603,463,4))</f>
        <v/>
      </c>
      <c r="F1835" s="99" t="str">
        <f aca="false">IF($E1835="","",IFERROR(INDEX(科目表!$A$4:$A$81,MATCH($E1835,科目表!$B$4:$B$81,0)),""))</f>
        <v/>
      </c>
      <c r="G1835" s="67" t="str">
        <f aca="false">IF($E1835="","",IFERROR(INDEX(科目表!$E$4:$E$81,MATCH($E1835,科目表!$B$4:$B$81,0)),""))</f>
        <v/>
      </c>
      <c r="H1835" s="70" t="str">
        <f aca="false">IF($E1835="","",N(INDEX(资金日记账!$N$4:$S$603,463,5)))</f>
        <v/>
      </c>
      <c r="I1835" s="70" t="str">
        <f aca="false">IF($E1835="","",N(INDEX(资金日记账!$N$4:$S$603,463,6)))</f>
        <v/>
      </c>
      <c r="J1835" s="67" t="str">
        <f aca="false">IF($E1835="","",INDEX(资金日记账!$E$4:$E$603,463))</f>
        <v/>
      </c>
      <c r="K1835" s="67" t="str">
        <f aca="false">IF($E1835="","",INDEX(资金日记账!$F$4:$F$603,463))</f>
        <v/>
      </c>
      <c r="L1835" s="107" t="str">
        <f aca="false">IF($E1835="","",INDEX(资金日记账!$X$4:$X$603,463))</f>
        <v/>
      </c>
      <c r="M1835" s="107"/>
      <c r="N1835" s="67" t="str">
        <f aca="false">IF($E1835="","",INDEX(资金日记账!$Y$4:$Y$603,463))</f>
        <v/>
      </c>
      <c r="O1835" s="67" t="str">
        <f aca="false">IF($E1835="","","自动B")</f>
        <v/>
      </c>
      <c r="P1835" s="18"/>
    </row>
    <row r="1836" customFormat="false" ht="18" hidden="false" customHeight="true" outlineLevel="0" collapsed="false">
      <c r="A1836" s="107" t="str">
        <f aca="false">IF($E1836="","",ROW()-3)</f>
        <v/>
      </c>
      <c r="B1836" s="110" t="str">
        <f aca="false">IF($E1836="","",INDEX(资金日记账!$B$4:$B$603,464))</f>
        <v/>
      </c>
      <c r="C1836" s="67" t="str">
        <f aca="false">IF($E1836="","",IF(INDEX(资金日记账!$W$4:$W$603,464)="","记-"&amp;TEXT($B1836,"YYYYMM")&amp;"-资金",INDEX(资金日记账!$W$4:$W$603,464)))</f>
        <v/>
      </c>
      <c r="D1836" s="107" t="str">
        <f aca="false">IF($E1836="","",INDEX(资金日记账!$D$4:$D$603,464))</f>
        <v/>
      </c>
      <c r="E1836" s="67" t="str">
        <f aca="false">IF(INDEX(资金日记账!$N$4:$S$603,464,1)=0,"",INDEX(资金日记账!$N$4:$S$603,464,1))</f>
        <v/>
      </c>
      <c r="F1836" s="99" t="str">
        <f aca="false">IF($E1836="","",IFERROR(INDEX(科目表!$A$4:$A$81,MATCH($E1836,科目表!$B$4:$B$81,0)),""))</f>
        <v/>
      </c>
      <c r="G1836" s="67" t="str">
        <f aca="false">IF($E1836="","",IFERROR(INDEX(科目表!$E$4:$E$81,MATCH($E1836,科目表!$B$4:$B$81,0)),""))</f>
        <v/>
      </c>
      <c r="H1836" s="70" t="str">
        <f aca="false">IF($E1836="","",N(INDEX(资金日记账!$N$4:$S$603,464,2)))</f>
        <v/>
      </c>
      <c r="I1836" s="70" t="str">
        <f aca="false">IF($E1836="","",N(INDEX(资金日记账!$N$4:$S$603,464,3)))</f>
        <v/>
      </c>
      <c r="J1836" s="67" t="str">
        <f aca="false">IF($E1836="","",INDEX(资金日记账!$E$4:$E$603,464))</f>
        <v/>
      </c>
      <c r="K1836" s="67" t="str">
        <f aca="false">IF($E1836="","",INDEX(资金日记账!$F$4:$F$603,464))</f>
        <v/>
      </c>
      <c r="L1836" s="107" t="str">
        <f aca="false">IF($E1836="","",INDEX(资金日记账!$X$4:$X$603,464))</f>
        <v/>
      </c>
      <c r="M1836" s="107"/>
      <c r="N1836" s="67" t="str">
        <f aca="false">IF($E1836="","",INDEX(资金日记账!$Y$4:$Y$603,464))</f>
        <v/>
      </c>
      <c r="O1836" s="67" t="str">
        <f aca="false">IF($E1836="","","自动B")</f>
        <v/>
      </c>
      <c r="P1836" s="18"/>
    </row>
    <row r="1837" customFormat="false" ht="18" hidden="false" customHeight="true" outlineLevel="0" collapsed="false">
      <c r="A1837" s="107" t="str">
        <f aca="false">IF($E1837="","",ROW()-3)</f>
        <v/>
      </c>
      <c r="B1837" s="110" t="str">
        <f aca="false">IF($E1837="","",INDEX(资金日记账!$B$4:$B$603,464))</f>
        <v/>
      </c>
      <c r="C1837" s="67" t="str">
        <f aca="false">IF($E1837="","",IF(INDEX(资金日记账!$W$4:$W$603,464)="","记-"&amp;TEXT($B1837,"YYYYMM")&amp;"-资金",INDEX(资金日记账!$W$4:$W$603,464)))</f>
        <v/>
      </c>
      <c r="D1837" s="107" t="str">
        <f aca="false">IF($E1837="","",INDEX(资金日记账!$D$4:$D$603,464))</f>
        <v/>
      </c>
      <c r="E1837" s="67" t="str">
        <f aca="false">IF(INDEX(资金日记账!$N$4:$S$603,464,4)=0,"",INDEX(资金日记账!$N$4:$S$603,464,4))</f>
        <v/>
      </c>
      <c r="F1837" s="99" t="str">
        <f aca="false">IF($E1837="","",IFERROR(INDEX(科目表!$A$4:$A$81,MATCH($E1837,科目表!$B$4:$B$81,0)),""))</f>
        <v/>
      </c>
      <c r="G1837" s="67" t="str">
        <f aca="false">IF($E1837="","",IFERROR(INDEX(科目表!$E$4:$E$81,MATCH($E1837,科目表!$B$4:$B$81,0)),""))</f>
        <v/>
      </c>
      <c r="H1837" s="70" t="str">
        <f aca="false">IF($E1837="","",N(INDEX(资金日记账!$N$4:$S$603,464,5)))</f>
        <v/>
      </c>
      <c r="I1837" s="70" t="str">
        <f aca="false">IF($E1837="","",N(INDEX(资金日记账!$N$4:$S$603,464,6)))</f>
        <v/>
      </c>
      <c r="J1837" s="67" t="str">
        <f aca="false">IF($E1837="","",INDEX(资金日记账!$E$4:$E$603,464))</f>
        <v/>
      </c>
      <c r="K1837" s="67" t="str">
        <f aca="false">IF($E1837="","",INDEX(资金日记账!$F$4:$F$603,464))</f>
        <v/>
      </c>
      <c r="L1837" s="107" t="str">
        <f aca="false">IF($E1837="","",INDEX(资金日记账!$X$4:$X$603,464))</f>
        <v/>
      </c>
      <c r="M1837" s="107"/>
      <c r="N1837" s="67" t="str">
        <f aca="false">IF($E1837="","",INDEX(资金日记账!$Y$4:$Y$603,464))</f>
        <v/>
      </c>
      <c r="O1837" s="67" t="str">
        <f aca="false">IF($E1837="","","自动B")</f>
        <v/>
      </c>
      <c r="P1837" s="18"/>
    </row>
    <row r="1838" customFormat="false" ht="18" hidden="false" customHeight="true" outlineLevel="0" collapsed="false">
      <c r="A1838" s="107" t="str">
        <f aca="false">IF($E1838="","",ROW()-3)</f>
        <v/>
      </c>
      <c r="B1838" s="110" t="str">
        <f aca="false">IF($E1838="","",INDEX(资金日记账!$B$4:$B$603,465))</f>
        <v/>
      </c>
      <c r="C1838" s="67" t="str">
        <f aca="false">IF($E1838="","",IF(INDEX(资金日记账!$W$4:$W$603,465)="","记-"&amp;TEXT($B1838,"YYYYMM")&amp;"-资金",INDEX(资金日记账!$W$4:$W$603,465)))</f>
        <v/>
      </c>
      <c r="D1838" s="107" t="str">
        <f aca="false">IF($E1838="","",INDEX(资金日记账!$D$4:$D$603,465))</f>
        <v/>
      </c>
      <c r="E1838" s="67" t="str">
        <f aca="false">IF(INDEX(资金日记账!$N$4:$S$603,465,1)=0,"",INDEX(资金日记账!$N$4:$S$603,465,1))</f>
        <v/>
      </c>
      <c r="F1838" s="99" t="str">
        <f aca="false">IF($E1838="","",IFERROR(INDEX(科目表!$A$4:$A$81,MATCH($E1838,科目表!$B$4:$B$81,0)),""))</f>
        <v/>
      </c>
      <c r="G1838" s="67" t="str">
        <f aca="false">IF($E1838="","",IFERROR(INDEX(科目表!$E$4:$E$81,MATCH($E1838,科目表!$B$4:$B$81,0)),""))</f>
        <v/>
      </c>
      <c r="H1838" s="70" t="str">
        <f aca="false">IF($E1838="","",N(INDEX(资金日记账!$N$4:$S$603,465,2)))</f>
        <v/>
      </c>
      <c r="I1838" s="70" t="str">
        <f aca="false">IF($E1838="","",N(INDEX(资金日记账!$N$4:$S$603,465,3)))</f>
        <v/>
      </c>
      <c r="J1838" s="67" t="str">
        <f aca="false">IF($E1838="","",INDEX(资金日记账!$E$4:$E$603,465))</f>
        <v/>
      </c>
      <c r="K1838" s="67" t="str">
        <f aca="false">IF($E1838="","",INDEX(资金日记账!$F$4:$F$603,465))</f>
        <v/>
      </c>
      <c r="L1838" s="107" t="str">
        <f aca="false">IF($E1838="","",INDEX(资金日记账!$X$4:$X$603,465))</f>
        <v/>
      </c>
      <c r="M1838" s="107"/>
      <c r="N1838" s="67" t="str">
        <f aca="false">IF($E1838="","",INDEX(资金日记账!$Y$4:$Y$603,465))</f>
        <v/>
      </c>
      <c r="O1838" s="67" t="str">
        <f aca="false">IF($E1838="","","自动B")</f>
        <v/>
      </c>
      <c r="P1838" s="18"/>
    </row>
    <row r="1839" customFormat="false" ht="18" hidden="false" customHeight="true" outlineLevel="0" collapsed="false">
      <c r="A1839" s="107" t="str">
        <f aca="false">IF($E1839="","",ROW()-3)</f>
        <v/>
      </c>
      <c r="B1839" s="110" t="str">
        <f aca="false">IF($E1839="","",INDEX(资金日记账!$B$4:$B$603,465))</f>
        <v/>
      </c>
      <c r="C1839" s="67" t="str">
        <f aca="false">IF($E1839="","",IF(INDEX(资金日记账!$W$4:$W$603,465)="","记-"&amp;TEXT($B1839,"YYYYMM")&amp;"-资金",INDEX(资金日记账!$W$4:$W$603,465)))</f>
        <v/>
      </c>
      <c r="D1839" s="107" t="str">
        <f aca="false">IF($E1839="","",INDEX(资金日记账!$D$4:$D$603,465))</f>
        <v/>
      </c>
      <c r="E1839" s="67" t="str">
        <f aca="false">IF(INDEX(资金日记账!$N$4:$S$603,465,4)=0,"",INDEX(资金日记账!$N$4:$S$603,465,4))</f>
        <v/>
      </c>
      <c r="F1839" s="99" t="str">
        <f aca="false">IF($E1839="","",IFERROR(INDEX(科目表!$A$4:$A$81,MATCH($E1839,科目表!$B$4:$B$81,0)),""))</f>
        <v/>
      </c>
      <c r="G1839" s="67" t="str">
        <f aca="false">IF($E1839="","",IFERROR(INDEX(科目表!$E$4:$E$81,MATCH($E1839,科目表!$B$4:$B$81,0)),""))</f>
        <v/>
      </c>
      <c r="H1839" s="70" t="str">
        <f aca="false">IF($E1839="","",N(INDEX(资金日记账!$N$4:$S$603,465,5)))</f>
        <v/>
      </c>
      <c r="I1839" s="70" t="str">
        <f aca="false">IF($E1839="","",N(INDEX(资金日记账!$N$4:$S$603,465,6)))</f>
        <v/>
      </c>
      <c r="J1839" s="67" t="str">
        <f aca="false">IF($E1839="","",INDEX(资金日记账!$E$4:$E$603,465))</f>
        <v/>
      </c>
      <c r="K1839" s="67" t="str">
        <f aca="false">IF($E1839="","",INDEX(资金日记账!$F$4:$F$603,465))</f>
        <v/>
      </c>
      <c r="L1839" s="107" t="str">
        <f aca="false">IF($E1839="","",INDEX(资金日记账!$X$4:$X$603,465))</f>
        <v/>
      </c>
      <c r="M1839" s="107"/>
      <c r="N1839" s="67" t="str">
        <f aca="false">IF($E1839="","",INDEX(资金日记账!$Y$4:$Y$603,465))</f>
        <v/>
      </c>
      <c r="O1839" s="67" t="str">
        <f aca="false">IF($E1839="","","自动B")</f>
        <v/>
      </c>
      <c r="P1839" s="18"/>
    </row>
    <row r="1840" customFormat="false" ht="18" hidden="false" customHeight="true" outlineLevel="0" collapsed="false">
      <c r="A1840" s="107" t="str">
        <f aca="false">IF($E1840="","",ROW()-3)</f>
        <v/>
      </c>
      <c r="B1840" s="110" t="str">
        <f aca="false">IF($E1840="","",INDEX(资金日记账!$B$4:$B$603,466))</f>
        <v/>
      </c>
      <c r="C1840" s="67" t="str">
        <f aca="false">IF($E1840="","",IF(INDEX(资金日记账!$W$4:$W$603,466)="","记-"&amp;TEXT($B1840,"YYYYMM")&amp;"-资金",INDEX(资金日记账!$W$4:$W$603,466)))</f>
        <v/>
      </c>
      <c r="D1840" s="107" t="str">
        <f aca="false">IF($E1840="","",INDEX(资金日记账!$D$4:$D$603,466))</f>
        <v/>
      </c>
      <c r="E1840" s="67" t="str">
        <f aca="false">IF(INDEX(资金日记账!$N$4:$S$603,466,1)=0,"",INDEX(资金日记账!$N$4:$S$603,466,1))</f>
        <v/>
      </c>
      <c r="F1840" s="99" t="str">
        <f aca="false">IF($E1840="","",IFERROR(INDEX(科目表!$A$4:$A$81,MATCH($E1840,科目表!$B$4:$B$81,0)),""))</f>
        <v/>
      </c>
      <c r="G1840" s="67" t="str">
        <f aca="false">IF($E1840="","",IFERROR(INDEX(科目表!$E$4:$E$81,MATCH($E1840,科目表!$B$4:$B$81,0)),""))</f>
        <v/>
      </c>
      <c r="H1840" s="70" t="str">
        <f aca="false">IF($E1840="","",N(INDEX(资金日记账!$N$4:$S$603,466,2)))</f>
        <v/>
      </c>
      <c r="I1840" s="70" t="str">
        <f aca="false">IF($E1840="","",N(INDEX(资金日记账!$N$4:$S$603,466,3)))</f>
        <v/>
      </c>
      <c r="J1840" s="67" t="str">
        <f aca="false">IF($E1840="","",INDEX(资金日记账!$E$4:$E$603,466))</f>
        <v/>
      </c>
      <c r="K1840" s="67" t="str">
        <f aca="false">IF($E1840="","",INDEX(资金日记账!$F$4:$F$603,466))</f>
        <v/>
      </c>
      <c r="L1840" s="107" t="str">
        <f aca="false">IF($E1840="","",INDEX(资金日记账!$X$4:$X$603,466))</f>
        <v/>
      </c>
      <c r="M1840" s="107"/>
      <c r="N1840" s="67" t="str">
        <f aca="false">IF($E1840="","",INDEX(资金日记账!$Y$4:$Y$603,466))</f>
        <v/>
      </c>
      <c r="O1840" s="67" t="str">
        <f aca="false">IF($E1840="","","自动B")</f>
        <v/>
      </c>
      <c r="P1840" s="18"/>
    </row>
    <row r="1841" customFormat="false" ht="18" hidden="false" customHeight="true" outlineLevel="0" collapsed="false">
      <c r="A1841" s="107" t="str">
        <f aca="false">IF($E1841="","",ROW()-3)</f>
        <v/>
      </c>
      <c r="B1841" s="110" t="str">
        <f aca="false">IF($E1841="","",INDEX(资金日记账!$B$4:$B$603,466))</f>
        <v/>
      </c>
      <c r="C1841" s="67" t="str">
        <f aca="false">IF($E1841="","",IF(INDEX(资金日记账!$W$4:$W$603,466)="","记-"&amp;TEXT($B1841,"YYYYMM")&amp;"-资金",INDEX(资金日记账!$W$4:$W$603,466)))</f>
        <v/>
      </c>
      <c r="D1841" s="107" t="str">
        <f aca="false">IF($E1841="","",INDEX(资金日记账!$D$4:$D$603,466))</f>
        <v/>
      </c>
      <c r="E1841" s="67" t="str">
        <f aca="false">IF(INDEX(资金日记账!$N$4:$S$603,466,4)=0,"",INDEX(资金日记账!$N$4:$S$603,466,4))</f>
        <v/>
      </c>
      <c r="F1841" s="99" t="str">
        <f aca="false">IF($E1841="","",IFERROR(INDEX(科目表!$A$4:$A$81,MATCH($E1841,科目表!$B$4:$B$81,0)),""))</f>
        <v/>
      </c>
      <c r="G1841" s="67" t="str">
        <f aca="false">IF($E1841="","",IFERROR(INDEX(科目表!$E$4:$E$81,MATCH($E1841,科目表!$B$4:$B$81,0)),""))</f>
        <v/>
      </c>
      <c r="H1841" s="70" t="str">
        <f aca="false">IF($E1841="","",N(INDEX(资金日记账!$N$4:$S$603,466,5)))</f>
        <v/>
      </c>
      <c r="I1841" s="70" t="str">
        <f aca="false">IF($E1841="","",N(INDEX(资金日记账!$N$4:$S$603,466,6)))</f>
        <v/>
      </c>
      <c r="J1841" s="67" t="str">
        <f aca="false">IF($E1841="","",INDEX(资金日记账!$E$4:$E$603,466))</f>
        <v/>
      </c>
      <c r="K1841" s="67" t="str">
        <f aca="false">IF($E1841="","",INDEX(资金日记账!$F$4:$F$603,466))</f>
        <v/>
      </c>
      <c r="L1841" s="107" t="str">
        <f aca="false">IF($E1841="","",INDEX(资金日记账!$X$4:$X$603,466))</f>
        <v/>
      </c>
      <c r="M1841" s="107"/>
      <c r="N1841" s="67" t="str">
        <f aca="false">IF($E1841="","",INDEX(资金日记账!$Y$4:$Y$603,466))</f>
        <v/>
      </c>
      <c r="O1841" s="67" t="str">
        <f aca="false">IF($E1841="","","自动B")</f>
        <v/>
      </c>
      <c r="P1841" s="18"/>
    </row>
    <row r="1842" customFormat="false" ht="18" hidden="false" customHeight="true" outlineLevel="0" collapsed="false">
      <c r="A1842" s="107" t="str">
        <f aca="false">IF($E1842="","",ROW()-3)</f>
        <v/>
      </c>
      <c r="B1842" s="110" t="str">
        <f aca="false">IF($E1842="","",INDEX(资金日记账!$B$4:$B$603,467))</f>
        <v/>
      </c>
      <c r="C1842" s="67" t="str">
        <f aca="false">IF($E1842="","",IF(INDEX(资金日记账!$W$4:$W$603,467)="","记-"&amp;TEXT($B1842,"YYYYMM")&amp;"-资金",INDEX(资金日记账!$W$4:$W$603,467)))</f>
        <v/>
      </c>
      <c r="D1842" s="107" t="str">
        <f aca="false">IF($E1842="","",INDEX(资金日记账!$D$4:$D$603,467))</f>
        <v/>
      </c>
      <c r="E1842" s="67" t="str">
        <f aca="false">IF(INDEX(资金日记账!$N$4:$S$603,467,1)=0,"",INDEX(资金日记账!$N$4:$S$603,467,1))</f>
        <v/>
      </c>
      <c r="F1842" s="99" t="str">
        <f aca="false">IF($E1842="","",IFERROR(INDEX(科目表!$A$4:$A$81,MATCH($E1842,科目表!$B$4:$B$81,0)),""))</f>
        <v/>
      </c>
      <c r="G1842" s="67" t="str">
        <f aca="false">IF($E1842="","",IFERROR(INDEX(科目表!$E$4:$E$81,MATCH($E1842,科目表!$B$4:$B$81,0)),""))</f>
        <v/>
      </c>
      <c r="H1842" s="70" t="str">
        <f aca="false">IF($E1842="","",N(INDEX(资金日记账!$N$4:$S$603,467,2)))</f>
        <v/>
      </c>
      <c r="I1842" s="70" t="str">
        <f aca="false">IF($E1842="","",N(INDEX(资金日记账!$N$4:$S$603,467,3)))</f>
        <v/>
      </c>
      <c r="J1842" s="67" t="str">
        <f aca="false">IF($E1842="","",INDEX(资金日记账!$E$4:$E$603,467))</f>
        <v/>
      </c>
      <c r="K1842" s="67" t="str">
        <f aca="false">IF($E1842="","",INDEX(资金日记账!$F$4:$F$603,467))</f>
        <v/>
      </c>
      <c r="L1842" s="107" t="str">
        <f aca="false">IF($E1842="","",INDEX(资金日记账!$X$4:$X$603,467))</f>
        <v/>
      </c>
      <c r="M1842" s="107"/>
      <c r="N1842" s="67" t="str">
        <f aca="false">IF($E1842="","",INDEX(资金日记账!$Y$4:$Y$603,467))</f>
        <v/>
      </c>
      <c r="O1842" s="67" t="str">
        <f aca="false">IF($E1842="","","自动B")</f>
        <v/>
      </c>
      <c r="P1842" s="18"/>
    </row>
    <row r="1843" customFormat="false" ht="18" hidden="false" customHeight="true" outlineLevel="0" collapsed="false">
      <c r="A1843" s="107" t="str">
        <f aca="false">IF($E1843="","",ROW()-3)</f>
        <v/>
      </c>
      <c r="B1843" s="110" t="str">
        <f aca="false">IF($E1843="","",INDEX(资金日记账!$B$4:$B$603,467))</f>
        <v/>
      </c>
      <c r="C1843" s="67" t="str">
        <f aca="false">IF($E1843="","",IF(INDEX(资金日记账!$W$4:$W$603,467)="","记-"&amp;TEXT($B1843,"YYYYMM")&amp;"-资金",INDEX(资金日记账!$W$4:$W$603,467)))</f>
        <v/>
      </c>
      <c r="D1843" s="107" t="str">
        <f aca="false">IF($E1843="","",INDEX(资金日记账!$D$4:$D$603,467))</f>
        <v/>
      </c>
      <c r="E1843" s="67" t="str">
        <f aca="false">IF(INDEX(资金日记账!$N$4:$S$603,467,4)=0,"",INDEX(资金日记账!$N$4:$S$603,467,4))</f>
        <v/>
      </c>
      <c r="F1843" s="99" t="str">
        <f aca="false">IF($E1843="","",IFERROR(INDEX(科目表!$A$4:$A$81,MATCH($E1843,科目表!$B$4:$B$81,0)),""))</f>
        <v/>
      </c>
      <c r="G1843" s="67" t="str">
        <f aca="false">IF($E1843="","",IFERROR(INDEX(科目表!$E$4:$E$81,MATCH($E1843,科目表!$B$4:$B$81,0)),""))</f>
        <v/>
      </c>
      <c r="H1843" s="70" t="str">
        <f aca="false">IF($E1843="","",N(INDEX(资金日记账!$N$4:$S$603,467,5)))</f>
        <v/>
      </c>
      <c r="I1843" s="70" t="str">
        <f aca="false">IF($E1843="","",N(INDEX(资金日记账!$N$4:$S$603,467,6)))</f>
        <v/>
      </c>
      <c r="J1843" s="67" t="str">
        <f aca="false">IF($E1843="","",INDEX(资金日记账!$E$4:$E$603,467))</f>
        <v/>
      </c>
      <c r="K1843" s="67" t="str">
        <f aca="false">IF($E1843="","",INDEX(资金日记账!$F$4:$F$603,467))</f>
        <v/>
      </c>
      <c r="L1843" s="107" t="str">
        <f aca="false">IF($E1843="","",INDEX(资金日记账!$X$4:$X$603,467))</f>
        <v/>
      </c>
      <c r="M1843" s="107"/>
      <c r="N1843" s="67" t="str">
        <f aca="false">IF($E1843="","",INDEX(资金日记账!$Y$4:$Y$603,467))</f>
        <v/>
      </c>
      <c r="O1843" s="67" t="str">
        <f aca="false">IF($E1843="","","自动B")</f>
        <v/>
      </c>
      <c r="P1843" s="18"/>
    </row>
    <row r="1844" customFormat="false" ht="18" hidden="false" customHeight="true" outlineLevel="0" collapsed="false">
      <c r="A1844" s="107" t="str">
        <f aca="false">IF($E1844="","",ROW()-3)</f>
        <v/>
      </c>
      <c r="B1844" s="110" t="str">
        <f aca="false">IF($E1844="","",INDEX(资金日记账!$B$4:$B$603,468))</f>
        <v/>
      </c>
      <c r="C1844" s="67" t="str">
        <f aca="false">IF($E1844="","",IF(INDEX(资金日记账!$W$4:$W$603,468)="","记-"&amp;TEXT($B1844,"YYYYMM")&amp;"-资金",INDEX(资金日记账!$W$4:$W$603,468)))</f>
        <v/>
      </c>
      <c r="D1844" s="107" t="str">
        <f aca="false">IF($E1844="","",INDEX(资金日记账!$D$4:$D$603,468))</f>
        <v/>
      </c>
      <c r="E1844" s="67" t="str">
        <f aca="false">IF(INDEX(资金日记账!$N$4:$S$603,468,1)=0,"",INDEX(资金日记账!$N$4:$S$603,468,1))</f>
        <v/>
      </c>
      <c r="F1844" s="99" t="str">
        <f aca="false">IF($E1844="","",IFERROR(INDEX(科目表!$A$4:$A$81,MATCH($E1844,科目表!$B$4:$B$81,0)),""))</f>
        <v/>
      </c>
      <c r="G1844" s="67" t="str">
        <f aca="false">IF($E1844="","",IFERROR(INDEX(科目表!$E$4:$E$81,MATCH($E1844,科目表!$B$4:$B$81,0)),""))</f>
        <v/>
      </c>
      <c r="H1844" s="70" t="str">
        <f aca="false">IF($E1844="","",N(INDEX(资金日记账!$N$4:$S$603,468,2)))</f>
        <v/>
      </c>
      <c r="I1844" s="70" t="str">
        <f aca="false">IF($E1844="","",N(INDEX(资金日记账!$N$4:$S$603,468,3)))</f>
        <v/>
      </c>
      <c r="J1844" s="67" t="str">
        <f aca="false">IF($E1844="","",INDEX(资金日记账!$E$4:$E$603,468))</f>
        <v/>
      </c>
      <c r="K1844" s="67" t="str">
        <f aca="false">IF($E1844="","",INDEX(资金日记账!$F$4:$F$603,468))</f>
        <v/>
      </c>
      <c r="L1844" s="107" t="str">
        <f aca="false">IF($E1844="","",INDEX(资金日记账!$X$4:$X$603,468))</f>
        <v/>
      </c>
      <c r="M1844" s="107"/>
      <c r="N1844" s="67" t="str">
        <f aca="false">IF($E1844="","",INDEX(资金日记账!$Y$4:$Y$603,468))</f>
        <v/>
      </c>
      <c r="O1844" s="67" t="str">
        <f aca="false">IF($E1844="","","自动B")</f>
        <v/>
      </c>
      <c r="P1844" s="18"/>
    </row>
    <row r="1845" customFormat="false" ht="18" hidden="false" customHeight="true" outlineLevel="0" collapsed="false">
      <c r="A1845" s="107" t="str">
        <f aca="false">IF($E1845="","",ROW()-3)</f>
        <v/>
      </c>
      <c r="B1845" s="110" t="str">
        <f aca="false">IF($E1845="","",INDEX(资金日记账!$B$4:$B$603,468))</f>
        <v/>
      </c>
      <c r="C1845" s="67" t="str">
        <f aca="false">IF($E1845="","",IF(INDEX(资金日记账!$W$4:$W$603,468)="","记-"&amp;TEXT($B1845,"YYYYMM")&amp;"-资金",INDEX(资金日记账!$W$4:$W$603,468)))</f>
        <v/>
      </c>
      <c r="D1845" s="107" t="str">
        <f aca="false">IF($E1845="","",INDEX(资金日记账!$D$4:$D$603,468))</f>
        <v/>
      </c>
      <c r="E1845" s="67" t="str">
        <f aca="false">IF(INDEX(资金日记账!$N$4:$S$603,468,4)=0,"",INDEX(资金日记账!$N$4:$S$603,468,4))</f>
        <v/>
      </c>
      <c r="F1845" s="99" t="str">
        <f aca="false">IF($E1845="","",IFERROR(INDEX(科目表!$A$4:$A$81,MATCH($E1845,科目表!$B$4:$B$81,0)),""))</f>
        <v/>
      </c>
      <c r="G1845" s="67" t="str">
        <f aca="false">IF($E1845="","",IFERROR(INDEX(科目表!$E$4:$E$81,MATCH($E1845,科目表!$B$4:$B$81,0)),""))</f>
        <v/>
      </c>
      <c r="H1845" s="70" t="str">
        <f aca="false">IF($E1845="","",N(INDEX(资金日记账!$N$4:$S$603,468,5)))</f>
        <v/>
      </c>
      <c r="I1845" s="70" t="str">
        <f aca="false">IF($E1845="","",N(INDEX(资金日记账!$N$4:$S$603,468,6)))</f>
        <v/>
      </c>
      <c r="J1845" s="67" t="str">
        <f aca="false">IF($E1845="","",INDEX(资金日记账!$E$4:$E$603,468))</f>
        <v/>
      </c>
      <c r="K1845" s="67" t="str">
        <f aca="false">IF($E1845="","",INDEX(资金日记账!$F$4:$F$603,468))</f>
        <v/>
      </c>
      <c r="L1845" s="107" t="str">
        <f aca="false">IF($E1845="","",INDEX(资金日记账!$X$4:$X$603,468))</f>
        <v/>
      </c>
      <c r="M1845" s="107"/>
      <c r="N1845" s="67" t="str">
        <f aca="false">IF($E1845="","",INDEX(资金日记账!$Y$4:$Y$603,468))</f>
        <v/>
      </c>
      <c r="O1845" s="67" t="str">
        <f aca="false">IF($E1845="","","自动B")</f>
        <v/>
      </c>
      <c r="P1845" s="18"/>
    </row>
    <row r="1846" customFormat="false" ht="18" hidden="false" customHeight="true" outlineLevel="0" collapsed="false">
      <c r="A1846" s="107" t="str">
        <f aca="false">IF($E1846="","",ROW()-3)</f>
        <v/>
      </c>
      <c r="B1846" s="110" t="str">
        <f aca="false">IF($E1846="","",INDEX(资金日记账!$B$4:$B$603,469))</f>
        <v/>
      </c>
      <c r="C1846" s="67" t="str">
        <f aca="false">IF($E1846="","",IF(INDEX(资金日记账!$W$4:$W$603,469)="","记-"&amp;TEXT($B1846,"YYYYMM")&amp;"-资金",INDEX(资金日记账!$W$4:$W$603,469)))</f>
        <v/>
      </c>
      <c r="D1846" s="107" t="str">
        <f aca="false">IF($E1846="","",INDEX(资金日记账!$D$4:$D$603,469))</f>
        <v/>
      </c>
      <c r="E1846" s="67" t="str">
        <f aca="false">IF(INDEX(资金日记账!$N$4:$S$603,469,1)=0,"",INDEX(资金日记账!$N$4:$S$603,469,1))</f>
        <v/>
      </c>
      <c r="F1846" s="99" t="str">
        <f aca="false">IF($E1846="","",IFERROR(INDEX(科目表!$A$4:$A$81,MATCH($E1846,科目表!$B$4:$B$81,0)),""))</f>
        <v/>
      </c>
      <c r="G1846" s="67" t="str">
        <f aca="false">IF($E1846="","",IFERROR(INDEX(科目表!$E$4:$E$81,MATCH($E1846,科目表!$B$4:$B$81,0)),""))</f>
        <v/>
      </c>
      <c r="H1846" s="70" t="str">
        <f aca="false">IF($E1846="","",N(INDEX(资金日记账!$N$4:$S$603,469,2)))</f>
        <v/>
      </c>
      <c r="I1846" s="70" t="str">
        <f aca="false">IF($E1846="","",N(INDEX(资金日记账!$N$4:$S$603,469,3)))</f>
        <v/>
      </c>
      <c r="J1846" s="67" t="str">
        <f aca="false">IF($E1846="","",INDEX(资金日记账!$E$4:$E$603,469))</f>
        <v/>
      </c>
      <c r="K1846" s="67" t="str">
        <f aca="false">IF($E1846="","",INDEX(资金日记账!$F$4:$F$603,469))</f>
        <v/>
      </c>
      <c r="L1846" s="107" t="str">
        <f aca="false">IF($E1846="","",INDEX(资金日记账!$X$4:$X$603,469))</f>
        <v/>
      </c>
      <c r="M1846" s="107"/>
      <c r="N1846" s="67" t="str">
        <f aca="false">IF($E1846="","",INDEX(资金日记账!$Y$4:$Y$603,469))</f>
        <v/>
      </c>
      <c r="O1846" s="67" t="str">
        <f aca="false">IF($E1846="","","自动B")</f>
        <v/>
      </c>
      <c r="P1846" s="18"/>
    </row>
    <row r="1847" customFormat="false" ht="18" hidden="false" customHeight="true" outlineLevel="0" collapsed="false">
      <c r="A1847" s="107" t="str">
        <f aca="false">IF($E1847="","",ROW()-3)</f>
        <v/>
      </c>
      <c r="B1847" s="110" t="str">
        <f aca="false">IF($E1847="","",INDEX(资金日记账!$B$4:$B$603,469))</f>
        <v/>
      </c>
      <c r="C1847" s="67" t="str">
        <f aca="false">IF($E1847="","",IF(INDEX(资金日记账!$W$4:$W$603,469)="","记-"&amp;TEXT($B1847,"YYYYMM")&amp;"-资金",INDEX(资金日记账!$W$4:$W$603,469)))</f>
        <v/>
      </c>
      <c r="D1847" s="107" t="str">
        <f aca="false">IF($E1847="","",INDEX(资金日记账!$D$4:$D$603,469))</f>
        <v/>
      </c>
      <c r="E1847" s="67" t="str">
        <f aca="false">IF(INDEX(资金日记账!$N$4:$S$603,469,4)=0,"",INDEX(资金日记账!$N$4:$S$603,469,4))</f>
        <v/>
      </c>
      <c r="F1847" s="99" t="str">
        <f aca="false">IF($E1847="","",IFERROR(INDEX(科目表!$A$4:$A$81,MATCH($E1847,科目表!$B$4:$B$81,0)),""))</f>
        <v/>
      </c>
      <c r="G1847" s="67" t="str">
        <f aca="false">IF($E1847="","",IFERROR(INDEX(科目表!$E$4:$E$81,MATCH($E1847,科目表!$B$4:$B$81,0)),""))</f>
        <v/>
      </c>
      <c r="H1847" s="70" t="str">
        <f aca="false">IF($E1847="","",N(INDEX(资金日记账!$N$4:$S$603,469,5)))</f>
        <v/>
      </c>
      <c r="I1847" s="70" t="str">
        <f aca="false">IF($E1847="","",N(INDEX(资金日记账!$N$4:$S$603,469,6)))</f>
        <v/>
      </c>
      <c r="J1847" s="67" t="str">
        <f aca="false">IF($E1847="","",INDEX(资金日记账!$E$4:$E$603,469))</f>
        <v/>
      </c>
      <c r="K1847" s="67" t="str">
        <f aca="false">IF($E1847="","",INDEX(资金日记账!$F$4:$F$603,469))</f>
        <v/>
      </c>
      <c r="L1847" s="107" t="str">
        <f aca="false">IF($E1847="","",INDEX(资金日记账!$X$4:$X$603,469))</f>
        <v/>
      </c>
      <c r="M1847" s="107"/>
      <c r="N1847" s="67" t="str">
        <f aca="false">IF($E1847="","",INDEX(资金日记账!$Y$4:$Y$603,469))</f>
        <v/>
      </c>
      <c r="O1847" s="67" t="str">
        <f aca="false">IF($E1847="","","自动B")</f>
        <v/>
      </c>
      <c r="P1847" s="18"/>
    </row>
    <row r="1848" customFormat="false" ht="18" hidden="false" customHeight="true" outlineLevel="0" collapsed="false">
      <c r="A1848" s="107" t="str">
        <f aca="false">IF($E1848="","",ROW()-3)</f>
        <v/>
      </c>
      <c r="B1848" s="110" t="str">
        <f aca="false">IF($E1848="","",INDEX(资金日记账!$B$4:$B$603,470))</f>
        <v/>
      </c>
      <c r="C1848" s="67" t="str">
        <f aca="false">IF($E1848="","",IF(INDEX(资金日记账!$W$4:$W$603,470)="","记-"&amp;TEXT($B1848,"YYYYMM")&amp;"-资金",INDEX(资金日记账!$W$4:$W$603,470)))</f>
        <v/>
      </c>
      <c r="D1848" s="107" t="str">
        <f aca="false">IF($E1848="","",INDEX(资金日记账!$D$4:$D$603,470))</f>
        <v/>
      </c>
      <c r="E1848" s="67" t="str">
        <f aca="false">IF(INDEX(资金日记账!$N$4:$S$603,470,1)=0,"",INDEX(资金日记账!$N$4:$S$603,470,1))</f>
        <v/>
      </c>
      <c r="F1848" s="99" t="str">
        <f aca="false">IF($E1848="","",IFERROR(INDEX(科目表!$A$4:$A$81,MATCH($E1848,科目表!$B$4:$B$81,0)),""))</f>
        <v/>
      </c>
      <c r="G1848" s="67" t="str">
        <f aca="false">IF($E1848="","",IFERROR(INDEX(科目表!$E$4:$E$81,MATCH($E1848,科目表!$B$4:$B$81,0)),""))</f>
        <v/>
      </c>
      <c r="H1848" s="70" t="str">
        <f aca="false">IF($E1848="","",N(INDEX(资金日记账!$N$4:$S$603,470,2)))</f>
        <v/>
      </c>
      <c r="I1848" s="70" t="str">
        <f aca="false">IF($E1848="","",N(INDEX(资金日记账!$N$4:$S$603,470,3)))</f>
        <v/>
      </c>
      <c r="J1848" s="67" t="str">
        <f aca="false">IF($E1848="","",INDEX(资金日记账!$E$4:$E$603,470))</f>
        <v/>
      </c>
      <c r="K1848" s="67" t="str">
        <f aca="false">IF($E1848="","",INDEX(资金日记账!$F$4:$F$603,470))</f>
        <v/>
      </c>
      <c r="L1848" s="107" t="str">
        <f aca="false">IF($E1848="","",INDEX(资金日记账!$X$4:$X$603,470))</f>
        <v/>
      </c>
      <c r="M1848" s="107"/>
      <c r="N1848" s="67" t="str">
        <f aca="false">IF($E1848="","",INDEX(资金日记账!$Y$4:$Y$603,470))</f>
        <v/>
      </c>
      <c r="O1848" s="67" t="str">
        <f aca="false">IF($E1848="","","自动B")</f>
        <v/>
      </c>
      <c r="P1848" s="18"/>
    </row>
    <row r="1849" customFormat="false" ht="18" hidden="false" customHeight="true" outlineLevel="0" collapsed="false">
      <c r="A1849" s="107" t="str">
        <f aca="false">IF($E1849="","",ROW()-3)</f>
        <v/>
      </c>
      <c r="B1849" s="110" t="str">
        <f aca="false">IF($E1849="","",INDEX(资金日记账!$B$4:$B$603,470))</f>
        <v/>
      </c>
      <c r="C1849" s="67" t="str">
        <f aca="false">IF($E1849="","",IF(INDEX(资金日记账!$W$4:$W$603,470)="","记-"&amp;TEXT($B1849,"YYYYMM")&amp;"-资金",INDEX(资金日记账!$W$4:$W$603,470)))</f>
        <v/>
      </c>
      <c r="D1849" s="107" t="str">
        <f aca="false">IF($E1849="","",INDEX(资金日记账!$D$4:$D$603,470))</f>
        <v/>
      </c>
      <c r="E1849" s="67" t="str">
        <f aca="false">IF(INDEX(资金日记账!$N$4:$S$603,470,4)=0,"",INDEX(资金日记账!$N$4:$S$603,470,4))</f>
        <v/>
      </c>
      <c r="F1849" s="99" t="str">
        <f aca="false">IF($E1849="","",IFERROR(INDEX(科目表!$A$4:$A$81,MATCH($E1849,科目表!$B$4:$B$81,0)),""))</f>
        <v/>
      </c>
      <c r="G1849" s="67" t="str">
        <f aca="false">IF($E1849="","",IFERROR(INDEX(科目表!$E$4:$E$81,MATCH($E1849,科目表!$B$4:$B$81,0)),""))</f>
        <v/>
      </c>
      <c r="H1849" s="70" t="str">
        <f aca="false">IF($E1849="","",N(INDEX(资金日记账!$N$4:$S$603,470,5)))</f>
        <v/>
      </c>
      <c r="I1849" s="70" t="str">
        <f aca="false">IF($E1849="","",N(INDEX(资金日记账!$N$4:$S$603,470,6)))</f>
        <v/>
      </c>
      <c r="J1849" s="67" t="str">
        <f aca="false">IF($E1849="","",INDEX(资金日记账!$E$4:$E$603,470))</f>
        <v/>
      </c>
      <c r="K1849" s="67" t="str">
        <f aca="false">IF($E1849="","",INDEX(资金日记账!$F$4:$F$603,470))</f>
        <v/>
      </c>
      <c r="L1849" s="107" t="str">
        <f aca="false">IF($E1849="","",INDEX(资金日记账!$X$4:$X$603,470))</f>
        <v/>
      </c>
      <c r="M1849" s="107"/>
      <c r="N1849" s="67" t="str">
        <f aca="false">IF($E1849="","",INDEX(资金日记账!$Y$4:$Y$603,470))</f>
        <v/>
      </c>
      <c r="O1849" s="67" t="str">
        <f aca="false">IF($E1849="","","自动B")</f>
        <v/>
      </c>
      <c r="P1849" s="18"/>
    </row>
    <row r="1850" customFormat="false" ht="18" hidden="false" customHeight="true" outlineLevel="0" collapsed="false">
      <c r="A1850" s="107" t="str">
        <f aca="false">IF($E1850="","",ROW()-3)</f>
        <v/>
      </c>
      <c r="B1850" s="110" t="str">
        <f aca="false">IF($E1850="","",INDEX(资金日记账!$B$4:$B$603,471))</f>
        <v/>
      </c>
      <c r="C1850" s="67" t="str">
        <f aca="false">IF($E1850="","",IF(INDEX(资金日记账!$W$4:$W$603,471)="","记-"&amp;TEXT($B1850,"YYYYMM")&amp;"-资金",INDEX(资金日记账!$W$4:$W$603,471)))</f>
        <v/>
      </c>
      <c r="D1850" s="107" t="str">
        <f aca="false">IF($E1850="","",INDEX(资金日记账!$D$4:$D$603,471))</f>
        <v/>
      </c>
      <c r="E1850" s="67" t="str">
        <f aca="false">IF(INDEX(资金日记账!$N$4:$S$603,471,1)=0,"",INDEX(资金日记账!$N$4:$S$603,471,1))</f>
        <v/>
      </c>
      <c r="F1850" s="99" t="str">
        <f aca="false">IF($E1850="","",IFERROR(INDEX(科目表!$A$4:$A$81,MATCH($E1850,科目表!$B$4:$B$81,0)),""))</f>
        <v/>
      </c>
      <c r="G1850" s="67" t="str">
        <f aca="false">IF($E1850="","",IFERROR(INDEX(科目表!$E$4:$E$81,MATCH($E1850,科目表!$B$4:$B$81,0)),""))</f>
        <v/>
      </c>
      <c r="H1850" s="70" t="str">
        <f aca="false">IF($E1850="","",N(INDEX(资金日记账!$N$4:$S$603,471,2)))</f>
        <v/>
      </c>
      <c r="I1850" s="70" t="str">
        <f aca="false">IF($E1850="","",N(INDEX(资金日记账!$N$4:$S$603,471,3)))</f>
        <v/>
      </c>
      <c r="J1850" s="67" t="str">
        <f aca="false">IF($E1850="","",INDEX(资金日记账!$E$4:$E$603,471))</f>
        <v/>
      </c>
      <c r="K1850" s="67" t="str">
        <f aca="false">IF($E1850="","",INDEX(资金日记账!$F$4:$F$603,471))</f>
        <v/>
      </c>
      <c r="L1850" s="107" t="str">
        <f aca="false">IF($E1850="","",INDEX(资金日记账!$X$4:$X$603,471))</f>
        <v/>
      </c>
      <c r="M1850" s="107"/>
      <c r="N1850" s="67" t="str">
        <f aca="false">IF($E1850="","",INDEX(资金日记账!$Y$4:$Y$603,471))</f>
        <v/>
      </c>
      <c r="O1850" s="67" t="str">
        <f aca="false">IF($E1850="","","自动B")</f>
        <v/>
      </c>
      <c r="P1850" s="18"/>
    </row>
    <row r="1851" customFormat="false" ht="18" hidden="false" customHeight="true" outlineLevel="0" collapsed="false">
      <c r="A1851" s="107" t="str">
        <f aca="false">IF($E1851="","",ROW()-3)</f>
        <v/>
      </c>
      <c r="B1851" s="110" t="str">
        <f aca="false">IF($E1851="","",INDEX(资金日记账!$B$4:$B$603,471))</f>
        <v/>
      </c>
      <c r="C1851" s="67" t="str">
        <f aca="false">IF($E1851="","",IF(INDEX(资金日记账!$W$4:$W$603,471)="","记-"&amp;TEXT($B1851,"YYYYMM")&amp;"-资金",INDEX(资金日记账!$W$4:$W$603,471)))</f>
        <v/>
      </c>
      <c r="D1851" s="107" t="str">
        <f aca="false">IF($E1851="","",INDEX(资金日记账!$D$4:$D$603,471))</f>
        <v/>
      </c>
      <c r="E1851" s="67" t="str">
        <f aca="false">IF(INDEX(资金日记账!$N$4:$S$603,471,4)=0,"",INDEX(资金日记账!$N$4:$S$603,471,4))</f>
        <v/>
      </c>
      <c r="F1851" s="99" t="str">
        <f aca="false">IF($E1851="","",IFERROR(INDEX(科目表!$A$4:$A$81,MATCH($E1851,科目表!$B$4:$B$81,0)),""))</f>
        <v/>
      </c>
      <c r="G1851" s="67" t="str">
        <f aca="false">IF($E1851="","",IFERROR(INDEX(科目表!$E$4:$E$81,MATCH($E1851,科目表!$B$4:$B$81,0)),""))</f>
        <v/>
      </c>
      <c r="H1851" s="70" t="str">
        <f aca="false">IF($E1851="","",N(INDEX(资金日记账!$N$4:$S$603,471,5)))</f>
        <v/>
      </c>
      <c r="I1851" s="70" t="str">
        <f aca="false">IF($E1851="","",N(INDEX(资金日记账!$N$4:$S$603,471,6)))</f>
        <v/>
      </c>
      <c r="J1851" s="67" t="str">
        <f aca="false">IF($E1851="","",INDEX(资金日记账!$E$4:$E$603,471))</f>
        <v/>
      </c>
      <c r="K1851" s="67" t="str">
        <f aca="false">IF($E1851="","",INDEX(资金日记账!$F$4:$F$603,471))</f>
        <v/>
      </c>
      <c r="L1851" s="107" t="str">
        <f aca="false">IF($E1851="","",INDEX(资金日记账!$X$4:$X$603,471))</f>
        <v/>
      </c>
      <c r="M1851" s="107"/>
      <c r="N1851" s="67" t="str">
        <f aca="false">IF($E1851="","",INDEX(资金日记账!$Y$4:$Y$603,471))</f>
        <v/>
      </c>
      <c r="O1851" s="67" t="str">
        <f aca="false">IF($E1851="","","自动B")</f>
        <v/>
      </c>
      <c r="P1851" s="18"/>
    </row>
    <row r="1852" customFormat="false" ht="18" hidden="false" customHeight="true" outlineLevel="0" collapsed="false">
      <c r="A1852" s="107" t="str">
        <f aca="false">IF($E1852="","",ROW()-3)</f>
        <v/>
      </c>
      <c r="B1852" s="110" t="str">
        <f aca="false">IF($E1852="","",INDEX(资金日记账!$B$4:$B$603,472))</f>
        <v/>
      </c>
      <c r="C1852" s="67" t="str">
        <f aca="false">IF($E1852="","",IF(INDEX(资金日记账!$W$4:$W$603,472)="","记-"&amp;TEXT($B1852,"YYYYMM")&amp;"-资金",INDEX(资金日记账!$W$4:$W$603,472)))</f>
        <v/>
      </c>
      <c r="D1852" s="107" t="str">
        <f aca="false">IF($E1852="","",INDEX(资金日记账!$D$4:$D$603,472))</f>
        <v/>
      </c>
      <c r="E1852" s="67" t="str">
        <f aca="false">IF(INDEX(资金日记账!$N$4:$S$603,472,1)=0,"",INDEX(资金日记账!$N$4:$S$603,472,1))</f>
        <v/>
      </c>
      <c r="F1852" s="99" t="str">
        <f aca="false">IF($E1852="","",IFERROR(INDEX(科目表!$A$4:$A$81,MATCH($E1852,科目表!$B$4:$B$81,0)),""))</f>
        <v/>
      </c>
      <c r="G1852" s="67" t="str">
        <f aca="false">IF($E1852="","",IFERROR(INDEX(科目表!$E$4:$E$81,MATCH($E1852,科目表!$B$4:$B$81,0)),""))</f>
        <v/>
      </c>
      <c r="H1852" s="70" t="str">
        <f aca="false">IF($E1852="","",N(INDEX(资金日记账!$N$4:$S$603,472,2)))</f>
        <v/>
      </c>
      <c r="I1852" s="70" t="str">
        <f aca="false">IF($E1852="","",N(INDEX(资金日记账!$N$4:$S$603,472,3)))</f>
        <v/>
      </c>
      <c r="J1852" s="67" t="str">
        <f aca="false">IF($E1852="","",INDEX(资金日记账!$E$4:$E$603,472))</f>
        <v/>
      </c>
      <c r="K1852" s="67" t="str">
        <f aca="false">IF($E1852="","",INDEX(资金日记账!$F$4:$F$603,472))</f>
        <v/>
      </c>
      <c r="L1852" s="107" t="str">
        <f aca="false">IF($E1852="","",INDEX(资金日记账!$X$4:$X$603,472))</f>
        <v/>
      </c>
      <c r="M1852" s="107"/>
      <c r="N1852" s="67" t="str">
        <f aca="false">IF($E1852="","",INDEX(资金日记账!$Y$4:$Y$603,472))</f>
        <v/>
      </c>
      <c r="O1852" s="67" t="str">
        <f aca="false">IF($E1852="","","自动B")</f>
        <v/>
      </c>
      <c r="P1852" s="18"/>
    </row>
    <row r="1853" customFormat="false" ht="18" hidden="false" customHeight="true" outlineLevel="0" collapsed="false">
      <c r="A1853" s="107" t="str">
        <f aca="false">IF($E1853="","",ROW()-3)</f>
        <v/>
      </c>
      <c r="B1853" s="110" t="str">
        <f aca="false">IF($E1853="","",INDEX(资金日记账!$B$4:$B$603,472))</f>
        <v/>
      </c>
      <c r="C1853" s="67" t="str">
        <f aca="false">IF($E1853="","",IF(INDEX(资金日记账!$W$4:$W$603,472)="","记-"&amp;TEXT($B1853,"YYYYMM")&amp;"-资金",INDEX(资金日记账!$W$4:$W$603,472)))</f>
        <v/>
      </c>
      <c r="D1853" s="107" t="str">
        <f aca="false">IF($E1853="","",INDEX(资金日记账!$D$4:$D$603,472))</f>
        <v/>
      </c>
      <c r="E1853" s="67" t="str">
        <f aca="false">IF(INDEX(资金日记账!$N$4:$S$603,472,4)=0,"",INDEX(资金日记账!$N$4:$S$603,472,4))</f>
        <v/>
      </c>
      <c r="F1853" s="99" t="str">
        <f aca="false">IF($E1853="","",IFERROR(INDEX(科目表!$A$4:$A$81,MATCH($E1853,科目表!$B$4:$B$81,0)),""))</f>
        <v/>
      </c>
      <c r="G1853" s="67" t="str">
        <f aca="false">IF($E1853="","",IFERROR(INDEX(科目表!$E$4:$E$81,MATCH($E1853,科目表!$B$4:$B$81,0)),""))</f>
        <v/>
      </c>
      <c r="H1853" s="70" t="str">
        <f aca="false">IF($E1853="","",N(INDEX(资金日记账!$N$4:$S$603,472,5)))</f>
        <v/>
      </c>
      <c r="I1853" s="70" t="str">
        <f aca="false">IF($E1853="","",N(INDEX(资金日记账!$N$4:$S$603,472,6)))</f>
        <v/>
      </c>
      <c r="J1853" s="67" t="str">
        <f aca="false">IF($E1853="","",INDEX(资金日记账!$E$4:$E$603,472))</f>
        <v/>
      </c>
      <c r="K1853" s="67" t="str">
        <f aca="false">IF($E1853="","",INDEX(资金日记账!$F$4:$F$603,472))</f>
        <v/>
      </c>
      <c r="L1853" s="107" t="str">
        <f aca="false">IF($E1853="","",INDEX(资金日记账!$X$4:$X$603,472))</f>
        <v/>
      </c>
      <c r="M1853" s="107"/>
      <c r="N1853" s="67" t="str">
        <f aca="false">IF($E1853="","",INDEX(资金日记账!$Y$4:$Y$603,472))</f>
        <v/>
      </c>
      <c r="O1853" s="67" t="str">
        <f aca="false">IF($E1853="","","自动B")</f>
        <v/>
      </c>
      <c r="P1853" s="18"/>
    </row>
    <row r="1854" customFormat="false" ht="18" hidden="false" customHeight="true" outlineLevel="0" collapsed="false">
      <c r="A1854" s="107" t="str">
        <f aca="false">IF($E1854="","",ROW()-3)</f>
        <v/>
      </c>
      <c r="B1854" s="110" t="str">
        <f aca="false">IF($E1854="","",INDEX(资金日记账!$B$4:$B$603,473))</f>
        <v/>
      </c>
      <c r="C1854" s="67" t="str">
        <f aca="false">IF($E1854="","",IF(INDEX(资金日记账!$W$4:$W$603,473)="","记-"&amp;TEXT($B1854,"YYYYMM")&amp;"-资金",INDEX(资金日记账!$W$4:$W$603,473)))</f>
        <v/>
      </c>
      <c r="D1854" s="107" t="str">
        <f aca="false">IF($E1854="","",INDEX(资金日记账!$D$4:$D$603,473))</f>
        <v/>
      </c>
      <c r="E1854" s="67" t="str">
        <f aca="false">IF(INDEX(资金日记账!$N$4:$S$603,473,1)=0,"",INDEX(资金日记账!$N$4:$S$603,473,1))</f>
        <v/>
      </c>
      <c r="F1854" s="99" t="str">
        <f aca="false">IF($E1854="","",IFERROR(INDEX(科目表!$A$4:$A$81,MATCH($E1854,科目表!$B$4:$B$81,0)),""))</f>
        <v/>
      </c>
      <c r="G1854" s="67" t="str">
        <f aca="false">IF($E1854="","",IFERROR(INDEX(科目表!$E$4:$E$81,MATCH($E1854,科目表!$B$4:$B$81,0)),""))</f>
        <v/>
      </c>
      <c r="H1854" s="70" t="str">
        <f aca="false">IF($E1854="","",N(INDEX(资金日记账!$N$4:$S$603,473,2)))</f>
        <v/>
      </c>
      <c r="I1854" s="70" t="str">
        <f aca="false">IF($E1854="","",N(INDEX(资金日记账!$N$4:$S$603,473,3)))</f>
        <v/>
      </c>
      <c r="J1854" s="67" t="str">
        <f aca="false">IF($E1854="","",INDEX(资金日记账!$E$4:$E$603,473))</f>
        <v/>
      </c>
      <c r="K1854" s="67" t="str">
        <f aca="false">IF($E1854="","",INDEX(资金日记账!$F$4:$F$603,473))</f>
        <v/>
      </c>
      <c r="L1854" s="107" t="str">
        <f aca="false">IF($E1854="","",INDEX(资金日记账!$X$4:$X$603,473))</f>
        <v/>
      </c>
      <c r="M1854" s="107"/>
      <c r="N1854" s="67" t="str">
        <f aca="false">IF($E1854="","",INDEX(资金日记账!$Y$4:$Y$603,473))</f>
        <v/>
      </c>
      <c r="O1854" s="67" t="str">
        <f aca="false">IF($E1854="","","自动B")</f>
        <v/>
      </c>
      <c r="P1854" s="18"/>
    </row>
    <row r="1855" customFormat="false" ht="18" hidden="false" customHeight="true" outlineLevel="0" collapsed="false">
      <c r="A1855" s="107" t="str">
        <f aca="false">IF($E1855="","",ROW()-3)</f>
        <v/>
      </c>
      <c r="B1855" s="110" t="str">
        <f aca="false">IF($E1855="","",INDEX(资金日记账!$B$4:$B$603,473))</f>
        <v/>
      </c>
      <c r="C1855" s="67" t="str">
        <f aca="false">IF($E1855="","",IF(INDEX(资金日记账!$W$4:$W$603,473)="","记-"&amp;TEXT($B1855,"YYYYMM")&amp;"-资金",INDEX(资金日记账!$W$4:$W$603,473)))</f>
        <v/>
      </c>
      <c r="D1855" s="107" t="str">
        <f aca="false">IF($E1855="","",INDEX(资金日记账!$D$4:$D$603,473))</f>
        <v/>
      </c>
      <c r="E1855" s="67" t="str">
        <f aca="false">IF(INDEX(资金日记账!$N$4:$S$603,473,4)=0,"",INDEX(资金日记账!$N$4:$S$603,473,4))</f>
        <v/>
      </c>
      <c r="F1855" s="99" t="str">
        <f aca="false">IF($E1855="","",IFERROR(INDEX(科目表!$A$4:$A$81,MATCH($E1855,科目表!$B$4:$B$81,0)),""))</f>
        <v/>
      </c>
      <c r="G1855" s="67" t="str">
        <f aca="false">IF($E1855="","",IFERROR(INDEX(科目表!$E$4:$E$81,MATCH($E1855,科目表!$B$4:$B$81,0)),""))</f>
        <v/>
      </c>
      <c r="H1855" s="70" t="str">
        <f aca="false">IF($E1855="","",N(INDEX(资金日记账!$N$4:$S$603,473,5)))</f>
        <v/>
      </c>
      <c r="I1855" s="70" t="str">
        <f aca="false">IF($E1855="","",N(INDEX(资金日记账!$N$4:$S$603,473,6)))</f>
        <v/>
      </c>
      <c r="J1855" s="67" t="str">
        <f aca="false">IF($E1855="","",INDEX(资金日记账!$E$4:$E$603,473))</f>
        <v/>
      </c>
      <c r="K1855" s="67" t="str">
        <f aca="false">IF($E1855="","",INDEX(资金日记账!$F$4:$F$603,473))</f>
        <v/>
      </c>
      <c r="L1855" s="107" t="str">
        <f aca="false">IF($E1855="","",INDEX(资金日记账!$X$4:$X$603,473))</f>
        <v/>
      </c>
      <c r="M1855" s="107"/>
      <c r="N1855" s="67" t="str">
        <f aca="false">IF($E1855="","",INDEX(资金日记账!$Y$4:$Y$603,473))</f>
        <v/>
      </c>
      <c r="O1855" s="67" t="str">
        <f aca="false">IF($E1855="","","自动B")</f>
        <v/>
      </c>
      <c r="P1855" s="18"/>
    </row>
    <row r="1856" customFormat="false" ht="18" hidden="false" customHeight="true" outlineLevel="0" collapsed="false">
      <c r="A1856" s="107" t="str">
        <f aca="false">IF($E1856="","",ROW()-3)</f>
        <v/>
      </c>
      <c r="B1856" s="110" t="str">
        <f aca="false">IF($E1856="","",INDEX(资金日记账!$B$4:$B$603,474))</f>
        <v/>
      </c>
      <c r="C1856" s="67" t="str">
        <f aca="false">IF($E1856="","",IF(INDEX(资金日记账!$W$4:$W$603,474)="","记-"&amp;TEXT($B1856,"YYYYMM")&amp;"-资金",INDEX(资金日记账!$W$4:$W$603,474)))</f>
        <v/>
      </c>
      <c r="D1856" s="107" t="str">
        <f aca="false">IF($E1856="","",INDEX(资金日记账!$D$4:$D$603,474))</f>
        <v/>
      </c>
      <c r="E1856" s="67" t="str">
        <f aca="false">IF(INDEX(资金日记账!$N$4:$S$603,474,1)=0,"",INDEX(资金日记账!$N$4:$S$603,474,1))</f>
        <v/>
      </c>
      <c r="F1856" s="99" t="str">
        <f aca="false">IF($E1856="","",IFERROR(INDEX(科目表!$A$4:$A$81,MATCH($E1856,科目表!$B$4:$B$81,0)),""))</f>
        <v/>
      </c>
      <c r="G1856" s="67" t="str">
        <f aca="false">IF($E1856="","",IFERROR(INDEX(科目表!$E$4:$E$81,MATCH($E1856,科目表!$B$4:$B$81,0)),""))</f>
        <v/>
      </c>
      <c r="H1856" s="70" t="str">
        <f aca="false">IF($E1856="","",N(INDEX(资金日记账!$N$4:$S$603,474,2)))</f>
        <v/>
      </c>
      <c r="I1856" s="70" t="str">
        <f aca="false">IF($E1856="","",N(INDEX(资金日记账!$N$4:$S$603,474,3)))</f>
        <v/>
      </c>
      <c r="J1856" s="67" t="str">
        <f aca="false">IF($E1856="","",INDEX(资金日记账!$E$4:$E$603,474))</f>
        <v/>
      </c>
      <c r="K1856" s="67" t="str">
        <f aca="false">IF($E1856="","",INDEX(资金日记账!$F$4:$F$603,474))</f>
        <v/>
      </c>
      <c r="L1856" s="107" t="str">
        <f aca="false">IF($E1856="","",INDEX(资金日记账!$X$4:$X$603,474))</f>
        <v/>
      </c>
      <c r="M1856" s="107"/>
      <c r="N1856" s="67" t="str">
        <f aca="false">IF($E1856="","",INDEX(资金日记账!$Y$4:$Y$603,474))</f>
        <v/>
      </c>
      <c r="O1856" s="67" t="str">
        <f aca="false">IF($E1856="","","自动B")</f>
        <v/>
      </c>
      <c r="P1856" s="18"/>
    </row>
    <row r="1857" customFormat="false" ht="18" hidden="false" customHeight="true" outlineLevel="0" collapsed="false">
      <c r="A1857" s="107" t="str">
        <f aca="false">IF($E1857="","",ROW()-3)</f>
        <v/>
      </c>
      <c r="B1857" s="110" t="str">
        <f aca="false">IF($E1857="","",INDEX(资金日记账!$B$4:$B$603,474))</f>
        <v/>
      </c>
      <c r="C1857" s="67" t="str">
        <f aca="false">IF($E1857="","",IF(INDEX(资金日记账!$W$4:$W$603,474)="","记-"&amp;TEXT($B1857,"YYYYMM")&amp;"-资金",INDEX(资金日记账!$W$4:$W$603,474)))</f>
        <v/>
      </c>
      <c r="D1857" s="107" t="str">
        <f aca="false">IF($E1857="","",INDEX(资金日记账!$D$4:$D$603,474))</f>
        <v/>
      </c>
      <c r="E1857" s="67" t="str">
        <f aca="false">IF(INDEX(资金日记账!$N$4:$S$603,474,4)=0,"",INDEX(资金日记账!$N$4:$S$603,474,4))</f>
        <v/>
      </c>
      <c r="F1857" s="99" t="str">
        <f aca="false">IF($E1857="","",IFERROR(INDEX(科目表!$A$4:$A$81,MATCH($E1857,科目表!$B$4:$B$81,0)),""))</f>
        <v/>
      </c>
      <c r="G1857" s="67" t="str">
        <f aca="false">IF($E1857="","",IFERROR(INDEX(科目表!$E$4:$E$81,MATCH($E1857,科目表!$B$4:$B$81,0)),""))</f>
        <v/>
      </c>
      <c r="H1857" s="70" t="str">
        <f aca="false">IF($E1857="","",N(INDEX(资金日记账!$N$4:$S$603,474,5)))</f>
        <v/>
      </c>
      <c r="I1857" s="70" t="str">
        <f aca="false">IF($E1857="","",N(INDEX(资金日记账!$N$4:$S$603,474,6)))</f>
        <v/>
      </c>
      <c r="J1857" s="67" t="str">
        <f aca="false">IF($E1857="","",INDEX(资金日记账!$E$4:$E$603,474))</f>
        <v/>
      </c>
      <c r="K1857" s="67" t="str">
        <f aca="false">IF($E1857="","",INDEX(资金日记账!$F$4:$F$603,474))</f>
        <v/>
      </c>
      <c r="L1857" s="107" t="str">
        <f aca="false">IF($E1857="","",INDEX(资金日记账!$X$4:$X$603,474))</f>
        <v/>
      </c>
      <c r="M1857" s="107"/>
      <c r="N1857" s="67" t="str">
        <f aca="false">IF($E1857="","",INDEX(资金日记账!$Y$4:$Y$603,474))</f>
        <v/>
      </c>
      <c r="O1857" s="67" t="str">
        <f aca="false">IF($E1857="","","自动B")</f>
        <v/>
      </c>
      <c r="P1857" s="18"/>
    </row>
    <row r="1858" customFormat="false" ht="18" hidden="false" customHeight="true" outlineLevel="0" collapsed="false">
      <c r="A1858" s="107" t="str">
        <f aca="false">IF($E1858="","",ROW()-3)</f>
        <v/>
      </c>
      <c r="B1858" s="110" t="str">
        <f aca="false">IF($E1858="","",INDEX(资金日记账!$B$4:$B$603,475))</f>
        <v/>
      </c>
      <c r="C1858" s="67" t="str">
        <f aca="false">IF($E1858="","",IF(INDEX(资金日记账!$W$4:$W$603,475)="","记-"&amp;TEXT($B1858,"YYYYMM")&amp;"-资金",INDEX(资金日记账!$W$4:$W$603,475)))</f>
        <v/>
      </c>
      <c r="D1858" s="107" t="str">
        <f aca="false">IF($E1858="","",INDEX(资金日记账!$D$4:$D$603,475))</f>
        <v/>
      </c>
      <c r="E1858" s="67" t="str">
        <f aca="false">IF(INDEX(资金日记账!$N$4:$S$603,475,1)=0,"",INDEX(资金日记账!$N$4:$S$603,475,1))</f>
        <v/>
      </c>
      <c r="F1858" s="99" t="str">
        <f aca="false">IF($E1858="","",IFERROR(INDEX(科目表!$A$4:$A$81,MATCH($E1858,科目表!$B$4:$B$81,0)),""))</f>
        <v/>
      </c>
      <c r="G1858" s="67" t="str">
        <f aca="false">IF($E1858="","",IFERROR(INDEX(科目表!$E$4:$E$81,MATCH($E1858,科目表!$B$4:$B$81,0)),""))</f>
        <v/>
      </c>
      <c r="H1858" s="70" t="str">
        <f aca="false">IF($E1858="","",N(INDEX(资金日记账!$N$4:$S$603,475,2)))</f>
        <v/>
      </c>
      <c r="I1858" s="70" t="str">
        <f aca="false">IF($E1858="","",N(INDEX(资金日记账!$N$4:$S$603,475,3)))</f>
        <v/>
      </c>
      <c r="J1858" s="67" t="str">
        <f aca="false">IF($E1858="","",INDEX(资金日记账!$E$4:$E$603,475))</f>
        <v/>
      </c>
      <c r="K1858" s="67" t="str">
        <f aca="false">IF($E1858="","",INDEX(资金日记账!$F$4:$F$603,475))</f>
        <v/>
      </c>
      <c r="L1858" s="107" t="str">
        <f aca="false">IF($E1858="","",INDEX(资金日记账!$X$4:$X$603,475))</f>
        <v/>
      </c>
      <c r="M1858" s="107"/>
      <c r="N1858" s="67" t="str">
        <f aca="false">IF($E1858="","",INDEX(资金日记账!$Y$4:$Y$603,475))</f>
        <v/>
      </c>
      <c r="O1858" s="67" t="str">
        <f aca="false">IF($E1858="","","自动B")</f>
        <v/>
      </c>
      <c r="P1858" s="18"/>
    </row>
    <row r="1859" customFormat="false" ht="18" hidden="false" customHeight="true" outlineLevel="0" collapsed="false">
      <c r="A1859" s="107" t="str">
        <f aca="false">IF($E1859="","",ROW()-3)</f>
        <v/>
      </c>
      <c r="B1859" s="110" t="str">
        <f aca="false">IF($E1859="","",INDEX(资金日记账!$B$4:$B$603,475))</f>
        <v/>
      </c>
      <c r="C1859" s="67" t="str">
        <f aca="false">IF($E1859="","",IF(INDEX(资金日记账!$W$4:$W$603,475)="","记-"&amp;TEXT($B1859,"YYYYMM")&amp;"-资金",INDEX(资金日记账!$W$4:$W$603,475)))</f>
        <v/>
      </c>
      <c r="D1859" s="107" t="str">
        <f aca="false">IF($E1859="","",INDEX(资金日记账!$D$4:$D$603,475))</f>
        <v/>
      </c>
      <c r="E1859" s="67" t="str">
        <f aca="false">IF(INDEX(资金日记账!$N$4:$S$603,475,4)=0,"",INDEX(资金日记账!$N$4:$S$603,475,4))</f>
        <v/>
      </c>
      <c r="F1859" s="99" t="str">
        <f aca="false">IF($E1859="","",IFERROR(INDEX(科目表!$A$4:$A$81,MATCH($E1859,科目表!$B$4:$B$81,0)),""))</f>
        <v/>
      </c>
      <c r="G1859" s="67" t="str">
        <f aca="false">IF($E1859="","",IFERROR(INDEX(科目表!$E$4:$E$81,MATCH($E1859,科目表!$B$4:$B$81,0)),""))</f>
        <v/>
      </c>
      <c r="H1859" s="70" t="str">
        <f aca="false">IF($E1859="","",N(INDEX(资金日记账!$N$4:$S$603,475,5)))</f>
        <v/>
      </c>
      <c r="I1859" s="70" t="str">
        <f aca="false">IF($E1859="","",N(INDEX(资金日记账!$N$4:$S$603,475,6)))</f>
        <v/>
      </c>
      <c r="J1859" s="67" t="str">
        <f aca="false">IF($E1859="","",INDEX(资金日记账!$E$4:$E$603,475))</f>
        <v/>
      </c>
      <c r="K1859" s="67" t="str">
        <f aca="false">IF($E1859="","",INDEX(资金日记账!$F$4:$F$603,475))</f>
        <v/>
      </c>
      <c r="L1859" s="107" t="str">
        <f aca="false">IF($E1859="","",INDEX(资金日记账!$X$4:$X$603,475))</f>
        <v/>
      </c>
      <c r="M1859" s="107"/>
      <c r="N1859" s="67" t="str">
        <f aca="false">IF($E1859="","",INDEX(资金日记账!$Y$4:$Y$603,475))</f>
        <v/>
      </c>
      <c r="O1859" s="67" t="str">
        <f aca="false">IF($E1859="","","自动B")</f>
        <v/>
      </c>
      <c r="P1859" s="18"/>
    </row>
    <row r="1860" customFormat="false" ht="18" hidden="false" customHeight="true" outlineLevel="0" collapsed="false">
      <c r="A1860" s="107" t="str">
        <f aca="false">IF($E1860="","",ROW()-3)</f>
        <v/>
      </c>
      <c r="B1860" s="110" t="str">
        <f aca="false">IF($E1860="","",INDEX(资金日记账!$B$4:$B$603,476))</f>
        <v/>
      </c>
      <c r="C1860" s="67" t="str">
        <f aca="false">IF($E1860="","",IF(INDEX(资金日记账!$W$4:$W$603,476)="","记-"&amp;TEXT($B1860,"YYYYMM")&amp;"-资金",INDEX(资金日记账!$W$4:$W$603,476)))</f>
        <v/>
      </c>
      <c r="D1860" s="107" t="str">
        <f aca="false">IF($E1860="","",INDEX(资金日记账!$D$4:$D$603,476))</f>
        <v/>
      </c>
      <c r="E1860" s="67" t="str">
        <f aca="false">IF(INDEX(资金日记账!$N$4:$S$603,476,1)=0,"",INDEX(资金日记账!$N$4:$S$603,476,1))</f>
        <v/>
      </c>
      <c r="F1860" s="99" t="str">
        <f aca="false">IF($E1860="","",IFERROR(INDEX(科目表!$A$4:$A$81,MATCH($E1860,科目表!$B$4:$B$81,0)),""))</f>
        <v/>
      </c>
      <c r="G1860" s="67" t="str">
        <f aca="false">IF($E1860="","",IFERROR(INDEX(科目表!$E$4:$E$81,MATCH($E1860,科目表!$B$4:$B$81,0)),""))</f>
        <v/>
      </c>
      <c r="H1860" s="70" t="str">
        <f aca="false">IF($E1860="","",N(INDEX(资金日记账!$N$4:$S$603,476,2)))</f>
        <v/>
      </c>
      <c r="I1860" s="70" t="str">
        <f aca="false">IF($E1860="","",N(INDEX(资金日记账!$N$4:$S$603,476,3)))</f>
        <v/>
      </c>
      <c r="J1860" s="67" t="str">
        <f aca="false">IF($E1860="","",INDEX(资金日记账!$E$4:$E$603,476))</f>
        <v/>
      </c>
      <c r="K1860" s="67" t="str">
        <f aca="false">IF($E1860="","",INDEX(资金日记账!$F$4:$F$603,476))</f>
        <v/>
      </c>
      <c r="L1860" s="107" t="str">
        <f aca="false">IF($E1860="","",INDEX(资金日记账!$X$4:$X$603,476))</f>
        <v/>
      </c>
      <c r="M1860" s="107"/>
      <c r="N1860" s="67" t="str">
        <f aca="false">IF($E1860="","",INDEX(资金日记账!$Y$4:$Y$603,476))</f>
        <v/>
      </c>
      <c r="O1860" s="67" t="str">
        <f aca="false">IF($E1860="","","自动B")</f>
        <v/>
      </c>
      <c r="P1860" s="18"/>
    </row>
    <row r="1861" customFormat="false" ht="18" hidden="false" customHeight="true" outlineLevel="0" collapsed="false">
      <c r="A1861" s="107" t="str">
        <f aca="false">IF($E1861="","",ROW()-3)</f>
        <v/>
      </c>
      <c r="B1861" s="110" t="str">
        <f aca="false">IF($E1861="","",INDEX(资金日记账!$B$4:$B$603,476))</f>
        <v/>
      </c>
      <c r="C1861" s="67" t="str">
        <f aca="false">IF($E1861="","",IF(INDEX(资金日记账!$W$4:$W$603,476)="","记-"&amp;TEXT($B1861,"YYYYMM")&amp;"-资金",INDEX(资金日记账!$W$4:$W$603,476)))</f>
        <v/>
      </c>
      <c r="D1861" s="107" t="str">
        <f aca="false">IF($E1861="","",INDEX(资金日记账!$D$4:$D$603,476))</f>
        <v/>
      </c>
      <c r="E1861" s="67" t="str">
        <f aca="false">IF(INDEX(资金日记账!$N$4:$S$603,476,4)=0,"",INDEX(资金日记账!$N$4:$S$603,476,4))</f>
        <v/>
      </c>
      <c r="F1861" s="99" t="str">
        <f aca="false">IF($E1861="","",IFERROR(INDEX(科目表!$A$4:$A$81,MATCH($E1861,科目表!$B$4:$B$81,0)),""))</f>
        <v/>
      </c>
      <c r="G1861" s="67" t="str">
        <f aca="false">IF($E1861="","",IFERROR(INDEX(科目表!$E$4:$E$81,MATCH($E1861,科目表!$B$4:$B$81,0)),""))</f>
        <v/>
      </c>
      <c r="H1861" s="70" t="str">
        <f aca="false">IF($E1861="","",N(INDEX(资金日记账!$N$4:$S$603,476,5)))</f>
        <v/>
      </c>
      <c r="I1861" s="70" t="str">
        <f aca="false">IF($E1861="","",N(INDEX(资金日记账!$N$4:$S$603,476,6)))</f>
        <v/>
      </c>
      <c r="J1861" s="67" t="str">
        <f aca="false">IF($E1861="","",INDEX(资金日记账!$E$4:$E$603,476))</f>
        <v/>
      </c>
      <c r="K1861" s="67" t="str">
        <f aca="false">IF($E1861="","",INDEX(资金日记账!$F$4:$F$603,476))</f>
        <v/>
      </c>
      <c r="L1861" s="107" t="str">
        <f aca="false">IF($E1861="","",INDEX(资金日记账!$X$4:$X$603,476))</f>
        <v/>
      </c>
      <c r="M1861" s="107"/>
      <c r="N1861" s="67" t="str">
        <f aca="false">IF($E1861="","",INDEX(资金日记账!$Y$4:$Y$603,476))</f>
        <v/>
      </c>
      <c r="O1861" s="67" t="str">
        <f aca="false">IF($E1861="","","自动B")</f>
        <v/>
      </c>
      <c r="P1861" s="18"/>
    </row>
    <row r="1862" customFormat="false" ht="18" hidden="false" customHeight="true" outlineLevel="0" collapsed="false">
      <c r="A1862" s="107" t="str">
        <f aca="false">IF($E1862="","",ROW()-3)</f>
        <v/>
      </c>
      <c r="B1862" s="110" t="str">
        <f aca="false">IF($E1862="","",INDEX(资金日记账!$B$4:$B$603,477))</f>
        <v/>
      </c>
      <c r="C1862" s="67" t="str">
        <f aca="false">IF($E1862="","",IF(INDEX(资金日记账!$W$4:$W$603,477)="","记-"&amp;TEXT($B1862,"YYYYMM")&amp;"-资金",INDEX(资金日记账!$W$4:$W$603,477)))</f>
        <v/>
      </c>
      <c r="D1862" s="107" t="str">
        <f aca="false">IF($E1862="","",INDEX(资金日记账!$D$4:$D$603,477))</f>
        <v/>
      </c>
      <c r="E1862" s="67" t="str">
        <f aca="false">IF(INDEX(资金日记账!$N$4:$S$603,477,1)=0,"",INDEX(资金日记账!$N$4:$S$603,477,1))</f>
        <v/>
      </c>
      <c r="F1862" s="99" t="str">
        <f aca="false">IF($E1862="","",IFERROR(INDEX(科目表!$A$4:$A$81,MATCH($E1862,科目表!$B$4:$B$81,0)),""))</f>
        <v/>
      </c>
      <c r="G1862" s="67" t="str">
        <f aca="false">IF($E1862="","",IFERROR(INDEX(科目表!$E$4:$E$81,MATCH($E1862,科目表!$B$4:$B$81,0)),""))</f>
        <v/>
      </c>
      <c r="H1862" s="70" t="str">
        <f aca="false">IF($E1862="","",N(INDEX(资金日记账!$N$4:$S$603,477,2)))</f>
        <v/>
      </c>
      <c r="I1862" s="70" t="str">
        <f aca="false">IF($E1862="","",N(INDEX(资金日记账!$N$4:$S$603,477,3)))</f>
        <v/>
      </c>
      <c r="J1862" s="67" t="str">
        <f aca="false">IF($E1862="","",INDEX(资金日记账!$E$4:$E$603,477))</f>
        <v/>
      </c>
      <c r="K1862" s="67" t="str">
        <f aca="false">IF($E1862="","",INDEX(资金日记账!$F$4:$F$603,477))</f>
        <v/>
      </c>
      <c r="L1862" s="107" t="str">
        <f aca="false">IF($E1862="","",INDEX(资金日记账!$X$4:$X$603,477))</f>
        <v/>
      </c>
      <c r="M1862" s="107"/>
      <c r="N1862" s="67" t="str">
        <f aca="false">IF($E1862="","",INDEX(资金日记账!$Y$4:$Y$603,477))</f>
        <v/>
      </c>
      <c r="O1862" s="67" t="str">
        <f aca="false">IF($E1862="","","自动B")</f>
        <v/>
      </c>
      <c r="P1862" s="18"/>
    </row>
    <row r="1863" customFormat="false" ht="18" hidden="false" customHeight="true" outlineLevel="0" collapsed="false">
      <c r="A1863" s="107" t="str">
        <f aca="false">IF($E1863="","",ROW()-3)</f>
        <v/>
      </c>
      <c r="B1863" s="110" t="str">
        <f aca="false">IF($E1863="","",INDEX(资金日记账!$B$4:$B$603,477))</f>
        <v/>
      </c>
      <c r="C1863" s="67" t="str">
        <f aca="false">IF($E1863="","",IF(INDEX(资金日记账!$W$4:$W$603,477)="","记-"&amp;TEXT($B1863,"YYYYMM")&amp;"-资金",INDEX(资金日记账!$W$4:$W$603,477)))</f>
        <v/>
      </c>
      <c r="D1863" s="107" t="str">
        <f aca="false">IF($E1863="","",INDEX(资金日记账!$D$4:$D$603,477))</f>
        <v/>
      </c>
      <c r="E1863" s="67" t="str">
        <f aca="false">IF(INDEX(资金日记账!$N$4:$S$603,477,4)=0,"",INDEX(资金日记账!$N$4:$S$603,477,4))</f>
        <v/>
      </c>
      <c r="F1863" s="99" t="str">
        <f aca="false">IF($E1863="","",IFERROR(INDEX(科目表!$A$4:$A$81,MATCH($E1863,科目表!$B$4:$B$81,0)),""))</f>
        <v/>
      </c>
      <c r="G1863" s="67" t="str">
        <f aca="false">IF($E1863="","",IFERROR(INDEX(科目表!$E$4:$E$81,MATCH($E1863,科目表!$B$4:$B$81,0)),""))</f>
        <v/>
      </c>
      <c r="H1863" s="70" t="str">
        <f aca="false">IF($E1863="","",N(INDEX(资金日记账!$N$4:$S$603,477,5)))</f>
        <v/>
      </c>
      <c r="I1863" s="70" t="str">
        <f aca="false">IF($E1863="","",N(INDEX(资金日记账!$N$4:$S$603,477,6)))</f>
        <v/>
      </c>
      <c r="J1863" s="67" t="str">
        <f aca="false">IF($E1863="","",INDEX(资金日记账!$E$4:$E$603,477))</f>
        <v/>
      </c>
      <c r="K1863" s="67" t="str">
        <f aca="false">IF($E1863="","",INDEX(资金日记账!$F$4:$F$603,477))</f>
        <v/>
      </c>
      <c r="L1863" s="107" t="str">
        <f aca="false">IF($E1863="","",INDEX(资金日记账!$X$4:$X$603,477))</f>
        <v/>
      </c>
      <c r="M1863" s="107"/>
      <c r="N1863" s="67" t="str">
        <f aca="false">IF($E1863="","",INDEX(资金日记账!$Y$4:$Y$603,477))</f>
        <v/>
      </c>
      <c r="O1863" s="67" t="str">
        <f aca="false">IF($E1863="","","自动B")</f>
        <v/>
      </c>
      <c r="P1863" s="18"/>
    </row>
    <row r="1864" customFormat="false" ht="18" hidden="false" customHeight="true" outlineLevel="0" collapsed="false">
      <c r="A1864" s="107" t="str">
        <f aca="false">IF($E1864="","",ROW()-3)</f>
        <v/>
      </c>
      <c r="B1864" s="110" t="str">
        <f aca="false">IF($E1864="","",INDEX(资金日记账!$B$4:$B$603,478))</f>
        <v/>
      </c>
      <c r="C1864" s="67" t="str">
        <f aca="false">IF($E1864="","",IF(INDEX(资金日记账!$W$4:$W$603,478)="","记-"&amp;TEXT($B1864,"YYYYMM")&amp;"-资金",INDEX(资金日记账!$W$4:$W$603,478)))</f>
        <v/>
      </c>
      <c r="D1864" s="107" t="str">
        <f aca="false">IF($E1864="","",INDEX(资金日记账!$D$4:$D$603,478))</f>
        <v/>
      </c>
      <c r="E1864" s="67" t="str">
        <f aca="false">IF(INDEX(资金日记账!$N$4:$S$603,478,1)=0,"",INDEX(资金日记账!$N$4:$S$603,478,1))</f>
        <v/>
      </c>
      <c r="F1864" s="99" t="str">
        <f aca="false">IF($E1864="","",IFERROR(INDEX(科目表!$A$4:$A$81,MATCH($E1864,科目表!$B$4:$B$81,0)),""))</f>
        <v/>
      </c>
      <c r="G1864" s="67" t="str">
        <f aca="false">IF($E1864="","",IFERROR(INDEX(科目表!$E$4:$E$81,MATCH($E1864,科目表!$B$4:$B$81,0)),""))</f>
        <v/>
      </c>
      <c r="H1864" s="70" t="str">
        <f aca="false">IF($E1864="","",N(INDEX(资金日记账!$N$4:$S$603,478,2)))</f>
        <v/>
      </c>
      <c r="I1864" s="70" t="str">
        <f aca="false">IF($E1864="","",N(INDEX(资金日记账!$N$4:$S$603,478,3)))</f>
        <v/>
      </c>
      <c r="J1864" s="67" t="str">
        <f aca="false">IF($E1864="","",INDEX(资金日记账!$E$4:$E$603,478))</f>
        <v/>
      </c>
      <c r="K1864" s="67" t="str">
        <f aca="false">IF($E1864="","",INDEX(资金日记账!$F$4:$F$603,478))</f>
        <v/>
      </c>
      <c r="L1864" s="107" t="str">
        <f aca="false">IF($E1864="","",INDEX(资金日记账!$X$4:$X$603,478))</f>
        <v/>
      </c>
      <c r="M1864" s="107"/>
      <c r="N1864" s="67" t="str">
        <f aca="false">IF($E1864="","",INDEX(资金日记账!$Y$4:$Y$603,478))</f>
        <v/>
      </c>
      <c r="O1864" s="67" t="str">
        <f aca="false">IF($E1864="","","自动B")</f>
        <v/>
      </c>
      <c r="P1864" s="18"/>
    </row>
    <row r="1865" customFormat="false" ht="18" hidden="false" customHeight="true" outlineLevel="0" collapsed="false">
      <c r="A1865" s="107" t="str">
        <f aca="false">IF($E1865="","",ROW()-3)</f>
        <v/>
      </c>
      <c r="B1865" s="110" t="str">
        <f aca="false">IF($E1865="","",INDEX(资金日记账!$B$4:$B$603,478))</f>
        <v/>
      </c>
      <c r="C1865" s="67" t="str">
        <f aca="false">IF($E1865="","",IF(INDEX(资金日记账!$W$4:$W$603,478)="","记-"&amp;TEXT($B1865,"YYYYMM")&amp;"-资金",INDEX(资金日记账!$W$4:$W$603,478)))</f>
        <v/>
      </c>
      <c r="D1865" s="107" t="str">
        <f aca="false">IF($E1865="","",INDEX(资金日记账!$D$4:$D$603,478))</f>
        <v/>
      </c>
      <c r="E1865" s="67" t="str">
        <f aca="false">IF(INDEX(资金日记账!$N$4:$S$603,478,4)=0,"",INDEX(资金日记账!$N$4:$S$603,478,4))</f>
        <v/>
      </c>
      <c r="F1865" s="99" t="str">
        <f aca="false">IF($E1865="","",IFERROR(INDEX(科目表!$A$4:$A$81,MATCH($E1865,科目表!$B$4:$B$81,0)),""))</f>
        <v/>
      </c>
      <c r="G1865" s="67" t="str">
        <f aca="false">IF($E1865="","",IFERROR(INDEX(科目表!$E$4:$E$81,MATCH($E1865,科目表!$B$4:$B$81,0)),""))</f>
        <v/>
      </c>
      <c r="H1865" s="70" t="str">
        <f aca="false">IF($E1865="","",N(INDEX(资金日记账!$N$4:$S$603,478,5)))</f>
        <v/>
      </c>
      <c r="I1865" s="70" t="str">
        <f aca="false">IF($E1865="","",N(INDEX(资金日记账!$N$4:$S$603,478,6)))</f>
        <v/>
      </c>
      <c r="J1865" s="67" t="str">
        <f aca="false">IF($E1865="","",INDEX(资金日记账!$E$4:$E$603,478))</f>
        <v/>
      </c>
      <c r="K1865" s="67" t="str">
        <f aca="false">IF($E1865="","",INDEX(资金日记账!$F$4:$F$603,478))</f>
        <v/>
      </c>
      <c r="L1865" s="107" t="str">
        <f aca="false">IF($E1865="","",INDEX(资金日记账!$X$4:$X$603,478))</f>
        <v/>
      </c>
      <c r="M1865" s="107"/>
      <c r="N1865" s="67" t="str">
        <f aca="false">IF($E1865="","",INDEX(资金日记账!$Y$4:$Y$603,478))</f>
        <v/>
      </c>
      <c r="O1865" s="67" t="str">
        <f aca="false">IF($E1865="","","自动B")</f>
        <v/>
      </c>
      <c r="P1865" s="18"/>
    </row>
    <row r="1866" customFormat="false" ht="18" hidden="false" customHeight="true" outlineLevel="0" collapsed="false">
      <c r="A1866" s="107" t="str">
        <f aca="false">IF($E1866="","",ROW()-3)</f>
        <v/>
      </c>
      <c r="B1866" s="110" t="str">
        <f aca="false">IF($E1866="","",INDEX(资金日记账!$B$4:$B$603,479))</f>
        <v/>
      </c>
      <c r="C1866" s="67" t="str">
        <f aca="false">IF($E1866="","",IF(INDEX(资金日记账!$W$4:$W$603,479)="","记-"&amp;TEXT($B1866,"YYYYMM")&amp;"-资金",INDEX(资金日记账!$W$4:$W$603,479)))</f>
        <v/>
      </c>
      <c r="D1866" s="107" t="str">
        <f aca="false">IF($E1866="","",INDEX(资金日记账!$D$4:$D$603,479))</f>
        <v/>
      </c>
      <c r="E1866" s="67" t="str">
        <f aca="false">IF(INDEX(资金日记账!$N$4:$S$603,479,1)=0,"",INDEX(资金日记账!$N$4:$S$603,479,1))</f>
        <v/>
      </c>
      <c r="F1866" s="99" t="str">
        <f aca="false">IF($E1866="","",IFERROR(INDEX(科目表!$A$4:$A$81,MATCH($E1866,科目表!$B$4:$B$81,0)),""))</f>
        <v/>
      </c>
      <c r="G1866" s="67" t="str">
        <f aca="false">IF($E1866="","",IFERROR(INDEX(科目表!$E$4:$E$81,MATCH($E1866,科目表!$B$4:$B$81,0)),""))</f>
        <v/>
      </c>
      <c r="H1866" s="70" t="str">
        <f aca="false">IF($E1866="","",N(INDEX(资金日记账!$N$4:$S$603,479,2)))</f>
        <v/>
      </c>
      <c r="I1866" s="70" t="str">
        <f aca="false">IF($E1866="","",N(INDEX(资金日记账!$N$4:$S$603,479,3)))</f>
        <v/>
      </c>
      <c r="J1866" s="67" t="str">
        <f aca="false">IF($E1866="","",INDEX(资金日记账!$E$4:$E$603,479))</f>
        <v/>
      </c>
      <c r="K1866" s="67" t="str">
        <f aca="false">IF($E1866="","",INDEX(资金日记账!$F$4:$F$603,479))</f>
        <v/>
      </c>
      <c r="L1866" s="107" t="str">
        <f aca="false">IF($E1866="","",INDEX(资金日记账!$X$4:$X$603,479))</f>
        <v/>
      </c>
      <c r="M1866" s="107"/>
      <c r="N1866" s="67" t="str">
        <f aca="false">IF($E1866="","",INDEX(资金日记账!$Y$4:$Y$603,479))</f>
        <v/>
      </c>
      <c r="O1866" s="67" t="str">
        <f aca="false">IF($E1866="","","自动B")</f>
        <v/>
      </c>
      <c r="P1866" s="18"/>
    </row>
    <row r="1867" customFormat="false" ht="18" hidden="false" customHeight="true" outlineLevel="0" collapsed="false">
      <c r="A1867" s="107" t="str">
        <f aca="false">IF($E1867="","",ROW()-3)</f>
        <v/>
      </c>
      <c r="B1867" s="110" t="str">
        <f aca="false">IF($E1867="","",INDEX(资金日记账!$B$4:$B$603,479))</f>
        <v/>
      </c>
      <c r="C1867" s="67" t="str">
        <f aca="false">IF($E1867="","",IF(INDEX(资金日记账!$W$4:$W$603,479)="","记-"&amp;TEXT($B1867,"YYYYMM")&amp;"-资金",INDEX(资金日记账!$W$4:$W$603,479)))</f>
        <v/>
      </c>
      <c r="D1867" s="107" t="str">
        <f aca="false">IF($E1867="","",INDEX(资金日记账!$D$4:$D$603,479))</f>
        <v/>
      </c>
      <c r="E1867" s="67" t="str">
        <f aca="false">IF(INDEX(资金日记账!$N$4:$S$603,479,4)=0,"",INDEX(资金日记账!$N$4:$S$603,479,4))</f>
        <v/>
      </c>
      <c r="F1867" s="99" t="str">
        <f aca="false">IF($E1867="","",IFERROR(INDEX(科目表!$A$4:$A$81,MATCH($E1867,科目表!$B$4:$B$81,0)),""))</f>
        <v/>
      </c>
      <c r="G1867" s="67" t="str">
        <f aca="false">IF($E1867="","",IFERROR(INDEX(科目表!$E$4:$E$81,MATCH($E1867,科目表!$B$4:$B$81,0)),""))</f>
        <v/>
      </c>
      <c r="H1867" s="70" t="str">
        <f aca="false">IF($E1867="","",N(INDEX(资金日记账!$N$4:$S$603,479,5)))</f>
        <v/>
      </c>
      <c r="I1867" s="70" t="str">
        <f aca="false">IF($E1867="","",N(INDEX(资金日记账!$N$4:$S$603,479,6)))</f>
        <v/>
      </c>
      <c r="J1867" s="67" t="str">
        <f aca="false">IF($E1867="","",INDEX(资金日记账!$E$4:$E$603,479))</f>
        <v/>
      </c>
      <c r="K1867" s="67" t="str">
        <f aca="false">IF($E1867="","",INDEX(资金日记账!$F$4:$F$603,479))</f>
        <v/>
      </c>
      <c r="L1867" s="107" t="str">
        <f aca="false">IF($E1867="","",INDEX(资金日记账!$X$4:$X$603,479))</f>
        <v/>
      </c>
      <c r="M1867" s="107"/>
      <c r="N1867" s="67" t="str">
        <f aca="false">IF($E1867="","",INDEX(资金日记账!$Y$4:$Y$603,479))</f>
        <v/>
      </c>
      <c r="O1867" s="67" t="str">
        <f aca="false">IF($E1867="","","自动B")</f>
        <v/>
      </c>
      <c r="P1867" s="18"/>
    </row>
    <row r="1868" customFormat="false" ht="18" hidden="false" customHeight="true" outlineLevel="0" collapsed="false">
      <c r="A1868" s="107" t="str">
        <f aca="false">IF($E1868="","",ROW()-3)</f>
        <v/>
      </c>
      <c r="B1868" s="110" t="str">
        <f aca="false">IF($E1868="","",INDEX(资金日记账!$B$4:$B$603,480))</f>
        <v/>
      </c>
      <c r="C1868" s="67" t="str">
        <f aca="false">IF($E1868="","",IF(INDEX(资金日记账!$W$4:$W$603,480)="","记-"&amp;TEXT($B1868,"YYYYMM")&amp;"-资金",INDEX(资金日记账!$W$4:$W$603,480)))</f>
        <v/>
      </c>
      <c r="D1868" s="107" t="str">
        <f aca="false">IF($E1868="","",INDEX(资金日记账!$D$4:$D$603,480))</f>
        <v/>
      </c>
      <c r="E1868" s="67" t="str">
        <f aca="false">IF(INDEX(资金日记账!$N$4:$S$603,480,1)=0,"",INDEX(资金日记账!$N$4:$S$603,480,1))</f>
        <v/>
      </c>
      <c r="F1868" s="99" t="str">
        <f aca="false">IF($E1868="","",IFERROR(INDEX(科目表!$A$4:$A$81,MATCH($E1868,科目表!$B$4:$B$81,0)),""))</f>
        <v/>
      </c>
      <c r="G1868" s="67" t="str">
        <f aca="false">IF($E1868="","",IFERROR(INDEX(科目表!$E$4:$E$81,MATCH($E1868,科目表!$B$4:$B$81,0)),""))</f>
        <v/>
      </c>
      <c r="H1868" s="70" t="str">
        <f aca="false">IF($E1868="","",N(INDEX(资金日记账!$N$4:$S$603,480,2)))</f>
        <v/>
      </c>
      <c r="I1868" s="70" t="str">
        <f aca="false">IF($E1868="","",N(INDEX(资金日记账!$N$4:$S$603,480,3)))</f>
        <v/>
      </c>
      <c r="J1868" s="67" t="str">
        <f aca="false">IF($E1868="","",INDEX(资金日记账!$E$4:$E$603,480))</f>
        <v/>
      </c>
      <c r="K1868" s="67" t="str">
        <f aca="false">IF($E1868="","",INDEX(资金日记账!$F$4:$F$603,480))</f>
        <v/>
      </c>
      <c r="L1868" s="107" t="str">
        <f aca="false">IF($E1868="","",INDEX(资金日记账!$X$4:$X$603,480))</f>
        <v/>
      </c>
      <c r="M1868" s="107"/>
      <c r="N1868" s="67" t="str">
        <f aca="false">IF($E1868="","",INDEX(资金日记账!$Y$4:$Y$603,480))</f>
        <v/>
      </c>
      <c r="O1868" s="67" t="str">
        <f aca="false">IF($E1868="","","自动B")</f>
        <v/>
      </c>
      <c r="P1868" s="18"/>
    </row>
    <row r="1869" customFormat="false" ht="18" hidden="false" customHeight="true" outlineLevel="0" collapsed="false">
      <c r="A1869" s="107" t="str">
        <f aca="false">IF($E1869="","",ROW()-3)</f>
        <v/>
      </c>
      <c r="B1869" s="110" t="str">
        <f aca="false">IF($E1869="","",INDEX(资金日记账!$B$4:$B$603,480))</f>
        <v/>
      </c>
      <c r="C1869" s="67" t="str">
        <f aca="false">IF($E1869="","",IF(INDEX(资金日记账!$W$4:$W$603,480)="","记-"&amp;TEXT($B1869,"YYYYMM")&amp;"-资金",INDEX(资金日记账!$W$4:$W$603,480)))</f>
        <v/>
      </c>
      <c r="D1869" s="107" t="str">
        <f aca="false">IF($E1869="","",INDEX(资金日记账!$D$4:$D$603,480))</f>
        <v/>
      </c>
      <c r="E1869" s="67" t="str">
        <f aca="false">IF(INDEX(资金日记账!$N$4:$S$603,480,4)=0,"",INDEX(资金日记账!$N$4:$S$603,480,4))</f>
        <v/>
      </c>
      <c r="F1869" s="99" t="str">
        <f aca="false">IF($E1869="","",IFERROR(INDEX(科目表!$A$4:$A$81,MATCH($E1869,科目表!$B$4:$B$81,0)),""))</f>
        <v/>
      </c>
      <c r="G1869" s="67" t="str">
        <f aca="false">IF($E1869="","",IFERROR(INDEX(科目表!$E$4:$E$81,MATCH($E1869,科目表!$B$4:$B$81,0)),""))</f>
        <v/>
      </c>
      <c r="H1869" s="70" t="str">
        <f aca="false">IF($E1869="","",N(INDEX(资金日记账!$N$4:$S$603,480,5)))</f>
        <v/>
      </c>
      <c r="I1869" s="70" t="str">
        <f aca="false">IF($E1869="","",N(INDEX(资金日记账!$N$4:$S$603,480,6)))</f>
        <v/>
      </c>
      <c r="J1869" s="67" t="str">
        <f aca="false">IF($E1869="","",INDEX(资金日记账!$E$4:$E$603,480))</f>
        <v/>
      </c>
      <c r="K1869" s="67" t="str">
        <f aca="false">IF($E1869="","",INDEX(资金日记账!$F$4:$F$603,480))</f>
        <v/>
      </c>
      <c r="L1869" s="107" t="str">
        <f aca="false">IF($E1869="","",INDEX(资金日记账!$X$4:$X$603,480))</f>
        <v/>
      </c>
      <c r="M1869" s="107"/>
      <c r="N1869" s="67" t="str">
        <f aca="false">IF($E1869="","",INDEX(资金日记账!$Y$4:$Y$603,480))</f>
        <v/>
      </c>
      <c r="O1869" s="67" t="str">
        <f aca="false">IF($E1869="","","自动B")</f>
        <v/>
      </c>
      <c r="P1869" s="18"/>
    </row>
    <row r="1870" customFormat="false" ht="18" hidden="false" customHeight="true" outlineLevel="0" collapsed="false">
      <c r="A1870" s="107" t="str">
        <f aca="false">IF($E1870="","",ROW()-3)</f>
        <v/>
      </c>
      <c r="B1870" s="110" t="str">
        <f aca="false">IF($E1870="","",INDEX(资金日记账!$B$4:$B$603,481))</f>
        <v/>
      </c>
      <c r="C1870" s="67" t="str">
        <f aca="false">IF($E1870="","",IF(INDEX(资金日记账!$W$4:$W$603,481)="","记-"&amp;TEXT($B1870,"YYYYMM")&amp;"-资金",INDEX(资金日记账!$W$4:$W$603,481)))</f>
        <v/>
      </c>
      <c r="D1870" s="107" t="str">
        <f aca="false">IF($E1870="","",INDEX(资金日记账!$D$4:$D$603,481))</f>
        <v/>
      </c>
      <c r="E1870" s="67" t="str">
        <f aca="false">IF(INDEX(资金日记账!$N$4:$S$603,481,1)=0,"",INDEX(资金日记账!$N$4:$S$603,481,1))</f>
        <v/>
      </c>
      <c r="F1870" s="99" t="str">
        <f aca="false">IF($E1870="","",IFERROR(INDEX(科目表!$A$4:$A$81,MATCH($E1870,科目表!$B$4:$B$81,0)),""))</f>
        <v/>
      </c>
      <c r="G1870" s="67" t="str">
        <f aca="false">IF($E1870="","",IFERROR(INDEX(科目表!$E$4:$E$81,MATCH($E1870,科目表!$B$4:$B$81,0)),""))</f>
        <v/>
      </c>
      <c r="H1870" s="70" t="str">
        <f aca="false">IF($E1870="","",N(INDEX(资金日记账!$N$4:$S$603,481,2)))</f>
        <v/>
      </c>
      <c r="I1870" s="70" t="str">
        <f aca="false">IF($E1870="","",N(INDEX(资金日记账!$N$4:$S$603,481,3)))</f>
        <v/>
      </c>
      <c r="J1870" s="67" t="str">
        <f aca="false">IF($E1870="","",INDEX(资金日记账!$E$4:$E$603,481))</f>
        <v/>
      </c>
      <c r="K1870" s="67" t="str">
        <f aca="false">IF($E1870="","",INDEX(资金日记账!$F$4:$F$603,481))</f>
        <v/>
      </c>
      <c r="L1870" s="107" t="str">
        <f aca="false">IF($E1870="","",INDEX(资金日记账!$X$4:$X$603,481))</f>
        <v/>
      </c>
      <c r="M1870" s="107"/>
      <c r="N1870" s="67" t="str">
        <f aca="false">IF($E1870="","",INDEX(资金日记账!$Y$4:$Y$603,481))</f>
        <v/>
      </c>
      <c r="O1870" s="67" t="str">
        <f aca="false">IF($E1870="","","自动B")</f>
        <v/>
      </c>
      <c r="P1870" s="18"/>
    </row>
    <row r="1871" customFormat="false" ht="18" hidden="false" customHeight="true" outlineLevel="0" collapsed="false">
      <c r="A1871" s="107" t="str">
        <f aca="false">IF($E1871="","",ROW()-3)</f>
        <v/>
      </c>
      <c r="B1871" s="110" t="str">
        <f aca="false">IF($E1871="","",INDEX(资金日记账!$B$4:$B$603,481))</f>
        <v/>
      </c>
      <c r="C1871" s="67" t="str">
        <f aca="false">IF($E1871="","",IF(INDEX(资金日记账!$W$4:$W$603,481)="","记-"&amp;TEXT($B1871,"YYYYMM")&amp;"-资金",INDEX(资金日记账!$W$4:$W$603,481)))</f>
        <v/>
      </c>
      <c r="D1871" s="107" t="str">
        <f aca="false">IF($E1871="","",INDEX(资金日记账!$D$4:$D$603,481))</f>
        <v/>
      </c>
      <c r="E1871" s="67" t="str">
        <f aca="false">IF(INDEX(资金日记账!$N$4:$S$603,481,4)=0,"",INDEX(资金日记账!$N$4:$S$603,481,4))</f>
        <v/>
      </c>
      <c r="F1871" s="99" t="str">
        <f aca="false">IF($E1871="","",IFERROR(INDEX(科目表!$A$4:$A$81,MATCH($E1871,科目表!$B$4:$B$81,0)),""))</f>
        <v/>
      </c>
      <c r="G1871" s="67" t="str">
        <f aca="false">IF($E1871="","",IFERROR(INDEX(科目表!$E$4:$E$81,MATCH($E1871,科目表!$B$4:$B$81,0)),""))</f>
        <v/>
      </c>
      <c r="H1871" s="70" t="str">
        <f aca="false">IF($E1871="","",N(INDEX(资金日记账!$N$4:$S$603,481,5)))</f>
        <v/>
      </c>
      <c r="I1871" s="70" t="str">
        <f aca="false">IF($E1871="","",N(INDEX(资金日记账!$N$4:$S$603,481,6)))</f>
        <v/>
      </c>
      <c r="J1871" s="67" t="str">
        <f aca="false">IF($E1871="","",INDEX(资金日记账!$E$4:$E$603,481))</f>
        <v/>
      </c>
      <c r="K1871" s="67" t="str">
        <f aca="false">IF($E1871="","",INDEX(资金日记账!$F$4:$F$603,481))</f>
        <v/>
      </c>
      <c r="L1871" s="107" t="str">
        <f aca="false">IF($E1871="","",INDEX(资金日记账!$X$4:$X$603,481))</f>
        <v/>
      </c>
      <c r="M1871" s="107"/>
      <c r="N1871" s="67" t="str">
        <f aca="false">IF($E1871="","",INDEX(资金日记账!$Y$4:$Y$603,481))</f>
        <v/>
      </c>
      <c r="O1871" s="67" t="str">
        <f aca="false">IF($E1871="","","自动B")</f>
        <v/>
      </c>
      <c r="P1871" s="18"/>
    </row>
    <row r="1872" customFormat="false" ht="18" hidden="false" customHeight="true" outlineLevel="0" collapsed="false">
      <c r="A1872" s="107" t="str">
        <f aca="false">IF($E1872="","",ROW()-3)</f>
        <v/>
      </c>
      <c r="B1872" s="110" t="str">
        <f aca="false">IF($E1872="","",INDEX(资金日记账!$B$4:$B$603,482))</f>
        <v/>
      </c>
      <c r="C1872" s="67" t="str">
        <f aca="false">IF($E1872="","",IF(INDEX(资金日记账!$W$4:$W$603,482)="","记-"&amp;TEXT($B1872,"YYYYMM")&amp;"-资金",INDEX(资金日记账!$W$4:$W$603,482)))</f>
        <v/>
      </c>
      <c r="D1872" s="107" t="str">
        <f aca="false">IF($E1872="","",INDEX(资金日记账!$D$4:$D$603,482))</f>
        <v/>
      </c>
      <c r="E1872" s="67" t="str">
        <f aca="false">IF(INDEX(资金日记账!$N$4:$S$603,482,1)=0,"",INDEX(资金日记账!$N$4:$S$603,482,1))</f>
        <v/>
      </c>
      <c r="F1872" s="99" t="str">
        <f aca="false">IF($E1872="","",IFERROR(INDEX(科目表!$A$4:$A$81,MATCH($E1872,科目表!$B$4:$B$81,0)),""))</f>
        <v/>
      </c>
      <c r="G1872" s="67" t="str">
        <f aca="false">IF($E1872="","",IFERROR(INDEX(科目表!$E$4:$E$81,MATCH($E1872,科目表!$B$4:$B$81,0)),""))</f>
        <v/>
      </c>
      <c r="H1872" s="70" t="str">
        <f aca="false">IF($E1872="","",N(INDEX(资金日记账!$N$4:$S$603,482,2)))</f>
        <v/>
      </c>
      <c r="I1872" s="70" t="str">
        <f aca="false">IF($E1872="","",N(INDEX(资金日记账!$N$4:$S$603,482,3)))</f>
        <v/>
      </c>
      <c r="J1872" s="67" t="str">
        <f aca="false">IF($E1872="","",INDEX(资金日记账!$E$4:$E$603,482))</f>
        <v/>
      </c>
      <c r="K1872" s="67" t="str">
        <f aca="false">IF($E1872="","",INDEX(资金日记账!$F$4:$F$603,482))</f>
        <v/>
      </c>
      <c r="L1872" s="107" t="str">
        <f aca="false">IF($E1872="","",INDEX(资金日记账!$X$4:$X$603,482))</f>
        <v/>
      </c>
      <c r="M1872" s="107"/>
      <c r="N1872" s="67" t="str">
        <f aca="false">IF($E1872="","",INDEX(资金日记账!$Y$4:$Y$603,482))</f>
        <v/>
      </c>
      <c r="O1872" s="67" t="str">
        <f aca="false">IF($E1872="","","自动B")</f>
        <v/>
      </c>
      <c r="P1872" s="18"/>
    </row>
    <row r="1873" customFormat="false" ht="18" hidden="false" customHeight="true" outlineLevel="0" collapsed="false">
      <c r="A1873" s="107" t="str">
        <f aca="false">IF($E1873="","",ROW()-3)</f>
        <v/>
      </c>
      <c r="B1873" s="110" t="str">
        <f aca="false">IF($E1873="","",INDEX(资金日记账!$B$4:$B$603,482))</f>
        <v/>
      </c>
      <c r="C1873" s="67" t="str">
        <f aca="false">IF($E1873="","",IF(INDEX(资金日记账!$W$4:$W$603,482)="","记-"&amp;TEXT($B1873,"YYYYMM")&amp;"-资金",INDEX(资金日记账!$W$4:$W$603,482)))</f>
        <v/>
      </c>
      <c r="D1873" s="107" t="str">
        <f aca="false">IF($E1873="","",INDEX(资金日记账!$D$4:$D$603,482))</f>
        <v/>
      </c>
      <c r="E1873" s="67" t="str">
        <f aca="false">IF(INDEX(资金日记账!$N$4:$S$603,482,4)=0,"",INDEX(资金日记账!$N$4:$S$603,482,4))</f>
        <v/>
      </c>
      <c r="F1873" s="99" t="str">
        <f aca="false">IF($E1873="","",IFERROR(INDEX(科目表!$A$4:$A$81,MATCH($E1873,科目表!$B$4:$B$81,0)),""))</f>
        <v/>
      </c>
      <c r="G1873" s="67" t="str">
        <f aca="false">IF($E1873="","",IFERROR(INDEX(科目表!$E$4:$E$81,MATCH($E1873,科目表!$B$4:$B$81,0)),""))</f>
        <v/>
      </c>
      <c r="H1873" s="70" t="str">
        <f aca="false">IF($E1873="","",N(INDEX(资金日记账!$N$4:$S$603,482,5)))</f>
        <v/>
      </c>
      <c r="I1873" s="70" t="str">
        <f aca="false">IF($E1873="","",N(INDEX(资金日记账!$N$4:$S$603,482,6)))</f>
        <v/>
      </c>
      <c r="J1873" s="67" t="str">
        <f aca="false">IF($E1873="","",INDEX(资金日记账!$E$4:$E$603,482))</f>
        <v/>
      </c>
      <c r="K1873" s="67" t="str">
        <f aca="false">IF($E1873="","",INDEX(资金日记账!$F$4:$F$603,482))</f>
        <v/>
      </c>
      <c r="L1873" s="107" t="str">
        <f aca="false">IF($E1873="","",INDEX(资金日记账!$X$4:$X$603,482))</f>
        <v/>
      </c>
      <c r="M1873" s="107"/>
      <c r="N1873" s="67" t="str">
        <f aca="false">IF($E1873="","",INDEX(资金日记账!$Y$4:$Y$603,482))</f>
        <v/>
      </c>
      <c r="O1873" s="67" t="str">
        <f aca="false">IF($E1873="","","自动B")</f>
        <v/>
      </c>
      <c r="P1873" s="18"/>
    </row>
    <row r="1874" customFormat="false" ht="18" hidden="false" customHeight="true" outlineLevel="0" collapsed="false">
      <c r="A1874" s="107" t="str">
        <f aca="false">IF($E1874="","",ROW()-3)</f>
        <v/>
      </c>
      <c r="B1874" s="110" t="str">
        <f aca="false">IF($E1874="","",INDEX(资金日记账!$B$4:$B$603,483))</f>
        <v/>
      </c>
      <c r="C1874" s="67" t="str">
        <f aca="false">IF($E1874="","",IF(INDEX(资金日记账!$W$4:$W$603,483)="","记-"&amp;TEXT($B1874,"YYYYMM")&amp;"-资金",INDEX(资金日记账!$W$4:$W$603,483)))</f>
        <v/>
      </c>
      <c r="D1874" s="107" t="str">
        <f aca="false">IF($E1874="","",INDEX(资金日记账!$D$4:$D$603,483))</f>
        <v/>
      </c>
      <c r="E1874" s="67" t="str">
        <f aca="false">IF(INDEX(资金日记账!$N$4:$S$603,483,1)=0,"",INDEX(资金日记账!$N$4:$S$603,483,1))</f>
        <v/>
      </c>
      <c r="F1874" s="99" t="str">
        <f aca="false">IF($E1874="","",IFERROR(INDEX(科目表!$A$4:$A$81,MATCH($E1874,科目表!$B$4:$B$81,0)),""))</f>
        <v/>
      </c>
      <c r="G1874" s="67" t="str">
        <f aca="false">IF($E1874="","",IFERROR(INDEX(科目表!$E$4:$E$81,MATCH($E1874,科目表!$B$4:$B$81,0)),""))</f>
        <v/>
      </c>
      <c r="H1874" s="70" t="str">
        <f aca="false">IF($E1874="","",N(INDEX(资金日记账!$N$4:$S$603,483,2)))</f>
        <v/>
      </c>
      <c r="I1874" s="70" t="str">
        <f aca="false">IF($E1874="","",N(INDEX(资金日记账!$N$4:$S$603,483,3)))</f>
        <v/>
      </c>
      <c r="J1874" s="67" t="str">
        <f aca="false">IF($E1874="","",INDEX(资金日记账!$E$4:$E$603,483))</f>
        <v/>
      </c>
      <c r="K1874" s="67" t="str">
        <f aca="false">IF($E1874="","",INDEX(资金日记账!$F$4:$F$603,483))</f>
        <v/>
      </c>
      <c r="L1874" s="107" t="str">
        <f aca="false">IF($E1874="","",INDEX(资金日记账!$X$4:$X$603,483))</f>
        <v/>
      </c>
      <c r="M1874" s="107"/>
      <c r="N1874" s="67" t="str">
        <f aca="false">IF($E1874="","",INDEX(资金日记账!$Y$4:$Y$603,483))</f>
        <v/>
      </c>
      <c r="O1874" s="67" t="str">
        <f aca="false">IF($E1874="","","自动B")</f>
        <v/>
      </c>
      <c r="P1874" s="18"/>
    </row>
    <row r="1875" customFormat="false" ht="18" hidden="false" customHeight="true" outlineLevel="0" collapsed="false">
      <c r="A1875" s="107" t="str">
        <f aca="false">IF($E1875="","",ROW()-3)</f>
        <v/>
      </c>
      <c r="B1875" s="110" t="str">
        <f aca="false">IF($E1875="","",INDEX(资金日记账!$B$4:$B$603,483))</f>
        <v/>
      </c>
      <c r="C1875" s="67" t="str">
        <f aca="false">IF($E1875="","",IF(INDEX(资金日记账!$W$4:$W$603,483)="","记-"&amp;TEXT($B1875,"YYYYMM")&amp;"-资金",INDEX(资金日记账!$W$4:$W$603,483)))</f>
        <v/>
      </c>
      <c r="D1875" s="107" t="str">
        <f aca="false">IF($E1875="","",INDEX(资金日记账!$D$4:$D$603,483))</f>
        <v/>
      </c>
      <c r="E1875" s="67" t="str">
        <f aca="false">IF(INDEX(资金日记账!$N$4:$S$603,483,4)=0,"",INDEX(资金日记账!$N$4:$S$603,483,4))</f>
        <v/>
      </c>
      <c r="F1875" s="99" t="str">
        <f aca="false">IF($E1875="","",IFERROR(INDEX(科目表!$A$4:$A$81,MATCH($E1875,科目表!$B$4:$B$81,0)),""))</f>
        <v/>
      </c>
      <c r="G1875" s="67" t="str">
        <f aca="false">IF($E1875="","",IFERROR(INDEX(科目表!$E$4:$E$81,MATCH($E1875,科目表!$B$4:$B$81,0)),""))</f>
        <v/>
      </c>
      <c r="H1875" s="70" t="str">
        <f aca="false">IF($E1875="","",N(INDEX(资金日记账!$N$4:$S$603,483,5)))</f>
        <v/>
      </c>
      <c r="I1875" s="70" t="str">
        <f aca="false">IF($E1875="","",N(INDEX(资金日记账!$N$4:$S$603,483,6)))</f>
        <v/>
      </c>
      <c r="J1875" s="67" t="str">
        <f aca="false">IF($E1875="","",INDEX(资金日记账!$E$4:$E$603,483))</f>
        <v/>
      </c>
      <c r="K1875" s="67" t="str">
        <f aca="false">IF($E1875="","",INDEX(资金日记账!$F$4:$F$603,483))</f>
        <v/>
      </c>
      <c r="L1875" s="107" t="str">
        <f aca="false">IF($E1875="","",INDEX(资金日记账!$X$4:$X$603,483))</f>
        <v/>
      </c>
      <c r="M1875" s="107"/>
      <c r="N1875" s="67" t="str">
        <f aca="false">IF($E1875="","",INDEX(资金日记账!$Y$4:$Y$603,483))</f>
        <v/>
      </c>
      <c r="O1875" s="67" t="str">
        <f aca="false">IF($E1875="","","自动B")</f>
        <v/>
      </c>
      <c r="P1875" s="18"/>
    </row>
    <row r="1876" customFormat="false" ht="18" hidden="false" customHeight="true" outlineLevel="0" collapsed="false">
      <c r="A1876" s="107" t="str">
        <f aca="false">IF($E1876="","",ROW()-3)</f>
        <v/>
      </c>
      <c r="B1876" s="110" t="str">
        <f aca="false">IF($E1876="","",INDEX(资金日记账!$B$4:$B$603,484))</f>
        <v/>
      </c>
      <c r="C1876" s="67" t="str">
        <f aca="false">IF($E1876="","",IF(INDEX(资金日记账!$W$4:$W$603,484)="","记-"&amp;TEXT($B1876,"YYYYMM")&amp;"-资金",INDEX(资金日记账!$W$4:$W$603,484)))</f>
        <v/>
      </c>
      <c r="D1876" s="107" t="str">
        <f aca="false">IF($E1876="","",INDEX(资金日记账!$D$4:$D$603,484))</f>
        <v/>
      </c>
      <c r="E1876" s="67" t="str">
        <f aca="false">IF(INDEX(资金日记账!$N$4:$S$603,484,1)=0,"",INDEX(资金日记账!$N$4:$S$603,484,1))</f>
        <v/>
      </c>
      <c r="F1876" s="99" t="str">
        <f aca="false">IF($E1876="","",IFERROR(INDEX(科目表!$A$4:$A$81,MATCH($E1876,科目表!$B$4:$B$81,0)),""))</f>
        <v/>
      </c>
      <c r="G1876" s="67" t="str">
        <f aca="false">IF($E1876="","",IFERROR(INDEX(科目表!$E$4:$E$81,MATCH($E1876,科目表!$B$4:$B$81,0)),""))</f>
        <v/>
      </c>
      <c r="H1876" s="70" t="str">
        <f aca="false">IF($E1876="","",N(INDEX(资金日记账!$N$4:$S$603,484,2)))</f>
        <v/>
      </c>
      <c r="I1876" s="70" t="str">
        <f aca="false">IF($E1876="","",N(INDEX(资金日记账!$N$4:$S$603,484,3)))</f>
        <v/>
      </c>
      <c r="J1876" s="67" t="str">
        <f aca="false">IF($E1876="","",INDEX(资金日记账!$E$4:$E$603,484))</f>
        <v/>
      </c>
      <c r="K1876" s="67" t="str">
        <f aca="false">IF($E1876="","",INDEX(资金日记账!$F$4:$F$603,484))</f>
        <v/>
      </c>
      <c r="L1876" s="107" t="str">
        <f aca="false">IF($E1876="","",INDEX(资金日记账!$X$4:$X$603,484))</f>
        <v/>
      </c>
      <c r="M1876" s="107"/>
      <c r="N1876" s="67" t="str">
        <f aca="false">IF($E1876="","",INDEX(资金日记账!$Y$4:$Y$603,484))</f>
        <v/>
      </c>
      <c r="O1876" s="67" t="str">
        <f aca="false">IF($E1876="","","自动B")</f>
        <v/>
      </c>
      <c r="P1876" s="18"/>
    </row>
    <row r="1877" customFormat="false" ht="18" hidden="false" customHeight="true" outlineLevel="0" collapsed="false">
      <c r="A1877" s="107" t="str">
        <f aca="false">IF($E1877="","",ROW()-3)</f>
        <v/>
      </c>
      <c r="B1877" s="110" t="str">
        <f aca="false">IF($E1877="","",INDEX(资金日记账!$B$4:$B$603,484))</f>
        <v/>
      </c>
      <c r="C1877" s="67" t="str">
        <f aca="false">IF($E1877="","",IF(INDEX(资金日记账!$W$4:$W$603,484)="","记-"&amp;TEXT($B1877,"YYYYMM")&amp;"-资金",INDEX(资金日记账!$W$4:$W$603,484)))</f>
        <v/>
      </c>
      <c r="D1877" s="107" t="str">
        <f aca="false">IF($E1877="","",INDEX(资金日记账!$D$4:$D$603,484))</f>
        <v/>
      </c>
      <c r="E1877" s="67" t="str">
        <f aca="false">IF(INDEX(资金日记账!$N$4:$S$603,484,4)=0,"",INDEX(资金日记账!$N$4:$S$603,484,4))</f>
        <v/>
      </c>
      <c r="F1877" s="99" t="str">
        <f aca="false">IF($E1877="","",IFERROR(INDEX(科目表!$A$4:$A$81,MATCH($E1877,科目表!$B$4:$B$81,0)),""))</f>
        <v/>
      </c>
      <c r="G1877" s="67" t="str">
        <f aca="false">IF($E1877="","",IFERROR(INDEX(科目表!$E$4:$E$81,MATCH($E1877,科目表!$B$4:$B$81,0)),""))</f>
        <v/>
      </c>
      <c r="H1877" s="70" t="str">
        <f aca="false">IF($E1877="","",N(INDEX(资金日记账!$N$4:$S$603,484,5)))</f>
        <v/>
      </c>
      <c r="I1877" s="70" t="str">
        <f aca="false">IF($E1877="","",N(INDEX(资金日记账!$N$4:$S$603,484,6)))</f>
        <v/>
      </c>
      <c r="J1877" s="67" t="str">
        <f aca="false">IF($E1877="","",INDEX(资金日记账!$E$4:$E$603,484))</f>
        <v/>
      </c>
      <c r="K1877" s="67" t="str">
        <f aca="false">IF($E1877="","",INDEX(资金日记账!$F$4:$F$603,484))</f>
        <v/>
      </c>
      <c r="L1877" s="107" t="str">
        <f aca="false">IF($E1877="","",INDEX(资金日记账!$X$4:$X$603,484))</f>
        <v/>
      </c>
      <c r="M1877" s="107"/>
      <c r="N1877" s="67" t="str">
        <f aca="false">IF($E1877="","",INDEX(资金日记账!$Y$4:$Y$603,484))</f>
        <v/>
      </c>
      <c r="O1877" s="67" t="str">
        <f aca="false">IF($E1877="","","自动B")</f>
        <v/>
      </c>
      <c r="P1877" s="18"/>
    </row>
    <row r="1878" customFormat="false" ht="18" hidden="false" customHeight="true" outlineLevel="0" collapsed="false">
      <c r="A1878" s="107" t="str">
        <f aca="false">IF($E1878="","",ROW()-3)</f>
        <v/>
      </c>
      <c r="B1878" s="110" t="str">
        <f aca="false">IF($E1878="","",INDEX(资金日记账!$B$4:$B$603,485))</f>
        <v/>
      </c>
      <c r="C1878" s="67" t="str">
        <f aca="false">IF($E1878="","",IF(INDEX(资金日记账!$W$4:$W$603,485)="","记-"&amp;TEXT($B1878,"YYYYMM")&amp;"-资金",INDEX(资金日记账!$W$4:$W$603,485)))</f>
        <v/>
      </c>
      <c r="D1878" s="107" t="str">
        <f aca="false">IF($E1878="","",INDEX(资金日记账!$D$4:$D$603,485))</f>
        <v/>
      </c>
      <c r="E1878" s="67" t="str">
        <f aca="false">IF(INDEX(资金日记账!$N$4:$S$603,485,1)=0,"",INDEX(资金日记账!$N$4:$S$603,485,1))</f>
        <v/>
      </c>
      <c r="F1878" s="99" t="str">
        <f aca="false">IF($E1878="","",IFERROR(INDEX(科目表!$A$4:$A$81,MATCH($E1878,科目表!$B$4:$B$81,0)),""))</f>
        <v/>
      </c>
      <c r="G1878" s="67" t="str">
        <f aca="false">IF($E1878="","",IFERROR(INDEX(科目表!$E$4:$E$81,MATCH($E1878,科目表!$B$4:$B$81,0)),""))</f>
        <v/>
      </c>
      <c r="H1878" s="70" t="str">
        <f aca="false">IF($E1878="","",N(INDEX(资金日记账!$N$4:$S$603,485,2)))</f>
        <v/>
      </c>
      <c r="I1878" s="70" t="str">
        <f aca="false">IF($E1878="","",N(INDEX(资金日记账!$N$4:$S$603,485,3)))</f>
        <v/>
      </c>
      <c r="J1878" s="67" t="str">
        <f aca="false">IF($E1878="","",INDEX(资金日记账!$E$4:$E$603,485))</f>
        <v/>
      </c>
      <c r="K1878" s="67" t="str">
        <f aca="false">IF($E1878="","",INDEX(资金日记账!$F$4:$F$603,485))</f>
        <v/>
      </c>
      <c r="L1878" s="107" t="str">
        <f aca="false">IF($E1878="","",INDEX(资金日记账!$X$4:$X$603,485))</f>
        <v/>
      </c>
      <c r="M1878" s="107"/>
      <c r="N1878" s="67" t="str">
        <f aca="false">IF($E1878="","",INDEX(资金日记账!$Y$4:$Y$603,485))</f>
        <v/>
      </c>
      <c r="O1878" s="67" t="str">
        <f aca="false">IF($E1878="","","自动B")</f>
        <v/>
      </c>
      <c r="P1878" s="18"/>
    </row>
    <row r="1879" customFormat="false" ht="18" hidden="false" customHeight="true" outlineLevel="0" collapsed="false">
      <c r="A1879" s="107" t="str">
        <f aca="false">IF($E1879="","",ROW()-3)</f>
        <v/>
      </c>
      <c r="B1879" s="110" t="str">
        <f aca="false">IF($E1879="","",INDEX(资金日记账!$B$4:$B$603,485))</f>
        <v/>
      </c>
      <c r="C1879" s="67" t="str">
        <f aca="false">IF($E1879="","",IF(INDEX(资金日记账!$W$4:$W$603,485)="","记-"&amp;TEXT($B1879,"YYYYMM")&amp;"-资金",INDEX(资金日记账!$W$4:$W$603,485)))</f>
        <v/>
      </c>
      <c r="D1879" s="107" t="str">
        <f aca="false">IF($E1879="","",INDEX(资金日记账!$D$4:$D$603,485))</f>
        <v/>
      </c>
      <c r="E1879" s="67" t="str">
        <f aca="false">IF(INDEX(资金日记账!$N$4:$S$603,485,4)=0,"",INDEX(资金日记账!$N$4:$S$603,485,4))</f>
        <v/>
      </c>
      <c r="F1879" s="99" t="str">
        <f aca="false">IF($E1879="","",IFERROR(INDEX(科目表!$A$4:$A$81,MATCH($E1879,科目表!$B$4:$B$81,0)),""))</f>
        <v/>
      </c>
      <c r="G1879" s="67" t="str">
        <f aca="false">IF($E1879="","",IFERROR(INDEX(科目表!$E$4:$E$81,MATCH($E1879,科目表!$B$4:$B$81,0)),""))</f>
        <v/>
      </c>
      <c r="H1879" s="70" t="str">
        <f aca="false">IF($E1879="","",N(INDEX(资金日记账!$N$4:$S$603,485,5)))</f>
        <v/>
      </c>
      <c r="I1879" s="70" t="str">
        <f aca="false">IF($E1879="","",N(INDEX(资金日记账!$N$4:$S$603,485,6)))</f>
        <v/>
      </c>
      <c r="J1879" s="67" t="str">
        <f aca="false">IF($E1879="","",INDEX(资金日记账!$E$4:$E$603,485))</f>
        <v/>
      </c>
      <c r="K1879" s="67" t="str">
        <f aca="false">IF($E1879="","",INDEX(资金日记账!$F$4:$F$603,485))</f>
        <v/>
      </c>
      <c r="L1879" s="107" t="str">
        <f aca="false">IF($E1879="","",INDEX(资金日记账!$X$4:$X$603,485))</f>
        <v/>
      </c>
      <c r="M1879" s="107"/>
      <c r="N1879" s="67" t="str">
        <f aca="false">IF($E1879="","",INDEX(资金日记账!$Y$4:$Y$603,485))</f>
        <v/>
      </c>
      <c r="O1879" s="67" t="str">
        <f aca="false">IF($E1879="","","自动B")</f>
        <v/>
      </c>
      <c r="P1879" s="18"/>
    </row>
    <row r="1880" customFormat="false" ht="18" hidden="false" customHeight="true" outlineLevel="0" collapsed="false">
      <c r="A1880" s="107" t="str">
        <f aca="false">IF($E1880="","",ROW()-3)</f>
        <v/>
      </c>
      <c r="B1880" s="110" t="str">
        <f aca="false">IF($E1880="","",INDEX(资金日记账!$B$4:$B$603,486))</f>
        <v/>
      </c>
      <c r="C1880" s="67" t="str">
        <f aca="false">IF($E1880="","",IF(INDEX(资金日记账!$W$4:$W$603,486)="","记-"&amp;TEXT($B1880,"YYYYMM")&amp;"-资金",INDEX(资金日记账!$W$4:$W$603,486)))</f>
        <v/>
      </c>
      <c r="D1880" s="107" t="str">
        <f aca="false">IF($E1880="","",INDEX(资金日记账!$D$4:$D$603,486))</f>
        <v/>
      </c>
      <c r="E1880" s="67" t="str">
        <f aca="false">IF(INDEX(资金日记账!$N$4:$S$603,486,1)=0,"",INDEX(资金日记账!$N$4:$S$603,486,1))</f>
        <v/>
      </c>
      <c r="F1880" s="99" t="str">
        <f aca="false">IF($E1880="","",IFERROR(INDEX(科目表!$A$4:$A$81,MATCH($E1880,科目表!$B$4:$B$81,0)),""))</f>
        <v/>
      </c>
      <c r="G1880" s="67" t="str">
        <f aca="false">IF($E1880="","",IFERROR(INDEX(科目表!$E$4:$E$81,MATCH($E1880,科目表!$B$4:$B$81,0)),""))</f>
        <v/>
      </c>
      <c r="H1880" s="70" t="str">
        <f aca="false">IF($E1880="","",N(INDEX(资金日记账!$N$4:$S$603,486,2)))</f>
        <v/>
      </c>
      <c r="I1880" s="70" t="str">
        <f aca="false">IF($E1880="","",N(INDEX(资金日记账!$N$4:$S$603,486,3)))</f>
        <v/>
      </c>
      <c r="J1880" s="67" t="str">
        <f aca="false">IF($E1880="","",INDEX(资金日记账!$E$4:$E$603,486))</f>
        <v/>
      </c>
      <c r="K1880" s="67" t="str">
        <f aca="false">IF($E1880="","",INDEX(资金日记账!$F$4:$F$603,486))</f>
        <v/>
      </c>
      <c r="L1880" s="107" t="str">
        <f aca="false">IF($E1880="","",INDEX(资金日记账!$X$4:$X$603,486))</f>
        <v/>
      </c>
      <c r="M1880" s="107"/>
      <c r="N1880" s="67" t="str">
        <f aca="false">IF($E1880="","",INDEX(资金日记账!$Y$4:$Y$603,486))</f>
        <v/>
      </c>
      <c r="O1880" s="67" t="str">
        <f aca="false">IF($E1880="","","自动B")</f>
        <v/>
      </c>
      <c r="P1880" s="18"/>
    </row>
    <row r="1881" customFormat="false" ht="18" hidden="false" customHeight="true" outlineLevel="0" collapsed="false">
      <c r="A1881" s="107" t="str">
        <f aca="false">IF($E1881="","",ROW()-3)</f>
        <v/>
      </c>
      <c r="B1881" s="110" t="str">
        <f aca="false">IF($E1881="","",INDEX(资金日记账!$B$4:$B$603,486))</f>
        <v/>
      </c>
      <c r="C1881" s="67" t="str">
        <f aca="false">IF($E1881="","",IF(INDEX(资金日记账!$W$4:$W$603,486)="","记-"&amp;TEXT($B1881,"YYYYMM")&amp;"-资金",INDEX(资金日记账!$W$4:$W$603,486)))</f>
        <v/>
      </c>
      <c r="D1881" s="107" t="str">
        <f aca="false">IF($E1881="","",INDEX(资金日记账!$D$4:$D$603,486))</f>
        <v/>
      </c>
      <c r="E1881" s="67" t="str">
        <f aca="false">IF(INDEX(资金日记账!$N$4:$S$603,486,4)=0,"",INDEX(资金日记账!$N$4:$S$603,486,4))</f>
        <v/>
      </c>
      <c r="F1881" s="99" t="str">
        <f aca="false">IF($E1881="","",IFERROR(INDEX(科目表!$A$4:$A$81,MATCH($E1881,科目表!$B$4:$B$81,0)),""))</f>
        <v/>
      </c>
      <c r="G1881" s="67" t="str">
        <f aca="false">IF($E1881="","",IFERROR(INDEX(科目表!$E$4:$E$81,MATCH($E1881,科目表!$B$4:$B$81,0)),""))</f>
        <v/>
      </c>
      <c r="H1881" s="70" t="str">
        <f aca="false">IF($E1881="","",N(INDEX(资金日记账!$N$4:$S$603,486,5)))</f>
        <v/>
      </c>
      <c r="I1881" s="70" t="str">
        <f aca="false">IF($E1881="","",N(INDEX(资金日记账!$N$4:$S$603,486,6)))</f>
        <v/>
      </c>
      <c r="J1881" s="67" t="str">
        <f aca="false">IF($E1881="","",INDEX(资金日记账!$E$4:$E$603,486))</f>
        <v/>
      </c>
      <c r="K1881" s="67" t="str">
        <f aca="false">IF($E1881="","",INDEX(资金日记账!$F$4:$F$603,486))</f>
        <v/>
      </c>
      <c r="L1881" s="107" t="str">
        <f aca="false">IF($E1881="","",INDEX(资金日记账!$X$4:$X$603,486))</f>
        <v/>
      </c>
      <c r="M1881" s="107"/>
      <c r="N1881" s="67" t="str">
        <f aca="false">IF($E1881="","",INDEX(资金日记账!$Y$4:$Y$603,486))</f>
        <v/>
      </c>
      <c r="O1881" s="67" t="str">
        <f aca="false">IF($E1881="","","自动B")</f>
        <v/>
      </c>
      <c r="P1881" s="18"/>
    </row>
    <row r="1882" customFormat="false" ht="18" hidden="false" customHeight="true" outlineLevel="0" collapsed="false">
      <c r="A1882" s="107" t="str">
        <f aca="false">IF($E1882="","",ROW()-3)</f>
        <v/>
      </c>
      <c r="B1882" s="110" t="str">
        <f aca="false">IF($E1882="","",INDEX(资金日记账!$B$4:$B$603,487))</f>
        <v/>
      </c>
      <c r="C1882" s="67" t="str">
        <f aca="false">IF($E1882="","",IF(INDEX(资金日记账!$W$4:$W$603,487)="","记-"&amp;TEXT($B1882,"YYYYMM")&amp;"-资金",INDEX(资金日记账!$W$4:$W$603,487)))</f>
        <v/>
      </c>
      <c r="D1882" s="107" t="str">
        <f aca="false">IF($E1882="","",INDEX(资金日记账!$D$4:$D$603,487))</f>
        <v/>
      </c>
      <c r="E1882" s="67" t="str">
        <f aca="false">IF(INDEX(资金日记账!$N$4:$S$603,487,1)=0,"",INDEX(资金日记账!$N$4:$S$603,487,1))</f>
        <v/>
      </c>
      <c r="F1882" s="99" t="str">
        <f aca="false">IF($E1882="","",IFERROR(INDEX(科目表!$A$4:$A$81,MATCH($E1882,科目表!$B$4:$B$81,0)),""))</f>
        <v/>
      </c>
      <c r="G1882" s="67" t="str">
        <f aca="false">IF($E1882="","",IFERROR(INDEX(科目表!$E$4:$E$81,MATCH($E1882,科目表!$B$4:$B$81,0)),""))</f>
        <v/>
      </c>
      <c r="H1882" s="70" t="str">
        <f aca="false">IF($E1882="","",N(INDEX(资金日记账!$N$4:$S$603,487,2)))</f>
        <v/>
      </c>
      <c r="I1882" s="70" t="str">
        <f aca="false">IF($E1882="","",N(INDEX(资金日记账!$N$4:$S$603,487,3)))</f>
        <v/>
      </c>
      <c r="J1882" s="67" t="str">
        <f aca="false">IF($E1882="","",INDEX(资金日记账!$E$4:$E$603,487))</f>
        <v/>
      </c>
      <c r="K1882" s="67" t="str">
        <f aca="false">IF($E1882="","",INDEX(资金日记账!$F$4:$F$603,487))</f>
        <v/>
      </c>
      <c r="L1882" s="107" t="str">
        <f aca="false">IF($E1882="","",INDEX(资金日记账!$X$4:$X$603,487))</f>
        <v/>
      </c>
      <c r="M1882" s="107"/>
      <c r="N1882" s="67" t="str">
        <f aca="false">IF($E1882="","",INDEX(资金日记账!$Y$4:$Y$603,487))</f>
        <v/>
      </c>
      <c r="O1882" s="67" t="str">
        <f aca="false">IF($E1882="","","自动B")</f>
        <v/>
      </c>
      <c r="P1882" s="18"/>
    </row>
    <row r="1883" customFormat="false" ht="18" hidden="false" customHeight="true" outlineLevel="0" collapsed="false">
      <c r="A1883" s="107" t="str">
        <f aca="false">IF($E1883="","",ROW()-3)</f>
        <v/>
      </c>
      <c r="B1883" s="110" t="str">
        <f aca="false">IF($E1883="","",INDEX(资金日记账!$B$4:$B$603,487))</f>
        <v/>
      </c>
      <c r="C1883" s="67" t="str">
        <f aca="false">IF($E1883="","",IF(INDEX(资金日记账!$W$4:$W$603,487)="","记-"&amp;TEXT($B1883,"YYYYMM")&amp;"-资金",INDEX(资金日记账!$W$4:$W$603,487)))</f>
        <v/>
      </c>
      <c r="D1883" s="107" t="str">
        <f aca="false">IF($E1883="","",INDEX(资金日记账!$D$4:$D$603,487))</f>
        <v/>
      </c>
      <c r="E1883" s="67" t="str">
        <f aca="false">IF(INDEX(资金日记账!$N$4:$S$603,487,4)=0,"",INDEX(资金日记账!$N$4:$S$603,487,4))</f>
        <v/>
      </c>
      <c r="F1883" s="99" t="str">
        <f aca="false">IF($E1883="","",IFERROR(INDEX(科目表!$A$4:$A$81,MATCH($E1883,科目表!$B$4:$B$81,0)),""))</f>
        <v/>
      </c>
      <c r="G1883" s="67" t="str">
        <f aca="false">IF($E1883="","",IFERROR(INDEX(科目表!$E$4:$E$81,MATCH($E1883,科目表!$B$4:$B$81,0)),""))</f>
        <v/>
      </c>
      <c r="H1883" s="70" t="str">
        <f aca="false">IF($E1883="","",N(INDEX(资金日记账!$N$4:$S$603,487,5)))</f>
        <v/>
      </c>
      <c r="I1883" s="70" t="str">
        <f aca="false">IF($E1883="","",N(INDEX(资金日记账!$N$4:$S$603,487,6)))</f>
        <v/>
      </c>
      <c r="J1883" s="67" t="str">
        <f aca="false">IF($E1883="","",INDEX(资金日记账!$E$4:$E$603,487))</f>
        <v/>
      </c>
      <c r="K1883" s="67" t="str">
        <f aca="false">IF($E1883="","",INDEX(资金日记账!$F$4:$F$603,487))</f>
        <v/>
      </c>
      <c r="L1883" s="107" t="str">
        <f aca="false">IF($E1883="","",INDEX(资金日记账!$X$4:$X$603,487))</f>
        <v/>
      </c>
      <c r="M1883" s="107"/>
      <c r="N1883" s="67" t="str">
        <f aca="false">IF($E1883="","",INDEX(资金日记账!$Y$4:$Y$603,487))</f>
        <v/>
      </c>
      <c r="O1883" s="67" t="str">
        <f aca="false">IF($E1883="","","自动B")</f>
        <v/>
      </c>
      <c r="P1883" s="18"/>
    </row>
    <row r="1884" customFormat="false" ht="18" hidden="false" customHeight="true" outlineLevel="0" collapsed="false">
      <c r="A1884" s="107" t="str">
        <f aca="false">IF($E1884="","",ROW()-3)</f>
        <v/>
      </c>
      <c r="B1884" s="110" t="str">
        <f aca="false">IF($E1884="","",INDEX(资金日记账!$B$4:$B$603,488))</f>
        <v/>
      </c>
      <c r="C1884" s="67" t="str">
        <f aca="false">IF($E1884="","",IF(INDEX(资金日记账!$W$4:$W$603,488)="","记-"&amp;TEXT($B1884,"YYYYMM")&amp;"-资金",INDEX(资金日记账!$W$4:$W$603,488)))</f>
        <v/>
      </c>
      <c r="D1884" s="107" t="str">
        <f aca="false">IF($E1884="","",INDEX(资金日记账!$D$4:$D$603,488))</f>
        <v/>
      </c>
      <c r="E1884" s="67" t="str">
        <f aca="false">IF(INDEX(资金日记账!$N$4:$S$603,488,1)=0,"",INDEX(资金日记账!$N$4:$S$603,488,1))</f>
        <v/>
      </c>
      <c r="F1884" s="99" t="str">
        <f aca="false">IF($E1884="","",IFERROR(INDEX(科目表!$A$4:$A$81,MATCH($E1884,科目表!$B$4:$B$81,0)),""))</f>
        <v/>
      </c>
      <c r="G1884" s="67" t="str">
        <f aca="false">IF($E1884="","",IFERROR(INDEX(科目表!$E$4:$E$81,MATCH($E1884,科目表!$B$4:$B$81,0)),""))</f>
        <v/>
      </c>
      <c r="H1884" s="70" t="str">
        <f aca="false">IF($E1884="","",N(INDEX(资金日记账!$N$4:$S$603,488,2)))</f>
        <v/>
      </c>
      <c r="I1884" s="70" t="str">
        <f aca="false">IF($E1884="","",N(INDEX(资金日记账!$N$4:$S$603,488,3)))</f>
        <v/>
      </c>
      <c r="J1884" s="67" t="str">
        <f aca="false">IF($E1884="","",INDEX(资金日记账!$E$4:$E$603,488))</f>
        <v/>
      </c>
      <c r="K1884" s="67" t="str">
        <f aca="false">IF($E1884="","",INDEX(资金日记账!$F$4:$F$603,488))</f>
        <v/>
      </c>
      <c r="L1884" s="107" t="str">
        <f aca="false">IF($E1884="","",INDEX(资金日记账!$X$4:$X$603,488))</f>
        <v/>
      </c>
      <c r="M1884" s="107"/>
      <c r="N1884" s="67" t="str">
        <f aca="false">IF($E1884="","",INDEX(资金日记账!$Y$4:$Y$603,488))</f>
        <v/>
      </c>
      <c r="O1884" s="67" t="str">
        <f aca="false">IF($E1884="","","自动B")</f>
        <v/>
      </c>
      <c r="P1884" s="18"/>
    </row>
    <row r="1885" customFormat="false" ht="18" hidden="false" customHeight="true" outlineLevel="0" collapsed="false">
      <c r="A1885" s="107" t="str">
        <f aca="false">IF($E1885="","",ROW()-3)</f>
        <v/>
      </c>
      <c r="B1885" s="110" t="str">
        <f aca="false">IF($E1885="","",INDEX(资金日记账!$B$4:$B$603,488))</f>
        <v/>
      </c>
      <c r="C1885" s="67" t="str">
        <f aca="false">IF($E1885="","",IF(INDEX(资金日记账!$W$4:$W$603,488)="","记-"&amp;TEXT($B1885,"YYYYMM")&amp;"-资金",INDEX(资金日记账!$W$4:$W$603,488)))</f>
        <v/>
      </c>
      <c r="D1885" s="107" t="str">
        <f aca="false">IF($E1885="","",INDEX(资金日记账!$D$4:$D$603,488))</f>
        <v/>
      </c>
      <c r="E1885" s="67" t="str">
        <f aca="false">IF(INDEX(资金日记账!$N$4:$S$603,488,4)=0,"",INDEX(资金日记账!$N$4:$S$603,488,4))</f>
        <v/>
      </c>
      <c r="F1885" s="99" t="str">
        <f aca="false">IF($E1885="","",IFERROR(INDEX(科目表!$A$4:$A$81,MATCH($E1885,科目表!$B$4:$B$81,0)),""))</f>
        <v/>
      </c>
      <c r="G1885" s="67" t="str">
        <f aca="false">IF($E1885="","",IFERROR(INDEX(科目表!$E$4:$E$81,MATCH($E1885,科目表!$B$4:$B$81,0)),""))</f>
        <v/>
      </c>
      <c r="H1885" s="70" t="str">
        <f aca="false">IF($E1885="","",N(INDEX(资金日记账!$N$4:$S$603,488,5)))</f>
        <v/>
      </c>
      <c r="I1885" s="70" t="str">
        <f aca="false">IF($E1885="","",N(INDEX(资金日记账!$N$4:$S$603,488,6)))</f>
        <v/>
      </c>
      <c r="J1885" s="67" t="str">
        <f aca="false">IF($E1885="","",INDEX(资金日记账!$E$4:$E$603,488))</f>
        <v/>
      </c>
      <c r="K1885" s="67" t="str">
        <f aca="false">IF($E1885="","",INDEX(资金日记账!$F$4:$F$603,488))</f>
        <v/>
      </c>
      <c r="L1885" s="107" t="str">
        <f aca="false">IF($E1885="","",INDEX(资金日记账!$X$4:$X$603,488))</f>
        <v/>
      </c>
      <c r="M1885" s="107"/>
      <c r="N1885" s="67" t="str">
        <f aca="false">IF($E1885="","",INDEX(资金日记账!$Y$4:$Y$603,488))</f>
        <v/>
      </c>
      <c r="O1885" s="67" t="str">
        <f aca="false">IF($E1885="","","自动B")</f>
        <v/>
      </c>
      <c r="P1885" s="18"/>
    </row>
    <row r="1886" customFormat="false" ht="18" hidden="false" customHeight="true" outlineLevel="0" collapsed="false">
      <c r="A1886" s="107" t="str">
        <f aca="false">IF($E1886="","",ROW()-3)</f>
        <v/>
      </c>
      <c r="B1886" s="110" t="str">
        <f aca="false">IF($E1886="","",INDEX(资金日记账!$B$4:$B$603,489))</f>
        <v/>
      </c>
      <c r="C1886" s="67" t="str">
        <f aca="false">IF($E1886="","",IF(INDEX(资金日记账!$W$4:$W$603,489)="","记-"&amp;TEXT($B1886,"YYYYMM")&amp;"-资金",INDEX(资金日记账!$W$4:$W$603,489)))</f>
        <v/>
      </c>
      <c r="D1886" s="107" t="str">
        <f aca="false">IF($E1886="","",INDEX(资金日记账!$D$4:$D$603,489))</f>
        <v/>
      </c>
      <c r="E1886" s="67" t="str">
        <f aca="false">IF(INDEX(资金日记账!$N$4:$S$603,489,1)=0,"",INDEX(资金日记账!$N$4:$S$603,489,1))</f>
        <v/>
      </c>
      <c r="F1886" s="99" t="str">
        <f aca="false">IF($E1886="","",IFERROR(INDEX(科目表!$A$4:$A$81,MATCH($E1886,科目表!$B$4:$B$81,0)),""))</f>
        <v/>
      </c>
      <c r="G1886" s="67" t="str">
        <f aca="false">IF($E1886="","",IFERROR(INDEX(科目表!$E$4:$E$81,MATCH($E1886,科目表!$B$4:$B$81,0)),""))</f>
        <v/>
      </c>
      <c r="H1886" s="70" t="str">
        <f aca="false">IF($E1886="","",N(INDEX(资金日记账!$N$4:$S$603,489,2)))</f>
        <v/>
      </c>
      <c r="I1886" s="70" t="str">
        <f aca="false">IF($E1886="","",N(INDEX(资金日记账!$N$4:$S$603,489,3)))</f>
        <v/>
      </c>
      <c r="J1886" s="67" t="str">
        <f aca="false">IF($E1886="","",INDEX(资金日记账!$E$4:$E$603,489))</f>
        <v/>
      </c>
      <c r="K1886" s="67" t="str">
        <f aca="false">IF($E1886="","",INDEX(资金日记账!$F$4:$F$603,489))</f>
        <v/>
      </c>
      <c r="L1886" s="107" t="str">
        <f aca="false">IF($E1886="","",INDEX(资金日记账!$X$4:$X$603,489))</f>
        <v/>
      </c>
      <c r="M1886" s="107"/>
      <c r="N1886" s="67" t="str">
        <f aca="false">IF($E1886="","",INDEX(资金日记账!$Y$4:$Y$603,489))</f>
        <v/>
      </c>
      <c r="O1886" s="67" t="str">
        <f aca="false">IF($E1886="","","自动B")</f>
        <v/>
      </c>
      <c r="P1886" s="18"/>
    </row>
    <row r="1887" customFormat="false" ht="18" hidden="false" customHeight="true" outlineLevel="0" collapsed="false">
      <c r="A1887" s="107" t="str">
        <f aca="false">IF($E1887="","",ROW()-3)</f>
        <v/>
      </c>
      <c r="B1887" s="110" t="str">
        <f aca="false">IF($E1887="","",INDEX(资金日记账!$B$4:$B$603,489))</f>
        <v/>
      </c>
      <c r="C1887" s="67" t="str">
        <f aca="false">IF($E1887="","",IF(INDEX(资金日记账!$W$4:$W$603,489)="","记-"&amp;TEXT($B1887,"YYYYMM")&amp;"-资金",INDEX(资金日记账!$W$4:$W$603,489)))</f>
        <v/>
      </c>
      <c r="D1887" s="107" t="str">
        <f aca="false">IF($E1887="","",INDEX(资金日记账!$D$4:$D$603,489))</f>
        <v/>
      </c>
      <c r="E1887" s="67" t="str">
        <f aca="false">IF(INDEX(资金日记账!$N$4:$S$603,489,4)=0,"",INDEX(资金日记账!$N$4:$S$603,489,4))</f>
        <v/>
      </c>
      <c r="F1887" s="99" t="str">
        <f aca="false">IF($E1887="","",IFERROR(INDEX(科目表!$A$4:$A$81,MATCH($E1887,科目表!$B$4:$B$81,0)),""))</f>
        <v/>
      </c>
      <c r="G1887" s="67" t="str">
        <f aca="false">IF($E1887="","",IFERROR(INDEX(科目表!$E$4:$E$81,MATCH($E1887,科目表!$B$4:$B$81,0)),""))</f>
        <v/>
      </c>
      <c r="H1887" s="70" t="str">
        <f aca="false">IF($E1887="","",N(INDEX(资金日记账!$N$4:$S$603,489,5)))</f>
        <v/>
      </c>
      <c r="I1887" s="70" t="str">
        <f aca="false">IF($E1887="","",N(INDEX(资金日记账!$N$4:$S$603,489,6)))</f>
        <v/>
      </c>
      <c r="J1887" s="67" t="str">
        <f aca="false">IF($E1887="","",INDEX(资金日记账!$E$4:$E$603,489))</f>
        <v/>
      </c>
      <c r="K1887" s="67" t="str">
        <f aca="false">IF($E1887="","",INDEX(资金日记账!$F$4:$F$603,489))</f>
        <v/>
      </c>
      <c r="L1887" s="107" t="str">
        <f aca="false">IF($E1887="","",INDEX(资金日记账!$X$4:$X$603,489))</f>
        <v/>
      </c>
      <c r="M1887" s="107"/>
      <c r="N1887" s="67" t="str">
        <f aca="false">IF($E1887="","",INDEX(资金日记账!$Y$4:$Y$603,489))</f>
        <v/>
      </c>
      <c r="O1887" s="67" t="str">
        <f aca="false">IF($E1887="","","自动B")</f>
        <v/>
      </c>
      <c r="P1887" s="18"/>
    </row>
    <row r="1888" customFormat="false" ht="18" hidden="false" customHeight="true" outlineLevel="0" collapsed="false">
      <c r="A1888" s="107" t="str">
        <f aca="false">IF($E1888="","",ROW()-3)</f>
        <v/>
      </c>
      <c r="B1888" s="110" t="str">
        <f aca="false">IF($E1888="","",INDEX(资金日记账!$B$4:$B$603,490))</f>
        <v/>
      </c>
      <c r="C1888" s="67" t="str">
        <f aca="false">IF($E1888="","",IF(INDEX(资金日记账!$W$4:$W$603,490)="","记-"&amp;TEXT($B1888,"YYYYMM")&amp;"-资金",INDEX(资金日记账!$W$4:$W$603,490)))</f>
        <v/>
      </c>
      <c r="D1888" s="107" t="str">
        <f aca="false">IF($E1888="","",INDEX(资金日记账!$D$4:$D$603,490))</f>
        <v/>
      </c>
      <c r="E1888" s="67" t="str">
        <f aca="false">IF(INDEX(资金日记账!$N$4:$S$603,490,1)=0,"",INDEX(资金日记账!$N$4:$S$603,490,1))</f>
        <v/>
      </c>
      <c r="F1888" s="99" t="str">
        <f aca="false">IF($E1888="","",IFERROR(INDEX(科目表!$A$4:$A$81,MATCH($E1888,科目表!$B$4:$B$81,0)),""))</f>
        <v/>
      </c>
      <c r="G1888" s="67" t="str">
        <f aca="false">IF($E1888="","",IFERROR(INDEX(科目表!$E$4:$E$81,MATCH($E1888,科目表!$B$4:$B$81,0)),""))</f>
        <v/>
      </c>
      <c r="H1888" s="70" t="str">
        <f aca="false">IF($E1888="","",N(INDEX(资金日记账!$N$4:$S$603,490,2)))</f>
        <v/>
      </c>
      <c r="I1888" s="70" t="str">
        <f aca="false">IF($E1888="","",N(INDEX(资金日记账!$N$4:$S$603,490,3)))</f>
        <v/>
      </c>
      <c r="J1888" s="67" t="str">
        <f aca="false">IF($E1888="","",INDEX(资金日记账!$E$4:$E$603,490))</f>
        <v/>
      </c>
      <c r="K1888" s="67" t="str">
        <f aca="false">IF($E1888="","",INDEX(资金日记账!$F$4:$F$603,490))</f>
        <v/>
      </c>
      <c r="L1888" s="107" t="str">
        <f aca="false">IF($E1888="","",INDEX(资金日记账!$X$4:$X$603,490))</f>
        <v/>
      </c>
      <c r="M1888" s="107"/>
      <c r="N1888" s="67" t="str">
        <f aca="false">IF($E1888="","",INDEX(资金日记账!$Y$4:$Y$603,490))</f>
        <v/>
      </c>
      <c r="O1888" s="67" t="str">
        <f aca="false">IF($E1888="","","自动B")</f>
        <v/>
      </c>
      <c r="P1888" s="18"/>
    </row>
    <row r="1889" customFormat="false" ht="18" hidden="false" customHeight="true" outlineLevel="0" collapsed="false">
      <c r="A1889" s="107" t="str">
        <f aca="false">IF($E1889="","",ROW()-3)</f>
        <v/>
      </c>
      <c r="B1889" s="110" t="str">
        <f aca="false">IF($E1889="","",INDEX(资金日记账!$B$4:$B$603,490))</f>
        <v/>
      </c>
      <c r="C1889" s="67" t="str">
        <f aca="false">IF($E1889="","",IF(INDEX(资金日记账!$W$4:$W$603,490)="","记-"&amp;TEXT($B1889,"YYYYMM")&amp;"-资金",INDEX(资金日记账!$W$4:$W$603,490)))</f>
        <v/>
      </c>
      <c r="D1889" s="107" t="str">
        <f aca="false">IF($E1889="","",INDEX(资金日记账!$D$4:$D$603,490))</f>
        <v/>
      </c>
      <c r="E1889" s="67" t="str">
        <f aca="false">IF(INDEX(资金日记账!$N$4:$S$603,490,4)=0,"",INDEX(资金日记账!$N$4:$S$603,490,4))</f>
        <v/>
      </c>
      <c r="F1889" s="99" t="str">
        <f aca="false">IF($E1889="","",IFERROR(INDEX(科目表!$A$4:$A$81,MATCH($E1889,科目表!$B$4:$B$81,0)),""))</f>
        <v/>
      </c>
      <c r="G1889" s="67" t="str">
        <f aca="false">IF($E1889="","",IFERROR(INDEX(科目表!$E$4:$E$81,MATCH($E1889,科目表!$B$4:$B$81,0)),""))</f>
        <v/>
      </c>
      <c r="H1889" s="70" t="str">
        <f aca="false">IF($E1889="","",N(INDEX(资金日记账!$N$4:$S$603,490,5)))</f>
        <v/>
      </c>
      <c r="I1889" s="70" t="str">
        <f aca="false">IF($E1889="","",N(INDEX(资金日记账!$N$4:$S$603,490,6)))</f>
        <v/>
      </c>
      <c r="J1889" s="67" t="str">
        <f aca="false">IF($E1889="","",INDEX(资金日记账!$E$4:$E$603,490))</f>
        <v/>
      </c>
      <c r="K1889" s="67" t="str">
        <f aca="false">IF($E1889="","",INDEX(资金日记账!$F$4:$F$603,490))</f>
        <v/>
      </c>
      <c r="L1889" s="107" t="str">
        <f aca="false">IF($E1889="","",INDEX(资金日记账!$X$4:$X$603,490))</f>
        <v/>
      </c>
      <c r="M1889" s="107"/>
      <c r="N1889" s="67" t="str">
        <f aca="false">IF($E1889="","",INDEX(资金日记账!$Y$4:$Y$603,490))</f>
        <v/>
      </c>
      <c r="O1889" s="67" t="str">
        <f aca="false">IF($E1889="","","自动B")</f>
        <v/>
      </c>
      <c r="P1889" s="18"/>
    </row>
    <row r="1890" customFormat="false" ht="18" hidden="false" customHeight="true" outlineLevel="0" collapsed="false">
      <c r="A1890" s="107" t="str">
        <f aca="false">IF($E1890="","",ROW()-3)</f>
        <v/>
      </c>
      <c r="B1890" s="110" t="str">
        <f aca="false">IF($E1890="","",INDEX(资金日记账!$B$4:$B$603,491))</f>
        <v/>
      </c>
      <c r="C1890" s="67" t="str">
        <f aca="false">IF($E1890="","",IF(INDEX(资金日记账!$W$4:$W$603,491)="","记-"&amp;TEXT($B1890,"YYYYMM")&amp;"-资金",INDEX(资金日记账!$W$4:$W$603,491)))</f>
        <v/>
      </c>
      <c r="D1890" s="107" t="str">
        <f aca="false">IF($E1890="","",INDEX(资金日记账!$D$4:$D$603,491))</f>
        <v/>
      </c>
      <c r="E1890" s="67" t="str">
        <f aca="false">IF(INDEX(资金日记账!$N$4:$S$603,491,1)=0,"",INDEX(资金日记账!$N$4:$S$603,491,1))</f>
        <v/>
      </c>
      <c r="F1890" s="99" t="str">
        <f aca="false">IF($E1890="","",IFERROR(INDEX(科目表!$A$4:$A$81,MATCH($E1890,科目表!$B$4:$B$81,0)),""))</f>
        <v/>
      </c>
      <c r="G1890" s="67" t="str">
        <f aca="false">IF($E1890="","",IFERROR(INDEX(科目表!$E$4:$E$81,MATCH($E1890,科目表!$B$4:$B$81,0)),""))</f>
        <v/>
      </c>
      <c r="H1890" s="70" t="str">
        <f aca="false">IF($E1890="","",N(INDEX(资金日记账!$N$4:$S$603,491,2)))</f>
        <v/>
      </c>
      <c r="I1890" s="70" t="str">
        <f aca="false">IF($E1890="","",N(INDEX(资金日记账!$N$4:$S$603,491,3)))</f>
        <v/>
      </c>
      <c r="J1890" s="67" t="str">
        <f aca="false">IF($E1890="","",INDEX(资金日记账!$E$4:$E$603,491))</f>
        <v/>
      </c>
      <c r="K1890" s="67" t="str">
        <f aca="false">IF($E1890="","",INDEX(资金日记账!$F$4:$F$603,491))</f>
        <v/>
      </c>
      <c r="L1890" s="107" t="str">
        <f aca="false">IF($E1890="","",INDEX(资金日记账!$X$4:$X$603,491))</f>
        <v/>
      </c>
      <c r="M1890" s="107"/>
      <c r="N1890" s="67" t="str">
        <f aca="false">IF($E1890="","",INDEX(资金日记账!$Y$4:$Y$603,491))</f>
        <v/>
      </c>
      <c r="O1890" s="67" t="str">
        <f aca="false">IF($E1890="","","自动B")</f>
        <v/>
      </c>
      <c r="P1890" s="18"/>
    </row>
    <row r="1891" customFormat="false" ht="18" hidden="false" customHeight="true" outlineLevel="0" collapsed="false">
      <c r="A1891" s="107" t="str">
        <f aca="false">IF($E1891="","",ROW()-3)</f>
        <v/>
      </c>
      <c r="B1891" s="110" t="str">
        <f aca="false">IF($E1891="","",INDEX(资金日记账!$B$4:$B$603,491))</f>
        <v/>
      </c>
      <c r="C1891" s="67" t="str">
        <f aca="false">IF($E1891="","",IF(INDEX(资金日记账!$W$4:$W$603,491)="","记-"&amp;TEXT($B1891,"YYYYMM")&amp;"-资金",INDEX(资金日记账!$W$4:$W$603,491)))</f>
        <v/>
      </c>
      <c r="D1891" s="107" t="str">
        <f aca="false">IF($E1891="","",INDEX(资金日记账!$D$4:$D$603,491))</f>
        <v/>
      </c>
      <c r="E1891" s="67" t="str">
        <f aca="false">IF(INDEX(资金日记账!$N$4:$S$603,491,4)=0,"",INDEX(资金日记账!$N$4:$S$603,491,4))</f>
        <v/>
      </c>
      <c r="F1891" s="99" t="str">
        <f aca="false">IF($E1891="","",IFERROR(INDEX(科目表!$A$4:$A$81,MATCH($E1891,科目表!$B$4:$B$81,0)),""))</f>
        <v/>
      </c>
      <c r="G1891" s="67" t="str">
        <f aca="false">IF($E1891="","",IFERROR(INDEX(科目表!$E$4:$E$81,MATCH($E1891,科目表!$B$4:$B$81,0)),""))</f>
        <v/>
      </c>
      <c r="H1891" s="70" t="str">
        <f aca="false">IF($E1891="","",N(INDEX(资金日记账!$N$4:$S$603,491,5)))</f>
        <v/>
      </c>
      <c r="I1891" s="70" t="str">
        <f aca="false">IF($E1891="","",N(INDEX(资金日记账!$N$4:$S$603,491,6)))</f>
        <v/>
      </c>
      <c r="J1891" s="67" t="str">
        <f aca="false">IF($E1891="","",INDEX(资金日记账!$E$4:$E$603,491))</f>
        <v/>
      </c>
      <c r="K1891" s="67" t="str">
        <f aca="false">IF($E1891="","",INDEX(资金日记账!$F$4:$F$603,491))</f>
        <v/>
      </c>
      <c r="L1891" s="107" t="str">
        <f aca="false">IF($E1891="","",INDEX(资金日记账!$X$4:$X$603,491))</f>
        <v/>
      </c>
      <c r="M1891" s="107"/>
      <c r="N1891" s="67" t="str">
        <f aca="false">IF($E1891="","",INDEX(资金日记账!$Y$4:$Y$603,491))</f>
        <v/>
      </c>
      <c r="O1891" s="67" t="str">
        <f aca="false">IF($E1891="","","自动B")</f>
        <v/>
      </c>
      <c r="P1891" s="18"/>
    </row>
    <row r="1892" customFormat="false" ht="18" hidden="false" customHeight="true" outlineLevel="0" collapsed="false">
      <c r="A1892" s="107" t="str">
        <f aca="false">IF($E1892="","",ROW()-3)</f>
        <v/>
      </c>
      <c r="B1892" s="110" t="str">
        <f aca="false">IF($E1892="","",INDEX(资金日记账!$B$4:$B$603,492))</f>
        <v/>
      </c>
      <c r="C1892" s="67" t="str">
        <f aca="false">IF($E1892="","",IF(INDEX(资金日记账!$W$4:$W$603,492)="","记-"&amp;TEXT($B1892,"YYYYMM")&amp;"-资金",INDEX(资金日记账!$W$4:$W$603,492)))</f>
        <v/>
      </c>
      <c r="D1892" s="107" t="str">
        <f aca="false">IF($E1892="","",INDEX(资金日记账!$D$4:$D$603,492))</f>
        <v/>
      </c>
      <c r="E1892" s="67" t="str">
        <f aca="false">IF(INDEX(资金日记账!$N$4:$S$603,492,1)=0,"",INDEX(资金日记账!$N$4:$S$603,492,1))</f>
        <v/>
      </c>
      <c r="F1892" s="99" t="str">
        <f aca="false">IF($E1892="","",IFERROR(INDEX(科目表!$A$4:$A$81,MATCH($E1892,科目表!$B$4:$B$81,0)),""))</f>
        <v/>
      </c>
      <c r="G1892" s="67" t="str">
        <f aca="false">IF($E1892="","",IFERROR(INDEX(科目表!$E$4:$E$81,MATCH($E1892,科目表!$B$4:$B$81,0)),""))</f>
        <v/>
      </c>
      <c r="H1892" s="70" t="str">
        <f aca="false">IF($E1892="","",N(INDEX(资金日记账!$N$4:$S$603,492,2)))</f>
        <v/>
      </c>
      <c r="I1892" s="70" t="str">
        <f aca="false">IF($E1892="","",N(INDEX(资金日记账!$N$4:$S$603,492,3)))</f>
        <v/>
      </c>
      <c r="J1892" s="67" t="str">
        <f aca="false">IF($E1892="","",INDEX(资金日记账!$E$4:$E$603,492))</f>
        <v/>
      </c>
      <c r="K1892" s="67" t="str">
        <f aca="false">IF($E1892="","",INDEX(资金日记账!$F$4:$F$603,492))</f>
        <v/>
      </c>
      <c r="L1892" s="107" t="str">
        <f aca="false">IF($E1892="","",INDEX(资金日记账!$X$4:$X$603,492))</f>
        <v/>
      </c>
      <c r="M1892" s="107"/>
      <c r="N1892" s="67" t="str">
        <f aca="false">IF($E1892="","",INDEX(资金日记账!$Y$4:$Y$603,492))</f>
        <v/>
      </c>
      <c r="O1892" s="67" t="str">
        <f aca="false">IF($E1892="","","自动B")</f>
        <v/>
      </c>
      <c r="P1892" s="18"/>
    </row>
    <row r="1893" customFormat="false" ht="18" hidden="false" customHeight="true" outlineLevel="0" collapsed="false">
      <c r="A1893" s="107" t="str">
        <f aca="false">IF($E1893="","",ROW()-3)</f>
        <v/>
      </c>
      <c r="B1893" s="110" t="str">
        <f aca="false">IF($E1893="","",INDEX(资金日记账!$B$4:$B$603,492))</f>
        <v/>
      </c>
      <c r="C1893" s="67" t="str">
        <f aca="false">IF($E1893="","",IF(INDEX(资金日记账!$W$4:$W$603,492)="","记-"&amp;TEXT($B1893,"YYYYMM")&amp;"-资金",INDEX(资金日记账!$W$4:$W$603,492)))</f>
        <v/>
      </c>
      <c r="D1893" s="107" t="str">
        <f aca="false">IF($E1893="","",INDEX(资金日记账!$D$4:$D$603,492))</f>
        <v/>
      </c>
      <c r="E1893" s="67" t="str">
        <f aca="false">IF(INDEX(资金日记账!$N$4:$S$603,492,4)=0,"",INDEX(资金日记账!$N$4:$S$603,492,4))</f>
        <v/>
      </c>
      <c r="F1893" s="99" t="str">
        <f aca="false">IF($E1893="","",IFERROR(INDEX(科目表!$A$4:$A$81,MATCH($E1893,科目表!$B$4:$B$81,0)),""))</f>
        <v/>
      </c>
      <c r="G1893" s="67" t="str">
        <f aca="false">IF($E1893="","",IFERROR(INDEX(科目表!$E$4:$E$81,MATCH($E1893,科目表!$B$4:$B$81,0)),""))</f>
        <v/>
      </c>
      <c r="H1893" s="70" t="str">
        <f aca="false">IF($E1893="","",N(INDEX(资金日记账!$N$4:$S$603,492,5)))</f>
        <v/>
      </c>
      <c r="I1893" s="70" t="str">
        <f aca="false">IF($E1893="","",N(INDEX(资金日记账!$N$4:$S$603,492,6)))</f>
        <v/>
      </c>
      <c r="J1893" s="67" t="str">
        <f aca="false">IF($E1893="","",INDEX(资金日记账!$E$4:$E$603,492))</f>
        <v/>
      </c>
      <c r="K1893" s="67" t="str">
        <f aca="false">IF($E1893="","",INDEX(资金日记账!$F$4:$F$603,492))</f>
        <v/>
      </c>
      <c r="L1893" s="107" t="str">
        <f aca="false">IF($E1893="","",INDEX(资金日记账!$X$4:$X$603,492))</f>
        <v/>
      </c>
      <c r="M1893" s="107"/>
      <c r="N1893" s="67" t="str">
        <f aca="false">IF($E1893="","",INDEX(资金日记账!$Y$4:$Y$603,492))</f>
        <v/>
      </c>
      <c r="O1893" s="67" t="str">
        <f aca="false">IF($E1893="","","自动B")</f>
        <v/>
      </c>
      <c r="P1893" s="18"/>
    </row>
    <row r="1894" customFormat="false" ht="18" hidden="false" customHeight="true" outlineLevel="0" collapsed="false">
      <c r="A1894" s="107" t="str">
        <f aca="false">IF($E1894="","",ROW()-3)</f>
        <v/>
      </c>
      <c r="B1894" s="110" t="str">
        <f aca="false">IF($E1894="","",INDEX(资金日记账!$B$4:$B$603,493))</f>
        <v/>
      </c>
      <c r="C1894" s="67" t="str">
        <f aca="false">IF($E1894="","",IF(INDEX(资金日记账!$W$4:$W$603,493)="","记-"&amp;TEXT($B1894,"YYYYMM")&amp;"-资金",INDEX(资金日记账!$W$4:$W$603,493)))</f>
        <v/>
      </c>
      <c r="D1894" s="107" t="str">
        <f aca="false">IF($E1894="","",INDEX(资金日记账!$D$4:$D$603,493))</f>
        <v/>
      </c>
      <c r="E1894" s="67" t="str">
        <f aca="false">IF(INDEX(资金日记账!$N$4:$S$603,493,1)=0,"",INDEX(资金日记账!$N$4:$S$603,493,1))</f>
        <v/>
      </c>
      <c r="F1894" s="99" t="str">
        <f aca="false">IF($E1894="","",IFERROR(INDEX(科目表!$A$4:$A$81,MATCH($E1894,科目表!$B$4:$B$81,0)),""))</f>
        <v/>
      </c>
      <c r="G1894" s="67" t="str">
        <f aca="false">IF($E1894="","",IFERROR(INDEX(科目表!$E$4:$E$81,MATCH($E1894,科目表!$B$4:$B$81,0)),""))</f>
        <v/>
      </c>
      <c r="H1894" s="70" t="str">
        <f aca="false">IF($E1894="","",N(INDEX(资金日记账!$N$4:$S$603,493,2)))</f>
        <v/>
      </c>
      <c r="I1894" s="70" t="str">
        <f aca="false">IF($E1894="","",N(INDEX(资金日记账!$N$4:$S$603,493,3)))</f>
        <v/>
      </c>
      <c r="J1894" s="67" t="str">
        <f aca="false">IF($E1894="","",INDEX(资金日记账!$E$4:$E$603,493))</f>
        <v/>
      </c>
      <c r="K1894" s="67" t="str">
        <f aca="false">IF($E1894="","",INDEX(资金日记账!$F$4:$F$603,493))</f>
        <v/>
      </c>
      <c r="L1894" s="107" t="str">
        <f aca="false">IF($E1894="","",INDEX(资金日记账!$X$4:$X$603,493))</f>
        <v/>
      </c>
      <c r="M1894" s="107"/>
      <c r="N1894" s="67" t="str">
        <f aca="false">IF($E1894="","",INDEX(资金日记账!$Y$4:$Y$603,493))</f>
        <v/>
      </c>
      <c r="O1894" s="67" t="str">
        <f aca="false">IF($E1894="","","自动B")</f>
        <v/>
      </c>
      <c r="P1894" s="18"/>
    </row>
    <row r="1895" customFormat="false" ht="18" hidden="false" customHeight="true" outlineLevel="0" collapsed="false">
      <c r="A1895" s="107" t="str">
        <f aca="false">IF($E1895="","",ROW()-3)</f>
        <v/>
      </c>
      <c r="B1895" s="110" t="str">
        <f aca="false">IF($E1895="","",INDEX(资金日记账!$B$4:$B$603,493))</f>
        <v/>
      </c>
      <c r="C1895" s="67" t="str">
        <f aca="false">IF($E1895="","",IF(INDEX(资金日记账!$W$4:$W$603,493)="","记-"&amp;TEXT($B1895,"YYYYMM")&amp;"-资金",INDEX(资金日记账!$W$4:$W$603,493)))</f>
        <v/>
      </c>
      <c r="D1895" s="107" t="str">
        <f aca="false">IF($E1895="","",INDEX(资金日记账!$D$4:$D$603,493))</f>
        <v/>
      </c>
      <c r="E1895" s="67" t="str">
        <f aca="false">IF(INDEX(资金日记账!$N$4:$S$603,493,4)=0,"",INDEX(资金日记账!$N$4:$S$603,493,4))</f>
        <v/>
      </c>
      <c r="F1895" s="99" t="str">
        <f aca="false">IF($E1895="","",IFERROR(INDEX(科目表!$A$4:$A$81,MATCH($E1895,科目表!$B$4:$B$81,0)),""))</f>
        <v/>
      </c>
      <c r="G1895" s="67" t="str">
        <f aca="false">IF($E1895="","",IFERROR(INDEX(科目表!$E$4:$E$81,MATCH($E1895,科目表!$B$4:$B$81,0)),""))</f>
        <v/>
      </c>
      <c r="H1895" s="70" t="str">
        <f aca="false">IF($E1895="","",N(INDEX(资金日记账!$N$4:$S$603,493,5)))</f>
        <v/>
      </c>
      <c r="I1895" s="70" t="str">
        <f aca="false">IF($E1895="","",N(INDEX(资金日记账!$N$4:$S$603,493,6)))</f>
        <v/>
      </c>
      <c r="J1895" s="67" t="str">
        <f aca="false">IF($E1895="","",INDEX(资金日记账!$E$4:$E$603,493))</f>
        <v/>
      </c>
      <c r="K1895" s="67" t="str">
        <f aca="false">IF($E1895="","",INDEX(资金日记账!$F$4:$F$603,493))</f>
        <v/>
      </c>
      <c r="L1895" s="107" t="str">
        <f aca="false">IF($E1895="","",INDEX(资金日记账!$X$4:$X$603,493))</f>
        <v/>
      </c>
      <c r="M1895" s="107"/>
      <c r="N1895" s="67" t="str">
        <f aca="false">IF($E1895="","",INDEX(资金日记账!$Y$4:$Y$603,493))</f>
        <v/>
      </c>
      <c r="O1895" s="67" t="str">
        <f aca="false">IF($E1895="","","自动B")</f>
        <v/>
      </c>
      <c r="P1895" s="18"/>
    </row>
    <row r="1896" customFormat="false" ht="18" hidden="false" customHeight="true" outlineLevel="0" collapsed="false">
      <c r="A1896" s="107" t="str">
        <f aca="false">IF($E1896="","",ROW()-3)</f>
        <v/>
      </c>
      <c r="B1896" s="110" t="str">
        <f aca="false">IF($E1896="","",INDEX(资金日记账!$B$4:$B$603,494))</f>
        <v/>
      </c>
      <c r="C1896" s="67" t="str">
        <f aca="false">IF($E1896="","",IF(INDEX(资金日记账!$W$4:$W$603,494)="","记-"&amp;TEXT($B1896,"YYYYMM")&amp;"-资金",INDEX(资金日记账!$W$4:$W$603,494)))</f>
        <v/>
      </c>
      <c r="D1896" s="107" t="str">
        <f aca="false">IF($E1896="","",INDEX(资金日记账!$D$4:$D$603,494))</f>
        <v/>
      </c>
      <c r="E1896" s="67" t="str">
        <f aca="false">IF(INDEX(资金日记账!$N$4:$S$603,494,1)=0,"",INDEX(资金日记账!$N$4:$S$603,494,1))</f>
        <v/>
      </c>
      <c r="F1896" s="99" t="str">
        <f aca="false">IF($E1896="","",IFERROR(INDEX(科目表!$A$4:$A$81,MATCH($E1896,科目表!$B$4:$B$81,0)),""))</f>
        <v/>
      </c>
      <c r="G1896" s="67" t="str">
        <f aca="false">IF($E1896="","",IFERROR(INDEX(科目表!$E$4:$E$81,MATCH($E1896,科目表!$B$4:$B$81,0)),""))</f>
        <v/>
      </c>
      <c r="H1896" s="70" t="str">
        <f aca="false">IF($E1896="","",N(INDEX(资金日记账!$N$4:$S$603,494,2)))</f>
        <v/>
      </c>
      <c r="I1896" s="70" t="str">
        <f aca="false">IF($E1896="","",N(INDEX(资金日记账!$N$4:$S$603,494,3)))</f>
        <v/>
      </c>
      <c r="J1896" s="67" t="str">
        <f aca="false">IF($E1896="","",INDEX(资金日记账!$E$4:$E$603,494))</f>
        <v/>
      </c>
      <c r="K1896" s="67" t="str">
        <f aca="false">IF($E1896="","",INDEX(资金日记账!$F$4:$F$603,494))</f>
        <v/>
      </c>
      <c r="L1896" s="107" t="str">
        <f aca="false">IF($E1896="","",INDEX(资金日记账!$X$4:$X$603,494))</f>
        <v/>
      </c>
      <c r="M1896" s="107"/>
      <c r="N1896" s="67" t="str">
        <f aca="false">IF($E1896="","",INDEX(资金日记账!$Y$4:$Y$603,494))</f>
        <v/>
      </c>
      <c r="O1896" s="67" t="str">
        <f aca="false">IF($E1896="","","自动B")</f>
        <v/>
      </c>
      <c r="P1896" s="18"/>
    </row>
    <row r="1897" customFormat="false" ht="18" hidden="false" customHeight="true" outlineLevel="0" collapsed="false">
      <c r="A1897" s="107" t="str">
        <f aca="false">IF($E1897="","",ROW()-3)</f>
        <v/>
      </c>
      <c r="B1897" s="110" t="str">
        <f aca="false">IF($E1897="","",INDEX(资金日记账!$B$4:$B$603,494))</f>
        <v/>
      </c>
      <c r="C1897" s="67" t="str">
        <f aca="false">IF($E1897="","",IF(INDEX(资金日记账!$W$4:$W$603,494)="","记-"&amp;TEXT($B1897,"YYYYMM")&amp;"-资金",INDEX(资金日记账!$W$4:$W$603,494)))</f>
        <v/>
      </c>
      <c r="D1897" s="107" t="str">
        <f aca="false">IF($E1897="","",INDEX(资金日记账!$D$4:$D$603,494))</f>
        <v/>
      </c>
      <c r="E1897" s="67" t="str">
        <f aca="false">IF(INDEX(资金日记账!$N$4:$S$603,494,4)=0,"",INDEX(资金日记账!$N$4:$S$603,494,4))</f>
        <v/>
      </c>
      <c r="F1897" s="99" t="str">
        <f aca="false">IF($E1897="","",IFERROR(INDEX(科目表!$A$4:$A$81,MATCH($E1897,科目表!$B$4:$B$81,0)),""))</f>
        <v/>
      </c>
      <c r="G1897" s="67" t="str">
        <f aca="false">IF($E1897="","",IFERROR(INDEX(科目表!$E$4:$E$81,MATCH($E1897,科目表!$B$4:$B$81,0)),""))</f>
        <v/>
      </c>
      <c r="H1897" s="70" t="str">
        <f aca="false">IF($E1897="","",N(INDEX(资金日记账!$N$4:$S$603,494,5)))</f>
        <v/>
      </c>
      <c r="I1897" s="70" t="str">
        <f aca="false">IF($E1897="","",N(INDEX(资金日记账!$N$4:$S$603,494,6)))</f>
        <v/>
      </c>
      <c r="J1897" s="67" t="str">
        <f aca="false">IF($E1897="","",INDEX(资金日记账!$E$4:$E$603,494))</f>
        <v/>
      </c>
      <c r="K1897" s="67" t="str">
        <f aca="false">IF($E1897="","",INDEX(资金日记账!$F$4:$F$603,494))</f>
        <v/>
      </c>
      <c r="L1897" s="107" t="str">
        <f aca="false">IF($E1897="","",INDEX(资金日记账!$X$4:$X$603,494))</f>
        <v/>
      </c>
      <c r="M1897" s="107"/>
      <c r="N1897" s="67" t="str">
        <f aca="false">IF($E1897="","",INDEX(资金日记账!$Y$4:$Y$603,494))</f>
        <v/>
      </c>
      <c r="O1897" s="67" t="str">
        <f aca="false">IF($E1897="","","自动B")</f>
        <v/>
      </c>
      <c r="P1897" s="18"/>
    </row>
    <row r="1898" customFormat="false" ht="18" hidden="false" customHeight="true" outlineLevel="0" collapsed="false">
      <c r="A1898" s="107" t="str">
        <f aca="false">IF($E1898="","",ROW()-3)</f>
        <v/>
      </c>
      <c r="B1898" s="110" t="str">
        <f aca="false">IF($E1898="","",INDEX(资金日记账!$B$4:$B$603,495))</f>
        <v/>
      </c>
      <c r="C1898" s="67" t="str">
        <f aca="false">IF($E1898="","",IF(INDEX(资金日记账!$W$4:$W$603,495)="","记-"&amp;TEXT($B1898,"YYYYMM")&amp;"-资金",INDEX(资金日记账!$W$4:$W$603,495)))</f>
        <v/>
      </c>
      <c r="D1898" s="107" t="str">
        <f aca="false">IF($E1898="","",INDEX(资金日记账!$D$4:$D$603,495))</f>
        <v/>
      </c>
      <c r="E1898" s="67" t="str">
        <f aca="false">IF(INDEX(资金日记账!$N$4:$S$603,495,1)=0,"",INDEX(资金日记账!$N$4:$S$603,495,1))</f>
        <v/>
      </c>
      <c r="F1898" s="99" t="str">
        <f aca="false">IF($E1898="","",IFERROR(INDEX(科目表!$A$4:$A$81,MATCH($E1898,科目表!$B$4:$B$81,0)),""))</f>
        <v/>
      </c>
      <c r="G1898" s="67" t="str">
        <f aca="false">IF($E1898="","",IFERROR(INDEX(科目表!$E$4:$E$81,MATCH($E1898,科目表!$B$4:$B$81,0)),""))</f>
        <v/>
      </c>
      <c r="H1898" s="70" t="str">
        <f aca="false">IF($E1898="","",N(INDEX(资金日记账!$N$4:$S$603,495,2)))</f>
        <v/>
      </c>
      <c r="I1898" s="70" t="str">
        <f aca="false">IF($E1898="","",N(INDEX(资金日记账!$N$4:$S$603,495,3)))</f>
        <v/>
      </c>
      <c r="J1898" s="67" t="str">
        <f aca="false">IF($E1898="","",INDEX(资金日记账!$E$4:$E$603,495))</f>
        <v/>
      </c>
      <c r="K1898" s="67" t="str">
        <f aca="false">IF($E1898="","",INDEX(资金日记账!$F$4:$F$603,495))</f>
        <v/>
      </c>
      <c r="L1898" s="107" t="str">
        <f aca="false">IF($E1898="","",INDEX(资金日记账!$X$4:$X$603,495))</f>
        <v/>
      </c>
      <c r="M1898" s="107"/>
      <c r="N1898" s="67" t="str">
        <f aca="false">IF($E1898="","",INDEX(资金日记账!$Y$4:$Y$603,495))</f>
        <v/>
      </c>
      <c r="O1898" s="67" t="str">
        <f aca="false">IF($E1898="","","自动B")</f>
        <v/>
      </c>
      <c r="P1898" s="18"/>
    </row>
    <row r="1899" customFormat="false" ht="18" hidden="false" customHeight="true" outlineLevel="0" collapsed="false">
      <c r="A1899" s="107" t="str">
        <f aca="false">IF($E1899="","",ROW()-3)</f>
        <v/>
      </c>
      <c r="B1899" s="110" t="str">
        <f aca="false">IF($E1899="","",INDEX(资金日记账!$B$4:$B$603,495))</f>
        <v/>
      </c>
      <c r="C1899" s="67" t="str">
        <f aca="false">IF($E1899="","",IF(INDEX(资金日记账!$W$4:$W$603,495)="","记-"&amp;TEXT($B1899,"YYYYMM")&amp;"-资金",INDEX(资金日记账!$W$4:$W$603,495)))</f>
        <v/>
      </c>
      <c r="D1899" s="107" t="str">
        <f aca="false">IF($E1899="","",INDEX(资金日记账!$D$4:$D$603,495))</f>
        <v/>
      </c>
      <c r="E1899" s="67" t="str">
        <f aca="false">IF(INDEX(资金日记账!$N$4:$S$603,495,4)=0,"",INDEX(资金日记账!$N$4:$S$603,495,4))</f>
        <v/>
      </c>
      <c r="F1899" s="99" t="str">
        <f aca="false">IF($E1899="","",IFERROR(INDEX(科目表!$A$4:$A$81,MATCH($E1899,科目表!$B$4:$B$81,0)),""))</f>
        <v/>
      </c>
      <c r="G1899" s="67" t="str">
        <f aca="false">IF($E1899="","",IFERROR(INDEX(科目表!$E$4:$E$81,MATCH($E1899,科目表!$B$4:$B$81,0)),""))</f>
        <v/>
      </c>
      <c r="H1899" s="70" t="str">
        <f aca="false">IF($E1899="","",N(INDEX(资金日记账!$N$4:$S$603,495,5)))</f>
        <v/>
      </c>
      <c r="I1899" s="70" t="str">
        <f aca="false">IF($E1899="","",N(INDEX(资金日记账!$N$4:$S$603,495,6)))</f>
        <v/>
      </c>
      <c r="J1899" s="67" t="str">
        <f aca="false">IF($E1899="","",INDEX(资金日记账!$E$4:$E$603,495))</f>
        <v/>
      </c>
      <c r="K1899" s="67" t="str">
        <f aca="false">IF($E1899="","",INDEX(资金日记账!$F$4:$F$603,495))</f>
        <v/>
      </c>
      <c r="L1899" s="107" t="str">
        <f aca="false">IF($E1899="","",INDEX(资金日记账!$X$4:$X$603,495))</f>
        <v/>
      </c>
      <c r="M1899" s="107"/>
      <c r="N1899" s="67" t="str">
        <f aca="false">IF($E1899="","",INDEX(资金日记账!$Y$4:$Y$603,495))</f>
        <v/>
      </c>
      <c r="O1899" s="67" t="str">
        <f aca="false">IF($E1899="","","自动B")</f>
        <v/>
      </c>
      <c r="P1899" s="18"/>
    </row>
    <row r="1900" customFormat="false" ht="18" hidden="false" customHeight="true" outlineLevel="0" collapsed="false">
      <c r="A1900" s="107" t="str">
        <f aca="false">IF($E1900="","",ROW()-3)</f>
        <v/>
      </c>
      <c r="B1900" s="110" t="str">
        <f aca="false">IF($E1900="","",INDEX(资金日记账!$B$4:$B$603,496))</f>
        <v/>
      </c>
      <c r="C1900" s="67" t="str">
        <f aca="false">IF($E1900="","",IF(INDEX(资金日记账!$W$4:$W$603,496)="","记-"&amp;TEXT($B1900,"YYYYMM")&amp;"-资金",INDEX(资金日记账!$W$4:$W$603,496)))</f>
        <v/>
      </c>
      <c r="D1900" s="107" t="str">
        <f aca="false">IF($E1900="","",INDEX(资金日记账!$D$4:$D$603,496))</f>
        <v/>
      </c>
      <c r="E1900" s="67" t="str">
        <f aca="false">IF(INDEX(资金日记账!$N$4:$S$603,496,1)=0,"",INDEX(资金日记账!$N$4:$S$603,496,1))</f>
        <v/>
      </c>
      <c r="F1900" s="99" t="str">
        <f aca="false">IF($E1900="","",IFERROR(INDEX(科目表!$A$4:$A$81,MATCH($E1900,科目表!$B$4:$B$81,0)),""))</f>
        <v/>
      </c>
      <c r="G1900" s="67" t="str">
        <f aca="false">IF($E1900="","",IFERROR(INDEX(科目表!$E$4:$E$81,MATCH($E1900,科目表!$B$4:$B$81,0)),""))</f>
        <v/>
      </c>
      <c r="H1900" s="70" t="str">
        <f aca="false">IF($E1900="","",N(INDEX(资金日记账!$N$4:$S$603,496,2)))</f>
        <v/>
      </c>
      <c r="I1900" s="70" t="str">
        <f aca="false">IF($E1900="","",N(INDEX(资金日记账!$N$4:$S$603,496,3)))</f>
        <v/>
      </c>
      <c r="J1900" s="67" t="str">
        <f aca="false">IF($E1900="","",INDEX(资金日记账!$E$4:$E$603,496))</f>
        <v/>
      </c>
      <c r="K1900" s="67" t="str">
        <f aca="false">IF($E1900="","",INDEX(资金日记账!$F$4:$F$603,496))</f>
        <v/>
      </c>
      <c r="L1900" s="107" t="str">
        <f aca="false">IF($E1900="","",INDEX(资金日记账!$X$4:$X$603,496))</f>
        <v/>
      </c>
      <c r="M1900" s="107"/>
      <c r="N1900" s="67" t="str">
        <f aca="false">IF($E1900="","",INDEX(资金日记账!$Y$4:$Y$603,496))</f>
        <v/>
      </c>
      <c r="O1900" s="67" t="str">
        <f aca="false">IF($E1900="","","自动B")</f>
        <v/>
      </c>
      <c r="P1900" s="18"/>
    </row>
    <row r="1901" customFormat="false" ht="18" hidden="false" customHeight="true" outlineLevel="0" collapsed="false">
      <c r="A1901" s="107" t="str">
        <f aca="false">IF($E1901="","",ROW()-3)</f>
        <v/>
      </c>
      <c r="B1901" s="110" t="str">
        <f aca="false">IF($E1901="","",INDEX(资金日记账!$B$4:$B$603,496))</f>
        <v/>
      </c>
      <c r="C1901" s="67" t="str">
        <f aca="false">IF($E1901="","",IF(INDEX(资金日记账!$W$4:$W$603,496)="","记-"&amp;TEXT($B1901,"YYYYMM")&amp;"-资金",INDEX(资金日记账!$W$4:$W$603,496)))</f>
        <v/>
      </c>
      <c r="D1901" s="107" t="str">
        <f aca="false">IF($E1901="","",INDEX(资金日记账!$D$4:$D$603,496))</f>
        <v/>
      </c>
      <c r="E1901" s="67" t="str">
        <f aca="false">IF(INDEX(资金日记账!$N$4:$S$603,496,4)=0,"",INDEX(资金日记账!$N$4:$S$603,496,4))</f>
        <v/>
      </c>
      <c r="F1901" s="99" t="str">
        <f aca="false">IF($E1901="","",IFERROR(INDEX(科目表!$A$4:$A$81,MATCH($E1901,科目表!$B$4:$B$81,0)),""))</f>
        <v/>
      </c>
      <c r="G1901" s="67" t="str">
        <f aca="false">IF($E1901="","",IFERROR(INDEX(科目表!$E$4:$E$81,MATCH($E1901,科目表!$B$4:$B$81,0)),""))</f>
        <v/>
      </c>
      <c r="H1901" s="70" t="str">
        <f aca="false">IF($E1901="","",N(INDEX(资金日记账!$N$4:$S$603,496,5)))</f>
        <v/>
      </c>
      <c r="I1901" s="70" t="str">
        <f aca="false">IF($E1901="","",N(INDEX(资金日记账!$N$4:$S$603,496,6)))</f>
        <v/>
      </c>
      <c r="J1901" s="67" t="str">
        <f aca="false">IF($E1901="","",INDEX(资金日记账!$E$4:$E$603,496))</f>
        <v/>
      </c>
      <c r="K1901" s="67" t="str">
        <f aca="false">IF($E1901="","",INDEX(资金日记账!$F$4:$F$603,496))</f>
        <v/>
      </c>
      <c r="L1901" s="107" t="str">
        <f aca="false">IF($E1901="","",INDEX(资金日记账!$X$4:$X$603,496))</f>
        <v/>
      </c>
      <c r="M1901" s="107"/>
      <c r="N1901" s="67" t="str">
        <f aca="false">IF($E1901="","",INDEX(资金日记账!$Y$4:$Y$603,496))</f>
        <v/>
      </c>
      <c r="O1901" s="67" t="str">
        <f aca="false">IF($E1901="","","自动B")</f>
        <v/>
      </c>
      <c r="P1901" s="18"/>
    </row>
    <row r="1902" customFormat="false" ht="18" hidden="false" customHeight="true" outlineLevel="0" collapsed="false">
      <c r="A1902" s="107" t="str">
        <f aca="false">IF($E1902="","",ROW()-3)</f>
        <v/>
      </c>
      <c r="B1902" s="110" t="str">
        <f aca="false">IF($E1902="","",INDEX(资金日记账!$B$4:$B$603,497))</f>
        <v/>
      </c>
      <c r="C1902" s="67" t="str">
        <f aca="false">IF($E1902="","",IF(INDEX(资金日记账!$W$4:$W$603,497)="","记-"&amp;TEXT($B1902,"YYYYMM")&amp;"-资金",INDEX(资金日记账!$W$4:$W$603,497)))</f>
        <v/>
      </c>
      <c r="D1902" s="107" t="str">
        <f aca="false">IF($E1902="","",INDEX(资金日记账!$D$4:$D$603,497))</f>
        <v/>
      </c>
      <c r="E1902" s="67" t="str">
        <f aca="false">IF(INDEX(资金日记账!$N$4:$S$603,497,1)=0,"",INDEX(资金日记账!$N$4:$S$603,497,1))</f>
        <v/>
      </c>
      <c r="F1902" s="99" t="str">
        <f aca="false">IF($E1902="","",IFERROR(INDEX(科目表!$A$4:$A$81,MATCH($E1902,科目表!$B$4:$B$81,0)),""))</f>
        <v/>
      </c>
      <c r="G1902" s="67" t="str">
        <f aca="false">IF($E1902="","",IFERROR(INDEX(科目表!$E$4:$E$81,MATCH($E1902,科目表!$B$4:$B$81,0)),""))</f>
        <v/>
      </c>
      <c r="H1902" s="70" t="str">
        <f aca="false">IF($E1902="","",N(INDEX(资金日记账!$N$4:$S$603,497,2)))</f>
        <v/>
      </c>
      <c r="I1902" s="70" t="str">
        <f aca="false">IF($E1902="","",N(INDEX(资金日记账!$N$4:$S$603,497,3)))</f>
        <v/>
      </c>
      <c r="J1902" s="67" t="str">
        <f aca="false">IF($E1902="","",INDEX(资金日记账!$E$4:$E$603,497))</f>
        <v/>
      </c>
      <c r="K1902" s="67" t="str">
        <f aca="false">IF($E1902="","",INDEX(资金日记账!$F$4:$F$603,497))</f>
        <v/>
      </c>
      <c r="L1902" s="107" t="str">
        <f aca="false">IF($E1902="","",INDEX(资金日记账!$X$4:$X$603,497))</f>
        <v/>
      </c>
      <c r="M1902" s="107"/>
      <c r="N1902" s="67" t="str">
        <f aca="false">IF($E1902="","",INDEX(资金日记账!$Y$4:$Y$603,497))</f>
        <v/>
      </c>
      <c r="O1902" s="67" t="str">
        <f aca="false">IF($E1902="","","自动B")</f>
        <v/>
      </c>
      <c r="P1902" s="18"/>
    </row>
    <row r="1903" customFormat="false" ht="18" hidden="false" customHeight="true" outlineLevel="0" collapsed="false">
      <c r="A1903" s="107" t="str">
        <f aca="false">IF($E1903="","",ROW()-3)</f>
        <v/>
      </c>
      <c r="B1903" s="110" t="str">
        <f aca="false">IF($E1903="","",INDEX(资金日记账!$B$4:$B$603,497))</f>
        <v/>
      </c>
      <c r="C1903" s="67" t="str">
        <f aca="false">IF($E1903="","",IF(INDEX(资金日记账!$W$4:$W$603,497)="","记-"&amp;TEXT($B1903,"YYYYMM")&amp;"-资金",INDEX(资金日记账!$W$4:$W$603,497)))</f>
        <v/>
      </c>
      <c r="D1903" s="107" t="str">
        <f aca="false">IF($E1903="","",INDEX(资金日记账!$D$4:$D$603,497))</f>
        <v/>
      </c>
      <c r="E1903" s="67" t="str">
        <f aca="false">IF(INDEX(资金日记账!$N$4:$S$603,497,4)=0,"",INDEX(资金日记账!$N$4:$S$603,497,4))</f>
        <v/>
      </c>
      <c r="F1903" s="99" t="str">
        <f aca="false">IF($E1903="","",IFERROR(INDEX(科目表!$A$4:$A$81,MATCH($E1903,科目表!$B$4:$B$81,0)),""))</f>
        <v/>
      </c>
      <c r="G1903" s="67" t="str">
        <f aca="false">IF($E1903="","",IFERROR(INDEX(科目表!$E$4:$E$81,MATCH($E1903,科目表!$B$4:$B$81,0)),""))</f>
        <v/>
      </c>
      <c r="H1903" s="70" t="str">
        <f aca="false">IF($E1903="","",N(INDEX(资金日记账!$N$4:$S$603,497,5)))</f>
        <v/>
      </c>
      <c r="I1903" s="70" t="str">
        <f aca="false">IF($E1903="","",N(INDEX(资金日记账!$N$4:$S$603,497,6)))</f>
        <v/>
      </c>
      <c r="J1903" s="67" t="str">
        <f aca="false">IF($E1903="","",INDEX(资金日记账!$E$4:$E$603,497))</f>
        <v/>
      </c>
      <c r="K1903" s="67" t="str">
        <f aca="false">IF($E1903="","",INDEX(资金日记账!$F$4:$F$603,497))</f>
        <v/>
      </c>
      <c r="L1903" s="107" t="str">
        <f aca="false">IF($E1903="","",INDEX(资金日记账!$X$4:$X$603,497))</f>
        <v/>
      </c>
      <c r="M1903" s="107"/>
      <c r="N1903" s="67" t="str">
        <f aca="false">IF($E1903="","",INDEX(资金日记账!$Y$4:$Y$603,497))</f>
        <v/>
      </c>
      <c r="O1903" s="67" t="str">
        <f aca="false">IF($E1903="","","自动B")</f>
        <v/>
      </c>
      <c r="P1903" s="18"/>
    </row>
    <row r="1904" customFormat="false" ht="18" hidden="false" customHeight="true" outlineLevel="0" collapsed="false">
      <c r="A1904" s="107" t="str">
        <f aca="false">IF($E1904="","",ROW()-3)</f>
        <v/>
      </c>
      <c r="B1904" s="110" t="str">
        <f aca="false">IF($E1904="","",INDEX(资金日记账!$B$4:$B$603,498))</f>
        <v/>
      </c>
      <c r="C1904" s="67" t="str">
        <f aca="false">IF($E1904="","",IF(INDEX(资金日记账!$W$4:$W$603,498)="","记-"&amp;TEXT($B1904,"YYYYMM")&amp;"-资金",INDEX(资金日记账!$W$4:$W$603,498)))</f>
        <v/>
      </c>
      <c r="D1904" s="107" t="str">
        <f aca="false">IF($E1904="","",INDEX(资金日记账!$D$4:$D$603,498))</f>
        <v/>
      </c>
      <c r="E1904" s="67" t="str">
        <f aca="false">IF(INDEX(资金日记账!$N$4:$S$603,498,1)=0,"",INDEX(资金日记账!$N$4:$S$603,498,1))</f>
        <v/>
      </c>
      <c r="F1904" s="99" t="str">
        <f aca="false">IF($E1904="","",IFERROR(INDEX(科目表!$A$4:$A$81,MATCH($E1904,科目表!$B$4:$B$81,0)),""))</f>
        <v/>
      </c>
      <c r="G1904" s="67" t="str">
        <f aca="false">IF($E1904="","",IFERROR(INDEX(科目表!$E$4:$E$81,MATCH($E1904,科目表!$B$4:$B$81,0)),""))</f>
        <v/>
      </c>
      <c r="H1904" s="70" t="str">
        <f aca="false">IF($E1904="","",N(INDEX(资金日记账!$N$4:$S$603,498,2)))</f>
        <v/>
      </c>
      <c r="I1904" s="70" t="str">
        <f aca="false">IF($E1904="","",N(INDEX(资金日记账!$N$4:$S$603,498,3)))</f>
        <v/>
      </c>
      <c r="J1904" s="67" t="str">
        <f aca="false">IF($E1904="","",INDEX(资金日记账!$E$4:$E$603,498))</f>
        <v/>
      </c>
      <c r="K1904" s="67" t="str">
        <f aca="false">IF($E1904="","",INDEX(资金日记账!$F$4:$F$603,498))</f>
        <v/>
      </c>
      <c r="L1904" s="107" t="str">
        <f aca="false">IF($E1904="","",INDEX(资金日记账!$X$4:$X$603,498))</f>
        <v/>
      </c>
      <c r="M1904" s="107"/>
      <c r="N1904" s="67" t="str">
        <f aca="false">IF($E1904="","",INDEX(资金日记账!$Y$4:$Y$603,498))</f>
        <v/>
      </c>
      <c r="O1904" s="67" t="str">
        <f aca="false">IF($E1904="","","自动B")</f>
        <v/>
      </c>
      <c r="P1904" s="18"/>
    </row>
    <row r="1905" customFormat="false" ht="18" hidden="false" customHeight="true" outlineLevel="0" collapsed="false">
      <c r="A1905" s="107" t="str">
        <f aca="false">IF($E1905="","",ROW()-3)</f>
        <v/>
      </c>
      <c r="B1905" s="110" t="str">
        <f aca="false">IF($E1905="","",INDEX(资金日记账!$B$4:$B$603,498))</f>
        <v/>
      </c>
      <c r="C1905" s="67" t="str">
        <f aca="false">IF($E1905="","",IF(INDEX(资金日记账!$W$4:$W$603,498)="","记-"&amp;TEXT($B1905,"YYYYMM")&amp;"-资金",INDEX(资金日记账!$W$4:$W$603,498)))</f>
        <v/>
      </c>
      <c r="D1905" s="107" t="str">
        <f aca="false">IF($E1905="","",INDEX(资金日记账!$D$4:$D$603,498))</f>
        <v/>
      </c>
      <c r="E1905" s="67" t="str">
        <f aca="false">IF(INDEX(资金日记账!$N$4:$S$603,498,4)=0,"",INDEX(资金日记账!$N$4:$S$603,498,4))</f>
        <v/>
      </c>
      <c r="F1905" s="99" t="str">
        <f aca="false">IF($E1905="","",IFERROR(INDEX(科目表!$A$4:$A$81,MATCH($E1905,科目表!$B$4:$B$81,0)),""))</f>
        <v/>
      </c>
      <c r="G1905" s="67" t="str">
        <f aca="false">IF($E1905="","",IFERROR(INDEX(科目表!$E$4:$E$81,MATCH($E1905,科目表!$B$4:$B$81,0)),""))</f>
        <v/>
      </c>
      <c r="H1905" s="70" t="str">
        <f aca="false">IF($E1905="","",N(INDEX(资金日记账!$N$4:$S$603,498,5)))</f>
        <v/>
      </c>
      <c r="I1905" s="70" t="str">
        <f aca="false">IF($E1905="","",N(INDEX(资金日记账!$N$4:$S$603,498,6)))</f>
        <v/>
      </c>
      <c r="J1905" s="67" t="str">
        <f aca="false">IF($E1905="","",INDEX(资金日记账!$E$4:$E$603,498))</f>
        <v/>
      </c>
      <c r="K1905" s="67" t="str">
        <f aca="false">IF($E1905="","",INDEX(资金日记账!$F$4:$F$603,498))</f>
        <v/>
      </c>
      <c r="L1905" s="107" t="str">
        <f aca="false">IF($E1905="","",INDEX(资金日记账!$X$4:$X$603,498))</f>
        <v/>
      </c>
      <c r="M1905" s="107"/>
      <c r="N1905" s="67" t="str">
        <f aca="false">IF($E1905="","",INDEX(资金日记账!$Y$4:$Y$603,498))</f>
        <v/>
      </c>
      <c r="O1905" s="67" t="str">
        <f aca="false">IF($E1905="","","自动B")</f>
        <v/>
      </c>
      <c r="P1905" s="18"/>
    </row>
    <row r="1906" customFormat="false" ht="18" hidden="false" customHeight="true" outlineLevel="0" collapsed="false">
      <c r="A1906" s="107" t="str">
        <f aca="false">IF($E1906="","",ROW()-3)</f>
        <v/>
      </c>
      <c r="B1906" s="110" t="str">
        <f aca="false">IF($E1906="","",INDEX(资金日记账!$B$4:$B$603,499))</f>
        <v/>
      </c>
      <c r="C1906" s="67" t="str">
        <f aca="false">IF($E1906="","",IF(INDEX(资金日记账!$W$4:$W$603,499)="","记-"&amp;TEXT($B1906,"YYYYMM")&amp;"-资金",INDEX(资金日记账!$W$4:$W$603,499)))</f>
        <v/>
      </c>
      <c r="D1906" s="107" t="str">
        <f aca="false">IF($E1906="","",INDEX(资金日记账!$D$4:$D$603,499))</f>
        <v/>
      </c>
      <c r="E1906" s="67" t="str">
        <f aca="false">IF(INDEX(资金日记账!$N$4:$S$603,499,1)=0,"",INDEX(资金日记账!$N$4:$S$603,499,1))</f>
        <v/>
      </c>
      <c r="F1906" s="99" t="str">
        <f aca="false">IF($E1906="","",IFERROR(INDEX(科目表!$A$4:$A$81,MATCH($E1906,科目表!$B$4:$B$81,0)),""))</f>
        <v/>
      </c>
      <c r="G1906" s="67" t="str">
        <f aca="false">IF($E1906="","",IFERROR(INDEX(科目表!$E$4:$E$81,MATCH($E1906,科目表!$B$4:$B$81,0)),""))</f>
        <v/>
      </c>
      <c r="H1906" s="70" t="str">
        <f aca="false">IF($E1906="","",N(INDEX(资金日记账!$N$4:$S$603,499,2)))</f>
        <v/>
      </c>
      <c r="I1906" s="70" t="str">
        <f aca="false">IF($E1906="","",N(INDEX(资金日记账!$N$4:$S$603,499,3)))</f>
        <v/>
      </c>
      <c r="J1906" s="67" t="str">
        <f aca="false">IF($E1906="","",INDEX(资金日记账!$E$4:$E$603,499))</f>
        <v/>
      </c>
      <c r="K1906" s="67" t="str">
        <f aca="false">IF($E1906="","",INDEX(资金日记账!$F$4:$F$603,499))</f>
        <v/>
      </c>
      <c r="L1906" s="107" t="str">
        <f aca="false">IF($E1906="","",INDEX(资金日记账!$X$4:$X$603,499))</f>
        <v/>
      </c>
      <c r="M1906" s="107"/>
      <c r="N1906" s="67" t="str">
        <f aca="false">IF($E1906="","",INDEX(资金日记账!$Y$4:$Y$603,499))</f>
        <v/>
      </c>
      <c r="O1906" s="67" t="str">
        <f aca="false">IF($E1906="","","自动B")</f>
        <v/>
      </c>
      <c r="P1906" s="18"/>
    </row>
    <row r="1907" customFormat="false" ht="18" hidden="false" customHeight="true" outlineLevel="0" collapsed="false">
      <c r="A1907" s="107" t="str">
        <f aca="false">IF($E1907="","",ROW()-3)</f>
        <v/>
      </c>
      <c r="B1907" s="110" t="str">
        <f aca="false">IF($E1907="","",INDEX(资金日记账!$B$4:$B$603,499))</f>
        <v/>
      </c>
      <c r="C1907" s="67" t="str">
        <f aca="false">IF($E1907="","",IF(INDEX(资金日记账!$W$4:$W$603,499)="","记-"&amp;TEXT($B1907,"YYYYMM")&amp;"-资金",INDEX(资金日记账!$W$4:$W$603,499)))</f>
        <v/>
      </c>
      <c r="D1907" s="107" t="str">
        <f aca="false">IF($E1907="","",INDEX(资金日记账!$D$4:$D$603,499))</f>
        <v/>
      </c>
      <c r="E1907" s="67" t="str">
        <f aca="false">IF(INDEX(资金日记账!$N$4:$S$603,499,4)=0,"",INDEX(资金日记账!$N$4:$S$603,499,4))</f>
        <v/>
      </c>
      <c r="F1907" s="99" t="str">
        <f aca="false">IF($E1907="","",IFERROR(INDEX(科目表!$A$4:$A$81,MATCH($E1907,科目表!$B$4:$B$81,0)),""))</f>
        <v/>
      </c>
      <c r="G1907" s="67" t="str">
        <f aca="false">IF($E1907="","",IFERROR(INDEX(科目表!$E$4:$E$81,MATCH($E1907,科目表!$B$4:$B$81,0)),""))</f>
        <v/>
      </c>
      <c r="H1907" s="70" t="str">
        <f aca="false">IF($E1907="","",N(INDEX(资金日记账!$N$4:$S$603,499,5)))</f>
        <v/>
      </c>
      <c r="I1907" s="70" t="str">
        <f aca="false">IF($E1907="","",N(INDEX(资金日记账!$N$4:$S$603,499,6)))</f>
        <v/>
      </c>
      <c r="J1907" s="67" t="str">
        <f aca="false">IF($E1907="","",INDEX(资金日记账!$E$4:$E$603,499))</f>
        <v/>
      </c>
      <c r="K1907" s="67" t="str">
        <f aca="false">IF($E1907="","",INDEX(资金日记账!$F$4:$F$603,499))</f>
        <v/>
      </c>
      <c r="L1907" s="107" t="str">
        <f aca="false">IF($E1907="","",INDEX(资金日记账!$X$4:$X$603,499))</f>
        <v/>
      </c>
      <c r="M1907" s="107"/>
      <c r="N1907" s="67" t="str">
        <f aca="false">IF($E1907="","",INDEX(资金日记账!$Y$4:$Y$603,499))</f>
        <v/>
      </c>
      <c r="O1907" s="67" t="str">
        <f aca="false">IF($E1907="","","自动B")</f>
        <v/>
      </c>
      <c r="P1907" s="18"/>
    </row>
    <row r="1908" customFormat="false" ht="18" hidden="false" customHeight="true" outlineLevel="0" collapsed="false">
      <c r="A1908" s="107" t="str">
        <f aca="false">IF($E1908="","",ROW()-3)</f>
        <v/>
      </c>
      <c r="B1908" s="110" t="str">
        <f aca="false">IF($E1908="","",INDEX(资金日记账!$B$4:$B$603,500))</f>
        <v/>
      </c>
      <c r="C1908" s="67" t="str">
        <f aca="false">IF($E1908="","",IF(INDEX(资金日记账!$W$4:$W$603,500)="","记-"&amp;TEXT($B1908,"YYYYMM")&amp;"-资金",INDEX(资金日记账!$W$4:$W$603,500)))</f>
        <v/>
      </c>
      <c r="D1908" s="107" t="str">
        <f aca="false">IF($E1908="","",INDEX(资金日记账!$D$4:$D$603,500))</f>
        <v/>
      </c>
      <c r="E1908" s="67" t="str">
        <f aca="false">IF(INDEX(资金日记账!$N$4:$S$603,500,1)=0,"",INDEX(资金日记账!$N$4:$S$603,500,1))</f>
        <v/>
      </c>
      <c r="F1908" s="99" t="str">
        <f aca="false">IF($E1908="","",IFERROR(INDEX(科目表!$A$4:$A$81,MATCH($E1908,科目表!$B$4:$B$81,0)),""))</f>
        <v/>
      </c>
      <c r="G1908" s="67" t="str">
        <f aca="false">IF($E1908="","",IFERROR(INDEX(科目表!$E$4:$E$81,MATCH($E1908,科目表!$B$4:$B$81,0)),""))</f>
        <v/>
      </c>
      <c r="H1908" s="70" t="str">
        <f aca="false">IF($E1908="","",N(INDEX(资金日记账!$N$4:$S$603,500,2)))</f>
        <v/>
      </c>
      <c r="I1908" s="70" t="str">
        <f aca="false">IF($E1908="","",N(INDEX(资金日记账!$N$4:$S$603,500,3)))</f>
        <v/>
      </c>
      <c r="J1908" s="67" t="str">
        <f aca="false">IF($E1908="","",INDEX(资金日记账!$E$4:$E$603,500))</f>
        <v/>
      </c>
      <c r="K1908" s="67" t="str">
        <f aca="false">IF($E1908="","",INDEX(资金日记账!$F$4:$F$603,500))</f>
        <v/>
      </c>
      <c r="L1908" s="107" t="str">
        <f aca="false">IF($E1908="","",INDEX(资金日记账!$X$4:$X$603,500))</f>
        <v/>
      </c>
      <c r="M1908" s="107"/>
      <c r="N1908" s="67" t="str">
        <f aca="false">IF($E1908="","",INDEX(资金日记账!$Y$4:$Y$603,500))</f>
        <v/>
      </c>
      <c r="O1908" s="67" t="str">
        <f aca="false">IF($E1908="","","自动B")</f>
        <v/>
      </c>
      <c r="P1908" s="18"/>
    </row>
    <row r="1909" customFormat="false" ht="18" hidden="false" customHeight="true" outlineLevel="0" collapsed="false">
      <c r="A1909" s="107" t="str">
        <f aca="false">IF($E1909="","",ROW()-3)</f>
        <v/>
      </c>
      <c r="B1909" s="110" t="str">
        <f aca="false">IF($E1909="","",INDEX(资金日记账!$B$4:$B$603,500))</f>
        <v/>
      </c>
      <c r="C1909" s="67" t="str">
        <f aca="false">IF($E1909="","",IF(INDEX(资金日记账!$W$4:$W$603,500)="","记-"&amp;TEXT($B1909,"YYYYMM")&amp;"-资金",INDEX(资金日记账!$W$4:$W$603,500)))</f>
        <v/>
      </c>
      <c r="D1909" s="107" t="str">
        <f aca="false">IF($E1909="","",INDEX(资金日记账!$D$4:$D$603,500))</f>
        <v/>
      </c>
      <c r="E1909" s="67" t="str">
        <f aca="false">IF(INDEX(资金日记账!$N$4:$S$603,500,4)=0,"",INDEX(资金日记账!$N$4:$S$603,500,4))</f>
        <v/>
      </c>
      <c r="F1909" s="99" t="str">
        <f aca="false">IF($E1909="","",IFERROR(INDEX(科目表!$A$4:$A$81,MATCH($E1909,科目表!$B$4:$B$81,0)),""))</f>
        <v/>
      </c>
      <c r="G1909" s="67" t="str">
        <f aca="false">IF($E1909="","",IFERROR(INDEX(科目表!$E$4:$E$81,MATCH($E1909,科目表!$B$4:$B$81,0)),""))</f>
        <v/>
      </c>
      <c r="H1909" s="70" t="str">
        <f aca="false">IF($E1909="","",N(INDEX(资金日记账!$N$4:$S$603,500,5)))</f>
        <v/>
      </c>
      <c r="I1909" s="70" t="str">
        <f aca="false">IF($E1909="","",N(INDEX(资金日记账!$N$4:$S$603,500,6)))</f>
        <v/>
      </c>
      <c r="J1909" s="67" t="str">
        <f aca="false">IF($E1909="","",INDEX(资金日记账!$E$4:$E$603,500))</f>
        <v/>
      </c>
      <c r="K1909" s="67" t="str">
        <f aca="false">IF($E1909="","",INDEX(资金日记账!$F$4:$F$603,500))</f>
        <v/>
      </c>
      <c r="L1909" s="107" t="str">
        <f aca="false">IF($E1909="","",INDEX(资金日记账!$X$4:$X$603,500))</f>
        <v/>
      </c>
      <c r="M1909" s="107"/>
      <c r="N1909" s="67" t="str">
        <f aca="false">IF($E1909="","",INDEX(资金日记账!$Y$4:$Y$603,500))</f>
        <v/>
      </c>
      <c r="O1909" s="67" t="str">
        <f aca="false">IF($E1909="","","自动B")</f>
        <v/>
      </c>
      <c r="P1909" s="18"/>
    </row>
    <row r="1910" customFormat="false" ht="18" hidden="false" customHeight="true" outlineLevel="0" collapsed="false">
      <c r="A1910" s="107" t="str">
        <f aca="false">IF($E1910="","",ROW()-3)</f>
        <v/>
      </c>
      <c r="B1910" s="110" t="str">
        <f aca="false">IF($E1910="","",INDEX(资金日记账!$B$4:$B$603,501))</f>
        <v/>
      </c>
      <c r="C1910" s="67" t="str">
        <f aca="false">IF($E1910="","",IF(INDEX(资金日记账!$W$4:$W$603,501)="","记-"&amp;TEXT($B1910,"YYYYMM")&amp;"-资金",INDEX(资金日记账!$W$4:$W$603,501)))</f>
        <v/>
      </c>
      <c r="D1910" s="107" t="str">
        <f aca="false">IF($E1910="","",INDEX(资金日记账!$D$4:$D$603,501))</f>
        <v/>
      </c>
      <c r="E1910" s="67" t="str">
        <f aca="false">IF(INDEX(资金日记账!$N$4:$S$603,501,1)=0,"",INDEX(资金日记账!$N$4:$S$603,501,1))</f>
        <v/>
      </c>
      <c r="F1910" s="99" t="str">
        <f aca="false">IF($E1910="","",IFERROR(INDEX(科目表!$A$4:$A$81,MATCH($E1910,科目表!$B$4:$B$81,0)),""))</f>
        <v/>
      </c>
      <c r="G1910" s="67" t="str">
        <f aca="false">IF($E1910="","",IFERROR(INDEX(科目表!$E$4:$E$81,MATCH($E1910,科目表!$B$4:$B$81,0)),""))</f>
        <v/>
      </c>
      <c r="H1910" s="70" t="str">
        <f aca="false">IF($E1910="","",N(INDEX(资金日记账!$N$4:$S$603,501,2)))</f>
        <v/>
      </c>
      <c r="I1910" s="70" t="str">
        <f aca="false">IF($E1910="","",N(INDEX(资金日记账!$N$4:$S$603,501,3)))</f>
        <v/>
      </c>
      <c r="J1910" s="67" t="str">
        <f aca="false">IF($E1910="","",INDEX(资金日记账!$E$4:$E$603,501))</f>
        <v/>
      </c>
      <c r="K1910" s="67" t="str">
        <f aca="false">IF($E1910="","",INDEX(资金日记账!$F$4:$F$603,501))</f>
        <v/>
      </c>
      <c r="L1910" s="107" t="str">
        <f aca="false">IF($E1910="","",INDEX(资金日记账!$X$4:$X$603,501))</f>
        <v/>
      </c>
      <c r="M1910" s="107"/>
      <c r="N1910" s="67" t="str">
        <f aca="false">IF($E1910="","",INDEX(资金日记账!$Y$4:$Y$603,501))</f>
        <v/>
      </c>
      <c r="O1910" s="67" t="str">
        <f aca="false">IF($E1910="","","自动B")</f>
        <v/>
      </c>
      <c r="P1910" s="18"/>
    </row>
    <row r="1911" customFormat="false" ht="18" hidden="false" customHeight="true" outlineLevel="0" collapsed="false">
      <c r="A1911" s="107" t="str">
        <f aca="false">IF($E1911="","",ROW()-3)</f>
        <v/>
      </c>
      <c r="B1911" s="110" t="str">
        <f aca="false">IF($E1911="","",INDEX(资金日记账!$B$4:$B$603,501))</f>
        <v/>
      </c>
      <c r="C1911" s="67" t="str">
        <f aca="false">IF($E1911="","",IF(INDEX(资金日记账!$W$4:$W$603,501)="","记-"&amp;TEXT($B1911,"YYYYMM")&amp;"-资金",INDEX(资金日记账!$W$4:$W$603,501)))</f>
        <v/>
      </c>
      <c r="D1911" s="107" t="str">
        <f aca="false">IF($E1911="","",INDEX(资金日记账!$D$4:$D$603,501))</f>
        <v/>
      </c>
      <c r="E1911" s="67" t="str">
        <f aca="false">IF(INDEX(资金日记账!$N$4:$S$603,501,4)=0,"",INDEX(资金日记账!$N$4:$S$603,501,4))</f>
        <v/>
      </c>
      <c r="F1911" s="99" t="str">
        <f aca="false">IF($E1911="","",IFERROR(INDEX(科目表!$A$4:$A$81,MATCH($E1911,科目表!$B$4:$B$81,0)),""))</f>
        <v/>
      </c>
      <c r="G1911" s="67" t="str">
        <f aca="false">IF($E1911="","",IFERROR(INDEX(科目表!$E$4:$E$81,MATCH($E1911,科目表!$B$4:$B$81,0)),""))</f>
        <v/>
      </c>
      <c r="H1911" s="70" t="str">
        <f aca="false">IF($E1911="","",N(INDEX(资金日记账!$N$4:$S$603,501,5)))</f>
        <v/>
      </c>
      <c r="I1911" s="70" t="str">
        <f aca="false">IF($E1911="","",N(INDEX(资金日记账!$N$4:$S$603,501,6)))</f>
        <v/>
      </c>
      <c r="J1911" s="67" t="str">
        <f aca="false">IF($E1911="","",INDEX(资金日记账!$E$4:$E$603,501))</f>
        <v/>
      </c>
      <c r="K1911" s="67" t="str">
        <f aca="false">IF($E1911="","",INDEX(资金日记账!$F$4:$F$603,501))</f>
        <v/>
      </c>
      <c r="L1911" s="107" t="str">
        <f aca="false">IF($E1911="","",INDEX(资金日记账!$X$4:$X$603,501))</f>
        <v/>
      </c>
      <c r="M1911" s="107"/>
      <c r="N1911" s="67" t="str">
        <f aca="false">IF($E1911="","",INDEX(资金日记账!$Y$4:$Y$603,501))</f>
        <v/>
      </c>
      <c r="O1911" s="67" t="str">
        <f aca="false">IF($E1911="","","自动B")</f>
        <v/>
      </c>
      <c r="P1911" s="18"/>
    </row>
    <row r="1912" customFormat="false" ht="18" hidden="false" customHeight="true" outlineLevel="0" collapsed="false">
      <c r="A1912" s="107" t="str">
        <f aca="false">IF($E1912="","",ROW()-3)</f>
        <v/>
      </c>
      <c r="B1912" s="110" t="str">
        <f aca="false">IF($E1912="","",INDEX(资金日记账!$B$4:$B$603,502))</f>
        <v/>
      </c>
      <c r="C1912" s="67" t="str">
        <f aca="false">IF($E1912="","",IF(INDEX(资金日记账!$W$4:$W$603,502)="","记-"&amp;TEXT($B1912,"YYYYMM")&amp;"-资金",INDEX(资金日记账!$W$4:$W$603,502)))</f>
        <v/>
      </c>
      <c r="D1912" s="107" t="str">
        <f aca="false">IF($E1912="","",INDEX(资金日记账!$D$4:$D$603,502))</f>
        <v/>
      </c>
      <c r="E1912" s="67" t="str">
        <f aca="false">IF(INDEX(资金日记账!$N$4:$S$603,502,1)=0,"",INDEX(资金日记账!$N$4:$S$603,502,1))</f>
        <v/>
      </c>
      <c r="F1912" s="99" t="str">
        <f aca="false">IF($E1912="","",IFERROR(INDEX(科目表!$A$4:$A$81,MATCH($E1912,科目表!$B$4:$B$81,0)),""))</f>
        <v/>
      </c>
      <c r="G1912" s="67" t="str">
        <f aca="false">IF($E1912="","",IFERROR(INDEX(科目表!$E$4:$E$81,MATCH($E1912,科目表!$B$4:$B$81,0)),""))</f>
        <v/>
      </c>
      <c r="H1912" s="70" t="str">
        <f aca="false">IF($E1912="","",N(INDEX(资金日记账!$N$4:$S$603,502,2)))</f>
        <v/>
      </c>
      <c r="I1912" s="70" t="str">
        <f aca="false">IF($E1912="","",N(INDEX(资金日记账!$N$4:$S$603,502,3)))</f>
        <v/>
      </c>
      <c r="J1912" s="67" t="str">
        <f aca="false">IF($E1912="","",INDEX(资金日记账!$E$4:$E$603,502))</f>
        <v/>
      </c>
      <c r="K1912" s="67" t="str">
        <f aca="false">IF($E1912="","",INDEX(资金日记账!$F$4:$F$603,502))</f>
        <v/>
      </c>
      <c r="L1912" s="107" t="str">
        <f aca="false">IF($E1912="","",INDEX(资金日记账!$X$4:$X$603,502))</f>
        <v/>
      </c>
      <c r="M1912" s="107"/>
      <c r="N1912" s="67" t="str">
        <f aca="false">IF($E1912="","",INDEX(资金日记账!$Y$4:$Y$603,502))</f>
        <v/>
      </c>
      <c r="O1912" s="67" t="str">
        <f aca="false">IF($E1912="","","自动B")</f>
        <v/>
      </c>
      <c r="P1912" s="18"/>
    </row>
    <row r="1913" customFormat="false" ht="18" hidden="false" customHeight="true" outlineLevel="0" collapsed="false">
      <c r="A1913" s="107" t="str">
        <f aca="false">IF($E1913="","",ROW()-3)</f>
        <v/>
      </c>
      <c r="B1913" s="110" t="str">
        <f aca="false">IF($E1913="","",INDEX(资金日记账!$B$4:$B$603,502))</f>
        <v/>
      </c>
      <c r="C1913" s="67" t="str">
        <f aca="false">IF($E1913="","",IF(INDEX(资金日记账!$W$4:$W$603,502)="","记-"&amp;TEXT($B1913,"YYYYMM")&amp;"-资金",INDEX(资金日记账!$W$4:$W$603,502)))</f>
        <v/>
      </c>
      <c r="D1913" s="107" t="str">
        <f aca="false">IF($E1913="","",INDEX(资金日记账!$D$4:$D$603,502))</f>
        <v/>
      </c>
      <c r="E1913" s="67" t="str">
        <f aca="false">IF(INDEX(资金日记账!$N$4:$S$603,502,4)=0,"",INDEX(资金日记账!$N$4:$S$603,502,4))</f>
        <v/>
      </c>
      <c r="F1913" s="99" t="str">
        <f aca="false">IF($E1913="","",IFERROR(INDEX(科目表!$A$4:$A$81,MATCH($E1913,科目表!$B$4:$B$81,0)),""))</f>
        <v/>
      </c>
      <c r="G1913" s="67" t="str">
        <f aca="false">IF($E1913="","",IFERROR(INDEX(科目表!$E$4:$E$81,MATCH($E1913,科目表!$B$4:$B$81,0)),""))</f>
        <v/>
      </c>
      <c r="H1913" s="70" t="str">
        <f aca="false">IF($E1913="","",N(INDEX(资金日记账!$N$4:$S$603,502,5)))</f>
        <v/>
      </c>
      <c r="I1913" s="70" t="str">
        <f aca="false">IF($E1913="","",N(INDEX(资金日记账!$N$4:$S$603,502,6)))</f>
        <v/>
      </c>
      <c r="J1913" s="67" t="str">
        <f aca="false">IF($E1913="","",INDEX(资金日记账!$E$4:$E$603,502))</f>
        <v/>
      </c>
      <c r="K1913" s="67" t="str">
        <f aca="false">IF($E1913="","",INDEX(资金日记账!$F$4:$F$603,502))</f>
        <v/>
      </c>
      <c r="L1913" s="107" t="str">
        <f aca="false">IF($E1913="","",INDEX(资金日记账!$X$4:$X$603,502))</f>
        <v/>
      </c>
      <c r="M1913" s="107"/>
      <c r="N1913" s="67" t="str">
        <f aca="false">IF($E1913="","",INDEX(资金日记账!$Y$4:$Y$603,502))</f>
        <v/>
      </c>
      <c r="O1913" s="67" t="str">
        <f aca="false">IF($E1913="","","自动B")</f>
        <v/>
      </c>
      <c r="P1913" s="18"/>
    </row>
    <row r="1914" customFormat="false" ht="18" hidden="false" customHeight="true" outlineLevel="0" collapsed="false">
      <c r="A1914" s="107" t="str">
        <f aca="false">IF($E1914="","",ROW()-3)</f>
        <v/>
      </c>
      <c r="B1914" s="110" t="str">
        <f aca="false">IF($E1914="","",INDEX(资金日记账!$B$4:$B$603,503))</f>
        <v/>
      </c>
      <c r="C1914" s="67" t="str">
        <f aca="false">IF($E1914="","",IF(INDEX(资金日记账!$W$4:$W$603,503)="","记-"&amp;TEXT($B1914,"YYYYMM")&amp;"-资金",INDEX(资金日记账!$W$4:$W$603,503)))</f>
        <v/>
      </c>
      <c r="D1914" s="107" t="str">
        <f aca="false">IF($E1914="","",INDEX(资金日记账!$D$4:$D$603,503))</f>
        <v/>
      </c>
      <c r="E1914" s="67" t="str">
        <f aca="false">IF(INDEX(资金日记账!$N$4:$S$603,503,1)=0,"",INDEX(资金日记账!$N$4:$S$603,503,1))</f>
        <v/>
      </c>
      <c r="F1914" s="99" t="str">
        <f aca="false">IF($E1914="","",IFERROR(INDEX(科目表!$A$4:$A$81,MATCH($E1914,科目表!$B$4:$B$81,0)),""))</f>
        <v/>
      </c>
      <c r="G1914" s="67" t="str">
        <f aca="false">IF($E1914="","",IFERROR(INDEX(科目表!$E$4:$E$81,MATCH($E1914,科目表!$B$4:$B$81,0)),""))</f>
        <v/>
      </c>
      <c r="H1914" s="70" t="str">
        <f aca="false">IF($E1914="","",N(INDEX(资金日记账!$N$4:$S$603,503,2)))</f>
        <v/>
      </c>
      <c r="I1914" s="70" t="str">
        <f aca="false">IF($E1914="","",N(INDEX(资金日记账!$N$4:$S$603,503,3)))</f>
        <v/>
      </c>
      <c r="J1914" s="67" t="str">
        <f aca="false">IF($E1914="","",INDEX(资金日记账!$E$4:$E$603,503))</f>
        <v/>
      </c>
      <c r="K1914" s="67" t="str">
        <f aca="false">IF($E1914="","",INDEX(资金日记账!$F$4:$F$603,503))</f>
        <v/>
      </c>
      <c r="L1914" s="107" t="str">
        <f aca="false">IF($E1914="","",INDEX(资金日记账!$X$4:$X$603,503))</f>
        <v/>
      </c>
      <c r="M1914" s="107"/>
      <c r="N1914" s="67" t="str">
        <f aca="false">IF($E1914="","",INDEX(资金日记账!$Y$4:$Y$603,503))</f>
        <v/>
      </c>
      <c r="O1914" s="67" t="str">
        <f aca="false">IF($E1914="","","自动B")</f>
        <v/>
      </c>
      <c r="P1914" s="18"/>
    </row>
    <row r="1915" customFormat="false" ht="18" hidden="false" customHeight="true" outlineLevel="0" collapsed="false">
      <c r="A1915" s="107" t="str">
        <f aca="false">IF($E1915="","",ROW()-3)</f>
        <v/>
      </c>
      <c r="B1915" s="110" t="str">
        <f aca="false">IF($E1915="","",INDEX(资金日记账!$B$4:$B$603,503))</f>
        <v/>
      </c>
      <c r="C1915" s="67" t="str">
        <f aca="false">IF($E1915="","",IF(INDEX(资金日记账!$W$4:$W$603,503)="","记-"&amp;TEXT($B1915,"YYYYMM")&amp;"-资金",INDEX(资金日记账!$W$4:$W$603,503)))</f>
        <v/>
      </c>
      <c r="D1915" s="107" t="str">
        <f aca="false">IF($E1915="","",INDEX(资金日记账!$D$4:$D$603,503))</f>
        <v/>
      </c>
      <c r="E1915" s="67" t="str">
        <f aca="false">IF(INDEX(资金日记账!$N$4:$S$603,503,4)=0,"",INDEX(资金日记账!$N$4:$S$603,503,4))</f>
        <v/>
      </c>
      <c r="F1915" s="99" t="str">
        <f aca="false">IF($E1915="","",IFERROR(INDEX(科目表!$A$4:$A$81,MATCH($E1915,科目表!$B$4:$B$81,0)),""))</f>
        <v/>
      </c>
      <c r="G1915" s="67" t="str">
        <f aca="false">IF($E1915="","",IFERROR(INDEX(科目表!$E$4:$E$81,MATCH($E1915,科目表!$B$4:$B$81,0)),""))</f>
        <v/>
      </c>
      <c r="H1915" s="70" t="str">
        <f aca="false">IF($E1915="","",N(INDEX(资金日记账!$N$4:$S$603,503,5)))</f>
        <v/>
      </c>
      <c r="I1915" s="70" t="str">
        <f aca="false">IF($E1915="","",N(INDEX(资金日记账!$N$4:$S$603,503,6)))</f>
        <v/>
      </c>
      <c r="J1915" s="67" t="str">
        <f aca="false">IF($E1915="","",INDEX(资金日记账!$E$4:$E$603,503))</f>
        <v/>
      </c>
      <c r="K1915" s="67" t="str">
        <f aca="false">IF($E1915="","",INDEX(资金日记账!$F$4:$F$603,503))</f>
        <v/>
      </c>
      <c r="L1915" s="107" t="str">
        <f aca="false">IF($E1915="","",INDEX(资金日记账!$X$4:$X$603,503))</f>
        <v/>
      </c>
      <c r="M1915" s="107"/>
      <c r="N1915" s="67" t="str">
        <f aca="false">IF($E1915="","",INDEX(资金日记账!$Y$4:$Y$603,503))</f>
        <v/>
      </c>
      <c r="O1915" s="67" t="str">
        <f aca="false">IF($E1915="","","自动B")</f>
        <v/>
      </c>
      <c r="P1915" s="18"/>
    </row>
    <row r="1916" customFormat="false" ht="18" hidden="false" customHeight="true" outlineLevel="0" collapsed="false">
      <c r="A1916" s="107" t="str">
        <f aca="false">IF($E1916="","",ROW()-3)</f>
        <v/>
      </c>
      <c r="B1916" s="110" t="str">
        <f aca="false">IF($E1916="","",INDEX(资金日记账!$B$4:$B$603,504))</f>
        <v/>
      </c>
      <c r="C1916" s="67" t="str">
        <f aca="false">IF($E1916="","",IF(INDEX(资金日记账!$W$4:$W$603,504)="","记-"&amp;TEXT($B1916,"YYYYMM")&amp;"-资金",INDEX(资金日记账!$W$4:$W$603,504)))</f>
        <v/>
      </c>
      <c r="D1916" s="107" t="str">
        <f aca="false">IF($E1916="","",INDEX(资金日记账!$D$4:$D$603,504))</f>
        <v/>
      </c>
      <c r="E1916" s="67" t="str">
        <f aca="false">IF(INDEX(资金日记账!$N$4:$S$603,504,1)=0,"",INDEX(资金日记账!$N$4:$S$603,504,1))</f>
        <v/>
      </c>
      <c r="F1916" s="99" t="str">
        <f aca="false">IF($E1916="","",IFERROR(INDEX(科目表!$A$4:$A$81,MATCH($E1916,科目表!$B$4:$B$81,0)),""))</f>
        <v/>
      </c>
      <c r="G1916" s="67" t="str">
        <f aca="false">IF($E1916="","",IFERROR(INDEX(科目表!$E$4:$E$81,MATCH($E1916,科目表!$B$4:$B$81,0)),""))</f>
        <v/>
      </c>
      <c r="H1916" s="70" t="str">
        <f aca="false">IF($E1916="","",N(INDEX(资金日记账!$N$4:$S$603,504,2)))</f>
        <v/>
      </c>
      <c r="I1916" s="70" t="str">
        <f aca="false">IF($E1916="","",N(INDEX(资金日记账!$N$4:$S$603,504,3)))</f>
        <v/>
      </c>
      <c r="J1916" s="67" t="str">
        <f aca="false">IF($E1916="","",INDEX(资金日记账!$E$4:$E$603,504))</f>
        <v/>
      </c>
      <c r="K1916" s="67" t="str">
        <f aca="false">IF($E1916="","",INDEX(资金日记账!$F$4:$F$603,504))</f>
        <v/>
      </c>
      <c r="L1916" s="107" t="str">
        <f aca="false">IF($E1916="","",INDEX(资金日记账!$X$4:$X$603,504))</f>
        <v/>
      </c>
      <c r="M1916" s="107"/>
      <c r="N1916" s="67" t="str">
        <f aca="false">IF($E1916="","",INDEX(资金日记账!$Y$4:$Y$603,504))</f>
        <v/>
      </c>
      <c r="O1916" s="67" t="str">
        <f aca="false">IF($E1916="","","自动B")</f>
        <v/>
      </c>
      <c r="P1916" s="18"/>
    </row>
    <row r="1917" customFormat="false" ht="18" hidden="false" customHeight="true" outlineLevel="0" collapsed="false">
      <c r="A1917" s="107" t="str">
        <f aca="false">IF($E1917="","",ROW()-3)</f>
        <v/>
      </c>
      <c r="B1917" s="110" t="str">
        <f aca="false">IF($E1917="","",INDEX(资金日记账!$B$4:$B$603,504))</f>
        <v/>
      </c>
      <c r="C1917" s="67" t="str">
        <f aca="false">IF($E1917="","",IF(INDEX(资金日记账!$W$4:$W$603,504)="","记-"&amp;TEXT($B1917,"YYYYMM")&amp;"-资金",INDEX(资金日记账!$W$4:$W$603,504)))</f>
        <v/>
      </c>
      <c r="D1917" s="107" t="str">
        <f aca="false">IF($E1917="","",INDEX(资金日记账!$D$4:$D$603,504))</f>
        <v/>
      </c>
      <c r="E1917" s="67" t="str">
        <f aca="false">IF(INDEX(资金日记账!$N$4:$S$603,504,4)=0,"",INDEX(资金日记账!$N$4:$S$603,504,4))</f>
        <v/>
      </c>
      <c r="F1917" s="99" t="str">
        <f aca="false">IF($E1917="","",IFERROR(INDEX(科目表!$A$4:$A$81,MATCH($E1917,科目表!$B$4:$B$81,0)),""))</f>
        <v/>
      </c>
      <c r="G1917" s="67" t="str">
        <f aca="false">IF($E1917="","",IFERROR(INDEX(科目表!$E$4:$E$81,MATCH($E1917,科目表!$B$4:$B$81,0)),""))</f>
        <v/>
      </c>
      <c r="H1917" s="70" t="str">
        <f aca="false">IF($E1917="","",N(INDEX(资金日记账!$N$4:$S$603,504,5)))</f>
        <v/>
      </c>
      <c r="I1917" s="70" t="str">
        <f aca="false">IF($E1917="","",N(INDEX(资金日记账!$N$4:$S$603,504,6)))</f>
        <v/>
      </c>
      <c r="J1917" s="67" t="str">
        <f aca="false">IF($E1917="","",INDEX(资金日记账!$E$4:$E$603,504))</f>
        <v/>
      </c>
      <c r="K1917" s="67" t="str">
        <f aca="false">IF($E1917="","",INDEX(资金日记账!$F$4:$F$603,504))</f>
        <v/>
      </c>
      <c r="L1917" s="107" t="str">
        <f aca="false">IF($E1917="","",INDEX(资金日记账!$X$4:$X$603,504))</f>
        <v/>
      </c>
      <c r="M1917" s="107"/>
      <c r="N1917" s="67" t="str">
        <f aca="false">IF($E1917="","",INDEX(资金日记账!$Y$4:$Y$603,504))</f>
        <v/>
      </c>
      <c r="O1917" s="67" t="str">
        <f aca="false">IF($E1917="","","自动B")</f>
        <v/>
      </c>
      <c r="P1917" s="18"/>
    </row>
    <row r="1918" customFormat="false" ht="18" hidden="false" customHeight="true" outlineLevel="0" collapsed="false">
      <c r="A1918" s="107" t="str">
        <f aca="false">IF($E1918="","",ROW()-3)</f>
        <v/>
      </c>
      <c r="B1918" s="110" t="str">
        <f aca="false">IF($E1918="","",INDEX(资金日记账!$B$4:$B$603,505))</f>
        <v/>
      </c>
      <c r="C1918" s="67" t="str">
        <f aca="false">IF($E1918="","",IF(INDEX(资金日记账!$W$4:$W$603,505)="","记-"&amp;TEXT($B1918,"YYYYMM")&amp;"-资金",INDEX(资金日记账!$W$4:$W$603,505)))</f>
        <v/>
      </c>
      <c r="D1918" s="107" t="str">
        <f aca="false">IF($E1918="","",INDEX(资金日记账!$D$4:$D$603,505))</f>
        <v/>
      </c>
      <c r="E1918" s="67" t="str">
        <f aca="false">IF(INDEX(资金日记账!$N$4:$S$603,505,1)=0,"",INDEX(资金日记账!$N$4:$S$603,505,1))</f>
        <v/>
      </c>
      <c r="F1918" s="99" t="str">
        <f aca="false">IF($E1918="","",IFERROR(INDEX(科目表!$A$4:$A$81,MATCH($E1918,科目表!$B$4:$B$81,0)),""))</f>
        <v/>
      </c>
      <c r="G1918" s="67" t="str">
        <f aca="false">IF($E1918="","",IFERROR(INDEX(科目表!$E$4:$E$81,MATCH($E1918,科目表!$B$4:$B$81,0)),""))</f>
        <v/>
      </c>
      <c r="H1918" s="70" t="str">
        <f aca="false">IF($E1918="","",N(INDEX(资金日记账!$N$4:$S$603,505,2)))</f>
        <v/>
      </c>
      <c r="I1918" s="70" t="str">
        <f aca="false">IF($E1918="","",N(INDEX(资金日记账!$N$4:$S$603,505,3)))</f>
        <v/>
      </c>
      <c r="J1918" s="67" t="str">
        <f aca="false">IF($E1918="","",INDEX(资金日记账!$E$4:$E$603,505))</f>
        <v/>
      </c>
      <c r="K1918" s="67" t="str">
        <f aca="false">IF($E1918="","",INDEX(资金日记账!$F$4:$F$603,505))</f>
        <v/>
      </c>
      <c r="L1918" s="107" t="str">
        <f aca="false">IF($E1918="","",INDEX(资金日记账!$X$4:$X$603,505))</f>
        <v/>
      </c>
      <c r="M1918" s="107"/>
      <c r="N1918" s="67" t="str">
        <f aca="false">IF($E1918="","",INDEX(资金日记账!$Y$4:$Y$603,505))</f>
        <v/>
      </c>
      <c r="O1918" s="67" t="str">
        <f aca="false">IF($E1918="","","自动B")</f>
        <v/>
      </c>
      <c r="P1918" s="18"/>
    </row>
    <row r="1919" customFormat="false" ht="18" hidden="false" customHeight="true" outlineLevel="0" collapsed="false">
      <c r="A1919" s="107" t="str">
        <f aca="false">IF($E1919="","",ROW()-3)</f>
        <v/>
      </c>
      <c r="B1919" s="110" t="str">
        <f aca="false">IF($E1919="","",INDEX(资金日记账!$B$4:$B$603,505))</f>
        <v/>
      </c>
      <c r="C1919" s="67" t="str">
        <f aca="false">IF($E1919="","",IF(INDEX(资金日记账!$W$4:$W$603,505)="","记-"&amp;TEXT($B1919,"YYYYMM")&amp;"-资金",INDEX(资金日记账!$W$4:$W$603,505)))</f>
        <v/>
      </c>
      <c r="D1919" s="107" t="str">
        <f aca="false">IF($E1919="","",INDEX(资金日记账!$D$4:$D$603,505))</f>
        <v/>
      </c>
      <c r="E1919" s="67" t="str">
        <f aca="false">IF(INDEX(资金日记账!$N$4:$S$603,505,4)=0,"",INDEX(资金日记账!$N$4:$S$603,505,4))</f>
        <v/>
      </c>
      <c r="F1919" s="99" t="str">
        <f aca="false">IF($E1919="","",IFERROR(INDEX(科目表!$A$4:$A$81,MATCH($E1919,科目表!$B$4:$B$81,0)),""))</f>
        <v/>
      </c>
      <c r="G1919" s="67" t="str">
        <f aca="false">IF($E1919="","",IFERROR(INDEX(科目表!$E$4:$E$81,MATCH($E1919,科目表!$B$4:$B$81,0)),""))</f>
        <v/>
      </c>
      <c r="H1919" s="70" t="str">
        <f aca="false">IF($E1919="","",N(INDEX(资金日记账!$N$4:$S$603,505,5)))</f>
        <v/>
      </c>
      <c r="I1919" s="70" t="str">
        <f aca="false">IF($E1919="","",N(INDEX(资金日记账!$N$4:$S$603,505,6)))</f>
        <v/>
      </c>
      <c r="J1919" s="67" t="str">
        <f aca="false">IF($E1919="","",INDEX(资金日记账!$E$4:$E$603,505))</f>
        <v/>
      </c>
      <c r="K1919" s="67" t="str">
        <f aca="false">IF($E1919="","",INDEX(资金日记账!$F$4:$F$603,505))</f>
        <v/>
      </c>
      <c r="L1919" s="107" t="str">
        <f aca="false">IF($E1919="","",INDEX(资金日记账!$X$4:$X$603,505))</f>
        <v/>
      </c>
      <c r="M1919" s="107"/>
      <c r="N1919" s="67" t="str">
        <f aca="false">IF($E1919="","",INDEX(资金日记账!$Y$4:$Y$603,505))</f>
        <v/>
      </c>
      <c r="O1919" s="67" t="str">
        <f aca="false">IF($E1919="","","自动B")</f>
        <v/>
      </c>
      <c r="P1919" s="18"/>
    </row>
    <row r="1920" customFormat="false" ht="18" hidden="false" customHeight="true" outlineLevel="0" collapsed="false">
      <c r="A1920" s="107" t="str">
        <f aca="false">IF($E1920="","",ROW()-3)</f>
        <v/>
      </c>
      <c r="B1920" s="110" t="str">
        <f aca="false">IF($E1920="","",INDEX(资金日记账!$B$4:$B$603,506))</f>
        <v/>
      </c>
      <c r="C1920" s="67" t="str">
        <f aca="false">IF($E1920="","",IF(INDEX(资金日记账!$W$4:$W$603,506)="","记-"&amp;TEXT($B1920,"YYYYMM")&amp;"-资金",INDEX(资金日记账!$W$4:$W$603,506)))</f>
        <v/>
      </c>
      <c r="D1920" s="107" t="str">
        <f aca="false">IF($E1920="","",INDEX(资金日记账!$D$4:$D$603,506))</f>
        <v/>
      </c>
      <c r="E1920" s="67" t="str">
        <f aca="false">IF(INDEX(资金日记账!$N$4:$S$603,506,1)=0,"",INDEX(资金日记账!$N$4:$S$603,506,1))</f>
        <v/>
      </c>
      <c r="F1920" s="99" t="str">
        <f aca="false">IF($E1920="","",IFERROR(INDEX(科目表!$A$4:$A$81,MATCH($E1920,科目表!$B$4:$B$81,0)),""))</f>
        <v/>
      </c>
      <c r="G1920" s="67" t="str">
        <f aca="false">IF($E1920="","",IFERROR(INDEX(科目表!$E$4:$E$81,MATCH($E1920,科目表!$B$4:$B$81,0)),""))</f>
        <v/>
      </c>
      <c r="H1920" s="70" t="str">
        <f aca="false">IF($E1920="","",N(INDEX(资金日记账!$N$4:$S$603,506,2)))</f>
        <v/>
      </c>
      <c r="I1920" s="70" t="str">
        <f aca="false">IF($E1920="","",N(INDEX(资金日记账!$N$4:$S$603,506,3)))</f>
        <v/>
      </c>
      <c r="J1920" s="67" t="str">
        <f aca="false">IF($E1920="","",INDEX(资金日记账!$E$4:$E$603,506))</f>
        <v/>
      </c>
      <c r="K1920" s="67" t="str">
        <f aca="false">IF($E1920="","",INDEX(资金日记账!$F$4:$F$603,506))</f>
        <v/>
      </c>
      <c r="L1920" s="107" t="str">
        <f aca="false">IF($E1920="","",INDEX(资金日记账!$X$4:$X$603,506))</f>
        <v/>
      </c>
      <c r="M1920" s="107"/>
      <c r="N1920" s="67" t="str">
        <f aca="false">IF($E1920="","",INDEX(资金日记账!$Y$4:$Y$603,506))</f>
        <v/>
      </c>
      <c r="O1920" s="67" t="str">
        <f aca="false">IF($E1920="","","自动B")</f>
        <v/>
      </c>
      <c r="P1920" s="18"/>
    </row>
    <row r="1921" customFormat="false" ht="18" hidden="false" customHeight="true" outlineLevel="0" collapsed="false">
      <c r="A1921" s="107" t="str">
        <f aca="false">IF($E1921="","",ROW()-3)</f>
        <v/>
      </c>
      <c r="B1921" s="110" t="str">
        <f aca="false">IF($E1921="","",INDEX(资金日记账!$B$4:$B$603,506))</f>
        <v/>
      </c>
      <c r="C1921" s="67" t="str">
        <f aca="false">IF($E1921="","",IF(INDEX(资金日记账!$W$4:$W$603,506)="","记-"&amp;TEXT($B1921,"YYYYMM")&amp;"-资金",INDEX(资金日记账!$W$4:$W$603,506)))</f>
        <v/>
      </c>
      <c r="D1921" s="107" t="str">
        <f aca="false">IF($E1921="","",INDEX(资金日记账!$D$4:$D$603,506))</f>
        <v/>
      </c>
      <c r="E1921" s="67" t="str">
        <f aca="false">IF(INDEX(资金日记账!$N$4:$S$603,506,4)=0,"",INDEX(资金日记账!$N$4:$S$603,506,4))</f>
        <v/>
      </c>
      <c r="F1921" s="99" t="str">
        <f aca="false">IF($E1921="","",IFERROR(INDEX(科目表!$A$4:$A$81,MATCH($E1921,科目表!$B$4:$B$81,0)),""))</f>
        <v/>
      </c>
      <c r="G1921" s="67" t="str">
        <f aca="false">IF($E1921="","",IFERROR(INDEX(科目表!$E$4:$E$81,MATCH($E1921,科目表!$B$4:$B$81,0)),""))</f>
        <v/>
      </c>
      <c r="H1921" s="70" t="str">
        <f aca="false">IF($E1921="","",N(INDEX(资金日记账!$N$4:$S$603,506,5)))</f>
        <v/>
      </c>
      <c r="I1921" s="70" t="str">
        <f aca="false">IF($E1921="","",N(INDEX(资金日记账!$N$4:$S$603,506,6)))</f>
        <v/>
      </c>
      <c r="J1921" s="67" t="str">
        <f aca="false">IF($E1921="","",INDEX(资金日记账!$E$4:$E$603,506))</f>
        <v/>
      </c>
      <c r="K1921" s="67" t="str">
        <f aca="false">IF($E1921="","",INDEX(资金日记账!$F$4:$F$603,506))</f>
        <v/>
      </c>
      <c r="L1921" s="107" t="str">
        <f aca="false">IF($E1921="","",INDEX(资金日记账!$X$4:$X$603,506))</f>
        <v/>
      </c>
      <c r="M1921" s="107"/>
      <c r="N1921" s="67" t="str">
        <f aca="false">IF($E1921="","",INDEX(资金日记账!$Y$4:$Y$603,506))</f>
        <v/>
      </c>
      <c r="O1921" s="67" t="str">
        <f aca="false">IF($E1921="","","自动B")</f>
        <v/>
      </c>
      <c r="P1921" s="18"/>
    </row>
    <row r="1922" customFormat="false" ht="18" hidden="false" customHeight="true" outlineLevel="0" collapsed="false">
      <c r="A1922" s="107" t="str">
        <f aca="false">IF($E1922="","",ROW()-3)</f>
        <v/>
      </c>
      <c r="B1922" s="110" t="str">
        <f aca="false">IF($E1922="","",INDEX(资金日记账!$B$4:$B$603,507))</f>
        <v/>
      </c>
      <c r="C1922" s="67" t="str">
        <f aca="false">IF($E1922="","",IF(INDEX(资金日记账!$W$4:$W$603,507)="","记-"&amp;TEXT($B1922,"YYYYMM")&amp;"-资金",INDEX(资金日记账!$W$4:$W$603,507)))</f>
        <v/>
      </c>
      <c r="D1922" s="107" t="str">
        <f aca="false">IF($E1922="","",INDEX(资金日记账!$D$4:$D$603,507))</f>
        <v/>
      </c>
      <c r="E1922" s="67" t="str">
        <f aca="false">IF(INDEX(资金日记账!$N$4:$S$603,507,1)=0,"",INDEX(资金日记账!$N$4:$S$603,507,1))</f>
        <v/>
      </c>
      <c r="F1922" s="99" t="str">
        <f aca="false">IF($E1922="","",IFERROR(INDEX(科目表!$A$4:$A$81,MATCH($E1922,科目表!$B$4:$B$81,0)),""))</f>
        <v/>
      </c>
      <c r="G1922" s="67" t="str">
        <f aca="false">IF($E1922="","",IFERROR(INDEX(科目表!$E$4:$E$81,MATCH($E1922,科目表!$B$4:$B$81,0)),""))</f>
        <v/>
      </c>
      <c r="H1922" s="70" t="str">
        <f aca="false">IF($E1922="","",N(INDEX(资金日记账!$N$4:$S$603,507,2)))</f>
        <v/>
      </c>
      <c r="I1922" s="70" t="str">
        <f aca="false">IF($E1922="","",N(INDEX(资金日记账!$N$4:$S$603,507,3)))</f>
        <v/>
      </c>
      <c r="J1922" s="67" t="str">
        <f aca="false">IF($E1922="","",INDEX(资金日记账!$E$4:$E$603,507))</f>
        <v/>
      </c>
      <c r="K1922" s="67" t="str">
        <f aca="false">IF($E1922="","",INDEX(资金日记账!$F$4:$F$603,507))</f>
        <v/>
      </c>
      <c r="L1922" s="107" t="str">
        <f aca="false">IF($E1922="","",INDEX(资金日记账!$X$4:$X$603,507))</f>
        <v/>
      </c>
      <c r="M1922" s="107"/>
      <c r="N1922" s="67" t="str">
        <f aca="false">IF($E1922="","",INDEX(资金日记账!$Y$4:$Y$603,507))</f>
        <v/>
      </c>
      <c r="O1922" s="67" t="str">
        <f aca="false">IF($E1922="","","自动B")</f>
        <v/>
      </c>
      <c r="P1922" s="18"/>
    </row>
    <row r="1923" customFormat="false" ht="18" hidden="false" customHeight="true" outlineLevel="0" collapsed="false">
      <c r="A1923" s="107" t="str">
        <f aca="false">IF($E1923="","",ROW()-3)</f>
        <v/>
      </c>
      <c r="B1923" s="110" t="str">
        <f aca="false">IF($E1923="","",INDEX(资金日记账!$B$4:$B$603,507))</f>
        <v/>
      </c>
      <c r="C1923" s="67" t="str">
        <f aca="false">IF($E1923="","",IF(INDEX(资金日记账!$W$4:$W$603,507)="","记-"&amp;TEXT($B1923,"YYYYMM")&amp;"-资金",INDEX(资金日记账!$W$4:$W$603,507)))</f>
        <v/>
      </c>
      <c r="D1923" s="107" t="str">
        <f aca="false">IF($E1923="","",INDEX(资金日记账!$D$4:$D$603,507))</f>
        <v/>
      </c>
      <c r="E1923" s="67" t="str">
        <f aca="false">IF(INDEX(资金日记账!$N$4:$S$603,507,4)=0,"",INDEX(资金日记账!$N$4:$S$603,507,4))</f>
        <v/>
      </c>
      <c r="F1923" s="99" t="str">
        <f aca="false">IF($E1923="","",IFERROR(INDEX(科目表!$A$4:$A$81,MATCH($E1923,科目表!$B$4:$B$81,0)),""))</f>
        <v/>
      </c>
      <c r="G1923" s="67" t="str">
        <f aca="false">IF($E1923="","",IFERROR(INDEX(科目表!$E$4:$E$81,MATCH($E1923,科目表!$B$4:$B$81,0)),""))</f>
        <v/>
      </c>
      <c r="H1923" s="70" t="str">
        <f aca="false">IF($E1923="","",N(INDEX(资金日记账!$N$4:$S$603,507,5)))</f>
        <v/>
      </c>
      <c r="I1923" s="70" t="str">
        <f aca="false">IF($E1923="","",N(INDEX(资金日记账!$N$4:$S$603,507,6)))</f>
        <v/>
      </c>
      <c r="J1923" s="67" t="str">
        <f aca="false">IF($E1923="","",INDEX(资金日记账!$E$4:$E$603,507))</f>
        <v/>
      </c>
      <c r="K1923" s="67" t="str">
        <f aca="false">IF($E1923="","",INDEX(资金日记账!$F$4:$F$603,507))</f>
        <v/>
      </c>
      <c r="L1923" s="107" t="str">
        <f aca="false">IF($E1923="","",INDEX(资金日记账!$X$4:$X$603,507))</f>
        <v/>
      </c>
      <c r="M1923" s="107"/>
      <c r="N1923" s="67" t="str">
        <f aca="false">IF($E1923="","",INDEX(资金日记账!$Y$4:$Y$603,507))</f>
        <v/>
      </c>
      <c r="O1923" s="67" t="str">
        <f aca="false">IF($E1923="","","自动B")</f>
        <v/>
      </c>
      <c r="P1923" s="18"/>
    </row>
    <row r="1924" customFormat="false" ht="18" hidden="false" customHeight="true" outlineLevel="0" collapsed="false">
      <c r="A1924" s="107" t="str">
        <f aca="false">IF($E1924="","",ROW()-3)</f>
        <v/>
      </c>
      <c r="B1924" s="110" t="str">
        <f aca="false">IF($E1924="","",INDEX(资金日记账!$B$4:$B$603,508))</f>
        <v/>
      </c>
      <c r="C1924" s="67" t="str">
        <f aca="false">IF($E1924="","",IF(INDEX(资金日记账!$W$4:$W$603,508)="","记-"&amp;TEXT($B1924,"YYYYMM")&amp;"-资金",INDEX(资金日记账!$W$4:$W$603,508)))</f>
        <v/>
      </c>
      <c r="D1924" s="107" t="str">
        <f aca="false">IF($E1924="","",INDEX(资金日记账!$D$4:$D$603,508))</f>
        <v/>
      </c>
      <c r="E1924" s="67" t="str">
        <f aca="false">IF(INDEX(资金日记账!$N$4:$S$603,508,1)=0,"",INDEX(资金日记账!$N$4:$S$603,508,1))</f>
        <v/>
      </c>
      <c r="F1924" s="99" t="str">
        <f aca="false">IF($E1924="","",IFERROR(INDEX(科目表!$A$4:$A$81,MATCH($E1924,科目表!$B$4:$B$81,0)),""))</f>
        <v/>
      </c>
      <c r="G1924" s="67" t="str">
        <f aca="false">IF($E1924="","",IFERROR(INDEX(科目表!$E$4:$E$81,MATCH($E1924,科目表!$B$4:$B$81,0)),""))</f>
        <v/>
      </c>
      <c r="H1924" s="70" t="str">
        <f aca="false">IF($E1924="","",N(INDEX(资金日记账!$N$4:$S$603,508,2)))</f>
        <v/>
      </c>
      <c r="I1924" s="70" t="str">
        <f aca="false">IF($E1924="","",N(INDEX(资金日记账!$N$4:$S$603,508,3)))</f>
        <v/>
      </c>
      <c r="J1924" s="67" t="str">
        <f aca="false">IF($E1924="","",INDEX(资金日记账!$E$4:$E$603,508))</f>
        <v/>
      </c>
      <c r="K1924" s="67" t="str">
        <f aca="false">IF($E1924="","",INDEX(资金日记账!$F$4:$F$603,508))</f>
        <v/>
      </c>
      <c r="L1924" s="107" t="str">
        <f aca="false">IF($E1924="","",INDEX(资金日记账!$X$4:$X$603,508))</f>
        <v/>
      </c>
      <c r="M1924" s="107"/>
      <c r="N1924" s="67" t="str">
        <f aca="false">IF($E1924="","",INDEX(资金日记账!$Y$4:$Y$603,508))</f>
        <v/>
      </c>
      <c r="O1924" s="67" t="str">
        <f aca="false">IF($E1924="","","自动B")</f>
        <v/>
      </c>
      <c r="P1924" s="18"/>
    </row>
    <row r="1925" customFormat="false" ht="18" hidden="false" customHeight="true" outlineLevel="0" collapsed="false">
      <c r="A1925" s="107" t="str">
        <f aca="false">IF($E1925="","",ROW()-3)</f>
        <v/>
      </c>
      <c r="B1925" s="110" t="str">
        <f aca="false">IF($E1925="","",INDEX(资金日记账!$B$4:$B$603,508))</f>
        <v/>
      </c>
      <c r="C1925" s="67" t="str">
        <f aca="false">IF($E1925="","",IF(INDEX(资金日记账!$W$4:$W$603,508)="","记-"&amp;TEXT($B1925,"YYYYMM")&amp;"-资金",INDEX(资金日记账!$W$4:$W$603,508)))</f>
        <v/>
      </c>
      <c r="D1925" s="107" t="str">
        <f aca="false">IF($E1925="","",INDEX(资金日记账!$D$4:$D$603,508))</f>
        <v/>
      </c>
      <c r="E1925" s="67" t="str">
        <f aca="false">IF(INDEX(资金日记账!$N$4:$S$603,508,4)=0,"",INDEX(资金日记账!$N$4:$S$603,508,4))</f>
        <v/>
      </c>
      <c r="F1925" s="99" t="str">
        <f aca="false">IF($E1925="","",IFERROR(INDEX(科目表!$A$4:$A$81,MATCH($E1925,科目表!$B$4:$B$81,0)),""))</f>
        <v/>
      </c>
      <c r="G1925" s="67" t="str">
        <f aca="false">IF($E1925="","",IFERROR(INDEX(科目表!$E$4:$E$81,MATCH($E1925,科目表!$B$4:$B$81,0)),""))</f>
        <v/>
      </c>
      <c r="H1925" s="70" t="str">
        <f aca="false">IF($E1925="","",N(INDEX(资金日记账!$N$4:$S$603,508,5)))</f>
        <v/>
      </c>
      <c r="I1925" s="70" t="str">
        <f aca="false">IF($E1925="","",N(INDEX(资金日记账!$N$4:$S$603,508,6)))</f>
        <v/>
      </c>
      <c r="J1925" s="67" t="str">
        <f aca="false">IF($E1925="","",INDEX(资金日记账!$E$4:$E$603,508))</f>
        <v/>
      </c>
      <c r="K1925" s="67" t="str">
        <f aca="false">IF($E1925="","",INDEX(资金日记账!$F$4:$F$603,508))</f>
        <v/>
      </c>
      <c r="L1925" s="107" t="str">
        <f aca="false">IF($E1925="","",INDEX(资金日记账!$X$4:$X$603,508))</f>
        <v/>
      </c>
      <c r="M1925" s="107"/>
      <c r="N1925" s="67" t="str">
        <f aca="false">IF($E1925="","",INDEX(资金日记账!$Y$4:$Y$603,508))</f>
        <v/>
      </c>
      <c r="O1925" s="67" t="str">
        <f aca="false">IF($E1925="","","自动B")</f>
        <v/>
      </c>
      <c r="P1925" s="18"/>
    </row>
    <row r="1926" customFormat="false" ht="18" hidden="false" customHeight="true" outlineLevel="0" collapsed="false">
      <c r="A1926" s="107" t="str">
        <f aca="false">IF($E1926="","",ROW()-3)</f>
        <v/>
      </c>
      <c r="B1926" s="110" t="str">
        <f aca="false">IF($E1926="","",INDEX(资金日记账!$B$4:$B$603,509))</f>
        <v/>
      </c>
      <c r="C1926" s="67" t="str">
        <f aca="false">IF($E1926="","",IF(INDEX(资金日记账!$W$4:$W$603,509)="","记-"&amp;TEXT($B1926,"YYYYMM")&amp;"-资金",INDEX(资金日记账!$W$4:$W$603,509)))</f>
        <v/>
      </c>
      <c r="D1926" s="107" t="str">
        <f aca="false">IF($E1926="","",INDEX(资金日记账!$D$4:$D$603,509))</f>
        <v/>
      </c>
      <c r="E1926" s="67" t="str">
        <f aca="false">IF(INDEX(资金日记账!$N$4:$S$603,509,1)=0,"",INDEX(资金日记账!$N$4:$S$603,509,1))</f>
        <v/>
      </c>
      <c r="F1926" s="99" t="str">
        <f aca="false">IF($E1926="","",IFERROR(INDEX(科目表!$A$4:$A$81,MATCH($E1926,科目表!$B$4:$B$81,0)),""))</f>
        <v/>
      </c>
      <c r="G1926" s="67" t="str">
        <f aca="false">IF($E1926="","",IFERROR(INDEX(科目表!$E$4:$E$81,MATCH($E1926,科目表!$B$4:$B$81,0)),""))</f>
        <v/>
      </c>
      <c r="H1926" s="70" t="str">
        <f aca="false">IF($E1926="","",N(INDEX(资金日记账!$N$4:$S$603,509,2)))</f>
        <v/>
      </c>
      <c r="I1926" s="70" t="str">
        <f aca="false">IF($E1926="","",N(INDEX(资金日记账!$N$4:$S$603,509,3)))</f>
        <v/>
      </c>
      <c r="J1926" s="67" t="str">
        <f aca="false">IF($E1926="","",INDEX(资金日记账!$E$4:$E$603,509))</f>
        <v/>
      </c>
      <c r="K1926" s="67" t="str">
        <f aca="false">IF($E1926="","",INDEX(资金日记账!$F$4:$F$603,509))</f>
        <v/>
      </c>
      <c r="L1926" s="107" t="str">
        <f aca="false">IF($E1926="","",INDEX(资金日记账!$X$4:$X$603,509))</f>
        <v/>
      </c>
      <c r="M1926" s="107"/>
      <c r="N1926" s="67" t="str">
        <f aca="false">IF($E1926="","",INDEX(资金日记账!$Y$4:$Y$603,509))</f>
        <v/>
      </c>
      <c r="O1926" s="67" t="str">
        <f aca="false">IF($E1926="","","自动B")</f>
        <v/>
      </c>
      <c r="P1926" s="18"/>
    </row>
    <row r="1927" customFormat="false" ht="18" hidden="false" customHeight="true" outlineLevel="0" collapsed="false">
      <c r="A1927" s="107" t="str">
        <f aca="false">IF($E1927="","",ROW()-3)</f>
        <v/>
      </c>
      <c r="B1927" s="110" t="str">
        <f aca="false">IF($E1927="","",INDEX(资金日记账!$B$4:$B$603,509))</f>
        <v/>
      </c>
      <c r="C1927" s="67" t="str">
        <f aca="false">IF($E1927="","",IF(INDEX(资金日记账!$W$4:$W$603,509)="","记-"&amp;TEXT($B1927,"YYYYMM")&amp;"-资金",INDEX(资金日记账!$W$4:$W$603,509)))</f>
        <v/>
      </c>
      <c r="D1927" s="107" t="str">
        <f aca="false">IF($E1927="","",INDEX(资金日记账!$D$4:$D$603,509))</f>
        <v/>
      </c>
      <c r="E1927" s="67" t="str">
        <f aca="false">IF(INDEX(资金日记账!$N$4:$S$603,509,4)=0,"",INDEX(资金日记账!$N$4:$S$603,509,4))</f>
        <v/>
      </c>
      <c r="F1927" s="99" t="str">
        <f aca="false">IF($E1927="","",IFERROR(INDEX(科目表!$A$4:$A$81,MATCH($E1927,科目表!$B$4:$B$81,0)),""))</f>
        <v/>
      </c>
      <c r="G1927" s="67" t="str">
        <f aca="false">IF($E1927="","",IFERROR(INDEX(科目表!$E$4:$E$81,MATCH($E1927,科目表!$B$4:$B$81,0)),""))</f>
        <v/>
      </c>
      <c r="H1927" s="70" t="str">
        <f aca="false">IF($E1927="","",N(INDEX(资金日记账!$N$4:$S$603,509,5)))</f>
        <v/>
      </c>
      <c r="I1927" s="70" t="str">
        <f aca="false">IF($E1927="","",N(INDEX(资金日记账!$N$4:$S$603,509,6)))</f>
        <v/>
      </c>
      <c r="J1927" s="67" t="str">
        <f aca="false">IF($E1927="","",INDEX(资金日记账!$E$4:$E$603,509))</f>
        <v/>
      </c>
      <c r="K1927" s="67" t="str">
        <f aca="false">IF($E1927="","",INDEX(资金日记账!$F$4:$F$603,509))</f>
        <v/>
      </c>
      <c r="L1927" s="107" t="str">
        <f aca="false">IF($E1927="","",INDEX(资金日记账!$X$4:$X$603,509))</f>
        <v/>
      </c>
      <c r="M1927" s="107"/>
      <c r="N1927" s="67" t="str">
        <f aca="false">IF($E1927="","",INDEX(资金日记账!$Y$4:$Y$603,509))</f>
        <v/>
      </c>
      <c r="O1927" s="67" t="str">
        <f aca="false">IF($E1927="","","自动B")</f>
        <v/>
      </c>
      <c r="P1927" s="18"/>
    </row>
    <row r="1928" customFormat="false" ht="18" hidden="false" customHeight="true" outlineLevel="0" collapsed="false">
      <c r="A1928" s="107" t="str">
        <f aca="false">IF($E1928="","",ROW()-3)</f>
        <v/>
      </c>
      <c r="B1928" s="110" t="str">
        <f aca="false">IF($E1928="","",INDEX(资金日记账!$B$4:$B$603,510))</f>
        <v/>
      </c>
      <c r="C1928" s="67" t="str">
        <f aca="false">IF($E1928="","",IF(INDEX(资金日记账!$W$4:$W$603,510)="","记-"&amp;TEXT($B1928,"YYYYMM")&amp;"-资金",INDEX(资金日记账!$W$4:$W$603,510)))</f>
        <v/>
      </c>
      <c r="D1928" s="107" t="str">
        <f aca="false">IF($E1928="","",INDEX(资金日记账!$D$4:$D$603,510))</f>
        <v/>
      </c>
      <c r="E1928" s="67" t="str">
        <f aca="false">IF(INDEX(资金日记账!$N$4:$S$603,510,1)=0,"",INDEX(资金日记账!$N$4:$S$603,510,1))</f>
        <v/>
      </c>
      <c r="F1928" s="99" t="str">
        <f aca="false">IF($E1928="","",IFERROR(INDEX(科目表!$A$4:$A$81,MATCH($E1928,科目表!$B$4:$B$81,0)),""))</f>
        <v/>
      </c>
      <c r="G1928" s="67" t="str">
        <f aca="false">IF($E1928="","",IFERROR(INDEX(科目表!$E$4:$E$81,MATCH($E1928,科目表!$B$4:$B$81,0)),""))</f>
        <v/>
      </c>
      <c r="H1928" s="70" t="str">
        <f aca="false">IF($E1928="","",N(INDEX(资金日记账!$N$4:$S$603,510,2)))</f>
        <v/>
      </c>
      <c r="I1928" s="70" t="str">
        <f aca="false">IF($E1928="","",N(INDEX(资金日记账!$N$4:$S$603,510,3)))</f>
        <v/>
      </c>
      <c r="J1928" s="67" t="str">
        <f aca="false">IF($E1928="","",INDEX(资金日记账!$E$4:$E$603,510))</f>
        <v/>
      </c>
      <c r="K1928" s="67" t="str">
        <f aca="false">IF($E1928="","",INDEX(资金日记账!$F$4:$F$603,510))</f>
        <v/>
      </c>
      <c r="L1928" s="107" t="str">
        <f aca="false">IF($E1928="","",INDEX(资金日记账!$X$4:$X$603,510))</f>
        <v/>
      </c>
      <c r="M1928" s="107"/>
      <c r="N1928" s="67" t="str">
        <f aca="false">IF($E1928="","",INDEX(资金日记账!$Y$4:$Y$603,510))</f>
        <v/>
      </c>
      <c r="O1928" s="67" t="str">
        <f aca="false">IF($E1928="","","自动B")</f>
        <v/>
      </c>
      <c r="P1928" s="18"/>
    </row>
    <row r="1929" customFormat="false" ht="18" hidden="false" customHeight="true" outlineLevel="0" collapsed="false">
      <c r="A1929" s="107" t="str">
        <f aca="false">IF($E1929="","",ROW()-3)</f>
        <v/>
      </c>
      <c r="B1929" s="110" t="str">
        <f aca="false">IF($E1929="","",INDEX(资金日记账!$B$4:$B$603,510))</f>
        <v/>
      </c>
      <c r="C1929" s="67" t="str">
        <f aca="false">IF($E1929="","",IF(INDEX(资金日记账!$W$4:$W$603,510)="","记-"&amp;TEXT($B1929,"YYYYMM")&amp;"-资金",INDEX(资金日记账!$W$4:$W$603,510)))</f>
        <v/>
      </c>
      <c r="D1929" s="107" t="str">
        <f aca="false">IF($E1929="","",INDEX(资金日记账!$D$4:$D$603,510))</f>
        <v/>
      </c>
      <c r="E1929" s="67" t="str">
        <f aca="false">IF(INDEX(资金日记账!$N$4:$S$603,510,4)=0,"",INDEX(资金日记账!$N$4:$S$603,510,4))</f>
        <v/>
      </c>
      <c r="F1929" s="99" t="str">
        <f aca="false">IF($E1929="","",IFERROR(INDEX(科目表!$A$4:$A$81,MATCH($E1929,科目表!$B$4:$B$81,0)),""))</f>
        <v/>
      </c>
      <c r="G1929" s="67" t="str">
        <f aca="false">IF($E1929="","",IFERROR(INDEX(科目表!$E$4:$E$81,MATCH($E1929,科目表!$B$4:$B$81,0)),""))</f>
        <v/>
      </c>
      <c r="H1929" s="70" t="str">
        <f aca="false">IF($E1929="","",N(INDEX(资金日记账!$N$4:$S$603,510,5)))</f>
        <v/>
      </c>
      <c r="I1929" s="70" t="str">
        <f aca="false">IF($E1929="","",N(INDEX(资金日记账!$N$4:$S$603,510,6)))</f>
        <v/>
      </c>
      <c r="J1929" s="67" t="str">
        <f aca="false">IF($E1929="","",INDEX(资金日记账!$E$4:$E$603,510))</f>
        <v/>
      </c>
      <c r="K1929" s="67" t="str">
        <f aca="false">IF($E1929="","",INDEX(资金日记账!$F$4:$F$603,510))</f>
        <v/>
      </c>
      <c r="L1929" s="107" t="str">
        <f aca="false">IF($E1929="","",INDEX(资金日记账!$X$4:$X$603,510))</f>
        <v/>
      </c>
      <c r="M1929" s="107"/>
      <c r="N1929" s="67" t="str">
        <f aca="false">IF($E1929="","",INDEX(资金日记账!$Y$4:$Y$603,510))</f>
        <v/>
      </c>
      <c r="O1929" s="67" t="str">
        <f aca="false">IF($E1929="","","自动B")</f>
        <v/>
      </c>
      <c r="P1929" s="18"/>
    </row>
    <row r="1930" customFormat="false" ht="18" hidden="false" customHeight="true" outlineLevel="0" collapsed="false">
      <c r="A1930" s="107" t="str">
        <f aca="false">IF($E1930="","",ROW()-3)</f>
        <v/>
      </c>
      <c r="B1930" s="110" t="str">
        <f aca="false">IF($E1930="","",INDEX(资金日记账!$B$4:$B$603,511))</f>
        <v/>
      </c>
      <c r="C1930" s="67" t="str">
        <f aca="false">IF($E1930="","",IF(INDEX(资金日记账!$W$4:$W$603,511)="","记-"&amp;TEXT($B1930,"YYYYMM")&amp;"-资金",INDEX(资金日记账!$W$4:$W$603,511)))</f>
        <v/>
      </c>
      <c r="D1930" s="107" t="str">
        <f aca="false">IF($E1930="","",INDEX(资金日记账!$D$4:$D$603,511))</f>
        <v/>
      </c>
      <c r="E1930" s="67" t="str">
        <f aca="false">IF(INDEX(资金日记账!$N$4:$S$603,511,1)=0,"",INDEX(资金日记账!$N$4:$S$603,511,1))</f>
        <v/>
      </c>
      <c r="F1930" s="99" t="str">
        <f aca="false">IF($E1930="","",IFERROR(INDEX(科目表!$A$4:$A$81,MATCH($E1930,科目表!$B$4:$B$81,0)),""))</f>
        <v/>
      </c>
      <c r="G1930" s="67" t="str">
        <f aca="false">IF($E1930="","",IFERROR(INDEX(科目表!$E$4:$E$81,MATCH($E1930,科目表!$B$4:$B$81,0)),""))</f>
        <v/>
      </c>
      <c r="H1930" s="70" t="str">
        <f aca="false">IF($E1930="","",N(INDEX(资金日记账!$N$4:$S$603,511,2)))</f>
        <v/>
      </c>
      <c r="I1930" s="70" t="str">
        <f aca="false">IF($E1930="","",N(INDEX(资金日记账!$N$4:$S$603,511,3)))</f>
        <v/>
      </c>
      <c r="J1930" s="67" t="str">
        <f aca="false">IF($E1930="","",INDEX(资金日记账!$E$4:$E$603,511))</f>
        <v/>
      </c>
      <c r="K1930" s="67" t="str">
        <f aca="false">IF($E1930="","",INDEX(资金日记账!$F$4:$F$603,511))</f>
        <v/>
      </c>
      <c r="L1930" s="107" t="str">
        <f aca="false">IF($E1930="","",INDEX(资金日记账!$X$4:$X$603,511))</f>
        <v/>
      </c>
      <c r="M1930" s="107"/>
      <c r="N1930" s="67" t="str">
        <f aca="false">IF($E1930="","",INDEX(资金日记账!$Y$4:$Y$603,511))</f>
        <v/>
      </c>
      <c r="O1930" s="67" t="str">
        <f aca="false">IF($E1930="","","自动B")</f>
        <v/>
      </c>
      <c r="P1930" s="18"/>
    </row>
    <row r="1931" customFormat="false" ht="18" hidden="false" customHeight="true" outlineLevel="0" collapsed="false">
      <c r="A1931" s="107" t="str">
        <f aca="false">IF($E1931="","",ROW()-3)</f>
        <v/>
      </c>
      <c r="B1931" s="110" t="str">
        <f aca="false">IF($E1931="","",INDEX(资金日记账!$B$4:$B$603,511))</f>
        <v/>
      </c>
      <c r="C1931" s="67" t="str">
        <f aca="false">IF($E1931="","",IF(INDEX(资金日记账!$W$4:$W$603,511)="","记-"&amp;TEXT($B1931,"YYYYMM")&amp;"-资金",INDEX(资金日记账!$W$4:$W$603,511)))</f>
        <v/>
      </c>
      <c r="D1931" s="107" t="str">
        <f aca="false">IF($E1931="","",INDEX(资金日记账!$D$4:$D$603,511))</f>
        <v/>
      </c>
      <c r="E1931" s="67" t="str">
        <f aca="false">IF(INDEX(资金日记账!$N$4:$S$603,511,4)=0,"",INDEX(资金日记账!$N$4:$S$603,511,4))</f>
        <v/>
      </c>
      <c r="F1931" s="99" t="str">
        <f aca="false">IF($E1931="","",IFERROR(INDEX(科目表!$A$4:$A$81,MATCH($E1931,科目表!$B$4:$B$81,0)),""))</f>
        <v/>
      </c>
      <c r="G1931" s="67" t="str">
        <f aca="false">IF($E1931="","",IFERROR(INDEX(科目表!$E$4:$E$81,MATCH($E1931,科目表!$B$4:$B$81,0)),""))</f>
        <v/>
      </c>
      <c r="H1931" s="70" t="str">
        <f aca="false">IF($E1931="","",N(INDEX(资金日记账!$N$4:$S$603,511,5)))</f>
        <v/>
      </c>
      <c r="I1931" s="70" t="str">
        <f aca="false">IF($E1931="","",N(INDEX(资金日记账!$N$4:$S$603,511,6)))</f>
        <v/>
      </c>
      <c r="J1931" s="67" t="str">
        <f aca="false">IF($E1931="","",INDEX(资金日记账!$E$4:$E$603,511))</f>
        <v/>
      </c>
      <c r="K1931" s="67" t="str">
        <f aca="false">IF($E1931="","",INDEX(资金日记账!$F$4:$F$603,511))</f>
        <v/>
      </c>
      <c r="L1931" s="107" t="str">
        <f aca="false">IF($E1931="","",INDEX(资金日记账!$X$4:$X$603,511))</f>
        <v/>
      </c>
      <c r="M1931" s="107"/>
      <c r="N1931" s="67" t="str">
        <f aca="false">IF($E1931="","",INDEX(资金日记账!$Y$4:$Y$603,511))</f>
        <v/>
      </c>
      <c r="O1931" s="67" t="str">
        <f aca="false">IF($E1931="","","自动B")</f>
        <v/>
      </c>
      <c r="P1931" s="18"/>
    </row>
    <row r="1932" customFormat="false" ht="18" hidden="false" customHeight="true" outlineLevel="0" collapsed="false">
      <c r="A1932" s="107" t="str">
        <f aca="false">IF($E1932="","",ROW()-3)</f>
        <v/>
      </c>
      <c r="B1932" s="110" t="str">
        <f aca="false">IF($E1932="","",INDEX(资金日记账!$B$4:$B$603,512))</f>
        <v/>
      </c>
      <c r="C1932" s="67" t="str">
        <f aca="false">IF($E1932="","",IF(INDEX(资金日记账!$W$4:$W$603,512)="","记-"&amp;TEXT($B1932,"YYYYMM")&amp;"-资金",INDEX(资金日记账!$W$4:$W$603,512)))</f>
        <v/>
      </c>
      <c r="D1932" s="107" t="str">
        <f aca="false">IF($E1932="","",INDEX(资金日记账!$D$4:$D$603,512))</f>
        <v/>
      </c>
      <c r="E1932" s="67" t="str">
        <f aca="false">IF(INDEX(资金日记账!$N$4:$S$603,512,1)=0,"",INDEX(资金日记账!$N$4:$S$603,512,1))</f>
        <v/>
      </c>
      <c r="F1932" s="99" t="str">
        <f aca="false">IF($E1932="","",IFERROR(INDEX(科目表!$A$4:$A$81,MATCH($E1932,科目表!$B$4:$B$81,0)),""))</f>
        <v/>
      </c>
      <c r="G1932" s="67" t="str">
        <f aca="false">IF($E1932="","",IFERROR(INDEX(科目表!$E$4:$E$81,MATCH($E1932,科目表!$B$4:$B$81,0)),""))</f>
        <v/>
      </c>
      <c r="H1932" s="70" t="str">
        <f aca="false">IF($E1932="","",N(INDEX(资金日记账!$N$4:$S$603,512,2)))</f>
        <v/>
      </c>
      <c r="I1932" s="70" t="str">
        <f aca="false">IF($E1932="","",N(INDEX(资金日记账!$N$4:$S$603,512,3)))</f>
        <v/>
      </c>
      <c r="J1932" s="67" t="str">
        <f aca="false">IF($E1932="","",INDEX(资金日记账!$E$4:$E$603,512))</f>
        <v/>
      </c>
      <c r="K1932" s="67" t="str">
        <f aca="false">IF($E1932="","",INDEX(资金日记账!$F$4:$F$603,512))</f>
        <v/>
      </c>
      <c r="L1932" s="107" t="str">
        <f aca="false">IF($E1932="","",INDEX(资金日记账!$X$4:$X$603,512))</f>
        <v/>
      </c>
      <c r="M1932" s="107"/>
      <c r="N1932" s="67" t="str">
        <f aca="false">IF($E1932="","",INDEX(资金日记账!$Y$4:$Y$603,512))</f>
        <v/>
      </c>
      <c r="O1932" s="67" t="str">
        <f aca="false">IF($E1932="","","自动B")</f>
        <v/>
      </c>
      <c r="P1932" s="18"/>
    </row>
    <row r="1933" customFormat="false" ht="18" hidden="false" customHeight="true" outlineLevel="0" collapsed="false">
      <c r="A1933" s="107" t="str">
        <f aca="false">IF($E1933="","",ROW()-3)</f>
        <v/>
      </c>
      <c r="B1933" s="110" t="str">
        <f aca="false">IF($E1933="","",INDEX(资金日记账!$B$4:$B$603,512))</f>
        <v/>
      </c>
      <c r="C1933" s="67" t="str">
        <f aca="false">IF($E1933="","",IF(INDEX(资金日记账!$W$4:$W$603,512)="","记-"&amp;TEXT($B1933,"YYYYMM")&amp;"-资金",INDEX(资金日记账!$W$4:$W$603,512)))</f>
        <v/>
      </c>
      <c r="D1933" s="107" t="str">
        <f aca="false">IF($E1933="","",INDEX(资金日记账!$D$4:$D$603,512))</f>
        <v/>
      </c>
      <c r="E1933" s="67" t="str">
        <f aca="false">IF(INDEX(资金日记账!$N$4:$S$603,512,4)=0,"",INDEX(资金日记账!$N$4:$S$603,512,4))</f>
        <v/>
      </c>
      <c r="F1933" s="99" t="str">
        <f aca="false">IF($E1933="","",IFERROR(INDEX(科目表!$A$4:$A$81,MATCH($E1933,科目表!$B$4:$B$81,0)),""))</f>
        <v/>
      </c>
      <c r="G1933" s="67" t="str">
        <f aca="false">IF($E1933="","",IFERROR(INDEX(科目表!$E$4:$E$81,MATCH($E1933,科目表!$B$4:$B$81,0)),""))</f>
        <v/>
      </c>
      <c r="H1933" s="70" t="str">
        <f aca="false">IF($E1933="","",N(INDEX(资金日记账!$N$4:$S$603,512,5)))</f>
        <v/>
      </c>
      <c r="I1933" s="70" t="str">
        <f aca="false">IF($E1933="","",N(INDEX(资金日记账!$N$4:$S$603,512,6)))</f>
        <v/>
      </c>
      <c r="J1933" s="67" t="str">
        <f aca="false">IF($E1933="","",INDEX(资金日记账!$E$4:$E$603,512))</f>
        <v/>
      </c>
      <c r="K1933" s="67" t="str">
        <f aca="false">IF($E1933="","",INDEX(资金日记账!$F$4:$F$603,512))</f>
        <v/>
      </c>
      <c r="L1933" s="107" t="str">
        <f aca="false">IF($E1933="","",INDEX(资金日记账!$X$4:$X$603,512))</f>
        <v/>
      </c>
      <c r="M1933" s="107"/>
      <c r="N1933" s="67" t="str">
        <f aca="false">IF($E1933="","",INDEX(资金日记账!$Y$4:$Y$603,512))</f>
        <v/>
      </c>
      <c r="O1933" s="67" t="str">
        <f aca="false">IF($E1933="","","自动B")</f>
        <v/>
      </c>
      <c r="P1933" s="18"/>
    </row>
    <row r="1934" customFormat="false" ht="18" hidden="false" customHeight="true" outlineLevel="0" collapsed="false">
      <c r="A1934" s="107" t="str">
        <f aca="false">IF($E1934="","",ROW()-3)</f>
        <v/>
      </c>
      <c r="B1934" s="110" t="str">
        <f aca="false">IF($E1934="","",INDEX(资金日记账!$B$4:$B$603,513))</f>
        <v/>
      </c>
      <c r="C1934" s="67" t="str">
        <f aca="false">IF($E1934="","",IF(INDEX(资金日记账!$W$4:$W$603,513)="","记-"&amp;TEXT($B1934,"YYYYMM")&amp;"-资金",INDEX(资金日记账!$W$4:$W$603,513)))</f>
        <v/>
      </c>
      <c r="D1934" s="107" t="str">
        <f aca="false">IF($E1934="","",INDEX(资金日记账!$D$4:$D$603,513))</f>
        <v/>
      </c>
      <c r="E1934" s="67" t="str">
        <f aca="false">IF(INDEX(资金日记账!$N$4:$S$603,513,1)=0,"",INDEX(资金日记账!$N$4:$S$603,513,1))</f>
        <v/>
      </c>
      <c r="F1934" s="99" t="str">
        <f aca="false">IF($E1934="","",IFERROR(INDEX(科目表!$A$4:$A$81,MATCH($E1934,科目表!$B$4:$B$81,0)),""))</f>
        <v/>
      </c>
      <c r="G1934" s="67" t="str">
        <f aca="false">IF($E1934="","",IFERROR(INDEX(科目表!$E$4:$E$81,MATCH($E1934,科目表!$B$4:$B$81,0)),""))</f>
        <v/>
      </c>
      <c r="H1934" s="70" t="str">
        <f aca="false">IF($E1934="","",N(INDEX(资金日记账!$N$4:$S$603,513,2)))</f>
        <v/>
      </c>
      <c r="I1934" s="70" t="str">
        <f aca="false">IF($E1934="","",N(INDEX(资金日记账!$N$4:$S$603,513,3)))</f>
        <v/>
      </c>
      <c r="J1934" s="67" t="str">
        <f aca="false">IF($E1934="","",INDEX(资金日记账!$E$4:$E$603,513))</f>
        <v/>
      </c>
      <c r="K1934" s="67" t="str">
        <f aca="false">IF($E1934="","",INDEX(资金日记账!$F$4:$F$603,513))</f>
        <v/>
      </c>
      <c r="L1934" s="107" t="str">
        <f aca="false">IF($E1934="","",INDEX(资金日记账!$X$4:$X$603,513))</f>
        <v/>
      </c>
      <c r="M1934" s="107"/>
      <c r="N1934" s="67" t="str">
        <f aca="false">IF($E1934="","",INDEX(资金日记账!$Y$4:$Y$603,513))</f>
        <v/>
      </c>
      <c r="O1934" s="67" t="str">
        <f aca="false">IF($E1934="","","自动B")</f>
        <v/>
      </c>
      <c r="P1934" s="18"/>
    </row>
    <row r="1935" customFormat="false" ht="18" hidden="false" customHeight="true" outlineLevel="0" collapsed="false">
      <c r="A1935" s="107" t="str">
        <f aca="false">IF($E1935="","",ROW()-3)</f>
        <v/>
      </c>
      <c r="B1935" s="110" t="str">
        <f aca="false">IF($E1935="","",INDEX(资金日记账!$B$4:$B$603,513))</f>
        <v/>
      </c>
      <c r="C1935" s="67" t="str">
        <f aca="false">IF($E1935="","",IF(INDEX(资金日记账!$W$4:$W$603,513)="","记-"&amp;TEXT($B1935,"YYYYMM")&amp;"-资金",INDEX(资金日记账!$W$4:$W$603,513)))</f>
        <v/>
      </c>
      <c r="D1935" s="107" t="str">
        <f aca="false">IF($E1935="","",INDEX(资金日记账!$D$4:$D$603,513))</f>
        <v/>
      </c>
      <c r="E1935" s="67" t="str">
        <f aca="false">IF(INDEX(资金日记账!$N$4:$S$603,513,4)=0,"",INDEX(资金日记账!$N$4:$S$603,513,4))</f>
        <v/>
      </c>
      <c r="F1935" s="99" t="str">
        <f aca="false">IF($E1935="","",IFERROR(INDEX(科目表!$A$4:$A$81,MATCH($E1935,科目表!$B$4:$B$81,0)),""))</f>
        <v/>
      </c>
      <c r="G1935" s="67" t="str">
        <f aca="false">IF($E1935="","",IFERROR(INDEX(科目表!$E$4:$E$81,MATCH($E1935,科目表!$B$4:$B$81,0)),""))</f>
        <v/>
      </c>
      <c r="H1935" s="70" t="str">
        <f aca="false">IF($E1935="","",N(INDEX(资金日记账!$N$4:$S$603,513,5)))</f>
        <v/>
      </c>
      <c r="I1935" s="70" t="str">
        <f aca="false">IF($E1935="","",N(INDEX(资金日记账!$N$4:$S$603,513,6)))</f>
        <v/>
      </c>
      <c r="J1935" s="67" t="str">
        <f aca="false">IF($E1935="","",INDEX(资金日记账!$E$4:$E$603,513))</f>
        <v/>
      </c>
      <c r="K1935" s="67" t="str">
        <f aca="false">IF($E1935="","",INDEX(资金日记账!$F$4:$F$603,513))</f>
        <v/>
      </c>
      <c r="L1935" s="107" t="str">
        <f aca="false">IF($E1935="","",INDEX(资金日记账!$X$4:$X$603,513))</f>
        <v/>
      </c>
      <c r="M1935" s="107"/>
      <c r="N1935" s="67" t="str">
        <f aca="false">IF($E1935="","",INDEX(资金日记账!$Y$4:$Y$603,513))</f>
        <v/>
      </c>
      <c r="O1935" s="67" t="str">
        <f aca="false">IF($E1935="","","自动B")</f>
        <v/>
      </c>
      <c r="P1935" s="18"/>
    </row>
    <row r="1936" customFormat="false" ht="18" hidden="false" customHeight="true" outlineLevel="0" collapsed="false">
      <c r="A1936" s="107" t="str">
        <f aca="false">IF($E1936="","",ROW()-3)</f>
        <v/>
      </c>
      <c r="B1936" s="110" t="str">
        <f aca="false">IF($E1936="","",INDEX(资金日记账!$B$4:$B$603,514))</f>
        <v/>
      </c>
      <c r="C1936" s="67" t="str">
        <f aca="false">IF($E1936="","",IF(INDEX(资金日记账!$W$4:$W$603,514)="","记-"&amp;TEXT($B1936,"YYYYMM")&amp;"-资金",INDEX(资金日记账!$W$4:$W$603,514)))</f>
        <v/>
      </c>
      <c r="D1936" s="107" t="str">
        <f aca="false">IF($E1936="","",INDEX(资金日记账!$D$4:$D$603,514))</f>
        <v/>
      </c>
      <c r="E1936" s="67" t="str">
        <f aca="false">IF(INDEX(资金日记账!$N$4:$S$603,514,1)=0,"",INDEX(资金日记账!$N$4:$S$603,514,1))</f>
        <v/>
      </c>
      <c r="F1936" s="99" t="str">
        <f aca="false">IF($E1936="","",IFERROR(INDEX(科目表!$A$4:$A$81,MATCH($E1936,科目表!$B$4:$B$81,0)),""))</f>
        <v/>
      </c>
      <c r="G1936" s="67" t="str">
        <f aca="false">IF($E1936="","",IFERROR(INDEX(科目表!$E$4:$E$81,MATCH($E1936,科目表!$B$4:$B$81,0)),""))</f>
        <v/>
      </c>
      <c r="H1936" s="70" t="str">
        <f aca="false">IF($E1936="","",N(INDEX(资金日记账!$N$4:$S$603,514,2)))</f>
        <v/>
      </c>
      <c r="I1936" s="70" t="str">
        <f aca="false">IF($E1936="","",N(INDEX(资金日记账!$N$4:$S$603,514,3)))</f>
        <v/>
      </c>
      <c r="J1936" s="67" t="str">
        <f aca="false">IF($E1936="","",INDEX(资金日记账!$E$4:$E$603,514))</f>
        <v/>
      </c>
      <c r="K1936" s="67" t="str">
        <f aca="false">IF($E1936="","",INDEX(资金日记账!$F$4:$F$603,514))</f>
        <v/>
      </c>
      <c r="L1936" s="107" t="str">
        <f aca="false">IF($E1936="","",INDEX(资金日记账!$X$4:$X$603,514))</f>
        <v/>
      </c>
      <c r="M1936" s="107"/>
      <c r="N1936" s="67" t="str">
        <f aca="false">IF($E1936="","",INDEX(资金日记账!$Y$4:$Y$603,514))</f>
        <v/>
      </c>
      <c r="O1936" s="67" t="str">
        <f aca="false">IF($E1936="","","自动B")</f>
        <v/>
      </c>
      <c r="P1936" s="18"/>
    </row>
    <row r="1937" customFormat="false" ht="18" hidden="false" customHeight="true" outlineLevel="0" collapsed="false">
      <c r="A1937" s="107" t="str">
        <f aca="false">IF($E1937="","",ROW()-3)</f>
        <v/>
      </c>
      <c r="B1937" s="110" t="str">
        <f aca="false">IF($E1937="","",INDEX(资金日记账!$B$4:$B$603,514))</f>
        <v/>
      </c>
      <c r="C1937" s="67" t="str">
        <f aca="false">IF($E1937="","",IF(INDEX(资金日记账!$W$4:$W$603,514)="","记-"&amp;TEXT($B1937,"YYYYMM")&amp;"-资金",INDEX(资金日记账!$W$4:$W$603,514)))</f>
        <v/>
      </c>
      <c r="D1937" s="107" t="str">
        <f aca="false">IF($E1937="","",INDEX(资金日记账!$D$4:$D$603,514))</f>
        <v/>
      </c>
      <c r="E1937" s="67" t="str">
        <f aca="false">IF(INDEX(资金日记账!$N$4:$S$603,514,4)=0,"",INDEX(资金日记账!$N$4:$S$603,514,4))</f>
        <v/>
      </c>
      <c r="F1937" s="99" t="str">
        <f aca="false">IF($E1937="","",IFERROR(INDEX(科目表!$A$4:$A$81,MATCH($E1937,科目表!$B$4:$B$81,0)),""))</f>
        <v/>
      </c>
      <c r="G1937" s="67" t="str">
        <f aca="false">IF($E1937="","",IFERROR(INDEX(科目表!$E$4:$E$81,MATCH($E1937,科目表!$B$4:$B$81,0)),""))</f>
        <v/>
      </c>
      <c r="H1937" s="70" t="str">
        <f aca="false">IF($E1937="","",N(INDEX(资金日记账!$N$4:$S$603,514,5)))</f>
        <v/>
      </c>
      <c r="I1937" s="70" t="str">
        <f aca="false">IF($E1937="","",N(INDEX(资金日记账!$N$4:$S$603,514,6)))</f>
        <v/>
      </c>
      <c r="J1937" s="67" t="str">
        <f aca="false">IF($E1937="","",INDEX(资金日记账!$E$4:$E$603,514))</f>
        <v/>
      </c>
      <c r="K1937" s="67" t="str">
        <f aca="false">IF($E1937="","",INDEX(资金日记账!$F$4:$F$603,514))</f>
        <v/>
      </c>
      <c r="L1937" s="107" t="str">
        <f aca="false">IF($E1937="","",INDEX(资金日记账!$X$4:$X$603,514))</f>
        <v/>
      </c>
      <c r="M1937" s="107"/>
      <c r="N1937" s="67" t="str">
        <f aca="false">IF($E1937="","",INDEX(资金日记账!$Y$4:$Y$603,514))</f>
        <v/>
      </c>
      <c r="O1937" s="67" t="str">
        <f aca="false">IF($E1937="","","自动B")</f>
        <v/>
      </c>
      <c r="P1937" s="18"/>
    </row>
    <row r="1938" customFormat="false" ht="18" hidden="false" customHeight="true" outlineLevel="0" collapsed="false">
      <c r="A1938" s="107" t="str">
        <f aca="false">IF($E1938="","",ROW()-3)</f>
        <v/>
      </c>
      <c r="B1938" s="110" t="str">
        <f aca="false">IF($E1938="","",INDEX(资金日记账!$B$4:$B$603,515))</f>
        <v/>
      </c>
      <c r="C1938" s="67" t="str">
        <f aca="false">IF($E1938="","",IF(INDEX(资金日记账!$W$4:$W$603,515)="","记-"&amp;TEXT($B1938,"YYYYMM")&amp;"-资金",INDEX(资金日记账!$W$4:$W$603,515)))</f>
        <v/>
      </c>
      <c r="D1938" s="107" t="str">
        <f aca="false">IF($E1938="","",INDEX(资金日记账!$D$4:$D$603,515))</f>
        <v/>
      </c>
      <c r="E1938" s="67" t="str">
        <f aca="false">IF(INDEX(资金日记账!$N$4:$S$603,515,1)=0,"",INDEX(资金日记账!$N$4:$S$603,515,1))</f>
        <v/>
      </c>
      <c r="F1938" s="99" t="str">
        <f aca="false">IF($E1938="","",IFERROR(INDEX(科目表!$A$4:$A$81,MATCH($E1938,科目表!$B$4:$B$81,0)),""))</f>
        <v/>
      </c>
      <c r="G1938" s="67" t="str">
        <f aca="false">IF($E1938="","",IFERROR(INDEX(科目表!$E$4:$E$81,MATCH($E1938,科目表!$B$4:$B$81,0)),""))</f>
        <v/>
      </c>
      <c r="H1938" s="70" t="str">
        <f aca="false">IF($E1938="","",N(INDEX(资金日记账!$N$4:$S$603,515,2)))</f>
        <v/>
      </c>
      <c r="I1938" s="70" t="str">
        <f aca="false">IF($E1938="","",N(INDEX(资金日记账!$N$4:$S$603,515,3)))</f>
        <v/>
      </c>
      <c r="J1938" s="67" t="str">
        <f aca="false">IF($E1938="","",INDEX(资金日记账!$E$4:$E$603,515))</f>
        <v/>
      </c>
      <c r="K1938" s="67" t="str">
        <f aca="false">IF($E1938="","",INDEX(资金日记账!$F$4:$F$603,515))</f>
        <v/>
      </c>
      <c r="L1938" s="107" t="str">
        <f aca="false">IF($E1938="","",INDEX(资金日记账!$X$4:$X$603,515))</f>
        <v/>
      </c>
      <c r="M1938" s="107"/>
      <c r="N1938" s="67" t="str">
        <f aca="false">IF($E1938="","",INDEX(资金日记账!$Y$4:$Y$603,515))</f>
        <v/>
      </c>
      <c r="O1938" s="67" t="str">
        <f aca="false">IF($E1938="","","自动B")</f>
        <v/>
      </c>
      <c r="P1938" s="18"/>
    </row>
    <row r="1939" customFormat="false" ht="18" hidden="false" customHeight="true" outlineLevel="0" collapsed="false">
      <c r="A1939" s="107" t="str">
        <f aca="false">IF($E1939="","",ROW()-3)</f>
        <v/>
      </c>
      <c r="B1939" s="110" t="str">
        <f aca="false">IF($E1939="","",INDEX(资金日记账!$B$4:$B$603,515))</f>
        <v/>
      </c>
      <c r="C1939" s="67" t="str">
        <f aca="false">IF($E1939="","",IF(INDEX(资金日记账!$W$4:$W$603,515)="","记-"&amp;TEXT($B1939,"YYYYMM")&amp;"-资金",INDEX(资金日记账!$W$4:$W$603,515)))</f>
        <v/>
      </c>
      <c r="D1939" s="107" t="str">
        <f aca="false">IF($E1939="","",INDEX(资金日记账!$D$4:$D$603,515))</f>
        <v/>
      </c>
      <c r="E1939" s="67" t="str">
        <f aca="false">IF(INDEX(资金日记账!$N$4:$S$603,515,4)=0,"",INDEX(资金日记账!$N$4:$S$603,515,4))</f>
        <v/>
      </c>
      <c r="F1939" s="99" t="str">
        <f aca="false">IF($E1939="","",IFERROR(INDEX(科目表!$A$4:$A$81,MATCH($E1939,科目表!$B$4:$B$81,0)),""))</f>
        <v/>
      </c>
      <c r="G1939" s="67" t="str">
        <f aca="false">IF($E1939="","",IFERROR(INDEX(科目表!$E$4:$E$81,MATCH($E1939,科目表!$B$4:$B$81,0)),""))</f>
        <v/>
      </c>
      <c r="H1939" s="70" t="str">
        <f aca="false">IF($E1939="","",N(INDEX(资金日记账!$N$4:$S$603,515,5)))</f>
        <v/>
      </c>
      <c r="I1939" s="70" t="str">
        <f aca="false">IF($E1939="","",N(INDEX(资金日记账!$N$4:$S$603,515,6)))</f>
        <v/>
      </c>
      <c r="J1939" s="67" t="str">
        <f aca="false">IF($E1939="","",INDEX(资金日记账!$E$4:$E$603,515))</f>
        <v/>
      </c>
      <c r="K1939" s="67" t="str">
        <f aca="false">IF($E1939="","",INDEX(资金日记账!$F$4:$F$603,515))</f>
        <v/>
      </c>
      <c r="L1939" s="107" t="str">
        <f aca="false">IF($E1939="","",INDEX(资金日记账!$X$4:$X$603,515))</f>
        <v/>
      </c>
      <c r="M1939" s="107"/>
      <c r="N1939" s="67" t="str">
        <f aca="false">IF($E1939="","",INDEX(资金日记账!$Y$4:$Y$603,515))</f>
        <v/>
      </c>
      <c r="O1939" s="67" t="str">
        <f aca="false">IF($E1939="","","自动B")</f>
        <v/>
      </c>
      <c r="P1939" s="18"/>
    </row>
    <row r="1940" customFormat="false" ht="18" hidden="false" customHeight="true" outlineLevel="0" collapsed="false">
      <c r="A1940" s="107" t="str">
        <f aca="false">IF($E1940="","",ROW()-3)</f>
        <v/>
      </c>
      <c r="B1940" s="110" t="str">
        <f aca="false">IF($E1940="","",INDEX(资金日记账!$B$4:$B$603,516))</f>
        <v/>
      </c>
      <c r="C1940" s="67" t="str">
        <f aca="false">IF($E1940="","",IF(INDEX(资金日记账!$W$4:$W$603,516)="","记-"&amp;TEXT($B1940,"YYYYMM")&amp;"-资金",INDEX(资金日记账!$W$4:$W$603,516)))</f>
        <v/>
      </c>
      <c r="D1940" s="107" t="str">
        <f aca="false">IF($E1940="","",INDEX(资金日记账!$D$4:$D$603,516))</f>
        <v/>
      </c>
      <c r="E1940" s="67" t="str">
        <f aca="false">IF(INDEX(资金日记账!$N$4:$S$603,516,1)=0,"",INDEX(资金日记账!$N$4:$S$603,516,1))</f>
        <v/>
      </c>
      <c r="F1940" s="99" t="str">
        <f aca="false">IF($E1940="","",IFERROR(INDEX(科目表!$A$4:$A$81,MATCH($E1940,科目表!$B$4:$B$81,0)),""))</f>
        <v/>
      </c>
      <c r="G1940" s="67" t="str">
        <f aca="false">IF($E1940="","",IFERROR(INDEX(科目表!$E$4:$E$81,MATCH($E1940,科目表!$B$4:$B$81,0)),""))</f>
        <v/>
      </c>
      <c r="H1940" s="70" t="str">
        <f aca="false">IF($E1940="","",N(INDEX(资金日记账!$N$4:$S$603,516,2)))</f>
        <v/>
      </c>
      <c r="I1940" s="70" t="str">
        <f aca="false">IF($E1940="","",N(INDEX(资金日记账!$N$4:$S$603,516,3)))</f>
        <v/>
      </c>
      <c r="J1940" s="67" t="str">
        <f aca="false">IF($E1940="","",INDEX(资金日记账!$E$4:$E$603,516))</f>
        <v/>
      </c>
      <c r="K1940" s="67" t="str">
        <f aca="false">IF($E1940="","",INDEX(资金日记账!$F$4:$F$603,516))</f>
        <v/>
      </c>
      <c r="L1940" s="107" t="str">
        <f aca="false">IF($E1940="","",INDEX(资金日记账!$X$4:$X$603,516))</f>
        <v/>
      </c>
      <c r="M1940" s="107"/>
      <c r="N1940" s="67" t="str">
        <f aca="false">IF($E1940="","",INDEX(资金日记账!$Y$4:$Y$603,516))</f>
        <v/>
      </c>
      <c r="O1940" s="67" t="str">
        <f aca="false">IF($E1940="","","自动B")</f>
        <v/>
      </c>
      <c r="P1940" s="18"/>
    </row>
    <row r="1941" customFormat="false" ht="18" hidden="false" customHeight="true" outlineLevel="0" collapsed="false">
      <c r="A1941" s="107" t="str">
        <f aca="false">IF($E1941="","",ROW()-3)</f>
        <v/>
      </c>
      <c r="B1941" s="110" t="str">
        <f aca="false">IF($E1941="","",INDEX(资金日记账!$B$4:$B$603,516))</f>
        <v/>
      </c>
      <c r="C1941" s="67" t="str">
        <f aca="false">IF($E1941="","",IF(INDEX(资金日记账!$W$4:$W$603,516)="","记-"&amp;TEXT($B1941,"YYYYMM")&amp;"-资金",INDEX(资金日记账!$W$4:$W$603,516)))</f>
        <v/>
      </c>
      <c r="D1941" s="107" t="str">
        <f aca="false">IF($E1941="","",INDEX(资金日记账!$D$4:$D$603,516))</f>
        <v/>
      </c>
      <c r="E1941" s="67" t="str">
        <f aca="false">IF(INDEX(资金日记账!$N$4:$S$603,516,4)=0,"",INDEX(资金日记账!$N$4:$S$603,516,4))</f>
        <v/>
      </c>
      <c r="F1941" s="99" t="str">
        <f aca="false">IF($E1941="","",IFERROR(INDEX(科目表!$A$4:$A$81,MATCH($E1941,科目表!$B$4:$B$81,0)),""))</f>
        <v/>
      </c>
      <c r="G1941" s="67" t="str">
        <f aca="false">IF($E1941="","",IFERROR(INDEX(科目表!$E$4:$E$81,MATCH($E1941,科目表!$B$4:$B$81,0)),""))</f>
        <v/>
      </c>
      <c r="H1941" s="70" t="str">
        <f aca="false">IF($E1941="","",N(INDEX(资金日记账!$N$4:$S$603,516,5)))</f>
        <v/>
      </c>
      <c r="I1941" s="70" t="str">
        <f aca="false">IF($E1941="","",N(INDEX(资金日记账!$N$4:$S$603,516,6)))</f>
        <v/>
      </c>
      <c r="J1941" s="67" t="str">
        <f aca="false">IF($E1941="","",INDEX(资金日记账!$E$4:$E$603,516))</f>
        <v/>
      </c>
      <c r="K1941" s="67" t="str">
        <f aca="false">IF($E1941="","",INDEX(资金日记账!$F$4:$F$603,516))</f>
        <v/>
      </c>
      <c r="L1941" s="107" t="str">
        <f aca="false">IF($E1941="","",INDEX(资金日记账!$X$4:$X$603,516))</f>
        <v/>
      </c>
      <c r="M1941" s="107"/>
      <c r="N1941" s="67" t="str">
        <f aca="false">IF($E1941="","",INDEX(资金日记账!$Y$4:$Y$603,516))</f>
        <v/>
      </c>
      <c r="O1941" s="67" t="str">
        <f aca="false">IF($E1941="","","自动B")</f>
        <v/>
      </c>
      <c r="P1941" s="18"/>
    </row>
    <row r="1942" customFormat="false" ht="18" hidden="false" customHeight="true" outlineLevel="0" collapsed="false">
      <c r="A1942" s="107" t="str">
        <f aca="false">IF($E1942="","",ROW()-3)</f>
        <v/>
      </c>
      <c r="B1942" s="110" t="str">
        <f aca="false">IF($E1942="","",INDEX(资金日记账!$B$4:$B$603,517))</f>
        <v/>
      </c>
      <c r="C1942" s="67" t="str">
        <f aca="false">IF($E1942="","",IF(INDEX(资金日记账!$W$4:$W$603,517)="","记-"&amp;TEXT($B1942,"YYYYMM")&amp;"-资金",INDEX(资金日记账!$W$4:$W$603,517)))</f>
        <v/>
      </c>
      <c r="D1942" s="107" t="str">
        <f aca="false">IF($E1942="","",INDEX(资金日记账!$D$4:$D$603,517))</f>
        <v/>
      </c>
      <c r="E1942" s="67" t="str">
        <f aca="false">IF(INDEX(资金日记账!$N$4:$S$603,517,1)=0,"",INDEX(资金日记账!$N$4:$S$603,517,1))</f>
        <v/>
      </c>
      <c r="F1942" s="99" t="str">
        <f aca="false">IF($E1942="","",IFERROR(INDEX(科目表!$A$4:$A$81,MATCH($E1942,科目表!$B$4:$B$81,0)),""))</f>
        <v/>
      </c>
      <c r="G1942" s="67" t="str">
        <f aca="false">IF($E1942="","",IFERROR(INDEX(科目表!$E$4:$E$81,MATCH($E1942,科目表!$B$4:$B$81,0)),""))</f>
        <v/>
      </c>
      <c r="H1942" s="70" t="str">
        <f aca="false">IF($E1942="","",N(INDEX(资金日记账!$N$4:$S$603,517,2)))</f>
        <v/>
      </c>
      <c r="I1942" s="70" t="str">
        <f aca="false">IF($E1942="","",N(INDEX(资金日记账!$N$4:$S$603,517,3)))</f>
        <v/>
      </c>
      <c r="J1942" s="67" t="str">
        <f aca="false">IF($E1942="","",INDEX(资金日记账!$E$4:$E$603,517))</f>
        <v/>
      </c>
      <c r="K1942" s="67" t="str">
        <f aca="false">IF($E1942="","",INDEX(资金日记账!$F$4:$F$603,517))</f>
        <v/>
      </c>
      <c r="L1942" s="107" t="str">
        <f aca="false">IF($E1942="","",INDEX(资金日记账!$X$4:$X$603,517))</f>
        <v/>
      </c>
      <c r="M1942" s="107"/>
      <c r="N1942" s="67" t="str">
        <f aca="false">IF($E1942="","",INDEX(资金日记账!$Y$4:$Y$603,517))</f>
        <v/>
      </c>
      <c r="O1942" s="67" t="str">
        <f aca="false">IF($E1942="","","自动B")</f>
        <v/>
      </c>
      <c r="P1942" s="18"/>
    </row>
    <row r="1943" customFormat="false" ht="18" hidden="false" customHeight="true" outlineLevel="0" collapsed="false">
      <c r="A1943" s="107" t="str">
        <f aca="false">IF($E1943="","",ROW()-3)</f>
        <v/>
      </c>
      <c r="B1943" s="110" t="str">
        <f aca="false">IF($E1943="","",INDEX(资金日记账!$B$4:$B$603,517))</f>
        <v/>
      </c>
      <c r="C1943" s="67" t="str">
        <f aca="false">IF($E1943="","",IF(INDEX(资金日记账!$W$4:$W$603,517)="","记-"&amp;TEXT($B1943,"YYYYMM")&amp;"-资金",INDEX(资金日记账!$W$4:$W$603,517)))</f>
        <v/>
      </c>
      <c r="D1943" s="107" t="str">
        <f aca="false">IF($E1943="","",INDEX(资金日记账!$D$4:$D$603,517))</f>
        <v/>
      </c>
      <c r="E1943" s="67" t="str">
        <f aca="false">IF(INDEX(资金日记账!$N$4:$S$603,517,4)=0,"",INDEX(资金日记账!$N$4:$S$603,517,4))</f>
        <v/>
      </c>
      <c r="F1943" s="99" t="str">
        <f aca="false">IF($E1943="","",IFERROR(INDEX(科目表!$A$4:$A$81,MATCH($E1943,科目表!$B$4:$B$81,0)),""))</f>
        <v/>
      </c>
      <c r="G1943" s="67" t="str">
        <f aca="false">IF($E1943="","",IFERROR(INDEX(科目表!$E$4:$E$81,MATCH($E1943,科目表!$B$4:$B$81,0)),""))</f>
        <v/>
      </c>
      <c r="H1943" s="70" t="str">
        <f aca="false">IF($E1943="","",N(INDEX(资金日记账!$N$4:$S$603,517,5)))</f>
        <v/>
      </c>
      <c r="I1943" s="70" t="str">
        <f aca="false">IF($E1943="","",N(INDEX(资金日记账!$N$4:$S$603,517,6)))</f>
        <v/>
      </c>
      <c r="J1943" s="67" t="str">
        <f aca="false">IF($E1943="","",INDEX(资金日记账!$E$4:$E$603,517))</f>
        <v/>
      </c>
      <c r="K1943" s="67" t="str">
        <f aca="false">IF($E1943="","",INDEX(资金日记账!$F$4:$F$603,517))</f>
        <v/>
      </c>
      <c r="L1943" s="107" t="str">
        <f aca="false">IF($E1943="","",INDEX(资金日记账!$X$4:$X$603,517))</f>
        <v/>
      </c>
      <c r="M1943" s="107"/>
      <c r="N1943" s="67" t="str">
        <f aca="false">IF($E1943="","",INDEX(资金日记账!$Y$4:$Y$603,517))</f>
        <v/>
      </c>
      <c r="O1943" s="67" t="str">
        <f aca="false">IF($E1943="","","自动B")</f>
        <v/>
      </c>
      <c r="P1943" s="18"/>
    </row>
    <row r="1944" customFormat="false" ht="18" hidden="false" customHeight="true" outlineLevel="0" collapsed="false">
      <c r="A1944" s="107" t="str">
        <f aca="false">IF($E1944="","",ROW()-3)</f>
        <v/>
      </c>
      <c r="B1944" s="110" t="str">
        <f aca="false">IF($E1944="","",INDEX(资金日记账!$B$4:$B$603,518))</f>
        <v/>
      </c>
      <c r="C1944" s="67" t="str">
        <f aca="false">IF($E1944="","",IF(INDEX(资金日记账!$W$4:$W$603,518)="","记-"&amp;TEXT($B1944,"YYYYMM")&amp;"-资金",INDEX(资金日记账!$W$4:$W$603,518)))</f>
        <v/>
      </c>
      <c r="D1944" s="107" t="str">
        <f aca="false">IF($E1944="","",INDEX(资金日记账!$D$4:$D$603,518))</f>
        <v/>
      </c>
      <c r="E1944" s="67" t="str">
        <f aca="false">IF(INDEX(资金日记账!$N$4:$S$603,518,1)=0,"",INDEX(资金日记账!$N$4:$S$603,518,1))</f>
        <v/>
      </c>
      <c r="F1944" s="99" t="str">
        <f aca="false">IF($E1944="","",IFERROR(INDEX(科目表!$A$4:$A$81,MATCH($E1944,科目表!$B$4:$B$81,0)),""))</f>
        <v/>
      </c>
      <c r="G1944" s="67" t="str">
        <f aca="false">IF($E1944="","",IFERROR(INDEX(科目表!$E$4:$E$81,MATCH($E1944,科目表!$B$4:$B$81,0)),""))</f>
        <v/>
      </c>
      <c r="H1944" s="70" t="str">
        <f aca="false">IF($E1944="","",N(INDEX(资金日记账!$N$4:$S$603,518,2)))</f>
        <v/>
      </c>
      <c r="I1944" s="70" t="str">
        <f aca="false">IF($E1944="","",N(INDEX(资金日记账!$N$4:$S$603,518,3)))</f>
        <v/>
      </c>
      <c r="J1944" s="67" t="str">
        <f aca="false">IF($E1944="","",INDEX(资金日记账!$E$4:$E$603,518))</f>
        <v/>
      </c>
      <c r="K1944" s="67" t="str">
        <f aca="false">IF($E1944="","",INDEX(资金日记账!$F$4:$F$603,518))</f>
        <v/>
      </c>
      <c r="L1944" s="107" t="str">
        <f aca="false">IF($E1944="","",INDEX(资金日记账!$X$4:$X$603,518))</f>
        <v/>
      </c>
      <c r="M1944" s="107"/>
      <c r="N1944" s="67" t="str">
        <f aca="false">IF($E1944="","",INDEX(资金日记账!$Y$4:$Y$603,518))</f>
        <v/>
      </c>
      <c r="O1944" s="67" t="str">
        <f aca="false">IF($E1944="","","自动B")</f>
        <v/>
      </c>
      <c r="P1944" s="18"/>
    </row>
    <row r="1945" customFormat="false" ht="18" hidden="false" customHeight="true" outlineLevel="0" collapsed="false">
      <c r="A1945" s="107" t="str">
        <f aca="false">IF($E1945="","",ROW()-3)</f>
        <v/>
      </c>
      <c r="B1945" s="110" t="str">
        <f aca="false">IF($E1945="","",INDEX(资金日记账!$B$4:$B$603,518))</f>
        <v/>
      </c>
      <c r="C1945" s="67" t="str">
        <f aca="false">IF($E1945="","",IF(INDEX(资金日记账!$W$4:$W$603,518)="","记-"&amp;TEXT($B1945,"YYYYMM")&amp;"-资金",INDEX(资金日记账!$W$4:$W$603,518)))</f>
        <v/>
      </c>
      <c r="D1945" s="107" t="str">
        <f aca="false">IF($E1945="","",INDEX(资金日记账!$D$4:$D$603,518))</f>
        <v/>
      </c>
      <c r="E1945" s="67" t="str">
        <f aca="false">IF(INDEX(资金日记账!$N$4:$S$603,518,4)=0,"",INDEX(资金日记账!$N$4:$S$603,518,4))</f>
        <v/>
      </c>
      <c r="F1945" s="99" t="str">
        <f aca="false">IF($E1945="","",IFERROR(INDEX(科目表!$A$4:$A$81,MATCH($E1945,科目表!$B$4:$B$81,0)),""))</f>
        <v/>
      </c>
      <c r="G1945" s="67" t="str">
        <f aca="false">IF($E1945="","",IFERROR(INDEX(科目表!$E$4:$E$81,MATCH($E1945,科目表!$B$4:$B$81,0)),""))</f>
        <v/>
      </c>
      <c r="H1945" s="70" t="str">
        <f aca="false">IF($E1945="","",N(INDEX(资金日记账!$N$4:$S$603,518,5)))</f>
        <v/>
      </c>
      <c r="I1945" s="70" t="str">
        <f aca="false">IF($E1945="","",N(INDEX(资金日记账!$N$4:$S$603,518,6)))</f>
        <v/>
      </c>
      <c r="J1945" s="67" t="str">
        <f aca="false">IF($E1945="","",INDEX(资金日记账!$E$4:$E$603,518))</f>
        <v/>
      </c>
      <c r="K1945" s="67" t="str">
        <f aca="false">IF($E1945="","",INDEX(资金日记账!$F$4:$F$603,518))</f>
        <v/>
      </c>
      <c r="L1945" s="107" t="str">
        <f aca="false">IF($E1945="","",INDEX(资金日记账!$X$4:$X$603,518))</f>
        <v/>
      </c>
      <c r="M1945" s="107"/>
      <c r="N1945" s="67" t="str">
        <f aca="false">IF($E1945="","",INDEX(资金日记账!$Y$4:$Y$603,518))</f>
        <v/>
      </c>
      <c r="O1945" s="67" t="str">
        <f aca="false">IF($E1945="","","自动B")</f>
        <v/>
      </c>
      <c r="P1945" s="18"/>
    </row>
    <row r="1946" customFormat="false" ht="18" hidden="false" customHeight="true" outlineLevel="0" collapsed="false">
      <c r="A1946" s="107" t="str">
        <f aca="false">IF($E1946="","",ROW()-3)</f>
        <v/>
      </c>
      <c r="B1946" s="110" t="str">
        <f aca="false">IF($E1946="","",INDEX(资金日记账!$B$4:$B$603,519))</f>
        <v/>
      </c>
      <c r="C1946" s="67" t="str">
        <f aca="false">IF($E1946="","",IF(INDEX(资金日记账!$W$4:$W$603,519)="","记-"&amp;TEXT($B1946,"YYYYMM")&amp;"-资金",INDEX(资金日记账!$W$4:$W$603,519)))</f>
        <v/>
      </c>
      <c r="D1946" s="107" t="str">
        <f aca="false">IF($E1946="","",INDEX(资金日记账!$D$4:$D$603,519))</f>
        <v/>
      </c>
      <c r="E1946" s="67" t="str">
        <f aca="false">IF(INDEX(资金日记账!$N$4:$S$603,519,1)=0,"",INDEX(资金日记账!$N$4:$S$603,519,1))</f>
        <v/>
      </c>
      <c r="F1946" s="99" t="str">
        <f aca="false">IF($E1946="","",IFERROR(INDEX(科目表!$A$4:$A$81,MATCH($E1946,科目表!$B$4:$B$81,0)),""))</f>
        <v/>
      </c>
      <c r="G1946" s="67" t="str">
        <f aca="false">IF($E1946="","",IFERROR(INDEX(科目表!$E$4:$E$81,MATCH($E1946,科目表!$B$4:$B$81,0)),""))</f>
        <v/>
      </c>
      <c r="H1946" s="70" t="str">
        <f aca="false">IF($E1946="","",N(INDEX(资金日记账!$N$4:$S$603,519,2)))</f>
        <v/>
      </c>
      <c r="I1946" s="70" t="str">
        <f aca="false">IF($E1946="","",N(INDEX(资金日记账!$N$4:$S$603,519,3)))</f>
        <v/>
      </c>
      <c r="J1946" s="67" t="str">
        <f aca="false">IF($E1946="","",INDEX(资金日记账!$E$4:$E$603,519))</f>
        <v/>
      </c>
      <c r="K1946" s="67" t="str">
        <f aca="false">IF($E1946="","",INDEX(资金日记账!$F$4:$F$603,519))</f>
        <v/>
      </c>
      <c r="L1946" s="107" t="str">
        <f aca="false">IF($E1946="","",INDEX(资金日记账!$X$4:$X$603,519))</f>
        <v/>
      </c>
      <c r="M1946" s="107"/>
      <c r="N1946" s="67" t="str">
        <f aca="false">IF($E1946="","",INDEX(资金日记账!$Y$4:$Y$603,519))</f>
        <v/>
      </c>
      <c r="O1946" s="67" t="str">
        <f aca="false">IF($E1946="","","自动B")</f>
        <v/>
      </c>
      <c r="P1946" s="18"/>
    </row>
    <row r="1947" customFormat="false" ht="18" hidden="false" customHeight="true" outlineLevel="0" collapsed="false">
      <c r="A1947" s="107" t="str">
        <f aca="false">IF($E1947="","",ROW()-3)</f>
        <v/>
      </c>
      <c r="B1947" s="110" t="str">
        <f aca="false">IF($E1947="","",INDEX(资金日记账!$B$4:$B$603,519))</f>
        <v/>
      </c>
      <c r="C1947" s="67" t="str">
        <f aca="false">IF($E1947="","",IF(INDEX(资金日记账!$W$4:$W$603,519)="","记-"&amp;TEXT($B1947,"YYYYMM")&amp;"-资金",INDEX(资金日记账!$W$4:$W$603,519)))</f>
        <v/>
      </c>
      <c r="D1947" s="107" t="str">
        <f aca="false">IF($E1947="","",INDEX(资金日记账!$D$4:$D$603,519))</f>
        <v/>
      </c>
      <c r="E1947" s="67" t="str">
        <f aca="false">IF(INDEX(资金日记账!$N$4:$S$603,519,4)=0,"",INDEX(资金日记账!$N$4:$S$603,519,4))</f>
        <v/>
      </c>
      <c r="F1947" s="99" t="str">
        <f aca="false">IF($E1947="","",IFERROR(INDEX(科目表!$A$4:$A$81,MATCH($E1947,科目表!$B$4:$B$81,0)),""))</f>
        <v/>
      </c>
      <c r="G1947" s="67" t="str">
        <f aca="false">IF($E1947="","",IFERROR(INDEX(科目表!$E$4:$E$81,MATCH($E1947,科目表!$B$4:$B$81,0)),""))</f>
        <v/>
      </c>
      <c r="H1947" s="70" t="str">
        <f aca="false">IF($E1947="","",N(INDEX(资金日记账!$N$4:$S$603,519,5)))</f>
        <v/>
      </c>
      <c r="I1947" s="70" t="str">
        <f aca="false">IF($E1947="","",N(INDEX(资金日记账!$N$4:$S$603,519,6)))</f>
        <v/>
      </c>
      <c r="J1947" s="67" t="str">
        <f aca="false">IF($E1947="","",INDEX(资金日记账!$E$4:$E$603,519))</f>
        <v/>
      </c>
      <c r="K1947" s="67" t="str">
        <f aca="false">IF($E1947="","",INDEX(资金日记账!$F$4:$F$603,519))</f>
        <v/>
      </c>
      <c r="L1947" s="107" t="str">
        <f aca="false">IF($E1947="","",INDEX(资金日记账!$X$4:$X$603,519))</f>
        <v/>
      </c>
      <c r="M1947" s="107"/>
      <c r="N1947" s="67" t="str">
        <f aca="false">IF($E1947="","",INDEX(资金日记账!$Y$4:$Y$603,519))</f>
        <v/>
      </c>
      <c r="O1947" s="67" t="str">
        <f aca="false">IF($E1947="","","自动B")</f>
        <v/>
      </c>
      <c r="P1947" s="18"/>
    </row>
    <row r="1948" customFormat="false" ht="18" hidden="false" customHeight="true" outlineLevel="0" collapsed="false">
      <c r="A1948" s="107" t="str">
        <f aca="false">IF($E1948="","",ROW()-3)</f>
        <v/>
      </c>
      <c r="B1948" s="110" t="str">
        <f aca="false">IF($E1948="","",INDEX(资金日记账!$B$4:$B$603,520))</f>
        <v/>
      </c>
      <c r="C1948" s="67" t="str">
        <f aca="false">IF($E1948="","",IF(INDEX(资金日记账!$W$4:$W$603,520)="","记-"&amp;TEXT($B1948,"YYYYMM")&amp;"-资金",INDEX(资金日记账!$W$4:$W$603,520)))</f>
        <v/>
      </c>
      <c r="D1948" s="107" t="str">
        <f aca="false">IF($E1948="","",INDEX(资金日记账!$D$4:$D$603,520))</f>
        <v/>
      </c>
      <c r="E1948" s="67" t="str">
        <f aca="false">IF(INDEX(资金日记账!$N$4:$S$603,520,1)=0,"",INDEX(资金日记账!$N$4:$S$603,520,1))</f>
        <v/>
      </c>
      <c r="F1948" s="99" t="str">
        <f aca="false">IF($E1948="","",IFERROR(INDEX(科目表!$A$4:$A$81,MATCH($E1948,科目表!$B$4:$B$81,0)),""))</f>
        <v/>
      </c>
      <c r="G1948" s="67" t="str">
        <f aca="false">IF($E1948="","",IFERROR(INDEX(科目表!$E$4:$E$81,MATCH($E1948,科目表!$B$4:$B$81,0)),""))</f>
        <v/>
      </c>
      <c r="H1948" s="70" t="str">
        <f aca="false">IF($E1948="","",N(INDEX(资金日记账!$N$4:$S$603,520,2)))</f>
        <v/>
      </c>
      <c r="I1948" s="70" t="str">
        <f aca="false">IF($E1948="","",N(INDEX(资金日记账!$N$4:$S$603,520,3)))</f>
        <v/>
      </c>
      <c r="J1948" s="67" t="str">
        <f aca="false">IF($E1948="","",INDEX(资金日记账!$E$4:$E$603,520))</f>
        <v/>
      </c>
      <c r="K1948" s="67" t="str">
        <f aca="false">IF($E1948="","",INDEX(资金日记账!$F$4:$F$603,520))</f>
        <v/>
      </c>
      <c r="L1948" s="107" t="str">
        <f aca="false">IF($E1948="","",INDEX(资金日记账!$X$4:$X$603,520))</f>
        <v/>
      </c>
      <c r="M1948" s="107"/>
      <c r="N1948" s="67" t="str">
        <f aca="false">IF($E1948="","",INDEX(资金日记账!$Y$4:$Y$603,520))</f>
        <v/>
      </c>
      <c r="O1948" s="67" t="str">
        <f aca="false">IF($E1948="","","自动B")</f>
        <v/>
      </c>
      <c r="P1948" s="18"/>
    </row>
    <row r="1949" customFormat="false" ht="18" hidden="false" customHeight="true" outlineLevel="0" collapsed="false">
      <c r="A1949" s="107" t="str">
        <f aca="false">IF($E1949="","",ROW()-3)</f>
        <v/>
      </c>
      <c r="B1949" s="110" t="str">
        <f aca="false">IF($E1949="","",INDEX(资金日记账!$B$4:$B$603,520))</f>
        <v/>
      </c>
      <c r="C1949" s="67" t="str">
        <f aca="false">IF($E1949="","",IF(INDEX(资金日记账!$W$4:$W$603,520)="","记-"&amp;TEXT($B1949,"YYYYMM")&amp;"-资金",INDEX(资金日记账!$W$4:$W$603,520)))</f>
        <v/>
      </c>
      <c r="D1949" s="107" t="str">
        <f aca="false">IF($E1949="","",INDEX(资金日记账!$D$4:$D$603,520))</f>
        <v/>
      </c>
      <c r="E1949" s="67" t="str">
        <f aca="false">IF(INDEX(资金日记账!$N$4:$S$603,520,4)=0,"",INDEX(资金日记账!$N$4:$S$603,520,4))</f>
        <v/>
      </c>
      <c r="F1949" s="99" t="str">
        <f aca="false">IF($E1949="","",IFERROR(INDEX(科目表!$A$4:$A$81,MATCH($E1949,科目表!$B$4:$B$81,0)),""))</f>
        <v/>
      </c>
      <c r="G1949" s="67" t="str">
        <f aca="false">IF($E1949="","",IFERROR(INDEX(科目表!$E$4:$E$81,MATCH($E1949,科目表!$B$4:$B$81,0)),""))</f>
        <v/>
      </c>
      <c r="H1949" s="70" t="str">
        <f aca="false">IF($E1949="","",N(INDEX(资金日记账!$N$4:$S$603,520,5)))</f>
        <v/>
      </c>
      <c r="I1949" s="70" t="str">
        <f aca="false">IF($E1949="","",N(INDEX(资金日记账!$N$4:$S$603,520,6)))</f>
        <v/>
      </c>
      <c r="J1949" s="67" t="str">
        <f aca="false">IF($E1949="","",INDEX(资金日记账!$E$4:$E$603,520))</f>
        <v/>
      </c>
      <c r="K1949" s="67" t="str">
        <f aca="false">IF($E1949="","",INDEX(资金日记账!$F$4:$F$603,520))</f>
        <v/>
      </c>
      <c r="L1949" s="107" t="str">
        <f aca="false">IF($E1949="","",INDEX(资金日记账!$X$4:$X$603,520))</f>
        <v/>
      </c>
      <c r="M1949" s="107"/>
      <c r="N1949" s="67" t="str">
        <f aca="false">IF($E1949="","",INDEX(资金日记账!$Y$4:$Y$603,520))</f>
        <v/>
      </c>
      <c r="O1949" s="67" t="str">
        <f aca="false">IF($E1949="","","自动B")</f>
        <v/>
      </c>
      <c r="P1949" s="18"/>
    </row>
    <row r="1950" customFormat="false" ht="18" hidden="false" customHeight="true" outlineLevel="0" collapsed="false">
      <c r="A1950" s="107" t="str">
        <f aca="false">IF($E1950="","",ROW()-3)</f>
        <v/>
      </c>
      <c r="B1950" s="110" t="str">
        <f aca="false">IF($E1950="","",INDEX(资金日记账!$B$4:$B$603,521))</f>
        <v/>
      </c>
      <c r="C1950" s="67" t="str">
        <f aca="false">IF($E1950="","",IF(INDEX(资金日记账!$W$4:$W$603,521)="","记-"&amp;TEXT($B1950,"YYYYMM")&amp;"-资金",INDEX(资金日记账!$W$4:$W$603,521)))</f>
        <v/>
      </c>
      <c r="D1950" s="107" t="str">
        <f aca="false">IF($E1950="","",INDEX(资金日记账!$D$4:$D$603,521))</f>
        <v/>
      </c>
      <c r="E1950" s="67" t="str">
        <f aca="false">IF(INDEX(资金日记账!$N$4:$S$603,521,1)=0,"",INDEX(资金日记账!$N$4:$S$603,521,1))</f>
        <v/>
      </c>
      <c r="F1950" s="99" t="str">
        <f aca="false">IF($E1950="","",IFERROR(INDEX(科目表!$A$4:$A$81,MATCH($E1950,科目表!$B$4:$B$81,0)),""))</f>
        <v/>
      </c>
      <c r="G1950" s="67" t="str">
        <f aca="false">IF($E1950="","",IFERROR(INDEX(科目表!$E$4:$E$81,MATCH($E1950,科目表!$B$4:$B$81,0)),""))</f>
        <v/>
      </c>
      <c r="H1950" s="70" t="str">
        <f aca="false">IF($E1950="","",N(INDEX(资金日记账!$N$4:$S$603,521,2)))</f>
        <v/>
      </c>
      <c r="I1950" s="70" t="str">
        <f aca="false">IF($E1950="","",N(INDEX(资金日记账!$N$4:$S$603,521,3)))</f>
        <v/>
      </c>
      <c r="J1950" s="67" t="str">
        <f aca="false">IF($E1950="","",INDEX(资金日记账!$E$4:$E$603,521))</f>
        <v/>
      </c>
      <c r="K1950" s="67" t="str">
        <f aca="false">IF($E1950="","",INDEX(资金日记账!$F$4:$F$603,521))</f>
        <v/>
      </c>
      <c r="L1950" s="107" t="str">
        <f aca="false">IF($E1950="","",INDEX(资金日记账!$X$4:$X$603,521))</f>
        <v/>
      </c>
      <c r="M1950" s="107"/>
      <c r="N1950" s="67" t="str">
        <f aca="false">IF($E1950="","",INDEX(资金日记账!$Y$4:$Y$603,521))</f>
        <v/>
      </c>
      <c r="O1950" s="67" t="str">
        <f aca="false">IF($E1950="","","自动B")</f>
        <v/>
      </c>
      <c r="P1950" s="18"/>
    </row>
    <row r="1951" customFormat="false" ht="18" hidden="false" customHeight="true" outlineLevel="0" collapsed="false">
      <c r="A1951" s="107" t="str">
        <f aca="false">IF($E1951="","",ROW()-3)</f>
        <v/>
      </c>
      <c r="B1951" s="110" t="str">
        <f aca="false">IF($E1951="","",INDEX(资金日记账!$B$4:$B$603,521))</f>
        <v/>
      </c>
      <c r="C1951" s="67" t="str">
        <f aca="false">IF($E1951="","",IF(INDEX(资金日记账!$W$4:$W$603,521)="","记-"&amp;TEXT($B1951,"YYYYMM")&amp;"-资金",INDEX(资金日记账!$W$4:$W$603,521)))</f>
        <v/>
      </c>
      <c r="D1951" s="107" t="str">
        <f aca="false">IF($E1951="","",INDEX(资金日记账!$D$4:$D$603,521))</f>
        <v/>
      </c>
      <c r="E1951" s="67" t="str">
        <f aca="false">IF(INDEX(资金日记账!$N$4:$S$603,521,4)=0,"",INDEX(资金日记账!$N$4:$S$603,521,4))</f>
        <v/>
      </c>
      <c r="F1951" s="99" t="str">
        <f aca="false">IF($E1951="","",IFERROR(INDEX(科目表!$A$4:$A$81,MATCH($E1951,科目表!$B$4:$B$81,0)),""))</f>
        <v/>
      </c>
      <c r="G1951" s="67" t="str">
        <f aca="false">IF($E1951="","",IFERROR(INDEX(科目表!$E$4:$E$81,MATCH($E1951,科目表!$B$4:$B$81,0)),""))</f>
        <v/>
      </c>
      <c r="H1951" s="70" t="str">
        <f aca="false">IF($E1951="","",N(INDEX(资金日记账!$N$4:$S$603,521,5)))</f>
        <v/>
      </c>
      <c r="I1951" s="70" t="str">
        <f aca="false">IF($E1951="","",N(INDEX(资金日记账!$N$4:$S$603,521,6)))</f>
        <v/>
      </c>
      <c r="J1951" s="67" t="str">
        <f aca="false">IF($E1951="","",INDEX(资金日记账!$E$4:$E$603,521))</f>
        <v/>
      </c>
      <c r="K1951" s="67" t="str">
        <f aca="false">IF($E1951="","",INDEX(资金日记账!$F$4:$F$603,521))</f>
        <v/>
      </c>
      <c r="L1951" s="107" t="str">
        <f aca="false">IF($E1951="","",INDEX(资金日记账!$X$4:$X$603,521))</f>
        <v/>
      </c>
      <c r="M1951" s="107"/>
      <c r="N1951" s="67" t="str">
        <f aca="false">IF($E1951="","",INDEX(资金日记账!$Y$4:$Y$603,521))</f>
        <v/>
      </c>
      <c r="O1951" s="67" t="str">
        <f aca="false">IF($E1951="","","自动B")</f>
        <v/>
      </c>
      <c r="P1951" s="18"/>
    </row>
    <row r="1952" customFormat="false" ht="18" hidden="false" customHeight="true" outlineLevel="0" collapsed="false">
      <c r="A1952" s="107" t="str">
        <f aca="false">IF($E1952="","",ROW()-3)</f>
        <v/>
      </c>
      <c r="B1952" s="110" t="str">
        <f aca="false">IF($E1952="","",INDEX(资金日记账!$B$4:$B$603,522))</f>
        <v/>
      </c>
      <c r="C1952" s="67" t="str">
        <f aca="false">IF($E1952="","",IF(INDEX(资金日记账!$W$4:$W$603,522)="","记-"&amp;TEXT($B1952,"YYYYMM")&amp;"-资金",INDEX(资金日记账!$W$4:$W$603,522)))</f>
        <v/>
      </c>
      <c r="D1952" s="107" t="str">
        <f aca="false">IF($E1952="","",INDEX(资金日记账!$D$4:$D$603,522))</f>
        <v/>
      </c>
      <c r="E1952" s="67" t="str">
        <f aca="false">IF(INDEX(资金日记账!$N$4:$S$603,522,1)=0,"",INDEX(资金日记账!$N$4:$S$603,522,1))</f>
        <v/>
      </c>
      <c r="F1952" s="99" t="str">
        <f aca="false">IF($E1952="","",IFERROR(INDEX(科目表!$A$4:$A$81,MATCH($E1952,科目表!$B$4:$B$81,0)),""))</f>
        <v/>
      </c>
      <c r="G1952" s="67" t="str">
        <f aca="false">IF($E1952="","",IFERROR(INDEX(科目表!$E$4:$E$81,MATCH($E1952,科目表!$B$4:$B$81,0)),""))</f>
        <v/>
      </c>
      <c r="H1952" s="70" t="str">
        <f aca="false">IF($E1952="","",N(INDEX(资金日记账!$N$4:$S$603,522,2)))</f>
        <v/>
      </c>
      <c r="I1952" s="70" t="str">
        <f aca="false">IF($E1952="","",N(INDEX(资金日记账!$N$4:$S$603,522,3)))</f>
        <v/>
      </c>
      <c r="J1952" s="67" t="str">
        <f aca="false">IF($E1952="","",INDEX(资金日记账!$E$4:$E$603,522))</f>
        <v/>
      </c>
      <c r="K1952" s="67" t="str">
        <f aca="false">IF($E1952="","",INDEX(资金日记账!$F$4:$F$603,522))</f>
        <v/>
      </c>
      <c r="L1952" s="107" t="str">
        <f aca="false">IF($E1952="","",INDEX(资金日记账!$X$4:$X$603,522))</f>
        <v/>
      </c>
      <c r="M1952" s="107"/>
      <c r="N1952" s="67" t="str">
        <f aca="false">IF($E1952="","",INDEX(资金日记账!$Y$4:$Y$603,522))</f>
        <v/>
      </c>
      <c r="O1952" s="67" t="str">
        <f aca="false">IF($E1952="","","自动B")</f>
        <v/>
      </c>
      <c r="P1952" s="18"/>
    </row>
    <row r="1953" customFormat="false" ht="18" hidden="false" customHeight="true" outlineLevel="0" collapsed="false">
      <c r="A1953" s="107" t="str">
        <f aca="false">IF($E1953="","",ROW()-3)</f>
        <v/>
      </c>
      <c r="B1953" s="110" t="str">
        <f aca="false">IF($E1953="","",INDEX(资金日记账!$B$4:$B$603,522))</f>
        <v/>
      </c>
      <c r="C1953" s="67" t="str">
        <f aca="false">IF($E1953="","",IF(INDEX(资金日记账!$W$4:$W$603,522)="","记-"&amp;TEXT($B1953,"YYYYMM")&amp;"-资金",INDEX(资金日记账!$W$4:$W$603,522)))</f>
        <v/>
      </c>
      <c r="D1953" s="107" t="str">
        <f aca="false">IF($E1953="","",INDEX(资金日记账!$D$4:$D$603,522))</f>
        <v/>
      </c>
      <c r="E1953" s="67" t="str">
        <f aca="false">IF(INDEX(资金日记账!$N$4:$S$603,522,4)=0,"",INDEX(资金日记账!$N$4:$S$603,522,4))</f>
        <v/>
      </c>
      <c r="F1953" s="99" t="str">
        <f aca="false">IF($E1953="","",IFERROR(INDEX(科目表!$A$4:$A$81,MATCH($E1953,科目表!$B$4:$B$81,0)),""))</f>
        <v/>
      </c>
      <c r="G1953" s="67" t="str">
        <f aca="false">IF($E1953="","",IFERROR(INDEX(科目表!$E$4:$E$81,MATCH($E1953,科目表!$B$4:$B$81,0)),""))</f>
        <v/>
      </c>
      <c r="H1953" s="70" t="str">
        <f aca="false">IF($E1953="","",N(INDEX(资金日记账!$N$4:$S$603,522,5)))</f>
        <v/>
      </c>
      <c r="I1953" s="70" t="str">
        <f aca="false">IF($E1953="","",N(INDEX(资金日记账!$N$4:$S$603,522,6)))</f>
        <v/>
      </c>
      <c r="J1953" s="67" t="str">
        <f aca="false">IF($E1953="","",INDEX(资金日记账!$E$4:$E$603,522))</f>
        <v/>
      </c>
      <c r="K1953" s="67" t="str">
        <f aca="false">IF($E1953="","",INDEX(资金日记账!$F$4:$F$603,522))</f>
        <v/>
      </c>
      <c r="L1953" s="107" t="str">
        <f aca="false">IF($E1953="","",INDEX(资金日记账!$X$4:$X$603,522))</f>
        <v/>
      </c>
      <c r="M1953" s="107"/>
      <c r="N1953" s="67" t="str">
        <f aca="false">IF($E1953="","",INDEX(资金日记账!$Y$4:$Y$603,522))</f>
        <v/>
      </c>
      <c r="O1953" s="67" t="str">
        <f aca="false">IF($E1953="","","自动B")</f>
        <v/>
      </c>
      <c r="P1953" s="18"/>
    </row>
    <row r="1954" customFormat="false" ht="18" hidden="false" customHeight="true" outlineLevel="0" collapsed="false">
      <c r="A1954" s="107" t="str">
        <f aca="false">IF($E1954="","",ROW()-3)</f>
        <v/>
      </c>
      <c r="B1954" s="110" t="str">
        <f aca="false">IF($E1954="","",INDEX(资金日记账!$B$4:$B$603,523))</f>
        <v/>
      </c>
      <c r="C1954" s="67" t="str">
        <f aca="false">IF($E1954="","",IF(INDEX(资金日记账!$W$4:$W$603,523)="","记-"&amp;TEXT($B1954,"YYYYMM")&amp;"-资金",INDEX(资金日记账!$W$4:$W$603,523)))</f>
        <v/>
      </c>
      <c r="D1954" s="107" t="str">
        <f aca="false">IF($E1954="","",INDEX(资金日记账!$D$4:$D$603,523))</f>
        <v/>
      </c>
      <c r="E1954" s="67" t="str">
        <f aca="false">IF(INDEX(资金日记账!$N$4:$S$603,523,1)=0,"",INDEX(资金日记账!$N$4:$S$603,523,1))</f>
        <v/>
      </c>
      <c r="F1954" s="99" t="str">
        <f aca="false">IF($E1954="","",IFERROR(INDEX(科目表!$A$4:$A$81,MATCH($E1954,科目表!$B$4:$B$81,0)),""))</f>
        <v/>
      </c>
      <c r="G1954" s="67" t="str">
        <f aca="false">IF($E1954="","",IFERROR(INDEX(科目表!$E$4:$E$81,MATCH($E1954,科目表!$B$4:$B$81,0)),""))</f>
        <v/>
      </c>
      <c r="H1954" s="70" t="str">
        <f aca="false">IF($E1954="","",N(INDEX(资金日记账!$N$4:$S$603,523,2)))</f>
        <v/>
      </c>
      <c r="I1954" s="70" t="str">
        <f aca="false">IF($E1954="","",N(INDEX(资金日记账!$N$4:$S$603,523,3)))</f>
        <v/>
      </c>
      <c r="J1954" s="67" t="str">
        <f aca="false">IF($E1954="","",INDEX(资金日记账!$E$4:$E$603,523))</f>
        <v/>
      </c>
      <c r="K1954" s="67" t="str">
        <f aca="false">IF($E1954="","",INDEX(资金日记账!$F$4:$F$603,523))</f>
        <v/>
      </c>
      <c r="L1954" s="107" t="str">
        <f aca="false">IF($E1954="","",INDEX(资金日记账!$X$4:$X$603,523))</f>
        <v/>
      </c>
      <c r="M1954" s="107"/>
      <c r="N1954" s="67" t="str">
        <f aca="false">IF($E1954="","",INDEX(资金日记账!$Y$4:$Y$603,523))</f>
        <v/>
      </c>
      <c r="O1954" s="67" t="str">
        <f aca="false">IF($E1954="","","自动B")</f>
        <v/>
      </c>
      <c r="P1954" s="18"/>
    </row>
    <row r="1955" customFormat="false" ht="18" hidden="false" customHeight="true" outlineLevel="0" collapsed="false">
      <c r="A1955" s="107" t="str">
        <f aca="false">IF($E1955="","",ROW()-3)</f>
        <v/>
      </c>
      <c r="B1955" s="110" t="str">
        <f aca="false">IF($E1955="","",INDEX(资金日记账!$B$4:$B$603,523))</f>
        <v/>
      </c>
      <c r="C1955" s="67" t="str">
        <f aca="false">IF($E1955="","",IF(INDEX(资金日记账!$W$4:$W$603,523)="","记-"&amp;TEXT($B1955,"YYYYMM")&amp;"-资金",INDEX(资金日记账!$W$4:$W$603,523)))</f>
        <v/>
      </c>
      <c r="D1955" s="107" t="str">
        <f aca="false">IF($E1955="","",INDEX(资金日记账!$D$4:$D$603,523))</f>
        <v/>
      </c>
      <c r="E1955" s="67" t="str">
        <f aca="false">IF(INDEX(资金日记账!$N$4:$S$603,523,4)=0,"",INDEX(资金日记账!$N$4:$S$603,523,4))</f>
        <v/>
      </c>
      <c r="F1955" s="99" t="str">
        <f aca="false">IF($E1955="","",IFERROR(INDEX(科目表!$A$4:$A$81,MATCH($E1955,科目表!$B$4:$B$81,0)),""))</f>
        <v/>
      </c>
      <c r="G1955" s="67" t="str">
        <f aca="false">IF($E1955="","",IFERROR(INDEX(科目表!$E$4:$E$81,MATCH($E1955,科目表!$B$4:$B$81,0)),""))</f>
        <v/>
      </c>
      <c r="H1955" s="70" t="str">
        <f aca="false">IF($E1955="","",N(INDEX(资金日记账!$N$4:$S$603,523,5)))</f>
        <v/>
      </c>
      <c r="I1955" s="70" t="str">
        <f aca="false">IF($E1955="","",N(INDEX(资金日记账!$N$4:$S$603,523,6)))</f>
        <v/>
      </c>
      <c r="J1955" s="67" t="str">
        <f aca="false">IF($E1955="","",INDEX(资金日记账!$E$4:$E$603,523))</f>
        <v/>
      </c>
      <c r="K1955" s="67" t="str">
        <f aca="false">IF($E1955="","",INDEX(资金日记账!$F$4:$F$603,523))</f>
        <v/>
      </c>
      <c r="L1955" s="107" t="str">
        <f aca="false">IF($E1955="","",INDEX(资金日记账!$X$4:$X$603,523))</f>
        <v/>
      </c>
      <c r="M1955" s="107"/>
      <c r="N1955" s="67" t="str">
        <f aca="false">IF($E1955="","",INDEX(资金日记账!$Y$4:$Y$603,523))</f>
        <v/>
      </c>
      <c r="O1955" s="67" t="str">
        <f aca="false">IF($E1955="","","自动B")</f>
        <v/>
      </c>
      <c r="P1955" s="18"/>
    </row>
    <row r="1956" customFormat="false" ht="18" hidden="false" customHeight="true" outlineLevel="0" collapsed="false">
      <c r="A1956" s="107" t="str">
        <f aca="false">IF($E1956="","",ROW()-3)</f>
        <v/>
      </c>
      <c r="B1956" s="110" t="str">
        <f aca="false">IF($E1956="","",INDEX(资金日记账!$B$4:$B$603,524))</f>
        <v/>
      </c>
      <c r="C1956" s="67" t="str">
        <f aca="false">IF($E1956="","",IF(INDEX(资金日记账!$W$4:$W$603,524)="","记-"&amp;TEXT($B1956,"YYYYMM")&amp;"-资金",INDEX(资金日记账!$W$4:$W$603,524)))</f>
        <v/>
      </c>
      <c r="D1956" s="107" t="str">
        <f aca="false">IF($E1956="","",INDEX(资金日记账!$D$4:$D$603,524))</f>
        <v/>
      </c>
      <c r="E1956" s="67" t="str">
        <f aca="false">IF(INDEX(资金日记账!$N$4:$S$603,524,1)=0,"",INDEX(资金日记账!$N$4:$S$603,524,1))</f>
        <v/>
      </c>
      <c r="F1956" s="99" t="str">
        <f aca="false">IF($E1956="","",IFERROR(INDEX(科目表!$A$4:$A$81,MATCH($E1956,科目表!$B$4:$B$81,0)),""))</f>
        <v/>
      </c>
      <c r="G1956" s="67" t="str">
        <f aca="false">IF($E1956="","",IFERROR(INDEX(科目表!$E$4:$E$81,MATCH($E1956,科目表!$B$4:$B$81,0)),""))</f>
        <v/>
      </c>
      <c r="H1956" s="70" t="str">
        <f aca="false">IF($E1956="","",N(INDEX(资金日记账!$N$4:$S$603,524,2)))</f>
        <v/>
      </c>
      <c r="I1956" s="70" t="str">
        <f aca="false">IF($E1956="","",N(INDEX(资金日记账!$N$4:$S$603,524,3)))</f>
        <v/>
      </c>
      <c r="J1956" s="67" t="str">
        <f aca="false">IF($E1956="","",INDEX(资金日记账!$E$4:$E$603,524))</f>
        <v/>
      </c>
      <c r="K1956" s="67" t="str">
        <f aca="false">IF($E1956="","",INDEX(资金日记账!$F$4:$F$603,524))</f>
        <v/>
      </c>
      <c r="L1956" s="107" t="str">
        <f aca="false">IF($E1956="","",INDEX(资金日记账!$X$4:$X$603,524))</f>
        <v/>
      </c>
      <c r="M1956" s="107"/>
      <c r="N1956" s="67" t="str">
        <f aca="false">IF($E1956="","",INDEX(资金日记账!$Y$4:$Y$603,524))</f>
        <v/>
      </c>
      <c r="O1956" s="67" t="str">
        <f aca="false">IF($E1956="","","自动B")</f>
        <v/>
      </c>
      <c r="P1956" s="18"/>
    </row>
    <row r="1957" customFormat="false" ht="18" hidden="false" customHeight="true" outlineLevel="0" collapsed="false">
      <c r="A1957" s="107" t="str">
        <f aca="false">IF($E1957="","",ROW()-3)</f>
        <v/>
      </c>
      <c r="B1957" s="110" t="str">
        <f aca="false">IF($E1957="","",INDEX(资金日记账!$B$4:$B$603,524))</f>
        <v/>
      </c>
      <c r="C1957" s="67" t="str">
        <f aca="false">IF($E1957="","",IF(INDEX(资金日记账!$W$4:$W$603,524)="","记-"&amp;TEXT($B1957,"YYYYMM")&amp;"-资金",INDEX(资金日记账!$W$4:$W$603,524)))</f>
        <v/>
      </c>
      <c r="D1957" s="107" t="str">
        <f aca="false">IF($E1957="","",INDEX(资金日记账!$D$4:$D$603,524))</f>
        <v/>
      </c>
      <c r="E1957" s="67" t="str">
        <f aca="false">IF(INDEX(资金日记账!$N$4:$S$603,524,4)=0,"",INDEX(资金日记账!$N$4:$S$603,524,4))</f>
        <v/>
      </c>
      <c r="F1957" s="99" t="str">
        <f aca="false">IF($E1957="","",IFERROR(INDEX(科目表!$A$4:$A$81,MATCH($E1957,科目表!$B$4:$B$81,0)),""))</f>
        <v/>
      </c>
      <c r="G1957" s="67" t="str">
        <f aca="false">IF($E1957="","",IFERROR(INDEX(科目表!$E$4:$E$81,MATCH($E1957,科目表!$B$4:$B$81,0)),""))</f>
        <v/>
      </c>
      <c r="H1957" s="70" t="str">
        <f aca="false">IF($E1957="","",N(INDEX(资金日记账!$N$4:$S$603,524,5)))</f>
        <v/>
      </c>
      <c r="I1957" s="70" t="str">
        <f aca="false">IF($E1957="","",N(INDEX(资金日记账!$N$4:$S$603,524,6)))</f>
        <v/>
      </c>
      <c r="J1957" s="67" t="str">
        <f aca="false">IF($E1957="","",INDEX(资金日记账!$E$4:$E$603,524))</f>
        <v/>
      </c>
      <c r="K1957" s="67" t="str">
        <f aca="false">IF($E1957="","",INDEX(资金日记账!$F$4:$F$603,524))</f>
        <v/>
      </c>
      <c r="L1957" s="107" t="str">
        <f aca="false">IF($E1957="","",INDEX(资金日记账!$X$4:$X$603,524))</f>
        <v/>
      </c>
      <c r="M1957" s="107"/>
      <c r="N1957" s="67" t="str">
        <f aca="false">IF($E1957="","",INDEX(资金日记账!$Y$4:$Y$603,524))</f>
        <v/>
      </c>
      <c r="O1957" s="67" t="str">
        <f aca="false">IF($E1957="","","自动B")</f>
        <v/>
      </c>
      <c r="P1957" s="18"/>
    </row>
    <row r="1958" customFormat="false" ht="18" hidden="false" customHeight="true" outlineLevel="0" collapsed="false">
      <c r="A1958" s="107" t="str">
        <f aca="false">IF($E1958="","",ROW()-3)</f>
        <v/>
      </c>
      <c r="B1958" s="110" t="str">
        <f aca="false">IF($E1958="","",INDEX(资金日记账!$B$4:$B$603,525))</f>
        <v/>
      </c>
      <c r="C1958" s="67" t="str">
        <f aca="false">IF($E1958="","",IF(INDEX(资金日记账!$W$4:$W$603,525)="","记-"&amp;TEXT($B1958,"YYYYMM")&amp;"-资金",INDEX(资金日记账!$W$4:$W$603,525)))</f>
        <v/>
      </c>
      <c r="D1958" s="107" t="str">
        <f aca="false">IF($E1958="","",INDEX(资金日记账!$D$4:$D$603,525))</f>
        <v/>
      </c>
      <c r="E1958" s="67" t="str">
        <f aca="false">IF(INDEX(资金日记账!$N$4:$S$603,525,1)=0,"",INDEX(资金日记账!$N$4:$S$603,525,1))</f>
        <v/>
      </c>
      <c r="F1958" s="99" t="str">
        <f aca="false">IF($E1958="","",IFERROR(INDEX(科目表!$A$4:$A$81,MATCH($E1958,科目表!$B$4:$B$81,0)),""))</f>
        <v/>
      </c>
      <c r="G1958" s="67" t="str">
        <f aca="false">IF($E1958="","",IFERROR(INDEX(科目表!$E$4:$E$81,MATCH($E1958,科目表!$B$4:$B$81,0)),""))</f>
        <v/>
      </c>
      <c r="H1958" s="70" t="str">
        <f aca="false">IF($E1958="","",N(INDEX(资金日记账!$N$4:$S$603,525,2)))</f>
        <v/>
      </c>
      <c r="I1958" s="70" t="str">
        <f aca="false">IF($E1958="","",N(INDEX(资金日记账!$N$4:$S$603,525,3)))</f>
        <v/>
      </c>
      <c r="J1958" s="67" t="str">
        <f aca="false">IF($E1958="","",INDEX(资金日记账!$E$4:$E$603,525))</f>
        <v/>
      </c>
      <c r="K1958" s="67" t="str">
        <f aca="false">IF($E1958="","",INDEX(资金日记账!$F$4:$F$603,525))</f>
        <v/>
      </c>
      <c r="L1958" s="107" t="str">
        <f aca="false">IF($E1958="","",INDEX(资金日记账!$X$4:$X$603,525))</f>
        <v/>
      </c>
      <c r="M1958" s="107"/>
      <c r="N1958" s="67" t="str">
        <f aca="false">IF($E1958="","",INDEX(资金日记账!$Y$4:$Y$603,525))</f>
        <v/>
      </c>
      <c r="O1958" s="67" t="str">
        <f aca="false">IF($E1958="","","自动B")</f>
        <v/>
      </c>
      <c r="P1958" s="18"/>
    </row>
    <row r="1959" customFormat="false" ht="18" hidden="false" customHeight="true" outlineLevel="0" collapsed="false">
      <c r="A1959" s="107" t="str">
        <f aca="false">IF($E1959="","",ROW()-3)</f>
        <v/>
      </c>
      <c r="B1959" s="110" t="str">
        <f aca="false">IF($E1959="","",INDEX(资金日记账!$B$4:$B$603,525))</f>
        <v/>
      </c>
      <c r="C1959" s="67" t="str">
        <f aca="false">IF($E1959="","",IF(INDEX(资金日记账!$W$4:$W$603,525)="","记-"&amp;TEXT($B1959,"YYYYMM")&amp;"-资金",INDEX(资金日记账!$W$4:$W$603,525)))</f>
        <v/>
      </c>
      <c r="D1959" s="107" t="str">
        <f aca="false">IF($E1959="","",INDEX(资金日记账!$D$4:$D$603,525))</f>
        <v/>
      </c>
      <c r="E1959" s="67" t="str">
        <f aca="false">IF(INDEX(资金日记账!$N$4:$S$603,525,4)=0,"",INDEX(资金日记账!$N$4:$S$603,525,4))</f>
        <v/>
      </c>
      <c r="F1959" s="99" t="str">
        <f aca="false">IF($E1959="","",IFERROR(INDEX(科目表!$A$4:$A$81,MATCH($E1959,科目表!$B$4:$B$81,0)),""))</f>
        <v/>
      </c>
      <c r="G1959" s="67" t="str">
        <f aca="false">IF($E1959="","",IFERROR(INDEX(科目表!$E$4:$E$81,MATCH($E1959,科目表!$B$4:$B$81,0)),""))</f>
        <v/>
      </c>
      <c r="H1959" s="70" t="str">
        <f aca="false">IF($E1959="","",N(INDEX(资金日记账!$N$4:$S$603,525,5)))</f>
        <v/>
      </c>
      <c r="I1959" s="70" t="str">
        <f aca="false">IF($E1959="","",N(INDEX(资金日记账!$N$4:$S$603,525,6)))</f>
        <v/>
      </c>
      <c r="J1959" s="67" t="str">
        <f aca="false">IF($E1959="","",INDEX(资金日记账!$E$4:$E$603,525))</f>
        <v/>
      </c>
      <c r="K1959" s="67" t="str">
        <f aca="false">IF($E1959="","",INDEX(资金日记账!$F$4:$F$603,525))</f>
        <v/>
      </c>
      <c r="L1959" s="107" t="str">
        <f aca="false">IF($E1959="","",INDEX(资金日记账!$X$4:$X$603,525))</f>
        <v/>
      </c>
      <c r="M1959" s="107"/>
      <c r="N1959" s="67" t="str">
        <f aca="false">IF($E1959="","",INDEX(资金日记账!$Y$4:$Y$603,525))</f>
        <v/>
      </c>
      <c r="O1959" s="67" t="str">
        <f aca="false">IF($E1959="","","自动B")</f>
        <v/>
      </c>
      <c r="P1959" s="18"/>
    </row>
    <row r="1960" customFormat="false" ht="18" hidden="false" customHeight="true" outlineLevel="0" collapsed="false">
      <c r="A1960" s="107" t="str">
        <f aca="false">IF($E1960="","",ROW()-3)</f>
        <v/>
      </c>
      <c r="B1960" s="110" t="str">
        <f aca="false">IF($E1960="","",INDEX(资金日记账!$B$4:$B$603,526))</f>
        <v/>
      </c>
      <c r="C1960" s="67" t="str">
        <f aca="false">IF($E1960="","",IF(INDEX(资金日记账!$W$4:$W$603,526)="","记-"&amp;TEXT($B1960,"YYYYMM")&amp;"-资金",INDEX(资金日记账!$W$4:$W$603,526)))</f>
        <v/>
      </c>
      <c r="D1960" s="107" t="str">
        <f aca="false">IF($E1960="","",INDEX(资金日记账!$D$4:$D$603,526))</f>
        <v/>
      </c>
      <c r="E1960" s="67" t="str">
        <f aca="false">IF(INDEX(资金日记账!$N$4:$S$603,526,1)=0,"",INDEX(资金日记账!$N$4:$S$603,526,1))</f>
        <v/>
      </c>
      <c r="F1960" s="99" t="str">
        <f aca="false">IF($E1960="","",IFERROR(INDEX(科目表!$A$4:$A$81,MATCH($E1960,科目表!$B$4:$B$81,0)),""))</f>
        <v/>
      </c>
      <c r="G1960" s="67" t="str">
        <f aca="false">IF($E1960="","",IFERROR(INDEX(科目表!$E$4:$E$81,MATCH($E1960,科目表!$B$4:$B$81,0)),""))</f>
        <v/>
      </c>
      <c r="H1960" s="70" t="str">
        <f aca="false">IF($E1960="","",N(INDEX(资金日记账!$N$4:$S$603,526,2)))</f>
        <v/>
      </c>
      <c r="I1960" s="70" t="str">
        <f aca="false">IF($E1960="","",N(INDEX(资金日记账!$N$4:$S$603,526,3)))</f>
        <v/>
      </c>
      <c r="J1960" s="67" t="str">
        <f aca="false">IF($E1960="","",INDEX(资金日记账!$E$4:$E$603,526))</f>
        <v/>
      </c>
      <c r="K1960" s="67" t="str">
        <f aca="false">IF($E1960="","",INDEX(资金日记账!$F$4:$F$603,526))</f>
        <v/>
      </c>
      <c r="L1960" s="107" t="str">
        <f aca="false">IF($E1960="","",INDEX(资金日记账!$X$4:$X$603,526))</f>
        <v/>
      </c>
      <c r="M1960" s="107"/>
      <c r="N1960" s="67" t="str">
        <f aca="false">IF($E1960="","",INDEX(资金日记账!$Y$4:$Y$603,526))</f>
        <v/>
      </c>
      <c r="O1960" s="67" t="str">
        <f aca="false">IF($E1960="","","自动B")</f>
        <v/>
      </c>
      <c r="P1960" s="18"/>
    </row>
    <row r="1961" customFormat="false" ht="18" hidden="false" customHeight="true" outlineLevel="0" collapsed="false">
      <c r="A1961" s="107" t="str">
        <f aca="false">IF($E1961="","",ROW()-3)</f>
        <v/>
      </c>
      <c r="B1961" s="110" t="str">
        <f aca="false">IF($E1961="","",INDEX(资金日记账!$B$4:$B$603,526))</f>
        <v/>
      </c>
      <c r="C1961" s="67" t="str">
        <f aca="false">IF($E1961="","",IF(INDEX(资金日记账!$W$4:$W$603,526)="","记-"&amp;TEXT($B1961,"YYYYMM")&amp;"-资金",INDEX(资金日记账!$W$4:$W$603,526)))</f>
        <v/>
      </c>
      <c r="D1961" s="107" t="str">
        <f aca="false">IF($E1961="","",INDEX(资金日记账!$D$4:$D$603,526))</f>
        <v/>
      </c>
      <c r="E1961" s="67" t="str">
        <f aca="false">IF(INDEX(资金日记账!$N$4:$S$603,526,4)=0,"",INDEX(资金日记账!$N$4:$S$603,526,4))</f>
        <v/>
      </c>
      <c r="F1961" s="99" t="str">
        <f aca="false">IF($E1961="","",IFERROR(INDEX(科目表!$A$4:$A$81,MATCH($E1961,科目表!$B$4:$B$81,0)),""))</f>
        <v/>
      </c>
      <c r="G1961" s="67" t="str">
        <f aca="false">IF($E1961="","",IFERROR(INDEX(科目表!$E$4:$E$81,MATCH($E1961,科目表!$B$4:$B$81,0)),""))</f>
        <v/>
      </c>
      <c r="H1961" s="70" t="str">
        <f aca="false">IF($E1961="","",N(INDEX(资金日记账!$N$4:$S$603,526,5)))</f>
        <v/>
      </c>
      <c r="I1961" s="70" t="str">
        <f aca="false">IF($E1961="","",N(INDEX(资金日记账!$N$4:$S$603,526,6)))</f>
        <v/>
      </c>
      <c r="J1961" s="67" t="str">
        <f aca="false">IF($E1961="","",INDEX(资金日记账!$E$4:$E$603,526))</f>
        <v/>
      </c>
      <c r="K1961" s="67" t="str">
        <f aca="false">IF($E1961="","",INDEX(资金日记账!$F$4:$F$603,526))</f>
        <v/>
      </c>
      <c r="L1961" s="107" t="str">
        <f aca="false">IF($E1961="","",INDEX(资金日记账!$X$4:$X$603,526))</f>
        <v/>
      </c>
      <c r="M1961" s="107"/>
      <c r="N1961" s="67" t="str">
        <f aca="false">IF($E1961="","",INDEX(资金日记账!$Y$4:$Y$603,526))</f>
        <v/>
      </c>
      <c r="O1961" s="67" t="str">
        <f aca="false">IF($E1961="","","自动B")</f>
        <v/>
      </c>
      <c r="P1961" s="18"/>
    </row>
    <row r="1962" customFormat="false" ht="18" hidden="false" customHeight="true" outlineLevel="0" collapsed="false">
      <c r="A1962" s="107" t="str">
        <f aca="false">IF($E1962="","",ROW()-3)</f>
        <v/>
      </c>
      <c r="B1962" s="110" t="str">
        <f aca="false">IF($E1962="","",INDEX(资金日记账!$B$4:$B$603,527))</f>
        <v/>
      </c>
      <c r="C1962" s="67" t="str">
        <f aca="false">IF($E1962="","",IF(INDEX(资金日记账!$W$4:$W$603,527)="","记-"&amp;TEXT($B1962,"YYYYMM")&amp;"-资金",INDEX(资金日记账!$W$4:$W$603,527)))</f>
        <v/>
      </c>
      <c r="D1962" s="107" t="str">
        <f aca="false">IF($E1962="","",INDEX(资金日记账!$D$4:$D$603,527))</f>
        <v/>
      </c>
      <c r="E1962" s="67" t="str">
        <f aca="false">IF(INDEX(资金日记账!$N$4:$S$603,527,1)=0,"",INDEX(资金日记账!$N$4:$S$603,527,1))</f>
        <v/>
      </c>
      <c r="F1962" s="99" t="str">
        <f aca="false">IF($E1962="","",IFERROR(INDEX(科目表!$A$4:$A$81,MATCH($E1962,科目表!$B$4:$B$81,0)),""))</f>
        <v/>
      </c>
      <c r="G1962" s="67" t="str">
        <f aca="false">IF($E1962="","",IFERROR(INDEX(科目表!$E$4:$E$81,MATCH($E1962,科目表!$B$4:$B$81,0)),""))</f>
        <v/>
      </c>
      <c r="H1962" s="70" t="str">
        <f aca="false">IF($E1962="","",N(INDEX(资金日记账!$N$4:$S$603,527,2)))</f>
        <v/>
      </c>
      <c r="I1962" s="70" t="str">
        <f aca="false">IF($E1962="","",N(INDEX(资金日记账!$N$4:$S$603,527,3)))</f>
        <v/>
      </c>
      <c r="J1962" s="67" t="str">
        <f aca="false">IF($E1962="","",INDEX(资金日记账!$E$4:$E$603,527))</f>
        <v/>
      </c>
      <c r="K1962" s="67" t="str">
        <f aca="false">IF($E1962="","",INDEX(资金日记账!$F$4:$F$603,527))</f>
        <v/>
      </c>
      <c r="L1962" s="107" t="str">
        <f aca="false">IF($E1962="","",INDEX(资金日记账!$X$4:$X$603,527))</f>
        <v/>
      </c>
      <c r="M1962" s="107"/>
      <c r="N1962" s="67" t="str">
        <f aca="false">IF($E1962="","",INDEX(资金日记账!$Y$4:$Y$603,527))</f>
        <v/>
      </c>
      <c r="O1962" s="67" t="str">
        <f aca="false">IF($E1962="","","自动B")</f>
        <v/>
      </c>
      <c r="P1962" s="18"/>
    </row>
    <row r="1963" customFormat="false" ht="18" hidden="false" customHeight="true" outlineLevel="0" collapsed="false">
      <c r="A1963" s="107" t="str">
        <f aca="false">IF($E1963="","",ROW()-3)</f>
        <v/>
      </c>
      <c r="B1963" s="110" t="str">
        <f aca="false">IF($E1963="","",INDEX(资金日记账!$B$4:$B$603,527))</f>
        <v/>
      </c>
      <c r="C1963" s="67" t="str">
        <f aca="false">IF($E1963="","",IF(INDEX(资金日记账!$W$4:$W$603,527)="","记-"&amp;TEXT($B1963,"YYYYMM")&amp;"-资金",INDEX(资金日记账!$W$4:$W$603,527)))</f>
        <v/>
      </c>
      <c r="D1963" s="107" t="str">
        <f aca="false">IF($E1963="","",INDEX(资金日记账!$D$4:$D$603,527))</f>
        <v/>
      </c>
      <c r="E1963" s="67" t="str">
        <f aca="false">IF(INDEX(资金日记账!$N$4:$S$603,527,4)=0,"",INDEX(资金日记账!$N$4:$S$603,527,4))</f>
        <v/>
      </c>
      <c r="F1963" s="99" t="str">
        <f aca="false">IF($E1963="","",IFERROR(INDEX(科目表!$A$4:$A$81,MATCH($E1963,科目表!$B$4:$B$81,0)),""))</f>
        <v/>
      </c>
      <c r="G1963" s="67" t="str">
        <f aca="false">IF($E1963="","",IFERROR(INDEX(科目表!$E$4:$E$81,MATCH($E1963,科目表!$B$4:$B$81,0)),""))</f>
        <v/>
      </c>
      <c r="H1963" s="70" t="str">
        <f aca="false">IF($E1963="","",N(INDEX(资金日记账!$N$4:$S$603,527,5)))</f>
        <v/>
      </c>
      <c r="I1963" s="70" t="str">
        <f aca="false">IF($E1963="","",N(INDEX(资金日记账!$N$4:$S$603,527,6)))</f>
        <v/>
      </c>
      <c r="J1963" s="67" t="str">
        <f aca="false">IF($E1963="","",INDEX(资金日记账!$E$4:$E$603,527))</f>
        <v/>
      </c>
      <c r="K1963" s="67" t="str">
        <f aca="false">IF($E1963="","",INDEX(资金日记账!$F$4:$F$603,527))</f>
        <v/>
      </c>
      <c r="L1963" s="107" t="str">
        <f aca="false">IF($E1963="","",INDEX(资金日记账!$X$4:$X$603,527))</f>
        <v/>
      </c>
      <c r="M1963" s="107"/>
      <c r="N1963" s="67" t="str">
        <f aca="false">IF($E1963="","",INDEX(资金日记账!$Y$4:$Y$603,527))</f>
        <v/>
      </c>
      <c r="O1963" s="67" t="str">
        <f aca="false">IF($E1963="","","自动B")</f>
        <v/>
      </c>
      <c r="P1963" s="18"/>
    </row>
    <row r="1964" customFormat="false" ht="18" hidden="false" customHeight="true" outlineLevel="0" collapsed="false">
      <c r="A1964" s="107" t="str">
        <f aca="false">IF($E1964="","",ROW()-3)</f>
        <v/>
      </c>
      <c r="B1964" s="110" t="str">
        <f aca="false">IF($E1964="","",INDEX(资金日记账!$B$4:$B$603,528))</f>
        <v/>
      </c>
      <c r="C1964" s="67" t="str">
        <f aca="false">IF($E1964="","",IF(INDEX(资金日记账!$W$4:$W$603,528)="","记-"&amp;TEXT($B1964,"YYYYMM")&amp;"-资金",INDEX(资金日记账!$W$4:$W$603,528)))</f>
        <v/>
      </c>
      <c r="D1964" s="107" t="str">
        <f aca="false">IF($E1964="","",INDEX(资金日记账!$D$4:$D$603,528))</f>
        <v/>
      </c>
      <c r="E1964" s="67" t="str">
        <f aca="false">IF(INDEX(资金日记账!$N$4:$S$603,528,1)=0,"",INDEX(资金日记账!$N$4:$S$603,528,1))</f>
        <v/>
      </c>
      <c r="F1964" s="99" t="str">
        <f aca="false">IF($E1964="","",IFERROR(INDEX(科目表!$A$4:$A$81,MATCH($E1964,科目表!$B$4:$B$81,0)),""))</f>
        <v/>
      </c>
      <c r="G1964" s="67" t="str">
        <f aca="false">IF($E1964="","",IFERROR(INDEX(科目表!$E$4:$E$81,MATCH($E1964,科目表!$B$4:$B$81,0)),""))</f>
        <v/>
      </c>
      <c r="H1964" s="70" t="str">
        <f aca="false">IF($E1964="","",N(INDEX(资金日记账!$N$4:$S$603,528,2)))</f>
        <v/>
      </c>
      <c r="I1964" s="70" t="str">
        <f aca="false">IF($E1964="","",N(INDEX(资金日记账!$N$4:$S$603,528,3)))</f>
        <v/>
      </c>
      <c r="J1964" s="67" t="str">
        <f aca="false">IF($E1964="","",INDEX(资金日记账!$E$4:$E$603,528))</f>
        <v/>
      </c>
      <c r="K1964" s="67" t="str">
        <f aca="false">IF($E1964="","",INDEX(资金日记账!$F$4:$F$603,528))</f>
        <v/>
      </c>
      <c r="L1964" s="107" t="str">
        <f aca="false">IF($E1964="","",INDEX(资金日记账!$X$4:$X$603,528))</f>
        <v/>
      </c>
      <c r="M1964" s="107"/>
      <c r="N1964" s="67" t="str">
        <f aca="false">IF($E1964="","",INDEX(资金日记账!$Y$4:$Y$603,528))</f>
        <v/>
      </c>
      <c r="O1964" s="67" t="str">
        <f aca="false">IF($E1964="","","自动B")</f>
        <v/>
      </c>
      <c r="P1964" s="18"/>
    </row>
    <row r="1965" customFormat="false" ht="18" hidden="false" customHeight="true" outlineLevel="0" collapsed="false">
      <c r="A1965" s="107" t="str">
        <f aca="false">IF($E1965="","",ROW()-3)</f>
        <v/>
      </c>
      <c r="B1965" s="110" t="str">
        <f aca="false">IF($E1965="","",INDEX(资金日记账!$B$4:$B$603,528))</f>
        <v/>
      </c>
      <c r="C1965" s="67" t="str">
        <f aca="false">IF($E1965="","",IF(INDEX(资金日记账!$W$4:$W$603,528)="","记-"&amp;TEXT($B1965,"YYYYMM")&amp;"-资金",INDEX(资金日记账!$W$4:$W$603,528)))</f>
        <v/>
      </c>
      <c r="D1965" s="107" t="str">
        <f aca="false">IF($E1965="","",INDEX(资金日记账!$D$4:$D$603,528))</f>
        <v/>
      </c>
      <c r="E1965" s="67" t="str">
        <f aca="false">IF(INDEX(资金日记账!$N$4:$S$603,528,4)=0,"",INDEX(资金日记账!$N$4:$S$603,528,4))</f>
        <v/>
      </c>
      <c r="F1965" s="99" t="str">
        <f aca="false">IF($E1965="","",IFERROR(INDEX(科目表!$A$4:$A$81,MATCH($E1965,科目表!$B$4:$B$81,0)),""))</f>
        <v/>
      </c>
      <c r="G1965" s="67" t="str">
        <f aca="false">IF($E1965="","",IFERROR(INDEX(科目表!$E$4:$E$81,MATCH($E1965,科目表!$B$4:$B$81,0)),""))</f>
        <v/>
      </c>
      <c r="H1965" s="70" t="str">
        <f aca="false">IF($E1965="","",N(INDEX(资金日记账!$N$4:$S$603,528,5)))</f>
        <v/>
      </c>
      <c r="I1965" s="70" t="str">
        <f aca="false">IF($E1965="","",N(INDEX(资金日记账!$N$4:$S$603,528,6)))</f>
        <v/>
      </c>
      <c r="J1965" s="67" t="str">
        <f aca="false">IF($E1965="","",INDEX(资金日记账!$E$4:$E$603,528))</f>
        <v/>
      </c>
      <c r="K1965" s="67" t="str">
        <f aca="false">IF($E1965="","",INDEX(资金日记账!$F$4:$F$603,528))</f>
        <v/>
      </c>
      <c r="L1965" s="107" t="str">
        <f aca="false">IF($E1965="","",INDEX(资金日记账!$X$4:$X$603,528))</f>
        <v/>
      </c>
      <c r="M1965" s="107"/>
      <c r="N1965" s="67" t="str">
        <f aca="false">IF($E1965="","",INDEX(资金日记账!$Y$4:$Y$603,528))</f>
        <v/>
      </c>
      <c r="O1965" s="67" t="str">
        <f aca="false">IF($E1965="","","自动B")</f>
        <v/>
      </c>
      <c r="P1965" s="18"/>
    </row>
    <row r="1966" customFormat="false" ht="18" hidden="false" customHeight="true" outlineLevel="0" collapsed="false">
      <c r="A1966" s="107" t="str">
        <f aca="false">IF($E1966="","",ROW()-3)</f>
        <v/>
      </c>
      <c r="B1966" s="110" t="str">
        <f aca="false">IF($E1966="","",INDEX(资金日记账!$B$4:$B$603,529))</f>
        <v/>
      </c>
      <c r="C1966" s="67" t="str">
        <f aca="false">IF($E1966="","",IF(INDEX(资金日记账!$W$4:$W$603,529)="","记-"&amp;TEXT($B1966,"YYYYMM")&amp;"-资金",INDEX(资金日记账!$W$4:$W$603,529)))</f>
        <v/>
      </c>
      <c r="D1966" s="107" t="str">
        <f aca="false">IF($E1966="","",INDEX(资金日记账!$D$4:$D$603,529))</f>
        <v/>
      </c>
      <c r="E1966" s="67" t="str">
        <f aca="false">IF(INDEX(资金日记账!$N$4:$S$603,529,1)=0,"",INDEX(资金日记账!$N$4:$S$603,529,1))</f>
        <v/>
      </c>
      <c r="F1966" s="99" t="str">
        <f aca="false">IF($E1966="","",IFERROR(INDEX(科目表!$A$4:$A$81,MATCH($E1966,科目表!$B$4:$B$81,0)),""))</f>
        <v/>
      </c>
      <c r="G1966" s="67" t="str">
        <f aca="false">IF($E1966="","",IFERROR(INDEX(科目表!$E$4:$E$81,MATCH($E1966,科目表!$B$4:$B$81,0)),""))</f>
        <v/>
      </c>
      <c r="H1966" s="70" t="str">
        <f aca="false">IF($E1966="","",N(INDEX(资金日记账!$N$4:$S$603,529,2)))</f>
        <v/>
      </c>
      <c r="I1966" s="70" t="str">
        <f aca="false">IF($E1966="","",N(INDEX(资金日记账!$N$4:$S$603,529,3)))</f>
        <v/>
      </c>
      <c r="J1966" s="67" t="str">
        <f aca="false">IF($E1966="","",INDEX(资金日记账!$E$4:$E$603,529))</f>
        <v/>
      </c>
      <c r="K1966" s="67" t="str">
        <f aca="false">IF($E1966="","",INDEX(资金日记账!$F$4:$F$603,529))</f>
        <v/>
      </c>
      <c r="L1966" s="107" t="str">
        <f aca="false">IF($E1966="","",INDEX(资金日记账!$X$4:$X$603,529))</f>
        <v/>
      </c>
      <c r="M1966" s="107"/>
      <c r="N1966" s="67" t="str">
        <f aca="false">IF($E1966="","",INDEX(资金日记账!$Y$4:$Y$603,529))</f>
        <v/>
      </c>
      <c r="O1966" s="67" t="str">
        <f aca="false">IF($E1966="","","自动B")</f>
        <v/>
      </c>
      <c r="P1966" s="18"/>
    </row>
    <row r="1967" customFormat="false" ht="18" hidden="false" customHeight="true" outlineLevel="0" collapsed="false">
      <c r="A1967" s="107" t="str">
        <f aca="false">IF($E1967="","",ROW()-3)</f>
        <v/>
      </c>
      <c r="B1967" s="110" t="str">
        <f aca="false">IF($E1967="","",INDEX(资金日记账!$B$4:$B$603,529))</f>
        <v/>
      </c>
      <c r="C1967" s="67" t="str">
        <f aca="false">IF($E1967="","",IF(INDEX(资金日记账!$W$4:$W$603,529)="","记-"&amp;TEXT($B1967,"YYYYMM")&amp;"-资金",INDEX(资金日记账!$W$4:$W$603,529)))</f>
        <v/>
      </c>
      <c r="D1967" s="107" t="str">
        <f aca="false">IF($E1967="","",INDEX(资金日记账!$D$4:$D$603,529))</f>
        <v/>
      </c>
      <c r="E1967" s="67" t="str">
        <f aca="false">IF(INDEX(资金日记账!$N$4:$S$603,529,4)=0,"",INDEX(资金日记账!$N$4:$S$603,529,4))</f>
        <v/>
      </c>
      <c r="F1967" s="99" t="str">
        <f aca="false">IF($E1967="","",IFERROR(INDEX(科目表!$A$4:$A$81,MATCH($E1967,科目表!$B$4:$B$81,0)),""))</f>
        <v/>
      </c>
      <c r="G1967" s="67" t="str">
        <f aca="false">IF($E1967="","",IFERROR(INDEX(科目表!$E$4:$E$81,MATCH($E1967,科目表!$B$4:$B$81,0)),""))</f>
        <v/>
      </c>
      <c r="H1967" s="70" t="str">
        <f aca="false">IF($E1967="","",N(INDEX(资金日记账!$N$4:$S$603,529,5)))</f>
        <v/>
      </c>
      <c r="I1967" s="70" t="str">
        <f aca="false">IF($E1967="","",N(INDEX(资金日记账!$N$4:$S$603,529,6)))</f>
        <v/>
      </c>
      <c r="J1967" s="67" t="str">
        <f aca="false">IF($E1967="","",INDEX(资金日记账!$E$4:$E$603,529))</f>
        <v/>
      </c>
      <c r="K1967" s="67" t="str">
        <f aca="false">IF($E1967="","",INDEX(资金日记账!$F$4:$F$603,529))</f>
        <v/>
      </c>
      <c r="L1967" s="107" t="str">
        <f aca="false">IF($E1967="","",INDEX(资金日记账!$X$4:$X$603,529))</f>
        <v/>
      </c>
      <c r="M1967" s="107"/>
      <c r="N1967" s="67" t="str">
        <f aca="false">IF($E1967="","",INDEX(资金日记账!$Y$4:$Y$603,529))</f>
        <v/>
      </c>
      <c r="O1967" s="67" t="str">
        <f aca="false">IF($E1967="","","自动B")</f>
        <v/>
      </c>
      <c r="P1967" s="18"/>
    </row>
    <row r="1968" customFormat="false" ht="18" hidden="false" customHeight="true" outlineLevel="0" collapsed="false">
      <c r="A1968" s="107" t="str">
        <f aca="false">IF($E1968="","",ROW()-3)</f>
        <v/>
      </c>
      <c r="B1968" s="110" t="str">
        <f aca="false">IF($E1968="","",INDEX(资金日记账!$B$4:$B$603,530))</f>
        <v/>
      </c>
      <c r="C1968" s="67" t="str">
        <f aca="false">IF($E1968="","",IF(INDEX(资金日记账!$W$4:$W$603,530)="","记-"&amp;TEXT($B1968,"YYYYMM")&amp;"-资金",INDEX(资金日记账!$W$4:$W$603,530)))</f>
        <v/>
      </c>
      <c r="D1968" s="107" t="str">
        <f aca="false">IF($E1968="","",INDEX(资金日记账!$D$4:$D$603,530))</f>
        <v/>
      </c>
      <c r="E1968" s="67" t="str">
        <f aca="false">IF(INDEX(资金日记账!$N$4:$S$603,530,1)=0,"",INDEX(资金日记账!$N$4:$S$603,530,1))</f>
        <v/>
      </c>
      <c r="F1968" s="99" t="str">
        <f aca="false">IF($E1968="","",IFERROR(INDEX(科目表!$A$4:$A$81,MATCH($E1968,科目表!$B$4:$B$81,0)),""))</f>
        <v/>
      </c>
      <c r="G1968" s="67" t="str">
        <f aca="false">IF($E1968="","",IFERROR(INDEX(科目表!$E$4:$E$81,MATCH($E1968,科目表!$B$4:$B$81,0)),""))</f>
        <v/>
      </c>
      <c r="H1968" s="70" t="str">
        <f aca="false">IF($E1968="","",N(INDEX(资金日记账!$N$4:$S$603,530,2)))</f>
        <v/>
      </c>
      <c r="I1968" s="70" t="str">
        <f aca="false">IF($E1968="","",N(INDEX(资金日记账!$N$4:$S$603,530,3)))</f>
        <v/>
      </c>
      <c r="J1968" s="67" t="str">
        <f aca="false">IF($E1968="","",INDEX(资金日记账!$E$4:$E$603,530))</f>
        <v/>
      </c>
      <c r="K1968" s="67" t="str">
        <f aca="false">IF($E1968="","",INDEX(资金日记账!$F$4:$F$603,530))</f>
        <v/>
      </c>
      <c r="L1968" s="107" t="str">
        <f aca="false">IF($E1968="","",INDEX(资金日记账!$X$4:$X$603,530))</f>
        <v/>
      </c>
      <c r="M1968" s="107"/>
      <c r="N1968" s="67" t="str">
        <f aca="false">IF($E1968="","",INDEX(资金日记账!$Y$4:$Y$603,530))</f>
        <v/>
      </c>
      <c r="O1968" s="67" t="str">
        <f aca="false">IF($E1968="","","自动B")</f>
        <v/>
      </c>
      <c r="P1968" s="18"/>
    </row>
    <row r="1969" customFormat="false" ht="18" hidden="false" customHeight="true" outlineLevel="0" collapsed="false">
      <c r="A1969" s="107" t="str">
        <f aca="false">IF($E1969="","",ROW()-3)</f>
        <v/>
      </c>
      <c r="B1969" s="110" t="str">
        <f aca="false">IF($E1969="","",INDEX(资金日记账!$B$4:$B$603,530))</f>
        <v/>
      </c>
      <c r="C1969" s="67" t="str">
        <f aca="false">IF($E1969="","",IF(INDEX(资金日记账!$W$4:$W$603,530)="","记-"&amp;TEXT($B1969,"YYYYMM")&amp;"-资金",INDEX(资金日记账!$W$4:$W$603,530)))</f>
        <v/>
      </c>
      <c r="D1969" s="107" t="str">
        <f aca="false">IF($E1969="","",INDEX(资金日记账!$D$4:$D$603,530))</f>
        <v/>
      </c>
      <c r="E1969" s="67" t="str">
        <f aca="false">IF(INDEX(资金日记账!$N$4:$S$603,530,4)=0,"",INDEX(资金日记账!$N$4:$S$603,530,4))</f>
        <v/>
      </c>
      <c r="F1969" s="99" t="str">
        <f aca="false">IF($E1969="","",IFERROR(INDEX(科目表!$A$4:$A$81,MATCH($E1969,科目表!$B$4:$B$81,0)),""))</f>
        <v/>
      </c>
      <c r="G1969" s="67" t="str">
        <f aca="false">IF($E1969="","",IFERROR(INDEX(科目表!$E$4:$E$81,MATCH($E1969,科目表!$B$4:$B$81,0)),""))</f>
        <v/>
      </c>
      <c r="H1969" s="70" t="str">
        <f aca="false">IF($E1969="","",N(INDEX(资金日记账!$N$4:$S$603,530,5)))</f>
        <v/>
      </c>
      <c r="I1969" s="70" t="str">
        <f aca="false">IF($E1969="","",N(INDEX(资金日记账!$N$4:$S$603,530,6)))</f>
        <v/>
      </c>
      <c r="J1969" s="67" t="str">
        <f aca="false">IF($E1969="","",INDEX(资金日记账!$E$4:$E$603,530))</f>
        <v/>
      </c>
      <c r="K1969" s="67" t="str">
        <f aca="false">IF($E1969="","",INDEX(资金日记账!$F$4:$F$603,530))</f>
        <v/>
      </c>
      <c r="L1969" s="107" t="str">
        <f aca="false">IF($E1969="","",INDEX(资金日记账!$X$4:$X$603,530))</f>
        <v/>
      </c>
      <c r="M1969" s="107"/>
      <c r="N1969" s="67" t="str">
        <f aca="false">IF($E1969="","",INDEX(资金日记账!$Y$4:$Y$603,530))</f>
        <v/>
      </c>
      <c r="O1969" s="67" t="str">
        <f aca="false">IF($E1969="","","自动B")</f>
        <v/>
      </c>
      <c r="P1969" s="18"/>
    </row>
    <row r="1970" customFormat="false" ht="18" hidden="false" customHeight="true" outlineLevel="0" collapsed="false">
      <c r="A1970" s="107" t="str">
        <f aca="false">IF($E1970="","",ROW()-3)</f>
        <v/>
      </c>
      <c r="B1970" s="110" t="str">
        <f aca="false">IF($E1970="","",INDEX(资金日记账!$B$4:$B$603,531))</f>
        <v/>
      </c>
      <c r="C1970" s="67" t="str">
        <f aca="false">IF($E1970="","",IF(INDEX(资金日记账!$W$4:$W$603,531)="","记-"&amp;TEXT($B1970,"YYYYMM")&amp;"-资金",INDEX(资金日记账!$W$4:$W$603,531)))</f>
        <v/>
      </c>
      <c r="D1970" s="107" t="str">
        <f aca="false">IF($E1970="","",INDEX(资金日记账!$D$4:$D$603,531))</f>
        <v/>
      </c>
      <c r="E1970" s="67" t="str">
        <f aca="false">IF(INDEX(资金日记账!$N$4:$S$603,531,1)=0,"",INDEX(资金日记账!$N$4:$S$603,531,1))</f>
        <v/>
      </c>
      <c r="F1970" s="99" t="str">
        <f aca="false">IF($E1970="","",IFERROR(INDEX(科目表!$A$4:$A$81,MATCH($E1970,科目表!$B$4:$B$81,0)),""))</f>
        <v/>
      </c>
      <c r="G1970" s="67" t="str">
        <f aca="false">IF($E1970="","",IFERROR(INDEX(科目表!$E$4:$E$81,MATCH($E1970,科目表!$B$4:$B$81,0)),""))</f>
        <v/>
      </c>
      <c r="H1970" s="70" t="str">
        <f aca="false">IF($E1970="","",N(INDEX(资金日记账!$N$4:$S$603,531,2)))</f>
        <v/>
      </c>
      <c r="I1970" s="70" t="str">
        <f aca="false">IF($E1970="","",N(INDEX(资金日记账!$N$4:$S$603,531,3)))</f>
        <v/>
      </c>
      <c r="J1970" s="67" t="str">
        <f aca="false">IF($E1970="","",INDEX(资金日记账!$E$4:$E$603,531))</f>
        <v/>
      </c>
      <c r="K1970" s="67" t="str">
        <f aca="false">IF($E1970="","",INDEX(资金日记账!$F$4:$F$603,531))</f>
        <v/>
      </c>
      <c r="L1970" s="107" t="str">
        <f aca="false">IF($E1970="","",INDEX(资金日记账!$X$4:$X$603,531))</f>
        <v/>
      </c>
      <c r="M1970" s="107"/>
      <c r="N1970" s="67" t="str">
        <f aca="false">IF($E1970="","",INDEX(资金日记账!$Y$4:$Y$603,531))</f>
        <v/>
      </c>
      <c r="O1970" s="67" t="str">
        <f aca="false">IF($E1970="","","自动B")</f>
        <v/>
      </c>
      <c r="P1970" s="18"/>
    </row>
    <row r="1971" customFormat="false" ht="18" hidden="false" customHeight="true" outlineLevel="0" collapsed="false">
      <c r="A1971" s="107" t="str">
        <f aca="false">IF($E1971="","",ROW()-3)</f>
        <v/>
      </c>
      <c r="B1971" s="110" t="str">
        <f aca="false">IF($E1971="","",INDEX(资金日记账!$B$4:$B$603,531))</f>
        <v/>
      </c>
      <c r="C1971" s="67" t="str">
        <f aca="false">IF($E1971="","",IF(INDEX(资金日记账!$W$4:$W$603,531)="","记-"&amp;TEXT($B1971,"YYYYMM")&amp;"-资金",INDEX(资金日记账!$W$4:$W$603,531)))</f>
        <v/>
      </c>
      <c r="D1971" s="107" t="str">
        <f aca="false">IF($E1971="","",INDEX(资金日记账!$D$4:$D$603,531))</f>
        <v/>
      </c>
      <c r="E1971" s="67" t="str">
        <f aca="false">IF(INDEX(资金日记账!$N$4:$S$603,531,4)=0,"",INDEX(资金日记账!$N$4:$S$603,531,4))</f>
        <v/>
      </c>
      <c r="F1971" s="99" t="str">
        <f aca="false">IF($E1971="","",IFERROR(INDEX(科目表!$A$4:$A$81,MATCH($E1971,科目表!$B$4:$B$81,0)),""))</f>
        <v/>
      </c>
      <c r="G1971" s="67" t="str">
        <f aca="false">IF($E1971="","",IFERROR(INDEX(科目表!$E$4:$E$81,MATCH($E1971,科目表!$B$4:$B$81,0)),""))</f>
        <v/>
      </c>
      <c r="H1971" s="70" t="str">
        <f aca="false">IF($E1971="","",N(INDEX(资金日记账!$N$4:$S$603,531,5)))</f>
        <v/>
      </c>
      <c r="I1971" s="70" t="str">
        <f aca="false">IF($E1971="","",N(INDEX(资金日记账!$N$4:$S$603,531,6)))</f>
        <v/>
      </c>
      <c r="J1971" s="67" t="str">
        <f aca="false">IF($E1971="","",INDEX(资金日记账!$E$4:$E$603,531))</f>
        <v/>
      </c>
      <c r="K1971" s="67" t="str">
        <f aca="false">IF($E1971="","",INDEX(资金日记账!$F$4:$F$603,531))</f>
        <v/>
      </c>
      <c r="L1971" s="107" t="str">
        <f aca="false">IF($E1971="","",INDEX(资金日记账!$X$4:$X$603,531))</f>
        <v/>
      </c>
      <c r="M1971" s="107"/>
      <c r="N1971" s="67" t="str">
        <f aca="false">IF($E1971="","",INDEX(资金日记账!$Y$4:$Y$603,531))</f>
        <v/>
      </c>
      <c r="O1971" s="67" t="str">
        <f aca="false">IF($E1971="","","自动B")</f>
        <v/>
      </c>
      <c r="P1971" s="18"/>
    </row>
    <row r="1972" customFormat="false" ht="18" hidden="false" customHeight="true" outlineLevel="0" collapsed="false">
      <c r="A1972" s="107" t="str">
        <f aca="false">IF($E1972="","",ROW()-3)</f>
        <v/>
      </c>
      <c r="B1972" s="110" t="str">
        <f aca="false">IF($E1972="","",INDEX(资金日记账!$B$4:$B$603,532))</f>
        <v/>
      </c>
      <c r="C1972" s="67" t="str">
        <f aca="false">IF($E1972="","",IF(INDEX(资金日记账!$W$4:$W$603,532)="","记-"&amp;TEXT($B1972,"YYYYMM")&amp;"-资金",INDEX(资金日记账!$W$4:$W$603,532)))</f>
        <v/>
      </c>
      <c r="D1972" s="107" t="str">
        <f aca="false">IF($E1972="","",INDEX(资金日记账!$D$4:$D$603,532))</f>
        <v/>
      </c>
      <c r="E1972" s="67" t="str">
        <f aca="false">IF(INDEX(资金日记账!$N$4:$S$603,532,1)=0,"",INDEX(资金日记账!$N$4:$S$603,532,1))</f>
        <v/>
      </c>
      <c r="F1972" s="99" t="str">
        <f aca="false">IF($E1972="","",IFERROR(INDEX(科目表!$A$4:$A$81,MATCH($E1972,科目表!$B$4:$B$81,0)),""))</f>
        <v/>
      </c>
      <c r="G1972" s="67" t="str">
        <f aca="false">IF($E1972="","",IFERROR(INDEX(科目表!$E$4:$E$81,MATCH($E1972,科目表!$B$4:$B$81,0)),""))</f>
        <v/>
      </c>
      <c r="H1972" s="70" t="str">
        <f aca="false">IF($E1972="","",N(INDEX(资金日记账!$N$4:$S$603,532,2)))</f>
        <v/>
      </c>
      <c r="I1972" s="70" t="str">
        <f aca="false">IF($E1972="","",N(INDEX(资金日记账!$N$4:$S$603,532,3)))</f>
        <v/>
      </c>
      <c r="J1972" s="67" t="str">
        <f aca="false">IF($E1972="","",INDEX(资金日记账!$E$4:$E$603,532))</f>
        <v/>
      </c>
      <c r="K1972" s="67" t="str">
        <f aca="false">IF($E1972="","",INDEX(资金日记账!$F$4:$F$603,532))</f>
        <v/>
      </c>
      <c r="L1972" s="107" t="str">
        <f aca="false">IF($E1972="","",INDEX(资金日记账!$X$4:$X$603,532))</f>
        <v/>
      </c>
      <c r="M1972" s="107"/>
      <c r="N1972" s="67" t="str">
        <f aca="false">IF($E1972="","",INDEX(资金日记账!$Y$4:$Y$603,532))</f>
        <v/>
      </c>
      <c r="O1972" s="67" t="str">
        <f aca="false">IF($E1972="","","自动B")</f>
        <v/>
      </c>
      <c r="P1972" s="18"/>
    </row>
    <row r="1973" customFormat="false" ht="18" hidden="false" customHeight="true" outlineLevel="0" collapsed="false">
      <c r="A1973" s="107" t="str">
        <f aca="false">IF($E1973="","",ROW()-3)</f>
        <v/>
      </c>
      <c r="B1973" s="110" t="str">
        <f aca="false">IF($E1973="","",INDEX(资金日记账!$B$4:$B$603,532))</f>
        <v/>
      </c>
      <c r="C1973" s="67" t="str">
        <f aca="false">IF($E1973="","",IF(INDEX(资金日记账!$W$4:$W$603,532)="","记-"&amp;TEXT($B1973,"YYYYMM")&amp;"-资金",INDEX(资金日记账!$W$4:$W$603,532)))</f>
        <v/>
      </c>
      <c r="D1973" s="107" t="str">
        <f aca="false">IF($E1973="","",INDEX(资金日记账!$D$4:$D$603,532))</f>
        <v/>
      </c>
      <c r="E1973" s="67" t="str">
        <f aca="false">IF(INDEX(资金日记账!$N$4:$S$603,532,4)=0,"",INDEX(资金日记账!$N$4:$S$603,532,4))</f>
        <v/>
      </c>
      <c r="F1973" s="99" t="str">
        <f aca="false">IF($E1973="","",IFERROR(INDEX(科目表!$A$4:$A$81,MATCH($E1973,科目表!$B$4:$B$81,0)),""))</f>
        <v/>
      </c>
      <c r="G1973" s="67" t="str">
        <f aca="false">IF($E1973="","",IFERROR(INDEX(科目表!$E$4:$E$81,MATCH($E1973,科目表!$B$4:$B$81,0)),""))</f>
        <v/>
      </c>
      <c r="H1973" s="70" t="str">
        <f aca="false">IF($E1973="","",N(INDEX(资金日记账!$N$4:$S$603,532,5)))</f>
        <v/>
      </c>
      <c r="I1973" s="70" t="str">
        <f aca="false">IF($E1973="","",N(INDEX(资金日记账!$N$4:$S$603,532,6)))</f>
        <v/>
      </c>
      <c r="J1973" s="67" t="str">
        <f aca="false">IF($E1973="","",INDEX(资金日记账!$E$4:$E$603,532))</f>
        <v/>
      </c>
      <c r="K1973" s="67" t="str">
        <f aca="false">IF($E1973="","",INDEX(资金日记账!$F$4:$F$603,532))</f>
        <v/>
      </c>
      <c r="L1973" s="107" t="str">
        <f aca="false">IF($E1973="","",INDEX(资金日记账!$X$4:$X$603,532))</f>
        <v/>
      </c>
      <c r="M1973" s="107"/>
      <c r="N1973" s="67" t="str">
        <f aca="false">IF($E1973="","",INDEX(资金日记账!$Y$4:$Y$603,532))</f>
        <v/>
      </c>
      <c r="O1973" s="67" t="str">
        <f aca="false">IF($E1973="","","自动B")</f>
        <v/>
      </c>
      <c r="P1973" s="18"/>
    </row>
    <row r="1974" customFormat="false" ht="18" hidden="false" customHeight="true" outlineLevel="0" collapsed="false">
      <c r="A1974" s="107" t="str">
        <f aca="false">IF($E1974="","",ROW()-3)</f>
        <v/>
      </c>
      <c r="B1974" s="110" t="str">
        <f aca="false">IF($E1974="","",INDEX(资金日记账!$B$4:$B$603,533))</f>
        <v/>
      </c>
      <c r="C1974" s="67" t="str">
        <f aca="false">IF($E1974="","",IF(INDEX(资金日记账!$W$4:$W$603,533)="","记-"&amp;TEXT($B1974,"YYYYMM")&amp;"-资金",INDEX(资金日记账!$W$4:$W$603,533)))</f>
        <v/>
      </c>
      <c r="D1974" s="107" t="str">
        <f aca="false">IF($E1974="","",INDEX(资金日记账!$D$4:$D$603,533))</f>
        <v/>
      </c>
      <c r="E1974" s="67" t="str">
        <f aca="false">IF(INDEX(资金日记账!$N$4:$S$603,533,1)=0,"",INDEX(资金日记账!$N$4:$S$603,533,1))</f>
        <v/>
      </c>
      <c r="F1974" s="99" t="str">
        <f aca="false">IF($E1974="","",IFERROR(INDEX(科目表!$A$4:$A$81,MATCH($E1974,科目表!$B$4:$B$81,0)),""))</f>
        <v/>
      </c>
      <c r="G1974" s="67" t="str">
        <f aca="false">IF($E1974="","",IFERROR(INDEX(科目表!$E$4:$E$81,MATCH($E1974,科目表!$B$4:$B$81,0)),""))</f>
        <v/>
      </c>
      <c r="H1974" s="70" t="str">
        <f aca="false">IF($E1974="","",N(INDEX(资金日记账!$N$4:$S$603,533,2)))</f>
        <v/>
      </c>
      <c r="I1974" s="70" t="str">
        <f aca="false">IF($E1974="","",N(INDEX(资金日记账!$N$4:$S$603,533,3)))</f>
        <v/>
      </c>
      <c r="J1974" s="67" t="str">
        <f aca="false">IF($E1974="","",INDEX(资金日记账!$E$4:$E$603,533))</f>
        <v/>
      </c>
      <c r="K1974" s="67" t="str">
        <f aca="false">IF($E1974="","",INDEX(资金日记账!$F$4:$F$603,533))</f>
        <v/>
      </c>
      <c r="L1974" s="107" t="str">
        <f aca="false">IF($E1974="","",INDEX(资金日记账!$X$4:$X$603,533))</f>
        <v/>
      </c>
      <c r="M1974" s="107"/>
      <c r="N1974" s="67" t="str">
        <f aca="false">IF($E1974="","",INDEX(资金日记账!$Y$4:$Y$603,533))</f>
        <v/>
      </c>
      <c r="O1974" s="67" t="str">
        <f aca="false">IF($E1974="","","自动B")</f>
        <v/>
      </c>
      <c r="P1974" s="18"/>
    </row>
    <row r="1975" customFormat="false" ht="18" hidden="false" customHeight="true" outlineLevel="0" collapsed="false">
      <c r="A1975" s="107" t="str">
        <f aca="false">IF($E1975="","",ROW()-3)</f>
        <v/>
      </c>
      <c r="B1975" s="110" t="str">
        <f aca="false">IF($E1975="","",INDEX(资金日记账!$B$4:$B$603,533))</f>
        <v/>
      </c>
      <c r="C1975" s="67" t="str">
        <f aca="false">IF($E1975="","",IF(INDEX(资金日记账!$W$4:$W$603,533)="","记-"&amp;TEXT($B1975,"YYYYMM")&amp;"-资金",INDEX(资金日记账!$W$4:$W$603,533)))</f>
        <v/>
      </c>
      <c r="D1975" s="107" t="str">
        <f aca="false">IF($E1975="","",INDEX(资金日记账!$D$4:$D$603,533))</f>
        <v/>
      </c>
      <c r="E1975" s="67" t="str">
        <f aca="false">IF(INDEX(资金日记账!$N$4:$S$603,533,4)=0,"",INDEX(资金日记账!$N$4:$S$603,533,4))</f>
        <v/>
      </c>
      <c r="F1975" s="99" t="str">
        <f aca="false">IF($E1975="","",IFERROR(INDEX(科目表!$A$4:$A$81,MATCH($E1975,科目表!$B$4:$B$81,0)),""))</f>
        <v/>
      </c>
      <c r="G1975" s="67" t="str">
        <f aca="false">IF($E1975="","",IFERROR(INDEX(科目表!$E$4:$E$81,MATCH($E1975,科目表!$B$4:$B$81,0)),""))</f>
        <v/>
      </c>
      <c r="H1975" s="70" t="str">
        <f aca="false">IF($E1975="","",N(INDEX(资金日记账!$N$4:$S$603,533,5)))</f>
        <v/>
      </c>
      <c r="I1975" s="70" t="str">
        <f aca="false">IF($E1975="","",N(INDEX(资金日记账!$N$4:$S$603,533,6)))</f>
        <v/>
      </c>
      <c r="J1975" s="67" t="str">
        <f aca="false">IF($E1975="","",INDEX(资金日记账!$E$4:$E$603,533))</f>
        <v/>
      </c>
      <c r="K1975" s="67" t="str">
        <f aca="false">IF($E1975="","",INDEX(资金日记账!$F$4:$F$603,533))</f>
        <v/>
      </c>
      <c r="L1975" s="107" t="str">
        <f aca="false">IF($E1975="","",INDEX(资金日记账!$X$4:$X$603,533))</f>
        <v/>
      </c>
      <c r="M1975" s="107"/>
      <c r="N1975" s="67" t="str">
        <f aca="false">IF($E1975="","",INDEX(资金日记账!$Y$4:$Y$603,533))</f>
        <v/>
      </c>
      <c r="O1975" s="67" t="str">
        <f aca="false">IF($E1975="","","自动B")</f>
        <v/>
      </c>
      <c r="P1975" s="18"/>
    </row>
    <row r="1976" customFormat="false" ht="18" hidden="false" customHeight="true" outlineLevel="0" collapsed="false">
      <c r="A1976" s="107" t="str">
        <f aca="false">IF($E1976="","",ROW()-3)</f>
        <v/>
      </c>
      <c r="B1976" s="110" t="str">
        <f aca="false">IF($E1976="","",INDEX(资金日记账!$B$4:$B$603,534))</f>
        <v/>
      </c>
      <c r="C1976" s="67" t="str">
        <f aca="false">IF($E1976="","",IF(INDEX(资金日记账!$W$4:$W$603,534)="","记-"&amp;TEXT($B1976,"YYYYMM")&amp;"-资金",INDEX(资金日记账!$W$4:$W$603,534)))</f>
        <v/>
      </c>
      <c r="D1976" s="107" t="str">
        <f aca="false">IF($E1976="","",INDEX(资金日记账!$D$4:$D$603,534))</f>
        <v/>
      </c>
      <c r="E1976" s="67" t="str">
        <f aca="false">IF(INDEX(资金日记账!$N$4:$S$603,534,1)=0,"",INDEX(资金日记账!$N$4:$S$603,534,1))</f>
        <v/>
      </c>
      <c r="F1976" s="99" t="str">
        <f aca="false">IF($E1976="","",IFERROR(INDEX(科目表!$A$4:$A$81,MATCH($E1976,科目表!$B$4:$B$81,0)),""))</f>
        <v/>
      </c>
      <c r="G1976" s="67" t="str">
        <f aca="false">IF($E1976="","",IFERROR(INDEX(科目表!$E$4:$E$81,MATCH($E1976,科目表!$B$4:$B$81,0)),""))</f>
        <v/>
      </c>
      <c r="H1976" s="70" t="str">
        <f aca="false">IF($E1976="","",N(INDEX(资金日记账!$N$4:$S$603,534,2)))</f>
        <v/>
      </c>
      <c r="I1976" s="70" t="str">
        <f aca="false">IF($E1976="","",N(INDEX(资金日记账!$N$4:$S$603,534,3)))</f>
        <v/>
      </c>
      <c r="J1976" s="67" t="str">
        <f aca="false">IF($E1976="","",INDEX(资金日记账!$E$4:$E$603,534))</f>
        <v/>
      </c>
      <c r="K1976" s="67" t="str">
        <f aca="false">IF($E1976="","",INDEX(资金日记账!$F$4:$F$603,534))</f>
        <v/>
      </c>
      <c r="L1976" s="107" t="str">
        <f aca="false">IF($E1976="","",INDEX(资金日记账!$X$4:$X$603,534))</f>
        <v/>
      </c>
      <c r="M1976" s="107"/>
      <c r="N1976" s="67" t="str">
        <f aca="false">IF($E1976="","",INDEX(资金日记账!$Y$4:$Y$603,534))</f>
        <v/>
      </c>
      <c r="O1976" s="67" t="str">
        <f aca="false">IF($E1976="","","自动B")</f>
        <v/>
      </c>
      <c r="P1976" s="18"/>
    </row>
    <row r="1977" customFormat="false" ht="18" hidden="false" customHeight="true" outlineLevel="0" collapsed="false">
      <c r="A1977" s="107" t="str">
        <f aca="false">IF($E1977="","",ROW()-3)</f>
        <v/>
      </c>
      <c r="B1977" s="110" t="str">
        <f aca="false">IF($E1977="","",INDEX(资金日记账!$B$4:$B$603,534))</f>
        <v/>
      </c>
      <c r="C1977" s="67" t="str">
        <f aca="false">IF($E1977="","",IF(INDEX(资金日记账!$W$4:$W$603,534)="","记-"&amp;TEXT($B1977,"YYYYMM")&amp;"-资金",INDEX(资金日记账!$W$4:$W$603,534)))</f>
        <v/>
      </c>
      <c r="D1977" s="107" t="str">
        <f aca="false">IF($E1977="","",INDEX(资金日记账!$D$4:$D$603,534))</f>
        <v/>
      </c>
      <c r="E1977" s="67" t="str">
        <f aca="false">IF(INDEX(资金日记账!$N$4:$S$603,534,4)=0,"",INDEX(资金日记账!$N$4:$S$603,534,4))</f>
        <v/>
      </c>
      <c r="F1977" s="99" t="str">
        <f aca="false">IF($E1977="","",IFERROR(INDEX(科目表!$A$4:$A$81,MATCH($E1977,科目表!$B$4:$B$81,0)),""))</f>
        <v/>
      </c>
      <c r="G1977" s="67" t="str">
        <f aca="false">IF($E1977="","",IFERROR(INDEX(科目表!$E$4:$E$81,MATCH($E1977,科目表!$B$4:$B$81,0)),""))</f>
        <v/>
      </c>
      <c r="H1977" s="70" t="str">
        <f aca="false">IF($E1977="","",N(INDEX(资金日记账!$N$4:$S$603,534,5)))</f>
        <v/>
      </c>
      <c r="I1977" s="70" t="str">
        <f aca="false">IF($E1977="","",N(INDEX(资金日记账!$N$4:$S$603,534,6)))</f>
        <v/>
      </c>
      <c r="J1977" s="67" t="str">
        <f aca="false">IF($E1977="","",INDEX(资金日记账!$E$4:$E$603,534))</f>
        <v/>
      </c>
      <c r="K1977" s="67" t="str">
        <f aca="false">IF($E1977="","",INDEX(资金日记账!$F$4:$F$603,534))</f>
        <v/>
      </c>
      <c r="L1977" s="107" t="str">
        <f aca="false">IF($E1977="","",INDEX(资金日记账!$X$4:$X$603,534))</f>
        <v/>
      </c>
      <c r="M1977" s="107"/>
      <c r="N1977" s="67" t="str">
        <f aca="false">IF($E1977="","",INDEX(资金日记账!$Y$4:$Y$603,534))</f>
        <v/>
      </c>
      <c r="O1977" s="67" t="str">
        <f aca="false">IF($E1977="","","自动B")</f>
        <v/>
      </c>
      <c r="P1977" s="18"/>
    </row>
    <row r="1978" customFormat="false" ht="18" hidden="false" customHeight="true" outlineLevel="0" collapsed="false">
      <c r="A1978" s="107" t="str">
        <f aca="false">IF($E1978="","",ROW()-3)</f>
        <v/>
      </c>
      <c r="B1978" s="110" t="str">
        <f aca="false">IF($E1978="","",INDEX(资金日记账!$B$4:$B$603,535))</f>
        <v/>
      </c>
      <c r="C1978" s="67" t="str">
        <f aca="false">IF($E1978="","",IF(INDEX(资金日记账!$W$4:$W$603,535)="","记-"&amp;TEXT($B1978,"YYYYMM")&amp;"-资金",INDEX(资金日记账!$W$4:$W$603,535)))</f>
        <v/>
      </c>
      <c r="D1978" s="107" t="str">
        <f aca="false">IF($E1978="","",INDEX(资金日记账!$D$4:$D$603,535))</f>
        <v/>
      </c>
      <c r="E1978" s="67" t="str">
        <f aca="false">IF(INDEX(资金日记账!$N$4:$S$603,535,1)=0,"",INDEX(资金日记账!$N$4:$S$603,535,1))</f>
        <v/>
      </c>
      <c r="F1978" s="99" t="str">
        <f aca="false">IF($E1978="","",IFERROR(INDEX(科目表!$A$4:$A$81,MATCH($E1978,科目表!$B$4:$B$81,0)),""))</f>
        <v/>
      </c>
      <c r="G1978" s="67" t="str">
        <f aca="false">IF($E1978="","",IFERROR(INDEX(科目表!$E$4:$E$81,MATCH($E1978,科目表!$B$4:$B$81,0)),""))</f>
        <v/>
      </c>
      <c r="H1978" s="70" t="str">
        <f aca="false">IF($E1978="","",N(INDEX(资金日记账!$N$4:$S$603,535,2)))</f>
        <v/>
      </c>
      <c r="I1978" s="70" t="str">
        <f aca="false">IF($E1978="","",N(INDEX(资金日记账!$N$4:$S$603,535,3)))</f>
        <v/>
      </c>
      <c r="J1978" s="67" t="str">
        <f aca="false">IF($E1978="","",INDEX(资金日记账!$E$4:$E$603,535))</f>
        <v/>
      </c>
      <c r="K1978" s="67" t="str">
        <f aca="false">IF($E1978="","",INDEX(资金日记账!$F$4:$F$603,535))</f>
        <v/>
      </c>
      <c r="L1978" s="107" t="str">
        <f aca="false">IF($E1978="","",INDEX(资金日记账!$X$4:$X$603,535))</f>
        <v/>
      </c>
      <c r="M1978" s="107"/>
      <c r="N1978" s="67" t="str">
        <f aca="false">IF($E1978="","",INDEX(资金日记账!$Y$4:$Y$603,535))</f>
        <v/>
      </c>
      <c r="O1978" s="67" t="str">
        <f aca="false">IF($E1978="","","自动B")</f>
        <v/>
      </c>
      <c r="P1978" s="18"/>
    </row>
    <row r="1979" customFormat="false" ht="18" hidden="false" customHeight="true" outlineLevel="0" collapsed="false">
      <c r="A1979" s="107" t="str">
        <f aca="false">IF($E1979="","",ROW()-3)</f>
        <v/>
      </c>
      <c r="B1979" s="110" t="str">
        <f aca="false">IF($E1979="","",INDEX(资金日记账!$B$4:$B$603,535))</f>
        <v/>
      </c>
      <c r="C1979" s="67" t="str">
        <f aca="false">IF($E1979="","",IF(INDEX(资金日记账!$W$4:$W$603,535)="","记-"&amp;TEXT($B1979,"YYYYMM")&amp;"-资金",INDEX(资金日记账!$W$4:$W$603,535)))</f>
        <v/>
      </c>
      <c r="D1979" s="107" t="str">
        <f aca="false">IF($E1979="","",INDEX(资金日记账!$D$4:$D$603,535))</f>
        <v/>
      </c>
      <c r="E1979" s="67" t="str">
        <f aca="false">IF(INDEX(资金日记账!$N$4:$S$603,535,4)=0,"",INDEX(资金日记账!$N$4:$S$603,535,4))</f>
        <v/>
      </c>
      <c r="F1979" s="99" t="str">
        <f aca="false">IF($E1979="","",IFERROR(INDEX(科目表!$A$4:$A$81,MATCH($E1979,科目表!$B$4:$B$81,0)),""))</f>
        <v/>
      </c>
      <c r="G1979" s="67" t="str">
        <f aca="false">IF($E1979="","",IFERROR(INDEX(科目表!$E$4:$E$81,MATCH($E1979,科目表!$B$4:$B$81,0)),""))</f>
        <v/>
      </c>
      <c r="H1979" s="70" t="str">
        <f aca="false">IF($E1979="","",N(INDEX(资金日记账!$N$4:$S$603,535,5)))</f>
        <v/>
      </c>
      <c r="I1979" s="70" t="str">
        <f aca="false">IF($E1979="","",N(INDEX(资金日记账!$N$4:$S$603,535,6)))</f>
        <v/>
      </c>
      <c r="J1979" s="67" t="str">
        <f aca="false">IF($E1979="","",INDEX(资金日记账!$E$4:$E$603,535))</f>
        <v/>
      </c>
      <c r="K1979" s="67" t="str">
        <f aca="false">IF($E1979="","",INDEX(资金日记账!$F$4:$F$603,535))</f>
        <v/>
      </c>
      <c r="L1979" s="107" t="str">
        <f aca="false">IF($E1979="","",INDEX(资金日记账!$X$4:$X$603,535))</f>
        <v/>
      </c>
      <c r="M1979" s="107"/>
      <c r="N1979" s="67" t="str">
        <f aca="false">IF($E1979="","",INDEX(资金日记账!$Y$4:$Y$603,535))</f>
        <v/>
      </c>
      <c r="O1979" s="67" t="str">
        <f aca="false">IF($E1979="","","自动B")</f>
        <v/>
      </c>
      <c r="P1979" s="18"/>
    </row>
    <row r="1980" customFormat="false" ht="18" hidden="false" customHeight="true" outlineLevel="0" collapsed="false">
      <c r="A1980" s="107" t="str">
        <f aca="false">IF($E1980="","",ROW()-3)</f>
        <v/>
      </c>
      <c r="B1980" s="110" t="str">
        <f aca="false">IF($E1980="","",INDEX(资金日记账!$B$4:$B$603,536))</f>
        <v/>
      </c>
      <c r="C1980" s="67" t="str">
        <f aca="false">IF($E1980="","",IF(INDEX(资金日记账!$W$4:$W$603,536)="","记-"&amp;TEXT($B1980,"YYYYMM")&amp;"-资金",INDEX(资金日记账!$W$4:$W$603,536)))</f>
        <v/>
      </c>
      <c r="D1980" s="107" t="str">
        <f aca="false">IF($E1980="","",INDEX(资金日记账!$D$4:$D$603,536))</f>
        <v/>
      </c>
      <c r="E1980" s="67" t="str">
        <f aca="false">IF(INDEX(资金日记账!$N$4:$S$603,536,1)=0,"",INDEX(资金日记账!$N$4:$S$603,536,1))</f>
        <v/>
      </c>
      <c r="F1980" s="99" t="str">
        <f aca="false">IF($E1980="","",IFERROR(INDEX(科目表!$A$4:$A$81,MATCH($E1980,科目表!$B$4:$B$81,0)),""))</f>
        <v/>
      </c>
      <c r="G1980" s="67" t="str">
        <f aca="false">IF($E1980="","",IFERROR(INDEX(科目表!$E$4:$E$81,MATCH($E1980,科目表!$B$4:$B$81,0)),""))</f>
        <v/>
      </c>
      <c r="H1980" s="70" t="str">
        <f aca="false">IF($E1980="","",N(INDEX(资金日记账!$N$4:$S$603,536,2)))</f>
        <v/>
      </c>
      <c r="I1980" s="70" t="str">
        <f aca="false">IF($E1980="","",N(INDEX(资金日记账!$N$4:$S$603,536,3)))</f>
        <v/>
      </c>
      <c r="J1980" s="67" t="str">
        <f aca="false">IF($E1980="","",INDEX(资金日记账!$E$4:$E$603,536))</f>
        <v/>
      </c>
      <c r="K1980" s="67" t="str">
        <f aca="false">IF($E1980="","",INDEX(资金日记账!$F$4:$F$603,536))</f>
        <v/>
      </c>
      <c r="L1980" s="107" t="str">
        <f aca="false">IF($E1980="","",INDEX(资金日记账!$X$4:$X$603,536))</f>
        <v/>
      </c>
      <c r="M1980" s="107"/>
      <c r="N1980" s="67" t="str">
        <f aca="false">IF($E1980="","",INDEX(资金日记账!$Y$4:$Y$603,536))</f>
        <v/>
      </c>
      <c r="O1980" s="67" t="str">
        <f aca="false">IF($E1980="","","自动B")</f>
        <v/>
      </c>
      <c r="P1980" s="18"/>
    </row>
    <row r="1981" customFormat="false" ht="18" hidden="false" customHeight="true" outlineLevel="0" collapsed="false">
      <c r="A1981" s="107" t="str">
        <f aca="false">IF($E1981="","",ROW()-3)</f>
        <v/>
      </c>
      <c r="B1981" s="110" t="str">
        <f aca="false">IF($E1981="","",INDEX(资金日记账!$B$4:$B$603,536))</f>
        <v/>
      </c>
      <c r="C1981" s="67" t="str">
        <f aca="false">IF($E1981="","",IF(INDEX(资金日记账!$W$4:$W$603,536)="","记-"&amp;TEXT($B1981,"YYYYMM")&amp;"-资金",INDEX(资金日记账!$W$4:$W$603,536)))</f>
        <v/>
      </c>
      <c r="D1981" s="107" t="str">
        <f aca="false">IF($E1981="","",INDEX(资金日记账!$D$4:$D$603,536))</f>
        <v/>
      </c>
      <c r="E1981" s="67" t="str">
        <f aca="false">IF(INDEX(资金日记账!$N$4:$S$603,536,4)=0,"",INDEX(资金日记账!$N$4:$S$603,536,4))</f>
        <v/>
      </c>
      <c r="F1981" s="99" t="str">
        <f aca="false">IF($E1981="","",IFERROR(INDEX(科目表!$A$4:$A$81,MATCH($E1981,科目表!$B$4:$B$81,0)),""))</f>
        <v/>
      </c>
      <c r="G1981" s="67" t="str">
        <f aca="false">IF($E1981="","",IFERROR(INDEX(科目表!$E$4:$E$81,MATCH($E1981,科目表!$B$4:$B$81,0)),""))</f>
        <v/>
      </c>
      <c r="H1981" s="70" t="str">
        <f aca="false">IF($E1981="","",N(INDEX(资金日记账!$N$4:$S$603,536,5)))</f>
        <v/>
      </c>
      <c r="I1981" s="70" t="str">
        <f aca="false">IF($E1981="","",N(INDEX(资金日记账!$N$4:$S$603,536,6)))</f>
        <v/>
      </c>
      <c r="J1981" s="67" t="str">
        <f aca="false">IF($E1981="","",INDEX(资金日记账!$E$4:$E$603,536))</f>
        <v/>
      </c>
      <c r="K1981" s="67" t="str">
        <f aca="false">IF($E1981="","",INDEX(资金日记账!$F$4:$F$603,536))</f>
        <v/>
      </c>
      <c r="L1981" s="107" t="str">
        <f aca="false">IF($E1981="","",INDEX(资金日记账!$X$4:$X$603,536))</f>
        <v/>
      </c>
      <c r="M1981" s="107"/>
      <c r="N1981" s="67" t="str">
        <f aca="false">IF($E1981="","",INDEX(资金日记账!$Y$4:$Y$603,536))</f>
        <v/>
      </c>
      <c r="O1981" s="67" t="str">
        <f aca="false">IF($E1981="","","自动B")</f>
        <v/>
      </c>
      <c r="P1981" s="18"/>
    </row>
    <row r="1982" customFormat="false" ht="18" hidden="false" customHeight="true" outlineLevel="0" collapsed="false">
      <c r="A1982" s="107" t="str">
        <f aca="false">IF($E1982="","",ROW()-3)</f>
        <v/>
      </c>
      <c r="B1982" s="110" t="str">
        <f aca="false">IF($E1982="","",INDEX(资金日记账!$B$4:$B$603,537))</f>
        <v/>
      </c>
      <c r="C1982" s="67" t="str">
        <f aca="false">IF($E1982="","",IF(INDEX(资金日记账!$W$4:$W$603,537)="","记-"&amp;TEXT($B1982,"YYYYMM")&amp;"-资金",INDEX(资金日记账!$W$4:$W$603,537)))</f>
        <v/>
      </c>
      <c r="D1982" s="107" t="str">
        <f aca="false">IF($E1982="","",INDEX(资金日记账!$D$4:$D$603,537))</f>
        <v/>
      </c>
      <c r="E1982" s="67" t="str">
        <f aca="false">IF(INDEX(资金日记账!$N$4:$S$603,537,1)=0,"",INDEX(资金日记账!$N$4:$S$603,537,1))</f>
        <v/>
      </c>
      <c r="F1982" s="99" t="str">
        <f aca="false">IF($E1982="","",IFERROR(INDEX(科目表!$A$4:$A$81,MATCH($E1982,科目表!$B$4:$B$81,0)),""))</f>
        <v/>
      </c>
      <c r="G1982" s="67" t="str">
        <f aca="false">IF($E1982="","",IFERROR(INDEX(科目表!$E$4:$E$81,MATCH($E1982,科目表!$B$4:$B$81,0)),""))</f>
        <v/>
      </c>
      <c r="H1982" s="70" t="str">
        <f aca="false">IF($E1982="","",N(INDEX(资金日记账!$N$4:$S$603,537,2)))</f>
        <v/>
      </c>
      <c r="I1982" s="70" t="str">
        <f aca="false">IF($E1982="","",N(INDEX(资金日记账!$N$4:$S$603,537,3)))</f>
        <v/>
      </c>
      <c r="J1982" s="67" t="str">
        <f aca="false">IF($E1982="","",INDEX(资金日记账!$E$4:$E$603,537))</f>
        <v/>
      </c>
      <c r="K1982" s="67" t="str">
        <f aca="false">IF($E1982="","",INDEX(资金日记账!$F$4:$F$603,537))</f>
        <v/>
      </c>
      <c r="L1982" s="107" t="str">
        <f aca="false">IF($E1982="","",INDEX(资金日记账!$X$4:$X$603,537))</f>
        <v/>
      </c>
      <c r="M1982" s="107"/>
      <c r="N1982" s="67" t="str">
        <f aca="false">IF($E1982="","",INDEX(资金日记账!$Y$4:$Y$603,537))</f>
        <v/>
      </c>
      <c r="O1982" s="67" t="str">
        <f aca="false">IF($E1982="","","自动B")</f>
        <v/>
      </c>
      <c r="P1982" s="18"/>
    </row>
    <row r="1983" customFormat="false" ht="18" hidden="false" customHeight="true" outlineLevel="0" collapsed="false">
      <c r="A1983" s="107" t="str">
        <f aca="false">IF($E1983="","",ROW()-3)</f>
        <v/>
      </c>
      <c r="B1983" s="110" t="str">
        <f aca="false">IF($E1983="","",INDEX(资金日记账!$B$4:$B$603,537))</f>
        <v/>
      </c>
      <c r="C1983" s="67" t="str">
        <f aca="false">IF($E1983="","",IF(INDEX(资金日记账!$W$4:$W$603,537)="","记-"&amp;TEXT($B1983,"YYYYMM")&amp;"-资金",INDEX(资金日记账!$W$4:$W$603,537)))</f>
        <v/>
      </c>
      <c r="D1983" s="107" t="str">
        <f aca="false">IF($E1983="","",INDEX(资金日记账!$D$4:$D$603,537))</f>
        <v/>
      </c>
      <c r="E1983" s="67" t="str">
        <f aca="false">IF(INDEX(资金日记账!$N$4:$S$603,537,4)=0,"",INDEX(资金日记账!$N$4:$S$603,537,4))</f>
        <v/>
      </c>
      <c r="F1983" s="99" t="str">
        <f aca="false">IF($E1983="","",IFERROR(INDEX(科目表!$A$4:$A$81,MATCH($E1983,科目表!$B$4:$B$81,0)),""))</f>
        <v/>
      </c>
      <c r="G1983" s="67" t="str">
        <f aca="false">IF($E1983="","",IFERROR(INDEX(科目表!$E$4:$E$81,MATCH($E1983,科目表!$B$4:$B$81,0)),""))</f>
        <v/>
      </c>
      <c r="H1983" s="70" t="str">
        <f aca="false">IF($E1983="","",N(INDEX(资金日记账!$N$4:$S$603,537,5)))</f>
        <v/>
      </c>
      <c r="I1983" s="70" t="str">
        <f aca="false">IF($E1983="","",N(INDEX(资金日记账!$N$4:$S$603,537,6)))</f>
        <v/>
      </c>
      <c r="J1983" s="67" t="str">
        <f aca="false">IF($E1983="","",INDEX(资金日记账!$E$4:$E$603,537))</f>
        <v/>
      </c>
      <c r="K1983" s="67" t="str">
        <f aca="false">IF($E1983="","",INDEX(资金日记账!$F$4:$F$603,537))</f>
        <v/>
      </c>
      <c r="L1983" s="107" t="str">
        <f aca="false">IF($E1983="","",INDEX(资金日记账!$X$4:$X$603,537))</f>
        <v/>
      </c>
      <c r="M1983" s="107"/>
      <c r="N1983" s="67" t="str">
        <f aca="false">IF($E1983="","",INDEX(资金日记账!$Y$4:$Y$603,537))</f>
        <v/>
      </c>
      <c r="O1983" s="67" t="str">
        <f aca="false">IF($E1983="","","自动B")</f>
        <v/>
      </c>
      <c r="P1983" s="18"/>
    </row>
    <row r="1984" customFormat="false" ht="18" hidden="false" customHeight="true" outlineLevel="0" collapsed="false">
      <c r="A1984" s="107" t="str">
        <f aca="false">IF($E1984="","",ROW()-3)</f>
        <v/>
      </c>
      <c r="B1984" s="110" t="str">
        <f aca="false">IF($E1984="","",INDEX(资金日记账!$B$4:$B$603,538))</f>
        <v/>
      </c>
      <c r="C1984" s="67" t="str">
        <f aca="false">IF($E1984="","",IF(INDEX(资金日记账!$W$4:$W$603,538)="","记-"&amp;TEXT($B1984,"YYYYMM")&amp;"-资金",INDEX(资金日记账!$W$4:$W$603,538)))</f>
        <v/>
      </c>
      <c r="D1984" s="107" t="str">
        <f aca="false">IF($E1984="","",INDEX(资金日记账!$D$4:$D$603,538))</f>
        <v/>
      </c>
      <c r="E1984" s="67" t="str">
        <f aca="false">IF(INDEX(资金日记账!$N$4:$S$603,538,1)=0,"",INDEX(资金日记账!$N$4:$S$603,538,1))</f>
        <v/>
      </c>
      <c r="F1984" s="99" t="str">
        <f aca="false">IF($E1984="","",IFERROR(INDEX(科目表!$A$4:$A$81,MATCH($E1984,科目表!$B$4:$B$81,0)),""))</f>
        <v/>
      </c>
      <c r="G1984" s="67" t="str">
        <f aca="false">IF($E1984="","",IFERROR(INDEX(科目表!$E$4:$E$81,MATCH($E1984,科目表!$B$4:$B$81,0)),""))</f>
        <v/>
      </c>
      <c r="H1984" s="70" t="str">
        <f aca="false">IF($E1984="","",N(INDEX(资金日记账!$N$4:$S$603,538,2)))</f>
        <v/>
      </c>
      <c r="I1984" s="70" t="str">
        <f aca="false">IF($E1984="","",N(INDEX(资金日记账!$N$4:$S$603,538,3)))</f>
        <v/>
      </c>
      <c r="J1984" s="67" t="str">
        <f aca="false">IF($E1984="","",INDEX(资金日记账!$E$4:$E$603,538))</f>
        <v/>
      </c>
      <c r="K1984" s="67" t="str">
        <f aca="false">IF($E1984="","",INDEX(资金日记账!$F$4:$F$603,538))</f>
        <v/>
      </c>
      <c r="L1984" s="107" t="str">
        <f aca="false">IF($E1984="","",INDEX(资金日记账!$X$4:$X$603,538))</f>
        <v/>
      </c>
      <c r="M1984" s="107"/>
      <c r="N1984" s="67" t="str">
        <f aca="false">IF($E1984="","",INDEX(资金日记账!$Y$4:$Y$603,538))</f>
        <v/>
      </c>
      <c r="O1984" s="67" t="str">
        <f aca="false">IF($E1984="","","自动B")</f>
        <v/>
      </c>
      <c r="P1984" s="18"/>
    </row>
    <row r="1985" customFormat="false" ht="18" hidden="false" customHeight="true" outlineLevel="0" collapsed="false">
      <c r="A1985" s="107" t="str">
        <f aca="false">IF($E1985="","",ROW()-3)</f>
        <v/>
      </c>
      <c r="B1985" s="110" t="str">
        <f aca="false">IF($E1985="","",INDEX(资金日记账!$B$4:$B$603,538))</f>
        <v/>
      </c>
      <c r="C1985" s="67" t="str">
        <f aca="false">IF($E1985="","",IF(INDEX(资金日记账!$W$4:$W$603,538)="","记-"&amp;TEXT($B1985,"YYYYMM")&amp;"-资金",INDEX(资金日记账!$W$4:$W$603,538)))</f>
        <v/>
      </c>
      <c r="D1985" s="107" t="str">
        <f aca="false">IF($E1985="","",INDEX(资金日记账!$D$4:$D$603,538))</f>
        <v/>
      </c>
      <c r="E1985" s="67" t="str">
        <f aca="false">IF(INDEX(资金日记账!$N$4:$S$603,538,4)=0,"",INDEX(资金日记账!$N$4:$S$603,538,4))</f>
        <v/>
      </c>
      <c r="F1985" s="99" t="str">
        <f aca="false">IF($E1985="","",IFERROR(INDEX(科目表!$A$4:$A$81,MATCH($E1985,科目表!$B$4:$B$81,0)),""))</f>
        <v/>
      </c>
      <c r="G1985" s="67" t="str">
        <f aca="false">IF($E1985="","",IFERROR(INDEX(科目表!$E$4:$E$81,MATCH($E1985,科目表!$B$4:$B$81,0)),""))</f>
        <v/>
      </c>
      <c r="H1985" s="70" t="str">
        <f aca="false">IF($E1985="","",N(INDEX(资金日记账!$N$4:$S$603,538,5)))</f>
        <v/>
      </c>
      <c r="I1985" s="70" t="str">
        <f aca="false">IF($E1985="","",N(INDEX(资金日记账!$N$4:$S$603,538,6)))</f>
        <v/>
      </c>
      <c r="J1985" s="67" t="str">
        <f aca="false">IF($E1985="","",INDEX(资金日记账!$E$4:$E$603,538))</f>
        <v/>
      </c>
      <c r="K1985" s="67" t="str">
        <f aca="false">IF($E1985="","",INDEX(资金日记账!$F$4:$F$603,538))</f>
        <v/>
      </c>
      <c r="L1985" s="107" t="str">
        <f aca="false">IF($E1985="","",INDEX(资金日记账!$X$4:$X$603,538))</f>
        <v/>
      </c>
      <c r="M1985" s="107"/>
      <c r="N1985" s="67" t="str">
        <f aca="false">IF($E1985="","",INDEX(资金日记账!$Y$4:$Y$603,538))</f>
        <v/>
      </c>
      <c r="O1985" s="67" t="str">
        <f aca="false">IF($E1985="","","自动B")</f>
        <v/>
      </c>
      <c r="P1985" s="18"/>
    </row>
    <row r="1986" customFormat="false" ht="18" hidden="false" customHeight="true" outlineLevel="0" collapsed="false">
      <c r="A1986" s="107" t="str">
        <f aca="false">IF($E1986="","",ROW()-3)</f>
        <v/>
      </c>
      <c r="B1986" s="110" t="str">
        <f aca="false">IF($E1986="","",INDEX(资金日记账!$B$4:$B$603,539))</f>
        <v/>
      </c>
      <c r="C1986" s="67" t="str">
        <f aca="false">IF($E1986="","",IF(INDEX(资金日记账!$W$4:$W$603,539)="","记-"&amp;TEXT($B1986,"YYYYMM")&amp;"-资金",INDEX(资金日记账!$W$4:$W$603,539)))</f>
        <v/>
      </c>
      <c r="D1986" s="107" t="str">
        <f aca="false">IF($E1986="","",INDEX(资金日记账!$D$4:$D$603,539))</f>
        <v/>
      </c>
      <c r="E1986" s="67" t="str">
        <f aca="false">IF(INDEX(资金日记账!$N$4:$S$603,539,1)=0,"",INDEX(资金日记账!$N$4:$S$603,539,1))</f>
        <v/>
      </c>
      <c r="F1986" s="99" t="str">
        <f aca="false">IF($E1986="","",IFERROR(INDEX(科目表!$A$4:$A$81,MATCH($E1986,科目表!$B$4:$B$81,0)),""))</f>
        <v/>
      </c>
      <c r="G1986" s="67" t="str">
        <f aca="false">IF($E1986="","",IFERROR(INDEX(科目表!$E$4:$E$81,MATCH($E1986,科目表!$B$4:$B$81,0)),""))</f>
        <v/>
      </c>
      <c r="H1986" s="70" t="str">
        <f aca="false">IF($E1986="","",N(INDEX(资金日记账!$N$4:$S$603,539,2)))</f>
        <v/>
      </c>
      <c r="I1986" s="70" t="str">
        <f aca="false">IF($E1986="","",N(INDEX(资金日记账!$N$4:$S$603,539,3)))</f>
        <v/>
      </c>
      <c r="J1986" s="67" t="str">
        <f aca="false">IF($E1986="","",INDEX(资金日记账!$E$4:$E$603,539))</f>
        <v/>
      </c>
      <c r="K1986" s="67" t="str">
        <f aca="false">IF($E1986="","",INDEX(资金日记账!$F$4:$F$603,539))</f>
        <v/>
      </c>
      <c r="L1986" s="107" t="str">
        <f aca="false">IF($E1986="","",INDEX(资金日记账!$X$4:$X$603,539))</f>
        <v/>
      </c>
      <c r="M1986" s="107"/>
      <c r="N1986" s="67" t="str">
        <f aca="false">IF($E1986="","",INDEX(资金日记账!$Y$4:$Y$603,539))</f>
        <v/>
      </c>
      <c r="O1986" s="67" t="str">
        <f aca="false">IF($E1986="","","自动B")</f>
        <v/>
      </c>
      <c r="P1986" s="18"/>
    </row>
    <row r="1987" customFormat="false" ht="18" hidden="false" customHeight="true" outlineLevel="0" collapsed="false">
      <c r="A1987" s="107" t="str">
        <f aca="false">IF($E1987="","",ROW()-3)</f>
        <v/>
      </c>
      <c r="B1987" s="110" t="str">
        <f aca="false">IF($E1987="","",INDEX(资金日记账!$B$4:$B$603,539))</f>
        <v/>
      </c>
      <c r="C1987" s="67" t="str">
        <f aca="false">IF($E1987="","",IF(INDEX(资金日记账!$W$4:$W$603,539)="","记-"&amp;TEXT($B1987,"YYYYMM")&amp;"-资金",INDEX(资金日记账!$W$4:$W$603,539)))</f>
        <v/>
      </c>
      <c r="D1987" s="107" t="str">
        <f aca="false">IF($E1987="","",INDEX(资金日记账!$D$4:$D$603,539))</f>
        <v/>
      </c>
      <c r="E1987" s="67" t="str">
        <f aca="false">IF(INDEX(资金日记账!$N$4:$S$603,539,4)=0,"",INDEX(资金日记账!$N$4:$S$603,539,4))</f>
        <v/>
      </c>
      <c r="F1987" s="99" t="str">
        <f aca="false">IF($E1987="","",IFERROR(INDEX(科目表!$A$4:$A$81,MATCH($E1987,科目表!$B$4:$B$81,0)),""))</f>
        <v/>
      </c>
      <c r="G1987" s="67" t="str">
        <f aca="false">IF($E1987="","",IFERROR(INDEX(科目表!$E$4:$E$81,MATCH($E1987,科目表!$B$4:$B$81,0)),""))</f>
        <v/>
      </c>
      <c r="H1987" s="70" t="str">
        <f aca="false">IF($E1987="","",N(INDEX(资金日记账!$N$4:$S$603,539,5)))</f>
        <v/>
      </c>
      <c r="I1987" s="70" t="str">
        <f aca="false">IF($E1987="","",N(INDEX(资金日记账!$N$4:$S$603,539,6)))</f>
        <v/>
      </c>
      <c r="J1987" s="67" t="str">
        <f aca="false">IF($E1987="","",INDEX(资金日记账!$E$4:$E$603,539))</f>
        <v/>
      </c>
      <c r="K1987" s="67" t="str">
        <f aca="false">IF($E1987="","",INDEX(资金日记账!$F$4:$F$603,539))</f>
        <v/>
      </c>
      <c r="L1987" s="107" t="str">
        <f aca="false">IF($E1987="","",INDEX(资金日记账!$X$4:$X$603,539))</f>
        <v/>
      </c>
      <c r="M1987" s="107"/>
      <c r="N1987" s="67" t="str">
        <f aca="false">IF($E1987="","",INDEX(资金日记账!$Y$4:$Y$603,539))</f>
        <v/>
      </c>
      <c r="O1987" s="67" t="str">
        <f aca="false">IF($E1987="","","自动B")</f>
        <v/>
      </c>
      <c r="P1987" s="18"/>
    </row>
    <row r="1988" customFormat="false" ht="18" hidden="false" customHeight="true" outlineLevel="0" collapsed="false">
      <c r="A1988" s="107" t="str">
        <f aca="false">IF($E1988="","",ROW()-3)</f>
        <v/>
      </c>
      <c r="B1988" s="110" t="str">
        <f aca="false">IF($E1988="","",INDEX(资金日记账!$B$4:$B$603,540))</f>
        <v/>
      </c>
      <c r="C1988" s="67" t="str">
        <f aca="false">IF($E1988="","",IF(INDEX(资金日记账!$W$4:$W$603,540)="","记-"&amp;TEXT($B1988,"YYYYMM")&amp;"-资金",INDEX(资金日记账!$W$4:$W$603,540)))</f>
        <v/>
      </c>
      <c r="D1988" s="107" t="str">
        <f aca="false">IF($E1988="","",INDEX(资金日记账!$D$4:$D$603,540))</f>
        <v/>
      </c>
      <c r="E1988" s="67" t="str">
        <f aca="false">IF(INDEX(资金日记账!$N$4:$S$603,540,1)=0,"",INDEX(资金日记账!$N$4:$S$603,540,1))</f>
        <v/>
      </c>
      <c r="F1988" s="99" t="str">
        <f aca="false">IF($E1988="","",IFERROR(INDEX(科目表!$A$4:$A$81,MATCH($E1988,科目表!$B$4:$B$81,0)),""))</f>
        <v/>
      </c>
      <c r="G1988" s="67" t="str">
        <f aca="false">IF($E1988="","",IFERROR(INDEX(科目表!$E$4:$E$81,MATCH($E1988,科目表!$B$4:$B$81,0)),""))</f>
        <v/>
      </c>
      <c r="H1988" s="70" t="str">
        <f aca="false">IF($E1988="","",N(INDEX(资金日记账!$N$4:$S$603,540,2)))</f>
        <v/>
      </c>
      <c r="I1988" s="70" t="str">
        <f aca="false">IF($E1988="","",N(INDEX(资金日记账!$N$4:$S$603,540,3)))</f>
        <v/>
      </c>
      <c r="J1988" s="67" t="str">
        <f aca="false">IF($E1988="","",INDEX(资金日记账!$E$4:$E$603,540))</f>
        <v/>
      </c>
      <c r="K1988" s="67" t="str">
        <f aca="false">IF($E1988="","",INDEX(资金日记账!$F$4:$F$603,540))</f>
        <v/>
      </c>
      <c r="L1988" s="107" t="str">
        <f aca="false">IF($E1988="","",INDEX(资金日记账!$X$4:$X$603,540))</f>
        <v/>
      </c>
      <c r="M1988" s="107"/>
      <c r="N1988" s="67" t="str">
        <f aca="false">IF($E1988="","",INDEX(资金日记账!$Y$4:$Y$603,540))</f>
        <v/>
      </c>
      <c r="O1988" s="67" t="str">
        <f aca="false">IF($E1988="","","自动B")</f>
        <v/>
      </c>
      <c r="P1988" s="18"/>
    </row>
    <row r="1989" customFormat="false" ht="18" hidden="false" customHeight="true" outlineLevel="0" collapsed="false">
      <c r="A1989" s="107" t="str">
        <f aca="false">IF($E1989="","",ROW()-3)</f>
        <v/>
      </c>
      <c r="B1989" s="110" t="str">
        <f aca="false">IF($E1989="","",INDEX(资金日记账!$B$4:$B$603,540))</f>
        <v/>
      </c>
      <c r="C1989" s="67" t="str">
        <f aca="false">IF($E1989="","",IF(INDEX(资金日记账!$W$4:$W$603,540)="","记-"&amp;TEXT($B1989,"YYYYMM")&amp;"-资金",INDEX(资金日记账!$W$4:$W$603,540)))</f>
        <v/>
      </c>
      <c r="D1989" s="107" t="str">
        <f aca="false">IF($E1989="","",INDEX(资金日记账!$D$4:$D$603,540))</f>
        <v/>
      </c>
      <c r="E1989" s="67" t="str">
        <f aca="false">IF(INDEX(资金日记账!$N$4:$S$603,540,4)=0,"",INDEX(资金日记账!$N$4:$S$603,540,4))</f>
        <v/>
      </c>
      <c r="F1989" s="99" t="str">
        <f aca="false">IF($E1989="","",IFERROR(INDEX(科目表!$A$4:$A$81,MATCH($E1989,科目表!$B$4:$B$81,0)),""))</f>
        <v/>
      </c>
      <c r="G1989" s="67" t="str">
        <f aca="false">IF($E1989="","",IFERROR(INDEX(科目表!$E$4:$E$81,MATCH($E1989,科目表!$B$4:$B$81,0)),""))</f>
        <v/>
      </c>
      <c r="H1989" s="70" t="str">
        <f aca="false">IF($E1989="","",N(INDEX(资金日记账!$N$4:$S$603,540,5)))</f>
        <v/>
      </c>
      <c r="I1989" s="70" t="str">
        <f aca="false">IF($E1989="","",N(INDEX(资金日记账!$N$4:$S$603,540,6)))</f>
        <v/>
      </c>
      <c r="J1989" s="67" t="str">
        <f aca="false">IF($E1989="","",INDEX(资金日记账!$E$4:$E$603,540))</f>
        <v/>
      </c>
      <c r="K1989" s="67" t="str">
        <f aca="false">IF($E1989="","",INDEX(资金日记账!$F$4:$F$603,540))</f>
        <v/>
      </c>
      <c r="L1989" s="107" t="str">
        <f aca="false">IF($E1989="","",INDEX(资金日记账!$X$4:$X$603,540))</f>
        <v/>
      </c>
      <c r="M1989" s="107"/>
      <c r="N1989" s="67" t="str">
        <f aca="false">IF($E1989="","",INDEX(资金日记账!$Y$4:$Y$603,540))</f>
        <v/>
      </c>
      <c r="O1989" s="67" t="str">
        <f aca="false">IF($E1989="","","自动B")</f>
        <v/>
      </c>
      <c r="P1989" s="18"/>
    </row>
    <row r="1990" customFormat="false" ht="18" hidden="false" customHeight="true" outlineLevel="0" collapsed="false">
      <c r="A1990" s="107" t="str">
        <f aca="false">IF($E1990="","",ROW()-3)</f>
        <v/>
      </c>
      <c r="B1990" s="110" t="str">
        <f aca="false">IF($E1990="","",INDEX(资金日记账!$B$4:$B$603,541))</f>
        <v/>
      </c>
      <c r="C1990" s="67" t="str">
        <f aca="false">IF($E1990="","",IF(INDEX(资金日记账!$W$4:$W$603,541)="","记-"&amp;TEXT($B1990,"YYYYMM")&amp;"-资金",INDEX(资金日记账!$W$4:$W$603,541)))</f>
        <v/>
      </c>
      <c r="D1990" s="107" t="str">
        <f aca="false">IF($E1990="","",INDEX(资金日记账!$D$4:$D$603,541))</f>
        <v/>
      </c>
      <c r="E1990" s="67" t="str">
        <f aca="false">IF(INDEX(资金日记账!$N$4:$S$603,541,1)=0,"",INDEX(资金日记账!$N$4:$S$603,541,1))</f>
        <v/>
      </c>
      <c r="F1990" s="99" t="str">
        <f aca="false">IF($E1990="","",IFERROR(INDEX(科目表!$A$4:$A$81,MATCH($E1990,科目表!$B$4:$B$81,0)),""))</f>
        <v/>
      </c>
      <c r="G1990" s="67" t="str">
        <f aca="false">IF($E1990="","",IFERROR(INDEX(科目表!$E$4:$E$81,MATCH($E1990,科目表!$B$4:$B$81,0)),""))</f>
        <v/>
      </c>
      <c r="H1990" s="70" t="str">
        <f aca="false">IF($E1990="","",N(INDEX(资金日记账!$N$4:$S$603,541,2)))</f>
        <v/>
      </c>
      <c r="I1990" s="70" t="str">
        <f aca="false">IF($E1990="","",N(INDEX(资金日记账!$N$4:$S$603,541,3)))</f>
        <v/>
      </c>
      <c r="J1990" s="67" t="str">
        <f aca="false">IF($E1990="","",INDEX(资金日记账!$E$4:$E$603,541))</f>
        <v/>
      </c>
      <c r="K1990" s="67" t="str">
        <f aca="false">IF($E1990="","",INDEX(资金日记账!$F$4:$F$603,541))</f>
        <v/>
      </c>
      <c r="L1990" s="107" t="str">
        <f aca="false">IF($E1990="","",INDEX(资金日记账!$X$4:$X$603,541))</f>
        <v/>
      </c>
      <c r="M1990" s="107"/>
      <c r="N1990" s="67" t="str">
        <f aca="false">IF($E1990="","",INDEX(资金日记账!$Y$4:$Y$603,541))</f>
        <v/>
      </c>
      <c r="O1990" s="67" t="str">
        <f aca="false">IF($E1990="","","自动B")</f>
        <v/>
      </c>
      <c r="P1990" s="18"/>
    </row>
    <row r="1991" customFormat="false" ht="18" hidden="false" customHeight="true" outlineLevel="0" collapsed="false">
      <c r="A1991" s="107" t="str">
        <f aca="false">IF($E1991="","",ROW()-3)</f>
        <v/>
      </c>
      <c r="B1991" s="110" t="str">
        <f aca="false">IF($E1991="","",INDEX(资金日记账!$B$4:$B$603,541))</f>
        <v/>
      </c>
      <c r="C1991" s="67" t="str">
        <f aca="false">IF($E1991="","",IF(INDEX(资金日记账!$W$4:$W$603,541)="","记-"&amp;TEXT($B1991,"YYYYMM")&amp;"-资金",INDEX(资金日记账!$W$4:$W$603,541)))</f>
        <v/>
      </c>
      <c r="D1991" s="107" t="str">
        <f aca="false">IF($E1991="","",INDEX(资金日记账!$D$4:$D$603,541))</f>
        <v/>
      </c>
      <c r="E1991" s="67" t="str">
        <f aca="false">IF(INDEX(资金日记账!$N$4:$S$603,541,4)=0,"",INDEX(资金日记账!$N$4:$S$603,541,4))</f>
        <v/>
      </c>
      <c r="F1991" s="99" t="str">
        <f aca="false">IF($E1991="","",IFERROR(INDEX(科目表!$A$4:$A$81,MATCH($E1991,科目表!$B$4:$B$81,0)),""))</f>
        <v/>
      </c>
      <c r="G1991" s="67" t="str">
        <f aca="false">IF($E1991="","",IFERROR(INDEX(科目表!$E$4:$E$81,MATCH($E1991,科目表!$B$4:$B$81,0)),""))</f>
        <v/>
      </c>
      <c r="H1991" s="70" t="str">
        <f aca="false">IF($E1991="","",N(INDEX(资金日记账!$N$4:$S$603,541,5)))</f>
        <v/>
      </c>
      <c r="I1991" s="70" t="str">
        <f aca="false">IF($E1991="","",N(INDEX(资金日记账!$N$4:$S$603,541,6)))</f>
        <v/>
      </c>
      <c r="J1991" s="67" t="str">
        <f aca="false">IF($E1991="","",INDEX(资金日记账!$E$4:$E$603,541))</f>
        <v/>
      </c>
      <c r="K1991" s="67" t="str">
        <f aca="false">IF($E1991="","",INDEX(资金日记账!$F$4:$F$603,541))</f>
        <v/>
      </c>
      <c r="L1991" s="107" t="str">
        <f aca="false">IF($E1991="","",INDEX(资金日记账!$X$4:$X$603,541))</f>
        <v/>
      </c>
      <c r="M1991" s="107"/>
      <c r="N1991" s="67" t="str">
        <f aca="false">IF($E1991="","",INDEX(资金日记账!$Y$4:$Y$603,541))</f>
        <v/>
      </c>
      <c r="O1991" s="67" t="str">
        <f aca="false">IF($E1991="","","自动B")</f>
        <v/>
      </c>
      <c r="P1991" s="18"/>
    </row>
    <row r="1992" customFormat="false" ht="18" hidden="false" customHeight="true" outlineLevel="0" collapsed="false">
      <c r="A1992" s="107" t="str">
        <f aca="false">IF($E1992="","",ROW()-3)</f>
        <v/>
      </c>
      <c r="B1992" s="110" t="str">
        <f aca="false">IF($E1992="","",INDEX(资金日记账!$B$4:$B$603,542))</f>
        <v/>
      </c>
      <c r="C1992" s="67" t="str">
        <f aca="false">IF($E1992="","",IF(INDEX(资金日记账!$W$4:$W$603,542)="","记-"&amp;TEXT($B1992,"YYYYMM")&amp;"-资金",INDEX(资金日记账!$W$4:$W$603,542)))</f>
        <v/>
      </c>
      <c r="D1992" s="107" t="str">
        <f aca="false">IF($E1992="","",INDEX(资金日记账!$D$4:$D$603,542))</f>
        <v/>
      </c>
      <c r="E1992" s="67" t="str">
        <f aca="false">IF(INDEX(资金日记账!$N$4:$S$603,542,1)=0,"",INDEX(资金日记账!$N$4:$S$603,542,1))</f>
        <v/>
      </c>
      <c r="F1992" s="99" t="str">
        <f aca="false">IF($E1992="","",IFERROR(INDEX(科目表!$A$4:$A$81,MATCH($E1992,科目表!$B$4:$B$81,0)),""))</f>
        <v/>
      </c>
      <c r="G1992" s="67" t="str">
        <f aca="false">IF($E1992="","",IFERROR(INDEX(科目表!$E$4:$E$81,MATCH($E1992,科目表!$B$4:$B$81,0)),""))</f>
        <v/>
      </c>
      <c r="H1992" s="70" t="str">
        <f aca="false">IF($E1992="","",N(INDEX(资金日记账!$N$4:$S$603,542,2)))</f>
        <v/>
      </c>
      <c r="I1992" s="70" t="str">
        <f aca="false">IF($E1992="","",N(INDEX(资金日记账!$N$4:$S$603,542,3)))</f>
        <v/>
      </c>
      <c r="J1992" s="67" t="str">
        <f aca="false">IF($E1992="","",INDEX(资金日记账!$E$4:$E$603,542))</f>
        <v/>
      </c>
      <c r="K1992" s="67" t="str">
        <f aca="false">IF($E1992="","",INDEX(资金日记账!$F$4:$F$603,542))</f>
        <v/>
      </c>
      <c r="L1992" s="107" t="str">
        <f aca="false">IF($E1992="","",INDEX(资金日记账!$X$4:$X$603,542))</f>
        <v/>
      </c>
      <c r="M1992" s="107"/>
      <c r="N1992" s="67" t="str">
        <f aca="false">IF($E1992="","",INDEX(资金日记账!$Y$4:$Y$603,542))</f>
        <v/>
      </c>
      <c r="O1992" s="67" t="str">
        <f aca="false">IF($E1992="","","自动B")</f>
        <v/>
      </c>
      <c r="P1992" s="18"/>
    </row>
    <row r="1993" customFormat="false" ht="18" hidden="false" customHeight="true" outlineLevel="0" collapsed="false">
      <c r="A1993" s="107" t="str">
        <f aca="false">IF($E1993="","",ROW()-3)</f>
        <v/>
      </c>
      <c r="B1993" s="110" t="str">
        <f aca="false">IF($E1993="","",INDEX(资金日记账!$B$4:$B$603,542))</f>
        <v/>
      </c>
      <c r="C1993" s="67" t="str">
        <f aca="false">IF($E1993="","",IF(INDEX(资金日记账!$W$4:$W$603,542)="","记-"&amp;TEXT($B1993,"YYYYMM")&amp;"-资金",INDEX(资金日记账!$W$4:$W$603,542)))</f>
        <v/>
      </c>
      <c r="D1993" s="107" t="str">
        <f aca="false">IF($E1993="","",INDEX(资金日记账!$D$4:$D$603,542))</f>
        <v/>
      </c>
      <c r="E1993" s="67" t="str">
        <f aca="false">IF(INDEX(资金日记账!$N$4:$S$603,542,4)=0,"",INDEX(资金日记账!$N$4:$S$603,542,4))</f>
        <v/>
      </c>
      <c r="F1993" s="99" t="str">
        <f aca="false">IF($E1993="","",IFERROR(INDEX(科目表!$A$4:$A$81,MATCH($E1993,科目表!$B$4:$B$81,0)),""))</f>
        <v/>
      </c>
      <c r="G1993" s="67" t="str">
        <f aca="false">IF($E1993="","",IFERROR(INDEX(科目表!$E$4:$E$81,MATCH($E1993,科目表!$B$4:$B$81,0)),""))</f>
        <v/>
      </c>
      <c r="H1993" s="70" t="str">
        <f aca="false">IF($E1993="","",N(INDEX(资金日记账!$N$4:$S$603,542,5)))</f>
        <v/>
      </c>
      <c r="I1993" s="70" t="str">
        <f aca="false">IF($E1993="","",N(INDEX(资金日记账!$N$4:$S$603,542,6)))</f>
        <v/>
      </c>
      <c r="J1993" s="67" t="str">
        <f aca="false">IF($E1993="","",INDEX(资金日记账!$E$4:$E$603,542))</f>
        <v/>
      </c>
      <c r="K1993" s="67" t="str">
        <f aca="false">IF($E1993="","",INDEX(资金日记账!$F$4:$F$603,542))</f>
        <v/>
      </c>
      <c r="L1993" s="107" t="str">
        <f aca="false">IF($E1993="","",INDEX(资金日记账!$X$4:$X$603,542))</f>
        <v/>
      </c>
      <c r="M1993" s="107"/>
      <c r="N1993" s="67" t="str">
        <f aca="false">IF($E1993="","",INDEX(资金日记账!$Y$4:$Y$603,542))</f>
        <v/>
      </c>
      <c r="O1993" s="67" t="str">
        <f aca="false">IF($E1993="","","自动B")</f>
        <v/>
      </c>
      <c r="P1993" s="18"/>
    </row>
    <row r="1994" customFormat="false" ht="18" hidden="false" customHeight="true" outlineLevel="0" collapsed="false">
      <c r="A1994" s="107" t="str">
        <f aca="false">IF($E1994="","",ROW()-3)</f>
        <v/>
      </c>
      <c r="B1994" s="110" t="str">
        <f aca="false">IF($E1994="","",INDEX(资金日记账!$B$4:$B$603,543))</f>
        <v/>
      </c>
      <c r="C1994" s="67" t="str">
        <f aca="false">IF($E1994="","",IF(INDEX(资金日记账!$W$4:$W$603,543)="","记-"&amp;TEXT($B1994,"YYYYMM")&amp;"-资金",INDEX(资金日记账!$W$4:$W$603,543)))</f>
        <v/>
      </c>
      <c r="D1994" s="107" t="str">
        <f aca="false">IF($E1994="","",INDEX(资金日记账!$D$4:$D$603,543))</f>
        <v/>
      </c>
      <c r="E1994" s="67" t="str">
        <f aca="false">IF(INDEX(资金日记账!$N$4:$S$603,543,1)=0,"",INDEX(资金日记账!$N$4:$S$603,543,1))</f>
        <v/>
      </c>
      <c r="F1994" s="99" t="str">
        <f aca="false">IF($E1994="","",IFERROR(INDEX(科目表!$A$4:$A$81,MATCH($E1994,科目表!$B$4:$B$81,0)),""))</f>
        <v/>
      </c>
      <c r="G1994" s="67" t="str">
        <f aca="false">IF($E1994="","",IFERROR(INDEX(科目表!$E$4:$E$81,MATCH($E1994,科目表!$B$4:$B$81,0)),""))</f>
        <v/>
      </c>
      <c r="H1994" s="70" t="str">
        <f aca="false">IF($E1994="","",N(INDEX(资金日记账!$N$4:$S$603,543,2)))</f>
        <v/>
      </c>
      <c r="I1994" s="70" t="str">
        <f aca="false">IF($E1994="","",N(INDEX(资金日记账!$N$4:$S$603,543,3)))</f>
        <v/>
      </c>
      <c r="J1994" s="67" t="str">
        <f aca="false">IF($E1994="","",INDEX(资金日记账!$E$4:$E$603,543))</f>
        <v/>
      </c>
      <c r="K1994" s="67" t="str">
        <f aca="false">IF($E1994="","",INDEX(资金日记账!$F$4:$F$603,543))</f>
        <v/>
      </c>
      <c r="L1994" s="107" t="str">
        <f aca="false">IF($E1994="","",INDEX(资金日记账!$X$4:$X$603,543))</f>
        <v/>
      </c>
      <c r="M1994" s="107"/>
      <c r="N1994" s="67" t="str">
        <f aca="false">IF($E1994="","",INDEX(资金日记账!$Y$4:$Y$603,543))</f>
        <v/>
      </c>
      <c r="O1994" s="67" t="str">
        <f aca="false">IF($E1994="","","自动B")</f>
        <v/>
      </c>
      <c r="P1994" s="18"/>
    </row>
    <row r="1995" customFormat="false" ht="18" hidden="false" customHeight="true" outlineLevel="0" collapsed="false">
      <c r="A1995" s="107" t="str">
        <f aca="false">IF($E1995="","",ROW()-3)</f>
        <v/>
      </c>
      <c r="B1995" s="110" t="str">
        <f aca="false">IF($E1995="","",INDEX(资金日记账!$B$4:$B$603,543))</f>
        <v/>
      </c>
      <c r="C1995" s="67" t="str">
        <f aca="false">IF($E1995="","",IF(INDEX(资金日记账!$W$4:$W$603,543)="","记-"&amp;TEXT($B1995,"YYYYMM")&amp;"-资金",INDEX(资金日记账!$W$4:$W$603,543)))</f>
        <v/>
      </c>
      <c r="D1995" s="107" t="str">
        <f aca="false">IF($E1995="","",INDEX(资金日记账!$D$4:$D$603,543))</f>
        <v/>
      </c>
      <c r="E1995" s="67" t="str">
        <f aca="false">IF(INDEX(资金日记账!$N$4:$S$603,543,4)=0,"",INDEX(资金日记账!$N$4:$S$603,543,4))</f>
        <v/>
      </c>
      <c r="F1995" s="99" t="str">
        <f aca="false">IF($E1995="","",IFERROR(INDEX(科目表!$A$4:$A$81,MATCH($E1995,科目表!$B$4:$B$81,0)),""))</f>
        <v/>
      </c>
      <c r="G1995" s="67" t="str">
        <f aca="false">IF($E1995="","",IFERROR(INDEX(科目表!$E$4:$E$81,MATCH($E1995,科目表!$B$4:$B$81,0)),""))</f>
        <v/>
      </c>
      <c r="H1995" s="70" t="str">
        <f aca="false">IF($E1995="","",N(INDEX(资金日记账!$N$4:$S$603,543,5)))</f>
        <v/>
      </c>
      <c r="I1995" s="70" t="str">
        <f aca="false">IF($E1995="","",N(INDEX(资金日记账!$N$4:$S$603,543,6)))</f>
        <v/>
      </c>
      <c r="J1995" s="67" t="str">
        <f aca="false">IF($E1995="","",INDEX(资金日记账!$E$4:$E$603,543))</f>
        <v/>
      </c>
      <c r="K1995" s="67" t="str">
        <f aca="false">IF($E1995="","",INDEX(资金日记账!$F$4:$F$603,543))</f>
        <v/>
      </c>
      <c r="L1995" s="107" t="str">
        <f aca="false">IF($E1995="","",INDEX(资金日记账!$X$4:$X$603,543))</f>
        <v/>
      </c>
      <c r="M1995" s="107"/>
      <c r="N1995" s="67" t="str">
        <f aca="false">IF($E1995="","",INDEX(资金日记账!$Y$4:$Y$603,543))</f>
        <v/>
      </c>
      <c r="O1995" s="67" t="str">
        <f aca="false">IF($E1995="","","自动B")</f>
        <v/>
      </c>
      <c r="P1995" s="18"/>
    </row>
    <row r="1996" customFormat="false" ht="18" hidden="false" customHeight="true" outlineLevel="0" collapsed="false">
      <c r="A1996" s="107" t="str">
        <f aca="false">IF($E1996="","",ROW()-3)</f>
        <v/>
      </c>
      <c r="B1996" s="110" t="str">
        <f aca="false">IF($E1996="","",INDEX(资金日记账!$B$4:$B$603,544))</f>
        <v/>
      </c>
      <c r="C1996" s="67" t="str">
        <f aca="false">IF($E1996="","",IF(INDEX(资金日记账!$W$4:$W$603,544)="","记-"&amp;TEXT($B1996,"YYYYMM")&amp;"-资金",INDEX(资金日记账!$W$4:$W$603,544)))</f>
        <v/>
      </c>
      <c r="D1996" s="107" t="str">
        <f aca="false">IF($E1996="","",INDEX(资金日记账!$D$4:$D$603,544))</f>
        <v/>
      </c>
      <c r="E1996" s="67" t="str">
        <f aca="false">IF(INDEX(资金日记账!$N$4:$S$603,544,1)=0,"",INDEX(资金日记账!$N$4:$S$603,544,1))</f>
        <v/>
      </c>
      <c r="F1996" s="99" t="str">
        <f aca="false">IF($E1996="","",IFERROR(INDEX(科目表!$A$4:$A$81,MATCH($E1996,科目表!$B$4:$B$81,0)),""))</f>
        <v/>
      </c>
      <c r="G1996" s="67" t="str">
        <f aca="false">IF($E1996="","",IFERROR(INDEX(科目表!$E$4:$E$81,MATCH($E1996,科目表!$B$4:$B$81,0)),""))</f>
        <v/>
      </c>
      <c r="H1996" s="70" t="str">
        <f aca="false">IF($E1996="","",N(INDEX(资金日记账!$N$4:$S$603,544,2)))</f>
        <v/>
      </c>
      <c r="I1996" s="70" t="str">
        <f aca="false">IF($E1996="","",N(INDEX(资金日记账!$N$4:$S$603,544,3)))</f>
        <v/>
      </c>
      <c r="J1996" s="67" t="str">
        <f aca="false">IF($E1996="","",INDEX(资金日记账!$E$4:$E$603,544))</f>
        <v/>
      </c>
      <c r="K1996" s="67" t="str">
        <f aca="false">IF($E1996="","",INDEX(资金日记账!$F$4:$F$603,544))</f>
        <v/>
      </c>
      <c r="L1996" s="107" t="str">
        <f aca="false">IF($E1996="","",INDEX(资金日记账!$X$4:$X$603,544))</f>
        <v/>
      </c>
      <c r="M1996" s="107"/>
      <c r="N1996" s="67" t="str">
        <f aca="false">IF($E1996="","",INDEX(资金日记账!$Y$4:$Y$603,544))</f>
        <v/>
      </c>
      <c r="O1996" s="67" t="str">
        <f aca="false">IF($E1996="","","自动B")</f>
        <v/>
      </c>
      <c r="P1996" s="18"/>
    </row>
    <row r="1997" customFormat="false" ht="18" hidden="false" customHeight="true" outlineLevel="0" collapsed="false">
      <c r="A1997" s="107" t="str">
        <f aca="false">IF($E1997="","",ROW()-3)</f>
        <v/>
      </c>
      <c r="B1997" s="110" t="str">
        <f aca="false">IF($E1997="","",INDEX(资金日记账!$B$4:$B$603,544))</f>
        <v/>
      </c>
      <c r="C1997" s="67" t="str">
        <f aca="false">IF($E1997="","",IF(INDEX(资金日记账!$W$4:$W$603,544)="","记-"&amp;TEXT($B1997,"YYYYMM")&amp;"-资金",INDEX(资金日记账!$W$4:$W$603,544)))</f>
        <v/>
      </c>
      <c r="D1997" s="107" t="str">
        <f aca="false">IF($E1997="","",INDEX(资金日记账!$D$4:$D$603,544))</f>
        <v/>
      </c>
      <c r="E1997" s="67" t="str">
        <f aca="false">IF(INDEX(资金日记账!$N$4:$S$603,544,4)=0,"",INDEX(资金日记账!$N$4:$S$603,544,4))</f>
        <v/>
      </c>
      <c r="F1997" s="99" t="str">
        <f aca="false">IF($E1997="","",IFERROR(INDEX(科目表!$A$4:$A$81,MATCH($E1997,科目表!$B$4:$B$81,0)),""))</f>
        <v/>
      </c>
      <c r="G1997" s="67" t="str">
        <f aca="false">IF($E1997="","",IFERROR(INDEX(科目表!$E$4:$E$81,MATCH($E1997,科目表!$B$4:$B$81,0)),""))</f>
        <v/>
      </c>
      <c r="H1997" s="70" t="str">
        <f aca="false">IF($E1997="","",N(INDEX(资金日记账!$N$4:$S$603,544,5)))</f>
        <v/>
      </c>
      <c r="I1997" s="70" t="str">
        <f aca="false">IF($E1997="","",N(INDEX(资金日记账!$N$4:$S$603,544,6)))</f>
        <v/>
      </c>
      <c r="J1997" s="67" t="str">
        <f aca="false">IF($E1997="","",INDEX(资金日记账!$E$4:$E$603,544))</f>
        <v/>
      </c>
      <c r="K1997" s="67" t="str">
        <f aca="false">IF($E1997="","",INDEX(资金日记账!$F$4:$F$603,544))</f>
        <v/>
      </c>
      <c r="L1997" s="107" t="str">
        <f aca="false">IF($E1997="","",INDEX(资金日记账!$X$4:$X$603,544))</f>
        <v/>
      </c>
      <c r="M1997" s="107"/>
      <c r="N1997" s="67" t="str">
        <f aca="false">IF($E1997="","",INDEX(资金日记账!$Y$4:$Y$603,544))</f>
        <v/>
      </c>
      <c r="O1997" s="67" t="str">
        <f aca="false">IF($E1997="","","自动B")</f>
        <v/>
      </c>
      <c r="P1997" s="18"/>
    </row>
    <row r="1998" customFormat="false" ht="18" hidden="false" customHeight="true" outlineLevel="0" collapsed="false">
      <c r="A1998" s="107" t="str">
        <f aca="false">IF($E1998="","",ROW()-3)</f>
        <v/>
      </c>
      <c r="B1998" s="110" t="str">
        <f aca="false">IF($E1998="","",INDEX(资金日记账!$B$4:$B$603,545))</f>
        <v/>
      </c>
      <c r="C1998" s="67" t="str">
        <f aca="false">IF($E1998="","",IF(INDEX(资金日记账!$W$4:$W$603,545)="","记-"&amp;TEXT($B1998,"YYYYMM")&amp;"-资金",INDEX(资金日记账!$W$4:$W$603,545)))</f>
        <v/>
      </c>
      <c r="D1998" s="107" t="str">
        <f aca="false">IF($E1998="","",INDEX(资金日记账!$D$4:$D$603,545))</f>
        <v/>
      </c>
      <c r="E1998" s="67" t="str">
        <f aca="false">IF(INDEX(资金日记账!$N$4:$S$603,545,1)=0,"",INDEX(资金日记账!$N$4:$S$603,545,1))</f>
        <v/>
      </c>
      <c r="F1998" s="99" t="str">
        <f aca="false">IF($E1998="","",IFERROR(INDEX(科目表!$A$4:$A$81,MATCH($E1998,科目表!$B$4:$B$81,0)),""))</f>
        <v/>
      </c>
      <c r="G1998" s="67" t="str">
        <f aca="false">IF($E1998="","",IFERROR(INDEX(科目表!$E$4:$E$81,MATCH($E1998,科目表!$B$4:$B$81,0)),""))</f>
        <v/>
      </c>
      <c r="H1998" s="70" t="str">
        <f aca="false">IF($E1998="","",N(INDEX(资金日记账!$N$4:$S$603,545,2)))</f>
        <v/>
      </c>
      <c r="I1998" s="70" t="str">
        <f aca="false">IF($E1998="","",N(INDEX(资金日记账!$N$4:$S$603,545,3)))</f>
        <v/>
      </c>
      <c r="J1998" s="67" t="str">
        <f aca="false">IF($E1998="","",INDEX(资金日记账!$E$4:$E$603,545))</f>
        <v/>
      </c>
      <c r="K1998" s="67" t="str">
        <f aca="false">IF($E1998="","",INDEX(资金日记账!$F$4:$F$603,545))</f>
        <v/>
      </c>
      <c r="L1998" s="107" t="str">
        <f aca="false">IF($E1998="","",INDEX(资金日记账!$X$4:$X$603,545))</f>
        <v/>
      </c>
      <c r="M1998" s="107"/>
      <c r="N1998" s="67" t="str">
        <f aca="false">IF($E1998="","",INDEX(资金日记账!$Y$4:$Y$603,545))</f>
        <v/>
      </c>
      <c r="O1998" s="67" t="str">
        <f aca="false">IF($E1998="","","自动B")</f>
        <v/>
      </c>
      <c r="P1998" s="18"/>
    </row>
    <row r="1999" customFormat="false" ht="18" hidden="false" customHeight="true" outlineLevel="0" collapsed="false">
      <c r="A1999" s="107" t="str">
        <f aca="false">IF($E1999="","",ROW()-3)</f>
        <v/>
      </c>
      <c r="B1999" s="110" t="str">
        <f aca="false">IF($E1999="","",INDEX(资金日记账!$B$4:$B$603,545))</f>
        <v/>
      </c>
      <c r="C1999" s="67" t="str">
        <f aca="false">IF($E1999="","",IF(INDEX(资金日记账!$W$4:$W$603,545)="","记-"&amp;TEXT($B1999,"YYYYMM")&amp;"-资金",INDEX(资金日记账!$W$4:$W$603,545)))</f>
        <v/>
      </c>
      <c r="D1999" s="107" t="str">
        <f aca="false">IF($E1999="","",INDEX(资金日记账!$D$4:$D$603,545))</f>
        <v/>
      </c>
      <c r="E1999" s="67" t="str">
        <f aca="false">IF(INDEX(资金日记账!$N$4:$S$603,545,4)=0,"",INDEX(资金日记账!$N$4:$S$603,545,4))</f>
        <v/>
      </c>
      <c r="F1999" s="99" t="str">
        <f aca="false">IF($E1999="","",IFERROR(INDEX(科目表!$A$4:$A$81,MATCH($E1999,科目表!$B$4:$B$81,0)),""))</f>
        <v/>
      </c>
      <c r="G1999" s="67" t="str">
        <f aca="false">IF($E1999="","",IFERROR(INDEX(科目表!$E$4:$E$81,MATCH($E1999,科目表!$B$4:$B$81,0)),""))</f>
        <v/>
      </c>
      <c r="H1999" s="70" t="str">
        <f aca="false">IF($E1999="","",N(INDEX(资金日记账!$N$4:$S$603,545,5)))</f>
        <v/>
      </c>
      <c r="I1999" s="70" t="str">
        <f aca="false">IF($E1999="","",N(INDEX(资金日记账!$N$4:$S$603,545,6)))</f>
        <v/>
      </c>
      <c r="J1999" s="67" t="str">
        <f aca="false">IF($E1999="","",INDEX(资金日记账!$E$4:$E$603,545))</f>
        <v/>
      </c>
      <c r="K1999" s="67" t="str">
        <f aca="false">IF($E1999="","",INDEX(资金日记账!$F$4:$F$603,545))</f>
        <v/>
      </c>
      <c r="L1999" s="107" t="str">
        <f aca="false">IF($E1999="","",INDEX(资金日记账!$X$4:$X$603,545))</f>
        <v/>
      </c>
      <c r="M1999" s="107"/>
      <c r="N1999" s="67" t="str">
        <f aca="false">IF($E1999="","",INDEX(资金日记账!$Y$4:$Y$603,545))</f>
        <v/>
      </c>
      <c r="O1999" s="67" t="str">
        <f aca="false">IF($E1999="","","自动B")</f>
        <v/>
      </c>
      <c r="P1999" s="18"/>
    </row>
    <row r="2000" customFormat="false" ht="18" hidden="false" customHeight="true" outlineLevel="0" collapsed="false">
      <c r="A2000" s="107" t="str">
        <f aca="false">IF($E2000="","",ROW()-3)</f>
        <v/>
      </c>
      <c r="B2000" s="110" t="str">
        <f aca="false">IF($E2000="","",INDEX(资金日记账!$B$4:$B$603,546))</f>
        <v/>
      </c>
      <c r="C2000" s="67" t="str">
        <f aca="false">IF($E2000="","",IF(INDEX(资金日记账!$W$4:$W$603,546)="","记-"&amp;TEXT($B2000,"YYYYMM")&amp;"-资金",INDEX(资金日记账!$W$4:$W$603,546)))</f>
        <v/>
      </c>
      <c r="D2000" s="107" t="str">
        <f aca="false">IF($E2000="","",INDEX(资金日记账!$D$4:$D$603,546))</f>
        <v/>
      </c>
      <c r="E2000" s="67" t="str">
        <f aca="false">IF(INDEX(资金日记账!$N$4:$S$603,546,1)=0,"",INDEX(资金日记账!$N$4:$S$603,546,1))</f>
        <v/>
      </c>
      <c r="F2000" s="99" t="str">
        <f aca="false">IF($E2000="","",IFERROR(INDEX(科目表!$A$4:$A$81,MATCH($E2000,科目表!$B$4:$B$81,0)),""))</f>
        <v/>
      </c>
      <c r="G2000" s="67" t="str">
        <f aca="false">IF($E2000="","",IFERROR(INDEX(科目表!$E$4:$E$81,MATCH($E2000,科目表!$B$4:$B$81,0)),""))</f>
        <v/>
      </c>
      <c r="H2000" s="70" t="str">
        <f aca="false">IF($E2000="","",N(INDEX(资金日记账!$N$4:$S$603,546,2)))</f>
        <v/>
      </c>
      <c r="I2000" s="70" t="str">
        <f aca="false">IF($E2000="","",N(INDEX(资金日记账!$N$4:$S$603,546,3)))</f>
        <v/>
      </c>
      <c r="J2000" s="67" t="str">
        <f aca="false">IF($E2000="","",INDEX(资金日记账!$E$4:$E$603,546))</f>
        <v/>
      </c>
      <c r="K2000" s="67" t="str">
        <f aca="false">IF($E2000="","",INDEX(资金日记账!$F$4:$F$603,546))</f>
        <v/>
      </c>
      <c r="L2000" s="107" t="str">
        <f aca="false">IF($E2000="","",INDEX(资金日记账!$X$4:$X$603,546))</f>
        <v/>
      </c>
      <c r="M2000" s="107"/>
      <c r="N2000" s="67" t="str">
        <f aca="false">IF($E2000="","",INDEX(资金日记账!$Y$4:$Y$603,546))</f>
        <v/>
      </c>
      <c r="O2000" s="67" t="str">
        <f aca="false">IF($E2000="","","自动B")</f>
        <v/>
      </c>
      <c r="P2000" s="18"/>
    </row>
    <row r="2001" customFormat="false" ht="18" hidden="false" customHeight="true" outlineLevel="0" collapsed="false">
      <c r="A2001" s="107" t="str">
        <f aca="false">IF($E2001="","",ROW()-3)</f>
        <v/>
      </c>
      <c r="B2001" s="110" t="str">
        <f aca="false">IF($E2001="","",INDEX(资金日记账!$B$4:$B$603,546))</f>
        <v/>
      </c>
      <c r="C2001" s="67" t="str">
        <f aca="false">IF($E2001="","",IF(INDEX(资金日记账!$W$4:$W$603,546)="","记-"&amp;TEXT($B2001,"YYYYMM")&amp;"-资金",INDEX(资金日记账!$W$4:$W$603,546)))</f>
        <v/>
      </c>
      <c r="D2001" s="107" t="str">
        <f aca="false">IF($E2001="","",INDEX(资金日记账!$D$4:$D$603,546))</f>
        <v/>
      </c>
      <c r="E2001" s="67" t="str">
        <f aca="false">IF(INDEX(资金日记账!$N$4:$S$603,546,4)=0,"",INDEX(资金日记账!$N$4:$S$603,546,4))</f>
        <v/>
      </c>
      <c r="F2001" s="99" t="str">
        <f aca="false">IF($E2001="","",IFERROR(INDEX(科目表!$A$4:$A$81,MATCH($E2001,科目表!$B$4:$B$81,0)),""))</f>
        <v/>
      </c>
      <c r="G2001" s="67" t="str">
        <f aca="false">IF($E2001="","",IFERROR(INDEX(科目表!$E$4:$E$81,MATCH($E2001,科目表!$B$4:$B$81,0)),""))</f>
        <v/>
      </c>
      <c r="H2001" s="70" t="str">
        <f aca="false">IF($E2001="","",N(INDEX(资金日记账!$N$4:$S$603,546,5)))</f>
        <v/>
      </c>
      <c r="I2001" s="70" t="str">
        <f aca="false">IF($E2001="","",N(INDEX(资金日记账!$N$4:$S$603,546,6)))</f>
        <v/>
      </c>
      <c r="J2001" s="67" t="str">
        <f aca="false">IF($E2001="","",INDEX(资金日记账!$E$4:$E$603,546))</f>
        <v/>
      </c>
      <c r="K2001" s="67" t="str">
        <f aca="false">IF($E2001="","",INDEX(资金日记账!$F$4:$F$603,546))</f>
        <v/>
      </c>
      <c r="L2001" s="107" t="str">
        <f aca="false">IF($E2001="","",INDEX(资金日记账!$X$4:$X$603,546))</f>
        <v/>
      </c>
      <c r="M2001" s="107"/>
      <c r="N2001" s="67" t="str">
        <f aca="false">IF($E2001="","",INDEX(资金日记账!$Y$4:$Y$603,546))</f>
        <v/>
      </c>
      <c r="O2001" s="67" t="str">
        <f aca="false">IF($E2001="","","自动B")</f>
        <v/>
      </c>
      <c r="P2001" s="18"/>
    </row>
    <row r="2002" customFormat="false" ht="18" hidden="false" customHeight="true" outlineLevel="0" collapsed="false">
      <c r="A2002" s="107" t="str">
        <f aca="false">IF($E2002="","",ROW()-3)</f>
        <v/>
      </c>
      <c r="B2002" s="110" t="str">
        <f aca="false">IF($E2002="","",INDEX(资金日记账!$B$4:$B$603,547))</f>
        <v/>
      </c>
      <c r="C2002" s="67" t="str">
        <f aca="false">IF($E2002="","",IF(INDEX(资金日记账!$W$4:$W$603,547)="","记-"&amp;TEXT($B2002,"YYYYMM")&amp;"-资金",INDEX(资金日记账!$W$4:$W$603,547)))</f>
        <v/>
      </c>
      <c r="D2002" s="107" t="str">
        <f aca="false">IF($E2002="","",INDEX(资金日记账!$D$4:$D$603,547))</f>
        <v/>
      </c>
      <c r="E2002" s="67" t="str">
        <f aca="false">IF(INDEX(资金日记账!$N$4:$S$603,547,1)=0,"",INDEX(资金日记账!$N$4:$S$603,547,1))</f>
        <v/>
      </c>
      <c r="F2002" s="99" t="str">
        <f aca="false">IF($E2002="","",IFERROR(INDEX(科目表!$A$4:$A$81,MATCH($E2002,科目表!$B$4:$B$81,0)),""))</f>
        <v/>
      </c>
      <c r="G2002" s="67" t="str">
        <f aca="false">IF($E2002="","",IFERROR(INDEX(科目表!$E$4:$E$81,MATCH($E2002,科目表!$B$4:$B$81,0)),""))</f>
        <v/>
      </c>
      <c r="H2002" s="70" t="str">
        <f aca="false">IF($E2002="","",N(INDEX(资金日记账!$N$4:$S$603,547,2)))</f>
        <v/>
      </c>
      <c r="I2002" s="70" t="str">
        <f aca="false">IF($E2002="","",N(INDEX(资金日记账!$N$4:$S$603,547,3)))</f>
        <v/>
      </c>
      <c r="J2002" s="67" t="str">
        <f aca="false">IF($E2002="","",INDEX(资金日记账!$E$4:$E$603,547))</f>
        <v/>
      </c>
      <c r="K2002" s="67" t="str">
        <f aca="false">IF($E2002="","",INDEX(资金日记账!$F$4:$F$603,547))</f>
        <v/>
      </c>
      <c r="L2002" s="107" t="str">
        <f aca="false">IF($E2002="","",INDEX(资金日记账!$X$4:$X$603,547))</f>
        <v/>
      </c>
      <c r="M2002" s="107"/>
      <c r="N2002" s="67" t="str">
        <f aca="false">IF($E2002="","",INDEX(资金日记账!$Y$4:$Y$603,547))</f>
        <v/>
      </c>
      <c r="O2002" s="67" t="str">
        <f aca="false">IF($E2002="","","自动B")</f>
        <v/>
      </c>
      <c r="P2002" s="18"/>
    </row>
    <row r="2003" customFormat="false" ht="18" hidden="false" customHeight="true" outlineLevel="0" collapsed="false">
      <c r="A2003" s="107" t="str">
        <f aca="false">IF($E2003="","",ROW()-3)</f>
        <v/>
      </c>
      <c r="B2003" s="110" t="str">
        <f aca="false">IF($E2003="","",INDEX(资金日记账!$B$4:$B$603,547))</f>
        <v/>
      </c>
      <c r="C2003" s="67" t="str">
        <f aca="false">IF($E2003="","",IF(INDEX(资金日记账!$W$4:$W$603,547)="","记-"&amp;TEXT($B2003,"YYYYMM")&amp;"-资金",INDEX(资金日记账!$W$4:$W$603,547)))</f>
        <v/>
      </c>
      <c r="D2003" s="107" t="str">
        <f aca="false">IF($E2003="","",INDEX(资金日记账!$D$4:$D$603,547))</f>
        <v/>
      </c>
      <c r="E2003" s="67" t="str">
        <f aca="false">IF(INDEX(资金日记账!$N$4:$S$603,547,4)=0,"",INDEX(资金日记账!$N$4:$S$603,547,4))</f>
        <v/>
      </c>
      <c r="F2003" s="99" t="str">
        <f aca="false">IF($E2003="","",IFERROR(INDEX(科目表!$A$4:$A$81,MATCH($E2003,科目表!$B$4:$B$81,0)),""))</f>
        <v/>
      </c>
      <c r="G2003" s="67" t="str">
        <f aca="false">IF($E2003="","",IFERROR(INDEX(科目表!$E$4:$E$81,MATCH($E2003,科目表!$B$4:$B$81,0)),""))</f>
        <v/>
      </c>
      <c r="H2003" s="70" t="str">
        <f aca="false">IF($E2003="","",N(INDEX(资金日记账!$N$4:$S$603,547,5)))</f>
        <v/>
      </c>
      <c r="I2003" s="70" t="str">
        <f aca="false">IF($E2003="","",N(INDEX(资金日记账!$N$4:$S$603,547,6)))</f>
        <v/>
      </c>
      <c r="J2003" s="67" t="str">
        <f aca="false">IF($E2003="","",INDEX(资金日记账!$E$4:$E$603,547))</f>
        <v/>
      </c>
      <c r="K2003" s="67" t="str">
        <f aca="false">IF($E2003="","",INDEX(资金日记账!$F$4:$F$603,547))</f>
        <v/>
      </c>
      <c r="L2003" s="107" t="str">
        <f aca="false">IF($E2003="","",INDEX(资金日记账!$X$4:$X$603,547))</f>
        <v/>
      </c>
      <c r="M2003" s="107"/>
      <c r="N2003" s="67" t="str">
        <f aca="false">IF($E2003="","",INDEX(资金日记账!$Y$4:$Y$603,547))</f>
        <v/>
      </c>
      <c r="O2003" s="67" t="str">
        <f aca="false">IF($E2003="","","自动B")</f>
        <v/>
      </c>
      <c r="P2003" s="18"/>
    </row>
    <row r="2004" customFormat="false" ht="18" hidden="false" customHeight="true" outlineLevel="0" collapsed="false">
      <c r="A2004" s="107" t="str">
        <f aca="false">IF($E2004="","",ROW()-3)</f>
        <v/>
      </c>
      <c r="B2004" s="110" t="str">
        <f aca="false">IF($E2004="","",INDEX(资金日记账!$B$4:$B$603,548))</f>
        <v/>
      </c>
      <c r="C2004" s="67" t="str">
        <f aca="false">IF($E2004="","",IF(INDEX(资金日记账!$W$4:$W$603,548)="","记-"&amp;TEXT($B2004,"YYYYMM")&amp;"-资金",INDEX(资金日记账!$W$4:$W$603,548)))</f>
        <v/>
      </c>
      <c r="D2004" s="107" t="str">
        <f aca="false">IF($E2004="","",INDEX(资金日记账!$D$4:$D$603,548))</f>
        <v/>
      </c>
      <c r="E2004" s="67" t="str">
        <f aca="false">IF(INDEX(资金日记账!$N$4:$S$603,548,1)=0,"",INDEX(资金日记账!$N$4:$S$603,548,1))</f>
        <v/>
      </c>
      <c r="F2004" s="99" t="str">
        <f aca="false">IF($E2004="","",IFERROR(INDEX(科目表!$A$4:$A$81,MATCH($E2004,科目表!$B$4:$B$81,0)),""))</f>
        <v/>
      </c>
      <c r="G2004" s="67" t="str">
        <f aca="false">IF($E2004="","",IFERROR(INDEX(科目表!$E$4:$E$81,MATCH($E2004,科目表!$B$4:$B$81,0)),""))</f>
        <v/>
      </c>
      <c r="H2004" s="70" t="str">
        <f aca="false">IF($E2004="","",N(INDEX(资金日记账!$N$4:$S$603,548,2)))</f>
        <v/>
      </c>
      <c r="I2004" s="70" t="str">
        <f aca="false">IF($E2004="","",N(INDEX(资金日记账!$N$4:$S$603,548,3)))</f>
        <v/>
      </c>
      <c r="J2004" s="67" t="str">
        <f aca="false">IF($E2004="","",INDEX(资金日记账!$E$4:$E$603,548))</f>
        <v/>
      </c>
      <c r="K2004" s="67" t="str">
        <f aca="false">IF($E2004="","",INDEX(资金日记账!$F$4:$F$603,548))</f>
        <v/>
      </c>
      <c r="L2004" s="107" t="str">
        <f aca="false">IF($E2004="","",INDEX(资金日记账!$X$4:$X$603,548))</f>
        <v/>
      </c>
      <c r="M2004" s="107"/>
      <c r="N2004" s="67" t="str">
        <f aca="false">IF($E2004="","",INDEX(资金日记账!$Y$4:$Y$603,548))</f>
        <v/>
      </c>
      <c r="O2004" s="67" t="str">
        <f aca="false">IF($E2004="","","自动B")</f>
        <v/>
      </c>
      <c r="P2004" s="18"/>
    </row>
    <row r="2005" customFormat="false" ht="18" hidden="false" customHeight="true" outlineLevel="0" collapsed="false">
      <c r="A2005" s="107" t="str">
        <f aca="false">IF($E2005="","",ROW()-3)</f>
        <v/>
      </c>
      <c r="B2005" s="110" t="str">
        <f aca="false">IF($E2005="","",INDEX(资金日记账!$B$4:$B$603,548))</f>
        <v/>
      </c>
      <c r="C2005" s="67" t="str">
        <f aca="false">IF($E2005="","",IF(INDEX(资金日记账!$W$4:$W$603,548)="","记-"&amp;TEXT($B2005,"YYYYMM")&amp;"-资金",INDEX(资金日记账!$W$4:$W$603,548)))</f>
        <v/>
      </c>
      <c r="D2005" s="107" t="str">
        <f aca="false">IF($E2005="","",INDEX(资金日记账!$D$4:$D$603,548))</f>
        <v/>
      </c>
      <c r="E2005" s="67" t="str">
        <f aca="false">IF(INDEX(资金日记账!$N$4:$S$603,548,4)=0,"",INDEX(资金日记账!$N$4:$S$603,548,4))</f>
        <v/>
      </c>
      <c r="F2005" s="99" t="str">
        <f aca="false">IF($E2005="","",IFERROR(INDEX(科目表!$A$4:$A$81,MATCH($E2005,科目表!$B$4:$B$81,0)),""))</f>
        <v/>
      </c>
      <c r="G2005" s="67" t="str">
        <f aca="false">IF($E2005="","",IFERROR(INDEX(科目表!$E$4:$E$81,MATCH($E2005,科目表!$B$4:$B$81,0)),""))</f>
        <v/>
      </c>
      <c r="H2005" s="70" t="str">
        <f aca="false">IF($E2005="","",N(INDEX(资金日记账!$N$4:$S$603,548,5)))</f>
        <v/>
      </c>
      <c r="I2005" s="70" t="str">
        <f aca="false">IF($E2005="","",N(INDEX(资金日记账!$N$4:$S$603,548,6)))</f>
        <v/>
      </c>
      <c r="J2005" s="67" t="str">
        <f aca="false">IF($E2005="","",INDEX(资金日记账!$E$4:$E$603,548))</f>
        <v/>
      </c>
      <c r="K2005" s="67" t="str">
        <f aca="false">IF($E2005="","",INDEX(资金日记账!$F$4:$F$603,548))</f>
        <v/>
      </c>
      <c r="L2005" s="107" t="str">
        <f aca="false">IF($E2005="","",INDEX(资金日记账!$X$4:$X$603,548))</f>
        <v/>
      </c>
      <c r="M2005" s="107"/>
      <c r="N2005" s="67" t="str">
        <f aca="false">IF($E2005="","",INDEX(资金日记账!$Y$4:$Y$603,548))</f>
        <v/>
      </c>
      <c r="O2005" s="67" t="str">
        <f aca="false">IF($E2005="","","自动B")</f>
        <v/>
      </c>
      <c r="P2005" s="18"/>
    </row>
    <row r="2006" customFormat="false" ht="18" hidden="false" customHeight="true" outlineLevel="0" collapsed="false">
      <c r="A2006" s="107" t="str">
        <f aca="false">IF($E2006="","",ROW()-3)</f>
        <v/>
      </c>
      <c r="B2006" s="110" t="str">
        <f aca="false">IF($E2006="","",INDEX(资金日记账!$B$4:$B$603,549))</f>
        <v/>
      </c>
      <c r="C2006" s="67" t="str">
        <f aca="false">IF($E2006="","",IF(INDEX(资金日记账!$W$4:$W$603,549)="","记-"&amp;TEXT($B2006,"YYYYMM")&amp;"-资金",INDEX(资金日记账!$W$4:$W$603,549)))</f>
        <v/>
      </c>
      <c r="D2006" s="107" t="str">
        <f aca="false">IF($E2006="","",INDEX(资金日记账!$D$4:$D$603,549))</f>
        <v/>
      </c>
      <c r="E2006" s="67" t="str">
        <f aca="false">IF(INDEX(资金日记账!$N$4:$S$603,549,1)=0,"",INDEX(资金日记账!$N$4:$S$603,549,1))</f>
        <v/>
      </c>
      <c r="F2006" s="99" t="str">
        <f aca="false">IF($E2006="","",IFERROR(INDEX(科目表!$A$4:$A$81,MATCH($E2006,科目表!$B$4:$B$81,0)),""))</f>
        <v/>
      </c>
      <c r="G2006" s="67" t="str">
        <f aca="false">IF($E2006="","",IFERROR(INDEX(科目表!$E$4:$E$81,MATCH($E2006,科目表!$B$4:$B$81,0)),""))</f>
        <v/>
      </c>
      <c r="H2006" s="70" t="str">
        <f aca="false">IF($E2006="","",N(INDEX(资金日记账!$N$4:$S$603,549,2)))</f>
        <v/>
      </c>
      <c r="I2006" s="70" t="str">
        <f aca="false">IF($E2006="","",N(INDEX(资金日记账!$N$4:$S$603,549,3)))</f>
        <v/>
      </c>
      <c r="J2006" s="67" t="str">
        <f aca="false">IF($E2006="","",INDEX(资金日记账!$E$4:$E$603,549))</f>
        <v/>
      </c>
      <c r="K2006" s="67" t="str">
        <f aca="false">IF($E2006="","",INDEX(资金日记账!$F$4:$F$603,549))</f>
        <v/>
      </c>
      <c r="L2006" s="107" t="str">
        <f aca="false">IF($E2006="","",INDEX(资金日记账!$X$4:$X$603,549))</f>
        <v/>
      </c>
      <c r="M2006" s="107"/>
      <c r="N2006" s="67" t="str">
        <f aca="false">IF($E2006="","",INDEX(资金日记账!$Y$4:$Y$603,549))</f>
        <v/>
      </c>
      <c r="O2006" s="67" t="str">
        <f aca="false">IF($E2006="","","自动B")</f>
        <v/>
      </c>
      <c r="P2006" s="18"/>
    </row>
    <row r="2007" customFormat="false" ht="18" hidden="false" customHeight="true" outlineLevel="0" collapsed="false">
      <c r="A2007" s="107" t="str">
        <f aca="false">IF($E2007="","",ROW()-3)</f>
        <v/>
      </c>
      <c r="B2007" s="110" t="str">
        <f aca="false">IF($E2007="","",INDEX(资金日记账!$B$4:$B$603,549))</f>
        <v/>
      </c>
      <c r="C2007" s="67" t="str">
        <f aca="false">IF($E2007="","",IF(INDEX(资金日记账!$W$4:$W$603,549)="","记-"&amp;TEXT($B2007,"YYYYMM")&amp;"-资金",INDEX(资金日记账!$W$4:$W$603,549)))</f>
        <v/>
      </c>
      <c r="D2007" s="107" t="str">
        <f aca="false">IF($E2007="","",INDEX(资金日记账!$D$4:$D$603,549))</f>
        <v/>
      </c>
      <c r="E2007" s="67" t="str">
        <f aca="false">IF(INDEX(资金日记账!$N$4:$S$603,549,4)=0,"",INDEX(资金日记账!$N$4:$S$603,549,4))</f>
        <v/>
      </c>
      <c r="F2007" s="99" t="str">
        <f aca="false">IF($E2007="","",IFERROR(INDEX(科目表!$A$4:$A$81,MATCH($E2007,科目表!$B$4:$B$81,0)),""))</f>
        <v/>
      </c>
      <c r="G2007" s="67" t="str">
        <f aca="false">IF($E2007="","",IFERROR(INDEX(科目表!$E$4:$E$81,MATCH($E2007,科目表!$B$4:$B$81,0)),""))</f>
        <v/>
      </c>
      <c r="H2007" s="70" t="str">
        <f aca="false">IF($E2007="","",N(INDEX(资金日记账!$N$4:$S$603,549,5)))</f>
        <v/>
      </c>
      <c r="I2007" s="70" t="str">
        <f aca="false">IF($E2007="","",N(INDEX(资金日记账!$N$4:$S$603,549,6)))</f>
        <v/>
      </c>
      <c r="J2007" s="67" t="str">
        <f aca="false">IF($E2007="","",INDEX(资金日记账!$E$4:$E$603,549))</f>
        <v/>
      </c>
      <c r="K2007" s="67" t="str">
        <f aca="false">IF($E2007="","",INDEX(资金日记账!$F$4:$F$603,549))</f>
        <v/>
      </c>
      <c r="L2007" s="107" t="str">
        <f aca="false">IF($E2007="","",INDEX(资金日记账!$X$4:$X$603,549))</f>
        <v/>
      </c>
      <c r="M2007" s="107"/>
      <c r="N2007" s="67" t="str">
        <f aca="false">IF($E2007="","",INDEX(资金日记账!$Y$4:$Y$603,549))</f>
        <v/>
      </c>
      <c r="O2007" s="67" t="str">
        <f aca="false">IF($E2007="","","自动B")</f>
        <v/>
      </c>
      <c r="P2007" s="18"/>
    </row>
    <row r="2008" customFormat="false" ht="18" hidden="false" customHeight="true" outlineLevel="0" collapsed="false">
      <c r="A2008" s="107" t="str">
        <f aca="false">IF($E2008="","",ROW()-3)</f>
        <v/>
      </c>
      <c r="B2008" s="110" t="str">
        <f aca="false">IF($E2008="","",INDEX(资金日记账!$B$4:$B$603,550))</f>
        <v/>
      </c>
      <c r="C2008" s="67" t="str">
        <f aca="false">IF($E2008="","",IF(INDEX(资金日记账!$W$4:$W$603,550)="","记-"&amp;TEXT($B2008,"YYYYMM")&amp;"-资金",INDEX(资金日记账!$W$4:$W$603,550)))</f>
        <v/>
      </c>
      <c r="D2008" s="107" t="str">
        <f aca="false">IF($E2008="","",INDEX(资金日记账!$D$4:$D$603,550))</f>
        <v/>
      </c>
      <c r="E2008" s="67" t="str">
        <f aca="false">IF(INDEX(资金日记账!$N$4:$S$603,550,1)=0,"",INDEX(资金日记账!$N$4:$S$603,550,1))</f>
        <v/>
      </c>
      <c r="F2008" s="99" t="str">
        <f aca="false">IF($E2008="","",IFERROR(INDEX(科目表!$A$4:$A$81,MATCH($E2008,科目表!$B$4:$B$81,0)),""))</f>
        <v/>
      </c>
      <c r="G2008" s="67" t="str">
        <f aca="false">IF($E2008="","",IFERROR(INDEX(科目表!$E$4:$E$81,MATCH($E2008,科目表!$B$4:$B$81,0)),""))</f>
        <v/>
      </c>
      <c r="H2008" s="70" t="str">
        <f aca="false">IF($E2008="","",N(INDEX(资金日记账!$N$4:$S$603,550,2)))</f>
        <v/>
      </c>
      <c r="I2008" s="70" t="str">
        <f aca="false">IF($E2008="","",N(INDEX(资金日记账!$N$4:$S$603,550,3)))</f>
        <v/>
      </c>
      <c r="J2008" s="67" t="str">
        <f aca="false">IF($E2008="","",INDEX(资金日记账!$E$4:$E$603,550))</f>
        <v/>
      </c>
      <c r="K2008" s="67" t="str">
        <f aca="false">IF($E2008="","",INDEX(资金日记账!$F$4:$F$603,550))</f>
        <v/>
      </c>
      <c r="L2008" s="107" t="str">
        <f aca="false">IF($E2008="","",INDEX(资金日记账!$X$4:$X$603,550))</f>
        <v/>
      </c>
      <c r="M2008" s="107"/>
      <c r="N2008" s="67" t="str">
        <f aca="false">IF($E2008="","",INDEX(资金日记账!$Y$4:$Y$603,550))</f>
        <v/>
      </c>
      <c r="O2008" s="67" t="str">
        <f aca="false">IF($E2008="","","自动B")</f>
        <v/>
      </c>
      <c r="P2008" s="18"/>
    </row>
    <row r="2009" customFormat="false" ht="18" hidden="false" customHeight="true" outlineLevel="0" collapsed="false">
      <c r="A2009" s="107" t="str">
        <f aca="false">IF($E2009="","",ROW()-3)</f>
        <v/>
      </c>
      <c r="B2009" s="110" t="str">
        <f aca="false">IF($E2009="","",INDEX(资金日记账!$B$4:$B$603,550))</f>
        <v/>
      </c>
      <c r="C2009" s="67" t="str">
        <f aca="false">IF($E2009="","",IF(INDEX(资金日记账!$W$4:$W$603,550)="","记-"&amp;TEXT($B2009,"YYYYMM")&amp;"-资金",INDEX(资金日记账!$W$4:$W$603,550)))</f>
        <v/>
      </c>
      <c r="D2009" s="107" t="str">
        <f aca="false">IF($E2009="","",INDEX(资金日记账!$D$4:$D$603,550))</f>
        <v/>
      </c>
      <c r="E2009" s="67" t="str">
        <f aca="false">IF(INDEX(资金日记账!$N$4:$S$603,550,4)=0,"",INDEX(资金日记账!$N$4:$S$603,550,4))</f>
        <v/>
      </c>
      <c r="F2009" s="99" t="str">
        <f aca="false">IF($E2009="","",IFERROR(INDEX(科目表!$A$4:$A$81,MATCH($E2009,科目表!$B$4:$B$81,0)),""))</f>
        <v/>
      </c>
      <c r="G2009" s="67" t="str">
        <f aca="false">IF($E2009="","",IFERROR(INDEX(科目表!$E$4:$E$81,MATCH($E2009,科目表!$B$4:$B$81,0)),""))</f>
        <v/>
      </c>
      <c r="H2009" s="70" t="str">
        <f aca="false">IF($E2009="","",N(INDEX(资金日记账!$N$4:$S$603,550,5)))</f>
        <v/>
      </c>
      <c r="I2009" s="70" t="str">
        <f aca="false">IF($E2009="","",N(INDEX(资金日记账!$N$4:$S$603,550,6)))</f>
        <v/>
      </c>
      <c r="J2009" s="67" t="str">
        <f aca="false">IF($E2009="","",INDEX(资金日记账!$E$4:$E$603,550))</f>
        <v/>
      </c>
      <c r="K2009" s="67" t="str">
        <f aca="false">IF($E2009="","",INDEX(资金日记账!$F$4:$F$603,550))</f>
        <v/>
      </c>
      <c r="L2009" s="107" t="str">
        <f aca="false">IF($E2009="","",INDEX(资金日记账!$X$4:$X$603,550))</f>
        <v/>
      </c>
      <c r="M2009" s="107"/>
      <c r="N2009" s="67" t="str">
        <f aca="false">IF($E2009="","",INDEX(资金日记账!$Y$4:$Y$603,550))</f>
        <v/>
      </c>
      <c r="O2009" s="67" t="str">
        <f aca="false">IF($E2009="","","自动B")</f>
        <v/>
      </c>
      <c r="P2009" s="18"/>
    </row>
    <row r="2010" customFormat="false" ht="18" hidden="false" customHeight="true" outlineLevel="0" collapsed="false">
      <c r="A2010" s="107" t="str">
        <f aca="false">IF($E2010="","",ROW()-3)</f>
        <v/>
      </c>
      <c r="B2010" s="110" t="str">
        <f aca="false">IF($E2010="","",INDEX(资金日记账!$B$4:$B$603,551))</f>
        <v/>
      </c>
      <c r="C2010" s="67" t="str">
        <f aca="false">IF($E2010="","",IF(INDEX(资金日记账!$W$4:$W$603,551)="","记-"&amp;TEXT($B2010,"YYYYMM")&amp;"-资金",INDEX(资金日记账!$W$4:$W$603,551)))</f>
        <v/>
      </c>
      <c r="D2010" s="107" t="str">
        <f aca="false">IF($E2010="","",INDEX(资金日记账!$D$4:$D$603,551))</f>
        <v/>
      </c>
      <c r="E2010" s="67" t="str">
        <f aca="false">IF(INDEX(资金日记账!$N$4:$S$603,551,1)=0,"",INDEX(资金日记账!$N$4:$S$603,551,1))</f>
        <v/>
      </c>
      <c r="F2010" s="99" t="str">
        <f aca="false">IF($E2010="","",IFERROR(INDEX(科目表!$A$4:$A$81,MATCH($E2010,科目表!$B$4:$B$81,0)),""))</f>
        <v/>
      </c>
      <c r="G2010" s="67" t="str">
        <f aca="false">IF($E2010="","",IFERROR(INDEX(科目表!$E$4:$E$81,MATCH($E2010,科目表!$B$4:$B$81,0)),""))</f>
        <v/>
      </c>
      <c r="H2010" s="70" t="str">
        <f aca="false">IF($E2010="","",N(INDEX(资金日记账!$N$4:$S$603,551,2)))</f>
        <v/>
      </c>
      <c r="I2010" s="70" t="str">
        <f aca="false">IF($E2010="","",N(INDEX(资金日记账!$N$4:$S$603,551,3)))</f>
        <v/>
      </c>
      <c r="J2010" s="67" t="str">
        <f aca="false">IF($E2010="","",INDEX(资金日记账!$E$4:$E$603,551))</f>
        <v/>
      </c>
      <c r="K2010" s="67" t="str">
        <f aca="false">IF($E2010="","",INDEX(资金日记账!$F$4:$F$603,551))</f>
        <v/>
      </c>
      <c r="L2010" s="107" t="str">
        <f aca="false">IF($E2010="","",INDEX(资金日记账!$X$4:$X$603,551))</f>
        <v/>
      </c>
      <c r="M2010" s="107"/>
      <c r="N2010" s="67" t="str">
        <f aca="false">IF($E2010="","",INDEX(资金日记账!$Y$4:$Y$603,551))</f>
        <v/>
      </c>
      <c r="O2010" s="67" t="str">
        <f aca="false">IF($E2010="","","自动B")</f>
        <v/>
      </c>
      <c r="P2010" s="18"/>
    </row>
    <row r="2011" customFormat="false" ht="18" hidden="false" customHeight="true" outlineLevel="0" collapsed="false">
      <c r="A2011" s="107" t="str">
        <f aca="false">IF($E2011="","",ROW()-3)</f>
        <v/>
      </c>
      <c r="B2011" s="110" t="str">
        <f aca="false">IF($E2011="","",INDEX(资金日记账!$B$4:$B$603,551))</f>
        <v/>
      </c>
      <c r="C2011" s="67" t="str">
        <f aca="false">IF($E2011="","",IF(INDEX(资金日记账!$W$4:$W$603,551)="","记-"&amp;TEXT($B2011,"YYYYMM")&amp;"-资金",INDEX(资金日记账!$W$4:$W$603,551)))</f>
        <v/>
      </c>
      <c r="D2011" s="107" t="str">
        <f aca="false">IF($E2011="","",INDEX(资金日记账!$D$4:$D$603,551))</f>
        <v/>
      </c>
      <c r="E2011" s="67" t="str">
        <f aca="false">IF(INDEX(资金日记账!$N$4:$S$603,551,4)=0,"",INDEX(资金日记账!$N$4:$S$603,551,4))</f>
        <v/>
      </c>
      <c r="F2011" s="99" t="str">
        <f aca="false">IF($E2011="","",IFERROR(INDEX(科目表!$A$4:$A$81,MATCH($E2011,科目表!$B$4:$B$81,0)),""))</f>
        <v/>
      </c>
      <c r="G2011" s="67" t="str">
        <f aca="false">IF($E2011="","",IFERROR(INDEX(科目表!$E$4:$E$81,MATCH($E2011,科目表!$B$4:$B$81,0)),""))</f>
        <v/>
      </c>
      <c r="H2011" s="70" t="str">
        <f aca="false">IF($E2011="","",N(INDEX(资金日记账!$N$4:$S$603,551,5)))</f>
        <v/>
      </c>
      <c r="I2011" s="70" t="str">
        <f aca="false">IF($E2011="","",N(INDEX(资金日记账!$N$4:$S$603,551,6)))</f>
        <v/>
      </c>
      <c r="J2011" s="67" t="str">
        <f aca="false">IF($E2011="","",INDEX(资金日记账!$E$4:$E$603,551))</f>
        <v/>
      </c>
      <c r="K2011" s="67" t="str">
        <f aca="false">IF($E2011="","",INDEX(资金日记账!$F$4:$F$603,551))</f>
        <v/>
      </c>
      <c r="L2011" s="107" t="str">
        <f aca="false">IF($E2011="","",INDEX(资金日记账!$X$4:$X$603,551))</f>
        <v/>
      </c>
      <c r="M2011" s="107"/>
      <c r="N2011" s="67" t="str">
        <f aca="false">IF($E2011="","",INDEX(资金日记账!$Y$4:$Y$603,551))</f>
        <v/>
      </c>
      <c r="O2011" s="67" t="str">
        <f aca="false">IF($E2011="","","自动B")</f>
        <v/>
      </c>
      <c r="P2011" s="18"/>
    </row>
    <row r="2012" customFormat="false" ht="18" hidden="false" customHeight="true" outlineLevel="0" collapsed="false">
      <c r="A2012" s="107" t="str">
        <f aca="false">IF($E2012="","",ROW()-3)</f>
        <v/>
      </c>
      <c r="B2012" s="110" t="str">
        <f aca="false">IF($E2012="","",INDEX(资金日记账!$B$4:$B$603,552))</f>
        <v/>
      </c>
      <c r="C2012" s="67" t="str">
        <f aca="false">IF($E2012="","",IF(INDEX(资金日记账!$W$4:$W$603,552)="","记-"&amp;TEXT($B2012,"YYYYMM")&amp;"-资金",INDEX(资金日记账!$W$4:$W$603,552)))</f>
        <v/>
      </c>
      <c r="D2012" s="107" t="str">
        <f aca="false">IF($E2012="","",INDEX(资金日记账!$D$4:$D$603,552))</f>
        <v/>
      </c>
      <c r="E2012" s="67" t="str">
        <f aca="false">IF(INDEX(资金日记账!$N$4:$S$603,552,1)=0,"",INDEX(资金日记账!$N$4:$S$603,552,1))</f>
        <v/>
      </c>
      <c r="F2012" s="99" t="str">
        <f aca="false">IF($E2012="","",IFERROR(INDEX(科目表!$A$4:$A$81,MATCH($E2012,科目表!$B$4:$B$81,0)),""))</f>
        <v/>
      </c>
      <c r="G2012" s="67" t="str">
        <f aca="false">IF($E2012="","",IFERROR(INDEX(科目表!$E$4:$E$81,MATCH($E2012,科目表!$B$4:$B$81,0)),""))</f>
        <v/>
      </c>
      <c r="H2012" s="70" t="str">
        <f aca="false">IF($E2012="","",N(INDEX(资金日记账!$N$4:$S$603,552,2)))</f>
        <v/>
      </c>
      <c r="I2012" s="70" t="str">
        <f aca="false">IF($E2012="","",N(INDEX(资金日记账!$N$4:$S$603,552,3)))</f>
        <v/>
      </c>
      <c r="J2012" s="67" t="str">
        <f aca="false">IF($E2012="","",INDEX(资金日记账!$E$4:$E$603,552))</f>
        <v/>
      </c>
      <c r="K2012" s="67" t="str">
        <f aca="false">IF($E2012="","",INDEX(资金日记账!$F$4:$F$603,552))</f>
        <v/>
      </c>
      <c r="L2012" s="107" t="str">
        <f aca="false">IF($E2012="","",INDEX(资金日记账!$X$4:$X$603,552))</f>
        <v/>
      </c>
      <c r="M2012" s="107"/>
      <c r="N2012" s="67" t="str">
        <f aca="false">IF($E2012="","",INDEX(资金日记账!$Y$4:$Y$603,552))</f>
        <v/>
      </c>
      <c r="O2012" s="67" t="str">
        <f aca="false">IF($E2012="","","自动B")</f>
        <v/>
      </c>
      <c r="P2012" s="18"/>
    </row>
    <row r="2013" customFormat="false" ht="18" hidden="false" customHeight="true" outlineLevel="0" collapsed="false">
      <c r="A2013" s="107" t="str">
        <f aca="false">IF($E2013="","",ROW()-3)</f>
        <v/>
      </c>
      <c r="B2013" s="110" t="str">
        <f aca="false">IF($E2013="","",INDEX(资金日记账!$B$4:$B$603,552))</f>
        <v/>
      </c>
      <c r="C2013" s="67" t="str">
        <f aca="false">IF($E2013="","",IF(INDEX(资金日记账!$W$4:$W$603,552)="","记-"&amp;TEXT($B2013,"YYYYMM")&amp;"-资金",INDEX(资金日记账!$W$4:$W$603,552)))</f>
        <v/>
      </c>
      <c r="D2013" s="107" t="str">
        <f aca="false">IF($E2013="","",INDEX(资金日记账!$D$4:$D$603,552))</f>
        <v/>
      </c>
      <c r="E2013" s="67" t="str">
        <f aca="false">IF(INDEX(资金日记账!$N$4:$S$603,552,4)=0,"",INDEX(资金日记账!$N$4:$S$603,552,4))</f>
        <v/>
      </c>
      <c r="F2013" s="99" t="str">
        <f aca="false">IF($E2013="","",IFERROR(INDEX(科目表!$A$4:$A$81,MATCH($E2013,科目表!$B$4:$B$81,0)),""))</f>
        <v/>
      </c>
      <c r="G2013" s="67" t="str">
        <f aca="false">IF($E2013="","",IFERROR(INDEX(科目表!$E$4:$E$81,MATCH($E2013,科目表!$B$4:$B$81,0)),""))</f>
        <v/>
      </c>
      <c r="H2013" s="70" t="str">
        <f aca="false">IF($E2013="","",N(INDEX(资金日记账!$N$4:$S$603,552,5)))</f>
        <v/>
      </c>
      <c r="I2013" s="70" t="str">
        <f aca="false">IF($E2013="","",N(INDEX(资金日记账!$N$4:$S$603,552,6)))</f>
        <v/>
      </c>
      <c r="J2013" s="67" t="str">
        <f aca="false">IF($E2013="","",INDEX(资金日记账!$E$4:$E$603,552))</f>
        <v/>
      </c>
      <c r="K2013" s="67" t="str">
        <f aca="false">IF($E2013="","",INDEX(资金日记账!$F$4:$F$603,552))</f>
        <v/>
      </c>
      <c r="L2013" s="107" t="str">
        <f aca="false">IF($E2013="","",INDEX(资金日记账!$X$4:$X$603,552))</f>
        <v/>
      </c>
      <c r="M2013" s="107"/>
      <c r="N2013" s="67" t="str">
        <f aca="false">IF($E2013="","",INDEX(资金日记账!$Y$4:$Y$603,552))</f>
        <v/>
      </c>
      <c r="O2013" s="67" t="str">
        <f aca="false">IF($E2013="","","自动B")</f>
        <v/>
      </c>
      <c r="P2013" s="18"/>
    </row>
    <row r="2014" customFormat="false" ht="18" hidden="false" customHeight="true" outlineLevel="0" collapsed="false">
      <c r="A2014" s="107" t="str">
        <f aca="false">IF($E2014="","",ROW()-3)</f>
        <v/>
      </c>
      <c r="B2014" s="110" t="str">
        <f aca="false">IF($E2014="","",INDEX(资金日记账!$B$4:$B$603,553))</f>
        <v/>
      </c>
      <c r="C2014" s="67" t="str">
        <f aca="false">IF($E2014="","",IF(INDEX(资金日记账!$W$4:$W$603,553)="","记-"&amp;TEXT($B2014,"YYYYMM")&amp;"-资金",INDEX(资金日记账!$W$4:$W$603,553)))</f>
        <v/>
      </c>
      <c r="D2014" s="107" t="str">
        <f aca="false">IF($E2014="","",INDEX(资金日记账!$D$4:$D$603,553))</f>
        <v/>
      </c>
      <c r="E2014" s="67" t="str">
        <f aca="false">IF(INDEX(资金日记账!$N$4:$S$603,553,1)=0,"",INDEX(资金日记账!$N$4:$S$603,553,1))</f>
        <v/>
      </c>
      <c r="F2014" s="99" t="str">
        <f aca="false">IF($E2014="","",IFERROR(INDEX(科目表!$A$4:$A$81,MATCH($E2014,科目表!$B$4:$B$81,0)),""))</f>
        <v/>
      </c>
      <c r="G2014" s="67" t="str">
        <f aca="false">IF($E2014="","",IFERROR(INDEX(科目表!$E$4:$E$81,MATCH($E2014,科目表!$B$4:$B$81,0)),""))</f>
        <v/>
      </c>
      <c r="H2014" s="70" t="str">
        <f aca="false">IF($E2014="","",N(INDEX(资金日记账!$N$4:$S$603,553,2)))</f>
        <v/>
      </c>
      <c r="I2014" s="70" t="str">
        <f aca="false">IF($E2014="","",N(INDEX(资金日记账!$N$4:$S$603,553,3)))</f>
        <v/>
      </c>
      <c r="J2014" s="67" t="str">
        <f aca="false">IF($E2014="","",INDEX(资金日记账!$E$4:$E$603,553))</f>
        <v/>
      </c>
      <c r="K2014" s="67" t="str">
        <f aca="false">IF($E2014="","",INDEX(资金日记账!$F$4:$F$603,553))</f>
        <v/>
      </c>
      <c r="L2014" s="107" t="str">
        <f aca="false">IF($E2014="","",INDEX(资金日记账!$X$4:$X$603,553))</f>
        <v/>
      </c>
      <c r="M2014" s="107"/>
      <c r="N2014" s="67" t="str">
        <f aca="false">IF($E2014="","",INDEX(资金日记账!$Y$4:$Y$603,553))</f>
        <v/>
      </c>
      <c r="O2014" s="67" t="str">
        <f aca="false">IF($E2014="","","自动B")</f>
        <v/>
      </c>
      <c r="P2014" s="18"/>
    </row>
    <row r="2015" customFormat="false" ht="18" hidden="false" customHeight="true" outlineLevel="0" collapsed="false">
      <c r="A2015" s="107" t="str">
        <f aca="false">IF($E2015="","",ROW()-3)</f>
        <v/>
      </c>
      <c r="B2015" s="110" t="str">
        <f aca="false">IF($E2015="","",INDEX(资金日记账!$B$4:$B$603,553))</f>
        <v/>
      </c>
      <c r="C2015" s="67" t="str">
        <f aca="false">IF($E2015="","",IF(INDEX(资金日记账!$W$4:$W$603,553)="","记-"&amp;TEXT($B2015,"YYYYMM")&amp;"-资金",INDEX(资金日记账!$W$4:$W$603,553)))</f>
        <v/>
      </c>
      <c r="D2015" s="107" t="str">
        <f aca="false">IF($E2015="","",INDEX(资金日记账!$D$4:$D$603,553))</f>
        <v/>
      </c>
      <c r="E2015" s="67" t="str">
        <f aca="false">IF(INDEX(资金日记账!$N$4:$S$603,553,4)=0,"",INDEX(资金日记账!$N$4:$S$603,553,4))</f>
        <v/>
      </c>
      <c r="F2015" s="99" t="str">
        <f aca="false">IF($E2015="","",IFERROR(INDEX(科目表!$A$4:$A$81,MATCH($E2015,科目表!$B$4:$B$81,0)),""))</f>
        <v/>
      </c>
      <c r="G2015" s="67" t="str">
        <f aca="false">IF($E2015="","",IFERROR(INDEX(科目表!$E$4:$E$81,MATCH($E2015,科目表!$B$4:$B$81,0)),""))</f>
        <v/>
      </c>
      <c r="H2015" s="70" t="str">
        <f aca="false">IF($E2015="","",N(INDEX(资金日记账!$N$4:$S$603,553,5)))</f>
        <v/>
      </c>
      <c r="I2015" s="70" t="str">
        <f aca="false">IF($E2015="","",N(INDEX(资金日记账!$N$4:$S$603,553,6)))</f>
        <v/>
      </c>
      <c r="J2015" s="67" t="str">
        <f aca="false">IF($E2015="","",INDEX(资金日记账!$E$4:$E$603,553))</f>
        <v/>
      </c>
      <c r="K2015" s="67" t="str">
        <f aca="false">IF($E2015="","",INDEX(资金日记账!$F$4:$F$603,553))</f>
        <v/>
      </c>
      <c r="L2015" s="107" t="str">
        <f aca="false">IF($E2015="","",INDEX(资金日记账!$X$4:$X$603,553))</f>
        <v/>
      </c>
      <c r="M2015" s="107"/>
      <c r="N2015" s="67" t="str">
        <f aca="false">IF($E2015="","",INDEX(资金日记账!$Y$4:$Y$603,553))</f>
        <v/>
      </c>
      <c r="O2015" s="67" t="str">
        <f aca="false">IF($E2015="","","自动B")</f>
        <v/>
      </c>
      <c r="P2015" s="18"/>
    </row>
    <row r="2016" customFormat="false" ht="18" hidden="false" customHeight="true" outlineLevel="0" collapsed="false">
      <c r="A2016" s="107" t="str">
        <f aca="false">IF($E2016="","",ROW()-3)</f>
        <v/>
      </c>
      <c r="B2016" s="110" t="str">
        <f aca="false">IF($E2016="","",INDEX(资金日记账!$B$4:$B$603,554))</f>
        <v/>
      </c>
      <c r="C2016" s="67" t="str">
        <f aca="false">IF($E2016="","",IF(INDEX(资金日记账!$W$4:$W$603,554)="","记-"&amp;TEXT($B2016,"YYYYMM")&amp;"-资金",INDEX(资金日记账!$W$4:$W$603,554)))</f>
        <v/>
      </c>
      <c r="D2016" s="107" t="str">
        <f aca="false">IF($E2016="","",INDEX(资金日记账!$D$4:$D$603,554))</f>
        <v/>
      </c>
      <c r="E2016" s="67" t="str">
        <f aca="false">IF(INDEX(资金日记账!$N$4:$S$603,554,1)=0,"",INDEX(资金日记账!$N$4:$S$603,554,1))</f>
        <v/>
      </c>
      <c r="F2016" s="99" t="str">
        <f aca="false">IF($E2016="","",IFERROR(INDEX(科目表!$A$4:$A$81,MATCH($E2016,科目表!$B$4:$B$81,0)),""))</f>
        <v/>
      </c>
      <c r="G2016" s="67" t="str">
        <f aca="false">IF($E2016="","",IFERROR(INDEX(科目表!$E$4:$E$81,MATCH($E2016,科目表!$B$4:$B$81,0)),""))</f>
        <v/>
      </c>
      <c r="H2016" s="70" t="str">
        <f aca="false">IF($E2016="","",N(INDEX(资金日记账!$N$4:$S$603,554,2)))</f>
        <v/>
      </c>
      <c r="I2016" s="70" t="str">
        <f aca="false">IF($E2016="","",N(INDEX(资金日记账!$N$4:$S$603,554,3)))</f>
        <v/>
      </c>
      <c r="J2016" s="67" t="str">
        <f aca="false">IF($E2016="","",INDEX(资金日记账!$E$4:$E$603,554))</f>
        <v/>
      </c>
      <c r="K2016" s="67" t="str">
        <f aca="false">IF($E2016="","",INDEX(资金日记账!$F$4:$F$603,554))</f>
        <v/>
      </c>
      <c r="L2016" s="107" t="str">
        <f aca="false">IF($E2016="","",INDEX(资金日记账!$X$4:$X$603,554))</f>
        <v/>
      </c>
      <c r="M2016" s="107"/>
      <c r="N2016" s="67" t="str">
        <f aca="false">IF($E2016="","",INDEX(资金日记账!$Y$4:$Y$603,554))</f>
        <v/>
      </c>
      <c r="O2016" s="67" t="str">
        <f aca="false">IF($E2016="","","自动B")</f>
        <v/>
      </c>
      <c r="P2016" s="18"/>
    </row>
    <row r="2017" customFormat="false" ht="18" hidden="false" customHeight="true" outlineLevel="0" collapsed="false">
      <c r="A2017" s="107" t="str">
        <f aca="false">IF($E2017="","",ROW()-3)</f>
        <v/>
      </c>
      <c r="B2017" s="110" t="str">
        <f aca="false">IF($E2017="","",INDEX(资金日记账!$B$4:$B$603,554))</f>
        <v/>
      </c>
      <c r="C2017" s="67" t="str">
        <f aca="false">IF($E2017="","",IF(INDEX(资金日记账!$W$4:$W$603,554)="","记-"&amp;TEXT($B2017,"YYYYMM")&amp;"-资金",INDEX(资金日记账!$W$4:$W$603,554)))</f>
        <v/>
      </c>
      <c r="D2017" s="107" t="str">
        <f aca="false">IF($E2017="","",INDEX(资金日记账!$D$4:$D$603,554))</f>
        <v/>
      </c>
      <c r="E2017" s="67" t="str">
        <f aca="false">IF(INDEX(资金日记账!$N$4:$S$603,554,4)=0,"",INDEX(资金日记账!$N$4:$S$603,554,4))</f>
        <v/>
      </c>
      <c r="F2017" s="99" t="str">
        <f aca="false">IF($E2017="","",IFERROR(INDEX(科目表!$A$4:$A$81,MATCH($E2017,科目表!$B$4:$B$81,0)),""))</f>
        <v/>
      </c>
      <c r="G2017" s="67" t="str">
        <f aca="false">IF($E2017="","",IFERROR(INDEX(科目表!$E$4:$E$81,MATCH($E2017,科目表!$B$4:$B$81,0)),""))</f>
        <v/>
      </c>
      <c r="H2017" s="70" t="str">
        <f aca="false">IF($E2017="","",N(INDEX(资金日记账!$N$4:$S$603,554,5)))</f>
        <v/>
      </c>
      <c r="I2017" s="70" t="str">
        <f aca="false">IF($E2017="","",N(INDEX(资金日记账!$N$4:$S$603,554,6)))</f>
        <v/>
      </c>
      <c r="J2017" s="67" t="str">
        <f aca="false">IF($E2017="","",INDEX(资金日记账!$E$4:$E$603,554))</f>
        <v/>
      </c>
      <c r="K2017" s="67" t="str">
        <f aca="false">IF($E2017="","",INDEX(资金日记账!$F$4:$F$603,554))</f>
        <v/>
      </c>
      <c r="L2017" s="107" t="str">
        <f aca="false">IF($E2017="","",INDEX(资金日记账!$X$4:$X$603,554))</f>
        <v/>
      </c>
      <c r="M2017" s="107"/>
      <c r="N2017" s="67" t="str">
        <f aca="false">IF($E2017="","",INDEX(资金日记账!$Y$4:$Y$603,554))</f>
        <v/>
      </c>
      <c r="O2017" s="67" t="str">
        <f aca="false">IF($E2017="","","自动B")</f>
        <v/>
      </c>
      <c r="P2017" s="18"/>
    </row>
    <row r="2018" customFormat="false" ht="18" hidden="false" customHeight="true" outlineLevel="0" collapsed="false">
      <c r="A2018" s="107" t="str">
        <f aca="false">IF($E2018="","",ROW()-3)</f>
        <v/>
      </c>
      <c r="B2018" s="110" t="str">
        <f aca="false">IF($E2018="","",INDEX(资金日记账!$B$4:$B$603,555))</f>
        <v/>
      </c>
      <c r="C2018" s="67" t="str">
        <f aca="false">IF($E2018="","",IF(INDEX(资金日记账!$W$4:$W$603,555)="","记-"&amp;TEXT($B2018,"YYYYMM")&amp;"-资金",INDEX(资金日记账!$W$4:$W$603,555)))</f>
        <v/>
      </c>
      <c r="D2018" s="107" t="str">
        <f aca="false">IF($E2018="","",INDEX(资金日记账!$D$4:$D$603,555))</f>
        <v/>
      </c>
      <c r="E2018" s="67" t="str">
        <f aca="false">IF(INDEX(资金日记账!$N$4:$S$603,555,1)=0,"",INDEX(资金日记账!$N$4:$S$603,555,1))</f>
        <v/>
      </c>
      <c r="F2018" s="99" t="str">
        <f aca="false">IF($E2018="","",IFERROR(INDEX(科目表!$A$4:$A$81,MATCH($E2018,科目表!$B$4:$B$81,0)),""))</f>
        <v/>
      </c>
      <c r="G2018" s="67" t="str">
        <f aca="false">IF($E2018="","",IFERROR(INDEX(科目表!$E$4:$E$81,MATCH($E2018,科目表!$B$4:$B$81,0)),""))</f>
        <v/>
      </c>
      <c r="H2018" s="70" t="str">
        <f aca="false">IF($E2018="","",N(INDEX(资金日记账!$N$4:$S$603,555,2)))</f>
        <v/>
      </c>
      <c r="I2018" s="70" t="str">
        <f aca="false">IF($E2018="","",N(INDEX(资金日记账!$N$4:$S$603,555,3)))</f>
        <v/>
      </c>
      <c r="J2018" s="67" t="str">
        <f aca="false">IF($E2018="","",INDEX(资金日记账!$E$4:$E$603,555))</f>
        <v/>
      </c>
      <c r="K2018" s="67" t="str">
        <f aca="false">IF($E2018="","",INDEX(资金日记账!$F$4:$F$603,555))</f>
        <v/>
      </c>
      <c r="L2018" s="107" t="str">
        <f aca="false">IF($E2018="","",INDEX(资金日记账!$X$4:$X$603,555))</f>
        <v/>
      </c>
      <c r="M2018" s="107"/>
      <c r="N2018" s="67" t="str">
        <f aca="false">IF($E2018="","",INDEX(资金日记账!$Y$4:$Y$603,555))</f>
        <v/>
      </c>
      <c r="O2018" s="67" t="str">
        <f aca="false">IF($E2018="","","自动B")</f>
        <v/>
      </c>
      <c r="P2018" s="18"/>
    </row>
    <row r="2019" customFormat="false" ht="18" hidden="false" customHeight="true" outlineLevel="0" collapsed="false">
      <c r="A2019" s="107" t="str">
        <f aca="false">IF($E2019="","",ROW()-3)</f>
        <v/>
      </c>
      <c r="B2019" s="110" t="str">
        <f aca="false">IF($E2019="","",INDEX(资金日记账!$B$4:$B$603,555))</f>
        <v/>
      </c>
      <c r="C2019" s="67" t="str">
        <f aca="false">IF($E2019="","",IF(INDEX(资金日记账!$W$4:$W$603,555)="","记-"&amp;TEXT($B2019,"YYYYMM")&amp;"-资金",INDEX(资金日记账!$W$4:$W$603,555)))</f>
        <v/>
      </c>
      <c r="D2019" s="107" t="str">
        <f aca="false">IF($E2019="","",INDEX(资金日记账!$D$4:$D$603,555))</f>
        <v/>
      </c>
      <c r="E2019" s="67" t="str">
        <f aca="false">IF(INDEX(资金日记账!$N$4:$S$603,555,4)=0,"",INDEX(资金日记账!$N$4:$S$603,555,4))</f>
        <v/>
      </c>
      <c r="F2019" s="99" t="str">
        <f aca="false">IF($E2019="","",IFERROR(INDEX(科目表!$A$4:$A$81,MATCH($E2019,科目表!$B$4:$B$81,0)),""))</f>
        <v/>
      </c>
      <c r="G2019" s="67" t="str">
        <f aca="false">IF($E2019="","",IFERROR(INDEX(科目表!$E$4:$E$81,MATCH($E2019,科目表!$B$4:$B$81,0)),""))</f>
        <v/>
      </c>
      <c r="H2019" s="70" t="str">
        <f aca="false">IF($E2019="","",N(INDEX(资金日记账!$N$4:$S$603,555,5)))</f>
        <v/>
      </c>
      <c r="I2019" s="70" t="str">
        <f aca="false">IF($E2019="","",N(INDEX(资金日记账!$N$4:$S$603,555,6)))</f>
        <v/>
      </c>
      <c r="J2019" s="67" t="str">
        <f aca="false">IF($E2019="","",INDEX(资金日记账!$E$4:$E$603,555))</f>
        <v/>
      </c>
      <c r="K2019" s="67" t="str">
        <f aca="false">IF($E2019="","",INDEX(资金日记账!$F$4:$F$603,555))</f>
        <v/>
      </c>
      <c r="L2019" s="107" t="str">
        <f aca="false">IF($E2019="","",INDEX(资金日记账!$X$4:$X$603,555))</f>
        <v/>
      </c>
      <c r="M2019" s="107"/>
      <c r="N2019" s="67" t="str">
        <f aca="false">IF($E2019="","",INDEX(资金日记账!$Y$4:$Y$603,555))</f>
        <v/>
      </c>
      <c r="O2019" s="67" t="str">
        <f aca="false">IF($E2019="","","自动B")</f>
        <v/>
      </c>
      <c r="P2019" s="18"/>
    </row>
    <row r="2020" customFormat="false" ht="18" hidden="false" customHeight="true" outlineLevel="0" collapsed="false">
      <c r="A2020" s="107" t="str">
        <f aca="false">IF($E2020="","",ROW()-3)</f>
        <v/>
      </c>
      <c r="B2020" s="110" t="str">
        <f aca="false">IF($E2020="","",INDEX(资金日记账!$B$4:$B$603,556))</f>
        <v/>
      </c>
      <c r="C2020" s="67" t="str">
        <f aca="false">IF($E2020="","",IF(INDEX(资金日记账!$W$4:$W$603,556)="","记-"&amp;TEXT($B2020,"YYYYMM")&amp;"-资金",INDEX(资金日记账!$W$4:$W$603,556)))</f>
        <v/>
      </c>
      <c r="D2020" s="107" t="str">
        <f aca="false">IF($E2020="","",INDEX(资金日记账!$D$4:$D$603,556))</f>
        <v/>
      </c>
      <c r="E2020" s="67" t="str">
        <f aca="false">IF(INDEX(资金日记账!$N$4:$S$603,556,1)=0,"",INDEX(资金日记账!$N$4:$S$603,556,1))</f>
        <v/>
      </c>
      <c r="F2020" s="99" t="str">
        <f aca="false">IF($E2020="","",IFERROR(INDEX(科目表!$A$4:$A$81,MATCH($E2020,科目表!$B$4:$B$81,0)),""))</f>
        <v/>
      </c>
      <c r="G2020" s="67" t="str">
        <f aca="false">IF($E2020="","",IFERROR(INDEX(科目表!$E$4:$E$81,MATCH($E2020,科目表!$B$4:$B$81,0)),""))</f>
        <v/>
      </c>
      <c r="H2020" s="70" t="str">
        <f aca="false">IF($E2020="","",N(INDEX(资金日记账!$N$4:$S$603,556,2)))</f>
        <v/>
      </c>
      <c r="I2020" s="70" t="str">
        <f aca="false">IF($E2020="","",N(INDEX(资金日记账!$N$4:$S$603,556,3)))</f>
        <v/>
      </c>
      <c r="J2020" s="67" t="str">
        <f aca="false">IF($E2020="","",INDEX(资金日记账!$E$4:$E$603,556))</f>
        <v/>
      </c>
      <c r="K2020" s="67" t="str">
        <f aca="false">IF($E2020="","",INDEX(资金日记账!$F$4:$F$603,556))</f>
        <v/>
      </c>
      <c r="L2020" s="107" t="str">
        <f aca="false">IF($E2020="","",INDEX(资金日记账!$X$4:$X$603,556))</f>
        <v/>
      </c>
      <c r="M2020" s="107"/>
      <c r="N2020" s="67" t="str">
        <f aca="false">IF($E2020="","",INDEX(资金日记账!$Y$4:$Y$603,556))</f>
        <v/>
      </c>
      <c r="O2020" s="67" t="str">
        <f aca="false">IF($E2020="","","自动B")</f>
        <v/>
      </c>
      <c r="P2020" s="18"/>
    </row>
    <row r="2021" customFormat="false" ht="18" hidden="false" customHeight="true" outlineLevel="0" collapsed="false">
      <c r="A2021" s="107" t="str">
        <f aca="false">IF($E2021="","",ROW()-3)</f>
        <v/>
      </c>
      <c r="B2021" s="110" t="str">
        <f aca="false">IF($E2021="","",INDEX(资金日记账!$B$4:$B$603,556))</f>
        <v/>
      </c>
      <c r="C2021" s="67" t="str">
        <f aca="false">IF($E2021="","",IF(INDEX(资金日记账!$W$4:$W$603,556)="","记-"&amp;TEXT($B2021,"YYYYMM")&amp;"-资金",INDEX(资金日记账!$W$4:$W$603,556)))</f>
        <v/>
      </c>
      <c r="D2021" s="107" t="str">
        <f aca="false">IF($E2021="","",INDEX(资金日记账!$D$4:$D$603,556))</f>
        <v/>
      </c>
      <c r="E2021" s="67" t="str">
        <f aca="false">IF(INDEX(资金日记账!$N$4:$S$603,556,4)=0,"",INDEX(资金日记账!$N$4:$S$603,556,4))</f>
        <v/>
      </c>
      <c r="F2021" s="99" t="str">
        <f aca="false">IF($E2021="","",IFERROR(INDEX(科目表!$A$4:$A$81,MATCH($E2021,科目表!$B$4:$B$81,0)),""))</f>
        <v/>
      </c>
      <c r="G2021" s="67" t="str">
        <f aca="false">IF($E2021="","",IFERROR(INDEX(科目表!$E$4:$E$81,MATCH($E2021,科目表!$B$4:$B$81,0)),""))</f>
        <v/>
      </c>
      <c r="H2021" s="70" t="str">
        <f aca="false">IF($E2021="","",N(INDEX(资金日记账!$N$4:$S$603,556,5)))</f>
        <v/>
      </c>
      <c r="I2021" s="70" t="str">
        <f aca="false">IF($E2021="","",N(INDEX(资金日记账!$N$4:$S$603,556,6)))</f>
        <v/>
      </c>
      <c r="J2021" s="67" t="str">
        <f aca="false">IF($E2021="","",INDEX(资金日记账!$E$4:$E$603,556))</f>
        <v/>
      </c>
      <c r="K2021" s="67" t="str">
        <f aca="false">IF($E2021="","",INDEX(资金日记账!$F$4:$F$603,556))</f>
        <v/>
      </c>
      <c r="L2021" s="107" t="str">
        <f aca="false">IF($E2021="","",INDEX(资金日记账!$X$4:$X$603,556))</f>
        <v/>
      </c>
      <c r="M2021" s="107"/>
      <c r="N2021" s="67" t="str">
        <f aca="false">IF($E2021="","",INDEX(资金日记账!$Y$4:$Y$603,556))</f>
        <v/>
      </c>
      <c r="O2021" s="67" t="str">
        <f aca="false">IF($E2021="","","自动B")</f>
        <v/>
      </c>
      <c r="P2021" s="18"/>
    </row>
    <row r="2022" customFormat="false" ht="18" hidden="false" customHeight="true" outlineLevel="0" collapsed="false">
      <c r="A2022" s="107" t="str">
        <f aca="false">IF($E2022="","",ROW()-3)</f>
        <v/>
      </c>
      <c r="B2022" s="110" t="str">
        <f aca="false">IF($E2022="","",INDEX(资金日记账!$B$4:$B$603,557))</f>
        <v/>
      </c>
      <c r="C2022" s="67" t="str">
        <f aca="false">IF($E2022="","",IF(INDEX(资金日记账!$W$4:$W$603,557)="","记-"&amp;TEXT($B2022,"YYYYMM")&amp;"-资金",INDEX(资金日记账!$W$4:$W$603,557)))</f>
        <v/>
      </c>
      <c r="D2022" s="107" t="str">
        <f aca="false">IF($E2022="","",INDEX(资金日记账!$D$4:$D$603,557))</f>
        <v/>
      </c>
      <c r="E2022" s="67" t="str">
        <f aca="false">IF(INDEX(资金日记账!$N$4:$S$603,557,1)=0,"",INDEX(资金日记账!$N$4:$S$603,557,1))</f>
        <v/>
      </c>
      <c r="F2022" s="99" t="str">
        <f aca="false">IF($E2022="","",IFERROR(INDEX(科目表!$A$4:$A$81,MATCH($E2022,科目表!$B$4:$B$81,0)),""))</f>
        <v/>
      </c>
      <c r="G2022" s="67" t="str">
        <f aca="false">IF($E2022="","",IFERROR(INDEX(科目表!$E$4:$E$81,MATCH($E2022,科目表!$B$4:$B$81,0)),""))</f>
        <v/>
      </c>
      <c r="H2022" s="70" t="str">
        <f aca="false">IF($E2022="","",N(INDEX(资金日记账!$N$4:$S$603,557,2)))</f>
        <v/>
      </c>
      <c r="I2022" s="70" t="str">
        <f aca="false">IF($E2022="","",N(INDEX(资金日记账!$N$4:$S$603,557,3)))</f>
        <v/>
      </c>
      <c r="J2022" s="67" t="str">
        <f aca="false">IF($E2022="","",INDEX(资金日记账!$E$4:$E$603,557))</f>
        <v/>
      </c>
      <c r="K2022" s="67" t="str">
        <f aca="false">IF($E2022="","",INDEX(资金日记账!$F$4:$F$603,557))</f>
        <v/>
      </c>
      <c r="L2022" s="107" t="str">
        <f aca="false">IF($E2022="","",INDEX(资金日记账!$X$4:$X$603,557))</f>
        <v/>
      </c>
      <c r="M2022" s="107"/>
      <c r="N2022" s="67" t="str">
        <f aca="false">IF($E2022="","",INDEX(资金日记账!$Y$4:$Y$603,557))</f>
        <v/>
      </c>
      <c r="O2022" s="67" t="str">
        <f aca="false">IF($E2022="","","自动B")</f>
        <v/>
      </c>
      <c r="P2022" s="18"/>
    </row>
    <row r="2023" customFormat="false" ht="18" hidden="false" customHeight="true" outlineLevel="0" collapsed="false">
      <c r="A2023" s="107" t="str">
        <f aca="false">IF($E2023="","",ROW()-3)</f>
        <v/>
      </c>
      <c r="B2023" s="110" t="str">
        <f aca="false">IF($E2023="","",INDEX(资金日记账!$B$4:$B$603,557))</f>
        <v/>
      </c>
      <c r="C2023" s="67" t="str">
        <f aca="false">IF($E2023="","",IF(INDEX(资金日记账!$W$4:$W$603,557)="","记-"&amp;TEXT($B2023,"YYYYMM")&amp;"-资金",INDEX(资金日记账!$W$4:$W$603,557)))</f>
        <v/>
      </c>
      <c r="D2023" s="107" t="str">
        <f aca="false">IF($E2023="","",INDEX(资金日记账!$D$4:$D$603,557))</f>
        <v/>
      </c>
      <c r="E2023" s="67" t="str">
        <f aca="false">IF(INDEX(资金日记账!$N$4:$S$603,557,4)=0,"",INDEX(资金日记账!$N$4:$S$603,557,4))</f>
        <v/>
      </c>
      <c r="F2023" s="99" t="str">
        <f aca="false">IF($E2023="","",IFERROR(INDEX(科目表!$A$4:$A$81,MATCH($E2023,科目表!$B$4:$B$81,0)),""))</f>
        <v/>
      </c>
      <c r="G2023" s="67" t="str">
        <f aca="false">IF($E2023="","",IFERROR(INDEX(科目表!$E$4:$E$81,MATCH($E2023,科目表!$B$4:$B$81,0)),""))</f>
        <v/>
      </c>
      <c r="H2023" s="70" t="str">
        <f aca="false">IF($E2023="","",N(INDEX(资金日记账!$N$4:$S$603,557,5)))</f>
        <v/>
      </c>
      <c r="I2023" s="70" t="str">
        <f aca="false">IF($E2023="","",N(INDEX(资金日记账!$N$4:$S$603,557,6)))</f>
        <v/>
      </c>
      <c r="J2023" s="67" t="str">
        <f aca="false">IF($E2023="","",INDEX(资金日记账!$E$4:$E$603,557))</f>
        <v/>
      </c>
      <c r="K2023" s="67" t="str">
        <f aca="false">IF($E2023="","",INDEX(资金日记账!$F$4:$F$603,557))</f>
        <v/>
      </c>
      <c r="L2023" s="107" t="str">
        <f aca="false">IF($E2023="","",INDEX(资金日记账!$X$4:$X$603,557))</f>
        <v/>
      </c>
      <c r="M2023" s="107"/>
      <c r="N2023" s="67" t="str">
        <f aca="false">IF($E2023="","",INDEX(资金日记账!$Y$4:$Y$603,557))</f>
        <v/>
      </c>
      <c r="O2023" s="67" t="str">
        <f aca="false">IF($E2023="","","自动B")</f>
        <v/>
      </c>
      <c r="P2023" s="18"/>
    </row>
    <row r="2024" customFormat="false" ht="18" hidden="false" customHeight="true" outlineLevel="0" collapsed="false">
      <c r="A2024" s="107" t="str">
        <f aca="false">IF($E2024="","",ROW()-3)</f>
        <v/>
      </c>
      <c r="B2024" s="110" t="str">
        <f aca="false">IF($E2024="","",INDEX(资金日记账!$B$4:$B$603,558))</f>
        <v/>
      </c>
      <c r="C2024" s="67" t="str">
        <f aca="false">IF($E2024="","",IF(INDEX(资金日记账!$W$4:$W$603,558)="","记-"&amp;TEXT($B2024,"YYYYMM")&amp;"-资金",INDEX(资金日记账!$W$4:$W$603,558)))</f>
        <v/>
      </c>
      <c r="D2024" s="107" t="str">
        <f aca="false">IF($E2024="","",INDEX(资金日记账!$D$4:$D$603,558))</f>
        <v/>
      </c>
      <c r="E2024" s="67" t="str">
        <f aca="false">IF(INDEX(资金日记账!$N$4:$S$603,558,1)=0,"",INDEX(资金日记账!$N$4:$S$603,558,1))</f>
        <v/>
      </c>
      <c r="F2024" s="99" t="str">
        <f aca="false">IF($E2024="","",IFERROR(INDEX(科目表!$A$4:$A$81,MATCH($E2024,科目表!$B$4:$B$81,0)),""))</f>
        <v/>
      </c>
      <c r="G2024" s="67" t="str">
        <f aca="false">IF($E2024="","",IFERROR(INDEX(科目表!$E$4:$E$81,MATCH($E2024,科目表!$B$4:$B$81,0)),""))</f>
        <v/>
      </c>
      <c r="H2024" s="70" t="str">
        <f aca="false">IF($E2024="","",N(INDEX(资金日记账!$N$4:$S$603,558,2)))</f>
        <v/>
      </c>
      <c r="I2024" s="70" t="str">
        <f aca="false">IF($E2024="","",N(INDEX(资金日记账!$N$4:$S$603,558,3)))</f>
        <v/>
      </c>
      <c r="J2024" s="67" t="str">
        <f aca="false">IF($E2024="","",INDEX(资金日记账!$E$4:$E$603,558))</f>
        <v/>
      </c>
      <c r="K2024" s="67" t="str">
        <f aca="false">IF($E2024="","",INDEX(资金日记账!$F$4:$F$603,558))</f>
        <v/>
      </c>
      <c r="L2024" s="107" t="str">
        <f aca="false">IF($E2024="","",INDEX(资金日记账!$X$4:$X$603,558))</f>
        <v/>
      </c>
      <c r="M2024" s="107"/>
      <c r="N2024" s="67" t="str">
        <f aca="false">IF($E2024="","",INDEX(资金日记账!$Y$4:$Y$603,558))</f>
        <v/>
      </c>
      <c r="O2024" s="67" t="str">
        <f aca="false">IF($E2024="","","自动B")</f>
        <v/>
      </c>
      <c r="P2024" s="18"/>
    </row>
    <row r="2025" customFormat="false" ht="18" hidden="false" customHeight="true" outlineLevel="0" collapsed="false">
      <c r="A2025" s="107" t="str">
        <f aca="false">IF($E2025="","",ROW()-3)</f>
        <v/>
      </c>
      <c r="B2025" s="110" t="str">
        <f aca="false">IF($E2025="","",INDEX(资金日记账!$B$4:$B$603,558))</f>
        <v/>
      </c>
      <c r="C2025" s="67" t="str">
        <f aca="false">IF($E2025="","",IF(INDEX(资金日记账!$W$4:$W$603,558)="","记-"&amp;TEXT($B2025,"YYYYMM")&amp;"-资金",INDEX(资金日记账!$W$4:$W$603,558)))</f>
        <v/>
      </c>
      <c r="D2025" s="107" t="str">
        <f aca="false">IF($E2025="","",INDEX(资金日记账!$D$4:$D$603,558))</f>
        <v/>
      </c>
      <c r="E2025" s="67" t="str">
        <f aca="false">IF(INDEX(资金日记账!$N$4:$S$603,558,4)=0,"",INDEX(资金日记账!$N$4:$S$603,558,4))</f>
        <v/>
      </c>
      <c r="F2025" s="99" t="str">
        <f aca="false">IF($E2025="","",IFERROR(INDEX(科目表!$A$4:$A$81,MATCH($E2025,科目表!$B$4:$B$81,0)),""))</f>
        <v/>
      </c>
      <c r="G2025" s="67" t="str">
        <f aca="false">IF($E2025="","",IFERROR(INDEX(科目表!$E$4:$E$81,MATCH($E2025,科目表!$B$4:$B$81,0)),""))</f>
        <v/>
      </c>
      <c r="H2025" s="70" t="str">
        <f aca="false">IF($E2025="","",N(INDEX(资金日记账!$N$4:$S$603,558,5)))</f>
        <v/>
      </c>
      <c r="I2025" s="70" t="str">
        <f aca="false">IF($E2025="","",N(INDEX(资金日记账!$N$4:$S$603,558,6)))</f>
        <v/>
      </c>
      <c r="J2025" s="67" t="str">
        <f aca="false">IF($E2025="","",INDEX(资金日记账!$E$4:$E$603,558))</f>
        <v/>
      </c>
      <c r="K2025" s="67" t="str">
        <f aca="false">IF($E2025="","",INDEX(资金日记账!$F$4:$F$603,558))</f>
        <v/>
      </c>
      <c r="L2025" s="107" t="str">
        <f aca="false">IF($E2025="","",INDEX(资金日记账!$X$4:$X$603,558))</f>
        <v/>
      </c>
      <c r="M2025" s="107"/>
      <c r="N2025" s="67" t="str">
        <f aca="false">IF($E2025="","",INDEX(资金日记账!$Y$4:$Y$603,558))</f>
        <v/>
      </c>
      <c r="O2025" s="67" t="str">
        <f aca="false">IF($E2025="","","自动B")</f>
        <v/>
      </c>
      <c r="P2025" s="18"/>
    </row>
    <row r="2026" customFormat="false" ht="18" hidden="false" customHeight="true" outlineLevel="0" collapsed="false">
      <c r="A2026" s="107" t="str">
        <f aca="false">IF($E2026="","",ROW()-3)</f>
        <v/>
      </c>
      <c r="B2026" s="110" t="str">
        <f aca="false">IF($E2026="","",INDEX(资金日记账!$B$4:$B$603,559))</f>
        <v/>
      </c>
      <c r="C2026" s="67" t="str">
        <f aca="false">IF($E2026="","",IF(INDEX(资金日记账!$W$4:$W$603,559)="","记-"&amp;TEXT($B2026,"YYYYMM")&amp;"-资金",INDEX(资金日记账!$W$4:$W$603,559)))</f>
        <v/>
      </c>
      <c r="D2026" s="107" t="str">
        <f aca="false">IF($E2026="","",INDEX(资金日记账!$D$4:$D$603,559))</f>
        <v/>
      </c>
      <c r="E2026" s="67" t="str">
        <f aca="false">IF(INDEX(资金日记账!$N$4:$S$603,559,1)=0,"",INDEX(资金日记账!$N$4:$S$603,559,1))</f>
        <v/>
      </c>
      <c r="F2026" s="99" t="str">
        <f aca="false">IF($E2026="","",IFERROR(INDEX(科目表!$A$4:$A$81,MATCH($E2026,科目表!$B$4:$B$81,0)),""))</f>
        <v/>
      </c>
      <c r="G2026" s="67" t="str">
        <f aca="false">IF($E2026="","",IFERROR(INDEX(科目表!$E$4:$E$81,MATCH($E2026,科目表!$B$4:$B$81,0)),""))</f>
        <v/>
      </c>
      <c r="H2026" s="70" t="str">
        <f aca="false">IF($E2026="","",N(INDEX(资金日记账!$N$4:$S$603,559,2)))</f>
        <v/>
      </c>
      <c r="I2026" s="70" t="str">
        <f aca="false">IF($E2026="","",N(INDEX(资金日记账!$N$4:$S$603,559,3)))</f>
        <v/>
      </c>
      <c r="J2026" s="67" t="str">
        <f aca="false">IF($E2026="","",INDEX(资金日记账!$E$4:$E$603,559))</f>
        <v/>
      </c>
      <c r="K2026" s="67" t="str">
        <f aca="false">IF($E2026="","",INDEX(资金日记账!$F$4:$F$603,559))</f>
        <v/>
      </c>
      <c r="L2026" s="107" t="str">
        <f aca="false">IF($E2026="","",INDEX(资金日记账!$X$4:$X$603,559))</f>
        <v/>
      </c>
      <c r="M2026" s="107"/>
      <c r="N2026" s="67" t="str">
        <f aca="false">IF($E2026="","",INDEX(资金日记账!$Y$4:$Y$603,559))</f>
        <v/>
      </c>
      <c r="O2026" s="67" t="str">
        <f aca="false">IF($E2026="","","自动B")</f>
        <v/>
      </c>
      <c r="P2026" s="18"/>
    </row>
    <row r="2027" customFormat="false" ht="18" hidden="false" customHeight="true" outlineLevel="0" collapsed="false">
      <c r="A2027" s="107" t="str">
        <f aca="false">IF($E2027="","",ROW()-3)</f>
        <v/>
      </c>
      <c r="B2027" s="110" t="str">
        <f aca="false">IF($E2027="","",INDEX(资金日记账!$B$4:$B$603,559))</f>
        <v/>
      </c>
      <c r="C2027" s="67" t="str">
        <f aca="false">IF($E2027="","",IF(INDEX(资金日记账!$W$4:$W$603,559)="","记-"&amp;TEXT($B2027,"YYYYMM")&amp;"-资金",INDEX(资金日记账!$W$4:$W$603,559)))</f>
        <v/>
      </c>
      <c r="D2027" s="107" t="str">
        <f aca="false">IF($E2027="","",INDEX(资金日记账!$D$4:$D$603,559))</f>
        <v/>
      </c>
      <c r="E2027" s="67" t="str">
        <f aca="false">IF(INDEX(资金日记账!$N$4:$S$603,559,4)=0,"",INDEX(资金日记账!$N$4:$S$603,559,4))</f>
        <v/>
      </c>
      <c r="F2027" s="99" t="str">
        <f aca="false">IF($E2027="","",IFERROR(INDEX(科目表!$A$4:$A$81,MATCH($E2027,科目表!$B$4:$B$81,0)),""))</f>
        <v/>
      </c>
      <c r="G2027" s="67" t="str">
        <f aca="false">IF($E2027="","",IFERROR(INDEX(科目表!$E$4:$E$81,MATCH($E2027,科目表!$B$4:$B$81,0)),""))</f>
        <v/>
      </c>
      <c r="H2027" s="70" t="str">
        <f aca="false">IF($E2027="","",N(INDEX(资金日记账!$N$4:$S$603,559,5)))</f>
        <v/>
      </c>
      <c r="I2027" s="70" t="str">
        <f aca="false">IF($E2027="","",N(INDEX(资金日记账!$N$4:$S$603,559,6)))</f>
        <v/>
      </c>
      <c r="J2027" s="67" t="str">
        <f aca="false">IF($E2027="","",INDEX(资金日记账!$E$4:$E$603,559))</f>
        <v/>
      </c>
      <c r="K2027" s="67" t="str">
        <f aca="false">IF($E2027="","",INDEX(资金日记账!$F$4:$F$603,559))</f>
        <v/>
      </c>
      <c r="L2027" s="107" t="str">
        <f aca="false">IF($E2027="","",INDEX(资金日记账!$X$4:$X$603,559))</f>
        <v/>
      </c>
      <c r="M2027" s="107"/>
      <c r="N2027" s="67" t="str">
        <f aca="false">IF($E2027="","",INDEX(资金日记账!$Y$4:$Y$603,559))</f>
        <v/>
      </c>
      <c r="O2027" s="67" t="str">
        <f aca="false">IF($E2027="","","自动B")</f>
        <v/>
      </c>
      <c r="P2027" s="18"/>
    </row>
    <row r="2028" customFormat="false" ht="18" hidden="false" customHeight="true" outlineLevel="0" collapsed="false">
      <c r="A2028" s="107" t="str">
        <f aca="false">IF($E2028="","",ROW()-3)</f>
        <v/>
      </c>
      <c r="B2028" s="110" t="str">
        <f aca="false">IF($E2028="","",INDEX(资金日记账!$B$4:$B$603,560))</f>
        <v/>
      </c>
      <c r="C2028" s="67" t="str">
        <f aca="false">IF($E2028="","",IF(INDEX(资金日记账!$W$4:$W$603,560)="","记-"&amp;TEXT($B2028,"YYYYMM")&amp;"-资金",INDEX(资金日记账!$W$4:$W$603,560)))</f>
        <v/>
      </c>
      <c r="D2028" s="107" t="str">
        <f aca="false">IF($E2028="","",INDEX(资金日记账!$D$4:$D$603,560))</f>
        <v/>
      </c>
      <c r="E2028" s="67" t="str">
        <f aca="false">IF(INDEX(资金日记账!$N$4:$S$603,560,1)=0,"",INDEX(资金日记账!$N$4:$S$603,560,1))</f>
        <v/>
      </c>
      <c r="F2028" s="99" t="str">
        <f aca="false">IF($E2028="","",IFERROR(INDEX(科目表!$A$4:$A$81,MATCH($E2028,科目表!$B$4:$B$81,0)),""))</f>
        <v/>
      </c>
      <c r="G2028" s="67" t="str">
        <f aca="false">IF($E2028="","",IFERROR(INDEX(科目表!$E$4:$E$81,MATCH($E2028,科目表!$B$4:$B$81,0)),""))</f>
        <v/>
      </c>
      <c r="H2028" s="70" t="str">
        <f aca="false">IF($E2028="","",N(INDEX(资金日记账!$N$4:$S$603,560,2)))</f>
        <v/>
      </c>
      <c r="I2028" s="70" t="str">
        <f aca="false">IF($E2028="","",N(INDEX(资金日记账!$N$4:$S$603,560,3)))</f>
        <v/>
      </c>
      <c r="J2028" s="67" t="str">
        <f aca="false">IF($E2028="","",INDEX(资金日记账!$E$4:$E$603,560))</f>
        <v/>
      </c>
      <c r="K2028" s="67" t="str">
        <f aca="false">IF($E2028="","",INDEX(资金日记账!$F$4:$F$603,560))</f>
        <v/>
      </c>
      <c r="L2028" s="107" t="str">
        <f aca="false">IF($E2028="","",INDEX(资金日记账!$X$4:$X$603,560))</f>
        <v/>
      </c>
      <c r="M2028" s="107"/>
      <c r="N2028" s="67" t="str">
        <f aca="false">IF($E2028="","",INDEX(资金日记账!$Y$4:$Y$603,560))</f>
        <v/>
      </c>
      <c r="O2028" s="67" t="str">
        <f aca="false">IF($E2028="","","自动B")</f>
        <v/>
      </c>
      <c r="P2028" s="18"/>
    </row>
    <row r="2029" customFormat="false" ht="18" hidden="false" customHeight="true" outlineLevel="0" collapsed="false">
      <c r="A2029" s="107" t="str">
        <f aca="false">IF($E2029="","",ROW()-3)</f>
        <v/>
      </c>
      <c r="B2029" s="110" t="str">
        <f aca="false">IF($E2029="","",INDEX(资金日记账!$B$4:$B$603,560))</f>
        <v/>
      </c>
      <c r="C2029" s="67" t="str">
        <f aca="false">IF($E2029="","",IF(INDEX(资金日记账!$W$4:$W$603,560)="","记-"&amp;TEXT($B2029,"YYYYMM")&amp;"-资金",INDEX(资金日记账!$W$4:$W$603,560)))</f>
        <v/>
      </c>
      <c r="D2029" s="107" t="str">
        <f aca="false">IF($E2029="","",INDEX(资金日记账!$D$4:$D$603,560))</f>
        <v/>
      </c>
      <c r="E2029" s="67" t="str">
        <f aca="false">IF(INDEX(资金日记账!$N$4:$S$603,560,4)=0,"",INDEX(资金日记账!$N$4:$S$603,560,4))</f>
        <v/>
      </c>
      <c r="F2029" s="99" t="str">
        <f aca="false">IF($E2029="","",IFERROR(INDEX(科目表!$A$4:$A$81,MATCH($E2029,科目表!$B$4:$B$81,0)),""))</f>
        <v/>
      </c>
      <c r="G2029" s="67" t="str">
        <f aca="false">IF($E2029="","",IFERROR(INDEX(科目表!$E$4:$E$81,MATCH($E2029,科目表!$B$4:$B$81,0)),""))</f>
        <v/>
      </c>
      <c r="H2029" s="70" t="str">
        <f aca="false">IF($E2029="","",N(INDEX(资金日记账!$N$4:$S$603,560,5)))</f>
        <v/>
      </c>
      <c r="I2029" s="70" t="str">
        <f aca="false">IF($E2029="","",N(INDEX(资金日记账!$N$4:$S$603,560,6)))</f>
        <v/>
      </c>
      <c r="J2029" s="67" t="str">
        <f aca="false">IF($E2029="","",INDEX(资金日记账!$E$4:$E$603,560))</f>
        <v/>
      </c>
      <c r="K2029" s="67" t="str">
        <f aca="false">IF($E2029="","",INDEX(资金日记账!$F$4:$F$603,560))</f>
        <v/>
      </c>
      <c r="L2029" s="107" t="str">
        <f aca="false">IF($E2029="","",INDEX(资金日记账!$X$4:$X$603,560))</f>
        <v/>
      </c>
      <c r="M2029" s="107"/>
      <c r="N2029" s="67" t="str">
        <f aca="false">IF($E2029="","",INDEX(资金日记账!$Y$4:$Y$603,560))</f>
        <v/>
      </c>
      <c r="O2029" s="67" t="str">
        <f aca="false">IF($E2029="","","自动B")</f>
        <v/>
      </c>
      <c r="P2029" s="18"/>
    </row>
    <row r="2030" customFormat="false" ht="18" hidden="false" customHeight="true" outlineLevel="0" collapsed="false">
      <c r="A2030" s="107" t="str">
        <f aca="false">IF($E2030="","",ROW()-3)</f>
        <v/>
      </c>
      <c r="B2030" s="110" t="str">
        <f aca="false">IF($E2030="","",INDEX(资金日记账!$B$4:$B$603,561))</f>
        <v/>
      </c>
      <c r="C2030" s="67" t="str">
        <f aca="false">IF($E2030="","",IF(INDEX(资金日记账!$W$4:$W$603,561)="","记-"&amp;TEXT($B2030,"YYYYMM")&amp;"-资金",INDEX(资金日记账!$W$4:$W$603,561)))</f>
        <v/>
      </c>
      <c r="D2030" s="107" t="str">
        <f aca="false">IF($E2030="","",INDEX(资金日记账!$D$4:$D$603,561))</f>
        <v/>
      </c>
      <c r="E2030" s="67" t="str">
        <f aca="false">IF(INDEX(资金日记账!$N$4:$S$603,561,1)=0,"",INDEX(资金日记账!$N$4:$S$603,561,1))</f>
        <v/>
      </c>
      <c r="F2030" s="99" t="str">
        <f aca="false">IF($E2030="","",IFERROR(INDEX(科目表!$A$4:$A$81,MATCH($E2030,科目表!$B$4:$B$81,0)),""))</f>
        <v/>
      </c>
      <c r="G2030" s="67" t="str">
        <f aca="false">IF($E2030="","",IFERROR(INDEX(科目表!$E$4:$E$81,MATCH($E2030,科目表!$B$4:$B$81,0)),""))</f>
        <v/>
      </c>
      <c r="H2030" s="70" t="str">
        <f aca="false">IF($E2030="","",N(INDEX(资金日记账!$N$4:$S$603,561,2)))</f>
        <v/>
      </c>
      <c r="I2030" s="70" t="str">
        <f aca="false">IF($E2030="","",N(INDEX(资金日记账!$N$4:$S$603,561,3)))</f>
        <v/>
      </c>
      <c r="J2030" s="67" t="str">
        <f aca="false">IF($E2030="","",INDEX(资金日记账!$E$4:$E$603,561))</f>
        <v/>
      </c>
      <c r="K2030" s="67" t="str">
        <f aca="false">IF($E2030="","",INDEX(资金日记账!$F$4:$F$603,561))</f>
        <v/>
      </c>
      <c r="L2030" s="107" t="str">
        <f aca="false">IF($E2030="","",INDEX(资金日记账!$X$4:$X$603,561))</f>
        <v/>
      </c>
      <c r="M2030" s="107"/>
      <c r="N2030" s="67" t="str">
        <f aca="false">IF($E2030="","",INDEX(资金日记账!$Y$4:$Y$603,561))</f>
        <v/>
      </c>
      <c r="O2030" s="67" t="str">
        <f aca="false">IF($E2030="","","自动B")</f>
        <v/>
      </c>
      <c r="P2030" s="18"/>
    </row>
    <row r="2031" customFormat="false" ht="18" hidden="false" customHeight="true" outlineLevel="0" collapsed="false">
      <c r="A2031" s="107" t="str">
        <f aca="false">IF($E2031="","",ROW()-3)</f>
        <v/>
      </c>
      <c r="B2031" s="110" t="str">
        <f aca="false">IF($E2031="","",INDEX(资金日记账!$B$4:$B$603,561))</f>
        <v/>
      </c>
      <c r="C2031" s="67" t="str">
        <f aca="false">IF($E2031="","",IF(INDEX(资金日记账!$W$4:$W$603,561)="","记-"&amp;TEXT($B2031,"YYYYMM")&amp;"-资金",INDEX(资金日记账!$W$4:$W$603,561)))</f>
        <v/>
      </c>
      <c r="D2031" s="107" t="str">
        <f aca="false">IF($E2031="","",INDEX(资金日记账!$D$4:$D$603,561))</f>
        <v/>
      </c>
      <c r="E2031" s="67" t="str">
        <f aca="false">IF(INDEX(资金日记账!$N$4:$S$603,561,4)=0,"",INDEX(资金日记账!$N$4:$S$603,561,4))</f>
        <v/>
      </c>
      <c r="F2031" s="99" t="str">
        <f aca="false">IF($E2031="","",IFERROR(INDEX(科目表!$A$4:$A$81,MATCH($E2031,科目表!$B$4:$B$81,0)),""))</f>
        <v/>
      </c>
      <c r="G2031" s="67" t="str">
        <f aca="false">IF($E2031="","",IFERROR(INDEX(科目表!$E$4:$E$81,MATCH($E2031,科目表!$B$4:$B$81,0)),""))</f>
        <v/>
      </c>
      <c r="H2031" s="70" t="str">
        <f aca="false">IF($E2031="","",N(INDEX(资金日记账!$N$4:$S$603,561,5)))</f>
        <v/>
      </c>
      <c r="I2031" s="70" t="str">
        <f aca="false">IF($E2031="","",N(INDEX(资金日记账!$N$4:$S$603,561,6)))</f>
        <v/>
      </c>
      <c r="J2031" s="67" t="str">
        <f aca="false">IF($E2031="","",INDEX(资金日记账!$E$4:$E$603,561))</f>
        <v/>
      </c>
      <c r="K2031" s="67" t="str">
        <f aca="false">IF($E2031="","",INDEX(资金日记账!$F$4:$F$603,561))</f>
        <v/>
      </c>
      <c r="L2031" s="107" t="str">
        <f aca="false">IF($E2031="","",INDEX(资金日记账!$X$4:$X$603,561))</f>
        <v/>
      </c>
      <c r="M2031" s="107"/>
      <c r="N2031" s="67" t="str">
        <f aca="false">IF($E2031="","",INDEX(资金日记账!$Y$4:$Y$603,561))</f>
        <v/>
      </c>
      <c r="O2031" s="67" t="str">
        <f aca="false">IF($E2031="","","自动B")</f>
        <v/>
      </c>
      <c r="P2031" s="18"/>
    </row>
    <row r="2032" customFormat="false" ht="18" hidden="false" customHeight="true" outlineLevel="0" collapsed="false">
      <c r="A2032" s="107" t="str">
        <f aca="false">IF($E2032="","",ROW()-3)</f>
        <v/>
      </c>
      <c r="B2032" s="110" t="str">
        <f aca="false">IF($E2032="","",INDEX(资金日记账!$B$4:$B$603,562))</f>
        <v/>
      </c>
      <c r="C2032" s="67" t="str">
        <f aca="false">IF($E2032="","",IF(INDEX(资金日记账!$W$4:$W$603,562)="","记-"&amp;TEXT($B2032,"YYYYMM")&amp;"-资金",INDEX(资金日记账!$W$4:$W$603,562)))</f>
        <v/>
      </c>
      <c r="D2032" s="107" t="str">
        <f aca="false">IF($E2032="","",INDEX(资金日记账!$D$4:$D$603,562))</f>
        <v/>
      </c>
      <c r="E2032" s="67" t="str">
        <f aca="false">IF(INDEX(资金日记账!$N$4:$S$603,562,1)=0,"",INDEX(资金日记账!$N$4:$S$603,562,1))</f>
        <v/>
      </c>
      <c r="F2032" s="99" t="str">
        <f aca="false">IF($E2032="","",IFERROR(INDEX(科目表!$A$4:$A$81,MATCH($E2032,科目表!$B$4:$B$81,0)),""))</f>
        <v/>
      </c>
      <c r="G2032" s="67" t="str">
        <f aca="false">IF($E2032="","",IFERROR(INDEX(科目表!$E$4:$E$81,MATCH($E2032,科目表!$B$4:$B$81,0)),""))</f>
        <v/>
      </c>
      <c r="H2032" s="70" t="str">
        <f aca="false">IF($E2032="","",N(INDEX(资金日记账!$N$4:$S$603,562,2)))</f>
        <v/>
      </c>
      <c r="I2032" s="70" t="str">
        <f aca="false">IF($E2032="","",N(INDEX(资金日记账!$N$4:$S$603,562,3)))</f>
        <v/>
      </c>
      <c r="J2032" s="67" t="str">
        <f aca="false">IF($E2032="","",INDEX(资金日记账!$E$4:$E$603,562))</f>
        <v/>
      </c>
      <c r="K2032" s="67" t="str">
        <f aca="false">IF($E2032="","",INDEX(资金日记账!$F$4:$F$603,562))</f>
        <v/>
      </c>
      <c r="L2032" s="107" t="str">
        <f aca="false">IF($E2032="","",INDEX(资金日记账!$X$4:$X$603,562))</f>
        <v/>
      </c>
      <c r="M2032" s="107"/>
      <c r="N2032" s="67" t="str">
        <f aca="false">IF($E2032="","",INDEX(资金日记账!$Y$4:$Y$603,562))</f>
        <v/>
      </c>
      <c r="O2032" s="67" t="str">
        <f aca="false">IF($E2032="","","自动B")</f>
        <v/>
      </c>
      <c r="P2032" s="18"/>
    </row>
    <row r="2033" customFormat="false" ht="18" hidden="false" customHeight="true" outlineLevel="0" collapsed="false">
      <c r="A2033" s="107" t="str">
        <f aca="false">IF($E2033="","",ROW()-3)</f>
        <v/>
      </c>
      <c r="B2033" s="110" t="str">
        <f aca="false">IF($E2033="","",INDEX(资金日记账!$B$4:$B$603,562))</f>
        <v/>
      </c>
      <c r="C2033" s="67" t="str">
        <f aca="false">IF($E2033="","",IF(INDEX(资金日记账!$W$4:$W$603,562)="","记-"&amp;TEXT($B2033,"YYYYMM")&amp;"-资金",INDEX(资金日记账!$W$4:$W$603,562)))</f>
        <v/>
      </c>
      <c r="D2033" s="107" t="str">
        <f aca="false">IF($E2033="","",INDEX(资金日记账!$D$4:$D$603,562))</f>
        <v/>
      </c>
      <c r="E2033" s="67" t="str">
        <f aca="false">IF(INDEX(资金日记账!$N$4:$S$603,562,4)=0,"",INDEX(资金日记账!$N$4:$S$603,562,4))</f>
        <v/>
      </c>
      <c r="F2033" s="99" t="str">
        <f aca="false">IF($E2033="","",IFERROR(INDEX(科目表!$A$4:$A$81,MATCH($E2033,科目表!$B$4:$B$81,0)),""))</f>
        <v/>
      </c>
      <c r="G2033" s="67" t="str">
        <f aca="false">IF($E2033="","",IFERROR(INDEX(科目表!$E$4:$E$81,MATCH($E2033,科目表!$B$4:$B$81,0)),""))</f>
        <v/>
      </c>
      <c r="H2033" s="70" t="str">
        <f aca="false">IF($E2033="","",N(INDEX(资金日记账!$N$4:$S$603,562,5)))</f>
        <v/>
      </c>
      <c r="I2033" s="70" t="str">
        <f aca="false">IF($E2033="","",N(INDEX(资金日记账!$N$4:$S$603,562,6)))</f>
        <v/>
      </c>
      <c r="J2033" s="67" t="str">
        <f aca="false">IF($E2033="","",INDEX(资金日记账!$E$4:$E$603,562))</f>
        <v/>
      </c>
      <c r="K2033" s="67" t="str">
        <f aca="false">IF($E2033="","",INDEX(资金日记账!$F$4:$F$603,562))</f>
        <v/>
      </c>
      <c r="L2033" s="107" t="str">
        <f aca="false">IF($E2033="","",INDEX(资金日记账!$X$4:$X$603,562))</f>
        <v/>
      </c>
      <c r="M2033" s="107"/>
      <c r="N2033" s="67" t="str">
        <f aca="false">IF($E2033="","",INDEX(资金日记账!$Y$4:$Y$603,562))</f>
        <v/>
      </c>
      <c r="O2033" s="67" t="str">
        <f aca="false">IF($E2033="","","自动B")</f>
        <v/>
      </c>
      <c r="P2033" s="18"/>
    </row>
    <row r="2034" customFormat="false" ht="18" hidden="false" customHeight="true" outlineLevel="0" collapsed="false">
      <c r="A2034" s="107" t="str">
        <f aca="false">IF($E2034="","",ROW()-3)</f>
        <v/>
      </c>
      <c r="B2034" s="110" t="str">
        <f aca="false">IF($E2034="","",INDEX(资金日记账!$B$4:$B$603,563))</f>
        <v/>
      </c>
      <c r="C2034" s="67" t="str">
        <f aca="false">IF($E2034="","",IF(INDEX(资金日记账!$W$4:$W$603,563)="","记-"&amp;TEXT($B2034,"YYYYMM")&amp;"-资金",INDEX(资金日记账!$W$4:$W$603,563)))</f>
        <v/>
      </c>
      <c r="D2034" s="107" t="str">
        <f aca="false">IF($E2034="","",INDEX(资金日记账!$D$4:$D$603,563))</f>
        <v/>
      </c>
      <c r="E2034" s="67" t="str">
        <f aca="false">IF(INDEX(资金日记账!$N$4:$S$603,563,1)=0,"",INDEX(资金日记账!$N$4:$S$603,563,1))</f>
        <v/>
      </c>
      <c r="F2034" s="99" t="str">
        <f aca="false">IF($E2034="","",IFERROR(INDEX(科目表!$A$4:$A$81,MATCH($E2034,科目表!$B$4:$B$81,0)),""))</f>
        <v/>
      </c>
      <c r="G2034" s="67" t="str">
        <f aca="false">IF($E2034="","",IFERROR(INDEX(科目表!$E$4:$E$81,MATCH($E2034,科目表!$B$4:$B$81,0)),""))</f>
        <v/>
      </c>
      <c r="H2034" s="70" t="str">
        <f aca="false">IF($E2034="","",N(INDEX(资金日记账!$N$4:$S$603,563,2)))</f>
        <v/>
      </c>
      <c r="I2034" s="70" t="str">
        <f aca="false">IF($E2034="","",N(INDEX(资金日记账!$N$4:$S$603,563,3)))</f>
        <v/>
      </c>
      <c r="J2034" s="67" t="str">
        <f aca="false">IF($E2034="","",INDEX(资金日记账!$E$4:$E$603,563))</f>
        <v/>
      </c>
      <c r="K2034" s="67" t="str">
        <f aca="false">IF($E2034="","",INDEX(资金日记账!$F$4:$F$603,563))</f>
        <v/>
      </c>
      <c r="L2034" s="107" t="str">
        <f aca="false">IF($E2034="","",INDEX(资金日记账!$X$4:$X$603,563))</f>
        <v/>
      </c>
      <c r="M2034" s="107"/>
      <c r="N2034" s="67" t="str">
        <f aca="false">IF($E2034="","",INDEX(资金日记账!$Y$4:$Y$603,563))</f>
        <v/>
      </c>
      <c r="O2034" s="67" t="str">
        <f aca="false">IF($E2034="","","自动B")</f>
        <v/>
      </c>
      <c r="P2034" s="18"/>
    </row>
    <row r="2035" customFormat="false" ht="18" hidden="false" customHeight="true" outlineLevel="0" collapsed="false">
      <c r="A2035" s="107" t="str">
        <f aca="false">IF($E2035="","",ROW()-3)</f>
        <v/>
      </c>
      <c r="B2035" s="110" t="str">
        <f aca="false">IF($E2035="","",INDEX(资金日记账!$B$4:$B$603,563))</f>
        <v/>
      </c>
      <c r="C2035" s="67" t="str">
        <f aca="false">IF($E2035="","",IF(INDEX(资金日记账!$W$4:$W$603,563)="","记-"&amp;TEXT($B2035,"YYYYMM")&amp;"-资金",INDEX(资金日记账!$W$4:$W$603,563)))</f>
        <v/>
      </c>
      <c r="D2035" s="107" t="str">
        <f aca="false">IF($E2035="","",INDEX(资金日记账!$D$4:$D$603,563))</f>
        <v/>
      </c>
      <c r="E2035" s="67" t="str">
        <f aca="false">IF(INDEX(资金日记账!$N$4:$S$603,563,4)=0,"",INDEX(资金日记账!$N$4:$S$603,563,4))</f>
        <v/>
      </c>
      <c r="F2035" s="99" t="str">
        <f aca="false">IF($E2035="","",IFERROR(INDEX(科目表!$A$4:$A$81,MATCH($E2035,科目表!$B$4:$B$81,0)),""))</f>
        <v/>
      </c>
      <c r="G2035" s="67" t="str">
        <f aca="false">IF($E2035="","",IFERROR(INDEX(科目表!$E$4:$E$81,MATCH($E2035,科目表!$B$4:$B$81,0)),""))</f>
        <v/>
      </c>
      <c r="H2035" s="70" t="str">
        <f aca="false">IF($E2035="","",N(INDEX(资金日记账!$N$4:$S$603,563,5)))</f>
        <v/>
      </c>
      <c r="I2035" s="70" t="str">
        <f aca="false">IF($E2035="","",N(INDEX(资金日记账!$N$4:$S$603,563,6)))</f>
        <v/>
      </c>
      <c r="J2035" s="67" t="str">
        <f aca="false">IF($E2035="","",INDEX(资金日记账!$E$4:$E$603,563))</f>
        <v/>
      </c>
      <c r="K2035" s="67" t="str">
        <f aca="false">IF($E2035="","",INDEX(资金日记账!$F$4:$F$603,563))</f>
        <v/>
      </c>
      <c r="L2035" s="107" t="str">
        <f aca="false">IF($E2035="","",INDEX(资金日记账!$X$4:$X$603,563))</f>
        <v/>
      </c>
      <c r="M2035" s="107"/>
      <c r="N2035" s="67" t="str">
        <f aca="false">IF($E2035="","",INDEX(资金日记账!$Y$4:$Y$603,563))</f>
        <v/>
      </c>
      <c r="O2035" s="67" t="str">
        <f aca="false">IF($E2035="","","自动B")</f>
        <v/>
      </c>
      <c r="P2035" s="18"/>
    </row>
    <row r="2036" customFormat="false" ht="18" hidden="false" customHeight="true" outlineLevel="0" collapsed="false">
      <c r="A2036" s="107" t="str">
        <f aca="false">IF($E2036="","",ROW()-3)</f>
        <v/>
      </c>
      <c r="B2036" s="110" t="str">
        <f aca="false">IF($E2036="","",INDEX(资金日记账!$B$4:$B$603,564))</f>
        <v/>
      </c>
      <c r="C2036" s="67" t="str">
        <f aca="false">IF($E2036="","",IF(INDEX(资金日记账!$W$4:$W$603,564)="","记-"&amp;TEXT($B2036,"YYYYMM")&amp;"-资金",INDEX(资金日记账!$W$4:$W$603,564)))</f>
        <v/>
      </c>
      <c r="D2036" s="107" t="str">
        <f aca="false">IF($E2036="","",INDEX(资金日记账!$D$4:$D$603,564))</f>
        <v/>
      </c>
      <c r="E2036" s="67" t="str">
        <f aca="false">IF(INDEX(资金日记账!$N$4:$S$603,564,1)=0,"",INDEX(资金日记账!$N$4:$S$603,564,1))</f>
        <v/>
      </c>
      <c r="F2036" s="99" t="str">
        <f aca="false">IF($E2036="","",IFERROR(INDEX(科目表!$A$4:$A$81,MATCH($E2036,科目表!$B$4:$B$81,0)),""))</f>
        <v/>
      </c>
      <c r="G2036" s="67" t="str">
        <f aca="false">IF($E2036="","",IFERROR(INDEX(科目表!$E$4:$E$81,MATCH($E2036,科目表!$B$4:$B$81,0)),""))</f>
        <v/>
      </c>
      <c r="H2036" s="70" t="str">
        <f aca="false">IF($E2036="","",N(INDEX(资金日记账!$N$4:$S$603,564,2)))</f>
        <v/>
      </c>
      <c r="I2036" s="70" t="str">
        <f aca="false">IF($E2036="","",N(INDEX(资金日记账!$N$4:$S$603,564,3)))</f>
        <v/>
      </c>
      <c r="J2036" s="67" t="str">
        <f aca="false">IF($E2036="","",INDEX(资金日记账!$E$4:$E$603,564))</f>
        <v/>
      </c>
      <c r="K2036" s="67" t="str">
        <f aca="false">IF($E2036="","",INDEX(资金日记账!$F$4:$F$603,564))</f>
        <v/>
      </c>
      <c r="L2036" s="107" t="str">
        <f aca="false">IF($E2036="","",INDEX(资金日记账!$X$4:$X$603,564))</f>
        <v/>
      </c>
      <c r="M2036" s="107"/>
      <c r="N2036" s="67" t="str">
        <f aca="false">IF($E2036="","",INDEX(资金日记账!$Y$4:$Y$603,564))</f>
        <v/>
      </c>
      <c r="O2036" s="67" t="str">
        <f aca="false">IF($E2036="","","自动B")</f>
        <v/>
      </c>
      <c r="P2036" s="18"/>
    </row>
    <row r="2037" customFormat="false" ht="18" hidden="false" customHeight="true" outlineLevel="0" collapsed="false">
      <c r="A2037" s="107" t="str">
        <f aca="false">IF($E2037="","",ROW()-3)</f>
        <v/>
      </c>
      <c r="B2037" s="110" t="str">
        <f aca="false">IF($E2037="","",INDEX(资金日记账!$B$4:$B$603,564))</f>
        <v/>
      </c>
      <c r="C2037" s="67" t="str">
        <f aca="false">IF($E2037="","",IF(INDEX(资金日记账!$W$4:$W$603,564)="","记-"&amp;TEXT($B2037,"YYYYMM")&amp;"-资金",INDEX(资金日记账!$W$4:$W$603,564)))</f>
        <v/>
      </c>
      <c r="D2037" s="107" t="str">
        <f aca="false">IF($E2037="","",INDEX(资金日记账!$D$4:$D$603,564))</f>
        <v/>
      </c>
      <c r="E2037" s="67" t="str">
        <f aca="false">IF(INDEX(资金日记账!$N$4:$S$603,564,4)=0,"",INDEX(资金日记账!$N$4:$S$603,564,4))</f>
        <v/>
      </c>
      <c r="F2037" s="99" t="str">
        <f aca="false">IF($E2037="","",IFERROR(INDEX(科目表!$A$4:$A$81,MATCH($E2037,科目表!$B$4:$B$81,0)),""))</f>
        <v/>
      </c>
      <c r="G2037" s="67" t="str">
        <f aca="false">IF($E2037="","",IFERROR(INDEX(科目表!$E$4:$E$81,MATCH($E2037,科目表!$B$4:$B$81,0)),""))</f>
        <v/>
      </c>
      <c r="H2037" s="70" t="str">
        <f aca="false">IF($E2037="","",N(INDEX(资金日记账!$N$4:$S$603,564,5)))</f>
        <v/>
      </c>
      <c r="I2037" s="70" t="str">
        <f aca="false">IF($E2037="","",N(INDEX(资金日记账!$N$4:$S$603,564,6)))</f>
        <v/>
      </c>
      <c r="J2037" s="67" t="str">
        <f aca="false">IF($E2037="","",INDEX(资金日记账!$E$4:$E$603,564))</f>
        <v/>
      </c>
      <c r="K2037" s="67" t="str">
        <f aca="false">IF($E2037="","",INDEX(资金日记账!$F$4:$F$603,564))</f>
        <v/>
      </c>
      <c r="L2037" s="107" t="str">
        <f aca="false">IF($E2037="","",INDEX(资金日记账!$X$4:$X$603,564))</f>
        <v/>
      </c>
      <c r="M2037" s="107"/>
      <c r="N2037" s="67" t="str">
        <f aca="false">IF($E2037="","",INDEX(资金日记账!$Y$4:$Y$603,564))</f>
        <v/>
      </c>
      <c r="O2037" s="67" t="str">
        <f aca="false">IF($E2037="","","自动B")</f>
        <v/>
      </c>
      <c r="P2037" s="18"/>
    </row>
    <row r="2038" customFormat="false" ht="18" hidden="false" customHeight="true" outlineLevel="0" collapsed="false">
      <c r="A2038" s="107" t="str">
        <f aca="false">IF($E2038="","",ROW()-3)</f>
        <v/>
      </c>
      <c r="B2038" s="110" t="str">
        <f aca="false">IF($E2038="","",INDEX(资金日记账!$B$4:$B$603,565))</f>
        <v/>
      </c>
      <c r="C2038" s="67" t="str">
        <f aca="false">IF($E2038="","",IF(INDEX(资金日记账!$W$4:$W$603,565)="","记-"&amp;TEXT($B2038,"YYYYMM")&amp;"-资金",INDEX(资金日记账!$W$4:$W$603,565)))</f>
        <v/>
      </c>
      <c r="D2038" s="107" t="str">
        <f aca="false">IF($E2038="","",INDEX(资金日记账!$D$4:$D$603,565))</f>
        <v/>
      </c>
      <c r="E2038" s="67" t="str">
        <f aca="false">IF(INDEX(资金日记账!$N$4:$S$603,565,1)=0,"",INDEX(资金日记账!$N$4:$S$603,565,1))</f>
        <v/>
      </c>
      <c r="F2038" s="99" t="str">
        <f aca="false">IF($E2038="","",IFERROR(INDEX(科目表!$A$4:$A$81,MATCH($E2038,科目表!$B$4:$B$81,0)),""))</f>
        <v/>
      </c>
      <c r="G2038" s="67" t="str">
        <f aca="false">IF($E2038="","",IFERROR(INDEX(科目表!$E$4:$E$81,MATCH($E2038,科目表!$B$4:$B$81,0)),""))</f>
        <v/>
      </c>
      <c r="H2038" s="70" t="str">
        <f aca="false">IF($E2038="","",N(INDEX(资金日记账!$N$4:$S$603,565,2)))</f>
        <v/>
      </c>
      <c r="I2038" s="70" t="str">
        <f aca="false">IF($E2038="","",N(INDEX(资金日记账!$N$4:$S$603,565,3)))</f>
        <v/>
      </c>
      <c r="J2038" s="67" t="str">
        <f aca="false">IF($E2038="","",INDEX(资金日记账!$E$4:$E$603,565))</f>
        <v/>
      </c>
      <c r="K2038" s="67" t="str">
        <f aca="false">IF($E2038="","",INDEX(资金日记账!$F$4:$F$603,565))</f>
        <v/>
      </c>
      <c r="L2038" s="107" t="str">
        <f aca="false">IF($E2038="","",INDEX(资金日记账!$X$4:$X$603,565))</f>
        <v/>
      </c>
      <c r="M2038" s="107"/>
      <c r="N2038" s="67" t="str">
        <f aca="false">IF($E2038="","",INDEX(资金日记账!$Y$4:$Y$603,565))</f>
        <v/>
      </c>
      <c r="O2038" s="67" t="str">
        <f aca="false">IF($E2038="","","自动B")</f>
        <v/>
      </c>
      <c r="P2038" s="18"/>
    </row>
    <row r="2039" customFormat="false" ht="18" hidden="false" customHeight="true" outlineLevel="0" collapsed="false">
      <c r="A2039" s="107" t="str">
        <f aca="false">IF($E2039="","",ROW()-3)</f>
        <v/>
      </c>
      <c r="B2039" s="110" t="str">
        <f aca="false">IF($E2039="","",INDEX(资金日记账!$B$4:$B$603,565))</f>
        <v/>
      </c>
      <c r="C2039" s="67" t="str">
        <f aca="false">IF($E2039="","",IF(INDEX(资金日记账!$W$4:$W$603,565)="","记-"&amp;TEXT($B2039,"YYYYMM")&amp;"-资金",INDEX(资金日记账!$W$4:$W$603,565)))</f>
        <v/>
      </c>
      <c r="D2039" s="107" t="str">
        <f aca="false">IF($E2039="","",INDEX(资金日记账!$D$4:$D$603,565))</f>
        <v/>
      </c>
      <c r="E2039" s="67" t="str">
        <f aca="false">IF(INDEX(资金日记账!$N$4:$S$603,565,4)=0,"",INDEX(资金日记账!$N$4:$S$603,565,4))</f>
        <v/>
      </c>
      <c r="F2039" s="99" t="str">
        <f aca="false">IF($E2039="","",IFERROR(INDEX(科目表!$A$4:$A$81,MATCH($E2039,科目表!$B$4:$B$81,0)),""))</f>
        <v/>
      </c>
      <c r="G2039" s="67" t="str">
        <f aca="false">IF($E2039="","",IFERROR(INDEX(科目表!$E$4:$E$81,MATCH($E2039,科目表!$B$4:$B$81,0)),""))</f>
        <v/>
      </c>
      <c r="H2039" s="70" t="str">
        <f aca="false">IF($E2039="","",N(INDEX(资金日记账!$N$4:$S$603,565,5)))</f>
        <v/>
      </c>
      <c r="I2039" s="70" t="str">
        <f aca="false">IF($E2039="","",N(INDEX(资金日记账!$N$4:$S$603,565,6)))</f>
        <v/>
      </c>
      <c r="J2039" s="67" t="str">
        <f aca="false">IF($E2039="","",INDEX(资金日记账!$E$4:$E$603,565))</f>
        <v/>
      </c>
      <c r="K2039" s="67" t="str">
        <f aca="false">IF($E2039="","",INDEX(资金日记账!$F$4:$F$603,565))</f>
        <v/>
      </c>
      <c r="L2039" s="107" t="str">
        <f aca="false">IF($E2039="","",INDEX(资金日记账!$X$4:$X$603,565))</f>
        <v/>
      </c>
      <c r="M2039" s="107"/>
      <c r="N2039" s="67" t="str">
        <f aca="false">IF($E2039="","",INDEX(资金日记账!$Y$4:$Y$603,565))</f>
        <v/>
      </c>
      <c r="O2039" s="67" t="str">
        <f aca="false">IF($E2039="","","自动B")</f>
        <v/>
      </c>
      <c r="P2039" s="18"/>
    </row>
    <row r="2040" customFormat="false" ht="18" hidden="false" customHeight="true" outlineLevel="0" collapsed="false">
      <c r="A2040" s="107" t="str">
        <f aca="false">IF($E2040="","",ROW()-3)</f>
        <v/>
      </c>
      <c r="B2040" s="110" t="str">
        <f aca="false">IF($E2040="","",INDEX(资金日记账!$B$4:$B$603,566))</f>
        <v/>
      </c>
      <c r="C2040" s="67" t="str">
        <f aca="false">IF($E2040="","",IF(INDEX(资金日记账!$W$4:$W$603,566)="","记-"&amp;TEXT($B2040,"YYYYMM")&amp;"-资金",INDEX(资金日记账!$W$4:$W$603,566)))</f>
        <v/>
      </c>
      <c r="D2040" s="107" t="str">
        <f aca="false">IF($E2040="","",INDEX(资金日记账!$D$4:$D$603,566))</f>
        <v/>
      </c>
      <c r="E2040" s="67" t="str">
        <f aca="false">IF(INDEX(资金日记账!$N$4:$S$603,566,1)=0,"",INDEX(资金日记账!$N$4:$S$603,566,1))</f>
        <v/>
      </c>
      <c r="F2040" s="99" t="str">
        <f aca="false">IF($E2040="","",IFERROR(INDEX(科目表!$A$4:$A$81,MATCH($E2040,科目表!$B$4:$B$81,0)),""))</f>
        <v/>
      </c>
      <c r="G2040" s="67" t="str">
        <f aca="false">IF($E2040="","",IFERROR(INDEX(科目表!$E$4:$E$81,MATCH($E2040,科目表!$B$4:$B$81,0)),""))</f>
        <v/>
      </c>
      <c r="H2040" s="70" t="str">
        <f aca="false">IF($E2040="","",N(INDEX(资金日记账!$N$4:$S$603,566,2)))</f>
        <v/>
      </c>
      <c r="I2040" s="70" t="str">
        <f aca="false">IF($E2040="","",N(INDEX(资金日记账!$N$4:$S$603,566,3)))</f>
        <v/>
      </c>
      <c r="J2040" s="67" t="str">
        <f aca="false">IF($E2040="","",INDEX(资金日记账!$E$4:$E$603,566))</f>
        <v/>
      </c>
      <c r="K2040" s="67" t="str">
        <f aca="false">IF($E2040="","",INDEX(资金日记账!$F$4:$F$603,566))</f>
        <v/>
      </c>
      <c r="L2040" s="107" t="str">
        <f aca="false">IF($E2040="","",INDEX(资金日记账!$X$4:$X$603,566))</f>
        <v/>
      </c>
      <c r="M2040" s="107"/>
      <c r="N2040" s="67" t="str">
        <f aca="false">IF($E2040="","",INDEX(资金日记账!$Y$4:$Y$603,566))</f>
        <v/>
      </c>
      <c r="O2040" s="67" t="str">
        <f aca="false">IF($E2040="","","自动B")</f>
        <v/>
      </c>
      <c r="P2040" s="18"/>
    </row>
    <row r="2041" customFormat="false" ht="18" hidden="false" customHeight="true" outlineLevel="0" collapsed="false">
      <c r="A2041" s="107" t="str">
        <f aca="false">IF($E2041="","",ROW()-3)</f>
        <v/>
      </c>
      <c r="B2041" s="110" t="str">
        <f aca="false">IF($E2041="","",INDEX(资金日记账!$B$4:$B$603,566))</f>
        <v/>
      </c>
      <c r="C2041" s="67" t="str">
        <f aca="false">IF($E2041="","",IF(INDEX(资金日记账!$W$4:$W$603,566)="","记-"&amp;TEXT($B2041,"YYYYMM")&amp;"-资金",INDEX(资金日记账!$W$4:$W$603,566)))</f>
        <v/>
      </c>
      <c r="D2041" s="107" t="str">
        <f aca="false">IF($E2041="","",INDEX(资金日记账!$D$4:$D$603,566))</f>
        <v/>
      </c>
      <c r="E2041" s="67" t="str">
        <f aca="false">IF(INDEX(资金日记账!$N$4:$S$603,566,4)=0,"",INDEX(资金日记账!$N$4:$S$603,566,4))</f>
        <v/>
      </c>
      <c r="F2041" s="99" t="str">
        <f aca="false">IF($E2041="","",IFERROR(INDEX(科目表!$A$4:$A$81,MATCH($E2041,科目表!$B$4:$B$81,0)),""))</f>
        <v/>
      </c>
      <c r="G2041" s="67" t="str">
        <f aca="false">IF($E2041="","",IFERROR(INDEX(科目表!$E$4:$E$81,MATCH($E2041,科目表!$B$4:$B$81,0)),""))</f>
        <v/>
      </c>
      <c r="H2041" s="70" t="str">
        <f aca="false">IF($E2041="","",N(INDEX(资金日记账!$N$4:$S$603,566,5)))</f>
        <v/>
      </c>
      <c r="I2041" s="70" t="str">
        <f aca="false">IF($E2041="","",N(INDEX(资金日记账!$N$4:$S$603,566,6)))</f>
        <v/>
      </c>
      <c r="J2041" s="67" t="str">
        <f aca="false">IF($E2041="","",INDEX(资金日记账!$E$4:$E$603,566))</f>
        <v/>
      </c>
      <c r="K2041" s="67" t="str">
        <f aca="false">IF($E2041="","",INDEX(资金日记账!$F$4:$F$603,566))</f>
        <v/>
      </c>
      <c r="L2041" s="107" t="str">
        <f aca="false">IF($E2041="","",INDEX(资金日记账!$X$4:$X$603,566))</f>
        <v/>
      </c>
      <c r="M2041" s="107"/>
      <c r="N2041" s="67" t="str">
        <f aca="false">IF($E2041="","",INDEX(资金日记账!$Y$4:$Y$603,566))</f>
        <v/>
      </c>
      <c r="O2041" s="67" t="str">
        <f aca="false">IF($E2041="","","自动B")</f>
        <v/>
      </c>
      <c r="P2041" s="18"/>
    </row>
    <row r="2042" customFormat="false" ht="18" hidden="false" customHeight="true" outlineLevel="0" collapsed="false">
      <c r="A2042" s="107" t="str">
        <f aca="false">IF($E2042="","",ROW()-3)</f>
        <v/>
      </c>
      <c r="B2042" s="110" t="str">
        <f aca="false">IF($E2042="","",INDEX(资金日记账!$B$4:$B$603,567))</f>
        <v/>
      </c>
      <c r="C2042" s="67" t="str">
        <f aca="false">IF($E2042="","",IF(INDEX(资金日记账!$W$4:$W$603,567)="","记-"&amp;TEXT($B2042,"YYYYMM")&amp;"-资金",INDEX(资金日记账!$W$4:$W$603,567)))</f>
        <v/>
      </c>
      <c r="D2042" s="107" t="str">
        <f aca="false">IF($E2042="","",INDEX(资金日记账!$D$4:$D$603,567))</f>
        <v/>
      </c>
      <c r="E2042" s="67" t="str">
        <f aca="false">IF(INDEX(资金日记账!$N$4:$S$603,567,1)=0,"",INDEX(资金日记账!$N$4:$S$603,567,1))</f>
        <v/>
      </c>
      <c r="F2042" s="99" t="str">
        <f aca="false">IF($E2042="","",IFERROR(INDEX(科目表!$A$4:$A$81,MATCH($E2042,科目表!$B$4:$B$81,0)),""))</f>
        <v/>
      </c>
      <c r="G2042" s="67" t="str">
        <f aca="false">IF($E2042="","",IFERROR(INDEX(科目表!$E$4:$E$81,MATCH($E2042,科目表!$B$4:$B$81,0)),""))</f>
        <v/>
      </c>
      <c r="H2042" s="70" t="str">
        <f aca="false">IF($E2042="","",N(INDEX(资金日记账!$N$4:$S$603,567,2)))</f>
        <v/>
      </c>
      <c r="I2042" s="70" t="str">
        <f aca="false">IF($E2042="","",N(INDEX(资金日记账!$N$4:$S$603,567,3)))</f>
        <v/>
      </c>
      <c r="J2042" s="67" t="str">
        <f aca="false">IF($E2042="","",INDEX(资金日记账!$E$4:$E$603,567))</f>
        <v/>
      </c>
      <c r="K2042" s="67" t="str">
        <f aca="false">IF($E2042="","",INDEX(资金日记账!$F$4:$F$603,567))</f>
        <v/>
      </c>
      <c r="L2042" s="107" t="str">
        <f aca="false">IF($E2042="","",INDEX(资金日记账!$X$4:$X$603,567))</f>
        <v/>
      </c>
      <c r="M2042" s="107"/>
      <c r="N2042" s="67" t="str">
        <f aca="false">IF($E2042="","",INDEX(资金日记账!$Y$4:$Y$603,567))</f>
        <v/>
      </c>
      <c r="O2042" s="67" t="str">
        <f aca="false">IF($E2042="","","自动B")</f>
        <v/>
      </c>
      <c r="P2042" s="18"/>
    </row>
    <row r="2043" customFormat="false" ht="18" hidden="false" customHeight="true" outlineLevel="0" collapsed="false">
      <c r="A2043" s="107" t="str">
        <f aca="false">IF($E2043="","",ROW()-3)</f>
        <v/>
      </c>
      <c r="B2043" s="110" t="str">
        <f aca="false">IF($E2043="","",INDEX(资金日记账!$B$4:$B$603,567))</f>
        <v/>
      </c>
      <c r="C2043" s="67" t="str">
        <f aca="false">IF($E2043="","",IF(INDEX(资金日记账!$W$4:$W$603,567)="","记-"&amp;TEXT($B2043,"YYYYMM")&amp;"-资金",INDEX(资金日记账!$W$4:$W$603,567)))</f>
        <v/>
      </c>
      <c r="D2043" s="107" t="str">
        <f aca="false">IF($E2043="","",INDEX(资金日记账!$D$4:$D$603,567))</f>
        <v/>
      </c>
      <c r="E2043" s="67" t="str">
        <f aca="false">IF(INDEX(资金日记账!$N$4:$S$603,567,4)=0,"",INDEX(资金日记账!$N$4:$S$603,567,4))</f>
        <v/>
      </c>
      <c r="F2043" s="99" t="str">
        <f aca="false">IF($E2043="","",IFERROR(INDEX(科目表!$A$4:$A$81,MATCH($E2043,科目表!$B$4:$B$81,0)),""))</f>
        <v/>
      </c>
      <c r="G2043" s="67" t="str">
        <f aca="false">IF($E2043="","",IFERROR(INDEX(科目表!$E$4:$E$81,MATCH($E2043,科目表!$B$4:$B$81,0)),""))</f>
        <v/>
      </c>
      <c r="H2043" s="70" t="str">
        <f aca="false">IF($E2043="","",N(INDEX(资金日记账!$N$4:$S$603,567,5)))</f>
        <v/>
      </c>
      <c r="I2043" s="70" t="str">
        <f aca="false">IF($E2043="","",N(INDEX(资金日记账!$N$4:$S$603,567,6)))</f>
        <v/>
      </c>
      <c r="J2043" s="67" t="str">
        <f aca="false">IF($E2043="","",INDEX(资金日记账!$E$4:$E$603,567))</f>
        <v/>
      </c>
      <c r="K2043" s="67" t="str">
        <f aca="false">IF($E2043="","",INDEX(资金日记账!$F$4:$F$603,567))</f>
        <v/>
      </c>
      <c r="L2043" s="107" t="str">
        <f aca="false">IF($E2043="","",INDEX(资金日记账!$X$4:$X$603,567))</f>
        <v/>
      </c>
      <c r="M2043" s="107"/>
      <c r="N2043" s="67" t="str">
        <f aca="false">IF($E2043="","",INDEX(资金日记账!$Y$4:$Y$603,567))</f>
        <v/>
      </c>
      <c r="O2043" s="67" t="str">
        <f aca="false">IF($E2043="","","自动B")</f>
        <v/>
      </c>
      <c r="P2043" s="18"/>
    </row>
    <row r="2044" customFormat="false" ht="18" hidden="false" customHeight="true" outlineLevel="0" collapsed="false">
      <c r="A2044" s="107" t="str">
        <f aca="false">IF($E2044="","",ROW()-3)</f>
        <v/>
      </c>
      <c r="B2044" s="110" t="str">
        <f aca="false">IF($E2044="","",INDEX(资金日记账!$B$4:$B$603,568))</f>
        <v/>
      </c>
      <c r="C2044" s="67" t="str">
        <f aca="false">IF($E2044="","",IF(INDEX(资金日记账!$W$4:$W$603,568)="","记-"&amp;TEXT($B2044,"YYYYMM")&amp;"-资金",INDEX(资金日记账!$W$4:$W$603,568)))</f>
        <v/>
      </c>
      <c r="D2044" s="107" t="str">
        <f aca="false">IF($E2044="","",INDEX(资金日记账!$D$4:$D$603,568))</f>
        <v/>
      </c>
      <c r="E2044" s="67" t="str">
        <f aca="false">IF(INDEX(资金日记账!$N$4:$S$603,568,1)=0,"",INDEX(资金日记账!$N$4:$S$603,568,1))</f>
        <v/>
      </c>
      <c r="F2044" s="99" t="str">
        <f aca="false">IF($E2044="","",IFERROR(INDEX(科目表!$A$4:$A$81,MATCH($E2044,科目表!$B$4:$B$81,0)),""))</f>
        <v/>
      </c>
      <c r="G2044" s="67" t="str">
        <f aca="false">IF($E2044="","",IFERROR(INDEX(科目表!$E$4:$E$81,MATCH($E2044,科目表!$B$4:$B$81,0)),""))</f>
        <v/>
      </c>
      <c r="H2044" s="70" t="str">
        <f aca="false">IF($E2044="","",N(INDEX(资金日记账!$N$4:$S$603,568,2)))</f>
        <v/>
      </c>
      <c r="I2044" s="70" t="str">
        <f aca="false">IF($E2044="","",N(INDEX(资金日记账!$N$4:$S$603,568,3)))</f>
        <v/>
      </c>
      <c r="J2044" s="67" t="str">
        <f aca="false">IF($E2044="","",INDEX(资金日记账!$E$4:$E$603,568))</f>
        <v/>
      </c>
      <c r="K2044" s="67" t="str">
        <f aca="false">IF($E2044="","",INDEX(资金日记账!$F$4:$F$603,568))</f>
        <v/>
      </c>
      <c r="L2044" s="107" t="str">
        <f aca="false">IF($E2044="","",INDEX(资金日记账!$X$4:$X$603,568))</f>
        <v/>
      </c>
      <c r="M2044" s="107"/>
      <c r="N2044" s="67" t="str">
        <f aca="false">IF($E2044="","",INDEX(资金日记账!$Y$4:$Y$603,568))</f>
        <v/>
      </c>
      <c r="O2044" s="67" t="str">
        <f aca="false">IF($E2044="","","自动B")</f>
        <v/>
      </c>
      <c r="P2044" s="18"/>
    </row>
    <row r="2045" customFormat="false" ht="18" hidden="false" customHeight="true" outlineLevel="0" collapsed="false">
      <c r="A2045" s="107" t="str">
        <f aca="false">IF($E2045="","",ROW()-3)</f>
        <v/>
      </c>
      <c r="B2045" s="110" t="str">
        <f aca="false">IF($E2045="","",INDEX(资金日记账!$B$4:$B$603,568))</f>
        <v/>
      </c>
      <c r="C2045" s="67" t="str">
        <f aca="false">IF($E2045="","",IF(INDEX(资金日记账!$W$4:$W$603,568)="","记-"&amp;TEXT($B2045,"YYYYMM")&amp;"-资金",INDEX(资金日记账!$W$4:$W$603,568)))</f>
        <v/>
      </c>
      <c r="D2045" s="107" t="str">
        <f aca="false">IF($E2045="","",INDEX(资金日记账!$D$4:$D$603,568))</f>
        <v/>
      </c>
      <c r="E2045" s="67" t="str">
        <f aca="false">IF(INDEX(资金日记账!$N$4:$S$603,568,4)=0,"",INDEX(资金日记账!$N$4:$S$603,568,4))</f>
        <v/>
      </c>
      <c r="F2045" s="99" t="str">
        <f aca="false">IF($E2045="","",IFERROR(INDEX(科目表!$A$4:$A$81,MATCH($E2045,科目表!$B$4:$B$81,0)),""))</f>
        <v/>
      </c>
      <c r="G2045" s="67" t="str">
        <f aca="false">IF($E2045="","",IFERROR(INDEX(科目表!$E$4:$E$81,MATCH($E2045,科目表!$B$4:$B$81,0)),""))</f>
        <v/>
      </c>
      <c r="H2045" s="70" t="str">
        <f aca="false">IF($E2045="","",N(INDEX(资金日记账!$N$4:$S$603,568,5)))</f>
        <v/>
      </c>
      <c r="I2045" s="70" t="str">
        <f aca="false">IF($E2045="","",N(INDEX(资金日记账!$N$4:$S$603,568,6)))</f>
        <v/>
      </c>
      <c r="J2045" s="67" t="str">
        <f aca="false">IF($E2045="","",INDEX(资金日记账!$E$4:$E$603,568))</f>
        <v/>
      </c>
      <c r="K2045" s="67" t="str">
        <f aca="false">IF($E2045="","",INDEX(资金日记账!$F$4:$F$603,568))</f>
        <v/>
      </c>
      <c r="L2045" s="107" t="str">
        <f aca="false">IF($E2045="","",INDEX(资金日记账!$X$4:$X$603,568))</f>
        <v/>
      </c>
      <c r="M2045" s="107"/>
      <c r="N2045" s="67" t="str">
        <f aca="false">IF($E2045="","",INDEX(资金日记账!$Y$4:$Y$603,568))</f>
        <v/>
      </c>
      <c r="O2045" s="67" t="str">
        <f aca="false">IF($E2045="","","自动B")</f>
        <v/>
      </c>
      <c r="P2045" s="18"/>
    </row>
    <row r="2046" customFormat="false" ht="18" hidden="false" customHeight="true" outlineLevel="0" collapsed="false">
      <c r="A2046" s="107" t="str">
        <f aca="false">IF($E2046="","",ROW()-3)</f>
        <v/>
      </c>
      <c r="B2046" s="110" t="str">
        <f aca="false">IF($E2046="","",INDEX(资金日记账!$B$4:$B$603,569))</f>
        <v/>
      </c>
      <c r="C2046" s="67" t="str">
        <f aca="false">IF($E2046="","",IF(INDEX(资金日记账!$W$4:$W$603,569)="","记-"&amp;TEXT($B2046,"YYYYMM")&amp;"-资金",INDEX(资金日记账!$W$4:$W$603,569)))</f>
        <v/>
      </c>
      <c r="D2046" s="107" t="str">
        <f aca="false">IF($E2046="","",INDEX(资金日记账!$D$4:$D$603,569))</f>
        <v/>
      </c>
      <c r="E2046" s="67" t="str">
        <f aca="false">IF(INDEX(资金日记账!$N$4:$S$603,569,1)=0,"",INDEX(资金日记账!$N$4:$S$603,569,1))</f>
        <v/>
      </c>
      <c r="F2046" s="99" t="str">
        <f aca="false">IF($E2046="","",IFERROR(INDEX(科目表!$A$4:$A$81,MATCH($E2046,科目表!$B$4:$B$81,0)),""))</f>
        <v/>
      </c>
      <c r="G2046" s="67" t="str">
        <f aca="false">IF($E2046="","",IFERROR(INDEX(科目表!$E$4:$E$81,MATCH($E2046,科目表!$B$4:$B$81,0)),""))</f>
        <v/>
      </c>
      <c r="H2046" s="70" t="str">
        <f aca="false">IF($E2046="","",N(INDEX(资金日记账!$N$4:$S$603,569,2)))</f>
        <v/>
      </c>
      <c r="I2046" s="70" t="str">
        <f aca="false">IF($E2046="","",N(INDEX(资金日记账!$N$4:$S$603,569,3)))</f>
        <v/>
      </c>
      <c r="J2046" s="67" t="str">
        <f aca="false">IF($E2046="","",INDEX(资金日记账!$E$4:$E$603,569))</f>
        <v/>
      </c>
      <c r="K2046" s="67" t="str">
        <f aca="false">IF($E2046="","",INDEX(资金日记账!$F$4:$F$603,569))</f>
        <v/>
      </c>
      <c r="L2046" s="107" t="str">
        <f aca="false">IF($E2046="","",INDEX(资金日记账!$X$4:$X$603,569))</f>
        <v/>
      </c>
      <c r="M2046" s="107"/>
      <c r="N2046" s="67" t="str">
        <f aca="false">IF($E2046="","",INDEX(资金日记账!$Y$4:$Y$603,569))</f>
        <v/>
      </c>
      <c r="O2046" s="67" t="str">
        <f aca="false">IF($E2046="","","自动B")</f>
        <v/>
      </c>
      <c r="P2046" s="18"/>
    </row>
    <row r="2047" customFormat="false" ht="18" hidden="false" customHeight="true" outlineLevel="0" collapsed="false">
      <c r="A2047" s="107" t="str">
        <f aca="false">IF($E2047="","",ROW()-3)</f>
        <v/>
      </c>
      <c r="B2047" s="110" t="str">
        <f aca="false">IF($E2047="","",INDEX(资金日记账!$B$4:$B$603,569))</f>
        <v/>
      </c>
      <c r="C2047" s="67" t="str">
        <f aca="false">IF($E2047="","",IF(INDEX(资金日记账!$W$4:$W$603,569)="","记-"&amp;TEXT($B2047,"YYYYMM")&amp;"-资金",INDEX(资金日记账!$W$4:$W$603,569)))</f>
        <v/>
      </c>
      <c r="D2047" s="107" t="str">
        <f aca="false">IF($E2047="","",INDEX(资金日记账!$D$4:$D$603,569))</f>
        <v/>
      </c>
      <c r="E2047" s="67" t="str">
        <f aca="false">IF(INDEX(资金日记账!$N$4:$S$603,569,4)=0,"",INDEX(资金日记账!$N$4:$S$603,569,4))</f>
        <v/>
      </c>
      <c r="F2047" s="99" t="str">
        <f aca="false">IF($E2047="","",IFERROR(INDEX(科目表!$A$4:$A$81,MATCH($E2047,科目表!$B$4:$B$81,0)),""))</f>
        <v/>
      </c>
      <c r="G2047" s="67" t="str">
        <f aca="false">IF($E2047="","",IFERROR(INDEX(科目表!$E$4:$E$81,MATCH($E2047,科目表!$B$4:$B$81,0)),""))</f>
        <v/>
      </c>
      <c r="H2047" s="70" t="str">
        <f aca="false">IF($E2047="","",N(INDEX(资金日记账!$N$4:$S$603,569,5)))</f>
        <v/>
      </c>
      <c r="I2047" s="70" t="str">
        <f aca="false">IF($E2047="","",N(INDEX(资金日记账!$N$4:$S$603,569,6)))</f>
        <v/>
      </c>
      <c r="J2047" s="67" t="str">
        <f aca="false">IF($E2047="","",INDEX(资金日记账!$E$4:$E$603,569))</f>
        <v/>
      </c>
      <c r="K2047" s="67" t="str">
        <f aca="false">IF($E2047="","",INDEX(资金日记账!$F$4:$F$603,569))</f>
        <v/>
      </c>
      <c r="L2047" s="107" t="str">
        <f aca="false">IF($E2047="","",INDEX(资金日记账!$X$4:$X$603,569))</f>
        <v/>
      </c>
      <c r="M2047" s="107"/>
      <c r="N2047" s="67" t="str">
        <f aca="false">IF($E2047="","",INDEX(资金日记账!$Y$4:$Y$603,569))</f>
        <v/>
      </c>
      <c r="O2047" s="67" t="str">
        <f aca="false">IF($E2047="","","自动B")</f>
        <v/>
      </c>
      <c r="P2047" s="18"/>
    </row>
    <row r="2048" customFormat="false" ht="18" hidden="false" customHeight="true" outlineLevel="0" collapsed="false">
      <c r="A2048" s="107" t="str">
        <f aca="false">IF($E2048="","",ROW()-3)</f>
        <v/>
      </c>
      <c r="B2048" s="110" t="str">
        <f aca="false">IF($E2048="","",INDEX(资金日记账!$B$4:$B$603,570))</f>
        <v/>
      </c>
      <c r="C2048" s="67" t="str">
        <f aca="false">IF($E2048="","",IF(INDEX(资金日记账!$W$4:$W$603,570)="","记-"&amp;TEXT($B2048,"YYYYMM")&amp;"-资金",INDEX(资金日记账!$W$4:$W$603,570)))</f>
        <v/>
      </c>
      <c r="D2048" s="107" t="str">
        <f aca="false">IF($E2048="","",INDEX(资金日记账!$D$4:$D$603,570))</f>
        <v/>
      </c>
      <c r="E2048" s="67" t="str">
        <f aca="false">IF(INDEX(资金日记账!$N$4:$S$603,570,1)=0,"",INDEX(资金日记账!$N$4:$S$603,570,1))</f>
        <v/>
      </c>
      <c r="F2048" s="99" t="str">
        <f aca="false">IF($E2048="","",IFERROR(INDEX(科目表!$A$4:$A$81,MATCH($E2048,科目表!$B$4:$B$81,0)),""))</f>
        <v/>
      </c>
      <c r="G2048" s="67" t="str">
        <f aca="false">IF($E2048="","",IFERROR(INDEX(科目表!$E$4:$E$81,MATCH($E2048,科目表!$B$4:$B$81,0)),""))</f>
        <v/>
      </c>
      <c r="H2048" s="70" t="str">
        <f aca="false">IF($E2048="","",N(INDEX(资金日记账!$N$4:$S$603,570,2)))</f>
        <v/>
      </c>
      <c r="I2048" s="70" t="str">
        <f aca="false">IF($E2048="","",N(INDEX(资金日记账!$N$4:$S$603,570,3)))</f>
        <v/>
      </c>
      <c r="J2048" s="67" t="str">
        <f aca="false">IF($E2048="","",INDEX(资金日记账!$E$4:$E$603,570))</f>
        <v/>
      </c>
      <c r="K2048" s="67" t="str">
        <f aca="false">IF($E2048="","",INDEX(资金日记账!$F$4:$F$603,570))</f>
        <v/>
      </c>
      <c r="L2048" s="107" t="str">
        <f aca="false">IF($E2048="","",INDEX(资金日记账!$X$4:$X$603,570))</f>
        <v/>
      </c>
      <c r="M2048" s="107"/>
      <c r="N2048" s="67" t="str">
        <f aca="false">IF($E2048="","",INDEX(资金日记账!$Y$4:$Y$603,570))</f>
        <v/>
      </c>
      <c r="O2048" s="67" t="str">
        <f aca="false">IF($E2048="","","自动B")</f>
        <v/>
      </c>
      <c r="P2048" s="18"/>
    </row>
    <row r="2049" customFormat="false" ht="18" hidden="false" customHeight="true" outlineLevel="0" collapsed="false">
      <c r="A2049" s="107" t="str">
        <f aca="false">IF($E2049="","",ROW()-3)</f>
        <v/>
      </c>
      <c r="B2049" s="110" t="str">
        <f aca="false">IF($E2049="","",INDEX(资金日记账!$B$4:$B$603,570))</f>
        <v/>
      </c>
      <c r="C2049" s="67" t="str">
        <f aca="false">IF($E2049="","",IF(INDEX(资金日记账!$W$4:$W$603,570)="","记-"&amp;TEXT($B2049,"YYYYMM")&amp;"-资金",INDEX(资金日记账!$W$4:$W$603,570)))</f>
        <v/>
      </c>
      <c r="D2049" s="107" t="str">
        <f aca="false">IF($E2049="","",INDEX(资金日记账!$D$4:$D$603,570))</f>
        <v/>
      </c>
      <c r="E2049" s="67" t="str">
        <f aca="false">IF(INDEX(资金日记账!$N$4:$S$603,570,4)=0,"",INDEX(资金日记账!$N$4:$S$603,570,4))</f>
        <v/>
      </c>
      <c r="F2049" s="99" t="str">
        <f aca="false">IF($E2049="","",IFERROR(INDEX(科目表!$A$4:$A$81,MATCH($E2049,科目表!$B$4:$B$81,0)),""))</f>
        <v/>
      </c>
      <c r="G2049" s="67" t="str">
        <f aca="false">IF($E2049="","",IFERROR(INDEX(科目表!$E$4:$E$81,MATCH($E2049,科目表!$B$4:$B$81,0)),""))</f>
        <v/>
      </c>
      <c r="H2049" s="70" t="str">
        <f aca="false">IF($E2049="","",N(INDEX(资金日记账!$N$4:$S$603,570,5)))</f>
        <v/>
      </c>
      <c r="I2049" s="70" t="str">
        <f aca="false">IF($E2049="","",N(INDEX(资金日记账!$N$4:$S$603,570,6)))</f>
        <v/>
      </c>
      <c r="J2049" s="67" t="str">
        <f aca="false">IF($E2049="","",INDEX(资金日记账!$E$4:$E$603,570))</f>
        <v/>
      </c>
      <c r="K2049" s="67" t="str">
        <f aca="false">IF($E2049="","",INDEX(资金日记账!$F$4:$F$603,570))</f>
        <v/>
      </c>
      <c r="L2049" s="107" t="str">
        <f aca="false">IF($E2049="","",INDEX(资金日记账!$X$4:$X$603,570))</f>
        <v/>
      </c>
      <c r="M2049" s="107"/>
      <c r="N2049" s="67" t="str">
        <f aca="false">IF($E2049="","",INDEX(资金日记账!$Y$4:$Y$603,570))</f>
        <v/>
      </c>
      <c r="O2049" s="67" t="str">
        <f aca="false">IF($E2049="","","自动B")</f>
        <v/>
      </c>
      <c r="P2049" s="18"/>
    </row>
    <row r="2050" customFormat="false" ht="18" hidden="false" customHeight="true" outlineLevel="0" collapsed="false">
      <c r="A2050" s="107" t="str">
        <f aca="false">IF($E2050="","",ROW()-3)</f>
        <v/>
      </c>
      <c r="B2050" s="110" t="str">
        <f aca="false">IF($E2050="","",INDEX(资金日记账!$B$4:$B$603,571))</f>
        <v/>
      </c>
      <c r="C2050" s="67" t="str">
        <f aca="false">IF($E2050="","",IF(INDEX(资金日记账!$W$4:$W$603,571)="","记-"&amp;TEXT($B2050,"YYYYMM")&amp;"-资金",INDEX(资金日记账!$W$4:$W$603,571)))</f>
        <v/>
      </c>
      <c r="D2050" s="107" t="str">
        <f aca="false">IF($E2050="","",INDEX(资金日记账!$D$4:$D$603,571))</f>
        <v/>
      </c>
      <c r="E2050" s="67" t="str">
        <f aca="false">IF(INDEX(资金日记账!$N$4:$S$603,571,1)=0,"",INDEX(资金日记账!$N$4:$S$603,571,1))</f>
        <v/>
      </c>
      <c r="F2050" s="99" t="str">
        <f aca="false">IF($E2050="","",IFERROR(INDEX(科目表!$A$4:$A$81,MATCH($E2050,科目表!$B$4:$B$81,0)),""))</f>
        <v/>
      </c>
      <c r="G2050" s="67" t="str">
        <f aca="false">IF($E2050="","",IFERROR(INDEX(科目表!$E$4:$E$81,MATCH($E2050,科目表!$B$4:$B$81,0)),""))</f>
        <v/>
      </c>
      <c r="H2050" s="70" t="str">
        <f aca="false">IF($E2050="","",N(INDEX(资金日记账!$N$4:$S$603,571,2)))</f>
        <v/>
      </c>
      <c r="I2050" s="70" t="str">
        <f aca="false">IF($E2050="","",N(INDEX(资金日记账!$N$4:$S$603,571,3)))</f>
        <v/>
      </c>
      <c r="J2050" s="67" t="str">
        <f aca="false">IF($E2050="","",INDEX(资金日记账!$E$4:$E$603,571))</f>
        <v/>
      </c>
      <c r="K2050" s="67" t="str">
        <f aca="false">IF($E2050="","",INDEX(资金日记账!$F$4:$F$603,571))</f>
        <v/>
      </c>
      <c r="L2050" s="107" t="str">
        <f aca="false">IF($E2050="","",INDEX(资金日记账!$X$4:$X$603,571))</f>
        <v/>
      </c>
      <c r="M2050" s="107"/>
      <c r="N2050" s="67" t="str">
        <f aca="false">IF($E2050="","",INDEX(资金日记账!$Y$4:$Y$603,571))</f>
        <v/>
      </c>
      <c r="O2050" s="67" t="str">
        <f aca="false">IF($E2050="","","自动B")</f>
        <v/>
      </c>
      <c r="P2050" s="18"/>
    </row>
    <row r="2051" customFormat="false" ht="18" hidden="false" customHeight="true" outlineLevel="0" collapsed="false">
      <c r="A2051" s="107" t="str">
        <f aca="false">IF($E2051="","",ROW()-3)</f>
        <v/>
      </c>
      <c r="B2051" s="110" t="str">
        <f aca="false">IF($E2051="","",INDEX(资金日记账!$B$4:$B$603,571))</f>
        <v/>
      </c>
      <c r="C2051" s="67" t="str">
        <f aca="false">IF($E2051="","",IF(INDEX(资金日记账!$W$4:$W$603,571)="","记-"&amp;TEXT($B2051,"YYYYMM")&amp;"-资金",INDEX(资金日记账!$W$4:$W$603,571)))</f>
        <v/>
      </c>
      <c r="D2051" s="107" t="str">
        <f aca="false">IF($E2051="","",INDEX(资金日记账!$D$4:$D$603,571))</f>
        <v/>
      </c>
      <c r="E2051" s="67" t="str">
        <f aca="false">IF(INDEX(资金日记账!$N$4:$S$603,571,4)=0,"",INDEX(资金日记账!$N$4:$S$603,571,4))</f>
        <v/>
      </c>
      <c r="F2051" s="99" t="str">
        <f aca="false">IF($E2051="","",IFERROR(INDEX(科目表!$A$4:$A$81,MATCH($E2051,科目表!$B$4:$B$81,0)),""))</f>
        <v/>
      </c>
      <c r="G2051" s="67" t="str">
        <f aca="false">IF($E2051="","",IFERROR(INDEX(科目表!$E$4:$E$81,MATCH($E2051,科目表!$B$4:$B$81,0)),""))</f>
        <v/>
      </c>
      <c r="H2051" s="70" t="str">
        <f aca="false">IF($E2051="","",N(INDEX(资金日记账!$N$4:$S$603,571,5)))</f>
        <v/>
      </c>
      <c r="I2051" s="70" t="str">
        <f aca="false">IF($E2051="","",N(INDEX(资金日记账!$N$4:$S$603,571,6)))</f>
        <v/>
      </c>
      <c r="J2051" s="67" t="str">
        <f aca="false">IF($E2051="","",INDEX(资金日记账!$E$4:$E$603,571))</f>
        <v/>
      </c>
      <c r="K2051" s="67" t="str">
        <f aca="false">IF($E2051="","",INDEX(资金日记账!$F$4:$F$603,571))</f>
        <v/>
      </c>
      <c r="L2051" s="107" t="str">
        <f aca="false">IF($E2051="","",INDEX(资金日记账!$X$4:$X$603,571))</f>
        <v/>
      </c>
      <c r="M2051" s="107"/>
      <c r="N2051" s="67" t="str">
        <f aca="false">IF($E2051="","",INDEX(资金日记账!$Y$4:$Y$603,571))</f>
        <v/>
      </c>
      <c r="O2051" s="67" t="str">
        <f aca="false">IF($E2051="","","自动B")</f>
        <v/>
      </c>
      <c r="P2051" s="18"/>
    </row>
    <row r="2052" customFormat="false" ht="18" hidden="false" customHeight="true" outlineLevel="0" collapsed="false">
      <c r="A2052" s="107" t="str">
        <f aca="false">IF($E2052="","",ROW()-3)</f>
        <v/>
      </c>
      <c r="B2052" s="110" t="str">
        <f aca="false">IF($E2052="","",INDEX(资金日记账!$B$4:$B$603,572))</f>
        <v/>
      </c>
      <c r="C2052" s="67" t="str">
        <f aca="false">IF($E2052="","",IF(INDEX(资金日记账!$W$4:$W$603,572)="","记-"&amp;TEXT($B2052,"YYYYMM")&amp;"-资金",INDEX(资金日记账!$W$4:$W$603,572)))</f>
        <v/>
      </c>
      <c r="D2052" s="107" t="str">
        <f aca="false">IF($E2052="","",INDEX(资金日记账!$D$4:$D$603,572))</f>
        <v/>
      </c>
      <c r="E2052" s="67" t="str">
        <f aca="false">IF(INDEX(资金日记账!$N$4:$S$603,572,1)=0,"",INDEX(资金日记账!$N$4:$S$603,572,1))</f>
        <v/>
      </c>
      <c r="F2052" s="99" t="str">
        <f aca="false">IF($E2052="","",IFERROR(INDEX(科目表!$A$4:$A$81,MATCH($E2052,科目表!$B$4:$B$81,0)),""))</f>
        <v/>
      </c>
      <c r="G2052" s="67" t="str">
        <f aca="false">IF($E2052="","",IFERROR(INDEX(科目表!$E$4:$E$81,MATCH($E2052,科目表!$B$4:$B$81,0)),""))</f>
        <v/>
      </c>
      <c r="H2052" s="70" t="str">
        <f aca="false">IF($E2052="","",N(INDEX(资金日记账!$N$4:$S$603,572,2)))</f>
        <v/>
      </c>
      <c r="I2052" s="70" t="str">
        <f aca="false">IF($E2052="","",N(INDEX(资金日记账!$N$4:$S$603,572,3)))</f>
        <v/>
      </c>
      <c r="J2052" s="67" t="str">
        <f aca="false">IF($E2052="","",INDEX(资金日记账!$E$4:$E$603,572))</f>
        <v/>
      </c>
      <c r="K2052" s="67" t="str">
        <f aca="false">IF($E2052="","",INDEX(资金日记账!$F$4:$F$603,572))</f>
        <v/>
      </c>
      <c r="L2052" s="107" t="str">
        <f aca="false">IF($E2052="","",INDEX(资金日记账!$X$4:$X$603,572))</f>
        <v/>
      </c>
      <c r="M2052" s="107"/>
      <c r="N2052" s="67" t="str">
        <f aca="false">IF($E2052="","",INDEX(资金日记账!$Y$4:$Y$603,572))</f>
        <v/>
      </c>
      <c r="O2052" s="67" t="str">
        <f aca="false">IF($E2052="","","自动B")</f>
        <v/>
      </c>
      <c r="P2052" s="18"/>
    </row>
    <row r="2053" customFormat="false" ht="18" hidden="false" customHeight="true" outlineLevel="0" collapsed="false">
      <c r="A2053" s="107" t="str">
        <f aca="false">IF($E2053="","",ROW()-3)</f>
        <v/>
      </c>
      <c r="B2053" s="110" t="str">
        <f aca="false">IF($E2053="","",INDEX(资金日记账!$B$4:$B$603,572))</f>
        <v/>
      </c>
      <c r="C2053" s="67" t="str">
        <f aca="false">IF($E2053="","",IF(INDEX(资金日记账!$W$4:$W$603,572)="","记-"&amp;TEXT($B2053,"YYYYMM")&amp;"-资金",INDEX(资金日记账!$W$4:$W$603,572)))</f>
        <v/>
      </c>
      <c r="D2053" s="107" t="str">
        <f aca="false">IF($E2053="","",INDEX(资金日记账!$D$4:$D$603,572))</f>
        <v/>
      </c>
      <c r="E2053" s="67" t="str">
        <f aca="false">IF(INDEX(资金日记账!$N$4:$S$603,572,4)=0,"",INDEX(资金日记账!$N$4:$S$603,572,4))</f>
        <v/>
      </c>
      <c r="F2053" s="99" t="str">
        <f aca="false">IF($E2053="","",IFERROR(INDEX(科目表!$A$4:$A$81,MATCH($E2053,科目表!$B$4:$B$81,0)),""))</f>
        <v/>
      </c>
      <c r="G2053" s="67" t="str">
        <f aca="false">IF($E2053="","",IFERROR(INDEX(科目表!$E$4:$E$81,MATCH($E2053,科目表!$B$4:$B$81,0)),""))</f>
        <v/>
      </c>
      <c r="H2053" s="70" t="str">
        <f aca="false">IF($E2053="","",N(INDEX(资金日记账!$N$4:$S$603,572,5)))</f>
        <v/>
      </c>
      <c r="I2053" s="70" t="str">
        <f aca="false">IF($E2053="","",N(INDEX(资金日记账!$N$4:$S$603,572,6)))</f>
        <v/>
      </c>
      <c r="J2053" s="67" t="str">
        <f aca="false">IF($E2053="","",INDEX(资金日记账!$E$4:$E$603,572))</f>
        <v/>
      </c>
      <c r="K2053" s="67" t="str">
        <f aca="false">IF($E2053="","",INDEX(资金日记账!$F$4:$F$603,572))</f>
        <v/>
      </c>
      <c r="L2053" s="107" t="str">
        <f aca="false">IF($E2053="","",INDEX(资金日记账!$X$4:$X$603,572))</f>
        <v/>
      </c>
      <c r="M2053" s="107"/>
      <c r="N2053" s="67" t="str">
        <f aca="false">IF($E2053="","",INDEX(资金日记账!$Y$4:$Y$603,572))</f>
        <v/>
      </c>
      <c r="O2053" s="67" t="str">
        <f aca="false">IF($E2053="","","自动B")</f>
        <v/>
      </c>
      <c r="P2053" s="18"/>
    </row>
    <row r="2054" customFormat="false" ht="18" hidden="false" customHeight="true" outlineLevel="0" collapsed="false">
      <c r="A2054" s="107" t="str">
        <f aca="false">IF($E2054="","",ROW()-3)</f>
        <v/>
      </c>
      <c r="B2054" s="110" t="str">
        <f aca="false">IF($E2054="","",INDEX(资金日记账!$B$4:$B$603,573))</f>
        <v/>
      </c>
      <c r="C2054" s="67" t="str">
        <f aca="false">IF($E2054="","",IF(INDEX(资金日记账!$W$4:$W$603,573)="","记-"&amp;TEXT($B2054,"YYYYMM")&amp;"-资金",INDEX(资金日记账!$W$4:$W$603,573)))</f>
        <v/>
      </c>
      <c r="D2054" s="107" t="str">
        <f aca="false">IF($E2054="","",INDEX(资金日记账!$D$4:$D$603,573))</f>
        <v/>
      </c>
      <c r="E2054" s="67" t="str">
        <f aca="false">IF(INDEX(资金日记账!$N$4:$S$603,573,1)=0,"",INDEX(资金日记账!$N$4:$S$603,573,1))</f>
        <v/>
      </c>
      <c r="F2054" s="99" t="str">
        <f aca="false">IF($E2054="","",IFERROR(INDEX(科目表!$A$4:$A$81,MATCH($E2054,科目表!$B$4:$B$81,0)),""))</f>
        <v/>
      </c>
      <c r="G2054" s="67" t="str">
        <f aca="false">IF($E2054="","",IFERROR(INDEX(科目表!$E$4:$E$81,MATCH($E2054,科目表!$B$4:$B$81,0)),""))</f>
        <v/>
      </c>
      <c r="H2054" s="70" t="str">
        <f aca="false">IF($E2054="","",N(INDEX(资金日记账!$N$4:$S$603,573,2)))</f>
        <v/>
      </c>
      <c r="I2054" s="70" t="str">
        <f aca="false">IF($E2054="","",N(INDEX(资金日记账!$N$4:$S$603,573,3)))</f>
        <v/>
      </c>
      <c r="J2054" s="67" t="str">
        <f aca="false">IF($E2054="","",INDEX(资金日记账!$E$4:$E$603,573))</f>
        <v/>
      </c>
      <c r="K2054" s="67" t="str">
        <f aca="false">IF($E2054="","",INDEX(资金日记账!$F$4:$F$603,573))</f>
        <v/>
      </c>
      <c r="L2054" s="107" t="str">
        <f aca="false">IF($E2054="","",INDEX(资金日记账!$X$4:$X$603,573))</f>
        <v/>
      </c>
      <c r="M2054" s="107"/>
      <c r="N2054" s="67" t="str">
        <f aca="false">IF($E2054="","",INDEX(资金日记账!$Y$4:$Y$603,573))</f>
        <v/>
      </c>
      <c r="O2054" s="67" t="str">
        <f aca="false">IF($E2054="","","自动B")</f>
        <v/>
      </c>
      <c r="P2054" s="18"/>
    </row>
    <row r="2055" customFormat="false" ht="18" hidden="false" customHeight="true" outlineLevel="0" collapsed="false">
      <c r="A2055" s="107" t="str">
        <f aca="false">IF($E2055="","",ROW()-3)</f>
        <v/>
      </c>
      <c r="B2055" s="110" t="str">
        <f aca="false">IF($E2055="","",INDEX(资金日记账!$B$4:$B$603,573))</f>
        <v/>
      </c>
      <c r="C2055" s="67" t="str">
        <f aca="false">IF($E2055="","",IF(INDEX(资金日记账!$W$4:$W$603,573)="","记-"&amp;TEXT($B2055,"YYYYMM")&amp;"-资金",INDEX(资金日记账!$W$4:$W$603,573)))</f>
        <v/>
      </c>
      <c r="D2055" s="107" t="str">
        <f aca="false">IF($E2055="","",INDEX(资金日记账!$D$4:$D$603,573))</f>
        <v/>
      </c>
      <c r="E2055" s="67" t="str">
        <f aca="false">IF(INDEX(资金日记账!$N$4:$S$603,573,4)=0,"",INDEX(资金日记账!$N$4:$S$603,573,4))</f>
        <v/>
      </c>
      <c r="F2055" s="99" t="str">
        <f aca="false">IF($E2055="","",IFERROR(INDEX(科目表!$A$4:$A$81,MATCH($E2055,科目表!$B$4:$B$81,0)),""))</f>
        <v/>
      </c>
      <c r="G2055" s="67" t="str">
        <f aca="false">IF($E2055="","",IFERROR(INDEX(科目表!$E$4:$E$81,MATCH($E2055,科目表!$B$4:$B$81,0)),""))</f>
        <v/>
      </c>
      <c r="H2055" s="70" t="str">
        <f aca="false">IF($E2055="","",N(INDEX(资金日记账!$N$4:$S$603,573,5)))</f>
        <v/>
      </c>
      <c r="I2055" s="70" t="str">
        <f aca="false">IF($E2055="","",N(INDEX(资金日记账!$N$4:$S$603,573,6)))</f>
        <v/>
      </c>
      <c r="J2055" s="67" t="str">
        <f aca="false">IF($E2055="","",INDEX(资金日记账!$E$4:$E$603,573))</f>
        <v/>
      </c>
      <c r="K2055" s="67" t="str">
        <f aca="false">IF($E2055="","",INDEX(资金日记账!$F$4:$F$603,573))</f>
        <v/>
      </c>
      <c r="L2055" s="107" t="str">
        <f aca="false">IF($E2055="","",INDEX(资金日记账!$X$4:$X$603,573))</f>
        <v/>
      </c>
      <c r="M2055" s="107"/>
      <c r="N2055" s="67" t="str">
        <f aca="false">IF($E2055="","",INDEX(资金日记账!$Y$4:$Y$603,573))</f>
        <v/>
      </c>
      <c r="O2055" s="67" t="str">
        <f aca="false">IF($E2055="","","自动B")</f>
        <v/>
      </c>
      <c r="P2055" s="18"/>
    </row>
    <row r="2056" customFormat="false" ht="18" hidden="false" customHeight="true" outlineLevel="0" collapsed="false">
      <c r="A2056" s="107" t="str">
        <f aca="false">IF($E2056="","",ROW()-3)</f>
        <v/>
      </c>
      <c r="B2056" s="110" t="str">
        <f aca="false">IF($E2056="","",INDEX(资金日记账!$B$4:$B$603,574))</f>
        <v/>
      </c>
      <c r="C2056" s="67" t="str">
        <f aca="false">IF($E2056="","",IF(INDEX(资金日记账!$W$4:$W$603,574)="","记-"&amp;TEXT($B2056,"YYYYMM")&amp;"-资金",INDEX(资金日记账!$W$4:$W$603,574)))</f>
        <v/>
      </c>
      <c r="D2056" s="107" t="str">
        <f aca="false">IF($E2056="","",INDEX(资金日记账!$D$4:$D$603,574))</f>
        <v/>
      </c>
      <c r="E2056" s="67" t="str">
        <f aca="false">IF(INDEX(资金日记账!$N$4:$S$603,574,1)=0,"",INDEX(资金日记账!$N$4:$S$603,574,1))</f>
        <v/>
      </c>
      <c r="F2056" s="99" t="str">
        <f aca="false">IF($E2056="","",IFERROR(INDEX(科目表!$A$4:$A$81,MATCH($E2056,科目表!$B$4:$B$81,0)),""))</f>
        <v/>
      </c>
      <c r="G2056" s="67" t="str">
        <f aca="false">IF($E2056="","",IFERROR(INDEX(科目表!$E$4:$E$81,MATCH($E2056,科目表!$B$4:$B$81,0)),""))</f>
        <v/>
      </c>
      <c r="H2056" s="70" t="str">
        <f aca="false">IF($E2056="","",N(INDEX(资金日记账!$N$4:$S$603,574,2)))</f>
        <v/>
      </c>
      <c r="I2056" s="70" t="str">
        <f aca="false">IF($E2056="","",N(INDEX(资金日记账!$N$4:$S$603,574,3)))</f>
        <v/>
      </c>
      <c r="J2056" s="67" t="str">
        <f aca="false">IF($E2056="","",INDEX(资金日记账!$E$4:$E$603,574))</f>
        <v/>
      </c>
      <c r="K2056" s="67" t="str">
        <f aca="false">IF($E2056="","",INDEX(资金日记账!$F$4:$F$603,574))</f>
        <v/>
      </c>
      <c r="L2056" s="107" t="str">
        <f aca="false">IF($E2056="","",INDEX(资金日记账!$X$4:$X$603,574))</f>
        <v/>
      </c>
      <c r="M2056" s="107"/>
      <c r="N2056" s="67" t="str">
        <f aca="false">IF($E2056="","",INDEX(资金日记账!$Y$4:$Y$603,574))</f>
        <v/>
      </c>
      <c r="O2056" s="67" t="str">
        <f aca="false">IF($E2056="","","自动B")</f>
        <v/>
      </c>
      <c r="P2056" s="18"/>
    </row>
    <row r="2057" customFormat="false" ht="18" hidden="false" customHeight="true" outlineLevel="0" collapsed="false">
      <c r="A2057" s="107" t="str">
        <f aca="false">IF($E2057="","",ROW()-3)</f>
        <v/>
      </c>
      <c r="B2057" s="110" t="str">
        <f aca="false">IF($E2057="","",INDEX(资金日记账!$B$4:$B$603,574))</f>
        <v/>
      </c>
      <c r="C2057" s="67" t="str">
        <f aca="false">IF($E2057="","",IF(INDEX(资金日记账!$W$4:$W$603,574)="","记-"&amp;TEXT($B2057,"YYYYMM")&amp;"-资金",INDEX(资金日记账!$W$4:$W$603,574)))</f>
        <v/>
      </c>
      <c r="D2057" s="107" t="str">
        <f aca="false">IF($E2057="","",INDEX(资金日记账!$D$4:$D$603,574))</f>
        <v/>
      </c>
      <c r="E2057" s="67" t="str">
        <f aca="false">IF(INDEX(资金日记账!$N$4:$S$603,574,4)=0,"",INDEX(资金日记账!$N$4:$S$603,574,4))</f>
        <v/>
      </c>
      <c r="F2057" s="99" t="str">
        <f aca="false">IF($E2057="","",IFERROR(INDEX(科目表!$A$4:$A$81,MATCH($E2057,科目表!$B$4:$B$81,0)),""))</f>
        <v/>
      </c>
      <c r="G2057" s="67" t="str">
        <f aca="false">IF($E2057="","",IFERROR(INDEX(科目表!$E$4:$E$81,MATCH($E2057,科目表!$B$4:$B$81,0)),""))</f>
        <v/>
      </c>
      <c r="H2057" s="70" t="str">
        <f aca="false">IF($E2057="","",N(INDEX(资金日记账!$N$4:$S$603,574,5)))</f>
        <v/>
      </c>
      <c r="I2057" s="70" t="str">
        <f aca="false">IF($E2057="","",N(INDEX(资金日记账!$N$4:$S$603,574,6)))</f>
        <v/>
      </c>
      <c r="J2057" s="67" t="str">
        <f aca="false">IF($E2057="","",INDEX(资金日记账!$E$4:$E$603,574))</f>
        <v/>
      </c>
      <c r="K2057" s="67" t="str">
        <f aca="false">IF($E2057="","",INDEX(资金日记账!$F$4:$F$603,574))</f>
        <v/>
      </c>
      <c r="L2057" s="107" t="str">
        <f aca="false">IF($E2057="","",INDEX(资金日记账!$X$4:$X$603,574))</f>
        <v/>
      </c>
      <c r="M2057" s="107"/>
      <c r="N2057" s="67" t="str">
        <f aca="false">IF($E2057="","",INDEX(资金日记账!$Y$4:$Y$603,574))</f>
        <v/>
      </c>
      <c r="O2057" s="67" t="str">
        <f aca="false">IF($E2057="","","自动B")</f>
        <v/>
      </c>
      <c r="P2057" s="18"/>
    </row>
    <row r="2058" customFormat="false" ht="18" hidden="false" customHeight="true" outlineLevel="0" collapsed="false">
      <c r="A2058" s="107" t="str">
        <f aca="false">IF($E2058="","",ROW()-3)</f>
        <v/>
      </c>
      <c r="B2058" s="110" t="str">
        <f aca="false">IF($E2058="","",INDEX(资金日记账!$B$4:$B$603,575))</f>
        <v/>
      </c>
      <c r="C2058" s="67" t="str">
        <f aca="false">IF($E2058="","",IF(INDEX(资金日记账!$W$4:$W$603,575)="","记-"&amp;TEXT($B2058,"YYYYMM")&amp;"-资金",INDEX(资金日记账!$W$4:$W$603,575)))</f>
        <v/>
      </c>
      <c r="D2058" s="107" t="str">
        <f aca="false">IF($E2058="","",INDEX(资金日记账!$D$4:$D$603,575))</f>
        <v/>
      </c>
      <c r="E2058" s="67" t="str">
        <f aca="false">IF(INDEX(资金日记账!$N$4:$S$603,575,1)=0,"",INDEX(资金日记账!$N$4:$S$603,575,1))</f>
        <v/>
      </c>
      <c r="F2058" s="99" t="str">
        <f aca="false">IF($E2058="","",IFERROR(INDEX(科目表!$A$4:$A$81,MATCH($E2058,科目表!$B$4:$B$81,0)),""))</f>
        <v/>
      </c>
      <c r="G2058" s="67" t="str">
        <f aca="false">IF($E2058="","",IFERROR(INDEX(科目表!$E$4:$E$81,MATCH($E2058,科目表!$B$4:$B$81,0)),""))</f>
        <v/>
      </c>
      <c r="H2058" s="70" t="str">
        <f aca="false">IF($E2058="","",N(INDEX(资金日记账!$N$4:$S$603,575,2)))</f>
        <v/>
      </c>
      <c r="I2058" s="70" t="str">
        <f aca="false">IF($E2058="","",N(INDEX(资金日记账!$N$4:$S$603,575,3)))</f>
        <v/>
      </c>
      <c r="J2058" s="67" t="str">
        <f aca="false">IF($E2058="","",INDEX(资金日记账!$E$4:$E$603,575))</f>
        <v/>
      </c>
      <c r="K2058" s="67" t="str">
        <f aca="false">IF($E2058="","",INDEX(资金日记账!$F$4:$F$603,575))</f>
        <v/>
      </c>
      <c r="L2058" s="107" t="str">
        <f aca="false">IF($E2058="","",INDEX(资金日记账!$X$4:$X$603,575))</f>
        <v/>
      </c>
      <c r="M2058" s="107"/>
      <c r="N2058" s="67" t="str">
        <f aca="false">IF($E2058="","",INDEX(资金日记账!$Y$4:$Y$603,575))</f>
        <v/>
      </c>
      <c r="O2058" s="67" t="str">
        <f aca="false">IF($E2058="","","自动B")</f>
        <v/>
      </c>
      <c r="P2058" s="18"/>
    </row>
    <row r="2059" customFormat="false" ht="18" hidden="false" customHeight="true" outlineLevel="0" collapsed="false">
      <c r="A2059" s="107" t="str">
        <f aca="false">IF($E2059="","",ROW()-3)</f>
        <v/>
      </c>
      <c r="B2059" s="110" t="str">
        <f aca="false">IF($E2059="","",INDEX(资金日记账!$B$4:$B$603,575))</f>
        <v/>
      </c>
      <c r="C2059" s="67" t="str">
        <f aca="false">IF($E2059="","",IF(INDEX(资金日记账!$W$4:$W$603,575)="","记-"&amp;TEXT($B2059,"YYYYMM")&amp;"-资金",INDEX(资金日记账!$W$4:$W$603,575)))</f>
        <v/>
      </c>
      <c r="D2059" s="107" t="str">
        <f aca="false">IF($E2059="","",INDEX(资金日记账!$D$4:$D$603,575))</f>
        <v/>
      </c>
      <c r="E2059" s="67" t="str">
        <f aca="false">IF(INDEX(资金日记账!$N$4:$S$603,575,4)=0,"",INDEX(资金日记账!$N$4:$S$603,575,4))</f>
        <v/>
      </c>
      <c r="F2059" s="99" t="str">
        <f aca="false">IF($E2059="","",IFERROR(INDEX(科目表!$A$4:$A$81,MATCH($E2059,科目表!$B$4:$B$81,0)),""))</f>
        <v/>
      </c>
      <c r="G2059" s="67" t="str">
        <f aca="false">IF($E2059="","",IFERROR(INDEX(科目表!$E$4:$E$81,MATCH($E2059,科目表!$B$4:$B$81,0)),""))</f>
        <v/>
      </c>
      <c r="H2059" s="70" t="str">
        <f aca="false">IF($E2059="","",N(INDEX(资金日记账!$N$4:$S$603,575,5)))</f>
        <v/>
      </c>
      <c r="I2059" s="70" t="str">
        <f aca="false">IF($E2059="","",N(INDEX(资金日记账!$N$4:$S$603,575,6)))</f>
        <v/>
      </c>
      <c r="J2059" s="67" t="str">
        <f aca="false">IF($E2059="","",INDEX(资金日记账!$E$4:$E$603,575))</f>
        <v/>
      </c>
      <c r="K2059" s="67" t="str">
        <f aca="false">IF($E2059="","",INDEX(资金日记账!$F$4:$F$603,575))</f>
        <v/>
      </c>
      <c r="L2059" s="107" t="str">
        <f aca="false">IF($E2059="","",INDEX(资金日记账!$X$4:$X$603,575))</f>
        <v/>
      </c>
      <c r="M2059" s="107"/>
      <c r="N2059" s="67" t="str">
        <f aca="false">IF($E2059="","",INDEX(资金日记账!$Y$4:$Y$603,575))</f>
        <v/>
      </c>
      <c r="O2059" s="67" t="str">
        <f aca="false">IF($E2059="","","自动B")</f>
        <v/>
      </c>
      <c r="P2059" s="18"/>
    </row>
    <row r="2060" customFormat="false" ht="18" hidden="false" customHeight="true" outlineLevel="0" collapsed="false">
      <c r="A2060" s="107" t="str">
        <f aca="false">IF($E2060="","",ROW()-3)</f>
        <v/>
      </c>
      <c r="B2060" s="110" t="str">
        <f aca="false">IF($E2060="","",INDEX(资金日记账!$B$4:$B$603,576))</f>
        <v/>
      </c>
      <c r="C2060" s="67" t="str">
        <f aca="false">IF($E2060="","",IF(INDEX(资金日记账!$W$4:$W$603,576)="","记-"&amp;TEXT($B2060,"YYYYMM")&amp;"-资金",INDEX(资金日记账!$W$4:$W$603,576)))</f>
        <v/>
      </c>
      <c r="D2060" s="107" t="str">
        <f aca="false">IF($E2060="","",INDEX(资金日记账!$D$4:$D$603,576))</f>
        <v/>
      </c>
      <c r="E2060" s="67" t="str">
        <f aca="false">IF(INDEX(资金日记账!$N$4:$S$603,576,1)=0,"",INDEX(资金日记账!$N$4:$S$603,576,1))</f>
        <v/>
      </c>
      <c r="F2060" s="99" t="str">
        <f aca="false">IF($E2060="","",IFERROR(INDEX(科目表!$A$4:$A$81,MATCH($E2060,科目表!$B$4:$B$81,0)),""))</f>
        <v/>
      </c>
      <c r="G2060" s="67" t="str">
        <f aca="false">IF($E2060="","",IFERROR(INDEX(科目表!$E$4:$E$81,MATCH($E2060,科目表!$B$4:$B$81,0)),""))</f>
        <v/>
      </c>
      <c r="H2060" s="70" t="str">
        <f aca="false">IF($E2060="","",N(INDEX(资金日记账!$N$4:$S$603,576,2)))</f>
        <v/>
      </c>
      <c r="I2060" s="70" t="str">
        <f aca="false">IF($E2060="","",N(INDEX(资金日记账!$N$4:$S$603,576,3)))</f>
        <v/>
      </c>
      <c r="J2060" s="67" t="str">
        <f aca="false">IF($E2060="","",INDEX(资金日记账!$E$4:$E$603,576))</f>
        <v/>
      </c>
      <c r="K2060" s="67" t="str">
        <f aca="false">IF($E2060="","",INDEX(资金日记账!$F$4:$F$603,576))</f>
        <v/>
      </c>
      <c r="L2060" s="107" t="str">
        <f aca="false">IF($E2060="","",INDEX(资金日记账!$X$4:$X$603,576))</f>
        <v/>
      </c>
      <c r="M2060" s="107"/>
      <c r="N2060" s="67" t="str">
        <f aca="false">IF($E2060="","",INDEX(资金日记账!$Y$4:$Y$603,576))</f>
        <v/>
      </c>
      <c r="O2060" s="67" t="str">
        <f aca="false">IF($E2060="","","自动B")</f>
        <v/>
      </c>
      <c r="P2060" s="18"/>
    </row>
    <row r="2061" customFormat="false" ht="18" hidden="false" customHeight="true" outlineLevel="0" collapsed="false">
      <c r="A2061" s="107" t="str">
        <f aca="false">IF($E2061="","",ROW()-3)</f>
        <v/>
      </c>
      <c r="B2061" s="110" t="str">
        <f aca="false">IF($E2061="","",INDEX(资金日记账!$B$4:$B$603,576))</f>
        <v/>
      </c>
      <c r="C2061" s="67" t="str">
        <f aca="false">IF($E2061="","",IF(INDEX(资金日记账!$W$4:$W$603,576)="","记-"&amp;TEXT($B2061,"YYYYMM")&amp;"-资金",INDEX(资金日记账!$W$4:$W$603,576)))</f>
        <v/>
      </c>
      <c r="D2061" s="107" t="str">
        <f aca="false">IF($E2061="","",INDEX(资金日记账!$D$4:$D$603,576))</f>
        <v/>
      </c>
      <c r="E2061" s="67" t="str">
        <f aca="false">IF(INDEX(资金日记账!$N$4:$S$603,576,4)=0,"",INDEX(资金日记账!$N$4:$S$603,576,4))</f>
        <v/>
      </c>
      <c r="F2061" s="99" t="str">
        <f aca="false">IF($E2061="","",IFERROR(INDEX(科目表!$A$4:$A$81,MATCH($E2061,科目表!$B$4:$B$81,0)),""))</f>
        <v/>
      </c>
      <c r="G2061" s="67" t="str">
        <f aca="false">IF($E2061="","",IFERROR(INDEX(科目表!$E$4:$E$81,MATCH($E2061,科目表!$B$4:$B$81,0)),""))</f>
        <v/>
      </c>
      <c r="H2061" s="70" t="str">
        <f aca="false">IF($E2061="","",N(INDEX(资金日记账!$N$4:$S$603,576,5)))</f>
        <v/>
      </c>
      <c r="I2061" s="70" t="str">
        <f aca="false">IF($E2061="","",N(INDEX(资金日记账!$N$4:$S$603,576,6)))</f>
        <v/>
      </c>
      <c r="J2061" s="67" t="str">
        <f aca="false">IF($E2061="","",INDEX(资金日记账!$E$4:$E$603,576))</f>
        <v/>
      </c>
      <c r="K2061" s="67" t="str">
        <f aca="false">IF($E2061="","",INDEX(资金日记账!$F$4:$F$603,576))</f>
        <v/>
      </c>
      <c r="L2061" s="107" t="str">
        <f aca="false">IF($E2061="","",INDEX(资金日记账!$X$4:$X$603,576))</f>
        <v/>
      </c>
      <c r="M2061" s="107"/>
      <c r="N2061" s="67" t="str">
        <f aca="false">IF($E2061="","",INDEX(资金日记账!$Y$4:$Y$603,576))</f>
        <v/>
      </c>
      <c r="O2061" s="67" t="str">
        <f aca="false">IF($E2061="","","自动B")</f>
        <v/>
      </c>
      <c r="P2061" s="18"/>
    </row>
    <row r="2062" customFormat="false" ht="18" hidden="false" customHeight="true" outlineLevel="0" collapsed="false">
      <c r="A2062" s="107" t="str">
        <f aca="false">IF($E2062="","",ROW()-3)</f>
        <v/>
      </c>
      <c r="B2062" s="110" t="str">
        <f aca="false">IF($E2062="","",INDEX(资金日记账!$B$4:$B$603,577))</f>
        <v/>
      </c>
      <c r="C2062" s="67" t="str">
        <f aca="false">IF($E2062="","",IF(INDEX(资金日记账!$W$4:$W$603,577)="","记-"&amp;TEXT($B2062,"YYYYMM")&amp;"-资金",INDEX(资金日记账!$W$4:$W$603,577)))</f>
        <v/>
      </c>
      <c r="D2062" s="107" t="str">
        <f aca="false">IF($E2062="","",INDEX(资金日记账!$D$4:$D$603,577))</f>
        <v/>
      </c>
      <c r="E2062" s="67" t="str">
        <f aca="false">IF(INDEX(资金日记账!$N$4:$S$603,577,1)=0,"",INDEX(资金日记账!$N$4:$S$603,577,1))</f>
        <v/>
      </c>
      <c r="F2062" s="99" t="str">
        <f aca="false">IF($E2062="","",IFERROR(INDEX(科目表!$A$4:$A$81,MATCH($E2062,科目表!$B$4:$B$81,0)),""))</f>
        <v/>
      </c>
      <c r="G2062" s="67" t="str">
        <f aca="false">IF($E2062="","",IFERROR(INDEX(科目表!$E$4:$E$81,MATCH($E2062,科目表!$B$4:$B$81,0)),""))</f>
        <v/>
      </c>
      <c r="H2062" s="70" t="str">
        <f aca="false">IF($E2062="","",N(INDEX(资金日记账!$N$4:$S$603,577,2)))</f>
        <v/>
      </c>
      <c r="I2062" s="70" t="str">
        <f aca="false">IF($E2062="","",N(INDEX(资金日记账!$N$4:$S$603,577,3)))</f>
        <v/>
      </c>
      <c r="J2062" s="67" t="str">
        <f aca="false">IF($E2062="","",INDEX(资金日记账!$E$4:$E$603,577))</f>
        <v/>
      </c>
      <c r="K2062" s="67" t="str">
        <f aca="false">IF($E2062="","",INDEX(资金日记账!$F$4:$F$603,577))</f>
        <v/>
      </c>
      <c r="L2062" s="107" t="str">
        <f aca="false">IF($E2062="","",INDEX(资金日记账!$X$4:$X$603,577))</f>
        <v/>
      </c>
      <c r="M2062" s="107"/>
      <c r="N2062" s="67" t="str">
        <f aca="false">IF($E2062="","",INDEX(资金日记账!$Y$4:$Y$603,577))</f>
        <v/>
      </c>
      <c r="O2062" s="67" t="str">
        <f aca="false">IF($E2062="","","自动B")</f>
        <v/>
      </c>
      <c r="P2062" s="18"/>
    </row>
    <row r="2063" customFormat="false" ht="18" hidden="false" customHeight="true" outlineLevel="0" collapsed="false">
      <c r="A2063" s="107" t="str">
        <f aca="false">IF($E2063="","",ROW()-3)</f>
        <v/>
      </c>
      <c r="B2063" s="110" t="str">
        <f aca="false">IF($E2063="","",INDEX(资金日记账!$B$4:$B$603,577))</f>
        <v/>
      </c>
      <c r="C2063" s="67" t="str">
        <f aca="false">IF($E2063="","",IF(INDEX(资金日记账!$W$4:$W$603,577)="","记-"&amp;TEXT($B2063,"YYYYMM")&amp;"-资金",INDEX(资金日记账!$W$4:$W$603,577)))</f>
        <v/>
      </c>
      <c r="D2063" s="107" t="str">
        <f aca="false">IF($E2063="","",INDEX(资金日记账!$D$4:$D$603,577))</f>
        <v/>
      </c>
      <c r="E2063" s="67" t="str">
        <f aca="false">IF(INDEX(资金日记账!$N$4:$S$603,577,4)=0,"",INDEX(资金日记账!$N$4:$S$603,577,4))</f>
        <v/>
      </c>
      <c r="F2063" s="99" t="str">
        <f aca="false">IF($E2063="","",IFERROR(INDEX(科目表!$A$4:$A$81,MATCH($E2063,科目表!$B$4:$B$81,0)),""))</f>
        <v/>
      </c>
      <c r="G2063" s="67" t="str">
        <f aca="false">IF($E2063="","",IFERROR(INDEX(科目表!$E$4:$E$81,MATCH($E2063,科目表!$B$4:$B$81,0)),""))</f>
        <v/>
      </c>
      <c r="H2063" s="70" t="str">
        <f aca="false">IF($E2063="","",N(INDEX(资金日记账!$N$4:$S$603,577,5)))</f>
        <v/>
      </c>
      <c r="I2063" s="70" t="str">
        <f aca="false">IF($E2063="","",N(INDEX(资金日记账!$N$4:$S$603,577,6)))</f>
        <v/>
      </c>
      <c r="J2063" s="67" t="str">
        <f aca="false">IF($E2063="","",INDEX(资金日记账!$E$4:$E$603,577))</f>
        <v/>
      </c>
      <c r="K2063" s="67" t="str">
        <f aca="false">IF($E2063="","",INDEX(资金日记账!$F$4:$F$603,577))</f>
        <v/>
      </c>
      <c r="L2063" s="107" t="str">
        <f aca="false">IF($E2063="","",INDEX(资金日记账!$X$4:$X$603,577))</f>
        <v/>
      </c>
      <c r="M2063" s="107"/>
      <c r="N2063" s="67" t="str">
        <f aca="false">IF($E2063="","",INDEX(资金日记账!$Y$4:$Y$603,577))</f>
        <v/>
      </c>
      <c r="O2063" s="67" t="str">
        <f aca="false">IF($E2063="","","自动B")</f>
        <v/>
      </c>
      <c r="P2063" s="18"/>
    </row>
    <row r="2064" customFormat="false" ht="18" hidden="false" customHeight="true" outlineLevel="0" collapsed="false">
      <c r="A2064" s="107" t="str">
        <f aca="false">IF($E2064="","",ROW()-3)</f>
        <v/>
      </c>
      <c r="B2064" s="110" t="str">
        <f aca="false">IF($E2064="","",INDEX(资金日记账!$B$4:$B$603,578))</f>
        <v/>
      </c>
      <c r="C2064" s="67" t="str">
        <f aca="false">IF($E2064="","",IF(INDEX(资金日记账!$W$4:$W$603,578)="","记-"&amp;TEXT($B2064,"YYYYMM")&amp;"-资金",INDEX(资金日记账!$W$4:$W$603,578)))</f>
        <v/>
      </c>
      <c r="D2064" s="107" t="str">
        <f aca="false">IF($E2064="","",INDEX(资金日记账!$D$4:$D$603,578))</f>
        <v/>
      </c>
      <c r="E2064" s="67" t="str">
        <f aca="false">IF(INDEX(资金日记账!$N$4:$S$603,578,1)=0,"",INDEX(资金日记账!$N$4:$S$603,578,1))</f>
        <v/>
      </c>
      <c r="F2064" s="99" t="str">
        <f aca="false">IF($E2064="","",IFERROR(INDEX(科目表!$A$4:$A$81,MATCH($E2064,科目表!$B$4:$B$81,0)),""))</f>
        <v/>
      </c>
      <c r="G2064" s="67" t="str">
        <f aca="false">IF($E2064="","",IFERROR(INDEX(科目表!$E$4:$E$81,MATCH($E2064,科目表!$B$4:$B$81,0)),""))</f>
        <v/>
      </c>
      <c r="H2064" s="70" t="str">
        <f aca="false">IF($E2064="","",N(INDEX(资金日记账!$N$4:$S$603,578,2)))</f>
        <v/>
      </c>
      <c r="I2064" s="70" t="str">
        <f aca="false">IF($E2064="","",N(INDEX(资金日记账!$N$4:$S$603,578,3)))</f>
        <v/>
      </c>
      <c r="J2064" s="67" t="str">
        <f aca="false">IF($E2064="","",INDEX(资金日记账!$E$4:$E$603,578))</f>
        <v/>
      </c>
      <c r="K2064" s="67" t="str">
        <f aca="false">IF($E2064="","",INDEX(资金日记账!$F$4:$F$603,578))</f>
        <v/>
      </c>
      <c r="L2064" s="107" t="str">
        <f aca="false">IF($E2064="","",INDEX(资金日记账!$X$4:$X$603,578))</f>
        <v/>
      </c>
      <c r="M2064" s="107"/>
      <c r="N2064" s="67" t="str">
        <f aca="false">IF($E2064="","",INDEX(资金日记账!$Y$4:$Y$603,578))</f>
        <v/>
      </c>
      <c r="O2064" s="67" t="str">
        <f aca="false">IF($E2064="","","自动B")</f>
        <v/>
      </c>
      <c r="P2064" s="18"/>
    </row>
    <row r="2065" customFormat="false" ht="18" hidden="false" customHeight="true" outlineLevel="0" collapsed="false">
      <c r="A2065" s="107" t="str">
        <f aca="false">IF($E2065="","",ROW()-3)</f>
        <v/>
      </c>
      <c r="B2065" s="110" t="str">
        <f aca="false">IF($E2065="","",INDEX(资金日记账!$B$4:$B$603,578))</f>
        <v/>
      </c>
      <c r="C2065" s="67" t="str">
        <f aca="false">IF($E2065="","",IF(INDEX(资金日记账!$W$4:$W$603,578)="","记-"&amp;TEXT($B2065,"YYYYMM")&amp;"-资金",INDEX(资金日记账!$W$4:$W$603,578)))</f>
        <v/>
      </c>
      <c r="D2065" s="107" t="str">
        <f aca="false">IF($E2065="","",INDEX(资金日记账!$D$4:$D$603,578))</f>
        <v/>
      </c>
      <c r="E2065" s="67" t="str">
        <f aca="false">IF(INDEX(资金日记账!$N$4:$S$603,578,4)=0,"",INDEX(资金日记账!$N$4:$S$603,578,4))</f>
        <v/>
      </c>
      <c r="F2065" s="99" t="str">
        <f aca="false">IF($E2065="","",IFERROR(INDEX(科目表!$A$4:$A$81,MATCH($E2065,科目表!$B$4:$B$81,0)),""))</f>
        <v/>
      </c>
      <c r="G2065" s="67" t="str">
        <f aca="false">IF($E2065="","",IFERROR(INDEX(科目表!$E$4:$E$81,MATCH($E2065,科目表!$B$4:$B$81,0)),""))</f>
        <v/>
      </c>
      <c r="H2065" s="70" t="str">
        <f aca="false">IF($E2065="","",N(INDEX(资金日记账!$N$4:$S$603,578,5)))</f>
        <v/>
      </c>
      <c r="I2065" s="70" t="str">
        <f aca="false">IF($E2065="","",N(INDEX(资金日记账!$N$4:$S$603,578,6)))</f>
        <v/>
      </c>
      <c r="J2065" s="67" t="str">
        <f aca="false">IF($E2065="","",INDEX(资金日记账!$E$4:$E$603,578))</f>
        <v/>
      </c>
      <c r="K2065" s="67" t="str">
        <f aca="false">IF($E2065="","",INDEX(资金日记账!$F$4:$F$603,578))</f>
        <v/>
      </c>
      <c r="L2065" s="107" t="str">
        <f aca="false">IF($E2065="","",INDEX(资金日记账!$X$4:$X$603,578))</f>
        <v/>
      </c>
      <c r="M2065" s="107"/>
      <c r="N2065" s="67" t="str">
        <f aca="false">IF($E2065="","",INDEX(资金日记账!$Y$4:$Y$603,578))</f>
        <v/>
      </c>
      <c r="O2065" s="67" t="str">
        <f aca="false">IF($E2065="","","自动B")</f>
        <v/>
      </c>
      <c r="P2065" s="18"/>
    </row>
    <row r="2066" customFormat="false" ht="18" hidden="false" customHeight="true" outlineLevel="0" collapsed="false">
      <c r="A2066" s="107" t="str">
        <f aca="false">IF($E2066="","",ROW()-3)</f>
        <v/>
      </c>
      <c r="B2066" s="110" t="str">
        <f aca="false">IF($E2066="","",INDEX(资金日记账!$B$4:$B$603,579))</f>
        <v/>
      </c>
      <c r="C2066" s="67" t="str">
        <f aca="false">IF($E2066="","",IF(INDEX(资金日记账!$W$4:$W$603,579)="","记-"&amp;TEXT($B2066,"YYYYMM")&amp;"-资金",INDEX(资金日记账!$W$4:$W$603,579)))</f>
        <v/>
      </c>
      <c r="D2066" s="107" t="str">
        <f aca="false">IF($E2066="","",INDEX(资金日记账!$D$4:$D$603,579))</f>
        <v/>
      </c>
      <c r="E2066" s="67" t="str">
        <f aca="false">IF(INDEX(资金日记账!$N$4:$S$603,579,1)=0,"",INDEX(资金日记账!$N$4:$S$603,579,1))</f>
        <v/>
      </c>
      <c r="F2066" s="99" t="str">
        <f aca="false">IF($E2066="","",IFERROR(INDEX(科目表!$A$4:$A$81,MATCH($E2066,科目表!$B$4:$B$81,0)),""))</f>
        <v/>
      </c>
      <c r="G2066" s="67" t="str">
        <f aca="false">IF($E2066="","",IFERROR(INDEX(科目表!$E$4:$E$81,MATCH($E2066,科目表!$B$4:$B$81,0)),""))</f>
        <v/>
      </c>
      <c r="H2066" s="70" t="str">
        <f aca="false">IF($E2066="","",N(INDEX(资金日记账!$N$4:$S$603,579,2)))</f>
        <v/>
      </c>
      <c r="I2066" s="70" t="str">
        <f aca="false">IF($E2066="","",N(INDEX(资金日记账!$N$4:$S$603,579,3)))</f>
        <v/>
      </c>
      <c r="J2066" s="67" t="str">
        <f aca="false">IF($E2066="","",INDEX(资金日记账!$E$4:$E$603,579))</f>
        <v/>
      </c>
      <c r="K2066" s="67" t="str">
        <f aca="false">IF($E2066="","",INDEX(资金日记账!$F$4:$F$603,579))</f>
        <v/>
      </c>
      <c r="L2066" s="107" t="str">
        <f aca="false">IF($E2066="","",INDEX(资金日记账!$X$4:$X$603,579))</f>
        <v/>
      </c>
      <c r="M2066" s="107"/>
      <c r="N2066" s="67" t="str">
        <f aca="false">IF($E2066="","",INDEX(资金日记账!$Y$4:$Y$603,579))</f>
        <v/>
      </c>
      <c r="O2066" s="67" t="str">
        <f aca="false">IF($E2066="","","自动B")</f>
        <v/>
      </c>
      <c r="P2066" s="18"/>
    </row>
    <row r="2067" customFormat="false" ht="18" hidden="false" customHeight="true" outlineLevel="0" collapsed="false">
      <c r="A2067" s="107" t="str">
        <f aca="false">IF($E2067="","",ROW()-3)</f>
        <v/>
      </c>
      <c r="B2067" s="110" t="str">
        <f aca="false">IF($E2067="","",INDEX(资金日记账!$B$4:$B$603,579))</f>
        <v/>
      </c>
      <c r="C2067" s="67" t="str">
        <f aca="false">IF($E2067="","",IF(INDEX(资金日记账!$W$4:$W$603,579)="","记-"&amp;TEXT($B2067,"YYYYMM")&amp;"-资金",INDEX(资金日记账!$W$4:$W$603,579)))</f>
        <v/>
      </c>
      <c r="D2067" s="107" t="str">
        <f aca="false">IF($E2067="","",INDEX(资金日记账!$D$4:$D$603,579))</f>
        <v/>
      </c>
      <c r="E2067" s="67" t="str">
        <f aca="false">IF(INDEX(资金日记账!$N$4:$S$603,579,4)=0,"",INDEX(资金日记账!$N$4:$S$603,579,4))</f>
        <v/>
      </c>
      <c r="F2067" s="99" t="str">
        <f aca="false">IF($E2067="","",IFERROR(INDEX(科目表!$A$4:$A$81,MATCH($E2067,科目表!$B$4:$B$81,0)),""))</f>
        <v/>
      </c>
      <c r="G2067" s="67" t="str">
        <f aca="false">IF($E2067="","",IFERROR(INDEX(科目表!$E$4:$E$81,MATCH($E2067,科目表!$B$4:$B$81,0)),""))</f>
        <v/>
      </c>
      <c r="H2067" s="70" t="str">
        <f aca="false">IF($E2067="","",N(INDEX(资金日记账!$N$4:$S$603,579,5)))</f>
        <v/>
      </c>
      <c r="I2067" s="70" t="str">
        <f aca="false">IF($E2067="","",N(INDEX(资金日记账!$N$4:$S$603,579,6)))</f>
        <v/>
      </c>
      <c r="J2067" s="67" t="str">
        <f aca="false">IF($E2067="","",INDEX(资金日记账!$E$4:$E$603,579))</f>
        <v/>
      </c>
      <c r="K2067" s="67" t="str">
        <f aca="false">IF($E2067="","",INDEX(资金日记账!$F$4:$F$603,579))</f>
        <v/>
      </c>
      <c r="L2067" s="107" t="str">
        <f aca="false">IF($E2067="","",INDEX(资金日记账!$X$4:$X$603,579))</f>
        <v/>
      </c>
      <c r="M2067" s="107"/>
      <c r="N2067" s="67" t="str">
        <f aca="false">IF($E2067="","",INDEX(资金日记账!$Y$4:$Y$603,579))</f>
        <v/>
      </c>
      <c r="O2067" s="67" t="str">
        <f aca="false">IF($E2067="","","自动B")</f>
        <v/>
      </c>
      <c r="P2067" s="18"/>
    </row>
    <row r="2068" customFormat="false" ht="18" hidden="false" customHeight="true" outlineLevel="0" collapsed="false">
      <c r="A2068" s="107" t="str">
        <f aca="false">IF($E2068="","",ROW()-3)</f>
        <v/>
      </c>
      <c r="B2068" s="110" t="str">
        <f aca="false">IF($E2068="","",INDEX(资金日记账!$B$4:$B$603,580))</f>
        <v/>
      </c>
      <c r="C2068" s="67" t="str">
        <f aca="false">IF($E2068="","",IF(INDEX(资金日记账!$W$4:$W$603,580)="","记-"&amp;TEXT($B2068,"YYYYMM")&amp;"-资金",INDEX(资金日记账!$W$4:$W$603,580)))</f>
        <v/>
      </c>
      <c r="D2068" s="107" t="str">
        <f aca="false">IF($E2068="","",INDEX(资金日记账!$D$4:$D$603,580))</f>
        <v/>
      </c>
      <c r="E2068" s="67" t="str">
        <f aca="false">IF(INDEX(资金日记账!$N$4:$S$603,580,1)=0,"",INDEX(资金日记账!$N$4:$S$603,580,1))</f>
        <v/>
      </c>
      <c r="F2068" s="99" t="str">
        <f aca="false">IF($E2068="","",IFERROR(INDEX(科目表!$A$4:$A$81,MATCH($E2068,科目表!$B$4:$B$81,0)),""))</f>
        <v/>
      </c>
      <c r="G2068" s="67" t="str">
        <f aca="false">IF($E2068="","",IFERROR(INDEX(科目表!$E$4:$E$81,MATCH($E2068,科目表!$B$4:$B$81,0)),""))</f>
        <v/>
      </c>
      <c r="H2068" s="70" t="str">
        <f aca="false">IF($E2068="","",N(INDEX(资金日记账!$N$4:$S$603,580,2)))</f>
        <v/>
      </c>
      <c r="I2068" s="70" t="str">
        <f aca="false">IF($E2068="","",N(INDEX(资金日记账!$N$4:$S$603,580,3)))</f>
        <v/>
      </c>
      <c r="J2068" s="67" t="str">
        <f aca="false">IF($E2068="","",INDEX(资金日记账!$E$4:$E$603,580))</f>
        <v/>
      </c>
      <c r="K2068" s="67" t="str">
        <f aca="false">IF($E2068="","",INDEX(资金日记账!$F$4:$F$603,580))</f>
        <v/>
      </c>
      <c r="L2068" s="107" t="str">
        <f aca="false">IF($E2068="","",INDEX(资金日记账!$X$4:$X$603,580))</f>
        <v/>
      </c>
      <c r="M2068" s="107"/>
      <c r="N2068" s="67" t="str">
        <f aca="false">IF($E2068="","",INDEX(资金日记账!$Y$4:$Y$603,580))</f>
        <v/>
      </c>
      <c r="O2068" s="67" t="str">
        <f aca="false">IF($E2068="","","自动B")</f>
        <v/>
      </c>
      <c r="P2068" s="18"/>
    </row>
    <row r="2069" customFormat="false" ht="18" hidden="false" customHeight="true" outlineLevel="0" collapsed="false">
      <c r="A2069" s="107" t="str">
        <f aca="false">IF($E2069="","",ROW()-3)</f>
        <v/>
      </c>
      <c r="B2069" s="110" t="str">
        <f aca="false">IF($E2069="","",INDEX(资金日记账!$B$4:$B$603,580))</f>
        <v/>
      </c>
      <c r="C2069" s="67" t="str">
        <f aca="false">IF($E2069="","",IF(INDEX(资金日记账!$W$4:$W$603,580)="","记-"&amp;TEXT($B2069,"YYYYMM")&amp;"-资金",INDEX(资金日记账!$W$4:$W$603,580)))</f>
        <v/>
      </c>
      <c r="D2069" s="107" t="str">
        <f aca="false">IF($E2069="","",INDEX(资金日记账!$D$4:$D$603,580))</f>
        <v/>
      </c>
      <c r="E2069" s="67" t="str">
        <f aca="false">IF(INDEX(资金日记账!$N$4:$S$603,580,4)=0,"",INDEX(资金日记账!$N$4:$S$603,580,4))</f>
        <v/>
      </c>
      <c r="F2069" s="99" t="str">
        <f aca="false">IF($E2069="","",IFERROR(INDEX(科目表!$A$4:$A$81,MATCH($E2069,科目表!$B$4:$B$81,0)),""))</f>
        <v/>
      </c>
      <c r="G2069" s="67" t="str">
        <f aca="false">IF($E2069="","",IFERROR(INDEX(科目表!$E$4:$E$81,MATCH($E2069,科目表!$B$4:$B$81,0)),""))</f>
        <v/>
      </c>
      <c r="H2069" s="70" t="str">
        <f aca="false">IF($E2069="","",N(INDEX(资金日记账!$N$4:$S$603,580,5)))</f>
        <v/>
      </c>
      <c r="I2069" s="70" t="str">
        <f aca="false">IF($E2069="","",N(INDEX(资金日记账!$N$4:$S$603,580,6)))</f>
        <v/>
      </c>
      <c r="J2069" s="67" t="str">
        <f aca="false">IF($E2069="","",INDEX(资金日记账!$E$4:$E$603,580))</f>
        <v/>
      </c>
      <c r="K2069" s="67" t="str">
        <f aca="false">IF($E2069="","",INDEX(资金日记账!$F$4:$F$603,580))</f>
        <v/>
      </c>
      <c r="L2069" s="107" t="str">
        <f aca="false">IF($E2069="","",INDEX(资金日记账!$X$4:$X$603,580))</f>
        <v/>
      </c>
      <c r="M2069" s="107"/>
      <c r="N2069" s="67" t="str">
        <f aca="false">IF($E2069="","",INDEX(资金日记账!$Y$4:$Y$603,580))</f>
        <v/>
      </c>
      <c r="O2069" s="67" t="str">
        <f aca="false">IF($E2069="","","自动B")</f>
        <v/>
      </c>
      <c r="P2069" s="18"/>
    </row>
    <row r="2070" customFormat="false" ht="18" hidden="false" customHeight="true" outlineLevel="0" collapsed="false">
      <c r="A2070" s="107" t="str">
        <f aca="false">IF($E2070="","",ROW()-3)</f>
        <v/>
      </c>
      <c r="B2070" s="110" t="str">
        <f aca="false">IF($E2070="","",INDEX(资金日记账!$B$4:$B$603,581))</f>
        <v/>
      </c>
      <c r="C2070" s="67" t="str">
        <f aca="false">IF($E2070="","",IF(INDEX(资金日记账!$W$4:$W$603,581)="","记-"&amp;TEXT($B2070,"YYYYMM")&amp;"-资金",INDEX(资金日记账!$W$4:$W$603,581)))</f>
        <v/>
      </c>
      <c r="D2070" s="107" t="str">
        <f aca="false">IF($E2070="","",INDEX(资金日记账!$D$4:$D$603,581))</f>
        <v/>
      </c>
      <c r="E2070" s="67" t="str">
        <f aca="false">IF(INDEX(资金日记账!$N$4:$S$603,581,1)=0,"",INDEX(资金日记账!$N$4:$S$603,581,1))</f>
        <v/>
      </c>
      <c r="F2070" s="99" t="str">
        <f aca="false">IF($E2070="","",IFERROR(INDEX(科目表!$A$4:$A$81,MATCH($E2070,科目表!$B$4:$B$81,0)),""))</f>
        <v/>
      </c>
      <c r="G2070" s="67" t="str">
        <f aca="false">IF($E2070="","",IFERROR(INDEX(科目表!$E$4:$E$81,MATCH($E2070,科目表!$B$4:$B$81,0)),""))</f>
        <v/>
      </c>
      <c r="H2070" s="70" t="str">
        <f aca="false">IF($E2070="","",N(INDEX(资金日记账!$N$4:$S$603,581,2)))</f>
        <v/>
      </c>
      <c r="I2070" s="70" t="str">
        <f aca="false">IF($E2070="","",N(INDEX(资金日记账!$N$4:$S$603,581,3)))</f>
        <v/>
      </c>
      <c r="J2070" s="67" t="str">
        <f aca="false">IF($E2070="","",INDEX(资金日记账!$E$4:$E$603,581))</f>
        <v/>
      </c>
      <c r="K2070" s="67" t="str">
        <f aca="false">IF($E2070="","",INDEX(资金日记账!$F$4:$F$603,581))</f>
        <v/>
      </c>
      <c r="L2070" s="107" t="str">
        <f aca="false">IF($E2070="","",INDEX(资金日记账!$X$4:$X$603,581))</f>
        <v/>
      </c>
      <c r="M2070" s="107"/>
      <c r="N2070" s="67" t="str">
        <f aca="false">IF($E2070="","",INDEX(资金日记账!$Y$4:$Y$603,581))</f>
        <v/>
      </c>
      <c r="O2070" s="67" t="str">
        <f aca="false">IF($E2070="","","自动B")</f>
        <v/>
      </c>
      <c r="P2070" s="18"/>
    </row>
    <row r="2071" customFormat="false" ht="18" hidden="false" customHeight="true" outlineLevel="0" collapsed="false">
      <c r="A2071" s="107" t="str">
        <f aca="false">IF($E2071="","",ROW()-3)</f>
        <v/>
      </c>
      <c r="B2071" s="110" t="str">
        <f aca="false">IF($E2071="","",INDEX(资金日记账!$B$4:$B$603,581))</f>
        <v/>
      </c>
      <c r="C2071" s="67" t="str">
        <f aca="false">IF($E2071="","",IF(INDEX(资金日记账!$W$4:$W$603,581)="","记-"&amp;TEXT($B2071,"YYYYMM")&amp;"-资金",INDEX(资金日记账!$W$4:$W$603,581)))</f>
        <v/>
      </c>
      <c r="D2071" s="107" t="str">
        <f aca="false">IF($E2071="","",INDEX(资金日记账!$D$4:$D$603,581))</f>
        <v/>
      </c>
      <c r="E2071" s="67" t="str">
        <f aca="false">IF(INDEX(资金日记账!$N$4:$S$603,581,4)=0,"",INDEX(资金日记账!$N$4:$S$603,581,4))</f>
        <v/>
      </c>
      <c r="F2071" s="99" t="str">
        <f aca="false">IF($E2071="","",IFERROR(INDEX(科目表!$A$4:$A$81,MATCH($E2071,科目表!$B$4:$B$81,0)),""))</f>
        <v/>
      </c>
      <c r="G2071" s="67" t="str">
        <f aca="false">IF($E2071="","",IFERROR(INDEX(科目表!$E$4:$E$81,MATCH($E2071,科目表!$B$4:$B$81,0)),""))</f>
        <v/>
      </c>
      <c r="H2071" s="70" t="str">
        <f aca="false">IF($E2071="","",N(INDEX(资金日记账!$N$4:$S$603,581,5)))</f>
        <v/>
      </c>
      <c r="I2071" s="70" t="str">
        <f aca="false">IF($E2071="","",N(INDEX(资金日记账!$N$4:$S$603,581,6)))</f>
        <v/>
      </c>
      <c r="J2071" s="67" t="str">
        <f aca="false">IF($E2071="","",INDEX(资金日记账!$E$4:$E$603,581))</f>
        <v/>
      </c>
      <c r="K2071" s="67" t="str">
        <f aca="false">IF($E2071="","",INDEX(资金日记账!$F$4:$F$603,581))</f>
        <v/>
      </c>
      <c r="L2071" s="107" t="str">
        <f aca="false">IF($E2071="","",INDEX(资金日记账!$X$4:$X$603,581))</f>
        <v/>
      </c>
      <c r="M2071" s="107"/>
      <c r="N2071" s="67" t="str">
        <f aca="false">IF($E2071="","",INDEX(资金日记账!$Y$4:$Y$603,581))</f>
        <v/>
      </c>
      <c r="O2071" s="67" t="str">
        <f aca="false">IF($E2071="","","自动B")</f>
        <v/>
      </c>
      <c r="P2071" s="18"/>
    </row>
    <row r="2072" customFormat="false" ht="18" hidden="false" customHeight="true" outlineLevel="0" collapsed="false">
      <c r="A2072" s="107" t="str">
        <f aca="false">IF($E2072="","",ROW()-3)</f>
        <v/>
      </c>
      <c r="B2072" s="110" t="str">
        <f aca="false">IF($E2072="","",INDEX(资金日记账!$B$4:$B$603,582))</f>
        <v/>
      </c>
      <c r="C2072" s="67" t="str">
        <f aca="false">IF($E2072="","",IF(INDEX(资金日记账!$W$4:$W$603,582)="","记-"&amp;TEXT($B2072,"YYYYMM")&amp;"-资金",INDEX(资金日记账!$W$4:$W$603,582)))</f>
        <v/>
      </c>
      <c r="D2072" s="107" t="str">
        <f aca="false">IF($E2072="","",INDEX(资金日记账!$D$4:$D$603,582))</f>
        <v/>
      </c>
      <c r="E2072" s="67" t="str">
        <f aca="false">IF(INDEX(资金日记账!$N$4:$S$603,582,1)=0,"",INDEX(资金日记账!$N$4:$S$603,582,1))</f>
        <v/>
      </c>
      <c r="F2072" s="99" t="str">
        <f aca="false">IF($E2072="","",IFERROR(INDEX(科目表!$A$4:$A$81,MATCH($E2072,科目表!$B$4:$B$81,0)),""))</f>
        <v/>
      </c>
      <c r="G2072" s="67" t="str">
        <f aca="false">IF($E2072="","",IFERROR(INDEX(科目表!$E$4:$E$81,MATCH($E2072,科目表!$B$4:$B$81,0)),""))</f>
        <v/>
      </c>
      <c r="H2072" s="70" t="str">
        <f aca="false">IF($E2072="","",N(INDEX(资金日记账!$N$4:$S$603,582,2)))</f>
        <v/>
      </c>
      <c r="I2072" s="70" t="str">
        <f aca="false">IF($E2072="","",N(INDEX(资金日记账!$N$4:$S$603,582,3)))</f>
        <v/>
      </c>
      <c r="J2072" s="67" t="str">
        <f aca="false">IF($E2072="","",INDEX(资金日记账!$E$4:$E$603,582))</f>
        <v/>
      </c>
      <c r="K2072" s="67" t="str">
        <f aca="false">IF($E2072="","",INDEX(资金日记账!$F$4:$F$603,582))</f>
        <v/>
      </c>
      <c r="L2072" s="107" t="str">
        <f aca="false">IF($E2072="","",INDEX(资金日记账!$X$4:$X$603,582))</f>
        <v/>
      </c>
      <c r="M2072" s="107"/>
      <c r="N2072" s="67" t="str">
        <f aca="false">IF($E2072="","",INDEX(资金日记账!$Y$4:$Y$603,582))</f>
        <v/>
      </c>
      <c r="O2072" s="67" t="str">
        <f aca="false">IF($E2072="","","自动B")</f>
        <v/>
      </c>
      <c r="P2072" s="18"/>
    </row>
    <row r="2073" customFormat="false" ht="18" hidden="false" customHeight="true" outlineLevel="0" collapsed="false">
      <c r="A2073" s="107" t="str">
        <f aca="false">IF($E2073="","",ROW()-3)</f>
        <v/>
      </c>
      <c r="B2073" s="110" t="str">
        <f aca="false">IF($E2073="","",INDEX(资金日记账!$B$4:$B$603,582))</f>
        <v/>
      </c>
      <c r="C2073" s="67" t="str">
        <f aca="false">IF($E2073="","",IF(INDEX(资金日记账!$W$4:$W$603,582)="","记-"&amp;TEXT($B2073,"YYYYMM")&amp;"-资金",INDEX(资金日记账!$W$4:$W$603,582)))</f>
        <v/>
      </c>
      <c r="D2073" s="107" t="str">
        <f aca="false">IF($E2073="","",INDEX(资金日记账!$D$4:$D$603,582))</f>
        <v/>
      </c>
      <c r="E2073" s="67" t="str">
        <f aca="false">IF(INDEX(资金日记账!$N$4:$S$603,582,4)=0,"",INDEX(资金日记账!$N$4:$S$603,582,4))</f>
        <v/>
      </c>
      <c r="F2073" s="99" t="str">
        <f aca="false">IF($E2073="","",IFERROR(INDEX(科目表!$A$4:$A$81,MATCH($E2073,科目表!$B$4:$B$81,0)),""))</f>
        <v/>
      </c>
      <c r="G2073" s="67" t="str">
        <f aca="false">IF($E2073="","",IFERROR(INDEX(科目表!$E$4:$E$81,MATCH($E2073,科目表!$B$4:$B$81,0)),""))</f>
        <v/>
      </c>
      <c r="H2073" s="70" t="str">
        <f aca="false">IF($E2073="","",N(INDEX(资金日记账!$N$4:$S$603,582,5)))</f>
        <v/>
      </c>
      <c r="I2073" s="70" t="str">
        <f aca="false">IF($E2073="","",N(INDEX(资金日记账!$N$4:$S$603,582,6)))</f>
        <v/>
      </c>
      <c r="J2073" s="67" t="str">
        <f aca="false">IF($E2073="","",INDEX(资金日记账!$E$4:$E$603,582))</f>
        <v/>
      </c>
      <c r="K2073" s="67" t="str">
        <f aca="false">IF($E2073="","",INDEX(资金日记账!$F$4:$F$603,582))</f>
        <v/>
      </c>
      <c r="L2073" s="107" t="str">
        <f aca="false">IF($E2073="","",INDEX(资金日记账!$X$4:$X$603,582))</f>
        <v/>
      </c>
      <c r="M2073" s="107"/>
      <c r="N2073" s="67" t="str">
        <f aca="false">IF($E2073="","",INDEX(资金日记账!$Y$4:$Y$603,582))</f>
        <v/>
      </c>
      <c r="O2073" s="67" t="str">
        <f aca="false">IF($E2073="","","自动B")</f>
        <v/>
      </c>
      <c r="P2073" s="18"/>
    </row>
    <row r="2074" customFormat="false" ht="18" hidden="false" customHeight="true" outlineLevel="0" collapsed="false">
      <c r="A2074" s="107" t="str">
        <f aca="false">IF($E2074="","",ROW()-3)</f>
        <v/>
      </c>
      <c r="B2074" s="110" t="str">
        <f aca="false">IF($E2074="","",INDEX(资金日记账!$B$4:$B$603,583))</f>
        <v/>
      </c>
      <c r="C2074" s="67" t="str">
        <f aca="false">IF($E2074="","",IF(INDEX(资金日记账!$W$4:$W$603,583)="","记-"&amp;TEXT($B2074,"YYYYMM")&amp;"-资金",INDEX(资金日记账!$W$4:$W$603,583)))</f>
        <v/>
      </c>
      <c r="D2074" s="107" t="str">
        <f aca="false">IF($E2074="","",INDEX(资金日记账!$D$4:$D$603,583))</f>
        <v/>
      </c>
      <c r="E2074" s="67" t="str">
        <f aca="false">IF(INDEX(资金日记账!$N$4:$S$603,583,1)=0,"",INDEX(资金日记账!$N$4:$S$603,583,1))</f>
        <v/>
      </c>
      <c r="F2074" s="99" t="str">
        <f aca="false">IF($E2074="","",IFERROR(INDEX(科目表!$A$4:$A$81,MATCH($E2074,科目表!$B$4:$B$81,0)),""))</f>
        <v/>
      </c>
      <c r="G2074" s="67" t="str">
        <f aca="false">IF($E2074="","",IFERROR(INDEX(科目表!$E$4:$E$81,MATCH($E2074,科目表!$B$4:$B$81,0)),""))</f>
        <v/>
      </c>
      <c r="H2074" s="70" t="str">
        <f aca="false">IF($E2074="","",N(INDEX(资金日记账!$N$4:$S$603,583,2)))</f>
        <v/>
      </c>
      <c r="I2074" s="70" t="str">
        <f aca="false">IF($E2074="","",N(INDEX(资金日记账!$N$4:$S$603,583,3)))</f>
        <v/>
      </c>
      <c r="J2074" s="67" t="str">
        <f aca="false">IF($E2074="","",INDEX(资金日记账!$E$4:$E$603,583))</f>
        <v/>
      </c>
      <c r="K2074" s="67" t="str">
        <f aca="false">IF($E2074="","",INDEX(资金日记账!$F$4:$F$603,583))</f>
        <v/>
      </c>
      <c r="L2074" s="107" t="str">
        <f aca="false">IF($E2074="","",INDEX(资金日记账!$X$4:$X$603,583))</f>
        <v/>
      </c>
      <c r="M2074" s="107"/>
      <c r="N2074" s="67" t="str">
        <f aca="false">IF($E2074="","",INDEX(资金日记账!$Y$4:$Y$603,583))</f>
        <v/>
      </c>
      <c r="O2074" s="67" t="str">
        <f aca="false">IF($E2074="","","自动B")</f>
        <v/>
      </c>
      <c r="P2074" s="18"/>
    </row>
    <row r="2075" customFormat="false" ht="18" hidden="false" customHeight="true" outlineLevel="0" collapsed="false">
      <c r="A2075" s="107" t="str">
        <f aca="false">IF($E2075="","",ROW()-3)</f>
        <v/>
      </c>
      <c r="B2075" s="110" t="str">
        <f aca="false">IF($E2075="","",INDEX(资金日记账!$B$4:$B$603,583))</f>
        <v/>
      </c>
      <c r="C2075" s="67" t="str">
        <f aca="false">IF($E2075="","",IF(INDEX(资金日记账!$W$4:$W$603,583)="","记-"&amp;TEXT($B2075,"YYYYMM")&amp;"-资金",INDEX(资金日记账!$W$4:$W$603,583)))</f>
        <v/>
      </c>
      <c r="D2075" s="107" t="str">
        <f aca="false">IF($E2075="","",INDEX(资金日记账!$D$4:$D$603,583))</f>
        <v/>
      </c>
      <c r="E2075" s="67" t="str">
        <f aca="false">IF(INDEX(资金日记账!$N$4:$S$603,583,4)=0,"",INDEX(资金日记账!$N$4:$S$603,583,4))</f>
        <v/>
      </c>
      <c r="F2075" s="99" t="str">
        <f aca="false">IF($E2075="","",IFERROR(INDEX(科目表!$A$4:$A$81,MATCH($E2075,科目表!$B$4:$B$81,0)),""))</f>
        <v/>
      </c>
      <c r="G2075" s="67" t="str">
        <f aca="false">IF($E2075="","",IFERROR(INDEX(科目表!$E$4:$E$81,MATCH($E2075,科目表!$B$4:$B$81,0)),""))</f>
        <v/>
      </c>
      <c r="H2075" s="70" t="str">
        <f aca="false">IF($E2075="","",N(INDEX(资金日记账!$N$4:$S$603,583,5)))</f>
        <v/>
      </c>
      <c r="I2075" s="70" t="str">
        <f aca="false">IF($E2075="","",N(INDEX(资金日记账!$N$4:$S$603,583,6)))</f>
        <v/>
      </c>
      <c r="J2075" s="67" t="str">
        <f aca="false">IF($E2075="","",INDEX(资金日记账!$E$4:$E$603,583))</f>
        <v/>
      </c>
      <c r="K2075" s="67" t="str">
        <f aca="false">IF($E2075="","",INDEX(资金日记账!$F$4:$F$603,583))</f>
        <v/>
      </c>
      <c r="L2075" s="107" t="str">
        <f aca="false">IF($E2075="","",INDEX(资金日记账!$X$4:$X$603,583))</f>
        <v/>
      </c>
      <c r="M2075" s="107"/>
      <c r="N2075" s="67" t="str">
        <f aca="false">IF($E2075="","",INDEX(资金日记账!$Y$4:$Y$603,583))</f>
        <v/>
      </c>
      <c r="O2075" s="67" t="str">
        <f aca="false">IF($E2075="","","自动B")</f>
        <v/>
      </c>
      <c r="P2075" s="18"/>
    </row>
    <row r="2076" customFormat="false" ht="18" hidden="false" customHeight="true" outlineLevel="0" collapsed="false">
      <c r="A2076" s="107" t="str">
        <f aca="false">IF($E2076="","",ROW()-3)</f>
        <v/>
      </c>
      <c r="B2076" s="110" t="str">
        <f aca="false">IF($E2076="","",INDEX(资金日记账!$B$4:$B$603,584))</f>
        <v/>
      </c>
      <c r="C2076" s="67" t="str">
        <f aca="false">IF($E2076="","",IF(INDEX(资金日记账!$W$4:$W$603,584)="","记-"&amp;TEXT($B2076,"YYYYMM")&amp;"-资金",INDEX(资金日记账!$W$4:$W$603,584)))</f>
        <v/>
      </c>
      <c r="D2076" s="107" t="str">
        <f aca="false">IF($E2076="","",INDEX(资金日记账!$D$4:$D$603,584))</f>
        <v/>
      </c>
      <c r="E2076" s="67" t="str">
        <f aca="false">IF(INDEX(资金日记账!$N$4:$S$603,584,1)=0,"",INDEX(资金日记账!$N$4:$S$603,584,1))</f>
        <v/>
      </c>
      <c r="F2076" s="99" t="str">
        <f aca="false">IF($E2076="","",IFERROR(INDEX(科目表!$A$4:$A$81,MATCH($E2076,科目表!$B$4:$B$81,0)),""))</f>
        <v/>
      </c>
      <c r="G2076" s="67" t="str">
        <f aca="false">IF($E2076="","",IFERROR(INDEX(科目表!$E$4:$E$81,MATCH($E2076,科目表!$B$4:$B$81,0)),""))</f>
        <v/>
      </c>
      <c r="H2076" s="70" t="str">
        <f aca="false">IF($E2076="","",N(INDEX(资金日记账!$N$4:$S$603,584,2)))</f>
        <v/>
      </c>
      <c r="I2076" s="70" t="str">
        <f aca="false">IF($E2076="","",N(INDEX(资金日记账!$N$4:$S$603,584,3)))</f>
        <v/>
      </c>
      <c r="J2076" s="67" t="str">
        <f aca="false">IF($E2076="","",INDEX(资金日记账!$E$4:$E$603,584))</f>
        <v/>
      </c>
      <c r="K2076" s="67" t="str">
        <f aca="false">IF($E2076="","",INDEX(资金日记账!$F$4:$F$603,584))</f>
        <v/>
      </c>
      <c r="L2076" s="107" t="str">
        <f aca="false">IF($E2076="","",INDEX(资金日记账!$X$4:$X$603,584))</f>
        <v/>
      </c>
      <c r="M2076" s="107"/>
      <c r="N2076" s="67" t="str">
        <f aca="false">IF($E2076="","",INDEX(资金日记账!$Y$4:$Y$603,584))</f>
        <v/>
      </c>
      <c r="O2076" s="67" t="str">
        <f aca="false">IF($E2076="","","自动B")</f>
        <v/>
      </c>
      <c r="P2076" s="18"/>
    </row>
    <row r="2077" customFormat="false" ht="18" hidden="false" customHeight="true" outlineLevel="0" collapsed="false">
      <c r="A2077" s="107" t="str">
        <f aca="false">IF($E2077="","",ROW()-3)</f>
        <v/>
      </c>
      <c r="B2077" s="110" t="str">
        <f aca="false">IF($E2077="","",INDEX(资金日记账!$B$4:$B$603,584))</f>
        <v/>
      </c>
      <c r="C2077" s="67" t="str">
        <f aca="false">IF($E2077="","",IF(INDEX(资金日记账!$W$4:$W$603,584)="","记-"&amp;TEXT($B2077,"YYYYMM")&amp;"-资金",INDEX(资金日记账!$W$4:$W$603,584)))</f>
        <v/>
      </c>
      <c r="D2077" s="107" t="str">
        <f aca="false">IF($E2077="","",INDEX(资金日记账!$D$4:$D$603,584))</f>
        <v/>
      </c>
      <c r="E2077" s="67" t="str">
        <f aca="false">IF(INDEX(资金日记账!$N$4:$S$603,584,4)=0,"",INDEX(资金日记账!$N$4:$S$603,584,4))</f>
        <v/>
      </c>
      <c r="F2077" s="99" t="str">
        <f aca="false">IF($E2077="","",IFERROR(INDEX(科目表!$A$4:$A$81,MATCH($E2077,科目表!$B$4:$B$81,0)),""))</f>
        <v/>
      </c>
      <c r="G2077" s="67" t="str">
        <f aca="false">IF($E2077="","",IFERROR(INDEX(科目表!$E$4:$E$81,MATCH($E2077,科目表!$B$4:$B$81,0)),""))</f>
        <v/>
      </c>
      <c r="H2077" s="70" t="str">
        <f aca="false">IF($E2077="","",N(INDEX(资金日记账!$N$4:$S$603,584,5)))</f>
        <v/>
      </c>
      <c r="I2077" s="70" t="str">
        <f aca="false">IF($E2077="","",N(INDEX(资金日记账!$N$4:$S$603,584,6)))</f>
        <v/>
      </c>
      <c r="J2077" s="67" t="str">
        <f aca="false">IF($E2077="","",INDEX(资金日记账!$E$4:$E$603,584))</f>
        <v/>
      </c>
      <c r="K2077" s="67" t="str">
        <f aca="false">IF($E2077="","",INDEX(资金日记账!$F$4:$F$603,584))</f>
        <v/>
      </c>
      <c r="L2077" s="107" t="str">
        <f aca="false">IF($E2077="","",INDEX(资金日记账!$X$4:$X$603,584))</f>
        <v/>
      </c>
      <c r="M2077" s="107"/>
      <c r="N2077" s="67" t="str">
        <f aca="false">IF($E2077="","",INDEX(资金日记账!$Y$4:$Y$603,584))</f>
        <v/>
      </c>
      <c r="O2077" s="67" t="str">
        <f aca="false">IF($E2077="","","自动B")</f>
        <v/>
      </c>
      <c r="P2077" s="18"/>
    </row>
    <row r="2078" customFormat="false" ht="18" hidden="false" customHeight="true" outlineLevel="0" collapsed="false">
      <c r="A2078" s="107" t="str">
        <f aca="false">IF($E2078="","",ROW()-3)</f>
        <v/>
      </c>
      <c r="B2078" s="110" t="str">
        <f aca="false">IF($E2078="","",INDEX(资金日记账!$B$4:$B$603,585))</f>
        <v/>
      </c>
      <c r="C2078" s="67" t="str">
        <f aca="false">IF($E2078="","",IF(INDEX(资金日记账!$W$4:$W$603,585)="","记-"&amp;TEXT($B2078,"YYYYMM")&amp;"-资金",INDEX(资金日记账!$W$4:$W$603,585)))</f>
        <v/>
      </c>
      <c r="D2078" s="107" t="str">
        <f aca="false">IF($E2078="","",INDEX(资金日记账!$D$4:$D$603,585))</f>
        <v/>
      </c>
      <c r="E2078" s="67" t="str">
        <f aca="false">IF(INDEX(资金日记账!$N$4:$S$603,585,1)=0,"",INDEX(资金日记账!$N$4:$S$603,585,1))</f>
        <v/>
      </c>
      <c r="F2078" s="99" t="str">
        <f aca="false">IF($E2078="","",IFERROR(INDEX(科目表!$A$4:$A$81,MATCH($E2078,科目表!$B$4:$B$81,0)),""))</f>
        <v/>
      </c>
      <c r="G2078" s="67" t="str">
        <f aca="false">IF($E2078="","",IFERROR(INDEX(科目表!$E$4:$E$81,MATCH($E2078,科目表!$B$4:$B$81,0)),""))</f>
        <v/>
      </c>
      <c r="H2078" s="70" t="str">
        <f aca="false">IF($E2078="","",N(INDEX(资金日记账!$N$4:$S$603,585,2)))</f>
        <v/>
      </c>
      <c r="I2078" s="70" t="str">
        <f aca="false">IF($E2078="","",N(INDEX(资金日记账!$N$4:$S$603,585,3)))</f>
        <v/>
      </c>
      <c r="J2078" s="67" t="str">
        <f aca="false">IF($E2078="","",INDEX(资金日记账!$E$4:$E$603,585))</f>
        <v/>
      </c>
      <c r="K2078" s="67" t="str">
        <f aca="false">IF($E2078="","",INDEX(资金日记账!$F$4:$F$603,585))</f>
        <v/>
      </c>
      <c r="L2078" s="107" t="str">
        <f aca="false">IF($E2078="","",INDEX(资金日记账!$X$4:$X$603,585))</f>
        <v/>
      </c>
      <c r="M2078" s="107"/>
      <c r="N2078" s="67" t="str">
        <f aca="false">IF($E2078="","",INDEX(资金日记账!$Y$4:$Y$603,585))</f>
        <v/>
      </c>
      <c r="O2078" s="67" t="str">
        <f aca="false">IF($E2078="","","自动B")</f>
        <v/>
      </c>
      <c r="P2078" s="18"/>
    </row>
    <row r="2079" customFormat="false" ht="18" hidden="false" customHeight="true" outlineLevel="0" collapsed="false">
      <c r="A2079" s="107" t="str">
        <f aca="false">IF($E2079="","",ROW()-3)</f>
        <v/>
      </c>
      <c r="B2079" s="110" t="str">
        <f aca="false">IF($E2079="","",INDEX(资金日记账!$B$4:$B$603,585))</f>
        <v/>
      </c>
      <c r="C2079" s="67" t="str">
        <f aca="false">IF($E2079="","",IF(INDEX(资金日记账!$W$4:$W$603,585)="","记-"&amp;TEXT($B2079,"YYYYMM")&amp;"-资金",INDEX(资金日记账!$W$4:$W$603,585)))</f>
        <v/>
      </c>
      <c r="D2079" s="107" t="str">
        <f aca="false">IF($E2079="","",INDEX(资金日记账!$D$4:$D$603,585))</f>
        <v/>
      </c>
      <c r="E2079" s="67" t="str">
        <f aca="false">IF(INDEX(资金日记账!$N$4:$S$603,585,4)=0,"",INDEX(资金日记账!$N$4:$S$603,585,4))</f>
        <v/>
      </c>
      <c r="F2079" s="99" t="str">
        <f aca="false">IF($E2079="","",IFERROR(INDEX(科目表!$A$4:$A$81,MATCH($E2079,科目表!$B$4:$B$81,0)),""))</f>
        <v/>
      </c>
      <c r="G2079" s="67" t="str">
        <f aca="false">IF($E2079="","",IFERROR(INDEX(科目表!$E$4:$E$81,MATCH($E2079,科目表!$B$4:$B$81,0)),""))</f>
        <v/>
      </c>
      <c r="H2079" s="70" t="str">
        <f aca="false">IF($E2079="","",N(INDEX(资金日记账!$N$4:$S$603,585,5)))</f>
        <v/>
      </c>
      <c r="I2079" s="70" t="str">
        <f aca="false">IF($E2079="","",N(INDEX(资金日记账!$N$4:$S$603,585,6)))</f>
        <v/>
      </c>
      <c r="J2079" s="67" t="str">
        <f aca="false">IF($E2079="","",INDEX(资金日记账!$E$4:$E$603,585))</f>
        <v/>
      </c>
      <c r="K2079" s="67" t="str">
        <f aca="false">IF($E2079="","",INDEX(资金日记账!$F$4:$F$603,585))</f>
        <v/>
      </c>
      <c r="L2079" s="107" t="str">
        <f aca="false">IF($E2079="","",INDEX(资金日记账!$X$4:$X$603,585))</f>
        <v/>
      </c>
      <c r="M2079" s="107"/>
      <c r="N2079" s="67" t="str">
        <f aca="false">IF($E2079="","",INDEX(资金日记账!$Y$4:$Y$603,585))</f>
        <v/>
      </c>
      <c r="O2079" s="67" t="str">
        <f aca="false">IF($E2079="","","自动B")</f>
        <v/>
      </c>
      <c r="P2079" s="18"/>
    </row>
    <row r="2080" customFormat="false" ht="18" hidden="false" customHeight="true" outlineLevel="0" collapsed="false">
      <c r="A2080" s="107" t="str">
        <f aca="false">IF($E2080="","",ROW()-3)</f>
        <v/>
      </c>
      <c r="B2080" s="110" t="str">
        <f aca="false">IF($E2080="","",INDEX(资金日记账!$B$4:$B$603,586))</f>
        <v/>
      </c>
      <c r="C2080" s="67" t="str">
        <f aca="false">IF($E2080="","",IF(INDEX(资金日记账!$W$4:$W$603,586)="","记-"&amp;TEXT($B2080,"YYYYMM")&amp;"-资金",INDEX(资金日记账!$W$4:$W$603,586)))</f>
        <v/>
      </c>
      <c r="D2080" s="107" t="str">
        <f aca="false">IF($E2080="","",INDEX(资金日记账!$D$4:$D$603,586))</f>
        <v/>
      </c>
      <c r="E2080" s="67" t="str">
        <f aca="false">IF(INDEX(资金日记账!$N$4:$S$603,586,1)=0,"",INDEX(资金日记账!$N$4:$S$603,586,1))</f>
        <v/>
      </c>
      <c r="F2080" s="99" t="str">
        <f aca="false">IF($E2080="","",IFERROR(INDEX(科目表!$A$4:$A$81,MATCH($E2080,科目表!$B$4:$B$81,0)),""))</f>
        <v/>
      </c>
      <c r="G2080" s="67" t="str">
        <f aca="false">IF($E2080="","",IFERROR(INDEX(科目表!$E$4:$E$81,MATCH($E2080,科目表!$B$4:$B$81,0)),""))</f>
        <v/>
      </c>
      <c r="H2080" s="70" t="str">
        <f aca="false">IF($E2080="","",N(INDEX(资金日记账!$N$4:$S$603,586,2)))</f>
        <v/>
      </c>
      <c r="I2080" s="70" t="str">
        <f aca="false">IF($E2080="","",N(INDEX(资金日记账!$N$4:$S$603,586,3)))</f>
        <v/>
      </c>
      <c r="J2080" s="67" t="str">
        <f aca="false">IF($E2080="","",INDEX(资金日记账!$E$4:$E$603,586))</f>
        <v/>
      </c>
      <c r="K2080" s="67" t="str">
        <f aca="false">IF($E2080="","",INDEX(资金日记账!$F$4:$F$603,586))</f>
        <v/>
      </c>
      <c r="L2080" s="107" t="str">
        <f aca="false">IF($E2080="","",INDEX(资金日记账!$X$4:$X$603,586))</f>
        <v/>
      </c>
      <c r="M2080" s="107"/>
      <c r="N2080" s="67" t="str">
        <f aca="false">IF($E2080="","",INDEX(资金日记账!$Y$4:$Y$603,586))</f>
        <v/>
      </c>
      <c r="O2080" s="67" t="str">
        <f aca="false">IF($E2080="","","自动B")</f>
        <v/>
      </c>
      <c r="P2080" s="18"/>
    </row>
    <row r="2081" customFormat="false" ht="18" hidden="false" customHeight="true" outlineLevel="0" collapsed="false">
      <c r="A2081" s="107" t="str">
        <f aca="false">IF($E2081="","",ROW()-3)</f>
        <v/>
      </c>
      <c r="B2081" s="110" t="str">
        <f aca="false">IF($E2081="","",INDEX(资金日记账!$B$4:$B$603,586))</f>
        <v/>
      </c>
      <c r="C2081" s="67" t="str">
        <f aca="false">IF($E2081="","",IF(INDEX(资金日记账!$W$4:$W$603,586)="","记-"&amp;TEXT($B2081,"YYYYMM")&amp;"-资金",INDEX(资金日记账!$W$4:$W$603,586)))</f>
        <v/>
      </c>
      <c r="D2081" s="107" t="str">
        <f aca="false">IF($E2081="","",INDEX(资金日记账!$D$4:$D$603,586))</f>
        <v/>
      </c>
      <c r="E2081" s="67" t="str">
        <f aca="false">IF(INDEX(资金日记账!$N$4:$S$603,586,4)=0,"",INDEX(资金日记账!$N$4:$S$603,586,4))</f>
        <v/>
      </c>
      <c r="F2081" s="99" t="str">
        <f aca="false">IF($E2081="","",IFERROR(INDEX(科目表!$A$4:$A$81,MATCH($E2081,科目表!$B$4:$B$81,0)),""))</f>
        <v/>
      </c>
      <c r="G2081" s="67" t="str">
        <f aca="false">IF($E2081="","",IFERROR(INDEX(科目表!$E$4:$E$81,MATCH($E2081,科目表!$B$4:$B$81,0)),""))</f>
        <v/>
      </c>
      <c r="H2081" s="70" t="str">
        <f aca="false">IF($E2081="","",N(INDEX(资金日记账!$N$4:$S$603,586,5)))</f>
        <v/>
      </c>
      <c r="I2081" s="70" t="str">
        <f aca="false">IF($E2081="","",N(INDEX(资金日记账!$N$4:$S$603,586,6)))</f>
        <v/>
      </c>
      <c r="J2081" s="67" t="str">
        <f aca="false">IF($E2081="","",INDEX(资金日记账!$E$4:$E$603,586))</f>
        <v/>
      </c>
      <c r="K2081" s="67" t="str">
        <f aca="false">IF($E2081="","",INDEX(资金日记账!$F$4:$F$603,586))</f>
        <v/>
      </c>
      <c r="L2081" s="107" t="str">
        <f aca="false">IF($E2081="","",INDEX(资金日记账!$X$4:$X$603,586))</f>
        <v/>
      </c>
      <c r="M2081" s="107"/>
      <c r="N2081" s="67" t="str">
        <f aca="false">IF($E2081="","",INDEX(资金日记账!$Y$4:$Y$603,586))</f>
        <v/>
      </c>
      <c r="O2081" s="67" t="str">
        <f aca="false">IF($E2081="","","自动B")</f>
        <v/>
      </c>
      <c r="P2081" s="18"/>
    </row>
    <row r="2082" customFormat="false" ht="18" hidden="false" customHeight="true" outlineLevel="0" collapsed="false">
      <c r="A2082" s="107" t="str">
        <f aca="false">IF($E2082="","",ROW()-3)</f>
        <v/>
      </c>
      <c r="B2082" s="110" t="str">
        <f aca="false">IF($E2082="","",INDEX(资金日记账!$B$4:$B$603,587))</f>
        <v/>
      </c>
      <c r="C2082" s="67" t="str">
        <f aca="false">IF($E2082="","",IF(INDEX(资金日记账!$W$4:$W$603,587)="","记-"&amp;TEXT($B2082,"YYYYMM")&amp;"-资金",INDEX(资金日记账!$W$4:$W$603,587)))</f>
        <v/>
      </c>
      <c r="D2082" s="107" t="str">
        <f aca="false">IF($E2082="","",INDEX(资金日记账!$D$4:$D$603,587))</f>
        <v/>
      </c>
      <c r="E2082" s="67" t="str">
        <f aca="false">IF(INDEX(资金日记账!$N$4:$S$603,587,1)=0,"",INDEX(资金日记账!$N$4:$S$603,587,1))</f>
        <v/>
      </c>
      <c r="F2082" s="99" t="str">
        <f aca="false">IF($E2082="","",IFERROR(INDEX(科目表!$A$4:$A$81,MATCH($E2082,科目表!$B$4:$B$81,0)),""))</f>
        <v/>
      </c>
      <c r="G2082" s="67" t="str">
        <f aca="false">IF($E2082="","",IFERROR(INDEX(科目表!$E$4:$E$81,MATCH($E2082,科目表!$B$4:$B$81,0)),""))</f>
        <v/>
      </c>
      <c r="H2082" s="70" t="str">
        <f aca="false">IF($E2082="","",N(INDEX(资金日记账!$N$4:$S$603,587,2)))</f>
        <v/>
      </c>
      <c r="I2082" s="70" t="str">
        <f aca="false">IF($E2082="","",N(INDEX(资金日记账!$N$4:$S$603,587,3)))</f>
        <v/>
      </c>
      <c r="J2082" s="67" t="str">
        <f aca="false">IF($E2082="","",INDEX(资金日记账!$E$4:$E$603,587))</f>
        <v/>
      </c>
      <c r="K2082" s="67" t="str">
        <f aca="false">IF($E2082="","",INDEX(资金日记账!$F$4:$F$603,587))</f>
        <v/>
      </c>
      <c r="L2082" s="107" t="str">
        <f aca="false">IF($E2082="","",INDEX(资金日记账!$X$4:$X$603,587))</f>
        <v/>
      </c>
      <c r="M2082" s="107"/>
      <c r="N2082" s="67" t="str">
        <f aca="false">IF($E2082="","",INDEX(资金日记账!$Y$4:$Y$603,587))</f>
        <v/>
      </c>
      <c r="O2082" s="67" t="str">
        <f aca="false">IF($E2082="","","自动B")</f>
        <v/>
      </c>
      <c r="P2082" s="18"/>
    </row>
    <row r="2083" customFormat="false" ht="18" hidden="false" customHeight="true" outlineLevel="0" collapsed="false">
      <c r="A2083" s="107" t="str">
        <f aca="false">IF($E2083="","",ROW()-3)</f>
        <v/>
      </c>
      <c r="B2083" s="110" t="str">
        <f aca="false">IF($E2083="","",INDEX(资金日记账!$B$4:$B$603,587))</f>
        <v/>
      </c>
      <c r="C2083" s="67" t="str">
        <f aca="false">IF($E2083="","",IF(INDEX(资金日记账!$W$4:$W$603,587)="","记-"&amp;TEXT($B2083,"YYYYMM")&amp;"-资金",INDEX(资金日记账!$W$4:$W$603,587)))</f>
        <v/>
      </c>
      <c r="D2083" s="107" t="str">
        <f aca="false">IF($E2083="","",INDEX(资金日记账!$D$4:$D$603,587))</f>
        <v/>
      </c>
      <c r="E2083" s="67" t="str">
        <f aca="false">IF(INDEX(资金日记账!$N$4:$S$603,587,4)=0,"",INDEX(资金日记账!$N$4:$S$603,587,4))</f>
        <v/>
      </c>
      <c r="F2083" s="99" t="str">
        <f aca="false">IF($E2083="","",IFERROR(INDEX(科目表!$A$4:$A$81,MATCH($E2083,科目表!$B$4:$B$81,0)),""))</f>
        <v/>
      </c>
      <c r="G2083" s="67" t="str">
        <f aca="false">IF($E2083="","",IFERROR(INDEX(科目表!$E$4:$E$81,MATCH($E2083,科目表!$B$4:$B$81,0)),""))</f>
        <v/>
      </c>
      <c r="H2083" s="70" t="str">
        <f aca="false">IF($E2083="","",N(INDEX(资金日记账!$N$4:$S$603,587,5)))</f>
        <v/>
      </c>
      <c r="I2083" s="70" t="str">
        <f aca="false">IF($E2083="","",N(INDEX(资金日记账!$N$4:$S$603,587,6)))</f>
        <v/>
      </c>
      <c r="J2083" s="67" t="str">
        <f aca="false">IF($E2083="","",INDEX(资金日记账!$E$4:$E$603,587))</f>
        <v/>
      </c>
      <c r="K2083" s="67" t="str">
        <f aca="false">IF($E2083="","",INDEX(资金日记账!$F$4:$F$603,587))</f>
        <v/>
      </c>
      <c r="L2083" s="107" t="str">
        <f aca="false">IF($E2083="","",INDEX(资金日记账!$X$4:$X$603,587))</f>
        <v/>
      </c>
      <c r="M2083" s="107"/>
      <c r="N2083" s="67" t="str">
        <f aca="false">IF($E2083="","",INDEX(资金日记账!$Y$4:$Y$603,587))</f>
        <v/>
      </c>
      <c r="O2083" s="67" t="str">
        <f aca="false">IF($E2083="","","自动B")</f>
        <v/>
      </c>
      <c r="P2083" s="18"/>
    </row>
    <row r="2084" customFormat="false" ht="18" hidden="false" customHeight="true" outlineLevel="0" collapsed="false">
      <c r="A2084" s="107" t="str">
        <f aca="false">IF($E2084="","",ROW()-3)</f>
        <v/>
      </c>
      <c r="B2084" s="110" t="str">
        <f aca="false">IF($E2084="","",INDEX(资金日记账!$B$4:$B$603,588))</f>
        <v/>
      </c>
      <c r="C2084" s="67" t="str">
        <f aca="false">IF($E2084="","",IF(INDEX(资金日记账!$W$4:$W$603,588)="","记-"&amp;TEXT($B2084,"YYYYMM")&amp;"-资金",INDEX(资金日记账!$W$4:$W$603,588)))</f>
        <v/>
      </c>
      <c r="D2084" s="107" t="str">
        <f aca="false">IF($E2084="","",INDEX(资金日记账!$D$4:$D$603,588))</f>
        <v/>
      </c>
      <c r="E2084" s="67" t="str">
        <f aca="false">IF(INDEX(资金日记账!$N$4:$S$603,588,1)=0,"",INDEX(资金日记账!$N$4:$S$603,588,1))</f>
        <v/>
      </c>
      <c r="F2084" s="99" t="str">
        <f aca="false">IF($E2084="","",IFERROR(INDEX(科目表!$A$4:$A$81,MATCH($E2084,科目表!$B$4:$B$81,0)),""))</f>
        <v/>
      </c>
      <c r="G2084" s="67" t="str">
        <f aca="false">IF($E2084="","",IFERROR(INDEX(科目表!$E$4:$E$81,MATCH($E2084,科目表!$B$4:$B$81,0)),""))</f>
        <v/>
      </c>
      <c r="H2084" s="70" t="str">
        <f aca="false">IF($E2084="","",N(INDEX(资金日记账!$N$4:$S$603,588,2)))</f>
        <v/>
      </c>
      <c r="I2084" s="70" t="str">
        <f aca="false">IF($E2084="","",N(INDEX(资金日记账!$N$4:$S$603,588,3)))</f>
        <v/>
      </c>
      <c r="J2084" s="67" t="str">
        <f aca="false">IF($E2084="","",INDEX(资金日记账!$E$4:$E$603,588))</f>
        <v/>
      </c>
      <c r="K2084" s="67" t="str">
        <f aca="false">IF($E2084="","",INDEX(资金日记账!$F$4:$F$603,588))</f>
        <v/>
      </c>
      <c r="L2084" s="107" t="str">
        <f aca="false">IF($E2084="","",INDEX(资金日记账!$X$4:$X$603,588))</f>
        <v/>
      </c>
      <c r="M2084" s="107"/>
      <c r="N2084" s="67" t="str">
        <f aca="false">IF($E2084="","",INDEX(资金日记账!$Y$4:$Y$603,588))</f>
        <v/>
      </c>
      <c r="O2084" s="67" t="str">
        <f aca="false">IF($E2084="","","自动B")</f>
        <v/>
      </c>
      <c r="P2084" s="18"/>
    </row>
    <row r="2085" customFormat="false" ht="18" hidden="false" customHeight="true" outlineLevel="0" collapsed="false">
      <c r="A2085" s="107" t="str">
        <f aca="false">IF($E2085="","",ROW()-3)</f>
        <v/>
      </c>
      <c r="B2085" s="110" t="str">
        <f aca="false">IF($E2085="","",INDEX(资金日记账!$B$4:$B$603,588))</f>
        <v/>
      </c>
      <c r="C2085" s="67" t="str">
        <f aca="false">IF($E2085="","",IF(INDEX(资金日记账!$W$4:$W$603,588)="","记-"&amp;TEXT($B2085,"YYYYMM")&amp;"-资金",INDEX(资金日记账!$W$4:$W$603,588)))</f>
        <v/>
      </c>
      <c r="D2085" s="107" t="str">
        <f aca="false">IF($E2085="","",INDEX(资金日记账!$D$4:$D$603,588))</f>
        <v/>
      </c>
      <c r="E2085" s="67" t="str">
        <f aca="false">IF(INDEX(资金日记账!$N$4:$S$603,588,4)=0,"",INDEX(资金日记账!$N$4:$S$603,588,4))</f>
        <v/>
      </c>
      <c r="F2085" s="99" t="str">
        <f aca="false">IF($E2085="","",IFERROR(INDEX(科目表!$A$4:$A$81,MATCH($E2085,科目表!$B$4:$B$81,0)),""))</f>
        <v/>
      </c>
      <c r="G2085" s="67" t="str">
        <f aca="false">IF($E2085="","",IFERROR(INDEX(科目表!$E$4:$E$81,MATCH($E2085,科目表!$B$4:$B$81,0)),""))</f>
        <v/>
      </c>
      <c r="H2085" s="70" t="str">
        <f aca="false">IF($E2085="","",N(INDEX(资金日记账!$N$4:$S$603,588,5)))</f>
        <v/>
      </c>
      <c r="I2085" s="70" t="str">
        <f aca="false">IF($E2085="","",N(INDEX(资金日记账!$N$4:$S$603,588,6)))</f>
        <v/>
      </c>
      <c r="J2085" s="67" t="str">
        <f aca="false">IF($E2085="","",INDEX(资金日记账!$E$4:$E$603,588))</f>
        <v/>
      </c>
      <c r="K2085" s="67" t="str">
        <f aca="false">IF($E2085="","",INDEX(资金日记账!$F$4:$F$603,588))</f>
        <v/>
      </c>
      <c r="L2085" s="107" t="str">
        <f aca="false">IF($E2085="","",INDEX(资金日记账!$X$4:$X$603,588))</f>
        <v/>
      </c>
      <c r="M2085" s="107"/>
      <c r="N2085" s="67" t="str">
        <f aca="false">IF($E2085="","",INDEX(资金日记账!$Y$4:$Y$603,588))</f>
        <v/>
      </c>
      <c r="O2085" s="67" t="str">
        <f aca="false">IF($E2085="","","自动B")</f>
        <v/>
      </c>
      <c r="P2085" s="18"/>
    </row>
    <row r="2086" customFormat="false" ht="18" hidden="false" customHeight="true" outlineLevel="0" collapsed="false">
      <c r="A2086" s="107" t="str">
        <f aca="false">IF($E2086="","",ROW()-3)</f>
        <v/>
      </c>
      <c r="B2086" s="110" t="str">
        <f aca="false">IF($E2086="","",INDEX(资金日记账!$B$4:$B$603,589))</f>
        <v/>
      </c>
      <c r="C2086" s="67" t="str">
        <f aca="false">IF($E2086="","",IF(INDEX(资金日记账!$W$4:$W$603,589)="","记-"&amp;TEXT($B2086,"YYYYMM")&amp;"-资金",INDEX(资金日记账!$W$4:$W$603,589)))</f>
        <v/>
      </c>
      <c r="D2086" s="107" t="str">
        <f aca="false">IF($E2086="","",INDEX(资金日记账!$D$4:$D$603,589))</f>
        <v/>
      </c>
      <c r="E2086" s="67" t="str">
        <f aca="false">IF(INDEX(资金日记账!$N$4:$S$603,589,1)=0,"",INDEX(资金日记账!$N$4:$S$603,589,1))</f>
        <v/>
      </c>
      <c r="F2086" s="99" t="str">
        <f aca="false">IF($E2086="","",IFERROR(INDEX(科目表!$A$4:$A$81,MATCH($E2086,科目表!$B$4:$B$81,0)),""))</f>
        <v/>
      </c>
      <c r="G2086" s="67" t="str">
        <f aca="false">IF($E2086="","",IFERROR(INDEX(科目表!$E$4:$E$81,MATCH($E2086,科目表!$B$4:$B$81,0)),""))</f>
        <v/>
      </c>
      <c r="H2086" s="70" t="str">
        <f aca="false">IF($E2086="","",N(INDEX(资金日记账!$N$4:$S$603,589,2)))</f>
        <v/>
      </c>
      <c r="I2086" s="70" t="str">
        <f aca="false">IF($E2086="","",N(INDEX(资金日记账!$N$4:$S$603,589,3)))</f>
        <v/>
      </c>
      <c r="J2086" s="67" t="str">
        <f aca="false">IF($E2086="","",INDEX(资金日记账!$E$4:$E$603,589))</f>
        <v/>
      </c>
      <c r="K2086" s="67" t="str">
        <f aca="false">IF($E2086="","",INDEX(资金日记账!$F$4:$F$603,589))</f>
        <v/>
      </c>
      <c r="L2086" s="107" t="str">
        <f aca="false">IF($E2086="","",INDEX(资金日记账!$X$4:$X$603,589))</f>
        <v/>
      </c>
      <c r="M2086" s="107"/>
      <c r="N2086" s="67" t="str">
        <f aca="false">IF($E2086="","",INDEX(资金日记账!$Y$4:$Y$603,589))</f>
        <v/>
      </c>
      <c r="O2086" s="67" t="str">
        <f aca="false">IF($E2086="","","自动B")</f>
        <v/>
      </c>
      <c r="P2086" s="18"/>
    </row>
    <row r="2087" customFormat="false" ht="18" hidden="false" customHeight="true" outlineLevel="0" collapsed="false">
      <c r="A2087" s="107" t="str">
        <f aca="false">IF($E2087="","",ROW()-3)</f>
        <v/>
      </c>
      <c r="B2087" s="110" t="str">
        <f aca="false">IF($E2087="","",INDEX(资金日记账!$B$4:$B$603,589))</f>
        <v/>
      </c>
      <c r="C2087" s="67" t="str">
        <f aca="false">IF($E2087="","",IF(INDEX(资金日记账!$W$4:$W$603,589)="","记-"&amp;TEXT($B2087,"YYYYMM")&amp;"-资金",INDEX(资金日记账!$W$4:$W$603,589)))</f>
        <v/>
      </c>
      <c r="D2087" s="107" t="str">
        <f aca="false">IF($E2087="","",INDEX(资金日记账!$D$4:$D$603,589))</f>
        <v/>
      </c>
      <c r="E2087" s="67" t="str">
        <f aca="false">IF(INDEX(资金日记账!$N$4:$S$603,589,4)=0,"",INDEX(资金日记账!$N$4:$S$603,589,4))</f>
        <v/>
      </c>
      <c r="F2087" s="99" t="str">
        <f aca="false">IF($E2087="","",IFERROR(INDEX(科目表!$A$4:$A$81,MATCH($E2087,科目表!$B$4:$B$81,0)),""))</f>
        <v/>
      </c>
      <c r="G2087" s="67" t="str">
        <f aca="false">IF($E2087="","",IFERROR(INDEX(科目表!$E$4:$E$81,MATCH($E2087,科目表!$B$4:$B$81,0)),""))</f>
        <v/>
      </c>
      <c r="H2087" s="70" t="str">
        <f aca="false">IF($E2087="","",N(INDEX(资金日记账!$N$4:$S$603,589,5)))</f>
        <v/>
      </c>
      <c r="I2087" s="70" t="str">
        <f aca="false">IF($E2087="","",N(INDEX(资金日记账!$N$4:$S$603,589,6)))</f>
        <v/>
      </c>
      <c r="J2087" s="67" t="str">
        <f aca="false">IF($E2087="","",INDEX(资金日记账!$E$4:$E$603,589))</f>
        <v/>
      </c>
      <c r="K2087" s="67" t="str">
        <f aca="false">IF($E2087="","",INDEX(资金日记账!$F$4:$F$603,589))</f>
        <v/>
      </c>
      <c r="L2087" s="107" t="str">
        <f aca="false">IF($E2087="","",INDEX(资金日记账!$X$4:$X$603,589))</f>
        <v/>
      </c>
      <c r="M2087" s="107"/>
      <c r="N2087" s="67" t="str">
        <f aca="false">IF($E2087="","",INDEX(资金日记账!$Y$4:$Y$603,589))</f>
        <v/>
      </c>
      <c r="O2087" s="67" t="str">
        <f aca="false">IF($E2087="","","自动B")</f>
        <v/>
      </c>
      <c r="P2087" s="18"/>
    </row>
    <row r="2088" customFormat="false" ht="18" hidden="false" customHeight="true" outlineLevel="0" collapsed="false">
      <c r="A2088" s="107" t="str">
        <f aca="false">IF($E2088="","",ROW()-3)</f>
        <v/>
      </c>
      <c r="B2088" s="110" t="str">
        <f aca="false">IF($E2088="","",INDEX(资金日记账!$B$4:$B$603,590))</f>
        <v/>
      </c>
      <c r="C2088" s="67" t="str">
        <f aca="false">IF($E2088="","",IF(INDEX(资金日记账!$W$4:$W$603,590)="","记-"&amp;TEXT($B2088,"YYYYMM")&amp;"-资金",INDEX(资金日记账!$W$4:$W$603,590)))</f>
        <v/>
      </c>
      <c r="D2088" s="107" t="str">
        <f aca="false">IF($E2088="","",INDEX(资金日记账!$D$4:$D$603,590))</f>
        <v/>
      </c>
      <c r="E2088" s="67" t="str">
        <f aca="false">IF(INDEX(资金日记账!$N$4:$S$603,590,1)=0,"",INDEX(资金日记账!$N$4:$S$603,590,1))</f>
        <v/>
      </c>
      <c r="F2088" s="99" t="str">
        <f aca="false">IF($E2088="","",IFERROR(INDEX(科目表!$A$4:$A$81,MATCH($E2088,科目表!$B$4:$B$81,0)),""))</f>
        <v/>
      </c>
      <c r="G2088" s="67" t="str">
        <f aca="false">IF($E2088="","",IFERROR(INDEX(科目表!$E$4:$E$81,MATCH($E2088,科目表!$B$4:$B$81,0)),""))</f>
        <v/>
      </c>
      <c r="H2088" s="70" t="str">
        <f aca="false">IF($E2088="","",N(INDEX(资金日记账!$N$4:$S$603,590,2)))</f>
        <v/>
      </c>
      <c r="I2088" s="70" t="str">
        <f aca="false">IF($E2088="","",N(INDEX(资金日记账!$N$4:$S$603,590,3)))</f>
        <v/>
      </c>
      <c r="J2088" s="67" t="str">
        <f aca="false">IF($E2088="","",INDEX(资金日记账!$E$4:$E$603,590))</f>
        <v/>
      </c>
      <c r="K2088" s="67" t="str">
        <f aca="false">IF($E2088="","",INDEX(资金日记账!$F$4:$F$603,590))</f>
        <v/>
      </c>
      <c r="L2088" s="107" t="str">
        <f aca="false">IF($E2088="","",INDEX(资金日记账!$X$4:$X$603,590))</f>
        <v/>
      </c>
      <c r="M2088" s="107"/>
      <c r="N2088" s="67" t="str">
        <f aca="false">IF($E2088="","",INDEX(资金日记账!$Y$4:$Y$603,590))</f>
        <v/>
      </c>
      <c r="O2088" s="67" t="str">
        <f aca="false">IF($E2088="","","自动B")</f>
        <v/>
      </c>
      <c r="P2088" s="18"/>
    </row>
    <row r="2089" customFormat="false" ht="18" hidden="false" customHeight="true" outlineLevel="0" collapsed="false">
      <c r="A2089" s="107" t="str">
        <f aca="false">IF($E2089="","",ROW()-3)</f>
        <v/>
      </c>
      <c r="B2089" s="110" t="str">
        <f aca="false">IF($E2089="","",INDEX(资金日记账!$B$4:$B$603,590))</f>
        <v/>
      </c>
      <c r="C2089" s="67" t="str">
        <f aca="false">IF($E2089="","",IF(INDEX(资金日记账!$W$4:$W$603,590)="","记-"&amp;TEXT($B2089,"YYYYMM")&amp;"-资金",INDEX(资金日记账!$W$4:$W$603,590)))</f>
        <v/>
      </c>
      <c r="D2089" s="107" t="str">
        <f aca="false">IF($E2089="","",INDEX(资金日记账!$D$4:$D$603,590))</f>
        <v/>
      </c>
      <c r="E2089" s="67" t="str">
        <f aca="false">IF(INDEX(资金日记账!$N$4:$S$603,590,4)=0,"",INDEX(资金日记账!$N$4:$S$603,590,4))</f>
        <v/>
      </c>
      <c r="F2089" s="99" t="str">
        <f aca="false">IF($E2089="","",IFERROR(INDEX(科目表!$A$4:$A$81,MATCH($E2089,科目表!$B$4:$B$81,0)),""))</f>
        <v/>
      </c>
      <c r="G2089" s="67" t="str">
        <f aca="false">IF($E2089="","",IFERROR(INDEX(科目表!$E$4:$E$81,MATCH($E2089,科目表!$B$4:$B$81,0)),""))</f>
        <v/>
      </c>
      <c r="H2089" s="70" t="str">
        <f aca="false">IF($E2089="","",N(INDEX(资金日记账!$N$4:$S$603,590,5)))</f>
        <v/>
      </c>
      <c r="I2089" s="70" t="str">
        <f aca="false">IF($E2089="","",N(INDEX(资金日记账!$N$4:$S$603,590,6)))</f>
        <v/>
      </c>
      <c r="J2089" s="67" t="str">
        <f aca="false">IF($E2089="","",INDEX(资金日记账!$E$4:$E$603,590))</f>
        <v/>
      </c>
      <c r="K2089" s="67" t="str">
        <f aca="false">IF($E2089="","",INDEX(资金日记账!$F$4:$F$603,590))</f>
        <v/>
      </c>
      <c r="L2089" s="107" t="str">
        <f aca="false">IF($E2089="","",INDEX(资金日记账!$X$4:$X$603,590))</f>
        <v/>
      </c>
      <c r="M2089" s="107"/>
      <c r="N2089" s="67" t="str">
        <f aca="false">IF($E2089="","",INDEX(资金日记账!$Y$4:$Y$603,590))</f>
        <v/>
      </c>
      <c r="O2089" s="67" t="str">
        <f aca="false">IF($E2089="","","自动B")</f>
        <v/>
      </c>
      <c r="P2089" s="18"/>
    </row>
    <row r="2090" customFormat="false" ht="18" hidden="false" customHeight="true" outlineLevel="0" collapsed="false">
      <c r="A2090" s="107" t="str">
        <f aca="false">IF($E2090="","",ROW()-3)</f>
        <v/>
      </c>
      <c r="B2090" s="110" t="str">
        <f aca="false">IF($E2090="","",INDEX(资金日记账!$B$4:$B$603,591))</f>
        <v/>
      </c>
      <c r="C2090" s="67" t="str">
        <f aca="false">IF($E2090="","",IF(INDEX(资金日记账!$W$4:$W$603,591)="","记-"&amp;TEXT($B2090,"YYYYMM")&amp;"-资金",INDEX(资金日记账!$W$4:$W$603,591)))</f>
        <v/>
      </c>
      <c r="D2090" s="107" t="str">
        <f aca="false">IF($E2090="","",INDEX(资金日记账!$D$4:$D$603,591))</f>
        <v/>
      </c>
      <c r="E2090" s="67" t="str">
        <f aca="false">IF(INDEX(资金日记账!$N$4:$S$603,591,1)=0,"",INDEX(资金日记账!$N$4:$S$603,591,1))</f>
        <v/>
      </c>
      <c r="F2090" s="99" t="str">
        <f aca="false">IF($E2090="","",IFERROR(INDEX(科目表!$A$4:$A$81,MATCH($E2090,科目表!$B$4:$B$81,0)),""))</f>
        <v/>
      </c>
      <c r="G2090" s="67" t="str">
        <f aca="false">IF($E2090="","",IFERROR(INDEX(科目表!$E$4:$E$81,MATCH($E2090,科目表!$B$4:$B$81,0)),""))</f>
        <v/>
      </c>
      <c r="H2090" s="70" t="str">
        <f aca="false">IF($E2090="","",N(INDEX(资金日记账!$N$4:$S$603,591,2)))</f>
        <v/>
      </c>
      <c r="I2090" s="70" t="str">
        <f aca="false">IF($E2090="","",N(INDEX(资金日记账!$N$4:$S$603,591,3)))</f>
        <v/>
      </c>
      <c r="J2090" s="67" t="str">
        <f aca="false">IF($E2090="","",INDEX(资金日记账!$E$4:$E$603,591))</f>
        <v/>
      </c>
      <c r="K2090" s="67" t="str">
        <f aca="false">IF($E2090="","",INDEX(资金日记账!$F$4:$F$603,591))</f>
        <v/>
      </c>
      <c r="L2090" s="107" t="str">
        <f aca="false">IF($E2090="","",INDEX(资金日记账!$X$4:$X$603,591))</f>
        <v/>
      </c>
      <c r="M2090" s="107"/>
      <c r="N2090" s="67" t="str">
        <f aca="false">IF($E2090="","",INDEX(资金日记账!$Y$4:$Y$603,591))</f>
        <v/>
      </c>
      <c r="O2090" s="67" t="str">
        <f aca="false">IF($E2090="","","自动B")</f>
        <v/>
      </c>
      <c r="P2090" s="18"/>
    </row>
    <row r="2091" customFormat="false" ht="18" hidden="false" customHeight="true" outlineLevel="0" collapsed="false">
      <c r="A2091" s="107" t="str">
        <f aca="false">IF($E2091="","",ROW()-3)</f>
        <v/>
      </c>
      <c r="B2091" s="110" t="str">
        <f aca="false">IF($E2091="","",INDEX(资金日记账!$B$4:$B$603,591))</f>
        <v/>
      </c>
      <c r="C2091" s="67" t="str">
        <f aca="false">IF($E2091="","",IF(INDEX(资金日记账!$W$4:$W$603,591)="","记-"&amp;TEXT($B2091,"YYYYMM")&amp;"-资金",INDEX(资金日记账!$W$4:$W$603,591)))</f>
        <v/>
      </c>
      <c r="D2091" s="107" t="str">
        <f aca="false">IF($E2091="","",INDEX(资金日记账!$D$4:$D$603,591))</f>
        <v/>
      </c>
      <c r="E2091" s="67" t="str">
        <f aca="false">IF(INDEX(资金日记账!$N$4:$S$603,591,4)=0,"",INDEX(资金日记账!$N$4:$S$603,591,4))</f>
        <v/>
      </c>
      <c r="F2091" s="99" t="str">
        <f aca="false">IF($E2091="","",IFERROR(INDEX(科目表!$A$4:$A$81,MATCH($E2091,科目表!$B$4:$B$81,0)),""))</f>
        <v/>
      </c>
      <c r="G2091" s="67" t="str">
        <f aca="false">IF($E2091="","",IFERROR(INDEX(科目表!$E$4:$E$81,MATCH($E2091,科目表!$B$4:$B$81,0)),""))</f>
        <v/>
      </c>
      <c r="H2091" s="70" t="str">
        <f aca="false">IF($E2091="","",N(INDEX(资金日记账!$N$4:$S$603,591,5)))</f>
        <v/>
      </c>
      <c r="I2091" s="70" t="str">
        <f aca="false">IF($E2091="","",N(INDEX(资金日记账!$N$4:$S$603,591,6)))</f>
        <v/>
      </c>
      <c r="J2091" s="67" t="str">
        <f aca="false">IF($E2091="","",INDEX(资金日记账!$E$4:$E$603,591))</f>
        <v/>
      </c>
      <c r="K2091" s="67" t="str">
        <f aca="false">IF($E2091="","",INDEX(资金日记账!$F$4:$F$603,591))</f>
        <v/>
      </c>
      <c r="L2091" s="107" t="str">
        <f aca="false">IF($E2091="","",INDEX(资金日记账!$X$4:$X$603,591))</f>
        <v/>
      </c>
      <c r="M2091" s="107"/>
      <c r="N2091" s="67" t="str">
        <f aca="false">IF($E2091="","",INDEX(资金日记账!$Y$4:$Y$603,591))</f>
        <v/>
      </c>
      <c r="O2091" s="67" t="str">
        <f aca="false">IF($E2091="","","自动B")</f>
        <v/>
      </c>
      <c r="P2091" s="18"/>
    </row>
    <row r="2092" customFormat="false" ht="18" hidden="false" customHeight="true" outlineLevel="0" collapsed="false">
      <c r="A2092" s="107" t="str">
        <f aca="false">IF($E2092="","",ROW()-3)</f>
        <v/>
      </c>
      <c r="B2092" s="110" t="str">
        <f aca="false">IF($E2092="","",INDEX(资金日记账!$B$4:$B$603,592))</f>
        <v/>
      </c>
      <c r="C2092" s="67" t="str">
        <f aca="false">IF($E2092="","",IF(INDEX(资金日记账!$W$4:$W$603,592)="","记-"&amp;TEXT($B2092,"YYYYMM")&amp;"-资金",INDEX(资金日记账!$W$4:$W$603,592)))</f>
        <v/>
      </c>
      <c r="D2092" s="107" t="str">
        <f aca="false">IF($E2092="","",INDEX(资金日记账!$D$4:$D$603,592))</f>
        <v/>
      </c>
      <c r="E2092" s="67" t="str">
        <f aca="false">IF(INDEX(资金日记账!$N$4:$S$603,592,1)=0,"",INDEX(资金日记账!$N$4:$S$603,592,1))</f>
        <v/>
      </c>
      <c r="F2092" s="99" t="str">
        <f aca="false">IF($E2092="","",IFERROR(INDEX(科目表!$A$4:$A$81,MATCH($E2092,科目表!$B$4:$B$81,0)),""))</f>
        <v/>
      </c>
      <c r="G2092" s="67" t="str">
        <f aca="false">IF($E2092="","",IFERROR(INDEX(科目表!$E$4:$E$81,MATCH($E2092,科目表!$B$4:$B$81,0)),""))</f>
        <v/>
      </c>
      <c r="H2092" s="70" t="str">
        <f aca="false">IF($E2092="","",N(INDEX(资金日记账!$N$4:$S$603,592,2)))</f>
        <v/>
      </c>
      <c r="I2092" s="70" t="str">
        <f aca="false">IF($E2092="","",N(INDEX(资金日记账!$N$4:$S$603,592,3)))</f>
        <v/>
      </c>
      <c r="J2092" s="67" t="str">
        <f aca="false">IF($E2092="","",INDEX(资金日记账!$E$4:$E$603,592))</f>
        <v/>
      </c>
      <c r="K2092" s="67" t="str">
        <f aca="false">IF($E2092="","",INDEX(资金日记账!$F$4:$F$603,592))</f>
        <v/>
      </c>
      <c r="L2092" s="107" t="str">
        <f aca="false">IF($E2092="","",INDEX(资金日记账!$X$4:$X$603,592))</f>
        <v/>
      </c>
      <c r="M2092" s="107"/>
      <c r="N2092" s="67" t="str">
        <f aca="false">IF($E2092="","",INDEX(资金日记账!$Y$4:$Y$603,592))</f>
        <v/>
      </c>
      <c r="O2092" s="67" t="str">
        <f aca="false">IF($E2092="","","自动B")</f>
        <v/>
      </c>
      <c r="P2092" s="18"/>
    </row>
    <row r="2093" customFormat="false" ht="18" hidden="false" customHeight="true" outlineLevel="0" collapsed="false">
      <c r="A2093" s="107" t="str">
        <f aca="false">IF($E2093="","",ROW()-3)</f>
        <v/>
      </c>
      <c r="B2093" s="110" t="str">
        <f aca="false">IF($E2093="","",INDEX(资金日记账!$B$4:$B$603,592))</f>
        <v/>
      </c>
      <c r="C2093" s="67" t="str">
        <f aca="false">IF($E2093="","",IF(INDEX(资金日记账!$W$4:$W$603,592)="","记-"&amp;TEXT($B2093,"YYYYMM")&amp;"-资金",INDEX(资金日记账!$W$4:$W$603,592)))</f>
        <v/>
      </c>
      <c r="D2093" s="107" t="str">
        <f aca="false">IF($E2093="","",INDEX(资金日记账!$D$4:$D$603,592))</f>
        <v/>
      </c>
      <c r="E2093" s="67" t="str">
        <f aca="false">IF(INDEX(资金日记账!$N$4:$S$603,592,4)=0,"",INDEX(资金日记账!$N$4:$S$603,592,4))</f>
        <v/>
      </c>
      <c r="F2093" s="99" t="str">
        <f aca="false">IF($E2093="","",IFERROR(INDEX(科目表!$A$4:$A$81,MATCH($E2093,科目表!$B$4:$B$81,0)),""))</f>
        <v/>
      </c>
      <c r="G2093" s="67" t="str">
        <f aca="false">IF($E2093="","",IFERROR(INDEX(科目表!$E$4:$E$81,MATCH($E2093,科目表!$B$4:$B$81,0)),""))</f>
        <v/>
      </c>
      <c r="H2093" s="70" t="str">
        <f aca="false">IF($E2093="","",N(INDEX(资金日记账!$N$4:$S$603,592,5)))</f>
        <v/>
      </c>
      <c r="I2093" s="70" t="str">
        <f aca="false">IF($E2093="","",N(INDEX(资金日记账!$N$4:$S$603,592,6)))</f>
        <v/>
      </c>
      <c r="J2093" s="67" t="str">
        <f aca="false">IF($E2093="","",INDEX(资金日记账!$E$4:$E$603,592))</f>
        <v/>
      </c>
      <c r="K2093" s="67" t="str">
        <f aca="false">IF($E2093="","",INDEX(资金日记账!$F$4:$F$603,592))</f>
        <v/>
      </c>
      <c r="L2093" s="107" t="str">
        <f aca="false">IF($E2093="","",INDEX(资金日记账!$X$4:$X$603,592))</f>
        <v/>
      </c>
      <c r="M2093" s="107"/>
      <c r="N2093" s="67" t="str">
        <f aca="false">IF($E2093="","",INDEX(资金日记账!$Y$4:$Y$603,592))</f>
        <v/>
      </c>
      <c r="O2093" s="67" t="str">
        <f aca="false">IF($E2093="","","自动B")</f>
        <v/>
      </c>
      <c r="P2093" s="18"/>
    </row>
    <row r="2094" customFormat="false" ht="18" hidden="false" customHeight="true" outlineLevel="0" collapsed="false">
      <c r="A2094" s="107" t="str">
        <f aca="false">IF($E2094="","",ROW()-3)</f>
        <v/>
      </c>
      <c r="B2094" s="110" t="str">
        <f aca="false">IF($E2094="","",INDEX(资金日记账!$B$4:$B$603,593))</f>
        <v/>
      </c>
      <c r="C2094" s="67" t="str">
        <f aca="false">IF($E2094="","",IF(INDEX(资金日记账!$W$4:$W$603,593)="","记-"&amp;TEXT($B2094,"YYYYMM")&amp;"-资金",INDEX(资金日记账!$W$4:$W$603,593)))</f>
        <v/>
      </c>
      <c r="D2094" s="107" t="str">
        <f aca="false">IF($E2094="","",INDEX(资金日记账!$D$4:$D$603,593))</f>
        <v/>
      </c>
      <c r="E2094" s="67" t="str">
        <f aca="false">IF(INDEX(资金日记账!$N$4:$S$603,593,1)=0,"",INDEX(资金日记账!$N$4:$S$603,593,1))</f>
        <v/>
      </c>
      <c r="F2094" s="99" t="str">
        <f aca="false">IF($E2094="","",IFERROR(INDEX(科目表!$A$4:$A$81,MATCH($E2094,科目表!$B$4:$B$81,0)),""))</f>
        <v/>
      </c>
      <c r="G2094" s="67" t="str">
        <f aca="false">IF($E2094="","",IFERROR(INDEX(科目表!$E$4:$E$81,MATCH($E2094,科目表!$B$4:$B$81,0)),""))</f>
        <v/>
      </c>
      <c r="H2094" s="70" t="str">
        <f aca="false">IF($E2094="","",N(INDEX(资金日记账!$N$4:$S$603,593,2)))</f>
        <v/>
      </c>
      <c r="I2094" s="70" t="str">
        <f aca="false">IF($E2094="","",N(INDEX(资金日记账!$N$4:$S$603,593,3)))</f>
        <v/>
      </c>
      <c r="J2094" s="67" t="str">
        <f aca="false">IF($E2094="","",INDEX(资金日记账!$E$4:$E$603,593))</f>
        <v/>
      </c>
      <c r="K2094" s="67" t="str">
        <f aca="false">IF($E2094="","",INDEX(资金日记账!$F$4:$F$603,593))</f>
        <v/>
      </c>
      <c r="L2094" s="107" t="str">
        <f aca="false">IF($E2094="","",INDEX(资金日记账!$X$4:$X$603,593))</f>
        <v/>
      </c>
      <c r="M2094" s="107"/>
      <c r="N2094" s="67" t="str">
        <f aca="false">IF($E2094="","",INDEX(资金日记账!$Y$4:$Y$603,593))</f>
        <v/>
      </c>
      <c r="O2094" s="67" t="str">
        <f aca="false">IF($E2094="","","自动B")</f>
        <v/>
      </c>
      <c r="P2094" s="18"/>
    </row>
    <row r="2095" customFormat="false" ht="18" hidden="false" customHeight="true" outlineLevel="0" collapsed="false">
      <c r="A2095" s="107" t="str">
        <f aca="false">IF($E2095="","",ROW()-3)</f>
        <v/>
      </c>
      <c r="B2095" s="110" t="str">
        <f aca="false">IF($E2095="","",INDEX(资金日记账!$B$4:$B$603,593))</f>
        <v/>
      </c>
      <c r="C2095" s="67" t="str">
        <f aca="false">IF($E2095="","",IF(INDEX(资金日记账!$W$4:$W$603,593)="","记-"&amp;TEXT($B2095,"YYYYMM")&amp;"-资金",INDEX(资金日记账!$W$4:$W$603,593)))</f>
        <v/>
      </c>
      <c r="D2095" s="107" t="str">
        <f aca="false">IF($E2095="","",INDEX(资金日记账!$D$4:$D$603,593))</f>
        <v/>
      </c>
      <c r="E2095" s="67" t="str">
        <f aca="false">IF(INDEX(资金日记账!$N$4:$S$603,593,4)=0,"",INDEX(资金日记账!$N$4:$S$603,593,4))</f>
        <v/>
      </c>
      <c r="F2095" s="99" t="str">
        <f aca="false">IF($E2095="","",IFERROR(INDEX(科目表!$A$4:$A$81,MATCH($E2095,科目表!$B$4:$B$81,0)),""))</f>
        <v/>
      </c>
      <c r="G2095" s="67" t="str">
        <f aca="false">IF($E2095="","",IFERROR(INDEX(科目表!$E$4:$E$81,MATCH($E2095,科目表!$B$4:$B$81,0)),""))</f>
        <v/>
      </c>
      <c r="H2095" s="70" t="str">
        <f aca="false">IF($E2095="","",N(INDEX(资金日记账!$N$4:$S$603,593,5)))</f>
        <v/>
      </c>
      <c r="I2095" s="70" t="str">
        <f aca="false">IF($E2095="","",N(INDEX(资金日记账!$N$4:$S$603,593,6)))</f>
        <v/>
      </c>
      <c r="J2095" s="67" t="str">
        <f aca="false">IF($E2095="","",INDEX(资金日记账!$E$4:$E$603,593))</f>
        <v/>
      </c>
      <c r="K2095" s="67" t="str">
        <f aca="false">IF($E2095="","",INDEX(资金日记账!$F$4:$F$603,593))</f>
        <v/>
      </c>
      <c r="L2095" s="107" t="str">
        <f aca="false">IF($E2095="","",INDEX(资金日记账!$X$4:$X$603,593))</f>
        <v/>
      </c>
      <c r="M2095" s="107"/>
      <c r="N2095" s="67" t="str">
        <f aca="false">IF($E2095="","",INDEX(资金日记账!$Y$4:$Y$603,593))</f>
        <v/>
      </c>
      <c r="O2095" s="67" t="str">
        <f aca="false">IF($E2095="","","自动B")</f>
        <v/>
      </c>
      <c r="P2095" s="18"/>
    </row>
    <row r="2096" customFormat="false" ht="18" hidden="false" customHeight="true" outlineLevel="0" collapsed="false">
      <c r="A2096" s="107" t="str">
        <f aca="false">IF($E2096="","",ROW()-3)</f>
        <v/>
      </c>
      <c r="B2096" s="110" t="str">
        <f aca="false">IF($E2096="","",INDEX(资金日记账!$B$4:$B$603,594))</f>
        <v/>
      </c>
      <c r="C2096" s="67" t="str">
        <f aca="false">IF($E2096="","",IF(INDEX(资金日记账!$W$4:$W$603,594)="","记-"&amp;TEXT($B2096,"YYYYMM")&amp;"-资金",INDEX(资金日记账!$W$4:$W$603,594)))</f>
        <v/>
      </c>
      <c r="D2096" s="107" t="str">
        <f aca="false">IF($E2096="","",INDEX(资金日记账!$D$4:$D$603,594))</f>
        <v/>
      </c>
      <c r="E2096" s="67" t="str">
        <f aca="false">IF(INDEX(资金日记账!$N$4:$S$603,594,1)=0,"",INDEX(资金日记账!$N$4:$S$603,594,1))</f>
        <v/>
      </c>
      <c r="F2096" s="99" t="str">
        <f aca="false">IF($E2096="","",IFERROR(INDEX(科目表!$A$4:$A$81,MATCH($E2096,科目表!$B$4:$B$81,0)),""))</f>
        <v/>
      </c>
      <c r="G2096" s="67" t="str">
        <f aca="false">IF($E2096="","",IFERROR(INDEX(科目表!$E$4:$E$81,MATCH($E2096,科目表!$B$4:$B$81,0)),""))</f>
        <v/>
      </c>
      <c r="H2096" s="70" t="str">
        <f aca="false">IF($E2096="","",N(INDEX(资金日记账!$N$4:$S$603,594,2)))</f>
        <v/>
      </c>
      <c r="I2096" s="70" t="str">
        <f aca="false">IF($E2096="","",N(INDEX(资金日记账!$N$4:$S$603,594,3)))</f>
        <v/>
      </c>
      <c r="J2096" s="67" t="str">
        <f aca="false">IF($E2096="","",INDEX(资金日记账!$E$4:$E$603,594))</f>
        <v/>
      </c>
      <c r="K2096" s="67" t="str">
        <f aca="false">IF($E2096="","",INDEX(资金日记账!$F$4:$F$603,594))</f>
        <v/>
      </c>
      <c r="L2096" s="107" t="str">
        <f aca="false">IF($E2096="","",INDEX(资金日记账!$X$4:$X$603,594))</f>
        <v/>
      </c>
      <c r="M2096" s="107"/>
      <c r="N2096" s="67" t="str">
        <f aca="false">IF($E2096="","",INDEX(资金日记账!$Y$4:$Y$603,594))</f>
        <v/>
      </c>
      <c r="O2096" s="67" t="str">
        <f aca="false">IF($E2096="","","自动B")</f>
        <v/>
      </c>
      <c r="P2096" s="18"/>
    </row>
    <row r="2097" customFormat="false" ht="18" hidden="false" customHeight="true" outlineLevel="0" collapsed="false">
      <c r="A2097" s="107" t="str">
        <f aca="false">IF($E2097="","",ROW()-3)</f>
        <v/>
      </c>
      <c r="B2097" s="110" t="str">
        <f aca="false">IF($E2097="","",INDEX(资金日记账!$B$4:$B$603,594))</f>
        <v/>
      </c>
      <c r="C2097" s="67" t="str">
        <f aca="false">IF($E2097="","",IF(INDEX(资金日记账!$W$4:$W$603,594)="","记-"&amp;TEXT($B2097,"YYYYMM")&amp;"-资金",INDEX(资金日记账!$W$4:$W$603,594)))</f>
        <v/>
      </c>
      <c r="D2097" s="107" t="str">
        <f aca="false">IF($E2097="","",INDEX(资金日记账!$D$4:$D$603,594))</f>
        <v/>
      </c>
      <c r="E2097" s="67" t="str">
        <f aca="false">IF(INDEX(资金日记账!$N$4:$S$603,594,4)=0,"",INDEX(资金日记账!$N$4:$S$603,594,4))</f>
        <v/>
      </c>
      <c r="F2097" s="99" t="str">
        <f aca="false">IF($E2097="","",IFERROR(INDEX(科目表!$A$4:$A$81,MATCH($E2097,科目表!$B$4:$B$81,0)),""))</f>
        <v/>
      </c>
      <c r="G2097" s="67" t="str">
        <f aca="false">IF($E2097="","",IFERROR(INDEX(科目表!$E$4:$E$81,MATCH($E2097,科目表!$B$4:$B$81,0)),""))</f>
        <v/>
      </c>
      <c r="H2097" s="70" t="str">
        <f aca="false">IF($E2097="","",N(INDEX(资金日记账!$N$4:$S$603,594,5)))</f>
        <v/>
      </c>
      <c r="I2097" s="70" t="str">
        <f aca="false">IF($E2097="","",N(INDEX(资金日记账!$N$4:$S$603,594,6)))</f>
        <v/>
      </c>
      <c r="J2097" s="67" t="str">
        <f aca="false">IF($E2097="","",INDEX(资金日记账!$E$4:$E$603,594))</f>
        <v/>
      </c>
      <c r="K2097" s="67" t="str">
        <f aca="false">IF($E2097="","",INDEX(资金日记账!$F$4:$F$603,594))</f>
        <v/>
      </c>
      <c r="L2097" s="107" t="str">
        <f aca="false">IF($E2097="","",INDEX(资金日记账!$X$4:$X$603,594))</f>
        <v/>
      </c>
      <c r="M2097" s="107"/>
      <c r="N2097" s="67" t="str">
        <f aca="false">IF($E2097="","",INDEX(资金日记账!$Y$4:$Y$603,594))</f>
        <v/>
      </c>
      <c r="O2097" s="67" t="str">
        <f aca="false">IF($E2097="","","自动B")</f>
        <v/>
      </c>
      <c r="P2097" s="18"/>
    </row>
    <row r="2098" customFormat="false" ht="18" hidden="false" customHeight="true" outlineLevel="0" collapsed="false">
      <c r="A2098" s="107" t="str">
        <f aca="false">IF($E2098="","",ROW()-3)</f>
        <v/>
      </c>
      <c r="B2098" s="110" t="str">
        <f aca="false">IF($E2098="","",INDEX(资金日记账!$B$4:$B$603,595))</f>
        <v/>
      </c>
      <c r="C2098" s="67" t="str">
        <f aca="false">IF($E2098="","",IF(INDEX(资金日记账!$W$4:$W$603,595)="","记-"&amp;TEXT($B2098,"YYYYMM")&amp;"-资金",INDEX(资金日记账!$W$4:$W$603,595)))</f>
        <v/>
      </c>
      <c r="D2098" s="107" t="str">
        <f aca="false">IF($E2098="","",INDEX(资金日记账!$D$4:$D$603,595))</f>
        <v/>
      </c>
      <c r="E2098" s="67" t="str">
        <f aca="false">IF(INDEX(资金日记账!$N$4:$S$603,595,1)=0,"",INDEX(资金日记账!$N$4:$S$603,595,1))</f>
        <v/>
      </c>
      <c r="F2098" s="99" t="str">
        <f aca="false">IF($E2098="","",IFERROR(INDEX(科目表!$A$4:$A$81,MATCH($E2098,科目表!$B$4:$B$81,0)),""))</f>
        <v/>
      </c>
      <c r="G2098" s="67" t="str">
        <f aca="false">IF($E2098="","",IFERROR(INDEX(科目表!$E$4:$E$81,MATCH($E2098,科目表!$B$4:$B$81,0)),""))</f>
        <v/>
      </c>
      <c r="H2098" s="70" t="str">
        <f aca="false">IF($E2098="","",N(INDEX(资金日记账!$N$4:$S$603,595,2)))</f>
        <v/>
      </c>
      <c r="I2098" s="70" t="str">
        <f aca="false">IF($E2098="","",N(INDEX(资金日记账!$N$4:$S$603,595,3)))</f>
        <v/>
      </c>
      <c r="J2098" s="67" t="str">
        <f aca="false">IF($E2098="","",INDEX(资金日记账!$E$4:$E$603,595))</f>
        <v/>
      </c>
      <c r="K2098" s="67" t="str">
        <f aca="false">IF($E2098="","",INDEX(资金日记账!$F$4:$F$603,595))</f>
        <v/>
      </c>
      <c r="L2098" s="107" t="str">
        <f aca="false">IF($E2098="","",INDEX(资金日记账!$X$4:$X$603,595))</f>
        <v/>
      </c>
      <c r="M2098" s="107"/>
      <c r="N2098" s="67" t="str">
        <f aca="false">IF($E2098="","",INDEX(资金日记账!$Y$4:$Y$603,595))</f>
        <v/>
      </c>
      <c r="O2098" s="67" t="str">
        <f aca="false">IF($E2098="","","自动B")</f>
        <v/>
      </c>
      <c r="P2098" s="18"/>
    </row>
    <row r="2099" customFormat="false" ht="18" hidden="false" customHeight="true" outlineLevel="0" collapsed="false">
      <c r="A2099" s="107" t="str">
        <f aca="false">IF($E2099="","",ROW()-3)</f>
        <v/>
      </c>
      <c r="B2099" s="110" t="str">
        <f aca="false">IF($E2099="","",INDEX(资金日记账!$B$4:$B$603,595))</f>
        <v/>
      </c>
      <c r="C2099" s="67" t="str">
        <f aca="false">IF($E2099="","",IF(INDEX(资金日记账!$W$4:$W$603,595)="","记-"&amp;TEXT($B2099,"YYYYMM")&amp;"-资金",INDEX(资金日记账!$W$4:$W$603,595)))</f>
        <v/>
      </c>
      <c r="D2099" s="107" t="str">
        <f aca="false">IF($E2099="","",INDEX(资金日记账!$D$4:$D$603,595))</f>
        <v/>
      </c>
      <c r="E2099" s="67" t="str">
        <f aca="false">IF(INDEX(资金日记账!$N$4:$S$603,595,4)=0,"",INDEX(资金日记账!$N$4:$S$603,595,4))</f>
        <v/>
      </c>
      <c r="F2099" s="99" t="str">
        <f aca="false">IF($E2099="","",IFERROR(INDEX(科目表!$A$4:$A$81,MATCH($E2099,科目表!$B$4:$B$81,0)),""))</f>
        <v/>
      </c>
      <c r="G2099" s="67" t="str">
        <f aca="false">IF($E2099="","",IFERROR(INDEX(科目表!$E$4:$E$81,MATCH($E2099,科目表!$B$4:$B$81,0)),""))</f>
        <v/>
      </c>
      <c r="H2099" s="70" t="str">
        <f aca="false">IF($E2099="","",N(INDEX(资金日记账!$N$4:$S$603,595,5)))</f>
        <v/>
      </c>
      <c r="I2099" s="70" t="str">
        <f aca="false">IF($E2099="","",N(INDEX(资金日记账!$N$4:$S$603,595,6)))</f>
        <v/>
      </c>
      <c r="J2099" s="67" t="str">
        <f aca="false">IF($E2099="","",INDEX(资金日记账!$E$4:$E$603,595))</f>
        <v/>
      </c>
      <c r="K2099" s="67" t="str">
        <f aca="false">IF($E2099="","",INDEX(资金日记账!$F$4:$F$603,595))</f>
        <v/>
      </c>
      <c r="L2099" s="107" t="str">
        <f aca="false">IF($E2099="","",INDEX(资金日记账!$X$4:$X$603,595))</f>
        <v/>
      </c>
      <c r="M2099" s="107"/>
      <c r="N2099" s="67" t="str">
        <f aca="false">IF($E2099="","",INDEX(资金日记账!$Y$4:$Y$603,595))</f>
        <v/>
      </c>
      <c r="O2099" s="67" t="str">
        <f aca="false">IF($E2099="","","自动B")</f>
        <v/>
      </c>
      <c r="P2099" s="18"/>
    </row>
    <row r="2100" customFormat="false" ht="18" hidden="false" customHeight="true" outlineLevel="0" collapsed="false">
      <c r="A2100" s="107" t="str">
        <f aca="false">IF($E2100="","",ROW()-3)</f>
        <v/>
      </c>
      <c r="B2100" s="110" t="str">
        <f aca="false">IF($E2100="","",INDEX(资金日记账!$B$4:$B$603,596))</f>
        <v/>
      </c>
      <c r="C2100" s="67" t="str">
        <f aca="false">IF($E2100="","",IF(INDEX(资金日记账!$W$4:$W$603,596)="","记-"&amp;TEXT($B2100,"YYYYMM")&amp;"-资金",INDEX(资金日记账!$W$4:$W$603,596)))</f>
        <v/>
      </c>
      <c r="D2100" s="107" t="str">
        <f aca="false">IF($E2100="","",INDEX(资金日记账!$D$4:$D$603,596))</f>
        <v/>
      </c>
      <c r="E2100" s="67" t="str">
        <f aca="false">IF(INDEX(资金日记账!$N$4:$S$603,596,1)=0,"",INDEX(资金日记账!$N$4:$S$603,596,1))</f>
        <v/>
      </c>
      <c r="F2100" s="99" t="str">
        <f aca="false">IF($E2100="","",IFERROR(INDEX(科目表!$A$4:$A$81,MATCH($E2100,科目表!$B$4:$B$81,0)),""))</f>
        <v/>
      </c>
      <c r="G2100" s="67" t="str">
        <f aca="false">IF($E2100="","",IFERROR(INDEX(科目表!$E$4:$E$81,MATCH($E2100,科目表!$B$4:$B$81,0)),""))</f>
        <v/>
      </c>
      <c r="H2100" s="70" t="str">
        <f aca="false">IF($E2100="","",N(INDEX(资金日记账!$N$4:$S$603,596,2)))</f>
        <v/>
      </c>
      <c r="I2100" s="70" t="str">
        <f aca="false">IF($E2100="","",N(INDEX(资金日记账!$N$4:$S$603,596,3)))</f>
        <v/>
      </c>
      <c r="J2100" s="67" t="str">
        <f aca="false">IF($E2100="","",INDEX(资金日记账!$E$4:$E$603,596))</f>
        <v/>
      </c>
      <c r="K2100" s="67" t="str">
        <f aca="false">IF($E2100="","",INDEX(资金日记账!$F$4:$F$603,596))</f>
        <v/>
      </c>
      <c r="L2100" s="107" t="str">
        <f aca="false">IF($E2100="","",INDEX(资金日记账!$X$4:$X$603,596))</f>
        <v/>
      </c>
      <c r="M2100" s="107"/>
      <c r="N2100" s="67" t="str">
        <f aca="false">IF($E2100="","",INDEX(资金日记账!$Y$4:$Y$603,596))</f>
        <v/>
      </c>
      <c r="O2100" s="67" t="str">
        <f aca="false">IF($E2100="","","自动B")</f>
        <v/>
      </c>
      <c r="P2100" s="18"/>
    </row>
    <row r="2101" customFormat="false" ht="18" hidden="false" customHeight="true" outlineLevel="0" collapsed="false">
      <c r="A2101" s="107" t="str">
        <f aca="false">IF($E2101="","",ROW()-3)</f>
        <v/>
      </c>
      <c r="B2101" s="110" t="str">
        <f aca="false">IF($E2101="","",INDEX(资金日记账!$B$4:$B$603,596))</f>
        <v/>
      </c>
      <c r="C2101" s="67" t="str">
        <f aca="false">IF($E2101="","",IF(INDEX(资金日记账!$W$4:$W$603,596)="","记-"&amp;TEXT($B2101,"YYYYMM")&amp;"-资金",INDEX(资金日记账!$W$4:$W$603,596)))</f>
        <v/>
      </c>
      <c r="D2101" s="107" t="str">
        <f aca="false">IF($E2101="","",INDEX(资金日记账!$D$4:$D$603,596))</f>
        <v/>
      </c>
      <c r="E2101" s="67" t="str">
        <f aca="false">IF(INDEX(资金日记账!$N$4:$S$603,596,4)=0,"",INDEX(资金日记账!$N$4:$S$603,596,4))</f>
        <v/>
      </c>
      <c r="F2101" s="99" t="str">
        <f aca="false">IF($E2101="","",IFERROR(INDEX(科目表!$A$4:$A$81,MATCH($E2101,科目表!$B$4:$B$81,0)),""))</f>
        <v/>
      </c>
      <c r="G2101" s="67" t="str">
        <f aca="false">IF($E2101="","",IFERROR(INDEX(科目表!$E$4:$E$81,MATCH($E2101,科目表!$B$4:$B$81,0)),""))</f>
        <v/>
      </c>
      <c r="H2101" s="70" t="str">
        <f aca="false">IF($E2101="","",N(INDEX(资金日记账!$N$4:$S$603,596,5)))</f>
        <v/>
      </c>
      <c r="I2101" s="70" t="str">
        <f aca="false">IF($E2101="","",N(INDEX(资金日记账!$N$4:$S$603,596,6)))</f>
        <v/>
      </c>
      <c r="J2101" s="67" t="str">
        <f aca="false">IF($E2101="","",INDEX(资金日记账!$E$4:$E$603,596))</f>
        <v/>
      </c>
      <c r="K2101" s="67" t="str">
        <f aca="false">IF($E2101="","",INDEX(资金日记账!$F$4:$F$603,596))</f>
        <v/>
      </c>
      <c r="L2101" s="107" t="str">
        <f aca="false">IF($E2101="","",INDEX(资金日记账!$X$4:$X$603,596))</f>
        <v/>
      </c>
      <c r="M2101" s="107"/>
      <c r="N2101" s="67" t="str">
        <f aca="false">IF($E2101="","",INDEX(资金日记账!$Y$4:$Y$603,596))</f>
        <v/>
      </c>
      <c r="O2101" s="67" t="str">
        <f aca="false">IF($E2101="","","自动B")</f>
        <v/>
      </c>
      <c r="P2101" s="18"/>
    </row>
    <row r="2102" customFormat="false" ht="18" hidden="false" customHeight="true" outlineLevel="0" collapsed="false">
      <c r="A2102" s="107" t="str">
        <f aca="false">IF($E2102="","",ROW()-3)</f>
        <v/>
      </c>
      <c r="B2102" s="110" t="str">
        <f aca="false">IF($E2102="","",INDEX(资金日记账!$B$4:$B$603,597))</f>
        <v/>
      </c>
      <c r="C2102" s="67" t="str">
        <f aca="false">IF($E2102="","",IF(INDEX(资金日记账!$W$4:$W$603,597)="","记-"&amp;TEXT($B2102,"YYYYMM")&amp;"-资金",INDEX(资金日记账!$W$4:$W$603,597)))</f>
        <v/>
      </c>
      <c r="D2102" s="107" t="str">
        <f aca="false">IF($E2102="","",INDEX(资金日记账!$D$4:$D$603,597))</f>
        <v/>
      </c>
      <c r="E2102" s="67" t="str">
        <f aca="false">IF(INDEX(资金日记账!$N$4:$S$603,597,1)=0,"",INDEX(资金日记账!$N$4:$S$603,597,1))</f>
        <v/>
      </c>
      <c r="F2102" s="99" t="str">
        <f aca="false">IF($E2102="","",IFERROR(INDEX(科目表!$A$4:$A$81,MATCH($E2102,科目表!$B$4:$B$81,0)),""))</f>
        <v/>
      </c>
      <c r="G2102" s="67" t="str">
        <f aca="false">IF($E2102="","",IFERROR(INDEX(科目表!$E$4:$E$81,MATCH($E2102,科目表!$B$4:$B$81,0)),""))</f>
        <v/>
      </c>
      <c r="H2102" s="70" t="str">
        <f aca="false">IF($E2102="","",N(INDEX(资金日记账!$N$4:$S$603,597,2)))</f>
        <v/>
      </c>
      <c r="I2102" s="70" t="str">
        <f aca="false">IF($E2102="","",N(INDEX(资金日记账!$N$4:$S$603,597,3)))</f>
        <v/>
      </c>
      <c r="J2102" s="67" t="str">
        <f aca="false">IF($E2102="","",INDEX(资金日记账!$E$4:$E$603,597))</f>
        <v/>
      </c>
      <c r="K2102" s="67" t="str">
        <f aca="false">IF($E2102="","",INDEX(资金日记账!$F$4:$F$603,597))</f>
        <v/>
      </c>
      <c r="L2102" s="107" t="str">
        <f aca="false">IF($E2102="","",INDEX(资金日记账!$X$4:$X$603,597))</f>
        <v/>
      </c>
      <c r="M2102" s="107"/>
      <c r="N2102" s="67" t="str">
        <f aca="false">IF($E2102="","",INDEX(资金日记账!$Y$4:$Y$603,597))</f>
        <v/>
      </c>
      <c r="O2102" s="67" t="str">
        <f aca="false">IF($E2102="","","自动B")</f>
        <v/>
      </c>
      <c r="P2102" s="18"/>
    </row>
    <row r="2103" customFormat="false" ht="18" hidden="false" customHeight="true" outlineLevel="0" collapsed="false">
      <c r="A2103" s="107" t="str">
        <f aca="false">IF($E2103="","",ROW()-3)</f>
        <v/>
      </c>
      <c r="B2103" s="110" t="str">
        <f aca="false">IF($E2103="","",INDEX(资金日记账!$B$4:$B$603,597))</f>
        <v/>
      </c>
      <c r="C2103" s="67" t="str">
        <f aca="false">IF($E2103="","",IF(INDEX(资金日记账!$W$4:$W$603,597)="","记-"&amp;TEXT($B2103,"YYYYMM")&amp;"-资金",INDEX(资金日记账!$W$4:$W$603,597)))</f>
        <v/>
      </c>
      <c r="D2103" s="107" t="str">
        <f aca="false">IF($E2103="","",INDEX(资金日记账!$D$4:$D$603,597))</f>
        <v/>
      </c>
      <c r="E2103" s="67" t="str">
        <f aca="false">IF(INDEX(资金日记账!$N$4:$S$603,597,4)=0,"",INDEX(资金日记账!$N$4:$S$603,597,4))</f>
        <v/>
      </c>
      <c r="F2103" s="99" t="str">
        <f aca="false">IF($E2103="","",IFERROR(INDEX(科目表!$A$4:$A$81,MATCH($E2103,科目表!$B$4:$B$81,0)),""))</f>
        <v/>
      </c>
      <c r="G2103" s="67" t="str">
        <f aca="false">IF($E2103="","",IFERROR(INDEX(科目表!$E$4:$E$81,MATCH($E2103,科目表!$B$4:$B$81,0)),""))</f>
        <v/>
      </c>
      <c r="H2103" s="70" t="str">
        <f aca="false">IF($E2103="","",N(INDEX(资金日记账!$N$4:$S$603,597,5)))</f>
        <v/>
      </c>
      <c r="I2103" s="70" t="str">
        <f aca="false">IF($E2103="","",N(INDEX(资金日记账!$N$4:$S$603,597,6)))</f>
        <v/>
      </c>
      <c r="J2103" s="67" t="str">
        <f aca="false">IF($E2103="","",INDEX(资金日记账!$E$4:$E$603,597))</f>
        <v/>
      </c>
      <c r="K2103" s="67" t="str">
        <f aca="false">IF($E2103="","",INDEX(资金日记账!$F$4:$F$603,597))</f>
        <v/>
      </c>
      <c r="L2103" s="107" t="str">
        <f aca="false">IF($E2103="","",INDEX(资金日记账!$X$4:$X$603,597))</f>
        <v/>
      </c>
      <c r="M2103" s="107"/>
      <c r="N2103" s="67" t="str">
        <f aca="false">IF($E2103="","",INDEX(资金日记账!$Y$4:$Y$603,597))</f>
        <v/>
      </c>
      <c r="O2103" s="67" t="str">
        <f aca="false">IF($E2103="","","自动B")</f>
        <v/>
      </c>
      <c r="P2103" s="18"/>
    </row>
    <row r="2104" customFormat="false" ht="18" hidden="false" customHeight="true" outlineLevel="0" collapsed="false">
      <c r="A2104" s="107" t="str">
        <f aca="false">IF($E2104="","",ROW()-3)</f>
        <v/>
      </c>
      <c r="B2104" s="110" t="str">
        <f aca="false">IF($E2104="","",INDEX(资金日记账!$B$4:$B$603,598))</f>
        <v/>
      </c>
      <c r="C2104" s="67" t="str">
        <f aca="false">IF($E2104="","",IF(INDEX(资金日记账!$W$4:$W$603,598)="","记-"&amp;TEXT($B2104,"YYYYMM")&amp;"-资金",INDEX(资金日记账!$W$4:$W$603,598)))</f>
        <v/>
      </c>
      <c r="D2104" s="107" t="str">
        <f aca="false">IF($E2104="","",INDEX(资金日记账!$D$4:$D$603,598))</f>
        <v/>
      </c>
      <c r="E2104" s="67" t="str">
        <f aca="false">IF(INDEX(资金日记账!$N$4:$S$603,598,1)=0,"",INDEX(资金日记账!$N$4:$S$603,598,1))</f>
        <v/>
      </c>
      <c r="F2104" s="99" t="str">
        <f aca="false">IF($E2104="","",IFERROR(INDEX(科目表!$A$4:$A$81,MATCH($E2104,科目表!$B$4:$B$81,0)),""))</f>
        <v/>
      </c>
      <c r="G2104" s="67" t="str">
        <f aca="false">IF($E2104="","",IFERROR(INDEX(科目表!$E$4:$E$81,MATCH($E2104,科目表!$B$4:$B$81,0)),""))</f>
        <v/>
      </c>
      <c r="H2104" s="70" t="str">
        <f aca="false">IF($E2104="","",N(INDEX(资金日记账!$N$4:$S$603,598,2)))</f>
        <v/>
      </c>
      <c r="I2104" s="70" t="str">
        <f aca="false">IF($E2104="","",N(INDEX(资金日记账!$N$4:$S$603,598,3)))</f>
        <v/>
      </c>
      <c r="J2104" s="67" t="str">
        <f aca="false">IF($E2104="","",INDEX(资金日记账!$E$4:$E$603,598))</f>
        <v/>
      </c>
      <c r="K2104" s="67" t="str">
        <f aca="false">IF($E2104="","",INDEX(资金日记账!$F$4:$F$603,598))</f>
        <v/>
      </c>
      <c r="L2104" s="107" t="str">
        <f aca="false">IF($E2104="","",INDEX(资金日记账!$X$4:$X$603,598))</f>
        <v/>
      </c>
      <c r="M2104" s="107"/>
      <c r="N2104" s="67" t="str">
        <f aca="false">IF($E2104="","",INDEX(资金日记账!$Y$4:$Y$603,598))</f>
        <v/>
      </c>
      <c r="O2104" s="67" t="str">
        <f aca="false">IF($E2104="","","自动B")</f>
        <v/>
      </c>
      <c r="P2104" s="18"/>
    </row>
    <row r="2105" customFormat="false" ht="18" hidden="false" customHeight="true" outlineLevel="0" collapsed="false">
      <c r="A2105" s="107" t="str">
        <f aca="false">IF($E2105="","",ROW()-3)</f>
        <v/>
      </c>
      <c r="B2105" s="110" t="str">
        <f aca="false">IF($E2105="","",INDEX(资金日记账!$B$4:$B$603,598))</f>
        <v/>
      </c>
      <c r="C2105" s="67" t="str">
        <f aca="false">IF($E2105="","",IF(INDEX(资金日记账!$W$4:$W$603,598)="","记-"&amp;TEXT($B2105,"YYYYMM")&amp;"-资金",INDEX(资金日记账!$W$4:$W$603,598)))</f>
        <v/>
      </c>
      <c r="D2105" s="107" t="str">
        <f aca="false">IF($E2105="","",INDEX(资金日记账!$D$4:$D$603,598))</f>
        <v/>
      </c>
      <c r="E2105" s="67" t="str">
        <f aca="false">IF(INDEX(资金日记账!$N$4:$S$603,598,4)=0,"",INDEX(资金日记账!$N$4:$S$603,598,4))</f>
        <v/>
      </c>
      <c r="F2105" s="99" t="str">
        <f aca="false">IF($E2105="","",IFERROR(INDEX(科目表!$A$4:$A$81,MATCH($E2105,科目表!$B$4:$B$81,0)),""))</f>
        <v/>
      </c>
      <c r="G2105" s="67" t="str">
        <f aca="false">IF($E2105="","",IFERROR(INDEX(科目表!$E$4:$E$81,MATCH($E2105,科目表!$B$4:$B$81,0)),""))</f>
        <v/>
      </c>
      <c r="H2105" s="70" t="str">
        <f aca="false">IF($E2105="","",N(INDEX(资金日记账!$N$4:$S$603,598,5)))</f>
        <v/>
      </c>
      <c r="I2105" s="70" t="str">
        <f aca="false">IF($E2105="","",N(INDEX(资金日记账!$N$4:$S$603,598,6)))</f>
        <v/>
      </c>
      <c r="J2105" s="67" t="str">
        <f aca="false">IF($E2105="","",INDEX(资金日记账!$E$4:$E$603,598))</f>
        <v/>
      </c>
      <c r="K2105" s="67" t="str">
        <f aca="false">IF($E2105="","",INDEX(资金日记账!$F$4:$F$603,598))</f>
        <v/>
      </c>
      <c r="L2105" s="107" t="str">
        <f aca="false">IF($E2105="","",INDEX(资金日记账!$X$4:$X$603,598))</f>
        <v/>
      </c>
      <c r="M2105" s="107"/>
      <c r="N2105" s="67" t="str">
        <f aca="false">IF($E2105="","",INDEX(资金日记账!$Y$4:$Y$603,598))</f>
        <v/>
      </c>
      <c r="O2105" s="67" t="str">
        <f aca="false">IF($E2105="","","自动B")</f>
        <v/>
      </c>
      <c r="P2105" s="18"/>
    </row>
    <row r="2106" customFormat="false" ht="18" hidden="false" customHeight="true" outlineLevel="0" collapsed="false">
      <c r="A2106" s="107" t="str">
        <f aca="false">IF($E2106="","",ROW()-3)</f>
        <v/>
      </c>
      <c r="B2106" s="110" t="str">
        <f aca="false">IF($E2106="","",INDEX(资金日记账!$B$4:$B$603,599))</f>
        <v/>
      </c>
      <c r="C2106" s="67" t="str">
        <f aca="false">IF($E2106="","",IF(INDEX(资金日记账!$W$4:$W$603,599)="","记-"&amp;TEXT($B2106,"YYYYMM")&amp;"-资金",INDEX(资金日记账!$W$4:$W$603,599)))</f>
        <v/>
      </c>
      <c r="D2106" s="107" t="str">
        <f aca="false">IF($E2106="","",INDEX(资金日记账!$D$4:$D$603,599))</f>
        <v/>
      </c>
      <c r="E2106" s="67" t="str">
        <f aca="false">IF(INDEX(资金日记账!$N$4:$S$603,599,1)=0,"",INDEX(资金日记账!$N$4:$S$603,599,1))</f>
        <v/>
      </c>
      <c r="F2106" s="99" t="str">
        <f aca="false">IF($E2106="","",IFERROR(INDEX(科目表!$A$4:$A$81,MATCH($E2106,科目表!$B$4:$B$81,0)),""))</f>
        <v/>
      </c>
      <c r="G2106" s="67" t="str">
        <f aca="false">IF($E2106="","",IFERROR(INDEX(科目表!$E$4:$E$81,MATCH($E2106,科目表!$B$4:$B$81,0)),""))</f>
        <v/>
      </c>
      <c r="H2106" s="70" t="str">
        <f aca="false">IF($E2106="","",N(INDEX(资金日记账!$N$4:$S$603,599,2)))</f>
        <v/>
      </c>
      <c r="I2106" s="70" t="str">
        <f aca="false">IF($E2106="","",N(INDEX(资金日记账!$N$4:$S$603,599,3)))</f>
        <v/>
      </c>
      <c r="J2106" s="67" t="str">
        <f aca="false">IF($E2106="","",INDEX(资金日记账!$E$4:$E$603,599))</f>
        <v/>
      </c>
      <c r="K2106" s="67" t="str">
        <f aca="false">IF($E2106="","",INDEX(资金日记账!$F$4:$F$603,599))</f>
        <v/>
      </c>
      <c r="L2106" s="107" t="str">
        <f aca="false">IF($E2106="","",INDEX(资金日记账!$X$4:$X$603,599))</f>
        <v/>
      </c>
      <c r="M2106" s="107"/>
      <c r="N2106" s="67" t="str">
        <f aca="false">IF($E2106="","",INDEX(资金日记账!$Y$4:$Y$603,599))</f>
        <v/>
      </c>
      <c r="O2106" s="67" t="str">
        <f aca="false">IF($E2106="","","自动B")</f>
        <v/>
      </c>
      <c r="P2106" s="18"/>
    </row>
    <row r="2107" customFormat="false" ht="18" hidden="false" customHeight="true" outlineLevel="0" collapsed="false">
      <c r="A2107" s="107" t="str">
        <f aca="false">IF($E2107="","",ROW()-3)</f>
        <v/>
      </c>
      <c r="B2107" s="110" t="str">
        <f aca="false">IF($E2107="","",INDEX(资金日记账!$B$4:$B$603,599))</f>
        <v/>
      </c>
      <c r="C2107" s="67" t="str">
        <f aca="false">IF($E2107="","",IF(INDEX(资金日记账!$W$4:$W$603,599)="","记-"&amp;TEXT($B2107,"YYYYMM")&amp;"-资金",INDEX(资金日记账!$W$4:$W$603,599)))</f>
        <v/>
      </c>
      <c r="D2107" s="107" t="str">
        <f aca="false">IF($E2107="","",INDEX(资金日记账!$D$4:$D$603,599))</f>
        <v/>
      </c>
      <c r="E2107" s="67" t="str">
        <f aca="false">IF(INDEX(资金日记账!$N$4:$S$603,599,4)=0,"",INDEX(资金日记账!$N$4:$S$603,599,4))</f>
        <v/>
      </c>
      <c r="F2107" s="99" t="str">
        <f aca="false">IF($E2107="","",IFERROR(INDEX(科目表!$A$4:$A$81,MATCH($E2107,科目表!$B$4:$B$81,0)),""))</f>
        <v/>
      </c>
      <c r="G2107" s="67" t="str">
        <f aca="false">IF($E2107="","",IFERROR(INDEX(科目表!$E$4:$E$81,MATCH($E2107,科目表!$B$4:$B$81,0)),""))</f>
        <v/>
      </c>
      <c r="H2107" s="70" t="str">
        <f aca="false">IF($E2107="","",N(INDEX(资金日记账!$N$4:$S$603,599,5)))</f>
        <v/>
      </c>
      <c r="I2107" s="70" t="str">
        <f aca="false">IF($E2107="","",N(INDEX(资金日记账!$N$4:$S$603,599,6)))</f>
        <v/>
      </c>
      <c r="J2107" s="67" t="str">
        <f aca="false">IF($E2107="","",INDEX(资金日记账!$E$4:$E$603,599))</f>
        <v/>
      </c>
      <c r="K2107" s="67" t="str">
        <f aca="false">IF($E2107="","",INDEX(资金日记账!$F$4:$F$603,599))</f>
        <v/>
      </c>
      <c r="L2107" s="107" t="str">
        <f aca="false">IF($E2107="","",INDEX(资金日记账!$X$4:$X$603,599))</f>
        <v/>
      </c>
      <c r="M2107" s="107"/>
      <c r="N2107" s="67" t="str">
        <f aca="false">IF($E2107="","",INDEX(资金日记账!$Y$4:$Y$603,599))</f>
        <v/>
      </c>
      <c r="O2107" s="67" t="str">
        <f aca="false">IF($E2107="","","自动B")</f>
        <v/>
      </c>
      <c r="P2107" s="18"/>
    </row>
    <row r="2108" customFormat="false" ht="18" hidden="false" customHeight="true" outlineLevel="0" collapsed="false">
      <c r="A2108" s="107" t="str">
        <f aca="false">IF($E2108="","",ROW()-3)</f>
        <v/>
      </c>
      <c r="B2108" s="110" t="str">
        <f aca="false">IF($E2108="","",INDEX(资金日记账!$B$4:$B$603,600))</f>
        <v/>
      </c>
      <c r="C2108" s="67" t="str">
        <f aca="false">IF($E2108="","",IF(INDEX(资金日记账!$W$4:$W$603,600)="","记-"&amp;TEXT($B2108,"YYYYMM")&amp;"-资金",INDEX(资金日记账!$W$4:$W$603,600)))</f>
        <v/>
      </c>
      <c r="D2108" s="107" t="str">
        <f aca="false">IF($E2108="","",INDEX(资金日记账!$D$4:$D$603,600))</f>
        <v/>
      </c>
      <c r="E2108" s="67" t="str">
        <f aca="false">IF(INDEX(资金日记账!$N$4:$S$603,600,1)=0,"",INDEX(资金日记账!$N$4:$S$603,600,1))</f>
        <v/>
      </c>
      <c r="F2108" s="99" t="str">
        <f aca="false">IF($E2108="","",IFERROR(INDEX(科目表!$A$4:$A$81,MATCH($E2108,科目表!$B$4:$B$81,0)),""))</f>
        <v/>
      </c>
      <c r="G2108" s="67" t="str">
        <f aca="false">IF($E2108="","",IFERROR(INDEX(科目表!$E$4:$E$81,MATCH($E2108,科目表!$B$4:$B$81,0)),""))</f>
        <v/>
      </c>
      <c r="H2108" s="70" t="str">
        <f aca="false">IF($E2108="","",N(INDEX(资金日记账!$N$4:$S$603,600,2)))</f>
        <v/>
      </c>
      <c r="I2108" s="70" t="str">
        <f aca="false">IF($E2108="","",N(INDEX(资金日记账!$N$4:$S$603,600,3)))</f>
        <v/>
      </c>
      <c r="J2108" s="67" t="str">
        <f aca="false">IF($E2108="","",INDEX(资金日记账!$E$4:$E$603,600))</f>
        <v/>
      </c>
      <c r="K2108" s="67" t="str">
        <f aca="false">IF($E2108="","",INDEX(资金日记账!$F$4:$F$603,600))</f>
        <v/>
      </c>
      <c r="L2108" s="107" t="str">
        <f aca="false">IF($E2108="","",INDEX(资金日记账!$X$4:$X$603,600))</f>
        <v/>
      </c>
      <c r="M2108" s="107"/>
      <c r="N2108" s="67" t="str">
        <f aca="false">IF($E2108="","",INDEX(资金日记账!$Y$4:$Y$603,600))</f>
        <v/>
      </c>
      <c r="O2108" s="67" t="str">
        <f aca="false">IF($E2108="","","自动B")</f>
        <v/>
      </c>
      <c r="P2108" s="18"/>
    </row>
    <row r="2109" customFormat="false" ht="18" hidden="false" customHeight="true" outlineLevel="0" collapsed="false">
      <c r="A2109" s="107" t="str">
        <f aca="false">IF($E2109="","",ROW()-3)</f>
        <v/>
      </c>
      <c r="B2109" s="110" t="str">
        <f aca="false">IF($E2109="","",INDEX(资金日记账!$B$4:$B$603,600))</f>
        <v/>
      </c>
      <c r="C2109" s="67" t="str">
        <f aca="false">IF($E2109="","",IF(INDEX(资金日记账!$W$4:$W$603,600)="","记-"&amp;TEXT($B2109,"YYYYMM")&amp;"-资金",INDEX(资金日记账!$W$4:$W$603,600)))</f>
        <v/>
      </c>
      <c r="D2109" s="107" t="str">
        <f aca="false">IF($E2109="","",INDEX(资金日记账!$D$4:$D$603,600))</f>
        <v/>
      </c>
      <c r="E2109" s="67" t="str">
        <f aca="false">IF(INDEX(资金日记账!$N$4:$S$603,600,4)=0,"",INDEX(资金日记账!$N$4:$S$603,600,4))</f>
        <v/>
      </c>
      <c r="F2109" s="99" t="str">
        <f aca="false">IF($E2109="","",IFERROR(INDEX(科目表!$A$4:$A$81,MATCH($E2109,科目表!$B$4:$B$81,0)),""))</f>
        <v/>
      </c>
      <c r="G2109" s="67" t="str">
        <f aca="false">IF($E2109="","",IFERROR(INDEX(科目表!$E$4:$E$81,MATCH($E2109,科目表!$B$4:$B$81,0)),""))</f>
        <v/>
      </c>
      <c r="H2109" s="70" t="str">
        <f aca="false">IF($E2109="","",N(INDEX(资金日记账!$N$4:$S$603,600,5)))</f>
        <v/>
      </c>
      <c r="I2109" s="70" t="str">
        <f aca="false">IF($E2109="","",N(INDEX(资金日记账!$N$4:$S$603,600,6)))</f>
        <v/>
      </c>
      <c r="J2109" s="67" t="str">
        <f aca="false">IF($E2109="","",INDEX(资金日记账!$E$4:$E$603,600))</f>
        <v/>
      </c>
      <c r="K2109" s="67" t="str">
        <f aca="false">IF($E2109="","",INDEX(资金日记账!$F$4:$F$603,600))</f>
        <v/>
      </c>
      <c r="L2109" s="107" t="str">
        <f aca="false">IF($E2109="","",INDEX(资金日记账!$X$4:$X$603,600))</f>
        <v/>
      </c>
      <c r="M2109" s="107"/>
      <c r="N2109" s="67" t="str">
        <f aca="false">IF($E2109="","",INDEX(资金日记账!$Y$4:$Y$603,600))</f>
        <v/>
      </c>
      <c r="O2109" s="67" t="str">
        <f aca="false">IF($E2109="","","自动B")</f>
        <v/>
      </c>
      <c r="P2109" s="18"/>
    </row>
    <row r="2110" customFormat="false" ht="18" hidden="false" customHeight="true" outlineLevel="0" collapsed="false">
      <c r="A2110" s="107" t="str">
        <f aca="false">IF($E2110="","",ROW()-3)</f>
        <v/>
      </c>
      <c r="B2110" s="110" t="str">
        <f aca="false">IF($E2110="","",INDEX(成本费用登记表!$B$4:$B$303,1))</f>
        <v/>
      </c>
      <c r="C2110" s="67" t="str">
        <f aca="false">IF($E2110="","","记-"&amp;TEXT($B2110,"YYYYMM")&amp;"-费用")</f>
        <v/>
      </c>
      <c r="D2110" s="107" t="str">
        <f aca="false">IF($E2110="","",INDEX(成本费用登记表!$E$4:$E$303,1))</f>
        <v/>
      </c>
      <c r="E2110" s="67" t="str">
        <f aca="false">IF(INDEX(成本费用登记表!$Q$4:$Y$303,1,1)=0,"",INDEX(成本费用登记表!$Q$4:$Y$303,1,1))</f>
        <v/>
      </c>
      <c r="F2110" s="99" t="str">
        <f aca="false">IF($E2110="","",IFERROR(INDEX(科目表!$A$4:$A$81,MATCH($E2110,科目表!$B$4:$B$81,0)),""))</f>
        <v/>
      </c>
      <c r="G2110" s="67" t="str">
        <f aca="false">IF($E2110="","",IFERROR(INDEX(科目表!$E$4:$E$81,MATCH($E2110,科目表!$B$4:$B$81,0)),""))</f>
        <v/>
      </c>
      <c r="H2110" s="70" t="str">
        <f aca="false">IF($E2110="","",N(INDEX(成本费用登记表!$Q$4:$Y$303,1,2)))</f>
        <v/>
      </c>
      <c r="I2110" s="70" t="str">
        <f aca="false">IF($E2110="","",N(INDEX(成本费用登记表!$Q$4:$Y$303,1,3)))</f>
        <v/>
      </c>
      <c r="J2110" s="67" t="str">
        <f aca="false">IF($E2110="","",INDEX(成本费用登记表!$C$4:$C$303,1))</f>
        <v/>
      </c>
      <c r="K2110" s="67" t="str">
        <f aca="false">IF($E2110="","",INDEX(成本费用登记表!$D$4:$D$303,1))</f>
        <v/>
      </c>
      <c r="L2110" s="107" t="str">
        <f aca="false">IF($E2110="","",INDEX(成本费用登记表!$N$4:$N$303,1))</f>
        <v/>
      </c>
      <c r="M2110" s="107"/>
      <c r="N2110" s="67" t="str">
        <f aca="false">IF($E2110="","","系统")</f>
        <v/>
      </c>
      <c r="O2110" s="67" t="str">
        <f aca="false">IF($E2110="","","自动C")</f>
        <v/>
      </c>
      <c r="P2110" s="18"/>
    </row>
    <row r="2111" customFormat="false" ht="18" hidden="false" customHeight="true" outlineLevel="0" collapsed="false">
      <c r="A2111" s="107" t="str">
        <f aca="false">IF($E2111="","",ROW()-3)</f>
        <v/>
      </c>
      <c r="B2111" s="110" t="str">
        <f aca="false">IF($E2111="","",INDEX(成本费用登记表!$B$4:$B$303,1))</f>
        <v/>
      </c>
      <c r="C2111" s="67" t="str">
        <f aca="false">IF($E2111="","","记-"&amp;TEXT($B2111,"YYYYMM")&amp;"-费用")</f>
        <v/>
      </c>
      <c r="D2111" s="107" t="str">
        <f aca="false">IF($E2111="","",INDEX(成本费用登记表!$E$4:$E$303,1))</f>
        <v/>
      </c>
      <c r="E2111" s="67" t="str">
        <f aca="false">IF(INDEX(成本费用登记表!$Q$4:$Y$303,1,4)=0,"",INDEX(成本费用登记表!$Q$4:$Y$303,1,4))</f>
        <v/>
      </c>
      <c r="F2111" s="99" t="str">
        <f aca="false">IF($E2111="","",IFERROR(INDEX(科目表!$A$4:$A$81,MATCH($E2111,科目表!$B$4:$B$81,0)),""))</f>
        <v/>
      </c>
      <c r="G2111" s="67" t="str">
        <f aca="false">IF($E2111="","",IFERROR(INDEX(科目表!$E$4:$E$81,MATCH($E2111,科目表!$B$4:$B$81,0)),""))</f>
        <v/>
      </c>
      <c r="H2111" s="70" t="str">
        <f aca="false">IF($E2111="","",N(INDEX(成本费用登记表!$Q$4:$Y$303,1,5)))</f>
        <v/>
      </c>
      <c r="I2111" s="70" t="str">
        <f aca="false">IF($E2111="","",N(INDEX(成本费用登记表!$Q$4:$Y$303,1,6)))</f>
        <v/>
      </c>
      <c r="J2111" s="67" t="str">
        <f aca="false">IF($E2111="","",INDEX(成本费用登记表!$C$4:$C$303,1))</f>
        <v/>
      </c>
      <c r="K2111" s="67" t="str">
        <f aca="false">IF($E2111="","",INDEX(成本费用登记表!$D$4:$D$303,1))</f>
        <v/>
      </c>
      <c r="L2111" s="107" t="str">
        <f aca="false">IF($E2111="","",INDEX(成本费用登记表!$N$4:$N$303,1))</f>
        <v/>
      </c>
      <c r="M2111" s="107"/>
      <c r="N2111" s="67" t="str">
        <f aca="false">IF($E2111="","","系统")</f>
        <v/>
      </c>
      <c r="O2111" s="67" t="str">
        <f aca="false">IF($E2111="","","自动C")</f>
        <v/>
      </c>
      <c r="P2111" s="18"/>
    </row>
    <row r="2112" customFormat="false" ht="18" hidden="false" customHeight="true" outlineLevel="0" collapsed="false">
      <c r="A2112" s="107" t="str">
        <f aca="false">IF($E2112="","",ROW()-3)</f>
        <v/>
      </c>
      <c r="B2112" s="110" t="str">
        <f aca="false">IF($E2112="","",INDEX(成本费用登记表!$B$4:$B$303,1))</f>
        <v/>
      </c>
      <c r="C2112" s="67" t="str">
        <f aca="false">IF($E2112="","","记-"&amp;TEXT($B2112,"YYYYMM")&amp;"-费用")</f>
        <v/>
      </c>
      <c r="D2112" s="107" t="str">
        <f aca="false">IF($E2112="","",INDEX(成本费用登记表!$E$4:$E$303,1))</f>
        <v/>
      </c>
      <c r="E2112" s="67" t="str">
        <f aca="false">IF(INDEX(成本费用登记表!$Q$4:$Y$303,1,7)=0,"",INDEX(成本费用登记表!$Q$4:$Y$303,1,7))</f>
        <v/>
      </c>
      <c r="F2112" s="99" t="str">
        <f aca="false">IF($E2112="","",IFERROR(INDEX(科目表!$A$4:$A$81,MATCH($E2112,科目表!$B$4:$B$81,0)),""))</f>
        <v/>
      </c>
      <c r="G2112" s="67" t="str">
        <f aca="false">IF($E2112="","",IFERROR(INDEX(科目表!$E$4:$E$81,MATCH($E2112,科目表!$B$4:$B$81,0)),""))</f>
        <v/>
      </c>
      <c r="H2112" s="70" t="str">
        <f aca="false">IF($E2112="","",N(INDEX(成本费用登记表!$Q$4:$Y$303,1,8)))</f>
        <v/>
      </c>
      <c r="I2112" s="70" t="str">
        <f aca="false">IF($E2112="","",N(INDEX(成本费用登记表!$Q$4:$Y$303,1,9)))</f>
        <v/>
      </c>
      <c r="J2112" s="67" t="str">
        <f aca="false">IF($E2112="","",INDEX(成本费用登记表!$C$4:$C$303,1))</f>
        <v/>
      </c>
      <c r="K2112" s="67" t="str">
        <f aca="false">IF($E2112="","",INDEX(成本费用登记表!$D$4:$D$303,1))</f>
        <v/>
      </c>
      <c r="L2112" s="107" t="str">
        <f aca="false">IF($E2112="","",INDEX(成本费用登记表!$N$4:$N$303,1))</f>
        <v/>
      </c>
      <c r="M2112" s="107"/>
      <c r="N2112" s="67" t="str">
        <f aca="false">IF($E2112="","","系统")</f>
        <v/>
      </c>
      <c r="O2112" s="67" t="str">
        <f aca="false">IF($E2112="","","自动C")</f>
        <v/>
      </c>
      <c r="P2112" s="18"/>
    </row>
    <row r="2113" customFormat="false" ht="18" hidden="false" customHeight="true" outlineLevel="0" collapsed="false">
      <c r="A2113" s="107" t="str">
        <f aca="false">IF($E2113="","",ROW()-3)</f>
        <v/>
      </c>
      <c r="B2113" s="110" t="str">
        <f aca="false">IF($E2113="","",INDEX(成本费用登记表!$B$4:$B$303,2))</f>
        <v/>
      </c>
      <c r="C2113" s="67" t="str">
        <f aca="false">IF($E2113="","","记-"&amp;TEXT($B2113,"YYYYMM")&amp;"-费用")</f>
        <v/>
      </c>
      <c r="D2113" s="107" t="str">
        <f aca="false">IF($E2113="","",INDEX(成本费用登记表!$E$4:$E$303,2))</f>
        <v/>
      </c>
      <c r="E2113" s="67" t="str">
        <f aca="false">IF(INDEX(成本费用登记表!$Q$4:$Y$303,2,1)=0,"",INDEX(成本费用登记表!$Q$4:$Y$303,2,1))</f>
        <v/>
      </c>
      <c r="F2113" s="99" t="str">
        <f aca="false">IF($E2113="","",IFERROR(INDEX(科目表!$A$4:$A$81,MATCH($E2113,科目表!$B$4:$B$81,0)),""))</f>
        <v/>
      </c>
      <c r="G2113" s="67" t="str">
        <f aca="false">IF($E2113="","",IFERROR(INDEX(科目表!$E$4:$E$81,MATCH($E2113,科目表!$B$4:$B$81,0)),""))</f>
        <v/>
      </c>
      <c r="H2113" s="70" t="str">
        <f aca="false">IF($E2113="","",N(INDEX(成本费用登记表!$Q$4:$Y$303,2,2)))</f>
        <v/>
      </c>
      <c r="I2113" s="70" t="str">
        <f aca="false">IF($E2113="","",N(INDEX(成本费用登记表!$Q$4:$Y$303,2,3)))</f>
        <v/>
      </c>
      <c r="J2113" s="67" t="str">
        <f aca="false">IF($E2113="","",INDEX(成本费用登记表!$C$4:$C$303,2))</f>
        <v/>
      </c>
      <c r="K2113" s="67" t="str">
        <f aca="false">IF($E2113="","",INDEX(成本费用登记表!$D$4:$D$303,2))</f>
        <v/>
      </c>
      <c r="L2113" s="107" t="str">
        <f aca="false">IF($E2113="","",INDEX(成本费用登记表!$N$4:$N$303,2))</f>
        <v/>
      </c>
      <c r="M2113" s="107"/>
      <c r="N2113" s="67" t="str">
        <f aca="false">IF($E2113="","","系统")</f>
        <v/>
      </c>
      <c r="O2113" s="67" t="str">
        <f aca="false">IF($E2113="","","自动C")</f>
        <v/>
      </c>
      <c r="P2113" s="18"/>
    </row>
    <row r="2114" customFormat="false" ht="18" hidden="false" customHeight="true" outlineLevel="0" collapsed="false">
      <c r="A2114" s="107" t="str">
        <f aca="false">IF($E2114="","",ROW()-3)</f>
        <v/>
      </c>
      <c r="B2114" s="110" t="str">
        <f aca="false">IF($E2114="","",INDEX(成本费用登记表!$B$4:$B$303,2))</f>
        <v/>
      </c>
      <c r="C2114" s="67" t="str">
        <f aca="false">IF($E2114="","","记-"&amp;TEXT($B2114,"YYYYMM")&amp;"-费用")</f>
        <v/>
      </c>
      <c r="D2114" s="107" t="str">
        <f aca="false">IF($E2114="","",INDEX(成本费用登记表!$E$4:$E$303,2))</f>
        <v/>
      </c>
      <c r="E2114" s="67" t="str">
        <f aca="false">IF(INDEX(成本费用登记表!$Q$4:$Y$303,2,4)=0,"",INDEX(成本费用登记表!$Q$4:$Y$303,2,4))</f>
        <v/>
      </c>
      <c r="F2114" s="99" t="str">
        <f aca="false">IF($E2114="","",IFERROR(INDEX(科目表!$A$4:$A$81,MATCH($E2114,科目表!$B$4:$B$81,0)),""))</f>
        <v/>
      </c>
      <c r="G2114" s="67" t="str">
        <f aca="false">IF($E2114="","",IFERROR(INDEX(科目表!$E$4:$E$81,MATCH($E2114,科目表!$B$4:$B$81,0)),""))</f>
        <v/>
      </c>
      <c r="H2114" s="70" t="str">
        <f aca="false">IF($E2114="","",N(INDEX(成本费用登记表!$Q$4:$Y$303,2,5)))</f>
        <v/>
      </c>
      <c r="I2114" s="70" t="str">
        <f aca="false">IF($E2114="","",N(INDEX(成本费用登记表!$Q$4:$Y$303,2,6)))</f>
        <v/>
      </c>
      <c r="J2114" s="67" t="str">
        <f aca="false">IF($E2114="","",INDEX(成本费用登记表!$C$4:$C$303,2))</f>
        <v/>
      </c>
      <c r="K2114" s="67" t="str">
        <f aca="false">IF($E2114="","",INDEX(成本费用登记表!$D$4:$D$303,2))</f>
        <v/>
      </c>
      <c r="L2114" s="107" t="str">
        <f aca="false">IF($E2114="","",INDEX(成本费用登记表!$N$4:$N$303,2))</f>
        <v/>
      </c>
      <c r="M2114" s="107"/>
      <c r="N2114" s="67" t="str">
        <f aca="false">IF($E2114="","","系统")</f>
        <v/>
      </c>
      <c r="O2114" s="67" t="str">
        <f aca="false">IF($E2114="","","自动C")</f>
        <v/>
      </c>
      <c r="P2114" s="18"/>
    </row>
    <row r="2115" customFormat="false" ht="18" hidden="false" customHeight="true" outlineLevel="0" collapsed="false">
      <c r="A2115" s="107" t="str">
        <f aca="false">IF($E2115="","",ROW()-3)</f>
        <v/>
      </c>
      <c r="B2115" s="110" t="str">
        <f aca="false">IF($E2115="","",INDEX(成本费用登记表!$B$4:$B$303,2))</f>
        <v/>
      </c>
      <c r="C2115" s="67" t="str">
        <f aca="false">IF($E2115="","","记-"&amp;TEXT($B2115,"YYYYMM")&amp;"-费用")</f>
        <v/>
      </c>
      <c r="D2115" s="107" t="str">
        <f aca="false">IF($E2115="","",INDEX(成本费用登记表!$E$4:$E$303,2))</f>
        <v/>
      </c>
      <c r="E2115" s="67" t="str">
        <f aca="false">IF(INDEX(成本费用登记表!$Q$4:$Y$303,2,7)=0,"",INDEX(成本费用登记表!$Q$4:$Y$303,2,7))</f>
        <v/>
      </c>
      <c r="F2115" s="99" t="str">
        <f aca="false">IF($E2115="","",IFERROR(INDEX(科目表!$A$4:$A$81,MATCH($E2115,科目表!$B$4:$B$81,0)),""))</f>
        <v/>
      </c>
      <c r="G2115" s="67" t="str">
        <f aca="false">IF($E2115="","",IFERROR(INDEX(科目表!$E$4:$E$81,MATCH($E2115,科目表!$B$4:$B$81,0)),""))</f>
        <v/>
      </c>
      <c r="H2115" s="70" t="str">
        <f aca="false">IF($E2115="","",N(INDEX(成本费用登记表!$Q$4:$Y$303,2,8)))</f>
        <v/>
      </c>
      <c r="I2115" s="70" t="str">
        <f aca="false">IF($E2115="","",N(INDEX(成本费用登记表!$Q$4:$Y$303,2,9)))</f>
        <v/>
      </c>
      <c r="J2115" s="67" t="str">
        <f aca="false">IF($E2115="","",INDEX(成本费用登记表!$C$4:$C$303,2))</f>
        <v/>
      </c>
      <c r="K2115" s="67" t="str">
        <f aca="false">IF($E2115="","",INDEX(成本费用登记表!$D$4:$D$303,2))</f>
        <v/>
      </c>
      <c r="L2115" s="107" t="str">
        <f aca="false">IF($E2115="","",INDEX(成本费用登记表!$N$4:$N$303,2))</f>
        <v/>
      </c>
      <c r="M2115" s="107"/>
      <c r="N2115" s="67" t="str">
        <f aca="false">IF($E2115="","","系统")</f>
        <v/>
      </c>
      <c r="O2115" s="67" t="str">
        <f aca="false">IF($E2115="","","自动C")</f>
        <v/>
      </c>
      <c r="P2115" s="18"/>
    </row>
    <row r="2116" customFormat="false" ht="18" hidden="false" customHeight="true" outlineLevel="0" collapsed="false">
      <c r="A2116" s="107" t="str">
        <f aca="false">IF($E2116="","",ROW()-3)</f>
        <v/>
      </c>
      <c r="B2116" s="110" t="str">
        <f aca="false">IF($E2116="","",INDEX(成本费用登记表!$B$4:$B$303,3))</f>
        <v/>
      </c>
      <c r="C2116" s="67" t="str">
        <f aca="false">IF($E2116="","","记-"&amp;TEXT($B2116,"YYYYMM")&amp;"-费用")</f>
        <v/>
      </c>
      <c r="D2116" s="107" t="str">
        <f aca="false">IF($E2116="","",INDEX(成本费用登记表!$E$4:$E$303,3))</f>
        <v/>
      </c>
      <c r="E2116" s="67" t="str">
        <f aca="false">IF(INDEX(成本费用登记表!$Q$4:$Y$303,3,1)=0,"",INDEX(成本费用登记表!$Q$4:$Y$303,3,1))</f>
        <v/>
      </c>
      <c r="F2116" s="99" t="str">
        <f aca="false">IF($E2116="","",IFERROR(INDEX(科目表!$A$4:$A$81,MATCH($E2116,科目表!$B$4:$B$81,0)),""))</f>
        <v/>
      </c>
      <c r="G2116" s="67" t="str">
        <f aca="false">IF($E2116="","",IFERROR(INDEX(科目表!$E$4:$E$81,MATCH($E2116,科目表!$B$4:$B$81,0)),""))</f>
        <v/>
      </c>
      <c r="H2116" s="70" t="str">
        <f aca="false">IF($E2116="","",N(INDEX(成本费用登记表!$Q$4:$Y$303,3,2)))</f>
        <v/>
      </c>
      <c r="I2116" s="70" t="str">
        <f aca="false">IF($E2116="","",N(INDEX(成本费用登记表!$Q$4:$Y$303,3,3)))</f>
        <v/>
      </c>
      <c r="J2116" s="67" t="str">
        <f aca="false">IF($E2116="","",INDEX(成本费用登记表!$C$4:$C$303,3))</f>
        <v/>
      </c>
      <c r="K2116" s="67" t="str">
        <f aca="false">IF($E2116="","",INDEX(成本费用登记表!$D$4:$D$303,3))</f>
        <v/>
      </c>
      <c r="L2116" s="107" t="str">
        <f aca="false">IF($E2116="","",INDEX(成本费用登记表!$N$4:$N$303,3))</f>
        <v/>
      </c>
      <c r="M2116" s="107"/>
      <c r="N2116" s="67" t="str">
        <f aca="false">IF($E2116="","","系统")</f>
        <v/>
      </c>
      <c r="O2116" s="67" t="str">
        <f aca="false">IF($E2116="","","自动C")</f>
        <v/>
      </c>
      <c r="P2116" s="18"/>
    </row>
    <row r="2117" customFormat="false" ht="18" hidden="false" customHeight="true" outlineLevel="0" collapsed="false">
      <c r="A2117" s="107" t="str">
        <f aca="false">IF($E2117="","",ROW()-3)</f>
        <v/>
      </c>
      <c r="B2117" s="110" t="str">
        <f aca="false">IF($E2117="","",INDEX(成本费用登记表!$B$4:$B$303,3))</f>
        <v/>
      </c>
      <c r="C2117" s="67" t="str">
        <f aca="false">IF($E2117="","","记-"&amp;TEXT($B2117,"YYYYMM")&amp;"-费用")</f>
        <v/>
      </c>
      <c r="D2117" s="107" t="str">
        <f aca="false">IF($E2117="","",INDEX(成本费用登记表!$E$4:$E$303,3))</f>
        <v/>
      </c>
      <c r="E2117" s="67" t="str">
        <f aca="false">IF(INDEX(成本费用登记表!$Q$4:$Y$303,3,4)=0,"",INDEX(成本费用登记表!$Q$4:$Y$303,3,4))</f>
        <v/>
      </c>
      <c r="F2117" s="99" t="str">
        <f aca="false">IF($E2117="","",IFERROR(INDEX(科目表!$A$4:$A$81,MATCH($E2117,科目表!$B$4:$B$81,0)),""))</f>
        <v/>
      </c>
      <c r="G2117" s="67" t="str">
        <f aca="false">IF($E2117="","",IFERROR(INDEX(科目表!$E$4:$E$81,MATCH($E2117,科目表!$B$4:$B$81,0)),""))</f>
        <v/>
      </c>
      <c r="H2117" s="70" t="str">
        <f aca="false">IF($E2117="","",N(INDEX(成本费用登记表!$Q$4:$Y$303,3,5)))</f>
        <v/>
      </c>
      <c r="I2117" s="70" t="str">
        <f aca="false">IF($E2117="","",N(INDEX(成本费用登记表!$Q$4:$Y$303,3,6)))</f>
        <v/>
      </c>
      <c r="J2117" s="67" t="str">
        <f aca="false">IF($E2117="","",INDEX(成本费用登记表!$C$4:$C$303,3))</f>
        <v/>
      </c>
      <c r="K2117" s="67" t="str">
        <f aca="false">IF($E2117="","",INDEX(成本费用登记表!$D$4:$D$303,3))</f>
        <v/>
      </c>
      <c r="L2117" s="107" t="str">
        <f aca="false">IF($E2117="","",INDEX(成本费用登记表!$N$4:$N$303,3))</f>
        <v/>
      </c>
      <c r="M2117" s="107"/>
      <c r="N2117" s="67" t="str">
        <f aca="false">IF($E2117="","","系统")</f>
        <v/>
      </c>
      <c r="O2117" s="67" t="str">
        <f aca="false">IF($E2117="","","自动C")</f>
        <v/>
      </c>
      <c r="P2117" s="18"/>
    </row>
    <row r="2118" customFormat="false" ht="18" hidden="false" customHeight="true" outlineLevel="0" collapsed="false">
      <c r="A2118" s="107" t="str">
        <f aca="false">IF($E2118="","",ROW()-3)</f>
        <v/>
      </c>
      <c r="B2118" s="110" t="str">
        <f aca="false">IF($E2118="","",INDEX(成本费用登记表!$B$4:$B$303,3))</f>
        <v/>
      </c>
      <c r="C2118" s="67" t="str">
        <f aca="false">IF($E2118="","","记-"&amp;TEXT($B2118,"YYYYMM")&amp;"-费用")</f>
        <v/>
      </c>
      <c r="D2118" s="107" t="str">
        <f aca="false">IF($E2118="","",INDEX(成本费用登记表!$E$4:$E$303,3))</f>
        <v/>
      </c>
      <c r="E2118" s="67" t="str">
        <f aca="false">IF(INDEX(成本费用登记表!$Q$4:$Y$303,3,7)=0,"",INDEX(成本费用登记表!$Q$4:$Y$303,3,7))</f>
        <v/>
      </c>
      <c r="F2118" s="99" t="str">
        <f aca="false">IF($E2118="","",IFERROR(INDEX(科目表!$A$4:$A$81,MATCH($E2118,科目表!$B$4:$B$81,0)),""))</f>
        <v/>
      </c>
      <c r="G2118" s="67" t="str">
        <f aca="false">IF($E2118="","",IFERROR(INDEX(科目表!$E$4:$E$81,MATCH($E2118,科目表!$B$4:$B$81,0)),""))</f>
        <v/>
      </c>
      <c r="H2118" s="70" t="str">
        <f aca="false">IF($E2118="","",N(INDEX(成本费用登记表!$Q$4:$Y$303,3,8)))</f>
        <v/>
      </c>
      <c r="I2118" s="70" t="str">
        <f aca="false">IF($E2118="","",N(INDEX(成本费用登记表!$Q$4:$Y$303,3,9)))</f>
        <v/>
      </c>
      <c r="J2118" s="67" t="str">
        <f aca="false">IF($E2118="","",INDEX(成本费用登记表!$C$4:$C$303,3))</f>
        <v/>
      </c>
      <c r="K2118" s="67" t="str">
        <f aca="false">IF($E2118="","",INDEX(成本费用登记表!$D$4:$D$303,3))</f>
        <v/>
      </c>
      <c r="L2118" s="107" t="str">
        <f aca="false">IF($E2118="","",INDEX(成本费用登记表!$N$4:$N$303,3))</f>
        <v/>
      </c>
      <c r="M2118" s="107"/>
      <c r="N2118" s="67" t="str">
        <f aca="false">IF($E2118="","","系统")</f>
        <v/>
      </c>
      <c r="O2118" s="67" t="str">
        <f aca="false">IF($E2118="","","自动C")</f>
        <v/>
      </c>
      <c r="P2118" s="18"/>
    </row>
    <row r="2119" customFormat="false" ht="18" hidden="false" customHeight="true" outlineLevel="0" collapsed="false">
      <c r="A2119" s="107" t="str">
        <f aca="false">IF($E2119="","",ROW()-3)</f>
        <v/>
      </c>
      <c r="B2119" s="110" t="str">
        <f aca="false">IF($E2119="","",INDEX(成本费用登记表!$B$4:$B$303,4))</f>
        <v/>
      </c>
      <c r="C2119" s="67" t="str">
        <f aca="false">IF($E2119="","","记-"&amp;TEXT($B2119,"YYYYMM")&amp;"-费用")</f>
        <v/>
      </c>
      <c r="D2119" s="107" t="str">
        <f aca="false">IF($E2119="","",INDEX(成本费用登记表!$E$4:$E$303,4))</f>
        <v/>
      </c>
      <c r="E2119" s="67" t="str">
        <f aca="false">IF(INDEX(成本费用登记表!$Q$4:$Y$303,4,1)=0,"",INDEX(成本费用登记表!$Q$4:$Y$303,4,1))</f>
        <v/>
      </c>
      <c r="F2119" s="99" t="str">
        <f aca="false">IF($E2119="","",IFERROR(INDEX(科目表!$A$4:$A$81,MATCH($E2119,科目表!$B$4:$B$81,0)),""))</f>
        <v/>
      </c>
      <c r="G2119" s="67" t="str">
        <f aca="false">IF($E2119="","",IFERROR(INDEX(科目表!$E$4:$E$81,MATCH($E2119,科目表!$B$4:$B$81,0)),""))</f>
        <v/>
      </c>
      <c r="H2119" s="70" t="str">
        <f aca="false">IF($E2119="","",N(INDEX(成本费用登记表!$Q$4:$Y$303,4,2)))</f>
        <v/>
      </c>
      <c r="I2119" s="70" t="str">
        <f aca="false">IF($E2119="","",N(INDEX(成本费用登记表!$Q$4:$Y$303,4,3)))</f>
        <v/>
      </c>
      <c r="J2119" s="67" t="str">
        <f aca="false">IF($E2119="","",INDEX(成本费用登记表!$C$4:$C$303,4))</f>
        <v/>
      </c>
      <c r="K2119" s="67" t="str">
        <f aca="false">IF($E2119="","",INDEX(成本费用登记表!$D$4:$D$303,4))</f>
        <v/>
      </c>
      <c r="L2119" s="107" t="str">
        <f aca="false">IF($E2119="","",INDEX(成本费用登记表!$N$4:$N$303,4))</f>
        <v/>
      </c>
      <c r="M2119" s="107"/>
      <c r="N2119" s="67" t="str">
        <f aca="false">IF($E2119="","","系统")</f>
        <v/>
      </c>
      <c r="O2119" s="67" t="str">
        <f aca="false">IF($E2119="","","自动C")</f>
        <v/>
      </c>
      <c r="P2119" s="18"/>
    </row>
    <row r="2120" customFormat="false" ht="18" hidden="false" customHeight="true" outlineLevel="0" collapsed="false">
      <c r="A2120" s="107" t="str">
        <f aca="false">IF($E2120="","",ROW()-3)</f>
        <v/>
      </c>
      <c r="B2120" s="110" t="str">
        <f aca="false">IF($E2120="","",INDEX(成本费用登记表!$B$4:$B$303,4))</f>
        <v/>
      </c>
      <c r="C2120" s="67" t="str">
        <f aca="false">IF($E2120="","","记-"&amp;TEXT($B2120,"YYYYMM")&amp;"-费用")</f>
        <v/>
      </c>
      <c r="D2120" s="107" t="str">
        <f aca="false">IF($E2120="","",INDEX(成本费用登记表!$E$4:$E$303,4))</f>
        <v/>
      </c>
      <c r="E2120" s="67" t="str">
        <f aca="false">IF(INDEX(成本费用登记表!$Q$4:$Y$303,4,4)=0,"",INDEX(成本费用登记表!$Q$4:$Y$303,4,4))</f>
        <v/>
      </c>
      <c r="F2120" s="99" t="str">
        <f aca="false">IF($E2120="","",IFERROR(INDEX(科目表!$A$4:$A$81,MATCH($E2120,科目表!$B$4:$B$81,0)),""))</f>
        <v/>
      </c>
      <c r="G2120" s="67" t="str">
        <f aca="false">IF($E2120="","",IFERROR(INDEX(科目表!$E$4:$E$81,MATCH($E2120,科目表!$B$4:$B$81,0)),""))</f>
        <v/>
      </c>
      <c r="H2120" s="70" t="str">
        <f aca="false">IF($E2120="","",N(INDEX(成本费用登记表!$Q$4:$Y$303,4,5)))</f>
        <v/>
      </c>
      <c r="I2120" s="70" t="str">
        <f aca="false">IF($E2120="","",N(INDEX(成本费用登记表!$Q$4:$Y$303,4,6)))</f>
        <v/>
      </c>
      <c r="J2120" s="67" t="str">
        <f aca="false">IF($E2120="","",INDEX(成本费用登记表!$C$4:$C$303,4))</f>
        <v/>
      </c>
      <c r="K2120" s="67" t="str">
        <f aca="false">IF($E2120="","",INDEX(成本费用登记表!$D$4:$D$303,4))</f>
        <v/>
      </c>
      <c r="L2120" s="107" t="str">
        <f aca="false">IF($E2120="","",INDEX(成本费用登记表!$N$4:$N$303,4))</f>
        <v/>
      </c>
      <c r="M2120" s="107"/>
      <c r="N2120" s="67" t="str">
        <f aca="false">IF($E2120="","","系统")</f>
        <v/>
      </c>
      <c r="O2120" s="67" t="str">
        <f aca="false">IF($E2120="","","自动C")</f>
        <v/>
      </c>
      <c r="P2120" s="18"/>
    </row>
    <row r="2121" customFormat="false" ht="18" hidden="false" customHeight="true" outlineLevel="0" collapsed="false">
      <c r="A2121" s="107" t="str">
        <f aca="false">IF($E2121="","",ROW()-3)</f>
        <v/>
      </c>
      <c r="B2121" s="110" t="str">
        <f aca="false">IF($E2121="","",INDEX(成本费用登记表!$B$4:$B$303,4))</f>
        <v/>
      </c>
      <c r="C2121" s="67" t="str">
        <f aca="false">IF($E2121="","","记-"&amp;TEXT($B2121,"YYYYMM")&amp;"-费用")</f>
        <v/>
      </c>
      <c r="D2121" s="107" t="str">
        <f aca="false">IF($E2121="","",INDEX(成本费用登记表!$E$4:$E$303,4))</f>
        <v/>
      </c>
      <c r="E2121" s="67" t="str">
        <f aca="false">IF(INDEX(成本费用登记表!$Q$4:$Y$303,4,7)=0,"",INDEX(成本费用登记表!$Q$4:$Y$303,4,7))</f>
        <v/>
      </c>
      <c r="F2121" s="99" t="str">
        <f aca="false">IF($E2121="","",IFERROR(INDEX(科目表!$A$4:$A$81,MATCH($E2121,科目表!$B$4:$B$81,0)),""))</f>
        <v/>
      </c>
      <c r="G2121" s="67" t="str">
        <f aca="false">IF($E2121="","",IFERROR(INDEX(科目表!$E$4:$E$81,MATCH($E2121,科目表!$B$4:$B$81,0)),""))</f>
        <v/>
      </c>
      <c r="H2121" s="70" t="str">
        <f aca="false">IF($E2121="","",N(INDEX(成本费用登记表!$Q$4:$Y$303,4,8)))</f>
        <v/>
      </c>
      <c r="I2121" s="70" t="str">
        <f aca="false">IF($E2121="","",N(INDEX(成本费用登记表!$Q$4:$Y$303,4,9)))</f>
        <v/>
      </c>
      <c r="J2121" s="67" t="str">
        <f aca="false">IF($E2121="","",INDEX(成本费用登记表!$C$4:$C$303,4))</f>
        <v/>
      </c>
      <c r="K2121" s="67" t="str">
        <f aca="false">IF($E2121="","",INDEX(成本费用登记表!$D$4:$D$303,4))</f>
        <v/>
      </c>
      <c r="L2121" s="107" t="str">
        <f aca="false">IF($E2121="","",INDEX(成本费用登记表!$N$4:$N$303,4))</f>
        <v/>
      </c>
      <c r="M2121" s="107"/>
      <c r="N2121" s="67" t="str">
        <f aca="false">IF($E2121="","","系统")</f>
        <v/>
      </c>
      <c r="O2121" s="67" t="str">
        <f aca="false">IF($E2121="","","自动C")</f>
        <v/>
      </c>
      <c r="P2121" s="18"/>
    </row>
    <row r="2122" customFormat="false" ht="18" hidden="false" customHeight="true" outlineLevel="0" collapsed="false">
      <c r="A2122" s="107" t="str">
        <f aca="false">IF($E2122="","",ROW()-3)</f>
        <v/>
      </c>
      <c r="B2122" s="110" t="str">
        <f aca="false">IF($E2122="","",INDEX(成本费用登记表!$B$4:$B$303,5))</f>
        <v/>
      </c>
      <c r="C2122" s="67" t="str">
        <f aca="false">IF($E2122="","","记-"&amp;TEXT($B2122,"YYYYMM")&amp;"-费用")</f>
        <v/>
      </c>
      <c r="D2122" s="107" t="str">
        <f aca="false">IF($E2122="","",INDEX(成本费用登记表!$E$4:$E$303,5))</f>
        <v/>
      </c>
      <c r="E2122" s="67" t="str">
        <f aca="false">IF(INDEX(成本费用登记表!$Q$4:$Y$303,5,1)=0,"",INDEX(成本费用登记表!$Q$4:$Y$303,5,1))</f>
        <v/>
      </c>
      <c r="F2122" s="99" t="str">
        <f aca="false">IF($E2122="","",IFERROR(INDEX(科目表!$A$4:$A$81,MATCH($E2122,科目表!$B$4:$B$81,0)),""))</f>
        <v/>
      </c>
      <c r="G2122" s="67" t="str">
        <f aca="false">IF($E2122="","",IFERROR(INDEX(科目表!$E$4:$E$81,MATCH($E2122,科目表!$B$4:$B$81,0)),""))</f>
        <v/>
      </c>
      <c r="H2122" s="70" t="str">
        <f aca="false">IF($E2122="","",N(INDEX(成本费用登记表!$Q$4:$Y$303,5,2)))</f>
        <v/>
      </c>
      <c r="I2122" s="70" t="str">
        <f aca="false">IF($E2122="","",N(INDEX(成本费用登记表!$Q$4:$Y$303,5,3)))</f>
        <v/>
      </c>
      <c r="J2122" s="67" t="str">
        <f aca="false">IF($E2122="","",INDEX(成本费用登记表!$C$4:$C$303,5))</f>
        <v/>
      </c>
      <c r="K2122" s="67" t="str">
        <f aca="false">IF($E2122="","",INDEX(成本费用登记表!$D$4:$D$303,5))</f>
        <v/>
      </c>
      <c r="L2122" s="107" t="str">
        <f aca="false">IF($E2122="","",INDEX(成本费用登记表!$N$4:$N$303,5))</f>
        <v/>
      </c>
      <c r="M2122" s="107"/>
      <c r="N2122" s="67" t="str">
        <f aca="false">IF($E2122="","","系统")</f>
        <v/>
      </c>
      <c r="O2122" s="67" t="str">
        <f aca="false">IF($E2122="","","自动C")</f>
        <v/>
      </c>
      <c r="P2122" s="18"/>
    </row>
    <row r="2123" customFormat="false" ht="18" hidden="false" customHeight="true" outlineLevel="0" collapsed="false">
      <c r="A2123" s="107" t="str">
        <f aca="false">IF($E2123="","",ROW()-3)</f>
        <v/>
      </c>
      <c r="B2123" s="110" t="str">
        <f aca="false">IF($E2123="","",INDEX(成本费用登记表!$B$4:$B$303,5))</f>
        <v/>
      </c>
      <c r="C2123" s="67" t="str">
        <f aca="false">IF($E2123="","","记-"&amp;TEXT($B2123,"YYYYMM")&amp;"-费用")</f>
        <v/>
      </c>
      <c r="D2123" s="107" t="str">
        <f aca="false">IF($E2123="","",INDEX(成本费用登记表!$E$4:$E$303,5))</f>
        <v/>
      </c>
      <c r="E2123" s="67" t="str">
        <f aca="false">IF(INDEX(成本费用登记表!$Q$4:$Y$303,5,4)=0,"",INDEX(成本费用登记表!$Q$4:$Y$303,5,4))</f>
        <v/>
      </c>
      <c r="F2123" s="99" t="str">
        <f aca="false">IF($E2123="","",IFERROR(INDEX(科目表!$A$4:$A$81,MATCH($E2123,科目表!$B$4:$B$81,0)),""))</f>
        <v/>
      </c>
      <c r="G2123" s="67" t="str">
        <f aca="false">IF($E2123="","",IFERROR(INDEX(科目表!$E$4:$E$81,MATCH($E2123,科目表!$B$4:$B$81,0)),""))</f>
        <v/>
      </c>
      <c r="H2123" s="70" t="str">
        <f aca="false">IF($E2123="","",N(INDEX(成本费用登记表!$Q$4:$Y$303,5,5)))</f>
        <v/>
      </c>
      <c r="I2123" s="70" t="str">
        <f aca="false">IF($E2123="","",N(INDEX(成本费用登记表!$Q$4:$Y$303,5,6)))</f>
        <v/>
      </c>
      <c r="J2123" s="67" t="str">
        <f aca="false">IF($E2123="","",INDEX(成本费用登记表!$C$4:$C$303,5))</f>
        <v/>
      </c>
      <c r="K2123" s="67" t="str">
        <f aca="false">IF($E2123="","",INDEX(成本费用登记表!$D$4:$D$303,5))</f>
        <v/>
      </c>
      <c r="L2123" s="107" t="str">
        <f aca="false">IF($E2123="","",INDEX(成本费用登记表!$N$4:$N$303,5))</f>
        <v/>
      </c>
      <c r="M2123" s="107"/>
      <c r="N2123" s="67" t="str">
        <f aca="false">IF($E2123="","","系统")</f>
        <v/>
      </c>
      <c r="O2123" s="67" t="str">
        <f aca="false">IF($E2123="","","自动C")</f>
        <v/>
      </c>
      <c r="P2123" s="18"/>
    </row>
    <row r="2124" customFormat="false" ht="18" hidden="false" customHeight="true" outlineLevel="0" collapsed="false">
      <c r="A2124" s="107" t="str">
        <f aca="false">IF($E2124="","",ROW()-3)</f>
        <v/>
      </c>
      <c r="B2124" s="110" t="str">
        <f aca="false">IF($E2124="","",INDEX(成本费用登记表!$B$4:$B$303,5))</f>
        <v/>
      </c>
      <c r="C2124" s="67" t="str">
        <f aca="false">IF($E2124="","","记-"&amp;TEXT($B2124,"YYYYMM")&amp;"-费用")</f>
        <v/>
      </c>
      <c r="D2124" s="107" t="str">
        <f aca="false">IF($E2124="","",INDEX(成本费用登记表!$E$4:$E$303,5))</f>
        <v/>
      </c>
      <c r="E2124" s="67" t="str">
        <f aca="false">IF(INDEX(成本费用登记表!$Q$4:$Y$303,5,7)=0,"",INDEX(成本费用登记表!$Q$4:$Y$303,5,7))</f>
        <v/>
      </c>
      <c r="F2124" s="99" t="str">
        <f aca="false">IF($E2124="","",IFERROR(INDEX(科目表!$A$4:$A$81,MATCH($E2124,科目表!$B$4:$B$81,0)),""))</f>
        <v/>
      </c>
      <c r="G2124" s="67" t="str">
        <f aca="false">IF($E2124="","",IFERROR(INDEX(科目表!$E$4:$E$81,MATCH($E2124,科目表!$B$4:$B$81,0)),""))</f>
        <v/>
      </c>
      <c r="H2124" s="70" t="str">
        <f aca="false">IF($E2124="","",N(INDEX(成本费用登记表!$Q$4:$Y$303,5,8)))</f>
        <v/>
      </c>
      <c r="I2124" s="70" t="str">
        <f aca="false">IF($E2124="","",N(INDEX(成本费用登记表!$Q$4:$Y$303,5,9)))</f>
        <v/>
      </c>
      <c r="J2124" s="67" t="str">
        <f aca="false">IF($E2124="","",INDEX(成本费用登记表!$C$4:$C$303,5))</f>
        <v/>
      </c>
      <c r="K2124" s="67" t="str">
        <f aca="false">IF($E2124="","",INDEX(成本费用登记表!$D$4:$D$303,5))</f>
        <v/>
      </c>
      <c r="L2124" s="107" t="str">
        <f aca="false">IF($E2124="","",INDEX(成本费用登记表!$N$4:$N$303,5))</f>
        <v/>
      </c>
      <c r="M2124" s="107"/>
      <c r="N2124" s="67" t="str">
        <f aca="false">IF($E2124="","","系统")</f>
        <v/>
      </c>
      <c r="O2124" s="67" t="str">
        <f aca="false">IF($E2124="","","自动C")</f>
        <v/>
      </c>
      <c r="P2124" s="18"/>
    </row>
    <row r="2125" customFormat="false" ht="18" hidden="false" customHeight="true" outlineLevel="0" collapsed="false">
      <c r="A2125" s="107" t="str">
        <f aca="false">IF($E2125="","",ROW()-3)</f>
        <v/>
      </c>
      <c r="B2125" s="110" t="str">
        <f aca="false">IF($E2125="","",INDEX(成本费用登记表!$B$4:$B$303,6))</f>
        <v/>
      </c>
      <c r="C2125" s="67" t="str">
        <f aca="false">IF($E2125="","","记-"&amp;TEXT($B2125,"YYYYMM")&amp;"-费用")</f>
        <v/>
      </c>
      <c r="D2125" s="107" t="str">
        <f aca="false">IF($E2125="","",INDEX(成本费用登记表!$E$4:$E$303,6))</f>
        <v/>
      </c>
      <c r="E2125" s="67" t="str">
        <f aca="false">IF(INDEX(成本费用登记表!$Q$4:$Y$303,6,1)=0,"",INDEX(成本费用登记表!$Q$4:$Y$303,6,1))</f>
        <v/>
      </c>
      <c r="F2125" s="99" t="str">
        <f aca="false">IF($E2125="","",IFERROR(INDEX(科目表!$A$4:$A$81,MATCH($E2125,科目表!$B$4:$B$81,0)),""))</f>
        <v/>
      </c>
      <c r="G2125" s="67" t="str">
        <f aca="false">IF($E2125="","",IFERROR(INDEX(科目表!$E$4:$E$81,MATCH($E2125,科目表!$B$4:$B$81,0)),""))</f>
        <v/>
      </c>
      <c r="H2125" s="70" t="str">
        <f aca="false">IF($E2125="","",N(INDEX(成本费用登记表!$Q$4:$Y$303,6,2)))</f>
        <v/>
      </c>
      <c r="I2125" s="70" t="str">
        <f aca="false">IF($E2125="","",N(INDEX(成本费用登记表!$Q$4:$Y$303,6,3)))</f>
        <v/>
      </c>
      <c r="J2125" s="67" t="str">
        <f aca="false">IF($E2125="","",INDEX(成本费用登记表!$C$4:$C$303,6))</f>
        <v/>
      </c>
      <c r="K2125" s="67" t="str">
        <f aca="false">IF($E2125="","",INDEX(成本费用登记表!$D$4:$D$303,6))</f>
        <v/>
      </c>
      <c r="L2125" s="107" t="str">
        <f aca="false">IF($E2125="","",INDEX(成本费用登记表!$N$4:$N$303,6))</f>
        <v/>
      </c>
      <c r="M2125" s="107"/>
      <c r="N2125" s="67" t="str">
        <f aca="false">IF($E2125="","","系统")</f>
        <v/>
      </c>
      <c r="O2125" s="67" t="str">
        <f aca="false">IF($E2125="","","自动C")</f>
        <v/>
      </c>
      <c r="P2125" s="18"/>
    </row>
    <row r="2126" customFormat="false" ht="18" hidden="false" customHeight="true" outlineLevel="0" collapsed="false">
      <c r="A2126" s="107" t="str">
        <f aca="false">IF($E2126="","",ROW()-3)</f>
        <v/>
      </c>
      <c r="B2126" s="110" t="str">
        <f aca="false">IF($E2126="","",INDEX(成本费用登记表!$B$4:$B$303,6))</f>
        <v/>
      </c>
      <c r="C2126" s="67" t="str">
        <f aca="false">IF($E2126="","","记-"&amp;TEXT($B2126,"YYYYMM")&amp;"-费用")</f>
        <v/>
      </c>
      <c r="D2126" s="107" t="str">
        <f aca="false">IF($E2126="","",INDEX(成本费用登记表!$E$4:$E$303,6))</f>
        <v/>
      </c>
      <c r="E2126" s="67" t="str">
        <f aca="false">IF(INDEX(成本费用登记表!$Q$4:$Y$303,6,4)=0,"",INDEX(成本费用登记表!$Q$4:$Y$303,6,4))</f>
        <v/>
      </c>
      <c r="F2126" s="99" t="str">
        <f aca="false">IF($E2126="","",IFERROR(INDEX(科目表!$A$4:$A$81,MATCH($E2126,科目表!$B$4:$B$81,0)),""))</f>
        <v/>
      </c>
      <c r="G2126" s="67" t="str">
        <f aca="false">IF($E2126="","",IFERROR(INDEX(科目表!$E$4:$E$81,MATCH($E2126,科目表!$B$4:$B$81,0)),""))</f>
        <v/>
      </c>
      <c r="H2126" s="70" t="str">
        <f aca="false">IF($E2126="","",N(INDEX(成本费用登记表!$Q$4:$Y$303,6,5)))</f>
        <v/>
      </c>
      <c r="I2126" s="70" t="str">
        <f aca="false">IF($E2126="","",N(INDEX(成本费用登记表!$Q$4:$Y$303,6,6)))</f>
        <v/>
      </c>
      <c r="J2126" s="67" t="str">
        <f aca="false">IF($E2126="","",INDEX(成本费用登记表!$C$4:$C$303,6))</f>
        <v/>
      </c>
      <c r="K2126" s="67" t="str">
        <f aca="false">IF($E2126="","",INDEX(成本费用登记表!$D$4:$D$303,6))</f>
        <v/>
      </c>
      <c r="L2126" s="107" t="str">
        <f aca="false">IF($E2126="","",INDEX(成本费用登记表!$N$4:$N$303,6))</f>
        <v/>
      </c>
      <c r="M2126" s="107"/>
      <c r="N2126" s="67" t="str">
        <f aca="false">IF($E2126="","","系统")</f>
        <v/>
      </c>
      <c r="O2126" s="67" t="str">
        <f aca="false">IF($E2126="","","自动C")</f>
        <v/>
      </c>
      <c r="P2126" s="18"/>
    </row>
    <row r="2127" customFormat="false" ht="18" hidden="false" customHeight="true" outlineLevel="0" collapsed="false">
      <c r="A2127" s="107" t="str">
        <f aca="false">IF($E2127="","",ROW()-3)</f>
        <v/>
      </c>
      <c r="B2127" s="110" t="str">
        <f aca="false">IF($E2127="","",INDEX(成本费用登记表!$B$4:$B$303,6))</f>
        <v/>
      </c>
      <c r="C2127" s="67" t="str">
        <f aca="false">IF($E2127="","","记-"&amp;TEXT($B2127,"YYYYMM")&amp;"-费用")</f>
        <v/>
      </c>
      <c r="D2127" s="107" t="str">
        <f aca="false">IF($E2127="","",INDEX(成本费用登记表!$E$4:$E$303,6))</f>
        <v/>
      </c>
      <c r="E2127" s="67" t="str">
        <f aca="false">IF(INDEX(成本费用登记表!$Q$4:$Y$303,6,7)=0,"",INDEX(成本费用登记表!$Q$4:$Y$303,6,7))</f>
        <v/>
      </c>
      <c r="F2127" s="99" t="str">
        <f aca="false">IF($E2127="","",IFERROR(INDEX(科目表!$A$4:$A$81,MATCH($E2127,科目表!$B$4:$B$81,0)),""))</f>
        <v/>
      </c>
      <c r="G2127" s="67" t="str">
        <f aca="false">IF($E2127="","",IFERROR(INDEX(科目表!$E$4:$E$81,MATCH($E2127,科目表!$B$4:$B$81,0)),""))</f>
        <v/>
      </c>
      <c r="H2127" s="70" t="str">
        <f aca="false">IF($E2127="","",N(INDEX(成本费用登记表!$Q$4:$Y$303,6,8)))</f>
        <v/>
      </c>
      <c r="I2127" s="70" t="str">
        <f aca="false">IF($E2127="","",N(INDEX(成本费用登记表!$Q$4:$Y$303,6,9)))</f>
        <v/>
      </c>
      <c r="J2127" s="67" t="str">
        <f aca="false">IF($E2127="","",INDEX(成本费用登记表!$C$4:$C$303,6))</f>
        <v/>
      </c>
      <c r="K2127" s="67" t="str">
        <f aca="false">IF($E2127="","",INDEX(成本费用登记表!$D$4:$D$303,6))</f>
        <v/>
      </c>
      <c r="L2127" s="107" t="str">
        <f aca="false">IF($E2127="","",INDEX(成本费用登记表!$N$4:$N$303,6))</f>
        <v/>
      </c>
      <c r="M2127" s="107"/>
      <c r="N2127" s="67" t="str">
        <f aca="false">IF($E2127="","","系统")</f>
        <v/>
      </c>
      <c r="O2127" s="67" t="str">
        <f aca="false">IF($E2127="","","自动C")</f>
        <v/>
      </c>
      <c r="P2127" s="18"/>
    </row>
    <row r="2128" customFormat="false" ht="18" hidden="false" customHeight="true" outlineLevel="0" collapsed="false">
      <c r="A2128" s="107" t="str">
        <f aca="false">IF($E2128="","",ROW()-3)</f>
        <v/>
      </c>
      <c r="B2128" s="110" t="str">
        <f aca="false">IF($E2128="","",INDEX(成本费用登记表!$B$4:$B$303,7))</f>
        <v/>
      </c>
      <c r="C2128" s="67" t="str">
        <f aca="false">IF($E2128="","","记-"&amp;TEXT($B2128,"YYYYMM")&amp;"-费用")</f>
        <v/>
      </c>
      <c r="D2128" s="107" t="str">
        <f aca="false">IF($E2128="","",INDEX(成本费用登记表!$E$4:$E$303,7))</f>
        <v/>
      </c>
      <c r="E2128" s="67" t="str">
        <f aca="false">IF(INDEX(成本费用登记表!$Q$4:$Y$303,7,1)=0,"",INDEX(成本费用登记表!$Q$4:$Y$303,7,1))</f>
        <v/>
      </c>
      <c r="F2128" s="99" t="str">
        <f aca="false">IF($E2128="","",IFERROR(INDEX(科目表!$A$4:$A$81,MATCH($E2128,科目表!$B$4:$B$81,0)),""))</f>
        <v/>
      </c>
      <c r="G2128" s="67" t="str">
        <f aca="false">IF($E2128="","",IFERROR(INDEX(科目表!$E$4:$E$81,MATCH($E2128,科目表!$B$4:$B$81,0)),""))</f>
        <v/>
      </c>
      <c r="H2128" s="70" t="str">
        <f aca="false">IF($E2128="","",N(INDEX(成本费用登记表!$Q$4:$Y$303,7,2)))</f>
        <v/>
      </c>
      <c r="I2128" s="70" t="str">
        <f aca="false">IF($E2128="","",N(INDEX(成本费用登记表!$Q$4:$Y$303,7,3)))</f>
        <v/>
      </c>
      <c r="J2128" s="67" t="str">
        <f aca="false">IF($E2128="","",INDEX(成本费用登记表!$C$4:$C$303,7))</f>
        <v/>
      </c>
      <c r="K2128" s="67" t="str">
        <f aca="false">IF($E2128="","",INDEX(成本费用登记表!$D$4:$D$303,7))</f>
        <v/>
      </c>
      <c r="L2128" s="107" t="str">
        <f aca="false">IF($E2128="","",INDEX(成本费用登记表!$N$4:$N$303,7))</f>
        <v/>
      </c>
      <c r="M2128" s="107"/>
      <c r="N2128" s="67" t="str">
        <f aca="false">IF($E2128="","","系统")</f>
        <v/>
      </c>
      <c r="O2128" s="67" t="str">
        <f aca="false">IF($E2128="","","自动C")</f>
        <v/>
      </c>
      <c r="P2128" s="18"/>
    </row>
    <row r="2129" customFormat="false" ht="18" hidden="false" customHeight="true" outlineLevel="0" collapsed="false">
      <c r="A2129" s="107" t="str">
        <f aca="false">IF($E2129="","",ROW()-3)</f>
        <v/>
      </c>
      <c r="B2129" s="110" t="str">
        <f aca="false">IF($E2129="","",INDEX(成本费用登记表!$B$4:$B$303,7))</f>
        <v/>
      </c>
      <c r="C2129" s="67" t="str">
        <f aca="false">IF($E2129="","","记-"&amp;TEXT($B2129,"YYYYMM")&amp;"-费用")</f>
        <v/>
      </c>
      <c r="D2129" s="107" t="str">
        <f aca="false">IF($E2129="","",INDEX(成本费用登记表!$E$4:$E$303,7))</f>
        <v/>
      </c>
      <c r="E2129" s="67" t="str">
        <f aca="false">IF(INDEX(成本费用登记表!$Q$4:$Y$303,7,4)=0,"",INDEX(成本费用登记表!$Q$4:$Y$303,7,4))</f>
        <v/>
      </c>
      <c r="F2129" s="99" t="str">
        <f aca="false">IF($E2129="","",IFERROR(INDEX(科目表!$A$4:$A$81,MATCH($E2129,科目表!$B$4:$B$81,0)),""))</f>
        <v/>
      </c>
      <c r="G2129" s="67" t="str">
        <f aca="false">IF($E2129="","",IFERROR(INDEX(科目表!$E$4:$E$81,MATCH($E2129,科目表!$B$4:$B$81,0)),""))</f>
        <v/>
      </c>
      <c r="H2129" s="70" t="str">
        <f aca="false">IF($E2129="","",N(INDEX(成本费用登记表!$Q$4:$Y$303,7,5)))</f>
        <v/>
      </c>
      <c r="I2129" s="70" t="str">
        <f aca="false">IF($E2129="","",N(INDEX(成本费用登记表!$Q$4:$Y$303,7,6)))</f>
        <v/>
      </c>
      <c r="J2129" s="67" t="str">
        <f aca="false">IF($E2129="","",INDEX(成本费用登记表!$C$4:$C$303,7))</f>
        <v/>
      </c>
      <c r="K2129" s="67" t="str">
        <f aca="false">IF($E2129="","",INDEX(成本费用登记表!$D$4:$D$303,7))</f>
        <v/>
      </c>
      <c r="L2129" s="107" t="str">
        <f aca="false">IF($E2129="","",INDEX(成本费用登记表!$N$4:$N$303,7))</f>
        <v/>
      </c>
      <c r="M2129" s="107"/>
      <c r="N2129" s="67" t="str">
        <f aca="false">IF($E2129="","","系统")</f>
        <v/>
      </c>
      <c r="O2129" s="67" t="str">
        <f aca="false">IF($E2129="","","自动C")</f>
        <v/>
      </c>
      <c r="P2129" s="18"/>
    </row>
    <row r="2130" customFormat="false" ht="18" hidden="false" customHeight="true" outlineLevel="0" collapsed="false">
      <c r="A2130" s="107" t="str">
        <f aca="false">IF($E2130="","",ROW()-3)</f>
        <v/>
      </c>
      <c r="B2130" s="110" t="str">
        <f aca="false">IF($E2130="","",INDEX(成本费用登记表!$B$4:$B$303,7))</f>
        <v/>
      </c>
      <c r="C2130" s="67" t="str">
        <f aca="false">IF($E2130="","","记-"&amp;TEXT($B2130,"YYYYMM")&amp;"-费用")</f>
        <v/>
      </c>
      <c r="D2130" s="107" t="str">
        <f aca="false">IF($E2130="","",INDEX(成本费用登记表!$E$4:$E$303,7))</f>
        <v/>
      </c>
      <c r="E2130" s="67" t="str">
        <f aca="false">IF(INDEX(成本费用登记表!$Q$4:$Y$303,7,7)=0,"",INDEX(成本费用登记表!$Q$4:$Y$303,7,7))</f>
        <v/>
      </c>
      <c r="F2130" s="99" t="str">
        <f aca="false">IF($E2130="","",IFERROR(INDEX(科目表!$A$4:$A$81,MATCH($E2130,科目表!$B$4:$B$81,0)),""))</f>
        <v/>
      </c>
      <c r="G2130" s="67" t="str">
        <f aca="false">IF($E2130="","",IFERROR(INDEX(科目表!$E$4:$E$81,MATCH($E2130,科目表!$B$4:$B$81,0)),""))</f>
        <v/>
      </c>
      <c r="H2130" s="70" t="str">
        <f aca="false">IF($E2130="","",N(INDEX(成本费用登记表!$Q$4:$Y$303,7,8)))</f>
        <v/>
      </c>
      <c r="I2130" s="70" t="str">
        <f aca="false">IF($E2130="","",N(INDEX(成本费用登记表!$Q$4:$Y$303,7,9)))</f>
        <v/>
      </c>
      <c r="J2130" s="67" t="str">
        <f aca="false">IF($E2130="","",INDEX(成本费用登记表!$C$4:$C$303,7))</f>
        <v/>
      </c>
      <c r="K2130" s="67" t="str">
        <f aca="false">IF($E2130="","",INDEX(成本费用登记表!$D$4:$D$303,7))</f>
        <v/>
      </c>
      <c r="L2130" s="107" t="str">
        <f aca="false">IF($E2130="","",INDEX(成本费用登记表!$N$4:$N$303,7))</f>
        <v/>
      </c>
      <c r="M2130" s="107"/>
      <c r="N2130" s="67" t="str">
        <f aca="false">IF($E2130="","","系统")</f>
        <v/>
      </c>
      <c r="O2130" s="67" t="str">
        <f aca="false">IF($E2130="","","自动C")</f>
        <v/>
      </c>
      <c r="P2130" s="18"/>
    </row>
    <row r="2131" customFormat="false" ht="18" hidden="false" customHeight="true" outlineLevel="0" collapsed="false">
      <c r="A2131" s="107" t="str">
        <f aca="false">IF($E2131="","",ROW()-3)</f>
        <v/>
      </c>
      <c r="B2131" s="110" t="str">
        <f aca="false">IF($E2131="","",INDEX(成本费用登记表!$B$4:$B$303,8))</f>
        <v/>
      </c>
      <c r="C2131" s="67" t="str">
        <f aca="false">IF($E2131="","","记-"&amp;TEXT($B2131,"YYYYMM")&amp;"-费用")</f>
        <v/>
      </c>
      <c r="D2131" s="107" t="str">
        <f aca="false">IF($E2131="","",INDEX(成本费用登记表!$E$4:$E$303,8))</f>
        <v/>
      </c>
      <c r="E2131" s="67" t="str">
        <f aca="false">IF(INDEX(成本费用登记表!$Q$4:$Y$303,8,1)=0,"",INDEX(成本费用登记表!$Q$4:$Y$303,8,1))</f>
        <v/>
      </c>
      <c r="F2131" s="99" t="str">
        <f aca="false">IF($E2131="","",IFERROR(INDEX(科目表!$A$4:$A$81,MATCH($E2131,科目表!$B$4:$B$81,0)),""))</f>
        <v/>
      </c>
      <c r="G2131" s="67" t="str">
        <f aca="false">IF($E2131="","",IFERROR(INDEX(科目表!$E$4:$E$81,MATCH($E2131,科目表!$B$4:$B$81,0)),""))</f>
        <v/>
      </c>
      <c r="H2131" s="70" t="str">
        <f aca="false">IF($E2131="","",N(INDEX(成本费用登记表!$Q$4:$Y$303,8,2)))</f>
        <v/>
      </c>
      <c r="I2131" s="70" t="str">
        <f aca="false">IF($E2131="","",N(INDEX(成本费用登记表!$Q$4:$Y$303,8,3)))</f>
        <v/>
      </c>
      <c r="J2131" s="67" t="str">
        <f aca="false">IF($E2131="","",INDEX(成本费用登记表!$C$4:$C$303,8))</f>
        <v/>
      </c>
      <c r="K2131" s="67" t="str">
        <f aca="false">IF($E2131="","",INDEX(成本费用登记表!$D$4:$D$303,8))</f>
        <v/>
      </c>
      <c r="L2131" s="107" t="str">
        <f aca="false">IF($E2131="","",INDEX(成本费用登记表!$N$4:$N$303,8))</f>
        <v/>
      </c>
      <c r="M2131" s="107"/>
      <c r="N2131" s="67" t="str">
        <f aca="false">IF($E2131="","","系统")</f>
        <v/>
      </c>
      <c r="O2131" s="67" t="str">
        <f aca="false">IF($E2131="","","自动C")</f>
        <v/>
      </c>
      <c r="P2131" s="18"/>
    </row>
    <row r="2132" customFormat="false" ht="18" hidden="false" customHeight="true" outlineLevel="0" collapsed="false">
      <c r="A2132" s="107" t="str">
        <f aca="false">IF($E2132="","",ROW()-3)</f>
        <v/>
      </c>
      <c r="B2132" s="110" t="str">
        <f aca="false">IF($E2132="","",INDEX(成本费用登记表!$B$4:$B$303,8))</f>
        <v/>
      </c>
      <c r="C2132" s="67" t="str">
        <f aca="false">IF($E2132="","","记-"&amp;TEXT($B2132,"YYYYMM")&amp;"-费用")</f>
        <v/>
      </c>
      <c r="D2132" s="107" t="str">
        <f aca="false">IF($E2132="","",INDEX(成本费用登记表!$E$4:$E$303,8))</f>
        <v/>
      </c>
      <c r="E2132" s="67" t="str">
        <f aca="false">IF(INDEX(成本费用登记表!$Q$4:$Y$303,8,4)=0,"",INDEX(成本费用登记表!$Q$4:$Y$303,8,4))</f>
        <v/>
      </c>
      <c r="F2132" s="99" t="str">
        <f aca="false">IF($E2132="","",IFERROR(INDEX(科目表!$A$4:$A$81,MATCH($E2132,科目表!$B$4:$B$81,0)),""))</f>
        <v/>
      </c>
      <c r="G2132" s="67" t="str">
        <f aca="false">IF($E2132="","",IFERROR(INDEX(科目表!$E$4:$E$81,MATCH($E2132,科目表!$B$4:$B$81,0)),""))</f>
        <v/>
      </c>
      <c r="H2132" s="70" t="str">
        <f aca="false">IF($E2132="","",N(INDEX(成本费用登记表!$Q$4:$Y$303,8,5)))</f>
        <v/>
      </c>
      <c r="I2132" s="70" t="str">
        <f aca="false">IF($E2132="","",N(INDEX(成本费用登记表!$Q$4:$Y$303,8,6)))</f>
        <v/>
      </c>
      <c r="J2132" s="67" t="str">
        <f aca="false">IF($E2132="","",INDEX(成本费用登记表!$C$4:$C$303,8))</f>
        <v/>
      </c>
      <c r="K2132" s="67" t="str">
        <f aca="false">IF($E2132="","",INDEX(成本费用登记表!$D$4:$D$303,8))</f>
        <v/>
      </c>
      <c r="L2132" s="107" t="str">
        <f aca="false">IF($E2132="","",INDEX(成本费用登记表!$N$4:$N$303,8))</f>
        <v/>
      </c>
      <c r="M2132" s="107"/>
      <c r="N2132" s="67" t="str">
        <f aca="false">IF($E2132="","","系统")</f>
        <v/>
      </c>
      <c r="O2132" s="67" t="str">
        <f aca="false">IF($E2132="","","自动C")</f>
        <v/>
      </c>
      <c r="P2132" s="18"/>
    </row>
    <row r="2133" customFormat="false" ht="18" hidden="false" customHeight="true" outlineLevel="0" collapsed="false">
      <c r="A2133" s="107" t="str">
        <f aca="false">IF($E2133="","",ROW()-3)</f>
        <v/>
      </c>
      <c r="B2133" s="110" t="str">
        <f aca="false">IF($E2133="","",INDEX(成本费用登记表!$B$4:$B$303,8))</f>
        <v/>
      </c>
      <c r="C2133" s="67" t="str">
        <f aca="false">IF($E2133="","","记-"&amp;TEXT($B2133,"YYYYMM")&amp;"-费用")</f>
        <v/>
      </c>
      <c r="D2133" s="107" t="str">
        <f aca="false">IF($E2133="","",INDEX(成本费用登记表!$E$4:$E$303,8))</f>
        <v/>
      </c>
      <c r="E2133" s="67" t="str">
        <f aca="false">IF(INDEX(成本费用登记表!$Q$4:$Y$303,8,7)=0,"",INDEX(成本费用登记表!$Q$4:$Y$303,8,7))</f>
        <v/>
      </c>
      <c r="F2133" s="99" t="str">
        <f aca="false">IF($E2133="","",IFERROR(INDEX(科目表!$A$4:$A$81,MATCH($E2133,科目表!$B$4:$B$81,0)),""))</f>
        <v/>
      </c>
      <c r="G2133" s="67" t="str">
        <f aca="false">IF($E2133="","",IFERROR(INDEX(科目表!$E$4:$E$81,MATCH($E2133,科目表!$B$4:$B$81,0)),""))</f>
        <v/>
      </c>
      <c r="H2133" s="70" t="str">
        <f aca="false">IF($E2133="","",N(INDEX(成本费用登记表!$Q$4:$Y$303,8,8)))</f>
        <v/>
      </c>
      <c r="I2133" s="70" t="str">
        <f aca="false">IF($E2133="","",N(INDEX(成本费用登记表!$Q$4:$Y$303,8,9)))</f>
        <v/>
      </c>
      <c r="J2133" s="67" t="str">
        <f aca="false">IF($E2133="","",INDEX(成本费用登记表!$C$4:$C$303,8))</f>
        <v/>
      </c>
      <c r="K2133" s="67" t="str">
        <f aca="false">IF($E2133="","",INDEX(成本费用登记表!$D$4:$D$303,8))</f>
        <v/>
      </c>
      <c r="L2133" s="107" t="str">
        <f aca="false">IF($E2133="","",INDEX(成本费用登记表!$N$4:$N$303,8))</f>
        <v/>
      </c>
      <c r="M2133" s="107"/>
      <c r="N2133" s="67" t="str">
        <f aca="false">IF($E2133="","","系统")</f>
        <v/>
      </c>
      <c r="O2133" s="67" t="str">
        <f aca="false">IF($E2133="","","自动C")</f>
        <v/>
      </c>
      <c r="P2133" s="18"/>
    </row>
    <row r="2134" customFormat="false" ht="18" hidden="false" customHeight="true" outlineLevel="0" collapsed="false">
      <c r="A2134" s="107" t="str">
        <f aca="false">IF($E2134="","",ROW()-3)</f>
        <v/>
      </c>
      <c r="B2134" s="110" t="str">
        <f aca="false">IF($E2134="","",INDEX(成本费用登记表!$B$4:$B$303,9))</f>
        <v/>
      </c>
      <c r="C2134" s="67" t="str">
        <f aca="false">IF($E2134="","","记-"&amp;TEXT($B2134,"YYYYMM")&amp;"-费用")</f>
        <v/>
      </c>
      <c r="D2134" s="107" t="str">
        <f aca="false">IF($E2134="","",INDEX(成本费用登记表!$E$4:$E$303,9))</f>
        <v/>
      </c>
      <c r="E2134" s="67" t="str">
        <f aca="false">IF(INDEX(成本费用登记表!$Q$4:$Y$303,9,1)=0,"",INDEX(成本费用登记表!$Q$4:$Y$303,9,1))</f>
        <v/>
      </c>
      <c r="F2134" s="99" t="str">
        <f aca="false">IF($E2134="","",IFERROR(INDEX(科目表!$A$4:$A$81,MATCH($E2134,科目表!$B$4:$B$81,0)),""))</f>
        <v/>
      </c>
      <c r="G2134" s="67" t="str">
        <f aca="false">IF($E2134="","",IFERROR(INDEX(科目表!$E$4:$E$81,MATCH($E2134,科目表!$B$4:$B$81,0)),""))</f>
        <v/>
      </c>
      <c r="H2134" s="70" t="str">
        <f aca="false">IF($E2134="","",N(INDEX(成本费用登记表!$Q$4:$Y$303,9,2)))</f>
        <v/>
      </c>
      <c r="I2134" s="70" t="str">
        <f aca="false">IF($E2134="","",N(INDEX(成本费用登记表!$Q$4:$Y$303,9,3)))</f>
        <v/>
      </c>
      <c r="J2134" s="67" t="str">
        <f aca="false">IF($E2134="","",INDEX(成本费用登记表!$C$4:$C$303,9))</f>
        <v/>
      </c>
      <c r="K2134" s="67" t="str">
        <f aca="false">IF($E2134="","",INDEX(成本费用登记表!$D$4:$D$303,9))</f>
        <v/>
      </c>
      <c r="L2134" s="107" t="str">
        <f aca="false">IF($E2134="","",INDEX(成本费用登记表!$N$4:$N$303,9))</f>
        <v/>
      </c>
      <c r="M2134" s="107"/>
      <c r="N2134" s="67" t="str">
        <f aca="false">IF($E2134="","","系统")</f>
        <v/>
      </c>
      <c r="O2134" s="67" t="str">
        <f aca="false">IF($E2134="","","自动C")</f>
        <v/>
      </c>
      <c r="P2134" s="18"/>
    </row>
    <row r="2135" customFormat="false" ht="18" hidden="false" customHeight="true" outlineLevel="0" collapsed="false">
      <c r="A2135" s="107" t="str">
        <f aca="false">IF($E2135="","",ROW()-3)</f>
        <v/>
      </c>
      <c r="B2135" s="110" t="str">
        <f aca="false">IF($E2135="","",INDEX(成本费用登记表!$B$4:$B$303,9))</f>
        <v/>
      </c>
      <c r="C2135" s="67" t="str">
        <f aca="false">IF($E2135="","","记-"&amp;TEXT($B2135,"YYYYMM")&amp;"-费用")</f>
        <v/>
      </c>
      <c r="D2135" s="107" t="str">
        <f aca="false">IF($E2135="","",INDEX(成本费用登记表!$E$4:$E$303,9))</f>
        <v/>
      </c>
      <c r="E2135" s="67" t="str">
        <f aca="false">IF(INDEX(成本费用登记表!$Q$4:$Y$303,9,4)=0,"",INDEX(成本费用登记表!$Q$4:$Y$303,9,4))</f>
        <v/>
      </c>
      <c r="F2135" s="99" t="str">
        <f aca="false">IF($E2135="","",IFERROR(INDEX(科目表!$A$4:$A$81,MATCH($E2135,科目表!$B$4:$B$81,0)),""))</f>
        <v/>
      </c>
      <c r="G2135" s="67" t="str">
        <f aca="false">IF($E2135="","",IFERROR(INDEX(科目表!$E$4:$E$81,MATCH($E2135,科目表!$B$4:$B$81,0)),""))</f>
        <v/>
      </c>
      <c r="H2135" s="70" t="str">
        <f aca="false">IF($E2135="","",N(INDEX(成本费用登记表!$Q$4:$Y$303,9,5)))</f>
        <v/>
      </c>
      <c r="I2135" s="70" t="str">
        <f aca="false">IF($E2135="","",N(INDEX(成本费用登记表!$Q$4:$Y$303,9,6)))</f>
        <v/>
      </c>
      <c r="J2135" s="67" t="str">
        <f aca="false">IF($E2135="","",INDEX(成本费用登记表!$C$4:$C$303,9))</f>
        <v/>
      </c>
      <c r="K2135" s="67" t="str">
        <f aca="false">IF($E2135="","",INDEX(成本费用登记表!$D$4:$D$303,9))</f>
        <v/>
      </c>
      <c r="L2135" s="107" t="str">
        <f aca="false">IF($E2135="","",INDEX(成本费用登记表!$N$4:$N$303,9))</f>
        <v/>
      </c>
      <c r="M2135" s="107"/>
      <c r="N2135" s="67" t="str">
        <f aca="false">IF($E2135="","","系统")</f>
        <v/>
      </c>
      <c r="O2135" s="67" t="str">
        <f aca="false">IF($E2135="","","自动C")</f>
        <v/>
      </c>
      <c r="P2135" s="18"/>
    </row>
    <row r="2136" customFormat="false" ht="18" hidden="false" customHeight="true" outlineLevel="0" collapsed="false">
      <c r="A2136" s="107" t="str">
        <f aca="false">IF($E2136="","",ROW()-3)</f>
        <v/>
      </c>
      <c r="B2136" s="110" t="str">
        <f aca="false">IF($E2136="","",INDEX(成本费用登记表!$B$4:$B$303,9))</f>
        <v/>
      </c>
      <c r="C2136" s="67" t="str">
        <f aca="false">IF($E2136="","","记-"&amp;TEXT($B2136,"YYYYMM")&amp;"-费用")</f>
        <v/>
      </c>
      <c r="D2136" s="107" t="str">
        <f aca="false">IF($E2136="","",INDEX(成本费用登记表!$E$4:$E$303,9))</f>
        <v/>
      </c>
      <c r="E2136" s="67" t="str">
        <f aca="false">IF(INDEX(成本费用登记表!$Q$4:$Y$303,9,7)=0,"",INDEX(成本费用登记表!$Q$4:$Y$303,9,7))</f>
        <v/>
      </c>
      <c r="F2136" s="99" t="str">
        <f aca="false">IF($E2136="","",IFERROR(INDEX(科目表!$A$4:$A$81,MATCH($E2136,科目表!$B$4:$B$81,0)),""))</f>
        <v/>
      </c>
      <c r="G2136" s="67" t="str">
        <f aca="false">IF($E2136="","",IFERROR(INDEX(科目表!$E$4:$E$81,MATCH($E2136,科目表!$B$4:$B$81,0)),""))</f>
        <v/>
      </c>
      <c r="H2136" s="70" t="str">
        <f aca="false">IF($E2136="","",N(INDEX(成本费用登记表!$Q$4:$Y$303,9,8)))</f>
        <v/>
      </c>
      <c r="I2136" s="70" t="str">
        <f aca="false">IF($E2136="","",N(INDEX(成本费用登记表!$Q$4:$Y$303,9,9)))</f>
        <v/>
      </c>
      <c r="J2136" s="67" t="str">
        <f aca="false">IF($E2136="","",INDEX(成本费用登记表!$C$4:$C$303,9))</f>
        <v/>
      </c>
      <c r="K2136" s="67" t="str">
        <f aca="false">IF($E2136="","",INDEX(成本费用登记表!$D$4:$D$303,9))</f>
        <v/>
      </c>
      <c r="L2136" s="107" t="str">
        <f aca="false">IF($E2136="","",INDEX(成本费用登记表!$N$4:$N$303,9))</f>
        <v/>
      </c>
      <c r="M2136" s="107"/>
      <c r="N2136" s="67" t="str">
        <f aca="false">IF($E2136="","","系统")</f>
        <v/>
      </c>
      <c r="O2136" s="67" t="str">
        <f aca="false">IF($E2136="","","自动C")</f>
        <v/>
      </c>
      <c r="P2136" s="18"/>
    </row>
    <row r="2137" customFormat="false" ht="18" hidden="false" customHeight="true" outlineLevel="0" collapsed="false">
      <c r="A2137" s="107" t="str">
        <f aca="false">IF($E2137="","",ROW()-3)</f>
        <v/>
      </c>
      <c r="B2137" s="110" t="str">
        <f aca="false">IF($E2137="","",INDEX(成本费用登记表!$B$4:$B$303,10))</f>
        <v/>
      </c>
      <c r="C2137" s="67" t="str">
        <f aca="false">IF($E2137="","","记-"&amp;TEXT($B2137,"YYYYMM")&amp;"-费用")</f>
        <v/>
      </c>
      <c r="D2137" s="107" t="str">
        <f aca="false">IF($E2137="","",INDEX(成本费用登记表!$E$4:$E$303,10))</f>
        <v/>
      </c>
      <c r="E2137" s="67" t="str">
        <f aca="false">IF(INDEX(成本费用登记表!$Q$4:$Y$303,10,1)=0,"",INDEX(成本费用登记表!$Q$4:$Y$303,10,1))</f>
        <v/>
      </c>
      <c r="F2137" s="99" t="str">
        <f aca="false">IF($E2137="","",IFERROR(INDEX(科目表!$A$4:$A$81,MATCH($E2137,科目表!$B$4:$B$81,0)),""))</f>
        <v/>
      </c>
      <c r="G2137" s="67" t="str">
        <f aca="false">IF($E2137="","",IFERROR(INDEX(科目表!$E$4:$E$81,MATCH($E2137,科目表!$B$4:$B$81,0)),""))</f>
        <v/>
      </c>
      <c r="H2137" s="70" t="str">
        <f aca="false">IF($E2137="","",N(INDEX(成本费用登记表!$Q$4:$Y$303,10,2)))</f>
        <v/>
      </c>
      <c r="I2137" s="70" t="str">
        <f aca="false">IF($E2137="","",N(INDEX(成本费用登记表!$Q$4:$Y$303,10,3)))</f>
        <v/>
      </c>
      <c r="J2137" s="67" t="str">
        <f aca="false">IF($E2137="","",INDEX(成本费用登记表!$C$4:$C$303,10))</f>
        <v/>
      </c>
      <c r="K2137" s="67" t="str">
        <f aca="false">IF($E2137="","",INDEX(成本费用登记表!$D$4:$D$303,10))</f>
        <v/>
      </c>
      <c r="L2137" s="107" t="str">
        <f aca="false">IF($E2137="","",INDEX(成本费用登记表!$N$4:$N$303,10))</f>
        <v/>
      </c>
      <c r="M2137" s="107"/>
      <c r="N2137" s="67" t="str">
        <f aca="false">IF($E2137="","","系统")</f>
        <v/>
      </c>
      <c r="O2137" s="67" t="str">
        <f aca="false">IF($E2137="","","自动C")</f>
        <v/>
      </c>
      <c r="P2137" s="18"/>
    </row>
    <row r="2138" customFormat="false" ht="18" hidden="false" customHeight="true" outlineLevel="0" collapsed="false">
      <c r="A2138" s="107" t="str">
        <f aca="false">IF($E2138="","",ROW()-3)</f>
        <v/>
      </c>
      <c r="B2138" s="110" t="str">
        <f aca="false">IF($E2138="","",INDEX(成本费用登记表!$B$4:$B$303,10))</f>
        <v/>
      </c>
      <c r="C2138" s="67" t="str">
        <f aca="false">IF($E2138="","","记-"&amp;TEXT($B2138,"YYYYMM")&amp;"-费用")</f>
        <v/>
      </c>
      <c r="D2138" s="107" t="str">
        <f aca="false">IF($E2138="","",INDEX(成本费用登记表!$E$4:$E$303,10))</f>
        <v/>
      </c>
      <c r="E2138" s="67" t="str">
        <f aca="false">IF(INDEX(成本费用登记表!$Q$4:$Y$303,10,4)=0,"",INDEX(成本费用登记表!$Q$4:$Y$303,10,4))</f>
        <v/>
      </c>
      <c r="F2138" s="99" t="str">
        <f aca="false">IF($E2138="","",IFERROR(INDEX(科目表!$A$4:$A$81,MATCH($E2138,科目表!$B$4:$B$81,0)),""))</f>
        <v/>
      </c>
      <c r="G2138" s="67" t="str">
        <f aca="false">IF($E2138="","",IFERROR(INDEX(科目表!$E$4:$E$81,MATCH($E2138,科目表!$B$4:$B$81,0)),""))</f>
        <v/>
      </c>
      <c r="H2138" s="70" t="str">
        <f aca="false">IF($E2138="","",N(INDEX(成本费用登记表!$Q$4:$Y$303,10,5)))</f>
        <v/>
      </c>
      <c r="I2138" s="70" t="str">
        <f aca="false">IF($E2138="","",N(INDEX(成本费用登记表!$Q$4:$Y$303,10,6)))</f>
        <v/>
      </c>
      <c r="J2138" s="67" t="str">
        <f aca="false">IF($E2138="","",INDEX(成本费用登记表!$C$4:$C$303,10))</f>
        <v/>
      </c>
      <c r="K2138" s="67" t="str">
        <f aca="false">IF($E2138="","",INDEX(成本费用登记表!$D$4:$D$303,10))</f>
        <v/>
      </c>
      <c r="L2138" s="107" t="str">
        <f aca="false">IF($E2138="","",INDEX(成本费用登记表!$N$4:$N$303,10))</f>
        <v/>
      </c>
      <c r="M2138" s="107"/>
      <c r="N2138" s="67" t="str">
        <f aca="false">IF($E2138="","","系统")</f>
        <v/>
      </c>
      <c r="O2138" s="67" t="str">
        <f aca="false">IF($E2138="","","自动C")</f>
        <v/>
      </c>
      <c r="P2138" s="18"/>
    </row>
    <row r="2139" customFormat="false" ht="18" hidden="false" customHeight="true" outlineLevel="0" collapsed="false">
      <c r="A2139" s="107" t="str">
        <f aca="false">IF($E2139="","",ROW()-3)</f>
        <v/>
      </c>
      <c r="B2139" s="110" t="str">
        <f aca="false">IF($E2139="","",INDEX(成本费用登记表!$B$4:$B$303,10))</f>
        <v/>
      </c>
      <c r="C2139" s="67" t="str">
        <f aca="false">IF($E2139="","","记-"&amp;TEXT($B2139,"YYYYMM")&amp;"-费用")</f>
        <v/>
      </c>
      <c r="D2139" s="107" t="str">
        <f aca="false">IF($E2139="","",INDEX(成本费用登记表!$E$4:$E$303,10))</f>
        <v/>
      </c>
      <c r="E2139" s="67" t="str">
        <f aca="false">IF(INDEX(成本费用登记表!$Q$4:$Y$303,10,7)=0,"",INDEX(成本费用登记表!$Q$4:$Y$303,10,7))</f>
        <v/>
      </c>
      <c r="F2139" s="99" t="str">
        <f aca="false">IF($E2139="","",IFERROR(INDEX(科目表!$A$4:$A$81,MATCH($E2139,科目表!$B$4:$B$81,0)),""))</f>
        <v/>
      </c>
      <c r="G2139" s="67" t="str">
        <f aca="false">IF($E2139="","",IFERROR(INDEX(科目表!$E$4:$E$81,MATCH($E2139,科目表!$B$4:$B$81,0)),""))</f>
        <v/>
      </c>
      <c r="H2139" s="70" t="str">
        <f aca="false">IF($E2139="","",N(INDEX(成本费用登记表!$Q$4:$Y$303,10,8)))</f>
        <v/>
      </c>
      <c r="I2139" s="70" t="str">
        <f aca="false">IF($E2139="","",N(INDEX(成本费用登记表!$Q$4:$Y$303,10,9)))</f>
        <v/>
      </c>
      <c r="J2139" s="67" t="str">
        <f aca="false">IF($E2139="","",INDEX(成本费用登记表!$C$4:$C$303,10))</f>
        <v/>
      </c>
      <c r="K2139" s="67" t="str">
        <f aca="false">IF($E2139="","",INDEX(成本费用登记表!$D$4:$D$303,10))</f>
        <v/>
      </c>
      <c r="L2139" s="107" t="str">
        <f aca="false">IF($E2139="","",INDEX(成本费用登记表!$N$4:$N$303,10))</f>
        <v/>
      </c>
      <c r="M2139" s="107"/>
      <c r="N2139" s="67" t="str">
        <f aca="false">IF($E2139="","","系统")</f>
        <v/>
      </c>
      <c r="O2139" s="67" t="str">
        <f aca="false">IF($E2139="","","自动C")</f>
        <v/>
      </c>
      <c r="P2139" s="18"/>
    </row>
    <row r="2140" customFormat="false" ht="18" hidden="false" customHeight="true" outlineLevel="0" collapsed="false">
      <c r="A2140" s="107" t="str">
        <f aca="false">IF($E2140="","",ROW()-3)</f>
        <v/>
      </c>
      <c r="B2140" s="110" t="str">
        <f aca="false">IF($E2140="","",INDEX(成本费用登记表!$B$4:$B$303,11))</f>
        <v/>
      </c>
      <c r="C2140" s="67" t="str">
        <f aca="false">IF($E2140="","","记-"&amp;TEXT($B2140,"YYYYMM")&amp;"-费用")</f>
        <v/>
      </c>
      <c r="D2140" s="107" t="str">
        <f aca="false">IF($E2140="","",INDEX(成本费用登记表!$E$4:$E$303,11))</f>
        <v/>
      </c>
      <c r="E2140" s="67" t="str">
        <f aca="false">IF(INDEX(成本费用登记表!$Q$4:$Y$303,11,1)=0,"",INDEX(成本费用登记表!$Q$4:$Y$303,11,1))</f>
        <v/>
      </c>
      <c r="F2140" s="99" t="str">
        <f aca="false">IF($E2140="","",IFERROR(INDEX(科目表!$A$4:$A$81,MATCH($E2140,科目表!$B$4:$B$81,0)),""))</f>
        <v/>
      </c>
      <c r="G2140" s="67" t="str">
        <f aca="false">IF($E2140="","",IFERROR(INDEX(科目表!$E$4:$E$81,MATCH($E2140,科目表!$B$4:$B$81,0)),""))</f>
        <v/>
      </c>
      <c r="H2140" s="70" t="str">
        <f aca="false">IF($E2140="","",N(INDEX(成本费用登记表!$Q$4:$Y$303,11,2)))</f>
        <v/>
      </c>
      <c r="I2140" s="70" t="str">
        <f aca="false">IF($E2140="","",N(INDEX(成本费用登记表!$Q$4:$Y$303,11,3)))</f>
        <v/>
      </c>
      <c r="J2140" s="67" t="str">
        <f aca="false">IF($E2140="","",INDEX(成本费用登记表!$C$4:$C$303,11))</f>
        <v/>
      </c>
      <c r="K2140" s="67" t="str">
        <f aca="false">IF($E2140="","",INDEX(成本费用登记表!$D$4:$D$303,11))</f>
        <v/>
      </c>
      <c r="L2140" s="107" t="str">
        <f aca="false">IF($E2140="","",INDEX(成本费用登记表!$N$4:$N$303,11))</f>
        <v/>
      </c>
      <c r="M2140" s="107"/>
      <c r="N2140" s="67" t="str">
        <f aca="false">IF($E2140="","","系统")</f>
        <v/>
      </c>
      <c r="O2140" s="67" t="str">
        <f aca="false">IF($E2140="","","自动C")</f>
        <v/>
      </c>
      <c r="P2140" s="18"/>
    </row>
    <row r="2141" customFormat="false" ht="18" hidden="false" customHeight="true" outlineLevel="0" collapsed="false">
      <c r="A2141" s="107" t="str">
        <f aca="false">IF($E2141="","",ROW()-3)</f>
        <v/>
      </c>
      <c r="B2141" s="110" t="str">
        <f aca="false">IF($E2141="","",INDEX(成本费用登记表!$B$4:$B$303,11))</f>
        <v/>
      </c>
      <c r="C2141" s="67" t="str">
        <f aca="false">IF($E2141="","","记-"&amp;TEXT($B2141,"YYYYMM")&amp;"-费用")</f>
        <v/>
      </c>
      <c r="D2141" s="107" t="str">
        <f aca="false">IF($E2141="","",INDEX(成本费用登记表!$E$4:$E$303,11))</f>
        <v/>
      </c>
      <c r="E2141" s="67" t="str">
        <f aca="false">IF(INDEX(成本费用登记表!$Q$4:$Y$303,11,4)=0,"",INDEX(成本费用登记表!$Q$4:$Y$303,11,4))</f>
        <v/>
      </c>
      <c r="F2141" s="99" t="str">
        <f aca="false">IF($E2141="","",IFERROR(INDEX(科目表!$A$4:$A$81,MATCH($E2141,科目表!$B$4:$B$81,0)),""))</f>
        <v/>
      </c>
      <c r="G2141" s="67" t="str">
        <f aca="false">IF($E2141="","",IFERROR(INDEX(科目表!$E$4:$E$81,MATCH($E2141,科目表!$B$4:$B$81,0)),""))</f>
        <v/>
      </c>
      <c r="H2141" s="70" t="str">
        <f aca="false">IF($E2141="","",N(INDEX(成本费用登记表!$Q$4:$Y$303,11,5)))</f>
        <v/>
      </c>
      <c r="I2141" s="70" t="str">
        <f aca="false">IF($E2141="","",N(INDEX(成本费用登记表!$Q$4:$Y$303,11,6)))</f>
        <v/>
      </c>
      <c r="J2141" s="67" t="str">
        <f aca="false">IF($E2141="","",INDEX(成本费用登记表!$C$4:$C$303,11))</f>
        <v/>
      </c>
      <c r="K2141" s="67" t="str">
        <f aca="false">IF($E2141="","",INDEX(成本费用登记表!$D$4:$D$303,11))</f>
        <v/>
      </c>
      <c r="L2141" s="107" t="str">
        <f aca="false">IF($E2141="","",INDEX(成本费用登记表!$N$4:$N$303,11))</f>
        <v/>
      </c>
      <c r="M2141" s="107"/>
      <c r="N2141" s="67" t="str">
        <f aca="false">IF($E2141="","","系统")</f>
        <v/>
      </c>
      <c r="O2141" s="67" t="str">
        <f aca="false">IF($E2141="","","自动C")</f>
        <v/>
      </c>
      <c r="P2141" s="18"/>
    </row>
    <row r="2142" customFormat="false" ht="18" hidden="false" customHeight="true" outlineLevel="0" collapsed="false">
      <c r="A2142" s="107" t="str">
        <f aca="false">IF($E2142="","",ROW()-3)</f>
        <v/>
      </c>
      <c r="B2142" s="110" t="str">
        <f aca="false">IF($E2142="","",INDEX(成本费用登记表!$B$4:$B$303,11))</f>
        <v/>
      </c>
      <c r="C2142" s="67" t="str">
        <f aca="false">IF($E2142="","","记-"&amp;TEXT($B2142,"YYYYMM")&amp;"-费用")</f>
        <v/>
      </c>
      <c r="D2142" s="107" t="str">
        <f aca="false">IF($E2142="","",INDEX(成本费用登记表!$E$4:$E$303,11))</f>
        <v/>
      </c>
      <c r="E2142" s="67" t="str">
        <f aca="false">IF(INDEX(成本费用登记表!$Q$4:$Y$303,11,7)=0,"",INDEX(成本费用登记表!$Q$4:$Y$303,11,7))</f>
        <v/>
      </c>
      <c r="F2142" s="99" t="str">
        <f aca="false">IF($E2142="","",IFERROR(INDEX(科目表!$A$4:$A$81,MATCH($E2142,科目表!$B$4:$B$81,0)),""))</f>
        <v/>
      </c>
      <c r="G2142" s="67" t="str">
        <f aca="false">IF($E2142="","",IFERROR(INDEX(科目表!$E$4:$E$81,MATCH($E2142,科目表!$B$4:$B$81,0)),""))</f>
        <v/>
      </c>
      <c r="H2142" s="70" t="str">
        <f aca="false">IF($E2142="","",N(INDEX(成本费用登记表!$Q$4:$Y$303,11,8)))</f>
        <v/>
      </c>
      <c r="I2142" s="70" t="str">
        <f aca="false">IF($E2142="","",N(INDEX(成本费用登记表!$Q$4:$Y$303,11,9)))</f>
        <v/>
      </c>
      <c r="J2142" s="67" t="str">
        <f aca="false">IF($E2142="","",INDEX(成本费用登记表!$C$4:$C$303,11))</f>
        <v/>
      </c>
      <c r="K2142" s="67" t="str">
        <f aca="false">IF($E2142="","",INDEX(成本费用登记表!$D$4:$D$303,11))</f>
        <v/>
      </c>
      <c r="L2142" s="107" t="str">
        <f aca="false">IF($E2142="","",INDEX(成本费用登记表!$N$4:$N$303,11))</f>
        <v/>
      </c>
      <c r="M2142" s="107"/>
      <c r="N2142" s="67" t="str">
        <f aca="false">IF($E2142="","","系统")</f>
        <v/>
      </c>
      <c r="O2142" s="67" t="str">
        <f aca="false">IF($E2142="","","自动C")</f>
        <v/>
      </c>
      <c r="P2142" s="18"/>
    </row>
    <row r="2143" customFormat="false" ht="18" hidden="false" customHeight="true" outlineLevel="0" collapsed="false">
      <c r="A2143" s="107" t="str">
        <f aca="false">IF($E2143="","",ROW()-3)</f>
        <v/>
      </c>
      <c r="B2143" s="110" t="str">
        <f aca="false">IF($E2143="","",INDEX(成本费用登记表!$B$4:$B$303,12))</f>
        <v/>
      </c>
      <c r="C2143" s="67" t="str">
        <f aca="false">IF($E2143="","","记-"&amp;TEXT($B2143,"YYYYMM")&amp;"-费用")</f>
        <v/>
      </c>
      <c r="D2143" s="107" t="str">
        <f aca="false">IF($E2143="","",INDEX(成本费用登记表!$E$4:$E$303,12))</f>
        <v/>
      </c>
      <c r="E2143" s="67" t="str">
        <f aca="false">IF(INDEX(成本费用登记表!$Q$4:$Y$303,12,1)=0,"",INDEX(成本费用登记表!$Q$4:$Y$303,12,1))</f>
        <v/>
      </c>
      <c r="F2143" s="99" t="str">
        <f aca="false">IF($E2143="","",IFERROR(INDEX(科目表!$A$4:$A$81,MATCH($E2143,科目表!$B$4:$B$81,0)),""))</f>
        <v/>
      </c>
      <c r="G2143" s="67" t="str">
        <f aca="false">IF($E2143="","",IFERROR(INDEX(科目表!$E$4:$E$81,MATCH($E2143,科目表!$B$4:$B$81,0)),""))</f>
        <v/>
      </c>
      <c r="H2143" s="70" t="str">
        <f aca="false">IF($E2143="","",N(INDEX(成本费用登记表!$Q$4:$Y$303,12,2)))</f>
        <v/>
      </c>
      <c r="I2143" s="70" t="str">
        <f aca="false">IF($E2143="","",N(INDEX(成本费用登记表!$Q$4:$Y$303,12,3)))</f>
        <v/>
      </c>
      <c r="J2143" s="67" t="str">
        <f aca="false">IF($E2143="","",INDEX(成本费用登记表!$C$4:$C$303,12))</f>
        <v/>
      </c>
      <c r="K2143" s="67" t="str">
        <f aca="false">IF($E2143="","",INDEX(成本费用登记表!$D$4:$D$303,12))</f>
        <v/>
      </c>
      <c r="L2143" s="107" t="str">
        <f aca="false">IF($E2143="","",INDEX(成本费用登记表!$N$4:$N$303,12))</f>
        <v/>
      </c>
      <c r="M2143" s="107"/>
      <c r="N2143" s="67" t="str">
        <f aca="false">IF($E2143="","","系统")</f>
        <v/>
      </c>
      <c r="O2143" s="67" t="str">
        <f aca="false">IF($E2143="","","自动C")</f>
        <v/>
      </c>
      <c r="P2143" s="18"/>
    </row>
    <row r="2144" customFormat="false" ht="18" hidden="false" customHeight="true" outlineLevel="0" collapsed="false">
      <c r="A2144" s="107" t="str">
        <f aca="false">IF($E2144="","",ROW()-3)</f>
        <v/>
      </c>
      <c r="B2144" s="110" t="str">
        <f aca="false">IF($E2144="","",INDEX(成本费用登记表!$B$4:$B$303,12))</f>
        <v/>
      </c>
      <c r="C2144" s="67" t="str">
        <f aca="false">IF($E2144="","","记-"&amp;TEXT($B2144,"YYYYMM")&amp;"-费用")</f>
        <v/>
      </c>
      <c r="D2144" s="107" t="str">
        <f aca="false">IF($E2144="","",INDEX(成本费用登记表!$E$4:$E$303,12))</f>
        <v/>
      </c>
      <c r="E2144" s="67" t="str">
        <f aca="false">IF(INDEX(成本费用登记表!$Q$4:$Y$303,12,4)=0,"",INDEX(成本费用登记表!$Q$4:$Y$303,12,4))</f>
        <v/>
      </c>
      <c r="F2144" s="99" t="str">
        <f aca="false">IF($E2144="","",IFERROR(INDEX(科目表!$A$4:$A$81,MATCH($E2144,科目表!$B$4:$B$81,0)),""))</f>
        <v/>
      </c>
      <c r="G2144" s="67" t="str">
        <f aca="false">IF($E2144="","",IFERROR(INDEX(科目表!$E$4:$E$81,MATCH($E2144,科目表!$B$4:$B$81,0)),""))</f>
        <v/>
      </c>
      <c r="H2144" s="70" t="str">
        <f aca="false">IF($E2144="","",N(INDEX(成本费用登记表!$Q$4:$Y$303,12,5)))</f>
        <v/>
      </c>
      <c r="I2144" s="70" t="str">
        <f aca="false">IF($E2144="","",N(INDEX(成本费用登记表!$Q$4:$Y$303,12,6)))</f>
        <v/>
      </c>
      <c r="J2144" s="67" t="str">
        <f aca="false">IF($E2144="","",INDEX(成本费用登记表!$C$4:$C$303,12))</f>
        <v/>
      </c>
      <c r="K2144" s="67" t="str">
        <f aca="false">IF($E2144="","",INDEX(成本费用登记表!$D$4:$D$303,12))</f>
        <v/>
      </c>
      <c r="L2144" s="107" t="str">
        <f aca="false">IF($E2144="","",INDEX(成本费用登记表!$N$4:$N$303,12))</f>
        <v/>
      </c>
      <c r="M2144" s="107"/>
      <c r="N2144" s="67" t="str">
        <f aca="false">IF($E2144="","","系统")</f>
        <v/>
      </c>
      <c r="O2144" s="67" t="str">
        <f aca="false">IF($E2144="","","自动C")</f>
        <v/>
      </c>
      <c r="P2144" s="18"/>
    </row>
    <row r="2145" customFormat="false" ht="18" hidden="false" customHeight="true" outlineLevel="0" collapsed="false">
      <c r="A2145" s="107" t="str">
        <f aca="false">IF($E2145="","",ROW()-3)</f>
        <v/>
      </c>
      <c r="B2145" s="110" t="str">
        <f aca="false">IF($E2145="","",INDEX(成本费用登记表!$B$4:$B$303,12))</f>
        <v/>
      </c>
      <c r="C2145" s="67" t="str">
        <f aca="false">IF($E2145="","","记-"&amp;TEXT($B2145,"YYYYMM")&amp;"-费用")</f>
        <v/>
      </c>
      <c r="D2145" s="107" t="str">
        <f aca="false">IF($E2145="","",INDEX(成本费用登记表!$E$4:$E$303,12))</f>
        <v/>
      </c>
      <c r="E2145" s="67" t="str">
        <f aca="false">IF(INDEX(成本费用登记表!$Q$4:$Y$303,12,7)=0,"",INDEX(成本费用登记表!$Q$4:$Y$303,12,7))</f>
        <v/>
      </c>
      <c r="F2145" s="99" t="str">
        <f aca="false">IF($E2145="","",IFERROR(INDEX(科目表!$A$4:$A$81,MATCH($E2145,科目表!$B$4:$B$81,0)),""))</f>
        <v/>
      </c>
      <c r="G2145" s="67" t="str">
        <f aca="false">IF($E2145="","",IFERROR(INDEX(科目表!$E$4:$E$81,MATCH($E2145,科目表!$B$4:$B$81,0)),""))</f>
        <v/>
      </c>
      <c r="H2145" s="70" t="str">
        <f aca="false">IF($E2145="","",N(INDEX(成本费用登记表!$Q$4:$Y$303,12,8)))</f>
        <v/>
      </c>
      <c r="I2145" s="70" t="str">
        <f aca="false">IF($E2145="","",N(INDEX(成本费用登记表!$Q$4:$Y$303,12,9)))</f>
        <v/>
      </c>
      <c r="J2145" s="67" t="str">
        <f aca="false">IF($E2145="","",INDEX(成本费用登记表!$C$4:$C$303,12))</f>
        <v/>
      </c>
      <c r="K2145" s="67" t="str">
        <f aca="false">IF($E2145="","",INDEX(成本费用登记表!$D$4:$D$303,12))</f>
        <v/>
      </c>
      <c r="L2145" s="107" t="str">
        <f aca="false">IF($E2145="","",INDEX(成本费用登记表!$N$4:$N$303,12))</f>
        <v/>
      </c>
      <c r="M2145" s="107"/>
      <c r="N2145" s="67" t="str">
        <f aca="false">IF($E2145="","","系统")</f>
        <v/>
      </c>
      <c r="O2145" s="67" t="str">
        <f aca="false">IF($E2145="","","自动C")</f>
        <v/>
      </c>
      <c r="P2145" s="18"/>
    </row>
    <row r="2146" customFormat="false" ht="18" hidden="false" customHeight="true" outlineLevel="0" collapsed="false">
      <c r="A2146" s="107" t="str">
        <f aca="false">IF($E2146="","",ROW()-3)</f>
        <v/>
      </c>
      <c r="B2146" s="110" t="str">
        <f aca="false">IF($E2146="","",INDEX(成本费用登记表!$B$4:$B$303,13))</f>
        <v/>
      </c>
      <c r="C2146" s="67" t="str">
        <f aca="false">IF($E2146="","","记-"&amp;TEXT($B2146,"YYYYMM")&amp;"-费用")</f>
        <v/>
      </c>
      <c r="D2146" s="107" t="str">
        <f aca="false">IF($E2146="","",INDEX(成本费用登记表!$E$4:$E$303,13))</f>
        <v/>
      </c>
      <c r="E2146" s="67" t="str">
        <f aca="false">IF(INDEX(成本费用登记表!$Q$4:$Y$303,13,1)=0,"",INDEX(成本费用登记表!$Q$4:$Y$303,13,1))</f>
        <v/>
      </c>
      <c r="F2146" s="99" t="str">
        <f aca="false">IF($E2146="","",IFERROR(INDEX(科目表!$A$4:$A$81,MATCH($E2146,科目表!$B$4:$B$81,0)),""))</f>
        <v/>
      </c>
      <c r="G2146" s="67" t="str">
        <f aca="false">IF($E2146="","",IFERROR(INDEX(科目表!$E$4:$E$81,MATCH($E2146,科目表!$B$4:$B$81,0)),""))</f>
        <v/>
      </c>
      <c r="H2146" s="70" t="str">
        <f aca="false">IF($E2146="","",N(INDEX(成本费用登记表!$Q$4:$Y$303,13,2)))</f>
        <v/>
      </c>
      <c r="I2146" s="70" t="str">
        <f aca="false">IF($E2146="","",N(INDEX(成本费用登记表!$Q$4:$Y$303,13,3)))</f>
        <v/>
      </c>
      <c r="J2146" s="67" t="str">
        <f aca="false">IF($E2146="","",INDEX(成本费用登记表!$C$4:$C$303,13))</f>
        <v/>
      </c>
      <c r="K2146" s="67" t="str">
        <f aca="false">IF($E2146="","",INDEX(成本费用登记表!$D$4:$D$303,13))</f>
        <v/>
      </c>
      <c r="L2146" s="107" t="str">
        <f aca="false">IF($E2146="","",INDEX(成本费用登记表!$N$4:$N$303,13))</f>
        <v/>
      </c>
      <c r="M2146" s="107"/>
      <c r="N2146" s="67" t="str">
        <f aca="false">IF($E2146="","","系统")</f>
        <v/>
      </c>
      <c r="O2146" s="67" t="str">
        <f aca="false">IF($E2146="","","自动C")</f>
        <v/>
      </c>
      <c r="P2146" s="18"/>
    </row>
    <row r="2147" customFormat="false" ht="18" hidden="false" customHeight="true" outlineLevel="0" collapsed="false">
      <c r="A2147" s="107" t="str">
        <f aca="false">IF($E2147="","",ROW()-3)</f>
        <v/>
      </c>
      <c r="B2147" s="110" t="str">
        <f aca="false">IF($E2147="","",INDEX(成本费用登记表!$B$4:$B$303,13))</f>
        <v/>
      </c>
      <c r="C2147" s="67" t="str">
        <f aca="false">IF($E2147="","","记-"&amp;TEXT($B2147,"YYYYMM")&amp;"-费用")</f>
        <v/>
      </c>
      <c r="D2147" s="107" t="str">
        <f aca="false">IF($E2147="","",INDEX(成本费用登记表!$E$4:$E$303,13))</f>
        <v/>
      </c>
      <c r="E2147" s="67" t="str">
        <f aca="false">IF(INDEX(成本费用登记表!$Q$4:$Y$303,13,4)=0,"",INDEX(成本费用登记表!$Q$4:$Y$303,13,4))</f>
        <v/>
      </c>
      <c r="F2147" s="99" t="str">
        <f aca="false">IF($E2147="","",IFERROR(INDEX(科目表!$A$4:$A$81,MATCH($E2147,科目表!$B$4:$B$81,0)),""))</f>
        <v/>
      </c>
      <c r="G2147" s="67" t="str">
        <f aca="false">IF($E2147="","",IFERROR(INDEX(科目表!$E$4:$E$81,MATCH($E2147,科目表!$B$4:$B$81,0)),""))</f>
        <v/>
      </c>
      <c r="H2147" s="70" t="str">
        <f aca="false">IF($E2147="","",N(INDEX(成本费用登记表!$Q$4:$Y$303,13,5)))</f>
        <v/>
      </c>
      <c r="I2147" s="70" t="str">
        <f aca="false">IF($E2147="","",N(INDEX(成本费用登记表!$Q$4:$Y$303,13,6)))</f>
        <v/>
      </c>
      <c r="J2147" s="67" t="str">
        <f aca="false">IF($E2147="","",INDEX(成本费用登记表!$C$4:$C$303,13))</f>
        <v/>
      </c>
      <c r="K2147" s="67" t="str">
        <f aca="false">IF($E2147="","",INDEX(成本费用登记表!$D$4:$D$303,13))</f>
        <v/>
      </c>
      <c r="L2147" s="107" t="str">
        <f aca="false">IF($E2147="","",INDEX(成本费用登记表!$N$4:$N$303,13))</f>
        <v/>
      </c>
      <c r="M2147" s="107"/>
      <c r="N2147" s="67" t="str">
        <f aca="false">IF($E2147="","","系统")</f>
        <v/>
      </c>
      <c r="O2147" s="67" t="str">
        <f aca="false">IF($E2147="","","自动C")</f>
        <v/>
      </c>
      <c r="P2147" s="18"/>
    </row>
    <row r="2148" customFormat="false" ht="18" hidden="false" customHeight="true" outlineLevel="0" collapsed="false">
      <c r="A2148" s="107" t="str">
        <f aca="false">IF($E2148="","",ROW()-3)</f>
        <v/>
      </c>
      <c r="B2148" s="110" t="str">
        <f aca="false">IF($E2148="","",INDEX(成本费用登记表!$B$4:$B$303,13))</f>
        <v/>
      </c>
      <c r="C2148" s="67" t="str">
        <f aca="false">IF($E2148="","","记-"&amp;TEXT($B2148,"YYYYMM")&amp;"-费用")</f>
        <v/>
      </c>
      <c r="D2148" s="107" t="str">
        <f aca="false">IF($E2148="","",INDEX(成本费用登记表!$E$4:$E$303,13))</f>
        <v/>
      </c>
      <c r="E2148" s="67" t="str">
        <f aca="false">IF(INDEX(成本费用登记表!$Q$4:$Y$303,13,7)=0,"",INDEX(成本费用登记表!$Q$4:$Y$303,13,7))</f>
        <v/>
      </c>
      <c r="F2148" s="99" t="str">
        <f aca="false">IF($E2148="","",IFERROR(INDEX(科目表!$A$4:$A$81,MATCH($E2148,科目表!$B$4:$B$81,0)),""))</f>
        <v/>
      </c>
      <c r="G2148" s="67" t="str">
        <f aca="false">IF($E2148="","",IFERROR(INDEX(科目表!$E$4:$E$81,MATCH($E2148,科目表!$B$4:$B$81,0)),""))</f>
        <v/>
      </c>
      <c r="H2148" s="70" t="str">
        <f aca="false">IF($E2148="","",N(INDEX(成本费用登记表!$Q$4:$Y$303,13,8)))</f>
        <v/>
      </c>
      <c r="I2148" s="70" t="str">
        <f aca="false">IF($E2148="","",N(INDEX(成本费用登记表!$Q$4:$Y$303,13,9)))</f>
        <v/>
      </c>
      <c r="J2148" s="67" t="str">
        <f aca="false">IF($E2148="","",INDEX(成本费用登记表!$C$4:$C$303,13))</f>
        <v/>
      </c>
      <c r="K2148" s="67" t="str">
        <f aca="false">IF($E2148="","",INDEX(成本费用登记表!$D$4:$D$303,13))</f>
        <v/>
      </c>
      <c r="L2148" s="107" t="str">
        <f aca="false">IF($E2148="","",INDEX(成本费用登记表!$N$4:$N$303,13))</f>
        <v/>
      </c>
      <c r="M2148" s="107"/>
      <c r="N2148" s="67" t="str">
        <f aca="false">IF($E2148="","","系统")</f>
        <v/>
      </c>
      <c r="O2148" s="67" t="str">
        <f aca="false">IF($E2148="","","自动C")</f>
        <v/>
      </c>
      <c r="P2148" s="18"/>
    </row>
    <row r="2149" customFormat="false" ht="18" hidden="false" customHeight="true" outlineLevel="0" collapsed="false">
      <c r="A2149" s="107" t="str">
        <f aca="false">IF($E2149="","",ROW()-3)</f>
        <v/>
      </c>
      <c r="B2149" s="110" t="str">
        <f aca="false">IF($E2149="","",INDEX(成本费用登记表!$B$4:$B$303,14))</f>
        <v/>
      </c>
      <c r="C2149" s="67" t="str">
        <f aca="false">IF($E2149="","","记-"&amp;TEXT($B2149,"YYYYMM")&amp;"-费用")</f>
        <v/>
      </c>
      <c r="D2149" s="107" t="str">
        <f aca="false">IF($E2149="","",INDEX(成本费用登记表!$E$4:$E$303,14))</f>
        <v/>
      </c>
      <c r="E2149" s="67" t="str">
        <f aca="false">IF(INDEX(成本费用登记表!$Q$4:$Y$303,14,1)=0,"",INDEX(成本费用登记表!$Q$4:$Y$303,14,1))</f>
        <v/>
      </c>
      <c r="F2149" s="99" t="str">
        <f aca="false">IF($E2149="","",IFERROR(INDEX(科目表!$A$4:$A$81,MATCH($E2149,科目表!$B$4:$B$81,0)),""))</f>
        <v/>
      </c>
      <c r="G2149" s="67" t="str">
        <f aca="false">IF($E2149="","",IFERROR(INDEX(科目表!$E$4:$E$81,MATCH($E2149,科目表!$B$4:$B$81,0)),""))</f>
        <v/>
      </c>
      <c r="H2149" s="70" t="str">
        <f aca="false">IF($E2149="","",N(INDEX(成本费用登记表!$Q$4:$Y$303,14,2)))</f>
        <v/>
      </c>
      <c r="I2149" s="70" t="str">
        <f aca="false">IF($E2149="","",N(INDEX(成本费用登记表!$Q$4:$Y$303,14,3)))</f>
        <v/>
      </c>
      <c r="J2149" s="67" t="str">
        <f aca="false">IF($E2149="","",INDEX(成本费用登记表!$C$4:$C$303,14))</f>
        <v/>
      </c>
      <c r="K2149" s="67" t="str">
        <f aca="false">IF($E2149="","",INDEX(成本费用登记表!$D$4:$D$303,14))</f>
        <v/>
      </c>
      <c r="L2149" s="107" t="str">
        <f aca="false">IF($E2149="","",INDEX(成本费用登记表!$N$4:$N$303,14))</f>
        <v/>
      </c>
      <c r="M2149" s="107"/>
      <c r="N2149" s="67" t="str">
        <f aca="false">IF($E2149="","","系统")</f>
        <v/>
      </c>
      <c r="O2149" s="67" t="str">
        <f aca="false">IF($E2149="","","自动C")</f>
        <v/>
      </c>
      <c r="P2149" s="18"/>
    </row>
    <row r="2150" customFormat="false" ht="18" hidden="false" customHeight="true" outlineLevel="0" collapsed="false">
      <c r="A2150" s="107" t="str">
        <f aca="false">IF($E2150="","",ROW()-3)</f>
        <v/>
      </c>
      <c r="B2150" s="110" t="str">
        <f aca="false">IF($E2150="","",INDEX(成本费用登记表!$B$4:$B$303,14))</f>
        <v/>
      </c>
      <c r="C2150" s="67" t="str">
        <f aca="false">IF($E2150="","","记-"&amp;TEXT($B2150,"YYYYMM")&amp;"-费用")</f>
        <v/>
      </c>
      <c r="D2150" s="107" t="str">
        <f aca="false">IF($E2150="","",INDEX(成本费用登记表!$E$4:$E$303,14))</f>
        <v/>
      </c>
      <c r="E2150" s="67" t="str">
        <f aca="false">IF(INDEX(成本费用登记表!$Q$4:$Y$303,14,4)=0,"",INDEX(成本费用登记表!$Q$4:$Y$303,14,4))</f>
        <v/>
      </c>
      <c r="F2150" s="99" t="str">
        <f aca="false">IF($E2150="","",IFERROR(INDEX(科目表!$A$4:$A$81,MATCH($E2150,科目表!$B$4:$B$81,0)),""))</f>
        <v/>
      </c>
      <c r="G2150" s="67" t="str">
        <f aca="false">IF($E2150="","",IFERROR(INDEX(科目表!$E$4:$E$81,MATCH($E2150,科目表!$B$4:$B$81,0)),""))</f>
        <v/>
      </c>
      <c r="H2150" s="70" t="str">
        <f aca="false">IF($E2150="","",N(INDEX(成本费用登记表!$Q$4:$Y$303,14,5)))</f>
        <v/>
      </c>
      <c r="I2150" s="70" t="str">
        <f aca="false">IF($E2150="","",N(INDEX(成本费用登记表!$Q$4:$Y$303,14,6)))</f>
        <v/>
      </c>
      <c r="J2150" s="67" t="str">
        <f aca="false">IF($E2150="","",INDEX(成本费用登记表!$C$4:$C$303,14))</f>
        <v/>
      </c>
      <c r="K2150" s="67" t="str">
        <f aca="false">IF($E2150="","",INDEX(成本费用登记表!$D$4:$D$303,14))</f>
        <v/>
      </c>
      <c r="L2150" s="107" t="str">
        <f aca="false">IF($E2150="","",INDEX(成本费用登记表!$N$4:$N$303,14))</f>
        <v/>
      </c>
      <c r="M2150" s="107"/>
      <c r="N2150" s="67" t="str">
        <f aca="false">IF($E2150="","","系统")</f>
        <v/>
      </c>
      <c r="O2150" s="67" t="str">
        <f aca="false">IF($E2150="","","自动C")</f>
        <v/>
      </c>
      <c r="P2150" s="18"/>
    </row>
    <row r="2151" customFormat="false" ht="18" hidden="false" customHeight="true" outlineLevel="0" collapsed="false">
      <c r="A2151" s="107" t="str">
        <f aca="false">IF($E2151="","",ROW()-3)</f>
        <v/>
      </c>
      <c r="B2151" s="110" t="str">
        <f aca="false">IF($E2151="","",INDEX(成本费用登记表!$B$4:$B$303,14))</f>
        <v/>
      </c>
      <c r="C2151" s="67" t="str">
        <f aca="false">IF($E2151="","","记-"&amp;TEXT($B2151,"YYYYMM")&amp;"-费用")</f>
        <v/>
      </c>
      <c r="D2151" s="107" t="str">
        <f aca="false">IF($E2151="","",INDEX(成本费用登记表!$E$4:$E$303,14))</f>
        <v/>
      </c>
      <c r="E2151" s="67" t="str">
        <f aca="false">IF(INDEX(成本费用登记表!$Q$4:$Y$303,14,7)=0,"",INDEX(成本费用登记表!$Q$4:$Y$303,14,7))</f>
        <v/>
      </c>
      <c r="F2151" s="99" t="str">
        <f aca="false">IF($E2151="","",IFERROR(INDEX(科目表!$A$4:$A$81,MATCH($E2151,科目表!$B$4:$B$81,0)),""))</f>
        <v/>
      </c>
      <c r="G2151" s="67" t="str">
        <f aca="false">IF($E2151="","",IFERROR(INDEX(科目表!$E$4:$E$81,MATCH($E2151,科目表!$B$4:$B$81,0)),""))</f>
        <v/>
      </c>
      <c r="H2151" s="70" t="str">
        <f aca="false">IF($E2151="","",N(INDEX(成本费用登记表!$Q$4:$Y$303,14,8)))</f>
        <v/>
      </c>
      <c r="I2151" s="70" t="str">
        <f aca="false">IF($E2151="","",N(INDEX(成本费用登记表!$Q$4:$Y$303,14,9)))</f>
        <v/>
      </c>
      <c r="J2151" s="67" t="str">
        <f aca="false">IF($E2151="","",INDEX(成本费用登记表!$C$4:$C$303,14))</f>
        <v/>
      </c>
      <c r="K2151" s="67" t="str">
        <f aca="false">IF($E2151="","",INDEX(成本费用登记表!$D$4:$D$303,14))</f>
        <v/>
      </c>
      <c r="L2151" s="107" t="str">
        <f aca="false">IF($E2151="","",INDEX(成本费用登记表!$N$4:$N$303,14))</f>
        <v/>
      </c>
      <c r="M2151" s="107"/>
      <c r="N2151" s="67" t="str">
        <f aca="false">IF($E2151="","","系统")</f>
        <v/>
      </c>
      <c r="O2151" s="67" t="str">
        <f aca="false">IF($E2151="","","自动C")</f>
        <v/>
      </c>
      <c r="P2151" s="18"/>
    </row>
    <row r="2152" customFormat="false" ht="18" hidden="false" customHeight="true" outlineLevel="0" collapsed="false">
      <c r="A2152" s="107" t="str">
        <f aca="false">IF($E2152="","",ROW()-3)</f>
        <v/>
      </c>
      <c r="B2152" s="110" t="str">
        <f aca="false">IF($E2152="","",INDEX(成本费用登记表!$B$4:$B$303,15))</f>
        <v/>
      </c>
      <c r="C2152" s="67" t="str">
        <f aca="false">IF($E2152="","","记-"&amp;TEXT($B2152,"YYYYMM")&amp;"-费用")</f>
        <v/>
      </c>
      <c r="D2152" s="107" t="str">
        <f aca="false">IF($E2152="","",INDEX(成本费用登记表!$E$4:$E$303,15))</f>
        <v/>
      </c>
      <c r="E2152" s="67" t="str">
        <f aca="false">IF(INDEX(成本费用登记表!$Q$4:$Y$303,15,1)=0,"",INDEX(成本费用登记表!$Q$4:$Y$303,15,1))</f>
        <v/>
      </c>
      <c r="F2152" s="99" t="str">
        <f aca="false">IF($E2152="","",IFERROR(INDEX(科目表!$A$4:$A$81,MATCH($E2152,科目表!$B$4:$B$81,0)),""))</f>
        <v/>
      </c>
      <c r="G2152" s="67" t="str">
        <f aca="false">IF($E2152="","",IFERROR(INDEX(科目表!$E$4:$E$81,MATCH($E2152,科目表!$B$4:$B$81,0)),""))</f>
        <v/>
      </c>
      <c r="H2152" s="70" t="str">
        <f aca="false">IF($E2152="","",N(INDEX(成本费用登记表!$Q$4:$Y$303,15,2)))</f>
        <v/>
      </c>
      <c r="I2152" s="70" t="str">
        <f aca="false">IF($E2152="","",N(INDEX(成本费用登记表!$Q$4:$Y$303,15,3)))</f>
        <v/>
      </c>
      <c r="J2152" s="67" t="str">
        <f aca="false">IF($E2152="","",INDEX(成本费用登记表!$C$4:$C$303,15))</f>
        <v/>
      </c>
      <c r="K2152" s="67" t="str">
        <f aca="false">IF($E2152="","",INDEX(成本费用登记表!$D$4:$D$303,15))</f>
        <v/>
      </c>
      <c r="L2152" s="107" t="str">
        <f aca="false">IF($E2152="","",INDEX(成本费用登记表!$N$4:$N$303,15))</f>
        <v/>
      </c>
      <c r="M2152" s="107"/>
      <c r="N2152" s="67" t="str">
        <f aca="false">IF($E2152="","","系统")</f>
        <v/>
      </c>
      <c r="O2152" s="67" t="str">
        <f aca="false">IF($E2152="","","自动C")</f>
        <v/>
      </c>
      <c r="P2152" s="18"/>
    </row>
    <row r="2153" customFormat="false" ht="18" hidden="false" customHeight="true" outlineLevel="0" collapsed="false">
      <c r="A2153" s="107" t="str">
        <f aca="false">IF($E2153="","",ROW()-3)</f>
        <v/>
      </c>
      <c r="B2153" s="110" t="str">
        <f aca="false">IF($E2153="","",INDEX(成本费用登记表!$B$4:$B$303,15))</f>
        <v/>
      </c>
      <c r="C2153" s="67" t="str">
        <f aca="false">IF($E2153="","","记-"&amp;TEXT($B2153,"YYYYMM")&amp;"-费用")</f>
        <v/>
      </c>
      <c r="D2153" s="107" t="str">
        <f aca="false">IF($E2153="","",INDEX(成本费用登记表!$E$4:$E$303,15))</f>
        <v/>
      </c>
      <c r="E2153" s="67" t="str">
        <f aca="false">IF(INDEX(成本费用登记表!$Q$4:$Y$303,15,4)=0,"",INDEX(成本费用登记表!$Q$4:$Y$303,15,4))</f>
        <v/>
      </c>
      <c r="F2153" s="99" t="str">
        <f aca="false">IF($E2153="","",IFERROR(INDEX(科目表!$A$4:$A$81,MATCH($E2153,科目表!$B$4:$B$81,0)),""))</f>
        <v/>
      </c>
      <c r="G2153" s="67" t="str">
        <f aca="false">IF($E2153="","",IFERROR(INDEX(科目表!$E$4:$E$81,MATCH($E2153,科目表!$B$4:$B$81,0)),""))</f>
        <v/>
      </c>
      <c r="H2153" s="70" t="str">
        <f aca="false">IF($E2153="","",N(INDEX(成本费用登记表!$Q$4:$Y$303,15,5)))</f>
        <v/>
      </c>
      <c r="I2153" s="70" t="str">
        <f aca="false">IF($E2153="","",N(INDEX(成本费用登记表!$Q$4:$Y$303,15,6)))</f>
        <v/>
      </c>
      <c r="J2153" s="67" t="str">
        <f aca="false">IF($E2153="","",INDEX(成本费用登记表!$C$4:$C$303,15))</f>
        <v/>
      </c>
      <c r="K2153" s="67" t="str">
        <f aca="false">IF($E2153="","",INDEX(成本费用登记表!$D$4:$D$303,15))</f>
        <v/>
      </c>
      <c r="L2153" s="107" t="str">
        <f aca="false">IF($E2153="","",INDEX(成本费用登记表!$N$4:$N$303,15))</f>
        <v/>
      </c>
      <c r="M2153" s="107"/>
      <c r="N2153" s="67" t="str">
        <f aca="false">IF($E2153="","","系统")</f>
        <v/>
      </c>
      <c r="O2153" s="67" t="str">
        <f aca="false">IF($E2153="","","自动C")</f>
        <v/>
      </c>
      <c r="P2153" s="18"/>
    </row>
    <row r="2154" customFormat="false" ht="18" hidden="false" customHeight="true" outlineLevel="0" collapsed="false">
      <c r="A2154" s="107" t="str">
        <f aca="false">IF($E2154="","",ROW()-3)</f>
        <v/>
      </c>
      <c r="B2154" s="110" t="str">
        <f aca="false">IF($E2154="","",INDEX(成本费用登记表!$B$4:$B$303,15))</f>
        <v/>
      </c>
      <c r="C2154" s="67" t="str">
        <f aca="false">IF($E2154="","","记-"&amp;TEXT($B2154,"YYYYMM")&amp;"-费用")</f>
        <v/>
      </c>
      <c r="D2154" s="107" t="str">
        <f aca="false">IF($E2154="","",INDEX(成本费用登记表!$E$4:$E$303,15))</f>
        <v/>
      </c>
      <c r="E2154" s="67" t="str">
        <f aca="false">IF(INDEX(成本费用登记表!$Q$4:$Y$303,15,7)=0,"",INDEX(成本费用登记表!$Q$4:$Y$303,15,7))</f>
        <v/>
      </c>
      <c r="F2154" s="99" t="str">
        <f aca="false">IF($E2154="","",IFERROR(INDEX(科目表!$A$4:$A$81,MATCH($E2154,科目表!$B$4:$B$81,0)),""))</f>
        <v/>
      </c>
      <c r="G2154" s="67" t="str">
        <f aca="false">IF($E2154="","",IFERROR(INDEX(科目表!$E$4:$E$81,MATCH($E2154,科目表!$B$4:$B$81,0)),""))</f>
        <v/>
      </c>
      <c r="H2154" s="70" t="str">
        <f aca="false">IF($E2154="","",N(INDEX(成本费用登记表!$Q$4:$Y$303,15,8)))</f>
        <v/>
      </c>
      <c r="I2154" s="70" t="str">
        <f aca="false">IF($E2154="","",N(INDEX(成本费用登记表!$Q$4:$Y$303,15,9)))</f>
        <v/>
      </c>
      <c r="J2154" s="67" t="str">
        <f aca="false">IF($E2154="","",INDEX(成本费用登记表!$C$4:$C$303,15))</f>
        <v/>
      </c>
      <c r="K2154" s="67" t="str">
        <f aca="false">IF($E2154="","",INDEX(成本费用登记表!$D$4:$D$303,15))</f>
        <v/>
      </c>
      <c r="L2154" s="107" t="str">
        <f aca="false">IF($E2154="","",INDEX(成本费用登记表!$N$4:$N$303,15))</f>
        <v/>
      </c>
      <c r="M2154" s="107"/>
      <c r="N2154" s="67" t="str">
        <f aca="false">IF($E2154="","","系统")</f>
        <v/>
      </c>
      <c r="O2154" s="67" t="str">
        <f aca="false">IF($E2154="","","自动C")</f>
        <v/>
      </c>
      <c r="P2154" s="18"/>
    </row>
    <row r="2155" customFormat="false" ht="18" hidden="false" customHeight="true" outlineLevel="0" collapsed="false">
      <c r="A2155" s="107" t="str">
        <f aca="false">IF($E2155="","",ROW()-3)</f>
        <v/>
      </c>
      <c r="B2155" s="110" t="str">
        <f aca="false">IF($E2155="","",INDEX(成本费用登记表!$B$4:$B$303,16))</f>
        <v/>
      </c>
      <c r="C2155" s="67" t="str">
        <f aca="false">IF($E2155="","","记-"&amp;TEXT($B2155,"YYYYMM")&amp;"-费用")</f>
        <v/>
      </c>
      <c r="D2155" s="107" t="str">
        <f aca="false">IF($E2155="","",INDEX(成本费用登记表!$E$4:$E$303,16))</f>
        <v/>
      </c>
      <c r="E2155" s="67" t="str">
        <f aca="false">IF(INDEX(成本费用登记表!$Q$4:$Y$303,16,1)=0,"",INDEX(成本费用登记表!$Q$4:$Y$303,16,1))</f>
        <v/>
      </c>
      <c r="F2155" s="99" t="str">
        <f aca="false">IF($E2155="","",IFERROR(INDEX(科目表!$A$4:$A$81,MATCH($E2155,科目表!$B$4:$B$81,0)),""))</f>
        <v/>
      </c>
      <c r="G2155" s="67" t="str">
        <f aca="false">IF($E2155="","",IFERROR(INDEX(科目表!$E$4:$E$81,MATCH($E2155,科目表!$B$4:$B$81,0)),""))</f>
        <v/>
      </c>
      <c r="H2155" s="70" t="str">
        <f aca="false">IF($E2155="","",N(INDEX(成本费用登记表!$Q$4:$Y$303,16,2)))</f>
        <v/>
      </c>
      <c r="I2155" s="70" t="str">
        <f aca="false">IF($E2155="","",N(INDEX(成本费用登记表!$Q$4:$Y$303,16,3)))</f>
        <v/>
      </c>
      <c r="J2155" s="67" t="str">
        <f aca="false">IF($E2155="","",INDEX(成本费用登记表!$C$4:$C$303,16))</f>
        <v/>
      </c>
      <c r="K2155" s="67" t="str">
        <f aca="false">IF($E2155="","",INDEX(成本费用登记表!$D$4:$D$303,16))</f>
        <v/>
      </c>
      <c r="L2155" s="107" t="str">
        <f aca="false">IF($E2155="","",INDEX(成本费用登记表!$N$4:$N$303,16))</f>
        <v/>
      </c>
      <c r="M2155" s="107"/>
      <c r="N2155" s="67" t="str">
        <f aca="false">IF($E2155="","","系统")</f>
        <v/>
      </c>
      <c r="O2155" s="67" t="str">
        <f aca="false">IF($E2155="","","自动C")</f>
        <v/>
      </c>
      <c r="P2155" s="18"/>
    </row>
    <row r="2156" customFormat="false" ht="18" hidden="false" customHeight="true" outlineLevel="0" collapsed="false">
      <c r="A2156" s="107" t="str">
        <f aca="false">IF($E2156="","",ROW()-3)</f>
        <v/>
      </c>
      <c r="B2156" s="110" t="str">
        <f aca="false">IF($E2156="","",INDEX(成本费用登记表!$B$4:$B$303,16))</f>
        <v/>
      </c>
      <c r="C2156" s="67" t="str">
        <f aca="false">IF($E2156="","","记-"&amp;TEXT($B2156,"YYYYMM")&amp;"-费用")</f>
        <v/>
      </c>
      <c r="D2156" s="107" t="str">
        <f aca="false">IF($E2156="","",INDEX(成本费用登记表!$E$4:$E$303,16))</f>
        <v/>
      </c>
      <c r="E2156" s="67" t="str">
        <f aca="false">IF(INDEX(成本费用登记表!$Q$4:$Y$303,16,4)=0,"",INDEX(成本费用登记表!$Q$4:$Y$303,16,4))</f>
        <v/>
      </c>
      <c r="F2156" s="99" t="str">
        <f aca="false">IF($E2156="","",IFERROR(INDEX(科目表!$A$4:$A$81,MATCH($E2156,科目表!$B$4:$B$81,0)),""))</f>
        <v/>
      </c>
      <c r="G2156" s="67" t="str">
        <f aca="false">IF($E2156="","",IFERROR(INDEX(科目表!$E$4:$E$81,MATCH($E2156,科目表!$B$4:$B$81,0)),""))</f>
        <v/>
      </c>
      <c r="H2156" s="70" t="str">
        <f aca="false">IF($E2156="","",N(INDEX(成本费用登记表!$Q$4:$Y$303,16,5)))</f>
        <v/>
      </c>
      <c r="I2156" s="70" t="str">
        <f aca="false">IF($E2156="","",N(INDEX(成本费用登记表!$Q$4:$Y$303,16,6)))</f>
        <v/>
      </c>
      <c r="J2156" s="67" t="str">
        <f aca="false">IF($E2156="","",INDEX(成本费用登记表!$C$4:$C$303,16))</f>
        <v/>
      </c>
      <c r="K2156" s="67" t="str">
        <f aca="false">IF($E2156="","",INDEX(成本费用登记表!$D$4:$D$303,16))</f>
        <v/>
      </c>
      <c r="L2156" s="107" t="str">
        <f aca="false">IF($E2156="","",INDEX(成本费用登记表!$N$4:$N$303,16))</f>
        <v/>
      </c>
      <c r="M2156" s="107"/>
      <c r="N2156" s="67" t="str">
        <f aca="false">IF($E2156="","","系统")</f>
        <v/>
      </c>
      <c r="O2156" s="67" t="str">
        <f aca="false">IF($E2156="","","自动C")</f>
        <v/>
      </c>
      <c r="P2156" s="18"/>
    </row>
    <row r="2157" customFormat="false" ht="18" hidden="false" customHeight="true" outlineLevel="0" collapsed="false">
      <c r="A2157" s="107" t="str">
        <f aca="false">IF($E2157="","",ROW()-3)</f>
        <v/>
      </c>
      <c r="B2157" s="110" t="str">
        <f aca="false">IF($E2157="","",INDEX(成本费用登记表!$B$4:$B$303,16))</f>
        <v/>
      </c>
      <c r="C2157" s="67" t="str">
        <f aca="false">IF($E2157="","","记-"&amp;TEXT($B2157,"YYYYMM")&amp;"-费用")</f>
        <v/>
      </c>
      <c r="D2157" s="107" t="str">
        <f aca="false">IF($E2157="","",INDEX(成本费用登记表!$E$4:$E$303,16))</f>
        <v/>
      </c>
      <c r="E2157" s="67" t="str">
        <f aca="false">IF(INDEX(成本费用登记表!$Q$4:$Y$303,16,7)=0,"",INDEX(成本费用登记表!$Q$4:$Y$303,16,7))</f>
        <v/>
      </c>
      <c r="F2157" s="99" t="str">
        <f aca="false">IF($E2157="","",IFERROR(INDEX(科目表!$A$4:$A$81,MATCH($E2157,科目表!$B$4:$B$81,0)),""))</f>
        <v/>
      </c>
      <c r="G2157" s="67" t="str">
        <f aca="false">IF($E2157="","",IFERROR(INDEX(科目表!$E$4:$E$81,MATCH($E2157,科目表!$B$4:$B$81,0)),""))</f>
        <v/>
      </c>
      <c r="H2157" s="70" t="str">
        <f aca="false">IF($E2157="","",N(INDEX(成本费用登记表!$Q$4:$Y$303,16,8)))</f>
        <v/>
      </c>
      <c r="I2157" s="70" t="str">
        <f aca="false">IF($E2157="","",N(INDEX(成本费用登记表!$Q$4:$Y$303,16,9)))</f>
        <v/>
      </c>
      <c r="J2157" s="67" t="str">
        <f aca="false">IF($E2157="","",INDEX(成本费用登记表!$C$4:$C$303,16))</f>
        <v/>
      </c>
      <c r="K2157" s="67" t="str">
        <f aca="false">IF($E2157="","",INDEX(成本费用登记表!$D$4:$D$303,16))</f>
        <v/>
      </c>
      <c r="L2157" s="107" t="str">
        <f aca="false">IF($E2157="","",INDEX(成本费用登记表!$N$4:$N$303,16))</f>
        <v/>
      </c>
      <c r="M2157" s="107"/>
      <c r="N2157" s="67" t="str">
        <f aca="false">IF($E2157="","","系统")</f>
        <v/>
      </c>
      <c r="O2157" s="67" t="str">
        <f aca="false">IF($E2157="","","自动C")</f>
        <v/>
      </c>
      <c r="P2157" s="18"/>
    </row>
    <row r="2158" customFormat="false" ht="18" hidden="false" customHeight="true" outlineLevel="0" collapsed="false">
      <c r="A2158" s="107" t="str">
        <f aca="false">IF($E2158="","",ROW()-3)</f>
        <v/>
      </c>
      <c r="B2158" s="110" t="str">
        <f aca="false">IF($E2158="","",INDEX(成本费用登记表!$B$4:$B$303,17))</f>
        <v/>
      </c>
      <c r="C2158" s="67" t="str">
        <f aca="false">IF($E2158="","","记-"&amp;TEXT($B2158,"YYYYMM")&amp;"-费用")</f>
        <v/>
      </c>
      <c r="D2158" s="107" t="str">
        <f aca="false">IF($E2158="","",INDEX(成本费用登记表!$E$4:$E$303,17))</f>
        <v/>
      </c>
      <c r="E2158" s="67" t="str">
        <f aca="false">IF(INDEX(成本费用登记表!$Q$4:$Y$303,17,1)=0,"",INDEX(成本费用登记表!$Q$4:$Y$303,17,1))</f>
        <v/>
      </c>
      <c r="F2158" s="99" t="str">
        <f aca="false">IF($E2158="","",IFERROR(INDEX(科目表!$A$4:$A$81,MATCH($E2158,科目表!$B$4:$B$81,0)),""))</f>
        <v/>
      </c>
      <c r="G2158" s="67" t="str">
        <f aca="false">IF($E2158="","",IFERROR(INDEX(科目表!$E$4:$E$81,MATCH($E2158,科目表!$B$4:$B$81,0)),""))</f>
        <v/>
      </c>
      <c r="H2158" s="70" t="str">
        <f aca="false">IF($E2158="","",N(INDEX(成本费用登记表!$Q$4:$Y$303,17,2)))</f>
        <v/>
      </c>
      <c r="I2158" s="70" t="str">
        <f aca="false">IF($E2158="","",N(INDEX(成本费用登记表!$Q$4:$Y$303,17,3)))</f>
        <v/>
      </c>
      <c r="J2158" s="67" t="str">
        <f aca="false">IF($E2158="","",INDEX(成本费用登记表!$C$4:$C$303,17))</f>
        <v/>
      </c>
      <c r="K2158" s="67" t="str">
        <f aca="false">IF($E2158="","",INDEX(成本费用登记表!$D$4:$D$303,17))</f>
        <v/>
      </c>
      <c r="L2158" s="107" t="str">
        <f aca="false">IF($E2158="","",INDEX(成本费用登记表!$N$4:$N$303,17))</f>
        <v/>
      </c>
      <c r="M2158" s="107"/>
      <c r="N2158" s="67" t="str">
        <f aca="false">IF($E2158="","","系统")</f>
        <v/>
      </c>
      <c r="O2158" s="67" t="str">
        <f aca="false">IF($E2158="","","自动C")</f>
        <v/>
      </c>
      <c r="P2158" s="18"/>
    </row>
    <row r="2159" customFormat="false" ht="18" hidden="false" customHeight="true" outlineLevel="0" collapsed="false">
      <c r="A2159" s="107" t="str">
        <f aca="false">IF($E2159="","",ROW()-3)</f>
        <v/>
      </c>
      <c r="B2159" s="110" t="str">
        <f aca="false">IF($E2159="","",INDEX(成本费用登记表!$B$4:$B$303,17))</f>
        <v/>
      </c>
      <c r="C2159" s="67" t="str">
        <f aca="false">IF($E2159="","","记-"&amp;TEXT($B2159,"YYYYMM")&amp;"-费用")</f>
        <v/>
      </c>
      <c r="D2159" s="107" t="str">
        <f aca="false">IF($E2159="","",INDEX(成本费用登记表!$E$4:$E$303,17))</f>
        <v/>
      </c>
      <c r="E2159" s="67" t="str">
        <f aca="false">IF(INDEX(成本费用登记表!$Q$4:$Y$303,17,4)=0,"",INDEX(成本费用登记表!$Q$4:$Y$303,17,4))</f>
        <v/>
      </c>
      <c r="F2159" s="99" t="str">
        <f aca="false">IF($E2159="","",IFERROR(INDEX(科目表!$A$4:$A$81,MATCH($E2159,科目表!$B$4:$B$81,0)),""))</f>
        <v/>
      </c>
      <c r="G2159" s="67" t="str">
        <f aca="false">IF($E2159="","",IFERROR(INDEX(科目表!$E$4:$E$81,MATCH($E2159,科目表!$B$4:$B$81,0)),""))</f>
        <v/>
      </c>
      <c r="H2159" s="70" t="str">
        <f aca="false">IF($E2159="","",N(INDEX(成本费用登记表!$Q$4:$Y$303,17,5)))</f>
        <v/>
      </c>
      <c r="I2159" s="70" t="str">
        <f aca="false">IF($E2159="","",N(INDEX(成本费用登记表!$Q$4:$Y$303,17,6)))</f>
        <v/>
      </c>
      <c r="J2159" s="67" t="str">
        <f aca="false">IF($E2159="","",INDEX(成本费用登记表!$C$4:$C$303,17))</f>
        <v/>
      </c>
      <c r="K2159" s="67" t="str">
        <f aca="false">IF($E2159="","",INDEX(成本费用登记表!$D$4:$D$303,17))</f>
        <v/>
      </c>
      <c r="L2159" s="107" t="str">
        <f aca="false">IF($E2159="","",INDEX(成本费用登记表!$N$4:$N$303,17))</f>
        <v/>
      </c>
      <c r="M2159" s="107"/>
      <c r="N2159" s="67" t="str">
        <f aca="false">IF($E2159="","","系统")</f>
        <v/>
      </c>
      <c r="O2159" s="67" t="str">
        <f aca="false">IF($E2159="","","自动C")</f>
        <v/>
      </c>
      <c r="P2159" s="18"/>
    </row>
    <row r="2160" customFormat="false" ht="18" hidden="false" customHeight="true" outlineLevel="0" collapsed="false">
      <c r="A2160" s="107" t="str">
        <f aca="false">IF($E2160="","",ROW()-3)</f>
        <v/>
      </c>
      <c r="B2160" s="110" t="str">
        <f aca="false">IF($E2160="","",INDEX(成本费用登记表!$B$4:$B$303,17))</f>
        <v/>
      </c>
      <c r="C2160" s="67" t="str">
        <f aca="false">IF($E2160="","","记-"&amp;TEXT($B2160,"YYYYMM")&amp;"-费用")</f>
        <v/>
      </c>
      <c r="D2160" s="107" t="str">
        <f aca="false">IF($E2160="","",INDEX(成本费用登记表!$E$4:$E$303,17))</f>
        <v/>
      </c>
      <c r="E2160" s="67" t="str">
        <f aca="false">IF(INDEX(成本费用登记表!$Q$4:$Y$303,17,7)=0,"",INDEX(成本费用登记表!$Q$4:$Y$303,17,7))</f>
        <v/>
      </c>
      <c r="F2160" s="99" t="str">
        <f aca="false">IF($E2160="","",IFERROR(INDEX(科目表!$A$4:$A$81,MATCH($E2160,科目表!$B$4:$B$81,0)),""))</f>
        <v/>
      </c>
      <c r="G2160" s="67" t="str">
        <f aca="false">IF($E2160="","",IFERROR(INDEX(科目表!$E$4:$E$81,MATCH($E2160,科目表!$B$4:$B$81,0)),""))</f>
        <v/>
      </c>
      <c r="H2160" s="70" t="str">
        <f aca="false">IF($E2160="","",N(INDEX(成本费用登记表!$Q$4:$Y$303,17,8)))</f>
        <v/>
      </c>
      <c r="I2160" s="70" t="str">
        <f aca="false">IF($E2160="","",N(INDEX(成本费用登记表!$Q$4:$Y$303,17,9)))</f>
        <v/>
      </c>
      <c r="J2160" s="67" t="str">
        <f aca="false">IF($E2160="","",INDEX(成本费用登记表!$C$4:$C$303,17))</f>
        <v/>
      </c>
      <c r="K2160" s="67" t="str">
        <f aca="false">IF($E2160="","",INDEX(成本费用登记表!$D$4:$D$303,17))</f>
        <v/>
      </c>
      <c r="L2160" s="107" t="str">
        <f aca="false">IF($E2160="","",INDEX(成本费用登记表!$N$4:$N$303,17))</f>
        <v/>
      </c>
      <c r="M2160" s="107"/>
      <c r="N2160" s="67" t="str">
        <f aca="false">IF($E2160="","","系统")</f>
        <v/>
      </c>
      <c r="O2160" s="67" t="str">
        <f aca="false">IF($E2160="","","自动C")</f>
        <v/>
      </c>
      <c r="P2160" s="18"/>
    </row>
    <row r="2161" customFormat="false" ht="18" hidden="false" customHeight="true" outlineLevel="0" collapsed="false">
      <c r="A2161" s="107" t="str">
        <f aca="false">IF($E2161="","",ROW()-3)</f>
        <v/>
      </c>
      <c r="B2161" s="110" t="str">
        <f aca="false">IF($E2161="","",INDEX(成本费用登记表!$B$4:$B$303,18))</f>
        <v/>
      </c>
      <c r="C2161" s="67" t="str">
        <f aca="false">IF($E2161="","","记-"&amp;TEXT($B2161,"YYYYMM")&amp;"-费用")</f>
        <v/>
      </c>
      <c r="D2161" s="107" t="str">
        <f aca="false">IF($E2161="","",INDEX(成本费用登记表!$E$4:$E$303,18))</f>
        <v/>
      </c>
      <c r="E2161" s="67" t="str">
        <f aca="false">IF(INDEX(成本费用登记表!$Q$4:$Y$303,18,1)=0,"",INDEX(成本费用登记表!$Q$4:$Y$303,18,1))</f>
        <v/>
      </c>
      <c r="F2161" s="99" t="str">
        <f aca="false">IF($E2161="","",IFERROR(INDEX(科目表!$A$4:$A$81,MATCH($E2161,科目表!$B$4:$B$81,0)),""))</f>
        <v/>
      </c>
      <c r="G2161" s="67" t="str">
        <f aca="false">IF($E2161="","",IFERROR(INDEX(科目表!$E$4:$E$81,MATCH($E2161,科目表!$B$4:$B$81,0)),""))</f>
        <v/>
      </c>
      <c r="H2161" s="70" t="str">
        <f aca="false">IF($E2161="","",N(INDEX(成本费用登记表!$Q$4:$Y$303,18,2)))</f>
        <v/>
      </c>
      <c r="I2161" s="70" t="str">
        <f aca="false">IF($E2161="","",N(INDEX(成本费用登记表!$Q$4:$Y$303,18,3)))</f>
        <v/>
      </c>
      <c r="J2161" s="67" t="str">
        <f aca="false">IF($E2161="","",INDEX(成本费用登记表!$C$4:$C$303,18))</f>
        <v/>
      </c>
      <c r="K2161" s="67" t="str">
        <f aca="false">IF($E2161="","",INDEX(成本费用登记表!$D$4:$D$303,18))</f>
        <v/>
      </c>
      <c r="L2161" s="107" t="str">
        <f aca="false">IF($E2161="","",INDEX(成本费用登记表!$N$4:$N$303,18))</f>
        <v/>
      </c>
      <c r="M2161" s="107"/>
      <c r="N2161" s="67" t="str">
        <f aca="false">IF($E2161="","","系统")</f>
        <v/>
      </c>
      <c r="O2161" s="67" t="str">
        <f aca="false">IF($E2161="","","自动C")</f>
        <v/>
      </c>
      <c r="P2161" s="18"/>
    </row>
    <row r="2162" customFormat="false" ht="18" hidden="false" customHeight="true" outlineLevel="0" collapsed="false">
      <c r="A2162" s="107" t="str">
        <f aca="false">IF($E2162="","",ROW()-3)</f>
        <v/>
      </c>
      <c r="B2162" s="110" t="str">
        <f aca="false">IF($E2162="","",INDEX(成本费用登记表!$B$4:$B$303,18))</f>
        <v/>
      </c>
      <c r="C2162" s="67" t="str">
        <f aca="false">IF($E2162="","","记-"&amp;TEXT($B2162,"YYYYMM")&amp;"-费用")</f>
        <v/>
      </c>
      <c r="D2162" s="107" t="str">
        <f aca="false">IF($E2162="","",INDEX(成本费用登记表!$E$4:$E$303,18))</f>
        <v/>
      </c>
      <c r="E2162" s="67" t="str">
        <f aca="false">IF(INDEX(成本费用登记表!$Q$4:$Y$303,18,4)=0,"",INDEX(成本费用登记表!$Q$4:$Y$303,18,4))</f>
        <v/>
      </c>
      <c r="F2162" s="99" t="str">
        <f aca="false">IF($E2162="","",IFERROR(INDEX(科目表!$A$4:$A$81,MATCH($E2162,科目表!$B$4:$B$81,0)),""))</f>
        <v/>
      </c>
      <c r="G2162" s="67" t="str">
        <f aca="false">IF($E2162="","",IFERROR(INDEX(科目表!$E$4:$E$81,MATCH($E2162,科目表!$B$4:$B$81,0)),""))</f>
        <v/>
      </c>
      <c r="H2162" s="70" t="str">
        <f aca="false">IF($E2162="","",N(INDEX(成本费用登记表!$Q$4:$Y$303,18,5)))</f>
        <v/>
      </c>
      <c r="I2162" s="70" t="str">
        <f aca="false">IF($E2162="","",N(INDEX(成本费用登记表!$Q$4:$Y$303,18,6)))</f>
        <v/>
      </c>
      <c r="J2162" s="67" t="str">
        <f aca="false">IF($E2162="","",INDEX(成本费用登记表!$C$4:$C$303,18))</f>
        <v/>
      </c>
      <c r="K2162" s="67" t="str">
        <f aca="false">IF($E2162="","",INDEX(成本费用登记表!$D$4:$D$303,18))</f>
        <v/>
      </c>
      <c r="L2162" s="107" t="str">
        <f aca="false">IF($E2162="","",INDEX(成本费用登记表!$N$4:$N$303,18))</f>
        <v/>
      </c>
      <c r="M2162" s="107"/>
      <c r="N2162" s="67" t="str">
        <f aca="false">IF($E2162="","","系统")</f>
        <v/>
      </c>
      <c r="O2162" s="67" t="str">
        <f aca="false">IF($E2162="","","自动C")</f>
        <v/>
      </c>
      <c r="P2162" s="18"/>
    </row>
    <row r="2163" customFormat="false" ht="18" hidden="false" customHeight="true" outlineLevel="0" collapsed="false">
      <c r="A2163" s="107" t="str">
        <f aca="false">IF($E2163="","",ROW()-3)</f>
        <v/>
      </c>
      <c r="B2163" s="110" t="str">
        <f aca="false">IF($E2163="","",INDEX(成本费用登记表!$B$4:$B$303,18))</f>
        <v/>
      </c>
      <c r="C2163" s="67" t="str">
        <f aca="false">IF($E2163="","","记-"&amp;TEXT($B2163,"YYYYMM")&amp;"-费用")</f>
        <v/>
      </c>
      <c r="D2163" s="107" t="str">
        <f aca="false">IF($E2163="","",INDEX(成本费用登记表!$E$4:$E$303,18))</f>
        <v/>
      </c>
      <c r="E2163" s="67" t="str">
        <f aca="false">IF(INDEX(成本费用登记表!$Q$4:$Y$303,18,7)=0,"",INDEX(成本费用登记表!$Q$4:$Y$303,18,7))</f>
        <v/>
      </c>
      <c r="F2163" s="99" t="str">
        <f aca="false">IF($E2163="","",IFERROR(INDEX(科目表!$A$4:$A$81,MATCH($E2163,科目表!$B$4:$B$81,0)),""))</f>
        <v/>
      </c>
      <c r="G2163" s="67" t="str">
        <f aca="false">IF($E2163="","",IFERROR(INDEX(科目表!$E$4:$E$81,MATCH($E2163,科目表!$B$4:$B$81,0)),""))</f>
        <v/>
      </c>
      <c r="H2163" s="70" t="str">
        <f aca="false">IF($E2163="","",N(INDEX(成本费用登记表!$Q$4:$Y$303,18,8)))</f>
        <v/>
      </c>
      <c r="I2163" s="70" t="str">
        <f aca="false">IF($E2163="","",N(INDEX(成本费用登记表!$Q$4:$Y$303,18,9)))</f>
        <v/>
      </c>
      <c r="J2163" s="67" t="str">
        <f aca="false">IF($E2163="","",INDEX(成本费用登记表!$C$4:$C$303,18))</f>
        <v/>
      </c>
      <c r="K2163" s="67" t="str">
        <f aca="false">IF($E2163="","",INDEX(成本费用登记表!$D$4:$D$303,18))</f>
        <v/>
      </c>
      <c r="L2163" s="107" t="str">
        <f aca="false">IF($E2163="","",INDEX(成本费用登记表!$N$4:$N$303,18))</f>
        <v/>
      </c>
      <c r="M2163" s="107"/>
      <c r="N2163" s="67" t="str">
        <f aca="false">IF($E2163="","","系统")</f>
        <v/>
      </c>
      <c r="O2163" s="67" t="str">
        <f aca="false">IF($E2163="","","自动C")</f>
        <v/>
      </c>
      <c r="P2163" s="18"/>
    </row>
    <row r="2164" customFormat="false" ht="18" hidden="false" customHeight="true" outlineLevel="0" collapsed="false">
      <c r="A2164" s="107" t="str">
        <f aca="false">IF($E2164="","",ROW()-3)</f>
        <v/>
      </c>
      <c r="B2164" s="110" t="str">
        <f aca="false">IF($E2164="","",INDEX(成本费用登记表!$B$4:$B$303,19))</f>
        <v/>
      </c>
      <c r="C2164" s="67" t="str">
        <f aca="false">IF($E2164="","","记-"&amp;TEXT($B2164,"YYYYMM")&amp;"-费用")</f>
        <v/>
      </c>
      <c r="D2164" s="107" t="str">
        <f aca="false">IF($E2164="","",INDEX(成本费用登记表!$E$4:$E$303,19))</f>
        <v/>
      </c>
      <c r="E2164" s="67" t="str">
        <f aca="false">IF(INDEX(成本费用登记表!$Q$4:$Y$303,19,1)=0,"",INDEX(成本费用登记表!$Q$4:$Y$303,19,1))</f>
        <v/>
      </c>
      <c r="F2164" s="99" t="str">
        <f aca="false">IF($E2164="","",IFERROR(INDEX(科目表!$A$4:$A$81,MATCH($E2164,科目表!$B$4:$B$81,0)),""))</f>
        <v/>
      </c>
      <c r="G2164" s="67" t="str">
        <f aca="false">IF($E2164="","",IFERROR(INDEX(科目表!$E$4:$E$81,MATCH($E2164,科目表!$B$4:$B$81,0)),""))</f>
        <v/>
      </c>
      <c r="H2164" s="70" t="str">
        <f aca="false">IF($E2164="","",N(INDEX(成本费用登记表!$Q$4:$Y$303,19,2)))</f>
        <v/>
      </c>
      <c r="I2164" s="70" t="str">
        <f aca="false">IF($E2164="","",N(INDEX(成本费用登记表!$Q$4:$Y$303,19,3)))</f>
        <v/>
      </c>
      <c r="J2164" s="67" t="str">
        <f aca="false">IF($E2164="","",INDEX(成本费用登记表!$C$4:$C$303,19))</f>
        <v/>
      </c>
      <c r="K2164" s="67" t="str">
        <f aca="false">IF($E2164="","",INDEX(成本费用登记表!$D$4:$D$303,19))</f>
        <v/>
      </c>
      <c r="L2164" s="107" t="str">
        <f aca="false">IF($E2164="","",INDEX(成本费用登记表!$N$4:$N$303,19))</f>
        <v/>
      </c>
      <c r="M2164" s="107"/>
      <c r="N2164" s="67" t="str">
        <f aca="false">IF($E2164="","","系统")</f>
        <v/>
      </c>
      <c r="O2164" s="67" t="str">
        <f aca="false">IF($E2164="","","自动C")</f>
        <v/>
      </c>
      <c r="P2164" s="18"/>
    </row>
    <row r="2165" customFormat="false" ht="18" hidden="false" customHeight="true" outlineLevel="0" collapsed="false">
      <c r="A2165" s="107" t="str">
        <f aca="false">IF($E2165="","",ROW()-3)</f>
        <v/>
      </c>
      <c r="B2165" s="110" t="str">
        <f aca="false">IF($E2165="","",INDEX(成本费用登记表!$B$4:$B$303,19))</f>
        <v/>
      </c>
      <c r="C2165" s="67" t="str">
        <f aca="false">IF($E2165="","","记-"&amp;TEXT($B2165,"YYYYMM")&amp;"-费用")</f>
        <v/>
      </c>
      <c r="D2165" s="107" t="str">
        <f aca="false">IF($E2165="","",INDEX(成本费用登记表!$E$4:$E$303,19))</f>
        <v/>
      </c>
      <c r="E2165" s="67" t="str">
        <f aca="false">IF(INDEX(成本费用登记表!$Q$4:$Y$303,19,4)=0,"",INDEX(成本费用登记表!$Q$4:$Y$303,19,4))</f>
        <v/>
      </c>
      <c r="F2165" s="99" t="str">
        <f aca="false">IF($E2165="","",IFERROR(INDEX(科目表!$A$4:$A$81,MATCH($E2165,科目表!$B$4:$B$81,0)),""))</f>
        <v/>
      </c>
      <c r="G2165" s="67" t="str">
        <f aca="false">IF($E2165="","",IFERROR(INDEX(科目表!$E$4:$E$81,MATCH($E2165,科目表!$B$4:$B$81,0)),""))</f>
        <v/>
      </c>
      <c r="H2165" s="70" t="str">
        <f aca="false">IF($E2165="","",N(INDEX(成本费用登记表!$Q$4:$Y$303,19,5)))</f>
        <v/>
      </c>
      <c r="I2165" s="70" t="str">
        <f aca="false">IF($E2165="","",N(INDEX(成本费用登记表!$Q$4:$Y$303,19,6)))</f>
        <v/>
      </c>
      <c r="J2165" s="67" t="str">
        <f aca="false">IF($E2165="","",INDEX(成本费用登记表!$C$4:$C$303,19))</f>
        <v/>
      </c>
      <c r="K2165" s="67" t="str">
        <f aca="false">IF($E2165="","",INDEX(成本费用登记表!$D$4:$D$303,19))</f>
        <v/>
      </c>
      <c r="L2165" s="107" t="str">
        <f aca="false">IF($E2165="","",INDEX(成本费用登记表!$N$4:$N$303,19))</f>
        <v/>
      </c>
      <c r="M2165" s="107"/>
      <c r="N2165" s="67" t="str">
        <f aca="false">IF($E2165="","","系统")</f>
        <v/>
      </c>
      <c r="O2165" s="67" t="str">
        <f aca="false">IF($E2165="","","自动C")</f>
        <v/>
      </c>
      <c r="P2165" s="18"/>
    </row>
    <row r="2166" customFormat="false" ht="18" hidden="false" customHeight="true" outlineLevel="0" collapsed="false">
      <c r="A2166" s="107" t="str">
        <f aca="false">IF($E2166="","",ROW()-3)</f>
        <v/>
      </c>
      <c r="B2166" s="110" t="str">
        <f aca="false">IF($E2166="","",INDEX(成本费用登记表!$B$4:$B$303,19))</f>
        <v/>
      </c>
      <c r="C2166" s="67" t="str">
        <f aca="false">IF($E2166="","","记-"&amp;TEXT($B2166,"YYYYMM")&amp;"-费用")</f>
        <v/>
      </c>
      <c r="D2166" s="107" t="str">
        <f aca="false">IF($E2166="","",INDEX(成本费用登记表!$E$4:$E$303,19))</f>
        <v/>
      </c>
      <c r="E2166" s="67" t="str">
        <f aca="false">IF(INDEX(成本费用登记表!$Q$4:$Y$303,19,7)=0,"",INDEX(成本费用登记表!$Q$4:$Y$303,19,7))</f>
        <v/>
      </c>
      <c r="F2166" s="99" t="str">
        <f aca="false">IF($E2166="","",IFERROR(INDEX(科目表!$A$4:$A$81,MATCH($E2166,科目表!$B$4:$B$81,0)),""))</f>
        <v/>
      </c>
      <c r="G2166" s="67" t="str">
        <f aca="false">IF($E2166="","",IFERROR(INDEX(科目表!$E$4:$E$81,MATCH($E2166,科目表!$B$4:$B$81,0)),""))</f>
        <v/>
      </c>
      <c r="H2166" s="70" t="str">
        <f aca="false">IF($E2166="","",N(INDEX(成本费用登记表!$Q$4:$Y$303,19,8)))</f>
        <v/>
      </c>
      <c r="I2166" s="70" t="str">
        <f aca="false">IF($E2166="","",N(INDEX(成本费用登记表!$Q$4:$Y$303,19,9)))</f>
        <v/>
      </c>
      <c r="J2166" s="67" t="str">
        <f aca="false">IF($E2166="","",INDEX(成本费用登记表!$C$4:$C$303,19))</f>
        <v/>
      </c>
      <c r="K2166" s="67" t="str">
        <f aca="false">IF($E2166="","",INDEX(成本费用登记表!$D$4:$D$303,19))</f>
        <v/>
      </c>
      <c r="L2166" s="107" t="str">
        <f aca="false">IF($E2166="","",INDEX(成本费用登记表!$N$4:$N$303,19))</f>
        <v/>
      </c>
      <c r="M2166" s="107"/>
      <c r="N2166" s="67" t="str">
        <f aca="false">IF($E2166="","","系统")</f>
        <v/>
      </c>
      <c r="O2166" s="67" t="str">
        <f aca="false">IF($E2166="","","自动C")</f>
        <v/>
      </c>
      <c r="P2166" s="18"/>
    </row>
    <row r="2167" customFormat="false" ht="18" hidden="false" customHeight="true" outlineLevel="0" collapsed="false">
      <c r="A2167" s="107" t="str">
        <f aca="false">IF($E2167="","",ROW()-3)</f>
        <v/>
      </c>
      <c r="B2167" s="110" t="str">
        <f aca="false">IF($E2167="","",INDEX(成本费用登记表!$B$4:$B$303,20))</f>
        <v/>
      </c>
      <c r="C2167" s="67" t="str">
        <f aca="false">IF($E2167="","","记-"&amp;TEXT($B2167,"YYYYMM")&amp;"-费用")</f>
        <v/>
      </c>
      <c r="D2167" s="107" t="str">
        <f aca="false">IF($E2167="","",INDEX(成本费用登记表!$E$4:$E$303,20))</f>
        <v/>
      </c>
      <c r="E2167" s="67" t="str">
        <f aca="false">IF(INDEX(成本费用登记表!$Q$4:$Y$303,20,1)=0,"",INDEX(成本费用登记表!$Q$4:$Y$303,20,1))</f>
        <v/>
      </c>
      <c r="F2167" s="99" t="str">
        <f aca="false">IF($E2167="","",IFERROR(INDEX(科目表!$A$4:$A$81,MATCH($E2167,科目表!$B$4:$B$81,0)),""))</f>
        <v/>
      </c>
      <c r="G2167" s="67" t="str">
        <f aca="false">IF($E2167="","",IFERROR(INDEX(科目表!$E$4:$E$81,MATCH($E2167,科目表!$B$4:$B$81,0)),""))</f>
        <v/>
      </c>
      <c r="H2167" s="70" t="str">
        <f aca="false">IF($E2167="","",N(INDEX(成本费用登记表!$Q$4:$Y$303,20,2)))</f>
        <v/>
      </c>
      <c r="I2167" s="70" t="str">
        <f aca="false">IF($E2167="","",N(INDEX(成本费用登记表!$Q$4:$Y$303,20,3)))</f>
        <v/>
      </c>
      <c r="J2167" s="67" t="str">
        <f aca="false">IF($E2167="","",INDEX(成本费用登记表!$C$4:$C$303,20))</f>
        <v/>
      </c>
      <c r="K2167" s="67" t="str">
        <f aca="false">IF($E2167="","",INDEX(成本费用登记表!$D$4:$D$303,20))</f>
        <v/>
      </c>
      <c r="L2167" s="107" t="str">
        <f aca="false">IF($E2167="","",INDEX(成本费用登记表!$N$4:$N$303,20))</f>
        <v/>
      </c>
      <c r="M2167" s="107"/>
      <c r="N2167" s="67" t="str">
        <f aca="false">IF($E2167="","","系统")</f>
        <v/>
      </c>
      <c r="O2167" s="67" t="str">
        <f aca="false">IF($E2167="","","自动C")</f>
        <v/>
      </c>
      <c r="P2167" s="18"/>
    </row>
    <row r="2168" customFormat="false" ht="18" hidden="false" customHeight="true" outlineLevel="0" collapsed="false">
      <c r="A2168" s="107" t="str">
        <f aca="false">IF($E2168="","",ROW()-3)</f>
        <v/>
      </c>
      <c r="B2168" s="110" t="str">
        <f aca="false">IF($E2168="","",INDEX(成本费用登记表!$B$4:$B$303,20))</f>
        <v/>
      </c>
      <c r="C2168" s="67" t="str">
        <f aca="false">IF($E2168="","","记-"&amp;TEXT($B2168,"YYYYMM")&amp;"-费用")</f>
        <v/>
      </c>
      <c r="D2168" s="107" t="str">
        <f aca="false">IF($E2168="","",INDEX(成本费用登记表!$E$4:$E$303,20))</f>
        <v/>
      </c>
      <c r="E2168" s="67" t="str">
        <f aca="false">IF(INDEX(成本费用登记表!$Q$4:$Y$303,20,4)=0,"",INDEX(成本费用登记表!$Q$4:$Y$303,20,4))</f>
        <v/>
      </c>
      <c r="F2168" s="99" t="str">
        <f aca="false">IF($E2168="","",IFERROR(INDEX(科目表!$A$4:$A$81,MATCH($E2168,科目表!$B$4:$B$81,0)),""))</f>
        <v/>
      </c>
      <c r="G2168" s="67" t="str">
        <f aca="false">IF($E2168="","",IFERROR(INDEX(科目表!$E$4:$E$81,MATCH($E2168,科目表!$B$4:$B$81,0)),""))</f>
        <v/>
      </c>
      <c r="H2168" s="70" t="str">
        <f aca="false">IF($E2168="","",N(INDEX(成本费用登记表!$Q$4:$Y$303,20,5)))</f>
        <v/>
      </c>
      <c r="I2168" s="70" t="str">
        <f aca="false">IF($E2168="","",N(INDEX(成本费用登记表!$Q$4:$Y$303,20,6)))</f>
        <v/>
      </c>
      <c r="J2168" s="67" t="str">
        <f aca="false">IF($E2168="","",INDEX(成本费用登记表!$C$4:$C$303,20))</f>
        <v/>
      </c>
      <c r="K2168" s="67" t="str">
        <f aca="false">IF($E2168="","",INDEX(成本费用登记表!$D$4:$D$303,20))</f>
        <v/>
      </c>
      <c r="L2168" s="107" t="str">
        <f aca="false">IF($E2168="","",INDEX(成本费用登记表!$N$4:$N$303,20))</f>
        <v/>
      </c>
      <c r="M2168" s="107"/>
      <c r="N2168" s="67" t="str">
        <f aca="false">IF($E2168="","","系统")</f>
        <v/>
      </c>
      <c r="O2168" s="67" t="str">
        <f aca="false">IF($E2168="","","自动C")</f>
        <v/>
      </c>
      <c r="P2168" s="18"/>
    </row>
    <row r="2169" customFormat="false" ht="18" hidden="false" customHeight="true" outlineLevel="0" collapsed="false">
      <c r="A2169" s="107" t="str">
        <f aca="false">IF($E2169="","",ROW()-3)</f>
        <v/>
      </c>
      <c r="B2169" s="110" t="str">
        <f aca="false">IF($E2169="","",INDEX(成本费用登记表!$B$4:$B$303,20))</f>
        <v/>
      </c>
      <c r="C2169" s="67" t="str">
        <f aca="false">IF($E2169="","","记-"&amp;TEXT($B2169,"YYYYMM")&amp;"-费用")</f>
        <v/>
      </c>
      <c r="D2169" s="107" t="str">
        <f aca="false">IF($E2169="","",INDEX(成本费用登记表!$E$4:$E$303,20))</f>
        <v/>
      </c>
      <c r="E2169" s="67" t="str">
        <f aca="false">IF(INDEX(成本费用登记表!$Q$4:$Y$303,20,7)=0,"",INDEX(成本费用登记表!$Q$4:$Y$303,20,7))</f>
        <v/>
      </c>
      <c r="F2169" s="99" t="str">
        <f aca="false">IF($E2169="","",IFERROR(INDEX(科目表!$A$4:$A$81,MATCH($E2169,科目表!$B$4:$B$81,0)),""))</f>
        <v/>
      </c>
      <c r="G2169" s="67" t="str">
        <f aca="false">IF($E2169="","",IFERROR(INDEX(科目表!$E$4:$E$81,MATCH($E2169,科目表!$B$4:$B$81,0)),""))</f>
        <v/>
      </c>
      <c r="H2169" s="70" t="str">
        <f aca="false">IF($E2169="","",N(INDEX(成本费用登记表!$Q$4:$Y$303,20,8)))</f>
        <v/>
      </c>
      <c r="I2169" s="70" t="str">
        <f aca="false">IF($E2169="","",N(INDEX(成本费用登记表!$Q$4:$Y$303,20,9)))</f>
        <v/>
      </c>
      <c r="J2169" s="67" t="str">
        <f aca="false">IF($E2169="","",INDEX(成本费用登记表!$C$4:$C$303,20))</f>
        <v/>
      </c>
      <c r="K2169" s="67" t="str">
        <f aca="false">IF($E2169="","",INDEX(成本费用登记表!$D$4:$D$303,20))</f>
        <v/>
      </c>
      <c r="L2169" s="107" t="str">
        <f aca="false">IF($E2169="","",INDEX(成本费用登记表!$N$4:$N$303,20))</f>
        <v/>
      </c>
      <c r="M2169" s="107"/>
      <c r="N2169" s="67" t="str">
        <f aca="false">IF($E2169="","","系统")</f>
        <v/>
      </c>
      <c r="O2169" s="67" t="str">
        <f aca="false">IF($E2169="","","自动C")</f>
        <v/>
      </c>
      <c r="P2169" s="18"/>
    </row>
    <row r="2170" customFormat="false" ht="18" hidden="false" customHeight="true" outlineLevel="0" collapsed="false">
      <c r="A2170" s="107" t="str">
        <f aca="false">IF($E2170="","",ROW()-3)</f>
        <v/>
      </c>
      <c r="B2170" s="110" t="str">
        <f aca="false">IF($E2170="","",INDEX(成本费用登记表!$B$4:$B$303,21))</f>
        <v/>
      </c>
      <c r="C2170" s="67" t="str">
        <f aca="false">IF($E2170="","","记-"&amp;TEXT($B2170,"YYYYMM")&amp;"-费用")</f>
        <v/>
      </c>
      <c r="D2170" s="107" t="str">
        <f aca="false">IF($E2170="","",INDEX(成本费用登记表!$E$4:$E$303,21))</f>
        <v/>
      </c>
      <c r="E2170" s="67" t="str">
        <f aca="false">IF(INDEX(成本费用登记表!$Q$4:$Y$303,21,1)=0,"",INDEX(成本费用登记表!$Q$4:$Y$303,21,1))</f>
        <v/>
      </c>
      <c r="F2170" s="99" t="str">
        <f aca="false">IF($E2170="","",IFERROR(INDEX(科目表!$A$4:$A$81,MATCH($E2170,科目表!$B$4:$B$81,0)),""))</f>
        <v/>
      </c>
      <c r="G2170" s="67" t="str">
        <f aca="false">IF($E2170="","",IFERROR(INDEX(科目表!$E$4:$E$81,MATCH($E2170,科目表!$B$4:$B$81,0)),""))</f>
        <v/>
      </c>
      <c r="H2170" s="70" t="str">
        <f aca="false">IF($E2170="","",N(INDEX(成本费用登记表!$Q$4:$Y$303,21,2)))</f>
        <v/>
      </c>
      <c r="I2170" s="70" t="str">
        <f aca="false">IF($E2170="","",N(INDEX(成本费用登记表!$Q$4:$Y$303,21,3)))</f>
        <v/>
      </c>
      <c r="J2170" s="67" t="str">
        <f aca="false">IF($E2170="","",INDEX(成本费用登记表!$C$4:$C$303,21))</f>
        <v/>
      </c>
      <c r="K2170" s="67" t="str">
        <f aca="false">IF($E2170="","",INDEX(成本费用登记表!$D$4:$D$303,21))</f>
        <v/>
      </c>
      <c r="L2170" s="107" t="str">
        <f aca="false">IF($E2170="","",INDEX(成本费用登记表!$N$4:$N$303,21))</f>
        <v/>
      </c>
      <c r="M2170" s="107"/>
      <c r="N2170" s="67" t="str">
        <f aca="false">IF($E2170="","","系统")</f>
        <v/>
      </c>
      <c r="O2170" s="67" t="str">
        <f aca="false">IF($E2170="","","自动C")</f>
        <v/>
      </c>
      <c r="P2170" s="18"/>
    </row>
    <row r="2171" customFormat="false" ht="18" hidden="false" customHeight="true" outlineLevel="0" collapsed="false">
      <c r="A2171" s="107" t="str">
        <f aca="false">IF($E2171="","",ROW()-3)</f>
        <v/>
      </c>
      <c r="B2171" s="110" t="str">
        <f aca="false">IF($E2171="","",INDEX(成本费用登记表!$B$4:$B$303,21))</f>
        <v/>
      </c>
      <c r="C2171" s="67" t="str">
        <f aca="false">IF($E2171="","","记-"&amp;TEXT($B2171,"YYYYMM")&amp;"-费用")</f>
        <v/>
      </c>
      <c r="D2171" s="107" t="str">
        <f aca="false">IF($E2171="","",INDEX(成本费用登记表!$E$4:$E$303,21))</f>
        <v/>
      </c>
      <c r="E2171" s="67" t="str">
        <f aca="false">IF(INDEX(成本费用登记表!$Q$4:$Y$303,21,4)=0,"",INDEX(成本费用登记表!$Q$4:$Y$303,21,4))</f>
        <v/>
      </c>
      <c r="F2171" s="99" t="str">
        <f aca="false">IF($E2171="","",IFERROR(INDEX(科目表!$A$4:$A$81,MATCH($E2171,科目表!$B$4:$B$81,0)),""))</f>
        <v/>
      </c>
      <c r="G2171" s="67" t="str">
        <f aca="false">IF($E2171="","",IFERROR(INDEX(科目表!$E$4:$E$81,MATCH($E2171,科目表!$B$4:$B$81,0)),""))</f>
        <v/>
      </c>
      <c r="H2171" s="70" t="str">
        <f aca="false">IF($E2171="","",N(INDEX(成本费用登记表!$Q$4:$Y$303,21,5)))</f>
        <v/>
      </c>
      <c r="I2171" s="70" t="str">
        <f aca="false">IF($E2171="","",N(INDEX(成本费用登记表!$Q$4:$Y$303,21,6)))</f>
        <v/>
      </c>
      <c r="J2171" s="67" t="str">
        <f aca="false">IF($E2171="","",INDEX(成本费用登记表!$C$4:$C$303,21))</f>
        <v/>
      </c>
      <c r="K2171" s="67" t="str">
        <f aca="false">IF($E2171="","",INDEX(成本费用登记表!$D$4:$D$303,21))</f>
        <v/>
      </c>
      <c r="L2171" s="107" t="str">
        <f aca="false">IF($E2171="","",INDEX(成本费用登记表!$N$4:$N$303,21))</f>
        <v/>
      </c>
      <c r="M2171" s="107"/>
      <c r="N2171" s="67" t="str">
        <f aca="false">IF($E2171="","","系统")</f>
        <v/>
      </c>
      <c r="O2171" s="67" t="str">
        <f aca="false">IF($E2171="","","自动C")</f>
        <v/>
      </c>
      <c r="P2171" s="18"/>
    </row>
    <row r="2172" customFormat="false" ht="18" hidden="false" customHeight="true" outlineLevel="0" collapsed="false">
      <c r="A2172" s="107" t="str">
        <f aca="false">IF($E2172="","",ROW()-3)</f>
        <v/>
      </c>
      <c r="B2172" s="110" t="str">
        <f aca="false">IF($E2172="","",INDEX(成本费用登记表!$B$4:$B$303,21))</f>
        <v/>
      </c>
      <c r="C2172" s="67" t="str">
        <f aca="false">IF($E2172="","","记-"&amp;TEXT($B2172,"YYYYMM")&amp;"-费用")</f>
        <v/>
      </c>
      <c r="D2172" s="107" t="str">
        <f aca="false">IF($E2172="","",INDEX(成本费用登记表!$E$4:$E$303,21))</f>
        <v/>
      </c>
      <c r="E2172" s="67" t="str">
        <f aca="false">IF(INDEX(成本费用登记表!$Q$4:$Y$303,21,7)=0,"",INDEX(成本费用登记表!$Q$4:$Y$303,21,7))</f>
        <v/>
      </c>
      <c r="F2172" s="99" t="str">
        <f aca="false">IF($E2172="","",IFERROR(INDEX(科目表!$A$4:$A$81,MATCH($E2172,科目表!$B$4:$B$81,0)),""))</f>
        <v/>
      </c>
      <c r="G2172" s="67" t="str">
        <f aca="false">IF($E2172="","",IFERROR(INDEX(科目表!$E$4:$E$81,MATCH($E2172,科目表!$B$4:$B$81,0)),""))</f>
        <v/>
      </c>
      <c r="H2172" s="70" t="str">
        <f aca="false">IF($E2172="","",N(INDEX(成本费用登记表!$Q$4:$Y$303,21,8)))</f>
        <v/>
      </c>
      <c r="I2172" s="70" t="str">
        <f aca="false">IF($E2172="","",N(INDEX(成本费用登记表!$Q$4:$Y$303,21,9)))</f>
        <v/>
      </c>
      <c r="J2172" s="67" t="str">
        <f aca="false">IF($E2172="","",INDEX(成本费用登记表!$C$4:$C$303,21))</f>
        <v/>
      </c>
      <c r="K2172" s="67" t="str">
        <f aca="false">IF($E2172="","",INDEX(成本费用登记表!$D$4:$D$303,21))</f>
        <v/>
      </c>
      <c r="L2172" s="107" t="str">
        <f aca="false">IF($E2172="","",INDEX(成本费用登记表!$N$4:$N$303,21))</f>
        <v/>
      </c>
      <c r="M2172" s="107"/>
      <c r="N2172" s="67" t="str">
        <f aca="false">IF($E2172="","","系统")</f>
        <v/>
      </c>
      <c r="O2172" s="67" t="str">
        <f aca="false">IF($E2172="","","自动C")</f>
        <v/>
      </c>
      <c r="P2172" s="18"/>
    </row>
    <row r="2173" customFormat="false" ht="18" hidden="false" customHeight="true" outlineLevel="0" collapsed="false">
      <c r="A2173" s="107" t="str">
        <f aca="false">IF($E2173="","",ROW()-3)</f>
        <v/>
      </c>
      <c r="B2173" s="110" t="str">
        <f aca="false">IF($E2173="","",INDEX(成本费用登记表!$B$4:$B$303,22))</f>
        <v/>
      </c>
      <c r="C2173" s="67" t="str">
        <f aca="false">IF($E2173="","","记-"&amp;TEXT($B2173,"YYYYMM")&amp;"-费用")</f>
        <v/>
      </c>
      <c r="D2173" s="107" t="str">
        <f aca="false">IF($E2173="","",INDEX(成本费用登记表!$E$4:$E$303,22))</f>
        <v/>
      </c>
      <c r="E2173" s="67" t="str">
        <f aca="false">IF(INDEX(成本费用登记表!$Q$4:$Y$303,22,1)=0,"",INDEX(成本费用登记表!$Q$4:$Y$303,22,1))</f>
        <v/>
      </c>
      <c r="F2173" s="99" t="str">
        <f aca="false">IF($E2173="","",IFERROR(INDEX(科目表!$A$4:$A$81,MATCH($E2173,科目表!$B$4:$B$81,0)),""))</f>
        <v/>
      </c>
      <c r="G2173" s="67" t="str">
        <f aca="false">IF($E2173="","",IFERROR(INDEX(科目表!$E$4:$E$81,MATCH($E2173,科目表!$B$4:$B$81,0)),""))</f>
        <v/>
      </c>
      <c r="H2173" s="70" t="str">
        <f aca="false">IF($E2173="","",N(INDEX(成本费用登记表!$Q$4:$Y$303,22,2)))</f>
        <v/>
      </c>
      <c r="I2173" s="70" t="str">
        <f aca="false">IF($E2173="","",N(INDEX(成本费用登记表!$Q$4:$Y$303,22,3)))</f>
        <v/>
      </c>
      <c r="J2173" s="67" t="str">
        <f aca="false">IF($E2173="","",INDEX(成本费用登记表!$C$4:$C$303,22))</f>
        <v/>
      </c>
      <c r="K2173" s="67" t="str">
        <f aca="false">IF($E2173="","",INDEX(成本费用登记表!$D$4:$D$303,22))</f>
        <v/>
      </c>
      <c r="L2173" s="107" t="str">
        <f aca="false">IF($E2173="","",INDEX(成本费用登记表!$N$4:$N$303,22))</f>
        <v/>
      </c>
      <c r="M2173" s="107"/>
      <c r="N2173" s="67" t="str">
        <f aca="false">IF($E2173="","","系统")</f>
        <v/>
      </c>
      <c r="O2173" s="67" t="str">
        <f aca="false">IF($E2173="","","自动C")</f>
        <v/>
      </c>
      <c r="P2173" s="18"/>
    </row>
    <row r="2174" customFormat="false" ht="18" hidden="false" customHeight="true" outlineLevel="0" collapsed="false">
      <c r="A2174" s="107" t="str">
        <f aca="false">IF($E2174="","",ROW()-3)</f>
        <v/>
      </c>
      <c r="B2174" s="110" t="str">
        <f aca="false">IF($E2174="","",INDEX(成本费用登记表!$B$4:$B$303,22))</f>
        <v/>
      </c>
      <c r="C2174" s="67" t="str">
        <f aca="false">IF($E2174="","","记-"&amp;TEXT($B2174,"YYYYMM")&amp;"-费用")</f>
        <v/>
      </c>
      <c r="D2174" s="107" t="str">
        <f aca="false">IF($E2174="","",INDEX(成本费用登记表!$E$4:$E$303,22))</f>
        <v/>
      </c>
      <c r="E2174" s="67" t="str">
        <f aca="false">IF(INDEX(成本费用登记表!$Q$4:$Y$303,22,4)=0,"",INDEX(成本费用登记表!$Q$4:$Y$303,22,4))</f>
        <v/>
      </c>
      <c r="F2174" s="99" t="str">
        <f aca="false">IF($E2174="","",IFERROR(INDEX(科目表!$A$4:$A$81,MATCH($E2174,科目表!$B$4:$B$81,0)),""))</f>
        <v/>
      </c>
      <c r="G2174" s="67" t="str">
        <f aca="false">IF($E2174="","",IFERROR(INDEX(科目表!$E$4:$E$81,MATCH($E2174,科目表!$B$4:$B$81,0)),""))</f>
        <v/>
      </c>
      <c r="H2174" s="70" t="str">
        <f aca="false">IF($E2174="","",N(INDEX(成本费用登记表!$Q$4:$Y$303,22,5)))</f>
        <v/>
      </c>
      <c r="I2174" s="70" t="str">
        <f aca="false">IF($E2174="","",N(INDEX(成本费用登记表!$Q$4:$Y$303,22,6)))</f>
        <v/>
      </c>
      <c r="J2174" s="67" t="str">
        <f aca="false">IF($E2174="","",INDEX(成本费用登记表!$C$4:$C$303,22))</f>
        <v/>
      </c>
      <c r="K2174" s="67" t="str">
        <f aca="false">IF($E2174="","",INDEX(成本费用登记表!$D$4:$D$303,22))</f>
        <v/>
      </c>
      <c r="L2174" s="107" t="str">
        <f aca="false">IF($E2174="","",INDEX(成本费用登记表!$N$4:$N$303,22))</f>
        <v/>
      </c>
      <c r="M2174" s="107"/>
      <c r="N2174" s="67" t="str">
        <f aca="false">IF($E2174="","","系统")</f>
        <v/>
      </c>
      <c r="O2174" s="67" t="str">
        <f aca="false">IF($E2174="","","自动C")</f>
        <v/>
      </c>
      <c r="P2174" s="18"/>
    </row>
    <row r="2175" customFormat="false" ht="18" hidden="false" customHeight="true" outlineLevel="0" collapsed="false">
      <c r="A2175" s="107" t="str">
        <f aca="false">IF($E2175="","",ROW()-3)</f>
        <v/>
      </c>
      <c r="B2175" s="110" t="str">
        <f aca="false">IF($E2175="","",INDEX(成本费用登记表!$B$4:$B$303,22))</f>
        <v/>
      </c>
      <c r="C2175" s="67" t="str">
        <f aca="false">IF($E2175="","","记-"&amp;TEXT($B2175,"YYYYMM")&amp;"-费用")</f>
        <v/>
      </c>
      <c r="D2175" s="107" t="str">
        <f aca="false">IF($E2175="","",INDEX(成本费用登记表!$E$4:$E$303,22))</f>
        <v/>
      </c>
      <c r="E2175" s="67" t="str">
        <f aca="false">IF(INDEX(成本费用登记表!$Q$4:$Y$303,22,7)=0,"",INDEX(成本费用登记表!$Q$4:$Y$303,22,7))</f>
        <v/>
      </c>
      <c r="F2175" s="99" t="str">
        <f aca="false">IF($E2175="","",IFERROR(INDEX(科目表!$A$4:$A$81,MATCH($E2175,科目表!$B$4:$B$81,0)),""))</f>
        <v/>
      </c>
      <c r="G2175" s="67" t="str">
        <f aca="false">IF($E2175="","",IFERROR(INDEX(科目表!$E$4:$E$81,MATCH($E2175,科目表!$B$4:$B$81,0)),""))</f>
        <v/>
      </c>
      <c r="H2175" s="70" t="str">
        <f aca="false">IF($E2175="","",N(INDEX(成本费用登记表!$Q$4:$Y$303,22,8)))</f>
        <v/>
      </c>
      <c r="I2175" s="70" t="str">
        <f aca="false">IF($E2175="","",N(INDEX(成本费用登记表!$Q$4:$Y$303,22,9)))</f>
        <v/>
      </c>
      <c r="J2175" s="67" t="str">
        <f aca="false">IF($E2175="","",INDEX(成本费用登记表!$C$4:$C$303,22))</f>
        <v/>
      </c>
      <c r="K2175" s="67" t="str">
        <f aca="false">IF($E2175="","",INDEX(成本费用登记表!$D$4:$D$303,22))</f>
        <v/>
      </c>
      <c r="L2175" s="107" t="str">
        <f aca="false">IF($E2175="","",INDEX(成本费用登记表!$N$4:$N$303,22))</f>
        <v/>
      </c>
      <c r="M2175" s="107"/>
      <c r="N2175" s="67" t="str">
        <f aca="false">IF($E2175="","","系统")</f>
        <v/>
      </c>
      <c r="O2175" s="67" t="str">
        <f aca="false">IF($E2175="","","自动C")</f>
        <v/>
      </c>
      <c r="P2175" s="18"/>
    </row>
    <row r="2176" customFormat="false" ht="18" hidden="false" customHeight="true" outlineLevel="0" collapsed="false">
      <c r="A2176" s="107" t="str">
        <f aca="false">IF($E2176="","",ROW()-3)</f>
        <v/>
      </c>
      <c r="B2176" s="110" t="str">
        <f aca="false">IF($E2176="","",INDEX(成本费用登记表!$B$4:$B$303,23))</f>
        <v/>
      </c>
      <c r="C2176" s="67" t="str">
        <f aca="false">IF($E2176="","","记-"&amp;TEXT($B2176,"YYYYMM")&amp;"-费用")</f>
        <v/>
      </c>
      <c r="D2176" s="107" t="str">
        <f aca="false">IF($E2176="","",INDEX(成本费用登记表!$E$4:$E$303,23))</f>
        <v/>
      </c>
      <c r="E2176" s="67" t="str">
        <f aca="false">IF(INDEX(成本费用登记表!$Q$4:$Y$303,23,1)=0,"",INDEX(成本费用登记表!$Q$4:$Y$303,23,1))</f>
        <v/>
      </c>
      <c r="F2176" s="99" t="str">
        <f aca="false">IF($E2176="","",IFERROR(INDEX(科目表!$A$4:$A$81,MATCH($E2176,科目表!$B$4:$B$81,0)),""))</f>
        <v/>
      </c>
      <c r="G2176" s="67" t="str">
        <f aca="false">IF($E2176="","",IFERROR(INDEX(科目表!$E$4:$E$81,MATCH($E2176,科目表!$B$4:$B$81,0)),""))</f>
        <v/>
      </c>
      <c r="H2176" s="70" t="str">
        <f aca="false">IF($E2176="","",N(INDEX(成本费用登记表!$Q$4:$Y$303,23,2)))</f>
        <v/>
      </c>
      <c r="I2176" s="70" t="str">
        <f aca="false">IF($E2176="","",N(INDEX(成本费用登记表!$Q$4:$Y$303,23,3)))</f>
        <v/>
      </c>
      <c r="J2176" s="67" t="str">
        <f aca="false">IF($E2176="","",INDEX(成本费用登记表!$C$4:$C$303,23))</f>
        <v/>
      </c>
      <c r="K2176" s="67" t="str">
        <f aca="false">IF($E2176="","",INDEX(成本费用登记表!$D$4:$D$303,23))</f>
        <v/>
      </c>
      <c r="L2176" s="107" t="str">
        <f aca="false">IF($E2176="","",INDEX(成本费用登记表!$N$4:$N$303,23))</f>
        <v/>
      </c>
      <c r="M2176" s="107"/>
      <c r="N2176" s="67" t="str">
        <f aca="false">IF($E2176="","","系统")</f>
        <v/>
      </c>
      <c r="O2176" s="67" t="str">
        <f aca="false">IF($E2176="","","自动C")</f>
        <v/>
      </c>
      <c r="P2176" s="18"/>
    </row>
    <row r="2177" customFormat="false" ht="18" hidden="false" customHeight="true" outlineLevel="0" collapsed="false">
      <c r="A2177" s="107" t="str">
        <f aca="false">IF($E2177="","",ROW()-3)</f>
        <v/>
      </c>
      <c r="B2177" s="110" t="str">
        <f aca="false">IF($E2177="","",INDEX(成本费用登记表!$B$4:$B$303,23))</f>
        <v/>
      </c>
      <c r="C2177" s="67" t="str">
        <f aca="false">IF($E2177="","","记-"&amp;TEXT($B2177,"YYYYMM")&amp;"-费用")</f>
        <v/>
      </c>
      <c r="D2177" s="107" t="str">
        <f aca="false">IF($E2177="","",INDEX(成本费用登记表!$E$4:$E$303,23))</f>
        <v/>
      </c>
      <c r="E2177" s="67" t="str">
        <f aca="false">IF(INDEX(成本费用登记表!$Q$4:$Y$303,23,4)=0,"",INDEX(成本费用登记表!$Q$4:$Y$303,23,4))</f>
        <v/>
      </c>
      <c r="F2177" s="99" t="str">
        <f aca="false">IF($E2177="","",IFERROR(INDEX(科目表!$A$4:$A$81,MATCH($E2177,科目表!$B$4:$B$81,0)),""))</f>
        <v/>
      </c>
      <c r="G2177" s="67" t="str">
        <f aca="false">IF($E2177="","",IFERROR(INDEX(科目表!$E$4:$E$81,MATCH($E2177,科目表!$B$4:$B$81,0)),""))</f>
        <v/>
      </c>
      <c r="H2177" s="70" t="str">
        <f aca="false">IF($E2177="","",N(INDEX(成本费用登记表!$Q$4:$Y$303,23,5)))</f>
        <v/>
      </c>
      <c r="I2177" s="70" t="str">
        <f aca="false">IF($E2177="","",N(INDEX(成本费用登记表!$Q$4:$Y$303,23,6)))</f>
        <v/>
      </c>
      <c r="J2177" s="67" t="str">
        <f aca="false">IF($E2177="","",INDEX(成本费用登记表!$C$4:$C$303,23))</f>
        <v/>
      </c>
      <c r="K2177" s="67" t="str">
        <f aca="false">IF($E2177="","",INDEX(成本费用登记表!$D$4:$D$303,23))</f>
        <v/>
      </c>
      <c r="L2177" s="107" t="str">
        <f aca="false">IF($E2177="","",INDEX(成本费用登记表!$N$4:$N$303,23))</f>
        <v/>
      </c>
      <c r="M2177" s="107"/>
      <c r="N2177" s="67" t="str">
        <f aca="false">IF($E2177="","","系统")</f>
        <v/>
      </c>
      <c r="O2177" s="67" t="str">
        <f aca="false">IF($E2177="","","自动C")</f>
        <v/>
      </c>
      <c r="P2177" s="18"/>
    </row>
    <row r="2178" customFormat="false" ht="18" hidden="false" customHeight="true" outlineLevel="0" collapsed="false">
      <c r="A2178" s="107" t="str">
        <f aca="false">IF($E2178="","",ROW()-3)</f>
        <v/>
      </c>
      <c r="B2178" s="110" t="str">
        <f aca="false">IF($E2178="","",INDEX(成本费用登记表!$B$4:$B$303,23))</f>
        <v/>
      </c>
      <c r="C2178" s="67" t="str">
        <f aca="false">IF($E2178="","","记-"&amp;TEXT($B2178,"YYYYMM")&amp;"-费用")</f>
        <v/>
      </c>
      <c r="D2178" s="107" t="str">
        <f aca="false">IF($E2178="","",INDEX(成本费用登记表!$E$4:$E$303,23))</f>
        <v/>
      </c>
      <c r="E2178" s="67" t="str">
        <f aca="false">IF(INDEX(成本费用登记表!$Q$4:$Y$303,23,7)=0,"",INDEX(成本费用登记表!$Q$4:$Y$303,23,7))</f>
        <v/>
      </c>
      <c r="F2178" s="99" t="str">
        <f aca="false">IF($E2178="","",IFERROR(INDEX(科目表!$A$4:$A$81,MATCH($E2178,科目表!$B$4:$B$81,0)),""))</f>
        <v/>
      </c>
      <c r="G2178" s="67" t="str">
        <f aca="false">IF($E2178="","",IFERROR(INDEX(科目表!$E$4:$E$81,MATCH($E2178,科目表!$B$4:$B$81,0)),""))</f>
        <v/>
      </c>
      <c r="H2178" s="70" t="str">
        <f aca="false">IF($E2178="","",N(INDEX(成本费用登记表!$Q$4:$Y$303,23,8)))</f>
        <v/>
      </c>
      <c r="I2178" s="70" t="str">
        <f aca="false">IF($E2178="","",N(INDEX(成本费用登记表!$Q$4:$Y$303,23,9)))</f>
        <v/>
      </c>
      <c r="J2178" s="67" t="str">
        <f aca="false">IF($E2178="","",INDEX(成本费用登记表!$C$4:$C$303,23))</f>
        <v/>
      </c>
      <c r="K2178" s="67" t="str">
        <f aca="false">IF($E2178="","",INDEX(成本费用登记表!$D$4:$D$303,23))</f>
        <v/>
      </c>
      <c r="L2178" s="107" t="str">
        <f aca="false">IF($E2178="","",INDEX(成本费用登记表!$N$4:$N$303,23))</f>
        <v/>
      </c>
      <c r="M2178" s="107"/>
      <c r="N2178" s="67" t="str">
        <f aca="false">IF($E2178="","","系统")</f>
        <v/>
      </c>
      <c r="O2178" s="67" t="str">
        <f aca="false">IF($E2178="","","自动C")</f>
        <v/>
      </c>
      <c r="P2178" s="18"/>
    </row>
    <row r="2179" customFormat="false" ht="18" hidden="false" customHeight="true" outlineLevel="0" collapsed="false">
      <c r="A2179" s="107" t="str">
        <f aca="false">IF($E2179="","",ROW()-3)</f>
        <v/>
      </c>
      <c r="B2179" s="110" t="str">
        <f aca="false">IF($E2179="","",INDEX(成本费用登记表!$B$4:$B$303,24))</f>
        <v/>
      </c>
      <c r="C2179" s="67" t="str">
        <f aca="false">IF($E2179="","","记-"&amp;TEXT($B2179,"YYYYMM")&amp;"-费用")</f>
        <v/>
      </c>
      <c r="D2179" s="107" t="str">
        <f aca="false">IF($E2179="","",INDEX(成本费用登记表!$E$4:$E$303,24))</f>
        <v/>
      </c>
      <c r="E2179" s="67" t="str">
        <f aca="false">IF(INDEX(成本费用登记表!$Q$4:$Y$303,24,1)=0,"",INDEX(成本费用登记表!$Q$4:$Y$303,24,1))</f>
        <v/>
      </c>
      <c r="F2179" s="99" t="str">
        <f aca="false">IF($E2179="","",IFERROR(INDEX(科目表!$A$4:$A$81,MATCH($E2179,科目表!$B$4:$B$81,0)),""))</f>
        <v/>
      </c>
      <c r="G2179" s="67" t="str">
        <f aca="false">IF($E2179="","",IFERROR(INDEX(科目表!$E$4:$E$81,MATCH($E2179,科目表!$B$4:$B$81,0)),""))</f>
        <v/>
      </c>
      <c r="H2179" s="70" t="str">
        <f aca="false">IF($E2179="","",N(INDEX(成本费用登记表!$Q$4:$Y$303,24,2)))</f>
        <v/>
      </c>
      <c r="I2179" s="70" t="str">
        <f aca="false">IF($E2179="","",N(INDEX(成本费用登记表!$Q$4:$Y$303,24,3)))</f>
        <v/>
      </c>
      <c r="J2179" s="67" t="str">
        <f aca="false">IF($E2179="","",INDEX(成本费用登记表!$C$4:$C$303,24))</f>
        <v/>
      </c>
      <c r="K2179" s="67" t="str">
        <f aca="false">IF($E2179="","",INDEX(成本费用登记表!$D$4:$D$303,24))</f>
        <v/>
      </c>
      <c r="L2179" s="107" t="str">
        <f aca="false">IF($E2179="","",INDEX(成本费用登记表!$N$4:$N$303,24))</f>
        <v/>
      </c>
      <c r="M2179" s="107"/>
      <c r="N2179" s="67" t="str">
        <f aca="false">IF($E2179="","","系统")</f>
        <v/>
      </c>
      <c r="O2179" s="67" t="str">
        <f aca="false">IF($E2179="","","自动C")</f>
        <v/>
      </c>
      <c r="P2179" s="18"/>
    </row>
    <row r="2180" customFormat="false" ht="18" hidden="false" customHeight="true" outlineLevel="0" collapsed="false">
      <c r="A2180" s="107" t="str">
        <f aca="false">IF($E2180="","",ROW()-3)</f>
        <v/>
      </c>
      <c r="B2180" s="110" t="str">
        <f aca="false">IF($E2180="","",INDEX(成本费用登记表!$B$4:$B$303,24))</f>
        <v/>
      </c>
      <c r="C2180" s="67" t="str">
        <f aca="false">IF($E2180="","","记-"&amp;TEXT($B2180,"YYYYMM")&amp;"-费用")</f>
        <v/>
      </c>
      <c r="D2180" s="107" t="str">
        <f aca="false">IF($E2180="","",INDEX(成本费用登记表!$E$4:$E$303,24))</f>
        <v/>
      </c>
      <c r="E2180" s="67" t="str">
        <f aca="false">IF(INDEX(成本费用登记表!$Q$4:$Y$303,24,4)=0,"",INDEX(成本费用登记表!$Q$4:$Y$303,24,4))</f>
        <v/>
      </c>
      <c r="F2180" s="99" t="str">
        <f aca="false">IF($E2180="","",IFERROR(INDEX(科目表!$A$4:$A$81,MATCH($E2180,科目表!$B$4:$B$81,0)),""))</f>
        <v/>
      </c>
      <c r="G2180" s="67" t="str">
        <f aca="false">IF($E2180="","",IFERROR(INDEX(科目表!$E$4:$E$81,MATCH($E2180,科目表!$B$4:$B$81,0)),""))</f>
        <v/>
      </c>
      <c r="H2180" s="70" t="str">
        <f aca="false">IF($E2180="","",N(INDEX(成本费用登记表!$Q$4:$Y$303,24,5)))</f>
        <v/>
      </c>
      <c r="I2180" s="70" t="str">
        <f aca="false">IF($E2180="","",N(INDEX(成本费用登记表!$Q$4:$Y$303,24,6)))</f>
        <v/>
      </c>
      <c r="J2180" s="67" t="str">
        <f aca="false">IF($E2180="","",INDEX(成本费用登记表!$C$4:$C$303,24))</f>
        <v/>
      </c>
      <c r="K2180" s="67" t="str">
        <f aca="false">IF($E2180="","",INDEX(成本费用登记表!$D$4:$D$303,24))</f>
        <v/>
      </c>
      <c r="L2180" s="107" t="str">
        <f aca="false">IF($E2180="","",INDEX(成本费用登记表!$N$4:$N$303,24))</f>
        <v/>
      </c>
      <c r="M2180" s="107"/>
      <c r="N2180" s="67" t="str">
        <f aca="false">IF($E2180="","","系统")</f>
        <v/>
      </c>
      <c r="O2180" s="67" t="str">
        <f aca="false">IF($E2180="","","自动C")</f>
        <v/>
      </c>
      <c r="P2180" s="18"/>
    </row>
    <row r="2181" customFormat="false" ht="18" hidden="false" customHeight="true" outlineLevel="0" collapsed="false">
      <c r="A2181" s="107" t="str">
        <f aca="false">IF($E2181="","",ROW()-3)</f>
        <v/>
      </c>
      <c r="B2181" s="110" t="str">
        <f aca="false">IF($E2181="","",INDEX(成本费用登记表!$B$4:$B$303,24))</f>
        <v/>
      </c>
      <c r="C2181" s="67" t="str">
        <f aca="false">IF($E2181="","","记-"&amp;TEXT($B2181,"YYYYMM")&amp;"-费用")</f>
        <v/>
      </c>
      <c r="D2181" s="107" t="str">
        <f aca="false">IF($E2181="","",INDEX(成本费用登记表!$E$4:$E$303,24))</f>
        <v/>
      </c>
      <c r="E2181" s="67" t="str">
        <f aca="false">IF(INDEX(成本费用登记表!$Q$4:$Y$303,24,7)=0,"",INDEX(成本费用登记表!$Q$4:$Y$303,24,7))</f>
        <v/>
      </c>
      <c r="F2181" s="99" t="str">
        <f aca="false">IF($E2181="","",IFERROR(INDEX(科目表!$A$4:$A$81,MATCH($E2181,科目表!$B$4:$B$81,0)),""))</f>
        <v/>
      </c>
      <c r="G2181" s="67" t="str">
        <f aca="false">IF($E2181="","",IFERROR(INDEX(科目表!$E$4:$E$81,MATCH($E2181,科目表!$B$4:$B$81,0)),""))</f>
        <v/>
      </c>
      <c r="H2181" s="70" t="str">
        <f aca="false">IF($E2181="","",N(INDEX(成本费用登记表!$Q$4:$Y$303,24,8)))</f>
        <v/>
      </c>
      <c r="I2181" s="70" t="str">
        <f aca="false">IF($E2181="","",N(INDEX(成本费用登记表!$Q$4:$Y$303,24,9)))</f>
        <v/>
      </c>
      <c r="J2181" s="67" t="str">
        <f aca="false">IF($E2181="","",INDEX(成本费用登记表!$C$4:$C$303,24))</f>
        <v/>
      </c>
      <c r="K2181" s="67" t="str">
        <f aca="false">IF($E2181="","",INDEX(成本费用登记表!$D$4:$D$303,24))</f>
        <v/>
      </c>
      <c r="L2181" s="107" t="str">
        <f aca="false">IF($E2181="","",INDEX(成本费用登记表!$N$4:$N$303,24))</f>
        <v/>
      </c>
      <c r="M2181" s="107"/>
      <c r="N2181" s="67" t="str">
        <f aca="false">IF($E2181="","","系统")</f>
        <v/>
      </c>
      <c r="O2181" s="67" t="str">
        <f aca="false">IF($E2181="","","自动C")</f>
        <v/>
      </c>
      <c r="P2181" s="18"/>
    </row>
    <row r="2182" customFormat="false" ht="18" hidden="false" customHeight="true" outlineLevel="0" collapsed="false">
      <c r="A2182" s="107" t="str">
        <f aca="false">IF($E2182="","",ROW()-3)</f>
        <v/>
      </c>
      <c r="B2182" s="110" t="str">
        <f aca="false">IF($E2182="","",INDEX(成本费用登记表!$B$4:$B$303,25))</f>
        <v/>
      </c>
      <c r="C2182" s="67" t="str">
        <f aca="false">IF($E2182="","","记-"&amp;TEXT($B2182,"YYYYMM")&amp;"-费用")</f>
        <v/>
      </c>
      <c r="D2182" s="107" t="str">
        <f aca="false">IF($E2182="","",INDEX(成本费用登记表!$E$4:$E$303,25))</f>
        <v/>
      </c>
      <c r="E2182" s="67" t="str">
        <f aca="false">IF(INDEX(成本费用登记表!$Q$4:$Y$303,25,1)=0,"",INDEX(成本费用登记表!$Q$4:$Y$303,25,1))</f>
        <v/>
      </c>
      <c r="F2182" s="99" t="str">
        <f aca="false">IF($E2182="","",IFERROR(INDEX(科目表!$A$4:$A$81,MATCH($E2182,科目表!$B$4:$B$81,0)),""))</f>
        <v/>
      </c>
      <c r="G2182" s="67" t="str">
        <f aca="false">IF($E2182="","",IFERROR(INDEX(科目表!$E$4:$E$81,MATCH($E2182,科目表!$B$4:$B$81,0)),""))</f>
        <v/>
      </c>
      <c r="H2182" s="70" t="str">
        <f aca="false">IF($E2182="","",N(INDEX(成本费用登记表!$Q$4:$Y$303,25,2)))</f>
        <v/>
      </c>
      <c r="I2182" s="70" t="str">
        <f aca="false">IF($E2182="","",N(INDEX(成本费用登记表!$Q$4:$Y$303,25,3)))</f>
        <v/>
      </c>
      <c r="J2182" s="67" t="str">
        <f aca="false">IF($E2182="","",INDEX(成本费用登记表!$C$4:$C$303,25))</f>
        <v/>
      </c>
      <c r="K2182" s="67" t="str">
        <f aca="false">IF($E2182="","",INDEX(成本费用登记表!$D$4:$D$303,25))</f>
        <v/>
      </c>
      <c r="L2182" s="107" t="str">
        <f aca="false">IF($E2182="","",INDEX(成本费用登记表!$N$4:$N$303,25))</f>
        <v/>
      </c>
      <c r="M2182" s="107"/>
      <c r="N2182" s="67" t="str">
        <f aca="false">IF($E2182="","","系统")</f>
        <v/>
      </c>
      <c r="O2182" s="67" t="str">
        <f aca="false">IF($E2182="","","自动C")</f>
        <v/>
      </c>
      <c r="P2182" s="18"/>
    </row>
    <row r="2183" customFormat="false" ht="18" hidden="false" customHeight="true" outlineLevel="0" collapsed="false">
      <c r="A2183" s="107" t="str">
        <f aca="false">IF($E2183="","",ROW()-3)</f>
        <v/>
      </c>
      <c r="B2183" s="110" t="str">
        <f aca="false">IF($E2183="","",INDEX(成本费用登记表!$B$4:$B$303,25))</f>
        <v/>
      </c>
      <c r="C2183" s="67" t="str">
        <f aca="false">IF($E2183="","","记-"&amp;TEXT($B2183,"YYYYMM")&amp;"-费用")</f>
        <v/>
      </c>
      <c r="D2183" s="107" t="str">
        <f aca="false">IF($E2183="","",INDEX(成本费用登记表!$E$4:$E$303,25))</f>
        <v/>
      </c>
      <c r="E2183" s="67" t="str">
        <f aca="false">IF(INDEX(成本费用登记表!$Q$4:$Y$303,25,4)=0,"",INDEX(成本费用登记表!$Q$4:$Y$303,25,4))</f>
        <v/>
      </c>
      <c r="F2183" s="99" t="str">
        <f aca="false">IF($E2183="","",IFERROR(INDEX(科目表!$A$4:$A$81,MATCH($E2183,科目表!$B$4:$B$81,0)),""))</f>
        <v/>
      </c>
      <c r="G2183" s="67" t="str">
        <f aca="false">IF($E2183="","",IFERROR(INDEX(科目表!$E$4:$E$81,MATCH($E2183,科目表!$B$4:$B$81,0)),""))</f>
        <v/>
      </c>
      <c r="H2183" s="70" t="str">
        <f aca="false">IF($E2183="","",N(INDEX(成本费用登记表!$Q$4:$Y$303,25,5)))</f>
        <v/>
      </c>
      <c r="I2183" s="70" t="str">
        <f aca="false">IF($E2183="","",N(INDEX(成本费用登记表!$Q$4:$Y$303,25,6)))</f>
        <v/>
      </c>
      <c r="J2183" s="67" t="str">
        <f aca="false">IF($E2183="","",INDEX(成本费用登记表!$C$4:$C$303,25))</f>
        <v/>
      </c>
      <c r="K2183" s="67" t="str">
        <f aca="false">IF($E2183="","",INDEX(成本费用登记表!$D$4:$D$303,25))</f>
        <v/>
      </c>
      <c r="L2183" s="107" t="str">
        <f aca="false">IF($E2183="","",INDEX(成本费用登记表!$N$4:$N$303,25))</f>
        <v/>
      </c>
      <c r="M2183" s="107"/>
      <c r="N2183" s="67" t="str">
        <f aca="false">IF($E2183="","","系统")</f>
        <v/>
      </c>
      <c r="O2183" s="67" t="str">
        <f aca="false">IF($E2183="","","自动C")</f>
        <v/>
      </c>
      <c r="P2183" s="18"/>
    </row>
    <row r="2184" customFormat="false" ht="18" hidden="false" customHeight="true" outlineLevel="0" collapsed="false">
      <c r="A2184" s="107" t="str">
        <f aca="false">IF($E2184="","",ROW()-3)</f>
        <v/>
      </c>
      <c r="B2184" s="110" t="str">
        <f aca="false">IF($E2184="","",INDEX(成本费用登记表!$B$4:$B$303,25))</f>
        <v/>
      </c>
      <c r="C2184" s="67" t="str">
        <f aca="false">IF($E2184="","","记-"&amp;TEXT($B2184,"YYYYMM")&amp;"-费用")</f>
        <v/>
      </c>
      <c r="D2184" s="107" t="str">
        <f aca="false">IF($E2184="","",INDEX(成本费用登记表!$E$4:$E$303,25))</f>
        <v/>
      </c>
      <c r="E2184" s="67" t="str">
        <f aca="false">IF(INDEX(成本费用登记表!$Q$4:$Y$303,25,7)=0,"",INDEX(成本费用登记表!$Q$4:$Y$303,25,7))</f>
        <v/>
      </c>
      <c r="F2184" s="99" t="str">
        <f aca="false">IF($E2184="","",IFERROR(INDEX(科目表!$A$4:$A$81,MATCH($E2184,科目表!$B$4:$B$81,0)),""))</f>
        <v/>
      </c>
      <c r="G2184" s="67" t="str">
        <f aca="false">IF($E2184="","",IFERROR(INDEX(科目表!$E$4:$E$81,MATCH($E2184,科目表!$B$4:$B$81,0)),""))</f>
        <v/>
      </c>
      <c r="H2184" s="70" t="str">
        <f aca="false">IF($E2184="","",N(INDEX(成本费用登记表!$Q$4:$Y$303,25,8)))</f>
        <v/>
      </c>
      <c r="I2184" s="70" t="str">
        <f aca="false">IF($E2184="","",N(INDEX(成本费用登记表!$Q$4:$Y$303,25,9)))</f>
        <v/>
      </c>
      <c r="J2184" s="67" t="str">
        <f aca="false">IF($E2184="","",INDEX(成本费用登记表!$C$4:$C$303,25))</f>
        <v/>
      </c>
      <c r="K2184" s="67" t="str">
        <f aca="false">IF($E2184="","",INDEX(成本费用登记表!$D$4:$D$303,25))</f>
        <v/>
      </c>
      <c r="L2184" s="107" t="str">
        <f aca="false">IF($E2184="","",INDEX(成本费用登记表!$N$4:$N$303,25))</f>
        <v/>
      </c>
      <c r="M2184" s="107"/>
      <c r="N2184" s="67" t="str">
        <f aca="false">IF($E2184="","","系统")</f>
        <v/>
      </c>
      <c r="O2184" s="67" t="str">
        <f aca="false">IF($E2184="","","自动C")</f>
        <v/>
      </c>
      <c r="P2184" s="18"/>
    </row>
    <row r="2185" customFormat="false" ht="18" hidden="false" customHeight="true" outlineLevel="0" collapsed="false">
      <c r="A2185" s="107" t="str">
        <f aca="false">IF($E2185="","",ROW()-3)</f>
        <v/>
      </c>
      <c r="B2185" s="110" t="str">
        <f aca="false">IF($E2185="","",INDEX(成本费用登记表!$B$4:$B$303,26))</f>
        <v/>
      </c>
      <c r="C2185" s="67" t="str">
        <f aca="false">IF($E2185="","","记-"&amp;TEXT($B2185,"YYYYMM")&amp;"-费用")</f>
        <v/>
      </c>
      <c r="D2185" s="107" t="str">
        <f aca="false">IF($E2185="","",INDEX(成本费用登记表!$E$4:$E$303,26))</f>
        <v/>
      </c>
      <c r="E2185" s="67" t="str">
        <f aca="false">IF(INDEX(成本费用登记表!$Q$4:$Y$303,26,1)=0,"",INDEX(成本费用登记表!$Q$4:$Y$303,26,1))</f>
        <v/>
      </c>
      <c r="F2185" s="99" t="str">
        <f aca="false">IF($E2185="","",IFERROR(INDEX(科目表!$A$4:$A$81,MATCH($E2185,科目表!$B$4:$B$81,0)),""))</f>
        <v/>
      </c>
      <c r="G2185" s="67" t="str">
        <f aca="false">IF($E2185="","",IFERROR(INDEX(科目表!$E$4:$E$81,MATCH($E2185,科目表!$B$4:$B$81,0)),""))</f>
        <v/>
      </c>
      <c r="H2185" s="70" t="str">
        <f aca="false">IF($E2185="","",N(INDEX(成本费用登记表!$Q$4:$Y$303,26,2)))</f>
        <v/>
      </c>
      <c r="I2185" s="70" t="str">
        <f aca="false">IF($E2185="","",N(INDEX(成本费用登记表!$Q$4:$Y$303,26,3)))</f>
        <v/>
      </c>
      <c r="J2185" s="67" t="str">
        <f aca="false">IF($E2185="","",INDEX(成本费用登记表!$C$4:$C$303,26))</f>
        <v/>
      </c>
      <c r="K2185" s="67" t="str">
        <f aca="false">IF($E2185="","",INDEX(成本费用登记表!$D$4:$D$303,26))</f>
        <v/>
      </c>
      <c r="L2185" s="107" t="str">
        <f aca="false">IF($E2185="","",INDEX(成本费用登记表!$N$4:$N$303,26))</f>
        <v/>
      </c>
      <c r="M2185" s="107"/>
      <c r="N2185" s="67" t="str">
        <f aca="false">IF($E2185="","","系统")</f>
        <v/>
      </c>
      <c r="O2185" s="67" t="str">
        <f aca="false">IF($E2185="","","自动C")</f>
        <v/>
      </c>
      <c r="P2185" s="18"/>
    </row>
    <row r="2186" customFormat="false" ht="18" hidden="false" customHeight="true" outlineLevel="0" collapsed="false">
      <c r="A2186" s="107" t="str">
        <f aca="false">IF($E2186="","",ROW()-3)</f>
        <v/>
      </c>
      <c r="B2186" s="110" t="str">
        <f aca="false">IF($E2186="","",INDEX(成本费用登记表!$B$4:$B$303,26))</f>
        <v/>
      </c>
      <c r="C2186" s="67" t="str">
        <f aca="false">IF($E2186="","","记-"&amp;TEXT($B2186,"YYYYMM")&amp;"-费用")</f>
        <v/>
      </c>
      <c r="D2186" s="107" t="str">
        <f aca="false">IF($E2186="","",INDEX(成本费用登记表!$E$4:$E$303,26))</f>
        <v/>
      </c>
      <c r="E2186" s="67" t="str">
        <f aca="false">IF(INDEX(成本费用登记表!$Q$4:$Y$303,26,4)=0,"",INDEX(成本费用登记表!$Q$4:$Y$303,26,4))</f>
        <v/>
      </c>
      <c r="F2186" s="99" t="str">
        <f aca="false">IF($E2186="","",IFERROR(INDEX(科目表!$A$4:$A$81,MATCH($E2186,科目表!$B$4:$B$81,0)),""))</f>
        <v/>
      </c>
      <c r="G2186" s="67" t="str">
        <f aca="false">IF($E2186="","",IFERROR(INDEX(科目表!$E$4:$E$81,MATCH($E2186,科目表!$B$4:$B$81,0)),""))</f>
        <v/>
      </c>
      <c r="H2186" s="70" t="str">
        <f aca="false">IF($E2186="","",N(INDEX(成本费用登记表!$Q$4:$Y$303,26,5)))</f>
        <v/>
      </c>
      <c r="I2186" s="70" t="str">
        <f aca="false">IF($E2186="","",N(INDEX(成本费用登记表!$Q$4:$Y$303,26,6)))</f>
        <v/>
      </c>
      <c r="J2186" s="67" t="str">
        <f aca="false">IF($E2186="","",INDEX(成本费用登记表!$C$4:$C$303,26))</f>
        <v/>
      </c>
      <c r="K2186" s="67" t="str">
        <f aca="false">IF($E2186="","",INDEX(成本费用登记表!$D$4:$D$303,26))</f>
        <v/>
      </c>
      <c r="L2186" s="107" t="str">
        <f aca="false">IF($E2186="","",INDEX(成本费用登记表!$N$4:$N$303,26))</f>
        <v/>
      </c>
      <c r="M2186" s="107"/>
      <c r="N2186" s="67" t="str">
        <f aca="false">IF($E2186="","","系统")</f>
        <v/>
      </c>
      <c r="O2186" s="67" t="str">
        <f aca="false">IF($E2186="","","自动C")</f>
        <v/>
      </c>
      <c r="P2186" s="18"/>
    </row>
    <row r="2187" customFormat="false" ht="18" hidden="false" customHeight="true" outlineLevel="0" collapsed="false">
      <c r="A2187" s="107" t="str">
        <f aca="false">IF($E2187="","",ROW()-3)</f>
        <v/>
      </c>
      <c r="B2187" s="110" t="str">
        <f aca="false">IF($E2187="","",INDEX(成本费用登记表!$B$4:$B$303,26))</f>
        <v/>
      </c>
      <c r="C2187" s="67" t="str">
        <f aca="false">IF($E2187="","","记-"&amp;TEXT($B2187,"YYYYMM")&amp;"-费用")</f>
        <v/>
      </c>
      <c r="D2187" s="107" t="str">
        <f aca="false">IF($E2187="","",INDEX(成本费用登记表!$E$4:$E$303,26))</f>
        <v/>
      </c>
      <c r="E2187" s="67" t="str">
        <f aca="false">IF(INDEX(成本费用登记表!$Q$4:$Y$303,26,7)=0,"",INDEX(成本费用登记表!$Q$4:$Y$303,26,7))</f>
        <v/>
      </c>
      <c r="F2187" s="99" t="str">
        <f aca="false">IF($E2187="","",IFERROR(INDEX(科目表!$A$4:$A$81,MATCH($E2187,科目表!$B$4:$B$81,0)),""))</f>
        <v/>
      </c>
      <c r="G2187" s="67" t="str">
        <f aca="false">IF($E2187="","",IFERROR(INDEX(科目表!$E$4:$E$81,MATCH($E2187,科目表!$B$4:$B$81,0)),""))</f>
        <v/>
      </c>
      <c r="H2187" s="70" t="str">
        <f aca="false">IF($E2187="","",N(INDEX(成本费用登记表!$Q$4:$Y$303,26,8)))</f>
        <v/>
      </c>
      <c r="I2187" s="70" t="str">
        <f aca="false">IF($E2187="","",N(INDEX(成本费用登记表!$Q$4:$Y$303,26,9)))</f>
        <v/>
      </c>
      <c r="J2187" s="67" t="str">
        <f aca="false">IF($E2187="","",INDEX(成本费用登记表!$C$4:$C$303,26))</f>
        <v/>
      </c>
      <c r="K2187" s="67" t="str">
        <f aca="false">IF($E2187="","",INDEX(成本费用登记表!$D$4:$D$303,26))</f>
        <v/>
      </c>
      <c r="L2187" s="107" t="str">
        <f aca="false">IF($E2187="","",INDEX(成本费用登记表!$N$4:$N$303,26))</f>
        <v/>
      </c>
      <c r="M2187" s="107"/>
      <c r="N2187" s="67" t="str">
        <f aca="false">IF($E2187="","","系统")</f>
        <v/>
      </c>
      <c r="O2187" s="67" t="str">
        <f aca="false">IF($E2187="","","自动C")</f>
        <v/>
      </c>
      <c r="P2187" s="18"/>
    </row>
    <row r="2188" customFormat="false" ht="18" hidden="false" customHeight="true" outlineLevel="0" collapsed="false">
      <c r="A2188" s="107" t="str">
        <f aca="false">IF($E2188="","",ROW()-3)</f>
        <v/>
      </c>
      <c r="B2188" s="110" t="str">
        <f aca="false">IF($E2188="","",INDEX(成本费用登记表!$B$4:$B$303,27))</f>
        <v/>
      </c>
      <c r="C2188" s="67" t="str">
        <f aca="false">IF($E2188="","","记-"&amp;TEXT($B2188,"YYYYMM")&amp;"-费用")</f>
        <v/>
      </c>
      <c r="D2188" s="107" t="str">
        <f aca="false">IF($E2188="","",INDEX(成本费用登记表!$E$4:$E$303,27))</f>
        <v/>
      </c>
      <c r="E2188" s="67" t="str">
        <f aca="false">IF(INDEX(成本费用登记表!$Q$4:$Y$303,27,1)=0,"",INDEX(成本费用登记表!$Q$4:$Y$303,27,1))</f>
        <v/>
      </c>
      <c r="F2188" s="99" t="str">
        <f aca="false">IF($E2188="","",IFERROR(INDEX(科目表!$A$4:$A$81,MATCH($E2188,科目表!$B$4:$B$81,0)),""))</f>
        <v/>
      </c>
      <c r="G2188" s="67" t="str">
        <f aca="false">IF($E2188="","",IFERROR(INDEX(科目表!$E$4:$E$81,MATCH($E2188,科目表!$B$4:$B$81,0)),""))</f>
        <v/>
      </c>
      <c r="H2188" s="70" t="str">
        <f aca="false">IF($E2188="","",N(INDEX(成本费用登记表!$Q$4:$Y$303,27,2)))</f>
        <v/>
      </c>
      <c r="I2188" s="70" t="str">
        <f aca="false">IF($E2188="","",N(INDEX(成本费用登记表!$Q$4:$Y$303,27,3)))</f>
        <v/>
      </c>
      <c r="J2188" s="67" t="str">
        <f aca="false">IF($E2188="","",INDEX(成本费用登记表!$C$4:$C$303,27))</f>
        <v/>
      </c>
      <c r="K2188" s="67" t="str">
        <f aca="false">IF($E2188="","",INDEX(成本费用登记表!$D$4:$D$303,27))</f>
        <v/>
      </c>
      <c r="L2188" s="107" t="str">
        <f aca="false">IF($E2188="","",INDEX(成本费用登记表!$N$4:$N$303,27))</f>
        <v/>
      </c>
      <c r="M2188" s="107"/>
      <c r="N2188" s="67" t="str">
        <f aca="false">IF($E2188="","","系统")</f>
        <v/>
      </c>
      <c r="O2188" s="67" t="str">
        <f aca="false">IF($E2188="","","自动C")</f>
        <v/>
      </c>
      <c r="P2188" s="18"/>
    </row>
    <row r="2189" customFormat="false" ht="18" hidden="false" customHeight="true" outlineLevel="0" collapsed="false">
      <c r="A2189" s="107" t="str">
        <f aca="false">IF($E2189="","",ROW()-3)</f>
        <v/>
      </c>
      <c r="B2189" s="110" t="str">
        <f aca="false">IF($E2189="","",INDEX(成本费用登记表!$B$4:$B$303,27))</f>
        <v/>
      </c>
      <c r="C2189" s="67" t="str">
        <f aca="false">IF($E2189="","","记-"&amp;TEXT($B2189,"YYYYMM")&amp;"-费用")</f>
        <v/>
      </c>
      <c r="D2189" s="107" t="str">
        <f aca="false">IF($E2189="","",INDEX(成本费用登记表!$E$4:$E$303,27))</f>
        <v/>
      </c>
      <c r="E2189" s="67" t="str">
        <f aca="false">IF(INDEX(成本费用登记表!$Q$4:$Y$303,27,4)=0,"",INDEX(成本费用登记表!$Q$4:$Y$303,27,4))</f>
        <v/>
      </c>
      <c r="F2189" s="99" t="str">
        <f aca="false">IF($E2189="","",IFERROR(INDEX(科目表!$A$4:$A$81,MATCH($E2189,科目表!$B$4:$B$81,0)),""))</f>
        <v/>
      </c>
      <c r="G2189" s="67" t="str">
        <f aca="false">IF($E2189="","",IFERROR(INDEX(科目表!$E$4:$E$81,MATCH($E2189,科目表!$B$4:$B$81,0)),""))</f>
        <v/>
      </c>
      <c r="H2189" s="70" t="str">
        <f aca="false">IF($E2189="","",N(INDEX(成本费用登记表!$Q$4:$Y$303,27,5)))</f>
        <v/>
      </c>
      <c r="I2189" s="70" t="str">
        <f aca="false">IF($E2189="","",N(INDEX(成本费用登记表!$Q$4:$Y$303,27,6)))</f>
        <v/>
      </c>
      <c r="J2189" s="67" t="str">
        <f aca="false">IF($E2189="","",INDEX(成本费用登记表!$C$4:$C$303,27))</f>
        <v/>
      </c>
      <c r="K2189" s="67" t="str">
        <f aca="false">IF($E2189="","",INDEX(成本费用登记表!$D$4:$D$303,27))</f>
        <v/>
      </c>
      <c r="L2189" s="107" t="str">
        <f aca="false">IF($E2189="","",INDEX(成本费用登记表!$N$4:$N$303,27))</f>
        <v/>
      </c>
      <c r="M2189" s="107"/>
      <c r="N2189" s="67" t="str">
        <f aca="false">IF($E2189="","","系统")</f>
        <v/>
      </c>
      <c r="O2189" s="67" t="str">
        <f aca="false">IF($E2189="","","自动C")</f>
        <v/>
      </c>
      <c r="P2189" s="18"/>
    </row>
    <row r="2190" customFormat="false" ht="18" hidden="false" customHeight="true" outlineLevel="0" collapsed="false">
      <c r="A2190" s="107" t="str">
        <f aca="false">IF($E2190="","",ROW()-3)</f>
        <v/>
      </c>
      <c r="B2190" s="110" t="str">
        <f aca="false">IF($E2190="","",INDEX(成本费用登记表!$B$4:$B$303,27))</f>
        <v/>
      </c>
      <c r="C2190" s="67" t="str">
        <f aca="false">IF($E2190="","","记-"&amp;TEXT($B2190,"YYYYMM")&amp;"-费用")</f>
        <v/>
      </c>
      <c r="D2190" s="107" t="str">
        <f aca="false">IF($E2190="","",INDEX(成本费用登记表!$E$4:$E$303,27))</f>
        <v/>
      </c>
      <c r="E2190" s="67" t="str">
        <f aca="false">IF(INDEX(成本费用登记表!$Q$4:$Y$303,27,7)=0,"",INDEX(成本费用登记表!$Q$4:$Y$303,27,7))</f>
        <v/>
      </c>
      <c r="F2190" s="99" t="str">
        <f aca="false">IF($E2190="","",IFERROR(INDEX(科目表!$A$4:$A$81,MATCH($E2190,科目表!$B$4:$B$81,0)),""))</f>
        <v/>
      </c>
      <c r="G2190" s="67" t="str">
        <f aca="false">IF($E2190="","",IFERROR(INDEX(科目表!$E$4:$E$81,MATCH($E2190,科目表!$B$4:$B$81,0)),""))</f>
        <v/>
      </c>
      <c r="H2190" s="70" t="str">
        <f aca="false">IF($E2190="","",N(INDEX(成本费用登记表!$Q$4:$Y$303,27,8)))</f>
        <v/>
      </c>
      <c r="I2190" s="70" t="str">
        <f aca="false">IF($E2190="","",N(INDEX(成本费用登记表!$Q$4:$Y$303,27,9)))</f>
        <v/>
      </c>
      <c r="J2190" s="67" t="str">
        <f aca="false">IF($E2190="","",INDEX(成本费用登记表!$C$4:$C$303,27))</f>
        <v/>
      </c>
      <c r="K2190" s="67" t="str">
        <f aca="false">IF($E2190="","",INDEX(成本费用登记表!$D$4:$D$303,27))</f>
        <v/>
      </c>
      <c r="L2190" s="107" t="str">
        <f aca="false">IF($E2190="","",INDEX(成本费用登记表!$N$4:$N$303,27))</f>
        <v/>
      </c>
      <c r="M2190" s="107"/>
      <c r="N2190" s="67" t="str">
        <f aca="false">IF($E2190="","","系统")</f>
        <v/>
      </c>
      <c r="O2190" s="67" t="str">
        <f aca="false">IF($E2190="","","自动C")</f>
        <v/>
      </c>
      <c r="P2190" s="18"/>
    </row>
    <row r="2191" customFormat="false" ht="18" hidden="false" customHeight="true" outlineLevel="0" collapsed="false">
      <c r="A2191" s="107" t="str">
        <f aca="false">IF($E2191="","",ROW()-3)</f>
        <v/>
      </c>
      <c r="B2191" s="110" t="str">
        <f aca="false">IF($E2191="","",INDEX(成本费用登记表!$B$4:$B$303,28))</f>
        <v/>
      </c>
      <c r="C2191" s="67" t="str">
        <f aca="false">IF($E2191="","","记-"&amp;TEXT($B2191,"YYYYMM")&amp;"-费用")</f>
        <v/>
      </c>
      <c r="D2191" s="107" t="str">
        <f aca="false">IF($E2191="","",INDEX(成本费用登记表!$E$4:$E$303,28))</f>
        <v/>
      </c>
      <c r="E2191" s="67" t="str">
        <f aca="false">IF(INDEX(成本费用登记表!$Q$4:$Y$303,28,1)=0,"",INDEX(成本费用登记表!$Q$4:$Y$303,28,1))</f>
        <v/>
      </c>
      <c r="F2191" s="99" t="str">
        <f aca="false">IF($E2191="","",IFERROR(INDEX(科目表!$A$4:$A$81,MATCH($E2191,科目表!$B$4:$B$81,0)),""))</f>
        <v/>
      </c>
      <c r="G2191" s="67" t="str">
        <f aca="false">IF($E2191="","",IFERROR(INDEX(科目表!$E$4:$E$81,MATCH($E2191,科目表!$B$4:$B$81,0)),""))</f>
        <v/>
      </c>
      <c r="H2191" s="70" t="str">
        <f aca="false">IF($E2191="","",N(INDEX(成本费用登记表!$Q$4:$Y$303,28,2)))</f>
        <v/>
      </c>
      <c r="I2191" s="70" t="str">
        <f aca="false">IF($E2191="","",N(INDEX(成本费用登记表!$Q$4:$Y$303,28,3)))</f>
        <v/>
      </c>
      <c r="J2191" s="67" t="str">
        <f aca="false">IF($E2191="","",INDEX(成本费用登记表!$C$4:$C$303,28))</f>
        <v/>
      </c>
      <c r="K2191" s="67" t="str">
        <f aca="false">IF($E2191="","",INDEX(成本费用登记表!$D$4:$D$303,28))</f>
        <v/>
      </c>
      <c r="L2191" s="107" t="str">
        <f aca="false">IF($E2191="","",INDEX(成本费用登记表!$N$4:$N$303,28))</f>
        <v/>
      </c>
      <c r="M2191" s="107"/>
      <c r="N2191" s="67" t="str">
        <f aca="false">IF($E2191="","","系统")</f>
        <v/>
      </c>
      <c r="O2191" s="67" t="str">
        <f aca="false">IF($E2191="","","自动C")</f>
        <v/>
      </c>
      <c r="P2191" s="18"/>
    </row>
    <row r="2192" customFormat="false" ht="18" hidden="false" customHeight="true" outlineLevel="0" collapsed="false">
      <c r="A2192" s="107" t="str">
        <f aca="false">IF($E2192="","",ROW()-3)</f>
        <v/>
      </c>
      <c r="B2192" s="110" t="str">
        <f aca="false">IF($E2192="","",INDEX(成本费用登记表!$B$4:$B$303,28))</f>
        <v/>
      </c>
      <c r="C2192" s="67" t="str">
        <f aca="false">IF($E2192="","","记-"&amp;TEXT($B2192,"YYYYMM")&amp;"-费用")</f>
        <v/>
      </c>
      <c r="D2192" s="107" t="str">
        <f aca="false">IF($E2192="","",INDEX(成本费用登记表!$E$4:$E$303,28))</f>
        <v/>
      </c>
      <c r="E2192" s="67" t="str">
        <f aca="false">IF(INDEX(成本费用登记表!$Q$4:$Y$303,28,4)=0,"",INDEX(成本费用登记表!$Q$4:$Y$303,28,4))</f>
        <v/>
      </c>
      <c r="F2192" s="99" t="str">
        <f aca="false">IF($E2192="","",IFERROR(INDEX(科目表!$A$4:$A$81,MATCH($E2192,科目表!$B$4:$B$81,0)),""))</f>
        <v/>
      </c>
      <c r="G2192" s="67" t="str">
        <f aca="false">IF($E2192="","",IFERROR(INDEX(科目表!$E$4:$E$81,MATCH($E2192,科目表!$B$4:$B$81,0)),""))</f>
        <v/>
      </c>
      <c r="H2192" s="70" t="str">
        <f aca="false">IF($E2192="","",N(INDEX(成本费用登记表!$Q$4:$Y$303,28,5)))</f>
        <v/>
      </c>
      <c r="I2192" s="70" t="str">
        <f aca="false">IF($E2192="","",N(INDEX(成本费用登记表!$Q$4:$Y$303,28,6)))</f>
        <v/>
      </c>
      <c r="J2192" s="67" t="str">
        <f aca="false">IF($E2192="","",INDEX(成本费用登记表!$C$4:$C$303,28))</f>
        <v/>
      </c>
      <c r="K2192" s="67" t="str">
        <f aca="false">IF($E2192="","",INDEX(成本费用登记表!$D$4:$D$303,28))</f>
        <v/>
      </c>
      <c r="L2192" s="107" t="str">
        <f aca="false">IF($E2192="","",INDEX(成本费用登记表!$N$4:$N$303,28))</f>
        <v/>
      </c>
      <c r="M2192" s="107"/>
      <c r="N2192" s="67" t="str">
        <f aca="false">IF($E2192="","","系统")</f>
        <v/>
      </c>
      <c r="O2192" s="67" t="str">
        <f aca="false">IF($E2192="","","自动C")</f>
        <v/>
      </c>
      <c r="P2192" s="18"/>
    </row>
    <row r="2193" customFormat="false" ht="18" hidden="false" customHeight="true" outlineLevel="0" collapsed="false">
      <c r="A2193" s="107" t="str">
        <f aca="false">IF($E2193="","",ROW()-3)</f>
        <v/>
      </c>
      <c r="B2193" s="110" t="str">
        <f aca="false">IF($E2193="","",INDEX(成本费用登记表!$B$4:$B$303,28))</f>
        <v/>
      </c>
      <c r="C2193" s="67" t="str">
        <f aca="false">IF($E2193="","","记-"&amp;TEXT($B2193,"YYYYMM")&amp;"-费用")</f>
        <v/>
      </c>
      <c r="D2193" s="107" t="str">
        <f aca="false">IF($E2193="","",INDEX(成本费用登记表!$E$4:$E$303,28))</f>
        <v/>
      </c>
      <c r="E2193" s="67" t="str">
        <f aca="false">IF(INDEX(成本费用登记表!$Q$4:$Y$303,28,7)=0,"",INDEX(成本费用登记表!$Q$4:$Y$303,28,7))</f>
        <v/>
      </c>
      <c r="F2193" s="99" t="str">
        <f aca="false">IF($E2193="","",IFERROR(INDEX(科目表!$A$4:$A$81,MATCH($E2193,科目表!$B$4:$B$81,0)),""))</f>
        <v/>
      </c>
      <c r="G2193" s="67" t="str">
        <f aca="false">IF($E2193="","",IFERROR(INDEX(科目表!$E$4:$E$81,MATCH($E2193,科目表!$B$4:$B$81,0)),""))</f>
        <v/>
      </c>
      <c r="H2193" s="70" t="str">
        <f aca="false">IF($E2193="","",N(INDEX(成本费用登记表!$Q$4:$Y$303,28,8)))</f>
        <v/>
      </c>
      <c r="I2193" s="70" t="str">
        <f aca="false">IF($E2193="","",N(INDEX(成本费用登记表!$Q$4:$Y$303,28,9)))</f>
        <v/>
      </c>
      <c r="J2193" s="67" t="str">
        <f aca="false">IF($E2193="","",INDEX(成本费用登记表!$C$4:$C$303,28))</f>
        <v/>
      </c>
      <c r="K2193" s="67" t="str">
        <f aca="false">IF($E2193="","",INDEX(成本费用登记表!$D$4:$D$303,28))</f>
        <v/>
      </c>
      <c r="L2193" s="107" t="str">
        <f aca="false">IF($E2193="","",INDEX(成本费用登记表!$N$4:$N$303,28))</f>
        <v/>
      </c>
      <c r="M2193" s="107"/>
      <c r="N2193" s="67" t="str">
        <f aca="false">IF($E2193="","","系统")</f>
        <v/>
      </c>
      <c r="O2193" s="67" t="str">
        <f aca="false">IF($E2193="","","自动C")</f>
        <v/>
      </c>
      <c r="P2193" s="18"/>
    </row>
    <row r="2194" customFormat="false" ht="18" hidden="false" customHeight="true" outlineLevel="0" collapsed="false">
      <c r="A2194" s="107" t="str">
        <f aca="false">IF($E2194="","",ROW()-3)</f>
        <v/>
      </c>
      <c r="B2194" s="110" t="str">
        <f aca="false">IF($E2194="","",INDEX(成本费用登记表!$B$4:$B$303,29))</f>
        <v/>
      </c>
      <c r="C2194" s="67" t="str">
        <f aca="false">IF($E2194="","","记-"&amp;TEXT($B2194,"YYYYMM")&amp;"-费用")</f>
        <v/>
      </c>
      <c r="D2194" s="107" t="str">
        <f aca="false">IF($E2194="","",INDEX(成本费用登记表!$E$4:$E$303,29))</f>
        <v/>
      </c>
      <c r="E2194" s="67" t="str">
        <f aca="false">IF(INDEX(成本费用登记表!$Q$4:$Y$303,29,1)=0,"",INDEX(成本费用登记表!$Q$4:$Y$303,29,1))</f>
        <v/>
      </c>
      <c r="F2194" s="99" t="str">
        <f aca="false">IF($E2194="","",IFERROR(INDEX(科目表!$A$4:$A$81,MATCH($E2194,科目表!$B$4:$B$81,0)),""))</f>
        <v/>
      </c>
      <c r="G2194" s="67" t="str">
        <f aca="false">IF($E2194="","",IFERROR(INDEX(科目表!$E$4:$E$81,MATCH($E2194,科目表!$B$4:$B$81,0)),""))</f>
        <v/>
      </c>
      <c r="H2194" s="70" t="str">
        <f aca="false">IF($E2194="","",N(INDEX(成本费用登记表!$Q$4:$Y$303,29,2)))</f>
        <v/>
      </c>
      <c r="I2194" s="70" t="str">
        <f aca="false">IF($E2194="","",N(INDEX(成本费用登记表!$Q$4:$Y$303,29,3)))</f>
        <v/>
      </c>
      <c r="J2194" s="67" t="str">
        <f aca="false">IF($E2194="","",INDEX(成本费用登记表!$C$4:$C$303,29))</f>
        <v/>
      </c>
      <c r="K2194" s="67" t="str">
        <f aca="false">IF($E2194="","",INDEX(成本费用登记表!$D$4:$D$303,29))</f>
        <v/>
      </c>
      <c r="L2194" s="107" t="str">
        <f aca="false">IF($E2194="","",INDEX(成本费用登记表!$N$4:$N$303,29))</f>
        <v/>
      </c>
      <c r="M2194" s="107"/>
      <c r="N2194" s="67" t="str">
        <f aca="false">IF($E2194="","","系统")</f>
        <v/>
      </c>
      <c r="O2194" s="67" t="str">
        <f aca="false">IF($E2194="","","自动C")</f>
        <v/>
      </c>
      <c r="P2194" s="18"/>
    </row>
    <row r="2195" customFormat="false" ht="18" hidden="false" customHeight="true" outlineLevel="0" collapsed="false">
      <c r="A2195" s="107" t="str">
        <f aca="false">IF($E2195="","",ROW()-3)</f>
        <v/>
      </c>
      <c r="B2195" s="110" t="str">
        <f aca="false">IF($E2195="","",INDEX(成本费用登记表!$B$4:$B$303,29))</f>
        <v/>
      </c>
      <c r="C2195" s="67" t="str">
        <f aca="false">IF($E2195="","","记-"&amp;TEXT($B2195,"YYYYMM")&amp;"-费用")</f>
        <v/>
      </c>
      <c r="D2195" s="107" t="str">
        <f aca="false">IF($E2195="","",INDEX(成本费用登记表!$E$4:$E$303,29))</f>
        <v/>
      </c>
      <c r="E2195" s="67" t="str">
        <f aca="false">IF(INDEX(成本费用登记表!$Q$4:$Y$303,29,4)=0,"",INDEX(成本费用登记表!$Q$4:$Y$303,29,4))</f>
        <v/>
      </c>
      <c r="F2195" s="99" t="str">
        <f aca="false">IF($E2195="","",IFERROR(INDEX(科目表!$A$4:$A$81,MATCH($E2195,科目表!$B$4:$B$81,0)),""))</f>
        <v/>
      </c>
      <c r="G2195" s="67" t="str">
        <f aca="false">IF($E2195="","",IFERROR(INDEX(科目表!$E$4:$E$81,MATCH($E2195,科目表!$B$4:$B$81,0)),""))</f>
        <v/>
      </c>
      <c r="H2195" s="70" t="str">
        <f aca="false">IF($E2195="","",N(INDEX(成本费用登记表!$Q$4:$Y$303,29,5)))</f>
        <v/>
      </c>
      <c r="I2195" s="70" t="str">
        <f aca="false">IF($E2195="","",N(INDEX(成本费用登记表!$Q$4:$Y$303,29,6)))</f>
        <v/>
      </c>
      <c r="J2195" s="67" t="str">
        <f aca="false">IF($E2195="","",INDEX(成本费用登记表!$C$4:$C$303,29))</f>
        <v/>
      </c>
      <c r="K2195" s="67" t="str">
        <f aca="false">IF($E2195="","",INDEX(成本费用登记表!$D$4:$D$303,29))</f>
        <v/>
      </c>
      <c r="L2195" s="107" t="str">
        <f aca="false">IF($E2195="","",INDEX(成本费用登记表!$N$4:$N$303,29))</f>
        <v/>
      </c>
      <c r="M2195" s="107"/>
      <c r="N2195" s="67" t="str">
        <f aca="false">IF($E2195="","","系统")</f>
        <v/>
      </c>
      <c r="O2195" s="67" t="str">
        <f aca="false">IF($E2195="","","自动C")</f>
        <v/>
      </c>
      <c r="P2195" s="18"/>
    </row>
    <row r="2196" customFormat="false" ht="18" hidden="false" customHeight="true" outlineLevel="0" collapsed="false">
      <c r="A2196" s="107" t="str">
        <f aca="false">IF($E2196="","",ROW()-3)</f>
        <v/>
      </c>
      <c r="B2196" s="110" t="str">
        <f aca="false">IF($E2196="","",INDEX(成本费用登记表!$B$4:$B$303,29))</f>
        <v/>
      </c>
      <c r="C2196" s="67" t="str">
        <f aca="false">IF($E2196="","","记-"&amp;TEXT($B2196,"YYYYMM")&amp;"-费用")</f>
        <v/>
      </c>
      <c r="D2196" s="107" t="str">
        <f aca="false">IF($E2196="","",INDEX(成本费用登记表!$E$4:$E$303,29))</f>
        <v/>
      </c>
      <c r="E2196" s="67" t="str">
        <f aca="false">IF(INDEX(成本费用登记表!$Q$4:$Y$303,29,7)=0,"",INDEX(成本费用登记表!$Q$4:$Y$303,29,7))</f>
        <v/>
      </c>
      <c r="F2196" s="99" t="str">
        <f aca="false">IF($E2196="","",IFERROR(INDEX(科目表!$A$4:$A$81,MATCH($E2196,科目表!$B$4:$B$81,0)),""))</f>
        <v/>
      </c>
      <c r="G2196" s="67" t="str">
        <f aca="false">IF($E2196="","",IFERROR(INDEX(科目表!$E$4:$E$81,MATCH($E2196,科目表!$B$4:$B$81,0)),""))</f>
        <v/>
      </c>
      <c r="H2196" s="70" t="str">
        <f aca="false">IF($E2196="","",N(INDEX(成本费用登记表!$Q$4:$Y$303,29,8)))</f>
        <v/>
      </c>
      <c r="I2196" s="70" t="str">
        <f aca="false">IF($E2196="","",N(INDEX(成本费用登记表!$Q$4:$Y$303,29,9)))</f>
        <v/>
      </c>
      <c r="J2196" s="67" t="str">
        <f aca="false">IF($E2196="","",INDEX(成本费用登记表!$C$4:$C$303,29))</f>
        <v/>
      </c>
      <c r="K2196" s="67" t="str">
        <f aca="false">IF($E2196="","",INDEX(成本费用登记表!$D$4:$D$303,29))</f>
        <v/>
      </c>
      <c r="L2196" s="107" t="str">
        <f aca="false">IF($E2196="","",INDEX(成本费用登记表!$N$4:$N$303,29))</f>
        <v/>
      </c>
      <c r="M2196" s="107"/>
      <c r="N2196" s="67" t="str">
        <f aca="false">IF($E2196="","","系统")</f>
        <v/>
      </c>
      <c r="O2196" s="67" t="str">
        <f aca="false">IF($E2196="","","自动C")</f>
        <v/>
      </c>
      <c r="P2196" s="18"/>
    </row>
    <row r="2197" customFormat="false" ht="18" hidden="false" customHeight="true" outlineLevel="0" collapsed="false">
      <c r="A2197" s="107" t="str">
        <f aca="false">IF($E2197="","",ROW()-3)</f>
        <v/>
      </c>
      <c r="B2197" s="110" t="str">
        <f aca="false">IF($E2197="","",INDEX(成本费用登记表!$B$4:$B$303,30))</f>
        <v/>
      </c>
      <c r="C2197" s="67" t="str">
        <f aca="false">IF($E2197="","","记-"&amp;TEXT($B2197,"YYYYMM")&amp;"-费用")</f>
        <v/>
      </c>
      <c r="D2197" s="107" t="str">
        <f aca="false">IF($E2197="","",INDEX(成本费用登记表!$E$4:$E$303,30))</f>
        <v/>
      </c>
      <c r="E2197" s="67" t="str">
        <f aca="false">IF(INDEX(成本费用登记表!$Q$4:$Y$303,30,1)=0,"",INDEX(成本费用登记表!$Q$4:$Y$303,30,1))</f>
        <v/>
      </c>
      <c r="F2197" s="99" t="str">
        <f aca="false">IF($E2197="","",IFERROR(INDEX(科目表!$A$4:$A$81,MATCH($E2197,科目表!$B$4:$B$81,0)),""))</f>
        <v/>
      </c>
      <c r="G2197" s="67" t="str">
        <f aca="false">IF($E2197="","",IFERROR(INDEX(科目表!$E$4:$E$81,MATCH($E2197,科目表!$B$4:$B$81,0)),""))</f>
        <v/>
      </c>
      <c r="H2197" s="70" t="str">
        <f aca="false">IF($E2197="","",N(INDEX(成本费用登记表!$Q$4:$Y$303,30,2)))</f>
        <v/>
      </c>
      <c r="I2197" s="70" t="str">
        <f aca="false">IF($E2197="","",N(INDEX(成本费用登记表!$Q$4:$Y$303,30,3)))</f>
        <v/>
      </c>
      <c r="J2197" s="67" t="str">
        <f aca="false">IF($E2197="","",INDEX(成本费用登记表!$C$4:$C$303,30))</f>
        <v/>
      </c>
      <c r="K2197" s="67" t="str">
        <f aca="false">IF($E2197="","",INDEX(成本费用登记表!$D$4:$D$303,30))</f>
        <v/>
      </c>
      <c r="L2197" s="107" t="str">
        <f aca="false">IF($E2197="","",INDEX(成本费用登记表!$N$4:$N$303,30))</f>
        <v/>
      </c>
      <c r="M2197" s="107"/>
      <c r="N2197" s="67" t="str">
        <f aca="false">IF($E2197="","","系统")</f>
        <v/>
      </c>
      <c r="O2197" s="67" t="str">
        <f aca="false">IF($E2197="","","自动C")</f>
        <v/>
      </c>
      <c r="P2197" s="18"/>
    </row>
    <row r="2198" customFormat="false" ht="18" hidden="false" customHeight="true" outlineLevel="0" collapsed="false">
      <c r="A2198" s="107" t="str">
        <f aca="false">IF($E2198="","",ROW()-3)</f>
        <v/>
      </c>
      <c r="B2198" s="110" t="str">
        <f aca="false">IF($E2198="","",INDEX(成本费用登记表!$B$4:$B$303,30))</f>
        <v/>
      </c>
      <c r="C2198" s="67" t="str">
        <f aca="false">IF($E2198="","","记-"&amp;TEXT($B2198,"YYYYMM")&amp;"-费用")</f>
        <v/>
      </c>
      <c r="D2198" s="107" t="str">
        <f aca="false">IF($E2198="","",INDEX(成本费用登记表!$E$4:$E$303,30))</f>
        <v/>
      </c>
      <c r="E2198" s="67" t="str">
        <f aca="false">IF(INDEX(成本费用登记表!$Q$4:$Y$303,30,4)=0,"",INDEX(成本费用登记表!$Q$4:$Y$303,30,4))</f>
        <v/>
      </c>
      <c r="F2198" s="99" t="str">
        <f aca="false">IF($E2198="","",IFERROR(INDEX(科目表!$A$4:$A$81,MATCH($E2198,科目表!$B$4:$B$81,0)),""))</f>
        <v/>
      </c>
      <c r="G2198" s="67" t="str">
        <f aca="false">IF($E2198="","",IFERROR(INDEX(科目表!$E$4:$E$81,MATCH($E2198,科目表!$B$4:$B$81,0)),""))</f>
        <v/>
      </c>
      <c r="H2198" s="70" t="str">
        <f aca="false">IF($E2198="","",N(INDEX(成本费用登记表!$Q$4:$Y$303,30,5)))</f>
        <v/>
      </c>
      <c r="I2198" s="70" t="str">
        <f aca="false">IF($E2198="","",N(INDEX(成本费用登记表!$Q$4:$Y$303,30,6)))</f>
        <v/>
      </c>
      <c r="J2198" s="67" t="str">
        <f aca="false">IF($E2198="","",INDEX(成本费用登记表!$C$4:$C$303,30))</f>
        <v/>
      </c>
      <c r="K2198" s="67" t="str">
        <f aca="false">IF($E2198="","",INDEX(成本费用登记表!$D$4:$D$303,30))</f>
        <v/>
      </c>
      <c r="L2198" s="107" t="str">
        <f aca="false">IF($E2198="","",INDEX(成本费用登记表!$N$4:$N$303,30))</f>
        <v/>
      </c>
      <c r="M2198" s="107"/>
      <c r="N2198" s="67" t="str">
        <f aca="false">IF($E2198="","","系统")</f>
        <v/>
      </c>
      <c r="O2198" s="67" t="str">
        <f aca="false">IF($E2198="","","自动C")</f>
        <v/>
      </c>
      <c r="P2198" s="18"/>
    </row>
    <row r="2199" customFormat="false" ht="18" hidden="false" customHeight="true" outlineLevel="0" collapsed="false">
      <c r="A2199" s="107" t="str">
        <f aca="false">IF($E2199="","",ROW()-3)</f>
        <v/>
      </c>
      <c r="B2199" s="110" t="str">
        <f aca="false">IF($E2199="","",INDEX(成本费用登记表!$B$4:$B$303,30))</f>
        <v/>
      </c>
      <c r="C2199" s="67" t="str">
        <f aca="false">IF($E2199="","","记-"&amp;TEXT($B2199,"YYYYMM")&amp;"-费用")</f>
        <v/>
      </c>
      <c r="D2199" s="107" t="str">
        <f aca="false">IF($E2199="","",INDEX(成本费用登记表!$E$4:$E$303,30))</f>
        <v/>
      </c>
      <c r="E2199" s="67" t="str">
        <f aca="false">IF(INDEX(成本费用登记表!$Q$4:$Y$303,30,7)=0,"",INDEX(成本费用登记表!$Q$4:$Y$303,30,7))</f>
        <v/>
      </c>
      <c r="F2199" s="99" t="str">
        <f aca="false">IF($E2199="","",IFERROR(INDEX(科目表!$A$4:$A$81,MATCH($E2199,科目表!$B$4:$B$81,0)),""))</f>
        <v/>
      </c>
      <c r="G2199" s="67" t="str">
        <f aca="false">IF($E2199="","",IFERROR(INDEX(科目表!$E$4:$E$81,MATCH($E2199,科目表!$B$4:$B$81,0)),""))</f>
        <v/>
      </c>
      <c r="H2199" s="70" t="str">
        <f aca="false">IF($E2199="","",N(INDEX(成本费用登记表!$Q$4:$Y$303,30,8)))</f>
        <v/>
      </c>
      <c r="I2199" s="70" t="str">
        <f aca="false">IF($E2199="","",N(INDEX(成本费用登记表!$Q$4:$Y$303,30,9)))</f>
        <v/>
      </c>
      <c r="J2199" s="67" t="str">
        <f aca="false">IF($E2199="","",INDEX(成本费用登记表!$C$4:$C$303,30))</f>
        <v/>
      </c>
      <c r="K2199" s="67" t="str">
        <f aca="false">IF($E2199="","",INDEX(成本费用登记表!$D$4:$D$303,30))</f>
        <v/>
      </c>
      <c r="L2199" s="107" t="str">
        <f aca="false">IF($E2199="","",INDEX(成本费用登记表!$N$4:$N$303,30))</f>
        <v/>
      </c>
      <c r="M2199" s="107"/>
      <c r="N2199" s="67" t="str">
        <f aca="false">IF($E2199="","","系统")</f>
        <v/>
      </c>
      <c r="O2199" s="67" t="str">
        <f aca="false">IF($E2199="","","自动C")</f>
        <v/>
      </c>
      <c r="P2199" s="18"/>
    </row>
    <row r="2200" customFormat="false" ht="18" hidden="false" customHeight="true" outlineLevel="0" collapsed="false">
      <c r="A2200" s="107" t="str">
        <f aca="false">IF($E2200="","",ROW()-3)</f>
        <v/>
      </c>
      <c r="B2200" s="110" t="str">
        <f aca="false">IF($E2200="","",INDEX(成本费用登记表!$B$4:$B$303,31))</f>
        <v/>
      </c>
      <c r="C2200" s="67" t="str">
        <f aca="false">IF($E2200="","","记-"&amp;TEXT($B2200,"YYYYMM")&amp;"-费用")</f>
        <v/>
      </c>
      <c r="D2200" s="107" t="str">
        <f aca="false">IF($E2200="","",INDEX(成本费用登记表!$E$4:$E$303,31))</f>
        <v/>
      </c>
      <c r="E2200" s="67" t="str">
        <f aca="false">IF(INDEX(成本费用登记表!$Q$4:$Y$303,31,1)=0,"",INDEX(成本费用登记表!$Q$4:$Y$303,31,1))</f>
        <v/>
      </c>
      <c r="F2200" s="99" t="str">
        <f aca="false">IF($E2200="","",IFERROR(INDEX(科目表!$A$4:$A$81,MATCH($E2200,科目表!$B$4:$B$81,0)),""))</f>
        <v/>
      </c>
      <c r="G2200" s="67" t="str">
        <f aca="false">IF($E2200="","",IFERROR(INDEX(科目表!$E$4:$E$81,MATCH($E2200,科目表!$B$4:$B$81,0)),""))</f>
        <v/>
      </c>
      <c r="H2200" s="70" t="str">
        <f aca="false">IF($E2200="","",N(INDEX(成本费用登记表!$Q$4:$Y$303,31,2)))</f>
        <v/>
      </c>
      <c r="I2200" s="70" t="str">
        <f aca="false">IF($E2200="","",N(INDEX(成本费用登记表!$Q$4:$Y$303,31,3)))</f>
        <v/>
      </c>
      <c r="J2200" s="67" t="str">
        <f aca="false">IF($E2200="","",INDEX(成本费用登记表!$C$4:$C$303,31))</f>
        <v/>
      </c>
      <c r="K2200" s="67" t="str">
        <f aca="false">IF($E2200="","",INDEX(成本费用登记表!$D$4:$D$303,31))</f>
        <v/>
      </c>
      <c r="L2200" s="107" t="str">
        <f aca="false">IF($E2200="","",INDEX(成本费用登记表!$N$4:$N$303,31))</f>
        <v/>
      </c>
      <c r="M2200" s="107"/>
      <c r="N2200" s="67" t="str">
        <f aca="false">IF($E2200="","","系统")</f>
        <v/>
      </c>
      <c r="O2200" s="67" t="str">
        <f aca="false">IF($E2200="","","自动C")</f>
        <v/>
      </c>
      <c r="P2200" s="18"/>
    </row>
    <row r="2201" customFormat="false" ht="18" hidden="false" customHeight="true" outlineLevel="0" collapsed="false">
      <c r="A2201" s="107" t="str">
        <f aca="false">IF($E2201="","",ROW()-3)</f>
        <v/>
      </c>
      <c r="B2201" s="110" t="str">
        <f aca="false">IF($E2201="","",INDEX(成本费用登记表!$B$4:$B$303,31))</f>
        <v/>
      </c>
      <c r="C2201" s="67" t="str">
        <f aca="false">IF($E2201="","","记-"&amp;TEXT($B2201,"YYYYMM")&amp;"-费用")</f>
        <v/>
      </c>
      <c r="D2201" s="107" t="str">
        <f aca="false">IF($E2201="","",INDEX(成本费用登记表!$E$4:$E$303,31))</f>
        <v/>
      </c>
      <c r="E2201" s="67" t="str">
        <f aca="false">IF(INDEX(成本费用登记表!$Q$4:$Y$303,31,4)=0,"",INDEX(成本费用登记表!$Q$4:$Y$303,31,4))</f>
        <v/>
      </c>
      <c r="F2201" s="99" t="str">
        <f aca="false">IF($E2201="","",IFERROR(INDEX(科目表!$A$4:$A$81,MATCH($E2201,科目表!$B$4:$B$81,0)),""))</f>
        <v/>
      </c>
      <c r="G2201" s="67" t="str">
        <f aca="false">IF($E2201="","",IFERROR(INDEX(科目表!$E$4:$E$81,MATCH($E2201,科目表!$B$4:$B$81,0)),""))</f>
        <v/>
      </c>
      <c r="H2201" s="70" t="str">
        <f aca="false">IF($E2201="","",N(INDEX(成本费用登记表!$Q$4:$Y$303,31,5)))</f>
        <v/>
      </c>
      <c r="I2201" s="70" t="str">
        <f aca="false">IF($E2201="","",N(INDEX(成本费用登记表!$Q$4:$Y$303,31,6)))</f>
        <v/>
      </c>
      <c r="J2201" s="67" t="str">
        <f aca="false">IF($E2201="","",INDEX(成本费用登记表!$C$4:$C$303,31))</f>
        <v/>
      </c>
      <c r="K2201" s="67" t="str">
        <f aca="false">IF($E2201="","",INDEX(成本费用登记表!$D$4:$D$303,31))</f>
        <v/>
      </c>
      <c r="L2201" s="107" t="str">
        <f aca="false">IF($E2201="","",INDEX(成本费用登记表!$N$4:$N$303,31))</f>
        <v/>
      </c>
      <c r="M2201" s="107"/>
      <c r="N2201" s="67" t="str">
        <f aca="false">IF($E2201="","","系统")</f>
        <v/>
      </c>
      <c r="O2201" s="67" t="str">
        <f aca="false">IF($E2201="","","自动C")</f>
        <v/>
      </c>
      <c r="P2201" s="18"/>
    </row>
    <row r="2202" customFormat="false" ht="18" hidden="false" customHeight="true" outlineLevel="0" collapsed="false">
      <c r="A2202" s="107" t="str">
        <f aca="false">IF($E2202="","",ROW()-3)</f>
        <v/>
      </c>
      <c r="B2202" s="110" t="str">
        <f aca="false">IF($E2202="","",INDEX(成本费用登记表!$B$4:$B$303,31))</f>
        <v/>
      </c>
      <c r="C2202" s="67" t="str">
        <f aca="false">IF($E2202="","","记-"&amp;TEXT($B2202,"YYYYMM")&amp;"-费用")</f>
        <v/>
      </c>
      <c r="D2202" s="107" t="str">
        <f aca="false">IF($E2202="","",INDEX(成本费用登记表!$E$4:$E$303,31))</f>
        <v/>
      </c>
      <c r="E2202" s="67" t="str">
        <f aca="false">IF(INDEX(成本费用登记表!$Q$4:$Y$303,31,7)=0,"",INDEX(成本费用登记表!$Q$4:$Y$303,31,7))</f>
        <v/>
      </c>
      <c r="F2202" s="99" t="str">
        <f aca="false">IF($E2202="","",IFERROR(INDEX(科目表!$A$4:$A$81,MATCH($E2202,科目表!$B$4:$B$81,0)),""))</f>
        <v/>
      </c>
      <c r="G2202" s="67" t="str">
        <f aca="false">IF($E2202="","",IFERROR(INDEX(科目表!$E$4:$E$81,MATCH($E2202,科目表!$B$4:$B$81,0)),""))</f>
        <v/>
      </c>
      <c r="H2202" s="70" t="str">
        <f aca="false">IF($E2202="","",N(INDEX(成本费用登记表!$Q$4:$Y$303,31,8)))</f>
        <v/>
      </c>
      <c r="I2202" s="70" t="str">
        <f aca="false">IF($E2202="","",N(INDEX(成本费用登记表!$Q$4:$Y$303,31,9)))</f>
        <v/>
      </c>
      <c r="J2202" s="67" t="str">
        <f aca="false">IF($E2202="","",INDEX(成本费用登记表!$C$4:$C$303,31))</f>
        <v/>
      </c>
      <c r="K2202" s="67" t="str">
        <f aca="false">IF($E2202="","",INDEX(成本费用登记表!$D$4:$D$303,31))</f>
        <v/>
      </c>
      <c r="L2202" s="107" t="str">
        <f aca="false">IF($E2202="","",INDEX(成本费用登记表!$N$4:$N$303,31))</f>
        <v/>
      </c>
      <c r="M2202" s="107"/>
      <c r="N2202" s="67" t="str">
        <f aca="false">IF($E2202="","","系统")</f>
        <v/>
      </c>
      <c r="O2202" s="67" t="str">
        <f aca="false">IF($E2202="","","自动C")</f>
        <v/>
      </c>
      <c r="P2202" s="18"/>
    </row>
    <row r="2203" customFormat="false" ht="18" hidden="false" customHeight="true" outlineLevel="0" collapsed="false">
      <c r="A2203" s="107" t="str">
        <f aca="false">IF($E2203="","",ROW()-3)</f>
        <v/>
      </c>
      <c r="B2203" s="110" t="str">
        <f aca="false">IF($E2203="","",INDEX(成本费用登记表!$B$4:$B$303,32))</f>
        <v/>
      </c>
      <c r="C2203" s="67" t="str">
        <f aca="false">IF($E2203="","","记-"&amp;TEXT($B2203,"YYYYMM")&amp;"-费用")</f>
        <v/>
      </c>
      <c r="D2203" s="107" t="str">
        <f aca="false">IF($E2203="","",INDEX(成本费用登记表!$E$4:$E$303,32))</f>
        <v/>
      </c>
      <c r="E2203" s="67" t="str">
        <f aca="false">IF(INDEX(成本费用登记表!$Q$4:$Y$303,32,1)=0,"",INDEX(成本费用登记表!$Q$4:$Y$303,32,1))</f>
        <v/>
      </c>
      <c r="F2203" s="99" t="str">
        <f aca="false">IF($E2203="","",IFERROR(INDEX(科目表!$A$4:$A$81,MATCH($E2203,科目表!$B$4:$B$81,0)),""))</f>
        <v/>
      </c>
      <c r="G2203" s="67" t="str">
        <f aca="false">IF($E2203="","",IFERROR(INDEX(科目表!$E$4:$E$81,MATCH($E2203,科目表!$B$4:$B$81,0)),""))</f>
        <v/>
      </c>
      <c r="H2203" s="70" t="str">
        <f aca="false">IF($E2203="","",N(INDEX(成本费用登记表!$Q$4:$Y$303,32,2)))</f>
        <v/>
      </c>
      <c r="I2203" s="70" t="str">
        <f aca="false">IF($E2203="","",N(INDEX(成本费用登记表!$Q$4:$Y$303,32,3)))</f>
        <v/>
      </c>
      <c r="J2203" s="67" t="str">
        <f aca="false">IF($E2203="","",INDEX(成本费用登记表!$C$4:$C$303,32))</f>
        <v/>
      </c>
      <c r="K2203" s="67" t="str">
        <f aca="false">IF($E2203="","",INDEX(成本费用登记表!$D$4:$D$303,32))</f>
        <v/>
      </c>
      <c r="L2203" s="107" t="str">
        <f aca="false">IF($E2203="","",INDEX(成本费用登记表!$N$4:$N$303,32))</f>
        <v/>
      </c>
      <c r="M2203" s="107"/>
      <c r="N2203" s="67" t="str">
        <f aca="false">IF($E2203="","","系统")</f>
        <v/>
      </c>
      <c r="O2203" s="67" t="str">
        <f aca="false">IF($E2203="","","自动C")</f>
        <v/>
      </c>
      <c r="P2203" s="18"/>
    </row>
    <row r="2204" customFormat="false" ht="18" hidden="false" customHeight="true" outlineLevel="0" collapsed="false">
      <c r="A2204" s="107" t="str">
        <f aca="false">IF($E2204="","",ROW()-3)</f>
        <v/>
      </c>
      <c r="B2204" s="110" t="str">
        <f aca="false">IF($E2204="","",INDEX(成本费用登记表!$B$4:$B$303,32))</f>
        <v/>
      </c>
      <c r="C2204" s="67" t="str">
        <f aca="false">IF($E2204="","","记-"&amp;TEXT($B2204,"YYYYMM")&amp;"-费用")</f>
        <v/>
      </c>
      <c r="D2204" s="107" t="str">
        <f aca="false">IF($E2204="","",INDEX(成本费用登记表!$E$4:$E$303,32))</f>
        <v/>
      </c>
      <c r="E2204" s="67" t="str">
        <f aca="false">IF(INDEX(成本费用登记表!$Q$4:$Y$303,32,4)=0,"",INDEX(成本费用登记表!$Q$4:$Y$303,32,4))</f>
        <v/>
      </c>
      <c r="F2204" s="99" t="str">
        <f aca="false">IF($E2204="","",IFERROR(INDEX(科目表!$A$4:$A$81,MATCH($E2204,科目表!$B$4:$B$81,0)),""))</f>
        <v/>
      </c>
      <c r="G2204" s="67" t="str">
        <f aca="false">IF($E2204="","",IFERROR(INDEX(科目表!$E$4:$E$81,MATCH($E2204,科目表!$B$4:$B$81,0)),""))</f>
        <v/>
      </c>
      <c r="H2204" s="70" t="str">
        <f aca="false">IF($E2204="","",N(INDEX(成本费用登记表!$Q$4:$Y$303,32,5)))</f>
        <v/>
      </c>
      <c r="I2204" s="70" t="str">
        <f aca="false">IF($E2204="","",N(INDEX(成本费用登记表!$Q$4:$Y$303,32,6)))</f>
        <v/>
      </c>
      <c r="J2204" s="67" t="str">
        <f aca="false">IF($E2204="","",INDEX(成本费用登记表!$C$4:$C$303,32))</f>
        <v/>
      </c>
      <c r="K2204" s="67" t="str">
        <f aca="false">IF($E2204="","",INDEX(成本费用登记表!$D$4:$D$303,32))</f>
        <v/>
      </c>
      <c r="L2204" s="107" t="str">
        <f aca="false">IF($E2204="","",INDEX(成本费用登记表!$N$4:$N$303,32))</f>
        <v/>
      </c>
      <c r="M2204" s="107"/>
      <c r="N2204" s="67" t="str">
        <f aca="false">IF($E2204="","","系统")</f>
        <v/>
      </c>
      <c r="O2204" s="67" t="str">
        <f aca="false">IF($E2204="","","自动C")</f>
        <v/>
      </c>
      <c r="P2204" s="18"/>
    </row>
    <row r="2205" customFormat="false" ht="18" hidden="false" customHeight="true" outlineLevel="0" collapsed="false">
      <c r="A2205" s="107" t="str">
        <f aca="false">IF($E2205="","",ROW()-3)</f>
        <v/>
      </c>
      <c r="B2205" s="110" t="str">
        <f aca="false">IF($E2205="","",INDEX(成本费用登记表!$B$4:$B$303,32))</f>
        <v/>
      </c>
      <c r="C2205" s="67" t="str">
        <f aca="false">IF($E2205="","","记-"&amp;TEXT($B2205,"YYYYMM")&amp;"-费用")</f>
        <v/>
      </c>
      <c r="D2205" s="107" t="str">
        <f aca="false">IF($E2205="","",INDEX(成本费用登记表!$E$4:$E$303,32))</f>
        <v/>
      </c>
      <c r="E2205" s="67" t="str">
        <f aca="false">IF(INDEX(成本费用登记表!$Q$4:$Y$303,32,7)=0,"",INDEX(成本费用登记表!$Q$4:$Y$303,32,7))</f>
        <v/>
      </c>
      <c r="F2205" s="99" t="str">
        <f aca="false">IF($E2205="","",IFERROR(INDEX(科目表!$A$4:$A$81,MATCH($E2205,科目表!$B$4:$B$81,0)),""))</f>
        <v/>
      </c>
      <c r="G2205" s="67" t="str">
        <f aca="false">IF($E2205="","",IFERROR(INDEX(科目表!$E$4:$E$81,MATCH($E2205,科目表!$B$4:$B$81,0)),""))</f>
        <v/>
      </c>
      <c r="H2205" s="70" t="str">
        <f aca="false">IF($E2205="","",N(INDEX(成本费用登记表!$Q$4:$Y$303,32,8)))</f>
        <v/>
      </c>
      <c r="I2205" s="70" t="str">
        <f aca="false">IF($E2205="","",N(INDEX(成本费用登记表!$Q$4:$Y$303,32,9)))</f>
        <v/>
      </c>
      <c r="J2205" s="67" t="str">
        <f aca="false">IF($E2205="","",INDEX(成本费用登记表!$C$4:$C$303,32))</f>
        <v/>
      </c>
      <c r="K2205" s="67" t="str">
        <f aca="false">IF($E2205="","",INDEX(成本费用登记表!$D$4:$D$303,32))</f>
        <v/>
      </c>
      <c r="L2205" s="107" t="str">
        <f aca="false">IF($E2205="","",INDEX(成本费用登记表!$N$4:$N$303,32))</f>
        <v/>
      </c>
      <c r="M2205" s="107"/>
      <c r="N2205" s="67" t="str">
        <f aca="false">IF($E2205="","","系统")</f>
        <v/>
      </c>
      <c r="O2205" s="67" t="str">
        <f aca="false">IF($E2205="","","自动C")</f>
        <v/>
      </c>
      <c r="P2205" s="18"/>
    </row>
    <row r="2206" customFormat="false" ht="18" hidden="false" customHeight="true" outlineLevel="0" collapsed="false">
      <c r="A2206" s="107" t="str">
        <f aca="false">IF($E2206="","",ROW()-3)</f>
        <v/>
      </c>
      <c r="B2206" s="110" t="str">
        <f aca="false">IF($E2206="","",INDEX(成本费用登记表!$B$4:$B$303,33))</f>
        <v/>
      </c>
      <c r="C2206" s="67" t="str">
        <f aca="false">IF($E2206="","","记-"&amp;TEXT($B2206,"YYYYMM")&amp;"-费用")</f>
        <v/>
      </c>
      <c r="D2206" s="107" t="str">
        <f aca="false">IF($E2206="","",INDEX(成本费用登记表!$E$4:$E$303,33))</f>
        <v/>
      </c>
      <c r="E2206" s="67" t="str">
        <f aca="false">IF(INDEX(成本费用登记表!$Q$4:$Y$303,33,1)=0,"",INDEX(成本费用登记表!$Q$4:$Y$303,33,1))</f>
        <v/>
      </c>
      <c r="F2206" s="99" t="str">
        <f aca="false">IF($E2206="","",IFERROR(INDEX(科目表!$A$4:$A$81,MATCH($E2206,科目表!$B$4:$B$81,0)),""))</f>
        <v/>
      </c>
      <c r="G2206" s="67" t="str">
        <f aca="false">IF($E2206="","",IFERROR(INDEX(科目表!$E$4:$E$81,MATCH($E2206,科目表!$B$4:$B$81,0)),""))</f>
        <v/>
      </c>
      <c r="H2206" s="70" t="str">
        <f aca="false">IF($E2206="","",N(INDEX(成本费用登记表!$Q$4:$Y$303,33,2)))</f>
        <v/>
      </c>
      <c r="I2206" s="70" t="str">
        <f aca="false">IF($E2206="","",N(INDEX(成本费用登记表!$Q$4:$Y$303,33,3)))</f>
        <v/>
      </c>
      <c r="J2206" s="67" t="str">
        <f aca="false">IF($E2206="","",INDEX(成本费用登记表!$C$4:$C$303,33))</f>
        <v/>
      </c>
      <c r="K2206" s="67" t="str">
        <f aca="false">IF($E2206="","",INDEX(成本费用登记表!$D$4:$D$303,33))</f>
        <v/>
      </c>
      <c r="L2206" s="107" t="str">
        <f aca="false">IF($E2206="","",INDEX(成本费用登记表!$N$4:$N$303,33))</f>
        <v/>
      </c>
      <c r="M2206" s="107"/>
      <c r="N2206" s="67" t="str">
        <f aca="false">IF($E2206="","","系统")</f>
        <v/>
      </c>
      <c r="O2206" s="67" t="str">
        <f aca="false">IF($E2206="","","自动C")</f>
        <v/>
      </c>
      <c r="P2206" s="18"/>
    </row>
    <row r="2207" customFormat="false" ht="18" hidden="false" customHeight="true" outlineLevel="0" collapsed="false">
      <c r="A2207" s="107" t="str">
        <f aca="false">IF($E2207="","",ROW()-3)</f>
        <v/>
      </c>
      <c r="B2207" s="110" t="str">
        <f aca="false">IF($E2207="","",INDEX(成本费用登记表!$B$4:$B$303,33))</f>
        <v/>
      </c>
      <c r="C2207" s="67" t="str">
        <f aca="false">IF($E2207="","","记-"&amp;TEXT($B2207,"YYYYMM")&amp;"-费用")</f>
        <v/>
      </c>
      <c r="D2207" s="107" t="str">
        <f aca="false">IF($E2207="","",INDEX(成本费用登记表!$E$4:$E$303,33))</f>
        <v/>
      </c>
      <c r="E2207" s="67" t="str">
        <f aca="false">IF(INDEX(成本费用登记表!$Q$4:$Y$303,33,4)=0,"",INDEX(成本费用登记表!$Q$4:$Y$303,33,4))</f>
        <v/>
      </c>
      <c r="F2207" s="99" t="str">
        <f aca="false">IF($E2207="","",IFERROR(INDEX(科目表!$A$4:$A$81,MATCH($E2207,科目表!$B$4:$B$81,0)),""))</f>
        <v/>
      </c>
      <c r="G2207" s="67" t="str">
        <f aca="false">IF($E2207="","",IFERROR(INDEX(科目表!$E$4:$E$81,MATCH($E2207,科目表!$B$4:$B$81,0)),""))</f>
        <v/>
      </c>
      <c r="H2207" s="70" t="str">
        <f aca="false">IF($E2207="","",N(INDEX(成本费用登记表!$Q$4:$Y$303,33,5)))</f>
        <v/>
      </c>
      <c r="I2207" s="70" t="str">
        <f aca="false">IF($E2207="","",N(INDEX(成本费用登记表!$Q$4:$Y$303,33,6)))</f>
        <v/>
      </c>
      <c r="J2207" s="67" t="str">
        <f aca="false">IF($E2207="","",INDEX(成本费用登记表!$C$4:$C$303,33))</f>
        <v/>
      </c>
      <c r="K2207" s="67" t="str">
        <f aca="false">IF($E2207="","",INDEX(成本费用登记表!$D$4:$D$303,33))</f>
        <v/>
      </c>
      <c r="L2207" s="107" t="str">
        <f aca="false">IF($E2207="","",INDEX(成本费用登记表!$N$4:$N$303,33))</f>
        <v/>
      </c>
      <c r="M2207" s="107"/>
      <c r="N2207" s="67" t="str">
        <f aca="false">IF($E2207="","","系统")</f>
        <v/>
      </c>
      <c r="O2207" s="67" t="str">
        <f aca="false">IF($E2207="","","自动C")</f>
        <v/>
      </c>
      <c r="P2207" s="18"/>
    </row>
    <row r="2208" customFormat="false" ht="18" hidden="false" customHeight="true" outlineLevel="0" collapsed="false">
      <c r="A2208" s="107" t="str">
        <f aca="false">IF($E2208="","",ROW()-3)</f>
        <v/>
      </c>
      <c r="B2208" s="110" t="str">
        <f aca="false">IF($E2208="","",INDEX(成本费用登记表!$B$4:$B$303,33))</f>
        <v/>
      </c>
      <c r="C2208" s="67" t="str">
        <f aca="false">IF($E2208="","","记-"&amp;TEXT($B2208,"YYYYMM")&amp;"-费用")</f>
        <v/>
      </c>
      <c r="D2208" s="107" t="str">
        <f aca="false">IF($E2208="","",INDEX(成本费用登记表!$E$4:$E$303,33))</f>
        <v/>
      </c>
      <c r="E2208" s="67" t="str">
        <f aca="false">IF(INDEX(成本费用登记表!$Q$4:$Y$303,33,7)=0,"",INDEX(成本费用登记表!$Q$4:$Y$303,33,7))</f>
        <v/>
      </c>
      <c r="F2208" s="99" t="str">
        <f aca="false">IF($E2208="","",IFERROR(INDEX(科目表!$A$4:$A$81,MATCH($E2208,科目表!$B$4:$B$81,0)),""))</f>
        <v/>
      </c>
      <c r="G2208" s="67" t="str">
        <f aca="false">IF($E2208="","",IFERROR(INDEX(科目表!$E$4:$E$81,MATCH($E2208,科目表!$B$4:$B$81,0)),""))</f>
        <v/>
      </c>
      <c r="H2208" s="70" t="str">
        <f aca="false">IF($E2208="","",N(INDEX(成本费用登记表!$Q$4:$Y$303,33,8)))</f>
        <v/>
      </c>
      <c r="I2208" s="70" t="str">
        <f aca="false">IF($E2208="","",N(INDEX(成本费用登记表!$Q$4:$Y$303,33,9)))</f>
        <v/>
      </c>
      <c r="J2208" s="67" t="str">
        <f aca="false">IF($E2208="","",INDEX(成本费用登记表!$C$4:$C$303,33))</f>
        <v/>
      </c>
      <c r="K2208" s="67" t="str">
        <f aca="false">IF($E2208="","",INDEX(成本费用登记表!$D$4:$D$303,33))</f>
        <v/>
      </c>
      <c r="L2208" s="107" t="str">
        <f aca="false">IF($E2208="","",INDEX(成本费用登记表!$N$4:$N$303,33))</f>
        <v/>
      </c>
      <c r="M2208" s="107"/>
      <c r="N2208" s="67" t="str">
        <f aca="false">IF($E2208="","","系统")</f>
        <v/>
      </c>
      <c r="O2208" s="67" t="str">
        <f aca="false">IF($E2208="","","自动C")</f>
        <v/>
      </c>
      <c r="P2208" s="18"/>
    </row>
    <row r="2209" customFormat="false" ht="18" hidden="false" customHeight="true" outlineLevel="0" collapsed="false">
      <c r="A2209" s="107" t="str">
        <f aca="false">IF($E2209="","",ROW()-3)</f>
        <v/>
      </c>
      <c r="B2209" s="110" t="str">
        <f aca="false">IF($E2209="","",INDEX(成本费用登记表!$B$4:$B$303,34))</f>
        <v/>
      </c>
      <c r="C2209" s="67" t="str">
        <f aca="false">IF($E2209="","","记-"&amp;TEXT($B2209,"YYYYMM")&amp;"-费用")</f>
        <v/>
      </c>
      <c r="D2209" s="107" t="str">
        <f aca="false">IF($E2209="","",INDEX(成本费用登记表!$E$4:$E$303,34))</f>
        <v/>
      </c>
      <c r="E2209" s="67" t="str">
        <f aca="false">IF(INDEX(成本费用登记表!$Q$4:$Y$303,34,1)=0,"",INDEX(成本费用登记表!$Q$4:$Y$303,34,1))</f>
        <v/>
      </c>
      <c r="F2209" s="99" t="str">
        <f aca="false">IF($E2209="","",IFERROR(INDEX(科目表!$A$4:$A$81,MATCH($E2209,科目表!$B$4:$B$81,0)),""))</f>
        <v/>
      </c>
      <c r="G2209" s="67" t="str">
        <f aca="false">IF($E2209="","",IFERROR(INDEX(科目表!$E$4:$E$81,MATCH($E2209,科目表!$B$4:$B$81,0)),""))</f>
        <v/>
      </c>
      <c r="H2209" s="70" t="str">
        <f aca="false">IF($E2209="","",N(INDEX(成本费用登记表!$Q$4:$Y$303,34,2)))</f>
        <v/>
      </c>
      <c r="I2209" s="70" t="str">
        <f aca="false">IF($E2209="","",N(INDEX(成本费用登记表!$Q$4:$Y$303,34,3)))</f>
        <v/>
      </c>
      <c r="J2209" s="67" t="str">
        <f aca="false">IF($E2209="","",INDEX(成本费用登记表!$C$4:$C$303,34))</f>
        <v/>
      </c>
      <c r="K2209" s="67" t="str">
        <f aca="false">IF($E2209="","",INDEX(成本费用登记表!$D$4:$D$303,34))</f>
        <v/>
      </c>
      <c r="L2209" s="107" t="str">
        <f aca="false">IF($E2209="","",INDEX(成本费用登记表!$N$4:$N$303,34))</f>
        <v/>
      </c>
      <c r="M2209" s="107"/>
      <c r="N2209" s="67" t="str">
        <f aca="false">IF($E2209="","","系统")</f>
        <v/>
      </c>
      <c r="O2209" s="67" t="str">
        <f aca="false">IF($E2209="","","自动C")</f>
        <v/>
      </c>
      <c r="P2209" s="18"/>
    </row>
    <row r="2210" customFormat="false" ht="18" hidden="false" customHeight="true" outlineLevel="0" collapsed="false">
      <c r="A2210" s="107" t="str">
        <f aca="false">IF($E2210="","",ROW()-3)</f>
        <v/>
      </c>
      <c r="B2210" s="110" t="str">
        <f aca="false">IF($E2210="","",INDEX(成本费用登记表!$B$4:$B$303,34))</f>
        <v/>
      </c>
      <c r="C2210" s="67" t="str">
        <f aca="false">IF($E2210="","","记-"&amp;TEXT($B2210,"YYYYMM")&amp;"-费用")</f>
        <v/>
      </c>
      <c r="D2210" s="107" t="str">
        <f aca="false">IF($E2210="","",INDEX(成本费用登记表!$E$4:$E$303,34))</f>
        <v/>
      </c>
      <c r="E2210" s="67" t="str">
        <f aca="false">IF(INDEX(成本费用登记表!$Q$4:$Y$303,34,4)=0,"",INDEX(成本费用登记表!$Q$4:$Y$303,34,4))</f>
        <v/>
      </c>
      <c r="F2210" s="99" t="str">
        <f aca="false">IF($E2210="","",IFERROR(INDEX(科目表!$A$4:$A$81,MATCH($E2210,科目表!$B$4:$B$81,0)),""))</f>
        <v/>
      </c>
      <c r="G2210" s="67" t="str">
        <f aca="false">IF($E2210="","",IFERROR(INDEX(科目表!$E$4:$E$81,MATCH($E2210,科目表!$B$4:$B$81,0)),""))</f>
        <v/>
      </c>
      <c r="H2210" s="70" t="str">
        <f aca="false">IF($E2210="","",N(INDEX(成本费用登记表!$Q$4:$Y$303,34,5)))</f>
        <v/>
      </c>
      <c r="I2210" s="70" t="str">
        <f aca="false">IF($E2210="","",N(INDEX(成本费用登记表!$Q$4:$Y$303,34,6)))</f>
        <v/>
      </c>
      <c r="J2210" s="67" t="str">
        <f aca="false">IF($E2210="","",INDEX(成本费用登记表!$C$4:$C$303,34))</f>
        <v/>
      </c>
      <c r="K2210" s="67" t="str">
        <f aca="false">IF($E2210="","",INDEX(成本费用登记表!$D$4:$D$303,34))</f>
        <v/>
      </c>
      <c r="L2210" s="107" t="str">
        <f aca="false">IF($E2210="","",INDEX(成本费用登记表!$N$4:$N$303,34))</f>
        <v/>
      </c>
      <c r="M2210" s="107"/>
      <c r="N2210" s="67" t="str">
        <f aca="false">IF($E2210="","","系统")</f>
        <v/>
      </c>
      <c r="O2210" s="67" t="str">
        <f aca="false">IF($E2210="","","自动C")</f>
        <v/>
      </c>
      <c r="P2210" s="18"/>
    </row>
    <row r="2211" customFormat="false" ht="18" hidden="false" customHeight="true" outlineLevel="0" collapsed="false">
      <c r="A2211" s="107" t="str">
        <f aca="false">IF($E2211="","",ROW()-3)</f>
        <v/>
      </c>
      <c r="B2211" s="110" t="str">
        <f aca="false">IF($E2211="","",INDEX(成本费用登记表!$B$4:$B$303,34))</f>
        <v/>
      </c>
      <c r="C2211" s="67" t="str">
        <f aca="false">IF($E2211="","","记-"&amp;TEXT($B2211,"YYYYMM")&amp;"-费用")</f>
        <v/>
      </c>
      <c r="D2211" s="107" t="str">
        <f aca="false">IF($E2211="","",INDEX(成本费用登记表!$E$4:$E$303,34))</f>
        <v/>
      </c>
      <c r="E2211" s="67" t="str">
        <f aca="false">IF(INDEX(成本费用登记表!$Q$4:$Y$303,34,7)=0,"",INDEX(成本费用登记表!$Q$4:$Y$303,34,7))</f>
        <v/>
      </c>
      <c r="F2211" s="99" t="str">
        <f aca="false">IF($E2211="","",IFERROR(INDEX(科目表!$A$4:$A$81,MATCH($E2211,科目表!$B$4:$B$81,0)),""))</f>
        <v/>
      </c>
      <c r="G2211" s="67" t="str">
        <f aca="false">IF($E2211="","",IFERROR(INDEX(科目表!$E$4:$E$81,MATCH($E2211,科目表!$B$4:$B$81,0)),""))</f>
        <v/>
      </c>
      <c r="H2211" s="70" t="str">
        <f aca="false">IF($E2211="","",N(INDEX(成本费用登记表!$Q$4:$Y$303,34,8)))</f>
        <v/>
      </c>
      <c r="I2211" s="70" t="str">
        <f aca="false">IF($E2211="","",N(INDEX(成本费用登记表!$Q$4:$Y$303,34,9)))</f>
        <v/>
      </c>
      <c r="J2211" s="67" t="str">
        <f aca="false">IF($E2211="","",INDEX(成本费用登记表!$C$4:$C$303,34))</f>
        <v/>
      </c>
      <c r="K2211" s="67" t="str">
        <f aca="false">IF($E2211="","",INDEX(成本费用登记表!$D$4:$D$303,34))</f>
        <v/>
      </c>
      <c r="L2211" s="107" t="str">
        <f aca="false">IF($E2211="","",INDEX(成本费用登记表!$N$4:$N$303,34))</f>
        <v/>
      </c>
      <c r="M2211" s="107"/>
      <c r="N2211" s="67" t="str">
        <f aca="false">IF($E2211="","","系统")</f>
        <v/>
      </c>
      <c r="O2211" s="67" t="str">
        <f aca="false">IF($E2211="","","自动C")</f>
        <v/>
      </c>
      <c r="P2211" s="18"/>
    </row>
    <row r="2212" customFormat="false" ht="18" hidden="false" customHeight="true" outlineLevel="0" collapsed="false">
      <c r="A2212" s="107" t="str">
        <f aca="false">IF($E2212="","",ROW()-3)</f>
        <v/>
      </c>
      <c r="B2212" s="110" t="str">
        <f aca="false">IF($E2212="","",INDEX(成本费用登记表!$B$4:$B$303,35))</f>
        <v/>
      </c>
      <c r="C2212" s="67" t="str">
        <f aca="false">IF($E2212="","","记-"&amp;TEXT($B2212,"YYYYMM")&amp;"-费用")</f>
        <v/>
      </c>
      <c r="D2212" s="107" t="str">
        <f aca="false">IF($E2212="","",INDEX(成本费用登记表!$E$4:$E$303,35))</f>
        <v/>
      </c>
      <c r="E2212" s="67" t="str">
        <f aca="false">IF(INDEX(成本费用登记表!$Q$4:$Y$303,35,1)=0,"",INDEX(成本费用登记表!$Q$4:$Y$303,35,1))</f>
        <v/>
      </c>
      <c r="F2212" s="99" t="str">
        <f aca="false">IF($E2212="","",IFERROR(INDEX(科目表!$A$4:$A$81,MATCH($E2212,科目表!$B$4:$B$81,0)),""))</f>
        <v/>
      </c>
      <c r="G2212" s="67" t="str">
        <f aca="false">IF($E2212="","",IFERROR(INDEX(科目表!$E$4:$E$81,MATCH($E2212,科目表!$B$4:$B$81,0)),""))</f>
        <v/>
      </c>
      <c r="H2212" s="70" t="str">
        <f aca="false">IF($E2212="","",N(INDEX(成本费用登记表!$Q$4:$Y$303,35,2)))</f>
        <v/>
      </c>
      <c r="I2212" s="70" t="str">
        <f aca="false">IF($E2212="","",N(INDEX(成本费用登记表!$Q$4:$Y$303,35,3)))</f>
        <v/>
      </c>
      <c r="J2212" s="67" t="str">
        <f aca="false">IF($E2212="","",INDEX(成本费用登记表!$C$4:$C$303,35))</f>
        <v/>
      </c>
      <c r="K2212" s="67" t="str">
        <f aca="false">IF($E2212="","",INDEX(成本费用登记表!$D$4:$D$303,35))</f>
        <v/>
      </c>
      <c r="L2212" s="107" t="str">
        <f aca="false">IF($E2212="","",INDEX(成本费用登记表!$N$4:$N$303,35))</f>
        <v/>
      </c>
      <c r="M2212" s="107"/>
      <c r="N2212" s="67" t="str">
        <f aca="false">IF($E2212="","","系统")</f>
        <v/>
      </c>
      <c r="O2212" s="67" t="str">
        <f aca="false">IF($E2212="","","自动C")</f>
        <v/>
      </c>
      <c r="P2212" s="18"/>
    </row>
    <row r="2213" customFormat="false" ht="18" hidden="false" customHeight="true" outlineLevel="0" collapsed="false">
      <c r="A2213" s="107" t="str">
        <f aca="false">IF($E2213="","",ROW()-3)</f>
        <v/>
      </c>
      <c r="B2213" s="110" t="str">
        <f aca="false">IF($E2213="","",INDEX(成本费用登记表!$B$4:$B$303,35))</f>
        <v/>
      </c>
      <c r="C2213" s="67" t="str">
        <f aca="false">IF($E2213="","","记-"&amp;TEXT($B2213,"YYYYMM")&amp;"-费用")</f>
        <v/>
      </c>
      <c r="D2213" s="107" t="str">
        <f aca="false">IF($E2213="","",INDEX(成本费用登记表!$E$4:$E$303,35))</f>
        <v/>
      </c>
      <c r="E2213" s="67" t="str">
        <f aca="false">IF(INDEX(成本费用登记表!$Q$4:$Y$303,35,4)=0,"",INDEX(成本费用登记表!$Q$4:$Y$303,35,4))</f>
        <v/>
      </c>
      <c r="F2213" s="99" t="str">
        <f aca="false">IF($E2213="","",IFERROR(INDEX(科目表!$A$4:$A$81,MATCH($E2213,科目表!$B$4:$B$81,0)),""))</f>
        <v/>
      </c>
      <c r="G2213" s="67" t="str">
        <f aca="false">IF($E2213="","",IFERROR(INDEX(科目表!$E$4:$E$81,MATCH($E2213,科目表!$B$4:$B$81,0)),""))</f>
        <v/>
      </c>
      <c r="H2213" s="70" t="str">
        <f aca="false">IF($E2213="","",N(INDEX(成本费用登记表!$Q$4:$Y$303,35,5)))</f>
        <v/>
      </c>
      <c r="I2213" s="70" t="str">
        <f aca="false">IF($E2213="","",N(INDEX(成本费用登记表!$Q$4:$Y$303,35,6)))</f>
        <v/>
      </c>
      <c r="J2213" s="67" t="str">
        <f aca="false">IF($E2213="","",INDEX(成本费用登记表!$C$4:$C$303,35))</f>
        <v/>
      </c>
      <c r="K2213" s="67" t="str">
        <f aca="false">IF($E2213="","",INDEX(成本费用登记表!$D$4:$D$303,35))</f>
        <v/>
      </c>
      <c r="L2213" s="107" t="str">
        <f aca="false">IF($E2213="","",INDEX(成本费用登记表!$N$4:$N$303,35))</f>
        <v/>
      </c>
      <c r="M2213" s="107"/>
      <c r="N2213" s="67" t="str">
        <f aca="false">IF($E2213="","","系统")</f>
        <v/>
      </c>
      <c r="O2213" s="67" t="str">
        <f aca="false">IF($E2213="","","自动C")</f>
        <v/>
      </c>
      <c r="P2213" s="18"/>
    </row>
    <row r="2214" customFormat="false" ht="18" hidden="false" customHeight="true" outlineLevel="0" collapsed="false">
      <c r="A2214" s="107" t="str">
        <f aca="false">IF($E2214="","",ROW()-3)</f>
        <v/>
      </c>
      <c r="B2214" s="110" t="str">
        <f aca="false">IF($E2214="","",INDEX(成本费用登记表!$B$4:$B$303,35))</f>
        <v/>
      </c>
      <c r="C2214" s="67" t="str">
        <f aca="false">IF($E2214="","","记-"&amp;TEXT($B2214,"YYYYMM")&amp;"-费用")</f>
        <v/>
      </c>
      <c r="D2214" s="107" t="str">
        <f aca="false">IF($E2214="","",INDEX(成本费用登记表!$E$4:$E$303,35))</f>
        <v/>
      </c>
      <c r="E2214" s="67" t="str">
        <f aca="false">IF(INDEX(成本费用登记表!$Q$4:$Y$303,35,7)=0,"",INDEX(成本费用登记表!$Q$4:$Y$303,35,7))</f>
        <v/>
      </c>
      <c r="F2214" s="99" t="str">
        <f aca="false">IF($E2214="","",IFERROR(INDEX(科目表!$A$4:$A$81,MATCH($E2214,科目表!$B$4:$B$81,0)),""))</f>
        <v/>
      </c>
      <c r="G2214" s="67" t="str">
        <f aca="false">IF($E2214="","",IFERROR(INDEX(科目表!$E$4:$E$81,MATCH($E2214,科目表!$B$4:$B$81,0)),""))</f>
        <v/>
      </c>
      <c r="H2214" s="70" t="str">
        <f aca="false">IF($E2214="","",N(INDEX(成本费用登记表!$Q$4:$Y$303,35,8)))</f>
        <v/>
      </c>
      <c r="I2214" s="70" t="str">
        <f aca="false">IF($E2214="","",N(INDEX(成本费用登记表!$Q$4:$Y$303,35,9)))</f>
        <v/>
      </c>
      <c r="J2214" s="67" t="str">
        <f aca="false">IF($E2214="","",INDEX(成本费用登记表!$C$4:$C$303,35))</f>
        <v/>
      </c>
      <c r="K2214" s="67" t="str">
        <f aca="false">IF($E2214="","",INDEX(成本费用登记表!$D$4:$D$303,35))</f>
        <v/>
      </c>
      <c r="L2214" s="107" t="str">
        <f aca="false">IF($E2214="","",INDEX(成本费用登记表!$N$4:$N$303,35))</f>
        <v/>
      </c>
      <c r="M2214" s="107"/>
      <c r="N2214" s="67" t="str">
        <f aca="false">IF($E2214="","","系统")</f>
        <v/>
      </c>
      <c r="O2214" s="67" t="str">
        <f aca="false">IF($E2214="","","自动C")</f>
        <v/>
      </c>
      <c r="P2214" s="18"/>
    </row>
    <row r="2215" customFormat="false" ht="18" hidden="false" customHeight="true" outlineLevel="0" collapsed="false">
      <c r="A2215" s="107" t="str">
        <f aca="false">IF($E2215="","",ROW()-3)</f>
        <v/>
      </c>
      <c r="B2215" s="110" t="str">
        <f aca="false">IF($E2215="","",INDEX(成本费用登记表!$B$4:$B$303,36))</f>
        <v/>
      </c>
      <c r="C2215" s="67" t="str">
        <f aca="false">IF($E2215="","","记-"&amp;TEXT($B2215,"YYYYMM")&amp;"-费用")</f>
        <v/>
      </c>
      <c r="D2215" s="107" t="str">
        <f aca="false">IF($E2215="","",INDEX(成本费用登记表!$E$4:$E$303,36))</f>
        <v/>
      </c>
      <c r="E2215" s="67" t="str">
        <f aca="false">IF(INDEX(成本费用登记表!$Q$4:$Y$303,36,1)=0,"",INDEX(成本费用登记表!$Q$4:$Y$303,36,1))</f>
        <v/>
      </c>
      <c r="F2215" s="99" t="str">
        <f aca="false">IF($E2215="","",IFERROR(INDEX(科目表!$A$4:$A$81,MATCH($E2215,科目表!$B$4:$B$81,0)),""))</f>
        <v/>
      </c>
      <c r="G2215" s="67" t="str">
        <f aca="false">IF($E2215="","",IFERROR(INDEX(科目表!$E$4:$E$81,MATCH($E2215,科目表!$B$4:$B$81,0)),""))</f>
        <v/>
      </c>
      <c r="H2215" s="70" t="str">
        <f aca="false">IF($E2215="","",N(INDEX(成本费用登记表!$Q$4:$Y$303,36,2)))</f>
        <v/>
      </c>
      <c r="I2215" s="70" t="str">
        <f aca="false">IF($E2215="","",N(INDEX(成本费用登记表!$Q$4:$Y$303,36,3)))</f>
        <v/>
      </c>
      <c r="J2215" s="67" t="str">
        <f aca="false">IF($E2215="","",INDEX(成本费用登记表!$C$4:$C$303,36))</f>
        <v/>
      </c>
      <c r="K2215" s="67" t="str">
        <f aca="false">IF($E2215="","",INDEX(成本费用登记表!$D$4:$D$303,36))</f>
        <v/>
      </c>
      <c r="L2215" s="107" t="str">
        <f aca="false">IF($E2215="","",INDEX(成本费用登记表!$N$4:$N$303,36))</f>
        <v/>
      </c>
      <c r="M2215" s="107"/>
      <c r="N2215" s="67" t="str">
        <f aca="false">IF($E2215="","","系统")</f>
        <v/>
      </c>
      <c r="O2215" s="67" t="str">
        <f aca="false">IF($E2215="","","自动C")</f>
        <v/>
      </c>
      <c r="P2215" s="18"/>
    </row>
    <row r="2216" customFormat="false" ht="18" hidden="false" customHeight="true" outlineLevel="0" collapsed="false">
      <c r="A2216" s="107" t="str">
        <f aca="false">IF($E2216="","",ROW()-3)</f>
        <v/>
      </c>
      <c r="B2216" s="110" t="str">
        <f aca="false">IF($E2216="","",INDEX(成本费用登记表!$B$4:$B$303,36))</f>
        <v/>
      </c>
      <c r="C2216" s="67" t="str">
        <f aca="false">IF($E2216="","","记-"&amp;TEXT($B2216,"YYYYMM")&amp;"-费用")</f>
        <v/>
      </c>
      <c r="D2216" s="107" t="str">
        <f aca="false">IF($E2216="","",INDEX(成本费用登记表!$E$4:$E$303,36))</f>
        <v/>
      </c>
      <c r="E2216" s="67" t="str">
        <f aca="false">IF(INDEX(成本费用登记表!$Q$4:$Y$303,36,4)=0,"",INDEX(成本费用登记表!$Q$4:$Y$303,36,4))</f>
        <v/>
      </c>
      <c r="F2216" s="99" t="str">
        <f aca="false">IF($E2216="","",IFERROR(INDEX(科目表!$A$4:$A$81,MATCH($E2216,科目表!$B$4:$B$81,0)),""))</f>
        <v/>
      </c>
      <c r="G2216" s="67" t="str">
        <f aca="false">IF($E2216="","",IFERROR(INDEX(科目表!$E$4:$E$81,MATCH($E2216,科目表!$B$4:$B$81,0)),""))</f>
        <v/>
      </c>
      <c r="H2216" s="70" t="str">
        <f aca="false">IF($E2216="","",N(INDEX(成本费用登记表!$Q$4:$Y$303,36,5)))</f>
        <v/>
      </c>
      <c r="I2216" s="70" t="str">
        <f aca="false">IF($E2216="","",N(INDEX(成本费用登记表!$Q$4:$Y$303,36,6)))</f>
        <v/>
      </c>
      <c r="J2216" s="67" t="str">
        <f aca="false">IF($E2216="","",INDEX(成本费用登记表!$C$4:$C$303,36))</f>
        <v/>
      </c>
      <c r="K2216" s="67" t="str">
        <f aca="false">IF($E2216="","",INDEX(成本费用登记表!$D$4:$D$303,36))</f>
        <v/>
      </c>
      <c r="L2216" s="107" t="str">
        <f aca="false">IF($E2216="","",INDEX(成本费用登记表!$N$4:$N$303,36))</f>
        <v/>
      </c>
      <c r="M2216" s="107"/>
      <c r="N2216" s="67" t="str">
        <f aca="false">IF($E2216="","","系统")</f>
        <v/>
      </c>
      <c r="O2216" s="67" t="str">
        <f aca="false">IF($E2216="","","自动C")</f>
        <v/>
      </c>
      <c r="P2216" s="18"/>
    </row>
    <row r="2217" customFormat="false" ht="18" hidden="false" customHeight="true" outlineLevel="0" collapsed="false">
      <c r="A2217" s="107" t="str">
        <f aca="false">IF($E2217="","",ROW()-3)</f>
        <v/>
      </c>
      <c r="B2217" s="110" t="str">
        <f aca="false">IF($E2217="","",INDEX(成本费用登记表!$B$4:$B$303,36))</f>
        <v/>
      </c>
      <c r="C2217" s="67" t="str">
        <f aca="false">IF($E2217="","","记-"&amp;TEXT($B2217,"YYYYMM")&amp;"-费用")</f>
        <v/>
      </c>
      <c r="D2217" s="107" t="str">
        <f aca="false">IF($E2217="","",INDEX(成本费用登记表!$E$4:$E$303,36))</f>
        <v/>
      </c>
      <c r="E2217" s="67" t="str">
        <f aca="false">IF(INDEX(成本费用登记表!$Q$4:$Y$303,36,7)=0,"",INDEX(成本费用登记表!$Q$4:$Y$303,36,7))</f>
        <v/>
      </c>
      <c r="F2217" s="99" t="str">
        <f aca="false">IF($E2217="","",IFERROR(INDEX(科目表!$A$4:$A$81,MATCH($E2217,科目表!$B$4:$B$81,0)),""))</f>
        <v/>
      </c>
      <c r="G2217" s="67" t="str">
        <f aca="false">IF($E2217="","",IFERROR(INDEX(科目表!$E$4:$E$81,MATCH($E2217,科目表!$B$4:$B$81,0)),""))</f>
        <v/>
      </c>
      <c r="H2217" s="70" t="str">
        <f aca="false">IF($E2217="","",N(INDEX(成本费用登记表!$Q$4:$Y$303,36,8)))</f>
        <v/>
      </c>
      <c r="I2217" s="70" t="str">
        <f aca="false">IF($E2217="","",N(INDEX(成本费用登记表!$Q$4:$Y$303,36,9)))</f>
        <v/>
      </c>
      <c r="J2217" s="67" t="str">
        <f aca="false">IF($E2217="","",INDEX(成本费用登记表!$C$4:$C$303,36))</f>
        <v/>
      </c>
      <c r="K2217" s="67" t="str">
        <f aca="false">IF($E2217="","",INDEX(成本费用登记表!$D$4:$D$303,36))</f>
        <v/>
      </c>
      <c r="L2217" s="107" t="str">
        <f aca="false">IF($E2217="","",INDEX(成本费用登记表!$N$4:$N$303,36))</f>
        <v/>
      </c>
      <c r="M2217" s="107"/>
      <c r="N2217" s="67" t="str">
        <f aca="false">IF($E2217="","","系统")</f>
        <v/>
      </c>
      <c r="O2217" s="67" t="str">
        <f aca="false">IF($E2217="","","自动C")</f>
        <v/>
      </c>
      <c r="P2217" s="18"/>
    </row>
    <row r="2218" customFormat="false" ht="18" hidden="false" customHeight="true" outlineLevel="0" collapsed="false">
      <c r="A2218" s="107" t="str">
        <f aca="false">IF($E2218="","",ROW()-3)</f>
        <v/>
      </c>
      <c r="B2218" s="110" t="str">
        <f aca="false">IF($E2218="","",INDEX(成本费用登记表!$B$4:$B$303,37))</f>
        <v/>
      </c>
      <c r="C2218" s="67" t="str">
        <f aca="false">IF($E2218="","","记-"&amp;TEXT($B2218,"YYYYMM")&amp;"-费用")</f>
        <v/>
      </c>
      <c r="D2218" s="107" t="str">
        <f aca="false">IF($E2218="","",INDEX(成本费用登记表!$E$4:$E$303,37))</f>
        <v/>
      </c>
      <c r="E2218" s="67" t="str">
        <f aca="false">IF(INDEX(成本费用登记表!$Q$4:$Y$303,37,1)=0,"",INDEX(成本费用登记表!$Q$4:$Y$303,37,1))</f>
        <v/>
      </c>
      <c r="F2218" s="99" t="str">
        <f aca="false">IF($E2218="","",IFERROR(INDEX(科目表!$A$4:$A$81,MATCH($E2218,科目表!$B$4:$B$81,0)),""))</f>
        <v/>
      </c>
      <c r="G2218" s="67" t="str">
        <f aca="false">IF($E2218="","",IFERROR(INDEX(科目表!$E$4:$E$81,MATCH($E2218,科目表!$B$4:$B$81,0)),""))</f>
        <v/>
      </c>
      <c r="H2218" s="70" t="str">
        <f aca="false">IF($E2218="","",N(INDEX(成本费用登记表!$Q$4:$Y$303,37,2)))</f>
        <v/>
      </c>
      <c r="I2218" s="70" t="str">
        <f aca="false">IF($E2218="","",N(INDEX(成本费用登记表!$Q$4:$Y$303,37,3)))</f>
        <v/>
      </c>
      <c r="J2218" s="67" t="str">
        <f aca="false">IF($E2218="","",INDEX(成本费用登记表!$C$4:$C$303,37))</f>
        <v/>
      </c>
      <c r="K2218" s="67" t="str">
        <f aca="false">IF($E2218="","",INDEX(成本费用登记表!$D$4:$D$303,37))</f>
        <v/>
      </c>
      <c r="L2218" s="107" t="str">
        <f aca="false">IF($E2218="","",INDEX(成本费用登记表!$N$4:$N$303,37))</f>
        <v/>
      </c>
      <c r="M2218" s="107"/>
      <c r="N2218" s="67" t="str">
        <f aca="false">IF($E2218="","","系统")</f>
        <v/>
      </c>
      <c r="O2218" s="67" t="str">
        <f aca="false">IF($E2218="","","自动C")</f>
        <v/>
      </c>
      <c r="P2218" s="18"/>
    </row>
    <row r="2219" customFormat="false" ht="18" hidden="false" customHeight="true" outlineLevel="0" collapsed="false">
      <c r="A2219" s="107" t="str">
        <f aca="false">IF($E2219="","",ROW()-3)</f>
        <v/>
      </c>
      <c r="B2219" s="110" t="str">
        <f aca="false">IF($E2219="","",INDEX(成本费用登记表!$B$4:$B$303,37))</f>
        <v/>
      </c>
      <c r="C2219" s="67" t="str">
        <f aca="false">IF($E2219="","","记-"&amp;TEXT($B2219,"YYYYMM")&amp;"-费用")</f>
        <v/>
      </c>
      <c r="D2219" s="107" t="str">
        <f aca="false">IF($E2219="","",INDEX(成本费用登记表!$E$4:$E$303,37))</f>
        <v/>
      </c>
      <c r="E2219" s="67" t="str">
        <f aca="false">IF(INDEX(成本费用登记表!$Q$4:$Y$303,37,4)=0,"",INDEX(成本费用登记表!$Q$4:$Y$303,37,4))</f>
        <v/>
      </c>
      <c r="F2219" s="99" t="str">
        <f aca="false">IF($E2219="","",IFERROR(INDEX(科目表!$A$4:$A$81,MATCH($E2219,科目表!$B$4:$B$81,0)),""))</f>
        <v/>
      </c>
      <c r="G2219" s="67" t="str">
        <f aca="false">IF($E2219="","",IFERROR(INDEX(科目表!$E$4:$E$81,MATCH($E2219,科目表!$B$4:$B$81,0)),""))</f>
        <v/>
      </c>
      <c r="H2219" s="70" t="str">
        <f aca="false">IF($E2219="","",N(INDEX(成本费用登记表!$Q$4:$Y$303,37,5)))</f>
        <v/>
      </c>
      <c r="I2219" s="70" t="str">
        <f aca="false">IF($E2219="","",N(INDEX(成本费用登记表!$Q$4:$Y$303,37,6)))</f>
        <v/>
      </c>
      <c r="J2219" s="67" t="str">
        <f aca="false">IF($E2219="","",INDEX(成本费用登记表!$C$4:$C$303,37))</f>
        <v/>
      </c>
      <c r="K2219" s="67" t="str">
        <f aca="false">IF($E2219="","",INDEX(成本费用登记表!$D$4:$D$303,37))</f>
        <v/>
      </c>
      <c r="L2219" s="107" t="str">
        <f aca="false">IF($E2219="","",INDEX(成本费用登记表!$N$4:$N$303,37))</f>
        <v/>
      </c>
      <c r="M2219" s="107"/>
      <c r="N2219" s="67" t="str">
        <f aca="false">IF($E2219="","","系统")</f>
        <v/>
      </c>
      <c r="O2219" s="67" t="str">
        <f aca="false">IF($E2219="","","自动C")</f>
        <v/>
      </c>
      <c r="P2219" s="18"/>
    </row>
    <row r="2220" customFormat="false" ht="18" hidden="false" customHeight="true" outlineLevel="0" collapsed="false">
      <c r="A2220" s="107" t="str">
        <f aca="false">IF($E2220="","",ROW()-3)</f>
        <v/>
      </c>
      <c r="B2220" s="110" t="str">
        <f aca="false">IF($E2220="","",INDEX(成本费用登记表!$B$4:$B$303,37))</f>
        <v/>
      </c>
      <c r="C2220" s="67" t="str">
        <f aca="false">IF($E2220="","","记-"&amp;TEXT($B2220,"YYYYMM")&amp;"-费用")</f>
        <v/>
      </c>
      <c r="D2220" s="107" t="str">
        <f aca="false">IF($E2220="","",INDEX(成本费用登记表!$E$4:$E$303,37))</f>
        <v/>
      </c>
      <c r="E2220" s="67" t="str">
        <f aca="false">IF(INDEX(成本费用登记表!$Q$4:$Y$303,37,7)=0,"",INDEX(成本费用登记表!$Q$4:$Y$303,37,7))</f>
        <v/>
      </c>
      <c r="F2220" s="99" t="str">
        <f aca="false">IF($E2220="","",IFERROR(INDEX(科目表!$A$4:$A$81,MATCH($E2220,科目表!$B$4:$B$81,0)),""))</f>
        <v/>
      </c>
      <c r="G2220" s="67" t="str">
        <f aca="false">IF($E2220="","",IFERROR(INDEX(科目表!$E$4:$E$81,MATCH($E2220,科目表!$B$4:$B$81,0)),""))</f>
        <v/>
      </c>
      <c r="H2220" s="70" t="str">
        <f aca="false">IF($E2220="","",N(INDEX(成本费用登记表!$Q$4:$Y$303,37,8)))</f>
        <v/>
      </c>
      <c r="I2220" s="70" t="str">
        <f aca="false">IF($E2220="","",N(INDEX(成本费用登记表!$Q$4:$Y$303,37,9)))</f>
        <v/>
      </c>
      <c r="J2220" s="67" t="str">
        <f aca="false">IF($E2220="","",INDEX(成本费用登记表!$C$4:$C$303,37))</f>
        <v/>
      </c>
      <c r="K2220" s="67" t="str">
        <f aca="false">IF($E2220="","",INDEX(成本费用登记表!$D$4:$D$303,37))</f>
        <v/>
      </c>
      <c r="L2220" s="107" t="str">
        <f aca="false">IF($E2220="","",INDEX(成本费用登记表!$N$4:$N$303,37))</f>
        <v/>
      </c>
      <c r="M2220" s="107"/>
      <c r="N2220" s="67" t="str">
        <f aca="false">IF($E2220="","","系统")</f>
        <v/>
      </c>
      <c r="O2220" s="67" t="str">
        <f aca="false">IF($E2220="","","自动C")</f>
        <v/>
      </c>
      <c r="P2220" s="18"/>
    </row>
    <row r="2221" customFormat="false" ht="18" hidden="false" customHeight="true" outlineLevel="0" collapsed="false">
      <c r="A2221" s="107" t="str">
        <f aca="false">IF($E2221="","",ROW()-3)</f>
        <v/>
      </c>
      <c r="B2221" s="110" t="str">
        <f aca="false">IF($E2221="","",INDEX(成本费用登记表!$B$4:$B$303,38))</f>
        <v/>
      </c>
      <c r="C2221" s="67" t="str">
        <f aca="false">IF($E2221="","","记-"&amp;TEXT($B2221,"YYYYMM")&amp;"-费用")</f>
        <v/>
      </c>
      <c r="D2221" s="107" t="str">
        <f aca="false">IF($E2221="","",INDEX(成本费用登记表!$E$4:$E$303,38))</f>
        <v/>
      </c>
      <c r="E2221" s="67" t="str">
        <f aca="false">IF(INDEX(成本费用登记表!$Q$4:$Y$303,38,1)=0,"",INDEX(成本费用登记表!$Q$4:$Y$303,38,1))</f>
        <v/>
      </c>
      <c r="F2221" s="99" t="str">
        <f aca="false">IF($E2221="","",IFERROR(INDEX(科目表!$A$4:$A$81,MATCH($E2221,科目表!$B$4:$B$81,0)),""))</f>
        <v/>
      </c>
      <c r="G2221" s="67" t="str">
        <f aca="false">IF($E2221="","",IFERROR(INDEX(科目表!$E$4:$E$81,MATCH($E2221,科目表!$B$4:$B$81,0)),""))</f>
        <v/>
      </c>
      <c r="H2221" s="70" t="str">
        <f aca="false">IF($E2221="","",N(INDEX(成本费用登记表!$Q$4:$Y$303,38,2)))</f>
        <v/>
      </c>
      <c r="I2221" s="70" t="str">
        <f aca="false">IF($E2221="","",N(INDEX(成本费用登记表!$Q$4:$Y$303,38,3)))</f>
        <v/>
      </c>
      <c r="J2221" s="67" t="str">
        <f aca="false">IF($E2221="","",INDEX(成本费用登记表!$C$4:$C$303,38))</f>
        <v/>
      </c>
      <c r="K2221" s="67" t="str">
        <f aca="false">IF($E2221="","",INDEX(成本费用登记表!$D$4:$D$303,38))</f>
        <v/>
      </c>
      <c r="L2221" s="107" t="str">
        <f aca="false">IF($E2221="","",INDEX(成本费用登记表!$N$4:$N$303,38))</f>
        <v/>
      </c>
      <c r="M2221" s="107"/>
      <c r="N2221" s="67" t="str">
        <f aca="false">IF($E2221="","","系统")</f>
        <v/>
      </c>
      <c r="O2221" s="67" t="str">
        <f aca="false">IF($E2221="","","自动C")</f>
        <v/>
      </c>
      <c r="P2221" s="18"/>
    </row>
    <row r="2222" customFormat="false" ht="18" hidden="false" customHeight="true" outlineLevel="0" collapsed="false">
      <c r="A2222" s="107" t="str">
        <f aca="false">IF($E2222="","",ROW()-3)</f>
        <v/>
      </c>
      <c r="B2222" s="110" t="str">
        <f aca="false">IF($E2222="","",INDEX(成本费用登记表!$B$4:$B$303,38))</f>
        <v/>
      </c>
      <c r="C2222" s="67" t="str">
        <f aca="false">IF($E2222="","","记-"&amp;TEXT($B2222,"YYYYMM")&amp;"-费用")</f>
        <v/>
      </c>
      <c r="D2222" s="107" t="str">
        <f aca="false">IF($E2222="","",INDEX(成本费用登记表!$E$4:$E$303,38))</f>
        <v/>
      </c>
      <c r="E2222" s="67" t="str">
        <f aca="false">IF(INDEX(成本费用登记表!$Q$4:$Y$303,38,4)=0,"",INDEX(成本费用登记表!$Q$4:$Y$303,38,4))</f>
        <v/>
      </c>
      <c r="F2222" s="99" t="str">
        <f aca="false">IF($E2222="","",IFERROR(INDEX(科目表!$A$4:$A$81,MATCH($E2222,科目表!$B$4:$B$81,0)),""))</f>
        <v/>
      </c>
      <c r="G2222" s="67" t="str">
        <f aca="false">IF($E2222="","",IFERROR(INDEX(科目表!$E$4:$E$81,MATCH($E2222,科目表!$B$4:$B$81,0)),""))</f>
        <v/>
      </c>
      <c r="H2222" s="70" t="str">
        <f aca="false">IF($E2222="","",N(INDEX(成本费用登记表!$Q$4:$Y$303,38,5)))</f>
        <v/>
      </c>
      <c r="I2222" s="70" t="str">
        <f aca="false">IF($E2222="","",N(INDEX(成本费用登记表!$Q$4:$Y$303,38,6)))</f>
        <v/>
      </c>
      <c r="J2222" s="67" t="str">
        <f aca="false">IF($E2222="","",INDEX(成本费用登记表!$C$4:$C$303,38))</f>
        <v/>
      </c>
      <c r="K2222" s="67" t="str">
        <f aca="false">IF($E2222="","",INDEX(成本费用登记表!$D$4:$D$303,38))</f>
        <v/>
      </c>
      <c r="L2222" s="107" t="str">
        <f aca="false">IF($E2222="","",INDEX(成本费用登记表!$N$4:$N$303,38))</f>
        <v/>
      </c>
      <c r="M2222" s="107"/>
      <c r="N2222" s="67" t="str">
        <f aca="false">IF($E2222="","","系统")</f>
        <v/>
      </c>
      <c r="O2222" s="67" t="str">
        <f aca="false">IF($E2222="","","自动C")</f>
        <v/>
      </c>
      <c r="P2222" s="18"/>
    </row>
    <row r="2223" customFormat="false" ht="18" hidden="false" customHeight="true" outlineLevel="0" collapsed="false">
      <c r="A2223" s="107" t="str">
        <f aca="false">IF($E2223="","",ROW()-3)</f>
        <v/>
      </c>
      <c r="B2223" s="110" t="str">
        <f aca="false">IF($E2223="","",INDEX(成本费用登记表!$B$4:$B$303,38))</f>
        <v/>
      </c>
      <c r="C2223" s="67" t="str">
        <f aca="false">IF($E2223="","","记-"&amp;TEXT($B2223,"YYYYMM")&amp;"-费用")</f>
        <v/>
      </c>
      <c r="D2223" s="107" t="str">
        <f aca="false">IF($E2223="","",INDEX(成本费用登记表!$E$4:$E$303,38))</f>
        <v/>
      </c>
      <c r="E2223" s="67" t="str">
        <f aca="false">IF(INDEX(成本费用登记表!$Q$4:$Y$303,38,7)=0,"",INDEX(成本费用登记表!$Q$4:$Y$303,38,7))</f>
        <v/>
      </c>
      <c r="F2223" s="99" t="str">
        <f aca="false">IF($E2223="","",IFERROR(INDEX(科目表!$A$4:$A$81,MATCH($E2223,科目表!$B$4:$B$81,0)),""))</f>
        <v/>
      </c>
      <c r="G2223" s="67" t="str">
        <f aca="false">IF($E2223="","",IFERROR(INDEX(科目表!$E$4:$E$81,MATCH($E2223,科目表!$B$4:$B$81,0)),""))</f>
        <v/>
      </c>
      <c r="H2223" s="70" t="str">
        <f aca="false">IF($E2223="","",N(INDEX(成本费用登记表!$Q$4:$Y$303,38,8)))</f>
        <v/>
      </c>
      <c r="I2223" s="70" t="str">
        <f aca="false">IF($E2223="","",N(INDEX(成本费用登记表!$Q$4:$Y$303,38,9)))</f>
        <v/>
      </c>
      <c r="J2223" s="67" t="str">
        <f aca="false">IF($E2223="","",INDEX(成本费用登记表!$C$4:$C$303,38))</f>
        <v/>
      </c>
      <c r="K2223" s="67" t="str">
        <f aca="false">IF($E2223="","",INDEX(成本费用登记表!$D$4:$D$303,38))</f>
        <v/>
      </c>
      <c r="L2223" s="107" t="str">
        <f aca="false">IF($E2223="","",INDEX(成本费用登记表!$N$4:$N$303,38))</f>
        <v/>
      </c>
      <c r="M2223" s="107"/>
      <c r="N2223" s="67" t="str">
        <f aca="false">IF($E2223="","","系统")</f>
        <v/>
      </c>
      <c r="O2223" s="67" t="str">
        <f aca="false">IF($E2223="","","自动C")</f>
        <v/>
      </c>
      <c r="P2223" s="18"/>
    </row>
    <row r="2224" customFormat="false" ht="18" hidden="false" customHeight="true" outlineLevel="0" collapsed="false">
      <c r="A2224" s="107" t="str">
        <f aca="false">IF($E2224="","",ROW()-3)</f>
        <v/>
      </c>
      <c r="B2224" s="110" t="str">
        <f aca="false">IF($E2224="","",INDEX(成本费用登记表!$B$4:$B$303,39))</f>
        <v/>
      </c>
      <c r="C2224" s="67" t="str">
        <f aca="false">IF($E2224="","","记-"&amp;TEXT($B2224,"YYYYMM")&amp;"-费用")</f>
        <v/>
      </c>
      <c r="D2224" s="107" t="str">
        <f aca="false">IF($E2224="","",INDEX(成本费用登记表!$E$4:$E$303,39))</f>
        <v/>
      </c>
      <c r="E2224" s="67" t="str">
        <f aca="false">IF(INDEX(成本费用登记表!$Q$4:$Y$303,39,1)=0,"",INDEX(成本费用登记表!$Q$4:$Y$303,39,1))</f>
        <v/>
      </c>
      <c r="F2224" s="99" t="str">
        <f aca="false">IF($E2224="","",IFERROR(INDEX(科目表!$A$4:$A$81,MATCH($E2224,科目表!$B$4:$B$81,0)),""))</f>
        <v/>
      </c>
      <c r="G2224" s="67" t="str">
        <f aca="false">IF($E2224="","",IFERROR(INDEX(科目表!$E$4:$E$81,MATCH($E2224,科目表!$B$4:$B$81,0)),""))</f>
        <v/>
      </c>
      <c r="H2224" s="70" t="str">
        <f aca="false">IF($E2224="","",N(INDEX(成本费用登记表!$Q$4:$Y$303,39,2)))</f>
        <v/>
      </c>
      <c r="I2224" s="70" t="str">
        <f aca="false">IF($E2224="","",N(INDEX(成本费用登记表!$Q$4:$Y$303,39,3)))</f>
        <v/>
      </c>
      <c r="J2224" s="67" t="str">
        <f aca="false">IF($E2224="","",INDEX(成本费用登记表!$C$4:$C$303,39))</f>
        <v/>
      </c>
      <c r="K2224" s="67" t="str">
        <f aca="false">IF($E2224="","",INDEX(成本费用登记表!$D$4:$D$303,39))</f>
        <v/>
      </c>
      <c r="L2224" s="107" t="str">
        <f aca="false">IF($E2224="","",INDEX(成本费用登记表!$N$4:$N$303,39))</f>
        <v/>
      </c>
      <c r="M2224" s="107"/>
      <c r="N2224" s="67" t="str">
        <f aca="false">IF($E2224="","","系统")</f>
        <v/>
      </c>
      <c r="O2224" s="67" t="str">
        <f aca="false">IF($E2224="","","自动C")</f>
        <v/>
      </c>
      <c r="P2224" s="18"/>
    </row>
    <row r="2225" customFormat="false" ht="18" hidden="false" customHeight="true" outlineLevel="0" collapsed="false">
      <c r="A2225" s="107" t="str">
        <f aca="false">IF($E2225="","",ROW()-3)</f>
        <v/>
      </c>
      <c r="B2225" s="110" t="str">
        <f aca="false">IF($E2225="","",INDEX(成本费用登记表!$B$4:$B$303,39))</f>
        <v/>
      </c>
      <c r="C2225" s="67" t="str">
        <f aca="false">IF($E2225="","","记-"&amp;TEXT($B2225,"YYYYMM")&amp;"-费用")</f>
        <v/>
      </c>
      <c r="D2225" s="107" t="str">
        <f aca="false">IF($E2225="","",INDEX(成本费用登记表!$E$4:$E$303,39))</f>
        <v/>
      </c>
      <c r="E2225" s="67" t="str">
        <f aca="false">IF(INDEX(成本费用登记表!$Q$4:$Y$303,39,4)=0,"",INDEX(成本费用登记表!$Q$4:$Y$303,39,4))</f>
        <v/>
      </c>
      <c r="F2225" s="99" t="str">
        <f aca="false">IF($E2225="","",IFERROR(INDEX(科目表!$A$4:$A$81,MATCH($E2225,科目表!$B$4:$B$81,0)),""))</f>
        <v/>
      </c>
      <c r="G2225" s="67" t="str">
        <f aca="false">IF($E2225="","",IFERROR(INDEX(科目表!$E$4:$E$81,MATCH($E2225,科目表!$B$4:$B$81,0)),""))</f>
        <v/>
      </c>
      <c r="H2225" s="70" t="str">
        <f aca="false">IF($E2225="","",N(INDEX(成本费用登记表!$Q$4:$Y$303,39,5)))</f>
        <v/>
      </c>
      <c r="I2225" s="70" t="str">
        <f aca="false">IF($E2225="","",N(INDEX(成本费用登记表!$Q$4:$Y$303,39,6)))</f>
        <v/>
      </c>
      <c r="J2225" s="67" t="str">
        <f aca="false">IF($E2225="","",INDEX(成本费用登记表!$C$4:$C$303,39))</f>
        <v/>
      </c>
      <c r="K2225" s="67" t="str">
        <f aca="false">IF($E2225="","",INDEX(成本费用登记表!$D$4:$D$303,39))</f>
        <v/>
      </c>
      <c r="L2225" s="107" t="str">
        <f aca="false">IF($E2225="","",INDEX(成本费用登记表!$N$4:$N$303,39))</f>
        <v/>
      </c>
      <c r="M2225" s="107"/>
      <c r="N2225" s="67" t="str">
        <f aca="false">IF($E2225="","","系统")</f>
        <v/>
      </c>
      <c r="O2225" s="67" t="str">
        <f aca="false">IF($E2225="","","自动C")</f>
        <v/>
      </c>
      <c r="P2225" s="18"/>
    </row>
    <row r="2226" customFormat="false" ht="18" hidden="false" customHeight="true" outlineLevel="0" collapsed="false">
      <c r="A2226" s="107" t="str">
        <f aca="false">IF($E2226="","",ROW()-3)</f>
        <v/>
      </c>
      <c r="B2226" s="110" t="str">
        <f aca="false">IF($E2226="","",INDEX(成本费用登记表!$B$4:$B$303,39))</f>
        <v/>
      </c>
      <c r="C2226" s="67" t="str">
        <f aca="false">IF($E2226="","","记-"&amp;TEXT($B2226,"YYYYMM")&amp;"-费用")</f>
        <v/>
      </c>
      <c r="D2226" s="107" t="str">
        <f aca="false">IF($E2226="","",INDEX(成本费用登记表!$E$4:$E$303,39))</f>
        <v/>
      </c>
      <c r="E2226" s="67" t="str">
        <f aca="false">IF(INDEX(成本费用登记表!$Q$4:$Y$303,39,7)=0,"",INDEX(成本费用登记表!$Q$4:$Y$303,39,7))</f>
        <v/>
      </c>
      <c r="F2226" s="99" t="str">
        <f aca="false">IF($E2226="","",IFERROR(INDEX(科目表!$A$4:$A$81,MATCH($E2226,科目表!$B$4:$B$81,0)),""))</f>
        <v/>
      </c>
      <c r="G2226" s="67" t="str">
        <f aca="false">IF($E2226="","",IFERROR(INDEX(科目表!$E$4:$E$81,MATCH($E2226,科目表!$B$4:$B$81,0)),""))</f>
        <v/>
      </c>
      <c r="H2226" s="70" t="str">
        <f aca="false">IF($E2226="","",N(INDEX(成本费用登记表!$Q$4:$Y$303,39,8)))</f>
        <v/>
      </c>
      <c r="I2226" s="70" t="str">
        <f aca="false">IF($E2226="","",N(INDEX(成本费用登记表!$Q$4:$Y$303,39,9)))</f>
        <v/>
      </c>
      <c r="J2226" s="67" t="str">
        <f aca="false">IF($E2226="","",INDEX(成本费用登记表!$C$4:$C$303,39))</f>
        <v/>
      </c>
      <c r="K2226" s="67" t="str">
        <f aca="false">IF($E2226="","",INDEX(成本费用登记表!$D$4:$D$303,39))</f>
        <v/>
      </c>
      <c r="L2226" s="107" t="str">
        <f aca="false">IF($E2226="","",INDEX(成本费用登记表!$N$4:$N$303,39))</f>
        <v/>
      </c>
      <c r="M2226" s="107"/>
      <c r="N2226" s="67" t="str">
        <f aca="false">IF($E2226="","","系统")</f>
        <v/>
      </c>
      <c r="O2226" s="67" t="str">
        <f aca="false">IF($E2226="","","自动C")</f>
        <v/>
      </c>
      <c r="P2226" s="18"/>
    </row>
    <row r="2227" customFormat="false" ht="18" hidden="false" customHeight="true" outlineLevel="0" collapsed="false">
      <c r="A2227" s="107" t="str">
        <f aca="false">IF($E2227="","",ROW()-3)</f>
        <v/>
      </c>
      <c r="B2227" s="110" t="str">
        <f aca="false">IF($E2227="","",INDEX(成本费用登记表!$B$4:$B$303,40))</f>
        <v/>
      </c>
      <c r="C2227" s="67" t="str">
        <f aca="false">IF($E2227="","","记-"&amp;TEXT($B2227,"YYYYMM")&amp;"-费用")</f>
        <v/>
      </c>
      <c r="D2227" s="107" t="str">
        <f aca="false">IF($E2227="","",INDEX(成本费用登记表!$E$4:$E$303,40))</f>
        <v/>
      </c>
      <c r="E2227" s="67" t="str">
        <f aca="false">IF(INDEX(成本费用登记表!$Q$4:$Y$303,40,1)=0,"",INDEX(成本费用登记表!$Q$4:$Y$303,40,1))</f>
        <v/>
      </c>
      <c r="F2227" s="99" t="str">
        <f aca="false">IF($E2227="","",IFERROR(INDEX(科目表!$A$4:$A$81,MATCH($E2227,科目表!$B$4:$B$81,0)),""))</f>
        <v/>
      </c>
      <c r="G2227" s="67" t="str">
        <f aca="false">IF($E2227="","",IFERROR(INDEX(科目表!$E$4:$E$81,MATCH($E2227,科目表!$B$4:$B$81,0)),""))</f>
        <v/>
      </c>
      <c r="H2227" s="70" t="str">
        <f aca="false">IF($E2227="","",N(INDEX(成本费用登记表!$Q$4:$Y$303,40,2)))</f>
        <v/>
      </c>
      <c r="I2227" s="70" t="str">
        <f aca="false">IF($E2227="","",N(INDEX(成本费用登记表!$Q$4:$Y$303,40,3)))</f>
        <v/>
      </c>
      <c r="J2227" s="67" t="str">
        <f aca="false">IF($E2227="","",INDEX(成本费用登记表!$C$4:$C$303,40))</f>
        <v/>
      </c>
      <c r="K2227" s="67" t="str">
        <f aca="false">IF($E2227="","",INDEX(成本费用登记表!$D$4:$D$303,40))</f>
        <v/>
      </c>
      <c r="L2227" s="107" t="str">
        <f aca="false">IF($E2227="","",INDEX(成本费用登记表!$N$4:$N$303,40))</f>
        <v/>
      </c>
      <c r="M2227" s="107"/>
      <c r="N2227" s="67" t="str">
        <f aca="false">IF($E2227="","","系统")</f>
        <v/>
      </c>
      <c r="O2227" s="67" t="str">
        <f aca="false">IF($E2227="","","自动C")</f>
        <v/>
      </c>
      <c r="P2227" s="18"/>
    </row>
    <row r="2228" customFormat="false" ht="18" hidden="false" customHeight="true" outlineLevel="0" collapsed="false">
      <c r="A2228" s="107" t="str">
        <f aca="false">IF($E2228="","",ROW()-3)</f>
        <v/>
      </c>
      <c r="B2228" s="110" t="str">
        <f aca="false">IF($E2228="","",INDEX(成本费用登记表!$B$4:$B$303,40))</f>
        <v/>
      </c>
      <c r="C2228" s="67" t="str">
        <f aca="false">IF($E2228="","","记-"&amp;TEXT($B2228,"YYYYMM")&amp;"-费用")</f>
        <v/>
      </c>
      <c r="D2228" s="107" t="str">
        <f aca="false">IF($E2228="","",INDEX(成本费用登记表!$E$4:$E$303,40))</f>
        <v/>
      </c>
      <c r="E2228" s="67" t="str">
        <f aca="false">IF(INDEX(成本费用登记表!$Q$4:$Y$303,40,4)=0,"",INDEX(成本费用登记表!$Q$4:$Y$303,40,4))</f>
        <v/>
      </c>
      <c r="F2228" s="99" t="str">
        <f aca="false">IF($E2228="","",IFERROR(INDEX(科目表!$A$4:$A$81,MATCH($E2228,科目表!$B$4:$B$81,0)),""))</f>
        <v/>
      </c>
      <c r="G2228" s="67" t="str">
        <f aca="false">IF($E2228="","",IFERROR(INDEX(科目表!$E$4:$E$81,MATCH($E2228,科目表!$B$4:$B$81,0)),""))</f>
        <v/>
      </c>
      <c r="H2228" s="70" t="str">
        <f aca="false">IF($E2228="","",N(INDEX(成本费用登记表!$Q$4:$Y$303,40,5)))</f>
        <v/>
      </c>
      <c r="I2228" s="70" t="str">
        <f aca="false">IF($E2228="","",N(INDEX(成本费用登记表!$Q$4:$Y$303,40,6)))</f>
        <v/>
      </c>
      <c r="J2228" s="67" t="str">
        <f aca="false">IF($E2228="","",INDEX(成本费用登记表!$C$4:$C$303,40))</f>
        <v/>
      </c>
      <c r="K2228" s="67" t="str">
        <f aca="false">IF($E2228="","",INDEX(成本费用登记表!$D$4:$D$303,40))</f>
        <v/>
      </c>
      <c r="L2228" s="107" t="str">
        <f aca="false">IF($E2228="","",INDEX(成本费用登记表!$N$4:$N$303,40))</f>
        <v/>
      </c>
      <c r="M2228" s="107"/>
      <c r="N2228" s="67" t="str">
        <f aca="false">IF($E2228="","","系统")</f>
        <v/>
      </c>
      <c r="O2228" s="67" t="str">
        <f aca="false">IF($E2228="","","自动C")</f>
        <v/>
      </c>
      <c r="P2228" s="18"/>
    </row>
    <row r="2229" customFormat="false" ht="18" hidden="false" customHeight="true" outlineLevel="0" collapsed="false">
      <c r="A2229" s="107" t="str">
        <f aca="false">IF($E2229="","",ROW()-3)</f>
        <v/>
      </c>
      <c r="B2229" s="110" t="str">
        <f aca="false">IF($E2229="","",INDEX(成本费用登记表!$B$4:$B$303,40))</f>
        <v/>
      </c>
      <c r="C2229" s="67" t="str">
        <f aca="false">IF($E2229="","","记-"&amp;TEXT($B2229,"YYYYMM")&amp;"-费用")</f>
        <v/>
      </c>
      <c r="D2229" s="107" t="str">
        <f aca="false">IF($E2229="","",INDEX(成本费用登记表!$E$4:$E$303,40))</f>
        <v/>
      </c>
      <c r="E2229" s="67" t="str">
        <f aca="false">IF(INDEX(成本费用登记表!$Q$4:$Y$303,40,7)=0,"",INDEX(成本费用登记表!$Q$4:$Y$303,40,7))</f>
        <v/>
      </c>
      <c r="F2229" s="99" t="str">
        <f aca="false">IF($E2229="","",IFERROR(INDEX(科目表!$A$4:$A$81,MATCH($E2229,科目表!$B$4:$B$81,0)),""))</f>
        <v/>
      </c>
      <c r="G2229" s="67" t="str">
        <f aca="false">IF($E2229="","",IFERROR(INDEX(科目表!$E$4:$E$81,MATCH($E2229,科目表!$B$4:$B$81,0)),""))</f>
        <v/>
      </c>
      <c r="H2229" s="70" t="str">
        <f aca="false">IF($E2229="","",N(INDEX(成本费用登记表!$Q$4:$Y$303,40,8)))</f>
        <v/>
      </c>
      <c r="I2229" s="70" t="str">
        <f aca="false">IF($E2229="","",N(INDEX(成本费用登记表!$Q$4:$Y$303,40,9)))</f>
        <v/>
      </c>
      <c r="J2229" s="67" t="str">
        <f aca="false">IF($E2229="","",INDEX(成本费用登记表!$C$4:$C$303,40))</f>
        <v/>
      </c>
      <c r="K2229" s="67" t="str">
        <f aca="false">IF($E2229="","",INDEX(成本费用登记表!$D$4:$D$303,40))</f>
        <v/>
      </c>
      <c r="L2229" s="107" t="str">
        <f aca="false">IF($E2229="","",INDEX(成本费用登记表!$N$4:$N$303,40))</f>
        <v/>
      </c>
      <c r="M2229" s="107"/>
      <c r="N2229" s="67" t="str">
        <f aca="false">IF($E2229="","","系统")</f>
        <v/>
      </c>
      <c r="O2229" s="67" t="str">
        <f aca="false">IF($E2229="","","自动C")</f>
        <v/>
      </c>
      <c r="P2229" s="18"/>
    </row>
    <row r="2230" customFormat="false" ht="18" hidden="false" customHeight="true" outlineLevel="0" collapsed="false">
      <c r="A2230" s="107" t="str">
        <f aca="false">IF($E2230="","",ROW()-3)</f>
        <v/>
      </c>
      <c r="B2230" s="110" t="str">
        <f aca="false">IF($E2230="","",INDEX(成本费用登记表!$B$4:$B$303,41))</f>
        <v/>
      </c>
      <c r="C2230" s="67" t="str">
        <f aca="false">IF($E2230="","","记-"&amp;TEXT($B2230,"YYYYMM")&amp;"-费用")</f>
        <v/>
      </c>
      <c r="D2230" s="107" t="str">
        <f aca="false">IF($E2230="","",INDEX(成本费用登记表!$E$4:$E$303,41))</f>
        <v/>
      </c>
      <c r="E2230" s="67" t="str">
        <f aca="false">IF(INDEX(成本费用登记表!$Q$4:$Y$303,41,1)=0,"",INDEX(成本费用登记表!$Q$4:$Y$303,41,1))</f>
        <v/>
      </c>
      <c r="F2230" s="99" t="str">
        <f aca="false">IF($E2230="","",IFERROR(INDEX(科目表!$A$4:$A$81,MATCH($E2230,科目表!$B$4:$B$81,0)),""))</f>
        <v/>
      </c>
      <c r="G2230" s="67" t="str">
        <f aca="false">IF($E2230="","",IFERROR(INDEX(科目表!$E$4:$E$81,MATCH($E2230,科目表!$B$4:$B$81,0)),""))</f>
        <v/>
      </c>
      <c r="H2230" s="70" t="str">
        <f aca="false">IF($E2230="","",N(INDEX(成本费用登记表!$Q$4:$Y$303,41,2)))</f>
        <v/>
      </c>
      <c r="I2230" s="70" t="str">
        <f aca="false">IF($E2230="","",N(INDEX(成本费用登记表!$Q$4:$Y$303,41,3)))</f>
        <v/>
      </c>
      <c r="J2230" s="67" t="str">
        <f aca="false">IF($E2230="","",INDEX(成本费用登记表!$C$4:$C$303,41))</f>
        <v/>
      </c>
      <c r="K2230" s="67" t="str">
        <f aca="false">IF($E2230="","",INDEX(成本费用登记表!$D$4:$D$303,41))</f>
        <v/>
      </c>
      <c r="L2230" s="107" t="str">
        <f aca="false">IF($E2230="","",INDEX(成本费用登记表!$N$4:$N$303,41))</f>
        <v/>
      </c>
      <c r="M2230" s="107"/>
      <c r="N2230" s="67" t="str">
        <f aca="false">IF($E2230="","","系统")</f>
        <v/>
      </c>
      <c r="O2230" s="67" t="str">
        <f aca="false">IF($E2230="","","自动C")</f>
        <v/>
      </c>
      <c r="P2230" s="18"/>
    </row>
    <row r="2231" customFormat="false" ht="18" hidden="false" customHeight="true" outlineLevel="0" collapsed="false">
      <c r="A2231" s="107" t="str">
        <f aca="false">IF($E2231="","",ROW()-3)</f>
        <v/>
      </c>
      <c r="B2231" s="110" t="str">
        <f aca="false">IF($E2231="","",INDEX(成本费用登记表!$B$4:$B$303,41))</f>
        <v/>
      </c>
      <c r="C2231" s="67" t="str">
        <f aca="false">IF($E2231="","","记-"&amp;TEXT($B2231,"YYYYMM")&amp;"-费用")</f>
        <v/>
      </c>
      <c r="D2231" s="107" t="str">
        <f aca="false">IF($E2231="","",INDEX(成本费用登记表!$E$4:$E$303,41))</f>
        <v/>
      </c>
      <c r="E2231" s="67" t="str">
        <f aca="false">IF(INDEX(成本费用登记表!$Q$4:$Y$303,41,4)=0,"",INDEX(成本费用登记表!$Q$4:$Y$303,41,4))</f>
        <v/>
      </c>
      <c r="F2231" s="99" t="str">
        <f aca="false">IF($E2231="","",IFERROR(INDEX(科目表!$A$4:$A$81,MATCH($E2231,科目表!$B$4:$B$81,0)),""))</f>
        <v/>
      </c>
      <c r="G2231" s="67" t="str">
        <f aca="false">IF($E2231="","",IFERROR(INDEX(科目表!$E$4:$E$81,MATCH($E2231,科目表!$B$4:$B$81,0)),""))</f>
        <v/>
      </c>
      <c r="H2231" s="70" t="str">
        <f aca="false">IF($E2231="","",N(INDEX(成本费用登记表!$Q$4:$Y$303,41,5)))</f>
        <v/>
      </c>
      <c r="I2231" s="70" t="str">
        <f aca="false">IF($E2231="","",N(INDEX(成本费用登记表!$Q$4:$Y$303,41,6)))</f>
        <v/>
      </c>
      <c r="J2231" s="67" t="str">
        <f aca="false">IF($E2231="","",INDEX(成本费用登记表!$C$4:$C$303,41))</f>
        <v/>
      </c>
      <c r="K2231" s="67" t="str">
        <f aca="false">IF($E2231="","",INDEX(成本费用登记表!$D$4:$D$303,41))</f>
        <v/>
      </c>
      <c r="L2231" s="107" t="str">
        <f aca="false">IF($E2231="","",INDEX(成本费用登记表!$N$4:$N$303,41))</f>
        <v/>
      </c>
      <c r="M2231" s="107"/>
      <c r="N2231" s="67" t="str">
        <f aca="false">IF($E2231="","","系统")</f>
        <v/>
      </c>
      <c r="O2231" s="67" t="str">
        <f aca="false">IF($E2231="","","自动C")</f>
        <v/>
      </c>
      <c r="P2231" s="18"/>
    </row>
    <row r="2232" customFormat="false" ht="18" hidden="false" customHeight="true" outlineLevel="0" collapsed="false">
      <c r="A2232" s="107" t="str">
        <f aca="false">IF($E2232="","",ROW()-3)</f>
        <v/>
      </c>
      <c r="B2232" s="110" t="str">
        <f aca="false">IF($E2232="","",INDEX(成本费用登记表!$B$4:$B$303,41))</f>
        <v/>
      </c>
      <c r="C2232" s="67" t="str">
        <f aca="false">IF($E2232="","","记-"&amp;TEXT($B2232,"YYYYMM")&amp;"-费用")</f>
        <v/>
      </c>
      <c r="D2232" s="107" t="str">
        <f aca="false">IF($E2232="","",INDEX(成本费用登记表!$E$4:$E$303,41))</f>
        <v/>
      </c>
      <c r="E2232" s="67" t="str">
        <f aca="false">IF(INDEX(成本费用登记表!$Q$4:$Y$303,41,7)=0,"",INDEX(成本费用登记表!$Q$4:$Y$303,41,7))</f>
        <v/>
      </c>
      <c r="F2232" s="99" t="str">
        <f aca="false">IF($E2232="","",IFERROR(INDEX(科目表!$A$4:$A$81,MATCH($E2232,科目表!$B$4:$B$81,0)),""))</f>
        <v/>
      </c>
      <c r="G2232" s="67" t="str">
        <f aca="false">IF($E2232="","",IFERROR(INDEX(科目表!$E$4:$E$81,MATCH($E2232,科目表!$B$4:$B$81,0)),""))</f>
        <v/>
      </c>
      <c r="H2232" s="70" t="str">
        <f aca="false">IF($E2232="","",N(INDEX(成本费用登记表!$Q$4:$Y$303,41,8)))</f>
        <v/>
      </c>
      <c r="I2232" s="70" t="str">
        <f aca="false">IF($E2232="","",N(INDEX(成本费用登记表!$Q$4:$Y$303,41,9)))</f>
        <v/>
      </c>
      <c r="J2232" s="67" t="str">
        <f aca="false">IF($E2232="","",INDEX(成本费用登记表!$C$4:$C$303,41))</f>
        <v/>
      </c>
      <c r="K2232" s="67" t="str">
        <f aca="false">IF($E2232="","",INDEX(成本费用登记表!$D$4:$D$303,41))</f>
        <v/>
      </c>
      <c r="L2232" s="107" t="str">
        <f aca="false">IF($E2232="","",INDEX(成本费用登记表!$N$4:$N$303,41))</f>
        <v/>
      </c>
      <c r="M2232" s="107"/>
      <c r="N2232" s="67" t="str">
        <f aca="false">IF($E2232="","","系统")</f>
        <v/>
      </c>
      <c r="O2232" s="67" t="str">
        <f aca="false">IF($E2232="","","自动C")</f>
        <v/>
      </c>
      <c r="P2232" s="18"/>
    </row>
    <row r="2233" customFormat="false" ht="18" hidden="false" customHeight="true" outlineLevel="0" collapsed="false">
      <c r="A2233" s="107" t="str">
        <f aca="false">IF($E2233="","",ROW()-3)</f>
        <v/>
      </c>
      <c r="B2233" s="110" t="str">
        <f aca="false">IF($E2233="","",INDEX(成本费用登记表!$B$4:$B$303,42))</f>
        <v/>
      </c>
      <c r="C2233" s="67" t="str">
        <f aca="false">IF($E2233="","","记-"&amp;TEXT($B2233,"YYYYMM")&amp;"-费用")</f>
        <v/>
      </c>
      <c r="D2233" s="107" t="str">
        <f aca="false">IF($E2233="","",INDEX(成本费用登记表!$E$4:$E$303,42))</f>
        <v/>
      </c>
      <c r="E2233" s="67" t="str">
        <f aca="false">IF(INDEX(成本费用登记表!$Q$4:$Y$303,42,1)=0,"",INDEX(成本费用登记表!$Q$4:$Y$303,42,1))</f>
        <v/>
      </c>
      <c r="F2233" s="99" t="str">
        <f aca="false">IF($E2233="","",IFERROR(INDEX(科目表!$A$4:$A$81,MATCH($E2233,科目表!$B$4:$B$81,0)),""))</f>
        <v/>
      </c>
      <c r="G2233" s="67" t="str">
        <f aca="false">IF($E2233="","",IFERROR(INDEX(科目表!$E$4:$E$81,MATCH($E2233,科目表!$B$4:$B$81,0)),""))</f>
        <v/>
      </c>
      <c r="H2233" s="70" t="str">
        <f aca="false">IF($E2233="","",N(INDEX(成本费用登记表!$Q$4:$Y$303,42,2)))</f>
        <v/>
      </c>
      <c r="I2233" s="70" t="str">
        <f aca="false">IF($E2233="","",N(INDEX(成本费用登记表!$Q$4:$Y$303,42,3)))</f>
        <v/>
      </c>
      <c r="J2233" s="67" t="str">
        <f aca="false">IF($E2233="","",INDEX(成本费用登记表!$C$4:$C$303,42))</f>
        <v/>
      </c>
      <c r="K2233" s="67" t="str">
        <f aca="false">IF($E2233="","",INDEX(成本费用登记表!$D$4:$D$303,42))</f>
        <v/>
      </c>
      <c r="L2233" s="107" t="str">
        <f aca="false">IF($E2233="","",INDEX(成本费用登记表!$N$4:$N$303,42))</f>
        <v/>
      </c>
      <c r="M2233" s="107"/>
      <c r="N2233" s="67" t="str">
        <f aca="false">IF($E2233="","","系统")</f>
        <v/>
      </c>
      <c r="O2233" s="67" t="str">
        <f aca="false">IF($E2233="","","自动C")</f>
        <v/>
      </c>
      <c r="P2233" s="18"/>
    </row>
    <row r="2234" customFormat="false" ht="18" hidden="false" customHeight="true" outlineLevel="0" collapsed="false">
      <c r="A2234" s="107" t="str">
        <f aca="false">IF($E2234="","",ROW()-3)</f>
        <v/>
      </c>
      <c r="B2234" s="110" t="str">
        <f aca="false">IF($E2234="","",INDEX(成本费用登记表!$B$4:$B$303,42))</f>
        <v/>
      </c>
      <c r="C2234" s="67" t="str">
        <f aca="false">IF($E2234="","","记-"&amp;TEXT($B2234,"YYYYMM")&amp;"-费用")</f>
        <v/>
      </c>
      <c r="D2234" s="107" t="str">
        <f aca="false">IF($E2234="","",INDEX(成本费用登记表!$E$4:$E$303,42))</f>
        <v/>
      </c>
      <c r="E2234" s="67" t="str">
        <f aca="false">IF(INDEX(成本费用登记表!$Q$4:$Y$303,42,4)=0,"",INDEX(成本费用登记表!$Q$4:$Y$303,42,4))</f>
        <v/>
      </c>
      <c r="F2234" s="99" t="str">
        <f aca="false">IF($E2234="","",IFERROR(INDEX(科目表!$A$4:$A$81,MATCH($E2234,科目表!$B$4:$B$81,0)),""))</f>
        <v/>
      </c>
      <c r="G2234" s="67" t="str">
        <f aca="false">IF($E2234="","",IFERROR(INDEX(科目表!$E$4:$E$81,MATCH($E2234,科目表!$B$4:$B$81,0)),""))</f>
        <v/>
      </c>
      <c r="H2234" s="70" t="str">
        <f aca="false">IF($E2234="","",N(INDEX(成本费用登记表!$Q$4:$Y$303,42,5)))</f>
        <v/>
      </c>
      <c r="I2234" s="70" t="str">
        <f aca="false">IF($E2234="","",N(INDEX(成本费用登记表!$Q$4:$Y$303,42,6)))</f>
        <v/>
      </c>
      <c r="J2234" s="67" t="str">
        <f aca="false">IF($E2234="","",INDEX(成本费用登记表!$C$4:$C$303,42))</f>
        <v/>
      </c>
      <c r="K2234" s="67" t="str">
        <f aca="false">IF($E2234="","",INDEX(成本费用登记表!$D$4:$D$303,42))</f>
        <v/>
      </c>
      <c r="L2234" s="107" t="str">
        <f aca="false">IF($E2234="","",INDEX(成本费用登记表!$N$4:$N$303,42))</f>
        <v/>
      </c>
      <c r="M2234" s="107"/>
      <c r="N2234" s="67" t="str">
        <f aca="false">IF($E2234="","","系统")</f>
        <v/>
      </c>
      <c r="O2234" s="67" t="str">
        <f aca="false">IF($E2234="","","自动C")</f>
        <v/>
      </c>
      <c r="P2234" s="18"/>
    </row>
    <row r="2235" customFormat="false" ht="18" hidden="false" customHeight="true" outlineLevel="0" collapsed="false">
      <c r="A2235" s="107" t="str">
        <f aca="false">IF($E2235="","",ROW()-3)</f>
        <v/>
      </c>
      <c r="B2235" s="110" t="str">
        <f aca="false">IF($E2235="","",INDEX(成本费用登记表!$B$4:$B$303,42))</f>
        <v/>
      </c>
      <c r="C2235" s="67" t="str">
        <f aca="false">IF($E2235="","","记-"&amp;TEXT($B2235,"YYYYMM")&amp;"-费用")</f>
        <v/>
      </c>
      <c r="D2235" s="107" t="str">
        <f aca="false">IF($E2235="","",INDEX(成本费用登记表!$E$4:$E$303,42))</f>
        <v/>
      </c>
      <c r="E2235" s="67" t="str">
        <f aca="false">IF(INDEX(成本费用登记表!$Q$4:$Y$303,42,7)=0,"",INDEX(成本费用登记表!$Q$4:$Y$303,42,7))</f>
        <v/>
      </c>
      <c r="F2235" s="99" t="str">
        <f aca="false">IF($E2235="","",IFERROR(INDEX(科目表!$A$4:$A$81,MATCH($E2235,科目表!$B$4:$B$81,0)),""))</f>
        <v/>
      </c>
      <c r="G2235" s="67" t="str">
        <f aca="false">IF($E2235="","",IFERROR(INDEX(科目表!$E$4:$E$81,MATCH($E2235,科目表!$B$4:$B$81,0)),""))</f>
        <v/>
      </c>
      <c r="H2235" s="70" t="str">
        <f aca="false">IF($E2235="","",N(INDEX(成本费用登记表!$Q$4:$Y$303,42,8)))</f>
        <v/>
      </c>
      <c r="I2235" s="70" t="str">
        <f aca="false">IF($E2235="","",N(INDEX(成本费用登记表!$Q$4:$Y$303,42,9)))</f>
        <v/>
      </c>
      <c r="J2235" s="67" t="str">
        <f aca="false">IF($E2235="","",INDEX(成本费用登记表!$C$4:$C$303,42))</f>
        <v/>
      </c>
      <c r="K2235" s="67" t="str">
        <f aca="false">IF($E2235="","",INDEX(成本费用登记表!$D$4:$D$303,42))</f>
        <v/>
      </c>
      <c r="L2235" s="107" t="str">
        <f aca="false">IF($E2235="","",INDEX(成本费用登记表!$N$4:$N$303,42))</f>
        <v/>
      </c>
      <c r="M2235" s="107"/>
      <c r="N2235" s="67" t="str">
        <f aca="false">IF($E2235="","","系统")</f>
        <v/>
      </c>
      <c r="O2235" s="67" t="str">
        <f aca="false">IF($E2235="","","自动C")</f>
        <v/>
      </c>
      <c r="P2235" s="18"/>
    </row>
    <row r="2236" customFormat="false" ht="18" hidden="false" customHeight="true" outlineLevel="0" collapsed="false">
      <c r="A2236" s="107" t="str">
        <f aca="false">IF($E2236="","",ROW()-3)</f>
        <v/>
      </c>
      <c r="B2236" s="110" t="str">
        <f aca="false">IF($E2236="","",INDEX(成本费用登记表!$B$4:$B$303,43))</f>
        <v/>
      </c>
      <c r="C2236" s="67" t="str">
        <f aca="false">IF($E2236="","","记-"&amp;TEXT($B2236,"YYYYMM")&amp;"-费用")</f>
        <v/>
      </c>
      <c r="D2236" s="107" t="str">
        <f aca="false">IF($E2236="","",INDEX(成本费用登记表!$E$4:$E$303,43))</f>
        <v/>
      </c>
      <c r="E2236" s="67" t="str">
        <f aca="false">IF(INDEX(成本费用登记表!$Q$4:$Y$303,43,1)=0,"",INDEX(成本费用登记表!$Q$4:$Y$303,43,1))</f>
        <v/>
      </c>
      <c r="F2236" s="99" t="str">
        <f aca="false">IF($E2236="","",IFERROR(INDEX(科目表!$A$4:$A$81,MATCH($E2236,科目表!$B$4:$B$81,0)),""))</f>
        <v/>
      </c>
      <c r="G2236" s="67" t="str">
        <f aca="false">IF($E2236="","",IFERROR(INDEX(科目表!$E$4:$E$81,MATCH($E2236,科目表!$B$4:$B$81,0)),""))</f>
        <v/>
      </c>
      <c r="H2236" s="70" t="str">
        <f aca="false">IF($E2236="","",N(INDEX(成本费用登记表!$Q$4:$Y$303,43,2)))</f>
        <v/>
      </c>
      <c r="I2236" s="70" t="str">
        <f aca="false">IF($E2236="","",N(INDEX(成本费用登记表!$Q$4:$Y$303,43,3)))</f>
        <v/>
      </c>
      <c r="J2236" s="67" t="str">
        <f aca="false">IF($E2236="","",INDEX(成本费用登记表!$C$4:$C$303,43))</f>
        <v/>
      </c>
      <c r="K2236" s="67" t="str">
        <f aca="false">IF($E2236="","",INDEX(成本费用登记表!$D$4:$D$303,43))</f>
        <v/>
      </c>
      <c r="L2236" s="107" t="str">
        <f aca="false">IF($E2236="","",INDEX(成本费用登记表!$N$4:$N$303,43))</f>
        <v/>
      </c>
      <c r="M2236" s="107"/>
      <c r="N2236" s="67" t="str">
        <f aca="false">IF($E2236="","","系统")</f>
        <v/>
      </c>
      <c r="O2236" s="67" t="str">
        <f aca="false">IF($E2236="","","自动C")</f>
        <v/>
      </c>
      <c r="P2236" s="18"/>
    </row>
    <row r="2237" customFormat="false" ht="18" hidden="false" customHeight="true" outlineLevel="0" collapsed="false">
      <c r="A2237" s="107" t="str">
        <f aca="false">IF($E2237="","",ROW()-3)</f>
        <v/>
      </c>
      <c r="B2237" s="110" t="str">
        <f aca="false">IF($E2237="","",INDEX(成本费用登记表!$B$4:$B$303,43))</f>
        <v/>
      </c>
      <c r="C2237" s="67" t="str">
        <f aca="false">IF($E2237="","","记-"&amp;TEXT($B2237,"YYYYMM")&amp;"-费用")</f>
        <v/>
      </c>
      <c r="D2237" s="107" t="str">
        <f aca="false">IF($E2237="","",INDEX(成本费用登记表!$E$4:$E$303,43))</f>
        <v/>
      </c>
      <c r="E2237" s="67" t="str">
        <f aca="false">IF(INDEX(成本费用登记表!$Q$4:$Y$303,43,4)=0,"",INDEX(成本费用登记表!$Q$4:$Y$303,43,4))</f>
        <v/>
      </c>
      <c r="F2237" s="99" t="str">
        <f aca="false">IF($E2237="","",IFERROR(INDEX(科目表!$A$4:$A$81,MATCH($E2237,科目表!$B$4:$B$81,0)),""))</f>
        <v/>
      </c>
      <c r="G2237" s="67" t="str">
        <f aca="false">IF($E2237="","",IFERROR(INDEX(科目表!$E$4:$E$81,MATCH($E2237,科目表!$B$4:$B$81,0)),""))</f>
        <v/>
      </c>
      <c r="H2237" s="70" t="str">
        <f aca="false">IF($E2237="","",N(INDEX(成本费用登记表!$Q$4:$Y$303,43,5)))</f>
        <v/>
      </c>
      <c r="I2237" s="70" t="str">
        <f aca="false">IF($E2237="","",N(INDEX(成本费用登记表!$Q$4:$Y$303,43,6)))</f>
        <v/>
      </c>
      <c r="J2237" s="67" t="str">
        <f aca="false">IF($E2237="","",INDEX(成本费用登记表!$C$4:$C$303,43))</f>
        <v/>
      </c>
      <c r="K2237" s="67" t="str">
        <f aca="false">IF($E2237="","",INDEX(成本费用登记表!$D$4:$D$303,43))</f>
        <v/>
      </c>
      <c r="L2237" s="107" t="str">
        <f aca="false">IF($E2237="","",INDEX(成本费用登记表!$N$4:$N$303,43))</f>
        <v/>
      </c>
      <c r="M2237" s="107"/>
      <c r="N2237" s="67" t="str">
        <f aca="false">IF($E2237="","","系统")</f>
        <v/>
      </c>
      <c r="O2237" s="67" t="str">
        <f aca="false">IF($E2237="","","自动C")</f>
        <v/>
      </c>
      <c r="P2237" s="18"/>
    </row>
    <row r="2238" customFormat="false" ht="18" hidden="false" customHeight="true" outlineLevel="0" collapsed="false">
      <c r="A2238" s="107" t="str">
        <f aca="false">IF($E2238="","",ROW()-3)</f>
        <v/>
      </c>
      <c r="B2238" s="110" t="str">
        <f aca="false">IF($E2238="","",INDEX(成本费用登记表!$B$4:$B$303,43))</f>
        <v/>
      </c>
      <c r="C2238" s="67" t="str">
        <f aca="false">IF($E2238="","","记-"&amp;TEXT($B2238,"YYYYMM")&amp;"-费用")</f>
        <v/>
      </c>
      <c r="D2238" s="107" t="str">
        <f aca="false">IF($E2238="","",INDEX(成本费用登记表!$E$4:$E$303,43))</f>
        <v/>
      </c>
      <c r="E2238" s="67" t="str">
        <f aca="false">IF(INDEX(成本费用登记表!$Q$4:$Y$303,43,7)=0,"",INDEX(成本费用登记表!$Q$4:$Y$303,43,7))</f>
        <v/>
      </c>
      <c r="F2238" s="99" t="str">
        <f aca="false">IF($E2238="","",IFERROR(INDEX(科目表!$A$4:$A$81,MATCH($E2238,科目表!$B$4:$B$81,0)),""))</f>
        <v/>
      </c>
      <c r="G2238" s="67" t="str">
        <f aca="false">IF($E2238="","",IFERROR(INDEX(科目表!$E$4:$E$81,MATCH($E2238,科目表!$B$4:$B$81,0)),""))</f>
        <v/>
      </c>
      <c r="H2238" s="70" t="str">
        <f aca="false">IF($E2238="","",N(INDEX(成本费用登记表!$Q$4:$Y$303,43,8)))</f>
        <v/>
      </c>
      <c r="I2238" s="70" t="str">
        <f aca="false">IF($E2238="","",N(INDEX(成本费用登记表!$Q$4:$Y$303,43,9)))</f>
        <v/>
      </c>
      <c r="J2238" s="67" t="str">
        <f aca="false">IF($E2238="","",INDEX(成本费用登记表!$C$4:$C$303,43))</f>
        <v/>
      </c>
      <c r="K2238" s="67" t="str">
        <f aca="false">IF($E2238="","",INDEX(成本费用登记表!$D$4:$D$303,43))</f>
        <v/>
      </c>
      <c r="L2238" s="107" t="str">
        <f aca="false">IF($E2238="","",INDEX(成本费用登记表!$N$4:$N$303,43))</f>
        <v/>
      </c>
      <c r="M2238" s="107"/>
      <c r="N2238" s="67" t="str">
        <f aca="false">IF($E2238="","","系统")</f>
        <v/>
      </c>
      <c r="O2238" s="67" t="str">
        <f aca="false">IF($E2238="","","自动C")</f>
        <v/>
      </c>
      <c r="P2238" s="18"/>
    </row>
    <row r="2239" customFormat="false" ht="18" hidden="false" customHeight="true" outlineLevel="0" collapsed="false">
      <c r="A2239" s="107" t="str">
        <f aca="false">IF($E2239="","",ROW()-3)</f>
        <v/>
      </c>
      <c r="B2239" s="110" t="str">
        <f aca="false">IF($E2239="","",INDEX(成本费用登记表!$B$4:$B$303,44))</f>
        <v/>
      </c>
      <c r="C2239" s="67" t="str">
        <f aca="false">IF($E2239="","","记-"&amp;TEXT($B2239,"YYYYMM")&amp;"-费用")</f>
        <v/>
      </c>
      <c r="D2239" s="107" t="str">
        <f aca="false">IF($E2239="","",INDEX(成本费用登记表!$E$4:$E$303,44))</f>
        <v/>
      </c>
      <c r="E2239" s="67" t="str">
        <f aca="false">IF(INDEX(成本费用登记表!$Q$4:$Y$303,44,1)=0,"",INDEX(成本费用登记表!$Q$4:$Y$303,44,1))</f>
        <v/>
      </c>
      <c r="F2239" s="99" t="str">
        <f aca="false">IF($E2239="","",IFERROR(INDEX(科目表!$A$4:$A$81,MATCH($E2239,科目表!$B$4:$B$81,0)),""))</f>
        <v/>
      </c>
      <c r="G2239" s="67" t="str">
        <f aca="false">IF($E2239="","",IFERROR(INDEX(科目表!$E$4:$E$81,MATCH($E2239,科目表!$B$4:$B$81,0)),""))</f>
        <v/>
      </c>
      <c r="H2239" s="70" t="str">
        <f aca="false">IF($E2239="","",N(INDEX(成本费用登记表!$Q$4:$Y$303,44,2)))</f>
        <v/>
      </c>
      <c r="I2239" s="70" t="str">
        <f aca="false">IF($E2239="","",N(INDEX(成本费用登记表!$Q$4:$Y$303,44,3)))</f>
        <v/>
      </c>
      <c r="J2239" s="67" t="str">
        <f aca="false">IF($E2239="","",INDEX(成本费用登记表!$C$4:$C$303,44))</f>
        <v/>
      </c>
      <c r="K2239" s="67" t="str">
        <f aca="false">IF($E2239="","",INDEX(成本费用登记表!$D$4:$D$303,44))</f>
        <v/>
      </c>
      <c r="L2239" s="107" t="str">
        <f aca="false">IF($E2239="","",INDEX(成本费用登记表!$N$4:$N$303,44))</f>
        <v/>
      </c>
      <c r="M2239" s="107"/>
      <c r="N2239" s="67" t="str">
        <f aca="false">IF($E2239="","","系统")</f>
        <v/>
      </c>
      <c r="O2239" s="67" t="str">
        <f aca="false">IF($E2239="","","自动C")</f>
        <v/>
      </c>
      <c r="P2239" s="18"/>
    </row>
    <row r="2240" customFormat="false" ht="18" hidden="false" customHeight="true" outlineLevel="0" collapsed="false">
      <c r="A2240" s="107" t="str">
        <f aca="false">IF($E2240="","",ROW()-3)</f>
        <v/>
      </c>
      <c r="B2240" s="110" t="str">
        <f aca="false">IF($E2240="","",INDEX(成本费用登记表!$B$4:$B$303,44))</f>
        <v/>
      </c>
      <c r="C2240" s="67" t="str">
        <f aca="false">IF($E2240="","","记-"&amp;TEXT($B2240,"YYYYMM")&amp;"-费用")</f>
        <v/>
      </c>
      <c r="D2240" s="107" t="str">
        <f aca="false">IF($E2240="","",INDEX(成本费用登记表!$E$4:$E$303,44))</f>
        <v/>
      </c>
      <c r="E2240" s="67" t="str">
        <f aca="false">IF(INDEX(成本费用登记表!$Q$4:$Y$303,44,4)=0,"",INDEX(成本费用登记表!$Q$4:$Y$303,44,4))</f>
        <v/>
      </c>
      <c r="F2240" s="99" t="str">
        <f aca="false">IF($E2240="","",IFERROR(INDEX(科目表!$A$4:$A$81,MATCH($E2240,科目表!$B$4:$B$81,0)),""))</f>
        <v/>
      </c>
      <c r="G2240" s="67" t="str">
        <f aca="false">IF($E2240="","",IFERROR(INDEX(科目表!$E$4:$E$81,MATCH($E2240,科目表!$B$4:$B$81,0)),""))</f>
        <v/>
      </c>
      <c r="H2240" s="70" t="str">
        <f aca="false">IF($E2240="","",N(INDEX(成本费用登记表!$Q$4:$Y$303,44,5)))</f>
        <v/>
      </c>
      <c r="I2240" s="70" t="str">
        <f aca="false">IF($E2240="","",N(INDEX(成本费用登记表!$Q$4:$Y$303,44,6)))</f>
        <v/>
      </c>
      <c r="J2240" s="67" t="str">
        <f aca="false">IF($E2240="","",INDEX(成本费用登记表!$C$4:$C$303,44))</f>
        <v/>
      </c>
      <c r="K2240" s="67" t="str">
        <f aca="false">IF($E2240="","",INDEX(成本费用登记表!$D$4:$D$303,44))</f>
        <v/>
      </c>
      <c r="L2240" s="107" t="str">
        <f aca="false">IF($E2240="","",INDEX(成本费用登记表!$N$4:$N$303,44))</f>
        <v/>
      </c>
      <c r="M2240" s="107"/>
      <c r="N2240" s="67" t="str">
        <f aca="false">IF($E2240="","","系统")</f>
        <v/>
      </c>
      <c r="O2240" s="67" t="str">
        <f aca="false">IF($E2240="","","自动C")</f>
        <v/>
      </c>
      <c r="P2240" s="18"/>
    </row>
    <row r="2241" customFormat="false" ht="18" hidden="false" customHeight="true" outlineLevel="0" collapsed="false">
      <c r="A2241" s="107" t="str">
        <f aca="false">IF($E2241="","",ROW()-3)</f>
        <v/>
      </c>
      <c r="B2241" s="110" t="str">
        <f aca="false">IF($E2241="","",INDEX(成本费用登记表!$B$4:$B$303,44))</f>
        <v/>
      </c>
      <c r="C2241" s="67" t="str">
        <f aca="false">IF($E2241="","","记-"&amp;TEXT($B2241,"YYYYMM")&amp;"-费用")</f>
        <v/>
      </c>
      <c r="D2241" s="107" t="str">
        <f aca="false">IF($E2241="","",INDEX(成本费用登记表!$E$4:$E$303,44))</f>
        <v/>
      </c>
      <c r="E2241" s="67" t="str">
        <f aca="false">IF(INDEX(成本费用登记表!$Q$4:$Y$303,44,7)=0,"",INDEX(成本费用登记表!$Q$4:$Y$303,44,7))</f>
        <v/>
      </c>
      <c r="F2241" s="99" t="str">
        <f aca="false">IF($E2241="","",IFERROR(INDEX(科目表!$A$4:$A$81,MATCH($E2241,科目表!$B$4:$B$81,0)),""))</f>
        <v/>
      </c>
      <c r="G2241" s="67" t="str">
        <f aca="false">IF($E2241="","",IFERROR(INDEX(科目表!$E$4:$E$81,MATCH($E2241,科目表!$B$4:$B$81,0)),""))</f>
        <v/>
      </c>
      <c r="H2241" s="70" t="str">
        <f aca="false">IF($E2241="","",N(INDEX(成本费用登记表!$Q$4:$Y$303,44,8)))</f>
        <v/>
      </c>
      <c r="I2241" s="70" t="str">
        <f aca="false">IF($E2241="","",N(INDEX(成本费用登记表!$Q$4:$Y$303,44,9)))</f>
        <v/>
      </c>
      <c r="J2241" s="67" t="str">
        <f aca="false">IF($E2241="","",INDEX(成本费用登记表!$C$4:$C$303,44))</f>
        <v/>
      </c>
      <c r="K2241" s="67" t="str">
        <f aca="false">IF($E2241="","",INDEX(成本费用登记表!$D$4:$D$303,44))</f>
        <v/>
      </c>
      <c r="L2241" s="107" t="str">
        <f aca="false">IF($E2241="","",INDEX(成本费用登记表!$N$4:$N$303,44))</f>
        <v/>
      </c>
      <c r="M2241" s="107"/>
      <c r="N2241" s="67" t="str">
        <f aca="false">IF($E2241="","","系统")</f>
        <v/>
      </c>
      <c r="O2241" s="67" t="str">
        <f aca="false">IF($E2241="","","自动C")</f>
        <v/>
      </c>
      <c r="P2241" s="18"/>
    </row>
    <row r="2242" customFormat="false" ht="18" hidden="false" customHeight="true" outlineLevel="0" collapsed="false">
      <c r="A2242" s="107" t="str">
        <f aca="false">IF($E2242="","",ROW()-3)</f>
        <v/>
      </c>
      <c r="B2242" s="110" t="str">
        <f aca="false">IF($E2242="","",INDEX(成本费用登记表!$B$4:$B$303,45))</f>
        <v/>
      </c>
      <c r="C2242" s="67" t="str">
        <f aca="false">IF($E2242="","","记-"&amp;TEXT($B2242,"YYYYMM")&amp;"-费用")</f>
        <v/>
      </c>
      <c r="D2242" s="107" t="str">
        <f aca="false">IF($E2242="","",INDEX(成本费用登记表!$E$4:$E$303,45))</f>
        <v/>
      </c>
      <c r="E2242" s="67" t="str">
        <f aca="false">IF(INDEX(成本费用登记表!$Q$4:$Y$303,45,1)=0,"",INDEX(成本费用登记表!$Q$4:$Y$303,45,1))</f>
        <v/>
      </c>
      <c r="F2242" s="99" t="str">
        <f aca="false">IF($E2242="","",IFERROR(INDEX(科目表!$A$4:$A$81,MATCH($E2242,科目表!$B$4:$B$81,0)),""))</f>
        <v/>
      </c>
      <c r="G2242" s="67" t="str">
        <f aca="false">IF($E2242="","",IFERROR(INDEX(科目表!$E$4:$E$81,MATCH($E2242,科目表!$B$4:$B$81,0)),""))</f>
        <v/>
      </c>
      <c r="H2242" s="70" t="str">
        <f aca="false">IF($E2242="","",N(INDEX(成本费用登记表!$Q$4:$Y$303,45,2)))</f>
        <v/>
      </c>
      <c r="I2242" s="70" t="str">
        <f aca="false">IF($E2242="","",N(INDEX(成本费用登记表!$Q$4:$Y$303,45,3)))</f>
        <v/>
      </c>
      <c r="J2242" s="67" t="str">
        <f aca="false">IF($E2242="","",INDEX(成本费用登记表!$C$4:$C$303,45))</f>
        <v/>
      </c>
      <c r="K2242" s="67" t="str">
        <f aca="false">IF($E2242="","",INDEX(成本费用登记表!$D$4:$D$303,45))</f>
        <v/>
      </c>
      <c r="L2242" s="107" t="str">
        <f aca="false">IF($E2242="","",INDEX(成本费用登记表!$N$4:$N$303,45))</f>
        <v/>
      </c>
      <c r="M2242" s="107"/>
      <c r="N2242" s="67" t="str">
        <f aca="false">IF($E2242="","","系统")</f>
        <v/>
      </c>
      <c r="O2242" s="67" t="str">
        <f aca="false">IF($E2242="","","自动C")</f>
        <v/>
      </c>
      <c r="P2242" s="18"/>
    </row>
    <row r="2243" customFormat="false" ht="18" hidden="false" customHeight="true" outlineLevel="0" collapsed="false">
      <c r="A2243" s="107" t="str">
        <f aca="false">IF($E2243="","",ROW()-3)</f>
        <v/>
      </c>
      <c r="B2243" s="110" t="str">
        <f aca="false">IF($E2243="","",INDEX(成本费用登记表!$B$4:$B$303,45))</f>
        <v/>
      </c>
      <c r="C2243" s="67" t="str">
        <f aca="false">IF($E2243="","","记-"&amp;TEXT($B2243,"YYYYMM")&amp;"-费用")</f>
        <v/>
      </c>
      <c r="D2243" s="107" t="str">
        <f aca="false">IF($E2243="","",INDEX(成本费用登记表!$E$4:$E$303,45))</f>
        <v/>
      </c>
      <c r="E2243" s="67" t="str">
        <f aca="false">IF(INDEX(成本费用登记表!$Q$4:$Y$303,45,4)=0,"",INDEX(成本费用登记表!$Q$4:$Y$303,45,4))</f>
        <v/>
      </c>
      <c r="F2243" s="99" t="str">
        <f aca="false">IF($E2243="","",IFERROR(INDEX(科目表!$A$4:$A$81,MATCH($E2243,科目表!$B$4:$B$81,0)),""))</f>
        <v/>
      </c>
      <c r="G2243" s="67" t="str">
        <f aca="false">IF($E2243="","",IFERROR(INDEX(科目表!$E$4:$E$81,MATCH($E2243,科目表!$B$4:$B$81,0)),""))</f>
        <v/>
      </c>
      <c r="H2243" s="70" t="str">
        <f aca="false">IF($E2243="","",N(INDEX(成本费用登记表!$Q$4:$Y$303,45,5)))</f>
        <v/>
      </c>
      <c r="I2243" s="70" t="str">
        <f aca="false">IF($E2243="","",N(INDEX(成本费用登记表!$Q$4:$Y$303,45,6)))</f>
        <v/>
      </c>
      <c r="J2243" s="67" t="str">
        <f aca="false">IF($E2243="","",INDEX(成本费用登记表!$C$4:$C$303,45))</f>
        <v/>
      </c>
      <c r="K2243" s="67" t="str">
        <f aca="false">IF($E2243="","",INDEX(成本费用登记表!$D$4:$D$303,45))</f>
        <v/>
      </c>
      <c r="L2243" s="107" t="str">
        <f aca="false">IF($E2243="","",INDEX(成本费用登记表!$N$4:$N$303,45))</f>
        <v/>
      </c>
      <c r="M2243" s="107"/>
      <c r="N2243" s="67" t="str">
        <f aca="false">IF($E2243="","","系统")</f>
        <v/>
      </c>
      <c r="O2243" s="67" t="str">
        <f aca="false">IF($E2243="","","自动C")</f>
        <v/>
      </c>
      <c r="P2243" s="18"/>
    </row>
    <row r="2244" customFormat="false" ht="18" hidden="false" customHeight="true" outlineLevel="0" collapsed="false">
      <c r="A2244" s="107" t="str">
        <f aca="false">IF($E2244="","",ROW()-3)</f>
        <v/>
      </c>
      <c r="B2244" s="110" t="str">
        <f aca="false">IF($E2244="","",INDEX(成本费用登记表!$B$4:$B$303,45))</f>
        <v/>
      </c>
      <c r="C2244" s="67" t="str">
        <f aca="false">IF($E2244="","","记-"&amp;TEXT($B2244,"YYYYMM")&amp;"-费用")</f>
        <v/>
      </c>
      <c r="D2244" s="107" t="str">
        <f aca="false">IF($E2244="","",INDEX(成本费用登记表!$E$4:$E$303,45))</f>
        <v/>
      </c>
      <c r="E2244" s="67" t="str">
        <f aca="false">IF(INDEX(成本费用登记表!$Q$4:$Y$303,45,7)=0,"",INDEX(成本费用登记表!$Q$4:$Y$303,45,7))</f>
        <v/>
      </c>
      <c r="F2244" s="99" t="str">
        <f aca="false">IF($E2244="","",IFERROR(INDEX(科目表!$A$4:$A$81,MATCH($E2244,科目表!$B$4:$B$81,0)),""))</f>
        <v/>
      </c>
      <c r="G2244" s="67" t="str">
        <f aca="false">IF($E2244="","",IFERROR(INDEX(科目表!$E$4:$E$81,MATCH($E2244,科目表!$B$4:$B$81,0)),""))</f>
        <v/>
      </c>
      <c r="H2244" s="70" t="str">
        <f aca="false">IF($E2244="","",N(INDEX(成本费用登记表!$Q$4:$Y$303,45,8)))</f>
        <v/>
      </c>
      <c r="I2244" s="70" t="str">
        <f aca="false">IF($E2244="","",N(INDEX(成本费用登记表!$Q$4:$Y$303,45,9)))</f>
        <v/>
      </c>
      <c r="J2244" s="67" t="str">
        <f aca="false">IF($E2244="","",INDEX(成本费用登记表!$C$4:$C$303,45))</f>
        <v/>
      </c>
      <c r="K2244" s="67" t="str">
        <f aca="false">IF($E2244="","",INDEX(成本费用登记表!$D$4:$D$303,45))</f>
        <v/>
      </c>
      <c r="L2244" s="107" t="str">
        <f aca="false">IF($E2244="","",INDEX(成本费用登记表!$N$4:$N$303,45))</f>
        <v/>
      </c>
      <c r="M2244" s="107"/>
      <c r="N2244" s="67" t="str">
        <f aca="false">IF($E2244="","","系统")</f>
        <v/>
      </c>
      <c r="O2244" s="67" t="str">
        <f aca="false">IF($E2244="","","自动C")</f>
        <v/>
      </c>
      <c r="P2244" s="18"/>
    </row>
    <row r="2245" customFormat="false" ht="18" hidden="false" customHeight="true" outlineLevel="0" collapsed="false">
      <c r="A2245" s="107" t="str">
        <f aca="false">IF($E2245="","",ROW()-3)</f>
        <v/>
      </c>
      <c r="B2245" s="110" t="str">
        <f aca="false">IF($E2245="","",INDEX(成本费用登记表!$B$4:$B$303,46))</f>
        <v/>
      </c>
      <c r="C2245" s="67" t="str">
        <f aca="false">IF($E2245="","","记-"&amp;TEXT($B2245,"YYYYMM")&amp;"-费用")</f>
        <v/>
      </c>
      <c r="D2245" s="107" t="str">
        <f aca="false">IF($E2245="","",INDEX(成本费用登记表!$E$4:$E$303,46))</f>
        <v/>
      </c>
      <c r="E2245" s="67" t="str">
        <f aca="false">IF(INDEX(成本费用登记表!$Q$4:$Y$303,46,1)=0,"",INDEX(成本费用登记表!$Q$4:$Y$303,46,1))</f>
        <v/>
      </c>
      <c r="F2245" s="99" t="str">
        <f aca="false">IF($E2245="","",IFERROR(INDEX(科目表!$A$4:$A$81,MATCH($E2245,科目表!$B$4:$B$81,0)),""))</f>
        <v/>
      </c>
      <c r="G2245" s="67" t="str">
        <f aca="false">IF($E2245="","",IFERROR(INDEX(科目表!$E$4:$E$81,MATCH($E2245,科目表!$B$4:$B$81,0)),""))</f>
        <v/>
      </c>
      <c r="H2245" s="70" t="str">
        <f aca="false">IF($E2245="","",N(INDEX(成本费用登记表!$Q$4:$Y$303,46,2)))</f>
        <v/>
      </c>
      <c r="I2245" s="70" t="str">
        <f aca="false">IF($E2245="","",N(INDEX(成本费用登记表!$Q$4:$Y$303,46,3)))</f>
        <v/>
      </c>
      <c r="J2245" s="67" t="str">
        <f aca="false">IF($E2245="","",INDEX(成本费用登记表!$C$4:$C$303,46))</f>
        <v/>
      </c>
      <c r="K2245" s="67" t="str">
        <f aca="false">IF($E2245="","",INDEX(成本费用登记表!$D$4:$D$303,46))</f>
        <v/>
      </c>
      <c r="L2245" s="107" t="str">
        <f aca="false">IF($E2245="","",INDEX(成本费用登记表!$N$4:$N$303,46))</f>
        <v/>
      </c>
      <c r="M2245" s="107"/>
      <c r="N2245" s="67" t="str">
        <f aca="false">IF($E2245="","","系统")</f>
        <v/>
      </c>
      <c r="O2245" s="67" t="str">
        <f aca="false">IF($E2245="","","自动C")</f>
        <v/>
      </c>
      <c r="P2245" s="18"/>
    </row>
    <row r="2246" customFormat="false" ht="18" hidden="false" customHeight="true" outlineLevel="0" collapsed="false">
      <c r="A2246" s="107" t="str">
        <f aca="false">IF($E2246="","",ROW()-3)</f>
        <v/>
      </c>
      <c r="B2246" s="110" t="str">
        <f aca="false">IF($E2246="","",INDEX(成本费用登记表!$B$4:$B$303,46))</f>
        <v/>
      </c>
      <c r="C2246" s="67" t="str">
        <f aca="false">IF($E2246="","","记-"&amp;TEXT($B2246,"YYYYMM")&amp;"-费用")</f>
        <v/>
      </c>
      <c r="D2246" s="107" t="str">
        <f aca="false">IF($E2246="","",INDEX(成本费用登记表!$E$4:$E$303,46))</f>
        <v/>
      </c>
      <c r="E2246" s="67" t="str">
        <f aca="false">IF(INDEX(成本费用登记表!$Q$4:$Y$303,46,4)=0,"",INDEX(成本费用登记表!$Q$4:$Y$303,46,4))</f>
        <v/>
      </c>
      <c r="F2246" s="99" t="str">
        <f aca="false">IF($E2246="","",IFERROR(INDEX(科目表!$A$4:$A$81,MATCH($E2246,科目表!$B$4:$B$81,0)),""))</f>
        <v/>
      </c>
      <c r="G2246" s="67" t="str">
        <f aca="false">IF($E2246="","",IFERROR(INDEX(科目表!$E$4:$E$81,MATCH($E2246,科目表!$B$4:$B$81,0)),""))</f>
        <v/>
      </c>
      <c r="H2246" s="70" t="str">
        <f aca="false">IF($E2246="","",N(INDEX(成本费用登记表!$Q$4:$Y$303,46,5)))</f>
        <v/>
      </c>
      <c r="I2246" s="70" t="str">
        <f aca="false">IF($E2246="","",N(INDEX(成本费用登记表!$Q$4:$Y$303,46,6)))</f>
        <v/>
      </c>
      <c r="J2246" s="67" t="str">
        <f aca="false">IF($E2246="","",INDEX(成本费用登记表!$C$4:$C$303,46))</f>
        <v/>
      </c>
      <c r="K2246" s="67" t="str">
        <f aca="false">IF($E2246="","",INDEX(成本费用登记表!$D$4:$D$303,46))</f>
        <v/>
      </c>
      <c r="L2246" s="107" t="str">
        <f aca="false">IF($E2246="","",INDEX(成本费用登记表!$N$4:$N$303,46))</f>
        <v/>
      </c>
      <c r="M2246" s="107"/>
      <c r="N2246" s="67" t="str">
        <f aca="false">IF($E2246="","","系统")</f>
        <v/>
      </c>
      <c r="O2246" s="67" t="str">
        <f aca="false">IF($E2246="","","自动C")</f>
        <v/>
      </c>
      <c r="P2246" s="18"/>
    </row>
    <row r="2247" customFormat="false" ht="18" hidden="false" customHeight="true" outlineLevel="0" collapsed="false">
      <c r="A2247" s="107" t="str">
        <f aca="false">IF($E2247="","",ROW()-3)</f>
        <v/>
      </c>
      <c r="B2247" s="110" t="str">
        <f aca="false">IF($E2247="","",INDEX(成本费用登记表!$B$4:$B$303,46))</f>
        <v/>
      </c>
      <c r="C2247" s="67" t="str">
        <f aca="false">IF($E2247="","","记-"&amp;TEXT($B2247,"YYYYMM")&amp;"-费用")</f>
        <v/>
      </c>
      <c r="D2247" s="107" t="str">
        <f aca="false">IF($E2247="","",INDEX(成本费用登记表!$E$4:$E$303,46))</f>
        <v/>
      </c>
      <c r="E2247" s="67" t="str">
        <f aca="false">IF(INDEX(成本费用登记表!$Q$4:$Y$303,46,7)=0,"",INDEX(成本费用登记表!$Q$4:$Y$303,46,7))</f>
        <v/>
      </c>
      <c r="F2247" s="99" t="str">
        <f aca="false">IF($E2247="","",IFERROR(INDEX(科目表!$A$4:$A$81,MATCH($E2247,科目表!$B$4:$B$81,0)),""))</f>
        <v/>
      </c>
      <c r="G2247" s="67" t="str">
        <f aca="false">IF($E2247="","",IFERROR(INDEX(科目表!$E$4:$E$81,MATCH($E2247,科目表!$B$4:$B$81,0)),""))</f>
        <v/>
      </c>
      <c r="H2247" s="70" t="str">
        <f aca="false">IF($E2247="","",N(INDEX(成本费用登记表!$Q$4:$Y$303,46,8)))</f>
        <v/>
      </c>
      <c r="I2247" s="70" t="str">
        <f aca="false">IF($E2247="","",N(INDEX(成本费用登记表!$Q$4:$Y$303,46,9)))</f>
        <v/>
      </c>
      <c r="J2247" s="67" t="str">
        <f aca="false">IF($E2247="","",INDEX(成本费用登记表!$C$4:$C$303,46))</f>
        <v/>
      </c>
      <c r="K2247" s="67" t="str">
        <f aca="false">IF($E2247="","",INDEX(成本费用登记表!$D$4:$D$303,46))</f>
        <v/>
      </c>
      <c r="L2247" s="107" t="str">
        <f aca="false">IF($E2247="","",INDEX(成本费用登记表!$N$4:$N$303,46))</f>
        <v/>
      </c>
      <c r="M2247" s="107"/>
      <c r="N2247" s="67" t="str">
        <f aca="false">IF($E2247="","","系统")</f>
        <v/>
      </c>
      <c r="O2247" s="67" t="str">
        <f aca="false">IF($E2247="","","自动C")</f>
        <v/>
      </c>
      <c r="P2247" s="18"/>
    </row>
    <row r="2248" customFormat="false" ht="18" hidden="false" customHeight="true" outlineLevel="0" collapsed="false">
      <c r="A2248" s="107" t="str">
        <f aca="false">IF($E2248="","",ROW()-3)</f>
        <v/>
      </c>
      <c r="B2248" s="110" t="str">
        <f aca="false">IF($E2248="","",INDEX(成本费用登记表!$B$4:$B$303,47))</f>
        <v/>
      </c>
      <c r="C2248" s="67" t="str">
        <f aca="false">IF($E2248="","","记-"&amp;TEXT($B2248,"YYYYMM")&amp;"-费用")</f>
        <v/>
      </c>
      <c r="D2248" s="107" t="str">
        <f aca="false">IF($E2248="","",INDEX(成本费用登记表!$E$4:$E$303,47))</f>
        <v/>
      </c>
      <c r="E2248" s="67" t="str">
        <f aca="false">IF(INDEX(成本费用登记表!$Q$4:$Y$303,47,1)=0,"",INDEX(成本费用登记表!$Q$4:$Y$303,47,1))</f>
        <v/>
      </c>
      <c r="F2248" s="99" t="str">
        <f aca="false">IF($E2248="","",IFERROR(INDEX(科目表!$A$4:$A$81,MATCH($E2248,科目表!$B$4:$B$81,0)),""))</f>
        <v/>
      </c>
      <c r="G2248" s="67" t="str">
        <f aca="false">IF($E2248="","",IFERROR(INDEX(科目表!$E$4:$E$81,MATCH($E2248,科目表!$B$4:$B$81,0)),""))</f>
        <v/>
      </c>
      <c r="H2248" s="70" t="str">
        <f aca="false">IF($E2248="","",N(INDEX(成本费用登记表!$Q$4:$Y$303,47,2)))</f>
        <v/>
      </c>
      <c r="I2248" s="70" t="str">
        <f aca="false">IF($E2248="","",N(INDEX(成本费用登记表!$Q$4:$Y$303,47,3)))</f>
        <v/>
      </c>
      <c r="J2248" s="67" t="str">
        <f aca="false">IF($E2248="","",INDEX(成本费用登记表!$C$4:$C$303,47))</f>
        <v/>
      </c>
      <c r="K2248" s="67" t="str">
        <f aca="false">IF($E2248="","",INDEX(成本费用登记表!$D$4:$D$303,47))</f>
        <v/>
      </c>
      <c r="L2248" s="107" t="str">
        <f aca="false">IF($E2248="","",INDEX(成本费用登记表!$N$4:$N$303,47))</f>
        <v/>
      </c>
      <c r="M2248" s="107"/>
      <c r="N2248" s="67" t="str">
        <f aca="false">IF($E2248="","","系统")</f>
        <v/>
      </c>
      <c r="O2248" s="67" t="str">
        <f aca="false">IF($E2248="","","自动C")</f>
        <v/>
      </c>
      <c r="P2248" s="18"/>
    </row>
    <row r="2249" customFormat="false" ht="18" hidden="false" customHeight="true" outlineLevel="0" collapsed="false">
      <c r="A2249" s="107" t="str">
        <f aca="false">IF($E2249="","",ROW()-3)</f>
        <v/>
      </c>
      <c r="B2249" s="110" t="str">
        <f aca="false">IF($E2249="","",INDEX(成本费用登记表!$B$4:$B$303,47))</f>
        <v/>
      </c>
      <c r="C2249" s="67" t="str">
        <f aca="false">IF($E2249="","","记-"&amp;TEXT($B2249,"YYYYMM")&amp;"-费用")</f>
        <v/>
      </c>
      <c r="D2249" s="107" t="str">
        <f aca="false">IF($E2249="","",INDEX(成本费用登记表!$E$4:$E$303,47))</f>
        <v/>
      </c>
      <c r="E2249" s="67" t="str">
        <f aca="false">IF(INDEX(成本费用登记表!$Q$4:$Y$303,47,4)=0,"",INDEX(成本费用登记表!$Q$4:$Y$303,47,4))</f>
        <v/>
      </c>
      <c r="F2249" s="99" t="str">
        <f aca="false">IF($E2249="","",IFERROR(INDEX(科目表!$A$4:$A$81,MATCH($E2249,科目表!$B$4:$B$81,0)),""))</f>
        <v/>
      </c>
      <c r="G2249" s="67" t="str">
        <f aca="false">IF($E2249="","",IFERROR(INDEX(科目表!$E$4:$E$81,MATCH($E2249,科目表!$B$4:$B$81,0)),""))</f>
        <v/>
      </c>
      <c r="H2249" s="70" t="str">
        <f aca="false">IF($E2249="","",N(INDEX(成本费用登记表!$Q$4:$Y$303,47,5)))</f>
        <v/>
      </c>
      <c r="I2249" s="70" t="str">
        <f aca="false">IF($E2249="","",N(INDEX(成本费用登记表!$Q$4:$Y$303,47,6)))</f>
        <v/>
      </c>
      <c r="J2249" s="67" t="str">
        <f aca="false">IF($E2249="","",INDEX(成本费用登记表!$C$4:$C$303,47))</f>
        <v/>
      </c>
      <c r="K2249" s="67" t="str">
        <f aca="false">IF($E2249="","",INDEX(成本费用登记表!$D$4:$D$303,47))</f>
        <v/>
      </c>
      <c r="L2249" s="107" t="str">
        <f aca="false">IF($E2249="","",INDEX(成本费用登记表!$N$4:$N$303,47))</f>
        <v/>
      </c>
      <c r="M2249" s="107"/>
      <c r="N2249" s="67" t="str">
        <f aca="false">IF($E2249="","","系统")</f>
        <v/>
      </c>
      <c r="O2249" s="67" t="str">
        <f aca="false">IF($E2249="","","自动C")</f>
        <v/>
      </c>
      <c r="P2249" s="18"/>
    </row>
    <row r="2250" customFormat="false" ht="18" hidden="false" customHeight="true" outlineLevel="0" collapsed="false">
      <c r="A2250" s="107" t="str">
        <f aca="false">IF($E2250="","",ROW()-3)</f>
        <v/>
      </c>
      <c r="B2250" s="110" t="str">
        <f aca="false">IF($E2250="","",INDEX(成本费用登记表!$B$4:$B$303,47))</f>
        <v/>
      </c>
      <c r="C2250" s="67" t="str">
        <f aca="false">IF($E2250="","","记-"&amp;TEXT($B2250,"YYYYMM")&amp;"-费用")</f>
        <v/>
      </c>
      <c r="D2250" s="107" t="str">
        <f aca="false">IF($E2250="","",INDEX(成本费用登记表!$E$4:$E$303,47))</f>
        <v/>
      </c>
      <c r="E2250" s="67" t="str">
        <f aca="false">IF(INDEX(成本费用登记表!$Q$4:$Y$303,47,7)=0,"",INDEX(成本费用登记表!$Q$4:$Y$303,47,7))</f>
        <v/>
      </c>
      <c r="F2250" s="99" t="str">
        <f aca="false">IF($E2250="","",IFERROR(INDEX(科目表!$A$4:$A$81,MATCH($E2250,科目表!$B$4:$B$81,0)),""))</f>
        <v/>
      </c>
      <c r="G2250" s="67" t="str">
        <f aca="false">IF($E2250="","",IFERROR(INDEX(科目表!$E$4:$E$81,MATCH($E2250,科目表!$B$4:$B$81,0)),""))</f>
        <v/>
      </c>
      <c r="H2250" s="70" t="str">
        <f aca="false">IF($E2250="","",N(INDEX(成本费用登记表!$Q$4:$Y$303,47,8)))</f>
        <v/>
      </c>
      <c r="I2250" s="70" t="str">
        <f aca="false">IF($E2250="","",N(INDEX(成本费用登记表!$Q$4:$Y$303,47,9)))</f>
        <v/>
      </c>
      <c r="J2250" s="67" t="str">
        <f aca="false">IF($E2250="","",INDEX(成本费用登记表!$C$4:$C$303,47))</f>
        <v/>
      </c>
      <c r="K2250" s="67" t="str">
        <f aca="false">IF($E2250="","",INDEX(成本费用登记表!$D$4:$D$303,47))</f>
        <v/>
      </c>
      <c r="L2250" s="107" t="str">
        <f aca="false">IF($E2250="","",INDEX(成本费用登记表!$N$4:$N$303,47))</f>
        <v/>
      </c>
      <c r="M2250" s="107"/>
      <c r="N2250" s="67" t="str">
        <f aca="false">IF($E2250="","","系统")</f>
        <v/>
      </c>
      <c r="O2250" s="67" t="str">
        <f aca="false">IF($E2250="","","自动C")</f>
        <v/>
      </c>
      <c r="P2250" s="18"/>
    </row>
    <row r="2251" customFormat="false" ht="18" hidden="false" customHeight="true" outlineLevel="0" collapsed="false">
      <c r="A2251" s="107" t="str">
        <f aca="false">IF($E2251="","",ROW()-3)</f>
        <v/>
      </c>
      <c r="B2251" s="110" t="str">
        <f aca="false">IF($E2251="","",INDEX(成本费用登记表!$B$4:$B$303,48))</f>
        <v/>
      </c>
      <c r="C2251" s="67" t="str">
        <f aca="false">IF($E2251="","","记-"&amp;TEXT($B2251,"YYYYMM")&amp;"-费用")</f>
        <v/>
      </c>
      <c r="D2251" s="107" t="str">
        <f aca="false">IF($E2251="","",INDEX(成本费用登记表!$E$4:$E$303,48))</f>
        <v/>
      </c>
      <c r="E2251" s="67" t="str">
        <f aca="false">IF(INDEX(成本费用登记表!$Q$4:$Y$303,48,1)=0,"",INDEX(成本费用登记表!$Q$4:$Y$303,48,1))</f>
        <v/>
      </c>
      <c r="F2251" s="99" t="str">
        <f aca="false">IF($E2251="","",IFERROR(INDEX(科目表!$A$4:$A$81,MATCH($E2251,科目表!$B$4:$B$81,0)),""))</f>
        <v/>
      </c>
      <c r="G2251" s="67" t="str">
        <f aca="false">IF($E2251="","",IFERROR(INDEX(科目表!$E$4:$E$81,MATCH($E2251,科目表!$B$4:$B$81,0)),""))</f>
        <v/>
      </c>
      <c r="H2251" s="70" t="str">
        <f aca="false">IF($E2251="","",N(INDEX(成本费用登记表!$Q$4:$Y$303,48,2)))</f>
        <v/>
      </c>
      <c r="I2251" s="70" t="str">
        <f aca="false">IF($E2251="","",N(INDEX(成本费用登记表!$Q$4:$Y$303,48,3)))</f>
        <v/>
      </c>
      <c r="J2251" s="67" t="str">
        <f aca="false">IF($E2251="","",INDEX(成本费用登记表!$C$4:$C$303,48))</f>
        <v/>
      </c>
      <c r="K2251" s="67" t="str">
        <f aca="false">IF($E2251="","",INDEX(成本费用登记表!$D$4:$D$303,48))</f>
        <v/>
      </c>
      <c r="L2251" s="107" t="str">
        <f aca="false">IF($E2251="","",INDEX(成本费用登记表!$N$4:$N$303,48))</f>
        <v/>
      </c>
      <c r="M2251" s="107"/>
      <c r="N2251" s="67" t="str">
        <f aca="false">IF($E2251="","","系统")</f>
        <v/>
      </c>
      <c r="O2251" s="67" t="str">
        <f aca="false">IF($E2251="","","自动C")</f>
        <v/>
      </c>
      <c r="P2251" s="18"/>
    </row>
    <row r="2252" customFormat="false" ht="18" hidden="false" customHeight="true" outlineLevel="0" collapsed="false">
      <c r="A2252" s="107" t="str">
        <f aca="false">IF($E2252="","",ROW()-3)</f>
        <v/>
      </c>
      <c r="B2252" s="110" t="str">
        <f aca="false">IF($E2252="","",INDEX(成本费用登记表!$B$4:$B$303,48))</f>
        <v/>
      </c>
      <c r="C2252" s="67" t="str">
        <f aca="false">IF($E2252="","","记-"&amp;TEXT($B2252,"YYYYMM")&amp;"-费用")</f>
        <v/>
      </c>
      <c r="D2252" s="107" t="str">
        <f aca="false">IF($E2252="","",INDEX(成本费用登记表!$E$4:$E$303,48))</f>
        <v/>
      </c>
      <c r="E2252" s="67" t="str">
        <f aca="false">IF(INDEX(成本费用登记表!$Q$4:$Y$303,48,4)=0,"",INDEX(成本费用登记表!$Q$4:$Y$303,48,4))</f>
        <v/>
      </c>
      <c r="F2252" s="99" t="str">
        <f aca="false">IF($E2252="","",IFERROR(INDEX(科目表!$A$4:$A$81,MATCH($E2252,科目表!$B$4:$B$81,0)),""))</f>
        <v/>
      </c>
      <c r="G2252" s="67" t="str">
        <f aca="false">IF($E2252="","",IFERROR(INDEX(科目表!$E$4:$E$81,MATCH($E2252,科目表!$B$4:$B$81,0)),""))</f>
        <v/>
      </c>
      <c r="H2252" s="70" t="str">
        <f aca="false">IF($E2252="","",N(INDEX(成本费用登记表!$Q$4:$Y$303,48,5)))</f>
        <v/>
      </c>
      <c r="I2252" s="70" t="str">
        <f aca="false">IF($E2252="","",N(INDEX(成本费用登记表!$Q$4:$Y$303,48,6)))</f>
        <v/>
      </c>
      <c r="J2252" s="67" t="str">
        <f aca="false">IF($E2252="","",INDEX(成本费用登记表!$C$4:$C$303,48))</f>
        <v/>
      </c>
      <c r="K2252" s="67" t="str">
        <f aca="false">IF($E2252="","",INDEX(成本费用登记表!$D$4:$D$303,48))</f>
        <v/>
      </c>
      <c r="L2252" s="107" t="str">
        <f aca="false">IF($E2252="","",INDEX(成本费用登记表!$N$4:$N$303,48))</f>
        <v/>
      </c>
      <c r="M2252" s="107"/>
      <c r="N2252" s="67" t="str">
        <f aca="false">IF($E2252="","","系统")</f>
        <v/>
      </c>
      <c r="O2252" s="67" t="str">
        <f aca="false">IF($E2252="","","自动C")</f>
        <v/>
      </c>
      <c r="P2252" s="18"/>
    </row>
    <row r="2253" customFormat="false" ht="18" hidden="false" customHeight="true" outlineLevel="0" collapsed="false">
      <c r="A2253" s="107" t="str">
        <f aca="false">IF($E2253="","",ROW()-3)</f>
        <v/>
      </c>
      <c r="B2253" s="110" t="str">
        <f aca="false">IF($E2253="","",INDEX(成本费用登记表!$B$4:$B$303,48))</f>
        <v/>
      </c>
      <c r="C2253" s="67" t="str">
        <f aca="false">IF($E2253="","","记-"&amp;TEXT($B2253,"YYYYMM")&amp;"-费用")</f>
        <v/>
      </c>
      <c r="D2253" s="107" t="str">
        <f aca="false">IF($E2253="","",INDEX(成本费用登记表!$E$4:$E$303,48))</f>
        <v/>
      </c>
      <c r="E2253" s="67" t="str">
        <f aca="false">IF(INDEX(成本费用登记表!$Q$4:$Y$303,48,7)=0,"",INDEX(成本费用登记表!$Q$4:$Y$303,48,7))</f>
        <v/>
      </c>
      <c r="F2253" s="99" t="str">
        <f aca="false">IF($E2253="","",IFERROR(INDEX(科目表!$A$4:$A$81,MATCH($E2253,科目表!$B$4:$B$81,0)),""))</f>
        <v/>
      </c>
      <c r="G2253" s="67" t="str">
        <f aca="false">IF($E2253="","",IFERROR(INDEX(科目表!$E$4:$E$81,MATCH($E2253,科目表!$B$4:$B$81,0)),""))</f>
        <v/>
      </c>
      <c r="H2253" s="70" t="str">
        <f aca="false">IF($E2253="","",N(INDEX(成本费用登记表!$Q$4:$Y$303,48,8)))</f>
        <v/>
      </c>
      <c r="I2253" s="70" t="str">
        <f aca="false">IF($E2253="","",N(INDEX(成本费用登记表!$Q$4:$Y$303,48,9)))</f>
        <v/>
      </c>
      <c r="J2253" s="67" t="str">
        <f aca="false">IF($E2253="","",INDEX(成本费用登记表!$C$4:$C$303,48))</f>
        <v/>
      </c>
      <c r="K2253" s="67" t="str">
        <f aca="false">IF($E2253="","",INDEX(成本费用登记表!$D$4:$D$303,48))</f>
        <v/>
      </c>
      <c r="L2253" s="107" t="str">
        <f aca="false">IF($E2253="","",INDEX(成本费用登记表!$N$4:$N$303,48))</f>
        <v/>
      </c>
      <c r="M2253" s="107"/>
      <c r="N2253" s="67" t="str">
        <f aca="false">IF($E2253="","","系统")</f>
        <v/>
      </c>
      <c r="O2253" s="67" t="str">
        <f aca="false">IF($E2253="","","自动C")</f>
        <v/>
      </c>
      <c r="P2253" s="18"/>
    </row>
    <row r="2254" customFormat="false" ht="18" hidden="false" customHeight="true" outlineLevel="0" collapsed="false">
      <c r="A2254" s="107" t="str">
        <f aca="false">IF($E2254="","",ROW()-3)</f>
        <v/>
      </c>
      <c r="B2254" s="110" t="str">
        <f aca="false">IF($E2254="","",INDEX(成本费用登记表!$B$4:$B$303,49))</f>
        <v/>
      </c>
      <c r="C2254" s="67" t="str">
        <f aca="false">IF($E2254="","","记-"&amp;TEXT($B2254,"YYYYMM")&amp;"-费用")</f>
        <v/>
      </c>
      <c r="D2254" s="107" t="str">
        <f aca="false">IF($E2254="","",INDEX(成本费用登记表!$E$4:$E$303,49))</f>
        <v/>
      </c>
      <c r="E2254" s="67" t="str">
        <f aca="false">IF(INDEX(成本费用登记表!$Q$4:$Y$303,49,1)=0,"",INDEX(成本费用登记表!$Q$4:$Y$303,49,1))</f>
        <v/>
      </c>
      <c r="F2254" s="99" t="str">
        <f aca="false">IF($E2254="","",IFERROR(INDEX(科目表!$A$4:$A$81,MATCH($E2254,科目表!$B$4:$B$81,0)),""))</f>
        <v/>
      </c>
      <c r="G2254" s="67" t="str">
        <f aca="false">IF($E2254="","",IFERROR(INDEX(科目表!$E$4:$E$81,MATCH($E2254,科目表!$B$4:$B$81,0)),""))</f>
        <v/>
      </c>
      <c r="H2254" s="70" t="str">
        <f aca="false">IF($E2254="","",N(INDEX(成本费用登记表!$Q$4:$Y$303,49,2)))</f>
        <v/>
      </c>
      <c r="I2254" s="70" t="str">
        <f aca="false">IF($E2254="","",N(INDEX(成本费用登记表!$Q$4:$Y$303,49,3)))</f>
        <v/>
      </c>
      <c r="J2254" s="67" t="str">
        <f aca="false">IF($E2254="","",INDEX(成本费用登记表!$C$4:$C$303,49))</f>
        <v/>
      </c>
      <c r="K2254" s="67" t="str">
        <f aca="false">IF($E2254="","",INDEX(成本费用登记表!$D$4:$D$303,49))</f>
        <v/>
      </c>
      <c r="L2254" s="107" t="str">
        <f aca="false">IF($E2254="","",INDEX(成本费用登记表!$N$4:$N$303,49))</f>
        <v/>
      </c>
      <c r="M2254" s="107"/>
      <c r="N2254" s="67" t="str">
        <f aca="false">IF($E2254="","","系统")</f>
        <v/>
      </c>
      <c r="O2254" s="67" t="str">
        <f aca="false">IF($E2254="","","自动C")</f>
        <v/>
      </c>
      <c r="P2254" s="18"/>
    </row>
    <row r="2255" customFormat="false" ht="18" hidden="false" customHeight="true" outlineLevel="0" collapsed="false">
      <c r="A2255" s="107" t="str">
        <f aca="false">IF($E2255="","",ROW()-3)</f>
        <v/>
      </c>
      <c r="B2255" s="110" t="str">
        <f aca="false">IF($E2255="","",INDEX(成本费用登记表!$B$4:$B$303,49))</f>
        <v/>
      </c>
      <c r="C2255" s="67" t="str">
        <f aca="false">IF($E2255="","","记-"&amp;TEXT($B2255,"YYYYMM")&amp;"-费用")</f>
        <v/>
      </c>
      <c r="D2255" s="107" t="str">
        <f aca="false">IF($E2255="","",INDEX(成本费用登记表!$E$4:$E$303,49))</f>
        <v/>
      </c>
      <c r="E2255" s="67" t="str">
        <f aca="false">IF(INDEX(成本费用登记表!$Q$4:$Y$303,49,4)=0,"",INDEX(成本费用登记表!$Q$4:$Y$303,49,4))</f>
        <v/>
      </c>
      <c r="F2255" s="99" t="str">
        <f aca="false">IF($E2255="","",IFERROR(INDEX(科目表!$A$4:$A$81,MATCH($E2255,科目表!$B$4:$B$81,0)),""))</f>
        <v/>
      </c>
      <c r="G2255" s="67" t="str">
        <f aca="false">IF($E2255="","",IFERROR(INDEX(科目表!$E$4:$E$81,MATCH($E2255,科目表!$B$4:$B$81,0)),""))</f>
        <v/>
      </c>
      <c r="H2255" s="70" t="str">
        <f aca="false">IF($E2255="","",N(INDEX(成本费用登记表!$Q$4:$Y$303,49,5)))</f>
        <v/>
      </c>
      <c r="I2255" s="70" t="str">
        <f aca="false">IF($E2255="","",N(INDEX(成本费用登记表!$Q$4:$Y$303,49,6)))</f>
        <v/>
      </c>
      <c r="J2255" s="67" t="str">
        <f aca="false">IF($E2255="","",INDEX(成本费用登记表!$C$4:$C$303,49))</f>
        <v/>
      </c>
      <c r="K2255" s="67" t="str">
        <f aca="false">IF($E2255="","",INDEX(成本费用登记表!$D$4:$D$303,49))</f>
        <v/>
      </c>
      <c r="L2255" s="107" t="str">
        <f aca="false">IF($E2255="","",INDEX(成本费用登记表!$N$4:$N$303,49))</f>
        <v/>
      </c>
      <c r="M2255" s="107"/>
      <c r="N2255" s="67" t="str">
        <f aca="false">IF($E2255="","","系统")</f>
        <v/>
      </c>
      <c r="O2255" s="67" t="str">
        <f aca="false">IF($E2255="","","自动C")</f>
        <v/>
      </c>
      <c r="P2255" s="18"/>
    </row>
    <row r="2256" customFormat="false" ht="18" hidden="false" customHeight="true" outlineLevel="0" collapsed="false">
      <c r="A2256" s="107" t="str">
        <f aca="false">IF($E2256="","",ROW()-3)</f>
        <v/>
      </c>
      <c r="B2256" s="110" t="str">
        <f aca="false">IF($E2256="","",INDEX(成本费用登记表!$B$4:$B$303,49))</f>
        <v/>
      </c>
      <c r="C2256" s="67" t="str">
        <f aca="false">IF($E2256="","","记-"&amp;TEXT($B2256,"YYYYMM")&amp;"-费用")</f>
        <v/>
      </c>
      <c r="D2256" s="107" t="str">
        <f aca="false">IF($E2256="","",INDEX(成本费用登记表!$E$4:$E$303,49))</f>
        <v/>
      </c>
      <c r="E2256" s="67" t="str">
        <f aca="false">IF(INDEX(成本费用登记表!$Q$4:$Y$303,49,7)=0,"",INDEX(成本费用登记表!$Q$4:$Y$303,49,7))</f>
        <v/>
      </c>
      <c r="F2256" s="99" t="str">
        <f aca="false">IF($E2256="","",IFERROR(INDEX(科目表!$A$4:$A$81,MATCH($E2256,科目表!$B$4:$B$81,0)),""))</f>
        <v/>
      </c>
      <c r="G2256" s="67" t="str">
        <f aca="false">IF($E2256="","",IFERROR(INDEX(科目表!$E$4:$E$81,MATCH($E2256,科目表!$B$4:$B$81,0)),""))</f>
        <v/>
      </c>
      <c r="H2256" s="70" t="str">
        <f aca="false">IF($E2256="","",N(INDEX(成本费用登记表!$Q$4:$Y$303,49,8)))</f>
        <v/>
      </c>
      <c r="I2256" s="70" t="str">
        <f aca="false">IF($E2256="","",N(INDEX(成本费用登记表!$Q$4:$Y$303,49,9)))</f>
        <v/>
      </c>
      <c r="J2256" s="67" t="str">
        <f aca="false">IF($E2256="","",INDEX(成本费用登记表!$C$4:$C$303,49))</f>
        <v/>
      </c>
      <c r="K2256" s="67" t="str">
        <f aca="false">IF($E2256="","",INDEX(成本费用登记表!$D$4:$D$303,49))</f>
        <v/>
      </c>
      <c r="L2256" s="107" t="str">
        <f aca="false">IF($E2256="","",INDEX(成本费用登记表!$N$4:$N$303,49))</f>
        <v/>
      </c>
      <c r="M2256" s="107"/>
      <c r="N2256" s="67" t="str">
        <f aca="false">IF($E2256="","","系统")</f>
        <v/>
      </c>
      <c r="O2256" s="67" t="str">
        <f aca="false">IF($E2256="","","自动C")</f>
        <v/>
      </c>
      <c r="P2256" s="18"/>
    </row>
    <row r="2257" customFormat="false" ht="18" hidden="false" customHeight="true" outlineLevel="0" collapsed="false">
      <c r="A2257" s="107" t="str">
        <f aca="false">IF($E2257="","",ROW()-3)</f>
        <v/>
      </c>
      <c r="B2257" s="110" t="str">
        <f aca="false">IF($E2257="","",INDEX(成本费用登记表!$B$4:$B$303,50))</f>
        <v/>
      </c>
      <c r="C2257" s="67" t="str">
        <f aca="false">IF($E2257="","","记-"&amp;TEXT($B2257,"YYYYMM")&amp;"-费用")</f>
        <v/>
      </c>
      <c r="D2257" s="107" t="str">
        <f aca="false">IF($E2257="","",INDEX(成本费用登记表!$E$4:$E$303,50))</f>
        <v/>
      </c>
      <c r="E2257" s="67" t="str">
        <f aca="false">IF(INDEX(成本费用登记表!$Q$4:$Y$303,50,1)=0,"",INDEX(成本费用登记表!$Q$4:$Y$303,50,1))</f>
        <v/>
      </c>
      <c r="F2257" s="99" t="str">
        <f aca="false">IF($E2257="","",IFERROR(INDEX(科目表!$A$4:$A$81,MATCH($E2257,科目表!$B$4:$B$81,0)),""))</f>
        <v/>
      </c>
      <c r="G2257" s="67" t="str">
        <f aca="false">IF($E2257="","",IFERROR(INDEX(科目表!$E$4:$E$81,MATCH($E2257,科目表!$B$4:$B$81,0)),""))</f>
        <v/>
      </c>
      <c r="H2257" s="70" t="str">
        <f aca="false">IF($E2257="","",N(INDEX(成本费用登记表!$Q$4:$Y$303,50,2)))</f>
        <v/>
      </c>
      <c r="I2257" s="70" t="str">
        <f aca="false">IF($E2257="","",N(INDEX(成本费用登记表!$Q$4:$Y$303,50,3)))</f>
        <v/>
      </c>
      <c r="J2257" s="67" t="str">
        <f aca="false">IF($E2257="","",INDEX(成本费用登记表!$C$4:$C$303,50))</f>
        <v/>
      </c>
      <c r="K2257" s="67" t="str">
        <f aca="false">IF($E2257="","",INDEX(成本费用登记表!$D$4:$D$303,50))</f>
        <v/>
      </c>
      <c r="L2257" s="107" t="str">
        <f aca="false">IF($E2257="","",INDEX(成本费用登记表!$N$4:$N$303,50))</f>
        <v/>
      </c>
      <c r="M2257" s="107"/>
      <c r="N2257" s="67" t="str">
        <f aca="false">IF($E2257="","","系统")</f>
        <v/>
      </c>
      <c r="O2257" s="67" t="str">
        <f aca="false">IF($E2257="","","自动C")</f>
        <v/>
      </c>
      <c r="P2257" s="18"/>
    </row>
    <row r="2258" customFormat="false" ht="18" hidden="false" customHeight="true" outlineLevel="0" collapsed="false">
      <c r="A2258" s="107" t="str">
        <f aca="false">IF($E2258="","",ROW()-3)</f>
        <v/>
      </c>
      <c r="B2258" s="110" t="str">
        <f aca="false">IF($E2258="","",INDEX(成本费用登记表!$B$4:$B$303,50))</f>
        <v/>
      </c>
      <c r="C2258" s="67" t="str">
        <f aca="false">IF($E2258="","","记-"&amp;TEXT($B2258,"YYYYMM")&amp;"-费用")</f>
        <v/>
      </c>
      <c r="D2258" s="107" t="str">
        <f aca="false">IF($E2258="","",INDEX(成本费用登记表!$E$4:$E$303,50))</f>
        <v/>
      </c>
      <c r="E2258" s="67" t="str">
        <f aca="false">IF(INDEX(成本费用登记表!$Q$4:$Y$303,50,4)=0,"",INDEX(成本费用登记表!$Q$4:$Y$303,50,4))</f>
        <v/>
      </c>
      <c r="F2258" s="99" t="str">
        <f aca="false">IF($E2258="","",IFERROR(INDEX(科目表!$A$4:$A$81,MATCH($E2258,科目表!$B$4:$B$81,0)),""))</f>
        <v/>
      </c>
      <c r="G2258" s="67" t="str">
        <f aca="false">IF($E2258="","",IFERROR(INDEX(科目表!$E$4:$E$81,MATCH($E2258,科目表!$B$4:$B$81,0)),""))</f>
        <v/>
      </c>
      <c r="H2258" s="70" t="str">
        <f aca="false">IF($E2258="","",N(INDEX(成本费用登记表!$Q$4:$Y$303,50,5)))</f>
        <v/>
      </c>
      <c r="I2258" s="70" t="str">
        <f aca="false">IF($E2258="","",N(INDEX(成本费用登记表!$Q$4:$Y$303,50,6)))</f>
        <v/>
      </c>
      <c r="J2258" s="67" t="str">
        <f aca="false">IF($E2258="","",INDEX(成本费用登记表!$C$4:$C$303,50))</f>
        <v/>
      </c>
      <c r="K2258" s="67" t="str">
        <f aca="false">IF($E2258="","",INDEX(成本费用登记表!$D$4:$D$303,50))</f>
        <v/>
      </c>
      <c r="L2258" s="107" t="str">
        <f aca="false">IF($E2258="","",INDEX(成本费用登记表!$N$4:$N$303,50))</f>
        <v/>
      </c>
      <c r="M2258" s="107"/>
      <c r="N2258" s="67" t="str">
        <f aca="false">IF($E2258="","","系统")</f>
        <v/>
      </c>
      <c r="O2258" s="67" t="str">
        <f aca="false">IF($E2258="","","自动C")</f>
        <v/>
      </c>
      <c r="P2258" s="18"/>
    </row>
    <row r="2259" customFormat="false" ht="18" hidden="false" customHeight="true" outlineLevel="0" collapsed="false">
      <c r="A2259" s="107" t="str">
        <f aca="false">IF($E2259="","",ROW()-3)</f>
        <v/>
      </c>
      <c r="B2259" s="110" t="str">
        <f aca="false">IF($E2259="","",INDEX(成本费用登记表!$B$4:$B$303,50))</f>
        <v/>
      </c>
      <c r="C2259" s="67" t="str">
        <f aca="false">IF($E2259="","","记-"&amp;TEXT($B2259,"YYYYMM")&amp;"-费用")</f>
        <v/>
      </c>
      <c r="D2259" s="107" t="str">
        <f aca="false">IF($E2259="","",INDEX(成本费用登记表!$E$4:$E$303,50))</f>
        <v/>
      </c>
      <c r="E2259" s="67" t="str">
        <f aca="false">IF(INDEX(成本费用登记表!$Q$4:$Y$303,50,7)=0,"",INDEX(成本费用登记表!$Q$4:$Y$303,50,7))</f>
        <v/>
      </c>
      <c r="F2259" s="99" t="str">
        <f aca="false">IF($E2259="","",IFERROR(INDEX(科目表!$A$4:$A$81,MATCH($E2259,科目表!$B$4:$B$81,0)),""))</f>
        <v/>
      </c>
      <c r="G2259" s="67" t="str">
        <f aca="false">IF($E2259="","",IFERROR(INDEX(科目表!$E$4:$E$81,MATCH($E2259,科目表!$B$4:$B$81,0)),""))</f>
        <v/>
      </c>
      <c r="H2259" s="70" t="str">
        <f aca="false">IF($E2259="","",N(INDEX(成本费用登记表!$Q$4:$Y$303,50,8)))</f>
        <v/>
      </c>
      <c r="I2259" s="70" t="str">
        <f aca="false">IF($E2259="","",N(INDEX(成本费用登记表!$Q$4:$Y$303,50,9)))</f>
        <v/>
      </c>
      <c r="J2259" s="67" t="str">
        <f aca="false">IF($E2259="","",INDEX(成本费用登记表!$C$4:$C$303,50))</f>
        <v/>
      </c>
      <c r="K2259" s="67" t="str">
        <f aca="false">IF($E2259="","",INDEX(成本费用登记表!$D$4:$D$303,50))</f>
        <v/>
      </c>
      <c r="L2259" s="107" t="str">
        <f aca="false">IF($E2259="","",INDEX(成本费用登记表!$N$4:$N$303,50))</f>
        <v/>
      </c>
      <c r="M2259" s="107"/>
      <c r="N2259" s="67" t="str">
        <f aca="false">IF($E2259="","","系统")</f>
        <v/>
      </c>
      <c r="O2259" s="67" t="str">
        <f aca="false">IF($E2259="","","自动C")</f>
        <v/>
      </c>
      <c r="P2259" s="18"/>
    </row>
    <row r="2260" customFormat="false" ht="18" hidden="false" customHeight="true" outlineLevel="0" collapsed="false">
      <c r="A2260" s="107" t="str">
        <f aca="false">IF($E2260="","",ROW()-3)</f>
        <v/>
      </c>
      <c r="B2260" s="110" t="str">
        <f aca="false">IF($E2260="","",INDEX(成本费用登记表!$B$4:$B$303,51))</f>
        <v/>
      </c>
      <c r="C2260" s="67" t="str">
        <f aca="false">IF($E2260="","","记-"&amp;TEXT($B2260,"YYYYMM")&amp;"-费用")</f>
        <v/>
      </c>
      <c r="D2260" s="107" t="str">
        <f aca="false">IF($E2260="","",INDEX(成本费用登记表!$E$4:$E$303,51))</f>
        <v/>
      </c>
      <c r="E2260" s="67" t="str">
        <f aca="false">IF(INDEX(成本费用登记表!$Q$4:$Y$303,51,1)=0,"",INDEX(成本费用登记表!$Q$4:$Y$303,51,1))</f>
        <v/>
      </c>
      <c r="F2260" s="99" t="str">
        <f aca="false">IF($E2260="","",IFERROR(INDEX(科目表!$A$4:$A$81,MATCH($E2260,科目表!$B$4:$B$81,0)),""))</f>
        <v/>
      </c>
      <c r="G2260" s="67" t="str">
        <f aca="false">IF($E2260="","",IFERROR(INDEX(科目表!$E$4:$E$81,MATCH($E2260,科目表!$B$4:$B$81,0)),""))</f>
        <v/>
      </c>
      <c r="H2260" s="70" t="str">
        <f aca="false">IF($E2260="","",N(INDEX(成本费用登记表!$Q$4:$Y$303,51,2)))</f>
        <v/>
      </c>
      <c r="I2260" s="70" t="str">
        <f aca="false">IF($E2260="","",N(INDEX(成本费用登记表!$Q$4:$Y$303,51,3)))</f>
        <v/>
      </c>
      <c r="J2260" s="67" t="str">
        <f aca="false">IF($E2260="","",INDEX(成本费用登记表!$C$4:$C$303,51))</f>
        <v/>
      </c>
      <c r="K2260" s="67" t="str">
        <f aca="false">IF($E2260="","",INDEX(成本费用登记表!$D$4:$D$303,51))</f>
        <v/>
      </c>
      <c r="L2260" s="107" t="str">
        <f aca="false">IF($E2260="","",INDEX(成本费用登记表!$N$4:$N$303,51))</f>
        <v/>
      </c>
      <c r="M2260" s="107"/>
      <c r="N2260" s="67" t="str">
        <f aca="false">IF($E2260="","","系统")</f>
        <v/>
      </c>
      <c r="O2260" s="67" t="str">
        <f aca="false">IF($E2260="","","自动C")</f>
        <v/>
      </c>
      <c r="P2260" s="18"/>
    </row>
    <row r="2261" customFormat="false" ht="18" hidden="false" customHeight="true" outlineLevel="0" collapsed="false">
      <c r="A2261" s="107" t="str">
        <f aca="false">IF($E2261="","",ROW()-3)</f>
        <v/>
      </c>
      <c r="B2261" s="110" t="str">
        <f aca="false">IF($E2261="","",INDEX(成本费用登记表!$B$4:$B$303,51))</f>
        <v/>
      </c>
      <c r="C2261" s="67" t="str">
        <f aca="false">IF($E2261="","","记-"&amp;TEXT($B2261,"YYYYMM")&amp;"-费用")</f>
        <v/>
      </c>
      <c r="D2261" s="107" t="str">
        <f aca="false">IF($E2261="","",INDEX(成本费用登记表!$E$4:$E$303,51))</f>
        <v/>
      </c>
      <c r="E2261" s="67" t="str">
        <f aca="false">IF(INDEX(成本费用登记表!$Q$4:$Y$303,51,4)=0,"",INDEX(成本费用登记表!$Q$4:$Y$303,51,4))</f>
        <v/>
      </c>
      <c r="F2261" s="99" t="str">
        <f aca="false">IF($E2261="","",IFERROR(INDEX(科目表!$A$4:$A$81,MATCH($E2261,科目表!$B$4:$B$81,0)),""))</f>
        <v/>
      </c>
      <c r="G2261" s="67" t="str">
        <f aca="false">IF($E2261="","",IFERROR(INDEX(科目表!$E$4:$E$81,MATCH($E2261,科目表!$B$4:$B$81,0)),""))</f>
        <v/>
      </c>
      <c r="H2261" s="70" t="str">
        <f aca="false">IF($E2261="","",N(INDEX(成本费用登记表!$Q$4:$Y$303,51,5)))</f>
        <v/>
      </c>
      <c r="I2261" s="70" t="str">
        <f aca="false">IF($E2261="","",N(INDEX(成本费用登记表!$Q$4:$Y$303,51,6)))</f>
        <v/>
      </c>
      <c r="J2261" s="67" t="str">
        <f aca="false">IF($E2261="","",INDEX(成本费用登记表!$C$4:$C$303,51))</f>
        <v/>
      </c>
      <c r="K2261" s="67" t="str">
        <f aca="false">IF($E2261="","",INDEX(成本费用登记表!$D$4:$D$303,51))</f>
        <v/>
      </c>
      <c r="L2261" s="107" t="str">
        <f aca="false">IF($E2261="","",INDEX(成本费用登记表!$N$4:$N$303,51))</f>
        <v/>
      </c>
      <c r="M2261" s="107"/>
      <c r="N2261" s="67" t="str">
        <f aca="false">IF($E2261="","","系统")</f>
        <v/>
      </c>
      <c r="O2261" s="67" t="str">
        <f aca="false">IF($E2261="","","自动C")</f>
        <v/>
      </c>
      <c r="P2261" s="18"/>
    </row>
    <row r="2262" customFormat="false" ht="18" hidden="false" customHeight="true" outlineLevel="0" collapsed="false">
      <c r="A2262" s="107" t="str">
        <f aca="false">IF($E2262="","",ROW()-3)</f>
        <v/>
      </c>
      <c r="B2262" s="110" t="str">
        <f aca="false">IF($E2262="","",INDEX(成本费用登记表!$B$4:$B$303,51))</f>
        <v/>
      </c>
      <c r="C2262" s="67" t="str">
        <f aca="false">IF($E2262="","","记-"&amp;TEXT($B2262,"YYYYMM")&amp;"-费用")</f>
        <v/>
      </c>
      <c r="D2262" s="107" t="str">
        <f aca="false">IF($E2262="","",INDEX(成本费用登记表!$E$4:$E$303,51))</f>
        <v/>
      </c>
      <c r="E2262" s="67" t="str">
        <f aca="false">IF(INDEX(成本费用登记表!$Q$4:$Y$303,51,7)=0,"",INDEX(成本费用登记表!$Q$4:$Y$303,51,7))</f>
        <v/>
      </c>
      <c r="F2262" s="99" t="str">
        <f aca="false">IF($E2262="","",IFERROR(INDEX(科目表!$A$4:$A$81,MATCH($E2262,科目表!$B$4:$B$81,0)),""))</f>
        <v/>
      </c>
      <c r="G2262" s="67" t="str">
        <f aca="false">IF($E2262="","",IFERROR(INDEX(科目表!$E$4:$E$81,MATCH($E2262,科目表!$B$4:$B$81,0)),""))</f>
        <v/>
      </c>
      <c r="H2262" s="70" t="str">
        <f aca="false">IF($E2262="","",N(INDEX(成本费用登记表!$Q$4:$Y$303,51,8)))</f>
        <v/>
      </c>
      <c r="I2262" s="70" t="str">
        <f aca="false">IF($E2262="","",N(INDEX(成本费用登记表!$Q$4:$Y$303,51,9)))</f>
        <v/>
      </c>
      <c r="J2262" s="67" t="str">
        <f aca="false">IF($E2262="","",INDEX(成本费用登记表!$C$4:$C$303,51))</f>
        <v/>
      </c>
      <c r="K2262" s="67" t="str">
        <f aca="false">IF($E2262="","",INDEX(成本费用登记表!$D$4:$D$303,51))</f>
        <v/>
      </c>
      <c r="L2262" s="107" t="str">
        <f aca="false">IF($E2262="","",INDEX(成本费用登记表!$N$4:$N$303,51))</f>
        <v/>
      </c>
      <c r="M2262" s="107"/>
      <c r="N2262" s="67" t="str">
        <f aca="false">IF($E2262="","","系统")</f>
        <v/>
      </c>
      <c r="O2262" s="67" t="str">
        <f aca="false">IF($E2262="","","自动C")</f>
        <v/>
      </c>
      <c r="P2262" s="18"/>
    </row>
    <row r="2263" customFormat="false" ht="18" hidden="false" customHeight="true" outlineLevel="0" collapsed="false">
      <c r="A2263" s="107" t="str">
        <f aca="false">IF($E2263="","",ROW()-3)</f>
        <v/>
      </c>
      <c r="B2263" s="110" t="str">
        <f aca="false">IF($E2263="","",INDEX(成本费用登记表!$B$4:$B$303,52))</f>
        <v/>
      </c>
      <c r="C2263" s="67" t="str">
        <f aca="false">IF($E2263="","","记-"&amp;TEXT($B2263,"YYYYMM")&amp;"-费用")</f>
        <v/>
      </c>
      <c r="D2263" s="107" t="str">
        <f aca="false">IF($E2263="","",INDEX(成本费用登记表!$E$4:$E$303,52))</f>
        <v/>
      </c>
      <c r="E2263" s="67" t="str">
        <f aca="false">IF(INDEX(成本费用登记表!$Q$4:$Y$303,52,1)=0,"",INDEX(成本费用登记表!$Q$4:$Y$303,52,1))</f>
        <v/>
      </c>
      <c r="F2263" s="99" t="str">
        <f aca="false">IF($E2263="","",IFERROR(INDEX(科目表!$A$4:$A$81,MATCH($E2263,科目表!$B$4:$B$81,0)),""))</f>
        <v/>
      </c>
      <c r="G2263" s="67" t="str">
        <f aca="false">IF($E2263="","",IFERROR(INDEX(科目表!$E$4:$E$81,MATCH($E2263,科目表!$B$4:$B$81,0)),""))</f>
        <v/>
      </c>
      <c r="H2263" s="70" t="str">
        <f aca="false">IF($E2263="","",N(INDEX(成本费用登记表!$Q$4:$Y$303,52,2)))</f>
        <v/>
      </c>
      <c r="I2263" s="70" t="str">
        <f aca="false">IF($E2263="","",N(INDEX(成本费用登记表!$Q$4:$Y$303,52,3)))</f>
        <v/>
      </c>
      <c r="J2263" s="67" t="str">
        <f aca="false">IF($E2263="","",INDEX(成本费用登记表!$C$4:$C$303,52))</f>
        <v/>
      </c>
      <c r="K2263" s="67" t="str">
        <f aca="false">IF($E2263="","",INDEX(成本费用登记表!$D$4:$D$303,52))</f>
        <v/>
      </c>
      <c r="L2263" s="107" t="str">
        <f aca="false">IF($E2263="","",INDEX(成本费用登记表!$N$4:$N$303,52))</f>
        <v/>
      </c>
      <c r="M2263" s="107"/>
      <c r="N2263" s="67" t="str">
        <f aca="false">IF($E2263="","","系统")</f>
        <v/>
      </c>
      <c r="O2263" s="67" t="str">
        <f aca="false">IF($E2263="","","自动C")</f>
        <v/>
      </c>
      <c r="P2263" s="18"/>
    </row>
    <row r="2264" customFormat="false" ht="18" hidden="false" customHeight="true" outlineLevel="0" collapsed="false">
      <c r="A2264" s="107" t="str">
        <f aca="false">IF($E2264="","",ROW()-3)</f>
        <v/>
      </c>
      <c r="B2264" s="110" t="str">
        <f aca="false">IF($E2264="","",INDEX(成本费用登记表!$B$4:$B$303,52))</f>
        <v/>
      </c>
      <c r="C2264" s="67" t="str">
        <f aca="false">IF($E2264="","","记-"&amp;TEXT($B2264,"YYYYMM")&amp;"-费用")</f>
        <v/>
      </c>
      <c r="D2264" s="107" t="str">
        <f aca="false">IF($E2264="","",INDEX(成本费用登记表!$E$4:$E$303,52))</f>
        <v/>
      </c>
      <c r="E2264" s="67" t="str">
        <f aca="false">IF(INDEX(成本费用登记表!$Q$4:$Y$303,52,4)=0,"",INDEX(成本费用登记表!$Q$4:$Y$303,52,4))</f>
        <v/>
      </c>
      <c r="F2264" s="99" t="str">
        <f aca="false">IF($E2264="","",IFERROR(INDEX(科目表!$A$4:$A$81,MATCH($E2264,科目表!$B$4:$B$81,0)),""))</f>
        <v/>
      </c>
      <c r="G2264" s="67" t="str">
        <f aca="false">IF($E2264="","",IFERROR(INDEX(科目表!$E$4:$E$81,MATCH($E2264,科目表!$B$4:$B$81,0)),""))</f>
        <v/>
      </c>
      <c r="H2264" s="70" t="str">
        <f aca="false">IF($E2264="","",N(INDEX(成本费用登记表!$Q$4:$Y$303,52,5)))</f>
        <v/>
      </c>
      <c r="I2264" s="70" t="str">
        <f aca="false">IF($E2264="","",N(INDEX(成本费用登记表!$Q$4:$Y$303,52,6)))</f>
        <v/>
      </c>
      <c r="J2264" s="67" t="str">
        <f aca="false">IF($E2264="","",INDEX(成本费用登记表!$C$4:$C$303,52))</f>
        <v/>
      </c>
      <c r="K2264" s="67" t="str">
        <f aca="false">IF($E2264="","",INDEX(成本费用登记表!$D$4:$D$303,52))</f>
        <v/>
      </c>
      <c r="L2264" s="107" t="str">
        <f aca="false">IF($E2264="","",INDEX(成本费用登记表!$N$4:$N$303,52))</f>
        <v/>
      </c>
      <c r="M2264" s="107"/>
      <c r="N2264" s="67" t="str">
        <f aca="false">IF($E2264="","","系统")</f>
        <v/>
      </c>
      <c r="O2264" s="67" t="str">
        <f aca="false">IF($E2264="","","自动C")</f>
        <v/>
      </c>
      <c r="P2264" s="18"/>
    </row>
    <row r="2265" customFormat="false" ht="18" hidden="false" customHeight="true" outlineLevel="0" collapsed="false">
      <c r="A2265" s="107" t="str">
        <f aca="false">IF($E2265="","",ROW()-3)</f>
        <v/>
      </c>
      <c r="B2265" s="110" t="str">
        <f aca="false">IF($E2265="","",INDEX(成本费用登记表!$B$4:$B$303,52))</f>
        <v/>
      </c>
      <c r="C2265" s="67" t="str">
        <f aca="false">IF($E2265="","","记-"&amp;TEXT($B2265,"YYYYMM")&amp;"-费用")</f>
        <v/>
      </c>
      <c r="D2265" s="107" t="str">
        <f aca="false">IF($E2265="","",INDEX(成本费用登记表!$E$4:$E$303,52))</f>
        <v/>
      </c>
      <c r="E2265" s="67" t="str">
        <f aca="false">IF(INDEX(成本费用登记表!$Q$4:$Y$303,52,7)=0,"",INDEX(成本费用登记表!$Q$4:$Y$303,52,7))</f>
        <v/>
      </c>
      <c r="F2265" s="99" t="str">
        <f aca="false">IF($E2265="","",IFERROR(INDEX(科目表!$A$4:$A$81,MATCH($E2265,科目表!$B$4:$B$81,0)),""))</f>
        <v/>
      </c>
      <c r="G2265" s="67" t="str">
        <f aca="false">IF($E2265="","",IFERROR(INDEX(科目表!$E$4:$E$81,MATCH($E2265,科目表!$B$4:$B$81,0)),""))</f>
        <v/>
      </c>
      <c r="H2265" s="70" t="str">
        <f aca="false">IF($E2265="","",N(INDEX(成本费用登记表!$Q$4:$Y$303,52,8)))</f>
        <v/>
      </c>
      <c r="I2265" s="70" t="str">
        <f aca="false">IF($E2265="","",N(INDEX(成本费用登记表!$Q$4:$Y$303,52,9)))</f>
        <v/>
      </c>
      <c r="J2265" s="67" t="str">
        <f aca="false">IF($E2265="","",INDEX(成本费用登记表!$C$4:$C$303,52))</f>
        <v/>
      </c>
      <c r="K2265" s="67" t="str">
        <f aca="false">IF($E2265="","",INDEX(成本费用登记表!$D$4:$D$303,52))</f>
        <v/>
      </c>
      <c r="L2265" s="107" t="str">
        <f aca="false">IF($E2265="","",INDEX(成本费用登记表!$N$4:$N$303,52))</f>
        <v/>
      </c>
      <c r="M2265" s="107"/>
      <c r="N2265" s="67" t="str">
        <f aca="false">IF($E2265="","","系统")</f>
        <v/>
      </c>
      <c r="O2265" s="67" t="str">
        <f aca="false">IF($E2265="","","自动C")</f>
        <v/>
      </c>
      <c r="P2265" s="18"/>
    </row>
    <row r="2266" customFormat="false" ht="18" hidden="false" customHeight="true" outlineLevel="0" collapsed="false">
      <c r="A2266" s="107" t="str">
        <f aca="false">IF($E2266="","",ROW()-3)</f>
        <v/>
      </c>
      <c r="B2266" s="110" t="str">
        <f aca="false">IF($E2266="","",INDEX(成本费用登记表!$B$4:$B$303,53))</f>
        <v/>
      </c>
      <c r="C2266" s="67" t="str">
        <f aca="false">IF($E2266="","","记-"&amp;TEXT($B2266,"YYYYMM")&amp;"-费用")</f>
        <v/>
      </c>
      <c r="D2266" s="107" t="str">
        <f aca="false">IF($E2266="","",INDEX(成本费用登记表!$E$4:$E$303,53))</f>
        <v/>
      </c>
      <c r="E2266" s="67" t="str">
        <f aca="false">IF(INDEX(成本费用登记表!$Q$4:$Y$303,53,1)=0,"",INDEX(成本费用登记表!$Q$4:$Y$303,53,1))</f>
        <v/>
      </c>
      <c r="F2266" s="99" t="str">
        <f aca="false">IF($E2266="","",IFERROR(INDEX(科目表!$A$4:$A$81,MATCH($E2266,科目表!$B$4:$B$81,0)),""))</f>
        <v/>
      </c>
      <c r="G2266" s="67" t="str">
        <f aca="false">IF($E2266="","",IFERROR(INDEX(科目表!$E$4:$E$81,MATCH($E2266,科目表!$B$4:$B$81,0)),""))</f>
        <v/>
      </c>
      <c r="H2266" s="70" t="str">
        <f aca="false">IF($E2266="","",N(INDEX(成本费用登记表!$Q$4:$Y$303,53,2)))</f>
        <v/>
      </c>
      <c r="I2266" s="70" t="str">
        <f aca="false">IF($E2266="","",N(INDEX(成本费用登记表!$Q$4:$Y$303,53,3)))</f>
        <v/>
      </c>
      <c r="J2266" s="67" t="str">
        <f aca="false">IF($E2266="","",INDEX(成本费用登记表!$C$4:$C$303,53))</f>
        <v/>
      </c>
      <c r="K2266" s="67" t="str">
        <f aca="false">IF($E2266="","",INDEX(成本费用登记表!$D$4:$D$303,53))</f>
        <v/>
      </c>
      <c r="L2266" s="107" t="str">
        <f aca="false">IF($E2266="","",INDEX(成本费用登记表!$N$4:$N$303,53))</f>
        <v/>
      </c>
      <c r="M2266" s="107"/>
      <c r="N2266" s="67" t="str">
        <f aca="false">IF($E2266="","","系统")</f>
        <v/>
      </c>
      <c r="O2266" s="67" t="str">
        <f aca="false">IF($E2266="","","自动C")</f>
        <v/>
      </c>
      <c r="P2266" s="18"/>
    </row>
    <row r="2267" customFormat="false" ht="18" hidden="false" customHeight="true" outlineLevel="0" collapsed="false">
      <c r="A2267" s="107" t="str">
        <f aca="false">IF($E2267="","",ROW()-3)</f>
        <v/>
      </c>
      <c r="B2267" s="110" t="str">
        <f aca="false">IF($E2267="","",INDEX(成本费用登记表!$B$4:$B$303,53))</f>
        <v/>
      </c>
      <c r="C2267" s="67" t="str">
        <f aca="false">IF($E2267="","","记-"&amp;TEXT($B2267,"YYYYMM")&amp;"-费用")</f>
        <v/>
      </c>
      <c r="D2267" s="107" t="str">
        <f aca="false">IF($E2267="","",INDEX(成本费用登记表!$E$4:$E$303,53))</f>
        <v/>
      </c>
      <c r="E2267" s="67" t="str">
        <f aca="false">IF(INDEX(成本费用登记表!$Q$4:$Y$303,53,4)=0,"",INDEX(成本费用登记表!$Q$4:$Y$303,53,4))</f>
        <v/>
      </c>
      <c r="F2267" s="99" t="str">
        <f aca="false">IF($E2267="","",IFERROR(INDEX(科目表!$A$4:$A$81,MATCH($E2267,科目表!$B$4:$B$81,0)),""))</f>
        <v/>
      </c>
      <c r="G2267" s="67" t="str">
        <f aca="false">IF($E2267="","",IFERROR(INDEX(科目表!$E$4:$E$81,MATCH($E2267,科目表!$B$4:$B$81,0)),""))</f>
        <v/>
      </c>
      <c r="H2267" s="70" t="str">
        <f aca="false">IF($E2267="","",N(INDEX(成本费用登记表!$Q$4:$Y$303,53,5)))</f>
        <v/>
      </c>
      <c r="I2267" s="70" t="str">
        <f aca="false">IF($E2267="","",N(INDEX(成本费用登记表!$Q$4:$Y$303,53,6)))</f>
        <v/>
      </c>
      <c r="J2267" s="67" t="str">
        <f aca="false">IF($E2267="","",INDEX(成本费用登记表!$C$4:$C$303,53))</f>
        <v/>
      </c>
      <c r="K2267" s="67" t="str">
        <f aca="false">IF($E2267="","",INDEX(成本费用登记表!$D$4:$D$303,53))</f>
        <v/>
      </c>
      <c r="L2267" s="107" t="str">
        <f aca="false">IF($E2267="","",INDEX(成本费用登记表!$N$4:$N$303,53))</f>
        <v/>
      </c>
      <c r="M2267" s="107"/>
      <c r="N2267" s="67" t="str">
        <f aca="false">IF($E2267="","","系统")</f>
        <v/>
      </c>
      <c r="O2267" s="67" t="str">
        <f aca="false">IF($E2267="","","自动C")</f>
        <v/>
      </c>
      <c r="P2267" s="18"/>
    </row>
    <row r="2268" customFormat="false" ht="18" hidden="false" customHeight="true" outlineLevel="0" collapsed="false">
      <c r="A2268" s="107" t="str">
        <f aca="false">IF($E2268="","",ROW()-3)</f>
        <v/>
      </c>
      <c r="B2268" s="110" t="str">
        <f aca="false">IF($E2268="","",INDEX(成本费用登记表!$B$4:$B$303,53))</f>
        <v/>
      </c>
      <c r="C2268" s="67" t="str">
        <f aca="false">IF($E2268="","","记-"&amp;TEXT($B2268,"YYYYMM")&amp;"-费用")</f>
        <v/>
      </c>
      <c r="D2268" s="107" t="str">
        <f aca="false">IF($E2268="","",INDEX(成本费用登记表!$E$4:$E$303,53))</f>
        <v/>
      </c>
      <c r="E2268" s="67" t="str">
        <f aca="false">IF(INDEX(成本费用登记表!$Q$4:$Y$303,53,7)=0,"",INDEX(成本费用登记表!$Q$4:$Y$303,53,7))</f>
        <v/>
      </c>
      <c r="F2268" s="99" t="str">
        <f aca="false">IF($E2268="","",IFERROR(INDEX(科目表!$A$4:$A$81,MATCH($E2268,科目表!$B$4:$B$81,0)),""))</f>
        <v/>
      </c>
      <c r="G2268" s="67" t="str">
        <f aca="false">IF($E2268="","",IFERROR(INDEX(科目表!$E$4:$E$81,MATCH($E2268,科目表!$B$4:$B$81,0)),""))</f>
        <v/>
      </c>
      <c r="H2268" s="70" t="str">
        <f aca="false">IF($E2268="","",N(INDEX(成本费用登记表!$Q$4:$Y$303,53,8)))</f>
        <v/>
      </c>
      <c r="I2268" s="70" t="str">
        <f aca="false">IF($E2268="","",N(INDEX(成本费用登记表!$Q$4:$Y$303,53,9)))</f>
        <v/>
      </c>
      <c r="J2268" s="67" t="str">
        <f aca="false">IF($E2268="","",INDEX(成本费用登记表!$C$4:$C$303,53))</f>
        <v/>
      </c>
      <c r="K2268" s="67" t="str">
        <f aca="false">IF($E2268="","",INDEX(成本费用登记表!$D$4:$D$303,53))</f>
        <v/>
      </c>
      <c r="L2268" s="107" t="str">
        <f aca="false">IF($E2268="","",INDEX(成本费用登记表!$N$4:$N$303,53))</f>
        <v/>
      </c>
      <c r="M2268" s="107"/>
      <c r="N2268" s="67" t="str">
        <f aca="false">IF($E2268="","","系统")</f>
        <v/>
      </c>
      <c r="O2268" s="67" t="str">
        <f aca="false">IF($E2268="","","自动C")</f>
        <v/>
      </c>
      <c r="P2268" s="18"/>
    </row>
    <row r="2269" customFormat="false" ht="18" hidden="false" customHeight="true" outlineLevel="0" collapsed="false">
      <c r="A2269" s="107" t="str">
        <f aca="false">IF($E2269="","",ROW()-3)</f>
        <v/>
      </c>
      <c r="B2269" s="110" t="str">
        <f aca="false">IF($E2269="","",INDEX(成本费用登记表!$B$4:$B$303,54))</f>
        <v/>
      </c>
      <c r="C2269" s="67" t="str">
        <f aca="false">IF($E2269="","","记-"&amp;TEXT($B2269,"YYYYMM")&amp;"-费用")</f>
        <v/>
      </c>
      <c r="D2269" s="107" t="str">
        <f aca="false">IF($E2269="","",INDEX(成本费用登记表!$E$4:$E$303,54))</f>
        <v/>
      </c>
      <c r="E2269" s="67" t="str">
        <f aca="false">IF(INDEX(成本费用登记表!$Q$4:$Y$303,54,1)=0,"",INDEX(成本费用登记表!$Q$4:$Y$303,54,1))</f>
        <v/>
      </c>
      <c r="F2269" s="99" t="str">
        <f aca="false">IF($E2269="","",IFERROR(INDEX(科目表!$A$4:$A$81,MATCH($E2269,科目表!$B$4:$B$81,0)),""))</f>
        <v/>
      </c>
      <c r="G2269" s="67" t="str">
        <f aca="false">IF($E2269="","",IFERROR(INDEX(科目表!$E$4:$E$81,MATCH($E2269,科目表!$B$4:$B$81,0)),""))</f>
        <v/>
      </c>
      <c r="H2269" s="70" t="str">
        <f aca="false">IF($E2269="","",N(INDEX(成本费用登记表!$Q$4:$Y$303,54,2)))</f>
        <v/>
      </c>
      <c r="I2269" s="70" t="str">
        <f aca="false">IF($E2269="","",N(INDEX(成本费用登记表!$Q$4:$Y$303,54,3)))</f>
        <v/>
      </c>
      <c r="J2269" s="67" t="str">
        <f aca="false">IF($E2269="","",INDEX(成本费用登记表!$C$4:$C$303,54))</f>
        <v/>
      </c>
      <c r="K2269" s="67" t="str">
        <f aca="false">IF($E2269="","",INDEX(成本费用登记表!$D$4:$D$303,54))</f>
        <v/>
      </c>
      <c r="L2269" s="107" t="str">
        <f aca="false">IF($E2269="","",INDEX(成本费用登记表!$N$4:$N$303,54))</f>
        <v/>
      </c>
      <c r="M2269" s="107"/>
      <c r="N2269" s="67" t="str">
        <f aca="false">IF($E2269="","","系统")</f>
        <v/>
      </c>
      <c r="O2269" s="67" t="str">
        <f aca="false">IF($E2269="","","自动C")</f>
        <v/>
      </c>
      <c r="P2269" s="18"/>
    </row>
    <row r="2270" customFormat="false" ht="18" hidden="false" customHeight="true" outlineLevel="0" collapsed="false">
      <c r="A2270" s="107" t="str">
        <f aca="false">IF($E2270="","",ROW()-3)</f>
        <v/>
      </c>
      <c r="B2270" s="110" t="str">
        <f aca="false">IF($E2270="","",INDEX(成本费用登记表!$B$4:$B$303,54))</f>
        <v/>
      </c>
      <c r="C2270" s="67" t="str">
        <f aca="false">IF($E2270="","","记-"&amp;TEXT($B2270,"YYYYMM")&amp;"-费用")</f>
        <v/>
      </c>
      <c r="D2270" s="107" t="str">
        <f aca="false">IF($E2270="","",INDEX(成本费用登记表!$E$4:$E$303,54))</f>
        <v/>
      </c>
      <c r="E2270" s="67" t="str">
        <f aca="false">IF(INDEX(成本费用登记表!$Q$4:$Y$303,54,4)=0,"",INDEX(成本费用登记表!$Q$4:$Y$303,54,4))</f>
        <v/>
      </c>
      <c r="F2270" s="99" t="str">
        <f aca="false">IF($E2270="","",IFERROR(INDEX(科目表!$A$4:$A$81,MATCH($E2270,科目表!$B$4:$B$81,0)),""))</f>
        <v/>
      </c>
      <c r="G2270" s="67" t="str">
        <f aca="false">IF($E2270="","",IFERROR(INDEX(科目表!$E$4:$E$81,MATCH($E2270,科目表!$B$4:$B$81,0)),""))</f>
        <v/>
      </c>
      <c r="H2270" s="70" t="str">
        <f aca="false">IF($E2270="","",N(INDEX(成本费用登记表!$Q$4:$Y$303,54,5)))</f>
        <v/>
      </c>
      <c r="I2270" s="70" t="str">
        <f aca="false">IF($E2270="","",N(INDEX(成本费用登记表!$Q$4:$Y$303,54,6)))</f>
        <v/>
      </c>
      <c r="J2270" s="67" t="str">
        <f aca="false">IF($E2270="","",INDEX(成本费用登记表!$C$4:$C$303,54))</f>
        <v/>
      </c>
      <c r="K2270" s="67" t="str">
        <f aca="false">IF($E2270="","",INDEX(成本费用登记表!$D$4:$D$303,54))</f>
        <v/>
      </c>
      <c r="L2270" s="107" t="str">
        <f aca="false">IF($E2270="","",INDEX(成本费用登记表!$N$4:$N$303,54))</f>
        <v/>
      </c>
      <c r="M2270" s="107"/>
      <c r="N2270" s="67" t="str">
        <f aca="false">IF($E2270="","","系统")</f>
        <v/>
      </c>
      <c r="O2270" s="67" t="str">
        <f aca="false">IF($E2270="","","自动C")</f>
        <v/>
      </c>
      <c r="P2270" s="18"/>
    </row>
    <row r="2271" customFormat="false" ht="18" hidden="false" customHeight="true" outlineLevel="0" collapsed="false">
      <c r="A2271" s="107" t="str">
        <f aca="false">IF($E2271="","",ROW()-3)</f>
        <v/>
      </c>
      <c r="B2271" s="110" t="str">
        <f aca="false">IF($E2271="","",INDEX(成本费用登记表!$B$4:$B$303,54))</f>
        <v/>
      </c>
      <c r="C2271" s="67" t="str">
        <f aca="false">IF($E2271="","","记-"&amp;TEXT($B2271,"YYYYMM")&amp;"-费用")</f>
        <v/>
      </c>
      <c r="D2271" s="107" t="str">
        <f aca="false">IF($E2271="","",INDEX(成本费用登记表!$E$4:$E$303,54))</f>
        <v/>
      </c>
      <c r="E2271" s="67" t="str">
        <f aca="false">IF(INDEX(成本费用登记表!$Q$4:$Y$303,54,7)=0,"",INDEX(成本费用登记表!$Q$4:$Y$303,54,7))</f>
        <v/>
      </c>
      <c r="F2271" s="99" t="str">
        <f aca="false">IF($E2271="","",IFERROR(INDEX(科目表!$A$4:$A$81,MATCH($E2271,科目表!$B$4:$B$81,0)),""))</f>
        <v/>
      </c>
      <c r="G2271" s="67" t="str">
        <f aca="false">IF($E2271="","",IFERROR(INDEX(科目表!$E$4:$E$81,MATCH($E2271,科目表!$B$4:$B$81,0)),""))</f>
        <v/>
      </c>
      <c r="H2271" s="70" t="str">
        <f aca="false">IF($E2271="","",N(INDEX(成本费用登记表!$Q$4:$Y$303,54,8)))</f>
        <v/>
      </c>
      <c r="I2271" s="70" t="str">
        <f aca="false">IF($E2271="","",N(INDEX(成本费用登记表!$Q$4:$Y$303,54,9)))</f>
        <v/>
      </c>
      <c r="J2271" s="67" t="str">
        <f aca="false">IF($E2271="","",INDEX(成本费用登记表!$C$4:$C$303,54))</f>
        <v/>
      </c>
      <c r="K2271" s="67" t="str">
        <f aca="false">IF($E2271="","",INDEX(成本费用登记表!$D$4:$D$303,54))</f>
        <v/>
      </c>
      <c r="L2271" s="107" t="str">
        <f aca="false">IF($E2271="","",INDEX(成本费用登记表!$N$4:$N$303,54))</f>
        <v/>
      </c>
      <c r="M2271" s="107"/>
      <c r="N2271" s="67" t="str">
        <f aca="false">IF($E2271="","","系统")</f>
        <v/>
      </c>
      <c r="O2271" s="67" t="str">
        <f aca="false">IF($E2271="","","自动C")</f>
        <v/>
      </c>
      <c r="P2271" s="18"/>
    </row>
    <row r="2272" customFormat="false" ht="18" hidden="false" customHeight="true" outlineLevel="0" collapsed="false">
      <c r="A2272" s="107" t="str">
        <f aca="false">IF($E2272="","",ROW()-3)</f>
        <v/>
      </c>
      <c r="B2272" s="110" t="str">
        <f aca="false">IF($E2272="","",INDEX(成本费用登记表!$B$4:$B$303,55))</f>
        <v/>
      </c>
      <c r="C2272" s="67" t="str">
        <f aca="false">IF($E2272="","","记-"&amp;TEXT($B2272,"YYYYMM")&amp;"-费用")</f>
        <v/>
      </c>
      <c r="D2272" s="107" t="str">
        <f aca="false">IF($E2272="","",INDEX(成本费用登记表!$E$4:$E$303,55))</f>
        <v/>
      </c>
      <c r="E2272" s="67" t="str">
        <f aca="false">IF(INDEX(成本费用登记表!$Q$4:$Y$303,55,1)=0,"",INDEX(成本费用登记表!$Q$4:$Y$303,55,1))</f>
        <v/>
      </c>
      <c r="F2272" s="99" t="str">
        <f aca="false">IF($E2272="","",IFERROR(INDEX(科目表!$A$4:$A$81,MATCH($E2272,科目表!$B$4:$B$81,0)),""))</f>
        <v/>
      </c>
      <c r="G2272" s="67" t="str">
        <f aca="false">IF($E2272="","",IFERROR(INDEX(科目表!$E$4:$E$81,MATCH($E2272,科目表!$B$4:$B$81,0)),""))</f>
        <v/>
      </c>
      <c r="H2272" s="70" t="str">
        <f aca="false">IF($E2272="","",N(INDEX(成本费用登记表!$Q$4:$Y$303,55,2)))</f>
        <v/>
      </c>
      <c r="I2272" s="70" t="str">
        <f aca="false">IF($E2272="","",N(INDEX(成本费用登记表!$Q$4:$Y$303,55,3)))</f>
        <v/>
      </c>
      <c r="J2272" s="67" t="str">
        <f aca="false">IF($E2272="","",INDEX(成本费用登记表!$C$4:$C$303,55))</f>
        <v/>
      </c>
      <c r="K2272" s="67" t="str">
        <f aca="false">IF($E2272="","",INDEX(成本费用登记表!$D$4:$D$303,55))</f>
        <v/>
      </c>
      <c r="L2272" s="107" t="str">
        <f aca="false">IF($E2272="","",INDEX(成本费用登记表!$N$4:$N$303,55))</f>
        <v/>
      </c>
      <c r="M2272" s="107"/>
      <c r="N2272" s="67" t="str">
        <f aca="false">IF($E2272="","","系统")</f>
        <v/>
      </c>
      <c r="O2272" s="67" t="str">
        <f aca="false">IF($E2272="","","自动C")</f>
        <v/>
      </c>
      <c r="P2272" s="18"/>
    </row>
    <row r="2273" customFormat="false" ht="18" hidden="false" customHeight="true" outlineLevel="0" collapsed="false">
      <c r="A2273" s="107" t="str">
        <f aca="false">IF($E2273="","",ROW()-3)</f>
        <v/>
      </c>
      <c r="B2273" s="110" t="str">
        <f aca="false">IF($E2273="","",INDEX(成本费用登记表!$B$4:$B$303,55))</f>
        <v/>
      </c>
      <c r="C2273" s="67" t="str">
        <f aca="false">IF($E2273="","","记-"&amp;TEXT($B2273,"YYYYMM")&amp;"-费用")</f>
        <v/>
      </c>
      <c r="D2273" s="107" t="str">
        <f aca="false">IF($E2273="","",INDEX(成本费用登记表!$E$4:$E$303,55))</f>
        <v/>
      </c>
      <c r="E2273" s="67" t="str">
        <f aca="false">IF(INDEX(成本费用登记表!$Q$4:$Y$303,55,4)=0,"",INDEX(成本费用登记表!$Q$4:$Y$303,55,4))</f>
        <v/>
      </c>
      <c r="F2273" s="99" t="str">
        <f aca="false">IF($E2273="","",IFERROR(INDEX(科目表!$A$4:$A$81,MATCH($E2273,科目表!$B$4:$B$81,0)),""))</f>
        <v/>
      </c>
      <c r="G2273" s="67" t="str">
        <f aca="false">IF($E2273="","",IFERROR(INDEX(科目表!$E$4:$E$81,MATCH($E2273,科目表!$B$4:$B$81,0)),""))</f>
        <v/>
      </c>
      <c r="H2273" s="70" t="str">
        <f aca="false">IF($E2273="","",N(INDEX(成本费用登记表!$Q$4:$Y$303,55,5)))</f>
        <v/>
      </c>
      <c r="I2273" s="70" t="str">
        <f aca="false">IF($E2273="","",N(INDEX(成本费用登记表!$Q$4:$Y$303,55,6)))</f>
        <v/>
      </c>
      <c r="J2273" s="67" t="str">
        <f aca="false">IF($E2273="","",INDEX(成本费用登记表!$C$4:$C$303,55))</f>
        <v/>
      </c>
      <c r="K2273" s="67" t="str">
        <f aca="false">IF($E2273="","",INDEX(成本费用登记表!$D$4:$D$303,55))</f>
        <v/>
      </c>
      <c r="L2273" s="107" t="str">
        <f aca="false">IF($E2273="","",INDEX(成本费用登记表!$N$4:$N$303,55))</f>
        <v/>
      </c>
      <c r="M2273" s="107"/>
      <c r="N2273" s="67" t="str">
        <f aca="false">IF($E2273="","","系统")</f>
        <v/>
      </c>
      <c r="O2273" s="67" t="str">
        <f aca="false">IF($E2273="","","自动C")</f>
        <v/>
      </c>
      <c r="P2273" s="18"/>
    </row>
    <row r="2274" customFormat="false" ht="18" hidden="false" customHeight="true" outlineLevel="0" collapsed="false">
      <c r="A2274" s="107" t="str">
        <f aca="false">IF($E2274="","",ROW()-3)</f>
        <v/>
      </c>
      <c r="B2274" s="110" t="str">
        <f aca="false">IF($E2274="","",INDEX(成本费用登记表!$B$4:$B$303,55))</f>
        <v/>
      </c>
      <c r="C2274" s="67" t="str">
        <f aca="false">IF($E2274="","","记-"&amp;TEXT($B2274,"YYYYMM")&amp;"-费用")</f>
        <v/>
      </c>
      <c r="D2274" s="107" t="str">
        <f aca="false">IF($E2274="","",INDEX(成本费用登记表!$E$4:$E$303,55))</f>
        <v/>
      </c>
      <c r="E2274" s="67" t="str">
        <f aca="false">IF(INDEX(成本费用登记表!$Q$4:$Y$303,55,7)=0,"",INDEX(成本费用登记表!$Q$4:$Y$303,55,7))</f>
        <v/>
      </c>
      <c r="F2274" s="99" t="str">
        <f aca="false">IF($E2274="","",IFERROR(INDEX(科目表!$A$4:$A$81,MATCH($E2274,科目表!$B$4:$B$81,0)),""))</f>
        <v/>
      </c>
      <c r="G2274" s="67" t="str">
        <f aca="false">IF($E2274="","",IFERROR(INDEX(科目表!$E$4:$E$81,MATCH($E2274,科目表!$B$4:$B$81,0)),""))</f>
        <v/>
      </c>
      <c r="H2274" s="70" t="str">
        <f aca="false">IF($E2274="","",N(INDEX(成本费用登记表!$Q$4:$Y$303,55,8)))</f>
        <v/>
      </c>
      <c r="I2274" s="70" t="str">
        <f aca="false">IF($E2274="","",N(INDEX(成本费用登记表!$Q$4:$Y$303,55,9)))</f>
        <v/>
      </c>
      <c r="J2274" s="67" t="str">
        <f aca="false">IF($E2274="","",INDEX(成本费用登记表!$C$4:$C$303,55))</f>
        <v/>
      </c>
      <c r="K2274" s="67" t="str">
        <f aca="false">IF($E2274="","",INDEX(成本费用登记表!$D$4:$D$303,55))</f>
        <v/>
      </c>
      <c r="L2274" s="107" t="str">
        <f aca="false">IF($E2274="","",INDEX(成本费用登记表!$N$4:$N$303,55))</f>
        <v/>
      </c>
      <c r="M2274" s="107"/>
      <c r="N2274" s="67" t="str">
        <f aca="false">IF($E2274="","","系统")</f>
        <v/>
      </c>
      <c r="O2274" s="67" t="str">
        <f aca="false">IF($E2274="","","自动C")</f>
        <v/>
      </c>
      <c r="P2274" s="18"/>
    </row>
    <row r="2275" customFormat="false" ht="18" hidden="false" customHeight="true" outlineLevel="0" collapsed="false">
      <c r="A2275" s="107" t="str">
        <f aca="false">IF($E2275="","",ROW()-3)</f>
        <v/>
      </c>
      <c r="B2275" s="110" t="str">
        <f aca="false">IF($E2275="","",INDEX(成本费用登记表!$B$4:$B$303,56))</f>
        <v/>
      </c>
      <c r="C2275" s="67" t="str">
        <f aca="false">IF($E2275="","","记-"&amp;TEXT($B2275,"YYYYMM")&amp;"-费用")</f>
        <v/>
      </c>
      <c r="D2275" s="107" t="str">
        <f aca="false">IF($E2275="","",INDEX(成本费用登记表!$E$4:$E$303,56))</f>
        <v/>
      </c>
      <c r="E2275" s="67" t="str">
        <f aca="false">IF(INDEX(成本费用登记表!$Q$4:$Y$303,56,1)=0,"",INDEX(成本费用登记表!$Q$4:$Y$303,56,1))</f>
        <v/>
      </c>
      <c r="F2275" s="99" t="str">
        <f aca="false">IF($E2275="","",IFERROR(INDEX(科目表!$A$4:$A$81,MATCH($E2275,科目表!$B$4:$B$81,0)),""))</f>
        <v/>
      </c>
      <c r="G2275" s="67" t="str">
        <f aca="false">IF($E2275="","",IFERROR(INDEX(科目表!$E$4:$E$81,MATCH($E2275,科目表!$B$4:$B$81,0)),""))</f>
        <v/>
      </c>
      <c r="H2275" s="70" t="str">
        <f aca="false">IF($E2275="","",N(INDEX(成本费用登记表!$Q$4:$Y$303,56,2)))</f>
        <v/>
      </c>
      <c r="I2275" s="70" t="str">
        <f aca="false">IF($E2275="","",N(INDEX(成本费用登记表!$Q$4:$Y$303,56,3)))</f>
        <v/>
      </c>
      <c r="J2275" s="67" t="str">
        <f aca="false">IF($E2275="","",INDEX(成本费用登记表!$C$4:$C$303,56))</f>
        <v/>
      </c>
      <c r="K2275" s="67" t="str">
        <f aca="false">IF($E2275="","",INDEX(成本费用登记表!$D$4:$D$303,56))</f>
        <v/>
      </c>
      <c r="L2275" s="107" t="str">
        <f aca="false">IF($E2275="","",INDEX(成本费用登记表!$N$4:$N$303,56))</f>
        <v/>
      </c>
      <c r="M2275" s="107"/>
      <c r="N2275" s="67" t="str">
        <f aca="false">IF($E2275="","","系统")</f>
        <v/>
      </c>
      <c r="O2275" s="67" t="str">
        <f aca="false">IF($E2275="","","自动C")</f>
        <v/>
      </c>
      <c r="P2275" s="18"/>
    </row>
    <row r="2276" customFormat="false" ht="18" hidden="false" customHeight="true" outlineLevel="0" collapsed="false">
      <c r="A2276" s="107" t="str">
        <f aca="false">IF($E2276="","",ROW()-3)</f>
        <v/>
      </c>
      <c r="B2276" s="110" t="str">
        <f aca="false">IF($E2276="","",INDEX(成本费用登记表!$B$4:$B$303,56))</f>
        <v/>
      </c>
      <c r="C2276" s="67" t="str">
        <f aca="false">IF($E2276="","","记-"&amp;TEXT($B2276,"YYYYMM")&amp;"-费用")</f>
        <v/>
      </c>
      <c r="D2276" s="107" t="str">
        <f aca="false">IF($E2276="","",INDEX(成本费用登记表!$E$4:$E$303,56))</f>
        <v/>
      </c>
      <c r="E2276" s="67" t="str">
        <f aca="false">IF(INDEX(成本费用登记表!$Q$4:$Y$303,56,4)=0,"",INDEX(成本费用登记表!$Q$4:$Y$303,56,4))</f>
        <v/>
      </c>
      <c r="F2276" s="99" t="str">
        <f aca="false">IF($E2276="","",IFERROR(INDEX(科目表!$A$4:$A$81,MATCH($E2276,科目表!$B$4:$B$81,0)),""))</f>
        <v/>
      </c>
      <c r="G2276" s="67" t="str">
        <f aca="false">IF($E2276="","",IFERROR(INDEX(科目表!$E$4:$E$81,MATCH($E2276,科目表!$B$4:$B$81,0)),""))</f>
        <v/>
      </c>
      <c r="H2276" s="70" t="str">
        <f aca="false">IF($E2276="","",N(INDEX(成本费用登记表!$Q$4:$Y$303,56,5)))</f>
        <v/>
      </c>
      <c r="I2276" s="70" t="str">
        <f aca="false">IF($E2276="","",N(INDEX(成本费用登记表!$Q$4:$Y$303,56,6)))</f>
        <v/>
      </c>
      <c r="J2276" s="67" t="str">
        <f aca="false">IF($E2276="","",INDEX(成本费用登记表!$C$4:$C$303,56))</f>
        <v/>
      </c>
      <c r="K2276" s="67" t="str">
        <f aca="false">IF($E2276="","",INDEX(成本费用登记表!$D$4:$D$303,56))</f>
        <v/>
      </c>
      <c r="L2276" s="107" t="str">
        <f aca="false">IF($E2276="","",INDEX(成本费用登记表!$N$4:$N$303,56))</f>
        <v/>
      </c>
      <c r="M2276" s="107"/>
      <c r="N2276" s="67" t="str">
        <f aca="false">IF($E2276="","","系统")</f>
        <v/>
      </c>
      <c r="O2276" s="67" t="str">
        <f aca="false">IF($E2276="","","自动C")</f>
        <v/>
      </c>
      <c r="P2276" s="18"/>
    </row>
    <row r="2277" customFormat="false" ht="18" hidden="false" customHeight="true" outlineLevel="0" collapsed="false">
      <c r="A2277" s="107" t="str">
        <f aca="false">IF($E2277="","",ROW()-3)</f>
        <v/>
      </c>
      <c r="B2277" s="110" t="str">
        <f aca="false">IF($E2277="","",INDEX(成本费用登记表!$B$4:$B$303,56))</f>
        <v/>
      </c>
      <c r="C2277" s="67" t="str">
        <f aca="false">IF($E2277="","","记-"&amp;TEXT($B2277,"YYYYMM")&amp;"-费用")</f>
        <v/>
      </c>
      <c r="D2277" s="107" t="str">
        <f aca="false">IF($E2277="","",INDEX(成本费用登记表!$E$4:$E$303,56))</f>
        <v/>
      </c>
      <c r="E2277" s="67" t="str">
        <f aca="false">IF(INDEX(成本费用登记表!$Q$4:$Y$303,56,7)=0,"",INDEX(成本费用登记表!$Q$4:$Y$303,56,7))</f>
        <v/>
      </c>
      <c r="F2277" s="99" t="str">
        <f aca="false">IF($E2277="","",IFERROR(INDEX(科目表!$A$4:$A$81,MATCH($E2277,科目表!$B$4:$B$81,0)),""))</f>
        <v/>
      </c>
      <c r="G2277" s="67" t="str">
        <f aca="false">IF($E2277="","",IFERROR(INDEX(科目表!$E$4:$E$81,MATCH($E2277,科目表!$B$4:$B$81,0)),""))</f>
        <v/>
      </c>
      <c r="H2277" s="70" t="str">
        <f aca="false">IF($E2277="","",N(INDEX(成本费用登记表!$Q$4:$Y$303,56,8)))</f>
        <v/>
      </c>
      <c r="I2277" s="70" t="str">
        <f aca="false">IF($E2277="","",N(INDEX(成本费用登记表!$Q$4:$Y$303,56,9)))</f>
        <v/>
      </c>
      <c r="J2277" s="67" t="str">
        <f aca="false">IF($E2277="","",INDEX(成本费用登记表!$C$4:$C$303,56))</f>
        <v/>
      </c>
      <c r="K2277" s="67" t="str">
        <f aca="false">IF($E2277="","",INDEX(成本费用登记表!$D$4:$D$303,56))</f>
        <v/>
      </c>
      <c r="L2277" s="107" t="str">
        <f aca="false">IF($E2277="","",INDEX(成本费用登记表!$N$4:$N$303,56))</f>
        <v/>
      </c>
      <c r="M2277" s="107"/>
      <c r="N2277" s="67" t="str">
        <f aca="false">IF($E2277="","","系统")</f>
        <v/>
      </c>
      <c r="O2277" s="67" t="str">
        <f aca="false">IF($E2277="","","自动C")</f>
        <v/>
      </c>
      <c r="P2277" s="18"/>
    </row>
    <row r="2278" customFormat="false" ht="18" hidden="false" customHeight="true" outlineLevel="0" collapsed="false">
      <c r="A2278" s="107" t="str">
        <f aca="false">IF($E2278="","",ROW()-3)</f>
        <v/>
      </c>
      <c r="B2278" s="110" t="str">
        <f aca="false">IF($E2278="","",INDEX(成本费用登记表!$B$4:$B$303,57))</f>
        <v/>
      </c>
      <c r="C2278" s="67" t="str">
        <f aca="false">IF($E2278="","","记-"&amp;TEXT($B2278,"YYYYMM")&amp;"-费用")</f>
        <v/>
      </c>
      <c r="D2278" s="107" t="str">
        <f aca="false">IF($E2278="","",INDEX(成本费用登记表!$E$4:$E$303,57))</f>
        <v/>
      </c>
      <c r="E2278" s="67" t="str">
        <f aca="false">IF(INDEX(成本费用登记表!$Q$4:$Y$303,57,1)=0,"",INDEX(成本费用登记表!$Q$4:$Y$303,57,1))</f>
        <v/>
      </c>
      <c r="F2278" s="99" t="str">
        <f aca="false">IF($E2278="","",IFERROR(INDEX(科目表!$A$4:$A$81,MATCH($E2278,科目表!$B$4:$B$81,0)),""))</f>
        <v/>
      </c>
      <c r="G2278" s="67" t="str">
        <f aca="false">IF($E2278="","",IFERROR(INDEX(科目表!$E$4:$E$81,MATCH($E2278,科目表!$B$4:$B$81,0)),""))</f>
        <v/>
      </c>
      <c r="H2278" s="70" t="str">
        <f aca="false">IF($E2278="","",N(INDEX(成本费用登记表!$Q$4:$Y$303,57,2)))</f>
        <v/>
      </c>
      <c r="I2278" s="70" t="str">
        <f aca="false">IF($E2278="","",N(INDEX(成本费用登记表!$Q$4:$Y$303,57,3)))</f>
        <v/>
      </c>
      <c r="J2278" s="67" t="str">
        <f aca="false">IF($E2278="","",INDEX(成本费用登记表!$C$4:$C$303,57))</f>
        <v/>
      </c>
      <c r="K2278" s="67" t="str">
        <f aca="false">IF($E2278="","",INDEX(成本费用登记表!$D$4:$D$303,57))</f>
        <v/>
      </c>
      <c r="L2278" s="107" t="str">
        <f aca="false">IF($E2278="","",INDEX(成本费用登记表!$N$4:$N$303,57))</f>
        <v/>
      </c>
      <c r="M2278" s="107"/>
      <c r="N2278" s="67" t="str">
        <f aca="false">IF($E2278="","","系统")</f>
        <v/>
      </c>
      <c r="O2278" s="67" t="str">
        <f aca="false">IF($E2278="","","自动C")</f>
        <v/>
      </c>
      <c r="P2278" s="18"/>
    </row>
    <row r="2279" customFormat="false" ht="18" hidden="false" customHeight="true" outlineLevel="0" collapsed="false">
      <c r="A2279" s="107" t="str">
        <f aca="false">IF($E2279="","",ROW()-3)</f>
        <v/>
      </c>
      <c r="B2279" s="110" t="str">
        <f aca="false">IF($E2279="","",INDEX(成本费用登记表!$B$4:$B$303,57))</f>
        <v/>
      </c>
      <c r="C2279" s="67" t="str">
        <f aca="false">IF($E2279="","","记-"&amp;TEXT($B2279,"YYYYMM")&amp;"-费用")</f>
        <v/>
      </c>
      <c r="D2279" s="107" t="str">
        <f aca="false">IF($E2279="","",INDEX(成本费用登记表!$E$4:$E$303,57))</f>
        <v/>
      </c>
      <c r="E2279" s="67" t="str">
        <f aca="false">IF(INDEX(成本费用登记表!$Q$4:$Y$303,57,4)=0,"",INDEX(成本费用登记表!$Q$4:$Y$303,57,4))</f>
        <v/>
      </c>
      <c r="F2279" s="99" t="str">
        <f aca="false">IF($E2279="","",IFERROR(INDEX(科目表!$A$4:$A$81,MATCH($E2279,科目表!$B$4:$B$81,0)),""))</f>
        <v/>
      </c>
      <c r="G2279" s="67" t="str">
        <f aca="false">IF($E2279="","",IFERROR(INDEX(科目表!$E$4:$E$81,MATCH($E2279,科目表!$B$4:$B$81,0)),""))</f>
        <v/>
      </c>
      <c r="H2279" s="70" t="str">
        <f aca="false">IF($E2279="","",N(INDEX(成本费用登记表!$Q$4:$Y$303,57,5)))</f>
        <v/>
      </c>
      <c r="I2279" s="70" t="str">
        <f aca="false">IF($E2279="","",N(INDEX(成本费用登记表!$Q$4:$Y$303,57,6)))</f>
        <v/>
      </c>
      <c r="J2279" s="67" t="str">
        <f aca="false">IF($E2279="","",INDEX(成本费用登记表!$C$4:$C$303,57))</f>
        <v/>
      </c>
      <c r="K2279" s="67" t="str">
        <f aca="false">IF($E2279="","",INDEX(成本费用登记表!$D$4:$D$303,57))</f>
        <v/>
      </c>
      <c r="L2279" s="107" t="str">
        <f aca="false">IF($E2279="","",INDEX(成本费用登记表!$N$4:$N$303,57))</f>
        <v/>
      </c>
      <c r="M2279" s="107"/>
      <c r="N2279" s="67" t="str">
        <f aca="false">IF($E2279="","","系统")</f>
        <v/>
      </c>
      <c r="O2279" s="67" t="str">
        <f aca="false">IF($E2279="","","自动C")</f>
        <v/>
      </c>
      <c r="P2279" s="18"/>
    </row>
    <row r="2280" customFormat="false" ht="18" hidden="false" customHeight="true" outlineLevel="0" collapsed="false">
      <c r="A2280" s="107" t="str">
        <f aca="false">IF($E2280="","",ROW()-3)</f>
        <v/>
      </c>
      <c r="B2280" s="110" t="str">
        <f aca="false">IF($E2280="","",INDEX(成本费用登记表!$B$4:$B$303,57))</f>
        <v/>
      </c>
      <c r="C2280" s="67" t="str">
        <f aca="false">IF($E2280="","","记-"&amp;TEXT($B2280,"YYYYMM")&amp;"-费用")</f>
        <v/>
      </c>
      <c r="D2280" s="107" t="str">
        <f aca="false">IF($E2280="","",INDEX(成本费用登记表!$E$4:$E$303,57))</f>
        <v/>
      </c>
      <c r="E2280" s="67" t="str">
        <f aca="false">IF(INDEX(成本费用登记表!$Q$4:$Y$303,57,7)=0,"",INDEX(成本费用登记表!$Q$4:$Y$303,57,7))</f>
        <v/>
      </c>
      <c r="F2280" s="99" t="str">
        <f aca="false">IF($E2280="","",IFERROR(INDEX(科目表!$A$4:$A$81,MATCH($E2280,科目表!$B$4:$B$81,0)),""))</f>
        <v/>
      </c>
      <c r="G2280" s="67" t="str">
        <f aca="false">IF($E2280="","",IFERROR(INDEX(科目表!$E$4:$E$81,MATCH($E2280,科目表!$B$4:$B$81,0)),""))</f>
        <v/>
      </c>
      <c r="H2280" s="70" t="str">
        <f aca="false">IF($E2280="","",N(INDEX(成本费用登记表!$Q$4:$Y$303,57,8)))</f>
        <v/>
      </c>
      <c r="I2280" s="70" t="str">
        <f aca="false">IF($E2280="","",N(INDEX(成本费用登记表!$Q$4:$Y$303,57,9)))</f>
        <v/>
      </c>
      <c r="J2280" s="67" t="str">
        <f aca="false">IF($E2280="","",INDEX(成本费用登记表!$C$4:$C$303,57))</f>
        <v/>
      </c>
      <c r="K2280" s="67" t="str">
        <f aca="false">IF($E2280="","",INDEX(成本费用登记表!$D$4:$D$303,57))</f>
        <v/>
      </c>
      <c r="L2280" s="107" t="str">
        <f aca="false">IF($E2280="","",INDEX(成本费用登记表!$N$4:$N$303,57))</f>
        <v/>
      </c>
      <c r="M2280" s="107"/>
      <c r="N2280" s="67" t="str">
        <f aca="false">IF($E2280="","","系统")</f>
        <v/>
      </c>
      <c r="O2280" s="67" t="str">
        <f aca="false">IF($E2280="","","自动C")</f>
        <v/>
      </c>
      <c r="P2280" s="18"/>
    </row>
    <row r="2281" customFormat="false" ht="18" hidden="false" customHeight="true" outlineLevel="0" collapsed="false">
      <c r="A2281" s="107" t="str">
        <f aca="false">IF($E2281="","",ROW()-3)</f>
        <v/>
      </c>
      <c r="B2281" s="110" t="str">
        <f aca="false">IF($E2281="","",INDEX(成本费用登记表!$B$4:$B$303,58))</f>
        <v/>
      </c>
      <c r="C2281" s="67" t="str">
        <f aca="false">IF($E2281="","","记-"&amp;TEXT($B2281,"YYYYMM")&amp;"-费用")</f>
        <v/>
      </c>
      <c r="D2281" s="107" t="str">
        <f aca="false">IF($E2281="","",INDEX(成本费用登记表!$E$4:$E$303,58))</f>
        <v/>
      </c>
      <c r="E2281" s="67" t="str">
        <f aca="false">IF(INDEX(成本费用登记表!$Q$4:$Y$303,58,1)=0,"",INDEX(成本费用登记表!$Q$4:$Y$303,58,1))</f>
        <v/>
      </c>
      <c r="F2281" s="99" t="str">
        <f aca="false">IF($E2281="","",IFERROR(INDEX(科目表!$A$4:$A$81,MATCH($E2281,科目表!$B$4:$B$81,0)),""))</f>
        <v/>
      </c>
      <c r="G2281" s="67" t="str">
        <f aca="false">IF($E2281="","",IFERROR(INDEX(科目表!$E$4:$E$81,MATCH($E2281,科目表!$B$4:$B$81,0)),""))</f>
        <v/>
      </c>
      <c r="H2281" s="70" t="str">
        <f aca="false">IF($E2281="","",N(INDEX(成本费用登记表!$Q$4:$Y$303,58,2)))</f>
        <v/>
      </c>
      <c r="I2281" s="70" t="str">
        <f aca="false">IF($E2281="","",N(INDEX(成本费用登记表!$Q$4:$Y$303,58,3)))</f>
        <v/>
      </c>
      <c r="J2281" s="67" t="str">
        <f aca="false">IF($E2281="","",INDEX(成本费用登记表!$C$4:$C$303,58))</f>
        <v/>
      </c>
      <c r="K2281" s="67" t="str">
        <f aca="false">IF($E2281="","",INDEX(成本费用登记表!$D$4:$D$303,58))</f>
        <v/>
      </c>
      <c r="L2281" s="107" t="str">
        <f aca="false">IF($E2281="","",INDEX(成本费用登记表!$N$4:$N$303,58))</f>
        <v/>
      </c>
      <c r="M2281" s="107"/>
      <c r="N2281" s="67" t="str">
        <f aca="false">IF($E2281="","","系统")</f>
        <v/>
      </c>
      <c r="O2281" s="67" t="str">
        <f aca="false">IF($E2281="","","自动C")</f>
        <v/>
      </c>
      <c r="P2281" s="18"/>
    </row>
    <row r="2282" customFormat="false" ht="18" hidden="false" customHeight="true" outlineLevel="0" collapsed="false">
      <c r="A2282" s="107" t="str">
        <f aca="false">IF($E2282="","",ROW()-3)</f>
        <v/>
      </c>
      <c r="B2282" s="110" t="str">
        <f aca="false">IF($E2282="","",INDEX(成本费用登记表!$B$4:$B$303,58))</f>
        <v/>
      </c>
      <c r="C2282" s="67" t="str">
        <f aca="false">IF($E2282="","","记-"&amp;TEXT($B2282,"YYYYMM")&amp;"-费用")</f>
        <v/>
      </c>
      <c r="D2282" s="107" t="str">
        <f aca="false">IF($E2282="","",INDEX(成本费用登记表!$E$4:$E$303,58))</f>
        <v/>
      </c>
      <c r="E2282" s="67" t="str">
        <f aca="false">IF(INDEX(成本费用登记表!$Q$4:$Y$303,58,4)=0,"",INDEX(成本费用登记表!$Q$4:$Y$303,58,4))</f>
        <v/>
      </c>
      <c r="F2282" s="99" t="str">
        <f aca="false">IF($E2282="","",IFERROR(INDEX(科目表!$A$4:$A$81,MATCH($E2282,科目表!$B$4:$B$81,0)),""))</f>
        <v/>
      </c>
      <c r="G2282" s="67" t="str">
        <f aca="false">IF($E2282="","",IFERROR(INDEX(科目表!$E$4:$E$81,MATCH($E2282,科目表!$B$4:$B$81,0)),""))</f>
        <v/>
      </c>
      <c r="H2282" s="70" t="str">
        <f aca="false">IF($E2282="","",N(INDEX(成本费用登记表!$Q$4:$Y$303,58,5)))</f>
        <v/>
      </c>
      <c r="I2282" s="70" t="str">
        <f aca="false">IF($E2282="","",N(INDEX(成本费用登记表!$Q$4:$Y$303,58,6)))</f>
        <v/>
      </c>
      <c r="J2282" s="67" t="str">
        <f aca="false">IF($E2282="","",INDEX(成本费用登记表!$C$4:$C$303,58))</f>
        <v/>
      </c>
      <c r="K2282" s="67" t="str">
        <f aca="false">IF($E2282="","",INDEX(成本费用登记表!$D$4:$D$303,58))</f>
        <v/>
      </c>
      <c r="L2282" s="107" t="str">
        <f aca="false">IF($E2282="","",INDEX(成本费用登记表!$N$4:$N$303,58))</f>
        <v/>
      </c>
      <c r="M2282" s="107"/>
      <c r="N2282" s="67" t="str">
        <f aca="false">IF($E2282="","","系统")</f>
        <v/>
      </c>
      <c r="O2282" s="67" t="str">
        <f aca="false">IF($E2282="","","自动C")</f>
        <v/>
      </c>
      <c r="P2282" s="18"/>
    </row>
    <row r="2283" customFormat="false" ht="18" hidden="false" customHeight="true" outlineLevel="0" collapsed="false">
      <c r="A2283" s="107" t="str">
        <f aca="false">IF($E2283="","",ROW()-3)</f>
        <v/>
      </c>
      <c r="B2283" s="110" t="str">
        <f aca="false">IF($E2283="","",INDEX(成本费用登记表!$B$4:$B$303,58))</f>
        <v/>
      </c>
      <c r="C2283" s="67" t="str">
        <f aca="false">IF($E2283="","","记-"&amp;TEXT($B2283,"YYYYMM")&amp;"-费用")</f>
        <v/>
      </c>
      <c r="D2283" s="107" t="str">
        <f aca="false">IF($E2283="","",INDEX(成本费用登记表!$E$4:$E$303,58))</f>
        <v/>
      </c>
      <c r="E2283" s="67" t="str">
        <f aca="false">IF(INDEX(成本费用登记表!$Q$4:$Y$303,58,7)=0,"",INDEX(成本费用登记表!$Q$4:$Y$303,58,7))</f>
        <v/>
      </c>
      <c r="F2283" s="99" t="str">
        <f aca="false">IF($E2283="","",IFERROR(INDEX(科目表!$A$4:$A$81,MATCH($E2283,科目表!$B$4:$B$81,0)),""))</f>
        <v/>
      </c>
      <c r="G2283" s="67" t="str">
        <f aca="false">IF($E2283="","",IFERROR(INDEX(科目表!$E$4:$E$81,MATCH($E2283,科目表!$B$4:$B$81,0)),""))</f>
        <v/>
      </c>
      <c r="H2283" s="70" t="str">
        <f aca="false">IF($E2283="","",N(INDEX(成本费用登记表!$Q$4:$Y$303,58,8)))</f>
        <v/>
      </c>
      <c r="I2283" s="70" t="str">
        <f aca="false">IF($E2283="","",N(INDEX(成本费用登记表!$Q$4:$Y$303,58,9)))</f>
        <v/>
      </c>
      <c r="J2283" s="67" t="str">
        <f aca="false">IF($E2283="","",INDEX(成本费用登记表!$C$4:$C$303,58))</f>
        <v/>
      </c>
      <c r="K2283" s="67" t="str">
        <f aca="false">IF($E2283="","",INDEX(成本费用登记表!$D$4:$D$303,58))</f>
        <v/>
      </c>
      <c r="L2283" s="107" t="str">
        <f aca="false">IF($E2283="","",INDEX(成本费用登记表!$N$4:$N$303,58))</f>
        <v/>
      </c>
      <c r="M2283" s="107"/>
      <c r="N2283" s="67" t="str">
        <f aca="false">IF($E2283="","","系统")</f>
        <v/>
      </c>
      <c r="O2283" s="67" t="str">
        <f aca="false">IF($E2283="","","自动C")</f>
        <v/>
      </c>
      <c r="P2283" s="18"/>
    </row>
    <row r="2284" customFormat="false" ht="18" hidden="false" customHeight="true" outlineLevel="0" collapsed="false">
      <c r="A2284" s="107" t="str">
        <f aca="false">IF($E2284="","",ROW()-3)</f>
        <v/>
      </c>
      <c r="B2284" s="110" t="str">
        <f aca="false">IF($E2284="","",INDEX(成本费用登记表!$B$4:$B$303,59))</f>
        <v/>
      </c>
      <c r="C2284" s="67" t="str">
        <f aca="false">IF($E2284="","","记-"&amp;TEXT($B2284,"YYYYMM")&amp;"-费用")</f>
        <v/>
      </c>
      <c r="D2284" s="107" t="str">
        <f aca="false">IF($E2284="","",INDEX(成本费用登记表!$E$4:$E$303,59))</f>
        <v/>
      </c>
      <c r="E2284" s="67" t="str">
        <f aca="false">IF(INDEX(成本费用登记表!$Q$4:$Y$303,59,1)=0,"",INDEX(成本费用登记表!$Q$4:$Y$303,59,1))</f>
        <v/>
      </c>
      <c r="F2284" s="99" t="str">
        <f aca="false">IF($E2284="","",IFERROR(INDEX(科目表!$A$4:$A$81,MATCH($E2284,科目表!$B$4:$B$81,0)),""))</f>
        <v/>
      </c>
      <c r="G2284" s="67" t="str">
        <f aca="false">IF($E2284="","",IFERROR(INDEX(科目表!$E$4:$E$81,MATCH($E2284,科目表!$B$4:$B$81,0)),""))</f>
        <v/>
      </c>
      <c r="H2284" s="70" t="str">
        <f aca="false">IF($E2284="","",N(INDEX(成本费用登记表!$Q$4:$Y$303,59,2)))</f>
        <v/>
      </c>
      <c r="I2284" s="70" t="str">
        <f aca="false">IF($E2284="","",N(INDEX(成本费用登记表!$Q$4:$Y$303,59,3)))</f>
        <v/>
      </c>
      <c r="J2284" s="67" t="str">
        <f aca="false">IF($E2284="","",INDEX(成本费用登记表!$C$4:$C$303,59))</f>
        <v/>
      </c>
      <c r="K2284" s="67" t="str">
        <f aca="false">IF($E2284="","",INDEX(成本费用登记表!$D$4:$D$303,59))</f>
        <v/>
      </c>
      <c r="L2284" s="107" t="str">
        <f aca="false">IF($E2284="","",INDEX(成本费用登记表!$N$4:$N$303,59))</f>
        <v/>
      </c>
      <c r="M2284" s="107"/>
      <c r="N2284" s="67" t="str">
        <f aca="false">IF($E2284="","","系统")</f>
        <v/>
      </c>
      <c r="O2284" s="67" t="str">
        <f aca="false">IF($E2284="","","自动C")</f>
        <v/>
      </c>
      <c r="P2284" s="18"/>
    </row>
    <row r="2285" customFormat="false" ht="18" hidden="false" customHeight="true" outlineLevel="0" collapsed="false">
      <c r="A2285" s="107" t="str">
        <f aca="false">IF($E2285="","",ROW()-3)</f>
        <v/>
      </c>
      <c r="B2285" s="110" t="str">
        <f aca="false">IF($E2285="","",INDEX(成本费用登记表!$B$4:$B$303,59))</f>
        <v/>
      </c>
      <c r="C2285" s="67" t="str">
        <f aca="false">IF($E2285="","","记-"&amp;TEXT($B2285,"YYYYMM")&amp;"-费用")</f>
        <v/>
      </c>
      <c r="D2285" s="107" t="str">
        <f aca="false">IF($E2285="","",INDEX(成本费用登记表!$E$4:$E$303,59))</f>
        <v/>
      </c>
      <c r="E2285" s="67" t="str">
        <f aca="false">IF(INDEX(成本费用登记表!$Q$4:$Y$303,59,4)=0,"",INDEX(成本费用登记表!$Q$4:$Y$303,59,4))</f>
        <v/>
      </c>
      <c r="F2285" s="99" t="str">
        <f aca="false">IF($E2285="","",IFERROR(INDEX(科目表!$A$4:$A$81,MATCH($E2285,科目表!$B$4:$B$81,0)),""))</f>
        <v/>
      </c>
      <c r="G2285" s="67" t="str">
        <f aca="false">IF($E2285="","",IFERROR(INDEX(科目表!$E$4:$E$81,MATCH($E2285,科目表!$B$4:$B$81,0)),""))</f>
        <v/>
      </c>
      <c r="H2285" s="70" t="str">
        <f aca="false">IF($E2285="","",N(INDEX(成本费用登记表!$Q$4:$Y$303,59,5)))</f>
        <v/>
      </c>
      <c r="I2285" s="70" t="str">
        <f aca="false">IF($E2285="","",N(INDEX(成本费用登记表!$Q$4:$Y$303,59,6)))</f>
        <v/>
      </c>
      <c r="J2285" s="67" t="str">
        <f aca="false">IF($E2285="","",INDEX(成本费用登记表!$C$4:$C$303,59))</f>
        <v/>
      </c>
      <c r="K2285" s="67" t="str">
        <f aca="false">IF($E2285="","",INDEX(成本费用登记表!$D$4:$D$303,59))</f>
        <v/>
      </c>
      <c r="L2285" s="107" t="str">
        <f aca="false">IF($E2285="","",INDEX(成本费用登记表!$N$4:$N$303,59))</f>
        <v/>
      </c>
      <c r="M2285" s="107"/>
      <c r="N2285" s="67" t="str">
        <f aca="false">IF($E2285="","","系统")</f>
        <v/>
      </c>
      <c r="O2285" s="67" t="str">
        <f aca="false">IF($E2285="","","自动C")</f>
        <v/>
      </c>
      <c r="P2285" s="18"/>
    </row>
    <row r="2286" customFormat="false" ht="18" hidden="false" customHeight="true" outlineLevel="0" collapsed="false">
      <c r="A2286" s="107" t="str">
        <f aca="false">IF($E2286="","",ROW()-3)</f>
        <v/>
      </c>
      <c r="B2286" s="110" t="str">
        <f aca="false">IF($E2286="","",INDEX(成本费用登记表!$B$4:$B$303,59))</f>
        <v/>
      </c>
      <c r="C2286" s="67" t="str">
        <f aca="false">IF($E2286="","","记-"&amp;TEXT($B2286,"YYYYMM")&amp;"-费用")</f>
        <v/>
      </c>
      <c r="D2286" s="107" t="str">
        <f aca="false">IF($E2286="","",INDEX(成本费用登记表!$E$4:$E$303,59))</f>
        <v/>
      </c>
      <c r="E2286" s="67" t="str">
        <f aca="false">IF(INDEX(成本费用登记表!$Q$4:$Y$303,59,7)=0,"",INDEX(成本费用登记表!$Q$4:$Y$303,59,7))</f>
        <v/>
      </c>
      <c r="F2286" s="99" t="str">
        <f aca="false">IF($E2286="","",IFERROR(INDEX(科目表!$A$4:$A$81,MATCH($E2286,科目表!$B$4:$B$81,0)),""))</f>
        <v/>
      </c>
      <c r="G2286" s="67" t="str">
        <f aca="false">IF($E2286="","",IFERROR(INDEX(科目表!$E$4:$E$81,MATCH($E2286,科目表!$B$4:$B$81,0)),""))</f>
        <v/>
      </c>
      <c r="H2286" s="70" t="str">
        <f aca="false">IF($E2286="","",N(INDEX(成本费用登记表!$Q$4:$Y$303,59,8)))</f>
        <v/>
      </c>
      <c r="I2286" s="70" t="str">
        <f aca="false">IF($E2286="","",N(INDEX(成本费用登记表!$Q$4:$Y$303,59,9)))</f>
        <v/>
      </c>
      <c r="J2286" s="67" t="str">
        <f aca="false">IF($E2286="","",INDEX(成本费用登记表!$C$4:$C$303,59))</f>
        <v/>
      </c>
      <c r="K2286" s="67" t="str">
        <f aca="false">IF($E2286="","",INDEX(成本费用登记表!$D$4:$D$303,59))</f>
        <v/>
      </c>
      <c r="L2286" s="107" t="str">
        <f aca="false">IF($E2286="","",INDEX(成本费用登记表!$N$4:$N$303,59))</f>
        <v/>
      </c>
      <c r="M2286" s="107"/>
      <c r="N2286" s="67" t="str">
        <f aca="false">IF($E2286="","","系统")</f>
        <v/>
      </c>
      <c r="O2286" s="67" t="str">
        <f aca="false">IF($E2286="","","自动C")</f>
        <v/>
      </c>
      <c r="P2286" s="18"/>
    </row>
    <row r="2287" customFormat="false" ht="18" hidden="false" customHeight="true" outlineLevel="0" collapsed="false">
      <c r="A2287" s="107" t="str">
        <f aca="false">IF($E2287="","",ROW()-3)</f>
        <v/>
      </c>
      <c r="B2287" s="110" t="str">
        <f aca="false">IF($E2287="","",INDEX(成本费用登记表!$B$4:$B$303,60))</f>
        <v/>
      </c>
      <c r="C2287" s="67" t="str">
        <f aca="false">IF($E2287="","","记-"&amp;TEXT($B2287,"YYYYMM")&amp;"-费用")</f>
        <v/>
      </c>
      <c r="D2287" s="107" t="str">
        <f aca="false">IF($E2287="","",INDEX(成本费用登记表!$E$4:$E$303,60))</f>
        <v/>
      </c>
      <c r="E2287" s="67" t="str">
        <f aca="false">IF(INDEX(成本费用登记表!$Q$4:$Y$303,60,1)=0,"",INDEX(成本费用登记表!$Q$4:$Y$303,60,1))</f>
        <v/>
      </c>
      <c r="F2287" s="99" t="str">
        <f aca="false">IF($E2287="","",IFERROR(INDEX(科目表!$A$4:$A$81,MATCH($E2287,科目表!$B$4:$B$81,0)),""))</f>
        <v/>
      </c>
      <c r="G2287" s="67" t="str">
        <f aca="false">IF($E2287="","",IFERROR(INDEX(科目表!$E$4:$E$81,MATCH($E2287,科目表!$B$4:$B$81,0)),""))</f>
        <v/>
      </c>
      <c r="H2287" s="70" t="str">
        <f aca="false">IF($E2287="","",N(INDEX(成本费用登记表!$Q$4:$Y$303,60,2)))</f>
        <v/>
      </c>
      <c r="I2287" s="70" t="str">
        <f aca="false">IF($E2287="","",N(INDEX(成本费用登记表!$Q$4:$Y$303,60,3)))</f>
        <v/>
      </c>
      <c r="J2287" s="67" t="str">
        <f aca="false">IF($E2287="","",INDEX(成本费用登记表!$C$4:$C$303,60))</f>
        <v/>
      </c>
      <c r="K2287" s="67" t="str">
        <f aca="false">IF($E2287="","",INDEX(成本费用登记表!$D$4:$D$303,60))</f>
        <v/>
      </c>
      <c r="L2287" s="107" t="str">
        <f aca="false">IF($E2287="","",INDEX(成本费用登记表!$N$4:$N$303,60))</f>
        <v/>
      </c>
      <c r="M2287" s="107"/>
      <c r="N2287" s="67" t="str">
        <f aca="false">IF($E2287="","","系统")</f>
        <v/>
      </c>
      <c r="O2287" s="67" t="str">
        <f aca="false">IF($E2287="","","自动C")</f>
        <v/>
      </c>
      <c r="P2287" s="18"/>
    </row>
    <row r="2288" customFormat="false" ht="18" hidden="false" customHeight="true" outlineLevel="0" collapsed="false">
      <c r="A2288" s="107" t="str">
        <f aca="false">IF($E2288="","",ROW()-3)</f>
        <v/>
      </c>
      <c r="B2288" s="110" t="str">
        <f aca="false">IF($E2288="","",INDEX(成本费用登记表!$B$4:$B$303,60))</f>
        <v/>
      </c>
      <c r="C2288" s="67" t="str">
        <f aca="false">IF($E2288="","","记-"&amp;TEXT($B2288,"YYYYMM")&amp;"-费用")</f>
        <v/>
      </c>
      <c r="D2288" s="107" t="str">
        <f aca="false">IF($E2288="","",INDEX(成本费用登记表!$E$4:$E$303,60))</f>
        <v/>
      </c>
      <c r="E2288" s="67" t="str">
        <f aca="false">IF(INDEX(成本费用登记表!$Q$4:$Y$303,60,4)=0,"",INDEX(成本费用登记表!$Q$4:$Y$303,60,4))</f>
        <v/>
      </c>
      <c r="F2288" s="99" t="str">
        <f aca="false">IF($E2288="","",IFERROR(INDEX(科目表!$A$4:$A$81,MATCH($E2288,科目表!$B$4:$B$81,0)),""))</f>
        <v/>
      </c>
      <c r="G2288" s="67" t="str">
        <f aca="false">IF($E2288="","",IFERROR(INDEX(科目表!$E$4:$E$81,MATCH($E2288,科目表!$B$4:$B$81,0)),""))</f>
        <v/>
      </c>
      <c r="H2288" s="70" t="str">
        <f aca="false">IF($E2288="","",N(INDEX(成本费用登记表!$Q$4:$Y$303,60,5)))</f>
        <v/>
      </c>
      <c r="I2288" s="70" t="str">
        <f aca="false">IF($E2288="","",N(INDEX(成本费用登记表!$Q$4:$Y$303,60,6)))</f>
        <v/>
      </c>
      <c r="J2288" s="67" t="str">
        <f aca="false">IF($E2288="","",INDEX(成本费用登记表!$C$4:$C$303,60))</f>
        <v/>
      </c>
      <c r="K2288" s="67" t="str">
        <f aca="false">IF($E2288="","",INDEX(成本费用登记表!$D$4:$D$303,60))</f>
        <v/>
      </c>
      <c r="L2288" s="107" t="str">
        <f aca="false">IF($E2288="","",INDEX(成本费用登记表!$N$4:$N$303,60))</f>
        <v/>
      </c>
      <c r="M2288" s="107"/>
      <c r="N2288" s="67" t="str">
        <f aca="false">IF($E2288="","","系统")</f>
        <v/>
      </c>
      <c r="O2288" s="67" t="str">
        <f aca="false">IF($E2288="","","自动C")</f>
        <v/>
      </c>
      <c r="P2288" s="18"/>
    </row>
    <row r="2289" customFormat="false" ht="18" hidden="false" customHeight="true" outlineLevel="0" collapsed="false">
      <c r="A2289" s="107" t="str">
        <f aca="false">IF($E2289="","",ROW()-3)</f>
        <v/>
      </c>
      <c r="B2289" s="110" t="str">
        <f aca="false">IF($E2289="","",INDEX(成本费用登记表!$B$4:$B$303,60))</f>
        <v/>
      </c>
      <c r="C2289" s="67" t="str">
        <f aca="false">IF($E2289="","","记-"&amp;TEXT($B2289,"YYYYMM")&amp;"-费用")</f>
        <v/>
      </c>
      <c r="D2289" s="107" t="str">
        <f aca="false">IF($E2289="","",INDEX(成本费用登记表!$E$4:$E$303,60))</f>
        <v/>
      </c>
      <c r="E2289" s="67" t="str">
        <f aca="false">IF(INDEX(成本费用登记表!$Q$4:$Y$303,60,7)=0,"",INDEX(成本费用登记表!$Q$4:$Y$303,60,7))</f>
        <v/>
      </c>
      <c r="F2289" s="99" t="str">
        <f aca="false">IF($E2289="","",IFERROR(INDEX(科目表!$A$4:$A$81,MATCH($E2289,科目表!$B$4:$B$81,0)),""))</f>
        <v/>
      </c>
      <c r="G2289" s="67" t="str">
        <f aca="false">IF($E2289="","",IFERROR(INDEX(科目表!$E$4:$E$81,MATCH($E2289,科目表!$B$4:$B$81,0)),""))</f>
        <v/>
      </c>
      <c r="H2289" s="70" t="str">
        <f aca="false">IF($E2289="","",N(INDEX(成本费用登记表!$Q$4:$Y$303,60,8)))</f>
        <v/>
      </c>
      <c r="I2289" s="70" t="str">
        <f aca="false">IF($E2289="","",N(INDEX(成本费用登记表!$Q$4:$Y$303,60,9)))</f>
        <v/>
      </c>
      <c r="J2289" s="67" t="str">
        <f aca="false">IF($E2289="","",INDEX(成本费用登记表!$C$4:$C$303,60))</f>
        <v/>
      </c>
      <c r="K2289" s="67" t="str">
        <f aca="false">IF($E2289="","",INDEX(成本费用登记表!$D$4:$D$303,60))</f>
        <v/>
      </c>
      <c r="L2289" s="107" t="str">
        <f aca="false">IF($E2289="","",INDEX(成本费用登记表!$N$4:$N$303,60))</f>
        <v/>
      </c>
      <c r="M2289" s="107"/>
      <c r="N2289" s="67" t="str">
        <f aca="false">IF($E2289="","","系统")</f>
        <v/>
      </c>
      <c r="O2289" s="67" t="str">
        <f aca="false">IF($E2289="","","自动C")</f>
        <v/>
      </c>
      <c r="P2289" s="18"/>
    </row>
    <row r="2290" customFormat="false" ht="18" hidden="false" customHeight="true" outlineLevel="0" collapsed="false">
      <c r="A2290" s="107" t="str">
        <f aca="false">IF($E2290="","",ROW()-3)</f>
        <v/>
      </c>
      <c r="B2290" s="110" t="str">
        <f aca="false">IF($E2290="","",INDEX(成本费用登记表!$B$4:$B$303,61))</f>
        <v/>
      </c>
      <c r="C2290" s="67" t="str">
        <f aca="false">IF($E2290="","","记-"&amp;TEXT($B2290,"YYYYMM")&amp;"-费用")</f>
        <v/>
      </c>
      <c r="D2290" s="107" t="str">
        <f aca="false">IF($E2290="","",INDEX(成本费用登记表!$E$4:$E$303,61))</f>
        <v/>
      </c>
      <c r="E2290" s="67" t="str">
        <f aca="false">IF(INDEX(成本费用登记表!$Q$4:$Y$303,61,1)=0,"",INDEX(成本费用登记表!$Q$4:$Y$303,61,1))</f>
        <v/>
      </c>
      <c r="F2290" s="99" t="str">
        <f aca="false">IF($E2290="","",IFERROR(INDEX(科目表!$A$4:$A$81,MATCH($E2290,科目表!$B$4:$B$81,0)),""))</f>
        <v/>
      </c>
      <c r="G2290" s="67" t="str">
        <f aca="false">IF($E2290="","",IFERROR(INDEX(科目表!$E$4:$E$81,MATCH($E2290,科目表!$B$4:$B$81,0)),""))</f>
        <v/>
      </c>
      <c r="H2290" s="70" t="str">
        <f aca="false">IF($E2290="","",N(INDEX(成本费用登记表!$Q$4:$Y$303,61,2)))</f>
        <v/>
      </c>
      <c r="I2290" s="70" t="str">
        <f aca="false">IF($E2290="","",N(INDEX(成本费用登记表!$Q$4:$Y$303,61,3)))</f>
        <v/>
      </c>
      <c r="J2290" s="67" t="str">
        <f aca="false">IF($E2290="","",INDEX(成本费用登记表!$C$4:$C$303,61))</f>
        <v/>
      </c>
      <c r="K2290" s="67" t="str">
        <f aca="false">IF($E2290="","",INDEX(成本费用登记表!$D$4:$D$303,61))</f>
        <v/>
      </c>
      <c r="L2290" s="107" t="str">
        <f aca="false">IF($E2290="","",INDEX(成本费用登记表!$N$4:$N$303,61))</f>
        <v/>
      </c>
      <c r="M2290" s="107"/>
      <c r="N2290" s="67" t="str">
        <f aca="false">IF($E2290="","","系统")</f>
        <v/>
      </c>
      <c r="O2290" s="67" t="str">
        <f aca="false">IF($E2290="","","自动C")</f>
        <v/>
      </c>
      <c r="P2290" s="18"/>
    </row>
    <row r="2291" customFormat="false" ht="18" hidden="false" customHeight="true" outlineLevel="0" collapsed="false">
      <c r="A2291" s="107" t="str">
        <f aca="false">IF($E2291="","",ROW()-3)</f>
        <v/>
      </c>
      <c r="B2291" s="110" t="str">
        <f aca="false">IF($E2291="","",INDEX(成本费用登记表!$B$4:$B$303,61))</f>
        <v/>
      </c>
      <c r="C2291" s="67" t="str">
        <f aca="false">IF($E2291="","","记-"&amp;TEXT($B2291,"YYYYMM")&amp;"-费用")</f>
        <v/>
      </c>
      <c r="D2291" s="107" t="str">
        <f aca="false">IF($E2291="","",INDEX(成本费用登记表!$E$4:$E$303,61))</f>
        <v/>
      </c>
      <c r="E2291" s="67" t="str">
        <f aca="false">IF(INDEX(成本费用登记表!$Q$4:$Y$303,61,4)=0,"",INDEX(成本费用登记表!$Q$4:$Y$303,61,4))</f>
        <v/>
      </c>
      <c r="F2291" s="99" t="str">
        <f aca="false">IF($E2291="","",IFERROR(INDEX(科目表!$A$4:$A$81,MATCH($E2291,科目表!$B$4:$B$81,0)),""))</f>
        <v/>
      </c>
      <c r="G2291" s="67" t="str">
        <f aca="false">IF($E2291="","",IFERROR(INDEX(科目表!$E$4:$E$81,MATCH($E2291,科目表!$B$4:$B$81,0)),""))</f>
        <v/>
      </c>
      <c r="H2291" s="70" t="str">
        <f aca="false">IF($E2291="","",N(INDEX(成本费用登记表!$Q$4:$Y$303,61,5)))</f>
        <v/>
      </c>
      <c r="I2291" s="70" t="str">
        <f aca="false">IF($E2291="","",N(INDEX(成本费用登记表!$Q$4:$Y$303,61,6)))</f>
        <v/>
      </c>
      <c r="J2291" s="67" t="str">
        <f aca="false">IF($E2291="","",INDEX(成本费用登记表!$C$4:$C$303,61))</f>
        <v/>
      </c>
      <c r="K2291" s="67" t="str">
        <f aca="false">IF($E2291="","",INDEX(成本费用登记表!$D$4:$D$303,61))</f>
        <v/>
      </c>
      <c r="L2291" s="107" t="str">
        <f aca="false">IF($E2291="","",INDEX(成本费用登记表!$N$4:$N$303,61))</f>
        <v/>
      </c>
      <c r="M2291" s="107"/>
      <c r="N2291" s="67" t="str">
        <f aca="false">IF($E2291="","","系统")</f>
        <v/>
      </c>
      <c r="O2291" s="67" t="str">
        <f aca="false">IF($E2291="","","自动C")</f>
        <v/>
      </c>
      <c r="P2291" s="18"/>
    </row>
    <row r="2292" customFormat="false" ht="18" hidden="false" customHeight="true" outlineLevel="0" collapsed="false">
      <c r="A2292" s="107" t="str">
        <f aca="false">IF($E2292="","",ROW()-3)</f>
        <v/>
      </c>
      <c r="B2292" s="110" t="str">
        <f aca="false">IF($E2292="","",INDEX(成本费用登记表!$B$4:$B$303,61))</f>
        <v/>
      </c>
      <c r="C2292" s="67" t="str">
        <f aca="false">IF($E2292="","","记-"&amp;TEXT($B2292,"YYYYMM")&amp;"-费用")</f>
        <v/>
      </c>
      <c r="D2292" s="107" t="str">
        <f aca="false">IF($E2292="","",INDEX(成本费用登记表!$E$4:$E$303,61))</f>
        <v/>
      </c>
      <c r="E2292" s="67" t="str">
        <f aca="false">IF(INDEX(成本费用登记表!$Q$4:$Y$303,61,7)=0,"",INDEX(成本费用登记表!$Q$4:$Y$303,61,7))</f>
        <v/>
      </c>
      <c r="F2292" s="99" t="str">
        <f aca="false">IF($E2292="","",IFERROR(INDEX(科目表!$A$4:$A$81,MATCH($E2292,科目表!$B$4:$B$81,0)),""))</f>
        <v/>
      </c>
      <c r="G2292" s="67" t="str">
        <f aca="false">IF($E2292="","",IFERROR(INDEX(科目表!$E$4:$E$81,MATCH($E2292,科目表!$B$4:$B$81,0)),""))</f>
        <v/>
      </c>
      <c r="H2292" s="70" t="str">
        <f aca="false">IF($E2292="","",N(INDEX(成本费用登记表!$Q$4:$Y$303,61,8)))</f>
        <v/>
      </c>
      <c r="I2292" s="70" t="str">
        <f aca="false">IF($E2292="","",N(INDEX(成本费用登记表!$Q$4:$Y$303,61,9)))</f>
        <v/>
      </c>
      <c r="J2292" s="67" t="str">
        <f aca="false">IF($E2292="","",INDEX(成本费用登记表!$C$4:$C$303,61))</f>
        <v/>
      </c>
      <c r="K2292" s="67" t="str">
        <f aca="false">IF($E2292="","",INDEX(成本费用登记表!$D$4:$D$303,61))</f>
        <v/>
      </c>
      <c r="L2292" s="107" t="str">
        <f aca="false">IF($E2292="","",INDEX(成本费用登记表!$N$4:$N$303,61))</f>
        <v/>
      </c>
      <c r="M2292" s="107"/>
      <c r="N2292" s="67" t="str">
        <f aca="false">IF($E2292="","","系统")</f>
        <v/>
      </c>
      <c r="O2292" s="67" t="str">
        <f aca="false">IF($E2292="","","自动C")</f>
        <v/>
      </c>
      <c r="P2292" s="18"/>
    </row>
    <row r="2293" customFormat="false" ht="18" hidden="false" customHeight="true" outlineLevel="0" collapsed="false">
      <c r="A2293" s="107" t="str">
        <f aca="false">IF($E2293="","",ROW()-3)</f>
        <v/>
      </c>
      <c r="B2293" s="110" t="str">
        <f aca="false">IF($E2293="","",INDEX(成本费用登记表!$B$4:$B$303,62))</f>
        <v/>
      </c>
      <c r="C2293" s="67" t="str">
        <f aca="false">IF($E2293="","","记-"&amp;TEXT($B2293,"YYYYMM")&amp;"-费用")</f>
        <v/>
      </c>
      <c r="D2293" s="107" t="str">
        <f aca="false">IF($E2293="","",INDEX(成本费用登记表!$E$4:$E$303,62))</f>
        <v/>
      </c>
      <c r="E2293" s="67" t="str">
        <f aca="false">IF(INDEX(成本费用登记表!$Q$4:$Y$303,62,1)=0,"",INDEX(成本费用登记表!$Q$4:$Y$303,62,1))</f>
        <v/>
      </c>
      <c r="F2293" s="99" t="str">
        <f aca="false">IF($E2293="","",IFERROR(INDEX(科目表!$A$4:$A$81,MATCH($E2293,科目表!$B$4:$B$81,0)),""))</f>
        <v/>
      </c>
      <c r="G2293" s="67" t="str">
        <f aca="false">IF($E2293="","",IFERROR(INDEX(科目表!$E$4:$E$81,MATCH($E2293,科目表!$B$4:$B$81,0)),""))</f>
        <v/>
      </c>
      <c r="H2293" s="70" t="str">
        <f aca="false">IF($E2293="","",N(INDEX(成本费用登记表!$Q$4:$Y$303,62,2)))</f>
        <v/>
      </c>
      <c r="I2293" s="70" t="str">
        <f aca="false">IF($E2293="","",N(INDEX(成本费用登记表!$Q$4:$Y$303,62,3)))</f>
        <v/>
      </c>
      <c r="J2293" s="67" t="str">
        <f aca="false">IF($E2293="","",INDEX(成本费用登记表!$C$4:$C$303,62))</f>
        <v/>
      </c>
      <c r="K2293" s="67" t="str">
        <f aca="false">IF($E2293="","",INDEX(成本费用登记表!$D$4:$D$303,62))</f>
        <v/>
      </c>
      <c r="L2293" s="107" t="str">
        <f aca="false">IF($E2293="","",INDEX(成本费用登记表!$N$4:$N$303,62))</f>
        <v/>
      </c>
      <c r="M2293" s="107"/>
      <c r="N2293" s="67" t="str">
        <f aca="false">IF($E2293="","","系统")</f>
        <v/>
      </c>
      <c r="O2293" s="67" t="str">
        <f aca="false">IF($E2293="","","自动C")</f>
        <v/>
      </c>
      <c r="P2293" s="18"/>
    </row>
    <row r="2294" customFormat="false" ht="18" hidden="false" customHeight="true" outlineLevel="0" collapsed="false">
      <c r="A2294" s="107" t="str">
        <f aca="false">IF($E2294="","",ROW()-3)</f>
        <v/>
      </c>
      <c r="B2294" s="110" t="str">
        <f aca="false">IF($E2294="","",INDEX(成本费用登记表!$B$4:$B$303,62))</f>
        <v/>
      </c>
      <c r="C2294" s="67" t="str">
        <f aca="false">IF($E2294="","","记-"&amp;TEXT($B2294,"YYYYMM")&amp;"-费用")</f>
        <v/>
      </c>
      <c r="D2294" s="107" t="str">
        <f aca="false">IF($E2294="","",INDEX(成本费用登记表!$E$4:$E$303,62))</f>
        <v/>
      </c>
      <c r="E2294" s="67" t="str">
        <f aca="false">IF(INDEX(成本费用登记表!$Q$4:$Y$303,62,4)=0,"",INDEX(成本费用登记表!$Q$4:$Y$303,62,4))</f>
        <v/>
      </c>
      <c r="F2294" s="99" t="str">
        <f aca="false">IF($E2294="","",IFERROR(INDEX(科目表!$A$4:$A$81,MATCH($E2294,科目表!$B$4:$B$81,0)),""))</f>
        <v/>
      </c>
      <c r="G2294" s="67" t="str">
        <f aca="false">IF($E2294="","",IFERROR(INDEX(科目表!$E$4:$E$81,MATCH($E2294,科目表!$B$4:$B$81,0)),""))</f>
        <v/>
      </c>
      <c r="H2294" s="70" t="str">
        <f aca="false">IF($E2294="","",N(INDEX(成本费用登记表!$Q$4:$Y$303,62,5)))</f>
        <v/>
      </c>
      <c r="I2294" s="70" t="str">
        <f aca="false">IF($E2294="","",N(INDEX(成本费用登记表!$Q$4:$Y$303,62,6)))</f>
        <v/>
      </c>
      <c r="J2294" s="67" t="str">
        <f aca="false">IF($E2294="","",INDEX(成本费用登记表!$C$4:$C$303,62))</f>
        <v/>
      </c>
      <c r="K2294" s="67" t="str">
        <f aca="false">IF($E2294="","",INDEX(成本费用登记表!$D$4:$D$303,62))</f>
        <v/>
      </c>
      <c r="L2294" s="107" t="str">
        <f aca="false">IF($E2294="","",INDEX(成本费用登记表!$N$4:$N$303,62))</f>
        <v/>
      </c>
      <c r="M2294" s="107"/>
      <c r="N2294" s="67" t="str">
        <f aca="false">IF($E2294="","","系统")</f>
        <v/>
      </c>
      <c r="O2294" s="67" t="str">
        <f aca="false">IF($E2294="","","自动C")</f>
        <v/>
      </c>
      <c r="P2294" s="18"/>
    </row>
    <row r="2295" customFormat="false" ht="18" hidden="false" customHeight="true" outlineLevel="0" collapsed="false">
      <c r="A2295" s="107" t="str">
        <f aca="false">IF($E2295="","",ROW()-3)</f>
        <v/>
      </c>
      <c r="B2295" s="110" t="str">
        <f aca="false">IF($E2295="","",INDEX(成本费用登记表!$B$4:$B$303,62))</f>
        <v/>
      </c>
      <c r="C2295" s="67" t="str">
        <f aca="false">IF($E2295="","","记-"&amp;TEXT($B2295,"YYYYMM")&amp;"-费用")</f>
        <v/>
      </c>
      <c r="D2295" s="107" t="str">
        <f aca="false">IF($E2295="","",INDEX(成本费用登记表!$E$4:$E$303,62))</f>
        <v/>
      </c>
      <c r="E2295" s="67" t="str">
        <f aca="false">IF(INDEX(成本费用登记表!$Q$4:$Y$303,62,7)=0,"",INDEX(成本费用登记表!$Q$4:$Y$303,62,7))</f>
        <v/>
      </c>
      <c r="F2295" s="99" t="str">
        <f aca="false">IF($E2295="","",IFERROR(INDEX(科目表!$A$4:$A$81,MATCH($E2295,科目表!$B$4:$B$81,0)),""))</f>
        <v/>
      </c>
      <c r="G2295" s="67" t="str">
        <f aca="false">IF($E2295="","",IFERROR(INDEX(科目表!$E$4:$E$81,MATCH($E2295,科目表!$B$4:$B$81,0)),""))</f>
        <v/>
      </c>
      <c r="H2295" s="70" t="str">
        <f aca="false">IF($E2295="","",N(INDEX(成本费用登记表!$Q$4:$Y$303,62,8)))</f>
        <v/>
      </c>
      <c r="I2295" s="70" t="str">
        <f aca="false">IF($E2295="","",N(INDEX(成本费用登记表!$Q$4:$Y$303,62,9)))</f>
        <v/>
      </c>
      <c r="J2295" s="67" t="str">
        <f aca="false">IF($E2295="","",INDEX(成本费用登记表!$C$4:$C$303,62))</f>
        <v/>
      </c>
      <c r="K2295" s="67" t="str">
        <f aca="false">IF($E2295="","",INDEX(成本费用登记表!$D$4:$D$303,62))</f>
        <v/>
      </c>
      <c r="L2295" s="107" t="str">
        <f aca="false">IF($E2295="","",INDEX(成本费用登记表!$N$4:$N$303,62))</f>
        <v/>
      </c>
      <c r="M2295" s="107"/>
      <c r="N2295" s="67" t="str">
        <f aca="false">IF($E2295="","","系统")</f>
        <v/>
      </c>
      <c r="O2295" s="67" t="str">
        <f aca="false">IF($E2295="","","自动C")</f>
        <v/>
      </c>
      <c r="P2295" s="18"/>
    </row>
    <row r="2296" customFormat="false" ht="18" hidden="false" customHeight="true" outlineLevel="0" collapsed="false">
      <c r="A2296" s="107" t="str">
        <f aca="false">IF($E2296="","",ROW()-3)</f>
        <v/>
      </c>
      <c r="B2296" s="110" t="str">
        <f aca="false">IF($E2296="","",INDEX(成本费用登记表!$B$4:$B$303,63))</f>
        <v/>
      </c>
      <c r="C2296" s="67" t="str">
        <f aca="false">IF($E2296="","","记-"&amp;TEXT($B2296,"YYYYMM")&amp;"-费用")</f>
        <v/>
      </c>
      <c r="D2296" s="107" t="str">
        <f aca="false">IF($E2296="","",INDEX(成本费用登记表!$E$4:$E$303,63))</f>
        <v/>
      </c>
      <c r="E2296" s="67" t="str">
        <f aca="false">IF(INDEX(成本费用登记表!$Q$4:$Y$303,63,1)=0,"",INDEX(成本费用登记表!$Q$4:$Y$303,63,1))</f>
        <v/>
      </c>
      <c r="F2296" s="99" t="str">
        <f aca="false">IF($E2296="","",IFERROR(INDEX(科目表!$A$4:$A$81,MATCH($E2296,科目表!$B$4:$B$81,0)),""))</f>
        <v/>
      </c>
      <c r="G2296" s="67" t="str">
        <f aca="false">IF($E2296="","",IFERROR(INDEX(科目表!$E$4:$E$81,MATCH($E2296,科目表!$B$4:$B$81,0)),""))</f>
        <v/>
      </c>
      <c r="H2296" s="70" t="str">
        <f aca="false">IF($E2296="","",N(INDEX(成本费用登记表!$Q$4:$Y$303,63,2)))</f>
        <v/>
      </c>
      <c r="I2296" s="70" t="str">
        <f aca="false">IF($E2296="","",N(INDEX(成本费用登记表!$Q$4:$Y$303,63,3)))</f>
        <v/>
      </c>
      <c r="J2296" s="67" t="str">
        <f aca="false">IF($E2296="","",INDEX(成本费用登记表!$C$4:$C$303,63))</f>
        <v/>
      </c>
      <c r="K2296" s="67" t="str">
        <f aca="false">IF($E2296="","",INDEX(成本费用登记表!$D$4:$D$303,63))</f>
        <v/>
      </c>
      <c r="L2296" s="107" t="str">
        <f aca="false">IF($E2296="","",INDEX(成本费用登记表!$N$4:$N$303,63))</f>
        <v/>
      </c>
      <c r="M2296" s="107"/>
      <c r="N2296" s="67" t="str">
        <f aca="false">IF($E2296="","","系统")</f>
        <v/>
      </c>
      <c r="O2296" s="67" t="str">
        <f aca="false">IF($E2296="","","自动C")</f>
        <v/>
      </c>
      <c r="P2296" s="18"/>
    </row>
    <row r="2297" customFormat="false" ht="18" hidden="false" customHeight="true" outlineLevel="0" collapsed="false">
      <c r="A2297" s="107" t="str">
        <f aca="false">IF($E2297="","",ROW()-3)</f>
        <v/>
      </c>
      <c r="B2297" s="110" t="str">
        <f aca="false">IF($E2297="","",INDEX(成本费用登记表!$B$4:$B$303,63))</f>
        <v/>
      </c>
      <c r="C2297" s="67" t="str">
        <f aca="false">IF($E2297="","","记-"&amp;TEXT($B2297,"YYYYMM")&amp;"-费用")</f>
        <v/>
      </c>
      <c r="D2297" s="107" t="str">
        <f aca="false">IF($E2297="","",INDEX(成本费用登记表!$E$4:$E$303,63))</f>
        <v/>
      </c>
      <c r="E2297" s="67" t="str">
        <f aca="false">IF(INDEX(成本费用登记表!$Q$4:$Y$303,63,4)=0,"",INDEX(成本费用登记表!$Q$4:$Y$303,63,4))</f>
        <v/>
      </c>
      <c r="F2297" s="99" t="str">
        <f aca="false">IF($E2297="","",IFERROR(INDEX(科目表!$A$4:$A$81,MATCH($E2297,科目表!$B$4:$B$81,0)),""))</f>
        <v/>
      </c>
      <c r="G2297" s="67" t="str">
        <f aca="false">IF($E2297="","",IFERROR(INDEX(科目表!$E$4:$E$81,MATCH($E2297,科目表!$B$4:$B$81,0)),""))</f>
        <v/>
      </c>
      <c r="H2297" s="70" t="str">
        <f aca="false">IF($E2297="","",N(INDEX(成本费用登记表!$Q$4:$Y$303,63,5)))</f>
        <v/>
      </c>
      <c r="I2297" s="70" t="str">
        <f aca="false">IF($E2297="","",N(INDEX(成本费用登记表!$Q$4:$Y$303,63,6)))</f>
        <v/>
      </c>
      <c r="J2297" s="67" t="str">
        <f aca="false">IF($E2297="","",INDEX(成本费用登记表!$C$4:$C$303,63))</f>
        <v/>
      </c>
      <c r="K2297" s="67" t="str">
        <f aca="false">IF($E2297="","",INDEX(成本费用登记表!$D$4:$D$303,63))</f>
        <v/>
      </c>
      <c r="L2297" s="107" t="str">
        <f aca="false">IF($E2297="","",INDEX(成本费用登记表!$N$4:$N$303,63))</f>
        <v/>
      </c>
      <c r="M2297" s="107"/>
      <c r="N2297" s="67" t="str">
        <f aca="false">IF($E2297="","","系统")</f>
        <v/>
      </c>
      <c r="O2297" s="67" t="str">
        <f aca="false">IF($E2297="","","自动C")</f>
        <v/>
      </c>
      <c r="P2297" s="18"/>
    </row>
    <row r="2298" customFormat="false" ht="18" hidden="false" customHeight="true" outlineLevel="0" collapsed="false">
      <c r="A2298" s="107" t="str">
        <f aca="false">IF($E2298="","",ROW()-3)</f>
        <v/>
      </c>
      <c r="B2298" s="110" t="str">
        <f aca="false">IF($E2298="","",INDEX(成本费用登记表!$B$4:$B$303,63))</f>
        <v/>
      </c>
      <c r="C2298" s="67" t="str">
        <f aca="false">IF($E2298="","","记-"&amp;TEXT($B2298,"YYYYMM")&amp;"-费用")</f>
        <v/>
      </c>
      <c r="D2298" s="107" t="str">
        <f aca="false">IF($E2298="","",INDEX(成本费用登记表!$E$4:$E$303,63))</f>
        <v/>
      </c>
      <c r="E2298" s="67" t="str">
        <f aca="false">IF(INDEX(成本费用登记表!$Q$4:$Y$303,63,7)=0,"",INDEX(成本费用登记表!$Q$4:$Y$303,63,7))</f>
        <v/>
      </c>
      <c r="F2298" s="99" t="str">
        <f aca="false">IF($E2298="","",IFERROR(INDEX(科目表!$A$4:$A$81,MATCH($E2298,科目表!$B$4:$B$81,0)),""))</f>
        <v/>
      </c>
      <c r="G2298" s="67" t="str">
        <f aca="false">IF($E2298="","",IFERROR(INDEX(科目表!$E$4:$E$81,MATCH($E2298,科目表!$B$4:$B$81,0)),""))</f>
        <v/>
      </c>
      <c r="H2298" s="70" t="str">
        <f aca="false">IF($E2298="","",N(INDEX(成本费用登记表!$Q$4:$Y$303,63,8)))</f>
        <v/>
      </c>
      <c r="I2298" s="70" t="str">
        <f aca="false">IF($E2298="","",N(INDEX(成本费用登记表!$Q$4:$Y$303,63,9)))</f>
        <v/>
      </c>
      <c r="J2298" s="67" t="str">
        <f aca="false">IF($E2298="","",INDEX(成本费用登记表!$C$4:$C$303,63))</f>
        <v/>
      </c>
      <c r="K2298" s="67" t="str">
        <f aca="false">IF($E2298="","",INDEX(成本费用登记表!$D$4:$D$303,63))</f>
        <v/>
      </c>
      <c r="L2298" s="107" t="str">
        <f aca="false">IF($E2298="","",INDEX(成本费用登记表!$N$4:$N$303,63))</f>
        <v/>
      </c>
      <c r="M2298" s="107"/>
      <c r="N2298" s="67" t="str">
        <f aca="false">IF($E2298="","","系统")</f>
        <v/>
      </c>
      <c r="O2298" s="67" t="str">
        <f aca="false">IF($E2298="","","自动C")</f>
        <v/>
      </c>
      <c r="P2298" s="18"/>
    </row>
    <row r="2299" customFormat="false" ht="18" hidden="false" customHeight="true" outlineLevel="0" collapsed="false">
      <c r="A2299" s="107" t="str">
        <f aca="false">IF($E2299="","",ROW()-3)</f>
        <v/>
      </c>
      <c r="B2299" s="110" t="str">
        <f aca="false">IF($E2299="","",INDEX(成本费用登记表!$B$4:$B$303,64))</f>
        <v/>
      </c>
      <c r="C2299" s="67" t="str">
        <f aca="false">IF($E2299="","","记-"&amp;TEXT($B2299,"YYYYMM")&amp;"-费用")</f>
        <v/>
      </c>
      <c r="D2299" s="107" t="str">
        <f aca="false">IF($E2299="","",INDEX(成本费用登记表!$E$4:$E$303,64))</f>
        <v/>
      </c>
      <c r="E2299" s="67" t="str">
        <f aca="false">IF(INDEX(成本费用登记表!$Q$4:$Y$303,64,1)=0,"",INDEX(成本费用登记表!$Q$4:$Y$303,64,1))</f>
        <v/>
      </c>
      <c r="F2299" s="99" t="str">
        <f aca="false">IF($E2299="","",IFERROR(INDEX(科目表!$A$4:$A$81,MATCH($E2299,科目表!$B$4:$B$81,0)),""))</f>
        <v/>
      </c>
      <c r="G2299" s="67" t="str">
        <f aca="false">IF($E2299="","",IFERROR(INDEX(科目表!$E$4:$E$81,MATCH($E2299,科目表!$B$4:$B$81,0)),""))</f>
        <v/>
      </c>
      <c r="H2299" s="70" t="str">
        <f aca="false">IF($E2299="","",N(INDEX(成本费用登记表!$Q$4:$Y$303,64,2)))</f>
        <v/>
      </c>
      <c r="I2299" s="70" t="str">
        <f aca="false">IF($E2299="","",N(INDEX(成本费用登记表!$Q$4:$Y$303,64,3)))</f>
        <v/>
      </c>
      <c r="J2299" s="67" t="str">
        <f aca="false">IF($E2299="","",INDEX(成本费用登记表!$C$4:$C$303,64))</f>
        <v/>
      </c>
      <c r="K2299" s="67" t="str">
        <f aca="false">IF($E2299="","",INDEX(成本费用登记表!$D$4:$D$303,64))</f>
        <v/>
      </c>
      <c r="L2299" s="107" t="str">
        <f aca="false">IF($E2299="","",INDEX(成本费用登记表!$N$4:$N$303,64))</f>
        <v/>
      </c>
      <c r="M2299" s="107"/>
      <c r="N2299" s="67" t="str">
        <f aca="false">IF($E2299="","","系统")</f>
        <v/>
      </c>
      <c r="O2299" s="67" t="str">
        <f aca="false">IF($E2299="","","自动C")</f>
        <v/>
      </c>
      <c r="P2299" s="18"/>
    </row>
    <row r="2300" customFormat="false" ht="18" hidden="false" customHeight="true" outlineLevel="0" collapsed="false">
      <c r="A2300" s="107" t="str">
        <f aca="false">IF($E2300="","",ROW()-3)</f>
        <v/>
      </c>
      <c r="B2300" s="110" t="str">
        <f aca="false">IF($E2300="","",INDEX(成本费用登记表!$B$4:$B$303,64))</f>
        <v/>
      </c>
      <c r="C2300" s="67" t="str">
        <f aca="false">IF($E2300="","","记-"&amp;TEXT($B2300,"YYYYMM")&amp;"-费用")</f>
        <v/>
      </c>
      <c r="D2300" s="107" t="str">
        <f aca="false">IF($E2300="","",INDEX(成本费用登记表!$E$4:$E$303,64))</f>
        <v/>
      </c>
      <c r="E2300" s="67" t="str">
        <f aca="false">IF(INDEX(成本费用登记表!$Q$4:$Y$303,64,4)=0,"",INDEX(成本费用登记表!$Q$4:$Y$303,64,4))</f>
        <v/>
      </c>
      <c r="F2300" s="99" t="str">
        <f aca="false">IF($E2300="","",IFERROR(INDEX(科目表!$A$4:$A$81,MATCH($E2300,科目表!$B$4:$B$81,0)),""))</f>
        <v/>
      </c>
      <c r="G2300" s="67" t="str">
        <f aca="false">IF($E2300="","",IFERROR(INDEX(科目表!$E$4:$E$81,MATCH($E2300,科目表!$B$4:$B$81,0)),""))</f>
        <v/>
      </c>
      <c r="H2300" s="70" t="str">
        <f aca="false">IF($E2300="","",N(INDEX(成本费用登记表!$Q$4:$Y$303,64,5)))</f>
        <v/>
      </c>
      <c r="I2300" s="70" t="str">
        <f aca="false">IF($E2300="","",N(INDEX(成本费用登记表!$Q$4:$Y$303,64,6)))</f>
        <v/>
      </c>
      <c r="J2300" s="67" t="str">
        <f aca="false">IF($E2300="","",INDEX(成本费用登记表!$C$4:$C$303,64))</f>
        <v/>
      </c>
      <c r="K2300" s="67" t="str">
        <f aca="false">IF($E2300="","",INDEX(成本费用登记表!$D$4:$D$303,64))</f>
        <v/>
      </c>
      <c r="L2300" s="107" t="str">
        <f aca="false">IF($E2300="","",INDEX(成本费用登记表!$N$4:$N$303,64))</f>
        <v/>
      </c>
      <c r="M2300" s="107"/>
      <c r="N2300" s="67" t="str">
        <f aca="false">IF($E2300="","","系统")</f>
        <v/>
      </c>
      <c r="O2300" s="67" t="str">
        <f aca="false">IF($E2300="","","自动C")</f>
        <v/>
      </c>
      <c r="P2300" s="18"/>
    </row>
    <row r="2301" customFormat="false" ht="18" hidden="false" customHeight="true" outlineLevel="0" collapsed="false">
      <c r="A2301" s="107" t="str">
        <f aca="false">IF($E2301="","",ROW()-3)</f>
        <v/>
      </c>
      <c r="B2301" s="110" t="str">
        <f aca="false">IF($E2301="","",INDEX(成本费用登记表!$B$4:$B$303,64))</f>
        <v/>
      </c>
      <c r="C2301" s="67" t="str">
        <f aca="false">IF($E2301="","","记-"&amp;TEXT($B2301,"YYYYMM")&amp;"-费用")</f>
        <v/>
      </c>
      <c r="D2301" s="107" t="str">
        <f aca="false">IF($E2301="","",INDEX(成本费用登记表!$E$4:$E$303,64))</f>
        <v/>
      </c>
      <c r="E2301" s="67" t="str">
        <f aca="false">IF(INDEX(成本费用登记表!$Q$4:$Y$303,64,7)=0,"",INDEX(成本费用登记表!$Q$4:$Y$303,64,7))</f>
        <v/>
      </c>
      <c r="F2301" s="99" t="str">
        <f aca="false">IF($E2301="","",IFERROR(INDEX(科目表!$A$4:$A$81,MATCH($E2301,科目表!$B$4:$B$81,0)),""))</f>
        <v/>
      </c>
      <c r="G2301" s="67" t="str">
        <f aca="false">IF($E2301="","",IFERROR(INDEX(科目表!$E$4:$E$81,MATCH($E2301,科目表!$B$4:$B$81,0)),""))</f>
        <v/>
      </c>
      <c r="H2301" s="70" t="str">
        <f aca="false">IF($E2301="","",N(INDEX(成本费用登记表!$Q$4:$Y$303,64,8)))</f>
        <v/>
      </c>
      <c r="I2301" s="70" t="str">
        <f aca="false">IF($E2301="","",N(INDEX(成本费用登记表!$Q$4:$Y$303,64,9)))</f>
        <v/>
      </c>
      <c r="J2301" s="67" t="str">
        <f aca="false">IF($E2301="","",INDEX(成本费用登记表!$C$4:$C$303,64))</f>
        <v/>
      </c>
      <c r="K2301" s="67" t="str">
        <f aca="false">IF($E2301="","",INDEX(成本费用登记表!$D$4:$D$303,64))</f>
        <v/>
      </c>
      <c r="L2301" s="107" t="str">
        <f aca="false">IF($E2301="","",INDEX(成本费用登记表!$N$4:$N$303,64))</f>
        <v/>
      </c>
      <c r="M2301" s="107"/>
      <c r="N2301" s="67" t="str">
        <f aca="false">IF($E2301="","","系统")</f>
        <v/>
      </c>
      <c r="O2301" s="67" t="str">
        <f aca="false">IF($E2301="","","自动C")</f>
        <v/>
      </c>
      <c r="P2301" s="18"/>
    </row>
    <row r="2302" customFormat="false" ht="18" hidden="false" customHeight="true" outlineLevel="0" collapsed="false">
      <c r="A2302" s="107" t="str">
        <f aca="false">IF($E2302="","",ROW()-3)</f>
        <v/>
      </c>
      <c r="B2302" s="110" t="str">
        <f aca="false">IF($E2302="","",INDEX(成本费用登记表!$B$4:$B$303,65))</f>
        <v/>
      </c>
      <c r="C2302" s="67" t="str">
        <f aca="false">IF($E2302="","","记-"&amp;TEXT($B2302,"YYYYMM")&amp;"-费用")</f>
        <v/>
      </c>
      <c r="D2302" s="107" t="str">
        <f aca="false">IF($E2302="","",INDEX(成本费用登记表!$E$4:$E$303,65))</f>
        <v/>
      </c>
      <c r="E2302" s="67" t="str">
        <f aca="false">IF(INDEX(成本费用登记表!$Q$4:$Y$303,65,1)=0,"",INDEX(成本费用登记表!$Q$4:$Y$303,65,1))</f>
        <v/>
      </c>
      <c r="F2302" s="99" t="str">
        <f aca="false">IF($E2302="","",IFERROR(INDEX(科目表!$A$4:$A$81,MATCH($E2302,科目表!$B$4:$B$81,0)),""))</f>
        <v/>
      </c>
      <c r="G2302" s="67" t="str">
        <f aca="false">IF($E2302="","",IFERROR(INDEX(科目表!$E$4:$E$81,MATCH($E2302,科目表!$B$4:$B$81,0)),""))</f>
        <v/>
      </c>
      <c r="H2302" s="70" t="str">
        <f aca="false">IF($E2302="","",N(INDEX(成本费用登记表!$Q$4:$Y$303,65,2)))</f>
        <v/>
      </c>
      <c r="I2302" s="70" t="str">
        <f aca="false">IF($E2302="","",N(INDEX(成本费用登记表!$Q$4:$Y$303,65,3)))</f>
        <v/>
      </c>
      <c r="J2302" s="67" t="str">
        <f aca="false">IF($E2302="","",INDEX(成本费用登记表!$C$4:$C$303,65))</f>
        <v/>
      </c>
      <c r="K2302" s="67" t="str">
        <f aca="false">IF($E2302="","",INDEX(成本费用登记表!$D$4:$D$303,65))</f>
        <v/>
      </c>
      <c r="L2302" s="107" t="str">
        <f aca="false">IF($E2302="","",INDEX(成本费用登记表!$N$4:$N$303,65))</f>
        <v/>
      </c>
      <c r="M2302" s="107"/>
      <c r="N2302" s="67" t="str">
        <f aca="false">IF($E2302="","","系统")</f>
        <v/>
      </c>
      <c r="O2302" s="67" t="str">
        <f aca="false">IF($E2302="","","自动C")</f>
        <v/>
      </c>
      <c r="P2302" s="18"/>
    </row>
    <row r="2303" customFormat="false" ht="18" hidden="false" customHeight="true" outlineLevel="0" collapsed="false">
      <c r="A2303" s="107" t="str">
        <f aca="false">IF($E2303="","",ROW()-3)</f>
        <v/>
      </c>
      <c r="B2303" s="110" t="str">
        <f aca="false">IF($E2303="","",INDEX(成本费用登记表!$B$4:$B$303,65))</f>
        <v/>
      </c>
      <c r="C2303" s="67" t="str">
        <f aca="false">IF($E2303="","","记-"&amp;TEXT($B2303,"YYYYMM")&amp;"-费用")</f>
        <v/>
      </c>
      <c r="D2303" s="107" t="str">
        <f aca="false">IF($E2303="","",INDEX(成本费用登记表!$E$4:$E$303,65))</f>
        <v/>
      </c>
      <c r="E2303" s="67" t="str">
        <f aca="false">IF(INDEX(成本费用登记表!$Q$4:$Y$303,65,4)=0,"",INDEX(成本费用登记表!$Q$4:$Y$303,65,4))</f>
        <v/>
      </c>
      <c r="F2303" s="99" t="str">
        <f aca="false">IF($E2303="","",IFERROR(INDEX(科目表!$A$4:$A$81,MATCH($E2303,科目表!$B$4:$B$81,0)),""))</f>
        <v/>
      </c>
      <c r="G2303" s="67" t="str">
        <f aca="false">IF($E2303="","",IFERROR(INDEX(科目表!$E$4:$E$81,MATCH($E2303,科目表!$B$4:$B$81,0)),""))</f>
        <v/>
      </c>
      <c r="H2303" s="70" t="str">
        <f aca="false">IF($E2303="","",N(INDEX(成本费用登记表!$Q$4:$Y$303,65,5)))</f>
        <v/>
      </c>
      <c r="I2303" s="70" t="str">
        <f aca="false">IF($E2303="","",N(INDEX(成本费用登记表!$Q$4:$Y$303,65,6)))</f>
        <v/>
      </c>
      <c r="J2303" s="67" t="str">
        <f aca="false">IF($E2303="","",INDEX(成本费用登记表!$C$4:$C$303,65))</f>
        <v/>
      </c>
      <c r="K2303" s="67" t="str">
        <f aca="false">IF($E2303="","",INDEX(成本费用登记表!$D$4:$D$303,65))</f>
        <v/>
      </c>
      <c r="L2303" s="107" t="str">
        <f aca="false">IF($E2303="","",INDEX(成本费用登记表!$N$4:$N$303,65))</f>
        <v/>
      </c>
      <c r="M2303" s="107"/>
      <c r="N2303" s="67" t="str">
        <f aca="false">IF($E2303="","","系统")</f>
        <v/>
      </c>
      <c r="O2303" s="67" t="str">
        <f aca="false">IF($E2303="","","自动C")</f>
        <v/>
      </c>
      <c r="P2303" s="18"/>
    </row>
    <row r="2304" customFormat="false" ht="18" hidden="false" customHeight="true" outlineLevel="0" collapsed="false">
      <c r="A2304" s="107" t="str">
        <f aca="false">IF($E2304="","",ROW()-3)</f>
        <v/>
      </c>
      <c r="B2304" s="110" t="str">
        <f aca="false">IF($E2304="","",INDEX(成本费用登记表!$B$4:$B$303,65))</f>
        <v/>
      </c>
      <c r="C2304" s="67" t="str">
        <f aca="false">IF($E2304="","","记-"&amp;TEXT($B2304,"YYYYMM")&amp;"-费用")</f>
        <v/>
      </c>
      <c r="D2304" s="107" t="str">
        <f aca="false">IF($E2304="","",INDEX(成本费用登记表!$E$4:$E$303,65))</f>
        <v/>
      </c>
      <c r="E2304" s="67" t="str">
        <f aca="false">IF(INDEX(成本费用登记表!$Q$4:$Y$303,65,7)=0,"",INDEX(成本费用登记表!$Q$4:$Y$303,65,7))</f>
        <v/>
      </c>
      <c r="F2304" s="99" t="str">
        <f aca="false">IF($E2304="","",IFERROR(INDEX(科目表!$A$4:$A$81,MATCH($E2304,科目表!$B$4:$B$81,0)),""))</f>
        <v/>
      </c>
      <c r="G2304" s="67" t="str">
        <f aca="false">IF($E2304="","",IFERROR(INDEX(科目表!$E$4:$E$81,MATCH($E2304,科目表!$B$4:$B$81,0)),""))</f>
        <v/>
      </c>
      <c r="H2304" s="70" t="str">
        <f aca="false">IF($E2304="","",N(INDEX(成本费用登记表!$Q$4:$Y$303,65,8)))</f>
        <v/>
      </c>
      <c r="I2304" s="70" t="str">
        <f aca="false">IF($E2304="","",N(INDEX(成本费用登记表!$Q$4:$Y$303,65,9)))</f>
        <v/>
      </c>
      <c r="J2304" s="67" t="str">
        <f aca="false">IF($E2304="","",INDEX(成本费用登记表!$C$4:$C$303,65))</f>
        <v/>
      </c>
      <c r="K2304" s="67" t="str">
        <f aca="false">IF($E2304="","",INDEX(成本费用登记表!$D$4:$D$303,65))</f>
        <v/>
      </c>
      <c r="L2304" s="107" t="str">
        <f aca="false">IF($E2304="","",INDEX(成本费用登记表!$N$4:$N$303,65))</f>
        <v/>
      </c>
      <c r="M2304" s="107"/>
      <c r="N2304" s="67" t="str">
        <f aca="false">IF($E2304="","","系统")</f>
        <v/>
      </c>
      <c r="O2304" s="67" t="str">
        <f aca="false">IF($E2304="","","自动C")</f>
        <v/>
      </c>
      <c r="P2304" s="18"/>
    </row>
    <row r="2305" customFormat="false" ht="18" hidden="false" customHeight="true" outlineLevel="0" collapsed="false">
      <c r="A2305" s="107" t="str">
        <f aca="false">IF($E2305="","",ROW()-3)</f>
        <v/>
      </c>
      <c r="B2305" s="110" t="str">
        <f aca="false">IF($E2305="","",INDEX(成本费用登记表!$B$4:$B$303,66))</f>
        <v/>
      </c>
      <c r="C2305" s="67" t="str">
        <f aca="false">IF($E2305="","","记-"&amp;TEXT($B2305,"YYYYMM")&amp;"-费用")</f>
        <v/>
      </c>
      <c r="D2305" s="107" t="str">
        <f aca="false">IF($E2305="","",INDEX(成本费用登记表!$E$4:$E$303,66))</f>
        <v/>
      </c>
      <c r="E2305" s="67" t="str">
        <f aca="false">IF(INDEX(成本费用登记表!$Q$4:$Y$303,66,1)=0,"",INDEX(成本费用登记表!$Q$4:$Y$303,66,1))</f>
        <v/>
      </c>
      <c r="F2305" s="99" t="str">
        <f aca="false">IF($E2305="","",IFERROR(INDEX(科目表!$A$4:$A$81,MATCH($E2305,科目表!$B$4:$B$81,0)),""))</f>
        <v/>
      </c>
      <c r="G2305" s="67" t="str">
        <f aca="false">IF($E2305="","",IFERROR(INDEX(科目表!$E$4:$E$81,MATCH($E2305,科目表!$B$4:$B$81,0)),""))</f>
        <v/>
      </c>
      <c r="H2305" s="70" t="str">
        <f aca="false">IF($E2305="","",N(INDEX(成本费用登记表!$Q$4:$Y$303,66,2)))</f>
        <v/>
      </c>
      <c r="I2305" s="70" t="str">
        <f aca="false">IF($E2305="","",N(INDEX(成本费用登记表!$Q$4:$Y$303,66,3)))</f>
        <v/>
      </c>
      <c r="J2305" s="67" t="str">
        <f aca="false">IF($E2305="","",INDEX(成本费用登记表!$C$4:$C$303,66))</f>
        <v/>
      </c>
      <c r="K2305" s="67" t="str">
        <f aca="false">IF($E2305="","",INDEX(成本费用登记表!$D$4:$D$303,66))</f>
        <v/>
      </c>
      <c r="L2305" s="107" t="str">
        <f aca="false">IF($E2305="","",INDEX(成本费用登记表!$N$4:$N$303,66))</f>
        <v/>
      </c>
      <c r="M2305" s="107"/>
      <c r="N2305" s="67" t="str">
        <f aca="false">IF($E2305="","","系统")</f>
        <v/>
      </c>
      <c r="O2305" s="67" t="str">
        <f aca="false">IF($E2305="","","自动C")</f>
        <v/>
      </c>
      <c r="P2305" s="18"/>
    </row>
    <row r="2306" customFormat="false" ht="18" hidden="false" customHeight="true" outlineLevel="0" collapsed="false">
      <c r="A2306" s="107" t="str">
        <f aca="false">IF($E2306="","",ROW()-3)</f>
        <v/>
      </c>
      <c r="B2306" s="110" t="str">
        <f aca="false">IF($E2306="","",INDEX(成本费用登记表!$B$4:$B$303,66))</f>
        <v/>
      </c>
      <c r="C2306" s="67" t="str">
        <f aca="false">IF($E2306="","","记-"&amp;TEXT($B2306,"YYYYMM")&amp;"-费用")</f>
        <v/>
      </c>
      <c r="D2306" s="107" t="str">
        <f aca="false">IF($E2306="","",INDEX(成本费用登记表!$E$4:$E$303,66))</f>
        <v/>
      </c>
      <c r="E2306" s="67" t="str">
        <f aca="false">IF(INDEX(成本费用登记表!$Q$4:$Y$303,66,4)=0,"",INDEX(成本费用登记表!$Q$4:$Y$303,66,4))</f>
        <v/>
      </c>
      <c r="F2306" s="99" t="str">
        <f aca="false">IF($E2306="","",IFERROR(INDEX(科目表!$A$4:$A$81,MATCH($E2306,科目表!$B$4:$B$81,0)),""))</f>
        <v/>
      </c>
      <c r="G2306" s="67" t="str">
        <f aca="false">IF($E2306="","",IFERROR(INDEX(科目表!$E$4:$E$81,MATCH($E2306,科目表!$B$4:$B$81,0)),""))</f>
        <v/>
      </c>
      <c r="H2306" s="70" t="str">
        <f aca="false">IF($E2306="","",N(INDEX(成本费用登记表!$Q$4:$Y$303,66,5)))</f>
        <v/>
      </c>
      <c r="I2306" s="70" t="str">
        <f aca="false">IF($E2306="","",N(INDEX(成本费用登记表!$Q$4:$Y$303,66,6)))</f>
        <v/>
      </c>
      <c r="J2306" s="67" t="str">
        <f aca="false">IF($E2306="","",INDEX(成本费用登记表!$C$4:$C$303,66))</f>
        <v/>
      </c>
      <c r="K2306" s="67" t="str">
        <f aca="false">IF($E2306="","",INDEX(成本费用登记表!$D$4:$D$303,66))</f>
        <v/>
      </c>
      <c r="L2306" s="107" t="str">
        <f aca="false">IF($E2306="","",INDEX(成本费用登记表!$N$4:$N$303,66))</f>
        <v/>
      </c>
      <c r="M2306" s="107"/>
      <c r="N2306" s="67" t="str">
        <f aca="false">IF($E2306="","","系统")</f>
        <v/>
      </c>
      <c r="O2306" s="67" t="str">
        <f aca="false">IF($E2306="","","自动C")</f>
        <v/>
      </c>
      <c r="P2306" s="18"/>
    </row>
    <row r="2307" customFormat="false" ht="18" hidden="false" customHeight="true" outlineLevel="0" collapsed="false">
      <c r="A2307" s="107" t="str">
        <f aca="false">IF($E2307="","",ROW()-3)</f>
        <v/>
      </c>
      <c r="B2307" s="110" t="str">
        <f aca="false">IF($E2307="","",INDEX(成本费用登记表!$B$4:$B$303,66))</f>
        <v/>
      </c>
      <c r="C2307" s="67" t="str">
        <f aca="false">IF($E2307="","","记-"&amp;TEXT($B2307,"YYYYMM")&amp;"-费用")</f>
        <v/>
      </c>
      <c r="D2307" s="107" t="str">
        <f aca="false">IF($E2307="","",INDEX(成本费用登记表!$E$4:$E$303,66))</f>
        <v/>
      </c>
      <c r="E2307" s="67" t="str">
        <f aca="false">IF(INDEX(成本费用登记表!$Q$4:$Y$303,66,7)=0,"",INDEX(成本费用登记表!$Q$4:$Y$303,66,7))</f>
        <v/>
      </c>
      <c r="F2307" s="99" t="str">
        <f aca="false">IF($E2307="","",IFERROR(INDEX(科目表!$A$4:$A$81,MATCH($E2307,科目表!$B$4:$B$81,0)),""))</f>
        <v/>
      </c>
      <c r="G2307" s="67" t="str">
        <f aca="false">IF($E2307="","",IFERROR(INDEX(科目表!$E$4:$E$81,MATCH($E2307,科目表!$B$4:$B$81,0)),""))</f>
        <v/>
      </c>
      <c r="H2307" s="70" t="str">
        <f aca="false">IF($E2307="","",N(INDEX(成本费用登记表!$Q$4:$Y$303,66,8)))</f>
        <v/>
      </c>
      <c r="I2307" s="70" t="str">
        <f aca="false">IF($E2307="","",N(INDEX(成本费用登记表!$Q$4:$Y$303,66,9)))</f>
        <v/>
      </c>
      <c r="J2307" s="67" t="str">
        <f aca="false">IF($E2307="","",INDEX(成本费用登记表!$C$4:$C$303,66))</f>
        <v/>
      </c>
      <c r="K2307" s="67" t="str">
        <f aca="false">IF($E2307="","",INDEX(成本费用登记表!$D$4:$D$303,66))</f>
        <v/>
      </c>
      <c r="L2307" s="107" t="str">
        <f aca="false">IF($E2307="","",INDEX(成本费用登记表!$N$4:$N$303,66))</f>
        <v/>
      </c>
      <c r="M2307" s="107"/>
      <c r="N2307" s="67" t="str">
        <f aca="false">IF($E2307="","","系统")</f>
        <v/>
      </c>
      <c r="O2307" s="67" t="str">
        <f aca="false">IF($E2307="","","自动C")</f>
        <v/>
      </c>
      <c r="P2307" s="18"/>
    </row>
    <row r="2308" customFormat="false" ht="18" hidden="false" customHeight="true" outlineLevel="0" collapsed="false">
      <c r="A2308" s="107" t="str">
        <f aca="false">IF($E2308="","",ROW()-3)</f>
        <v/>
      </c>
      <c r="B2308" s="110" t="str">
        <f aca="false">IF($E2308="","",INDEX(成本费用登记表!$B$4:$B$303,67))</f>
        <v/>
      </c>
      <c r="C2308" s="67" t="str">
        <f aca="false">IF($E2308="","","记-"&amp;TEXT($B2308,"YYYYMM")&amp;"-费用")</f>
        <v/>
      </c>
      <c r="D2308" s="107" t="str">
        <f aca="false">IF($E2308="","",INDEX(成本费用登记表!$E$4:$E$303,67))</f>
        <v/>
      </c>
      <c r="E2308" s="67" t="str">
        <f aca="false">IF(INDEX(成本费用登记表!$Q$4:$Y$303,67,1)=0,"",INDEX(成本费用登记表!$Q$4:$Y$303,67,1))</f>
        <v/>
      </c>
      <c r="F2308" s="99" t="str">
        <f aca="false">IF($E2308="","",IFERROR(INDEX(科目表!$A$4:$A$81,MATCH($E2308,科目表!$B$4:$B$81,0)),""))</f>
        <v/>
      </c>
      <c r="G2308" s="67" t="str">
        <f aca="false">IF($E2308="","",IFERROR(INDEX(科目表!$E$4:$E$81,MATCH($E2308,科目表!$B$4:$B$81,0)),""))</f>
        <v/>
      </c>
      <c r="H2308" s="70" t="str">
        <f aca="false">IF($E2308="","",N(INDEX(成本费用登记表!$Q$4:$Y$303,67,2)))</f>
        <v/>
      </c>
      <c r="I2308" s="70" t="str">
        <f aca="false">IF($E2308="","",N(INDEX(成本费用登记表!$Q$4:$Y$303,67,3)))</f>
        <v/>
      </c>
      <c r="J2308" s="67" t="str">
        <f aca="false">IF($E2308="","",INDEX(成本费用登记表!$C$4:$C$303,67))</f>
        <v/>
      </c>
      <c r="K2308" s="67" t="str">
        <f aca="false">IF($E2308="","",INDEX(成本费用登记表!$D$4:$D$303,67))</f>
        <v/>
      </c>
      <c r="L2308" s="107" t="str">
        <f aca="false">IF($E2308="","",INDEX(成本费用登记表!$N$4:$N$303,67))</f>
        <v/>
      </c>
      <c r="M2308" s="107"/>
      <c r="N2308" s="67" t="str">
        <f aca="false">IF($E2308="","","系统")</f>
        <v/>
      </c>
      <c r="O2308" s="67" t="str">
        <f aca="false">IF($E2308="","","自动C")</f>
        <v/>
      </c>
      <c r="P2308" s="18"/>
    </row>
    <row r="2309" customFormat="false" ht="18" hidden="false" customHeight="true" outlineLevel="0" collapsed="false">
      <c r="A2309" s="107" t="str">
        <f aca="false">IF($E2309="","",ROW()-3)</f>
        <v/>
      </c>
      <c r="B2309" s="110" t="str">
        <f aca="false">IF($E2309="","",INDEX(成本费用登记表!$B$4:$B$303,67))</f>
        <v/>
      </c>
      <c r="C2309" s="67" t="str">
        <f aca="false">IF($E2309="","","记-"&amp;TEXT($B2309,"YYYYMM")&amp;"-费用")</f>
        <v/>
      </c>
      <c r="D2309" s="107" t="str">
        <f aca="false">IF($E2309="","",INDEX(成本费用登记表!$E$4:$E$303,67))</f>
        <v/>
      </c>
      <c r="E2309" s="67" t="str">
        <f aca="false">IF(INDEX(成本费用登记表!$Q$4:$Y$303,67,4)=0,"",INDEX(成本费用登记表!$Q$4:$Y$303,67,4))</f>
        <v/>
      </c>
      <c r="F2309" s="99" t="str">
        <f aca="false">IF($E2309="","",IFERROR(INDEX(科目表!$A$4:$A$81,MATCH($E2309,科目表!$B$4:$B$81,0)),""))</f>
        <v/>
      </c>
      <c r="G2309" s="67" t="str">
        <f aca="false">IF($E2309="","",IFERROR(INDEX(科目表!$E$4:$E$81,MATCH($E2309,科目表!$B$4:$B$81,0)),""))</f>
        <v/>
      </c>
      <c r="H2309" s="70" t="str">
        <f aca="false">IF($E2309="","",N(INDEX(成本费用登记表!$Q$4:$Y$303,67,5)))</f>
        <v/>
      </c>
      <c r="I2309" s="70" t="str">
        <f aca="false">IF($E2309="","",N(INDEX(成本费用登记表!$Q$4:$Y$303,67,6)))</f>
        <v/>
      </c>
      <c r="J2309" s="67" t="str">
        <f aca="false">IF($E2309="","",INDEX(成本费用登记表!$C$4:$C$303,67))</f>
        <v/>
      </c>
      <c r="K2309" s="67" t="str">
        <f aca="false">IF($E2309="","",INDEX(成本费用登记表!$D$4:$D$303,67))</f>
        <v/>
      </c>
      <c r="L2309" s="107" t="str">
        <f aca="false">IF($E2309="","",INDEX(成本费用登记表!$N$4:$N$303,67))</f>
        <v/>
      </c>
      <c r="M2309" s="107"/>
      <c r="N2309" s="67" t="str">
        <f aca="false">IF($E2309="","","系统")</f>
        <v/>
      </c>
      <c r="O2309" s="67" t="str">
        <f aca="false">IF($E2309="","","自动C")</f>
        <v/>
      </c>
      <c r="P2309" s="18"/>
    </row>
    <row r="2310" customFormat="false" ht="18" hidden="false" customHeight="true" outlineLevel="0" collapsed="false">
      <c r="A2310" s="107" t="str">
        <f aca="false">IF($E2310="","",ROW()-3)</f>
        <v/>
      </c>
      <c r="B2310" s="110" t="str">
        <f aca="false">IF($E2310="","",INDEX(成本费用登记表!$B$4:$B$303,67))</f>
        <v/>
      </c>
      <c r="C2310" s="67" t="str">
        <f aca="false">IF($E2310="","","记-"&amp;TEXT($B2310,"YYYYMM")&amp;"-费用")</f>
        <v/>
      </c>
      <c r="D2310" s="107" t="str">
        <f aca="false">IF($E2310="","",INDEX(成本费用登记表!$E$4:$E$303,67))</f>
        <v/>
      </c>
      <c r="E2310" s="67" t="str">
        <f aca="false">IF(INDEX(成本费用登记表!$Q$4:$Y$303,67,7)=0,"",INDEX(成本费用登记表!$Q$4:$Y$303,67,7))</f>
        <v/>
      </c>
      <c r="F2310" s="99" t="str">
        <f aca="false">IF($E2310="","",IFERROR(INDEX(科目表!$A$4:$A$81,MATCH($E2310,科目表!$B$4:$B$81,0)),""))</f>
        <v/>
      </c>
      <c r="G2310" s="67" t="str">
        <f aca="false">IF($E2310="","",IFERROR(INDEX(科目表!$E$4:$E$81,MATCH($E2310,科目表!$B$4:$B$81,0)),""))</f>
        <v/>
      </c>
      <c r="H2310" s="70" t="str">
        <f aca="false">IF($E2310="","",N(INDEX(成本费用登记表!$Q$4:$Y$303,67,8)))</f>
        <v/>
      </c>
      <c r="I2310" s="70" t="str">
        <f aca="false">IF($E2310="","",N(INDEX(成本费用登记表!$Q$4:$Y$303,67,9)))</f>
        <v/>
      </c>
      <c r="J2310" s="67" t="str">
        <f aca="false">IF($E2310="","",INDEX(成本费用登记表!$C$4:$C$303,67))</f>
        <v/>
      </c>
      <c r="K2310" s="67" t="str">
        <f aca="false">IF($E2310="","",INDEX(成本费用登记表!$D$4:$D$303,67))</f>
        <v/>
      </c>
      <c r="L2310" s="107" t="str">
        <f aca="false">IF($E2310="","",INDEX(成本费用登记表!$N$4:$N$303,67))</f>
        <v/>
      </c>
      <c r="M2310" s="107"/>
      <c r="N2310" s="67" t="str">
        <f aca="false">IF($E2310="","","系统")</f>
        <v/>
      </c>
      <c r="O2310" s="67" t="str">
        <f aca="false">IF($E2310="","","自动C")</f>
        <v/>
      </c>
      <c r="P2310" s="18"/>
    </row>
    <row r="2311" customFormat="false" ht="18" hidden="false" customHeight="true" outlineLevel="0" collapsed="false">
      <c r="A2311" s="107" t="str">
        <f aca="false">IF($E2311="","",ROW()-3)</f>
        <v/>
      </c>
      <c r="B2311" s="110" t="str">
        <f aca="false">IF($E2311="","",INDEX(成本费用登记表!$B$4:$B$303,68))</f>
        <v/>
      </c>
      <c r="C2311" s="67" t="str">
        <f aca="false">IF($E2311="","","记-"&amp;TEXT($B2311,"YYYYMM")&amp;"-费用")</f>
        <v/>
      </c>
      <c r="D2311" s="107" t="str">
        <f aca="false">IF($E2311="","",INDEX(成本费用登记表!$E$4:$E$303,68))</f>
        <v/>
      </c>
      <c r="E2311" s="67" t="str">
        <f aca="false">IF(INDEX(成本费用登记表!$Q$4:$Y$303,68,1)=0,"",INDEX(成本费用登记表!$Q$4:$Y$303,68,1))</f>
        <v/>
      </c>
      <c r="F2311" s="99" t="str">
        <f aca="false">IF($E2311="","",IFERROR(INDEX(科目表!$A$4:$A$81,MATCH($E2311,科目表!$B$4:$B$81,0)),""))</f>
        <v/>
      </c>
      <c r="G2311" s="67" t="str">
        <f aca="false">IF($E2311="","",IFERROR(INDEX(科目表!$E$4:$E$81,MATCH($E2311,科目表!$B$4:$B$81,0)),""))</f>
        <v/>
      </c>
      <c r="H2311" s="70" t="str">
        <f aca="false">IF($E2311="","",N(INDEX(成本费用登记表!$Q$4:$Y$303,68,2)))</f>
        <v/>
      </c>
      <c r="I2311" s="70" t="str">
        <f aca="false">IF($E2311="","",N(INDEX(成本费用登记表!$Q$4:$Y$303,68,3)))</f>
        <v/>
      </c>
      <c r="J2311" s="67" t="str">
        <f aca="false">IF($E2311="","",INDEX(成本费用登记表!$C$4:$C$303,68))</f>
        <v/>
      </c>
      <c r="K2311" s="67" t="str">
        <f aca="false">IF($E2311="","",INDEX(成本费用登记表!$D$4:$D$303,68))</f>
        <v/>
      </c>
      <c r="L2311" s="107" t="str">
        <f aca="false">IF($E2311="","",INDEX(成本费用登记表!$N$4:$N$303,68))</f>
        <v/>
      </c>
      <c r="M2311" s="107"/>
      <c r="N2311" s="67" t="str">
        <f aca="false">IF($E2311="","","系统")</f>
        <v/>
      </c>
      <c r="O2311" s="67" t="str">
        <f aca="false">IF($E2311="","","自动C")</f>
        <v/>
      </c>
      <c r="P2311" s="18"/>
    </row>
    <row r="2312" customFormat="false" ht="18" hidden="false" customHeight="true" outlineLevel="0" collapsed="false">
      <c r="A2312" s="107" t="str">
        <f aca="false">IF($E2312="","",ROW()-3)</f>
        <v/>
      </c>
      <c r="B2312" s="110" t="str">
        <f aca="false">IF($E2312="","",INDEX(成本费用登记表!$B$4:$B$303,68))</f>
        <v/>
      </c>
      <c r="C2312" s="67" t="str">
        <f aca="false">IF($E2312="","","记-"&amp;TEXT($B2312,"YYYYMM")&amp;"-费用")</f>
        <v/>
      </c>
      <c r="D2312" s="107" t="str">
        <f aca="false">IF($E2312="","",INDEX(成本费用登记表!$E$4:$E$303,68))</f>
        <v/>
      </c>
      <c r="E2312" s="67" t="str">
        <f aca="false">IF(INDEX(成本费用登记表!$Q$4:$Y$303,68,4)=0,"",INDEX(成本费用登记表!$Q$4:$Y$303,68,4))</f>
        <v/>
      </c>
      <c r="F2312" s="99" t="str">
        <f aca="false">IF($E2312="","",IFERROR(INDEX(科目表!$A$4:$A$81,MATCH($E2312,科目表!$B$4:$B$81,0)),""))</f>
        <v/>
      </c>
      <c r="G2312" s="67" t="str">
        <f aca="false">IF($E2312="","",IFERROR(INDEX(科目表!$E$4:$E$81,MATCH($E2312,科目表!$B$4:$B$81,0)),""))</f>
        <v/>
      </c>
      <c r="H2312" s="70" t="str">
        <f aca="false">IF($E2312="","",N(INDEX(成本费用登记表!$Q$4:$Y$303,68,5)))</f>
        <v/>
      </c>
      <c r="I2312" s="70" t="str">
        <f aca="false">IF($E2312="","",N(INDEX(成本费用登记表!$Q$4:$Y$303,68,6)))</f>
        <v/>
      </c>
      <c r="J2312" s="67" t="str">
        <f aca="false">IF($E2312="","",INDEX(成本费用登记表!$C$4:$C$303,68))</f>
        <v/>
      </c>
      <c r="K2312" s="67" t="str">
        <f aca="false">IF($E2312="","",INDEX(成本费用登记表!$D$4:$D$303,68))</f>
        <v/>
      </c>
      <c r="L2312" s="107" t="str">
        <f aca="false">IF($E2312="","",INDEX(成本费用登记表!$N$4:$N$303,68))</f>
        <v/>
      </c>
      <c r="M2312" s="107"/>
      <c r="N2312" s="67" t="str">
        <f aca="false">IF($E2312="","","系统")</f>
        <v/>
      </c>
      <c r="O2312" s="67" t="str">
        <f aca="false">IF($E2312="","","自动C")</f>
        <v/>
      </c>
      <c r="P2312" s="18"/>
    </row>
    <row r="2313" customFormat="false" ht="18" hidden="false" customHeight="true" outlineLevel="0" collapsed="false">
      <c r="A2313" s="107" t="str">
        <f aca="false">IF($E2313="","",ROW()-3)</f>
        <v/>
      </c>
      <c r="B2313" s="110" t="str">
        <f aca="false">IF($E2313="","",INDEX(成本费用登记表!$B$4:$B$303,68))</f>
        <v/>
      </c>
      <c r="C2313" s="67" t="str">
        <f aca="false">IF($E2313="","","记-"&amp;TEXT($B2313,"YYYYMM")&amp;"-费用")</f>
        <v/>
      </c>
      <c r="D2313" s="107" t="str">
        <f aca="false">IF($E2313="","",INDEX(成本费用登记表!$E$4:$E$303,68))</f>
        <v/>
      </c>
      <c r="E2313" s="67" t="str">
        <f aca="false">IF(INDEX(成本费用登记表!$Q$4:$Y$303,68,7)=0,"",INDEX(成本费用登记表!$Q$4:$Y$303,68,7))</f>
        <v/>
      </c>
      <c r="F2313" s="99" t="str">
        <f aca="false">IF($E2313="","",IFERROR(INDEX(科目表!$A$4:$A$81,MATCH($E2313,科目表!$B$4:$B$81,0)),""))</f>
        <v/>
      </c>
      <c r="G2313" s="67" t="str">
        <f aca="false">IF($E2313="","",IFERROR(INDEX(科目表!$E$4:$E$81,MATCH($E2313,科目表!$B$4:$B$81,0)),""))</f>
        <v/>
      </c>
      <c r="H2313" s="70" t="str">
        <f aca="false">IF($E2313="","",N(INDEX(成本费用登记表!$Q$4:$Y$303,68,8)))</f>
        <v/>
      </c>
      <c r="I2313" s="70" t="str">
        <f aca="false">IF($E2313="","",N(INDEX(成本费用登记表!$Q$4:$Y$303,68,9)))</f>
        <v/>
      </c>
      <c r="J2313" s="67" t="str">
        <f aca="false">IF($E2313="","",INDEX(成本费用登记表!$C$4:$C$303,68))</f>
        <v/>
      </c>
      <c r="K2313" s="67" t="str">
        <f aca="false">IF($E2313="","",INDEX(成本费用登记表!$D$4:$D$303,68))</f>
        <v/>
      </c>
      <c r="L2313" s="107" t="str">
        <f aca="false">IF($E2313="","",INDEX(成本费用登记表!$N$4:$N$303,68))</f>
        <v/>
      </c>
      <c r="M2313" s="107"/>
      <c r="N2313" s="67" t="str">
        <f aca="false">IF($E2313="","","系统")</f>
        <v/>
      </c>
      <c r="O2313" s="67" t="str">
        <f aca="false">IF($E2313="","","自动C")</f>
        <v/>
      </c>
      <c r="P2313" s="18"/>
    </row>
    <row r="2314" customFormat="false" ht="18" hidden="false" customHeight="true" outlineLevel="0" collapsed="false">
      <c r="A2314" s="107" t="str">
        <f aca="false">IF($E2314="","",ROW()-3)</f>
        <v/>
      </c>
      <c r="B2314" s="110" t="str">
        <f aca="false">IF($E2314="","",INDEX(成本费用登记表!$B$4:$B$303,69))</f>
        <v/>
      </c>
      <c r="C2314" s="67" t="str">
        <f aca="false">IF($E2314="","","记-"&amp;TEXT($B2314,"YYYYMM")&amp;"-费用")</f>
        <v/>
      </c>
      <c r="D2314" s="107" t="str">
        <f aca="false">IF($E2314="","",INDEX(成本费用登记表!$E$4:$E$303,69))</f>
        <v/>
      </c>
      <c r="E2314" s="67" t="str">
        <f aca="false">IF(INDEX(成本费用登记表!$Q$4:$Y$303,69,1)=0,"",INDEX(成本费用登记表!$Q$4:$Y$303,69,1))</f>
        <v/>
      </c>
      <c r="F2314" s="99" t="str">
        <f aca="false">IF($E2314="","",IFERROR(INDEX(科目表!$A$4:$A$81,MATCH($E2314,科目表!$B$4:$B$81,0)),""))</f>
        <v/>
      </c>
      <c r="G2314" s="67" t="str">
        <f aca="false">IF($E2314="","",IFERROR(INDEX(科目表!$E$4:$E$81,MATCH($E2314,科目表!$B$4:$B$81,0)),""))</f>
        <v/>
      </c>
      <c r="H2314" s="70" t="str">
        <f aca="false">IF($E2314="","",N(INDEX(成本费用登记表!$Q$4:$Y$303,69,2)))</f>
        <v/>
      </c>
      <c r="I2314" s="70" t="str">
        <f aca="false">IF($E2314="","",N(INDEX(成本费用登记表!$Q$4:$Y$303,69,3)))</f>
        <v/>
      </c>
      <c r="J2314" s="67" t="str">
        <f aca="false">IF($E2314="","",INDEX(成本费用登记表!$C$4:$C$303,69))</f>
        <v/>
      </c>
      <c r="K2314" s="67" t="str">
        <f aca="false">IF($E2314="","",INDEX(成本费用登记表!$D$4:$D$303,69))</f>
        <v/>
      </c>
      <c r="L2314" s="107" t="str">
        <f aca="false">IF($E2314="","",INDEX(成本费用登记表!$N$4:$N$303,69))</f>
        <v/>
      </c>
      <c r="M2314" s="107"/>
      <c r="N2314" s="67" t="str">
        <f aca="false">IF($E2314="","","系统")</f>
        <v/>
      </c>
      <c r="O2314" s="67" t="str">
        <f aca="false">IF($E2314="","","自动C")</f>
        <v/>
      </c>
      <c r="P2314" s="18"/>
    </row>
    <row r="2315" customFormat="false" ht="18" hidden="false" customHeight="true" outlineLevel="0" collapsed="false">
      <c r="A2315" s="107" t="str">
        <f aca="false">IF($E2315="","",ROW()-3)</f>
        <v/>
      </c>
      <c r="B2315" s="110" t="str">
        <f aca="false">IF($E2315="","",INDEX(成本费用登记表!$B$4:$B$303,69))</f>
        <v/>
      </c>
      <c r="C2315" s="67" t="str">
        <f aca="false">IF($E2315="","","记-"&amp;TEXT($B2315,"YYYYMM")&amp;"-费用")</f>
        <v/>
      </c>
      <c r="D2315" s="107" t="str">
        <f aca="false">IF($E2315="","",INDEX(成本费用登记表!$E$4:$E$303,69))</f>
        <v/>
      </c>
      <c r="E2315" s="67" t="str">
        <f aca="false">IF(INDEX(成本费用登记表!$Q$4:$Y$303,69,4)=0,"",INDEX(成本费用登记表!$Q$4:$Y$303,69,4))</f>
        <v/>
      </c>
      <c r="F2315" s="99" t="str">
        <f aca="false">IF($E2315="","",IFERROR(INDEX(科目表!$A$4:$A$81,MATCH($E2315,科目表!$B$4:$B$81,0)),""))</f>
        <v/>
      </c>
      <c r="G2315" s="67" t="str">
        <f aca="false">IF($E2315="","",IFERROR(INDEX(科目表!$E$4:$E$81,MATCH($E2315,科目表!$B$4:$B$81,0)),""))</f>
        <v/>
      </c>
      <c r="H2315" s="70" t="str">
        <f aca="false">IF($E2315="","",N(INDEX(成本费用登记表!$Q$4:$Y$303,69,5)))</f>
        <v/>
      </c>
      <c r="I2315" s="70" t="str">
        <f aca="false">IF($E2315="","",N(INDEX(成本费用登记表!$Q$4:$Y$303,69,6)))</f>
        <v/>
      </c>
      <c r="J2315" s="67" t="str">
        <f aca="false">IF($E2315="","",INDEX(成本费用登记表!$C$4:$C$303,69))</f>
        <v/>
      </c>
      <c r="K2315" s="67" t="str">
        <f aca="false">IF($E2315="","",INDEX(成本费用登记表!$D$4:$D$303,69))</f>
        <v/>
      </c>
      <c r="L2315" s="107" t="str">
        <f aca="false">IF($E2315="","",INDEX(成本费用登记表!$N$4:$N$303,69))</f>
        <v/>
      </c>
      <c r="M2315" s="107"/>
      <c r="N2315" s="67" t="str">
        <f aca="false">IF($E2315="","","系统")</f>
        <v/>
      </c>
      <c r="O2315" s="67" t="str">
        <f aca="false">IF($E2315="","","自动C")</f>
        <v/>
      </c>
      <c r="P2315" s="18"/>
    </row>
    <row r="2316" customFormat="false" ht="18" hidden="false" customHeight="true" outlineLevel="0" collapsed="false">
      <c r="A2316" s="107" t="str">
        <f aca="false">IF($E2316="","",ROW()-3)</f>
        <v/>
      </c>
      <c r="B2316" s="110" t="str">
        <f aca="false">IF($E2316="","",INDEX(成本费用登记表!$B$4:$B$303,69))</f>
        <v/>
      </c>
      <c r="C2316" s="67" t="str">
        <f aca="false">IF($E2316="","","记-"&amp;TEXT($B2316,"YYYYMM")&amp;"-费用")</f>
        <v/>
      </c>
      <c r="D2316" s="107" t="str">
        <f aca="false">IF($E2316="","",INDEX(成本费用登记表!$E$4:$E$303,69))</f>
        <v/>
      </c>
      <c r="E2316" s="67" t="str">
        <f aca="false">IF(INDEX(成本费用登记表!$Q$4:$Y$303,69,7)=0,"",INDEX(成本费用登记表!$Q$4:$Y$303,69,7))</f>
        <v/>
      </c>
      <c r="F2316" s="99" t="str">
        <f aca="false">IF($E2316="","",IFERROR(INDEX(科目表!$A$4:$A$81,MATCH($E2316,科目表!$B$4:$B$81,0)),""))</f>
        <v/>
      </c>
      <c r="G2316" s="67" t="str">
        <f aca="false">IF($E2316="","",IFERROR(INDEX(科目表!$E$4:$E$81,MATCH($E2316,科目表!$B$4:$B$81,0)),""))</f>
        <v/>
      </c>
      <c r="H2316" s="70" t="str">
        <f aca="false">IF($E2316="","",N(INDEX(成本费用登记表!$Q$4:$Y$303,69,8)))</f>
        <v/>
      </c>
      <c r="I2316" s="70" t="str">
        <f aca="false">IF($E2316="","",N(INDEX(成本费用登记表!$Q$4:$Y$303,69,9)))</f>
        <v/>
      </c>
      <c r="J2316" s="67" t="str">
        <f aca="false">IF($E2316="","",INDEX(成本费用登记表!$C$4:$C$303,69))</f>
        <v/>
      </c>
      <c r="K2316" s="67" t="str">
        <f aca="false">IF($E2316="","",INDEX(成本费用登记表!$D$4:$D$303,69))</f>
        <v/>
      </c>
      <c r="L2316" s="107" t="str">
        <f aca="false">IF($E2316="","",INDEX(成本费用登记表!$N$4:$N$303,69))</f>
        <v/>
      </c>
      <c r="M2316" s="107"/>
      <c r="N2316" s="67" t="str">
        <f aca="false">IF($E2316="","","系统")</f>
        <v/>
      </c>
      <c r="O2316" s="67" t="str">
        <f aca="false">IF($E2316="","","自动C")</f>
        <v/>
      </c>
      <c r="P2316" s="18"/>
    </row>
    <row r="2317" customFormat="false" ht="18" hidden="false" customHeight="true" outlineLevel="0" collapsed="false">
      <c r="A2317" s="107" t="str">
        <f aca="false">IF($E2317="","",ROW()-3)</f>
        <v/>
      </c>
      <c r="B2317" s="110" t="str">
        <f aca="false">IF($E2317="","",INDEX(成本费用登记表!$B$4:$B$303,70))</f>
        <v/>
      </c>
      <c r="C2317" s="67" t="str">
        <f aca="false">IF($E2317="","","记-"&amp;TEXT($B2317,"YYYYMM")&amp;"-费用")</f>
        <v/>
      </c>
      <c r="D2317" s="107" t="str">
        <f aca="false">IF($E2317="","",INDEX(成本费用登记表!$E$4:$E$303,70))</f>
        <v/>
      </c>
      <c r="E2317" s="67" t="str">
        <f aca="false">IF(INDEX(成本费用登记表!$Q$4:$Y$303,70,1)=0,"",INDEX(成本费用登记表!$Q$4:$Y$303,70,1))</f>
        <v/>
      </c>
      <c r="F2317" s="99" t="str">
        <f aca="false">IF($E2317="","",IFERROR(INDEX(科目表!$A$4:$A$81,MATCH($E2317,科目表!$B$4:$B$81,0)),""))</f>
        <v/>
      </c>
      <c r="G2317" s="67" t="str">
        <f aca="false">IF($E2317="","",IFERROR(INDEX(科目表!$E$4:$E$81,MATCH($E2317,科目表!$B$4:$B$81,0)),""))</f>
        <v/>
      </c>
      <c r="H2317" s="70" t="str">
        <f aca="false">IF($E2317="","",N(INDEX(成本费用登记表!$Q$4:$Y$303,70,2)))</f>
        <v/>
      </c>
      <c r="I2317" s="70" t="str">
        <f aca="false">IF($E2317="","",N(INDEX(成本费用登记表!$Q$4:$Y$303,70,3)))</f>
        <v/>
      </c>
      <c r="J2317" s="67" t="str">
        <f aca="false">IF($E2317="","",INDEX(成本费用登记表!$C$4:$C$303,70))</f>
        <v/>
      </c>
      <c r="K2317" s="67" t="str">
        <f aca="false">IF($E2317="","",INDEX(成本费用登记表!$D$4:$D$303,70))</f>
        <v/>
      </c>
      <c r="L2317" s="107" t="str">
        <f aca="false">IF($E2317="","",INDEX(成本费用登记表!$N$4:$N$303,70))</f>
        <v/>
      </c>
      <c r="M2317" s="107"/>
      <c r="N2317" s="67" t="str">
        <f aca="false">IF($E2317="","","系统")</f>
        <v/>
      </c>
      <c r="O2317" s="67" t="str">
        <f aca="false">IF($E2317="","","自动C")</f>
        <v/>
      </c>
      <c r="P2317" s="18"/>
    </row>
    <row r="2318" customFormat="false" ht="18" hidden="false" customHeight="true" outlineLevel="0" collapsed="false">
      <c r="A2318" s="107" t="str">
        <f aca="false">IF($E2318="","",ROW()-3)</f>
        <v/>
      </c>
      <c r="B2318" s="110" t="str">
        <f aca="false">IF($E2318="","",INDEX(成本费用登记表!$B$4:$B$303,70))</f>
        <v/>
      </c>
      <c r="C2318" s="67" t="str">
        <f aca="false">IF($E2318="","","记-"&amp;TEXT($B2318,"YYYYMM")&amp;"-费用")</f>
        <v/>
      </c>
      <c r="D2318" s="107" t="str">
        <f aca="false">IF($E2318="","",INDEX(成本费用登记表!$E$4:$E$303,70))</f>
        <v/>
      </c>
      <c r="E2318" s="67" t="str">
        <f aca="false">IF(INDEX(成本费用登记表!$Q$4:$Y$303,70,4)=0,"",INDEX(成本费用登记表!$Q$4:$Y$303,70,4))</f>
        <v/>
      </c>
      <c r="F2318" s="99" t="str">
        <f aca="false">IF($E2318="","",IFERROR(INDEX(科目表!$A$4:$A$81,MATCH($E2318,科目表!$B$4:$B$81,0)),""))</f>
        <v/>
      </c>
      <c r="G2318" s="67" t="str">
        <f aca="false">IF($E2318="","",IFERROR(INDEX(科目表!$E$4:$E$81,MATCH($E2318,科目表!$B$4:$B$81,0)),""))</f>
        <v/>
      </c>
      <c r="H2318" s="70" t="str">
        <f aca="false">IF($E2318="","",N(INDEX(成本费用登记表!$Q$4:$Y$303,70,5)))</f>
        <v/>
      </c>
      <c r="I2318" s="70" t="str">
        <f aca="false">IF($E2318="","",N(INDEX(成本费用登记表!$Q$4:$Y$303,70,6)))</f>
        <v/>
      </c>
      <c r="J2318" s="67" t="str">
        <f aca="false">IF($E2318="","",INDEX(成本费用登记表!$C$4:$C$303,70))</f>
        <v/>
      </c>
      <c r="K2318" s="67" t="str">
        <f aca="false">IF($E2318="","",INDEX(成本费用登记表!$D$4:$D$303,70))</f>
        <v/>
      </c>
      <c r="L2318" s="107" t="str">
        <f aca="false">IF($E2318="","",INDEX(成本费用登记表!$N$4:$N$303,70))</f>
        <v/>
      </c>
      <c r="M2318" s="107"/>
      <c r="N2318" s="67" t="str">
        <f aca="false">IF($E2318="","","系统")</f>
        <v/>
      </c>
      <c r="O2318" s="67" t="str">
        <f aca="false">IF($E2318="","","自动C")</f>
        <v/>
      </c>
      <c r="P2318" s="18"/>
    </row>
    <row r="2319" customFormat="false" ht="18" hidden="false" customHeight="true" outlineLevel="0" collapsed="false">
      <c r="A2319" s="107" t="str">
        <f aca="false">IF($E2319="","",ROW()-3)</f>
        <v/>
      </c>
      <c r="B2319" s="110" t="str">
        <f aca="false">IF($E2319="","",INDEX(成本费用登记表!$B$4:$B$303,70))</f>
        <v/>
      </c>
      <c r="C2319" s="67" t="str">
        <f aca="false">IF($E2319="","","记-"&amp;TEXT($B2319,"YYYYMM")&amp;"-费用")</f>
        <v/>
      </c>
      <c r="D2319" s="107" t="str">
        <f aca="false">IF($E2319="","",INDEX(成本费用登记表!$E$4:$E$303,70))</f>
        <v/>
      </c>
      <c r="E2319" s="67" t="str">
        <f aca="false">IF(INDEX(成本费用登记表!$Q$4:$Y$303,70,7)=0,"",INDEX(成本费用登记表!$Q$4:$Y$303,70,7))</f>
        <v/>
      </c>
      <c r="F2319" s="99" t="str">
        <f aca="false">IF($E2319="","",IFERROR(INDEX(科目表!$A$4:$A$81,MATCH($E2319,科目表!$B$4:$B$81,0)),""))</f>
        <v/>
      </c>
      <c r="G2319" s="67" t="str">
        <f aca="false">IF($E2319="","",IFERROR(INDEX(科目表!$E$4:$E$81,MATCH($E2319,科目表!$B$4:$B$81,0)),""))</f>
        <v/>
      </c>
      <c r="H2319" s="70" t="str">
        <f aca="false">IF($E2319="","",N(INDEX(成本费用登记表!$Q$4:$Y$303,70,8)))</f>
        <v/>
      </c>
      <c r="I2319" s="70" t="str">
        <f aca="false">IF($E2319="","",N(INDEX(成本费用登记表!$Q$4:$Y$303,70,9)))</f>
        <v/>
      </c>
      <c r="J2319" s="67" t="str">
        <f aca="false">IF($E2319="","",INDEX(成本费用登记表!$C$4:$C$303,70))</f>
        <v/>
      </c>
      <c r="K2319" s="67" t="str">
        <f aca="false">IF($E2319="","",INDEX(成本费用登记表!$D$4:$D$303,70))</f>
        <v/>
      </c>
      <c r="L2319" s="107" t="str">
        <f aca="false">IF($E2319="","",INDEX(成本费用登记表!$N$4:$N$303,70))</f>
        <v/>
      </c>
      <c r="M2319" s="107"/>
      <c r="N2319" s="67" t="str">
        <f aca="false">IF($E2319="","","系统")</f>
        <v/>
      </c>
      <c r="O2319" s="67" t="str">
        <f aca="false">IF($E2319="","","自动C")</f>
        <v/>
      </c>
      <c r="P2319" s="18"/>
    </row>
    <row r="2320" customFormat="false" ht="18" hidden="false" customHeight="true" outlineLevel="0" collapsed="false">
      <c r="A2320" s="107" t="str">
        <f aca="false">IF($E2320="","",ROW()-3)</f>
        <v/>
      </c>
      <c r="B2320" s="110" t="str">
        <f aca="false">IF($E2320="","",INDEX(成本费用登记表!$B$4:$B$303,71))</f>
        <v/>
      </c>
      <c r="C2320" s="67" t="str">
        <f aca="false">IF($E2320="","","记-"&amp;TEXT($B2320,"YYYYMM")&amp;"-费用")</f>
        <v/>
      </c>
      <c r="D2320" s="107" t="str">
        <f aca="false">IF($E2320="","",INDEX(成本费用登记表!$E$4:$E$303,71))</f>
        <v/>
      </c>
      <c r="E2320" s="67" t="str">
        <f aca="false">IF(INDEX(成本费用登记表!$Q$4:$Y$303,71,1)=0,"",INDEX(成本费用登记表!$Q$4:$Y$303,71,1))</f>
        <v/>
      </c>
      <c r="F2320" s="99" t="str">
        <f aca="false">IF($E2320="","",IFERROR(INDEX(科目表!$A$4:$A$81,MATCH($E2320,科目表!$B$4:$B$81,0)),""))</f>
        <v/>
      </c>
      <c r="G2320" s="67" t="str">
        <f aca="false">IF($E2320="","",IFERROR(INDEX(科目表!$E$4:$E$81,MATCH($E2320,科目表!$B$4:$B$81,0)),""))</f>
        <v/>
      </c>
      <c r="H2320" s="70" t="str">
        <f aca="false">IF($E2320="","",N(INDEX(成本费用登记表!$Q$4:$Y$303,71,2)))</f>
        <v/>
      </c>
      <c r="I2320" s="70" t="str">
        <f aca="false">IF($E2320="","",N(INDEX(成本费用登记表!$Q$4:$Y$303,71,3)))</f>
        <v/>
      </c>
      <c r="J2320" s="67" t="str">
        <f aca="false">IF($E2320="","",INDEX(成本费用登记表!$C$4:$C$303,71))</f>
        <v/>
      </c>
      <c r="K2320" s="67" t="str">
        <f aca="false">IF($E2320="","",INDEX(成本费用登记表!$D$4:$D$303,71))</f>
        <v/>
      </c>
      <c r="L2320" s="107" t="str">
        <f aca="false">IF($E2320="","",INDEX(成本费用登记表!$N$4:$N$303,71))</f>
        <v/>
      </c>
      <c r="M2320" s="107"/>
      <c r="N2320" s="67" t="str">
        <f aca="false">IF($E2320="","","系统")</f>
        <v/>
      </c>
      <c r="O2320" s="67" t="str">
        <f aca="false">IF($E2320="","","自动C")</f>
        <v/>
      </c>
      <c r="P2320" s="18"/>
    </row>
    <row r="2321" customFormat="false" ht="18" hidden="false" customHeight="true" outlineLevel="0" collapsed="false">
      <c r="A2321" s="107" t="str">
        <f aca="false">IF($E2321="","",ROW()-3)</f>
        <v/>
      </c>
      <c r="B2321" s="110" t="str">
        <f aca="false">IF($E2321="","",INDEX(成本费用登记表!$B$4:$B$303,71))</f>
        <v/>
      </c>
      <c r="C2321" s="67" t="str">
        <f aca="false">IF($E2321="","","记-"&amp;TEXT($B2321,"YYYYMM")&amp;"-费用")</f>
        <v/>
      </c>
      <c r="D2321" s="107" t="str">
        <f aca="false">IF($E2321="","",INDEX(成本费用登记表!$E$4:$E$303,71))</f>
        <v/>
      </c>
      <c r="E2321" s="67" t="str">
        <f aca="false">IF(INDEX(成本费用登记表!$Q$4:$Y$303,71,4)=0,"",INDEX(成本费用登记表!$Q$4:$Y$303,71,4))</f>
        <v/>
      </c>
      <c r="F2321" s="99" t="str">
        <f aca="false">IF($E2321="","",IFERROR(INDEX(科目表!$A$4:$A$81,MATCH($E2321,科目表!$B$4:$B$81,0)),""))</f>
        <v/>
      </c>
      <c r="G2321" s="67" t="str">
        <f aca="false">IF($E2321="","",IFERROR(INDEX(科目表!$E$4:$E$81,MATCH($E2321,科目表!$B$4:$B$81,0)),""))</f>
        <v/>
      </c>
      <c r="H2321" s="70" t="str">
        <f aca="false">IF($E2321="","",N(INDEX(成本费用登记表!$Q$4:$Y$303,71,5)))</f>
        <v/>
      </c>
      <c r="I2321" s="70" t="str">
        <f aca="false">IF($E2321="","",N(INDEX(成本费用登记表!$Q$4:$Y$303,71,6)))</f>
        <v/>
      </c>
      <c r="J2321" s="67" t="str">
        <f aca="false">IF($E2321="","",INDEX(成本费用登记表!$C$4:$C$303,71))</f>
        <v/>
      </c>
      <c r="K2321" s="67" t="str">
        <f aca="false">IF($E2321="","",INDEX(成本费用登记表!$D$4:$D$303,71))</f>
        <v/>
      </c>
      <c r="L2321" s="107" t="str">
        <f aca="false">IF($E2321="","",INDEX(成本费用登记表!$N$4:$N$303,71))</f>
        <v/>
      </c>
      <c r="M2321" s="107"/>
      <c r="N2321" s="67" t="str">
        <f aca="false">IF($E2321="","","系统")</f>
        <v/>
      </c>
      <c r="O2321" s="67" t="str">
        <f aca="false">IF($E2321="","","自动C")</f>
        <v/>
      </c>
      <c r="P2321" s="18"/>
    </row>
    <row r="2322" customFormat="false" ht="18" hidden="false" customHeight="true" outlineLevel="0" collapsed="false">
      <c r="A2322" s="107" t="str">
        <f aca="false">IF($E2322="","",ROW()-3)</f>
        <v/>
      </c>
      <c r="B2322" s="110" t="str">
        <f aca="false">IF($E2322="","",INDEX(成本费用登记表!$B$4:$B$303,71))</f>
        <v/>
      </c>
      <c r="C2322" s="67" t="str">
        <f aca="false">IF($E2322="","","记-"&amp;TEXT($B2322,"YYYYMM")&amp;"-费用")</f>
        <v/>
      </c>
      <c r="D2322" s="107" t="str">
        <f aca="false">IF($E2322="","",INDEX(成本费用登记表!$E$4:$E$303,71))</f>
        <v/>
      </c>
      <c r="E2322" s="67" t="str">
        <f aca="false">IF(INDEX(成本费用登记表!$Q$4:$Y$303,71,7)=0,"",INDEX(成本费用登记表!$Q$4:$Y$303,71,7))</f>
        <v/>
      </c>
      <c r="F2322" s="99" t="str">
        <f aca="false">IF($E2322="","",IFERROR(INDEX(科目表!$A$4:$A$81,MATCH($E2322,科目表!$B$4:$B$81,0)),""))</f>
        <v/>
      </c>
      <c r="G2322" s="67" t="str">
        <f aca="false">IF($E2322="","",IFERROR(INDEX(科目表!$E$4:$E$81,MATCH($E2322,科目表!$B$4:$B$81,0)),""))</f>
        <v/>
      </c>
      <c r="H2322" s="70" t="str">
        <f aca="false">IF($E2322="","",N(INDEX(成本费用登记表!$Q$4:$Y$303,71,8)))</f>
        <v/>
      </c>
      <c r="I2322" s="70" t="str">
        <f aca="false">IF($E2322="","",N(INDEX(成本费用登记表!$Q$4:$Y$303,71,9)))</f>
        <v/>
      </c>
      <c r="J2322" s="67" t="str">
        <f aca="false">IF($E2322="","",INDEX(成本费用登记表!$C$4:$C$303,71))</f>
        <v/>
      </c>
      <c r="K2322" s="67" t="str">
        <f aca="false">IF($E2322="","",INDEX(成本费用登记表!$D$4:$D$303,71))</f>
        <v/>
      </c>
      <c r="L2322" s="107" t="str">
        <f aca="false">IF($E2322="","",INDEX(成本费用登记表!$N$4:$N$303,71))</f>
        <v/>
      </c>
      <c r="M2322" s="107"/>
      <c r="N2322" s="67" t="str">
        <f aca="false">IF($E2322="","","系统")</f>
        <v/>
      </c>
      <c r="O2322" s="67" t="str">
        <f aca="false">IF($E2322="","","自动C")</f>
        <v/>
      </c>
      <c r="P2322" s="18"/>
    </row>
    <row r="2323" customFormat="false" ht="18" hidden="false" customHeight="true" outlineLevel="0" collapsed="false">
      <c r="A2323" s="107" t="str">
        <f aca="false">IF($E2323="","",ROW()-3)</f>
        <v/>
      </c>
      <c r="B2323" s="110" t="str">
        <f aca="false">IF($E2323="","",INDEX(成本费用登记表!$B$4:$B$303,72))</f>
        <v/>
      </c>
      <c r="C2323" s="67" t="str">
        <f aca="false">IF($E2323="","","记-"&amp;TEXT($B2323,"YYYYMM")&amp;"-费用")</f>
        <v/>
      </c>
      <c r="D2323" s="107" t="str">
        <f aca="false">IF($E2323="","",INDEX(成本费用登记表!$E$4:$E$303,72))</f>
        <v/>
      </c>
      <c r="E2323" s="67" t="str">
        <f aca="false">IF(INDEX(成本费用登记表!$Q$4:$Y$303,72,1)=0,"",INDEX(成本费用登记表!$Q$4:$Y$303,72,1))</f>
        <v/>
      </c>
      <c r="F2323" s="99" t="str">
        <f aca="false">IF($E2323="","",IFERROR(INDEX(科目表!$A$4:$A$81,MATCH($E2323,科目表!$B$4:$B$81,0)),""))</f>
        <v/>
      </c>
      <c r="G2323" s="67" t="str">
        <f aca="false">IF($E2323="","",IFERROR(INDEX(科目表!$E$4:$E$81,MATCH($E2323,科目表!$B$4:$B$81,0)),""))</f>
        <v/>
      </c>
      <c r="H2323" s="70" t="str">
        <f aca="false">IF($E2323="","",N(INDEX(成本费用登记表!$Q$4:$Y$303,72,2)))</f>
        <v/>
      </c>
      <c r="I2323" s="70" t="str">
        <f aca="false">IF($E2323="","",N(INDEX(成本费用登记表!$Q$4:$Y$303,72,3)))</f>
        <v/>
      </c>
      <c r="J2323" s="67" t="str">
        <f aca="false">IF($E2323="","",INDEX(成本费用登记表!$C$4:$C$303,72))</f>
        <v/>
      </c>
      <c r="K2323" s="67" t="str">
        <f aca="false">IF($E2323="","",INDEX(成本费用登记表!$D$4:$D$303,72))</f>
        <v/>
      </c>
      <c r="L2323" s="107" t="str">
        <f aca="false">IF($E2323="","",INDEX(成本费用登记表!$N$4:$N$303,72))</f>
        <v/>
      </c>
      <c r="M2323" s="107"/>
      <c r="N2323" s="67" t="str">
        <f aca="false">IF($E2323="","","系统")</f>
        <v/>
      </c>
      <c r="O2323" s="67" t="str">
        <f aca="false">IF($E2323="","","自动C")</f>
        <v/>
      </c>
      <c r="P2323" s="18"/>
    </row>
    <row r="2324" customFormat="false" ht="18" hidden="false" customHeight="true" outlineLevel="0" collapsed="false">
      <c r="A2324" s="107" t="str">
        <f aca="false">IF($E2324="","",ROW()-3)</f>
        <v/>
      </c>
      <c r="B2324" s="110" t="str">
        <f aca="false">IF($E2324="","",INDEX(成本费用登记表!$B$4:$B$303,72))</f>
        <v/>
      </c>
      <c r="C2324" s="67" t="str">
        <f aca="false">IF($E2324="","","记-"&amp;TEXT($B2324,"YYYYMM")&amp;"-费用")</f>
        <v/>
      </c>
      <c r="D2324" s="107" t="str">
        <f aca="false">IF($E2324="","",INDEX(成本费用登记表!$E$4:$E$303,72))</f>
        <v/>
      </c>
      <c r="E2324" s="67" t="str">
        <f aca="false">IF(INDEX(成本费用登记表!$Q$4:$Y$303,72,4)=0,"",INDEX(成本费用登记表!$Q$4:$Y$303,72,4))</f>
        <v/>
      </c>
      <c r="F2324" s="99" t="str">
        <f aca="false">IF($E2324="","",IFERROR(INDEX(科目表!$A$4:$A$81,MATCH($E2324,科目表!$B$4:$B$81,0)),""))</f>
        <v/>
      </c>
      <c r="G2324" s="67" t="str">
        <f aca="false">IF($E2324="","",IFERROR(INDEX(科目表!$E$4:$E$81,MATCH($E2324,科目表!$B$4:$B$81,0)),""))</f>
        <v/>
      </c>
      <c r="H2324" s="70" t="str">
        <f aca="false">IF($E2324="","",N(INDEX(成本费用登记表!$Q$4:$Y$303,72,5)))</f>
        <v/>
      </c>
      <c r="I2324" s="70" t="str">
        <f aca="false">IF($E2324="","",N(INDEX(成本费用登记表!$Q$4:$Y$303,72,6)))</f>
        <v/>
      </c>
      <c r="J2324" s="67" t="str">
        <f aca="false">IF($E2324="","",INDEX(成本费用登记表!$C$4:$C$303,72))</f>
        <v/>
      </c>
      <c r="K2324" s="67" t="str">
        <f aca="false">IF($E2324="","",INDEX(成本费用登记表!$D$4:$D$303,72))</f>
        <v/>
      </c>
      <c r="L2324" s="107" t="str">
        <f aca="false">IF($E2324="","",INDEX(成本费用登记表!$N$4:$N$303,72))</f>
        <v/>
      </c>
      <c r="M2324" s="107"/>
      <c r="N2324" s="67" t="str">
        <f aca="false">IF($E2324="","","系统")</f>
        <v/>
      </c>
      <c r="O2324" s="67" t="str">
        <f aca="false">IF($E2324="","","自动C")</f>
        <v/>
      </c>
      <c r="P2324" s="18"/>
    </row>
    <row r="2325" customFormat="false" ht="18" hidden="false" customHeight="true" outlineLevel="0" collapsed="false">
      <c r="A2325" s="107" t="str">
        <f aca="false">IF($E2325="","",ROW()-3)</f>
        <v/>
      </c>
      <c r="B2325" s="110" t="str">
        <f aca="false">IF($E2325="","",INDEX(成本费用登记表!$B$4:$B$303,72))</f>
        <v/>
      </c>
      <c r="C2325" s="67" t="str">
        <f aca="false">IF($E2325="","","记-"&amp;TEXT($B2325,"YYYYMM")&amp;"-费用")</f>
        <v/>
      </c>
      <c r="D2325" s="107" t="str">
        <f aca="false">IF($E2325="","",INDEX(成本费用登记表!$E$4:$E$303,72))</f>
        <v/>
      </c>
      <c r="E2325" s="67" t="str">
        <f aca="false">IF(INDEX(成本费用登记表!$Q$4:$Y$303,72,7)=0,"",INDEX(成本费用登记表!$Q$4:$Y$303,72,7))</f>
        <v/>
      </c>
      <c r="F2325" s="99" t="str">
        <f aca="false">IF($E2325="","",IFERROR(INDEX(科目表!$A$4:$A$81,MATCH($E2325,科目表!$B$4:$B$81,0)),""))</f>
        <v/>
      </c>
      <c r="G2325" s="67" t="str">
        <f aca="false">IF($E2325="","",IFERROR(INDEX(科目表!$E$4:$E$81,MATCH($E2325,科目表!$B$4:$B$81,0)),""))</f>
        <v/>
      </c>
      <c r="H2325" s="70" t="str">
        <f aca="false">IF($E2325="","",N(INDEX(成本费用登记表!$Q$4:$Y$303,72,8)))</f>
        <v/>
      </c>
      <c r="I2325" s="70" t="str">
        <f aca="false">IF($E2325="","",N(INDEX(成本费用登记表!$Q$4:$Y$303,72,9)))</f>
        <v/>
      </c>
      <c r="J2325" s="67" t="str">
        <f aca="false">IF($E2325="","",INDEX(成本费用登记表!$C$4:$C$303,72))</f>
        <v/>
      </c>
      <c r="K2325" s="67" t="str">
        <f aca="false">IF($E2325="","",INDEX(成本费用登记表!$D$4:$D$303,72))</f>
        <v/>
      </c>
      <c r="L2325" s="107" t="str">
        <f aca="false">IF($E2325="","",INDEX(成本费用登记表!$N$4:$N$303,72))</f>
        <v/>
      </c>
      <c r="M2325" s="107"/>
      <c r="N2325" s="67" t="str">
        <f aca="false">IF($E2325="","","系统")</f>
        <v/>
      </c>
      <c r="O2325" s="67" t="str">
        <f aca="false">IF($E2325="","","自动C")</f>
        <v/>
      </c>
      <c r="P2325" s="18"/>
    </row>
    <row r="2326" customFormat="false" ht="18" hidden="false" customHeight="true" outlineLevel="0" collapsed="false">
      <c r="A2326" s="107" t="str">
        <f aca="false">IF($E2326="","",ROW()-3)</f>
        <v/>
      </c>
      <c r="B2326" s="110" t="str">
        <f aca="false">IF($E2326="","",INDEX(成本费用登记表!$B$4:$B$303,73))</f>
        <v/>
      </c>
      <c r="C2326" s="67" t="str">
        <f aca="false">IF($E2326="","","记-"&amp;TEXT($B2326,"YYYYMM")&amp;"-费用")</f>
        <v/>
      </c>
      <c r="D2326" s="107" t="str">
        <f aca="false">IF($E2326="","",INDEX(成本费用登记表!$E$4:$E$303,73))</f>
        <v/>
      </c>
      <c r="E2326" s="67" t="str">
        <f aca="false">IF(INDEX(成本费用登记表!$Q$4:$Y$303,73,1)=0,"",INDEX(成本费用登记表!$Q$4:$Y$303,73,1))</f>
        <v/>
      </c>
      <c r="F2326" s="99" t="str">
        <f aca="false">IF($E2326="","",IFERROR(INDEX(科目表!$A$4:$A$81,MATCH($E2326,科目表!$B$4:$B$81,0)),""))</f>
        <v/>
      </c>
      <c r="G2326" s="67" t="str">
        <f aca="false">IF($E2326="","",IFERROR(INDEX(科目表!$E$4:$E$81,MATCH($E2326,科目表!$B$4:$B$81,0)),""))</f>
        <v/>
      </c>
      <c r="H2326" s="70" t="str">
        <f aca="false">IF($E2326="","",N(INDEX(成本费用登记表!$Q$4:$Y$303,73,2)))</f>
        <v/>
      </c>
      <c r="I2326" s="70" t="str">
        <f aca="false">IF($E2326="","",N(INDEX(成本费用登记表!$Q$4:$Y$303,73,3)))</f>
        <v/>
      </c>
      <c r="J2326" s="67" t="str">
        <f aca="false">IF($E2326="","",INDEX(成本费用登记表!$C$4:$C$303,73))</f>
        <v/>
      </c>
      <c r="K2326" s="67" t="str">
        <f aca="false">IF($E2326="","",INDEX(成本费用登记表!$D$4:$D$303,73))</f>
        <v/>
      </c>
      <c r="L2326" s="107" t="str">
        <f aca="false">IF($E2326="","",INDEX(成本费用登记表!$N$4:$N$303,73))</f>
        <v/>
      </c>
      <c r="M2326" s="107"/>
      <c r="N2326" s="67" t="str">
        <f aca="false">IF($E2326="","","系统")</f>
        <v/>
      </c>
      <c r="O2326" s="67" t="str">
        <f aca="false">IF($E2326="","","自动C")</f>
        <v/>
      </c>
      <c r="P2326" s="18"/>
    </row>
    <row r="2327" customFormat="false" ht="18" hidden="false" customHeight="true" outlineLevel="0" collapsed="false">
      <c r="A2327" s="107" t="str">
        <f aca="false">IF($E2327="","",ROW()-3)</f>
        <v/>
      </c>
      <c r="B2327" s="110" t="str">
        <f aca="false">IF($E2327="","",INDEX(成本费用登记表!$B$4:$B$303,73))</f>
        <v/>
      </c>
      <c r="C2327" s="67" t="str">
        <f aca="false">IF($E2327="","","记-"&amp;TEXT($B2327,"YYYYMM")&amp;"-费用")</f>
        <v/>
      </c>
      <c r="D2327" s="107" t="str">
        <f aca="false">IF($E2327="","",INDEX(成本费用登记表!$E$4:$E$303,73))</f>
        <v/>
      </c>
      <c r="E2327" s="67" t="str">
        <f aca="false">IF(INDEX(成本费用登记表!$Q$4:$Y$303,73,4)=0,"",INDEX(成本费用登记表!$Q$4:$Y$303,73,4))</f>
        <v/>
      </c>
      <c r="F2327" s="99" t="str">
        <f aca="false">IF($E2327="","",IFERROR(INDEX(科目表!$A$4:$A$81,MATCH($E2327,科目表!$B$4:$B$81,0)),""))</f>
        <v/>
      </c>
      <c r="G2327" s="67" t="str">
        <f aca="false">IF($E2327="","",IFERROR(INDEX(科目表!$E$4:$E$81,MATCH($E2327,科目表!$B$4:$B$81,0)),""))</f>
        <v/>
      </c>
      <c r="H2327" s="70" t="str">
        <f aca="false">IF($E2327="","",N(INDEX(成本费用登记表!$Q$4:$Y$303,73,5)))</f>
        <v/>
      </c>
      <c r="I2327" s="70" t="str">
        <f aca="false">IF($E2327="","",N(INDEX(成本费用登记表!$Q$4:$Y$303,73,6)))</f>
        <v/>
      </c>
      <c r="J2327" s="67" t="str">
        <f aca="false">IF($E2327="","",INDEX(成本费用登记表!$C$4:$C$303,73))</f>
        <v/>
      </c>
      <c r="K2327" s="67" t="str">
        <f aca="false">IF($E2327="","",INDEX(成本费用登记表!$D$4:$D$303,73))</f>
        <v/>
      </c>
      <c r="L2327" s="107" t="str">
        <f aca="false">IF($E2327="","",INDEX(成本费用登记表!$N$4:$N$303,73))</f>
        <v/>
      </c>
      <c r="M2327" s="107"/>
      <c r="N2327" s="67" t="str">
        <f aca="false">IF($E2327="","","系统")</f>
        <v/>
      </c>
      <c r="O2327" s="67" t="str">
        <f aca="false">IF($E2327="","","自动C")</f>
        <v/>
      </c>
      <c r="P2327" s="18"/>
    </row>
    <row r="2328" customFormat="false" ht="18" hidden="false" customHeight="true" outlineLevel="0" collapsed="false">
      <c r="A2328" s="107" t="str">
        <f aca="false">IF($E2328="","",ROW()-3)</f>
        <v/>
      </c>
      <c r="B2328" s="110" t="str">
        <f aca="false">IF($E2328="","",INDEX(成本费用登记表!$B$4:$B$303,73))</f>
        <v/>
      </c>
      <c r="C2328" s="67" t="str">
        <f aca="false">IF($E2328="","","记-"&amp;TEXT($B2328,"YYYYMM")&amp;"-费用")</f>
        <v/>
      </c>
      <c r="D2328" s="107" t="str">
        <f aca="false">IF($E2328="","",INDEX(成本费用登记表!$E$4:$E$303,73))</f>
        <v/>
      </c>
      <c r="E2328" s="67" t="str">
        <f aca="false">IF(INDEX(成本费用登记表!$Q$4:$Y$303,73,7)=0,"",INDEX(成本费用登记表!$Q$4:$Y$303,73,7))</f>
        <v/>
      </c>
      <c r="F2328" s="99" t="str">
        <f aca="false">IF($E2328="","",IFERROR(INDEX(科目表!$A$4:$A$81,MATCH($E2328,科目表!$B$4:$B$81,0)),""))</f>
        <v/>
      </c>
      <c r="G2328" s="67" t="str">
        <f aca="false">IF($E2328="","",IFERROR(INDEX(科目表!$E$4:$E$81,MATCH($E2328,科目表!$B$4:$B$81,0)),""))</f>
        <v/>
      </c>
      <c r="H2328" s="70" t="str">
        <f aca="false">IF($E2328="","",N(INDEX(成本费用登记表!$Q$4:$Y$303,73,8)))</f>
        <v/>
      </c>
      <c r="I2328" s="70" t="str">
        <f aca="false">IF($E2328="","",N(INDEX(成本费用登记表!$Q$4:$Y$303,73,9)))</f>
        <v/>
      </c>
      <c r="J2328" s="67" t="str">
        <f aca="false">IF($E2328="","",INDEX(成本费用登记表!$C$4:$C$303,73))</f>
        <v/>
      </c>
      <c r="K2328" s="67" t="str">
        <f aca="false">IF($E2328="","",INDEX(成本费用登记表!$D$4:$D$303,73))</f>
        <v/>
      </c>
      <c r="L2328" s="107" t="str">
        <f aca="false">IF($E2328="","",INDEX(成本费用登记表!$N$4:$N$303,73))</f>
        <v/>
      </c>
      <c r="M2328" s="107"/>
      <c r="N2328" s="67" t="str">
        <f aca="false">IF($E2328="","","系统")</f>
        <v/>
      </c>
      <c r="O2328" s="67" t="str">
        <f aca="false">IF($E2328="","","自动C")</f>
        <v/>
      </c>
      <c r="P2328" s="18"/>
    </row>
    <row r="2329" customFormat="false" ht="18" hidden="false" customHeight="true" outlineLevel="0" collapsed="false">
      <c r="A2329" s="107" t="str">
        <f aca="false">IF($E2329="","",ROW()-3)</f>
        <v/>
      </c>
      <c r="B2329" s="110" t="str">
        <f aca="false">IF($E2329="","",INDEX(成本费用登记表!$B$4:$B$303,74))</f>
        <v/>
      </c>
      <c r="C2329" s="67" t="str">
        <f aca="false">IF($E2329="","","记-"&amp;TEXT($B2329,"YYYYMM")&amp;"-费用")</f>
        <v/>
      </c>
      <c r="D2329" s="107" t="str">
        <f aca="false">IF($E2329="","",INDEX(成本费用登记表!$E$4:$E$303,74))</f>
        <v/>
      </c>
      <c r="E2329" s="67" t="str">
        <f aca="false">IF(INDEX(成本费用登记表!$Q$4:$Y$303,74,1)=0,"",INDEX(成本费用登记表!$Q$4:$Y$303,74,1))</f>
        <v/>
      </c>
      <c r="F2329" s="99" t="str">
        <f aca="false">IF($E2329="","",IFERROR(INDEX(科目表!$A$4:$A$81,MATCH($E2329,科目表!$B$4:$B$81,0)),""))</f>
        <v/>
      </c>
      <c r="G2329" s="67" t="str">
        <f aca="false">IF($E2329="","",IFERROR(INDEX(科目表!$E$4:$E$81,MATCH($E2329,科目表!$B$4:$B$81,0)),""))</f>
        <v/>
      </c>
      <c r="H2329" s="70" t="str">
        <f aca="false">IF($E2329="","",N(INDEX(成本费用登记表!$Q$4:$Y$303,74,2)))</f>
        <v/>
      </c>
      <c r="I2329" s="70" t="str">
        <f aca="false">IF($E2329="","",N(INDEX(成本费用登记表!$Q$4:$Y$303,74,3)))</f>
        <v/>
      </c>
      <c r="J2329" s="67" t="str">
        <f aca="false">IF($E2329="","",INDEX(成本费用登记表!$C$4:$C$303,74))</f>
        <v/>
      </c>
      <c r="K2329" s="67" t="str">
        <f aca="false">IF($E2329="","",INDEX(成本费用登记表!$D$4:$D$303,74))</f>
        <v/>
      </c>
      <c r="L2329" s="107" t="str">
        <f aca="false">IF($E2329="","",INDEX(成本费用登记表!$N$4:$N$303,74))</f>
        <v/>
      </c>
      <c r="M2329" s="107"/>
      <c r="N2329" s="67" t="str">
        <f aca="false">IF($E2329="","","系统")</f>
        <v/>
      </c>
      <c r="O2329" s="67" t="str">
        <f aca="false">IF($E2329="","","自动C")</f>
        <v/>
      </c>
      <c r="P2329" s="18"/>
    </row>
    <row r="2330" customFormat="false" ht="18" hidden="false" customHeight="true" outlineLevel="0" collapsed="false">
      <c r="A2330" s="107" t="str">
        <f aca="false">IF($E2330="","",ROW()-3)</f>
        <v/>
      </c>
      <c r="B2330" s="110" t="str">
        <f aca="false">IF($E2330="","",INDEX(成本费用登记表!$B$4:$B$303,74))</f>
        <v/>
      </c>
      <c r="C2330" s="67" t="str">
        <f aca="false">IF($E2330="","","记-"&amp;TEXT($B2330,"YYYYMM")&amp;"-费用")</f>
        <v/>
      </c>
      <c r="D2330" s="107" t="str">
        <f aca="false">IF($E2330="","",INDEX(成本费用登记表!$E$4:$E$303,74))</f>
        <v/>
      </c>
      <c r="E2330" s="67" t="str">
        <f aca="false">IF(INDEX(成本费用登记表!$Q$4:$Y$303,74,4)=0,"",INDEX(成本费用登记表!$Q$4:$Y$303,74,4))</f>
        <v/>
      </c>
      <c r="F2330" s="99" t="str">
        <f aca="false">IF($E2330="","",IFERROR(INDEX(科目表!$A$4:$A$81,MATCH($E2330,科目表!$B$4:$B$81,0)),""))</f>
        <v/>
      </c>
      <c r="G2330" s="67" t="str">
        <f aca="false">IF($E2330="","",IFERROR(INDEX(科目表!$E$4:$E$81,MATCH($E2330,科目表!$B$4:$B$81,0)),""))</f>
        <v/>
      </c>
      <c r="H2330" s="70" t="str">
        <f aca="false">IF($E2330="","",N(INDEX(成本费用登记表!$Q$4:$Y$303,74,5)))</f>
        <v/>
      </c>
      <c r="I2330" s="70" t="str">
        <f aca="false">IF($E2330="","",N(INDEX(成本费用登记表!$Q$4:$Y$303,74,6)))</f>
        <v/>
      </c>
      <c r="J2330" s="67" t="str">
        <f aca="false">IF($E2330="","",INDEX(成本费用登记表!$C$4:$C$303,74))</f>
        <v/>
      </c>
      <c r="K2330" s="67" t="str">
        <f aca="false">IF($E2330="","",INDEX(成本费用登记表!$D$4:$D$303,74))</f>
        <v/>
      </c>
      <c r="L2330" s="107" t="str">
        <f aca="false">IF($E2330="","",INDEX(成本费用登记表!$N$4:$N$303,74))</f>
        <v/>
      </c>
      <c r="M2330" s="107"/>
      <c r="N2330" s="67" t="str">
        <f aca="false">IF($E2330="","","系统")</f>
        <v/>
      </c>
      <c r="O2330" s="67" t="str">
        <f aca="false">IF($E2330="","","自动C")</f>
        <v/>
      </c>
      <c r="P2330" s="18"/>
    </row>
    <row r="2331" customFormat="false" ht="18" hidden="false" customHeight="true" outlineLevel="0" collapsed="false">
      <c r="A2331" s="107" t="str">
        <f aca="false">IF($E2331="","",ROW()-3)</f>
        <v/>
      </c>
      <c r="B2331" s="110" t="str">
        <f aca="false">IF($E2331="","",INDEX(成本费用登记表!$B$4:$B$303,74))</f>
        <v/>
      </c>
      <c r="C2331" s="67" t="str">
        <f aca="false">IF($E2331="","","记-"&amp;TEXT($B2331,"YYYYMM")&amp;"-费用")</f>
        <v/>
      </c>
      <c r="D2331" s="107" t="str">
        <f aca="false">IF($E2331="","",INDEX(成本费用登记表!$E$4:$E$303,74))</f>
        <v/>
      </c>
      <c r="E2331" s="67" t="str">
        <f aca="false">IF(INDEX(成本费用登记表!$Q$4:$Y$303,74,7)=0,"",INDEX(成本费用登记表!$Q$4:$Y$303,74,7))</f>
        <v/>
      </c>
      <c r="F2331" s="99" t="str">
        <f aca="false">IF($E2331="","",IFERROR(INDEX(科目表!$A$4:$A$81,MATCH($E2331,科目表!$B$4:$B$81,0)),""))</f>
        <v/>
      </c>
      <c r="G2331" s="67" t="str">
        <f aca="false">IF($E2331="","",IFERROR(INDEX(科目表!$E$4:$E$81,MATCH($E2331,科目表!$B$4:$B$81,0)),""))</f>
        <v/>
      </c>
      <c r="H2331" s="70" t="str">
        <f aca="false">IF($E2331="","",N(INDEX(成本费用登记表!$Q$4:$Y$303,74,8)))</f>
        <v/>
      </c>
      <c r="I2331" s="70" t="str">
        <f aca="false">IF($E2331="","",N(INDEX(成本费用登记表!$Q$4:$Y$303,74,9)))</f>
        <v/>
      </c>
      <c r="J2331" s="67" t="str">
        <f aca="false">IF($E2331="","",INDEX(成本费用登记表!$C$4:$C$303,74))</f>
        <v/>
      </c>
      <c r="K2331" s="67" t="str">
        <f aca="false">IF($E2331="","",INDEX(成本费用登记表!$D$4:$D$303,74))</f>
        <v/>
      </c>
      <c r="L2331" s="107" t="str">
        <f aca="false">IF($E2331="","",INDEX(成本费用登记表!$N$4:$N$303,74))</f>
        <v/>
      </c>
      <c r="M2331" s="107"/>
      <c r="N2331" s="67" t="str">
        <f aca="false">IF($E2331="","","系统")</f>
        <v/>
      </c>
      <c r="O2331" s="67" t="str">
        <f aca="false">IF($E2331="","","自动C")</f>
        <v/>
      </c>
      <c r="P2331" s="18"/>
    </row>
    <row r="2332" customFormat="false" ht="18" hidden="false" customHeight="true" outlineLevel="0" collapsed="false">
      <c r="A2332" s="107" t="str">
        <f aca="false">IF($E2332="","",ROW()-3)</f>
        <v/>
      </c>
      <c r="B2332" s="110" t="str">
        <f aca="false">IF($E2332="","",INDEX(成本费用登记表!$B$4:$B$303,75))</f>
        <v/>
      </c>
      <c r="C2332" s="67" t="str">
        <f aca="false">IF($E2332="","","记-"&amp;TEXT($B2332,"YYYYMM")&amp;"-费用")</f>
        <v/>
      </c>
      <c r="D2332" s="107" t="str">
        <f aca="false">IF($E2332="","",INDEX(成本费用登记表!$E$4:$E$303,75))</f>
        <v/>
      </c>
      <c r="E2332" s="67" t="str">
        <f aca="false">IF(INDEX(成本费用登记表!$Q$4:$Y$303,75,1)=0,"",INDEX(成本费用登记表!$Q$4:$Y$303,75,1))</f>
        <v/>
      </c>
      <c r="F2332" s="99" t="str">
        <f aca="false">IF($E2332="","",IFERROR(INDEX(科目表!$A$4:$A$81,MATCH($E2332,科目表!$B$4:$B$81,0)),""))</f>
        <v/>
      </c>
      <c r="G2332" s="67" t="str">
        <f aca="false">IF($E2332="","",IFERROR(INDEX(科目表!$E$4:$E$81,MATCH($E2332,科目表!$B$4:$B$81,0)),""))</f>
        <v/>
      </c>
      <c r="H2332" s="70" t="str">
        <f aca="false">IF($E2332="","",N(INDEX(成本费用登记表!$Q$4:$Y$303,75,2)))</f>
        <v/>
      </c>
      <c r="I2332" s="70" t="str">
        <f aca="false">IF($E2332="","",N(INDEX(成本费用登记表!$Q$4:$Y$303,75,3)))</f>
        <v/>
      </c>
      <c r="J2332" s="67" t="str">
        <f aca="false">IF($E2332="","",INDEX(成本费用登记表!$C$4:$C$303,75))</f>
        <v/>
      </c>
      <c r="K2332" s="67" t="str">
        <f aca="false">IF($E2332="","",INDEX(成本费用登记表!$D$4:$D$303,75))</f>
        <v/>
      </c>
      <c r="L2332" s="107" t="str">
        <f aca="false">IF($E2332="","",INDEX(成本费用登记表!$N$4:$N$303,75))</f>
        <v/>
      </c>
      <c r="M2332" s="107"/>
      <c r="N2332" s="67" t="str">
        <f aca="false">IF($E2332="","","系统")</f>
        <v/>
      </c>
      <c r="O2332" s="67" t="str">
        <f aca="false">IF($E2332="","","自动C")</f>
        <v/>
      </c>
      <c r="P2332" s="18"/>
    </row>
    <row r="2333" customFormat="false" ht="18" hidden="false" customHeight="true" outlineLevel="0" collapsed="false">
      <c r="A2333" s="107" t="str">
        <f aca="false">IF($E2333="","",ROW()-3)</f>
        <v/>
      </c>
      <c r="B2333" s="110" t="str">
        <f aca="false">IF($E2333="","",INDEX(成本费用登记表!$B$4:$B$303,75))</f>
        <v/>
      </c>
      <c r="C2333" s="67" t="str">
        <f aca="false">IF($E2333="","","记-"&amp;TEXT($B2333,"YYYYMM")&amp;"-费用")</f>
        <v/>
      </c>
      <c r="D2333" s="107" t="str">
        <f aca="false">IF($E2333="","",INDEX(成本费用登记表!$E$4:$E$303,75))</f>
        <v/>
      </c>
      <c r="E2333" s="67" t="str">
        <f aca="false">IF(INDEX(成本费用登记表!$Q$4:$Y$303,75,4)=0,"",INDEX(成本费用登记表!$Q$4:$Y$303,75,4))</f>
        <v/>
      </c>
      <c r="F2333" s="99" t="str">
        <f aca="false">IF($E2333="","",IFERROR(INDEX(科目表!$A$4:$A$81,MATCH($E2333,科目表!$B$4:$B$81,0)),""))</f>
        <v/>
      </c>
      <c r="G2333" s="67" t="str">
        <f aca="false">IF($E2333="","",IFERROR(INDEX(科目表!$E$4:$E$81,MATCH($E2333,科目表!$B$4:$B$81,0)),""))</f>
        <v/>
      </c>
      <c r="H2333" s="70" t="str">
        <f aca="false">IF($E2333="","",N(INDEX(成本费用登记表!$Q$4:$Y$303,75,5)))</f>
        <v/>
      </c>
      <c r="I2333" s="70" t="str">
        <f aca="false">IF($E2333="","",N(INDEX(成本费用登记表!$Q$4:$Y$303,75,6)))</f>
        <v/>
      </c>
      <c r="J2333" s="67" t="str">
        <f aca="false">IF($E2333="","",INDEX(成本费用登记表!$C$4:$C$303,75))</f>
        <v/>
      </c>
      <c r="K2333" s="67" t="str">
        <f aca="false">IF($E2333="","",INDEX(成本费用登记表!$D$4:$D$303,75))</f>
        <v/>
      </c>
      <c r="L2333" s="107" t="str">
        <f aca="false">IF($E2333="","",INDEX(成本费用登记表!$N$4:$N$303,75))</f>
        <v/>
      </c>
      <c r="M2333" s="107"/>
      <c r="N2333" s="67" t="str">
        <f aca="false">IF($E2333="","","系统")</f>
        <v/>
      </c>
      <c r="O2333" s="67" t="str">
        <f aca="false">IF($E2333="","","自动C")</f>
        <v/>
      </c>
      <c r="P2333" s="18"/>
    </row>
    <row r="2334" customFormat="false" ht="18" hidden="false" customHeight="true" outlineLevel="0" collapsed="false">
      <c r="A2334" s="107" t="str">
        <f aca="false">IF($E2334="","",ROW()-3)</f>
        <v/>
      </c>
      <c r="B2334" s="110" t="str">
        <f aca="false">IF($E2334="","",INDEX(成本费用登记表!$B$4:$B$303,75))</f>
        <v/>
      </c>
      <c r="C2334" s="67" t="str">
        <f aca="false">IF($E2334="","","记-"&amp;TEXT($B2334,"YYYYMM")&amp;"-费用")</f>
        <v/>
      </c>
      <c r="D2334" s="107" t="str">
        <f aca="false">IF($E2334="","",INDEX(成本费用登记表!$E$4:$E$303,75))</f>
        <v/>
      </c>
      <c r="E2334" s="67" t="str">
        <f aca="false">IF(INDEX(成本费用登记表!$Q$4:$Y$303,75,7)=0,"",INDEX(成本费用登记表!$Q$4:$Y$303,75,7))</f>
        <v/>
      </c>
      <c r="F2334" s="99" t="str">
        <f aca="false">IF($E2334="","",IFERROR(INDEX(科目表!$A$4:$A$81,MATCH($E2334,科目表!$B$4:$B$81,0)),""))</f>
        <v/>
      </c>
      <c r="G2334" s="67" t="str">
        <f aca="false">IF($E2334="","",IFERROR(INDEX(科目表!$E$4:$E$81,MATCH($E2334,科目表!$B$4:$B$81,0)),""))</f>
        <v/>
      </c>
      <c r="H2334" s="70" t="str">
        <f aca="false">IF($E2334="","",N(INDEX(成本费用登记表!$Q$4:$Y$303,75,8)))</f>
        <v/>
      </c>
      <c r="I2334" s="70" t="str">
        <f aca="false">IF($E2334="","",N(INDEX(成本费用登记表!$Q$4:$Y$303,75,9)))</f>
        <v/>
      </c>
      <c r="J2334" s="67" t="str">
        <f aca="false">IF($E2334="","",INDEX(成本费用登记表!$C$4:$C$303,75))</f>
        <v/>
      </c>
      <c r="K2334" s="67" t="str">
        <f aca="false">IF($E2334="","",INDEX(成本费用登记表!$D$4:$D$303,75))</f>
        <v/>
      </c>
      <c r="L2334" s="107" t="str">
        <f aca="false">IF($E2334="","",INDEX(成本费用登记表!$N$4:$N$303,75))</f>
        <v/>
      </c>
      <c r="M2334" s="107"/>
      <c r="N2334" s="67" t="str">
        <f aca="false">IF($E2334="","","系统")</f>
        <v/>
      </c>
      <c r="O2334" s="67" t="str">
        <f aca="false">IF($E2334="","","自动C")</f>
        <v/>
      </c>
      <c r="P2334" s="18"/>
    </row>
    <row r="2335" customFormat="false" ht="18" hidden="false" customHeight="true" outlineLevel="0" collapsed="false">
      <c r="A2335" s="107" t="str">
        <f aca="false">IF($E2335="","",ROW()-3)</f>
        <v/>
      </c>
      <c r="B2335" s="110" t="str">
        <f aca="false">IF($E2335="","",INDEX(成本费用登记表!$B$4:$B$303,76))</f>
        <v/>
      </c>
      <c r="C2335" s="67" t="str">
        <f aca="false">IF($E2335="","","记-"&amp;TEXT($B2335,"YYYYMM")&amp;"-费用")</f>
        <v/>
      </c>
      <c r="D2335" s="107" t="str">
        <f aca="false">IF($E2335="","",INDEX(成本费用登记表!$E$4:$E$303,76))</f>
        <v/>
      </c>
      <c r="E2335" s="67" t="str">
        <f aca="false">IF(INDEX(成本费用登记表!$Q$4:$Y$303,76,1)=0,"",INDEX(成本费用登记表!$Q$4:$Y$303,76,1))</f>
        <v/>
      </c>
      <c r="F2335" s="99" t="str">
        <f aca="false">IF($E2335="","",IFERROR(INDEX(科目表!$A$4:$A$81,MATCH($E2335,科目表!$B$4:$B$81,0)),""))</f>
        <v/>
      </c>
      <c r="G2335" s="67" t="str">
        <f aca="false">IF($E2335="","",IFERROR(INDEX(科目表!$E$4:$E$81,MATCH($E2335,科目表!$B$4:$B$81,0)),""))</f>
        <v/>
      </c>
      <c r="H2335" s="70" t="str">
        <f aca="false">IF($E2335="","",N(INDEX(成本费用登记表!$Q$4:$Y$303,76,2)))</f>
        <v/>
      </c>
      <c r="I2335" s="70" t="str">
        <f aca="false">IF($E2335="","",N(INDEX(成本费用登记表!$Q$4:$Y$303,76,3)))</f>
        <v/>
      </c>
      <c r="J2335" s="67" t="str">
        <f aca="false">IF($E2335="","",INDEX(成本费用登记表!$C$4:$C$303,76))</f>
        <v/>
      </c>
      <c r="K2335" s="67" t="str">
        <f aca="false">IF($E2335="","",INDEX(成本费用登记表!$D$4:$D$303,76))</f>
        <v/>
      </c>
      <c r="L2335" s="107" t="str">
        <f aca="false">IF($E2335="","",INDEX(成本费用登记表!$N$4:$N$303,76))</f>
        <v/>
      </c>
      <c r="M2335" s="107"/>
      <c r="N2335" s="67" t="str">
        <f aca="false">IF($E2335="","","系统")</f>
        <v/>
      </c>
      <c r="O2335" s="67" t="str">
        <f aca="false">IF($E2335="","","自动C")</f>
        <v/>
      </c>
      <c r="P2335" s="18"/>
    </row>
    <row r="2336" customFormat="false" ht="18" hidden="false" customHeight="true" outlineLevel="0" collapsed="false">
      <c r="A2336" s="107" t="str">
        <f aca="false">IF($E2336="","",ROW()-3)</f>
        <v/>
      </c>
      <c r="B2336" s="110" t="str">
        <f aca="false">IF($E2336="","",INDEX(成本费用登记表!$B$4:$B$303,76))</f>
        <v/>
      </c>
      <c r="C2336" s="67" t="str">
        <f aca="false">IF($E2336="","","记-"&amp;TEXT($B2336,"YYYYMM")&amp;"-费用")</f>
        <v/>
      </c>
      <c r="D2336" s="107" t="str">
        <f aca="false">IF($E2336="","",INDEX(成本费用登记表!$E$4:$E$303,76))</f>
        <v/>
      </c>
      <c r="E2336" s="67" t="str">
        <f aca="false">IF(INDEX(成本费用登记表!$Q$4:$Y$303,76,4)=0,"",INDEX(成本费用登记表!$Q$4:$Y$303,76,4))</f>
        <v/>
      </c>
      <c r="F2336" s="99" t="str">
        <f aca="false">IF($E2336="","",IFERROR(INDEX(科目表!$A$4:$A$81,MATCH($E2336,科目表!$B$4:$B$81,0)),""))</f>
        <v/>
      </c>
      <c r="G2336" s="67" t="str">
        <f aca="false">IF($E2336="","",IFERROR(INDEX(科目表!$E$4:$E$81,MATCH($E2336,科目表!$B$4:$B$81,0)),""))</f>
        <v/>
      </c>
      <c r="H2336" s="70" t="str">
        <f aca="false">IF($E2336="","",N(INDEX(成本费用登记表!$Q$4:$Y$303,76,5)))</f>
        <v/>
      </c>
      <c r="I2336" s="70" t="str">
        <f aca="false">IF($E2336="","",N(INDEX(成本费用登记表!$Q$4:$Y$303,76,6)))</f>
        <v/>
      </c>
      <c r="J2336" s="67" t="str">
        <f aca="false">IF($E2336="","",INDEX(成本费用登记表!$C$4:$C$303,76))</f>
        <v/>
      </c>
      <c r="K2336" s="67" t="str">
        <f aca="false">IF($E2336="","",INDEX(成本费用登记表!$D$4:$D$303,76))</f>
        <v/>
      </c>
      <c r="L2336" s="107" t="str">
        <f aca="false">IF($E2336="","",INDEX(成本费用登记表!$N$4:$N$303,76))</f>
        <v/>
      </c>
      <c r="M2336" s="107"/>
      <c r="N2336" s="67" t="str">
        <f aca="false">IF($E2336="","","系统")</f>
        <v/>
      </c>
      <c r="O2336" s="67" t="str">
        <f aca="false">IF($E2336="","","自动C")</f>
        <v/>
      </c>
      <c r="P2336" s="18"/>
    </row>
    <row r="2337" customFormat="false" ht="18" hidden="false" customHeight="true" outlineLevel="0" collapsed="false">
      <c r="A2337" s="107" t="str">
        <f aca="false">IF($E2337="","",ROW()-3)</f>
        <v/>
      </c>
      <c r="B2337" s="110" t="str">
        <f aca="false">IF($E2337="","",INDEX(成本费用登记表!$B$4:$B$303,76))</f>
        <v/>
      </c>
      <c r="C2337" s="67" t="str">
        <f aca="false">IF($E2337="","","记-"&amp;TEXT($B2337,"YYYYMM")&amp;"-费用")</f>
        <v/>
      </c>
      <c r="D2337" s="107" t="str">
        <f aca="false">IF($E2337="","",INDEX(成本费用登记表!$E$4:$E$303,76))</f>
        <v/>
      </c>
      <c r="E2337" s="67" t="str">
        <f aca="false">IF(INDEX(成本费用登记表!$Q$4:$Y$303,76,7)=0,"",INDEX(成本费用登记表!$Q$4:$Y$303,76,7))</f>
        <v/>
      </c>
      <c r="F2337" s="99" t="str">
        <f aca="false">IF($E2337="","",IFERROR(INDEX(科目表!$A$4:$A$81,MATCH($E2337,科目表!$B$4:$B$81,0)),""))</f>
        <v/>
      </c>
      <c r="G2337" s="67" t="str">
        <f aca="false">IF($E2337="","",IFERROR(INDEX(科目表!$E$4:$E$81,MATCH($E2337,科目表!$B$4:$B$81,0)),""))</f>
        <v/>
      </c>
      <c r="H2337" s="70" t="str">
        <f aca="false">IF($E2337="","",N(INDEX(成本费用登记表!$Q$4:$Y$303,76,8)))</f>
        <v/>
      </c>
      <c r="I2337" s="70" t="str">
        <f aca="false">IF($E2337="","",N(INDEX(成本费用登记表!$Q$4:$Y$303,76,9)))</f>
        <v/>
      </c>
      <c r="J2337" s="67" t="str">
        <f aca="false">IF($E2337="","",INDEX(成本费用登记表!$C$4:$C$303,76))</f>
        <v/>
      </c>
      <c r="K2337" s="67" t="str">
        <f aca="false">IF($E2337="","",INDEX(成本费用登记表!$D$4:$D$303,76))</f>
        <v/>
      </c>
      <c r="L2337" s="107" t="str">
        <f aca="false">IF($E2337="","",INDEX(成本费用登记表!$N$4:$N$303,76))</f>
        <v/>
      </c>
      <c r="M2337" s="107"/>
      <c r="N2337" s="67" t="str">
        <f aca="false">IF($E2337="","","系统")</f>
        <v/>
      </c>
      <c r="O2337" s="67" t="str">
        <f aca="false">IF($E2337="","","自动C")</f>
        <v/>
      </c>
      <c r="P2337" s="18"/>
    </row>
    <row r="2338" customFormat="false" ht="18" hidden="false" customHeight="true" outlineLevel="0" collapsed="false">
      <c r="A2338" s="107" t="str">
        <f aca="false">IF($E2338="","",ROW()-3)</f>
        <v/>
      </c>
      <c r="B2338" s="110" t="str">
        <f aca="false">IF($E2338="","",INDEX(成本费用登记表!$B$4:$B$303,77))</f>
        <v/>
      </c>
      <c r="C2338" s="67" t="str">
        <f aca="false">IF($E2338="","","记-"&amp;TEXT($B2338,"YYYYMM")&amp;"-费用")</f>
        <v/>
      </c>
      <c r="D2338" s="107" t="str">
        <f aca="false">IF($E2338="","",INDEX(成本费用登记表!$E$4:$E$303,77))</f>
        <v/>
      </c>
      <c r="E2338" s="67" t="str">
        <f aca="false">IF(INDEX(成本费用登记表!$Q$4:$Y$303,77,1)=0,"",INDEX(成本费用登记表!$Q$4:$Y$303,77,1))</f>
        <v/>
      </c>
      <c r="F2338" s="99" t="str">
        <f aca="false">IF($E2338="","",IFERROR(INDEX(科目表!$A$4:$A$81,MATCH($E2338,科目表!$B$4:$B$81,0)),""))</f>
        <v/>
      </c>
      <c r="G2338" s="67" t="str">
        <f aca="false">IF($E2338="","",IFERROR(INDEX(科目表!$E$4:$E$81,MATCH($E2338,科目表!$B$4:$B$81,0)),""))</f>
        <v/>
      </c>
      <c r="H2338" s="70" t="str">
        <f aca="false">IF($E2338="","",N(INDEX(成本费用登记表!$Q$4:$Y$303,77,2)))</f>
        <v/>
      </c>
      <c r="I2338" s="70" t="str">
        <f aca="false">IF($E2338="","",N(INDEX(成本费用登记表!$Q$4:$Y$303,77,3)))</f>
        <v/>
      </c>
      <c r="J2338" s="67" t="str">
        <f aca="false">IF($E2338="","",INDEX(成本费用登记表!$C$4:$C$303,77))</f>
        <v/>
      </c>
      <c r="K2338" s="67" t="str">
        <f aca="false">IF($E2338="","",INDEX(成本费用登记表!$D$4:$D$303,77))</f>
        <v/>
      </c>
      <c r="L2338" s="107" t="str">
        <f aca="false">IF($E2338="","",INDEX(成本费用登记表!$N$4:$N$303,77))</f>
        <v/>
      </c>
      <c r="M2338" s="107"/>
      <c r="N2338" s="67" t="str">
        <f aca="false">IF($E2338="","","系统")</f>
        <v/>
      </c>
      <c r="O2338" s="67" t="str">
        <f aca="false">IF($E2338="","","自动C")</f>
        <v/>
      </c>
      <c r="P2338" s="18"/>
    </row>
    <row r="2339" customFormat="false" ht="18" hidden="false" customHeight="true" outlineLevel="0" collapsed="false">
      <c r="A2339" s="107" t="str">
        <f aca="false">IF($E2339="","",ROW()-3)</f>
        <v/>
      </c>
      <c r="B2339" s="110" t="str">
        <f aca="false">IF($E2339="","",INDEX(成本费用登记表!$B$4:$B$303,77))</f>
        <v/>
      </c>
      <c r="C2339" s="67" t="str">
        <f aca="false">IF($E2339="","","记-"&amp;TEXT($B2339,"YYYYMM")&amp;"-费用")</f>
        <v/>
      </c>
      <c r="D2339" s="107" t="str">
        <f aca="false">IF($E2339="","",INDEX(成本费用登记表!$E$4:$E$303,77))</f>
        <v/>
      </c>
      <c r="E2339" s="67" t="str">
        <f aca="false">IF(INDEX(成本费用登记表!$Q$4:$Y$303,77,4)=0,"",INDEX(成本费用登记表!$Q$4:$Y$303,77,4))</f>
        <v/>
      </c>
      <c r="F2339" s="99" t="str">
        <f aca="false">IF($E2339="","",IFERROR(INDEX(科目表!$A$4:$A$81,MATCH($E2339,科目表!$B$4:$B$81,0)),""))</f>
        <v/>
      </c>
      <c r="G2339" s="67" t="str">
        <f aca="false">IF($E2339="","",IFERROR(INDEX(科目表!$E$4:$E$81,MATCH($E2339,科目表!$B$4:$B$81,0)),""))</f>
        <v/>
      </c>
      <c r="H2339" s="70" t="str">
        <f aca="false">IF($E2339="","",N(INDEX(成本费用登记表!$Q$4:$Y$303,77,5)))</f>
        <v/>
      </c>
      <c r="I2339" s="70" t="str">
        <f aca="false">IF($E2339="","",N(INDEX(成本费用登记表!$Q$4:$Y$303,77,6)))</f>
        <v/>
      </c>
      <c r="J2339" s="67" t="str">
        <f aca="false">IF($E2339="","",INDEX(成本费用登记表!$C$4:$C$303,77))</f>
        <v/>
      </c>
      <c r="K2339" s="67" t="str">
        <f aca="false">IF($E2339="","",INDEX(成本费用登记表!$D$4:$D$303,77))</f>
        <v/>
      </c>
      <c r="L2339" s="107" t="str">
        <f aca="false">IF($E2339="","",INDEX(成本费用登记表!$N$4:$N$303,77))</f>
        <v/>
      </c>
      <c r="M2339" s="107"/>
      <c r="N2339" s="67" t="str">
        <f aca="false">IF($E2339="","","系统")</f>
        <v/>
      </c>
      <c r="O2339" s="67" t="str">
        <f aca="false">IF($E2339="","","自动C")</f>
        <v/>
      </c>
      <c r="P2339" s="18"/>
    </row>
    <row r="2340" customFormat="false" ht="18" hidden="false" customHeight="true" outlineLevel="0" collapsed="false">
      <c r="A2340" s="107" t="str">
        <f aca="false">IF($E2340="","",ROW()-3)</f>
        <v/>
      </c>
      <c r="B2340" s="110" t="str">
        <f aca="false">IF($E2340="","",INDEX(成本费用登记表!$B$4:$B$303,77))</f>
        <v/>
      </c>
      <c r="C2340" s="67" t="str">
        <f aca="false">IF($E2340="","","记-"&amp;TEXT($B2340,"YYYYMM")&amp;"-费用")</f>
        <v/>
      </c>
      <c r="D2340" s="107" t="str">
        <f aca="false">IF($E2340="","",INDEX(成本费用登记表!$E$4:$E$303,77))</f>
        <v/>
      </c>
      <c r="E2340" s="67" t="str">
        <f aca="false">IF(INDEX(成本费用登记表!$Q$4:$Y$303,77,7)=0,"",INDEX(成本费用登记表!$Q$4:$Y$303,77,7))</f>
        <v/>
      </c>
      <c r="F2340" s="99" t="str">
        <f aca="false">IF($E2340="","",IFERROR(INDEX(科目表!$A$4:$A$81,MATCH($E2340,科目表!$B$4:$B$81,0)),""))</f>
        <v/>
      </c>
      <c r="G2340" s="67" t="str">
        <f aca="false">IF($E2340="","",IFERROR(INDEX(科目表!$E$4:$E$81,MATCH($E2340,科目表!$B$4:$B$81,0)),""))</f>
        <v/>
      </c>
      <c r="H2340" s="70" t="str">
        <f aca="false">IF($E2340="","",N(INDEX(成本费用登记表!$Q$4:$Y$303,77,8)))</f>
        <v/>
      </c>
      <c r="I2340" s="70" t="str">
        <f aca="false">IF($E2340="","",N(INDEX(成本费用登记表!$Q$4:$Y$303,77,9)))</f>
        <v/>
      </c>
      <c r="J2340" s="67" t="str">
        <f aca="false">IF($E2340="","",INDEX(成本费用登记表!$C$4:$C$303,77))</f>
        <v/>
      </c>
      <c r="K2340" s="67" t="str">
        <f aca="false">IF($E2340="","",INDEX(成本费用登记表!$D$4:$D$303,77))</f>
        <v/>
      </c>
      <c r="L2340" s="107" t="str">
        <f aca="false">IF($E2340="","",INDEX(成本费用登记表!$N$4:$N$303,77))</f>
        <v/>
      </c>
      <c r="M2340" s="107"/>
      <c r="N2340" s="67" t="str">
        <f aca="false">IF($E2340="","","系统")</f>
        <v/>
      </c>
      <c r="O2340" s="67" t="str">
        <f aca="false">IF($E2340="","","自动C")</f>
        <v/>
      </c>
      <c r="P2340" s="18"/>
    </row>
    <row r="2341" customFormat="false" ht="18" hidden="false" customHeight="true" outlineLevel="0" collapsed="false">
      <c r="A2341" s="107" t="str">
        <f aca="false">IF($E2341="","",ROW()-3)</f>
        <v/>
      </c>
      <c r="B2341" s="110" t="str">
        <f aca="false">IF($E2341="","",INDEX(成本费用登记表!$B$4:$B$303,78))</f>
        <v/>
      </c>
      <c r="C2341" s="67" t="str">
        <f aca="false">IF($E2341="","","记-"&amp;TEXT($B2341,"YYYYMM")&amp;"-费用")</f>
        <v/>
      </c>
      <c r="D2341" s="107" t="str">
        <f aca="false">IF($E2341="","",INDEX(成本费用登记表!$E$4:$E$303,78))</f>
        <v/>
      </c>
      <c r="E2341" s="67" t="str">
        <f aca="false">IF(INDEX(成本费用登记表!$Q$4:$Y$303,78,1)=0,"",INDEX(成本费用登记表!$Q$4:$Y$303,78,1))</f>
        <v/>
      </c>
      <c r="F2341" s="99" t="str">
        <f aca="false">IF($E2341="","",IFERROR(INDEX(科目表!$A$4:$A$81,MATCH($E2341,科目表!$B$4:$B$81,0)),""))</f>
        <v/>
      </c>
      <c r="G2341" s="67" t="str">
        <f aca="false">IF($E2341="","",IFERROR(INDEX(科目表!$E$4:$E$81,MATCH($E2341,科目表!$B$4:$B$81,0)),""))</f>
        <v/>
      </c>
      <c r="H2341" s="70" t="str">
        <f aca="false">IF($E2341="","",N(INDEX(成本费用登记表!$Q$4:$Y$303,78,2)))</f>
        <v/>
      </c>
      <c r="I2341" s="70" t="str">
        <f aca="false">IF($E2341="","",N(INDEX(成本费用登记表!$Q$4:$Y$303,78,3)))</f>
        <v/>
      </c>
      <c r="J2341" s="67" t="str">
        <f aca="false">IF($E2341="","",INDEX(成本费用登记表!$C$4:$C$303,78))</f>
        <v/>
      </c>
      <c r="K2341" s="67" t="str">
        <f aca="false">IF($E2341="","",INDEX(成本费用登记表!$D$4:$D$303,78))</f>
        <v/>
      </c>
      <c r="L2341" s="107" t="str">
        <f aca="false">IF($E2341="","",INDEX(成本费用登记表!$N$4:$N$303,78))</f>
        <v/>
      </c>
      <c r="M2341" s="107"/>
      <c r="N2341" s="67" t="str">
        <f aca="false">IF($E2341="","","系统")</f>
        <v/>
      </c>
      <c r="O2341" s="67" t="str">
        <f aca="false">IF($E2341="","","自动C")</f>
        <v/>
      </c>
      <c r="P2341" s="18"/>
    </row>
    <row r="2342" customFormat="false" ht="18" hidden="false" customHeight="true" outlineLevel="0" collapsed="false">
      <c r="A2342" s="107" t="str">
        <f aca="false">IF($E2342="","",ROW()-3)</f>
        <v/>
      </c>
      <c r="B2342" s="110" t="str">
        <f aca="false">IF($E2342="","",INDEX(成本费用登记表!$B$4:$B$303,78))</f>
        <v/>
      </c>
      <c r="C2342" s="67" t="str">
        <f aca="false">IF($E2342="","","记-"&amp;TEXT($B2342,"YYYYMM")&amp;"-费用")</f>
        <v/>
      </c>
      <c r="D2342" s="107" t="str">
        <f aca="false">IF($E2342="","",INDEX(成本费用登记表!$E$4:$E$303,78))</f>
        <v/>
      </c>
      <c r="E2342" s="67" t="str">
        <f aca="false">IF(INDEX(成本费用登记表!$Q$4:$Y$303,78,4)=0,"",INDEX(成本费用登记表!$Q$4:$Y$303,78,4))</f>
        <v/>
      </c>
      <c r="F2342" s="99" t="str">
        <f aca="false">IF($E2342="","",IFERROR(INDEX(科目表!$A$4:$A$81,MATCH($E2342,科目表!$B$4:$B$81,0)),""))</f>
        <v/>
      </c>
      <c r="G2342" s="67" t="str">
        <f aca="false">IF($E2342="","",IFERROR(INDEX(科目表!$E$4:$E$81,MATCH($E2342,科目表!$B$4:$B$81,0)),""))</f>
        <v/>
      </c>
      <c r="H2342" s="70" t="str">
        <f aca="false">IF($E2342="","",N(INDEX(成本费用登记表!$Q$4:$Y$303,78,5)))</f>
        <v/>
      </c>
      <c r="I2342" s="70" t="str">
        <f aca="false">IF($E2342="","",N(INDEX(成本费用登记表!$Q$4:$Y$303,78,6)))</f>
        <v/>
      </c>
      <c r="J2342" s="67" t="str">
        <f aca="false">IF($E2342="","",INDEX(成本费用登记表!$C$4:$C$303,78))</f>
        <v/>
      </c>
      <c r="K2342" s="67" t="str">
        <f aca="false">IF($E2342="","",INDEX(成本费用登记表!$D$4:$D$303,78))</f>
        <v/>
      </c>
      <c r="L2342" s="107" t="str">
        <f aca="false">IF($E2342="","",INDEX(成本费用登记表!$N$4:$N$303,78))</f>
        <v/>
      </c>
      <c r="M2342" s="107"/>
      <c r="N2342" s="67" t="str">
        <f aca="false">IF($E2342="","","系统")</f>
        <v/>
      </c>
      <c r="O2342" s="67" t="str">
        <f aca="false">IF($E2342="","","自动C")</f>
        <v/>
      </c>
      <c r="P2342" s="18"/>
    </row>
    <row r="2343" customFormat="false" ht="18" hidden="false" customHeight="true" outlineLevel="0" collapsed="false">
      <c r="A2343" s="107" t="str">
        <f aca="false">IF($E2343="","",ROW()-3)</f>
        <v/>
      </c>
      <c r="B2343" s="110" t="str">
        <f aca="false">IF($E2343="","",INDEX(成本费用登记表!$B$4:$B$303,78))</f>
        <v/>
      </c>
      <c r="C2343" s="67" t="str">
        <f aca="false">IF($E2343="","","记-"&amp;TEXT($B2343,"YYYYMM")&amp;"-费用")</f>
        <v/>
      </c>
      <c r="D2343" s="107" t="str">
        <f aca="false">IF($E2343="","",INDEX(成本费用登记表!$E$4:$E$303,78))</f>
        <v/>
      </c>
      <c r="E2343" s="67" t="str">
        <f aca="false">IF(INDEX(成本费用登记表!$Q$4:$Y$303,78,7)=0,"",INDEX(成本费用登记表!$Q$4:$Y$303,78,7))</f>
        <v/>
      </c>
      <c r="F2343" s="99" t="str">
        <f aca="false">IF($E2343="","",IFERROR(INDEX(科目表!$A$4:$A$81,MATCH($E2343,科目表!$B$4:$B$81,0)),""))</f>
        <v/>
      </c>
      <c r="G2343" s="67" t="str">
        <f aca="false">IF($E2343="","",IFERROR(INDEX(科目表!$E$4:$E$81,MATCH($E2343,科目表!$B$4:$B$81,0)),""))</f>
        <v/>
      </c>
      <c r="H2343" s="70" t="str">
        <f aca="false">IF($E2343="","",N(INDEX(成本费用登记表!$Q$4:$Y$303,78,8)))</f>
        <v/>
      </c>
      <c r="I2343" s="70" t="str">
        <f aca="false">IF($E2343="","",N(INDEX(成本费用登记表!$Q$4:$Y$303,78,9)))</f>
        <v/>
      </c>
      <c r="J2343" s="67" t="str">
        <f aca="false">IF($E2343="","",INDEX(成本费用登记表!$C$4:$C$303,78))</f>
        <v/>
      </c>
      <c r="K2343" s="67" t="str">
        <f aca="false">IF($E2343="","",INDEX(成本费用登记表!$D$4:$D$303,78))</f>
        <v/>
      </c>
      <c r="L2343" s="107" t="str">
        <f aca="false">IF($E2343="","",INDEX(成本费用登记表!$N$4:$N$303,78))</f>
        <v/>
      </c>
      <c r="M2343" s="107"/>
      <c r="N2343" s="67" t="str">
        <f aca="false">IF($E2343="","","系统")</f>
        <v/>
      </c>
      <c r="O2343" s="67" t="str">
        <f aca="false">IF($E2343="","","自动C")</f>
        <v/>
      </c>
      <c r="P2343" s="18"/>
    </row>
    <row r="2344" customFormat="false" ht="18" hidden="false" customHeight="true" outlineLevel="0" collapsed="false">
      <c r="A2344" s="107" t="str">
        <f aca="false">IF($E2344="","",ROW()-3)</f>
        <v/>
      </c>
      <c r="B2344" s="110" t="str">
        <f aca="false">IF($E2344="","",INDEX(成本费用登记表!$B$4:$B$303,79))</f>
        <v/>
      </c>
      <c r="C2344" s="67" t="str">
        <f aca="false">IF($E2344="","","记-"&amp;TEXT($B2344,"YYYYMM")&amp;"-费用")</f>
        <v/>
      </c>
      <c r="D2344" s="107" t="str">
        <f aca="false">IF($E2344="","",INDEX(成本费用登记表!$E$4:$E$303,79))</f>
        <v/>
      </c>
      <c r="E2344" s="67" t="str">
        <f aca="false">IF(INDEX(成本费用登记表!$Q$4:$Y$303,79,1)=0,"",INDEX(成本费用登记表!$Q$4:$Y$303,79,1))</f>
        <v/>
      </c>
      <c r="F2344" s="99" t="str">
        <f aca="false">IF($E2344="","",IFERROR(INDEX(科目表!$A$4:$A$81,MATCH($E2344,科目表!$B$4:$B$81,0)),""))</f>
        <v/>
      </c>
      <c r="G2344" s="67" t="str">
        <f aca="false">IF($E2344="","",IFERROR(INDEX(科目表!$E$4:$E$81,MATCH($E2344,科目表!$B$4:$B$81,0)),""))</f>
        <v/>
      </c>
      <c r="H2344" s="70" t="str">
        <f aca="false">IF($E2344="","",N(INDEX(成本费用登记表!$Q$4:$Y$303,79,2)))</f>
        <v/>
      </c>
      <c r="I2344" s="70" t="str">
        <f aca="false">IF($E2344="","",N(INDEX(成本费用登记表!$Q$4:$Y$303,79,3)))</f>
        <v/>
      </c>
      <c r="J2344" s="67" t="str">
        <f aca="false">IF($E2344="","",INDEX(成本费用登记表!$C$4:$C$303,79))</f>
        <v/>
      </c>
      <c r="K2344" s="67" t="str">
        <f aca="false">IF($E2344="","",INDEX(成本费用登记表!$D$4:$D$303,79))</f>
        <v/>
      </c>
      <c r="L2344" s="107" t="str">
        <f aca="false">IF($E2344="","",INDEX(成本费用登记表!$N$4:$N$303,79))</f>
        <v/>
      </c>
      <c r="M2344" s="107"/>
      <c r="N2344" s="67" t="str">
        <f aca="false">IF($E2344="","","系统")</f>
        <v/>
      </c>
      <c r="O2344" s="67" t="str">
        <f aca="false">IF($E2344="","","自动C")</f>
        <v/>
      </c>
      <c r="P2344" s="18"/>
    </row>
    <row r="2345" customFormat="false" ht="18" hidden="false" customHeight="true" outlineLevel="0" collapsed="false">
      <c r="A2345" s="107" t="str">
        <f aca="false">IF($E2345="","",ROW()-3)</f>
        <v/>
      </c>
      <c r="B2345" s="110" t="str">
        <f aca="false">IF($E2345="","",INDEX(成本费用登记表!$B$4:$B$303,79))</f>
        <v/>
      </c>
      <c r="C2345" s="67" t="str">
        <f aca="false">IF($E2345="","","记-"&amp;TEXT($B2345,"YYYYMM")&amp;"-费用")</f>
        <v/>
      </c>
      <c r="D2345" s="107" t="str">
        <f aca="false">IF($E2345="","",INDEX(成本费用登记表!$E$4:$E$303,79))</f>
        <v/>
      </c>
      <c r="E2345" s="67" t="str">
        <f aca="false">IF(INDEX(成本费用登记表!$Q$4:$Y$303,79,4)=0,"",INDEX(成本费用登记表!$Q$4:$Y$303,79,4))</f>
        <v/>
      </c>
      <c r="F2345" s="99" t="str">
        <f aca="false">IF($E2345="","",IFERROR(INDEX(科目表!$A$4:$A$81,MATCH($E2345,科目表!$B$4:$B$81,0)),""))</f>
        <v/>
      </c>
      <c r="G2345" s="67" t="str">
        <f aca="false">IF($E2345="","",IFERROR(INDEX(科目表!$E$4:$E$81,MATCH($E2345,科目表!$B$4:$B$81,0)),""))</f>
        <v/>
      </c>
      <c r="H2345" s="70" t="str">
        <f aca="false">IF($E2345="","",N(INDEX(成本费用登记表!$Q$4:$Y$303,79,5)))</f>
        <v/>
      </c>
      <c r="I2345" s="70" t="str">
        <f aca="false">IF($E2345="","",N(INDEX(成本费用登记表!$Q$4:$Y$303,79,6)))</f>
        <v/>
      </c>
      <c r="J2345" s="67" t="str">
        <f aca="false">IF($E2345="","",INDEX(成本费用登记表!$C$4:$C$303,79))</f>
        <v/>
      </c>
      <c r="K2345" s="67" t="str">
        <f aca="false">IF($E2345="","",INDEX(成本费用登记表!$D$4:$D$303,79))</f>
        <v/>
      </c>
      <c r="L2345" s="107" t="str">
        <f aca="false">IF($E2345="","",INDEX(成本费用登记表!$N$4:$N$303,79))</f>
        <v/>
      </c>
      <c r="M2345" s="107"/>
      <c r="N2345" s="67" t="str">
        <f aca="false">IF($E2345="","","系统")</f>
        <v/>
      </c>
      <c r="O2345" s="67" t="str">
        <f aca="false">IF($E2345="","","自动C")</f>
        <v/>
      </c>
      <c r="P2345" s="18"/>
    </row>
    <row r="2346" customFormat="false" ht="18" hidden="false" customHeight="true" outlineLevel="0" collapsed="false">
      <c r="A2346" s="107" t="str">
        <f aca="false">IF($E2346="","",ROW()-3)</f>
        <v/>
      </c>
      <c r="B2346" s="110" t="str">
        <f aca="false">IF($E2346="","",INDEX(成本费用登记表!$B$4:$B$303,79))</f>
        <v/>
      </c>
      <c r="C2346" s="67" t="str">
        <f aca="false">IF($E2346="","","记-"&amp;TEXT($B2346,"YYYYMM")&amp;"-费用")</f>
        <v/>
      </c>
      <c r="D2346" s="107" t="str">
        <f aca="false">IF($E2346="","",INDEX(成本费用登记表!$E$4:$E$303,79))</f>
        <v/>
      </c>
      <c r="E2346" s="67" t="str">
        <f aca="false">IF(INDEX(成本费用登记表!$Q$4:$Y$303,79,7)=0,"",INDEX(成本费用登记表!$Q$4:$Y$303,79,7))</f>
        <v/>
      </c>
      <c r="F2346" s="99" t="str">
        <f aca="false">IF($E2346="","",IFERROR(INDEX(科目表!$A$4:$A$81,MATCH($E2346,科目表!$B$4:$B$81,0)),""))</f>
        <v/>
      </c>
      <c r="G2346" s="67" t="str">
        <f aca="false">IF($E2346="","",IFERROR(INDEX(科目表!$E$4:$E$81,MATCH($E2346,科目表!$B$4:$B$81,0)),""))</f>
        <v/>
      </c>
      <c r="H2346" s="70" t="str">
        <f aca="false">IF($E2346="","",N(INDEX(成本费用登记表!$Q$4:$Y$303,79,8)))</f>
        <v/>
      </c>
      <c r="I2346" s="70" t="str">
        <f aca="false">IF($E2346="","",N(INDEX(成本费用登记表!$Q$4:$Y$303,79,9)))</f>
        <v/>
      </c>
      <c r="J2346" s="67" t="str">
        <f aca="false">IF($E2346="","",INDEX(成本费用登记表!$C$4:$C$303,79))</f>
        <v/>
      </c>
      <c r="K2346" s="67" t="str">
        <f aca="false">IF($E2346="","",INDEX(成本费用登记表!$D$4:$D$303,79))</f>
        <v/>
      </c>
      <c r="L2346" s="107" t="str">
        <f aca="false">IF($E2346="","",INDEX(成本费用登记表!$N$4:$N$303,79))</f>
        <v/>
      </c>
      <c r="M2346" s="107"/>
      <c r="N2346" s="67" t="str">
        <f aca="false">IF($E2346="","","系统")</f>
        <v/>
      </c>
      <c r="O2346" s="67" t="str">
        <f aca="false">IF($E2346="","","自动C")</f>
        <v/>
      </c>
      <c r="P2346" s="18"/>
    </row>
    <row r="2347" customFormat="false" ht="18" hidden="false" customHeight="true" outlineLevel="0" collapsed="false">
      <c r="A2347" s="107" t="str">
        <f aca="false">IF($E2347="","",ROW()-3)</f>
        <v/>
      </c>
      <c r="B2347" s="110" t="str">
        <f aca="false">IF($E2347="","",INDEX(成本费用登记表!$B$4:$B$303,80))</f>
        <v/>
      </c>
      <c r="C2347" s="67" t="str">
        <f aca="false">IF($E2347="","","记-"&amp;TEXT($B2347,"YYYYMM")&amp;"-费用")</f>
        <v/>
      </c>
      <c r="D2347" s="107" t="str">
        <f aca="false">IF($E2347="","",INDEX(成本费用登记表!$E$4:$E$303,80))</f>
        <v/>
      </c>
      <c r="E2347" s="67" t="str">
        <f aca="false">IF(INDEX(成本费用登记表!$Q$4:$Y$303,80,1)=0,"",INDEX(成本费用登记表!$Q$4:$Y$303,80,1))</f>
        <v/>
      </c>
      <c r="F2347" s="99" t="str">
        <f aca="false">IF($E2347="","",IFERROR(INDEX(科目表!$A$4:$A$81,MATCH($E2347,科目表!$B$4:$B$81,0)),""))</f>
        <v/>
      </c>
      <c r="G2347" s="67" t="str">
        <f aca="false">IF($E2347="","",IFERROR(INDEX(科目表!$E$4:$E$81,MATCH($E2347,科目表!$B$4:$B$81,0)),""))</f>
        <v/>
      </c>
      <c r="H2347" s="70" t="str">
        <f aca="false">IF($E2347="","",N(INDEX(成本费用登记表!$Q$4:$Y$303,80,2)))</f>
        <v/>
      </c>
      <c r="I2347" s="70" t="str">
        <f aca="false">IF($E2347="","",N(INDEX(成本费用登记表!$Q$4:$Y$303,80,3)))</f>
        <v/>
      </c>
      <c r="J2347" s="67" t="str">
        <f aca="false">IF($E2347="","",INDEX(成本费用登记表!$C$4:$C$303,80))</f>
        <v/>
      </c>
      <c r="K2347" s="67" t="str">
        <f aca="false">IF($E2347="","",INDEX(成本费用登记表!$D$4:$D$303,80))</f>
        <v/>
      </c>
      <c r="L2347" s="107" t="str">
        <f aca="false">IF($E2347="","",INDEX(成本费用登记表!$N$4:$N$303,80))</f>
        <v/>
      </c>
      <c r="M2347" s="107"/>
      <c r="N2347" s="67" t="str">
        <f aca="false">IF($E2347="","","系统")</f>
        <v/>
      </c>
      <c r="O2347" s="67" t="str">
        <f aca="false">IF($E2347="","","自动C")</f>
        <v/>
      </c>
      <c r="P2347" s="18"/>
    </row>
    <row r="2348" customFormat="false" ht="18" hidden="false" customHeight="true" outlineLevel="0" collapsed="false">
      <c r="A2348" s="107" t="str">
        <f aca="false">IF($E2348="","",ROW()-3)</f>
        <v/>
      </c>
      <c r="B2348" s="110" t="str">
        <f aca="false">IF($E2348="","",INDEX(成本费用登记表!$B$4:$B$303,80))</f>
        <v/>
      </c>
      <c r="C2348" s="67" t="str">
        <f aca="false">IF($E2348="","","记-"&amp;TEXT($B2348,"YYYYMM")&amp;"-费用")</f>
        <v/>
      </c>
      <c r="D2348" s="107" t="str">
        <f aca="false">IF($E2348="","",INDEX(成本费用登记表!$E$4:$E$303,80))</f>
        <v/>
      </c>
      <c r="E2348" s="67" t="str">
        <f aca="false">IF(INDEX(成本费用登记表!$Q$4:$Y$303,80,4)=0,"",INDEX(成本费用登记表!$Q$4:$Y$303,80,4))</f>
        <v/>
      </c>
      <c r="F2348" s="99" t="str">
        <f aca="false">IF($E2348="","",IFERROR(INDEX(科目表!$A$4:$A$81,MATCH($E2348,科目表!$B$4:$B$81,0)),""))</f>
        <v/>
      </c>
      <c r="G2348" s="67" t="str">
        <f aca="false">IF($E2348="","",IFERROR(INDEX(科目表!$E$4:$E$81,MATCH($E2348,科目表!$B$4:$B$81,0)),""))</f>
        <v/>
      </c>
      <c r="H2348" s="70" t="str">
        <f aca="false">IF($E2348="","",N(INDEX(成本费用登记表!$Q$4:$Y$303,80,5)))</f>
        <v/>
      </c>
      <c r="I2348" s="70" t="str">
        <f aca="false">IF($E2348="","",N(INDEX(成本费用登记表!$Q$4:$Y$303,80,6)))</f>
        <v/>
      </c>
      <c r="J2348" s="67" t="str">
        <f aca="false">IF($E2348="","",INDEX(成本费用登记表!$C$4:$C$303,80))</f>
        <v/>
      </c>
      <c r="K2348" s="67" t="str">
        <f aca="false">IF($E2348="","",INDEX(成本费用登记表!$D$4:$D$303,80))</f>
        <v/>
      </c>
      <c r="L2348" s="107" t="str">
        <f aca="false">IF($E2348="","",INDEX(成本费用登记表!$N$4:$N$303,80))</f>
        <v/>
      </c>
      <c r="M2348" s="107"/>
      <c r="N2348" s="67" t="str">
        <f aca="false">IF($E2348="","","系统")</f>
        <v/>
      </c>
      <c r="O2348" s="67" t="str">
        <f aca="false">IF($E2348="","","自动C")</f>
        <v/>
      </c>
      <c r="P2348" s="18"/>
    </row>
    <row r="2349" customFormat="false" ht="18" hidden="false" customHeight="true" outlineLevel="0" collapsed="false">
      <c r="A2349" s="107" t="str">
        <f aca="false">IF($E2349="","",ROW()-3)</f>
        <v/>
      </c>
      <c r="B2349" s="110" t="str">
        <f aca="false">IF($E2349="","",INDEX(成本费用登记表!$B$4:$B$303,80))</f>
        <v/>
      </c>
      <c r="C2349" s="67" t="str">
        <f aca="false">IF($E2349="","","记-"&amp;TEXT($B2349,"YYYYMM")&amp;"-费用")</f>
        <v/>
      </c>
      <c r="D2349" s="107" t="str">
        <f aca="false">IF($E2349="","",INDEX(成本费用登记表!$E$4:$E$303,80))</f>
        <v/>
      </c>
      <c r="E2349" s="67" t="str">
        <f aca="false">IF(INDEX(成本费用登记表!$Q$4:$Y$303,80,7)=0,"",INDEX(成本费用登记表!$Q$4:$Y$303,80,7))</f>
        <v/>
      </c>
      <c r="F2349" s="99" t="str">
        <f aca="false">IF($E2349="","",IFERROR(INDEX(科目表!$A$4:$A$81,MATCH($E2349,科目表!$B$4:$B$81,0)),""))</f>
        <v/>
      </c>
      <c r="G2349" s="67" t="str">
        <f aca="false">IF($E2349="","",IFERROR(INDEX(科目表!$E$4:$E$81,MATCH($E2349,科目表!$B$4:$B$81,0)),""))</f>
        <v/>
      </c>
      <c r="H2349" s="70" t="str">
        <f aca="false">IF($E2349="","",N(INDEX(成本费用登记表!$Q$4:$Y$303,80,8)))</f>
        <v/>
      </c>
      <c r="I2349" s="70" t="str">
        <f aca="false">IF($E2349="","",N(INDEX(成本费用登记表!$Q$4:$Y$303,80,9)))</f>
        <v/>
      </c>
      <c r="J2349" s="67" t="str">
        <f aca="false">IF($E2349="","",INDEX(成本费用登记表!$C$4:$C$303,80))</f>
        <v/>
      </c>
      <c r="K2349" s="67" t="str">
        <f aca="false">IF($E2349="","",INDEX(成本费用登记表!$D$4:$D$303,80))</f>
        <v/>
      </c>
      <c r="L2349" s="107" t="str">
        <f aca="false">IF($E2349="","",INDEX(成本费用登记表!$N$4:$N$303,80))</f>
        <v/>
      </c>
      <c r="M2349" s="107"/>
      <c r="N2349" s="67" t="str">
        <f aca="false">IF($E2349="","","系统")</f>
        <v/>
      </c>
      <c r="O2349" s="67" t="str">
        <f aca="false">IF($E2349="","","自动C")</f>
        <v/>
      </c>
      <c r="P2349" s="18"/>
    </row>
    <row r="2350" customFormat="false" ht="18" hidden="false" customHeight="true" outlineLevel="0" collapsed="false">
      <c r="A2350" s="107" t="str">
        <f aca="false">IF($E2350="","",ROW()-3)</f>
        <v/>
      </c>
      <c r="B2350" s="110" t="str">
        <f aca="false">IF($E2350="","",INDEX(成本费用登记表!$B$4:$B$303,81))</f>
        <v/>
      </c>
      <c r="C2350" s="67" t="str">
        <f aca="false">IF($E2350="","","记-"&amp;TEXT($B2350,"YYYYMM")&amp;"-费用")</f>
        <v/>
      </c>
      <c r="D2350" s="107" t="str">
        <f aca="false">IF($E2350="","",INDEX(成本费用登记表!$E$4:$E$303,81))</f>
        <v/>
      </c>
      <c r="E2350" s="67" t="str">
        <f aca="false">IF(INDEX(成本费用登记表!$Q$4:$Y$303,81,1)=0,"",INDEX(成本费用登记表!$Q$4:$Y$303,81,1))</f>
        <v/>
      </c>
      <c r="F2350" s="99" t="str">
        <f aca="false">IF($E2350="","",IFERROR(INDEX(科目表!$A$4:$A$81,MATCH($E2350,科目表!$B$4:$B$81,0)),""))</f>
        <v/>
      </c>
      <c r="G2350" s="67" t="str">
        <f aca="false">IF($E2350="","",IFERROR(INDEX(科目表!$E$4:$E$81,MATCH($E2350,科目表!$B$4:$B$81,0)),""))</f>
        <v/>
      </c>
      <c r="H2350" s="70" t="str">
        <f aca="false">IF($E2350="","",N(INDEX(成本费用登记表!$Q$4:$Y$303,81,2)))</f>
        <v/>
      </c>
      <c r="I2350" s="70" t="str">
        <f aca="false">IF($E2350="","",N(INDEX(成本费用登记表!$Q$4:$Y$303,81,3)))</f>
        <v/>
      </c>
      <c r="J2350" s="67" t="str">
        <f aca="false">IF($E2350="","",INDEX(成本费用登记表!$C$4:$C$303,81))</f>
        <v/>
      </c>
      <c r="K2350" s="67" t="str">
        <f aca="false">IF($E2350="","",INDEX(成本费用登记表!$D$4:$D$303,81))</f>
        <v/>
      </c>
      <c r="L2350" s="107" t="str">
        <f aca="false">IF($E2350="","",INDEX(成本费用登记表!$N$4:$N$303,81))</f>
        <v/>
      </c>
      <c r="M2350" s="107"/>
      <c r="N2350" s="67" t="str">
        <f aca="false">IF($E2350="","","系统")</f>
        <v/>
      </c>
      <c r="O2350" s="67" t="str">
        <f aca="false">IF($E2350="","","自动C")</f>
        <v/>
      </c>
      <c r="P2350" s="18"/>
    </row>
    <row r="2351" customFormat="false" ht="18" hidden="false" customHeight="true" outlineLevel="0" collapsed="false">
      <c r="A2351" s="107" t="str">
        <f aca="false">IF($E2351="","",ROW()-3)</f>
        <v/>
      </c>
      <c r="B2351" s="110" t="str">
        <f aca="false">IF($E2351="","",INDEX(成本费用登记表!$B$4:$B$303,81))</f>
        <v/>
      </c>
      <c r="C2351" s="67" t="str">
        <f aca="false">IF($E2351="","","记-"&amp;TEXT($B2351,"YYYYMM")&amp;"-费用")</f>
        <v/>
      </c>
      <c r="D2351" s="107" t="str">
        <f aca="false">IF($E2351="","",INDEX(成本费用登记表!$E$4:$E$303,81))</f>
        <v/>
      </c>
      <c r="E2351" s="67" t="str">
        <f aca="false">IF(INDEX(成本费用登记表!$Q$4:$Y$303,81,4)=0,"",INDEX(成本费用登记表!$Q$4:$Y$303,81,4))</f>
        <v/>
      </c>
      <c r="F2351" s="99" t="str">
        <f aca="false">IF($E2351="","",IFERROR(INDEX(科目表!$A$4:$A$81,MATCH($E2351,科目表!$B$4:$B$81,0)),""))</f>
        <v/>
      </c>
      <c r="G2351" s="67" t="str">
        <f aca="false">IF($E2351="","",IFERROR(INDEX(科目表!$E$4:$E$81,MATCH($E2351,科目表!$B$4:$B$81,0)),""))</f>
        <v/>
      </c>
      <c r="H2351" s="70" t="str">
        <f aca="false">IF($E2351="","",N(INDEX(成本费用登记表!$Q$4:$Y$303,81,5)))</f>
        <v/>
      </c>
      <c r="I2351" s="70" t="str">
        <f aca="false">IF($E2351="","",N(INDEX(成本费用登记表!$Q$4:$Y$303,81,6)))</f>
        <v/>
      </c>
      <c r="J2351" s="67" t="str">
        <f aca="false">IF($E2351="","",INDEX(成本费用登记表!$C$4:$C$303,81))</f>
        <v/>
      </c>
      <c r="K2351" s="67" t="str">
        <f aca="false">IF($E2351="","",INDEX(成本费用登记表!$D$4:$D$303,81))</f>
        <v/>
      </c>
      <c r="L2351" s="107" t="str">
        <f aca="false">IF($E2351="","",INDEX(成本费用登记表!$N$4:$N$303,81))</f>
        <v/>
      </c>
      <c r="M2351" s="107"/>
      <c r="N2351" s="67" t="str">
        <f aca="false">IF($E2351="","","系统")</f>
        <v/>
      </c>
      <c r="O2351" s="67" t="str">
        <f aca="false">IF($E2351="","","自动C")</f>
        <v/>
      </c>
      <c r="P2351" s="18"/>
    </row>
    <row r="2352" customFormat="false" ht="18" hidden="false" customHeight="true" outlineLevel="0" collapsed="false">
      <c r="A2352" s="107" t="str">
        <f aca="false">IF($E2352="","",ROW()-3)</f>
        <v/>
      </c>
      <c r="B2352" s="110" t="str">
        <f aca="false">IF($E2352="","",INDEX(成本费用登记表!$B$4:$B$303,81))</f>
        <v/>
      </c>
      <c r="C2352" s="67" t="str">
        <f aca="false">IF($E2352="","","记-"&amp;TEXT($B2352,"YYYYMM")&amp;"-费用")</f>
        <v/>
      </c>
      <c r="D2352" s="107" t="str">
        <f aca="false">IF($E2352="","",INDEX(成本费用登记表!$E$4:$E$303,81))</f>
        <v/>
      </c>
      <c r="E2352" s="67" t="str">
        <f aca="false">IF(INDEX(成本费用登记表!$Q$4:$Y$303,81,7)=0,"",INDEX(成本费用登记表!$Q$4:$Y$303,81,7))</f>
        <v/>
      </c>
      <c r="F2352" s="99" t="str">
        <f aca="false">IF($E2352="","",IFERROR(INDEX(科目表!$A$4:$A$81,MATCH($E2352,科目表!$B$4:$B$81,0)),""))</f>
        <v/>
      </c>
      <c r="G2352" s="67" t="str">
        <f aca="false">IF($E2352="","",IFERROR(INDEX(科目表!$E$4:$E$81,MATCH($E2352,科目表!$B$4:$B$81,0)),""))</f>
        <v/>
      </c>
      <c r="H2352" s="70" t="str">
        <f aca="false">IF($E2352="","",N(INDEX(成本费用登记表!$Q$4:$Y$303,81,8)))</f>
        <v/>
      </c>
      <c r="I2352" s="70" t="str">
        <f aca="false">IF($E2352="","",N(INDEX(成本费用登记表!$Q$4:$Y$303,81,9)))</f>
        <v/>
      </c>
      <c r="J2352" s="67" t="str">
        <f aca="false">IF($E2352="","",INDEX(成本费用登记表!$C$4:$C$303,81))</f>
        <v/>
      </c>
      <c r="K2352" s="67" t="str">
        <f aca="false">IF($E2352="","",INDEX(成本费用登记表!$D$4:$D$303,81))</f>
        <v/>
      </c>
      <c r="L2352" s="107" t="str">
        <f aca="false">IF($E2352="","",INDEX(成本费用登记表!$N$4:$N$303,81))</f>
        <v/>
      </c>
      <c r="M2352" s="107"/>
      <c r="N2352" s="67" t="str">
        <f aca="false">IF($E2352="","","系统")</f>
        <v/>
      </c>
      <c r="O2352" s="67" t="str">
        <f aca="false">IF($E2352="","","自动C")</f>
        <v/>
      </c>
      <c r="P2352" s="18"/>
    </row>
    <row r="2353" customFormat="false" ht="18" hidden="false" customHeight="true" outlineLevel="0" collapsed="false">
      <c r="A2353" s="107" t="str">
        <f aca="false">IF($E2353="","",ROW()-3)</f>
        <v/>
      </c>
      <c r="B2353" s="110" t="str">
        <f aca="false">IF($E2353="","",INDEX(成本费用登记表!$B$4:$B$303,82))</f>
        <v/>
      </c>
      <c r="C2353" s="67" t="str">
        <f aca="false">IF($E2353="","","记-"&amp;TEXT($B2353,"YYYYMM")&amp;"-费用")</f>
        <v/>
      </c>
      <c r="D2353" s="107" t="str">
        <f aca="false">IF($E2353="","",INDEX(成本费用登记表!$E$4:$E$303,82))</f>
        <v/>
      </c>
      <c r="E2353" s="67" t="str">
        <f aca="false">IF(INDEX(成本费用登记表!$Q$4:$Y$303,82,1)=0,"",INDEX(成本费用登记表!$Q$4:$Y$303,82,1))</f>
        <v/>
      </c>
      <c r="F2353" s="99" t="str">
        <f aca="false">IF($E2353="","",IFERROR(INDEX(科目表!$A$4:$A$81,MATCH($E2353,科目表!$B$4:$B$81,0)),""))</f>
        <v/>
      </c>
      <c r="G2353" s="67" t="str">
        <f aca="false">IF($E2353="","",IFERROR(INDEX(科目表!$E$4:$E$81,MATCH($E2353,科目表!$B$4:$B$81,0)),""))</f>
        <v/>
      </c>
      <c r="H2353" s="70" t="str">
        <f aca="false">IF($E2353="","",N(INDEX(成本费用登记表!$Q$4:$Y$303,82,2)))</f>
        <v/>
      </c>
      <c r="I2353" s="70" t="str">
        <f aca="false">IF($E2353="","",N(INDEX(成本费用登记表!$Q$4:$Y$303,82,3)))</f>
        <v/>
      </c>
      <c r="J2353" s="67" t="str">
        <f aca="false">IF($E2353="","",INDEX(成本费用登记表!$C$4:$C$303,82))</f>
        <v/>
      </c>
      <c r="K2353" s="67" t="str">
        <f aca="false">IF($E2353="","",INDEX(成本费用登记表!$D$4:$D$303,82))</f>
        <v/>
      </c>
      <c r="L2353" s="107" t="str">
        <f aca="false">IF($E2353="","",INDEX(成本费用登记表!$N$4:$N$303,82))</f>
        <v/>
      </c>
      <c r="M2353" s="107"/>
      <c r="N2353" s="67" t="str">
        <f aca="false">IF($E2353="","","系统")</f>
        <v/>
      </c>
      <c r="O2353" s="67" t="str">
        <f aca="false">IF($E2353="","","自动C")</f>
        <v/>
      </c>
      <c r="P2353" s="18"/>
    </row>
    <row r="2354" customFormat="false" ht="18" hidden="false" customHeight="true" outlineLevel="0" collapsed="false">
      <c r="A2354" s="107" t="str">
        <f aca="false">IF($E2354="","",ROW()-3)</f>
        <v/>
      </c>
      <c r="B2354" s="110" t="str">
        <f aca="false">IF($E2354="","",INDEX(成本费用登记表!$B$4:$B$303,82))</f>
        <v/>
      </c>
      <c r="C2354" s="67" t="str">
        <f aca="false">IF($E2354="","","记-"&amp;TEXT($B2354,"YYYYMM")&amp;"-费用")</f>
        <v/>
      </c>
      <c r="D2354" s="107" t="str">
        <f aca="false">IF($E2354="","",INDEX(成本费用登记表!$E$4:$E$303,82))</f>
        <v/>
      </c>
      <c r="E2354" s="67" t="str">
        <f aca="false">IF(INDEX(成本费用登记表!$Q$4:$Y$303,82,4)=0,"",INDEX(成本费用登记表!$Q$4:$Y$303,82,4))</f>
        <v/>
      </c>
      <c r="F2354" s="99" t="str">
        <f aca="false">IF($E2354="","",IFERROR(INDEX(科目表!$A$4:$A$81,MATCH($E2354,科目表!$B$4:$B$81,0)),""))</f>
        <v/>
      </c>
      <c r="G2354" s="67" t="str">
        <f aca="false">IF($E2354="","",IFERROR(INDEX(科目表!$E$4:$E$81,MATCH($E2354,科目表!$B$4:$B$81,0)),""))</f>
        <v/>
      </c>
      <c r="H2354" s="70" t="str">
        <f aca="false">IF($E2354="","",N(INDEX(成本费用登记表!$Q$4:$Y$303,82,5)))</f>
        <v/>
      </c>
      <c r="I2354" s="70" t="str">
        <f aca="false">IF($E2354="","",N(INDEX(成本费用登记表!$Q$4:$Y$303,82,6)))</f>
        <v/>
      </c>
      <c r="J2354" s="67" t="str">
        <f aca="false">IF($E2354="","",INDEX(成本费用登记表!$C$4:$C$303,82))</f>
        <v/>
      </c>
      <c r="K2354" s="67" t="str">
        <f aca="false">IF($E2354="","",INDEX(成本费用登记表!$D$4:$D$303,82))</f>
        <v/>
      </c>
      <c r="L2354" s="107" t="str">
        <f aca="false">IF($E2354="","",INDEX(成本费用登记表!$N$4:$N$303,82))</f>
        <v/>
      </c>
      <c r="M2354" s="107"/>
      <c r="N2354" s="67" t="str">
        <f aca="false">IF($E2354="","","系统")</f>
        <v/>
      </c>
      <c r="O2354" s="67" t="str">
        <f aca="false">IF($E2354="","","自动C")</f>
        <v/>
      </c>
      <c r="P2354" s="18"/>
    </row>
    <row r="2355" customFormat="false" ht="18" hidden="false" customHeight="true" outlineLevel="0" collapsed="false">
      <c r="A2355" s="107" t="str">
        <f aca="false">IF($E2355="","",ROW()-3)</f>
        <v/>
      </c>
      <c r="B2355" s="110" t="str">
        <f aca="false">IF($E2355="","",INDEX(成本费用登记表!$B$4:$B$303,82))</f>
        <v/>
      </c>
      <c r="C2355" s="67" t="str">
        <f aca="false">IF($E2355="","","记-"&amp;TEXT($B2355,"YYYYMM")&amp;"-费用")</f>
        <v/>
      </c>
      <c r="D2355" s="107" t="str">
        <f aca="false">IF($E2355="","",INDEX(成本费用登记表!$E$4:$E$303,82))</f>
        <v/>
      </c>
      <c r="E2355" s="67" t="str">
        <f aca="false">IF(INDEX(成本费用登记表!$Q$4:$Y$303,82,7)=0,"",INDEX(成本费用登记表!$Q$4:$Y$303,82,7))</f>
        <v/>
      </c>
      <c r="F2355" s="99" t="str">
        <f aca="false">IF($E2355="","",IFERROR(INDEX(科目表!$A$4:$A$81,MATCH($E2355,科目表!$B$4:$B$81,0)),""))</f>
        <v/>
      </c>
      <c r="G2355" s="67" t="str">
        <f aca="false">IF($E2355="","",IFERROR(INDEX(科目表!$E$4:$E$81,MATCH($E2355,科目表!$B$4:$B$81,0)),""))</f>
        <v/>
      </c>
      <c r="H2355" s="70" t="str">
        <f aca="false">IF($E2355="","",N(INDEX(成本费用登记表!$Q$4:$Y$303,82,8)))</f>
        <v/>
      </c>
      <c r="I2355" s="70" t="str">
        <f aca="false">IF($E2355="","",N(INDEX(成本费用登记表!$Q$4:$Y$303,82,9)))</f>
        <v/>
      </c>
      <c r="J2355" s="67" t="str">
        <f aca="false">IF($E2355="","",INDEX(成本费用登记表!$C$4:$C$303,82))</f>
        <v/>
      </c>
      <c r="K2355" s="67" t="str">
        <f aca="false">IF($E2355="","",INDEX(成本费用登记表!$D$4:$D$303,82))</f>
        <v/>
      </c>
      <c r="L2355" s="107" t="str">
        <f aca="false">IF($E2355="","",INDEX(成本费用登记表!$N$4:$N$303,82))</f>
        <v/>
      </c>
      <c r="M2355" s="107"/>
      <c r="N2355" s="67" t="str">
        <f aca="false">IF($E2355="","","系统")</f>
        <v/>
      </c>
      <c r="O2355" s="67" t="str">
        <f aca="false">IF($E2355="","","自动C")</f>
        <v/>
      </c>
      <c r="P2355" s="18"/>
    </row>
    <row r="2356" customFormat="false" ht="18" hidden="false" customHeight="true" outlineLevel="0" collapsed="false">
      <c r="A2356" s="107" t="str">
        <f aca="false">IF($E2356="","",ROW()-3)</f>
        <v/>
      </c>
      <c r="B2356" s="110" t="str">
        <f aca="false">IF($E2356="","",INDEX(成本费用登记表!$B$4:$B$303,83))</f>
        <v/>
      </c>
      <c r="C2356" s="67" t="str">
        <f aca="false">IF($E2356="","","记-"&amp;TEXT($B2356,"YYYYMM")&amp;"-费用")</f>
        <v/>
      </c>
      <c r="D2356" s="107" t="str">
        <f aca="false">IF($E2356="","",INDEX(成本费用登记表!$E$4:$E$303,83))</f>
        <v/>
      </c>
      <c r="E2356" s="67" t="str">
        <f aca="false">IF(INDEX(成本费用登记表!$Q$4:$Y$303,83,1)=0,"",INDEX(成本费用登记表!$Q$4:$Y$303,83,1))</f>
        <v/>
      </c>
      <c r="F2356" s="99" t="str">
        <f aca="false">IF($E2356="","",IFERROR(INDEX(科目表!$A$4:$A$81,MATCH($E2356,科目表!$B$4:$B$81,0)),""))</f>
        <v/>
      </c>
      <c r="G2356" s="67" t="str">
        <f aca="false">IF($E2356="","",IFERROR(INDEX(科目表!$E$4:$E$81,MATCH($E2356,科目表!$B$4:$B$81,0)),""))</f>
        <v/>
      </c>
      <c r="H2356" s="70" t="str">
        <f aca="false">IF($E2356="","",N(INDEX(成本费用登记表!$Q$4:$Y$303,83,2)))</f>
        <v/>
      </c>
      <c r="I2356" s="70" t="str">
        <f aca="false">IF($E2356="","",N(INDEX(成本费用登记表!$Q$4:$Y$303,83,3)))</f>
        <v/>
      </c>
      <c r="J2356" s="67" t="str">
        <f aca="false">IF($E2356="","",INDEX(成本费用登记表!$C$4:$C$303,83))</f>
        <v/>
      </c>
      <c r="K2356" s="67" t="str">
        <f aca="false">IF($E2356="","",INDEX(成本费用登记表!$D$4:$D$303,83))</f>
        <v/>
      </c>
      <c r="L2356" s="107" t="str">
        <f aca="false">IF($E2356="","",INDEX(成本费用登记表!$N$4:$N$303,83))</f>
        <v/>
      </c>
      <c r="M2356" s="107"/>
      <c r="N2356" s="67" t="str">
        <f aca="false">IF($E2356="","","系统")</f>
        <v/>
      </c>
      <c r="O2356" s="67" t="str">
        <f aca="false">IF($E2356="","","自动C")</f>
        <v/>
      </c>
      <c r="P2356" s="18"/>
    </row>
    <row r="2357" customFormat="false" ht="18" hidden="false" customHeight="true" outlineLevel="0" collapsed="false">
      <c r="A2357" s="107" t="str">
        <f aca="false">IF($E2357="","",ROW()-3)</f>
        <v/>
      </c>
      <c r="B2357" s="110" t="str">
        <f aca="false">IF($E2357="","",INDEX(成本费用登记表!$B$4:$B$303,83))</f>
        <v/>
      </c>
      <c r="C2357" s="67" t="str">
        <f aca="false">IF($E2357="","","记-"&amp;TEXT($B2357,"YYYYMM")&amp;"-费用")</f>
        <v/>
      </c>
      <c r="D2357" s="107" t="str">
        <f aca="false">IF($E2357="","",INDEX(成本费用登记表!$E$4:$E$303,83))</f>
        <v/>
      </c>
      <c r="E2357" s="67" t="str">
        <f aca="false">IF(INDEX(成本费用登记表!$Q$4:$Y$303,83,4)=0,"",INDEX(成本费用登记表!$Q$4:$Y$303,83,4))</f>
        <v/>
      </c>
      <c r="F2357" s="99" t="str">
        <f aca="false">IF($E2357="","",IFERROR(INDEX(科目表!$A$4:$A$81,MATCH($E2357,科目表!$B$4:$B$81,0)),""))</f>
        <v/>
      </c>
      <c r="G2357" s="67" t="str">
        <f aca="false">IF($E2357="","",IFERROR(INDEX(科目表!$E$4:$E$81,MATCH($E2357,科目表!$B$4:$B$81,0)),""))</f>
        <v/>
      </c>
      <c r="H2357" s="70" t="str">
        <f aca="false">IF($E2357="","",N(INDEX(成本费用登记表!$Q$4:$Y$303,83,5)))</f>
        <v/>
      </c>
      <c r="I2357" s="70" t="str">
        <f aca="false">IF($E2357="","",N(INDEX(成本费用登记表!$Q$4:$Y$303,83,6)))</f>
        <v/>
      </c>
      <c r="J2357" s="67" t="str">
        <f aca="false">IF($E2357="","",INDEX(成本费用登记表!$C$4:$C$303,83))</f>
        <v/>
      </c>
      <c r="K2357" s="67" t="str">
        <f aca="false">IF($E2357="","",INDEX(成本费用登记表!$D$4:$D$303,83))</f>
        <v/>
      </c>
      <c r="L2357" s="107" t="str">
        <f aca="false">IF($E2357="","",INDEX(成本费用登记表!$N$4:$N$303,83))</f>
        <v/>
      </c>
      <c r="M2357" s="107"/>
      <c r="N2357" s="67" t="str">
        <f aca="false">IF($E2357="","","系统")</f>
        <v/>
      </c>
      <c r="O2357" s="67" t="str">
        <f aca="false">IF($E2357="","","自动C")</f>
        <v/>
      </c>
      <c r="P2357" s="18"/>
    </row>
    <row r="2358" customFormat="false" ht="18" hidden="false" customHeight="true" outlineLevel="0" collapsed="false">
      <c r="A2358" s="107" t="str">
        <f aca="false">IF($E2358="","",ROW()-3)</f>
        <v/>
      </c>
      <c r="B2358" s="110" t="str">
        <f aca="false">IF($E2358="","",INDEX(成本费用登记表!$B$4:$B$303,83))</f>
        <v/>
      </c>
      <c r="C2358" s="67" t="str">
        <f aca="false">IF($E2358="","","记-"&amp;TEXT($B2358,"YYYYMM")&amp;"-费用")</f>
        <v/>
      </c>
      <c r="D2358" s="107" t="str">
        <f aca="false">IF($E2358="","",INDEX(成本费用登记表!$E$4:$E$303,83))</f>
        <v/>
      </c>
      <c r="E2358" s="67" t="str">
        <f aca="false">IF(INDEX(成本费用登记表!$Q$4:$Y$303,83,7)=0,"",INDEX(成本费用登记表!$Q$4:$Y$303,83,7))</f>
        <v/>
      </c>
      <c r="F2358" s="99" t="str">
        <f aca="false">IF($E2358="","",IFERROR(INDEX(科目表!$A$4:$A$81,MATCH($E2358,科目表!$B$4:$B$81,0)),""))</f>
        <v/>
      </c>
      <c r="G2358" s="67" t="str">
        <f aca="false">IF($E2358="","",IFERROR(INDEX(科目表!$E$4:$E$81,MATCH($E2358,科目表!$B$4:$B$81,0)),""))</f>
        <v/>
      </c>
      <c r="H2358" s="70" t="str">
        <f aca="false">IF($E2358="","",N(INDEX(成本费用登记表!$Q$4:$Y$303,83,8)))</f>
        <v/>
      </c>
      <c r="I2358" s="70" t="str">
        <f aca="false">IF($E2358="","",N(INDEX(成本费用登记表!$Q$4:$Y$303,83,9)))</f>
        <v/>
      </c>
      <c r="J2358" s="67" t="str">
        <f aca="false">IF($E2358="","",INDEX(成本费用登记表!$C$4:$C$303,83))</f>
        <v/>
      </c>
      <c r="K2358" s="67" t="str">
        <f aca="false">IF($E2358="","",INDEX(成本费用登记表!$D$4:$D$303,83))</f>
        <v/>
      </c>
      <c r="L2358" s="107" t="str">
        <f aca="false">IF($E2358="","",INDEX(成本费用登记表!$N$4:$N$303,83))</f>
        <v/>
      </c>
      <c r="M2358" s="107"/>
      <c r="N2358" s="67" t="str">
        <f aca="false">IF($E2358="","","系统")</f>
        <v/>
      </c>
      <c r="O2358" s="67" t="str">
        <f aca="false">IF($E2358="","","自动C")</f>
        <v/>
      </c>
      <c r="P2358" s="18"/>
    </row>
    <row r="2359" customFormat="false" ht="18" hidden="false" customHeight="true" outlineLevel="0" collapsed="false">
      <c r="A2359" s="107" t="str">
        <f aca="false">IF($E2359="","",ROW()-3)</f>
        <v/>
      </c>
      <c r="B2359" s="110" t="str">
        <f aca="false">IF($E2359="","",INDEX(成本费用登记表!$B$4:$B$303,84))</f>
        <v/>
      </c>
      <c r="C2359" s="67" t="str">
        <f aca="false">IF($E2359="","","记-"&amp;TEXT($B2359,"YYYYMM")&amp;"-费用")</f>
        <v/>
      </c>
      <c r="D2359" s="107" t="str">
        <f aca="false">IF($E2359="","",INDEX(成本费用登记表!$E$4:$E$303,84))</f>
        <v/>
      </c>
      <c r="E2359" s="67" t="str">
        <f aca="false">IF(INDEX(成本费用登记表!$Q$4:$Y$303,84,1)=0,"",INDEX(成本费用登记表!$Q$4:$Y$303,84,1))</f>
        <v/>
      </c>
      <c r="F2359" s="99" t="str">
        <f aca="false">IF($E2359="","",IFERROR(INDEX(科目表!$A$4:$A$81,MATCH($E2359,科目表!$B$4:$B$81,0)),""))</f>
        <v/>
      </c>
      <c r="G2359" s="67" t="str">
        <f aca="false">IF($E2359="","",IFERROR(INDEX(科目表!$E$4:$E$81,MATCH($E2359,科目表!$B$4:$B$81,0)),""))</f>
        <v/>
      </c>
      <c r="H2359" s="70" t="str">
        <f aca="false">IF($E2359="","",N(INDEX(成本费用登记表!$Q$4:$Y$303,84,2)))</f>
        <v/>
      </c>
      <c r="I2359" s="70" t="str">
        <f aca="false">IF($E2359="","",N(INDEX(成本费用登记表!$Q$4:$Y$303,84,3)))</f>
        <v/>
      </c>
      <c r="J2359" s="67" t="str">
        <f aca="false">IF($E2359="","",INDEX(成本费用登记表!$C$4:$C$303,84))</f>
        <v/>
      </c>
      <c r="K2359" s="67" t="str">
        <f aca="false">IF($E2359="","",INDEX(成本费用登记表!$D$4:$D$303,84))</f>
        <v/>
      </c>
      <c r="L2359" s="107" t="str">
        <f aca="false">IF($E2359="","",INDEX(成本费用登记表!$N$4:$N$303,84))</f>
        <v/>
      </c>
      <c r="M2359" s="107"/>
      <c r="N2359" s="67" t="str">
        <f aca="false">IF($E2359="","","系统")</f>
        <v/>
      </c>
      <c r="O2359" s="67" t="str">
        <f aca="false">IF($E2359="","","自动C")</f>
        <v/>
      </c>
      <c r="P2359" s="18"/>
    </row>
    <row r="2360" customFormat="false" ht="18" hidden="false" customHeight="true" outlineLevel="0" collapsed="false">
      <c r="A2360" s="107" t="str">
        <f aca="false">IF($E2360="","",ROW()-3)</f>
        <v/>
      </c>
      <c r="B2360" s="110" t="str">
        <f aca="false">IF($E2360="","",INDEX(成本费用登记表!$B$4:$B$303,84))</f>
        <v/>
      </c>
      <c r="C2360" s="67" t="str">
        <f aca="false">IF($E2360="","","记-"&amp;TEXT($B2360,"YYYYMM")&amp;"-费用")</f>
        <v/>
      </c>
      <c r="D2360" s="107" t="str">
        <f aca="false">IF($E2360="","",INDEX(成本费用登记表!$E$4:$E$303,84))</f>
        <v/>
      </c>
      <c r="E2360" s="67" t="str">
        <f aca="false">IF(INDEX(成本费用登记表!$Q$4:$Y$303,84,4)=0,"",INDEX(成本费用登记表!$Q$4:$Y$303,84,4))</f>
        <v/>
      </c>
      <c r="F2360" s="99" t="str">
        <f aca="false">IF($E2360="","",IFERROR(INDEX(科目表!$A$4:$A$81,MATCH($E2360,科目表!$B$4:$B$81,0)),""))</f>
        <v/>
      </c>
      <c r="G2360" s="67" t="str">
        <f aca="false">IF($E2360="","",IFERROR(INDEX(科目表!$E$4:$E$81,MATCH($E2360,科目表!$B$4:$B$81,0)),""))</f>
        <v/>
      </c>
      <c r="H2360" s="70" t="str">
        <f aca="false">IF($E2360="","",N(INDEX(成本费用登记表!$Q$4:$Y$303,84,5)))</f>
        <v/>
      </c>
      <c r="I2360" s="70" t="str">
        <f aca="false">IF($E2360="","",N(INDEX(成本费用登记表!$Q$4:$Y$303,84,6)))</f>
        <v/>
      </c>
      <c r="J2360" s="67" t="str">
        <f aca="false">IF($E2360="","",INDEX(成本费用登记表!$C$4:$C$303,84))</f>
        <v/>
      </c>
      <c r="K2360" s="67" t="str">
        <f aca="false">IF($E2360="","",INDEX(成本费用登记表!$D$4:$D$303,84))</f>
        <v/>
      </c>
      <c r="L2360" s="107" t="str">
        <f aca="false">IF($E2360="","",INDEX(成本费用登记表!$N$4:$N$303,84))</f>
        <v/>
      </c>
      <c r="M2360" s="107"/>
      <c r="N2360" s="67" t="str">
        <f aca="false">IF($E2360="","","系统")</f>
        <v/>
      </c>
      <c r="O2360" s="67" t="str">
        <f aca="false">IF($E2360="","","自动C")</f>
        <v/>
      </c>
      <c r="P2360" s="18"/>
    </row>
    <row r="2361" customFormat="false" ht="18" hidden="false" customHeight="true" outlineLevel="0" collapsed="false">
      <c r="A2361" s="107" t="str">
        <f aca="false">IF($E2361="","",ROW()-3)</f>
        <v/>
      </c>
      <c r="B2361" s="110" t="str">
        <f aca="false">IF($E2361="","",INDEX(成本费用登记表!$B$4:$B$303,84))</f>
        <v/>
      </c>
      <c r="C2361" s="67" t="str">
        <f aca="false">IF($E2361="","","记-"&amp;TEXT($B2361,"YYYYMM")&amp;"-费用")</f>
        <v/>
      </c>
      <c r="D2361" s="107" t="str">
        <f aca="false">IF($E2361="","",INDEX(成本费用登记表!$E$4:$E$303,84))</f>
        <v/>
      </c>
      <c r="E2361" s="67" t="str">
        <f aca="false">IF(INDEX(成本费用登记表!$Q$4:$Y$303,84,7)=0,"",INDEX(成本费用登记表!$Q$4:$Y$303,84,7))</f>
        <v/>
      </c>
      <c r="F2361" s="99" t="str">
        <f aca="false">IF($E2361="","",IFERROR(INDEX(科目表!$A$4:$A$81,MATCH($E2361,科目表!$B$4:$B$81,0)),""))</f>
        <v/>
      </c>
      <c r="G2361" s="67" t="str">
        <f aca="false">IF($E2361="","",IFERROR(INDEX(科目表!$E$4:$E$81,MATCH($E2361,科目表!$B$4:$B$81,0)),""))</f>
        <v/>
      </c>
      <c r="H2361" s="70" t="str">
        <f aca="false">IF($E2361="","",N(INDEX(成本费用登记表!$Q$4:$Y$303,84,8)))</f>
        <v/>
      </c>
      <c r="I2361" s="70" t="str">
        <f aca="false">IF($E2361="","",N(INDEX(成本费用登记表!$Q$4:$Y$303,84,9)))</f>
        <v/>
      </c>
      <c r="J2361" s="67" t="str">
        <f aca="false">IF($E2361="","",INDEX(成本费用登记表!$C$4:$C$303,84))</f>
        <v/>
      </c>
      <c r="K2361" s="67" t="str">
        <f aca="false">IF($E2361="","",INDEX(成本费用登记表!$D$4:$D$303,84))</f>
        <v/>
      </c>
      <c r="L2361" s="107" t="str">
        <f aca="false">IF($E2361="","",INDEX(成本费用登记表!$N$4:$N$303,84))</f>
        <v/>
      </c>
      <c r="M2361" s="107"/>
      <c r="N2361" s="67" t="str">
        <f aca="false">IF($E2361="","","系统")</f>
        <v/>
      </c>
      <c r="O2361" s="67" t="str">
        <f aca="false">IF($E2361="","","自动C")</f>
        <v/>
      </c>
      <c r="P2361" s="18"/>
    </row>
    <row r="2362" customFormat="false" ht="18" hidden="false" customHeight="true" outlineLevel="0" collapsed="false">
      <c r="A2362" s="107" t="str">
        <f aca="false">IF($E2362="","",ROW()-3)</f>
        <v/>
      </c>
      <c r="B2362" s="110" t="str">
        <f aca="false">IF($E2362="","",INDEX(成本费用登记表!$B$4:$B$303,85))</f>
        <v/>
      </c>
      <c r="C2362" s="67" t="str">
        <f aca="false">IF($E2362="","","记-"&amp;TEXT($B2362,"YYYYMM")&amp;"-费用")</f>
        <v/>
      </c>
      <c r="D2362" s="107" t="str">
        <f aca="false">IF($E2362="","",INDEX(成本费用登记表!$E$4:$E$303,85))</f>
        <v/>
      </c>
      <c r="E2362" s="67" t="str">
        <f aca="false">IF(INDEX(成本费用登记表!$Q$4:$Y$303,85,1)=0,"",INDEX(成本费用登记表!$Q$4:$Y$303,85,1))</f>
        <v/>
      </c>
      <c r="F2362" s="99" t="str">
        <f aca="false">IF($E2362="","",IFERROR(INDEX(科目表!$A$4:$A$81,MATCH($E2362,科目表!$B$4:$B$81,0)),""))</f>
        <v/>
      </c>
      <c r="G2362" s="67" t="str">
        <f aca="false">IF($E2362="","",IFERROR(INDEX(科目表!$E$4:$E$81,MATCH($E2362,科目表!$B$4:$B$81,0)),""))</f>
        <v/>
      </c>
      <c r="H2362" s="70" t="str">
        <f aca="false">IF($E2362="","",N(INDEX(成本费用登记表!$Q$4:$Y$303,85,2)))</f>
        <v/>
      </c>
      <c r="I2362" s="70" t="str">
        <f aca="false">IF($E2362="","",N(INDEX(成本费用登记表!$Q$4:$Y$303,85,3)))</f>
        <v/>
      </c>
      <c r="J2362" s="67" t="str">
        <f aca="false">IF($E2362="","",INDEX(成本费用登记表!$C$4:$C$303,85))</f>
        <v/>
      </c>
      <c r="K2362" s="67" t="str">
        <f aca="false">IF($E2362="","",INDEX(成本费用登记表!$D$4:$D$303,85))</f>
        <v/>
      </c>
      <c r="L2362" s="107" t="str">
        <f aca="false">IF($E2362="","",INDEX(成本费用登记表!$N$4:$N$303,85))</f>
        <v/>
      </c>
      <c r="M2362" s="107"/>
      <c r="N2362" s="67" t="str">
        <f aca="false">IF($E2362="","","系统")</f>
        <v/>
      </c>
      <c r="O2362" s="67" t="str">
        <f aca="false">IF($E2362="","","自动C")</f>
        <v/>
      </c>
      <c r="P2362" s="18"/>
    </row>
    <row r="2363" customFormat="false" ht="18" hidden="false" customHeight="true" outlineLevel="0" collapsed="false">
      <c r="A2363" s="107" t="str">
        <f aca="false">IF($E2363="","",ROW()-3)</f>
        <v/>
      </c>
      <c r="B2363" s="110" t="str">
        <f aca="false">IF($E2363="","",INDEX(成本费用登记表!$B$4:$B$303,85))</f>
        <v/>
      </c>
      <c r="C2363" s="67" t="str">
        <f aca="false">IF($E2363="","","记-"&amp;TEXT($B2363,"YYYYMM")&amp;"-费用")</f>
        <v/>
      </c>
      <c r="D2363" s="107" t="str">
        <f aca="false">IF($E2363="","",INDEX(成本费用登记表!$E$4:$E$303,85))</f>
        <v/>
      </c>
      <c r="E2363" s="67" t="str">
        <f aca="false">IF(INDEX(成本费用登记表!$Q$4:$Y$303,85,4)=0,"",INDEX(成本费用登记表!$Q$4:$Y$303,85,4))</f>
        <v/>
      </c>
      <c r="F2363" s="99" t="str">
        <f aca="false">IF($E2363="","",IFERROR(INDEX(科目表!$A$4:$A$81,MATCH($E2363,科目表!$B$4:$B$81,0)),""))</f>
        <v/>
      </c>
      <c r="G2363" s="67" t="str">
        <f aca="false">IF($E2363="","",IFERROR(INDEX(科目表!$E$4:$E$81,MATCH($E2363,科目表!$B$4:$B$81,0)),""))</f>
        <v/>
      </c>
      <c r="H2363" s="70" t="str">
        <f aca="false">IF($E2363="","",N(INDEX(成本费用登记表!$Q$4:$Y$303,85,5)))</f>
        <v/>
      </c>
      <c r="I2363" s="70" t="str">
        <f aca="false">IF($E2363="","",N(INDEX(成本费用登记表!$Q$4:$Y$303,85,6)))</f>
        <v/>
      </c>
      <c r="J2363" s="67" t="str">
        <f aca="false">IF($E2363="","",INDEX(成本费用登记表!$C$4:$C$303,85))</f>
        <v/>
      </c>
      <c r="K2363" s="67" t="str">
        <f aca="false">IF($E2363="","",INDEX(成本费用登记表!$D$4:$D$303,85))</f>
        <v/>
      </c>
      <c r="L2363" s="107" t="str">
        <f aca="false">IF($E2363="","",INDEX(成本费用登记表!$N$4:$N$303,85))</f>
        <v/>
      </c>
      <c r="M2363" s="107"/>
      <c r="N2363" s="67" t="str">
        <f aca="false">IF($E2363="","","系统")</f>
        <v/>
      </c>
      <c r="O2363" s="67" t="str">
        <f aca="false">IF($E2363="","","自动C")</f>
        <v/>
      </c>
      <c r="P2363" s="18"/>
    </row>
    <row r="2364" customFormat="false" ht="18" hidden="false" customHeight="true" outlineLevel="0" collapsed="false">
      <c r="A2364" s="107" t="str">
        <f aca="false">IF($E2364="","",ROW()-3)</f>
        <v/>
      </c>
      <c r="B2364" s="110" t="str">
        <f aca="false">IF($E2364="","",INDEX(成本费用登记表!$B$4:$B$303,85))</f>
        <v/>
      </c>
      <c r="C2364" s="67" t="str">
        <f aca="false">IF($E2364="","","记-"&amp;TEXT($B2364,"YYYYMM")&amp;"-费用")</f>
        <v/>
      </c>
      <c r="D2364" s="107" t="str">
        <f aca="false">IF($E2364="","",INDEX(成本费用登记表!$E$4:$E$303,85))</f>
        <v/>
      </c>
      <c r="E2364" s="67" t="str">
        <f aca="false">IF(INDEX(成本费用登记表!$Q$4:$Y$303,85,7)=0,"",INDEX(成本费用登记表!$Q$4:$Y$303,85,7))</f>
        <v/>
      </c>
      <c r="F2364" s="99" t="str">
        <f aca="false">IF($E2364="","",IFERROR(INDEX(科目表!$A$4:$A$81,MATCH($E2364,科目表!$B$4:$B$81,0)),""))</f>
        <v/>
      </c>
      <c r="G2364" s="67" t="str">
        <f aca="false">IF($E2364="","",IFERROR(INDEX(科目表!$E$4:$E$81,MATCH($E2364,科目表!$B$4:$B$81,0)),""))</f>
        <v/>
      </c>
      <c r="H2364" s="70" t="str">
        <f aca="false">IF($E2364="","",N(INDEX(成本费用登记表!$Q$4:$Y$303,85,8)))</f>
        <v/>
      </c>
      <c r="I2364" s="70" t="str">
        <f aca="false">IF($E2364="","",N(INDEX(成本费用登记表!$Q$4:$Y$303,85,9)))</f>
        <v/>
      </c>
      <c r="J2364" s="67" t="str">
        <f aca="false">IF($E2364="","",INDEX(成本费用登记表!$C$4:$C$303,85))</f>
        <v/>
      </c>
      <c r="K2364" s="67" t="str">
        <f aca="false">IF($E2364="","",INDEX(成本费用登记表!$D$4:$D$303,85))</f>
        <v/>
      </c>
      <c r="L2364" s="107" t="str">
        <f aca="false">IF($E2364="","",INDEX(成本费用登记表!$N$4:$N$303,85))</f>
        <v/>
      </c>
      <c r="M2364" s="107"/>
      <c r="N2364" s="67" t="str">
        <f aca="false">IF($E2364="","","系统")</f>
        <v/>
      </c>
      <c r="O2364" s="67" t="str">
        <f aca="false">IF($E2364="","","自动C")</f>
        <v/>
      </c>
      <c r="P2364" s="18"/>
    </row>
    <row r="2365" customFormat="false" ht="18" hidden="false" customHeight="true" outlineLevel="0" collapsed="false">
      <c r="A2365" s="107" t="str">
        <f aca="false">IF($E2365="","",ROW()-3)</f>
        <v/>
      </c>
      <c r="B2365" s="110" t="str">
        <f aca="false">IF($E2365="","",INDEX(成本费用登记表!$B$4:$B$303,86))</f>
        <v/>
      </c>
      <c r="C2365" s="67" t="str">
        <f aca="false">IF($E2365="","","记-"&amp;TEXT($B2365,"YYYYMM")&amp;"-费用")</f>
        <v/>
      </c>
      <c r="D2365" s="107" t="str">
        <f aca="false">IF($E2365="","",INDEX(成本费用登记表!$E$4:$E$303,86))</f>
        <v/>
      </c>
      <c r="E2365" s="67" t="str">
        <f aca="false">IF(INDEX(成本费用登记表!$Q$4:$Y$303,86,1)=0,"",INDEX(成本费用登记表!$Q$4:$Y$303,86,1))</f>
        <v/>
      </c>
      <c r="F2365" s="99" t="str">
        <f aca="false">IF($E2365="","",IFERROR(INDEX(科目表!$A$4:$A$81,MATCH($E2365,科目表!$B$4:$B$81,0)),""))</f>
        <v/>
      </c>
      <c r="G2365" s="67" t="str">
        <f aca="false">IF($E2365="","",IFERROR(INDEX(科目表!$E$4:$E$81,MATCH($E2365,科目表!$B$4:$B$81,0)),""))</f>
        <v/>
      </c>
      <c r="H2365" s="70" t="str">
        <f aca="false">IF($E2365="","",N(INDEX(成本费用登记表!$Q$4:$Y$303,86,2)))</f>
        <v/>
      </c>
      <c r="I2365" s="70" t="str">
        <f aca="false">IF($E2365="","",N(INDEX(成本费用登记表!$Q$4:$Y$303,86,3)))</f>
        <v/>
      </c>
      <c r="J2365" s="67" t="str">
        <f aca="false">IF($E2365="","",INDEX(成本费用登记表!$C$4:$C$303,86))</f>
        <v/>
      </c>
      <c r="K2365" s="67" t="str">
        <f aca="false">IF($E2365="","",INDEX(成本费用登记表!$D$4:$D$303,86))</f>
        <v/>
      </c>
      <c r="L2365" s="107" t="str">
        <f aca="false">IF($E2365="","",INDEX(成本费用登记表!$N$4:$N$303,86))</f>
        <v/>
      </c>
      <c r="M2365" s="107"/>
      <c r="N2365" s="67" t="str">
        <f aca="false">IF($E2365="","","系统")</f>
        <v/>
      </c>
      <c r="O2365" s="67" t="str">
        <f aca="false">IF($E2365="","","自动C")</f>
        <v/>
      </c>
      <c r="P2365" s="18"/>
    </row>
    <row r="2366" customFormat="false" ht="18" hidden="false" customHeight="true" outlineLevel="0" collapsed="false">
      <c r="A2366" s="107" t="str">
        <f aca="false">IF($E2366="","",ROW()-3)</f>
        <v/>
      </c>
      <c r="B2366" s="110" t="str">
        <f aca="false">IF($E2366="","",INDEX(成本费用登记表!$B$4:$B$303,86))</f>
        <v/>
      </c>
      <c r="C2366" s="67" t="str">
        <f aca="false">IF($E2366="","","记-"&amp;TEXT($B2366,"YYYYMM")&amp;"-费用")</f>
        <v/>
      </c>
      <c r="D2366" s="107" t="str">
        <f aca="false">IF($E2366="","",INDEX(成本费用登记表!$E$4:$E$303,86))</f>
        <v/>
      </c>
      <c r="E2366" s="67" t="str">
        <f aca="false">IF(INDEX(成本费用登记表!$Q$4:$Y$303,86,4)=0,"",INDEX(成本费用登记表!$Q$4:$Y$303,86,4))</f>
        <v/>
      </c>
      <c r="F2366" s="99" t="str">
        <f aca="false">IF($E2366="","",IFERROR(INDEX(科目表!$A$4:$A$81,MATCH($E2366,科目表!$B$4:$B$81,0)),""))</f>
        <v/>
      </c>
      <c r="G2366" s="67" t="str">
        <f aca="false">IF($E2366="","",IFERROR(INDEX(科目表!$E$4:$E$81,MATCH($E2366,科目表!$B$4:$B$81,0)),""))</f>
        <v/>
      </c>
      <c r="H2366" s="70" t="str">
        <f aca="false">IF($E2366="","",N(INDEX(成本费用登记表!$Q$4:$Y$303,86,5)))</f>
        <v/>
      </c>
      <c r="I2366" s="70" t="str">
        <f aca="false">IF($E2366="","",N(INDEX(成本费用登记表!$Q$4:$Y$303,86,6)))</f>
        <v/>
      </c>
      <c r="J2366" s="67" t="str">
        <f aca="false">IF($E2366="","",INDEX(成本费用登记表!$C$4:$C$303,86))</f>
        <v/>
      </c>
      <c r="K2366" s="67" t="str">
        <f aca="false">IF($E2366="","",INDEX(成本费用登记表!$D$4:$D$303,86))</f>
        <v/>
      </c>
      <c r="L2366" s="107" t="str">
        <f aca="false">IF($E2366="","",INDEX(成本费用登记表!$N$4:$N$303,86))</f>
        <v/>
      </c>
      <c r="M2366" s="107"/>
      <c r="N2366" s="67" t="str">
        <f aca="false">IF($E2366="","","系统")</f>
        <v/>
      </c>
      <c r="O2366" s="67" t="str">
        <f aca="false">IF($E2366="","","自动C")</f>
        <v/>
      </c>
      <c r="P2366" s="18"/>
    </row>
    <row r="2367" customFormat="false" ht="18" hidden="false" customHeight="true" outlineLevel="0" collapsed="false">
      <c r="A2367" s="107" t="str">
        <f aca="false">IF($E2367="","",ROW()-3)</f>
        <v/>
      </c>
      <c r="B2367" s="110" t="str">
        <f aca="false">IF($E2367="","",INDEX(成本费用登记表!$B$4:$B$303,86))</f>
        <v/>
      </c>
      <c r="C2367" s="67" t="str">
        <f aca="false">IF($E2367="","","记-"&amp;TEXT($B2367,"YYYYMM")&amp;"-费用")</f>
        <v/>
      </c>
      <c r="D2367" s="107" t="str">
        <f aca="false">IF($E2367="","",INDEX(成本费用登记表!$E$4:$E$303,86))</f>
        <v/>
      </c>
      <c r="E2367" s="67" t="str">
        <f aca="false">IF(INDEX(成本费用登记表!$Q$4:$Y$303,86,7)=0,"",INDEX(成本费用登记表!$Q$4:$Y$303,86,7))</f>
        <v/>
      </c>
      <c r="F2367" s="99" t="str">
        <f aca="false">IF($E2367="","",IFERROR(INDEX(科目表!$A$4:$A$81,MATCH($E2367,科目表!$B$4:$B$81,0)),""))</f>
        <v/>
      </c>
      <c r="G2367" s="67" t="str">
        <f aca="false">IF($E2367="","",IFERROR(INDEX(科目表!$E$4:$E$81,MATCH($E2367,科目表!$B$4:$B$81,0)),""))</f>
        <v/>
      </c>
      <c r="H2367" s="70" t="str">
        <f aca="false">IF($E2367="","",N(INDEX(成本费用登记表!$Q$4:$Y$303,86,8)))</f>
        <v/>
      </c>
      <c r="I2367" s="70" t="str">
        <f aca="false">IF($E2367="","",N(INDEX(成本费用登记表!$Q$4:$Y$303,86,9)))</f>
        <v/>
      </c>
      <c r="J2367" s="67" t="str">
        <f aca="false">IF($E2367="","",INDEX(成本费用登记表!$C$4:$C$303,86))</f>
        <v/>
      </c>
      <c r="K2367" s="67" t="str">
        <f aca="false">IF($E2367="","",INDEX(成本费用登记表!$D$4:$D$303,86))</f>
        <v/>
      </c>
      <c r="L2367" s="107" t="str">
        <f aca="false">IF($E2367="","",INDEX(成本费用登记表!$N$4:$N$303,86))</f>
        <v/>
      </c>
      <c r="M2367" s="107"/>
      <c r="N2367" s="67" t="str">
        <f aca="false">IF($E2367="","","系统")</f>
        <v/>
      </c>
      <c r="O2367" s="67" t="str">
        <f aca="false">IF($E2367="","","自动C")</f>
        <v/>
      </c>
      <c r="P2367" s="18"/>
    </row>
    <row r="2368" customFormat="false" ht="18" hidden="false" customHeight="true" outlineLevel="0" collapsed="false">
      <c r="A2368" s="107" t="str">
        <f aca="false">IF($E2368="","",ROW()-3)</f>
        <v/>
      </c>
      <c r="B2368" s="110" t="str">
        <f aca="false">IF($E2368="","",INDEX(成本费用登记表!$B$4:$B$303,87))</f>
        <v/>
      </c>
      <c r="C2368" s="67" t="str">
        <f aca="false">IF($E2368="","","记-"&amp;TEXT($B2368,"YYYYMM")&amp;"-费用")</f>
        <v/>
      </c>
      <c r="D2368" s="107" t="str">
        <f aca="false">IF($E2368="","",INDEX(成本费用登记表!$E$4:$E$303,87))</f>
        <v/>
      </c>
      <c r="E2368" s="67" t="str">
        <f aca="false">IF(INDEX(成本费用登记表!$Q$4:$Y$303,87,1)=0,"",INDEX(成本费用登记表!$Q$4:$Y$303,87,1))</f>
        <v/>
      </c>
      <c r="F2368" s="99" t="str">
        <f aca="false">IF($E2368="","",IFERROR(INDEX(科目表!$A$4:$A$81,MATCH($E2368,科目表!$B$4:$B$81,0)),""))</f>
        <v/>
      </c>
      <c r="G2368" s="67" t="str">
        <f aca="false">IF($E2368="","",IFERROR(INDEX(科目表!$E$4:$E$81,MATCH($E2368,科目表!$B$4:$B$81,0)),""))</f>
        <v/>
      </c>
      <c r="H2368" s="70" t="str">
        <f aca="false">IF($E2368="","",N(INDEX(成本费用登记表!$Q$4:$Y$303,87,2)))</f>
        <v/>
      </c>
      <c r="I2368" s="70" t="str">
        <f aca="false">IF($E2368="","",N(INDEX(成本费用登记表!$Q$4:$Y$303,87,3)))</f>
        <v/>
      </c>
      <c r="J2368" s="67" t="str">
        <f aca="false">IF($E2368="","",INDEX(成本费用登记表!$C$4:$C$303,87))</f>
        <v/>
      </c>
      <c r="K2368" s="67" t="str">
        <f aca="false">IF($E2368="","",INDEX(成本费用登记表!$D$4:$D$303,87))</f>
        <v/>
      </c>
      <c r="L2368" s="107" t="str">
        <f aca="false">IF($E2368="","",INDEX(成本费用登记表!$N$4:$N$303,87))</f>
        <v/>
      </c>
      <c r="M2368" s="107"/>
      <c r="N2368" s="67" t="str">
        <f aca="false">IF($E2368="","","系统")</f>
        <v/>
      </c>
      <c r="O2368" s="67" t="str">
        <f aca="false">IF($E2368="","","自动C")</f>
        <v/>
      </c>
      <c r="P2368" s="18"/>
    </row>
    <row r="2369" customFormat="false" ht="18" hidden="false" customHeight="true" outlineLevel="0" collapsed="false">
      <c r="A2369" s="107" t="str">
        <f aca="false">IF($E2369="","",ROW()-3)</f>
        <v/>
      </c>
      <c r="B2369" s="110" t="str">
        <f aca="false">IF($E2369="","",INDEX(成本费用登记表!$B$4:$B$303,87))</f>
        <v/>
      </c>
      <c r="C2369" s="67" t="str">
        <f aca="false">IF($E2369="","","记-"&amp;TEXT($B2369,"YYYYMM")&amp;"-费用")</f>
        <v/>
      </c>
      <c r="D2369" s="107" t="str">
        <f aca="false">IF($E2369="","",INDEX(成本费用登记表!$E$4:$E$303,87))</f>
        <v/>
      </c>
      <c r="E2369" s="67" t="str">
        <f aca="false">IF(INDEX(成本费用登记表!$Q$4:$Y$303,87,4)=0,"",INDEX(成本费用登记表!$Q$4:$Y$303,87,4))</f>
        <v/>
      </c>
      <c r="F2369" s="99" t="str">
        <f aca="false">IF($E2369="","",IFERROR(INDEX(科目表!$A$4:$A$81,MATCH($E2369,科目表!$B$4:$B$81,0)),""))</f>
        <v/>
      </c>
      <c r="G2369" s="67" t="str">
        <f aca="false">IF($E2369="","",IFERROR(INDEX(科目表!$E$4:$E$81,MATCH($E2369,科目表!$B$4:$B$81,0)),""))</f>
        <v/>
      </c>
      <c r="H2369" s="70" t="str">
        <f aca="false">IF($E2369="","",N(INDEX(成本费用登记表!$Q$4:$Y$303,87,5)))</f>
        <v/>
      </c>
      <c r="I2369" s="70" t="str">
        <f aca="false">IF($E2369="","",N(INDEX(成本费用登记表!$Q$4:$Y$303,87,6)))</f>
        <v/>
      </c>
      <c r="J2369" s="67" t="str">
        <f aca="false">IF($E2369="","",INDEX(成本费用登记表!$C$4:$C$303,87))</f>
        <v/>
      </c>
      <c r="K2369" s="67" t="str">
        <f aca="false">IF($E2369="","",INDEX(成本费用登记表!$D$4:$D$303,87))</f>
        <v/>
      </c>
      <c r="L2369" s="107" t="str">
        <f aca="false">IF($E2369="","",INDEX(成本费用登记表!$N$4:$N$303,87))</f>
        <v/>
      </c>
      <c r="M2369" s="107"/>
      <c r="N2369" s="67" t="str">
        <f aca="false">IF($E2369="","","系统")</f>
        <v/>
      </c>
      <c r="O2369" s="67" t="str">
        <f aca="false">IF($E2369="","","自动C")</f>
        <v/>
      </c>
      <c r="P2369" s="18"/>
    </row>
    <row r="2370" customFormat="false" ht="18" hidden="false" customHeight="true" outlineLevel="0" collapsed="false">
      <c r="A2370" s="107" t="str">
        <f aca="false">IF($E2370="","",ROW()-3)</f>
        <v/>
      </c>
      <c r="B2370" s="110" t="str">
        <f aca="false">IF($E2370="","",INDEX(成本费用登记表!$B$4:$B$303,87))</f>
        <v/>
      </c>
      <c r="C2370" s="67" t="str">
        <f aca="false">IF($E2370="","","记-"&amp;TEXT($B2370,"YYYYMM")&amp;"-费用")</f>
        <v/>
      </c>
      <c r="D2370" s="107" t="str">
        <f aca="false">IF($E2370="","",INDEX(成本费用登记表!$E$4:$E$303,87))</f>
        <v/>
      </c>
      <c r="E2370" s="67" t="str">
        <f aca="false">IF(INDEX(成本费用登记表!$Q$4:$Y$303,87,7)=0,"",INDEX(成本费用登记表!$Q$4:$Y$303,87,7))</f>
        <v/>
      </c>
      <c r="F2370" s="99" t="str">
        <f aca="false">IF($E2370="","",IFERROR(INDEX(科目表!$A$4:$A$81,MATCH($E2370,科目表!$B$4:$B$81,0)),""))</f>
        <v/>
      </c>
      <c r="G2370" s="67" t="str">
        <f aca="false">IF($E2370="","",IFERROR(INDEX(科目表!$E$4:$E$81,MATCH($E2370,科目表!$B$4:$B$81,0)),""))</f>
        <v/>
      </c>
      <c r="H2370" s="70" t="str">
        <f aca="false">IF($E2370="","",N(INDEX(成本费用登记表!$Q$4:$Y$303,87,8)))</f>
        <v/>
      </c>
      <c r="I2370" s="70" t="str">
        <f aca="false">IF($E2370="","",N(INDEX(成本费用登记表!$Q$4:$Y$303,87,9)))</f>
        <v/>
      </c>
      <c r="J2370" s="67" t="str">
        <f aca="false">IF($E2370="","",INDEX(成本费用登记表!$C$4:$C$303,87))</f>
        <v/>
      </c>
      <c r="K2370" s="67" t="str">
        <f aca="false">IF($E2370="","",INDEX(成本费用登记表!$D$4:$D$303,87))</f>
        <v/>
      </c>
      <c r="L2370" s="107" t="str">
        <f aca="false">IF($E2370="","",INDEX(成本费用登记表!$N$4:$N$303,87))</f>
        <v/>
      </c>
      <c r="M2370" s="107"/>
      <c r="N2370" s="67" t="str">
        <f aca="false">IF($E2370="","","系统")</f>
        <v/>
      </c>
      <c r="O2370" s="67" t="str">
        <f aca="false">IF($E2370="","","自动C")</f>
        <v/>
      </c>
      <c r="P2370" s="18"/>
    </row>
    <row r="2371" customFormat="false" ht="18" hidden="false" customHeight="true" outlineLevel="0" collapsed="false">
      <c r="A2371" s="107" t="str">
        <f aca="false">IF($E2371="","",ROW()-3)</f>
        <v/>
      </c>
      <c r="B2371" s="110" t="str">
        <f aca="false">IF($E2371="","",INDEX(成本费用登记表!$B$4:$B$303,88))</f>
        <v/>
      </c>
      <c r="C2371" s="67" t="str">
        <f aca="false">IF($E2371="","","记-"&amp;TEXT($B2371,"YYYYMM")&amp;"-费用")</f>
        <v/>
      </c>
      <c r="D2371" s="107" t="str">
        <f aca="false">IF($E2371="","",INDEX(成本费用登记表!$E$4:$E$303,88))</f>
        <v/>
      </c>
      <c r="E2371" s="67" t="str">
        <f aca="false">IF(INDEX(成本费用登记表!$Q$4:$Y$303,88,1)=0,"",INDEX(成本费用登记表!$Q$4:$Y$303,88,1))</f>
        <v/>
      </c>
      <c r="F2371" s="99" t="str">
        <f aca="false">IF($E2371="","",IFERROR(INDEX(科目表!$A$4:$A$81,MATCH($E2371,科目表!$B$4:$B$81,0)),""))</f>
        <v/>
      </c>
      <c r="G2371" s="67" t="str">
        <f aca="false">IF($E2371="","",IFERROR(INDEX(科目表!$E$4:$E$81,MATCH($E2371,科目表!$B$4:$B$81,0)),""))</f>
        <v/>
      </c>
      <c r="H2371" s="70" t="str">
        <f aca="false">IF($E2371="","",N(INDEX(成本费用登记表!$Q$4:$Y$303,88,2)))</f>
        <v/>
      </c>
      <c r="I2371" s="70" t="str">
        <f aca="false">IF($E2371="","",N(INDEX(成本费用登记表!$Q$4:$Y$303,88,3)))</f>
        <v/>
      </c>
      <c r="J2371" s="67" t="str">
        <f aca="false">IF($E2371="","",INDEX(成本费用登记表!$C$4:$C$303,88))</f>
        <v/>
      </c>
      <c r="K2371" s="67" t="str">
        <f aca="false">IF($E2371="","",INDEX(成本费用登记表!$D$4:$D$303,88))</f>
        <v/>
      </c>
      <c r="L2371" s="107" t="str">
        <f aca="false">IF($E2371="","",INDEX(成本费用登记表!$N$4:$N$303,88))</f>
        <v/>
      </c>
      <c r="M2371" s="107"/>
      <c r="N2371" s="67" t="str">
        <f aca="false">IF($E2371="","","系统")</f>
        <v/>
      </c>
      <c r="O2371" s="67" t="str">
        <f aca="false">IF($E2371="","","自动C")</f>
        <v/>
      </c>
      <c r="P2371" s="18"/>
    </row>
    <row r="2372" customFormat="false" ht="18" hidden="false" customHeight="true" outlineLevel="0" collapsed="false">
      <c r="A2372" s="107" t="str">
        <f aca="false">IF($E2372="","",ROW()-3)</f>
        <v/>
      </c>
      <c r="B2372" s="110" t="str">
        <f aca="false">IF($E2372="","",INDEX(成本费用登记表!$B$4:$B$303,88))</f>
        <v/>
      </c>
      <c r="C2372" s="67" t="str">
        <f aca="false">IF($E2372="","","记-"&amp;TEXT($B2372,"YYYYMM")&amp;"-费用")</f>
        <v/>
      </c>
      <c r="D2372" s="107" t="str">
        <f aca="false">IF($E2372="","",INDEX(成本费用登记表!$E$4:$E$303,88))</f>
        <v/>
      </c>
      <c r="E2372" s="67" t="str">
        <f aca="false">IF(INDEX(成本费用登记表!$Q$4:$Y$303,88,4)=0,"",INDEX(成本费用登记表!$Q$4:$Y$303,88,4))</f>
        <v/>
      </c>
      <c r="F2372" s="99" t="str">
        <f aca="false">IF($E2372="","",IFERROR(INDEX(科目表!$A$4:$A$81,MATCH($E2372,科目表!$B$4:$B$81,0)),""))</f>
        <v/>
      </c>
      <c r="G2372" s="67" t="str">
        <f aca="false">IF($E2372="","",IFERROR(INDEX(科目表!$E$4:$E$81,MATCH($E2372,科目表!$B$4:$B$81,0)),""))</f>
        <v/>
      </c>
      <c r="H2372" s="70" t="str">
        <f aca="false">IF($E2372="","",N(INDEX(成本费用登记表!$Q$4:$Y$303,88,5)))</f>
        <v/>
      </c>
      <c r="I2372" s="70" t="str">
        <f aca="false">IF($E2372="","",N(INDEX(成本费用登记表!$Q$4:$Y$303,88,6)))</f>
        <v/>
      </c>
      <c r="J2372" s="67" t="str">
        <f aca="false">IF($E2372="","",INDEX(成本费用登记表!$C$4:$C$303,88))</f>
        <v/>
      </c>
      <c r="K2372" s="67" t="str">
        <f aca="false">IF($E2372="","",INDEX(成本费用登记表!$D$4:$D$303,88))</f>
        <v/>
      </c>
      <c r="L2372" s="107" t="str">
        <f aca="false">IF($E2372="","",INDEX(成本费用登记表!$N$4:$N$303,88))</f>
        <v/>
      </c>
      <c r="M2372" s="107"/>
      <c r="N2372" s="67" t="str">
        <f aca="false">IF($E2372="","","系统")</f>
        <v/>
      </c>
      <c r="O2372" s="67" t="str">
        <f aca="false">IF($E2372="","","自动C")</f>
        <v/>
      </c>
      <c r="P2372" s="18"/>
    </row>
    <row r="2373" customFormat="false" ht="18" hidden="false" customHeight="true" outlineLevel="0" collapsed="false">
      <c r="A2373" s="107" t="str">
        <f aca="false">IF($E2373="","",ROW()-3)</f>
        <v/>
      </c>
      <c r="B2373" s="110" t="str">
        <f aca="false">IF($E2373="","",INDEX(成本费用登记表!$B$4:$B$303,88))</f>
        <v/>
      </c>
      <c r="C2373" s="67" t="str">
        <f aca="false">IF($E2373="","","记-"&amp;TEXT($B2373,"YYYYMM")&amp;"-费用")</f>
        <v/>
      </c>
      <c r="D2373" s="107" t="str">
        <f aca="false">IF($E2373="","",INDEX(成本费用登记表!$E$4:$E$303,88))</f>
        <v/>
      </c>
      <c r="E2373" s="67" t="str">
        <f aca="false">IF(INDEX(成本费用登记表!$Q$4:$Y$303,88,7)=0,"",INDEX(成本费用登记表!$Q$4:$Y$303,88,7))</f>
        <v/>
      </c>
      <c r="F2373" s="99" t="str">
        <f aca="false">IF($E2373="","",IFERROR(INDEX(科目表!$A$4:$A$81,MATCH($E2373,科目表!$B$4:$B$81,0)),""))</f>
        <v/>
      </c>
      <c r="G2373" s="67" t="str">
        <f aca="false">IF($E2373="","",IFERROR(INDEX(科目表!$E$4:$E$81,MATCH($E2373,科目表!$B$4:$B$81,0)),""))</f>
        <v/>
      </c>
      <c r="H2373" s="70" t="str">
        <f aca="false">IF($E2373="","",N(INDEX(成本费用登记表!$Q$4:$Y$303,88,8)))</f>
        <v/>
      </c>
      <c r="I2373" s="70" t="str">
        <f aca="false">IF($E2373="","",N(INDEX(成本费用登记表!$Q$4:$Y$303,88,9)))</f>
        <v/>
      </c>
      <c r="J2373" s="67" t="str">
        <f aca="false">IF($E2373="","",INDEX(成本费用登记表!$C$4:$C$303,88))</f>
        <v/>
      </c>
      <c r="K2373" s="67" t="str">
        <f aca="false">IF($E2373="","",INDEX(成本费用登记表!$D$4:$D$303,88))</f>
        <v/>
      </c>
      <c r="L2373" s="107" t="str">
        <f aca="false">IF($E2373="","",INDEX(成本费用登记表!$N$4:$N$303,88))</f>
        <v/>
      </c>
      <c r="M2373" s="107"/>
      <c r="N2373" s="67" t="str">
        <f aca="false">IF($E2373="","","系统")</f>
        <v/>
      </c>
      <c r="O2373" s="67" t="str">
        <f aca="false">IF($E2373="","","自动C")</f>
        <v/>
      </c>
      <c r="P2373" s="18"/>
    </row>
    <row r="2374" customFormat="false" ht="18" hidden="false" customHeight="true" outlineLevel="0" collapsed="false">
      <c r="A2374" s="107" t="str">
        <f aca="false">IF($E2374="","",ROW()-3)</f>
        <v/>
      </c>
      <c r="B2374" s="110" t="str">
        <f aca="false">IF($E2374="","",INDEX(成本费用登记表!$B$4:$B$303,89))</f>
        <v/>
      </c>
      <c r="C2374" s="67" t="str">
        <f aca="false">IF($E2374="","","记-"&amp;TEXT($B2374,"YYYYMM")&amp;"-费用")</f>
        <v/>
      </c>
      <c r="D2374" s="107" t="str">
        <f aca="false">IF($E2374="","",INDEX(成本费用登记表!$E$4:$E$303,89))</f>
        <v/>
      </c>
      <c r="E2374" s="67" t="str">
        <f aca="false">IF(INDEX(成本费用登记表!$Q$4:$Y$303,89,1)=0,"",INDEX(成本费用登记表!$Q$4:$Y$303,89,1))</f>
        <v/>
      </c>
      <c r="F2374" s="99" t="str">
        <f aca="false">IF($E2374="","",IFERROR(INDEX(科目表!$A$4:$A$81,MATCH($E2374,科目表!$B$4:$B$81,0)),""))</f>
        <v/>
      </c>
      <c r="G2374" s="67" t="str">
        <f aca="false">IF($E2374="","",IFERROR(INDEX(科目表!$E$4:$E$81,MATCH($E2374,科目表!$B$4:$B$81,0)),""))</f>
        <v/>
      </c>
      <c r="H2374" s="70" t="str">
        <f aca="false">IF($E2374="","",N(INDEX(成本费用登记表!$Q$4:$Y$303,89,2)))</f>
        <v/>
      </c>
      <c r="I2374" s="70" t="str">
        <f aca="false">IF($E2374="","",N(INDEX(成本费用登记表!$Q$4:$Y$303,89,3)))</f>
        <v/>
      </c>
      <c r="J2374" s="67" t="str">
        <f aca="false">IF($E2374="","",INDEX(成本费用登记表!$C$4:$C$303,89))</f>
        <v/>
      </c>
      <c r="K2374" s="67" t="str">
        <f aca="false">IF($E2374="","",INDEX(成本费用登记表!$D$4:$D$303,89))</f>
        <v/>
      </c>
      <c r="L2374" s="107" t="str">
        <f aca="false">IF($E2374="","",INDEX(成本费用登记表!$N$4:$N$303,89))</f>
        <v/>
      </c>
      <c r="M2374" s="107"/>
      <c r="N2374" s="67" t="str">
        <f aca="false">IF($E2374="","","系统")</f>
        <v/>
      </c>
      <c r="O2374" s="67" t="str">
        <f aca="false">IF($E2374="","","自动C")</f>
        <v/>
      </c>
      <c r="P2374" s="18"/>
    </row>
    <row r="2375" customFormat="false" ht="18" hidden="false" customHeight="true" outlineLevel="0" collapsed="false">
      <c r="A2375" s="107" t="str">
        <f aca="false">IF($E2375="","",ROW()-3)</f>
        <v/>
      </c>
      <c r="B2375" s="110" t="str">
        <f aca="false">IF($E2375="","",INDEX(成本费用登记表!$B$4:$B$303,89))</f>
        <v/>
      </c>
      <c r="C2375" s="67" t="str">
        <f aca="false">IF($E2375="","","记-"&amp;TEXT($B2375,"YYYYMM")&amp;"-费用")</f>
        <v/>
      </c>
      <c r="D2375" s="107" t="str">
        <f aca="false">IF($E2375="","",INDEX(成本费用登记表!$E$4:$E$303,89))</f>
        <v/>
      </c>
      <c r="E2375" s="67" t="str">
        <f aca="false">IF(INDEX(成本费用登记表!$Q$4:$Y$303,89,4)=0,"",INDEX(成本费用登记表!$Q$4:$Y$303,89,4))</f>
        <v/>
      </c>
      <c r="F2375" s="99" t="str">
        <f aca="false">IF($E2375="","",IFERROR(INDEX(科目表!$A$4:$A$81,MATCH($E2375,科目表!$B$4:$B$81,0)),""))</f>
        <v/>
      </c>
      <c r="G2375" s="67" t="str">
        <f aca="false">IF($E2375="","",IFERROR(INDEX(科目表!$E$4:$E$81,MATCH($E2375,科目表!$B$4:$B$81,0)),""))</f>
        <v/>
      </c>
      <c r="H2375" s="70" t="str">
        <f aca="false">IF($E2375="","",N(INDEX(成本费用登记表!$Q$4:$Y$303,89,5)))</f>
        <v/>
      </c>
      <c r="I2375" s="70" t="str">
        <f aca="false">IF($E2375="","",N(INDEX(成本费用登记表!$Q$4:$Y$303,89,6)))</f>
        <v/>
      </c>
      <c r="J2375" s="67" t="str">
        <f aca="false">IF($E2375="","",INDEX(成本费用登记表!$C$4:$C$303,89))</f>
        <v/>
      </c>
      <c r="K2375" s="67" t="str">
        <f aca="false">IF($E2375="","",INDEX(成本费用登记表!$D$4:$D$303,89))</f>
        <v/>
      </c>
      <c r="L2375" s="107" t="str">
        <f aca="false">IF($E2375="","",INDEX(成本费用登记表!$N$4:$N$303,89))</f>
        <v/>
      </c>
      <c r="M2375" s="107"/>
      <c r="N2375" s="67" t="str">
        <f aca="false">IF($E2375="","","系统")</f>
        <v/>
      </c>
      <c r="O2375" s="67" t="str">
        <f aca="false">IF($E2375="","","自动C")</f>
        <v/>
      </c>
      <c r="P2375" s="18"/>
    </row>
    <row r="2376" customFormat="false" ht="18" hidden="false" customHeight="true" outlineLevel="0" collapsed="false">
      <c r="A2376" s="107" t="str">
        <f aca="false">IF($E2376="","",ROW()-3)</f>
        <v/>
      </c>
      <c r="B2376" s="110" t="str">
        <f aca="false">IF($E2376="","",INDEX(成本费用登记表!$B$4:$B$303,89))</f>
        <v/>
      </c>
      <c r="C2376" s="67" t="str">
        <f aca="false">IF($E2376="","","记-"&amp;TEXT($B2376,"YYYYMM")&amp;"-费用")</f>
        <v/>
      </c>
      <c r="D2376" s="107" t="str">
        <f aca="false">IF($E2376="","",INDEX(成本费用登记表!$E$4:$E$303,89))</f>
        <v/>
      </c>
      <c r="E2376" s="67" t="str">
        <f aca="false">IF(INDEX(成本费用登记表!$Q$4:$Y$303,89,7)=0,"",INDEX(成本费用登记表!$Q$4:$Y$303,89,7))</f>
        <v/>
      </c>
      <c r="F2376" s="99" t="str">
        <f aca="false">IF($E2376="","",IFERROR(INDEX(科目表!$A$4:$A$81,MATCH($E2376,科目表!$B$4:$B$81,0)),""))</f>
        <v/>
      </c>
      <c r="G2376" s="67" t="str">
        <f aca="false">IF($E2376="","",IFERROR(INDEX(科目表!$E$4:$E$81,MATCH($E2376,科目表!$B$4:$B$81,0)),""))</f>
        <v/>
      </c>
      <c r="H2376" s="70" t="str">
        <f aca="false">IF($E2376="","",N(INDEX(成本费用登记表!$Q$4:$Y$303,89,8)))</f>
        <v/>
      </c>
      <c r="I2376" s="70" t="str">
        <f aca="false">IF($E2376="","",N(INDEX(成本费用登记表!$Q$4:$Y$303,89,9)))</f>
        <v/>
      </c>
      <c r="J2376" s="67" t="str">
        <f aca="false">IF($E2376="","",INDEX(成本费用登记表!$C$4:$C$303,89))</f>
        <v/>
      </c>
      <c r="K2376" s="67" t="str">
        <f aca="false">IF($E2376="","",INDEX(成本费用登记表!$D$4:$D$303,89))</f>
        <v/>
      </c>
      <c r="L2376" s="107" t="str">
        <f aca="false">IF($E2376="","",INDEX(成本费用登记表!$N$4:$N$303,89))</f>
        <v/>
      </c>
      <c r="M2376" s="107"/>
      <c r="N2376" s="67" t="str">
        <f aca="false">IF($E2376="","","系统")</f>
        <v/>
      </c>
      <c r="O2376" s="67" t="str">
        <f aca="false">IF($E2376="","","自动C")</f>
        <v/>
      </c>
      <c r="P2376" s="18"/>
    </row>
    <row r="2377" customFormat="false" ht="18" hidden="false" customHeight="true" outlineLevel="0" collapsed="false">
      <c r="A2377" s="107" t="str">
        <f aca="false">IF($E2377="","",ROW()-3)</f>
        <v/>
      </c>
      <c r="B2377" s="110" t="str">
        <f aca="false">IF($E2377="","",INDEX(成本费用登记表!$B$4:$B$303,90))</f>
        <v/>
      </c>
      <c r="C2377" s="67" t="str">
        <f aca="false">IF($E2377="","","记-"&amp;TEXT($B2377,"YYYYMM")&amp;"-费用")</f>
        <v/>
      </c>
      <c r="D2377" s="107" t="str">
        <f aca="false">IF($E2377="","",INDEX(成本费用登记表!$E$4:$E$303,90))</f>
        <v/>
      </c>
      <c r="E2377" s="67" t="str">
        <f aca="false">IF(INDEX(成本费用登记表!$Q$4:$Y$303,90,1)=0,"",INDEX(成本费用登记表!$Q$4:$Y$303,90,1))</f>
        <v/>
      </c>
      <c r="F2377" s="99" t="str">
        <f aca="false">IF($E2377="","",IFERROR(INDEX(科目表!$A$4:$A$81,MATCH($E2377,科目表!$B$4:$B$81,0)),""))</f>
        <v/>
      </c>
      <c r="G2377" s="67" t="str">
        <f aca="false">IF($E2377="","",IFERROR(INDEX(科目表!$E$4:$E$81,MATCH($E2377,科目表!$B$4:$B$81,0)),""))</f>
        <v/>
      </c>
      <c r="H2377" s="70" t="str">
        <f aca="false">IF($E2377="","",N(INDEX(成本费用登记表!$Q$4:$Y$303,90,2)))</f>
        <v/>
      </c>
      <c r="I2377" s="70" t="str">
        <f aca="false">IF($E2377="","",N(INDEX(成本费用登记表!$Q$4:$Y$303,90,3)))</f>
        <v/>
      </c>
      <c r="J2377" s="67" t="str">
        <f aca="false">IF($E2377="","",INDEX(成本费用登记表!$C$4:$C$303,90))</f>
        <v/>
      </c>
      <c r="K2377" s="67" t="str">
        <f aca="false">IF($E2377="","",INDEX(成本费用登记表!$D$4:$D$303,90))</f>
        <v/>
      </c>
      <c r="L2377" s="107" t="str">
        <f aca="false">IF($E2377="","",INDEX(成本费用登记表!$N$4:$N$303,90))</f>
        <v/>
      </c>
      <c r="M2377" s="107"/>
      <c r="N2377" s="67" t="str">
        <f aca="false">IF($E2377="","","系统")</f>
        <v/>
      </c>
      <c r="O2377" s="67" t="str">
        <f aca="false">IF($E2377="","","自动C")</f>
        <v/>
      </c>
      <c r="P2377" s="18"/>
    </row>
    <row r="2378" customFormat="false" ht="18" hidden="false" customHeight="true" outlineLevel="0" collapsed="false">
      <c r="A2378" s="107" t="str">
        <f aca="false">IF($E2378="","",ROW()-3)</f>
        <v/>
      </c>
      <c r="B2378" s="110" t="str">
        <f aca="false">IF($E2378="","",INDEX(成本费用登记表!$B$4:$B$303,90))</f>
        <v/>
      </c>
      <c r="C2378" s="67" t="str">
        <f aca="false">IF($E2378="","","记-"&amp;TEXT($B2378,"YYYYMM")&amp;"-费用")</f>
        <v/>
      </c>
      <c r="D2378" s="107" t="str">
        <f aca="false">IF($E2378="","",INDEX(成本费用登记表!$E$4:$E$303,90))</f>
        <v/>
      </c>
      <c r="E2378" s="67" t="str">
        <f aca="false">IF(INDEX(成本费用登记表!$Q$4:$Y$303,90,4)=0,"",INDEX(成本费用登记表!$Q$4:$Y$303,90,4))</f>
        <v/>
      </c>
      <c r="F2378" s="99" t="str">
        <f aca="false">IF($E2378="","",IFERROR(INDEX(科目表!$A$4:$A$81,MATCH($E2378,科目表!$B$4:$B$81,0)),""))</f>
        <v/>
      </c>
      <c r="G2378" s="67" t="str">
        <f aca="false">IF($E2378="","",IFERROR(INDEX(科目表!$E$4:$E$81,MATCH($E2378,科目表!$B$4:$B$81,0)),""))</f>
        <v/>
      </c>
      <c r="H2378" s="70" t="str">
        <f aca="false">IF($E2378="","",N(INDEX(成本费用登记表!$Q$4:$Y$303,90,5)))</f>
        <v/>
      </c>
      <c r="I2378" s="70" t="str">
        <f aca="false">IF($E2378="","",N(INDEX(成本费用登记表!$Q$4:$Y$303,90,6)))</f>
        <v/>
      </c>
      <c r="J2378" s="67" t="str">
        <f aca="false">IF($E2378="","",INDEX(成本费用登记表!$C$4:$C$303,90))</f>
        <v/>
      </c>
      <c r="K2378" s="67" t="str">
        <f aca="false">IF($E2378="","",INDEX(成本费用登记表!$D$4:$D$303,90))</f>
        <v/>
      </c>
      <c r="L2378" s="107" t="str">
        <f aca="false">IF($E2378="","",INDEX(成本费用登记表!$N$4:$N$303,90))</f>
        <v/>
      </c>
      <c r="M2378" s="107"/>
      <c r="N2378" s="67" t="str">
        <f aca="false">IF($E2378="","","系统")</f>
        <v/>
      </c>
      <c r="O2378" s="67" t="str">
        <f aca="false">IF($E2378="","","自动C")</f>
        <v/>
      </c>
      <c r="P2378" s="18"/>
    </row>
    <row r="2379" customFormat="false" ht="18" hidden="false" customHeight="true" outlineLevel="0" collapsed="false">
      <c r="A2379" s="107" t="str">
        <f aca="false">IF($E2379="","",ROW()-3)</f>
        <v/>
      </c>
      <c r="B2379" s="110" t="str">
        <f aca="false">IF($E2379="","",INDEX(成本费用登记表!$B$4:$B$303,90))</f>
        <v/>
      </c>
      <c r="C2379" s="67" t="str">
        <f aca="false">IF($E2379="","","记-"&amp;TEXT($B2379,"YYYYMM")&amp;"-费用")</f>
        <v/>
      </c>
      <c r="D2379" s="107" t="str">
        <f aca="false">IF($E2379="","",INDEX(成本费用登记表!$E$4:$E$303,90))</f>
        <v/>
      </c>
      <c r="E2379" s="67" t="str">
        <f aca="false">IF(INDEX(成本费用登记表!$Q$4:$Y$303,90,7)=0,"",INDEX(成本费用登记表!$Q$4:$Y$303,90,7))</f>
        <v/>
      </c>
      <c r="F2379" s="99" t="str">
        <f aca="false">IF($E2379="","",IFERROR(INDEX(科目表!$A$4:$A$81,MATCH($E2379,科目表!$B$4:$B$81,0)),""))</f>
        <v/>
      </c>
      <c r="G2379" s="67" t="str">
        <f aca="false">IF($E2379="","",IFERROR(INDEX(科目表!$E$4:$E$81,MATCH($E2379,科目表!$B$4:$B$81,0)),""))</f>
        <v/>
      </c>
      <c r="H2379" s="70" t="str">
        <f aca="false">IF($E2379="","",N(INDEX(成本费用登记表!$Q$4:$Y$303,90,8)))</f>
        <v/>
      </c>
      <c r="I2379" s="70" t="str">
        <f aca="false">IF($E2379="","",N(INDEX(成本费用登记表!$Q$4:$Y$303,90,9)))</f>
        <v/>
      </c>
      <c r="J2379" s="67" t="str">
        <f aca="false">IF($E2379="","",INDEX(成本费用登记表!$C$4:$C$303,90))</f>
        <v/>
      </c>
      <c r="K2379" s="67" t="str">
        <f aca="false">IF($E2379="","",INDEX(成本费用登记表!$D$4:$D$303,90))</f>
        <v/>
      </c>
      <c r="L2379" s="107" t="str">
        <f aca="false">IF($E2379="","",INDEX(成本费用登记表!$N$4:$N$303,90))</f>
        <v/>
      </c>
      <c r="M2379" s="107"/>
      <c r="N2379" s="67" t="str">
        <f aca="false">IF($E2379="","","系统")</f>
        <v/>
      </c>
      <c r="O2379" s="67" t="str">
        <f aca="false">IF($E2379="","","自动C")</f>
        <v/>
      </c>
      <c r="P2379" s="18"/>
    </row>
    <row r="2380" customFormat="false" ht="18" hidden="false" customHeight="true" outlineLevel="0" collapsed="false">
      <c r="A2380" s="107" t="str">
        <f aca="false">IF($E2380="","",ROW()-3)</f>
        <v/>
      </c>
      <c r="B2380" s="110" t="str">
        <f aca="false">IF($E2380="","",INDEX(成本费用登记表!$B$4:$B$303,91))</f>
        <v/>
      </c>
      <c r="C2380" s="67" t="str">
        <f aca="false">IF($E2380="","","记-"&amp;TEXT($B2380,"YYYYMM")&amp;"-费用")</f>
        <v/>
      </c>
      <c r="D2380" s="107" t="str">
        <f aca="false">IF($E2380="","",INDEX(成本费用登记表!$E$4:$E$303,91))</f>
        <v/>
      </c>
      <c r="E2380" s="67" t="str">
        <f aca="false">IF(INDEX(成本费用登记表!$Q$4:$Y$303,91,1)=0,"",INDEX(成本费用登记表!$Q$4:$Y$303,91,1))</f>
        <v/>
      </c>
      <c r="F2380" s="99" t="str">
        <f aca="false">IF($E2380="","",IFERROR(INDEX(科目表!$A$4:$A$81,MATCH($E2380,科目表!$B$4:$B$81,0)),""))</f>
        <v/>
      </c>
      <c r="G2380" s="67" t="str">
        <f aca="false">IF($E2380="","",IFERROR(INDEX(科目表!$E$4:$E$81,MATCH($E2380,科目表!$B$4:$B$81,0)),""))</f>
        <v/>
      </c>
      <c r="H2380" s="70" t="str">
        <f aca="false">IF($E2380="","",N(INDEX(成本费用登记表!$Q$4:$Y$303,91,2)))</f>
        <v/>
      </c>
      <c r="I2380" s="70" t="str">
        <f aca="false">IF($E2380="","",N(INDEX(成本费用登记表!$Q$4:$Y$303,91,3)))</f>
        <v/>
      </c>
      <c r="J2380" s="67" t="str">
        <f aca="false">IF($E2380="","",INDEX(成本费用登记表!$C$4:$C$303,91))</f>
        <v/>
      </c>
      <c r="K2380" s="67" t="str">
        <f aca="false">IF($E2380="","",INDEX(成本费用登记表!$D$4:$D$303,91))</f>
        <v/>
      </c>
      <c r="L2380" s="107" t="str">
        <f aca="false">IF($E2380="","",INDEX(成本费用登记表!$N$4:$N$303,91))</f>
        <v/>
      </c>
      <c r="M2380" s="107"/>
      <c r="N2380" s="67" t="str">
        <f aca="false">IF($E2380="","","系统")</f>
        <v/>
      </c>
      <c r="O2380" s="67" t="str">
        <f aca="false">IF($E2380="","","自动C")</f>
        <v/>
      </c>
      <c r="P2380" s="18"/>
    </row>
    <row r="2381" customFormat="false" ht="18" hidden="false" customHeight="true" outlineLevel="0" collapsed="false">
      <c r="A2381" s="107" t="str">
        <f aca="false">IF($E2381="","",ROW()-3)</f>
        <v/>
      </c>
      <c r="B2381" s="110" t="str">
        <f aca="false">IF($E2381="","",INDEX(成本费用登记表!$B$4:$B$303,91))</f>
        <v/>
      </c>
      <c r="C2381" s="67" t="str">
        <f aca="false">IF($E2381="","","记-"&amp;TEXT($B2381,"YYYYMM")&amp;"-费用")</f>
        <v/>
      </c>
      <c r="D2381" s="107" t="str">
        <f aca="false">IF($E2381="","",INDEX(成本费用登记表!$E$4:$E$303,91))</f>
        <v/>
      </c>
      <c r="E2381" s="67" t="str">
        <f aca="false">IF(INDEX(成本费用登记表!$Q$4:$Y$303,91,4)=0,"",INDEX(成本费用登记表!$Q$4:$Y$303,91,4))</f>
        <v/>
      </c>
      <c r="F2381" s="99" t="str">
        <f aca="false">IF($E2381="","",IFERROR(INDEX(科目表!$A$4:$A$81,MATCH($E2381,科目表!$B$4:$B$81,0)),""))</f>
        <v/>
      </c>
      <c r="G2381" s="67" t="str">
        <f aca="false">IF($E2381="","",IFERROR(INDEX(科目表!$E$4:$E$81,MATCH($E2381,科目表!$B$4:$B$81,0)),""))</f>
        <v/>
      </c>
      <c r="H2381" s="70" t="str">
        <f aca="false">IF($E2381="","",N(INDEX(成本费用登记表!$Q$4:$Y$303,91,5)))</f>
        <v/>
      </c>
      <c r="I2381" s="70" t="str">
        <f aca="false">IF($E2381="","",N(INDEX(成本费用登记表!$Q$4:$Y$303,91,6)))</f>
        <v/>
      </c>
      <c r="J2381" s="67" t="str">
        <f aca="false">IF($E2381="","",INDEX(成本费用登记表!$C$4:$C$303,91))</f>
        <v/>
      </c>
      <c r="K2381" s="67" t="str">
        <f aca="false">IF($E2381="","",INDEX(成本费用登记表!$D$4:$D$303,91))</f>
        <v/>
      </c>
      <c r="L2381" s="107" t="str">
        <f aca="false">IF($E2381="","",INDEX(成本费用登记表!$N$4:$N$303,91))</f>
        <v/>
      </c>
      <c r="M2381" s="107"/>
      <c r="N2381" s="67" t="str">
        <f aca="false">IF($E2381="","","系统")</f>
        <v/>
      </c>
      <c r="O2381" s="67" t="str">
        <f aca="false">IF($E2381="","","自动C")</f>
        <v/>
      </c>
      <c r="P2381" s="18"/>
    </row>
    <row r="2382" customFormat="false" ht="18" hidden="false" customHeight="true" outlineLevel="0" collapsed="false">
      <c r="A2382" s="107" t="str">
        <f aca="false">IF($E2382="","",ROW()-3)</f>
        <v/>
      </c>
      <c r="B2382" s="110" t="str">
        <f aca="false">IF($E2382="","",INDEX(成本费用登记表!$B$4:$B$303,91))</f>
        <v/>
      </c>
      <c r="C2382" s="67" t="str">
        <f aca="false">IF($E2382="","","记-"&amp;TEXT($B2382,"YYYYMM")&amp;"-费用")</f>
        <v/>
      </c>
      <c r="D2382" s="107" t="str">
        <f aca="false">IF($E2382="","",INDEX(成本费用登记表!$E$4:$E$303,91))</f>
        <v/>
      </c>
      <c r="E2382" s="67" t="str">
        <f aca="false">IF(INDEX(成本费用登记表!$Q$4:$Y$303,91,7)=0,"",INDEX(成本费用登记表!$Q$4:$Y$303,91,7))</f>
        <v/>
      </c>
      <c r="F2382" s="99" t="str">
        <f aca="false">IF($E2382="","",IFERROR(INDEX(科目表!$A$4:$A$81,MATCH($E2382,科目表!$B$4:$B$81,0)),""))</f>
        <v/>
      </c>
      <c r="G2382" s="67" t="str">
        <f aca="false">IF($E2382="","",IFERROR(INDEX(科目表!$E$4:$E$81,MATCH($E2382,科目表!$B$4:$B$81,0)),""))</f>
        <v/>
      </c>
      <c r="H2382" s="70" t="str">
        <f aca="false">IF($E2382="","",N(INDEX(成本费用登记表!$Q$4:$Y$303,91,8)))</f>
        <v/>
      </c>
      <c r="I2382" s="70" t="str">
        <f aca="false">IF($E2382="","",N(INDEX(成本费用登记表!$Q$4:$Y$303,91,9)))</f>
        <v/>
      </c>
      <c r="J2382" s="67" t="str">
        <f aca="false">IF($E2382="","",INDEX(成本费用登记表!$C$4:$C$303,91))</f>
        <v/>
      </c>
      <c r="K2382" s="67" t="str">
        <f aca="false">IF($E2382="","",INDEX(成本费用登记表!$D$4:$D$303,91))</f>
        <v/>
      </c>
      <c r="L2382" s="107" t="str">
        <f aca="false">IF($E2382="","",INDEX(成本费用登记表!$N$4:$N$303,91))</f>
        <v/>
      </c>
      <c r="M2382" s="107"/>
      <c r="N2382" s="67" t="str">
        <f aca="false">IF($E2382="","","系统")</f>
        <v/>
      </c>
      <c r="O2382" s="67" t="str">
        <f aca="false">IF($E2382="","","自动C")</f>
        <v/>
      </c>
      <c r="P2382" s="18"/>
    </row>
    <row r="2383" customFormat="false" ht="18" hidden="false" customHeight="true" outlineLevel="0" collapsed="false">
      <c r="A2383" s="107" t="str">
        <f aca="false">IF($E2383="","",ROW()-3)</f>
        <v/>
      </c>
      <c r="B2383" s="110" t="str">
        <f aca="false">IF($E2383="","",INDEX(成本费用登记表!$B$4:$B$303,92))</f>
        <v/>
      </c>
      <c r="C2383" s="67" t="str">
        <f aca="false">IF($E2383="","","记-"&amp;TEXT($B2383,"YYYYMM")&amp;"-费用")</f>
        <v/>
      </c>
      <c r="D2383" s="107" t="str">
        <f aca="false">IF($E2383="","",INDEX(成本费用登记表!$E$4:$E$303,92))</f>
        <v/>
      </c>
      <c r="E2383" s="67" t="str">
        <f aca="false">IF(INDEX(成本费用登记表!$Q$4:$Y$303,92,1)=0,"",INDEX(成本费用登记表!$Q$4:$Y$303,92,1))</f>
        <v/>
      </c>
      <c r="F2383" s="99" t="str">
        <f aca="false">IF($E2383="","",IFERROR(INDEX(科目表!$A$4:$A$81,MATCH($E2383,科目表!$B$4:$B$81,0)),""))</f>
        <v/>
      </c>
      <c r="G2383" s="67" t="str">
        <f aca="false">IF($E2383="","",IFERROR(INDEX(科目表!$E$4:$E$81,MATCH($E2383,科目表!$B$4:$B$81,0)),""))</f>
        <v/>
      </c>
      <c r="H2383" s="70" t="str">
        <f aca="false">IF($E2383="","",N(INDEX(成本费用登记表!$Q$4:$Y$303,92,2)))</f>
        <v/>
      </c>
      <c r="I2383" s="70" t="str">
        <f aca="false">IF($E2383="","",N(INDEX(成本费用登记表!$Q$4:$Y$303,92,3)))</f>
        <v/>
      </c>
      <c r="J2383" s="67" t="str">
        <f aca="false">IF($E2383="","",INDEX(成本费用登记表!$C$4:$C$303,92))</f>
        <v/>
      </c>
      <c r="K2383" s="67" t="str">
        <f aca="false">IF($E2383="","",INDEX(成本费用登记表!$D$4:$D$303,92))</f>
        <v/>
      </c>
      <c r="L2383" s="107" t="str">
        <f aca="false">IF($E2383="","",INDEX(成本费用登记表!$N$4:$N$303,92))</f>
        <v/>
      </c>
      <c r="M2383" s="107"/>
      <c r="N2383" s="67" t="str">
        <f aca="false">IF($E2383="","","系统")</f>
        <v/>
      </c>
      <c r="O2383" s="67" t="str">
        <f aca="false">IF($E2383="","","自动C")</f>
        <v/>
      </c>
      <c r="P2383" s="18"/>
    </row>
    <row r="2384" customFormat="false" ht="18" hidden="false" customHeight="true" outlineLevel="0" collapsed="false">
      <c r="A2384" s="107" t="str">
        <f aca="false">IF($E2384="","",ROW()-3)</f>
        <v/>
      </c>
      <c r="B2384" s="110" t="str">
        <f aca="false">IF($E2384="","",INDEX(成本费用登记表!$B$4:$B$303,92))</f>
        <v/>
      </c>
      <c r="C2384" s="67" t="str">
        <f aca="false">IF($E2384="","","记-"&amp;TEXT($B2384,"YYYYMM")&amp;"-费用")</f>
        <v/>
      </c>
      <c r="D2384" s="107" t="str">
        <f aca="false">IF($E2384="","",INDEX(成本费用登记表!$E$4:$E$303,92))</f>
        <v/>
      </c>
      <c r="E2384" s="67" t="str">
        <f aca="false">IF(INDEX(成本费用登记表!$Q$4:$Y$303,92,4)=0,"",INDEX(成本费用登记表!$Q$4:$Y$303,92,4))</f>
        <v/>
      </c>
      <c r="F2384" s="99" t="str">
        <f aca="false">IF($E2384="","",IFERROR(INDEX(科目表!$A$4:$A$81,MATCH($E2384,科目表!$B$4:$B$81,0)),""))</f>
        <v/>
      </c>
      <c r="G2384" s="67" t="str">
        <f aca="false">IF($E2384="","",IFERROR(INDEX(科目表!$E$4:$E$81,MATCH($E2384,科目表!$B$4:$B$81,0)),""))</f>
        <v/>
      </c>
      <c r="H2384" s="70" t="str">
        <f aca="false">IF($E2384="","",N(INDEX(成本费用登记表!$Q$4:$Y$303,92,5)))</f>
        <v/>
      </c>
      <c r="I2384" s="70" t="str">
        <f aca="false">IF($E2384="","",N(INDEX(成本费用登记表!$Q$4:$Y$303,92,6)))</f>
        <v/>
      </c>
      <c r="J2384" s="67" t="str">
        <f aca="false">IF($E2384="","",INDEX(成本费用登记表!$C$4:$C$303,92))</f>
        <v/>
      </c>
      <c r="K2384" s="67" t="str">
        <f aca="false">IF($E2384="","",INDEX(成本费用登记表!$D$4:$D$303,92))</f>
        <v/>
      </c>
      <c r="L2384" s="107" t="str">
        <f aca="false">IF($E2384="","",INDEX(成本费用登记表!$N$4:$N$303,92))</f>
        <v/>
      </c>
      <c r="M2384" s="107"/>
      <c r="N2384" s="67" t="str">
        <f aca="false">IF($E2384="","","系统")</f>
        <v/>
      </c>
      <c r="O2384" s="67" t="str">
        <f aca="false">IF($E2384="","","自动C")</f>
        <v/>
      </c>
      <c r="P2384" s="18"/>
    </row>
    <row r="2385" customFormat="false" ht="18" hidden="false" customHeight="true" outlineLevel="0" collapsed="false">
      <c r="A2385" s="107" t="str">
        <f aca="false">IF($E2385="","",ROW()-3)</f>
        <v/>
      </c>
      <c r="B2385" s="110" t="str">
        <f aca="false">IF($E2385="","",INDEX(成本费用登记表!$B$4:$B$303,92))</f>
        <v/>
      </c>
      <c r="C2385" s="67" t="str">
        <f aca="false">IF($E2385="","","记-"&amp;TEXT($B2385,"YYYYMM")&amp;"-费用")</f>
        <v/>
      </c>
      <c r="D2385" s="107" t="str">
        <f aca="false">IF($E2385="","",INDEX(成本费用登记表!$E$4:$E$303,92))</f>
        <v/>
      </c>
      <c r="E2385" s="67" t="str">
        <f aca="false">IF(INDEX(成本费用登记表!$Q$4:$Y$303,92,7)=0,"",INDEX(成本费用登记表!$Q$4:$Y$303,92,7))</f>
        <v/>
      </c>
      <c r="F2385" s="99" t="str">
        <f aca="false">IF($E2385="","",IFERROR(INDEX(科目表!$A$4:$A$81,MATCH($E2385,科目表!$B$4:$B$81,0)),""))</f>
        <v/>
      </c>
      <c r="G2385" s="67" t="str">
        <f aca="false">IF($E2385="","",IFERROR(INDEX(科目表!$E$4:$E$81,MATCH($E2385,科目表!$B$4:$B$81,0)),""))</f>
        <v/>
      </c>
      <c r="H2385" s="70" t="str">
        <f aca="false">IF($E2385="","",N(INDEX(成本费用登记表!$Q$4:$Y$303,92,8)))</f>
        <v/>
      </c>
      <c r="I2385" s="70" t="str">
        <f aca="false">IF($E2385="","",N(INDEX(成本费用登记表!$Q$4:$Y$303,92,9)))</f>
        <v/>
      </c>
      <c r="J2385" s="67" t="str">
        <f aca="false">IF($E2385="","",INDEX(成本费用登记表!$C$4:$C$303,92))</f>
        <v/>
      </c>
      <c r="K2385" s="67" t="str">
        <f aca="false">IF($E2385="","",INDEX(成本费用登记表!$D$4:$D$303,92))</f>
        <v/>
      </c>
      <c r="L2385" s="107" t="str">
        <f aca="false">IF($E2385="","",INDEX(成本费用登记表!$N$4:$N$303,92))</f>
        <v/>
      </c>
      <c r="M2385" s="107"/>
      <c r="N2385" s="67" t="str">
        <f aca="false">IF($E2385="","","系统")</f>
        <v/>
      </c>
      <c r="O2385" s="67" t="str">
        <f aca="false">IF($E2385="","","自动C")</f>
        <v/>
      </c>
      <c r="P2385" s="18"/>
    </row>
    <row r="2386" customFormat="false" ht="18" hidden="false" customHeight="true" outlineLevel="0" collapsed="false">
      <c r="A2386" s="107" t="str">
        <f aca="false">IF($E2386="","",ROW()-3)</f>
        <v/>
      </c>
      <c r="B2386" s="110" t="str">
        <f aca="false">IF($E2386="","",INDEX(成本费用登记表!$B$4:$B$303,93))</f>
        <v/>
      </c>
      <c r="C2386" s="67" t="str">
        <f aca="false">IF($E2386="","","记-"&amp;TEXT($B2386,"YYYYMM")&amp;"-费用")</f>
        <v/>
      </c>
      <c r="D2386" s="107" t="str">
        <f aca="false">IF($E2386="","",INDEX(成本费用登记表!$E$4:$E$303,93))</f>
        <v/>
      </c>
      <c r="E2386" s="67" t="str">
        <f aca="false">IF(INDEX(成本费用登记表!$Q$4:$Y$303,93,1)=0,"",INDEX(成本费用登记表!$Q$4:$Y$303,93,1))</f>
        <v/>
      </c>
      <c r="F2386" s="99" t="str">
        <f aca="false">IF($E2386="","",IFERROR(INDEX(科目表!$A$4:$A$81,MATCH($E2386,科目表!$B$4:$B$81,0)),""))</f>
        <v/>
      </c>
      <c r="G2386" s="67" t="str">
        <f aca="false">IF($E2386="","",IFERROR(INDEX(科目表!$E$4:$E$81,MATCH($E2386,科目表!$B$4:$B$81,0)),""))</f>
        <v/>
      </c>
      <c r="H2386" s="70" t="str">
        <f aca="false">IF($E2386="","",N(INDEX(成本费用登记表!$Q$4:$Y$303,93,2)))</f>
        <v/>
      </c>
      <c r="I2386" s="70" t="str">
        <f aca="false">IF($E2386="","",N(INDEX(成本费用登记表!$Q$4:$Y$303,93,3)))</f>
        <v/>
      </c>
      <c r="J2386" s="67" t="str">
        <f aca="false">IF($E2386="","",INDEX(成本费用登记表!$C$4:$C$303,93))</f>
        <v/>
      </c>
      <c r="K2386" s="67" t="str">
        <f aca="false">IF($E2386="","",INDEX(成本费用登记表!$D$4:$D$303,93))</f>
        <v/>
      </c>
      <c r="L2386" s="107" t="str">
        <f aca="false">IF($E2386="","",INDEX(成本费用登记表!$N$4:$N$303,93))</f>
        <v/>
      </c>
      <c r="M2386" s="107"/>
      <c r="N2386" s="67" t="str">
        <f aca="false">IF($E2386="","","系统")</f>
        <v/>
      </c>
      <c r="O2386" s="67" t="str">
        <f aca="false">IF($E2386="","","自动C")</f>
        <v/>
      </c>
      <c r="P2386" s="18"/>
    </row>
    <row r="2387" customFormat="false" ht="18" hidden="false" customHeight="true" outlineLevel="0" collapsed="false">
      <c r="A2387" s="107" t="str">
        <f aca="false">IF($E2387="","",ROW()-3)</f>
        <v/>
      </c>
      <c r="B2387" s="110" t="str">
        <f aca="false">IF($E2387="","",INDEX(成本费用登记表!$B$4:$B$303,93))</f>
        <v/>
      </c>
      <c r="C2387" s="67" t="str">
        <f aca="false">IF($E2387="","","记-"&amp;TEXT($B2387,"YYYYMM")&amp;"-费用")</f>
        <v/>
      </c>
      <c r="D2387" s="107" t="str">
        <f aca="false">IF($E2387="","",INDEX(成本费用登记表!$E$4:$E$303,93))</f>
        <v/>
      </c>
      <c r="E2387" s="67" t="str">
        <f aca="false">IF(INDEX(成本费用登记表!$Q$4:$Y$303,93,4)=0,"",INDEX(成本费用登记表!$Q$4:$Y$303,93,4))</f>
        <v/>
      </c>
      <c r="F2387" s="99" t="str">
        <f aca="false">IF($E2387="","",IFERROR(INDEX(科目表!$A$4:$A$81,MATCH($E2387,科目表!$B$4:$B$81,0)),""))</f>
        <v/>
      </c>
      <c r="G2387" s="67" t="str">
        <f aca="false">IF($E2387="","",IFERROR(INDEX(科目表!$E$4:$E$81,MATCH($E2387,科目表!$B$4:$B$81,0)),""))</f>
        <v/>
      </c>
      <c r="H2387" s="70" t="str">
        <f aca="false">IF($E2387="","",N(INDEX(成本费用登记表!$Q$4:$Y$303,93,5)))</f>
        <v/>
      </c>
      <c r="I2387" s="70" t="str">
        <f aca="false">IF($E2387="","",N(INDEX(成本费用登记表!$Q$4:$Y$303,93,6)))</f>
        <v/>
      </c>
      <c r="J2387" s="67" t="str">
        <f aca="false">IF($E2387="","",INDEX(成本费用登记表!$C$4:$C$303,93))</f>
        <v/>
      </c>
      <c r="K2387" s="67" t="str">
        <f aca="false">IF($E2387="","",INDEX(成本费用登记表!$D$4:$D$303,93))</f>
        <v/>
      </c>
      <c r="L2387" s="107" t="str">
        <f aca="false">IF($E2387="","",INDEX(成本费用登记表!$N$4:$N$303,93))</f>
        <v/>
      </c>
      <c r="M2387" s="107"/>
      <c r="N2387" s="67" t="str">
        <f aca="false">IF($E2387="","","系统")</f>
        <v/>
      </c>
      <c r="O2387" s="67" t="str">
        <f aca="false">IF($E2387="","","自动C")</f>
        <v/>
      </c>
      <c r="P2387" s="18"/>
    </row>
    <row r="2388" customFormat="false" ht="18" hidden="false" customHeight="true" outlineLevel="0" collapsed="false">
      <c r="A2388" s="107" t="str">
        <f aca="false">IF($E2388="","",ROW()-3)</f>
        <v/>
      </c>
      <c r="B2388" s="110" t="str">
        <f aca="false">IF($E2388="","",INDEX(成本费用登记表!$B$4:$B$303,93))</f>
        <v/>
      </c>
      <c r="C2388" s="67" t="str">
        <f aca="false">IF($E2388="","","记-"&amp;TEXT($B2388,"YYYYMM")&amp;"-费用")</f>
        <v/>
      </c>
      <c r="D2388" s="107" t="str">
        <f aca="false">IF($E2388="","",INDEX(成本费用登记表!$E$4:$E$303,93))</f>
        <v/>
      </c>
      <c r="E2388" s="67" t="str">
        <f aca="false">IF(INDEX(成本费用登记表!$Q$4:$Y$303,93,7)=0,"",INDEX(成本费用登记表!$Q$4:$Y$303,93,7))</f>
        <v/>
      </c>
      <c r="F2388" s="99" t="str">
        <f aca="false">IF($E2388="","",IFERROR(INDEX(科目表!$A$4:$A$81,MATCH($E2388,科目表!$B$4:$B$81,0)),""))</f>
        <v/>
      </c>
      <c r="G2388" s="67" t="str">
        <f aca="false">IF($E2388="","",IFERROR(INDEX(科目表!$E$4:$E$81,MATCH($E2388,科目表!$B$4:$B$81,0)),""))</f>
        <v/>
      </c>
      <c r="H2388" s="70" t="str">
        <f aca="false">IF($E2388="","",N(INDEX(成本费用登记表!$Q$4:$Y$303,93,8)))</f>
        <v/>
      </c>
      <c r="I2388" s="70" t="str">
        <f aca="false">IF($E2388="","",N(INDEX(成本费用登记表!$Q$4:$Y$303,93,9)))</f>
        <v/>
      </c>
      <c r="J2388" s="67" t="str">
        <f aca="false">IF($E2388="","",INDEX(成本费用登记表!$C$4:$C$303,93))</f>
        <v/>
      </c>
      <c r="K2388" s="67" t="str">
        <f aca="false">IF($E2388="","",INDEX(成本费用登记表!$D$4:$D$303,93))</f>
        <v/>
      </c>
      <c r="L2388" s="107" t="str">
        <f aca="false">IF($E2388="","",INDEX(成本费用登记表!$N$4:$N$303,93))</f>
        <v/>
      </c>
      <c r="M2388" s="107"/>
      <c r="N2388" s="67" t="str">
        <f aca="false">IF($E2388="","","系统")</f>
        <v/>
      </c>
      <c r="O2388" s="67" t="str">
        <f aca="false">IF($E2388="","","自动C")</f>
        <v/>
      </c>
      <c r="P2388" s="18"/>
    </row>
    <row r="2389" customFormat="false" ht="18" hidden="false" customHeight="true" outlineLevel="0" collapsed="false">
      <c r="A2389" s="107" t="str">
        <f aca="false">IF($E2389="","",ROW()-3)</f>
        <v/>
      </c>
      <c r="B2389" s="110" t="str">
        <f aca="false">IF($E2389="","",INDEX(成本费用登记表!$B$4:$B$303,94))</f>
        <v/>
      </c>
      <c r="C2389" s="67" t="str">
        <f aca="false">IF($E2389="","","记-"&amp;TEXT($B2389,"YYYYMM")&amp;"-费用")</f>
        <v/>
      </c>
      <c r="D2389" s="107" t="str">
        <f aca="false">IF($E2389="","",INDEX(成本费用登记表!$E$4:$E$303,94))</f>
        <v/>
      </c>
      <c r="E2389" s="67" t="str">
        <f aca="false">IF(INDEX(成本费用登记表!$Q$4:$Y$303,94,1)=0,"",INDEX(成本费用登记表!$Q$4:$Y$303,94,1))</f>
        <v/>
      </c>
      <c r="F2389" s="99" t="str">
        <f aca="false">IF($E2389="","",IFERROR(INDEX(科目表!$A$4:$A$81,MATCH($E2389,科目表!$B$4:$B$81,0)),""))</f>
        <v/>
      </c>
      <c r="G2389" s="67" t="str">
        <f aca="false">IF($E2389="","",IFERROR(INDEX(科目表!$E$4:$E$81,MATCH($E2389,科目表!$B$4:$B$81,0)),""))</f>
        <v/>
      </c>
      <c r="H2389" s="70" t="str">
        <f aca="false">IF($E2389="","",N(INDEX(成本费用登记表!$Q$4:$Y$303,94,2)))</f>
        <v/>
      </c>
      <c r="I2389" s="70" t="str">
        <f aca="false">IF($E2389="","",N(INDEX(成本费用登记表!$Q$4:$Y$303,94,3)))</f>
        <v/>
      </c>
      <c r="J2389" s="67" t="str">
        <f aca="false">IF($E2389="","",INDEX(成本费用登记表!$C$4:$C$303,94))</f>
        <v/>
      </c>
      <c r="K2389" s="67" t="str">
        <f aca="false">IF($E2389="","",INDEX(成本费用登记表!$D$4:$D$303,94))</f>
        <v/>
      </c>
      <c r="L2389" s="107" t="str">
        <f aca="false">IF($E2389="","",INDEX(成本费用登记表!$N$4:$N$303,94))</f>
        <v/>
      </c>
      <c r="M2389" s="107"/>
      <c r="N2389" s="67" t="str">
        <f aca="false">IF($E2389="","","系统")</f>
        <v/>
      </c>
      <c r="O2389" s="67" t="str">
        <f aca="false">IF($E2389="","","自动C")</f>
        <v/>
      </c>
      <c r="P2389" s="18"/>
    </row>
    <row r="2390" customFormat="false" ht="18" hidden="false" customHeight="true" outlineLevel="0" collapsed="false">
      <c r="A2390" s="107" t="str">
        <f aca="false">IF($E2390="","",ROW()-3)</f>
        <v/>
      </c>
      <c r="B2390" s="110" t="str">
        <f aca="false">IF($E2390="","",INDEX(成本费用登记表!$B$4:$B$303,94))</f>
        <v/>
      </c>
      <c r="C2390" s="67" t="str">
        <f aca="false">IF($E2390="","","记-"&amp;TEXT($B2390,"YYYYMM")&amp;"-费用")</f>
        <v/>
      </c>
      <c r="D2390" s="107" t="str">
        <f aca="false">IF($E2390="","",INDEX(成本费用登记表!$E$4:$E$303,94))</f>
        <v/>
      </c>
      <c r="E2390" s="67" t="str">
        <f aca="false">IF(INDEX(成本费用登记表!$Q$4:$Y$303,94,4)=0,"",INDEX(成本费用登记表!$Q$4:$Y$303,94,4))</f>
        <v/>
      </c>
      <c r="F2390" s="99" t="str">
        <f aca="false">IF($E2390="","",IFERROR(INDEX(科目表!$A$4:$A$81,MATCH($E2390,科目表!$B$4:$B$81,0)),""))</f>
        <v/>
      </c>
      <c r="G2390" s="67" t="str">
        <f aca="false">IF($E2390="","",IFERROR(INDEX(科目表!$E$4:$E$81,MATCH($E2390,科目表!$B$4:$B$81,0)),""))</f>
        <v/>
      </c>
      <c r="H2390" s="70" t="str">
        <f aca="false">IF($E2390="","",N(INDEX(成本费用登记表!$Q$4:$Y$303,94,5)))</f>
        <v/>
      </c>
      <c r="I2390" s="70" t="str">
        <f aca="false">IF($E2390="","",N(INDEX(成本费用登记表!$Q$4:$Y$303,94,6)))</f>
        <v/>
      </c>
      <c r="J2390" s="67" t="str">
        <f aca="false">IF($E2390="","",INDEX(成本费用登记表!$C$4:$C$303,94))</f>
        <v/>
      </c>
      <c r="K2390" s="67" t="str">
        <f aca="false">IF($E2390="","",INDEX(成本费用登记表!$D$4:$D$303,94))</f>
        <v/>
      </c>
      <c r="L2390" s="107" t="str">
        <f aca="false">IF($E2390="","",INDEX(成本费用登记表!$N$4:$N$303,94))</f>
        <v/>
      </c>
      <c r="M2390" s="107"/>
      <c r="N2390" s="67" t="str">
        <f aca="false">IF($E2390="","","系统")</f>
        <v/>
      </c>
      <c r="O2390" s="67" t="str">
        <f aca="false">IF($E2390="","","自动C")</f>
        <v/>
      </c>
      <c r="P2390" s="18"/>
    </row>
    <row r="2391" customFormat="false" ht="18" hidden="false" customHeight="true" outlineLevel="0" collapsed="false">
      <c r="A2391" s="107" t="str">
        <f aca="false">IF($E2391="","",ROW()-3)</f>
        <v/>
      </c>
      <c r="B2391" s="110" t="str">
        <f aca="false">IF($E2391="","",INDEX(成本费用登记表!$B$4:$B$303,94))</f>
        <v/>
      </c>
      <c r="C2391" s="67" t="str">
        <f aca="false">IF($E2391="","","记-"&amp;TEXT($B2391,"YYYYMM")&amp;"-费用")</f>
        <v/>
      </c>
      <c r="D2391" s="107" t="str">
        <f aca="false">IF($E2391="","",INDEX(成本费用登记表!$E$4:$E$303,94))</f>
        <v/>
      </c>
      <c r="E2391" s="67" t="str">
        <f aca="false">IF(INDEX(成本费用登记表!$Q$4:$Y$303,94,7)=0,"",INDEX(成本费用登记表!$Q$4:$Y$303,94,7))</f>
        <v/>
      </c>
      <c r="F2391" s="99" t="str">
        <f aca="false">IF($E2391="","",IFERROR(INDEX(科目表!$A$4:$A$81,MATCH($E2391,科目表!$B$4:$B$81,0)),""))</f>
        <v/>
      </c>
      <c r="G2391" s="67" t="str">
        <f aca="false">IF($E2391="","",IFERROR(INDEX(科目表!$E$4:$E$81,MATCH($E2391,科目表!$B$4:$B$81,0)),""))</f>
        <v/>
      </c>
      <c r="H2391" s="70" t="str">
        <f aca="false">IF($E2391="","",N(INDEX(成本费用登记表!$Q$4:$Y$303,94,8)))</f>
        <v/>
      </c>
      <c r="I2391" s="70" t="str">
        <f aca="false">IF($E2391="","",N(INDEX(成本费用登记表!$Q$4:$Y$303,94,9)))</f>
        <v/>
      </c>
      <c r="J2391" s="67" t="str">
        <f aca="false">IF($E2391="","",INDEX(成本费用登记表!$C$4:$C$303,94))</f>
        <v/>
      </c>
      <c r="K2391" s="67" t="str">
        <f aca="false">IF($E2391="","",INDEX(成本费用登记表!$D$4:$D$303,94))</f>
        <v/>
      </c>
      <c r="L2391" s="107" t="str">
        <f aca="false">IF($E2391="","",INDEX(成本费用登记表!$N$4:$N$303,94))</f>
        <v/>
      </c>
      <c r="M2391" s="107"/>
      <c r="N2391" s="67" t="str">
        <f aca="false">IF($E2391="","","系统")</f>
        <v/>
      </c>
      <c r="O2391" s="67" t="str">
        <f aca="false">IF($E2391="","","自动C")</f>
        <v/>
      </c>
      <c r="P2391" s="18"/>
    </row>
    <row r="2392" customFormat="false" ht="18" hidden="false" customHeight="true" outlineLevel="0" collapsed="false">
      <c r="A2392" s="107" t="str">
        <f aca="false">IF($E2392="","",ROW()-3)</f>
        <v/>
      </c>
      <c r="B2392" s="110" t="str">
        <f aca="false">IF($E2392="","",INDEX(成本费用登记表!$B$4:$B$303,95))</f>
        <v/>
      </c>
      <c r="C2392" s="67" t="str">
        <f aca="false">IF($E2392="","","记-"&amp;TEXT($B2392,"YYYYMM")&amp;"-费用")</f>
        <v/>
      </c>
      <c r="D2392" s="107" t="str">
        <f aca="false">IF($E2392="","",INDEX(成本费用登记表!$E$4:$E$303,95))</f>
        <v/>
      </c>
      <c r="E2392" s="67" t="str">
        <f aca="false">IF(INDEX(成本费用登记表!$Q$4:$Y$303,95,1)=0,"",INDEX(成本费用登记表!$Q$4:$Y$303,95,1))</f>
        <v/>
      </c>
      <c r="F2392" s="99" t="str">
        <f aca="false">IF($E2392="","",IFERROR(INDEX(科目表!$A$4:$A$81,MATCH($E2392,科目表!$B$4:$B$81,0)),""))</f>
        <v/>
      </c>
      <c r="G2392" s="67" t="str">
        <f aca="false">IF($E2392="","",IFERROR(INDEX(科目表!$E$4:$E$81,MATCH($E2392,科目表!$B$4:$B$81,0)),""))</f>
        <v/>
      </c>
      <c r="H2392" s="70" t="str">
        <f aca="false">IF($E2392="","",N(INDEX(成本费用登记表!$Q$4:$Y$303,95,2)))</f>
        <v/>
      </c>
      <c r="I2392" s="70" t="str">
        <f aca="false">IF($E2392="","",N(INDEX(成本费用登记表!$Q$4:$Y$303,95,3)))</f>
        <v/>
      </c>
      <c r="J2392" s="67" t="str">
        <f aca="false">IF($E2392="","",INDEX(成本费用登记表!$C$4:$C$303,95))</f>
        <v/>
      </c>
      <c r="K2392" s="67" t="str">
        <f aca="false">IF($E2392="","",INDEX(成本费用登记表!$D$4:$D$303,95))</f>
        <v/>
      </c>
      <c r="L2392" s="107" t="str">
        <f aca="false">IF($E2392="","",INDEX(成本费用登记表!$N$4:$N$303,95))</f>
        <v/>
      </c>
      <c r="M2392" s="107"/>
      <c r="N2392" s="67" t="str">
        <f aca="false">IF($E2392="","","系统")</f>
        <v/>
      </c>
      <c r="O2392" s="67" t="str">
        <f aca="false">IF($E2392="","","自动C")</f>
        <v/>
      </c>
      <c r="P2392" s="18"/>
    </row>
    <row r="2393" customFormat="false" ht="18" hidden="false" customHeight="true" outlineLevel="0" collapsed="false">
      <c r="A2393" s="107" t="str">
        <f aca="false">IF($E2393="","",ROW()-3)</f>
        <v/>
      </c>
      <c r="B2393" s="110" t="str">
        <f aca="false">IF($E2393="","",INDEX(成本费用登记表!$B$4:$B$303,95))</f>
        <v/>
      </c>
      <c r="C2393" s="67" t="str">
        <f aca="false">IF($E2393="","","记-"&amp;TEXT($B2393,"YYYYMM")&amp;"-费用")</f>
        <v/>
      </c>
      <c r="D2393" s="107" t="str">
        <f aca="false">IF($E2393="","",INDEX(成本费用登记表!$E$4:$E$303,95))</f>
        <v/>
      </c>
      <c r="E2393" s="67" t="str">
        <f aca="false">IF(INDEX(成本费用登记表!$Q$4:$Y$303,95,4)=0,"",INDEX(成本费用登记表!$Q$4:$Y$303,95,4))</f>
        <v/>
      </c>
      <c r="F2393" s="99" t="str">
        <f aca="false">IF($E2393="","",IFERROR(INDEX(科目表!$A$4:$A$81,MATCH($E2393,科目表!$B$4:$B$81,0)),""))</f>
        <v/>
      </c>
      <c r="G2393" s="67" t="str">
        <f aca="false">IF($E2393="","",IFERROR(INDEX(科目表!$E$4:$E$81,MATCH($E2393,科目表!$B$4:$B$81,0)),""))</f>
        <v/>
      </c>
      <c r="H2393" s="70" t="str">
        <f aca="false">IF($E2393="","",N(INDEX(成本费用登记表!$Q$4:$Y$303,95,5)))</f>
        <v/>
      </c>
      <c r="I2393" s="70" t="str">
        <f aca="false">IF($E2393="","",N(INDEX(成本费用登记表!$Q$4:$Y$303,95,6)))</f>
        <v/>
      </c>
      <c r="J2393" s="67" t="str">
        <f aca="false">IF($E2393="","",INDEX(成本费用登记表!$C$4:$C$303,95))</f>
        <v/>
      </c>
      <c r="K2393" s="67" t="str">
        <f aca="false">IF($E2393="","",INDEX(成本费用登记表!$D$4:$D$303,95))</f>
        <v/>
      </c>
      <c r="L2393" s="107" t="str">
        <f aca="false">IF($E2393="","",INDEX(成本费用登记表!$N$4:$N$303,95))</f>
        <v/>
      </c>
      <c r="M2393" s="107"/>
      <c r="N2393" s="67" t="str">
        <f aca="false">IF($E2393="","","系统")</f>
        <v/>
      </c>
      <c r="O2393" s="67" t="str">
        <f aca="false">IF($E2393="","","自动C")</f>
        <v/>
      </c>
      <c r="P2393" s="18"/>
    </row>
    <row r="2394" customFormat="false" ht="18" hidden="false" customHeight="true" outlineLevel="0" collapsed="false">
      <c r="A2394" s="107" t="str">
        <f aca="false">IF($E2394="","",ROW()-3)</f>
        <v/>
      </c>
      <c r="B2394" s="110" t="str">
        <f aca="false">IF($E2394="","",INDEX(成本费用登记表!$B$4:$B$303,95))</f>
        <v/>
      </c>
      <c r="C2394" s="67" t="str">
        <f aca="false">IF($E2394="","","记-"&amp;TEXT($B2394,"YYYYMM")&amp;"-费用")</f>
        <v/>
      </c>
      <c r="D2394" s="107" t="str">
        <f aca="false">IF($E2394="","",INDEX(成本费用登记表!$E$4:$E$303,95))</f>
        <v/>
      </c>
      <c r="E2394" s="67" t="str">
        <f aca="false">IF(INDEX(成本费用登记表!$Q$4:$Y$303,95,7)=0,"",INDEX(成本费用登记表!$Q$4:$Y$303,95,7))</f>
        <v/>
      </c>
      <c r="F2394" s="99" t="str">
        <f aca="false">IF($E2394="","",IFERROR(INDEX(科目表!$A$4:$A$81,MATCH($E2394,科目表!$B$4:$B$81,0)),""))</f>
        <v/>
      </c>
      <c r="G2394" s="67" t="str">
        <f aca="false">IF($E2394="","",IFERROR(INDEX(科目表!$E$4:$E$81,MATCH($E2394,科目表!$B$4:$B$81,0)),""))</f>
        <v/>
      </c>
      <c r="H2394" s="70" t="str">
        <f aca="false">IF($E2394="","",N(INDEX(成本费用登记表!$Q$4:$Y$303,95,8)))</f>
        <v/>
      </c>
      <c r="I2394" s="70" t="str">
        <f aca="false">IF($E2394="","",N(INDEX(成本费用登记表!$Q$4:$Y$303,95,9)))</f>
        <v/>
      </c>
      <c r="J2394" s="67" t="str">
        <f aca="false">IF($E2394="","",INDEX(成本费用登记表!$C$4:$C$303,95))</f>
        <v/>
      </c>
      <c r="K2394" s="67" t="str">
        <f aca="false">IF($E2394="","",INDEX(成本费用登记表!$D$4:$D$303,95))</f>
        <v/>
      </c>
      <c r="L2394" s="107" t="str">
        <f aca="false">IF($E2394="","",INDEX(成本费用登记表!$N$4:$N$303,95))</f>
        <v/>
      </c>
      <c r="M2394" s="107"/>
      <c r="N2394" s="67" t="str">
        <f aca="false">IF($E2394="","","系统")</f>
        <v/>
      </c>
      <c r="O2394" s="67" t="str">
        <f aca="false">IF($E2394="","","自动C")</f>
        <v/>
      </c>
      <c r="P2394" s="18"/>
    </row>
    <row r="2395" customFormat="false" ht="18" hidden="false" customHeight="true" outlineLevel="0" collapsed="false">
      <c r="A2395" s="107" t="str">
        <f aca="false">IF($E2395="","",ROW()-3)</f>
        <v/>
      </c>
      <c r="B2395" s="110" t="str">
        <f aca="false">IF($E2395="","",INDEX(成本费用登记表!$B$4:$B$303,96))</f>
        <v/>
      </c>
      <c r="C2395" s="67" t="str">
        <f aca="false">IF($E2395="","","记-"&amp;TEXT($B2395,"YYYYMM")&amp;"-费用")</f>
        <v/>
      </c>
      <c r="D2395" s="107" t="str">
        <f aca="false">IF($E2395="","",INDEX(成本费用登记表!$E$4:$E$303,96))</f>
        <v/>
      </c>
      <c r="E2395" s="67" t="str">
        <f aca="false">IF(INDEX(成本费用登记表!$Q$4:$Y$303,96,1)=0,"",INDEX(成本费用登记表!$Q$4:$Y$303,96,1))</f>
        <v/>
      </c>
      <c r="F2395" s="99" t="str">
        <f aca="false">IF($E2395="","",IFERROR(INDEX(科目表!$A$4:$A$81,MATCH($E2395,科目表!$B$4:$B$81,0)),""))</f>
        <v/>
      </c>
      <c r="G2395" s="67" t="str">
        <f aca="false">IF($E2395="","",IFERROR(INDEX(科目表!$E$4:$E$81,MATCH($E2395,科目表!$B$4:$B$81,0)),""))</f>
        <v/>
      </c>
      <c r="H2395" s="70" t="str">
        <f aca="false">IF($E2395="","",N(INDEX(成本费用登记表!$Q$4:$Y$303,96,2)))</f>
        <v/>
      </c>
      <c r="I2395" s="70" t="str">
        <f aca="false">IF($E2395="","",N(INDEX(成本费用登记表!$Q$4:$Y$303,96,3)))</f>
        <v/>
      </c>
      <c r="J2395" s="67" t="str">
        <f aca="false">IF($E2395="","",INDEX(成本费用登记表!$C$4:$C$303,96))</f>
        <v/>
      </c>
      <c r="K2395" s="67" t="str">
        <f aca="false">IF($E2395="","",INDEX(成本费用登记表!$D$4:$D$303,96))</f>
        <v/>
      </c>
      <c r="L2395" s="107" t="str">
        <f aca="false">IF($E2395="","",INDEX(成本费用登记表!$N$4:$N$303,96))</f>
        <v/>
      </c>
      <c r="M2395" s="107"/>
      <c r="N2395" s="67" t="str">
        <f aca="false">IF($E2395="","","系统")</f>
        <v/>
      </c>
      <c r="O2395" s="67" t="str">
        <f aca="false">IF($E2395="","","自动C")</f>
        <v/>
      </c>
      <c r="P2395" s="18"/>
    </row>
    <row r="2396" customFormat="false" ht="18" hidden="false" customHeight="true" outlineLevel="0" collapsed="false">
      <c r="A2396" s="107" t="str">
        <f aca="false">IF($E2396="","",ROW()-3)</f>
        <v/>
      </c>
      <c r="B2396" s="110" t="str">
        <f aca="false">IF($E2396="","",INDEX(成本费用登记表!$B$4:$B$303,96))</f>
        <v/>
      </c>
      <c r="C2396" s="67" t="str">
        <f aca="false">IF($E2396="","","记-"&amp;TEXT($B2396,"YYYYMM")&amp;"-费用")</f>
        <v/>
      </c>
      <c r="D2396" s="107" t="str">
        <f aca="false">IF($E2396="","",INDEX(成本费用登记表!$E$4:$E$303,96))</f>
        <v/>
      </c>
      <c r="E2396" s="67" t="str">
        <f aca="false">IF(INDEX(成本费用登记表!$Q$4:$Y$303,96,4)=0,"",INDEX(成本费用登记表!$Q$4:$Y$303,96,4))</f>
        <v/>
      </c>
      <c r="F2396" s="99" t="str">
        <f aca="false">IF($E2396="","",IFERROR(INDEX(科目表!$A$4:$A$81,MATCH($E2396,科目表!$B$4:$B$81,0)),""))</f>
        <v/>
      </c>
      <c r="G2396" s="67" t="str">
        <f aca="false">IF($E2396="","",IFERROR(INDEX(科目表!$E$4:$E$81,MATCH($E2396,科目表!$B$4:$B$81,0)),""))</f>
        <v/>
      </c>
      <c r="H2396" s="70" t="str">
        <f aca="false">IF($E2396="","",N(INDEX(成本费用登记表!$Q$4:$Y$303,96,5)))</f>
        <v/>
      </c>
      <c r="I2396" s="70" t="str">
        <f aca="false">IF($E2396="","",N(INDEX(成本费用登记表!$Q$4:$Y$303,96,6)))</f>
        <v/>
      </c>
      <c r="J2396" s="67" t="str">
        <f aca="false">IF($E2396="","",INDEX(成本费用登记表!$C$4:$C$303,96))</f>
        <v/>
      </c>
      <c r="K2396" s="67" t="str">
        <f aca="false">IF($E2396="","",INDEX(成本费用登记表!$D$4:$D$303,96))</f>
        <v/>
      </c>
      <c r="L2396" s="107" t="str">
        <f aca="false">IF($E2396="","",INDEX(成本费用登记表!$N$4:$N$303,96))</f>
        <v/>
      </c>
      <c r="M2396" s="107"/>
      <c r="N2396" s="67" t="str">
        <f aca="false">IF($E2396="","","系统")</f>
        <v/>
      </c>
      <c r="O2396" s="67" t="str">
        <f aca="false">IF($E2396="","","自动C")</f>
        <v/>
      </c>
      <c r="P2396" s="18"/>
    </row>
    <row r="2397" customFormat="false" ht="18" hidden="false" customHeight="true" outlineLevel="0" collapsed="false">
      <c r="A2397" s="107" t="str">
        <f aca="false">IF($E2397="","",ROW()-3)</f>
        <v/>
      </c>
      <c r="B2397" s="110" t="str">
        <f aca="false">IF($E2397="","",INDEX(成本费用登记表!$B$4:$B$303,96))</f>
        <v/>
      </c>
      <c r="C2397" s="67" t="str">
        <f aca="false">IF($E2397="","","记-"&amp;TEXT($B2397,"YYYYMM")&amp;"-费用")</f>
        <v/>
      </c>
      <c r="D2397" s="107" t="str">
        <f aca="false">IF($E2397="","",INDEX(成本费用登记表!$E$4:$E$303,96))</f>
        <v/>
      </c>
      <c r="E2397" s="67" t="str">
        <f aca="false">IF(INDEX(成本费用登记表!$Q$4:$Y$303,96,7)=0,"",INDEX(成本费用登记表!$Q$4:$Y$303,96,7))</f>
        <v/>
      </c>
      <c r="F2397" s="99" t="str">
        <f aca="false">IF($E2397="","",IFERROR(INDEX(科目表!$A$4:$A$81,MATCH($E2397,科目表!$B$4:$B$81,0)),""))</f>
        <v/>
      </c>
      <c r="G2397" s="67" t="str">
        <f aca="false">IF($E2397="","",IFERROR(INDEX(科目表!$E$4:$E$81,MATCH($E2397,科目表!$B$4:$B$81,0)),""))</f>
        <v/>
      </c>
      <c r="H2397" s="70" t="str">
        <f aca="false">IF($E2397="","",N(INDEX(成本费用登记表!$Q$4:$Y$303,96,8)))</f>
        <v/>
      </c>
      <c r="I2397" s="70" t="str">
        <f aca="false">IF($E2397="","",N(INDEX(成本费用登记表!$Q$4:$Y$303,96,9)))</f>
        <v/>
      </c>
      <c r="J2397" s="67" t="str">
        <f aca="false">IF($E2397="","",INDEX(成本费用登记表!$C$4:$C$303,96))</f>
        <v/>
      </c>
      <c r="K2397" s="67" t="str">
        <f aca="false">IF($E2397="","",INDEX(成本费用登记表!$D$4:$D$303,96))</f>
        <v/>
      </c>
      <c r="L2397" s="107" t="str">
        <f aca="false">IF($E2397="","",INDEX(成本费用登记表!$N$4:$N$303,96))</f>
        <v/>
      </c>
      <c r="M2397" s="107"/>
      <c r="N2397" s="67" t="str">
        <f aca="false">IF($E2397="","","系统")</f>
        <v/>
      </c>
      <c r="O2397" s="67" t="str">
        <f aca="false">IF($E2397="","","自动C")</f>
        <v/>
      </c>
      <c r="P2397" s="18"/>
    </row>
    <row r="2398" customFormat="false" ht="18" hidden="false" customHeight="true" outlineLevel="0" collapsed="false">
      <c r="A2398" s="107" t="str">
        <f aca="false">IF($E2398="","",ROW()-3)</f>
        <v/>
      </c>
      <c r="B2398" s="110" t="str">
        <f aca="false">IF($E2398="","",INDEX(成本费用登记表!$B$4:$B$303,97))</f>
        <v/>
      </c>
      <c r="C2398" s="67" t="str">
        <f aca="false">IF($E2398="","","记-"&amp;TEXT($B2398,"YYYYMM")&amp;"-费用")</f>
        <v/>
      </c>
      <c r="D2398" s="107" t="str">
        <f aca="false">IF($E2398="","",INDEX(成本费用登记表!$E$4:$E$303,97))</f>
        <v/>
      </c>
      <c r="E2398" s="67" t="str">
        <f aca="false">IF(INDEX(成本费用登记表!$Q$4:$Y$303,97,1)=0,"",INDEX(成本费用登记表!$Q$4:$Y$303,97,1))</f>
        <v/>
      </c>
      <c r="F2398" s="99" t="str">
        <f aca="false">IF($E2398="","",IFERROR(INDEX(科目表!$A$4:$A$81,MATCH($E2398,科目表!$B$4:$B$81,0)),""))</f>
        <v/>
      </c>
      <c r="G2398" s="67" t="str">
        <f aca="false">IF($E2398="","",IFERROR(INDEX(科目表!$E$4:$E$81,MATCH($E2398,科目表!$B$4:$B$81,0)),""))</f>
        <v/>
      </c>
      <c r="H2398" s="70" t="str">
        <f aca="false">IF($E2398="","",N(INDEX(成本费用登记表!$Q$4:$Y$303,97,2)))</f>
        <v/>
      </c>
      <c r="I2398" s="70" t="str">
        <f aca="false">IF($E2398="","",N(INDEX(成本费用登记表!$Q$4:$Y$303,97,3)))</f>
        <v/>
      </c>
      <c r="J2398" s="67" t="str">
        <f aca="false">IF($E2398="","",INDEX(成本费用登记表!$C$4:$C$303,97))</f>
        <v/>
      </c>
      <c r="K2398" s="67" t="str">
        <f aca="false">IF($E2398="","",INDEX(成本费用登记表!$D$4:$D$303,97))</f>
        <v/>
      </c>
      <c r="L2398" s="107" t="str">
        <f aca="false">IF($E2398="","",INDEX(成本费用登记表!$N$4:$N$303,97))</f>
        <v/>
      </c>
      <c r="M2398" s="107"/>
      <c r="N2398" s="67" t="str">
        <f aca="false">IF($E2398="","","系统")</f>
        <v/>
      </c>
      <c r="O2398" s="67" t="str">
        <f aca="false">IF($E2398="","","自动C")</f>
        <v/>
      </c>
      <c r="P2398" s="18"/>
    </row>
    <row r="2399" customFormat="false" ht="18" hidden="false" customHeight="true" outlineLevel="0" collapsed="false">
      <c r="A2399" s="107" t="str">
        <f aca="false">IF($E2399="","",ROW()-3)</f>
        <v/>
      </c>
      <c r="B2399" s="110" t="str">
        <f aca="false">IF($E2399="","",INDEX(成本费用登记表!$B$4:$B$303,97))</f>
        <v/>
      </c>
      <c r="C2399" s="67" t="str">
        <f aca="false">IF($E2399="","","记-"&amp;TEXT($B2399,"YYYYMM")&amp;"-费用")</f>
        <v/>
      </c>
      <c r="D2399" s="107" t="str">
        <f aca="false">IF($E2399="","",INDEX(成本费用登记表!$E$4:$E$303,97))</f>
        <v/>
      </c>
      <c r="E2399" s="67" t="str">
        <f aca="false">IF(INDEX(成本费用登记表!$Q$4:$Y$303,97,4)=0,"",INDEX(成本费用登记表!$Q$4:$Y$303,97,4))</f>
        <v/>
      </c>
      <c r="F2399" s="99" t="str">
        <f aca="false">IF($E2399="","",IFERROR(INDEX(科目表!$A$4:$A$81,MATCH($E2399,科目表!$B$4:$B$81,0)),""))</f>
        <v/>
      </c>
      <c r="G2399" s="67" t="str">
        <f aca="false">IF($E2399="","",IFERROR(INDEX(科目表!$E$4:$E$81,MATCH($E2399,科目表!$B$4:$B$81,0)),""))</f>
        <v/>
      </c>
      <c r="H2399" s="70" t="str">
        <f aca="false">IF($E2399="","",N(INDEX(成本费用登记表!$Q$4:$Y$303,97,5)))</f>
        <v/>
      </c>
      <c r="I2399" s="70" t="str">
        <f aca="false">IF($E2399="","",N(INDEX(成本费用登记表!$Q$4:$Y$303,97,6)))</f>
        <v/>
      </c>
      <c r="J2399" s="67" t="str">
        <f aca="false">IF($E2399="","",INDEX(成本费用登记表!$C$4:$C$303,97))</f>
        <v/>
      </c>
      <c r="K2399" s="67" t="str">
        <f aca="false">IF($E2399="","",INDEX(成本费用登记表!$D$4:$D$303,97))</f>
        <v/>
      </c>
      <c r="L2399" s="107" t="str">
        <f aca="false">IF($E2399="","",INDEX(成本费用登记表!$N$4:$N$303,97))</f>
        <v/>
      </c>
      <c r="M2399" s="107"/>
      <c r="N2399" s="67" t="str">
        <f aca="false">IF($E2399="","","系统")</f>
        <v/>
      </c>
      <c r="O2399" s="67" t="str">
        <f aca="false">IF($E2399="","","自动C")</f>
        <v/>
      </c>
      <c r="P2399" s="18"/>
    </row>
    <row r="2400" customFormat="false" ht="18" hidden="false" customHeight="true" outlineLevel="0" collapsed="false">
      <c r="A2400" s="107" t="str">
        <f aca="false">IF($E2400="","",ROW()-3)</f>
        <v/>
      </c>
      <c r="B2400" s="110" t="str">
        <f aca="false">IF($E2400="","",INDEX(成本费用登记表!$B$4:$B$303,97))</f>
        <v/>
      </c>
      <c r="C2400" s="67" t="str">
        <f aca="false">IF($E2400="","","记-"&amp;TEXT($B2400,"YYYYMM")&amp;"-费用")</f>
        <v/>
      </c>
      <c r="D2400" s="107" t="str">
        <f aca="false">IF($E2400="","",INDEX(成本费用登记表!$E$4:$E$303,97))</f>
        <v/>
      </c>
      <c r="E2400" s="67" t="str">
        <f aca="false">IF(INDEX(成本费用登记表!$Q$4:$Y$303,97,7)=0,"",INDEX(成本费用登记表!$Q$4:$Y$303,97,7))</f>
        <v/>
      </c>
      <c r="F2400" s="99" t="str">
        <f aca="false">IF($E2400="","",IFERROR(INDEX(科目表!$A$4:$A$81,MATCH($E2400,科目表!$B$4:$B$81,0)),""))</f>
        <v/>
      </c>
      <c r="G2400" s="67" t="str">
        <f aca="false">IF($E2400="","",IFERROR(INDEX(科目表!$E$4:$E$81,MATCH($E2400,科目表!$B$4:$B$81,0)),""))</f>
        <v/>
      </c>
      <c r="H2400" s="70" t="str">
        <f aca="false">IF($E2400="","",N(INDEX(成本费用登记表!$Q$4:$Y$303,97,8)))</f>
        <v/>
      </c>
      <c r="I2400" s="70" t="str">
        <f aca="false">IF($E2400="","",N(INDEX(成本费用登记表!$Q$4:$Y$303,97,9)))</f>
        <v/>
      </c>
      <c r="J2400" s="67" t="str">
        <f aca="false">IF($E2400="","",INDEX(成本费用登记表!$C$4:$C$303,97))</f>
        <v/>
      </c>
      <c r="K2400" s="67" t="str">
        <f aca="false">IF($E2400="","",INDEX(成本费用登记表!$D$4:$D$303,97))</f>
        <v/>
      </c>
      <c r="L2400" s="107" t="str">
        <f aca="false">IF($E2400="","",INDEX(成本费用登记表!$N$4:$N$303,97))</f>
        <v/>
      </c>
      <c r="M2400" s="107"/>
      <c r="N2400" s="67" t="str">
        <f aca="false">IF($E2400="","","系统")</f>
        <v/>
      </c>
      <c r="O2400" s="67" t="str">
        <f aca="false">IF($E2400="","","自动C")</f>
        <v/>
      </c>
      <c r="P2400" s="18"/>
    </row>
    <row r="2401" customFormat="false" ht="18" hidden="false" customHeight="true" outlineLevel="0" collapsed="false">
      <c r="A2401" s="107" t="str">
        <f aca="false">IF($E2401="","",ROW()-3)</f>
        <v/>
      </c>
      <c r="B2401" s="110" t="str">
        <f aca="false">IF($E2401="","",INDEX(成本费用登记表!$B$4:$B$303,98))</f>
        <v/>
      </c>
      <c r="C2401" s="67" t="str">
        <f aca="false">IF($E2401="","","记-"&amp;TEXT($B2401,"YYYYMM")&amp;"-费用")</f>
        <v/>
      </c>
      <c r="D2401" s="107" t="str">
        <f aca="false">IF($E2401="","",INDEX(成本费用登记表!$E$4:$E$303,98))</f>
        <v/>
      </c>
      <c r="E2401" s="67" t="str">
        <f aca="false">IF(INDEX(成本费用登记表!$Q$4:$Y$303,98,1)=0,"",INDEX(成本费用登记表!$Q$4:$Y$303,98,1))</f>
        <v/>
      </c>
      <c r="F2401" s="99" t="str">
        <f aca="false">IF($E2401="","",IFERROR(INDEX(科目表!$A$4:$A$81,MATCH($E2401,科目表!$B$4:$B$81,0)),""))</f>
        <v/>
      </c>
      <c r="G2401" s="67" t="str">
        <f aca="false">IF($E2401="","",IFERROR(INDEX(科目表!$E$4:$E$81,MATCH($E2401,科目表!$B$4:$B$81,0)),""))</f>
        <v/>
      </c>
      <c r="H2401" s="70" t="str">
        <f aca="false">IF($E2401="","",N(INDEX(成本费用登记表!$Q$4:$Y$303,98,2)))</f>
        <v/>
      </c>
      <c r="I2401" s="70" t="str">
        <f aca="false">IF($E2401="","",N(INDEX(成本费用登记表!$Q$4:$Y$303,98,3)))</f>
        <v/>
      </c>
      <c r="J2401" s="67" t="str">
        <f aca="false">IF($E2401="","",INDEX(成本费用登记表!$C$4:$C$303,98))</f>
        <v/>
      </c>
      <c r="K2401" s="67" t="str">
        <f aca="false">IF($E2401="","",INDEX(成本费用登记表!$D$4:$D$303,98))</f>
        <v/>
      </c>
      <c r="L2401" s="107" t="str">
        <f aca="false">IF($E2401="","",INDEX(成本费用登记表!$N$4:$N$303,98))</f>
        <v/>
      </c>
      <c r="M2401" s="107"/>
      <c r="N2401" s="67" t="str">
        <f aca="false">IF($E2401="","","系统")</f>
        <v/>
      </c>
      <c r="O2401" s="67" t="str">
        <f aca="false">IF($E2401="","","自动C")</f>
        <v/>
      </c>
      <c r="P2401" s="18"/>
    </row>
    <row r="2402" customFormat="false" ht="18" hidden="false" customHeight="true" outlineLevel="0" collapsed="false">
      <c r="A2402" s="107" t="str">
        <f aca="false">IF($E2402="","",ROW()-3)</f>
        <v/>
      </c>
      <c r="B2402" s="110" t="str">
        <f aca="false">IF($E2402="","",INDEX(成本费用登记表!$B$4:$B$303,98))</f>
        <v/>
      </c>
      <c r="C2402" s="67" t="str">
        <f aca="false">IF($E2402="","","记-"&amp;TEXT($B2402,"YYYYMM")&amp;"-费用")</f>
        <v/>
      </c>
      <c r="D2402" s="107" t="str">
        <f aca="false">IF($E2402="","",INDEX(成本费用登记表!$E$4:$E$303,98))</f>
        <v/>
      </c>
      <c r="E2402" s="67" t="str">
        <f aca="false">IF(INDEX(成本费用登记表!$Q$4:$Y$303,98,4)=0,"",INDEX(成本费用登记表!$Q$4:$Y$303,98,4))</f>
        <v/>
      </c>
      <c r="F2402" s="99" t="str">
        <f aca="false">IF($E2402="","",IFERROR(INDEX(科目表!$A$4:$A$81,MATCH($E2402,科目表!$B$4:$B$81,0)),""))</f>
        <v/>
      </c>
      <c r="G2402" s="67" t="str">
        <f aca="false">IF($E2402="","",IFERROR(INDEX(科目表!$E$4:$E$81,MATCH($E2402,科目表!$B$4:$B$81,0)),""))</f>
        <v/>
      </c>
      <c r="H2402" s="70" t="str">
        <f aca="false">IF($E2402="","",N(INDEX(成本费用登记表!$Q$4:$Y$303,98,5)))</f>
        <v/>
      </c>
      <c r="I2402" s="70" t="str">
        <f aca="false">IF($E2402="","",N(INDEX(成本费用登记表!$Q$4:$Y$303,98,6)))</f>
        <v/>
      </c>
      <c r="J2402" s="67" t="str">
        <f aca="false">IF($E2402="","",INDEX(成本费用登记表!$C$4:$C$303,98))</f>
        <v/>
      </c>
      <c r="K2402" s="67" t="str">
        <f aca="false">IF($E2402="","",INDEX(成本费用登记表!$D$4:$D$303,98))</f>
        <v/>
      </c>
      <c r="L2402" s="107" t="str">
        <f aca="false">IF($E2402="","",INDEX(成本费用登记表!$N$4:$N$303,98))</f>
        <v/>
      </c>
      <c r="M2402" s="107"/>
      <c r="N2402" s="67" t="str">
        <f aca="false">IF($E2402="","","系统")</f>
        <v/>
      </c>
      <c r="O2402" s="67" t="str">
        <f aca="false">IF($E2402="","","自动C")</f>
        <v/>
      </c>
      <c r="P2402" s="18"/>
    </row>
    <row r="2403" customFormat="false" ht="18" hidden="false" customHeight="true" outlineLevel="0" collapsed="false">
      <c r="A2403" s="107" t="str">
        <f aca="false">IF($E2403="","",ROW()-3)</f>
        <v/>
      </c>
      <c r="B2403" s="110" t="str">
        <f aca="false">IF($E2403="","",INDEX(成本费用登记表!$B$4:$B$303,98))</f>
        <v/>
      </c>
      <c r="C2403" s="67" t="str">
        <f aca="false">IF($E2403="","","记-"&amp;TEXT($B2403,"YYYYMM")&amp;"-费用")</f>
        <v/>
      </c>
      <c r="D2403" s="107" t="str">
        <f aca="false">IF($E2403="","",INDEX(成本费用登记表!$E$4:$E$303,98))</f>
        <v/>
      </c>
      <c r="E2403" s="67" t="str">
        <f aca="false">IF(INDEX(成本费用登记表!$Q$4:$Y$303,98,7)=0,"",INDEX(成本费用登记表!$Q$4:$Y$303,98,7))</f>
        <v/>
      </c>
      <c r="F2403" s="99" t="str">
        <f aca="false">IF($E2403="","",IFERROR(INDEX(科目表!$A$4:$A$81,MATCH($E2403,科目表!$B$4:$B$81,0)),""))</f>
        <v/>
      </c>
      <c r="G2403" s="67" t="str">
        <f aca="false">IF($E2403="","",IFERROR(INDEX(科目表!$E$4:$E$81,MATCH($E2403,科目表!$B$4:$B$81,0)),""))</f>
        <v/>
      </c>
      <c r="H2403" s="70" t="str">
        <f aca="false">IF($E2403="","",N(INDEX(成本费用登记表!$Q$4:$Y$303,98,8)))</f>
        <v/>
      </c>
      <c r="I2403" s="70" t="str">
        <f aca="false">IF($E2403="","",N(INDEX(成本费用登记表!$Q$4:$Y$303,98,9)))</f>
        <v/>
      </c>
      <c r="J2403" s="67" t="str">
        <f aca="false">IF($E2403="","",INDEX(成本费用登记表!$C$4:$C$303,98))</f>
        <v/>
      </c>
      <c r="K2403" s="67" t="str">
        <f aca="false">IF($E2403="","",INDEX(成本费用登记表!$D$4:$D$303,98))</f>
        <v/>
      </c>
      <c r="L2403" s="107" t="str">
        <f aca="false">IF($E2403="","",INDEX(成本费用登记表!$N$4:$N$303,98))</f>
        <v/>
      </c>
      <c r="M2403" s="107"/>
      <c r="N2403" s="67" t="str">
        <f aca="false">IF($E2403="","","系统")</f>
        <v/>
      </c>
      <c r="O2403" s="67" t="str">
        <f aca="false">IF($E2403="","","自动C")</f>
        <v/>
      </c>
      <c r="P2403" s="18"/>
    </row>
    <row r="2404" customFormat="false" ht="18" hidden="false" customHeight="true" outlineLevel="0" collapsed="false">
      <c r="A2404" s="107" t="str">
        <f aca="false">IF($E2404="","",ROW()-3)</f>
        <v/>
      </c>
      <c r="B2404" s="110" t="str">
        <f aca="false">IF($E2404="","",INDEX(成本费用登记表!$B$4:$B$303,99))</f>
        <v/>
      </c>
      <c r="C2404" s="67" t="str">
        <f aca="false">IF($E2404="","","记-"&amp;TEXT($B2404,"YYYYMM")&amp;"-费用")</f>
        <v/>
      </c>
      <c r="D2404" s="107" t="str">
        <f aca="false">IF($E2404="","",INDEX(成本费用登记表!$E$4:$E$303,99))</f>
        <v/>
      </c>
      <c r="E2404" s="67" t="str">
        <f aca="false">IF(INDEX(成本费用登记表!$Q$4:$Y$303,99,1)=0,"",INDEX(成本费用登记表!$Q$4:$Y$303,99,1))</f>
        <v/>
      </c>
      <c r="F2404" s="99" t="str">
        <f aca="false">IF($E2404="","",IFERROR(INDEX(科目表!$A$4:$A$81,MATCH($E2404,科目表!$B$4:$B$81,0)),""))</f>
        <v/>
      </c>
      <c r="G2404" s="67" t="str">
        <f aca="false">IF($E2404="","",IFERROR(INDEX(科目表!$E$4:$E$81,MATCH($E2404,科目表!$B$4:$B$81,0)),""))</f>
        <v/>
      </c>
      <c r="H2404" s="70" t="str">
        <f aca="false">IF($E2404="","",N(INDEX(成本费用登记表!$Q$4:$Y$303,99,2)))</f>
        <v/>
      </c>
      <c r="I2404" s="70" t="str">
        <f aca="false">IF($E2404="","",N(INDEX(成本费用登记表!$Q$4:$Y$303,99,3)))</f>
        <v/>
      </c>
      <c r="J2404" s="67" t="str">
        <f aca="false">IF($E2404="","",INDEX(成本费用登记表!$C$4:$C$303,99))</f>
        <v/>
      </c>
      <c r="K2404" s="67" t="str">
        <f aca="false">IF($E2404="","",INDEX(成本费用登记表!$D$4:$D$303,99))</f>
        <v/>
      </c>
      <c r="L2404" s="107" t="str">
        <f aca="false">IF($E2404="","",INDEX(成本费用登记表!$N$4:$N$303,99))</f>
        <v/>
      </c>
      <c r="M2404" s="107"/>
      <c r="N2404" s="67" t="str">
        <f aca="false">IF($E2404="","","系统")</f>
        <v/>
      </c>
      <c r="O2404" s="67" t="str">
        <f aca="false">IF($E2404="","","自动C")</f>
        <v/>
      </c>
      <c r="P2404" s="18"/>
    </row>
    <row r="2405" customFormat="false" ht="18" hidden="false" customHeight="true" outlineLevel="0" collapsed="false">
      <c r="A2405" s="107" t="str">
        <f aca="false">IF($E2405="","",ROW()-3)</f>
        <v/>
      </c>
      <c r="B2405" s="110" t="str">
        <f aca="false">IF($E2405="","",INDEX(成本费用登记表!$B$4:$B$303,99))</f>
        <v/>
      </c>
      <c r="C2405" s="67" t="str">
        <f aca="false">IF($E2405="","","记-"&amp;TEXT($B2405,"YYYYMM")&amp;"-费用")</f>
        <v/>
      </c>
      <c r="D2405" s="107" t="str">
        <f aca="false">IF($E2405="","",INDEX(成本费用登记表!$E$4:$E$303,99))</f>
        <v/>
      </c>
      <c r="E2405" s="67" t="str">
        <f aca="false">IF(INDEX(成本费用登记表!$Q$4:$Y$303,99,4)=0,"",INDEX(成本费用登记表!$Q$4:$Y$303,99,4))</f>
        <v/>
      </c>
      <c r="F2405" s="99" t="str">
        <f aca="false">IF($E2405="","",IFERROR(INDEX(科目表!$A$4:$A$81,MATCH($E2405,科目表!$B$4:$B$81,0)),""))</f>
        <v/>
      </c>
      <c r="G2405" s="67" t="str">
        <f aca="false">IF($E2405="","",IFERROR(INDEX(科目表!$E$4:$E$81,MATCH($E2405,科目表!$B$4:$B$81,0)),""))</f>
        <v/>
      </c>
      <c r="H2405" s="70" t="str">
        <f aca="false">IF($E2405="","",N(INDEX(成本费用登记表!$Q$4:$Y$303,99,5)))</f>
        <v/>
      </c>
      <c r="I2405" s="70" t="str">
        <f aca="false">IF($E2405="","",N(INDEX(成本费用登记表!$Q$4:$Y$303,99,6)))</f>
        <v/>
      </c>
      <c r="J2405" s="67" t="str">
        <f aca="false">IF($E2405="","",INDEX(成本费用登记表!$C$4:$C$303,99))</f>
        <v/>
      </c>
      <c r="K2405" s="67" t="str">
        <f aca="false">IF($E2405="","",INDEX(成本费用登记表!$D$4:$D$303,99))</f>
        <v/>
      </c>
      <c r="L2405" s="107" t="str">
        <f aca="false">IF($E2405="","",INDEX(成本费用登记表!$N$4:$N$303,99))</f>
        <v/>
      </c>
      <c r="M2405" s="107"/>
      <c r="N2405" s="67" t="str">
        <f aca="false">IF($E2405="","","系统")</f>
        <v/>
      </c>
      <c r="O2405" s="67" t="str">
        <f aca="false">IF($E2405="","","自动C")</f>
        <v/>
      </c>
      <c r="P2405" s="18"/>
    </row>
    <row r="2406" customFormat="false" ht="18" hidden="false" customHeight="true" outlineLevel="0" collapsed="false">
      <c r="A2406" s="107" t="str">
        <f aca="false">IF($E2406="","",ROW()-3)</f>
        <v/>
      </c>
      <c r="B2406" s="110" t="str">
        <f aca="false">IF($E2406="","",INDEX(成本费用登记表!$B$4:$B$303,99))</f>
        <v/>
      </c>
      <c r="C2406" s="67" t="str">
        <f aca="false">IF($E2406="","","记-"&amp;TEXT($B2406,"YYYYMM")&amp;"-费用")</f>
        <v/>
      </c>
      <c r="D2406" s="107" t="str">
        <f aca="false">IF($E2406="","",INDEX(成本费用登记表!$E$4:$E$303,99))</f>
        <v/>
      </c>
      <c r="E2406" s="67" t="str">
        <f aca="false">IF(INDEX(成本费用登记表!$Q$4:$Y$303,99,7)=0,"",INDEX(成本费用登记表!$Q$4:$Y$303,99,7))</f>
        <v/>
      </c>
      <c r="F2406" s="99" t="str">
        <f aca="false">IF($E2406="","",IFERROR(INDEX(科目表!$A$4:$A$81,MATCH($E2406,科目表!$B$4:$B$81,0)),""))</f>
        <v/>
      </c>
      <c r="G2406" s="67" t="str">
        <f aca="false">IF($E2406="","",IFERROR(INDEX(科目表!$E$4:$E$81,MATCH($E2406,科目表!$B$4:$B$81,0)),""))</f>
        <v/>
      </c>
      <c r="H2406" s="70" t="str">
        <f aca="false">IF($E2406="","",N(INDEX(成本费用登记表!$Q$4:$Y$303,99,8)))</f>
        <v/>
      </c>
      <c r="I2406" s="70" t="str">
        <f aca="false">IF($E2406="","",N(INDEX(成本费用登记表!$Q$4:$Y$303,99,9)))</f>
        <v/>
      </c>
      <c r="J2406" s="67" t="str">
        <f aca="false">IF($E2406="","",INDEX(成本费用登记表!$C$4:$C$303,99))</f>
        <v/>
      </c>
      <c r="K2406" s="67" t="str">
        <f aca="false">IF($E2406="","",INDEX(成本费用登记表!$D$4:$D$303,99))</f>
        <v/>
      </c>
      <c r="L2406" s="107" t="str">
        <f aca="false">IF($E2406="","",INDEX(成本费用登记表!$N$4:$N$303,99))</f>
        <v/>
      </c>
      <c r="M2406" s="107"/>
      <c r="N2406" s="67" t="str">
        <f aca="false">IF($E2406="","","系统")</f>
        <v/>
      </c>
      <c r="O2406" s="67" t="str">
        <f aca="false">IF($E2406="","","自动C")</f>
        <v/>
      </c>
      <c r="P2406" s="18"/>
    </row>
    <row r="2407" customFormat="false" ht="18" hidden="false" customHeight="true" outlineLevel="0" collapsed="false">
      <c r="A2407" s="107" t="str">
        <f aca="false">IF($E2407="","",ROW()-3)</f>
        <v/>
      </c>
      <c r="B2407" s="110" t="str">
        <f aca="false">IF($E2407="","",INDEX(成本费用登记表!$B$4:$B$303,100))</f>
        <v/>
      </c>
      <c r="C2407" s="67" t="str">
        <f aca="false">IF($E2407="","","记-"&amp;TEXT($B2407,"YYYYMM")&amp;"-费用")</f>
        <v/>
      </c>
      <c r="D2407" s="107" t="str">
        <f aca="false">IF($E2407="","",INDEX(成本费用登记表!$E$4:$E$303,100))</f>
        <v/>
      </c>
      <c r="E2407" s="67" t="str">
        <f aca="false">IF(INDEX(成本费用登记表!$Q$4:$Y$303,100,1)=0,"",INDEX(成本费用登记表!$Q$4:$Y$303,100,1))</f>
        <v/>
      </c>
      <c r="F2407" s="99" t="str">
        <f aca="false">IF($E2407="","",IFERROR(INDEX(科目表!$A$4:$A$81,MATCH($E2407,科目表!$B$4:$B$81,0)),""))</f>
        <v/>
      </c>
      <c r="G2407" s="67" t="str">
        <f aca="false">IF($E2407="","",IFERROR(INDEX(科目表!$E$4:$E$81,MATCH($E2407,科目表!$B$4:$B$81,0)),""))</f>
        <v/>
      </c>
      <c r="H2407" s="70" t="str">
        <f aca="false">IF($E2407="","",N(INDEX(成本费用登记表!$Q$4:$Y$303,100,2)))</f>
        <v/>
      </c>
      <c r="I2407" s="70" t="str">
        <f aca="false">IF($E2407="","",N(INDEX(成本费用登记表!$Q$4:$Y$303,100,3)))</f>
        <v/>
      </c>
      <c r="J2407" s="67" t="str">
        <f aca="false">IF($E2407="","",INDEX(成本费用登记表!$C$4:$C$303,100))</f>
        <v/>
      </c>
      <c r="K2407" s="67" t="str">
        <f aca="false">IF($E2407="","",INDEX(成本费用登记表!$D$4:$D$303,100))</f>
        <v/>
      </c>
      <c r="L2407" s="107" t="str">
        <f aca="false">IF($E2407="","",INDEX(成本费用登记表!$N$4:$N$303,100))</f>
        <v/>
      </c>
      <c r="M2407" s="107"/>
      <c r="N2407" s="67" t="str">
        <f aca="false">IF($E2407="","","系统")</f>
        <v/>
      </c>
      <c r="O2407" s="67" t="str">
        <f aca="false">IF($E2407="","","自动C")</f>
        <v/>
      </c>
      <c r="P2407" s="18"/>
    </row>
    <row r="2408" customFormat="false" ht="18" hidden="false" customHeight="true" outlineLevel="0" collapsed="false">
      <c r="A2408" s="107" t="str">
        <f aca="false">IF($E2408="","",ROW()-3)</f>
        <v/>
      </c>
      <c r="B2408" s="110" t="str">
        <f aca="false">IF($E2408="","",INDEX(成本费用登记表!$B$4:$B$303,100))</f>
        <v/>
      </c>
      <c r="C2408" s="67" t="str">
        <f aca="false">IF($E2408="","","记-"&amp;TEXT($B2408,"YYYYMM")&amp;"-费用")</f>
        <v/>
      </c>
      <c r="D2408" s="107" t="str">
        <f aca="false">IF($E2408="","",INDEX(成本费用登记表!$E$4:$E$303,100))</f>
        <v/>
      </c>
      <c r="E2408" s="67" t="str">
        <f aca="false">IF(INDEX(成本费用登记表!$Q$4:$Y$303,100,4)=0,"",INDEX(成本费用登记表!$Q$4:$Y$303,100,4))</f>
        <v/>
      </c>
      <c r="F2408" s="99" t="str">
        <f aca="false">IF($E2408="","",IFERROR(INDEX(科目表!$A$4:$A$81,MATCH($E2408,科目表!$B$4:$B$81,0)),""))</f>
        <v/>
      </c>
      <c r="G2408" s="67" t="str">
        <f aca="false">IF($E2408="","",IFERROR(INDEX(科目表!$E$4:$E$81,MATCH($E2408,科目表!$B$4:$B$81,0)),""))</f>
        <v/>
      </c>
      <c r="H2408" s="70" t="str">
        <f aca="false">IF($E2408="","",N(INDEX(成本费用登记表!$Q$4:$Y$303,100,5)))</f>
        <v/>
      </c>
      <c r="I2408" s="70" t="str">
        <f aca="false">IF($E2408="","",N(INDEX(成本费用登记表!$Q$4:$Y$303,100,6)))</f>
        <v/>
      </c>
      <c r="J2408" s="67" t="str">
        <f aca="false">IF($E2408="","",INDEX(成本费用登记表!$C$4:$C$303,100))</f>
        <v/>
      </c>
      <c r="K2408" s="67" t="str">
        <f aca="false">IF($E2408="","",INDEX(成本费用登记表!$D$4:$D$303,100))</f>
        <v/>
      </c>
      <c r="L2408" s="107" t="str">
        <f aca="false">IF($E2408="","",INDEX(成本费用登记表!$N$4:$N$303,100))</f>
        <v/>
      </c>
      <c r="M2408" s="107"/>
      <c r="N2408" s="67" t="str">
        <f aca="false">IF($E2408="","","系统")</f>
        <v/>
      </c>
      <c r="O2408" s="67" t="str">
        <f aca="false">IF($E2408="","","自动C")</f>
        <v/>
      </c>
      <c r="P2408" s="18"/>
    </row>
    <row r="2409" customFormat="false" ht="18" hidden="false" customHeight="true" outlineLevel="0" collapsed="false">
      <c r="A2409" s="107" t="str">
        <f aca="false">IF($E2409="","",ROW()-3)</f>
        <v/>
      </c>
      <c r="B2409" s="110" t="str">
        <f aca="false">IF($E2409="","",INDEX(成本费用登记表!$B$4:$B$303,100))</f>
        <v/>
      </c>
      <c r="C2409" s="67" t="str">
        <f aca="false">IF($E2409="","","记-"&amp;TEXT($B2409,"YYYYMM")&amp;"-费用")</f>
        <v/>
      </c>
      <c r="D2409" s="107" t="str">
        <f aca="false">IF($E2409="","",INDEX(成本费用登记表!$E$4:$E$303,100))</f>
        <v/>
      </c>
      <c r="E2409" s="67" t="str">
        <f aca="false">IF(INDEX(成本费用登记表!$Q$4:$Y$303,100,7)=0,"",INDEX(成本费用登记表!$Q$4:$Y$303,100,7))</f>
        <v/>
      </c>
      <c r="F2409" s="99" t="str">
        <f aca="false">IF($E2409="","",IFERROR(INDEX(科目表!$A$4:$A$81,MATCH($E2409,科目表!$B$4:$B$81,0)),""))</f>
        <v/>
      </c>
      <c r="G2409" s="67" t="str">
        <f aca="false">IF($E2409="","",IFERROR(INDEX(科目表!$E$4:$E$81,MATCH($E2409,科目表!$B$4:$B$81,0)),""))</f>
        <v/>
      </c>
      <c r="H2409" s="70" t="str">
        <f aca="false">IF($E2409="","",N(INDEX(成本费用登记表!$Q$4:$Y$303,100,8)))</f>
        <v/>
      </c>
      <c r="I2409" s="70" t="str">
        <f aca="false">IF($E2409="","",N(INDEX(成本费用登记表!$Q$4:$Y$303,100,9)))</f>
        <v/>
      </c>
      <c r="J2409" s="67" t="str">
        <f aca="false">IF($E2409="","",INDEX(成本费用登记表!$C$4:$C$303,100))</f>
        <v/>
      </c>
      <c r="K2409" s="67" t="str">
        <f aca="false">IF($E2409="","",INDEX(成本费用登记表!$D$4:$D$303,100))</f>
        <v/>
      </c>
      <c r="L2409" s="107" t="str">
        <f aca="false">IF($E2409="","",INDEX(成本费用登记表!$N$4:$N$303,100))</f>
        <v/>
      </c>
      <c r="M2409" s="107"/>
      <c r="N2409" s="67" t="str">
        <f aca="false">IF($E2409="","","系统")</f>
        <v/>
      </c>
      <c r="O2409" s="67" t="str">
        <f aca="false">IF($E2409="","","自动C")</f>
        <v/>
      </c>
      <c r="P2409" s="18"/>
    </row>
    <row r="2410" customFormat="false" ht="18" hidden="false" customHeight="true" outlineLevel="0" collapsed="false">
      <c r="A2410" s="107" t="str">
        <f aca="false">IF($E2410="","",ROW()-3)</f>
        <v/>
      </c>
      <c r="B2410" s="110" t="str">
        <f aca="false">IF($E2410="","",INDEX(成本费用登记表!$B$4:$B$303,101))</f>
        <v/>
      </c>
      <c r="C2410" s="67" t="str">
        <f aca="false">IF($E2410="","","记-"&amp;TEXT($B2410,"YYYYMM")&amp;"-费用")</f>
        <v/>
      </c>
      <c r="D2410" s="107" t="str">
        <f aca="false">IF($E2410="","",INDEX(成本费用登记表!$E$4:$E$303,101))</f>
        <v/>
      </c>
      <c r="E2410" s="67" t="str">
        <f aca="false">IF(INDEX(成本费用登记表!$Q$4:$Y$303,101,1)=0,"",INDEX(成本费用登记表!$Q$4:$Y$303,101,1))</f>
        <v/>
      </c>
      <c r="F2410" s="99" t="str">
        <f aca="false">IF($E2410="","",IFERROR(INDEX(科目表!$A$4:$A$81,MATCH($E2410,科目表!$B$4:$B$81,0)),""))</f>
        <v/>
      </c>
      <c r="G2410" s="67" t="str">
        <f aca="false">IF($E2410="","",IFERROR(INDEX(科目表!$E$4:$E$81,MATCH($E2410,科目表!$B$4:$B$81,0)),""))</f>
        <v/>
      </c>
      <c r="H2410" s="70" t="str">
        <f aca="false">IF($E2410="","",N(INDEX(成本费用登记表!$Q$4:$Y$303,101,2)))</f>
        <v/>
      </c>
      <c r="I2410" s="70" t="str">
        <f aca="false">IF($E2410="","",N(INDEX(成本费用登记表!$Q$4:$Y$303,101,3)))</f>
        <v/>
      </c>
      <c r="J2410" s="67" t="str">
        <f aca="false">IF($E2410="","",INDEX(成本费用登记表!$C$4:$C$303,101))</f>
        <v/>
      </c>
      <c r="K2410" s="67" t="str">
        <f aca="false">IF($E2410="","",INDEX(成本费用登记表!$D$4:$D$303,101))</f>
        <v/>
      </c>
      <c r="L2410" s="107" t="str">
        <f aca="false">IF($E2410="","",INDEX(成本费用登记表!$N$4:$N$303,101))</f>
        <v/>
      </c>
      <c r="M2410" s="107"/>
      <c r="N2410" s="67" t="str">
        <f aca="false">IF($E2410="","","系统")</f>
        <v/>
      </c>
      <c r="O2410" s="67" t="str">
        <f aca="false">IF($E2410="","","自动C")</f>
        <v/>
      </c>
      <c r="P2410" s="18"/>
    </row>
    <row r="2411" customFormat="false" ht="18" hidden="false" customHeight="true" outlineLevel="0" collapsed="false">
      <c r="A2411" s="107" t="str">
        <f aca="false">IF($E2411="","",ROW()-3)</f>
        <v/>
      </c>
      <c r="B2411" s="110" t="str">
        <f aca="false">IF($E2411="","",INDEX(成本费用登记表!$B$4:$B$303,101))</f>
        <v/>
      </c>
      <c r="C2411" s="67" t="str">
        <f aca="false">IF($E2411="","","记-"&amp;TEXT($B2411,"YYYYMM")&amp;"-费用")</f>
        <v/>
      </c>
      <c r="D2411" s="107" t="str">
        <f aca="false">IF($E2411="","",INDEX(成本费用登记表!$E$4:$E$303,101))</f>
        <v/>
      </c>
      <c r="E2411" s="67" t="str">
        <f aca="false">IF(INDEX(成本费用登记表!$Q$4:$Y$303,101,4)=0,"",INDEX(成本费用登记表!$Q$4:$Y$303,101,4))</f>
        <v/>
      </c>
      <c r="F2411" s="99" t="str">
        <f aca="false">IF($E2411="","",IFERROR(INDEX(科目表!$A$4:$A$81,MATCH($E2411,科目表!$B$4:$B$81,0)),""))</f>
        <v/>
      </c>
      <c r="G2411" s="67" t="str">
        <f aca="false">IF($E2411="","",IFERROR(INDEX(科目表!$E$4:$E$81,MATCH($E2411,科目表!$B$4:$B$81,0)),""))</f>
        <v/>
      </c>
      <c r="H2411" s="70" t="str">
        <f aca="false">IF($E2411="","",N(INDEX(成本费用登记表!$Q$4:$Y$303,101,5)))</f>
        <v/>
      </c>
      <c r="I2411" s="70" t="str">
        <f aca="false">IF($E2411="","",N(INDEX(成本费用登记表!$Q$4:$Y$303,101,6)))</f>
        <v/>
      </c>
      <c r="J2411" s="67" t="str">
        <f aca="false">IF($E2411="","",INDEX(成本费用登记表!$C$4:$C$303,101))</f>
        <v/>
      </c>
      <c r="K2411" s="67" t="str">
        <f aca="false">IF($E2411="","",INDEX(成本费用登记表!$D$4:$D$303,101))</f>
        <v/>
      </c>
      <c r="L2411" s="107" t="str">
        <f aca="false">IF($E2411="","",INDEX(成本费用登记表!$N$4:$N$303,101))</f>
        <v/>
      </c>
      <c r="M2411" s="107"/>
      <c r="N2411" s="67" t="str">
        <f aca="false">IF($E2411="","","系统")</f>
        <v/>
      </c>
      <c r="O2411" s="67" t="str">
        <f aca="false">IF($E2411="","","自动C")</f>
        <v/>
      </c>
      <c r="P2411" s="18"/>
    </row>
    <row r="2412" customFormat="false" ht="18" hidden="false" customHeight="true" outlineLevel="0" collapsed="false">
      <c r="A2412" s="107" t="str">
        <f aca="false">IF($E2412="","",ROW()-3)</f>
        <v/>
      </c>
      <c r="B2412" s="110" t="str">
        <f aca="false">IF($E2412="","",INDEX(成本费用登记表!$B$4:$B$303,101))</f>
        <v/>
      </c>
      <c r="C2412" s="67" t="str">
        <f aca="false">IF($E2412="","","记-"&amp;TEXT($B2412,"YYYYMM")&amp;"-费用")</f>
        <v/>
      </c>
      <c r="D2412" s="107" t="str">
        <f aca="false">IF($E2412="","",INDEX(成本费用登记表!$E$4:$E$303,101))</f>
        <v/>
      </c>
      <c r="E2412" s="67" t="str">
        <f aca="false">IF(INDEX(成本费用登记表!$Q$4:$Y$303,101,7)=0,"",INDEX(成本费用登记表!$Q$4:$Y$303,101,7))</f>
        <v/>
      </c>
      <c r="F2412" s="99" t="str">
        <f aca="false">IF($E2412="","",IFERROR(INDEX(科目表!$A$4:$A$81,MATCH($E2412,科目表!$B$4:$B$81,0)),""))</f>
        <v/>
      </c>
      <c r="G2412" s="67" t="str">
        <f aca="false">IF($E2412="","",IFERROR(INDEX(科目表!$E$4:$E$81,MATCH($E2412,科目表!$B$4:$B$81,0)),""))</f>
        <v/>
      </c>
      <c r="H2412" s="70" t="str">
        <f aca="false">IF($E2412="","",N(INDEX(成本费用登记表!$Q$4:$Y$303,101,8)))</f>
        <v/>
      </c>
      <c r="I2412" s="70" t="str">
        <f aca="false">IF($E2412="","",N(INDEX(成本费用登记表!$Q$4:$Y$303,101,9)))</f>
        <v/>
      </c>
      <c r="J2412" s="67" t="str">
        <f aca="false">IF($E2412="","",INDEX(成本费用登记表!$C$4:$C$303,101))</f>
        <v/>
      </c>
      <c r="K2412" s="67" t="str">
        <f aca="false">IF($E2412="","",INDEX(成本费用登记表!$D$4:$D$303,101))</f>
        <v/>
      </c>
      <c r="L2412" s="107" t="str">
        <f aca="false">IF($E2412="","",INDEX(成本费用登记表!$N$4:$N$303,101))</f>
        <v/>
      </c>
      <c r="M2412" s="107"/>
      <c r="N2412" s="67" t="str">
        <f aca="false">IF($E2412="","","系统")</f>
        <v/>
      </c>
      <c r="O2412" s="67" t="str">
        <f aca="false">IF($E2412="","","自动C")</f>
        <v/>
      </c>
      <c r="P2412" s="18"/>
    </row>
    <row r="2413" customFormat="false" ht="18" hidden="false" customHeight="true" outlineLevel="0" collapsed="false">
      <c r="A2413" s="107" t="str">
        <f aca="false">IF($E2413="","",ROW()-3)</f>
        <v/>
      </c>
      <c r="B2413" s="110" t="str">
        <f aca="false">IF($E2413="","",INDEX(成本费用登记表!$B$4:$B$303,102))</f>
        <v/>
      </c>
      <c r="C2413" s="67" t="str">
        <f aca="false">IF($E2413="","","记-"&amp;TEXT($B2413,"YYYYMM")&amp;"-费用")</f>
        <v/>
      </c>
      <c r="D2413" s="107" t="str">
        <f aca="false">IF($E2413="","",INDEX(成本费用登记表!$E$4:$E$303,102))</f>
        <v/>
      </c>
      <c r="E2413" s="67" t="str">
        <f aca="false">IF(INDEX(成本费用登记表!$Q$4:$Y$303,102,1)=0,"",INDEX(成本费用登记表!$Q$4:$Y$303,102,1))</f>
        <v/>
      </c>
      <c r="F2413" s="99" t="str">
        <f aca="false">IF($E2413="","",IFERROR(INDEX(科目表!$A$4:$A$81,MATCH($E2413,科目表!$B$4:$B$81,0)),""))</f>
        <v/>
      </c>
      <c r="G2413" s="67" t="str">
        <f aca="false">IF($E2413="","",IFERROR(INDEX(科目表!$E$4:$E$81,MATCH($E2413,科目表!$B$4:$B$81,0)),""))</f>
        <v/>
      </c>
      <c r="H2413" s="70" t="str">
        <f aca="false">IF($E2413="","",N(INDEX(成本费用登记表!$Q$4:$Y$303,102,2)))</f>
        <v/>
      </c>
      <c r="I2413" s="70" t="str">
        <f aca="false">IF($E2413="","",N(INDEX(成本费用登记表!$Q$4:$Y$303,102,3)))</f>
        <v/>
      </c>
      <c r="J2413" s="67" t="str">
        <f aca="false">IF($E2413="","",INDEX(成本费用登记表!$C$4:$C$303,102))</f>
        <v/>
      </c>
      <c r="K2413" s="67" t="str">
        <f aca="false">IF($E2413="","",INDEX(成本费用登记表!$D$4:$D$303,102))</f>
        <v/>
      </c>
      <c r="L2413" s="107" t="str">
        <f aca="false">IF($E2413="","",INDEX(成本费用登记表!$N$4:$N$303,102))</f>
        <v/>
      </c>
      <c r="M2413" s="107"/>
      <c r="N2413" s="67" t="str">
        <f aca="false">IF($E2413="","","系统")</f>
        <v/>
      </c>
      <c r="O2413" s="67" t="str">
        <f aca="false">IF($E2413="","","自动C")</f>
        <v/>
      </c>
      <c r="P2413" s="18"/>
    </row>
    <row r="2414" customFormat="false" ht="18" hidden="false" customHeight="true" outlineLevel="0" collapsed="false">
      <c r="A2414" s="107" t="str">
        <f aca="false">IF($E2414="","",ROW()-3)</f>
        <v/>
      </c>
      <c r="B2414" s="110" t="str">
        <f aca="false">IF($E2414="","",INDEX(成本费用登记表!$B$4:$B$303,102))</f>
        <v/>
      </c>
      <c r="C2414" s="67" t="str">
        <f aca="false">IF($E2414="","","记-"&amp;TEXT($B2414,"YYYYMM")&amp;"-费用")</f>
        <v/>
      </c>
      <c r="D2414" s="107" t="str">
        <f aca="false">IF($E2414="","",INDEX(成本费用登记表!$E$4:$E$303,102))</f>
        <v/>
      </c>
      <c r="E2414" s="67" t="str">
        <f aca="false">IF(INDEX(成本费用登记表!$Q$4:$Y$303,102,4)=0,"",INDEX(成本费用登记表!$Q$4:$Y$303,102,4))</f>
        <v/>
      </c>
      <c r="F2414" s="99" t="str">
        <f aca="false">IF($E2414="","",IFERROR(INDEX(科目表!$A$4:$A$81,MATCH($E2414,科目表!$B$4:$B$81,0)),""))</f>
        <v/>
      </c>
      <c r="G2414" s="67" t="str">
        <f aca="false">IF($E2414="","",IFERROR(INDEX(科目表!$E$4:$E$81,MATCH($E2414,科目表!$B$4:$B$81,0)),""))</f>
        <v/>
      </c>
      <c r="H2414" s="70" t="str">
        <f aca="false">IF($E2414="","",N(INDEX(成本费用登记表!$Q$4:$Y$303,102,5)))</f>
        <v/>
      </c>
      <c r="I2414" s="70" t="str">
        <f aca="false">IF($E2414="","",N(INDEX(成本费用登记表!$Q$4:$Y$303,102,6)))</f>
        <v/>
      </c>
      <c r="J2414" s="67" t="str">
        <f aca="false">IF($E2414="","",INDEX(成本费用登记表!$C$4:$C$303,102))</f>
        <v/>
      </c>
      <c r="K2414" s="67" t="str">
        <f aca="false">IF($E2414="","",INDEX(成本费用登记表!$D$4:$D$303,102))</f>
        <v/>
      </c>
      <c r="L2414" s="107" t="str">
        <f aca="false">IF($E2414="","",INDEX(成本费用登记表!$N$4:$N$303,102))</f>
        <v/>
      </c>
      <c r="M2414" s="107"/>
      <c r="N2414" s="67" t="str">
        <f aca="false">IF($E2414="","","系统")</f>
        <v/>
      </c>
      <c r="O2414" s="67" t="str">
        <f aca="false">IF($E2414="","","自动C")</f>
        <v/>
      </c>
      <c r="P2414" s="18"/>
    </row>
    <row r="2415" customFormat="false" ht="18" hidden="false" customHeight="true" outlineLevel="0" collapsed="false">
      <c r="A2415" s="107" t="str">
        <f aca="false">IF($E2415="","",ROW()-3)</f>
        <v/>
      </c>
      <c r="B2415" s="110" t="str">
        <f aca="false">IF($E2415="","",INDEX(成本费用登记表!$B$4:$B$303,102))</f>
        <v/>
      </c>
      <c r="C2415" s="67" t="str">
        <f aca="false">IF($E2415="","","记-"&amp;TEXT($B2415,"YYYYMM")&amp;"-费用")</f>
        <v/>
      </c>
      <c r="D2415" s="107" t="str">
        <f aca="false">IF($E2415="","",INDEX(成本费用登记表!$E$4:$E$303,102))</f>
        <v/>
      </c>
      <c r="E2415" s="67" t="str">
        <f aca="false">IF(INDEX(成本费用登记表!$Q$4:$Y$303,102,7)=0,"",INDEX(成本费用登记表!$Q$4:$Y$303,102,7))</f>
        <v/>
      </c>
      <c r="F2415" s="99" t="str">
        <f aca="false">IF($E2415="","",IFERROR(INDEX(科目表!$A$4:$A$81,MATCH($E2415,科目表!$B$4:$B$81,0)),""))</f>
        <v/>
      </c>
      <c r="G2415" s="67" t="str">
        <f aca="false">IF($E2415="","",IFERROR(INDEX(科目表!$E$4:$E$81,MATCH($E2415,科目表!$B$4:$B$81,0)),""))</f>
        <v/>
      </c>
      <c r="H2415" s="70" t="str">
        <f aca="false">IF($E2415="","",N(INDEX(成本费用登记表!$Q$4:$Y$303,102,8)))</f>
        <v/>
      </c>
      <c r="I2415" s="70" t="str">
        <f aca="false">IF($E2415="","",N(INDEX(成本费用登记表!$Q$4:$Y$303,102,9)))</f>
        <v/>
      </c>
      <c r="J2415" s="67" t="str">
        <f aca="false">IF($E2415="","",INDEX(成本费用登记表!$C$4:$C$303,102))</f>
        <v/>
      </c>
      <c r="K2415" s="67" t="str">
        <f aca="false">IF($E2415="","",INDEX(成本费用登记表!$D$4:$D$303,102))</f>
        <v/>
      </c>
      <c r="L2415" s="107" t="str">
        <f aca="false">IF($E2415="","",INDEX(成本费用登记表!$N$4:$N$303,102))</f>
        <v/>
      </c>
      <c r="M2415" s="107"/>
      <c r="N2415" s="67" t="str">
        <f aca="false">IF($E2415="","","系统")</f>
        <v/>
      </c>
      <c r="O2415" s="67" t="str">
        <f aca="false">IF($E2415="","","自动C")</f>
        <v/>
      </c>
      <c r="P2415" s="18"/>
    </row>
    <row r="2416" customFormat="false" ht="18" hidden="false" customHeight="true" outlineLevel="0" collapsed="false">
      <c r="A2416" s="107" t="str">
        <f aca="false">IF($E2416="","",ROW()-3)</f>
        <v/>
      </c>
      <c r="B2416" s="110" t="str">
        <f aca="false">IF($E2416="","",INDEX(成本费用登记表!$B$4:$B$303,103))</f>
        <v/>
      </c>
      <c r="C2416" s="67" t="str">
        <f aca="false">IF($E2416="","","记-"&amp;TEXT($B2416,"YYYYMM")&amp;"-费用")</f>
        <v/>
      </c>
      <c r="D2416" s="107" t="str">
        <f aca="false">IF($E2416="","",INDEX(成本费用登记表!$E$4:$E$303,103))</f>
        <v/>
      </c>
      <c r="E2416" s="67" t="str">
        <f aca="false">IF(INDEX(成本费用登记表!$Q$4:$Y$303,103,1)=0,"",INDEX(成本费用登记表!$Q$4:$Y$303,103,1))</f>
        <v/>
      </c>
      <c r="F2416" s="99" t="str">
        <f aca="false">IF($E2416="","",IFERROR(INDEX(科目表!$A$4:$A$81,MATCH($E2416,科目表!$B$4:$B$81,0)),""))</f>
        <v/>
      </c>
      <c r="G2416" s="67" t="str">
        <f aca="false">IF($E2416="","",IFERROR(INDEX(科目表!$E$4:$E$81,MATCH($E2416,科目表!$B$4:$B$81,0)),""))</f>
        <v/>
      </c>
      <c r="H2416" s="70" t="str">
        <f aca="false">IF($E2416="","",N(INDEX(成本费用登记表!$Q$4:$Y$303,103,2)))</f>
        <v/>
      </c>
      <c r="I2416" s="70" t="str">
        <f aca="false">IF($E2416="","",N(INDEX(成本费用登记表!$Q$4:$Y$303,103,3)))</f>
        <v/>
      </c>
      <c r="J2416" s="67" t="str">
        <f aca="false">IF($E2416="","",INDEX(成本费用登记表!$C$4:$C$303,103))</f>
        <v/>
      </c>
      <c r="K2416" s="67" t="str">
        <f aca="false">IF($E2416="","",INDEX(成本费用登记表!$D$4:$D$303,103))</f>
        <v/>
      </c>
      <c r="L2416" s="107" t="str">
        <f aca="false">IF($E2416="","",INDEX(成本费用登记表!$N$4:$N$303,103))</f>
        <v/>
      </c>
      <c r="M2416" s="107"/>
      <c r="N2416" s="67" t="str">
        <f aca="false">IF($E2416="","","系统")</f>
        <v/>
      </c>
      <c r="O2416" s="67" t="str">
        <f aca="false">IF($E2416="","","自动C")</f>
        <v/>
      </c>
      <c r="P2416" s="18"/>
    </row>
    <row r="2417" customFormat="false" ht="18" hidden="false" customHeight="true" outlineLevel="0" collapsed="false">
      <c r="A2417" s="107" t="str">
        <f aca="false">IF($E2417="","",ROW()-3)</f>
        <v/>
      </c>
      <c r="B2417" s="110" t="str">
        <f aca="false">IF($E2417="","",INDEX(成本费用登记表!$B$4:$B$303,103))</f>
        <v/>
      </c>
      <c r="C2417" s="67" t="str">
        <f aca="false">IF($E2417="","","记-"&amp;TEXT($B2417,"YYYYMM")&amp;"-费用")</f>
        <v/>
      </c>
      <c r="D2417" s="107" t="str">
        <f aca="false">IF($E2417="","",INDEX(成本费用登记表!$E$4:$E$303,103))</f>
        <v/>
      </c>
      <c r="E2417" s="67" t="str">
        <f aca="false">IF(INDEX(成本费用登记表!$Q$4:$Y$303,103,4)=0,"",INDEX(成本费用登记表!$Q$4:$Y$303,103,4))</f>
        <v/>
      </c>
      <c r="F2417" s="99" t="str">
        <f aca="false">IF($E2417="","",IFERROR(INDEX(科目表!$A$4:$A$81,MATCH($E2417,科目表!$B$4:$B$81,0)),""))</f>
        <v/>
      </c>
      <c r="G2417" s="67" t="str">
        <f aca="false">IF($E2417="","",IFERROR(INDEX(科目表!$E$4:$E$81,MATCH($E2417,科目表!$B$4:$B$81,0)),""))</f>
        <v/>
      </c>
      <c r="H2417" s="70" t="str">
        <f aca="false">IF($E2417="","",N(INDEX(成本费用登记表!$Q$4:$Y$303,103,5)))</f>
        <v/>
      </c>
      <c r="I2417" s="70" t="str">
        <f aca="false">IF($E2417="","",N(INDEX(成本费用登记表!$Q$4:$Y$303,103,6)))</f>
        <v/>
      </c>
      <c r="J2417" s="67" t="str">
        <f aca="false">IF($E2417="","",INDEX(成本费用登记表!$C$4:$C$303,103))</f>
        <v/>
      </c>
      <c r="K2417" s="67" t="str">
        <f aca="false">IF($E2417="","",INDEX(成本费用登记表!$D$4:$D$303,103))</f>
        <v/>
      </c>
      <c r="L2417" s="107" t="str">
        <f aca="false">IF($E2417="","",INDEX(成本费用登记表!$N$4:$N$303,103))</f>
        <v/>
      </c>
      <c r="M2417" s="107"/>
      <c r="N2417" s="67" t="str">
        <f aca="false">IF($E2417="","","系统")</f>
        <v/>
      </c>
      <c r="O2417" s="67" t="str">
        <f aca="false">IF($E2417="","","自动C")</f>
        <v/>
      </c>
      <c r="P2417" s="18"/>
    </row>
    <row r="2418" customFormat="false" ht="18" hidden="false" customHeight="true" outlineLevel="0" collapsed="false">
      <c r="A2418" s="107" t="str">
        <f aca="false">IF($E2418="","",ROW()-3)</f>
        <v/>
      </c>
      <c r="B2418" s="110" t="str">
        <f aca="false">IF($E2418="","",INDEX(成本费用登记表!$B$4:$B$303,103))</f>
        <v/>
      </c>
      <c r="C2418" s="67" t="str">
        <f aca="false">IF($E2418="","","记-"&amp;TEXT($B2418,"YYYYMM")&amp;"-费用")</f>
        <v/>
      </c>
      <c r="D2418" s="107" t="str">
        <f aca="false">IF($E2418="","",INDEX(成本费用登记表!$E$4:$E$303,103))</f>
        <v/>
      </c>
      <c r="E2418" s="67" t="str">
        <f aca="false">IF(INDEX(成本费用登记表!$Q$4:$Y$303,103,7)=0,"",INDEX(成本费用登记表!$Q$4:$Y$303,103,7))</f>
        <v/>
      </c>
      <c r="F2418" s="99" t="str">
        <f aca="false">IF($E2418="","",IFERROR(INDEX(科目表!$A$4:$A$81,MATCH($E2418,科目表!$B$4:$B$81,0)),""))</f>
        <v/>
      </c>
      <c r="G2418" s="67" t="str">
        <f aca="false">IF($E2418="","",IFERROR(INDEX(科目表!$E$4:$E$81,MATCH($E2418,科目表!$B$4:$B$81,0)),""))</f>
        <v/>
      </c>
      <c r="H2418" s="70" t="str">
        <f aca="false">IF($E2418="","",N(INDEX(成本费用登记表!$Q$4:$Y$303,103,8)))</f>
        <v/>
      </c>
      <c r="I2418" s="70" t="str">
        <f aca="false">IF($E2418="","",N(INDEX(成本费用登记表!$Q$4:$Y$303,103,9)))</f>
        <v/>
      </c>
      <c r="J2418" s="67" t="str">
        <f aca="false">IF($E2418="","",INDEX(成本费用登记表!$C$4:$C$303,103))</f>
        <v/>
      </c>
      <c r="K2418" s="67" t="str">
        <f aca="false">IF($E2418="","",INDEX(成本费用登记表!$D$4:$D$303,103))</f>
        <v/>
      </c>
      <c r="L2418" s="107" t="str">
        <f aca="false">IF($E2418="","",INDEX(成本费用登记表!$N$4:$N$303,103))</f>
        <v/>
      </c>
      <c r="M2418" s="107"/>
      <c r="N2418" s="67" t="str">
        <f aca="false">IF($E2418="","","系统")</f>
        <v/>
      </c>
      <c r="O2418" s="67" t="str">
        <f aca="false">IF($E2418="","","自动C")</f>
        <v/>
      </c>
      <c r="P2418" s="18"/>
    </row>
    <row r="2419" customFormat="false" ht="18" hidden="false" customHeight="true" outlineLevel="0" collapsed="false">
      <c r="A2419" s="107" t="str">
        <f aca="false">IF($E2419="","",ROW()-3)</f>
        <v/>
      </c>
      <c r="B2419" s="110" t="str">
        <f aca="false">IF($E2419="","",INDEX(成本费用登记表!$B$4:$B$303,104))</f>
        <v/>
      </c>
      <c r="C2419" s="67" t="str">
        <f aca="false">IF($E2419="","","记-"&amp;TEXT($B2419,"YYYYMM")&amp;"-费用")</f>
        <v/>
      </c>
      <c r="D2419" s="107" t="str">
        <f aca="false">IF($E2419="","",INDEX(成本费用登记表!$E$4:$E$303,104))</f>
        <v/>
      </c>
      <c r="E2419" s="67" t="str">
        <f aca="false">IF(INDEX(成本费用登记表!$Q$4:$Y$303,104,1)=0,"",INDEX(成本费用登记表!$Q$4:$Y$303,104,1))</f>
        <v/>
      </c>
      <c r="F2419" s="99" t="str">
        <f aca="false">IF($E2419="","",IFERROR(INDEX(科目表!$A$4:$A$81,MATCH($E2419,科目表!$B$4:$B$81,0)),""))</f>
        <v/>
      </c>
      <c r="G2419" s="67" t="str">
        <f aca="false">IF($E2419="","",IFERROR(INDEX(科目表!$E$4:$E$81,MATCH($E2419,科目表!$B$4:$B$81,0)),""))</f>
        <v/>
      </c>
      <c r="H2419" s="70" t="str">
        <f aca="false">IF($E2419="","",N(INDEX(成本费用登记表!$Q$4:$Y$303,104,2)))</f>
        <v/>
      </c>
      <c r="I2419" s="70" t="str">
        <f aca="false">IF($E2419="","",N(INDEX(成本费用登记表!$Q$4:$Y$303,104,3)))</f>
        <v/>
      </c>
      <c r="J2419" s="67" t="str">
        <f aca="false">IF($E2419="","",INDEX(成本费用登记表!$C$4:$C$303,104))</f>
        <v/>
      </c>
      <c r="K2419" s="67" t="str">
        <f aca="false">IF($E2419="","",INDEX(成本费用登记表!$D$4:$D$303,104))</f>
        <v/>
      </c>
      <c r="L2419" s="107" t="str">
        <f aca="false">IF($E2419="","",INDEX(成本费用登记表!$N$4:$N$303,104))</f>
        <v/>
      </c>
      <c r="M2419" s="107"/>
      <c r="N2419" s="67" t="str">
        <f aca="false">IF($E2419="","","系统")</f>
        <v/>
      </c>
      <c r="O2419" s="67" t="str">
        <f aca="false">IF($E2419="","","自动C")</f>
        <v/>
      </c>
      <c r="P2419" s="18"/>
    </row>
    <row r="2420" customFormat="false" ht="18" hidden="false" customHeight="true" outlineLevel="0" collapsed="false">
      <c r="A2420" s="107" t="str">
        <f aca="false">IF($E2420="","",ROW()-3)</f>
        <v/>
      </c>
      <c r="B2420" s="110" t="str">
        <f aca="false">IF($E2420="","",INDEX(成本费用登记表!$B$4:$B$303,104))</f>
        <v/>
      </c>
      <c r="C2420" s="67" t="str">
        <f aca="false">IF($E2420="","","记-"&amp;TEXT($B2420,"YYYYMM")&amp;"-费用")</f>
        <v/>
      </c>
      <c r="D2420" s="107" t="str">
        <f aca="false">IF($E2420="","",INDEX(成本费用登记表!$E$4:$E$303,104))</f>
        <v/>
      </c>
      <c r="E2420" s="67" t="str">
        <f aca="false">IF(INDEX(成本费用登记表!$Q$4:$Y$303,104,4)=0,"",INDEX(成本费用登记表!$Q$4:$Y$303,104,4))</f>
        <v/>
      </c>
      <c r="F2420" s="99" t="str">
        <f aca="false">IF($E2420="","",IFERROR(INDEX(科目表!$A$4:$A$81,MATCH($E2420,科目表!$B$4:$B$81,0)),""))</f>
        <v/>
      </c>
      <c r="G2420" s="67" t="str">
        <f aca="false">IF($E2420="","",IFERROR(INDEX(科目表!$E$4:$E$81,MATCH($E2420,科目表!$B$4:$B$81,0)),""))</f>
        <v/>
      </c>
      <c r="H2420" s="70" t="str">
        <f aca="false">IF($E2420="","",N(INDEX(成本费用登记表!$Q$4:$Y$303,104,5)))</f>
        <v/>
      </c>
      <c r="I2420" s="70" t="str">
        <f aca="false">IF($E2420="","",N(INDEX(成本费用登记表!$Q$4:$Y$303,104,6)))</f>
        <v/>
      </c>
      <c r="J2420" s="67" t="str">
        <f aca="false">IF($E2420="","",INDEX(成本费用登记表!$C$4:$C$303,104))</f>
        <v/>
      </c>
      <c r="K2420" s="67" t="str">
        <f aca="false">IF($E2420="","",INDEX(成本费用登记表!$D$4:$D$303,104))</f>
        <v/>
      </c>
      <c r="L2420" s="107" t="str">
        <f aca="false">IF($E2420="","",INDEX(成本费用登记表!$N$4:$N$303,104))</f>
        <v/>
      </c>
      <c r="M2420" s="107"/>
      <c r="N2420" s="67" t="str">
        <f aca="false">IF($E2420="","","系统")</f>
        <v/>
      </c>
      <c r="O2420" s="67" t="str">
        <f aca="false">IF($E2420="","","自动C")</f>
        <v/>
      </c>
      <c r="P2420" s="18"/>
    </row>
    <row r="2421" customFormat="false" ht="18" hidden="false" customHeight="true" outlineLevel="0" collapsed="false">
      <c r="A2421" s="107" t="str">
        <f aca="false">IF($E2421="","",ROW()-3)</f>
        <v/>
      </c>
      <c r="B2421" s="110" t="str">
        <f aca="false">IF($E2421="","",INDEX(成本费用登记表!$B$4:$B$303,104))</f>
        <v/>
      </c>
      <c r="C2421" s="67" t="str">
        <f aca="false">IF($E2421="","","记-"&amp;TEXT($B2421,"YYYYMM")&amp;"-费用")</f>
        <v/>
      </c>
      <c r="D2421" s="107" t="str">
        <f aca="false">IF($E2421="","",INDEX(成本费用登记表!$E$4:$E$303,104))</f>
        <v/>
      </c>
      <c r="E2421" s="67" t="str">
        <f aca="false">IF(INDEX(成本费用登记表!$Q$4:$Y$303,104,7)=0,"",INDEX(成本费用登记表!$Q$4:$Y$303,104,7))</f>
        <v/>
      </c>
      <c r="F2421" s="99" t="str">
        <f aca="false">IF($E2421="","",IFERROR(INDEX(科目表!$A$4:$A$81,MATCH($E2421,科目表!$B$4:$B$81,0)),""))</f>
        <v/>
      </c>
      <c r="G2421" s="67" t="str">
        <f aca="false">IF($E2421="","",IFERROR(INDEX(科目表!$E$4:$E$81,MATCH($E2421,科目表!$B$4:$B$81,0)),""))</f>
        <v/>
      </c>
      <c r="H2421" s="70" t="str">
        <f aca="false">IF($E2421="","",N(INDEX(成本费用登记表!$Q$4:$Y$303,104,8)))</f>
        <v/>
      </c>
      <c r="I2421" s="70" t="str">
        <f aca="false">IF($E2421="","",N(INDEX(成本费用登记表!$Q$4:$Y$303,104,9)))</f>
        <v/>
      </c>
      <c r="J2421" s="67" t="str">
        <f aca="false">IF($E2421="","",INDEX(成本费用登记表!$C$4:$C$303,104))</f>
        <v/>
      </c>
      <c r="K2421" s="67" t="str">
        <f aca="false">IF($E2421="","",INDEX(成本费用登记表!$D$4:$D$303,104))</f>
        <v/>
      </c>
      <c r="L2421" s="107" t="str">
        <f aca="false">IF($E2421="","",INDEX(成本费用登记表!$N$4:$N$303,104))</f>
        <v/>
      </c>
      <c r="M2421" s="107"/>
      <c r="N2421" s="67" t="str">
        <f aca="false">IF($E2421="","","系统")</f>
        <v/>
      </c>
      <c r="O2421" s="67" t="str">
        <f aca="false">IF($E2421="","","自动C")</f>
        <v/>
      </c>
      <c r="P2421" s="18"/>
    </row>
    <row r="2422" customFormat="false" ht="18" hidden="false" customHeight="true" outlineLevel="0" collapsed="false">
      <c r="A2422" s="107" t="str">
        <f aca="false">IF($E2422="","",ROW()-3)</f>
        <v/>
      </c>
      <c r="B2422" s="110" t="str">
        <f aca="false">IF($E2422="","",INDEX(成本费用登记表!$B$4:$B$303,105))</f>
        <v/>
      </c>
      <c r="C2422" s="67" t="str">
        <f aca="false">IF($E2422="","","记-"&amp;TEXT($B2422,"YYYYMM")&amp;"-费用")</f>
        <v/>
      </c>
      <c r="D2422" s="107" t="str">
        <f aca="false">IF($E2422="","",INDEX(成本费用登记表!$E$4:$E$303,105))</f>
        <v/>
      </c>
      <c r="E2422" s="67" t="str">
        <f aca="false">IF(INDEX(成本费用登记表!$Q$4:$Y$303,105,1)=0,"",INDEX(成本费用登记表!$Q$4:$Y$303,105,1))</f>
        <v/>
      </c>
      <c r="F2422" s="99" t="str">
        <f aca="false">IF($E2422="","",IFERROR(INDEX(科目表!$A$4:$A$81,MATCH($E2422,科目表!$B$4:$B$81,0)),""))</f>
        <v/>
      </c>
      <c r="G2422" s="67" t="str">
        <f aca="false">IF($E2422="","",IFERROR(INDEX(科目表!$E$4:$E$81,MATCH($E2422,科目表!$B$4:$B$81,0)),""))</f>
        <v/>
      </c>
      <c r="H2422" s="70" t="str">
        <f aca="false">IF($E2422="","",N(INDEX(成本费用登记表!$Q$4:$Y$303,105,2)))</f>
        <v/>
      </c>
      <c r="I2422" s="70" t="str">
        <f aca="false">IF($E2422="","",N(INDEX(成本费用登记表!$Q$4:$Y$303,105,3)))</f>
        <v/>
      </c>
      <c r="J2422" s="67" t="str">
        <f aca="false">IF($E2422="","",INDEX(成本费用登记表!$C$4:$C$303,105))</f>
        <v/>
      </c>
      <c r="K2422" s="67" t="str">
        <f aca="false">IF($E2422="","",INDEX(成本费用登记表!$D$4:$D$303,105))</f>
        <v/>
      </c>
      <c r="L2422" s="107" t="str">
        <f aca="false">IF($E2422="","",INDEX(成本费用登记表!$N$4:$N$303,105))</f>
        <v/>
      </c>
      <c r="M2422" s="107"/>
      <c r="N2422" s="67" t="str">
        <f aca="false">IF($E2422="","","系统")</f>
        <v/>
      </c>
      <c r="O2422" s="67" t="str">
        <f aca="false">IF($E2422="","","自动C")</f>
        <v/>
      </c>
      <c r="P2422" s="18"/>
    </row>
    <row r="2423" customFormat="false" ht="18" hidden="false" customHeight="true" outlineLevel="0" collapsed="false">
      <c r="A2423" s="107" t="str">
        <f aca="false">IF($E2423="","",ROW()-3)</f>
        <v/>
      </c>
      <c r="B2423" s="110" t="str">
        <f aca="false">IF($E2423="","",INDEX(成本费用登记表!$B$4:$B$303,105))</f>
        <v/>
      </c>
      <c r="C2423" s="67" t="str">
        <f aca="false">IF($E2423="","","记-"&amp;TEXT($B2423,"YYYYMM")&amp;"-费用")</f>
        <v/>
      </c>
      <c r="D2423" s="107" t="str">
        <f aca="false">IF($E2423="","",INDEX(成本费用登记表!$E$4:$E$303,105))</f>
        <v/>
      </c>
      <c r="E2423" s="67" t="str">
        <f aca="false">IF(INDEX(成本费用登记表!$Q$4:$Y$303,105,4)=0,"",INDEX(成本费用登记表!$Q$4:$Y$303,105,4))</f>
        <v/>
      </c>
      <c r="F2423" s="99" t="str">
        <f aca="false">IF($E2423="","",IFERROR(INDEX(科目表!$A$4:$A$81,MATCH($E2423,科目表!$B$4:$B$81,0)),""))</f>
        <v/>
      </c>
      <c r="G2423" s="67" t="str">
        <f aca="false">IF($E2423="","",IFERROR(INDEX(科目表!$E$4:$E$81,MATCH($E2423,科目表!$B$4:$B$81,0)),""))</f>
        <v/>
      </c>
      <c r="H2423" s="70" t="str">
        <f aca="false">IF($E2423="","",N(INDEX(成本费用登记表!$Q$4:$Y$303,105,5)))</f>
        <v/>
      </c>
      <c r="I2423" s="70" t="str">
        <f aca="false">IF($E2423="","",N(INDEX(成本费用登记表!$Q$4:$Y$303,105,6)))</f>
        <v/>
      </c>
      <c r="J2423" s="67" t="str">
        <f aca="false">IF($E2423="","",INDEX(成本费用登记表!$C$4:$C$303,105))</f>
        <v/>
      </c>
      <c r="K2423" s="67" t="str">
        <f aca="false">IF($E2423="","",INDEX(成本费用登记表!$D$4:$D$303,105))</f>
        <v/>
      </c>
      <c r="L2423" s="107" t="str">
        <f aca="false">IF($E2423="","",INDEX(成本费用登记表!$N$4:$N$303,105))</f>
        <v/>
      </c>
      <c r="M2423" s="107"/>
      <c r="N2423" s="67" t="str">
        <f aca="false">IF($E2423="","","系统")</f>
        <v/>
      </c>
      <c r="O2423" s="67" t="str">
        <f aca="false">IF($E2423="","","自动C")</f>
        <v/>
      </c>
      <c r="P2423" s="18"/>
    </row>
    <row r="2424" customFormat="false" ht="18" hidden="false" customHeight="true" outlineLevel="0" collapsed="false">
      <c r="A2424" s="107" t="str">
        <f aca="false">IF($E2424="","",ROW()-3)</f>
        <v/>
      </c>
      <c r="B2424" s="110" t="str">
        <f aca="false">IF($E2424="","",INDEX(成本费用登记表!$B$4:$B$303,105))</f>
        <v/>
      </c>
      <c r="C2424" s="67" t="str">
        <f aca="false">IF($E2424="","","记-"&amp;TEXT($B2424,"YYYYMM")&amp;"-费用")</f>
        <v/>
      </c>
      <c r="D2424" s="107" t="str">
        <f aca="false">IF($E2424="","",INDEX(成本费用登记表!$E$4:$E$303,105))</f>
        <v/>
      </c>
      <c r="E2424" s="67" t="str">
        <f aca="false">IF(INDEX(成本费用登记表!$Q$4:$Y$303,105,7)=0,"",INDEX(成本费用登记表!$Q$4:$Y$303,105,7))</f>
        <v/>
      </c>
      <c r="F2424" s="99" t="str">
        <f aca="false">IF($E2424="","",IFERROR(INDEX(科目表!$A$4:$A$81,MATCH($E2424,科目表!$B$4:$B$81,0)),""))</f>
        <v/>
      </c>
      <c r="G2424" s="67" t="str">
        <f aca="false">IF($E2424="","",IFERROR(INDEX(科目表!$E$4:$E$81,MATCH($E2424,科目表!$B$4:$B$81,0)),""))</f>
        <v/>
      </c>
      <c r="H2424" s="70" t="str">
        <f aca="false">IF($E2424="","",N(INDEX(成本费用登记表!$Q$4:$Y$303,105,8)))</f>
        <v/>
      </c>
      <c r="I2424" s="70" t="str">
        <f aca="false">IF($E2424="","",N(INDEX(成本费用登记表!$Q$4:$Y$303,105,9)))</f>
        <v/>
      </c>
      <c r="J2424" s="67" t="str">
        <f aca="false">IF($E2424="","",INDEX(成本费用登记表!$C$4:$C$303,105))</f>
        <v/>
      </c>
      <c r="K2424" s="67" t="str">
        <f aca="false">IF($E2424="","",INDEX(成本费用登记表!$D$4:$D$303,105))</f>
        <v/>
      </c>
      <c r="L2424" s="107" t="str">
        <f aca="false">IF($E2424="","",INDEX(成本费用登记表!$N$4:$N$303,105))</f>
        <v/>
      </c>
      <c r="M2424" s="107"/>
      <c r="N2424" s="67" t="str">
        <f aca="false">IF($E2424="","","系统")</f>
        <v/>
      </c>
      <c r="O2424" s="67" t="str">
        <f aca="false">IF($E2424="","","自动C")</f>
        <v/>
      </c>
      <c r="P2424" s="18"/>
    </row>
    <row r="2425" customFormat="false" ht="18" hidden="false" customHeight="true" outlineLevel="0" collapsed="false">
      <c r="A2425" s="107" t="str">
        <f aca="false">IF($E2425="","",ROW()-3)</f>
        <v/>
      </c>
      <c r="B2425" s="110" t="str">
        <f aca="false">IF($E2425="","",INDEX(成本费用登记表!$B$4:$B$303,106))</f>
        <v/>
      </c>
      <c r="C2425" s="67" t="str">
        <f aca="false">IF($E2425="","","记-"&amp;TEXT($B2425,"YYYYMM")&amp;"-费用")</f>
        <v/>
      </c>
      <c r="D2425" s="107" t="str">
        <f aca="false">IF($E2425="","",INDEX(成本费用登记表!$E$4:$E$303,106))</f>
        <v/>
      </c>
      <c r="E2425" s="67" t="str">
        <f aca="false">IF(INDEX(成本费用登记表!$Q$4:$Y$303,106,1)=0,"",INDEX(成本费用登记表!$Q$4:$Y$303,106,1))</f>
        <v/>
      </c>
      <c r="F2425" s="99" t="str">
        <f aca="false">IF($E2425="","",IFERROR(INDEX(科目表!$A$4:$A$81,MATCH($E2425,科目表!$B$4:$B$81,0)),""))</f>
        <v/>
      </c>
      <c r="G2425" s="67" t="str">
        <f aca="false">IF($E2425="","",IFERROR(INDEX(科目表!$E$4:$E$81,MATCH($E2425,科目表!$B$4:$B$81,0)),""))</f>
        <v/>
      </c>
      <c r="H2425" s="70" t="str">
        <f aca="false">IF($E2425="","",N(INDEX(成本费用登记表!$Q$4:$Y$303,106,2)))</f>
        <v/>
      </c>
      <c r="I2425" s="70" t="str">
        <f aca="false">IF($E2425="","",N(INDEX(成本费用登记表!$Q$4:$Y$303,106,3)))</f>
        <v/>
      </c>
      <c r="J2425" s="67" t="str">
        <f aca="false">IF($E2425="","",INDEX(成本费用登记表!$C$4:$C$303,106))</f>
        <v/>
      </c>
      <c r="K2425" s="67" t="str">
        <f aca="false">IF($E2425="","",INDEX(成本费用登记表!$D$4:$D$303,106))</f>
        <v/>
      </c>
      <c r="L2425" s="107" t="str">
        <f aca="false">IF($E2425="","",INDEX(成本费用登记表!$N$4:$N$303,106))</f>
        <v/>
      </c>
      <c r="M2425" s="107"/>
      <c r="N2425" s="67" t="str">
        <f aca="false">IF($E2425="","","系统")</f>
        <v/>
      </c>
      <c r="O2425" s="67" t="str">
        <f aca="false">IF($E2425="","","自动C")</f>
        <v/>
      </c>
      <c r="P2425" s="18"/>
    </row>
    <row r="2426" customFormat="false" ht="18" hidden="false" customHeight="true" outlineLevel="0" collapsed="false">
      <c r="A2426" s="107" t="str">
        <f aca="false">IF($E2426="","",ROW()-3)</f>
        <v/>
      </c>
      <c r="B2426" s="110" t="str">
        <f aca="false">IF($E2426="","",INDEX(成本费用登记表!$B$4:$B$303,106))</f>
        <v/>
      </c>
      <c r="C2426" s="67" t="str">
        <f aca="false">IF($E2426="","","记-"&amp;TEXT($B2426,"YYYYMM")&amp;"-费用")</f>
        <v/>
      </c>
      <c r="D2426" s="107" t="str">
        <f aca="false">IF($E2426="","",INDEX(成本费用登记表!$E$4:$E$303,106))</f>
        <v/>
      </c>
      <c r="E2426" s="67" t="str">
        <f aca="false">IF(INDEX(成本费用登记表!$Q$4:$Y$303,106,4)=0,"",INDEX(成本费用登记表!$Q$4:$Y$303,106,4))</f>
        <v/>
      </c>
      <c r="F2426" s="99" t="str">
        <f aca="false">IF($E2426="","",IFERROR(INDEX(科目表!$A$4:$A$81,MATCH($E2426,科目表!$B$4:$B$81,0)),""))</f>
        <v/>
      </c>
      <c r="G2426" s="67" t="str">
        <f aca="false">IF($E2426="","",IFERROR(INDEX(科目表!$E$4:$E$81,MATCH($E2426,科目表!$B$4:$B$81,0)),""))</f>
        <v/>
      </c>
      <c r="H2426" s="70" t="str">
        <f aca="false">IF($E2426="","",N(INDEX(成本费用登记表!$Q$4:$Y$303,106,5)))</f>
        <v/>
      </c>
      <c r="I2426" s="70" t="str">
        <f aca="false">IF($E2426="","",N(INDEX(成本费用登记表!$Q$4:$Y$303,106,6)))</f>
        <v/>
      </c>
      <c r="J2426" s="67" t="str">
        <f aca="false">IF($E2426="","",INDEX(成本费用登记表!$C$4:$C$303,106))</f>
        <v/>
      </c>
      <c r="K2426" s="67" t="str">
        <f aca="false">IF($E2426="","",INDEX(成本费用登记表!$D$4:$D$303,106))</f>
        <v/>
      </c>
      <c r="L2426" s="107" t="str">
        <f aca="false">IF($E2426="","",INDEX(成本费用登记表!$N$4:$N$303,106))</f>
        <v/>
      </c>
      <c r="M2426" s="107"/>
      <c r="N2426" s="67" t="str">
        <f aca="false">IF($E2426="","","系统")</f>
        <v/>
      </c>
      <c r="O2426" s="67" t="str">
        <f aca="false">IF($E2426="","","自动C")</f>
        <v/>
      </c>
      <c r="P2426" s="18"/>
    </row>
    <row r="2427" customFormat="false" ht="18" hidden="false" customHeight="true" outlineLevel="0" collapsed="false">
      <c r="A2427" s="107" t="str">
        <f aca="false">IF($E2427="","",ROW()-3)</f>
        <v/>
      </c>
      <c r="B2427" s="110" t="str">
        <f aca="false">IF($E2427="","",INDEX(成本费用登记表!$B$4:$B$303,106))</f>
        <v/>
      </c>
      <c r="C2427" s="67" t="str">
        <f aca="false">IF($E2427="","","记-"&amp;TEXT($B2427,"YYYYMM")&amp;"-费用")</f>
        <v/>
      </c>
      <c r="D2427" s="107" t="str">
        <f aca="false">IF($E2427="","",INDEX(成本费用登记表!$E$4:$E$303,106))</f>
        <v/>
      </c>
      <c r="E2427" s="67" t="str">
        <f aca="false">IF(INDEX(成本费用登记表!$Q$4:$Y$303,106,7)=0,"",INDEX(成本费用登记表!$Q$4:$Y$303,106,7))</f>
        <v/>
      </c>
      <c r="F2427" s="99" t="str">
        <f aca="false">IF($E2427="","",IFERROR(INDEX(科目表!$A$4:$A$81,MATCH($E2427,科目表!$B$4:$B$81,0)),""))</f>
        <v/>
      </c>
      <c r="G2427" s="67" t="str">
        <f aca="false">IF($E2427="","",IFERROR(INDEX(科目表!$E$4:$E$81,MATCH($E2427,科目表!$B$4:$B$81,0)),""))</f>
        <v/>
      </c>
      <c r="H2427" s="70" t="str">
        <f aca="false">IF($E2427="","",N(INDEX(成本费用登记表!$Q$4:$Y$303,106,8)))</f>
        <v/>
      </c>
      <c r="I2427" s="70" t="str">
        <f aca="false">IF($E2427="","",N(INDEX(成本费用登记表!$Q$4:$Y$303,106,9)))</f>
        <v/>
      </c>
      <c r="J2427" s="67" t="str">
        <f aca="false">IF($E2427="","",INDEX(成本费用登记表!$C$4:$C$303,106))</f>
        <v/>
      </c>
      <c r="K2427" s="67" t="str">
        <f aca="false">IF($E2427="","",INDEX(成本费用登记表!$D$4:$D$303,106))</f>
        <v/>
      </c>
      <c r="L2427" s="107" t="str">
        <f aca="false">IF($E2427="","",INDEX(成本费用登记表!$N$4:$N$303,106))</f>
        <v/>
      </c>
      <c r="M2427" s="107"/>
      <c r="N2427" s="67" t="str">
        <f aca="false">IF($E2427="","","系统")</f>
        <v/>
      </c>
      <c r="O2427" s="67" t="str">
        <f aca="false">IF($E2427="","","自动C")</f>
        <v/>
      </c>
      <c r="P2427" s="18"/>
    </row>
    <row r="2428" customFormat="false" ht="18" hidden="false" customHeight="true" outlineLevel="0" collapsed="false">
      <c r="A2428" s="107" t="str">
        <f aca="false">IF($E2428="","",ROW()-3)</f>
        <v/>
      </c>
      <c r="B2428" s="110" t="str">
        <f aca="false">IF($E2428="","",INDEX(成本费用登记表!$B$4:$B$303,107))</f>
        <v/>
      </c>
      <c r="C2428" s="67" t="str">
        <f aca="false">IF($E2428="","","记-"&amp;TEXT($B2428,"YYYYMM")&amp;"-费用")</f>
        <v/>
      </c>
      <c r="D2428" s="107" t="str">
        <f aca="false">IF($E2428="","",INDEX(成本费用登记表!$E$4:$E$303,107))</f>
        <v/>
      </c>
      <c r="E2428" s="67" t="str">
        <f aca="false">IF(INDEX(成本费用登记表!$Q$4:$Y$303,107,1)=0,"",INDEX(成本费用登记表!$Q$4:$Y$303,107,1))</f>
        <v/>
      </c>
      <c r="F2428" s="99" t="str">
        <f aca="false">IF($E2428="","",IFERROR(INDEX(科目表!$A$4:$A$81,MATCH($E2428,科目表!$B$4:$B$81,0)),""))</f>
        <v/>
      </c>
      <c r="G2428" s="67" t="str">
        <f aca="false">IF($E2428="","",IFERROR(INDEX(科目表!$E$4:$E$81,MATCH($E2428,科目表!$B$4:$B$81,0)),""))</f>
        <v/>
      </c>
      <c r="H2428" s="70" t="str">
        <f aca="false">IF($E2428="","",N(INDEX(成本费用登记表!$Q$4:$Y$303,107,2)))</f>
        <v/>
      </c>
      <c r="I2428" s="70" t="str">
        <f aca="false">IF($E2428="","",N(INDEX(成本费用登记表!$Q$4:$Y$303,107,3)))</f>
        <v/>
      </c>
      <c r="J2428" s="67" t="str">
        <f aca="false">IF($E2428="","",INDEX(成本费用登记表!$C$4:$C$303,107))</f>
        <v/>
      </c>
      <c r="K2428" s="67" t="str">
        <f aca="false">IF($E2428="","",INDEX(成本费用登记表!$D$4:$D$303,107))</f>
        <v/>
      </c>
      <c r="L2428" s="107" t="str">
        <f aca="false">IF($E2428="","",INDEX(成本费用登记表!$N$4:$N$303,107))</f>
        <v/>
      </c>
      <c r="M2428" s="107"/>
      <c r="N2428" s="67" t="str">
        <f aca="false">IF($E2428="","","系统")</f>
        <v/>
      </c>
      <c r="O2428" s="67" t="str">
        <f aca="false">IF($E2428="","","自动C")</f>
        <v/>
      </c>
      <c r="P2428" s="18"/>
    </row>
    <row r="2429" customFormat="false" ht="18" hidden="false" customHeight="true" outlineLevel="0" collapsed="false">
      <c r="A2429" s="107" t="str">
        <f aca="false">IF($E2429="","",ROW()-3)</f>
        <v/>
      </c>
      <c r="B2429" s="110" t="str">
        <f aca="false">IF($E2429="","",INDEX(成本费用登记表!$B$4:$B$303,107))</f>
        <v/>
      </c>
      <c r="C2429" s="67" t="str">
        <f aca="false">IF($E2429="","","记-"&amp;TEXT($B2429,"YYYYMM")&amp;"-费用")</f>
        <v/>
      </c>
      <c r="D2429" s="107" t="str">
        <f aca="false">IF($E2429="","",INDEX(成本费用登记表!$E$4:$E$303,107))</f>
        <v/>
      </c>
      <c r="E2429" s="67" t="str">
        <f aca="false">IF(INDEX(成本费用登记表!$Q$4:$Y$303,107,4)=0,"",INDEX(成本费用登记表!$Q$4:$Y$303,107,4))</f>
        <v/>
      </c>
      <c r="F2429" s="99" t="str">
        <f aca="false">IF($E2429="","",IFERROR(INDEX(科目表!$A$4:$A$81,MATCH($E2429,科目表!$B$4:$B$81,0)),""))</f>
        <v/>
      </c>
      <c r="G2429" s="67" t="str">
        <f aca="false">IF($E2429="","",IFERROR(INDEX(科目表!$E$4:$E$81,MATCH($E2429,科目表!$B$4:$B$81,0)),""))</f>
        <v/>
      </c>
      <c r="H2429" s="70" t="str">
        <f aca="false">IF($E2429="","",N(INDEX(成本费用登记表!$Q$4:$Y$303,107,5)))</f>
        <v/>
      </c>
      <c r="I2429" s="70" t="str">
        <f aca="false">IF($E2429="","",N(INDEX(成本费用登记表!$Q$4:$Y$303,107,6)))</f>
        <v/>
      </c>
      <c r="J2429" s="67" t="str">
        <f aca="false">IF($E2429="","",INDEX(成本费用登记表!$C$4:$C$303,107))</f>
        <v/>
      </c>
      <c r="K2429" s="67" t="str">
        <f aca="false">IF($E2429="","",INDEX(成本费用登记表!$D$4:$D$303,107))</f>
        <v/>
      </c>
      <c r="L2429" s="107" t="str">
        <f aca="false">IF($E2429="","",INDEX(成本费用登记表!$N$4:$N$303,107))</f>
        <v/>
      </c>
      <c r="M2429" s="107"/>
      <c r="N2429" s="67" t="str">
        <f aca="false">IF($E2429="","","系统")</f>
        <v/>
      </c>
      <c r="O2429" s="67" t="str">
        <f aca="false">IF($E2429="","","自动C")</f>
        <v/>
      </c>
      <c r="P2429" s="18"/>
    </row>
    <row r="2430" customFormat="false" ht="18" hidden="false" customHeight="true" outlineLevel="0" collapsed="false">
      <c r="A2430" s="107" t="str">
        <f aca="false">IF($E2430="","",ROW()-3)</f>
        <v/>
      </c>
      <c r="B2430" s="110" t="str">
        <f aca="false">IF($E2430="","",INDEX(成本费用登记表!$B$4:$B$303,107))</f>
        <v/>
      </c>
      <c r="C2430" s="67" t="str">
        <f aca="false">IF($E2430="","","记-"&amp;TEXT($B2430,"YYYYMM")&amp;"-费用")</f>
        <v/>
      </c>
      <c r="D2430" s="107" t="str">
        <f aca="false">IF($E2430="","",INDEX(成本费用登记表!$E$4:$E$303,107))</f>
        <v/>
      </c>
      <c r="E2430" s="67" t="str">
        <f aca="false">IF(INDEX(成本费用登记表!$Q$4:$Y$303,107,7)=0,"",INDEX(成本费用登记表!$Q$4:$Y$303,107,7))</f>
        <v/>
      </c>
      <c r="F2430" s="99" t="str">
        <f aca="false">IF($E2430="","",IFERROR(INDEX(科目表!$A$4:$A$81,MATCH($E2430,科目表!$B$4:$B$81,0)),""))</f>
        <v/>
      </c>
      <c r="G2430" s="67" t="str">
        <f aca="false">IF($E2430="","",IFERROR(INDEX(科目表!$E$4:$E$81,MATCH($E2430,科目表!$B$4:$B$81,0)),""))</f>
        <v/>
      </c>
      <c r="H2430" s="70" t="str">
        <f aca="false">IF($E2430="","",N(INDEX(成本费用登记表!$Q$4:$Y$303,107,8)))</f>
        <v/>
      </c>
      <c r="I2430" s="70" t="str">
        <f aca="false">IF($E2430="","",N(INDEX(成本费用登记表!$Q$4:$Y$303,107,9)))</f>
        <v/>
      </c>
      <c r="J2430" s="67" t="str">
        <f aca="false">IF($E2430="","",INDEX(成本费用登记表!$C$4:$C$303,107))</f>
        <v/>
      </c>
      <c r="K2430" s="67" t="str">
        <f aca="false">IF($E2430="","",INDEX(成本费用登记表!$D$4:$D$303,107))</f>
        <v/>
      </c>
      <c r="L2430" s="107" t="str">
        <f aca="false">IF($E2430="","",INDEX(成本费用登记表!$N$4:$N$303,107))</f>
        <v/>
      </c>
      <c r="M2430" s="107"/>
      <c r="N2430" s="67" t="str">
        <f aca="false">IF($E2430="","","系统")</f>
        <v/>
      </c>
      <c r="O2430" s="67" t="str">
        <f aca="false">IF($E2430="","","自动C")</f>
        <v/>
      </c>
      <c r="P2430" s="18"/>
    </row>
    <row r="2431" customFormat="false" ht="18" hidden="false" customHeight="true" outlineLevel="0" collapsed="false">
      <c r="A2431" s="107" t="str">
        <f aca="false">IF($E2431="","",ROW()-3)</f>
        <v/>
      </c>
      <c r="B2431" s="110" t="str">
        <f aca="false">IF($E2431="","",INDEX(成本费用登记表!$B$4:$B$303,108))</f>
        <v/>
      </c>
      <c r="C2431" s="67" t="str">
        <f aca="false">IF($E2431="","","记-"&amp;TEXT($B2431,"YYYYMM")&amp;"-费用")</f>
        <v/>
      </c>
      <c r="D2431" s="107" t="str">
        <f aca="false">IF($E2431="","",INDEX(成本费用登记表!$E$4:$E$303,108))</f>
        <v/>
      </c>
      <c r="E2431" s="67" t="str">
        <f aca="false">IF(INDEX(成本费用登记表!$Q$4:$Y$303,108,1)=0,"",INDEX(成本费用登记表!$Q$4:$Y$303,108,1))</f>
        <v/>
      </c>
      <c r="F2431" s="99" t="str">
        <f aca="false">IF($E2431="","",IFERROR(INDEX(科目表!$A$4:$A$81,MATCH($E2431,科目表!$B$4:$B$81,0)),""))</f>
        <v/>
      </c>
      <c r="G2431" s="67" t="str">
        <f aca="false">IF($E2431="","",IFERROR(INDEX(科目表!$E$4:$E$81,MATCH($E2431,科目表!$B$4:$B$81,0)),""))</f>
        <v/>
      </c>
      <c r="H2431" s="70" t="str">
        <f aca="false">IF($E2431="","",N(INDEX(成本费用登记表!$Q$4:$Y$303,108,2)))</f>
        <v/>
      </c>
      <c r="I2431" s="70" t="str">
        <f aca="false">IF($E2431="","",N(INDEX(成本费用登记表!$Q$4:$Y$303,108,3)))</f>
        <v/>
      </c>
      <c r="J2431" s="67" t="str">
        <f aca="false">IF($E2431="","",INDEX(成本费用登记表!$C$4:$C$303,108))</f>
        <v/>
      </c>
      <c r="K2431" s="67" t="str">
        <f aca="false">IF($E2431="","",INDEX(成本费用登记表!$D$4:$D$303,108))</f>
        <v/>
      </c>
      <c r="L2431" s="107" t="str">
        <f aca="false">IF($E2431="","",INDEX(成本费用登记表!$N$4:$N$303,108))</f>
        <v/>
      </c>
      <c r="M2431" s="107"/>
      <c r="N2431" s="67" t="str">
        <f aca="false">IF($E2431="","","系统")</f>
        <v/>
      </c>
      <c r="O2431" s="67" t="str">
        <f aca="false">IF($E2431="","","自动C")</f>
        <v/>
      </c>
      <c r="P2431" s="18"/>
    </row>
    <row r="2432" customFormat="false" ht="18" hidden="false" customHeight="true" outlineLevel="0" collapsed="false">
      <c r="A2432" s="107" t="str">
        <f aca="false">IF($E2432="","",ROW()-3)</f>
        <v/>
      </c>
      <c r="B2432" s="110" t="str">
        <f aca="false">IF($E2432="","",INDEX(成本费用登记表!$B$4:$B$303,108))</f>
        <v/>
      </c>
      <c r="C2432" s="67" t="str">
        <f aca="false">IF($E2432="","","记-"&amp;TEXT($B2432,"YYYYMM")&amp;"-费用")</f>
        <v/>
      </c>
      <c r="D2432" s="107" t="str">
        <f aca="false">IF($E2432="","",INDEX(成本费用登记表!$E$4:$E$303,108))</f>
        <v/>
      </c>
      <c r="E2432" s="67" t="str">
        <f aca="false">IF(INDEX(成本费用登记表!$Q$4:$Y$303,108,4)=0,"",INDEX(成本费用登记表!$Q$4:$Y$303,108,4))</f>
        <v/>
      </c>
      <c r="F2432" s="99" t="str">
        <f aca="false">IF($E2432="","",IFERROR(INDEX(科目表!$A$4:$A$81,MATCH($E2432,科目表!$B$4:$B$81,0)),""))</f>
        <v/>
      </c>
      <c r="G2432" s="67" t="str">
        <f aca="false">IF($E2432="","",IFERROR(INDEX(科目表!$E$4:$E$81,MATCH($E2432,科目表!$B$4:$B$81,0)),""))</f>
        <v/>
      </c>
      <c r="H2432" s="70" t="str">
        <f aca="false">IF($E2432="","",N(INDEX(成本费用登记表!$Q$4:$Y$303,108,5)))</f>
        <v/>
      </c>
      <c r="I2432" s="70" t="str">
        <f aca="false">IF($E2432="","",N(INDEX(成本费用登记表!$Q$4:$Y$303,108,6)))</f>
        <v/>
      </c>
      <c r="J2432" s="67" t="str">
        <f aca="false">IF($E2432="","",INDEX(成本费用登记表!$C$4:$C$303,108))</f>
        <v/>
      </c>
      <c r="K2432" s="67" t="str">
        <f aca="false">IF($E2432="","",INDEX(成本费用登记表!$D$4:$D$303,108))</f>
        <v/>
      </c>
      <c r="L2432" s="107" t="str">
        <f aca="false">IF($E2432="","",INDEX(成本费用登记表!$N$4:$N$303,108))</f>
        <v/>
      </c>
      <c r="M2432" s="107"/>
      <c r="N2432" s="67" t="str">
        <f aca="false">IF($E2432="","","系统")</f>
        <v/>
      </c>
      <c r="O2432" s="67" t="str">
        <f aca="false">IF($E2432="","","自动C")</f>
        <v/>
      </c>
      <c r="P2432" s="18"/>
    </row>
    <row r="2433" customFormat="false" ht="18" hidden="false" customHeight="true" outlineLevel="0" collapsed="false">
      <c r="A2433" s="107" t="str">
        <f aca="false">IF($E2433="","",ROW()-3)</f>
        <v/>
      </c>
      <c r="B2433" s="110" t="str">
        <f aca="false">IF($E2433="","",INDEX(成本费用登记表!$B$4:$B$303,108))</f>
        <v/>
      </c>
      <c r="C2433" s="67" t="str">
        <f aca="false">IF($E2433="","","记-"&amp;TEXT($B2433,"YYYYMM")&amp;"-费用")</f>
        <v/>
      </c>
      <c r="D2433" s="107" t="str">
        <f aca="false">IF($E2433="","",INDEX(成本费用登记表!$E$4:$E$303,108))</f>
        <v/>
      </c>
      <c r="E2433" s="67" t="str">
        <f aca="false">IF(INDEX(成本费用登记表!$Q$4:$Y$303,108,7)=0,"",INDEX(成本费用登记表!$Q$4:$Y$303,108,7))</f>
        <v/>
      </c>
      <c r="F2433" s="99" t="str">
        <f aca="false">IF($E2433="","",IFERROR(INDEX(科目表!$A$4:$A$81,MATCH($E2433,科目表!$B$4:$B$81,0)),""))</f>
        <v/>
      </c>
      <c r="G2433" s="67" t="str">
        <f aca="false">IF($E2433="","",IFERROR(INDEX(科目表!$E$4:$E$81,MATCH($E2433,科目表!$B$4:$B$81,0)),""))</f>
        <v/>
      </c>
      <c r="H2433" s="70" t="str">
        <f aca="false">IF($E2433="","",N(INDEX(成本费用登记表!$Q$4:$Y$303,108,8)))</f>
        <v/>
      </c>
      <c r="I2433" s="70" t="str">
        <f aca="false">IF($E2433="","",N(INDEX(成本费用登记表!$Q$4:$Y$303,108,9)))</f>
        <v/>
      </c>
      <c r="J2433" s="67" t="str">
        <f aca="false">IF($E2433="","",INDEX(成本费用登记表!$C$4:$C$303,108))</f>
        <v/>
      </c>
      <c r="K2433" s="67" t="str">
        <f aca="false">IF($E2433="","",INDEX(成本费用登记表!$D$4:$D$303,108))</f>
        <v/>
      </c>
      <c r="L2433" s="107" t="str">
        <f aca="false">IF($E2433="","",INDEX(成本费用登记表!$N$4:$N$303,108))</f>
        <v/>
      </c>
      <c r="M2433" s="107"/>
      <c r="N2433" s="67" t="str">
        <f aca="false">IF($E2433="","","系统")</f>
        <v/>
      </c>
      <c r="O2433" s="67" t="str">
        <f aca="false">IF($E2433="","","自动C")</f>
        <v/>
      </c>
      <c r="P2433" s="18"/>
    </row>
    <row r="2434" customFormat="false" ht="18" hidden="false" customHeight="true" outlineLevel="0" collapsed="false">
      <c r="A2434" s="107" t="str">
        <f aca="false">IF($E2434="","",ROW()-3)</f>
        <v/>
      </c>
      <c r="B2434" s="110" t="str">
        <f aca="false">IF($E2434="","",INDEX(成本费用登记表!$B$4:$B$303,109))</f>
        <v/>
      </c>
      <c r="C2434" s="67" t="str">
        <f aca="false">IF($E2434="","","记-"&amp;TEXT($B2434,"YYYYMM")&amp;"-费用")</f>
        <v/>
      </c>
      <c r="D2434" s="107" t="str">
        <f aca="false">IF($E2434="","",INDEX(成本费用登记表!$E$4:$E$303,109))</f>
        <v/>
      </c>
      <c r="E2434" s="67" t="str">
        <f aca="false">IF(INDEX(成本费用登记表!$Q$4:$Y$303,109,1)=0,"",INDEX(成本费用登记表!$Q$4:$Y$303,109,1))</f>
        <v/>
      </c>
      <c r="F2434" s="99" t="str">
        <f aca="false">IF($E2434="","",IFERROR(INDEX(科目表!$A$4:$A$81,MATCH($E2434,科目表!$B$4:$B$81,0)),""))</f>
        <v/>
      </c>
      <c r="G2434" s="67" t="str">
        <f aca="false">IF($E2434="","",IFERROR(INDEX(科目表!$E$4:$E$81,MATCH($E2434,科目表!$B$4:$B$81,0)),""))</f>
        <v/>
      </c>
      <c r="H2434" s="70" t="str">
        <f aca="false">IF($E2434="","",N(INDEX(成本费用登记表!$Q$4:$Y$303,109,2)))</f>
        <v/>
      </c>
      <c r="I2434" s="70" t="str">
        <f aca="false">IF($E2434="","",N(INDEX(成本费用登记表!$Q$4:$Y$303,109,3)))</f>
        <v/>
      </c>
      <c r="J2434" s="67" t="str">
        <f aca="false">IF($E2434="","",INDEX(成本费用登记表!$C$4:$C$303,109))</f>
        <v/>
      </c>
      <c r="K2434" s="67" t="str">
        <f aca="false">IF($E2434="","",INDEX(成本费用登记表!$D$4:$D$303,109))</f>
        <v/>
      </c>
      <c r="L2434" s="107" t="str">
        <f aca="false">IF($E2434="","",INDEX(成本费用登记表!$N$4:$N$303,109))</f>
        <v/>
      </c>
      <c r="M2434" s="107"/>
      <c r="N2434" s="67" t="str">
        <f aca="false">IF($E2434="","","系统")</f>
        <v/>
      </c>
      <c r="O2434" s="67" t="str">
        <f aca="false">IF($E2434="","","自动C")</f>
        <v/>
      </c>
      <c r="P2434" s="18"/>
    </row>
    <row r="2435" customFormat="false" ht="18" hidden="false" customHeight="true" outlineLevel="0" collapsed="false">
      <c r="A2435" s="107" t="str">
        <f aca="false">IF($E2435="","",ROW()-3)</f>
        <v/>
      </c>
      <c r="B2435" s="110" t="str">
        <f aca="false">IF($E2435="","",INDEX(成本费用登记表!$B$4:$B$303,109))</f>
        <v/>
      </c>
      <c r="C2435" s="67" t="str">
        <f aca="false">IF($E2435="","","记-"&amp;TEXT($B2435,"YYYYMM")&amp;"-费用")</f>
        <v/>
      </c>
      <c r="D2435" s="107" t="str">
        <f aca="false">IF($E2435="","",INDEX(成本费用登记表!$E$4:$E$303,109))</f>
        <v/>
      </c>
      <c r="E2435" s="67" t="str">
        <f aca="false">IF(INDEX(成本费用登记表!$Q$4:$Y$303,109,4)=0,"",INDEX(成本费用登记表!$Q$4:$Y$303,109,4))</f>
        <v/>
      </c>
      <c r="F2435" s="99" t="str">
        <f aca="false">IF($E2435="","",IFERROR(INDEX(科目表!$A$4:$A$81,MATCH($E2435,科目表!$B$4:$B$81,0)),""))</f>
        <v/>
      </c>
      <c r="G2435" s="67" t="str">
        <f aca="false">IF($E2435="","",IFERROR(INDEX(科目表!$E$4:$E$81,MATCH($E2435,科目表!$B$4:$B$81,0)),""))</f>
        <v/>
      </c>
      <c r="H2435" s="70" t="str">
        <f aca="false">IF($E2435="","",N(INDEX(成本费用登记表!$Q$4:$Y$303,109,5)))</f>
        <v/>
      </c>
      <c r="I2435" s="70" t="str">
        <f aca="false">IF($E2435="","",N(INDEX(成本费用登记表!$Q$4:$Y$303,109,6)))</f>
        <v/>
      </c>
      <c r="J2435" s="67" t="str">
        <f aca="false">IF($E2435="","",INDEX(成本费用登记表!$C$4:$C$303,109))</f>
        <v/>
      </c>
      <c r="K2435" s="67" t="str">
        <f aca="false">IF($E2435="","",INDEX(成本费用登记表!$D$4:$D$303,109))</f>
        <v/>
      </c>
      <c r="L2435" s="107" t="str">
        <f aca="false">IF($E2435="","",INDEX(成本费用登记表!$N$4:$N$303,109))</f>
        <v/>
      </c>
      <c r="M2435" s="107"/>
      <c r="N2435" s="67" t="str">
        <f aca="false">IF($E2435="","","系统")</f>
        <v/>
      </c>
      <c r="O2435" s="67" t="str">
        <f aca="false">IF($E2435="","","自动C")</f>
        <v/>
      </c>
      <c r="P2435" s="18"/>
    </row>
    <row r="2436" customFormat="false" ht="18" hidden="false" customHeight="true" outlineLevel="0" collapsed="false">
      <c r="A2436" s="107" t="str">
        <f aca="false">IF($E2436="","",ROW()-3)</f>
        <v/>
      </c>
      <c r="B2436" s="110" t="str">
        <f aca="false">IF($E2436="","",INDEX(成本费用登记表!$B$4:$B$303,109))</f>
        <v/>
      </c>
      <c r="C2436" s="67" t="str">
        <f aca="false">IF($E2436="","","记-"&amp;TEXT($B2436,"YYYYMM")&amp;"-费用")</f>
        <v/>
      </c>
      <c r="D2436" s="107" t="str">
        <f aca="false">IF($E2436="","",INDEX(成本费用登记表!$E$4:$E$303,109))</f>
        <v/>
      </c>
      <c r="E2436" s="67" t="str">
        <f aca="false">IF(INDEX(成本费用登记表!$Q$4:$Y$303,109,7)=0,"",INDEX(成本费用登记表!$Q$4:$Y$303,109,7))</f>
        <v/>
      </c>
      <c r="F2436" s="99" t="str">
        <f aca="false">IF($E2436="","",IFERROR(INDEX(科目表!$A$4:$A$81,MATCH($E2436,科目表!$B$4:$B$81,0)),""))</f>
        <v/>
      </c>
      <c r="G2436" s="67" t="str">
        <f aca="false">IF($E2436="","",IFERROR(INDEX(科目表!$E$4:$E$81,MATCH($E2436,科目表!$B$4:$B$81,0)),""))</f>
        <v/>
      </c>
      <c r="H2436" s="70" t="str">
        <f aca="false">IF($E2436="","",N(INDEX(成本费用登记表!$Q$4:$Y$303,109,8)))</f>
        <v/>
      </c>
      <c r="I2436" s="70" t="str">
        <f aca="false">IF($E2436="","",N(INDEX(成本费用登记表!$Q$4:$Y$303,109,9)))</f>
        <v/>
      </c>
      <c r="J2436" s="67" t="str">
        <f aca="false">IF($E2436="","",INDEX(成本费用登记表!$C$4:$C$303,109))</f>
        <v/>
      </c>
      <c r="K2436" s="67" t="str">
        <f aca="false">IF($E2436="","",INDEX(成本费用登记表!$D$4:$D$303,109))</f>
        <v/>
      </c>
      <c r="L2436" s="107" t="str">
        <f aca="false">IF($E2436="","",INDEX(成本费用登记表!$N$4:$N$303,109))</f>
        <v/>
      </c>
      <c r="M2436" s="107"/>
      <c r="N2436" s="67" t="str">
        <f aca="false">IF($E2436="","","系统")</f>
        <v/>
      </c>
      <c r="O2436" s="67" t="str">
        <f aca="false">IF($E2436="","","自动C")</f>
        <v/>
      </c>
      <c r="P2436" s="18"/>
    </row>
    <row r="2437" customFormat="false" ht="18" hidden="false" customHeight="true" outlineLevel="0" collapsed="false">
      <c r="A2437" s="107" t="str">
        <f aca="false">IF($E2437="","",ROW()-3)</f>
        <v/>
      </c>
      <c r="B2437" s="110" t="str">
        <f aca="false">IF($E2437="","",INDEX(成本费用登记表!$B$4:$B$303,110))</f>
        <v/>
      </c>
      <c r="C2437" s="67" t="str">
        <f aca="false">IF($E2437="","","记-"&amp;TEXT($B2437,"YYYYMM")&amp;"-费用")</f>
        <v/>
      </c>
      <c r="D2437" s="107" t="str">
        <f aca="false">IF($E2437="","",INDEX(成本费用登记表!$E$4:$E$303,110))</f>
        <v/>
      </c>
      <c r="E2437" s="67" t="str">
        <f aca="false">IF(INDEX(成本费用登记表!$Q$4:$Y$303,110,1)=0,"",INDEX(成本费用登记表!$Q$4:$Y$303,110,1))</f>
        <v/>
      </c>
      <c r="F2437" s="99" t="str">
        <f aca="false">IF($E2437="","",IFERROR(INDEX(科目表!$A$4:$A$81,MATCH($E2437,科目表!$B$4:$B$81,0)),""))</f>
        <v/>
      </c>
      <c r="G2437" s="67" t="str">
        <f aca="false">IF($E2437="","",IFERROR(INDEX(科目表!$E$4:$E$81,MATCH($E2437,科目表!$B$4:$B$81,0)),""))</f>
        <v/>
      </c>
      <c r="H2437" s="70" t="str">
        <f aca="false">IF($E2437="","",N(INDEX(成本费用登记表!$Q$4:$Y$303,110,2)))</f>
        <v/>
      </c>
      <c r="I2437" s="70" t="str">
        <f aca="false">IF($E2437="","",N(INDEX(成本费用登记表!$Q$4:$Y$303,110,3)))</f>
        <v/>
      </c>
      <c r="J2437" s="67" t="str">
        <f aca="false">IF($E2437="","",INDEX(成本费用登记表!$C$4:$C$303,110))</f>
        <v/>
      </c>
      <c r="K2437" s="67" t="str">
        <f aca="false">IF($E2437="","",INDEX(成本费用登记表!$D$4:$D$303,110))</f>
        <v/>
      </c>
      <c r="L2437" s="107" t="str">
        <f aca="false">IF($E2437="","",INDEX(成本费用登记表!$N$4:$N$303,110))</f>
        <v/>
      </c>
      <c r="M2437" s="107"/>
      <c r="N2437" s="67" t="str">
        <f aca="false">IF($E2437="","","系统")</f>
        <v/>
      </c>
      <c r="O2437" s="67" t="str">
        <f aca="false">IF($E2437="","","自动C")</f>
        <v/>
      </c>
      <c r="P2437" s="18"/>
    </row>
    <row r="2438" customFormat="false" ht="18" hidden="false" customHeight="true" outlineLevel="0" collapsed="false">
      <c r="A2438" s="107" t="str">
        <f aca="false">IF($E2438="","",ROW()-3)</f>
        <v/>
      </c>
      <c r="B2438" s="110" t="str">
        <f aca="false">IF($E2438="","",INDEX(成本费用登记表!$B$4:$B$303,110))</f>
        <v/>
      </c>
      <c r="C2438" s="67" t="str">
        <f aca="false">IF($E2438="","","记-"&amp;TEXT($B2438,"YYYYMM")&amp;"-费用")</f>
        <v/>
      </c>
      <c r="D2438" s="107" t="str">
        <f aca="false">IF($E2438="","",INDEX(成本费用登记表!$E$4:$E$303,110))</f>
        <v/>
      </c>
      <c r="E2438" s="67" t="str">
        <f aca="false">IF(INDEX(成本费用登记表!$Q$4:$Y$303,110,4)=0,"",INDEX(成本费用登记表!$Q$4:$Y$303,110,4))</f>
        <v/>
      </c>
      <c r="F2438" s="99" t="str">
        <f aca="false">IF($E2438="","",IFERROR(INDEX(科目表!$A$4:$A$81,MATCH($E2438,科目表!$B$4:$B$81,0)),""))</f>
        <v/>
      </c>
      <c r="G2438" s="67" t="str">
        <f aca="false">IF($E2438="","",IFERROR(INDEX(科目表!$E$4:$E$81,MATCH($E2438,科目表!$B$4:$B$81,0)),""))</f>
        <v/>
      </c>
      <c r="H2438" s="70" t="str">
        <f aca="false">IF($E2438="","",N(INDEX(成本费用登记表!$Q$4:$Y$303,110,5)))</f>
        <v/>
      </c>
      <c r="I2438" s="70" t="str">
        <f aca="false">IF($E2438="","",N(INDEX(成本费用登记表!$Q$4:$Y$303,110,6)))</f>
        <v/>
      </c>
      <c r="J2438" s="67" t="str">
        <f aca="false">IF($E2438="","",INDEX(成本费用登记表!$C$4:$C$303,110))</f>
        <v/>
      </c>
      <c r="K2438" s="67" t="str">
        <f aca="false">IF($E2438="","",INDEX(成本费用登记表!$D$4:$D$303,110))</f>
        <v/>
      </c>
      <c r="L2438" s="107" t="str">
        <f aca="false">IF($E2438="","",INDEX(成本费用登记表!$N$4:$N$303,110))</f>
        <v/>
      </c>
      <c r="M2438" s="107"/>
      <c r="N2438" s="67" t="str">
        <f aca="false">IF($E2438="","","系统")</f>
        <v/>
      </c>
      <c r="O2438" s="67" t="str">
        <f aca="false">IF($E2438="","","自动C")</f>
        <v/>
      </c>
      <c r="P2438" s="18"/>
    </row>
    <row r="2439" customFormat="false" ht="18" hidden="false" customHeight="true" outlineLevel="0" collapsed="false">
      <c r="A2439" s="107" t="str">
        <f aca="false">IF($E2439="","",ROW()-3)</f>
        <v/>
      </c>
      <c r="B2439" s="110" t="str">
        <f aca="false">IF($E2439="","",INDEX(成本费用登记表!$B$4:$B$303,110))</f>
        <v/>
      </c>
      <c r="C2439" s="67" t="str">
        <f aca="false">IF($E2439="","","记-"&amp;TEXT($B2439,"YYYYMM")&amp;"-费用")</f>
        <v/>
      </c>
      <c r="D2439" s="107" t="str">
        <f aca="false">IF($E2439="","",INDEX(成本费用登记表!$E$4:$E$303,110))</f>
        <v/>
      </c>
      <c r="E2439" s="67" t="str">
        <f aca="false">IF(INDEX(成本费用登记表!$Q$4:$Y$303,110,7)=0,"",INDEX(成本费用登记表!$Q$4:$Y$303,110,7))</f>
        <v/>
      </c>
      <c r="F2439" s="99" t="str">
        <f aca="false">IF($E2439="","",IFERROR(INDEX(科目表!$A$4:$A$81,MATCH($E2439,科目表!$B$4:$B$81,0)),""))</f>
        <v/>
      </c>
      <c r="G2439" s="67" t="str">
        <f aca="false">IF($E2439="","",IFERROR(INDEX(科目表!$E$4:$E$81,MATCH($E2439,科目表!$B$4:$B$81,0)),""))</f>
        <v/>
      </c>
      <c r="H2439" s="70" t="str">
        <f aca="false">IF($E2439="","",N(INDEX(成本费用登记表!$Q$4:$Y$303,110,8)))</f>
        <v/>
      </c>
      <c r="I2439" s="70" t="str">
        <f aca="false">IF($E2439="","",N(INDEX(成本费用登记表!$Q$4:$Y$303,110,9)))</f>
        <v/>
      </c>
      <c r="J2439" s="67" t="str">
        <f aca="false">IF($E2439="","",INDEX(成本费用登记表!$C$4:$C$303,110))</f>
        <v/>
      </c>
      <c r="K2439" s="67" t="str">
        <f aca="false">IF($E2439="","",INDEX(成本费用登记表!$D$4:$D$303,110))</f>
        <v/>
      </c>
      <c r="L2439" s="107" t="str">
        <f aca="false">IF($E2439="","",INDEX(成本费用登记表!$N$4:$N$303,110))</f>
        <v/>
      </c>
      <c r="M2439" s="107"/>
      <c r="N2439" s="67" t="str">
        <f aca="false">IF($E2439="","","系统")</f>
        <v/>
      </c>
      <c r="O2439" s="67" t="str">
        <f aca="false">IF($E2439="","","自动C")</f>
        <v/>
      </c>
      <c r="P2439" s="18"/>
    </row>
    <row r="2440" customFormat="false" ht="18" hidden="false" customHeight="true" outlineLevel="0" collapsed="false">
      <c r="A2440" s="107" t="str">
        <f aca="false">IF($E2440="","",ROW()-3)</f>
        <v/>
      </c>
      <c r="B2440" s="110" t="str">
        <f aca="false">IF($E2440="","",INDEX(成本费用登记表!$B$4:$B$303,111))</f>
        <v/>
      </c>
      <c r="C2440" s="67" t="str">
        <f aca="false">IF($E2440="","","记-"&amp;TEXT($B2440,"YYYYMM")&amp;"-费用")</f>
        <v/>
      </c>
      <c r="D2440" s="107" t="str">
        <f aca="false">IF($E2440="","",INDEX(成本费用登记表!$E$4:$E$303,111))</f>
        <v/>
      </c>
      <c r="E2440" s="67" t="str">
        <f aca="false">IF(INDEX(成本费用登记表!$Q$4:$Y$303,111,1)=0,"",INDEX(成本费用登记表!$Q$4:$Y$303,111,1))</f>
        <v/>
      </c>
      <c r="F2440" s="99" t="str">
        <f aca="false">IF($E2440="","",IFERROR(INDEX(科目表!$A$4:$A$81,MATCH($E2440,科目表!$B$4:$B$81,0)),""))</f>
        <v/>
      </c>
      <c r="G2440" s="67" t="str">
        <f aca="false">IF($E2440="","",IFERROR(INDEX(科目表!$E$4:$E$81,MATCH($E2440,科目表!$B$4:$B$81,0)),""))</f>
        <v/>
      </c>
      <c r="H2440" s="70" t="str">
        <f aca="false">IF($E2440="","",N(INDEX(成本费用登记表!$Q$4:$Y$303,111,2)))</f>
        <v/>
      </c>
      <c r="I2440" s="70" t="str">
        <f aca="false">IF($E2440="","",N(INDEX(成本费用登记表!$Q$4:$Y$303,111,3)))</f>
        <v/>
      </c>
      <c r="J2440" s="67" t="str">
        <f aca="false">IF($E2440="","",INDEX(成本费用登记表!$C$4:$C$303,111))</f>
        <v/>
      </c>
      <c r="K2440" s="67" t="str">
        <f aca="false">IF($E2440="","",INDEX(成本费用登记表!$D$4:$D$303,111))</f>
        <v/>
      </c>
      <c r="L2440" s="107" t="str">
        <f aca="false">IF($E2440="","",INDEX(成本费用登记表!$N$4:$N$303,111))</f>
        <v/>
      </c>
      <c r="M2440" s="107"/>
      <c r="N2440" s="67" t="str">
        <f aca="false">IF($E2440="","","系统")</f>
        <v/>
      </c>
      <c r="O2440" s="67" t="str">
        <f aca="false">IF($E2440="","","自动C")</f>
        <v/>
      </c>
      <c r="P2440" s="18"/>
    </row>
    <row r="2441" customFormat="false" ht="18" hidden="false" customHeight="true" outlineLevel="0" collapsed="false">
      <c r="A2441" s="107" t="str">
        <f aca="false">IF($E2441="","",ROW()-3)</f>
        <v/>
      </c>
      <c r="B2441" s="110" t="str">
        <f aca="false">IF($E2441="","",INDEX(成本费用登记表!$B$4:$B$303,111))</f>
        <v/>
      </c>
      <c r="C2441" s="67" t="str">
        <f aca="false">IF($E2441="","","记-"&amp;TEXT($B2441,"YYYYMM")&amp;"-费用")</f>
        <v/>
      </c>
      <c r="D2441" s="107" t="str">
        <f aca="false">IF($E2441="","",INDEX(成本费用登记表!$E$4:$E$303,111))</f>
        <v/>
      </c>
      <c r="E2441" s="67" t="str">
        <f aca="false">IF(INDEX(成本费用登记表!$Q$4:$Y$303,111,4)=0,"",INDEX(成本费用登记表!$Q$4:$Y$303,111,4))</f>
        <v/>
      </c>
      <c r="F2441" s="99" t="str">
        <f aca="false">IF($E2441="","",IFERROR(INDEX(科目表!$A$4:$A$81,MATCH($E2441,科目表!$B$4:$B$81,0)),""))</f>
        <v/>
      </c>
      <c r="G2441" s="67" t="str">
        <f aca="false">IF($E2441="","",IFERROR(INDEX(科目表!$E$4:$E$81,MATCH($E2441,科目表!$B$4:$B$81,0)),""))</f>
        <v/>
      </c>
      <c r="H2441" s="70" t="str">
        <f aca="false">IF($E2441="","",N(INDEX(成本费用登记表!$Q$4:$Y$303,111,5)))</f>
        <v/>
      </c>
      <c r="I2441" s="70" t="str">
        <f aca="false">IF($E2441="","",N(INDEX(成本费用登记表!$Q$4:$Y$303,111,6)))</f>
        <v/>
      </c>
      <c r="J2441" s="67" t="str">
        <f aca="false">IF($E2441="","",INDEX(成本费用登记表!$C$4:$C$303,111))</f>
        <v/>
      </c>
      <c r="K2441" s="67" t="str">
        <f aca="false">IF($E2441="","",INDEX(成本费用登记表!$D$4:$D$303,111))</f>
        <v/>
      </c>
      <c r="L2441" s="107" t="str">
        <f aca="false">IF($E2441="","",INDEX(成本费用登记表!$N$4:$N$303,111))</f>
        <v/>
      </c>
      <c r="M2441" s="107"/>
      <c r="N2441" s="67" t="str">
        <f aca="false">IF($E2441="","","系统")</f>
        <v/>
      </c>
      <c r="O2441" s="67" t="str">
        <f aca="false">IF($E2441="","","自动C")</f>
        <v/>
      </c>
      <c r="P2441" s="18"/>
    </row>
    <row r="2442" customFormat="false" ht="18" hidden="false" customHeight="true" outlineLevel="0" collapsed="false">
      <c r="A2442" s="107" t="str">
        <f aca="false">IF($E2442="","",ROW()-3)</f>
        <v/>
      </c>
      <c r="B2442" s="110" t="str">
        <f aca="false">IF($E2442="","",INDEX(成本费用登记表!$B$4:$B$303,111))</f>
        <v/>
      </c>
      <c r="C2442" s="67" t="str">
        <f aca="false">IF($E2442="","","记-"&amp;TEXT($B2442,"YYYYMM")&amp;"-费用")</f>
        <v/>
      </c>
      <c r="D2442" s="107" t="str">
        <f aca="false">IF($E2442="","",INDEX(成本费用登记表!$E$4:$E$303,111))</f>
        <v/>
      </c>
      <c r="E2442" s="67" t="str">
        <f aca="false">IF(INDEX(成本费用登记表!$Q$4:$Y$303,111,7)=0,"",INDEX(成本费用登记表!$Q$4:$Y$303,111,7))</f>
        <v/>
      </c>
      <c r="F2442" s="99" t="str">
        <f aca="false">IF($E2442="","",IFERROR(INDEX(科目表!$A$4:$A$81,MATCH($E2442,科目表!$B$4:$B$81,0)),""))</f>
        <v/>
      </c>
      <c r="G2442" s="67" t="str">
        <f aca="false">IF($E2442="","",IFERROR(INDEX(科目表!$E$4:$E$81,MATCH($E2442,科目表!$B$4:$B$81,0)),""))</f>
        <v/>
      </c>
      <c r="H2442" s="70" t="str">
        <f aca="false">IF($E2442="","",N(INDEX(成本费用登记表!$Q$4:$Y$303,111,8)))</f>
        <v/>
      </c>
      <c r="I2442" s="70" t="str">
        <f aca="false">IF($E2442="","",N(INDEX(成本费用登记表!$Q$4:$Y$303,111,9)))</f>
        <v/>
      </c>
      <c r="J2442" s="67" t="str">
        <f aca="false">IF($E2442="","",INDEX(成本费用登记表!$C$4:$C$303,111))</f>
        <v/>
      </c>
      <c r="K2442" s="67" t="str">
        <f aca="false">IF($E2442="","",INDEX(成本费用登记表!$D$4:$D$303,111))</f>
        <v/>
      </c>
      <c r="L2442" s="107" t="str">
        <f aca="false">IF($E2442="","",INDEX(成本费用登记表!$N$4:$N$303,111))</f>
        <v/>
      </c>
      <c r="M2442" s="107"/>
      <c r="N2442" s="67" t="str">
        <f aca="false">IF($E2442="","","系统")</f>
        <v/>
      </c>
      <c r="O2442" s="67" t="str">
        <f aca="false">IF($E2442="","","自动C")</f>
        <v/>
      </c>
      <c r="P2442" s="18"/>
    </row>
    <row r="2443" customFormat="false" ht="18" hidden="false" customHeight="true" outlineLevel="0" collapsed="false">
      <c r="A2443" s="107" t="str">
        <f aca="false">IF($E2443="","",ROW()-3)</f>
        <v/>
      </c>
      <c r="B2443" s="110" t="str">
        <f aca="false">IF($E2443="","",INDEX(成本费用登记表!$B$4:$B$303,112))</f>
        <v/>
      </c>
      <c r="C2443" s="67" t="str">
        <f aca="false">IF($E2443="","","记-"&amp;TEXT($B2443,"YYYYMM")&amp;"-费用")</f>
        <v/>
      </c>
      <c r="D2443" s="107" t="str">
        <f aca="false">IF($E2443="","",INDEX(成本费用登记表!$E$4:$E$303,112))</f>
        <v/>
      </c>
      <c r="E2443" s="67" t="str">
        <f aca="false">IF(INDEX(成本费用登记表!$Q$4:$Y$303,112,1)=0,"",INDEX(成本费用登记表!$Q$4:$Y$303,112,1))</f>
        <v/>
      </c>
      <c r="F2443" s="99" t="str">
        <f aca="false">IF($E2443="","",IFERROR(INDEX(科目表!$A$4:$A$81,MATCH($E2443,科目表!$B$4:$B$81,0)),""))</f>
        <v/>
      </c>
      <c r="G2443" s="67" t="str">
        <f aca="false">IF($E2443="","",IFERROR(INDEX(科目表!$E$4:$E$81,MATCH($E2443,科目表!$B$4:$B$81,0)),""))</f>
        <v/>
      </c>
      <c r="H2443" s="70" t="str">
        <f aca="false">IF($E2443="","",N(INDEX(成本费用登记表!$Q$4:$Y$303,112,2)))</f>
        <v/>
      </c>
      <c r="I2443" s="70" t="str">
        <f aca="false">IF($E2443="","",N(INDEX(成本费用登记表!$Q$4:$Y$303,112,3)))</f>
        <v/>
      </c>
      <c r="J2443" s="67" t="str">
        <f aca="false">IF($E2443="","",INDEX(成本费用登记表!$C$4:$C$303,112))</f>
        <v/>
      </c>
      <c r="K2443" s="67" t="str">
        <f aca="false">IF($E2443="","",INDEX(成本费用登记表!$D$4:$D$303,112))</f>
        <v/>
      </c>
      <c r="L2443" s="107" t="str">
        <f aca="false">IF($E2443="","",INDEX(成本费用登记表!$N$4:$N$303,112))</f>
        <v/>
      </c>
      <c r="M2443" s="107"/>
      <c r="N2443" s="67" t="str">
        <f aca="false">IF($E2443="","","系统")</f>
        <v/>
      </c>
      <c r="O2443" s="67" t="str">
        <f aca="false">IF($E2443="","","自动C")</f>
        <v/>
      </c>
      <c r="P2443" s="18"/>
    </row>
    <row r="2444" customFormat="false" ht="18" hidden="false" customHeight="true" outlineLevel="0" collapsed="false">
      <c r="A2444" s="107" t="str">
        <f aca="false">IF($E2444="","",ROW()-3)</f>
        <v/>
      </c>
      <c r="B2444" s="110" t="str">
        <f aca="false">IF($E2444="","",INDEX(成本费用登记表!$B$4:$B$303,112))</f>
        <v/>
      </c>
      <c r="C2444" s="67" t="str">
        <f aca="false">IF($E2444="","","记-"&amp;TEXT($B2444,"YYYYMM")&amp;"-费用")</f>
        <v/>
      </c>
      <c r="D2444" s="107" t="str">
        <f aca="false">IF($E2444="","",INDEX(成本费用登记表!$E$4:$E$303,112))</f>
        <v/>
      </c>
      <c r="E2444" s="67" t="str">
        <f aca="false">IF(INDEX(成本费用登记表!$Q$4:$Y$303,112,4)=0,"",INDEX(成本费用登记表!$Q$4:$Y$303,112,4))</f>
        <v/>
      </c>
      <c r="F2444" s="99" t="str">
        <f aca="false">IF($E2444="","",IFERROR(INDEX(科目表!$A$4:$A$81,MATCH($E2444,科目表!$B$4:$B$81,0)),""))</f>
        <v/>
      </c>
      <c r="G2444" s="67" t="str">
        <f aca="false">IF($E2444="","",IFERROR(INDEX(科目表!$E$4:$E$81,MATCH($E2444,科目表!$B$4:$B$81,0)),""))</f>
        <v/>
      </c>
      <c r="H2444" s="70" t="str">
        <f aca="false">IF($E2444="","",N(INDEX(成本费用登记表!$Q$4:$Y$303,112,5)))</f>
        <v/>
      </c>
      <c r="I2444" s="70" t="str">
        <f aca="false">IF($E2444="","",N(INDEX(成本费用登记表!$Q$4:$Y$303,112,6)))</f>
        <v/>
      </c>
      <c r="J2444" s="67" t="str">
        <f aca="false">IF($E2444="","",INDEX(成本费用登记表!$C$4:$C$303,112))</f>
        <v/>
      </c>
      <c r="K2444" s="67" t="str">
        <f aca="false">IF($E2444="","",INDEX(成本费用登记表!$D$4:$D$303,112))</f>
        <v/>
      </c>
      <c r="L2444" s="107" t="str">
        <f aca="false">IF($E2444="","",INDEX(成本费用登记表!$N$4:$N$303,112))</f>
        <v/>
      </c>
      <c r="M2444" s="107"/>
      <c r="N2444" s="67" t="str">
        <f aca="false">IF($E2444="","","系统")</f>
        <v/>
      </c>
      <c r="O2444" s="67" t="str">
        <f aca="false">IF($E2444="","","自动C")</f>
        <v/>
      </c>
      <c r="P2444" s="18"/>
    </row>
    <row r="2445" customFormat="false" ht="18" hidden="false" customHeight="true" outlineLevel="0" collapsed="false">
      <c r="A2445" s="107" t="str">
        <f aca="false">IF($E2445="","",ROW()-3)</f>
        <v/>
      </c>
      <c r="B2445" s="110" t="str">
        <f aca="false">IF($E2445="","",INDEX(成本费用登记表!$B$4:$B$303,112))</f>
        <v/>
      </c>
      <c r="C2445" s="67" t="str">
        <f aca="false">IF($E2445="","","记-"&amp;TEXT($B2445,"YYYYMM")&amp;"-费用")</f>
        <v/>
      </c>
      <c r="D2445" s="107" t="str">
        <f aca="false">IF($E2445="","",INDEX(成本费用登记表!$E$4:$E$303,112))</f>
        <v/>
      </c>
      <c r="E2445" s="67" t="str">
        <f aca="false">IF(INDEX(成本费用登记表!$Q$4:$Y$303,112,7)=0,"",INDEX(成本费用登记表!$Q$4:$Y$303,112,7))</f>
        <v/>
      </c>
      <c r="F2445" s="99" t="str">
        <f aca="false">IF($E2445="","",IFERROR(INDEX(科目表!$A$4:$A$81,MATCH($E2445,科目表!$B$4:$B$81,0)),""))</f>
        <v/>
      </c>
      <c r="G2445" s="67" t="str">
        <f aca="false">IF($E2445="","",IFERROR(INDEX(科目表!$E$4:$E$81,MATCH($E2445,科目表!$B$4:$B$81,0)),""))</f>
        <v/>
      </c>
      <c r="H2445" s="70" t="str">
        <f aca="false">IF($E2445="","",N(INDEX(成本费用登记表!$Q$4:$Y$303,112,8)))</f>
        <v/>
      </c>
      <c r="I2445" s="70" t="str">
        <f aca="false">IF($E2445="","",N(INDEX(成本费用登记表!$Q$4:$Y$303,112,9)))</f>
        <v/>
      </c>
      <c r="J2445" s="67" t="str">
        <f aca="false">IF($E2445="","",INDEX(成本费用登记表!$C$4:$C$303,112))</f>
        <v/>
      </c>
      <c r="K2445" s="67" t="str">
        <f aca="false">IF($E2445="","",INDEX(成本费用登记表!$D$4:$D$303,112))</f>
        <v/>
      </c>
      <c r="L2445" s="107" t="str">
        <f aca="false">IF($E2445="","",INDEX(成本费用登记表!$N$4:$N$303,112))</f>
        <v/>
      </c>
      <c r="M2445" s="107"/>
      <c r="N2445" s="67" t="str">
        <f aca="false">IF($E2445="","","系统")</f>
        <v/>
      </c>
      <c r="O2445" s="67" t="str">
        <f aca="false">IF($E2445="","","自动C")</f>
        <v/>
      </c>
      <c r="P2445" s="18"/>
    </row>
    <row r="2446" customFormat="false" ht="18" hidden="false" customHeight="true" outlineLevel="0" collapsed="false">
      <c r="A2446" s="107" t="str">
        <f aca="false">IF($E2446="","",ROW()-3)</f>
        <v/>
      </c>
      <c r="B2446" s="110" t="str">
        <f aca="false">IF($E2446="","",INDEX(成本费用登记表!$B$4:$B$303,113))</f>
        <v/>
      </c>
      <c r="C2446" s="67" t="str">
        <f aca="false">IF($E2446="","","记-"&amp;TEXT($B2446,"YYYYMM")&amp;"-费用")</f>
        <v/>
      </c>
      <c r="D2446" s="107" t="str">
        <f aca="false">IF($E2446="","",INDEX(成本费用登记表!$E$4:$E$303,113))</f>
        <v/>
      </c>
      <c r="E2446" s="67" t="str">
        <f aca="false">IF(INDEX(成本费用登记表!$Q$4:$Y$303,113,1)=0,"",INDEX(成本费用登记表!$Q$4:$Y$303,113,1))</f>
        <v/>
      </c>
      <c r="F2446" s="99" t="str">
        <f aca="false">IF($E2446="","",IFERROR(INDEX(科目表!$A$4:$A$81,MATCH($E2446,科目表!$B$4:$B$81,0)),""))</f>
        <v/>
      </c>
      <c r="G2446" s="67" t="str">
        <f aca="false">IF($E2446="","",IFERROR(INDEX(科目表!$E$4:$E$81,MATCH($E2446,科目表!$B$4:$B$81,0)),""))</f>
        <v/>
      </c>
      <c r="H2446" s="70" t="str">
        <f aca="false">IF($E2446="","",N(INDEX(成本费用登记表!$Q$4:$Y$303,113,2)))</f>
        <v/>
      </c>
      <c r="I2446" s="70" t="str">
        <f aca="false">IF($E2446="","",N(INDEX(成本费用登记表!$Q$4:$Y$303,113,3)))</f>
        <v/>
      </c>
      <c r="J2446" s="67" t="str">
        <f aca="false">IF($E2446="","",INDEX(成本费用登记表!$C$4:$C$303,113))</f>
        <v/>
      </c>
      <c r="K2446" s="67" t="str">
        <f aca="false">IF($E2446="","",INDEX(成本费用登记表!$D$4:$D$303,113))</f>
        <v/>
      </c>
      <c r="L2446" s="107" t="str">
        <f aca="false">IF($E2446="","",INDEX(成本费用登记表!$N$4:$N$303,113))</f>
        <v/>
      </c>
      <c r="M2446" s="107"/>
      <c r="N2446" s="67" t="str">
        <f aca="false">IF($E2446="","","系统")</f>
        <v/>
      </c>
      <c r="O2446" s="67" t="str">
        <f aca="false">IF($E2446="","","自动C")</f>
        <v/>
      </c>
      <c r="P2446" s="18"/>
    </row>
    <row r="2447" customFormat="false" ht="18" hidden="false" customHeight="true" outlineLevel="0" collapsed="false">
      <c r="A2447" s="107" t="str">
        <f aca="false">IF($E2447="","",ROW()-3)</f>
        <v/>
      </c>
      <c r="B2447" s="110" t="str">
        <f aca="false">IF($E2447="","",INDEX(成本费用登记表!$B$4:$B$303,113))</f>
        <v/>
      </c>
      <c r="C2447" s="67" t="str">
        <f aca="false">IF($E2447="","","记-"&amp;TEXT($B2447,"YYYYMM")&amp;"-费用")</f>
        <v/>
      </c>
      <c r="D2447" s="107" t="str">
        <f aca="false">IF($E2447="","",INDEX(成本费用登记表!$E$4:$E$303,113))</f>
        <v/>
      </c>
      <c r="E2447" s="67" t="str">
        <f aca="false">IF(INDEX(成本费用登记表!$Q$4:$Y$303,113,4)=0,"",INDEX(成本费用登记表!$Q$4:$Y$303,113,4))</f>
        <v/>
      </c>
      <c r="F2447" s="99" t="str">
        <f aca="false">IF($E2447="","",IFERROR(INDEX(科目表!$A$4:$A$81,MATCH($E2447,科目表!$B$4:$B$81,0)),""))</f>
        <v/>
      </c>
      <c r="G2447" s="67" t="str">
        <f aca="false">IF($E2447="","",IFERROR(INDEX(科目表!$E$4:$E$81,MATCH($E2447,科目表!$B$4:$B$81,0)),""))</f>
        <v/>
      </c>
      <c r="H2447" s="70" t="str">
        <f aca="false">IF($E2447="","",N(INDEX(成本费用登记表!$Q$4:$Y$303,113,5)))</f>
        <v/>
      </c>
      <c r="I2447" s="70" t="str">
        <f aca="false">IF($E2447="","",N(INDEX(成本费用登记表!$Q$4:$Y$303,113,6)))</f>
        <v/>
      </c>
      <c r="J2447" s="67" t="str">
        <f aca="false">IF($E2447="","",INDEX(成本费用登记表!$C$4:$C$303,113))</f>
        <v/>
      </c>
      <c r="K2447" s="67" t="str">
        <f aca="false">IF($E2447="","",INDEX(成本费用登记表!$D$4:$D$303,113))</f>
        <v/>
      </c>
      <c r="L2447" s="107" t="str">
        <f aca="false">IF($E2447="","",INDEX(成本费用登记表!$N$4:$N$303,113))</f>
        <v/>
      </c>
      <c r="M2447" s="107"/>
      <c r="N2447" s="67" t="str">
        <f aca="false">IF($E2447="","","系统")</f>
        <v/>
      </c>
      <c r="O2447" s="67" t="str">
        <f aca="false">IF($E2447="","","自动C")</f>
        <v/>
      </c>
      <c r="P2447" s="18"/>
    </row>
    <row r="2448" customFormat="false" ht="18" hidden="false" customHeight="true" outlineLevel="0" collapsed="false">
      <c r="A2448" s="107" t="str">
        <f aca="false">IF($E2448="","",ROW()-3)</f>
        <v/>
      </c>
      <c r="B2448" s="110" t="str">
        <f aca="false">IF($E2448="","",INDEX(成本费用登记表!$B$4:$B$303,113))</f>
        <v/>
      </c>
      <c r="C2448" s="67" t="str">
        <f aca="false">IF($E2448="","","记-"&amp;TEXT($B2448,"YYYYMM")&amp;"-费用")</f>
        <v/>
      </c>
      <c r="D2448" s="107" t="str">
        <f aca="false">IF($E2448="","",INDEX(成本费用登记表!$E$4:$E$303,113))</f>
        <v/>
      </c>
      <c r="E2448" s="67" t="str">
        <f aca="false">IF(INDEX(成本费用登记表!$Q$4:$Y$303,113,7)=0,"",INDEX(成本费用登记表!$Q$4:$Y$303,113,7))</f>
        <v/>
      </c>
      <c r="F2448" s="99" t="str">
        <f aca="false">IF($E2448="","",IFERROR(INDEX(科目表!$A$4:$A$81,MATCH($E2448,科目表!$B$4:$B$81,0)),""))</f>
        <v/>
      </c>
      <c r="G2448" s="67" t="str">
        <f aca="false">IF($E2448="","",IFERROR(INDEX(科目表!$E$4:$E$81,MATCH($E2448,科目表!$B$4:$B$81,0)),""))</f>
        <v/>
      </c>
      <c r="H2448" s="70" t="str">
        <f aca="false">IF($E2448="","",N(INDEX(成本费用登记表!$Q$4:$Y$303,113,8)))</f>
        <v/>
      </c>
      <c r="I2448" s="70" t="str">
        <f aca="false">IF($E2448="","",N(INDEX(成本费用登记表!$Q$4:$Y$303,113,9)))</f>
        <v/>
      </c>
      <c r="J2448" s="67" t="str">
        <f aca="false">IF($E2448="","",INDEX(成本费用登记表!$C$4:$C$303,113))</f>
        <v/>
      </c>
      <c r="K2448" s="67" t="str">
        <f aca="false">IF($E2448="","",INDEX(成本费用登记表!$D$4:$D$303,113))</f>
        <v/>
      </c>
      <c r="L2448" s="107" t="str">
        <f aca="false">IF($E2448="","",INDEX(成本费用登记表!$N$4:$N$303,113))</f>
        <v/>
      </c>
      <c r="M2448" s="107"/>
      <c r="N2448" s="67" t="str">
        <f aca="false">IF($E2448="","","系统")</f>
        <v/>
      </c>
      <c r="O2448" s="67" t="str">
        <f aca="false">IF($E2448="","","自动C")</f>
        <v/>
      </c>
      <c r="P2448" s="18"/>
    </row>
    <row r="2449" customFormat="false" ht="18" hidden="false" customHeight="true" outlineLevel="0" collapsed="false">
      <c r="A2449" s="107" t="str">
        <f aca="false">IF($E2449="","",ROW()-3)</f>
        <v/>
      </c>
      <c r="B2449" s="110" t="str">
        <f aca="false">IF($E2449="","",INDEX(成本费用登记表!$B$4:$B$303,114))</f>
        <v/>
      </c>
      <c r="C2449" s="67" t="str">
        <f aca="false">IF($E2449="","","记-"&amp;TEXT($B2449,"YYYYMM")&amp;"-费用")</f>
        <v/>
      </c>
      <c r="D2449" s="107" t="str">
        <f aca="false">IF($E2449="","",INDEX(成本费用登记表!$E$4:$E$303,114))</f>
        <v/>
      </c>
      <c r="E2449" s="67" t="str">
        <f aca="false">IF(INDEX(成本费用登记表!$Q$4:$Y$303,114,1)=0,"",INDEX(成本费用登记表!$Q$4:$Y$303,114,1))</f>
        <v/>
      </c>
      <c r="F2449" s="99" t="str">
        <f aca="false">IF($E2449="","",IFERROR(INDEX(科目表!$A$4:$A$81,MATCH($E2449,科目表!$B$4:$B$81,0)),""))</f>
        <v/>
      </c>
      <c r="G2449" s="67" t="str">
        <f aca="false">IF($E2449="","",IFERROR(INDEX(科目表!$E$4:$E$81,MATCH($E2449,科目表!$B$4:$B$81,0)),""))</f>
        <v/>
      </c>
      <c r="H2449" s="70" t="str">
        <f aca="false">IF($E2449="","",N(INDEX(成本费用登记表!$Q$4:$Y$303,114,2)))</f>
        <v/>
      </c>
      <c r="I2449" s="70" t="str">
        <f aca="false">IF($E2449="","",N(INDEX(成本费用登记表!$Q$4:$Y$303,114,3)))</f>
        <v/>
      </c>
      <c r="J2449" s="67" t="str">
        <f aca="false">IF($E2449="","",INDEX(成本费用登记表!$C$4:$C$303,114))</f>
        <v/>
      </c>
      <c r="K2449" s="67" t="str">
        <f aca="false">IF($E2449="","",INDEX(成本费用登记表!$D$4:$D$303,114))</f>
        <v/>
      </c>
      <c r="L2449" s="107" t="str">
        <f aca="false">IF($E2449="","",INDEX(成本费用登记表!$N$4:$N$303,114))</f>
        <v/>
      </c>
      <c r="M2449" s="107"/>
      <c r="N2449" s="67" t="str">
        <f aca="false">IF($E2449="","","系统")</f>
        <v/>
      </c>
      <c r="O2449" s="67" t="str">
        <f aca="false">IF($E2449="","","自动C")</f>
        <v/>
      </c>
      <c r="P2449" s="18"/>
    </row>
    <row r="2450" customFormat="false" ht="18" hidden="false" customHeight="true" outlineLevel="0" collapsed="false">
      <c r="A2450" s="107" t="str">
        <f aca="false">IF($E2450="","",ROW()-3)</f>
        <v/>
      </c>
      <c r="B2450" s="110" t="str">
        <f aca="false">IF($E2450="","",INDEX(成本费用登记表!$B$4:$B$303,114))</f>
        <v/>
      </c>
      <c r="C2450" s="67" t="str">
        <f aca="false">IF($E2450="","","记-"&amp;TEXT($B2450,"YYYYMM")&amp;"-费用")</f>
        <v/>
      </c>
      <c r="D2450" s="107" t="str">
        <f aca="false">IF($E2450="","",INDEX(成本费用登记表!$E$4:$E$303,114))</f>
        <v/>
      </c>
      <c r="E2450" s="67" t="str">
        <f aca="false">IF(INDEX(成本费用登记表!$Q$4:$Y$303,114,4)=0,"",INDEX(成本费用登记表!$Q$4:$Y$303,114,4))</f>
        <v/>
      </c>
      <c r="F2450" s="99" t="str">
        <f aca="false">IF($E2450="","",IFERROR(INDEX(科目表!$A$4:$A$81,MATCH($E2450,科目表!$B$4:$B$81,0)),""))</f>
        <v/>
      </c>
      <c r="G2450" s="67" t="str">
        <f aca="false">IF($E2450="","",IFERROR(INDEX(科目表!$E$4:$E$81,MATCH($E2450,科目表!$B$4:$B$81,0)),""))</f>
        <v/>
      </c>
      <c r="H2450" s="70" t="str">
        <f aca="false">IF($E2450="","",N(INDEX(成本费用登记表!$Q$4:$Y$303,114,5)))</f>
        <v/>
      </c>
      <c r="I2450" s="70" t="str">
        <f aca="false">IF($E2450="","",N(INDEX(成本费用登记表!$Q$4:$Y$303,114,6)))</f>
        <v/>
      </c>
      <c r="J2450" s="67" t="str">
        <f aca="false">IF($E2450="","",INDEX(成本费用登记表!$C$4:$C$303,114))</f>
        <v/>
      </c>
      <c r="K2450" s="67" t="str">
        <f aca="false">IF($E2450="","",INDEX(成本费用登记表!$D$4:$D$303,114))</f>
        <v/>
      </c>
      <c r="L2450" s="107" t="str">
        <f aca="false">IF($E2450="","",INDEX(成本费用登记表!$N$4:$N$303,114))</f>
        <v/>
      </c>
      <c r="M2450" s="107"/>
      <c r="N2450" s="67" t="str">
        <f aca="false">IF($E2450="","","系统")</f>
        <v/>
      </c>
      <c r="O2450" s="67" t="str">
        <f aca="false">IF($E2450="","","自动C")</f>
        <v/>
      </c>
      <c r="P2450" s="18"/>
    </row>
    <row r="2451" customFormat="false" ht="18" hidden="false" customHeight="true" outlineLevel="0" collapsed="false">
      <c r="A2451" s="107" t="str">
        <f aca="false">IF($E2451="","",ROW()-3)</f>
        <v/>
      </c>
      <c r="B2451" s="110" t="str">
        <f aca="false">IF($E2451="","",INDEX(成本费用登记表!$B$4:$B$303,114))</f>
        <v/>
      </c>
      <c r="C2451" s="67" t="str">
        <f aca="false">IF($E2451="","","记-"&amp;TEXT($B2451,"YYYYMM")&amp;"-费用")</f>
        <v/>
      </c>
      <c r="D2451" s="107" t="str">
        <f aca="false">IF($E2451="","",INDEX(成本费用登记表!$E$4:$E$303,114))</f>
        <v/>
      </c>
      <c r="E2451" s="67" t="str">
        <f aca="false">IF(INDEX(成本费用登记表!$Q$4:$Y$303,114,7)=0,"",INDEX(成本费用登记表!$Q$4:$Y$303,114,7))</f>
        <v/>
      </c>
      <c r="F2451" s="99" t="str">
        <f aca="false">IF($E2451="","",IFERROR(INDEX(科目表!$A$4:$A$81,MATCH($E2451,科目表!$B$4:$B$81,0)),""))</f>
        <v/>
      </c>
      <c r="G2451" s="67" t="str">
        <f aca="false">IF($E2451="","",IFERROR(INDEX(科目表!$E$4:$E$81,MATCH($E2451,科目表!$B$4:$B$81,0)),""))</f>
        <v/>
      </c>
      <c r="H2451" s="70" t="str">
        <f aca="false">IF($E2451="","",N(INDEX(成本费用登记表!$Q$4:$Y$303,114,8)))</f>
        <v/>
      </c>
      <c r="I2451" s="70" t="str">
        <f aca="false">IF($E2451="","",N(INDEX(成本费用登记表!$Q$4:$Y$303,114,9)))</f>
        <v/>
      </c>
      <c r="J2451" s="67" t="str">
        <f aca="false">IF($E2451="","",INDEX(成本费用登记表!$C$4:$C$303,114))</f>
        <v/>
      </c>
      <c r="K2451" s="67" t="str">
        <f aca="false">IF($E2451="","",INDEX(成本费用登记表!$D$4:$D$303,114))</f>
        <v/>
      </c>
      <c r="L2451" s="107" t="str">
        <f aca="false">IF($E2451="","",INDEX(成本费用登记表!$N$4:$N$303,114))</f>
        <v/>
      </c>
      <c r="M2451" s="107"/>
      <c r="N2451" s="67" t="str">
        <f aca="false">IF($E2451="","","系统")</f>
        <v/>
      </c>
      <c r="O2451" s="67" t="str">
        <f aca="false">IF($E2451="","","自动C")</f>
        <v/>
      </c>
      <c r="P2451" s="18"/>
    </row>
    <row r="2452" customFormat="false" ht="18" hidden="false" customHeight="true" outlineLevel="0" collapsed="false">
      <c r="A2452" s="107" t="str">
        <f aca="false">IF($E2452="","",ROW()-3)</f>
        <v/>
      </c>
      <c r="B2452" s="110" t="str">
        <f aca="false">IF($E2452="","",INDEX(成本费用登记表!$B$4:$B$303,115))</f>
        <v/>
      </c>
      <c r="C2452" s="67" t="str">
        <f aca="false">IF($E2452="","","记-"&amp;TEXT($B2452,"YYYYMM")&amp;"-费用")</f>
        <v/>
      </c>
      <c r="D2452" s="107" t="str">
        <f aca="false">IF($E2452="","",INDEX(成本费用登记表!$E$4:$E$303,115))</f>
        <v/>
      </c>
      <c r="E2452" s="67" t="str">
        <f aca="false">IF(INDEX(成本费用登记表!$Q$4:$Y$303,115,1)=0,"",INDEX(成本费用登记表!$Q$4:$Y$303,115,1))</f>
        <v/>
      </c>
      <c r="F2452" s="99" t="str">
        <f aca="false">IF($E2452="","",IFERROR(INDEX(科目表!$A$4:$A$81,MATCH($E2452,科目表!$B$4:$B$81,0)),""))</f>
        <v/>
      </c>
      <c r="G2452" s="67" t="str">
        <f aca="false">IF($E2452="","",IFERROR(INDEX(科目表!$E$4:$E$81,MATCH($E2452,科目表!$B$4:$B$81,0)),""))</f>
        <v/>
      </c>
      <c r="H2452" s="70" t="str">
        <f aca="false">IF($E2452="","",N(INDEX(成本费用登记表!$Q$4:$Y$303,115,2)))</f>
        <v/>
      </c>
      <c r="I2452" s="70" t="str">
        <f aca="false">IF($E2452="","",N(INDEX(成本费用登记表!$Q$4:$Y$303,115,3)))</f>
        <v/>
      </c>
      <c r="J2452" s="67" t="str">
        <f aca="false">IF($E2452="","",INDEX(成本费用登记表!$C$4:$C$303,115))</f>
        <v/>
      </c>
      <c r="K2452" s="67" t="str">
        <f aca="false">IF($E2452="","",INDEX(成本费用登记表!$D$4:$D$303,115))</f>
        <v/>
      </c>
      <c r="L2452" s="107" t="str">
        <f aca="false">IF($E2452="","",INDEX(成本费用登记表!$N$4:$N$303,115))</f>
        <v/>
      </c>
      <c r="M2452" s="107"/>
      <c r="N2452" s="67" t="str">
        <f aca="false">IF($E2452="","","系统")</f>
        <v/>
      </c>
      <c r="O2452" s="67" t="str">
        <f aca="false">IF($E2452="","","自动C")</f>
        <v/>
      </c>
      <c r="P2452" s="18"/>
    </row>
    <row r="2453" customFormat="false" ht="18" hidden="false" customHeight="true" outlineLevel="0" collapsed="false">
      <c r="A2453" s="107" t="str">
        <f aca="false">IF($E2453="","",ROW()-3)</f>
        <v/>
      </c>
      <c r="B2453" s="110" t="str">
        <f aca="false">IF($E2453="","",INDEX(成本费用登记表!$B$4:$B$303,115))</f>
        <v/>
      </c>
      <c r="C2453" s="67" t="str">
        <f aca="false">IF($E2453="","","记-"&amp;TEXT($B2453,"YYYYMM")&amp;"-费用")</f>
        <v/>
      </c>
      <c r="D2453" s="107" t="str">
        <f aca="false">IF($E2453="","",INDEX(成本费用登记表!$E$4:$E$303,115))</f>
        <v/>
      </c>
      <c r="E2453" s="67" t="str">
        <f aca="false">IF(INDEX(成本费用登记表!$Q$4:$Y$303,115,4)=0,"",INDEX(成本费用登记表!$Q$4:$Y$303,115,4))</f>
        <v/>
      </c>
      <c r="F2453" s="99" t="str">
        <f aca="false">IF($E2453="","",IFERROR(INDEX(科目表!$A$4:$A$81,MATCH($E2453,科目表!$B$4:$B$81,0)),""))</f>
        <v/>
      </c>
      <c r="G2453" s="67" t="str">
        <f aca="false">IF($E2453="","",IFERROR(INDEX(科目表!$E$4:$E$81,MATCH($E2453,科目表!$B$4:$B$81,0)),""))</f>
        <v/>
      </c>
      <c r="H2453" s="70" t="str">
        <f aca="false">IF($E2453="","",N(INDEX(成本费用登记表!$Q$4:$Y$303,115,5)))</f>
        <v/>
      </c>
      <c r="I2453" s="70" t="str">
        <f aca="false">IF($E2453="","",N(INDEX(成本费用登记表!$Q$4:$Y$303,115,6)))</f>
        <v/>
      </c>
      <c r="J2453" s="67" t="str">
        <f aca="false">IF($E2453="","",INDEX(成本费用登记表!$C$4:$C$303,115))</f>
        <v/>
      </c>
      <c r="K2453" s="67" t="str">
        <f aca="false">IF($E2453="","",INDEX(成本费用登记表!$D$4:$D$303,115))</f>
        <v/>
      </c>
      <c r="L2453" s="107" t="str">
        <f aca="false">IF($E2453="","",INDEX(成本费用登记表!$N$4:$N$303,115))</f>
        <v/>
      </c>
      <c r="M2453" s="107"/>
      <c r="N2453" s="67" t="str">
        <f aca="false">IF($E2453="","","系统")</f>
        <v/>
      </c>
      <c r="O2453" s="67" t="str">
        <f aca="false">IF($E2453="","","自动C")</f>
        <v/>
      </c>
      <c r="P2453" s="18"/>
    </row>
    <row r="2454" customFormat="false" ht="18" hidden="false" customHeight="true" outlineLevel="0" collapsed="false">
      <c r="A2454" s="107" t="str">
        <f aca="false">IF($E2454="","",ROW()-3)</f>
        <v/>
      </c>
      <c r="B2454" s="110" t="str">
        <f aca="false">IF($E2454="","",INDEX(成本费用登记表!$B$4:$B$303,115))</f>
        <v/>
      </c>
      <c r="C2454" s="67" t="str">
        <f aca="false">IF($E2454="","","记-"&amp;TEXT($B2454,"YYYYMM")&amp;"-费用")</f>
        <v/>
      </c>
      <c r="D2454" s="107" t="str">
        <f aca="false">IF($E2454="","",INDEX(成本费用登记表!$E$4:$E$303,115))</f>
        <v/>
      </c>
      <c r="E2454" s="67" t="str">
        <f aca="false">IF(INDEX(成本费用登记表!$Q$4:$Y$303,115,7)=0,"",INDEX(成本费用登记表!$Q$4:$Y$303,115,7))</f>
        <v/>
      </c>
      <c r="F2454" s="99" t="str">
        <f aca="false">IF($E2454="","",IFERROR(INDEX(科目表!$A$4:$A$81,MATCH($E2454,科目表!$B$4:$B$81,0)),""))</f>
        <v/>
      </c>
      <c r="G2454" s="67" t="str">
        <f aca="false">IF($E2454="","",IFERROR(INDEX(科目表!$E$4:$E$81,MATCH($E2454,科目表!$B$4:$B$81,0)),""))</f>
        <v/>
      </c>
      <c r="H2454" s="70" t="str">
        <f aca="false">IF($E2454="","",N(INDEX(成本费用登记表!$Q$4:$Y$303,115,8)))</f>
        <v/>
      </c>
      <c r="I2454" s="70" t="str">
        <f aca="false">IF($E2454="","",N(INDEX(成本费用登记表!$Q$4:$Y$303,115,9)))</f>
        <v/>
      </c>
      <c r="J2454" s="67" t="str">
        <f aca="false">IF($E2454="","",INDEX(成本费用登记表!$C$4:$C$303,115))</f>
        <v/>
      </c>
      <c r="K2454" s="67" t="str">
        <f aca="false">IF($E2454="","",INDEX(成本费用登记表!$D$4:$D$303,115))</f>
        <v/>
      </c>
      <c r="L2454" s="107" t="str">
        <f aca="false">IF($E2454="","",INDEX(成本费用登记表!$N$4:$N$303,115))</f>
        <v/>
      </c>
      <c r="M2454" s="107"/>
      <c r="N2454" s="67" t="str">
        <f aca="false">IF($E2454="","","系统")</f>
        <v/>
      </c>
      <c r="O2454" s="67" t="str">
        <f aca="false">IF($E2454="","","自动C")</f>
        <v/>
      </c>
      <c r="P2454" s="18"/>
    </row>
    <row r="2455" customFormat="false" ht="18" hidden="false" customHeight="true" outlineLevel="0" collapsed="false">
      <c r="A2455" s="107" t="str">
        <f aca="false">IF($E2455="","",ROW()-3)</f>
        <v/>
      </c>
      <c r="B2455" s="110" t="str">
        <f aca="false">IF($E2455="","",INDEX(成本费用登记表!$B$4:$B$303,116))</f>
        <v/>
      </c>
      <c r="C2455" s="67" t="str">
        <f aca="false">IF($E2455="","","记-"&amp;TEXT($B2455,"YYYYMM")&amp;"-费用")</f>
        <v/>
      </c>
      <c r="D2455" s="107" t="str">
        <f aca="false">IF($E2455="","",INDEX(成本费用登记表!$E$4:$E$303,116))</f>
        <v/>
      </c>
      <c r="E2455" s="67" t="str">
        <f aca="false">IF(INDEX(成本费用登记表!$Q$4:$Y$303,116,1)=0,"",INDEX(成本费用登记表!$Q$4:$Y$303,116,1))</f>
        <v/>
      </c>
      <c r="F2455" s="99" t="str">
        <f aca="false">IF($E2455="","",IFERROR(INDEX(科目表!$A$4:$A$81,MATCH($E2455,科目表!$B$4:$B$81,0)),""))</f>
        <v/>
      </c>
      <c r="G2455" s="67" t="str">
        <f aca="false">IF($E2455="","",IFERROR(INDEX(科目表!$E$4:$E$81,MATCH($E2455,科目表!$B$4:$B$81,0)),""))</f>
        <v/>
      </c>
      <c r="H2455" s="70" t="str">
        <f aca="false">IF($E2455="","",N(INDEX(成本费用登记表!$Q$4:$Y$303,116,2)))</f>
        <v/>
      </c>
      <c r="I2455" s="70" t="str">
        <f aca="false">IF($E2455="","",N(INDEX(成本费用登记表!$Q$4:$Y$303,116,3)))</f>
        <v/>
      </c>
      <c r="J2455" s="67" t="str">
        <f aca="false">IF($E2455="","",INDEX(成本费用登记表!$C$4:$C$303,116))</f>
        <v/>
      </c>
      <c r="K2455" s="67" t="str">
        <f aca="false">IF($E2455="","",INDEX(成本费用登记表!$D$4:$D$303,116))</f>
        <v/>
      </c>
      <c r="L2455" s="107" t="str">
        <f aca="false">IF($E2455="","",INDEX(成本费用登记表!$N$4:$N$303,116))</f>
        <v/>
      </c>
      <c r="M2455" s="107"/>
      <c r="N2455" s="67" t="str">
        <f aca="false">IF($E2455="","","系统")</f>
        <v/>
      </c>
      <c r="O2455" s="67" t="str">
        <f aca="false">IF($E2455="","","自动C")</f>
        <v/>
      </c>
      <c r="P2455" s="18"/>
    </row>
    <row r="2456" customFormat="false" ht="18" hidden="false" customHeight="true" outlineLevel="0" collapsed="false">
      <c r="A2456" s="107" t="str">
        <f aca="false">IF($E2456="","",ROW()-3)</f>
        <v/>
      </c>
      <c r="B2456" s="110" t="str">
        <f aca="false">IF($E2456="","",INDEX(成本费用登记表!$B$4:$B$303,116))</f>
        <v/>
      </c>
      <c r="C2456" s="67" t="str">
        <f aca="false">IF($E2456="","","记-"&amp;TEXT($B2456,"YYYYMM")&amp;"-费用")</f>
        <v/>
      </c>
      <c r="D2456" s="107" t="str">
        <f aca="false">IF($E2456="","",INDEX(成本费用登记表!$E$4:$E$303,116))</f>
        <v/>
      </c>
      <c r="E2456" s="67" t="str">
        <f aca="false">IF(INDEX(成本费用登记表!$Q$4:$Y$303,116,4)=0,"",INDEX(成本费用登记表!$Q$4:$Y$303,116,4))</f>
        <v/>
      </c>
      <c r="F2456" s="99" t="str">
        <f aca="false">IF($E2456="","",IFERROR(INDEX(科目表!$A$4:$A$81,MATCH($E2456,科目表!$B$4:$B$81,0)),""))</f>
        <v/>
      </c>
      <c r="G2456" s="67" t="str">
        <f aca="false">IF($E2456="","",IFERROR(INDEX(科目表!$E$4:$E$81,MATCH($E2456,科目表!$B$4:$B$81,0)),""))</f>
        <v/>
      </c>
      <c r="H2456" s="70" t="str">
        <f aca="false">IF($E2456="","",N(INDEX(成本费用登记表!$Q$4:$Y$303,116,5)))</f>
        <v/>
      </c>
      <c r="I2456" s="70" t="str">
        <f aca="false">IF($E2456="","",N(INDEX(成本费用登记表!$Q$4:$Y$303,116,6)))</f>
        <v/>
      </c>
      <c r="J2456" s="67" t="str">
        <f aca="false">IF($E2456="","",INDEX(成本费用登记表!$C$4:$C$303,116))</f>
        <v/>
      </c>
      <c r="K2456" s="67" t="str">
        <f aca="false">IF($E2456="","",INDEX(成本费用登记表!$D$4:$D$303,116))</f>
        <v/>
      </c>
      <c r="L2456" s="107" t="str">
        <f aca="false">IF($E2456="","",INDEX(成本费用登记表!$N$4:$N$303,116))</f>
        <v/>
      </c>
      <c r="M2456" s="107"/>
      <c r="N2456" s="67" t="str">
        <f aca="false">IF($E2456="","","系统")</f>
        <v/>
      </c>
      <c r="O2456" s="67" t="str">
        <f aca="false">IF($E2456="","","自动C")</f>
        <v/>
      </c>
      <c r="P2456" s="18"/>
    </row>
    <row r="2457" customFormat="false" ht="18" hidden="false" customHeight="true" outlineLevel="0" collapsed="false">
      <c r="A2457" s="107" t="str">
        <f aca="false">IF($E2457="","",ROW()-3)</f>
        <v/>
      </c>
      <c r="B2457" s="110" t="str">
        <f aca="false">IF($E2457="","",INDEX(成本费用登记表!$B$4:$B$303,116))</f>
        <v/>
      </c>
      <c r="C2457" s="67" t="str">
        <f aca="false">IF($E2457="","","记-"&amp;TEXT($B2457,"YYYYMM")&amp;"-费用")</f>
        <v/>
      </c>
      <c r="D2457" s="107" t="str">
        <f aca="false">IF($E2457="","",INDEX(成本费用登记表!$E$4:$E$303,116))</f>
        <v/>
      </c>
      <c r="E2457" s="67" t="str">
        <f aca="false">IF(INDEX(成本费用登记表!$Q$4:$Y$303,116,7)=0,"",INDEX(成本费用登记表!$Q$4:$Y$303,116,7))</f>
        <v/>
      </c>
      <c r="F2457" s="99" t="str">
        <f aca="false">IF($E2457="","",IFERROR(INDEX(科目表!$A$4:$A$81,MATCH($E2457,科目表!$B$4:$B$81,0)),""))</f>
        <v/>
      </c>
      <c r="G2457" s="67" t="str">
        <f aca="false">IF($E2457="","",IFERROR(INDEX(科目表!$E$4:$E$81,MATCH($E2457,科目表!$B$4:$B$81,0)),""))</f>
        <v/>
      </c>
      <c r="H2457" s="70" t="str">
        <f aca="false">IF($E2457="","",N(INDEX(成本费用登记表!$Q$4:$Y$303,116,8)))</f>
        <v/>
      </c>
      <c r="I2457" s="70" t="str">
        <f aca="false">IF($E2457="","",N(INDEX(成本费用登记表!$Q$4:$Y$303,116,9)))</f>
        <v/>
      </c>
      <c r="J2457" s="67" t="str">
        <f aca="false">IF($E2457="","",INDEX(成本费用登记表!$C$4:$C$303,116))</f>
        <v/>
      </c>
      <c r="K2457" s="67" t="str">
        <f aca="false">IF($E2457="","",INDEX(成本费用登记表!$D$4:$D$303,116))</f>
        <v/>
      </c>
      <c r="L2457" s="107" t="str">
        <f aca="false">IF($E2457="","",INDEX(成本费用登记表!$N$4:$N$303,116))</f>
        <v/>
      </c>
      <c r="M2457" s="107"/>
      <c r="N2457" s="67" t="str">
        <f aca="false">IF($E2457="","","系统")</f>
        <v/>
      </c>
      <c r="O2457" s="67" t="str">
        <f aca="false">IF($E2457="","","自动C")</f>
        <v/>
      </c>
      <c r="P2457" s="18"/>
    </row>
    <row r="2458" customFormat="false" ht="18" hidden="false" customHeight="true" outlineLevel="0" collapsed="false">
      <c r="A2458" s="107" t="str">
        <f aca="false">IF($E2458="","",ROW()-3)</f>
        <v/>
      </c>
      <c r="B2458" s="110" t="str">
        <f aca="false">IF($E2458="","",INDEX(成本费用登记表!$B$4:$B$303,117))</f>
        <v/>
      </c>
      <c r="C2458" s="67" t="str">
        <f aca="false">IF($E2458="","","记-"&amp;TEXT($B2458,"YYYYMM")&amp;"-费用")</f>
        <v/>
      </c>
      <c r="D2458" s="107" t="str">
        <f aca="false">IF($E2458="","",INDEX(成本费用登记表!$E$4:$E$303,117))</f>
        <v/>
      </c>
      <c r="E2458" s="67" t="str">
        <f aca="false">IF(INDEX(成本费用登记表!$Q$4:$Y$303,117,1)=0,"",INDEX(成本费用登记表!$Q$4:$Y$303,117,1))</f>
        <v/>
      </c>
      <c r="F2458" s="99" t="str">
        <f aca="false">IF($E2458="","",IFERROR(INDEX(科目表!$A$4:$A$81,MATCH($E2458,科目表!$B$4:$B$81,0)),""))</f>
        <v/>
      </c>
      <c r="G2458" s="67" t="str">
        <f aca="false">IF($E2458="","",IFERROR(INDEX(科目表!$E$4:$E$81,MATCH($E2458,科目表!$B$4:$B$81,0)),""))</f>
        <v/>
      </c>
      <c r="H2458" s="70" t="str">
        <f aca="false">IF($E2458="","",N(INDEX(成本费用登记表!$Q$4:$Y$303,117,2)))</f>
        <v/>
      </c>
      <c r="I2458" s="70" t="str">
        <f aca="false">IF($E2458="","",N(INDEX(成本费用登记表!$Q$4:$Y$303,117,3)))</f>
        <v/>
      </c>
      <c r="J2458" s="67" t="str">
        <f aca="false">IF($E2458="","",INDEX(成本费用登记表!$C$4:$C$303,117))</f>
        <v/>
      </c>
      <c r="K2458" s="67" t="str">
        <f aca="false">IF($E2458="","",INDEX(成本费用登记表!$D$4:$D$303,117))</f>
        <v/>
      </c>
      <c r="L2458" s="107" t="str">
        <f aca="false">IF($E2458="","",INDEX(成本费用登记表!$N$4:$N$303,117))</f>
        <v/>
      </c>
      <c r="M2458" s="107"/>
      <c r="N2458" s="67" t="str">
        <f aca="false">IF($E2458="","","系统")</f>
        <v/>
      </c>
      <c r="O2458" s="67" t="str">
        <f aca="false">IF($E2458="","","自动C")</f>
        <v/>
      </c>
      <c r="P2458" s="18"/>
    </row>
    <row r="2459" customFormat="false" ht="18" hidden="false" customHeight="true" outlineLevel="0" collapsed="false">
      <c r="A2459" s="107" t="str">
        <f aca="false">IF($E2459="","",ROW()-3)</f>
        <v/>
      </c>
      <c r="B2459" s="110" t="str">
        <f aca="false">IF($E2459="","",INDEX(成本费用登记表!$B$4:$B$303,117))</f>
        <v/>
      </c>
      <c r="C2459" s="67" t="str">
        <f aca="false">IF($E2459="","","记-"&amp;TEXT($B2459,"YYYYMM")&amp;"-费用")</f>
        <v/>
      </c>
      <c r="D2459" s="107" t="str">
        <f aca="false">IF($E2459="","",INDEX(成本费用登记表!$E$4:$E$303,117))</f>
        <v/>
      </c>
      <c r="E2459" s="67" t="str">
        <f aca="false">IF(INDEX(成本费用登记表!$Q$4:$Y$303,117,4)=0,"",INDEX(成本费用登记表!$Q$4:$Y$303,117,4))</f>
        <v/>
      </c>
      <c r="F2459" s="99" t="str">
        <f aca="false">IF($E2459="","",IFERROR(INDEX(科目表!$A$4:$A$81,MATCH($E2459,科目表!$B$4:$B$81,0)),""))</f>
        <v/>
      </c>
      <c r="G2459" s="67" t="str">
        <f aca="false">IF($E2459="","",IFERROR(INDEX(科目表!$E$4:$E$81,MATCH($E2459,科目表!$B$4:$B$81,0)),""))</f>
        <v/>
      </c>
      <c r="H2459" s="70" t="str">
        <f aca="false">IF($E2459="","",N(INDEX(成本费用登记表!$Q$4:$Y$303,117,5)))</f>
        <v/>
      </c>
      <c r="I2459" s="70" t="str">
        <f aca="false">IF($E2459="","",N(INDEX(成本费用登记表!$Q$4:$Y$303,117,6)))</f>
        <v/>
      </c>
      <c r="J2459" s="67" t="str">
        <f aca="false">IF($E2459="","",INDEX(成本费用登记表!$C$4:$C$303,117))</f>
        <v/>
      </c>
      <c r="K2459" s="67" t="str">
        <f aca="false">IF($E2459="","",INDEX(成本费用登记表!$D$4:$D$303,117))</f>
        <v/>
      </c>
      <c r="L2459" s="107" t="str">
        <f aca="false">IF($E2459="","",INDEX(成本费用登记表!$N$4:$N$303,117))</f>
        <v/>
      </c>
      <c r="M2459" s="107"/>
      <c r="N2459" s="67" t="str">
        <f aca="false">IF($E2459="","","系统")</f>
        <v/>
      </c>
      <c r="O2459" s="67" t="str">
        <f aca="false">IF($E2459="","","自动C")</f>
        <v/>
      </c>
      <c r="P2459" s="18"/>
    </row>
    <row r="2460" customFormat="false" ht="18" hidden="false" customHeight="true" outlineLevel="0" collapsed="false">
      <c r="A2460" s="107" t="str">
        <f aca="false">IF($E2460="","",ROW()-3)</f>
        <v/>
      </c>
      <c r="B2460" s="110" t="str">
        <f aca="false">IF($E2460="","",INDEX(成本费用登记表!$B$4:$B$303,117))</f>
        <v/>
      </c>
      <c r="C2460" s="67" t="str">
        <f aca="false">IF($E2460="","","记-"&amp;TEXT($B2460,"YYYYMM")&amp;"-费用")</f>
        <v/>
      </c>
      <c r="D2460" s="107" t="str">
        <f aca="false">IF($E2460="","",INDEX(成本费用登记表!$E$4:$E$303,117))</f>
        <v/>
      </c>
      <c r="E2460" s="67" t="str">
        <f aca="false">IF(INDEX(成本费用登记表!$Q$4:$Y$303,117,7)=0,"",INDEX(成本费用登记表!$Q$4:$Y$303,117,7))</f>
        <v/>
      </c>
      <c r="F2460" s="99" t="str">
        <f aca="false">IF($E2460="","",IFERROR(INDEX(科目表!$A$4:$A$81,MATCH($E2460,科目表!$B$4:$B$81,0)),""))</f>
        <v/>
      </c>
      <c r="G2460" s="67" t="str">
        <f aca="false">IF($E2460="","",IFERROR(INDEX(科目表!$E$4:$E$81,MATCH($E2460,科目表!$B$4:$B$81,0)),""))</f>
        <v/>
      </c>
      <c r="H2460" s="70" t="str">
        <f aca="false">IF($E2460="","",N(INDEX(成本费用登记表!$Q$4:$Y$303,117,8)))</f>
        <v/>
      </c>
      <c r="I2460" s="70" t="str">
        <f aca="false">IF($E2460="","",N(INDEX(成本费用登记表!$Q$4:$Y$303,117,9)))</f>
        <v/>
      </c>
      <c r="J2460" s="67" t="str">
        <f aca="false">IF($E2460="","",INDEX(成本费用登记表!$C$4:$C$303,117))</f>
        <v/>
      </c>
      <c r="K2460" s="67" t="str">
        <f aca="false">IF($E2460="","",INDEX(成本费用登记表!$D$4:$D$303,117))</f>
        <v/>
      </c>
      <c r="L2460" s="107" t="str">
        <f aca="false">IF($E2460="","",INDEX(成本费用登记表!$N$4:$N$303,117))</f>
        <v/>
      </c>
      <c r="M2460" s="107"/>
      <c r="N2460" s="67" t="str">
        <f aca="false">IF($E2460="","","系统")</f>
        <v/>
      </c>
      <c r="O2460" s="67" t="str">
        <f aca="false">IF($E2460="","","自动C")</f>
        <v/>
      </c>
      <c r="P2460" s="18"/>
    </row>
    <row r="2461" customFormat="false" ht="18" hidden="false" customHeight="true" outlineLevel="0" collapsed="false">
      <c r="A2461" s="107" t="str">
        <f aca="false">IF($E2461="","",ROW()-3)</f>
        <v/>
      </c>
      <c r="B2461" s="110" t="str">
        <f aca="false">IF($E2461="","",INDEX(成本费用登记表!$B$4:$B$303,118))</f>
        <v/>
      </c>
      <c r="C2461" s="67" t="str">
        <f aca="false">IF($E2461="","","记-"&amp;TEXT($B2461,"YYYYMM")&amp;"-费用")</f>
        <v/>
      </c>
      <c r="D2461" s="107" t="str">
        <f aca="false">IF($E2461="","",INDEX(成本费用登记表!$E$4:$E$303,118))</f>
        <v/>
      </c>
      <c r="E2461" s="67" t="str">
        <f aca="false">IF(INDEX(成本费用登记表!$Q$4:$Y$303,118,1)=0,"",INDEX(成本费用登记表!$Q$4:$Y$303,118,1))</f>
        <v/>
      </c>
      <c r="F2461" s="99" t="str">
        <f aca="false">IF($E2461="","",IFERROR(INDEX(科目表!$A$4:$A$81,MATCH($E2461,科目表!$B$4:$B$81,0)),""))</f>
        <v/>
      </c>
      <c r="G2461" s="67" t="str">
        <f aca="false">IF($E2461="","",IFERROR(INDEX(科目表!$E$4:$E$81,MATCH($E2461,科目表!$B$4:$B$81,0)),""))</f>
        <v/>
      </c>
      <c r="H2461" s="70" t="str">
        <f aca="false">IF($E2461="","",N(INDEX(成本费用登记表!$Q$4:$Y$303,118,2)))</f>
        <v/>
      </c>
      <c r="I2461" s="70" t="str">
        <f aca="false">IF($E2461="","",N(INDEX(成本费用登记表!$Q$4:$Y$303,118,3)))</f>
        <v/>
      </c>
      <c r="J2461" s="67" t="str">
        <f aca="false">IF($E2461="","",INDEX(成本费用登记表!$C$4:$C$303,118))</f>
        <v/>
      </c>
      <c r="K2461" s="67" t="str">
        <f aca="false">IF($E2461="","",INDEX(成本费用登记表!$D$4:$D$303,118))</f>
        <v/>
      </c>
      <c r="L2461" s="107" t="str">
        <f aca="false">IF($E2461="","",INDEX(成本费用登记表!$N$4:$N$303,118))</f>
        <v/>
      </c>
      <c r="M2461" s="107"/>
      <c r="N2461" s="67" t="str">
        <f aca="false">IF($E2461="","","系统")</f>
        <v/>
      </c>
      <c r="O2461" s="67" t="str">
        <f aca="false">IF($E2461="","","自动C")</f>
        <v/>
      </c>
      <c r="P2461" s="18"/>
    </row>
    <row r="2462" customFormat="false" ht="18" hidden="false" customHeight="true" outlineLevel="0" collapsed="false">
      <c r="A2462" s="107" t="str">
        <f aca="false">IF($E2462="","",ROW()-3)</f>
        <v/>
      </c>
      <c r="B2462" s="110" t="str">
        <f aca="false">IF($E2462="","",INDEX(成本费用登记表!$B$4:$B$303,118))</f>
        <v/>
      </c>
      <c r="C2462" s="67" t="str">
        <f aca="false">IF($E2462="","","记-"&amp;TEXT($B2462,"YYYYMM")&amp;"-费用")</f>
        <v/>
      </c>
      <c r="D2462" s="107" t="str">
        <f aca="false">IF($E2462="","",INDEX(成本费用登记表!$E$4:$E$303,118))</f>
        <v/>
      </c>
      <c r="E2462" s="67" t="str">
        <f aca="false">IF(INDEX(成本费用登记表!$Q$4:$Y$303,118,4)=0,"",INDEX(成本费用登记表!$Q$4:$Y$303,118,4))</f>
        <v/>
      </c>
      <c r="F2462" s="99" t="str">
        <f aca="false">IF($E2462="","",IFERROR(INDEX(科目表!$A$4:$A$81,MATCH($E2462,科目表!$B$4:$B$81,0)),""))</f>
        <v/>
      </c>
      <c r="G2462" s="67" t="str">
        <f aca="false">IF($E2462="","",IFERROR(INDEX(科目表!$E$4:$E$81,MATCH($E2462,科目表!$B$4:$B$81,0)),""))</f>
        <v/>
      </c>
      <c r="H2462" s="70" t="str">
        <f aca="false">IF($E2462="","",N(INDEX(成本费用登记表!$Q$4:$Y$303,118,5)))</f>
        <v/>
      </c>
      <c r="I2462" s="70" t="str">
        <f aca="false">IF($E2462="","",N(INDEX(成本费用登记表!$Q$4:$Y$303,118,6)))</f>
        <v/>
      </c>
      <c r="J2462" s="67" t="str">
        <f aca="false">IF($E2462="","",INDEX(成本费用登记表!$C$4:$C$303,118))</f>
        <v/>
      </c>
      <c r="K2462" s="67" t="str">
        <f aca="false">IF($E2462="","",INDEX(成本费用登记表!$D$4:$D$303,118))</f>
        <v/>
      </c>
      <c r="L2462" s="107" t="str">
        <f aca="false">IF($E2462="","",INDEX(成本费用登记表!$N$4:$N$303,118))</f>
        <v/>
      </c>
      <c r="M2462" s="107"/>
      <c r="N2462" s="67" t="str">
        <f aca="false">IF($E2462="","","系统")</f>
        <v/>
      </c>
      <c r="O2462" s="67" t="str">
        <f aca="false">IF($E2462="","","自动C")</f>
        <v/>
      </c>
      <c r="P2462" s="18"/>
    </row>
    <row r="2463" customFormat="false" ht="18" hidden="false" customHeight="true" outlineLevel="0" collapsed="false">
      <c r="A2463" s="107" t="str">
        <f aca="false">IF($E2463="","",ROW()-3)</f>
        <v/>
      </c>
      <c r="B2463" s="110" t="str">
        <f aca="false">IF($E2463="","",INDEX(成本费用登记表!$B$4:$B$303,118))</f>
        <v/>
      </c>
      <c r="C2463" s="67" t="str">
        <f aca="false">IF($E2463="","","记-"&amp;TEXT($B2463,"YYYYMM")&amp;"-费用")</f>
        <v/>
      </c>
      <c r="D2463" s="107" t="str">
        <f aca="false">IF($E2463="","",INDEX(成本费用登记表!$E$4:$E$303,118))</f>
        <v/>
      </c>
      <c r="E2463" s="67" t="str">
        <f aca="false">IF(INDEX(成本费用登记表!$Q$4:$Y$303,118,7)=0,"",INDEX(成本费用登记表!$Q$4:$Y$303,118,7))</f>
        <v/>
      </c>
      <c r="F2463" s="99" t="str">
        <f aca="false">IF($E2463="","",IFERROR(INDEX(科目表!$A$4:$A$81,MATCH($E2463,科目表!$B$4:$B$81,0)),""))</f>
        <v/>
      </c>
      <c r="G2463" s="67" t="str">
        <f aca="false">IF($E2463="","",IFERROR(INDEX(科目表!$E$4:$E$81,MATCH($E2463,科目表!$B$4:$B$81,0)),""))</f>
        <v/>
      </c>
      <c r="H2463" s="70" t="str">
        <f aca="false">IF($E2463="","",N(INDEX(成本费用登记表!$Q$4:$Y$303,118,8)))</f>
        <v/>
      </c>
      <c r="I2463" s="70" t="str">
        <f aca="false">IF($E2463="","",N(INDEX(成本费用登记表!$Q$4:$Y$303,118,9)))</f>
        <v/>
      </c>
      <c r="J2463" s="67" t="str">
        <f aca="false">IF($E2463="","",INDEX(成本费用登记表!$C$4:$C$303,118))</f>
        <v/>
      </c>
      <c r="K2463" s="67" t="str">
        <f aca="false">IF($E2463="","",INDEX(成本费用登记表!$D$4:$D$303,118))</f>
        <v/>
      </c>
      <c r="L2463" s="107" t="str">
        <f aca="false">IF($E2463="","",INDEX(成本费用登记表!$N$4:$N$303,118))</f>
        <v/>
      </c>
      <c r="M2463" s="107"/>
      <c r="N2463" s="67" t="str">
        <f aca="false">IF($E2463="","","系统")</f>
        <v/>
      </c>
      <c r="O2463" s="67" t="str">
        <f aca="false">IF($E2463="","","自动C")</f>
        <v/>
      </c>
      <c r="P2463" s="18"/>
    </row>
    <row r="2464" customFormat="false" ht="18" hidden="false" customHeight="true" outlineLevel="0" collapsed="false">
      <c r="A2464" s="107" t="str">
        <f aca="false">IF($E2464="","",ROW()-3)</f>
        <v/>
      </c>
      <c r="B2464" s="110" t="str">
        <f aca="false">IF($E2464="","",INDEX(成本费用登记表!$B$4:$B$303,119))</f>
        <v/>
      </c>
      <c r="C2464" s="67" t="str">
        <f aca="false">IF($E2464="","","记-"&amp;TEXT($B2464,"YYYYMM")&amp;"-费用")</f>
        <v/>
      </c>
      <c r="D2464" s="107" t="str">
        <f aca="false">IF($E2464="","",INDEX(成本费用登记表!$E$4:$E$303,119))</f>
        <v/>
      </c>
      <c r="E2464" s="67" t="str">
        <f aca="false">IF(INDEX(成本费用登记表!$Q$4:$Y$303,119,1)=0,"",INDEX(成本费用登记表!$Q$4:$Y$303,119,1))</f>
        <v/>
      </c>
      <c r="F2464" s="99" t="str">
        <f aca="false">IF($E2464="","",IFERROR(INDEX(科目表!$A$4:$A$81,MATCH($E2464,科目表!$B$4:$B$81,0)),""))</f>
        <v/>
      </c>
      <c r="G2464" s="67" t="str">
        <f aca="false">IF($E2464="","",IFERROR(INDEX(科目表!$E$4:$E$81,MATCH($E2464,科目表!$B$4:$B$81,0)),""))</f>
        <v/>
      </c>
      <c r="H2464" s="70" t="str">
        <f aca="false">IF($E2464="","",N(INDEX(成本费用登记表!$Q$4:$Y$303,119,2)))</f>
        <v/>
      </c>
      <c r="I2464" s="70" t="str">
        <f aca="false">IF($E2464="","",N(INDEX(成本费用登记表!$Q$4:$Y$303,119,3)))</f>
        <v/>
      </c>
      <c r="J2464" s="67" t="str">
        <f aca="false">IF($E2464="","",INDEX(成本费用登记表!$C$4:$C$303,119))</f>
        <v/>
      </c>
      <c r="K2464" s="67" t="str">
        <f aca="false">IF($E2464="","",INDEX(成本费用登记表!$D$4:$D$303,119))</f>
        <v/>
      </c>
      <c r="L2464" s="107" t="str">
        <f aca="false">IF($E2464="","",INDEX(成本费用登记表!$N$4:$N$303,119))</f>
        <v/>
      </c>
      <c r="M2464" s="107"/>
      <c r="N2464" s="67" t="str">
        <f aca="false">IF($E2464="","","系统")</f>
        <v/>
      </c>
      <c r="O2464" s="67" t="str">
        <f aca="false">IF($E2464="","","自动C")</f>
        <v/>
      </c>
      <c r="P2464" s="18"/>
    </row>
    <row r="2465" customFormat="false" ht="18" hidden="false" customHeight="true" outlineLevel="0" collapsed="false">
      <c r="A2465" s="107" t="str">
        <f aca="false">IF($E2465="","",ROW()-3)</f>
        <v/>
      </c>
      <c r="B2465" s="110" t="str">
        <f aca="false">IF($E2465="","",INDEX(成本费用登记表!$B$4:$B$303,119))</f>
        <v/>
      </c>
      <c r="C2465" s="67" t="str">
        <f aca="false">IF($E2465="","","记-"&amp;TEXT($B2465,"YYYYMM")&amp;"-费用")</f>
        <v/>
      </c>
      <c r="D2465" s="107" t="str">
        <f aca="false">IF($E2465="","",INDEX(成本费用登记表!$E$4:$E$303,119))</f>
        <v/>
      </c>
      <c r="E2465" s="67" t="str">
        <f aca="false">IF(INDEX(成本费用登记表!$Q$4:$Y$303,119,4)=0,"",INDEX(成本费用登记表!$Q$4:$Y$303,119,4))</f>
        <v/>
      </c>
      <c r="F2465" s="99" t="str">
        <f aca="false">IF($E2465="","",IFERROR(INDEX(科目表!$A$4:$A$81,MATCH($E2465,科目表!$B$4:$B$81,0)),""))</f>
        <v/>
      </c>
      <c r="G2465" s="67" t="str">
        <f aca="false">IF($E2465="","",IFERROR(INDEX(科目表!$E$4:$E$81,MATCH($E2465,科目表!$B$4:$B$81,0)),""))</f>
        <v/>
      </c>
      <c r="H2465" s="70" t="str">
        <f aca="false">IF($E2465="","",N(INDEX(成本费用登记表!$Q$4:$Y$303,119,5)))</f>
        <v/>
      </c>
      <c r="I2465" s="70" t="str">
        <f aca="false">IF($E2465="","",N(INDEX(成本费用登记表!$Q$4:$Y$303,119,6)))</f>
        <v/>
      </c>
      <c r="J2465" s="67" t="str">
        <f aca="false">IF($E2465="","",INDEX(成本费用登记表!$C$4:$C$303,119))</f>
        <v/>
      </c>
      <c r="K2465" s="67" t="str">
        <f aca="false">IF($E2465="","",INDEX(成本费用登记表!$D$4:$D$303,119))</f>
        <v/>
      </c>
      <c r="L2465" s="107" t="str">
        <f aca="false">IF($E2465="","",INDEX(成本费用登记表!$N$4:$N$303,119))</f>
        <v/>
      </c>
      <c r="M2465" s="107"/>
      <c r="N2465" s="67" t="str">
        <f aca="false">IF($E2465="","","系统")</f>
        <v/>
      </c>
      <c r="O2465" s="67" t="str">
        <f aca="false">IF($E2465="","","自动C")</f>
        <v/>
      </c>
      <c r="P2465" s="18"/>
    </row>
    <row r="2466" customFormat="false" ht="18" hidden="false" customHeight="true" outlineLevel="0" collapsed="false">
      <c r="A2466" s="107" t="str">
        <f aca="false">IF($E2466="","",ROW()-3)</f>
        <v/>
      </c>
      <c r="B2466" s="110" t="str">
        <f aca="false">IF($E2466="","",INDEX(成本费用登记表!$B$4:$B$303,119))</f>
        <v/>
      </c>
      <c r="C2466" s="67" t="str">
        <f aca="false">IF($E2466="","","记-"&amp;TEXT($B2466,"YYYYMM")&amp;"-费用")</f>
        <v/>
      </c>
      <c r="D2466" s="107" t="str">
        <f aca="false">IF($E2466="","",INDEX(成本费用登记表!$E$4:$E$303,119))</f>
        <v/>
      </c>
      <c r="E2466" s="67" t="str">
        <f aca="false">IF(INDEX(成本费用登记表!$Q$4:$Y$303,119,7)=0,"",INDEX(成本费用登记表!$Q$4:$Y$303,119,7))</f>
        <v/>
      </c>
      <c r="F2466" s="99" t="str">
        <f aca="false">IF($E2466="","",IFERROR(INDEX(科目表!$A$4:$A$81,MATCH($E2466,科目表!$B$4:$B$81,0)),""))</f>
        <v/>
      </c>
      <c r="G2466" s="67" t="str">
        <f aca="false">IF($E2466="","",IFERROR(INDEX(科目表!$E$4:$E$81,MATCH($E2466,科目表!$B$4:$B$81,0)),""))</f>
        <v/>
      </c>
      <c r="H2466" s="70" t="str">
        <f aca="false">IF($E2466="","",N(INDEX(成本费用登记表!$Q$4:$Y$303,119,8)))</f>
        <v/>
      </c>
      <c r="I2466" s="70" t="str">
        <f aca="false">IF($E2466="","",N(INDEX(成本费用登记表!$Q$4:$Y$303,119,9)))</f>
        <v/>
      </c>
      <c r="J2466" s="67" t="str">
        <f aca="false">IF($E2466="","",INDEX(成本费用登记表!$C$4:$C$303,119))</f>
        <v/>
      </c>
      <c r="K2466" s="67" t="str">
        <f aca="false">IF($E2466="","",INDEX(成本费用登记表!$D$4:$D$303,119))</f>
        <v/>
      </c>
      <c r="L2466" s="107" t="str">
        <f aca="false">IF($E2466="","",INDEX(成本费用登记表!$N$4:$N$303,119))</f>
        <v/>
      </c>
      <c r="M2466" s="107"/>
      <c r="N2466" s="67" t="str">
        <f aca="false">IF($E2466="","","系统")</f>
        <v/>
      </c>
      <c r="O2466" s="67" t="str">
        <f aca="false">IF($E2466="","","自动C")</f>
        <v/>
      </c>
      <c r="P2466" s="18"/>
    </row>
    <row r="2467" customFormat="false" ht="18" hidden="false" customHeight="true" outlineLevel="0" collapsed="false">
      <c r="A2467" s="107" t="str">
        <f aca="false">IF($E2467="","",ROW()-3)</f>
        <v/>
      </c>
      <c r="B2467" s="110" t="str">
        <f aca="false">IF($E2467="","",INDEX(成本费用登记表!$B$4:$B$303,120))</f>
        <v/>
      </c>
      <c r="C2467" s="67" t="str">
        <f aca="false">IF($E2467="","","记-"&amp;TEXT($B2467,"YYYYMM")&amp;"-费用")</f>
        <v/>
      </c>
      <c r="D2467" s="107" t="str">
        <f aca="false">IF($E2467="","",INDEX(成本费用登记表!$E$4:$E$303,120))</f>
        <v/>
      </c>
      <c r="E2467" s="67" t="str">
        <f aca="false">IF(INDEX(成本费用登记表!$Q$4:$Y$303,120,1)=0,"",INDEX(成本费用登记表!$Q$4:$Y$303,120,1))</f>
        <v/>
      </c>
      <c r="F2467" s="99" t="str">
        <f aca="false">IF($E2467="","",IFERROR(INDEX(科目表!$A$4:$A$81,MATCH($E2467,科目表!$B$4:$B$81,0)),""))</f>
        <v/>
      </c>
      <c r="G2467" s="67" t="str">
        <f aca="false">IF($E2467="","",IFERROR(INDEX(科目表!$E$4:$E$81,MATCH($E2467,科目表!$B$4:$B$81,0)),""))</f>
        <v/>
      </c>
      <c r="H2467" s="70" t="str">
        <f aca="false">IF($E2467="","",N(INDEX(成本费用登记表!$Q$4:$Y$303,120,2)))</f>
        <v/>
      </c>
      <c r="I2467" s="70" t="str">
        <f aca="false">IF($E2467="","",N(INDEX(成本费用登记表!$Q$4:$Y$303,120,3)))</f>
        <v/>
      </c>
      <c r="J2467" s="67" t="str">
        <f aca="false">IF($E2467="","",INDEX(成本费用登记表!$C$4:$C$303,120))</f>
        <v/>
      </c>
      <c r="K2467" s="67" t="str">
        <f aca="false">IF($E2467="","",INDEX(成本费用登记表!$D$4:$D$303,120))</f>
        <v/>
      </c>
      <c r="L2467" s="107" t="str">
        <f aca="false">IF($E2467="","",INDEX(成本费用登记表!$N$4:$N$303,120))</f>
        <v/>
      </c>
      <c r="M2467" s="107"/>
      <c r="N2467" s="67" t="str">
        <f aca="false">IF($E2467="","","系统")</f>
        <v/>
      </c>
      <c r="O2467" s="67" t="str">
        <f aca="false">IF($E2467="","","自动C")</f>
        <v/>
      </c>
      <c r="P2467" s="18"/>
    </row>
    <row r="2468" customFormat="false" ht="18" hidden="false" customHeight="true" outlineLevel="0" collapsed="false">
      <c r="A2468" s="107" t="str">
        <f aca="false">IF($E2468="","",ROW()-3)</f>
        <v/>
      </c>
      <c r="B2468" s="110" t="str">
        <f aca="false">IF($E2468="","",INDEX(成本费用登记表!$B$4:$B$303,120))</f>
        <v/>
      </c>
      <c r="C2468" s="67" t="str">
        <f aca="false">IF($E2468="","","记-"&amp;TEXT($B2468,"YYYYMM")&amp;"-费用")</f>
        <v/>
      </c>
      <c r="D2468" s="107" t="str">
        <f aca="false">IF($E2468="","",INDEX(成本费用登记表!$E$4:$E$303,120))</f>
        <v/>
      </c>
      <c r="E2468" s="67" t="str">
        <f aca="false">IF(INDEX(成本费用登记表!$Q$4:$Y$303,120,4)=0,"",INDEX(成本费用登记表!$Q$4:$Y$303,120,4))</f>
        <v/>
      </c>
      <c r="F2468" s="99" t="str">
        <f aca="false">IF($E2468="","",IFERROR(INDEX(科目表!$A$4:$A$81,MATCH($E2468,科目表!$B$4:$B$81,0)),""))</f>
        <v/>
      </c>
      <c r="G2468" s="67" t="str">
        <f aca="false">IF($E2468="","",IFERROR(INDEX(科目表!$E$4:$E$81,MATCH($E2468,科目表!$B$4:$B$81,0)),""))</f>
        <v/>
      </c>
      <c r="H2468" s="70" t="str">
        <f aca="false">IF($E2468="","",N(INDEX(成本费用登记表!$Q$4:$Y$303,120,5)))</f>
        <v/>
      </c>
      <c r="I2468" s="70" t="str">
        <f aca="false">IF($E2468="","",N(INDEX(成本费用登记表!$Q$4:$Y$303,120,6)))</f>
        <v/>
      </c>
      <c r="J2468" s="67" t="str">
        <f aca="false">IF($E2468="","",INDEX(成本费用登记表!$C$4:$C$303,120))</f>
        <v/>
      </c>
      <c r="K2468" s="67" t="str">
        <f aca="false">IF($E2468="","",INDEX(成本费用登记表!$D$4:$D$303,120))</f>
        <v/>
      </c>
      <c r="L2468" s="107" t="str">
        <f aca="false">IF($E2468="","",INDEX(成本费用登记表!$N$4:$N$303,120))</f>
        <v/>
      </c>
      <c r="M2468" s="107"/>
      <c r="N2468" s="67" t="str">
        <f aca="false">IF($E2468="","","系统")</f>
        <v/>
      </c>
      <c r="O2468" s="67" t="str">
        <f aca="false">IF($E2468="","","自动C")</f>
        <v/>
      </c>
      <c r="P2468" s="18"/>
    </row>
    <row r="2469" customFormat="false" ht="18" hidden="false" customHeight="true" outlineLevel="0" collapsed="false">
      <c r="A2469" s="107" t="str">
        <f aca="false">IF($E2469="","",ROW()-3)</f>
        <v/>
      </c>
      <c r="B2469" s="110" t="str">
        <f aca="false">IF($E2469="","",INDEX(成本费用登记表!$B$4:$B$303,120))</f>
        <v/>
      </c>
      <c r="C2469" s="67" t="str">
        <f aca="false">IF($E2469="","","记-"&amp;TEXT($B2469,"YYYYMM")&amp;"-费用")</f>
        <v/>
      </c>
      <c r="D2469" s="107" t="str">
        <f aca="false">IF($E2469="","",INDEX(成本费用登记表!$E$4:$E$303,120))</f>
        <v/>
      </c>
      <c r="E2469" s="67" t="str">
        <f aca="false">IF(INDEX(成本费用登记表!$Q$4:$Y$303,120,7)=0,"",INDEX(成本费用登记表!$Q$4:$Y$303,120,7))</f>
        <v/>
      </c>
      <c r="F2469" s="99" t="str">
        <f aca="false">IF($E2469="","",IFERROR(INDEX(科目表!$A$4:$A$81,MATCH($E2469,科目表!$B$4:$B$81,0)),""))</f>
        <v/>
      </c>
      <c r="G2469" s="67" t="str">
        <f aca="false">IF($E2469="","",IFERROR(INDEX(科目表!$E$4:$E$81,MATCH($E2469,科目表!$B$4:$B$81,0)),""))</f>
        <v/>
      </c>
      <c r="H2469" s="70" t="str">
        <f aca="false">IF($E2469="","",N(INDEX(成本费用登记表!$Q$4:$Y$303,120,8)))</f>
        <v/>
      </c>
      <c r="I2469" s="70" t="str">
        <f aca="false">IF($E2469="","",N(INDEX(成本费用登记表!$Q$4:$Y$303,120,9)))</f>
        <v/>
      </c>
      <c r="J2469" s="67" t="str">
        <f aca="false">IF($E2469="","",INDEX(成本费用登记表!$C$4:$C$303,120))</f>
        <v/>
      </c>
      <c r="K2469" s="67" t="str">
        <f aca="false">IF($E2469="","",INDEX(成本费用登记表!$D$4:$D$303,120))</f>
        <v/>
      </c>
      <c r="L2469" s="107" t="str">
        <f aca="false">IF($E2469="","",INDEX(成本费用登记表!$N$4:$N$303,120))</f>
        <v/>
      </c>
      <c r="M2469" s="107"/>
      <c r="N2469" s="67" t="str">
        <f aca="false">IF($E2469="","","系统")</f>
        <v/>
      </c>
      <c r="O2469" s="67" t="str">
        <f aca="false">IF($E2469="","","自动C")</f>
        <v/>
      </c>
      <c r="P2469" s="18"/>
    </row>
    <row r="2470" customFormat="false" ht="18" hidden="false" customHeight="true" outlineLevel="0" collapsed="false">
      <c r="A2470" s="107" t="str">
        <f aca="false">IF($E2470="","",ROW()-3)</f>
        <v/>
      </c>
      <c r="B2470" s="110" t="str">
        <f aca="false">IF($E2470="","",INDEX(成本费用登记表!$B$4:$B$303,121))</f>
        <v/>
      </c>
      <c r="C2470" s="67" t="str">
        <f aca="false">IF($E2470="","","记-"&amp;TEXT($B2470,"YYYYMM")&amp;"-费用")</f>
        <v/>
      </c>
      <c r="D2470" s="107" t="str">
        <f aca="false">IF($E2470="","",INDEX(成本费用登记表!$E$4:$E$303,121))</f>
        <v/>
      </c>
      <c r="E2470" s="67" t="str">
        <f aca="false">IF(INDEX(成本费用登记表!$Q$4:$Y$303,121,1)=0,"",INDEX(成本费用登记表!$Q$4:$Y$303,121,1))</f>
        <v/>
      </c>
      <c r="F2470" s="99" t="str">
        <f aca="false">IF($E2470="","",IFERROR(INDEX(科目表!$A$4:$A$81,MATCH($E2470,科目表!$B$4:$B$81,0)),""))</f>
        <v/>
      </c>
      <c r="G2470" s="67" t="str">
        <f aca="false">IF($E2470="","",IFERROR(INDEX(科目表!$E$4:$E$81,MATCH($E2470,科目表!$B$4:$B$81,0)),""))</f>
        <v/>
      </c>
      <c r="H2470" s="70" t="str">
        <f aca="false">IF($E2470="","",N(INDEX(成本费用登记表!$Q$4:$Y$303,121,2)))</f>
        <v/>
      </c>
      <c r="I2470" s="70" t="str">
        <f aca="false">IF($E2470="","",N(INDEX(成本费用登记表!$Q$4:$Y$303,121,3)))</f>
        <v/>
      </c>
      <c r="J2470" s="67" t="str">
        <f aca="false">IF($E2470="","",INDEX(成本费用登记表!$C$4:$C$303,121))</f>
        <v/>
      </c>
      <c r="K2470" s="67" t="str">
        <f aca="false">IF($E2470="","",INDEX(成本费用登记表!$D$4:$D$303,121))</f>
        <v/>
      </c>
      <c r="L2470" s="107" t="str">
        <f aca="false">IF($E2470="","",INDEX(成本费用登记表!$N$4:$N$303,121))</f>
        <v/>
      </c>
      <c r="M2470" s="107"/>
      <c r="N2470" s="67" t="str">
        <f aca="false">IF($E2470="","","系统")</f>
        <v/>
      </c>
      <c r="O2470" s="67" t="str">
        <f aca="false">IF($E2470="","","自动C")</f>
        <v/>
      </c>
      <c r="P2470" s="18"/>
    </row>
    <row r="2471" customFormat="false" ht="18" hidden="false" customHeight="true" outlineLevel="0" collapsed="false">
      <c r="A2471" s="107" t="str">
        <f aca="false">IF($E2471="","",ROW()-3)</f>
        <v/>
      </c>
      <c r="B2471" s="110" t="str">
        <f aca="false">IF($E2471="","",INDEX(成本费用登记表!$B$4:$B$303,121))</f>
        <v/>
      </c>
      <c r="C2471" s="67" t="str">
        <f aca="false">IF($E2471="","","记-"&amp;TEXT($B2471,"YYYYMM")&amp;"-费用")</f>
        <v/>
      </c>
      <c r="D2471" s="107" t="str">
        <f aca="false">IF($E2471="","",INDEX(成本费用登记表!$E$4:$E$303,121))</f>
        <v/>
      </c>
      <c r="E2471" s="67" t="str">
        <f aca="false">IF(INDEX(成本费用登记表!$Q$4:$Y$303,121,4)=0,"",INDEX(成本费用登记表!$Q$4:$Y$303,121,4))</f>
        <v/>
      </c>
      <c r="F2471" s="99" t="str">
        <f aca="false">IF($E2471="","",IFERROR(INDEX(科目表!$A$4:$A$81,MATCH($E2471,科目表!$B$4:$B$81,0)),""))</f>
        <v/>
      </c>
      <c r="G2471" s="67" t="str">
        <f aca="false">IF($E2471="","",IFERROR(INDEX(科目表!$E$4:$E$81,MATCH($E2471,科目表!$B$4:$B$81,0)),""))</f>
        <v/>
      </c>
      <c r="H2471" s="70" t="str">
        <f aca="false">IF($E2471="","",N(INDEX(成本费用登记表!$Q$4:$Y$303,121,5)))</f>
        <v/>
      </c>
      <c r="I2471" s="70" t="str">
        <f aca="false">IF($E2471="","",N(INDEX(成本费用登记表!$Q$4:$Y$303,121,6)))</f>
        <v/>
      </c>
      <c r="J2471" s="67" t="str">
        <f aca="false">IF($E2471="","",INDEX(成本费用登记表!$C$4:$C$303,121))</f>
        <v/>
      </c>
      <c r="K2471" s="67" t="str">
        <f aca="false">IF($E2471="","",INDEX(成本费用登记表!$D$4:$D$303,121))</f>
        <v/>
      </c>
      <c r="L2471" s="107" t="str">
        <f aca="false">IF($E2471="","",INDEX(成本费用登记表!$N$4:$N$303,121))</f>
        <v/>
      </c>
      <c r="M2471" s="107"/>
      <c r="N2471" s="67" t="str">
        <f aca="false">IF($E2471="","","系统")</f>
        <v/>
      </c>
      <c r="O2471" s="67" t="str">
        <f aca="false">IF($E2471="","","自动C")</f>
        <v/>
      </c>
      <c r="P2471" s="18"/>
    </row>
    <row r="2472" customFormat="false" ht="18" hidden="false" customHeight="true" outlineLevel="0" collapsed="false">
      <c r="A2472" s="107" t="str">
        <f aca="false">IF($E2472="","",ROW()-3)</f>
        <v/>
      </c>
      <c r="B2472" s="110" t="str">
        <f aca="false">IF($E2472="","",INDEX(成本费用登记表!$B$4:$B$303,121))</f>
        <v/>
      </c>
      <c r="C2472" s="67" t="str">
        <f aca="false">IF($E2472="","","记-"&amp;TEXT($B2472,"YYYYMM")&amp;"-费用")</f>
        <v/>
      </c>
      <c r="D2472" s="107" t="str">
        <f aca="false">IF($E2472="","",INDEX(成本费用登记表!$E$4:$E$303,121))</f>
        <v/>
      </c>
      <c r="E2472" s="67" t="str">
        <f aca="false">IF(INDEX(成本费用登记表!$Q$4:$Y$303,121,7)=0,"",INDEX(成本费用登记表!$Q$4:$Y$303,121,7))</f>
        <v/>
      </c>
      <c r="F2472" s="99" t="str">
        <f aca="false">IF($E2472="","",IFERROR(INDEX(科目表!$A$4:$A$81,MATCH($E2472,科目表!$B$4:$B$81,0)),""))</f>
        <v/>
      </c>
      <c r="G2472" s="67" t="str">
        <f aca="false">IF($E2472="","",IFERROR(INDEX(科目表!$E$4:$E$81,MATCH($E2472,科目表!$B$4:$B$81,0)),""))</f>
        <v/>
      </c>
      <c r="H2472" s="70" t="str">
        <f aca="false">IF($E2472="","",N(INDEX(成本费用登记表!$Q$4:$Y$303,121,8)))</f>
        <v/>
      </c>
      <c r="I2472" s="70" t="str">
        <f aca="false">IF($E2472="","",N(INDEX(成本费用登记表!$Q$4:$Y$303,121,9)))</f>
        <v/>
      </c>
      <c r="J2472" s="67" t="str">
        <f aca="false">IF($E2472="","",INDEX(成本费用登记表!$C$4:$C$303,121))</f>
        <v/>
      </c>
      <c r="K2472" s="67" t="str">
        <f aca="false">IF($E2472="","",INDEX(成本费用登记表!$D$4:$D$303,121))</f>
        <v/>
      </c>
      <c r="L2472" s="107" t="str">
        <f aca="false">IF($E2472="","",INDEX(成本费用登记表!$N$4:$N$303,121))</f>
        <v/>
      </c>
      <c r="M2472" s="107"/>
      <c r="N2472" s="67" t="str">
        <f aca="false">IF($E2472="","","系统")</f>
        <v/>
      </c>
      <c r="O2472" s="67" t="str">
        <f aca="false">IF($E2472="","","自动C")</f>
        <v/>
      </c>
      <c r="P2472" s="18"/>
    </row>
    <row r="2473" customFormat="false" ht="18" hidden="false" customHeight="true" outlineLevel="0" collapsed="false">
      <c r="A2473" s="107" t="str">
        <f aca="false">IF($E2473="","",ROW()-3)</f>
        <v/>
      </c>
      <c r="B2473" s="110" t="str">
        <f aca="false">IF($E2473="","",INDEX(成本费用登记表!$B$4:$B$303,122))</f>
        <v/>
      </c>
      <c r="C2473" s="67" t="str">
        <f aca="false">IF($E2473="","","记-"&amp;TEXT($B2473,"YYYYMM")&amp;"-费用")</f>
        <v/>
      </c>
      <c r="D2473" s="107" t="str">
        <f aca="false">IF($E2473="","",INDEX(成本费用登记表!$E$4:$E$303,122))</f>
        <v/>
      </c>
      <c r="E2473" s="67" t="str">
        <f aca="false">IF(INDEX(成本费用登记表!$Q$4:$Y$303,122,1)=0,"",INDEX(成本费用登记表!$Q$4:$Y$303,122,1))</f>
        <v/>
      </c>
      <c r="F2473" s="99" t="str">
        <f aca="false">IF($E2473="","",IFERROR(INDEX(科目表!$A$4:$A$81,MATCH($E2473,科目表!$B$4:$B$81,0)),""))</f>
        <v/>
      </c>
      <c r="G2473" s="67" t="str">
        <f aca="false">IF($E2473="","",IFERROR(INDEX(科目表!$E$4:$E$81,MATCH($E2473,科目表!$B$4:$B$81,0)),""))</f>
        <v/>
      </c>
      <c r="H2473" s="70" t="str">
        <f aca="false">IF($E2473="","",N(INDEX(成本费用登记表!$Q$4:$Y$303,122,2)))</f>
        <v/>
      </c>
      <c r="I2473" s="70" t="str">
        <f aca="false">IF($E2473="","",N(INDEX(成本费用登记表!$Q$4:$Y$303,122,3)))</f>
        <v/>
      </c>
      <c r="J2473" s="67" t="str">
        <f aca="false">IF($E2473="","",INDEX(成本费用登记表!$C$4:$C$303,122))</f>
        <v/>
      </c>
      <c r="K2473" s="67" t="str">
        <f aca="false">IF($E2473="","",INDEX(成本费用登记表!$D$4:$D$303,122))</f>
        <v/>
      </c>
      <c r="L2473" s="107" t="str">
        <f aca="false">IF($E2473="","",INDEX(成本费用登记表!$N$4:$N$303,122))</f>
        <v/>
      </c>
      <c r="M2473" s="107"/>
      <c r="N2473" s="67" t="str">
        <f aca="false">IF($E2473="","","系统")</f>
        <v/>
      </c>
      <c r="O2473" s="67" t="str">
        <f aca="false">IF($E2473="","","自动C")</f>
        <v/>
      </c>
      <c r="P2473" s="18"/>
    </row>
    <row r="2474" customFormat="false" ht="18" hidden="false" customHeight="true" outlineLevel="0" collapsed="false">
      <c r="A2474" s="107" t="str">
        <f aca="false">IF($E2474="","",ROW()-3)</f>
        <v/>
      </c>
      <c r="B2474" s="110" t="str">
        <f aca="false">IF($E2474="","",INDEX(成本费用登记表!$B$4:$B$303,122))</f>
        <v/>
      </c>
      <c r="C2474" s="67" t="str">
        <f aca="false">IF($E2474="","","记-"&amp;TEXT($B2474,"YYYYMM")&amp;"-费用")</f>
        <v/>
      </c>
      <c r="D2474" s="107" t="str">
        <f aca="false">IF($E2474="","",INDEX(成本费用登记表!$E$4:$E$303,122))</f>
        <v/>
      </c>
      <c r="E2474" s="67" t="str">
        <f aca="false">IF(INDEX(成本费用登记表!$Q$4:$Y$303,122,4)=0,"",INDEX(成本费用登记表!$Q$4:$Y$303,122,4))</f>
        <v/>
      </c>
      <c r="F2474" s="99" t="str">
        <f aca="false">IF($E2474="","",IFERROR(INDEX(科目表!$A$4:$A$81,MATCH($E2474,科目表!$B$4:$B$81,0)),""))</f>
        <v/>
      </c>
      <c r="G2474" s="67" t="str">
        <f aca="false">IF($E2474="","",IFERROR(INDEX(科目表!$E$4:$E$81,MATCH($E2474,科目表!$B$4:$B$81,0)),""))</f>
        <v/>
      </c>
      <c r="H2474" s="70" t="str">
        <f aca="false">IF($E2474="","",N(INDEX(成本费用登记表!$Q$4:$Y$303,122,5)))</f>
        <v/>
      </c>
      <c r="I2474" s="70" t="str">
        <f aca="false">IF($E2474="","",N(INDEX(成本费用登记表!$Q$4:$Y$303,122,6)))</f>
        <v/>
      </c>
      <c r="J2474" s="67" t="str">
        <f aca="false">IF($E2474="","",INDEX(成本费用登记表!$C$4:$C$303,122))</f>
        <v/>
      </c>
      <c r="K2474" s="67" t="str">
        <f aca="false">IF($E2474="","",INDEX(成本费用登记表!$D$4:$D$303,122))</f>
        <v/>
      </c>
      <c r="L2474" s="107" t="str">
        <f aca="false">IF($E2474="","",INDEX(成本费用登记表!$N$4:$N$303,122))</f>
        <v/>
      </c>
      <c r="M2474" s="107"/>
      <c r="N2474" s="67" t="str">
        <f aca="false">IF($E2474="","","系统")</f>
        <v/>
      </c>
      <c r="O2474" s="67" t="str">
        <f aca="false">IF($E2474="","","自动C")</f>
        <v/>
      </c>
      <c r="P2474" s="18"/>
    </row>
    <row r="2475" customFormat="false" ht="18" hidden="false" customHeight="true" outlineLevel="0" collapsed="false">
      <c r="A2475" s="107" t="str">
        <f aca="false">IF($E2475="","",ROW()-3)</f>
        <v/>
      </c>
      <c r="B2475" s="110" t="str">
        <f aca="false">IF($E2475="","",INDEX(成本费用登记表!$B$4:$B$303,122))</f>
        <v/>
      </c>
      <c r="C2475" s="67" t="str">
        <f aca="false">IF($E2475="","","记-"&amp;TEXT($B2475,"YYYYMM")&amp;"-费用")</f>
        <v/>
      </c>
      <c r="D2475" s="107" t="str">
        <f aca="false">IF($E2475="","",INDEX(成本费用登记表!$E$4:$E$303,122))</f>
        <v/>
      </c>
      <c r="E2475" s="67" t="str">
        <f aca="false">IF(INDEX(成本费用登记表!$Q$4:$Y$303,122,7)=0,"",INDEX(成本费用登记表!$Q$4:$Y$303,122,7))</f>
        <v/>
      </c>
      <c r="F2475" s="99" t="str">
        <f aca="false">IF($E2475="","",IFERROR(INDEX(科目表!$A$4:$A$81,MATCH($E2475,科目表!$B$4:$B$81,0)),""))</f>
        <v/>
      </c>
      <c r="G2475" s="67" t="str">
        <f aca="false">IF($E2475="","",IFERROR(INDEX(科目表!$E$4:$E$81,MATCH($E2475,科目表!$B$4:$B$81,0)),""))</f>
        <v/>
      </c>
      <c r="H2475" s="70" t="str">
        <f aca="false">IF($E2475="","",N(INDEX(成本费用登记表!$Q$4:$Y$303,122,8)))</f>
        <v/>
      </c>
      <c r="I2475" s="70" t="str">
        <f aca="false">IF($E2475="","",N(INDEX(成本费用登记表!$Q$4:$Y$303,122,9)))</f>
        <v/>
      </c>
      <c r="J2475" s="67" t="str">
        <f aca="false">IF($E2475="","",INDEX(成本费用登记表!$C$4:$C$303,122))</f>
        <v/>
      </c>
      <c r="K2475" s="67" t="str">
        <f aca="false">IF($E2475="","",INDEX(成本费用登记表!$D$4:$D$303,122))</f>
        <v/>
      </c>
      <c r="L2475" s="107" t="str">
        <f aca="false">IF($E2475="","",INDEX(成本费用登记表!$N$4:$N$303,122))</f>
        <v/>
      </c>
      <c r="M2475" s="107"/>
      <c r="N2475" s="67" t="str">
        <f aca="false">IF($E2475="","","系统")</f>
        <v/>
      </c>
      <c r="O2475" s="67" t="str">
        <f aca="false">IF($E2475="","","自动C")</f>
        <v/>
      </c>
      <c r="P2475" s="18"/>
    </row>
    <row r="2476" customFormat="false" ht="18" hidden="false" customHeight="true" outlineLevel="0" collapsed="false">
      <c r="A2476" s="107" t="str">
        <f aca="false">IF($E2476="","",ROW()-3)</f>
        <v/>
      </c>
      <c r="B2476" s="110" t="str">
        <f aca="false">IF($E2476="","",INDEX(成本费用登记表!$B$4:$B$303,123))</f>
        <v/>
      </c>
      <c r="C2476" s="67" t="str">
        <f aca="false">IF($E2476="","","记-"&amp;TEXT($B2476,"YYYYMM")&amp;"-费用")</f>
        <v/>
      </c>
      <c r="D2476" s="107" t="str">
        <f aca="false">IF($E2476="","",INDEX(成本费用登记表!$E$4:$E$303,123))</f>
        <v/>
      </c>
      <c r="E2476" s="67" t="str">
        <f aca="false">IF(INDEX(成本费用登记表!$Q$4:$Y$303,123,1)=0,"",INDEX(成本费用登记表!$Q$4:$Y$303,123,1))</f>
        <v/>
      </c>
      <c r="F2476" s="99" t="str">
        <f aca="false">IF($E2476="","",IFERROR(INDEX(科目表!$A$4:$A$81,MATCH($E2476,科目表!$B$4:$B$81,0)),""))</f>
        <v/>
      </c>
      <c r="G2476" s="67" t="str">
        <f aca="false">IF($E2476="","",IFERROR(INDEX(科目表!$E$4:$E$81,MATCH($E2476,科目表!$B$4:$B$81,0)),""))</f>
        <v/>
      </c>
      <c r="H2476" s="70" t="str">
        <f aca="false">IF($E2476="","",N(INDEX(成本费用登记表!$Q$4:$Y$303,123,2)))</f>
        <v/>
      </c>
      <c r="I2476" s="70" t="str">
        <f aca="false">IF($E2476="","",N(INDEX(成本费用登记表!$Q$4:$Y$303,123,3)))</f>
        <v/>
      </c>
      <c r="J2476" s="67" t="str">
        <f aca="false">IF($E2476="","",INDEX(成本费用登记表!$C$4:$C$303,123))</f>
        <v/>
      </c>
      <c r="K2476" s="67" t="str">
        <f aca="false">IF($E2476="","",INDEX(成本费用登记表!$D$4:$D$303,123))</f>
        <v/>
      </c>
      <c r="L2476" s="107" t="str">
        <f aca="false">IF($E2476="","",INDEX(成本费用登记表!$N$4:$N$303,123))</f>
        <v/>
      </c>
      <c r="M2476" s="107"/>
      <c r="N2476" s="67" t="str">
        <f aca="false">IF($E2476="","","系统")</f>
        <v/>
      </c>
      <c r="O2476" s="67" t="str">
        <f aca="false">IF($E2476="","","自动C")</f>
        <v/>
      </c>
      <c r="P2476" s="18"/>
    </row>
    <row r="2477" customFormat="false" ht="18" hidden="false" customHeight="true" outlineLevel="0" collapsed="false">
      <c r="A2477" s="107" t="str">
        <f aca="false">IF($E2477="","",ROW()-3)</f>
        <v/>
      </c>
      <c r="B2477" s="110" t="str">
        <f aca="false">IF($E2477="","",INDEX(成本费用登记表!$B$4:$B$303,123))</f>
        <v/>
      </c>
      <c r="C2477" s="67" t="str">
        <f aca="false">IF($E2477="","","记-"&amp;TEXT($B2477,"YYYYMM")&amp;"-费用")</f>
        <v/>
      </c>
      <c r="D2477" s="107" t="str">
        <f aca="false">IF($E2477="","",INDEX(成本费用登记表!$E$4:$E$303,123))</f>
        <v/>
      </c>
      <c r="E2477" s="67" t="str">
        <f aca="false">IF(INDEX(成本费用登记表!$Q$4:$Y$303,123,4)=0,"",INDEX(成本费用登记表!$Q$4:$Y$303,123,4))</f>
        <v/>
      </c>
      <c r="F2477" s="99" t="str">
        <f aca="false">IF($E2477="","",IFERROR(INDEX(科目表!$A$4:$A$81,MATCH($E2477,科目表!$B$4:$B$81,0)),""))</f>
        <v/>
      </c>
      <c r="G2477" s="67" t="str">
        <f aca="false">IF($E2477="","",IFERROR(INDEX(科目表!$E$4:$E$81,MATCH($E2477,科目表!$B$4:$B$81,0)),""))</f>
        <v/>
      </c>
      <c r="H2477" s="70" t="str">
        <f aca="false">IF($E2477="","",N(INDEX(成本费用登记表!$Q$4:$Y$303,123,5)))</f>
        <v/>
      </c>
      <c r="I2477" s="70" t="str">
        <f aca="false">IF($E2477="","",N(INDEX(成本费用登记表!$Q$4:$Y$303,123,6)))</f>
        <v/>
      </c>
      <c r="J2477" s="67" t="str">
        <f aca="false">IF($E2477="","",INDEX(成本费用登记表!$C$4:$C$303,123))</f>
        <v/>
      </c>
      <c r="K2477" s="67" t="str">
        <f aca="false">IF($E2477="","",INDEX(成本费用登记表!$D$4:$D$303,123))</f>
        <v/>
      </c>
      <c r="L2477" s="107" t="str">
        <f aca="false">IF($E2477="","",INDEX(成本费用登记表!$N$4:$N$303,123))</f>
        <v/>
      </c>
      <c r="M2477" s="107"/>
      <c r="N2477" s="67" t="str">
        <f aca="false">IF($E2477="","","系统")</f>
        <v/>
      </c>
      <c r="O2477" s="67" t="str">
        <f aca="false">IF($E2477="","","自动C")</f>
        <v/>
      </c>
      <c r="P2477" s="18"/>
    </row>
    <row r="2478" customFormat="false" ht="18" hidden="false" customHeight="true" outlineLevel="0" collapsed="false">
      <c r="A2478" s="107" t="str">
        <f aca="false">IF($E2478="","",ROW()-3)</f>
        <v/>
      </c>
      <c r="B2478" s="110" t="str">
        <f aca="false">IF($E2478="","",INDEX(成本费用登记表!$B$4:$B$303,123))</f>
        <v/>
      </c>
      <c r="C2478" s="67" t="str">
        <f aca="false">IF($E2478="","","记-"&amp;TEXT($B2478,"YYYYMM")&amp;"-费用")</f>
        <v/>
      </c>
      <c r="D2478" s="107" t="str">
        <f aca="false">IF($E2478="","",INDEX(成本费用登记表!$E$4:$E$303,123))</f>
        <v/>
      </c>
      <c r="E2478" s="67" t="str">
        <f aca="false">IF(INDEX(成本费用登记表!$Q$4:$Y$303,123,7)=0,"",INDEX(成本费用登记表!$Q$4:$Y$303,123,7))</f>
        <v/>
      </c>
      <c r="F2478" s="99" t="str">
        <f aca="false">IF($E2478="","",IFERROR(INDEX(科目表!$A$4:$A$81,MATCH($E2478,科目表!$B$4:$B$81,0)),""))</f>
        <v/>
      </c>
      <c r="G2478" s="67" t="str">
        <f aca="false">IF($E2478="","",IFERROR(INDEX(科目表!$E$4:$E$81,MATCH($E2478,科目表!$B$4:$B$81,0)),""))</f>
        <v/>
      </c>
      <c r="H2478" s="70" t="str">
        <f aca="false">IF($E2478="","",N(INDEX(成本费用登记表!$Q$4:$Y$303,123,8)))</f>
        <v/>
      </c>
      <c r="I2478" s="70" t="str">
        <f aca="false">IF($E2478="","",N(INDEX(成本费用登记表!$Q$4:$Y$303,123,9)))</f>
        <v/>
      </c>
      <c r="J2478" s="67" t="str">
        <f aca="false">IF($E2478="","",INDEX(成本费用登记表!$C$4:$C$303,123))</f>
        <v/>
      </c>
      <c r="K2478" s="67" t="str">
        <f aca="false">IF($E2478="","",INDEX(成本费用登记表!$D$4:$D$303,123))</f>
        <v/>
      </c>
      <c r="L2478" s="107" t="str">
        <f aca="false">IF($E2478="","",INDEX(成本费用登记表!$N$4:$N$303,123))</f>
        <v/>
      </c>
      <c r="M2478" s="107"/>
      <c r="N2478" s="67" t="str">
        <f aca="false">IF($E2478="","","系统")</f>
        <v/>
      </c>
      <c r="O2478" s="67" t="str">
        <f aca="false">IF($E2478="","","自动C")</f>
        <v/>
      </c>
      <c r="P2478" s="18"/>
    </row>
    <row r="2479" customFormat="false" ht="18" hidden="false" customHeight="true" outlineLevel="0" collapsed="false">
      <c r="A2479" s="107" t="str">
        <f aca="false">IF($E2479="","",ROW()-3)</f>
        <v/>
      </c>
      <c r="B2479" s="110" t="str">
        <f aca="false">IF($E2479="","",INDEX(成本费用登记表!$B$4:$B$303,124))</f>
        <v/>
      </c>
      <c r="C2479" s="67" t="str">
        <f aca="false">IF($E2479="","","记-"&amp;TEXT($B2479,"YYYYMM")&amp;"-费用")</f>
        <v/>
      </c>
      <c r="D2479" s="107" t="str">
        <f aca="false">IF($E2479="","",INDEX(成本费用登记表!$E$4:$E$303,124))</f>
        <v/>
      </c>
      <c r="E2479" s="67" t="str">
        <f aca="false">IF(INDEX(成本费用登记表!$Q$4:$Y$303,124,1)=0,"",INDEX(成本费用登记表!$Q$4:$Y$303,124,1))</f>
        <v/>
      </c>
      <c r="F2479" s="99" t="str">
        <f aca="false">IF($E2479="","",IFERROR(INDEX(科目表!$A$4:$A$81,MATCH($E2479,科目表!$B$4:$B$81,0)),""))</f>
        <v/>
      </c>
      <c r="G2479" s="67" t="str">
        <f aca="false">IF($E2479="","",IFERROR(INDEX(科目表!$E$4:$E$81,MATCH($E2479,科目表!$B$4:$B$81,0)),""))</f>
        <v/>
      </c>
      <c r="H2479" s="70" t="str">
        <f aca="false">IF($E2479="","",N(INDEX(成本费用登记表!$Q$4:$Y$303,124,2)))</f>
        <v/>
      </c>
      <c r="I2479" s="70" t="str">
        <f aca="false">IF($E2479="","",N(INDEX(成本费用登记表!$Q$4:$Y$303,124,3)))</f>
        <v/>
      </c>
      <c r="J2479" s="67" t="str">
        <f aca="false">IF($E2479="","",INDEX(成本费用登记表!$C$4:$C$303,124))</f>
        <v/>
      </c>
      <c r="K2479" s="67" t="str">
        <f aca="false">IF($E2479="","",INDEX(成本费用登记表!$D$4:$D$303,124))</f>
        <v/>
      </c>
      <c r="L2479" s="107" t="str">
        <f aca="false">IF($E2479="","",INDEX(成本费用登记表!$N$4:$N$303,124))</f>
        <v/>
      </c>
      <c r="M2479" s="107"/>
      <c r="N2479" s="67" t="str">
        <f aca="false">IF($E2479="","","系统")</f>
        <v/>
      </c>
      <c r="O2479" s="67" t="str">
        <f aca="false">IF($E2479="","","自动C")</f>
        <v/>
      </c>
      <c r="P2479" s="18"/>
    </row>
    <row r="2480" customFormat="false" ht="18" hidden="false" customHeight="true" outlineLevel="0" collapsed="false">
      <c r="A2480" s="107" t="str">
        <f aca="false">IF($E2480="","",ROW()-3)</f>
        <v/>
      </c>
      <c r="B2480" s="110" t="str">
        <f aca="false">IF($E2480="","",INDEX(成本费用登记表!$B$4:$B$303,124))</f>
        <v/>
      </c>
      <c r="C2480" s="67" t="str">
        <f aca="false">IF($E2480="","","记-"&amp;TEXT($B2480,"YYYYMM")&amp;"-费用")</f>
        <v/>
      </c>
      <c r="D2480" s="107" t="str">
        <f aca="false">IF($E2480="","",INDEX(成本费用登记表!$E$4:$E$303,124))</f>
        <v/>
      </c>
      <c r="E2480" s="67" t="str">
        <f aca="false">IF(INDEX(成本费用登记表!$Q$4:$Y$303,124,4)=0,"",INDEX(成本费用登记表!$Q$4:$Y$303,124,4))</f>
        <v/>
      </c>
      <c r="F2480" s="99" t="str">
        <f aca="false">IF($E2480="","",IFERROR(INDEX(科目表!$A$4:$A$81,MATCH($E2480,科目表!$B$4:$B$81,0)),""))</f>
        <v/>
      </c>
      <c r="G2480" s="67" t="str">
        <f aca="false">IF($E2480="","",IFERROR(INDEX(科目表!$E$4:$E$81,MATCH($E2480,科目表!$B$4:$B$81,0)),""))</f>
        <v/>
      </c>
      <c r="H2480" s="70" t="str">
        <f aca="false">IF($E2480="","",N(INDEX(成本费用登记表!$Q$4:$Y$303,124,5)))</f>
        <v/>
      </c>
      <c r="I2480" s="70" t="str">
        <f aca="false">IF($E2480="","",N(INDEX(成本费用登记表!$Q$4:$Y$303,124,6)))</f>
        <v/>
      </c>
      <c r="J2480" s="67" t="str">
        <f aca="false">IF($E2480="","",INDEX(成本费用登记表!$C$4:$C$303,124))</f>
        <v/>
      </c>
      <c r="K2480" s="67" t="str">
        <f aca="false">IF($E2480="","",INDEX(成本费用登记表!$D$4:$D$303,124))</f>
        <v/>
      </c>
      <c r="L2480" s="107" t="str">
        <f aca="false">IF($E2480="","",INDEX(成本费用登记表!$N$4:$N$303,124))</f>
        <v/>
      </c>
      <c r="M2480" s="107"/>
      <c r="N2480" s="67" t="str">
        <f aca="false">IF($E2480="","","系统")</f>
        <v/>
      </c>
      <c r="O2480" s="67" t="str">
        <f aca="false">IF($E2480="","","自动C")</f>
        <v/>
      </c>
      <c r="P2480" s="18"/>
    </row>
    <row r="2481" customFormat="false" ht="18" hidden="false" customHeight="true" outlineLevel="0" collapsed="false">
      <c r="A2481" s="107" t="str">
        <f aca="false">IF($E2481="","",ROW()-3)</f>
        <v/>
      </c>
      <c r="B2481" s="110" t="str">
        <f aca="false">IF($E2481="","",INDEX(成本费用登记表!$B$4:$B$303,124))</f>
        <v/>
      </c>
      <c r="C2481" s="67" t="str">
        <f aca="false">IF($E2481="","","记-"&amp;TEXT($B2481,"YYYYMM")&amp;"-费用")</f>
        <v/>
      </c>
      <c r="D2481" s="107" t="str">
        <f aca="false">IF($E2481="","",INDEX(成本费用登记表!$E$4:$E$303,124))</f>
        <v/>
      </c>
      <c r="E2481" s="67" t="str">
        <f aca="false">IF(INDEX(成本费用登记表!$Q$4:$Y$303,124,7)=0,"",INDEX(成本费用登记表!$Q$4:$Y$303,124,7))</f>
        <v/>
      </c>
      <c r="F2481" s="99" t="str">
        <f aca="false">IF($E2481="","",IFERROR(INDEX(科目表!$A$4:$A$81,MATCH($E2481,科目表!$B$4:$B$81,0)),""))</f>
        <v/>
      </c>
      <c r="G2481" s="67" t="str">
        <f aca="false">IF($E2481="","",IFERROR(INDEX(科目表!$E$4:$E$81,MATCH($E2481,科目表!$B$4:$B$81,0)),""))</f>
        <v/>
      </c>
      <c r="H2481" s="70" t="str">
        <f aca="false">IF($E2481="","",N(INDEX(成本费用登记表!$Q$4:$Y$303,124,8)))</f>
        <v/>
      </c>
      <c r="I2481" s="70" t="str">
        <f aca="false">IF($E2481="","",N(INDEX(成本费用登记表!$Q$4:$Y$303,124,9)))</f>
        <v/>
      </c>
      <c r="J2481" s="67" t="str">
        <f aca="false">IF($E2481="","",INDEX(成本费用登记表!$C$4:$C$303,124))</f>
        <v/>
      </c>
      <c r="K2481" s="67" t="str">
        <f aca="false">IF($E2481="","",INDEX(成本费用登记表!$D$4:$D$303,124))</f>
        <v/>
      </c>
      <c r="L2481" s="107" t="str">
        <f aca="false">IF($E2481="","",INDEX(成本费用登记表!$N$4:$N$303,124))</f>
        <v/>
      </c>
      <c r="M2481" s="107"/>
      <c r="N2481" s="67" t="str">
        <f aca="false">IF($E2481="","","系统")</f>
        <v/>
      </c>
      <c r="O2481" s="67" t="str">
        <f aca="false">IF($E2481="","","自动C")</f>
        <v/>
      </c>
      <c r="P2481" s="18"/>
    </row>
    <row r="2482" customFormat="false" ht="18" hidden="false" customHeight="true" outlineLevel="0" collapsed="false">
      <c r="A2482" s="107" t="str">
        <f aca="false">IF($E2482="","",ROW()-3)</f>
        <v/>
      </c>
      <c r="B2482" s="110" t="str">
        <f aca="false">IF($E2482="","",INDEX(成本费用登记表!$B$4:$B$303,125))</f>
        <v/>
      </c>
      <c r="C2482" s="67" t="str">
        <f aca="false">IF($E2482="","","记-"&amp;TEXT($B2482,"YYYYMM")&amp;"-费用")</f>
        <v/>
      </c>
      <c r="D2482" s="107" t="str">
        <f aca="false">IF($E2482="","",INDEX(成本费用登记表!$E$4:$E$303,125))</f>
        <v/>
      </c>
      <c r="E2482" s="67" t="str">
        <f aca="false">IF(INDEX(成本费用登记表!$Q$4:$Y$303,125,1)=0,"",INDEX(成本费用登记表!$Q$4:$Y$303,125,1))</f>
        <v/>
      </c>
      <c r="F2482" s="99" t="str">
        <f aca="false">IF($E2482="","",IFERROR(INDEX(科目表!$A$4:$A$81,MATCH($E2482,科目表!$B$4:$B$81,0)),""))</f>
        <v/>
      </c>
      <c r="G2482" s="67" t="str">
        <f aca="false">IF($E2482="","",IFERROR(INDEX(科目表!$E$4:$E$81,MATCH($E2482,科目表!$B$4:$B$81,0)),""))</f>
        <v/>
      </c>
      <c r="H2482" s="70" t="str">
        <f aca="false">IF($E2482="","",N(INDEX(成本费用登记表!$Q$4:$Y$303,125,2)))</f>
        <v/>
      </c>
      <c r="I2482" s="70" t="str">
        <f aca="false">IF($E2482="","",N(INDEX(成本费用登记表!$Q$4:$Y$303,125,3)))</f>
        <v/>
      </c>
      <c r="J2482" s="67" t="str">
        <f aca="false">IF($E2482="","",INDEX(成本费用登记表!$C$4:$C$303,125))</f>
        <v/>
      </c>
      <c r="K2482" s="67" t="str">
        <f aca="false">IF($E2482="","",INDEX(成本费用登记表!$D$4:$D$303,125))</f>
        <v/>
      </c>
      <c r="L2482" s="107" t="str">
        <f aca="false">IF($E2482="","",INDEX(成本费用登记表!$N$4:$N$303,125))</f>
        <v/>
      </c>
      <c r="M2482" s="107"/>
      <c r="N2482" s="67" t="str">
        <f aca="false">IF($E2482="","","系统")</f>
        <v/>
      </c>
      <c r="O2482" s="67" t="str">
        <f aca="false">IF($E2482="","","自动C")</f>
        <v/>
      </c>
      <c r="P2482" s="18"/>
    </row>
    <row r="2483" customFormat="false" ht="18" hidden="false" customHeight="true" outlineLevel="0" collapsed="false">
      <c r="A2483" s="107" t="str">
        <f aca="false">IF($E2483="","",ROW()-3)</f>
        <v/>
      </c>
      <c r="B2483" s="110" t="str">
        <f aca="false">IF($E2483="","",INDEX(成本费用登记表!$B$4:$B$303,125))</f>
        <v/>
      </c>
      <c r="C2483" s="67" t="str">
        <f aca="false">IF($E2483="","","记-"&amp;TEXT($B2483,"YYYYMM")&amp;"-费用")</f>
        <v/>
      </c>
      <c r="D2483" s="107" t="str">
        <f aca="false">IF($E2483="","",INDEX(成本费用登记表!$E$4:$E$303,125))</f>
        <v/>
      </c>
      <c r="E2483" s="67" t="str">
        <f aca="false">IF(INDEX(成本费用登记表!$Q$4:$Y$303,125,4)=0,"",INDEX(成本费用登记表!$Q$4:$Y$303,125,4))</f>
        <v/>
      </c>
      <c r="F2483" s="99" t="str">
        <f aca="false">IF($E2483="","",IFERROR(INDEX(科目表!$A$4:$A$81,MATCH($E2483,科目表!$B$4:$B$81,0)),""))</f>
        <v/>
      </c>
      <c r="G2483" s="67" t="str">
        <f aca="false">IF($E2483="","",IFERROR(INDEX(科目表!$E$4:$E$81,MATCH($E2483,科目表!$B$4:$B$81,0)),""))</f>
        <v/>
      </c>
      <c r="H2483" s="70" t="str">
        <f aca="false">IF($E2483="","",N(INDEX(成本费用登记表!$Q$4:$Y$303,125,5)))</f>
        <v/>
      </c>
      <c r="I2483" s="70" t="str">
        <f aca="false">IF($E2483="","",N(INDEX(成本费用登记表!$Q$4:$Y$303,125,6)))</f>
        <v/>
      </c>
      <c r="J2483" s="67" t="str">
        <f aca="false">IF($E2483="","",INDEX(成本费用登记表!$C$4:$C$303,125))</f>
        <v/>
      </c>
      <c r="K2483" s="67" t="str">
        <f aca="false">IF($E2483="","",INDEX(成本费用登记表!$D$4:$D$303,125))</f>
        <v/>
      </c>
      <c r="L2483" s="107" t="str">
        <f aca="false">IF($E2483="","",INDEX(成本费用登记表!$N$4:$N$303,125))</f>
        <v/>
      </c>
      <c r="M2483" s="107"/>
      <c r="N2483" s="67" t="str">
        <f aca="false">IF($E2483="","","系统")</f>
        <v/>
      </c>
      <c r="O2483" s="67" t="str">
        <f aca="false">IF($E2483="","","自动C")</f>
        <v/>
      </c>
      <c r="P2483" s="18"/>
    </row>
    <row r="2484" customFormat="false" ht="18" hidden="false" customHeight="true" outlineLevel="0" collapsed="false">
      <c r="A2484" s="107" t="str">
        <f aca="false">IF($E2484="","",ROW()-3)</f>
        <v/>
      </c>
      <c r="B2484" s="110" t="str">
        <f aca="false">IF($E2484="","",INDEX(成本费用登记表!$B$4:$B$303,125))</f>
        <v/>
      </c>
      <c r="C2484" s="67" t="str">
        <f aca="false">IF($E2484="","","记-"&amp;TEXT($B2484,"YYYYMM")&amp;"-费用")</f>
        <v/>
      </c>
      <c r="D2484" s="107" t="str">
        <f aca="false">IF($E2484="","",INDEX(成本费用登记表!$E$4:$E$303,125))</f>
        <v/>
      </c>
      <c r="E2484" s="67" t="str">
        <f aca="false">IF(INDEX(成本费用登记表!$Q$4:$Y$303,125,7)=0,"",INDEX(成本费用登记表!$Q$4:$Y$303,125,7))</f>
        <v/>
      </c>
      <c r="F2484" s="99" t="str">
        <f aca="false">IF($E2484="","",IFERROR(INDEX(科目表!$A$4:$A$81,MATCH($E2484,科目表!$B$4:$B$81,0)),""))</f>
        <v/>
      </c>
      <c r="G2484" s="67" t="str">
        <f aca="false">IF($E2484="","",IFERROR(INDEX(科目表!$E$4:$E$81,MATCH($E2484,科目表!$B$4:$B$81,0)),""))</f>
        <v/>
      </c>
      <c r="H2484" s="70" t="str">
        <f aca="false">IF($E2484="","",N(INDEX(成本费用登记表!$Q$4:$Y$303,125,8)))</f>
        <v/>
      </c>
      <c r="I2484" s="70" t="str">
        <f aca="false">IF($E2484="","",N(INDEX(成本费用登记表!$Q$4:$Y$303,125,9)))</f>
        <v/>
      </c>
      <c r="J2484" s="67" t="str">
        <f aca="false">IF($E2484="","",INDEX(成本费用登记表!$C$4:$C$303,125))</f>
        <v/>
      </c>
      <c r="K2484" s="67" t="str">
        <f aca="false">IF($E2484="","",INDEX(成本费用登记表!$D$4:$D$303,125))</f>
        <v/>
      </c>
      <c r="L2484" s="107" t="str">
        <f aca="false">IF($E2484="","",INDEX(成本费用登记表!$N$4:$N$303,125))</f>
        <v/>
      </c>
      <c r="M2484" s="107"/>
      <c r="N2484" s="67" t="str">
        <f aca="false">IF($E2484="","","系统")</f>
        <v/>
      </c>
      <c r="O2484" s="67" t="str">
        <f aca="false">IF($E2484="","","自动C")</f>
        <v/>
      </c>
      <c r="P2484" s="18"/>
    </row>
    <row r="2485" customFormat="false" ht="18" hidden="false" customHeight="true" outlineLevel="0" collapsed="false">
      <c r="A2485" s="107" t="str">
        <f aca="false">IF($E2485="","",ROW()-3)</f>
        <v/>
      </c>
      <c r="B2485" s="110" t="str">
        <f aca="false">IF($E2485="","",INDEX(成本费用登记表!$B$4:$B$303,126))</f>
        <v/>
      </c>
      <c r="C2485" s="67" t="str">
        <f aca="false">IF($E2485="","","记-"&amp;TEXT($B2485,"YYYYMM")&amp;"-费用")</f>
        <v/>
      </c>
      <c r="D2485" s="107" t="str">
        <f aca="false">IF($E2485="","",INDEX(成本费用登记表!$E$4:$E$303,126))</f>
        <v/>
      </c>
      <c r="E2485" s="67" t="str">
        <f aca="false">IF(INDEX(成本费用登记表!$Q$4:$Y$303,126,1)=0,"",INDEX(成本费用登记表!$Q$4:$Y$303,126,1))</f>
        <v/>
      </c>
      <c r="F2485" s="99" t="str">
        <f aca="false">IF($E2485="","",IFERROR(INDEX(科目表!$A$4:$A$81,MATCH($E2485,科目表!$B$4:$B$81,0)),""))</f>
        <v/>
      </c>
      <c r="G2485" s="67" t="str">
        <f aca="false">IF($E2485="","",IFERROR(INDEX(科目表!$E$4:$E$81,MATCH($E2485,科目表!$B$4:$B$81,0)),""))</f>
        <v/>
      </c>
      <c r="H2485" s="70" t="str">
        <f aca="false">IF($E2485="","",N(INDEX(成本费用登记表!$Q$4:$Y$303,126,2)))</f>
        <v/>
      </c>
      <c r="I2485" s="70" t="str">
        <f aca="false">IF($E2485="","",N(INDEX(成本费用登记表!$Q$4:$Y$303,126,3)))</f>
        <v/>
      </c>
      <c r="J2485" s="67" t="str">
        <f aca="false">IF($E2485="","",INDEX(成本费用登记表!$C$4:$C$303,126))</f>
        <v/>
      </c>
      <c r="K2485" s="67" t="str">
        <f aca="false">IF($E2485="","",INDEX(成本费用登记表!$D$4:$D$303,126))</f>
        <v/>
      </c>
      <c r="L2485" s="107" t="str">
        <f aca="false">IF($E2485="","",INDEX(成本费用登记表!$N$4:$N$303,126))</f>
        <v/>
      </c>
      <c r="M2485" s="107"/>
      <c r="N2485" s="67" t="str">
        <f aca="false">IF($E2485="","","系统")</f>
        <v/>
      </c>
      <c r="O2485" s="67" t="str">
        <f aca="false">IF($E2485="","","自动C")</f>
        <v/>
      </c>
      <c r="P2485" s="18"/>
    </row>
    <row r="2486" customFormat="false" ht="18" hidden="false" customHeight="true" outlineLevel="0" collapsed="false">
      <c r="A2486" s="107" t="str">
        <f aca="false">IF($E2486="","",ROW()-3)</f>
        <v/>
      </c>
      <c r="B2486" s="110" t="str">
        <f aca="false">IF($E2486="","",INDEX(成本费用登记表!$B$4:$B$303,126))</f>
        <v/>
      </c>
      <c r="C2486" s="67" t="str">
        <f aca="false">IF($E2486="","","记-"&amp;TEXT($B2486,"YYYYMM")&amp;"-费用")</f>
        <v/>
      </c>
      <c r="D2486" s="107" t="str">
        <f aca="false">IF($E2486="","",INDEX(成本费用登记表!$E$4:$E$303,126))</f>
        <v/>
      </c>
      <c r="E2486" s="67" t="str">
        <f aca="false">IF(INDEX(成本费用登记表!$Q$4:$Y$303,126,4)=0,"",INDEX(成本费用登记表!$Q$4:$Y$303,126,4))</f>
        <v/>
      </c>
      <c r="F2486" s="99" t="str">
        <f aca="false">IF($E2486="","",IFERROR(INDEX(科目表!$A$4:$A$81,MATCH($E2486,科目表!$B$4:$B$81,0)),""))</f>
        <v/>
      </c>
      <c r="G2486" s="67" t="str">
        <f aca="false">IF($E2486="","",IFERROR(INDEX(科目表!$E$4:$E$81,MATCH($E2486,科目表!$B$4:$B$81,0)),""))</f>
        <v/>
      </c>
      <c r="H2486" s="70" t="str">
        <f aca="false">IF($E2486="","",N(INDEX(成本费用登记表!$Q$4:$Y$303,126,5)))</f>
        <v/>
      </c>
      <c r="I2486" s="70" t="str">
        <f aca="false">IF($E2486="","",N(INDEX(成本费用登记表!$Q$4:$Y$303,126,6)))</f>
        <v/>
      </c>
      <c r="J2486" s="67" t="str">
        <f aca="false">IF($E2486="","",INDEX(成本费用登记表!$C$4:$C$303,126))</f>
        <v/>
      </c>
      <c r="K2486" s="67" t="str">
        <f aca="false">IF($E2486="","",INDEX(成本费用登记表!$D$4:$D$303,126))</f>
        <v/>
      </c>
      <c r="L2486" s="107" t="str">
        <f aca="false">IF($E2486="","",INDEX(成本费用登记表!$N$4:$N$303,126))</f>
        <v/>
      </c>
      <c r="M2486" s="107"/>
      <c r="N2486" s="67" t="str">
        <f aca="false">IF($E2486="","","系统")</f>
        <v/>
      </c>
      <c r="O2486" s="67" t="str">
        <f aca="false">IF($E2486="","","自动C")</f>
        <v/>
      </c>
      <c r="P2486" s="18"/>
    </row>
    <row r="2487" customFormat="false" ht="18" hidden="false" customHeight="true" outlineLevel="0" collapsed="false">
      <c r="A2487" s="107" t="str">
        <f aca="false">IF($E2487="","",ROW()-3)</f>
        <v/>
      </c>
      <c r="B2487" s="110" t="str">
        <f aca="false">IF($E2487="","",INDEX(成本费用登记表!$B$4:$B$303,126))</f>
        <v/>
      </c>
      <c r="C2487" s="67" t="str">
        <f aca="false">IF($E2487="","","记-"&amp;TEXT($B2487,"YYYYMM")&amp;"-费用")</f>
        <v/>
      </c>
      <c r="D2487" s="107" t="str">
        <f aca="false">IF($E2487="","",INDEX(成本费用登记表!$E$4:$E$303,126))</f>
        <v/>
      </c>
      <c r="E2487" s="67" t="str">
        <f aca="false">IF(INDEX(成本费用登记表!$Q$4:$Y$303,126,7)=0,"",INDEX(成本费用登记表!$Q$4:$Y$303,126,7))</f>
        <v/>
      </c>
      <c r="F2487" s="99" t="str">
        <f aca="false">IF($E2487="","",IFERROR(INDEX(科目表!$A$4:$A$81,MATCH($E2487,科目表!$B$4:$B$81,0)),""))</f>
        <v/>
      </c>
      <c r="G2487" s="67" t="str">
        <f aca="false">IF($E2487="","",IFERROR(INDEX(科目表!$E$4:$E$81,MATCH($E2487,科目表!$B$4:$B$81,0)),""))</f>
        <v/>
      </c>
      <c r="H2487" s="70" t="str">
        <f aca="false">IF($E2487="","",N(INDEX(成本费用登记表!$Q$4:$Y$303,126,8)))</f>
        <v/>
      </c>
      <c r="I2487" s="70" t="str">
        <f aca="false">IF($E2487="","",N(INDEX(成本费用登记表!$Q$4:$Y$303,126,9)))</f>
        <v/>
      </c>
      <c r="J2487" s="67" t="str">
        <f aca="false">IF($E2487="","",INDEX(成本费用登记表!$C$4:$C$303,126))</f>
        <v/>
      </c>
      <c r="K2487" s="67" t="str">
        <f aca="false">IF($E2487="","",INDEX(成本费用登记表!$D$4:$D$303,126))</f>
        <v/>
      </c>
      <c r="L2487" s="107" t="str">
        <f aca="false">IF($E2487="","",INDEX(成本费用登记表!$N$4:$N$303,126))</f>
        <v/>
      </c>
      <c r="M2487" s="107"/>
      <c r="N2487" s="67" t="str">
        <f aca="false">IF($E2487="","","系统")</f>
        <v/>
      </c>
      <c r="O2487" s="67" t="str">
        <f aca="false">IF($E2487="","","自动C")</f>
        <v/>
      </c>
      <c r="P2487" s="18"/>
    </row>
    <row r="2488" customFormat="false" ht="18" hidden="false" customHeight="true" outlineLevel="0" collapsed="false">
      <c r="A2488" s="107" t="str">
        <f aca="false">IF($E2488="","",ROW()-3)</f>
        <v/>
      </c>
      <c r="B2488" s="110" t="str">
        <f aca="false">IF($E2488="","",INDEX(成本费用登记表!$B$4:$B$303,127))</f>
        <v/>
      </c>
      <c r="C2488" s="67" t="str">
        <f aca="false">IF($E2488="","","记-"&amp;TEXT($B2488,"YYYYMM")&amp;"-费用")</f>
        <v/>
      </c>
      <c r="D2488" s="107" t="str">
        <f aca="false">IF($E2488="","",INDEX(成本费用登记表!$E$4:$E$303,127))</f>
        <v/>
      </c>
      <c r="E2488" s="67" t="str">
        <f aca="false">IF(INDEX(成本费用登记表!$Q$4:$Y$303,127,1)=0,"",INDEX(成本费用登记表!$Q$4:$Y$303,127,1))</f>
        <v/>
      </c>
      <c r="F2488" s="99" t="str">
        <f aca="false">IF($E2488="","",IFERROR(INDEX(科目表!$A$4:$A$81,MATCH($E2488,科目表!$B$4:$B$81,0)),""))</f>
        <v/>
      </c>
      <c r="G2488" s="67" t="str">
        <f aca="false">IF($E2488="","",IFERROR(INDEX(科目表!$E$4:$E$81,MATCH($E2488,科目表!$B$4:$B$81,0)),""))</f>
        <v/>
      </c>
      <c r="H2488" s="70" t="str">
        <f aca="false">IF($E2488="","",N(INDEX(成本费用登记表!$Q$4:$Y$303,127,2)))</f>
        <v/>
      </c>
      <c r="I2488" s="70" t="str">
        <f aca="false">IF($E2488="","",N(INDEX(成本费用登记表!$Q$4:$Y$303,127,3)))</f>
        <v/>
      </c>
      <c r="J2488" s="67" t="str">
        <f aca="false">IF($E2488="","",INDEX(成本费用登记表!$C$4:$C$303,127))</f>
        <v/>
      </c>
      <c r="K2488" s="67" t="str">
        <f aca="false">IF($E2488="","",INDEX(成本费用登记表!$D$4:$D$303,127))</f>
        <v/>
      </c>
      <c r="L2488" s="107" t="str">
        <f aca="false">IF($E2488="","",INDEX(成本费用登记表!$N$4:$N$303,127))</f>
        <v/>
      </c>
      <c r="M2488" s="107"/>
      <c r="N2488" s="67" t="str">
        <f aca="false">IF($E2488="","","系统")</f>
        <v/>
      </c>
      <c r="O2488" s="67" t="str">
        <f aca="false">IF($E2488="","","自动C")</f>
        <v/>
      </c>
      <c r="P2488" s="18"/>
    </row>
    <row r="2489" customFormat="false" ht="18" hidden="false" customHeight="true" outlineLevel="0" collapsed="false">
      <c r="A2489" s="107" t="str">
        <f aca="false">IF($E2489="","",ROW()-3)</f>
        <v/>
      </c>
      <c r="B2489" s="110" t="str">
        <f aca="false">IF($E2489="","",INDEX(成本费用登记表!$B$4:$B$303,127))</f>
        <v/>
      </c>
      <c r="C2489" s="67" t="str">
        <f aca="false">IF($E2489="","","记-"&amp;TEXT($B2489,"YYYYMM")&amp;"-费用")</f>
        <v/>
      </c>
      <c r="D2489" s="107" t="str">
        <f aca="false">IF($E2489="","",INDEX(成本费用登记表!$E$4:$E$303,127))</f>
        <v/>
      </c>
      <c r="E2489" s="67" t="str">
        <f aca="false">IF(INDEX(成本费用登记表!$Q$4:$Y$303,127,4)=0,"",INDEX(成本费用登记表!$Q$4:$Y$303,127,4))</f>
        <v/>
      </c>
      <c r="F2489" s="99" t="str">
        <f aca="false">IF($E2489="","",IFERROR(INDEX(科目表!$A$4:$A$81,MATCH($E2489,科目表!$B$4:$B$81,0)),""))</f>
        <v/>
      </c>
      <c r="G2489" s="67" t="str">
        <f aca="false">IF($E2489="","",IFERROR(INDEX(科目表!$E$4:$E$81,MATCH($E2489,科目表!$B$4:$B$81,0)),""))</f>
        <v/>
      </c>
      <c r="H2489" s="70" t="str">
        <f aca="false">IF($E2489="","",N(INDEX(成本费用登记表!$Q$4:$Y$303,127,5)))</f>
        <v/>
      </c>
      <c r="I2489" s="70" t="str">
        <f aca="false">IF($E2489="","",N(INDEX(成本费用登记表!$Q$4:$Y$303,127,6)))</f>
        <v/>
      </c>
      <c r="J2489" s="67" t="str">
        <f aca="false">IF($E2489="","",INDEX(成本费用登记表!$C$4:$C$303,127))</f>
        <v/>
      </c>
      <c r="K2489" s="67" t="str">
        <f aca="false">IF($E2489="","",INDEX(成本费用登记表!$D$4:$D$303,127))</f>
        <v/>
      </c>
      <c r="L2489" s="107" t="str">
        <f aca="false">IF($E2489="","",INDEX(成本费用登记表!$N$4:$N$303,127))</f>
        <v/>
      </c>
      <c r="M2489" s="107"/>
      <c r="N2489" s="67" t="str">
        <f aca="false">IF($E2489="","","系统")</f>
        <v/>
      </c>
      <c r="O2489" s="67" t="str">
        <f aca="false">IF($E2489="","","自动C")</f>
        <v/>
      </c>
      <c r="P2489" s="18"/>
    </row>
    <row r="2490" customFormat="false" ht="18" hidden="false" customHeight="true" outlineLevel="0" collapsed="false">
      <c r="A2490" s="107" t="str">
        <f aca="false">IF($E2490="","",ROW()-3)</f>
        <v/>
      </c>
      <c r="B2490" s="110" t="str">
        <f aca="false">IF($E2490="","",INDEX(成本费用登记表!$B$4:$B$303,127))</f>
        <v/>
      </c>
      <c r="C2490" s="67" t="str">
        <f aca="false">IF($E2490="","","记-"&amp;TEXT($B2490,"YYYYMM")&amp;"-费用")</f>
        <v/>
      </c>
      <c r="D2490" s="107" t="str">
        <f aca="false">IF($E2490="","",INDEX(成本费用登记表!$E$4:$E$303,127))</f>
        <v/>
      </c>
      <c r="E2490" s="67" t="str">
        <f aca="false">IF(INDEX(成本费用登记表!$Q$4:$Y$303,127,7)=0,"",INDEX(成本费用登记表!$Q$4:$Y$303,127,7))</f>
        <v/>
      </c>
      <c r="F2490" s="99" t="str">
        <f aca="false">IF($E2490="","",IFERROR(INDEX(科目表!$A$4:$A$81,MATCH($E2490,科目表!$B$4:$B$81,0)),""))</f>
        <v/>
      </c>
      <c r="G2490" s="67" t="str">
        <f aca="false">IF($E2490="","",IFERROR(INDEX(科目表!$E$4:$E$81,MATCH($E2490,科目表!$B$4:$B$81,0)),""))</f>
        <v/>
      </c>
      <c r="H2490" s="70" t="str">
        <f aca="false">IF($E2490="","",N(INDEX(成本费用登记表!$Q$4:$Y$303,127,8)))</f>
        <v/>
      </c>
      <c r="I2490" s="70" t="str">
        <f aca="false">IF($E2490="","",N(INDEX(成本费用登记表!$Q$4:$Y$303,127,9)))</f>
        <v/>
      </c>
      <c r="J2490" s="67" t="str">
        <f aca="false">IF($E2490="","",INDEX(成本费用登记表!$C$4:$C$303,127))</f>
        <v/>
      </c>
      <c r="K2490" s="67" t="str">
        <f aca="false">IF($E2490="","",INDEX(成本费用登记表!$D$4:$D$303,127))</f>
        <v/>
      </c>
      <c r="L2490" s="107" t="str">
        <f aca="false">IF($E2490="","",INDEX(成本费用登记表!$N$4:$N$303,127))</f>
        <v/>
      </c>
      <c r="M2490" s="107"/>
      <c r="N2490" s="67" t="str">
        <f aca="false">IF($E2490="","","系统")</f>
        <v/>
      </c>
      <c r="O2490" s="67" t="str">
        <f aca="false">IF($E2490="","","自动C")</f>
        <v/>
      </c>
      <c r="P2490" s="18"/>
    </row>
    <row r="2491" customFormat="false" ht="18" hidden="false" customHeight="true" outlineLevel="0" collapsed="false">
      <c r="A2491" s="107" t="str">
        <f aca="false">IF($E2491="","",ROW()-3)</f>
        <v/>
      </c>
      <c r="B2491" s="110" t="str">
        <f aca="false">IF($E2491="","",INDEX(成本费用登记表!$B$4:$B$303,128))</f>
        <v/>
      </c>
      <c r="C2491" s="67" t="str">
        <f aca="false">IF($E2491="","","记-"&amp;TEXT($B2491,"YYYYMM")&amp;"-费用")</f>
        <v/>
      </c>
      <c r="D2491" s="107" t="str">
        <f aca="false">IF($E2491="","",INDEX(成本费用登记表!$E$4:$E$303,128))</f>
        <v/>
      </c>
      <c r="E2491" s="67" t="str">
        <f aca="false">IF(INDEX(成本费用登记表!$Q$4:$Y$303,128,1)=0,"",INDEX(成本费用登记表!$Q$4:$Y$303,128,1))</f>
        <v/>
      </c>
      <c r="F2491" s="99" t="str">
        <f aca="false">IF($E2491="","",IFERROR(INDEX(科目表!$A$4:$A$81,MATCH($E2491,科目表!$B$4:$B$81,0)),""))</f>
        <v/>
      </c>
      <c r="G2491" s="67" t="str">
        <f aca="false">IF($E2491="","",IFERROR(INDEX(科目表!$E$4:$E$81,MATCH($E2491,科目表!$B$4:$B$81,0)),""))</f>
        <v/>
      </c>
      <c r="H2491" s="70" t="str">
        <f aca="false">IF($E2491="","",N(INDEX(成本费用登记表!$Q$4:$Y$303,128,2)))</f>
        <v/>
      </c>
      <c r="I2491" s="70" t="str">
        <f aca="false">IF($E2491="","",N(INDEX(成本费用登记表!$Q$4:$Y$303,128,3)))</f>
        <v/>
      </c>
      <c r="J2491" s="67" t="str">
        <f aca="false">IF($E2491="","",INDEX(成本费用登记表!$C$4:$C$303,128))</f>
        <v/>
      </c>
      <c r="K2491" s="67" t="str">
        <f aca="false">IF($E2491="","",INDEX(成本费用登记表!$D$4:$D$303,128))</f>
        <v/>
      </c>
      <c r="L2491" s="107" t="str">
        <f aca="false">IF($E2491="","",INDEX(成本费用登记表!$N$4:$N$303,128))</f>
        <v/>
      </c>
      <c r="M2491" s="107"/>
      <c r="N2491" s="67" t="str">
        <f aca="false">IF($E2491="","","系统")</f>
        <v/>
      </c>
      <c r="O2491" s="67" t="str">
        <f aca="false">IF($E2491="","","自动C")</f>
        <v/>
      </c>
      <c r="P2491" s="18"/>
    </row>
    <row r="2492" customFormat="false" ht="18" hidden="false" customHeight="true" outlineLevel="0" collapsed="false">
      <c r="A2492" s="107" t="str">
        <f aca="false">IF($E2492="","",ROW()-3)</f>
        <v/>
      </c>
      <c r="B2492" s="110" t="str">
        <f aca="false">IF($E2492="","",INDEX(成本费用登记表!$B$4:$B$303,128))</f>
        <v/>
      </c>
      <c r="C2492" s="67" t="str">
        <f aca="false">IF($E2492="","","记-"&amp;TEXT($B2492,"YYYYMM")&amp;"-费用")</f>
        <v/>
      </c>
      <c r="D2492" s="107" t="str">
        <f aca="false">IF($E2492="","",INDEX(成本费用登记表!$E$4:$E$303,128))</f>
        <v/>
      </c>
      <c r="E2492" s="67" t="str">
        <f aca="false">IF(INDEX(成本费用登记表!$Q$4:$Y$303,128,4)=0,"",INDEX(成本费用登记表!$Q$4:$Y$303,128,4))</f>
        <v/>
      </c>
      <c r="F2492" s="99" t="str">
        <f aca="false">IF($E2492="","",IFERROR(INDEX(科目表!$A$4:$A$81,MATCH($E2492,科目表!$B$4:$B$81,0)),""))</f>
        <v/>
      </c>
      <c r="G2492" s="67" t="str">
        <f aca="false">IF($E2492="","",IFERROR(INDEX(科目表!$E$4:$E$81,MATCH($E2492,科目表!$B$4:$B$81,0)),""))</f>
        <v/>
      </c>
      <c r="H2492" s="70" t="str">
        <f aca="false">IF($E2492="","",N(INDEX(成本费用登记表!$Q$4:$Y$303,128,5)))</f>
        <v/>
      </c>
      <c r="I2492" s="70" t="str">
        <f aca="false">IF($E2492="","",N(INDEX(成本费用登记表!$Q$4:$Y$303,128,6)))</f>
        <v/>
      </c>
      <c r="J2492" s="67" t="str">
        <f aca="false">IF($E2492="","",INDEX(成本费用登记表!$C$4:$C$303,128))</f>
        <v/>
      </c>
      <c r="K2492" s="67" t="str">
        <f aca="false">IF($E2492="","",INDEX(成本费用登记表!$D$4:$D$303,128))</f>
        <v/>
      </c>
      <c r="L2492" s="107" t="str">
        <f aca="false">IF($E2492="","",INDEX(成本费用登记表!$N$4:$N$303,128))</f>
        <v/>
      </c>
      <c r="M2492" s="107"/>
      <c r="N2492" s="67" t="str">
        <f aca="false">IF($E2492="","","系统")</f>
        <v/>
      </c>
      <c r="O2492" s="67" t="str">
        <f aca="false">IF($E2492="","","自动C")</f>
        <v/>
      </c>
      <c r="P2492" s="18"/>
    </row>
    <row r="2493" customFormat="false" ht="18" hidden="false" customHeight="true" outlineLevel="0" collapsed="false">
      <c r="A2493" s="107" t="str">
        <f aca="false">IF($E2493="","",ROW()-3)</f>
        <v/>
      </c>
      <c r="B2493" s="110" t="str">
        <f aca="false">IF($E2493="","",INDEX(成本费用登记表!$B$4:$B$303,128))</f>
        <v/>
      </c>
      <c r="C2493" s="67" t="str">
        <f aca="false">IF($E2493="","","记-"&amp;TEXT($B2493,"YYYYMM")&amp;"-费用")</f>
        <v/>
      </c>
      <c r="D2493" s="107" t="str">
        <f aca="false">IF($E2493="","",INDEX(成本费用登记表!$E$4:$E$303,128))</f>
        <v/>
      </c>
      <c r="E2493" s="67" t="str">
        <f aca="false">IF(INDEX(成本费用登记表!$Q$4:$Y$303,128,7)=0,"",INDEX(成本费用登记表!$Q$4:$Y$303,128,7))</f>
        <v/>
      </c>
      <c r="F2493" s="99" t="str">
        <f aca="false">IF($E2493="","",IFERROR(INDEX(科目表!$A$4:$A$81,MATCH($E2493,科目表!$B$4:$B$81,0)),""))</f>
        <v/>
      </c>
      <c r="G2493" s="67" t="str">
        <f aca="false">IF($E2493="","",IFERROR(INDEX(科目表!$E$4:$E$81,MATCH($E2493,科目表!$B$4:$B$81,0)),""))</f>
        <v/>
      </c>
      <c r="H2493" s="70" t="str">
        <f aca="false">IF($E2493="","",N(INDEX(成本费用登记表!$Q$4:$Y$303,128,8)))</f>
        <v/>
      </c>
      <c r="I2493" s="70" t="str">
        <f aca="false">IF($E2493="","",N(INDEX(成本费用登记表!$Q$4:$Y$303,128,9)))</f>
        <v/>
      </c>
      <c r="J2493" s="67" t="str">
        <f aca="false">IF($E2493="","",INDEX(成本费用登记表!$C$4:$C$303,128))</f>
        <v/>
      </c>
      <c r="K2493" s="67" t="str">
        <f aca="false">IF($E2493="","",INDEX(成本费用登记表!$D$4:$D$303,128))</f>
        <v/>
      </c>
      <c r="L2493" s="107" t="str">
        <f aca="false">IF($E2493="","",INDEX(成本费用登记表!$N$4:$N$303,128))</f>
        <v/>
      </c>
      <c r="M2493" s="107"/>
      <c r="N2493" s="67" t="str">
        <f aca="false">IF($E2493="","","系统")</f>
        <v/>
      </c>
      <c r="O2493" s="67" t="str">
        <f aca="false">IF($E2493="","","自动C")</f>
        <v/>
      </c>
      <c r="P2493" s="18"/>
    </row>
    <row r="2494" customFormat="false" ht="18" hidden="false" customHeight="true" outlineLevel="0" collapsed="false">
      <c r="A2494" s="107" t="str">
        <f aca="false">IF($E2494="","",ROW()-3)</f>
        <v/>
      </c>
      <c r="B2494" s="110" t="str">
        <f aca="false">IF($E2494="","",INDEX(成本费用登记表!$B$4:$B$303,129))</f>
        <v/>
      </c>
      <c r="C2494" s="67" t="str">
        <f aca="false">IF($E2494="","","记-"&amp;TEXT($B2494,"YYYYMM")&amp;"-费用")</f>
        <v/>
      </c>
      <c r="D2494" s="107" t="str">
        <f aca="false">IF($E2494="","",INDEX(成本费用登记表!$E$4:$E$303,129))</f>
        <v/>
      </c>
      <c r="E2494" s="67" t="str">
        <f aca="false">IF(INDEX(成本费用登记表!$Q$4:$Y$303,129,1)=0,"",INDEX(成本费用登记表!$Q$4:$Y$303,129,1))</f>
        <v/>
      </c>
      <c r="F2494" s="99" t="str">
        <f aca="false">IF($E2494="","",IFERROR(INDEX(科目表!$A$4:$A$81,MATCH($E2494,科目表!$B$4:$B$81,0)),""))</f>
        <v/>
      </c>
      <c r="G2494" s="67" t="str">
        <f aca="false">IF($E2494="","",IFERROR(INDEX(科目表!$E$4:$E$81,MATCH($E2494,科目表!$B$4:$B$81,0)),""))</f>
        <v/>
      </c>
      <c r="H2494" s="70" t="str">
        <f aca="false">IF($E2494="","",N(INDEX(成本费用登记表!$Q$4:$Y$303,129,2)))</f>
        <v/>
      </c>
      <c r="I2494" s="70" t="str">
        <f aca="false">IF($E2494="","",N(INDEX(成本费用登记表!$Q$4:$Y$303,129,3)))</f>
        <v/>
      </c>
      <c r="J2494" s="67" t="str">
        <f aca="false">IF($E2494="","",INDEX(成本费用登记表!$C$4:$C$303,129))</f>
        <v/>
      </c>
      <c r="K2494" s="67" t="str">
        <f aca="false">IF($E2494="","",INDEX(成本费用登记表!$D$4:$D$303,129))</f>
        <v/>
      </c>
      <c r="L2494" s="107" t="str">
        <f aca="false">IF($E2494="","",INDEX(成本费用登记表!$N$4:$N$303,129))</f>
        <v/>
      </c>
      <c r="M2494" s="107"/>
      <c r="N2494" s="67" t="str">
        <f aca="false">IF($E2494="","","系统")</f>
        <v/>
      </c>
      <c r="O2494" s="67" t="str">
        <f aca="false">IF($E2494="","","自动C")</f>
        <v/>
      </c>
      <c r="P2494" s="18"/>
    </row>
    <row r="2495" customFormat="false" ht="18" hidden="false" customHeight="true" outlineLevel="0" collapsed="false">
      <c r="A2495" s="107" t="str">
        <f aca="false">IF($E2495="","",ROW()-3)</f>
        <v/>
      </c>
      <c r="B2495" s="110" t="str">
        <f aca="false">IF($E2495="","",INDEX(成本费用登记表!$B$4:$B$303,129))</f>
        <v/>
      </c>
      <c r="C2495" s="67" t="str">
        <f aca="false">IF($E2495="","","记-"&amp;TEXT($B2495,"YYYYMM")&amp;"-费用")</f>
        <v/>
      </c>
      <c r="D2495" s="107" t="str">
        <f aca="false">IF($E2495="","",INDEX(成本费用登记表!$E$4:$E$303,129))</f>
        <v/>
      </c>
      <c r="E2495" s="67" t="str">
        <f aca="false">IF(INDEX(成本费用登记表!$Q$4:$Y$303,129,4)=0,"",INDEX(成本费用登记表!$Q$4:$Y$303,129,4))</f>
        <v/>
      </c>
      <c r="F2495" s="99" t="str">
        <f aca="false">IF($E2495="","",IFERROR(INDEX(科目表!$A$4:$A$81,MATCH($E2495,科目表!$B$4:$B$81,0)),""))</f>
        <v/>
      </c>
      <c r="G2495" s="67" t="str">
        <f aca="false">IF($E2495="","",IFERROR(INDEX(科目表!$E$4:$E$81,MATCH($E2495,科目表!$B$4:$B$81,0)),""))</f>
        <v/>
      </c>
      <c r="H2495" s="70" t="str">
        <f aca="false">IF($E2495="","",N(INDEX(成本费用登记表!$Q$4:$Y$303,129,5)))</f>
        <v/>
      </c>
      <c r="I2495" s="70" t="str">
        <f aca="false">IF($E2495="","",N(INDEX(成本费用登记表!$Q$4:$Y$303,129,6)))</f>
        <v/>
      </c>
      <c r="J2495" s="67" t="str">
        <f aca="false">IF($E2495="","",INDEX(成本费用登记表!$C$4:$C$303,129))</f>
        <v/>
      </c>
      <c r="K2495" s="67" t="str">
        <f aca="false">IF($E2495="","",INDEX(成本费用登记表!$D$4:$D$303,129))</f>
        <v/>
      </c>
      <c r="L2495" s="107" t="str">
        <f aca="false">IF($E2495="","",INDEX(成本费用登记表!$N$4:$N$303,129))</f>
        <v/>
      </c>
      <c r="M2495" s="107"/>
      <c r="N2495" s="67" t="str">
        <f aca="false">IF($E2495="","","系统")</f>
        <v/>
      </c>
      <c r="O2495" s="67" t="str">
        <f aca="false">IF($E2495="","","自动C")</f>
        <v/>
      </c>
      <c r="P2495" s="18"/>
    </row>
    <row r="2496" customFormat="false" ht="18" hidden="false" customHeight="true" outlineLevel="0" collapsed="false">
      <c r="A2496" s="107" t="str">
        <f aca="false">IF($E2496="","",ROW()-3)</f>
        <v/>
      </c>
      <c r="B2496" s="110" t="str">
        <f aca="false">IF($E2496="","",INDEX(成本费用登记表!$B$4:$B$303,129))</f>
        <v/>
      </c>
      <c r="C2496" s="67" t="str">
        <f aca="false">IF($E2496="","","记-"&amp;TEXT($B2496,"YYYYMM")&amp;"-费用")</f>
        <v/>
      </c>
      <c r="D2496" s="107" t="str">
        <f aca="false">IF($E2496="","",INDEX(成本费用登记表!$E$4:$E$303,129))</f>
        <v/>
      </c>
      <c r="E2496" s="67" t="str">
        <f aca="false">IF(INDEX(成本费用登记表!$Q$4:$Y$303,129,7)=0,"",INDEX(成本费用登记表!$Q$4:$Y$303,129,7))</f>
        <v/>
      </c>
      <c r="F2496" s="99" t="str">
        <f aca="false">IF($E2496="","",IFERROR(INDEX(科目表!$A$4:$A$81,MATCH($E2496,科目表!$B$4:$B$81,0)),""))</f>
        <v/>
      </c>
      <c r="G2496" s="67" t="str">
        <f aca="false">IF($E2496="","",IFERROR(INDEX(科目表!$E$4:$E$81,MATCH($E2496,科目表!$B$4:$B$81,0)),""))</f>
        <v/>
      </c>
      <c r="H2496" s="70" t="str">
        <f aca="false">IF($E2496="","",N(INDEX(成本费用登记表!$Q$4:$Y$303,129,8)))</f>
        <v/>
      </c>
      <c r="I2496" s="70" t="str">
        <f aca="false">IF($E2496="","",N(INDEX(成本费用登记表!$Q$4:$Y$303,129,9)))</f>
        <v/>
      </c>
      <c r="J2496" s="67" t="str">
        <f aca="false">IF($E2496="","",INDEX(成本费用登记表!$C$4:$C$303,129))</f>
        <v/>
      </c>
      <c r="K2496" s="67" t="str">
        <f aca="false">IF($E2496="","",INDEX(成本费用登记表!$D$4:$D$303,129))</f>
        <v/>
      </c>
      <c r="L2496" s="107" t="str">
        <f aca="false">IF($E2496="","",INDEX(成本费用登记表!$N$4:$N$303,129))</f>
        <v/>
      </c>
      <c r="M2496" s="107"/>
      <c r="N2496" s="67" t="str">
        <f aca="false">IF($E2496="","","系统")</f>
        <v/>
      </c>
      <c r="O2496" s="67" t="str">
        <f aca="false">IF($E2496="","","自动C")</f>
        <v/>
      </c>
      <c r="P2496" s="18"/>
    </row>
    <row r="2497" customFormat="false" ht="18" hidden="false" customHeight="true" outlineLevel="0" collapsed="false">
      <c r="A2497" s="107" t="str">
        <f aca="false">IF($E2497="","",ROW()-3)</f>
        <v/>
      </c>
      <c r="B2497" s="110" t="str">
        <f aca="false">IF($E2497="","",INDEX(成本费用登记表!$B$4:$B$303,130))</f>
        <v/>
      </c>
      <c r="C2497" s="67" t="str">
        <f aca="false">IF($E2497="","","记-"&amp;TEXT($B2497,"YYYYMM")&amp;"-费用")</f>
        <v/>
      </c>
      <c r="D2497" s="107" t="str">
        <f aca="false">IF($E2497="","",INDEX(成本费用登记表!$E$4:$E$303,130))</f>
        <v/>
      </c>
      <c r="E2497" s="67" t="str">
        <f aca="false">IF(INDEX(成本费用登记表!$Q$4:$Y$303,130,1)=0,"",INDEX(成本费用登记表!$Q$4:$Y$303,130,1))</f>
        <v/>
      </c>
      <c r="F2497" s="99" t="str">
        <f aca="false">IF($E2497="","",IFERROR(INDEX(科目表!$A$4:$A$81,MATCH($E2497,科目表!$B$4:$B$81,0)),""))</f>
        <v/>
      </c>
      <c r="G2497" s="67" t="str">
        <f aca="false">IF($E2497="","",IFERROR(INDEX(科目表!$E$4:$E$81,MATCH($E2497,科目表!$B$4:$B$81,0)),""))</f>
        <v/>
      </c>
      <c r="H2497" s="70" t="str">
        <f aca="false">IF($E2497="","",N(INDEX(成本费用登记表!$Q$4:$Y$303,130,2)))</f>
        <v/>
      </c>
      <c r="I2497" s="70" t="str">
        <f aca="false">IF($E2497="","",N(INDEX(成本费用登记表!$Q$4:$Y$303,130,3)))</f>
        <v/>
      </c>
      <c r="J2497" s="67" t="str">
        <f aca="false">IF($E2497="","",INDEX(成本费用登记表!$C$4:$C$303,130))</f>
        <v/>
      </c>
      <c r="K2497" s="67" t="str">
        <f aca="false">IF($E2497="","",INDEX(成本费用登记表!$D$4:$D$303,130))</f>
        <v/>
      </c>
      <c r="L2497" s="107" t="str">
        <f aca="false">IF($E2497="","",INDEX(成本费用登记表!$N$4:$N$303,130))</f>
        <v/>
      </c>
      <c r="M2497" s="107"/>
      <c r="N2497" s="67" t="str">
        <f aca="false">IF($E2497="","","系统")</f>
        <v/>
      </c>
      <c r="O2497" s="67" t="str">
        <f aca="false">IF($E2497="","","自动C")</f>
        <v/>
      </c>
      <c r="P2497" s="18"/>
    </row>
    <row r="2498" customFormat="false" ht="18" hidden="false" customHeight="true" outlineLevel="0" collapsed="false">
      <c r="A2498" s="107" t="str">
        <f aca="false">IF($E2498="","",ROW()-3)</f>
        <v/>
      </c>
      <c r="B2498" s="110" t="str">
        <f aca="false">IF($E2498="","",INDEX(成本费用登记表!$B$4:$B$303,130))</f>
        <v/>
      </c>
      <c r="C2498" s="67" t="str">
        <f aca="false">IF($E2498="","","记-"&amp;TEXT($B2498,"YYYYMM")&amp;"-费用")</f>
        <v/>
      </c>
      <c r="D2498" s="107" t="str">
        <f aca="false">IF($E2498="","",INDEX(成本费用登记表!$E$4:$E$303,130))</f>
        <v/>
      </c>
      <c r="E2498" s="67" t="str">
        <f aca="false">IF(INDEX(成本费用登记表!$Q$4:$Y$303,130,4)=0,"",INDEX(成本费用登记表!$Q$4:$Y$303,130,4))</f>
        <v/>
      </c>
      <c r="F2498" s="99" t="str">
        <f aca="false">IF($E2498="","",IFERROR(INDEX(科目表!$A$4:$A$81,MATCH($E2498,科目表!$B$4:$B$81,0)),""))</f>
        <v/>
      </c>
      <c r="G2498" s="67" t="str">
        <f aca="false">IF($E2498="","",IFERROR(INDEX(科目表!$E$4:$E$81,MATCH($E2498,科目表!$B$4:$B$81,0)),""))</f>
        <v/>
      </c>
      <c r="H2498" s="70" t="str">
        <f aca="false">IF($E2498="","",N(INDEX(成本费用登记表!$Q$4:$Y$303,130,5)))</f>
        <v/>
      </c>
      <c r="I2498" s="70" t="str">
        <f aca="false">IF($E2498="","",N(INDEX(成本费用登记表!$Q$4:$Y$303,130,6)))</f>
        <v/>
      </c>
      <c r="J2498" s="67" t="str">
        <f aca="false">IF($E2498="","",INDEX(成本费用登记表!$C$4:$C$303,130))</f>
        <v/>
      </c>
      <c r="K2498" s="67" t="str">
        <f aca="false">IF($E2498="","",INDEX(成本费用登记表!$D$4:$D$303,130))</f>
        <v/>
      </c>
      <c r="L2498" s="107" t="str">
        <f aca="false">IF($E2498="","",INDEX(成本费用登记表!$N$4:$N$303,130))</f>
        <v/>
      </c>
      <c r="M2498" s="107"/>
      <c r="N2498" s="67" t="str">
        <f aca="false">IF($E2498="","","系统")</f>
        <v/>
      </c>
      <c r="O2498" s="67" t="str">
        <f aca="false">IF($E2498="","","自动C")</f>
        <v/>
      </c>
      <c r="P2498" s="18"/>
    </row>
    <row r="2499" customFormat="false" ht="18" hidden="false" customHeight="true" outlineLevel="0" collapsed="false">
      <c r="A2499" s="107" t="str">
        <f aca="false">IF($E2499="","",ROW()-3)</f>
        <v/>
      </c>
      <c r="B2499" s="110" t="str">
        <f aca="false">IF($E2499="","",INDEX(成本费用登记表!$B$4:$B$303,130))</f>
        <v/>
      </c>
      <c r="C2499" s="67" t="str">
        <f aca="false">IF($E2499="","","记-"&amp;TEXT($B2499,"YYYYMM")&amp;"-费用")</f>
        <v/>
      </c>
      <c r="D2499" s="107" t="str">
        <f aca="false">IF($E2499="","",INDEX(成本费用登记表!$E$4:$E$303,130))</f>
        <v/>
      </c>
      <c r="E2499" s="67" t="str">
        <f aca="false">IF(INDEX(成本费用登记表!$Q$4:$Y$303,130,7)=0,"",INDEX(成本费用登记表!$Q$4:$Y$303,130,7))</f>
        <v/>
      </c>
      <c r="F2499" s="99" t="str">
        <f aca="false">IF($E2499="","",IFERROR(INDEX(科目表!$A$4:$A$81,MATCH($E2499,科目表!$B$4:$B$81,0)),""))</f>
        <v/>
      </c>
      <c r="G2499" s="67" t="str">
        <f aca="false">IF($E2499="","",IFERROR(INDEX(科目表!$E$4:$E$81,MATCH($E2499,科目表!$B$4:$B$81,0)),""))</f>
        <v/>
      </c>
      <c r="H2499" s="70" t="str">
        <f aca="false">IF($E2499="","",N(INDEX(成本费用登记表!$Q$4:$Y$303,130,8)))</f>
        <v/>
      </c>
      <c r="I2499" s="70" t="str">
        <f aca="false">IF($E2499="","",N(INDEX(成本费用登记表!$Q$4:$Y$303,130,9)))</f>
        <v/>
      </c>
      <c r="J2499" s="67" t="str">
        <f aca="false">IF($E2499="","",INDEX(成本费用登记表!$C$4:$C$303,130))</f>
        <v/>
      </c>
      <c r="K2499" s="67" t="str">
        <f aca="false">IF($E2499="","",INDEX(成本费用登记表!$D$4:$D$303,130))</f>
        <v/>
      </c>
      <c r="L2499" s="107" t="str">
        <f aca="false">IF($E2499="","",INDEX(成本费用登记表!$N$4:$N$303,130))</f>
        <v/>
      </c>
      <c r="M2499" s="107"/>
      <c r="N2499" s="67" t="str">
        <f aca="false">IF($E2499="","","系统")</f>
        <v/>
      </c>
      <c r="O2499" s="67" t="str">
        <f aca="false">IF($E2499="","","自动C")</f>
        <v/>
      </c>
      <c r="P2499" s="18"/>
    </row>
    <row r="2500" customFormat="false" ht="18" hidden="false" customHeight="true" outlineLevel="0" collapsed="false">
      <c r="A2500" s="107" t="str">
        <f aca="false">IF($E2500="","",ROW()-3)</f>
        <v/>
      </c>
      <c r="B2500" s="110" t="str">
        <f aca="false">IF($E2500="","",INDEX(成本费用登记表!$B$4:$B$303,131))</f>
        <v/>
      </c>
      <c r="C2500" s="67" t="str">
        <f aca="false">IF($E2500="","","记-"&amp;TEXT($B2500,"YYYYMM")&amp;"-费用")</f>
        <v/>
      </c>
      <c r="D2500" s="107" t="str">
        <f aca="false">IF($E2500="","",INDEX(成本费用登记表!$E$4:$E$303,131))</f>
        <v/>
      </c>
      <c r="E2500" s="67" t="str">
        <f aca="false">IF(INDEX(成本费用登记表!$Q$4:$Y$303,131,1)=0,"",INDEX(成本费用登记表!$Q$4:$Y$303,131,1))</f>
        <v/>
      </c>
      <c r="F2500" s="99" t="str">
        <f aca="false">IF($E2500="","",IFERROR(INDEX(科目表!$A$4:$A$81,MATCH($E2500,科目表!$B$4:$B$81,0)),""))</f>
        <v/>
      </c>
      <c r="G2500" s="67" t="str">
        <f aca="false">IF($E2500="","",IFERROR(INDEX(科目表!$E$4:$E$81,MATCH($E2500,科目表!$B$4:$B$81,0)),""))</f>
        <v/>
      </c>
      <c r="H2500" s="70" t="str">
        <f aca="false">IF($E2500="","",N(INDEX(成本费用登记表!$Q$4:$Y$303,131,2)))</f>
        <v/>
      </c>
      <c r="I2500" s="70" t="str">
        <f aca="false">IF($E2500="","",N(INDEX(成本费用登记表!$Q$4:$Y$303,131,3)))</f>
        <v/>
      </c>
      <c r="J2500" s="67" t="str">
        <f aca="false">IF($E2500="","",INDEX(成本费用登记表!$C$4:$C$303,131))</f>
        <v/>
      </c>
      <c r="K2500" s="67" t="str">
        <f aca="false">IF($E2500="","",INDEX(成本费用登记表!$D$4:$D$303,131))</f>
        <v/>
      </c>
      <c r="L2500" s="107" t="str">
        <f aca="false">IF($E2500="","",INDEX(成本费用登记表!$N$4:$N$303,131))</f>
        <v/>
      </c>
      <c r="M2500" s="107"/>
      <c r="N2500" s="67" t="str">
        <f aca="false">IF($E2500="","","系统")</f>
        <v/>
      </c>
      <c r="O2500" s="67" t="str">
        <f aca="false">IF($E2500="","","自动C")</f>
        <v/>
      </c>
      <c r="P2500" s="18"/>
    </row>
    <row r="2501" customFormat="false" ht="18" hidden="false" customHeight="true" outlineLevel="0" collapsed="false">
      <c r="A2501" s="107" t="str">
        <f aca="false">IF($E2501="","",ROW()-3)</f>
        <v/>
      </c>
      <c r="B2501" s="110" t="str">
        <f aca="false">IF($E2501="","",INDEX(成本费用登记表!$B$4:$B$303,131))</f>
        <v/>
      </c>
      <c r="C2501" s="67" t="str">
        <f aca="false">IF($E2501="","","记-"&amp;TEXT($B2501,"YYYYMM")&amp;"-费用")</f>
        <v/>
      </c>
      <c r="D2501" s="107" t="str">
        <f aca="false">IF($E2501="","",INDEX(成本费用登记表!$E$4:$E$303,131))</f>
        <v/>
      </c>
      <c r="E2501" s="67" t="str">
        <f aca="false">IF(INDEX(成本费用登记表!$Q$4:$Y$303,131,4)=0,"",INDEX(成本费用登记表!$Q$4:$Y$303,131,4))</f>
        <v/>
      </c>
      <c r="F2501" s="99" t="str">
        <f aca="false">IF($E2501="","",IFERROR(INDEX(科目表!$A$4:$A$81,MATCH($E2501,科目表!$B$4:$B$81,0)),""))</f>
        <v/>
      </c>
      <c r="G2501" s="67" t="str">
        <f aca="false">IF($E2501="","",IFERROR(INDEX(科目表!$E$4:$E$81,MATCH($E2501,科目表!$B$4:$B$81,0)),""))</f>
        <v/>
      </c>
      <c r="H2501" s="70" t="str">
        <f aca="false">IF($E2501="","",N(INDEX(成本费用登记表!$Q$4:$Y$303,131,5)))</f>
        <v/>
      </c>
      <c r="I2501" s="70" t="str">
        <f aca="false">IF($E2501="","",N(INDEX(成本费用登记表!$Q$4:$Y$303,131,6)))</f>
        <v/>
      </c>
      <c r="J2501" s="67" t="str">
        <f aca="false">IF($E2501="","",INDEX(成本费用登记表!$C$4:$C$303,131))</f>
        <v/>
      </c>
      <c r="K2501" s="67" t="str">
        <f aca="false">IF($E2501="","",INDEX(成本费用登记表!$D$4:$D$303,131))</f>
        <v/>
      </c>
      <c r="L2501" s="107" t="str">
        <f aca="false">IF($E2501="","",INDEX(成本费用登记表!$N$4:$N$303,131))</f>
        <v/>
      </c>
      <c r="M2501" s="107"/>
      <c r="N2501" s="67" t="str">
        <f aca="false">IF($E2501="","","系统")</f>
        <v/>
      </c>
      <c r="O2501" s="67" t="str">
        <f aca="false">IF($E2501="","","自动C")</f>
        <v/>
      </c>
      <c r="P2501" s="18"/>
    </row>
    <row r="2502" customFormat="false" ht="18" hidden="false" customHeight="true" outlineLevel="0" collapsed="false">
      <c r="A2502" s="107" t="str">
        <f aca="false">IF($E2502="","",ROW()-3)</f>
        <v/>
      </c>
      <c r="B2502" s="110" t="str">
        <f aca="false">IF($E2502="","",INDEX(成本费用登记表!$B$4:$B$303,131))</f>
        <v/>
      </c>
      <c r="C2502" s="67" t="str">
        <f aca="false">IF($E2502="","","记-"&amp;TEXT($B2502,"YYYYMM")&amp;"-费用")</f>
        <v/>
      </c>
      <c r="D2502" s="107" t="str">
        <f aca="false">IF($E2502="","",INDEX(成本费用登记表!$E$4:$E$303,131))</f>
        <v/>
      </c>
      <c r="E2502" s="67" t="str">
        <f aca="false">IF(INDEX(成本费用登记表!$Q$4:$Y$303,131,7)=0,"",INDEX(成本费用登记表!$Q$4:$Y$303,131,7))</f>
        <v/>
      </c>
      <c r="F2502" s="99" t="str">
        <f aca="false">IF($E2502="","",IFERROR(INDEX(科目表!$A$4:$A$81,MATCH($E2502,科目表!$B$4:$B$81,0)),""))</f>
        <v/>
      </c>
      <c r="G2502" s="67" t="str">
        <f aca="false">IF($E2502="","",IFERROR(INDEX(科目表!$E$4:$E$81,MATCH($E2502,科目表!$B$4:$B$81,0)),""))</f>
        <v/>
      </c>
      <c r="H2502" s="70" t="str">
        <f aca="false">IF($E2502="","",N(INDEX(成本费用登记表!$Q$4:$Y$303,131,8)))</f>
        <v/>
      </c>
      <c r="I2502" s="70" t="str">
        <f aca="false">IF($E2502="","",N(INDEX(成本费用登记表!$Q$4:$Y$303,131,9)))</f>
        <v/>
      </c>
      <c r="J2502" s="67" t="str">
        <f aca="false">IF($E2502="","",INDEX(成本费用登记表!$C$4:$C$303,131))</f>
        <v/>
      </c>
      <c r="K2502" s="67" t="str">
        <f aca="false">IF($E2502="","",INDEX(成本费用登记表!$D$4:$D$303,131))</f>
        <v/>
      </c>
      <c r="L2502" s="107" t="str">
        <f aca="false">IF($E2502="","",INDEX(成本费用登记表!$N$4:$N$303,131))</f>
        <v/>
      </c>
      <c r="M2502" s="107"/>
      <c r="N2502" s="67" t="str">
        <f aca="false">IF($E2502="","","系统")</f>
        <v/>
      </c>
      <c r="O2502" s="67" t="str">
        <f aca="false">IF($E2502="","","自动C")</f>
        <v/>
      </c>
      <c r="P2502" s="18"/>
    </row>
    <row r="2503" customFormat="false" ht="18" hidden="false" customHeight="true" outlineLevel="0" collapsed="false">
      <c r="A2503" s="107" t="str">
        <f aca="false">IF($E2503="","",ROW()-3)</f>
        <v/>
      </c>
      <c r="B2503" s="110" t="str">
        <f aca="false">IF($E2503="","",INDEX(成本费用登记表!$B$4:$B$303,132))</f>
        <v/>
      </c>
      <c r="C2503" s="67" t="str">
        <f aca="false">IF($E2503="","","记-"&amp;TEXT($B2503,"YYYYMM")&amp;"-费用")</f>
        <v/>
      </c>
      <c r="D2503" s="107" t="str">
        <f aca="false">IF($E2503="","",INDEX(成本费用登记表!$E$4:$E$303,132))</f>
        <v/>
      </c>
      <c r="E2503" s="67" t="str">
        <f aca="false">IF(INDEX(成本费用登记表!$Q$4:$Y$303,132,1)=0,"",INDEX(成本费用登记表!$Q$4:$Y$303,132,1))</f>
        <v/>
      </c>
      <c r="F2503" s="99" t="str">
        <f aca="false">IF($E2503="","",IFERROR(INDEX(科目表!$A$4:$A$81,MATCH($E2503,科目表!$B$4:$B$81,0)),""))</f>
        <v/>
      </c>
      <c r="G2503" s="67" t="str">
        <f aca="false">IF($E2503="","",IFERROR(INDEX(科目表!$E$4:$E$81,MATCH($E2503,科目表!$B$4:$B$81,0)),""))</f>
        <v/>
      </c>
      <c r="H2503" s="70" t="str">
        <f aca="false">IF($E2503="","",N(INDEX(成本费用登记表!$Q$4:$Y$303,132,2)))</f>
        <v/>
      </c>
      <c r="I2503" s="70" t="str">
        <f aca="false">IF($E2503="","",N(INDEX(成本费用登记表!$Q$4:$Y$303,132,3)))</f>
        <v/>
      </c>
      <c r="J2503" s="67" t="str">
        <f aca="false">IF($E2503="","",INDEX(成本费用登记表!$C$4:$C$303,132))</f>
        <v/>
      </c>
      <c r="K2503" s="67" t="str">
        <f aca="false">IF($E2503="","",INDEX(成本费用登记表!$D$4:$D$303,132))</f>
        <v/>
      </c>
      <c r="L2503" s="107" t="str">
        <f aca="false">IF($E2503="","",INDEX(成本费用登记表!$N$4:$N$303,132))</f>
        <v/>
      </c>
      <c r="M2503" s="107"/>
      <c r="N2503" s="67" t="str">
        <f aca="false">IF($E2503="","","系统")</f>
        <v/>
      </c>
      <c r="O2503" s="67" t="str">
        <f aca="false">IF($E2503="","","自动C")</f>
        <v/>
      </c>
      <c r="P2503" s="18"/>
    </row>
    <row r="2504" customFormat="false" ht="18" hidden="false" customHeight="true" outlineLevel="0" collapsed="false">
      <c r="A2504" s="107" t="str">
        <f aca="false">IF($E2504="","",ROW()-3)</f>
        <v/>
      </c>
      <c r="B2504" s="110" t="str">
        <f aca="false">IF($E2504="","",INDEX(成本费用登记表!$B$4:$B$303,132))</f>
        <v/>
      </c>
      <c r="C2504" s="67" t="str">
        <f aca="false">IF($E2504="","","记-"&amp;TEXT($B2504,"YYYYMM")&amp;"-费用")</f>
        <v/>
      </c>
      <c r="D2504" s="107" t="str">
        <f aca="false">IF($E2504="","",INDEX(成本费用登记表!$E$4:$E$303,132))</f>
        <v/>
      </c>
      <c r="E2504" s="67" t="str">
        <f aca="false">IF(INDEX(成本费用登记表!$Q$4:$Y$303,132,4)=0,"",INDEX(成本费用登记表!$Q$4:$Y$303,132,4))</f>
        <v/>
      </c>
      <c r="F2504" s="99" t="str">
        <f aca="false">IF($E2504="","",IFERROR(INDEX(科目表!$A$4:$A$81,MATCH($E2504,科目表!$B$4:$B$81,0)),""))</f>
        <v/>
      </c>
      <c r="G2504" s="67" t="str">
        <f aca="false">IF($E2504="","",IFERROR(INDEX(科目表!$E$4:$E$81,MATCH($E2504,科目表!$B$4:$B$81,0)),""))</f>
        <v/>
      </c>
      <c r="H2504" s="70" t="str">
        <f aca="false">IF($E2504="","",N(INDEX(成本费用登记表!$Q$4:$Y$303,132,5)))</f>
        <v/>
      </c>
      <c r="I2504" s="70" t="str">
        <f aca="false">IF($E2504="","",N(INDEX(成本费用登记表!$Q$4:$Y$303,132,6)))</f>
        <v/>
      </c>
      <c r="J2504" s="67" t="str">
        <f aca="false">IF($E2504="","",INDEX(成本费用登记表!$C$4:$C$303,132))</f>
        <v/>
      </c>
      <c r="K2504" s="67" t="str">
        <f aca="false">IF($E2504="","",INDEX(成本费用登记表!$D$4:$D$303,132))</f>
        <v/>
      </c>
      <c r="L2504" s="107" t="str">
        <f aca="false">IF($E2504="","",INDEX(成本费用登记表!$N$4:$N$303,132))</f>
        <v/>
      </c>
      <c r="M2504" s="107"/>
      <c r="N2504" s="67" t="str">
        <f aca="false">IF($E2504="","","系统")</f>
        <v/>
      </c>
      <c r="O2504" s="67" t="str">
        <f aca="false">IF($E2504="","","自动C")</f>
        <v/>
      </c>
      <c r="P2504" s="18"/>
    </row>
    <row r="2505" customFormat="false" ht="18" hidden="false" customHeight="true" outlineLevel="0" collapsed="false">
      <c r="A2505" s="107" t="str">
        <f aca="false">IF($E2505="","",ROW()-3)</f>
        <v/>
      </c>
      <c r="B2505" s="110" t="str">
        <f aca="false">IF($E2505="","",INDEX(成本费用登记表!$B$4:$B$303,132))</f>
        <v/>
      </c>
      <c r="C2505" s="67" t="str">
        <f aca="false">IF($E2505="","","记-"&amp;TEXT($B2505,"YYYYMM")&amp;"-费用")</f>
        <v/>
      </c>
      <c r="D2505" s="107" t="str">
        <f aca="false">IF($E2505="","",INDEX(成本费用登记表!$E$4:$E$303,132))</f>
        <v/>
      </c>
      <c r="E2505" s="67" t="str">
        <f aca="false">IF(INDEX(成本费用登记表!$Q$4:$Y$303,132,7)=0,"",INDEX(成本费用登记表!$Q$4:$Y$303,132,7))</f>
        <v/>
      </c>
      <c r="F2505" s="99" t="str">
        <f aca="false">IF($E2505="","",IFERROR(INDEX(科目表!$A$4:$A$81,MATCH($E2505,科目表!$B$4:$B$81,0)),""))</f>
        <v/>
      </c>
      <c r="G2505" s="67" t="str">
        <f aca="false">IF($E2505="","",IFERROR(INDEX(科目表!$E$4:$E$81,MATCH($E2505,科目表!$B$4:$B$81,0)),""))</f>
        <v/>
      </c>
      <c r="H2505" s="70" t="str">
        <f aca="false">IF($E2505="","",N(INDEX(成本费用登记表!$Q$4:$Y$303,132,8)))</f>
        <v/>
      </c>
      <c r="I2505" s="70" t="str">
        <f aca="false">IF($E2505="","",N(INDEX(成本费用登记表!$Q$4:$Y$303,132,9)))</f>
        <v/>
      </c>
      <c r="J2505" s="67" t="str">
        <f aca="false">IF($E2505="","",INDEX(成本费用登记表!$C$4:$C$303,132))</f>
        <v/>
      </c>
      <c r="K2505" s="67" t="str">
        <f aca="false">IF($E2505="","",INDEX(成本费用登记表!$D$4:$D$303,132))</f>
        <v/>
      </c>
      <c r="L2505" s="107" t="str">
        <f aca="false">IF($E2505="","",INDEX(成本费用登记表!$N$4:$N$303,132))</f>
        <v/>
      </c>
      <c r="M2505" s="107"/>
      <c r="N2505" s="67" t="str">
        <f aca="false">IF($E2505="","","系统")</f>
        <v/>
      </c>
      <c r="O2505" s="67" t="str">
        <f aca="false">IF($E2505="","","自动C")</f>
        <v/>
      </c>
      <c r="P2505" s="18"/>
    </row>
    <row r="2506" customFormat="false" ht="18" hidden="false" customHeight="true" outlineLevel="0" collapsed="false">
      <c r="A2506" s="107" t="str">
        <f aca="false">IF($E2506="","",ROW()-3)</f>
        <v/>
      </c>
      <c r="B2506" s="110" t="str">
        <f aca="false">IF($E2506="","",INDEX(成本费用登记表!$B$4:$B$303,133))</f>
        <v/>
      </c>
      <c r="C2506" s="67" t="str">
        <f aca="false">IF($E2506="","","记-"&amp;TEXT($B2506,"YYYYMM")&amp;"-费用")</f>
        <v/>
      </c>
      <c r="D2506" s="107" t="str">
        <f aca="false">IF($E2506="","",INDEX(成本费用登记表!$E$4:$E$303,133))</f>
        <v/>
      </c>
      <c r="E2506" s="67" t="str">
        <f aca="false">IF(INDEX(成本费用登记表!$Q$4:$Y$303,133,1)=0,"",INDEX(成本费用登记表!$Q$4:$Y$303,133,1))</f>
        <v/>
      </c>
      <c r="F2506" s="99" t="str">
        <f aca="false">IF($E2506="","",IFERROR(INDEX(科目表!$A$4:$A$81,MATCH($E2506,科目表!$B$4:$B$81,0)),""))</f>
        <v/>
      </c>
      <c r="G2506" s="67" t="str">
        <f aca="false">IF($E2506="","",IFERROR(INDEX(科目表!$E$4:$E$81,MATCH($E2506,科目表!$B$4:$B$81,0)),""))</f>
        <v/>
      </c>
      <c r="H2506" s="70" t="str">
        <f aca="false">IF($E2506="","",N(INDEX(成本费用登记表!$Q$4:$Y$303,133,2)))</f>
        <v/>
      </c>
      <c r="I2506" s="70" t="str">
        <f aca="false">IF($E2506="","",N(INDEX(成本费用登记表!$Q$4:$Y$303,133,3)))</f>
        <v/>
      </c>
      <c r="J2506" s="67" t="str">
        <f aca="false">IF($E2506="","",INDEX(成本费用登记表!$C$4:$C$303,133))</f>
        <v/>
      </c>
      <c r="K2506" s="67" t="str">
        <f aca="false">IF($E2506="","",INDEX(成本费用登记表!$D$4:$D$303,133))</f>
        <v/>
      </c>
      <c r="L2506" s="107" t="str">
        <f aca="false">IF($E2506="","",INDEX(成本费用登记表!$N$4:$N$303,133))</f>
        <v/>
      </c>
      <c r="M2506" s="107"/>
      <c r="N2506" s="67" t="str">
        <f aca="false">IF($E2506="","","系统")</f>
        <v/>
      </c>
      <c r="O2506" s="67" t="str">
        <f aca="false">IF($E2506="","","自动C")</f>
        <v/>
      </c>
      <c r="P2506" s="18"/>
    </row>
    <row r="2507" customFormat="false" ht="18" hidden="false" customHeight="true" outlineLevel="0" collapsed="false">
      <c r="A2507" s="107" t="str">
        <f aca="false">IF($E2507="","",ROW()-3)</f>
        <v/>
      </c>
      <c r="B2507" s="110" t="str">
        <f aca="false">IF($E2507="","",INDEX(成本费用登记表!$B$4:$B$303,133))</f>
        <v/>
      </c>
      <c r="C2507" s="67" t="str">
        <f aca="false">IF($E2507="","","记-"&amp;TEXT($B2507,"YYYYMM")&amp;"-费用")</f>
        <v/>
      </c>
      <c r="D2507" s="107" t="str">
        <f aca="false">IF($E2507="","",INDEX(成本费用登记表!$E$4:$E$303,133))</f>
        <v/>
      </c>
      <c r="E2507" s="67" t="str">
        <f aca="false">IF(INDEX(成本费用登记表!$Q$4:$Y$303,133,4)=0,"",INDEX(成本费用登记表!$Q$4:$Y$303,133,4))</f>
        <v/>
      </c>
      <c r="F2507" s="99" t="str">
        <f aca="false">IF($E2507="","",IFERROR(INDEX(科目表!$A$4:$A$81,MATCH($E2507,科目表!$B$4:$B$81,0)),""))</f>
        <v/>
      </c>
      <c r="G2507" s="67" t="str">
        <f aca="false">IF($E2507="","",IFERROR(INDEX(科目表!$E$4:$E$81,MATCH($E2507,科目表!$B$4:$B$81,0)),""))</f>
        <v/>
      </c>
      <c r="H2507" s="70" t="str">
        <f aca="false">IF($E2507="","",N(INDEX(成本费用登记表!$Q$4:$Y$303,133,5)))</f>
        <v/>
      </c>
      <c r="I2507" s="70" t="str">
        <f aca="false">IF($E2507="","",N(INDEX(成本费用登记表!$Q$4:$Y$303,133,6)))</f>
        <v/>
      </c>
      <c r="J2507" s="67" t="str">
        <f aca="false">IF($E2507="","",INDEX(成本费用登记表!$C$4:$C$303,133))</f>
        <v/>
      </c>
      <c r="K2507" s="67" t="str">
        <f aca="false">IF($E2507="","",INDEX(成本费用登记表!$D$4:$D$303,133))</f>
        <v/>
      </c>
      <c r="L2507" s="107" t="str">
        <f aca="false">IF($E2507="","",INDEX(成本费用登记表!$N$4:$N$303,133))</f>
        <v/>
      </c>
      <c r="M2507" s="107"/>
      <c r="N2507" s="67" t="str">
        <f aca="false">IF($E2507="","","系统")</f>
        <v/>
      </c>
      <c r="O2507" s="67" t="str">
        <f aca="false">IF($E2507="","","自动C")</f>
        <v/>
      </c>
      <c r="P2507" s="18"/>
    </row>
    <row r="2508" customFormat="false" ht="18" hidden="false" customHeight="true" outlineLevel="0" collapsed="false">
      <c r="A2508" s="107" t="str">
        <f aca="false">IF($E2508="","",ROW()-3)</f>
        <v/>
      </c>
      <c r="B2508" s="110" t="str">
        <f aca="false">IF($E2508="","",INDEX(成本费用登记表!$B$4:$B$303,133))</f>
        <v/>
      </c>
      <c r="C2508" s="67" t="str">
        <f aca="false">IF($E2508="","","记-"&amp;TEXT($B2508,"YYYYMM")&amp;"-费用")</f>
        <v/>
      </c>
      <c r="D2508" s="107" t="str">
        <f aca="false">IF($E2508="","",INDEX(成本费用登记表!$E$4:$E$303,133))</f>
        <v/>
      </c>
      <c r="E2508" s="67" t="str">
        <f aca="false">IF(INDEX(成本费用登记表!$Q$4:$Y$303,133,7)=0,"",INDEX(成本费用登记表!$Q$4:$Y$303,133,7))</f>
        <v/>
      </c>
      <c r="F2508" s="99" t="str">
        <f aca="false">IF($E2508="","",IFERROR(INDEX(科目表!$A$4:$A$81,MATCH($E2508,科目表!$B$4:$B$81,0)),""))</f>
        <v/>
      </c>
      <c r="G2508" s="67" t="str">
        <f aca="false">IF($E2508="","",IFERROR(INDEX(科目表!$E$4:$E$81,MATCH($E2508,科目表!$B$4:$B$81,0)),""))</f>
        <v/>
      </c>
      <c r="H2508" s="70" t="str">
        <f aca="false">IF($E2508="","",N(INDEX(成本费用登记表!$Q$4:$Y$303,133,8)))</f>
        <v/>
      </c>
      <c r="I2508" s="70" t="str">
        <f aca="false">IF($E2508="","",N(INDEX(成本费用登记表!$Q$4:$Y$303,133,9)))</f>
        <v/>
      </c>
      <c r="J2508" s="67" t="str">
        <f aca="false">IF($E2508="","",INDEX(成本费用登记表!$C$4:$C$303,133))</f>
        <v/>
      </c>
      <c r="K2508" s="67" t="str">
        <f aca="false">IF($E2508="","",INDEX(成本费用登记表!$D$4:$D$303,133))</f>
        <v/>
      </c>
      <c r="L2508" s="107" t="str">
        <f aca="false">IF($E2508="","",INDEX(成本费用登记表!$N$4:$N$303,133))</f>
        <v/>
      </c>
      <c r="M2508" s="107"/>
      <c r="N2508" s="67" t="str">
        <f aca="false">IF($E2508="","","系统")</f>
        <v/>
      </c>
      <c r="O2508" s="67" t="str">
        <f aca="false">IF($E2508="","","自动C")</f>
        <v/>
      </c>
      <c r="P2508" s="18"/>
    </row>
    <row r="2509" customFormat="false" ht="18" hidden="false" customHeight="true" outlineLevel="0" collapsed="false">
      <c r="A2509" s="107" t="str">
        <f aca="false">IF($E2509="","",ROW()-3)</f>
        <v/>
      </c>
      <c r="B2509" s="110" t="str">
        <f aca="false">IF($E2509="","",INDEX(成本费用登记表!$B$4:$B$303,134))</f>
        <v/>
      </c>
      <c r="C2509" s="67" t="str">
        <f aca="false">IF($E2509="","","记-"&amp;TEXT($B2509,"YYYYMM")&amp;"-费用")</f>
        <v/>
      </c>
      <c r="D2509" s="107" t="str">
        <f aca="false">IF($E2509="","",INDEX(成本费用登记表!$E$4:$E$303,134))</f>
        <v/>
      </c>
      <c r="E2509" s="67" t="str">
        <f aca="false">IF(INDEX(成本费用登记表!$Q$4:$Y$303,134,1)=0,"",INDEX(成本费用登记表!$Q$4:$Y$303,134,1))</f>
        <v/>
      </c>
      <c r="F2509" s="99" t="str">
        <f aca="false">IF($E2509="","",IFERROR(INDEX(科目表!$A$4:$A$81,MATCH($E2509,科目表!$B$4:$B$81,0)),""))</f>
        <v/>
      </c>
      <c r="G2509" s="67" t="str">
        <f aca="false">IF($E2509="","",IFERROR(INDEX(科目表!$E$4:$E$81,MATCH($E2509,科目表!$B$4:$B$81,0)),""))</f>
        <v/>
      </c>
      <c r="H2509" s="70" t="str">
        <f aca="false">IF($E2509="","",N(INDEX(成本费用登记表!$Q$4:$Y$303,134,2)))</f>
        <v/>
      </c>
      <c r="I2509" s="70" t="str">
        <f aca="false">IF($E2509="","",N(INDEX(成本费用登记表!$Q$4:$Y$303,134,3)))</f>
        <v/>
      </c>
      <c r="J2509" s="67" t="str">
        <f aca="false">IF($E2509="","",INDEX(成本费用登记表!$C$4:$C$303,134))</f>
        <v/>
      </c>
      <c r="K2509" s="67" t="str">
        <f aca="false">IF($E2509="","",INDEX(成本费用登记表!$D$4:$D$303,134))</f>
        <v/>
      </c>
      <c r="L2509" s="107" t="str">
        <f aca="false">IF($E2509="","",INDEX(成本费用登记表!$N$4:$N$303,134))</f>
        <v/>
      </c>
      <c r="M2509" s="107"/>
      <c r="N2509" s="67" t="str">
        <f aca="false">IF($E2509="","","系统")</f>
        <v/>
      </c>
      <c r="O2509" s="67" t="str">
        <f aca="false">IF($E2509="","","自动C")</f>
        <v/>
      </c>
      <c r="P2509" s="18"/>
    </row>
    <row r="2510" customFormat="false" ht="18" hidden="false" customHeight="true" outlineLevel="0" collapsed="false">
      <c r="A2510" s="107" t="str">
        <f aca="false">IF($E2510="","",ROW()-3)</f>
        <v/>
      </c>
      <c r="B2510" s="110" t="str">
        <f aca="false">IF($E2510="","",INDEX(成本费用登记表!$B$4:$B$303,134))</f>
        <v/>
      </c>
      <c r="C2510" s="67" t="str">
        <f aca="false">IF($E2510="","","记-"&amp;TEXT($B2510,"YYYYMM")&amp;"-费用")</f>
        <v/>
      </c>
      <c r="D2510" s="107" t="str">
        <f aca="false">IF($E2510="","",INDEX(成本费用登记表!$E$4:$E$303,134))</f>
        <v/>
      </c>
      <c r="E2510" s="67" t="str">
        <f aca="false">IF(INDEX(成本费用登记表!$Q$4:$Y$303,134,4)=0,"",INDEX(成本费用登记表!$Q$4:$Y$303,134,4))</f>
        <v/>
      </c>
      <c r="F2510" s="99" t="str">
        <f aca="false">IF($E2510="","",IFERROR(INDEX(科目表!$A$4:$A$81,MATCH($E2510,科目表!$B$4:$B$81,0)),""))</f>
        <v/>
      </c>
      <c r="G2510" s="67" t="str">
        <f aca="false">IF($E2510="","",IFERROR(INDEX(科目表!$E$4:$E$81,MATCH($E2510,科目表!$B$4:$B$81,0)),""))</f>
        <v/>
      </c>
      <c r="H2510" s="70" t="str">
        <f aca="false">IF($E2510="","",N(INDEX(成本费用登记表!$Q$4:$Y$303,134,5)))</f>
        <v/>
      </c>
      <c r="I2510" s="70" t="str">
        <f aca="false">IF($E2510="","",N(INDEX(成本费用登记表!$Q$4:$Y$303,134,6)))</f>
        <v/>
      </c>
      <c r="J2510" s="67" t="str">
        <f aca="false">IF($E2510="","",INDEX(成本费用登记表!$C$4:$C$303,134))</f>
        <v/>
      </c>
      <c r="K2510" s="67" t="str">
        <f aca="false">IF($E2510="","",INDEX(成本费用登记表!$D$4:$D$303,134))</f>
        <v/>
      </c>
      <c r="L2510" s="107" t="str">
        <f aca="false">IF($E2510="","",INDEX(成本费用登记表!$N$4:$N$303,134))</f>
        <v/>
      </c>
      <c r="M2510" s="107"/>
      <c r="N2510" s="67" t="str">
        <f aca="false">IF($E2510="","","系统")</f>
        <v/>
      </c>
      <c r="O2510" s="67" t="str">
        <f aca="false">IF($E2510="","","自动C")</f>
        <v/>
      </c>
      <c r="P2510" s="18"/>
    </row>
    <row r="2511" customFormat="false" ht="18" hidden="false" customHeight="true" outlineLevel="0" collapsed="false">
      <c r="A2511" s="107" t="str">
        <f aca="false">IF($E2511="","",ROW()-3)</f>
        <v/>
      </c>
      <c r="B2511" s="110" t="str">
        <f aca="false">IF($E2511="","",INDEX(成本费用登记表!$B$4:$B$303,134))</f>
        <v/>
      </c>
      <c r="C2511" s="67" t="str">
        <f aca="false">IF($E2511="","","记-"&amp;TEXT($B2511,"YYYYMM")&amp;"-费用")</f>
        <v/>
      </c>
      <c r="D2511" s="107" t="str">
        <f aca="false">IF($E2511="","",INDEX(成本费用登记表!$E$4:$E$303,134))</f>
        <v/>
      </c>
      <c r="E2511" s="67" t="str">
        <f aca="false">IF(INDEX(成本费用登记表!$Q$4:$Y$303,134,7)=0,"",INDEX(成本费用登记表!$Q$4:$Y$303,134,7))</f>
        <v/>
      </c>
      <c r="F2511" s="99" t="str">
        <f aca="false">IF($E2511="","",IFERROR(INDEX(科目表!$A$4:$A$81,MATCH($E2511,科目表!$B$4:$B$81,0)),""))</f>
        <v/>
      </c>
      <c r="G2511" s="67" t="str">
        <f aca="false">IF($E2511="","",IFERROR(INDEX(科目表!$E$4:$E$81,MATCH($E2511,科目表!$B$4:$B$81,0)),""))</f>
        <v/>
      </c>
      <c r="H2511" s="70" t="str">
        <f aca="false">IF($E2511="","",N(INDEX(成本费用登记表!$Q$4:$Y$303,134,8)))</f>
        <v/>
      </c>
      <c r="I2511" s="70" t="str">
        <f aca="false">IF($E2511="","",N(INDEX(成本费用登记表!$Q$4:$Y$303,134,9)))</f>
        <v/>
      </c>
      <c r="J2511" s="67" t="str">
        <f aca="false">IF($E2511="","",INDEX(成本费用登记表!$C$4:$C$303,134))</f>
        <v/>
      </c>
      <c r="K2511" s="67" t="str">
        <f aca="false">IF($E2511="","",INDEX(成本费用登记表!$D$4:$D$303,134))</f>
        <v/>
      </c>
      <c r="L2511" s="107" t="str">
        <f aca="false">IF($E2511="","",INDEX(成本费用登记表!$N$4:$N$303,134))</f>
        <v/>
      </c>
      <c r="M2511" s="107"/>
      <c r="N2511" s="67" t="str">
        <f aca="false">IF($E2511="","","系统")</f>
        <v/>
      </c>
      <c r="O2511" s="67" t="str">
        <f aca="false">IF($E2511="","","自动C")</f>
        <v/>
      </c>
      <c r="P2511" s="18"/>
    </row>
    <row r="2512" customFormat="false" ht="18" hidden="false" customHeight="true" outlineLevel="0" collapsed="false">
      <c r="A2512" s="107" t="str">
        <f aca="false">IF($E2512="","",ROW()-3)</f>
        <v/>
      </c>
      <c r="B2512" s="110" t="str">
        <f aca="false">IF($E2512="","",INDEX(成本费用登记表!$B$4:$B$303,135))</f>
        <v/>
      </c>
      <c r="C2512" s="67" t="str">
        <f aca="false">IF($E2512="","","记-"&amp;TEXT($B2512,"YYYYMM")&amp;"-费用")</f>
        <v/>
      </c>
      <c r="D2512" s="107" t="str">
        <f aca="false">IF($E2512="","",INDEX(成本费用登记表!$E$4:$E$303,135))</f>
        <v/>
      </c>
      <c r="E2512" s="67" t="str">
        <f aca="false">IF(INDEX(成本费用登记表!$Q$4:$Y$303,135,1)=0,"",INDEX(成本费用登记表!$Q$4:$Y$303,135,1))</f>
        <v/>
      </c>
      <c r="F2512" s="99" t="str">
        <f aca="false">IF($E2512="","",IFERROR(INDEX(科目表!$A$4:$A$81,MATCH($E2512,科目表!$B$4:$B$81,0)),""))</f>
        <v/>
      </c>
      <c r="G2512" s="67" t="str">
        <f aca="false">IF($E2512="","",IFERROR(INDEX(科目表!$E$4:$E$81,MATCH($E2512,科目表!$B$4:$B$81,0)),""))</f>
        <v/>
      </c>
      <c r="H2512" s="70" t="str">
        <f aca="false">IF($E2512="","",N(INDEX(成本费用登记表!$Q$4:$Y$303,135,2)))</f>
        <v/>
      </c>
      <c r="I2512" s="70" t="str">
        <f aca="false">IF($E2512="","",N(INDEX(成本费用登记表!$Q$4:$Y$303,135,3)))</f>
        <v/>
      </c>
      <c r="J2512" s="67" t="str">
        <f aca="false">IF($E2512="","",INDEX(成本费用登记表!$C$4:$C$303,135))</f>
        <v/>
      </c>
      <c r="K2512" s="67" t="str">
        <f aca="false">IF($E2512="","",INDEX(成本费用登记表!$D$4:$D$303,135))</f>
        <v/>
      </c>
      <c r="L2512" s="107" t="str">
        <f aca="false">IF($E2512="","",INDEX(成本费用登记表!$N$4:$N$303,135))</f>
        <v/>
      </c>
      <c r="M2512" s="107"/>
      <c r="N2512" s="67" t="str">
        <f aca="false">IF($E2512="","","系统")</f>
        <v/>
      </c>
      <c r="O2512" s="67" t="str">
        <f aca="false">IF($E2512="","","自动C")</f>
        <v/>
      </c>
      <c r="P2512" s="18"/>
    </row>
    <row r="2513" customFormat="false" ht="18" hidden="false" customHeight="true" outlineLevel="0" collapsed="false">
      <c r="A2513" s="107" t="str">
        <f aca="false">IF($E2513="","",ROW()-3)</f>
        <v/>
      </c>
      <c r="B2513" s="110" t="str">
        <f aca="false">IF($E2513="","",INDEX(成本费用登记表!$B$4:$B$303,135))</f>
        <v/>
      </c>
      <c r="C2513" s="67" t="str">
        <f aca="false">IF($E2513="","","记-"&amp;TEXT($B2513,"YYYYMM")&amp;"-费用")</f>
        <v/>
      </c>
      <c r="D2513" s="107" t="str">
        <f aca="false">IF($E2513="","",INDEX(成本费用登记表!$E$4:$E$303,135))</f>
        <v/>
      </c>
      <c r="E2513" s="67" t="str">
        <f aca="false">IF(INDEX(成本费用登记表!$Q$4:$Y$303,135,4)=0,"",INDEX(成本费用登记表!$Q$4:$Y$303,135,4))</f>
        <v/>
      </c>
      <c r="F2513" s="99" t="str">
        <f aca="false">IF($E2513="","",IFERROR(INDEX(科目表!$A$4:$A$81,MATCH($E2513,科目表!$B$4:$B$81,0)),""))</f>
        <v/>
      </c>
      <c r="G2513" s="67" t="str">
        <f aca="false">IF($E2513="","",IFERROR(INDEX(科目表!$E$4:$E$81,MATCH($E2513,科目表!$B$4:$B$81,0)),""))</f>
        <v/>
      </c>
      <c r="H2513" s="70" t="str">
        <f aca="false">IF($E2513="","",N(INDEX(成本费用登记表!$Q$4:$Y$303,135,5)))</f>
        <v/>
      </c>
      <c r="I2513" s="70" t="str">
        <f aca="false">IF($E2513="","",N(INDEX(成本费用登记表!$Q$4:$Y$303,135,6)))</f>
        <v/>
      </c>
      <c r="J2513" s="67" t="str">
        <f aca="false">IF($E2513="","",INDEX(成本费用登记表!$C$4:$C$303,135))</f>
        <v/>
      </c>
      <c r="K2513" s="67" t="str">
        <f aca="false">IF($E2513="","",INDEX(成本费用登记表!$D$4:$D$303,135))</f>
        <v/>
      </c>
      <c r="L2513" s="107" t="str">
        <f aca="false">IF($E2513="","",INDEX(成本费用登记表!$N$4:$N$303,135))</f>
        <v/>
      </c>
      <c r="M2513" s="107"/>
      <c r="N2513" s="67" t="str">
        <f aca="false">IF($E2513="","","系统")</f>
        <v/>
      </c>
      <c r="O2513" s="67" t="str">
        <f aca="false">IF($E2513="","","自动C")</f>
        <v/>
      </c>
      <c r="P2513" s="18"/>
    </row>
    <row r="2514" customFormat="false" ht="18" hidden="false" customHeight="true" outlineLevel="0" collapsed="false">
      <c r="A2514" s="107" t="str">
        <f aca="false">IF($E2514="","",ROW()-3)</f>
        <v/>
      </c>
      <c r="B2514" s="110" t="str">
        <f aca="false">IF($E2514="","",INDEX(成本费用登记表!$B$4:$B$303,135))</f>
        <v/>
      </c>
      <c r="C2514" s="67" t="str">
        <f aca="false">IF($E2514="","","记-"&amp;TEXT($B2514,"YYYYMM")&amp;"-费用")</f>
        <v/>
      </c>
      <c r="D2514" s="107" t="str">
        <f aca="false">IF($E2514="","",INDEX(成本费用登记表!$E$4:$E$303,135))</f>
        <v/>
      </c>
      <c r="E2514" s="67" t="str">
        <f aca="false">IF(INDEX(成本费用登记表!$Q$4:$Y$303,135,7)=0,"",INDEX(成本费用登记表!$Q$4:$Y$303,135,7))</f>
        <v/>
      </c>
      <c r="F2514" s="99" t="str">
        <f aca="false">IF($E2514="","",IFERROR(INDEX(科目表!$A$4:$A$81,MATCH($E2514,科目表!$B$4:$B$81,0)),""))</f>
        <v/>
      </c>
      <c r="G2514" s="67" t="str">
        <f aca="false">IF($E2514="","",IFERROR(INDEX(科目表!$E$4:$E$81,MATCH($E2514,科目表!$B$4:$B$81,0)),""))</f>
        <v/>
      </c>
      <c r="H2514" s="70" t="str">
        <f aca="false">IF($E2514="","",N(INDEX(成本费用登记表!$Q$4:$Y$303,135,8)))</f>
        <v/>
      </c>
      <c r="I2514" s="70" t="str">
        <f aca="false">IF($E2514="","",N(INDEX(成本费用登记表!$Q$4:$Y$303,135,9)))</f>
        <v/>
      </c>
      <c r="J2514" s="67" t="str">
        <f aca="false">IF($E2514="","",INDEX(成本费用登记表!$C$4:$C$303,135))</f>
        <v/>
      </c>
      <c r="K2514" s="67" t="str">
        <f aca="false">IF($E2514="","",INDEX(成本费用登记表!$D$4:$D$303,135))</f>
        <v/>
      </c>
      <c r="L2514" s="107" t="str">
        <f aca="false">IF($E2514="","",INDEX(成本费用登记表!$N$4:$N$303,135))</f>
        <v/>
      </c>
      <c r="M2514" s="107"/>
      <c r="N2514" s="67" t="str">
        <f aca="false">IF($E2514="","","系统")</f>
        <v/>
      </c>
      <c r="O2514" s="67" t="str">
        <f aca="false">IF($E2514="","","自动C")</f>
        <v/>
      </c>
      <c r="P2514" s="18"/>
    </row>
    <row r="2515" customFormat="false" ht="18" hidden="false" customHeight="true" outlineLevel="0" collapsed="false">
      <c r="A2515" s="107" t="str">
        <f aca="false">IF($E2515="","",ROW()-3)</f>
        <v/>
      </c>
      <c r="B2515" s="110" t="str">
        <f aca="false">IF($E2515="","",INDEX(成本费用登记表!$B$4:$B$303,136))</f>
        <v/>
      </c>
      <c r="C2515" s="67" t="str">
        <f aca="false">IF($E2515="","","记-"&amp;TEXT($B2515,"YYYYMM")&amp;"-费用")</f>
        <v/>
      </c>
      <c r="D2515" s="107" t="str">
        <f aca="false">IF($E2515="","",INDEX(成本费用登记表!$E$4:$E$303,136))</f>
        <v/>
      </c>
      <c r="E2515" s="67" t="str">
        <f aca="false">IF(INDEX(成本费用登记表!$Q$4:$Y$303,136,1)=0,"",INDEX(成本费用登记表!$Q$4:$Y$303,136,1))</f>
        <v/>
      </c>
      <c r="F2515" s="99" t="str">
        <f aca="false">IF($E2515="","",IFERROR(INDEX(科目表!$A$4:$A$81,MATCH($E2515,科目表!$B$4:$B$81,0)),""))</f>
        <v/>
      </c>
      <c r="G2515" s="67" t="str">
        <f aca="false">IF($E2515="","",IFERROR(INDEX(科目表!$E$4:$E$81,MATCH($E2515,科目表!$B$4:$B$81,0)),""))</f>
        <v/>
      </c>
      <c r="H2515" s="70" t="str">
        <f aca="false">IF($E2515="","",N(INDEX(成本费用登记表!$Q$4:$Y$303,136,2)))</f>
        <v/>
      </c>
      <c r="I2515" s="70" t="str">
        <f aca="false">IF($E2515="","",N(INDEX(成本费用登记表!$Q$4:$Y$303,136,3)))</f>
        <v/>
      </c>
      <c r="J2515" s="67" t="str">
        <f aca="false">IF($E2515="","",INDEX(成本费用登记表!$C$4:$C$303,136))</f>
        <v/>
      </c>
      <c r="K2515" s="67" t="str">
        <f aca="false">IF($E2515="","",INDEX(成本费用登记表!$D$4:$D$303,136))</f>
        <v/>
      </c>
      <c r="L2515" s="107" t="str">
        <f aca="false">IF($E2515="","",INDEX(成本费用登记表!$N$4:$N$303,136))</f>
        <v/>
      </c>
      <c r="M2515" s="107"/>
      <c r="N2515" s="67" t="str">
        <f aca="false">IF($E2515="","","系统")</f>
        <v/>
      </c>
      <c r="O2515" s="67" t="str">
        <f aca="false">IF($E2515="","","自动C")</f>
        <v/>
      </c>
      <c r="P2515" s="18"/>
    </row>
    <row r="2516" customFormat="false" ht="18" hidden="false" customHeight="true" outlineLevel="0" collapsed="false">
      <c r="A2516" s="107" t="str">
        <f aca="false">IF($E2516="","",ROW()-3)</f>
        <v/>
      </c>
      <c r="B2516" s="110" t="str">
        <f aca="false">IF($E2516="","",INDEX(成本费用登记表!$B$4:$B$303,136))</f>
        <v/>
      </c>
      <c r="C2516" s="67" t="str">
        <f aca="false">IF($E2516="","","记-"&amp;TEXT($B2516,"YYYYMM")&amp;"-费用")</f>
        <v/>
      </c>
      <c r="D2516" s="107" t="str">
        <f aca="false">IF($E2516="","",INDEX(成本费用登记表!$E$4:$E$303,136))</f>
        <v/>
      </c>
      <c r="E2516" s="67" t="str">
        <f aca="false">IF(INDEX(成本费用登记表!$Q$4:$Y$303,136,4)=0,"",INDEX(成本费用登记表!$Q$4:$Y$303,136,4))</f>
        <v/>
      </c>
      <c r="F2516" s="99" t="str">
        <f aca="false">IF($E2516="","",IFERROR(INDEX(科目表!$A$4:$A$81,MATCH($E2516,科目表!$B$4:$B$81,0)),""))</f>
        <v/>
      </c>
      <c r="G2516" s="67" t="str">
        <f aca="false">IF($E2516="","",IFERROR(INDEX(科目表!$E$4:$E$81,MATCH($E2516,科目表!$B$4:$B$81,0)),""))</f>
        <v/>
      </c>
      <c r="H2516" s="70" t="str">
        <f aca="false">IF($E2516="","",N(INDEX(成本费用登记表!$Q$4:$Y$303,136,5)))</f>
        <v/>
      </c>
      <c r="I2516" s="70" t="str">
        <f aca="false">IF($E2516="","",N(INDEX(成本费用登记表!$Q$4:$Y$303,136,6)))</f>
        <v/>
      </c>
      <c r="J2516" s="67" t="str">
        <f aca="false">IF($E2516="","",INDEX(成本费用登记表!$C$4:$C$303,136))</f>
        <v/>
      </c>
      <c r="K2516" s="67" t="str">
        <f aca="false">IF($E2516="","",INDEX(成本费用登记表!$D$4:$D$303,136))</f>
        <v/>
      </c>
      <c r="L2516" s="107" t="str">
        <f aca="false">IF($E2516="","",INDEX(成本费用登记表!$N$4:$N$303,136))</f>
        <v/>
      </c>
      <c r="M2516" s="107"/>
      <c r="N2516" s="67" t="str">
        <f aca="false">IF($E2516="","","系统")</f>
        <v/>
      </c>
      <c r="O2516" s="67" t="str">
        <f aca="false">IF($E2516="","","自动C")</f>
        <v/>
      </c>
      <c r="P2516" s="18"/>
    </row>
    <row r="2517" customFormat="false" ht="18" hidden="false" customHeight="true" outlineLevel="0" collapsed="false">
      <c r="A2517" s="107" t="str">
        <f aca="false">IF($E2517="","",ROW()-3)</f>
        <v/>
      </c>
      <c r="B2517" s="110" t="str">
        <f aca="false">IF($E2517="","",INDEX(成本费用登记表!$B$4:$B$303,136))</f>
        <v/>
      </c>
      <c r="C2517" s="67" t="str">
        <f aca="false">IF($E2517="","","记-"&amp;TEXT($B2517,"YYYYMM")&amp;"-费用")</f>
        <v/>
      </c>
      <c r="D2517" s="107" t="str">
        <f aca="false">IF($E2517="","",INDEX(成本费用登记表!$E$4:$E$303,136))</f>
        <v/>
      </c>
      <c r="E2517" s="67" t="str">
        <f aca="false">IF(INDEX(成本费用登记表!$Q$4:$Y$303,136,7)=0,"",INDEX(成本费用登记表!$Q$4:$Y$303,136,7))</f>
        <v/>
      </c>
      <c r="F2517" s="99" t="str">
        <f aca="false">IF($E2517="","",IFERROR(INDEX(科目表!$A$4:$A$81,MATCH($E2517,科目表!$B$4:$B$81,0)),""))</f>
        <v/>
      </c>
      <c r="G2517" s="67" t="str">
        <f aca="false">IF($E2517="","",IFERROR(INDEX(科目表!$E$4:$E$81,MATCH($E2517,科目表!$B$4:$B$81,0)),""))</f>
        <v/>
      </c>
      <c r="H2517" s="70" t="str">
        <f aca="false">IF($E2517="","",N(INDEX(成本费用登记表!$Q$4:$Y$303,136,8)))</f>
        <v/>
      </c>
      <c r="I2517" s="70" t="str">
        <f aca="false">IF($E2517="","",N(INDEX(成本费用登记表!$Q$4:$Y$303,136,9)))</f>
        <v/>
      </c>
      <c r="J2517" s="67" t="str">
        <f aca="false">IF($E2517="","",INDEX(成本费用登记表!$C$4:$C$303,136))</f>
        <v/>
      </c>
      <c r="K2517" s="67" t="str">
        <f aca="false">IF($E2517="","",INDEX(成本费用登记表!$D$4:$D$303,136))</f>
        <v/>
      </c>
      <c r="L2517" s="107" t="str">
        <f aca="false">IF($E2517="","",INDEX(成本费用登记表!$N$4:$N$303,136))</f>
        <v/>
      </c>
      <c r="M2517" s="107"/>
      <c r="N2517" s="67" t="str">
        <f aca="false">IF($E2517="","","系统")</f>
        <v/>
      </c>
      <c r="O2517" s="67" t="str">
        <f aca="false">IF($E2517="","","自动C")</f>
        <v/>
      </c>
      <c r="P2517" s="18"/>
    </row>
    <row r="2518" customFormat="false" ht="18" hidden="false" customHeight="true" outlineLevel="0" collapsed="false">
      <c r="A2518" s="107" t="str">
        <f aca="false">IF($E2518="","",ROW()-3)</f>
        <v/>
      </c>
      <c r="B2518" s="110" t="str">
        <f aca="false">IF($E2518="","",INDEX(成本费用登记表!$B$4:$B$303,137))</f>
        <v/>
      </c>
      <c r="C2518" s="67" t="str">
        <f aca="false">IF($E2518="","","记-"&amp;TEXT($B2518,"YYYYMM")&amp;"-费用")</f>
        <v/>
      </c>
      <c r="D2518" s="107" t="str">
        <f aca="false">IF($E2518="","",INDEX(成本费用登记表!$E$4:$E$303,137))</f>
        <v/>
      </c>
      <c r="E2518" s="67" t="str">
        <f aca="false">IF(INDEX(成本费用登记表!$Q$4:$Y$303,137,1)=0,"",INDEX(成本费用登记表!$Q$4:$Y$303,137,1))</f>
        <v/>
      </c>
      <c r="F2518" s="99" t="str">
        <f aca="false">IF($E2518="","",IFERROR(INDEX(科目表!$A$4:$A$81,MATCH($E2518,科目表!$B$4:$B$81,0)),""))</f>
        <v/>
      </c>
      <c r="G2518" s="67" t="str">
        <f aca="false">IF($E2518="","",IFERROR(INDEX(科目表!$E$4:$E$81,MATCH($E2518,科目表!$B$4:$B$81,0)),""))</f>
        <v/>
      </c>
      <c r="H2518" s="70" t="str">
        <f aca="false">IF($E2518="","",N(INDEX(成本费用登记表!$Q$4:$Y$303,137,2)))</f>
        <v/>
      </c>
      <c r="I2518" s="70" t="str">
        <f aca="false">IF($E2518="","",N(INDEX(成本费用登记表!$Q$4:$Y$303,137,3)))</f>
        <v/>
      </c>
      <c r="J2518" s="67" t="str">
        <f aca="false">IF($E2518="","",INDEX(成本费用登记表!$C$4:$C$303,137))</f>
        <v/>
      </c>
      <c r="K2518" s="67" t="str">
        <f aca="false">IF($E2518="","",INDEX(成本费用登记表!$D$4:$D$303,137))</f>
        <v/>
      </c>
      <c r="L2518" s="107" t="str">
        <f aca="false">IF($E2518="","",INDEX(成本费用登记表!$N$4:$N$303,137))</f>
        <v/>
      </c>
      <c r="M2518" s="107"/>
      <c r="N2518" s="67" t="str">
        <f aca="false">IF($E2518="","","系统")</f>
        <v/>
      </c>
      <c r="O2518" s="67" t="str">
        <f aca="false">IF($E2518="","","自动C")</f>
        <v/>
      </c>
      <c r="P2518" s="18"/>
    </row>
    <row r="2519" customFormat="false" ht="18" hidden="false" customHeight="true" outlineLevel="0" collapsed="false">
      <c r="A2519" s="107" t="str">
        <f aca="false">IF($E2519="","",ROW()-3)</f>
        <v/>
      </c>
      <c r="B2519" s="110" t="str">
        <f aca="false">IF($E2519="","",INDEX(成本费用登记表!$B$4:$B$303,137))</f>
        <v/>
      </c>
      <c r="C2519" s="67" t="str">
        <f aca="false">IF($E2519="","","记-"&amp;TEXT($B2519,"YYYYMM")&amp;"-费用")</f>
        <v/>
      </c>
      <c r="D2519" s="107" t="str">
        <f aca="false">IF($E2519="","",INDEX(成本费用登记表!$E$4:$E$303,137))</f>
        <v/>
      </c>
      <c r="E2519" s="67" t="str">
        <f aca="false">IF(INDEX(成本费用登记表!$Q$4:$Y$303,137,4)=0,"",INDEX(成本费用登记表!$Q$4:$Y$303,137,4))</f>
        <v/>
      </c>
      <c r="F2519" s="99" t="str">
        <f aca="false">IF($E2519="","",IFERROR(INDEX(科目表!$A$4:$A$81,MATCH($E2519,科目表!$B$4:$B$81,0)),""))</f>
        <v/>
      </c>
      <c r="G2519" s="67" t="str">
        <f aca="false">IF($E2519="","",IFERROR(INDEX(科目表!$E$4:$E$81,MATCH($E2519,科目表!$B$4:$B$81,0)),""))</f>
        <v/>
      </c>
      <c r="H2519" s="70" t="str">
        <f aca="false">IF($E2519="","",N(INDEX(成本费用登记表!$Q$4:$Y$303,137,5)))</f>
        <v/>
      </c>
      <c r="I2519" s="70" t="str">
        <f aca="false">IF($E2519="","",N(INDEX(成本费用登记表!$Q$4:$Y$303,137,6)))</f>
        <v/>
      </c>
      <c r="J2519" s="67" t="str">
        <f aca="false">IF($E2519="","",INDEX(成本费用登记表!$C$4:$C$303,137))</f>
        <v/>
      </c>
      <c r="K2519" s="67" t="str">
        <f aca="false">IF($E2519="","",INDEX(成本费用登记表!$D$4:$D$303,137))</f>
        <v/>
      </c>
      <c r="L2519" s="107" t="str">
        <f aca="false">IF($E2519="","",INDEX(成本费用登记表!$N$4:$N$303,137))</f>
        <v/>
      </c>
      <c r="M2519" s="107"/>
      <c r="N2519" s="67" t="str">
        <f aca="false">IF($E2519="","","系统")</f>
        <v/>
      </c>
      <c r="O2519" s="67" t="str">
        <f aca="false">IF($E2519="","","自动C")</f>
        <v/>
      </c>
      <c r="P2519" s="18"/>
    </row>
    <row r="2520" customFormat="false" ht="18" hidden="false" customHeight="true" outlineLevel="0" collapsed="false">
      <c r="A2520" s="107" t="str">
        <f aca="false">IF($E2520="","",ROW()-3)</f>
        <v/>
      </c>
      <c r="B2520" s="110" t="str">
        <f aca="false">IF($E2520="","",INDEX(成本费用登记表!$B$4:$B$303,137))</f>
        <v/>
      </c>
      <c r="C2520" s="67" t="str">
        <f aca="false">IF($E2520="","","记-"&amp;TEXT($B2520,"YYYYMM")&amp;"-费用")</f>
        <v/>
      </c>
      <c r="D2520" s="107" t="str">
        <f aca="false">IF($E2520="","",INDEX(成本费用登记表!$E$4:$E$303,137))</f>
        <v/>
      </c>
      <c r="E2520" s="67" t="str">
        <f aca="false">IF(INDEX(成本费用登记表!$Q$4:$Y$303,137,7)=0,"",INDEX(成本费用登记表!$Q$4:$Y$303,137,7))</f>
        <v/>
      </c>
      <c r="F2520" s="99" t="str">
        <f aca="false">IF($E2520="","",IFERROR(INDEX(科目表!$A$4:$A$81,MATCH($E2520,科目表!$B$4:$B$81,0)),""))</f>
        <v/>
      </c>
      <c r="G2520" s="67" t="str">
        <f aca="false">IF($E2520="","",IFERROR(INDEX(科目表!$E$4:$E$81,MATCH($E2520,科目表!$B$4:$B$81,0)),""))</f>
        <v/>
      </c>
      <c r="H2520" s="70" t="str">
        <f aca="false">IF($E2520="","",N(INDEX(成本费用登记表!$Q$4:$Y$303,137,8)))</f>
        <v/>
      </c>
      <c r="I2520" s="70" t="str">
        <f aca="false">IF($E2520="","",N(INDEX(成本费用登记表!$Q$4:$Y$303,137,9)))</f>
        <v/>
      </c>
      <c r="J2520" s="67" t="str">
        <f aca="false">IF($E2520="","",INDEX(成本费用登记表!$C$4:$C$303,137))</f>
        <v/>
      </c>
      <c r="K2520" s="67" t="str">
        <f aca="false">IF($E2520="","",INDEX(成本费用登记表!$D$4:$D$303,137))</f>
        <v/>
      </c>
      <c r="L2520" s="107" t="str">
        <f aca="false">IF($E2520="","",INDEX(成本费用登记表!$N$4:$N$303,137))</f>
        <v/>
      </c>
      <c r="M2520" s="107"/>
      <c r="N2520" s="67" t="str">
        <f aca="false">IF($E2520="","","系统")</f>
        <v/>
      </c>
      <c r="O2520" s="67" t="str">
        <f aca="false">IF($E2520="","","自动C")</f>
        <v/>
      </c>
      <c r="P2520" s="18"/>
    </row>
    <row r="2521" customFormat="false" ht="18" hidden="false" customHeight="true" outlineLevel="0" collapsed="false">
      <c r="A2521" s="107" t="str">
        <f aca="false">IF($E2521="","",ROW()-3)</f>
        <v/>
      </c>
      <c r="B2521" s="110" t="str">
        <f aca="false">IF($E2521="","",INDEX(成本费用登记表!$B$4:$B$303,138))</f>
        <v/>
      </c>
      <c r="C2521" s="67" t="str">
        <f aca="false">IF($E2521="","","记-"&amp;TEXT($B2521,"YYYYMM")&amp;"-费用")</f>
        <v/>
      </c>
      <c r="D2521" s="107" t="str">
        <f aca="false">IF($E2521="","",INDEX(成本费用登记表!$E$4:$E$303,138))</f>
        <v/>
      </c>
      <c r="E2521" s="67" t="str">
        <f aca="false">IF(INDEX(成本费用登记表!$Q$4:$Y$303,138,1)=0,"",INDEX(成本费用登记表!$Q$4:$Y$303,138,1))</f>
        <v/>
      </c>
      <c r="F2521" s="99" t="str">
        <f aca="false">IF($E2521="","",IFERROR(INDEX(科目表!$A$4:$A$81,MATCH($E2521,科目表!$B$4:$B$81,0)),""))</f>
        <v/>
      </c>
      <c r="G2521" s="67" t="str">
        <f aca="false">IF($E2521="","",IFERROR(INDEX(科目表!$E$4:$E$81,MATCH($E2521,科目表!$B$4:$B$81,0)),""))</f>
        <v/>
      </c>
      <c r="H2521" s="70" t="str">
        <f aca="false">IF($E2521="","",N(INDEX(成本费用登记表!$Q$4:$Y$303,138,2)))</f>
        <v/>
      </c>
      <c r="I2521" s="70" t="str">
        <f aca="false">IF($E2521="","",N(INDEX(成本费用登记表!$Q$4:$Y$303,138,3)))</f>
        <v/>
      </c>
      <c r="J2521" s="67" t="str">
        <f aca="false">IF($E2521="","",INDEX(成本费用登记表!$C$4:$C$303,138))</f>
        <v/>
      </c>
      <c r="K2521" s="67" t="str">
        <f aca="false">IF($E2521="","",INDEX(成本费用登记表!$D$4:$D$303,138))</f>
        <v/>
      </c>
      <c r="L2521" s="107" t="str">
        <f aca="false">IF($E2521="","",INDEX(成本费用登记表!$N$4:$N$303,138))</f>
        <v/>
      </c>
      <c r="M2521" s="107"/>
      <c r="N2521" s="67" t="str">
        <f aca="false">IF($E2521="","","系统")</f>
        <v/>
      </c>
      <c r="O2521" s="67" t="str">
        <f aca="false">IF($E2521="","","自动C")</f>
        <v/>
      </c>
      <c r="P2521" s="18"/>
    </row>
    <row r="2522" customFormat="false" ht="18" hidden="false" customHeight="true" outlineLevel="0" collapsed="false">
      <c r="A2522" s="107" t="str">
        <f aca="false">IF($E2522="","",ROW()-3)</f>
        <v/>
      </c>
      <c r="B2522" s="110" t="str">
        <f aca="false">IF($E2522="","",INDEX(成本费用登记表!$B$4:$B$303,138))</f>
        <v/>
      </c>
      <c r="C2522" s="67" t="str">
        <f aca="false">IF($E2522="","","记-"&amp;TEXT($B2522,"YYYYMM")&amp;"-费用")</f>
        <v/>
      </c>
      <c r="D2522" s="107" t="str">
        <f aca="false">IF($E2522="","",INDEX(成本费用登记表!$E$4:$E$303,138))</f>
        <v/>
      </c>
      <c r="E2522" s="67" t="str">
        <f aca="false">IF(INDEX(成本费用登记表!$Q$4:$Y$303,138,4)=0,"",INDEX(成本费用登记表!$Q$4:$Y$303,138,4))</f>
        <v/>
      </c>
      <c r="F2522" s="99" t="str">
        <f aca="false">IF($E2522="","",IFERROR(INDEX(科目表!$A$4:$A$81,MATCH($E2522,科目表!$B$4:$B$81,0)),""))</f>
        <v/>
      </c>
      <c r="G2522" s="67" t="str">
        <f aca="false">IF($E2522="","",IFERROR(INDEX(科目表!$E$4:$E$81,MATCH($E2522,科目表!$B$4:$B$81,0)),""))</f>
        <v/>
      </c>
      <c r="H2522" s="70" t="str">
        <f aca="false">IF($E2522="","",N(INDEX(成本费用登记表!$Q$4:$Y$303,138,5)))</f>
        <v/>
      </c>
      <c r="I2522" s="70" t="str">
        <f aca="false">IF($E2522="","",N(INDEX(成本费用登记表!$Q$4:$Y$303,138,6)))</f>
        <v/>
      </c>
      <c r="J2522" s="67" t="str">
        <f aca="false">IF($E2522="","",INDEX(成本费用登记表!$C$4:$C$303,138))</f>
        <v/>
      </c>
      <c r="K2522" s="67" t="str">
        <f aca="false">IF($E2522="","",INDEX(成本费用登记表!$D$4:$D$303,138))</f>
        <v/>
      </c>
      <c r="L2522" s="107" t="str">
        <f aca="false">IF($E2522="","",INDEX(成本费用登记表!$N$4:$N$303,138))</f>
        <v/>
      </c>
      <c r="M2522" s="107"/>
      <c r="N2522" s="67" t="str">
        <f aca="false">IF($E2522="","","系统")</f>
        <v/>
      </c>
      <c r="O2522" s="67" t="str">
        <f aca="false">IF($E2522="","","自动C")</f>
        <v/>
      </c>
      <c r="P2522" s="18"/>
    </row>
    <row r="2523" customFormat="false" ht="18" hidden="false" customHeight="true" outlineLevel="0" collapsed="false">
      <c r="A2523" s="107" t="str">
        <f aca="false">IF($E2523="","",ROW()-3)</f>
        <v/>
      </c>
      <c r="B2523" s="110" t="str">
        <f aca="false">IF($E2523="","",INDEX(成本费用登记表!$B$4:$B$303,138))</f>
        <v/>
      </c>
      <c r="C2523" s="67" t="str">
        <f aca="false">IF($E2523="","","记-"&amp;TEXT($B2523,"YYYYMM")&amp;"-费用")</f>
        <v/>
      </c>
      <c r="D2523" s="107" t="str">
        <f aca="false">IF($E2523="","",INDEX(成本费用登记表!$E$4:$E$303,138))</f>
        <v/>
      </c>
      <c r="E2523" s="67" t="str">
        <f aca="false">IF(INDEX(成本费用登记表!$Q$4:$Y$303,138,7)=0,"",INDEX(成本费用登记表!$Q$4:$Y$303,138,7))</f>
        <v/>
      </c>
      <c r="F2523" s="99" t="str">
        <f aca="false">IF($E2523="","",IFERROR(INDEX(科目表!$A$4:$A$81,MATCH($E2523,科目表!$B$4:$B$81,0)),""))</f>
        <v/>
      </c>
      <c r="G2523" s="67" t="str">
        <f aca="false">IF($E2523="","",IFERROR(INDEX(科目表!$E$4:$E$81,MATCH($E2523,科目表!$B$4:$B$81,0)),""))</f>
        <v/>
      </c>
      <c r="H2523" s="70" t="str">
        <f aca="false">IF($E2523="","",N(INDEX(成本费用登记表!$Q$4:$Y$303,138,8)))</f>
        <v/>
      </c>
      <c r="I2523" s="70" t="str">
        <f aca="false">IF($E2523="","",N(INDEX(成本费用登记表!$Q$4:$Y$303,138,9)))</f>
        <v/>
      </c>
      <c r="J2523" s="67" t="str">
        <f aca="false">IF($E2523="","",INDEX(成本费用登记表!$C$4:$C$303,138))</f>
        <v/>
      </c>
      <c r="K2523" s="67" t="str">
        <f aca="false">IF($E2523="","",INDEX(成本费用登记表!$D$4:$D$303,138))</f>
        <v/>
      </c>
      <c r="L2523" s="107" t="str">
        <f aca="false">IF($E2523="","",INDEX(成本费用登记表!$N$4:$N$303,138))</f>
        <v/>
      </c>
      <c r="M2523" s="107"/>
      <c r="N2523" s="67" t="str">
        <f aca="false">IF($E2523="","","系统")</f>
        <v/>
      </c>
      <c r="O2523" s="67" t="str">
        <f aca="false">IF($E2523="","","自动C")</f>
        <v/>
      </c>
      <c r="P2523" s="18"/>
    </row>
    <row r="2524" customFormat="false" ht="18" hidden="false" customHeight="true" outlineLevel="0" collapsed="false">
      <c r="A2524" s="107" t="str">
        <f aca="false">IF($E2524="","",ROW()-3)</f>
        <v/>
      </c>
      <c r="B2524" s="110" t="str">
        <f aca="false">IF($E2524="","",INDEX(成本费用登记表!$B$4:$B$303,139))</f>
        <v/>
      </c>
      <c r="C2524" s="67" t="str">
        <f aca="false">IF($E2524="","","记-"&amp;TEXT($B2524,"YYYYMM")&amp;"-费用")</f>
        <v/>
      </c>
      <c r="D2524" s="107" t="str">
        <f aca="false">IF($E2524="","",INDEX(成本费用登记表!$E$4:$E$303,139))</f>
        <v/>
      </c>
      <c r="E2524" s="67" t="str">
        <f aca="false">IF(INDEX(成本费用登记表!$Q$4:$Y$303,139,1)=0,"",INDEX(成本费用登记表!$Q$4:$Y$303,139,1))</f>
        <v/>
      </c>
      <c r="F2524" s="99" t="str">
        <f aca="false">IF($E2524="","",IFERROR(INDEX(科目表!$A$4:$A$81,MATCH($E2524,科目表!$B$4:$B$81,0)),""))</f>
        <v/>
      </c>
      <c r="G2524" s="67" t="str">
        <f aca="false">IF($E2524="","",IFERROR(INDEX(科目表!$E$4:$E$81,MATCH($E2524,科目表!$B$4:$B$81,0)),""))</f>
        <v/>
      </c>
      <c r="H2524" s="70" t="str">
        <f aca="false">IF($E2524="","",N(INDEX(成本费用登记表!$Q$4:$Y$303,139,2)))</f>
        <v/>
      </c>
      <c r="I2524" s="70" t="str">
        <f aca="false">IF($E2524="","",N(INDEX(成本费用登记表!$Q$4:$Y$303,139,3)))</f>
        <v/>
      </c>
      <c r="J2524" s="67" t="str">
        <f aca="false">IF($E2524="","",INDEX(成本费用登记表!$C$4:$C$303,139))</f>
        <v/>
      </c>
      <c r="K2524" s="67" t="str">
        <f aca="false">IF($E2524="","",INDEX(成本费用登记表!$D$4:$D$303,139))</f>
        <v/>
      </c>
      <c r="L2524" s="107" t="str">
        <f aca="false">IF($E2524="","",INDEX(成本费用登记表!$N$4:$N$303,139))</f>
        <v/>
      </c>
      <c r="M2524" s="107"/>
      <c r="N2524" s="67" t="str">
        <f aca="false">IF($E2524="","","系统")</f>
        <v/>
      </c>
      <c r="O2524" s="67" t="str">
        <f aca="false">IF($E2524="","","自动C")</f>
        <v/>
      </c>
      <c r="P2524" s="18"/>
    </row>
    <row r="2525" customFormat="false" ht="18" hidden="false" customHeight="true" outlineLevel="0" collapsed="false">
      <c r="A2525" s="107" t="str">
        <f aca="false">IF($E2525="","",ROW()-3)</f>
        <v/>
      </c>
      <c r="B2525" s="110" t="str">
        <f aca="false">IF($E2525="","",INDEX(成本费用登记表!$B$4:$B$303,139))</f>
        <v/>
      </c>
      <c r="C2525" s="67" t="str">
        <f aca="false">IF($E2525="","","记-"&amp;TEXT($B2525,"YYYYMM")&amp;"-费用")</f>
        <v/>
      </c>
      <c r="D2525" s="107" t="str">
        <f aca="false">IF($E2525="","",INDEX(成本费用登记表!$E$4:$E$303,139))</f>
        <v/>
      </c>
      <c r="E2525" s="67" t="str">
        <f aca="false">IF(INDEX(成本费用登记表!$Q$4:$Y$303,139,4)=0,"",INDEX(成本费用登记表!$Q$4:$Y$303,139,4))</f>
        <v/>
      </c>
      <c r="F2525" s="99" t="str">
        <f aca="false">IF($E2525="","",IFERROR(INDEX(科目表!$A$4:$A$81,MATCH($E2525,科目表!$B$4:$B$81,0)),""))</f>
        <v/>
      </c>
      <c r="G2525" s="67" t="str">
        <f aca="false">IF($E2525="","",IFERROR(INDEX(科目表!$E$4:$E$81,MATCH($E2525,科目表!$B$4:$B$81,0)),""))</f>
        <v/>
      </c>
      <c r="H2525" s="70" t="str">
        <f aca="false">IF($E2525="","",N(INDEX(成本费用登记表!$Q$4:$Y$303,139,5)))</f>
        <v/>
      </c>
      <c r="I2525" s="70" t="str">
        <f aca="false">IF($E2525="","",N(INDEX(成本费用登记表!$Q$4:$Y$303,139,6)))</f>
        <v/>
      </c>
      <c r="J2525" s="67" t="str">
        <f aca="false">IF($E2525="","",INDEX(成本费用登记表!$C$4:$C$303,139))</f>
        <v/>
      </c>
      <c r="K2525" s="67" t="str">
        <f aca="false">IF($E2525="","",INDEX(成本费用登记表!$D$4:$D$303,139))</f>
        <v/>
      </c>
      <c r="L2525" s="107" t="str">
        <f aca="false">IF($E2525="","",INDEX(成本费用登记表!$N$4:$N$303,139))</f>
        <v/>
      </c>
      <c r="M2525" s="107"/>
      <c r="N2525" s="67" t="str">
        <f aca="false">IF($E2525="","","系统")</f>
        <v/>
      </c>
      <c r="O2525" s="67" t="str">
        <f aca="false">IF($E2525="","","自动C")</f>
        <v/>
      </c>
      <c r="P2525" s="18"/>
    </row>
    <row r="2526" customFormat="false" ht="18" hidden="false" customHeight="true" outlineLevel="0" collapsed="false">
      <c r="A2526" s="107" t="str">
        <f aca="false">IF($E2526="","",ROW()-3)</f>
        <v/>
      </c>
      <c r="B2526" s="110" t="str">
        <f aca="false">IF($E2526="","",INDEX(成本费用登记表!$B$4:$B$303,139))</f>
        <v/>
      </c>
      <c r="C2526" s="67" t="str">
        <f aca="false">IF($E2526="","","记-"&amp;TEXT($B2526,"YYYYMM")&amp;"-费用")</f>
        <v/>
      </c>
      <c r="D2526" s="107" t="str">
        <f aca="false">IF($E2526="","",INDEX(成本费用登记表!$E$4:$E$303,139))</f>
        <v/>
      </c>
      <c r="E2526" s="67" t="str">
        <f aca="false">IF(INDEX(成本费用登记表!$Q$4:$Y$303,139,7)=0,"",INDEX(成本费用登记表!$Q$4:$Y$303,139,7))</f>
        <v/>
      </c>
      <c r="F2526" s="99" t="str">
        <f aca="false">IF($E2526="","",IFERROR(INDEX(科目表!$A$4:$A$81,MATCH($E2526,科目表!$B$4:$B$81,0)),""))</f>
        <v/>
      </c>
      <c r="G2526" s="67" t="str">
        <f aca="false">IF($E2526="","",IFERROR(INDEX(科目表!$E$4:$E$81,MATCH($E2526,科目表!$B$4:$B$81,0)),""))</f>
        <v/>
      </c>
      <c r="H2526" s="70" t="str">
        <f aca="false">IF($E2526="","",N(INDEX(成本费用登记表!$Q$4:$Y$303,139,8)))</f>
        <v/>
      </c>
      <c r="I2526" s="70" t="str">
        <f aca="false">IF($E2526="","",N(INDEX(成本费用登记表!$Q$4:$Y$303,139,9)))</f>
        <v/>
      </c>
      <c r="J2526" s="67" t="str">
        <f aca="false">IF($E2526="","",INDEX(成本费用登记表!$C$4:$C$303,139))</f>
        <v/>
      </c>
      <c r="K2526" s="67" t="str">
        <f aca="false">IF($E2526="","",INDEX(成本费用登记表!$D$4:$D$303,139))</f>
        <v/>
      </c>
      <c r="L2526" s="107" t="str">
        <f aca="false">IF($E2526="","",INDEX(成本费用登记表!$N$4:$N$303,139))</f>
        <v/>
      </c>
      <c r="M2526" s="107"/>
      <c r="N2526" s="67" t="str">
        <f aca="false">IF($E2526="","","系统")</f>
        <v/>
      </c>
      <c r="O2526" s="67" t="str">
        <f aca="false">IF($E2526="","","自动C")</f>
        <v/>
      </c>
      <c r="P2526" s="18"/>
    </row>
    <row r="2527" customFormat="false" ht="18" hidden="false" customHeight="true" outlineLevel="0" collapsed="false">
      <c r="A2527" s="107" t="str">
        <f aca="false">IF($E2527="","",ROW()-3)</f>
        <v/>
      </c>
      <c r="B2527" s="110" t="str">
        <f aca="false">IF($E2527="","",INDEX(成本费用登记表!$B$4:$B$303,140))</f>
        <v/>
      </c>
      <c r="C2527" s="67" t="str">
        <f aca="false">IF($E2527="","","记-"&amp;TEXT($B2527,"YYYYMM")&amp;"-费用")</f>
        <v/>
      </c>
      <c r="D2527" s="107" t="str">
        <f aca="false">IF($E2527="","",INDEX(成本费用登记表!$E$4:$E$303,140))</f>
        <v/>
      </c>
      <c r="E2527" s="67" t="str">
        <f aca="false">IF(INDEX(成本费用登记表!$Q$4:$Y$303,140,1)=0,"",INDEX(成本费用登记表!$Q$4:$Y$303,140,1))</f>
        <v/>
      </c>
      <c r="F2527" s="99" t="str">
        <f aca="false">IF($E2527="","",IFERROR(INDEX(科目表!$A$4:$A$81,MATCH($E2527,科目表!$B$4:$B$81,0)),""))</f>
        <v/>
      </c>
      <c r="G2527" s="67" t="str">
        <f aca="false">IF($E2527="","",IFERROR(INDEX(科目表!$E$4:$E$81,MATCH($E2527,科目表!$B$4:$B$81,0)),""))</f>
        <v/>
      </c>
      <c r="H2527" s="70" t="str">
        <f aca="false">IF($E2527="","",N(INDEX(成本费用登记表!$Q$4:$Y$303,140,2)))</f>
        <v/>
      </c>
      <c r="I2527" s="70" t="str">
        <f aca="false">IF($E2527="","",N(INDEX(成本费用登记表!$Q$4:$Y$303,140,3)))</f>
        <v/>
      </c>
      <c r="J2527" s="67" t="str">
        <f aca="false">IF($E2527="","",INDEX(成本费用登记表!$C$4:$C$303,140))</f>
        <v/>
      </c>
      <c r="K2527" s="67" t="str">
        <f aca="false">IF($E2527="","",INDEX(成本费用登记表!$D$4:$D$303,140))</f>
        <v/>
      </c>
      <c r="L2527" s="107" t="str">
        <f aca="false">IF($E2527="","",INDEX(成本费用登记表!$N$4:$N$303,140))</f>
        <v/>
      </c>
      <c r="M2527" s="107"/>
      <c r="N2527" s="67" t="str">
        <f aca="false">IF($E2527="","","系统")</f>
        <v/>
      </c>
      <c r="O2527" s="67" t="str">
        <f aca="false">IF($E2527="","","自动C")</f>
        <v/>
      </c>
      <c r="P2527" s="18"/>
    </row>
    <row r="2528" customFormat="false" ht="18" hidden="false" customHeight="true" outlineLevel="0" collapsed="false">
      <c r="A2528" s="107" t="str">
        <f aca="false">IF($E2528="","",ROW()-3)</f>
        <v/>
      </c>
      <c r="B2528" s="110" t="str">
        <f aca="false">IF($E2528="","",INDEX(成本费用登记表!$B$4:$B$303,140))</f>
        <v/>
      </c>
      <c r="C2528" s="67" t="str">
        <f aca="false">IF($E2528="","","记-"&amp;TEXT($B2528,"YYYYMM")&amp;"-费用")</f>
        <v/>
      </c>
      <c r="D2528" s="107" t="str">
        <f aca="false">IF($E2528="","",INDEX(成本费用登记表!$E$4:$E$303,140))</f>
        <v/>
      </c>
      <c r="E2528" s="67" t="str">
        <f aca="false">IF(INDEX(成本费用登记表!$Q$4:$Y$303,140,4)=0,"",INDEX(成本费用登记表!$Q$4:$Y$303,140,4))</f>
        <v/>
      </c>
      <c r="F2528" s="99" t="str">
        <f aca="false">IF($E2528="","",IFERROR(INDEX(科目表!$A$4:$A$81,MATCH($E2528,科目表!$B$4:$B$81,0)),""))</f>
        <v/>
      </c>
      <c r="G2528" s="67" t="str">
        <f aca="false">IF($E2528="","",IFERROR(INDEX(科目表!$E$4:$E$81,MATCH($E2528,科目表!$B$4:$B$81,0)),""))</f>
        <v/>
      </c>
      <c r="H2528" s="70" t="str">
        <f aca="false">IF($E2528="","",N(INDEX(成本费用登记表!$Q$4:$Y$303,140,5)))</f>
        <v/>
      </c>
      <c r="I2528" s="70" t="str">
        <f aca="false">IF($E2528="","",N(INDEX(成本费用登记表!$Q$4:$Y$303,140,6)))</f>
        <v/>
      </c>
      <c r="J2528" s="67" t="str">
        <f aca="false">IF($E2528="","",INDEX(成本费用登记表!$C$4:$C$303,140))</f>
        <v/>
      </c>
      <c r="K2528" s="67" t="str">
        <f aca="false">IF($E2528="","",INDEX(成本费用登记表!$D$4:$D$303,140))</f>
        <v/>
      </c>
      <c r="L2528" s="107" t="str">
        <f aca="false">IF($E2528="","",INDEX(成本费用登记表!$N$4:$N$303,140))</f>
        <v/>
      </c>
      <c r="M2528" s="107"/>
      <c r="N2528" s="67" t="str">
        <f aca="false">IF($E2528="","","系统")</f>
        <v/>
      </c>
      <c r="O2528" s="67" t="str">
        <f aca="false">IF($E2528="","","自动C")</f>
        <v/>
      </c>
      <c r="P2528" s="18"/>
    </row>
    <row r="2529" customFormat="false" ht="18" hidden="false" customHeight="true" outlineLevel="0" collapsed="false">
      <c r="A2529" s="107" t="str">
        <f aca="false">IF($E2529="","",ROW()-3)</f>
        <v/>
      </c>
      <c r="B2529" s="110" t="str">
        <f aca="false">IF($E2529="","",INDEX(成本费用登记表!$B$4:$B$303,140))</f>
        <v/>
      </c>
      <c r="C2529" s="67" t="str">
        <f aca="false">IF($E2529="","","记-"&amp;TEXT($B2529,"YYYYMM")&amp;"-费用")</f>
        <v/>
      </c>
      <c r="D2529" s="107" t="str">
        <f aca="false">IF($E2529="","",INDEX(成本费用登记表!$E$4:$E$303,140))</f>
        <v/>
      </c>
      <c r="E2529" s="67" t="str">
        <f aca="false">IF(INDEX(成本费用登记表!$Q$4:$Y$303,140,7)=0,"",INDEX(成本费用登记表!$Q$4:$Y$303,140,7))</f>
        <v/>
      </c>
      <c r="F2529" s="99" t="str">
        <f aca="false">IF($E2529="","",IFERROR(INDEX(科目表!$A$4:$A$81,MATCH($E2529,科目表!$B$4:$B$81,0)),""))</f>
        <v/>
      </c>
      <c r="G2529" s="67" t="str">
        <f aca="false">IF($E2529="","",IFERROR(INDEX(科目表!$E$4:$E$81,MATCH($E2529,科目表!$B$4:$B$81,0)),""))</f>
        <v/>
      </c>
      <c r="H2529" s="70" t="str">
        <f aca="false">IF($E2529="","",N(INDEX(成本费用登记表!$Q$4:$Y$303,140,8)))</f>
        <v/>
      </c>
      <c r="I2529" s="70" t="str">
        <f aca="false">IF($E2529="","",N(INDEX(成本费用登记表!$Q$4:$Y$303,140,9)))</f>
        <v/>
      </c>
      <c r="J2529" s="67" t="str">
        <f aca="false">IF($E2529="","",INDEX(成本费用登记表!$C$4:$C$303,140))</f>
        <v/>
      </c>
      <c r="K2529" s="67" t="str">
        <f aca="false">IF($E2529="","",INDEX(成本费用登记表!$D$4:$D$303,140))</f>
        <v/>
      </c>
      <c r="L2529" s="107" t="str">
        <f aca="false">IF($E2529="","",INDEX(成本费用登记表!$N$4:$N$303,140))</f>
        <v/>
      </c>
      <c r="M2529" s="107"/>
      <c r="N2529" s="67" t="str">
        <f aca="false">IF($E2529="","","系统")</f>
        <v/>
      </c>
      <c r="O2529" s="67" t="str">
        <f aca="false">IF($E2529="","","自动C")</f>
        <v/>
      </c>
      <c r="P2529" s="18"/>
    </row>
    <row r="2530" customFormat="false" ht="18" hidden="false" customHeight="true" outlineLevel="0" collapsed="false">
      <c r="A2530" s="107" t="str">
        <f aca="false">IF($E2530="","",ROW()-3)</f>
        <v/>
      </c>
      <c r="B2530" s="110" t="str">
        <f aca="false">IF($E2530="","",INDEX(成本费用登记表!$B$4:$B$303,141))</f>
        <v/>
      </c>
      <c r="C2530" s="67" t="str">
        <f aca="false">IF($E2530="","","记-"&amp;TEXT($B2530,"YYYYMM")&amp;"-费用")</f>
        <v/>
      </c>
      <c r="D2530" s="107" t="str">
        <f aca="false">IF($E2530="","",INDEX(成本费用登记表!$E$4:$E$303,141))</f>
        <v/>
      </c>
      <c r="E2530" s="67" t="str">
        <f aca="false">IF(INDEX(成本费用登记表!$Q$4:$Y$303,141,1)=0,"",INDEX(成本费用登记表!$Q$4:$Y$303,141,1))</f>
        <v/>
      </c>
      <c r="F2530" s="99" t="str">
        <f aca="false">IF($E2530="","",IFERROR(INDEX(科目表!$A$4:$A$81,MATCH($E2530,科目表!$B$4:$B$81,0)),""))</f>
        <v/>
      </c>
      <c r="G2530" s="67" t="str">
        <f aca="false">IF($E2530="","",IFERROR(INDEX(科目表!$E$4:$E$81,MATCH($E2530,科目表!$B$4:$B$81,0)),""))</f>
        <v/>
      </c>
      <c r="H2530" s="70" t="str">
        <f aca="false">IF($E2530="","",N(INDEX(成本费用登记表!$Q$4:$Y$303,141,2)))</f>
        <v/>
      </c>
      <c r="I2530" s="70" t="str">
        <f aca="false">IF($E2530="","",N(INDEX(成本费用登记表!$Q$4:$Y$303,141,3)))</f>
        <v/>
      </c>
      <c r="J2530" s="67" t="str">
        <f aca="false">IF($E2530="","",INDEX(成本费用登记表!$C$4:$C$303,141))</f>
        <v/>
      </c>
      <c r="K2530" s="67" t="str">
        <f aca="false">IF($E2530="","",INDEX(成本费用登记表!$D$4:$D$303,141))</f>
        <v/>
      </c>
      <c r="L2530" s="107" t="str">
        <f aca="false">IF($E2530="","",INDEX(成本费用登记表!$N$4:$N$303,141))</f>
        <v/>
      </c>
      <c r="M2530" s="107"/>
      <c r="N2530" s="67" t="str">
        <f aca="false">IF($E2530="","","系统")</f>
        <v/>
      </c>
      <c r="O2530" s="67" t="str">
        <f aca="false">IF($E2530="","","自动C")</f>
        <v/>
      </c>
      <c r="P2530" s="18"/>
    </row>
    <row r="2531" customFormat="false" ht="18" hidden="false" customHeight="true" outlineLevel="0" collapsed="false">
      <c r="A2531" s="107" t="str">
        <f aca="false">IF($E2531="","",ROW()-3)</f>
        <v/>
      </c>
      <c r="B2531" s="110" t="str">
        <f aca="false">IF($E2531="","",INDEX(成本费用登记表!$B$4:$B$303,141))</f>
        <v/>
      </c>
      <c r="C2531" s="67" t="str">
        <f aca="false">IF($E2531="","","记-"&amp;TEXT($B2531,"YYYYMM")&amp;"-费用")</f>
        <v/>
      </c>
      <c r="D2531" s="107" t="str">
        <f aca="false">IF($E2531="","",INDEX(成本费用登记表!$E$4:$E$303,141))</f>
        <v/>
      </c>
      <c r="E2531" s="67" t="str">
        <f aca="false">IF(INDEX(成本费用登记表!$Q$4:$Y$303,141,4)=0,"",INDEX(成本费用登记表!$Q$4:$Y$303,141,4))</f>
        <v/>
      </c>
      <c r="F2531" s="99" t="str">
        <f aca="false">IF($E2531="","",IFERROR(INDEX(科目表!$A$4:$A$81,MATCH($E2531,科目表!$B$4:$B$81,0)),""))</f>
        <v/>
      </c>
      <c r="G2531" s="67" t="str">
        <f aca="false">IF($E2531="","",IFERROR(INDEX(科目表!$E$4:$E$81,MATCH($E2531,科目表!$B$4:$B$81,0)),""))</f>
        <v/>
      </c>
      <c r="H2531" s="70" t="str">
        <f aca="false">IF($E2531="","",N(INDEX(成本费用登记表!$Q$4:$Y$303,141,5)))</f>
        <v/>
      </c>
      <c r="I2531" s="70" t="str">
        <f aca="false">IF($E2531="","",N(INDEX(成本费用登记表!$Q$4:$Y$303,141,6)))</f>
        <v/>
      </c>
      <c r="J2531" s="67" t="str">
        <f aca="false">IF($E2531="","",INDEX(成本费用登记表!$C$4:$C$303,141))</f>
        <v/>
      </c>
      <c r="K2531" s="67" t="str">
        <f aca="false">IF($E2531="","",INDEX(成本费用登记表!$D$4:$D$303,141))</f>
        <v/>
      </c>
      <c r="L2531" s="107" t="str">
        <f aca="false">IF($E2531="","",INDEX(成本费用登记表!$N$4:$N$303,141))</f>
        <v/>
      </c>
      <c r="M2531" s="107"/>
      <c r="N2531" s="67" t="str">
        <f aca="false">IF($E2531="","","系统")</f>
        <v/>
      </c>
      <c r="O2531" s="67" t="str">
        <f aca="false">IF($E2531="","","自动C")</f>
        <v/>
      </c>
      <c r="P2531" s="18"/>
    </row>
    <row r="2532" customFormat="false" ht="18" hidden="false" customHeight="true" outlineLevel="0" collapsed="false">
      <c r="A2532" s="107" t="str">
        <f aca="false">IF($E2532="","",ROW()-3)</f>
        <v/>
      </c>
      <c r="B2532" s="110" t="str">
        <f aca="false">IF($E2532="","",INDEX(成本费用登记表!$B$4:$B$303,141))</f>
        <v/>
      </c>
      <c r="C2532" s="67" t="str">
        <f aca="false">IF($E2532="","","记-"&amp;TEXT($B2532,"YYYYMM")&amp;"-费用")</f>
        <v/>
      </c>
      <c r="D2532" s="107" t="str">
        <f aca="false">IF($E2532="","",INDEX(成本费用登记表!$E$4:$E$303,141))</f>
        <v/>
      </c>
      <c r="E2532" s="67" t="str">
        <f aca="false">IF(INDEX(成本费用登记表!$Q$4:$Y$303,141,7)=0,"",INDEX(成本费用登记表!$Q$4:$Y$303,141,7))</f>
        <v/>
      </c>
      <c r="F2532" s="99" t="str">
        <f aca="false">IF($E2532="","",IFERROR(INDEX(科目表!$A$4:$A$81,MATCH($E2532,科目表!$B$4:$B$81,0)),""))</f>
        <v/>
      </c>
      <c r="G2532" s="67" t="str">
        <f aca="false">IF($E2532="","",IFERROR(INDEX(科目表!$E$4:$E$81,MATCH($E2532,科目表!$B$4:$B$81,0)),""))</f>
        <v/>
      </c>
      <c r="H2532" s="70" t="str">
        <f aca="false">IF($E2532="","",N(INDEX(成本费用登记表!$Q$4:$Y$303,141,8)))</f>
        <v/>
      </c>
      <c r="I2532" s="70" t="str">
        <f aca="false">IF($E2532="","",N(INDEX(成本费用登记表!$Q$4:$Y$303,141,9)))</f>
        <v/>
      </c>
      <c r="J2532" s="67" t="str">
        <f aca="false">IF($E2532="","",INDEX(成本费用登记表!$C$4:$C$303,141))</f>
        <v/>
      </c>
      <c r="K2532" s="67" t="str">
        <f aca="false">IF($E2532="","",INDEX(成本费用登记表!$D$4:$D$303,141))</f>
        <v/>
      </c>
      <c r="L2532" s="107" t="str">
        <f aca="false">IF($E2532="","",INDEX(成本费用登记表!$N$4:$N$303,141))</f>
        <v/>
      </c>
      <c r="M2532" s="107"/>
      <c r="N2532" s="67" t="str">
        <f aca="false">IF($E2532="","","系统")</f>
        <v/>
      </c>
      <c r="O2532" s="67" t="str">
        <f aca="false">IF($E2532="","","自动C")</f>
        <v/>
      </c>
      <c r="P2532" s="18"/>
    </row>
    <row r="2533" customFormat="false" ht="18" hidden="false" customHeight="true" outlineLevel="0" collapsed="false">
      <c r="A2533" s="107" t="str">
        <f aca="false">IF($E2533="","",ROW()-3)</f>
        <v/>
      </c>
      <c r="B2533" s="110" t="str">
        <f aca="false">IF($E2533="","",INDEX(成本费用登记表!$B$4:$B$303,142))</f>
        <v/>
      </c>
      <c r="C2533" s="67" t="str">
        <f aca="false">IF($E2533="","","记-"&amp;TEXT($B2533,"YYYYMM")&amp;"-费用")</f>
        <v/>
      </c>
      <c r="D2533" s="107" t="str">
        <f aca="false">IF($E2533="","",INDEX(成本费用登记表!$E$4:$E$303,142))</f>
        <v/>
      </c>
      <c r="E2533" s="67" t="str">
        <f aca="false">IF(INDEX(成本费用登记表!$Q$4:$Y$303,142,1)=0,"",INDEX(成本费用登记表!$Q$4:$Y$303,142,1))</f>
        <v/>
      </c>
      <c r="F2533" s="99" t="str">
        <f aca="false">IF($E2533="","",IFERROR(INDEX(科目表!$A$4:$A$81,MATCH($E2533,科目表!$B$4:$B$81,0)),""))</f>
        <v/>
      </c>
      <c r="G2533" s="67" t="str">
        <f aca="false">IF($E2533="","",IFERROR(INDEX(科目表!$E$4:$E$81,MATCH($E2533,科目表!$B$4:$B$81,0)),""))</f>
        <v/>
      </c>
      <c r="H2533" s="70" t="str">
        <f aca="false">IF($E2533="","",N(INDEX(成本费用登记表!$Q$4:$Y$303,142,2)))</f>
        <v/>
      </c>
      <c r="I2533" s="70" t="str">
        <f aca="false">IF($E2533="","",N(INDEX(成本费用登记表!$Q$4:$Y$303,142,3)))</f>
        <v/>
      </c>
      <c r="J2533" s="67" t="str">
        <f aca="false">IF($E2533="","",INDEX(成本费用登记表!$C$4:$C$303,142))</f>
        <v/>
      </c>
      <c r="K2533" s="67" t="str">
        <f aca="false">IF($E2533="","",INDEX(成本费用登记表!$D$4:$D$303,142))</f>
        <v/>
      </c>
      <c r="L2533" s="107" t="str">
        <f aca="false">IF($E2533="","",INDEX(成本费用登记表!$N$4:$N$303,142))</f>
        <v/>
      </c>
      <c r="M2533" s="107"/>
      <c r="N2533" s="67" t="str">
        <f aca="false">IF($E2533="","","系统")</f>
        <v/>
      </c>
      <c r="O2533" s="67" t="str">
        <f aca="false">IF($E2533="","","自动C")</f>
        <v/>
      </c>
      <c r="P2533" s="18"/>
    </row>
    <row r="2534" customFormat="false" ht="18" hidden="false" customHeight="true" outlineLevel="0" collapsed="false">
      <c r="A2534" s="107" t="str">
        <f aca="false">IF($E2534="","",ROW()-3)</f>
        <v/>
      </c>
      <c r="B2534" s="110" t="str">
        <f aca="false">IF($E2534="","",INDEX(成本费用登记表!$B$4:$B$303,142))</f>
        <v/>
      </c>
      <c r="C2534" s="67" t="str">
        <f aca="false">IF($E2534="","","记-"&amp;TEXT($B2534,"YYYYMM")&amp;"-费用")</f>
        <v/>
      </c>
      <c r="D2534" s="107" t="str">
        <f aca="false">IF($E2534="","",INDEX(成本费用登记表!$E$4:$E$303,142))</f>
        <v/>
      </c>
      <c r="E2534" s="67" t="str">
        <f aca="false">IF(INDEX(成本费用登记表!$Q$4:$Y$303,142,4)=0,"",INDEX(成本费用登记表!$Q$4:$Y$303,142,4))</f>
        <v/>
      </c>
      <c r="F2534" s="99" t="str">
        <f aca="false">IF($E2534="","",IFERROR(INDEX(科目表!$A$4:$A$81,MATCH($E2534,科目表!$B$4:$B$81,0)),""))</f>
        <v/>
      </c>
      <c r="G2534" s="67" t="str">
        <f aca="false">IF($E2534="","",IFERROR(INDEX(科目表!$E$4:$E$81,MATCH($E2534,科目表!$B$4:$B$81,0)),""))</f>
        <v/>
      </c>
      <c r="H2534" s="70" t="str">
        <f aca="false">IF($E2534="","",N(INDEX(成本费用登记表!$Q$4:$Y$303,142,5)))</f>
        <v/>
      </c>
      <c r="I2534" s="70" t="str">
        <f aca="false">IF($E2534="","",N(INDEX(成本费用登记表!$Q$4:$Y$303,142,6)))</f>
        <v/>
      </c>
      <c r="J2534" s="67" t="str">
        <f aca="false">IF($E2534="","",INDEX(成本费用登记表!$C$4:$C$303,142))</f>
        <v/>
      </c>
      <c r="K2534" s="67" t="str">
        <f aca="false">IF($E2534="","",INDEX(成本费用登记表!$D$4:$D$303,142))</f>
        <v/>
      </c>
      <c r="L2534" s="107" t="str">
        <f aca="false">IF($E2534="","",INDEX(成本费用登记表!$N$4:$N$303,142))</f>
        <v/>
      </c>
      <c r="M2534" s="107"/>
      <c r="N2534" s="67" t="str">
        <f aca="false">IF($E2534="","","系统")</f>
        <v/>
      </c>
      <c r="O2534" s="67" t="str">
        <f aca="false">IF($E2534="","","自动C")</f>
        <v/>
      </c>
      <c r="P2534" s="18"/>
    </row>
    <row r="2535" customFormat="false" ht="18" hidden="false" customHeight="true" outlineLevel="0" collapsed="false">
      <c r="A2535" s="107" t="str">
        <f aca="false">IF($E2535="","",ROW()-3)</f>
        <v/>
      </c>
      <c r="B2535" s="110" t="str">
        <f aca="false">IF($E2535="","",INDEX(成本费用登记表!$B$4:$B$303,142))</f>
        <v/>
      </c>
      <c r="C2535" s="67" t="str">
        <f aca="false">IF($E2535="","","记-"&amp;TEXT($B2535,"YYYYMM")&amp;"-费用")</f>
        <v/>
      </c>
      <c r="D2535" s="107" t="str">
        <f aca="false">IF($E2535="","",INDEX(成本费用登记表!$E$4:$E$303,142))</f>
        <v/>
      </c>
      <c r="E2535" s="67" t="str">
        <f aca="false">IF(INDEX(成本费用登记表!$Q$4:$Y$303,142,7)=0,"",INDEX(成本费用登记表!$Q$4:$Y$303,142,7))</f>
        <v/>
      </c>
      <c r="F2535" s="99" t="str">
        <f aca="false">IF($E2535="","",IFERROR(INDEX(科目表!$A$4:$A$81,MATCH($E2535,科目表!$B$4:$B$81,0)),""))</f>
        <v/>
      </c>
      <c r="G2535" s="67" t="str">
        <f aca="false">IF($E2535="","",IFERROR(INDEX(科目表!$E$4:$E$81,MATCH($E2535,科目表!$B$4:$B$81,0)),""))</f>
        <v/>
      </c>
      <c r="H2535" s="70" t="str">
        <f aca="false">IF($E2535="","",N(INDEX(成本费用登记表!$Q$4:$Y$303,142,8)))</f>
        <v/>
      </c>
      <c r="I2535" s="70" t="str">
        <f aca="false">IF($E2535="","",N(INDEX(成本费用登记表!$Q$4:$Y$303,142,9)))</f>
        <v/>
      </c>
      <c r="J2535" s="67" t="str">
        <f aca="false">IF($E2535="","",INDEX(成本费用登记表!$C$4:$C$303,142))</f>
        <v/>
      </c>
      <c r="K2535" s="67" t="str">
        <f aca="false">IF($E2535="","",INDEX(成本费用登记表!$D$4:$D$303,142))</f>
        <v/>
      </c>
      <c r="L2535" s="107" t="str">
        <f aca="false">IF($E2535="","",INDEX(成本费用登记表!$N$4:$N$303,142))</f>
        <v/>
      </c>
      <c r="M2535" s="107"/>
      <c r="N2535" s="67" t="str">
        <f aca="false">IF($E2535="","","系统")</f>
        <v/>
      </c>
      <c r="O2535" s="67" t="str">
        <f aca="false">IF($E2535="","","自动C")</f>
        <v/>
      </c>
      <c r="P2535" s="18"/>
    </row>
    <row r="2536" customFormat="false" ht="18" hidden="false" customHeight="true" outlineLevel="0" collapsed="false">
      <c r="A2536" s="107" t="str">
        <f aca="false">IF($E2536="","",ROW()-3)</f>
        <v/>
      </c>
      <c r="B2536" s="110" t="str">
        <f aca="false">IF($E2536="","",INDEX(成本费用登记表!$B$4:$B$303,143))</f>
        <v/>
      </c>
      <c r="C2536" s="67" t="str">
        <f aca="false">IF($E2536="","","记-"&amp;TEXT($B2536,"YYYYMM")&amp;"-费用")</f>
        <v/>
      </c>
      <c r="D2536" s="107" t="str">
        <f aca="false">IF($E2536="","",INDEX(成本费用登记表!$E$4:$E$303,143))</f>
        <v/>
      </c>
      <c r="E2536" s="67" t="str">
        <f aca="false">IF(INDEX(成本费用登记表!$Q$4:$Y$303,143,1)=0,"",INDEX(成本费用登记表!$Q$4:$Y$303,143,1))</f>
        <v/>
      </c>
      <c r="F2536" s="99" t="str">
        <f aca="false">IF($E2536="","",IFERROR(INDEX(科目表!$A$4:$A$81,MATCH($E2536,科目表!$B$4:$B$81,0)),""))</f>
        <v/>
      </c>
      <c r="G2536" s="67" t="str">
        <f aca="false">IF($E2536="","",IFERROR(INDEX(科目表!$E$4:$E$81,MATCH($E2536,科目表!$B$4:$B$81,0)),""))</f>
        <v/>
      </c>
      <c r="H2536" s="70" t="str">
        <f aca="false">IF($E2536="","",N(INDEX(成本费用登记表!$Q$4:$Y$303,143,2)))</f>
        <v/>
      </c>
      <c r="I2536" s="70" t="str">
        <f aca="false">IF($E2536="","",N(INDEX(成本费用登记表!$Q$4:$Y$303,143,3)))</f>
        <v/>
      </c>
      <c r="J2536" s="67" t="str">
        <f aca="false">IF($E2536="","",INDEX(成本费用登记表!$C$4:$C$303,143))</f>
        <v/>
      </c>
      <c r="K2536" s="67" t="str">
        <f aca="false">IF($E2536="","",INDEX(成本费用登记表!$D$4:$D$303,143))</f>
        <v/>
      </c>
      <c r="L2536" s="107" t="str">
        <f aca="false">IF($E2536="","",INDEX(成本费用登记表!$N$4:$N$303,143))</f>
        <v/>
      </c>
      <c r="M2536" s="107"/>
      <c r="N2536" s="67" t="str">
        <f aca="false">IF($E2536="","","系统")</f>
        <v/>
      </c>
      <c r="O2536" s="67" t="str">
        <f aca="false">IF($E2536="","","自动C")</f>
        <v/>
      </c>
      <c r="P2536" s="18"/>
    </row>
    <row r="2537" customFormat="false" ht="18" hidden="false" customHeight="true" outlineLevel="0" collapsed="false">
      <c r="A2537" s="107" t="str">
        <f aca="false">IF($E2537="","",ROW()-3)</f>
        <v/>
      </c>
      <c r="B2537" s="110" t="str">
        <f aca="false">IF($E2537="","",INDEX(成本费用登记表!$B$4:$B$303,143))</f>
        <v/>
      </c>
      <c r="C2537" s="67" t="str">
        <f aca="false">IF($E2537="","","记-"&amp;TEXT($B2537,"YYYYMM")&amp;"-费用")</f>
        <v/>
      </c>
      <c r="D2537" s="107" t="str">
        <f aca="false">IF($E2537="","",INDEX(成本费用登记表!$E$4:$E$303,143))</f>
        <v/>
      </c>
      <c r="E2537" s="67" t="str">
        <f aca="false">IF(INDEX(成本费用登记表!$Q$4:$Y$303,143,4)=0,"",INDEX(成本费用登记表!$Q$4:$Y$303,143,4))</f>
        <v/>
      </c>
      <c r="F2537" s="99" t="str">
        <f aca="false">IF($E2537="","",IFERROR(INDEX(科目表!$A$4:$A$81,MATCH($E2537,科目表!$B$4:$B$81,0)),""))</f>
        <v/>
      </c>
      <c r="G2537" s="67" t="str">
        <f aca="false">IF($E2537="","",IFERROR(INDEX(科目表!$E$4:$E$81,MATCH($E2537,科目表!$B$4:$B$81,0)),""))</f>
        <v/>
      </c>
      <c r="H2537" s="70" t="str">
        <f aca="false">IF($E2537="","",N(INDEX(成本费用登记表!$Q$4:$Y$303,143,5)))</f>
        <v/>
      </c>
      <c r="I2537" s="70" t="str">
        <f aca="false">IF($E2537="","",N(INDEX(成本费用登记表!$Q$4:$Y$303,143,6)))</f>
        <v/>
      </c>
      <c r="J2537" s="67" t="str">
        <f aca="false">IF($E2537="","",INDEX(成本费用登记表!$C$4:$C$303,143))</f>
        <v/>
      </c>
      <c r="K2537" s="67" t="str">
        <f aca="false">IF($E2537="","",INDEX(成本费用登记表!$D$4:$D$303,143))</f>
        <v/>
      </c>
      <c r="L2537" s="107" t="str">
        <f aca="false">IF($E2537="","",INDEX(成本费用登记表!$N$4:$N$303,143))</f>
        <v/>
      </c>
      <c r="M2537" s="107"/>
      <c r="N2537" s="67" t="str">
        <f aca="false">IF($E2537="","","系统")</f>
        <v/>
      </c>
      <c r="O2537" s="67" t="str">
        <f aca="false">IF($E2537="","","自动C")</f>
        <v/>
      </c>
      <c r="P2537" s="18"/>
    </row>
    <row r="2538" customFormat="false" ht="18" hidden="false" customHeight="true" outlineLevel="0" collapsed="false">
      <c r="A2538" s="107" t="str">
        <f aca="false">IF($E2538="","",ROW()-3)</f>
        <v/>
      </c>
      <c r="B2538" s="110" t="str">
        <f aca="false">IF($E2538="","",INDEX(成本费用登记表!$B$4:$B$303,143))</f>
        <v/>
      </c>
      <c r="C2538" s="67" t="str">
        <f aca="false">IF($E2538="","","记-"&amp;TEXT($B2538,"YYYYMM")&amp;"-费用")</f>
        <v/>
      </c>
      <c r="D2538" s="107" t="str">
        <f aca="false">IF($E2538="","",INDEX(成本费用登记表!$E$4:$E$303,143))</f>
        <v/>
      </c>
      <c r="E2538" s="67" t="str">
        <f aca="false">IF(INDEX(成本费用登记表!$Q$4:$Y$303,143,7)=0,"",INDEX(成本费用登记表!$Q$4:$Y$303,143,7))</f>
        <v/>
      </c>
      <c r="F2538" s="99" t="str">
        <f aca="false">IF($E2538="","",IFERROR(INDEX(科目表!$A$4:$A$81,MATCH($E2538,科目表!$B$4:$B$81,0)),""))</f>
        <v/>
      </c>
      <c r="G2538" s="67" t="str">
        <f aca="false">IF($E2538="","",IFERROR(INDEX(科目表!$E$4:$E$81,MATCH($E2538,科目表!$B$4:$B$81,0)),""))</f>
        <v/>
      </c>
      <c r="H2538" s="70" t="str">
        <f aca="false">IF($E2538="","",N(INDEX(成本费用登记表!$Q$4:$Y$303,143,8)))</f>
        <v/>
      </c>
      <c r="I2538" s="70" t="str">
        <f aca="false">IF($E2538="","",N(INDEX(成本费用登记表!$Q$4:$Y$303,143,9)))</f>
        <v/>
      </c>
      <c r="J2538" s="67" t="str">
        <f aca="false">IF($E2538="","",INDEX(成本费用登记表!$C$4:$C$303,143))</f>
        <v/>
      </c>
      <c r="K2538" s="67" t="str">
        <f aca="false">IF($E2538="","",INDEX(成本费用登记表!$D$4:$D$303,143))</f>
        <v/>
      </c>
      <c r="L2538" s="107" t="str">
        <f aca="false">IF($E2538="","",INDEX(成本费用登记表!$N$4:$N$303,143))</f>
        <v/>
      </c>
      <c r="M2538" s="107"/>
      <c r="N2538" s="67" t="str">
        <f aca="false">IF($E2538="","","系统")</f>
        <v/>
      </c>
      <c r="O2538" s="67" t="str">
        <f aca="false">IF($E2538="","","自动C")</f>
        <v/>
      </c>
      <c r="P2538" s="18"/>
    </row>
    <row r="2539" customFormat="false" ht="18" hidden="false" customHeight="true" outlineLevel="0" collapsed="false">
      <c r="A2539" s="107" t="str">
        <f aca="false">IF($E2539="","",ROW()-3)</f>
        <v/>
      </c>
      <c r="B2539" s="110" t="str">
        <f aca="false">IF($E2539="","",INDEX(成本费用登记表!$B$4:$B$303,144))</f>
        <v/>
      </c>
      <c r="C2539" s="67" t="str">
        <f aca="false">IF($E2539="","","记-"&amp;TEXT($B2539,"YYYYMM")&amp;"-费用")</f>
        <v/>
      </c>
      <c r="D2539" s="107" t="str">
        <f aca="false">IF($E2539="","",INDEX(成本费用登记表!$E$4:$E$303,144))</f>
        <v/>
      </c>
      <c r="E2539" s="67" t="str">
        <f aca="false">IF(INDEX(成本费用登记表!$Q$4:$Y$303,144,1)=0,"",INDEX(成本费用登记表!$Q$4:$Y$303,144,1))</f>
        <v/>
      </c>
      <c r="F2539" s="99" t="str">
        <f aca="false">IF($E2539="","",IFERROR(INDEX(科目表!$A$4:$A$81,MATCH($E2539,科目表!$B$4:$B$81,0)),""))</f>
        <v/>
      </c>
      <c r="G2539" s="67" t="str">
        <f aca="false">IF($E2539="","",IFERROR(INDEX(科目表!$E$4:$E$81,MATCH($E2539,科目表!$B$4:$B$81,0)),""))</f>
        <v/>
      </c>
      <c r="H2539" s="70" t="str">
        <f aca="false">IF($E2539="","",N(INDEX(成本费用登记表!$Q$4:$Y$303,144,2)))</f>
        <v/>
      </c>
      <c r="I2539" s="70" t="str">
        <f aca="false">IF($E2539="","",N(INDEX(成本费用登记表!$Q$4:$Y$303,144,3)))</f>
        <v/>
      </c>
      <c r="J2539" s="67" t="str">
        <f aca="false">IF($E2539="","",INDEX(成本费用登记表!$C$4:$C$303,144))</f>
        <v/>
      </c>
      <c r="K2539" s="67" t="str">
        <f aca="false">IF($E2539="","",INDEX(成本费用登记表!$D$4:$D$303,144))</f>
        <v/>
      </c>
      <c r="L2539" s="107" t="str">
        <f aca="false">IF($E2539="","",INDEX(成本费用登记表!$N$4:$N$303,144))</f>
        <v/>
      </c>
      <c r="M2539" s="107"/>
      <c r="N2539" s="67" t="str">
        <f aca="false">IF($E2539="","","系统")</f>
        <v/>
      </c>
      <c r="O2539" s="67" t="str">
        <f aca="false">IF($E2539="","","自动C")</f>
        <v/>
      </c>
      <c r="P2539" s="18"/>
    </row>
    <row r="2540" customFormat="false" ht="18" hidden="false" customHeight="true" outlineLevel="0" collapsed="false">
      <c r="A2540" s="107" t="str">
        <f aca="false">IF($E2540="","",ROW()-3)</f>
        <v/>
      </c>
      <c r="B2540" s="110" t="str">
        <f aca="false">IF($E2540="","",INDEX(成本费用登记表!$B$4:$B$303,144))</f>
        <v/>
      </c>
      <c r="C2540" s="67" t="str">
        <f aca="false">IF($E2540="","","记-"&amp;TEXT($B2540,"YYYYMM")&amp;"-费用")</f>
        <v/>
      </c>
      <c r="D2540" s="107" t="str">
        <f aca="false">IF($E2540="","",INDEX(成本费用登记表!$E$4:$E$303,144))</f>
        <v/>
      </c>
      <c r="E2540" s="67" t="str">
        <f aca="false">IF(INDEX(成本费用登记表!$Q$4:$Y$303,144,4)=0,"",INDEX(成本费用登记表!$Q$4:$Y$303,144,4))</f>
        <v/>
      </c>
      <c r="F2540" s="99" t="str">
        <f aca="false">IF($E2540="","",IFERROR(INDEX(科目表!$A$4:$A$81,MATCH($E2540,科目表!$B$4:$B$81,0)),""))</f>
        <v/>
      </c>
      <c r="G2540" s="67" t="str">
        <f aca="false">IF($E2540="","",IFERROR(INDEX(科目表!$E$4:$E$81,MATCH($E2540,科目表!$B$4:$B$81,0)),""))</f>
        <v/>
      </c>
      <c r="H2540" s="70" t="str">
        <f aca="false">IF($E2540="","",N(INDEX(成本费用登记表!$Q$4:$Y$303,144,5)))</f>
        <v/>
      </c>
      <c r="I2540" s="70" t="str">
        <f aca="false">IF($E2540="","",N(INDEX(成本费用登记表!$Q$4:$Y$303,144,6)))</f>
        <v/>
      </c>
      <c r="J2540" s="67" t="str">
        <f aca="false">IF($E2540="","",INDEX(成本费用登记表!$C$4:$C$303,144))</f>
        <v/>
      </c>
      <c r="K2540" s="67" t="str">
        <f aca="false">IF($E2540="","",INDEX(成本费用登记表!$D$4:$D$303,144))</f>
        <v/>
      </c>
      <c r="L2540" s="107" t="str">
        <f aca="false">IF($E2540="","",INDEX(成本费用登记表!$N$4:$N$303,144))</f>
        <v/>
      </c>
      <c r="M2540" s="107"/>
      <c r="N2540" s="67" t="str">
        <f aca="false">IF($E2540="","","系统")</f>
        <v/>
      </c>
      <c r="O2540" s="67" t="str">
        <f aca="false">IF($E2540="","","自动C")</f>
        <v/>
      </c>
      <c r="P2540" s="18"/>
    </row>
    <row r="2541" customFormat="false" ht="18" hidden="false" customHeight="true" outlineLevel="0" collapsed="false">
      <c r="A2541" s="107" t="str">
        <f aca="false">IF($E2541="","",ROW()-3)</f>
        <v/>
      </c>
      <c r="B2541" s="110" t="str">
        <f aca="false">IF($E2541="","",INDEX(成本费用登记表!$B$4:$B$303,144))</f>
        <v/>
      </c>
      <c r="C2541" s="67" t="str">
        <f aca="false">IF($E2541="","","记-"&amp;TEXT($B2541,"YYYYMM")&amp;"-费用")</f>
        <v/>
      </c>
      <c r="D2541" s="107" t="str">
        <f aca="false">IF($E2541="","",INDEX(成本费用登记表!$E$4:$E$303,144))</f>
        <v/>
      </c>
      <c r="E2541" s="67" t="str">
        <f aca="false">IF(INDEX(成本费用登记表!$Q$4:$Y$303,144,7)=0,"",INDEX(成本费用登记表!$Q$4:$Y$303,144,7))</f>
        <v/>
      </c>
      <c r="F2541" s="99" t="str">
        <f aca="false">IF($E2541="","",IFERROR(INDEX(科目表!$A$4:$A$81,MATCH($E2541,科目表!$B$4:$B$81,0)),""))</f>
        <v/>
      </c>
      <c r="G2541" s="67" t="str">
        <f aca="false">IF($E2541="","",IFERROR(INDEX(科目表!$E$4:$E$81,MATCH($E2541,科目表!$B$4:$B$81,0)),""))</f>
        <v/>
      </c>
      <c r="H2541" s="70" t="str">
        <f aca="false">IF($E2541="","",N(INDEX(成本费用登记表!$Q$4:$Y$303,144,8)))</f>
        <v/>
      </c>
      <c r="I2541" s="70" t="str">
        <f aca="false">IF($E2541="","",N(INDEX(成本费用登记表!$Q$4:$Y$303,144,9)))</f>
        <v/>
      </c>
      <c r="J2541" s="67" t="str">
        <f aca="false">IF($E2541="","",INDEX(成本费用登记表!$C$4:$C$303,144))</f>
        <v/>
      </c>
      <c r="K2541" s="67" t="str">
        <f aca="false">IF($E2541="","",INDEX(成本费用登记表!$D$4:$D$303,144))</f>
        <v/>
      </c>
      <c r="L2541" s="107" t="str">
        <f aca="false">IF($E2541="","",INDEX(成本费用登记表!$N$4:$N$303,144))</f>
        <v/>
      </c>
      <c r="M2541" s="107"/>
      <c r="N2541" s="67" t="str">
        <f aca="false">IF($E2541="","","系统")</f>
        <v/>
      </c>
      <c r="O2541" s="67" t="str">
        <f aca="false">IF($E2541="","","自动C")</f>
        <v/>
      </c>
      <c r="P2541" s="18"/>
    </row>
    <row r="2542" customFormat="false" ht="18" hidden="false" customHeight="true" outlineLevel="0" collapsed="false">
      <c r="A2542" s="107" t="str">
        <f aca="false">IF($E2542="","",ROW()-3)</f>
        <v/>
      </c>
      <c r="B2542" s="110" t="str">
        <f aca="false">IF($E2542="","",INDEX(成本费用登记表!$B$4:$B$303,145))</f>
        <v/>
      </c>
      <c r="C2542" s="67" t="str">
        <f aca="false">IF($E2542="","","记-"&amp;TEXT($B2542,"YYYYMM")&amp;"-费用")</f>
        <v/>
      </c>
      <c r="D2542" s="107" t="str">
        <f aca="false">IF($E2542="","",INDEX(成本费用登记表!$E$4:$E$303,145))</f>
        <v/>
      </c>
      <c r="E2542" s="67" t="str">
        <f aca="false">IF(INDEX(成本费用登记表!$Q$4:$Y$303,145,1)=0,"",INDEX(成本费用登记表!$Q$4:$Y$303,145,1))</f>
        <v/>
      </c>
      <c r="F2542" s="99" t="str">
        <f aca="false">IF($E2542="","",IFERROR(INDEX(科目表!$A$4:$A$81,MATCH($E2542,科目表!$B$4:$B$81,0)),""))</f>
        <v/>
      </c>
      <c r="G2542" s="67" t="str">
        <f aca="false">IF($E2542="","",IFERROR(INDEX(科目表!$E$4:$E$81,MATCH($E2542,科目表!$B$4:$B$81,0)),""))</f>
        <v/>
      </c>
      <c r="H2542" s="70" t="str">
        <f aca="false">IF($E2542="","",N(INDEX(成本费用登记表!$Q$4:$Y$303,145,2)))</f>
        <v/>
      </c>
      <c r="I2542" s="70" t="str">
        <f aca="false">IF($E2542="","",N(INDEX(成本费用登记表!$Q$4:$Y$303,145,3)))</f>
        <v/>
      </c>
      <c r="J2542" s="67" t="str">
        <f aca="false">IF($E2542="","",INDEX(成本费用登记表!$C$4:$C$303,145))</f>
        <v/>
      </c>
      <c r="K2542" s="67" t="str">
        <f aca="false">IF($E2542="","",INDEX(成本费用登记表!$D$4:$D$303,145))</f>
        <v/>
      </c>
      <c r="L2542" s="107" t="str">
        <f aca="false">IF($E2542="","",INDEX(成本费用登记表!$N$4:$N$303,145))</f>
        <v/>
      </c>
      <c r="M2542" s="107"/>
      <c r="N2542" s="67" t="str">
        <f aca="false">IF($E2542="","","系统")</f>
        <v/>
      </c>
      <c r="O2542" s="67" t="str">
        <f aca="false">IF($E2542="","","自动C")</f>
        <v/>
      </c>
      <c r="P2542" s="18"/>
    </row>
    <row r="2543" customFormat="false" ht="18" hidden="false" customHeight="true" outlineLevel="0" collapsed="false">
      <c r="A2543" s="107" t="str">
        <f aca="false">IF($E2543="","",ROW()-3)</f>
        <v/>
      </c>
      <c r="B2543" s="110" t="str">
        <f aca="false">IF($E2543="","",INDEX(成本费用登记表!$B$4:$B$303,145))</f>
        <v/>
      </c>
      <c r="C2543" s="67" t="str">
        <f aca="false">IF($E2543="","","记-"&amp;TEXT($B2543,"YYYYMM")&amp;"-费用")</f>
        <v/>
      </c>
      <c r="D2543" s="107" t="str">
        <f aca="false">IF($E2543="","",INDEX(成本费用登记表!$E$4:$E$303,145))</f>
        <v/>
      </c>
      <c r="E2543" s="67" t="str">
        <f aca="false">IF(INDEX(成本费用登记表!$Q$4:$Y$303,145,4)=0,"",INDEX(成本费用登记表!$Q$4:$Y$303,145,4))</f>
        <v/>
      </c>
      <c r="F2543" s="99" t="str">
        <f aca="false">IF($E2543="","",IFERROR(INDEX(科目表!$A$4:$A$81,MATCH($E2543,科目表!$B$4:$B$81,0)),""))</f>
        <v/>
      </c>
      <c r="G2543" s="67" t="str">
        <f aca="false">IF($E2543="","",IFERROR(INDEX(科目表!$E$4:$E$81,MATCH($E2543,科目表!$B$4:$B$81,0)),""))</f>
        <v/>
      </c>
      <c r="H2543" s="70" t="str">
        <f aca="false">IF($E2543="","",N(INDEX(成本费用登记表!$Q$4:$Y$303,145,5)))</f>
        <v/>
      </c>
      <c r="I2543" s="70" t="str">
        <f aca="false">IF($E2543="","",N(INDEX(成本费用登记表!$Q$4:$Y$303,145,6)))</f>
        <v/>
      </c>
      <c r="J2543" s="67" t="str">
        <f aca="false">IF($E2543="","",INDEX(成本费用登记表!$C$4:$C$303,145))</f>
        <v/>
      </c>
      <c r="K2543" s="67" t="str">
        <f aca="false">IF($E2543="","",INDEX(成本费用登记表!$D$4:$D$303,145))</f>
        <v/>
      </c>
      <c r="L2543" s="107" t="str">
        <f aca="false">IF($E2543="","",INDEX(成本费用登记表!$N$4:$N$303,145))</f>
        <v/>
      </c>
      <c r="M2543" s="107"/>
      <c r="N2543" s="67" t="str">
        <f aca="false">IF($E2543="","","系统")</f>
        <v/>
      </c>
      <c r="O2543" s="67" t="str">
        <f aca="false">IF($E2543="","","自动C")</f>
        <v/>
      </c>
      <c r="P2543" s="18"/>
    </row>
    <row r="2544" customFormat="false" ht="18" hidden="false" customHeight="true" outlineLevel="0" collapsed="false">
      <c r="A2544" s="107" t="str">
        <f aca="false">IF($E2544="","",ROW()-3)</f>
        <v/>
      </c>
      <c r="B2544" s="110" t="str">
        <f aca="false">IF($E2544="","",INDEX(成本费用登记表!$B$4:$B$303,145))</f>
        <v/>
      </c>
      <c r="C2544" s="67" t="str">
        <f aca="false">IF($E2544="","","记-"&amp;TEXT($B2544,"YYYYMM")&amp;"-费用")</f>
        <v/>
      </c>
      <c r="D2544" s="107" t="str">
        <f aca="false">IF($E2544="","",INDEX(成本费用登记表!$E$4:$E$303,145))</f>
        <v/>
      </c>
      <c r="E2544" s="67" t="str">
        <f aca="false">IF(INDEX(成本费用登记表!$Q$4:$Y$303,145,7)=0,"",INDEX(成本费用登记表!$Q$4:$Y$303,145,7))</f>
        <v/>
      </c>
      <c r="F2544" s="99" t="str">
        <f aca="false">IF($E2544="","",IFERROR(INDEX(科目表!$A$4:$A$81,MATCH($E2544,科目表!$B$4:$B$81,0)),""))</f>
        <v/>
      </c>
      <c r="G2544" s="67" t="str">
        <f aca="false">IF($E2544="","",IFERROR(INDEX(科目表!$E$4:$E$81,MATCH($E2544,科目表!$B$4:$B$81,0)),""))</f>
        <v/>
      </c>
      <c r="H2544" s="70" t="str">
        <f aca="false">IF($E2544="","",N(INDEX(成本费用登记表!$Q$4:$Y$303,145,8)))</f>
        <v/>
      </c>
      <c r="I2544" s="70" t="str">
        <f aca="false">IF($E2544="","",N(INDEX(成本费用登记表!$Q$4:$Y$303,145,9)))</f>
        <v/>
      </c>
      <c r="J2544" s="67" t="str">
        <f aca="false">IF($E2544="","",INDEX(成本费用登记表!$C$4:$C$303,145))</f>
        <v/>
      </c>
      <c r="K2544" s="67" t="str">
        <f aca="false">IF($E2544="","",INDEX(成本费用登记表!$D$4:$D$303,145))</f>
        <v/>
      </c>
      <c r="L2544" s="107" t="str">
        <f aca="false">IF($E2544="","",INDEX(成本费用登记表!$N$4:$N$303,145))</f>
        <v/>
      </c>
      <c r="M2544" s="107"/>
      <c r="N2544" s="67" t="str">
        <f aca="false">IF($E2544="","","系统")</f>
        <v/>
      </c>
      <c r="O2544" s="67" t="str">
        <f aca="false">IF($E2544="","","自动C")</f>
        <v/>
      </c>
      <c r="P2544" s="18"/>
    </row>
    <row r="2545" customFormat="false" ht="18" hidden="false" customHeight="true" outlineLevel="0" collapsed="false">
      <c r="A2545" s="107" t="str">
        <f aca="false">IF($E2545="","",ROW()-3)</f>
        <v/>
      </c>
      <c r="B2545" s="110" t="str">
        <f aca="false">IF($E2545="","",INDEX(成本费用登记表!$B$4:$B$303,146))</f>
        <v/>
      </c>
      <c r="C2545" s="67" t="str">
        <f aca="false">IF($E2545="","","记-"&amp;TEXT($B2545,"YYYYMM")&amp;"-费用")</f>
        <v/>
      </c>
      <c r="D2545" s="107" t="str">
        <f aca="false">IF($E2545="","",INDEX(成本费用登记表!$E$4:$E$303,146))</f>
        <v/>
      </c>
      <c r="E2545" s="67" t="str">
        <f aca="false">IF(INDEX(成本费用登记表!$Q$4:$Y$303,146,1)=0,"",INDEX(成本费用登记表!$Q$4:$Y$303,146,1))</f>
        <v/>
      </c>
      <c r="F2545" s="99" t="str">
        <f aca="false">IF($E2545="","",IFERROR(INDEX(科目表!$A$4:$A$81,MATCH($E2545,科目表!$B$4:$B$81,0)),""))</f>
        <v/>
      </c>
      <c r="G2545" s="67" t="str">
        <f aca="false">IF($E2545="","",IFERROR(INDEX(科目表!$E$4:$E$81,MATCH($E2545,科目表!$B$4:$B$81,0)),""))</f>
        <v/>
      </c>
      <c r="H2545" s="70" t="str">
        <f aca="false">IF($E2545="","",N(INDEX(成本费用登记表!$Q$4:$Y$303,146,2)))</f>
        <v/>
      </c>
      <c r="I2545" s="70" t="str">
        <f aca="false">IF($E2545="","",N(INDEX(成本费用登记表!$Q$4:$Y$303,146,3)))</f>
        <v/>
      </c>
      <c r="J2545" s="67" t="str">
        <f aca="false">IF($E2545="","",INDEX(成本费用登记表!$C$4:$C$303,146))</f>
        <v/>
      </c>
      <c r="K2545" s="67" t="str">
        <f aca="false">IF($E2545="","",INDEX(成本费用登记表!$D$4:$D$303,146))</f>
        <v/>
      </c>
      <c r="L2545" s="107" t="str">
        <f aca="false">IF($E2545="","",INDEX(成本费用登记表!$N$4:$N$303,146))</f>
        <v/>
      </c>
      <c r="M2545" s="107"/>
      <c r="N2545" s="67" t="str">
        <f aca="false">IF($E2545="","","系统")</f>
        <v/>
      </c>
      <c r="O2545" s="67" t="str">
        <f aca="false">IF($E2545="","","自动C")</f>
        <v/>
      </c>
      <c r="P2545" s="18"/>
    </row>
    <row r="2546" customFormat="false" ht="18" hidden="false" customHeight="true" outlineLevel="0" collapsed="false">
      <c r="A2546" s="107" t="str">
        <f aca="false">IF($E2546="","",ROW()-3)</f>
        <v/>
      </c>
      <c r="B2546" s="110" t="str">
        <f aca="false">IF($E2546="","",INDEX(成本费用登记表!$B$4:$B$303,146))</f>
        <v/>
      </c>
      <c r="C2546" s="67" t="str">
        <f aca="false">IF($E2546="","","记-"&amp;TEXT($B2546,"YYYYMM")&amp;"-费用")</f>
        <v/>
      </c>
      <c r="D2546" s="107" t="str">
        <f aca="false">IF($E2546="","",INDEX(成本费用登记表!$E$4:$E$303,146))</f>
        <v/>
      </c>
      <c r="E2546" s="67" t="str">
        <f aca="false">IF(INDEX(成本费用登记表!$Q$4:$Y$303,146,4)=0,"",INDEX(成本费用登记表!$Q$4:$Y$303,146,4))</f>
        <v/>
      </c>
      <c r="F2546" s="99" t="str">
        <f aca="false">IF($E2546="","",IFERROR(INDEX(科目表!$A$4:$A$81,MATCH($E2546,科目表!$B$4:$B$81,0)),""))</f>
        <v/>
      </c>
      <c r="G2546" s="67" t="str">
        <f aca="false">IF($E2546="","",IFERROR(INDEX(科目表!$E$4:$E$81,MATCH($E2546,科目表!$B$4:$B$81,0)),""))</f>
        <v/>
      </c>
      <c r="H2546" s="70" t="str">
        <f aca="false">IF($E2546="","",N(INDEX(成本费用登记表!$Q$4:$Y$303,146,5)))</f>
        <v/>
      </c>
      <c r="I2546" s="70" t="str">
        <f aca="false">IF($E2546="","",N(INDEX(成本费用登记表!$Q$4:$Y$303,146,6)))</f>
        <v/>
      </c>
      <c r="J2546" s="67" t="str">
        <f aca="false">IF($E2546="","",INDEX(成本费用登记表!$C$4:$C$303,146))</f>
        <v/>
      </c>
      <c r="K2546" s="67" t="str">
        <f aca="false">IF($E2546="","",INDEX(成本费用登记表!$D$4:$D$303,146))</f>
        <v/>
      </c>
      <c r="L2546" s="107" t="str">
        <f aca="false">IF($E2546="","",INDEX(成本费用登记表!$N$4:$N$303,146))</f>
        <v/>
      </c>
      <c r="M2546" s="107"/>
      <c r="N2546" s="67" t="str">
        <f aca="false">IF($E2546="","","系统")</f>
        <v/>
      </c>
      <c r="O2546" s="67" t="str">
        <f aca="false">IF($E2546="","","自动C")</f>
        <v/>
      </c>
      <c r="P2546" s="18"/>
    </row>
    <row r="2547" customFormat="false" ht="18" hidden="false" customHeight="true" outlineLevel="0" collapsed="false">
      <c r="A2547" s="107" t="str">
        <f aca="false">IF($E2547="","",ROW()-3)</f>
        <v/>
      </c>
      <c r="B2547" s="110" t="str">
        <f aca="false">IF($E2547="","",INDEX(成本费用登记表!$B$4:$B$303,146))</f>
        <v/>
      </c>
      <c r="C2547" s="67" t="str">
        <f aca="false">IF($E2547="","","记-"&amp;TEXT($B2547,"YYYYMM")&amp;"-费用")</f>
        <v/>
      </c>
      <c r="D2547" s="107" t="str">
        <f aca="false">IF($E2547="","",INDEX(成本费用登记表!$E$4:$E$303,146))</f>
        <v/>
      </c>
      <c r="E2547" s="67" t="str">
        <f aca="false">IF(INDEX(成本费用登记表!$Q$4:$Y$303,146,7)=0,"",INDEX(成本费用登记表!$Q$4:$Y$303,146,7))</f>
        <v/>
      </c>
      <c r="F2547" s="99" t="str">
        <f aca="false">IF($E2547="","",IFERROR(INDEX(科目表!$A$4:$A$81,MATCH($E2547,科目表!$B$4:$B$81,0)),""))</f>
        <v/>
      </c>
      <c r="G2547" s="67" t="str">
        <f aca="false">IF($E2547="","",IFERROR(INDEX(科目表!$E$4:$E$81,MATCH($E2547,科目表!$B$4:$B$81,0)),""))</f>
        <v/>
      </c>
      <c r="H2547" s="70" t="str">
        <f aca="false">IF($E2547="","",N(INDEX(成本费用登记表!$Q$4:$Y$303,146,8)))</f>
        <v/>
      </c>
      <c r="I2547" s="70" t="str">
        <f aca="false">IF($E2547="","",N(INDEX(成本费用登记表!$Q$4:$Y$303,146,9)))</f>
        <v/>
      </c>
      <c r="J2547" s="67" t="str">
        <f aca="false">IF($E2547="","",INDEX(成本费用登记表!$C$4:$C$303,146))</f>
        <v/>
      </c>
      <c r="K2547" s="67" t="str">
        <f aca="false">IF($E2547="","",INDEX(成本费用登记表!$D$4:$D$303,146))</f>
        <v/>
      </c>
      <c r="L2547" s="107" t="str">
        <f aca="false">IF($E2547="","",INDEX(成本费用登记表!$N$4:$N$303,146))</f>
        <v/>
      </c>
      <c r="M2547" s="107"/>
      <c r="N2547" s="67" t="str">
        <f aca="false">IF($E2547="","","系统")</f>
        <v/>
      </c>
      <c r="O2547" s="67" t="str">
        <f aca="false">IF($E2547="","","自动C")</f>
        <v/>
      </c>
      <c r="P2547" s="18"/>
    </row>
    <row r="2548" customFormat="false" ht="18" hidden="false" customHeight="true" outlineLevel="0" collapsed="false">
      <c r="A2548" s="107" t="str">
        <f aca="false">IF($E2548="","",ROW()-3)</f>
        <v/>
      </c>
      <c r="B2548" s="110" t="str">
        <f aca="false">IF($E2548="","",INDEX(成本费用登记表!$B$4:$B$303,147))</f>
        <v/>
      </c>
      <c r="C2548" s="67" t="str">
        <f aca="false">IF($E2548="","","记-"&amp;TEXT($B2548,"YYYYMM")&amp;"-费用")</f>
        <v/>
      </c>
      <c r="D2548" s="107" t="str">
        <f aca="false">IF($E2548="","",INDEX(成本费用登记表!$E$4:$E$303,147))</f>
        <v/>
      </c>
      <c r="E2548" s="67" t="str">
        <f aca="false">IF(INDEX(成本费用登记表!$Q$4:$Y$303,147,1)=0,"",INDEX(成本费用登记表!$Q$4:$Y$303,147,1))</f>
        <v/>
      </c>
      <c r="F2548" s="99" t="str">
        <f aca="false">IF($E2548="","",IFERROR(INDEX(科目表!$A$4:$A$81,MATCH($E2548,科目表!$B$4:$B$81,0)),""))</f>
        <v/>
      </c>
      <c r="G2548" s="67" t="str">
        <f aca="false">IF($E2548="","",IFERROR(INDEX(科目表!$E$4:$E$81,MATCH($E2548,科目表!$B$4:$B$81,0)),""))</f>
        <v/>
      </c>
      <c r="H2548" s="70" t="str">
        <f aca="false">IF($E2548="","",N(INDEX(成本费用登记表!$Q$4:$Y$303,147,2)))</f>
        <v/>
      </c>
      <c r="I2548" s="70" t="str">
        <f aca="false">IF($E2548="","",N(INDEX(成本费用登记表!$Q$4:$Y$303,147,3)))</f>
        <v/>
      </c>
      <c r="J2548" s="67" t="str">
        <f aca="false">IF($E2548="","",INDEX(成本费用登记表!$C$4:$C$303,147))</f>
        <v/>
      </c>
      <c r="K2548" s="67" t="str">
        <f aca="false">IF($E2548="","",INDEX(成本费用登记表!$D$4:$D$303,147))</f>
        <v/>
      </c>
      <c r="L2548" s="107" t="str">
        <f aca="false">IF($E2548="","",INDEX(成本费用登记表!$N$4:$N$303,147))</f>
        <v/>
      </c>
      <c r="M2548" s="107"/>
      <c r="N2548" s="67" t="str">
        <f aca="false">IF($E2548="","","系统")</f>
        <v/>
      </c>
      <c r="O2548" s="67" t="str">
        <f aca="false">IF($E2548="","","自动C")</f>
        <v/>
      </c>
      <c r="P2548" s="18"/>
    </row>
    <row r="2549" customFormat="false" ht="18" hidden="false" customHeight="true" outlineLevel="0" collapsed="false">
      <c r="A2549" s="107" t="str">
        <f aca="false">IF($E2549="","",ROW()-3)</f>
        <v/>
      </c>
      <c r="B2549" s="110" t="str">
        <f aca="false">IF($E2549="","",INDEX(成本费用登记表!$B$4:$B$303,147))</f>
        <v/>
      </c>
      <c r="C2549" s="67" t="str">
        <f aca="false">IF($E2549="","","记-"&amp;TEXT($B2549,"YYYYMM")&amp;"-费用")</f>
        <v/>
      </c>
      <c r="D2549" s="107" t="str">
        <f aca="false">IF($E2549="","",INDEX(成本费用登记表!$E$4:$E$303,147))</f>
        <v/>
      </c>
      <c r="E2549" s="67" t="str">
        <f aca="false">IF(INDEX(成本费用登记表!$Q$4:$Y$303,147,4)=0,"",INDEX(成本费用登记表!$Q$4:$Y$303,147,4))</f>
        <v/>
      </c>
      <c r="F2549" s="99" t="str">
        <f aca="false">IF($E2549="","",IFERROR(INDEX(科目表!$A$4:$A$81,MATCH($E2549,科目表!$B$4:$B$81,0)),""))</f>
        <v/>
      </c>
      <c r="G2549" s="67" t="str">
        <f aca="false">IF($E2549="","",IFERROR(INDEX(科目表!$E$4:$E$81,MATCH($E2549,科目表!$B$4:$B$81,0)),""))</f>
        <v/>
      </c>
      <c r="H2549" s="70" t="str">
        <f aca="false">IF($E2549="","",N(INDEX(成本费用登记表!$Q$4:$Y$303,147,5)))</f>
        <v/>
      </c>
      <c r="I2549" s="70" t="str">
        <f aca="false">IF($E2549="","",N(INDEX(成本费用登记表!$Q$4:$Y$303,147,6)))</f>
        <v/>
      </c>
      <c r="J2549" s="67" t="str">
        <f aca="false">IF($E2549="","",INDEX(成本费用登记表!$C$4:$C$303,147))</f>
        <v/>
      </c>
      <c r="K2549" s="67" t="str">
        <f aca="false">IF($E2549="","",INDEX(成本费用登记表!$D$4:$D$303,147))</f>
        <v/>
      </c>
      <c r="L2549" s="107" t="str">
        <f aca="false">IF($E2549="","",INDEX(成本费用登记表!$N$4:$N$303,147))</f>
        <v/>
      </c>
      <c r="M2549" s="107"/>
      <c r="N2549" s="67" t="str">
        <f aca="false">IF($E2549="","","系统")</f>
        <v/>
      </c>
      <c r="O2549" s="67" t="str">
        <f aca="false">IF($E2549="","","自动C")</f>
        <v/>
      </c>
      <c r="P2549" s="18"/>
    </row>
    <row r="2550" customFormat="false" ht="18" hidden="false" customHeight="true" outlineLevel="0" collapsed="false">
      <c r="A2550" s="107" t="str">
        <f aca="false">IF($E2550="","",ROW()-3)</f>
        <v/>
      </c>
      <c r="B2550" s="110" t="str">
        <f aca="false">IF($E2550="","",INDEX(成本费用登记表!$B$4:$B$303,147))</f>
        <v/>
      </c>
      <c r="C2550" s="67" t="str">
        <f aca="false">IF($E2550="","","记-"&amp;TEXT($B2550,"YYYYMM")&amp;"-费用")</f>
        <v/>
      </c>
      <c r="D2550" s="107" t="str">
        <f aca="false">IF($E2550="","",INDEX(成本费用登记表!$E$4:$E$303,147))</f>
        <v/>
      </c>
      <c r="E2550" s="67" t="str">
        <f aca="false">IF(INDEX(成本费用登记表!$Q$4:$Y$303,147,7)=0,"",INDEX(成本费用登记表!$Q$4:$Y$303,147,7))</f>
        <v/>
      </c>
      <c r="F2550" s="99" t="str">
        <f aca="false">IF($E2550="","",IFERROR(INDEX(科目表!$A$4:$A$81,MATCH($E2550,科目表!$B$4:$B$81,0)),""))</f>
        <v/>
      </c>
      <c r="G2550" s="67" t="str">
        <f aca="false">IF($E2550="","",IFERROR(INDEX(科目表!$E$4:$E$81,MATCH($E2550,科目表!$B$4:$B$81,0)),""))</f>
        <v/>
      </c>
      <c r="H2550" s="70" t="str">
        <f aca="false">IF($E2550="","",N(INDEX(成本费用登记表!$Q$4:$Y$303,147,8)))</f>
        <v/>
      </c>
      <c r="I2550" s="70" t="str">
        <f aca="false">IF($E2550="","",N(INDEX(成本费用登记表!$Q$4:$Y$303,147,9)))</f>
        <v/>
      </c>
      <c r="J2550" s="67" t="str">
        <f aca="false">IF($E2550="","",INDEX(成本费用登记表!$C$4:$C$303,147))</f>
        <v/>
      </c>
      <c r="K2550" s="67" t="str">
        <f aca="false">IF($E2550="","",INDEX(成本费用登记表!$D$4:$D$303,147))</f>
        <v/>
      </c>
      <c r="L2550" s="107" t="str">
        <f aca="false">IF($E2550="","",INDEX(成本费用登记表!$N$4:$N$303,147))</f>
        <v/>
      </c>
      <c r="M2550" s="107"/>
      <c r="N2550" s="67" t="str">
        <f aca="false">IF($E2550="","","系统")</f>
        <v/>
      </c>
      <c r="O2550" s="67" t="str">
        <f aca="false">IF($E2550="","","自动C")</f>
        <v/>
      </c>
      <c r="P2550" s="18"/>
    </row>
    <row r="2551" customFormat="false" ht="18" hidden="false" customHeight="true" outlineLevel="0" collapsed="false">
      <c r="A2551" s="107" t="str">
        <f aca="false">IF($E2551="","",ROW()-3)</f>
        <v/>
      </c>
      <c r="B2551" s="110" t="str">
        <f aca="false">IF($E2551="","",INDEX(成本费用登记表!$B$4:$B$303,148))</f>
        <v/>
      </c>
      <c r="C2551" s="67" t="str">
        <f aca="false">IF($E2551="","","记-"&amp;TEXT($B2551,"YYYYMM")&amp;"-费用")</f>
        <v/>
      </c>
      <c r="D2551" s="107" t="str">
        <f aca="false">IF($E2551="","",INDEX(成本费用登记表!$E$4:$E$303,148))</f>
        <v/>
      </c>
      <c r="E2551" s="67" t="str">
        <f aca="false">IF(INDEX(成本费用登记表!$Q$4:$Y$303,148,1)=0,"",INDEX(成本费用登记表!$Q$4:$Y$303,148,1))</f>
        <v/>
      </c>
      <c r="F2551" s="99" t="str">
        <f aca="false">IF($E2551="","",IFERROR(INDEX(科目表!$A$4:$A$81,MATCH($E2551,科目表!$B$4:$B$81,0)),""))</f>
        <v/>
      </c>
      <c r="G2551" s="67" t="str">
        <f aca="false">IF($E2551="","",IFERROR(INDEX(科目表!$E$4:$E$81,MATCH($E2551,科目表!$B$4:$B$81,0)),""))</f>
        <v/>
      </c>
      <c r="H2551" s="70" t="str">
        <f aca="false">IF($E2551="","",N(INDEX(成本费用登记表!$Q$4:$Y$303,148,2)))</f>
        <v/>
      </c>
      <c r="I2551" s="70" t="str">
        <f aca="false">IF($E2551="","",N(INDEX(成本费用登记表!$Q$4:$Y$303,148,3)))</f>
        <v/>
      </c>
      <c r="J2551" s="67" t="str">
        <f aca="false">IF($E2551="","",INDEX(成本费用登记表!$C$4:$C$303,148))</f>
        <v/>
      </c>
      <c r="K2551" s="67" t="str">
        <f aca="false">IF($E2551="","",INDEX(成本费用登记表!$D$4:$D$303,148))</f>
        <v/>
      </c>
      <c r="L2551" s="107" t="str">
        <f aca="false">IF($E2551="","",INDEX(成本费用登记表!$N$4:$N$303,148))</f>
        <v/>
      </c>
      <c r="M2551" s="107"/>
      <c r="N2551" s="67" t="str">
        <f aca="false">IF($E2551="","","系统")</f>
        <v/>
      </c>
      <c r="O2551" s="67" t="str">
        <f aca="false">IF($E2551="","","自动C")</f>
        <v/>
      </c>
      <c r="P2551" s="18"/>
    </row>
    <row r="2552" customFormat="false" ht="18" hidden="false" customHeight="true" outlineLevel="0" collapsed="false">
      <c r="A2552" s="107" t="str">
        <f aca="false">IF($E2552="","",ROW()-3)</f>
        <v/>
      </c>
      <c r="B2552" s="110" t="str">
        <f aca="false">IF($E2552="","",INDEX(成本费用登记表!$B$4:$B$303,148))</f>
        <v/>
      </c>
      <c r="C2552" s="67" t="str">
        <f aca="false">IF($E2552="","","记-"&amp;TEXT($B2552,"YYYYMM")&amp;"-费用")</f>
        <v/>
      </c>
      <c r="D2552" s="107" t="str">
        <f aca="false">IF($E2552="","",INDEX(成本费用登记表!$E$4:$E$303,148))</f>
        <v/>
      </c>
      <c r="E2552" s="67" t="str">
        <f aca="false">IF(INDEX(成本费用登记表!$Q$4:$Y$303,148,4)=0,"",INDEX(成本费用登记表!$Q$4:$Y$303,148,4))</f>
        <v/>
      </c>
      <c r="F2552" s="99" t="str">
        <f aca="false">IF($E2552="","",IFERROR(INDEX(科目表!$A$4:$A$81,MATCH($E2552,科目表!$B$4:$B$81,0)),""))</f>
        <v/>
      </c>
      <c r="G2552" s="67" t="str">
        <f aca="false">IF($E2552="","",IFERROR(INDEX(科目表!$E$4:$E$81,MATCH($E2552,科目表!$B$4:$B$81,0)),""))</f>
        <v/>
      </c>
      <c r="H2552" s="70" t="str">
        <f aca="false">IF($E2552="","",N(INDEX(成本费用登记表!$Q$4:$Y$303,148,5)))</f>
        <v/>
      </c>
      <c r="I2552" s="70" t="str">
        <f aca="false">IF($E2552="","",N(INDEX(成本费用登记表!$Q$4:$Y$303,148,6)))</f>
        <v/>
      </c>
      <c r="J2552" s="67" t="str">
        <f aca="false">IF($E2552="","",INDEX(成本费用登记表!$C$4:$C$303,148))</f>
        <v/>
      </c>
      <c r="K2552" s="67" t="str">
        <f aca="false">IF($E2552="","",INDEX(成本费用登记表!$D$4:$D$303,148))</f>
        <v/>
      </c>
      <c r="L2552" s="107" t="str">
        <f aca="false">IF($E2552="","",INDEX(成本费用登记表!$N$4:$N$303,148))</f>
        <v/>
      </c>
      <c r="M2552" s="107"/>
      <c r="N2552" s="67" t="str">
        <f aca="false">IF($E2552="","","系统")</f>
        <v/>
      </c>
      <c r="O2552" s="67" t="str">
        <f aca="false">IF($E2552="","","自动C")</f>
        <v/>
      </c>
      <c r="P2552" s="18"/>
    </row>
    <row r="2553" customFormat="false" ht="18" hidden="false" customHeight="true" outlineLevel="0" collapsed="false">
      <c r="A2553" s="107" t="str">
        <f aca="false">IF($E2553="","",ROW()-3)</f>
        <v/>
      </c>
      <c r="B2553" s="110" t="str">
        <f aca="false">IF($E2553="","",INDEX(成本费用登记表!$B$4:$B$303,148))</f>
        <v/>
      </c>
      <c r="C2553" s="67" t="str">
        <f aca="false">IF($E2553="","","记-"&amp;TEXT($B2553,"YYYYMM")&amp;"-费用")</f>
        <v/>
      </c>
      <c r="D2553" s="107" t="str">
        <f aca="false">IF($E2553="","",INDEX(成本费用登记表!$E$4:$E$303,148))</f>
        <v/>
      </c>
      <c r="E2553" s="67" t="str">
        <f aca="false">IF(INDEX(成本费用登记表!$Q$4:$Y$303,148,7)=0,"",INDEX(成本费用登记表!$Q$4:$Y$303,148,7))</f>
        <v/>
      </c>
      <c r="F2553" s="99" t="str">
        <f aca="false">IF($E2553="","",IFERROR(INDEX(科目表!$A$4:$A$81,MATCH($E2553,科目表!$B$4:$B$81,0)),""))</f>
        <v/>
      </c>
      <c r="G2553" s="67" t="str">
        <f aca="false">IF($E2553="","",IFERROR(INDEX(科目表!$E$4:$E$81,MATCH($E2553,科目表!$B$4:$B$81,0)),""))</f>
        <v/>
      </c>
      <c r="H2553" s="70" t="str">
        <f aca="false">IF($E2553="","",N(INDEX(成本费用登记表!$Q$4:$Y$303,148,8)))</f>
        <v/>
      </c>
      <c r="I2553" s="70" t="str">
        <f aca="false">IF($E2553="","",N(INDEX(成本费用登记表!$Q$4:$Y$303,148,9)))</f>
        <v/>
      </c>
      <c r="J2553" s="67" t="str">
        <f aca="false">IF($E2553="","",INDEX(成本费用登记表!$C$4:$C$303,148))</f>
        <v/>
      </c>
      <c r="K2553" s="67" t="str">
        <f aca="false">IF($E2553="","",INDEX(成本费用登记表!$D$4:$D$303,148))</f>
        <v/>
      </c>
      <c r="L2553" s="107" t="str">
        <f aca="false">IF($E2553="","",INDEX(成本费用登记表!$N$4:$N$303,148))</f>
        <v/>
      </c>
      <c r="M2553" s="107"/>
      <c r="N2553" s="67" t="str">
        <f aca="false">IF($E2553="","","系统")</f>
        <v/>
      </c>
      <c r="O2553" s="67" t="str">
        <f aca="false">IF($E2553="","","自动C")</f>
        <v/>
      </c>
      <c r="P2553" s="18"/>
    </row>
    <row r="2554" customFormat="false" ht="18" hidden="false" customHeight="true" outlineLevel="0" collapsed="false">
      <c r="A2554" s="107" t="str">
        <f aca="false">IF($E2554="","",ROW()-3)</f>
        <v/>
      </c>
      <c r="B2554" s="110" t="str">
        <f aca="false">IF($E2554="","",INDEX(成本费用登记表!$B$4:$B$303,149))</f>
        <v/>
      </c>
      <c r="C2554" s="67" t="str">
        <f aca="false">IF($E2554="","","记-"&amp;TEXT($B2554,"YYYYMM")&amp;"-费用")</f>
        <v/>
      </c>
      <c r="D2554" s="107" t="str">
        <f aca="false">IF($E2554="","",INDEX(成本费用登记表!$E$4:$E$303,149))</f>
        <v/>
      </c>
      <c r="E2554" s="67" t="str">
        <f aca="false">IF(INDEX(成本费用登记表!$Q$4:$Y$303,149,1)=0,"",INDEX(成本费用登记表!$Q$4:$Y$303,149,1))</f>
        <v/>
      </c>
      <c r="F2554" s="99" t="str">
        <f aca="false">IF($E2554="","",IFERROR(INDEX(科目表!$A$4:$A$81,MATCH($E2554,科目表!$B$4:$B$81,0)),""))</f>
        <v/>
      </c>
      <c r="G2554" s="67" t="str">
        <f aca="false">IF($E2554="","",IFERROR(INDEX(科目表!$E$4:$E$81,MATCH($E2554,科目表!$B$4:$B$81,0)),""))</f>
        <v/>
      </c>
      <c r="H2554" s="70" t="str">
        <f aca="false">IF($E2554="","",N(INDEX(成本费用登记表!$Q$4:$Y$303,149,2)))</f>
        <v/>
      </c>
      <c r="I2554" s="70" t="str">
        <f aca="false">IF($E2554="","",N(INDEX(成本费用登记表!$Q$4:$Y$303,149,3)))</f>
        <v/>
      </c>
      <c r="J2554" s="67" t="str">
        <f aca="false">IF($E2554="","",INDEX(成本费用登记表!$C$4:$C$303,149))</f>
        <v/>
      </c>
      <c r="K2554" s="67" t="str">
        <f aca="false">IF($E2554="","",INDEX(成本费用登记表!$D$4:$D$303,149))</f>
        <v/>
      </c>
      <c r="L2554" s="107" t="str">
        <f aca="false">IF($E2554="","",INDEX(成本费用登记表!$N$4:$N$303,149))</f>
        <v/>
      </c>
      <c r="M2554" s="107"/>
      <c r="N2554" s="67" t="str">
        <f aca="false">IF($E2554="","","系统")</f>
        <v/>
      </c>
      <c r="O2554" s="67" t="str">
        <f aca="false">IF($E2554="","","自动C")</f>
        <v/>
      </c>
      <c r="P2554" s="18"/>
    </row>
    <row r="2555" customFormat="false" ht="18" hidden="false" customHeight="true" outlineLevel="0" collapsed="false">
      <c r="A2555" s="107" t="str">
        <f aca="false">IF($E2555="","",ROW()-3)</f>
        <v/>
      </c>
      <c r="B2555" s="110" t="str">
        <f aca="false">IF($E2555="","",INDEX(成本费用登记表!$B$4:$B$303,149))</f>
        <v/>
      </c>
      <c r="C2555" s="67" t="str">
        <f aca="false">IF($E2555="","","记-"&amp;TEXT($B2555,"YYYYMM")&amp;"-费用")</f>
        <v/>
      </c>
      <c r="D2555" s="107" t="str">
        <f aca="false">IF($E2555="","",INDEX(成本费用登记表!$E$4:$E$303,149))</f>
        <v/>
      </c>
      <c r="E2555" s="67" t="str">
        <f aca="false">IF(INDEX(成本费用登记表!$Q$4:$Y$303,149,4)=0,"",INDEX(成本费用登记表!$Q$4:$Y$303,149,4))</f>
        <v/>
      </c>
      <c r="F2555" s="99" t="str">
        <f aca="false">IF($E2555="","",IFERROR(INDEX(科目表!$A$4:$A$81,MATCH($E2555,科目表!$B$4:$B$81,0)),""))</f>
        <v/>
      </c>
      <c r="G2555" s="67" t="str">
        <f aca="false">IF($E2555="","",IFERROR(INDEX(科目表!$E$4:$E$81,MATCH($E2555,科目表!$B$4:$B$81,0)),""))</f>
        <v/>
      </c>
      <c r="H2555" s="70" t="str">
        <f aca="false">IF($E2555="","",N(INDEX(成本费用登记表!$Q$4:$Y$303,149,5)))</f>
        <v/>
      </c>
      <c r="I2555" s="70" t="str">
        <f aca="false">IF($E2555="","",N(INDEX(成本费用登记表!$Q$4:$Y$303,149,6)))</f>
        <v/>
      </c>
      <c r="J2555" s="67" t="str">
        <f aca="false">IF($E2555="","",INDEX(成本费用登记表!$C$4:$C$303,149))</f>
        <v/>
      </c>
      <c r="K2555" s="67" t="str">
        <f aca="false">IF($E2555="","",INDEX(成本费用登记表!$D$4:$D$303,149))</f>
        <v/>
      </c>
      <c r="L2555" s="107" t="str">
        <f aca="false">IF($E2555="","",INDEX(成本费用登记表!$N$4:$N$303,149))</f>
        <v/>
      </c>
      <c r="M2555" s="107"/>
      <c r="N2555" s="67" t="str">
        <f aca="false">IF($E2555="","","系统")</f>
        <v/>
      </c>
      <c r="O2555" s="67" t="str">
        <f aca="false">IF($E2555="","","自动C")</f>
        <v/>
      </c>
      <c r="P2555" s="18"/>
    </row>
    <row r="2556" customFormat="false" ht="18" hidden="false" customHeight="true" outlineLevel="0" collapsed="false">
      <c r="A2556" s="107" t="str">
        <f aca="false">IF($E2556="","",ROW()-3)</f>
        <v/>
      </c>
      <c r="B2556" s="110" t="str">
        <f aca="false">IF($E2556="","",INDEX(成本费用登记表!$B$4:$B$303,149))</f>
        <v/>
      </c>
      <c r="C2556" s="67" t="str">
        <f aca="false">IF($E2556="","","记-"&amp;TEXT($B2556,"YYYYMM")&amp;"-费用")</f>
        <v/>
      </c>
      <c r="D2556" s="107" t="str">
        <f aca="false">IF($E2556="","",INDEX(成本费用登记表!$E$4:$E$303,149))</f>
        <v/>
      </c>
      <c r="E2556" s="67" t="str">
        <f aca="false">IF(INDEX(成本费用登记表!$Q$4:$Y$303,149,7)=0,"",INDEX(成本费用登记表!$Q$4:$Y$303,149,7))</f>
        <v/>
      </c>
      <c r="F2556" s="99" t="str">
        <f aca="false">IF($E2556="","",IFERROR(INDEX(科目表!$A$4:$A$81,MATCH($E2556,科目表!$B$4:$B$81,0)),""))</f>
        <v/>
      </c>
      <c r="G2556" s="67" t="str">
        <f aca="false">IF($E2556="","",IFERROR(INDEX(科目表!$E$4:$E$81,MATCH($E2556,科目表!$B$4:$B$81,0)),""))</f>
        <v/>
      </c>
      <c r="H2556" s="70" t="str">
        <f aca="false">IF($E2556="","",N(INDEX(成本费用登记表!$Q$4:$Y$303,149,8)))</f>
        <v/>
      </c>
      <c r="I2556" s="70" t="str">
        <f aca="false">IF($E2556="","",N(INDEX(成本费用登记表!$Q$4:$Y$303,149,9)))</f>
        <v/>
      </c>
      <c r="J2556" s="67" t="str">
        <f aca="false">IF($E2556="","",INDEX(成本费用登记表!$C$4:$C$303,149))</f>
        <v/>
      </c>
      <c r="K2556" s="67" t="str">
        <f aca="false">IF($E2556="","",INDEX(成本费用登记表!$D$4:$D$303,149))</f>
        <v/>
      </c>
      <c r="L2556" s="107" t="str">
        <f aca="false">IF($E2556="","",INDEX(成本费用登记表!$N$4:$N$303,149))</f>
        <v/>
      </c>
      <c r="M2556" s="107"/>
      <c r="N2556" s="67" t="str">
        <f aca="false">IF($E2556="","","系统")</f>
        <v/>
      </c>
      <c r="O2556" s="67" t="str">
        <f aca="false">IF($E2556="","","自动C")</f>
        <v/>
      </c>
      <c r="P2556" s="18"/>
    </row>
    <row r="2557" customFormat="false" ht="18" hidden="false" customHeight="true" outlineLevel="0" collapsed="false">
      <c r="A2557" s="107" t="str">
        <f aca="false">IF($E2557="","",ROW()-3)</f>
        <v/>
      </c>
      <c r="B2557" s="110" t="str">
        <f aca="false">IF($E2557="","",INDEX(成本费用登记表!$B$4:$B$303,150))</f>
        <v/>
      </c>
      <c r="C2557" s="67" t="str">
        <f aca="false">IF($E2557="","","记-"&amp;TEXT($B2557,"YYYYMM")&amp;"-费用")</f>
        <v/>
      </c>
      <c r="D2557" s="107" t="str">
        <f aca="false">IF($E2557="","",INDEX(成本费用登记表!$E$4:$E$303,150))</f>
        <v/>
      </c>
      <c r="E2557" s="67" t="str">
        <f aca="false">IF(INDEX(成本费用登记表!$Q$4:$Y$303,150,1)=0,"",INDEX(成本费用登记表!$Q$4:$Y$303,150,1))</f>
        <v/>
      </c>
      <c r="F2557" s="99" t="str">
        <f aca="false">IF($E2557="","",IFERROR(INDEX(科目表!$A$4:$A$81,MATCH($E2557,科目表!$B$4:$B$81,0)),""))</f>
        <v/>
      </c>
      <c r="G2557" s="67" t="str">
        <f aca="false">IF($E2557="","",IFERROR(INDEX(科目表!$E$4:$E$81,MATCH($E2557,科目表!$B$4:$B$81,0)),""))</f>
        <v/>
      </c>
      <c r="H2557" s="70" t="str">
        <f aca="false">IF($E2557="","",N(INDEX(成本费用登记表!$Q$4:$Y$303,150,2)))</f>
        <v/>
      </c>
      <c r="I2557" s="70" t="str">
        <f aca="false">IF($E2557="","",N(INDEX(成本费用登记表!$Q$4:$Y$303,150,3)))</f>
        <v/>
      </c>
      <c r="J2557" s="67" t="str">
        <f aca="false">IF($E2557="","",INDEX(成本费用登记表!$C$4:$C$303,150))</f>
        <v/>
      </c>
      <c r="K2557" s="67" t="str">
        <f aca="false">IF($E2557="","",INDEX(成本费用登记表!$D$4:$D$303,150))</f>
        <v/>
      </c>
      <c r="L2557" s="107" t="str">
        <f aca="false">IF($E2557="","",INDEX(成本费用登记表!$N$4:$N$303,150))</f>
        <v/>
      </c>
      <c r="M2557" s="107"/>
      <c r="N2557" s="67" t="str">
        <f aca="false">IF($E2557="","","系统")</f>
        <v/>
      </c>
      <c r="O2557" s="67" t="str">
        <f aca="false">IF($E2557="","","自动C")</f>
        <v/>
      </c>
      <c r="P2557" s="18"/>
    </row>
    <row r="2558" customFormat="false" ht="18" hidden="false" customHeight="true" outlineLevel="0" collapsed="false">
      <c r="A2558" s="107" t="str">
        <f aca="false">IF($E2558="","",ROW()-3)</f>
        <v/>
      </c>
      <c r="B2558" s="110" t="str">
        <f aca="false">IF($E2558="","",INDEX(成本费用登记表!$B$4:$B$303,150))</f>
        <v/>
      </c>
      <c r="C2558" s="67" t="str">
        <f aca="false">IF($E2558="","","记-"&amp;TEXT($B2558,"YYYYMM")&amp;"-费用")</f>
        <v/>
      </c>
      <c r="D2558" s="107" t="str">
        <f aca="false">IF($E2558="","",INDEX(成本费用登记表!$E$4:$E$303,150))</f>
        <v/>
      </c>
      <c r="E2558" s="67" t="str">
        <f aca="false">IF(INDEX(成本费用登记表!$Q$4:$Y$303,150,4)=0,"",INDEX(成本费用登记表!$Q$4:$Y$303,150,4))</f>
        <v/>
      </c>
      <c r="F2558" s="99" t="str">
        <f aca="false">IF($E2558="","",IFERROR(INDEX(科目表!$A$4:$A$81,MATCH($E2558,科目表!$B$4:$B$81,0)),""))</f>
        <v/>
      </c>
      <c r="G2558" s="67" t="str">
        <f aca="false">IF($E2558="","",IFERROR(INDEX(科目表!$E$4:$E$81,MATCH($E2558,科目表!$B$4:$B$81,0)),""))</f>
        <v/>
      </c>
      <c r="H2558" s="70" t="str">
        <f aca="false">IF($E2558="","",N(INDEX(成本费用登记表!$Q$4:$Y$303,150,5)))</f>
        <v/>
      </c>
      <c r="I2558" s="70" t="str">
        <f aca="false">IF($E2558="","",N(INDEX(成本费用登记表!$Q$4:$Y$303,150,6)))</f>
        <v/>
      </c>
      <c r="J2558" s="67" t="str">
        <f aca="false">IF($E2558="","",INDEX(成本费用登记表!$C$4:$C$303,150))</f>
        <v/>
      </c>
      <c r="K2558" s="67" t="str">
        <f aca="false">IF($E2558="","",INDEX(成本费用登记表!$D$4:$D$303,150))</f>
        <v/>
      </c>
      <c r="L2558" s="107" t="str">
        <f aca="false">IF($E2558="","",INDEX(成本费用登记表!$N$4:$N$303,150))</f>
        <v/>
      </c>
      <c r="M2558" s="107"/>
      <c r="N2558" s="67" t="str">
        <f aca="false">IF($E2558="","","系统")</f>
        <v/>
      </c>
      <c r="O2558" s="67" t="str">
        <f aca="false">IF($E2558="","","自动C")</f>
        <v/>
      </c>
      <c r="P2558" s="18"/>
    </row>
    <row r="2559" customFormat="false" ht="18" hidden="false" customHeight="true" outlineLevel="0" collapsed="false">
      <c r="A2559" s="107" t="str">
        <f aca="false">IF($E2559="","",ROW()-3)</f>
        <v/>
      </c>
      <c r="B2559" s="110" t="str">
        <f aca="false">IF($E2559="","",INDEX(成本费用登记表!$B$4:$B$303,150))</f>
        <v/>
      </c>
      <c r="C2559" s="67" t="str">
        <f aca="false">IF($E2559="","","记-"&amp;TEXT($B2559,"YYYYMM")&amp;"-费用")</f>
        <v/>
      </c>
      <c r="D2559" s="107" t="str">
        <f aca="false">IF($E2559="","",INDEX(成本费用登记表!$E$4:$E$303,150))</f>
        <v/>
      </c>
      <c r="E2559" s="67" t="str">
        <f aca="false">IF(INDEX(成本费用登记表!$Q$4:$Y$303,150,7)=0,"",INDEX(成本费用登记表!$Q$4:$Y$303,150,7))</f>
        <v/>
      </c>
      <c r="F2559" s="99" t="str">
        <f aca="false">IF($E2559="","",IFERROR(INDEX(科目表!$A$4:$A$81,MATCH($E2559,科目表!$B$4:$B$81,0)),""))</f>
        <v/>
      </c>
      <c r="G2559" s="67" t="str">
        <f aca="false">IF($E2559="","",IFERROR(INDEX(科目表!$E$4:$E$81,MATCH($E2559,科目表!$B$4:$B$81,0)),""))</f>
        <v/>
      </c>
      <c r="H2559" s="70" t="str">
        <f aca="false">IF($E2559="","",N(INDEX(成本费用登记表!$Q$4:$Y$303,150,8)))</f>
        <v/>
      </c>
      <c r="I2559" s="70" t="str">
        <f aca="false">IF($E2559="","",N(INDEX(成本费用登记表!$Q$4:$Y$303,150,9)))</f>
        <v/>
      </c>
      <c r="J2559" s="67" t="str">
        <f aca="false">IF($E2559="","",INDEX(成本费用登记表!$C$4:$C$303,150))</f>
        <v/>
      </c>
      <c r="K2559" s="67" t="str">
        <f aca="false">IF($E2559="","",INDEX(成本费用登记表!$D$4:$D$303,150))</f>
        <v/>
      </c>
      <c r="L2559" s="107" t="str">
        <f aca="false">IF($E2559="","",INDEX(成本费用登记表!$N$4:$N$303,150))</f>
        <v/>
      </c>
      <c r="M2559" s="107"/>
      <c r="N2559" s="67" t="str">
        <f aca="false">IF($E2559="","","系统")</f>
        <v/>
      </c>
      <c r="O2559" s="67" t="str">
        <f aca="false">IF($E2559="","","自动C")</f>
        <v/>
      </c>
      <c r="P2559" s="18"/>
    </row>
    <row r="2560" customFormat="false" ht="18" hidden="false" customHeight="true" outlineLevel="0" collapsed="false">
      <c r="A2560" s="107" t="str">
        <f aca="false">IF($E2560="","",ROW()-3)</f>
        <v/>
      </c>
      <c r="B2560" s="110" t="str">
        <f aca="false">IF($E2560="","",INDEX(成本费用登记表!$B$4:$B$303,151))</f>
        <v/>
      </c>
      <c r="C2560" s="67" t="str">
        <f aca="false">IF($E2560="","","记-"&amp;TEXT($B2560,"YYYYMM")&amp;"-费用")</f>
        <v/>
      </c>
      <c r="D2560" s="107" t="str">
        <f aca="false">IF($E2560="","",INDEX(成本费用登记表!$E$4:$E$303,151))</f>
        <v/>
      </c>
      <c r="E2560" s="67" t="str">
        <f aca="false">IF(INDEX(成本费用登记表!$Q$4:$Y$303,151,1)=0,"",INDEX(成本费用登记表!$Q$4:$Y$303,151,1))</f>
        <v/>
      </c>
      <c r="F2560" s="99" t="str">
        <f aca="false">IF($E2560="","",IFERROR(INDEX(科目表!$A$4:$A$81,MATCH($E2560,科目表!$B$4:$B$81,0)),""))</f>
        <v/>
      </c>
      <c r="G2560" s="67" t="str">
        <f aca="false">IF($E2560="","",IFERROR(INDEX(科目表!$E$4:$E$81,MATCH($E2560,科目表!$B$4:$B$81,0)),""))</f>
        <v/>
      </c>
      <c r="H2560" s="70" t="str">
        <f aca="false">IF($E2560="","",N(INDEX(成本费用登记表!$Q$4:$Y$303,151,2)))</f>
        <v/>
      </c>
      <c r="I2560" s="70" t="str">
        <f aca="false">IF($E2560="","",N(INDEX(成本费用登记表!$Q$4:$Y$303,151,3)))</f>
        <v/>
      </c>
      <c r="J2560" s="67" t="str">
        <f aca="false">IF($E2560="","",INDEX(成本费用登记表!$C$4:$C$303,151))</f>
        <v/>
      </c>
      <c r="K2560" s="67" t="str">
        <f aca="false">IF($E2560="","",INDEX(成本费用登记表!$D$4:$D$303,151))</f>
        <v/>
      </c>
      <c r="L2560" s="107" t="str">
        <f aca="false">IF($E2560="","",INDEX(成本费用登记表!$N$4:$N$303,151))</f>
        <v/>
      </c>
      <c r="M2560" s="107"/>
      <c r="N2560" s="67" t="str">
        <f aca="false">IF($E2560="","","系统")</f>
        <v/>
      </c>
      <c r="O2560" s="67" t="str">
        <f aca="false">IF($E2560="","","自动C")</f>
        <v/>
      </c>
      <c r="P2560" s="18"/>
    </row>
    <row r="2561" customFormat="false" ht="18" hidden="false" customHeight="true" outlineLevel="0" collapsed="false">
      <c r="A2561" s="107" t="str">
        <f aca="false">IF($E2561="","",ROW()-3)</f>
        <v/>
      </c>
      <c r="B2561" s="110" t="str">
        <f aca="false">IF($E2561="","",INDEX(成本费用登记表!$B$4:$B$303,151))</f>
        <v/>
      </c>
      <c r="C2561" s="67" t="str">
        <f aca="false">IF($E2561="","","记-"&amp;TEXT($B2561,"YYYYMM")&amp;"-费用")</f>
        <v/>
      </c>
      <c r="D2561" s="107" t="str">
        <f aca="false">IF($E2561="","",INDEX(成本费用登记表!$E$4:$E$303,151))</f>
        <v/>
      </c>
      <c r="E2561" s="67" t="str">
        <f aca="false">IF(INDEX(成本费用登记表!$Q$4:$Y$303,151,4)=0,"",INDEX(成本费用登记表!$Q$4:$Y$303,151,4))</f>
        <v/>
      </c>
      <c r="F2561" s="99" t="str">
        <f aca="false">IF($E2561="","",IFERROR(INDEX(科目表!$A$4:$A$81,MATCH($E2561,科目表!$B$4:$B$81,0)),""))</f>
        <v/>
      </c>
      <c r="G2561" s="67" t="str">
        <f aca="false">IF($E2561="","",IFERROR(INDEX(科目表!$E$4:$E$81,MATCH($E2561,科目表!$B$4:$B$81,0)),""))</f>
        <v/>
      </c>
      <c r="H2561" s="70" t="str">
        <f aca="false">IF($E2561="","",N(INDEX(成本费用登记表!$Q$4:$Y$303,151,5)))</f>
        <v/>
      </c>
      <c r="I2561" s="70" t="str">
        <f aca="false">IF($E2561="","",N(INDEX(成本费用登记表!$Q$4:$Y$303,151,6)))</f>
        <v/>
      </c>
      <c r="J2561" s="67" t="str">
        <f aca="false">IF($E2561="","",INDEX(成本费用登记表!$C$4:$C$303,151))</f>
        <v/>
      </c>
      <c r="K2561" s="67" t="str">
        <f aca="false">IF($E2561="","",INDEX(成本费用登记表!$D$4:$D$303,151))</f>
        <v/>
      </c>
      <c r="L2561" s="107" t="str">
        <f aca="false">IF($E2561="","",INDEX(成本费用登记表!$N$4:$N$303,151))</f>
        <v/>
      </c>
      <c r="M2561" s="107"/>
      <c r="N2561" s="67" t="str">
        <f aca="false">IF($E2561="","","系统")</f>
        <v/>
      </c>
      <c r="O2561" s="67" t="str">
        <f aca="false">IF($E2561="","","自动C")</f>
        <v/>
      </c>
      <c r="P2561" s="18"/>
    </row>
    <row r="2562" customFormat="false" ht="18" hidden="false" customHeight="true" outlineLevel="0" collapsed="false">
      <c r="A2562" s="107" t="str">
        <f aca="false">IF($E2562="","",ROW()-3)</f>
        <v/>
      </c>
      <c r="B2562" s="110" t="str">
        <f aca="false">IF($E2562="","",INDEX(成本费用登记表!$B$4:$B$303,151))</f>
        <v/>
      </c>
      <c r="C2562" s="67" t="str">
        <f aca="false">IF($E2562="","","记-"&amp;TEXT($B2562,"YYYYMM")&amp;"-费用")</f>
        <v/>
      </c>
      <c r="D2562" s="107" t="str">
        <f aca="false">IF($E2562="","",INDEX(成本费用登记表!$E$4:$E$303,151))</f>
        <v/>
      </c>
      <c r="E2562" s="67" t="str">
        <f aca="false">IF(INDEX(成本费用登记表!$Q$4:$Y$303,151,7)=0,"",INDEX(成本费用登记表!$Q$4:$Y$303,151,7))</f>
        <v/>
      </c>
      <c r="F2562" s="99" t="str">
        <f aca="false">IF($E2562="","",IFERROR(INDEX(科目表!$A$4:$A$81,MATCH($E2562,科目表!$B$4:$B$81,0)),""))</f>
        <v/>
      </c>
      <c r="G2562" s="67" t="str">
        <f aca="false">IF($E2562="","",IFERROR(INDEX(科目表!$E$4:$E$81,MATCH($E2562,科目表!$B$4:$B$81,0)),""))</f>
        <v/>
      </c>
      <c r="H2562" s="70" t="str">
        <f aca="false">IF($E2562="","",N(INDEX(成本费用登记表!$Q$4:$Y$303,151,8)))</f>
        <v/>
      </c>
      <c r="I2562" s="70" t="str">
        <f aca="false">IF($E2562="","",N(INDEX(成本费用登记表!$Q$4:$Y$303,151,9)))</f>
        <v/>
      </c>
      <c r="J2562" s="67" t="str">
        <f aca="false">IF($E2562="","",INDEX(成本费用登记表!$C$4:$C$303,151))</f>
        <v/>
      </c>
      <c r="K2562" s="67" t="str">
        <f aca="false">IF($E2562="","",INDEX(成本费用登记表!$D$4:$D$303,151))</f>
        <v/>
      </c>
      <c r="L2562" s="107" t="str">
        <f aca="false">IF($E2562="","",INDEX(成本费用登记表!$N$4:$N$303,151))</f>
        <v/>
      </c>
      <c r="M2562" s="107"/>
      <c r="N2562" s="67" t="str">
        <f aca="false">IF($E2562="","","系统")</f>
        <v/>
      </c>
      <c r="O2562" s="67" t="str">
        <f aca="false">IF($E2562="","","自动C")</f>
        <v/>
      </c>
      <c r="P2562" s="18"/>
    </row>
    <row r="2563" customFormat="false" ht="18" hidden="false" customHeight="true" outlineLevel="0" collapsed="false">
      <c r="A2563" s="107" t="str">
        <f aca="false">IF($E2563="","",ROW()-3)</f>
        <v/>
      </c>
      <c r="B2563" s="110" t="str">
        <f aca="false">IF($E2563="","",INDEX(成本费用登记表!$B$4:$B$303,152))</f>
        <v/>
      </c>
      <c r="C2563" s="67" t="str">
        <f aca="false">IF($E2563="","","记-"&amp;TEXT($B2563,"YYYYMM")&amp;"-费用")</f>
        <v/>
      </c>
      <c r="D2563" s="107" t="str">
        <f aca="false">IF($E2563="","",INDEX(成本费用登记表!$E$4:$E$303,152))</f>
        <v/>
      </c>
      <c r="E2563" s="67" t="str">
        <f aca="false">IF(INDEX(成本费用登记表!$Q$4:$Y$303,152,1)=0,"",INDEX(成本费用登记表!$Q$4:$Y$303,152,1))</f>
        <v/>
      </c>
      <c r="F2563" s="99" t="str">
        <f aca="false">IF($E2563="","",IFERROR(INDEX(科目表!$A$4:$A$81,MATCH($E2563,科目表!$B$4:$B$81,0)),""))</f>
        <v/>
      </c>
      <c r="G2563" s="67" t="str">
        <f aca="false">IF($E2563="","",IFERROR(INDEX(科目表!$E$4:$E$81,MATCH($E2563,科目表!$B$4:$B$81,0)),""))</f>
        <v/>
      </c>
      <c r="H2563" s="70" t="str">
        <f aca="false">IF($E2563="","",N(INDEX(成本费用登记表!$Q$4:$Y$303,152,2)))</f>
        <v/>
      </c>
      <c r="I2563" s="70" t="str">
        <f aca="false">IF($E2563="","",N(INDEX(成本费用登记表!$Q$4:$Y$303,152,3)))</f>
        <v/>
      </c>
      <c r="J2563" s="67" t="str">
        <f aca="false">IF($E2563="","",INDEX(成本费用登记表!$C$4:$C$303,152))</f>
        <v/>
      </c>
      <c r="K2563" s="67" t="str">
        <f aca="false">IF($E2563="","",INDEX(成本费用登记表!$D$4:$D$303,152))</f>
        <v/>
      </c>
      <c r="L2563" s="107" t="str">
        <f aca="false">IF($E2563="","",INDEX(成本费用登记表!$N$4:$N$303,152))</f>
        <v/>
      </c>
      <c r="M2563" s="107"/>
      <c r="N2563" s="67" t="str">
        <f aca="false">IF($E2563="","","系统")</f>
        <v/>
      </c>
      <c r="O2563" s="67" t="str">
        <f aca="false">IF($E2563="","","自动C")</f>
        <v/>
      </c>
      <c r="P2563" s="18"/>
    </row>
    <row r="2564" customFormat="false" ht="18" hidden="false" customHeight="true" outlineLevel="0" collapsed="false">
      <c r="A2564" s="107" t="str">
        <f aca="false">IF($E2564="","",ROW()-3)</f>
        <v/>
      </c>
      <c r="B2564" s="110" t="str">
        <f aca="false">IF($E2564="","",INDEX(成本费用登记表!$B$4:$B$303,152))</f>
        <v/>
      </c>
      <c r="C2564" s="67" t="str">
        <f aca="false">IF($E2564="","","记-"&amp;TEXT($B2564,"YYYYMM")&amp;"-费用")</f>
        <v/>
      </c>
      <c r="D2564" s="107" t="str">
        <f aca="false">IF($E2564="","",INDEX(成本费用登记表!$E$4:$E$303,152))</f>
        <v/>
      </c>
      <c r="E2564" s="67" t="str">
        <f aca="false">IF(INDEX(成本费用登记表!$Q$4:$Y$303,152,4)=0,"",INDEX(成本费用登记表!$Q$4:$Y$303,152,4))</f>
        <v/>
      </c>
      <c r="F2564" s="99" t="str">
        <f aca="false">IF($E2564="","",IFERROR(INDEX(科目表!$A$4:$A$81,MATCH($E2564,科目表!$B$4:$B$81,0)),""))</f>
        <v/>
      </c>
      <c r="G2564" s="67" t="str">
        <f aca="false">IF($E2564="","",IFERROR(INDEX(科目表!$E$4:$E$81,MATCH($E2564,科目表!$B$4:$B$81,0)),""))</f>
        <v/>
      </c>
      <c r="H2564" s="70" t="str">
        <f aca="false">IF($E2564="","",N(INDEX(成本费用登记表!$Q$4:$Y$303,152,5)))</f>
        <v/>
      </c>
      <c r="I2564" s="70" t="str">
        <f aca="false">IF($E2564="","",N(INDEX(成本费用登记表!$Q$4:$Y$303,152,6)))</f>
        <v/>
      </c>
      <c r="J2564" s="67" t="str">
        <f aca="false">IF($E2564="","",INDEX(成本费用登记表!$C$4:$C$303,152))</f>
        <v/>
      </c>
      <c r="K2564" s="67" t="str">
        <f aca="false">IF($E2564="","",INDEX(成本费用登记表!$D$4:$D$303,152))</f>
        <v/>
      </c>
      <c r="L2564" s="107" t="str">
        <f aca="false">IF($E2564="","",INDEX(成本费用登记表!$N$4:$N$303,152))</f>
        <v/>
      </c>
      <c r="M2564" s="107"/>
      <c r="N2564" s="67" t="str">
        <f aca="false">IF($E2564="","","系统")</f>
        <v/>
      </c>
      <c r="O2564" s="67" t="str">
        <f aca="false">IF($E2564="","","自动C")</f>
        <v/>
      </c>
      <c r="P2564" s="18"/>
    </row>
    <row r="2565" customFormat="false" ht="18" hidden="false" customHeight="true" outlineLevel="0" collapsed="false">
      <c r="A2565" s="107" t="str">
        <f aca="false">IF($E2565="","",ROW()-3)</f>
        <v/>
      </c>
      <c r="B2565" s="110" t="str">
        <f aca="false">IF($E2565="","",INDEX(成本费用登记表!$B$4:$B$303,152))</f>
        <v/>
      </c>
      <c r="C2565" s="67" t="str">
        <f aca="false">IF($E2565="","","记-"&amp;TEXT($B2565,"YYYYMM")&amp;"-费用")</f>
        <v/>
      </c>
      <c r="D2565" s="107" t="str">
        <f aca="false">IF($E2565="","",INDEX(成本费用登记表!$E$4:$E$303,152))</f>
        <v/>
      </c>
      <c r="E2565" s="67" t="str">
        <f aca="false">IF(INDEX(成本费用登记表!$Q$4:$Y$303,152,7)=0,"",INDEX(成本费用登记表!$Q$4:$Y$303,152,7))</f>
        <v/>
      </c>
      <c r="F2565" s="99" t="str">
        <f aca="false">IF($E2565="","",IFERROR(INDEX(科目表!$A$4:$A$81,MATCH($E2565,科目表!$B$4:$B$81,0)),""))</f>
        <v/>
      </c>
      <c r="G2565" s="67" t="str">
        <f aca="false">IF($E2565="","",IFERROR(INDEX(科目表!$E$4:$E$81,MATCH($E2565,科目表!$B$4:$B$81,0)),""))</f>
        <v/>
      </c>
      <c r="H2565" s="70" t="str">
        <f aca="false">IF($E2565="","",N(INDEX(成本费用登记表!$Q$4:$Y$303,152,8)))</f>
        <v/>
      </c>
      <c r="I2565" s="70" t="str">
        <f aca="false">IF($E2565="","",N(INDEX(成本费用登记表!$Q$4:$Y$303,152,9)))</f>
        <v/>
      </c>
      <c r="J2565" s="67" t="str">
        <f aca="false">IF($E2565="","",INDEX(成本费用登记表!$C$4:$C$303,152))</f>
        <v/>
      </c>
      <c r="K2565" s="67" t="str">
        <f aca="false">IF($E2565="","",INDEX(成本费用登记表!$D$4:$D$303,152))</f>
        <v/>
      </c>
      <c r="L2565" s="107" t="str">
        <f aca="false">IF($E2565="","",INDEX(成本费用登记表!$N$4:$N$303,152))</f>
        <v/>
      </c>
      <c r="M2565" s="107"/>
      <c r="N2565" s="67" t="str">
        <f aca="false">IF($E2565="","","系统")</f>
        <v/>
      </c>
      <c r="O2565" s="67" t="str">
        <f aca="false">IF($E2565="","","自动C")</f>
        <v/>
      </c>
      <c r="P2565" s="18"/>
    </row>
    <row r="2566" customFormat="false" ht="18" hidden="false" customHeight="true" outlineLevel="0" collapsed="false">
      <c r="A2566" s="107" t="str">
        <f aca="false">IF($E2566="","",ROW()-3)</f>
        <v/>
      </c>
      <c r="B2566" s="110" t="str">
        <f aca="false">IF($E2566="","",INDEX(成本费用登记表!$B$4:$B$303,153))</f>
        <v/>
      </c>
      <c r="C2566" s="67" t="str">
        <f aca="false">IF($E2566="","","记-"&amp;TEXT($B2566,"YYYYMM")&amp;"-费用")</f>
        <v/>
      </c>
      <c r="D2566" s="107" t="str">
        <f aca="false">IF($E2566="","",INDEX(成本费用登记表!$E$4:$E$303,153))</f>
        <v/>
      </c>
      <c r="E2566" s="67" t="str">
        <f aca="false">IF(INDEX(成本费用登记表!$Q$4:$Y$303,153,1)=0,"",INDEX(成本费用登记表!$Q$4:$Y$303,153,1))</f>
        <v/>
      </c>
      <c r="F2566" s="99" t="str">
        <f aca="false">IF($E2566="","",IFERROR(INDEX(科目表!$A$4:$A$81,MATCH($E2566,科目表!$B$4:$B$81,0)),""))</f>
        <v/>
      </c>
      <c r="G2566" s="67" t="str">
        <f aca="false">IF($E2566="","",IFERROR(INDEX(科目表!$E$4:$E$81,MATCH($E2566,科目表!$B$4:$B$81,0)),""))</f>
        <v/>
      </c>
      <c r="H2566" s="70" t="str">
        <f aca="false">IF($E2566="","",N(INDEX(成本费用登记表!$Q$4:$Y$303,153,2)))</f>
        <v/>
      </c>
      <c r="I2566" s="70" t="str">
        <f aca="false">IF($E2566="","",N(INDEX(成本费用登记表!$Q$4:$Y$303,153,3)))</f>
        <v/>
      </c>
      <c r="J2566" s="67" t="str">
        <f aca="false">IF($E2566="","",INDEX(成本费用登记表!$C$4:$C$303,153))</f>
        <v/>
      </c>
      <c r="K2566" s="67" t="str">
        <f aca="false">IF($E2566="","",INDEX(成本费用登记表!$D$4:$D$303,153))</f>
        <v/>
      </c>
      <c r="L2566" s="107" t="str">
        <f aca="false">IF($E2566="","",INDEX(成本费用登记表!$N$4:$N$303,153))</f>
        <v/>
      </c>
      <c r="M2566" s="107"/>
      <c r="N2566" s="67" t="str">
        <f aca="false">IF($E2566="","","系统")</f>
        <v/>
      </c>
      <c r="O2566" s="67" t="str">
        <f aca="false">IF($E2566="","","自动C")</f>
        <v/>
      </c>
      <c r="P2566" s="18"/>
    </row>
    <row r="2567" customFormat="false" ht="18" hidden="false" customHeight="true" outlineLevel="0" collapsed="false">
      <c r="A2567" s="107" t="str">
        <f aca="false">IF($E2567="","",ROW()-3)</f>
        <v/>
      </c>
      <c r="B2567" s="110" t="str">
        <f aca="false">IF($E2567="","",INDEX(成本费用登记表!$B$4:$B$303,153))</f>
        <v/>
      </c>
      <c r="C2567" s="67" t="str">
        <f aca="false">IF($E2567="","","记-"&amp;TEXT($B2567,"YYYYMM")&amp;"-费用")</f>
        <v/>
      </c>
      <c r="D2567" s="107" t="str">
        <f aca="false">IF($E2567="","",INDEX(成本费用登记表!$E$4:$E$303,153))</f>
        <v/>
      </c>
      <c r="E2567" s="67" t="str">
        <f aca="false">IF(INDEX(成本费用登记表!$Q$4:$Y$303,153,4)=0,"",INDEX(成本费用登记表!$Q$4:$Y$303,153,4))</f>
        <v/>
      </c>
      <c r="F2567" s="99" t="str">
        <f aca="false">IF($E2567="","",IFERROR(INDEX(科目表!$A$4:$A$81,MATCH($E2567,科目表!$B$4:$B$81,0)),""))</f>
        <v/>
      </c>
      <c r="G2567" s="67" t="str">
        <f aca="false">IF($E2567="","",IFERROR(INDEX(科目表!$E$4:$E$81,MATCH($E2567,科目表!$B$4:$B$81,0)),""))</f>
        <v/>
      </c>
      <c r="H2567" s="70" t="str">
        <f aca="false">IF($E2567="","",N(INDEX(成本费用登记表!$Q$4:$Y$303,153,5)))</f>
        <v/>
      </c>
      <c r="I2567" s="70" t="str">
        <f aca="false">IF($E2567="","",N(INDEX(成本费用登记表!$Q$4:$Y$303,153,6)))</f>
        <v/>
      </c>
      <c r="J2567" s="67" t="str">
        <f aca="false">IF($E2567="","",INDEX(成本费用登记表!$C$4:$C$303,153))</f>
        <v/>
      </c>
      <c r="K2567" s="67" t="str">
        <f aca="false">IF($E2567="","",INDEX(成本费用登记表!$D$4:$D$303,153))</f>
        <v/>
      </c>
      <c r="L2567" s="107" t="str">
        <f aca="false">IF($E2567="","",INDEX(成本费用登记表!$N$4:$N$303,153))</f>
        <v/>
      </c>
      <c r="M2567" s="107"/>
      <c r="N2567" s="67" t="str">
        <f aca="false">IF($E2567="","","系统")</f>
        <v/>
      </c>
      <c r="O2567" s="67" t="str">
        <f aca="false">IF($E2567="","","自动C")</f>
        <v/>
      </c>
      <c r="P2567" s="18"/>
    </row>
    <row r="2568" customFormat="false" ht="18" hidden="false" customHeight="true" outlineLevel="0" collapsed="false">
      <c r="A2568" s="107" t="str">
        <f aca="false">IF($E2568="","",ROW()-3)</f>
        <v/>
      </c>
      <c r="B2568" s="110" t="str">
        <f aca="false">IF($E2568="","",INDEX(成本费用登记表!$B$4:$B$303,153))</f>
        <v/>
      </c>
      <c r="C2568" s="67" t="str">
        <f aca="false">IF($E2568="","","记-"&amp;TEXT($B2568,"YYYYMM")&amp;"-费用")</f>
        <v/>
      </c>
      <c r="D2568" s="107" t="str">
        <f aca="false">IF($E2568="","",INDEX(成本费用登记表!$E$4:$E$303,153))</f>
        <v/>
      </c>
      <c r="E2568" s="67" t="str">
        <f aca="false">IF(INDEX(成本费用登记表!$Q$4:$Y$303,153,7)=0,"",INDEX(成本费用登记表!$Q$4:$Y$303,153,7))</f>
        <v/>
      </c>
      <c r="F2568" s="99" t="str">
        <f aca="false">IF($E2568="","",IFERROR(INDEX(科目表!$A$4:$A$81,MATCH($E2568,科目表!$B$4:$B$81,0)),""))</f>
        <v/>
      </c>
      <c r="G2568" s="67" t="str">
        <f aca="false">IF($E2568="","",IFERROR(INDEX(科目表!$E$4:$E$81,MATCH($E2568,科目表!$B$4:$B$81,0)),""))</f>
        <v/>
      </c>
      <c r="H2568" s="70" t="str">
        <f aca="false">IF($E2568="","",N(INDEX(成本费用登记表!$Q$4:$Y$303,153,8)))</f>
        <v/>
      </c>
      <c r="I2568" s="70" t="str">
        <f aca="false">IF($E2568="","",N(INDEX(成本费用登记表!$Q$4:$Y$303,153,9)))</f>
        <v/>
      </c>
      <c r="J2568" s="67" t="str">
        <f aca="false">IF($E2568="","",INDEX(成本费用登记表!$C$4:$C$303,153))</f>
        <v/>
      </c>
      <c r="K2568" s="67" t="str">
        <f aca="false">IF($E2568="","",INDEX(成本费用登记表!$D$4:$D$303,153))</f>
        <v/>
      </c>
      <c r="L2568" s="107" t="str">
        <f aca="false">IF($E2568="","",INDEX(成本费用登记表!$N$4:$N$303,153))</f>
        <v/>
      </c>
      <c r="M2568" s="107"/>
      <c r="N2568" s="67" t="str">
        <f aca="false">IF($E2568="","","系统")</f>
        <v/>
      </c>
      <c r="O2568" s="67" t="str">
        <f aca="false">IF($E2568="","","自动C")</f>
        <v/>
      </c>
      <c r="P2568" s="18"/>
    </row>
    <row r="2569" customFormat="false" ht="18" hidden="false" customHeight="true" outlineLevel="0" collapsed="false">
      <c r="A2569" s="107" t="str">
        <f aca="false">IF($E2569="","",ROW()-3)</f>
        <v/>
      </c>
      <c r="B2569" s="110" t="str">
        <f aca="false">IF($E2569="","",INDEX(成本费用登记表!$B$4:$B$303,154))</f>
        <v/>
      </c>
      <c r="C2569" s="67" t="str">
        <f aca="false">IF($E2569="","","记-"&amp;TEXT($B2569,"YYYYMM")&amp;"-费用")</f>
        <v/>
      </c>
      <c r="D2569" s="107" t="str">
        <f aca="false">IF($E2569="","",INDEX(成本费用登记表!$E$4:$E$303,154))</f>
        <v/>
      </c>
      <c r="E2569" s="67" t="str">
        <f aca="false">IF(INDEX(成本费用登记表!$Q$4:$Y$303,154,1)=0,"",INDEX(成本费用登记表!$Q$4:$Y$303,154,1))</f>
        <v/>
      </c>
      <c r="F2569" s="99" t="str">
        <f aca="false">IF($E2569="","",IFERROR(INDEX(科目表!$A$4:$A$81,MATCH($E2569,科目表!$B$4:$B$81,0)),""))</f>
        <v/>
      </c>
      <c r="G2569" s="67" t="str">
        <f aca="false">IF($E2569="","",IFERROR(INDEX(科目表!$E$4:$E$81,MATCH($E2569,科目表!$B$4:$B$81,0)),""))</f>
        <v/>
      </c>
      <c r="H2569" s="70" t="str">
        <f aca="false">IF($E2569="","",N(INDEX(成本费用登记表!$Q$4:$Y$303,154,2)))</f>
        <v/>
      </c>
      <c r="I2569" s="70" t="str">
        <f aca="false">IF($E2569="","",N(INDEX(成本费用登记表!$Q$4:$Y$303,154,3)))</f>
        <v/>
      </c>
      <c r="J2569" s="67" t="str">
        <f aca="false">IF($E2569="","",INDEX(成本费用登记表!$C$4:$C$303,154))</f>
        <v/>
      </c>
      <c r="K2569" s="67" t="str">
        <f aca="false">IF($E2569="","",INDEX(成本费用登记表!$D$4:$D$303,154))</f>
        <v/>
      </c>
      <c r="L2569" s="107" t="str">
        <f aca="false">IF($E2569="","",INDEX(成本费用登记表!$N$4:$N$303,154))</f>
        <v/>
      </c>
      <c r="M2569" s="107"/>
      <c r="N2569" s="67" t="str">
        <f aca="false">IF($E2569="","","系统")</f>
        <v/>
      </c>
      <c r="O2569" s="67" t="str">
        <f aca="false">IF($E2569="","","自动C")</f>
        <v/>
      </c>
      <c r="P2569" s="18"/>
    </row>
    <row r="2570" customFormat="false" ht="18" hidden="false" customHeight="true" outlineLevel="0" collapsed="false">
      <c r="A2570" s="107" t="str">
        <f aca="false">IF($E2570="","",ROW()-3)</f>
        <v/>
      </c>
      <c r="B2570" s="110" t="str">
        <f aca="false">IF($E2570="","",INDEX(成本费用登记表!$B$4:$B$303,154))</f>
        <v/>
      </c>
      <c r="C2570" s="67" t="str">
        <f aca="false">IF($E2570="","","记-"&amp;TEXT($B2570,"YYYYMM")&amp;"-费用")</f>
        <v/>
      </c>
      <c r="D2570" s="107" t="str">
        <f aca="false">IF($E2570="","",INDEX(成本费用登记表!$E$4:$E$303,154))</f>
        <v/>
      </c>
      <c r="E2570" s="67" t="str">
        <f aca="false">IF(INDEX(成本费用登记表!$Q$4:$Y$303,154,4)=0,"",INDEX(成本费用登记表!$Q$4:$Y$303,154,4))</f>
        <v/>
      </c>
      <c r="F2570" s="99" t="str">
        <f aca="false">IF($E2570="","",IFERROR(INDEX(科目表!$A$4:$A$81,MATCH($E2570,科目表!$B$4:$B$81,0)),""))</f>
        <v/>
      </c>
      <c r="G2570" s="67" t="str">
        <f aca="false">IF($E2570="","",IFERROR(INDEX(科目表!$E$4:$E$81,MATCH($E2570,科目表!$B$4:$B$81,0)),""))</f>
        <v/>
      </c>
      <c r="H2570" s="70" t="str">
        <f aca="false">IF($E2570="","",N(INDEX(成本费用登记表!$Q$4:$Y$303,154,5)))</f>
        <v/>
      </c>
      <c r="I2570" s="70" t="str">
        <f aca="false">IF($E2570="","",N(INDEX(成本费用登记表!$Q$4:$Y$303,154,6)))</f>
        <v/>
      </c>
      <c r="J2570" s="67" t="str">
        <f aca="false">IF($E2570="","",INDEX(成本费用登记表!$C$4:$C$303,154))</f>
        <v/>
      </c>
      <c r="K2570" s="67" t="str">
        <f aca="false">IF($E2570="","",INDEX(成本费用登记表!$D$4:$D$303,154))</f>
        <v/>
      </c>
      <c r="L2570" s="107" t="str">
        <f aca="false">IF($E2570="","",INDEX(成本费用登记表!$N$4:$N$303,154))</f>
        <v/>
      </c>
      <c r="M2570" s="107"/>
      <c r="N2570" s="67" t="str">
        <f aca="false">IF($E2570="","","系统")</f>
        <v/>
      </c>
      <c r="O2570" s="67" t="str">
        <f aca="false">IF($E2570="","","自动C")</f>
        <v/>
      </c>
      <c r="P2570" s="18"/>
    </row>
    <row r="2571" customFormat="false" ht="18" hidden="false" customHeight="true" outlineLevel="0" collapsed="false">
      <c r="A2571" s="107" t="str">
        <f aca="false">IF($E2571="","",ROW()-3)</f>
        <v/>
      </c>
      <c r="B2571" s="110" t="str">
        <f aca="false">IF($E2571="","",INDEX(成本费用登记表!$B$4:$B$303,154))</f>
        <v/>
      </c>
      <c r="C2571" s="67" t="str">
        <f aca="false">IF($E2571="","","记-"&amp;TEXT($B2571,"YYYYMM")&amp;"-费用")</f>
        <v/>
      </c>
      <c r="D2571" s="107" t="str">
        <f aca="false">IF($E2571="","",INDEX(成本费用登记表!$E$4:$E$303,154))</f>
        <v/>
      </c>
      <c r="E2571" s="67" t="str">
        <f aca="false">IF(INDEX(成本费用登记表!$Q$4:$Y$303,154,7)=0,"",INDEX(成本费用登记表!$Q$4:$Y$303,154,7))</f>
        <v/>
      </c>
      <c r="F2571" s="99" t="str">
        <f aca="false">IF($E2571="","",IFERROR(INDEX(科目表!$A$4:$A$81,MATCH($E2571,科目表!$B$4:$B$81,0)),""))</f>
        <v/>
      </c>
      <c r="G2571" s="67" t="str">
        <f aca="false">IF($E2571="","",IFERROR(INDEX(科目表!$E$4:$E$81,MATCH($E2571,科目表!$B$4:$B$81,0)),""))</f>
        <v/>
      </c>
      <c r="H2571" s="70" t="str">
        <f aca="false">IF($E2571="","",N(INDEX(成本费用登记表!$Q$4:$Y$303,154,8)))</f>
        <v/>
      </c>
      <c r="I2571" s="70" t="str">
        <f aca="false">IF($E2571="","",N(INDEX(成本费用登记表!$Q$4:$Y$303,154,9)))</f>
        <v/>
      </c>
      <c r="J2571" s="67" t="str">
        <f aca="false">IF($E2571="","",INDEX(成本费用登记表!$C$4:$C$303,154))</f>
        <v/>
      </c>
      <c r="K2571" s="67" t="str">
        <f aca="false">IF($E2571="","",INDEX(成本费用登记表!$D$4:$D$303,154))</f>
        <v/>
      </c>
      <c r="L2571" s="107" t="str">
        <f aca="false">IF($E2571="","",INDEX(成本费用登记表!$N$4:$N$303,154))</f>
        <v/>
      </c>
      <c r="M2571" s="107"/>
      <c r="N2571" s="67" t="str">
        <f aca="false">IF($E2571="","","系统")</f>
        <v/>
      </c>
      <c r="O2571" s="67" t="str">
        <f aca="false">IF($E2571="","","自动C")</f>
        <v/>
      </c>
      <c r="P2571" s="18"/>
    </row>
    <row r="2572" customFormat="false" ht="18" hidden="false" customHeight="true" outlineLevel="0" collapsed="false">
      <c r="A2572" s="107" t="str">
        <f aca="false">IF($E2572="","",ROW()-3)</f>
        <v/>
      </c>
      <c r="B2572" s="110" t="str">
        <f aca="false">IF($E2572="","",INDEX(成本费用登记表!$B$4:$B$303,155))</f>
        <v/>
      </c>
      <c r="C2572" s="67" t="str">
        <f aca="false">IF($E2572="","","记-"&amp;TEXT($B2572,"YYYYMM")&amp;"-费用")</f>
        <v/>
      </c>
      <c r="D2572" s="107" t="str">
        <f aca="false">IF($E2572="","",INDEX(成本费用登记表!$E$4:$E$303,155))</f>
        <v/>
      </c>
      <c r="E2572" s="67" t="str">
        <f aca="false">IF(INDEX(成本费用登记表!$Q$4:$Y$303,155,1)=0,"",INDEX(成本费用登记表!$Q$4:$Y$303,155,1))</f>
        <v/>
      </c>
      <c r="F2572" s="99" t="str">
        <f aca="false">IF($E2572="","",IFERROR(INDEX(科目表!$A$4:$A$81,MATCH($E2572,科目表!$B$4:$B$81,0)),""))</f>
        <v/>
      </c>
      <c r="G2572" s="67" t="str">
        <f aca="false">IF($E2572="","",IFERROR(INDEX(科目表!$E$4:$E$81,MATCH($E2572,科目表!$B$4:$B$81,0)),""))</f>
        <v/>
      </c>
      <c r="H2572" s="70" t="str">
        <f aca="false">IF($E2572="","",N(INDEX(成本费用登记表!$Q$4:$Y$303,155,2)))</f>
        <v/>
      </c>
      <c r="I2572" s="70" t="str">
        <f aca="false">IF($E2572="","",N(INDEX(成本费用登记表!$Q$4:$Y$303,155,3)))</f>
        <v/>
      </c>
      <c r="J2572" s="67" t="str">
        <f aca="false">IF($E2572="","",INDEX(成本费用登记表!$C$4:$C$303,155))</f>
        <v/>
      </c>
      <c r="K2572" s="67" t="str">
        <f aca="false">IF($E2572="","",INDEX(成本费用登记表!$D$4:$D$303,155))</f>
        <v/>
      </c>
      <c r="L2572" s="107" t="str">
        <f aca="false">IF($E2572="","",INDEX(成本费用登记表!$N$4:$N$303,155))</f>
        <v/>
      </c>
      <c r="M2572" s="107"/>
      <c r="N2572" s="67" t="str">
        <f aca="false">IF($E2572="","","系统")</f>
        <v/>
      </c>
      <c r="O2572" s="67" t="str">
        <f aca="false">IF($E2572="","","自动C")</f>
        <v/>
      </c>
      <c r="P2572" s="18"/>
    </row>
    <row r="2573" customFormat="false" ht="18" hidden="false" customHeight="true" outlineLevel="0" collapsed="false">
      <c r="A2573" s="107" t="str">
        <f aca="false">IF($E2573="","",ROW()-3)</f>
        <v/>
      </c>
      <c r="B2573" s="110" t="str">
        <f aca="false">IF($E2573="","",INDEX(成本费用登记表!$B$4:$B$303,155))</f>
        <v/>
      </c>
      <c r="C2573" s="67" t="str">
        <f aca="false">IF($E2573="","","记-"&amp;TEXT($B2573,"YYYYMM")&amp;"-费用")</f>
        <v/>
      </c>
      <c r="D2573" s="107" t="str">
        <f aca="false">IF($E2573="","",INDEX(成本费用登记表!$E$4:$E$303,155))</f>
        <v/>
      </c>
      <c r="E2573" s="67" t="str">
        <f aca="false">IF(INDEX(成本费用登记表!$Q$4:$Y$303,155,4)=0,"",INDEX(成本费用登记表!$Q$4:$Y$303,155,4))</f>
        <v/>
      </c>
      <c r="F2573" s="99" t="str">
        <f aca="false">IF($E2573="","",IFERROR(INDEX(科目表!$A$4:$A$81,MATCH($E2573,科目表!$B$4:$B$81,0)),""))</f>
        <v/>
      </c>
      <c r="G2573" s="67" t="str">
        <f aca="false">IF($E2573="","",IFERROR(INDEX(科目表!$E$4:$E$81,MATCH($E2573,科目表!$B$4:$B$81,0)),""))</f>
        <v/>
      </c>
      <c r="H2573" s="70" t="str">
        <f aca="false">IF($E2573="","",N(INDEX(成本费用登记表!$Q$4:$Y$303,155,5)))</f>
        <v/>
      </c>
      <c r="I2573" s="70" t="str">
        <f aca="false">IF($E2573="","",N(INDEX(成本费用登记表!$Q$4:$Y$303,155,6)))</f>
        <v/>
      </c>
      <c r="J2573" s="67" t="str">
        <f aca="false">IF($E2573="","",INDEX(成本费用登记表!$C$4:$C$303,155))</f>
        <v/>
      </c>
      <c r="K2573" s="67" t="str">
        <f aca="false">IF($E2573="","",INDEX(成本费用登记表!$D$4:$D$303,155))</f>
        <v/>
      </c>
      <c r="L2573" s="107" t="str">
        <f aca="false">IF($E2573="","",INDEX(成本费用登记表!$N$4:$N$303,155))</f>
        <v/>
      </c>
      <c r="M2573" s="107"/>
      <c r="N2573" s="67" t="str">
        <f aca="false">IF($E2573="","","系统")</f>
        <v/>
      </c>
      <c r="O2573" s="67" t="str">
        <f aca="false">IF($E2573="","","自动C")</f>
        <v/>
      </c>
      <c r="P2573" s="18"/>
    </row>
    <row r="2574" customFormat="false" ht="18" hidden="false" customHeight="true" outlineLevel="0" collapsed="false">
      <c r="A2574" s="107" t="str">
        <f aca="false">IF($E2574="","",ROW()-3)</f>
        <v/>
      </c>
      <c r="B2574" s="110" t="str">
        <f aca="false">IF($E2574="","",INDEX(成本费用登记表!$B$4:$B$303,155))</f>
        <v/>
      </c>
      <c r="C2574" s="67" t="str">
        <f aca="false">IF($E2574="","","记-"&amp;TEXT($B2574,"YYYYMM")&amp;"-费用")</f>
        <v/>
      </c>
      <c r="D2574" s="107" t="str">
        <f aca="false">IF($E2574="","",INDEX(成本费用登记表!$E$4:$E$303,155))</f>
        <v/>
      </c>
      <c r="E2574" s="67" t="str">
        <f aca="false">IF(INDEX(成本费用登记表!$Q$4:$Y$303,155,7)=0,"",INDEX(成本费用登记表!$Q$4:$Y$303,155,7))</f>
        <v/>
      </c>
      <c r="F2574" s="99" t="str">
        <f aca="false">IF($E2574="","",IFERROR(INDEX(科目表!$A$4:$A$81,MATCH($E2574,科目表!$B$4:$B$81,0)),""))</f>
        <v/>
      </c>
      <c r="G2574" s="67" t="str">
        <f aca="false">IF($E2574="","",IFERROR(INDEX(科目表!$E$4:$E$81,MATCH($E2574,科目表!$B$4:$B$81,0)),""))</f>
        <v/>
      </c>
      <c r="H2574" s="70" t="str">
        <f aca="false">IF($E2574="","",N(INDEX(成本费用登记表!$Q$4:$Y$303,155,8)))</f>
        <v/>
      </c>
      <c r="I2574" s="70" t="str">
        <f aca="false">IF($E2574="","",N(INDEX(成本费用登记表!$Q$4:$Y$303,155,9)))</f>
        <v/>
      </c>
      <c r="J2574" s="67" t="str">
        <f aca="false">IF($E2574="","",INDEX(成本费用登记表!$C$4:$C$303,155))</f>
        <v/>
      </c>
      <c r="K2574" s="67" t="str">
        <f aca="false">IF($E2574="","",INDEX(成本费用登记表!$D$4:$D$303,155))</f>
        <v/>
      </c>
      <c r="L2574" s="107" t="str">
        <f aca="false">IF($E2574="","",INDEX(成本费用登记表!$N$4:$N$303,155))</f>
        <v/>
      </c>
      <c r="M2574" s="107"/>
      <c r="N2574" s="67" t="str">
        <f aca="false">IF($E2574="","","系统")</f>
        <v/>
      </c>
      <c r="O2574" s="67" t="str">
        <f aca="false">IF($E2574="","","自动C")</f>
        <v/>
      </c>
      <c r="P2574" s="18"/>
    </row>
    <row r="2575" customFormat="false" ht="18" hidden="false" customHeight="true" outlineLevel="0" collapsed="false">
      <c r="A2575" s="107" t="str">
        <f aca="false">IF($E2575="","",ROW()-3)</f>
        <v/>
      </c>
      <c r="B2575" s="110" t="str">
        <f aca="false">IF($E2575="","",INDEX(成本费用登记表!$B$4:$B$303,156))</f>
        <v/>
      </c>
      <c r="C2575" s="67" t="str">
        <f aca="false">IF($E2575="","","记-"&amp;TEXT($B2575,"YYYYMM")&amp;"-费用")</f>
        <v/>
      </c>
      <c r="D2575" s="107" t="str">
        <f aca="false">IF($E2575="","",INDEX(成本费用登记表!$E$4:$E$303,156))</f>
        <v/>
      </c>
      <c r="E2575" s="67" t="str">
        <f aca="false">IF(INDEX(成本费用登记表!$Q$4:$Y$303,156,1)=0,"",INDEX(成本费用登记表!$Q$4:$Y$303,156,1))</f>
        <v/>
      </c>
      <c r="F2575" s="99" t="str">
        <f aca="false">IF($E2575="","",IFERROR(INDEX(科目表!$A$4:$A$81,MATCH($E2575,科目表!$B$4:$B$81,0)),""))</f>
        <v/>
      </c>
      <c r="G2575" s="67" t="str">
        <f aca="false">IF($E2575="","",IFERROR(INDEX(科目表!$E$4:$E$81,MATCH($E2575,科目表!$B$4:$B$81,0)),""))</f>
        <v/>
      </c>
      <c r="H2575" s="70" t="str">
        <f aca="false">IF($E2575="","",N(INDEX(成本费用登记表!$Q$4:$Y$303,156,2)))</f>
        <v/>
      </c>
      <c r="I2575" s="70" t="str">
        <f aca="false">IF($E2575="","",N(INDEX(成本费用登记表!$Q$4:$Y$303,156,3)))</f>
        <v/>
      </c>
      <c r="J2575" s="67" t="str">
        <f aca="false">IF($E2575="","",INDEX(成本费用登记表!$C$4:$C$303,156))</f>
        <v/>
      </c>
      <c r="K2575" s="67" t="str">
        <f aca="false">IF($E2575="","",INDEX(成本费用登记表!$D$4:$D$303,156))</f>
        <v/>
      </c>
      <c r="L2575" s="107" t="str">
        <f aca="false">IF($E2575="","",INDEX(成本费用登记表!$N$4:$N$303,156))</f>
        <v/>
      </c>
      <c r="M2575" s="107"/>
      <c r="N2575" s="67" t="str">
        <f aca="false">IF($E2575="","","系统")</f>
        <v/>
      </c>
      <c r="O2575" s="67" t="str">
        <f aca="false">IF($E2575="","","自动C")</f>
        <v/>
      </c>
      <c r="P2575" s="18"/>
    </row>
    <row r="2576" customFormat="false" ht="18" hidden="false" customHeight="true" outlineLevel="0" collapsed="false">
      <c r="A2576" s="107" t="str">
        <f aca="false">IF($E2576="","",ROW()-3)</f>
        <v/>
      </c>
      <c r="B2576" s="110" t="str">
        <f aca="false">IF($E2576="","",INDEX(成本费用登记表!$B$4:$B$303,156))</f>
        <v/>
      </c>
      <c r="C2576" s="67" t="str">
        <f aca="false">IF($E2576="","","记-"&amp;TEXT($B2576,"YYYYMM")&amp;"-费用")</f>
        <v/>
      </c>
      <c r="D2576" s="107" t="str">
        <f aca="false">IF($E2576="","",INDEX(成本费用登记表!$E$4:$E$303,156))</f>
        <v/>
      </c>
      <c r="E2576" s="67" t="str">
        <f aca="false">IF(INDEX(成本费用登记表!$Q$4:$Y$303,156,4)=0,"",INDEX(成本费用登记表!$Q$4:$Y$303,156,4))</f>
        <v/>
      </c>
      <c r="F2576" s="99" t="str">
        <f aca="false">IF($E2576="","",IFERROR(INDEX(科目表!$A$4:$A$81,MATCH($E2576,科目表!$B$4:$B$81,0)),""))</f>
        <v/>
      </c>
      <c r="G2576" s="67" t="str">
        <f aca="false">IF($E2576="","",IFERROR(INDEX(科目表!$E$4:$E$81,MATCH($E2576,科目表!$B$4:$B$81,0)),""))</f>
        <v/>
      </c>
      <c r="H2576" s="70" t="str">
        <f aca="false">IF($E2576="","",N(INDEX(成本费用登记表!$Q$4:$Y$303,156,5)))</f>
        <v/>
      </c>
      <c r="I2576" s="70" t="str">
        <f aca="false">IF($E2576="","",N(INDEX(成本费用登记表!$Q$4:$Y$303,156,6)))</f>
        <v/>
      </c>
      <c r="J2576" s="67" t="str">
        <f aca="false">IF($E2576="","",INDEX(成本费用登记表!$C$4:$C$303,156))</f>
        <v/>
      </c>
      <c r="K2576" s="67" t="str">
        <f aca="false">IF($E2576="","",INDEX(成本费用登记表!$D$4:$D$303,156))</f>
        <v/>
      </c>
      <c r="L2576" s="107" t="str">
        <f aca="false">IF($E2576="","",INDEX(成本费用登记表!$N$4:$N$303,156))</f>
        <v/>
      </c>
      <c r="M2576" s="107"/>
      <c r="N2576" s="67" t="str">
        <f aca="false">IF($E2576="","","系统")</f>
        <v/>
      </c>
      <c r="O2576" s="67" t="str">
        <f aca="false">IF($E2576="","","自动C")</f>
        <v/>
      </c>
      <c r="P2576" s="18"/>
    </row>
    <row r="2577" customFormat="false" ht="18" hidden="false" customHeight="true" outlineLevel="0" collapsed="false">
      <c r="A2577" s="107" t="str">
        <f aca="false">IF($E2577="","",ROW()-3)</f>
        <v/>
      </c>
      <c r="B2577" s="110" t="str">
        <f aca="false">IF($E2577="","",INDEX(成本费用登记表!$B$4:$B$303,156))</f>
        <v/>
      </c>
      <c r="C2577" s="67" t="str">
        <f aca="false">IF($E2577="","","记-"&amp;TEXT($B2577,"YYYYMM")&amp;"-费用")</f>
        <v/>
      </c>
      <c r="D2577" s="107" t="str">
        <f aca="false">IF($E2577="","",INDEX(成本费用登记表!$E$4:$E$303,156))</f>
        <v/>
      </c>
      <c r="E2577" s="67" t="str">
        <f aca="false">IF(INDEX(成本费用登记表!$Q$4:$Y$303,156,7)=0,"",INDEX(成本费用登记表!$Q$4:$Y$303,156,7))</f>
        <v/>
      </c>
      <c r="F2577" s="99" t="str">
        <f aca="false">IF($E2577="","",IFERROR(INDEX(科目表!$A$4:$A$81,MATCH($E2577,科目表!$B$4:$B$81,0)),""))</f>
        <v/>
      </c>
      <c r="G2577" s="67" t="str">
        <f aca="false">IF($E2577="","",IFERROR(INDEX(科目表!$E$4:$E$81,MATCH($E2577,科目表!$B$4:$B$81,0)),""))</f>
        <v/>
      </c>
      <c r="H2577" s="70" t="str">
        <f aca="false">IF($E2577="","",N(INDEX(成本费用登记表!$Q$4:$Y$303,156,8)))</f>
        <v/>
      </c>
      <c r="I2577" s="70" t="str">
        <f aca="false">IF($E2577="","",N(INDEX(成本费用登记表!$Q$4:$Y$303,156,9)))</f>
        <v/>
      </c>
      <c r="J2577" s="67" t="str">
        <f aca="false">IF($E2577="","",INDEX(成本费用登记表!$C$4:$C$303,156))</f>
        <v/>
      </c>
      <c r="K2577" s="67" t="str">
        <f aca="false">IF($E2577="","",INDEX(成本费用登记表!$D$4:$D$303,156))</f>
        <v/>
      </c>
      <c r="L2577" s="107" t="str">
        <f aca="false">IF($E2577="","",INDEX(成本费用登记表!$N$4:$N$303,156))</f>
        <v/>
      </c>
      <c r="M2577" s="107"/>
      <c r="N2577" s="67" t="str">
        <f aca="false">IF($E2577="","","系统")</f>
        <v/>
      </c>
      <c r="O2577" s="67" t="str">
        <f aca="false">IF($E2577="","","自动C")</f>
        <v/>
      </c>
      <c r="P2577" s="18"/>
    </row>
    <row r="2578" customFormat="false" ht="18" hidden="false" customHeight="true" outlineLevel="0" collapsed="false">
      <c r="A2578" s="107" t="str">
        <f aca="false">IF($E2578="","",ROW()-3)</f>
        <v/>
      </c>
      <c r="B2578" s="110" t="str">
        <f aca="false">IF($E2578="","",INDEX(成本费用登记表!$B$4:$B$303,157))</f>
        <v/>
      </c>
      <c r="C2578" s="67" t="str">
        <f aca="false">IF($E2578="","","记-"&amp;TEXT($B2578,"YYYYMM")&amp;"-费用")</f>
        <v/>
      </c>
      <c r="D2578" s="107" t="str">
        <f aca="false">IF($E2578="","",INDEX(成本费用登记表!$E$4:$E$303,157))</f>
        <v/>
      </c>
      <c r="E2578" s="67" t="str">
        <f aca="false">IF(INDEX(成本费用登记表!$Q$4:$Y$303,157,1)=0,"",INDEX(成本费用登记表!$Q$4:$Y$303,157,1))</f>
        <v/>
      </c>
      <c r="F2578" s="99" t="str">
        <f aca="false">IF($E2578="","",IFERROR(INDEX(科目表!$A$4:$A$81,MATCH($E2578,科目表!$B$4:$B$81,0)),""))</f>
        <v/>
      </c>
      <c r="G2578" s="67" t="str">
        <f aca="false">IF($E2578="","",IFERROR(INDEX(科目表!$E$4:$E$81,MATCH($E2578,科目表!$B$4:$B$81,0)),""))</f>
        <v/>
      </c>
      <c r="H2578" s="70" t="str">
        <f aca="false">IF($E2578="","",N(INDEX(成本费用登记表!$Q$4:$Y$303,157,2)))</f>
        <v/>
      </c>
      <c r="I2578" s="70" t="str">
        <f aca="false">IF($E2578="","",N(INDEX(成本费用登记表!$Q$4:$Y$303,157,3)))</f>
        <v/>
      </c>
      <c r="J2578" s="67" t="str">
        <f aca="false">IF($E2578="","",INDEX(成本费用登记表!$C$4:$C$303,157))</f>
        <v/>
      </c>
      <c r="K2578" s="67" t="str">
        <f aca="false">IF($E2578="","",INDEX(成本费用登记表!$D$4:$D$303,157))</f>
        <v/>
      </c>
      <c r="L2578" s="107" t="str">
        <f aca="false">IF($E2578="","",INDEX(成本费用登记表!$N$4:$N$303,157))</f>
        <v/>
      </c>
      <c r="M2578" s="107"/>
      <c r="N2578" s="67" t="str">
        <f aca="false">IF($E2578="","","系统")</f>
        <v/>
      </c>
      <c r="O2578" s="67" t="str">
        <f aca="false">IF($E2578="","","自动C")</f>
        <v/>
      </c>
      <c r="P2578" s="18"/>
    </row>
    <row r="2579" customFormat="false" ht="18" hidden="false" customHeight="true" outlineLevel="0" collapsed="false">
      <c r="A2579" s="107" t="str">
        <f aca="false">IF($E2579="","",ROW()-3)</f>
        <v/>
      </c>
      <c r="B2579" s="110" t="str">
        <f aca="false">IF($E2579="","",INDEX(成本费用登记表!$B$4:$B$303,157))</f>
        <v/>
      </c>
      <c r="C2579" s="67" t="str">
        <f aca="false">IF($E2579="","","记-"&amp;TEXT($B2579,"YYYYMM")&amp;"-费用")</f>
        <v/>
      </c>
      <c r="D2579" s="107" t="str">
        <f aca="false">IF($E2579="","",INDEX(成本费用登记表!$E$4:$E$303,157))</f>
        <v/>
      </c>
      <c r="E2579" s="67" t="str">
        <f aca="false">IF(INDEX(成本费用登记表!$Q$4:$Y$303,157,4)=0,"",INDEX(成本费用登记表!$Q$4:$Y$303,157,4))</f>
        <v/>
      </c>
      <c r="F2579" s="99" t="str">
        <f aca="false">IF($E2579="","",IFERROR(INDEX(科目表!$A$4:$A$81,MATCH($E2579,科目表!$B$4:$B$81,0)),""))</f>
        <v/>
      </c>
      <c r="G2579" s="67" t="str">
        <f aca="false">IF($E2579="","",IFERROR(INDEX(科目表!$E$4:$E$81,MATCH($E2579,科目表!$B$4:$B$81,0)),""))</f>
        <v/>
      </c>
      <c r="H2579" s="70" t="str">
        <f aca="false">IF($E2579="","",N(INDEX(成本费用登记表!$Q$4:$Y$303,157,5)))</f>
        <v/>
      </c>
      <c r="I2579" s="70" t="str">
        <f aca="false">IF($E2579="","",N(INDEX(成本费用登记表!$Q$4:$Y$303,157,6)))</f>
        <v/>
      </c>
      <c r="J2579" s="67" t="str">
        <f aca="false">IF($E2579="","",INDEX(成本费用登记表!$C$4:$C$303,157))</f>
        <v/>
      </c>
      <c r="K2579" s="67" t="str">
        <f aca="false">IF($E2579="","",INDEX(成本费用登记表!$D$4:$D$303,157))</f>
        <v/>
      </c>
      <c r="L2579" s="107" t="str">
        <f aca="false">IF($E2579="","",INDEX(成本费用登记表!$N$4:$N$303,157))</f>
        <v/>
      </c>
      <c r="M2579" s="107"/>
      <c r="N2579" s="67" t="str">
        <f aca="false">IF($E2579="","","系统")</f>
        <v/>
      </c>
      <c r="O2579" s="67" t="str">
        <f aca="false">IF($E2579="","","自动C")</f>
        <v/>
      </c>
      <c r="P2579" s="18"/>
    </row>
    <row r="2580" customFormat="false" ht="18" hidden="false" customHeight="true" outlineLevel="0" collapsed="false">
      <c r="A2580" s="107" t="str">
        <f aca="false">IF($E2580="","",ROW()-3)</f>
        <v/>
      </c>
      <c r="B2580" s="110" t="str">
        <f aca="false">IF($E2580="","",INDEX(成本费用登记表!$B$4:$B$303,157))</f>
        <v/>
      </c>
      <c r="C2580" s="67" t="str">
        <f aca="false">IF($E2580="","","记-"&amp;TEXT($B2580,"YYYYMM")&amp;"-费用")</f>
        <v/>
      </c>
      <c r="D2580" s="107" t="str">
        <f aca="false">IF($E2580="","",INDEX(成本费用登记表!$E$4:$E$303,157))</f>
        <v/>
      </c>
      <c r="E2580" s="67" t="str">
        <f aca="false">IF(INDEX(成本费用登记表!$Q$4:$Y$303,157,7)=0,"",INDEX(成本费用登记表!$Q$4:$Y$303,157,7))</f>
        <v/>
      </c>
      <c r="F2580" s="99" t="str">
        <f aca="false">IF($E2580="","",IFERROR(INDEX(科目表!$A$4:$A$81,MATCH($E2580,科目表!$B$4:$B$81,0)),""))</f>
        <v/>
      </c>
      <c r="G2580" s="67" t="str">
        <f aca="false">IF($E2580="","",IFERROR(INDEX(科目表!$E$4:$E$81,MATCH($E2580,科目表!$B$4:$B$81,0)),""))</f>
        <v/>
      </c>
      <c r="H2580" s="70" t="str">
        <f aca="false">IF($E2580="","",N(INDEX(成本费用登记表!$Q$4:$Y$303,157,8)))</f>
        <v/>
      </c>
      <c r="I2580" s="70" t="str">
        <f aca="false">IF($E2580="","",N(INDEX(成本费用登记表!$Q$4:$Y$303,157,9)))</f>
        <v/>
      </c>
      <c r="J2580" s="67" t="str">
        <f aca="false">IF($E2580="","",INDEX(成本费用登记表!$C$4:$C$303,157))</f>
        <v/>
      </c>
      <c r="K2580" s="67" t="str">
        <f aca="false">IF($E2580="","",INDEX(成本费用登记表!$D$4:$D$303,157))</f>
        <v/>
      </c>
      <c r="L2580" s="107" t="str">
        <f aca="false">IF($E2580="","",INDEX(成本费用登记表!$N$4:$N$303,157))</f>
        <v/>
      </c>
      <c r="M2580" s="107"/>
      <c r="N2580" s="67" t="str">
        <f aca="false">IF($E2580="","","系统")</f>
        <v/>
      </c>
      <c r="O2580" s="67" t="str">
        <f aca="false">IF($E2580="","","自动C")</f>
        <v/>
      </c>
      <c r="P2580" s="18"/>
    </row>
    <row r="2581" customFormat="false" ht="18" hidden="false" customHeight="true" outlineLevel="0" collapsed="false">
      <c r="A2581" s="107" t="str">
        <f aca="false">IF($E2581="","",ROW()-3)</f>
        <v/>
      </c>
      <c r="B2581" s="110" t="str">
        <f aca="false">IF($E2581="","",INDEX(成本费用登记表!$B$4:$B$303,158))</f>
        <v/>
      </c>
      <c r="C2581" s="67" t="str">
        <f aca="false">IF($E2581="","","记-"&amp;TEXT($B2581,"YYYYMM")&amp;"-费用")</f>
        <v/>
      </c>
      <c r="D2581" s="107" t="str">
        <f aca="false">IF($E2581="","",INDEX(成本费用登记表!$E$4:$E$303,158))</f>
        <v/>
      </c>
      <c r="E2581" s="67" t="str">
        <f aca="false">IF(INDEX(成本费用登记表!$Q$4:$Y$303,158,1)=0,"",INDEX(成本费用登记表!$Q$4:$Y$303,158,1))</f>
        <v/>
      </c>
      <c r="F2581" s="99" t="str">
        <f aca="false">IF($E2581="","",IFERROR(INDEX(科目表!$A$4:$A$81,MATCH($E2581,科目表!$B$4:$B$81,0)),""))</f>
        <v/>
      </c>
      <c r="G2581" s="67" t="str">
        <f aca="false">IF($E2581="","",IFERROR(INDEX(科目表!$E$4:$E$81,MATCH($E2581,科目表!$B$4:$B$81,0)),""))</f>
        <v/>
      </c>
      <c r="H2581" s="70" t="str">
        <f aca="false">IF($E2581="","",N(INDEX(成本费用登记表!$Q$4:$Y$303,158,2)))</f>
        <v/>
      </c>
      <c r="I2581" s="70" t="str">
        <f aca="false">IF($E2581="","",N(INDEX(成本费用登记表!$Q$4:$Y$303,158,3)))</f>
        <v/>
      </c>
      <c r="J2581" s="67" t="str">
        <f aca="false">IF($E2581="","",INDEX(成本费用登记表!$C$4:$C$303,158))</f>
        <v/>
      </c>
      <c r="K2581" s="67" t="str">
        <f aca="false">IF($E2581="","",INDEX(成本费用登记表!$D$4:$D$303,158))</f>
        <v/>
      </c>
      <c r="L2581" s="107" t="str">
        <f aca="false">IF($E2581="","",INDEX(成本费用登记表!$N$4:$N$303,158))</f>
        <v/>
      </c>
      <c r="M2581" s="107"/>
      <c r="N2581" s="67" t="str">
        <f aca="false">IF($E2581="","","系统")</f>
        <v/>
      </c>
      <c r="O2581" s="67" t="str">
        <f aca="false">IF($E2581="","","自动C")</f>
        <v/>
      </c>
      <c r="P2581" s="18"/>
    </row>
    <row r="2582" customFormat="false" ht="18" hidden="false" customHeight="true" outlineLevel="0" collapsed="false">
      <c r="A2582" s="107" t="str">
        <f aca="false">IF($E2582="","",ROW()-3)</f>
        <v/>
      </c>
      <c r="B2582" s="110" t="str">
        <f aca="false">IF($E2582="","",INDEX(成本费用登记表!$B$4:$B$303,158))</f>
        <v/>
      </c>
      <c r="C2582" s="67" t="str">
        <f aca="false">IF($E2582="","","记-"&amp;TEXT($B2582,"YYYYMM")&amp;"-费用")</f>
        <v/>
      </c>
      <c r="D2582" s="107" t="str">
        <f aca="false">IF($E2582="","",INDEX(成本费用登记表!$E$4:$E$303,158))</f>
        <v/>
      </c>
      <c r="E2582" s="67" t="str">
        <f aca="false">IF(INDEX(成本费用登记表!$Q$4:$Y$303,158,4)=0,"",INDEX(成本费用登记表!$Q$4:$Y$303,158,4))</f>
        <v/>
      </c>
      <c r="F2582" s="99" t="str">
        <f aca="false">IF($E2582="","",IFERROR(INDEX(科目表!$A$4:$A$81,MATCH($E2582,科目表!$B$4:$B$81,0)),""))</f>
        <v/>
      </c>
      <c r="G2582" s="67" t="str">
        <f aca="false">IF($E2582="","",IFERROR(INDEX(科目表!$E$4:$E$81,MATCH($E2582,科目表!$B$4:$B$81,0)),""))</f>
        <v/>
      </c>
      <c r="H2582" s="70" t="str">
        <f aca="false">IF($E2582="","",N(INDEX(成本费用登记表!$Q$4:$Y$303,158,5)))</f>
        <v/>
      </c>
      <c r="I2582" s="70" t="str">
        <f aca="false">IF($E2582="","",N(INDEX(成本费用登记表!$Q$4:$Y$303,158,6)))</f>
        <v/>
      </c>
      <c r="J2582" s="67" t="str">
        <f aca="false">IF($E2582="","",INDEX(成本费用登记表!$C$4:$C$303,158))</f>
        <v/>
      </c>
      <c r="K2582" s="67" t="str">
        <f aca="false">IF($E2582="","",INDEX(成本费用登记表!$D$4:$D$303,158))</f>
        <v/>
      </c>
      <c r="L2582" s="107" t="str">
        <f aca="false">IF($E2582="","",INDEX(成本费用登记表!$N$4:$N$303,158))</f>
        <v/>
      </c>
      <c r="M2582" s="107"/>
      <c r="N2582" s="67" t="str">
        <f aca="false">IF($E2582="","","系统")</f>
        <v/>
      </c>
      <c r="O2582" s="67" t="str">
        <f aca="false">IF($E2582="","","自动C")</f>
        <v/>
      </c>
      <c r="P2582" s="18"/>
    </row>
    <row r="2583" customFormat="false" ht="18" hidden="false" customHeight="true" outlineLevel="0" collapsed="false">
      <c r="A2583" s="107" t="str">
        <f aca="false">IF($E2583="","",ROW()-3)</f>
        <v/>
      </c>
      <c r="B2583" s="110" t="str">
        <f aca="false">IF($E2583="","",INDEX(成本费用登记表!$B$4:$B$303,158))</f>
        <v/>
      </c>
      <c r="C2583" s="67" t="str">
        <f aca="false">IF($E2583="","","记-"&amp;TEXT($B2583,"YYYYMM")&amp;"-费用")</f>
        <v/>
      </c>
      <c r="D2583" s="107" t="str">
        <f aca="false">IF($E2583="","",INDEX(成本费用登记表!$E$4:$E$303,158))</f>
        <v/>
      </c>
      <c r="E2583" s="67" t="str">
        <f aca="false">IF(INDEX(成本费用登记表!$Q$4:$Y$303,158,7)=0,"",INDEX(成本费用登记表!$Q$4:$Y$303,158,7))</f>
        <v/>
      </c>
      <c r="F2583" s="99" t="str">
        <f aca="false">IF($E2583="","",IFERROR(INDEX(科目表!$A$4:$A$81,MATCH($E2583,科目表!$B$4:$B$81,0)),""))</f>
        <v/>
      </c>
      <c r="G2583" s="67" t="str">
        <f aca="false">IF($E2583="","",IFERROR(INDEX(科目表!$E$4:$E$81,MATCH($E2583,科目表!$B$4:$B$81,0)),""))</f>
        <v/>
      </c>
      <c r="H2583" s="70" t="str">
        <f aca="false">IF($E2583="","",N(INDEX(成本费用登记表!$Q$4:$Y$303,158,8)))</f>
        <v/>
      </c>
      <c r="I2583" s="70" t="str">
        <f aca="false">IF($E2583="","",N(INDEX(成本费用登记表!$Q$4:$Y$303,158,9)))</f>
        <v/>
      </c>
      <c r="J2583" s="67" t="str">
        <f aca="false">IF($E2583="","",INDEX(成本费用登记表!$C$4:$C$303,158))</f>
        <v/>
      </c>
      <c r="K2583" s="67" t="str">
        <f aca="false">IF($E2583="","",INDEX(成本费用登记表!$D$4:$D$303,158))</f>
        <v/>
      </c>
      <c r="L2583" s="107" t="str">
        <f aca="false">IF($E2583="","",INDEX(成本费用登记表!$N$4:$N$303,158))</f>
        <v/>
      </c>
      <c r="M2583" s="107"/>
      <c r="N2583" s="67" t="str">
        <f aca="false">IF($E2583="","","系统")</f>
        <v/>
      </c>
      <c r="O2583" s="67" t="str">
        <f aca="false">IF($E2583="","","自动C")</f>
        <v/>
      </c>
      <c r="P2583" s="18"/>
    </row>
    <row r="2584" customFormat="false" ht="18" hidden="false" customHeight="true" outlineLevel="0" collapsed="false">
      <c r="A2584" s="107" t="str">
        <f aca="false">IF($E2584="","",ROW()-3)</f>
        <v/>
      </c>
      <c r="B2584" s="110" t="str">
        <f aca="false">IF($E2584="","",INDEX(成本费用登记表!$B$4:$B$303,159))</f>
        <v/>
      </c>
      <c r="C2584" s="67" t="str">
        <f aca="false">IF($E2584="","","记-"&amp;TEXT($B2584,"YYYYMM")&amp;"-费用")</f>
        <v/>
      </c>
      <c r="D2584" s="107" t="str">
        <f aca="false">IF($E2584="","",INDEX(成本费用登记表!$E$4:$E$303,159))</f>
        <v/>
      </c>
      <c r="E2584" s="67" t="str">
        <f aca="false">IF(INDEX(成本费用登记表!$Q$4:$Y$303,159,1)=0,"",INDEX(成本费用登记表!$Q$4:$Y$303,159,1))</f>
        <v/>
      </c>
      <c r="F2584" s="99" t="str">
        <f aca="false">IF($E2584="","",IFERROR(INDEX(科目表!$A$4:$A$81,MATCH($E2584,科目表!$B$4:$B$81,0)),""))</f>
        <v/>
      </c>
      <c r="G2584" s="67" t="str">
        <f aca="false">IF($E2584="","",IFERROR(INDEX(科目表!$E$4:$E$81,MATCH($E2584,科目表!$B$4:$B$81,0)),""))</f>
        <v/>
      </c>
      <c r="H2584" s="70" t="str">
        <f aca="false">IF($E2584="","",N(INDEX(成本费用登记表!$Q$4:$Y$303,159,2)))</f>
        <v/>
      </c>
      <c r="I2584" s="70" t="str">
        <f aca="false">IF($E2584="","",N(INDEX(成本费用登记表!$Q$4:$Y$303,159,3)))</f>
        <v/>
      </c>
      <c r="J2584" s="67" t="str">
        <f aca="false">IF($E2584="","",INDEX(成本费用登记表!$C$4:$C$303,159))</f>
        <v/>
      </c>
      <c r="K2584" s="67" t="str">
        <f aca="false">IF($E2584="","",INDEX(成本费用登记表!$D$4:$D$303,159))</f>
        <v/>
      </c>
      <c r="L2584" s="107" t="str">
        <f aca="false">IF($E2584="","",INDEX(成本费用登记表!$N$4:$N$303,159))</f>
        <v/>
      </c>
      <c r="M2584" s="107"/>
      <c r="N2584" s="67" t="str">
        <f aca="false">IF($E2584="","","系统")</f>
        <v/>
      </c>
      <c r="O2584" s="67" t="str">
        <f aca="false">IF($E2584="","","自动C")</f>
        <v/>
      </c>
      <c r="P2584" s="18"/>
    </row>
    <row r="2585" customFormat="false" ht="18" hidden="false" customHeight="true" outlineLevel="0" collapsed="false">
      <c r="A2585" s="107" t="str">
        <f aca="false">IF($E2585="","",ROW()-3)</f>
        <v/>
      </c>
      <c r="B2585" s="110" t="str">
        <f aca="false">IF($E2585="","",INDEX(成本费用登记表!$B$4:$B$303,159))</f>
        <v/>
      </c>
      <c r="C2585" s="67" t="str">
        <f aca="false">IF($E2585="","","记-"&amp;TEXT($B2585,"YYYYMM")&amp;"-费用")</f>
        <v/>
      </c>
      <c r="D2585" s="107" t="str">
        <f aca="false">IF($E2585="","",INDEX(成本费用登记表!$E$4:$E$303,159))</f>
        <v/>
      </c>
      <c r="E2585" s="67" t="str">
        <f aca="false">IF(INDEX(成本费用登记表!$Q$4:$Y$303,159,4)=0,"",INDEX(成本费用登记表!$Q$4:$Y$303,159,4))</f>
        <v/>
      </c>
      <c r="F2585" s="99" t="str">
        <f aca="false">IF($E2585="","",IFERROR(INDEX(科目表!$A$4:$A$81,MATCH($E2585,科目表!$B$4:$B$81,0)),""))</f>
        <v/>
      </c>
      <c r="G2585" s="67" t="str">
        <f aca="false">IF($E2585="","",IFERROR(INDEX(科目表!$E$4:$E$81,MATCH($E2585,科目表!$B$4:$B$81,0)),""))</f>
        <v/>
      </c>
      <c r="H2585" s="70" t="str">
        <f aca="false">IF($E2585="","",N(INDEX(成本费用登记表!$Q$4:$Y$303,159,5)))</f>
        <v/>
      </c>
      <c r="I2585" s="70" t="str">
        <f aca="false">IF($E2585="","",N(INDEX(成本费用登记表!$Q$4:$Y$303,159,6)))</f>
        <v/>
      </c>
      <c r="J2585" s="67" t="str">
        <f aca="false">IF($E2585="","",INDEX(成本费用登记表!$C$4:$C$303,159))</f>
        <v/>
      </c>
      <c r="K2585" s="67" t="str">
        <f aca="false">IF($E2585="","",INDEX(成本费用登记表!$D$4:$D$303,159))</f>
        <v/>
      </c>
      <c r="L2585" s="107" t="str">
        <f aca="false">IF($E2585="","",INDEX(成本费用登记表!$N$4:$N$303,159))</f>
        <v/>
      </c>
      <c r="M2585" s="107"/>
      <c r="N2585" s="67" t="str">
        <f aca="false">IF($E2585="","","系统")</f>
        <v/>
      </c>
      <c r="O2585" s="67" t="str">
        <f aca="false">IF($E2585="","","自动C")</f>
        <v/>
      </c>
      <c r="P2585" s="18"/>
    </row>
    <row r="2586" customFormat="false" ht="18" hidden="false" customHeight="true" outlineLevel="0" collapsed="false">
      <c r="A2586" s="107" t="str">
        <f aca="false">IF($E2586="","",ROW()-3)</f>
        <v/>
      </c>
      <c r="B2586" s="110" t="str">
        <f aca="false">IF($E2586="","",INDEX(成本费用登记表!$B$4:$B$303,159))</f>
        <v/>
      </c>
      <c r="C2586" s="67" t="str">
        <f aca="false">IF($E2586="","","记-"&amp;TEXT($B2586,"YYYYMM")&amp;"-费用")</f>
        <v/>
      </c>
      <c r="D2586" s="107" t="str">
        <f aca="false">IF($E2586="","",INDEX(成本费用登记表!$E$4:$E$303,159))</f>
        <v/>
      </c>
      <c r="E2586" s="67" t="str">
        <f aca="false">IF(INDEX(成本费用登记表!$Q$4:$Y$303,159,7)=0,"",INDEX(成本费用登记表!$Q$4:$Y$303,159,7))</f>
        <v/>
      </c>
      <c r="F2586" s="99" t="str">
        <f aca="false">IF($E2586="","",IFERROR(INDEX(科目表!$A$4:$A$81,MATCH($E2586,科目表!$B$4:$B$81,0)),""))</f>
        <v/>
      </c>
      <c r="G2586" s="67" t="str">
        <f aca="false">IF($E2586="","",IFERROR(INDEX(科目表!$E$4:$E$81,MATCH($E2586,科目表!$B$4:$B$81,0)),""))</f>
        <v/>
      </c>
      <c r="H2586" s="70" t="str">
        <f aca="false">IF($E2586="","",N(INDEX(成本费用登记表!$Q$4:$Y$303,159,8)))</f>
        <v/>
      </c>
      <c r="I2586" s="70" t="str">
        <f aca="false">IF($E2586="","",N(INDEX(成本费用登记表!$Q$4:$Y$303,159,9)))</f>
        <v/>
      </c>
      <c r="J2586" s="67" t="str">
        <f aca="false">IF($E2586="","",INDEX(成本费用登记表!$C$4:$C$303,159))</f>
        <v/>
      </c>
      <c r="K2586" s="67" t="str">
        <f aca="false">IF($E2586="","",INDEX(成本费用登记表!$D$4:$D$303,159))</f>
        <v/>
      </c>
      <c r="L2586" s="107" t="str">
        <f aca="false">IF($E2586="","",INDEX(成本费用登记表!$N$4:$N$303,159))</f>
        <v/>
      </c>
      <c r="M2586" s="107"/>
      <c r="N2586" s="67" t="str">
        <f aca="false">IF($E2586="","","系统")</f>
        <v/>
      </c>
      <c r="O2586" s="67" t="str">
        <f aca="false">IF($E2586="","","自动C")</f>
        <v/>
      </c>
      <c r="P2586" s="18"/>
    </row>
    <row r="2587" customFormat="false" ht="18" hidden="false" customHeight="true" outlineLevel="0" collapsed="false">
      <c r="A2587" s="107" t="str">
        <f aca="false">IF($E2587="","",ROW()-3)</f>
        <v/>
      </c>
      <c r="B2587" s="110" t="str">
        <f aca="false">IF($E2587="","",INDEX(成本费用登记表!$B$4:$B$303,160))</f>
        <v/>
      </c>
      <c r="C2587" s="67" t="str">
        <f aca="false">IF($E2587="","","记-"&amp;TEXT($B2587,"YYYYMM")&amp;"-费用")</f>
        <v/>
      </c>
      <c r="D2587" s="107" t="str">
        <f aca="false">IF($E2587="","",INDEX(成本费用登记表!$E$4:$E$303,160))</f>
        <v/>
      </c>
      <c r="E2587" s="67" t="str">
        <f aca="false">IF(INDEX(成本费用登记表!$Q$4:$Y$303,160,1)=0,"",INDEX(成本费用登记表!$Q$4:$Y$303,160,1))</f>
        <v/>
      </c>
      <c r="F2587" s="99" t="str">
        <f aca="false">IF($E2587="","",IFERROR(INDEX(科目表!$A$4:$A$81,MATCH($E2587,科目表!$B$4:$B$81,0)),""))</f>
        <v/>
      </c>
      <c r="G2587" s="67" t="str">
        <f aca="false">IF($E2587="","",IFERROR(INDEX(科目表!$E$4:$E$81,MATCH($E2587,科目表!$B$4:$B$81,0)),""))</f>
        <v/>
      </c>
      <c r="H2587" s="70" t="str">
        <f aca="false">IF($E2587="","",N(INDEX(成本费用登记表!$Q$4:$Y$303,160,2)))</f>
        <v/>
      </c>
      <c r="I2587" s="70" t="str">
        <f aca="false">IF($E2587="","",N(INDEX(成本费用登记表!$Q$4:$Y$303,160,3)))</f>
        <v/>
      </c>
      <c r="J2587" s="67" t="str">
        <f aca="false">IF($E2587="","",INDEX(成本费用登记表!$C$4:$C$303,160))</f>
        <v/>
      </c>
      <c r="K2587" s="67" t="str">
        <f aca="false">IF($E2587="","",INDEX(成本费用登记表!$D$4:$D$303,160))</f>
        <v/>
      </c>
      <c r="L2587" s="107" t="str">
        <f aca="false">IF($E2587="","",INDEX(成本费用登记表!$N$4:$N$303,160))</f>
        <v/>
      </c>
      <c r="M2587" s="107"/>
      <c r="N2587" s="67" t="str">
        <f aca="false">IF($E2587="","","系统")</f>
        <v/>
      </c>
      <c r="O2587" s="67" t="str">
        <f aca="false">IF($E2587="","","自动C")</f>
        <v/>
      </c>
      <c r="P2587" s="18"/>
    </row>
    <row r="2588" customFormat="false" ht="18" hidden="false" customHeight="true" outlineLevel="0" collapsed="false">
      <c r="A2588" s="107" t="str">
        <f aca="false">IF($E2588="","",ROW()-3)</f>
        <v/>
      </c>
      <c r="B2588" s="110" t="str">
        <f aca="false">IF($E2588="","",INDEX(成本费用登记表!$B$4:$B$303,160))</f>
        <v/>
      </c>
      <c r="C2588" s="67" t="str">
        <f aca="false">IF($E2588="","","记-"&amp;TEXT($B2588,"YYYYMM")&amp;"-费用")</f>
        <v/>
      </c>
      <c r="D2588" s="107" t="str">
        <f aca="false">IF($E2588="","",INDEX(成本费用登记表!$E$4:$E$303,160))</f>
        <v/>
      </c>
      <c r="E2588" s="67" t="str">
        <f aca="false">IF(INDEX(成本费用登记表!$Q$4:$Y$303,160,4)=0,"",INDEX(成本费用登记表!$Q$4:$Y$303,160,4))</f>
        <v/>
      </c>
      <c r="F2588" s="99" t="str">
        <f aca="false">IF($E2588="","",IFERROR(INDEX(科目表!$A$4:$A$81,MATCH($E2588,科目表!$B$4:$B$81,0)),""))</f>
        <v/>
      </c>
      <c r="G2588" s="67" t="str">
        <f aca="false">IF($E2588="","",IFERROR(INDEX(科目表!$E$4:$E$81,MATCH($E2588,科目表!$B$4:$B$81,0)),""))</f>
        <v/>
      </c>
      <c r="H2588" s="70" t="str">
        <f aca="false">IF($E2588="","",N(INDEX(成本费用登记表!$Q$4:$Y$303,160,5)))</f>
        <v/>
      </c>
      <c r="I2588" s="70" t="str">
        <f aca="false">IF($E2588="","",N(INDEX(成本费用登记表!$Q$4:$Y$303,160,6)))</f>
        <v/>
      </c>
      <c r="J2588" s="67" t="str">
        <f aca="false">IF($E2588="","",INDEX(成本费用登记表!$C$4:$C$303,160))</f>
        <v/>
      </c>
      <c r="K2588" s="67" t="str">
        <f aca="false">IF($E2588="","",INDEX(成本费用登记表!$D$4:$D$303,160))</f>
        <v/>
      </c>
      <c r="L2588" s="107" t="str">
        <f aca="false">IF($E2588="","",INDEX(成本费用登记表!$N$4:$N$303,160))</f>
        <v/>
      </c>
      <c r="M2588" s="107"/>
      <c r="N2588" s="67" t="str">
        <f aca="false">IF($E2588="","","系统")</f>
        <v/>
      </c>
      <c r="O2588" s="67" t="str">
        <f aca="false">IF($E2588="","","自动C")</f>
        <v/>
      </c>
      <c r="P2588" s="18"/>
    </row>
    <row r="2589" customFormat="false" ht="18" hidden="false" customHeight="true" outlineLevel="0" collapsed="false">
      <c r="A2589" s="107" t="str">
        <f aca="false">IF($E2589="","",ROW()-3)</f>
        <v/>
      </c>
      <c r="B2589" s="110" t="str">
        <f aca="false">IF($E2589="","",INDEX(成本费用登记表!$B$4:$B$303,160))</f>
        <v/>
      </c>
      <c r="C2589" s="67" t="str">
        <f aca="false">IF($E2589="","","记-"&amp;TEXT($B2589,"YYYYMM")&amp;"-费用")</f>
        <v/>
      </c>
      <c r="D2589" s="107" t="str">
        <f aca="false">IF($E2589="","",INDEX(成本费用登记表!$E$4:$E$303,160))</f>
        <v/>
      </c>
      <c r="E2589" s="67" t="str">
        <f aca="false">IF(INDEX(成本费用登记表!$Q$4:$Y$303,160,7)=0,"",INDEX(成本费用登记表!$Q$4:$Y$303,160,7))</f>
        <v/>
      </c>
      <c r="F2589" s="99" t="str">
        <f aca="false">IF($E2589="","",IFERROR(INDEX(科目表!$A$4:$A$81,MATCH($E2589,科目表!$B$4:$B$81,0)),""))</f>
        <v/>
      </c>
      <c r="G2589" s="67" t="str">
        <f aca="false">IF($E2589="","",IFERROR(INDEX(科目表!$E$4:$E$81,MATCH($E2589,科目表!$B$4:$B$81,0)),""))</f>
        <v/>
      </c>
      <c r="H2589" s="70" t="str">
        <f aca="false">IF($E2589="","",N(INDEX(成本费用登记表!$Q$4:$Y$303,160,8)))</f>
        <v/>
      </c>
      <c r="I2589" s="70" t="str">
        <f aca="false">IF($E2589="","",N(INDEX(成本费用登记表!$Q$4:$Y$303,160,9)))</f>
        <v/>
      </c>
      <c r="J2589" s="67" t="str">
        <f aca="false">IF($E2589="","",INDEX(成本费用登记表!$C$4:$C$303,160))</f>
        <v/>
      </c>
      <c r="K2589" s="67" t="str">
        <f aca="false">IF($E2589="","",INDEX(成本费用登记表!$D$4:$D$303,160))</f>
        <v/>
      </c>
      <c r="L2589" s="107" t="str">
        <f aca="false">IF($E2589="","",INDEX(成本费用登记表!$N$4:$N$303,160))</f>
        <v/>
      </c>
      <c r="M2589" s="107"/>
      <c r="N2589" s="67" t="str">
        <f aca="false">IF($E2589="","","系统")</f>
        <v/>
      </c>
      <c r="O2589" s="67" t="str">
        <f aca="false">IF($E2589="","","自动C")</f>
        <v/>
      </c>
      <c r="P2589" s="18"/>
    </row>
    <row r="2590" customFormat="false" ht="18" hidden="false" customHeight="true" outlineLevel="0" collapsed="false">
      <c r="A2590" s="107" t="str">
        <f aca="false">IF($E2590="","",ROW()-3)</f>
        <v/>
      </c>
      <c r="B2590" s="110" t="str">
        <f aca="false">IF($E2590="","",INDEX(成本费用登记表!$B$4:$B$303,161))</f>
        <v/>
      </c>
      <c r="C2590" s="67" t="str">
        <f aca="false">IF($E2590="","","记-"&amp;TEXT($B2590,"YYYYMM")&amp;"-费用")</f>
        <v/>
      </c>
      <c r="D2590" s="107" t="str">
        <f aca="false">IF($E2590="","",INDEX(成本费用登记表!$E$4:$E$303,161))</f>
        <v/>
      </c>
      <c r="E2590" s="67" t="str">
        <f aca="false">IF(INDEX(成本费用登记表!$Q$4:$Y$303,161,1)=0,"",INDEX(成本费用登记表!$Q$4:$Y$303,161,1))</f>
        <v/>
      </c>
      <c r="F2590" s="99" t="str">
        <f aca="false">IF($E2590="","",IFERROR(INDEX(科目表!$A$4:$A$81,MATCH($E2590,科目表!$B$4:$B$81,0)),""))</f>
        <v/>
      </c>
      <c r="G2590" s="67" t="str">
        <f aca="false">IF($E2590="","",IFERROR(INDEX(科目表!$E$4:$E$81,MATCH($E2590,科目表!$B$4:$B$81,0)),""))</f>
        <v/>
      </c>
      <c r="H2590" s="70" t="str">
        <f aca="false">IF($E2590="","",N(INDEX(成本费用登记表!$Q$4:$Y$303,161,2)))</f>
        <v/>
      </c>
      <c r="I2590" s="70" t="str">
        <f aca="false">IF($E2590="","",N(INDEX(成本费用登记表!$Q$4:$Y$303,161,3)))</f>
        <v/>
      </c>
      <c r="J2590" s="67" t="str">
        <f aca="false">IF($E2590="","",INDEX(成本费用登记表!$C$4:$C$303,161))</f>
        <v/>
      </c>
      <c r="K2590" s="67" t="str">
        <f aca="false">IF($E2590="","",INDEX(成本费用登记表!$D$4:$D$303,161))</f>
        <v/>
      </c>
      <c r="L2590" s="107" t="str">
        <f aca="false">IF($E2590="","",INDEX(成本费用登记表!$N$4:$N$303,161))</f>
        <v/>
      </c>
      <c r="M2590" s="107"/>
      <c r="N2590" s="67" t="str">
        <f aca="false">IF($E2590="","","系统")</f>
        <v/>
      </c>
      <c r="O2590" s="67" t="str">
        <f aca="false">IF($E2590="","","自动C")</f>
        <v/>
      </c>
      <c r="P2590" s="18"/>
    </row>
    <row r="2591" customFormat="false" ht="18" hidden="false" customHeight="true" outlineLevel="0" collapsed="false">
      <c r="A2591" s="107" t="str">
        <f aca="false">IF($E2591="","",ROW()-3)</f>
        <v/>
      </c>
      <c r="B2591" s="110" t="str">
        <f aca="false">IF($E2591="","",INDEX(成本费用登记表!$B$4:$B$303,161))</f>
        <v/>
      </c>
      <c r="C2591" s="67" t="str">
        <f aca="false">IF($E2591="","","记-"&amp;TEXT($B2591,"YYYYMM")&amp;"-费用")</f>
        <v/>
      </c>
      <c r="D2591" s="107" t="str">
        <f aca="false">IF($E2591="","",INDEX(成本费用登记表!$E$4:$E$303,161))</f>
        <v/>
      </c>
      <c r="E2591" s="67" t="str">
        <f aca="false">IF(INDEX(成本费用登记表!$Q$4:$Y$303,161,4)=0,"",INDEX(成本费用登记表!$Q$4:$Y$303,161,4))</f>
        <v/>
      </c>
      <c r="F2591" s="99" t="str">
        <f aca="false">IF($E2591="","",IFERROR(INDEX(科目表!$A$4:$A$81,MATCH($E2591,科目表!$B$4:$B$81,0)),""))</f>
        <v/>
      </c>
      <c r="G2591" s="67" t="str">
        <f aca="false">IF($E2591="","",IFERROR(INDEX(科目表!$E$4:$E$81,MATCH($E2591,科目表!$B$4:$B$81,0)),""))</f>
        <v/>
      </c>
      <c r="H2591" s="70" t="str">
        <f aca="false">IF($E2591="","",N(INDEX(成本费用登记表!$Q$4:$Y$303,161,5)))</f>
        <v/>
      </c>
      <c r="I2591" s="70" t="str">
        <f aca="false">IF($E2591="","",N(INDEX(成本费用登记表!$Q$4:$Y$303,161,6)))</f>
        <v/>
      </c>
      <c r="J2591" s="67" t="str">
        <f aca="false">IF($E2591="","",INDEX(成本费用登记表!$C$4:$C$303,161))</f>
        <v/>
      </c>
      <c r="K2591" s="67" t="str">
        <f aca="false">IF($E2591="","",INDEX(成本费用登记表!$D$4:$D$303,161))</f>
        <v/>
      </c>
      <c r="L2591" s="107" t="str">
        <f aca="false">IF($E2591="","",INDEX(成本费用登记表!$N$4:$N$303,161))</f>
        <v/>
      </c>
      <c r="M2591" s="107"/>
      <c r="N2591" s="67" t="str">
        <f aca="false">IF($E2591="","","系统")</f>
        <v/>
      </c>
      <c r="O2591" s="67" t="str">
        <f aca="false">IF($E2591="","","自动C")</f>
        <v/>
      </c>
      <c r="P2591" s="18"/>
    </row>
    <row r="2592" customFormat="false" ht="18" hidden="false" customHeight="true" outlineLevel="0" collapsed="false">
      <c r="A2592" s="107" t="str">
        <f aca="false">IF($E2592="","",ROW()-3)</f>
        <v/>
      </c>
      <c r="B2592" s="110" t="str">
        <f aca="false">IF($E2592="","",INDEX(成本费用登记表!$B$4:$B$303,161))</f>
        <v/>
      </c>
      <c r="C2592" s="67" t="str">
        <f aca="false">IF($E2592="","","记-"&amp;TEXT($B2592,"YYYYMM")&amp;"-费用")</f>
        <v/>
      </c>
      <c r="D2592" s="107" t="str">
        <f aca="false">IF($E2592="","",INDEX(成本费用登记表!$E$4:$E$303,161))</f>
        <v/>
      </c>
      <c r="E2592" s="67" t="str">
        <f aca="false">IF(INDEX(成本费用登记表!$Q$4:$Y$303,161,7)=0,"",INDEX(成本费用登记表!$Q$4:$Y$303,161,7))</f>
        <v/>
      </c>
      <c r="F2592" s="99" t="str">
        <f aca="false">IF($E2592="","",IFERROR(INDEX(科目表!$A$4:$A$81,MATCH($E2592,科目表!$B$4:$B$81,0)),""))</f>
        <v/>
      </c>
      <c r="G2592" s="67" t="str">
        <f aca="false">IF($E2592="","",IFERROR(INDEX(科目表!$E$4:$E$81,MATCH($E2592,科目表!$B$4:$B$81,0)),""))</f>
        <v/>
      </c>
      <c r="H2592" s="70" t="str">
        <f aca="false">IF($E2592="","",N(INDEX(成本费用登记表!$Q$4:$Y$303,161,8)))</f>
        <v/>
      </c>
      <c r="I2592" s="70" t="str">
        <f aca="false">IF($E2592="","",N(INDEX(成本费用登记表!$Q$4:$Y$303,161,9)))</f>
        <v/>
      </c>
      <c r="J2592" s="67" t="str">
        <f aca="false">IF($E2592="","",INDEX(成本费用登记表!$C$4:$C$303,161))</f>
        <v/>
      </c>
      <c r="K2592" s="67" t="str">
        <f aca="false">IF($E2592="","",INDEX(成本费用登记表!$D$4:$D$303,161))</f>
        <v/>
      </c>
      <c r="L2592" s="107" t="str">
        <f aca="false">IF($E2592="","",INDEX(成本费用登记表!$N$4:$N$303,161))</f>
        <v/>
      </c>
      <c r="M2592" s="107"/>
      <c r="N2592" s="67" t="str">
        <f aca="false">IF($E2592="","","系统")</f>
        <v/>
      </c>
      <c r="O2592" s="67" t="str">
        <f aca="false">IF($E2592="","","自动C")</f>
        <v/>
      </c>
      <c r="P2592" s="18"/>
    </row>
    <row r="2593" customFormat="false" ht="18" hidden="false" customHeight="true" outlineLevel="0" collapsed="false">
      <c r="A2593" s="107" t="str">
        <f aca="false">IF($E2593="","",ROW()-3)</f>
        <v/>
      </c>
      <c r="B2593" s="110" t="str">
        <f aca="false">IF($E2593="","",INDEX(成本费用登记表!$B$4:$B$303,162))</f>
        <v/>
      </c>
      <c r="C2593" s="67" t="str">
        <f aca="false">IF($E2593="","","记-"&amp;TEXT($B2593,"YYYYMM")&amp;"-费用")</f>
        <v/>
      </c>
      <c r="D2593" s="107" t="str">
        <f aca="false">IF($E2593="","",INDEX(成本费用登记表!$E$4:$E$303,162))</f>
        <v/>
      </c>
      <c r="E2593" s="67" t="str">
        <f aca="false">IF(INDEX(成本费用登记表!$Q$4:$Y$303,162,1)=0,"",INDEX(成本费用登记表!$Q$4:$Y$303,162,1))</f>
        <v/>
      </c>
      <c r="F2593" s="99" t="str">
        <f aca="false">IF($E2593="","",IFERROR(INDEX(科目表!$A$4:$A$81,MATCH($E2593,科目表!$B$4:$B$81,0)),""))</f>
        <v/>
      </c>
      <c r="G2593" s="67" t="str">
        <f aca="false">IF($E2593="","",IFERROR(INDEX(科目表!$E$4:$E$81,MATCH($E2593,科目表!$B$4:$B$81,0)),""))</f>
        <v/>
      </c>
      <c r="H2593" s="70" t="str">
        <f aca="false">IF($E2593="","",N(INDEX(成本费用登记表!$Q$4:$Y$303,162,2)))</f>
        <v/>
      </c>
      <c r="I2593" s="70" t="str">
        <f aca="false">IF($E2593="","",N(INDEX(成本费用登记表!$Q$4:$Y$303,162,3)))</f>
        <v/>
      </c>
      <c r="J2593" s="67" t="str">
        <f aca="false">IF($E2593="","",INDEX(成本费用登记表!$C$4:$C$303,162))</f>
        <v/>
      </c>
      <c r="K2593" s="67" t="str">
        <f aca="false">IF($E2593="","",INDEX(成本费用登记表!$D$4:$D$303,162))</f>
        <v/>
      </c>
      <c r="L2593" s="107" t="str">
        <f aca="false">IF($E2593="","",INDEX(成本费用登记表!$N$4:$N$303,162))</f>
        <v/>
      </c>
      <c r="M2593" s="107"/>
      <c r="N2593" s="67" t="str">
        <f aca="false">IF($E2593="","","系统")</f>
        <v/>
      </c>
      <c r="O2593" s="67" t="str">
        <f aca="false">IF($E2593="","","自动C")</f>
        <v/>
      </c>
      <c r="P2593" s="18"/>
    </row>
    <row r="2594" customFormat="false" ht="18" hidden="false" customHeight="true" outlineLevel="0" collapsed="false">
      <c r="A2594" s="107" t="str">
        <f aca="false">IF($E2594="","",ROW()-3)</f>
        <v/>
      </c>
      <c r="B2594" s="110" t="str">
        <f aca="false">IF($E2594="","",INDEX(成本费用登记表!$B$4:$B$303,162))</f>
        <v/>
      </c>
      <c r="C2594" s="67" t="str">
        <f aca="false">IF($E2594="","","记-"&amp;TEXT($B2594,"YYYYMM")&amp;"-费用")</f>
        <v/>
      </c>
      <c r="D2594" s="107" t="str">
        <f aca="false">IF($E2594="","",INDEX(成本费用登记表!$E$4:$E$303,162))</f>
        <v/>
      </c>
      <c r="E2594" s="67" t="str">
        <f aca="false">IF(INDEX(成本费用登记表!$Q$4:$Y$303,162,4)=0,"",INDEX(成本费用登记表!$Q$4:$Y$303,162,4))</f>
        <v/>
      </c>
      <c r="F2594" s="99" t="str">
        <f aca="false">IF($E2594="","",IFERROR(INDEX(科目表!$A$4:$A$81,MATCH($E2594,科目表!$B$4:$B$81,0)),""))</f>
        <v/>
      </c>
      <c r="G2594" s="67" t="str">
        <f aca="false">IF($E2594="","",IFERROR(INDEX(科目表!$E$4:$E$81,MATCH($E2594,科目表!$B$4:$B$81,0)),""))</f>
        <v/>
      </c>
      <c r="H2594" s="70" t="str">
        <f aca="false">IF($E2594="","",N(INDEX(成本费用登记表!$Q$4:$Y$303,162,5)))</f>
        <v/>
      </c>
      <c r="I2594" s="70" t="str">
        <f aca="false">IF($E2594="","",N(INDEX(成本费用登记表!$Q$4:$Y$303,162,6)))</f>
        <v/>
      </c>
      <c r="J2594" s="67" t="str">
        <f aca="false">IF($E2594="","",INDEX(成本费用登记表!$C$4:$C$303,162))</f>
        <v/>
      </c>
      <c r="K2594" s="67" t="str">
        <f aca="false">IF($E2594="","",INDEX(成本费用登记表!$D$4:$D$303,162))</f>
        <v/>
      </c>
      <c r="L2594" s="107" t="str">
        <f aca="false">IF($E2594="","",INDEX(成本费用登记表!$N$4:$N$303,162))</f>
        <v/>
      </c>
      <c r="M2594" s="107"/>
      <c r="N2594" s="67" t="str">
        <f aca="false">IF($E2594="","","系统")</f>
        <v/>
      </c>
      <c r="O2594" s="67" t="str">
        <f aca="false">IF($E2594="","","自动C")</f>
        <v/>
      </c>
      <c r="P2594" s="18"/>
    </row>
    <row r="2595" customFormat="false" ht="18" hidden="false" customHeight="true" outlineLevel="0" collapsed="false">
      <c r="A2595" s="107" t="str">
        <f aca="false">IF($E2595="","",ROW()-3)</f>
        <v/>
      </c>
      <c r="B2595" s="110" t="str">
        <f aca="false">IF($E2595="","",INDEX(成本费用登记表!$B$4:$B$303,162))</f>
        <v/>
      </c>
      <c r="C2595" s="67" t="str">
        <f aca="false">IF($E2595="","","记-"&amp;TEXT($B2595,"YYYYMM")&amp;"-费用")</f>
        <v/>
      </c>
      <c r="D2595" s="107" t="str">
        <f aca="false">IF($E2595="","",INDEX(成本费用登记表!$E$4:$E$303,162))</f>
        <v/>
      </c>
      <c r="E2595" s="67" t="str">
        <f aca="false">IF(INDEX(成本费用登记表!$Q$4:$Y$303,162,7)=0,"",INDEX(成本费用登记表!$Q$4:$Y$303,162,7))</f>
        <v/>
      </c>
      <c r="F2595" s="99" t="str">
        <f aca="false">IF($E2595="","",IFERROR(INDEX(科目表!$A$4:$A$81,MATCH($E2595,科目表!$B$4:$B$81,0)),""))</f>
        <v/>
      </c>
      <c r="G2595" s="67" t="str">
        <f aca="false">IF($E2595="","",IFERROR(INDEX(科目表!$E$4:$E$81,MATCH($E2595,科目表!$B$4:$B$81,0)),""))</f>
        <v/>
      </c>
      <c r="H2595" s="70" t="str">
        <f aca="false">IF($E2595="","",N(INDEX(成本费用登记表!$Q$4:$Y$303,162,8)))</f>
        <v/>
      </c>
      <c r="I2595" s="70" t="str">
        <f aca="false">IF($E2595="","",N(INDEX(成本费用登记表!$Q$4:$Y$303,162,9)))</f>
        <v/>
      </c>
      <c r="J2595" s="67" t="str">
        <f aca="false">IF($E2595="","",INDEX(成本费用登记表!$C$4:$C$303,162))</f>
        <v/>
      </c>
      <c r="K2595" s="67" t="str">
        <f aca="false">IF($E2595="","",INDEX(成本费用登记表!$D$4:$D$303,162))</f>
        <v/>
      </c>
      <c r="L2595" s="107" t="str">
        <f aca="false">IF($E2595="","",INDEX(成本费用登记表!$N$4:$N$303,162))</f>
        <v/>
      </c>
      <c r="M2595" s="107"/>
      <c r="N2595" s="67" t="str">
        <f aca="false">IF($E2595="","","系统")</f>
        <v/>
      </c>
      <c r="O2595" s="67" t="str">
        <f aca="false">IF($E2595="","","自动C")</f>
        <v/>
      </c>
      <c r="P2595" s="18"/>
    </row>
    <row r="2596" customFormat="false" ht="18" hidden="false" customHeight="true" outlineLevel="0" collapsed="false">
      <c r="A2596" s="107" t="str">
        <f aca="false">IF($E2596="","",ROW()-3)</f>
        <v/>
      </c>
      <c r="B2596" s="110" t="str">
        <f aca="false">IF($E2596="","",INDEX(成本费用登记表!$B$4:$B$303,163))</f>
        <v/>
      </c>
      <c r="C2596" s="67" t="str">
        <f aca="false">IF($E2596="","","记-"&amp;TEXT($B2596,"YYYYMM")&amp;"-费用")</f>
        <v/>
      </c>
      <c r="D2596" s="107" t="str">
        <f aca="false">IF($E2596="","",INDEX(成本费用登记表!$E$4:$E$303,163))</f>
        <v/>
      </c>
      <c r="E2596" s="67" t="str">
        <f aca="false">IF(INDEX(成本费用登记表!$Q$4:$Y$303,163,1)=0,"",INDEX(成本费用登记表!$Q$4:$Y$303,163,1))</f>
        <v/>
      </c>
      <c r="F2596" s="99" t="str">
        <f aca="false">IF($E2596="","",IFERROR(INDEX(科目表!$A$4:$A$81,MATCH($E2596,科目表!$B$4:$B$81,0)),""))</f>
        <v/>
      </c>
      <c r="G2596" s="67" t="str">
        <f aca="false">IF($E2596="","",IFERROR(INDEX(科目表!$E$4:$E$81,MATCH($E2596,科目表!$B$4:$B$81,0)),""))</f>
        <v/>
      </c>
      <c r="H2596" s="70" t="str">
        <f aca="false">IF($E2596="","",N(INDEX(成本费用登记表!$Q$4:$Y$303,163,2)))</f>
        <v/>
      </c>
      <c r="I2596" s="70" t="str">
        <f aca="false">IF($E2596="","",N(INDEX(成本费用登记表!$Q$4:$Y$303,163,3)))</f>
        <v/>
      </c>
      <c r="J2596" s="67" t="str">
        <f aca="false">IF($E2596="","",INDEX(成本费用登记表!$C$4:$C$303,163))</f>
        <v/>
      </c>
      <c r="K2596" s="67" t="str">
        <f aca="false">IF($E2596="","",INDEX(成本费用登记表!$D$4:$D$303,163))</f>
        <v/>
      </c>
      <c r="L2596" s="107" t="str">
        <f aca="false">IF($E2596="","",INDEX(成本费用登记表!$N$4:$N$303,163))</f>
        <v/>
      </c>
      <c r="M2596" s="107"/>
      <c r="N2596" s="67" t="str">
        <f aca="false">IF($E2596="","","系统")</f>
        <v/>
      </c>
      <c r="O2596" s="67" t="str">
        <f aca="false">IF($E2596="","","自动C")</f>
        <v/>
      </c>
      <c r="P2596" s="18"/>
    </row>
    <row r="2597" customFormat="false" ht="18" hidden="false" customHeight="true" outlineLevel="0" collapsed="false">
      <c r="A2597" s="107" t="str">
        <f aca="false">IF($E2597="","",ROW()-3)</f>
        <v/>
      </c>
      <c r="B2597" s="110" t="str">
        <f aca="false">IF($E2597="","",INDEX(成本费用登记表!$B$4:$B$303,163))</f>
        <v/>
      </c>
      <c r="C2597" s="67" t="str">
        <f aca="false">IF($E2597="","","记-"&amp;TEXT($B2597,"YYYYMM")&amp;"-费用")</f>
        <v/>
      </c>
      <c r="D2597" s="107" t="str">
        <f aca="false">IF($E2597="","",INDEX(成本费用登记表!$E$4:$E$303,163))</f>
        <v/>
      </c>
      <c r="E2597" s="67" t="str">
        <f aca="false">IF(INDEX(成本费用登记表!$Q$4:$Y$303,163,4)=0,"",INDEX(成本费用登记表!$Q$4:$Y$303,163,4))</f>
        <v/>
      </c>
      <c r="F2597" s="99" t="str">
        <f aca="false">IF($E2597="","",IFERROR(INDEX(科目表!$A$4:$A$81,MATCH($E2597,科目表!$B$4:$B$81,0)),""))</f>
        <v/>
      </c>
      <c r="G2597" s="67" t="str">
        <f aca="false">IF($E2597="","",IFERROR(INDEX(科目表!$E$4:$E$81,MATCH($E2597,科目表!$B$4:$B$81,0)),""))</f>
        <v/>
      </c>
      <c r="H2597" s="70" t="str">
        <f aca="false">IF($E2597="","",N(INDEX(成本费用登记表!$Q$4:$Y$303,163,5)))</f>
        <v/>
      </c>
      <c r="I2597" s="70" t="str">
        <f aca="false">IF($E2597="","",N(INDEX(成本费用登记表!$Q$4:$Y$303,163,6)))</f>
        <v/>
      </c>
      <c r="J2597" s="67" t="str">
        <f aca="false">IF($E2597="","",INDEX(成本费用登记表!$C$4:$C$303,163))</f>
        <v/>
      </c>
      <c r="K2597" s="67" t="str">
        <f aca="false">IF($E2597="","",INDEX(成本费用登记表!$D$4:$D$303,163))</f>
        <v/>
      </c>
      <c r="L2597" s="107" t="str">
        <f aca="false">IF($E2597="","",INDEX(成本费用登记表!$N$4:$N$303,163))</f>
        <v/>
      </c>
      <c r="M2597" s="107"/>
      <c r="N2597" s="67" t="str">
        <f aca="false">IF($E2597="","","系统")</f>
        <v/>
      </c>
      <c r="O2597" s="67" t="str">
        <f aca="false">IF($E2597="","","自动C")</f>
        <v/>
      </c>
      <c r="P2597" s="18"/>
    </row>
    <row r="2598" customFormat="false" ht="18" hidden="false" customHeight="true" outlineLevel="0" collapsed="false">
      <c r="A2598" s="107" t="str">
        <f aca="false">IF($E2598="","",ROW()-3)</f>
        <v/>
      </c>
      <c r="B2598" s="110" t="str">
        <f aca="false">IF($E2598="","",INDEX(成本费用登记表!$B$4:$B$303,163))</f>
        <v/>
      </c>
      <c r="C2598" s="67" t="str">
        <f aca="false">IF($E2598="","","记-"&amp;TEXT($B2598,"YYYYMM")&amp;"-费用")</f>
        <v/>
      </c>
      <c r="D2598" s="107" t="str">
        <f aca="false">IF($E2598="","",INDEX(成本费用登记表!$E$4:$E$303,163))</f>
        <v/>
      </c>
      <c r="E2598" s="67" t="str">
        <f aca="false">IF(INDEX(成本费用登记表!$Q$4:$Y$303,163,7)=0,"",INDEX(成本费用登记表!$Q$4:$Y$303,163,7))</f>
        <v/>
      </c>
      <c r="F2598" s="99" t="str">
        <f aca="false">IF($E2598="","",IFERROR(INDEX(科目表!$A$4:$A$81,MATCH($E2598,科目表!$B$4:$B$81,0)),""))</f>
        <v/>
      </c>
      <c r="G2598" s="67" t="str">
        <f aca="false">IF($E2598="","",IFERROR(INDEX(科目表!$E$4:$E$81,MATCH($E2598,科目表!$B$4:$B$81,0)),""))</f>
        <v/>
      </c>
      <c r="H2598" s="70" t="str">
        <f aca="false">IF($E2598="","",N(INDEX(成本费用登记表!$Q$4:$Y$303,163,8)))</f>
        <v/>
      </c>
      <c r="I2598" s="70" t="str">
        <f aca="false">IF($E2598="","",N(INDEX(成本费用登记表!$Q$4:$Y$303,163,9)))</f>
        <v/>
      </c>
      <c r="J2598" s="67" t="str">
        <f aca="false">IF($E2598="","",INDEX(成本费用登记表!$C$4:$C$303,163))</f>
        <v/>
      </c>
      <c r="K2598" s="67" t="str">
        <f aca="false">IF($E2598="","",INDEX(成本费用登记表!$D$4:$D$303,163))</f>
        <v/>
      </c>
      <c r="L2598" s="107" t="str">
        <f aca="false">IF($E2598="","",INDEX(成本费用登记表!$N$4:$N$303,163))</f>
        <v/>
      </c>
      <c r="M2598" s="107"/>
      <c r="N2598" s="67" t="str">
        <f aca="false">IF($E2598="","","系统")</f>
        <v/>
      </c>
      <c r="O2598" s="67" t="str">
        <f aca="false">IF($E2598="","","自动C")</f>
        <v/>
      </c>
      <c r="P2598" s="18"/>
    </row>
    <row r="2599" customFormat="false" ht="18" hidden="false" customHeight="true" outlineLevel="0" collapsed="false">
      <c r="A2599" s="107" t="str">
        <f aca="false">IF($E2599="","",ROW()-3)</f>
        <v/>
      </c>
      <c r="B2599" s="110" t="str">
        <f aca="false">IF($E2599="","",INDEX(成本费用登记表!$B$4:$B$303,164))</f>
        <v/>
      </c>
      <c r="C2599" s="67" t="str">
        <f aca="false">IF($E2599="","","记-"&amp;TEXT($B2599,"YYYYMM")&amp;"-费用")</f>
        <v/>
      </c>
      <c r="D2599" s="107" t="str">
        <f aca="false">IF($E2599="","",INDEX(成本费用登记表!$E$4:$E$303,164))</f>
        <v/>
      </c>
      <c r="E2599" s="67" t="str">
        <f aca="false">IF(INDEX(成本费用登记表!$Q$4:$Y$303,164,1)=0,"",INDEX(成本费用登记表!$Q$4:$Y$303,164,1))</f>
        <v/>
      </c>
      <c r="F2599" s="99" t="str">
        <f aca="false">IF($E2599="","",IFERROR(INDEX(科目表!$A$4:$A$81,MATCH($E2599,科目表!$B$4:$B$81,0)),""))</f>
        <v/>
      </c>
      <c r="G2599" s="67" t="str">
        <f aca="false">IF($E2599="","",IFERROR(INDEX(科目表!$E$4:$E$81,MATCH($E2599,科目表!$B$4:$B$81,0)),""))</f>
        <v/>
      </c>
      <c r="H2599" s="70" t="str">
        <f aca="false">IF($E2599="","",N(INDEX(成本费用登记表!$Q$4:$Y$303,164,2)))</f>
        <v/>
      </c>
      <c r="I2599" s="70" t="str">
        <f aca="false">IF($E2599="","",N(INDEX(成本费用登记表!$Q$4:$Y$303,164,3)))</f>
        <v/>
      </c>
      <c r="J2599" s="67" t="str">
        <f aca="false">IF($E2599="","",INDEX(成本费用登记表!$C$4:$C$303,164))</f>
        <v/>
      </c>
      <c r="K2599" s="67" t="str">
        <f aca="false">IF($E2599="","",INDEX(成本费用登记表!$D$4:$D$303,164))</f>
        <v/>
      </c>
      <c r="L2599" s="107" t="str">
        <f aca="false">IF($E2599="","",INDEX(成本费用登记表!$N$4:$N$303,164))</f>
        <v/>
      </c>
      <c r="M2599" s="107"/>
      <c r="N2599" s="67" t="str">
        <f aca="false">IF($E2599="","","系统")</f>
        <v/>
      </c>
      <c r="O2599" s="67" t="str">
        <f aca="false">IF($E2599="","","自动C")</f>
        <v/>
      </c>
      <c r="P2599" s="18"/>
    </row>
    <row r="2600" customFormat="false" ht="18" hidden="false" customHeight="true" outlineLevel="0" collapsed="false">
      <c r="A2600" s="107" t="str">
        <f aca="false">IF($E2600="","",ROW()-3)</f>
        <v/>
      </c>
      <c r="B2600" s="110" t="str">
        <f aca="false">IF($E2600="","",INDEX(成本费用登记表!$B$4:$B$303,164))</f>
        <v/>
      </c>
      <c r="C2600" s="67" t="str">
        <f aca="false">IF($E2600="","","记-"&amp;TEXT($B2600,"YYYYMM")&amp;"-费用")</f>
        <v/>
      </c>
      <c r="D2600" s="107" t="str">
        <f aca="false">IF($E2600="","",INDEX(成本费用登记表!$E$4:$E$303,164))</f>
        <v/>
      </c>
      <c r="E2600" s="67" t="str">
        <f aca="false">IF(INDEX(成本费用登记表!$Q$4:$Y$303,164,4)=0,"",INDEX(成本费用登记表!$Q$4:$Y$303,164,4))</f>
        <v/>
      </c>
      <c r="F2600" s="99" t="str">
        <f aca="false">IF($E2600="","",IFERROR(INDEX(科目表!$A$4:$A$81,MATCH($E2600,科目表!$B$4:$B$81,0)),""))</f>
        <v/>
      </c>
      <c r="G2600" s="67" t="str">
        <f aca="false">IF($E2600="","",IFERROR(INDEX(科目表!$E$4:$E$81,MATCH($E2600,科目表!$B$4:$B$81,0)),""))</f>
        <v/>
      </c>
      <c r="H2600" s="70" t="str">
        <f aca="false">IF($E2600="","",N(INDEX(成本费用登记表!$Q$4:$Y$303,164,5)))</f>
        <v/>
      </c>
      <c r="I2600" s="70" t="str">
        <f aca="false">IF($E2600="","",N(INDEX(成本费用登记表!$Q$4:$Y$303,164,6)))</f>
        <v/>
      </c>
      <c r="J2600" s="67" t="str">
        <f aca="false">IF($E2600="","",INDEX(成本费用登记表!$C$4:$C$303,164))</f>
        <v/>
      </c>
      <c r="K2600" s="67" t="str">
        <f aca="false">IF($E2600="","",INDEX(成本费用登记表!$D$4:$D$303,164))</f>
        <v/>
      </c>
      <c r="L2600" s="107" t="str">
        <f aca="false">IF($E2600="","",INDEX(成本费用登记表!$N$4:$N$303,164))</f>
        <v/>
      </c>
      <c r="M2600" s="107"/>
      <c r="N2600" s="67" t="str">
        <f aca="false">IF($E2600="","","系统")</f>
        <v/>
      </c>
      <c r="O2600" s="67" t="str">
        <f aca="false">IF($E2600="","","自动C")</f>
        <v/>
      </c>
      <c r="P2600" s="18"/>
    </row>
    <row r="2601" customFormat="false" ht="18" hidden="false" customHeight="true" outlineLevel="0" collapsed="false">
      <c r="A2601" s="107" t="str">
        <f aca="false">IF($E2601="","",ROW()-3)</f>
        <v/>
      </c>
      <c r="B2601" s="110" t="str">
        <f aca="false">IF($E2601="","",INDEX(成本费用登记表!$B$4:$B$303,164))</f>
        <v/>
      </c>
      <c r="C2601" s="67" t="str">
        <f aca="false">IF($E2601="","","记-"&amp;TEXT($B2601,"YYYYMM")&amp;"-费用")</f>
        <v/>
      </c>
      <c r="D2601" s="107" t="str">
        <f aca="false">IF($E2601="","",INDEX(成本费用登记表!$E$4:$E$303,164))</f>
        <v/>
      </c>
      <c r="E2601" s="67" t="str">
        <f aca="false">IF(INDEX(成本费用登记表!$Q$4:$Y$303,164,7)=0,"",INDEX(成本费用登记表!$Q$4:$Y$303,164,7))</f>
        <v/>
      </c>
      <c r="F2601" s="99" t="str">
        <f aca="false">IF($E2601="","",IFERROR(INDEX(科目表!$A$4:$A$81,MATCH($E2601,科目表!$B$4:$B$81,0)),""))</f>
        <v/>
      </c>
      <c r="G2601" s="67" t="str">
        <f aca="false">IF($E2601="","",IFERROR(INDEX(科目表!$E$4:$E$81,MATCH($E2601,科目表!$B$4:$B$81,0)),""))</f>
        <v/>
      </c>
      <c r="H2601" s="70" t="str">
        <f aca="false">IF($E2601="","",N(INDEX(成本费用登记表!$Q$4:$Y$303,164,8)))</f>
        <v/>
      </c>
      <c r="I2601" s="70" t="str">
        <f aca="false">IF($E2601="","",N(INDEX(成本费用登记表!$Q$4:$Y$303,164,9)))</f>
        <v/>
      </c>
      <c r="J2601" s="67" t="str">
        <f aca="false">IF($E2601="","",INDEX(成本费用登记表!$C$4:$C$303,164))</f>
        <v/>
      </c>
      <c r="K2601" s="67" t="str">
        <f aca="false">IF($E2601="","",INDEX(成本费用登记表!$D$4:$D$303,164))</f>
        <v/>
      </c>
      <c r="L2601" s="107" t="str">
        <f aca="false">IF($E2601="","",INDEX(成本费用登记表!$N$4:$N$303,164))</f>
        <v/>
      </c>
      <c r="M2601" s="107"/>
      <c r="N2601" s="67" t="str">
        <f aca="false">IF($E2601="","","系统")</f>
        <v/>
      </c>
      <c r="O2601" s="67" t="str">
        <f aca="false">IF($E2601="","","自动C")</f>
        <v/>
      </c>
      <c r="P2601" s="18"/>
    </row>
    <row r="2602" customFormat="false" ht="18" hidden="false" customHeight="true" outlineLevel="0" collapsed="false">
      <c r="A2602" s="107" t="str">
        <f aca="false">IF($E2602="","",ROW()-3)</f>
        <v/>
      </c>
      <c r="B2602" s="110" t="str">
        <f aca="false">IF($E2602="","",INDEX(成本费用登记表!$B$4:$B$303,165))</f>
        <v/>
      </c>
      <c r="C2602" s="67" t="str">
        <f aca="false">IF($E2602="","","记-"&amp;TEXT($B2602,"YYYYMM")&amp;"-费用")</f>
        <v/>
      </c>
      <c r="D2602" s="107" t="str">
        <f aca="false">IF($E2602="","",INDEX(成本费用登记表!$E$4:$E$303,165))</f>
        <v/>
      </c>
      <c r="E2602" s="67" t="str">
        <f aca="false">IF(INDEX(成本费用登记表!$Q$4:$Y$303,165,1)=0,"",INDEX(成本费用登记表!$Q$4:$Y$303,165,1))</f>
        <v/>
      </c>
      <c r="F2602" s="99" t="str">
        <f aca="false">IF($E2602="","",IFERROR(INDEX(科目表!$A$4:$A$81,MATCH($E2602,科目表!$B$4:$B$81,0)),""))</f>
        <v/>
      </c>
      <c r="G2602" s="67" t="str">
        <f aca="false">IF($E2602="","",IFERROR(INDEX(科目表!$E$4:$E$81,MATCH($E2602,科目表!$B$4:$B$81,0)),""))</f>
        <v/>
      </c>
      <c r="H2602" s="70" t="str">
        <f aca="false">IF($E2602="","",N(INDEX(成本费用登记表!$Q$4:$Y$303,165,2)))</f>
        <v/>
      </c>
      <c r="I2602" s="70" t="str">
        <f aca="false">IF($E2602="","",N(INDEX(成本费用登记表!$Q$4:$Y$303,165,3)))</f>
        <v/>
      </c>
      <c r="J2602" s="67" t="str">
        <f aca="false">IF($E2602="","",INDEX(成本费用登记表!$C$4:$C$303,165))</f>
        <v/>
      </c>
      <c r="K2602" s="67" t="str">
        <f aca="false">IF($E2602="","",INDEX(成本费用登记表!$D$4:$D$303,165))</f>
        <v/>
      </c>
      <c r="L2602" s="107" t="str">
        <f aca="false">IF($E2602="","",INDEX(成本费用登记表!$N$4:$N$303,165))</f>
        <v/>
      </c>
      <c r="M2602" s="107"/>
      <c r="N2602" s="67" t="str">
        <f aca="false">IF($E2602="","","系统")</f>
        <v/>
      </c>
      <c r="O2602" s="67" t="str">
        <f aca="false">IF($E2602="","","自动C")</f>
        <v/>
      </c>
      <c r="P2602" s="18"/>
    </row>
    <row r="2603" customFormat="false" ht="18" hidden="false" customHeight="true" outlineLevel="0" collapsed="false">
      <c r="A2603" s="107" t="str">
        <f aca="false">IF($E2603="","",ROW()-3)</f>
        <v/>
      </c>
      <c r="B2603" s="110" t="str">
        <f aca="false">IF($E2603="","",INDEX(成本费用登记表!$B$4:$B$303,165))</f>
        <v/>
      </c>
      <c r="C2603" s="67" t="str">
        <f aca="false">IF($E2603="","","记-"&amp;TEXT($B2603,"YYYYMM")&amp;"-费用")</f>
        <v/>
      </c>
      <c r="D2603" s="107" t="str">
        <f aca="false">IF($E2603="","",INDEX(成本费用登记表!$E$4:$E$303,165))</f>
        <v/>
      </c>
      <c r="E2603" s="67" t="str">
        <f aca="false">IF(INDEX(成本费用登记表!$Q$4:$Y$303,165,4)=0,"",INDEX(成本费用登记表!$Q$4:$Y$303,165,4))</f>
        <v/>
      </c>
      <c r="F2603" s="99" t="str">
        <f aca="false">IF($E2603="","",IFERROR(INDEX(科目表!$A$4:$A$81,MATCH($E2603,科目表!$B$4:$B$81,0)),""))</f>
        <v/>
      </c>
      <c r="G2603" s="67" t="str">
        <f aca="false">IF($E2603="","",IFERROR(INDEX(科目表!$E$4:$E$81,MATCH($E2603,科目表!$B$4:$B$81,0)),""))</f>
        <v/>
      </c>
      <c r="H2603" s="70" t="str">
        <f aca="false">IF($E2603="","",N(INDEX(成本费用登记表!$Q$4:$Y$303,165,5)))</f>
        <v/>
      </c>
      <c r="I2603" s="70" t="str">
        <f aca="false">IF($E2603="","",N(INDEX(成本费用登记表!$Q$4:$Y$303,165,6)))</f>
        <v/>
      </c>
      <c r="J2603" s="67" t="str">
        <f aca="false">IF($E2603="","",INDEX(成本费用登记表!$C$4:$C$303,165))</f>
        <v/>
      </c>
      <c r="K2603" s="67" t="str">
        <f aca="false">IF($E2603="","",INDEX(成本费用登记表!$D$4:$D$303,165))</f>
        <v/>
      </c>
      <c r="L2603" s="107" t="str">
        <f aca="false">IF($E2603="","",INDEX(成本费用登记表!$N$4:$N$303,165))</f>
        <v/>
      </c>
      <c r="M2603" s="107"/>
      <c r="N2603" s="67" t="str">
        <f aca="false">IF($E2603="","","系统")</f>
        <v/>
      </c>
      <c r="O2603" s="67" t="str">
        <f aca="false">IF($E2603="","","自动C")</f>
        <v/>
      </c>
      <c r="P2603" s="18"/>
    </row>
    <row r="2604" customFormat="false" ht="18" hidden="false" customHeight="true" outlineLevel="0" collapsed="false">
      <c r="A2604" s="107" t="str">
        <f aca="false">IF($E2604="","",ROW()-3)</f>
        <v/>
      </c>
      <c r="B2604" s="110" t="str">
        <f aca="false">IF($E2604="","",INDEX(成本费用登记表!$B$4:$B$303,165))</f>
        <v/>
      </c>
      <c r="C2604" s="67" t="str">
        <f aca="false">IF($E2604="","","记-"&amp;TEXT($B2604,"YYYYMM")&amp;"-费用")</f>
        <v/>
      </c>
      <c r="D2604" s="107" t="str">
        <f aca="false">IF($E2604="","",INDEX(成本费用登记表!$E$4:$E$303,165))</f>
        <v/>
      </c>
      <c r="E2604" s="67" t="str">
        <f aca="false">IF(INDEX(成本费用登记表!$Q$4:$Y$303,165,7)=0,"",INDEX(成本费用登记表!$Q$4:$Y$303,165,7))</f>
        <v/>
      </c>
      <c r="F2604" s="99" t="str">
        <f aca="false">IF($E2604="","",IFERROR(INDEX(科目表!$A$4:$A$81,MATCH($E2604,科目表!$B$4:$B$81,0)),""))</f>
        <v/>
      </c>
      <c r="G2604" s="67" t="str">
        <f aca="false">IF($E2604="","",IFERROR(INDEX(科目表!$E$4:$E$81,MATCH($E2604,科目表!$B$4:$B$81,0)),""))</f>
        <v/>
      </c>
      <c r="H2604" s="70" t="str">
        <f aca="false">IF($E2604="","",N(INDEX(成本费用登记表!$Q$4:$Y$303,165,8)))</f>
        <v/>
      </c>
      <c r="I2604" s="70" t="str">
        <f aca="false">IF($E2604="","",N(INDEX(成本费用登记表!$Q$4:$Y$303,165,9)))</f>
        <v/>
      </c>
      <c r="J2604" s="67" t="str">
        <f aca="false">IF($E2604="","",INDEX(成本费用登记表!$C$4:$C$303,165))</f>
        <v/>
      </c>
      <c r="K2604" s="67" t="str">
        <f aca="false">IF($E2604="","",INDEX(成本费用登记表!$D$4:$D$303,165))</f>
        <v/>
      </c>
      <c r="L2604" s="107" t="str">
        <f aca="false">IF($E2604="","",INDEX(成本费用登记表!$N$4:$N$303,165))</f>
        <v/>
      </c>
      <c r="M2604" s="107"/>
      <c r="N2604" s="67" t="str">
        <f aca="false">IF($E2604="","","系统")</f>
        <v/>
      </c>
      <c r="O2604" s="67" t="str">
        <f aca="false">IF($E2604="","","自动C")</f>
        <v/>
      </c>
      <c r="P2604" s="18"/>
    </row>
    <row r="2605" customFormat="false" ht="18" hidden="false" customHeight="true" outlineLevel="0" collapsed="false">
      <c r="A2605" s="107" t="str">
        <f aca="false">IF($E2605="","",ROW()-3)</f>
        <v/>
      </c>
      <c r="B2605" s="110" t="str">
        <f aca="false">IF($E2605="","",INDEX(成本费用登记表!$B$4:$B$303,166))</f>
        <v/>
      </c>
      <c r="C2605" s="67" t="str">
        <f aca="false">IF($E2605="","","记-"&amp;TEXT($B2605,"YYYYMM")&amp;"-费用")</f>
        <v/>
      </c>
      <c r="D2605" s="107" t="str">
        <f aca="false">IF($E2605="","",INDEX(成本费用登记表!$E$4:$E$303,166))</f>
        <v/>
      </c>
      <c r="E2605" s="67" t="str">
        <f aca="false">IF(INDEX(成本费用登记表!$Q$4:$Y$303,166,1)=0,"",INDEX(成本费用登记表!$Q$4:$Y$303,166,1))</f>
        <v/>
      </c>
      <c r="F2605" s="99" t="str">
        <f aca="false">IF($E2605="","",IFERROR(INDEX(科目表!$A$4:$A$81,MATCH($E2605,科目表!$B$4:$B$81,0)),""))</f>
        <v/>
      </c>
      <c r="G2605" s="67" t="str">
        <f aca="false">IF($E2605="","",IFERROR(INDEX(科目表!$E$4:$E$81,MATCH($E2605,科目表!$B$4:$B$81,0)),""))</f>
        <v/>
      </c>
      <c r="H2605" s="70" t="str">
        <f aca="false">IF($E2605="","",N(INDEX(成本费用登记表!$Q$4:$Y$303,166,2)))</f>
        <v/>
      </c>
      <c r="I2605" s="70" t="str">
        <f aca="false">IF($E2605="","",N(INDEX(成本费用登记表!$Q$4:$Y$303,166,3)))</f>
        <v/>
      </c>
      <c r="J2605" s="67" t="str">
        <f aca="false">IF($E2605="","",INDEX(成本费用登记表!$C$4:$C$303,166))</f>
        <v/>
      </c>
      <c r="K2605" s="67" t="str">
        <f aca="false">IF($E2605="","",INDEX(成本费用登记表!$D$4:$D$303,166))</f>
        <v/>
      </c>
      <c r="L2605" s="107" t="str">
        <f aca="false">IF($E2605="","",INDEX(成本费用登记表!$N$4:$N$303,166))</f>
        <v/>
      </c>
      <c r="M2605" s="107"/>
      <c r="N2605" s="67" t="str">
        <f aca="false">IF($E2605="","","系统")</f>
        <v/>
      </c>
      <c r="O2605" s="67" t="str">
        <f aca="false">IF($E2605="","","自动C")</f>
        <v/>
      </c>
      <c r="P2605" s="18"/>
    </row>
    <row r="2606" customFormat="false" ht="18" hidden="false" customHeight="true" outlineLevel="0" collapsed="false">
      <c r="A2606" s="107" t="str">
        <f aca="false">IF($E2606="","",ROW()-3)</f>
        <v/>
      </c>
      <c r="B2606" s="110" t="str">
        <f aca="false">IF($E2606="","",INDEX(成本费用登记表!$B$4:$B$303,166))</f>
        <v/>
      </c>
      <c r="C2606" s="67" t="str">
        <f aca="false">IF($E2606="","","记-"&amp;TEXT($B2606,"YYYYMM")&amp;"-费用")</f>
        <v/>
      </c>
      <c r="D2606" s="107" t="str">
        <f aca="false">IF($E2606="","",INDEX(成本费用登记表!$E$4:$E$303,166))</f>
        <v/>
      </c>
      <c r="E2606" s="67" t="str">
        <f aca="false">IF(INDEX(成本费用登记表!$Q$4:$Y$303,166,4)=0,"",INDEX(成本费用登记表!$Q$4:$Y$303,166,4))</f>
        <v/>
      </c>
      <c r="F2606" s="99" t="str">
        <f aca="false">IF($E2606="","",IFERROR(INDEX(科目表!$A$4:$A$81,MATCH($E2606,科目表!$B$4:$B$81,0)),""))</f>
        <v/>
      </c>
      <c r="G2606" s="67" t="str">
        <f aca="false">IF($E2606="","",IFERROR(INDEX(科目表!$E$4:$E$81,MATCH($E2606,科目表!$B$4:$B$81,0)),""))</f>
        <v/>
      </c>
      <c r="H2606" s="70" t="str">
        <f aca="false">IF($E2606="","",N(INDEX(成本费用登记表!$Q$4:$Y$303,166,5)))</f>
        <v/>
      </c>
      <c r="I2606" s="70" t="str">
        <f aca="false">IF($E2606="","",N(INDEX(成本费用登记表!$Q$4:$Y$303,166,6)))</f>
        <v/>
      </c>
      <c r="J2606" s="67" t="str">
        <f aca="false">IF($E2606="","",INDEX(成本费用登记表!$C$4:$C$303,166))</f>
        <v/>
      </c>
      <c r="K2606" s="67" t="str">
        <f aca="false">IF($E2606="","",INDEX(成本费用登记表!$D$4:$D$303,166))</f>
        <v/>
      </c>
      <c r="L2606" s="107" t="str">
        <f aca="false">IF($E2606="","",INDEX(成本费用登记表!$N$4:$N$303,166))</f>
        <v/>
      </c>
      <c r="M2606" s="107"/>
      <c r="N2606" s="67" t="str">
        <f aca="false">IF($E2606="","","系统")</f>
        <v/>
      </c>
      <c r="O2606" s="67" t="str">
        <f aca="false">IF($E2606="","","自动C")</f>
        <v/>
      </c>
      <c r="P2606" s="18"/>
    </row>
    <row r="2607" customFormat="false" ht="18" hidden="false" customHeight="true" outlineLevel="0" collapsed="false">
      <c r="A2607" s="107" t="str">
        <f aca="false">IF($E2607="","",ROW()-3)</f>
        <v/>
      </c>
      <c r="B2607" s="110" t="str">
        <f aca="false">IF($E2607="","",INDEX(成本费用登记表!$B$4:$B$303,166))</f>
        <v/>
      </c>
      <c r="C2607" s="67" t="str">
        <f aca="false">IF($E2607="","","记-"&amp;TEXT($B2607,"YYYYMM")&amp;"-费用")</f>
        <v/>
      </c>
      <c r="D2607" s="107" t="str">
        <f aca="false">IF($E2607="","",INDEX(成本费用登记表!$E$4:$E$303,166))</f>
        <v/>
      </c>
      <c r="E2607" s="67" t="str">
        <f aca="false">IF(INDEX(成本费用登记表!$Q$4:$Y$303,166,7)=0,"",INDEX(成本费用登记表!$Q$4:$Y$303,166,7))</f>
        <v/>
      </c>
      <c r="F2607" s="99" t="str">
        <f aca="false">IF($E2607="","",IFERROR(INDEX(科目表!$A$4:$A$81,MATCH($E2607,科目表!$B$4:$B$81,0)),""))</f>
        <v/>
      </c>
      <c r="G2607" s="67" t="str">
        <f aca="false">IF($E2607="","",IFERROR(INDEX(科目表!$E$4:$E$81,MATCH($E2607,科目表!$B$4:$B$81,0)),""))</f>
        <v/>
      </c>
      <c r="H2607" s="70" t="str">
        <f aca="false">IF($E2607="","",N(INDEX(成本费用登记表!$Q$4:$Y$303,166,8)))</f>
        <v/>
      </c>
      <c r="I2607" s="70" t="str">
        <f aca="false">IF($E2607="","",N(INDEX(成本费用登记表!$Q$4:$Y$303,166,9)))</f>
        <v/>
      </c>
      <c r="J2607" s="67" t="str">
        <f aca="false">IF($E2607="","",INDEX(成本费用登记表!$C$4:$C$303,166))</f>
        <v/>
      </c>
      <c r="K2607" s="67" t="str">
        <f aca="false">IF($E2607="","",INDEX(成本费用登记表!$D$4:$D$303,166))</f>
        <v/>
      </c>
      <c r="L2607" s="107" t="str">
        <f aca="false">IF($E2607="","",INDEX(成本费用登记表!$N$4:$N$303,166))</f>
        <v/>
      </c>
      <c r="M2607" s="107"/>
      <c r="N2607" s="67" t="str">
        <f aca="false">IF($E2607="","","系统")</f>
        <v/>
      </c>
      <c r="O2607" s="67" t="str">
        <f aca="false">IF($E2607="","","自动C")</f>
        <v/>
      </c>
      <c r="P2607" s="18"/>
    </row>
    <row r="2608" customFormat="false" ht="18" hidden="false" customHeight="true" outlineLevel="0" collapsed="false">
      <c r="A2608" s="107" t="str">
        <f aca="false">IF($E2608="","",ROW()-3)</f>
        <v/>
      </c>
      <c r="B2608" s="110" t="str">
        <f aca="false">IF($E2608="","",INDEX(成本费用登记表!$B$4:$B$303,167))</f>
        <v/>
      </c>
      <c r="C2608" s="67" t="str">
        <f aca="false">IF($E2608="","","记-"&amp;TEXT($B2608,"YYYYMM")&amp;"-费用")</f>
        <v/>
      </c>
      <c r="D2608" s="107" t="str">
        <f aca="false">IF($E2608="","",INDEX(成本费用登记表!$E$4:$E$303,167))</f>
        <v/>
      </c>
      <c r="E2608" s="67" t="str">
        <f aca="false">IF(INDEX(成本费用登记表!$Q$4:$Y$303,167,1)=0,"",INDEX(成本费用登记表!$Q$4:$Y$303,167,1))</f>
        <v/>
      </c>
      <c r="F2608" s="99" t="str">
        <f aca="false">IF($E2608="","",IFERROR(INDEX(科目表!$A$4:$A$81,MATCH($E2608,科目表!$B$4:$B$81,0)),""))</f>
        <v/>
      </c>
      <c r="G2608" s="67" t="str">
        <f aca="false">IF($E2608="","",IFERROR(INDEX(科目表!$E$4:$E$81,MATCH($E2608,科目表!$B$4:$B$81,0)),""))</f>
        <v/>
      </c>
      <c r="H2608" s="70" t="str">
        <f aca="false">IF($E2608="","",N(INDEX(成本费用登记表!$Q$4:$Y$303,167,2)))</f>
        <v/>
      </c>
      <c r="I2608" s="70" t="str">
        <f aca="false">IF($E2608="","",N(INDEX(成本费用登记表!$Q$4:$Y$303,167,3)))</f>
        <v/>
      </c>
      <c r="J2608" s="67" t="str">
        <f aca="false">IF($E2608="","",INDEX(成本费用登记表!$C$4:$C$303,167))</f>
        <v/>
      </c>
      <c r="K2608" s="67" t="str">
        <f aca="false">IF($E2608="","",INDEX(成本费用登记表!$D$4:$D$303,167))</f>
        <v/>
      </c>
      <c r="L2608" s="107" t="str">
        <f aca="false">IF($E2608="","",INDEX(成本费用登记表!$N$4:$N$303,167))</f>
        <v/>
      </c>
      <c r="M2608" s="107"/>
      <c r="N2608" s="67" t="str">
        <f aca="false">IF($E2608="","","系统")</f>
        <v/>
      </c>
      <c r="O2608" s="67" t="str">
        <f aca="false">IF($E2608="","","自动C")</f>
        <v/>
      </c>
      <c r="P2608" s="18"/>
    </row>
    <row r="2609" customFormat="false" ht="18" hidden="false" customHeight="true" outlineLevel="0" collapsed="false">
      <c r="A2609" s="107" t="str">
        <f aca="false">IF($E2609="","",ROW()-3)</f>
        <v/>
      </c>
      <c r="B2609" s="110" t="str">
        <f aca="false">IF($E2609="","",INDEX(成本费用登记表!$B$4:$B$303,167))</f>
        <v/>
      </c>
      <c r="C2609" s="67" t="str">
        <f aca="false">IF($E2609="","","记-"&amp;TEXT($B2609,"YYYYMM")&amp;"-费用")</f>
        <v/>
      </c>
      <c r="D2609" s="107" t="str">
        <f aca="false">IF($E2609="","",INDEX(成本费用登记表!$E$4:$E$303,167))</f>
        <v/>
      </c>
      <c r="E2609" s="67" t="str">
        <f aca="false">IF(INDEX(成本费用登记表!$Q$4:$Y$303,167,4)=0,"",INDEX(成本费用登记表!$Q$4:$Y$303,167,4))</f>
        <v/>
      </c>
      <c r="F2609" s="99" t="str">
        <f aca="false">IF($E2609="","",IFERROR(INDEX(科目表!$A$4:$A$81,MATCH($E2609,科目表!$B$4:$B$81,0)),""))</f>
        <v/>
      </c>
      <c r="G2609" s="67" t="str">
        <f aca="false">IF($E2609="","",IFERROR(INDEX(科目表!$E$4:$E$81,MATCH($E2609,科目表!$B$4:$B$81,0)),""))</f>
        <v/>
      </c>
      <c r="H2609" s="70" t="str">
        <f aca="false">IF($E2609="","",N(INDEX(成本费用登记表!$Q$4:$Y$303,167,5)))</f>
        <v/>
      </c>
      <c r="I2609" s="70" t="str">
        <f aca="false">IF($E2609="","",N(INDEX(成本费用登记表!$Q$4:$Y$303,167,6)))</f>
        <v/>
      </c>
      <c r="J2609" s="67" t="str">
        <f aca="false">IF($E2609="","",INDEX(成本费用登记表!$C$4:$C$303,167))</f>
        <v/>
      </c>
      <c r="K2609" s="67" t="str">
        <f aca="false">IF($E2609="","",INDEX(成本费用登记表!$D$4:$D$303,167))</f>
        <v/>
      </c>
      <c r="L2609" s="107" t="str">
        <f aca="false">IF($E2609="","",INDEX(成本费用登记表!$N$4:$N$303,167))</f>
        <v/>
      </c>
      <c r="M2609" s="107"/>
      <c r="N2609" s="67" t="str">
        <f aca="false">IF($E2609="","","系统")</f>
        <v/>
      </c>
      <c r="O2609" s="67" t="str">
        <f aca="false">IF($E2609="","","自动C")</f>
        <v/>
      </c>
      <c r="P2609" s="18"/>
    </row>
    <row r="2610" customFormat="false" ht="18" hidden="false" customHeight="true" outlineLevel="0" collapsed="false">
      <c r="A2610" s="107" t="str">
        <f aca="false">IF($E2610="","",ROW()-3)</f>
        <v/>
      </c>
      <c r="B2610" s="110" t="str">
        <f aca="false">IF($E2610="","",INDEX(成本费用登记表!$B$4:$B$303,167))</f>
        <v/>
      </c>
      <c r="C2610" s="67" t="str">
        <f aca="false">IF($E2610="","","记-"&amp;TEXT($B2610,"YYYYMM")&amp;"-费用")</f>
        <v/>
      </c>
      <c r="D2610" s="107" t="str">
        <f aca="false">IF($E2610="","",INDEX(成本费用登记表!$E$4:$E$303,167))</f>
        <v/>
      </c>
      <c r="E2610" s="67" t="str">
        <f aca="false">IF(INDEX(成本费用登记表!$Q$4:$Y$303,167,7)=0,"",INDEX(成本费用登记表!$Q$4:$Y$303,167,7))</f>
        <v/>
      </c>
      <c r="F2610" s="99" t="str">
        <f aca="false">IF($E2610="","",IFERROR(INDEX(科目表!$A$4:$A$81,MATCH($E2610,科目表!$B$4:$B$81,0)),""))</f>
        <v/>
      </c>
      <c r="G2610" s="67" t="str">
        <f aca="false">IF($E2610="","",IFERROR(INDEX(科目表!$E$4:$E$81,MATCH($E2610,科目表!$B$4:$B$81,0)),""))</f>
        <v/>
      </c>
      <c r="H2610" s="70" t="str">
        <f aca="false">IF($E2610="","",N(INDEX(成本费用登记表!$Q$4:$Y$303,167,8)))</f>
        <v/>
      </c>
      <c r="I2610" s="70" t="str">
        <f aca="false">IF($E2610="","",N(INDEX(成本费用登记表!$Q$4:$Y$303,167,9)))</f>
        <v/>
      </c>
      <c r="J2610" s="67" t="str">
        <f aca="false">IF($E2610="","",INDEX(成本费用登记表!$C$4:$C$303,167))</f>
        <v/>
      </c>
      <c r="K2610" s="67" t="str">
        <f aca="false">IF($E2610="","",INDEX(成本费用登记表!$D$4:$D$303,167))</f>
        <v/>
      </c>
      <c r="L2610" s="107" t="str">
        <f aca="false">IF($E2610="","",INDEX(成本费用登记表!$N$4:$N$303,167))</f>
        <v/>
      </c>
      <c r="M2610" s="107"/>
      <c r="N2610" s="67" t="str">
        <f aca="false">IF($E2610="","","系统")</f>
        <v/>
      </c>
      <c r="O2610" s="67" t="str">
        <f aca="false">IF($E2610="","","自动C")</f>
        <v/>
      </c>
      <c r="P2610" s="18"/>
    </row>
    <row r="2611" customFormat="false" ht="18" hidden="false" customHeight="true" outlineLevel="0" collapsed="false">
      <c r="A2611" s="107" t="str">
        <f aca="false">IF($E2611="","",ROW()-3)</f>
        <v/>
      </c>
      <c r="B2611" s="110" t="str">
        <f aca="false">IF($E2611="","",INDEX(成本费用登记表!$B$4:$B$303,168))</f>
        <v/>
      </c>
      <c r="C2611" s="67" t="str">
        <f aca="false">IF($E2611="","","记-"&amp;TEXT($B2611,"YYYYMM")&amp;"-费用")</f>
        <v/>
      </c>
      <c r="D2611" s="107" t="str">
        <f aca="false">IF($E2611="","",INDEX(成本费用登记表!$E$4:$E$303,168))</f>
        <v/>
      </c>
      <c r="E2611" s="67" t="str">
        <f aca="false">IF(INDEX(成本费用登记表!$Q$4:$Y$303,168,1)=0,"",INDEX(成本费用登记表!$Q$4:$Y$303,168,1))</f>
        <v/>
      </c>
      <c r="F2611" s="99" t="str">
        <f aca="false">IF($E2611="","",IFERROR(INDEX(科目表!$A$4:$A$81,MATCH($E2611,科目表!$B$4:$B$81,0)),""))</f>
        <v/>
      </c>
      <c r="G2611" s="67" t="str">
        <f aca="false">IF($E2611="","",IFERROR(INDEX(科目表!$E$4:$E$81,MATCH($E2611,科目表!$B$4:$B$81,0)),""))</f>
        <v/>
      </c>
      <c r="H2611" s="70" t="str">
        <f aca="false">IF($E2611="","",N(INDEX(成本费用登记表!$Q$4:$Y$303,168,2)))</f>
        <v/>
      </c>
      <c r="I2611" s="70" t="str">
        <f aca="false">IF($E2611="","",N(INDEX(成本费用登记表!$Q$4:$Y$303,168,3)))</f>
        <v/>
      </c>
      <c r="J2611" s="67" t="str">
        <f aca="false">IF($E2611="","",INDEX(成本费用登记表!$C$4:$C$303,168))</f>
        <v/>
      </c>
      <c r="K2611" s="67" t="str">
        <f aca="false">IF($E2611="","",INDEX(成本费用登记表!$D$4:$D$303,168))</f>
        <v/>
      </c>
      <c r="L2611" s="107" t="str">
        <f aca="false">IF($E2611="","",INDEX(成本费用登记表!$N$4:$N$303,168))</f>
        <v/>
      </c>
      <c r="M2611" s="107"/>
      <c r="N2611" s="67" t="str">
        <f aca="false">IF($E2611="","","系统")</f>
        <v/>
      </c>
      <c r="O2611" s="67" t="str">
        <f aca="false">IF($E2611="","","自动C")</f>
        <v/>
      </c>
      <c r="P2611" s="18"/>
    </row>
    <row r="2612" customFormat="false" ht="18" hidden="false" customHeight="true" outlineLevel="0" collapsed="false">
      <c r="A2612" s="107" t="str">
        <f aca="false">IF($E2612="","",ROW()-3)</f>
        <v/>
      </c>
      <c r="B2612" s="110" t="str">
        <f aca="false">IF($E2612="","",INDEX(成本费用登记表!$B$4:$B$303,168))</f>
        <v/>
      </c>
      <c r="C2612" s="67" t="str">
        <f aca="false">IF($E2612="","","记-"&amp;TEXT($B2612,"YYYYMM")&amp;"-费用")</f>
        <v/>
      </c>
      <c r="D2612" s="107" t="str">
        <f aca="false">IF($E2612="","",INDEX(成本费用登记表!$E$4:$E$303,168))</f>
        <v/>
      </c>
      <c r="E2612" s="67" t="str">
        <f aca="false">IF(INDEX(成本费用登记表!$Q$4:$Y$303,168,4)=0,"",INDEX(成本费用登记表!$Q$4:$Y$303,168,4))</f>
        <v/>
      </c>
      <c r="F2612" s="99" t="str">
        <f aca="false">IF($E2612="","",IFERROR(INDEX(科目表!$A$4:$A$81,MATCH($E2612,科目表!$B$4:$B$81,0)),""))</f>
        <v/>
      </c>
      <c r="G2612" s="67" t="str">
        <f aca="false">IF($E2612="","",IFERROR(INDEX(科目表!$E$4:$E$81,MATCH($E2612,科目表!$B$4:$B$81,0)),""))</f>
        <v/>
      </c>
      <c r="H2612" s="70" t="str">
        <f aca="false">IF($E2612="","",N(INDEX(成本费用登记表!$Q$4:$Y$303,168,5)))</f>
        <v/>
      </c>
      <c r="I2612" s="70" t="str">
        <f aca="false">IF($E2612="","",N(INDEX(成本费用登记表!$Q$4:$Y$303,168,6)))</f>
        <v/>
      </c>
      <c r="J2612" s="67" t="str">
        <f aca="false">IF($E2612="","",INDEX(成本费用登记表!$C$4:$C$303,168))</f>
        <v/>
      </c>
      <c r="K2612" s="67" t="str">
        <f aca="false">IF($E2612="","",INDEX(成本费用登记表!$D$4:$D$303,168))</f>
        <v/>
      </c>
      <c r="L2612" s="107" t="str">
        <f aca="false">IF($E2612="","",INDEX(成本费用登记表!$N$4:$N$303,168))</f>
        <v/>
      </c>
      <c r="M2612" s="107"/>
      <c r="N2612" s="67" t="str">
        <f aca="false">IF($E2612="","","系统")</f>
        <v/>
      </c>
      <c r="O2612" s="67" t="str">
        <f aca="false">IF($E2612="","","自动C")</f>
        <v/>
      </c>
      <c r="P2612" s="18"/>
    </row>
    <row r="2613" customFormat="false" ht="18" hidden="false" customHeight="true" outlineLevel="0" collapsed="false">
      <c r="A2613" s="107" t="str">
        <f aca="false">IF($E2613="","",ROW()-3)</f>
        <v/>
      </c>
      <c r="B2613" s="110" t="str">
        <f aca="false">IF($E2613="","",INDEX(成本费用登记表!$B$4:$B$303,168))</f>
        <v/>
      </c>
      <c r="C2613" s="67" t="str">
        <f aca="false">IF($E2613="","","记-"&amp;TEXT($B2613,"YYYYMM")&amp;"-费用")</f>
        <v/>
      </c>
      <c r="D2613" s="107" t="str">
        <f aca="false">IF($E2613="","",INDEX(成本费用登记表!$E$4:$E$303,168))</f>
        <v/>
      </c>
      <c r="E2613" s="67" t="str">
        <f aca="false">IF(INDEX(成本费用登记表!$Q$4:$Y$303,168,7)=0,"",INDEX(成本费用登记表!$Q$4:$Y$303,168,7))</f>
        <v/>
      </c>
      <c r="F2613" s="99" t="str">
        <f aca="false">IF($E2613="","",IFERROR(INDEX(科目表!$A$4:$A$81,MATCH($E2613,科目表!$B$4:$B$81,0)),""))</f>
        <v/>
      </c>
      <c r="G2613" s="67" t="str">
        <f aca="false">IF($E2613="","",IFERROR(INDEX(科目表!$E$4:$E$81,MATCH($E2613,科目表!$B$4:$B$81,0)),""))</f>
        <v/>
      </c>
      <c r="H2613" s="70" t="str">
        <f aca="false">IF($E2613="","",N(INDEX(成本费用登记表!$Q$4:$Y$303,168,8)))</f>
        <v/>
      </c>
      <c r="I2613" s="70" t="str">
        <f aca="false">IF($E2613="","",N(INDEX(成本费用登记表!$Q$4:$Y$303,168,9)))</f>
        <v/>
      </c>
      <c r="J2613" s="67" t="str">
        <f aca="false">IF($E2613="","",INDEX(成本费用登记表!$C$4:$C$303,168))</f>
        <v/>
      </c>
      <c r="K2613" s="67" t="str">
        <f aca="false">IF($E2613="","",INDEX(成本费用登记表!$D$4:$D$303,168))</f>
        <v/>
      </c>
      <c r="L2613" s="107" t="str">
        <f aca="false">IF($E2613="","",INDEX(成本费用登记表!$N$4:$N$303,168))</f>
        <v/>
      </c>
      <c r="M2613" s="107"/>
      <c r="N2613" s="67" t="str">
        <f aca="false">IF($E2613="","","系统")</f>
        <v/>
      </c>
      <c r="O2613" s="67" t="str">
        <f aca="false">IF($E2613="","","自动C")</f>
        <v/>
      </c>
      <c r="P2613" s="18"/>
    </row>
    <row r="2614" customFormat="false" ht="18" hidden="false" customHeight="true" outlineLevel="0" collapsed="false">
      <c r="A2614" s="107" t="str">
        <f aca="false">IF($E2614="","",ROW()-3)</f>
        <v/>
      </c>
      <c r="B2614" s="110" t="str">
        <f aca="false">IF($E2614="","",INDEX(成本费用登记表!$B$4:$B$303,169))</f>
        <v/>
      </c>
      <c r="C2614" s="67" t="str">
        <f aca="false">IF($E2614="","","记-"&amp;TEXT($B2614,"YYYYMM")&amp;"-费用")</f>
        <v/>
      </c>
      <c r="D2614" s="107" t="str">
        <f aca="false">IF($E2614="","",INDEX(成本费用登记表!$E$4:$E$303,169))</f>
        <v/>
      </c>
      <c r="E2614" s="67" t="str">
        <f aca="false">IF(INDEX(成本费用登记表!$Q$4:$Y$303,169,1)=0,"",INDEX(成本费用登记表!$Q$4:$Y$303,169,1))</f>
        <v/>
      </c>
      <c r="F2614" s="99" t="str">
        <f aca="false">IF($E2614="","",IFERROR(INDEX(科目表!$A$4:$A$81,MATCH($E2614,科目表!$B$4:$B$81,0)),""))</f>
        <v/>
      </c>
      <c r="G2614" s="67" t="str">
        <f aca="false">IF($E2614="","",IFERROR(INDEX(科目表!$E$4:$E$81,MATCH($E2614,科目表!$B$4:$B$81,0)),""))</f>
        <v/>
      </c>
      <c r="H2614" s="70" t="str">
        <f aca="false">IF($E2614="","",N(INDEX(成本费用登记表!$Q$4:$Y$303,169,2)))</f>
        <v/>
      </c>
      <c r="I2614" s="70" t="str">
        <f aca="false">IF($E2614="","",N(INDEX(成本费用登记表!$Q$4:$Y$303,169,3)))</f>
        <v/>
      </c>
      <c r="J2614" s="67" t="str">
        <f aca="false">IF($E2614="","",INDEX(成本费用登记表!$C$4:$C$303,169))</f>
        <v/>
      </c>
      <c r="K2614" s="67" t="str">
        <f aca="false">IF($E2614="","",INDEX(成本费用登记表!$D$4:$D$303,169))</f>
        <v/>
      </c>
      <c r="L2614" s="107" t="str">
        <f aca="false">IF($E2614="","",INDEX(成本费用登记表!$N$4:$N$303,169))</f>
        <v/>
      </c>
      <c r="M2614" s="107"/>
      <c r="N2614" s="67" t="str">
        <f aca="false">IF($E2614="","","系统")</f>
        <v/>
      </c>
      <c r="O2614" s="67" t="str">
        <f aca="false">IF($E2614="","","自动C")</f>
        <v/>
      </c>
      <c r="P2614" s="18"/>
    </row>
    <row r="2615" customFormat="false" ht="18" hidden="false" customHeight="true" outlineLevel="0" collapsed="false">
      <c r="A2615" s="107" t="str">
        <f aca="false">IF($E2615="","",ROW()-3)</f>
        <v/>
      </c>
      <c r="B2615" s="110" t="str">
        <f aca="false">IF($E2615="","",INDEX(成本费用登记表!$B$4:$B$303,169))</f>
        <v/>
      </c>
      <c r="C2615" s="67" t="str">
        <f aca="false">IF($E2615="","","记-"&amp;TEXT($B2615,"YYYYMM")&amp;"-费用")</f>
        <v/>
      </c>
      <c r="D2615" s="107" t="str">
        <f aca="false">IF($E2615="","",INDEX(成本费用登记表!$E$4:$E$303,169))</f>
        <v/>
      </c>
      <c r="E2615" s="67" t="str">
        <f aca="false">IF(INDEX(成本费用登记表!$Q$4:$Y$303,169,4)=0,"",INDEX(成本费用登记表!$Q$4:$Y$303,169,4))</f>
        <v/>
      </c>
      <c r="F2615" s="99" t="str">
        <f aca="false">IF($E2615="","",IFERROR(INDEX(科目表!$A$4:$A$81,MATCH($E2615,科目表!$B$4:$B$81,0)),""))</f>
        <v/>
      </c>
      <c r="G2615" s="67" t="str">
        <f aca="false">IF($E2615="","",IFERROR(INDEX(科目表!$E$4:$E$81,MATCH($E2615,科目表!$B$4:$B$81,0)),""))</f>
        <v/>
      </c>
      <c r="H2615" s="70" t="str">
        <f aca="false">IF($E2615="","",N(INDEX(成本费用登记表!$Q$4:$Y$303,169,5)))</f>
        <v/>
      </c>
      <c r="I2615" s="70" t="str">
        <f aca="false">IF($E2615="","",N(INDEX(成本费用登记表!$Q$4:$Y$303,169,6)))</f>
        <v/>
      </c>
      <c r="J2615" s="67" t="str">
        <f aca="false">IF($E2615="","",INDEX(成本费用登记表!$C$4:$C$303,169))</f>
        <v/>
      </c>
      <c r="K2615" s="67" t="str">
        <f aca="false">IF($E2615="","",INDEX(成本费用登记表!$D$4:$D$303,169))</f>
        <v/>
      </c>
      <c r="L2615" s="107" t="str">
        <f aca="false">IF($E2615="","",INDEX(成本费用登记表!$N$4:$N$303,169))</f>
        <v/>
      </c>
      <c r="M2615" s="107"/>
      <c r="N2615" s="67" t="str">
        <f aca="false">IF($E2615="","","系统")</f>
        <v/>
      </c>
      <c r="O2615" s="67" t="str">
        <f aca="false">IF($E2615="","","自动C")</f>
        <v/>
      </c>
      <c r="P2615" s="18"/>
    </row>
    <row r="2616" customFormat="false" ht="18" hidden="false" customHeight="true" outlineLevel="0" collapsed="false">
      <c r="A2616" s="107" t="str">
        <f aca="false">IF($E2616="","",ROW()-3)</f>
        <v/>
      </c>
      <c r="B2616" s="110" t="str">
        <f aca="false">IF($E2616="","",INDEX(成本费用登记表!$B$4:$B$303,169))</f>
        <v/>
      </c>
      <c r="C2616" s="67" t="str">
        <f aca="false">IF($E2616="","","记-"&amp;TEXT($B2616,"YYYYMM")&amp;"-费用")</f>
        <v/>
      </c>
      <c r="D2616" s="107" t="str">
        <f aca="false">IF($E2616="","",INDEX(成本费用登记表!$E$4:$E$303,169))</f>
        <v/>
      </c>
      <c r="E2616" s="67" t="str">
        <f aca="false">IF(INDEX(成本费用登记表!$Q$4:$Y$303,169,7)=0,"",INDEX(成本费用登记表!$Q$4:$Y$303,169,7))</f>
        <v/>
      </c>
      <c r="F2616" s="99" t="str">
        <f aca="false">IF($E2616="","",IFERROR(INDEX(科目表!$A$4:$A$81,MATCH($E2616,科目表!$B$4:$B$81,0)),""))</f>
        <v/>
      </c>
      <c r="G2616" s="67" t="str">
        <f aca="false">IF($E2616="","",IFERROR(INDEX(科目表!$E$4:$E$81,MATCH($E2616,科目表!$B$4:$B$81,0)),""))</f>
        <v/>
      </c>
      <c r="H2616" s="70" t="str">
        <f aca="false">IF($E2616="","",N(INDEX(成本费用登记表!$Q$4:$Y$303,169,8)))</f>
        <v/>
      </c>
      <c r="I2616" s="70" t="str">
        <f aca="false">IF($E2616="","",N(INDEX(成本费用登记表!$Q$4:$Y$303,169,9)))</f>
        <v/>
      </c>
      <c r="J2616" s="67" t="str">
        <f aca="false">IF($E2616="","",INDEX(成本费用登记表!$C$4:$C$303,169))</f>
        <v/>
      </c>
      <c r="K2616" s="67" t="str">
        <f aca="false">IF($E2616="","",INDEX(成本费用登记表!$D$4:$D$303,169))</f>
        <v/>
      </c>
      <c r="L2616" s="107" t="str">
        <f aca="false">IF($E2616="","",INDEX(成本费用登记表!$N$4:$N$303,169))</f>
        <v/>
      </c>
      <c r="M2616" s="107"/>
      <c r="N2616" s="67" t="str">
        <f aca="false">IF($E2616="","","系统")</f>
        <v/>
      </c>
      <c r="O2616" s="67" t="str">
        <f aca="false">IF($E2616="","","自动C")</f>
        <v/>
      </c>
      <c r="P2616" s="18"/>
    </row>
    <row r="2617" customFormat="false" ht="18" hidden="false" customHeight="true" outlineLevel="0" collapsed="false">
      <c r="A2617" s="107" t="str">
        <f aca="false">IF($E2617="","",ROW()-3)</f>
        <v/>
      </c>
      <c r="B2617" s="110" t="str">
        <f aca="false">IF($E2617="","",INDEX(成本费用登记表!$B$4:$B$303,170))</f>
        <v/>
      </c>
      <c r="C2617" s="67" t="str">
        <f aca="false">IF($E2617="","","记-"&amp;TEXT($B2617,"YYYYMM")&amp;"-费用")</f>
        <v/>
      </c>
      <c r="D2617" s="107" t="str">
        <f aca="false">IF($E2617="","",INDEX(成本费用登记表!$E$4:$E$303,170))</f>
        <v/>
      </c>
      <c r="E2617" s="67" t="str">
        <f aca="false">IF(INDEX(成本费用登记表!$Q$4:$Y$303,170,1)=0,"",INDEX(成本费用登记表!$Q$4:$Y$303,170,1))</f>
        <v/>
      </c>
      <c r="F2617" s="99" t="str">
        <f aca="false">IF($E2617="","",IFERROR(INDEX(科目表!$A$4:$A$81,MATCH($E2617,科目表!$B$4:$B$81,0)),""))</f>
        <v/>
      </c>
      <c r="G2617" s="67" t="str">
        <f aca="false">IF($E2617="","",IFERROR(INDEX(科目表!$E$4:$E$81,MATCH($E2617,科目表!$B$4:$B$81,0)),""))</f>
        <v/>
      </c>
      <c r="H2617" s="70" t="str">
        <f aca="false">IF($E2617="","",N(INDEX(成本费用登记表!$Q$4:$Y$303,170,2)))</f>
        <v/>
      </c>
      <c r="I2617" s="70" t="str">
        <f aca="false">IF($E2617="","",N(INDEX(成本费用登记表!$Q$4:$Y$303,170,3)))</f>
        <v/>
      </c>
      <c r="J2617" s="67" t="str">
        <f aca="false">IF($E2617="","",INDEX(成本费用登记表!$C$4:$C$303,170))</f>
        <v/>
      </c>
      <c r="K2617" s="67" t="str">
        <f aca="false">IF($E2617="","",INDEX(成本费用登记表!$D$4:$D$303,170))</f>
        <v/>
      </c>
      <c r="L2617" s="107" t="str">
        <f aca="false">IF($E2617="","",INDEX(成本费用登记表!$N$4:$N$303,170))</f>
        <v/>
      </c>
      <c r="M2617" s="107"/>
      <c r="N2617" s="67" t="str">
        <f aca="false">IF($E2617="","","系统")</f>
        <v/>
      </c>
      <c r="O2617" s="67" t="str">
        <f aca="false">IF($E2617="","","自动C")</f>
        <v/>
      </c>
      <c r="P2617" s="18"/>
    </row>
    <row r="2618" customFormat="false" ht="18" hidden="false" customHeight="true" outlineLevel="0" collapsed="false">
      <c r="A2618" s="107" t="str">
        <f aca="false">IF($E2618="","",ROW()-3)</f>
        <v/>
      </c>
      <c r="B2618" s="110" t="str">
        <f aca="false">IF($E2618="","",INDEX(成本费用登记表!$B$4:$B$303,170))</f>
        <v/>
      </c>
      <c r="C2618" s="67" t="str">
        <f aca="false">IF($E2618="","","记-"&amp;TEXT($B2618,"YYYYMM")&amp;"-费用")</f>
        <v/>
      </c>
      <c r="D2618" s="107" t="str">
        <f aca="false">IF($E2618="","",INDEX(成本费用登记表!$E$4:$E$303,170))</f>
        <v/>
      </c>
      <c r="E2618" s="67" t="str">
        <f aca="false">IF(INDEX(成本费用登记表!$Q$4:$Y$303,170,4)=0,"",INDEX(成本费用登记表!$Q$4:$Y$303,170,4))</f>
        <v/>
      </c>
      <c r="F2618" s="99" t="str">
        <f aca="false">IF($E2618="","",IFERROR(INDEX(科目表!$A$4:$A$81,MATCH($E2618,科目表!$B$4:$B$81,0)),""))</f>
        <v/>
      </c>
      <c r="G2618" s="67" t="str">
        <f aca="false">IF($E2618="","",IFERROR(INDEX(科目表!$E$4:$E$81,MATCH($E2618,科目表!$B$4:$B$81,0)),""))</f>
        <v/>
      </c>
      <c r="H2618" s="70" t="str">
        <f aca="false">IF($E2618="","",N(INDEX(成本费用登记表!$Q$4:$Y$303,170,5)))</f>
        <v/>
      </c>
      <c r="I2618" s="70" t="str">
        <f aca="false">IF($E2618="","",N(INDEX(成本费用登记表!$Q$4:$Y$303,170,6)))</f>
        <v/>
      </c>
      <c r="J2618" s="67" t="str">
        <f aca="false">IF($E2618="","",INDEX(成本费用登记表!$C$4:$C$303,170))</f>
        <v/>
      </c>
      <c r="K2618" s="67" t="str">
        <f aca="false">IF($E2618="","",INDEX(成本费用登记表!$D$4:$D$303,170))</f>
        <v/>
      </c>
      <c r="L2618" s="107" t="str">
        <f aca="false">IF($E2618="","",INDEX(成本费用登记表!$N$4:$N$303,170))</f>
        <v/>
      </c>
      <c r="M2618" s="107"/>
      <c r="N2618" s="67" t="str">
        <f aca="false">IF($E2618="","","系统")</f>
        <v/>
      </c>
      <c r="O2618" s="67" t="str">
        <f aca="false">IF($E2618="","","自动C")</f>
        <v/>
      </c>
      <c r="P2618" s="18"/>
    </row>
    <row r="2619" customFormat="false" ht="18" hidden="false" customHeight="true" outlineLevel="0" collapsed="false">
      <c r="A2619" s="107" t="str">
        <f aca="false">IF($E2619="","",ROW()-3)</f>
        <v/>
      </c>
      <c r="B2619" s="110" t="str">
        <f aca="false">IF($E2619="","",INDEX(成本费用登记表!$B$4:$B$303,170))</f>
        <v/>
      </c>
      <c r="C2619" s="67" t="str">
        <f aca="false">IF($E2619="","","记-"&amp;TEXT($B2619,"YYYYMM")&amp;"-费用")</f>
        <v/>
      </c>
      <c r="D2619" s="107" t="str">
        <f aca="false">IF($E2619="","",INDEX(成本费用登记表!$E$4:$E$303,170))</f>
        <v/>
      </c>
      <c r="E2619" s="67" t="str">
        <f aca="false">IF(INDEX(成本费用登记表!$Q$4:$Y$303,170,7)=0,"",INDEX(成本费用登记表!$Q$4:$Y$303,170,7))</f>
        <v/>
      </c>
      <c r="F2619" s="99" t="str">
        <f aca="false">IF($E2619="","",IFERROR(INDEX(科目表!$A$4:$A$81,MATCH($E2619,科目表!$B$4:$B$81,0)),""))</f>
        <v/>
      </c>
      <c r="G2619" s="67" t="str">
        <f aca="false">IF($E2619="","",IFERROR(INDEX(科目表!$E$4:$E$81,MATCH($E2619,科目表!$B$4:$B$81,0)),""))</f>
        <v/>
      </c>
      <c r="H2619" s="70" t="str">
        <f aca="false">IF($E2619="","",N(INDEX(成本费用登记表!$Q$4:$Y$303,170,8)))</f>
        <v/>
      </c>
      <c r="I2619" s="70" t="str">
        <f aca="false">IF($E2619="","",N(INDEX(成本费用登记表!$Q$4:$Y$303,170,9)))</f>
        <v/>
      </c>
      <c r="J2619" s="67" t="str">
        <f aca="false">IF($E2619="","",INDEX(成本费用登记表!$C$4:$C$303,170))</f>
        <v/>
      </c>
      <c r="K2619" s="67" t="str">
        <f aca="false">IF($E2619="","",INDEX(成本费用登记表!$D$4:$D$303,170))</f>
        <v/>
      </c>
      <c r="L2619" s="107" t="str">
        <f aca="false">IF($E2619="","",INDEX(成本费用登记表!$N$4:$N$303,170))</f>
        <v/>
      </c>
      <c r="M2619" s="107"/>
      <c r="N2619" s="67" t="str">
        <f aca="false">IF($E2619="","","系统")</f>
        <v/>
      </c>
      <c r="O2619" s="67" t="str">
        <f aca="false">IF($E2619="","","自动C")</f>
        <v/>
      </c>
      <c r="P2619" s="18"/>
    </row>
    <row r="2620" customFormat="false" ht="18" hidden="false" customHeight="true" outlineLevel="0" collapsed="false">
      <c r="A2620" s="107" t="str">
        <f aca="false">IF($E2620="","",ROW()-3)</f>
        <v/>
      </c>
      <c r="B2620" s="110" t="str">
        <f aca="false">IF($E2620="","",INDEX(成本费用登记表!$B$4:$B$303,171))</f>
        <v/>
      </c>
      <c r="C2620" s="67" t="str">
        <f aca="false">IF($E2620="","","记-"&amp;TEXT($B2620,"YYYYMM")&amp;"-费用")</f>
        <v/>
      </c>
      <c r="D2620" s="107" t="str">
        <f aca="false">IF($E2620="","",INDEX(成本费用登记表!$E$4:$E$303,171))</f>
        <v/>
      </c>
      <c r="E2620" s="67" t="str">
        <f aca="false">IF(INDEX(成本费用登记表!$Q$4:$Y$303,171,1)=0,"",INDEX(成本费用登记表!$Q$4:$Y$303,171,1))</f>
        <v/>
      </c>
      <c r="F2620" s="99" t="str">
        <f aca="false">IF($E2620="","",IFERROR(INDEX(科目表!$A$4:$A$81,MATCH($E2620,科目表!$B$4:$B$81,0)),""))</f>
        <v/>
      </c>
      <c r="G2620" s="67" t="str">
        <f aca="false">IF($E2620="","",IFERROR(INDEX(科目表!$E$4:$E$81,MATCH($E2620,科目表!$B$4:$B$81,0)),""))</f>
        <v/>
      </c>
      <c r="H2620" s="70" t="str">
        <f aca="false">IF($E2620="","",N(INDEX(成本费用登记表!$Q$4:$Y$303,171,2)))</f>
        <v/>
      </c>
      <c r="I2620" s="70" t="str">
        <f aca="false">IF($E2620="","",N(INDEX(成本费用登记表!$Q$4:$Y$303,171,3)))</f>
        <v/>
      </c>
      <c r="J2620" s="67" t="str">
        <f aca="false">IF($E2620="","",INDEX(成本费用登记表!$C$4:$C$303,171))</f>
        <v/>
      </c>
      <c r="K2620" s="67" t="str">
        <f aca="false">IF($E2620="","",INDEX(成本费用登记表!$D$4:$D$303,171))</f>
        <v/>
      </c>
      <c r="L2620" s="107" t="str">
        <f aca="false">IF($E2620="","",INDEX(成本费用登记表!$N$4:$N$303,171))</f>
        <v/>
      </c>
      <c r="M2620" s="107"/>
      <c r="N2620" s="67" t="str">
        <f aca="false">IF($E2620="","","系统")</f>
        <v/>
      </c>
      <c r="O2620" s="67" t="str">
        <f aca="false">IF($E2620="","","自动C")</f>
        <v/>
      </c>
      <c r="P2620" s="18"/>
    </row>
    <row r="2621" customFormat="false" ht="18" hidden="false" customHeight="true" outlineLevel="0" collapsed="false">
      <c r="A2621" s="107" t="str">
        <f aca="false">IF($E2621="","",ROW()-3)</f>
        <v/>
      </c>
      <c r="B2621" s="110" t="str">
        <f aca="false">IF($E2621="","",INDEX(成本费用登记表!$B$4:$B$303,171))</f>
        <v/>
      </c>
      <c r="C2621" s="67" t="str">
        <f aca="false">IF($E2621="","","记-"&amp;TEXT($B2621,"YYYYMM")&amp;"-费用")</f>
        <v/>
      </c>
      <c r="D2621" s="107" t="str">
        <f aca="false">IF($E2621="","",INDEX(成本费用登记表!$E$4:$E$303,171))</f>
        <v/>
      </c>
      <c r="E2621" s="67" t="str">
        <f aca="false">IF(INDEX(成本费用登记表!$Q$4:$Y$303,171,4)=0,"",INDEX(成本费用登记表!$Q$4:$Y$303,171,4))</f>
        <v/>
      </c>
      <c r="F2621" s="99" t="str">
        <f aca="false">IF($E2621="","",IFERROR(INDEX(科目表!$A$4:$A$81,MATCH($E2621,科目表!$B$4:$B$81,0)),""))</f>
        <v/>
      </c>
      <c r="G2621" s="67" t="str">
        <f aca="false">IF($E2621="","",IFERROR(INDEX(科目表!$E$4:$E$81,MATCH($E2621,科目表!$B$4:$B$81,0)),""))</f>
        <v/>
      </c>
      <c r="H2621" s="70" t="str">
        <f aca="false">IF($E2621="","",N(INDEX(成本费用登记表!$Q$4:$Y$303,171,5)))</f>
        <v/>
      </c>
      <c r="I2621" s="70" t="str">
        <f aca="false">IF($E2621="","",N(INDEX(成本费用登记表!$Q$4:$Y$303,171,6)))</f>
        <v/>
      </c>
      <c r="J2621" s="67" t="str">
        <f aca="false">IF($E2621="","",INDEX(成本费用登记表!$C$4:$C$303,171))</f>
        <v/>
      </c>
      <c r="K2621" s="67" t="str">
        <f aca="false">IF($E2621="","",INDEX(成本费用登记表!$D$4:$D$303,171))</f>
        <v/>
      </c>
      <c r="L2621" s="107" t="str">
        <f aca="false">IF($E2621="","",INDEX(成本费用登记表!$N$4:$N$303,171))</f>
        <v/>
      </c>
      <c r="M2621" s="107"/>
      <c r="N2621" s="67" t="str">
        <f aca="false">IF($E2621="","","系统")</f>
        <v/>
      </c>
      <c r="O2621" s="67" t="str">
        <f aca="false">IF($E2621="","","自动C")</f>
        <v/>
      </c>
      <c r="P2621" s="18"/>
    </row>
    <row r="2622" customFormat="false" ht="18" hidden="false" customHeight="true" outlineLevel="0" collapsed="false">
      <c r="A2622" s="107" t="str">
        <f aca="false">IF($E2622="","",ROW()-3)</f>
        <v/>
      </c>
      <c r="B2622" s="110" t="str">
        <f aca="false">IF($E2622="","",INDEX(成本费用登记表!$B$4:$B$303,171))</f>
        <v/>
      </c>
      <c r="C2622" s="67" t="str">
        <f aca="false">IF($E2622="","","记-"&amp;TEXT($B2622,"YYYYMM")&amp;"-费用")</f>
        <v/>
      </c>
      <c r="D2622" s="107" t="str">
        <f aca="false">IF($E2622="","",INDEX(成本费用登记表!$E$4:$E$303,171))</f>
        <v/>
      </c>
      <c r="E2622" s="67" t="str">
        <f aca="false">IF(INDEX(成本费用登记表!$Q$4:$Y$303,171,7)=0,"",INDEX(成本费用登记表!$Q$4:$Y$303,171,7))</f>
        <v/>
      </c>
      <c r="F2622" s="99" t="str">
        <f aca="false">IF($E2622="","",IFERROR(INDEX(科目表!$A$4:$A$81,MATCH($E2622,科目表!$B$4:$B$81,0)),""))</f>
        <v/>
      </c>
      <c r="G2622" s="67" t="str">
        <f aca="false">IF($E2622="","",IFERROR(INDEX(科目表!$E$4:$E$81,MATCH($E2622,科目表!$B$4:$B$81,0)),""))</f>
        <v/>
      </c>
      <c r="H2622" s="70" t="str">
        <f aca="false">IF($E2622="","",N(INDEX(成本费用登记表!$Q$4:$Y$303,171,8)))</f>
        <v/>
      </c>
      <c r="I2622" s="70" t="str">
        <f aca="false">IF($E2622="","",N(INDEX(成本费用登记表!$Q$4:$Y$303,171,9)))</f>
        <v/>
      </c>
      <c r="J2622" s="67" t="str">
        <f aca="false">IF($E2622="","",INDEX(成本费用登记表!$C$4:$C$303,171))</f>
        <v/>
      </c>
      <c r="K2622" s="67" t="str">
        <f aca="false">IF($E2622="","",INDEX(成本费用登记表!$D$4:$D$303,171))</f>
        <v/>
      </c>
      <c r="L2622" s="107" t="str">
        <f aca="false">IF($E2622="","",INDEX(成本费用登记表!$N$4:$N$303,171))</f>
        <v/>
      </c>
      <c r="M2622" s="107"/>
      <c r="N2622" s="67" t="str">
        <f aca="false">IF($E2622="","","系统")</f>
        <v/>
      </c>
      <c r="O2622" s="67" t="str">
        <f aca="false">IF($E2622="","","自动C")</f>
        <v/>
      </c>
      <c r="P2622" s="18"/>
    </row>
    <row r="2623" customFormat="false" ht="18" hidden="false" customHeight="true" outlineLevel="0" collapsed="false">
      <c r="A2623" s="107" t="str">
        <f aca="false">IF($E2623="","",ROW()-3)</f>
        <v/>
      </c>
      <c r="B2623" s="110" t="str">
        <f aca="false">IF($E2623="","",INDEX(成本费用登记表!$B$4:$B$303,172))</f>
        <v/>
      </c>
      <c r="C2623" s="67" t="str">
        <f aca="false">IF($E2623="","","记-"&amp;TEXT($B2623,"YYYYMM")&amp;"-费用")</f>
        <v/>
      </c>
      <c r="D2623" s="107" t="str">
        <f aca="false">IF($E2623="","",INDEX(成本费用登记表!$E$4:$E$303,172))</f>
        <v/>
      </c>
      <c r="E2623" s="67" t="str">
        <f aca="false">IF(INDEX(成本费用登记表!$Q$4:$Y$303,172,1)=0,"",INDEX(成本费用登记表!$Q$4:$Y$303,172,1))</f>
        <v/>
      </c>
      <c r="F2623" s="99" t="str">
        <f aca="false">IF($E2623="","",IFERROR(INDEX(科目表!$A$4:$A$81,MATCH($E2623,科目表!$B$4:$B$81,0)),""))</f>
        <v/>
      </c>
      <c r="G2623" s="67" t="str">
        <f aca="false">IF($E2623="","",IFERROR(INDEX(科目表!$E$4:$E$81,MATCH($E2623,科目表!$B$4:$B$81,0)),""))</f>
        <v/>
      </c>
      <c r="H2623" s="70" t="str">
        <f aca="false">IF($E2623="","",N(INDEX(成本费用登记表!$Q$4:$Y$303,172,2)))</f>
        <v/>
      </c>
      <c r="I2623" s="70" t="str">
        <f aca="false">IF($E2623="","",N(INDEX(成本费用登记表!$Q$4:$Y$303,172,3)))</f>
        <v/>
      </c>
      <c r="J2623" s="67" t="str">
        <f aca="false">IF($E2623="","",INDEX(成本费用登记表!$C$4:$C$303,172))</f>
        <v/>
      </c>
      <c r="K2623" s="67" t="str">
        <f aca="false">IF($E2623="","",INDEX(成本费用登记表!$D$4:$D$303,172))</f>
        <v/>
      </c>
      <c r="L2623" s="107" t="str">
        <f aca="false">IF($E2623="","",INDEX(成本费用登记表!$N$4:$N$303,172))</f>
        <v/>
      </c>
      <c r="M2623" s="107"/>
      <c r="N2623" s="67" t="str">
        <f aca="false">IF($E2623="","","系统")</f>
        <v/>
      </c>
      <c r="O2623" s="67" t="str">
        <f aca="false">IF($E2623="","","自动C")</f>
        <v/>
      </c>
      <c r="P2623" s="18"/>
    </row>
    <row r="2624" customFormat="false" ht="18" hidden="false" customHeight="true" outlineLevel="0" collapsed="false">
      <c r="A2624" s="107" t="str">
        <f aca="false">IF($E2624="","",ROW()-3)</f>
        <v/>
      </c>
      <c r="B2624" s="110" t="str">
        <f aca="false">IF($E2624="","",INDEX(成本费用登记表!$B$4:$B$303,172))</f>
        <v/>
      </c>
      <c r="C2624" s="67" t="str">
        <f aca="false">IF($E2624="","","记-"&amp;TEXT($B2624,"YYYYMM")&amp;"-费用")</f>
        <v/>
      </c>
      <c r="D2624" s="107" t="str">
        <f aca="false">IF($E2624="","",INDEX(成本费用登记表!$E$4:$E$303,172))</f>
        <v/>
      </c>
      <c r="E2624" s="67" t="str">
        <f aca="false">IF(INDEX(成本费用登记表!$Q$4:$Y$303,172,4)=0,"",INDEX(成本费用登记表!$Q$4:$Y$303,172,4))</f>
        <v/>
      </c>
      <c r="F2624" s="99" t="str">
        <f aca="false">IF($E2624="","",IFERROR(INDEX(科目表!$A$4:$A$81,MATCH($E2624,科目表!$B$4:$B$81,0)),""))</f>
        <v/>
      </c>
      <c r="G2624" s="67" t="str">
        <f aca="false">IF($E2624="","",IFERROR(INDEX(科目表!$E$4:$E$81,MATCH($E2624,科目表!$B$4:$B$81,0)),""))</f>
        <v/>
      </c>
      <c r="H2624" s="70" t="str">
        <f aca="false">IF($E2624="","",N(INDEX(成本费用登记表!$Q$4:$Y$303,172,5)))</f>
        <v/>
      </c>
      <c r="I2624" s="70" t="str">
        <f aca="false">IF($E2624="","",N(INDEX(成本费用登记表!$Q$4:$Y$303,172,6)))</f>
        <v/>
      </c>
      <c r="J2624" s="67" t="str">
        <f aca="false">IF($E2624="","",INDEX(成本费用登记表!$C$4:$C$303,172))</f>
        <v/>
      </c>
      <c r="K2624" s="67" t="str">
        <f aca="false">IF($E2624="","",INDEX(成本费用登记表!$D$4:$D$303,172))</f>
        <v/>
      </c>
      <c r="L2624" s="107" t="str">
        <f aca="false">IF($E2624="","",INDEX(成本费用登记表!$N$4:$N$303,172))</f>
        <v/>
      </c>
      <c r="M2624" s="107"/>
      <c r="N2624" s="67" t="str">
        <f aca="false">IF($E2624="","","系统")</f>
        <v/>
      </c>
      <c r="O2624" s="67" t="str">
        <f aca="false">IF($E2624="","","自动C")</f>
        <v/>
      </c>
      <c r="P2624" s="18"/>
    </row>
    <row r="2625" customFormat="false" ht="18" hidden="false" customHeight="true" outlineLevel="0" collapsed="false">
      <c r="A2625" s="107" t="str">
        <f aca="false">IF($E2625="","",ROW()-3)</f>
        <v/>
      </c>
      <c r="B2625" s="110" t="str">
        <f aca="false">IF($E2625="","",INDEX(成本费用登记表!$B$4:$B$303,172))</f>
        <v/>
      </c>
      <c r="C2625" s="67" t="str">
        <f aca="false">IF($E2625="","","记-"&amp;TEXT($B2625,"YYYYMM")&amp;"-费用")</f>
        <v/>
      </c>
      <c r="D2625" s="107" t="str">
        <f aca="false">IF($E2625="","",INDEX(成本费用登记表!$E$4:$E$303,172))</f>
        <v/>
      </c>
      <c r="E2625" s="67" t="str">
        <f aca="false">IF(INDEX(成本费用登记表!$Q$4:$Y$303,172,7)=0,"",INDEX(成本费用登记表!$Q$4:$Y$303,172,7))</f>
        <v/>
      </c>
      <c r="F2625" s="99" t="str">
        <f aca="false">IF($E2625="","",IFERROR(INDEX(科目表!$A$4:$A$81,MATCH($E2625,科目表!$B$4:$B$81,0)),""))</f>
        <v/>
      </c>
      <c r="G2625" s="67" t="str">
        <f aca="false">IF($E2625="","",IFERROR(INDEX(科目表!$E$4:$E$81,MATCH($E2625,科目表!$B$4:$B$81,0)),""))</f>
        <v/>
      </c>
      <c r="H2625" s="70" t="str">
        <f aca="false">IF($E2625="","",N(INDEX(成本费用登记表!$Q$4:$Y$303,172,8)))</f>
        <v/>
      </c>
      <c r="I2625" s="70" t="str">
        <f aca="false">IF($E2625="","",N(INDEX(成本费用登记表!$Q$4:$Y$303,172,9)))</f>
        <v/>
      </c>
      <c r="J2625" s="67" t="str">
        <f aca="false">IF($E2625="","",INDEX(成本费用登记表!$C$4:$C$303,172))</f>
        <v/>
      </c>
      <c r="K2625" s="67" t="str">
        <f aca="false">IF($E2625="","",INDEX(成本费用登记表!$D$4:$D$303,172))</f>
        <v/>
      </c>
      <c r="L2625" s="107" t="str">
        <f aca="false">IF($E2625="","",INDEX(成本费用登记表!$N$4:$N$303,172))</f>
        <v/>
      </c>
      <c r="M2625" s="107"/>
      <c r="N2625" s="67" t="str">
        <f aca="false">IF($E2625="","","系统")</f>
        <v/>
      </c>
      <c r="O2625" s="67" t="str">
        <f aca="false">IF($E2625="","","自动C")</f>
        <v/>
      </c>
      <c r="P2625" s="18"/>
    </row>
    <row r="2626" customFormat="false" ht="18" hidden="false" customHeight="true" outlineLevel="0" collapsed="false">
      <c r="A2626" s="107" t="str">
        <f aca="false">IF($E2626="","",ROW()-3)</f>
        <v/>
      </c>
      <c r="B2626" s="110" t="str">
        <f aca="false">IF($E2626="","",INDEX(成本费用登记表!$B$4:$B$303,173))</f>
        <v/>
      </c>
      <c r="C2626" s="67" t="str">
        <f aca="false">IF($E2626="","","记-"&amp;TEXT($B2626,"YYYYMM")&amp;"-费用")</f>
        <v/>
      </c>
      <c r="D2626" s="107" t="str">
        <f aca="false">IF($E2626="","",INDEX(成本费用登记表!$E$4:$E$303,173))</f>
        <v/>
      </c>
      <c r="E2626" s="67" t="str">
        <f aca="false">IF(INDEX(成本费用登记表!$Q$4:$Y$303,173,1)=0,"",INDEX(成本费用登记表!$Q$4:$Y$303,173,1))</f>
        <v/>
      </c>
      <c r="F2626" s="99" t="str">
        <f aca="false">IF($E2626="","",IFERROR(INDEX(科目表!$A$4:$A$81,MATCH($E2626,科目表!$B$4:$B$81,0)),""))</f>
        <v/>
      </c>
      <c r="G2626" s="67" t="str">
        <f aca="false">IF($E2626="","",IFERROR(INDEX(科目表!$E$4:$E$81,MATCH($E2626,科目表!$B$4:$B$81,0)),""))</f>
        <v/>
      </c>
      <c r="H2626" s="70" t="str">
        <f aca="false">IF($E2626="","",N(INDEX(成本费用登记表!$Q$4:$Y$303,173,2)))</f>
        <v/>
      </c>
      <c r="I2626" s="70" t="str">
        <f aca="false">IF($E2626="","",N(INDEX(成本费用登记表!$Q$4:$Y$303,173,3)))</f>
        <v/>
      </c>
      <c r="J2626" s="67" t="str">
        <f aca="false">IF($E2626="","",INDEX(成本费用登记表!$C$4:$C$303,173))</f>
        <v/>
      </c>
      <c r="K2626" s="67" t="str">
        <f aca="false">IF($E2626="","",INDEX(成本费用登记表!$D$4:$D$303,173))</f>
        <v/>
      </c>
      <c r="L2626" s="107" t="str">
        <f aca="false">IF($E2626="","",INDEX(成本费用登记表!$N$4:$N$303,173))</f>
        <v/>
      </c>
      <c r="M2626" s="107"/>
      <c r="N2626" s="67" t="str">
        <f aca="false">IF($E2626="","","系统")</f>
        <v/>
      </c>
      <c r="O2626" s="67" t="str">
        <f aca="false">IF($E2626="","","自动C")</f>
        <v/>
      </c>
      <c r="P2626" s="18"/>
    </row>
    <row r="2627" customFormat="false" ht="18" hidden="false" customHeight="true" outlineLevel="0" collapsed="false">
      <c r="A2627" s="107" t="str">
        <f aca="false">IF($E2627="","",ROW()-3)</f>
        <v/>
      </c>
      <c r="B2627" s="110" t="str">
        <f aca="false">IF($E2627="","",INDEX(成本费用登记表!$B$4:$B$303,173))</f>
        <v/>
      </c>
      <c r="C2627" s="67" t="str">
        <f aca="false">IF($E2627="","","记-"&amp;TEXT($B2627,"YYYYMM")&amp;"-费用")</f>
        <v/>
      </c>
      <c r="D2627" s="107" t="str">
        <f aca="false">IF($E2627="","",INDEX(成本费用登记表!$E$4:$E$303,173))</f>
        <v/>
      </c>
      <c r="E2627" s="67" t="str">
        <f aca="false">IF(INDEX(成本费用登记表!$Q$4:$Y$303,173,4)=0,"",INDEX(成本费用登记表!$Q$4:$Y$303,173,4))</f>
        <v/>
      </c>
      <c r="F2627" s="99" t="str">
        <f aca="false">IF($E2627="","",IFERROR(INDEX(科目表!$A$4:$A$81,MATCH($E2627,科目表!$B$4:$B$81,0)),""))</f>
        <v/>
      </c>
      <c r="G2627" s="67" t="str">
        <f aca="false">IF($E2627="","",IFERROR(INDEX(科目表!$E$4:$E$81,MATCH($E2627,科目表!$B$4:$B$81,0)),""))</f>
        <v/>
      </c>
      <c r="H2627" s="70" t="str">
        <f aca="false">IF($E2627="","",N(INDEX(成本费用登记表!$Q$4:$Y$303,173,5)))</f>
        <v/>
      </c>
      <c r="I2627" s="70" t="str">
        <f aca="false">IF($E2627="","",N(INDEX(成本费用登记表!$Q$4:$Y$303,173,6)))</f>
        <v/>
      </c>
      <c r="J2627" s="67" t="str">
        <f aca="false">IF($E2627="","",INDEX(成本费用登记表!$C$4:$C$303,173))</f>
        <v/>
      </c>
      <c r="K2627" s="67" t="str">
        <f aca="false">IF($E2627="","",INDEX(成本费用登记表!$D$4:$D$303,173))</f>
        <v/>
      </c>
      <c r="L2627" s="107" t="str">
        <f aca="false">IF($E2627="","",INDEX(成本费用登记表!$N$4:$N$303,173))</f>
        <v/>
      </c>
      <c r="M2627" s="107"/>
      <c r="N2627" s="67" t="str">
        <f aca="false">IF($E2627="","","系统")</f>
        <v/>
      </c>
      <c r="O2627" s="67" t="str">
        <f aca="false">IF($E2627="","","自动C")</f>
        <v/>
      </c>
      <c r="P2627" s="18"/>
    </row>
    <row r="2628" customFormat="false" ht="18" hidden="false" customHeight="true" outlineLevel="0" collapsed="false">
      <c r="A2628" s="107" t="str">
        <f aca="false">IF($E2628="","",ROW()-3)</f>
        <v/>
      </c>
      <c r="B2628" s="110" t="str">
        <f aca="false">IF($E2628="","",INDEX(成本费用登记表!$B$4:$B$303,173))</f>
        <v/>
      </c>
      <c r="C2628" s="67" t="str">
        <f aca="false">IF($E2628="","","记-"&amp;TEXT($B2628,"YYYYMM")&amp;"-费用")</f>
        <v/>
      </c>
      <c r="D2628" s="107" t="str">
        <f aca="false">IF($E2628="","",INDEX(成本费用登记表!$E$4:$E$303,173))</f>
        <v/>
      </c>
      <c r="E2628" s="67" t="str">
        <f aca="false">IF(INDEX(成本费用登记表!$Q$4:$Y$303,173,7)=0,"",INDEX(成本费用登记表!$Q$4:$Y$303,173,7))</f>
        <v/>
      </c>
      <c r="F2628" s="99" t="str">
        <f aca="false">IF($E2628="","",IFERROR(INDEX(科目表!$A$4:$A$81,MATCH($E2628,科目表!$B$4:$B$81,0)),""))</f>
        <v/>
      </c>
      <c r="G2628" s="67" t="str">
        <f aca="false">IF($E2628="","",IFERROR(INDEX(科目表!$E$4:$E$81,MATCH($E2628,科目表!$B$4:$B$81,0)),""))</f>
        <v/>
      </c>
      <c r="H2628" s="70" t="str">
        <f aca="false">IF($E2628="","",N(INDEX(成本费用登记表!$Q$4:$Y$303,173,8)))</f>
        <v/>
      </c>
      <c r="I2628" s="70" t="str">
        <f aca="false">IF($E2628="","",N(INDEX(成本费用登记表!$Q$4:$Y$303,173,9)))</f>
        <v/>
      </c>
      <c r="J2628" s="67" t="str">
        <f aca="false">IF($E2628="","",INDEX(成本费用登记表!$C$4:$C$303,173))</f>
        <v/>
      </c>
      <c r="K2628" s="67" t="str">
        <f aca="false">IF($E2628="","",INDEX(成本费用登记表!$D$4:$D$303,173))</f>
        <v/>
      </c>
      <c r="L2628" s="107" t="str">
        <f aca="false">IF($E2628="","",INDEX(成本费用登记表!$N$4:$N$303,173))</f>
        <v/>
      </c>
      <c r="M2628" s="107"/>
      <c r="N2628" s="67" t="str">
        <f aca="false">IF($E2628="","","系统")</f>
        <v/>
      </c>
      <c r="O2628" s="67" t="str">
        <f aca="false">IF($E2628="","","自动C")</f>
        <v/>
      </c>
      <c r="P2628" s="18"/>
    </row>
    <row r="2629" customFormat="false" ht="18" hidden="false" customHeight="true" outlineLevel="0" collapsed="false">
      <c r="A2629" s="107" t="str">
        <f aca="false">IF($E2629="","",ROW()-3)</f>
        <v/>
      </c>
      <c r="B2629" s="110" t="str">
        <f aca="false">IF($E2629="","",INDEX(成本费用登记表!$B$4:$B$303,174))</f>
        <v/>
      </c>
      <c r="C2629" s="67" t="str">
        <f aca="false">IF($E2629="","","记-"&amp;TEXT($B2629,"YYYYMM")&amp;"-费用")</f>
        <v/>
      </c>
      <c r="D2629" s="107" t="str">
        <f aca="false">IF($E2629="","",INDEX(成本费用登记表!$E$4:$E$303,174))</f>
        <v/>
      </c>
      <c r="E2629" s="67" t="str">
        <f aca="false">IF(INDEX(成本费用登记表!$Q$4:$Y$303,174,1)=0,"",INDEX(成本费用登记表!$Q$4:$Y$303,174,1))</f>
        <v/>
      </c>
      <c r="F2629" s="99" t="str">
        <f aca="false">IF($E2629="","",IFERROR(INDEX(科目表!$A$4:$A$81,MATCH($E2629,科目表!$B$4:$B$81,0)),""))</f>
        <v/>
      </c>
      <c r="G2629" s="67" t="str">
        <f aca="false">IF($E2629="","",IFERROR(INDEX(科目表!$E$4:$E$81,MATCH($E2629,科目表!$B$4:$B$81,0)),""))</f>
        <v/>
      </c>
      <c r="H2629" s="70" t="str">
        <f aca="false">IF($E2629="","",N(INDEX(成本费用登记表!$Q$4:$Y$303,174,2)))</f>
        <v/>
      </c>
      <c r="I2629" s="70" t="str">
        <f aca="false">IF($E2629="","",N(INDEX(成本费用登记表!$Q$4:$Y$303,174,3)))</f>
        <v/>
      </c>
      <c r="J2629" s="67" t="str">
        <f aca="false">IF($E2629="","",INDEX(成本费用登记表!$C$4:$C$303,174))</f>
        <v/>
      </c>
      <c r="K2629" s="67" t="str">
        <f aca="false">IF($E2629="","",INDEX(成本费用登记表!$D$4:$D$303,174))</f>
        <v/>
      </c>
      <c r="L2629" s="107" t="str">
        <f aca="false">IF($E2629="","",INDEX(成本费用登记表!$N$4:$N$303,174))</f>
        <v/>
      </c>
      <c r="M2629" s="107"/>
      <c r="N2629" s="67" t="str">
        <f aca="false">IF($E2629="","","系统")</f>
        <v/>
      </c>
      <c r="O2629" s="67" t="str">
        <f aca="false">IF($E2629="","","自动C")</f>
        <v/>
      </c>
      <c r="P2629" s="18"/>
    </row>
    <row r="2630" customFormat="false" ht="18" hidden="false" customHeight="true" outlineLevel="0" collapsed="false">
      <c r="A2630" s="107" t="str">
        <f aca="false">IF($E2630="","",ROW()-3)</f>
        <v/>
      </c>
      <c r="B2630" s="110" t="str">
        <f aca="false">IF($E2630="","",INDEX(成本费用登记表!$B$4:$B$303,174))</f>
        <v/>
      </c>
      <c r="C2630" s="67" t="str">
        <f aca="false">IF($E2630="","","记-"&amp;TEXT($B2630,"YYYYMM")&amp;"-费用")</f>
        <v/>
      </c>
      <c r="D2630" s="107" t="str">
        <f aca="false">IF($E2630="","",INDEX(成本费用登记表!$E$4:$E$303,174))</f>
        <v/>
      </c>
      <c r="E2630" s="67" t="str">
        <f aca="false">IF(INDEX(成本费用登记表!$Q$4:$Y$303,174,4)=0,"",INDEX(成本费用登记表!$Q$4:$Y$303,174,4))</f>
        <v/>
      </c>
      <c r="F2630" s="99" t="str">
        <f aca="false">IF($E2630="","",IFERROR(INDEX(科目表!$A$4:$A$81,MATCH($E2630,科目表!$B$4:$B$81,0)),""))</f>
        <v/>
      </c>
      <c r="G2630" s="67" t="str">
        <f aca="false">IF($E2630="","",IFERROR(INDEX(科目表!$E$4:$E$81,MATCH($E2630,科目表!$B$4:$B$81,0)),""))</f>
        <v/>
      </c>
      <c r="H2630" s="70" t="str">
        <f aca="false">IF($E2630="","",N(INDEX(成本费用登记表!$Q$4:$Y$303,174,5)))</f>
        <v/>
      </c>
      <c r="I2630" s="70" t="str">
        <f aca="false">IF($E2630="","",N(INDEX(成本费用登记表!$Q$4:$Y$303,174,6)))</f>
        <v/>
      </c>
      <c r="J2630" s="67" t="str">
        <f aca="false">IF($E2630="","",INDEX(成本费用登记表!$C$4:$C$303,174))</f>
        <v/>
      </c>
      <c r="K2630" s="67" t="str">
        <f aca="false">IF($E2630="","",INDEX(成本费用登记表!$D$4:$D$303,174))</f>
        <v/>
      </c>
      <c r="L2630" s="107" t="str">
        <f aca="false">IF($E2630="","",INDEX(成本费用登记表!$N$4:$N$303,174))</f>
        <v/>
      </c>
      <c r="M2630" s="107"/>
      <c r="N2630" s="67" t="str">
        <f aca="false">IF($E2630="","","系统")</f>
        <v/>
      </c>
      <c r="O2630" s="67" t="str">
        <f aca="false">IF($E2630="","","自动C")</f>
        <v/>
      </c>
      <c r="P2630" s="18"/>
    </row>
    <row r="2631" customFormat="false" ht="18" hidden="false" customHeight="true" outlineLevel="0" collapsed="false">
      <c r="A2631" s="107" t="str">
        <f aca="false">IF($E2631="","",ROW()-3)</f>
        <v/>
      </c>
      <c r="B2631" s="110" t="str">
        <f aca="false">IF($E2631="","",INDEX(成本费用登记表!$B$4:$B$303,174))</f>
        <v/>
      </c>
      <c r="C2631" s="67" t="str">
        <f aca="false">IF($E2631="","","记-"&amp;TEXT($B2631,"YYYYMM")&amp;"-费用")</f>
        <v/>
      </c>
      <c r="D2631" s="107" t="str">
        <f aca="false">IF($E2631="","",INDEX(成本费用登记表!$E$4:$E$303,174))</f>
        <v/>
      </c>
      <c r="E2631" s="67" t="str">
        <f aca="false">IF(INDEX(成本费用登记表!$Q$4:$Y$303,174,7)=0,"",INDEX(成本费用登记表!$Q$4:$Y$303,174,7))</f>
        <v/>
      </c>
      <c r="F2631" s="99" t="str">
        <f aca="false">IF($E2631="","",IFERROR(INDEX(科目表!$A$4:$A$81,MATCH($E2631,科目表!$B$4:$B$81,0)),""))</f>
        <v/>
      </c>
      <c r="G2631" s="67" t="str">
        <f aca="false">IF($E2631="","",IFERROR(INDEX(科目表!$E$4:$E$81,MATCH($E2631,科目表!$B$4:$B$81,0)),""))</f>
        <v/>
      </c>
      <c r="H2631" s="70" t="str">
        <f aca="false">IF($E2631="","",N(INDEX(成本费用登记表!$Q$4:$Y$303,174,8)))</f>
        <v/>
      </c>
      <c r="I2631" s="70" t="str">
        <f aca="false">IF($E2631="","",N(INDEX(成本费用登记表!$Q$4:$Y$303,174,9)))</f>
        <v/>
      </c>
      <c r="J2631" s="67" t="str">
        <f aca="false">IF($E2631="","",INDEX(成本费用登记表!$C$4:$C$303,174))</f>
        <v/>
      </c>
      <c r="K2631" s="67" t="str">
        <f aca="false">IF($E2631="","",INDEX(成本费用登记表!$D$4:$D$303,174))</f>
        <v/>
      </c>
      <c r="L2631" s="107" t="str">
        <f aca="false">IF($E2631="","",INDEX(成本费用登记表!$N$4:$N$303,174))</f>
        <v/>
      </c>
      <c r="M2631" s="107"/>
      <c r="N2631" s="67" t="str">
        <f aca="false">IF($E2631="","","系统")</f>
        <v/>
      </c>
      <c r="O2631" s="67" t="str">
        <f aca="false">IF($E2631="","","自动C")</f>
        <v/>
      </c>
      <c r="P2631" s="18"/>
    </row>
    <row r="2632" customFormat="false" ht="18" hidden="false" customHeight="true" outlineLevel="0" collapsed="false">
      <c r="A2632" s="107" t="str">
        <f aca="false">IF($E2632="","",ROW()-3)</f>
        <v/>
      </c>
      <c r="B2632" s="110" t="str">
        <f aca="false">IF($E2632="","",INDEX(成本费用登记表!$B$4:$B$303,175))</f>
        <v/>
      </c>
      <c r="C2632" s="67" t="str">
        <f aca="false">IF($E2632="","","记-"&amp;TEXT($B2632,"YYYYMM")&amp;"-费用")</f>
        <v/>
      </c>
      <c r="D2632" s="107" t="str">
        <f aca="false">IF($E2632="","",INDEX(成本费用登记表!$E$4:$E$303,175))</f>
        <v/>
      </c>
      <c r="E2632" s="67" t="str">
        <f aca="false">IF(INDEX(成本费用登记表!$Q$4:$Y$303,175,1)=0,"",INDEX(成本费用登记表!$Q$4:$Y$303,175,1))</f>
        <v/>
      </c>
      <c r="F2632" s="99" t="str">
        <f aca="false">IF($E2632="","",IFERROR(INDEX(科目表!$A$4:$A$81,MATCH($E2632,科目表!$B$4:$B$81,0)),""))</f>
        <v/>
      </c>
      <c r="G2632" s="67" t="str">
        <f aca="false">IF($E2632="","",IFERROR(INDEX(科目表!$E$4:$E$81,MATCH($E2632,科目表!$B$4:$B$81,0)),""))</f>
        <v/>
      </c>
      <c r="H2632" s="70" t="str">
        <f aca="false">IF($E2632="","",N(INDEX(成本费用登记表!$Q$4:$Y$303,175,2)))</f>
        <v/>
      </c>
      <c r="I2632" s="70" t="str">
        <f aca="false">IF($E2632="","",N(INDEX(成本费用登记表!$Q$4:$Y$303,175,3)))</f>
        <v/>
      </c>
      <c r="J2632" s="67" t="str">
        <f aca="false">IF($E2632="","",INDEX(成本费用登记表!$C$4:$C$303,175))</f>
        <v/>
      </c>
      <c r="K2632" s="67" t="str">
        <f aca="false">IF($E2632="","",INDEX(成本费用登记表!$D$4:$D$303,175))</f>
        <v/>
      </c>
      <c r="L2632" s="107" t="str">
        <f aca="false">IF($E2632="","",INDEX(成本费用登记表!$N$4:$N$303,175))</f>
        <v/>
      </c>
      <c r="M2632" s="107"/>
      <c r="N2632" s="67" t="str">
        <f aca="false">IF($E2632="","","系统")</f>
        <v/>
      </c>
      <c r="O2632" s="67" t="str">
        <f aca="false">IF($E2632="","","自动C")</f>
        <v/>
      </c>
      <c r="P2632" s="18"/>
    </row>
    <row r="2633" customFormat="false" ht="18" hidden="false" customHeight="true" outlineLevel="0" collapsed="false">
      <c r="A2633" s="107" t="str">
        <f aca="false">IF($E2633="","",ROW()-3)</f>
        <v/>
      </c>
      <c r="B2633" s="110" t="str">
        <f aca="false">IF($E2633="","",INDEX(成本费用登记表!$B$4:$B$303,175))</f>
        <v/>
      </c>
      <c r="C2633" s="67" t="str">
        <f aca="false">IF($E2633="","","记-"&amp;TEXT($B2633,"YYYYMM")&amp;"-费用")</f>
        <v/>
      </c>
      <c r="D2633" s="107" t="str">
        <f aca="false">IF($E2633="","",INDEX(成本费用登记表!$E$4:$E$303,175))</f>
        <v/>
      </c>
      <c r="E2633" s="67" t="str">
        <f aca="false">IF(INDEX(成本费用登记表!$Q$4:$Y$303,175,4)=0,"",INDEX(成本费用登记表!$Q$4:$Y$303,175,4))</f>
        <v/>
      </c>
      <c r="F2633" s="99" t="str">
        <f aca="false">IF($E2633="","",IFERROR(INDEX(科目表!$A$4:$A$81,MATCH($E2633,科目表!$B$4:$B$81,0)),""))</f>
        <v/>
      </c>
      <c r="G2633" s="67" t="str">
        <f aca="false">IF($E2633="","",IFERROR(INDEX(科目表!$E$4:$E$81,MATCH($E2633,科目表!$B$4:$B$81,0)),""))</f>
        <v/>
      </c>
      <c r="H2633" s="70" t="str">
        <f aca="false">IF($E2633="","",N(INDEX(成本费用登记表!$Q$4:$Y$303,175,5)))</f>
        <v/>
      </c>
      <c r="I2633" s="70" t="str">
        <f aca="false">IF($E2633="","",N(INDEX(成本费用登记表!$Q$4:$Y$303,175,6)))</f>
        <v/>
      </c>
      <c r="J2633" s="67" t="str">
        <f aca="false">IF($E2633="","",INDEX(成本费用登记表!$C$4:$C$303,175))</f>
        <v/>
      </c>
      <c r="K2633" s="67" t="str">
        <f aca="false">IF($E2633="","",INDEX(成本费用登记表!$D$4:$D$303,175))</f>
        <v/>
      </c>
      <c r="L2633" s="107" t="str">
        <f aca="false">IF($E2633="","",INDEX(成本费用登记表!$N$4:$N$303,175))</f>
        <v/>
      </c>
      <c r="M2633" s="107"/>
      <c r="N2633" s="67" t="str">
        <f aca="false">IF($E2633="","","系统")</f>
        <v/>
      </c>
      <c r="O2633" s="67" t="str">
        <f aca="false">IF($E2633="","","自动C")</f>
        <v/>
      </c>
      <c r="P2633" s="18"/>
    </row>
    <row r="2634" customFormat="false" ht="18" hidden="false" customHeight="true" outlineLevel="0" collapsed="false">
      <c r="A2634" s="107" t="str">
        <f aca="false">IF($E2634="","",ROW()-3)</f>
        <v/>
      </c>
      <c r="B2634" s="110" t="str">
        <f aca="false">IF($E2634="","",INDEX(成本费用登记表!$B$4:$B$303,175))</f>
        <v/>
      </c>
      <c r="C2634" s="67" t="str">
        <f aca="false">IF($E2634="","","记-"&amp;TEXT($B2634,"YYYYMM")&amp;"-费用")</f>
        <v/>
      </c>
      <c r="D2634" s="107" t="str">
        <f aca="false">IF($E2634="","",INDEX(成本费用登记表!$E$4:$E$303,175))</f>
        <v/>
      </c>
      <c r="E2634" s="67" t="str">
        <f aca="false">IF(INDEX(成本费用登记表!$Q$4:$Y$303,175,7)=0,"",INDEX(成本费用登记表!$Q$4:$Y$303,175,7))</f>
        <v/>
      </c>
      <c r="F2634" s="99" t="str">
        <f aca="false">IF($E2634="","",IFERROR(INDEX(科目表!$A$4:$A$81,MATCH($E2634,科目表!$B$4:$B$81,0)),""))</f>
        <v/>
      </c>
      <c r="G2634" s="67" t="str">
        <f aca="false">IF($E2634="","",IFERROR(INDEX(科目表!$E$4:$E$81,MATCH($E2634,科目表!$B$4:$B$81,0)),""))</f>
        <v/>
      </c>
      <c r="H2634" s="70" t="str">
        <f aca="false">IF($E2634="","",N(INDEX(成本费用登记表!$Q$4:$Y$303,175,8)))</f>
        <v/>
      </c>
      <c r="I2634" s="70" t="str">
        <f aca="false">IF($E2634="","",N(INDEX(成本费用登记表!$Q$4:$Y$303,175,9)))</f>
        <v/>
      </c>
      <c r="J2634" s="67" t="str">
        <f aca="false">IF($E2634="","",INDEX(成本费用登记表!$C$4:$C$303,175))</f>
        <v/>
      </c>
      <c r="K2634" s="67" t="str">
        <f aca="false">IF($E2634="","",INDEX(成本费用登记表!$D$4:$D$303,175))</f>
        <v/>
      </c>
      <c r="L2634" s="107" t="str">
        <f aca="false">IF($E2634="","",INDEX(成本费用登记表!$N$4:$N$303,175))</f>
        <v/>
      </c>
      <c r="M2634" s="107"/>
      <c r="N2634" s="67" t="str">
        <f aca="false">IF($E2634="","","系统")</f>
        <v/>
      </c>
      <c r="O2634" s="67" t="str">
        <f aca="false">IF($E2634="","","自动C")</f>
        <v/>
      </c>
      <c r="P2634" s="18"/>
    </row>
    <row r="2635" customFormat="false" ht="18" hidden="false" customHeight="true" outlineLevel="0" collapsed="false">
      <c r="A2635" s="107" t="str">
        <f aca="false">IF($E2635="","",ROW()-3)</f>
        <v/>
      </c>
      <c r="B2635" s="110" t="str">
        <f aca="false">IF($E2635="","",INDEX(成本费用登记表!$B$4:$B$303,176))</f>
        <v/>
      </c>
      <c r="C2635" s="67" t="str">
        <f aca="false">IF($E2635="","","记-"&amp;TEXT($B2635,"YYYYMM")&amp;"-费用")</f>
        <v/>
      </c>
      <c r="D2635" s="107" t="str">
        <f aca="false">IF($E2635="","",INDEX(成本费用登记表!$E$4:$E$303,176))</f>
        <v/>
      </c>
      <c r="E2635" s="67" t="str">
        <f aca="false">IF(INDEX(成本费用登记表!$Q$4:$Y$303,176,1)=0,"",INDEX(成本费用登记表!$Q$4:$Y$303,176,1))</f>
        <v/>
      </c>
      <c r="F2635" s="99" t="str">
        <f aca="false">IF($E2635="","",IFERROR(INDEX(科目表!$A$4:$A$81,MATCH($E2635,科目表!$B$4:$B$81,0)),""))</f>
        <v/>
      </c>
      <c r="G2635" s="67" t="str">
        <f aca="false">IF($E2635="","",IFERROR(INDEX(科目表!$E$4:$E$81,MATCH($E2635,科目表!$B$4:$B$81,0)),""))</f>
        <v/>
      </c>
      <c r="H2635" s="70" t="str">
        <f aca="false">IF($E2635="","",N(INDEX(成本费用登记表!$Q$4:$Y$303,176,2)))</f>
        <v/>
      </c>
      <c r="I2635" s="70" t="str">
        <f aca="false">IF($E2635="","",N(INDEX(成本费用登记表!$Q$4:$Y$303,176,3)))</f>
        <v/>
      </c>
      <c r="J2635" s="67" t="str">
        <f aca="false">IF($E2635="","",INDEX(成本费用登记表!$C$4:$C$303,176))</f>
        <v/>
      </c>
      <c r="K2635" s="67" t="str">
        <f aca="false">IF($E2635="","",INDEX(成本费用登记表!$D$4:$D$303,176))</f>
        <v/>
      </c>
      <c r="L2635" s="107" t="str">
        <f aca="false">IF($E2635="","",INDEX(成本费用登记表!$N$4:$N$303,176))</f>
        <v/>
      </c>
      <c r="M2635" s="107"/>
      <c r="N2635" s="67" t="str">
        <f aca="false">IF($E2635="","","系统")</f>
        <v/>
      </c>
      <c r="O2635" s="67" t="str">
        <f aca="false">IF($E2635="","","自动C")</f>
        <v/>
      </c>
      <c r="P2635" s="18"/>
    </row>
    <row r="2636" customFormat="false" ht="18" hidden="false" customHeight="true" outlineLevel="0" collapsed="false">
      <c r="A2636" s="107" t="str">
        <f aca="false">IF($E2636="","",ROW()-3)</f>
        <v/>
      </c>
      <c r="B2636" s="110" t="str">
        <f aca="false">IF($E2636="","",INDEX(成本费用登记表!$B$4:$B$303,176))</f>
        <v/>
      </c>
      <c r="C2636" s="67" t="str">
        <f aca="false">IF($E2636="","","记-"&amp;TEXT($B2636,"YYYYMM")&amp;"-费用")</f>
        <v/>
      </c>
      <c r="D2636" s="107" t="str">
        <f aca="false">IF($E2636="","",INDEX(成本费用登记表!$E$4:$E$303,176))</f>
        <v/>
      </c>
      <c r="E2636" s="67" t="str">
        <f aca="false">IF(INDEX(成本费用登记表!$Q$4:$Y$303,176,4)=0,"",INDEX(成本费用登记表!$Q$4:$Y$303,176,4))</f>
        <v/>
      </c>
      <c r="F2636" s="99" t="str">
        <f aca="false">IF($E2636="","",IFERROR(INDEX(科目表!$A$4:$A$81,MATCH($E2636,科目表!$B$4:$B$81,0)),""))</f>
        <v/>
      </c>
      <c r="G2636" s="67" t="str">
        <f aca="false">IF($E2636="","",IFERROR(INDEX(科目表!$E$4:$E$81,MATCH($E2636,科目表!$B$4:$B$81,0)),""))</f>
        <v/>
      </c>
      <c r="H2636" s="70" t="str">
        <f aca="false">IF($E2636="","",N(INDEX(成本费用登记表!$Q$4:$Y$303,176,5)))</f>
        <v/>
      </c>
      <c r="I2636" s="70" t="str">
        <f aca="false">IF($E2636="","",N(INDEX(成本费用登记表!$Q$4:$Y$303,176,6)))</f>
        <v/>
      </c>
      <c r="J2636" s="67" t="str">
        <f aca="false">IF($E2636="","",INDEX(成本费用登记表!$C$4:$C$303,176))</f>
        <v/>
      </c>
      <c r="K2636" s="67" t="str">
        <f aca="false">IF($E2636="","",INDEX(成本费用登记表!$D$4:$D$303,176))</f>
        <v/>
      </c>
      <c r="L2636" s="107" t="str">
        <f aca="false">IF($E2636="","",INDEX(成本费用登记表!$N$4:$N$303,176))</f>
        <v/>
      </c>
      <c r="M2636" s="107"/>
      <c r="N2636" s="67" t="str">
        <f aca="false">IF($E2636="","","系统")</f>
        <v/>
      </c>
      <c r="O2636" s="67" t="str">
        <f aca="false">IF($E2636="","","自动C")</f>
        <v/>
      </c>
      <c r="P2636" s="18"/>
    </row>
    <row r="2637" customFormat="false" ht="18" hidden="false" customHeight="true" outlineLevel="0" collapsed="false">
      <c r="A2637" s="107" t="str">
        <f aca="false">IF($E2637="","",ROW()-3)</f>
        <v/>
      </c>
      <c r="B2637" s="110" t="str">
        <f aca="false">IF($E2637="","",INDEX(成本费用登记表!$B$4:$B$303,176))</f>
        <v/>
      </c>
      <c r="C2637" s="67" t="str">
        <f aca="false">IF($E2637="","","记-"&amp;TEXT($B2637,"YYYYMM")&amp;"-费用")</f>
        <v/>
      </c>
      <c r="D2637" s="107" t="str">
        <f aca="false">IF($E2637="","",INDEX(成本费用登记表!$E$4:$E$303,176))</f>
        <v/>
      </c>
      <c r="E2637" s="67" t="str">
        <f aca="false">IF(INDEX(成本费用登记表!$Q$4:$Y$303,176,7)=0,"",INDEX(成本费用登记表!$Q$4:$Y$303,176,7))</f>
        <v/>
      </c>
      <c r="F2637" s="99" t="str">
        <f aca="false">IF($E2637="","",IFERROR(INDEX(科目表!$A$4:$A$81,MATCH($E2637,科目表!$B$4:$B$81,0)),""))</f>
        <v/>
      </c>
      <c r="G2637" s="67" t="str">
        <f aca="false">IF($E2637="","",IFERROR(INDEX(科目表!$E$4:$E$81,MATCH($E2637,科目表!$B$4:$B$81,0)),""))</f>
        <v/>
      </c>
      <c r="H2637" s="70" t="str">
        <f aca="false">IF($E2637="","",N(INDEX(成本费用登记表!$Q$4:$Y$303,176,8)))</f>
        <v/>
      </c>
      <c r="I2637" s="70" t="str">
        <f aca="false">IF($E2637="","",N(INDEX(成本费用登记表!$Q$4:$Y$303,176,9)))</f>
        <v/>
      </c>
      <c r="J2637" s="67" t="str">
        <f aca="false">IF($E2637="","",INDEX(成本费用登记表!$C$4:$C$303,176))</f>
        <v/>
      </c>
      <c r="K2637" s="67" t="str">
        <f aca="false">IF($E2637="","",INDEX(成本费用登记表!$D$4:$D$303,176))</f>
        <v/>
      </c>
      <c r="L2637" s="107" t="str">
        <f aca="false">IF($E2637="","",INDEX(成本费用登记表!$N$4:$N$303,176))</f>
        <v/>
      </c>
      <c r="M2637" s="107"/>
      <c r="N2637" s="67" t="str">
        <f aca="false">IF($E2637="","","系统")</f>
        <v/>
      </c>
      <c r="O2637" s="67" t="str">
        <f aca="false">IF($E2637="","","自动C")</f>
        <v/>
      </c>
      <c r="P2637" s="18"/>
    </row>
    <row r="2638" customFormat="false" ht="18" hidden="false" customHeight="true" outlineLevel="0" collapsed="false">
      <c r="A2638" s="107" t="str">
        <f aca="false">IF($E2638="","",ROW()-3)</f>
        <v/>
      </c>
      <c r="B2638" s="110" t="str">
        <f aca="false">IF($E2638="","",INDEX(成本费用登记表!$B$4:$B$303,177))</f>
        <v/>
      </c>
      <c r="C2638" s="67" t="str">
        <f aca="false">IF($E2638="","","记-"&amp;TEXT($B2638,"YYYYMM")&amp;"-费用")</f>
        <v/>
      </c>
      <c r="D2638" s="107" t="str">
        <f aca="false">IF($E2638="","",INDEX(成本费用登记表!$E$4:$E$303,177))</f>
        <v/>
      </c>
      <c r="E2638" s="67" t="str">
        <f aca="false">IF(INDEX(成本费用登记表!$Q$4:$Y$303,177,1)=0,"",INDEX(成本费用登记表!$Q$4:$Y$303,177,1))</f>
        <v/>
      </c>
      <c r="F2638" s="99" t="str">
        <f aca="false">IF($E2638="","",IFERROR(INDEX(科目表!$A$4:$A$81,MATCH($E2638,科目表!$B$4:$B$81,0)),""))</f>
        <v/>
      </c>
      <c r="G2638" s="67" t="str">
        <f aca="false">IF($E2638="","",IFERROR(INDEX(科目表!$E$4:$E$81,MATCH($E2638,科目表!$B$4:$B$81,0)),""))</f>
        <v/>
      </c>
      <c r="H2638" s="70" t="str">
        <f aca="false">IF($E2638="","",N(INDEX(成本费用登记表!$Q$4:$Y$303,177,2)))</f>
        <v/>
      </c>
      <c r="I2638" s="70" t="str">
        <f aca="false">IF($E2638="","",N(INDEX(成本费用登记表!$Q$4:$Y$303,177,3)))</f>
        <v/>
      </c>
      <c r="J2638" s="67" t="str">
        <f aca="false">IF($E2638="","",INDEX(成本费用登记表!$C$4:$C$303,177))</f>
        <v/>
      </c>
      <c r="K2638" s="67" t="str">
        <f aca="false">IF($E2638="","",INDEX(成本费用登记表!$D$4:$D$303,177))</f>
        <v/>
      </c>
      <c r="L2638" s="107" t="str">
        <f aca="false">IF($E2638="","",INDEX(成本费用登记表!$N$4:$N$303,177))</f>
        <v/>
      </c>
      <c r="M2638" s="107"/>
      <c r="N2638" s="67" t="str">
        <f aca="false">IF($E2638="","","系统")</f>
        <v/>
      </c>
      <c r="O2638" s="67" t="str">
        <f aca="false">IF($E2638="","","自动C")</f>
        <v/>
      </c>
      <c r="P2638" s="18"/>
    </row>
    <row r="2639" customFormat="false" ht="18" hidden="false" customHeight="true" outlineLevel="0" collapsed="false">
      <c r="A2639" s="107" t="str">
        <f aca="false">IF($E2639="","",ROW()-3)</f>
        <v/>
      </c>
      <c r="B2639" s="110" t="str">
        <f aca="false">IF($E2639="","",INDEX(成本费用登记表!$B$4:$B$303,177))</f>
        <v/>
      </c>
      <c r="C2639" s="67" t="str">
        <f aca="false">IF($E2639="","","记-"&amp;TEXT($B2639,"YYYYMM")&amp;"-费用")</f>
        <v/>
      </c>
      <c r="D2639" s="107" t="str">
        <f aca="false">IF($E2639="","",INDEX(成本费用登记表!$E$4:$E$303,177))</f>
        <v/>
      </c>
      <c r="E2639" s="67" t="str">
        <f aca="false">IF(INDEX(成本费用登记表!$Q$4:$Y$303,177,4)=0,"",INDEX(成本费用登记表!$Q$4:$Y$303,177,4))</f>
        <v/>
      </c>
      <c r="F2639" s="99" t="str">
        <f aca="false">IF($E2639="","",IFERROR(INDEX(科目表!$A$4:$A$81,MATCH($E2639,科目表!$B$4:$B$81,0)),""))</f>
        <v/>
      </c>
      <c r="G2639" s="67" t="str">
        <f aca="false">IF($E2639="","",IFERROR(INDEX(科目表!$E$4:$E$81,MATCH($E2639,科目表!$B$4:$B$81,0)),""))</f>
        <v/>
      </c>
      <c r="H2639" s="70" t="str">
        <f aca="false">IF($E2639="","",N(INDEX(成本费用登记表!$Q$4:$Y$303,177,5)))</f>
        <v/>
      </c>
      <c r="I2639" s="70" t="str">
        <f aca="false">IF($E2639="","",N(INDEX(成本费用登记表!$Q$4:$Y$303,177,6)))</f>
        <v/>
      </c>
      <c r="J2639" s="67" t="str">
        <f aca="false">IF($E2639="","",INDEX(成本费用登记表!$C$4:$C$303,177))</f>
        <v/>
      </c>
      <c r="K2639" s="67" t="str">
        <f aca="false">IF($E2639="","",INDEX(成本费用登记表!$D$4:$D$303,177))</f>
        <v/>
      </c>
      <c r="L2639" s="107" t="str">
        <f aca="false">IF($E2639="","",INDEX(成本费用登记表!$N$4:$N$303,177))</f>
        <v/>
      </c>
      <c r="M2639" s="107"/>
      <c r="N2639" s="67" t="str">
        <f aca="false">IF($E2639="","","系统")</f>
        <v/>
      </c>
      <c r="O2639" s="67" t="str">
        <f aca="false">IF($E2639="","","自动C")</f>
        <v/>
      </c>
      <c r="P2639" s="18"/>
    </row>
    <row r="2640" customFormat="false" ht="18" hidden="false" customHeight="true" outlineLevel="0" collapsed="false">
      <c r="A2640" s="107" t="str">
        <f aca="false">IF($E2640="","",ROW()-3)</f>
        <v/>
      </c>
      <c r="B2640" s="110" t="str">
        <f aca="false">IF($E2640="","",INDEX(成本费用登记表!$B$4:$B$303,177))</f>
        <v/>
      </c>
      <c r="C2640" s="67" t="str">
        <f aca="false">IF($E2640="","","记-"&amp;TEXT($B2640,"YYYYMM")&amp;"-费用")</f>
        <v/>
      </c>
      <c r="D2640" s="107" t="str">
        <f aca="false">IF($E2640="","",INDEX(成本费用登记表!$E$4:$E$303,177))</f>
        <v/>
      </c>
      <c r="E2640" s="67" t="str">
        <f aca="false">IF(INDEX(成本费用登记表!$Q$4:$Y$303,177,7)=0,"",INDEX(成本费用登记表!$Q$4:$Y$303,177,7))</f>
        <v/>
      </c>
      <c r="F2640" s="99" t="str">
        <f aca="false">IF($E2640="","",IFERROR(INDEX(科目表!$A$4:$A$81,MATCH($E2640,科目表!$B$4:$B$81,0)),""))</f>
        <v/>
      </c>
      <c r="G2640" s="67" t="str">
        <f aca="false">IF($E2640="","",IFERROR(INDEX(科目表!$E$4:$E$81,MATCH($E2640,科目表!$B$4:$B$81,0)),""))</f>
        <v/>
      </c>
      <c r="H2640" s="70" t="str">
        <f aca="false">IF($E2640="","",N(INDEX(成本费用登记表!$Q$4:$Y$303,177,8)))</f>
        <v/>
      </c>
      <c r="I2640" s="70" t="str">
        <f aca="false">IF($E2640="","",N(INDEX(成本费用登记表!$Q$4:$Y$303,177,9)))</f>
        <v/>
      </c>
      <c r="J2640" s="67" t="str">
        <f aca="false">IF($E2640="","",INDEX(成本费用登记表!$C$4:$C$303,177))</f>
        <v/>
      </c>
      <c r="K2640" s="67" t="str">
        <f aca="false">IF($E2640="","",INDEX(成本费用登记表!$D$4:$D$303,177))</f>
        <v/>
      </c>
      <c r="L2640" s="107" t="str">
        <f aca="false">IF($E2640="","",INDEX(成本费用登记表!$N$4:$N$303,177))</f>
        <v/>
      </c>
      <c r="M2640" s="107"/>
      <c r="N2640" s="67" t="str">
        <f aca="false">IF($E2640="","","系统")</f>
        <v/>
      </c>
      <c r="O2640" s="67" t="str">
        <f aca="false">IF($E2640="","","自动C")</f>
        <v/>
      </c>
      <c r="P2640" s="18"/>
    </row>
    <row r="2641" customFormat="false" ht="18" hidden="false" customHeight="true" outlineLevel="0" collapsed="false">
      <c r="A2641" s="107" t="str">
        <f aca="false">IF($E2641="","",ROW()-3)</f>
        <v/>
      </c>
      <c r="B2641" s="110" t="str">
        <f aca="false">IF($E2641="","",INDEX(成本费用登记表!$B$4:$B$303,178))</f>
        <v/>
      </c>
      <c r="C2641" s="67" t="str">
        <f aca="false">IF($E2641="","","记-"&amp;TEXT($B2641,"YYYYMM")&amp;"-费用")</f>
        <v/>
      </c>
      <c r="D2641" s="107" t="str">
        <f aca="false">IF($E2641="","",INDEX(成本费用登记表!$E$4:$E$303,178))</f>
        <v/>
      </c>
      <c r="E2641" s="67" t="str">
        <f aca="false">IF(INDEX(成本费用登记表!$Q$4:$Y$303,178,1)=0,"",INDEX(成本费用登记表!$Q$4:$Y$303,178,1))</f>
        <v/>
      </c>
      <c r="F2641" s="99" t="str">
        <f aca="false">IF($E2641="","",IFERROR(INDEX(科目表!$A$4:$A$81,MATCH($E2641,科目表!$B$4:$B$81,0)),""))</f>
        <v/>
      </c>
      <c r="G2641" s="67" t="str">
        <f aca="false">IF($E2641="","",IFERROR(INDEX(科目表!$E$4:$E$81,MATCH($E2641,科目表!$B$4:$B$81,0)),""))</f>
        <v/>
      </c>
      <c r="H2641" s="70" t="str">
        <f aca="false">IF($E2641="","",N(INDEX(成本费用登记表!$Q$4:$Y$303,178,2)))</f>
        <v/>
      </c>
      <c r="I2641" s="70" t="str">
        <f aca="false">IF($E2641="","",N(INDEX(成本费用登记表!$Q$4:$Y$303,178,3)))</f>
        <v/>
      </c>
      <c r="J2641" s="67" t="str">
        <f aca="false">IF($E2641="","",INDEX(成本费用登记表!$C$4:$C$303,178))</f>
        <v/>
      </c>
      <c r="K2641" s="67" t="str">
        <f aca="false">IF($E2641="","",INDEX(成本费用登记表!$D$4:$D$303,178))</f>
        <v/>
      </c>
      <c r="L2641" s="107" t="str">
        <f aca="false">IF($E2641="","",INDEX(成本费用登记表!$N$4:$N$303,178))</f>
        <v/>
      </c>
      <c r="M2641" s="107"/>
      <c r="N2641" s="67" t="str">
        <f aca="false">IF($E2641="","","系统")</f>
        <v/>
      </c>
      <c r="O2641" s="67" t="str">
        <f aca="false">IF($E2641="","","自动C")</f>
        <v/>
      </c>
      <c r="P2641" s="18"/>
    </row>
    <row r="2642" customFormat="false" ht="18" hidden="false" customHeight="true" outlineLevel="0" collapsed="false">
      <c r="A2642" s="107" t="str">
        <f aca="false">IF($E2642="","",ROW()-3)</f>
        <v/>
      </c>
      <c r="B2642" s="110" t="str">
        <f aca="false">IF($E2642="","",INDEX(成本费用登记表!$B$4:$B$303,178))</f>
        <v/>
      </c>
      <c r="C2642" s="67" t="str">
        <f aca="false">IF($E2642="","","记-"&amp;TEXT($B2642,"YYYYMM")&amp;"-费用")</f>
        <v/>
      </c>
      <c r="D2642" s="107" t="str">
        <f aca="false">IF($E2642="","",INDEX(成本费用登记表!$E$4:$E$303,178))</f>
        <v/>
      </c>
      <c r="E2642" s="67" t="str">
        <f aca="false">IF(INDEX(成本费用登记表!$Q$4:$Y$303,178,4)=0,"",INDEX(成本费用登记表!$Q$4:$Y$303,178,4))</f>
        <v/>
      </c>
      <c r="F2642" s="99" t="str">
        <f aca="false">IF($E2642="","",IFERROR(INDEX(科目表!$A$4:$A$81,MATCH($E2642,科目表!$B$4:$B$81,0)),""))</f>
        <v/>
      </c>
      <c r="G2642" s="67" t="str">
        <f aca="false">IF($E2642="","",IFERROR(INDEX(科目表!$E$4:$E$81,MATCH($E2642,科目表!$B$4:$B$81,0)),""))</f>
        <v/>
      </c>
      <c r="H2642" s="70" t="str">
        <f aca="false">IF($E2642="","",N(INDEX(成本费用登记表!$Q$4:$Y$303,178,5)))</f>
        <v/>
      </c>
      <c r="I2642" s="70" t="str">
        <f aca="false">IF($E2642="","",N(INDEX(成本费用登记表!$Q$4:$Y$303,178,6)))</f>
        <v/>
      </c>
      <c r="J2642" s="67" t="str">
        <f aca="false">IF($E2642="","",INDEX(成本费用登记表!$C$4:$C$303,178))</f>
        <v/>
      </c>
      <c r="K2642" s="67" t="str">
        <f aca="false">IF($E2642="","",INDEX(成本费用登记表!$D$4:$D$303,178))</f>
        <v/>
      </c>
      <c r="L2642" s="107" t="str">
        <f aca="false">IF($E2642="","",INDEX(成本费用登记表!$N$4:$N$303,178))</f>
        <v/>
      </c>
      <c r="M2642" s="107"/>
      <c r="N2642" s="67" t="str">
        <f aca="false">IF($E2642="","","系统")</f>
        <v/>
      </c>
      <c r="O2642" s="67" t="str">
        <f aca="false">IF($E2642="","","自动C")</f>
        <v/>
      </c>
      <c r="P2642" s="18"/>
    </row>
    <row r="2643" customFormat="false" ht="18" hidden="false" customHeight="true" outlineLevel="0" collapsed="false">
      <c r="A2643" s="107" t="str">
        <f aca="false">IF($E2643="","",ROW()-3)</f>
        <v/>
      </c>
      <c r="B2643" s="110" t="str">
        <f aca="false">IF($E2643="","",INDEX(成本费用登记表!$B$4:$B$303,178))</f>
        <v/>
      </c>
      <c r="C2643" s="67" t="str">
        <f aca="false">IF($E2643="","","记-"&amp;TEXT($B2643,"YYYYMM")&amp;"-费用")</f>
        <v/>
      </c>
      <c r="D2643" s="107" t="str">
        <f aca="false">IF($E2643="","",INDEX(成本费用登记表!$E$4:$E$303,178))</f>
        <v/>
      </c>
      <c r="E2643" s="67" t="str">
        <f aca="false">IF(INDEX(成本费用登记表!$Q$4:$Y$303,178,7)=0,"",INDEX(成本费用登记表!$Q$4:$Y$303,178,7))</f>
        <v/>
      </c>
      <c r="F2643" s="99" t="str">
        <f aca="false">IF($E2643="","",IFERROR(INDEX(科目表!$A$4:$A$81,MATCH($E2643,科目表!$B$4:$B$81,0)),""))</f>
        <v/>
      </c>
      <c r="G2643" s="67" t="str">
        <f aca="false">IF($E2643="","",IFERROR(INDEX(科目表!$E$4:$E$81,MATCH($E2643,科目表!$B$4:$B$81,0)),""))</f>
        <v/>
      </c>
      <c r="H2643" s="70" t="str">
        <f aca="false">IF($E2643="","",N(INDEX(成本费用登记表!$Q$4:$Y$303,178,8)))</f>
        <v/>
      </c>
      <c r="I2643" s="70" t="str">
        <f aca="false">IF($E2643="","",N(INDEX(成本费用登记表!$Q$4:$Y$303,178,9)))</f>
        <v/>
      </c>
      <c r="J2643" s="67" t="str">
        <f aca="false">IF($E2643="","",INDEX(成本费用登记表!$C$4:$C$303,178))</f>
        <v/>
      </c>
      <c r="K2643" s="67" t="str">
        <f aca="false">IF($E2643="","",INDEX(成本费用登记表!$D$4:$D$303,178))</f>
        <v/>
      </c>
      <c r="L2643" s="107" t="str">
        <f aca="false">IF($E2643="","",INDEX(成本费用登记表!$N$4:$N$303,178))</f>
        <v/>
      </c>
      <c r="M2643" s="107"/>
      <c r="N2643" s="67" t="str">
        <f aca="false">IF($E2643="","","系统")</f>
        <v/>
      </c>
      <c r="O2643" s="67" t="str">
        <f aca="false">IF($E2643="","","自动C")</f>
        <v/>
      </c>
      <c r="P2643" s="18"/>
    </row>
    <row r="2644" customFormat="false" ht="18" hidden="false" customHeight="true" outlineLevel="0" collapsed="false">
      <c r="A2644" s="107" t="str">
        <f aca="false">IF($E2644="","",ROW()-3)</f>
        <v/>
      </c>
      <c r="B2644" s="110" t="str">
        <f aca="false">IF($E2644="","",INDEX(成本费用登记表!$B$4:$B$303,179))</f>
        <v/>
      </c>
      <c r="C2644" s="67" t="str">
        <f aca="false">IF($E2644="","","记-"&amp;TEXT($B2644,"YYYYMM")&amp;"-费用")</f>
        <v/>
      </c>
      <c r="D2644" s="107" t="str">
        <f aca="false">IF($E2644="","",INDEX(成本费用登记表!$E$4:$E$303,179))</f>
        <v/>
      </c>
      <c r="E2644" s="67" t="str">
        <f aca="false">IF(INDEX(成本费用登记表!$Q$4:$Y$303,179,1)=0,"",INDEX(成本费用登记表!$Q$4:$Y$303,179,1))</f>
        <v/>
      </c>
      <c r="F2644" s="99" t="str">
        <f aca="false">IF($E2644="","",IFERROR(INDEX(科目表!$A$4:$A$81,MATCH($E2644,科目表!$B$4:$B$81,0)),""))</f>
        <v/>
      </c>
      <c r="G2644" s="67" t="str">
        <f aca="false">IF($E2644="","",IFERROR(INDEX(科目表!$E$4:$E$81,MATCH($E2644,科目表!$B$4:$B$81,0)),""))</f>
        <v/>
      </c>
      <c r="H2644" s="70" t="str">
        <f aca="false">IF($E2644="","",N(INDEX(成本费用登记表!$Q$4:$Y$303,179,2)))</f>
        <v/>
      </c>
      <c r="I2644" s="70" t="str">
        <f aca="false">IF($E2644="","",N(INDEX(成本费用登记表!$Q$4:$Y$303,179,3)))</f>
        <v/>
      </c>
      <c r="J2644" s="67" t="str">
        <f aca="false">IF($E2644="","",INDEX(成本费用登记表!$C$4:$C$303,179))</f>
        <v/>
      </c>
      <c r="K2644" s="67" t="str">
        <f aca="false">IF($E2644="","",INDEX(成本费用登记表!$D$4:$D$303,179))</f>
        <v/>
      </c>
      <c r="L2644" s="107" t="str">
        <f aca="false">IF($E2644="","",INDEX(成本费用登记表!$N$4:$N$303,179))</f>
        <v/>
      </c>
      <c r="M2644" s="107"/>
      <c r="N2644" s="67" t="str">
        <f aca="false">IF($E2644="","","系统")</f>
        <v/>
      </c>
      <c r="O2644" s="67" t="str">
        <f aca="false">IF($E2644="","","自动C")</f>
        <v/>
      </c>
      <c r="P2644" s="18"/>
    </row>
    <row r="2645" customFormat="false" ht="18" hidden="false" customHeight="true" outlineLevel="0" collapsed="false">
      <c r="A2645" s="107" t="str">
        <f aca="false">IF($E2645="","",ROW()-3)</f>
        <v/>
      </c>
      <c r="B2645" s="110" t="str">
        <f aca="false">IF($E2645="","",INDEX(成本费用登记表!$B$4:$B$303,179))</f>
        <v/>
      </c>
      <c r="C2645" s="67" t="str">
        <f aca="false">IF($E2645="","","记-"&amp;TEXT($B2645,"YYYYMM")&amp;"-费用")</f>
        <v/>
      </c>
      <c r="D2645" s="107" t="str">
        <f aca="false">IF($E2645="","",INDEX(成本费用登记表!$E$4:$E$303,179))</f>
        <v/>
      </c>
      <c r="E2645" s="67" t="str">
        <f aca="false">IF(INDEX(成本费用登记表!$Q$4:$Y$303,179,4)=0,"",INDEX(成本费用登记表!$Q$4:$Y$303,179,4))</f>
        <v/>
      </c>
      <c r="F2645" s="99" t="str">
        <f aca="false">IF($E2645="","",IFERROR(INDEX(科目表!$A$4:$A$81,MATCH($E2645,科目表!$B$4:$B$81,0)),""))</f>
        <v/>
      </c>
      <c r="G2645" s="67" t="str">
        <f aca="false">IF($E2645="","",IFERROR(INDEX(科目表!$E$4:$E$81,MATCH($E2645,科目表!$B$4:$B$81,0)),""))</f>
        <v/>
      </c>
      <c r="H2645" s="70" t="str">
        <f aca="false">IF($E2645="","",N(INDEX(成本费用登记表!$Q$4:$Y$303,179,5)))</f>
        <v/>
      </c>
      <c r="I2645" s="70" t="str">
        <f aca="false">IF($E2645="","",N(INDEX(成本费用登记表!$Q$4:$Y$303,179,6)))</f>
        <v/>
      </c>
      <c r="J2645" s="67" t="str">
        <f aca="false">IF($E2645="","",INDEX(成本费用登记表!$C$4:$C$303,179))</f>
        <v/>
      </c>
      <c r="K2645" s="67" t="str">
        <f aca="false">IF($E2645="","",INDEX(成本费用登记表!$D$4:$D$303,179))</f>
        <v/>
      </c>
      <c r="L2645" s="107" t="str">
        <f aca="false">IF($E2645="","",INDEX(成本费用登记表!$N$4:$N$303,179))</f>
        <v/>
      </c>
      <c r="M2645" s="107"/>
      <c r="N2645" s="67" t="str">
        <f aca="false">IF($E2645="","","系统")</f>
        <v/>
      </c>
      <c r="O2645" s="67" t="str">
        <f aca="false">IF($E2645="","","自动C")</f>
        <v/>
      </c>
      <c r="P2645" s="18"/>
    </row>
    <row r="2646" customFormat="false" ht="18" hidden="false" customHeight="true" outlineLevel="0" collapsed="false">
      <c r="A2646" s="107" t="str">
        <f aca="false">IF($E2646="","",ROW()-3)</f>
        <v/>
      </c>
      <c r="B2646" s="110" t="str">
        <f aca="false">IF($E2646="","",INDEX(成本费用登记表!$B$4:$B$303,179))</f>
        <v/>
      </c>
      <c r="C2646" s="67" t="str">
        <f aca="false">IF($E2646="","","记-"&amp;TEXT($B2646,"YYYYMM")&amp;"-费用")</f>
        <v/>
      </c>
      <c r="D2646" s="107" t="str">
        <f aca="false">IF($E2646="","",INDEX(成本费用登记表!$E$4:$E$303,179))</f>
        <v/>
      </c>
      <c r="E2646" s="67" t="str">
        <f aca="false">IF(INDEX(成本费用登记表!$Q$4:$Y$303,179,7)=0,"",INDEX(成本费用登记表!$Q$4:$Y$303,179,7))</f>
        <v/>
      </c>
      <c r="F2646" s="99" t="str">
        <f aca="false">IF($E2646="","",IFERROR(INDEX(科目表!$A$4:$A$81,MATCH($E2646,科目表!$B$4:$B$81,0)),""))</f>
        <v/>
      </c>
      <c r="G2646" s="67" t="str">
        <f aca="false">IF($E2646="","",IFERROR(INDEX(科目表!$E$4:$E$81,MATCH($E2646,科目表!$B$4:$B$81,0)),""))</f>
        <v/>
      </c>
      <c r="H2646" s="70" t="str">
        <f aca="false">IF($E2646="","",N(INDEX(成本费用登记表!$Q$4:$Y$303,179,8)))</f>
        <v/>
      </c>
      <c r="I2646" s="70" t="str">
        <f aca="false">IF($E2646="","",N(INDEX(成本费用登记表!$Q$4:$Y$303,179,9)))</f>
        <v/>
      </c>
      <c r="J2646" s="67" t="str">
        <f aca="false">IF($E2646="","",INDEX(成本费用登记表!$C$4:$C$303,179))</f>
        <v/>
      </c>
      <c r="K2646" s="67" t="str">
        <f aca="false">IF($E2646="","",INDEX(成本费用登记表!$D$4:$D$303,179))</f>
        <v/>
      </c>
      <c r="L2646" s="107" t="str">
        <f aca="false">IF($E2646="","",INDEX(成本费用登记表!$N$4:$N$303,179))</f>
        <v/>
      </c>
      <c r="M2646" s="107"/>
      <c r="N2646" s="67" t="str">
        <f aca="false">IF($E2646="","","系统")</f>
        <v/>
      </c>
      <c r="O2646" s="67" t="str">
        <f aca="false">IF($E2646="","","自动C")</f>
        <v/>
      </c>
      <c r="P2646" s="18"/>
    </row>
    <row r="2647" customFormat="false" ht="18" hidden="false" customHeight="true" outlineLevel="0" collapsed="false">
      <c r="A2647" s="107" t="str">
        <f aca="false">IF($E2647="","",ROW()-3)</f>
        <v/>
      </c>
      <c r="B2647" s="110" t="str">
        <f aca="false">IF($E2647="","",INDEX(成本费用登记表!$B$4:$B$303,180))</f>
        <v/>
      </c>
      <c r="C2647" s="67" t="str">
        <f aca="false">IF($E2647="","","记-"&amp;TEXT($B2647,"YYYYMM")&amp;"-费用")</f>
        <v/>
      </c>
      <c r="D2647" s="107" t="str">
        <f aca="false">IF($E2647="","",INDEX(成本费用登记表!$E$4:$E$303,180))</f>
        <v/>
      </c>
      <c r="E2647" s="67" t="str">
        <f aca="false">IF(INDEX(成本费用登记表!$Q$4:$Y$303,180,1)=0,"",INDEX(成本费用登记表!$Q$4:$Y$303,180,1))</f>
        <v/>
      </c>
      <c r="F2647" s="99" t="str">
        <f aca="false">IF($E2647="","",IFERROR(INDEX(科目表!$A$4:$A$81,MATCH($E2647,科目表!$B$4:$B$81,0)),""))</f>
        <v/>
      </c>
      <c r="G2647" s="67" t="str">
        <f aca="false">IF($E2647="","",IFERROR(INDEX(科目表!$E$4:$E$81,MATCH($E2647,科目表!$B$4:$B$81,0)),""))</f>
        <v/>
      </c>
      <c r="H2647" s="70" t="str">
        <f aca="false">IF($E2647="","",N(INDEX(成本费用登记表!$Q$4:$Y$303,180,2)))</f>
        <v/>
      </c>
      <c r="I2647" s="70" t="str">
        <f aca="false">IF($E2647="","",N(INDEX(成本费用登记表!$Q$4:$Y$303,180,3)))</f>
        <v/>
      </c>
      <c r="J2647" s="67" t="str">
        <f aca="false">IF($E2647="","",INDEX(成本费用登记表!$C$4:$C$303,180))</f>
        <v/>
      </c>
      <c r="K2647" s="67" t="str">
        <f aca="false">IF($E2647="","",INDEX(成本费用登记表!$D$4:$D$303,180))</f>
        <v/>
      </c>
      <c r="L2647" s="107" t="str">
        <f aca="false">IF($E2647="","",INDEX(成本费用登记表!$N$4:$N$303,180))</f>
        <v/>
      </c>
      <c r="M2647" s="107"/>
      <c r="N2647" s="67" t="str">
        <f aca="false">IF($E2647="","","系统")</f>
        <v/>
      </c>
      <c r="O2647" s="67" t="str">
        <f aca="false">IF($E2647="","","自动C")</f>
        <v/>
      </c>
      <c r="P2647" s="18"/>
    </row>
    <row r="2648" customFormat="false" ht="18" hidden="false" customHeight="true" outlineLevel="0" collapsed="false">
      <c r="A2648" s="107" t="str">
        <f aca="false">IF($E2648="","",ROW()-3)</f>
        <v/>
      </c>
      <c r="B2648" s="110" t="str">
        <f aca="false">IF($E2648="","",INDEX(成本费用登记表!$B$4:$B$303,180))</f>
        <v/>
      </c>
      <c r="C2648" s="67" t="str">
        <f aca="false">IF($E2648="","","记-"&amp;TEXT($B2648,"YYYYMM")&amp;"-费用")</f>
        <v/>
      </c>
      <c r="D2648" s="107" t="str">
        <f aca="false">IF($E2648="","",INDEX(成本费用登记表!$E$4:$E$303,180))</f>
        <v/>
      </c>
      <c r="E2648" s="67" t="str">
        <f aca="false">IF(INDEX(成本费用登记表!$Q$4:$Y$303,180,4)=0,"",INDEX(成本费用登记表!$Q$4:$Y$303,180,4))</f>
        <v/>
      </c>
      <c r="F2648" s="99" t="str">
        <f aca="false">IF($E2648="","",IFERROR(INDEX(科目表!$A$4:$A$81,MATCH($E2648,科目表!$B$4:$B$81,0)),""))</f>
        <v/>
      </c>
      <c r="G2648" s="67" t="str">
        <f aca="false">IF($E2648="","",IFERROR(INDEX(科目表!$E$4:$E$81,MATCH($E2648,科目表!$B$4:$B$81,0)),""))</f>
        <v/>
      </c>
      <c r="H2648" s="70" t="str">
        <f aca="false">IF($E2648="","",N(INDEX(成本费用登记表!$Q$4:$Y$303,180,5)))</f>
        <v/>
      </c>
      <c r="I2648" s="70" t="str">
        <f aca="false">IF($E2648="","",N(INDEX(成本费用登记表!$Q$4:$Y$303,180,6)))</f>
        <v/>
      </c>
      <c r="J2648" s="67" t="str">
        <f aca="false">IF($E2648="","",INDEX(成本费用登记表!$C$4:$C$303,180))</f>
        <v/>
      </c>
      <c r="K2648" s="67" t="str">
        <f aca="false">IF($E2648="","",INDEX(成本费用登记表!$D$4:$D$303,180))</f>
        <v/>
      </c>
      <c r="L2648" s="107" t="str">
        <f aca="false">IF($E2648="","",INDEX(成本费用登记表!$N$4:$N$303,180))</f>
        <v/>
      </c>
      <c r="M2648" s="107"/>
      <c r="N2648" s="67" t="str">
        <f aca="false">IF($E2648="","","系统")</f>
        <v/>
      </c>
      <c r="O2648" s="67" t="str">
        <f aca="false">IF($E2648="","","自动C")</f>
        <v/>
      </c>
      <c r="P2648" s="18"/>
    </row>
    <row r="2649" customFormat="false" ht="18" hidden="false" customHeight="true" outlineLevel="0" collapsed="false">
      <c r="A2649" s="107" t="str">
        <f aca="false">IF($E2649="","",ROW()-3)</f>
        <v/>
      </c>
      <c r="B2649" s="110" t="str">
        <f aca="false">IF($E2649="","",INDEX(成本费用登记表!$B$4:$B$303,180))</f>
        <v/>
      </c>
      <c r="C2649" s="67" t="str">
        <f aca="false">IF($E2649="","","记-"&amp;TEXT($B2649,"YYYYMM")&amp;"-费用")</f>
        <v/>
      </c>
      <c r="D2649" s="107" t="str">
        <f aca="false">IF($E2649="","",INDEX(成本费用登记表!$E$4:$E$303,180))</f>
        <v/>
      </c>
      <c r="E2649" s="67" t="str">
        <f aca="false">IF(INDEX(成本费用登记表!$Q$4:$Y$303,180,7)=0,"",INDEX(成本费用登记表!$Q$4:$Y$303,180,7))</f>
        <v/>
      </c>
      <c r="F2649" s="99" t="str">
        <f aca="false">IF($E2649="","",IFERROR(INDEX(科目表!$A$4:$A$81,MATCH($E2649,科目表!$B$4:$B$81,0)),""))</f>
        <v/>
      </c>
      <c r="G2649" s="67" t="str">
        <f aca="false">IF($E2649="","",IFERROR(INDEX(科目表!$E$4:$E$81,MATCH($E2649,科目表!$B$4:$B$81,0)),""))</f>
        <v/>
      </c>
      <c r="H2649" s="70" t="str">
        <f aca="false">IF($E2649="","",N(INDEX(成本费用登记表!$Q$4:$Y$303,180,8)))</f>
        <v/>
      </c>
      <c r="I2649" s="70" t="str">
        <f aca="false">IF($E2649="","",N(INDEX(成本费用登记表!$Q$4:$Y$303,180,9)))</f>
        <v/>
      </c>
      <c r="J2649" s="67" t="str">
        <f aca="false">IF($E2649="","",INDEX(成本费用登记表!$C$4:$C$303,180))</f>
        <v/>
      </c>
      <c r="K2649" s="67" t="str">
        <f aca="false">IF($E2649="","",INDEX(成本费用登记表!$D$4:$D$303,180))</f>
        <v/>
      </c>
      <c r="L2649" s="107" t="str">
        <f aca="false">IF($E2649="","",INDEX(成本费用登记表!$N$4:$N$303,180))</f>
        <v/>
      </c>
      <c r="M2649" s="107"/>
      <c r="N2649" s="67" t="str">
        <f aca="false">IF($E2649="","","系统")</f>
        <v/>
      </c>
      <c r="O2649" s="67" t="str">
        <f aca="false">IF($E2649="","","自动C")</f>
        <v/>
      </c>
      <c r="P2649" s="18"/>
    </row>
    <row r="2650" customFormat="false" ht="18" hidden="false" customHeight="true" outlineLevel="0" collapsed="false">
      <c r="A2650" s="107" t="str">
        <f aca="false">IF($E2650="","",ROW()-3)</f>
        <v/>
      </c>
      <c r="B2650" s="110" t="str">
        <f aca="false">IF($E2650="","",INDEX(成本费用登记表!$B$4:$B$303,181))</f>
        <v/>
      </c>
      <c r="C2650" s="67" t="str">
        <f aca="false">IF($E2650="","","记-"&amp;TEXT($B2650,"YYYYMM")&amp;"-费用")</f>
        <v/>
      </c>
      <c r="D2650" s="107" t="str">
        <f aca="false">IF($E2650="","",INDEX(成本费用登记表!$E$4:$E$303,181))</f>
        <v/>
      </c>
      <c r="E2650" s="67" t="str">
        <f aca="false">IF(INDEX(成本费用登记表!$Q$4:$Y$303,181,1)=0,"",INDEX(成本费用登记表!$Q$4:$Y$303,181,1))</f>
        <v/>
      </c>
      <c r="F2650" s="99" t="str">
        <f aca="false">IF($E2650="","",IFERROR(INDEX(科目表!$A$4:$A$81,MATCH($E2650,科目表!$B$4:$B$81,0)),""))</f>
        <v/>
      </c>
      <c r="G2650" s="67" t="str">
        <f aca="false">IF($E2650="","",IFERROR(INDEX(科目表!$E$4:$E$81,MATCH($E2650,科目表!$B$4:$B$81,0)),""))</f>
        <v/>
      </c>
      <c r="H2650" s="70" t="str">
        <f aca="false">IF($E2650="","",N(INDEX(成本费用登记表!$Q$4:$Y$303,181,2)))</f>
        <v/>
      </c>
      <c r="I2650" s="70" t="str">
        <f aca="false">IF($E2650="","",N(INDEX(成本费用登记表!$Q$4:$Y$303,181,3)))</f>
        <v/>
      </c>
      <c r="J2650" s="67" t="str">
        <f aca="false">IF($E2650="","",INDEX(成本费用登记表!$C$4:$C$303,181))</f>
        <v/>
      </c>
      <c r="K2650" s="67" t="str">
        <f aca="false">IF($E2650="","",INDEX(成本费用登记表!$D$4:$D$303,181))</f>
        <v/>
      </c>
      <c r="L2650" s="107" t="str">
        <f aca="false">IF($E2650="","",INDEX(成本费用登记表!$N$4:$N$303,181))</f>
        <v/>
      </c>
      <c r="M2650" s="107"/>
      <c r="N2650" s="67" t="str">
        <f aca="false">IF($E2650="","","系统")</f>
        <v/>
      </c>
      <c r="O2650" s="67" t="str">
        <f aca="false">IF($E2650="","","自动C")</f>
        <v/>
      </c>
      <c r="P2650" s="18"/>
    </row>
    <row r="2651" customFormat="false" ht="18" hidden="false" customHeight="true" outlineLevel="0" collapsed="false">
      <c r="A2651" s="107" t="str">
        <f aca="false">IF($E2651="","",ROW()-3)</f>
        <v/>
      </c>
      <c r="B2651" s="110" t="str">
        <f aca="false">IF($E2651="","",INDEX(成本费用登记表!$B$4:$B$303,181))</f>
        <v/>
      </c>
      <c r="C2651" s="67" t="str">
        <f aca="false">IF($E2651="","","记-"&amp;TEXT($B2651,"YYYYMM")&amp;"-费用")</f>
        <v/>
      </c>
      <c r="D2651" s="107" t="str">
        <f aca="false">IF($E2651="","",INDEX(成本费用登记表!$E$4:$E$303,181))</f>
        <v/>
      </c>
      <c r="E2651" s="67" t="str">
        <f aca="false">IF(INDEX(成本费用登记表!$Q$4:$Y$303,181,4)=0,"",INDEX(成本费用登记表!$Q$4:$Y$303,181,4))</f>
        <v/>
      </c>
      <c r="F2651" s="99" t="str">
        <f aca="false">IF($E2651="","",IFERROR(INDEX(科目表!$A$4:$A$81,MATCH($E2651,科目表!$B$4:$B$81,0)),""))</f>
        <v/>
      </c>
      <c r="G2651" s="67" t="str">
        <f aca="false">IF($E2651="","",IFERROR(INDEX(科目表!$E$4:$E$81,MATCH($E2651,科目表!$B$4:$B$81,0)),""))</f>
        <v/>
      </c>
      <c r="H2651" s="70" t="str">
        <f aca="false">IF($E2651="","",N(INDEX(成本费用登记表!$Q$4:$Y$303,181,5)))</f>
        <v/>
      </c>
      <c r="I2651" s="70" t="str">
        <f aca="false">IF($E2651="","",N(INDEX(成本费用登记表!$Q$4:$Y$303,181,6)))</f>
        <v/>
      </c>
      <c r="J2651" s="67" t="str">
        <f aca="false">IF($E2651="","",INDEX(成本费用登记表!$C$4:$C$303,181))</f>
        <v/>
      </c>
      <c r="K2651" s="67" t="str">
        <f aca="false">IF($E2651="","",INDEX(成本费用登记表!$D$4:$D$303,181))</f>
        <v/>
      </c>
      <c r="L2651" s="107" t="str">
        <f aca="false">IF($E2651="","",INDEX(成本费用登记表!$N$4:$N$303,181))</f>
        <v/>
      </c>
      <c r="M2651" s="107"/>
      <c r="N2651" s="67" t="str">
        <f aca="false">IF($E2651="","","系统")</f>
        <v/>
      </c>
      <c r="O2651" s="67" t="str">
        <f aca="false">IF($E2651="","","自动C")</f>
        <v/>
      </c>
      <c r="P2651" s="18"/>
    </row>
    <row r="2652" customFormat="false" ht="18" hidden="false" customHeight="true" outlineLevel="0" collapsed="false">
      <c r="A2652" s="107" t="str">
        <f aca="false">IF($E2652="","",ROW()-3)</f>
        <v/>
      </c>
      <c r="B2652" s="110" t="str">
        <f aca="false">IF($E2652="","",INDEX(成本费用登记表!$B$4:$B$303,181))</f>
        <v/>
      </c>
      <c r="C2652" s="67" t="str">
        <f aca="false">IF($E2652="","","记-"&amp;TEXT($B2652,"YYYYMM")&amp;"-费用")</f>
        <v/>
      </c>
      <c r="D2652" s="107" t="str">
        <f aca="false">IF($E2652="","",INDEX(成本费用登记表!$E$4:$E$303,181))</f>
        <v/>
      </c>
      <c r="E2652" s="67" t="str">
        <f aca="false">IF(INDEX(成本费用登记表!$Q$4:$Y$303,181,7)=0,"",INDEX(成本费用登记表!$Q$4:$Y$303,181,7))</f>
        <v/>
      </c>
      <c r="F2652" s="99" t="str">
        <f aca="false">IF($E2652="","",IFERROR(INDEX(科目表!$A$4:$A$81,MATCH($E2652,科目表!$B$4:$B$81,0)),""))</f>
        <v/>
      </c>
      <c r="G2652" s="67" t="str">
        <f aca="false">IF($E2652="","",IFERROR(INDEX(科目表!$E$4:$E$81,MATCH($E2652,科目表!$B$4:$B$81,0)),""))</f>
        <v/>
      </c>
      <c r="H2652" s="70" t="str">
        <f aca="false">IF($E2652="","",N(INDEX(成本费用登记表!$Q$4:$Y$303,181,8)))</f>
        <v/>
      </c>
      <c r="I2652" s="70" t="str">
        <f aca="false">IF($E2652="","",N(INDEX(成本费用登记表!$Q$4:$Y$303,181,9)))</f>
        <v/>
      </c>
      <c r="J2652" s="67" t="str">
        <f aca="false">IF($E2652="","",INDEX(成本费用登记表!$C$4:$C$303,181))</f>
        <v/>
      </c>
      <c r="K2652" s="67" t="str">
        <f aca="false">IF($E2652="","",INDEX(成本费用登记表!$D$4:$D$303,181))</f>
        <v/>
      </c>
      <c r="L2652" s="107" t="str">
        <f aca="false">IF($E2652="","",INDEX(成本费用登记表!$N$4:$N$303,181))</f>
        <v/>
      </c>
      <c r="M2652" s="107"/>
      <c r="N2652" s="67" t="str">
        <f aca="false">IF($E2652="","","系统")</f>
        <v/>
      </c>
      <c r="O2652" s="67" t="str">
        <f aca="false">IF($E2652="","","自动C")</f>
        <v/>
      </c>
      <c r="P2652" s="18"/>
    </row>
    <row r="2653" customFormat="false" ht="18" hidden="false" customHeight="true" outlineLevel="0" collapsed="false">
      <c r="A2653" s="107" t="str">
        <f aca="false">IF($E2653="","",ROW()-3)</f>
        <v/>
      </c>
      <c r="B2653" s="110" t="str">
        <f aca="false">IF($E2653="","",INDEX(成本费用登记表!$B$4:$B$303,182))</f>
        <v/>
      </c>
      <c r="C2653" s="67" t="str">
        <f aca="false">IF($E2653="","","记-"&amp;TEXT($B2653,"YYYYMM")&amp;"-费用")</f>
        <v/>
      </c>
      <c r="D2653" s="107" t="str">
        <f aca="false">IF($E2653="","",INDEX(成本费用登记表!$E$4:$E$303,182))</f>
        <v/>
      </c>
      <c r="E2653" s="67" t="str">
        <f aca="false">IF(INDEX(成本费用登记表!$Q$4:$Y$303,182,1)=0,"",INDEX(成本费用登记表!$Q$4:$Y$303,182,1))</f>
        <v/>
      </c>
      <c r="F2653" s="99" t="str">
        <f aca="false">IF($E2653="","",IFERROR(INDEX(科目表!$A$4:$A$81,MATCH($E2653,科目表!$B$4:$B$81,0)),""))</f>
        <v/>
      </c>
      <c r="G2653" s="67" t="str">
        <f aca="false">IF($E2653="","",IFERROR(INDEX(科目表!$E$4:$E$81,MATCH($E2653,科目表!$B$4:$B$81,0)),""))</f>
        <v/>
      </c>
      <c r="H2653" s="70" t="str">
        <f aca="false">IF($E2653="","",N(INDEX(成本费用登记表!$Q$4:$Y$303,182,2)))</f>
        <v/>
      </c>
      <c r="I2653" s="70" t="str">
        <f aca="false">IF($E2653="","",N(INDEX(成本费用登记表!$Q$4:$Y$303,182,3)))</f>
        <v/>
      </c>
      <c r="J2653" s="67" t="str">
        <f aca="false">IF($E2653="","",INDEX(成本费用登记表!$C$4:$C$303,182))</f>
        <v/>
      </c>
      <c r="K2653" s="67" t="str">
        <f aca="false">IF($E2653="","",INDEX(成本费用登记表!$D$4:$D$303,182))</f>
        <v/>
      </c>
      <c r="L2653" s="107" t="str">
        <f aca="false">IF($E2653="","",INDEX(成本费用登记表!$N$4:$N$303,182))</f>
        <v/>
      </c>
      <c r="M2653" s="107"/>
      <c r="N2653" s="67" t="str">
        <f aca="false">IF($E2653="","","系统")</f>
        <v/>
      </c>
      <c r="O2653" s="67" t="str">
        <f aca="false">IF($E2653="","","自动C")</f>
        <v/>
      </c>
      <c r="P2653" s="18"/>
    </row>
    <row r="2654" customFormat="false" ht="18" hidden="false" customHeight="true" outlineLevel="0" collapsed="false">
      <c r="A2654" s="107" t="str">
        <f aca="false">IF($E2654="","",ROW()-3)</f>
        <v/>
      </c>
      <c r="B2654" s="110" t="str">
        <f aca="false">IF($E2654="","",INDEX(成本费用登记表!$B$4:$B$303,182))</f>
        <v/>
      </c>
      <c r="C2654" s="67" t="str">
        <f aca="false">IF($E2654="","","记-"&amp;TEXT($B2654,"YYYYMM")&amp;"-费用")</f>
        <v/>
      </c>
      <c r="D2654" s="107" t="str">
        <f aca="false">IF($E2654="","",INDEX(成本费用登记表!$E$4:$E$303,182))</f>
        <v/>
      </c>
      <c r="E2654" s="67" t="str">
        <f aca="false">IF(INDEX(成本费用登记表!$Q$4:$Y$303,182,4)=0,"",INDEX(成本费用登记表!$Q$4:$Y$303,182,4))</f>
        <v/>
      </c>
      <c r="F2654" s="99" t="str">
        <f aca="false">IF($E2654="","",IFERROR(INDEX(科目表!$A$4:$A$81,MATCH($E2654,科目表!$B$4:$B$81,0)),""))</f>
        <v/>
      </c>
      <c r="G2654" s="67" t="str">
        <f aca="false">IF($E2654="","",IFERROR(INDEX(科目表!$E$4:$E$81,MATCH($E2654,科目表!$B$4:$B$81,0)),""))</f>
        <v/>
      </c>
      <c r="H2654" s="70" t="str">
        <f aca="false">IF($E2654="","",N(INDEX(成本费用登记表!$Q$4:$Y$303,182,5)))</f>
        <v/>
      </c>
      <c r="I2654" s="70" t="str">
        <f aca="false">IF($E2654="","",N(INDEX(成本费用登记表!$Q$4:$Y$303,182,6)))</f>
        <v/>
      </c>
      <c r="J2654" s="67" t="str">
        <f aca="false">IF($E2654="","",INDEX(成本费用登记表!$C$4:$C$303,182))</f>
        <v/>
      </c>
      <c r="K2654" s="67" t="str">
        <f aca="false">IF($E2654="","",INDEX(成本费用登记表!$D$4:$D$303,182))</f>
        <v/>
      </c>
      <c r="L2654" s="107" t="str">
        <f aca="false">IF($E2654="","",INDEX(成本费用登记表!$N$4:$N$303,182))</f>
        <v/>
      </c>
      <c r="M2654" s="107"/>
      <c r="N2654" s="67" t="str">
        <f aca="false">IF($E2654="","","系统")</f>
        <v/>
      </c>
      <c r="O2654" s="67" t="str">
        <f aca="false">IF($E2654="","","自动C")</f>
        <v/>
      </c>
      <c r="P2654" s="18"/>
    </row>
    <row r="2655" customFormat="false" ht="18" hidden="false" customHeight="true" outlineLevel="0" collapsed="false">
      <c r="A2655" s="107" t="str">
        <f aca="false">IF($E2655="","",ROW()-3)</f>
        <v/>
      </c>
      <c r="B2655" s="110" t="str">
        <f aca="false">IF($E2655="","",INDEX(成本费用登记表!$B$4:$B$303,182))</f>
        <v/>
      </c>
      <c r="C2655" s="67" t="str">
        <f aca="false">IF($E2655="","","记-"&amp;TEXT($B2655,"YYYYMM")&amp;"-费用")</f>
        <v/>
      </c>
      <c r="D2655" s="107" t="str">
        <f aca="false">IF($E2655="","",INDEX(成本费用登记表!$E$4:$E$303,182))</f>
        <v/>
      </c>
      <c r="E2655" s="67" t="str">
        <f aca="false">IF(INDEX(成本费用登记表!$Q$4:$Y$303,182,7)=0,"",INDEX(成本费用登记表!$Q$4:$Y$303,182,7))</f>
        <v/>
      </c>
      <c r="F2655" s="99" t="str">
        <f aca="false">IF($E2655="","",IFERROR(INDEX(科目表!$A$4:$A$81,MATCH($E2655,科目表!$B$4:$B$81,0)),""))</f>
        <v/>
      </c>
      <c r="G2655" s="67" t="str">
        <f aca="false">IF($E2655="","",IFERROR(INDEX(科目表!$E$4:$E$81,MATCH($E2655,科目表!$B$4:$B$81,0)),""))</f>
        <v/>
      </c>
      <c r="H2655" s="70" t="str">
        <f aca="false">IF($E2655="","",N(INDEX(成本费用登记表!$Q$4:$Y$303,182,8)))</f>
        <v/>
      </c>
      <c r="I2655" s="70" t="str">
        <f aca="false">IF($E2655="","",N(INDEX(成本费用登记表!$Q$4:$Y$303,182,9)))</f>
        <v/>
      </c>
      <c r="J2655" s="67" t="str">
        <f aca="false">IF($E2655="","",INDEX(成本费用登记表!$C$4:$C$303,182))</f>
        <v/>
      </c>
      <c r="K2655" s="67" t="str">
        <f aca="false">IF($E2655="","",INDEX(成本费用登记表!$D$4:$D$303,182))</f>
        <v/>
      </c>
      <c r="L2655" s="107" t="str">
        <f aca="false">IF($E2655="","",INDEX(成本费用登记表!$N$4:$N$303,182))</f>
        <v/>
      </c>
      <c r="M2655" s="107"/>
      <c r="N2655" s="67" t="str">
        <f aca="false">IF($E2655="","","系统")</f>
        <v/>
      </c>
      <c r="O2655" s="67" t="str">
        <f aca="false">IF($E2655="","","自动C")</f>
        <v/>
      </c>
      <c r="P2655" s="18"/>
    </row>
    <row r="2656" customFormat="false" ht="18" hidden="false" customHeight="true" outlineLevel="0" collapsed="false">
      <c r="A2656" s="107" t="str">
        <f aca="false">IF($E2656="","",ROW()-3)</f>
        <v/>
      </c>
      <c r="B2656" s="110" t="str">
        <f aca="false">IF($E2656="","",INDEX(成本费用登记表!$B$4:$B$303,183))</f>
        <v/>
      </c>
      <c r="C2656" s="67" t="str">
        <f aca="false">IF($E2656="","","记-"&amp;TEXT($B2656,"YYYYMM")&amp;"-费用")</f>
        <v/>
      </c>
      <c r="D2656" s="107" t="str">
        <f aca="false">IF($E2656="","",INDEX(成本费用登记表!$E$4:$E$303,183))</f>
        <v/>
      </c>
      <c r="E2656" s="67" t="str">
        <f aca="false">IF(INDEX(成本费用登记表!$Q$4:$Y$303,183,1)=0,"",INDEX(成本费用登记表!$Q$4:$Y$303,183,1))</f>
        <v/>
      </c>
      <c r="F2656" s="99" t="str">
        <f aca="false">IF($E2656="","",IFERROR(INDEX(科目表!$A$4:$A$81,MATCH($E2656,科目表!$B$4:$B$81,0)),""))</f>
        <v/>
      </c>
      <c r="G2656" s="67" t="str">
        <f aca="false">IF($E2656="","",IFERROR(INDEX(科目表!$E$4:$E$81,MATCH($E2656,科目表!$B$4:$B$81,0)),""))</f>
        <v/>
      </c>
      <c r="H2656" s="70" t="str">
        <f aca="false">IF($E2656="","",N(INDEX(成本费用登记表!$Q$4:$Y$303,183,2)))</f>
        <v/>
      </c>
      <c r="I2656" s="70" t="str">
        <f aca="false">IF($E2656="","",N(INDEX(成本费用登记表!$Q$4:$Y$303,183,3)))</f>
        <v/>
      </c>
      <c r="J2656" s="67" t="str">
        <f aca="false">IF($E2656="","",INDEX(成本费用登记表!$C$4:$C$303,183))</f>
        <v/>
      </c>
      <c r="K2656" s="67" t="str">
        <f aca="false">IF($E2656="","",INDEX(成本费用登记表!$D$4:$D$303,183))</f>
        <v/>
      </c>
      <c r="L2656" s="107" t="str">
        <f aca="false">IF($E2656="","",INDEX(成本费用登记表!$N$4:$N$303,183))</f>
        <v/>
      </c>
      <c r="M2656" s="107"/>
      <c r="N2656" s="67" t="str">
        <f aca="false">IF($E2656="","","系统")</f>
        <v/>
      </c>
      <c r="O2656" s="67" t="str">
        <f aca="false">IF($E2656="","","自动C")</f>
        <v/>
      </c>
      <c r="P2656" s="18"/>
    </row>
    <row r="2657" customFormat="false" ht="18" hidden="false" customHeight="true" outlineLevel="0" collapsed="false">
      <c r="A2657" s="107" t="str">
        <f aca="false">IF($E2657="","",ROW()-3)</f>
        <v/>
      </c>
      <c r="B2657" s="110" t="str">
        <f aca="false">IF($E2657="","",INDEX(成本费用登记表!$B$4:$B$303,183))</f>
        <v/>
      </c>
      <c r="C2657" s="67" t="str">
        <f aca="false">IF($E2657="","","记-"&amp;TEXT($B2657,"YYYYMM")&amp;"-费用")</f>
        <v/>
      </c>
      <c r="D2657" s="107" t="str">
        <f aca="false">IF($E2657="","",INDEX(成本费用登记表!$E$4:$E$303,183))</f>
        <v/>
      </c>
      <c r="E2657" s="67" t="str">
        <f aca="false">IF(INDEX(成本费用登记表!$Q$4:$Y$303,183,4)=0,"",INDEX(成本费用登记表!$Q$4:$Y$303,183,4))</f>
        <v/>
      </c>
      <c r="F2657" s="99" t="str">
        <f aca="false">IF($E2657="","",IFERROR(INDEX(科目表!$A$4:$A$81,MATCH($E2657,科目表!$B$4:$B$81,0)),""))</f>
        <v/>
      </c>
      <c r="G2657" s="67" t="str">
        <f aca="false">IF($E2657="","",IFERROR(INDEX(科目表!$E$4:$E$81,MATCH($E2657,科目表!$B$4:$B$81,0)),""))</f>
        <v/>
      </c>
      <c r="H2657" s="70" t="str">
        <f aca="false">IF($E2657="","",N(INDEX(成本费用登记表!$Q$4:$Y$303,183,5)))</f>
        <v/>
      </c>
      <c r="I2657" s="70" t="str">
        <f aca="false">IF($E2657="","",N(INDEX(成本费用登记表!$Q$4:$Y$303,183,6)))</f>
        <v/>
      </c>
      <c r="J2657" s="67" t="str">
        <f aca="false">IF($E2657="","",INDEX(成本费用登记表!$C$4:$C$303,183))</f>
        <v/>
      </c>
      <c r="K2657" s="67" t="str">
        <f aca="false">IF($E2657="","",INDEX(成本费用登记表!$D$4:$D$303,183))</f>
        <v/>
      </c>
      <c r="L2657" s="107" t="str">
        <f aca="false">IF($E2657="","",INDEX(成本费用登记表!$N$4:$N$303,183))</f>
        <v/>
      </c>
      <c r="M2657" s="107"/>
      <c r="N2657" s="67" t="str">
        <f aca="false">IF($E2657="","","系统")</f>
        <v/>
      </c>
      <c r="O2657" s="67" t="str">
        <f aca="false">IF($E2657="","","自动C")</f>
        <v/>
      </c>
      <c r="P2657" s="18"/>
    </row>
    <row r="2658" customFormat="false" ht="18" hidden="false" customHeight="true" outlineLevel="0" collapsed="false">
      <c r="A2658" s="107" t="str">
        <f aca="false">IF($E2658="","",ROW()-3)</f>
        <v/>
      </c>
      <c r="B2658" s="110" t="str">
        <f aca="false">IF($E2658="","",INDEX(成本费用登记表!$B$4:$B$303,183))</f>
        <v/>
      </c>
      <c r="C2658" s="67" t="str">
        <f aca="false">IF($E2658="","","记-"&amp;TEXT($B2658,"YYYYMM")&amp;"-费用")</f>
        <v/>
      </c>
      <c r="D2658" s="107" t="str">
        <f aca="false">IF($E2658="","",INDEX(成本费用登记表!$E$4:$E$303,183))</f>
        <v/>
      </c>
      <c r="E2658" s="67" t="str">
        <f aca="false">IF(INDEX(成本费用登记表!$Q$4:$Y$303,183,7)=0,"",INDEX(成本费用登记表!$Q$4:$Y$303,183,7))</f>
        <v/>
      </c>
      <c r="F2658" s="99" t="str">
        <f aca="false">IF($E2658="","",IFERROR(INDEX(科目表!$A$4:$A$81,MATCH($E2658,科目表!$B$4:$B$81,0)),""))</f>
        <v/>
      </c>
      <c r="G2658" s="67" t="str">
        <f aca="false">IF($E2658="","",IFERROR(INDEX(科目表!$E$4:$E$81,MATCH($E2658,科目表!$B$4:$B$81,0)),""))</f>
        <v/>
      </c>
      <c r="H2658" s="70" t="str">
        <f aca="false">IF($E2658="","",N(INDEX(成本费用登记表!$Q$4:$Y$303,183,8)))</f>
        <v/>
      </c>
      <c r="I2658" s="70" t="str">
        <f aca="false">IF($E2658="","",N(INDEX(成本费用登记表!$Q$4:$Y$303,183,9)))</f>
        <v/>
      </c>
      <c r="J2658" s="67" t="str">
        <f aca="false">IF($E2658="","",INDEX(成本费用登记表!$C$4:$C$303,183))</f>
        <v/>
      </c>
      <c r="K2658" s="67" t="str">
        <f aca="false">IF($E2658="","",INDEX(成本费用登记表!$D$4:$D$303,183))</f>
        <v/>
      </c>
      <c r="L2658" s="107" t="str">
        <f aca="false">IF($E2658="","",INDEX(成本费用登记表!$N$4:$N$303,183))</f>
        <v/>
      </c>
      <c r="M2658" s="107"/>
      <c r="N2658" s="67" t="str">
        <f aca="false">IF($E2658="","","系统")</f>
        <v/>
      </c>
      <c r="O2658" s="67" t="str">
        <f aca="false">IF($E2658="","","自动C")</f>
        <v/>
      </c>
      <c r="P2658" s="18"/>
    </row>
    <row r="2659" customFormat="false" ht="18" hidden="false" customHeight="true" outlineLevel="0" collapsed="false">
      <c r="A2659" s="107" t="str">
        <f aca="false">IF($E2659="","",ROW()-3)</f>
        <v/>
      </c>
      <c r="B2659" s="110" t="str">
        <f aca="false">IF($E2659="","",INDEX(成本费用登记表!$B$4:$B$303,184))</f>
        <v/>
      </c>
      <c r="C2659" s="67" t="str">
        <f aca="false">IF($E2659="","","记-"&amp;TEXT($B2659,"YYYYMM")&amp;"-费用")</f>
        <v/>
      </c>
      <c r="D2659" s="107" t="str">
        <f aca="false">IF($E2659="","",INDEX(成本费用登记表!$E$4:$E$303,184))</f>
        <v/>
      </c>
      <c r="E2659" s="67" t="str">
        <f aca="false">IF(INDEX(成本费用登记表!$Q$4:$Y$303,184,1)=0,"",INDEX(成本费用登记表!$Q$4:$Y$303,184,1))</f>
        <v/>
      </c>
      <c r="F2659" s="99" t="str">
        <f aca="false">IF($E2659="","",IFERROR(INDEX(科目表!$A$4:$A$81,MATCH($E2659,科目表!$B$4:$B$81,0)),""))</f>
        <v/>
      </c>
      <c r="G2659" s="67" t="str">
        <f aca="false">IF($E2659="","",IFERROR(INDEX(科目表!$E$4:$E$81,MATCH($E2659,科目表!$B$4:$B$81,0)),""))</f>
        <v/>
      </c>
      <c r="H2659" s="70" t="str">
        <f aca="false">IF($E2659="","",N(INDEX(成本费用登记表!$Q$4:$Y$303,184,2)))</f>
        <v/>
      </c>
      <c r="I2659" s="70" t="str">
        <f aca="false">IF($E2659="","",N(INDEX(成本费用登记表!$Q$4:$Y$303,184,3)))</f>
        <v/>
      </c>
      <c r="J2659" s="67" t="str">
        <f aca="false">IF($E2659="","",INDEX(成本费用登记表!$C$4:$C$303,184))</f>
        <v/>
      </c>
      <c r="K2659" s="67" t="str">
        <f aca="false">IF($E2659="","",INDEX(成本费用登记表!$D$4:$D$303,184))</f>
        <v/>
      </c>
      <c r="L2659" s="107" t="str">
        <f aca="false">IF($E2659="","",INDEX(成本费用登记表!$N$4:$N$303,184))</f>
        <v/>
      </c>
      <c r="M2659" s="107"/>
      <c r="N2659" s="67" t="str">
        <f aca="false">IF($E2659="","","系统")</f>
        <v/>
      </c>
      <c r="O2659" s="67" t="str">
        <f aca="false">IF($E2659="","","自动C")</f>
        <v/>
      </c>
      <c r="P2659" s="18"/>
    </row>
    <row r="2660" customFormat="false" ht="18" hidden="false" customHeight="true" outlineLevel="0" collapsed="false">
      <c r="A2660" s="107" t="str">
        <f aca="false">IF($E2660="","",ROW()-3)</f>
        <v/>
      </c>
      <c r="B2660" s="110" t="str">
        <f aca="false">IF($E2660="","",INDEX(成本费用登记表!$B$4:$B$303,184))</f>
        <v/>
      </c>
      <c r="C2660" s="67" t="str">
        <f aca="false">IF($E2660="","","记-"&amp;TEXT($B2660,"YYYYMM")&amp;"-费用")</f>
        <v/>
      </c>
      <c r="D2660" s="107" t="str">
        <f aca="false">IF($E2660="","",INDEX(成本费用登记表!$E$4:$E$303,184))</f>
        <v/>
      </c>
      <c r="E2660" s="67" t="str">
        <f aca="false">IF(INDEX(成本费用登记表!$Q$4:$Y$303,184,4)=0,"",INDEX(成本费用登记表!$Q$4:$Y$303,184,4))</f>
        <v/>
      </c>
      <c r="F2660" s="99" t="str">
        <f aca="false">IF($E2660="","",IFERROR(INDEX(科目表!$A$4:$A$81,MATCH($E2660,科目表!$B$4:$B$81,0)),""))</f>
        <v/>
      </c>
      <c r="G2660" s="67" t="str">
        <f aca="false">IF($E2660="","",IFERROR(INDEX(科目表!$E$4:$E$81,MATCH($E2660,科目表!$B$4:$B$81,0)),""))</f>
        <v/>
      </c>
      <c r="H2660" s="70" t="str">
        <f aca="false">IF($E2660="","",N(INDEX(成本费用登记表!$Q$4:$Y$303,184,5)))</f>
        <v/>
      </c>
      <c r="I2660" s="70" t="str">
        <f aca="false">IF($E2660="","",N(INDEX(成本费用登记表!$Q$4:$Y$303,184,6)))</f>
        <v/>
      </c>
      <c r="J2660" s="67" t="str">
        <f aca="false">IF($E2660="","",INDEX(成本费用登记表!$C$4:$C$303,184))</f>
        <v/>
      </c>
      <c r="K2660" s="67" t="str">
        <f aca="false">IF($E2660="","",INDEX(成本费用登记表!$D$4:$D$303,184))</f>
        <v/>
      </c>
      <c r="L2660" s="107" t="str">
        <f aca="false">IF($E2660="","",INDEX(成本费用登记表!$N$4:$N$303,184))</f>
        <v/>
      </c>
      <c r="M2660" s="107"/>
      <c r="N2660" s="67" t="str">
        <f aca="false">IF($E2660="","","系统")</f>
        <v/>
      </c>
      <c r="O2660" s="67" t="str">
        <f aca="false">IF($E2660="","","自动C")</f>
        <v/>
      </c>
      <c r="P2660" s="18"/>
    </row>
    <row r="2661" customFormat="false" ht="18" hidden="false" customHeight="true" outlineLevel="0" collapsed="false">
      <c r="A2661" s="107" t="str">
        <f aca="false">IF($E2661="","",ROW()-3)</f>
        <v/>
      </c>
      <c r="B2661" s="110" t="str">
        <f aca="false">IF($E2661="","",INDEX(成本费用登记表!$B$4:$B$303,184))</f>
        <v/>
      </c>
      <c r="C2661" s="67" t="str">
        <f aca="false">IF($E2661="","","记-"&amp;TEXT($B2661,"YYYYMM")&amp;"-费用")</f>
        <v/>
      </c>
      <c r="D2661" s="107" t="str">
        <f aca="false">IF($E2661="","",INDEX(成本费用登记表!$E$4:$E$303,184))</f>
        <v/>
      </c>
      <c r="E2661" s="67" t="str">
        <f aca="false">IF(INDEX(成本费用登记表!$Q$4:$Y$303,184,7)=0,"",INDEX(成本费用登记表!$Q$4:$Y$303,184,7))</f>
        <v/>
      </c>
      <c r="F2661" s="99" t="str">
        <f aca="false">IF($E2661="","",IFERROR(INDEX(科目表!$A$4:$A$81,MATCH($E2661,科目表!$B$4:$B$81,0)),""))</f>
        <v/>
      </c>
      <c r="G2661" s="67" t="str">
        <f aca="false">IF($E2661="","",IFERROR(INDEX(科目表!$E$4:$E$81,MATCH($E2661,科目表!$B$4:$B$81,0)),""))</f>
        <v/>
      </c>
      <c r="H2661" s="70" t="str">
        <f aca="false">IF($E2661="","",N(INDEX(成本费用登记表!$Q$4:$Y$303,184,8)))</f>
        <v/>
      </c>
      <c r="I2661" s="70" t="str">
        <f aca="false">IF($E2661="","",N(INDEX(成本费用登记表!$Q$4:$Y$303,184,9)))</f>
        <v/>
      </c>
      <c r="J2661" s="67" t="str">
        <f aca="false">IF($E2661="","",INDEX(成本费用登记表!$C$4:$C$303,184))</f>
        <v/>
      </c>
      <c r="K2661" s="67" t="str">
        <f aca="false">IF($E2661="","",INDEX(成本费用登记表!$D$4:$D$303,184))</f>
        <v/>
      </c>
      <c r="L2661" s="107" t="str">
        <f aca="false">IF($E2661="","",INDEX(成本费用登记表!$N$4:$N$303,184))</f>
        <v/>
      </c>
      <c r="M2661" s="107"/>
      <c r="N2661" s="67" t="str">
        <f aca="false">IF($E2661="","","系统")</f>
        <v/>
      </c>
      <c r="O2661" s="67" t="str">
        <f aca="false">IF($E2661="","","自动C")</f>
        <v/>
      </c>
      <c r="P2661" s="18"/>
    </row>
    <row r="2662" customFormat="false" ht="18" hidden="false" customHeight="true" outlineLevel="0" collapsed="false">
      <c r="A2662" s="107" t="str">
        <f aca="false">IF($E2662="","",ROW()-3)</f>
        <v/>
      </c>
      <c r="B2662" s="110" t="str">
        <f aca="false">IF($E2662="","",INDEX(成本费用登记表!$B$4:$B$303,185))</f>
        <v/>
      </c>
      <c r="C2662" s="67" t="str">
        <f aca="false">IF($E2662="","","记-"&amp;TEXT($B2662,"YYYYMM")&amp;"-费用")</f>
        <v/>
      </c>
      <c r="D2662" s="107" t="str">
        <f aca="false">IF($E2662="","",INDEX(成本费用登记表!$E$4:$E$303,185))</f>
        <v/>
      </c>
      <c r="E2662" s="67" t="str">
        <f aca="false">IF(INDEX(成本费用登记表!$Q$4:$Y$303,185,1)=0,"",INDEX(成本费用登记表!$Q$4:$Y$303,185,1))</f>
        <v/>
      </c>
      <c r="F2662" s="99" t="str">
        <f aca="false">IF($E2662="","",IFERROR(INDEX(科目表!$A$4:$A$81,MATCH($E2662,科目表!$B$4:$B$81,0)),""))</f>
        <v/>
      </c>
      <c r="G2662" s="67" t="str">
        <f aca="false">IF($E2662="","",IFERROR(INDEX(科目表!$E$4:$E$81,MATCH($E2662,科目表!$B$4:$B$81,0)),""))</f>
        <v/>
      </c>
      <c r="H2662" s="70" t="str">
        <f aca="false">IF($E2662="","",N(INDEX(成本费用登记表!$Q$4:$Y$303,185,2)))</f>
        <v/>
      </c>
      <c r="I2662" s="70" t="str">
        <f aca="false">IF($E2662="","",N(INDEX(成本费用登记表!$Q$4:$Y$303,185,3)))</f>
        <v/>
      </c>
      <c r="J2662" s="67" t="str">
        <f aca="false">IF($E2662="","",INDEX(成本费用登记表!$C$4:$C$303,185))</f>
        <v/>
      </c>
      <c r="K2662" s="67" t="str">
        <f aca="false">IF($E2662="","",INDEX(成本费用登记表!$D$4:$D$303,185))</f>
        <v/>
      </c>
      <c r="L2662" s="107" t="str">
        <f aca="false">IF($E2662="","",INDEX(成本费用登记表!$N$4:$N$303,185))</f>
        <v/>
      </c>
      <c r="M2662" s="107"/>
      <c r="N2662" s="67" t="str">
        <f aca="false">IF($E2662="","","系统")</f>
        <v/>
      </c>
      <c r="O2662" s="67" t="str">
        <f aca="false">IF($E2662="","","自动C")</f>
        <v/>
      </c>
      <c r="P2662" s="18"/>
    </row>
    <row r="2663" customFormat="false" ht="18" hidden="false" customHeight="true" outlineLevel="0" collapsed="false">
      <c r="A2663" s="107" t="str">
        <f aca="false">IF($E2663="","",ROW()-3)</f>
        <v/>
      </c>
      <c r="B2663" s="110" t="str">
        <f aca="false">IF($E2663="","",INDEX(成本费用登记表!$B$4:$B$303,185))</f>
        <v/>
      </c>
      <c r="C2663" s="67" t="str">
        <f aca="false">IF($E2663="","","记-"&amp;TEXT($B2663,"YYYYMM")&amp;"-费用")</f>
        <v/>
      </c>
      <c r="D2663" s="107" t="str">
        <f aca="false">IF($E2663="","",INDEX(成本费用登记表!$E$4:$E$303,185))</f>
        <v/>
      </c>
      <c r="E2663" s="67" t="str">
        <f aca="false">IF(INDEX(成本费用登记表!$Q$4:$Y$303,185,4)=0,"",INDEX(成本费用登记表!$Q$4:$Y$303,185,4))</f>
        <v/>
      </c>
      <c r="F2663" s="99" t="str">
        <f aca="false">IF($E2663="","",IFERROR(INDEX(科目表!$A$4:$A$81,MATCH($E2663,科目表!$B$4:$B$81,0)),""))</f>
        <v/>
      </c>
      <c r="G2663" s="67" t="str">
        <f aca="false">IF($E2663="","",IFERROR(INDEX(科目表!$E$4:$E$81,MATCH($E2663,科目表!$B$4:$B$81,0)),""))</f>
        <v/>
      </c>
      <c r="H2663" s="70" t="str">
        <f aca="false">IF($E2663="","",N(INDEX(成本费用登记表!$Q$4:$Y$303,185,5)))</f>
        <v/>
      </c>
      <c r="I2663" s="70" t="str">
        <f aca="false">IF($E2663="","",N(INDEX(成本费用登记表!$Q$4:$Y$303,185,6)))</f>
        <v/>
      </c>
      <c r="J2663" s="67" t="str">
        <f aca="false">IF($E2663="","",INDEX(成本费用登记表!$C$4:$C$303,185))</f>
        <v/>
      </c>
      <c r="K2663" s="67" t="str">
        <f aca="false">IF($E2663="","",INDEX(成本费用登记表!$D$4:$D$303,185))</f>
        <v/>
      </c>
      <c r="L2663" s="107" t="str">
        <f aca="false">IF($E2663="","",INDEX(成本费用登记表!$N$4:$N$303,185))</f>
        <v/>
      </c>
      <c r="M2663" s="107"/>
      <c r="N2663" s="67" t="str">
        <f aca="false">IF($E2663="","","系统")</f>
        <v/>
      </c>
      <c r="O2663" s="67" t="str">
        <f aca="false">IF($E2663="","","自动C")</f>
        <v/>
      </c>
      <c r="P2663" s="18"/>
    </row>
    <row r="2664" customFormat="false" ht="18" hidden="false" customHeight="true" outlineLevel="0" collapsed="false">
      <c r="A2664" s="107" t="str">
        <f aca="false">IF($E2664="","",ROW()-3)</f>
        <v/>
      </c>
      <c r="B2664" s="110" t="str">
        <f aca="false">IF($E2664="","",INDEX(成本费用登记表!$B$4:$B$303,185))</f>
        <v/>
      </c>
      <c r="C2664" s="67" t="str">
        <f aca="false">IF($E2664="","","记-"&amp;TEXT($B2664,"YYYYMM")&amp;"-费用")</f>
        <v/>
      </c>
      <c r="D2664" s="107" t="str">
        <f aca="false">IF($E2664="","",INDEX(成本费用登记表!$E$4:$E$303,185))</f>
        <v/>
      </c>
      <c r="E2664" s="67" t="str">
        <f aca="false">IF(INDEX(成本费用登记表!$Q$4:$Y$303,185,7)=0,"",INDEX(成本费用登记表!$Q$4:$Y$303,185,7))</f>
        <v/>
      </c>
      <c r="F2664" s="99" t="str">
        <f aca="false">IF($E2664="","",IFERROR(INDEX(科目表!$A$4:$A$81,MATCH($E2664,科目表!$B$4:$B$81,0)),""))</f>
        <v/>
      </c>
      <c r="G2664" s="67" t="str">
        <f aca="false">IF($E2664="","",IFERROR(INDEX(科目表!$E$4:$E$81,MATCH($E2664,科目表!$B$4:$B$81,0)),""))</f>
        <v/>
      </c>
      <c r="H2664" s="70" t="str">
        <f aca="false">IF($E2664="","",N(INDEX(成本费用登记表!$Q$4:$Y$303,185,8)))</f>
        <v/>
      </c>
      <c r="I2664" s="70" t="str">
        <f aca="false">IF($E2664="","",N(INDEX(成本费用登记表!$Q$4:$Y$303,185,9)))</f>
        <v/>
      </c>
      <c r="J2664" s="67" t="str">
        <f aca="false">IF($E2664="","",INDEX(成本费用登记表!$C$4:$C$303,185))</f>
        <v/>
      </c>
      <c r="K2664" s="67" t="str">
        <f aca="false">IF($E2664="","",INDEX(成本费用登记表!$D$4:$D$303,185))</f>
        <v/>
      </c>
      <c r="L2664" s="107" t="str">
        <f aca="false">IF($E2664="","",INDEX(成本费用登记表!$N$4:$N$303,185))</f>
        <v/>
      </c>
      <c r="M2664" s="107"/>
      <c r="N2664" s="67" t="str">
        <f aca="false">IF($E2664="","","系统")</f>
        <v/>
      </c>
      <c r="O2664" s="67" t="str">
        <f aca="false">IF($E2664="","","自动C")</f>
        <v/>
      </c>
      <c r="P2664" s="18"/>
    </row>
    <row r="2665" customFormat="false" ht="18" hidden="false" customHeight="true" outlineLevel="0" collapsed="false">
      <c r="A2665" s="107" t="str">
        <f aca="false">IF($E2665="","",ROW()-3)</f>
        <v/>
      </c>
      <c r="B2665" s="110" t="str">
        <f aca="false">IF($E2665="","",INDEX(成本费用登记表!$B$4:$B$303,186))</f>
        <v/>
      </c>
      <c r="C2665" s="67" t="str">
        <f aca="false">IF($E2665="","","记-"&amp;TEXT($B2665,"YYYYMM")&amp;"-费用")</f>
        <v/>
      </c>
      <c r="D2665" s="107" t="str">
        <f aca="false">IF($E2665="","",INDEX(成本费用登记表!$E$4:$E$303,186))</f>
        <v/>
      </c>
      <c r="E2665" s="67" t="str">
        <f aca="false">IF(INDEX(成本费用登记表!$Q$4:$Y$303,186,1)=0,"",INDEX(成本费用登记表!$Q$4:$Y$303,186,1))</f>
        <v/>
      </c>
      <c r="F2665" s="99" t="str">
        <f aca="false">IF($E2665="","",IFERROR(INDEX(科目表!$A$4:$A$81,MATCH($E2665,科目表!$B$4:$B$81,0)),""))</f>
        <v/>
      </c>
      <c r="G2665" s="67" t="str">
        <f aca="false">IF($E2665="","",IFERROR(INDEX(科目表!$E$4:$E$81,MATCH($E2665,科目表!$B$4:$B$81,0)),""))</f>
        <v/>
      </c>
      <c r="H2665" s="70" t="str">
        <f aca="false">IF($E2665="","",N(INDEX(成本费用登记表!$Q$4:$Y$303,186,2)))</f>
        <v/>
      </c>
      <c r="I2665" s="70" t="str">
        <f aca="false">IF($E2665="","",N(INDEX(成本费用登记表!$Q$4:$Y$303,186,3)))</f>
        <v/>
      </c>
      <c r="J2665" s="67" t="str">
        <f aca="false">IF($E2665="","",INDEX(成本费用登记表!$C$4:$C$303,186))</f>
        <v/>
      </c>
      <c r="K2665" s="67" t="str">
        <f aca="false">IF($E2665="","",INDEX(成本费用登记表!$D$4:$D$303,186))</f>
        <v/>
      </c>
      <c r="L2665" s="107" t="str">
        <f aca="false">IF($E2665="","",INDEX(成本费用登记表!$N$4:$N$303,186))</f>
        <v/>
      </c>
      <c r="M2665" s="107"/>
      <c r="N2665" s="67" t="str">
        <f aca="false">IF($E2665="","","系统")</f>
        <v/>
      </c>
      <c r="O2665" s="67" t="str">
        <f aca="false">IF($E2665="","","自动C")</f>
        <v/>
      </c>
      <c r="P2665" s="18"/>
    </row>
    <row r="2666" customFormat="false" ht="18" hidden="false" customHeight="true" outlineLevel="0" collapsed="false">
      <c r="A2666" s="107" t="str">
        <f aca="false">IF($E2666="","",ROW()-3)</f>
        <v/>
      </c>
      <c r="B2666" s="110" t="str">
        <f aca="false">IF($E2666="","",INDEX(成本费用登记表!$B$4:$B$303,186))</f>
        <v/>
      </c>
      <c r="C2666" s="67" t="str">
        <f aca="false">IF($E2666="","","记-"&amp;TEXT($B2666,"YYYYMM")&amp;"-费用")</f>
        <v/>
      </c>
      <c r="D2666" s="107" t="str">
        <f aca="false">IF($E2666="","",INDEX(成本费用登记表!$E$4:$E$303,186))</f>
        <v/>
      </c>
      <c r="E2666" s="67" t="str">
        <f aca="false">IF(INDEX(成本费用登记表!$Q$4:$Y$303,186,4)=0,"",INDEX(成本费用登记表!$Q$4:$Y$303,186,4))</f>
        <v/>
      </c>
      <c r="F2666" s="99" t="str">
        <f aca="false">IF($E2666="","",IFERROR(INDEX(科目表!$A$4:$A$81,MATCH($E2666,科目表!$B$4:$B$81,0)),""))</f>
        <v/>
      </c>
      <c r="G2666" s="67" t="str">
        <f aca="false">IF($E2666="","",IFERROR(INDEX(科目表!$E$4:$E$81,MATCH($E2666,科目表!$B$4:$B$81,0)),""))</f>
        <v/>
      </c>
      <c r="H2666" s="70" t="str">
        <f aca="false">IF($E2666="","",N(INDEX(成本费用登记表!$Q$4:$Y$303,186,5)))</f>
        <v/>
      </c>
      <c r="I2666" s="70" t="str">
        <f aca="false">IF($E2666="","",N(INDEX(成本费用登记表!$Q$4:$Y$303,186,6)))</f>
        <v/>
      </c>
      <c r="J2666" s="67" t="str">
        <f aca="false">IF($E2666="","",INDEX(成本费用登记表!$C$4:$C$303,186))</f>
        <v/>
      </c>
      <c r="K2666" s="67" t="str">
        <f aca="false">IF($E2666="","",INDEX(成本费用登记表!$D$4:$D$303,186))</f>
        <v/>
      </c>
      <c r="L2666" s="107" t="str">
        <f aca="false">IF($E2666="","",INDEX(成本费用登记表!$N$4:$N$303,186))</f>
        <v/>
      </c>
      <c r="M2666" s="107"/>
      <c r="N2666" s="67" t="str">
        <f aca="false">IF($E2666="","","系统")</f>
        <v/>
      </c>
      <c r="O2666" s="67" t="str">
        <f aca="false">IF($E2666="","","自动C")</f>
        <v/>
      </c>
      <c r="P2666" s="18"/>
    </row>
    <row r="2667" customFormat="false" ht="18" hidden="false" customHeight="true" outlineLevel="0" collapsed="false">
      <c r="A2667" s="107" t="str">
        <f aca="false">IF($E2667="","",ROW()-3)</f>
        <v/>
      </c>
      <c r="B2667" s="110" t="str">
        <f aca="false">IF($E2667="","",INDEX(成本费用登记表!$B$4:$B$303,186))</f>
        <v/>
      </c>
      <c r="C2667" s="67" t="str">
        <f aca="false">IF($E2667="","","记-"&amp;TEXT($B2667,"YYYYMM")&amp;"-费用")</f>
        <v/>
      </c>
      <c r="D2667" s="107" t="str">
        <f aca="false">IF($E2667="","",INDEX(成本费用登记表!$E$4:$E$303,186))</f>
        <v/>
      </c>
      <c r="E2667" s="67" t="str">
        <f aca="false">IF(INDEX(成本费用登记表!$Q$4:$Y$303,186,7)=0,"",INDEX(成本费用登记表!$Q$4:$Y$303,186,7))</f>
        <v/>
      </c>
      <c r="F2667" s="99" t="str">
        <f aca="false">IF($E2667="","",IFERROR(INDEX(科目表!$A$4:$A$81,MATCH($E2667,科目表!$B$4:$B$81,0)),""))</f>
        <v/>
      </c>
      <c r="G2667" s="67" t="str">
        <f aca="false">IF($E2667="","",IFERROR(INDEX(科目表!$E$4:$E$81,MATCH($E2667,科目表!$B$4:$B$81,0)),""))</f>
        <v/>
      </c>
      <c r="H2667" s="70" t="str">
        <f aca="false">IF($E2667="","",N(INDEX(成本费用登记表!$Q$4:$Y$303,186,8)))</f>
        <v/>
      </c>
      <c r="I2667" s="70" t="str">
        <f aca="false">IF($E2667="","",N(INDEX(成本费用登记表!$Q$4:$Y$303,186,9)))</f>
        <v/>
      </c>
      <c r="J2667" s="67" t="str">
        <f aca="false">IF($E2667="","",INDEX(成本费用登记表!$C$4:$C$303,186))</f>
        <v/>
      </c>
      <c r="K2667" s="67" t="str">
        <f aca="false">IF($E2667="","",INDEX(成本费用登记表!$D$4:$D$303,186))</f>
        <v/>
      </c>
      <c r="L2667" s="107" t="str">
        <f aca="false">IF($E2667="","",INDEX(成本费用登记表!$N$4:$N$303,186))</f>
        <v/>
      </c>
      <c r="M2667" s="107"/>
      <c r="N2667" s="67" t="str">
        <f aca="false">IF($E2667="","","系统")</f>
        <v/>
      </c>
      <c r="O2667" s="67" t="str">
        <f aca="false">IF($E2667="","","自动C")</f>
        <v/>
      </c>
      <c r="P2667" s="18"/>
    </row>
    <row r="2668" customFormat="false" ht="18" hidden="false" customHeight="true" outlineLevel="0" collapsed="false">
      <c r="A2668" s="107" t="str">
        <f aca="false">IF($E2668="","",ROW()-3)</f>
        <v/>
      </c>
      <c r="B2668" s="110" t="str">
        <f aca="false">IF($E2668="","",INDEX(成本费用登记表!$B$4:$B$303,187))</f>
        <v/>
      </c>
      <c r="C2668" s="67" t="str">
        <f aca="false">IF($E2668="","","记-"&amp;TEXT($B2668,"YYYYMM")&amp;"-费用")</f>
        <v/>
      </c>
      <c r="D2668" s="107" t="str">
        <f aca="false">IF($E2668="","",INDEX(成本费用登记表!$E$4:$E$303,187))</f>
        <v/>
      </c>
      <c r="E2668" s="67" t="str">
        <f aca="false">IF(INDEX(成本费用登记表!$Q$4:$Y$303,187,1)=0,"",INDEX(成本费用登记表!$Q$4:$Y$303,187,1))</f>
        <v/>
      </c>
      <c r="F2668" s="99" t="str">
        <f aca="false">IF($E2668="","",IFERROR(INDEX(科目表!$A$4:$A$81,MATCH($E2668,科目表!$B$4:$B$81,0)),""))</f>
        <v/>
      </c>
      <c r="G2668" s="67" t="str">
        <f aca="false">IF($E2668="","",IFERROR(INDEX(科目表!$E$4:$E$81,MATCH($E2668,科目表!$B$4:$B$81,0)),""))</f>
        <v/>
      </c>
      <c r="H2668" s="70" t="str">
        <f aca="false">IF($E2668="","",N(INDEX(成本费用登记表!$Q$4:$Y$303,187,2)))</f>
        <v/>
      </c>
      <c r="I2668" s="70" t="str">
        <f aca="false">IF($E2668="","",N(INDEX(成本费用登记表!$Q$4:$Y$303,187,3)))</f>
        <v/>
      </c>
      <c r="J2668" s="67" t="str">
        <f aca="false">IF($E2668="","",INDEX(成本费用登记表!$C$4:$C$303,187))</f>
        <v/>
      </c>
      <c r="K2668" s="67" t="str">
        <f aca="false">IF($E2668="","",INDEX(成本费用登记表!$D$4:$D$303,187))</f>
        <v/>
      </c>
      <c r="L2668" s="107" t="str">
        <f aca="false">IF($E2668="","",INDEX(成本费用登记表!$N$4:$N$303,187))</f>
        <v/>
      </c>
      <c r="M2668" s="107"/>
      <c r="N2668" s="67" t="str">
        <f aca="false">IF($E2668="","","系统")</f>
        <v/>
      </c>
      <c r="O2668" s="67" t="str">
        <f aca="false">IF($E2668="","","自动C")</f>
        <v/>
      </c>
      <c r="P2668" s="18"/>
    </row>
    <row r="2669" customFormat="false" ht="18" hidden="false" customHeight="true" outlineLevel="0" collapsed="false">
      <c r="A2669" s="107" t="str">
        <f aca="false">IF($E2669="","",ROW()-3)</f>
        <v/>
      </c>
      <c r="B2669" s="110" t="str">
        <f aca="false">IF($E2669="","",INDEX(成本费用登记表!$B$4:$B$303,187))</f>
        <v/>
      </c>
      <c r="C2669" s="67" t="str">
        <f aca="false">IF($E2669="","","记-"&amp;TEXT($B2669,"YYYYMM")&amp;"-费用")</f>
        <v/>
      </c>
      <c r="D2669" s="107" t="str">
        <f aca="false">IF($E2669="","",INDEX(成本费用登记表!$E$4:$E$303,187))</f>
        <v/>
      </c>
      <c r="E2669" s="67" t="str">
        <f aca="false">IF(INDEX(成本费用登记表!$Q$4:$Y$303,187,4)=0,"",INDEX(成本费用登记表!$Q$4:$Y$303,187,4))</f>
        <v/>
      </c>
      <c r="F2669" s="99" t="str">
        <f aca="false">IF($E2669="","",IFERROR(INDEX(科目表!$A$4:$A$81,MATCH($E2669,科目表!$B$4:$B$81,0)),""))</f>
        <v/>
      </c>
      <c r="G2669" s="67" t="str">
        <f aca="false">IF($E2669="","",IFERROR(INDEX(科目表!$E$4:$E$81,MATCH($E2669,科目表!$B$4:$B$81,0)),""))</f>
        <v/>
      </c>
      <c r="H2669" s="70" t="str">
        <f aca="false">IF($E2669="","",N(INDEX(成本费用登记表!$Q$4:$Y$303,187,5)))</f>
        <v/>
      </c>
      <c r="I2669" s="70" t="str">
        <f aca="false">IF($E2669="","",N(INDEX(成本费用登记表!$Q$4:$Y$303,187,6)))</f>
        <v/>
      </c>
      <c r="J2669" s="67" t="str">
        <f aca="false">IF($E2669="","",INDEX(成本费用登记表!$C$4:$C$303,187))</f>
        <v/>
      </c>
      <c r="K2669" s="67" t="str">
        <f aca="false">IF($E2669="","",INDEX(成本费用登记表!$D$4:$D$303,187))</f>
        <v/>
      </c>
      <c r="L2669" s="107" t="str">
        <f aca="false">IF($E2669="","",INDEX(成本费用登记表!$N$4:$N$303,187))</f>
        <v/>
      </c>
      <c r="M2669" s="107"/>
      <c r="N2669" s="67" t="str">
        <f aca="false">IF($E2669="","","系统")</f>
        <v/>
      </c>
      <c r="O2669" s="67" t="str">
        <f aca="false">IF($E2669="","","自动C")</f>
        <v/>
      </c>
      <c r="P2669" s="18"/>
    </row>
    <row r="2670" customFormat="false" ht="18" hidden="false" customHeight="true" outlineLevel="0" collapsed="false">
      <c r="A2670" s="107" t="str">
        <f aca="false">IF($E2670="","",ROW()-3)</f>
        <v/>
      </c>
      <c r="B2670" s="110" t="str">
        <f aca="false">IF($E2670="","",INDEX(成本费用登记表!$B$4:$B$303,187))</f>
        <v/>
      </c>
      <c r="C2670" s="67" t="str">
        <f aca="false">IF($E2670="","","记-"&amp;TEXT($B2670,"YYYYMM")&amp;"-费用")</f>
        <v/>
      </c>
      <c r="D2670" s="107" t="str">
        <f aca="false">IF($E2670="","",INDEX(成本费用登记表!$E$4:$E$303,187))</f>
        <v/>
      </c>
      <c r="E2670" s="67" t="str">
        <f aca="false">IF(INDEX(成本费用登记表!$Q$4:$Y$303,187,7)=0,"",INDEX(成本费用登记表!$Q$4:$Y$303,187,7))</f>
        <v/>
      </c>
      <c r="F2670" s="99" t="str">
        <f aca="false">IF($E2670="","",IFERROR(INDEX(科目表!$A$4:$A$81,MATCH($E2670,科目表!$B$4:$B$81,0)),""))</f>
        <v/>
      </c>
      <c r="G2670" s="67" t="str">
        <f aca="false">IF($E2670="","",IFERROR(INDEX(科目表!$E$4:$E$81,MATCH($E2670,科目表!$B$4:$B$81,0)),""))</f>
        <v/>
      </c>
      <c r="H2670" s="70" t="str">
        <f aca="false">IF($E2670="","",N(INDEX(成本费用登记表!$Q$4:$Y$303,187,8)))</f>
        <v/>
      </c>
      <c r="I2670" s="70" t="str">
        <f aca="false">IF($E2670="","",N(INDEX(成本费用登记表!$Q$4:$Y$303,187,9)))</f>
        <v/>
      </c>
      <c r="J2670" s="67" t="str">
        <f aca="false">IF($E2670="","",INDEX(成本费用登记表!$C$4:$C$303,187))</f>
        <v/>
      </c>
      <c r="K2670" s="67" t="str">
        <f aca="false">IF($E2670="","",INDEX(成本费用登记表!$D$4:$D$303,187))</f>
        <v/>
      </c>
      <c r="L2670" s="107" t="str">
        <f aca="false">IF($E2670="","",INDEX(成本费用登记表!$N$4:$N$303,187))</f>
        <v/>
      </c>
      <c r="M2670" s="107"/>
      <c r="N2670" s="67" t="str">
        <f aca="false">IF($E2670="","","系统")</f>
        <v/>
      </c>
      <c r="O2670" s="67" t="str">
        <f aca="false">IF($E2670="","","自动C")</f>
        <v/>
      </c>
      <c r="P2670" s="18"/>
    </row>
    <row r="2671" customFormat="false" ht="18" hidden="false" customHeight="true" outlineLevel="0" collapsed="false">
      <c r="A2671" s="107" t="str">
        <f aca="false">IF($E2671="","",ROW()-3)</f>
        <v/>
      </c>
      <c r="B2671" s="110" t="str">
        <f aca="false">IF($E2671="","",INDEX(成本费用登记表!$B$4:$B$303,188))</f>
        <v/>
      </c>
      <c r="C2671" s="67" t="str">
        <f aca="false">IF($E2671="","","记-"&amp;TEXT($B2671,"YYYYMM")&amp;"-费用")</f>
        <v/>
      </c>
      <c r="D2671" s="107" t="str">
        <f aca="false">IF($E2671="","",INDEX(成本费用登记表!$E$4:$E$303,188))</f>
        <v/>
      </c>
      <c r="E2671" s="67" t="str">
        <f aca="false">IF(INDEX(成本费用登记表!$Q$4:$Y$303,188,1)=0,"",INDEX(成本费用登记表!$Q$4:$Y$303,188,1))</f>
        <v/>
      </c>
      <c r="F2671" s="99" t="str">
        <f aca="false">IF($E2671="","",IFERROR(INDEX(科目表!$A$4:$A$81,MATCH($E2671,科目表!$B$4:$B$81,0)),""))</f>
        <v/>
      </c>
      <c r="G2671" s="67" t="str">
        <f aca="false">IF($E2671="","",IFERROR(INDEX(科目表!$E$4:$E$81,MATCH($E2671,科目表!$B$4:$B$81,0)),""))</f>
        <v/>
      </c>
      <c r="H2671" s="70" t="str">
        <f aca="false">IF($E2671="","",N(INDEX(成本费用登记表!$Q$4:$Y$303,188,2)))</f>
        <v/>
      </c>
      <c r="I2671" s="70" t="str">
        <f aca="false">IF($E2671="","",N(INDEX(成本费用登记表!$Q$4:$Y$303,188,3)))</f>
        <v/>
      </c>
      <c r="J2671" s="67" t="str">
        <f aca="false">IF($E2671="","",INDEX(成本费用登记表!$C$4:$C$303,188))</f>
        <v/>
      </c>
      <c r="K2671" s="67" t="str">
        <f aca="false">IF($E2671="","",INDEX(成本费用登记表!$D$4:$D$303,188))</f>
        <v/>
      </c>
      <c r="L2671" s="107" t="str">
        <f aca="false">IF($E2671="","",INDEX(成本费用登记表!$N$4:$N$303,188))</f>
        <v/>
      </c>
      <c r="M2671" s="107"/>
      <c r="N2671" s="67" t="str">
        <f aca="false">IF($E2671="","","系统")</f>
        <v/>
      </c>
      <c r="O2671" s="67" t="str">
        <f aca="false">IF($E2671="","","自动C")</f>
        <v/>
      </c>
      <c r="P2671" s="18"/>
    </row>
    <row r="2672" customFormat="false" ht="18" hidden="false" customHeight="true" outlineLevel="0" collapsed="false">
      <c r="A2672" s="107" t="str">
        <f aca="false">IF($E2672="","",ROW()-3)</f>
        <v/>
      </c>
      <c r="B2672" s="110" t="str">
        <f aca="false">IF($E2672="","",INDEX(成本费用登记表!$B$4:$B$303,188))</f>
        <v/>
      </c>
      <c r="C2672" s="67" t="str">
        <f aca="false">IF($E2672="","","记-"&amp;TEXT($B2672,"YYYYMM")&amp;"-费用")</f>
        <v/>
      </c>
      <c r="D2672" s="107" t="str">
        <f aca="false">IF($E2672="","",INDEX(成本费用登记表!$E$4:$E$303,188))</f>
        <v/>
      </c>
      <c r="E2672" s="67" t="str">
        <f aca="false">IF(INDEX(成本费用登记表!$Q$4:$Y$303,188,4)=0,"",INDEX(成本费用登记表!$Q$4:$Y$303,188,4))</f>
        <v/>
      </c>
      <c r="F2672" s="99" t="str">
        <f aca="false">IF($E2672="","",IFERROR(INDEX(科目表!$A$4:$A$81,MATCH($E2672,科目表!$B$4:$B$81,0)),""))</f>
        <v/>
      </c>
      <c r="G2672" s="67" t="str">
        <f aca="false">IF($E2672="","",IFERROR(INDEX(科目表!$E$4:$E$81,MATCH($E2672,科目表!$B$4:$B$81,0)),""))</f>
        <v/>
      </c>
      <c r="H2672" s="70" t="str">
        <f aca="false">IF($E2672="","",N(INDEX(成本费用登记表!$Q$4:$Y$303,188,5)))</f>
        <v/>
      </c>
      <c r="I2672" s="70" t="str">
        <f aca="false">IF($E2672="","",N(INDEX(成本费用登记表!$Q$4:$Y$303,188,6)))</f>
        <v/>
      </c>
      <c r="J2672" s="67" t="str">
        <f aca="false">IF($E2672="","",INDEX(成本费用登记表!$C$4:$C$303,188))</f>
        <v/>
      </c>
      <c r="K2672" s="67" t="str">
        <f aca="false">IF($E2672="","",INDEX(成本费用登记表!$D$4:$D$303,188))</f>
        <v/>
      </c>
      <c r="L2672" s="107" t="str">
        <f aca="false">IF($E2672="","",INDEX(成本费用登记表!$N$4:$N$303,188))</f>
        <v/>
      </c>
      <c r="M2672" s="107"/>
      <c r="N2672" s="67" t="str">
        <f aca="false">IF($E2672="","","系统")</f>
        <v/>
      </c>
      <c r="O2672" s="67" t="str">
        <f aca="false">IF($E2672="","","自动C")</f>
        <v/>
      </c>
      <c r="P2672" s="18"/>
    </row>
    <row r="2673" customFormat="false" ht="18" hidden="false" customHeight="true" outlineLevel="0" collapsed="false">
      <c r="A2673" s="107" t="str">
        <f aca="false">IF($E2673="","",ROW()-3)</f>
        <v/>
      </c>
      <c r="B2673" s="110" t="str">
        <f aca="false">IF($E2673="","",INDEX(成本费用登记表!$B$4:$B$303,188))</f>
        <v/>
      </c>
      <c r="C2673" s="67" t="str">
        <f aca="false">IF($E2673="","","记-"&amp;TEXT($B2673,"YYYYMM")&amp;"-费用")</f>
        <v/>
      </c>
      <c r="D2673" s="107" t="str">
        <f aca="false">IF($E2673="","",INDEX(成本费用登记表!$E$4:$E$303,188))</f>
        <v/>
      </c>
      <c r="E2673" s="67" t="str">
        <f aca="false">IF(INDEX(成本费用登记表!$Q$4:$Y$303,188,7)=0,"",INDEX(成本费用登记表!$Q$4:$Y$303,188,7))</f>
        <v/>
      </c>
      <c r="F2673" s="99" t="str">
        <f aca="false">IF($E2673="","",IFERROR(INDEX(科目表!$A$4:$A$81,MATCH($E2673,科目表!$B$4:$B$81,0)),""))</f>
        <v/>
      </c>
      <c r="G2673" s="67" t="str">
        <f aca="false">IF($E2673="","",IFERROR(INDEX(科目表!$E$4:$E$81,MATCH($E2673,科目表!$B$4:$B$81,0)),""))</f>
        <v/>
      </c>
      <c r="H2673" s="70" t="str">
        <f aca="false">IF($E2673="","",N(INDEX(成本费用登记表!$Q$4:$Y$303,188,8)))</f>
        <v/>
      </c>
      <c r="I2673" s="70" t="str">
        <f aca="false">IF($E2673="","",N(INDEX(成本费用登记表!$Q$4:$Y$303,188,9)))</f>
        <v/>
      </c>
      <c r="J2673" s="67" t="str">
        <f aca="false">IF($E2673="","",INDEX(成本费用登记表!$C$4:$C$303,188))</f>
        <v/>
      </c>
      <c r="K2673" s="67" t="str">
        <f aca="false">IF($E2673="","",INDEX(成本费用登记表!$D$4:$D$303,188))</f>
        <v/>
      </c>
      <c r="L2673" s="107" t="str">
        <f aca="false">IF($E2673="","",INDEX(成本费用登记表!$N$4:$N$303,188))</f>
        <v/>
      </c>
      <c r="M2673" s="107"/>
      <c r="N2673" s="67" t="str">
        <f aca="false">IF($E2673="","","系统")</f>
        <v/>
      </c>
      <c r="O2673" s="67" t="str">
        <f aca="false">IF($E2673="","","自动C")</f>
        <v/>
      </c>
      <c r="P2673" s="18"/>
    </row>
    <row r="2674" customFormat="false" ht="18" hidden="false" customHeight="true" outlineLevel="0" collapsed="false">
      <c r="A2674" s="107" t="str">
        <f aca="false">IF($E2674="","",ROW()-3)</f>
        <v/>
      </c>
      <c r="B2674" s="110" t="str">
        <f aca="false">IF($E2674="","",INDEX(成本费用登记表!$B$4:$B$303,189))</f>
        <v/>
      </c>
      <c r="C2674" s="67" t="str">
        <f aca="false">IF($E2674="","","记-"&amp;TEXT($B2674,"YYYYMM")&amp;"-费用")</f>
        <v/>
      </c>
      <c r="D2674" s="107" t="str">
        <f aca="false">IF($E2674="","",INDEX(成本费用登记表!$E$4:$E$303,189))</f>
        <v/>
      </c>
      <c r="E2674" s="67" t="str">
        <f aca="false">IF(INDEX(成本费用登记表!$Q$4:$Y$303,189,1)=0,"",INDEX(成本费用登记表!$Q$4:$Y$303,189,1))</f>
        <v/>
      </c>
      <c r="F2674" s="99" t="str">
        <f aca="false">IF($E2674="","",IFERROR(INDEX(科目表!$A$4:$A$81,MATCH($E2674,科目表!$B$4:$B$81,0)),""))</f>
        <v/>
      </c>
      <c r="G2674" s="67" t="str">
        <f aca="false">IF($E2674="","",IFERROR(INDEX(科目表!$E$4:$E$81,MATCH($E2674,科目表!$B$4:$B$81,0)),""))</f>
        <v/>
      </c>
      <c r="H2674" s="70" t="str">
        <f aca="false">IF($E2674="","",N(INDEX(成本费用登记表!$Q$4:$Y$303,189,2)))</f>
        <v/>
      </c>
      <c r="I2674" s="70" t="str">
        <f aca="false">IF($E2674="","",N(INDEX(成本费用登记表!$Q$4:$Y$303,189,3)))</f>
        <v/>
      </c>
      <c r="J2674" s="67" t="str">
        <f aca="false">IF($E2674="","",INDEX(成本费用登记表!$C$4:$C$303,189))</f>
        <v/>
      </c>
      <c r="K2674" s="67" t="str">
        <f aca="false">IF($E2674="","",INDEX(成本费用登记表!$D$4:$D$303,189))</f>
        <v/>
      </c>
      <c r="L2674" s="107" t="str">
        <f aca="false">IF($E2674="","",INDEX(成本费用登记表!$N$4:$N$303,189))</f>
        <v/>
      </c>
      <c r="M2674" s="107"/>
      <c r="N2674" s="67" t="str">
        <f aca="false">IF($E2674="","","系统")</f>
        <v/>
      </c>
      <c r="O2674" s="67" t="str">
        <f aca="false">IF($E2674="","","自动C")</f>
        <v/>
      </c>
      <c r="P2674" s="18"/>
    </row>
    <row r="2675" customFormat="false" ht="18" hidden="false" customHeight="true" outlineLevel="0" collapsed="false">
      <c r="A2675" s="107" t="str">
        <f aca="false">IF($E2675="","",ROW()-3)</f>
        <v/>
      </c>
      <c r="B2675" s="110" t="str">
        <f aca="false">IF($E2675="","",INDEX(成本费用登记表!$B$4:$B$303,189))</f>
        <v/>
      </c>
      <c r="C2675" s="67" t="str">
        <f aca="false">IF($E2675="","","记-"&amp;TEXT($B2675,"YYYYMM")&amp;"-费用")</f>
        <v/>
      </c>
      <c r="D2675" s="107" t="str">
        <f aca="false">IF($E2675="","",INDEX(成本费用登记表!$E$4:$E$303,189))</f>
        <v/>
      </c>
      <c r="E2675" s="67" t="str">
        <f aca="false">IF(INDEX(成本费用登记表!$Q$4:$Y$303,189,4)=0,"",INDEX(成本费用登记表!$Q$4:$Y$303,189,4))</f>
        <v/>
      </c>
      <c r="F2675" s="99" t="str">
        <f aca="false">IF($E2675="","",IFERROR(INDEX(科目表!$A$4:$A$81,MATCH($E2675,科目表!$B$4:$B$81,0)),""))</f>
        <v/>
      </c>
      <c r="G2675" s="67" t="str">
        <f aca="false">IF($E2675="","",IFERROR(INDEX(科目表!$E$4:$E$81,MATCH($E2675,科目表!$B$4:$B$81,0)),""))</f>
        <v/>
      </c>
      <c r="H2675" s="70" t="str">
        <f aca="false">IF($E2675="","",N(INDEX(成本费用登记表!$Q$4:$Y$303,189,5)))</f>
        <v/>
      </c>
      <c r="I2675" s="70" t="str">
        <f aca="false">IF($E2675="","",N(INDEX(成本费用登记表!$Q$4:$Y$303,189,6)))</f>
        <v/>
      </c>
      <c r="J2675" s="67" t="str">
        <f aca="false">IF($E2675="","",INDEX(成本费用登记表!$C$4:$C$303,189))</f>
        <v/>
      </c>
      <c r="K2675" s="67" t="str">
        <f aca="false">IF($E2675="","",INDEX(成本费用登记表!$D$4:$D$303,189))</f>
        <v/>
      </c>
      <c r="L2675" s="107" t="str">
        <f aca="false">IF($E2675="","",INDEX(成本费用登记表!$N$4:$N$303,189))</f>
        <v/>
      </c>
      <c r="M2675" s="107"/>
      <c r="N2675" s="67" t="str">
        <f aca="false">IF($E2675="","","系统")</f>
        <v/>
      </c>
      <c r="O2675" s="67" t="str">
        <f aca="false">IF($E2675="","","自动C")</f>
        <v/>
      </c>
      <c r="P2675" s="18"/>
    </row>
    <row r="2676" customFormat="false" ht="18" hidden="false" customHeight="true" outlineLevel="0" collapsed="false">
      <c r="A2676" s="107" t="str">
        <f aca="false">IF($E2676="","",ROW()-3)</f>
        <v/>
      </c>
      <c r="B2676" s="110" t="str">
        <f aca="false">IF($E2676="","",INDEX(成本费用登记表!$B$4:$B$303,189))</f>
        <v/>
      </c>
      <c r="C2676" s="67" t="str">
        <f aca="false">IF($E2676="","","记-"&amp;TEXT($B2676,"YYYYMM")&amp;"-费用")</f>
        <v/>
      </c>
      <c r="D2676" s="107" t="str">
        <f aca="false">IF($E2676="","",INDEX(成本费用登记表!$E$4:$E$303,189))</f>
        <v/>
      </c>
      <c r="E2676" s="67" t="str">
        <f aca="false">IF(INDEX(成本费用登记表!$Q$4:$Y$303,189,7)=0,"",INDEX(成本费用登记表!$Q$4:$Y$303,189,7))</f>
        <v/>
      </c>
      <c r="F2676" s="99" t="str">
        <f aca="false">IF($E2676="","",IFERROR(INDEX(科目表!$A$4:$A$81,MATCH($E2676,科目表!$B$4:$B$81,0)),""))</f>
        <v/>
      </c>
      <c r="G2676" s="67" t="str">
        <f aca="false">IF($E2676="","",IFERROR(INDEX(科目表!$E$4:$E$81,MATCH($E2676,科目表!$B$4:$B$81,0)),""))</f>
        <v/>
      </c>
      <c r="H2676" s="70" t="str">
        <f aca="false">IF($E2676="","",N(INDEX(成本费用登记表!$Q$4:$Y$303,189,8)))</f>
        <v/>
      </c>
      <c r="I2676" s="70" t="str">
        <f aca="false">IF($E2676="","",N(INDEX(成本费用登记表!$Q$4:$Y$303,189,9)))</f>
        <v/>
      </c>
      <c r="J2676" s="67" t="str">
        <f aca="false">IF($E2676="","",INDEX(成本费用登记表!$C$4:$C$303,189))</f>
        <v/>
      </c>
      <c r="K2676" s="67" t="str">
        <f aca="false">IF($E2676="","",INDEX(成本费用登记表!$D$4:$D$303,189))</f>
        <v/>
      </c>
      <c r="L2676" s="107" t="str">
        <f aca="false">IF($E2676="","",INDEX(成本费用登记表!$N$4:$N$303,189))</f>
        <v/>
      </c>
      <c r="M2676" s="107"/>
      <c r="N2676" s="67" t="str">
        <f aca="false">IF($E2676="","","系统")</f>
        <v/>
      </c>
      <c r="O2676" s="67" t="str">
        <f aca="false">IF($E2676="","","自动C")</f>
        <v/>
      </c>
      <c r="P2676" s="18"/>
    </row>
    <row r="2677" customFormat="false" ht="18" hidden="false" customHeight="true" outlineLevel="0" collapsed="false">
      <c r="A2677" s="107" t="str">
        <f aca="false">IF($E2677="","",ROW()-3)</f>
        <v/>
      </c>
      <c r="B2677" s="110" t="str">
        <f aca="false">IF($E2677="","",INDEX(成本费用登记表!$B$4:$B$303,190))</f>
        <v/>
      </c>
      <c r="C2677" s="67" t="str">
        <f aca="false">IF($E2677="","","记-"&amp;TEXT($B2677,"YYYYMM")&amp;"-费用")</f>
        <v/>
      </c>
      <c r="D2677" s="107" t="str">
        <f aca="false">IF($E2677="","",INDEX(成本费用登记表!$E$4:$E$303,190))</f>
        <v/>
      </c>
      <c r="E2677" s="67" t="str">
        <f aca="false">IF(INDEX(成本费用登记表!$Q$4:$Y$303,190,1)=0,"",INDEX(成本费用登记表!$Q$4:$Y$303,190,1))</f>
        <v/>
      </c>
      <c r="F2677" s="99" t="str">
        <f aca="false">IF($E2677="","",IFERROR(INDEX(科目表!$A$4:$A$81,MATCH($E2677,科目表!$B$4:$B$81,0)),""))</f>
        <v/>
      </c>
      <c r="G2677" s="67" t="str">
        <f aca="false">IF($E2677="","",IFERROR(INDEX(科目表!$E$4:$E$81,MATCH($E2677,科目表!$B$4:$B$81,0)),""))</f>
        <v/>
      </c>
      <c r="H2677" s="70" t="str">
        <f aca="false">IF($E2677="","",N(INDEX(成本费用登记表!$Q$4:$Y$303,190,2)))</f>
        <v/>
      </c>
      <c r="I2677" s="70" t="str">
        <f aca="false">IF($E2677="","",N(INDEX(成本费用登记表!$Q$4:$Y$303,190,3)))</f>
        <v/>
      </c>
      <c r="J2677" s="67" t="str">
        <f aca="false">IF($E2677="","",INDEX(成本费用登记表!$C$4:$C$303,190))</f>
        <v/>
      </c>
      <c r="K2677" s="67" t="str">
        <f aca="false">IF($E2677="","",INDEX(成本费用登记表!$D$4:$D$303,190))</f>
        <v/>
      </c>
      <c r="L2677" s="107" t="str">
        <f aca="false">IF($E2677="","",INDEX(成本费用登记表!$N$4:$N$303,190))</f>
        <v/>
      </c>
      <c r="M2677" s="107"/>
      <c r="N2677" s="67" t="str">
        <f aca="false">IF($E2677="","","系统")</f>
        <v/>
      </c>
      <c r="O2677" s="67" t="str">
        <f aca="false">IF($E2677="","","自动C")</f>
        <v/>
      </c>
      <c r="P2677" s="18"/>
    </row>
    <row r="2678" customFormat="false" ht="18" hidden="false" customHeight="true" outlineLevel="0" collapsed="false">
      <c r="A2678" s="107" t="str">
        <f aca="false">IF($E2678="","",ROW()-3)</f>
        <v/>
      </c>
      <c r="B2678" s="110" t="str">
        <f aca="false">IF($E2678="","",INDEX(成本费用登记表!$B$4:$B$303,190))</f>
        <v/>
      </c>
      <c r="C2678" s="67" t="str">
        <f aca="false">IF($E2678="","","记-"&amp;TEXT($B2678,"YYYYMM")&amp;"-费用")</f>
        <v/>
      </c>
      <c r="D2678" s="107" t="str">
        <f aca="false">IF($E2678="","",INDEX(成本费用登记表!$E$4:$E$303,190))</f>
        <v/>
      </c>
      <c r="E2678" s="67" t="str">
        <f aca="false">IF(INDEX(成本费用登记表!$Q$4:$Y$303,190,4)=0,"",INDEX(成本费用登记表!$Q$4:$Y$303,190,4))</f>
        <v/>
      </c>
      <c r="F2678" s="99" t="str">
        <f aca="false">IF($E2678="","",IFERROR(INDEX(科目表!$A$4:$A$81,MATCH($E2678,科目表!$B$4:$B$81,0)),""))</f>
        <v/>
      </c>
      <c r="G2678" s="67" t="str">
        <f aca="false">IF($E2678="","",IFERROR(INDEX(科目表!$E$4:$E$81,MATCH($E2678,科目表!$B$4:$B$81,0)),""))</f>
        <v/>
      </c>
      <c r="H2678" s="70" t="str">
        <f aca="false">IF($E2678="","",N(INDEX(成本费用登记表!$Q$4:$Y$303,190,5)))</f>
        <v/>
      </c>
      <c r="I2678" s="70" t="str">
        <f aca="false">IF($E2678="","",N(INDEX(成本费用登记表!$Q$4:$Y$303,190,6)))</f>
        <v/>
      </c>
      <c r="J2678" s="67" t="str">
        <f aca="false">IF($E2678="","",INDEX(成本费用登记表!$C$4:$C$303,190))</f>
        <v/>
      </c>
      <c r="K2678" s="67" t="str">
        <f aca="false">IF($E2678="","",INDEX(成本费用登记表!$D$4:$D$303,190))</f>
        <v/>
      </c>
      <c r="L2678" s="107" t="str">
        <f aca="false">IF($E2678="","",INDEX(成本费用登记表!$N$4:$N$303,190))</f>
        <v/>
      </c>
      <c r="M2678" s="107"/>
      <c r="N2678" s="67" t="str">
        <f aca="false">IF($E2678="","","系统")</f>
        <v/>
      </c>
      <c r="O2678" s="67" t="str">
        <f aca="false">IF($E2678="","","自动C")</f>
        <v/>
      </c>
      <c r="P2678" s="18"/>
    </row>
    <row r="2679" customFormat="false" ht="18" hidden="false" customHeight="true" outlineLevel="0" collapsed="false">
      <c r="A2679" s="107" t="str">
        <f aca="false">IF($E2679="","",ROW()-3)</f>
        <v/>
      </c>
      <c r="B2679" s="110" t="str">
        <f aca="false">IF($E2679="","",INDEX(成本费用登记表!$B$4:$B$303,190))</f>
        <v/>
      </c>
      <c r="C2679" s="67" t="str">
        <f aca="false">IF($E2679="","","记-"&amp;TEXT($B2679,"YYYYMM")&amp;"-费用")</f>
        <v/>
      </c>
      <c r="D2679" s="107" t="str">
        <f aca="false">IF($E2679="","",INDEX(成本费用登记表!$E$4:$E$303,190))</f>
        <v/>
      </c>
      <c r="E2679" s="67" t="str">
        <f aca="false">IF(INDEX(成本费用登记表!$Q$4:$Y$303,190,7)=0,"",INDEX(成本费用登记表!$Q$4:$Y$303,190,7))</f>
        <v/>
      </c>
      <c r="F2679" s="99" t="str">
        <f aca="false">IF($E2679="","",IFERROR(INDEX(科目表!$A$4:$A$81,MATCH($E2679,科目表!$B$4:$B$81,0)),""))</f>
        <v/>
      </c>
      <c r="G2679" s="67" t="str">
        <f aca="false">IF($E2679="","",IFERROR(INDEX(科目表!$E$4:$E$81,MATCH($E2679,科目表!$B$4:$B$81,0)),""))</f>
        <v/>
      </c>
      <c r="H2679" s="70" t="str">
        <f aca="false">IF($E2679="","",N(INDEX(成本费用登记表!$Q$4:$Y$303,190,8)))</f>
        <v/>
      </c>
      <c r="I2679" s="70" t="str">
        <f aca="false">IF($E2679="","",N(INDEX(成本费用登记表!$Q$4:$Y$303,190,9)))</f>
        <v/>
      </c>
      <c r="J2679" s="67" t="str">
        <f aca="false">IF($E2679="","",INDEX(成本费用登记表!$C$4:$C$303,190))</f>
        <v/>
      </c>
      <c r="K2679" s="67" t="str">
        <f aca="false">IF($E2679="","",INDEX(成本费用登记表!$D$4:$D$303,190))</f>
        <v/>
      </c>
      <c r="L2679" s="107" t="str">
        <f aca="false">IF($E2679="","",INDEX(成本费用登记表!$N$4:$N$303,190))</f>
        <v/>
      </c>
      <c r="M2679" s="107"/>
      <c r="N2679" s="67" t="str">
        <f aca="false">IF($E2679="","","系统")</f>
        <v/>
      </c>
      <c r="O2679" s="67" t="str">
        <f aca="false">IF($E2679="","","自动C")</f>
        <v/>
      </c>
      <c r="P2679" s="18"/>
    </row>
    <row r="2680" customFormat="false" ht="18" hidden="false" customHeight="true" outlineLevel="0" collapsed="false">
      <c r="A2680" s="107" t="str">
        <f aca="false">IF($E2680="","",ROW()-3)</f>
        <v/>
      </c>
      <c r="B2680" s="110" t="str">
        <f aca="false">IF($E2680="","",INDEX(成本费用登记表!$B$4:$B$303,191))</f>
        <v/>
      </c>
      <c r="C2680" s="67" t="str">
        <f aca="false">IF($E2680="","","记-"&amp;TEXT($B2680,"YYYYMM")&amp;"-费用")</f>
        <v/>
      </c>
      <c r="D2680" s="107" t="str">
        <f aca="false">IF($E2680="","",INDEX(成本费用登记表!$E$4:$E$303,191))</f>
        <v/>
      </c>
      <c r="E2680" s="67" t="str">
        <f aca="false">IF(INDEX(成本费用登记表!$Q$4:$Y$303,191,1)=0,"",INDEX(成本费用登记表!$Q$4:$Y$303,191,1))</f>
        <v/>
      </c>
      <c r="F2680" s="99" t="str">
        <f aca="false">IF($E2680="","",IFERROR(INDEX(科目表!$A$4:$A$81,MATCH($E2680,科目表!$B$4:$B$81,0)),""))</f>
        <v/>
      </c>
      <c r="G2680" s="67" t="str">
        <f aca="false">IF($E2680="","",IFERROR(INDEX(科目表!$E$4:$E$81,MATCH($E2680,科目表!$B$4:$B$81,0)),""))</f>
        <v/>
      </c>
      <c r="H2680" s="70" t="str">
        <f aca="false">IF($E2680="","",N(INDEX(成本费用登记表!$Q$4:$Y$303,191,2)))</f>
        <v/>
      </c>
      <c r="I2680" s="70" t="str">
        <f aca="false">IF($E2680="","",N(INDEX(成本费用登记表!$Q$4:$Y$303,191,3)))</f>
        <v/>
      </c>
      <c r="J2680" s="67" t="str">
        <f aca="false">IF($E2680="","",INDEX(成本费用登记表!$C$4:$C$303,191))</f>
        <v/>
      </c>
      <c r="K2680" s="67" t="str">
        <f aca="false">IF($E2680="","",INDEX(成本费用登记表!$D$4:$D$303,191))</f>
        <v/>
      </c>
      <c r="L2680" s="107" t="str">
        <f aca="false">IF($E2680="","",INDEX(成本费用登记表!$N$4:$N$303,191))</f>
        <v/>
      </c>
      <c r="M2680" s="107"/>
      <c r="N2680" s="67" t="str">
        <f aca="false">IF($E2680="","","系统")</f>
        <v/>
      </c>
      <c r="O2680" s="67" t="str">
        <f aca="false">IF($E2680="","","自动C")</f>
        <v/>
      </c>
      <c r="P2680" s="18"/>
    </row>
    <row r="2681" customFormat="false" ht="18" hidden="false" customHeight="true" outlineLevel="0" collapsed="false">
      <c r="A2681" s="107" t="str">
        <f aca="false">IF($E2681="","",ROW()-3)</f>
        <v/>
      </c>
      <c r="B2681" s="110" t="str">
        <f aca="false">IF($E2681="","",INDEX(成本费用登记表!$B$4:$B$303,191))</f>
        <v/>
      </c>
      <c r="C2681" s="67" t="str">
        <f aca="false">IF($E2681="","","记-"&amp;TEXT($B2681,"YYYYMM")&amp;"-费用")</f>
        <v/>
      </c>
      <c r="D2681" s="107" t="str">
        <f aca="false">IF($E2681="","",INDEX(成本费用登记表!$E$4:$E$303,191))</f>
        <v/>
      </c>
      <c r="E2681" s="67" t="str">
        <f aca="false">IF(INDEX(成本费用登记表!$Q$4:$Y$303,191,4)=0,"",INDEX(成本费用登记表!$Q$4:$Y$303,191,4))</f>
        <v/>
      </c>
      <c r="F2681" s="99" t="str">
        <f aca="false">IF($E2681="","",IFERROR(INDEX(科目表!$A$4:$A$81,MATCH($E2681,科目表!$B$4:$B$81,0)),""))</f>
        <v/>
      </c>
      <c r="G2681" s="67" t="str">
        <f aca="false">IF($E2681="","",IFERROR(INDEX(科目表!$E$4:$E$81,MATCH($E2681,科目表!$B$4:$B$81,0)),""))</f>
        <v/>
      </c>
      <c r="H2681" s="70" t="str">
        <f aca="false">IF($E2681="","",N(INDEX(成本费用登记表!$Q$4:$Y$303,191,5)))</f>
        <v/>
      </c>
      <c r="I2681" s="70" t="str">
        <f aca="false">IF($E2681="","",N(INDEX(成本费用登记表!$Q$4:$Y$303,191,6)))</f>
        <v/>
      </c>
      <c r="J2681" s="67" t="str">
        <f aca="false">IF($E2681="","",INDEX(成本费用登记表!$C$4:$C$303,191))</f>
        <v/>
      </c>
      <c r="K2681" s="67" t="str">
        <f aca="false">IF($E2681="","",INDEX(成本费用登记表!$D$4:$D$303,191))</f>
        <v/>
      </c>
      <c r="L2681" s="107" t="str">
        <f aca="false">IF($E2681="","",INDEX(成本费用登记表!$N$4:$N$303,191))</f>
        <v/>
      </c>
      <c r="M2681" s="107"/>
      <c r="N2681" s="67" t="str">
        <f aca="false">IF($E2681="","","系统")</f>
        <v/>
      </c>
      <c r="O2681" s="67" t="str">
        <f aca="false">IF($E2681="","","自动C")</f>
        <v/>
      </c>
      <c r="P2681" s="18"/>
    </row>
    <row r="2682" customFormat="false" ht="18" hidden="false" customHeight="true" outlineLevel="0" collapsed="false">
      <c r="A2682" s="107" t="str">
        <f aca="false">IF($E2682="","",ROW()-3)</f>
        <v/>
      </c>
      <c r="B2682" s="110" t="str">
        <f aca="false">IF($E2682="","",INDEX(成本费用登记表!$B$4:$B$303,191))</f>
        <v/>
      </c>
      <c r="C2682" s="67" t="str">
        <f aca="false">IF($E2682="","","记-"&amp;TEXT($B2682,"YYYYMM")&amp;"-费用")</f>
        <v/>
      </c>
      <c r="D2682" s="107" t="str">
        <f aca="false">IF($E2682="","",INDEX(成本费用登记表!$E$4:$E$303,191))</f>
        <v/>
      </c>
      <c r="E2682" s="67" t="str">
        <f aca="false">IF(INDEX(成本费用登记表!$Q$4:$Y$303,191,7)=0,"",INDEX(成本费用登记表!$Q$4:$Y$303,191,7))</f>
        <v/>
      </c>
      <c r="F2682" s="99" t="str">
        <f aca="false">IF($E2682="","",IFERROR(INDEX(科目表!$A$4:$A$81,MATCH($E2682,科目表!$B$4:$B$81,0)),""))</f>
        <v/>
      </c>
      <c r="G2682" s="67" t="str">
        <f aca="false">IF($E2682="","",IFERROR(INDEX(科目表!$E$4:$E$81,MATCH($E2682,科目表!$B$4:$B$81,0)),""))</f>
        <v/>
      </c>
      <c r="H2682" s="70" t="str">
        <f aca="false">IF($E2682="","",N(INDEX(成本费用登记表!$Q$4:$Y$303,191,8)))</f>
        <v/>
      </c>
      <c r="I2682" s="70" t="str">
        <f aca="false">IF($E2682="","",N(INDEX(成本费用登记表!$Q$4:$Y$303,191,9)))</f>
        <v/>
      </c>
      <c r="J2682" s="67" t="str">
        <f aca="false">IF($E2682="","",INDEX(成本费用登记表!$C$4:$C$303,191))</f>
        <v/>
      </c>
      <c r="K2682" s="67" t="str">
        <f aca="false">IF($E2682="","",INDEX(成本费用登记表!$D$4:$D$303,191))</f>
        <v/>
      </c>
      <c r="L2682" s="107" t="str">
        <f aca="false">IF($E2682="","",INDEX(成本费用登记表!$N$4:$N$303,191))</f>
        <v/>
      </c>
      <c r="M2682" s="107"/>
      <c r="N2682" s="67" t="str">
        <f aca="false">IF($E2682="","","系统")</f>
        <v/>
      </c>
      <c r="O2682" s="67" t="str">
        <f aca="false">IF($E2682="","","自动C")</f>
        <v/>
      </c>
      <c r="P2682" s="18"/>
    </row>
    <row r="2683" customFormat="false" ht="18" hidden="false" customHeight="true" outlineLevel="0" collapsed="false">
      <c r="A2683" s="107" t="str">
        <f aca="false">IF($E2683="","",ROW()-3)</f>
        <v/>
      </c>
      <c r="B2683" s="110" t="str">
        <f aca="false">IF($E2683="","",INDEX(成本费用登记表!$B$4:$B$303,192))</f>
        <v/>
      </c>
      <c r="C2683" s="67" t="str">
        <f aca="false">IF($E2683="","","记-"&amp;TEXT($B2683,"YYYYMM")&amp;"-费用")</f>
        <v/>
      </c>
      <c r="D2683" s="107" t="str">
        <f aca="false">IF($E2683="","",INDEX(成本费用登记表!$E$4:$E$303,192))</f>
        <v/>
      </c>
      <c r="E2683" s="67" t="str">
        <f aca="false">IF(INDEX(成本费用登记表!$Q$4:$Y$303,192,1)=0,"",INDEX(成本费用登记表!$Q$4:$Y$303,192,1))</f>
        <v/>
      </c>
      <c r="F2683" s="99" t="str">
        <f aca="false">IF($E2683="","",IFERROR(INDEX(科目表!$A$4:$A$81,MATCH($E2683,科目表!$B$4:$B$81,0)),""))</f>
        <v/>
      </c>
      <c r="G2683" s="67" t="str">
        <f aca="false">IF($E2683="","",IFERROR(INDEX(科目表!$E$4:$E$81,MATCH($E2683,科目表!$B$4:$B$81,0)),""))</f>
        <v/>
      </c>
      <c r="H2683" s="70" t="str">
        <f aca="false">IF($E2683="","",N(INDEX(成本费用登记表!$Q$4:$Y$303,192,2)))</f>
        <v/>
      </c>
      <c r="I2683" s="70" t="str">
        <f aca="false">IF($E2683="","",N(INDEX(成本费用登记表!$Q$4:$Y$303,192,3)))</f>
        <v/>
      </c>
      <c r="J2683" s="67" t="str">
        <f aca="false">IF($E2683="","",INDEX(成本费用登记表!$C$4:$C$303,192))</f>
        <v/>
      </c>
      <c r="K2683" s="67" t="str">
        <f aca="false">IF($E2683="","",INDEX(成本费用登记表!$D$4:$D$303,192))</f>
        <v/>
      </c>
      <c r="L2683" s="107" t="str">
        <f aca="false">IF($E2683="","",INDEX(成本费用登记表!$N$4:$N$303,192))</f>
        <v/>
      </c>
      <c r="M2683" s="107"/>
      <c r="N2683" s="67" t="str">
        <f aca="false">IF($E2683="","","系统")</f>
        <v/>
      </c>
      <c r="O2683" s="67" t="str">
        <f aca="false">IF($E2683="","","自动C")</f>
        <v/>
      </c>
      <c r="P2683" s="18"/>
    </row>
    <row r="2684" customFormat="false" ht="18" hidden="false" customHeight="true" outlineLevel="0" collapsed="false">
      <c r="A2684" s="107" t="str">
        <f aca="false">IF($E2684="","",ROW()-3)</f>
        <v/>
      </c>
      <c r="B2684" s="110" t="str">
        <f aca="false">IF($E2684="","",INDEX(成本费用登记表!$B$4:$B$303,192))</f>
        <v/>
      </c>
      <c r="C2684" s="67" t="str">
        <f aca="false">IF($E2684="","","记-"&amp;TEXT($B2684,"YYYYMM")&amp;"-费用")</f>
        <v/>
      </c>
      <c r="D2684" s="107" t="str">
        <f aca="false">IF($E2684="","",INDEX(成本费用登记表!$E$4:$E$303,192))</f>
        <v/>
      </c>
      <c r="E2684" s="67" t="str">
        <f aca="false">IF(INDEX(成本费用登记表!$Q$4:$Y$303,192,4)=0,"",INDEX(成本费用登记表!$Q$4:$Y$303,192,4))</f>
        <v/>
      </c>
      <c r="F2684" s="99" t="str">
        <f aca="false">IF($E2684="","",IFERROR(INDEX(科目表!$A$4:$A$81,MATCH($E2684,科目表!$B$4:$B$81,0)),""))</f>
        <v/>
      </c>
      <c r="G2684" s="67" t="str">
        <f aca="false">IF($E2684="","",IFERROR(INDEX(科目表!$E$4:$E$81,MATCH($E2684,科目表!$B$4:$B$81,0)),""))</f>
        <v/>
      </c>
      <c r="H2684" s="70" t="str">
        <f aca="false">IF($E2684="","",N(INDEX(成本费用登记表!$Q$4:$Y$303,192,5)))</f>
        <v/>
      </c>
      <c r="I2684" s="70" t="str">
        <f aca="false">IF($E2684="","",N(INDEX(成本费用登记表!$Q$4:$Y$303,192,6)))</f>
        <v/>
      </c>
      <c r="J2684" s="67" t="str">
        <f aca="false">IF($E2684="","",INDEX(成本费用登记表!$C$4:$C$303,192))</f>
        <v/>
      </c>
      <c r="K2684" s="67" t="str">
        <f aca="false">IF($E2684="","",INDEX(成本费用登记表!$D$4:$D$303,192))</f>
        <v/>
      </c>
      <c r="L2684" s="107" t="str">
        <f aca="false">IF($E2684="","",INDEX(成本费用登记表!$N$4:$N$303,192))</f>
        <v/>
      </c>
      <c r="M2684" s="107"/>
      <c r="N2684" s="67" t="str">
        <f aca="false">IF($E2684="","","系统")</f>
        <v/>
      </c>
      <c r="O2684" s="67" t="str">
        <f aca="false">IF($E2684="","","自动C")</f>
        <v/>
      </c>
      <c r="P2684" s="18"/>
    </row>
    <row r="2685" customFormat="false" ht="18" hidden="false" customHeight="true" outlineLevel="0" collapsed="false">
      <c r="A2685" s="107" t="str">
        <f aca="false">IF($E2685="","",ROW()-3)</f>
        <v/>
      </c>
      <c r="B2685" s="110" t="str">
        <f aca="false">IF($E2685="","",INDEX(成本费用登记表!$B$4:$B$303,192))</f>
        <v/>
      </c>
      <c r="C2685" s="67" t="str">
        <f aca="false">IF($E2685="","","记-"&amp;TEXT($B2685,"YYYYMM")&amp;"-费用")</f>
        <v/>
      </c>
      <c r="D2685" s="107" t="str">
        <f aca="false">IF($E2685="","",INDEX(成本费用登记表!$E$4:$E$303,192))</f>
        <v/>
      </c>
      <c r="E2685" s="67" t="str">
        <f aca="false">IF(INDEX(成本费用登记表!$Q$4:$Y$303,192,7)=0,"",INDEX(成本费用登记表!$Q$4:$Y$303,192,7))</f>
        <v/>
      </c>
      <c r="F2685" s="99" t="str">
        <f aca="false">IF($E2685="","",IFERROR(INDEX(科目表!$A$4:$A$81,MATCH($E2685,科目表!$B$4:$B$81,0)),""))</f>
        <v/>
      </c>
      <c r="G2685" s="67" t="str">
        <f aca="false">IF($E2685="","",IFERROR(INDEX(科目表!$E$4:$E$81,MATCH($E2685,科目表!$B$4:$B$81,0)),""))</f>
        <v/>
      </c>
      <c r="H2685" s="70" t="str">
        <f aca="false">IF($E2685="","",N(INDEX(成本费用登记表!$Q$4:$Y$303,192,8)))</f>
        <v/>
      </c>
      <c r="I2685" s="70" t="str">
        <f aca="false">IF($E2685="","",N(INDEX(成本费用登记表!$Q$4:$Y$303,192,9)))</f>
        <v/>
      </c>
      <c r="J2685" s="67" t="str">
        <f aca="false">IF($E2685="","",INDEX(成本费用登记表!$C$4:$C$303,192))</f>
        <v/>
      </c>
      <c r="K2685" s="67" t="str">
        <f aca="false">IF($E2685="","",INDEX(成本费用登记表!$D$4:$D$303,192))</f>
        <v/>
      </c>
      <c r="L2685" s="107" t="str">
        <f aca="false">IF($E2685="","",INDEX(成本费用登记表!$N$4:$N$303,192))</f>
        <v/>
      </c>
      <c r="M2685" s="107"/>
      <c r="N2685" s="67" t="str">
        <f aca="false">IF($E2685="","","系统")</f>
        <v/>
      </c>
      <c r="O2685" s="67" t="str">
        <f aca="false">IF($E2685="","","自动C")</f>
        <v/>
      </c>
      <c r="P2685" s="18"/>
    </row>
    <row r="2686" customFormat="false" ht="18" hidden="false" customHeight="true" outlineLevel="0" collapsed="false">
      <c r="A2686" s="107" t="str">
        <f aca="false">IF($E2686="","",ROW()-3)</f>
        <v/>
      </c>
      <c r="B2686" s="110" t="str">
        <f aca="false">IF($E2686="","",INDEX(成本费用登记表!$B$4:$B$303,193))</f>
        <v/>
      </c>
      <c r="C2686" s="67" t="str">
        <f aca="false">IF($E2686="","","记-"&amp;TEXT($B2686,"YYYYMM")&amp;"-费用")</f>
        <v/>
      </c>
      <c r="D2686" s="107" t="str">
        <f aca="false">IF($E2686="","",INDEX(成本费用登记表!$E$4:$E$303,193))</f>
        <v/>
      </c>
      <c r="E2686" s="67" t="str">
        <f aca="false">IF(INDEX(成本费用登记表!$Q$4:$Y$303,193,1)=0,"",INDEX(成本费用登记表!$Q$4:$Y$303,193,1))</f>
        <v/>
      </c>
      <c r="F2686" s="99" t="str">
        <f aca="false">IF($E2686="","",IFERROR(INDEX(科目表!$A$4:$A$81,MATCH($E2686,科目表!$B$4:$B$81,0)),""))</f>
        <v/>
      </c>
      <c r="G2686" s="67" t="str">
        <f aca="false">IF($E2686="","",IFERROR(INDEX(科目表!$E$4:$E$81,MATCH($E2686,科目表!$B$4:$B$81,0)),""))</f>
        <v/>
      </c>
      <c r="H2686" s="70" t="str">
        <f aca="false">IF($E2686="","",N(INDEX(成本费用登记表!$Q$4:$Y$303,193,2)))</f>
        <v/>
      </c>
      <c r="I2686" s="70" t="str">
        <f aca="false">IF($E2686="","",N(INDEX(成本费用登记表!$Q$4:$Y$303,193,3)))</f>
        <v/>
      </c>
      <c r="J2686" s="67" t="str">
        <f aca="false">IF($E2686="","",INDEX(成本费用登记表!$C$4:$C$303,193))</f>
        <v/>
      </c>
      <c r="K2686" s="67" t="str">
        <f aca="false">IF($E2686="","",INDEX(成本费用登记表!$D$4:$D$303,193))</f>
        <v/>
      </c>
      <c r="L2686" s="107" t="str">
        <f aca="false">IF($E2686="","",INDEX(成本费用登记表!$N$4:$N$303,193))</f>
        <v/>
      </c>
      <c r="M2686" s="107"/>
      <c r="N2686" s="67" t="str">
        <f aca="false">IF($E2686="","","系统")</f>
        <v/>
      </c>
      <c r="O2686" s="67" t="str">
        <f aca="false">IF($E2686="","","自动C")</f>
        <v/>
      </c>
      <c r="P2686" s="18"/>
    </row>
    <row r="2687" customFormat="false" ht="18" hidden="false" customHeight="true" outlineLevel="0" collapsed="false">
      <c r="A2687" s="107" t="str">
        <f aca="false">IF($E2687="","",ROW()-3)</f>
        <v/>
      </c>
      <c r="B2687" s="110" t="str">
        <f aca="false">IF($E2687="","",INDEX(成本费用登记表!$B$4:$B$303,193))</f>
        <v/>
      </c>
      <c r="C2687" s="67" t="str">
        <f aca="false">IF($E2687="","","记-"&amp;TEXT($B2687,"YYYYMM")&amp;"-费用")</f>
        <v/>
      </c>
      <c r="D2687" s="107" t="str">
        <f aca="false">IF($E2687="","",INDEX(成本费用登记表!$E$4:$E$303,193))</f>
        <v/>
      </c>
      <c r="E2687" s="67" t="str">
        <f aca="false">IF(INDEX(成本费用登记表!$Q$4:$Y$303,193,4)=0,"",INDEX(成本费用登记表!$Q$4:$Y$303,193,4))</f>
        <v/>
      </c>
      <c r="F2687" s="99" t="str">
        <f aca="false">IF($E2687="","",IFERROR(INDEX(科目表!$A$4:$A$81,MATCH($E2687,科目表!$B$4:$B$81,0)),""))</f>
        <v/>
      </c>
      <c r="G2687" s="67" t="str">
        <f aca="false">IF($E2687="","",IFERROR(INDEX(科目表!$E$4:$E$81,MATCH($E2687,科目表!$B$4:$B$81,0)),""))</f>
        <v/>
      </c>
      <c r="H2687" s="70" t="str">
        <f aca="false">IF($E2687="","",N(INDEX(成本费用登记表!$Q$4:$Y$303,193,5)))</f>
        <v/>
      </c>
      <c r="I2687" s="70" t="str">
        <f aca="false">IF($E2687="","",N(INDEX(成本费用登记表!$Q$4:$Y$303,193,6)))</f>
        <v/>
      </c>
      <c r="J2687" s="67" t="str">
        <f aca="false">IF($E2687="","",INDEX(成本费用登记表!$C$4:$C$303,193))</f>
        <v/>
      </c>
      <c r="K2687" s="67" t="str">
        <f aca="false">IF($E2687="","",INDEX(成本费用登记表!$D$4:$D$303,193))</f>
        <v/>
      </c>
      <c r="L2687" s="107" t="str">
        <f aca="false">IF($E2687="","",INDEX(成本费用登记表!$N$4:$N$303,193))</f>
        <v/>
      </c>
      <c r="M2687" s="107"/>
      <c r="N2687" s="67" t="str">
        <f aca="false">IF($E2687="","","系统")</f>
        <v/>
      </c>
      <c r="O2687" s="67" t="str">
        <f aca="false">IF($E2687="","","自动C")</f>
        <v/>
      </c>
      <c r="P2687" s="18"/>
    </row>
    <row r="2688" customFormat="false" ht="18" hidden="false" customHeight="true" outlineLevel="0" collapsed="false">
      <c r="A2688" s="107" t="str">
        <f aca="false">IF($E2688="","",ROW()-3)</f>
        <v/>
      </c>
      <c r="B2688" s="110" t="str">
        <f aca="false">IF($E2688="","",INDEX(成本费用登记表!$B$4:$B$303,193))</f>
        <v/>
      </c>
      <c r="C2688" s="67" t="str">
        <f aca="false">IF($E2688="","","记-"&amp;TEXT($B2688,"YYYYMM")&amp;"-费用")</f>
        <v/>
      </c>
      <c r="D2688" s="107" t="str">
        <f aca="false">IF($E2688="","",INDEX(成本费用登记表!$E$4:$E$303,193))</f>
        <v/>
      </c>
      <c r="E2688" s="67" t="str">
        <f aca="false">IF(INDEX(成本费用登记表!$Q$4:$Y$303,193,7)=0,"",INDEX(成本费用登记表!$Q$4:$Y$303,193,7))</f>
        <v/>
      </c>
      <c r="F2688" s="99" t="str">
        <f aca="false">IF($E2688="","",IFERROR(INDEX(科目表!$A$4:$A$81,MATCH($E2688,科目表!$B$4:$B$81,0)),""))</f>
        <v/>
      </c>
      <c r="G2688" s="67" t="str">
        <f aca="false">IF($E2688="","",IFERROR(INDEX(科目表!$E$4:$E$81,MATCH($E2688,科目表!$B$4:$B$81,0)),""))</f>
        <v/>
      </c>
      <c r="H2688" s="70" t="str">
        <f aca="false">IF($E2688="","",N(INDEX(成本费用登记表!$Q$4:$Y$303,193,8)))</f>
        <v/>
      </c>
      <c r="I2688" s="70" t="str">
        <f aca="false">IF($E2688="","",N(INDEX(成本费用登记表!$Q$4:$Y$303,193,9)))</f>
        <v/>
      </c>
      <c r="J2688" s="67" t="str">
        <f aca="false">IF($E2688="","",INDEX(成本费用登记表!$C$4:$C$303,193))</f>
        <v/>
      </c>
      <c r="K2688" s="67" t="str">
        <f aca="false">IF($E2688="","",INDEX(成本费用登记表!$D$4:$D$303,193))</f>
        <v/>
      </c>
      <c r="L2688" s="107" t="str">
        <f aca="false">IF($E2688="","",INDEX(成本费用登记表!$N$4:$N$303,193))</f>
        <v/>
      </c>
      <c r="M2688" s="107"/>
      <c r="N2688" s="67" t="str">
        <f aca="false">IF($E2688="","","系统")</f>
        <v/>
      </c>
      <c r="O2688" s="67" t="str">
        <f aca="false">IF($E2688="","","自动C")</f>
        <v/>
      </c>
      <c r="P2688" s="18"/>
    </row>
    <row r="2689" customFormat="false" ht="18" hidden="false" customHeight="true" outlineLevel="0" collapsed="false">
      <c r="A2689" s="107" t="str">
        <f aca="false">IF($E2689="","",ROW()-3)</f>
        <v/>
      </c>
      <c r="B2689" s="110" t="str">
        <f aca="false">IF($E2689="","",INDEX(成本费用登记表!$B$4:$B$303,194))</f>
        <v/>
      </c>
      <c r="C2689" s="67" t="str">
        <f aca="false">IF($E2689="","","记-"&amp;TEXT($B2689,"YYYYMM")&amp;"-费用")</f>
        <v/>
      </c>
      <c r="D2689" s="107" t="str">
        <f aca="false">IF($E2689="","",INDEX(成本费用登记表!$E$4:$E$303,194))</f>
        <v/>
      </c>
      <c r="E2689" s="67" t="str">
        <f aca="false">IF(INDEX(成本费用登记表!$Q$4:$Y$303,194,1)=0,"",INDEX(成本费用登记表!$Q$4:$Y$303,194,1))</f>
        <v/>
      </c>
      <c r="F2689" s="99" t="str">
        <f aca="false">IF($E2689="","",IFERROR(INDEX(科目表!$A$4:$A$81,MATCH($E2689,科目表!$B$4:$B$81,0)),""))</f>
        <v/>
      </c>
      <c r="G2689" s="67" t="str">
        <f aca="false">IF($E2689="","",IFERROR(INDEX(科目表!$E$4:$E$81,MATCH($E2689,科目表!$B$4:$B$81,0)),""))</f>
        <v/>
      </c>
      <c r="H2689" s="70" t="str">
        <f aca="false">IF($E2689="","",N(INDEX(成本费用登记表!$Q$4:$Y$303,194,2)))</f>
        <v/>
      </c>
      <c r="I2689" s="70" t="str">
        <f aca="false">IF($E2689="","",N(INDEX(成本费用登记表!$Q$4:$Y$303,194,3)))</f>
        <v/>
      </c>
      <c r="J2689" s="67" t="str">
        <f aca="false">IF($E2689="","",INDEX(成本费用登记表!$C$4:$C$303,194))</f>
        <v/>
      </c>
      <c r="K2689" s="67" t="str">
        <f aca="false">IF($E2689="","",INDEX(成本费用登记表!$D$4:$D$303,194))</f>
        <v/>
      </c>
      <c r="L2689" s="107" t="str">
        <f aca="false">IF($E2689="","",INDEX(成本费用登记表!$N$4:$N$303,194))</f>
        <v/>
      </c>
      <c r="M2689" s="107"/>
      <c r="N2689" s="67" t="str">
        <f aca="false">IF($E2689="","","系统")</f>
        <v/>
      </c>
      <c r="O2689" s="67" t="str">
        <f aca="false">IF($E2689="","","自动C")</f>
        <v/>
      </c>
      <c r="P2689" s="18"/>
    </row>
    <row r="2690" customFormat="false" ht="18" hidden="false" customHeight="true" outlineLevel="0" collapsed="false">
      <c r="A2690" s="107" t="str">
        <f aca="false">IF($E2690="","",ROW()-3)</f>
        <v/>
      </c>
      <c r="B2690" s="110" t="str">
        <f aca="false">IF($E2690="","",INDEX(成本费用登记表!$B$4:$B$303,194))</f>
        <v/>
      </c>
      <c r="C2690" s="67" t="str">
        <f aca="false">IF($E2690="","","记-"&amp;TEXT($B2690,"YYYYMM")&amp;"-费用")</f>
        <v/>
      </c>
      <c r="D2690" s="107" t="str">
        <f aca="false">IF($E2690="","",INDEX(成本费用登记表!$E$4:$E$303,194))</f>
        <v/>
      </c>
      <c r="E2690" s="67" t="str">
        <f aca="false">IF(INDEX(成本费用登记表!$Q$4:$Y$303,194,4)=0,"",INDEX(成本费用登记表!$Q$4:$Y$303,194,4))</f>
        <v/>
      </c>
      <c r="F2690" s="99" t="str">
        <f aca="false">IF($E2690="","",IFERROR(INDEX(科目表!$A$4:$A$81,MATCH($E2690,科目表!$B$4:$B$81,0)),""))</f>
        <v/>
      </c>
      <c r="G2690" s="67" t="str">
        <f aca="false">IF($E2690="","",IFERROR(INDEX(科目表!$E$4:$E$81,MATCH($E2690,科目表!$B$4:$B$81,0)),""))</f>
        <v/>
      </c>
      <c r="H2690" s="70" t="str">
        <f aca="false">IF($E2690="","",N(INDEX(成本费用登记表!$Q$4:$Y$303,194,5)))</f>
        <v/>
      </c>
      <c r="I2690" s="70" t="str">
        <f aca="false">IF($E2690="","",N(INDEX(成本费用登记表!$Q$4:$Y$303,194,6)))</f>
        <v/>
      </c>
      <c r="J2690" s="67" t="str">
        <f aca="false">IF($E2690="","",INDEX(成本费用登记表!$C$4:$C$303,194))</f>
        <v/>
      </c>
      <c r="K2690" s="67" t="str">
        <f aca="false">IF($E2690="","",INDEX(成本费用登记表!$D$4:$D$303,194))</f>
        <v/>
      </c>
      <c r="L2690" s="107" t="str">
        <f aca="false">IF($E2690="","",INDEX(成本费用登记表!$N$4:$N$303,194))</f>
        <v/>
      </c>
      <c r="M2690" s="107"/>
      <c r="N2690" s="67" t="str">
        <f aca="false">IF($E2690="","","系统")</f>
        <v/>
      </c>
      <c r="O2690" s="67" t="str">
        <f aca="false">IF($E2690="","","自动C")</f>
        <v/>
      </c>
      <c r="P2690" s="18"/>
    </row>
    <row r="2691" customFormat="false" ht="18" hidden="false" customHeight="true" outlineLevel="0" collapsed="false">
      <c r="A2691" s="107" t="str">
        <f aca="false">IF($E2691="","",ROW()-3)</f>
        <v/>
      </c>
      <c r="B2691" s="110" t="str">
        <f aca="false">IF($E2691="","",INDEX(成本费用登记表!$B$4:$B$303,194))</f>
        <v/>
      </c>
      <c r="C2691" s="67" t="str">
        <f aca="false">IF($E2691="","","记-"&amp;TEXT($B2691,"YYYYMM")&amp;"-费用")</f>
        <v/>
      </c>
      <c r="D2691" s="107" t="str">
        <f aca="false">IF($E2691="","",INDEX(成本费用登记表!$E$4:$E$303,194))</f>
        <v/>
      </c>
      <c r="E2691" s="67" t="str">
        <f aca="false">IF(INDEX(成本费用登记表!$Q$4:$Y$303,194,7)=0,"",INDEX(成本费用登记表!$Q$4:$Y$303,194,7))</f>
        <v/>
      </c>
      <c r="F2691" s="99" t="str">
        <f aca="false">IF($E2691="","",IFERROR(INDEX(科目表!$A$4:$A$81,MATCH($E2691,科目表!$B$4:$B$81,0)),""))</f>
        <v/>
      </c>
      <c r="G2691" s="67" t="str">
        <f aca="false">IF($E2691="","",IFERROR(INDEX(科目表!$E$4:$E$81,MATCH($E2691,科目表!$B$4:$B$81,0)),""))</f>
        <v/>
      </c>
      <c r="H2691" s="70" t="str">
        <f aca="false">IF($E2691="","",N(INDEX(成本费用登记表!$Q$4:$Y$303,194,8)))</f>
        <v/>
      </c>
      <c r="I2691" s="70" t="str">
        <f aca="false">IF($E2691="","",N(INDEX(成本费用登记表!$Q$4:$Y$303,194,9)))</f>
        <v/>
      </c>
      <c r="J2691" s="67" t="str">
        <f aca="false">IF($E2691="","",INDEX(成本费用登记表!$C$4:$C$303,194))</f>
        <v/>
      </c>
      <c r="K2691" s="67" t="str">
        <f aca="false">IF($E2691="","",INDEX(成本费用登记表!$D$4:$D$303,194))</f>
        <v/>
      </c>
      <c r="L2691" s="107" t="str">
        <f aca="false">IF($E2691="","",INDEX(成本费用登记表!$N$4:$N$303,194))</f>
        <v/>
      </c>
      <c r="M2691" s="107"/>
      <c r="N2691" s="67" t="str">
        <f aca="false">IF($E2691="","","系统")</f>
        <v/>
      </c>
      <c r="O2691" s="67" t="str">
        <f aca="false">IF($E2691="","","自动C")</f>
        <v/>
      </c>
      <c r="P2691" s="18"/>
    </row>
    <row r="2692" customFormat="false" ht="18" hidden="false" customHeight="true" outlineLevel="0" collapsed="false">
      <c r="A2692" s="107" t="str">
        <f aca="false">IF($E2692="","",ROW()-3)</f>
        <v/>
      </c>
      <c r="B2692" s="110" t="str">
        <f aca="false">IF($E2692="","",INDEX(成本费用登记表!$B$4:$B$303,195))</f>
        <v/>
      </c>
      <c r="C2692" s="67" t="str">
        <f aca="false">IF($E2692="","","记-"&amp;TEXT($B2692,"YYYYMM")&amp;"-费用")</f>
        <v/>
      </c>
      <c r="D2692" s="107" t="str">
        <f aca="false">IF($E2692="","",INDEX(成本费用登记表!$E$4:$E$303,195))</f>
        <v/>
      </c>
      <c r="E2692" s="67" t="str">
        <f aca="false">IF(INDEX(成本费用登记表!$Q$4:$Y$303,195,1)=0,"",INDEX(成本费用登记表!$Q$4:$Y$303,195,1))</f>
        <v/>
      </c>
      <c r="F2692" s="99" t="str">
        <f aca="false">IF($E2692="","",IFERROR(INDEX(科目表!$A$4:$A$81,MATCH($E2692,科目表!$B$4:$B$81,0)),""))</f>
        <v/>
      </c>
      <c r="G2692" s="67" t="str">
        <f aca="false">IF($E2692="","",IFERROR(INDEX(科目表!$E$4:$E$81,MATCH($E2692,科目表!$B$4:$B$81,0)),""))</f>
        <v/>
      </c>
      <c r="H2692" s="70" t="str">
        <f aca="false">IF($E2692="","",N(INDEX(成本费用登记表!$Q$4:$Y$303,195,2)))</f>
        <v/>
      </c>
      <c r="I2692" s="70" t="str">
        <f aca="false">IF($E2692="","",N(INDEX(成本费用登记表!$Q$4:$Y$303,195,3)))</f>
        <v/>
      </c>
      <c r="J2692" s="67" t="str">
        <f aca="false">IF($E2692="","",INDEX(成本费用登记表!$C$4:$C$303,195))</f>
        <v/>
      </c>
      <c r="K2692" s="67" t="str">
        <f aca="false">IF($E2692="","",INDEX(成本费用登记表!$D$4:$D$303,195))</f>
        <v/>
      </c>
      <c r="L2692" s="107" t="str">
        <f aca="false">IF($E2692="","",INDEX(成本费用登记表!$N$4:$N$303,195))</f>
        <v/>
      </c>
      <c r="M2692" s="107"/>
      <c r="N2692" s="67" t="str">
        <f aca="false">IF($E2692="","","系统")</f>
        <v/>
      </c>
      <c r="O2692" s="67" t="str">
        <f aca="false">IF($E2692="","","自动C")</f>
        <v/>
      </c>
      <c r="P2692" s="18"/>
    </row>
    <row r="2693" customFormat="false" ht="18" hidden="false" customHeight="true" outlineLevel="0" collapsed="false">
      <c r="A2693" s="107" t="str">
        <f aca="false">IF($E2693="","",ROW()-3)</f>
        <v/>
      </c>
      <c r="B2693" s="110" t="str">
        <f aca="false">IF($E2693="","",INDEX(成本费用登记表!$B$4:$B$303,195))</f>
        <v/>
      </c>
      <c r="C2693" s="67" t="str">
        <f aca="false">IF($E2693="","","记-"&amp;TEXT($B2693,"YYYYMM")&amp;"-费用")</f>
        <v/>
      </c>
      <c r="D2693" s="107" t="str">
        <f aca="false">IF($E2693="","",INDEX(成本费用登记表!$E$4:$E$303,195))</f>
        <v/>
      </c>
      <c r="E2693" s="67" t="str">
        <f aca="false">IF(INDEX(成本费用登记表!$Q$4:$Y$303,195,4)=0,"",INDEX(成本费用登记表!$Q$4:$Y$303,195,4))</f>
        <v/>
      </c>
      <c r="F2693" s="99" t="str">
        <f aca="false">IF($E2693="","",IFERROR(INDEX(科目表!$A$4:$A$81,MATCH($E2693,科目表!$B$4:$B$81,0)),""))</f>
        <v/>
      </c>
      <c r="G2693" s="67" t="str">
        <f aca="false">IF($E2693="","",IFERROR(INDEX(科目表!$E$4:$E$81,MATCH($E2693,科目表!$B$4:$B$81,0)),""))</f>
        <v/>
      </c>
      <c r="H2693" s="70" t="str">
        <f aca="false">IF($E2693="","",N(INDEX(成本费用登记表!$Q$4:$Y$303,195,5)))</f>
        <v/>
      </c>
      <c r="I2693" s="70" t="str">
        <f aca="false">IF($E2693="","",N(INDEX(成本费用登记表!$Q$4:$Y$303,195,6)))</f>
        <v/>
      </c>
      <c r="J2693" s="67" t="str">
        <f aca="false">IF($E2693="","",INDEX(成本费用登记表!$C$4:$C$303,195))</f>
        <v/>
      </c>
      <c r="K2693" s="67" t="str">
        <f aca="false">IF($E2693="","",INDEX(成本费用登记表!$D$4:$D$303,195))</f>
        <v/>
      </c>
      <c r="L2693" s="107" t="str">
        <f aca="false">IF($E2693="","",INDEX(成本费用登记表!$N$4:$N$303,195))</f>
        <v/>
      </c>
      <c r="M2693" s="107"/>
      <c r="N2693" s="67" t="str">
        <f aca="false">IF($E2693="","","系统")</f>
        <v/>
      </c>
      <c r="O2693" s="67" t="str">
        <f aca="false">IF($E2693="","","自动C")</f>
        <v/>
      </c>
      <c r="P2693" s="18"/>
    </row>
    <row r="2694" customFormat="false" ht="18" hidden="false" customHeight="true" outlineLevel="0" collapsed="false">
      <c r="A2694" s="107" t="str">
        <f aca="false">IF($E2694="","",ROW()-3)</f>
        <v/>
      </c>
      <c r="B2694" s="110" t="str">
        <f aca="false">IF($E2694="","",INDEX(成本费用登记表!$B$4:$B$303,195))</f>
        <v/>
      </c>
      <c r="C2694" s="67" t="str">
        <f aca="false">IF($E2694="","","记-"&amp;TEXT($B2694,"YYYYMM")&amp;"-费用")</f>
        <v/>
      </c>
      <c r="D2694" s="107" t="str">
        <f aca="false">IF($E2694="","",INDEX(成本费用登记表!$E$4:$E$303,195))</f>
        <v/>
      </c>
      <c r="E2694" s="67" t="str">
        <f aca="false">IF(INDEX(成本费用登记表!$Q$4:$Y$303,195,7)=0,"",INDEX(成本费用登记表!$Q$4:$Y$303,195,7))</f>
        <v/>
      </c>
      <c r="F2694" s="99" t="str">
        <f aca="false">IF($E2694="","",IFERROR(INDEX(科目表!$A$4:$A$81,MATCH($E2694,科目表!$B$4:$B$81,0)),""))</f>
        <v/>
      </c>
      <c r="G2694" s="67" t="str">
        <f aca="false">IF($E2694="","",IFERROR(INDEX(科目表!$E$4:$E$81,MATCH($E2694,科目表!$B$4:$B$81,0)),""))</f>
        <v/>
      </c>
      <c r="H2694" s="70" t="str">
        <f aca="false">IF($E2694="","",N(INDEX(成本费用登记表!$Q$4:$Y$303,195,8)))</f>
        <v/>
      </c>
      <c r="I2694" s="70" t="str">
        <f aca="false">IF($E2694="","",N(INDEX(成本费用登记表!$Q$4:$Y$303,195,9)))</f>
        <v/>
      </c>
      <c r="J2694" s="67" t="str">
        <f aca="false">IF($E2694="","",INDEX(成本费用登记表!$C$4:$C$303,195))</f>
        <v/>
      </c>
      <c r="K2694" s="67" t="str">
        <f aca="false">IF($E2694="","",INDEX(成本费用登记表!$D$4:$D$303,195))</f>
        <v/>
      </c>
      <c r="L2694" s="107" t="str">
        <f aca="false">IF($E2694="","",INDEX(成本费用登记表!$N$4:$N$303,195))</f>
        <v/>
      </c>
      <c r="M2694" s="107"/>
      <c r="N2694" s="67" t="str">
        <f aca="false">IF($E2694="","","系统")</f>
        <v/>
      </c>
      <c r="O2694" s="67" t="str">
        <f aca="false">IF($E2694="","","自动C")</f>
        <v/>
      </c>
      <c r="P2694" s="18"/>
    </row>
    <row r="2695" customFormat="false" ht="18" hidden="false" customHeight="true" outlineLevel="0" collapsed="false">
      <c r="A2695" s="107" t="str">
        <f aca="false">IF($E2695="","",ROW()-3)</f>
        <v/>
      </c>
      <c r="B2695" s="110" t="str">
        <f aca="false">IF($E2695="","",INDEX(成本费用登记表!$B$4:$B$303,196))</f>
        <v/>
      </c>
      <c r="C2695" s="67" t="str">
        <f aca="false">IF($E2695="","","记-"&amp;TEXT($B2695,"YYYYMM")&amp;"-费用")</f>
        <v/>
      </c>
      <c r="D2695" s="107" t="str">
        <f aca="false">IF($E2695="","",INDEX(成本费用登记表!$E$4:$E$303,196))</f>
        <v/>
      </c>
      <c r="E2695" s="67" t="str">
        <f aca="false">IF(INDEX(成本费用登记表!$Q$4:$Y$303,196,1)=0,"",INDEX(成本费用登记表!$Q$4:$Y$303,196,1))</f>
        <v/>
      </c>
      <c r="F2695" s="99" t="str">
        <f aca="false">IF($E2695="","",IFERROR(INDEX(科目表!$A$4:$A$81,MATCH($E2695,科目表!$B$4:$B$81,0)),""))</f>
        <v/>
      </c>
      <c r="G2695" s="67" t="str">
        <f aca="false">IF($E2695="","",IFERROR(INDEX(科目表!$E$4:$E$81,MATCH($E2695,科目表!$B$4:$B$81,0)),""))</f>
        <v/>
      </c>
      <c r="H2695" s="70" t="str">
        <f aca="false">IF($E2695="","",N(INDEX(成本费用登记表!$Q$4:$Y$303,196,2)))</f>
        <v/>
      </c>
      <c r="I2695" s="70" t="str">
        <f aca="false">IF($E2695="","",N(INDEX(成本费用登记表!$Q$4:$Y$303,196,3)))</f>
        <v/>
      </c>
      <c r="J2695" s="67" t="str">
        <f aca="false">IF($E2695="","",INDEX(成本费用登记表!$C$4:$C$303,196))</f>
        <v/>
      </c>
      <c r="K2695" s="67" t="str">
        <f aca="false">IF($E2695="","",INDEX(成本费用登记表!$D$4:$D$303,196))</f>
        <v/>
      </c>
      <c r="L2695" s="107" t="str">
        <f aca="false">IF($E2695="","",INDEX(成本费用登记表!$N$4:$N$303,196))</f>
        <v/>
      </c>
      <c r="M2695" s="107"/>
      <c r="N2695" s="67" t="str">
        <f aca="false">IF($E2695="","","系统")</f>
        <v/>
      </c>
      <c r="O2695" s="67" t="str">
        <f aca="false">IF($E2695="","","自动C")</f>
        <v/>
      </c>
      <c r="P2695" s="18"/>
    </row>
    <row r="2696" customFormat="false" ht="18" hidden="false" customHeight="true" outlineLevel="0" collapsed="false">
      <c r="A2696" s="107" t="str">
        <f aca="false">IF($E2696="","",ROW()-3)</f>
        <v/>
      </c>
      <c r="B2696" s="110" t="str">
        <f aca="false">IF($E2696="","",INDEX(成本费用登记表!$B$4:$B$303,196))</f>
        <v/>
      </c>
      <c r="C2696" s="67" t="str">
        <f aca="false">IF($E2696="","","记-"&amp;TEXT($B2696,"YYYYMM")&amp;"-费用")</f>
        <v/>
      </c>
      <c r="D2696" s="107" t="str">
        <f aca="false">IF($E2696="","",INDEX(成本费用登记表!$E$4:$E$303,196))</f>
        <v/>
      </c>
      <c r="E2696" s="67" t="str">
        <f aca="false">IF(INDEX(成本费用登记表!$Q$4:$Y$303,196,4)=0,"",INDEX(成本费用登记表!$Q$4:$Y$303,196,4))</f>
        <v/>
      </c>
      <c r="F2696" s="99" t="str">
        <f aca="false">IF($E2696="","",IFERROR(INDEX(科目表!$A$4:$A$81,MATCH($E2696,科目表!$B$4:$B$81,0)),""))</f>
        <v/>
      </c>
      <c r="G2696" s="67" t="str">
        <f aca="false">IF($E2696="","",IFERROR(INDEX(科目表!$E$4:$E$81,MATCH($E2696,科目表!$B$4:$B$81,0)),""))</f>
        <v/>
      </c>
      <c r="H2696" s="70" t="str">
        <f aca="false">IF($E2696="","",N(INDEX(成本费用登记表!$Q$4:$Y$303,196,5)))</f>
        <v/>
      </c>
      <c r="I2696" s="70" t="str">
        <f aca="false">IF($E2696="","",N(INDEX(成本费用登记表!$Q$4:$Y$303,196,6)))</f>
        <v/>
      </c>
      <c r="J2696" s="67" t="str">
        <f aca="false">IF($E2696="","",INDEX(成本费用登记表!$C$4:$C$303,196))</f>
        <v/>
      </c>
      <c r="K2696" s="67" t="str">
        <f aca="false">IF($E2696="","",INDEX(成本费用登记表!$D$4:$D$303,196))</f>
        <v/>
      </c>
      <c r="L2696" s="107" t="str">
        <f aca="false">IF($E2696="","",INDEX(成本费用登记表!$N$4:$N$303,196))</f>
        <v/>
      </c>
      <c r="M2696" s="107"/>
      <c r="N2696" s="67" t="str">
        <f aca="false">IF($E2696="","","系统")</f>
        <v/>
      </c>
      <c r="O2696" s="67" t="str">
        <f aca="false">IF($E2696="","","自动C")</f>
        <v/>
      </c>
      <c r="P2696" s="18"/>
    </row>
    <row r="2697" customFormat="false" ht="18" hidden="false" customHeight="true" outlineLevel="0" collapsed="false">
      <c r="A2697" s="107" t="str">
        <f aca="false">IF($E2697="","",ROW()-3)</f>
        <v/>
      </c>
      <c r="B2697" s="110" t="str">
        <f aca="false">IF($E2697="","",INDEX(成本费用登记表!$B$4:$B$303,196))</f>
        <v/>
      </c>
      <c r="C2697" s="67" t="str">
        <f aca="false">IF($E2697="","","记-"&amp;TEXT($B2697,"YYYYMM")&amp;"-费用")</f>
        <v/>
      </c>
      <c r="D2697" s="107" t="str">
        <f aca="false">IF($E2697="","",INDEX(成本费用登记表!$E$4:$E$303,196))</f>
        <v/>
      </c>
      <c r="E2697" s="67" t="str">
        <f aca="false">IF(INDEX(成本费用登记表!$Q$4:$Y$303,196,7)=0,"",INDEX(成本费用登记表!$Q$4:$Y$303,196,7))</f>
        <v/>
      </c>
      <c r="F2697" s="99" t="str">
        <f aca="false">IF($E2697="","",IFERROR(INDEX(科目表!$A$4:$A$81,MATCH($E2697,科目表!$B$4:$B$81,0)),""))</f>
        <v/>
      </c>
      <c r="G2697" s="67" t="str">
        <f aca="false">IF($E2697="","",IFERROR(INDEX(科目表!$E$4:$E$81,MATCH($E2697,科目表!$B$4:$B$81,0)),""))</f>
        <v/>
      </c>
      <c r="H2697" s="70" t="str">
        <f aca="false">IF($E2697="","",N(INDEX(成本费用登记表!$Q$4:$Y$303,196,8)))</f>
        <v/>
      </c>
      <c r="I2697" s="70" t="str">
        <f aca="false">IF($E2697="","",N(INDEX(成本费用登记表!$Q$4:$Y$303,196,9)))</f>
        <v/>
      </c>
      <c r="J2697" s="67" t="str">
        <f aca="false">IF($E2697="","",INDEX(成本费用登记表!$C$4:$C$303,196))</f>
        <v/>
      </c>
      <c r="K2697" s="67" t="str">
        <f aca="false">IF($E2697="","",INDEX(成本费用登记表!$D$4:$D$303,196))</f>
        <v/>
      </c>
      <c r="L2697" s="107" t="str">
        <f aca="false">IF($E2697="","",INDEX(成本费用登记表!$N$4:$N$303,196))</f>
        <v/>
      </c>
      <c r="M2697" s="107"/>
      <c r="N2697" s="67" t="str">
        <f aca="false">IF($E2697="","","系统")</f>
        <v/>
      </c>
      <c r="O2697" s="67" t="str">
        <f aca="false">IF($E2697="","","自动C")</f>
        <v/>
      </c>
      <c r="P2697" s="18"/>
    </row>
    <row r="2698" customFormat="false" ht="18" hidden="false" customHeight="true" outlineLevel="0" collapsed="false">
      <c r="A2698" s="107" t="str">
        <f aca="false">IF($E2698="","",ROW()-3)</f>
        <v/>
      </c>
      <c r="B2698" s="110" t="str">
        <f aca="false">IF($E2698="","",INDEX(成本费用登记表!$B$4:$B$303,197))</f>
        <v/>
      </c>
      <c r="C2698" s="67" t="str">
        <f aca="false">IF($E2698="","","记-"&amp;TEXT($B2698,"YYYYMM")&amp;"-费用")</f>
        <v/>
      </c>
      <c r="D2698" s="107" t="str">
        <f aca="false">IF($E2698="","",INDEX(成本费用登记表!$E$4:$E$303,197))</f>
        <v/>
      </c>
      <c r="E2698" s="67" t="str">
        <f aca="false">IF(INDEX(成本费用登记表!$Q$4:$Y$303,197,1)=0,"",INDEX(成本费用登记表!$Q$4:$Y$303,197,1))</f>
        <v/>
      </c>
      <c r="F2698" s="99" t="str">
        <f aca="false">IF($E2698="","",IFERROR(INDEX(科目表!$A$4:$A$81,MATCH($E2698,科目表!$B$4:$B$81,0)),""))</f>
        <v/>
      </c>
      <c r="G2698" s="67" t="str">
        <f aca="false">IF($E2698="","",IFERROR(INDEX(科目表!$E$4:$E$81,MATCH($E2698,科目表!$B$4:$B$81,0)),""))</f>
        <v/>
      </c>
      <c r="H2698" s="70" t="str">
        <f aca="false">IF($E2698="","",N(INDEX(成本费用登记表!$Q$4:$Y$303,197,2)))</f>
        <v/>
      </c>
      <c r="I2698" s="70" t="str">
        <f aca="false">IF($E2698="","",N(INDEX(成本费用登记表!$Q$4:$Y$303,197,3)))</f>
        <v/>
      </c>
      <c r="J2698" s="67" t="str">
        <f aca="false">IF($E2698="","",INDEX(成本费用登记表!$C$4:$C$303,197))</f>
        <v/>
      </c>
      <c r="K2698" s="67" t="str">
        <f aca="false">IF($E2698="","",INDEX(成本费用登记表!$D$4:$D$303,197))</f>
        <v/>
      </c>
      <c r="L2698" s="107" t="str">
        <f aca="false">IF($E2698="","",INDEX(成本费用登记表!$N$4:$N$303,197))</f>
        <v/>
      </c>
      <c r="M2698" s="107"/>
      <c r="N2698" s="67" t="str">
        <f aca="false">IF($E2698="","","系统")</f>
        <v/>
      </c>
      <c r="O2698" s="67" t="str">
        <f aca="false">IF($E2698="","","自动C")</f>
        <v/>
      </c>
      <c r="P2698" s="18"/>
    </row>
    <row r="2699" customFormat="false" ht="18" hidden="false" customHeight="true" outlineLevel="0" collapsed="false">
      <c r="A2699" s="107" t="str">
        <f aca="false">IF($E2699="","",ROW()-3)</f>
        <v/>
      </c>
      <c r="B2699" s="110" t="str">
        <f aca="false">IF($E2699="","",INDEX(成本费用登记表!$B$4:$B$303,197))</f>
        <v/>
      </c>
      <c r="C2699" s="67" t="str">
        <f aca="false">IF($E2699="","","记-"&amp;TEXT($B2699,"YYYYMM")&amp;"-费用")</f>
        <v/>
      </c>
      <c r="D2699" s="107" t="str">
        <f aca="false">IF($E2699="","",INDEX(成本费用登记表!$E$4:$E$303,197))</f>
        <v/>
      </c>
      <c r="E2699" s="67" t="str">
        <f aca="false">IF(INDEX(成本费用登记表!$Q$4:$Y$303,197,4)=0,"",INDEX(成本费用登记表!$Q$4:$Y$303,197,4))</f>
        <v/>
      </c>
      <c r="F2699" s="99" t="str">
        <f aca="false">IF($E2699="","",IFERROR(INDEX(科目表!$A$4:$A$81,MATCH($E2699,科目表!$B$4:$B$81,0)),""))</f>
        <v/>
      </c>
      <c r="G2699" s="67" t="str">
        <f aca="false">IF($E2699="","",IFERROR(INDEX(科目表!$E$4:$E$81,MATCH($E2699,科目表!$B$4:$B$81,0)),""))</f>
        <v/>
      </c>
      <c r="H2699" s="70" t="str">
        <f aca="false">IF($E2699="","",N(INDEX(成本费用登记表!$Q$4:$Y$303,197,5)))</f>
        <v/>
      </c>
      <c r="I2699" s="70" t="str">
        <f aca="false">IF($E2699="","",N(INDEX(成本费用登记表!$Q$4:$Y$303,197,6)))</f>
        <v/>
      </c>
      <c r="J2699" s="67" t="str">
        <f aca="false">IF($E2699="","",INDEX(成本费用登记表!$C$4:$C$303,197))</f>
        <v/>
      </c>
      <c r="K2699" s="67" t="str">
        <f aca="false">IF($E2699="","",INDEX(成本费用登记表!$D$4:$D$303,197))</f>
        <v/>
      </c>
      <c r="L2699" s="107" t="str">
        <f aca="false">IF($E2699="","",INDEX(成本费用登记表!$N$4:$N$303,197))</f>
        <v/>
      </c>
      <c r="M2699" s="107"/>
      <c r="N2699" s="67" t="str">
        <f aca="false">IF($E2699="","","系统")</f>
        <v/>
      </c>
      <c r="O2699" s="67" t="str">
        <f aca="false">IF($E2699="","","自动C")</f>
        <v/>
      </c>
      <c r="P2699" s="18"/>
    </row>
    <row r="2700" customFormat="false" ht="18" hidden="false" customHeight="true" outlineLevel="0" collapsed="false">
      <c r="A2700" s="107" t="str">
        <f aca="false">IF($E2700="","",ROW()-3)</f>
        <v/>
      </c>
      <c r="B2700" s="110" t="str">
        <f aca="false">IF($E2700="","",INDEX(成本费用登记表!$B$4:$B$303,197))</f>
        <v/>
      </c>
      <c r="C2700" s="67" t="str">
        <f aca="false">IF($E2700="","","记-"&amp;TEXT($B2700,"YYYYMM")&amp;"-费用")</f>
        <v/>
      </c>
      <c r="D2700" s="107" t="str">
        <f aca="false">IF($E2700="","",INDEX(成本费用登记表!$E$4:$E$303,197))</f>
        <v/>
      </c>
      <c r="E2700" s="67" t="str">
        <f aca="false">IF(INDEX(成本费用登记表!$Q$4:$Y$303,197,7)=0,"",INDEX(成本费用登记表!$Q$4:$Y$303,197,7))</f>
        <v/>
      </c>
      <c r="F2700" s="99" t="str">
        <f aca="false">IF($E2700="","",IFERROR(INDEX(科目表!$A$4:$A$81,MATCH($E2700,科目表!$B$4:$B$81,0)),""))</f>
        <v/>
      </c>
      <c r="G2700" s="67" t="str">
        <f aca="false">IF($E2700="","",IFERROR(INDEX(科目表!$E$4:$E$81,MATCH($E2700,科目表!$B$4:$B$81,0)),""))</f>
        <v/>
      </c>
      <c r="H2700" s="70" t="str">
        <f aca="false">IF($E2700="","",N(INDEX(成本费用登记表!$Q$4:$Y$303,197,8)))</f>
        <v/>
      </c>
      <c r="I2700" s="70" t="str">
        <f aca="false">IF($E2700="","",N(INDEX(成本费用登记表!$Q$4:$Y$303,197,9)))</f>
        <v/>
      </c>
      <c r="J2700" s="67" t="str">
        <f aca="false">IF($E2700="","",INDEX(成本费用登记表!$C$4:$C$303,197))</f>
        <v/>
      </c>
      <c r="K2700" s="67" t="str">
        <f aca="false">IF($E2700="","",INDEX(成本费用登记表!$D$4:$D$303,197))</f>
        <v/>
      </c>
      <c r="L2700" s="107" t="str">
        <f aca="false">IF($E2700="","",INDEX(成本费用登记表!$N$4:$N$303,197))</f>
        <v/>
      </c>
      <c r="M2700" s="107"/>
      <c r="N2700" s="67" t="str">
        <f aca="false">IF($E2700="","","系统")</f>
        <v/>
      </c>
      <c r="O2700" s="67" t="str">
        <f aca="false">IF($E2700="","","自动C")</f>
        <v/>
      </c>
      <c r="P2700" s="18"/>
    </row>
    <row r="2701" customFormat="false" ht="18" hidden="false" customHeight="true" outlineLevel="0" collapsed="false">
      <c r="A2701" s="107" t="str">
        <f aca="false">IF($E2701="","",ROW()-3)</f>
        <v/>
      </c>
      <c r="B2701" s="110" t="str">
        <f aca="false">IF($E2701="","",INDEX(成本费用登记表!$B$4:$B$303,198))</f>
        <v/>
      </c>
      <c r="C2701" s="67" t="str">
        <f aca="false">IF($E2701="","","记-"&amp;TEXT($B2701,"YYYYMM")&amp;"-费用")</f>
        <v/>
      </c>
      <c r="D2701" s="107" t="str">
        <f aca="false">IF($E2701="","",INDEX(成本费用登记表!$E$4:$E$303,198))</f>
        <v/>
      </c>
      <c r="E2701" s="67" t="str">
        <f aca="false">IF(INDEX(成本费用登记表!$Q$4:$Y$303,198,1)=0,"",INDEX(成本费用登记表!$Q$4:$Y$303,198,1))</f>
        <v/>
      </c>
      <c r="F2701" s="99" t="str">
        <f aca="false">IF($E2701="","",IFERROR(INDEX(科目表!$A$4:$A$81,MATCH($E2701,科目表!$B$4:$B$81,0)),""))</f>
        <v/>
      </c>
      <c r="G2701" s="67" t="str">
        <f aca="false">IF($E2701="","",IFERROR(INDEX(科目表!$E$4:$E$81,MATCH($E2701,科目表!$B$4:$B$81,0)),""))</f>
        <v/>
      </c>
      <c r="H2701" s="70" t="str">
        <f aca="false">IF($E2701="","",N(INDEX(成本费用登记表!$Q$4:$Y$303,198,2)))</f>
        <v/>
      </c>
      <c r="I2701" s="70" t="str">
        <f aca="false">IF($E2701="","",N(INDEX(成本费用登记表!$Q$4:$Y$303,198,3)))</f>
        <v/>
      </c>
      <c r="J2701" s="67" t="str">
        <f aca="false">IF($E2701="","",INDEX(成本费用登记表!$C$4:$C$303,198))</f>
        <v/>
      </c>
      <c r="K2701" s="67" t="str">
        <f aca="false">IF($E2701="","",INDEX(成本费用登记表!$D$4:$D$303,198))</f>
        <v/>
      </c>
      <c r="L2701" s="107" t="str">
        <f aca="false">IF($E2701="","",INDEX(成本费用登记表!$N$4:$N$303,198))</f>
        <v/>
      </c>
      <c r="M2701" s="107"/>
      <c r="N2701" s="67" t="str">
        <f aca="false">IF($E2701="","","系统")</f>
        <v/>
      </c>
      <c r="O2701" s="67" t="str">
        <f aca="false">IF($E2701="","","自动C")</f>
        <v/>
      </c>
      <c r="P2701" s="18"/>
    </row>
    <row r="2702" customFormat="false" ht="18" hidden="false" customHeight="true" outlineLevel="0" collapsed="false">
      <c r="A2702" s="107" t="str">
        <f aca="false">IF($E2702="","",ROW()-3)</f>
        <v/>
      </c>
      <c r="B2702" s="110" t="str">
        <f aca="false">IF($E2702="","",INDEX(成本费用登记表!$B$4:$B$303,198))</f>
        <v/>
      </c>
      <c r="C2702" s="67" t="str">
        <f aca="false">IF($E2702="","","记-"&amp;TEXT($B2702,"YYYYMM")&amp;"-费用")</f>
        <v/>
      </c>
      <c r="D2702" s="107" t="str">
        <f aca="false">IF($E2702="","",INDEX(成本费用登记表!$E$4:$E$303,198))</f>
        <v/>
      </c>
      <c r="E2702" s="67" t="str">
        <f aca="false">IF(INDEX(成本费用登记表!$Q$4:$Y$303,198,4)=0,"",INDEX(成本费用登记表!$Q$4:$Y$303,198,4))</f>
        <v/>
      </c>
      <c r="F2702" s="99" t="str">
        <f aca="false">IF($E2702="","",IFERROR(INDEX(科目表!$A$4:$A$81,MATCH($E2702,科目表!$B$4:$B$81,0)),""))</f>
        <v/>
      </c>
      <c r="G2702" s="67" t="str">
        <f aca="false">IF($E2702="","",IFERROR(INDEX(科目表!$E$4:$E$81,MATCH($E2702,科目表!$B$4:$B$81,0)),""))</f>
        <v/>
      </c>
      <c r="H2702" s="70" t="str">
        <f aca="false">IF($E2702="","",N(INDEX(成本费用登记表!$Q$4:$Y$303,198,5)))</f>
        <v/>
      </c>
      <c r="I2702" s="70" t="str">
        <f aca="false">IF($E2702="","",N(INDEX(成本费用登记表!$Q$4:$Y$303,198,6)))</f>
        <v/>
      </c>
      <c r="J2702" s="67" t="str">
        <f aca="false">IF($E2702="","",INDEX(成本费用登记表!$C$4:$C$303,198))</f>
        <v/>
      </c>
      <c r="K2702" s="67" t="str">
        <f aca="false">IF($E2702="","",INDEX(成本费用登记表!$D$4:$D$303,198))</f>
        <v/>
      </c>
      <c r="L2702" s="107" t="str">
        <f aca="false">IF($E2702="","",INDEX(成本费用登记表!$N$4:$N$303,198))</f>
        <v/>
      </c>
      <c r="M2702" s="107"/>
      <c r="N2702" s="67" t="str">
        <f aca="false">IF($E2702="","","系统")</f>
        <v/>
      </c>
      <c r="O2702" s="67" t="str">
        <f aca="false">IF($E2702="","","自动C")</f>
        <v/>
      </c>
      <c r="P2702" s="18"/>
    </row>
    <row r="2703" customFormat="false" ht="18" hidden="false" customHeight="true" outlineLevel="0" collapsed="false">
      <c r="A2703" s="107" t="str">
        <f aca="false">IF($E2703="","",ROW()-3)</f>
        <v/>
      </c>
      <c r="B2703" s="110" t="str">
        <f aca="false">IF($E2703="","",INDEX(成本费用登记表!$B$4:$B$303,198))</f>
        <v/>
      </c>
      <c r="C2703" s="67" t="str">
        <f aca="false">IF($E2703="","","记-"&amp;TEXT($B2703,"YYYYMM")&amp;"-费用")</f>
        <v/>
      </c>
      <c r="D2703" s="107" t="str">
        <f aca="false">IF($E2703="","",INDEX(成本费用登记表!$E$4:$E$303,198))</f>
        <v/>
      </c>
      <c r="E2703" s="67" t="str">
        <f aca="false">IF(INDEX(成本费用登记表!$Q$4:$Y$303,198,7)=0,"",INDEX(成本费用登记表!$Q$4:$Y$303,198,7))</f>
        <v/>
      </c>
      <c r="F2703" s="99" t="str">
        <f aca="false">IF($E2703="","",IFERROR(INDEX(科目表!$A$4:$A$81,MATCH($E2703,科目表!$B$4:$B$81,0)),""))</f>
        <v/>
      </c>
      <c r="G2703" s="67" t="str">
        <f aca="false">IF($E2703="","",IFERROR(INDEX(科目表!$E$4:$E$81,MATCH($E2703,科目表!$B$4:$B$81,0)),""))</f>
        <v/>
      </c>
      <c r="H2703" s="70" t="str">
        <f aca="false">IF($E2703="","",N(INDEX(成本费用登记表!$Q$4:$Y$303,198,8)))</f>
        <v/>
      </c>
      <c r="I2703" s="70" t="str">
        <f aca="false">IF($E2703="","",N(INDEX(成本费用登记表!$Q$4:$Y$303,198,9)))</f>
        <v/>
      </c>
      <c r="J2703" s="67" t="str">
        <f aca="false">IF($E2703="","",INDEX(成本费用登记表!$C$4:$C$303,198))</f>
        <v/>
      </c>
      <c r="K2703" s="67" t="str">
        <f aca="false">IF($E2703="","",INDEX(成本费用登记表!$D$4:$D$303,198))</f>
        <v/>
      </c>
      <c r="L2703" s="107" t="str">
        <f aca="false">IF($E2703="","",INDEX(成本费用登记表!$N$4:$N$303,198))</f>
        <v/>
      </c>
      <c r="M2703" s="107"/>
      <c r="N2703" s="67" t="str">
        <f aca="false">IF($E2703="","","系统")</f>
        <v/>
      </c>
      <c r="O2703" s="67" t="str">
        <f aca="false">IF($E2703="","","自动C")</f>
        <v/>
      </c>
      <c r="P2703" s="18"/>
    </row>
    <row r="2704" customFormat="false" ht="18" hidden="false" customHeight="true" outlineLevel="0" collapsed="false">
      <c r="A2704" s="107" t="str">
        <f aca="false">IF($E2704="","",ROW()-3)</f>
        <v/>
      </c>
      <c r="B2704" s="110" t="str">
        <f aca="false">IF($E2704="","",INDEX(成本费用登记表!$B$4:$B$303,199))</f>
        <v/>
      </c>
      <c r="C2704" s="67" t="str">
        <f aca="false">IF($E2704="","","记-"&amp;TEXT($B2704,"YYYYMM")&amp;"-费用")</f>
        <v/>
      </c>
      <c r="D2704" s="107" t="str">
        <f aca="false">IF($E2704="","",INDEX(成本费用登记表!$E$4:$E$303,199))</f>
        <v/>
      </c>
      <c r="E2704" s="67" t="str">
        <f aca="false">IF(INDEX(成本费用登记表!$Q$4:$Y$303,199,1)=0,"",INDEX(成本费用登记表!$Q$4:$Y$303,199,1))</f>
        <v/>
      </c>
      <c r="F2704" s="99" t="str">
        <f aca="false">IF($E2704="","",IFERROR(INDEX(科目表!$A$4:$A$81,MATCH($E2704,科目表!$B$4:$B$81,0)),""))</f>
        <v/>
      </c>
      <c r="G2704" s="67" t="str">
        <f aca="false">IF($E2704="","",IFERROR(INDEX(科目表!$E$4:$E$81,MATCH($E2704,科目表!$B$4:$B$81,0)),""))</f>
        <v/>
      </c>
      <c r="H2704" s="70" t="str">
        <f aca="false">IF($E2704="","",N(INDEX(成本费用登记表!$Q$4:$Y$303,199,2)))</f>
        <v/>
      </c>
      <c r="I2704" s="70" t="str">
        <f aca="false">IF($E2704="","",N(INDEX(成本费用登记表!$Q$4:$Y$303,199,3)))</f>
        <v/>
      </c>
      <c r="J2704" s="67" t="str">
        <f aca="false">IF($E2704="","",INDEX(成本费用登记表!$C$4:$C$303,199))</f>
        <v/>
      </c>
      <c r="K2704" s="67" t="str">
        <f aca="false">IF($E2704="","",INDEX(成本费用登记表!$D$4:$D$303,199))</f>
        <v/>
      </c>
      <c r="L2704" s="107" t="str">
        <f aca="false">IF($E2704="","",INDEX(成本费用登记表!$N$4:$N$303,199))</f>
        <v/>
      </c>
      <c r="M2704" s="107"/>
      <c r="N2704" s="67" t="str">
        <f aca="false">IF($E2704="","","系统")</f>
        <v/>
      </c>
      <c r="O2704" s="67" t="str">
        <f aca="false">IF($E2704="","","自动C")</f>
        <v/>
      </c>
      <c r="P2704" s="18"/>
    </row>
    <row r="2705" customFormat="false" ht="18" hidden="false" customHeight="true" outlineLevel="0" collapsed="false">
      <c r="A2705" s="107" t="str">
        <f aca="false">IF($E2705="","",ROW()-3)</f>
        <v/>
      </c>
      <c r="B2705" s="110" t="str">
        <f aca="false">IF($E2705="","",INDEX(成本费用登记表!$B$4:$B$303,199))</f>
        <v/>
      </c>
      <c r="C2705" s="67" t="str">
        <f aca="false">IF($E2705="","","记-"&amp;TEXT($B2705,"YYYYMM")&amp;"-费用")</f>
        <v/>
      </c>
      <c r="D2705" s="107" t="str">
        <f aca="false">IF($E2705="","",INDEX(成本费用登记表!$E$4:$E$303,199))</f>
        <v/>
      </c>
      <c r="E2705" s="67" t="str">
        <f aca="false">IF(INDEX(成本费用登记表!$Q$4:$Y$303,199,4)=0,"",INDEX(成本费用登记表!$Q$4:$Y$303,199,4))</f>
        <v/>
      </c>
      <c r="F2705" s="99" t="str">
        <f aca="false">IF($E2705="","",IFERROR(INDEX(科目表!$A$4:$A$81,MATCH($E2705,科目表!$B$4:$B$81,0)),""))</f>
        <v/>
      </c>
      <c r="G2705" s="67" t="str">
        <f aca="false">IF($E2705="","",IFERROR(INDEX(科目表!$E$4:$E$81,MATCH($E2705,科目表!$B$4:$B$81,0)),""))</f>
        <v/>
      </c>
      <c r="H2705" s="70" t="str">
        <f aca="false">IF($E2705="","",N(INDEX(成本费用登记表!$Q$4:$Y$303,199,5)))</f>
        <v/>
      </c>
      <c r="I2705" s="70" t="str">
        <f aca="false">IF($E2705="","",N(INDEX(成本费用登记表!$Q$4:$Y$303,199,6)))</f>
        <v/>
      </c>
      <c r="J2705" s="67" t="str">
        <f aca="false">IF($E2705="","",INDEX(成本费用登记表!$C$4:$C$303,199))</f>
        <v/>
      </c>
      <c r="K2705" s="67" t="str">
        <f aca="false">IF($E2705="","",INDEX(成本费用登记表!$D$4:$D$303,199))</f>
        <v/>
      </c>
      <c r="L2705" s="107" t="str">
        <f aca="false">IF($E2705="","",INDEX(成本费用登记表!$N$4:$N$303,199))</f>
        <v/>
      </c>
      <c r="M2705" s="107"/>
      <c r="N2705" s="67" t="str">
        <f aca="false">IF($E2705="","","系统")</f>
        <v/>
      </c>
      <c r="O2705" s="67" t="str">
        <f aca="false">IF($E2705="","","自动C")</f>
        <v/>
      </c>
      <c r="P2705" s="18"/>
    </row>
    <row r="2706" customFormat="false" ht="18" hidden="false" customHeight="true" outlineLevel="0" collapsed="false">
      <c r="A2706" s="107" t="str">
        <f aca="false">IF($E2706="","",ROW()-3)</f>
        <v/>
      </c>
      <c r="B2706" s="110" t="str">
        <f aca="false">IF($E2706="","",INDEX(成本费用登记表!$B$4:$B$303,199))</f>
        <v/>
      </c>
      <c r="C2706" s="67" t="str">
        <f aca="false">IF($E2706="","","记-"&amp;TEXT($B2706,"YYYYMM")&amp;"-费用")</f>
        <v/>
      </c>
      <c r="D2706" s="107" t="str">
        <f aca="false">IF($E2706="","",INDEX(成本费用登记表!$E$4:$E$303,199))</f>
        <v/>
      </c>
      <c r="E2706" s="67" t="str">
        <f aca="false">IF(INDEX(成本费用登记表!$Q$4:$Y$303,199,7)=0,"",INDEX(成本费用登记表!$Q$4:$Y$303,199,7))</f>
        <v/>
      </c>
      <c r="F2706" s="99" t="str">
        <f aca="false">IF($E2706="","",IFERROR(INDEX(科目表!$A$4:$A$81,MATCH($E2706,科目表!$B$4:$B$81,0)),""))</f>
        <v/>
      </c>
      <c r="G2706" s="67" t="str">
        <f aca="false">IF($E2706="","",IFERROR(INDEX(科目表!$E$4:$E$81,MATCH($E2706,科目表!$B$4:$B$81,0)),""))</f>
        <v/>
      </c>
      <c r="H2706" s="70" t="str">
        <f aca="false">IF($E2706="","",N(INDEX(成本费用登记表!$Q$4:$Y$303,199,8)))</f>
        <v/>
      </c>
      <c r="I2706" s="70" t="str">
        <f aca="false">IF($E2706="","",N(INDEX(成本费用登记表!$Q$4:$Y$303,199,9)))</f>
        <v/>
      </c>
      <c r="J2706" s="67" t="str">
        <f aca="false">IF($E2706="","",INDEX(成本费用登记表!$C$4:$C$303,199))</f>
        <v/>
      </c>
      <c r="K2706" s="67" t="str">
        <f aca="false">IF($E2706="","",INDEX(成本费用登记表!$D$4:$D$303,199))</f>
        <v/>
      </c>
      <c r="L2706" s="107" t="str">
        <f aca="false">IF($E2706="","",INDEX(成本费用登记表!$N$4:$N$303,199))</f>
        <v/>
      </c>
      <c r="M2706" s="107"/>
      <c r="N2706" s="67" t="str">
        <f aca="false">IF($E2706="","","系统")</f>
        <v/>
      </c>
      <c r="O2706" s="67" t="str">
        <f aca="false">IF($E2706="","","自动C")</f>
        <v/>
      </c>
      <c r="P2706" s="18"/>
    </row>
    <row r="2707" customFormat="false" ht="18" hidden="false" customHeight="true" outlineLevel="0" collapsed="false">
      <c r="A2707" s="107" t="str">
        <f aca="false">IF($E2707="","",ROW()-3)</f>
        <v/>
      </c>
      <c r="B2707" s="110" t="str">
        <f aca="false">IF($E2707="","",INDEX(成本费用登记表!$B$4:$B$303,200))</f>
        <v/>
      </c>
      <c r="C2707" s="67" t="str">
        <f aca="false">IF($E2707="","","记-"&amp;TEXT($B2707,"YYYYMM")&amp;"-费用")</f>
        <v/>
      </c>
      <c r="D2707" s="107" t="str">
        <f aca="false">IF($E2707="","",INDEX(成本费用登记表!$E$4:$E$303,200))</f>
        <v/>
      </c>
      <c r="E2707" s="67" t="str">
        <f aca="false">IF(INDEX(成本费用登记表!$Q$4:$Y$303,200,1)=0,"",INDEX(成本费用登记表!$Q$4:$Y$303,200,1))</f>
        <v/>
      </c>
      <c r="F2707" s="99" t="str">
        <f aca="false">IF($E2707="","",IFERROR(INDEX(科目表!$A$4:$A$81,MATCH($E2707,科目表!$B$4:$B$81,0)),""))</f>
        <v/>
      </c>
      <c r="G2707" s="67" t="str">
        <f aca="false">IF($E2707="","",IFERROR(INDEX(科目表!$E$4:$E$81,MATCH($E2707,科目表!$B$4:$B$81,0)),""))</f>
        <v/>
      </c>
      <c r="H2707" s="70" t="str">
        <f aca="false">IF($E2707="","",N(INDEX(成本费用登记表!$Q$4:$Y$303,200,2)))</f>
        <v/>
      </c>
      <c r="I2707" s="70" t="str">
        <f aca="false">IF($E2707="","",N(INDEX(成本费用登记表!$Q$4:$Y$303,200,3)))</f>
        <v/>
      </c>
      <c r="J2707" s="67" t="str">
        <f aca="false">IF($E2707="","",INDEX(成本费用登记表!$C$4:$C$303,200))</f>
        <v/>
      </c>
      <c r="K2707" s="67" t="str">
        <f aca="false">IF($E2707="","",INDEX(成本费用登记表!$D$4:$D$303,200))</f>
        <v/>
      </c>
      <c r="L2707" s="107" t="str">
        <f aca="false">IF($E2707="","",INDEX(成本费用登记表!$N$4:$N$303,200))</f>
        <v/>
      </c>
      <c r="M2707" s="107"/>
      <c r="N2707" s="67" t="str">
        <f aca="false">IF($E2707="","","系统")</f>
        <v/>
      </c>
      <c r="O2707" s="67" t="str">
        <f aca="false">IF($E2707="","","自动C")</f>
        <v/>
      </c>
      <c r="P2707" s="18"/>
    </row>
    <row r="2708" customFormat="false" ht="18" hidden="false" customHeight="true" outlineLevel="0" collapsed="false">
      <c r="A2708" s="107" t="str">
        <f aca="false">IF($E2708="","",ROW()-3)</f>
        <v/>
      </c>
      <c r="B2708" s="110" t="str">
        <f aca="false">IF($E2708="","",INDEX(成本费用登记表!$B$4:$B$303,200))</f>
        <v/>
      </c>
      <c r="C2708" s="67" t="str">
        <f aca="false">IF($E2708="","","记-"&amp;TEXT($B2708,"YYYYMM")&amp;"-费用")</f>
        <v/>
      </c>
      <c r="D2708" s="107" t="str">
        <f aca="false">IF($E2708="","",INDEX(成本费用登记表!$E$4:$E$303,200))</f>
        <v/>
      </c>
      <c r="E2708" s="67" t="str">
        <f aca="false">IF(INDEX(成本费用登记表!$Q$4:$Y$303,200,4)=0,"",INDEX(成本费用登记表!$Q$4:$Y$303,200,4))</f>
        <v/>
      </c>
      <c r="F2708" s="99" t="str">
        <f aca="false">IF($E2708="","",IFERROR(INDEX(科目表!$A$4:$A$81,MATCH($E2708,科目表!$B$4:$B$81,0)),""))</f>
        <v/>
      </c>
      <c r="G2708" s="67" t="str">
        <f aca="false">IF($E2708="","",IFERROR(INDEX(科目表!$E$4:$E$81,MATCH($E2708,科目表!$B$4:$B$81,0)),""))</f>
        <v/>
      </c>
      <c r="H2708" s="70" t="str">
        <f aca="false">IF($E2708="","",N(INDEX(成本费用登记表!$Q$4:$Y$303,200,5)))</f>
        <v/>
      </c>
      <c r="I2708" s="70" t="str">
        <f aca="false">IF($E2708="","",N(INDEX(成本费用登记表!$Q$4:$Y$303,200,6)))</f>
        <v/>
      </c>
      <c r="J2708" s="67" t="str">
        <f aca="false">IF($E2708="","",INDEX(成本费用登记表!$C$4:$C$303,200))</f>
        <v/>
      </c>
      <c r="K2708" s="67" t="str">
        <f aca="false">IF($E2708="","",INDEX(成本费用登记表!$D$4:$D$303,200))</f>
        <v/>
      </c>
      <c r="L2708" s="107" t="str">
        <f aca="false">IF($E2708="","",INDEX(成本费用登记表!$N$4:$N$303,200))</f>
        <v/>
      </c>
      <c r="M2708" s="107"/>
      <c r="N2708" s="67" t="str">
        <f aca="false">IF($E2708="","","系统")</f>
        <v/>
      </c>
      <c r="O2708" s="67" t="str">
        <f aca="false">IF($E2708="","","自动C")</f>
        <v/>
      </c>
      <c r="P2708" s="18"/>
    </row>
    <row r="2709" customFormat="false" ht="18" hidden="false" customHeight="true" outlineLevel="0" collapsed="false">
      <c r="A2709" s="107" t="str">
        <f aca="false">IF($E2709="","",ROW()-3)</f>
        <v/>
      </c>
      <c r="B2709" s="110" t="str">
        <f aca="false">IF($E2709="","",INDEX(成本费用登记表!$B$4:$B$303,200))</f>
        <v/>
      </c>
      <c r="C2709" s="67" t="str">
        <f aca="false">IF($E2709="","","记-"&amp;TEXT($B2709,"YYYYMM")&amp;"-费用")</f>
        <v/>
      </c>
      <c r="D2709" s="107" t="str">
        <f aca="false">IF($E2709="","",INDEX(成本费用登记表!$E$4:$E$303,200))</f>
        <v/>
      </c>
      <c r="E2709" s="67" t="str">
        <f aca="false">IF(INDEX(成本费用登记表!$Q$4:$Y$303,200,7)=0,"",INDEX(成本费用登记表!$Q$4:$Y$303,200,7))</f>
        <v/>
      </c>
      <c r="F2709" s="99" t="str">
        <f aca="false">IF($E2709="","",IFERROR(INDEX(科目表!$A$4:$A$81,MATCH($E2709,科目表!$B$4:$B$81,0)),""))</f>
        <v/>
      </c>
      <c r="G2709" s="67" t="str">
        <f aca="false">IF($E2709="","",IFERROR(INDEX(科目表!$E$4:$E$81,MATCH($E2709,科目表!$B$4:$B$81,0)),""))</f>
        <v/>
      </c>
      <c r="H2709" s="70" t="str">
        <f aca="false">IF($E2709="","",N(INDEX(成本费用登记表!$Q$4:$Y$303,200,8)))</f>
        <v/>
      </c>
      <c r="I2709" s="70" t="str">
        <f aca="false">IF($E2709="","",N(INDEX(成本费用登记表!$Q$4:$Y$303,200,9)))</f>
        <v/>
      </c>
      <c r="J2709" s="67" t="str">
        <f aca="false">IF($E2709="","",INDEX(成本费用登记表!$C$4:$C$303,200))</f>
        <v/>
      </c>
      <c r="K2709" s="67" t="str">
        <f aca="false">IF($E2709="","",INDEX(成本费用登记表!$D$4:$D$303,200))</f>
        <v/>
      </c>
      <c r="L2709" s="107" t="str">
        <f aca="false">IF($E2709="","",INDEX(成本费用登记表!$N$4:$N$303,200))</f>
        <v/>
      </c>
      <c r="M2709" s="107"/>
      <c r="N2709" s="67" t="str">
        <f aca="false">IF($E2709="","","系统")</f>
        <v/>
      </c>
      <c r="O2709" s="67" t="str">
        <f aca="false">IF($E2709="","","自动C")</f>
        <v/>
      </c>
      <c r="P2709" s="18"/>
    </row>
    <row r="2710" customFormat="false" ht="18" hidden="false" customHeight="true" outlineLevel="0" collapsed="false">
      <c r="A2710" s="107" t="str">
        <f aca="false">IF($E2710="","",ROW()-3)</f>
        <v/>
      </c>
      <c r="B2710" s="110" t="str">
        <f aca="false">IF($E2710="","",INDEX(成本费用登记表!$B$4:$B$303,201))</f>
        <v/>
      </c>
      <c r="C2710" s="67" t="str">
        <f aca="false">IF($E2710="","","记-"&amp;TEXT($B2710,"YYYYMM")&amp;"-费用")</f>
        <v/>
      </c>
      <c r="D2710" s="107" t="str">
        <f aca="false">IF($E2710="","",INDEX(成本费用登记表!$E$4:$E$303,201))</f>
        <v/>
      </c>
      <c r="E2710" s="67" t="str">
        <f aca="false">IF(INDEX(成本费用登记表!$Q$4:$Y$303,201,1)=0,"",INDEX(成本费用登记表!$Q$4:$Y$303,201,1))</f>
        <v/>
      </c>
      <c r="F2710" s="99" t="str">
        <f aca="false">IF($E2710="","",IFERROR(INDEX(科目表!$A$4:$A$81,MATCH($E2710,科目表!$B$4:$B$81,0)),""))</f>
        <v/>
      </c>
      <c r="G2710" s="67" t="str">
        <f aca="false">IF($E2710="","",IFERROR(INDEX(科目表!$E$4:$E$81,MATCH($E2710,科目表!$B$4:$B$81,0)),""))</f>
        <v/>
      </c>
      <c r="H2710" s="70" t="str">
        <f aca="false">IF($E2710="","",N(INDEX(成本费用登记表!$Q$4:$Y$303,201,2)))</f>
        <v/>
      </c>
      <c r="I2710" s="70" t="str">
        <f aca="false">IF($E2710="","",N(INDEX(成本费用登记表!$Q$4:$Y$303,201,3)))</f>
        <v/>
      </c>
      <c r="J2710" s="67" t="str">
        <f aca="false">IF($E2710="","",INDEX(成本费用登记表!$C$4:$C$303,201))</f>
        <v/>
      </c>
      <c r="K2710" s="67" t="str">
        <f aca="false">IF($E2710="","",INDEX(成本费用登记表!$D$4:$D$303,201))</f>
        <v/>
      </c>
      <c r="L2710" s="107" t="str">
        <f aca="false">IF($E2710="","",INDEX(成本费用登记表!$N$4:$N$303,201))</f>
        <v/>
      </c>
      <c r="M2710" s="107"/>
      <c r="N2710" s="67" t="str">
        <f aca="false">IF($E2710="","","系统")</f>
        <v/>
      </c>
      <c r="O2710" s="67" t="str">
        <f aca="false">IF($E2710="","","自动C")</f>
        <v/>
      </c>
      <c r="P2710" s="18"/>
    </row>
    <row r="2711" customFormat="false" ht="18" hidden="false" customHeight="true" outlineLevel="0" collapsed="false">
      <c r="A2711" s="107" t="str">
        <f aca="false">IF($E2711="","",ROW()-3)</f>
        <v/>
      </c>
      <c r="B2711" s="110" t="str">
        <f aca="false">IF($E2711="","",INDEX(成本费用登记表!$B$4:$B$303,201))</f>
        <v/>
      </c>
      <c r="C2711" s="67" t="str">
        <f aca="false">IF($E2711="","","记-"&amp;TEXT($B2711,"YYYYMM")&amp;"-费用")</f>
        <v/>
      </c>
      <c r="D2711" s="107" t="str">
        <f aca="false">IF($E2711="","",INDEX(成本费用登记表!$E$4:$E$303,201))</f>
        <v/>
      </c>
      <c r="E2711" s="67" t="str">
        <f aca="false">IF(INDEX(成本费用登记表!$Q$4:$Y$303,201,4)=0,"",INDEX(成本费用登记表!$Q$4:$Y$303,201,4))</f>
        <v/>
      </c>
      <c r="F2711" s="99" t="str">
        <f aca="false">IF($E2711="","",IFERROR(INDEX(科目表!$A$4:$A$81,MATCH($E2711,科目表!$B$4:$B$81,0)),""))</f>
        <v/>
      </c>
      <c r="G2711" s="67" t="str">
        <f aca="false">IF($E2711="","",IFERROR(INDEX(科目表!$E$4:$E$81,MATCH($E2711,科目表!$B$4:$B$81,0)),""))</f>
        <v/>
      </c>
      <c r="H2711" s="70" t="str">
        <f aca="false">IF($E2711="","",N(INDEX(成本费用登记表!$Q$4:$Y$303,201,5)))</f>
        <v/>
      </c>
      <c r="I2711" s="70" t="str">
        <f aca="false">IF($E2711="","",N(INDEX(成本费用登记表!$Q$4:$Y$303,201,6)))</f>
        <v/>
      </c>
      <c r="J2711" s="67" t="str">
        <f aca="false">IF($E2711="","",INDEX(成本费用登记表!$C$4:$C$303,201))</f>
        <v/>
      </c>
      <c r="K2711" s="67" t="str">
        <f aca="false">IF($E2711="","",INDEX(成本费用登记表!$D$4:$D$303,201))</f>
        <v/>
      </c>
      <c r="L2711" s="107" t="str">
        <f aca="false">IF($E2711="","",INDEX(成本费用登记表!$N$4:$N$303,201))</f>
        <v/>
      </c>
      <c r="M2711" s="107"/>
      <c r="N2711" s="67" t="str">
        <f aca="false">IF($E2711="","","系统")</f>
        <v/>
      </c>
      <c r="O2711" s="67" t="str">
        <f aca="false">IF($E2711="","","自动C")</f>
        <v/>
      </c>
      <c r="P2711" s="18"/>
    </row>
    <row r="2712" customFormat="false" ht="18" hidden="false" customHeight="true" outlineLevel="0" collapsed="false">
      <c r="A2712" s="107" t="str">
        <f aca="false">IF($E2712="","",ROW()-3)</f>
        <v/>
      </c>
      <c r="B2712" s="110" t="str">
        <f aca="false">IF($E2712="","",INDEX(成本费用登记表!$B$4:$B$303,201))</f>
        <v/>
      </c>
      <c r="C2712" s="67" t="str">
        <f aca="false">IF($E2712="","","记-"&amp;TEXT($B2712,"YYYYMM")&amp;"-费用")</f>
        <v/>
      </c>
      <c r="D2712" s="107" t="str">
        <f aca="false">IF($E2712="","",INDEX(成本费用登记表!$E$4:$E$303,201))</f>
        <v/>
      </c>
      <c r="E2712" s="67" t="str">
        <f aca="false">IF(INDEX(成本费用登记表!$Q$4:$Y$303,201,7)=0,"",INDEX(成本费用登记表!$Q$4:$Y$303,201,7))</f>
        <v/>
      </c>
      <c r="F2712" s="99" t="str">
        <f aca="false">IF($E2712="","",IFERROR(INDEX(科目表!$A$4:$A$81,MATCH($E2712,科目表!$B$4:$B$81,0)),""))</f>
        <v/>
      </c>
      <c r="G2712" s="67" t="str">
        <f aca="false">IF($E2712="","",IFERROR(INDEX(科目表!$E$4:$E$81,MATCH($E2712,科目表!$B$4:$B$81,0)),""))</f>
        <v/>
      </c>
      <c r="H2712" s="70" t="str">
        <f aca="false">IF($E2712="","",N(INDEX(成本费用登记表!$Q$4:$Y$303,201,8)))</f>
        <v/>
      </c>
      <c r="I2712" s="70" t="str">
        <f aca="false">IF($E2712="","",N(INDEX(成本费用登记表!$Q$4:$Y$303,201,9)))</f>
        <v/>
      </c>
      <c r="J2712" s="67" t="str">
        <f aca="false">IF($E2712="","",INDEX(成本费用登记表!$C$4:$C$303,201))</f>
        <v/>
      </c>
      <c r="K2712" s="67" t="str">
        <f aca="false">IF($E2712="","",INDEX(成本费用登记表!$D$4:$D$303,201))</f>
        <v/>
      </c>
      <c r="L2712" s="107" t="str">
        <f aca="false">IF($E2712="","",INDEX(成本费用登记表!$N$4:$N$303,201))</f>
        <v/>
      </c>
      <c r="M2712" s="107"/>
      <c r="N2712" s="67" t="str">
        <f aca="false">IF($E2712="","","系统")</f>
        <v/>
      </c>
      <c r="O2712" s="67" t="str">
        <f aca="false">IF($E2712="","","自动C")</f>
        <v/>
      </c>
      <c r="P2712" s="18"/>
    </row>
    <row r="2713" customFormat="false" ht="18" hidden="false" customHeight="true" outlineLevel="0" collapsed="false">
      <c r="A2713" s="107" t="str">
        <f aca="false">IF($E2713="","",ROW()-3)</f>
        <v/>
      </c>
      <c r="B2713" s="110" t="str">
        <f aca="false">IF($E2713="","",INDEX(成本费用登记表!$B$4:$B$303,202))</f>
        <v/>
      </c>
      <c r="C2713" s="67" t="str">
        <f aca="false">IF($E2713="","","记-"&amp;TEXT($B2713,"YYYYMM")&amp;"-费用")</f>
        <v/>
      </c>
      <c r="D2713" s="107" t="str">
        <f aca="false">IF($E2713="","",INDEX(成本费用登记表!$E$4:$E$303,202))</f>
        <v/>
      </c>
      <c r="E2713" s="67" t="str">
        <f aca="false">IF(INDEX(成本费用登记表!$Q$4:$Y$303,202,1)=0,"",INDEX(成本费用登记表!$Q$4:$Y$303,202,1))</f>
        <v/>
      </c>
      <c r="F2713" s="99" t="str">
        <f aca="false">IF($E2713="","",IFERROR(INDEX(科目表!$A$4:$A$81,MATCH($E2713,科目表!$B$4:$B$81,0)),""))</f>
        <v/>
      </c>
      <c r="G2713" s="67" t="str">
        <f aca="false">IF($E2713="","",IFERROR(INDEX(科目表!$E$4:$E$81,MATCH($E2713,科目表!$B$4:$B$81,0)),""))</f>
        <v/>
      </c>
      <c r="H2713" s="70" t="str">
        <f aca="false">IF($E2713="","",N(INDEX(成本费用登记表!$Q$4:$Y$303,202,2)))</f>
        <v/>
      </c>
      <c r="I2713" s="70" t="str">
        <f aca="false">IF($E2713="","",N(INDEX(成本费用登记表!$Q$4:$Y$303,202,3)))</f>
        <v/>
      </c>
      <c r="J2713" s="67" t="str">
        <f aca="false">IF($E2713="","",INDEX(成本费用登记表!$C$4:$C$303,202))</f>
        <v/>
      </c>
      <c r="K2713" s="67" t="str">
        <f aca="false">IF($E2713="","",INDEX(成本费用登记表!$D$4:$D$303,202))</f>
        <v/>
      </c>
      <c r="L2713" s="107" t="str">
        <f aca="false">IF($E2713="","",INDEX(成本费用登记表!$N$4:$N$303,202))</f>
        <v/>
      </c>
      <c r="M2713" s="107"/>
      <c r="N2713" s="67" t="str">
        <f aca="false">IF($E2713="","","系统")</f>
        <v/>
      </c>
      <c r="O2713" s="67" t="str">
        <f aca="false">IF($E2713="","","自动C")</f>
        <v/>
      </c>
      <c r="P2713" s="18"/>
    </row>
    <row r="2714" customFormat="false" ht="18" hidden="false" customHeight="true" outlineLevel="0" collapsed="false">
      <c r="A2714" s="107" t="str">
        <f aca="false">IF($E2714="","",ROW()-3)</f>
        <v/>
      </c>
      <c r="B2714" s="110" t="str">
        <f aca="false">IF($E2714="","",INDEX(成本费用登记表!$B$4:$B$303,202))</f>
        <v/>
      </c>
      <c r="C2714" s="67" t="str">
        <f aca="false">IF($E2714="","","记-"&amp;TEXT($B2714,"YYYYMM")&amp;"-费用")</f>
        <v/>
      </c>
      <c r="D2714" s="107" t="str">
        <f aca="false">IF($E2714="","",INDEX(成本费用登记表!$E$4:$E$303,202))</f>
        <v/>
      </c>
      <c r="E2714" s="67" t="str">
        <f aca="false">IF(INDEX(成本费用登记表!$Q$4:$Y$303,202,4)=0,"",INDEX(成本费用登记表!$Q$4:$Y$303,202,4))</f>
        <v/>
      </c>
      <c r="F2714" s="99" t="str">
        <f aca="false">IF($E2714="","",IFERROR(INDEX(科目表!$A$4:$A$81,MATCH($E2714,科目表!$B$4:$B$81,0)),""))</f>
        <v/>
      </c>
      <c r="G2714" s="67" t="str">
        <f aca="false">IF($E2714="","",IFERROR(INDEX(科目表!$E$4:$E$81,MATCH($E2714,科目表!$B$4:$B$81,0)),""))</f>
        <v/>
      </c>
      <c r="H2714" s="70" t="str">
        <f aca="false">IF($E2714="","",N(INDEX(成本费用登记表!$Q$4:$Y$303,202,5)))</f>
        <v/>
      </c>
      <c r="I2714" s="70" t="str">
        <f aca="false">IF($E2714="","",N(INDEX(成本费用登记表!$Q$4:$Y$303,202,6)))</f>
        <v/>
      </c>
      <c r="J2714" s="67" t="str">
        <f aca="false">IF($E2714="","",INDEX(成本费用登记表!$C$4:$C$303,202))</f>
        <v/>
      </c>
      <c r="K2714" s="67" t="str">
        <f aca="false">IF($E2714="","",INDEX(成本费用登记表!$D$4:$D$303,202))</f>
        <v/>
      </c>
      <c r="L2714" s="107" t="str">
        <f aca="false">IF($E2714="","",INDEX(成本费用登记表!$N$4:$N$303,202))</f>
        <v/>
      </c>
      <c r="M2714" s="107"/>
      <c r="N2714" s="67" t="str">
        <f aca="false">IF($E2714="","","系统")</f>
        <v/>
      </c>
      <c r="O2714" s="67" t="str">
        <f aca="false">IF($E2714="","","自动C")</f>
        <v/>
      </c>
      <c r="P2714" s="18"/>
    </row>
    <row r="2715" customFormat="false" ht="18" hidden="false" customHeight="true" outlineLevel="0" collapsed="false">
      <c r="A2715" s="107" t="str">
        <f aca="false">IF($E2715="","",ROW()-3)</f>
        <v/>
      </c>
      <c r="B2715" s="110" t="str">
        <f aca="false">IF($E2715="","",INDEX(成本费用登记表!$B$4:$B$303,202))</f>
        <v/>
      </c>
      <c r="C2715" s="67" t="str">
        <f aca="false">IF($E2715="","","记-"&amp;TEXT($B2715,"YYYYMM")&amp;"-费用")</f>
        <v/>
      </c>
      <c r="D2715" s="107" t="str">
        <f aca="false">IF($E2715="","",INDEX(成本费用登记表!$E$4:$E$303,202))</f>
        <v/>
      </c>
      <c r="E2715" s="67" t="str">
        <f aca="false">IF(INDEX(成本费用登记表!$Q$4:$Y$303,202,7)=0,"",INDEX(成本费用登记表!$Q$4:$Y$303,202,7))</f>
        <v/>
      </c>
      <c r="F2715" s="99" t="str">
        <f aca="false">IF($E2715="","",IFERROR(INDEX(科目表!$A$4:$A$81,MATCH($E2715,科目表!$B$4:$B$81,0)),""))</f>
        <v/>
      </c>
      <c r="G2715" s="67" t="str">
        <f aca="false">IF($E2715="","",IFERROR(INDEX(科目表!$E$4:$E$81,MATCH($E2715,科目表!$B$4:$B$81,0)),""))</f>
        <v/>
      </c>
      <c r="H2715" s="70" t="str">
        <f aca="false">IF($E2715="","",N(INDEX(成本费用登记表!$Q$4:$Y$303,202,8)))</f>
        <v/>
      </c>
      <c r="I2715" s="70" t="str">
        <f aca="false">IF($E2715="","",N(INDEX(成本费用登记表!$Q$4:$Y$303,202,9)))</f>
        <v/>
      </c>
      <c r="J2715" s="67" t="str">
        <f aca="false">IF($E2715="","",INDEX(成本费用登记表!$C$4:$C$303,202))</f>
        <v/>
      </c>
      <c r="K2715" s="67" t="str">
        <f aca="false">IF($E2715="","",INDEX(成本费用登记表!$D$4:$D$303,202))</f>
        <v/>
      </c>
      <c r="L2715" s="107" t="str">
        <f aca="false">IF($E2715="","",INDEX(成本费用登记表!$N$4:$N$303,202))</f>
        <v/>
      </c>
      <c r="M2715" s="107"/>
      <c r="N2715" s="67" t="str">
        <f aca="false">IF($E2715="","","系统")</f>
        <v/>
      </c>
      <c r="O2715" s="67" t="str">
        <f aca="false">IF($E2715="","","自动C")</f>
        <v/>
      </c>
      <c r="P2715" s="18"/>
    </row>
    <row r="2716" customFormat="false" ht="18" hidden="false" customHeight="true" outlineLevel="0" collapsed="false">
      <c r="A2716" s="107" t="str">
        <f aca="false">IF($E2716="","",ROW()-3)</f>
        <v/>
      </c>
      <c r="B2716" s="110" t="str">
        <f aca="false">IF($E2716="","",INDEX(成本费用登记表!$B$4:$B$303,203))</f>
        <v/>
      </c>
      <c r="C2716" s="67" t="str">
        <f aca="false">IF($E2716="","","记-"&amp;TEXT($B2716,"YYYYMM")&amp;"-费用")</f>
        <v/>
      </c>
      <c r="D2716" s="107" t="str">
        <f aca="false">IF($E2716="","",INDEX(成本费用登记表!$E$4:$E$303,203))</f>
        <v/>
      </c>
      <c r="E2716" s="67" t="str">
        <f aca="false">IF(INDEX(成本费用登记表!$Q$4:$Y$303,203,1)=0,"",INDEX(成本费用登记表!$Q$4:$Y$303,203,1))</f>
        <v/>
      </c>
      <c r="F2716" s="99" t="str">
        <f aca="false">IF($E2716="","",IFERROR(INDEX(科目表!$A$4:$A$81,MATCH($E2716,科目表!$B$4:$B$81,0)),""))</f>
        <v/>
      </c>
      <c r="G2716" s="67" t="str">
        <f aca="false">IF($E2716="","",IFERROR(INDEX(科目表!$E$4:$E$81,MATCH($E2716,科目表!$B$4:$B$81,0)),""))</f>
        <v/>
      </c>
      <c r="H2716" s="70" t="str">
        <f aca="false">IF($E2716="","",N(INDEX(成本费用登记表!$Q$4:$Y$303,203,2)))</f>
        <v/>
      </c>
      <c r="I2716" s="70" t="str">
        <f aca="false">IF($E2716="","",N(INDEX(成本费用登记表!$Q$4:$Y$303,203,3)))</f>
        <v/>
      </c>
      <c r="J2716" s="67" t="str">
        <f aca="false">IF($E2716="","",INDEX(成本费用登记表!$C$4:$C$303,203))</f>
        <v/>
      </c>
      <c r="K2716" s="67" t="str">
        <f aca="false">IF($E2716="","",INDEX(成本费用登记表!$D$4:$D$303,203))</f>
        <v/>
      </c>
      <c r="L2716" s="107" t="str">
        <f aca="false">IF($E2716="","",INDEX(成本费用登记表!$N$4:$N$303,203))</f>
        <v/>
      </c>
      <c r="M2716" s="107"/>
      <c r="N2716" s="67" t="str">
        <f aca="false">IF($E2716="","","系统")</f>
        <v/>
      </c>
      <c r="O2716" s="67" t="str">
        <f aca="false">IF($E2716="","","自动C")</f>
        <v/>
      </c>
      <c r="P2716" s="18"/>
    </row>
    <row r="2717" customFormat="false" ht="18" hidden="false" customHeight="true" outlineLevel="0" collapsed="false">
      <c r="A2717" s="107" t="str">
        <f aca="false">IF($E2717="","",ROW()-3)</f>
        <v/>
      </c>
      <c r="B2717" s="110" t="str">
        <f aca="false">IF($E2717="","",INDEX(成本费用登记表!$B$4:$B$303,203))</f>
        <v/>
      </c>
      <c r="C2717" s="67" t="str">
        <f aca="false">IF($E2717="","","记-"&amp;TEXT($B2717,"YYYYMM")&amp;"-费用")</f>
        <v/>
      </c>
      <c r="D2717" s="107" t="str">
        <f aca="false">IF($E2717="","",INDEX(成本费用登记表!$E$4:$E$303,203))</f>
        <v/>
      </c>
      <c r="E2717" s="67" t="str">
        <f aca="false">IF(INDEX(成本费用登记表!$Q$4:$Y$303,203,4)=0,"",INDEX(成本费用登记表!$Q$4:$Y$303,203,4))</f>
        <v/>
      </c>
      <c r="F2717" s="99" t="str">
        <f aca="false">IF($E2717="","",IFERROR(INDEX(科目表!$A$4:$A$81,MATCH($E2717,科目表!$B$4:$B$81,0)),""))</f>
        <v/>
      </c>
      <c r="G2717" s="67" t="str">
        <f aca="false">IF($E2717="","",IFERROR(INDEX(科目表!$E$4:$E$81,MATCH($E2717,科目表!$B$4:$B$81,0)),""))</f>
        <v/>
      </c>
      <c r="H2717" s="70" t="str">
        <f aca="false">IF($E2717="","",N(INDEX(成本费用登记表!$Q$4:$Y$303,203,5)))</f>
        <v/>
      </c>
      <c r="I2717" s="70" t="str">
        <f aca="false">IF($E2717="","",N(INDEX(成本费用登记表!$Q$4:$Y$303,203,6)))</f>
        <v/>
      </c>
      <c r="J2717" s="67" t="str">
        <f aca="false">IF($E2717="","",INDEX(成本费用登记表!$C$4:$C$303,203))</f>
        <v/>
      </c>
      <c r="K2717" s="67" t="str">
        <f aca="false">IF($E2717="","",INDEX(成本费用登记表!$D$4:$D$303,203))</f>
        <v/>
      </c>
      <c r="L2717" s="107" t="str">
        <f aca="false">IF($E2717="","",INDEX(成本费用登记表!$N$4:$N$303,203))</f>
        <v/>
      </c>
      <c r="M2717" s="107"/>
      <c r="N2717" s="67" t="str">
        <f aca="false">IF($E2717="","","系统")</f>
        <v/>
      </c>
      <c r="O2717" s="67" t="str">
        <f aca="false">IF($E2717="","","自动C")</f>
        <v/>
      </c>
      <c r="P2717" s="18"/>
    </row>
    <row r="2718" customFormat="false" ht="18" hidden="false" customHeight="true" outlineLevel="0" collapsed="false">
      <c r="A2718" s="107" t="str">
        <f aca="false">IF($E2718="","",ROW()-3)</f>
        <v/>
      </c>
      <c r="B2718" s="110" t="str">
        <f aca="false">IF($E2718="","",INDEX(成本费用登记表!$B$4:$B$303,203))</f>
        <v/>
      </c>
      <c r="C2718" s="67" t="str">
        <f aca="false">IF($E2718="","","记-"&amp;TEXT($B2718,"YYYYMM")&amp;"-费用")</f>
        <v/>
      </c>
      <c r="D2718" s="107" t="str">
        <f aca="false">IF($E2718="","",INDEX(成本费用登记表!$E$4:$E$303,203))</f>
        <v/>
      </c>
      <c r="E2718" s="67" t="str">
        <f aca="false">IF(INDEX(成本费用登记表!$Q$4:$Y$303,203,7)=0,"",INDEX(成本费用登记表!$Q$4:$Y$303,203,7))</f>
        <v/>
      </c>
      <c r="F2718" s="99" t="str">
        <f aca="false">IF($E2718="","",IFERROR(INDEX(科目表!$A$4:$A$81,MATCH($E2718,科目表!$B$4:$B$81,0)),""))</f>
        <v/>
      </c>
      <c r="G2718" s="67" t="str">
        <f aca="false">IF($E2718="","",IFERROR(INDEX(科目表!$E$4:$E$81,MATCH($E2718,科目表!$B$4:$B$81,0)),""))</f>
        <v/>
      </c>
      <c r="H2718" s="70" t="str">
        <f aca="false">IF($E2718="","",N(INDEX(成本费用登记表!$Q$4:$Y$303,203,8)))</f>
        <v/>
      </c>
      <c r="I2718" s="70" t="str">
        <f aca="false">IF($E2718="","",N(INDEX(成本费用登记表!$Q$4:$Y$303,203,9)))</f>
        <v/>
      </c>
      <c r="J2718" s="67" t="str">
        <f aca="false">IF($E2718="","",INDEX(成本费用登记表!$C$4:$C$303,203))</f>
        <v/>
      </c>
      <c r="K2718" s="67" t="str">
        <f aca="false">IF($E2718="","",INDEX(成本费用登记表!$D$4:$D$303,203))</f>
        <v/>
      </c>
      <c r="L2718" s="107" t="str">
        <f aca="false">IF($E2718="","",INDEX(成本费用登记表!$N$4:$N$303,203))</f>
        <v/>
      </c>
      <c r="M2718" s="107"/>
      <c r="N2718" s="67" t="str">
        <f aca="false">IF($E2718="","","系统")</f>
        <v/>
      </c>
      <c r="O2718" s="67" t="str">
        <f aca="false">IF($E2718="","","自动C")</f>
        <v/>
      </c>
      <c r="P2718" s="18"/>
    </row>
    <row r="2719" customFormat="false" ht="18" hidden="false" customHeight="true" outlineLevel="0" collapsed="false">
      <c r="A2719" s="107" t="str">
        <f aca="false">IF($E2719="","",ROW()-3)</f>
        <v/>
      </c>
      <c r="B2719" s="110" t="str">
        <f aca="false">IF($E2719="","",INDEX(成本费用登记表!$B$4:$B$303,204))</f>
        <v/>
      </c>
      <c r="C2719" s="67" t="str">
        <f aca="false">IF($E2719="","","记-"&amp;TEXT($B2719,"YYYYMM")&amp;"-费用")</f>
        <v/>
      </c>
      <c r="D2719" s="107" t="str">
        <f aca="false">IF($E2719="","",INDEX(成本费用登记表!$E$4:$E$303,204))</f>
        <v/>
      </c>
      <c r="E2719" s="67" t="str">
        <f aca="false">IF(INDEX(成本费用登记表!$Q$4:$Y$303,204,1)=0,"",INDEX(成本费用登记表!$Q$4:$Y$303,204,1))</f>
        <v/>
      </c>
      <c r="F2719" s="99" t="str">
        <f aca="false">IF($E2719="","",IFERROR(INDEX(科目表!$A$4:$A$81,MATCH($E2719,科目表!$B$4:$B$81,0)),""))</f>
        <v/>
      </c>
      <c r="G2719" s="67" t="str">
        <f aca="false">IF($E2719="","",IFERROR(INDEX(科目表!$E$4:$E$81,MATCH($E2719,科目表!$B$4:$B$81,0)),""))</f>
        <v/>
      </c>
      <c r="H2719" s="70" t="str">
        <f aca="false">IF($E2719="","",N(INDEX(成本费用登记表!$Q$4:$Y$303,204,2)))</f>
        <v/>
      </c>
      <c r="I2719" s="70" t="str">
        <f aca="false">IF($E2719="","",N(INDEX(成本费用登记表!$Q$4:$Y$303,204,3)))</f>
        <v/>
      </c>
      <c r="J2719" s="67" t="str">
        <f aca="false">IF($E2719="","",INDEX(成本费用登记表!$C$4:$C$303,204))</f>
        <v/>
      </c>
      <c r="K2719" s="67" t="str">
        <f aca="false">IF($E2719="","",INDEX(成本费用登记表!$D$4:$D$303,204))</f>
        <v/>
      </c>
      <c r="L2719" s="107" t="str">
        <f aca="false">IF($E2719="","",INDEX(成本费用登记表!$N$4:$N$303,204))</f>
        <v/>
      </c>
      <c r="M2719" s="107"/>
      <c r="N2719" s="67" t="str">
        <f aca="false">IF($E2719="","","系统")</f>
        <v/>
      </c>
      <c r="O2719" s="67" t="str">
        <f aca="false">IF($E2719="","","自动C")</f>
        <v/>
      </c>
      <c r="P2719" s="18"/>
    </row>
    <row r="2720" customFormat="false" ht="18" hidden="false" customHeight="true" outlineLevel="0" collapsed="false">
      <c r="A2720" s="107" t="str">
        <f aca="false">IF($E2720="","",ROW()-3)</f>
        <v/>
      </c>
      <c r="B2720" s="110" t="str">
        <f aca="false">IF($E2720="","",INDEX(成本费用登记表!$B$4:$B$303,204))</f>
        <v/>
      </c>
      <c r="C2720" s="67" t="str">
        <f aca="false">IF($E2720="","","记-"&amp;TEXT($B2720,"YYYYMM")&amp;"-费用")</f>
        <v/>
      </c>
      <c r="D2720" s="107" t="str">
        <f aca="false">IF($E2720="","",INDEX(成本费用登记表!$E$4:$E$303,204))</f>
        <v/>
      </c>
      <c r="E2720" s="67" t="str">
        <f aca="false">IF(INDEX(成本费用登记表!$Q$4:$Y$303,204,4)=0,"",INDEX(成本费用登记表!$Q$4:$Y$303,204,4))</f>
        <v/>
      </c>
      <c r="F2720" s="99" t="str">
        <f aca="false">IF($E2720="","",IFERROR(INDEX(科目表!$A$4:$A$81,MATCH($E2720,科目表!$B$4:$B$81,0)),""))</f>
        <v/>
      </c>
      <c r="G2720" s="67" t="str">
        <f aca="false">IF($E2720="","",IFERROR(INDEX(科目表!$E$4:$E$81,MATCH($E2720,科目表!$B$4:$B$81,0)),""))</f>
        <v/>
      </c>
      <c r="H2720" s="70" t="str">
        <f aca="false">IF($E2720="","",N(INDEX(成本费用登记表!$Q$4:$Y$303,204,5)))</f>
        <v/>
      </c>
      <c r="I2720" s="70" t="str">
        <f aca="false">IF($E2720="","",N(INDEX(成本费用登记表!$Q$4:$Y$303,204,6)))</f>
        <v/>
      </c>
      <c r="J2720" s="67" t="str">
        <f aca="false">IF($E2720="","",INDEX(成本费用登记表!$C$4:$C$303,204))</f>
        <v/>
      </c>
      <c r="K2720" s="67" t="str">
        <f aca="false">IF($E2720="","",INDEX(成本费用登记表!$D$4:$D$303,204))</f>
        <v/>
      </c>
      <c r="L2720" s="107" t="str">
        <f aca="false">IF($E2720="","",INDEX(成本费用登记表!$N$4:$N$303,204))</f>
        <v/>
      </c>
      <c r="M2720" s="107"/>
      <c r="N2720" s="67" t="str">
        <f aca="false">IF($E2720="","","系统")</f>
        <v/>
      </c>
      <c r="O2720" s="67" t="str">
        <f aca="false">IF($E2720="","","自动C")</f>
        <v/>
      </c>
      <c r="P2720" s="18"/>
    </row>
    <row r="2721" customFormat="false" ht="18" hidden="false" customHeight="true" outlineLevel="0" collapsed="false">
      <c r="A2721" s="107" t="str">
        <f aca="false">IF($E2721="","",ROW()-3)</f>
        <v/>
      </c>
      <c r="B2721" s="110" t="str">
        <f aca="false">IF($E2721="","",INDEX(成本费用登记表!$B$4:$B$303,204))</f>
        <v/>
      </c>
      <c r="C2721" s="67" t="str">
        <f aca="false">IF($E2721="","","记-"&amp;TEXT($B2721,"YYYYMM")&amp;"-费用")</f>
        <v/>
      </c>
      <c r="D2721" s="107" t="str">
        <f aca="false">IF($E2721="","",INDEX(成本费用登记表!$E$4:$E$303,204))</f>
        <v/>
      </c>
      <c r="E2721" s="67" t="str">
        <f aca="false">IF(INDEX(成本费用登记表!$Q$4:$Y$303,204,7)=0,"",INDEX(成本费用登记表!$Q$4:$Y$303,204,7))</f>
        <v/>
      </c>
      <c r="F2721" s="99" t="str">
        <f aca="false">IF($E2721="","",IFERROR(INDEX(科目表!$A$4:$A$81,MATCH($E2721,科目表!$B$4:$B$81,0)),""))</f>
        <v/>
      </c>
      <c r="G2721" s="67" t="str">
        <f aca="false">IF($E2721="","",IFERROR(INDEX(科目表!$E$4:$E$81,MATCH($E2721,科目表!$B$4:$B$81,0)),""))</f>
        <v/>
      </c>
      <c r="H2721" s="70" t="str">
        <f aca="false">IF($E2721="","",N(INDEX(成本费用登记表!$Q$4:$Y$303,204,8)))</f>
        <v/>
      </c>
      <c r="I2721" s="70" t="str">
        <f aca="false">IF($E2721="","",N(INDEX(成本费用登记表!$Q$4:$Y$303,204,9)))</f>
        <v/>
      </c>
      <c r="J2721" s="67" t="str">
        <f aca="false">IF($E2721="","",INDEX(成本费用登记表!$C$4:$C$303,204))</f>
        <v/>
      </c>
      <c r="K2721" s="67" t="str">
        <f aca="false">IF($E2721="","",INDEX(成本费用登记表!$D$4:$D$303,204))</f>
        <v/>
      </c>
      <c r="L2721" s="107" t="str">
        <f aca="false">IF($E2721="","",INDEX(成本费用登记表!$N$4:$N$303,204))</f>
        <v/>
      </c>
      <c r="M2721" s="107"/>
      <c r="N2721" s="67" t="str">
        <f aca="false">IF($E2721="","","系统")</f>
        <v/>
      </c>
      <c r="O2721" s="67" t="str">
        <f aca="false">IF($E2721="","","自动C")</f>
        <v/>
      </c>
      <c r="P2721" s="18"/>
    </row>
    <row r="2722" customFormat="false" ht="18" hidden="false" customHeight="true" outlineLevel="0" collapsed="false">
      <c r="A2722" s="107" t="str">
        <f aca="false">IF($E2722="","",ROW()-3)</f>
        <v/>
      </c>
      <c r="B2722" s="110" t="str">
        <f aca="false">IF($E2722="","",INDEX(成本费用登记表!$B$4:$B$303,205))</f>
        <v/>
      </c>
      <c r="C2722" s="67" t="str">
        <f aca="false">IF($E2722="","","记-"&amp;TEXT($B2722,"YYYYMM")&amp;"-费用")</f>
        <v/>
      </c>
      <c r="D2722" s="107" t="str">
        <f aca="false">IF($E2722="","",INDEX(成本费用登记表!$E$4:$E$303,205))</f>
        <v/>
      </c>
      <c r="E2722" s="67" t="str">
        <f aca="false">IF(INDEX(成本费用登记表!$Q$4:$Y$303,205,1)=0,"",INDEX(成本费用登记表!$Q$4:$Y$303,205,1))</f>
        <v/>
      </c>
      <c r="F2722" s="99" t="str">
        <f aca="false">IF($E2722="","",IFERROR(INDEX(科目表!$A$4:$A$81,MATCH($E2722,科目表!$B$4:$B$81,0)),""))</f>
        <v/>
      </c>
      <c r="G2722" s="67" t="str">
        <f aca="false">IF($E2722="","",IFERROR(INDEX(科目表!$E$4:$E$81,MATCH($E2722,科目表!$B$4:$B$81,0)),""))</f>
        <v/>
      </c>
      <c r="H2722" s="70" t="str">
        <f aca="false">IF($E2722="","",N(INDEX(成本费用登记表!$Q$4:$Y$303,205,2)))</f>
        <v/>
      </c>
      <c r="I2722" s="70" t="str">
        <f aca="false">IF($E2722="","",N(INDEX(成本费用登记表!$Q$4:$Y$303,205,3)))</f>
        <v/>
      </c>
      <c r="J2722" s="67" t="str">
        <f aca="false">IF($E2722="","",INDEX(成本费用登记表!$C$4:$C$303,205))</f>
        <v/>
      </c>
      <c r="K2722" s="67" t="str">
        <f aca="false">IF($E2722="","",INDEX(成本费用登记表!$D$4:$D$303,205))</f>
        <v/>
      </c>
      <c r="L2722" s="107" t="str">
        <f aca="false">IF($E2722="","",INDEX(成本费用登记表!$N$4:$N$303,205))</f>
        <v/>
      </c>
      <c r="M2722" s="107"/>
      <c r="N2722" s="67" t="str">
        <f aca="false">IF($E2722="","","系统")</f>
        <v/>
      </c>
      <c r="O2722" s="67" t="str">
        <f aca="false">IF($E2722="","","自动C")</f>
        <v/>
      </c>
      <c r="P2722" s="18"/>
    </row>
    <row r="2723" customFormat="false" ht="18" hidden="false" customHeight="true" outlineLevel="0" collapsed="false">
      <c r="A2723" s="107" t="str">
        <f aca="false">IF($E2723="","",ROW()-3)</f>
        <v/>
      </c>
      <c r="B2723" s="110" t="str">
        <f aca="false">IF($E2723="","",INDEX(成本费用登记表!$B$4:$B$303,205))</f>
        <v/>
      </c>
      <c r="C2723" s="67" t="str">
        <f aca="false">IF($E2723="","","记-"&amp;TEXT($B2723,"YYYYMM")&amp;"-费用")</f>
        <v/>
      </c>
      <c r="D2723" s="107" t="str">
        <f aca="false">IF($E2723="","",INDEX(成本费用登记表!$E$4:$E$303,205))</f>
        <v/>
      </c>
      <c r="E2723" s="67" t="str">
        <f aca="false">IF(INDEX(成本费用登记表!$Q$4:$Y$303,205,4)=0,"",INDEX(成本费用登记表!$Q$4:$Y$303,205,4))</f>
        <v/>
      </c>
      <c r="F2723" s="99" t="str">
        <f aca="false">IF($E2723="","",IFERROR(INDEX(科目表!$A$4:$A$81,MATCH($E2723,科目表!$B$4:$B$81,0)),""))</f>
        <v/>
      </c>
      <c r="G2723" s="67" t="str">
        <f aca="false">IF($E2723="","",IFERROR(INDEX(科目表!$E$4:$E$81,MATCH($E2723,科目表!$B$4:$B$81,0)),""))</f>
        <v/>
      </c>
      <c r="H2723" s="70" t="str">
        <f aca="false">IF($E2723="","",N(INDEX(成本费用登记表!$Q$4:$Y$303,205,5)))</f>
        <v/>
      </c>
      <c r="I2723" s="70" t="str">
        <f aca="false">IF($E2723="","",N(INDEX(成本费用登记表!$Q$4:$Y$303,205,6)))</f>
        <v/>
      </c>
      <c r="J2723" s="67" t="str">
        <f aca="false">IF($E2723="","",INDEX(成本费用登记表!$C$4:$C$303,205))</f>
        <v/>
      </c>
      <c r="K2723" s="67" t="str">
        <f aca="false">IF($E2723="","",INDEX(成本费用登记表!$D$4:$D$303,205))</f>
        <v/>
      </c>
      <c r="L2723" s="107" t="str">
        <f aca="false">IF($E2723="","",INDEX(成本费用登记表!$N$4:$N$303,205))</f>
        <v/>
      </c>
      <c r="M2723" s="107"/>
      <c r="N2723" s="67" t="str">
        <f aca="false">IF($E2723="","","系统")</f>
        <v/>
      </c>
      <c r="O2723" s="67" t="str">
        <f aca="false">IF($E2723="","","自动C")</f>
        <v/>
      </c>
      <c r="P2723" s="18"/>
    </row>
    <row r="2724" customFormat="false" ht="18" hidden="false" customHeight="true" outlineLevel="0" collapsed="false">
      <c r="A2724" s="107" t="str">
        <f aca="false">IF($E2724="","",ROW()-3)</f>
        <v/>
      </c>
      <c r="B2724" s="110" t="str">
        <f aca="false">IF($E2724="","",INDEX(成本费用登记表!$B$4:$B$303,205))</f>
        <v/>
      </c>
      <c r="C2724" s="67" t="str">
        <f aca="false">IF($E2724="","","记-"&amp;TEXT($B2724,"YYYYMM")&amp;"-费用")</f>
        <v/>
      </c>
      <c r="D2724" s="107" t="str">
        <f aca="false">IF($E2724="","",INDEX(成本费用登记表!$E$4:$E$303,205))</f>
        <v/>
      </c>
      <c r="E2724" s="67" t="str">
        <f aca="false">IF(INDEX(成本费用登记表!$Q$4:$Y$303,205,7)=0,"",INDEX(成本费用登记表!$Q$4:$Y$303,205,7))</f>
        <v/>
      </c>
      <c r="F2724" s="99" t="str">
        <f aca="false">IF($E2724="","",IFERROR(INDEX(科目表!$A$4:$A$81,MATCH($E2724,科目表!$B$4:$B$81,0)),""))</f>
        <v/>
      </c>
      <c r="G2724" s="67" t="str">
        <f aca="false">IF($E2724="","",IFERROR(INDEX(科目表!$E$4:$E$81,MATCH($E2724,科目表!$B$4:$B$81,0)),""))</f>
        <v/>
      </c>
      <c r="H2724" s="70" t="str">
        <f aca="false">IF($E2724="","",N(INDEX(成本费用登记表!$Q$4:$Y$303,205,8)))</f>
        <v/>
      </c>
      <c r="I2724" s="70" t="str">
        <f aca="false">IF($E2724="","",N(INDEX(成本费用登记表!$Q$4:$Y$303,205,9)))</f>
        <v/>
      </c>
      <c r="J2724" s="67" t="str">
        <f aca="false">IF($E2724="","",INDEX(成本费用登记表!$C$4:$C$303,205))</f>
        <v/>
      </c>
      <c r="K2724" s="67" t="str">
        <f aca="false">IF($E2724="","",INDEX(成本费用登记表!$D$4:$D$303,205))</f>
        <v/>
      </c>
      <c r="L2724" s="107" t="str">
        <f aca="false">IF($E2724="","",INDEX(成本费用登记表!$N$4:$N$303,205))</f>
        <v/>
      </c>
      <c r="M2724" s="107"/>
      <c r="N2724" s="67" t="str">
        <f aca="false">IF($E2724="","","系统")</f>
        <v/>
      </c>
      <c r="O2724" s="67" t="str">
        <f aca="false">IF($E2724="","","自动C")</f>
        <v/>
      </c>
      <c r="P2724" s="18"/>
    </row>
    <row r="2725" customFormat="false" ht="18" hidden="false" customHeight="true" outlineLevel="0" collapsed="false">
      <c r="A2725" s="107" t="str">
        <f aca="false">IF($E2725="","",ROW()-3)</f>
        <v/>
      </c>
      <c r="B2725" s="110" t="str">
        <f aca="false">IF($E2725="","",INDEX(成本费用登记表!$B$4:$B$303,206))</f>
        <v/>
      </c>
      <c r="C2725" s="67" t="str">
        <f aca="false">IF($E2725="","","记-"&amp;TEXT($B2725,"YYYYMM")&amp;"-费用")</f>
        <v/>
      </c>
      <c r="D2725" s="107" t="str">
        <f aca="false">IF($E2725="","",INDEX(成本费用登记表!$E$4:$E$303,206))</f>
        <v/>
      </c>
      <c r="E2725" s="67" t="str">
        <f aca="false">IF(INDEX(成本费用登记表!$Q$4:$Y$303,206,1)=0,"",INDEX(成本费用登记表!$Q$4:$Y$303,206,1))</f>
        <v/>
      </c>
      <c r="F2725" s="99" t="str">
        <f aca="false">IF($E2725="","",IFERROR(INDEX(科目表!$A$4:$A$81,MATCH($E2725,科目表!$B$4:$B$81,0)),""))</f>
        <v/>
      </c>
      <c r="G2725" s="67" t="str">
        <f aca="false">IF($E2725="","",IFERROR(INDEX(科目表!$E$4:$E$81,MATCH($E2725,科目表!$B$4:$B$81,0)),""))</f>
        <v/>
      </c>
      <c r="H2725" s="70" t="str">
        <f aca="false">IF($E2725="","",N(INDEX(成本费用登记表!$Q$4:$Y$303,206,2)))</f>
        <v/>
      </c>
      <c r="I2725" s="70" t="str">
        <f aca="false">IF($E2725="","",N(INDEX(成本费用登记表!$Q$4:$Y$303,206,3)))</f>
        <v/>
      </c>
      <c r="J2725" s="67" t="str">
        <f aca="false">IF($E2725="","",INDEX(成本费用登记表!$C$4:$C$303,206))</f>
        <v/>
      </c>
      <c r="K2725" s="67" t="str">
        <f aca="false">IF($E2725="","",INDEX(成本费用登记表!$D$4:$D$303,206))</f>
        <v/>
      </c>
      <c r="L2725" s="107" t="str">
        <f aca="false">IF($E2725="","",INDEX(成本费用登记表!$N$4:$N$303,206))</f>
        <v/>
      </c>
      <c r="M2725" s="107"/>
      <c r="N2725" s="67" t="str">
        <f aca="false">IF($E2725="","","系统")</f>
        <v/>
      </c>
      <c r="O2725" s="67" t="str">
        <f aca="false">IF($E2725="","","自动C")</f>
        <v/>
      </c>
      <c r="P2725" s="18"/>
    </row>
    <row r="2726" customFormat="false" ht="18" hidden="false" customHeight="true" outlineLevel="0" collapsed="false">
      <c r="A2726" s="107" t="str">
        <f aca="false">IF($E2726="","",ROW()-3)</f>
        <v/>
      </c>
      <c r="B2726" s="110" t="str">
        <f aca="false">IF($E2726="","",INDEX(成本费用登记表!$B$4:$B$303,206))</f>
        <v/>
      </c>
      <c r="C2726" s="67" t="str">
        <f aca="false">IF($E2726="","","记-"&amp;TEXT($B2726,"YYYYMM")&amp;"-费用")</f>
        <v/>
      </c>
      <c r="D2726" s="107" t="str">
        <f aca="false">IF($E2726="","",INDEX(成本费用登记表!$E$4:$E$303,206))</f>
        <v/>
      </c>
      <c r="E2726" s="67" t="str">
        <f aca="false">IF(INDEX(成本费用登记表!$Q$4:$Y$303,206,4)=0,"",INDEX(成本费用登记表!$Q$4:$Y$303,206,4))</f>
        <v/>
      </c>
      <c r="F2726" s="99" t="str">
        <f aca="false">IF($E2726="","",IFERROR(INDEX(科目表!$A$4:$A$81,MATCH($E2726,科目表!$B$4:$B$81,0)),""))</f>
        <v/>
      </c>
      <c r="G2726" s="67" t="str">
        <f aca="false">IF($E2726="","",IFERROR(INDEX(科目表!$E$4:$E$81,MATCH($E2726,科目表!$B$4:$B$81,0)),""))</f>
        <v/>
      </c>
      <c r="H2726" s="70" t="str">
        <f aca="false">IF($E2726="","",N(INDEX(成本费用登记表!$Q$4:$Y$303,206,5)))</f>
        <v/>
      </c>
      <c r="I2726" s="70" t="str">
        <f aca="false">IF($E2726="","",N(INDEX(成本费用登记表!$Q$4:$Y$303,206,6)))</f>
        <v/>
      </c>
      <c r="J2726" s="67" t="str">
        <f aca="false">IF($E2726="","",INDEX(成本费用登记表!$C$4:$C$303,206))</f>
        <v/>
      </c>
      <c r="K2726" s="67" t="str">
        <f aca="false">IF($E2726="","",INDEX(成本费用登记表!$D$4:$D$303,206))</f>
        <v/>
      </c>
      <c r="L2726" s="107" t="str">
        <f aca="false">IF($E2726="","",INDEX(成本费用登记表!$N$4:$N$303,206))</f>
        <v/>
      </c>
      <c r="M2726" s="107"/>
      <c r="N2726" s="67" t="str">
        <f aca="false">IF($E2726="","","系统")</f>
        <v/>
      </c>
      <c r="O2726" s="67" t="str">
        <f aca="false">IF($E2726="","","自动C")</f>
        <v/>
      </c>
      <c r="P2726" s="18"/>
    </row>
    <row r="2727" customFormat="false" ht="18" hidden="false" customHeight="true" outlineLevel="0" collapsed="false">
      <c r="A2727" s="107" t="str">
        <f aca="false">IF($E2727="","",ROW()-3)</f>
        <v/>
      </c>
      <c r="B2727" s="110" t="str">
        <f aca="false">IF($E2727="","",INDEX(成本费用登记表!$B$4:$B$303,206))</f>
        <v/>
      </c>
      <c r="C2727" s="67" t="str">
        <f aca="false">IF($E2727="","","记-"&amp;TEXT($B2727,"YYYYMM")&amp;"-费用")</f>
        <v/>
      </c>
      <c r="D2727" s="107" t="str">
        <f aca="false">IF($E2727="","",INDEX(成本费用登记表!$E$4:$E$303,206))</f>
        <v/>
      </c>
      <c r="E2727" s="67" t="str">
        <f aca="false">IF(INDEX(成本费用登记表!$Q$4:$Y$303,206,7)=0,"",INDEX(成本费用登记表!$Q$4:$Y$303,206,7))</f>
        <v/>
      </c>
      <c r="F2727" s="99" t="str">
        <f aca="false">IF($E2727="","",IFERROR(INDEX(科目表!$A$4:$A$81,MATCH($E2727,科目表!$B$4:$B$81,0)),""))</f>
        <v/>
      </c>
      <c r="G2727" s="67" t="str">
        <f aca="false">IF($E2727="","",IFERROR(INDEX(科目表!$E$4:$E$81,MATCH($E2727,科目表!$B$4:$B$81,0)),""))</f>
        <v/>
      </c>
      <c r="H2727" s="70" t="str">
        <f aca="false">IF($E2727="","",N(INDEX(成本费用登记表!$Q$4:$Y$303,206,8)))</f>
        <v/>
      </c>
      <c r="I2727" s="70" t="str">
        <f aca="false">IF($E2727="","",N(INDEX(成本费用登记表!$Q$4:$Y$303,206,9)))</f>
        <v/>
      </c>
      <c r="J2727" s="67" t="str">
        <f aca="false">IF($E2727="","",INDEX(成本费用登记表!$C$4:$C$303,206))</f>
        <v/>
      </c>
      <c r="K2727" s="67" t="str">
        <f aca="false">IF($E2727="","",INDEX(成本费用登记表!$D$4:$D$303,206))</f>
        <v/>
      </c>
      <c r="L2727" s="107" t="str">
        <f aca="false">IF($E2727="","",INDEX(成本费用登记表!$N$4:$N$303,206))</f>
        <v/>
      </c>
      <c r="M2727" s="107"/>
      <c r="N2727" s="67" t="str">
        <f aca="false">IF($E2727="","","系统")</f>
        <v/>
      </c>
      <c r="O2727" s="67" t="str">
        <f aca="false">IF($E2727="","","自动C")</f>
        <v/>
      </c>
      <c r="P2727" s="18"/>
    </row>
    <row r="2728" customFormat="false" ht="18" hidden="false" customHeight="true" outlineLevel="0" collapsed="false">
      <c r="A2728" s="107" t="str">
        <f aca="false">IF($E2728="","",ROW()-3)</f>
        <v/>
      </c>
      <c r="B2728" s="110" t="str">
        <f aca="false">IF($E2728="","",INDEX(成本费用登记表!$B$4:$B$303,207))</f>
        <v/>
      </c>
      <c r="C2728" s="67" t="str">
        <f aca="false">IF($E2728="","","记-"&amp;TEXT($B2728,"YYYYMM")&amp;"-费用")</f>
        <v/>
      </c>
      <c r="D2728" s="107" t="str">
        <f aca="false">IF($E2728="","",INDEX(成本费用登记表!$E$4:$E$303,207))</f>
        <v/>
      </c>
      <c r="E2728" s="67" t="str">
        <f aca="false">IF(INDEX(成本费用登记表!$Q$4:$Y$303,207,1)=0,"",INDEX(成本费用登记表!$Q$4:$Y$303,207,1))</f>
        <v/>
      </c>
      <c r="F2728" s="99" t="str">
        <f aca="false">IF($E2728="","",IFERROR(INDEX(科目表!$A$4:$A$81,MATCH($E2728,科目表!$B$4:$B$81,0)),""))</f>
        <v/>
      </c>
      <c r="G2728" s="67" t="str">
        <f aca="false">IF($E2728="","",IFERROR(INDEX(科目表!$E$4:$E$81,MATCH($E2728,科目表!$B$4:$B$81,0)),""))</f>
        <v/>
      </c>
      <c r="H2728" s="70" t="str">
        <f aca="false">IF($E2728="","",N(INDEX(成本费用登记表!$Q$4:$Y$303,207,2)))</f>
        <v/>
      </c>
      <c r="I2728" s="70" t="str">
        <f aca="false">IF($E2728="","",N(INDEX(成本费用登记表!$Q$4:$Y$303,207,3)))</f>
        <v/>
      </c>
      <c r="J2728" s="67" t="str">
        <f aca="false">IF($E2728="","",INDEX(成本费用登记表!$C$4:$C$303,207))</f>
        <v/>
      </c>
      <c r="K2728" s="67" t="str">
        <f aca="false">IF($E2728="","",INDEX(成本费用登记表!$D$4:$D$303,207))</f>
        <v/>
      </c>
      <c r="L2728" s="107" t="str">
        <f aca="false">IF($E2728="","",INDEX(成本费用登记表!$N$4:$N$303,207))</f>
        <v/>
      </c>
      <c r="M2728" s="107"/>
      <c r="N2728" s="67" t="str">
        <f aca="false">IF($E2728="","","系统")</f>
        <v/>
      </c>
      <c r="O2728" s="67" t="str">
        <f aca="false">IF($E2728="","","自动C")</f>
        <v/>
      </c>
      <c r="P2728" s="18"/>
    </row>
    <row r="2729" customFormat="false" ht="18" hidden="false" customHeight="true" outlineLevel="0" collapsed="false">
      <c r="A2729" s="107" t="str">
        <f aca="false">IF($E2729="","",ROW()-3)</f>
        <v/>
      </c>
      <c r="B2729" s="110" t="str">
        <f aca="false">IF($E2729="","",INDEX(成本费用登记表!$B$4:$B$303,207))</f>
        <v/>
      </c>
      <c r="C2729" s="67" t="str">
        <f aca="false">IF($E2729="","","记-"&amp;TEXT($B2729,"YYYYMM")&amp;"-费用")</f>
        <v/>
      </c>
      <c r="D2729" s="107" t="str">
        <f aca="false">IF($E2729="","",INDEX(成本费用登记表!$E$4:$E$303,207))</f>
        <v/>
      </c>
      <c r="E2729" s="67" t="str">
        <f aca="false">IF(INDEX(成本费用登记表!$Q$4:$Y$303,207,4)=0,"",INDEX(成本费用登记表!$Q$4:$Y$303,207,4))</f>
        <v/>
      </c>
      <c r="F2729" s="99" t="str">
        <f aca="false">IF($E2729="","",IFERROR(INDEX(科目表!$A$4:$A$81,MATCH($E2729,科目表!$B$4:$B$81,0)),""))</f>
        <v/>
      </c>
      <c r="G2729" s="67" t="str">
        <f aca="false">IF($E2729="","",IFERROR(INDEX(科目表!$E$4:$E$81,MATCH($E2729,科目表!$B$4:$B$81,0)),""))</f>
        <v/>
      </c>
      <c r="H2729" s="70" t="str">
        <f aca="false">IF($E2729="","",N(INDEX(成本费用登记表!$Q$4:$Y$303,207,5)))</f>
        <v/>
      </c>
      <c r="I2729" s="70" t="str">
        <f aca="false">IF($E2729="","",N(INDEX(成本费用登记表!$Q$4:$Y$303,207,6)))</f>
        <v/>
      </c>
      <c r="J2729" s="67" t="str">
        <f aca="false">IF($E2729="","",INDEX(成本费用登记表!$C$4:$C$303,207))</f>
        <v/>
      </c>
      <c r="K2729" s="67" t="str">
        <f aca="false">IF($E2729="","",INDEX(成本费用登记表!$D$4:$D$303,207))</f>
        <v/>
      </c>
      <c r="L2729" s="107" t="str">
        <f aca="false">IF($E2729="","",INDEX(成本费用登记表!$N$4:$N$303,207))</f>
        <v/>
      </c>
      <c r="M2729" s="107"/>
      <c r="N2729" s="67" t="str">
        <f aca="false">IF($E2729="","","系统")</f>
        <v/>
      </c>
      <c r="O2729" s="67" t="str">
        <f aca="false">IF($E2729="","","自动C")</f>
        <v/>
      </c>
      <c r="P2729" s="18"/>
    </row>
    <row r="2730" customFormat="false" ht="18" hidden="false" customHeight="true" outlineLevel="0" collapsed="false">
      <c r="A2730" s="107" t="str">
        <f aca="false">IF($E2730="","",ROW()-3)</f>
        <v/>
      </c>
      <c r="B2730" s="110" t="str">
        <f aca="false">IF($E2730="","",INDEX(成本费用登记表!$B$4:$B$303,207))</f>
        <v/>
      </c>
      <c r="C2730" s="67" t="str">
        <f aca="false">IF($E2730="","","记-"&amp;TEXT($B2730,"YYYYMM")&amp;"-费用")</f>
        <v/>
      </c>
      <c r="D2730" s="107" t="str">
        <f aca="false">IF($E2730="","",INDEX(成本费用登记表!$E$4:$E$303,207))</f>
        <v/>
      </c>
      <c r="E2730" s="67" t="str">
        <f aca="false">IF(INDEX(成本费用登记表!$Q$4:$Y$303,207,7)=0,"",INDEX(成本费用登记表!$Q$4:$Y$303,207,7))</f>
        <v/>
      </c>
      <c r="F2730" s="99" t="str">
        <f aca="false">IF($E2730="","",IFERROR(INDEX(科目表!$A$4:$A$81,MATCH($E2730,科目表!$B$4:$B$81,0)),""))</f>
        <v/>
      </c>
      <c r="G2730" s="67" t="str">
        <f aca="false">IF($E2730="","",IFERROR(INDEX(科目表!$E$4:$E$81,MATCH($E2730,科目表!$B$4:$B$81,0)),""))</f>
        <v/>
      </c>
      <c r="H2730" s="70" t="str">
        <f aca="false">IF($E2730="","",N(INDEX(成本费用登记表!$Q$4:$Y$303,207,8)))</f>
        <v/>
      </c>
      <c r="I2730" s="70" t="str">
        <f aca="false">IF($E2730="","",N(INDEX(成本费用登记表!$Q$4:$Y$303,207,9)))</f>
        <v/>
      </c>
      <c r="J2730" s="67" t="str">
        <f aca="false">IF($E2730="","",INDEX(成本费用登记表!$C$4:$C$303,207))</f>
        <v/>
      </c>
      <c r="K2730" s="67" t="str">
        <f aca="false">IF($E2730="","",INDEX(成本费用登记表!$D$4:$D$303,207))</f>
        <v/>
      </c>
      <c r="L2730" s="107" t="str">
        <f aca="false">IF($E2730="","",INDEX(成本费用登记表!$N$4:$N$303,207))</f>
        <v/>
      </c>
      <c r="M2730" s="107"/>
      <c r="N2730" s="67" t="str">
        <f aca="false">IF($E2730="","","系统")</f>
        <v/>
      </c>
      <c r="O2730" s="67" t="str">
        <f aca="false">IF($E2730="","","自动C")</f>
        <v/>
      </c>
      <c r="P2730" s="18"/>
    </row>
    <row r="2731" customFormat="false" ht="18" hidden="false" customHeight="true" outlineLevel="0" collapsed="false">
      <c r="A2731" s="107" t="str">
        <f aca="false">IF($E2731="","",ROW()-3)</f>
        <v/>
      </c>
      <c r="B2731" s="110" t="str">
        <f aca="false">IF($E2731="","",INDEX(成本费用登记表!$B$4:$B$303,208))</f>
        <v/>
      </c>
      <c r="C2731" s="67" t="str">
        <f aca="false">IF($E2731="","","记-"&amp;TEXT($B2731,"YYYYMM")&amp;"-费用")</f>
        <v/>
      </c>
      <c r="D2731" s="107" t="str">
        <f aca="false">IF($E2731="","",INDEX(成本费用登记表!$E$4:$E$303,208))</f>
        <v/>
      </c>
      <c r="E2731" s="67" t="str">
        <f aca="false">IF(INDEX(成本费用登记表!$Q$4:$Y$303,208,1)=0,"",INDEX(成本费用登记表!$Q$4:$Y$303,208,1))</f>
        <v/>
      </c>
      <c r="F2731" s="99" t="str">
        <f aca="false">IF($E2731="","",IFERROR(INDEX(科目表!$A$4:$A$81,MATCH($E2731,科目表!$B$4:$B$81,0)),""))</f>
        <v/>
      </c>
      <c r="G2731" s="67" t="str">
        <f aca="false">IF($E2731="","",IFERROR(INDEX(科目表!$E$4:$E$81,MATCH($E2731,科目表!$B$4:$B$81,0)),""))</f>
        <v/>
      </c>
      <c r="H2731" s="70" t="str">
        <f aca="false">IF($E2731="","",N(INDEX(成本费用登记表!$Q$4:$Y$303,208,2)))</f>
        <v/>
      </c>
      <c r="I2731" s="70" t="str">
        <f aca="false">IF($E2731="","",N(INDEX(成本费用登记表!$Q$4:$Y$303,208,3)))</f>
        <v/>
      </c>
      <c r="J2731" s="67" t="str">
        <f aca="false">IF($E2731="","",INDEX(成本费用登记表!$C$4:$C$303,208))</f>
        <v/>
      </c>
      <c r="K2731" s="67" t="str">
        <f aca="false">IF($E2731="","",INDEX(成本费用登记表!$D$4:$D$303,208))</f>
        <v/>
      </c>
      <c r="L2731" s="107" t="str">
        <f aca="false">IF($E2731="","",INDEX(成本费用登记表!$N$4:$N$303,208))</f>
        <v/>
      </c>
      <c r="M2731" s="107"/>
      <c r="N2731" s="67" t="str">
        <f aca="false">IF($E2731="","","系统")</f>
        <v/>
      </c>
      <c r="O2731" s="67" t="str">
        <f aca="false">IF($E2731="","","自动C")</f>
        <v/>
      </c>
      <c r="P2731" s="18"/>
    </row>
    <row r="2732" customFormat="false" ht="18" hidden="false" customHeight="true" outlineLevel="0" collapsed="false">
      <c r="A2732" s="107" t="str">
        <f aca="false">IF($E2732="","",ROW()-3)</f>
        <v/>
      </c>
      <c r="B2732" s="110" t="str">
        <f aca="false">IF($E2732="","",INDEX(成本费用登记表!$B$4:$B$303,208))</f>
        <v/>
      </c>
      <c r="C2732" s="67" t="str">
        <f aca="false">IF($E2732="","","记-"&amp;TEXT($B2732,"YYYYMM")&amp;"-费用")</f>
        <v/>
      </c>
      <c r="D2732" s="107" t="str">
        <f aca="false">IF($E2732="","",INDEX(成本费用登记表!$E$4:$E$303,208))</f>
        <v/>
      </c>
      <c r="E2732" s="67" t="str">
        <f aca="false">IF(INDEX(成本费用登记表!$Q$4:$Y$303,208,4)=0,"",INDEX(成本费用登记表!$Q$4:$Y$303,208,4))</f>
        <v/>
      </c>
      <c r="F2732" s="99" t="str">
        <f aca="false">IF($E2732="","",IFERROR(INDEX(科目表!$A$4:$A$81,MATCH($E2732,科目表!$B$4:$B$81,0)),""))</f>
        <v/>
      </c>
      <c r="G2732" s="67" t="str">
        <f aca="false">IF($E2732="","",IFERROR(INDEX(科目表!$E$4:$E$81,MATCH($E2732,科目表!$B$4:$B$81,0)),""))</f>
        <v/>
      </c>
      <c r="H2732" s="70" t="str">
        <f aca="false">IF($E2732="","",N(INDEX(成本费用登记表!$Q$4:$Y$303,208,5)))</f>
        <v/>
      </c>
      <c r="I2732" s="70" t="str">
        <f aca="false">IF($E2732="","",N(INDEX(成本费用登记表!$Q$4:$Y$303,208,6)))</f>
        <v/>
      </c>
      <c r="J2732" s="67" t="str">
        <f aca="false">IF($E2732="","",INDEX(成本费用登记表!$C$4:$C$303,208))</f>
        <v/>
      </c>
      <c r="K2732" s="67" t="str">
        <f aca="false">IF($E2732="","",INDEX(成本费用登记表!$D$4:$D$303,208))</f>
        <v/>
      </c>
      <c r="L2732" s="107" t="str">
        <f aca="false">IF($E2732="","",INDEX(成本费用登记表!$N$4:$N$303,208))</f>
        <v/>
      </c>
      <c r="M2732" s="107"/>
      <c r="N2732" s="67" t="str">
        <f aca="false">IF($E2732="","","系统")</f>
        <v/>
      </c>
      <c r="O2732" s="67" t="str">
        <f aca="false">IF($E2732="","","自动C")</f>
        <v/>
      </c>
      <c r="P2732" s="18"/>
    </row>
    <row r="2733" customFormat="false" ht="18" hidden="false" customHeight="true" outlineLevel="0" collapsed="false">
      <c r="A2733" s="107" t="str">
        <f aca="false">IF($E2733="","",ROW()-3)</f>
        <v/>
      </c>
      <c r="B2733" s="110" t="str">
        <f aca="false">IF($E2733="","",INDEX(成本费用登记表!$B$4:$B$303,208))</f>
        <v/>
      </c>
      <c r="C2733" s="67" t="str">
        <f aca="false">IF($E2733="","","记-"&amp;TEXT($B2733,"YYYYMM")&amp;"-费用")</f>
        <v/>
      </c>
      <c r="D2733" s="107" t="str">
        <f aca="false">IF($E2733="","",INDEX(成本费用登记表!$E$4:$E$303,208))</f>
        <v/>
      </c>
      <c r="E2733" s="67" t="str">
        <f aca="false">IF(INDEX(成本费用登记表!$Q$4:$Y$303,208,7)=0,"",INDEX(成本费用登记表!$Q$4:$Y$303,208,7))</f>
        <v/>
      </c>
      <c r="F2733" s="99" t="str">
        <f aca="false">IF($E2733="","",IFERROR(INDEX(科目表!$A$4:$A$81,MATCH($E2733,科目表!$B$4:$B$81,0)),""))</f>
        <v/>
      </c>
      <c r="G2733" s="67" t="str">
        <f aca="false">IF($E2733="","",IFERROR(INDEX(科目表!$E$4:$E$81,MATCH($E2733,科目表!$B$4:$B$81,0)),""))</f>
        <v/>
      </c>
      <c r="H2733" s="70" t="str">
        <f aca="false">IF($E2733="","",N(INDEX(成本费用登记表!$Q$4:$Y$303,208,8)))</f>
        <v/>
      </c>
      <c r="I2733" s="70" t="str">
        <f aca="false">IF($E2733="","",N(INDEX(成本费用登记表!$Q$4:$Y$303,208,9)))</f>
        <v/>
      </c>
      <c r="J2733" s="67" t="str">
        <f aca="false">IF($E2733="","",INDEX(成本费用登记表!$C$4:$C$303,208))</f>
        <v/>
      </c>
      <c r="K2733" s="67" t="str">
        <f aca="false">IF($E2733="","",INDEX(成本费用登记表!$D$4:$D$303,208))</f>
        <v/>
      </c>
      <c r="L2733" s="107" t="str">
        <f aca="false">IF($E2733="","",INDEX(成本费用登记表!$N$4:$N$303,208))</f>
        <v/>
      </c>
      <c r="M2733" s="107"/>
      <c r="N2733" s="67" t="str">
        <f aca="false">IF($E2733="","","系统")</f>
        <v/>
      </c>
      <c r="O2733" s="67" t="str">
        <f aca="false">IF($E2733="","","自动C")</f>
        <v/>
      </c>
      <c r="P2733" s="18"/>
    </row>
    <row r="2734" customFormat="false" ht="18" hidden="false" customHeight="true" outlineLevel="0" collapsed="false">
      <c r="A2734" s="107" t="str">
        <f aca="false">IF($E2734="","",ROW()-3)</f>
        <v/>
      </c>
      <c r="B2734" s="110" t="str">
        <f aca="false">IF($E2734="","",INDEX(成本费用登记表!$B$4:$B$303,209))</f>
        <v/>
      </c>
      <c r="C2734" s="67" t="str">
        <f aca="false">IF($E2734="","","记-"&amp;TEXT($B2734,"YYYYMM")&amp;"-费用")</f>
        <v/>
      </c>
      <c r="D2734" s="107" t="str">
        <f aca="false">IF($E2734="","",INDEX(成本费用登记表!$E$4:$E$303,209))</f>
        <v/>
      </c>
      <c r="E2734" s="67" t="str">
        <f aca="false">IF(INDEX(成本费用登记表!$Q$4:$Y$303,209,1)=0,"",INDEX(成本费用登记表!$Q$4:$Y$303,209,1))</f>
        <v/>
      </c>
      <c r="F2734" s="99" t="str">
        <f aca="false">IF($E2734="","",IFERROR(INDEX(科目表!$A$4:$A$81,MATCH($E2734,科目表!$B$4:$B$81,0)),""))</f>
        <v/>
      </c>
      <c r="G2734" s="67" t="str">
        <f aca="false">IF($E2734="","",IFERROR(INDEX(科目表!$E$4:$E$81,MATCH($E2734,科目表!$B$4:$B$81,0)),""))</f>
        <v/>
      </c>
      <c r="H2734" s="70" t="str">
        <f aca="false">IF($E2734="","",N(INDEX(成本费用登记表!$Q$4:$Y$303,209,2)))</f>
        <v/>
      </c>
      <c r="I2734" s="70" t="str">
        <f aca="false">IF($E2734="","",N(INDEX(成本费用登记表!$Q$4:$Y$303,209,3)))</f>
        <v/>
      </c>
      <c r="J2734" s="67" t="str">
        <f aca="false">IF($E2734="","",INDEX(成本费用登记表!$C$4:$C$303,209))</f>
        <v/>
      </c>
      <c r="K2734" s="67" t="str">
        <f aca="false">IF($E2734="","",INDEX(成本费用登记表!$D$4:$D$303,209))</f>
        <v/>
      </c>
      <c r="L2734" s="107" t="str">
        <f aca="false">IF($E2734="","",INDEX(成本费用登记表!$N$4:$N$303,209))</f>
        <v/>
      </c>
      <c r="M2734" s="107"/>
      <c r="N2734" s="67" t="str">
        <f aca="false">IF($E2734="","","系统")</f>
        <v/>
      </c>
      <c r="O2734" s="67" t="str">
        <f aca="false">IF($E2734="","","自动C")</f>
        <v/>
      </c>
      <c r="P2734" s="18"/>
    </row>
    <row r="2735" customFormat="false" ht="18" hidden="false" customHeight="true" outlineLevel="0" collapsed="false">
      <c r="A2735" s="107" t="str">
        <f aca="false">IF($E2735="","",ROW()-3)</f>
        <v/>
      </c>
      <c r="B2735" s="110" t="str">
        <f aca="false">IF($E2735="","",INDEX(成本费用登记表!$B$4:$B$303,209))</f>
        <v/>
      </c>
      <c r="C2735" s="67" t="str">
        <f aca="false">IF($E2735="","","记-"&amp;TEXT($B2735,"YYYYMM")&amp;"-费用")</f>
        <v/>
      </c>
      <c r="D2735" s="107" t="str">
        <f aca="false">IF($E2735="","",INDEX(成本费用登记表!$E$4:$E$303,209))</f>
        <v/>
      </c>
      <c r="E2735" s="67" t="str">
        <f aca="false">IF(INDEX(成本费用登记表!$Q$4:$Y$303,209,4)=0,"",INDEX(成本费用登记表!$Q$4:$Y$303,209,4))</f>
        <v/>
      </c>
      <c r="F2735" s="99" t="str">
        <f aca="false">IF($E2735="","",IFERROR(INDEX(科目表!$A$4:$A$81,MATCH($E2735,科目表!$B$4:$B$81,0)),""))</f>
        <v/>
      </c>
      <c r="G2735" s="67" t="str">
        <f aca="false">IF($E2735="","",IFERROR(INDEX(科目表!$E$4:$E$81,MATCH($E2735,科目表!$B$4:$B$81,0)),""))</f>
        <v/>
      </c>
      <c r="H2735" s="70" t="str">
        <f aca="false">IF($E2735="","",N(INDEX(成本费用登记表!$Q$4:$Y$303,209,5)))</f>
        <v/>
      </c>
      <c r="I2735" s="70" t="str">
        <f aca="false">IF($E2735="","",N(INDEX(成本费用登记表!$Q$4:$Y$303,209,6)))</f>
        <v/>
      </c>
      <c r="J2735" s="67" t="str">
        <f aca="false">IF($E2735="","",INDEX(成本费用登记表!$C$4:$C$303,209))</f>
        <v/>
      </c>
      <c r="K2735" s="67" t="str">
        <f aca="false">IF($E2735="","",INDEX(成本费用登记表!$D$4:$D$303,209))</f>
        <v/>
      </c>
      <c r="L2735" s="107" t="str">
        <f aca="false">IF($E2735="","",INDEX(成本费用登记表!$N$4:$N$303,209))</f>
        <v/>
      </c>
      <c r="M2735" s="107"/>
      <c r="N2735" s="67" t="str">
        <f aca="false">IF($E2735="","","系统")</f>
        <v/>
      </c>
      <c r="O2735" s="67" t="str">
        <f aca="false">IF($E2735="","","自动C")</f>
        <v/>
      </c>
      <c r="P2735" s="18"/>
    </row>
    <row r="2736" customFormat="false" ht="18" hidden="false" customHeight="true" outlineLevel="0" collapsed="false">
      <c r="A2736" s="107" t="str">
        <f aca="false">IF($E2736="","",ROW()-3)</f>
        <v/>
      </c>
      <c r="B2736" s="110" t="str">
        <f aca="false">IF($E2736="","",INDEX(成本费用登记表!$B$4:$B$303,209))</f>
        <v/>
      </c>
      <c r="C2736" s="67" t="str">
        <f aca="false">IF($E2736="","","记-"&amp;TEXT($B2736,"YYYYMM")&amp;"-费用")</f>
        <v/>
      </c>
      <c r="D2736" s="107" t="str">
        <f aca="false">IF($E2736="","",INDEX(成本费用登记表!$E$4:$E$303,209))</f>
        <v/>
      </c>
      <c r="E2736" s="67" t="str">
        <f aca="false">IF(INDEX(成本费用登记表!$Q$4:$Y$303,209,7)=0,"",INDEX(成本费用登记表!$Q$4:$Y$303,209,7))</f>
        <v/>
      </c>
      <c r="F2736" s="99" t="str">
        <f aca="false">IF($E2736="","",IFERROR(INDEX(科目表!$A$4:$A$81,MATCH($E2736,科目表!$B$4:$B$81,0)),""))</f>
        <v/>
      </c>
      <c r="G2736" s="67" t="str">
        <f aca="false">IF($E2736="","",IFERROR(INDEX(科目表!$E$4:$E$81,MATCH($E2736,科目表!$B$4:$B$81,0)),""))</f>
        <v/>
      </c>
      <c r="H2736" s="70" t="str">
        <f aca="false">IF($E2736="","",N(INDEX(成本费用登记表!$Q$4:$Y$303,209,8)))</f>
        <v/>
      </c>
      <c r="I2736" s="70" t="str">
        <f aca="false">IF($E2736="","",N(INDEX(成本费用登记表!$Q$4:$Y$303,209,9)))</f>
        <v/>
      </c>
      <c r="J2736" s="67" t="str">
        <f aca="false">IF($E2736="","",INDEX(成本费用登记表!$C$4:$C$303,209))</f>
        <v/>
      </c>
      <c r="K2736" s="67" t="str">
        <f aca="false">IF($E2736="","",INDEX(成本费用登记表!$D$4:$D$303,209))</f>
        <v/>
      </c>
      <c r="L2736" s="107" t="str">
        <f aca="false">IF($E2736="","",INDEX(成本费用登记表!$N$4:$N$303,209))</f>
        <v/>
      </c>
      <c r="M2736" s="107"/>
      <c r="N2736" s="67" t="str">
        <f aca="false">IF($E2736="","","系统")</f>
        <v/>
      </c>
      <c r="O2736" s="67" t="str">
        <f aca="false">IF($E2736="","","自动C")</f>
        <v/>
      </c>
      <c r="P2736" s="18"/>
    </row>
    <row r="2737" customFormat="false" ht="18" hidden="false" customHeight="true" outlineLevel="0" collapsed="false">
      <c r="A2737" s="107" t="str">
        <f aca="false">IF($E2737="","",ROW()-3)</f>
        <v/>
      </c>
      <c r="B2737" s="110" t="str">
        <f aca="false">IF($E2737="","",INDEX(成本费用登记表!$B$4:$B$303,210))</f>
        <v/>
      </c>
      <c r="C2737" s="67" t="str">
        <f aca="false">IF($E2737="","","记-"&amp;TEXT($B2737,"YYYYMM")&amp;"-费用")</f>
        <v/>
      </c>
      <c r="D2737" s="107" t="str">
        <f aca="false">IF($E2737="","",INDEX(成本费用登记表!$E$4:$E$303,210))</f>
        <v/>
      </c>
      <c r="E2737" s="67" t="str">
        <f aca="false">IF(INDEX(成本费用登记表!$Q$4:$Y$303,210,1)=0,"",INDEX(成本费用登记表!$Q$4:$Y$303,210,1))</f>
        <v/>
      </c>
      <c r="F2737" s="99" t="str">
        <f aca="false">IF($E2737="","",IFERROR(INDEX(科目表!$A$4:$A$81,MATCH($E2737,科目表!$B$4:$B$81,0)),""))</f>
        <v/>
      </c>
      <c r="G2737" s="67" t="str">
        <f aca="false">IF($E2737="","",IFERROR(INDEX(科目表!$E$4:$E$81,MATCH($E2737,科目表!$B$4:$B$81,0)),""))</f>
        <v/>
      </c>
      <c r="H2737" s="70" t="str">
        <f aca="false">IF($E2737="","",N(INDEX(成本费用登记表!$Q$4:$Y$303,210,2)))</f>
        <v/>
      </c>
      <c r="I2737" s="70" t="str">
        <f aca="false">IF($E2737="","",N(INDEX(成本费用登记表!$Q$4:$Y$303,210,3)))</f>
        <v/>
      </c>
      <c r="J2737" s="67" t="str">
        <f aca="false">IF($E2737="","",INDEX(成本费用登记表!$C$4:$C$303,210))</f>
        <v/>
      </c>
      <c r="K2737" s="67" t="str">
        <f aca="false">IF($E2737="","",INDEX(成本费用登记表!$D$4:$D$303,210))</f>
        <v/>
      </c>
      <c r="L2737" s="107" t="str">
        <f aca="false">IF($E2737="","",INDEX(成本费用登记表!$N$4:$N$303,210))</f>
        <v/>
      </c>
      <c r="M2737" s="107"/>
      <c r="N2737" s="67" t="str">
        <f aca="false">IF($E2737="","","系统")</f>
        <v/>
      </c>
      <c r="O2737" s="67" t="str">
        <f aca="false">IF($E2737="","","自动C")</f>
        <v/>
      </c>
      <c r="P2737" s="18"/>
    </row>
    <row r="2738" customFormat="false" ht="18" hidden="false" customHeight="true" outlineLevel="0" collapsed="false">
      <c r="A2738" s="107" t="str">
        <f aca="false">IF($E2738="","",ROW()-3)</f>
        <v/>
      </c>
      <c r="B2738" s="110" t="str">
        <f aca="false">IF($E2738="","",INDEX(成本费用登记表!$B$4:$B$303,210))</f>
        <v/>
      </c>
      <c r="C2738" s="67" t="str">
        <f aca="false">IF($E2738="","","记-"&amp;TEXT($B2738,"YYYYMM")&amp;"-费用")</f>
        <v/>
      </c>
      <c r="D2738" s="107" t="str">
        <f aca="false">IF($E2738="","",INDEX(成本费用登记表!$E$4:$E$303,210))</f>
        <v/>
      </c>
      <c r="E2738" s="67" t="str">
        <f aca="false">IF(INDEX(成本费用登记表!$Q$4:$Y$303,210,4)=0,"",INDEX(成本费用登记表!$Q$4:$Y$303,210,4))</f>
        <v/>
      </c>
      <c r="F2738" s="99" t="str">
        <f aca="false">IF($E2738="","",IFERROR(INDEX(科目表!$A$4:$A$81,MATCH($E2738,科目表!$B$4:$B$81,0)),""))</f>
        <v/>
      </c>
      <c r="G2738" s="67" t="str">
        <f aca="false">IF($E2738="","",IFERROR(INDEX(科目表!$E$4:$E$81,MATCH($E2738,科目表!$B$4:$B$81,0)),""))</f>
        <v/>
      </c>
      <c r="H2738" s="70" t="str">
        <f aca="false">IF($E2738="","",N(INDEX(成本费用登记表!$Q$4:$Y$303,210,5)))</f>
        <v/>
      </c>
      <c r="I2738" s="70" t="str">
        <f aca="false">IF($E2738="","",N(INDEX(成本费用登记表!$Q$4:$Y$303,210,6)))</f>
        <v/>
      </c>
      <c r="J2738" s="67" t="str">
        <f aca="false">IF($E2738="","",INDEX(成本费用登记表!$C$4:$C$303,210))</f>
        <v/>
      </c>
      <c r="K2738" s="67" t="str">
        <f aca="false">IF($E2738="","",INDEX(成本费用登记表!$D$4:$D$303,210))</f>
        <v/>
      </c>
      <c r="L2738" s="107" t="str">
        <f aca="false">IF($E2738="","",INDEX(成本费用登记表!$N$4:$N$303,210))</f>
        <v/>
      </c>
      <c r="M2738" s="107"/>
      <c r="N2738" s="67" t="str">
        <f aca="false">IF($E2738="","","系统")</f>
        <v/>
      </c>
      <c r="O2738" s="67" t="str">
        <f aca="false">IF($E2738="","","自动C")</f>
        <v/>
      </c>
      <c r="P2738" s="18"/>
    </row>
    <row r="2739" customFormat="false" ht="18" hidden="false" customHeight="true" outlineLevel="0" collapsed="false">
      <c r="A2739" s="107" t="str">
        <f aca="false">IF($E2739="","",ROW()-3)</f>
        <v/>
      </c>
      <c r="B2739" s="110" t="str">
        <f aca="false">IF($E2739="","",INDEX(成本费用登记表!$B$4:$B$303,210))</f>
        <v/>
      </c>
      <c r="C2739" s="67" t="str">
        <f aca="false">IF($E2739="","","记-"&amp;TEXT($B2739,"YYYYMM")&amp;"-费用")</f>
        <v/>
      </c>
      <c r="D2739" s="107" t="str">
        <f aca="false">IF($E2739="","",INDEX(成本费用登记表!$E$4:$E$303,210))</f>
        <v/>
      </c>
      <c r="E2739" s="67" t="str">
        <f aca="false">IF(INDEX(成本费用登记表!$Q$4:$Y$303,210,7)=0,"",INDEX(成本费用登记表!$Q$4:$Y$303,210,7))</f>
        <v/>
      </c>
      <c r="F2739" s="99" t="str">
        <f aca="false">IF($E2739="","",IFERROR(INDEX(科目表!$A$4:$A$81,MATCH($E2739,科目表!$B$4:$B$81,0)),""))</f>
        <v/>
      </c>
      <c r="G2739" s="67" t="str">
        <f aca="false">IF($E2739="","",IFERROR(INDEX(科目表!$E$4:$E$81,MATCH($E2739,科目表!$B$4:$B$81,0)),""))</f>
        <v/>
      </c>
      <c r="H2739" s="70" t="str">
        <f aca="false">IF($E2739="","",N(INDEX(成本费用登记表!$Q$4:$Y$303,210,8)))</f>
        <v/>
      </c>
      <c r="I2739" s="70" t="str">
        <f aca="false">IF($E2739="","",N(INDEX(成本费用登记表!$Q$4:$Y$303,210,9)))</f>
        <v/>
      </c>
      <c r="J2739" s="67" t="str">
        <f aca="false">IF($E2739="","",INDEX(成本费用登记表!$C$4:$C$303,210))</f>
        <v/>
      </c>
      <c r="K2739" s="67" t="str">
        <f aca="false">IF($E2739="","",INDEX(成本费用登记表!$D$4:$D$303,210))</f>
        <v/>
      </c>
      <c r="L2739" s="107" t="str">
        <f aca="false">IF($E2739="","",INDEX(成本费用登记表!$N$4:$N$303,210))</f>
        <v/>
      </c>
      <c r="M2739" s="107"/>
      <c r="N2739" s="67" t="str">
        <f aca="false">IF($E2739="","","系统")</f>
        <v/>
      </c>
      <c r="O2739" s="67" t="str">
        <f aca="false">IF($E2739="","","自动C")</f>
        <v/>
      </c>
      <c r="P2739" s="18"/>
    </row>
    <row r="2740" customFormat="false" ht="18" hidden="false" customHeight="true" outlineLevel="0" collapsed="false">
      <c r="A2740" s="107" t="str">
        <f aca="false">IF($E2740="","",ROW()-3)</f>
        <v/>
      </c>
      <c r="B2740" s="110" t="str">
        <f aca="false">IF($E2740="","",INDEX(成本费用登记表!$B$4:$B$303,211))</f>
        <v/>
      </c>
      <c r="C2740" s="67" t="str">
        <f aca="false">IF($E2740="","","记-"&amp;TEXT($B2740,"YYYYMM")&amp;"-费用")</f>
        <v/>
      </c>
      <c r="D2740" s="107" t="str">
        <f aca="false">IF($E2740="","",INDEX(成本费用登记表!$E$4:$E$303,211))</f>
        <v/>
      </c>
      <c r="E2740" s="67" t="str">
        <f aca="false">IF(INDEX(成本费用登记表!$Q$4:$Y$303,211,1)=0,"",INDEX(成本费用登记表!$Q$4:$Y$303,211,1))</f>
        <v/>
      </c>
      <c r="F2740" s="99" t="str">
        <f aca="false">IF($E2740="","",IFERROR(INDEX(科目表!$A$4:$A$81,MATCH($E2740,科目表!$B$4:$B$81,0)),""))</f>
        <v/>
      </c>
      <c r="G2740" s="67" t="str">
        <f aca="false">IF($E2740="","",IFERROR(INDEX(科目表!$E$4:$E$81,MATCH($E2740,科目表!$B$4:$B$81,0)),""))</f>
        <v/>
      </c>
      <c r="H2740" s="70" t="str">
        <f aca="false">IF($E2740="","",N(INDEX(成本费用登记表!$Q$4:$Y$303,211,2)))</f>
        <v/>
      </c>
      <c r="I2740" s="70" t="str">
        <f aca="false">IF($E2740="","",N(INDEX(成本费用登记表!$Q$4:$Y$303,211,3)))</f>
        <v/>
      </c>
      <c r="J2740" s="67" t="str">
        <f aca="false">IF($E2740="","",INDEX(成本费用登记表!$C$4:$C$303,211))</f>
        <v/>
      </c>
      <c r="K2740" s="67" t="str">
        <f aca="false">IF($E2740="","",INDEX(成本费用登记表!$D$4:$D$303,211))</f>
        <v/>
      </c>
      <c r="L2740" s="107" t="str">
        <f aca="false">IF($E2740="","",INDEX(成本费用登记表!$N$4:$N$303,211))</f>
        <v/>
      </c>
      <c r="M2740" s="107"/>
      <c r="N2740" s="67" t="str">
        <f aca="false">IF($E2740="","","系统")</f>
        <v/>
      </c>
      <c r="O2740" s="67" t="str">
        <f aca="false">IF($E2740="","","自动C")</f>
        <v/>
      </c>
      <c r="P2740" s="18"/>
    </row>
    <row r="2741" customFormat="false" ht="18" hidden="false" customHeight="true" outlineLevel="0" collapsed="false">
      <c r="A2741" s="107" t="str">
        <f aca="false">IF($E2741="","",ROW()-3)</f>
        <v/>
      </c>
      <c r="B2741" s="110" t="str">
        <f aca="false">IF($E2741="","",INDEX(成本费用登记表!$B$4:$B$303,211))</f>
        <v/>
      </c>
      <c r="C2741" s="67" t="str">
        <f aca="false">IF($E2741="","","记-"&amp;TEXT($B2741,"YYYYMM")&amp;"-费用")</f>
        <v/>
      </c>
      <c r="D2741" s="107" t="str">
        <f aca="false">IF($E2741="","",INDEX(成本费用登记表!$E$4:$E$303,211))</f>
        <v/>
      </c>
      <c r="E2741" s="67" t="str">
        <f aca="false">IF(INDEX(成本费用登记表!$Q$4:$Y$303,211,4)=0,"",INDEX(成本费用登记表!$Q$4:$Y$303,211,4))</f>
        <v/>
      </c>
      <c r="F2741" s="99" t="str">
        <f aca="false">IF($E2741="","",IFERROR(INDEX(科目表!$A$4:$A$81,MATCH($E2741,科目表!$B$4:$B$81,0)),""))</f>
        <v/>
      </c>
      <c r="G2741" s="67" t="str">
        <f aca="false">IF($E2741="","",IFERROR(INDEX(科目表!$E$4:$E$81,MATCH($E2741,科目表!$B$4:$B$81,0)),""))</f>
        <v/>
      </c>
      <c r="H2741" s="70" t="str">
        <f aca="false">IF($E2741="","",N(INDEX(成本费用登记表!$Q$4:$Y$303,211,5)))</f>
        <v/>
      </c>
      <c r="I2741" s="70" t="str">
        <f aca="false">IF($E2741="","",N(INDEX(成本费用登记表!$Q$4:$Y$303,211,6)))</f>
        <v/>
      </c>
      <c r="J2741" s="67" t="str">
        <f aca="false">IF($E2741="","",INDEX(成本费用登记表!$C$4:$C$303,211))</f>
        <v/>
      </c>
      <c r="K2741" s="67" t="str">
        <f aca="false">IF($E2741="","",INDEX(成本费用登记表!$D$4:$D$303,211))</f>
        <v/>
      </c>
      <c r="L2741" s="107" t="str">
        <f aca="false">IF($E2741="","",INDEX(成本费用登记表!$N$4:$N$303,211))</f>
        <v/>
      </c>
      <c r="M2741" s="107"/>
      <c r="N2741" s="67" t="str">
        <f aca="false">IF($E2741="","","系统")</f>
        <v/>
      </c>
      <c r="O2741" s="67" t="str">
        <f aca="false">IF($E2741="","","自动C")</f>
        <v/>
      </c>
      <c r="P2741" s="18"/>
    </row>
    <row r="2742" customFormat="false" ht="18" hidden="false" customHeight="true" outlineLevel="0" collapsed="false">
      <c r="A2742" s="107" t="str">
        <f aca="false">IF($E2742="","",ROW()-3)</f>
        <v/>
      </c>
      <c r="B2742" s="110" t="str">
        <f aca="false">IF($E2742="","",INDEX(成本费用登记表!$B$4:$B$303,211))</f>
        <v/>
      </c>
      <c r="C2742" s="67" t="str">
        <f aca="false">IF($E2742="","","记-"&amp;TEXT($B2742,"YYYYMM")&amp;"-费用")</f>
        <v/>
      </c>
      <c r="D2742" s="107" t="str">
        <f aca="false">IF($E2742="","",INDEX(成本费用登记表!$E$4:$E$303,211))</f>
        <v/>
      </c>
      <c r="E2742" s="67" t="str">
        <f aca="false">IF(INDEX(成本费用登记表!$Q$4:$Y$303,211,7)=0,"",INDEX(成本费用登记表!$Q$4:$Y$303,211,7))</f>
        <v/>
      </c>
      <c r="F2742" s="99" t="str">
        <f aca="false">IF($E2742="","",IFERROR(INDEX(科目表!$A$4:$A$81,MATCH($E2742,科目表!$B$4:$B$81,0)),""))</f>
        <v/>
      </c>
      <c r="G2742" s="67" t="str">
        <f aca="false">IF($E2742="","",IFERROR(INDEX(科目表!$E$4:$E$81,MATCH($E2742,科目表!$B$4:$B$81,0)),""))</f>
        <v/>
      </c>
      <c r="H2742" s="70" t="str">
        <f aca="false">IF($E2742="","",N(INDEX(成本费用登记表!$Q$4:$Y$303,211,8)))</f>
        <v/>
      </c>
      <c r="I2742" s="70" t="str">
        <f aca="false">IF($E2742="","",N(INDEX(成本费用登记表!$Q$4:$Y$303,211,9)))</f>
        <v/>
      </c>
      <c r="J2742" s="67" t="str">
        <f aca="false">IF($E2742="","",INDEX(成本费用登记表!$C$4:$C$303,211))</f>
        <v/>
      </c>
      <c r="K2742" s="67" t="str">
        <f aca="false">IF($E2742="","",INDEX(成本费用登记表!$D$4:$D$303,211))</f>
        <v/>
      </c>
      <c r="L2742" s="107" t="str">
        <f aca="false">IF($E2742="","",INDEX(成本费用登记表!$N$4:$N$303,211))</f>
        <v/>
      </c>
      <c r="M2742" s="107"/>
      <c r="N2742" s="67" t="str">
        <f aca="false">IF($E2742="","","系统")</f>
        <v/>
      </c>
      <c r="O2742" s="67" t="str">
        <f aca="false">IF($E2742="","","自动C")</f>
        <v/>
      </c>
      <c r="P2742" s="18"/>
    </row>
    <row r="2743" customFormat="false" ht="18" hidden="false" customHeight="true" outlineLevel="0" collapsed="false">
      <c r="A2743" s="107" t="str">
        <f aca="false">IF($E2743="","",ROW()-3)</f>
        <v/>
      </c>
      <c r="B2743" s="110" t="str">
        <f aca="false">IF($E2743="","",INDEX(成本费用登记表!$B$4:$B$303,212))</f>
        <v/>
      </c>
      <c r="C2743" s="67" t="str">
        <f aca="false">IF($E2743="","","记-"&amp;TEXT($B2743,"YYYYMM")&amp;"-费用")</f>
        <v/>
      </c>
      <c r="D2743" s="107" t="str">
        <f aca="false">IF($E2743="","",INDEX(成本费用登记表!$E$4:$E$303,212))</f>
        <v/>
      </c>
      <c r="E2743" s="67" t="str">
        <f aca="false">IF(INDEX(成本费用登记表!$Q$4:$Y$303,212,1)=0,"",INDEX(成本费用登记表!$Q$4:$Y$303,212,1))</f>
        <v/>
      </c>
      <c r="F2743" s="99" t="str">
        <f aca="false">IF($E2743="","",IFERROR(INDEX(科目表!$A$4:$A$81,MATCH($E2743,科目表!$B$4:$B$81,0)),""))</f>
        <v/>
      </c>
      <c r="G2743" s="67" t="str">
        <f aca="false">IF($E2743="","",IFERROR(INDEX(科目表!$E$4:$E$81,MATCH($E2743,科目表!$B$4:$B$81,0)),""))</f>
        <v/>
      </c>
      <c r="H2743" s="70" t="str">
        <f aca="false">IF($E2743="","",N(INDEX(成本费用登记表!$Q$4:$Y$303,212,2)))</f>
        <v/>
      </c>
      <c r="I2743" s="70" t="str">
        <f aca="false">IF($E2743="","",N(INDEX(成本费用登记表!$Q$4:$Y$303,212,3)))</f>
        <v/>
      </c>
      <c r="J2743" s="67" t="str">
        <f aca="false">IF($E2743="","",INDEX(成本费用登记表!$C$4:$C$303,212))</f>
        <v/>
      </c>
      <c r="K2743" s="67" t="str">
        <f aca="false">IF($E2743="","",INDEX(成本费用登记表!$D$4:$D$303,212))</f>
        <v/>
      </c>
      <c r="L2743" s="107" t="str">
        <f aca="false">IF($E2743="","",INDEX(成本费用登记表!$N$4:$N$303,212))</f>
        <v/>
      </c>
      <c r="M2743" s="107"/>
      <c r="N2743" s="67" t="str">
        <f aca="false">IF($E2743="","","系统")</f>
        <v/>
      </c>
      <c r="O2743" s="67" t="str">
        <f aca="false">IF($E2743="","","自动C")</f>
        <v/>
      </c>
      <c r="P2743" s="18"/>
    </row>
    <row r="2744" customFormat="false" ht="18" hidden="false" customHeight="true" outlineLevel="0" collapsed="false">
      <c r="A2744" s="107" t="str">
        <f aca="false">IF($E2744="","",ROW()-3)</f>
        <v/>
      </c>
      <c r="B2744" s="110" t="str">
        <f aca="false">IF($E2744="","",INDEX(成本费用登记表!$B$4:$B$303,212))</f>
        <v/>
      </c>
      <c r="C2744" s="67" t="str">
        <f aca="false">IF($E2744="","","记-"&amp;TEXT($B2744,"YYYYMM")&amp;"-费用")</f>
        <v/>
      </c>
      <c r="D2744" s="107" t="str">
        <f aca="false">IF($E2744="","",INDEX(成本费用登记表!$E$4:$E$303,212))</f>
        <v/>
      </c>
      <c r="E2744" s="67" t="str">
        <f aca="false">IF(INDEX(成本费用登记表!$Q$4:$Y$303,212,4)=0,"",INDEX(成本费用登记表!$Q$4:$Y$303,212,4))</f>
        <v/>
      </c>
      <c r="F2744" s="99" t="str">
        <f aca="false">IF($E2744="","",IFERROR(INDEX(科目表!$A$4:$A$81,MATCH($E2744,科目表!$B$4:$B$81,0)),""))</f>
        <v/>
      </c>
      <c r="G2744" s="67" t="str">
        <f aca="false">IF($E2744="","",IFERROR(INDEX(科目表!$E$4:$E$81,MATCH($E2744,科目表!$B$4:$B$81,0)),""))</f>
        <v/>
      </c>
      <c r="H2744" s="70" t="str">
        <f aca="false">IF($E2744="","",N(INDEX(成本费用登记表!$Q$4:$Y$303,212,5)))</f>
        <v/>
      </c>
      <c r="I2744" s="70" t="str">
        <f aca="false">IF($E2744="","",N(INDEX(成本费用登记表!$Q$4:$Y$303,212,6)))</f>
        <v/>
      </c>
      <c r="J2744" s="67" t="str">
        <f aca="false">IF($E2744="","",INDEX(成本费用登记表!$C$4:$C$303,212))</f>
        <v/>
      </c>
      <c r="K2744" s="67" t="str">
        <f aca="false">IF($E2744="","",INDEX(成本费用登记表!$D$4:$D$303,212))</f>
        <v/>
      </c>
      <c r="L2744" s="107" t="str">
        <f aca="false">IF($E2744="","",INDEX(成本费用登记表!$N$4:$N$303,212))</f>
        <v/>
      </c>
      <c r="M2744" s="107"/>
      <c r="N2744" s="67" t="str">
        <f aca="false">IF($E2744="","","系统")</f>
        <v/>
      </c>
      <c r="O2744" s="67" t="str">
        <f aca="false">IF($E2744="","","自动C")</f>
        <v/>
      </c>
      <c r="P2744" s="18"/>
    </row>
    <row r="2745" customFormat="false" ht="18" hidden="false" customHeight="true" outlineLevel="0" collapsed="false">
      <c r="A2745" s="107" t="str">
        <f aca="false">IF($E2745="","",ROW()-3)</f>
        <v/>
      </c>
      <c r="B2745" s="110" t="str">
        <f aca="false">IF($E2745="","",INDEX(成本费用登记表!$B$4:$B$303,212))</f>
        <v/>
      </c>
      <c r="C2745" s="67" t="str">
        <f aca="false">IF($E2745="","","记-"&amp;TEXT($B2745,"YYYYMM")&amp;"-费用")</f>
        <v/>
      </c>
      <c r="D2745" s="107" t="str">
        <f aca="false">IF($E2745="","",INDEX(成本费用登记表!$E$4:$E$303,212))</f>
        <v/>
      </c>
      <c r="E2745" s="67" t="str">
        <f aca="false">IF(INDEX(成本费用登记表!$Q$4:$Y$303,212,7)=0,"",INDEX(成本费用登记表!$Q$4:$Y$303,212,7))</f>
        <v/>
      </c>
      <c r="F2745" s="99" t="str">
        <f aca="false">IF($E2745="","",IFERROR(INDEX(科目表!$A$4:$A$81,MATCH($E2745,科目表!$B$4:$B$81,0)),""))</f>
        <v/>
      </c>
      <c r="G2745" s="67" t="str">
        <f aca="false">IF($E2745="","",IFERROR(INDEX(科目表!$E$4:$E$81,MATCH($E2745,科目表!$B$4:$B$81,0)),""))</f>
        <v/>
      </c>
      <c r="H2745" s="70" t="str">
        <f aca="false">IF($E2745="","",N(INDEX(成本费用登记表!$Q$4:$Y$303,212,8)))</f>
        <v/>
      </c>
      <c r="I2745" s="70" t="str">
        <f aca="false">IF($E2745="","",N(INDEX(成本费用登记表!$Q$4:$Y$303,212,9)))</f>
        <v/>
      </c>
      <c r="J2745" s="67" t="str">
        <f aca="false">IF($E2745="","",INDEX(成本费用登记表!$C$4:$C$303,212))</f>
        <v/>
      </c>
      <c r="K2745" s="67" t="str">
        <f aca="false">IF($E2745="","",INDEX(成本费用登记表!$D$4:$D$303,212))</f>
        <v/>
      </c>
      <c r="L2745" s="107" t="str">
        <f aca="false">IF($E2745="","",INDEX(成本费用登记表!$N$4:$N$303,212))</f>
        <v/>
      </c>
      <c r="M2745" s="107"/>
      <c r="N2745" s="67" t="str">
        <f aca="false">IF($E2745="","","系统")</f>
        <v/>
      </c>
      <c r="O2745" s="67" t="str">
        <f aca="false">IF($E2745="","","自动C")</f>
        <v/>
      </c>
      <c r="P2745" s="18"/>
    </row>
    <row r="2746" customFormat="false" ht="18" hidden="false" customHeight="true" outlineLevel="0" collapsed="false">
      <c r="A2746" s="107" t="str">
        <f aca="false">IF($E2746="","",ROW()-3)</f>
        <v/>
      </c>
      <c r="B2746" s="110" t="str">
        <f aca="false">IF($E2746="","",INDEX(成本费用登记表!$B$4:$B$303,213))</f>
        <v/>
      </c>
      <c r="C2746" s="67" t="str">
        <f aca="false">IF($E2746="","","记-"&amp;TEXT($B2746,"YYYYMM")&amp;"-费用")</f>
        <v/>
      </c>
      <c r="D2746" s="107" t="str">
        <f aca="false">IF($E2746="","",INDEX(成本费用登记表!$E$4:$E$303,213))</f>
        <v/>
      </c>
      <c r="E2746" s="67" t="str">
        <f aca="false">IF(INDEX(成本费用登记表!$Q$4:$Y$303,213,1)=0,"",INDEX(成本费用登记表!$Q$4:$Y$303,213,1))</f>
        <v/>
      </c>
      <c r="F2746" s="99" t="str">
        <f aca="false">IF($E2746="","",IFERROR(INDEX(科目表!$A$4:$A$81,MATCH($E2746,科目表!$B$4:$B$81,0)),""))</f>
        <v/>
      </c>
      <c r="G2746" s="67" t="str">
        <f aca="false">IF($E2746="","",IFERROR(INDEX(科目表!$E$4:$E$81,MATCH($E2746,科目表!$B$4:$B$81,0)),""))</f>
        <v/>
      </c>
      <c r="H2746" s="70" t="str">
        <f aca="false">IF($E2746="","",N(INDEX(成本费用登记表!$Q$4:$Y$303,213,2)))</f>
        <v/>
      </c>
      <c r="I2746" s="70" t="str">
        <f aca="false">IF($E2746="","",N(INDEX(成本费用登记表!$Q$4:$Y$303,213,3)))</f>
        <v/>
      </c>
      <c r="J2746" s="67" t="str">
        <f aca="false">IF($E2746="","",INDEX(成本费用登记表!$C$4:$C$303,213))</f>
        <v/>
      </c>
      <c r="K2746" s="67" t="str">
        <f aca="false">IF($E2746="","",INDEX(成本费用登记表!$D$4:$D$303,213))</f>
        <v/>
      </c>
      <c r="L2746" s="107" t="str">
        <f aca="false">IF($E2746="","",INDEX(成本费用登记表!$N$4:$N$303,213))</f>
        <v/>
      </c>
      <c r="M2746" s="107"/>
      <c r="N2746" s="67" t="str">
        <f aca="false">IF($E2746="","","系统")</f>
        <v/>
      </c>
      <c r="O2746" s="67" t="str">
        <f aca="false">IF($E2746="","","自动C")</f>
        <v/>
      </c>
      <c r="P2746" s="18"/>
    </row>
    <row r="2747" customFormat="false" ht="18" hidden="false" customHeight="true" outlineLevel="0" collapsed="false">
      <c r="A2747" s="107" t="str">
        <f aca="false">IF($E2747="","",ROW()-3)</f>
        <v/>
      </c>
      <c r="B2747" s="110" t="str">
        <f aca="false">IF($E2747="","",INDEX(成本费用登记表!$B$4:$B$303,213))</f>
        <v/>
      </c>
      <c r="C2747" s="67" t="str">
        <f aca="false">IF($E2747="","","记-"&amp;TEXT($B2747,"YYYYMM")&amp;"-费用")</f>
        <v/>
      </c>
      <c r="D2747" s="107" t="str">
        <f aca="false">IF($E2747="","",INDEX(成本费用登记表!$E$4:$E$303,213))</f>
        <v/>
      </c>
      <c r="E2747" s="67" t="str">
        <f aca="false">IF(INDEX(成本费用登记表!$Q$4:$Y$303,213,4)=0,"",INDEX(成本费用登记表!$Q$4:$Y$303,213,4))</f>
        <v/>
      </c>
      <c r="F2747" s="99" t="str">
        <f aca="false">IF($E2747="","",IFERROR(INDEX(科目表!$A$4:$A$81,MATCH($E2747,科目表!$B$4:$B$81,0)),""))</f>
        <v/>
      </c>
      <c r="G2747" s="67" t="str">
        <f aca="false">IF($E2747="","",IFERROR(INDEX(科目表!$E$4:$E$81,MATCH($E2747,科目表!$B$4:$B$81,0)),""))</f>
        <v/>
      </c>
      <c r="H2747" s="70" t="str">
        <f aca="false">IF($E2747="","",N(INDEX(成本费用登记表!$Q$4:$Y$303,213,5)))</f>
        <v/>
      </c>
      <c r="I2747" s="70" t="str">
        <f aca="false">IF($E2747="","",N(INDEX(成本费用登记表!$Q$4:$Y$303,213,6)))</f>
        <v/>
      </c>
      <c r="J2747" s="67" t="str">
        <f aca="false">IF($E2747="","",INDEX(成本费用登记表!$C$4:$C$303,213))</f>
        <v/>
      </c>
      <c r="K2747" s="67" t="str">
        <f aca="false">IF($E2747="","",INDEX(成本费用登记表!$D$4:$D$303,213))</f>
        <v/>
      </c>
      <c r="L2747" s="107" t="str">
        <f aca="false">IF($E2747="","",INDEX(成本费用登记表!$N$4:$N$303,213))</f>
        <v/>
      </c>
      <c r="M2747" s="107"/>
      <c r="N2747" s="67" t="str">
        <f aca="false">IF($E2747="","","系统")</f>
        <v/>
      </c>
      <c r="O2747" s="67" t="str">
        <f aca="false">IF($E2747="","","自动C")</f>
        <v/>
      </c>
      <c r="P2747" s="18"/>
    </row>
    <row r="2748" customFormat="false" ht="18" hidden="false" customHeight="true" outlineLevel="0" collapsed="false">
      <c r="A2748" s="107" t="str">
        <f aca="false">IF($E2748="","",ROW()-3)</f>
        <v/>
      </c>
      <c r="B2748" s="110" t="str">
        <f aca="false">IF($E2748="","",INDEX(成本费用登记表!$B$4:$B$303,213))</f>
        <v/>
      </c>
      <c r="C2748" s="67" t="str">
        <f aca="false">IF($E2748="","","记-"&amp;TEXT($B2748,"YYYYMM")&amp;"-费用")</f>
        <v/>
      </c>
      <c r="D2748" s="107" t="str">
        <f aca="false">IF($E2748="","",INDEX(成本费用登记表!$E$4:$E$303,213))</f>
        <v/>
      </c>
      <c r="E2748" s="67" t="str">
        <f aca="false">IF(INDEX(成本费用登记表!$Q$4:$Y$303,213,7)=0,"",INDEX(成本费用登记表!$Q$4:$Y$303,213,7))</f>
        <v/>
      </c>
      <c r="F2748" s="99" t="str">
        <f aca="false">IF($E2748="","",IFERROR(INDEX(科目表!$A$4:$A$81,MATCH($E2748,科目表!$B$4:$B$81,0)),""))</f>
        <v/>
      </c>
      <c r="G2748" s="67" t="str">
        <f aca="false">IF($E2748="","",IFERROR(INDEX(科目表!$E$4:$E$81,MATCH($E2748,科目表!$B$4:$B$81,0)),""))</f>
        <v/>
      </c>
      <c r="H2748" s="70" t="str">
        <f aca="false">IF($E2748="","",N(INDEX(成本费用登记表!$Q$4:$Y$303,213,8)))</f>
        <v/>
      </c>
      <c r="I2748" s="70" t="str">
        <f aca="false">IF($E2748="","",N(INDEX(成本费用登记表!$Q$4:$Y$303,213,9)))</f>
        <v/>
      </c>
      <c r="J2748" s="67" t="str">
        <f aca="false">IF($E2748="","",INDEX(成本费用登记表!$C$4:$C$303,213))</f>
        <v/>
      </c>
      <c r="K2748" s="67" t="str">
        <f aca="false">IF($E2748="","",INDEX(成本费用登记表!$D$4:$D$303,213))</f>
        <v/>
      </c>
      <c r="L2748" s="107" t="str">
        <f aca="false">IF($E2748="","",INDEX(成本费用登记表!$N$4:$N$303,213))</f>
        <v/>
      </c>
      <c r="M2748" s="107"/>
      <c r="N2748" s="67" t="str">
        <f aca="false">IF($E2748="","","系统")</f>
        <v/>
      </c>
      <c r="O2748" s="67" t="str">
        <f aca="false">IF($E2748="","","自动C")</f>
        <v/>
      </c>
      <c r="P2748" s="18"/>
    </row>
    <row r="2749" customFormat="false" ht="18" hidden="false" customHeight="true" outlineLevel="0" collapsed="false">
      <c r="A2749" s="107" t="str">
        <f aca="false">IF($E2749="","",ROW()-3)</f>
        <v/>
      </c>
      <c r="B2749" s="110" t="str">
        <f aca="false">IF($E2749="","",INDEX(成本费用登记表!$B$4:$B$303,214))</f>
        <v/>
      </c>
      <c r="C2749" s="67" t="str">
        <f aca="false">IF($E2749="","","记-"&amp;TEXT($B2749,"YYYYMM")&amp;"-费用")</f>
        <v/>
      </c>
      <c r="D2749" s="107" t="str">
        <f aca="false">IF($E2749="","",INDEX(成本费用登记表!$E$4:$E$303,214))</f>
        <v/>
      </c>
      <c r="E2749" s="67" t="str">
        <f aca="false">IF(INDEX(成本费用登记表!$Q$4:$Y$303,214,1)=0,"",INDEX(成本费用登记表!$Q$4:$Y$303,214,1))</f>
        <v/>
      </c>
      <c r="F2749" s="99" t="str">
        <f aca="false">IF($E2749="","",IFERROR(INDEX(科目表!$A$4:$A$81,MATCH($E2749,科目表!$B$4:$B$81,0)),""))</f>
        <v/>
      </c>
      <c r="G2749" s="67" t="str">
        <f aca="false">IF($E2749="","",IFERROR(INDEX(科目表!$E$4:$E$81,MATCH($E2749,科目表!$B$4:$B$81,0)),""))</f>
        <v/>
      </c>
      <c r="H2749" s="70" t="str">
        <f aca="false">IF($E2749="","",N(INDEX(成本费用登记表!$Q$4:$Y$303,214,2)))</f>
        <v/>
      </c>
      <c r="I2749" s="70" t="str">
        <f aca="false">IF($E2749="","",N(INDEX(成本费用登记表!$Q$4:$Y$303,214,3)))</f>
        <v/>
      </c>
      <c r="J2749" s="67" t="str">
        <f aca="false">IF($E2749="","",INDEX(成本费用登记表!$C$4:$C$303,214))</f>
        <v/>
      </c>
      <c r="K2749" s="67" t="str">
        <f aca="false">IF($E2749="","",INDEX(成本费用登记表!$D$4:$D$303,214))</f>
        <v/>
      </c>
      <c r="L2749" s="107" t="str">
        <f aca="false">IF($E2749="","",INDEX(成本费用登记表!$N$4:$N$303,214))</f>
        <v/>
      </c>
      <c r="M2749" s="107"/>
      <c r="N2749" s="67" t="str">
        <f aca="false">IF($E2749="","","系统")</f>
        <v/>
      </c>
      <c r="O2749" s="67" t="str">
        <f aca="false">IF($E2749="","","自动C")</f>
        <v/>
      </c>
      <c r="P2749" s="18"/>
    </row>
    <row r="2750" customFormat="false" ht="18" hidden="false" customHeight="true" outlineLevel="0" collapsed="false">
      <c r="A2750" s="107" t="str">
        <f aca="false">IF($E2750="","",ROW()-3)</f>
        <v/>
      </c>
      <c r="B2750" s="110" t="str">
        <f aca="false">IF($E2750="","",INDEX(成本费用登记表!$B$4:$B$303,214))</f>
        <v/>
      </c>
      <c r="C2750" s="67" t="str">
        <f aca="false">IF($E2750="","","记-"&amp;TEXT($B2750,"YYYYMM")&amp;"-费用")</f>
        <v/>
      </c>
      <c r="D2750" s="107" t="str">
        <f aca="false">IF($E2750="","",INDEX(成本费用登记表!$E$4:$E$303,214))</f>
        <v/>
      </c>
      <c r="E2750" s="67" t="str">
        <f aca="false">IF(INDEX(成本费用登记表!$Q$4:$Y$303,214,4)=0,"",INDEX(成本费用登记表!$Q$4:$Y$303,214,4))</f>
        <v/>
      </c>
      <c r="F2750" s="99" t="str">
        <f aca="false">IF($E2750="","",IFERROR(INDEX(科目表!$A$4:$A$81,MATCH($E2750,科目表!$B$4:$B$81,0)),""))</f>
        <v/>
      </c>
      <c r="G2750" s="67" t="str">
        <f aca="false">IF($E2750="","",IFERROR(INDEX(科目表!$E$4:$E$81,MATCH($E2750,科目表!$B$4:$B$81,0)),""))</f>
        <v/>
      </c>
      <c r="H2750" s="70" t="str">
        <f aca="false">IF($E2750="","",N(INDEX(成本费用登记表!$Q$4:$Y$303,214,5)))</f>
        <v/>
      </c>
      <c r="I2750" s="70" t="str">
        <f aca="false">IF($E2750="","",N(INDEX(成本费用登记表!$Q$4:$Y$303,214,6)))</f>
        <v/>
      </c>
      <c r="J2750" s="67" t="str">
        <f aca="false">IF($E2750="","",INDEX(成本费用登记表!$C$4:$C$303,214))</f>
        <v/>
      </c>
      <c r="K2750" s="67" t="str">
        <f aca="false">IF($E2750="","",INDEX(成本费用登记表!$D$4:$D$303,214))</f>
        <v/>
      </c>
      <c r="L2750" s="107" t="str">
        <f aca="false">IF($E2750="","",INDEX(成本费用登记表!$N$4:$N$303,214))</f>
        <v/>
      </c>
      <c r="M2750" s="107"/>
      <c r="N2750" s="67" t="str">
        <f aca="false">IF($E2750="","","系统")</f>
        <v/>
      </c>
      <c r="O2750" s="67" t="str">
        <f aca="false">IF($E2750="","","自动C")</f>
        <v/>
      </c>
      <c r="P2750" s="18"/>
    </row>
    <row r="2751" customFormat="false" ht="18" hidden="false" customHeight="true" outlineLevel="0" collapsed="false">
      <c r="A2751" s="107" t="str">
        <f aca="false">IF($E2751="","",ROW()-3)</f>
        <v/>
      </c>
      <c r="B2751" s="110" t="str">
        <f aca="false">IF($E2751="","",INDEX(成本费用登记表!$B$4:$B$303,214))</f>
        <v/>
      </c>
      <c r="C2751" s="67" t="str">
        <f aca="false">IF($E2751="","","记-"&amp;TEXT($B2751,"YYYYMM")&amp;"-费用")</f>
        <v/>
      </c>
      <c r="D2751" s="107" t="str">
        <f aca="false">IF($E2751="","",INDEX(成本费用登记表!$E$4:$E$303,214))</f>
        <v/>
      </c>
      <c r="E2751" s="67" t="str">
        <f aca="false">IF(INDEX(成本费用登记表!$Q$4:$Y$303,214,7)=0,"",INDEX(成本费用登记表!$Q$4:$Y$303,214,7))</f>
        <v/>
      </c>
      <c r="F2751" s="99" t="str">
        <f aca="false">IF($E2751="","",IFERROR(INDEX(科目表!$A$4:$A$81,MATCH($E2751,科目表!$B$4:$B$81,0)),""))</f>
        <v/>
      </c>
      <c r="G2751" s="67" t="str">
        <f aca="false">IF($E2751="","",IFERROR(INDEX(科目表!$E$4:$E$81,MATCH($E2751,科目表!$B$4:$B$81,0)),""))</f>
        <v/>
      </c>
      <c r="H2751" s="70" t="str">
        <f aca="false">IF($E2751="","",N(INDEX(成本费用登记表!$Q$4:$Y$303,214,8)))</f>
        <v/>
      </c>
      <c r="I2751" s="70" t="str">
        <f aca="false">IF($E2751="","",N(INDEX(成本费用登记表!$Q$4:$Y$303,214,9)))</f>
        <v/>
      </c>
      <c r="J2751" s="67" t="str">
        <f aca="false">IF($E2751="","",INDEX(成本费用登记表!$C$4:$C$303,214))</f>
        <v/>
      </c>
      <c r="K2751" s="67" t="str">
        <f aca="false">IF($E2751="","",INDEX(成本费用登记表!$D$4:$D$303,214))</f>
        <v/>
      </c>
      <c r="L2751" s="107" t="str">
        <f aca="false">IF($E2751="","",INDEX(成本费用登记表!$N$4:$N$303,214))</f>
        <v/>
      </c>
      <c r="M2751" s="107"/>
      <c r="N2751" s="67" t="str">
        <f aca="false">IF($E2751="","","系统")</f>
        <v/>
      </c>
      <c r="O2751" s="67" t="str">
        <f aca="false">IF($E2751="","","自动C")</f>
        <v/>
      </c>
      <c r="P2751" s="18"/>
    </row>
    <row r="2752" customFormat="false" ht="18" hidden="false" customHeight="true" outlineLevel="0" collapsed="false">
      <c r="A2752" s="107" t="str">
        <f aca="false">IF($E2752="","",ROW()-3)</f>
        <v/>
      </c>
      <c r="B2752" s="110" t="str">
        <f aca="false">IF($E2752="","",INDEX(成本费用登记表!$B$4:$B$303,215))</f>
        <v/>
      </c>
      <c r="C2752" s="67" t="str">
        <f aca="false">IF($E2752="","","记-"&amp;TEXT($B2752,"YYYYMM")&amp;"-费用")</f>
        <v/>
      </c>
      <c r="D2752" s="107" t="str">
        <f aca="false">IF($E2752="","",INDEX(成本费用登记表!$E$4:$E$303,215))</f>
        <v/>
      </c>
      <c r="E2752" s="67" t="str">
        <f aca="false">IF(INDEX(成本费用登记表!$Q$4:$Y$303,215,1)=0,"",INDEX(成本费用登记表!$Q$4:$Y$303,215,1))</f>
        <v/>
      </c>
      <c r="F2752" s="99" t="str">
        <f aca="false">IF($E2752="","",IFERROR(INDEX(科目表!$A$4:$A$81,MATCH($E2752,科目表!$B$4:$B$81,0)),""))</f>
        <v/>
      </c>
      <c r="G2752" s="67" t="str">
        <f aca="false">IF($E2752="","",IFERROR(INDEX(科目表!$E$4:$E$81,MATCH($E2752,科目表!$B$4:$B$81,0)),""))</f>
        <v/>
      </c>
      <c r="H2752" s="70" t="str">
        <f aca="false">IF($E2752="","",N(INDEX(成本费用登记表!$Q$4:$Y$303,215,2)))</f>
        <v/>
      </c>
      <c r="I2752" s="70" t="str">
        <f aca="false">IF($E2752="","",N(INDEX(成本费用登记表!$Q$4:$Y$303,215,3)))</f>
        <v/>
      </c>
      <c r="J2752" s="67" t="str">
        <f aca="false">IF($E2752="","",INDEX(成本费用登记表!$C$4:$C$303,215))</f>
        <v/>
      </c>
      <c r="K2752" s="67" t="str">
        <f aca="false">IF($E2752="","",INDEX(成本费用登记表!$D$4:$D$303,215))</f>
        <v/>
      </c>
      <c r="L2752" s="107" t="str">
        <f aca="false">IF($E2752="","",INDEX(成本费用登记表!$N$4:$N$303,215))</f>
        <v/>
      </c>
      <c r="M2752" s="107"/>
      <c r="N2752" s="67" t="str">
        <f aca="false">IF($E2752="","","系统")</f>
        <v/>
      </c>
      <c r="O2752" s="67" t="str">
        <f aca="false">IF($E2752="","","自动C")</f>
        <v/>
      </c>
      <c r="P2752" s="18"/>
    </row>
    <row r="2753" customFormat="false" ht="18" hidden="false" customHeight="true" outlineLevel="0" collapsed="false">
      <c r="A2753" s="107" t="str">
        <f aca="false">IF($E2753="","",ROW()-3)</f>
        <v/>
      </c>
      <c r="B2753" s="110" t="str">
        <f aca="false">IF($E2753="","",INDEX(成本费用登记表!$B$4:$B$303,215))</f>
        <v/>
      </c>
      <c r="C2753" s="67" t="str">
        <f aca="false">IF($E2753="","","记-"&amp;TEXT($B2753,"YYYYMM")&amp;"-费用")</f>
        <v/>
      </c>
      <c r="D2753" s="107" t="str">
        <f aca="false">IF($E2753="","",INDEX(成本费用登记表!$E$4:$E$303,215))</f>
        <v/>
      </c>
      <c r="E2753" s="67" t="str">
        <f aca="false">IF(INDEX(成本费用登记表!$Q$4:$Y$303,215,4)=0,"",INDEX(成本费用登记表!$Q$4:$Y$303,215,4))</f>
        <v/>
      </c>
      <c r="F2753" s="99" t="str">
        <f aca="false">IF($E2753="","",IFERROR(INDEX(科目表!$A$4:$A$81,MATCH($E2753,科目表!$B$4:$B$81,0)),""))</f>
        <v/>
      </c>
      <c r="G2753" s="67" t="str">
        <f aca="false">IF($E2753="","",IFERROR(INDEX(科目表!$E$4:$E$81,MATCH($E2753,科目表!$B$4:$B$81,0)),""))</f>
        <v/>
      </c>
      <c r="H2753" s="70" t="str">
        <f aca="false">IF($E2753="","",N(INDEX(成本费用登记表!$Q$4:$Y$303,215,5)))</f>
        <v/>
      </c>
      <c r="I2753" s="70" t="str">
        <f aca="false">IF($E2753="","",N(INDEX(成本费用登记表!$Q$4:$Y$303,215,6)))</f>
        <v/>
      </c>
      <c r="J2753" s="67" t="str">
        <f aca="false">IF($E2753="","",INDEX(成本费用登记表!$C$4:$C$303,215))</f>
        <v/>
      </c>
      <c r="K2753" s="67" t="str">
        <f aca="false">IF($E2753="","",INDEX(成本费用登记表!$D$4:$D$303,215))</f>
        <v/>
      </c>
      <c r="L2753" s="107" t="str">
        <f aca="false">IF($E2753="","",INDEX(成本费用登记表!$N$4:$N$303,215))</f>
        <v/>
      </c>
      <c r="M2753" s="107"/>
      <c r="N2753" s="67" t="str">
        <f aca="false">IF($E2753="","","系统")</f>
        <v/>
      </c>
      <c r="O2753" s="67" t="str">
        <f aca="false">IF($E2753="","","自动C")</f>
        <v/>
      </c>
      <c r="P2753" s="18"/>
    </row>
    <row r="2754" customFormat="false" ht="18" hidden="false" customHeight="true" outlineLevel="0" collapsed="false">
      <c r="A2754" s="107" t="str">
        <f aca="false">IF($E2754="","",ROW()-3)</f>
        <v/>
      </c>
      <c r="B2754" s="110" t="str">
        <f aca="false">IF($E2754="","",INDEX(成本费用登记表!$B$4:$B$303,215))</f>
        <v/>
      </c>
      <c r="C2754" s="67" t="str">
        <f aca="false">IF($E2754="","","记-"&amp;TEXT($B2754,"YYYYMM")&amp;"-费用")</f>
        <v/>
      </c>
      <c r="D2754" s="107" t="str">
        <f aca="false">IF($E2754="","",INDEX(成本费用登记表!$E$4:$E$303,215))</f>
        <v/>
      </c>
      <c r="E2754" s="67" t="str">
        <f aca="false">IF(INDEX(成本费用登记表!$Q$4:$Y$303,215,7)=0,"",INDEX(成本费用登记表!$Q$4:$Y$303,215,7))</f>
        <v/>
      </c>
      <c r="F2754" s="99" t="str">
        <f aca="false">IF($E2754="","",IFERROR(INDEX(科目表!$A$4:$A$81,MATCH($E2754,科目表!$B$4:$B$81,0)),""))</f>
        <v/>
      </c>
      <c r="G2754" s="67" t="str">
        <f aca="false">IF($E2754="","",IFERROR(INDEX(科目表!$E$4:$E$81,MATCH($E2754,科目表!$B$4:$B$81,0)),""))</f>
        <v/>
      </c>
      <c r="H2754" s="70" t="str">
        <f aca="false">IF($E2754="","",N(INDEX(成本费用登记表!$Q$4:$Y$303,215,8)))</f>
        <v/>
      </c>
      <c r="I2754" s="70" t="str">
        <f aca="false">IF($E2754="","",N(INDEX(成本费用登记表!$Q$4:$Y$303,215,9)))</f>
        <v/>
      </c>
      <c r="J2754" s="67" t="str">
        <f aca="false">IF($E2754="","",INDEX(成本费用登记表!$C$4:$C$303,215))</f>
        <v/>
      </c>
      <c r="K2754" s="67" t="str">
        <f aca="false">IF($E2754="","",INDEX(成本费用登记表!$D$4:$D$303,215))</f>
        <v/>
      </c>
      <c r="L2754" s="107" t="str">
        <f aca="false">IF($E2754="","",INDEX(成本费用登记表!$N$4:$N$303,215))</f>
        <v/>
      </c>
      <c r="M2754" s="107"/>
      <c r="N2754" s="67" t="str">
        <f aca="false">IF($E2754="","","系统")</f>
        <v/>
      </c>
      <c r="O2754" s="67" t="str">
        <f aca="false">IF($E2754="","","自动C")</f>
        <v/>
      </c>
      <c r="P2754" s="18"/>
    </row>
    <row r="2755" customFormat="false" ht="18" hidden="false" customHeight="true" outlineLevel="0" collapsed="false">
      <c r="A2755" s="107" t="str">
        <f aca="false">IF($E2755="","",ROW()-3)</f>
        <v/>
      </c>
      <c r="B2755" s="110" t="str">
        <f aca="false">IF($E2755="","",INDEX(成本费用登记表!$B$4:$B$303,216))</f>
        <v/>
      </c>
      <c r="C2755" s="67" t="str">
        <f aca="false">IF($E2755="","","记-"&amp;TEXT($B2755,"YYYYMM")&amp;"-费用")</f>
        <v/>
      </c>
      <c r="D2755" s="107" t="str">
        <f aca="false">IF($E2755="","",INDEX(成本费用登记表!$E$4:$E$303,216))</f>
        <v/>
      </c>
      <c r="E2755" s="67" t="str">
        <f aca="false">IF(INDEX(成本费用登记表!$Q$4:$Y$303,216,1)=0,"",INDEX(成本费用登记表!$Q$4:$Y$303,216,1))</f>
        <v/>
      </c>
      <c r="F2755" s="99" t="str">
        <f aca="false">IF($E2755="","",IFERROR(INDEX(科目表!$A$4:$A$81,MATCH($E2755,科目表!$B$4:$B$81,0)),""))</f>
        <v/>
      </c>
      <c r="G2755" s="67" t="str">
        <f aca="false">IF($E2755="","",IFERROR(INDEX(科目表!$E$4:$E$81,MATCH($E2755,科目表!$B$4:$B$81,0)),""))</f>
        <v/>
      </c>
      <c r="H2755" s="70" t="str">
        <f aca="false">IF($E2755="","",N(INDEX(成本费用登记表!$Q$4:$Y$303,216,2)))</f>
        <v/>
      </c>
      <c r="I2755" s="70" t="str">
        <f aca="false">IF($E2755="","",N(INDEX(成本费用登记表!$Q$4:$Y$303,216,3)))</f>
        <v/>
      </c>
      <c r="J2755" s="67" t="str">
        <f aca="false">IF($E2755="","",INDEX(成本费用登记表!$C$4:$C$303,216))</f>
        <v/>
      </c>
      <c r="K2755" s="67" t="str">
        <f aca="false">IF($E2755="","",INDEX(成本费用登记表!$D$4:$D$303,216))</f>
        <v/>
      </c>
      <c r="L2755" s="107" t="str">
        <f aca="false">IF($E2755="","",INDEX(成本费用登记表!$N$4:$N$303,216))</f>
        <v/>
      </c>
      <c r="M2755" s="107"/>
      <c r="N2755" s="67" t="str">
        <f aca="false">IF($E2755="","","系统")</f>
        <v/>
      </c>
      <c r="O2755" s="67" t="str">
        <f aca="false">IF($E2755="","","自动C")</f>
        <v/>
      </c>
      <c r="P2755" s="18"/>
    </row>
    <row r="2756" customFormat="false" ht="18" hidden="false" customHeight="true" outlineLevel="0" collapsed="false">
      <c r="A2756" s="107" t="str">
        <f aca="false">IF($E2756="","",ROW()-3)</f>
        <v/>
      </c>
      <c r="B2756" s="110" t="str">
        <f aca="false">IF($E2756="","",INDEX(成本费用登记表!$B$4:$B$303,216))</f>
        <v/>
      </c>
      <c r="C2756" s="67" t="str">
        <f aca="false">IF($E2756="","","记-"&amp;TEXT($B2756,"YYYYMM")&amp;"-费用")</f>
        <v/>
      </c>
      <c r="D2756" s="107" t="str">
        <f aca="false">IF($E2756="","",INDEX(成本费用登记表!$E$4:$E$303,216))</f>
        <v/>
      </c>
      <c r="E2756" s="67" t="str">
        <f aca="false">IF(INDEX(成本费用登记表!$Q$4:$Y$303,216,4)=0,"",INDEX(成本费用登记表!$Q$4:$Y$303,216,4))</f>
        <v/>
      </c>
      <c r="F2756" s="99" t="str">
        <f aca="false">IF($E2756="","",IFERROR(INDEX(科目表!$A$4:$A$81,MATCH($E2756,科目表!$B$4:$B$81,0)),""))</f>
        <v/>
      </c>
      <c r="G2756" s="67" t="str">
        <f aca="false">IF($E2756="","",IFERROR(INDEX(科目表!$E$4:$E$81,MATCH($E2756,科目表!$B$4:$B$81,0)),""))</f>
        <v/>
      </c>
      <c r="H2756" s="70" t="str">
        <f aca="false">IF($E2756="","",N(INDEX(成本费用登记表!$Q$4:$Y$303,216,5)))</f>
        <v/>
      </c>
      <c r="I2756" s="70" t="str">
        <f aca="false">IF($E2756="","",N(INDEX(成本费用登记表!$Q$4:$Y$303,216,6)))</f>
        <v/>
      </c>
      <c r="J2756" s="67" t="str">
        <f aca="false">IF($E2756="","",INDEX(成本费用登记表!$C$4:$C$303,216))</f>
        <v/>
      </c>
      <c r="K2756" s="67" t="str">
        <f aca="false">IF($E2756="","",INDEX(成本费用登记表!$D$4:$D$303,216))</f>
        <v/>
      </c>
      <c r="L2756" s="107" t="str">
        <f aca="false">IF($E2756="","",INDEX(成本费用登记表!$N$4:$N$303,216))</f>
        <v/>
      </c>
      <c r="M2756" s="107"/>
      <c r="N2756" s="67" t="str">
        <f aca="false">IF($E2756="","","系统")</f>
        <v/>
      </c>
      <c r="O2756" s="67" t="str">
        <f aca="false">IF($E2756="","","自动C")</f>
        <v/>
      </c>
      <c r="P2756" s="18"/>
    </row>
    <row r="2757" customFormat="false" ht="18" hidden="false" customHeight="true" outlineLevel="0" collapsed="false">
      <c r="A2757" s="107" t="str">
        <f aca="false">IF($E2757="","",ROW()-3)</f>
        <v/>
      </c>
      <c r="B2757" s="110" t="str">
        <f aca="false">IF($E2757="","",INDEX(成本费用登记表!$B$4:$B$303,216))</f>
        <v/>
      </c>
      <c r="C2757" s="67" t="str">
        <f aca="false">IF($E2757="","","记-"&amp;TEXT($B2757,"YYYYMM")&amp;"-费用")</f>
        <v/>
      </c>
      <c r="D2757" s="107" t="str">
        <f aca="false">IF($E2757="","",INDEX(成本费用登记表!$E$4:$E$303,216))</f>
        <v/>
      </c>
      <c r="E2757" s="67" t="str">
        <f aca="false">IF(INDEX(成本费用登记表!$Q$4:$Y$303,216,7)=0,"",INDEX(成本费用登记表!$Q$4:$Y$303,216,7))</f>
        <v/>
      </c>
      <c r="F2757" s="99" t="str">
        <f aca="false">IF($E2757="","",IFERROR(INDEX(科目表!$A$4:$A$81,MATCH($E2757,科目表!$B$4:$B$81,0)),""))</f>
        <v/>
      </c>
      <c r="G2757" s="67" t="str">
        <f aca="false">IF($E2757="","",IFERROR(INDEX(科目表!$E$4:$E$81,MATCH($E2757,科目表!$B$4:$B$81,0)),""))</f>
        <v/>
      </c>
      <c r="H2757" s="70" t="str">
        <f aca="false">IF($E2757="","",N(INDEX(成本费用登记表!$Q$4:$Y$303,216,8)))</f>
        <v/>
      </c>
      <c r="I2757" s="70" t="str">
        <f aca="false">IF($E2757="","",N(INDEX(成本费用登记表!$Q$4:$Y$303,216,9)))</f>
        <v/>
      </c>
      <c r="J2757" s="67" t="str">
        <f aca="false">IF($E2757="","",INDEX(成本费用登记表!$C$4:$C$303,216))</f>
        <v/>
      </c>
      <c r="K2757" s="67" t="str">
        <f aca="false">IF($E2757="","",INDEX(成本费用登记表!$D$4:$D$303,216))</f>
        <v/>
      </c>
      <c r="L2757" s="107" t="str">
        <f aca="false">IF($E2757="","",INDEX(成本费用登记表!$N$4:$N$303,216))</f>
        <v/>
      </c>
      <c r="M2757" s="107"/>
      <c r="N2757" s="67" t="str">
        <f aca="false">IF($E2757="","","系统")</f>
        <v/>
      </c>
      <c r="O2757" s="67" t="str">
        <f aca="false">IF($E2757="","","自动C")</f>
        <v/>
      </c>
      <c r="P2757" s="18"/>
    </row>
    <row r="2758" customFormat="false" ht="18" hidden="false" customHeight="true" outlineLevel="0" collapsed="false">
      <c r="A2758" s="107" t="str">
        <f aca="false">IF($E2758="","",ROW()-3)</f>
        <v/>
      </c>
      <c r="B2758" s="110" t="str">
        <f aca="false">IF($E2758="","",INDEX(成本费用登记表!$B$4:$B$303,217))</f>
        <v/>
      </c>
      <c r="C2758" s="67" t="str">
        <f aca="false">IF($E2758="","","记-"&amp;TEXT($B2758,"YYYYMM")&amp;"-费用")</f>
        <v/>
      </c>
      <c r="D2758" s="107" t="str">
        <f aca="false">IF($E2758="","",INDEX(成本费用登记表!$E$4:$E$303,217))</f>
        <v/>
      </c>
      <c r="E2758" s="67" t="str">
        <f aca="false">IF(INDEX(成本费用登记表!$Q$4:$Y$303,217,1)=0,"",INDEX(成本费用登记表!$Q$4:$Y$303,217,1))</f>
        <v/>
      </c>
      <c r="F2758" s="99" t="str">
        <f aca="false">IF($E2758="","",IFERROR(INDEX(科目表!$A$4:$A$81,MATCH($E2758,科目表!$B$4:$B$81,0)),""))</f>
        <v/>
      </c>
      <c r="G2758" s="67" t="str">
        <f aca="false">IF($E2758="","",IFERROR(INDEX(科目表!$E$4:$E$81,MATCH($E2758,科目表!$B$4:$B$81,0)),""))</f>
        <v/>
      </c>
      <c r="H2758" s="70" t="str">
        <f aca="false">IF($E2758="","",N(INDEX(成本费用登记表!$Q$4:$Y$303,217,2)))</f>
        <v/>
      </c>
      <c r="I2758" s="70" t="str">
        <f aca="false">IF($E2758="","",N(INDEX(成本费用登记表!$Q$4:$Y$303,217,3)))</f>
        <v/>
      </c>
      <c r="J2758" s="67" t="str">
        <f aca="false">IF($E2758="","",INDEX(成本费用登记表!$C$4:$C$303,217))</f>
        <v/>
      </c>
      <c r="K2758" s="67" t="str">
        <f aca="false">IF($E2758="","",INDEX(成本费用登记表!$D$4:$D$303,217))</f>
        <v/>
      </c>
      <c r="L2758" s="107" t="str">
        <f aca="false">IF($E2758="","",INDEX(成本费用登记表!$N$4:$N$303,217))</f>
        <v/>
      </c>
      <c r="M2758" s="107"/>
      <c r="N2758" s="67" t="str">
        <f aca="false">IF($E2758="","","系统")</f>
        <v/>
      </c>
      <c r="O2758" s="67" t="str">
        <f aca="false">IF($E2758="","","自动C")</f>
        <v/>
      </c>
      <c r="P2758" s="18"/>
    </row>
    <row r="2759" customFormat="false" ht="18" hidden="false" customHeight="true" outlineLevel="0" collapsed="false">
      <c r="A2759" s="107" t="str">
        <f aca="false">IF($E2759="","",ROW()-3)</f>
        <v/>
      </c>
      <c r="B2759" s="110" t="str">
        <f aca="false">IF($E2759="","",INDEX(成本费用登记表!$B$4:$B$303,217))</f>
        <v/>
      </c>
      <c r="C2759" s="67" t="str">
        <f aca="false">IF($E2759="","","记-"&amp;TEXT($B2759,"YYYYMM")&amp;"-费用")</f>
        <v/>
      </c>
      <c r="D2759" s="107" t="str">
        <f aca="false">IF($E2759="","",INDEX(成本费用登记表!$E$4:$E$303,217))</f>
        <v/>
      </c>
      <c r="E2759" s="67" t="str">
        <f aca="false">IF(INDEX(成本费用登记表!$Q$4:$Y$303,217,4)=0,"",INDEX(成本费用登记表!$Q$4:$Y$303,217,4))</f>
        <v/>
      </c>
      <c r="F2759" s="99" t="str">
        <f aca="false">IF($E2759="","",IFERROR(INDEX(科目表!$A$4:$A$81,MATCH($E2759,科目表!$B$4:$B$81,0)),""))</f>
        <v/>
      </c>
      <c r="G2759" s="67" t="str">
        <f aca="false">IF($E2759="","",IFERROR(INDEX(科目表!$E$4:$E$81,MATCH($E2759,科目表!$B$4:$B$81,0)),""))</f>
        <v/>
      </c>
      <c r="H2759" s="70" t="str">
        <f aca="false">IF($E2759="","",N(INDEX(成本费用登记表!$Q$4:$Y$303,217,5)))</f>
        <v/>
      </c>
      <c r="I2759" s="70" t="str">
        <f aca="false">IF($E2759="","",N(INDEX(成本费用登记表!$Q$4:$Y$303,217,6)))</f>
        <v/>
      </c>
      <c r="J2759" s="67" t="str">
        <f aca="false">IF($E2759="","",INDEX(成本费用登记表!$C$4:$C$303,217))</f>
        <v/>
      </c>
      <c r="K2759" s="67" t="str">
        <f aca="false">IF($E2759="","",INDEX(成本费用登记表!$D$4:$D$303,217))</f>
        <v/>
      </c>
      <c r="L2759" s="107" t="str">
        <f aca="false">IF($E2759="","",INDEX(成本费用登记表!$N$4:$N$303,217))</f>
        <v/>
      </c>
      <c r="M2759" s="107"/>
      <c r="N2759" s="67" t="str">
        <f aca="false">IF($E2759="","","系统")</f>
        <v/>
      </c>
      <c r="O2759" s="67" t="str">
        <f aca="false">IF($E2759="","","自动C")</f>
        <v/>
      </c>
      <c r="P2759" s="18"/>
    </row>
    <row r="2760" customFormat="false" ht="18" hidden="false" customHeight="true" outlineLevel="0" collapsed="false">
      <c r="A2760" s="107" t="str">
        <f aca="false">IF($E2760="","",ROW()-3)</f>
        <v/>
      </c>
      <c r="B2760" s="110" t="str">
        <f aca="false">IF($E2760="","",INDEX(成本费用登记表!$B$4:$B$303,217))</f>
        <v/>
      </c>
      <c r="C2760" s="67" t="str">
        <f aca="false">IF($E2760="","","记-"&amp;TEXT($B2760,"YYYYMM")&amp;"-费用")</f>
        <v/>
      </c>
      <c r="D2760" s="107" t="str">
        <f aca="false">IF($E2760="","",INDEX(成本费用登记表!$E$4:$E$303,217))</f>
        <v/>
      </c>
      <c r="E2760" s="67" t="str">
        <f aca="false">IF(INDEX(成本费用登记表!$Q$4:$Y$303,217,7)=0,"",INDEX(成本费用登记表!$Q$4:$Y$303,217,7))</f>
        <v/>
      </c>
      <c r="F2760" s="99" t="str">
        <f aca="false">IF($E2760="","",IFERROR(INDEX(科目表!$A$4:$A$81,MATCH($E2760,科目表!$B$4:$B$81,0)),""))</f>
        <v/>
      </c>
      <c r="G2760" s="67" t="str">
        <f aca="false">IF($E2760="","",IFERROR(INDEX(科目表!$E$4:$E$81,MATCH($E2760,科目表!$B$4:$B$81,0)),""))</f>
        <v/>
      </c>
      <c r="H2760" s="70" t="str">
        <f aca="false">IF($E2760="","",N(INDEX(成本费用登记表!$Q$4:$Y$303,217,8)))</f>
        <v/>
      </c>
      <c r="I2760" s="70" t="str">
        <f aca="false">IF($E2760="","",N(INDEX(成本费用登记表!$Q$4:$Y$303,217,9)))</f>
        <v/>
      </c>
      <c r="J2760" s="67" t="str">
        <f aca="false">IF($E2760="","",INDEX(成本费用登记表!$C$4:$C$303,217))</f>
        <v/>
      </c>
      <c r="K2760" s="67" t="str">
        <f aca="false">IF($E2760="","",INDEX(成本费用登记表!$D$4:$D$303,217))</f>
        <v/>
      </c>
      <c r="L2760" s="107" t="str">
        <f aca="false">IF($E2760="","",INDEX(成本费用登记表!$N$4:$N$303,217))</f>
        <v/>
      </c>
      <c r="M2760" s="107"/>
      <c r="N2760" s="67" t="str">
        <f aca="false">IF($E2760="","","系统")</f>
        <v/>
      </c>
      <c r="O2760" s="67" t="str">
        <f aca="false">IF($E2760="","","自动C")</f>
        <v/>
      </c>
      <c r="P2760" s="18"/>
    </row>
    <row r="2761" customFormat="false" ht="18" hidden="false" customHeight="true" outlineLevel="0" collapsed="false">
      <c r="A2761" s="107" t="str">
        <f aca="false">IF($E2761="","",ROW()-3)</f>
        <v/>
      </c>
      <c r="B2761" s="110" t="str">
        <f aca="false">IF($E2761="","",INDEX(成本费用登记表!$B$4:$B$303,218))</f>
        <v/>
      </c>
      <c r="C2761" s="67" t="str">
        <f aca="false">IF($E2761="","","记-"&amp;TEXT($B2761,"YYYYMM")&amp;"-费用")</f>
        <v/>
      </c>
      <c r="D2761" s="107" t="str">
        <f aca="false">IF($E2761="","",INDEX(成本费用登记表!$E$4:$E$303,218))</f>
        <v/>
      </c>
      <c r="E2761" s="67" t="str">
        <f aca="false">IF(INDEX(成本费用登记表!$Q$4:$Y$303,218,1)=0,"",INDEX(成本费用登记表!$Q$4:$Y$303,218,1))</f>
        <v/>
      </c>
      <c r="F2761" s="99" t="str">
        <f aca="false">IF($E2761="","",IFERROR(INDEX(科目表!$A$4:$A$81,MATCH($E2761,科目表!$B$4:$B$81,0)),""))</f>
        <v/>
      </c>
      <c r="G2761" s="67" t="str">
        <f aca="false">IF($E2761="","",IFERROR(INDEX(科目表!$E$4:$E$81,MATCH($E2761,科目表!$B$4:$B$81,0)),""))</f>
        <v/>
      </c>
      <c r="H2761" s="70" t="str">
        <f aca="false">IF($E2761="","",N(INDEX(成本费用登记表!$Q$4:$Y$303,218,2)))</f>
        <v/>
      </c>
      <c r="I2761" s="70" t="str">
        <f aca="false">IF($E2761="","",N(INDEX(成本费用登记表!$Q$4:$Y$303,218,3)))</f>
        <v/>
      </c>
      <c r="J2761" s="67" t="str">
        <f aca="false">IF($E2761="","",INDEX(成本费用登记表!$C$4:$C$303,218))</f>
        <v/>
      </c>
      <c r="K2761" s="67" t="str">
        <f aca="false">IF($E2761="","",INDEX(成本费用登记表!$D$4:$D$303,218))</f>
        <v/>
      </c>
      <c r="L2761" s="107" t="str">
        <f aca="false">IF($E2761="","",INDEX(成本费用登记表!$N$4:$N$303,218))</f>
        <v/>
      </c>
      <c r="M2761" s="107"/>
      <c r="N2761" s="67" t="str">
        <f aca="false">IF($E2761="","","系统")</f>
        <v/>
      </c>
      <c r="O2761" s="67" t="str">
        <f aca="false">IF($E2761="","","自动C")</f>
        <v/>
      </c>
      <c r="P2761" s="18"/>
    </row>
    <row r="2762" customFormat="false" ht="18" hidden="false" customHeight="true" outlineLevel="0" collapsed="false">
      <c r="A2762" s="107" t="str">
        <f aca="false">IF($E2762="","",ROW()-3)</f>
        <v/>
      </c>
      <c r="B2762" s="110" t="str">
        <f aca="false">IF($E2762="","",INDEX(成本费用登记表!$B$4:$B$303,218))</f>
        <v/>
      </c>
      <c r="C2762" s="67" t="str">
        <f aca="false">IF($E2762="","","记-"&amp;TEXT($B2762,"YYYYMM")&amp;"-费用")</f>
        <v/>
      </c>
      <c r="D2762" s="107" t="str">
        <f aca="false">IF($E2762="","",INDEX(成本费用登记表!$E$4:$E$303,218))</f>
        <v/>
      </c>
      <c r="E2762" s="67" t="str">
        <f aca="false">IF(INDEX(成本费用登记表!$Q$4:$Y$303,218,4)=0,"",INDEX(成本费用登记表!$Q$4:$Y$303,218,4))</f>
        <v/>
      </c>
      <c r="F2762" s="99" t="str">
        <f aca="false">IF($E2762="","",IFERROR(INDEX(科目表!$A$4:$A$81,MATCH($E2762,科目表!$B$4:$B$81,0)),""))</f>
        <v/>
      </c>
      <c r="G2762" s="67" t="str">
        <f aca="false">IF($E2762="","",IFERROR(INDEX(科目表!$E$4:$E$81,MATCH($E2762,科目表!$B$4:$B$81,0)),""))</f>
        <v/>
      </c>
      <c r="H2762" s="70" t="str">
        <f aca="false">IF($E2762="","",N(INDEX(成本费用登记表!$Q$4:$Y$303,218,5)))</f>
        <v/>
      </c>
      <c r="I2762" s="70" t="str">
        <f aca="false">IF($E2762="","",N(INDEX(成本费用登记表!$Q$4:$Y$303,218,6)))</f>
        <v/>
      </c>
      <c r="J2762" s="67" t="str">
        <f aca="false">IF($E2762="","",INDEX(成本费用登记表!$C$4:$C$303,218))</f>
        <v/>
      </c>
      <c r="K2762" s="67" t="str">
        <f aca="false">IF($E2762="","",INDEX(成本费用登记表!$D$4:$D$303,218))</f>
        <v/>
      </c>
      <c r="L2762" s="107" t="str">
        <f aca="false">IF($E2762="","",INDEX(成本费用登记表!$N$4:$N$303,218))</f>
        <v/>
      </c>
      <c r="M2762" s="107"/>
      <c r="N2762" s="67" t="str">
        <f aca="false">IF($E2762="","","系统")</f>
        <v/>
      </c>
      <c r="O2762" s="67" t="str">
        <f aca="false">IF($E2762="","","自动C")</f>
        <v/>
      </c>
      <c r="P2762" s="18"/>
    </row>
    <row r="2763" customFormat="false" ht="18" hidden="false" customHeight="true" outlineLevel="0" collapsed="false">
      <c r="A2763" s="107" t="str">
        <f aca="false">IF($E2763="","",ROW()-3)</f>
        <v/>
      </c>
      <c r="B2763" s="110" t="str">
        <f aca="false">IF($E2763="","",INDEX(成本费用登记表!$B$4:$B$303,218))</f>
        <v/>
      </c>
      <c r="C2763" s="67" t="str">
        <f aca="false">IF($E2763="","","记-"&amp;TEXT($B2763,"YYYYMM")&amp;"-费用")</f>
        <v/>
      </c>
      <c r="D2763" s="107" t="str">
        <f aca="false">IF($E2763="","",INDEX(成本费用登记表!$E$4:$E$303,218))</f>
        <v/>
      </c>
      <c r="E2763" s="67" t="str">
        <f aca="false">IF(INDEX(成本费用登记表!$Q$4:$Y$303,218,7)=0,"",INDEX(成本费用登记表!$Q$4:$Y$303,218,7))</f>
        <v/>
      </c>
      <c r="F2763" s="99" t="str">
        <f aca="false">IF($E2763="","",IFERROR(INDEX(科目表!$A$4:$A$81,MATCH($E2763,科目表!$B$4:$B$81,0)),""))</f>
        <v/>
      </c>
      <c r="G2763" s="67" t="str">
        <f aca="false">IF($E2763="","",IFERROR(INDEX(科目表!$E$4:$E$81,MATCH($E2763,科目表!$B$4:$B$81,0)),""))</f>
        <v/>
      </c>
      <c r="H2763" s="70" t="str">
        <f aca="false">IF($E2763="","",N(INDEX(成本费用登记表!$Q$4:$Y$303,218,8)))</f>
        <v/>
      </c>
      <c r="I2763" s="70" t="str">
        <f aca="false">IF($E2763="","",N(INDEX(成本费用登记表!$Q$4:$Y$303,218,9)))</f>
        <v/>
      </c>
      <c r="J2763" s="67" t="str">
        <f aca="false">IF($E2763="","",INDEX(成本费用登记表!$C$4:$C$303,218))</f>
        <v/>
      </c>
      <c r="K2763" s="67" t="str">
        <f aca="false">IF($E2763="","",INDEX(成本费用登记表!$D$4:$D$303,218))</f>
        <v/>
      </c>
      <c r="L2763" s="107" t="str">
        <f aca="false">IF($E2763="","",INDEX(成本费用登记表!$N$4:$N$303,218))</f>
        <v/>
      </c>
      <c r="M2763" s="107"/>
      <c r="N2763" s="67" t="str">
        <f aca="false">IF($E2763="","","系统")</f>
        <v/>
      </c>
      <c r="O2763" s="67" t="str">
        <f aca="false">IF($E2763="","","自动C")</f>
        <v/>
      </c>
      <c r="P2763" s="18"/>
    </row>
    <row r="2764" customFormat="false" ht="18" hidden="false" customHeight="true" outlineLevel="0" collapsed="false">
      <c r="A2764" s="107" t="str">
        <f aca="false">IF($E2764="","",ROW()-3)</f>
        <v/>
      </c>
      <c r="B2764" s="110" t="str">
        <f aca="false">IF($E2764="","",INDEX(成本费用登记表!$B$4:$B$303,219))</f>
        <v/>
      </c>
      <c r="C2764" s="67" t="str">
        <f aca="false">IF($E2764="","","记-"&amp;TEXT($B2764,"YYYYMM")&amp;"-费用")</f>
        <v/>
      </c>
      <c r="D2764" s="107" t="str">
        <f aca="false">IF($E2764="","",INDEX(成本费用登记表!$E$4:$E$303,219))</f>
        <v/>
      </c>
      <c r="E2764" s="67" t="str">
        <f aca="false">IF(INDEX(成本费用登记表!$Q$4:$Y$303,219,1)=0,"",INDEX(成本费用登记表!$Q$4:$Y$303,219,1))</f>
        <v/>
      </c>
      <c r="F2764" s="99" t="str">
        <f aca="false">IF($E2764="","",IFERROR(INDEX(科目表!$A$4:$A$81,MATCH($E2764,科目表!$B$4:$B$81,0)),""))</f>
        <v/>
      </c>
      <c r="G2764" s="67" t="str">
        <f aca="false">IF($E2764="","",IFERROR(INDEX(科目表!$E$4:$E$81,MATCH($E2764,科目表!$B$4:$B$81,0)),""))</f>
        <v/>
      </c>
      <c r="H2764" s="70" t="str">
        <f aca="false">IF($E2764="","",N(INDEX(成本费用登记表!$Q$4:$Y$303,219,2)))</f>
        <v/>
      </c>
      <c r="I2764" s="70" t="str">
        <f aca="false">IF($E2764="","",N(INDEX(成本费用登记表!$Q$4:$Y$303,219,3)))</f>
        <v/>
      </c>
      <c r="J2764" s="67" t="str">
        <f aca="false">IF($E2764="","",INDEX(成本费用登记表!$C$4:$C$303,219))</f>
        <v/>
      </c>
      <c r="K2764" s="67" t="str">
        <f aca="false">IF($E2764="","",INDEX(成本费用登记表!$D$4:$D$303,219))</f>
        <v/>
      </c>
      <c r="L2764" s="107" t="str">
        <f aca="false">IF($E2764="","",INDEX(成本费用登记表!$N$4:$N$303,219))</f>
        <v/>
      </c>
      <c r="M2764" s="107"/>
      <c r="N2764" s="67" t="str">
        <f aca="false">IF($E2764="","","系统")</f>
        <v/>
      </c>
      <c r="O2764" s="67" t="str">
        <f aca="false">IF($E2764="","","自动C")</f>
        <v/>
      </c>
      <c r="P2764" s="18"/>
    </row>
    <row r="2765" customFormat="false" ht="18" hidden="false" customHeight="true" outlineLevel="0" collapsed="false">
      <c r="A2765" s="107" t="str">
        <f aca="false">IF($E2765="","",ROW()-3)</f>
        <v/>
      </c>
      <c r="B2765" s="110" t="str">
        <f aca="false">IF($E2765="","",INDEX(成本费用登记表!$B$4:$B$303,219))</f>
        <v/>
      </c>
      <c r="C2765" s="67" t="str">
        <f aca="false">IF($E2765="","","记-"&amp;TEXT($B2765,"YYYYMM")&amp;"-费用")</f>
        <v/>
      </c>
      <c r="D2765" s="107" t="str">
        <f aca="false">IF($E2765="","",INDEX(成本费用登记表!$E$4:$E$303,219))</f>
        <v/>
      </c>
      <c r="E2765" s="67" t="str">
        <f aca="false">IF(INDEX(成本费用登记表!$Q$4:$Y$303,219,4)=0,"",INDEX(成本费用登记表!$Q$4:$Y$303,219,4))</f>
        <v/>
      </c>
      <c r="F2765" s="99" t="str">
        <f aca="false">IF($E2765="","",IFERROR(INDEX(科目表!$A$4:$A$81,MATCH($E2765,科目表!$B$4:$B$81,0)),""))</f>
        <v/>
      </c>
      <c r="G2765" s="67" t="str">
        <f aca="false">IF($E2765="","",IFERROR(INDEX(科目表!$E$4:$E$81,MATCH($E2765,科目表!$B$4:$B$81,0)),""))</f>
        <v/>
      </c>
      <c r="H2765" s="70" t="str">
        <f aca="false">IF($E2765="","",N(INDEX(成本费用登记表!$Q$4:$Y$303,219,5)))</f>
        <v/>
      </c>
      <c r="I2765" s="70" t="str">
        <f aca="false">IF($E2765="","",N(INDEX(成本费用登记表!$Q$4:$Y$303,219,6)))</f>
        <v/>
      </c>
      <c r="J2765" s="67" t="str">
        <f aca="false">IF($E2765="","",INDEX(成本费用登记表!$C$4:$C$303,219))</f>
        <v/>
      </c>
      <c r="K2765" s="67" t="str">
        <f aca="false">IF($E2765="","",INDEX(成本费用登记表!$D$4:$D$303,219))</f>
        <v/>
      </c>
      <c r="L2765" s="107" t="str">
        <f aca="false">IF($E2765="","",INDEX(成本费用登记表!$N$4:$N$303,219))</f>
        <v/>
      </c>
      <c r="M2765" s="107"/>
      <c r="N2765" s="67" t="str">
        <f aca="false">IF($E2765="","","系统")</f>
        <v/>
      </c>
      <c r="O2765" s="67" t="str">
        <f aca="false">IF($E2765="","","自动C")</f>
        <v/>
      </c>
      <c r="P2765" s="18"/>
    </row>
    <row r="2766" customFormat="false" ht="18" hidden="false" customHeight="true" outlineLevel="0" collapsed="false">
      <c r="A2766" s="107" t="str">
        <f aca="false">IF($E2766="","",ROW()-3)</f>
        <v/>
      </c>
      <c r="B2766" s="110" t="str">
        <f aca="false">IF($E2766="","",INDEX(成本费用登记表!$B$4:$B$303,219))</f>
        <v/>
      </c>
      <c r="C2766" s="67" t="str">
        <f aca="false">IF($E2766="","","记-"&amp;TEXT($B2766,"YYYYMM")&amp;"-费用")</f>
        <v/>
      </c>
      <c r="D2766" s="107" t="str">
        <f aca="false">IF($E2766="","",INDEX(成本费用登记表!$E$4:$E$303,219))</f>
        <v/>
      </c>
      <c r="E2766" s="67" t="str">
        <f aca="false">IF(INDEX(成本费用登记表!$Q$4:$Y$303,219,7)=0,"",INDEX(成本费用登记表!$Q$4:$Y$303,219,7))</f>
        <v/>
      </c>
      <c r="F2766" s="99" t="str">
        <f aca="false">IF($E2766="","",IFERROR(INDEX(科目表!$A$4:$A$81,MATCH($E2766,科目表!$B$4:$B$81,0)),""))</f>
        <v/>
      </c>
      <c r="G2766" s="67" t="str">
        <f aca="false">IF($E2766="","",IFERROR(INDEX(科目表!$E$4:$E$81,MATCH($E2766,科目表!$B$4:$B$81,0)),""))</f>
        <v/>
      </c>
      <c r="H2766" s="70" t="str">
        <f aca="false">IF($E2766="","",N(INDEX(成本费用登记表!$Q$4:$Y$303,219,8)))</f>
        <v/>
      </c>
      <c r="I2766" s="70" t="str">
        <f aca="false">IF($E2766="","",N(INDEX(成本费用登记表!$Q$4:$Y$303,219,9)))</f>
        <v/>
      </c>
      <c r="J2766" s="67" t="str">
        <f aca="false">IF($E2766="","",INDEX(成本费用登记表!$C$4:$C$303,219))</f>
        <v/>
      </c>
      <c r="K2766" s="67" t="str">
        <f aca="false">IF($E2766="","",INDEX(成本费用登记表!$D$4:$D$303,219))</f>
        <v/>
      </c>
      <c r="L2766" s="107" t="str">
        <f aca="false">IF($E2766="","",INDEX(成本费用登记表!$N$4:$N$303,219))</f>
        <v/>
      </c>
      <c r="M2766" s="107"/>
      <c r="N2766" s="67" t="str">
        <f aca="false">IF($E2766="","","系统")</f>
        <v/>
      </c>
      <c r="O2766" s="67" t="str">
        <f aca="false">IF($E2766="","","自动C")</f>
        <v/>
      </c>
      <c r="P2766" s="18"/>
    </row>
    <row r="2767" customFormat="false" ht="18" hidden="false" customHeight="true" outlineLevel="0" collapsed="false">
      <c r="A2767" s="107" t="str">
        <f aca="false">IF($E2767="","",ROW()-3)</f>
        <v/>
      </c>
      <c r="B2767" s="110" t="str">
        <f aca="false">IF($E2767="","",INDEX(成本费用登记表!$B$4:$B$303,220))</f>
        <v/>
      </c>
      <c r="C2767" s="67" t="str">
        <f aca="false">IF($E2767="","","记-"&amp;TEXT($B2767,"YYYYMM")&amp;"-费用")</f>
        <v/>
      </c>
      <c r="D2767" s="107" t="str">
        <f aca="false">IF($E2767="","",INDEX(成本费用登记表!$E$4:$E$303,220))</f>
        <v/>
      </c>
      <c r="E2767" s="67" t="str">
        <f aca="false">IF(INDEX(成本费用登记表!$Q$4:$Y$303,220,1)=0,"",INDEX(成本费用登记表!$Q$4:$Y$303,220,1))</f>
        <v/>
      </c>
      <c r="F2767" s="99" t="str">
        <f aca="false">IF($E2767="","",IFERROR(INDEX(科目表!$A$4:$A$81,MATCH($E2767,科目表!$B$4:$B$81,0)),""))</f>
        <v/>
      </c>
      <c r="G2767" s="67" t="str">
        <f aca="false">IF($E2767="","",IFERROR(INDEX(科目表!$E$4:$E$81,MATCH($E2767,科目表!$B$4:$B$81,0)),""))</f>
        <v/>
      </c>
      <c r="H2767" s="70" t="str">
        <f aca="false">IF($E2767="","",N(INDEX(成本费用登记表!$Q$4:$Y$303,220,2)))</f>
        <v/>
      </c>
      <c r="I2767" s="70" t="str">
        <f aca="false">IF($E2767="","",N(INDEX(成本费用登记表!$Q$4:$Y$303,220,3)))</f>
        <v/>
      </c>
      <c r="J2767" s="67" t="str">
        <f aca="false">IF($E2767="","",INDEX(成本费用登记表!$C$4:$C$303,220))</f>
        <v/>
      </c>
      <c r="K2767" s="67" t="str">
        <f aca="false">IF($E2767="","",INDEX(成本费用登记表!$D$4:$D$303,220))</f>
        <v/>
      </c>
      <c r="L2767" s="107" t="str">
        <f aca="false">IF($E2767="","",INDEX(成本费用登记表!$N$4:$N$303,220))</f>
        <v/>
      </c>
      <c r="M2767" s="107"/>
      <c r="N2767" s="67" t="str">
        <f aca="false">IF($E2767="","","系统")</f>
        <v/>
      </c>
      <c r="O2767" s="67" t="str">
        <f aca="false">IF($E2767="","","自动C")</f>
        <v/>
      </c>
      <c r="P2767" s="18"/>
    </row>
    <row r="2768" customFormat="false" ht="18" hidden="false" customHeight="true" outlineLevel="0" collapsed="false">
      <c r="A2768" s="107" t="str">
        <f aca="false">IF($E2768="","",ROW()-3)</f>
        <v/>
      </c>
      <c r="B2768" s="110" t="str">
        <f aca="false">IF($E2768="","",INDEX(成本费用登记表!$B$4:$B$303,220))</f>
        <v/>
      </c>
      <c r="C2768" s="67" t="str">
        <f aca="false">IF($E2768="","","记-"&amp;TEXT($B2768,"YYYYMM")&amp;"-费用")</f>
        <v/>
      </c>
      <c r="D2768" s="107" t="str">
        <f aca="false">IF($E2768="","",INDEX(成本费用登记表!$E$4:$E$303,220))</f>
        <v/>
      </c>
      <c r="E2768" s="67" t="str">
        <f aca="false">IF(INDEX(成本费用登记表!$Q$4:$Y$303,220,4)=0,"",INDEX(成本费用登记表!$Q$4:$Y$303,220,4))</f>
        <v/>
      </c>
      <c r="F2768" s="99" t="str">
        <f aca="false">IF($E2768="","",IFERROR(INDEX(科目表!$A$4:$A$81,MATCH($E2768,科目表!$B$4:$B$81,0)),""))</f>
        <v/>
      </c>
      <c r="G2768" s="67" t="str">
        <f aca="false">IF($E2768="","",IFERROR(INDEX(科目表!$E$4:$E$81,MATCH($E2768,科目表!$B$4:$B$81,0)),""))</f>
        <v/>
      </c>
      <c r="H2768" s="70" t="str">
        <f aca="false">IF($E2768="","",N(INDEX(成本费用登记表!$Q$4:$Y$303,220,5)))</f>
        <v/>
      </c>
      <c r="I2768" s="70" t="str">
        <f aca="false">IF($E2768="","",N(INDEX(成本费用登记表!$Q$4:$Y$303,220,6)))</f>
        <v/>
      </c>
      <c r="J2768" s="67" t="str">
        <f aca="false">IF($E2768="","",INDEX(成本费用登记表!$C$4:$C$303,220))</f>
        <v/>
      </c>
      <c r="K2768" s="67" t="str">
        <f aca="false">IF($E2768="","",INDEX(成本费用登记表!$D$4:$D$303,220))</f>
        <v/>
      </c>
      <c r="L2768" s="107" t="str">
        <f aca="false">IF($E2768="","",INDEX(成本费用登记表!$N$4:$N$303,220))</f>
        <v/>
      </c>
      <c r="M2768" s="107"/>
      <c r="N2768" s="67" t="str">
        <f aca="false">IF($E2768="","","系统")</f>
        <v/>
      </c>
      <c r="O2768" s="67" t="str">
        <f aca="false">IF($E2768="","","自动C")</f>
        <v/>
      </c>
      <c r="P2768" s="18"/>
    </row>
    <row r="2769" customFormat="false" ht="18" hidden="false" customHeight="true" outlineLevel="0" collapsed="false">
      <c r="A2769" s="107" t="str">
        <f aca="false">IF($E2769="","",ROW()-3)</f>
        <v/>
      </c>
      <c r="B2769" s="110" t="str">
        <f aca="false">IF($E2769="","",INDEX(成本费用登记表!$B$4:$B$303,220))</f>
        <v/>
      </c>
      <c r="C2769" s="67" t="str">
        <f aca="false">IF($E2769="","","记-"&amp;TEXT($B2769,"YYYYMM")&amp;"-费用")</f>
        <v/>
      </c>
      <c r="D2769" s="107" t="str">
        <f aca="false">IF($E2769="","",INDEX(成本费用登记表!$E$4:$E$303,220))</f>
        <v/>
      </c>
      <c r="E2769" s="67" t="str">
        <f aca="false">IF(INDEX(成本费用登记表!$Q$4:$Y$303,220,7)=0,"",INDEX(成本费用登记表!$Q$4:$Y$303,220,7))</f>
        <v/>
      </c>
      <c r="F2769" s="99" t="str">
        <f aca="false">IF($E2769="","",IFERROR(INDEX(科目表!$A$4:$A$81,MATCH($E2769,科目表!$B$4:$B$81,0)),""))</f>
        <v/>
      </c>
      <c r="G2769" s="67" t="str">
        <f aca="false">IF($E2769="","",IFERROR(INDEX(科目表!$E$4:$E$81,MATCH($E2769,科目表!$B$4:$B$81,0)),""))</f>
        <v/>
      </c>
      <c r="H2769" s="70" t="str">
        <f aca="false">IF($E2769="","",N(INDEX(成本费用登记表!$Q$4:$Y$303,220,8)))</f>
        <v/>
      </c>
      <c r="I2769" s="70" t="str">
        <f aca="false">IF($E2769="","",N(INDEX(成本费用登记表!$Q$4:$Y$303,220,9)))</f>
        <v/>
      </c>
      <c r="J2769" s="67" t="str">
        <f aca="false">IF($E2769="","",INDEX(成本费用登记表!$C$4:$C$303,220))</f>
        <v/>
      </c>
      <c r="K2769" s="67" t="str">
        <f aca="false">IF($E2769="","",INDEX(成本费用登记表!$D$4:$D$303,220))</f>
        <v/>
      </c>
      <c r="L2769" s="107" t="str">
        <f aca="false">IF($E2769="","",INDEX(成本费用登记表!$N$4:$N$303,220))</f>
        <v/>
      </c>
      <c r="M2769" s="107"/>
      <c r="N2769" s="67" t="str">
        <f aca="false">IF($E2769="","","系统")</f>
        <v/>
      </c>
      <c r="O2769" s="67" t="str">
        <f aca="false">IF($E2769="","","自动C")</f>
        <v/>
      </c>
      <c r="P2769" s="18"/>
    </row>
    <row r="2770" customFormat="false" ht="18" hidden="false" customHeight="true" outlineLevel="0" collapsed="false">
      <c r="A2770" s="107" t="str">
        <f aca="false">IF($E2770="","",ROW()-3)</f>
        <v/>
      </c>
      <c r="B2770" s="110" t="str">
        <f aca="false">IF($E2770="","",INDEX(成本费用登记表!$B$4:$B$303,221))</f>
        <v/>
      </c>
      <c r="C2770" s="67" t="str">
        <f aca="false">IF($E2770="","","记-"&amp;TEXT($B2770,"YYYYMM")&amp;"-费用")</f>
        <v/>
      </c>
      <c r="D2770" s="107" t="str">
        <f aca="false">IF($E2770="","",INDEX(成本费用登记表!$E$4:$E$303,221))</f>
        <v/>
      </c>
      <c r="E2770" s="67" t="str">
        <f aca="false">IF(INDEX(成本费用登记表!$Q$4:$Y$303,221,1)=0,"",INDEX(成本费用登记表!$Q$4:$Y$303,221,1))</f>
        <v/>
      </c>
      <c r="F2770" s="99" t="str">
        <f aca="false">IF($E2770="","",IFERROR(INDEX(科目表!$A$4:$A$81,MATCH($E2770,科目表!$B$4:$B$81,0)),""))</f>
        <v/>
      </c>
      <c r="G2770" s="67" t="str">
        <f aca="false">IF($E2770="","",IFERROR(INDEX(科目表!$E$4:$E$81,MATCH($E2770,科目表!$B$4:$B$81,0)),""))</f>
        <v/>
      </c>
      <c r="H2770" s="70" t="str">
        <f aca="false">IF($E2770="","",N(INDEX(成本费用登记表!$Q$4:$Y$303,221,2)))</f>
        <v/>
      </c>
      <c r="I2770" s="70" t="str">
        <f aca="false">IF($E2770="","",N(INDEX(成本费用登记表!$Q$4:$Y$303,221,3)))</f>
        <v/>
      </c>
      <c r="J2770" s="67" t="str">
        <f aca="false">IF($E2770="","",INDEX(成本费用登记表!$C$4:$C$303,221))</f>
        <v/>
      </c>
      <c r="K2770" s="67" t="str">
        <f aca="false">IF($E2770="","",INDEX(成本费用登记表!$D$4:$D$303,221))</f>
        <v/>
      </c>
      <c r="L2770" s="107" t="str">
        <f aca="false">IF($E2770="","",INDEX(成本费用登记表!$N$4:$N$303,221))</f>
        <v/>
      </c>
      <c r="M2770" s="107"/>
      <c r="N2770" s="67" t="str">
        <f aca="false">IF($E2770="","","系统")</f>
        <v/>
      </c>
      <c r="O2770" s="67" t="str">
        <f aca="false">IF($E2770="","","自动C")</f>
        <v/>
      </c>
      <c r="P2770" s="18"/>
    </row>
    <row r="2771" customFormat="false" ht="18" hidden="false" customHeight="true" outlineLevel="0" collapsed="false">
      <c r="A2771" s="107" t="str">
        <f aca="false">IF($E2771="","",ROW()-3)</f>
        <v/>
      </c>
      <c r="B2771" s="110" t="str">
        <f aca="false">IF($E2771="","",INDEX(成本费用登记表!$B$4:$B$303,221))</f>
        <v/>
      </c>
      <c r="C2771" s="67" t="str">
        <f aca="false">IF($E2771="","","记-"&amp;TEXT($B2771,"YYYYMM")&amp;"-费用")</f>
        <v/>
      </c>
      <c r="D2771" s="107" t="str">
        <f aca="false">IF($E2771="","",INDEX(成本费用登记表!$E$4:$E$303,221))</f>
        <v/>
      </c>
      <c r="E2771" s="67" t="str">
        <f aca="false">IF(INDEX(成本费用登记表!$Q$4:$Y$303,221,4)=0,"",INDEX(成本费用登记表!$Q$4:$Y$303,221,4))</f>
        <v/>
      </c>
      <c r="F2771" s="99" t="str">
        <f aca="false">IF($E2771="","",IFERROR(INDEX(科目表!$A$4:$A$81,MATCH($E2771,科目表!$B$4:$B$81,0)),""))</f>
        <v/>
      </c>
      <c r="G2771" s="67" t="str">
        <f aca="false">IF($E2771="","",IFERROR(INDEX(科目表!$E$4:$E$81,MATCH($E2771,科目表!$B$4:$B$81,0)),""))</f>
        <v/>
      </c>
      <c r="H2771" s="70" t="str">
        <f aca="false">IF($E2771="","",N(INDEX(成本费用登记表!$Q$4:$Y$303,221,5)))</f>
        <v/>
      </c>
      <c r="I2771" s="70" t="str">
        <f aca="false">IF($E2771="","",N(INDEX(成本费用登记表!$Q$4:$Y$303,221,6)))</f>
        <v/>
      </c>
      <c r="J2771" s="67" t="str">
        <f aca="false">IF($E2771="","",INDEX(成本费用登记表!$C$4:$C$303,221))</f>
        <v/>
      </c>
      <c r="K2771" s="67" t="str">
        <f aca="false">IF($E2771="","",INDEX(成本费用登记表!$D$4:$D$303,221))</f>
        <v/>
      </c>
      <c r="L2771" s="107" t="str">
        <f aca="false">IF($E2771="","",INDEX(成本费用登记表!$N$4:$N$303,221))</f>
        <v/>
      </c>
      <c r="M2771" s="107"/>
      <c r="N2771" s="67" t="str">
        <f aca="false">IF($E2771="","","系统")</f>
        <v/>
      </c>
      <c r="O2771" s="67" t="str">
        <f aca="false">IF($E2771="","","自动C")</f>
        <v/>
      </c>
      <c r="P2771" s="18"/>
    </row>
    <row r="2772" customFormat="false" ht="18" hidden="false" customHeight="true" outlineLevel="0" collapsed="false">
      <c r="A2772" s="107" t="str">
        <f aca="false">IF($E2772="","",ROW()-3)</f>
        <v/>
      </c>
      <c r="B2772" s="110" t="str">
        <f aca="false">IF($E2772="","",INDEX(成本费用登记表!$B$4:$B$303,221))</f>
        <v/>
      </c>
      <c r="C2772" s="67" t="str">
        <f aca="false">IF($E2772="","","记-"&amp;TEXT($B2772,"YYYYMM")&amp;"-费用")</f>
        <v/>
      </c>
      <c r="D2772" s="107" t="str">
        <f aca="false">IF($E2772="","",INDEX(成本费用登记表!$E$4:$E$303,221))</f>
        <v/>
      </c>
      <c r="E2772" s="67" t="str">
        <f aca="false">IF(INDEX(成本费用登记表!$Q$4:$Y$303,221,7)=0,"",INDEX(成本费用登记表!$Q$4:$Y$303,221,7))</f>
        <v/>
      </c>
      <c r="F2772" s="99" t="str">
        <f aca="false">IF($E2772="","",IFERROR(INDEX(科目表!$A$4:$A$81,MATCH($E2772,科目表!$B$4:$B$81,0)),""))</f>
        <v/>
      </c>
      <c r="G2772" s="67" t="str">
        <f aca="false">IF($E2772="","",IFERROR(INDEX(科目表!$E$4:$E$81,MATCH($E2772,科目表!$B$4:$B$81,0)),""))</f>
        <v/>
      </c>
      <c r="H2772" s="70" t="str">
        <f aca="false">IF($E2772="","",N(INDEX(成本费用登记表!$Q$4:$Y$303,221,8)))</f>
        <v/>
      </c>
      <c r="I2772" s="70" t="str">
        <f aca="false">IF($E2772="","",N(INDEX(成本费用登记表!$Q$4:$Y$303,221,9)))</f>
        <v/>
      </c>
      <c r="J2772" s="67" t="str">
        <f aca="false">IF($E2772="","",INDEX(成本费用登记表!$C$4:$C$303,221))</f>
        <v/>
      </c>
      <c r="K2772" s="67" t="str">
        <f aca="false">IF($E2772="","",INDEX(成本费用登记表!$D$4:$D$303,221))</f>
        <v/>
      </c>
      <c r="L2772" s="107" t="str">
        <f aca="false">IF($E2772="","",INDEX(成本费用登记表!$N$4:$N$303,221))</f>
        <v/>
      </c>
      <c r="M2772" s="107"/>
      <c r="N2772" s="67" t="str">
        <f aca="false">IF($E2772="","","系统")</f>
        <v/>
      </c>
      <c r="O2772" s="67" t="str">
        <f aca="false">IF($E2772="","","自动C")</f>
        <v/>
      </c>
      <c r="P2772" s="18"/>
    </row>
    <row r="2773" customFormat="false" ht="18" hidden="false" customHeight="true" outlineLevel="0" collapsed="false">
      <c r="A2773" s="107" t="str">
        <f aca="false">IF($E2773="","",ROW()-3)</f>
        <v/>
      </c>
      <c r="B2773" s="110" t="str">
        <f aca="false">IF($E2773="","",INDEX(成本费用登记表!$B$4:$B$303,222))</f>
        <v/>
      </c>
      <c r="C2773" s="67" t="str">
        <f aca="false">IF($E2773="","","记-"&amp;TEXT($B2773,"YYYYMM")&amp;"-费用")</f>
        <v/>
      </c>
      <c r="D2773" s="107" t="str">
        <f aca="false">IF($E2773="","",INDEX(成本费用登记表!$E$4:$E$303,222))</f>
        <v/>
      </c>
      <c r="E2773" s="67" t="str">
        <f aca="false">IF(INDEX(成本费用登记表!$Q$4:$Y$303,222,1)=0,"",INDEX(成本费用登记表!$Q$4:$Y$303,222,1))</f>
        <v/>
      </c>
      <c r="F2773" s="99" t="str">
        <f aca="false">IF($E2773="","",IFERROR(INDEX(科目表!$A$4:$A$81,MATCH($E2773,科目表!$B$4:$B$81,0)),""))</f>
        <v/>
      </c>
      <c r="G2773" s="67" t="str">
        <f aca="false">IF($E2773="","",IFERROR(INDEX(科目表!$E$4:$E$81,MATCH($E2773,科目表!$B$4:$B$81,0)),""))</f>
        <v/>
      </c>
      <c r="H2773" s="70" t="str">
        <f aca="false">IF($E2773="","",N(INDEX(成本费用登记表!$Q$4:$Y$303,222,2)))</f>
        <v/>
      </c>
      <c r="I2773" s="70" t="str">
        <f aca="false">IF($E2773="","",N(INDEX(成本费用登记表!$Q$4:$Y$303,222,3)))</f>
        <v/>
      </c>
      <c r="J2773" s="67" t="str">
        <f aca="false">IF($E2773="","",INDEX(成本费用登记表!$C$4:$C$303,222))</f>
        <v/>
      </c>
      <c r="K2773" s="67" t="str">
        <f aca="false">IF($E2773="","",INDEX(成本费用登记表!$D$4:$D$303,222))</f>
        <v/>
      </c>
      <c r="L2773" s="107" t="str">
        <f aca="false">IF($E2773="","",INDEX(成本费用登记表!$N$4:$N$303,222))</f>
        <v/>
      </c>
      <c r="M2773" s="107"/>
      <c r="N2773" s="67" t="str">
        <f aca="false">IF($E2773="","","系统")</f>
        <v/>
      </c>
      <c r="O2773" s="67" t="str">
        <f aca="false">IF($E2773="","","自动C")</f>
        <v/>
      </c>
      <c r="P2773" s="18"/>
    </row>
    <row r="2774" customFormat="false" ht="18" hidden="false" customHeight="true" outlineLevel="0" collapsed="false">
      <c r="A2774" s="107" t="str">
        <f aca="false">IF($E2774="","",ROW()-3)</f>
        <v/>
      </c>
      <c r="B2774" s="110" t="str">
        <f aca="false">IF($E2774="","",INDEX(成本费用登记表!$B$4:$B$303,222))</f>
        <v/>
      </c>
      <c r="C2774" s="67" t="str">
        <f aca="false">IF($E2774="","","记-"&amp;TEXT($B2774,"YYYYMM")&amp;"-费用")</f>
        <v/>
      </c>
      <c r="D2774" s="107" t="str">
        <f aca="false">IF($E2774="","",INDEX(成本费用登记表!$E$4:$E$303,222))</f>
        <v/>
      </c>
      <c r="E2774" s="67" t="str">
        <f aca="false">IF(INDEX(成本费用登记表!$Q$4:$Y$303,222,4)=0,"",INDEX(成本费用登记表!$Q$4:$Y$303,222,4))</f>
        <v/>
      </c>
      <c r="F2774" s="99" t="str">
        <f aca="false">IF($E2774="","",IFERROR(INDEX(科目表!$A$4:$A$81,MATCH($E2774,科目表!$B$4:$B$81,0)),""))</f>
        <v/>
      </c>
      <c r="G2774" s="67" t="str">
        <f aca="false">IF($E2774="","",IFERROR(INDEX(科目表!$E$4:$E$81,MATCH($E2774,科目表!$B$4:$B$81,0)),""))</f>
        <v/>
      </c>
      <c r="H2774" s="70" t="str">
        <f aca="false">IF($E2774="","",N(INDEX(成本费用登记表!$Q$4:$Y$303,222,5)))</f>
        <v/>
      </c>
      <c r="I2774" s="70" t="str">
        <f aca="false">IF($E2774="","",N(INDEX(成本费用登记表!$Q$4:$Y$303,222,6)))</f>
        <v/>
      </c>
      <c r="J2774" s="67" t="str">
        <f aca="false">IF($E2774="","",INDEX(成本费用登记表!$C$4:$C$303,222))</f>
        <v/>
      </c>
      <c r="K2774" s="67" t="str">
        <f aca="false">IF($E2774="","",INDEX(成本费用登记表!$D$4:$D$303,222))</f>
        <v/>
      </c>
      <c r="L2774" s="107" t="str">
        <f aca="false">IF($E2774="","",INDEX(成本费用登记表!$N$4:$N$303,222))</f>
        <v/>
      </c>
      <c r="M2774" s="107"/>
      <c r="N2774" s="67" t="str">
        <f aca="false">IF($E2774="","","系统")</f>
        <v/>
      </c>
      <c r="O2774" s="67" t="str">
        <f aca="false">IF($E2774="","","自动C")</f>
        <v/>
      </c>
      <c r="P2774" s="18"/>
    </row>
    <row r="2775" customFormat="false" ht="18" hidden="false" customHeight="true" outlineLevel="0" collapsed="false">
      <c r="A2775" s="107" t="str">
        <f aca="false">IF($E2775="","",ROW()-3)</f>
        <v/>
      </c>
      <c r="B2775" s="110" t="str">
        <f aca="false">IF($E2775="","",INDEX(成本费用登记表!$B$4:$B$303,222))</f>
        <v/>
      </c>
      <c r="C2775" s="67" t="str">
        <f aca="false">IF($E2775="","","记-"&amp;TEXT($B2775,"YYYYMM")&amp;"-费用")</f>
        <v/>
      </c>
      <c r="D2775" s="107" t="str">
        <f aca="false">IF($E2775="","",INDEX(成本费用登记表!$E$4:$E$303,222))</f>
        <v/>
      </c>
      <c r="E2775" s="67" t="str">
        <f aca="false">IF(INDEX(成本费用登记表!$Q$4:$Y$303,222,7)=0,"",INDEX(成本费用登记表!$Q$4:$Y$303,222,7))</f>
        <v/>
      </c>
      <c r="F2775" s="99" t="str">
        <f aca="false">IF($E2775="","",IFERROR(INDEX(科目表!$A$4:$A$81,MATCH($E2775,科目表!$B$4:$B$81,0)),""))</f>
        <v/>
      </c>
      <c r="G2775" s="67" t="str">
        <f aca="false">IF($E2775="","",IFERROR(INDEX(科目表!$E$4:$E$81,MATCH($E2775,科目表!$B$4:$B$81,0)),""))</f>
        <v/>
      </c>
      <c r="H2775" s="70" t="str">
        <f aca="false">IF($E2775="","",N(INDEX(成本费用登记表!$Q$4:$Y$303,222,8)))</f>
        <v/>
      </c>
      <c r="I2775" s="70" t="str">
        <f aca="false">IF($E2775="","",N(INDEX(成本费用登记表!$Q$4:$Y$303,222,9)))</f>
        <v/>
      </c>
      <c r="J2775" s="67" t="str">
        <f aca="false">IF($E2775="","",INDEX(成本费用登记表!$C$4:$C$303,222))</f>
        <v/>
      </c>
      <c r="K2775" s="67" t="str">
        <f aca="false">IF($E2775="","",INDEX(成本费用登记表!$D$4:$D$303,222))</f>
        <v/>
      </c>
      <c r="L2775" s="107" t="str">
        <f aca="false">IF($E2775="","",INDEX(成本费用登记表!$N$4:$N$303,222))</f>
        <v/>
      </c>
      <c r="M2775" s="107"/>
      <c r="N2775" s="67" t="str">
        <f aca="false">IF($E2775="","","系统")</f>
        <v/>
      </c>
      <c r="O2775" s="67" t="str">
        <f aca="false">IF($E2775="","","自动C")</f>
        <v/>
      </c>
      <c r="P2775" s="18"/>
    </row>
    <row r="2776" customFormat="false" ht="18" hidden="false" customHeight="true" outlineLevel="0" collapsed="false">
      <c r="A2776" s="107" t="str">
        <f aca="false">IF($E2776="","",ROW()-3)</f>
        <v/>
      </c>
      <c r="B2776" s="110" t="str">
        <f aca="false">IF($E2776="","",INDEX(成本费用登记表!$B$4:$B$303,223))</f>
        <v/>
      </c>
      <c r="C2776" s="67" t="str">
        <f aca="false">IF($E2776="","","记-"&amp;TEXT($B2776,"YYYYMM")&amp;"-费用")</f>
        <v/>
      </c>
      <c r="D2776" s="107" t="str">
        <f aca="false">IF($E2776="","",INDEX(成本费用登记表!$E$4:$E$303,223))</f>
        <v/>
      </c>
      <c r="E2776" s="67" t="str">
        <f aca="false">IF(INDEX(成本费用登记表!$Q$4:$Y$303,223,1)=0,"",INDEX(成本费用登记表!$Q$4:$Y$303,223,1))</f>
        <v/>
      </c>
      <c r="F2776" s="99" t="str">
        <f aca="false">IF($E2776="","",IFERROR(INDEX(科目表!$A$4:$A$81,MATCH($E2776,科目表!$B$4:$B$81,0)),""))</f>
        <v/>
      </c>
      <c r="G2776" s="67" t="str">
        <f aca="false">IF($E2776="","",IFERROR(INDEX(科目表!$E$4:$E$81,MATCH($E2776,科目表!$B$4:$B$81,0)),""))</f>
        <v/>
      </c>
      <c r="H2776" s="70" t="str">
        <f aca="false">IF($E2776="","",N(INDEX(成本费用登记表!$Q$4:$Y$303,223,2)))</f>
        <v/>
      </c>
      <c r="I2776" s="70" t="str">
        <f aca="false">IF($E2776="","",N(INDEX(成本费用登记表!$Q$4:$Y$303,223,3)))</f>
        <v/>
      </c>
      <c r="J2776" s="67" t="str">
        <f aca="false">IF($E2776="","",INDEX(成本费用登记表!$C$4:$C$303,223))</f>
        <v/>
      </c>
      <c r="K2776" s="67" t="str">
        <f aca="false">IF($E2776="","",INDEX(成本费用登记表!$D$4:$D$303,223))</f>
        <v/>
      </c>
      <c r="L2776" s="107" t="str">
        <f aca="false">IF($E2776="","",INDEX(成本费用登记表!$N$4:$N$303,223))</f>
        <v/>
      </c>
      <c r="M2776" s="107"/>
      <c r="N2776" s="67" t="str">
        <f aca="false">IF($E2776="","","系统")</f>
        <v/>
      </c>
      <c r="O2776" s="67" t="str">
        <f aca="false">IF($E2776="","","自动C")</f>
        <v/>
      </c>
      <c r="P2776" s="18"/>
    </row>
    <row r="2777" customFormat="false" ht="18" hidden="false" customHeight="true" outlineLevel="0" collapsed="false">
      <c r="A2777" s="107" t="str">
        <f aca="false">IF($E2777="","",ROW()-3)</f>
        <v/>
      </c>
      <c r="B2777" s="110" t="str">
        <f aca="false">IF($E2777="","",INDEX(成本费用登记表!$B$4:$B$303,223))</f>
        <v/>
      </c>
      <c r="C2777" s="67" t="str">
        <f aca="false">IF($E2777="","","记-"&amp;TEXT($B2777,"YYYYMM")&amp;"-费用")</f>
        <v/>
      </c>
      <c r="D2777" s="107" t="str">
        <f aca="false">IF($E2777="","",INDEX(成本费用登记表!$E$4:$E$303,223))</f>
        <v/>
      </c>
      <c r="E2777" s="67" t="str">
        <f aca="false">IF(INDEX(成本费用登记表!$Q$4:$Y$303,223,4)=0,"",INDEX(成本费用登记表!$Q$4:$Y$303,223,4))</f>
        <v/>
      </c>
      <c r="F2777" s="99" t="str">
        <f aca="false">IF($E2777="","",IFERROR(INDEX(科目表!$A$4:$A$81,MATCH($E2777,科目表!$B$4:$B$81,0)),""))</f>
        <v/>
      </c>
      <c r="G2777" s="67" t="str">
        <f aca="false">IF($E2777="","",IFERROR(INDEX(科目表!$E$4:$E$81,MATCH($E2777,科目表!$B$4:$B$81,0)),""))</f>
        <v/>
      </c>
      <c r="H2777" s="70" t="str">
        <f aca="false">IF($E2777="","",N(INDEX(成本费用登记表!$Q$4:$Y$303,223,5)))</f>
        <v/>
      </c>
      <c r="I2777" s="70" t="str">
        <f aca="false">IF($E2777="","",N(INDEX(成本费用登记表!$Q$4:$Y$303,223,6)))</f>
        <v/>
      </c>
      <c r="J2777" s="67" t="str">
        <f aca="false">IF($E2777="","",INDEX(成本费用登记表!$C$4:$C$303,223))</f>
        <v/>
      </c>
      <c r="K2777" s="67" t="str">
        <f aca="false">IF($E2777="","",INDEX(成本费用登记表!$D$4:$D$303,223))</f>
        <v/>
      </c>
      <c r="L2777" s="107" t="str">
        <f aca="false">IF($E2777="","",INDEX(成本费用登记表!$N$4:$N$303,223))</f>
        <v/>
      </c>
      <c r="M2777" s="107"/>
      <c r="N2777" s="67" t="str">
        <f aca="false">IF($E2777="","","系统")</f>
        <v/>
      </c>
      <c r="O2777" s="67" t="str">
        <f aca="false">IF($E2777="","","自动C")</f>
        <v/>
      </c>
      <c r="P2777" s="18"/>
    </row>
    <row r="2778" customFormat="false" ht="18" hidden="false" customHeight="true" outlineLevel="0" collapsed="false">
      <c r="A2778" s="107" t="str">
        <f aca="false">IF($E2778="","",ROW()-3)</f>
        <v/>
      </c>
      <c r="B2778" s="110" t="str">
        <f aca="false">IF($E2778="","",INDEX(成本费用登记表!$B$4:$B$303,223))</f>
        <v/>
      </c>
      <c r="C2778" s="67" t="str">
        <f aca="false">IF($E2778="","","记-"&amp;TEXT($B2778,"YYYYMM")&amp;"-费用")</f>
        <v/>
      </c>
      <c r="D2778" s="107" t="str">
        <f aca="false">IF($E2778="","",INDEX(成本费用登记表!$E$4:$E$303,223))</f>
        <v/>
      </c>
      <c r="E2778" s="67" t="str">
        <f aca="false">IF(INDEX(成本费用登记表!$Q$4:$Y$303,223,7)=0,"",INDEX(成本费用登记表!$Q$4:$Y$303,223,7))</f>
        <v/>
      </c>
      <c r="F2778" s="99" t="str">
        <f aca="false">IF($E2778="","",IFERROR(INDEX(科目表!$A$4:$A$81,MATCH($E2778,科目表!$B$4:$B$81,0)),""))</f>
        <v/>
      </c>
      <c r="G2778" s="67" t="str">
        <f aca="false">IF($E2778="","",IFERROR(INDEX(科目表!$E$4:$E$81,MATCH($E2778,科目表!$B$4:$B$81,0)),""))</f>
        <v/>
      </c>
      <c r="H2778" s="70" t="str">
        <f aca="false">IF($E2778="","",N(INDEX(成本费用登记表!$Q$4:$Y$303,223,8)))</f>
        <v/>
      </c>
      <c r="I2778" s="70" t="str">
        <f aca="false">IF($E2778="","",N(INDEX(成本费用登记表!$Q$4:$Y$303,223,9)))</f>
        <v/>
      </c>
      <c r="J2778" s="67" t="str">
        <f aca="false">IF($E2778="","",INDEX(成本费用登记表!$C$4:$C$303,223))</f>
        <v/>
      </c>
      <c r="K2778" s="67" t="str">
        <f aca="false">IF($E2778="","",INDEX(成本费用登记表!$D$4:$D$303,223))</f>
        <v/>
      </c>
      <c r="L2778" s="107" t="str">
        <f aca="false">IF($E2778="","",INDEX(成本费用登记表!$N$4:$N$303,223))</f>
        <v/>
      </c>
      <c r="M2778" s="107"/>
      <c r="N2778" s="67" t="str">
        <f aca="false">IF($E2778="","","系统")</f>
        <v/>
      </c>
      <c r="O2778" s="67" t="str">
        <f aca="false">IF($E2778="","","自动C")</f>
        <v/>
      </c>
      <c r="P2778" s="18"/>
    </row>
    <row r="2779" customFormat="false" ht="18" hidden="false" customHeight="true" outlineLevel="0" collapsed="false">
      <c r="A2779" s="107" t="str">
        <f aca="false">IF($E2779="","",ROW()-3)</f>
        <v/>
      </c>
      <c r="B2779" s="110" t="str">
        <f aca="false">IF($E2779="","",INDEX(成本费用登记表!$B$4:$B$303,224))</f>
        <v/>
      </c>
      <c r="C2779" s="67" t="str">
        <f aca="false">IF($E2779="","","记-"&amp;TEXT($B2779,"YYYYMM")&amp;"-费用")</f>
        <v/>
      </c>
      <c r="D2779" s="107" t="str">
        <f aca="false">IF($E2779="","",INDEX(成本费用登记表!$E$4:$E$303,224))</f>
        <v/>
      </c>
      <c r="E2779" s="67" t="str">
        <f aca="false">IF(INDEX(成本费用登记表!$Q$4:$Y$303,224,1)=0,"",INDEX(成本费用登记表!$Q$4:$Y$303,224,1))</f>
        <v/>
      </c>
      <c r="F2779" s="99" t="str">
        <f aca="false">IF($E2779="","",IFERROR(INDEX(科目表!$A$4:$A$81,MATCH($E2779,科目表!$B$4:$B$81,0)),""))</f>
        <v/>
      </c>
      <c r="G2779" s="67" t="str">
        <f aca="false">IF($E2779="","",IFERROR(INDEX(科目表!$E$4:$E$81,MATCH($E2779,科目表!$B$4:$B$81,0)),""))</f>
        <v/>
      </c>
      <c r="H2779" s="70" t="str">
        <f aca="false">IF($E2779="","",N(INDEX(成本费用登记表!$Q$4:$Y$303,224,2)))</f>
        <v/>
      </c>
      <c r="I2779" s="70" t="str">
        <f aca="false">IF($E2779="","",N(INDEX(成本费用登记表!$Q$4:$Y$303,224,3)))</f>
        <v/>
      </c>
      <c r="J2779" s="67" t="str">
        <f aca="false">IF($E2779="","",INDEX(成本费用登记表!$C$4:$C$303,224))</f>
        <v/>
      </c>
      <c r="K2779" s="67" t="str">
        <f aca="false">IF($E2779="","",INDEX(成本费用登记表!$D$4:$D$303,224))</f>
        <v/>
      </c>
      <c r="L2779" s="107" t="str">
        <f aca="false">IF($E2779="","",INDEX(成本费用登记表!$N$4:$N$303,224))</f>
        <v/>
      </c>
      <c r="M2779" s="107"/>
      <c r="N2779" s="67" t="str">
        <f aca="false">IF($E2779="","","系统")</f>
        <v/>
      </c>
      <c r="O2779" s="67" t="str">
        <f aca="false">IF($E2779="","","自动C")</f>
        <v/>
      </c>
      <c r="P2779" s="18"/>
    </row>
    <row r="2780" customFormat="false" ht="18" hidden="false" customHeight="true" outlineLevel="0" collapsed="false">
      <c r="A2780" s="107" t="str">
        <f aca="false">IF($E2780="","",ROW()-3)</f>
        <v/>
      </c>
      <c r="B2780" s="110" t="str">
        <f aca="false">IF($E2780="","",INDEX(成本费用登记表!$B$4:$B$303,224))</f>
        <v/>
      </c>
      <c r="C2780" s="67" t="str">
        <f aca="false">IF($E2780="","","记-"&amp;TEXT($B2780,"YYYYMM")&amp;"-费用")</f>
        <v/>
      </c>
      <c r="D2780" s="107" t="str">
        <f aca="false">IF($E2780="","",INDEX(成本费用登记表!$E$4:$E$303,224))</f>
        <v/>
      </c>
      <c r="E2780" s="67" t="str">
        <f aca="false">IF(INDEX(成本费用登记表!$Q$4:$Y$303,224,4)=0,"",INDEX(成本费用登记表!$Q$4:$Y$303,224,4))</f>
        <v/>
      </c>
      <c r="F2780" s="99" t="str">
        <f aca="false">IF($E2780="","",IFERROR(INDEX(科目表!$A$4:$A$81,MATCH($E2780,科目表!$B$4:$B$81,0)),""))</f>
        <v/>
      </c>
      <c r="G2780" s="67" t="str">
        <f aca="false">IF($E2780="","",IFERROR(INDEX(科目表!$E$4:$E$81,MATCH($E2780,科目表!$B$4:$B$81,0)),""))</f>
        <v/>
      </c>
      <c r="H2780" s="70" t="str">
        <f aca="false">IF($E2780="","",N(INDEX(成本费用登记表!$Q$4:$Y$303,224,5)))</f>
        <v/>
      </c>
      <c r="I2780" s="70" t="str">
        <f aca="false">IF($E2780="","",N(INDEX(成本费用登记表!$Q$4:$Y$303,224,6)))</f>
        <v/>
      </c>
      <c r="J2780" s="67" t="str">
        <f aca="false">IF($E2780="","",INDEX(成本费用登记表!$C$4:$C$303,224))</f>
        <v/>
      </c>
      <c r="K2780" s="67" t="str">
        <f aca="false">IF($E2780="","",INDEX(成本费用登记表!$D$4:$D$303,224))</f>
        <v/>
      </c>
      <c r="L2780" s="107" t="str">
        <f aca="false">IF($E2780="","",INDEX(成本费用登记表!$N$4:$N$303,224))</f>
        <v/>
      </c>
      <c r="M2780" s="107"/>
      <c r="N2780" s="67" t="str">
        <f aca="false">IF($E2780="","","系统")</f>
        <v/>
      </c>
      <c r="O2780" s="67" t="str">
        <f aca="false">IF($E2780="","","自动C")</f>
        <v/>
      </c>
      <c r="P2780" s="18"/>
    </row>
    <row r="2781" customFormat="false" ht="18" hidden="false" customHeight="true" outlineLevel="0" collapsed="false">
      <c r="A2781" s="107" t="str">
        <f aca="false">IF($E2781="","",ROW()-3)</f>
        <v/>
      </c>
      <c r="B2781" s="110" t="str">
        <f aca="false">IF($E2781="","",INDEX(成本费用登记表!$B$4:$B$303,224))</f>
        <v/>
      </c>
      <c r="C2781" s="67" t="str">
        <f aca="false">IF($E2781="","","记-"&amp;TEXT($B2781,"YYYYMM")&amp;"-费用")</f>
        <v/>
      </c>
      <c r="D2781" s="107" t="str">
        <f aca="false">IF($E2781="","",INDEX(成本费用登记表!$E$4:$E$303,224))</f>
        <v/>
      </c>
      <c r="E2781" s="67" t="str">
        <f aca="false">IF(INDEX(成本费用登记表!$Q$4:$Y$303,224,7)=0,"",INDEX(成本费用登记表!$Q$4:$Y$303,224,7))</f>
        <v/>
      </c>
      <c r="F2781" s="99" t="str">
        <f aca="false">IF($E2781="","",IFERROR(INDEX(科目表!$A$4:$A$81,MATCH($E2781,科目表!$B$4:$B$81,0)),""))</f>
        <v/>
      </c>
      <c r="G2781" s="67" t="str">
        <f aca="false">IF($E2781="","",IFERROR(INDEX(科目表!$E$4:$E$81,MATCH($E2781,科目表!$B$4:$B$81,0)),""))</f>
        <v/>
      </c>
      <c r="H2781" s="70" t="str">
        <f aca="false">IF($E2781="","",N(INDEX(成本费用登记表!$Q$4:$Y$303,224,8)))</f>
        <v/>
      </c>
      <c r="I2781" s="70" t="str">
        <f aca="false">IF($E2781="","",N(INDEX(成本费用登记表!$Q$4:$Y$303,224,9)))</f>
        <v/>
      </c>
      <c r="J2781" s="67" t="str">
        <f aca="false">IF($E2781="","",INDEX(成本费用登记表!$C$4:$C$303,224))</f>
        <v/>
      </c>
      <c r="K2781" s="67" t="str">
        <f aca="false">IF($E2781="","",INDEX(成本费用登记表!$D$4:$D$303,224))</f>
        <v/>
      </c>
      <c r="L2781" s="107" t="str">
        <f aca="false">IF($E2781="","",INDEX(成本费用登记表!$N$4:$N$303,224))</f>
        <v/>
      </c>
      <c r="M2781" s="107"/>
      <c r="N2781" s="67" t="str">
        <f aca="false">IF($E2781="","","系统")</f>
        <v/>
      </c>
      <c r="O2781" s="67" t="str">
        <f aca="false">IF($E2781="","","自动C")</f>
        <v/>
      </c>
      <c r="P2781" s="18"/>
    </row>
    <row r="2782" customFormat="false" ht="18" hidden="false" customHeight="true" outlineLevel="0" collapsed="false">
      <c r="A2782" s="107" t="str">
        <f aca="false">IF($E2782="","",ROW()-3)</f>
        <v/>
      </c>
      <c r="B2782" s="110" t="str">
        <f aca="false">IF($E2782="","",INDEX(成本费用登记表!$B$4:$B$303,225))</f>
        <v/>
      </c>
      <c r="C2782" s="67" t="str">
        <f aca="false">IF($E2782="","","记-"&amp;TEXT($B2782,"YYYYMM")&amp;"-费用")</f>
        <v/>
      </c>
      <c r="D2782" s="107" t="str">
        <f aca="false">IF($E2782="","",INDEX(成本费用登记表!$E$4:$E$303,225))</f>
        <v/>
      </c>
      <c r="E2782" s="67" t="str">
        <f aca="false">IF(INDEX(成本费用登记表!$Q$4:$Y$303,225,1)=0,"",INDEX(成本费用登记表!$Q$4:$Y$303,225,1))</f>
        <v/>
      </c>
      <c r="F2782" s="99" t="str">
        <f aca="false">IF($E2782="","",IFERROR(INDEX(科目表!$A$4:$A$81,MATCH($E2782,科目表!$B$4:$B$81,0)),""))</f>
        <v/>
      </c>
      <c r="G2782" s="67" t="str">
        <f aca="false">IF($E2782="","",IFERROR(INDEX(科目表!$E$4:$E$81,MATCH($E2782,科目表!$B$4:$B$81,0)),""))</f>
        <v/>
      </c>
      <c r="H2782" s="70" t="str">
        <f aca="false">IF($E2782="","",N(INDEX(成本费用登记表!$Q$4:$Y$303,225,2)))</f>
        <v/>
      </c>
      <c r="I2782" s="70" t="str">
        <f aca="false">IF($E2782="","",N(INDEX(成本费用登记表!$Q$4:$Y$303,225,3)))</f>
        <v/>
      </c>
      <c r="J2782" s="67" t="str">
        <f aca="false">IF($E2782="","",INDEX(成本费用登记表!$C$4:$C$303,225))</f>
        <v/>
      </c>
      <c r="K2782" s="67" t="str">
        <f aca="false">IF($E2782="","",INDEX(成本费用登记表!$D$4:$D$303,225))</f>
        <v/>
      </c>
      <c r="L2782" s="107" t="str">
        <f aca="false">IF($E2782="","",INDEX(成本费用登记表!$N$4:$N$303,225))</f>
        <v/>
      </c>
      <c r="M2782" s="107"/>
      <c r="N2782" s="67" t="str">
        <f aca="false">IF($E2782="","","系统")</f>
        <v/>
      </c>
      <c r="O2782" s="67" t="str">
        <f aca="false">IF($E2782="","","自动C")</f>
        <v/>
      </c>
      <c r="P2782" s="18"/>
    </row>
    <row r="2783" customFormat="false" ht="18" hidden="false" customHeight="true" outlineLevel="0" collapsed="false">
      <c r="A2783" s="107" t="str">
        <f aca="false">IF($E2783="","",ROW()-3)</f>
        <v/>
      </c>
      <c r="B2783" s="110" t="str">
        <f aca="false">IF($E2783="","",INDEX(成本费用登记表!$B$4:$B$303,225))</f>
        <v/>
      </c>
      <c r="C2783" s="67" t="str">
        <f aca="false">IF($E2783="","","记-"&amp;TEXT($B2783,"YYYYMM")&amp;"-费用")</f>
        <v/>
      </c>
      <c r="D2783" s="107" t="str">
        <f aca="false">IF($E2783="","",INDEX(成本费用登记表!$E$4:$E$303,225))</f>
        <v/>
      </c>
      <c r="E2783" s="67" t="str">
        <f aca="false">IF(INDEX(成本费用登记表!$Q$4:$Y$303,225,4)=0,"",INDEX(成本费用登记表!$Q$4:$Y$303,225,4))</f>
        <v/>
      </c>
      <c r="F2783" s="99" t="str">
        <f aca="false">IF($E2783="","",IFERROR(INDEX(科目表!$A$4:$A$81,MATCH($E2783,科目表!$B$4:$B$81,0)),""))</f>
        <v/>
      </c>
      <c r="G2783" s="67" t="str">
        <f aca="false">IF($E2783="","",IFERROR(INDEX(科目表!$E$4:$E$81,MATCH($E2783,科目表!$B$4:$B$81,0)),""))</f>
        <v/>
      </c>
      <c r="H2783" s="70" t="str">
        <f aca="false">IF($E2783="","",N(INDEX(成本费用登记表!$Q$4:$Y$303,225,5)))</f>
        <v/>
      </c>
      <c r="I2783" s="70" t="str">
        <f aca="false">IF($E2783="","",N(INDEX(成本费用登记表!$Q$4:$Y$303,225,6)))</f>
        <v/>
      </c>
      <c r="J2783" s="67" t="str">
        <f aca="false">IF($E2783="","",INDEX(成本费用登记表!$C$4:$C$303,225))</f>
        <v/>
      </c>
      <c r="K2783" s="67" t="str">
        <f aca="false">IF($E2783="","",INDEX(成本费用登记表!$D$4:$D$303,225))</f>
        <v/>
      </c>
      <c r="L2783" s="107" t="str">
        <f aca="false">IF($E2783="","",INDEX(成本费用登记表!$N$4:$N$303,225))</f>
        <v/>
      </c>
      <c r="M2783" s="107"/>
      <c r="N2783" s="67" t="str">
        <f aca="false">IF($E2783="","","系统")</f>
        <v/>
      </c>
      <c r="O2783" s="67" t="str">
        <f aca="false">IF($E2783="","","自动C")</f>
        <v/>
      </c>
      <c r="P2783" s="18"/>
    </row>
    <row r="2784" customFormat="false" ht="18" hidden="false" customHeight="true" outlineLevel="0" collapsed="false">
      <c r="A2784" s="107" t="str">
        <f aca="false">IF($E2784="","",ROW()-3)</f>
        <v/>
      </c>
      <c r="B2784" s="110" t="str">
        <f aca="false">IF($E2784="","",INDEX(成本费用登记表!$B$4:$B$303,225))</f>
        <v/>
      </c>
      <c r="C2784" s="67" t="str">
        <f aca="false">IF($E2784="","","记-"&amp;TEXT($B2784,"YYYYMM")&amp;"-费用")</f>
        <v/>
      </c>
      <c r="D2784" s="107" t="str">
        <f aca="false">IF($E2784="","",INDEX(成本费用登记表!$E$4:$E$303,225))</f>
        <v/>
      </c>
      <c r="E2784" s="67" t="str">
        <f aca="false">IF(INDEX(成本费用登记表!$Q$4:$Y$303,225,7)=0,"",INDEX(成本费用登记表!$Q$4:$Y$303,225,7))</f>
        <v/>
      </c>
      <c r="F2784" s="99" t="str">
        <f aca="false">IF($E2784="","",IFERROR(INDEX(科目表!$A$4:$A$81,MATCH($E2784,科目表!$B$4:$B$81,0)),""))</f>
        <v/>
      </c>
      <c r="G2784" s="67" t="str">
        <f aca="false">IF($E2784="","",IFERROR(INDEX(科目表!$E$4:$E$81,MATCH($E2784,科目表!$B$4:$B$81,0)),""))</f>
        <v/>
      </c>
      <c r="H2784" s="70" t="str">
        <f aca="false">IF($E2784="","",N(INDEX(成本费用登记表!$Q$4:$Y$303,225,8)))</f>
        <v/>
      </c>
      <c r="I2784" s="70" t="str">
        <f aca="false">IF($E2784="","",N(INDEX(成本费用登记表!$Q$4:$Y$303,225,9)))</f>
        <v/>
      </c>
      <c r="J2784" s="67" t="str">
        <f aca="false">IF($E2784="","",INDEX(成本费用登记表!$C$4:$C$303,225))</f>
        <v/>
      </c>
      <c r="K2784" s="67" t="str">
        <f aca="false">IF($E2784="","",INDEX(成本费用登记表!$D$4:$D$303,225))</f>
        <v/>
      </c>
      <c r="L2784" s="107" t="str">
        <f aca="false">IF($E2784="","",INDEX(成本费用登记表!$N$4:$N$303,225))</f>
        <v/>
      </c>
      <c r="M2784" s="107"/>
      <c r="N2784" s="67" t="str">
        <f aca="false">IF($E2784="","","系统")</f>
        <v/>
      </c>
      <c r="O2784" s="67" t="str">
        <f aca="false">IF($E2784="","","自动C")</f>
        <v/>
      </c>
      <c r="P2784" s="18"/>
    </row>
    <row r="2785" customFormat="false" ht="18" hidden="false" customHeight="true" outlineLevel="0" collapsed="false">
      <c r="A2785" s="107" t="str">
        <f aca="false">IF($E2785="","",ROW()-3)</f>
        <v/>
      </c>
      <c r="B2785" s="110" t="str">
        <f aca="false">IF($E2785="","",INDEX(成本费用登记表!$B$4:$B$303,226))</f>
        <v/>
      </c>
      <c r="C2785" s="67" t="str">
        <f aca="false">IF($E2785="","","记-"&amp;TEXT($B2785,"YYYYMM")&amp;"-费用")</f>
        <v/>
      </c>
      <c r="D2785" s="107" t="str">
        <f aca="false">IF($E2785="","",INDEX(成本费用登记表!$E$4:$E$303,226))</f>
        <v/>
      </c>
      <c r="E2785" s="67" t="str">
        <f aca="false">IF(INDEX(成本费用登记表!$Q$4:$Y$303,226,1)=0,"",INDEX(成本费用登记表!$Q$4:$Y$303,226,1))</f>
        <v/>
      </c>
      <c r="F2785" s="99" t="str">
        <f aca="false">IF($E2785="","",IFERROR(INDEX(科目表!$A$4:$A$81,MATCH($E2785,科目表!$B$4:$B$81,0)),""))</f>
        <v/>
      </c>
      <c r="G2785" s="67" t="str">
        <f aca="false">IF($E2785="","",IFERROR(INDEX(科目表!$E$4:$E$81,MATCH($E2785,科目表!$B$4:$B$81,0)),""))</f>
        <v/>
      </c>
      <c r="H2785" s="70" t="str">
        <f aca="false">IF($E2785="","",N(INDEX(成本费用登记表!$Q$4:$Y$303,226,2)))</f>
        <v/>
      </c>
      <c r="I2785" s="70" t="str">
        <f aca="false">IF($E2785="","",N(INDEX(成本费用登记表!$Q$4:$Y$303,226,3)))</f>
        <v/>
      </c>
      <c r="J2785" s="67" t="str">
        <f aca="false">IF($E2785="","",INDEX(成本费用登记表!$C$4:$C$303,226))</f>
        <v/>
      </c>
      <c r="K2785" s="67" t="str">
        <f aca="false">IF($E2785="","",INDEX(成本费用登记表!$D$4:$D$303,226))</f>
        <v/>
      </c>
      <c r="L2785" s="107" t="str">
        <f aca="false">IF($E2785="","",INDEX(成本费用登记表!$N$4:$N$303,226))</f>
        <v/>
      </c>
      <c r="M2785" s="107"/>
      <c r="N2785" s="67" t="str">
        <f aca="false">IF($E2785="","","系统")</f>
        <v/>
      </c>
      <c r="O2785" s="67" t="str">
        <f aca="false">IF($E2785="","","自动C")</f>
        <v/>
      </c>
      <c r="P2785" s="18"/>
    </row>
    <row r="2786" customFormat="false" ht="18" hidden="false" customHeight="true" outlineLevel="0" collapsed="false">
      <c r="A2786" s="107" t="str">
        <f aca="false">IF($E2786="","",ROW()-3)</f>
        <v/>
      </c>
      <c r="B2786" s="110" t="str">
        <f aca="false">IF($E2786="","",INDEX(成本费用登记表!$B$4:$B$303,226))</f>
        <v/>
      </c>
      <c r="C2786" s="67" t="str">
        <f aca="false">IF($E2786="","","记-"&amp;TEXT($B2786,"YYYYMM")&amp;"-费用")</f>
        <v/>
      </c>
      <c r="D2786" s="107" t="str">
        <f aca="false">IF($E2786="","",INDEX(成本费用登记表!$E$4:$E$303,226))</f>
        <v/>
      </c>
      <c r="E2786" s="67" t="str">
        <f aca="false">IF(INDEX(成本费用登记表!$Q$4:$Y$303,226,4)=0,"",INDEX(成本费用登记表!$Q$4:$Y$303,226,4))</f>
        <v/>
      </c>
      <c r="F2786" s="99" t="str">
        <f aca="false">IF($E2786="","",IFERROR(INDEX(科目表!$A$4:$A$81,MATCH($E2786,科目表!$B$4:$B$81,0)),""))</f>
        <v/>
      </c>
      <c r="G2786" s="67" t="str">
        <f aca="false">IF($E2786="","",IFERROR(INDEX(科目表!$E$4:$E$81,MATCH($E2786,科目表!$B$4:$B$81,0)),""))</f>
        <v/>
      </c>
      <c r="H2786" s="70" t="str">
        <f aca="false">IF($E2786="","",N(INDEX(成本费用登记表!$Q$4:$Y$303,226,5)))</f>
        <v/>
      </c>
      <c r="I2786" s="70" t="str">
        <f aca="false">IF($E2786="","",N(INDEX(成本费用登记表!$Q$4:$Y$303,226,6)))</f>
        <v/>
      </c>
      <c r="J2786" s="67" t="str">
        <f aca="false">IF($E2786="","",INDEX(成本费用登记表!$C$4:$C$303,226))</f>
        <v/>
      </c>
      <c r="K2786" s="67" t="str">
        <f aca="false">IF($E2786="","",INDEX(成本费用登记表!$D$4:$D$303,226))</f>
        <v/>
      </c>
      <c r="L2786" s="107" t="str">
        <f aca="false">IF($E2786="","",INDEX(成本费用登记表!$N$4:$N$303,226))</f>
        <v/>
      </c>
      <c r="M2786" s="107"/>
      <c r="N2786" s="67" t="str">
        <f aca="false">IF($E2786="","","系统")</f>
        <v/>
      </c>
      <c r="O2786" s="67" t="str">
        <f aca="false">IF($E2786="","","自动C")</f>
        <v/>
      </c>
      <c r="P2786" s="18"/>
    </row>
    <row r="2787" customFormat="false" ht="18" hidden="false" customHeight="true" outlineLevel="0" collapsed="false">
      <c r="A2787" s="107" t="str">
        <f aca="false">IF($E2787="","",ROW()-3)</f>
        <v/>
      </c>
      <c r="B2787" s="110" t="str">
        <f aca="false">IF($E2787="","",INDEX(成本费用登记表!$B$4:$B$303,226))</f>
        <v/>
      </c>
      <c r="C2787" s="67" t="str">
        <f aca="false">IF($E2787="","","记-"&amp;TEXT($B2787,"YYYYMM")&amp;"-费用")</f>
        <v/>
      </c>
      <c r="D2787" s="107" t="str">
        <f aca="false">IF($E2787="","",INDEX(成本费用登记表!$E$4:$E$303,226))</f>
        <v/>
      </c>
      <c r="E2787" s="67" t="str">
        <f aca="false">IF(INDEX(成本费用登记表!$Q$4:$Y$303,226,7)=0,"",INDEX(成本费用登记表!$Q$4:$Y$303,226,7))</f>
        <v/>
      </c>
      <c r="F2787" s="99" t="str">
        <f aca="false">IF($E2787="","",IFERROR(INDEX(科目表!$A$4:$A$81,MATCH($E2787,科目表!$B$4:$B$81,0)),""))</f>
        <v/>
      </c>
      <c r="G2787" s="67" t="str">
        <f aca="false">IF($E2787="","",IFERROR(INDEX(科目表!$E$4:$E$81,MATCH($E2787,科目表!$B$4:$B$81,0)),""))</f>
        <v/>
      </c>
      <c r="H2787" s="70" t="str">
        <f aca="false">IF($E2787="","",N(INDEX(成本费用登记表!$Q$4:$Y$303,226,8)))</f>
        <v/>
      </c>
      <c r="I2787" s="70" t="str">
        <f aca="false">IF($E2787="","",N(INDEX(成本费用登记表!$Q$4:$Y$303,226,9)))</f>
        <v/>
      </c>
      <c r="J2787" s="67" t="str">
        <f aca="false">IF($E2787="","",INDEX(成本费用登记表!$C$4:$C$303,226))</f>
        <v/>
      </c>
      <c r="K2787" s="67" t="str">
        <f aca="false">IF($E2787="","",INDEX(成本费用登记表!$D$4:$D$303,226))</f>
        <v/>
      </c>
      <c r="L2787" s="107" t="str">
        <f aca="false">IF($E2787="","",INDEX(成本费用登记表!$N$4:$N$303,226))</f>
        <v/>
      </c>
      <c r="M2787" s="107"/>
      <c r="N2787" s="67" t="str">
        <f aca="false">IF($E2787="","","系统")</f>
        <v/>
      </c>
      <c r="O2787" s="67" t="str">
        <f aca="false">IF($E2787="","","自动C")</f>
        <v/>
      </c>
      <c r="P2787" s="18"/>
    </row>
    <row r="2788" customFormat="false" ht="18" hidden="false" customHeight="true" outlineLevel="0" collapsed="false">
      <c r="A2788" s="107" t="str">
        <f aca="false">IF($E2788="","",ROW()-3)</f>
        <v/>
      </c>
      <c r="B2788" s="110" t="str">
        <f aca="false">IF($E2788="","",INDEX(成本费用登记表!$B$4:$B$303,227))</f>
        <v/>
      </c>
      <c r="C2788" s="67" t="str">
        <f aca="false">IF($E2788="","","记-"&amp;TEXT($B2788,"YYYYMM")&amp;"-费用")</f>
        <v/>
      </c>
      <c r="D2788" s="107" t="str">
        <f aca="false">IF($E2788="","",INDEX(成本费用登记表!$E$4:$E$303,227))</f>
        <v/>
      </c>
      <c r="E2788" s="67" t="str">
        <f aca="false">IF(INDEX(成本费用登记表!$Q$4:$Y$303,227,1)=0,"",INDEX(成本费用登记表!$Q$4:$Y$303,227,1))</f>
        <v/>
      </c>
      <c r="F2788" s="99" t="str">
        <f aca="false">IF($E2788="","",IFERROR(INDEX(科目表!$A$4:$A$81,MATCH($E2788,科目表!$B$4:$B$81,0)),""))</f>
        <v/>
      </c>
      <c r="G2788" s="67" t="str">
        <f aca="false">IF($E2788="","",IFERROR(INDEX(科目表!$E$4:$E$81,MATCH($E2788,科目表!$B$4:$B$81,0)),""))</f>
        <v/>
      </c>
      <c r="H2788" s="70" t="str">
        <f aca="false">IF($E2788="","",N(INDEX(成本费用登记表!$Q$4:$Y$303,227,2)))</f>
        <v/>
      </c>
      <c r="I2788" s="70" t="str">
        <f aca="false">IF($E2788="","",N(INDEX(成本费用登记表!$Q$4:$Y$303,227,3)))</f>
        <v/>
      </c>
      <c r="J2788" s="67" t="str">
        <f aca="false">IF($E2788="","",INDEX(成本费用登记表!$C$4:$C$303,227))</f>
        <v/>
      </c>
      <c r="K2788" s="67" t="str">
        <f aca="false">IF($E2788="","",INDEX(成本费用登记表!$D$4:$D$303,227))</f>
        <v/>
      </c>
      <c r="L2788" s="107" t="str">
        <f aca="false">IF($E2788="","",INDEX(成本费用登记表!$N$4:$N$303,227))</f>
        <v/>
      </c>
      <c r="M2788" s="107"/>
      <c r="N2788" s="67" t="str">
        <f aca="false">IF($E2788="","","系统")</f>
        <v/>
      </c>
      <c r="O2788" s="67" t="str">
        <f aca="false">IF($E2788="","","自动C")</f>
        <v/>
      </c>
      <c r="P2788" s="18"/>
    </row>
    <row r="2789" customFormat="false" ht="18" hidden="false" customHeight="true" outlineLevel="0" collapsed="false">
      <c r="A2789" s="107" t="str">
        <f aca="false">IF($E2789="","",ROW()-3)</f>
        <v/>
      </c>
      <c r="B2789" s="110" t="str">
        <f aca="false">IF($E2789="","",INDEX(成本费用登记表!$B$4:$B$303,227))</f>
        <v/>
      </c>
      <c r="C2789" s="67" t="str">
        <f aca="false">IF($E2789="","","记-"&amp;TEXT($B2789,"YYYYMM")&amp;"-费用")</f>
        <v/>
      </c>
      <c r="D2789" s="107" t="str">
        <f aca="false">IF($E2789="","",INDEX(成本费用登记表!$E$4:$E$303,227))</f>
        <v/>
      </c>
      <c r="E2789" s="67" t="str">
        <f aca="false">IF(INDEX(成本费用登记表!$Q$4:$Y$303,227,4)=0,"",INDEX(成本费用登记表!$Q$4:$Y$303,227,4))</f>
        <v/>
      </c>
      <c r="F2789" s="99" t="str">
        <f aca="false">IF($E2789="","",IFERROR(INDEX(科目表!$A$4:$A$81,MATCH($E2789,科目表!$B$4:$B$81,0)),""))</f>
        <v/>
      </c>
      <c r="G2789" s="67" t="str">
        <f aca="false">IF($E2789="","",IFERROR(INDEX(科目表!$E$4:$E$81,MATCH($E2789,科目表!$B$4:$B$81,0)),""))</f>
        <v/>
      </c>
      <c r="H2789" s="70" t="str">
        <f aca="false">IF($E2789="","",N(INDEX(成本费用登记表!$Q$4:$Y$303,227,5)))</f>
        <v/>
      </c>
      <c r="I2789" s="70" t="str">
        <f aca="false">IF($E2789="","",N(INDEX(成本费用登记表!$Q$4:$Y$303,227,6)))</f>
        <v/>
      </c>
      <c r="J2789" s="67" t="str">
        <f aca="false">IF($E2789="","",INDEX(成本费用登记表!$C$4:$C$303,227))</f>
        <v/>
      </c>
      <c r="K2789" s="67" t="str">
        <f aca="false">IF($E2789="","",INDEX(成本费用登记表!$D$4:$D$303,227))</f>
        <v/>
      </c>
      <c r="L2789" s="107" t="str">
        <f aca="false">IF($E2789="","",INDEX(成本费用登记表!$N$4:$N$303,227))</f>
        <v/>
      </c>
      <c r="M2789" s="107"/>
      <c r="N2789" s="67" t="str">
        <f aca="false">IF($E2789="","","系统")</f>
        <v/>
      </c>
      <c r="O2789" s="67" t="str">
        <f aca="false">IF($E2789="","","自动C")</f>
        <v/>
      </c>
      <c r="P2789" s="18"/>
    </row>
    <row r="2790" customFormat="false" ht="18" hidden="false" customHeight="true" outlineLevel="0" collapsed="false">
      <c r="A2790" s="107" t="str">
        <f aca="false">IF($E2790="","",ROW()-3)</f>
        <v/>
      </c>
      <c r="B2790" s="110" t="str">
        <f aca="false">IF($E2790="","",INDEX(成本费用登记表!$B$4:$B$303,227))</f>
        <v/>
      </c>
      <c r="C2790" s="67" t="str">
        <f aca="false">IF($E2790="","","记-"&amp;TEXT($B2790,"YYYYMM")&amp;"-费用")</f>
        <v/>
      </c>
      <c r="D2790" s="107" t="str">
        <f aca="false">IF($E2790="","",INDEX(成本费用登记表!$E$4:$E$303,227))</f>
        <v/>
      </c>
      <c r="E2790" s="67" t="str">
        <f aca="false">IF(INDEX(成本费用登记表!$Q$4:$Y$303,227,7)=0,"",INDEX(成本费用登记表!$Q$4:$Y$303,227,7))</f>
        <v/>
      </c>
      <c r="F2790" s="99" t="str">
        <f aca="false">IF($E2790="","",IFERROR(INDEX(科目表!$A$4:$A$81,MATCH($E2790,科目表!$B$4:$B$81,0)),""))</f>
        <v/>
      </c>
      <c r="G2790" s="67" t="str">
        <f aca="false">IF($E2790="","",IFERROR(INDEX(科目表!$E$4:$E$81,MATCH($E2790,科目表!$B$4:$B$81,0)),""))</f>
        <v/>
      </c>
      <c r="H2790" s="70" t="str">
        <f aca="false">IF($E2790="","",N(INDEX(成本费用登记表!$Q$4:$Y$303,227,8)))</f>
        <v/>
      </c>
      <c r="I2790" s="70" t="str">
        <f aca="false">IF($E2790="","",N(INDEX(成本费用登记表!$Q$4:$Y$303,227,9)))</f>
        <v/>
      </c>
      <c r="J2790" s="67" t="str">
        <f aca="false">IF($E2790="","",INDEX(成本费用登记表!$C$4:$C$303,227))</f>
        <v/>
      </c>
      <c r="K2790" s="67" t="str">
        <f aca="false">IF($E2790="","",INDEX(成本费用登记表!$D$4:$D$303,227))</f>
        <v/>
      </c>
      <c r="L2790" s="107" t="str">
        <f aca="false">IF($E2790="","",INDEX(成本费用登记表!$N$4:$N$303,227))</f>
        <v/>
      </c>
      <c r="M2790" s="107"/>
      <c r="N2790" s="67" t="str">
        <f aca="false">IF($E2790="","","系统")</f>
        <v/>
      </c>
      <c r="O2790" s="67" t="str">
        <f aca="false">IF($E2790="","","自动C")</f>
        <v/>
      </c>
      <c r="P2790" s="18"/>
    </row>
    <row r="2791" customFormat="false" ht="18" hidden="false" customHeight="true" outlineLevel="0" collapsed="false">
      <c r="A2791" s="107" t="str">
        <f aca="false">IF($E2791="","",ROW()-3)</f>
        <v/>
      </c>
      <c r="B2791" s="110" t="str">
        <f aca="false">IF($E2791="","",INDEX(成本费用登记表!$B$4:$B$303,228))</f>
        <v/>
      </c>
      <c r="C2791" s="67" t="str">
        <f aca="false">IF($E2791="","","记-"&amp;TEXT($B2791,"YYYYMM")&amp;"-费用")</f>
        <v/>
      </c>
      <c r="D2791" s="107" t="str">
        <f aca="false">IF($E2791="","",INDEX(成本费用登记表!$E$4:$E$303,228))</f>
        <v/>
      </c>
      <c r="E2791" s="67" t="str">
        <f aca="false">IF(INDEX(成本费用登记表!$Q$4:$Y$303,228,1)=0,"",INDEX(成本费用登记表!$Q$4:$Y$303,228,1))</f>
        <v/>
      </c>
      <c r="F2791" s="99" t="str">
        <f aca="false">IF($E2791="","",IFERROR(INDEX(科目表!$A$4:$A$81,MATCH($E2791,科目表!$B$4:$B$81,0)),""))</f>
        <v/>
      </c>
      <c r="G2791" s="67" t="str">
        <f aca="false">IF($E2791="","",IFERROR(INDEX(科目表!$E$4:$E$81,MATCH($E2791,科目表!$B$4:$B$81,0)),""))</f>
        <v/>
      </c>
      <c r="H2791" s="70" t="str">
        <f aca="false">IF($E2791="","",N(INDEX(成本费用登记表!$Q$4:$Y$303,228,2)))</f>
        <v/>
      </c>
      <c r="I2791" s="70" t="str">
        <f aca="false">IF($E2791="","",N(INDEX(成本费用登记表!$Q$4:$Y$303,228,3)))</f>
        <v/>
      </c>
      <c r="J2791" s="67" t="str">
        <f aca="false">IF($E2791="","",INDEX(成本费用登记表!$C$4:$C$303,228))</f>
        <v/>
      </c>
      <c r="K2791" s="67" t="str">
        <f aca="false">IF($E2791="","",INDEX(成本费用登记表!$D$4:$D$303,228))</f>
        <v/>
      </c>
      <c r="L2791" s="107" t="str">
        <f aca="false">IF($E2791="","",INDEX(成本费用登记表!$N$4:$N$303,228))</f>
        <v/>
      </c>
      <c r="M2791" s="107"/>
      <c r="N2791" s="67" t="str">
        <f aca="false">IF($E2791="","","系统")</f>
        <v/>
      </c>
      <c r="O2791" s="67" t="str">
        <f aca="false">IF($E2791="","","自动C")</f>
        <v/>
      </c>
      <c r="P2791" s="18"/>
    </row>
    <row r="2792" customFormat="false" ht="18" hidden="false" customHeight="true" outlineLevel="0" collapsed="false">
      <c r="A2792" s="107" t="str">
        <f aca="false">IF($E2792="","",ROW()-3)</f>
        <v/>
      </c>
      <c r="B2792" s="110" t="str">
        <f aca="false">IF($E2792="","",INDEX(成本费用登记表!$B$4:$B$303,228))</f>
        <v/>
      </c>
      <c r="C2792" s="67" t="str">
        <f aca="false">IF($E2792="","","记-"&amp;TEXT($B2792,"YYYYMM")&amp;"-费用")</f>
        <v/>
      </c>
      <c r="D2792" s="107" t="str">
        <f aca="false">IF($E2792="","",INDEX(成本费用登记表!$E$4:$E$303,228))</f>
        <v/>
      </c>
      <c r="E2792" s="67" t="str">
        <f aca="false">IF(INDEX(成本费用登记表!$Q$4:$Y$303,228,4)=0,"",INDEX(成本费用登记表!$Q$4:$Y$303,228,4))</f>
        <v/>
      </c>
      <c r="F2792" s="99" t="str">
        <f aca="false">IF($E2792="","",IFERROR(INDEX(科目表!$A$4:$A$81,MATCH($E2792,科目表!$B$4:$B$81,0)),""))</f>
        <v/>
      </c>
      <c r="G2792" s="67" t="str">
        <f aca="false">IF($E2792="","",IFERROR(INDEX(科目表!$E$4:$E$81,MATCH($E2792,科目表!$B$4:$B$81,0)),""))</f>
        <v/>
      </c>
      <c r="H2792" s="70" t="str">
        <f aca="false">IF($E2792="","",N(INDEX(成本费用登记表!$Q$4:$Y$303,228,5)))</f>
        <v/>
      </c>
      <c r="I2792" s="70" t="str">
        <f aca="false">IF($E2792="","",N(INDEX(成本费用登记表!$Q$4:$Y$303,228,6)))</f>
        <v/>
      </c>
      <c r="J2792" s="67" t="str">
        <f aca="false">IF($E2792="","",INDEX(成本费用登记表!$C$4:$C$303,228))</f>
        <v/>
      </c>
      <c r="K2792" s="67" t="str">
        <f aca="false">IF($E2792="","",INDEX(成本费用登记表!$D$4:$D$303,228))</f>
        <v/>
      </c>
      <c r="L2792" s="107" t="str">
        <f aca="false">IF($E2792="","",INDEX(成本费用登记表!$N$4:$N$303,228))</f>
        <v/>
      </c>
      <c r="M2792" s="107"/>
      <c r="N2792" s="67" t="str">
        <f aca="false">IF($E2792="","","系统")</f>
        <v/>
      </c>
      <c r="O2792" s="67" t="str">
        <f aca="false">IF($E2792="","","自动C")</f>
        <v/>
      </c>
      <c r="P2792" s="18"/>
    </row>
    <row r="2793" customFormat="false" ht="18" hidden="false" customHeight="true" outlineLevel="0" collapsed="false">
      <c r="A2793" s="107" t="str">
        <f aca="false">IF($E2793="","",ROW()-3)</f>
        <v/>
      </c>
      <c r="B2793" s="110" t="str">
        <f aca="false">IF($E2793="","",INDEX(成本费用登记表!$B$4:$B$303,228))</f>
        <v/>
      </c>
      <c r="C2793" s="67" t="str">
        <f aca="false">IF($E2793="","","记-"&amp;TEXT($B2793,"YYYYMM")&amp;"-费用")</f>
        <v/>
      </c>
      <c r="D2793" s="107" t="str">
        <f aca="false">IF($E2793="","",INDEX(成本费用登记表!$E$4:$E$303,228))</f>
        <v/>
      </c>
      <c r="E2793" s="67" t="str">
        <f aca="false">IF(INDEX(成本费用登记表!$Q$4:$Y$303,228,7)=0,"",INDEX(成本费用登记表!$Q$4:$Y$303,228,7))</f>
        <v/>
      </c>
      <c r="F2793" s="99" t="str">
        <f aca="false">IF($E2793="","",IFERROR(INDEX(科目表!$A$4:$A$81,MATCH($E2793,科目表!$B$4:$B$81,0)),""))</f>
        <v/>
      </c>
      <c r="G2793" s="67" t="str">
        <f aca="false">IF($E2793="","",IFERROR(INDEX(科目表!$E$4:$E$81,MATCH($E2793,科目表!$B$4:$B$81,0)),""))</f>
        <v/>
      </c>
      <c r="H2793" s="70" t="str">
        <f aca="false">IF($E2793="","",N(INDEX(成本费用登记表!$Q$4:$Y$303,228,8)))</f>
        <v/>
      </c>
      <c r="I2793" s="70" t="str">
        <f aca="false">IF($E2793="","",N(INDEX(成本费用登记表!$Q$4:$Y$303,228,9)))</f>
        <v/>
      </c>
      <c r="J2793" s="67" t="str">
        <f aca="false">IF($E2793="","",INDEX(成本费用登记表!$C$4:$C$303,228))</f>
        <v/>
      </c>
      <c r="K2793" s="67" t="str">
        <f aca="false">IF($E2793="","",INDEX(成本费用登记表!$D$4:$D$303,228))</f>
        <v/>
      </c>
      <c r="L2793" s="107" t="str">
        <f aca="false">IF($E2793="","",INDEX(成本费用登记表!$N$4:$N$303,228))</f>
        <v/>
      </c>
      <c r="M2793" s="107"/>
      <c r="N2793" s="67" t="str">
        <f aca="false">IF($E2793="","","系统")</f>
        <v/>
      </c>
      <c r="O2793" s="67" t="str">
        <f aca="false">IF($E2793="","","自动C")</f>
        <v/>
      </c>
      <c r="P2793" s="18"/>
    </row>
    <row r="2794" customFormat="false" ht="18" hidden="false" customHeight="true" outlineLevel="0" collapsed="false">
      <c r="A2794" s="107" t="str">
        <f aca="false">IF($E2794="","",ROW()-3)</f>
        <v/>
      </c>
      <c r="B2794" s="110" t="str">
        <f aca="false">IF($E2794="","",INDEX(成本费用登记表!$B$4:$B$303,229))</f>
        <v/>
      </c>
      <c r="C2794" s="67" t="str">
        <f aca="false">IF($E2794="","","记-"&amp;TEXT($B2794,"YYYYMM")&amp;"-费用")</f>
        <v/>
      </c>
      <c r="D2794" s="107" t="str">
        <f aca="false">IF($E2794="","",INDEX(成本费用登记表!$E$4:$E$303,229))</f>
        <v/>
      </c>
      <c r="E2794" s="67" t="str">
        <f aca="false">IF(INDEX(成本费用登记表!$Q$4:$Y$303,229,1)=0,"",INDEX(成本费用登记表!$Q$4:$Y$303,229,1))</f>
        <v/>
      </c>
      <c r="F2794" s="99" t="str">
        <f aca="false">IF($E2794="","",IFERROR(INDEX(科目表!$A$4:$A$81,MATCH($E2794,科目表!$B$4:$B$81,0)),""))</f>
        <v/>
      </c>
      <c r="G2794" s="67" t="str">
        <f aca="false">IF($E2794="","",IFERROR(INDEX(科目表!$E$4:$E$81,MATCH($E2794,科目表!$B$4:$B$81,0)),""))</f>
        <v/>
      </c>
      <c r="H2794" s="70" t="str">
        <f aca="false">IF($E2794="","",N(INDEX(成本费用登记表!$Q$4:$Y$303,229,2)))</f>
        <v/>
      </c>
      <c r="I2794" s="70" t="str">
        <f aca="false">IF($E2794="","",N(INDEX(成本费用登记表!$Q$4:$Y$303,229,3)))</f>
        <v/>
      </c>
      <c r="J2794" s="67" t="str">
        <f aca="false">IF($E2794="","",INDEX(成本费用登记表!$C$4:$C$303,229))</f>
        <v/>
      </c>
      <c r="K2794" s="67" t="str">
        <f aca="false">IF($E2794="","",INDEX(成本费用登记表!$D$4:$D$303,229))</f>
        <v/>
      </c>
      <c r="L2794" s="107" t="str">
        <f aca="false">IF($E2794="","",INDEX(成本费用登记表!$N$4:$N$303,229))</f>
        <v/>
      </c>
      <c r="M2794" s="107"/>
      <c r="N2794" s="67" t="str">
        <f aca="false">IF($E2794="","","系统")</f>
        <v/>
      </c>
      <c r="O2794" s="67" t="str">
        <f aca="false">IF($E2794="","","自动C")</f>
        <v/>
      </c>
      <c r="P2794" s="18"/>
    </row>
    <row r="2795" customFormat="false" ht="18" hidden="false" customHeight="true" outlineLevel="0" collapsed="false">
      <c r="A2795" s="107" t="str">
        <f aca="false">IF($E2795="","",ROW()-3)</f>
        <v/>
      </c>
      <c r="B2795" s="110" t="str">
        <f aca="false">IF($E2795="","",INDEX(成本费用登记表!$B$4:$B$303,229))</f>
        <v/>
      </c>
      <c r="C2795" s="67" t="str">
        <f aca="false">IF($E2795="","","记-"&amp;TEXT($B2795,"YYYYMM")&amp;"-费用")</f>
        <v/>
      </c>
      <c r="D2795" s="107" t="str">
        <f aca="false">IF($E2795="","",INDEX(成本费用登记表!$E$4:$E$303,229))</f>
        <v/>
      </c>
      <c r="E2795" s="67" t="str">
        <f aca="false">IF(INDEX(成本费用登记表!$Q$4:$Y$303,229,4)=0,"",INDEX(成本费用登记表!$Q$4:$Y$303,229,4))</f>
        <v/>
      </c>
      <c r="F2795" s="99" t="str">
        <f aca="false">IF($E2795="","",IFERROR(INDEX(科目表!$A$4:$A$81,MATCH($E2795,科目表!$B$4:$B$81,0)),""))</f>
        <v/>
      </c>
      <c r="G2795" s="67" t="str">
        <f aca="false">IF($E2795="","",IFERROR(INDEX(科目表!$E$4:$E$81,MATCH($E2795,科目表!$B$4:$B$81,0)),""))</f>
        <v/>
      </c>
      <c r="H2795" s="70" t="str">
        <f aca="false">IF($E2795="","",N(INDEX(成本费用登记表!$Q$4:$Y$303,229,5)))</f>
        <v/>
      </c>
      <c r="I2795" s="70" t="str">
        <f aca="false">IF($E2795="","",N(INDEX(成本费用登记表!$Q$4:$Y$303,229,6)))</f>
        <v/>
      </c>
      <c r="J2795" s="67" t="str">
        <f aca="false">IF($E2795="","",INDEX(成本费用登记表!$C$4:$C$303,229))</f>
        <v/>
      </c>
      <c r="K2795" s="67" t="str">
        <f aca="false">IF($E2795="","",INDEX(成本费用登记表!$D$4:$D$303,229))</f>
        <v/>
      </c>
      <c r="L2795" s="107" t="str">
        <f aca="false">IF($E2795="","",INDEX(成本费用登记表!$N$4:$N$303,229))</f>
        <v/>
      </c>
      <c r="M2795" s="107"/>
      <c r="N2795" s="67" t="str">
        <f aca="false">IF($E2795="","","系统")</f>
        <v/>
      </c>
      <c r="O2795" s="67" t="str">
        <f aca="false">IF($E2795="","","自动C")</f>
        <v/>
      </c>
      <c r="P2795" s="18"/>
    </row>
    <row r="2796" customFormat="false" ht="18" hidden="false" customHeight="true" outlineLevel="0" collapsed="false">
      <c r="A2796" s="107" t="str">
        <f aca="false">IF($E2796="","",ROW()-3)</f>
        <v/>
      </c>
      <c r="B2796" s="110" t="str">
        <f aca="false">IF($E2796="","",INDEX(成本费用登记表!$B$4:$B$303,229))</f>
        <v/>
      </c>
      <c r="C2796" s="67" t="str">
        <f aca="false">IF($E2796="","","记-"&amp;TEXT($B2796,"YYYYMM")&amp;"-费用")</f>
        <v/>
      </c>
      <c r="D2796" s="107" t="str">
        <f aca="false">IF($E2796="","",INDEX(成本费用登记表!$E$4:$E$303,229))</f>
        <v/>
      </c>
      <c r="E2796" s="67" t="str">
        <f aca="false">IF(INDEX(成本费用登记表!$Q$4:$Y$303,229,7)=0,"",INDEX(成本费用登记表!$Q$4:$Y$303,229,7))</f>
        <v/>
      </c>
      <c r="F2796" s="99" t="str">
        <f aca="false">IF($E2796="","",IFERROR(INDEX(科目表!$A$4:$A$81,MATCH($E2796,科目表!$B$4:$B$81,0)),""))</f>
        <v/>
      </c>
      <c r="G2796" s="67" t="str">
        <f aca="false">IF($E2796="","",IFERROR(INDEX(科目表!$E$4:$E$81,MATCH($E2796,科目表!$B$4:$B$81,0)),""))</f>
        <v/>
      </c>
      <c r="H2796" s="70" t="str">
        <f aca="false">IF($E2796="","",N(INDEX(成本费用登记表!$Q$4:$Y$303,229,8)))</f>
        <v/>
      </c>
      <c r="I2796" s="70" t="str">
        <f aca="false">IF($E2796="","",N(INDEX(成本费用登记表!$Q$4:$Y$303,229,9)))</f>
        <v/>
      </c>
      <c r="J2796" s="67" t="str">
        <f aca="false">IF($E2796="","",INDEX(成本费用登记表!$C$4:$C$303,229))</f>
        <v/>
      </c>
      <c r="K2796" s="67" t="str">
        <f aca="false">IF($E2796="","",INDEX(成本费用登记表!$D$4:$D$303,229))</f>
        <v/>
      </c>
      <c r="L2796" s="107" t="str">
        <f aca="false">IF($E2796="","",INDEX(成本费用登记表!$N$4:$N$303,229))</f>
        <v/>
      </c>
      <c r="M2796" s="107"/>
      <c r="N2796" s="67" t="str">
        <f aca="false">IF($E2796="","","系统")</f>
        <v/>
      </c>
      <c r="O2796" s="67" t="str">
        <f aca="false">IF($E2796="","","自动C")</f>
        <v/>
      </c>
      <c r="P2796" s="18"/>
    </row>
    <row r="2797" customFormat="false" ht="18" hidden="false" customHeight="true" outlineLevel="0" collapsed="false">
      <c r="A2797" s="107" t="str">
        <f aca="false">IF($E2797="","",ROW()-3)</f>
        <v/>
      </c>
      <c r="B2797" s="110" t="str">
        <f aca="false">IF($E2797="","",INDEX(成本费用登记表!$B$4:$B$303,230))</f>
        <v/>
      </c>
      <c r="C2797" s="67" t="str">
        <f aca="false">IF($E2797="","","记-"&amp;TEXT($B2797,"YYYYMM")&amp;"-费用")</f>
        <v/>
      </c>
      <c r="D2797" s="107" t="str">
        <f aca="false">IF($E2797="","",INDEX(成本费用登记表!$E$4:$E$303,230))</f>
        <v/>
      </c>
      <c r="E2797" s="67" t="str">
        <f aca="false">IF(INDEX(成本费用登记表!$Q$4:$Y$303,230,1)=0,"",INDEX(成本费用登记表!$Q$4:$Y$303,230,1))</f>
        <v/>
      </c>
      <c r="F2797" s="99" t="str">
        <f aca="false">IF($E2797="","",IFERROR(INDEX(科目表!$A$4:$A$81,MATCH($E2797,科目表!$B$4:$B$81,0)),""))</f>
        <v/>
      </c>
      <c r="G2797" s="67" t="str">
        <f aca="false">IF($E2797="","",IFERROR(INDEX(科目表!$E$4:$E$81,MATCH($E2797,科目表!$B$4:$B$81,0)),""))</f>
        <v/>
      </c>
      <c r="H2797" s="70" t="str">
        <f aca="false">IF($E2797="","",N(INDEX(成本费用登记表!$Q$4:$Y$303,230,2)))</f>
        <v/>
      </c>
      <c r="I2797" s="70" t="str">
        <f aca="false">IF($E2797="","",N(INDEX(成本费用登记表!$Q$4:$Y$303,230,3)))</f>
        <v/>
      </c>
      <c r="J2797" s="67" t="str">
        <f aca="false">IF($E2797="","",INDEX(成本费用登记表!$C$4:$C$303,230))</f>
        <v/>
      </c>
      <c r="K2797" s="67" t="str">
        <f aca="false">IF($E2797="","",INDEX(成本费用登记表!$D$4:$D$303,230))</f>
        <v/>
      </c>
      <c r="L2797" s="107" t="str">
        <f aca="false">IF($E2797="","",INDEX(成本费用登记表!$N$4:$N$303,230))</f>
        <v/>
      </c>
      <c r="M2797" s="107"/>
      <c r="N2797" s="67" t="str">
        <f aca="false">IF($E2797="","","系统")</f>
        <v/>
      </c>
      <c r="O2797" s="67" t="str">
        <f aca="false">IF($E2797="","","自动C")</f>
        <v/>
      </c>
      <c r="P2797" s="18"/>
    </row>
    <row r="2798" customFormat="false" ht="18" hidden="false" customHeight="true" outlineLevel="0" collapsed="false">
      <c r="A2798" s="107" t="str">
        <f aca="false">IF($E2798="","",ROW()-3)</f>
        <v/>
      </c>
      <c r="B2798" s="110" t="str">
        <f aca="false">IF($E2798="","",INDEX(成本费用登记表!$B$4:$B$303,230))</f>
        <v/>
      </c>
      <c r="C2798" s="67" t="str">
        <f aca="false">IF($E2798="","","记-"&amp;TEXT($B2798,"YYYYMM")&amp;"-费用")</f>
        <v/>
      </c>
      <c r="D2798" s="107" t="str">
        <f aca="false">IF($E2798="","",INDEX(成本费用登记表!$E$4:$E$303,230))</f>
        <v/>
      </c>
      <c r="E2798" s="67" t="str">
        <f aca="false">IF(INDEX(成本费用登记表!$Q$4:$Y$303,230,4)=0,"",INDEX(成本费用登记表!$Q$4:$Y$303,230,4))</f>
        <v/>
      </c>
      <c r="F2798" s="99" t="str">
        <f aca="false">IF($E2798="","",IFERROR(INDEX(科目表!$A$4:$A$81,MATCH($E2798,科目表!$B$4:$B$81,0)),""))</f>
        <v/>
      </c>
      <c r="G2798" s="67" t="str">
        <f aca="false">IF($E2798="","",IFERROR(INDEX(科目表!$E$4:$E$81,MATCH($E2798,科目表!$B$4:$B$81,0)),""))</f>
        <v/>
      </c>
      <c r="H2798" s="70" t="str">
        <f aca="false">IF($E2798="","",N(INDEX(成本费用登记表!$Q$4:$Y$303,230,5)))</f>
        <v/>
      </c>
      <c r="I2798" s="70" t="str">
        <f aca="false">IF($E2798="","",N(INDEX(成本费用登记表!$Q$4:$Y$303,230,6)))</f>
        <v/>
      </c>
      <c r="J2798" s="67" t="str">
        <f aca="false">IF($E2798="","",INDEX(成本费用登记表!$C$4:$C$303,230))</f>
        <v/>
      </c>
      <c r="K2798" s="67" t="str">
        <f aca="false">IF($E2798="","",INDEX(成本费用登记表!$D$4:$D$303,230))</f>
        <v/>
      </c>
      <c r="L2798" s="107" t="str">
        <f aca="false">IF($E2798="","",INDEX(成本费用登记表!$N$4:$N$303,230))</f>
        <v/>
      </c>
      <c r="M2798" s="107"/>
      <c r="N2798" s="67" t="str">
        <f aca="false">IF($E2798="","","系统")</f>
        <v/>
      </c>
      <c r="O2798" s="67" t="str">
        <f aca="false">IF($E2798="","","自动C")</f>
        <v/>
      </c>
      <c r="P2798" s="18"/>
    </row>
    <row r="2799" customFormat="false" ht="18" hidden="false" customHeight="true" outlineLevel="0" collapsed="false">
      <c r="A2799" s="107" t="str">
        <f aca="false">IF($E2799="","",ROW()-3)</f>
        <v/>
      </c>
      <c r="B2799" s="110" t="str">
        <f aca="false">IF($E2799="","",INDEX(成本费用登记表!$B$4:$B$303,230))</f>
        <v/>
      </c>
      <c r="C2799" s="67" t="str">
        <f aca="false">IF($E2799="","","记-"&amp;TEXT($B2799,"YYYYMM")&amp;"-费用")</f>
        <v/>
      </c>
      <c r="D2799" s="107" t="str">
        <f aca="false">IF($E2799="","",INDEX(成本费用登记表!$E$4:$E$303,230))</f>
        <v/>
      </c>
      <c r="E2799" s="67" t="str">
        <f aca="false">IF(INDEX(成本费用登记表!$Q$4:$Y$303,230,7)=0,"",INDEX(成本费用登记表!$Q$4:$Y$303,230,7))</f>
        <v/>
      </c>
      <c r="F2799" s="99" t="str">
        <f aca="false">IF($E2799="","",IFERROR(INDEX(科目表!$A$4:$A$81,MATCH($E2799,科目表!$B$4:$B$81,0)),""))</f>
        <v/>
      </c>
      <c r="G2799" s="67" t="str">
        <f aca="false">IF($E2799="","",IFERROR(INDEX(科目表!$E$4:$E$81,MATCH($E2799,科目表!$B$4:$B$81,0)),""))</f>
        <v/>
      </c>
      <c r="H2799" s="70" t="str">
        <f aca="false">IF($E2799="","",N(INDEX(成本费用登记表!$Q$4:$Y$303,230,8)))</f>
        <v/>
      </c>
      <c r="I2799" s="70" t="str">
        <f aca="false">IF($E2799="","",N(INDEX(成本费用登记表!$Q$4:$Y$303,230,9)))</f>
        <v/>
      </c>
      <c r="J2799" s="67" t="str">
        <f aca="false">IF($E2799="","",INDEX(成本费用登记表!$C$4:$C$303,230))</f>
        <v/>
      </c>
      <c r="K2799" s="67" t="str">
        <f aca="false">IF($E2799="","",INDEX(成本费用登记表!$D$4:$D$303,230))</f>
        <v/>
      </c>
      <c r="L2799" s="107" t="str">
        <f aca="false">IF($E2799="","",INDEX(成本费用登记表!$N$4:$N$303,230))</f>
        <v/>
      </c>
      <c r="M2799" s="107"/>
      <c r="N2799" s="67" t="str">
        <f aca="false">IF($E2799="","","系统")</f>
        <v/>
      </c>
      <c r="O2799" s="67" t="str">
        <f aca="false">IF($E2799="","","自动C")</f>
        <v/>
      </c>
      <c r="P2799" s="18"/>
    </row>
    <row r="2800" customFormat="false" ht="18" hidden="false" customHeight="true" outlineLevel="0" collapsed="false">
      <c r="A2800" s="107" t="str">
        <f aca="false">IF($E2800="","",ROW()-3)</f>
        <v/>
      </c>
      <c r="B2800" s="110" t="str">
        <f aca="false">IF($E2800="","",INDEX(成本费用登记表!$B$4:$B$303,231))</f>
        <v/>
      </c>
      <c r="C2800" s="67" t="str">
        <f aca="false">IF($E2800="","","记-"&amp;TEXT($B2800,"YYYYMM")&amp;"-费用")</f>
        <v/>
      </c>
      <c r="D2800" s="107" t="str">
        <f aca="false">IF($E2800="","",INDEX(成本费用登记表!$E$4:$E$303,231))</f>
        <v/>
      </c>
      <c r="E2800" s="67" t="str">
        <f aca="false">IF(INDEX(成本费用登记表!$Q$4:$Y$303,231,1)=0,"",INDEX(成本费用登记表!$Q$4:$Y$303,231,1))</f>
        <v/>
      </c>
      <c r="F2800" s="99" t="str">
        <f aca="false">IF($E2800="","",IFERROR(INDEX(科目表!$A$4:$A$81,MATCH($E2800,科目表!$B$4:$B$81,0)),""))</f>
        <v/>
      </c>
      <c r="G2800" s="67" t="str">
        <f aca="false">IF($E2800="","",IFERROR(INDEX(科目表!$E$4:$E$81,MATCH($E2800,科目表!$B$4:$B$81,0)),""))</f>
        <v/>
      </c>
      <c r="H2800" s="70" t="str">
        <f aca="false">IF($E2800="","",N(INDEX(成本费用登记表!$Q$4:$Y$303,231,2)))</f>
        <v/>
      </c>
      <c r="I2800" s="70" t="str">
        <f aca="false">IF($E2800="","",N(INDEX(成本费用登记表!$Q$4:$Y$303,231,3)))</f>
        <v/>
      </c>
      <c r="J2800" s="67" t="str">
        <f aca="false">IF($E2800="","",INDEX(成本费用登记表!$C$4:$C$303,231))</f>
        <v/>
      </c>
      <c r="K2800" s="67" t="str">
        <f aca="false">IF($E2800="","",INDEX(成本费用登记表!$D$4:$D$303,231))</f>
        <v/>
      </c>
      <c r="L2800" s="107" t="str">
        <f aca="false">IF($E2800="","",INDEX(成本费用登记表!$N$4:$N$303,231))</f>
        <v/>
      </c>
      <c r="M2800" s="107"/>
      <c r="N2800" s="67" t="str">
        <f aca="false">IF($E2800="","","系统")</f>
        <v/>
      </c>
      <c r="O2800" s="67" t="str">
        <f aca="false">IF($E2800="","","自动C")</f>
        <v/>
      </c>
      <c r="P2800" s="18"/>
    </row>
    <row r="2801" customFormat="false" ht="18" hidden="false" customHeight="true" outlineLevel="0" collapsed="false">
      <c r="A2801" s="107" t="str">
        <f aca="false">IF($E2801="","",ROW()-3)</f>
        <v/>
      </c>
      <c r="B2801" s="110" t="str">
        <f aca="false">IF($E2801="","",INDEX(成本费用登记表!$B$4:$B$303,231))</f>
        <v/>
      </c>
      <c r="C2801" s="67" t="str">
        <f aca="false">IF($E2801="","","记-"&amp;TEXT($B2801,"YYYYMM")&amp;"-费用")</f>
        <v/>
      </c>
      <c r="D2801" s="107" t="str">
        <f aca="false">IF($E2801="","",INDEX(成本费用登记表!$E$4:$E$303,231))</f>
        <v/>
      </c>
      <c r="E2801" s="67" t="str">
        <f aca="false">IF(INDEX(成本费用登记表!$Q$4:$Y$303,231,4)=0,"",INDEX(成本费用登记表!$Q$4:$Y$303,231,4))</f>
        <v/>
      </c>
      <c r="F2801" s="99" t="str">
        <f aca="false">IF($E2801="","",IFERROR(INDEX(科目表!$A$4:$A$81,MATCH($E2801,科目表!$B$4:$B$81,0)),""))</f>
        <v/>
      </c>
      <c r="G2801" s="67" t="str">
        <f aca="false">IF($E2801="","",IFERROR(INDEX(科目表!$E$4:$E$81,MATCH($E2801,科目表!$B$4:$B$81,0)),""))</f>
        <v/>
      </c>
      <c r="H2801" s="70" t="str">
        <f aca="false">IF($E2801="","",N(INDEX(成本费用登记表!$Q$4:$Y$303,231,5)))</f>
        <v/>
      </c>
      <c r="I2801" s="70" t="str">
        <f aca="false">IF($E2801="","",N(INDEX(成本费用登记表!$Q$4:$Y$303,231,6)))</f>
        <v/>
      </c>
      <c r="J2801" s="67" t="str">
        <f aca="false">IF($E2801="","",INDEX(成本费用登记表!$C$4:$C$303,231))</f>
        <v/>
      </c>
      <c r="K2801" s="67" t="str">
        <f aca="false">IF($E2801="","",INDEX(成本费用登记表!$D$4:$D$303,231))</f>
        <v/>
      </c>
      <c r="L2801" s="107" t="str">
        <f aca="false">IF($E2801="","",INDEX(成本费用登记表!$N$4:$N$303,231))</f>
        <v/>
      </c>
      <c r="M2801" s="107"/>
      <c r="N2801" s="67" t="str">
        <f aca="false">IF($E2801="","","系统")</f>
        <v/>
      </c>
      <c r="O2801" s="67" t="str">
        <f aca="false">IF($E2801="","","自动C")</f>
        <v/>
      </c>
      <c r="P2801" s="18"/>
    </row>
    <row r="2802" customFormat="false" ht="18" hidden="false" customHeight="true" outlineLevel="0" collapsed="false">
      <c r="A2802" s="107" t="str">
        <f aca="false">IF($E2802="","",ROW()-3)</f>
        <v/>
      </c>
      <c r="B2802" s="110" t="str">
        <f aca="false">IF($E2802="","",INDEX(成本费用登记表!$B$4:$B$303,231))</f>
        <v/>
      </c>
      <c r="C2802" s="67" t="str">
        <f aca="false">IF($E2802="","","记-"&amp;TEXT($B2802,"YYYYMM")&amp;"-费用")</f>
        <v/>
      </c>
      <c r="D2802" s="107" t="str">
        <f aca="false">IF($E2802="","",INDEX(成本费用登记表!$E$4:$E$303,231))</f>
        <v/>
      </c>
      <c r="E2802" s="67" t="str">
        <f aca="false">IF(INDEX(成本费用登记表!$Q$4:$Y$303,231,7)=0,"",INDEX(成本费用登记表!$Q$4:$Y$303,231,7))</f>
        <v/>
      </c>
      <c r="F2802" s="99" t="str">
        <f aca="false">IF($E2802="","",IFERROR(INDEX(科目表!$A$4:$A$81,MATCH($E2802,科目表!$B$4:$B$81,0)),""))</f>
        <v/>
      </c>
      <c r="G2802" s="67" t="str">
        <f aca="false">IF($E2802="","",IFERROR(INDEX(科目表!$E$4:$E$81,MATCH($E2802,科目表!$B$4:$B$81,0)),""))</f>
        <v/>
      </c>
      <c r="H2802" s="70" t="str">
        <f aca="false">IF($E2802="","",N(INDEX(成本费用登记表!$Q$4:$Y$303,231,8)))</f>
        <v/>
      </c>
      <c r="I2802" s="70" t="str">
        <f aca="false">IF($E2802="","",N(INDEX(成本费用登记表!$Q$4:$Y$303,231,9)))</f>
        <v/>
      </c>
      <c r="J2802" s="67" t="str">
        <f aca="false">IF($E2802="","",INDEX(成本费用登记表!$C$4:$C$303,231))</f>
        <v/>
      </c>
      <c r="K2802" s="67" t="str">
        <f aca="false">IF($E2802="","",INDEX(成本费用登记表!$D$4:$D$303,231))</f>
        <v/>
      </c>
      <c r="L2802" s="107" t="str">
        <f aca="false">IF($E2802="","",INDEX(成本费用登记表!$N$4:$N$303,231))</f>
        <v/>
      </c>
      <c r="M2802" s="107"/>
      <c r="N2802" s="67" t="str">
        <f aca="false">IF($E2802="","","系统")</f>
        <v/>
      </c>
      <c r="O2802" s="67" t="str">
        <f aca="false">IF($E2802="","","自动C")</f>
        <v/>
      </c>
      <c r="P2802" s="18"/>
    </row>
    <row r="2803" customFormat="false" ht="18" hidden="false" customHeight="true" outlineLevel="0" collapsed="false">
      <c r="A2803" s="107" t="str">
        <f aca="false">IF($E2803="","",ROW()-3)</f>
        <v/>
      </c>
      <c r="B2803" s="110" t="str">
        <f aca="false">IF($E2803="","",INDEX(成本费用登记表!$B$4:$B$303,232))</f>
        <v/>
      </c>
      <c r="C2803" s="67" t="str">
        <f aca="false">IF($E2803="","","记-"&amp;TEXT($B2803,"YYYYMM")&amp;"-费用")</f>
        <v/>
      </c>
      <c r="D2803" s="107" t="str">
        <f aca="false">IF($E2803="","",INDEX(成本费用登记表!$E$4:$E$303,232))</f>
        <v/>
      </c>
      <c r="E2803" s="67" t="str">
        <f aca="false">IF(INDEX(成本费用登记表!$Q$4:$Y$303,232,1)=0,"",INDEX(成本费用登记表!$Q$4:$Y$303,232,1))</f>
        <v/>
      </c>
      <c r="F2803" s="99" t="str">
        <f aca="false">IF($E2803="","",IFERROR(INDEX(科目表!$A$4:$A$81,MATCH($E2803,科目表!$B$4:$B$81,0)),""))</f>
        <v/>
      </c>
      <c r="G2803" s="67" t="str">
        <f aca="false">IF($E2803="","",IFERROR(INDEX(科目表!$E$4:$E$81,MATCH($E2803,科目表!$B$4:$B$81,0)),""))</f>
        <v/>
      </c>
      <c r="H2803" s="70" t="str">
        <f aca="false">IF($E2803="","",N(INDEX(成本费用登记表!$Q$4:$Y$303,232,2)))</f>
        <v/>
      </c>
      <c r="I2803" s="70" t="str">
        <f aca="false">IF($E2803="","",N(INDEX(成本费用登记表!$Q$4:$Y$303,232,3)))</f>
        <v/>
      </c>
      <c r="J2803" s="67" t="str">
        <f aca="false">IF($E2803="","",INDEX(成本费用登记表!$C$4:$C$303,232))</f>
        <v/>
      </c>
      <c r="K2803" s="67" t="str">
        <f aca="false">IF($E2803="","",INDEX(成本费用登记表!$D$4:$D$303,232))</f>
        <v/>
      </c>
      <c r="L2803" s="107" t="str">
        <f aca="false">IF($E2803="","",INDEX(成本费用登记表!$N$4:$N$303,232))</f>
        <v/>
      </c>
      <c r="M2803" s="107"/>
      <c r="N2803" s="67" t="str">
        <f aca="false">IF($E2803="","","系统")</f>
        <v/>
      </c>
      <c r="O2803" s="67" t="str">
        <f aca="false">IF($E2803="","","自动C")</f>
        <v/>
      </c>
      <c r="P2803" s="18"/>
    </row>
    <row r="2804" customFormat="false" ht="18" hidden="false" customHeight="true" outlineLevel="0" collapsed="false">
      <c r="A2804" s="107" t="str">
        <f aca="false">IF($E2804="","",ROW()-3)</f>
        <v/>
      </c>
      <c r="B2804" s="110" t="str">
        <f aca="false">IF($E2804="","",INDEX(成本费用登记表!$B$4:$B$303,232))</f>
        <v/>
      </c>
      <c r="C2804" s="67" t="str">
        <f aca="false">IF($E2804="","","记-"&amp;TEXT($B2804,"YYYYMM")&amp;"-费用")</f>
        <v/>
      </c>
      <c r="D2804" s="107" t="str">
        <f aca="false">IF($E2804="","",INDEX(成本费用登记表!$E$4:$E$303,232))</f>
        <v/>
      </c>
      <c r="E2804" s="67" t="str">
        <f aca="false">IF(INDEX(成本费用登记表!$Q$4:$Y$303,232,4)=0,"",INDEX(成本费用登记表!$Q$4:$Y$303,232,4))</f>
        <v/>
      </c>
      <c r="F2804" s="99" t="str">
        <f aca="false">IF($E2804="","",IFERROR(INDEX(科目表!$A$4:$A$81,MATCH($E2804,科目表!$B$4:$B$81,0)),""))</f>
        <v/>
      </c>
      <c r="G2804" s="67" t="str">
        <f aca="false">IF($E2804="","",IFERROR(INDEX(科目表!$E$4:$E$81,MATCH($E2804,科目表!$B$4:$B$81,0)),""))</f>
        <v/>
      </c>
      <c r="H2804" s="70" t="str">
        <f aca="false">IF($E2804="","",N(INDEX(成本费用登记表!$Q$4:$Y$303,232,5)))</f>
        <v/>
      </c>
      <c r="I2804" s="70" t="str">
        <f aca="false">IF($E2804="","",N(INDEX(成本费用登记表!$Q$4:$Y$303,232,6)))</f>
        <v/>
      </c>
      <c r="J2804" s="67" t="str">
        <f aca="false">IF($E2804="","",INDEX(成本费用登记表!$C$4:$C$303,232))</f>
        <v/>
      </c>
      <c r="K2804" s="67" t="str">
        <f aca="false">IF($E2804="","",INDEX(成本费用登记表!$D$4:$D$303,232))</f>
        <v/>
      </c>
      <c r="L2804" s="107" t="str">
        <f aca="false">IF($E2804="","",INDEX(成本费用登记表!$N$4:$N$303,232))</f>
        <v/>
      </c>
      <c r="M2804" s="107"/>
      <c r="N2804" s="67" t="str">
        <f aca="false">IF($E2804="","","系统")</f>
        <v/>
      </c>
      <c r="O2804" s="67" t="str">
        <f aca="false">IF($E2804="","","自动C")</f>
        <v/>
      </c>
      <c r="P2804" s="18"/>
    </row>
    <row r="2805" customFormat="false" ht="18" hidden="false" customHeight="true" outlineLevel="0" collapsed="false">
      <c r="A2805" s="107" t="str">
        <f aca="false">IF($E2805="","",ROW()-3)</f>
        <v/>
      </c>
      <c r="B2805" s="110" t="str">
        <f aca="false">IF($E2805="","",INDEX(成本费用登记表!$B$4:$B$303,232))</f>
        <v/>
      </c>
      <c r="C2805" s="67" t="str">
        <f aca="false">IF($E2805="","","记-"&amp;TEXT($B2805,"YYYYMM")&amp;"-费用")</f>
        <v/>
      </c>
      <c r="D2805" s="107" t="str">
        <f aca="false">IF($E2805="","",INDEX(成本费用登记表!$E$4:$E$303,232))</f>
        <v/>
      </c>
      <c r="E2805" s="67" t="str">
        <f aca="false">IF(INDEX(成本费用登记表!$Q$4:$Y$303,232,7)=0,"",INDEX(成本费用登记表!$Q$4:$Y$303,232,7))</f>
        <v/>
      </c>
      <c r="F2805" s="99" t="str">
        <f aca="false">IF($E2805="","",IFERROR(INDEX(科目表!$A$4:$A$81,MATCH($E2805,科目表!$B$4:$B$81,0)),""))</f>
        <v/>
      </c>
      <c r="G2805" s="67" t="str">
        <f aca="false">IF($E2805="","",IFERROR(INDEX(科目表!$E$4:$E$81,MATCH($E2805,科目表!$B$4:$B$81,0)),""))</f>
        <v/>
      </c>
      <c r="H2805" s="70" t="str">
        <f aca="false">IF($E2805="","",N(INDEX(成本费用登记表!$Q$4:$Y$303,232,8)))</f>
        <v/>
      </c>
      <c r="I2805" s="70" t="str">
        <f aca="false">IF($E2805="","",N(INDEX(成本费用登记表!$Q$4:$Y$303,232,9)))</f>
        <v/>
      </c>
      <c r="J2805" s="67" t="str">
        <f aca="false">IF($E2805="","",INDEX(成本费用登记表!$C$4:$C$303,232))</f>
        <v/>
      </c>
      <c r="K2805" s="67" t="str">
        <f aca="false">IF($E2805="","",INDEX(成本费用登记表!$D$4:$D$303,232))</f>
        <v/>
      </c>
      <c r="L2805" s="107" t="str">
        <f aca="false">IF($E2805="","",INDEX(成本费用登记表!$N$4:$N$303,232))</f>
        <v/>
      </c>
      <c r="M2805" s="107"/>
      <c r="N2805" s="67" t="str">
        <f aca="false">IF($E2805="","","系统")</f>
        <v/>
      </c>
      <c r="O2805" s="67" t="str">
        <f aca="false">IF($E2805="","","自动C")</f>
        <v/>
      </c>
      <c r="P2805" s="18"/>
    </row>
    <row r="2806" customFormat="false" ht="18" hidden="false" customHeight="true" outlineLevel="0" collapsed="false">
      <c r="A2806" s="107" t="str">
        <f aca="false">IF($E2806="","",ROW()-3)</f>
        <v/>
      </c>
      <c r="B2806" s="110" t="str">
        <f aca="false">IF($E2806="","",INDEX(成本费用登记表!$B$4:$B$303,233))</f>
        <v/>
      </c>
      <c r="C2806" s="67" t="str">
        <f aca="false">IF($E2806="","","记-"&amp;TEXT($B2806,"YYYYMM")&amp;"-费用")</f>
        <v/>
      </c>
      <c r="D2806" s="107" t="str">
        <f aca="false">IF($E2806="","",INDEX(成本费用登记表!$E$4:$E$303,233))</f>
        <v/>
      </c>
      <c r="E2806" s="67" t="str">
        <f aca="false">IF(INDEX(成本费用登记表!$Q$4:$Y$303,233,1)=0,"",INDEX(成本费用登记表!$Q$4:$Y$303,233,1))</f>
        <v/>
      </c>
      <c r="F2806" s="99" t="str">
        <f aca="false">IF($E2806="","",IFERROR(INDEX(科目表!$A$4:$A$81,MATCH($E2806,科目表!$B$4:$B$81,0)),""))</f>
        <v/>
      </c>
      <c r="G2806" s="67" t="str">
        <f aca="false">IF($E2806="","",IFERROR(INDEX(科目表!$E$4:$E$81,MATCH($E2806,科目表!$B$4:$B$81,0)),""))</f>
        <v/>
      </c>
      <c r="H2806" s="70" t="str">
        <f aca="false">IF($E2806="","",N(INDEX(成本费用登记表!$Q$4:$Y$303,233,2)))</f>
        <v/>
      </c>
      <c r="I2806" s="70" t="str">
        <f aca="false">IF($E2806="","",N(INDEX(成本费用登记表!$Q$4:$Y$303,233,3)))</f>
        <v/>
      </c>
      <c r="J2806" s="67" t="str">
        <f aca="false">IF($E2806="","",INDEX(成本费用登记表!$C$4:$C$303,233))</f>
        <v/>
      </c>
      <c r="K2806" s="67" t="str">
        <f aca="false">IF($E2806="","",INDEX(成本费用登记表!$D$4:$D$303,233))</f>
        <v/>
      </c>
      <c r="L2806" s="107" t="str">
        <f aca="false">IF($E2806="","",INDEX(成本费用登记表!$N$4:$N$303,233))</f>
        <v/>
      </c>
      <c r="M2806" s="107"/>
      <c r="N2806" s="67" t="str">
        <f aca="false">IF($E2806="","","系统")</f>
        <v/>
      </c>
      <c r="O2806" s="67" t="str">
        <f aca="false">IF($E2806="","","自动C")</f>
        <v/>
      </c>
      <c r="P2806" s="18"/>
    </row>
    <row r="2807" customFormat="false" ht="18" hidden="false" customHeight="true" outlineLevel="0" collapsed="false">
      <c r="A2807" s="107" t="str">
        <f aca="false">IF($E2807="","",ROW()-3)</f>
        <v/>
      </c>
      <c r="B2807" s="110" t="str">
        <f aca="false">IF($E2807="","",INDEX(成本费用登记表!$B$4:$B$303,233))</f>
        <v/>
      </c>
      <c r="C2807" s="67" t="str">
        <f aca="false">IF($E2807="","","记-"&amp;TEXT($B2807,"YYYYMM")&amp;"-费用")</f>
        <v/>
      </c>
      <c r="D2807" s="107" t="str">
        <f aca="false">IF($E2807="","",INDEX(成本费用登记表!$E$4:$E$303,233))</f>
        <v/>
      </c>
      <c r="E2807" s="67" t="str">
        <f aca="false">IF(INDEX(成本费用登记表!$Q$4:$Y$303,233,4)=0,"",INDEX(成本费用登记表!$Q$4:$Y$303,233,4))</f>
        <v/>
      </c>
      <c r="F2807" s="99" t="str">
        <f aca="false">IF($E2807="","",IFERROR(INDEX(科目表!$A$4:$A$81,MATCH($E2807,科目表!$B$4:$B$81,0)),""))</f>
        <v/>
      </c>
      <c r="G2807" s="67" t="str">
        <f aca="false">IF($E2807="","",IFERROR(INDEX(科目表!$E$4:$E$81,MATCH($E2807,科目表!$B$4:$B$81,0)),""))</f>
        <v/>
      </c>
      <c r="H2807" s="70" t="str">
        <f aca="false">IF($E2807="","",N(INDEX(成本费用登记表!$Q$4:$Y$303,233,5)))</f>
        <v/>
      </c>
      <c r="I2807" s="70" t="str">
        <f aca="false">IF($E2807="","",N(INDEX(成本费用登记表!$Q$4:$Y$303,233,6)))</f>
        <v/>
      </c>
      <c r="J2807" s="67" t="str">
        <f aca="false">IF($E2807="","",INDEX(成本费用登记表!$C$4:$C$303,233))</f>
        <v/>
      </c>
      <c r="K2807" s="67" t="str">
        <f aca="false">IF($E2807="","",INDEX(成本费用登记表!$D$4:$D$303,233))</f>
        <v/>
      </c>
      <c r="L2807" s="107" t="str">
        <f aca="false">IF($E2807="","",INDEX(成本费用登记表!$N$4:$N$303,233))</f>
        <v/>
      </c>
      <c r="M2807" s="107"/>
      <c r="N2807" s="67" t="str">
        <f aca="false">IF($E2807="","","系统")</f>
        <v/>
      </c>
      <c r="O2807" s="67" t="str">
        <f aca="false">IF($E2807="","","自动C")</f>
        <v/>
      </c>
      <c r="P2807" s="18"/>
    </row>
    <row r="2808" customFormat="false" ht="18" hidden="false" customHeight="true" outlineLevel="0" collapsed="false">
      <c r="A2808" s="107" t="str">
        <f aca="false">IF($E2808="","",ROW()-3)</f>
        <v/>
      </c>
      <c r="B2808" s="110" t="str">
        <f aca="false">IF($E2808="","",INDEX(成本费用登记表!$B$4:$B$303,233))</f>
        <v/>
      </c>
      <c r="C2808" s="67" t="str">
        <f aca="false">IF($E2808="","","记-"&amp;TEXT($B2808,"YYYYMM")&amp;"-费用")</f>
        <v/>
      </c>
      <c r="D2808" s="107" t="str">
        <f aca="false">IF($E2808="","",INDEX(成本费用登记表!$E$4:$E$303,233))</f>
        <v/>
      </c>
      <c r="E2808" s="67" t="str">
        <f aca="false">IF(INDEX(成本费用登记表!$Q$4:$Y$303,233,7)=0,"",INDEX(成本费用登记表!$Q$4:$Y$303,233,7))</f>
        <v/>
      </c>
      <c r="F2808" s="99" t="str">
        <f aca="false">IF($E2808="","",IFERROR(INDEX(科目表!$A$4:$A$81,MATCH($E2808,科目表!$B$4:$B$81,0)),""))</f>
        <v/>
      </c>
      <c r="G2808" s="67" t="str">
        <f aca="false">IF($E2808="","",IFERROR(INDEX(科目表!$E$4:$E$81,MATCH($E2808,科目表!$B$4:$B$81,0)),""))</f>
        <v/>
      </c>
      <c r="H2808" s="70" t="str">
        <f aca="false">IF($E2808="","",N(INDEX(成本费用登记表!$Q$4:$Y$303,233,8)))</f>
        <v/>
      </c>
      <c r="I2808" s="70" t="str">
        <f aca="false">IF($E2808="","",N(INDEX(成本费用登记表!$Q$4:$Y$303,233,9)))</f>
        <v/>
      </c>
      <c r="J2808" s="67" t="str">
        <f aca="false">IF($E2808="","",INDEX(成本费用登记表!$C$4:$C$303,233))</f>
        <v/>
      </c>
      <c r="K2808" s="67" t="str">
        <f aca="false">IF($E2808="","",INDEX(成本费用登记表!$D$4:$D$303,233))</f>
        <v/>
      </c>
      <c r="L2808" s="107" t="str">
        <f aca="false">IF($E2808="","",INDEX(成本费用登记表!$N$4:$N$303,233))</f>
        <v/>
      </c>
      <c r="M2808" s="107"/>
      <c r="N2808" s="67" t="str">
        <f aca="false">IF($E2808="","","系统")</f>
        <v/>
      </c>
      <c r="O2808" s="67" t="str">
        <f aca="false">IF($E2808="","","自动C")</f>
        <v/>
      </c>
      <c r="P2808" s="18"/>
    </row>
    <row r="2809" customFormat="false" ht="18" hidden="false" customHeight="true" outlineLevel="0" collapsed="false">
      <c r="A2809" s="107" t="str">
        <f aca="false">IF($E2809="","",ROW()-3)</f>
        <v/>
      </c>
      <c r="B2809" s="110" t="str">
        <f aca="false">IF($E2809="","",INDEX(成本费用登记表!$B$4:$B$303,234))</f>
        <v/>
      </c>
      <c r="C2809" s="67" t="str">
        <f aca="false">IF($E2809="","","记-"&amp;TEXT($B2809,"YYYYMM")&amp;"-费用")</f>
        <v/>
      </c>
      <c r="D2809" s="107" t="str">
        <f aca="false">IF($E2809="","",INDEX(成本费用登记表!$E$4:$E$303,234))</f>
        <v/>
      </c>
      <c r="E2809" s="67" t="str">
        <f aca="false">IF(INDEX(成本费用登记表!$Q$4:$Y$303,234,1)=0,"",INDEX(成本费用登记表!$Q$4:$Y$303,234,1))</f>
        <v/>
      </c>
      <c r="F2809" s="99" t="str">
        <f aca="false">IF($E2809="","",IFERROR(INDEX(科目表!$A$4:$A$81,MATCH($E2809,科目表!$B$4:$B$81,0)),""))</f>
        <v/>
      </c>
      <c r="G2809" s="67" t="str">
        <f aca="false">IF($E2809="","",IFERROR(INDEX(科目表!$E$4:$E$81,MATCH($E2809,科目表!$B$4:$B$81,0)),""))</f>
        <v/>
      </c>
      <c r="H2809" s="70" t="str">
        <f aca="false">IF($E2809="","",N(INDEX(成本费用登记表!$Q$4:$Y$303,234,2)))</f>
        <v/>
      </c>
      <c r="I2809" s="70" t="str">
        <f aca="false">IF($E2809="","",N(INDEX(成本费用登记表!$Q$4:$Y$303,234,3)))</f>
        <v/>
      </c>
      <c r="J2809" s="67" t="str">
        <f aca="false">IF($E2809="","",INDEX(成本费用登记表!$C$4:$C$303,234))</f>
        <v/>
      </c>
      <c r="K2809" s="67" t="str">
        <f aca="false">IF($E2809="","",INDEX(成本费用登记表!$D$4:$D$303,234))</f>
        <v/>
      </c>
      <c r="L2809" s="107" t="str">
        <f aca="false">IF($E2809="","",INDEX(成本费用登记表!$N$4:$N$303,234))</f>
        <v/>
      </c>
      <c r="M2809" s="107"/>
      <c r="N2809" s="67" t="str">
        <f aca="false">IF($E2809="","","系统")</f>
        <v/>
      </c>
      <c r="O2809" s="67" t="str">
        <f aca="false">IF($E2809="","","自动C")</f>
        <v/>
      </c>
      <c r="P2809" s="18"/>
    </row>
    <row r="2810" customFormat="false" ht="18" hidden="false" customHeight="true" outlineLevel="0" collapsed="false">
      <c r="A2810" s="107" t="str">
        <f aca="false">IF($E2810="","",ROW()-3)</f>
        <v/>
      </c>
      <c r="B2810" s="110" t="str">
        <f aca="false">IF($E2810="","",INDEX(成本费用登记表!$B$4:$B$303,234))</f>
        <v/>
      </c>
      <c r="C2810" s="67" t="str">
        <f aca="false">IF($E2810="","","记-"&amp;TEXT($B2810,"YYYYMM")&amp;"-费用")</f>
        <v/>
      </c>
      <c r="D2810" s="107" t="str">
        <f aca="false">IF($E2810="","",INDEX(成本费用登记表!$E$4:$E$303,234))</f>
        <v/>
      </c>
      <c r="E2810" s="67" t="str">
        <f aca="false">IF(INDEX(成本费用登记表!$Q$4:$Y$303,234,4)=0,"",INDEX(成本费用登记表!$Q$4:$Y$303,234,4))</f>
        <v/>
      </c>
      <c r="F2810" s="99" t="str">
        <f aca="false">IF($E2810="","",IFERROR(INDEX(科目表!$A$4:$A$81,MATCH($E2810,科目表!$B$4:$B$81,0)),""))</f>
        <v/>
      </c>
      <c r="G2810" s="67" t="str">
        <f aca="false">IF($E2810="","",IFERROR(INDEX(科目表!$E$4:$E$81,MATCH($E2810,科目表!$B$4:$B$81,0)),""))</f>
        <v/>
      </c>
      <c r="H2810" s="70" t="str">
        <f aca="false">IF($E2810="","",N(INDEX(成本费用登记表!$Q$4:$Y$303,234,5)))</f>
        <v/>
      </c>
      <c r="I2810" s="70" t="str">
        <f aca="false">IF($E2810="","",N(INDEX(成本费用登记表!$Q$4:$Y$303,234,6)))</f>
        <v/>
      </c>
      <c r="J2810" s="67" t="str">
        <f aca="false">IF($E2810="","",INDEX(成本费用登记表!$C$4:$C$303,234))</f>
        <v/>
      </c>
      <c r="K2810" s="67" t="str">
        <f aca="false">IF($E2810="","",INDEX(成本费用登记表!$D$4:$D$303,234))</f>
        <v/>
      </c>
      <c r="L2810" s="107" t="str">
        <f aca="false">IF($E2810="","",INDEX(成本费用登记表!$N$4:$N$303,234))</f>
        <v/>
      </c>
      <c r="M2810" s="107"/>
      <c r="N2810" s="67" t="str">
        <f aca="false">IF($E2810="","","系统")</f>
        <v/>
      </c>
      <c r="O2810" s="67" t="str">
        <f aca="false">IF($E2810="","","自动C")</f>
        <v/>
      </c>
      <c r="P2810" s="18"/>
    </row>
    <row r="2811" customFormat="false" ht="18" hidden="false" customHeight="true" outlineLevel="0" collapsed="false">
      <c r="A2811" s="107" t="str">
        <f aca="false">IF($E2811="","",ROW()-3)</f>
        <v/>
      </c>
      <c r="B2811" s="110" t="str">
        <f aca="false">IF($E2811="","",INDEX(成本费用登记表!$B$4:$B$303,234))</f>
        <v/>
      </c>
      <c r="C2811" s="67" t="str">
        <f aca="false">IF($E2811="","","记-"&amp;TEXT($B2811,"YYYYMM")&amp;"-费用")</f>
        <v/>
      </c>
      <c r="D2811" s="107" t="str">
        <f aca="false">IF($E2811="","",INDEX(成本费用登记表!$E$4:$E$303,234))</f>
        <v/>
      </c>
      <c r="E2811" s="67" t="str">
        <f aca="false">IF(INDEX(成本费用登记表!$Q$4:$Y$303,234,7)=0,"",INDEX(成本费用登记表!$Q$4:$Y$303,234,7))</f>
        <v/>
      </c>
      <c r="F2811" s="99" t="str">
        <f aca="false">IF($E2811="","",IFERROR(INDEX(科目表!$A$4:$A$81,MATCH($E2811,科目表!$B$4:$B$81,0)),""))</f>
        <v/>
      </c>
      <c r="G2811" s="67" t="str">
        <f aca="false">IF($E2811="","",IFERROR(INDEX(科目表!$E$4:$E$81,MATCH($E2811,科目表!$B$4:$B$81,0)),""))</f>
        <v/>
      </c>
      <c r="H2811" s="70" t="str">
        <f aca="false">IF($E2811="","",N(INDEX(成本费用登记表!$Q$4:$Y$303,234,8)))</f>
        <v/>
      </c>
      <c r="I2811" s="70" t="str">
        <f aca="false">IF($E2811="","",N(INDEX(成本费用登记表!$Q$4:$Y$303,234,9)))</f>
        <v/>
      </c>
      <c r="J2811" s="67" t="str">
        <f aca="false">IF($E2811="","",INDEX(成本费用登记表!$C$4:$C$303,234))</f>
        <v/>
      </c>
      <c r="K2811" s="67" t="str">
        <f aca="false">IF($E2811="","",INDEX(成本费用登记表!$D$4:$D$303,234))</f>
        <v/>
      </c>
      <c r="L2811" s="107" t="str">
        <f aca="false">IF($E2811="","",INDEX(成本费用登记表!$N$4:$N$303,234))</f>
        <v/>
      </c>
      <c r="M2811" s="107"/>
      <c r="N2811" s="67" t="str">
        <f aca="false">IF($E2811="","","系统")</f>
        <v/>
      </c>
      <c r="O2811" s="67" t="str">
        <f aca="false">IF($E2811="","","自动C")</f>
        <v/>
      </c>
      <c r="P2811" s="18"/>
    </row>
    <row r="2812" customFormat="false" ht="18" hidden="false" customHeight="true" outlineLevel="0" collapsed="false">
      <c r="A2812" s="107" t="str">
        <f aca="false">IF($E2812="","",ROW()-3)</f>
        <v/>
      </c>
      <c r="B2812" s="110" t="str">
        <f aca="false">IF($E2812="","",INDEX(成本费用登记表!$B$4:$B$303,235))</f>
        <v/>
      </c>
      <c r="C2812" s="67" t="str">
        <f aca="false">IF($E2812="","","记-"&amp;TEXT($B2812,"YYYYMM")&amp;"-费用")</f>
        <v/>
      </c>
      <c r="D2812" s="107" t="str">
        <f aca="false">IF($E2812="","",INDEX(成本费用登记表!$E$4:$E$303,235))</f>
        <v/>
      </c>
      <c r="E2812" s="67" t="str">
        <f aca="false">IF(INDEX(成本费用登记表!$Q$4:$Y$303,235,1)=0,"",INDEX(成本费用登记表!$Q$4:$Y$303,235,1))</f>
        <v/>
      </c>
      <c r="F2812" s="99" t="str">
        <f aca="false">IF($E2812="","",IFERROR(INDEX(科目表!$A$4:$A$81,MATCH($E2812,科目表!$B$4:$B$81,0)),""))</f>
        <v/>
      </c>
      <c r="G2812" s="67" t="str">
        <f aca="false">IF($E2812="","",IFERROR(INDEX(科目表!$E$4:$E$81,MATCH($E2812,科目表!$B$4:$B$81,0)),""))</f>
        <v/>
      </c>
      <c r="H2812" s="70" t="str">
        <f aca="false">IF($E2812="","",N(INDEX(成本费用登记表!$Q$4:$Y$303,235,2)))</f>
        <v/>
      </c>
      <c r="I2812" s="70" t="str">
        <f aca="false">IF($E2812="","",N(INDEX(成本费用登记表!$Q$4:$Y$303,235,3)))</f>
        <v/>
      </c>
      <c r="J2812" s="67" t="str">
        <f aca="false">IF($E2812="","",INDEX(成本费用登记表!$C$4:$C$303,235))</f>
        <v/>
      </c>
      <c r="K2812" s="67" t="str">
        <f aca="false">IF($E2812="","",INDEX(成本费用登记表!$D$4:$D$303,235))</f>
        <v/>
      </c>
      <c r="L2812" s="107" t="str">
        <f aca="false">IF($E2812="","",INDEX(成本费用登记表!$N$4:$N$303,235))</f>
        <v/>
      </c>
      <c r="M2812" s="107"/>
      <c r="N2812" s="67" t="str">
        <f aca="false">IF($E2812="","","系统")</f>
        <v/>
      </c>
      <c r="O2812" s="67" t="str">
        <f aca="false">IF($E2812="","","自动C")</f>
        <v/>
      </c>
      <c r="P2812" s="18"/>
    </row>
    <row r="2813" customFormat="false" ht="18" hidden="false" customHeight="true" outlineLevel="0" collapsed="false">
      <c r="A2813" s="107" t="str">
        <f aca="false">IF($E2813="","",ROW()-3)</f>
        <v/>
      </c>
      <c r="B2813" s="110" t="str">
        <f aca="false">IF($E2813="","",INDEX(成本费用登记表!$B$4:$B$303,235))</f>
        <v/>
      </c>
      <c r="C2813" s="67" t="str">
        <f aca="false">IF($E2813="","","记-"&amp;TEXT($B2813,"YYYYMM")&amp;"-费用")</f>
        <v/>
      </c>
      <c r="D2813" s="107" t="str">
        <f aca="false">IF($E2813="","",INDEX(成本费用登记表!$E$4:$E$303,235))</f>
        <v/>
      </c>
      <c r="E2813" s="67" t="str">
        <f aca="false">IF(INDEX(成本费用登记表!$Q$4:$Y$303,235,4)=0,"",INDEX(成本费用登记表!$Q$4:$Y$303,235,4))</f>
        <v/>
      </c>
      <c r="F2813" s="99" t="str">
        <f aca="false">IF($E2813="","",IFERROR(INDEX(科目表!$A$4:$A$81,MATCH($E2813,科目表!$B$4:$B$81,0)),""))</f>
        <v/>
      </c>
      <c r="G2813" s="67" t="str">
        <f aca="false">IF($E2813="","",IFERROR(INDEX(科目表!$E$4:$E$81,MATCH($E2813,科目表!$B$4:$B$81,0)),""))</f>
        <v/>
      </c>
      <c r="H2813" s="70" t="str">
        <f aca="false">IF($E2813="","",N(INDEX(成本费用登记表!$Q$4:$Y$303,235,5)))</f>
        <v/>
      </c>
      <c r="I2813" s="70" t="str">
        <f aca="false">IF($E2813="","",N(INDEX(成本费用登记表!$Q$4:$Y$303,235,6)))</f>
        <v/>
      </c>
      <c r="J2813" s="67" t="str">
        <f aca="false">IF($E2813="","",INDEX(成本费用登记表!$C$4:$C$303,235))</f>
        <v/>
      </c>
      <c r="K2813" s="67" t="str">
        <f aca="false">IF($E2813="","",INDEX(成本费用登记表!$D$4:$D$303,235))</f>
        <v/>
      </c>
      <c r="L2813" s="107" t="str">
        <f aca="false">IF($E2813="","",INDEX(成本费用登记表!$N$4:$N$303,235))</f>
        <v/>
      </c>
      <c r="M2813" s="107"/>
      <c r="N2813" s="67" t="str">
        <f aca="false">IF($E2813="","","系统")</f>
        <v/>
      </c>
      <c r="O2813" s="67" t="str">
        <f aca="false">IF($E2813="","","自动C")</f>
        <v/>
      </c>
      <c r="P2813" s="18"/>
    </row>
    <row r="2814" customFormat="false" ht="18" hidden="false" customHeight="true" outlineLevel="0" collapsed="false">
      <c r="A2814" s="107" t="str">
        <f aca="false">IF($E2814="","",ROW()-3)</f>
        <v/>
      </c>
      <c r="B2814" s="110" t="str">
        <f aca="false">IF($E2814="","",INDEX(成本费用登记表!$B$4:$B$303,235))</f>
        <v/>
      </c>
      <c r="C2814" s="67" t="str">
        <f aca="false">IF($E2814="","","记-"&amp;TEXT($B2814,"YYYYMM")&amp;"-费用")</f>
        <v/>
      </c>
      <c r="D2814" s="107" t="str">
        <f aca="false">IF($E2814="","",INDEX(成本费用登记表!$E$4:$E$303,235))</f>
        <v/>
      </c>
      <c r="E2814" s="67" t="str">
        <f aca="false">IF(INDEX(成本费用登记表!$Q$4:$Y$303,235,7)=0,"",INDEX(成本费用登记表!$Q$4:$Y$303,235,7))</f>
        <v/>
      </c>
      <c r="F2814" s="99" t="str">
        <f aca="false">IF($E2814="","",IFERROR(INDEX(科目表!$A$4:$A$81,MATCH($E2814,科目表!$B$4:$B$81,0)),""))</f>
        <v/>
      </c>
      <c r="G2814" s="67" t="str">
        <f aca="false">IF($E2814="","",IFERROR(INDEX(科目表!$E$4:$E$81,MATCH($E2814,科目表!$B$4:$B$81,0)),""))</f>
        <v/>
      </c>
      <c r="H2814" s="70" t="str">
        <f aca="false">IF($E2814="","",N(INDEX(成本费用登记表!$Q$4:$Y$303,235,8)))</f>
        <v/>
      </c>
      <c r="I2814" s="70" t="str">
        <f aca="false">IF($E2814="","",N(INDEX(成本费用登记表!$Q$4:$Y$303,235,9)))</f>
        <v/>
      </c>
      <c r="J2814" s="67" t="str">
        <f aca="false">IF($E2814="","",INDEX(成本费用登记表!$C$4:$C$303,235))</f>
        <v/>
      </c>
      <c r="K2814" s="67" t="str">
        <f aca="false">IF($E2814="","",INDEX(成本费用登记表!$D$4:$D$303,235))</f>
        <v/>
      </c>
      <c r="L2814" s="107" t="str">
        <f aca="false">IF($E2814="","",INDEX(成本费用登记表!$N$4:$N$303,235))</f>
        <v/>
      </c>
      <c r="M2814" s="107"/>
      <c r="N2814" s="67" t="str">
        <f aca="false">IF($E2814="","","系统")</f>
        <v/>
      </c>
      <c r="O2814" s="67" t="str">
        <f aca="false">IF($E2814="","","自动C")</f>
        <v/>
      </c>
      <c r="P2814" s="18"/>
    </row>
    <row r="2815" customFormat="false" ht="18" hidden="false" customHeight="true" outlineLevel="0" collapsed="false">
      <c r="A2815" s="107" t="str">
        <f aca="false">IF($E2815="","",ROW()-3)</f>
        <v/>
      </c>
      <c r="B2815" s="110" t="str">
        <f aca="false">IF($E2815="","",INDEX(成本费用登记表!$B$4:$B$303,236))</f>
        <v/>
      </c>
      <c r="C2815" s="67" t="str">
        <f aca="false">IF($E2815="","","记-"&amp;TEXT($B2815,"YYYYMM")&amp;"-费用")</f>
        <v/>
      </c>
      <c r="D2815" s="107" t="str">
        <f aca="false">IF($E2815="","",INDEX(成本费用登记表!$E$4:$E$303,236))</f>
        <v/>
      </c>
      <c r="E2815" s="67" t="str">
        <f aca="false">IF(INDEX(成本费用登记表!$Q$4:$Y$303,236,1)=0,"",INDEX(成本费用登记表!$Q$4:$Y$303,236,1))</f>
        <v/>
      </c>
      <c r="F2815" s="99" t="str">
        <f aca="false">IF($E2815="","",IFERROR(INDEX(科目表!$A$4:$A$81,MATCH($E2815,科目表!$B$4:$B$81,0)),""))</f>
        <v/>
      </c>
      <c r="G2815" s="67" t="str">
        <f aca="false">IF($E2815="","",IFERROR(INDEX(科目表!$E$4:$E$81,MATCH($E2815,科目表!$B$4:$B$81,0)),""))</f>
        <v/>
      </c>
      <c r="H2815" s="70" t="str">
        <f aca="false">IF($E2815="","",N(INDEX(成本费用登记表!$Q$4:$Y$303,236,2)))</f>
        <v/>
      </c>
      <c r="I2815" s="70" t="str">
        <f aca="false">IF($E2815="","",N(INDEX(成本费用登记表!$Q$4:$Y$303,236,3)))</f>
        <v/>
      </c>
      <c r="J2815" s="67" t="str">
        <f aca="false">IF($E2815="","",INDEX(成本费用登记表!$C$4:$C$303,236))</f>
        <v/>
      </c>
      <c r="K2815" s="67" t="str">
        <f aca="false">IF($E2815="","",INDEX(成本费用登记表!$D$4:$D$303,236))</f>
        <v/>
      </c>
      <c r="L2815" s="107" t="str">
        <f aca="false">IF($E2815="","",INDEX(成本费用登记表!$N$4:$N$303,236))</f>
        <v/>
      </c>
      <c r="M2815" s="107"/>
      <c r="N2815" s="67" t="str">
        <f aca="false">IF($E2815="","","系统")</f>
        <v/>
      </c>
      <c r="O2815" s="67" t="str">
        <f aca="false">IF($E2815="","","自动C")</f>
        <v/>
      </c>
      <c r="P2815" s="18"/>
    </row>
    <row r="2816" customFormat="false" ht="18" hidden="false" customHeight="true" outlineLevel="0" collapsed="false">
      <c r="A2816" s="107" t="str">
        <f aca="false">IF($E2816="","",ROW()-3)</f>
        <v/>
      </c>
      <c r="B2816" s="110" t="str">
        <f aca="false">IF($E2816="","",INDEX(成本费用登记表!$B$4:$B$303,236))</f>
        <v/>
      </c>
      <c r="C2816" s="67" t="str">
        <f aca="false">IF($E2816="","","记-"&amp;TEXT($B2816,"YYYYMM")&amp;"-费用")</f>
        <v/>
      </c>
      <c r="D2816" s="107" t="str">
        <f aca="false">IF($E2816="","",INDEX(成本费用登记表!$E$4:$E$303,236))</f>
        <v/>
      </c>
      <c r="E2816" s="67" t="str">
        <f aca="false">IF(INDEX(成本费用登记表!$Q$4:$Y$303,236,4)=0,"",INDEX(成本费用登记表!$Q$4:$Y$303,236,4))</f>
        <v/>
      </c>
      <c r="F2816" s="99" t="str">
        <f aca="false">IF($E2816="","",IFERROR(INDEX(科目表!$A$4:$A$81,MATCH($E2816,科目表!$B$4:$B$81,0)),""))</f>
        <v/>
      </c>
      <c r="G2816" s="67" t="str">
        <f aca="false">IF($E2816="","",IFERROR(INDEX(科目表!$E$4:$E$81,MATCH($E2816,科目表!$B$4:$B$81,0)),""))</f>
        <v/>
      </c>
      <c r="H2816" s="70" t="str">
        <f aca="false">IF($E2816="","",N(INDEX(成本费用登记表!$Q$4:$Y$303,236,5)))</f>
        <v/>
      </c>
      <c r="I2816" s="70" t="str">
        <f aca="false">IF($E2816="","",N(INDEX(成本费用登记表!$Q$4:$Y$303,236,6)))</f>
        <v/>
      </c>
      <c r="J2816" s="67" t="str">
        <f aca="false">IF($E2816="","",INDEX(成本费用登记表!$C$4:$C$303,236))</f>
        <v/>
      </c>
      <c r="K2816" s="67" t="str">
        <f aca="false">IF($E2816="","",INDEX(成本费用登记表!$D$4:$D$303,236))</f>
        <v/>
      </c>
      <c r="L2816" s="107" t="str">
        <f aca="false">IF($E2816="","",INDEX(成本费用登记表!$N$4:$N$303,236))</f>
        <v/>
      </c>
      <c r="M2816" s="107"/>
      <c r="N2816" s="67" t="str">
        <f aca="false">IF($E2816="","","系统")</f>
        <v/>
      </c>
      <c r="O2816" s="67" t="str">
        <f aca="false">IF($E2816="","","自动C")</f>
        <v/>
      </c>
      <c r="P2816" s="18"/>
    </row>
    <row r="2817" customFormat="false" ht="18" hidden="false" customHeight="true" outlineLevel="0" collapsed="false">
      <c r="A2817" s="107" t="str">
        <f aca="false">IF($E2817="","",ROW()-3)</f>
        <v/>
      </c>
      <c r="B2817" s="110" t="str">
        <f aca="false">IF($E2817="","",INDEX(成本费用登记表!$B$4:$B$303,236))</f>
        <v/>
      </c>
      <c r="C2817" s="67" t="str">
        <f aca="false">IF($E2817="","","记-"&amp;TEXT($B2817,"YYYYMM")&amp;"-费用")</f>
        <v/>
      </c>
      <c r="D2817" s="107" t="str">
        <f aca="false">IF($E2817="","",INDEX(成本费用登记表!$E$4:$E$303,236))</f>
        <v/>
      </c>
      <c r="E2817" s="67" t="str">
        <f aca="false">IF(INDEX(成本费用登记表!$Q$4:$Y$303,236,7)=0,"",INDEX(成本费用登记表!$Q$4:$Y$303,236,7))</f>
        <v/>
      </c>
      <c r="F2817" s="99" t="str">
        <f aca="false">IF($E2817="","",IFERROR(INDEX(科目表!$A$4:$A$81,MATCH($E2817,科目表!$B$4:$B$81,0)),""))</f>
        <v/>
      </c>
      <c r="G2817" s="67" t="str">
        <f aca="false">IF($E2817="","",IFERROR(INDEX(科目表!$E$4:$E$81,MATCH($E2817,科目表!$B$4:$B$81,0)),""))</f>
        <v/>
      </c>
      <c r="H2817" s="70" t="str">
        <f aca="false">IF($E2817="","",N(INDEX(成本费用登记表!$Q$4:$Y$303,236,8)))</f>
        <v/>
      </c>
      <c r="I2817" s="70" t="str">
        <f aca="false">IF($E2817="","",N(INDEX(成本费用登记表!$Q$4:$Y$303,236,9)))</f>
        <v/>
      </c>
      <c r="J2817" s="67" t="str">
        <f aca="false">IF($E2817="","",INDEX(成本费用登记表!$C$4:$C$303,236))</f>
        <v/>
      </c>
      <c r="K2817" s="67" t="str">
        <f aca="false">IF($E2817="","",INDEX(成本费用登记表!$D$4:$D$303,236))</f>
        <v/>
      </c>
      <c r="L2817" s="107" t="str">
        <f aca="false">IF($E2817="","",INDEX(成本费用登记表!$N$4:$N$303,236))</f>
        <v/>
      </c>
      <c r="M2817" s="107"/>
      <c r="N2817" s="67" t="str">
        <f aca="false">IF($E2817="","","系统")</f>
        <v/>
      </c>
      <c r="O2817" s="67" t="str">
        <f aca="false">IF($E2817="","","自动C")</f>
        <v/>
      </c>
      <c r="P2817" s="18"/>
    </row>
    <row r="2818" customFormat="false" ht="18" hidden="false" customHeight="true" outlineLevel="0" collapsed="false">
      <c r="A2818" s="107" t="str">
        <f aca="false">IF($E2818="","",ROW()-3)</f>
        <v/>
      </c>
      <c r="B2818" s="110" t="str">
        <f aca="false">IF($E2818="","",INDEX(成本费用登记表!$B$4:$B$303,237))</f>
        <v/>
      </c>
      <c r="C2818" s="67" t="str">
        <f aca="false">IF($E2818="","","记-"&amp;TEXT($B2818,"YYYYMM")&amp;"-费用")</f>
        <v/>
      </c>
      <c r="D2818" s="107" t="str">
        <f aca="false">IF($E2818="","",INDEX(成本费用登记表!$E$4:$E$303,237))</f>
        <v/>
      </c>
      <c r="E2818" s="67" t="str">
        <f aca="false">IF(INDEX(成本费用登记表!$Q$4:$Y$303,237,1)=0,"",INDEX(成本费用登记表!$Q$4:$Y$303,237,1))</f>
        <v/>
      </c>
      <c r="F2818" s="99" t="str">
        <f aca="false">IF($E2818="","",IFERROR(INDEX(科目表!$A$4:$A$81,MATCH($E2818,科目表!$B$4:$B$81,0)),""))</f>
        <v/>
      </c>
      <c r="G2818" s="67" t="str">
        <f aca="false">IF($E2818="","",IFERROR(INDEX(科目表!$E$4:$E$81,MATCH($E2818,科目表!$B$4:$B$81,0)),""))</f>
        <v/>
      </c>
      <c r="H2818" s="70" t="str">
        <f aca="false">IF($E2818="","",N(INDEX(成本费用登记表!$Q$4:$Y$303,237,2)))</f>
        <v/>
      </c>
      <c r="I2818" s="70" t="str">
        <f aca="false">IF($E2818="","",N(INDEX(成本费用登记表!$Q$4:$Y$303,237,3)))</f>
        <v/>
      </c>
      <c r="J2818" s="67" t="str">
        <f aca="false">IF($E2818="","",INDEX(成本费用登记表!$C$4:$C$303,237))</f>
        <v/>
      </c>
      <c r="K2818" s="67" t="str">
        <f aca="false">IF($E2818="","",INDEX(成本费用登记表!$D$4:$D$303,237))</f>
        <v/>
      </c>
      <c r="L2818" s="107" t="str">
        <f aca="false">IF($E2818="","",INDEX(成本费用登记表!$N$4:$N$303,237))</f>
        <v/>
      </c>
      <c r="M2818" s="107"/>
      <c r="N2818" s="67" t="str">
        <f aca="false">IF($E2818="","","系统")</f>
        <v/>
      </c>
      <c r="O2818" s="67" t="str">
        <f aca="false">IF($E2818="","","自动C")</f>
        <v/>
      </c>
      <c r="P2818" s="18"/>
    </row>
    <row r="2819" customFormat="false" ht="18" hidden="false" customHeight="true" outlineLevel="0" collapsed="false">
      <c r="A2819" s="107" t="str">
        <f aca="false">IF($E2819="","",ROW()-3)</f>
        <v/>
      </c>
      <c r="B2819" s="110" t="str">
        <f aca="false">IF($E2819="","",INDEX(成本费用登记表!$B$4:$B$303,237))</f>
        <v/>
      </c>
      <c r="C2819" s="67" t="str">
        <f aca="false">IF($E2819="","","记-"&amp;TEXT($B2819,"YYYYMM")&amp;"-费用")</f>
        <v/>
      </c>
      <c r="D2819" s="107" t="str">
        <f aca="false">IF($E2819="","",INDEX(成本费用登记表!$E$4:$E$303,237))</f>
        <v/>
      </c>
      <c r="E2819" s="67" t="str">
        <f aca="false">IF(INDEX(成本费用登记表!$Q$4:$Y$303,237,4)=0,"",INDEX(成本费用登记表!$Q$4:$Y$303,237,4))</f>
        <v/>
      </c>
      <c r="F2819" s="99" t="str">
        <f aca="false">IF($E2819="","",IFERROR(INDEX(科目表!$A$4:$A$81,MATCH($E2819,科目表!$B$4:$B$81,0)),""))</f>
        <v/>
      </c>
      <c r="G2819" s="67" t="str">
        <f aca="false">IF($E2819="","",IFERROR(INDEX(科目表!$E$4:$E$81,MATCH($E2819,科目表!$B$4:$B$81,0)),""))</f>
        <v/>
      </c>
      <c r="H2819" s="70" t="str">
        <f aca="false">IF($E2819="","",N(INDEX(成本费用登记表!$Q$4:$Y$303,237,5)))</f>
        <v/>
      </c>
      <c r="I2819" s="70" t="str">
        <f aca="false">IF($E2819="","",N(INDEX(成本费用登记表!$Q$4:$Y$303,237,6)))</f>
        <v/>
      </c>
      <c r="J2819" s="67" t="str">
        <f aca="false">IF($E2819="","",INDEX(成本费用登记表!$C$4:$C$303,237))</f>
        <v/>
      </c>
      <c r="K2819" s="67" t="str">
        <f aca="false">IF($E2819="","",INDEX(成本费用登记表!$D$4:$D$303,237))</f>
        <v/>
      </c>
      <c r="L2819" s="107" t="str">
        <f aca="false">IF($E2819="","",INDEX(成本费用登记表!$N$4:$N$303,237))</f>
        <v/>
      </c>
      <c r="M2819" s="107"/>
      <c r="N2819" s="67" t="str">
        <f aca="false">IF($E2819="","","系统")</f>
        <v/>
      </c>
      <c r="O2819" s="67" t="str">
        <f aca="false">IF($E2819="","","自动C")</f>
        <v/>
      </c>
      <c r="P2819" s="18"/>
    </row>
    <row r="2820" customFormat="false" ht="18" hidden="false" customHeight="true" outlineLevel="0" collapsed="false">
      <c r="A2820" s="107" t="str">
        <f aca="false">IF($E2820="","",ROW()-3)</f>
        <v/>
      </c>
      <c r="B2820" s="110" t="str">
        <f aca="false">IF($E2820="","",INDEX(成本费用登记表!$B$4:$B$303,237))</f>
        <v/>
      </c>
      <c r="C2820" s="67" t="str">
        <f aca="false">IF($E2820="","","记-"&amp;TEXT($B2820,"YYYYMM")&amp;"-费用")</f>
        <v/>
      </c>
      <c r="D2820" s="107" t="str">
        <f aca="false">IF($E2820="","",INDEX(成本费用登记表!$E$4:$E$303,237))</f>
        <v/>
      </c>
      <c r="E2820" s="67" t="str">
        <f aca="false">IF(INDEX(成本费用登记表!$Q$4:$Y$303,237,7)=0,"",INDEX(成本费用登记表!$Q$4:$Y$303,237,7))</f>
        <v/>
      </c>
      <c r="F2820" s="99" t="str">
        <f aca="false">IF($E2820="","",IFERROR(INDEX(科目表!$A$4:$A$81,MATCH($E2820,科目表!$B$4:$B$81,0)),""))</f>
        <v/>
      </c>
      <c r="G2820" s="67" t="str">
        <f aca="false">IF($E2820="","",IFERROR(INDEX(科目表!$E$4:$E$81,MATCH($E2820,科目表!$B$4:$B$81,0)),""))</f>
        <v/>
      </c>
      <c r="H2820" s="70" t="str">
        <f aca="false">IF($E2820="","",N(INDEX(成本费用登记表!$Q$4:$Y$303,237,8)))</f>
        <v/>
      </c>
      <c r="I2820" s="70" t="str">
        <f aca="false">IF($E2820="","",N(INDEX(成本费用登记表!$Q$4:$Y$303,237,9)))</f>
        <v/>
      </c>
      <c r="J2820" s="67" t="str">
        <f aca="false">IF($E2820="","",INDEX(成本费用登记表!$C$4:$C$303,237))</f>
        <v/>
      </c>
      <c r="K2820" s="67" t="str">
        <f aca="false">IF($E2820="","",INDEX(成本费用登记表!$D$4:$D$303,237))</f>
        <v/>
      </c>
      <c r="L2820" s="107" t="str">
        <f aca="false">IF($E2820="","",INDEX(成本费用登记表!$N$4:$N$303,237))</f>
        <v/>
      </c>
      <c r="M2820" s="107"/>
      <c r="N2820" s="67" t="str">
        <f aca="false">IF($E2820="","","系统")</f>
        <v/>
      </c>
      <c r="O2820" s="67" t="str">
        <f aca="false">IF($E2820="","","自动C")</f>
        <v/>
      </c>
      <c r="P2820" s="18"/>
    </row>
    <row r="2821" customFormat="false" ht="18" hidden="false" customHeight="true" outlineLevel="0" collapsed="false">
      <c r="A2821" s="107" t="str">
        <f aca="false">IF($E2821="","",ROW()-3)</f>
        <v/>
      </c>
      <c r="B2821" s="110" t="str">
        <f aca="false">IF($E2821="","",INDEX(成本费用登记表!$B$4:$B$303,238))</f>
        <v/>
      </c>
      <c r="C2821" s="67" t="str">
        <f aca="false">IF($E2821="","","记-"&amp;TEXT($B2821,"YYYYMM")&amp;"-费用")</f>
        <v/>
      </c>
      <c r="D2821" s="107" t="str">
        <f aca="false">IF($E2821="","",INDEX(成本费用登记表!$E$4:$E$303,238))</f>
        <v/>
      </c>
      <c r="E2821" s="67" t="str">
        <f aca="false">IF(INDEX(成本费用登记表!$Q$4:$Y$303,238,1)=0,"",INDEX(成本费用登记表!$Q$4:$Y$303,238,1))</f>
        <v/>
      </c>
      <c r="F2821" s="99" t="str">
        <f aca="false">IF($E2821="","",IFERROR(INDEX(科目表!$A$4:$A$81,MATCH($E2821,科目表!$B$4:$B$81,0)),""))</f>
        <v/>
      </c>
      <c r="G2821" s="67" t="str">
        <f aca="false">IF($E2821="","",IFERROR(INDEX(科目表!$E$4:$E$81,MATCH($E2821,科目表!$B$4:$B$81,0)),""))</f>
        <v/>
      </c>
      <c r="H2821" s="70" t="str">
        <f aca="false">IF($E2821="","",N(INDEX(成本费用登记表!$Q$4:$Y$303,238,2)))</f>
        <v/>
      </c>
      <c r="I2821" s="70" t="str">
        <f aca="false">IF($E2821="","",N(INDEX(成本费用登记表!$Q$4:$Y$303,238,3)))</f>
        <v/>
      </c>
      <c r="J2821" s="67" t="str">
        <f aca="false">IF($E2821="","",INDEX(成本费用登记表!$C$4:$C$303,238))</f>
        <v/>
      </c>
      <c r="K2821" s="67" t="str">
        <f aca="false">IF($E2821="","",INDEX(成本费用登记表!$D$4:$D$303,238))</f>
        <v/>
      </c>
      <c r="L2821" s="107" t="str">
        <f aca="false">IF($E2821="","",INDEX(成本费用登记表!$N$4:$N$303,238))</f>
        <v/>
      </c>
      <c r="M2821" s="107"/>
      <c r="N2821" s="67" t="str">
        <f aca="false">IF($E2821="","","系统")</f>
        <v/>
      </c>
      <c r="O2821" s="67" t="str">
        <f aca="false">IF($E2821="","","自动C")</f>
        <v/>
      </c>
      <c r="P2821" s="18"/>
    </row>
    <row r="2822" customFormat="false" ht="18" hidden="false" customHeight="true" outlineLevel="0" collapsed="false">
      <c r="A2822" s="107" t="str">
        <f aca="false">IF($E2822="","",ROW()-3)</f>
        <v/>
      </c>
      <c r="B2822" s="110" t="str">
        <f aca="false">IF($E2822="","",INDEX(成本费用登记表!$B$4:$B$303,238))</f>
        <v/>
      </c>
      <c r="C2822" s="67" t="str">
        <f aca="false">IF($E2822="","","记-"&amp;TEXT($B2822,"YYYYMM")&amp;"-费用")</f>
        <v/>
      </c>
      <c r="D2822" s="107" t="str">
        <f aca="false">IF($E2822="","",INDEX(成本费用登记表!$E$4:$E$303,238))</f>
        <v/>
      </c>
      <c r="E2822" s="67" t="str">
        <f aca="false">IF(INDEX(成本费用登记表!$Q$4:$Y$303,238,4)=0,"",INDEX(成本费用登记表!$Q$4:$Y$303,238,4))</f>
        <v/>
      </c>
      <c r="F2822" s="99" t="str">
        <f aca="false">IF($E2822="","",IFERROR(INDEX(科目表!$A$4:$A$81,MATCH($E2822,科目表!$B$4:$B$81,0)),""))</f>
        <v/>
      </c>
      <c r="G2822" s="67" t="str">
        <f aca="false">IF($E2822="","",IFERROR(INDEX(科目表!$E$4:$E$81,MATCH($E2822,科目表!$B$4:$B$81,0)),""))</f>
        <v/>
      </c>
      <c r="H2822" s="70" t="str">
        <f aca="false">IF($E2822="","",N(INDEX(成本费用登记表!$Q$4:$Y$303,238,5)))</f>
        <v/>
      </c>
      <c r="I2822" s="70" t="str">
        <f aca="false">IF($E2822="","",N(INDEX(成本费用登记表!$Q$4:$Y$303,238,6)))</f>
        <v/>
      </c>
      <c r="J2822" s="67" t="str">
        <f aca="false">IF($E2822="","",INDEX(成本费用登记表!$C$4:$C$303,238))</f>
        <v/>
      </c>
      <c r="K2822" s="67" t="str">
        <f aca="false">IF($E2822="","",INDEX(成本费用登记表!$D$4:$D$303,238))</f>
        <v/>
      </c>
      <c r="L2822" s="107" t="str">
        <f aca="false">IF($E2822="","",INDEX(成本费用登记表!$N$4:$N$303,238))</f>
        <v/>
      </c>
      <c r="M2822" s="107"/>
      <c r="N2822" s="67" t="str">
        <f aca="false">IF($E2822="","","系统")</f>
        <v/>
      </c>
      <c r="O2822" s="67" t="str">
        <f aca="false">IF($E2822="","","自动C")</f>
        <v/>
      </c>
      <c r="P2822" s="18"/>
    </row>
    <row r="2823" customFormat="false" ht="18" hidden="false" customHeight="true" outlineLevel="0" collapsed="false">
      <c r="A2823" s="107" t="str">
        <f aca="false">IF($E2823="","",ROW()-3)</f>
        <v/>
      </c>
      <c r="B2823" s="110" t="str">
        <f aca="false">IF($E2823="","",INDEX(成本费用登记表!$B$4:$B$303,238))</f>
        <v/>
      </c>
      <c r="C2823" s="67" t="str">
        <f aca="false">IF($E2823="","","记-"&amp;TEXT($B2823,"YYYYMM")&amp;"-费用")</f>
        <v/>
      </c>
      <c r="D2823" s="107" t="str">
        <f aca="false">IF($E2823="","",INDEX(成本费用登记表!$E$4:$E$303,238))</f>
        <v/>
      </c>
      <c r="E2823" s="67" t="str">
        <f aca="false">IF(INDEX(成本费用登记表!$Q$4:$Y$303,238,7)=0,"",INDEX(成本费用登记表!$Q$4:$Y$303,238,7))</f>
        <v/>
      </c>
      <c r="F2823" s="99" t="str">
        <f aca="false">IF($E2823="","",IFERROR(INDEX(科目表!$A$4:$A$81,MATCH($E2823,科目表!$B$4:$B$81,0)),""))</f>
        <v/>
      </c>
      <c r="G2823" s="67" t="str">
        <f aca="false">IF($E2823="","",IFERROR(INDEX(科目表!$E$4:$E$81,MATCH($E2823,科目表!$B$4:$B$81,0)),""))</f>
        <v/>
      </c>
      <c r="H2823" s="70" t="str">
        <f aca="false">IF($E2823="","",N(INDEX(成本费用登记表!$Q$4:$Y$303,238,8)))</f>
        <v/>
      </c>
      <c r="I2823" s="70" t="str">
        <f aca="false">IF($E2823="","",N(INDEX(成本费用登记表!$Q$4:$Y$303,238,9)))</f>
        <v/>
      </c>
      <c r="J2823" s="67" t="str">
        <f aca="false">IF($E2823="","",INDEX(成本费用登记表!$C$4:$C$303,238))</f>
        <v/>
      </c>
      <c r="K2823" s="67" t="str">
        <f aca="false">IF($E2823="","",INDEX(成本费用登记表!$D$4:$D$303,238))</f>
        <v/>
      </c>
      <c r="L2823" s="107" t="str">
        <f aca="false">IF($E2823="","",INDEX(成本费用登记表!$N$4:$N$303,238))</f>
        <v/>
      </c>
      <c r="M2823" s="107"/>
      <c r="N2823" s="67" t="str">
        <f aca="false">IF($E2823="","","系统")</f>
        <v/>
      </c>
      <c r="O2823" s="67" t="str">
        <f aca="false">IF($E2823="","","自动C")</f>
        <v/>
      </c>
      <c r="P2823" s="18"/>
    </row>
    <row r="2824" customFormat="false" ht="18" hidden="false" customHeight="true" outlineLevel="0" collapsed="false">
      <c r="A2824" s="107" t="str">
        <f aca="false">IF($E2824="","",ROW()-3)</f>
        <v/>
      </c>
      <c r="B2824" s="110" t="str">
        <f aca="false">IF($E2824="","",INDEX(成本费用登记表!$B$4:$B$303,239))</f>
        <v/>
      </c>
      <c r="C2824" s="67" t="str">
        <f aca="false">IF($E2824="","","记-"&amp;TEXT($B2824,"YYYYMM")&amp;"-费用")</f>
        <v/>
      </c>
      <c r="D2824" s="107" t="str">
        <f aca="false">IF($E2824="","",INDEX(成本费用登记表!$E$4:$E$303,239))</f>
        <v/>
      </c>
      <c r="E2824" s="67" t="str">
        <f aca="false">IF(INDEX(成本费用登记表!$Q$4:$Y$303,239,1)=0,"",INDEX(成本费用登记表!$Q$4:$Y$303,239,1))</f>
        <v/>
      </c>
      <c r="F2824" s="99" t="str">
        <f aca="false">IF($E2824="","",IFERROR(INDEX(科目表!$A$4:$A$81,MATCH($E2824,科目表!$B$4:$B$81,0)),""))</f>
        <v/>
      </c>
      <c r="G2824" s="67" t="str">
        <f aca="false">IF($E2824="","",IFERROR(INDEX(科目表!$E$4:$E$81,MATCH($E2824,科目表!$B$4:$B$81,0)),""))</f>
        <v/>
      </c>
      <c r="H2824" s="70" t="str">
        <f aca="false">IF($E2824="","",N(INDEX(成本费用登记表!$Q$4:$Y$303,239,2)))</f>
        <v/>
      </c>
      <c r="I2824" s="70" t="str">
        <f aca="false">IF($E2824="","",N(INDEX(成本费用登记表!$Q$4:$Y$303,239,3)))</f>
        <v/>
      </c>
      <c r="J2824" s="67" t="str">
        <f aca="false">IF($E2824="","",INDEX(成本费用登记表!$C$4:$C$303,239))</f>
        <v/>
      </c>
      <c r="K2824" s="67" t="str">
        <f aca="false">IF($E2824="","",INDEX(成本费用登记表!$D$4:$D$303,239))</f>
        <v/>
      </c>
      <c r="L2824" s="107" t="str">
        <f aca="false">IF($E2824="","",INDEX(成本费用登记表!$N$4:$N$303,239))</f>
        <v/>
      </c>
      <c r="M2824" s="107"/>
      <c r="N2824" s="67" t="str">
        <f aca="false">IF($E2824="","","系统")</f>
        <v/>
      </c>
      <c r="O2824" s="67" t="str">
        <f aca="false">IF($E2824="","","自动C")</f>
        <v/>
      </c>
      <c r="P2824" s="18"/>
    </row>
    <row r="2825" customFormat="false" ht="18" hidden="false" customHeight="true" outlineLevel="0" collapsed="false">
      <c r="A2825" s="107" t="str">
        <f aca="false">IF($E2825="","",ROW()-3)</f>
        <v/>
      </c>
      <c r="B2825" s="110" t="str">
        <f aca="false">IF($E2825="","",INDEX(成本费用登记表!$B$4:$B$303,239))</f>
        <v/>
      </c>
      <c r="C2825" s="67" t="str">
        <f aca="false">IF($E2825="","","记-"&amp;TEXT($B2825,"YYYYMM")&amp;"-费用")</f>
        <v/>
      </c>
      <c r="D2825" s="107" t="str">
        <f aca="false">IF($E2825="","",INDEX(成本费用登记表!$E$4:$E$303,239))</f>
        <v/>
      </c>
      <c r="E2825" s="67" t="str">
        <f aca="false">IF(INDEX(成本费用登记表!$Q$4:$Y$303,239,4)=0,"",INDEX(成本费用登记表!$Q$4:$Y$303,239,4))</f>
        <v/>
      </c>
      <c r="F2825" s="99" t="str">
        <f aca="false">IF($E2825="","",IFERROR(INDEX(科目表!$A$4:$A$81,MATCH($E2825,科目表!$B$4:$B$81,0)),""))</f>
        <v/>
      </c>
      <c r="G2825" s="67" t="str">
        <f aca="false">IF($E2825="","",IFERROR(INDEX(科目表!$E$4:$E$81,MATCH($E2825,科目表!$B$4:$B$81,0)),""))</f>
        <v/>
      </c>
      <c r="H2825" s="70" t="str">
        <f aca="false">IF($E2825="","",N(INDEX(成本费用登记表!$Q$4:$Y$303,239,5)))</f>
        <v/>
      </c>
      <c r="I2825" s="70" t="str">
        <f aca="false">IF($E2825="","",N(INDEX(成本费用登记表!$Q$4:$Y$303,239,6)))</f>
        <v/>
      </c>
      <c r="J2825" s="67" t="str">
        <f aca="false">IF($E2825="","",INDEX(成本费用登记表!$C$4:$C$303,239))</f>
        <v/>
      </c>
      <c r="K2825" s="67" t="str">
        <f aca="false">IF($E2825="","",INDEX(成本费用登记表!$D$4:$D$303,239))</f>
        <v/>
      </c>
      <c r="L2825" s="107" t="str">
        <f aca="false">IF($E2825="","",INDEX(成本费用登记表!$N$4:$N$303,239))</f>
        <v/>
      </c>
      <c r="M2825" s="107"/>
      <c r="N2825" s="67" t="str">
        <f aca="false">IF($E2825="","","系统")</f>
        <v/>
      </c>
      <c r="O2825" s="67" t="str">
        <f aca="false">IF($E2825="","","自动C")</f>
        <v/>
      </c>
      <c r="P2825" s="18"/>
    </row>
    <row r="2826" customFormat="false" ht="18" hidden="false" customHeight="true" outlineLevel="0" collapsed="false">
      <c r="A2826" s="107" t="str">
        <f aca="false">IF($E2826="","",ROW()-3)</f>
        <v/>
      </c>
      <c r="B2826" s="110" t="str">
        <f aca="false">IF($E2826="","",INDEX(成本费用登记表!$B$4:$B$303,239))</f>
        <v/>
      </c>
      <c r="C2826" s="67" t="str">
        <f aca="false">IF($E2826="","","记-"&amp;TEXT($B2826,"YYYYMM")&amp;"-费用")</f>
        <v/>
      </c>
      <c r="D2826" s="107" t="str">
        <f aca="false">IF($E2826="","",INDEX(成本费用登记表!$E$4:$E$303,239))</f>
        <v/>
      </c>
      <c r="E2826" s="67" t="str">
        <f aca="false">IF(INDEX(成本费用登记表!$Q$4:$Y$303,239,7)=0,"",INDEX(成本费用登记表!$Q$4:$Y$303,239,7))</f>
        <v/>
      </c>
      <c r="F2826" s="99" t="str">
        <f aca="false">IF($E2826="","",IFERROR(INDEX(科目表!$A$4:$A$81,MATCH($E2826,科目表!$B$4:$B$81,0)),""))</f>
        <v/>
      </c>
      <c r="G2826" s="67" t="str">
        <f aca="false">IF($E2826="","",IFERROR(INDEX(科目表!$E$4:$E$81,MATCH($E2826,科目表!$B$4:$B$81,0)),""))</f>
        <v/>
      </c>
      <c r="H2826" s="70" t="str">
        <f aca="false">IF($E2826="","",N(INDEX(成本费用登记表!$Q$4:$Y$303,239,8)))</f>
        <v/>
      </c>
      <c r="I2826" s="70" t="str">
        <f aca="false">IF($E2826="","",N(INDEX(成本费用登记表!$Q$4:$Y$303,239,9)))</f>
        <v/>
      </c>
      <c r="J2826" s="67" t="str">
        <f aca="false">IF($E2826="","",INDEX(成本费用登记表!$C$4:$C$303,239))</f>
        <v/>
      </c>
      <c r="K2826" s="67" t="str">
        <f aca="false">IF($E2826="","",INDEX(成本费用登记表!$D$4:$D$303,239))</f>
        <v/>
      </c>
      <c r="L2826" s="107" t="str">
        <f aca="false">IF($E2826="","",INDEX(成本费用登记表!$N$4:$N$303,239))</f>
        <v/>
      </c>
      <c r="M2826" s="107"/>
      <c r="N2826" s="67" t="str">
        <f aca="false">IF($E2826="","","系统")</f>
        <v/>
      </c>
      <c r="O2826" s="67" t="str">
        <f aca="false">IF($E2826="","","自动C")</f>
        <v/>
      </c>
      <c r="P2826" s="18"/>
    </row>
    <row r="2827" customFormat="false" ht="18" hidden="false" customHeight="true" outlineLevel="0" collapsed="false">
      <c r="A2827" s="107" t="str">
        <f aca="false">IF($E2827="","",ROW()-3)</f>
        <v/>
      </c>
      <c r="B2827" s="110" t="str">
        <f aca="false">IF($E2827="","",INDEX(成本费用登记表!$B$4:$B$303,240))</f>
        <v/>
      </c>
      <c r="C2827" s="67" t="str">
        <f aca="false">IF($E2827="","","记-"&amp;TEXT($B2827,"YYYYMM")&amp;"-费用")</f>
        <v/>
      </c>
      <c r="D2827" s="107" t="str">
        <f aca="false">IF($E2827="","",INDEX(成本费用登记表!$E$4:$E$303,240))</f>
        <v/>
      </c>
      <c r="E2827" s="67" t="str">
        <f aca="false">IF(INDEX(成本费用登记表!$Q$4:$Y$303,240,1)=0,"",INDEX(成本费用登记表!$Q$4:$Y$303,240,1))</f>
        <v/>
      </c>
      <c r="F2827" s="99" t="str">
        <f aca="false">IF($E2827="","",IFERROR(INDEX(科目表!$A$4:$A$81,MATCH($E2827,科目表!$B$4:$B$81,0)),""))</f>
        <v/>
      </c>
      <c r="G2827" s="67" t="str">
        <f aca="false">IF($E2827="","",IFERROR(INDEX(科目表!$E$4:$E$81,MATCH($E2827,科目表!$B$4:$B$81,0)),""))</f>
        <v/>
      </c>
      <c r="H2827" s="70" t="str">
        <f aca="false">IF($E2827="","",N(INDEX(成本费用登记表!$Q$4:$Y$303,240,2)))</f>
        <v/>
      </c>
      <c r="I2827" s="70" t="str">
        <f aca="false">IF($E2827="","",N(INDEX(成本费用登记表!$Q$4:$Y$303,240,3)))</f>
        <v/>
      </c>
      <c r="J2827" s="67" t="str">
        <f aca="false">IF($E2827="","",INDEX(成本费用登记表!$C$4:$C$303,240))</f>
        <v/>
      </c>
      <c r="K2827" s="67" t="str">
        <f aca="false">IF($E2827="","",INDEX(成本费用登记表!$D$4:$D$303,240))</f>
        <v/>
      </c>
      <c r="L2827" s="107" t="str">
        <f aca="false">IF($E2827="","",INDEX(成本费用登记表!$N$4:$N$303,240))</f>
        <v/>
      </c>
      <c r="M2827" s="107"/>
      <c r="N2827" s="67" t="str">
        <f aca="false">IF($E2827="","","系统")</f>
        <v/>
      </c>
      <c r="O2827" s="67" t="str">
        <f aca="false">IF($E2827="","","自动C")</f>
        <v/>
      </c>
      <c r="P2827" s="18"/>
    </row>
    <row r="2828" customFormat="false" ht="18" hidden="false" customHeight="true" outlineLevel="0" collapsed="false">
      <c r="A2828" s="107" t="str">
        <f aca="false">IF($E2828="","",ROW()-3)</f>
        <v/>
      </c>
      <c r="B2828" s="110" t="str">
        <f aca="false">IF($E2828="","",INDEX(成本费用登记表!$B$4:$B$303,240))</f>
        <v/>
      </c>
      <c r="C2828" s="67" t="str">
        <f aca="false">IF($E2828="","","记-"&amp;TEXT($B2828,"YYYYMM")&amp;"-费用")</f>
        <v/>
      </c>
      <c r="D2828" s="107" t="str">
        <f aca="false">IF($E2828="","",INDEX(成本费用登记表!$E$4:$E$303,240))</f>
        <v/>
      </c>
      <c r="E2828" s="67" t="str">
        <f aca="false">IF(INDEX(成本费用登记表!$Q$4:$Y$303,240,4)=0,"",INDEX(成本费用登记表!$Q$4:$Y$303,240,4))</f>
        <v/>
      </c>
      <c r="F2828" s="99" t="str">
        <f aca="false">IF($E2828="","",IFERROR(INDEX(科目表!$A$4:$A$81,MATCH($E2828,科目表!$B$4:$B$81,0)),""))</f>
        <v/>
      </c>
      <c r="G2828" s="67" t="str">
        <f aca="false">IF($E2828="","",IFERROR(INDEX(科目表!$E$4:$E$81,MATCH($E2828,科目表!$B$4:$B$81,0)),""))</f>
        <v/>
      </c>
      <c r="H2828" s="70" t="str">
        <f aca="false">IF($E2828="","",N(INDEX(成本费用登记表!$Q$4:$Y$303,240,5)))</f>
        <v/>
      </c>
      <c r="I2828" s="70" t="str">
        <f aca="false">IF($E2828="","",N(INDEX(成本费用登记表!$Q$4:$Y$303,240,6)))</f>
        <v/>
      </c>
      <c r="J2828" s="67" t="str">
        <f aca="false">IF($E2828="","",INDEX(成本费用登记表!$C$4:$C$303,240))</f>
        <v/>
      </c>
      <c r="K2828" s="67" t="str">
        <f aca="false">IF($E2828="","",INDEX(成本费用登记表!$D$4:$D$303,240))</f>
        <v/>
      </c>
      <c r="L2828" s="107" t="str">
        <f aca="false">IF($E2828="","",INDEX(成本费用登记表!$N$4:$N$303,240))</f>
        <v/>
      </c>
      <c r="M2828" s="107"/>
      <c r="N2828" s="67" t="str">
        <f aca="false">IF($E2828="","","系统")</f>
        <v/>
      </c>
      <c r="O2828" s="67" t="str">
        <f aca="false">IF($E2828="","","自动C")</f>
        <v/>
      </c>
      <c r="P2828" s="18"/>
    </row>
    <row r="2829" customFormat="false" ht="18" hidden="false" customHeight="true" outlineLevel="0" collapsed="false">
      <c r="A2829" s="107" t="str">
        <f aca="false">IF($E2829="","",ROW()-3)</f>
        <v/>
      </c>
      <c r="B2829" s="110" t="str">
        <f aca="false">IF($E2829="","",INDEX(成本费用登记表!$B$4:$B$303,240))</f>
        <v/>
      </c>
      <c r="C2829" s="67" t="str">
        <f aca="false">IF($E2829="","","记-"&amp;TEXT($B2829,"YYYYMM")&amp;"-费用")</f>
        <v/>
      </c>
      <c r="D2829" s="107" t="str">
        <f aca="false">IF($E2829="","",INDEX(成本费用登记表!$E$4:$E$303,240))</f>
        <v/>
      </c>
      <c r="E2829" s="67" t="str">
        <f aca="false">IF(INDEX(成本费用登记表!$Q$4:$Y$303,240,7)=0,"",INDEX(成本费用登记表!$Q$4:$Y$303,240,7))</f>
        <v/>
      </c>
      <c r="F2829" s="99" t="str">
        <f aca="false">IF($E2829="","",IFERROR(INDEX(科目表!$A$4:$A$81,MATCH($E2829,科目表!$B$4:$B$81,0)),""))</f>
        <v/>
      </c>
      <c r="G2829" s="67" t="str">
        <f aca="false">IF($E2829="","",IFERROR(INDEX(科目表!$E$4:$E$81,MATCH($E2829,科目表!$B$4:$B$81,0)),""))</f>
        <v/>
      </c>
      <c r="H2829" s="70" t="str">
        <f aca="false">IF($E2829="","",N(INDEX(成本费用登记表!$Q$4:$Y$303,240,8)))</f>
        <v/>
      </c>
      <c r="I2829" s="70" t="str">
        <f aca="false">IF($E2829="","",N(INDEX(成本费用登记表!$Q$4:$Y$303,240,9)))</f>
        <v/>
      </c>
      <c r="J2829" s="67" t="str">
        <f aca="false">IF($E2829="","",INDEX(成本费用登记表!$C$4:$C$303,240))</f>
        <v/>
      </c>
      <c r="K2829" s="67" t="str">
        <f aca="false">IF($E2829="","",INDEX(成本费用登记表!$D$4:$D$303,240))</f>
        <v/>
      </c>
      <c r="L2829" s="107" t="str">
        <f aca="false">IF($E2829="","",INDEX(成本费用登记表!$N$4:$N$303,240))</f>
        <v/>
      </c>
      <c r="M2829" s="107"/>
      <c r="N2829" s="67" t="str">
        <f aca="false">IF($E2829="","","系统")</f>
        <v/>
      </c>
      <c r="O2829" s="67" t="str">
        <f aca="false">IF($E2829="","","自动C")</f>
        <v/>
      </c>
      <c r="P2829" s="18"/>
    </row>
    <row r="2830" customFormat="false" ht="18" hidden="false" customHeight="true" outlineLevel="0" collapsed="false">
      <c r="A2830" s="107" t="str">
        <f aca="false">IF($E2830="","",ROW()-3)</f>
        <v/>
      </c>
      <c r="B2830" s="110" t="str">
        <f aca="false">IF($E2830="","",INDEX(成本费用登记表!$B$4:$B$303,241))</f>
        <v/>
      </c>
      <c r="C2830" s="67" t="str">
        <f aca="false">IF($E2830="","","记-"&amp;TEXT($B2830,"YYYYMM")&amp;"-费用")</f>
        <v/>
      </c>
      <c r="D2830" s="107" t="str">
        <f aca="false">IF($E2830="","",INDEX(成本费用登记表!$E$4:$E$303,241))</f>
        <v/>
      </c>
      <c r="E2830" s="67" t="str">
        <f aca="false">IF(INDEX(成本费用登记表!$Q$4:$Y$303,241,1)=0,"",INDEX(成本费用登记表!$Q$4:$Y$303,241,1))</f>
        <v/>
      </c>
      <c r="F2830" s="99" t="str">
        <f aca="false">IF($E2830="","",IFERROR(INDEX(科目表!$A$4:$A$81,MATCH($E2830,科目表!$B$4:$B$81,0)),""))</f>
        <v/>
      </c>
      <c r="G2830" s="67" t="str">
        <f aca="false">IF($E2830="","",IFERROR(INDEX(科目表!$E$4:$E$81,MATCH($E2830,科目表!$B$4:$B$81,0)),""))</f>
        <v/>
      </c>
      <c r="H2830" s="70" t="str">
        <f aca="false">IF($E2830="","",N(INDEX(成本费用登记表!$Q$4:$Y$303,241,2)))</f>
        <v/>
      </c>
      <c r="I2830" s="70" t="str">
        <f aca="false">IF($E2830="","",N(INDEX(成本费用登记表!$Q$4:$Y$303,241,3)))</f>
        <v/>
      </c>
      <c r="J2830" s="67" t="str">
        <f aca="false">IF($E2830="","",INDEX(成本费用登记表!$C$4:$C$303,241))</f>
        <v/>
      </c>
      <c r="K2830" s="67" t="str">
        <f aca="false">IF($E2830="","",INDEX(成本费用登记表!$D$4:$D$303,241))</f>
        <v/>
      </c>
      <c r="L2830" s="107" t="str">
        <f aca="false">IF($E2830="","",INDEX(成本费用登记表!$N$4:$N$303,241))</f>
        <v/>
      </c>
      <c r="M2830" s="107"/>
      <c r="N2830" s="67" t="str">
        <f aca="false">IF($E2830="","","系统")</f>
        <v/>
      </c>
      <c r="O2830" s="67" t="str">
        <f aca="false">IF($E2830="","","自动C")</f>
        <v/>
      </c>
      <c r="P2830" s="18"/>
    </row>
    <row r="2831" customFormat="false" ht="18" hidden="false" customHeight="true" outlineLevel="0" collapsed="false">
      <c r="A2831" s="107" t="str">
        <f aca="false">IF($E2831="","",ROW()-3)</f>
        <v/>
      </c>
      <c r="B2831" s="110" t="str">
        <f aca="false">IF($E2831="","",INDEX(成本费用登记表!$B$4:$B$303,241))</f>
        <v/>
      </c>
      <c r="C2831" s="67" t="str">
        <f aca="false">IF($E2831="","","记-"&amp;TEXT($B2831,"YYYYMM")&amp;"-费用")</f>
        <v/>
      </c>
      <c r="D2831" s="107" t="str">
        <f aca="false">IF($E2831="","",INDEX(成本费用登记表!$E$4:$E$303,241))</f>
        <v/>
      </c>
      <c r="E2831" s="67" t="str">
        <f aca="false">IF(INDEX(成本费用登记表!$Q$4:$Y$303,241,4)=0,"",INDEX(成本费用登记表!$Q$4:$Y$303,241,4))</f>
        <v/>
      </c>
      <c r="F2831" s="99" t="str">
        <f aca="false">IF($E2831="","",IFERROR(INDEX(科目表!$A$4:$A$81,MATCH($E2831,科目表!$B$4:$B$81,0)),""))</f>
        <v/>
      </c>
      <c r="G2831" s="67" t="str">
        <f aca="false">IF($E2831="","",IFERROR(INDEX(科目表!$E$4:$E$81,MATCH($E2831,科目表!$B$4:$B$81,0)),""))</f>
        <v/>
      </c>
      <c r="H2831" s="70" t="str">
        <f aca="false">IF($E2831="","",N(INDEX(成本费用登记表!$Q$4:$Y$303,241,5)))</f>
        <v/>
      </c>
      <c r="I2831" s="70" t="str">
        <f aca="false">IF($E2831="","",N(INDEX(成本费用登记表!$Q$4:$Y$303,241,6)))</f>
        <v/>
      </c>
      <c r="J2831" s="67" t="str">
        <f aca="false">IF($E2831="","",INDEX(成本费用登记表!$C$4:$C$303,241))</f>
        <v/>
      </c>
      <c r="K2831" s="67" t="str">
        <f aca="false">IF($E2831="","",INDEX(成本费用登记表!$D$4:$D$303,241))</f>
        <v/>
      </c>
      <c r="L2831" s="107" t="str">
        <f aca="false">IF($E2831="","",INDEX(成本费用登记表!$N$4:$N$303,241))</f>
        <v/>
      </c>
      <c r="M2831" s="107"/>
      <c r="N2831" s="67" t="str">
        <f aca="false">IF($E2831="","","系统")</f>
        <v/>
      </c>
      <c r="O2831" s="67" t="str">
        <f aca="false">IF($E2831="","","自动C")</f>
        <v/>
      </c>
      <c r="P2831" s="18"/>
    </row>
    <row r="2832" customFormat="false" ht="18" hidden="false" customHeight="true" outlineLevel="0" collapsed="false">
      <c r="A2832" s="107" t="str">
        <f aca="false">IF($E2832="","",ROW()-3)</f>
        <v/>
      </c>
      <c r="B2832" s="110" t="str">
        <f aca="false">IF($E2832="","",INDEX(成本费用登记表!$B$4:$B$303,241))</f>
        <v/>
      </c>
      <c r="C2832" s="67" t="str">
        <f aca="false">IF($E2832="","","记-"&amp;TEXT($B2832,"YYYYMM")&amp;"-费用")</f>
        <v/>
      </c>
      <c r="D2832" s="107" t="str">
        <f aca="false">IF($E2832="","",INDEX(成本费用登记表!$E$4:$E$303,241))</f>
        <v/>
      </c>
      <c r="E2832" s="67" t="str">
        <f aca="false">IF(INDEX(成本费用登记表!$Q$4:$Y$303,241,7)=0,"",INDEX(成本费用登记表!$Q$4:$Y$303,241,7))</f>
        <v/>
      </c>
      <c r="F2832" s="99" t="str">
        <f aca="false">IF($E2832="","",IFERROR(INDEX(科目表!$A$4:$A$81,MATCH($E2832,科目表!$B$4:$B$81,0)),""))</f>
        <v/>
      </c>
      <c r="G2832" s="67" t="str">
        <f aca="false">IF($E2832="","",IFERROR(INDEX(科目表!$E$4:$E$81,MATCH($E2832,科目表!$B$4:$B$81,0)),""))</f>
        <v/>
      </c>
      <c r="H2832" s="70" t="str">
        <f aca="false">IF($E2832="","",N(INDEX(成本费用登记表!$Q$4:$Y$303,241,8)))</f>
        <v/>
      </c>
      <c r="I2832" s="70" t="str">
        <f aca="false">IF($E2832="","",N(INDEX(成本费用登记表!$Q$4:$Y$303,241,9)))</f>
        <v/>
      </c>
      <c r="J2832" s="67" t="str">
        <f aca="false">IF($E2832="","",INDEX(成本费用登记表!$C$4:$C$303,241))</f>
        <v/>
      </c>
      <c r="K2832" s="67" t="str">
        <f aca="false">IF($E2832="","",INDEX(成本费用登记表!$D$4:$D$303,241))</f>
        <v/>
      </c>
      <c r="L2832" s="107" t="str">
        <f aca="false">IF($E2832="","",INDEX(成本费用登记表!$N$4:$N$303,241))</f>
        <v/>
      </c>
      <c r="M2832" s="107"/>
      <c r="N2832" s="67" t="str">
        <f aca="false">IF($E2832="","","系统")</f>
        <v/>
      </c>
      <c r="O2832" s="67" t="str">
        <f aca="false">IF($E2832="","","自动C")</f>
        <v/>
      </c>
      <c r="P2832" s="18"/>
    </row>
    <row r="2833" customFormat="false" ht="18" hidden="false" customHeight="true" outlineLevel="0" collapsed="false">
      <c r="A2833" s="107" t="str">
        <f aca="false">IF($E2833="","",ROW()-3)</f>
        <v/>
      </c>
      <c r="B2833" s="110" t="str">
        <f aca="false">IF($E2833="","",INDEX(成本费用登记表!$B$4:$B$303,242))</f>
        <v/>
      </c>
      <c r="C2833" s="67" t="str">
        <f aca="false">IF($E2833="","","记-"&amp;TEXT($B2833,"YYYYMM")&amp;"-费用")</f>
        <v/>
      </c>
      <c r="D2833" s="107" t="str">
        <f aca="false">IF($E2833="","",INDEX(成本费用登记表!$E$4:$E$303,242))</f>
        <v/>
      </c>
      <c r="E2833" s="67" t="str">
        <f aca="false">IF(INDEX(成本费用登记表!$Q$4:$Y$303,242,1)=0,"",INDEX(成本费用登记表!$Q$4:$Y$303,242,1))</f>
        <v/>
      </c>
      <c r="F2833" s="99" t="str">
        <f aca="false">IF($E2833="","",IFERROR(INDEX(科目表!$A$4:$A$81,MATCH($E2833,科目表!$B$4:$B$81,0)),""))</f>
        <v/>
      </c>
      <c r="G2833" s="67" t="str">
        <f aca="false">IF($E2833="","",IFERROR(INDEX(科目表!$E$4:$E$81,MATCH($E2833,科目表!$B$4:$B$81,0)),""))</f>
        <v/>
      </c>
      <c r="H2833" s="70" t="str">
        <f aca="false">IF($E2833="","",N(INDEX(成本费用登记表!$Q$4:$Y$303,242,2)))</f>
        <v/>
      </c>
      <c r="I2833" s="70" t="str">
        <f aca="false">IF($E2833="","",N(INDEX(成本费用登记表!$Q$4:$Y$303,242,3)))</f>
        <v/>
      </c>
      <c r="J2833" s="67" t="str">
        <f aca="false">IF($E2833="","",INDEX(成本费用登记表!$C$4:$C$303,242))</f>
        <v/>
      </c>
      <c r="K2833" s="67" t="str">
        <f aca="false">IF($E2833="","",INDEX(成本费用登记表!$D$4:$D$303,242))</f>
        <v/>
      </c>
      <c r="L2833" s="107" t="str">
        <f aca="false">IF($E2833="","",INDEX(成本费用登记表!$N$4:$N$303,242))</f>
        <v/>
      </c>
      <c r="M2833" s="107"/>
      <c r="N2833" s="67" t="str">
        <f aca="false">IF($E2833="","","系统")</f>
        <v/>
      </c>
      <c r="O2833" s="67" t="str">
        <f aca="false">IF($E2833="","","自动C")</f>
        <v/>
      </c>
      <c r="P2833" s="18"/>
    </row>
    <row r="2834" customFormat="false" ht="18" hidden="false" customHeight="true" outlineLevel="0" collapsed="false">
      <c r="A2834" s="107" t="str">
        <f aca="false">IF($E2834="","",ROW()-3)</f>
        <v/>
      </c>
      <c r="B2834" s="110" t="str">
        <f aca="false">IF($E2834="","",INDEX(成本费用登记表!$B$4:$B$303,242))</f>
        <v/>
      </c>
      <c r="C2834" s="67" t="str">
        <f aca="false">IF($E2834="","","记-"&amp;TEXT($B2834,"YYYYMM")&amp;"-费用")</f>
        <v/>
      </c>
      <c r="D2834" s="107" t="str">
        <f aca="false">IF($E2834="","",INDEX(成本费用登记表!$E$4:$E$303,242))</f>
        <v/>
      </c>
      <c r="E2834" s="67" t="str">
        <f aca="false">IF(INDEX(成本费用登记表!$Q$4:$Y$303,242,4)=0,"",INDEX(成本费用登记表!$Q$4:$Y$303,242,4))</f>
        <v/>
      </c>
      <c r="F2834" s="99" t="str">
        <f aca="false">IF($E2834="","",IFERROR(INDEX(科目表!$A$4:$A$81,MATCH($E2834,科目表!$B$4:$B$81,0)),""))</f>
        <v/>
      </c>
      <c r="G2834" s="67" t="str">
        <f aca="false">IF($E2834="","",IFERROR(INDEX(科目表!$E$4:$E$81,MATCH($E2834,科目表!$B$4:$B$81,0)),""))</f>
        <v/>
      </c>
      <c r="H2834" s="70" t="str">
        <f aca="false">IF($E2834="","",N(INDEX(成本费用登记表!$Q$4:$Y$303,242,5)))</f>
        <v/>
      </c>
      <c r="I2834" s="70" t="str">
        <f aca="false">IF($E2834="","",N(INDEX(成本费用登记表!$Q$4:$Y$303,242,6)))</f>
        <v/>
      </c>
      <c r="J2834" s="67" t="str">
        <f aca="false">IF($E2834="","",INDEX(成本费用登记表!$C$4:$C$303,242))</f>
        <v/>
      </c>
      <c r="K2834" s="67" t="str">
        <f aca="false">IF($E2834="","",INDEX(成本费用登记表!$D$4:$D$303,242))</f>
        <v/>
      </c>
      <c r="L2834" s="107" t="str">
        <f aca="false">IF($E2834="","",INDEX(成本费用登记表!$N$4:$N$303,242))</f>
        <v/>
      </c>
      <c r="M2834" s="107"/>
      <c r="N2834" s="67" t="str">
        <f aca="false">IF($E2834="","","系统")</f>
        <v/>
      </c>
      <c r="O2834" s="67" t="str">
        <f aca="false">IF($E2834="","","自动C")</f>
        <v/>
      </c>
      <c r="P2834" s="18"/>
    </row>
    <row r="2835" customFormat="false" ht="18" hidden="false" customHeight="true" outlineLevel="0" collapsed="false">
      <c r="A2835" s="107" t="str">
        <f aca="false">IF($E2835="","",ROW()-3)</f>
        <v/>
      </c>
      <c r="B2835" s="110" t="str">
        <f aca="false">IF($E2835="","",INDEX(成本费用登记表!$B$4:$B$303,242))</f>
        <v/>
      </c>
      <c r="C2835" s="67" t="str">
        <f aca="false">IF($E2835="","","记-"&amp;TEXT($B2835,"YYYYMM")&amp;"-费用")</f>
        <v/>
      </c>
      <c r="D2835" s="107" t="str">
        <f aca="false">IF($E2835="","",INDEX(成本费用登记表!$E$4:$E$303,242))</f>
        <v/>
      </c>
      <c r="E2835" s="67" t="str">
        <f aca="false">IF(INDEX(成本费用登记表!$Q$4:$Y$303,242,7)=0,"",INDEX(成本费用登记表!$Q$4:$Y$303,242,7))</f>
        <v/>
      </c>
      <c r="F2835" s="99" t="str">
        <f aca="false">IF($E2835="","",IFERROR(INDEX(科目表!$A$4:$A$81,MATCH($E2835,科目表!$B$4:$B$81,0)),""))</f>
        <v/>
      </c>
      <c r="G2835" s="67" t="str">
        <f aca="false">IF($E2835="","",IFERROR(INDEX(科目表!$E$4:$E$81,MATCH($E2835,科目表!$B$4:$B$81,0)),""))</f>
        <v/>
      </c>
      <c r="H2835" s="70" t="str">
        <f aca="false">IF($E2835="","",N(INDEX(成本费用登记表!$Q$4:$Y$303,242,8)))</f>
        <v/>
      </c>
      <c r="I2835" s="70" t="str">
        <f aca="false">IF($E2835="","",N(INDEX(成本费用登记表!$Q$4:$Y$303,242,9)))</f>
        <v/>
      </c>
      <c r="J2835" s="67" t="str">
        <f aca="false">IF($E2835="","",INDEX(成本费用登记表!$C$4:$C$303,242))</f>
        <v/>
      </c>
      <c r="K2835" s="67" t="str">
        <f aca="false">IF($E2835="","",INDEX(成本费用登记表!$D$4:$D$303,242))</f>
        <v/>
      </c>
      <c r="L2835" s="107" t="str">
        <f aca="false">IF($E2835="","",INDEX(成本费用登记表!$N$4:$N$303,242))</f>
        <v/>
      </c>
      <c r="M2835" s="107"/>
      <c r="N2835" s="67" t="str">
        <f aca="false">IF($E2835="","","系统")</f>
        <v/>
      </c>
      <c r="O2835" s="67" t="str">
        <f aca="false">IF($E2835="","","自动C")</f>
        <v/>
      </c>
      <c r="P2835" s="18"/>
    </row>
    <row r="2836" customFormat="false" ht="18" hidden="false" customHeight="true" outlineLevel="0" collapsed="false">
      <c r="A2836" s="107" t="str">
        <f aca="false">IF($E2836="","",ROW()-3)</f>
        <v/>
      </c>
      <c r="B2836" s="110" t="str">
        <f aca="false">IF($E2836="","",INDEX(成本费用登记表!$B$4:$B$303,243))</f>
        <v/>
      </c>
      <c r="C2836" s="67" t="str">
        <f aca="false">IF($E2836="","","记-"&amp;TEXT($B2836,"YYYYMM")&amp;"-费用")</f>
        <v/>
      </c>
      <c r="D2836" s="107" t="str">
        <f aca="false">IF($E2836="","",INDEX(成本费用登记表!$E$4:$E$303,243))</f>
        <v/>
      </c>
      <c r="E2836" s="67" t="str">
        <f aca="false">IF(INDEX(成本费用登记表!$Q$4:$Y$303,243,1)=0,"",INDEX(成本费用登记表!$Q$4:$Y$303,243,1))</f>
        <v/>
      </c>
      <c r="F2836" s="99" t="str">
        <f aca="false">IF($E2836="","",IFERROR(INDEX(科目表!$A$4:$A$81,MATCH($E2836,科目表!$B$4:$B$81,0)),""))</f>
        <v/>
      </c>
      <c r="G2836" s="67" t="str">
        <f aca="false">IF($E2836="","",IFERROR(INDEX(科目表!$E$4:$E$81,MATCH($E2836,科目表!$B$4:$B$81,0)),""))</f>
        <v/>
      </c>
      <c r="H2836" s="70" t="str">
        <f aca="false">IF($E2836="","",N(INDEX(成本费用登记表!$Q$4:$Y$303,243,2)))</f>
        <v/>
      </c>
      <c r="I2836" s="70" t="str">
        <f aca="false">IF($E2836="","",N(INDEX(成本费用登记表!$Q$4:$Y$303,243,3)))</f>
        <v/>
      </c>
      <c r="J2836" s="67" t="str">
        <f aca="false">IF($E2836="","",INDEX(成本费用登记表!$C$4:$C$303,243))</f>
        <v/>
      </c>
      <c r="K2836" s="67" t="str">
        <f aca="false">IF($E2836="","",INDEX(成本费用登记表!$D$4:$D$303,243))</f>
        <v/>
      </c>
      <c r="L2836" s="107" t="str">
        <f aca="false">IF($E2836="","",INDEX(成本费用登记表!$N$4:$N$303,243))</f>
        <v/>
      </c>
      <c r="M2836" s="107"/>
      <c r="N2836" s="67" t="str">
        <f aca="false">IF($E2836="","","系统")</f>
        <v/>
      </c>
      <c r="O2836" s="67" t="str">
        <f aca="false">IF($E2836="","","自动C")</f>
        <v/>
      </c>
      <c r="P2836" s="18"/>
    </row>
    <row r="2837" customFormat="false" ht="18" hidden="false" customHeight="true" outlineLevel="0" collapsed="false">
      <c r="A2837" s="107" t="str">
        <f aca="false">IF($E2837="","",ROW()-3)</f>
        <v/>
      </c>
      <c r="B2837" s="110" t="str">
        <f aca="false">IF($E2837="","",INDEX(成本费用登记表!$B$4:$B$303,243))</f>
        <v/>
      </c>
      <c r="C2837" s="67" t="str">
        <f aca="false">IF($E2837="","","记-"&amp;TEXT($B2837,"YYYYMM")&amp;"-费用")</f>
        <v/>
      </c>
      <c r="D2837" s="107" t="str">
        <f aca="false">IF($E2837="","",INDEX(成本费用登记表!$E$4:$E$303,243))</f>
        <v/>
      </c>
      <c r="E2837" s="67" t="str">
        <f aca="false">IF(INDEX(成本费用登记表!$Q$4:$Y$303,243,4)=0,"",INDEX(成本费用登记表!$Q$4:$Y$303,243,4))</f>
        <v/>
      </c>
      <c r="F2837" s="99" t="str">
        <f aca="false">IF($E2837="","",IFERROR(INDEX(科目表!$A$4:$A$81,MATCH($E2837,科目表!$B$4:$B$81,0)),""))</f>
        <v/>
      </c>
      <c r="G2837" s="67" t="str">
        <f aca="false">IF($E2837="","",IFERROR(INDEX(科目表!$E$4:$E$81,MATCH($E2837,科目表!$B$4:$B$81,0)),""))</f>
        <v/>
      </c>
      <c r="H2837" s="70" t="str">
        <f aca="false">IF($E2837="","",N(INDEX(成本费用登记表!$Q$4:$Y$303,243,5)))</f>
        <v/>
      </c>
      <c r="I2837" s="70" t="str">
        <f aca="false">IF($E2837="","",N(INDEX(成本费用登记表!$Q$4:$Y$303,243,6)))</f>
        <v/>
      </c>
      <c r="J2837" s="67" t="str">
        <f aca="false">IF($E2837="","",INDEX(成本费用登记表!$C$4:$C$303,243))</f>
        <v/>
      </c>
      <c r="K2837" s="67" t="str">
        <f aca="false">IF($E2837="","",INDEX(成本费用登记表!$D$4:$D$303,243))</f>
        <v/>
      </c>
      <c r="L2837" s="107" t="str">
        <f aca="false">IF($E2837="","",INDEX(成本费用登记表!$N$4:$N$303,243))</f>
        <v/>
      </c>
      <c r="M2837" s="107"/>
      <c r="N2837" s="67" t="str">
        <f aca="false">IF($E2837="","","系统")</f>
        <v/>
      </c>
      <c r="O2837" s="67" t="str">
        <f aca="false">IF($E2837="","","自动C")</f>
        <v/>
      </c>
      <c r="P2837" s="18"/>
    </row>
    <row r="2838" customFormat="false" ht="18" hidden="false" customHeight="true" outlineLevel="0" collapsed="false">
      <c r="A2838" s="107" t="str">
        <f aca="false">IF($E2838="","",ROW()-3)</f>
        <v/>
      </c>
      <c r="B2838" s="110" t="str">
        <f aca="false">IF($E2838="","",INDEX(成本费用登记表!$B$4:$B$303,243))</f>
        <v/>
      </c>
      <c r="C2838" s="67" t="str">
        <f aca="false">IF($E2838="","","记-"&amp;TEXT($B2838,"YYYYMM")&amp;"-费用")</f>
        <v/>
      </c>
      <c r="D2838" s="107" t="str">
        <f aca="false">IF($E2838="","",INDEX(成本费用登记表!$E$4:$E$303,243))</f>
        <v/>
      </c>
      <c r="E2838" s="67" t="str">
        <f aca="false">IF(INDEX(成本费用登记表!$Q$4:$Y$303,243,7)=0,"",INDEX(成本费用登记表!$Q$4:$Y$303,243,7))</f>
        <v/>
      </c>
      <c r="F2838" s="99" t="str">
        <f aca="false">IF($E2838="","",IFERROR(INDEX(科目表!$A$4:$A$81,MATCH($E2838,科目表!$B$4:$B$81,0)),""))</f>
        <v/>
      </c>
      <c r="G2838" s="67" t="str">
        <f aca="false">IF($E2838="","",IFERROR(INDEX(科目表!$E$4:$E$81,MATCH($E2838,科目表!$B$4:$B$81,0)),""))</f>
        <v/>
      </c>
      <c r="H2838" s="70" t="str">
        <f aca="false">IF($E2838="","",N(INDEX(成本费用登记表!$Q$4:$Y$303,243,8)))</f>
        <v/>
      </c>
      <c r="I2838" s="70" t="str">
        <f aca="false">IF($E2838="","",N(INDEX(成本费用登记表!$Q$4:$Y$303,243,9)))</f>
        <v/>
      </c>
      <c r="J2838" s="67" t="str">
        <f aca="false">IF($E2838="","",INDEX(成本费用登记表!$C$4:$C$303,243))</f>
        <v/>
      </c>
      <c r="K2838" s="67" t="str">
        <f aca="false">IF($E2838="","",INDEX(成本费用登记表!$D$4:$D$303,243))</f>
        <v/>
      </c>
      <c r="L2838" s="107" t="str">
        <f aca="false">IF($E2838="","",INDEX(成本费用登记表!$N$4:$N$303,243))</f>
        <v/>
      </c>
      <c r="M2838" s="107"/>
      <c r="N2838" s="67" t="str">
        <f aca="false">IF($E2838="","","系统")</f>
        <v/>
      </c>
      <c r="O2838" s="67" t="str">
        <f aca="false">IF($E2838="","","自动C")</f>
        <v/>
      </c>
      <c r="P2838" s="18"/>
    </row>
    <row r="2839" customFormat="false" ht="18" hidden="false" customHeight="true" outlineLevel="0" collapsed="false">
      <c r="A2839" s="107" t="str">
        <f aca="false">IF($E2839="","",ROW()-3)</f>
        <v/>
      </c>
      <c r="B2839" s="110" t="str">
        <f aca="false">IF($E2839="","",INDEX(成本费用登记表!$B$4:$B$303,244))</f>
        <v/>
      </c>
      <c r="C2839" s="67" t="str">
        <f aca="false">IF($E2839="","","记-"&amp;TEXT($B2839,"YYYYMM")&amp;"-费用")</f>
        <v/>
      </c>
      <c r="D2839" s="107" t="str">
        <f aca="false">IF($E2839="","",INDEX(成本费用登记表!$E$4:$E$303,244))</f>
        <v/>
      </c>
      <c r="E2839" s="67" t="str">
        <f aca="false">IF(INDEX(成本费用登记表!$Q$4:$Y$303,244,1)=0,"",INDEX(成本费用登记表!$Q$4:$Y$303,244,1))</f>
        <v/>
      </c>
      <c r="F2839" s="99" t="str">
        <f aca="false">IF($E2839="","",IFERROR(INDEX(科目表!$A$4:$A$81,MATCH($E2839,科目表!$B$4:$B$81,0)),""))</f>
        <v/>
      </c>
      <c r="G2839" s="67" t="str">
        <f aca="false">IF($E2839="","",IFERROR(INDEX(科目表!$E$4:$E$81,MATCH($E2839,科目表!$B$4:$B$81,0)),""))</f>
        <v/>
      </c>
      <c r="H2839" s="70" t="str">
        <f aca="false">IF($E2839="","",N(INDEX(成本费用登记表!$Q$4:$Y$303,244,2)))</f>
        <v/>
      </c>
      <c r="I2839" s="70" t="str">
        <f aca="false">IF($E2839="","",N(INDEX(成本费用登记表!$Q$4:$Y$303,244,3)))</f>
        <v/>
      </c>
      <c r="J2839" s="67" t="str">
        <f aca="false">IF($E2839="","",INDEX(成本费用登记表!$C$4:$C$303,244))</f>
        <v/>
      </c>
      <c r="K2839" s="67" t="str">
        <f aca="false">IF($E2839="","",INDEX(成本费用登记表!$D$4:$D$303,244))</f>
        <v/>
      </c>
      <c r="L2839" s="107" t="str">
        <f aca="false">IF($E2839="","",INDEX(成本费用登记表!$N$4:$N$303,244))</f>
        <v/>
      </c>
      <c r="M2839" s="107"/>
      <c r="N2839" s="67" t="str">
        <f aca="false">IF($E2839="","","系统")</f>
        <v/>
      </c>
      <c r="O2839" s="67" t="str">
        <f aca="false">IF($E2839="","","自动C")</f>
        <v/>
      </c>
      <c r="P2839" s="18"/>
    </row>
    <row r="2840" customFormat="false" ht="18" hidden="false" customHeight="true" outlineLevel="0" collapsed="false">
      <c r="A2840" s="107" t="str">
        <f aca="false">IF($E2840="","",ROW()-3)</f>
        <v/>
      </c>
      <c r="B2840" s="110" t="str">
        <f aca="false">IF($E2840="","",INDEX(成本费用登记表!$B$4:$B$303,244))</f>
        <v/>
      </c>
      <c r="C2840" s="67" t="str">
        <f aca="false">IF($E2840="","","记-"&amp;TEXT($B2840,"YYYYMM")&amp;"-费用")</f>
        <v/>
      </c>
      <c r="D2840" s="107" t="str">
        <f aca="false">IF($E2840="","",INDEX(成本费用登记表!$E$4:$E$303,244))</f>
        <v/>
      </c>
      <c r="E2840" s="67" t="str">
        <f aca="false">IF(INDEX(成本费用登记表!$Q$4:$Y$303,244,4)=0,"",INDEX(成本费用登记表!$Q$4:$Y$303,244,4))</f>
        <v/>
      </c>
      <c r="F2840" s="99" t="str">
        <f aca="false">IF($E2840="","",IFERROR(INDEX(科目表!$A$4:$A$81,MATCH($E2840,科目表!$B$4:$B$81,0)),""))</f>
        <v/>
      </c>
      <c r="G2840" s="67" t="str">
        <f aca="false">IF($E2840="","",IFERROR(INDEX(科目表!$E$4:$E$81,MATCH($E2840,科目表!$B$4:$B$81,0)),""))</f>
        <v/>
      </c>
      <c r="H2840" s="70" t="str">
        <f aca="false">IF($E2840="","",N(INDEX(成本费用登记表!$Q$4:$Y$303,244,5)))</f>
        <v/>
      </c>
      <c r="I2840" s="70" t="str">
        <f aca="false">IF($E2840="","",N(INDEX(成本费用登记表!$Q$4:$Y$303,244,6)))</f>
        <v/>
      </c>
      <c r="J2840" s="67" t="str">
        <f aca="false">IF($E2840="","",INDEX(成本费用登记表!$C$4:$C$303,244))</f>
        <v/>
      </c>
      <c r="K2840" s="67" t="str">
        <f aca="false">IF($E2840="","",INDEX(成本费用登记表!$D$4:$D$303,244))</f>
        <v/>
      </c>
      <c r="L2840" s="107" t="str">
        <f aca="false">IF($E2840="","",INDEX(成本费用登记表!$N$4:$N$303,244))</f>
        <v/>
      </c>
      <c r="M2840" s="107"/>
      <c r="N2840" s="67" t="str">
        <f aca="false">IF($E2840="","","系统")</f>
        <v/>
      </c>
      <c r="O2840" s="67" t="str">
        <f aca="false">IF($E2840="","","自动C")</f>
        <v/>
      </c>
      <c r="P2840" s="18"/>
    </row>
    <row r="2841" customFormat="false" ht="18" hidden="false" customHeight="true" outlineLevel="0" collapsed="false">
      <c r="A2841" s="107" t="str">
        <f aca="false">IF($E2841="","",ROW()-3)</f>
        <v/>
      </c>
      <c r="B2841" s="110" t="str">
        <f aca="false">IF($E2841="","",INDEX(成本费用登记表!$B$4:$B$303,244))</f>
        <v/>
      </c>
      <c r="C2841" s="67" t="str">
        <f aca="false">IF($E2841="","","记-"&amp;TEXT($B2841,"YYYYMM")&amp;"-费用")</f>
        <v/>
      </c>
      <c r="D2841" s="107" t="str">
        <f aca="false">IF($E2841="","",INDEX(成本费用登记表!$E$4:$E$303,244))</f>
        <v/>
      </c>
      <c r="E2841" s="67" t="str">
        <f aca="false">IF(INDEX(成本费用登记表!$Q$4:$Y$303,244,7)=0,"",INDEX(成本费用登记表!$Q$4:$Y$303,244,7))</f>
        <v/>
      </c>
      <c r="F2841" s="99" t="str">
        <f aca="false">IF($E2841="","",IFERROR(INDEX(科目表!$A$4:$A$81,MATCH($E2841,科目表!$B$4:$B$81,0)),""))</f>
        <v/>
      </c>
      <c r="G2841" s="67" t="str">
        <f aca="false">IF($E2841="","",IFERROR(INDEX(科目表!$E$4:$E$81,MATCH($E2841,科目表!$B$4:$B$81,0)),""))</f>
        <v/>
      </c>
      <c r="H2841" s="70" t="str">
        <f aca="false">IF($E2841="","",N(INDEX(成本费用登记表!$Q$4:$Y$303,244,8)))</f>
        <v/>
      </c>
      <c r="I2841" s="70" t="str">
        <f aca="false">IF($E2841="","",N(INDEX(成本费用登记表!$Q$4:$Y$303,244,9)))</f>
        <v/>
      </c>
      <c r="J2841" s="67" t="str">
        <f aca="false">IF($E2841="","",INDEX(成本费用登记表!$C$4:$C$303,244))</f>
        <v/>
      </c>
      <c r="K2841" s="67" t="str">
        <f aca="false">IF($E2841="","",INDEX(成本费用登记表!$D$4:$D$303,244))</f>
        <v/>
      </c>
      <c r="L2841" s="107" t="str">
        <f aca="false">IF($E2841="","",INDEX(成本费用登记表!$N$4:$N$303,244))</f>
        <v/>
      </c>
      <c r="M2841" s="107"/>
      <c r="N2841" s="67" t="str">
        <f aca="false">IF($E2841="","","系统")</f>
        <v/>
      </c>
      <c r="O2841" s="67" t="str">
        <f aca="false">IF($E2841="","","自动C")</f>
        <v/>
      </c>
      <c r="P2841" s="18"/>
    </row>
    <row r="2842" customFormat="false" ht="18" hidden="false" customHeight="true" outlineLevel="0" collapsed="false">
      <c r="A2842" s="107" t="str">
        <f aca="false">IF($E2842="","",ROW()-3)</f>
        <v/>
      </c>
      <c r="B2842" s="110" t="str">
        <f aca="false">IF($E2842="","",INDEX(成本费用登记表!$B$4:$B$303,245))</f>
        <v/>
      </c>
      <c r="C2842" s="67" t="str">
        <f aca="false">IF($E2842="","","记-"&amp;TEXT($B2842,"YYYYMM")&amp;"-费用")</f>
        <v/>
      </c>
      <c r="D2842" s="107" t="str">
        <f aca="false">IF($E2842="","",INDEX(成本费用登记表!$E$4:$E$303,245))</f>
        <v/>
      </c>
      <c r="E2842" s="67" t="str">
        <f aca="false">IF(INDEX(成本费用登记表!$Q$4:$Y$303,245,1)=0,"",INDEX(成本费用登记表!$Q$4:$Y$303,245,1))</f>
        <v/>
      </c>
      <c r="F2842" s="99" t="str">
        <f aca="false">IF($E2842="","",IFERROR(INDEX(科目表!$A$4:$A$81,MATCH($E2842,科目表!$B$4:$B$81,0)),""))</f>
        <v/>
      </c>
      <c r="G2842" s="67" t="str">
        <f aca="false">IF($E2842="","",IFERROR(INDEX(科目表!$E$4:$E$81,MATCH($E2842,科目表!$B$4:$B$81,0)),""))</f>
        <v/>
      </c>
      <c r="H2842" s="70" t="str">
        <f aca="false">IF($E2842="","",N(INDEX(成本费用登记表!$Q$4:$Y$303,245,2)))</f>
        <v/>
      </c>
      <c r="I2842" s="70" t="str">
        <f aca="false">IF($E2842="","",N(INDEX(成本费用登记表!$Q$4:$Y$303,245,3)))</f>
        <v/>
      </c>
      <c r="J2842" s="67" t="str">
        <f aca="false">IF($E2842="","",INDEX(成本费用登记表!$C$4:$C$303,245))</f>
        <v/>
      </c>
      <c r="K2842" s="67" t="str">
        <f aca="false">IF($E2842="","",INDEX(成本费用登记表!$D$4:$D$303,245))</f>
        <v/>
      </c>
      <c r="L2842" s="107" t="str">
        <f aca="false">IF($E2842="","",INDEX(成本费用登记表!$N$4:$N$303,245))</f>
        <v/>
      </c>
      <c r="M2842" s="107"/>
      <c r="N2842" s="67" t="str">
        <f aca="false">IF($E2842="","","系统")</f>
        <v/>
      </c>
      <c r="O2842" s="67" t="str">
        <f aca="false">IF($E2842="","","自动C")</f>
        <v/>
      </c>
      <c r="P2842" s="18"/>
    </row>
    <row r="2843" customFormat="false" ht="18" hidden="false" customHeight="true" outlineLevel="0" collapsed="false">
      <c r="A2843" s="107" t="str">
        <f aca="false">IF($E2843="","",ROW()-3)</f>
        <v/>
      </c>
      <c r="B2843" s="110" t="str">
        <f aca="false">IF($E2843="","",INDEX(成本费用登记表!$B$4:$B$303,245))</f>
        <v/>
      </c>
      <c r="C2843" s="67" t="str">
        <f aca="false">IF($E2843="","","记-"&amp;TEXT($B2843,"YYYYMM")&amp;"-费用")</f>
        <v/>
      </c>
      <c r="D2843" s="107" t="str">
        <f aca="false">IF($E2843="","",INDEX(成本费用登记表!$E$4:$E$303,245))</f>
        <v/>
      </c>
      <c r="E2843" s="67" t="str">
        <f aca="false">IF(INDEX(成本费用登记表!$Q$4:$Y$303,245,4)=0,"",INDEX(成本费用登记表!$Q$4:$Y$303,245,4))</f>
        <v/>
      </c>
      <c r="F2843" s="99" t="str">
        <f aca="false">IF($E2843="","",IFERROR(INDEX(科目表!$A$4:$A$81,MATCH($E2843,科目表!$B$4:$B$81,0)),""))</f>
        <v/>
      </c>
      <c r="G2843" s="67" t="str">
        <f aca="false">IF($E2843="","",IFERROR(INDEX(科目表!$E$4:$E$81,MATCH($E2843,科目表!$B$4:$B$81,0)),""))</f>
        <v/>
      </c>
      <c r="H2843" s="70" t="str">
        <f aca="false">IF($E2843="","",N(INDEX(成本费用登记表!$Q$4:$Y$303,245,5)))</f>
        <v/>
      </c>
      <c r="I2843" s="70" t="str">
        <f aca="false">IF($E2843="","",N(INDEX(成本费用登记表!$Q$4:$Y$303,245,6)))</f>
        <v/>
      </c>
      <c r="J2843" s="67" t="str">
        <f aca="false">IF($E2843="","",INDEX(成本费用登记表!$C$4:$C$303,245))</f>
        <v/>
      </c>
      <c r="K2843" s="67" t="str">
        <f aca="false">IF($E2843="","",INDEX(成本费用登记表!$D$4:$D$303,245))</f>
        <v/>
      </c>
      <c r="L2843" s="107" t="str">
        <f aca="false">IF($E2843="","",INDEX(成本费用登记表!$N$4:$N$303,245))</f>
        <v/>
      </c>
      <c r="M2843" s="107"/>
      <c r="N2843" s="67" t="str">
        <f aca="false">IF($E2843="","","系统")</f>
        <v/>
      </c>
      <c r="O2843" s="67" t="str">
        <f aca="false">IF($E2843="","","自动C")</f>
        <v/>
      </c>
      <c r="P2843" s="18"/>
    </row>
    <row r="2844" customFormat="false" ht="18" hidden="false" customHeight="true" outlineLevel="0" collapsed="false">
      <c r="A2844" s="107" t="str">
        <f aca="false">IF($E2844="","",ROW()-3)</f>
        <v/>
      </c>
      <c r="B2844" s="110" t="str">
        <f aca="false">IF($E2844="","",INDEX(成本费用登记表!$B$4:$B$303,245))</f>
        <v/>
      </c>
      <c r="C2844" s="67" t="str">
        <f aca="false">IF($E2844="","","记-"&amp;TEXT($B2844,"YYYYMM")&amp;"-费用")</f>
        <v/>
      </c>
      <c r="D2844" s="107" t="str">
        <f aca="false">IF($E2844="","",INDEX(成本费用登记表!$E$4:$E$303,245))</f>
        <v/>
      </c>
      <c r="E2844" s="67" t="str">
        <f aca="false">IF(INDEX(成本费用登记表!$Q$4:$Y$303,245,7)=0,"",INDEX(成本费用登记表!$Q$4:$Y$303,245,7))</f>
        <v/>
      </c>
      <c r="F2844" s="99" t="str">
        <f aca="false">IF($E2844="","",IFERROR(INDEX(科目表!$A$4:$A$81,MATCH($E2844,科目表!$B$4:$B$81,0)),""))</f>
        <v/>
      </c>
      <c r="G2844" s="67" t="str">
        <f aca="false">IF($E2844="","",IFERROR(INDEX(科目表!$E$4:$E$81,MATCH($E2844,科目表!$B$4:$B$81,0)),""))</f>
        <v/>
      </c>
      <c r="H2844" s="70" t="str">
        <f aca="false">IF($E2844="","",N(INDEX(成本费用登记表!$Q$4:$Y$303,245,8)))</f>
        <v/>
      </c>
      <c r="I2844" s="70" t="str">
        <f aca="false">IF($E2844="","",N(INDEX(成本费用登记表!$Q$4:$Y$303,245,9)))</f>
        <v/>
      </c>
      <c r="J2844" s="67" t="str">
        <f aca="false">IF($E2844="","",INDEX(成本费用登记表!$C$4:$C$303,245))</f>
        <v/>
      </c>
      <c r="K2844" s="67" t="str">
        <f aca="false">IF($E2844="","",INDEX(成本费用登记表!$D$4:$D$303,245))</f>
        <v/>
      </c>
      <c r="L2844" s="107" t="str">
        <f aca="false">IF($E2844="","",INDEX(成本费用登记表!$N$4:$N$303,245))</f>
        <v/>
      </c>
      <c r="M2844" s="107"/>
      <c r="N2844" s="67" t="str">
        <f aca="false">IF($E2844="","","系统")</f>
        <v/>
      </c>
      <c r="O2844" s="67" t="str">
        <f aca="false">IF($E2844="","","自动C")</f>
        <v/>
      </c>
      <c r="P2844" s="18"/>
    </row>
    <row r="2845" customFormat="false" ht="18" hidden="false" customHeight="true" outlineLevel="0" collapsed="false">
      <c r="A2845" s="107" t="str">
        <f aca="false">IF($E2845="","",ROW()-3)</f>
        <v/>
      </c>
      <c r="B2845" s="110" t="str">
        <f aca="false">IF($E2845="","",INDEX(成本费用登记表!$B$4:$B$303,246))</f>
        <v/>
      </c>
      <c r="C2845" s="67" t="str">
        <f aca="false">IF($E2845="","","记-"&amp;TEXT($B2845,"YYYYMM")&amp;"-费用")</f>
        <v/>
      </c>
      <c r="D2845" s="107" t="str">
        <f aca="false">IF($E2845="","",INDEX(成本费用登记表!$E$4:$E$303,246))</f>
        <v/>
      </c>
      <c r="E2845" s="67" t="str">
        <f aca="false">IF(INDEX(成本费用登记表!$Q$4:$Y$303,246,1)=0,"",INDEX(成本费用登记表!$Q$4:$Y$303,246,1))</f>
        <v/>
      </c>
      <c r="F2845" s="99" t="str">
        <f aca="false">IF($E2845="","",IFERROR(INDEX(科目表!$A$4:$A$81,MATCH($E2845,科目表!$B$4:$B$81,0)),""))</f>
        <v/>
      </c>
      <c r="G2845" s="67" t="str">
        <f aca="false">IF($E2845="","",IFERROR(INDEX(科目表!$E$4:$E$81,MATCH($E2845,科目表!$B$4:$B$81,0)),""))</f>
        <v/>
      </c>
      <c r="H2845" s="70" t="str">
        <f aca="false">IF($E2845="","",N(INDEX(成本费用登记表!$Q$4:$Y$303,246,2)))</f>
        <v/>
      </c>
      <c r="I2845" s="70" t="str">
        <f aca="false">IF($E2845="","",N(INDEX(成本费用登记表!$Q$4:$Y$303,246,3)))</f>
        <v/>
      </c>
      <c r="J2845" s="67" t="str">
        <f aca="false">IF($E2845="","",INDEX(成本费用登记表!$C$4:$C$303,246))</f>
        <v/>
      </c>
      <c r="K2845" s="67" t="str">
        <f aca="false">IF($E2845="","",INDEX(成本费用登记表!$D$4:$D$303,246))</f>
        <v/>
      </c>
      <c r="L2845" s="107" t="str">
        <f aca="false">IF($E2845="","",INDEX(成本费用登记表!$N$4:$N$303,246))</f>
        <v/>
      </c>
      <c r="M2845" s="107"/>
      <c r="N2845" s="67" t="str">
        <f aca="false">IF($E2845="","","系统")</f>
        <v/>
      </c>
      <c r="O2845" s="67" t="str">
        <f aca="false">IF($E2845="","","自动C")</f>
        <v/>
      </c>
      <c r="P2845" s="18"/>
    </row>
    <row r="2846" customFormat="false" ht="18" hidden="false" customHeight="true" outlineLevel="0" collapsed="false">
      <c r="A2846" s="107" t="str">
        <f aca="false">IF($E2846="","",ROW()-3)</f>
        <v/>
      </c>
      <c r="B2846" s="110" t="str">
        <f aca="false">IF($E2846="","",INDEX(成本费用登记表!$B$4:$B$303,246))</f>
        <v/>
      </c>
      <c r="C2846" s="67" t="str">
        <f aca="false">IF($E2846="","","记-"&amp;TEXT($B2846,"YYYYMM")&amp;"-费用")</f>
        <v/>
      </c>
      <c r="D2846" s="107" t="str">
        <f aca="false">IF($E2846="","",INDEX(成本费用登记表!$E$4:$E$303,246))</f>
        <v/>
      </c>
      <c r="E2846" s="67" t="str">
        <f aca="false">IF(INDEX(成本费用登记表!$Q$4:$Y$303,246,4)=0,"",INDEX(成本费用登记表!$Q$4:$Y$303,246,4))</f>
        <v/>
      </c>
      <c r="F2846" s="99" t="str">
        <f aca="false">IF($E2846="","",IFERROR(INDEX(科目表!$A$4:$A$81,MATCH($E2846,科目表!$B$4:$B$81,0)),""))</f>
        <v/>
      </c>
      <c r="G2846" s="67" t="str">
        <f aca="false">IF($E2846="","",IFERROR(INDEX(科目表!$E$4:$E$81,MATCH($E2846,科目表!$B$4:$B$81,0)),""))</f>
        <v/>
      </c>
      <c r="H2846" s="70" t="str">
        <f aca="false">IF($E2846="","",N(INDEX(成本费用登记表!$Q$4:$Y$303,246,5)))</f>
        <v/>
      </c>
      <c r="I2846" s="70" t="str">
        <f aca="false">IF($E2846="","",N(INDEX(成本费用登记表!$Q$4:$Y$303,246,6)))</f>
        <v/>
      </c>
      <c r="J2846" s="67" t="str">
        <f aca="false">IF($E2846="","",INDEX(成本费用登记表!$C$4:$C$303,246))</f>
        <v/>
      </c>
      <c r="K2846" s="67" t="str">
        <f aca="false">IF($E2846="","",INDEX(成本费用登记表!$D$4:$D$303,246))</f>
        <v/>
      </c>
      <c r="L2846" s="107" t="str">
        <f aca="false">IF($E2846="","",INDEX(成本费用登记表!$N$4:$N$303,246))</f>
        <v/>
      </c>
      <c r="M2846" s="107"/>
      <c r="N2846" s="67" t="str">
        <f aca="false">IF($E2846="","","系统")</f>
        <v/>
      </c>
      <c r="O2846" s="67" t="str">
        <f aca="false">IF($E2846="","","自动C")</f>
        <v/>
      </c>
      <c r="P2846" s="18"/>
    </row>
    <row r="2847" customFormat="false" ht="18" hidden="false" customHeight="true" outlineLevel="0" collapsed="false">
      <c r="A2847" s="107" t="str">
        <f aca="false">IF($E2847="","",ROW()-3)</f>
        <v/>
      </c>
      <c r="B2847" s="110" t="str">
        <f aca="false">IF($E2847="","",INDEX(成本费用登记表!$B$4:$B$303,246))</f>
        <v/>
      </c>
      <c r="C2847" s="67" t="str">
        <f aca="false">IF($E2847="","","记-"&amp;TEXT($B2847,"YYYYMM")&amp;"-费用")</f>
        <v/>
      </c>
      <c r="D2847" s="107" t="str">
        <f aca="false">IF($E2847="","",INDEX(成本费用登记表!$E$4:$E$303,246))</f>
        <v/>
      </c>
      <c r="E2847" s="67" t="str">
        <f aca="false">IF(INDEX(成本费用登记表!$Q$4:$Y$303,246,7)=0,"",INDEX(成本费用登记表!$Q$4:$Y$303,246,7))</f>
        <v/>
      </c>
      <c r="F2847" s="99" t="str">
        <f aca="false">IF($E2847="","",IFERROR(INDEX(科目表!$A$4:$A$81,MATCH($E2847,科目表!$B$4:$B$81,0)),""))</f>
        <v/>
      </c>
      <c r="G2847" s="67" t="str">
        <f aca="false">IF($E2847="","",IFERROR(INDEX(科目表!$E$4:$E$81,MATCH($E2847,科目表!$B$4:$B$81,0)),""))</f>
        <v/>
      </c>
      <c r="H2847" s="70" t="str">
        <f aca="false">IF($E2847="","",N(INDEX(成本费用登记表!$Q$4:$Y$303,246,8)))</f>
        <v/>
      </c>
      <c r="I2847" s="70" t="str">
        <f aca="false">IF($E2847="","",N(INDEX(成本费用登记表!$Q$4:$Y$303,246,9)))</f>
        <v/>
      </c>
      <c r="J2847" s="67" t="str">
        <f aca="false">IF($E2847="","",INDEX(成本费用登记表!$C$4:$C$303,246))</f>
        <v/>
      </c>
      <c r="K2847" s="67" t="str">
        <f aca="false">IF($E2847="","",INDEX(成本费用登记表!$D$4:$D$303,246))</f>
        <v/>
      </c>
      <c r="L2847" s="107" t="str">
        <f aca="false">IF($E2847="","",INDEX(成本费用登记表!$N$4:$N$303,246))</f>
        <v/>
      </c>
      <c r="M2847" s="107"/>
      <c r="N2847" s="67" t="str">
        <f aca="false">IF($E2847="","","系统")</f>
        <v/>
      </c>
      <c r="O2847" s="67" t="str">
        <f aca="false">IF($E2847="","","自动C")</f>
        <v/>
      </c>
      <c r="P2847" s="18"/>
    </row>
    <row r="2848" customFormat="false" ht="18" hidden="false" customHeight="true" outlineLevel="0" collapsed="false">
      <c r="A2848" s="107" t="str">
        <f aca="false">IF($E2848="","",ROW()-3)</f>
        <v/>
      </c>
      <c r="B2848" s="110" t="str">
        <f aca="false">IF($E2848="","",INDEX(成本费用登记表!$B$4:$B$303,247))</f>
        <v/>
      </c>
      <c r="C2848" s="67" t="str">
        <f aca="false">IF($E2848="","","记-"&amp;TEXT($B2848,"YYYYMM")&amp;"-费用")</f>
        <v/>
      </c>
      <c r="D2848" s="107" t="str">
        <f aca="false">IF($E2848="","",INDEX(成本费用登记表!$E$4:$E$303,247))</f>
        <v/>
      </c>
      <c r="E2848" s="67" t="str">
        <f aca="false">IF(INDEX(成本费用登记表!$Q$4:$Y$303,247,1)=0,"",INDEX(成本费用登记表!$Q$4:$Y$303,247,1))</f>
        <v/>
      </c>
      <c r="F2848" s="99" t="str">
        <f aca="false">IF($E2848="","",IFERROR(INDEX(科目表!$A$4:$A$81,MATCH($E2848,科目表!$B$4:$B$81,0)),""))</f>
        <v/>
      </c>
      <c r="G2848" s="67" t="str">
        <f aca="false">IF($E2848="","",IFERROR(INDEX(科目表!$E$4:$E$81,MATCH($E2848,科目表!$B$4:$B$81,0)),""))</f>
        <v/>
      </c>
      <c r="H2848" s="70" t="str">
        <f aca="false">IF($E2848="","",N(INDEX(成本费用登记表!$Q$4:$Y$303,247,2)))</f>
        <v/>
      </c>
      <c r="I2848" s="70" t="str">
        <f aca="false">IF($E2848="","",N(INDEX(成本费用登记表!$Q$4:$Y$303,247,3)))</f>
        <v/>
      </c>
      <c r="J2848" s="67" t="str">
        <f aca="false">IF($E2848="","",INDEX(成本费用登记表!$C$4:$C$303,247))</f>
        <v/>
      </c>
      <c r="K2848" s="67" t="str">
        <f aca="false">IF($E2848="","",INDEX(成本费用登记表!$D$4:$D$303,247))</f>
        <v/>
      </c>
      <c r="L2848" s="107" t="str">
        <f aca="false">IF($E2848="","",INDEX(成本费用登记表!$N$4:$N$303,247))</f>
        <v/>
      </c>
      <c r="M2848" s="107"/>
      <c r="N2848" s="67" t="str">
        <f aca="false">IF($E2848="","","系统")</f>
        <v/>
      </c>
      <c r="O2848" s="67" t="str">
        <f aca="false">IF($E2848="","","自动C")</f>
        <v/>
      </c>
      <c r="P2848" s="18"/>
    </row>
    <row r="2849" customFormat="false" ht="18" hidden="false" customHeight="true" outlineLevel="0" collapsed="false">
      <c r="A2849" s="107" t="str">
        <f aca="false">IF($E2849="","",ROW()-3)</f>
        <v/>
      </c>
      <c r="B2849" s="110" t="str">
        <f aca="false">IF($E2849="","",INDEX(成本费用登记表!$B$4:$B$303,247))</f>
        <v/>
      </c>
      <c r="C2849" s="67" t="str">
        <f aca="false">IF($E2849="","","记-"&amp;TEXT($B2849,"YYYYMM")&amp;"-费用")</f>
        <v/>
      </c>
      <c r="D2849" s="107" t="str">
        <f aca="false">IF($E2849="","",INDEX(成本费用登记表!$E$4:$E$303,247))</f>
        <v/>
      </c>
      <c r="E2849" s="67" t="str">
        <f aca="false">IF(INDEX(成本费用登记表!$Q$4:$Y$303,247,4)=0,"",INDEX(成本费用登记表!$Q$4:$Y$303,247,4))</f>
        <v/>
      </c>
      <c r="F2849" s="99" t="str">
        <f aca="false">IF($E2849="","",IFERROR(INDEX(科目表!$A$4:$A$81,MATCH($E2849,科目表!$B$4:$B$81,0)),""))</f>
        <v/>
      </c>
      <c r="G2849" s="67" t="str">
        <f aca="false">IF($E2849="","",IFERROR(INDEX(科目表!$E$4:$E$81,MATCH($E2849,科目表!$B$4:$B$81,0)),""))</f>
        <v/>
      </c>
      <c r="H2849" s="70" t="str">
        <f aca="false">IF($E2849="","",N(INDEX(成本费用登记表!$Q$4:$Y$303,247,5)))</f>
        <v/>
      </c>
      <c r="I2849" s="70" t="str">
        <f aca="false">IF($E2849="","",N(INDEX(成本费用登记表!$Q$4:$Y$303,247,6)))</f>
        <v/>
      </c>
      <c r="J2849" s="67" t="str">
        <f aca="false">IF($E2849="","",INDEX(成本费用登记表!$C$4:$C$303,247))</f>
        <v/>
      </c>
      <c r="K2849" s="67" t="str">
        <f aca="false">IF($E2849="","",INDEX(成本费用登记表!$D$4:$D$303,247))</f>
        <v/>
      </c>
      <c r="L2849" s="107" t="str">
        <f aca="false">IF($E2849="","",INDEX(成本费用登记表!$N$4:$N$303,247))</f>
        <v/>
      </c>
      <c r="M2849" s="107"/>
      <c r="N2849" s="67" t="str">
        <f aca="false">IF($E2849="","","系统")</f>
        <v/>
      </c>
      <c r="O2849" s="67" t="str">
        <f aca="false">IF($E2849="","","自动C")</f>
        <v/>
      </c>
      <c r="P2849" s="18"/>
    </row>
    <row r="2850" customFormat="false" ht="18" hidden="false" customHeight="true" outlineLevel="0" collapsed="false">
      <c r="A2850" s="107" t="str">
        <f aca="false">IF($E2850="","",ROW()-3)</f>
        <v/>
      </c>
      <c r="B2850" s="110" t="str">
        <f aca="false">IF($E2850="","",INDEX(成本费用登记表!$B$4:$B$303,247))</f>
        <v/>
      </c>
      <c r="C2850" s="67" t="str">
        <f aca="false">IF($E2850="","","记-"&amp;TEXT($B2850,"YYYYMM")&amp;"-费用")</f>
        <v/>
      </c>
      <c r="D2850" s="107" t="str">
        <f aca="false">IF($E2850="","",INDEX(成本费用登记表!$E$4:$E$303,247))</f>
        <v/>
      </c>
      <c r="E2850" s="67" t="str">
        <f aca="false">IF(INDEX(成本费用登记表!$Q$4:$Y$303,247,7)=0,"",INDEX(成本费用登记表!$Q$4:$Y$303,247,7))</f>
        <v/>
      </c>
      <c r="F2850" s="99" t="str">
        <f aca="false">IF($E2850="","",IFERROR(INDEX(科目表!$A$4:$A$81,MATCH($E2850,科目表!$B$4:$B$81,0)),""))</f>
        <v/>
      </c>
      <c r="G2850" s="67" t="str">
        <f aca="false">IF($E2850="","",IFERROR(INDEX(科目表!$E$4:$E$81,MATCH($E2850,科目表!$B$4:$B$81,0)),""))</f>
        <v/>
      </c>
      <c r="H2850" s="70" t="str">
        <f aca="false">IF($E2850="","",N(INDEX(成本费用登记表!$Q$4:$Y$303,247,8)))</f>
        <v/>
      </c>
      <c r="I2850" s="70" t="str">
        <f aca="false">IF($E2850="","",N(INDEX(成本费用登记表!$Q$4:$Y$303,247,9)))</f>
        <v/>
      </c>
      <c r="J2850" s="67" t="str">
        <f aca="false">IF($E2850="","",INDEX(成本费用登记表!$C$4:$C$303,247))</f>
        <v/>
      </c>
      <c r="K2850" s="67" t="str">
        <f aca="false">IF($E2850="","",INDEX(成本费用登记表!$D$4:$D$303,247))</f>
        <v/>
      </c>
      <c r="L2850" s="107" t="str">
        <f aca="false">IF($E2850="","",INDEX(成本费用登记表!$N$4:$N$303,247))</f>
        <v/>
      </c>
      <c r="M2850" s="107"/>
      <c r="N2850" s="67" t="str">
        <f aca="false">IF($E2850="","","系统")</f>
        <v/>
      </c>
      <c r="O2850" s="67" t="str">
        <f aca="false">IF($E2850="","","自动C")</f>
        <v/>
      </c>
      <c r="P2850" s="18"/>
    </row>
    <row r="2851" customFormat="false" ht="18" hidden="false" customHeight="true" outlineLevel="0" collapsed="false">
      <c r="A2851" s="107" t="str">
        <f aca="false">IF($E2851="","",ROW()-3)</f>
        <v/>
      </c>
      <c r="B2851" s="110" t="str">
        <f aca="false">IF($E2851="","",INDEX(成本费用登记表!$B$4:$B$303,248))</f>
        <v/>
      </c>
      <c r="C2851" s="67" t="str">
        <f aca="false">IF($E2851="","","记-"&amp;TEXT($B2851,"YYYYMM")&amp;"-费用")</f>
        <v/>
      </c>
      <c r="D2851" s="107" t="str">
        <f aca="false">IF($E2851="","",INDEX(成本费用登记表!$E$4:$E$303,248))</f>
        <v/>
      </c>
      <c r="E2851" s="67" t="str">
        <f aca="false">IF(INDEX(成本费用登记表!$Q$4:$Y$303,248,1)=0,"",INDEX(成本费用登记表!$Q$4:$Y$303,248,1))</f>
        <v/>
      </c>
      <c r="F2851" s="99" t="str">
        <f aca="false">IF($E2851="","",IFERROR(INDEX(科目表!$A$4:$A$81,MATCH($E2851,科目表!$B$4:$B$81,0)),""))</f>
        <v/>
      </c>
      <c r="G2851" s="67" t="str">
        <f aca="false">IF($E2851="","",IFERROR(INDEX(科目表!$E$4:$E$81,MATCH($E2851,科目表!$B$4:$B$81,0)),""))</f>
        <v/>
      </c>
      <c r="H2851" s="70" t="str">
        <f aca="false">IF($E2851="","",N(INDEX(成本费用登记表!$Q$4:$Y$303,248,2)))</f>
        <v/>
      </c>
      <c r="I2851" s="70" t="str">
        <f aca="false">IF($E2851="","",N(INDEX(成本费用登记表!$Q$4:$Y$303,248,3)))</f>
        <v/>
      </c>
      <c r="J2851" s="67" t="str">
        <f aca="false">IF($E2851="","",INDEX(成本费用登记表!$C$4:$C$303,248))</f>
        <v/>
      </c>
      <c r="K2851" s="67" t="str">
        <f aca="false">IF($E2851="","",INDEX(成本费用登记表!$D$4:$D$303,248))</f>
        <v/>
      </c>
      <c r="L2851" s="107" t="str">
        <f aca="false">IF($E2851="","",INDEX(成本费用登记表!$N$4:$N$303,248))</f>
        <v/>
      </c>
      <c r="M2851" s="107"/>
      <c r="N2851" s="67" t="str">
        <f aca="false">IF($E2851="","","系统")</f>
        <v/>
      </c>
      <c r="O2851" s="67" t="str">
        <f aca="false">IF($E2851="","","自动C")</f>
        <v/>
      </c>
      <c r="P2851" s="18"/>
    </row>
    <row r="2852" customFormat="false" ht="18" hidden="false" customHeight="true" outlineLevel="0" collapsed="false">
      <c r="A2852" s="107" t="str">
        <f aca="false">IF($E2852="","",ROW()-3)</f>
        <v/>
      </c>
      <c r="B2852" s="110" t="str">
        <f aca="false">IF($E2852="","",INDEX(成本费用登记表!$B$4:$B$303,248))</f>
        <v/>
      </c>
      <c r="C2852" s="67" t="str">
        <f aca="false">IF($E2852="","","记-"&amp;TEXT($B2852,"YYYYMM")&amp;"-费用")</f>
        <v/>
      </c>
      <c r="D2852" s="107" t="str">
        <f aca="false">IF($E2852="","",INDEX(成本费用登记表!$E$4:$E$303,248))</f>
        <v/>
      </c>
      <c r="E2852" s="67" t="str">
        <f aca="false">IF(INDEX(成本费用登记表!$Q$4:$Y$303,248,4)=0,"",INDEX(成本费用登记表!$Q$4:$Y$303,248,4))</f>
        <v/>
      </c>
      <c r="F2852" s="99" t="str">
        <f aca="false">IF($E2852="","",IFERROR(INDEX(科目表!$A$4:$A$81,MATCH($E2852,科目表!$B$4:$B$81,0)),""))</f>
        <v/>
      </c>
      <c r="G2852" s="67" t="str">
        <f aca="false">IF($E2852="","",IFERROR(INDEX(科目表!$E$4:$E$81,MATCH($E2852,科目表!$B$4:$B$81,0)),""))</f>
        <v/>
      </c>
      <c r="H2852" s="70" t="str">
        <f aca="false">IF($E2852="","",N(INDEX(成本费用登记表!$Q$4:$Y$303,248,5)))</f>
        <v/>
      </c>
      <c r="I2852" s="70" t="str">
        <f aca="false">IF($E2852="","",N(INDEX(成本费用登记表!$Q$4:$Y$303,248,6)))</f>
        <v/>
      </c>
      <c r="J2852" s="67" t="str">
        <f aca="false">IF($E2852="","",INDEX(成本费用登记表!$C$4:$C$303,248))</f>
        <v/>
      </c>
      <c r="K2852" s="67" t="str">
        <f aca="false">IF($E2852="","",INDEX(成本费用登记表!$D$4:$D$303,248))</f>
        <v/>
      </c>
      <c r="L2852" s="107" t="str">
        <f aca="false">IF($E2852="","",INDEX(成本费用登记表!$N$4:$N$303,248))</f>
        <v/>
      </c>
      <c r="M2852" s="107"/>
      <c r="N2852" s="67" t="str">
        <f aca="false">IF($E2852="","","系统")</f>
        <v/>
      </c>
      <c r="O2852" s="67" t="str">
        <f aca="false">IF($E2852="","","自动C")</f>
        <v/>
      </c>
      <c r="P2852" s="18"/>
    </row>
    <row r="2853" customFormat="false" ht="18" hidden="false" customHeight="true" outlineLevel="0" collapsed="false">
      <c r="A2853" s="107" t="str">
        <f aca="false">IF($E2853="","",ROW()-3)</f>
        <v/>
      </c>
      <c r="B2853" s="110" t="str">
        <f aca="false">IF($E2853="","",INDEX(成本费用登记表!$B$4:$B$303,248))</f>
        <v/>
      </c>
      <c r="C2853" s="67" t="str">
        <f aca="false">IF($E2853="","","记-"&amp;TEXT($B2853,"YYYYMM")&amp;"-费用")</f>
        <v/>
      </c>
      <c r="D2853" s="107" t="str">
        <f aca="false">IF($E2853="","",INDEX(成本费用登记表!$E$4:$E$303,248))</f>
        <v/>
      </c>
      <c r="E2853" s="67" t="str">
        <f aca="false">IF(INDEX(成本费用登记表!$Q$4:$Y$303,248,7)=0,"",INDEX(成本费用登记表!$Q$4:$Y$303,248,7))</f>
        <v/>
      </c>
      <c r="F2853" s="99" t="str">
        <f aca="false">IF($E2853="","",IFERROR(INDEX(科目表!$A$4:$A$81,MATCH($E2853,科目表!$B$4:$B$81,0)),""))</f>
        <v/>
      </c>
      <c r="G2853" s="67" t="str">
        <f aca="false">IF($E2853="","",IFERROR(INDEX(科目表!$E$4:$E$81,MATCH($E2853,科目表!$B$4:$B$81,0)),""))</f>
        <v/>
      </c>
      <c r="H2853" s="70" t="str">
        <f aca="false">IF($E2853="","",N(INDEX(成本费用登记表!$Q$4:$Y$303,248,8)))</f>
        <v/>
      </c>
      <c r="I2853" s="70" t="str">
        <f aca="false">IF($E2853="","",N(INDEX(成本费用登记表!$Q$4:$Y$303,248,9)))</f>
        <v/>
      </c>
      <c r="J2853" s="67" t="str">
        <f aca="false">IF($E2853="","",INDEX(成本费用登记表!$C$4:$C$303,248))</f>
        <v/>
      </c>
      <c r="K2853" s="67" t="str">
        <f aca="false">IF($E2853="","",INDEX(成本费用登记表!$D$4:$D$303,248))</f>
        <v/>
      </c>
      <c r="L2853" s="107" t="str">
        <f aca="false">IF($E2853="","",INDEX(成本费用登记表!$N$4:$N$303,248))</f>
        <v/>
      </c>
      <c r="M2853" s="107"/>
      <c r="N2853" s="67" t="str">
        <f aca="false">IF($E2853="","","系统")</f>
        <v/>
      </c>
      <c r="O2853" s="67" t="str">
        <f aca="false">IF($E2853="","","自动C")</f>
        <v/>
      </c>
      <c r="P2853" s="18"/>
    </row>
    <row r="2854" customFormat="false" ht="18" hidden="false" customHeight="true" outlineLevel="0" collapsed="false">
      <c r="A2854" s="107" t="str">
        <f aca="false">IF($E2854="","",ROW()-3)</f>
        <v/>
      </c>
      <c r="B2854" s="110" t="str">
        <f aca="false">IF($E2854="","",INDEX(成本费用登记表!$B$4:$B$303,249))</f>
        <v/>
      </c>
      <c r="C2854" s="67" t="str">
        <f aca="false">IF($E2854="","","记-"&amp;TEXT($B2854,"YYYYMM")&amp;"-费用")</f>
        <v/>
      </c>
      <c r="D2854" s="107" t="str">
        <f aca="false">IF($E2854="","",INDEX(成本费用登记表!$E$4:$E$303,249))</f>
        <v/>
      </c>
      <c r="E2854" s="67" t="str">
        <f aca="false">IF(INDEX(成本费用登记表!$Q$4:$Y$303,249,1)=0,"",INDEX(成本费用登记表!$Q$4:$Y$303,249,1))</f>
        <v/>
      </c>
      <c r="F2854" s="99" t="str">
        <f aca="false">IF($E2854="","",IFERROR(INDEX(科目表!$A$4:$A$81,MATCH($E2854,科目表!$B$4:$B$81,0)),""))</f>
        <v/>
      </c>
      <c r="G2854" s="67" t="str">
        <f aca="false">IF($E2854="","",IFERROR(INDEX(科目表!$E$4:$E$81,MATCH($E2854,科目表!$B$4:$B$81,0)),""))</f>
        <v/>
      </c>
      <c r="H2854" s="70" t="str">
        <f aca="false">IF($E2854="","",N(INDEX(成本费用登记表!$Q$4:$Y$303,249,2)))</f>
        <v/>
      </c>
      <c r="I2854" s="70" t="str">
        <f aca="false">IF($E2854="","",N(INDEX(成本费用登记表!$Q$4:$Y$303,249,3)))</f>
        <v/>
      </c>
      <c r="J2854" s="67" t="str">
        <f aca="false">IF($E2854="","",INDEX(成本费用登记表!$C$4:$C$303,249))</f>
        <v/>
      </c>
      <c r="K2854" s="67" t="str">
        <f aca="false">IF($E2854="","",INDEX(成本费用登记表!$D$4:$D$303,249))</f>
        <v/>
      </c>
      <c r="L2854" s="107" t="str">
        <f aca="false">IF($E2854="","",INDEX(成本费用登记表!$N$4:$N$303,249))</f>
        <v/>
      </c>
      <c r="M2854" s="107"/>
      <c r="N2854" s="67" t="str">
        <f aca="false">IF($E2854="","","系统")</f>
        <v/>
      </c>
      <c r="O2854" s="67" t="str">
        <f aca="false">IF($E2854="","","自动C")</f>
        <v/>
      </c>
      <c r="P2854" s="18"/>
    </row>
    <row r="2855" customFormat="false" ht="18" hidden="false" customHeight="true" outlineLevel="0" collapsed="false">
      <c r="A2855" s="107" t="str">
        <f aca="false">IF($E2855="","",ROW()-3)</f>
        <v/>
      </c>
      <c r="B2855" s="110" t="str">
        <f aca="false">IF($E2855="","",INDEX(成本费用登记表!$B$4:$B$303,249))</f>
        <v/>
      </c>
      <c r="C2855" s="67" t="str">
        <f aca="false">IF($E2855="","","记-"&amp;TEXT($B2855,"YYYYMM")&amp;"-费用")</f>
        <v/>
      </c>
      <c r="D2855" s="107" t="str">
        <f aca="false">IF($E2855="","",INDEX(成本费用登记表!$E$4:$E$303,249))</f>
        <v/>
      </c>
      <c r="E2855" s="67" t="str">
        <f aca="false">IF(INDEX(成本费用登记表!$Q$4:$Y$303,249,4)=0,"",INDEX(成本费用登记表!$Q$4:$Y$303,249,4))</f>
        <v/>
      </c>
      <c r="F2855" s="99" t="str">
        <f aca="false">IF($E2855="","",IFERROR(INDEX(科目表!$A$4:$A$81,MATCH($E2855,科目表!$B$4:$B$81,0)),""))</f>
        <v/>
      </c>
      <c r="G2855" s="67" t="str">
        <f aca="false">IF($E2855="","",IFERROR(INDEX(科目表!$E$4:$E$81,MATCH($E2855,科目表!$B$4:$B$81,0)),""))</f>
        <v/>
      </c>
      <c r="H2855" s="70" t="str">
        <f aca="false">IF($E2855="","",N(INDEX(成本费用登记表!$Q$4:$Y$303,249,5)))</f>
        <v/>
      </c>
      <c r="I2855" s="70" t="str">
        <f aca="false">IF($E2855="","",N(INDEX(成本费用登记表!$Q$4:$Y$303,249,6)))</f>
        <v/>
      </c>
      <c r="J2855" s="67" t="str">
        <f aca="false">IF($E2855="","",INDEX(成本费用登记表!$C$4:$C$303,249))</f>
        <v/>
      </c>
      <c r="K2855" s="67" t="str">
        <f aca="false">IF($E2855="","",INDEX(成本费用登记表!$D$4:$D$303,249))</f>
        <v/>
      </c>
      <c r="L2855" s="107" t="str">
        <f aca="false">IF($E2855="","",INDEX(成本费用登记表!$N$4:$N$303,249))</f>
        <v/>
      </c>
      <c r="M2855" s="107"/>
      <c r="N2855" s="67" t="str">
        <f aca="false">IF($E2855="","","系统")</f>
        <v/>
      </c>
      <c r="O2855" s="67" t="str">
        <f aca="false">IF($E2855="","","自动C")</f>
        <v/>
      </c>
      <c r="P2855" s="18"/>
    </row>
    <row r="2856" customFormat="false" ht="18" hidden="false" customHeight="true" outlineLevel="0" collapsed="false">
      <c r="A2856" s="107" t="str">
        <f aca="false">IF($E2856="","",ROW()-3)</f>
        <v/>
      </c>
      <c r="B2856" s="110" t="str">
        <f aca="false">IF($E2856="","",INDEX(成本费用登记表!$B$4:$B$303,249))</f>
        <v/>
      </c>
      <c r="C2856" s="67" t="str">
        <f aca="false">IF($E2856="","","记-"&amp;TEXT($B2856,"YYYYMM")&amp;"-费用")</f>
        <v/>
      </c>
      <c r="D2856" s="107" t="str">
        <f aca="false">IF($E2856="","",INDEX(成本费用登记表!$E$4:$E$303,249))</f>
        <v/>
      </c>
      <c r="E2856" s="67" t="str">
        <f aca="false">IF(INDEX(成本费用登记表!$Q$4:$Y$303,249,7)=0,"",INDEX(成本费用登记表!$Q$4:$Y$303,249,7))</f>
        <v/>
      </c>
      <c r="F2856" s="99" t="str">
        <f aca="false">IF($E2856="","",IFERROR(INDEX(科目表!$A$4:$A$81,MATCH($E2856,科目表!$B$4:$B$81,0)),""))</f>
        <v/>
      </c>
      <c r="G2856" s="67" t="str">
        <f aca="false">IF($E2856="","",IFERROR(INDEX(科目表!$E$4:$E$81,MATCH($E2856,科目表!$B$4:$B$81,0)),""))</f>
        <v/>
      </c>
      <c r="H2856" s="70" t="str">
        <f aca="false">IF($E2856="","",N(INDEX(成本费用登记表!$Q$4:$Y$303,249,8)))</f>
        <v/>
      </c>
      <c r="I2856" s="70" t="str">
        <f aca="false">IF($E2856="","",N(INDEX(成本费用登记表!$Q$4:$Y$303,249,9)))</f>
        <v/>
      </c>
      <c r="J2856" s="67" t="str">
        <f aca="false">IF($E2856="","",INDEX(成本费用登记表!$C$4:$C$303,249))</f>
        <v/>
      </c>
      <c r="K2856" s="67" t="str">
        <f aca="false">IF($E2856="","",INDEX(成本费用登记表!$D$4:$D$303,249))</f>
        <v/>
      </c>
      <c r="L2856" s="107" t="str">
        <f aca="false">IF($E2856="","",INDEX(成本费用登记表!$N$4:$N$303,249))</f>
        <v/>
      </c>
      <c r="M2856" s="107"/>
      <c r="N2856" s="67" t="str">
        <f aca="false">IF($E2856="","","系统")</f>
        <v/>
      </c>
      <c r="O2856" s="67" t="str">
        <f aca="false">IF($E2856="","","自动C")</f>
        <v/>
      </c>
      <c r="P2856" s="18"/>
    </row>
    <row r="2857" customFormat="false" ht="18" hidden="false" customHeight="true" outlineLevel="0" collapsed="false">
      <c r="A2857" s="107" t="str">
        <f aca="false">IF($E2857="","",ROW()-3)</f>
        <v/>
      </c>
      <c r="B2857" s="110" t="str">
        <f aca="false">IF($E2857="","",INDEX(成本费用登记表!$B$4:$B$303,250))</f>
        <v/>
      </c>
      <c r="C2857" s="67" t="str">
        <f aca="false">IF($E2857="","","记-"&amp;TEXT($B2857,"YYYYMM")&amp;"-费用")</f>
        <v/>
      </c>
      <c r="D2857" s="107" t="str">
        <f aca="false">IF($E2857="","",INDEX(成本费用登记表!$E$4:$E$303,250))</f>
        <v/>
      </c>
      <c r="E2857" s="67" t="str">
        <f aca="false">IF(INDEX(成本费用登记表!$Q$4:$Y$303,250,1)=0,"",INDEX(成本费用登记表!$Q$4:$Y$303,250,1))</f>
        <v/>
      </c>
      <c r="F2857" s="99" t="str">
        <f aca="false">IF($E2857="","",IFERROR(INDEX(科目表!$A$4:$A$81,MATCH($E2857,科目表!$B$4:$B$81,0)),""))</f>
        <v/>
      </c>
      <c r="G2857" s="67" t="str">
        <f aca="false">IF($E2857="","",IFERROR(INDEX(科目表!$E$4:$E$81,MATCH($E2857,科目表!$B$4:$B$81,0)),""))</f>
        <v/>
      </c>
      <c r="H2857" s="70" t="str">
        <f aca="false">IF($E2857="","",N(INDEX(成本费用登记表!$Q$4:$Y$303,250,2)))</f>
        <v/>
      </c>
      <c r="I2857" s="70" t="str">
        <f aca="false">IF($E2857="","",N(INDEX(成本费用登记表!$Q$4:$Y$303,250,3)))</f>
        <v/>
      </c>
      <c r="J2857" s="67" t="str">
        <f aca="false">IF($E2857="","",INDEX(成本费用登记表!$C$4:$C$303,250))</f>
        <v/>
      </c>
      <c r="K2857" s="67" t="str">
        <f aca="false">IF($E2857="","",INDEX(成本费用登记表!$D$4:$D$303,250))</f>
        <v/>
      </c>
      <c r="L2857" s="107" t="str">
        <f aca="false">IF($E2857="","",INDEX(成本费用登记表!$N$4:$N$303,250))</f>
        <v/>
      </c>
      <c r="M2857" s="107"/>
      <c r="N2857" s="67" t="str">
        <f aca="false">IF($E2857="","","系统")</f>
        <v/>
      </c>
      <c r="O2857" s="67" t="str">
        <f aca="false">IF($E2857="","","自动C")</f>
        <v/>
      </c>
      <c r="P2857" s="18"/>
    </row>
    <row r="2858" customFormat="false" ht="18" hidden="false" customHeight="true" outlineLevel="0" collapsed="false">
      <c r="A2858" s="107" t="str">
        <f aca="false">IF($E2858="","",ROW()-3)</f>
        <v/>
      </c>
      <c r="B2858" s="110" t="str">
        <f aca="false">IF($E2858="","",INDEX(成本费用登记表!$B$4:$B$303,250))</f>
        <v/>
      </c>
      <c r="C2858" s="67" t="str">
        <f aca="false">IF($E2858="","","记-"&amp;TEXT($B2858,"YYYYMM")&amp;"-费用")</f>
        <v/>
      </c>
      <c r="D2858" s="107" t="str">
        <f aca="false">IF($E2858="","",INDEX(成本费用登记表!$E$4:$E$303,250))</f>
        <v/>
      </c>
      <c r="E2858" s="67" t="str">
        <f aca="false">IF(INDEX(成本费用登记表!$Q$4:$Y$303,250,4)=0,"",INDEX(成本费用登记表!$Q$4:$Y$303,250,4))</f>
        <v/>
      </c>
      <c r="F2858" s="99" t="str">
        <f aca="false">IF($E2858="","",IFERROR(INDEX(科目表!$A$4:$A$81,MATCH($E2858,科目表!$B$4:$B$81,0)),""))</f>
        <v/>
      </c>
      <c r="G2858" s="67" t="str">
        <f aca="false">IF($E2858="","",IFERROR(INDEX(科目表!$E$4:$E$81,MATCH($E2858,科目表!$B$4:$B$81,0)),""))</f>
        <v/>
      </c>
      <c r="H2858" s="70" t="str">
        <f aca="false">IF($E2858="","",N(INDEX(成本费用登记表!$Q$4:$Y$303,250,5)))</f>
        <v/>
      </c>
      <c r="I2858" s="70" t="str">
        <f aca="false">IF($E2858="","",N(INDEX(成本费用登记表!$Q$4:$Y$303,250,6)))</f>
        <v/>
      </c>
      <c r="J2858" s="67" t="str">
        <f aca="false">IF($E2858="","",INDEX(成本费用登记表!$C$4:$C$303,250))</f>
        <v/>
      </c>
      <c r="K2858" s="67" t="str">
        <f aca="false">IF($E2858="","",INDEX(成本费用登记表!$D$4:$D$303,250))</f>
        <v/>
      </c>
      <c r="L2858" s="107" t="str">
        <f aca="false">IF($E2858="","",INDEX(成本费用登记表!$N$4:$N$303,250))</f>
        <v/>
      </c>
      <c r="M2858" s="107"/>
      <c r="N2858" s="67" t="str">
        <f aca="false">IF($E2858="","","系统")</f>
        <v/>
      </c>
      <c r="O2858" s="67" t="str">
        <f aca="false">IF($E2858="","","自动C")</f>
        <v/>
      </c>
      <c r="P2858" s="18"/>
    </row>
    <row r="2859" customFormat="false" ht="18" hidden="false" customHeight="true" outlineLevel="0" collapsed="false">
      <c r="A2859" s="107" t="str">
        <f aca="false">IF($E2859="","",ROW()-3)</f>
        <v/>
      </c>
      <c r="B2859" s="110" t="str">
        <f aca="false">IF($E2859="","",INDEX(成本费用登记表!$B$4:$B$303,250))</f>
        <v/>
      </c>
      <c r="C2859" s="67" t="str">
        <f aca="false">IF($E2859="","","记-"&amp;TEXT($B2859,"YYYYMM")&amp;"-费用")</f>
        <v/>
      </c>
      <c r="D2859" s="107" t="str">
        <f aca="false">IF($E2859="","",INDEX(成本费用登记表!$E$4:$E$303,250))</f>
        <v/>
      </c>
      <c r="E2859" s="67" t="str">
        <f aca="false">IF(INDEX(成本费用登记表!$Q$4:$Y$303,250,7)=0,"",INDEX(成本费用登记表!$Q$4:$Y$303,250,7))</f>
        <v/>
      </c>
      <c r="F2859" s="99" t="str">
        <f aca="false">IF($E2859="","",IFERROR(INDEX(科目表!$A$4:$A$81,MATCH($E2859,科目表!$B$4:$B$81,0)),""))</f>
        <v/>
      </c>
      <c r="G2859" s="67" t="str">
        <f aca="false">IF($E2859="","",IFERROR(INDEX(科目表!$E$4:$E$81,MATCH($E2859,科目表!$B$4:$B$81,0)),""))</f>
        <v/>
      </c>
      <c r="H2859" s="70" t="str">
        <f aca="false">IF($E2859="","",N(INDEX(成本费用登记表!$Q$4:$Y$303,250,8)))</f>
        <v/>
      </c>
      <c r="I2859" s="70" t="str">
        <f aca="false">IF($E2859="","",N(INDEX(成本费用登记表!$Q$4:$Y$303,250,9)))</f>
        <v/>
      </c>
      <c r="J2859" s="67" t="str">
        <f aca="false">IF($E2859="","",INDEX(成本费用登记表!$C$4:$C$303,250))</f>
        <v/>
      </c>
      <c r="K2859" s="67" t="str">
        <f aca="false">IF($E2859="","",INDEX(成本费用登记表!$D$4:$D$303,250))</f>
        <v/>
      </c>
      <c r="L2859" s="107" t="str">
        <f aca="false">IF($E2859="","",INDEX(成本费用登记表!$N$4:$N$303,250))</f>
        <v/>
      </c>
      <c r="M2859" s="107"/>
      <c r="N2859" s="67" t="str">
        <f aca="false">IF($E2859="","","系统")</f>
        <v/>
      </c>
      <c r="O2859" s="67" t="str">
        <f aca="false">IF($E2859="","","自动C")</f>
        <v/>
      </c>
      <c r="P2859" s="18"/>
    </row>
    <row r="2860" customFormat="false" ht="18" hidden="false" customHeight="true" outlineLevel="0" collapsed="false">
      <c r="A2860" s="107" t="str">
        <f aca="false">IF($E2860="","",ROW()-3)</f>
        <v/>
      </c>
      <c r="B2860" s="110" t="str">
        <f aca="false">IF($E2860="","",INDEX(成本费用登记表!$B$4:$B$303,251))</f>
        <v/>
      </c>
      <c r="C2860" s="67" t="str">
        <f aca="false">IF($E2860="","","记-"&amp;TEXT($B2860,"YYYYMM")&amp;"-费用")</f>
        <v/>
      </c>
      <c r="D2860" s="107" t="str">
        <f aca="false">IF($E2860="","",INDEX(成本费用登记表!$E$4:$E$303,251))</f>
        <v/>
      </c>
      <c r="E2860" s="67" t="str">
        <f aca="false">IF(INDEX(成本费用登记表!$Q$4:$Y$303,251,1)=0,"",INDEX(成本费用登记表!$Q$4:$Y$303,251,1))</f>
        <v/>
      </c>
      <c r="F2860" s="99" t="str">
        <f aca="false">IF($E2860="","",IFERROR(INDEX(科目表!$A$4:$A$81,MATCH($E2860,科目表!$B$4:$B$81,0)),""))</f>
        <v/>
      </c>
      <c r="G2860" s="67" t="str">
        <f aca="false">IF($E2860="","",IFERROR(INDEX(科目表!$E$4:$E$81,MATCH($E2860,科目表!$B$4:$B$81,0)),""))</f>
        <v/>
      </c>
      <c r="H2860" s="70" t="str">
        <f aca="false">IF($E2860="","",N(INDEX(成本费用登记表!$Q$4:$Y$303,251,2)))</f>
        <v/>
      </c>
      <c r="I2860" s="70" t="str">
        <f aca="false">IF($E2860="","",N(INDEX(成本费用登记表!$Q$4:$Y$303,251,3)))</f>
        <v/>
      </c>
      <c r="J2860" s="67" t="str">
        <f aca="false">IF($E2860="","",INDEX(成本费用登记表!$C$4:$C$303,251))</f>
        <v/>
      </c>
      <c r="K2860" s="67" t="str">
        <f aca="false">IF($E2860="","",INDEX(成本费用登记表!$D$4:$D$303,251))</f>
        <v/>
      </c>
      <c r="L2860" s="107" t="str">
        <f aca="false">IF($E2860="","",INDEX(成本费用登记表!$N$4:$N$303,251))</f>
        <v/>
      </c>
      <c r="M2860" s="107"/>
      <c r="N2860" s="67" t="str">
        <f aca="false">IF($E2860="","","系统")</f>
        <v/>
      </c>
      <c r="O2860" s="67" t="str">
        <f aca="false">IF($E2860="","","自动C")</f>
        <v/>
      </c>
      <c r="P2860" s="18"/>
    </row>
    <row r="2861" customFormat="false" ht="18" hidden="false" customHeight="true" outlineLevel="0" collapsed="false">
      <c r="A2861" s="107" t="str">
        <f aca="false">IF($E2861="","",ROW()-3)</f>
        <v/>
      </c>
      <c r="B2861" s="110" t="str">
        <f aca="false">IF($E2861="","",INDEX(成本费用登记表!$B$4:$B$303,251))</f>
        <v/>
      </c>
      <c r="C2861" s="67" t="str">
        <f aca="false">IF($E2861="","","记-"&amp;TEXT($B2861,"YYYYMM")&amp;"-费用")</f>
        <v/>
      </c>
      <c r="D2861" s="107" t="str">
        <f aca="false">IF($E2861="","",INDEX(成本费用登记表!$E$4:$E$303,251))</f>
        <v/>
      </c>
      <c r="E2861" s="67" t="str">
        <f aca="false">IF(INDEX(成本费用登记表!$Q$4:$Y$303,251,4)=0,"",INDEX(成本费用登记表!$Q$4:$Y$303,251,4))</f>
        <v/>
      </c>
      <c r="F2861" s="99" t="str">
        <f aca="false">IF($E2861="","",IFERROR(INDEX(科目表!$A$4:$A$81,MATCH($E2861,科目表!$B$4:$B$81,0)),""))</f>
        <v/>
      </c>
      <c r="G2861" s="67" t="str">
        <f aca="false">IF($E2861="","",IFERROR(INDEX(科目表!$E$4:$E$81,MATCH($E2861,科目表!$B$4:$B$81,0)),""))</f>
        <v/>
      </c>
      <c r="H2861" s="70" t="str">
        <f aca="false">IF($E2861="","",N(INDEX(成本费用登记表!$Q$4:$Y$303,251,5)))</f>
        <v/>
      </c>
      <c r="I2861" s="70" t="str">
        <f aca="false">IF($E2861="","",N(INDEX(成本费用登记表!$Q$4:$Y$303,251,6)))</f>
        <v/>
      </c>
      <c r="J2861" s="67" t="str">
        <f aca="false">IF($E2861="","",INDEX(成本费用登记表!$C$4:$C$303,251))</f>
        <v/>
      </c>
      <c r="K2861" s="67" t="str">
        <f aca="false">IF($E2861="","",INDEX(成本费用登记表!$D$4:$D$303,251))</f>
        <v/>
      </c>
      <c r="L2861" s="107" t="str">
        <f aca="false">IF($E2861="","",INDEX(成本费用登记表!$N$4:$N$303,251))</f>
        <v/>
      </c>
      <c r="M2861" s="107"/>
      <c r="N2861" s="67" t="str">
        <f aca="false">IF($E2861="","","系统")</f>
        <v/>
      </c>
      <c r="O2861" s="67" t="str">
        <f aca="false">IF($E2861="","","自动C")</f>
        <v/>
      </c>
      <c r="P2861" s="18"/>
    </row>
    <row r="2862" customFormat="false" ht="18" hidden="false" customHeight="true" outlineLevel="0" collapsed="false">
      <c r="A2862" s="107" t="str">
        <f aca="false">IF($E2862="","",ROW()-3)</f>
        <v/>
      </c>
      <c r="B2862" s="110" t="str">
        <f aca="false">IF($E2862="","",INDEX(成本费用登记表!$B$4:$B$303,251))</f>
        <v/>
      </c>
      <c r="C2862" s="67" t="str">
        <f aca="false">IF($E2862="","","记-"&amp;TEXT($B2862,"YYYYMM")&amp;"-费用")</f>
        <v/>
      </c>
      <c r="D2862" s="107" t="str">
        <f aca="false">IF($E2862="","",INDEX(成本费用登记表!$E$4:$E$303,251))</f>
        <v/>
      </c>
      <c r="E2862" s="67" t="str">
        <f aca="false">IF(INDEX(成本费用登记表!$Q$4:$Y$303,251,7)=0,"",INDEX(成本费用登记表!$Q$4:$Y$303,251,7))</f>
        <v/>
      </c>
      <c r="F2862" s="99" t="str">
        <f aca="false">IF($E2862="","",IFERROR(INDEX(科目表!$A$4:$A$81,MATCH($E2862,科目表!$B$4:$B$81,0)),""))</f>
        <v/>
      </c>
      <c r="G2862" s="67" t="str">
        <f aca="false">IF($E2862="","",IFERROR(INDEX(科目表!$E$4:$E$81,MATCH($E2862,科目表!$B$4:$B$81,0)),""))</f>
        <v/>
      </c>
      <c r="H2862" s="70" t="str">
        <f aca="false">IF($E2862="","",N(INDEX(成本费用登记表!$Q$4:$Y$303,251,8)))</f>
        <v/>
      </c>
      <c r="I2862" s="70" t="str">
        <f aca="false">IF($E2862="","",N(INDEX(成本费用登记表!$Q$4:$Y$303,251,9)))</f>
        <v/>
      </c>
      <c r="J2862" s="67" t="str">
        <f aca="false">IF($E2862="","",INDEX(成本费用登记表!$C$4:$C$303,251))</f>
        <v/>
      </c>
      <c r="K2862" s="67" t="str">
        <f aca="false">IF($E2862="","",INDEX(成本费用登记表!$D$4:$D$303,251))</f>
        <v/>
      </c>
      <c r="L2862" s="107" t="str">
        <f aca="false">IF($E2862="","",INDEX(成本费用登记表!$N$4:$N$303,251))</f>
        <v/>
      </c>
      <c r="M2862" s="107"/>
      <c r="N2862" s="67" t="str">
        <f aca="false">IF($E2862="","","系统")</f>
        <v/>
      </c>
      <c r="O2862" s="67" t="str">
        <f aca="false">IF($E2862="","","自动C")</f>
        <v/>
      </c>
      <c r="P2862" s="18"/>
    </row>
    <row r="2863" customFormat="false" ht="18" hidden="false" customHeight="true" outlineLevel="0" collapsed="false">
      <c r="A2863" s="107" t="str">
        <f aca="false">IF($E2863="","",ROW()-3)</f>
        <v/>
      </c>
      <c r="B2863" s="110" t="str">
        <f aca="false">IF($E2863="","",INDEX(成本费用登记表!$B$4:$B$303,252))</f>
        <v/>
      </c>
      <c r="C2863" s="67" t="str">
        <f aca="false">IF($E2863="","","记-"&amp;TEXT($B2863,"YYYYMM")&amp;"-费用")</f>
        <v/>
      </c>
      <c r="D2863" s="107" t="str">
        <f aca="false">IF($E2863="","",INDEX(成本费用登记表!$E$4:$E$303,252))</f>
        <v/>
      </c>
      <c r="E2863" s="67" t="str">
        <f aca="false">IF(INDEX(成本费用登记表!$Q$4:$Y$303,252,1)=0,"",INDEX(成本费用登记表!$Q$4:$Y$303,252,1))</f>
        <v/>
      </c>
      <c r="F2863" s="99" t="str">
        <f aca="false">IF($E2863="","",IFERROR(INDEX(科目表!$A$4:$A$81,MATCH($E2863,科目表!$B$4:$B$81,0)),""))</f>
        <v/>
      </c>
      <c r="G2863" s="67" t="str">
        <f aca="false">IF($E2863="","",IFERROR(INDEX(科目表!$E$4:$E$81,MATCH($E2863,科目表!$B$4:$B$81,0)),""))</f>
        <v/>
      </c>
      <c r="H2863" s="70" t="str">
        <f aca="false">IF($E2863="","",N(INDEX(成本费用登记表!$Q$4:$Y$303,252,2)))</f>
        <v/>
      </c>
      <c r="I2863" s="70" t="str">
        <f aca="false">IF($E2863="","",N(INDEX(成本费用登记表!$Q$4:$Y$303,252,3)))</f>
        <v/>
      </c>
      <c r="J2863" s="67" t="str">
        <f aca="false">IF($E2863="","",INDEX(成本费用登记表!$C$4:$C$303,252))</f>
        <v/>
      </c>
      <c r="K2863" s="67" t="str">
        <f aca="false">IF($E2863="","",INDEX(成本费用登记表!$D$4:$D$303,252))</f>
        <v/>
      </c>
      <c r="L2863" s="107" t="str">
        <f aca="false">IF($E2863="","",INDEX(成本费用登记表!$N$4:$N$303,252))</f>
        <v/>
      </c>
      <c r="M2863" s="107"/>
      <c r="N2863" s="67" t="str">
        <f aca="false">IF($E2863="","","系统")</f>
        <v/>
      </c>
      <c r="O2863" s="67" t="str">
        <f aca="false">IF($E2863="","","自动C")</f>
        <v/>
      </c>
      <c r="P2863" s="18"/>
    </row>
    <row r="2864" customFormat="false" ht="18" hidden="false" customHeight="true" outlineLevel="0" collapsed="false">
      <c r="A2864" s="107" t="str">
        <f aca="false">IF($E2864="","",ROW()-3)</f>
        <v/>
      </c>
      <c r="B2864" s="110" t="str">
        <f aca="false">IF($E2864="","",INDEX(成本费用登记表!$B$4:$B$303,252))</f>
        <v/>
      </c>
      <c r="C2864" s="67" t="str">
        <f aca="false">IF($E2864="","","记-"&amp;TEXT($B2864,"YYYYMM")&amp;"-费用")</f>
        <v/>
      </c>
      <c r="D2864" s="107" t="str">
        <f aca="false">IF($E2864="","",INDEX(成本费用登记表!$E$4:$E$303,252))</f>
        <v/>
      </c>
      <c r="E2864" s="67" t="str">
        <f aca="false">IF(INDEX(成本费用登记表!$Q$4:$Y$303,252,4)=0,"",INDEX(成本费用登记表!$Q$4:$Y$303,252,4))</f>
        <v/>
      </c>
      <c r="F2864" s="99" t="str">
        <f aca="false">IF($E2864="","",IFERROR(INDEX(科目表!$A$4:$A$81,MATCH($E2864,科目表!$B$4:$B$81,0)),""))</f>
        <v/>
      </c>
      <c r="G2864" s="67" t="str">
        <f aca="false">IF($E2864="","",IFERROR(INDEX(科目表!$E$4:$E$81,MATCH($E2864,科目表!$B$4:$B$81,0)),""))</f>
        <v/>
      </c>
      <c r="H2864" s="70" t="str">
        <f aca="false">IF($E2864="","",N(INDEX(成本费用登记表!$Q$4:$Y$303,252,5)))</f>
        <v/>
      </c>
      <c r="I2864" s="70" t="str">
        <f aca="false">IF($E2864="","",N(INDEX(成本费用登记表!$Q$4:$Y$303,252,6)))</f>
        <v/>
      </c>
      <c r="J2864" s="67" t="str">
        <f aca="false">IF($E2864="","",INDEX(成本费用登记表!$C$4:$C$303,252))</f>
        <v/>
      </c>
      <c r="K2864" s="67" t="str">
        <f aca="false">IF($E2864="","",INDEX(成本费用登记表!$D$4:$D$303,252))</f>
        <v/>
      </c>
      <c r="L2864" s="107" t="str">
        <f aca="false">IF($E2864="","",INDEX(成本费用登记表!$N$4:$N$303,252))</f>
        <v/>
      </c>
      <c r="M2864" s="107"/>
      <c r="N2864" s="67" t="str">
        <f aca="false">IF($E2864="","","系统")</f>
        <v/>
      </c>
      <c r="O2864" s="67" t="str">
        <f aca="false">IF($E2864="","","自动C")</f>
        <v/>
      </c>
      <c r="P2864" s="18"/>
    </row>
    <row r="2865" customFormat="false" ht="18" hidden="false" customHeight="true" outlineLevel="0" collapsed="false">
      <c r="A2865" s="107" t="str">
        <f aca="false">IF($E2865="","",ROW()-3)</f>
        <v/>
      </c>
      <c r="B2865" s="110" t="str">
        <f aca="false">IF($E2865="","",INDEX(成本费用登记表!$B$4:$B$303,252))</f>
        <v/>
      </c>
      <c r="C2865" s="67" t="str">
        <f aca="false">IF($E2865="","","记-"&amp;TEXT($B2865,"YYYYMM")&amp;"-费用")</f>
        <v/>
      </c>
      <c r="D2865" s="107" t="str">
        <f aca="false">IF($E2865="","",INDEX(成本费用登记表!$E$4:$E$303,252))</f>
        <v/>
      </c>
      <c r="E2865" s="67" t="str">
        <f aca="false">IF(INDEX(成本费用登记表!$Q$4:$Y$303,252,7)=0,"",INDEX(成本费用登记表!$Q$4:$Y$303,252,7))</f>
        <v/>
      </c>
      <c r="F2865" s="99" t="str">
        <f aca="false">IF($E2865="","",IFERROR(INDEX(科目表!$A$4:$A$81,MATCH($E2865,科目表!$B$4:$B$81,0)),""))</f>
        <v/>
      </c>
      <c r="G2865" s="67" t="str">
        <f aca="false">IF($E2865="","",IFERROR(INDEX(科目表!$E$4:$E$81,MATCH($E2865,科目表!$B$4:$B$81,0)),""))</f>
        <v/>
      </c>
      <c r="H2865" s="70" t="str">
        <f aca="false">IF($E2865="","",N(INDEX(成本费用登记表!$Q$4:$Y$303,252,8)))</f>
        <v/>
      </c>
      <c r="I2865" s="70" t="str">
        <f aca="false">IF($E2865="","",N(INDEX(成本费用登记表!$Q$4:$Y$303,252,9)))</f>
        <v/>
      </c>
      <c r="J2865" s="67" t="str">
        <f aca="false">IF($E2865="","",INDEX(成本费用登记表!$C$4:$C$303,252))</f>
        <v/>
      </c>
      <c r="K2865" s="67" t="str">
        <f aca="false">IF($E2865="","",INDEX(成本费用登记表!$D$4:$D$303,252))</f>
        <v/>
      </c>
      <c r="L2865" s="107" t="str">
        <f aca="false">IF($E2865="","",INDEX(成本费用登记表!$N$4:$N$303,252))</f>
        <v/>
      </c>
      <c r="M2865" s="107"/>
      <c r="N2865" s="67" t="str">
        <f aca="false">IF($E2865="","","系统")</f>
        <v/>
      </c>
      <c r="O2865" s="67" t="str">
        <f aca="false">IF($E2865="","","自动C")</f>
        <v/>
      </c>
      <c r="P2865" s="18"/>
    </row>
    <row r="2866" customFormat="false" ht="18" hidden="false" customHeight="true" outlineLevel="0" collapsed="false">
      <c r="A2866" s="107" t="str">
        <f aca="false">IF($E2866="","",ROW()-3)</f>
        <v/>
      </c>
      <c r="B2866" s="110" t="str">
        <f aca="false">IF($E2866="","",INDEX(成本费用登记表!$B$4:$B$303,253))</f>
        <v/>
      </c>
      <c r="C2866" s="67" t="str">
        <f aca="false">IF($E2866="","","记-"&amp;TEXT($B2866,"YYYYMM")&amp;"-费用")</f>
        <v/>
      </c>
      <c r="D2866" s="107" t="str">
        <f aca="false">IF($E2866="","",INDEX(成本费用登记表!$E$4:$E$303,253))</f>
        <v/>
      </c>
      <c r="E2866" s="67" t="str">
        <f aca="false">IF(INDEX(成本费用登记表!$Q$4:$Y$303,253,1)=0,"",INDEX(成本费用登记表!$Q$4:$Y$303,253,1))</f>
        <v/>
      </c>
      <c r="F2866" s="99" t="str">
        <f aca="false">IF($E2866="","",IFERROR(INDEX(科目表!$A$4:$A$81,MATCH($E2866,科目表!$B$4:$B$81,0)),""))</f>
        <v/>
      </c>
      <c r="G2866" s="67" t="str">
        <f aca="false">IF($E2866="","",IFERROR(INDEX(科目表!$E$4:$E$81,MATCH($E2866,科目表!$B$4:$B$81,0)),""))</f>
        <v/>
      </c>
      <c r="H2866" s="70" t="str">
        <f aca="false">IF($E2866="","",N(INDEX(成本费用登记表!$Q$4:$Y$303,253,2)))</f>
        <v/>
      </c>
      <c r="I2866" s="70" t="str">
        <f aca="false">IF($E2866="","",N(INDEX(成本费用登记表!$Q$4:$Y$303,253,3)))</f>
        <v/>
      </c>
      <c r="J2866" s="67" t="str">
        <f aca="false">IF($E2866="","",INDEX(成本费用登记表!$C$4:$C$303,253))</f>
        <v/>
      </c>
      <c r="K2866" s="67" t="str">
        <f aca="false">IF($E2866="","",INDEX(成本费用登记表!$D$4:$D$303,253))</f>
        <v/>
      </c>
      <c r="L2866" s="107" t="str">
        <f aca="false">IF($E2866="","",INDEX(成本费用登记表!$N$4:$N$303,253))</f>
        <v/>
      </c>
      <c r="M2866" s="107"/>
      <c r="N2866" s="67" t="str">
        <f aca="false">IF($E2866="","","系统")</f>
        <v/>
      </c>
      <c r="O2866" s="67" t="str">
        <f aca="false">IF($E2866="","","自动C")</f>
        <v/>
      </c>
      <c r="P2866" s="18"/>
    </row>
    <row r="2867" customFormat="false" ht="18" hidden="false" customHeight="true" outlineLevel="0" collapsed="false">
      <c r="A2867" s="107" t="str">
        <f aca="false">IF($E2867="","",ROW()-3)</f>
        <v/>
      </c>
      <c r="B2867" s="110" t="str">
        <f aca="false">IF($E2867="","",INDEX(成本费用登记表!$B$4:$B$303,253))</f>
        <v/>
      </c>
      <c r="C2867" s="67" t="str">
        <f aca="false">IF($E2867="","","记-"&amp;TEXT($B2867,"YYYYMM")&amp;"-费用")</f>
        <v/>
      </c>
      <c r="D2867" s="107" t="str">
        <f aca="false">IF($E2867="","",INDEX(成本费用登记表!$E$4:$E$303,253))</f>
        <v/>
      </c>
      <c r="E2867" s="67" t="str">
        <f aca="false">IF(INDEX(成本费用登记表!$Q$4:$Y$303,253,4)=0,"",INDEX(成本费用登记表!$Q$4:$Y$303,253,4))</f>
        <v/>
      </c>
      <c r="F2867" s="99" t="str">
        <f aca="false">IF($E2867="","",IFERROR(INDEX(科目表!$A$4:$A$81,MATCH($E2867,科目表!$B$4:$B$81,0)),""))</f>
        <v/>
      </c>
      <c r="G2867" s="67" t="str">
        <f aca="false">IF($E2867="","",IFERROR(INDEX(科目表!$E$4:$E$81,MATCH($E2867,科目表!$B$4:$B$81,0)),""))</f>
        <v/>
      </c>
      <c r="H2867" s="70" t="str">
        <f aca="false">IF($E2867="","",N(INDEX(成本费用登记表!$Q$4:$Y$303,253,5)))</f>
        <v/>
      </c>
      <c r="I2867" s="70" t="str">
        <f aca="false">IF($E2867="","",N(INDEX(成本费用登记表!$Q$4:$Y$303,253,6)))</f>
        <v/>
      </c>
      <c r="J2867" s="67" t="str">
        <f aca="false">IF($E2867="","",INDEX(成本费用登记表!$C$4:$C$303,253))</f>
        <v/>
      </c>
      <c r="K2867" s="67" t="str">
        <f aca="false">IF($E2867="","",INDEX(成本费用登记表!$D$4:$D$303,253))</f>
        <v/>
      </c>
      <c r="L2867" s="107" t="str">
        <f aca="false">IF($E2867="","",INDEX(成本费用登记表!$N$4:$N$303,253))</f>
        <v/>
      </c>
      <c r="M2867" s="107"/>
      <c r="N2867" s="67" t="str">
        <f aca="false">IF($E2867="","","系统")</f>
        <v/>
      </c>
      <c r="O2867" s="67" t="str">
        <f aca="false">IF($E2867="","","自动C")</f>
        <v/>
      </c>
      <c r="P2867" s="18"/>
    </row>
    <row r="2868" customFormat="false" ht="18" hidden="false" customHeight="true" outlineLevel="0" collapsed="false">
      <c r="A2868" s="107" t="str">
        <f aca="false">IF($E2868="","",ROW()-3)</f>
        <v/>
      </c>
      <c r="B2868" s="110" t="str">
        <f aca="false">IF($E2868="","",INDEX(成本费用登记表!$B$4:$B$303,253))</f>
        <v/>
      </c>
      <c r="C2868" s="67" t="str">
        <f aca="false">IF($E2868="","","记-"&amp;TEXT($B2868,"YYYYMM")&amp;"-费用")</f>
        <v/>
      </c>
      <c r="D2868" s="107" t="str">
        <f aca="false">IF($E2868="","",INDEX(成本费用登记表!$E$4:$E$303,253))</f>
        <v/>
      </c>
      <c r="E2868" s="67" t="str">
        <f aca="false">IF(INDEX(成本费用登记表!$Q$4:$Y$303,253,7)=0,"",INDEX(成本费用登记表!$Q$4:$Y$303,253,7))</f>
        <v/>
      </c>
      <c r="F2868" s="99" t="str">
        <f aca="false">IF($E2868="","",IFERROR(INDEX(科目表!$A$4:$A$81,MATCH($E2868,科目表!$B$4:$B$81,0)),""))</f>
        <v/>
      </c>
      <c r="G2868" s="67" t="str">
        <f aca="false">IF($E2868="","",IFERROR(INDEX(科目表!$E$4:$E$81,MATCH($E2868,科目表!$B$4:$B$81,0)),""))</f>
        <v/>
      </c>
      <c r="H2868" s="70" t="str">
        <f aca="false">IF($E2868="","",N(INDEX(成本费用登记表!$Q$4:$Y$303,253,8)))</f>
        <v/>
      </c>
      <c r="I2868" s="70" t="str">
        <f aca="false">IF($E2868="","",N(INDEX(成本费用登记表!$Q$4:$Y$303,253,9)))</f>
        <v/>
      </c>
      <c r="J2868" s="67" t="str">
        <f aca="false">IF($E2868="","",INDEX(成本费用登记表!$C$4:$C$303,253))</f>
        <v/>
      </c>
      <c r="K2868" s="67" t="str">
        <f aca="false">IF($E2868="","",INDEX(成本费用登记表!$D$4:$D$303,253))</f>
        <v/>
      </c>
      <c r="L2868" s="107" t="str">
        <f aca="false">IF($E2868="","",INDEX(成本费用登记表!$N$4:$N$303,253))</f>
        <v/>
      </c>
      <c r="M2868" s="107"/>
      <c r="N2868" s="67" t="str">
        <f aca="false">IF($E2868="","","系统")</f>
        <v/>
      </c>
      <c r="O2868" s="67" t="str">
        <f aca="false">IF($E2868="","","自动C")</f>
        <v/>
      </c>
      <c r="P2868" s="18"/>
    </row>
    <row r="2869" customFormat="false" ht="18" hidden="false" customHeight="true" outlineLevel="0" collapsed="false">
      <c r="A2869" s="107" t="str">
        <f aca="false">IF($E2869="","",ROW()-3)</f>
        <v/>
      </c>
      <c r="B2869" s="110" t="str">
        <f aca="false">IF($E2869="","",INDEX(成本费用登记表!$B$4:$B$303,254))</f>
        <v/>
      </c>
      <c r="C2869" s="67" t="str">
        <f aca="false">IF($E2869="","","记-"&amp;TEXT($B2869,"YYYYMM")&amp;"-费用")</f>
        <v/>
      </c>
      <c r="D2869" s="107" t="str">
        <f aca="false">IF($E2869="","",INDEX(成本费用登记表!$E$4:$E$303,254))</f>
        <v/>
      </c>
      <c r="E2869" s="67" t="str">
        <f aca="false">IF(INDEX(成本费用登记表!$Q$4:$Y$303,254,1)=0,"",INDEX(成本费用登记表!$Q$4:$Y$303,254,1))</f>
        <v/>
      </c>
      <c r="F2869" s="99" t="str">
        <f aca="false">IF($E2869="","",IFERROR(INDEX(科目表!$A$4:$A$81,MATCH($E2869,科目表!$B$4:$B$81,0)),""))</f>
        <v/>
      </c>
      <c r="G2869" s="67" t="str">
        <f aca="false">IF($E2869="","",IFERROR(INDEX(科目表!$E$4:$E$81,MATCH($E2869,科目表!$B$4:$B$81,0)),""))</f>
        <v/>
      </c>
      <c r="H2869" s="70" t="str">
        <f aca="false">IF($E2869="","",N(INDEX(成本费用登记表!$Q$4:$Y$303,254,2)))</f>
        <v/>
      </c>
      <c r="I2869" s="70" t="str">
        <f aca="false">IF($E2869="","",N(INDEX(成本费用登记表!$Q$4:$Y$303,254,3)))</f>
        <v/>
      </c>
      <c r="J2869" s="67" t="str">
        <f aca="false">IF($E2869="","",INDEX(成本费用登记表!$C$4:$C$303,254))</f>
        <v/>
      </c>
      <c r="K2869" s="67" t="str">
        <f aca="false">IF($E2869="","",INDEX(成本费用登记表!$D$4:$D$303,254))</f>
        <v/>
      </c>
      <c r="L2869" s="107" t="str">
        <f aca="false">IF($E2869="","",INDEX(成本费用登记表!$N$4:$N$303,254))</f>
        <v/>
      </c>
      <c r="M2869" s="107"/>
      <c r="N2869" s="67" t="str">
        <f aca="false">IF($E2869="","","系统")</f>
        <v/>
      </c>
      <c r="O2869" s="67" t="str">
        <f aca="false">IF($E2869="","","自动C")</f>
        <v/>
      </c>
      <c r="P2869" s="18"/>
    </row>
    <row r="2870" customFormat="false" ht="18" hidden="false" customHeight="true" outlineLevel="0" collapsed="false">
      <c r="A2870" s="107" t="str">
        <f aca="false">IF($E2870="","",ROW()-3)</f>
        <v/>
      </c>
      <c r="B2870" s="110" t="str">
        <f aca="false">IF($E2870="","",INDEX(成本费用登记表!$B$4:$B$303,254))</f>
        <v/>
      </c>
      <c r="C2870" s="67" t="str">
        <f aca="false">IF($E2870="","","记-"&amp;TEXT($B2870,"YYYYMM")&amp;"-费用")</f>
        <v/>
      </c>
      <c r="D2870" s="107" t="str">
        <f aca="false">IF($E2870="","",INDEX(成本费用登记表!$E$4:$E$303,254))</f>
        <v/>
      </c>
      <c r="E2870" s="67" t="str">
        <f aca="false">IF(INDEX(成本费用登记表!$Q$4:$Y$303,254,4)=0,"",INDEX(成本费用登记表!$Q$4:$Y$303,254,4))</f>
        <v/>
      </c>
      <c r="F2870" s="99" t="str">
        <f aca="false">IF($E2870="","",IFERROR(INDEX(科目表!$A$4:$A$81,MATCH($E2870,科目表!$B$4:$B$81,0)),""))</f>
        <v/>
      </c>
      <c r="G2870" s="67" t="str">
        <f aca="false">IF($E2870="","",IFERROR(INDEX(科目表!$E$4:$E$81,MATCH($E2870,科目表!$B$4:$B$81,0)),""))</f>
        <v/>
      </c>
      <c r="H2870" s="70" t="str">
        <f aca="false">IF($E2870="","",N(INDEX(成本费用登记表!$Q$4:$Y$303,254,5)))</f>
        <v/>
      </c>
      <c r="I2870" s="70" t="str">
        <f aca="false">IF($E2870="","",N(INDEX(成本费用登记表!$Q$4:$Y$303,254,6)))</f>
        <v/>
      </c>
      <c r="J2870" s="67" t="str">
        <f aca="false">IF($E2870="","",INDEX(成本费用登记表!$C$4:$C$303,254))</f>
        <v/>
      </c>
      <c r="K2870" s="67" t="str">
        <f aca="false">IF($E2870="","",INDEX(成本费用登记表!$D$4:$D$303,254))</f>
        <v/>
      </c>
      <c r="L2870" s="107" t="str">
        <f aca="false">IF($E2870="","",INDEX(成本费用登记表!$N$4:$N$303,254))</f>
        <v/>
      </c>
      <c r="M2870" s="107"/>
      <c r="N2870" s="67" t="str">
        <f aca="false">IF($E2870="","","系统")</f>
        <v/>
      </c>
      <c r="O2870" s="67" t="str">
        <f aca="false">IF($E2870="","","自动C")</f>
        <v/>
      </c>
      <c r="P2870" s="18"/>
    </row>
    <row r="2871" customFormat="false" ht="18" hidden="false" customHeight="true" outlineLevel="0" collapsed="false">
      <c r="A2871" s="107" t="str">
        <f aca="false">IF($E2871="","",ROW()-3)</f>
        <v/>
      </c>
      <c r="B2871" s="110" t="str">
        <f aca="false">IF($E2871="","",INDEX(成本费用登记表!$B$4:$B$303,254))</f>
        <v/>
      </c>
      <c r="C2871" s="67" t="str">
        <f aca="false">IF($E2871="","","记-"&amp;TEXT($B2871,"YYYYMM")&amp;"-费用")</f>
        <v/>
      </c>
      <c r="D2871" s="107" t="str">
        <f aca="false">IF($E2871="","",INDEX(成本费用登记表!$E$4:$E$303,254))</f>
        <v/>
      </c>
      <c r="E2871" s="67" t="str">
        <f aca="false">IF(INDEX(成本费用登记表!$Q$4:$Y$303,254,7)=0,"",INDEX(成本费用登记表!$Q$4:$Y$303,254,7))</f>
        <v/>
      </c>
      <c r="F2871" s="99" t="str">
        <f aca="false">IF($E2871="","",IFERROR(INDEX(科目表!$A$4:$A$81,MATCH($E2871,科目表!$B$4:$B$81,0)),""))</f>
        <v/>
      </c>
      <c r="G2871" s="67" t="str">
        <f aca="false">IF($E2871="","",IFERROR(INDEX(科目表!$E$4:$E$81,MATCH($E2871,科目表!$B$4:$B$81,0)),""))</f>
        <v/>
      </c>
      <c r="H2871" s="70" t="str">
        <f aca="false">IF($E2871="","",N(INDEX(成本费用登记表!$Q$4:$Y$303,254,8)))</f>
        <v/>
      </c>
      <c r="I2871" s="70" t="str">
        <f aca="false">IF($E2871="","",N(INDEX(成本费用登记表!$Q$4:$Y$303,254,9)))</f>
        <v/>
      </c>
      <c r="J2871" s="67" t="str">
        <f aca="false">IF($E2871="","",INDEX(成本费用登记表!$C$4:$C$303,254))</f>
        <v/>
      </c>
      <c r="K2871" s="67" t="str">
        <f aca="false">IF($E2871="","",INDEX(成本费用登记表!$D$4:$D$303,254))</f>
        <v/>
      </c>
      <c r="L2871" s="107" t="str">
        <f aca="false">IF($E2871="","",INDEX(成本费用登记表!$N$4:$N$303,254))</f>
        <v/>
      </c>
      <c r="M2871" s="107"/>
      <c r="N2871" s="67" t="str">
        <f aca="false">IF($E2871="","","系统")</f>
        <v/>
      </c>
      <c r="O2871" s="67" t="str">
        <f aca="false">IF($E2871="","","自动C")</f>
        <v/>
      </c>
      <c r="P2871" s="18"/>
    </row>
    <row r="2872" customFormat="false" ht="18" hidden="false" customHeight="true" outlineLevel="0" collapsed="false">
      <c r="A2872" s="107" t="str">
        <f aca="false">IF($E2872="","",ROW()-3)</f>
        <v/>
      </c>
      <c r="B2872" s="110" t="str">
        <f aca="false">IF($E2872="","",INDEX(成本费用登记表!$B$4:$B$303,255))</f>
        <v/>
      </c>
      <c r="C2872" s="67" t="str">
        <f aca="false">IF($E2872="","","记-"&amp;TEXT($B2872,"YYYYMM")&amp;"-费用")</f>
        <v/>
      </c>
      <c r="D2872" s="107" t="str">
        <f aca="false">IF($E2872="","",INDEX(成本费用登记表!$E$4:$E$303,255))</f>
        <v/>
      </c>
      <c r="E2872" s="67" t="str">
        <f aca="false">IF(INDEX(成本费用登记表!$Q$4:$Y$303,255,1)=0,"",INDEX(成本费用登记表!$Q$4:$Y$303,255,1))</f>
        <v/>
      </c>
      <c r="F2872" s="99" t="str">
        <f aca="false">IF($E2872="","",IFERROR(INDEX(科目表!$A$4:$A$81,MATCH($E2872,科目表!$B$4:$B$81,0)),""))</f>
        <v/>
      </c>
      <c r="G2872" s="67" t="str">
        <f aca="false">IF($E2872="","",IFERROR(INDEX(科目表!$E$4:$E$81,MATCH($E2872,科目表!$B$4:$B$81,0)),""))</f>
        <v/>
      </c>
      <c r="H2872" s="70" t="str">
        <f aca="false">IF($E2872="","",N(INDEX(成本费用登记表!$Q$4:$Y$303,255,2)))</f>
        <v/>
      </c>
      <c r="I2872" s="70" t="str">
        <f aca="false">IF($E2872="","",N(INDEX(成本费用登记表!$Q$4:$Y$303,255,3)))</f>
        <v/>
      </c>
      <c r="J2872" s="67" t="str">
        <f aca="false">IF($E2872="","",INDEX(成本费用登记表!$C$4:$C$303,255))</f>
        <v/>
      </c>
      <c r="K2872" s="67" t="str">
        <f aca="false">IF($E2872="","",INDEX(成本费用登记表!$D$4:$D$303,255))</f>
        <v/>
      </c>
      <c r="L2872" s="107" t="str">
        <f aca="false">IF($E2872="","",INDEX(成本费用登记表!$N$4:$N$303,255))</f>
        <v/>
      </c>
      <c r="M2872" s="107"/>
      <c r="N2872" s="67" t="str">
        <f aca="false">IF($E2872="","","系统")</f>
        <v/>
      </c>
      <c r="O2872" s="67" t="str">
        <f aca="false">IF($E2872="","","自动C")</f>
        <v/>
      </c>
      <c r="P2872" s="18"/>
    </row>
    <row r="2873" customFormat="false" ht="18" hidden="false" customHeight="true" outlineLevel="0" collapsed="false">
      <c r="A2873" s="107" t="str">
        <f aca="false">IF($E2873="","",ROW()-3)</f>
        <v/>
      </c>
      <c r="B2873" s="110" t="str">
        <f aca="false">IF($E2873="","",INDEX(成本费用登记表!$B$4:$B$303,255))</f>
        <v/>
      </c>
      <c r="C2873" s="67" t="str">
        <f aca="false">IF($E2873="","","记-"&amp;TEXT($B2873,"YYYYMM")&amp;"-费用")</f>
        <v/>
      </c>
      <c r="D2873" s="107" t="str">
        <f aca="false">IF($E2873="","",INDEX(成本费用登记表!$E$4:$E$303,255))</f>
        <v/>
      </c>
      <c r="E2873" s="67" t="str">
        <f aca="false">IF(INDEX(成本费用登记表!$Q$4:$Y$303,255,4)=0,"",INDEX(成本费用登记表!$Q$4:$Y$303,255,4))</f>
        <v/>
      </c>
      <c r="F2873" s="99" t="str">
        <f aca="false">IF($E2873="","",IFERROR(INDEX(科目表!$A$4:$A$81,MATCH($E2873,科目表!$B$4:$B$81,0)),""))</f>
        <v/>
      </c>
      <c r="G2873" s="67" t="str">
        <f aca="false">IF($E2873="","",IFERROR(INDEX(科目表!$E$4:$E$81,MATCH($E2873,科目表!$B$4:$B$81,0)),""))</f>
        <v/>
      </c>
      <c r="H2873" s="70" t="str">
        <f aca="false">IF($E2873="","",N(INDEX(成本费用登记表!$Q$4:$Y$303,255,5)))</f>
        <v/>
      </c>
      <c r="I2873" s="70" t="str">
        <f aca="false">IF($E2873="","",N(INDEX(成本费用登记表!$Q$4:$Y$303,255,6)))</f>
        <v/>
      </c>
      <c r="J2873" s="67" t="str">
        <f aca="false">IF($E2873="","",INDEX(成本费用登记表!$C$4:$C$303,255))</f>
        <v/>
      </c>
      <c r="K2873" s="67" t="str">
        <f aca="false">IF($E2873="","",INDEX(成本费用登记表!$D$4:$D$303,255))</f>
        <v/>
      </c>
      <c r="L2873" s="107" t="str">
        <f aca="false">IF($E2873="","",INDEX(成本费用登记表!$N$4:$N$303,255))</f>
        <v/>
      </c>
      <c r="M2873" s="107"/>
      <c r="N2873" s="67" t="str">
        <f aca="false">IF($E2873="","","系统")</f>
        <v/>
      </c>
      <c r="O2873" s="67" t="str">
        <f aca="false">IF($E2873="","","自动C")</f>
        <v/>
      </c>
      <c r="P2873" s="18"/>
    </row>
    <row r="2874" customFormat="false" ht="18" hidden="false" customHeight="true" outlineLevel="0" collapsed="false">
      <c r="A2874" s="107" t="str">
        <f aca="false">IF($E2874="","",ROW()-3)</f>
        <v/>
      </c>
      <c r="B2874" s="110" t="str">
        <f aca="false">IF($E2874="","",INDEX(成本费用登记表!$B$4:$B$303,255))</f>
        <v/>
      </c>
      <c r="C2874" s="67" t="str">
        <f aca="false">IF($E2874="","","记-"&amp;TEXT($B2874,"YYYYMM")&amp;"-费用")</f>
        <v/>
      </c>
      <c r="D2874" s="107" t="str">
        <f aca="false">IF($E2874="","",INDEX(成本费用登记表!$E$4:$E$303,255))</f>
        <v/>
      </c>
      <c r="E2874" s="67" t="str">
        <f aca="false">IF(INDEX(成本费用登记表!$Q$4:$Y$303,255,7)=0,"",INDEX(成本费用登记表!$Q$4:$Y$303,255,7))</f>
        <v/>
      </c>
      <c r="F2874" s="99" t="str">
        <f aca="false">IF($E2874="","",IFERROR(INDEX(科目表!$A$4:$A$81,MATCH($E2874,科目表!$B$4:$B$81,0)),""))</f>
        <v/>
      </c>
      <c r="G2874" s="67" t="str">
        <f aca="false">IF($E2874="","",IFERROR(INDEX(科目表!$E$4:$E$81,MATCH($E2874,科目表!$B$4:$B$81,0)),""))</f>
        <v/>
      </c>
      <c r="H2874" s="70" t="str">
        <f aca="false">IF($E2874="","",N(INDEX(成本费用登记表!$Q$4:$Y$303,255,8)))</f>
        <v/>
      </c>
      <c r="I2874" s="70" t="str">
        <f aca="false">IF($E2874="","",N(INDEX(成本费用登记表!$Q$4:$Y$303,255,9)))</f>
        <v/>
      </c>
      <c r="J2874" s="67" t="str">
        <f aca="false">IF($E2874="","",INDEX(成本费用登记表!$C$4:$C$303,255))</f>
        <v/>
      </c>
      <c r="K2874" s="67" t="str">
        <f aca="false">IF($E2874="","",INDEX(成本费用登记表!$D$4:$D$303,255))</f>
        <v/>
      </c>
      <c r="L2874" s="107" t="str">
        <f aca="false">IF($E2874="","",INDEX(成本费用登记表!$N$4:$N$303,255))</f>
        <v/>
      </c>
      <c r="M2874" s="107"/>
      <c r="N2874" s="67" t="str">
        <f aca="false">IF($E2874="","","系统")</f>
        <v/>
      </c>
      <c r="O2874" s="67" t="str">
        <f aca="false">IF($E2874="","","自动C")</f>
        <v/>
      </c>
      <c r="P2874" s="18"/>
    </row>
    <row r="2875" customFormat="false" ht="18" hidden="false" customHeight="true" outlineLevel="0" collapsed="false">
      <c r="A2875" s="107" t="str">
        <f aca="false">IF($E2875="","",ROW()-3)</f>
        <v/>
      </c>
      <c r="B2875" s="110" t="str">
        <f aca="false">IF($E2875="","",INDEX(成本费用登记表!$B$4:$B$303,256))</f>
        <v/>
      </c>
      <c r="C2875" s="67" t="str">
        <f aca="false">IF($E2875="","","记-"&amp;TEXT($B2875,"YYYYMM")&amp;"-费用")</f>
        <v/>
      </c>
      <c r="D2875" s="107" t="str">
        <f aca="false">IF($E2875="","",INDEX(成本费用登记表!$E$4:$E$303,256))</f>
        <v/>
      </c>
      <c r="E2875" s="67" t="str">
        <f aca="false">IF(INDEX(成本费用登记表!$Q$4:$Y$303,256,1)=0,"",INDEX(成本费用登记表!$Q$4:$Y$303,256,1))</f>
        <v/>
      </c>
      <c r="F2875" s="99" t="str">
        <f aca="false">IF($E2875="","",IFERROR(INDEX(科目表!$A$4:$A$81,MATCH($E2875,科目表!$B$4:$B$81,0)),""))</f>
        <v/>
      </c>
      <c r="G2875" s="67" t="str">
        <f aca="false">IF($E2875="","",IFERROR(INDEX(科目表!$E$4:$E$81,MATCH($E2875,科目表!$B$4:$B$81,0)),""))</f>
        <v/>
      </c>
      <c r="H2875" s="70" t="str">
        <f aca="false">IF($E2875="","",N(INDEX(成本费用登记表!$Q$4:$Y$303,256,2)))</f>
        <v/>
      </c>
      <c r="I2875" s="70" t="str">
        <f aca="false">IF($E2875="","",N(INDEX(成本费用登记表!$Q$4:$Y$303,256,3)))</f>
        <v/>
      </c>
      <c r="J2875" s="67" t="str">
        <f aca="false">IF($E2875="","",INDEX(成本费用登记表!$C$4:$C$303,256))</f>
        <v/>
      </c>
      <c r="K2875" s="67" t="str">
        <f aca="false">IF($E2875="","",INDEX(成本费用登记表!$D$4:$D$303,256))</f>
        <v/>
      </c>
      <c r="L2875" s="107" t="str">
        <f aca="false">IF($E2875="","",INDEX(成本费用登记表!$N$4:$N$303,256))</f>
        <v/>
      </c>
      <c r="M2875" s="107"/>
      <c r="N2875" s="67" t="str">
        <f aca="false">IF($E2875="","","系统")</f>
        <v/>
      </c>
      <c r="O2875" s="67" t="str">
        <f aca="false">IF($E2875="","","自动C")</f>
        <v/>
      </c>
      <c r="P2875" s="18"/>
    </row>
    <row r="2876" customFormat="false" ht="18" hidden="false" customHeight="true" outlineLevel="0" collapsed="false">
      <c r="A2876" s="107" t="str">
        <f aca="false">IF($E2876="","",ROW()-3)</f>
        <v/>
      </c>
      <c r="B2876" s="110" t="str">
        <f aca="false">IF($E2876="","",INDEX(成本费用登记表!$B$4:$B$303,256))</f>
        <v/>
      </c>
      <c r="C2876" s="67" t="str">
        <f aca="false">IF($E2876="","","记-"&amp;TEXT($B2876,"YYYYMM")&amp;"-费用")</f>
        <v/>
      </c>
      <c r="D2876" s="107" t="str">
        <f aca="false">IF($E2876="","",INDEX(成本费用登记表!$E$4:$E$303,256))</f>
        <v/>
      </c>
      <c r="E2876" s="67" t="str">
        <f aca="false">IF(INDEX(成本费用登记表!$Q$4:$Y$303,256,4)=0,"",INDEX(成本费用登记表!$Q$4:$Y$303,256,4))</f>
        <v/>
      </c>
      <c r="F2876" s="99" t="str">
        <f aca="false">IF($E2876="","",IFERROR(INDEX(科目表!$A$4:$A$81,MATCH($E2876,科目表!$B$4:$B$81,0)),""))</f>
        <v/>
      </c>
      <c r="G2876" s="67" t="str">
        <f aca="false">IF($E2876="","",IFERROR(INDEX(科目表!$E$4:$E$81,MATCH($E2876,科目表!$B$4:$B$81,0)),""))</f>
        <v/>
      </c>
      <c r="H2876" s="70" t="str">
        <f aca="false">IF($E2876="","",N(INDEX(成本费用登记表!$Q$4:$Y$303,256,5)))</f>
        <v/>
      </c>
      <c r="I2876" s="70" t="str">
        <f aca="false">IF($E2876="","",N(INDEX(成本费用登记表!$Q$4:$Y$303,256,6)))</f>
        <v/>
      </c>
      <c r="J2876" s="67" t="str">
        <f aca="false">IF($E2876="","",INDEX(成本费用登记表!$C$4:$C$303,256))</f>
        <v/>
      </c>
      <c r="K2876" s="67" t="str">
        <f aca="false">IF($E2876="","",INDEX(成本费用登记表!$D$4:$D$303,256))</f>
        <v/>
      </c>
      <c r="L2876" s="107" t="str">
        <f aca="false">IF($E2876="","",INDEX(成本费用登记表!$N$4:$N$303,256))</f>
        <v/>
      </c>
      <c r="M2876" s="107"/>
      <c r="N2876" s="67" t="str">
        <f aca="false">IF($E2876="","","系统")</f>
        <v/>
      </c>
      <c r="O2876" s="67" t="str">
        <f aca="false">IF($E2876="","","自动C")</f>
        <v/>
      </c>
      <c r="P2876" s="18"/>
    </row>
    <row r="2877" customFormat="false" ht="18" hidden="false" customHeight="true" outlineLevel="0" collapsed="false">
      <c r="A2877" s="107" t="str">
        <f aca="false">IF($E2877="","",ROW()-3)</f>
        <v/>
      </c>
      <c r="B2877" s="110" t="str">
        <f aca="false">IF($E2877="","",INDEX(成本费用登记表!$B$4:$B$303,256))</f>
        <v/>
      </c>
      <c r="C2877" s="67" t="str">
        <f aca="false">IF($E2877="","","记-"&amp;TEXT($B2877,"YYYYMM")&amp;"-费用")</f>
        <v/>
      </c>
      <c r="D2877" s="107" t="str">
        <f aca="false">IF($E2877="","",INDEX(成本费用登记表!$E$4:$E$303,256))</f>
        <v/>
      </c>
      <c r="E2877" s="67" t="str">
        <f aca="false">IF(INDEX(成本费用登记表!$Q$4:$Y$303,256,7)=0,"",INDEX(成本费用登记表!$Q$4:$Y$303,256,7))</f>
        <v/>
      </c>
      <c r="F2877" s="99" t="str">
        <f aca="false">IF($E2877="","",IFERROR(INDEX(科目表!$A$4:$A$81,MATCH($E2877,科目表!$B$4:$B$81,0)),""))</f>
        <v/>
      </c>
      <c r="G2877" s="67" t="str">
        <f aca="false">IF($E2877="","",IFERROR(INDEX(科目表!$E$4:$E$81,MATCH($E2877,科目表!$B$4:$B$81,0)),""))</f>
        <v/>
      </c>
      <c r="H2877" s="70" t="str">
        <f aca="false">IF($E2877="","",N(INDEX(成本费用登记表!$Q$4:$Y$303,256,8)))</f>
        <v/>
      </c>
      <c r="I2877" s="70" t="str">
        <f aca="false">IF($E2877="","",N(INDEX(成本费用登记表!$Q$4:$Y$303,256,9)))</f>
        <v/>
      </c>
      <c r="J2877" s="67" t="str">
        <f aca="false">IF($E2877="","",INDEX(成本费用登记表!$C$4:$C$303,256))</f>
        <v/>
      </c>
      <c r="K2877" s="67" t="str">
        <f aca="false">IF($E2877="","",INDEX(成本费用登记表!$D$4:$D$303,256))</f>
        <v/>
      </c>
      <c r="L2877" s="107" t="str">
        <f aca="false">IF($E2877="","",INDEX(成本费用登记表!$N$4:$N$303,256))</f>
        <v/>
      </c>
      <c r="M2877" s="107"/>
      <c r="N2877" s="67" t="str">
        <f aca="false">IF($E2877="","","系统")</f>
        <v/>
      </c>
      <c r="O2877" s="67" t="str">
        <f aca="false">IF($E2877="","","自动C")</f>
        <v/>
      </c>
      <c r="P2877" s="18"/>
    </row>
    <row r="2878" customFormat="false" ht="18" hidden="false" customHeight="true" outlineLevel="0" collapsed="false">
      <c r="A2878" s="107" t="str">
        <f aca="false">IF($E2878="","",ROW()-3)</f>
        <v/>
      </c>
      <c r="B2878" s="110" t="str">
        <f aca="false">IF($E2878="","",INDEX(成本费用登记表!$B$4:$B$303,257))</f>
        <v/>
      </c>
      <c r="C2878" s="67" t="str">
        <f aca="false">IF($E2878="","","记-"&amp;TEXT($B2878,"YYYYMM")&amp;"-费用")</f>
        <v/>
      </c>
      <c r="D2878" s="107" t="str">
        <f aca="false">IF($E2878="","",INDEX(成本费用登记表!$E$4:$E$303,257))</f>
        <v/>
      </c>
      <c r="E2878" s="67" t="str">
        <f aca="false">IF(INDEX(成本费用登记表!$Q$4:$Y$303,257,1)=0,"",INDEX(成本费用登记表!$Q$4:$Y$303,257,1))</f>
        <v/>
      </c>
      <c r="F2878" s="99" t="str">
        <f aca="false">IF($E2878="","",IFERROR(INDEX(科目表!$A$4:$A$81,MATCH($E2878,科目表!$B$4:$B$81,0)),""))</f>
        <v/>
      </c>
      <c r="G2878" s="67" t="str">
        <f aca="false">IF($E2878="","",IFERROR(INDEX(科目表!$E$4:$E$81,MATCH($E2878,科目表!$B$4:$B$81,0)),""))</f>
        <v/>
      </c>
      <c r="H2878" s="70" t="str">
        <f aca="false">IF($E2878="","",N(INDEX(成本费用登记表!$Q$4:$Y$303,257,2)))</f>
        <v/>
      </c>
      <c r="I2878" s="70" t="str">
        <f aca="false">IF($E2878="","",N(INDEX(成本费用登记表!$Q$4:$Y$303,257,3)))</f>
        <v/>
      </c>
      <c r="J2878" s="67" t="str">
        <f aca="false">IF($E2878="","",INDEX(成本费用登记表!$C$4:$C$303,257))</f>
        <v/>
      </c>
      <c r="K2878" s="67" t="str">
        <f aca="false">IF($E2878="","",INDEX(成本费用登记表!$D$4:$D$303,257))</f>
        <v/>
      </c>
      <c r="L2878" s="107" t="str">
        <f aca="false">IF($E2878="","",INDEX(成本费用登记表!$N$4:$N$303,257))</f>
        <v/>
      </c>
      <c r="M2878" s="107"/>
      <c r="N2878" s="67" t="str">
        <f aca="false">IF($E2878="","","系统")</f>
        <v/>
      </c>
      <c r="O2878" s="67" t="str">
        <f aca="false">IF($E2878="","","自动C")</f>
        <v/>
      </c>
      <c r="P2878" s="18"/>
    </row>
    <row r="2879" customFormat="false" ht="18" hidden="false" customHeight="true" outlineLevel="0" collapsed="false">
      <c r="A2879" s="107" t="str">
        <f aca="false">IF($E2879="","",ROW()-3)</f>
        <v/>
      </c>
      <c r="B2879" s="110" t="str">
        <f aca="false">IF($E2879="","",INDEX(成本费用登记表!$B$4:$B$303,257))</f>
        <v/>
      </c>
      <c r="C2879" s="67" t="str">
        <f aca="false">IF($E2879="","","记-"&amp;TEXT($B2879,"YYYYMM")&amp;"-费用")</f>
        <v/>
      </c>
      <c r="D2879" s="107" t="str">
        <f aca="false">IF($E2879="","",INDEX(成本费用登记表!$E$4:$E$303,257))</f>
        <v/>
      </c>
      <c r="E2879" s="67" t="str">
        <f aca="false">IF(INDEX(成本费用登记表!$Q$4:$Y$303,257,4)=0,"",INDEX(成本费用登记表!$Q$4:$Y$303,257,4))</f>
        <v/>
      </c>
      <c r="F2879" s="99" t="str">
        <f aca="false">IF($E2879="","",IFERROR(INDEX(科目表!$A$4:$A$81,MATCH($E2879,科目表!$B$4:$B$81,0)),""))</f>
        <v/>
      </c>
      <c r="G2879" s="67" t="str">
        <f aca="false">IF($E2879="","",IFERROR(INDEX(科目表!$E$4:$E$81,MATCH($E2879,科目表!$B$4:$B$81,0)),""))</f>
        <v/>
      </c>
      <c r="H2879" s="70" t="str">
        <f aca="false">IF($E2879="","",N(INDEX(成本费用登记表!$Q$4:$Y$303,257,5)))</f>
        <v/>
      </c>
      <c r="I2879" s="70" t="str">
        <f aca="false">IF($E2879="","",N(INDEX(成本费用登记表!$Q$4:$Y$303,257,6)))</f>
        <v/>
      </c>
      <c r="J2879" s="67" t="str">
        <f aca="false">IF($E2879="","",INDEX(成本费用登记表!$C$4:$C$303,257))</f>
        <v/>
      </c>
      <c r="K2879" s="67" t="str">
        <f aca="false">IF($E2879="","",INDEX(成本费用登记表!$D$4:$D$303,257))</f>
        <v/>
      </c>
      <c r="L2879" s="107" t="str">
        <f aca="false">IF($E2879="","",INDEX(成本费用登记表!$N$4:$N$303,257))</f>
        <v/>
      </c>
      <c r="M2879" s="107"/>
      <c r="N2879" s="67" t="str">
        <f aca="false">IF($E2879="","","系统")</f>
        <v/>
      </c>
      <c r="O2879" s="67" t="str">
        <f aca="false">IF($E2879="","","自动C")</f>
        <v/>
      </c>
      <c r="P2879" s="18"/>
    </row>
    <row r="2880" customFormat="false" ht="18" hidden="false" customHeight="true" outlineLevel="0" collapsed="false">
      <c r="A2880" s="107" t="str">
        <f aca="false">IF($E2880="","",ROW()-3)</f>
        <v/>
      </c>
      <c r="B2880" s="110" t="str">
        <f aca="false">IF($E2880="","",INDEX(成本费用登记表!$B$4:$B$303,257))</f>
        <v/>
      </c>
      <c r="C2880" s="67" t="str">
        <f aca="false">IF($E2880="","","记-"&amp;TEXT($B2880,"YYYYMM")&amp;"-费用")</f>
        <v/>
      </c>
      <c r="D2880" s="107" t="str">
        <f aca="false">IF($E2880="","",INDEX(成本费用登记表!$E$4:$E$303,257))</f>
        <v/>
      </c>
      <c r="E2880" s="67" t="str">
        <f aca="false">IF(INDEX(成本费用登记表!$Q$4:$Y$303,257,7)=0,"",INDEX(成本费用登记表!$Q$4:$Y$303,257,7))</f>
        <v/>
      </c>
      <c r="F2880" s="99" t="str">
        <f aca="false">IF($E2880="","",IFERROR(INDEX(科目表!$A$4:$A$81,MATCH($E2880,科目表!$B$4:$B$81,0)),""))</f>
        <v/>
      </c>
      <c r="G2880" s="67" t="str">
        <f aca="false">IF($E2880="","",IFERROR(INDEX(科目表!$E$4:$E$81,MATCH($E2880,科目表!$B$4:$B$81,0)),""))</f>
        <v/>
      </c>
      <c r="H2880" s="70" t="str">
        <f aca="false">IF($E2880="","",N(INDEX(成本费用登记表!$Q$4:$Y$303,257,8)))</f>
        <v/>
      </c>
      <c r="I2880" s="70" t="str">
        <f aca="false">IF($E2880="","",N(INDEX(成本费用登记表!$Q$4:$Y$303,257,9)))</f>
        <v/>
      </c>
      <c r="J2880" s="67" t="str">
        <f aca="false">IF($E2880="","",INDEX(成本费用登记表!$C$4:$C$303,257))</f>
        <v/>
      </c>
      <c r="K2880" s="67" t="str">
        <f aca="false">IF($E2880="","",INDEX(成本费用登记表!$D$4:$D$303,257))</f>
        <v/>
      </c>
      <c r="L2880" s="107" t="str">
        <f aca="false">IF($E2880="","",INDEX(成本费用登记表!$N$4:$N$303,257))</f>
        <v/>
      </c>
      <c r="M2880" s="107"/>
      <c r="N2880" s="67" t="str">
        <f aca="false">IF($E2880="","","系统")</f>
        <v/>
      </c>
      <c r="O2880" s="67" t="str">
        <f aca="false">IF($E2880="","","自动C")</f>
        <v/>
      </c>
      <c r="P2880" s="18"/>
    </row>
    <row r="2881" customFormat="false" ht="18" hidden="false" customHeight="true" outlineLevel="0" collapsed="false">
      <c r="A2881" s="107" t="str">
        <f aca="false">IF($E2881="","",ROW()-3)</f>
        <v/>
      </c>
      <c r="B2881" s="110" t="str">
        <f aca="false">IF($E2881="","",INDEX(成本费用登记表!$B$4:$B$303,258))</f>
        <v/>
      </c>
      <c r="C2881" s="67" t="str">
        <f aca="false">IF($E2881="","","记-"&amp;TEXT($B2881,"YYYYMM")&amp;"-费用")</f>
        <v/>
      </c>
      <c r="D2881" s="107" t="str">
        <f aca="false">IF($E2881="","",INDEX(成本费用登记表!$E$4:$E$303,258))</f>
        <v/>
      </c>
      <c r="E2881" s="67" t="str">
        <f aca="false">IF(INDEX(成本费用登记表!$Q$4:$Y$303,258,1)=0,"",INDEX(成本费用登记表!$Q$4:$Y$303,258,1))</f>
        <v/>
      </c>
      <c r="F2881" s="99" t="str">
        <f aca="false">IF($E2881="","",IFERROR(INDEX(科目表!$A$4:$A$81,MATCH($E2881,科目表!$B$4:$B$81,0)),""))</f>
        <v/>
      </c>
      <c r="G2881" s="67" t="str">
        <f aca="false">IF($E2881="","",IFERROR(INDEX(科目表!$E$4:$E$81,MATCH($E2881,科目表!$B$4:$B$81,0)),""))</f>
        <v/>
      </c>
      <c r="H2881" s="70" t="str">
        <f aca="false">IF($E2881="","",N(INDEX(成本费用登记表!$Q$4:$Y$303,258,2)))</f>
        <v/>
      </c>
      <c r="I2881" s="70" t="str">
        <f aca="false">IF($E2881="","",N(INDEX(成本费用登记表!$Q$4:$Y$303,258,3)))</f>
        <v/>
      </c>
      <c r="J2881" s="67" t="str">
        <f aca="false">IF($E2881="","",INDEX(成本费用登记表!$C$4:$C$303,258))</f>
        <v/>
      </c>
      <c r="K2881" s="67" t="str">
        <f aca="false">IF($E2881="","",INDEX(成本费用登记表!$D$4:$D$303,258))</f>
        <v/>
      </c>
      <c r="L2881" s="107" t="str">
        <f aca="false">IF($E2881="","",INDEX(成本费用登记表!$N$4:$N$303,258))</f>
        <v/>
      </c>
      <c r="M2881" s="107"/>
      <c r="N2881" s="67" t="str">
        <f aca="false">IF($E2881="","","系统")</f>
        <v/>
      </c>
      <c r="O2881" s="67" t="str">
        <f aca="false">IF($E2881="","","自动C")</f>
        <v/>
      </c>
      <c r="P2881" s="18"/>
    </row>
    <row r="2882" customFormat="false" ht="18" hidden="false" customHeight="true" outlineLevel="0" collapsed="false">
      <c r="A2882" s="107" t="str">
        <f aca="false">IF($E2882="","",ROW()-3)</f>
        <v/>
      </c>
      <c r="B2882" s="110" t="str">
        <f aca="false">IF($E2882="","",INDEX(成本费用登记表!$B$4:$B$303,258))</f>
        <v/>
      </c>
      <c r="C2882" s="67" t="str">
        <f aca="false">IF($E2882="","","记-"&amp;TEXT($B2882,"YYYYMM")&amp;"-费用")</f>
        <v/>
      </c>
      <c r="D2882" s="107" t="str">
        <f aca="false">IF($E2882="","",INDEX(成本费用登记表!$E$4:$E$303,258))</f>
        <v/>
      </c>
      <c r="E2882" s="67" t="str">
        <f aca="false">IF(INDEX(成本费用登记表!$Q$4:$Y$303,258,4)=0,"",INDEX(成本费用登记表!$Q$4:$Y$303,258,4))</f>
        <v/>
      </c>
      <c r="F2882" s="99" t="str">
        <f aca="false">IF($E2882="","",IFERROR(INDEX(科目表!$A$4:$A$81,MATCH($E2882,科目表!$B$4:$B$81,0)),""))</f>
        <v/>
      </c>
      <c r="G2882" s="67" t="str">
        <f aca="false">IF($E2882="","",IFERROR(INDEX(科目表!$E$4:$E$81,MATCH($E2882,科目表!$B$4:$B$81,0)),""))</f>
        <v/>
      </c>
      <c r="H2882" s="70" t="str">
        <f aca="false">IF($E2882="","",N(INDEX(成本费用登记表!$Q$4:$Y$303,258,5)))</f>
        <v/>
      </c>
      <c r="I2882" s="70" t="str">
        <f aca="false">IF($E2882="","",N(INDEX(成本费用登记表!$Q$4:$Y$303,258,6)))</f>
        <v/>
      </c>
      <c r="J2882" s="67" t="str">
        <f aca="false">IF($E2882="","",INDEX(成本费用登记表!$C$4:$C$303,258))</f>
        <v/>
      </c>
      <c r="K2882" s="67" t="str">
        <f aca="false">IF($E2882="","",INDEX(成本费用登记表!$D$4:$D$303,258))</f>
        <v/>
      </c>
      <c r="L2882" s="107" t="str">
        <f aca="false">IF($E2882="","",INDEX(成本费用登记表!$N$4:$N$303,258))</f>
        <v/>
      </c>
      <c r="M2882" s="107"/>
      <c r="N2882" s="67" t="str">
        <f aca="false">IF($E2882="","","系统")</f>
        <v/>
      </c>
      <c r="O2882" s="67" t="str">
        <f aca="false">IF($E2882="","","自动C")</f>
        <v/>
      </c>
      <c r="P2882" s="18"/>
    </row>
    <row r="2883" customFormat="false" ht="18" hidden="false" customHeight="true" outlineLevel="0" collapsed="false">
      <c r="A2883" s="107" t="str">
        <f aca="false">IF($E2883="","",ROW()-3)</f>
        <v/>
      </c>
      <c r="B2883" s="110" t="str">
        <f aca="false">IF($E2883="","",INDEX(成本费用登记表!$B$4:$B$303,258))</f>
        <v/>
      </c>
      <c r="C2883" s="67" t="str">
        <f aca="false">IF($E2883="","","记-"&amp;TEXT($B2883,"YYYYMM")&amp;"-费用")</f>
        <v/>
      </c>
      <c r="D2883" s="107" t="str">
        <f aca="false">IF($E2883="","",INDEX(成本费用登记表!$E$4:$E$303,258))</f>
        <v/>
      </c>
      <c r="E2883" s="67" t="str">
        <f aca="false">IF(INDEX(成本费用登记表!$Q$4:$Y$303,258,7)=0,"",INDEX(成本费用登记表!$Q$4:$Y$303,258,7))</f>
        <v/>
      </c>
      <c r="F2883" s="99" t="str">
        <f aca="false">IF($E2883="","",IFERROR(INDEX(科目表!$A$4:$A$81,MATCH($E2883,科目表!$B$4:$B$81,0)),""))</f>
        <v/>
      </c>
      <c r="G2883" s="67" t="str">
        <f aca="false">IF($E2883="","",IFERROR(INDEX(科目表!$E$4:$E$81,MATCH($E2883,科目表!$B$4:$B$81,0)),""))</f>
        <v/>
      </c>
      <c r="H2883" s="70" t="str">
        <f aca="false">IF($E2883="","",N(INDEX(成本费用登记表!$Q$4:$Y$303,258,8)))</f>
        <v/>
      </c>
      <c r="I2883" s="70" t="str">
        <f aca="false">IF($E2883="","",N(INDEX(成本费用登记表!$Q$4:$Y$303,258,9)))</f>
        <v/>
      </c>
      <c r="J2883" s="67" t="str">
        <f aca="false">IF($E2883="","",INDEX(成本费用登记表!$C$4:$C$303,258))</f>
        <v/>
      </c>
      <c r="K2883" s="67" t="str">
        <f aca="false">IF($E2883="","",INDEX(成本费用登记表!$D$4:$D$303,258))</f>
        <v/>
      </c>
      <c r="L2883" s="107" t="str">
        <f aca="false">IF($E2883="","",INDEX(成本费用登记表!$N$4:$N$303,258))</f>
        <v/>
      </c>
      <c r="M2883" s="107"/>
      <c r="N2883" s="67" t="str">
        <f aca="false">IF($E2883="","","系统")</f>
        <v/>
      </c>
      <c r="O2883" s="67" t="str">
        <f aca="false">IF($E2883="","","自动C")</f>
        <v/>
      </c>
      <c r="P2883" s="18"/>
    </row>
    <row r="2884" customFormat="false" ht="18" hidden="false" customHeight="true" outlineLevel="0" collapsed="false">
      <c r="A2884" s="107" t="str">
        <f aca="false">IF($E2884="","",ROW()-3)</f>
        <v/>
      </c>
      <c r="B2884" s="110" t="str">
        <f aca="false">IF($E2884="","",INDEX(成本费用登记表!$B$4:$B$303,259))</f>
        <v/>
      </c>
      <c r="C2884" s="67" t="str">
        <f aca="false">IF($E2884="","","记-"&amp;TEXT($B2884,"YYYYMM")&amp;"-费用")</f>
        <v/>
      </c>
      <c r="D2884" s="107" t="str">
        <f aca="false">IF($E2884="","",INDEX(成本费用登记表!$E$4:$E$303,259))</f>
        <v/>
      </c>
      <c r="E2884" s="67" t="str">
        <f aca="false">IF(INDEX(成本费用登记表!$Q$4:$Y$303,259,1)=0,"",INDEX(成本费用登记表!$Q$4:$Y$303,259,1))</f>
        <v/>
      </c>
      <c r="F2884" s="99" t="str">
        <f aca="false">IF($E2884="","",IFERROR(INDEX(科目表!$A$4:$A$81,MATCH($E2884,科目表!$B$4:$B$81,0)),""))</f>
        <v/>
      </c>
      <c r="G2884" s="67" t="str">
        <f aca="false">IF($E2884="","",IFERROR(INDEX(科目表!$E$4:$E$81,MATCH($E2884,科目表!$B$4:$B$81,0)),""))</f>
        <v/>
      </c>
      <c r="H2884" s="70" t="str">
        <f aca="false">IF($E2884="","",N(INDEX(成本费用登记表!$Q$4:$Y$303,259,2)))</f>
        <v/>
      </c>
      <c r="I2884" s="70" t="str">
        <f aca="false">IF($E2884="","",N(INDEX(成本费用登记表!$Q$4:$Y$303,259,3)))</f>
        <v/>
      </c>
      <c r="J2884" s="67" t="str">
        <f aca="false">IF($E2884="","",INDEX(成本费用登记表!$C$4:$C$303,259))</f>
        <v/>
      </c>
      <c r="K2884" s="67" t="str">
        <f aca="false">IF($E2884="","",INDEX(成本费用登记表!$D$4:$D$303,259))</f>
        <v/>
      </c>
      <c r="L2884" s="107" t="str">
        <f aca="false">IF($E2884="","",INDEX(成本费用登记表!$N$4:$N$303,259))</f>
        <v/>
      </c>
      <c r="M2884" s="107"/>
      <c r="N2884" s="67" t="str">
        <f aca="false">IF($E2884="","","系统")</f>
        <v/>
      </c>
      <c r="O2884" s="67" t="str">
        <f aca="false">IF($E2884="","","自动C")</f>
        <v/>
      </c>
      <c r="P2884" s="18"/>
    </row>
    <row r="2885" customFormat="false" ht="18" hidden="false" customHeight="true" outlineLevel="0" collapsed="false">
      <c r="A2885" s="107" t="str">
        <f aca="false">IF($E2885="","",ROW()-3)</f>
        <v/>
      </c>
      <c r="B2885" s="110" t="str">
        <f aca="false">IF($E2885="","",INDEX(成本费用登记表!$B$4:$B$303,259))</f>
        <v/>
      </c>
      <c r="C2885" s="67" t="str">
        <f aca="false">IF($E2885="","","记-"&amp;TEXT($B2885,"YYYYMM")&amp;"-费用")</f>
        <v/>
      </c>
      <c r="D2885" s="107" t="str">
        <f aca="false">IF($E2885="","",INDEX(成本费用登记表!$E$4:$E$303,259))</f>
        <v/>
      </c>
      <c r="E2885" s="67" t="str">
        <f aca="false">IF(INDEX(成本费用登记表!$Q$4:$Y$303,259,4)=0,"",INDEX(成本费用登记表!$Q$4:$Y$303,259,4))</f>
        <v/>
      </c>
      <c r="F2885" s="99" t="str">
        <f aca="false">IF($E2885="","",IFERROR(INDEX(科目表!$A$4:$A$81,MATCH($E2885,科目表!$B$4:$B$81,0)),""))</f>
        <v/>
      </c>
      <c r="G2885" s="67" t="str">
        <f aca="false">IF($E2885="","",IFERROR(INDEX(科目表!$E$4:$E$81,MATCH($E2885,科目表!$B$4:$B$81,0)),""))</f>
        <v/>
      </c>
      <c r="H2885" s="70" t="str">
        <f aca="false">IF($E2885="","",N(INDEX(成本费用登记表!$Q$4:$Y$303,259,5)))</f>
        <v/>
      </c>
      <c r="I2885" s="70" t="str">
        <f aca="false">IF($E2885="","",N(INDEX(成本费用登记表!$Q$4:$Y$303,259,6)))</f>
        <v/>
      </c>
      <c r="J2885" s="67" t="str">
        <f aca="false">IF($E2885="","",INDEX(成本费用登记表!$C$4:$C$303,259))</f>
        <v/>
      </c>
      <c r="K2885" s="67" t="str">
        <f aca="false">IF($E2885="","",INDEX(成本费用登记表!$D$4:$D$303,259))</f>
        <v/>
      </c>
      <c r="L2885" s="107" t="str">
        <f aca="false">IF($E2885="","",INDEX(成本费用登记表!$N$4:$N$303,259))</f>
        <v/>
      </c>
      <c r="M2885" s="107"/>
      <c r="N2885" s="67" t="str">
        <f aca="false">IF($E2885="","","系统")</f>
        <v/>
      </c>
      <c r="O2885" s="67" t="str">
        <f aca="false">IF($E2885="","","自动C")</f>
        <v/>
      </c>
      <c r="P2885" s="18"/>
    </row>
    <row r="2886" customFormat="false" ht="18" hidden="false" customHeight="true" outlineLevel="0" collapsed="false">
      <c r="A2886" s="107" t="str">
        <f aca="false">IF($E2886="","",ROW()-3)</f>
        <v/>
      </c>
      <c r="B2886" s="110" t="str">
        <f aca="false">IF($E2886="","",INDEX(成本费用登记表!$B$4:$B$303,259))</f>
        <v/>
      </c>
      <c r="C2886" s="67" t="str">
        <f aca="false">IF($E2886="","","记-"&amp;TEXT($B2886,"YYYYMM")&amp;"-费用")</f>
        <v/>
      </c>
      <c r="D2886" s="107" t="str">
        <f aca="false">IF($E2886="","",INDEX(成本费用登记表!$E$4:$E$303,259))</f>
        <v/>
      </c>
      <c r="E2886" s="67" t="str">
        <f aca="false">IF(INDEX(成本费用登记表!$Q$4:$Y$303,259,7)=0,"",INDEX(成本费用登记表!$Q$4:$Y$303,259,7))</f>
        <v/>
      </c>
      <c r="F2886" s="99" t="str">
        <f aca="false">IF($E2886="","",IFERROR(INDEX(科目表!$A$4:$A$81,MATCH($E2886,科目表!$B$4:$B$81,0)),""))</f>
        <v/>
      </c>
      <c r="G2886" s="67" t="str">
        <f aca="false">IF($E2886="","",IFERROR(INDEX(科目表!$E$4:$E$81,MATCH($E2886,科目表!$B$4:$B$81,0)),""))</f>
        <v/>
      </c>
      <c r="H2886" s="70" t="str">
        <f aca="false">IF($E2886="","",N(INDEX(成本费用登记表!$Q$4:$Y$303,259,8)))</f>
        <v/>
      </c>
      <c r="I2886" s="70" t="str">
        <f aca="false">IF($E2886="","",N(INDEX(成本费用登记表!$Q$4:$Y$303,259,9)))</f>
        <v/>
      </c>
      <c r="J2886" s="67" t="str">
        <f aca="false">IF($E2886="","",INDEX(成本费用登记表!$C$4:$C$303,259))</f>
        <v/>
      </c>
      <c r="K2886" s="67" t="str">
        <f aca="false">IF($E2886="","",INDEX(成本费用登记表!$D$4:$D$303,259))</f>
        <v/>
      </c>
      <c r="L2886" s="107" t="str">
        <f aca="false">IF($E2886="","",INDEX(成本费用登记表!$N$4:$N$303,259))</f>
        <v/>
      </c>
      <c r="M2886" s="107"/>
      <c r="N2886" s="67" t="str">
        <f aca="false">IF($E2886="","","系统")</f>
        <v/>
      </c>
      <c r="O2886" s="67" t="str">
        <f aca="false">IF($E2886="","","自动C")</f>
        <v/>
      </c>
      <c r="P2886" s="18"/>
    </row>
    <row r="2887" customFormat="false" ht="18" hidden="false" customHeight="true" outlineLevel="0" collapsed="false">
      <c r="A2887" s="107" t="str">
        <f aca="false">IF($E2887="","",ROW()-3)</f>
        <v/>
      </c>
      <c r="B2887" s="110" t="str">
        <f aca="false">IF($E2887="","",INDEX(成本费用登记表!$B$4:$B$303,260))</f>
        <v/>
      </c>
      <c r="C2887" s="67" t="str">
        <f aca="false">IF($E2887="","","记-"&amp;TEXT($B2887,"YYYYMM")&amp;"-费用")</f>
        <v/>
      </c>
      <c r="D2887" s="107" t="str">
        <f aca="false">IF($E2887="","",INDEX(成本费用登记表!$E$4:$E$303,260))</f>
        <v/>
      </c>
      <c r="E2887" s="67" t="str">
        <f aca="false">IF(INDEX(成本费用登记表!$Q$4:$Y$303,260,1)=0,"",INDEX(成本费用登记表!$Q$4:$Y$303,260,1))</f>
        <v/>
      </c>
      <c r="F2887" s="99" t="str">
        <f aca="false">IF($E2887="","",IFERROR(INDEX(科目表!$A$4:$A$81,MATCH($E2887,科目表!$B$4:$B$81,0)),""))</f>
        <v/>
      </c>
      <c r="G2887" s="67" t="str">
        <f aca="false">IF($E2887="","",IFERROR(INDEX(科目表!$E$4:$E$81,MATCH($E2887,科目表!$B$4:$B$81,0)),""))</f>
        <v/>
      </c>
      <c r="H2887" s="70" t="str">
        <f aca="false">IF($E2887="","",N(INDEX(成本费用登记表!$Q$4:$Y$303,260,2)))</f>
        <v/>
      </c>
      <c r="I2887" s="70" t="str">
        <f aca="false">IF($E2887="","",N(INDEX(成本费用登记表!$Q$4:$Y$303,260,3)))</f>
        <v/>
      </c>
      <c r="J2887" s="67" t="str">
        <f aca="false">IF($E2887="","",INDEX(成本费用登记表!$C$4:$C$303,260))</f>
        <v/>
      </c>
      <c r="K2887" s="67" t="str">
        <f aca="false">IF($E2887="","",INDEX(成本费用登记表!$D$4:$D$303,260))</f>
        <v/>
      </c>
      <c r="L2887" s="107" t="str">
        <f aca="false">IF($E2887="","",INDEX(成本费用登记表!$N$4:$N$303,260))</f>
        <v/>
      </c>
      <c r="M2887" s="107"/>
      <c r="N2887" s="67" t="str">
        <f aca="false">IF($E2887="","","系统")</f>
        <v/>
      </c>
      <c r="O2887" s="67" t="str">
        <f aca="false">IF($E2887="","","自动C")</f>
        <v/>
      </c>
      <c r="P2887" s="18"/>
    </row>
    <row r="2888" customFormat="false" ht="18" hidden="false" customHeight="true" outlineLevel="0" collapsed="false">
      <c r="A2888" s="107" t="str">
        <f aca="false">IF($E2888="","",ROW()-3)</f>
        <v/>
      </c>
      <c r="B2888" s="110" t="str">
        <f aca="false">IF($E2888="","",INDEX(成本费用登记表!$B$4:$B$303,260))</f>
        <v/>
      </c>
      <c r="C2888" s="67" t="str">
        <f aca="false">IF($E2888="","","记-"&amp;TEXT($B2888,"YYYYMM")&amp;"-费用")</f>
        <v/>
      </c>
      <c r="D2888" s="107" t="str">
        <f aca="false">IF($E2888="","",INDEX(成本费用登记表!$E$4:$E$303,260))</f>
        <v/>
      </c>
      <c r="E2888" s="67" t="str">
        <f aca="false">IF(INDEX(成本费用登记表!$Q$4:$Y$303,260,4)=0,"",INDEX(成本费用登记表!$Q$4:$Y$303,260,4))</f>
        <v/>
      </c>
      <c r="F2888" s="99" t="str">
        <f aca="false">IF($E2888="","",IFERROR(INDEX(科目表!$A$4:$A$81,MATCH($E2888,科目表!$B$4:$B$81,0)),""))</f>
        <v/>
      </c>
      <c r="G2888" s="67" t="str">
        <f aca="false">IF($E2888="","",IFERROR(INDEX(科目表!$E$4:$E$81,MATCH($E2888,科目表!$B$4:$B$81,0)),""))</f>
        <v/>
      </c>
      <c r="H2888" s="70" t="str">
        <f aca="false">IF($E2888="","",N(INDEX(成本费用登记表!$Q$4:$Y$303,260,5)))</f>
        <v/>
      </c>
      <c r="I2888" s="70" t="str">
        <f aca="false">IF($E2888="","",N(INDEX(成本费用登记表!$Q$4:$Y$303,260,6)))</f>
        <v/>
      </c>
      <c r="J2888" s="67" t="str">
        <f aca="false">IF($E2888="","",INDEX(成本费用登记表!$C$4:$C$303,260))</f>
        <v/>
      </c>
      <c r="K2888" s="67" t="str">
        <f aca="false">IF($E2888="","",INDEX(成本费用登记表!$D$4:$D$303,260))</f>
        <v/>
      </c>
      <c r="L2888" s="107" t="str">
        <f aca="false">IF($E2888="","",INDEX(成本费用登记表!$N$4:$N$303,260))</f>
        <v/>
      </c>
      <c r="M2888" s="107"/>
      <c r="N2888" s="67" t="str">
        <f aca="false">IF($E2888="","","系统")</f>
        <v/>
      </c>
      <c r="O2888" s="67" t="str">
        <f aca="false">IF($E2888="","","自动C")</f>
        <v/>
      </c>
      <c r="P2888" s="18"/>
    </row>
    <row r="2889" customFormat="false" ht="18" hidden="false" customHeight="true" outlineLevel="0" collapsed="false">
      <c r="A2889" s="107" t="str">
        <f aca="false">IF($E2889="","",ROW()-3)</f>
        <v/>
      </c>
      <c r="B2889" s="110" t="str">
        <f aca="false">IF($E2889="","",INDEX(成本费用登记表!$B$4:$B$303,260))</f>
        <v/>
      </c>
      <c r="C2889" s="67" t="str">
        <f aca="false">IF($E2889="","","记-"&amp;TEXT($B2889,"YYYYMM")&amp;"-费用")</f>
        <v/>
      </c>
      <c r="D2889" s="107" t="str">
        <f aca="false">IF($E2889="","",INDEX(成本费用登记表!$E$4:$E$303,260))</f>
        <v/>
      </c>
      <c r="E2889" s="67" t="str">
        <f aca="false">IF(INDEX(成本费用登记表!$Q$4:$Y$303,260,7)=0,"",INDEX(成本费用登记表!$Q$4:$Y$303,260,7))</f>
        <v/>
      </c>
      <c r="F2889" s="99" t="str">
        <f aca="false">IF($E2889="","",IFERROR(INDEX(科目表!$A$4:$A$81,MATCH($E2889,科目表!$B$4:$B$81,0)),""))</f>
        <v/>
      </c>
      <c r="G2889" s="67" t="str">
        <f aca="false">IF($E2889="","",IFERROR(INDEX(科目表!$E$4:$E$81,MATCH($E2889,科目表!$B$4:$B$81,0)),""))</f>
        <v/>
      </c>
      <c r="H2889" s="70" t="str">
        <f aca="false">IF($E2889="","",N(INDEX(成本费用登记表!$Q$4:$Y$303,260,8)))</f>
        <v/>
      </c>
      <c r="I2889" s="70" t="str">
        <f aca="false">IF($E2889="","",N(INDEX(成本费用登记表!$Q$4:$Y$303,260,9)))</f>
        <v/>
      </c>
      <c r="J2889" s="67" t="str">
        <f aca="false">IF($E2889="","",INDEX(成本费用登记表!$C$4:$C$303,260))</f>
        <v/>
      </c>
      <c r="K2889" s="67" t="str">
        <f aca="false">IF($E2889="","",INDEX(成本费用登记表!$D$4:$D$303,260))</f>
        <v/>
      </c>
      <c r="L2889" s="107" t="str">
        <f aca="false">IF($E2889="","",INDEX(成本费用登记表!$N$4:$N$303,260))</f>
        <v/>
      </c>
      <c r="M2889" s="107"/>
      <c r="N2889" s="67" t="str">
        <f aca="false">IF($E2889="","","系统")</f>
        <v/>
      </c>
      <c r="O2889" s="67" t="str">
        <f aca="false">IF($E2889="","","自动C")</f>
        <v/>
      </c>
      <c r="P2889" s="18"/>
    </row>
    <row r="2890" customFormat="false" ht="18" hidden="false" customHeight="true" outlineLevel="0" collapsed="false">
      <c r="A2890" s="107" t="str">
        <f aca="false">IF($E2890="","",ROW()-3)</f>
        <v/>
      </c>
      <c r="B2890" s="110" t="str">
        <f aca="false">IF($E2890="","",INDEX(成本费用登记表!$B$4:$B$303,261))</f>
        <v/>
      </c>
      <c r="C2890" s="67" t="str">
        <f aca="false">IF($E2890="","","记-"&amp;TEXT($B2890,"YYYYMM")&amp;"-费用")</f>
        <v/>
      </c>
      <c r="D2890" s="107" t="str">
        <f aca="false">IF($E2890="","",INDEX(成本费用登记表!$E$4:$E$303,261))</f>
        <v/>
      </c>
      <c r="E2890" s="67" t="str">
        <f aca="false">IF(INDEX(成本费用登记表!$Q$4:$Y$303,261,1)=0,"",INDEX(成本费用登记表!$Q$4:$Y$303,261,1))</f>
        <v/>
      </c>
      <c r="F2890" s="99" t="str">
        <f aca="false">IF($E2890="","",IFERROR(INDEX(科目表!$A$4:$A$81,MATCH($E2890,科目表!$B$4:$B$81,0)),""))</f>
        <v/>
      </c>
      <c r="G2890" s="67" t="str">
        <f aca="false">IF($E2890="","",IFERROR(INDEX(科目表!$E$4:$E$81,MATCH($E2890,科目表!$B$4:$B$81,0)),""))</f>
        <v/>
      </c>
      <c r="H2890" s="70" t="str">
        <f aca="false">IF($E2890="","",N(INDEX(成本费用登记表!$Q$4:$Y$303,261,2)))</f>
        <v/>
      </c>
      <c r="I2890" s="70" t="str">
        <f aca="false">IF($E2890="","",N(INDEX(成本费用登记表!$Q$4:$Y$303,261,3)))</f>
        <v/>
      </c>
      <c r="J2890" s="67" t="str">
        <f aca="false">IF($E2890="","",INDEX(成本费用登记表!$C$4:$C$303,261))</f>
        <v/>
      </c>
      <c r="K2890" s="67" t="str">
        <f aca="false">IF($E2890="","",INDEX(成本费用登记表!$D$4:$D$303,261))</f>
        <v/>
      </c>
      <c r="L2890" s="107" t="str">
        <f aca="false">IF($E2890="","",INDEX(成本费用登记表!$N$4:$N$303,261))</f>
        <v/>
      </c>
      <c r="M2890" s="107"/>
      <c r="N2890" s="67" t="str">
        <f aca="false">IF($E2890="","","系统")</f>
        <v/>
      </c>
      <c r="O2890" s="67" t="str">
        <f aca="false">IF($E2890="","","自动C")</f>
        <v/>
      </c>
      <c r="P2890" s="18"/>
    </row>
    <row r="2891" customFormat="false" ht="18" hidden="false" customHeight="true" outlineLevel="0" collapsed="false">
      <c r="A2891" s="107" t="str">
        <f aca="false">IF($E2891="","",ROW()-3)</f>
        <v/>
      </c>
      <c r="B2891" s="110" t="str">
        <f aca="false">IF($E2891="","",INDEX(成本费用登记表!$B$4:$B$303,261))</f>
        <v/>
      </c>
      <c r="C2891" s="67" t="str">
        <f aca="false">IF($E2891="","","记-"&amp;TEXT($B2891,"YYYYMM")&amp;"-费用")</f>
        <v/>
      </c>
      <c r="D2891" s="107" t="str">
        <f aca="false">IF($E2891="","",INDEX(成本费用登记表!$E$4:$E$303,261))</f>
        <v/>
      </c>
      <c r="E2891" s="67" t="str">
        <f aca="false">IF(INDEX(成本费用登记表!$Q$4:$Y$303,261,4)=0,"",INDEX(成本费用登记表!$Q$4:$Y$303,261,4))</f>
        <v/>
      </c>
      <c r="F2891" s="99" t="str">
        <f aca="false">IF($E2891="","",IFERROR(INDEX(科目表!$A$4:$A$81,MATCH($E2891,科目表!$B$4:$B$81,0)),""))</f>
        <v/>
      </c>
      <c r="G2891" s="67" t="str">
        <f aca="false">IF($E2891="","",IFERROR(INDEX(科目表!$E$4:$E$81,MATCH($E2891,科目表!$B$4:$B$81,0)),""))</f>
        <v/>
      </c>
      <c r="H2891" s="70" t="str">
        <f aca="false">IF($E2891="","",N(INDEX(成本费用登记表!$Q$4:$Y$303,261,5)))</f>
        <v/>
      </c>
      <c r="I2891" s="70" t="str">
        <f aca="false">IF($E2891="","",N(INDEX(成本费用登记表!$Q$4:$Y$303,261,6)))</f>
        <v/>
      </c>
      <c r="J2891" s="67" t="str">
        <f aca="false">IF($E2891="","",INDEX(成本费用登记表!$C$4:$C$303,261))</f>
        <v/>
      </c>
      <c r="K2891" s="67" t="str">
        <f aca="false">IF($E2891="","",INDEX(成本费用登记表!$D$4:$D$303,261))</f>
        <v/>
      </c>
      <c r="L2891" s="107" t="str">
        <f aca="false">IF($E2891="","",INDEX(成本费用登记表!$N$4:$N$303,261))</f>
        <v/>
      </c>
      <c r="M2891" s="107"/>
      <c r="N2891" s="67" t="str">
        <f aca="false">IF($E2891="","","系统")</f>
        <v/>
      </c>
      <c r="O2891" s="67" t="str">
        <f aca="false">IF($E2891="","","自动C")</f>
        <v/>
      </c>
      <c r="P2891" s="18"/>
    </row>
    <row r="2892" customFormat="false" ht="18" hidden="false" customHeight="true" outlineLevel="0" collapsed="false">
      <c r="A2892" s="107" t="str">
        <f aca="false">IF($E2892="","",ROW()-3)</f>
        <v/>
      </c>
      <c r="B2892" s="110" t="str">
        <f aca="false">IF($E2892="","",INDEX(成本费用登记表!$B$4:$B$303,261))</f>
        <v/>
      </c>
      <c r="C2892" s="67" t="str">
        <f aca="false">IF($E2892="","","记-"&amp;TEXT($B2892,"YYYYMM")&amp;"-费用")</f>
        <v/>
      </c>
      <c r="D2892" s="107" t="str">
        <f aca="false">IF($E2892="","",INDEX(成本费用登记表!$E$4:$E$303,261))</f>
        <v/>
      </c>
      <c r="E2892" s="67" t="str">
        <f aca="false">IF(INDEX(成本费用登记表!$Q$4:$Y$303,261,7)=0,"",INDEX(成本费用登记表!$Q$4:$Y$303,261,7))</f>
        <v/>
      </c>
      <c r="F2892" s="99" t="str">
        <f aca="false">IF($E2892="","",IFERROR(INDEX(科目表!$A$4:$A$81,MATCH($E2892,科目表!$B$4:$B$81,0)),""))</f>
        <v/>
      </c>
      <c r="G2892" s="67" t="str">
        <f aca="false">IF($E2892="","",IFERROR(INDEX(科目表!$E$4:$E$81,MATCH($E2892,科目表!$B$4:$B$81,0)),""))</f>
        <v/>
      </c>
      <c r="H2892" s="70" t="str">
        <f aca="false">IF($E2892="","",N(INDEX(成本费用登记表!$Q$4:$Y$303,261,8)))</f>
        <v/>
      </c>
      <c r="I2892" s="70" t="str">
        <f aca="false">IF($E2892="","",N(INDEX(成本费用登记表!$Q$4:$Y$303,261,9)))</f>
        <v/>
      </c>
      <c r="J2892" s="67" t="str">
        <f aca="false">IF($E2892="","",INDEX(成本费用登记表!$C$4:$C$303,261))</f>
        <v/>
      </c>
      <c r="K2892" s="67" t="str">
        <f aca="false">IF($E2892="","",INDEX(成本费用登记表!$D$4:$D$303,261))</f>
        <v/>
      </c>
      <c r="L2892" s="107" t="str">
        <f aca="false">IF($E2892="","",INDEX(成本费用登记表!$N$4:$N$303,261))</f>
        <v/>
      </c>
      <c r="M2892" s="107"/>
      <c r="N2892" s="67" t="str">
        <f aca="false">IF($E2892="","","系统")</f>
        <v/>
      </c>
      <c r="O2892" s="67" t="str">
        <f aca="false">IF($E2892="","","自动C")</f>
        <v/>
      </c>
      <c r="P2892" s="18"/>
    </row>
    <row r="2893" customFormat="false" ht="18" hidden="false" customHeight="true" outlineLevel="0" collapsed="false">
      <c r="A2893" s="107" t="str">
        <f aca="false">IF($E2893="","",ROW()-3)</f>
        <v/>
      </c>
      <c r="B2893" s="110" t="str">
        <f aca="false">IF($E2893="","",INDEX(成本费用登记表!$B$4:$B$303,262))</f>
        <v/>
      </c>
      <c r="C2893" s="67" t="str">
        <f aca="false">IF($E2893="","","记-"&amp;TEXT($B2893,"YYYYMM")&amp;"-费用")</f>
        <v/>
      </c>
      <c r="D2893" s="107" t="str">
        <f aca="false">IF($E2893="","",INDEX(成本费用登记表!$E$4:$E$303,262))</f>
        <v/>
      </c>
      <c r="E2893" s="67" t="str">
        <f aca="false">IF(INDEX(成本费用登记表!$Q$4:$Y$303,262,1)=0,"",INDEX(成本费用登记表!$Q$4:$Y$303,262,1))</f>
        <v/>
      </c>
      <c r="F2893" s="99" t="str">
        <f aca="false">IF($E2893="","",IFERROR(INDEX(科目表!$A$4:$A$81,MATCH($E2893,科目表!$B$4:$B$81,0)),""))</f>
        <v/>
      </c>
      <c r="G2893" s="67" t="str">
        <f aca="false">IF($E2893="","",IFERROR(INDEX(科目表!$E$4:$E$81,MATCH($E2893,科目表!$B$4:$B$81,0)),""))</f>
        <v/>
      </c>
      <c r="H2893" s="70" t="str">
        <f aca="false">IF($E2893="","",N(INDEX(成本费用登记表!$Q$4:$Y$303,262,2)))</f>
        <v/>
      </c>
      <c r="I2893" s="70" t="str">
        <f aca="false">IF($E2893="","",N(INDEX(成本费用登记表!$Q$4:$Y$303,262,3)))</f>
        <v/>
      </c>
      <c r="J2893" s="67" t="str">
        <f aca="false">IF($E2893="","",INDEX(成本费用登记表!$C$4:$C$303,262))</f>
        <v/>
      </c>
      <c r="K2893" s="67" t="str">
        <f aca="false">IF($E2893="","",INDEX(成本费用登记表!$D$4:$D$303,262))</f>
        <v/>
      </c>
      <c r="L2893" s="107" t="str">
        <f aca="false">IF($E2893="","",INDEX(成本费用登记表!$N$4:$N$303,262))</f>
        <v/>
      </c>
      <c r="M2893" s="107"/>
      <c r="N2893" s="67" t="str">
        <f aca="false">IF($E2893="","","系统")</f>
        <v/>
      </c>
      <c r="O2893" s="67" t="str">
        <f aca="false">IF($E2893="","","自动C")</f>
        <v/>
      </c>
      <c r="P2893" s="18"/>
    </row>
    <row r="2894" customFormat="false" ht="18" hidden="false" customHeight="true" outlineLevel="0" collapsed="false">
      <c r="A2894" s="107" t="str">
        <f aca="false">IF($E2894="","",ROW()-3)</f>
        <v/>
      </c>
      <c r="B2894" s="110" t="str">
        <f aca="false">IF($E2894="","",INDEX(成本费用登记表!$B$4:$B$303,262))</f>
        <v/>
      </c>
      <c r="C2894" s="67" t="str">
        <f aca="false">IF($E2894="","","记-"&amp;TEXT($B2894,"YYYYMM")&amp;"-费用")</f>
        <v/>
      </c>
      <c r="D2894" s="107" t="str">
        <f aca="false">IF($E2894="","",INDEX(成本费用登记表!$E$4:$E$303,262))</f>
        <v/>
      </c>
      <c r="E2894" s="67" t="str">
        <f aca="false">IF(INDEX(成本费用登记表!$Q$4:$Y$303,262,4)=0,"",INDEX(成本费用登记表!$Q$4:$Y$303,262,4))</f>
        <v/>
      </c>
      <c r="F2894" s="99" t="str">
        <f aca="false">IF($E2894="","",IFERROR(INDEX(科目表!$A$4:$A$81,MATCH($E2894,科目表!$B$4:$B$81,0)),""))</f>
        <v/>
      </c>
      <c r="G2894" s="67" t="str">
        <f aca="false">IF($E2894="","",IFERROR(INDEX(科目表!$E$4:$E$81,MATCH($E2894,科目表!$B$4:$B$81,0)),""))</f>
        <v/>
      </c>
      <c r="H2894" s="70" t="str">
        <f aca="false">IF($E2894="","",N(INDEX(成本费用登记表!$Q$4:$Y$303,262,5)))</f>
        <v/>
      </c>
      <c r="I2894" s="70" t="str">
        <f aca="false">IF($E2894="","",N(INDEX(成本费用登记表!$Q$4:$Y$303,262,6)))</f>
        <v/>
      </c>
      <c r="J2894" s="67" t="str">
        <f aca="false">IF($E2894="","",INDEX(成本费用登记表!$C$4:$C$303,262))</f>
        <v/>
      </c>
      <c r="K2894" s="67" t="str">
        <f aca="false">IF($E2894="","",INDEX(成本费用登记表!$D$4:$D$303,262))</f>
        <v/>
      </c>
      <c r="L2894" s="107" t="str">
        <f aca="false">IF($E2894="","",INDEX(成本费用登记表!$N$4:$N$303,262))</f>
        <v/>
      </c>
      <c r="M2894" s="107"/>
      <c r="N2894" s="67" t="str">
        <f aca="false">IF($E2894="","","系统")</f>
        <v/>
      </c>
      <c r="O2894" s="67" t="str">
        <f aca="false">IF($E2894="","","自动C")</f>
        <v/>
      </c>
      <c r="P2894" s="18"/>
    </row>
    <row r="2895" customFormat="false" ht="18" hidden="false" customHeight="true" outlineLevel="0" collapsed="false">
      <c r="A2895" s="107" t="str">
        <f aca="false">IF($E2895="","",ROW()-3)</f>
        <v/>
      </c>
      <c r="B2895" s="110" t="str">
        <f aca="false">IF($E2895="","",INDEX(成本费用登记表!$B$4:$B$303,262))</f>
        <v/>
      </c>
      <c r="C2895" s="67" t="str">
        <f aca="false">IF($E2895="","","记-"&amp;TEXT($B2895,"YYYYMM")&amp;"-费用")</f>
        <v/>
      </c>
      <c r="D2895" s="107" t="str">
        <f aca="false">IF($E2895="","",INDEX(成本费用登记表!$E$4:$E$303,262))</f>
        <v/>
      </c>
      <c r="E2895" s="67" t="str">
        <f aca="false">IF(INDEX(成本费用登记表!$Q$4:$Y$303,262,7)=0,"",INDEX(成本费用登记表!$Q$4:$Y$303,262,7))</f>
        <v/>
      </c>
      <c r="F2895" s="99" t="str">
        <f aca="false">IF($E2895="","",IFERROR(INDEX(科目表!$A$4:$A$81,MATCH($E2895,科目表!$B$4:$B$81,0)),""))</f>
        <v/>
      </c>
      <c r="G2895" s="67" t="str">
        <f aca="false">IF($E2895="","",IFERROR(INDEX(科目表!$E$4:$E$81,MATCH($E2895,科目表!$B$4:$B$81,0)),""))</f>
        <v/>
      </c>
      <c r="H2895" s="70" t="str">
        <f aca="false">IF($E2895="","",N(INDEX(成本费用登记表!$Q$4:$Y$303,262,8)))</f>
        <v/>
      </c>
      <c r="I2895" s="70" t="str">
        <f aca="false">IF($E2895="","",N(INDEX(成本费用登记表!$Q$4:$Y$303,262,9)))</f>
        <v/>
      </c>
      <c r="J2895" s="67" t="str">
        <f aca="false">IF($E2895="","",INDEX(成本费用登记表!$C$4:$C$303,262))</f>
        <v/>
      </c>
      <c r="K2895" s="67" t="str">
        <f aca="false">IF($E2895="","",INDEX(成本费用登记表!$D$4:$D$303,262))</f>
        <v/>
      </c>
      <c r="L2895" s="107" t="str">
        <f aca="false">IF($E2895="","",INDEX(成本费用登记表!$N$4:$N$303,262))</f>
        <v/>
      </c>
      <c r="M2895" s="107"/>
      <c r="N2895" s="67" t="str">
        <f aca="false">IF($E2895="","","系统")</f>
        <v/>
      </c>
      <c r="O2895" s="67" t="str">
        <f aca="false">IF($E2895="","","自动C")</f>
        <v/>
      </c>
      <c r="P2895" s="18"/>
    </row>
    <row r="2896" customFormat="false" ht="18" hidden="false" customHeight="true" outlineLevel="0" collapsed="false">
      <c r="A2896" s="107" t="str">
        <f aca="false">IF($E2896="","",ROW()-3)</f>
        <v/>
      </c>
      <c r="B2896" s="110" t="str">
        <f aca="false">IF($E2896="","",INDEX(成本费用登记表!$B$4:$B$303,263))</f>
        <v/>
      </c>
      <c r="C2896" s="67" t="str">
        <f aca="false">IF($E2896="","","记-"&amp;TEXT($B2896,"YYYYMM")&amp;"-费用")</f>
        <v/>
      </c>
      <c r="D2896" s="107" t="str">
        <f aca="false">IF($E2896="","",INDEX(成本费用登记表!$E$4:$E$303,263))</f>
        <v/>
      </c>
      <c r="E2896" s="67" t="str">
        <f aca="false">IF(INDEX(成本费用登记表!$Q$4:$Y$303,263,1)=0,"",INDEX(成本费用登记表!$Q$4:$Y$303,263,1))</f>
        <v/>
      </c>
      <c r="F2896" s="99" t="str">
        <f aca="false">IF($E2896="","",IFERROR(INDEX(科目表!$A$4:$A$81,MATCH($E2896,科目表!$B$4:$B$81,0)),""))</f>
        <v/>
      </c>
      <c r="G2896" s="67" t="str">
        <f aca="false">IF($E2896="","",IFERROR(INDEX(科目表!$E$4:$E$81,MATCH($E2896,科目表!$B$4:$B$81,0)),""))</f>
        <v/>
      </c>
      <c r="H2896" s="70" t="str">
        <f aca="false">IF($E2896="","",N(INDEX(成本费用登记表!$Q$4:$Y$303,263,2)))</f>
        <v/>
      </c>
      <c r="I2896" s="70" t="str">
        <f aca="false">IF($E2896="","",N(INDEX(成本费用登记表!$Q$4:$Y$303,263,3)))</f>
        <v/>
      </c>
      <c r="J2896" s="67" t="str">
        <f aca="false">IF($E2896="","",INDEX(成本费用登记表!$C$4:$C$303,263))</f>
        <v/>
      </c>
      <c r="K2896" s="67" t="str">
        <f aca="false">IF($E2896="","",INDEX(成本费用登记表!$D$4:$D$303,263))</f>
        <v/>
      </c>
      <c r="L2896" s="107" t="str">
        <f aca="false">IF($E2896="","",INDEX(成本费用登记表!$N$4:$N$303,263))</f>
        <v/>
      </c>
      <c r="M2896" s="107"/>
      <c r="N2896" s="67" t="str">
        <f aca="false">IF($E2896="","","系统")</f>
        <v/>
      </c>
      <c r="O2896" s="67" t="str">
        <f aca="false">IF($E2896="","","自动C")</f>
        <v/>
      </c>
      <c r="P2896" s="18"/>
    </row>
    <row r="2897" customFormat="false" ht="18" hidden="false" customHeight="true" outlineLevel="0" collapsed="false">
      <c r="A2897" s="107" t="str">
        <f aca="false">IF($E2897="","",ROW()-3)</f>
        <v/>
      </c>
      <c r="B2897" s="110" t="str">
        <f aca="false">IF($E2897="","",INDEX(成本费用登记表!$B$4:$B$303,263))</f>
        <v/>
      </c>
      <c r="C2897" s="67" t="str">
        <f aca="false">IF($E2897="","","记-"&amp;TEXT($B2897,"YYYYMM")&amp;"-费用")</f>
        <v/>
      </c>
      <c r="D2897" s="107" t="str">
        <f aca="false">IF($E2897="","",INDEX(成本费用登记表!$E$4:$E$303,263))</f>
        <v/>
      </c>
      <c r="E2897" s="67" t="str">
        <f aca="false">IF(INDEX(成本费用登记表!$Q$4:$Y$303,263,4)=0,"",INDEX(成本费用登记表!$Q$4:$Y$303,263,4))</f>
        <v/>
      </c>
      <c r="F2897" s="99" t="str">
        <f aca="false">IF($E2897="","",IFERROR(INDEX(科目表!$A$4:$A$81,MATCH($E2897,科目表!$B$4:$B$81,0)),""))</f>
        <v/>
      </c>
      <c r="G2897" s="67" t="str">
        <f aca="false">IF($E2897="","",IFERROR(INDEX(科目表!$E$4:$E$81,MATCH($E2897,科目表!$B$4:$B$81,0)),""))</f>
        <v/>
      </c>
      <c r="H2897" s="70" t="str">
        <f aca="false">IF($E2897="","",N(INDEX(成本费用登记表!$Q$4:$Y$303,263,5)))</f>
        <v/>
      </c>
      <c r="I2897" s="70" t="str">
        <f aca="false">IF($E2897="","",N(INDEX(成本费用登记表!$Q$4:$Y$303,263,6)))</f>
        <v/>
      </c>
      <c r="J2897" s="67" t="str">
        <f aca="false">IF($E2897="","",INDEX(成本费用登记表!$C$4:$C$303,263))</f>
        <v/>
      </c>
      <c r="K2897" s="67" t="str">
        <f aca="false">IF($E2897="","",INDEX(成本费用登记表!$D$4:$D$303,263))</f>
        <v/>
      </c>
      <c r="L2897" s="107" t="str">
        <f aca="false">IF($E2897="","",INDEX(成本费用登记表!$N$4:$N$303,263))</f>
        <v/>
      </c>
      <c r="M2897" s="107"/>
      <c r="N2897" s="67" t="str">
        <f aca="false">IF($E2897="","","系统")</f>
        <v/>
      </c>
      <c r="O2897" s="67" t="str">
        <f aca="false">IF($E2897="","","自动C")</f>
        <v/>
      </c>
      <c r="P2897" s="18"/>
    </row>
    <row r="2898" customFormat="false" ht="18" hidden="false" customHeight="true" outlineLevel="0" collapsed="false">
      <c r="A2898" s="107" t="str">
        <f aca="false">IF($E2898="","",ROW()-3)</f>
        <v/>
      </c>
      <c r="B2898" s="110" t="str">
        <f aca="false">IF($E2898="","",INDEX(成本费用登记表!$B$4:$B$303,263))</f>
        <v/>
      </c>
      <c r="C2898" s="67" t="str">
        <f aca="false">IF($E2898="","","记-"&amp;TEXT($B2898,"YYYYMM")&amp;"-费用")</f>
        <v/>
      </c>
      <c r="D2898" s="107" t="str">
        <f aca="false">IF($E2898="","",INDEX(成本费用登记表!$E$4:$E$303,263))</f>
        <v/>
      </c>
      <c r="E2898" s="67" t="str">
        <f aca="false">IF(INDEX(成本费用登记表!$Q$4:$Y$303,263,7)=0,"",INDEX(成本费用登记表!$Q$4:$Y$303,263,7))</f>
        <v/>
      </c>
      <c r="F2898" s="99" t="str">
        <f aca="false">IF($E2898="","",IFERROR(INDEX(科目表!$A$4:$A$81,MATCH($E2898,科目表!$B$4:$B$81,0)),""))</f>
        <v/>
      </c>
      <c r="G2898" s="67" t="str">
        <f aca="false">IF($E2898="","",IFERROR(INDEX(科目表!$E$4:$E$81,MATCH($E2898,科目表!$B$4:$B$81,0)),""))</f>
        <v/>
      </c>
      <c r="H2898" s="70" t="str">
        <f aca="false">IF($E2898="","",N(INDEX(成本费用登记表!$Q$4:$Y$303,263,8)))</f>
        <v/>
      </c>
      <c r="I2898" s="70" t="str">
        <f aca="false">IF($E2898="","",N(INDEX(成本费用登记表!$Q$4:$Y$303,263,9)))</f>
        <v/>
      </c>
      <c r="J2898" s="67" t="str">
        <f aca="false">IF($E2898="","",INDEX(成本费用登记表!$C$4:$C$303,263))</f>
        <v/>
      </c>
      <c r="K2898" s="67" t="str">
        <f aca="false">IF($E2898="","",INDEX(成本费用登记表!$D$4:$D$303,263))</f>
        <v/>
      </c>
      <c r="L2898" s="107" t="str">
        <f aca="false">IF($E2898="","",INDEX(成本费用登记表!$N$4:$N$303,263))</f>
        <v/>
      </c>
      <c r="M2898" s="107"/>
      <c r="N2898" s="67" t="str">
        <f aca="false">IF($E2898="","","系统")</f>
        <v/>
      </c>
      <c r="O2898" s="67" t="str">
        <f aca="false">IF($E2898="","","自动C")</f>
        <v/>
      </c>
      <c r="P2898" s="18"/>
    </row>
    <row r="2899" customFormat="false" ht="18" hidden="false" customHeight="true" outlineLevel="0" collapsed="false">
      <c r="A2899" s="107" t="str">
        <f aca="false">IF($E2899="","",ROW()-3)</f>
        <v/>
      </c>
      <c r="B2899" s="110" t="str">
        <f aca="false">IF($E2899="","",INDEX(成本费用登记表!$B$4:$B$303,264))</f>
        <v/>
      </c>
      <c r="C2899" s="67" t="str">
        <f aca="false">IF($E2899="","","记-"&amp;TEXT($B2899,"YYYYMM")&amp;"-费用")</f>
        <v/>
      </c>
      <c r="D2899" s="107" t="str">
        <f aca="false">IF($E2899="","",INDEX(成本费用登记表!$E$4:$E$303,264))</f>
        <v/>
      </c>
      <c r="E2899" s="67" t="str">
        <f aca="false">IF(INDEX(成本费用登记表!$Q$4:$Y$303,264,1)=0,"",INDEX(成本费用登记表!$Q$4:$Y$303,264,1))</f>
        <v/>
      </c>
      <c r="F2899" s="99" t="str">
        <f aca="false">IF($E2899="","",IFERROR(INDEX(科目表!$A$4:$A$81,MATCH($E2899,科目表!$B$4:$B$81,0)),""))</f>
        <v/>
      </c>
      <c r="G2899" s="67" t="str">
        <f aca="false">IF($E2899="","",IFERROR(INDEX(科目表!$E$4:$E$81,MATCH($E2899,科目表!$B$4:$B$81,0)),""))</f>
        <v/>
      </c>
      <c r="H2899" s="70" t="str">
        <f aca="false">IF($E2899="","",N(INDEX(成本费用登记表!$Q$4:$Y$303,264,2)))</f>
        <v/>
      </c>
      <c r="I2899" s="70" t="str">
        <f aca="false">IF($E2899="","",N(INDEX(成本费用登记表!$Q$4:$Y$303,264,3)))</f>
        <v/>
      </c>
      <c r="J2899" s="67" t="str">
        <f aca="false">IF($E2899="","",INDEX(成本费用登记表!$C$4:$C$303,264))</f>
        <v/>
      </c>
      <c r="K2899" s="67" t="str">
        <f aca="false">IF($E2899="","",INDEX(成本费用登记表!$D$4:$D$303,264))</f>
        <v/>
      </c>
      <c r="L2899" s="107" t="str">
        <f aca="false">IF($E2899="","",INDEX(成本费用登记表!$N$4:$N$303,264))</f>
        <v/>
      </c>
      <c r="M2899" s="107"/>
      <c r="N2899" s="67" t="str">
        <f aca="false">IF($E2899="","","系统")</f>
        <v/>
      </c>
      <c r="O2899" s="67" t="str">
        <f aca="false">IF($E2899="","","自动C")</f>
        <v/>
      </c>
      <c r="P2899" s="18"/>
    </row>
    <row r="2900" customFormat="false" ht="18" hidden="false" customHeight="true" outlineLevel="0" collapsed="false">
      <c r="A2900" s="107" t="str">
        <f aca="false">IF($E2900="","",ROW()-3)</f>
        <v/>
      </c>
      <c r="B2900" s="110" t="str">
        <f aca="false">IF($E2900="","",INDEX(成本费用登记表!$B$4:$B$303,264))</f>
        <v/>
      </c>
      <c r="C2900" s="67" t="str">
        <f aca="false">IF($E2900="","","记-"&amp;TEXT($B2900,"YYYYMM")&amp;"-费用")</f>
        <v/>
      </c>
      <c r="D2900" s="107" t="str">
        <f aca="false">IF($E2900="","",INDEX(成本费用登记表!$E$4:$E$303,264))</f>
        <v/>
      </c>
      <c r="E2900" s="67" t="str">
        <f aca="false">IF(INDEX(成本费用登记表!$Q$4:$Y$303,264,4)=0,"",INDEX(成本费用登记表!$Q$4:$Y$303,264,4))</f>
        <v/>
      </c>
      <c r="F2900" s="99" t="str">
        <f aca="false">IF($E2900="","",IFERROR(INDEX(科目表!$A$4:$A$81,MATCH($E2900,科目表!$B$4:$B$81,0)),""))</f>
        <v/>
      </c>
      <c r="G2900" s="67" t="str">
        <f aca="false">IF($E2900="","",IFERROR(INDEX(科目表!$E$4:$E$81,MATCH($E2900,科目表!$B$4:$B$81,0)),""))</f>
        <v/>
      </c>
      <c r="H2900" s="70" t="str">
        <f aca="false">IF($E2900="","",N(INDEX(成本费用登记表!$Q$4:$Y$303,264,5)))</f>
        <v/>
      </c>
      <c r="I2900" s="70" t="str">
        <f aca="false">IF($E2900="","",N(INDEX(成本费用登记表!$Q$4:$Y$303,264,6)))</f>
        <v/>
      </c>
      <c r="J2900" s="67" t="str">
        <f aca="false">IF($E2900="","",INDEX(成本费用登记表!$C$4:$C$303,264))</f>
        <v/>
      </c>
      <c r="K2900" s="67" t="str">
        <f aca="false">IF($E2900="","",INDEX(成本费用登记表!$D$4:$D$303,264))</f>
        <v/>
      </c>
      <c r="L2900" s="107" t="str">
        <f aca="false">IF($E2900="","",INDEX(成本费用登记表!$N$4:$N$303,264))</f>
        <v/>
      </c>
      <c r="M2900" s="107"/>
      <c r="N2900" s="67" t="str">
        <f aca="false">IF($E2900="","","系统")</f>
        <v/>
      </c>
      <c r="O2900" s="67" t="str">
        <f aca="false">IF($E2900="","","自动C")</f>
        <v/>
      </c>
      <c r="P2900" s="18"/>
    </row>
    <row r="2901" customFormat="false" ht="18" hidden="false" customHeight="true" outlineLevel="0" collapsed="false">
      <c r="A2901" s="107" t="str">
        <f aca="false">IF($E2901="","",ROW()-3)</f>
        <v/>
      </c>
      <c r="B2901" s="110" t="str">
        <f aca="false">IF($E2901="","",INDEX(成本费用登记表!$B$4:$B$303,264))</f>
        <v/>
      </c>
      <c r="C2901" s="67" t="str">
        <f aca="false">IF($E2901="","","记-"&amp;TEXT($B2901,"YYYYMM")&amp;"-费用")</f>
        <v/>
      </c>
      <c r="D2901" s="107" t="str">
        <f aca="false">IF($E2901="","",INDEX(成本费用登记表!$E$4:$E$303,264))</f>
        <v/>
      </c>
      <c r="E2901" s="67" t="str">
        <f aca="false">IF(INDEX(成本费用登记表!$Q$4:$Y$303,264,7)=0,"",INDEX(成本费用登记表!$Q$4:$Y$303,264,7))</f>
        <v/>
      </c>
      <c r="F2901" s="99" t="str">
        <f aca="false">IF($E2901="","",IFERROR(INDEX(科目表!$A$4:$A$81,MATCH($E2901,科目表!$B$4:$B$81,0)),""))</f>
        <v/>
      </c>
      <c r="G2901" s="67" t="str">
        <f aca="false">IF($E2901="","",IFERROR(INDEX(科目表!$E$4:$E$81,MATCH($E2901,科目表!$B$4:$B$81,0)),""))</f>
        <v/>
      </c>
      <c r="H2901" s="70" t="str">
        <f aca="false">IF($E2901="","",N(INDEX(成本费用登记表!$Q$4:$Y$303,264,8)))</f>
        <v/>
      </c>
      <c r="I2901" s="70" t="str">
        <f aca="false">IF($E2901="","",N(INDEX(成本费用登记表!$Q$4:$Y$303,264,9)))</f>
        <v/>
      </c>
      <c r="J2901" s="67" t="str">
        <f aca="false">IF($E2901="","",INDEX(成本费用登记表!$C$4:$C$303,264))</f>
        <v/>
      </c>
      <c r="K2901" s="67" t="str">
        <f aca="false">IF($E2901="","",INDEX(成本费用登记表!$D$4:$D$303,264))</f>
        <v/>
      </c>
      <c r="L2901" s="107" t="str">
        <f aca="false">IF($E2901="","",INDEX(成本费用登记表!$N$4:$N$303,264))</f>
        <v/>
      </c>
      <c r="M2901" s="107"/>
      <c r="N2901" s="67" t="str">
        <f aca="false">IF($E2901="","","系统")</f>
        <v/>
      </c>
      <c r="O2901" s="67" t="str">
        <f aca="false">IF($E2901="","","自动C")</f>
        <v/>
      </c>
      <c r="P2901" s="18"/>
    </row>
    <row r="2902" customFormat="false" ht="18" hidden="false" customHeight="true" outlineLevel="0" collapsed="false">
      <c r="A2902" s="107" t="str">
        <f aca="false">IF($E2902="","",ROW()-3)</f>
        <v/>
      </c>
      <c r="B2902" s="110" t="str">
        <f aca="false">IF($E2902="","",INDEX(成本费用登记表!$B$4:$B$303,265))</f>
        <v/>
      </c>
      <c r="C2902" s="67" t="str">
        <f aca="false">IF($E2902="","","记-"&amp;TEXT($B2902,"YYYYMM")&amp;"-费用")</f>
        <v/>
      </c>
      <c r="D2902" s="107" t="str">
        <f aca="false">IF($E2902="","",INDEX(成本费用登记表!$E$4:$E$303,265))</f>
        <v/>
      </c>
      <c r="E2902" s="67" t="str">
        <f aca="false">IF(INDEX(成本费用登记表!$Q$4:$Y$303,265,1)=0,"",INDEX(成本费用登记表!$Q$4:$Y$303,265,1))</f>
        <v/>
      </c>
      <c r="F2902" s="99" t="str">
        <f aca="false">IF($E2902="","",IFERROR(INDEX(科目表!$A$4:$A$81,MATCH($E2902,科目表!$B$4:$B$81,0)),""))</f>
        <v/>
      </c>
      <c r="G2902" s="67" t="str">
        <f aca="false">IF($E2902="","",IFERROR(INDEX(科目表!$E$4:$E$81,MATCH($E2902,科目表!$B$4:$B$81,0)),""))</f>
        <v/>
      </c>
      <c r="H2902" s="70" t="str">
        <f aca="false">IF($E2902="","",N(INDEX(成本费用登记表!$Q$4:$Y$303,265,2)))</f>
        <v/>
      </c>
      <c r="I2902" s="70" t="str">
        <f aca="false">IF($E2902="","",N(INDEX(成本费用登记表!$Q$4:$Y$303,265,3)))</f>
        <v/>
      </c>
      <c r="J2902" s="67" t="str">
        <f aca="false">IF($E2902="","",INDEX(成本费用登记表!$C$4:$C$303,265))</f>
        <v/>
      </c>
      <c r="K2902" s="67" t="str">
        <f aca="false">IF($E2902="","",INDEX(成本费用登记表!$D$4:$D$303,265))</f>
        <v/>
      </c>
      <c r="L2902" s="107" t="str">
        <f aca="false">IF($E2902="","",INDEX(成本费用登记表!$N$4:$N$303,265))</f>
        <v/>
      </c>
      <c r="M2902" s="107"/>
      <c r="N2902" s="67" t="str">
        <f aca="false">IF($E2902="","","系统")</f>
        <v/>
      </c>
      <c r="O2902" s="67" t="str">
        <f aca="false">IF($E2902="","","自动C")</f>
        <v/>
      </c>
      <c r="P2902" s="18"/>
    </row>
    <row r="2903" customFormat="false" ht="18" hidden="false" customHeight="true" outlineLevel="0" collapsed="false">
      <c r="A2903" s="107" t="str">
        <f aca="false">IF($E2903="","",ROW()-3)</f>
        <v/>
      </c>
      <c r="B2903" s="110" t="str">
        <f aca="false">IF($E2903="","",INDEX(成本费用登记表!$B$4:$B$303,265))</f>
        <v/>
      </c>
      <c r="C2903" s="67" t="str">
        <f aca="false">IF($E2903="","","记-"&amp;TEXT($B2903,"YYYYMM")&amp;"-费用")</f>
        <v/>
      </c>
      <c r="D2903" s="107" t="str">
        <f aca="false">IF($E2903="","",INDEX(成本费用登记表!$E$4:$E$303,265))</f>
        <v/>
      </c>
      <c r="E2903" s="67" t="str">
        <f aca="false">IF(INDEX(成本费用登记表!$Q$4:$Y$303,265,4)=0,"",INDEX(成本费用登记表!$Q$4:$Y$303,265,4))</f>
        <v/>
      </c>
      <c r="F2903" s="99" t="str">
        <f aca="false">IF($E2903="","",IFERROR(INDEX(科目表!$A$4:$A$81,MATCH($E2903,科目表!$B$4:$B$81,0)),""))</f>
        <v/>
      </c>
      <c r="G2903" s="67" t="str">
        <f aca="false">IF($E2903="","",IFERROR(INDEX(科目表!$E$4:$E$81,MATCH($E2903,科目表!$B$4:$B$81,0)),""))</f>
        <v/>
      </c>
      <c r="H2903" s="70" t="str">
        <f aca="false">IF($E2903="","",N(INDEX(成本费用登记表!$Q$4:$Y$303,265,5)))</f>
        <v/>
      </c>
      <c r="I2903" s="70" t="str">
        <f aca="false">IF($E2903="","",N(INDEX(成本费用登记表!$Q$4:$Y$303,265,6)))</f>
        <v/>
      </c>
      <c r="J2903" s="67" t="str">
        <f aca="false">IF($E2903="","",INDEX(成本费用登记表!$C$4:$C$303,265))</f>
        <v/>
      </c>
      <c r="K2903" s="67" t="str">
        <f aca="false">IF($E2903="","",INDEX(成本费用登记表!$D$4:$D$303,265))</f>
        <v/>
      </c>
      <c r="L2903" s="107" t="str">
        <f aca="false">IF($E2903="","",INDEX(成本费用登记表!$N$4:$N$303,265))</f>
        <v/>
      </c>
      <c r="M2903" s="107"/>
      <c r="N2903" s="67" t="str">
        <f aca="false">IF($E2903="","","系统")</f>
        <v/>
      </c>
      <c r="O2903" s="67" t="str">
        <f aca="false">IF($E2903="","","自动C")</f>
        <v/>
      </c>
      <c r="P2903" s="18"/>
    </row>
    <row r="2904" customFormat="false" ht="18" hidden="false" customHeight="true" outlineLevel="0" collapsed="false">
      <c r="A2904" s="107" t="str">
        <f aca="false">IF($E2904="","",ROW()-3)</f>
        <v/>
      </c>
      <c r="B2904" s="110" t="str">
        <f aca="false">IF($E2904="","",INDEX(成本费用登记表!$B$4:$B$303,265))</f>
        <v/>
      </c>
      <c r="C2904" s="67" t="str">
        <f aca="false">IF($E2904="","","记-"&amp;TEXT($B2904,"YYYYMM")&amp;"-费用")</f>
        <v/>
      </c>
      <c r="D2904" s="107" t="str">
        <f aca="false">IF($E2904="","",INDEX(成本费用登记表!$E$4:$E$303,265))</f>
        <v/>
      </c>
      <c r="E2904" s="67" t="str">
        <f aca="false">IF(INDEX(成本费用登记表!$Q$4:$Y$303,265,7)=0,"",INDEX(成本费用登记表!$Q$4:$Y$303,265,7))</f>
        <v/>
      </c>
      <c r="F2904" s="99" t="str">
        <f aca="false">IF($E2904="","",IFERROR(INDEX(科目表!$A$4:$A$81,MATCH($E2904,科目表!$B$4:$B$81,0)),""))</f>
        <v/>
      </c>
      <c r="G2904" s="67" t="str">
        <f aca="false">IF($E2904="","",IFERROR(INDEX(科目表!$E$4:$E$81,MATCH($E2904,科目表!$B$4:$B$81,0)),""))</f>
        <v/>
      </c>
      <c r="H2904" s="70" t="str">
        <f aca="false">IF($E2904="","",N(INDEX(成本费用登记表!$Q$4:$Y$303,265,8)))</f>
        <v/>
      </c>
      <c r="I2904" s="70" t="str">
        <f aca="false">IF($E2904="","",N(INDEX(成本费用登记表!$Q$4:$Y$303,265,9)))</f>
        <v/>
      </c>
      <c r="J2904" s="67" t="str">
        <f aca="false">IF($E2904="","",INDEX(成本费用登记表!$C$4:$C$303,265))</f>
        <v/>
      </c>
      <c r="K2904" s="67" t="str">
        <f aca="false">IF($E2904="","",INDEX(成本费用登记表!$D$4:$D$303,265))</f>
        <v/>
      </c>
      <c r="L2904" s="107" t="str">
        <f aca="false">IF($E2904="","",INDEX(成本费用登记表!$N$4:$N$303,265))</f>
        <v/>
      </c>
      <c r="M2904" s="107"/>
      <c r="N2904" s="67" t="str">
        <f aca="false">IF($E2904="","","系统")</f>
        <v/>
      </c>
      <c r="O2904" s="67" t="str">
        <f aca="false">IF($E2904="","","自动C")</f>
        <v/>
      </c>
      <c r="P2904" s="18"/>
    </row>
    <row r="2905" customFormat="false" ht="18" hidden="false" customHeight="true" outlineLevel="0" collapsed="false">
      <c r="A2905" s="107" t="str">
        <f aca="false">IF($E2905="","",ROW()-3)</f>
        <v/>
      </c>
      <c r="B2905" s="110" t="str">
        <f aca="false">IF($E2905="","",INDEX(成本费用登记表!$B$4:$B$303,266))</f>
        <v/>
      </c>
      <c r="C2905" s="67" t="str">
        <f aca="false">IF($E2905="","","记-"&amp;TEXT($B2905,"YYYYMM")&amp;"-费用")</f>
        <v/>
      </c>
      <c r="D2905" s="107" t="str">
        <f aca="false">IF($E2905="","",INDEX(成本费用登记表!$E$4:$E$303,266))</f>
        <v/>
      </c>
      <c r="E2905" s="67" t="str">
        <f aca="false">IF(INDEX(成本费用登记表!$Q$4:$Y$303,266,1)=0,"",INDEX(成本费用登记表!$Q$4:$Y$303,266,1))</f>
        <v/>
      </c>
      <c r="F2905" s="99" t="str">
        <f aca="false">IF($E2905="","",IFERROR(INDEX(科目表!$A$4:$A$81,MATCH($E2905,科目表!$B$4:$B$81,0)),""))</f>
        <v/>
      </c>
      <c r="G2905" s="67" t="str">
        <f aca="false">IF($E2905="","",IFERROR(INDEX(科目表!$E$4:$E$81,MATCH($E2905,科目表!$B$4:$B$81,0)),""))</f>
        <v/>
      </c>
      <c r="H2905" s="70" t="str">
        <f aca="false">IF($E2905="","",N(INDEX(成本费用登记表!$Q$4:$Y$303,266,2)))</f>
        <v/>
      </c>
      <c r="I2905" s="70" t="str">
        <f aca="false">IF($E2905="","",N(INDEX(成本费用登记表!$Q$4:$Y$303,266,3)))</f>
        <v/>
      </c>
      <c r="J2905" s="67" t="str">
        <f aca="false">IF($E2905="","",INDEX(成本费用登记表!$C$4:$C$303,266))</f>
        <v/>
      </c>
      <c r="K2905" s="67" t="str">
        <f aca="false">IF($E2905="","",INDEX(成本费用登记表!$D$4:$D$303,266))</f>
        <v/>
      </c>
      <c r="L2905" s="107" t="str">
        <f aca="false">IF($E2905="","",INDEX(成本费用登记表!$N$4:$N$303,266))</f>
        <v/>
      </c>
      <c r="M2905" s="107"/>
      <c r="N2905" s="67" t="str">
        <f aca="false">IF($E2905="","","系统")</f>
        <v/>
      </c>
      <c r="O2905" s="67" t="str">
        <f aca="false">IF($E2905="","","自动C")</f>
        <v/>
      </c>
      <c r="P2905" s="18"/>
    </row>
    <row r="2906" customFormat="false" ht="18" hidden="false" customHeight="true" outlineLevel="0" collapsed="false">
      <c r="A2906" s="107" t="str">
        <f aca="false">IF($E2906="","",ROW()-3)</f>
        <v/>
      </c>
      <c r="B2906" s="110" t="str">
        <f aca="false">IF($E2906="","",INDEX(成本费用登记表!$B$4:$B$303,266))</f>
        <v/>
      </c>
      <c r="C2906" s="67" t="str">
        <f aca="false">IF($E2906="","","记-"&amp;TEXT($B2906,"YYYYMM")&amp;"-费用")</f>
        <v/>
      </c>
      <c r="D2906" s="107" t="str">
        <f aca="false">IF($E2906="","",INDEX(成本费用登记表!$E$4:$E$303,266))</f>
        <v/>
      </c>
      <c r="E2906" s="67" t="str">
        <f aca="false">IF(INDEX(成本费用登记表!$Q$4:$Y$303,266,4)=0,"",INDEX(成本费用登记表!$Q$4:$Y$303,266,4))</f>
        <v/>
      </c>
      <c r="F2906" s="99" t="str">
        <f aca="false">IF($E2906="","",IFERROR(INDEX(科目表!$A$4:$A$81,MATCH($E2906,科目表!$B$4:$B$81,0)),""))</f>
        <v/>
      </c>
      <c r="G2906" s="67" t="str">
        <f aca="false">IF($E2906="","",IFERROR(INDEX(科目表!$E$4:$E$81,MATCH($E2906,科目表!$B$4:$B$81,0)),""))</f>
        <v/>
      </c>
      <c r="H2906" s="70" t="str">
        <f aca="false">IF($E2906="","",N(INDEX(成本费用登记表!$Q$4:$Y$303,266,5)))</f>
        <v/>
      </c>
      <c r="I2906" s="70" t="str">
        <f aca="false">IF($E2906="","",N(INDEX(成本费用登记表!$Q$4:$Y$303,266,6)))</f>
        <v/>
      </c>
      <c r="J2906" s="67" t="str">
        <f aca="false">IF($E2906="","",INDEX(成本费用登记表!$C$4:$C$303,266))</f>
        <v/>
      </c>
      <c r="K2906" s="67" t="str">
        <f aca="false">IF($E2906="","",INDEX(成本费用登记表!$D$4:$D$303,266))</f>
        <v/>
      </c>
      <c r="L2906" s="107" t="str">
        <f aca="false">IF($E2906="","",INDEX(成本费用登记表!$N$4:$N$303,266))</f>
        <v/>
      </c>
      <c r="M2906" s="107"/>
      <c r="N2906" s="67" t="str">
        <f aca="false">IF($E2906="","","系统")</f>
        <v/>
      </c>
      <c r="O2906" s="67" t="str">
        <f aca="false">IF($E2906="","","自动C")</f>
        <v/>
      </c>
      <c r="P2906" s="18"/>
    </row>
    <row r="2907" customFormat="false" ht="18" hidden="false" customHeight="true" outlineLevel="0" collapsed="false">
      <c r="A2907" s="107" t="str">
        <f aca="false">IF($E2907="","",ROW()-3)</f>
        <v/>
      </c>
      <c r="B2907" s="110" t="str">
        <f aca="false">IF($E2907="","",INDEX(成本费用登记表!$B$4:$B$303,266))</f>
        <v/>
      </c>
      <c r="C2907" s="67" t="str">
        <f aca="false">IF($E2907="","","记-"&amp;TEXT($B2907,"YYYYMM")&amp;"-费用")</f>
        <v/>
      </c>
      <c r="D2907" s="107" t="str">
        <f aca="false">IF($E2907="","",INDEX(成本费用登记表!$E$4:$E$303,266))</f>
        <v/>
      </c>
      <c r="E2907" s="67" t="str">
        <f aca="false">IF(INDEX(成本费用登记表!$Q$4:$Y$303,266,7)=0,"",INDEX(成本费用登记表!$Q$4:$Y$303,266,7))</f>
        <v/>
      </c>
      <c r="F2907" s="99" t="str">
        <f aca="false">IF($E2907="","",IFERROR(INDEX(科目表!$A$4:$A$81,MATCH($E2907,科目表!$B$4:$B$81,0)),""))</f>
        <v/>
      </c>
      <c r="G2907" s="67" t="str">
        <f aca="false">IF($E2907="","",IFERROR(INDEX(科目表!$E$4:$E$81,MATCH($E2907,科目表!$B$4:$B$81,0)),""))</f>
        <v/>
      </c>
      <c r="H2907" s="70" t="str">
        <f aca="false">IF($E2907="","",N(INDEX(成本费用登记表!$Q$4:$Y$303,266,8)))</f>
        <v/>
      </c>
      <c r="I2907" s="70" t="str">
        <f aca="false">IF($E2907="","",N(INDEX(成本费用登记表!$Q$4:$Y$303,266,9)))</f>
        <v/>
      </c>
      <c r="J2907" s="67" t="str">
        <f aca="false">IF($E2907="","",INDEX(成本费用登记表!$C$4:$C$303,266))</f>
        <v/>
      </c>
      <c r="K2907" s="67" t="str">
        <f aca="false">IF($E2907="","",INDEX(成本费用登记表!$D$4:$D$303,266))</f>
        <v/>
      </c>
      <c r="L2907" s="107" t="str">
        <f aca="false">IF($E2907="","",INDEX(成本费用登记表!$N$4:$N$303,266))</f>
        <v/>
      </c>
      <c r="M2907" s="107"/>
      <c r="N2907" s="67" t="str">
        <f aca="false">IF($E2907="","","系统")</f>
        <v/>
      </c>
      <c r="O2907" s="67" t="str">
        <f aca="false">IF($E2907="","","自动C")</f>
        <v/>
      </c>
      <c r="P2907" s="18"/>
    </row>
    <row r="2908" customFormat="false" ht="18" hidden="false" customHeight="true" outlineLevel="0" collapsed="false">
      <c r="A2908" s="107" t="str">
        <f aca="false">IF($E2908="","",ROW()-3)</f>
        <v/>
      </c>
      <c r="B2908" s="110" t="str">
        <f aca="false">IF($E2908="","",INDEX(成本费用登记表!$B$4:$B$303,267))</f>
        <v/>
      </c>
      <c r="C2908" s="67" t="str">
        <f aca="false">IF($E2908="","","记-"&amp;TEXT($B2908,"YYYYMM")&amp;"-费用")</f>
        <v/>
      </c>
      <c r="D2908" s="107" t="str">
        <f aca="false">IF($E2908="","",INDEX(成本费用登记表!$E$4:$E$303,267))</f>
        <v/>
      </c>
      <c r="E2908" s="67" t="str">
        <f aca="false">IF(INDEX(成本费用登记表!$Q$4:$Y$303,267,1)=0,"",INDEX(成本费用登记表!$Q$4:$Y$303,267,1))</f>
        <v/>
      </c>
      <c r="F2908" s="99" t="str">
        <f aca="false">IF($E2908="","",IFERROR(INDEX(科目表!$A$4:$A$81,MATCH($E2908,科目表!$B$4:$B$81,0)),""))</f>
        <v/>
      </c>
      <c r="G2908" s="67" t="str">
        <f aca="false">IF($E2908="","",IFERROR(INDEX(科目表!$E$4:$E$81,MATCH($E2908,科目表!$B$4:$B$81,0)),""))</f>
        <v/>
      </c>
      <c r="H2908" s="70" t="str">
        <f aca="false">IF($E2908="","",N(INDEX(成本费用登记表!$Q$4:$Y$303,267,2)))</f>
        <v/>
      </c>
      <c r="I2908" s="70" t="str">
        <f aca="false">IF($E2908="","",N(INDEX(成本费用登记表!$Q$4:$Y$303,267,3)))</f>
        <v/>
      </c>
      <c r="J2908" s="67" t="str">
        <f aca="false">IF($E2908="","",INDEX(成本费用登记表!$C$4:$C$303,267))</f>
        <v/>
      </c>
      <c r="K2908" s="67" t="str">
        <f aca="false">IF($E2908="","",INDEX(成本费用登记表!$D$4:$D$303,267))</f>
        <v/>
      </c>
      <c r="L2908" s="107" t="str">
        <f aca="false">IF($E2908="","",INDEX(成本费用登记表!$N$4:$N$303,267))</f>
        <v/>
      </c>
      <c r="M2908" s="107"/>
      <c r="N2908" s="67" t="str">
        <f aca="false">IF($E2908="","","系统")</f>
        <v/>
      </c>
      <c r="O2908" s="67" t="str">
        <f aca="false">IF($E2908="","","自动C")</f>
        <v/>
      </c>
      <c r="P2908" s="18"/>
    </row>
    <row r="2909" customFormat="false" ht="18" hidden="false" customHeight="true" outlineLevel="0" collapsed="false">
      <c r="A2909" s="107" t="str">
        <f aca="false">IF($E2909="","",ROW()-3)</f>
        <v/>
      </c>
      <c r="B2909" s="110" t="str">
        <f aca="false">IF($E2909="","",INDEX(成本费用登记表!$B$4:$B$303,267))</f>
        <v/>
      </c>
      <c r="C2909" s="67" t="str">
        <f aca="false">IF($E2909="","","记-"&amp;TEXT($B2909,"YYYYMM")&amp;"-费用")</f>
        <v/>
      </c>
      <c r="D2909" s="107" t="str">
        <f aca="false">IF($E2909="","",INDEX(成本费用登记表!$E$4:$E$303,267))</f>
        <v/>
      </c>
      <c r="E2909" s="67" t="str">
        <f aca="false">IF(INDEX(成本费用登记表!$Q$4:$Y$303,267,4)=0,"",INDEX(成本费用登记表!$Q$4:$Y$303,267,4))</f>
        <v/>
      </c>
      <c r="F2909" s="99" t="str">
        <f aca="false">IF($E2909="","",IFERROR(INDEX(科目表!$A$4:$A$81,MATCH($E2909,科目表!$B$4:$B$81,0)),""))</f>
        <v/>
      </c>
      <c r="G2909" s="67" t="str">
        <f aca="false">IF($E2909="","",IFERROR(INDEX(科目表!$E$4:$E$81,MATCH($E2909,科目表!$B$4:$B$81,0)),""))</f>
        <v/>
      </c>
      <c r="H2909" s="70" t="str">
        <f aca="false">IF($E2909="","",N(INDEX(成本费用登记表!$Q$4:$Y$303,267,5)))</f>
        <v/>
      </c>
      <c r="I2909" s="70" t="str">
        <f aca="false">IF($E2909="","",N(INDEX(成本费用登记表!$Q$4:$Y$303,267,6)))</f>
        <v/>
      </c>
      <c r="J2909" s="67" t="str">
        <f aca="false">IF($E2909="","",INDEX(成本费用登记表!$C$4:$C$303,267))</f>
        <v/>
      </c>
      <c r="K2909" s="67" t="str">
        <f aca="false">IF($E2909="","",INDEX(成本费用登记表!$D$4:$D$303,267))</f>
        <v/>
      </c>
      <c r="L2909" s="107" t="str">
        <f aca="false">IF($E2909="","",INDEX(成本费用登记表!$N$4:$N$303,267))</f>
        <v/>
      </c>
      <c r="M2909" s="107"/>
      <c r="N2909" s="67" t="str">
        <f aca="false">IF($E2909="","","系统")</f>
        <v/>
      </c>
      <c r="O2909" s="67" t="str">
        <f aca="false">IF($E2909="","","自动C")</f>
        <v/>
      </c>
      <c r="P2909" s="18"/>
    </row>
    <row r="2910" customFormat="false" ht="18" hidden="false" customHeight="true" outlineLevel="0" collapsed="false">
      <c r="A2910" s="107" t="str">
        <f aca="false">IF($E2910="","",ROW()-3)</f>
        <v/>
      </c>
      <c r="B2910" s="110" t="str">
        <f aca="false">IF($E2910="","",INDEX(成本费用登记表!$B$4:$B$303,267))</f>
        <v/>
      </c>
      <c r="C2910" s="67" t="str">
        <f aca="false">IF($E2910="","","记-"&amp;TEXT($B2910,"YYYYMM")&amp;"-费用")</f>
        <v/>
      </c>
      <c r="D2910" s="107" t="str">
        <f aca="false">IF($E2910="","",INDEX(成本费用登记表!$E$4:$E$303,267))</f>
        <v/>
      </c>
      <c r="E2910" s="67" t="str">
        <f aca="false">IF(INDEX(成本费用登记表!$Q$4:$Y$303,267,7)=0,"",INDEX(成本费用登记表!$Q$4:$Y$303,267,7))</f>
        <v/>
      </c>
      <c r="F2910" s="99" t="str">
        <f aca="false">IF($E2910="","",IFERROR(INDEX(科目表!$A$4:$A$81,MATCH($E2910,科目表!$B$4:$B$81,0)),""))</f>
        <v/>
      </c>
      <c r="G2910" s="67" t="str">
        <f aca="false">IF($E2910="","",IFERROR(INDEX(科目表!$E$4:$E$81,MATCH($E2910,科目表!$B$4:$B$81,0)),""))</f>
        <v/>
      </c>
      <c r="H2910" s="70" t="str">
        <f aca="false">IF($E2910="","",N(INDEX(成本费用登记表!$Q$4:$Y$303,267,8)))</f>
        <v/>
      </c>
      <c r="I2910" s="70" t="str">
        <f aca="false">IF($E2910="","",N(INDEX(成本费用登记表!$Q$4:$Y$303,267,9)))</f>
        <v/>
      </c>
      <c r="J2910" s="67" t="str">
        <f aca="false">IF($E2910="","",INDEX(成本费用登记表!$C$4:$C$303,267))</f>
        <v/>
      </c>
      <c r="K2910" s="67" t="str">
        <f aca="false">IF($E2910="","",INDEX(成本费用登记表!$D$4:$D$303,267))</f>
        <v/>
      </c>
      <c r="L2910" s="107" t="str">
        <f aca="false">IF($E2910="","",INDEX(成本费用登记表!$N$4:$N$303,267))</f>
        <v/>
      </c>
      <c r="M2910" s="107"/>
      <c r="N2910" s="67" t="str">
        <f aca="false">IF($E2910="","","系统")</f>
        <v/>
      </c>
      <c r="O2910" s="67" t="str">
        <f aca="false">IF($E2910="","","自动C")</f>
        <v/>
      </c>
      <c r="P2910" s="18"/>
    </row>
    <row r="2911" customFormat="false" ht="18" hidden="false" customHeight="true" outlineLevel="0" collapsed="false">
      <c r="A2911" s="107" t="str">
        <f aca="false">IF($E2911="","",ROW()-3)</f>
        <v/>
      </c>
      <c r="B2911" s="110" t="str">
        <f aca="false">IF($E2911="","",INDEX(成本费用登记表!$B$4:$B$303,268))</f>
        <v/>
      </c>
      <c r="C2911" s="67" t="str">
        <f aca="false">IF($E2911="","","记-"&amp;TEXT($B2911,"YYYYMM")&amp;"-费用")</f>
        <v/>
      </c>
      <c r="D2911" s="107" t="str">
        <f aca="false">IF($E2911="","",INDEX(成本费用登记表!$E$4:$E$303,268))</f>
        <v/>
      </c>
      <c r="E2911" s="67" t="str">
        <f aca="false">IF(INDEX(成本费用登记表!$Q$4:$Y$303,268,1)=0,"",INDEX(成本费用登记表!$Q$4:$Y$303,268,1))</f>
        <v/>
      </c>
      <c r="F2911" s="99" t="str">
        <f aca="false">IF($E2911="","",IFERROR(INDEX(科目表!$A$4:$A$81,MATCH($E2911,科目表!$B$4:$B$81,0)),""))</f>
        <v/>
      </c>
      <c r="G2911" s="67" t="str">
        <f aca="false">IF($E2911="","",IFERROR(INDEX(科目表!$E$4:$E$81,MATCH($E2911,科目表!$B$4:$B$81,0)),""))</f>
        <v/>
      </c>
      <c r="H2911" s="70" t="str">
        <f aca="false">IF($E2911="","",N(INDEX(成本费用登记表!$Q$4:$Y$303,268,2)))</f>
        <v/>
      </c>
      <c r="I2911" s="70" t="str">
        <f aca="false">IF($E2911="","",N(INDEX(成本费用登记表!$Q$4:$Y$303,268,3)))</f>
        <v/>
      </c>
      <c r="J2911" s="67" t="str">
        <f aca="false">IF($E2911="","",INDEX(成本费用登记表!$C$4:$C$303,268))</f>
        <v/>
      </c>
      <c r="K2911" s="67" t="str">
        <f aca="false">IF($E2911="","",INDEX(成本费用登记表!$D$4:$D$303,268))</f>
        <v/>
      </c>
      <c r="L2911" s="107" t="str">
        <f aca="false">IF($E2911="","",INDEX(成本费用登记表!$N$4:$N$303,268))</f>
        <v/>
      </c>
      <c r="M2911" s="107"/>
      <c r="N2911" s="67" t="str">
        <f aca="false">IF($E2911="","","系统")</f>
        <v/>
      </c>
      <c r="O2911" s="67" t="str">
        <f aca="false">IF($E2911="","","自动C")</f>
        <v/>
      </c>
      <c r="P2911" s="18"/>
    </row>
    <row r="2912" customFormat="false" ht="18" hidden="false" customHeight="true" outlineLevel="0" collapsed="false">
      <c r="A2912" s="107" t="str">
        <f aca="false">IF($E2912="","",ROW()-3)</f>
        <v/>
      </c>
      <c r="B2912" s="110" t="str">
        <f aca="false">IF($E2912="","",INDEX(成本费用登记表!$B$4:$B$303,268))</f>
        <v/>
      </c>
      <c r="C2912" s="67" t="str">
        <f aca="false">IF($E2912="","","记-"&amp;TEXT($B2912,"YYYYMM")&amp;"-费用")</f>
        <v/>
      </c>
      <c r="D2912" s="107" t="str">
        <f aca="false">IF($E2912="","",INDEX(成本费用登记表!$E$4:$E$303,268))</f>
        <v/>
      </c>
      <c r="E2912" s="67" t="str">
        <f aca="false">IF(INDEX(成本费用登记表!$Q$4:$Y$303,268,4)=0,"",INDEX(成本费用登记表!$Q$4:$Y$303,268,4))</f>
        <v/>
      </c>
      <c r="F2912" s="99" t="str">
        <f aca="false">IF($E2912="","",IFERROR(INDEX(科目表!$A$4:$A$81,MATCH($E2912,科目表!$B$4:$B$81,0)),""))</f>
        <v/>
      </c>
      <c r="G2912" s="67" t="str">
        <f aca="false">IF($E2912="","",IFERROR(INDEX(科目表!$E$4:$E$81,MATCH($E2912,科目表!$B$4:$B$81,0)),""))</f>
        <v/>
      </c>
      <c r="H2912" s="70" t="str">
        <f aca="false">IF($E2912="","",N(INDEX(成本费用登记表!$Q$4:$Y$303,268,5)))</f>
        <v/>
      </c>
      <c r="I2912" s="70" t="str">
        <f aca="false">IF($E2912="","",N(INDEX(成本费用登记表!$Q$4:$Y$303,268,6)))</f>
        <v/>
      </c>
      <c r="J2912" s="67" t="str">
        <f aca="false">IF($E2912="","",INDEX(成本费用登记表!$C$4:$C$303,268))</f>
        <v/>
      </c>
      <c r="K2912" s="67" t="str">
        <f aca="false">IF($E2912="","",INDEX(成本费用登记表!$D$4:$D$303,268))</f>
        <v/>
      </c>
      <c r="L2912" s="107" t="str">
        <f aca="false">IF($E2912="","",INDEX(成本费用登记表!$N$4:$N$303,268))</f>
        <v/>
      </c>
      <c r="M2912" s="107"/>
      <c r="N2912" s="67" t="str">
        <f aca="false">IF($E2912="","","系统")</f>
        <v/>
      </c>
      <c r="O2912" s="67" t="str">
        <f aca="false">IF($E2912="","","自动C")</f>
        <v/>
      </c>
      <c r="P2912" s="18"/>
    </row>
    <row r="2913" customFormat="false" ht="18" hidden="false" customHeight="true" outlineLevel="0" collapsed="false">
      <c r="A2913" s="107" t="str">
        <f aca="false">IF($E2913="","",ROW()-3)</f>
        <v/>
      </c>
      <c r="B2913" s="110" t="str">
        <f aca="false">IF($E2913="","",INDEX(成本费用登记表!$B$4:$B$303,268))</f>
        <v/>
      </c>
      <c r="C2913" s="67" t="str">
        <f aca="false">IF($E2913="","","记-"&amp;TEXT($B2913,"YYYYMM")&amp;"-费用")</f>
        <v/>
      </c>
      <c r="D2913" s="107" t="str">
        <f aca="false">IF($E2913="","",INDEX(成本费用登记表!$E$4:$E$303,268))</f>
        <v/>
      </c>
      <c r="E2913" s="67" t="str">
        <f aca="false">IF(INDEX(成本费用登记表!$Q$4:$Y$303,268,7)=0,"",INDEX(成本费用登记表!$Q$4:$Y$303,268,7))</f>
        <v/>
      </c>
      <c r="F2913" s="99" t="str">
        <f aca="false">IF($E2913="","",IFERROR(INDEX(科目表!$A$4:$A$81,MATCH($E2913,科目表!$B$4:$B$81,0)),""))</f>
        <v/>
      </c>
      <c r="G2913" s="67" t="str">
        <f aca="false">IF($E2913="","",IFERROR(INDEX(科目表!$E$4:$E$81,MATCH($E2913,科目表!$B$4:$B$81,0)),""))</f>
        <v/>
      </c>
      <c r="H2913" s="70" t="str">
        <f aca="false">IF($E2913="","",N(INDEX(成本费用登记表!$Q$4:$Y$303,268,8)))</f>
        <v/>
      </c>
      <c r="I2913" s="70" t="str">
        <f aca="false">IF($E2913="","",N(INDEX(成本费用登记表!$Q$4:$Y$303,268,9)))</f>
        <v/>
      </c>
      <c r="J2913" s="67" t="str">
        <f aca="false">IF($E2913="","",INDEX(成本费用登记表!$C$4:$C$303,268))</f>
        <v/>
      </c>
      <c r="K2913" s="67" t="str">
        <f aca="false">IF($E2913="","",INDEX(成本费用登记表!$D$4:$D$303,268))</f>
        <v/>
      </c>
      <c r="L2913" s="107" t="str">
        <f aca="false">IF($E2913="","",INDEX(成本费用登记表!$N$4:$N$303,268))</f>
        <v/>
      </c>
      <c r="M2913" s="107"/>
      <c r="N2913" s="67" t="str">
        <f aca="false">IF($E2913="","","系统")</f>
        <v/>
      </c>
      <c r="O2913" s="67" t="str">
        <f aca="false">IF($E2913="","","自动C")</f>
        <v/>
      </c>
      <c r="P2913" s="18"/>
    </row>
    <row r="2914" customFormat="false" ht="18" hidden="false" customHeight="true" outlineLevel="0" collapsed="false">
      <c r="A2914" s="107" t="str">
        <f aca="false">IF($E2914="","",ROW()-3)</f>
        <v/>
      </c>
      <c r="B2914" s="110" t="str">
        <f aca="false">IF($E2914="","",INDEX(成本费用登记表!$B$4:$B$303,269))</f>
        <v/>
      </c>
      <c r="C2914" s="67" t="str">
        <f aca="false">IF($E2914="","","记-"&amp;TEXT($B2914,"YYYYMM")&amp;"-费用")</f>
        <v/>
      </c>
      <c r="D2914" s="107" t="str">
        <f aca="false">IF($E2914="","",INDEX(成本费用登记表!$E$4:$E$303,269))</f>
        <v/>
      </c>
      <c r="E2914" s="67" t="str">
        <f aca="false">IF(INDEX(成本费用登记表!$Q$4:$Y$303,269,1)=0,"",INDEX(成本费用登记表!$Q$4:$Y$303,269,1))</f>
        <v/>
      </c>
      <c r="F2914" s="99" t="str">
        <f aca="false">IF($E2914="","",IFERROR(INDEX(科目表!$A$4:$A$81,MATCH($E2914,科目表!$B$4:$B$81,0)),""))</f>
        <v/>
      </c>
      <c r="G2914" s="67" t="str">
        <f aca="false">IF($E2914="","",IFERROR(INDEX(科目表!$E$4:$E$81,MATCH($E2914,科目表!$B$4:$B$81,0)),""))</f>
        <v/>
      </c>
      <c r="H2914" s="70" t="str">
        <f aca="false">IF($E2914="","",N(INDEX(成本费用登记表!$Q$4:$Y$303,269,2)))</f>
        <v/>
      </c>
      <c r="I2914" s="70" t="str">
        <f aca="false">IF($E2914="","",N(INDEX(成本费用登记表!$Q$4:$Y$303,269,3)))</f>
        <v/>
      </c>
      <c r="J2914" s="67" t="str">
        <f aca="false">IF($E2914="","",INDEX(成本费用登记表!$C$4:$C$303,269))</f>
        <v/>
      </c>
      <c r="K2914" s="67" t="str">
        <f aca="false">IF($E2914="","",INDEX(成本费用登记表!$D$4:$D$303,269))</f>
        <v/>
      </c>
      <c r="L2914" s="107" t="str">
        <f aca="false">IF($E2914="","",INDEX(成本费用登记表!$N$4:$N$303,269))</f>
        <v/>
      </c>
      <c r="M2914" s="107"/>
      <c r="N2914" s="67" t="str">
        <f aca="false">IF($E2914="","","系统")</f>
        <v/>
      </c>
      <c r="O2914" s="67" t="str">
        <f aca="false">IF($E2914="","","自动C")</f>
        <v/>
      </c>
      <c r="P2914" s="18"/>
    </row>
    <row r="2915" customFormat="false" ht="18" hidden="false" customHeight="true" outlineLevel="0" collapsed="false">
      <c r="A2915" s="107" t="str">
        <f aca="false">IF($E2915="","",ROW()-3)</f>
        <v/>
      </c>
      <c r="B2915" s="110" t="str">
        <f aca="false">IF($E2915="","",INDEX(成本费用登记表!$B$4:$B$303,269))</f>
        <v/>
      </c>
      <c r="C2915" s="67" t="str">
        <f aca="false">IF($E2915="","","记-"&amp;TEXT($B2915,"YYYYMM")&amp;"-费用")</f>
        <v/>
      </c>
      <c r="D2915" s="107" t="str">
        <f aca="false">IF($E2915="","",INDEX(成本费用登记表!$E$4:$E$303,269))</f>
        <v/>
      </c>
      <c r="E2915" s="67" t="str">
        <f aca="false">IF(INDEX(成本费用登记表!$Q$4:$Y$303,269,4)=0,"",INDEX(成本费用登记表!$Q$4:$Y$303,269,4))</f>
        <v/>
      </c>
      <c r="F2915" s="99" t="str">
        <f aca="false">IF($E2915="","",IFERROR(INDEX(科目表!$A$4:$A$81,MATCH($E2915,科目表!$B$4:$B$81,0)),""))</f>
        <v/>
      </c>
      <c r="G2915" s="67" t="str">
        <f aca="false">IF($E2915="","",IFERROR(INDEX(科目表!$E$4:$E$81,MATCH($E2915,科目表!$B$4:$B$81,0)),""))</f>
        <v/>
      </c>
      <c r="H2915" s="70" t="str">
        <f aca="false">IF($E2915="","",N(INDEX(成本费用登记表!$Q$4:$Y$303,269,5)))</f>
        <v/>
      </c>
      <c r="I2915" s="70" t="str">
        <f aca="false">IF($E2915="","",N(INDEX(成本费用登记表!$Q$4:$Y$303,269,6)))</f>
        <v/>
      </c>
      <c r="J2915" s="67" t="str">
        <f aca="false">IF($E2915="","",INDEX(成本费用登记表!$C$4:$C$303,269))</f>
        <v/>
      </c>
      <c r="K2915" s="67" t="str">
        <f aca="false">IF($E2915="","",INDEX(成本费用登记表!$D$4:$D$303,269))</f>
        <v/>
      </c>
      <c r="L2915" s="107" t="str">
        <f aca="false">IF($E2915="","",INDEX(成本费用登记表!$N$4:$N$303,269))</f>
        <v/>
      </c>
      <c r="M2915" s="107"/>
      <c r="N2915" s="67" t="str">
        <f aca="false">IF($E2915="","","系统")</f>
        <v/>
      </c>
      <c r="O2915" s="67" t="str">
        <f aca="false">IF($E2915="","","自动C")</f>
        <v/>
      </c>
      <c r="P2915" s="18"/>
    </row>
    <row r="2916" customFormat="false" ht="18" hidden="false" customHeight="true" outlineLevel="0" collapsed="false">
      <c r="A2916" s="107" t="str">
        <f aca="false">IF($E2916="","",ROW()-3)</f>
        <v/>
      </c>
      <c r="B2916" s="110" t="str">
        <f aca="false">IF($E2916="","",INDEX(成本费用登记表!$B$4:$B$303,269))</f>
        <v/>
      </c>
      <c r="C2916" s="67" t="str">
        <f aca="false">IF($E2916="","","记-"&amp;TEXT($B2916,"YYYYMM")&amp;"-费用")</f>
        <v/>
      </c>
      <c r="D2916" s="107" t="str">
        <f aca="false">IF($E2916="","",INDEX(成本费用登记表!$E$4:$E$303,269))</f>
        <v/>
      </c>
      <c r="E2916" s="67" t="str">
        <f aca="false">IF(INDEX(成本费用登记表!$Q$4:$Y$303,269,7)=0,"",INDEX(成本费用登记表!$Q$4:$Y$303,269,7))</f>
        <v/>
      </c>
      <c r="F2916" s="99" t="str">
        <f aca="false">IF($E2916="","",IFERROR(INDEX(科目表!$A$4:$A$81,MATCH($E2916,科目表!$B$4:$B$81,0)),""))</f>
        <v/>
      </c>
      <c r="G2916" s="67" t="str">
        <f aca="false">IF($E2916="","",IFERROR(INDEX(科目表!$E$4:$E$81,MATCH($E2916,科目表!$B$4:$B$81,0)),""))</f>
        <v/>
      </c>
      <c r="H2916" s="70" t="str">
        <f aca="false">IF($E2916="","",N(INDEX(成本费用登记表!$Q$4:$Y$303,269,8)))</f>
        <v/>
      </c>
      <c r="I2916" s="70" t="str">
        <f aca="false">IF($E2916="","",N(INDEX(成本费用登记表!$Q$4:$Y$303,269,9)))</f>
        <v/>
      </c>
      <c r="J2916" s="67" t="str">
        <f aca="false">IF($E2916="","",INDEX(成本费用登记表!$C$4:$C$303,269))</f>
        <v/>
      </c>
      <c r="K2916" s="67" t="str">
        <f aca="false">IF($E2916="","",INDEX(成本费用登记表!$D$4:$D$303,269))</f>
        <v/>
      </c>
      <c r="L2916" s="107" t="str">
        <f aca="false">IF($E2916="","",INDEX(成本费用登记表!$N$4:$N$303,269))</f>
        <v/>
      </c>
      <c r="M2916" s="107"/>
      <c r="N2916" s="67" t="str">
        <f aca="false">IF($E2916="","","系统")</f>
        <v/>
      </c>
      <c r="O2916" s="67" t="str">
        <f aca="false">IF($E2916="","","自动C")</f>
        <v/>
      </c>
      <c r="P2916" s="18"/>
    </row>
    <row r="2917" customFormat="false" ht="18" hidden="false" customHeight="true" outlineLevel="0" collapsed="false">
      <c r="A2917" s="107" t="str">
        <f aca="false">IF($E2917="","",ROW()-3)</f>
        <v/>
      </c>
      <c r="B2917" s="110" t="str">
        <f aca="false">IF($E2917="","",INDEX(成本费用登记表!$B$4:$B$303,270))</f>
        <v/>
      </c>
      <c r="C2917" s="67" t="str">
        <f aca="false">IF($E2917="","","记-"&amp;TEXT($B2917,"YYYYMM")&amp;"-费用")</f>
        <v/>
      </c>
      <c r="D2917" s="107" t="str">
        <f aca="false">IF($E2917="","",INDEX(成本费用登记表!$E$4:$E$303,270))</f>
        <v/>
      </c>
      <c r="E2917" s="67" t="str">
        <f aca="false">IF(INDEX(成本费用登记表!$Q$4:$Y$303,270,1)=0,"",INDEX(成本费用登记表!$Q$4:$Y$303,270,1))</f>
        <v/>
      </c>
      <c r="F2917" s="99" t="str">
        <f aca="false">IF($E2917="","",IFERROR(INDEX(科目表!$A$4:$A$81,MATCH($E2917,科目表!$B$4:$B$81,0)),""))</f>
        <v/>
      </c>
      <c r="G2917" s="67" t="str">
        <f aca="false">IF($E2917="","",IFERROR(INDEX(科目表!$E$4:$E$81,MATCH($E2917,科目表!$B$4:$B$81,0)),""))</f>
        <v/>
      </c>
      <c r="H2917" s="70" t="str">
        <f aca="false">IF($E2917="","",N(INDEX(成本费用登记表!$Q$4:$Y$303,270,2)))</f>
        <v/>
      </c>
      <c r="I2917" s="70" t="str">
        <f aca="false">IF($E2917="","",N(INDEX(成本费用登记表!$Q$4:$Y$303,270,3)))</f>
        <v/>
      </c>
      <c r="J2917" s="67" t="str">
        <f aca="false">IF($E2917="","",INDEX(成本费用登记表!$C$4:$C$303,270))</f>
        <v/>
      </c>
      <c r="K2917" s="67" t="str">
        <f aca="false">IF($E2917="","",INDEX(成本费用登记表!$D$4:$D$303,270))</f>
        <v/>
      </c>
      <c r="L2917" s="107" t="str">
        <f aca="false">IF($E2917="","",INDEX(成本费用登记表!$N$4:$N$303,270))</f>
        <v/>
      </c>
      <c r="M2917" s="107"/>
      <c r="N2917" s="67" t="str">
        <f aca="false">IF($E2917="","","系统")</f>
        <v/>
      </c>
      <c r="O2917" s="67" t="str">
        <f aca="false">IF($E2917="","","自动C")</f>
        <v/>
      </c>
      <c r="P2917" s="18"/>
    </row>
    <row r="2918" customFormat="false" ht="18" hidden="false" customHeight="true" outlineLevel="0" collapsed="false">
      <c r="A2918" s="107" t="str">
        <f aca="false">IF($E2918="","",ROW()-3)</f>
        <v/>
      </c>
      <c r="B2918" s="110" t="str">
        <f aca="false">IF($E2918="","",INDEX(成本费用登记表!$B$4:$B$303,270))</f>
        <v/>
      </c>
      <c r="C2918" s="67" t="str">
        <f aca="false">IF($E2918="","","记-"&amp;TEXT($B2918,"YYYYMM")&amp;"-费用")</f>
        <v/>
      </c>
      <c r="D2918" s="107" t="str">
        <f aca="false">IF($E2918="","",INDEX(成本费用登记表!$E$4:$E$303,270))</f>
        <v/>
      </c>
      <c r="E2918" s="67" t="str">
        <f aca="false">IF(INDEX(成本费用登记表!$Q$4:$Y$303,270,4)=0,"",INDEX(成本费用登记表!$Q$4:$Y$303,270,4))</f>
        <v/>
      </c>
      <c r="F2918" s="99" t="str">
        <f aca="false">IF($E2918="","",IFERROR(INDEX(科目表!$A$4:$A$81,MATCH($E2918,科目表!$B$4:$B$81,0)),""))</f>
        <v/>
      </c>
      <c r="G2918" s="67" t="str">
        <f aca="false">IF($E2918="","",IFERROR(INDEX(科目表!$E$4:$E$81,MATCH($E2918,科目表!$B$4:$B$81,0)),""))</f>
        <v/>
      </c>
      <c r="H2918" s="70" t="str">
        <f aca="false">IF($E2918="","",N(INDEX(成本费用登记表!$Q$4:$Y$303,270,5)))</f>
        <v/>
      </c>
      <c r="I2918" s="70" t="str">
        <f aca="false">IF($E2918="","",N(INDEX(成本费用登记表!$Q$4:$Y$303,270,6)))</f>
        <v/>
      </c>
      <c r="J2918" s="67" t="str">
        <f aca="false">IF($E2918="","",INDEX(成本费用登记表!$C$4:$C$303,270))</f>
        <v/>
      </c>
      <c r="K2918" s="67" t="str">
        <f aca="false">IF($E2918="","",INDEX(成本费用登记表!$D$4:$D$303,270))</f>
        <v/>
      </c>
      <c r="L2918" s="107" t="str">
        <f aca="false">IF($E2918="","",INDEX(成本费用登记表!$N$4:$N$303,270))</f>
        <v/>
      </c>
      <c r="M2918" s="107"/>
      <c r="N2918" s="67" t="str">
        <f aca="false">IF($E2918="","","系统")</f>
        <v/>
      </c>
      <c r="O2918" s="67" t="str">
        <f aca="false">IF($E2918="","","自动C")</f>
        <v/>
      </c>
      <c r="P2918" s="18"/>
    </row>
    <row r="2919" customFormat="false" ht="18" hidden="false" customHeight="true" outlineLevel="0" collapsed="false">
      <c r="A2919" s="107" t="str">
        <f aca="false">IF($E2919="","",ROW()-3)</f>
        <v/>
      </c>
      <c r="B2919" s="110" t="str">
        <f aca="false">IF($E2919="","",INDEX(成本费用登记表!$B$4:$B$303,270))</f>
        <v/>
      </c>
      <c r="C2919" s="67" t="str">
        <f aca="false">IF($E2919="","","记-"&amp;TEXT($B2919,"YYYYMM")&amp;"-费用")</f>
        <v/>
      </c>
      <c r="D2919" s="107" t="str">
        <f aca="false">IF($E2919="","",INDEX(成本费用登记表!$E$4:$E$303,270))</f>
        <v/>
      </c>
      <c r="E2919" s="67" t="str">
        <f aca="false">IF(INDEX(成本费用登记表!$Q$4:$Y$303,270,7)=0,"",INDEX(成本费用登记表!$Q$4:$Y$303,270,7))</f>
        <v/>
      </c>
      <c r="F2919" s="99" t="str">
        <f aca="false">IF($E2919="","",IFERROR(INDEX(科目表!$A$4:$A$81,MATCH($E2919,科目表!$B$4:$B$81,0)),""))</f>
        <v/>
      </c>
      <c r="G2919" s="67" t="str">
        <f aca="false">IF($E2919="","",IFERROR(INDEX(科目表!$E$4:$E$81,MATCH($E2919,科目表!$B$4:$B$81,0)),""))</f>
        <v/>
      </c>
      <c r="H2919" s="70" t="str">
        <f aca="false">IF($E2919="","",N(INDEX(成本费用登记表!$Q$4:$Y$303,270,8)))</f>
        <v/>
      </c>
      <c r="I2919" s="70" t="str">
        <f aca="false">IF($E2919="","",N(INDEX(成本费用登记表!$Q$4:$Y$303,270,9)))</f>
        <v/>
      </c>
      <c r="J2919" s="67" t="str">
        <f aca="false">IF($E2919="","",INDEX(成本费用登记表!$C$4:$C$303,270))</f>
        <v/>
      </c>
      <c r="K2919" s="67" t="str">
        <f aca="false">IF($E2919="","",INDEX(成本费用登记表!$D$4:$D$303,270))</f>
        <v/>
      </c>
      <c r="L2919" s="107" t="str">
        <f aca="false">IF($E2919="","",INDEX(成本费用登记表!$N$4:$N$303,270))</f>
        <v/>
      </c>
      <c r="M2919" s="107"/>
      <c r="N2919" s="67" t="str">
        <f aca="false">IF($E2919="","","系统")</f>
        <v/>
      </c>
      <c r="O2919" s="67" t="str">
        <f aca="false">IF($E2919="","","自动C")</f>
        <v/>
      </c>
      <c r="P2919" s="18"/>
    </row>
    <row r="2920" customFormat="false" ht="18" hidden="false" customHeight="true" outlineLevel="0" collapsed="false">
      <c r="A2920" s="107" t="str">
        <f aca="false">IF($E2920="","",ROW()-3)</f>
        <v/>
      </c>
      <c r="B2920" s="110" t="str">
        <f aca="false">IF($E2920="","",INDEX(成本费用登记表!$B$4:$B$303,271))</f>
        <v/>
      </c>
      <c r="C2920" s="67" t="str">
        <f aca="false">IF($E2920="","","记-"&amp;TEXT($B2920,"YYYYMM")&amp;"-费用")</f>
        <v/>
      </c>
      <c r="D2920" s="107" t="str">
        <f aca="false">IF($E2920="","",INDEX(成本费用登记表!$E$4:$E$303,271))</f>
        <v/>
      </c>
      <c r="E2920" s="67" t="str">
        <f aca="false">IF(INDEX(成本费用登记表!$Q$4:$Y$303,271,1)=0,"",INDEX(成本费用登记表!$Q$4:$Y$303,271,1))</f>
        <v/>
      </c>
      <c r="F2920" s="99" t="str">
        <f aca="false">IF($E2920="","",IFERROR(INDEX(科目表!$A$4:$A$81,MATCH($E2920,科目表!$B$4:$B$81,0)),""))</f>
        <v/>
      </c>
      <c r="G2920" s="67" t="str">
        <f aca="false">IF($E2920="","",IFERROR(INDEX(科目表!$E$4:$E$81,MATCH($E2920,科目表!$B$4:$B$81,0)),""))</f>
        <v/>
      </c>
      <c r="H2920" s="70" t="str">
        <f aca="false">IF($E2920="","",N(INDEX(成本费用登记表!$Q$4:$Y$303,271,2)))</f>
        <v/>
      </c>
      <c r="I2920" s="70" t="str">
        <f aca="false">IF($E2920="","",N(INDEX(成本费用登记表!$Q$4:$Y$303,271,3)))</f>
        <v/>
      </c>
      <c r="J2920" s="67" t="str">
        <f aca="false">IF($E2920="","",INDEX(成本费用登记表!$C$4:$C$303,271))</f>
        <v/>
      </c>
      <c r="K2920" s="67" t="str">
        <f aca="false">IF($E2920="","",INDEX(成本费用登记表!$D$4:$D$303,271))</f>
        <v/>
      </c>
      <c r="L2920" s="107" t="str">
        <f aca="false">IF($E2920="","",INDEX(成本费用登记表!$N$4:$N$303,271))</f>
        <v/>
      </c>
      <c r="M2920" s="107"/>
      <c r="N2920" s="67" t="str">
        <f aca="false">IF($E2920="","","系统")</f>
        <v/>
      </c>
      <c r="O2920" s="67" t="str">
        <f aca="false">IF($E2920="","","自动C")</f>
        <v/>
      </c>
      <c r="P2920" s="18"/>
    </row>
    <row r="2921" customFormat="false" ht="18" hidden="false" customHeight="true" outlineLevel="0" collapsed="false">
      <c r="A2921" s="107" t="str">
        <f aca="false">IF($E2921="","",ROW()-3)</f>
        <v/>
      </c>
      <c r="B2921" s="110" t="str">
        <f aca="false">IF($E2921="","",INDEX(成本费用登记表!$B$4:$B$303,271))</f>
        <v/>
      </c>
      <c r="C2921" s="67" t="str">
        <f aca="false">IF($E2921="","","记-"&amp;TEXT($B2921,"YYYYMM")&amp;"-费用")</f>
        <v/>
      </c>
      <c r="D2921" s="107" t="str">
        <f aca="false">IF($E2921="","",INDEX(成本费用登记表!$E$4:$E$303,271))</f>
        <v/>
      </c>
      <c r="E2921" s="67" t="str">
        <f aca="false">IF(INDEX(成本费用登记表!$Q$4:$Y$303,271,4)=0,"",INDEX(成本费用登记表!$Q$4:$Y$303,271,4))</f>
        <v/>
      </c>
      <c r="F2921" s="99" t="str">
        <f aca="false">IF($E2921="","",IFERROR(INDEX(科目表!$A$4:$A$81,MATCH($E2921,科目表!$B$4:$B$81,0)),""))</f>
        <v/>
      </c>
      <c r="G2921" s="67" t="str">
        <f aca="false">IF($E2921="","",IFERROR(INDEX(科目表!$E$4:$E$81,MATCH($E2921,科目表!$B$4:$B$81,0)),""))</f>
        <v/>
      </c>
      <c r="H2921" s="70" t="str">
        <f aca="false">IF($E2921="","",N(INDEX(成本费用登记表!$Q$4:$Y$303,271,5)))</f>
        <v/>
      </c>
      <c r="I2921" s="70" t="str">
        <f aca="false">IF($E2921="","",N(INDEX(成本费用登记表!$Q$4:$Y$303,271,6)))</f>
        <v/>
      </c>
      <c r="J2921" s="67" t="str">
        <f aca="false">IF($E2921="","",INDEX(成本费用登记表!$C$4:$C$303,271))</f>
        <v/>
      </c>
      <c r="K2921" s="67" t="str">
        <f aca="false">IF($E2921="","",INDEX(成本费用登记表!$D$4:$D$303,271))</f>
        <v/>
      </c>
      <c r="L2921" s="107" t="str">
        <f aca="false">IF($E2921="","",INDEX(成本费用登记表!$N$4:$N$303,271))</f>
        <v/>
      </c>
      <c r="M2921" s="107"/>
      <c r="N2921" s="67" t="str">
        <f aca="false">IF($E2921="","","系统")</f>
        <v/>
      </c>
      <c r="O2921" s="67" t="str">
        <f aca="false">IF($E2921="","","自动C")</f>
        <v/>
      </c>
      <c r="P2921" s="18"/>
    </row>
    <row r="2922" customFormat="false" ht="18" hidden="false" customHeight="true" outlineLevel="0" collapsed="false">
      <c r="A2922" s="107" t="str">
        <f aca="false">IF($E2922="","",ROW()-3)</f>
        <v/>
      </c>
      <c r="B2922" s="110" t="str">
        <f aca="false">IF($E2922="","",INDEX(成本费用登记表!$B$4:$B$303,271))</f>
        <v/>
      </c>
      <c r="C2922" s="67" t="str">
        <f aca="false">IF($E2922="","","记-"&amp;TEXT($B2922,"YYYYMM")&amp;"-费用")</f>
        <v/>
      </c>
      <c r="D2922" s="107" t="str">
        <f aca="false">IF($E2922="","",INDEX(成本费用登记表!$E$4:$E$303,271))</f>
        <v/>
      </c>
      <c r="E2922" s="67" t="str">
        <f aca="false">IF(INDEX(成本费用登记表!$Q$4:$Y$303,271,7)=0,"",INDEX(成本费用登记表!$Q$4:$Y$303,271,7))</f>
        <v/>
      </c>
      <c r="F2922" s="99" t="str">
        <f aca="false">IF($E2922="","",IFERROR(INDEX(科目表!$A$4:$A$81,MATCH($E2922,科目表!$B$4:$B$81,0)),""))</f>
        <v/>
      </c>
      <c r="G2922" s="67" t="str">
        <f aca="false">IF($E2922="","",IFERROR(INDEX(科目表!$E$4:$E$81,MATCH($E2922,科目表!$B$4:$B$81,0)),""))</f>
        <v/>
      </c>
      <c r="H2922" s="70" t="str">
        <f aca="false">IF($E2922="","",N(INDEX(成本费用登记表!$Q$4:$Y$303,271,8)))</f>
        <v/>
      </c>
      <c r="I2922" s="70" t="str">
        <f aca="false">IF($E2922="","",N(INDEX(成本费用登记表!$Q$4:$Y$303,271,9)))</f>
        <v/>
      </c>
      <c r="J2922" s="67" t="str">
        <f aca="false">IF($E2922="","",INDEX(成本费用登记表!$C$4:$C$303,271))</f>
        <v/>
      </c>
      <c r="K2922" s="67" t="str">
        <f aca="false">IF($E2922="","",INDEX(成本费用登记表!$D$4:$D$303,271))</f>
        <v/>
      </c>
      <c r="L2922" s="107" t="str">
        <f aca="false">IF($E2922="","",INDEX(成本费用登记表!$N$4:$N$303,271))</f>
        <v/>
      </c>
      <c r="M2922" s="107"/>
      <c r="N2922" s="67" t="str">
        <f aca="false">IF($E2922="","","系统")</f>
        <v/>
      </c>
      <c r="O2922" s="67" t="str">
        <f aca="false">IF($E2922="","","自动C")</f>
        <v/>
      </c>
      <c r="P2922" s="18"/>
    </row>
    <row r="2923" customFormat="false" ht="18" hidden="false" customHeight="true" outlineLevel="0" collapsed="false">
      <c r="A2923" s="107" t="str">
        <f aca="false">IF($E2923="","",ROW()-3)</f>
        <v/>
      </c>
      <c r="B2923" s="110" t="str">
        <f aca="false">IF($E2923="","",INDEX(成本费用登记表!$B$4:$B$303,272))</f>
        <v/>
      </c>
      <c r="C2923" s="67" t="str">
        <f aca="false">IF($E2923="","","记-"&amp;TEXT($B2923,"YYYYMM")&amp;"-费用")</f>
        <v/>
      </c>
      <c r="D2923" s="107" t="str">
        <f aca="false">IF($E2923="","",INDEX(成本费用登记表!$E$4:$E$303,272))</f>
        <v/>
      </c>
      <c r="E2923" s="67" t="str">
        <f aca="false">IF(INDEX(成本费用登记表!$Q$4:$Y$303,272,1)=0,"",INDEX(成本费用登记表!$Q$4:$Y$303,272,1))</f>
        <v/>
      </c>
      <c r="F2923" s="99" t="str">
        <f aca="false">IF($E2923="","",IFERROR(INDEX(科目表!$A$4:$A$81,MATCH($E2923,科目表!$B$4:$B$81,0)),""))</f>
        <v/>
      </c>
      <c r="G2923" s="67" t="str">
        <f aca="false">IF($E2923="","",IFERROR(INDEX(科目表!$E$4:$E$81,MATCH($E2923,科目表!$B$4:$B$81,0)),""))</f>
        <v/>
      </c>
      <c r="H2923" s="70" t="str">
        <f aca="false">IF($E2923="","",N(INDEX(成本费用登记表!$Q$4:$Y$303,272,2)))</f>
        <v/>
      </c>
      <c r="I2923" s="70" t="str">
        <f aca="false">IF($E2923="","",N(INDEX(成本费用登记表!$Q$4:$Y$303,272,3)))</f>
        <v/>
      </c>
      <c r="J2923" s="67" t="str">
        <f aca="false">IF($E2923="","",INDEX(成本费用登记表!$C$4:$C$303,272))</f>
        <v/>
      </c>
      <c r="K2923" s="67" t="str">
        <f aca="false">IF($E2923="","",INDEX(成本费用登记表!$D$4:$D$303,272))</f>
        <v/>
      </c>
      <c r="L2923" s="107" t="str">
        <f aca="false">IF($E2923="","",INDEX(成本费用登记表!$N$4:$N$303,272))</f>
        <v/>
      </c>
      <c r="M2923" s="107"/>
      <c r="N2923" s="67" t="str">
        <f aca="false">IF($E2923="","","系统")</f>
        <v/>
      </c>
      <c r="O2923" s="67" t="str">
        <f aca="false">IF($E2923="","","自动C")</f>
        <v/>
      </c>
      <c r="P2923" s="18"/>
    </row>
    <row r="2924" customFormat="false" ht="18" hidden="false" customHeight="true" outlineLevel="0" collapsed="false">
      <c r="A2924" s="107" t="str">
        <f aca="false">IF($E2924="","",ROW()-3)</f>
        <v/>
      </c>
      <c r="B2924" s="110" t="str">
        <f aca="false">IF($E2924="","",INDEX(成本费用登记表!$B$4:$B$303,272))</f>
        <v/>
      </c>
      <c r="C2924" s="67" t="str">
        <f aca="false">IF($E2924="","","记-"&amp;TEXT($B2924,"YYYYMM")&amp;"-费用")</f>
        <v/>
      </c>
      <c r="D2924" s="107" t="str">
        <f aca="false">IF($E2924="","",INDEX(成本费用登记表!$E$4:$E$303,272))</f>
        <v/>
      </c>
      <c r="E2924" s="67" t="str">
        <f aca="false">IF(INDEX(成本费用登记表!$Q$4:$Y$303,272,4)=0,"",INDEX(成本费用登记表!$Q$4:$Y$303,272,4))</f>
        <v/>
      </c>
      <c r="F2924" s="99" t="str">
        <f aca="false">IF($E2924="","",IFERROR(INDEX(科目表!$A$4:$A$81,MATCH($E2924,科目表!$B$4:$B$81,0)),""))</f>
        <v/>
      </c>
      <c r="G2924" s="67" t="str">
        <f aca="false">IF($E2924="","",IFERROR(INDEX(科目表!$E$4:$E$81,MATCH($E2924,科目表!$B$4:$B$81,0)),""))</f>
        <v/>
      </c>
      <c r="H2924" s="70" t="str">
        <f aca="false">IF($E2924="","",N(INDEX(成本费用登记表!$Q$4:$Y$303,272,5)))</f>
        <v/>
      </c>
      <c r="I2924" s="70" t="str">
        <f aca="false">IF($E2924="","",N(INDEX(成本费用登记表!$Q$4:$Y$303,272,6)))</f>
        <v/>
      </c>
      <c r="J2924" s="67" t="str">
        <f aca="false">IF($E2924="","",INDEX(成本费用登记表!$C$4:$C$303,272))</f>
        <v/>
      </c>
      <c r="K2924" s="67" t="str">
        <f aca="false">IF($E2924="","",INDEX(成本费用登记表!$D$4:$D$303,272))</f>
        <v/>
      </c>
      <c r="L2924" s="107" t="str">
        <f aca="false">IF($E2924="","",INDEX(成本费用登记表!$N$4:$N$303,272))</f>
        <v/>
      </c>
      <c r="M2924" s="107"/>
      <c r="N2924" s="67" t="str">
        <f aca="false">IF($E2924="","","系统")</f>
        <v/>
      </c>
      <c r="O2924" s="67" t="str">
        <f aca="false">IF($E2924="","","自动C")</f>
        <v/>
      </c>
      <c r="P2924" s="18"/>
    </row>
    <row r="2925" customFormat="false" ht="18" hidden="false" customHeight="true" outlineLevel="0" collapsed="false">
      <c r="A2925" s="107" t="str">
        <f aca="false">IF($E2925="","",ROW()-3)</f>
        <v/>
      </c>
      <c r="B2925" s="110" t="str">
        <f aca="false">IF($E2925="","",INDEX(成本费用登记表!$B$4:$B$303,272))</f>
        <v/>
      </c>
      <c r="C2925" s="67" t="str">
        <f aca="false">IF($E2925="","","记-"&amp;TEXT($B2925,"YYYYMM")&amp;"-费用")</f>
        <v/>
      </c>
      <c r="D2925" s="107" t="str">
        <f aca="false">IF($E2925="","",INDEX(成本费用登记表!$E$4:$E$303,272))</f>
        <v/>
      </c>
      <c r="E2925" s="67" t="str">
        <f aca="false">IF(INDEX(成本费用登记表!$Q$4:$Y$303,272,7)=0,"",INDEX(成本费用登记表!$Q$4:$Y$303,272,7))</f>
        <v/>
      </c>
      <c r="F2925" s="99" t="str">
        <f aca="false">IF($E2925="","",IFERROR(INDEX(科目表!$A$4:$A$81,MATCH($E2925,科目表!$B$4:$B$81,0)),""))</f>
        <v/>
      </c>
      <c r="G2925" s="67" t="str">
        <f aca="false">IF($E2925="","",IFERROR(INDEX(科目表!$E$4:$E$81,MATCH($E2925,科目表!$B$4:$B$81,0)),""))</f>
        <v/>
      </c>
      <c r="H2925" s="70" t="str">
        <f aca="false">IF($E2925="","",N(INDEX(成本费用登记表!$Q$4:$Y$303,272,8)))</f>
        <v/>
      </c>
      <c r="I2925" s="70" t="str">
        <f aca="false">IF($E2925="","",N(INDEX(成本费用登记表!$Q$4:$Y$303,272,9)))</f>
        <v/>
      </c>
      <c r="J2925" s="67" t="str">
        <f aca="false">IF($E2925="","",INDEX(成本费用登记表!$C$4:$C$303,272))</f>
        <v/>
      </c>
      <c r="K2925" s="67" t="str">
        <f aca="false">IF($E2925="","",INDEX(成本费用登记表!$D$4:$D$303,272))</f>
        <v/>
      </c>
      <c r="L2925" s="107" t="str">
        <f aca="false">IF($E2925="","",INDEX(成本费用登记表!$N$4:$N$303,272))</f>
        <v/>
      </c>
      <c r="M2925" s="107"/>
      <c r="N2925" s="67" t="str">
        <f aca="false">IF($E2925="","","系统")</f>
        <v/>
      </c>
      <c r="O2925" s="67" t="str">
        <f aca="false">IF($E2925="","","自动C")</f>
        <v/>
      </c>
      <c r="P2925" s="18"/>
    </row>
    <row r="2926" customFormat="false" ht="18" hidden="false" customHeight="true" outlineLevel="0" collapsed="false">
      <c r="A2926" s="107" t="str">
        <f aca="false">IF($E2926="","",ROW()-3)</f>
        <v/>
      </c>
      <c r="B2926" s="110" t="str">
        <f aca="false">IF($E2926="","",INDEX(成本费用登记表!$B$4:$B$303,273))</f>
        <v/>
      </c>
      <c r="C2926" s="67" t="str">
        <f aca="false">IF($E2926="","","记-"&amp;TEXT($B2926,"YYYYMM")&amp;"-费用")</f>
        <v/>
      </c>
      <c r="D2926" s="107" t="str">
        <f aca="false">IF($E2926="","",INDEX(成本费用登记表!$E$4:$E$303,273))</f>
        <v/>
      </c>
      <c r="E2926" s="67" t="str">
        <f aca="false">IF(INDEX(成本费用登记表!$Q$4:$Y$303,273,1)=0,"",INDEX(成本费用登记表!$Q$4:$Y$303,273,1))</f>
        <v/>
      </c>
      <c r="F2926" s="99" t="str">
        <f aca="false">IF($E2926="","",IFERROR(INDEX(科目表!$A$4:$A$81,MATCH($E2926,科目表!$B$4:$B$81,0)),""))</f>
        <v/>
      </c>
      <c r="G2926" s="67" t="str">
        <f aca="false">IF($E2926="","",IFERROR(INDEX(科目表!$E$4:$E$81,MATCH($E2926,科目表!$B$4:$B$81,0)),""))</f>
        <v/>
      </c>
      <c r="H2926" s="70" t="str">
        <f aca="false">IF($E2926="","",N(INDEX(成本费用登记表!$Q$4:$Y$303,273,2)))</f>
        <v/>
      </c>
      <c r="I2926" s="70" t="str">
        <f aca="false">IF($E2926="","",N(INDEX(成本费用登记表!$Q$4:$Y$303,273,3)))</f>
        <v/>
      </c>
      <c r="J2926" s="67" t="str">
        <f aca="false">IF($E2926="","",INDEX(成本费用登记表!$C$4:$C$303,273))</f>
        <v/>
      </c>
      <c r="K2926" s="67" t="str">
        <f aca="false">IF($E2926="","",INDEX(成本费用登记表!$D$4:$D$303,273))</f>
        <v/>
      </c>
      <c r="L2926" s="107" t="str">
        <f aca="false">IF($E2926="","",INDEX(成本费用登记表!$N$4:$N$303,273))</f>
        <v/>
      </c>
      <c r="M2926" s="107"/>
      <c r="N2926" s="67" t="str">
        <f aca="false">IF($E2926="","","系统")</f>
        <v/>
      </c>
      <c r="O2926" s="67" t="str">
        <f aca="false">IF($E2926="","","自动C")</f>
        <v/>
      </c>
      <c r="P2926" s="18"/>
    </row>
    <row r="2927" customFormat="false" ht="18" hidden="false" customHeight="true" outlineLevel="0" collapsed="false">
      <c r="A2927" s="107" t="str">
        <f aca="false">IF($E2927="","",ROW()-3)</f>
        <v/>
      </c>
      <c r="B2927" s="110" t="str">
        <f aca="false">IF($E2927="","",INDEX(成本费用登记表!$B$4:$B$303,273))</f>
        <v/>
      </c>
      <c r="C2927" s="67" t="str">
        <f aca="false">IF($E2927="","","记-"&amp;TEXT($B2927,"YYYYMM")&amp;"-费用")</f>
        <v/>
      </c>
      <c r="D2927" s="107" t="str">
        <f aca="false">IF($E2927="","",INDEX(成本费用登记表!$E$4:$E$303,273))</f>
        <v/>
      </c>
      <c r="E2927" s="67" t="str">
        <f aca="false">IF(INDEX(成本费用登记表!$Q$4:$Y$303,273,4)=0,"",INDEX(成本费用登记表!$Q$4:$Y$303,273,4))</f>
        <v/>
      </c>
      <c r="F2927" s="99" t="str">
        <f aca="false">IF($E2927="","",IFERROR(INDEX(科目表!$A$4:$A$81,MATCH($E2927,科目表!$B$4:$B$81,0)),""))</f>
        <v/>
      </c>
      <c r="G2927" s="67" t="str">
        <f aca="false">IF($E2927="","",IFERROR(INDEX(科目表!$E$4:$E$81,MATCH($E2927,科目表!$B$4:$B$81,0)),""))</f>
        <v/>
      </c>
      <c r="H2927" s="70" t="str">
        <f aca="false">IF($E2927="","",N(INDEX(成本费用登记表!$Q$4:$Y$303,273,5)))</f>
        <v/>
      </c>
      <c r="I2927" s="70" t="str">
        <f aca="false">IF($E2927="","",N(INDEX(成本费用登记表!$Q$4:$Y$303,273,6)))</f>
        <v/>
      </c>
      <c r="J2927" s="67" t="str">
        <f aca="false">IF($E2927="","",INDEX(成本费用登记表!$C$4:$C$303,273))</f>
        <v/>
      </c>
      <c r="K2927" s="67" t="str">
        <f aca="false">IF($E2927="","",INDEX(成本费用登记表!$D$4:$D$303,273))</f>
        <v/>
      </c>
      <c r="L2927" s="107" t="str">
        <f aca="false">IF($E2927="","",INDEX(成本费用登记表!$N$4:$N$303,273))</f>
        <v/>
      </c>
      <c r="M2927" s="107"/>
      <c r="N2927" s="67" t="str">
        <f aca="false">IF($E2927="","","系统")</f>
        <v/>
      </c>
      <c r="O2927" s="67" t="str">
        <f aca="false">IF($E2927="","","自动C")</f>
        <v/>
      </c>
      <c r="P2927" s="18"/>
    </row>
    <row r="2928" customFormat="false" ht="18" hidden="false" customHeight="true" outlineLevel="0" collapsed="false">
      <c r="A2928" s="107" t="str">
        <f aca="false">IF($E2928="","",ROW()-3)</f>
        <v/>
      </c>
      <c r="B2928" s="110" t="str">
        <f aca="false">IF($E2928="","",INDEX(成本费用登记表!$B$4:$B$303,273))</f>
        <v/>
      </c>
      <c r="C2928" s="67" t="str">
        <f aca="false">IF($E2928="","","记-"&amp;TEXT($B2928,"YYYYMM")&amp;"-费用")</f>
        <v/>
      </c>
      <c r="D2928" s="107" t="str">
        <f aca="false">IF($E2928="","",INDEX(成本费用登记表!$E$4:$E$303,273))</f>
        <v/>
      </c>
      <c r="E2928" s="67" t="str">
        <f aca="false">IF(INDEX(成本费用登记表!$Q$4:$Y$303,273,7)=0,"",INDEX(成本费用登记表!$Q$4:$Y$303,273,7))</f>
        <v/>
      </c>
      <c r="F2928" s="99" t="str">
        <f aca="false">IF($E2928="","",IFERROR(INDEX(科目表!$A$4:$A$81,MATCH($E2928,科目表!$B$4:$B$81,0)),""))</f>
        <v/>
      </c>
      <c r="G2928" s="67" t="str">
        <f aca="false">IF($E2928="","",IFERROR(INDEX(科目表!$E$4:$E$81,MATCH($E2928,科目表!$B$4:$B$81,0)),""))</f>
        <v/>
      </c>
      <c r="H2928" s="70" t="str">
        <f aca="false">IF($E2928="","",N(INDEX(成本费用登记表!$Q$4:$Y$303,273,8)))</f>
        <v/>
      </c>
      <c r="I2928" s="70" t="str">
        <f aca="false">IF($E2928="","",N(INDEX(成本费用登记表!$Q$4:$Y$303,273,9)))</f>
        <v/>
      </c>
      <c r="J2928" s="67" t="str">
        <f aca="false">IF($E2928="","",INDEX(成本费用登记表!$C$4:$C$303,273))</f>
        <v/>
      </c>
      <c r="K2928" s="67" t="str">
        <f aca="false">IF($E2928="","",INDEX(成本费用登记表!$D$4:$D$303,273))</f>
        <v/>
      </c>
      <c r="L2928" s="107" t="str">
        <f aca="false">IF($E2928="","",INDEX(成本费用登记表!$N$4:$N$303,273))</f>
        <v/>
      </c>
      <c r="M2928" s="107"/>
      <c r="N2928" s="67" t="str">
        <f aca="false">IF($E2928="","","系统")</f>
        <v/>
      </c>
      <c r="O2928" s="67" t="str">
        <f aca="false">IF($E2928="","","自动C")</f>
        <v/>
      </c>
      <c r="P2928" s="18"/>
    </row>
    <row r="2929" customFormat="false" ht="18" hidden="false" customHeight="true" outlineLevel="0" collapsed="false">
      <c r="A2929" s="107" t="str">
        <f aca="false">IF($E2929="","",ROW()-3)</f>
        <v/>
      </c>
      <c r="B2929" s="110" t="str">
        <f aca="false">IF($E2929="","",INDEX(成本费用登记表!$B$4:$B$303,274))</f>
        <v/>
      </c>
      <c r="C2929" s="67" t="str">
        <f aca="false">IF($E2929="","","记-"&amp;TEXT($B2929,"YYYYMM")&amp;"-费用")</f>
        <v/>
      </c>
      <c r="D2929" s="107" t="str">
        <f aca="false">IF($E2929="","",INDEX(成本费用登记表!$E$4:$E$303,274))</f>
        <v/>
      </c>
      <c r="E2929" s="67" t="str">
        <f aca="false">IF(INDEX(成本费用登记表!$Q$4:$Y$303,274,1)=0,"",INDEX(成本费用登记表!$Q$4:$Y$303,274,1))</f>
        <v/>
      </c>
      <c r="F2929" s="99" t="str">
        <f aca="false">IF($E2929="","",IFERROR(INDEX(科目表!$A$4:$A$81,MATCH($E2929,科目表!$B$4:$B$81,0)),""))</f>
        <v/>
      </c>
      <c r="G2929" s="67" t="str">
        <f aca="false">IF($E2929="","",IFERROR(INDEX(科目表!$E$4:$E$81,MATCH($E2929,科目表!$B$4:$B$81,0)),""))</f>
        <v/>
      </c>
      <c r="H2929" s="70" t="str">
        <f aca="false">IF($E2929="","",N(INDEX(成本费用登记表!$Q$4:$Y$303,274,2)))</f>
        <v/>
      </c>
      <c r="I2929" s="70" t="str">
        <f aca="false">IF($E2929="","",N(INDEX(成本费用登记表!$Q$4:$Y$303,274,3)))</f>
        <v/>
      </c>
      <c r="J2929" s="67" t="str">
        <f aca="false">IF($E2929="","",INDEX(成本费用登记表!$C$4:$C$303,274))</f>
        <v/>
      </c>
      <c r="K2929" s="67" t="str">
        <f aca="false">IF($E2929="","",INDEX(成本费用登记表!$D$4:$D$303,274))</f>
        <v/>
      </c>
      <c r="L2929" s="107" t="str">
        <f aca="false">IF($E2929="","",INDEX(成本费用登记表!$N$4:$N$303,274))</f>
        <v/>
      </c>
      <c r="M2929" s="107"/>
      <c r="N2929" s="67" t="str">
        <f aca="false">IF($E2929="","","系统")</f>
        <v/>
      </c>
      <c r="O2929" s="67" t="str">
        <f aca="false">IF($E2929="","","自动C")</f>
        <v/>
      </c>
      <c r="P2929" s="18"/>
    </row>
    <row r="2930" customFormat="false" ht="18" hidden="false" customHeight="true" outlineLevel="0" collapsed="false">
      <c r="A2930" s="107" t="str">
        <f aca="false">IF($E2930="","",ROW()-3)</f>
        <v/>
      </c>
      <c r="B2930" s="110" t="str">
        <f aca="false">IF($E2930="","",INDEX(成本费用登记表!$B$4:$B$303,274))</f>
        <v/>
      </c>
      <c r="C2930" s="67" t="str">
        <f aca="false">IF($E2930="","","记-"&amp;TEXT($B2930,"YYYYMM")&amp;"-费用")</f>
        <v/>
      </c>
      <c r="D2930" s="107" t="str">
        <f aca="false">IF($E2930="","",INDEX(成本费用登记表!$E$4:$E$303,274))</f>
        <v/>
      </c>
      <c r="E2930" s="67" t="str">
        <f aca="false">IF(INDEX(成本费用登记表!$Q$4:$Y$303,274,4)=0,"",INDEX(成本费用登记表!$Q$4:$Y$303,274,4))</f>
        <v/>
      </c>
      <c r="F2930" s="99" t="str">
        <f aca="false">IF($E2930="","",IFERROR(INDEX(科目表!$A$4:$A$81,MATCH($E2930,科目表!$B$4:$B$81,0)),""))</f>
        <v/>
      </c>
      <c r="G2930" s="67" t="str">
        <f aca="false">IF($E2930="","",IFERROR(INDEX(科目表!$E$4:$E$81,MATCH($E2930,科目表!$B$4:$B$81,0)),""))</f>
        <v/>
      </c>
      <c r="H2930" s="70" t="str">
        <f aca="false">IF($E2930="","",N(INDEX(成本费用登记表!$Q$4:$Y$303,274,5)))</f>
        <v/>
      </c>
      <c r="I2930" s="70" t="str">
        <f aca="false">IF($E2930="","",N(INDEX(成本费用登记表!$Q$4:$Y$303,274,6)))</f>
        <v/>
      </c>
      <c r="J2930" s="67" t="str">
        <f aca="false">IF($E2930="","",INDEX(成本费用登记表!$C$4:$C$303,274))</f>
        <v/>
      </c>
      <c r="K2930" s="67" t="str">
        <f aca="false">IF($E2930="","",INDEX(成本费用登记表!$D$4:$D$303,274))</f>
        <v/>
      </c>
      <c r="L2930" s="107" t="str">
        <f aca="false">IF($E2930="","",INDEX(成本费用登记表!$N$4:$N$303,274))</f>
        <v/>
      </c>
      <c r="M2930" s="107"/>
      <c r="N2930" s="67" t="str">
        <f aca="false">IF($E2930="","","系统")</f>
        <v/>
      </c>
      <c r="O2930" s="67" t="str">
        <f aca="false">IF($E2930="","","自动C")</f>
        <v/>
      </c>
      <c r="P2930" s="18"/>
    </row>
    <row r="2931" customFormat="false" ht="18" hidden="false" customHeight="true" outlineLevel="0" collapsed="false">
      <c r="A2931" s="107" t="str">
        <f aca="false">IF($E2931="","",ROW()-3)</f>
        <v/>
      </c>
      <c r="B2931" s="110" t="str">
        <f aca="false">IF($E2931="","",INDEX(成本费用登记表!$B$4:$B$303,274))</f>
        <v/>
      </c>
      <c r="C2931" s="67" t="str">
        <f aca="false">IF($E2931="","","记-"&amp;TEXT($B2931,"YYYYMM")&amp;"-费用")</f>
        <v/>
      </c>
      <c r="D2931" s="107" t="str">
        <f aca="false">IF($E2931="","",INDEX(成本费用登记表!$E$4:$E$303,274))</f>
        <v/>
      </c>
      <c r="E2931" s="67" t="str">
        <f aca="false">IF(INDEX(成本费用登记表!$Q$4:$Y$303,274,7)=0,"",INDEX(成本费用登记表!$Q$4:$Y$303,274,7))</f>
        <v/>
      </c>
      <c r="F2931" s="99" t="str">
        <f aca="false">IF($E2931="","",IFERROR(INDEX(科目表!$A$4:$A$81,MATCH($E2931,科目表!$B$4:$B$81,0)),""))</f>
        <v/>
      </c>
      <c r="G2931" s="67" t="str">
        <f aca="false">IF($E2931="","",IFERROR(INDEX(科目表!$E$4:$E$81,MATCH($E2931,科目表!$B$4:$B$81,0)),""))</f>
        <v/>
      </c>
      <c r="H2931" s="70" t="str">
        <f aca="false">IF($E2931="","",N(INDEX(成本费用登记表!$Q$4:$Y$303,274,8)))</f>
        <v/>
      </c>
      <c r="I2931" s="70" t="str">
        <f aca="false">IF($E2931="","",N(INDEX(成本费用登记表!$Q$4:$Y$303,274,9)))</f>
        <v/>
      </c>
      <c r="J2931" s="67" t="str">
        <f aca="false">IF($E2931="","",INDEX(成本费用登记表!$C$4:$C$303,274))</f>
        <v/>
      </c>
      <c r="K2931" s="67" t="str">
        <f aca="false">IF($E2931="","",INDEX(成本费用登记表!$D$4:$D$303,274))</f>
        <v/>
      </c>
      <c r="L2931" s="107" t="str">
        <f aca="false">IF($E2931="","",INDEX(成本费用登记表!$N$4:$N$303,274))</f>
        <v/>
      </c>
      <c r="M2931" s="107"/>
      <c r="N2931" s="67" t="str">
        <f aca="false">IF($E2931="","","系统")</f>
        <v/>
      </c>
      <c r="O2931" s="67" t="str">
        <f aca="false">IF($E2931="","","自动C")</f>
        <v/>
      </c>
      <c r="P2931" s="18"/>
    </row>
    <row r="2932" customFormat="false" ht="18" hidden="false" customHeight="true" outlineLevel="0" collapsed="false">
      <c r="A2932" s="107" t="str">
        <f aca="false">IF($E2932="","",ROW()-3)</f>
        <v/>
      </c>
      <c r="B2932" s="110" t="str">
        <f aca="false">IF($E2932="","",INDEX(成本费用登记表!$B$4:$B$303,275))</f>
        <v/>
      </c>
      <c r="C2932" s="67" t="str">
        <f aca="false">IF($E2932="","","记-"&amp;TEXT($B2932,"YYYYMM")&amp;"-费用")</f>
        <v/>
      </c>
      <c r="D2932" s="107" t="str">
        <f aca="false">IF($E2932="","",INDEX(成本费用登记表!$E$4:$E$303,275))</f>
        <v/>
      </c>
      <c r="E2932" s="67" t="str">
        <f aca="false">IF(INDEX(成本费用登记表!$Q$4:$Y$303,275,1)=0,"",INDEX(成本费用登记表!$Q$4:$Y$303,275,1))</f>
        <v/>
      </c>
      <c r="F2932" s="99" t="str">
        <f aca="false">IF($E2932="","",IFERROR(INDEX(科目表!$A$4:$A$81,MATCH($E2932,科目表!$B$4:$B$81,0)),""))</f>
        <v/>
      </c>
      <c r="G2932" s="67" t="str">
        <f aca="false">IF($E2932="","",IFERROR(INDEX(科目表!$E$4:$E$81,MATCH($E2932,科目表!$B$4:$B$81,0)),""))</f>
        <v/>
      </c>
      <c r="H2932" s="70" t="str">
        <f aca="false">IF($E2932="","",N(INDEX(成本费用登记表!$Q$4:$Y$303,275,2)))</f>
        <v/>
      </c>
      <c r="I2932" s="70" t="str">
        <f aca="false">IF($E2932="","",N(INDEX(成本费用登记表!$Q$4:$Y$303,275,3)))</f>
        <v/>
      </c>
      <c r="J2932" s="67" t="str">
        <f aca="false">IF($E2932="","",INDEX(成本费用登记表!$C$4:$C$303,275))</f>
        <v/>
      </c>
      <c r="K2932" s="67" t="str">
        <f aca="false">IF($E2932="","",INDEX(成本费用登记表!$D$4:$D$303,275))</f>
        <v/>
      </c>
      <c r="L2932" s="107" t="str">
        <f aca="false">IF($E2932="","",INDEX(成本费用登记表!$N$4:$N$303,275))</f>
        <v/>
      </c>
      <c r="M2932" s="107"/>
      <c r="N2932" s="67" t="str">
        <f aca="false">IF($E2932="","","系统")</f>
        <v/>
      </c>
      <c r="O2932" s="67" t="str">
        <f aca="false">IF($E2932="","","自动C")</f>
        <v/>
      </c>
      <c r="P2932" s="18"/>
    </row>
    <row r="2933" customFormat="false" ht="18" hidden="false" customHeight="true" outlineLevel="0" collapsed="false">
      <c r="A2933" s="107" t="str">
        <f aca="false">IF($E2933="","",ROW()-3)</f>
        <v/>
      </c>
      <c r="B2933" s="110" t="str">
        <f aca="false">IF($E2933="","",INDEX(成本费用登记表!$B$4:$B$303,275))</f>
        <v/>
      </c>
      <c r="C2933" s="67" t="str">
        <f aca="false">IF($E2933="","","记-"&amp;TEXT($B2933,"YYYYMM")&amp;"-费用")</f>
        <v/>
      </c>
      <c r="D2933" s="107" t="str">
        <f aca="false">IF($E2933="","",INDEX(成本费用登记表!$E$4:$E$303,275))</f>
        <v/>
      </c>
      <c r="E2933" s="67" t="str">
        <f aca="false">IF(INDEX(成本费用登记表!$Q$4:$Y$303,275,4)=0,"",INDEX(成本费用登记表!$Q$4:$Y$303,275,4))</f>
        <v/>
      </c>
      <c r="F2933" s="99" t="str">
        <f aca="false">IF($E2933="","",IFERROR(INDEX(科目表!$A$4:$A$81,MATCH($E2933,科目表!$B$4:$B$81,0)),""))</f>
        <v/>
      </c>
      <c r="G2933" s="67" t="str">
        <f aca="false">IF($E2933="","",IFERROR(INDEX(科目表!$E$4:$E$81,MATCH($E2933,科目表!$B$4:$B$81,0)),""))</f>
        <v/>
      </c>
      <c r="H2933" s="70" t="str">
        <f aca="false">IF($E2933="","",N(INDEX(成本费用登记表!$Q$4:$Y$303,275,5)))</f>
        <v/>
      </c>
      <c r="I2933" s="70" t="str">
        <f aca="false">IF($E2933="","",N(INDEX(成本费用登记表!$Q$4:$Y$303,275,6)))</f>
        <v/>
      </c>
      <c r="J2933" s="67" t="str">
        <f aca="false">IF($E2933="","",INDEX(成本费用登记表!$C$4:$C$303,275))</f>
        <v/>
      </c>
      <c r="K2933" s="67" t="str">
        <f aca="false">IF($E2933="","",INDEX(成本费用登记表!$D$4:$D$303,275))</f>
        <v/>
      </c>
      <c r="L2933" s="107" t="str">
        <f aca="false">IF($E2933="","",INDEX(成本费用登记表!$N$4:$N$303,275))</f>
        <v/>
      </c>
      <c r="M2933" s="107"/>
      <c r="N2933" s="67" t="str">
        <f aca="false">IF($E2933="","","系统")</f>
        <v/>
      </c>
      <c r="O2933" s="67" t="str">
        <f aca="false">IF($E2933="","","自动C")</f>
        <v/>
      </c>
      <c r="P2933" s="18"/>
    </row>
    <row r="2934" customFormat="false" ht="18" hidden="false" customHeight="true" outlineLevel="0" collapsed="false">
      <c r="A2934" s="107" t="str">
        <f aca="false">IF($E2934="","",ROW()-3)</f>
        <v/>
      </c>
      <c r="B2934" s="110" t="str">
        <f aca="false">IF($E2934="","",INDEX(成本费用登记表!$B$4:$B$303,275))</f>
        <v/>
      </c>
      <c r="C2934" s="67" t="str">
        <f aca="false">IF($E2934="","","记-"&amp;TEXT($B2934,"YYYYMM")&amp;"-费用")</f>
        <v/>
      </c>
      <c r="D2934" s="107" t="str">
        <f aca="false">IF($E2934="","",INDEX(成本费用登记表!$E$4:$E$303,275))</f>
        <v/>
      </c>
      <c r="E2934" s="67" t="str">
        <f aca="false">IF(INDEX(成本费用登记表!$Q$4:$Y$303,275,7)=0,"",INDEX(成本费用登记表!$Q$4:$Y$303,275,7))</f>
        <v/>
      </c>
      <c r="F2934" s="99" t="str">
        <f aca="false">IF($E2934="","",IFERROR(INDEX(科目表!$A$4:$A$81,MATCH($E2934,科目表!$B$4:$B$81,0)),""))</f>
        <v/>
      </c>
      <c r="G2934" s="67" t="str">
        <f aca="false">IF($E2934="","",IFERROR(INDEX(科目表!$E$4:$E$81,MATCH($E2934,科目表!$B$4:$B$81,0)),""))</f>
        <v/>
      </c>
      <c r="H2934" s="70" t="str">
        <f aca="false">IF($E2934="","",N(INDEX(成本费用登记表!$Q$4:$Y$303,275,8)))</f>
        <v/>
      </c>
      <c r="I2934" s="70" t="str">
        <f aca="false">IF($E2934="","",N(INDEX(成本费用登记表!$Q$4:$Y$303,275,9)))</f>
        <v/>
      </c>
      <c r="J2934" s="67" t="str">
        <f aca="false">IF($E2934="","",INDEX(成本费用登记表!$C$4:$C$303,275))</f>
        <v/>
      </c>
      <c r="K2934" s="67" t="str">
        <f aca="false">IF($E2934="","",INDEX(成本费用登记表!$D$4:$D$303,275))</f>
        <v/>
      </c>
      <c r="L2934" s="107" t="str">
        <f aca="false">IF($E2934="","",INDEX(成本费用登记表!$N$4:$N$303,275))</f>
        <v/>
      </c>
      <c r="M2934" s="107"/>
      <c r="N2934" s="67" t="str">
        <f aca="false">IF($E2934="","","系统")</f>
        <v/>
      </c>
      <c r="O2934" s="67" t="str">
        <f aca="false">IF($E2934="","","自动C")</f>
        <v/>
      </c>
      <c r="P2934" s="18"/>
    </row>
    <row r="2935" customFormat="false" ht="18" hidden="false" customHeight="true" outlineLevel="0" collapsed="false">
      <c r="A2935" s="107" t="str">
        <f aca="false">IF($E2935="","",ROW()-3)</f>
        <v/>
      </c>
      <c r="B2935" s="110" t="str">
        <f aca="false">IF($E2935="","",INDEX(成本费用登记表!$B$4:$B$303,276))</f>
        <v/>
      </c>
      <c r="C2935" s="67" t="str">
        <f aca="false">IF($E2935="","","记-"&amp;TEXT($B2935,"YYYYMM")&amp;"-费用")</f>
        <v/>
      </c>
      <c r="D2935" s="107" t="str">
        <f aca="false">IF($E2935="","",INDEX(成本费用登记表!$E$4:$E$303,276))</f>
        <v/>
      </c>
      <c r="E2935" s="67" t="str">
        <f aca="false">IF(INDEX(成本费用登记表!$Q$4:$Y$303,276,1)=0,"",INDEX(成本费用登记表!$Q$4:$Y$303,276,1))</f>
        <v/>
      </c>
      <c r="F2935" s="99" t="str">
        <f aca="false">IF($E2935="","",IFERROR(INDEX(科目表!$A$4:$A$81,MATCH($E2935,科目表!$B$4:$B$81,0)),""))</f>
        <v/>
      </c>
      <c r="G2935" s="67" t="str">
        <f aca="false">IF($E2935="","",IFERROR(INDEX(科目表!$E$4:$E$81,MATCH($E2935,科目表!$B$4:$B$81,0)),""))</f>
        <v/>
      </c>
      <c r="H2935" s="70" t="str">
        <f aca="false">IF($E2935="","",N(INDEX(成本费用登记表!$Q$4:$Y$303,276,2)))</f>
        <v/>
      </c>
      <c r="I2935" s="70" t="str">
        <f aca="false">IF($E2935="","",N(INDEX(成本费用登记表!$Q$4:$Y$303,276,3)))</f>
        <v/>
      </c>
      <c r="J2935" s="67" t="str">
        <f aca="false">IF($E2935="","",INDEX(成本费用登记表!$C$4:$C$303,276))</f>
        <v/>
      </c>
      <c r="K2935" s="67" t="str">
        <f aca="false">IF($E2935="","",INDEX(成本费用登记表!$D$4:$D$303,276))</f>
        <v/>
      </c>
      <c r="L2935" s="107" t="str">
        <f aca="false">IF($E2935="","",INDEX(成本费用登记表!$N$4:$N$303,276))</f>
        <v/>
      </c>
      <c r="M2935" s="107"/>
      <c r="N2935" s="67" t="str">
        <f aca="false">IF($E2935="","","系统")</f>
        <v/>
      </c>
      <c r="O2935" s="67" t="str">
        <f aca="false">IF($E2935="","","自动C")</f>
        <v/>
      </c>
      <c r="P2935" s="18"/>
    </row>
    <row r="2936" customFormat="false" ht="18" hidden="false" customHeight="true" outlineLevel="0" collapsed="false">
      <c r="A2936" s="107" t="str">
        <f aca="false">IF($E2936="","",ROW()-3)</f>
        <v/>
      </c>
      <c r="B2936" s="110" t="str">
        <f aca="false">IF($E2936="","",INDEX(成本费用登记表!$B$4:$B$303,276))</f>
        <v/>
      </c>
      <c r="C2936" s="67" t="str">
        <f aca="false">IF($E2936="","","记-"&amp;TEXT($B2936,"YYYYMM")&amp;"-费用")</f>
        <v/>
      </c>
      <c r="D2936" s="107" t="str">
        <f aca="false">IF($E2936="","",INDEX(成本费用登记表!$E$4:$E$303,276))</f>
        <v/>
      </c>
      <c r="E2936" s="67" t="str">
        <f aca="false">IF(INDEX(成本费用登记表!$Q$4:$Y$303,276,4)=0,"",INDEX(成本费用登记表!$Q$4:$Y$303,276,4))</f>
        <v/>
      </c>
      <c r="F2936" s="99" t="str">
        <f aca="false">IF($E2936="","",IFERROR(INDEX(科目表!$A$4:$A$81,MATCH($E2936,科目表!$B$4:$B$81,0)),""))</f>
        <v/>
      </c>
      <c r="G2936" s="67" t="str">
        <f aca="false">IF($E2936="","",IFERROR(INDEX(科目表!$E$4:$E$81,MATCH($E2936,科目表!$B$4:$B$81,0)),""))</f>
        <v/>
      </c>
      <c r="H2936" s="70" t="str">
        <f aca="false">IF($E2936="","",N(INDEX(成本费用登记表!$Q$4:$Y$303,276,5)))</f>
        <v/>
      </c>
      <c r="I2936" s="70" t="str">
        <f aca="false">IF($E2936="","",N(INDEX(成本费用登记表!$Q$4:$Y$303,276,6)))</f>
        <v/>
      </c>
      <c r="J2936" s="67" t="str">
        <f aca="false">IF($E2936="","",INDEX(成本费用登记表!$C$4:$C$303,276))</f>
        <v/>
      </c>
      <c r="K2936" s="67" t="str">
        <f aca="false">IF($E2936="","",INDEX(成本费用登记表!$D$4:$D$303,276))</f>
        <v/>
      </c>
      <c r="L2936" s="107" t="str">
        <f aca="false">IF($E2936="","",INDEX(成本费用登记表!$N$4:$N$303,276))</f>
        <v/>
      </c>
      <c r="M2936" s="107"/>
      <c r="N2936" s="67" t="str">
        <f aca="false">IF($E2936="","","系统")</f>
        <v/>
      </c>
      <c r="O2936" s="67" t="str">
        <f aca="false">IF($E2936="","","自动C")</f>
        <v/>
      </c>
      <c r="P2936" s="18"/>
    </row>
    <row r="2937" customFormat="false" ht="18" hidden="false" customHeight="true" outlineLevel="0" collapsed="false">
      <c r="A2937" s="107" t="str">
        <f aca="false">IF($E2937="","",ROW()-3)</f>
        <v/>
      </c>
      <c r="B2937" s="110" t="str">
        <f aca="false">IF($E2937="","",INDEX(成本费用登记表!$B$4:$B$303,276))</f>
        <v/>
      </c>
      <c r="C2937" s="67" t="str">
        <f aca="false">IF($E2937="","","记-"&amp;TEXT($B2937,"YYYYMM")&amp;"-费用")</f>
        <v/>
      </c>
      <c r="D2937" s="107" t="str">
        <f aca="false">IF($E2937="","",INDEX(成本费用登记表!$E$4:$E$303,276))</f>
        <v/>
      </c>
      <c r="E2937" s="67" t="str">
        <f aca="false">IF(INDEX(成本费用登记表!$Q$4:$Y$303,276,7)=0,"",INDEX(成本费用登记表!$Q$4:$Y$303,276,7))</f>
        <v/>
      </c>
      <c r="F2937" s="99" t="str">
        <f aca="false">IF($E2937="","",IFERROR(INDEX(科目表!$A$4:$A$81,MATCH($E2937,科目表!$B$4:$B$81,0)),""))</f>
        <v/>
      </c>
      <c r="G2937" s="67" t="str">
        <f aca="false">IF($E2937="","",IFERROR(INDEX(科目表!$E$4:$E$81,MATCH($E2937,科目表!$B$4:$B$81,0)),""))</f>
        <v/>
      </c>
      <c r="H2937" s="70" t="str">
        <f aca="false">IF($E2937="","",N(INDEX(成本费用登记表!$Q$4:$Y$303,276,8)))</f>
        <v/>
      </c>
      <c r="I2937" s="70" t="str">
        <f aca="false">IF($E2937="","",N(INDEX(成本费用登记表!$Q$4:$Y$303,276,9)))</f>
        <v/>
      </c>
      <c r="J2937" s="67" t="str">
        <f aca="false">IF($E2937="","",INDEX(成本费用登记表!$C$4:$C$303,276))</f>
        <v/>
      </c>
      <c r="K2937" s="67" t="str">
        <f aca="false">IF($E2937="","",INDEX(成本费用登记表!$D$4:$D$303,276))</f>
        <v/>
      </c>
      <c r="L2937" s="107" t="str">
        <f aca="false">IF($E2937="","",INDEX(成本费用登记表!$N$4:$N$303,276))</f>
        <v/>
      </c>
      <c r="M2937" s="107"/>
      <c r="N2937" s="67" t="str">
        <f aca="false">IF($E2937="","","系统")</f>
        <v/>
      </c>
      <c r="O2937" s="67" t="str">
        <f aca="false">IF($E2937="","","自动C")</f>
        <v/>
      </c>
      <c r="P2937" s="18"/>
    </row>
    <row r="2938" customFormat="false" ht="18" hidden="false" customHeight="true" outlineLevel="0" collapsed="false">
      <c r="A2938" s="107" t="str">
        <f aca="false">IF($E2938="","",ROW()-3)</f>
        <v/>
      </c>
      <c r="B2938" s="110" t="str">
        <f aca="false">IF($E2938="","",INDEX(成本费用登记表!$B$4:$B$303,277))</f>
        <v/>
      </c>
      <c r="C2938" s="67" t="str">
        <f aca="false">IF($E2938="","","记-"&amp;TEXT($B2938,"YYYYMM")&amp;"-费用")</f>
        <v/>
      </c>
      <c r="D2938" s="107" t="str">
        <f aca="false">IF($E2938="","",INDEX(成本费用登记表!$E$4:$E$303,277))</f>
        <v/>
      </c>
      <c r="E2938" s="67" t="str">
        <f aca="false">IF(INDEX(成本费用登记表!$Q$4:$Y$303,277,1)=0,"",INDEX(成本费用登记表!$Q$4:$Y$303,277,1))</f>
        <v/>
      </c>
      <c r="F2938" s="99" t="str">
        <f aca="false">IF($E2938="","",IFERROR(INDEX(科目表!$A$4:$A$81,MATCH($E2938,科目表!$B$4:$B$81,0)),""))</f>
        <v/>
      </c>
      <c r="G2938" s="67" t="str">
        <f aca="false">IF($E2938="","",IFERROR(INDEX(科目表!$E$4:$E$81,MATCH($E2938,科目表!$B$4:$B$81,0)),""))</f>
        <v/>
      </c>
      <c r="H2938" s="70" t="str">
        <f aca="false">IF($E2938="","",N(INDEX(成本费用登记表!$Q$4:$Y$303,277,2)))</f>
        <v/>
      </c>
      <c r="I2938" s="70" t="str">
        <f aca="false">IF($E2938="","",N(INDEX(成本费用登记表!$Q$4:$Y$303,277,3)))</f>
        <v/>
      </c>
      <c r="J2938" s="67" t="str">
        <f aca="false">IF($E2938="","",INDEX(成本费用登记表!$C$4:$C$303,277))</f>
        <v/>
      </c>
      <c r="K2938" s="67" t="str">
        <f aca="false">IF($E2938="","",INDEX(成本费用登记表!$D$4:$D$303,277))</f>
        <v/>
      </c>
      <c r="L2938" s="107" t="str">
        <f aca="false">IF($E2938="","",INDEX(成本费用登记表!$N$4:$N$303,277))</f>
        <v/>
      </c>
      <c r="M2938" s="107"/>
      <c r="N2938" s="67" t="str">
        <f aca="false">IF($E2938="","","系统")</f>
        <v/>
      </c>
      <c r="O2938" s="67" t="str">
        <f aca="false">IF($E2938="","","自动C")</f>
        <v/>
      </c>
      <c r="P2938" s="18"/>
    </row>
    <row r="2939" customFormat="false" ht="18" hidden="false" customHeight="true" outlineLevel="0" collapsed="false">
      <c r="A2939" s="107" t="str">
        <f aca="false">IF($E2939="","",ROW()-3)</f>
        <v/>
      </c>
      <c r="B2939" s="110" t="str">
        <f aca="false">IF($E2939="","",INDEX(成本费用登记表!$B$4:$B$303,277))</f>
        <v/>
      </c>
      <c r="C2939" s="67" t="str">
        <f aca="false">IF($E2939="","","记-"&amp;TEXT($B2939,"YYYYMM")&amp;"-费用")</f>
        <v/>
      </c>
      <c r="D2939" s="107" t="str">
        <f aca="false">IF($E2939="","",INDEX(成本费用登记表!$E$4:$E$303,277))</f>
        <v/>
      </c>
      <c r="E2939" s="67" t="str">
        <f aca="false">IF(INDEX(成本费用登记表!$Q$4:$Y$303,277,4)=0,"",INDEX(成本费用登记表!$Q$4:$Y$303,277,4))</f>
        <v/>
      </c>
      <c r="F2939" s="99" t="str">
        <f aca="false">IF($E2939="","",IFERROR(INDEX(科目表!$A$4:$A$81,MATCH($E2939,科目表!$B$4:$B$81,0)),""))</f>
        <v/>
      </c>
      <c r="G2939" s="67" t="str">
        <f aca="false">IF($E2939="","",IFERROR(INDEX(科目表!$E$4:$E$81,MATCH($E2939,科目表!$B$4:$B$81,0)),""))</f>
        <v/>
      </c>
      <c r="H2939" s="70" t="str">
        <f aca="false">IF($E2939="","",N(INDEX(成本费用登记表!$Q$4:$Y$303,277,5)))</f>
        <v/>
      </c>
      <c r="I2939" s="70" t="str">
        <f aca="false">IF($E2939="","",N(INDEX(成本费用登记表!$Q$4:$Y$303,277,6)))</f>
        <v/>
      </c>
      <c r="J2939" s="67" t="str">
        <f aca="false">IF($E2939="","",INDEX(成本费用登记表!$C$4:$C$303,277))</f>
        <v/>
      </c>
      <c r="K2939" s="67" t="str">
        <f aca="false">IF($E2939="","",INDEX(成本费用登记表!$D$4:$D$303,277))</f>
        <v/>
      </c>
      <c r="L2939" s="107" t="str">
        <f aca="false">IF($E2939="","",INDEX(成本费用登记表!$N$4:$N$303,277))</f>
        <v/>
      </c>
      <c r="M2939" s="107"/>
      <c r="N2939" s="67" t="str">
        <f aca="false">IF($E2939="","","系统")</f>
        <v/>
      </c>
      <c r="O2939" s="67" t="str">
        <f aca="false">IF($E2939="","","自动C")</f>
        <v/>
      </c>
      <c r="P2939" s="18"/>
    </row>
    <row r="2940" customFormat="false" ht="18" hidden="false" customHeight="true" outlineLevel="0" collapsed="false">
      <c r="A2940" s="107" t="str">
        <f aca="false">IF($E2940="","",ROW()-3)</f>
        <v/>
      </c>
      <c r="B2940" s="110" t="str">
        <f aca="false">IF($E2940="","",INDEX(成本费用登记表!$B$4:$B$303,277))</f>
        <v/>
      </c>
      <c r="C2940" s="67" t="str">
        <f aca="false">IF($E2940="","","记-"&amp;TEXT($B2940,"YYYYMM")&amp;"-费用")</f>
        <v/>
      </c>
      <c r="D2940" s="107" t="str">
        <f aca="false">IF($E2940="","",INDEX(成本费用登记表!$E$4:$E$303,277))</f>
        <v/>
      </c>
      <c r="E2940" s="67" t="str">
        <f aca="false">IF(INDEX(成本费用登记表!$Q$4:$Y$303,277,7)=0,"",INDEX(成本费用登记表!$Q$4:$Y$303,277,7))</f>
        <v/>
      </c>
      <c r="F2940" s="99" t="str">
        <f aca="false">IF($E2940="","",IFERROR(INDEX(科目表!$A$4:$A$81,MATCH($E2940,科目表!$B$4:$B$81,0)),""))</f>
        <v/>
      </c>
      <c r="G2940" s="67" t="str">
        <f aca="false">IF($E2940="","",IFERROR(INDEX(科目表!$E$4:$E$81,MATCH($E2940,科目表!$B$4:$B$81,0)),""))</f>
        <v/>
      </c>
      <c r="H2940" s="70" t="str">
        <f aca="false">IF($E2940="","",N(INDEX(成本费用登记表!$Q$4:$Y$303,277,8)))</f>
        <v/>
      </c>
      <c r="I2940" s="70" t="str">
        <f aca="false">IF($E2940="","",N(INDEX(成本费用登记表!$Q$4:$Y$303,277,9)))</f>
        <v/>
      </c>
      <c r="J2940" s="67" t="str">
        <f aca="false">IF($E2940="","",INDEX(成本费用登记表!$C$4:$C$303,277))</f>
        <v/>
      </c>
      <c r="K2940" s="67" t="str">
        <f aca="false">IF($E2940="","",INDEX(成本费用登记表!$D$4:$D$303,277))</f>
        <v/>
      </c>
      <c r="L2940" s="107" t="str">
        <f aca="false">IF($E2940="","",INDEX(成本费用登记表!$N$4:$N$303,277))</f>
        <v/>
      </c>
      <c r="M2940" s="107"/>
      <c r="N2940" s="67" t="str">
        <f aca="false">IF($E2940="","","系统")</f>
        <v/>
      </c>
      <c r="O2940" s="67" t="str">
        <f aca="false">IF($E2940="","","自动C")</f>
        <v/>
      </c>
      <c r="P2940" s="18"/>
    </row>
    <row r="2941" customFormat="false" ht="18" hidden="false" customHeight="true" outlineLevel="0" collapsed="false">
      <c r="A2941" s="107" t="str">
        <f aca="false">IF($E2941="","",ROW()-3)</f>
        <v/>
      </c>
      <c r="B2941" s="110" t="str">
        <f aca="false">IF($E2941="","",INDEX(成本费用登记表!$B$4:$B$303,278))</f>
        <v/>
      </c>
      <c r="C2941" s="67" t="str">
        <f aca="false">IF($E2941="","","记-"&amp;TEXT($B2941,"YYYYMM")&amp;"-费用")</f>
        <v/>
      </c>
      <c r="D2941" s="107" t="str">
        <f aca="false">IF($E2941="","",INDEX(成本费用登记表!$E$4:$E$303,278))</f>
        <v/>
      </c>
      <c r="E2941" s="67" t="str">
        <f aca="false">IF(INDEX(成本费用登记表!$Q$4:$Y$303,278,1)=0,"",INDEX(成本费用登记表!$Q$4:$Y$303,278,1))</f>
        <v/>
      </c>
      <c r="F2941" s="99" t="str">
        <f aca="false">IF($E2941="","",IFERROR(INDEX(科目表!$A$4:$A$81,MATCH($E2941,科目表!$B$4:$B$81,0)),""))</f>
        <v/>
      </c>
      <c r="G2941" s="67" t="str">
        <f aca="false">IF($E2941="","",IFERROR(INDEX(科目表!$E$4:$E$81,MATCH($E2941,科目表!$B$4:$B$81,0)),""))</f>
        <v/>
      </c>
      <c r="H2941" s="70" t="str">
        <f aca="false">IF($E2941="","",N(INDEX(成本费用登记表!$Q$4:$Y$303,278,2)))</f>
        <v/>
      </c>
      <c r="I2941" s="70" t="str">
        <f aca="false">IF($E2941="","",N(INDEX(成本费用登记表!$Q$4:$Y$303,278,3)))</f>
        <v/>
      </c>
      <c r="J2941" s="67" t="str">
        <f aca="false">IF($E2941="","",INDEX(成本费用登记表!$C$4:$C$303,278))</f>
        <v/>
      </c>
      <c r="K2941" s="67" t="str">
        <f aca="false">IF($E2941="","",INDEX(成本费用登记表!$D$4:$D$303,278))</f>
        <v/>
      </c>
      <c r="L2941" s="107" t="str">
        <f aca="false">IF($E2941="","",INDEX(成本费用登记表!$N$4:$N$303,278))</f>
        <v/>
      </c>
      <c r="M2941" s="107"/>
      <c r="N2941" s="67" t="str">
        <f aca="false">IF($E2941="","","系统")</f>
        <v/>
      </c>
      <c r="O2941" s="67" t="str">
        <f aca="false">IF($E2941="","","自动C")</f>
        <v/>
      </c>
      <c r="P2941" s="18"/>
    </row>
    <row r="2942" customFormat="false" ht="18" hidden="false" customHeight="true" outlineLevel="0" collapsed="false">
      <c r="A2942" s="107" t="str">
        <f aca="false">IF($E2942="","",ROW()-3)</f>
        <v/>
      </c>
      <c r="B2942" s="110" t="str">
        <f aca="false">IF($E2942="","",INDEX(成本费用登记表!$B$4:$B$303,278))</f>
        <v/>
      </c>
      <c r="C2942" s="67" t="str">
        <f aca="false">IF($E2942="","","记-"&amp;TEXT($B2942,"YYYYMM")&amp;"-费用")</f>
        <v/>
      </c>
      <c r="D2942" s="107" t="str">
        <f aca="false">IF($E2942="","",INDEX(成本费用登记表!$E$4:$E$303,278))</f>
        <v/>
      </c>
      <c r="E2942" s="67" t="str">
        <f aca="false">IF(INDEX(成本费用登记表!$Q$4:$Y$303,278,4)=0,"",INDEX(成本费用登记表!$Q$4:$Y$303,278,4))</f>
        <v/>
      </c>
      <c r="F2942" s="99" t="str">
        <f aca="false">IF($E2942="","",IFERROR(INDEX(科目表!$A$4:$A$81,MATCH($E2942,科目表!$B$4:$B$81,0)),""))</f>
        <v/>
      </c>
      <c r="G2942" s="67" t="str">
        <f aca="false">IF($E2942="","",IFERROR(INDEX(科目表!$E$4:$E$81,MATCH($E2942,科目表!$B$4:$B$81,0)),""))</f>
        <v/>
      </c>
      <c r="H2942" s="70" t="str">
        <f aca="false">IF($E2942="","",N(INDEX(成本费用登记表!$Q$4:$Y$303,278,5)))</f>
        <v/>
      </c>
      <c r="I2942" s="70" t="str">
        <f aca="false">IF($E2942="","",N(INDEX(成本费用登记表!$Q$4:$Y$303,278,6)))</f>
        <v/>
      </c>
      <c r="J2942" s="67" t="str">
        <f aca="false">IF($E2942="","",INDEX(成本费用登记表!$C$4:$C$303,278))</f>
        <v/>
      </c>
      <c r="K2942" s="67" t="str">
        <f aca="false">IF($E2942="","",INDEX(成本费用登记表!$D$4:$D$303,278))</f>
        <v/>
      </c>
      <c r="L2942" s="107" t="str">
        <f aca="false">IF($E2942="","",INDEX(成本费用登记表!$N$4:$N$303,278))</f>
        <v/>
      </c>
      <c r="M2942" s="107"/>
      <c r="N2942" s="67" t="str">
        <f aca="false">IF($E2942="","","系统")</f>
        <v/>
      </c>
      <c r="O2942" s="67" t="str">
        <f aca="false">IF($E2942="","","自动C")</f>
        <v/>
      </c>
      <c r="P2942" s="18"/>
    </row>
    <row r="2943" customFormat="false" ht="18" hidden="false" customHeight="true" outlineLevel="0" collapsed="false">
      <c r="A2943" s="107" t="str">
        <f aca="false">IF($E2943="","",ROW()-3)</f>
        <v/>
      </c>
      <c r="B2943" s="110" t="str">
        <f aca="false">IF($E2943="","",INDEX(成本费用登记表!$B$4:$B$303,278))</f>
        <v/>
      </c>
      <c r="C2943" s="67" t="str">
        <f aca="false">IF($E2943="","","记-"&amp;TEXT($B2943,"YYYYMM")&amp;"-费用")</f>
        <v/>
      </c>
      <c r="D2943" s="107" t="str">
        <f aca="false">IF($E2943="","",INDEX(成本费用登记表!$E$4:$E$303,278))</f>
        <v/>
      </c>
      <c r="E2943" s="67" t="str">
        <f aca="false">IF(INDEX(成本费用登记表!$Q$4:$Y$303,278,7)=0,"",INDEX(成本费用登记表!$Q$4:$Y$303,278,7))</f>
        <v/>
      </c>
      <c r="F2943" s="99" t="str">
        <f aca="false">IF($E2943="","",IFERROR(INDEX(科目表!$A$4:$A$81,MATCH($E2943,科目表!$B$4:$B$81,0)),""))</f>
        <v/>
      </c>
      <c r="G2943" s="67" t="str">
        <f aca="false">IF($E2943="","",IFERROR(INDEX(科目表!$E$4:$E$81,MATCH($E2943,科目表!$B$4:$B$81,0)),""))</f>
        <v/>
      </c>
      <c r="H2943" s="70" t="str">
        <f aca="false">IF($E2943="","",N(INDEX(成本费用登记表!$Q$4:$Y$303,278,8)))</f>
        <v/>
      </c>
      <c r="I2943" s="70" t="str">
        <f aca="false">IF($E2943="","",N(INDEX(成本费用登记表!$Q$4:$Y$303,278,9)))</f>
        <v/>
      </c>
      <c r="J2943" s="67" t="str">
        <f aca="false">IF($E2943="","",INDEX(成本费用登记表!$C$4:$C$303,278))</f>
        <v/>
      </c>
      <c r="K2943" s="67" t="str">
        <f aca="false">IF($E2943="","",INDEX(成本费用登记表!$D$4:$D$303,278))</f>
        <v/>
      </c>
      <c r="L2943" s="107" t="str">
        <f aca="false">IF($E2943="","",INDEX(成本费用登记表!$N$4:$N$303,278))</f>
        <v/>
      </c>
      <c r="M2943" s="107"/>
      <c r="N2943" s="67" t="str">
        <f aca="false">IF($E2943="","","系统")</f>
        <v/>
      </c>
      <c r="O2943" s="67" t="str">
        <f aca="false">IF($E2943="","","自动C")</f>
        <v/>
      </c>
      <c r="P2943" s="18"/>
    </row>
    <row r="2944" customFormat="false" ht="18" hidden="false" customHeight="true" outlineLevel="0" collapsed="false">
      <c r="A2944" s="107" t="str">
        <f aca="false">IF($E2944="","",ROW()-3)</f>
        <v/>
      </c>
      <c r="B2944" s="110" t="str">
        <f aca="false">IF($E2944="","",INDEX(成本费用登记表!$B$4:$B$303,279))</f>
        <v/>
      </c>
      <c r="C2944" s="67" t="str">
        <f aca="false">IF($E2944="","","记-"&amp;TEXT($B2944,"YYYYMM")&amp;"-费用")</f>
        <v/>
      </c>
      <c r="D2944" s="107" t="str">
        <f aca="false">IF($E2944="","",INDEX(成本费用登记表!$E$4:$E$303,279))</f>
        <v/>
      </c>
      <c r="E2944" s="67" t="str">
        <f aca="false">IF(INDEX(成本费用登记表!$Q$4:$Y$303,279,1)=0,"",INDEX(成本费用登记表!$Q$4:$Y$303,279,1))</f>
        <v/>
      </c>
      <c r="F2944" s="99" t="str">
        <f aca="false">IF($E2944="","",IFERROR(INDEX(科目表!$A$4:$A$81,MATCH($E2944,科目表!$B$4:$B$81,0)),""))</f>
        <v/>
      </c>
      <c r="G2944" s="67" t="str">
        <f aca="false">IF($E2944="","",IFERROR(INDEX(科目表!$E$4:$E$81,MATCH($E2944,科目表!$B$4:$B$81,0)),""))</f>
        <v/>
      </c>
      <c r="H2944" s="70" t="str">
        <f aca="false">IF($E2944="","",N(INDEX(成本费用登记表!$Q$4:$Y$303,279,2)))</f>
        <v/>
      </c>
      <c r="I2944" s="70" t="str">
        <f aca="false">IF($E2944="","",N(INDEX(成本费用登记表!$Q$4:$Y$303,279,3)))</f>
        <v/>
      </c>
      <c r="J2944" s="67" t="str">
        <f aca="false">IF($E2944="","",INDEX(成本费用登记表!$C$4:$C$303,279))</f>
        <v/>
      </c>
      <c r="K2944" s="67" t="str">
        <f aca="false">IF($E2944="","",INDEX(成本费用登记表!$D$4:$D$303,279))</f>
        <v/>
      </c>
      <c r="L2944" s="107" t="str">
        <f aca="false">IF($E2944="","",INDEX(成本费用登记表!$N$4:$N$303,279))</f>
        <v/>
      </c>
      <c r="M2944" s="107"/>
      <c r="N2944" s="67" t="str">
        <f aca="false">IF($E2944="","","系统")</f>
        <v/>
      </c>
      <c r="O2944" s="67" t="str">
        <f aca="false">IF($E2944="","","自动C")</f>
        <v/>
      </c>
      <c r="P2944" s="18"/>
    </row>
    <row r="2945" customFormat="false" ht="18" hidden="false" customHeight="true" outlineLevel="0" collapsed="false">
      <c r="A2945" s="107" t="str">
        <f aca="false">IF($E2945="","",ROW()-3)</f>
        <v/>
      </c>
      <c r="B2945" s="110" t="str">
        <f aca="false">IF($E2945="","",INDEX(成本费用登记表!$B$4:$B$303,279))</f>
        <v/>
      </c>
      <c r="C2945" s="67" t="str">
        <f aca="false">IF($E2945="","","记-"&amp;TEXT($B2945,"YYYYMM")&amp;"-费用")</f>
        <v/>
      </c>
      <c r="D2945" s="107" t="str">
        <f aca="false">IF($E2945="","",INDEX(成本费用登记表!$E$4:$E$303,279))</f>
        <v/>
      </c>
      <c r="E2945" s="67" t="str">
        <f aca="false">IF(INDEX(成本费用登记表!$Q$4:$Y$303,279,4)=0,"",INDEX(成本费用登记表!$Q$4:$Y$303,279,4))</f>
        <v/>
      </c>
      <c r="F2945" s="99" t="str">
        <f aca="false">IF($E2945="","",IFERROR(INDEX(科目表!$A$4:$A$81,MATCH($E2945,科目表!$B$4:$B$81,0)),""))</f>
        <v/>
      </c>
      <c r="G2945" s="67" t="str">
        <f aca="false">IF($E2945="","",IFERROR(INDEX(科目表!$E$4:$E$81,MATCH($E2945,科目表!$B$4:$B$81,0)),""))</f>
        <v/>
      </c>
      <c r="H2945" s="70" t="str">
        <f aca="false">IF($E2945="","",N(INDEX(成本费用登记表!$Q$4:$Y$303,279,5)))</f>
        <v/>
      </c>
      <c r="I2945" s="70" t="str">
        <f aca="false">IF($E2945="","",N(INDEX(成本费用登记表!$Q$4:$Y$303,279,6)))</f>
        <v/>
      </c>
      <c r="J2945" s="67" t="str">
        <f aca="false">IF($E2945="","",INDEX(成本费用登记表!$C$4:$C$303,279))</f>
        <v/>
      </c>
      <c r="K2945" s="67" t="str">
        <f aca="false">IF($E2945="","",INDEX(成本费用登记表!$D$4:$D$303,279))</f>
        <v/>
      </c>
      <c r="L2945" s="107" t="str">
        <f aca="false">IF($E2945="","",INDEX(成本费用登记表!$N$4:$N$303,279))</f>
        <v/>
      </c>
      <c r="M2945" s="107"/>
      <c r="N2945" s="67" t="str">
        <f aca="false">IF($E2945="","","系统")</f>
        <v/>
      </c>
      <c r="O2945" s="67" t="str">
        <f aca="false">IF($E2945="","","自动C")</f>
        <v/>
      </c>
      <c r="P2945" s="18"/>
    </row>
    <row r="2946" customFormat="false" ht="18" hidden="false" customHeight="true" outlineLevel="0" collapsed="false">
      <c r="A2946" s="107" t="str">
        <f aca="false">IF($E2946="","",ROW()-3)</f>
        <v/>
      </c>
      <c r="B2946" s="110" t="str">
        <f aca="false">IF($E2946="","",INDEX(成本费用登记表!$B$4:$B$303,279))</f>
        <v/>
      </c>
      <c r="C2946" s="67" t="str">
        <f aca="false">IF($E2946="","","记-"&amp;TEXT($B2946,"YYYYMM")&amp;"-费用")</f>
        <v/>
      </c>
      <c r="D2946" s="107" t="str">
        <f aca="false">IF($E2946="","",INDEX(成本费用登记表!$E$4:$E$303,279))</f>
        <v/>
      </c>
      <c r="E2946" s="67" t="str">
        <f aca="false">IF(INDEX(成本费用登记表!$Q$4:$Y$303,279,7)=0,"",INDEX(成本费用登记表!$Q$4:$Y$303,279,7))</f>
        <v/>
      </c>
      <c r="F2946" s="99" t="str">
        <f aca="false">IF($E2946="","",IFERROR(INDEX(科目表!$A$4:$A$81,MATCH($E2946,科目表!$B$4:$B$81,0)),""))</f>
        <v/>
      </c>
      <c r="G2946" s="67" t="str">
        <f aca="false">IF($E2946="","",IFERROR(INDEX(科目表!$E$4:$E$81,MATCH($E2946,科目表!$B$4:$B$81,0)),""))</f>
        <v/>
      </c>
      <c r="H2946" s="70" t="str">
        <f aca="false">IF($E2946="","",N(INDEX(成本费用登记表!$Q$4:$Y$303,279,8)))</f>
        <v/>
      </c>
      <c r="I2946" s="70" t="str">
        <f aca="false">IF($E2946="","",N(INDEX(成本费用登记表!$Q$4:$Y$303,279,9)))</f>
        <v/>
      </c>
      <c r="J2946" s="67" t="str">
        <f aca="false">IF($E2946="","",INDEX(成本费用登记表!$C$4:$C$303,279))</f>
        <v/>
      </c>
      <c r="K2946" s="67" t="str">
        <f aca="false">IF($E2946="","",INDEX(成本费用登记表!$D$4:$D$303,279))</f>
        <v/>
      </c>
      <c r="L2946" s="107" t="str">
        <f aca="false">IF($E2946="","",INDEX(成本费用登记表!$N$4:$N$303,279))</f>
        <v/>
      </c>
      <c r="M2946" s="107"/>
      <c r="N2946" s="67" t="str">
        <f aca="false">IF($E2946="","","系统")</f>
        <v/>
      </c>
      <c r="O2946" s="67" t="str">
        <f aca="false">IF($E2946="","","自动C")</f>
        <v/>
      </c>
      <c r="P2946" s="18"/>
    </row>
    <row r="2947" customFormat="false" ht="18" hidden="false" customHeight="true" outlineLevel="0" collapsed="false">
      <c r="A2947" s="107" t="str">
        <f aca="false">IF($E2947="","",ROW()-3)</f>
        <v/>
      </c>
      <c r="B2947" s="110" t="str">
        <f aca="false">IF($E2947="","",INDEX(成本费用登记表!$B$4:$B$303,280))</f>
        <v/>
      </c>
      <c r="C2947" s="67" t="str">
        <f aca="false">IF($E2947="","","记-"&amp;TEXT($B2947,"YYYYMM")&amp;"-费用")</f>
        <v/>
      </c>
      <c r="D2947" s="107" t="str">
        <f aca="false">IF($E2947="","",INDEX(成本费用登记表!$E$4:$E$303,280))</f>
        <v/>
      </c>
      <c r="E2947" s="67" t="str">
        <f aca="false">IF(INDEX(成本费用登记表!$Q$4:$Y$303,280,1)=0,"",INDEX(成本费用登记表!$Q$4:$Y$303,280,1))</f>
        <v/>
      </c>
      <c r="F2947" s="99" t="str">
        <f aca="false">IF($E2947="","",IFERROR(INDEX(科目表!$A$4:$A$81,MATCH($E2947,科目表!$B$4:$B$81,0)),""))</f>
        <v/>
      </c>
      <c r="G2947" s="67" t="str">
        <f aca="false">IF($E2947="","",IFERROR(INDEX(科目表!$E$4:$E$81,MATCH($E2947,科目表!$B$4:$B$81,0)),""))</f>
        <v/>
      </c>
      <c r="H2947" s="70" t="str">
        <f aca="false">IF($E2947="","",N(INDEX(成本费用登记表!$Q$4:$Y$303,280,2)))</f>
        <v/>
      </c>
      <c r="I2947" s="70" t="str">
        <f aca="false">IF($E2947="","",N(INDEX(成本费用登记表!$Q$4:$Y$303,280,3)))</f>
        <v/>
      </c>
      <c r="J2947" s="67" t="str">
        <f aca="false">IF($E2947="","",INDEX(成本费用登记表!$C$4:$C$303,280))</f>
        <v/>
      </c>
      <c r="K2947" s="67" t="str">
        <f aca="false">IF($E2947="","",INDEX(成本费用登记表!$D$4:$D$303,280))</f>
        <v/>
      </c>
      <c r="L2947" s="107" t="str">
        <f aca="false">IF($E2947="","",INDEX(成本费用登记表!$N$4:$N$303,280))</f>
        <v/>
      </c>
      <c r="M2947" s="107"/>
      <c r="N2947" s="67" t="str">
        <f aca="false">IF($E2947="","","系统")</f>
        <v/>
      </c>
      <c r="O2947" s="67" t="str">
        <f aca="false">IF($E2947="","","自动C")</f>
        <v/>
      </c>
      <c r="P2947" s="18"/>
    </row>
    <row r="2948" customFormat="false" ht="18" hidden="false" customHeight="true" outlineLevel="0" collapsed="false">
      <c r="A2948" s="107" t="str">
        <f aca="false">IF($E2948="","",ROW()-3)</f>
        <v/>
      </c>
      <c r="B2948" s="110" t="str">
        <f aca="false">IF($E2948="","",INDEX(成本费用登记表!$B$4:$B$303,280))</f>
        <v/>
      </c>
      <c r="C2948" s="67" t="str">
        <f aca="false">IF($E2948="","","记-"&amp;TEXT($B2948,"YYYYMM")&amp;"-费用")</f>
        <v/>
      </c>
      <c r="D2948" s="107" t="str">
        <f aca="false">IF($E2948="","",INDEX(成本费用登记表!$E$4:$E$303,280))</f>
        <v/>
      </c>
      <c r="E2948" s="67" t="str">
        <f aca="false">IF(INDEX(成本费用登记表!$Q$4:$Y$303,280,4)=0,"",INDEX(成本费用登记表!$Q$4:$Y$303,280,4))</f>
        <v/>
      </c>
      <c r="F2948" s="99" t="str">
        <f aca="false">IF($E2948="","",IFERROR(INDEX(科目表!$A$4:$A$81,MATCH($E2948,科目表!$B$4:$B$81,0)),""))</f>
        <v/>
      </c>
      <c r="G2948" s="67" t="str">
        <f aca="false">IF($E2948="","",IFERROR(INDEX(科目表!$E$4:$E$81,MATCH($E2948,科目表!$B$4:$B$81,0)),""))</f>
        <v/>
      </c>
      <c r="H2948" s="70" t="str">
        <f aca="false">IF($E2948="","",N(INDEX(成本费用登记表!$Q$4:$Y$303,280,5)))</f>
        <v/>
      </c>
      <c r="I2948" s="70" t="str">
        <f aca="false">IF($E2948="","",N(INDEX(成本费用登记表!$Q$4:$Y$303,280,6)))</f>
        <v/>
      </c>
      <c r="J2948" s="67" t="str">
        <f aca="false">IF($E2948="","",INDEX(成本费用登记表!$C$4:$C$303,280))</f>
        <v/>
      </c>
      <c r="K2948" s="67" t="str">
        <f aca="false">IF($E2948="","",INDEX(成本费用登记表!$D$4:$D$303,280))</f>
        <v/>
      </c>
      <c r="L2948" s="107" t="str">
        <f aca="false">IF($E2948="","",INDEX(成本费用登记表!$N$4:$N$303,280))</f>
        <v/>
      </c>
      <c r="M2948" s="107"/>
      <c r="N2948" s="67" t="str">
        <f aca="false">IF($E2948="","","系统")</f>
        <v/>
      </c>
      <c r="O2948" s="67" t="str">
        <f aca="false">IF($E2948="","","自动C")</f>
        <v/>
      </c>
      <c r="P2948" s="18"/>
    </row>
    <row r="2949" customFormat="false" ht="18" hidden="false" customHeight="true" outlineLevel="0" collapsed="false">
      <c r="A2949" s="107" t="str">
        <f aca="false">IF($E2949="","",ROW()-3)</f>
        <v/>
      </c>
      <c r="B2949" s="110" t="str">
        <f aca="false">IF($E2949="","",INDEX(成本费用登记表!$B$4:$B$303,280))</f>
        <v/>
      </c>
      <c r="C2949" s="67" t="str">
        <f aca="false">IF($E2949="","","记-"&amp;TEXT($B2949,"YYYYMM")&amp;"-费用")</f>
        <v/>
      </c>
      <c r="D2949" s="107" t="str">
        <f aca="false">IF($E2949="","",INDEX(成本费用登记表!$E$4:$E$303,280))</f>
        <v/>
      </c>
      <c r="E2949" s="67" t="str">
        <f aca="false">IF(INDEX(成本费用登记表!$Q$4:$Y$303,280,7)=0,"",INDEX(成本费用登记表!$Q$4:$Y$303,280,7))</f>
        <v/>
      </c>
      <c r="F2949" s="99" t="str">
        <f aca="false">IF($E2949="","",IFERROR(INDEX(科目表!$A$4:$A$81,MATCH($E2949,科目表!$B$4:$B$81,0)),""))</f>
        <v/>
      </c>
      <c r="G2949" s="67" t="str">
        <f aca="false">IF($E2949="","",IFERROR(INDEX(科目表!$E$4:$E$81,MATCH($E2949,科目表!$B$4:$B$81,0)),""))</f>
        <v/>
      </c>
      <c r="H2949" s="70" t="str">
        <f aca="false">IF($E2949="","",N(INDEX(成本费用登记表!$Q$4:$Y$303,280,8)))</f>
        <v/>
      </c>
      <c r="I2949" s="70" t="str">
        <f aca="false">IF($E2949="","",N(INDEX(成本费用登记表!$Q$4:$Y$303,280,9)))</f>
        <v/>
      </c>
      <c r="J2949" s="67" t="str">
        <f aca="false">IF($E2949="","",INDEX(成本费用登记表!$C$4:$C$303,280))</f>
        <v/>
      </c>
      <c r="K2949" s="67" t="str">
        <f aca="false">IF($E2949="","",INDEX(成本费用登记表!$D$4:$D$303,280))</f>
        <v/>
      </c>
      <c r="L2949" s="107" t="str">
        <f aca="false">IF($E2949="","",INDEX(成本费用登记表!$N$4:$N$303,280))</f>
        <v/>
      </c>
      <c r="M2949" s="107"/>
      <c r="N2949" s="67" t="str">
        <f aca="false">IF($E2949="","","系统")</f>
        <v/>
      </c>
      <c r="O2949" s="67" t="str">
        <f aca="false">IF($E2949="","","自动C")</f>
        <v/>
      </c>
      <c r="P2949" s="18"/>
    </row>
    <row r="2950" customFormat="false" ht="18" hidden="false" customHeight="true" outlineLevel="0" collapsed="false">
      <c r="A2950" s="107" t="str">
        <f aca="false">IF($E2950="","",ROW()-3)</f>
        <v/>
      </c>
      <c r="B2950" s="110" t="str">
        <f aca="false">IF($E2950="","",INDEX(成本费用登记表!$B$4:$B$303,281))</f>
        <v/>
      </c>
      <c r="C2950" s="67" t="str">
        <f aca="false">IF($E2950="","","记-"&amp;TEXT($B2950,"YYYYMM")&amp;"-费用")</f>
        <v/>
      </c>
      <c r="D2950" s="107" t="str">
        <f aca="false">IF($E2950="","",INDEX(成本费用登记表!$E$4:$E$303,281))</f>
        <v/>
      </c>
      <c r="E2950" s="67" t="str">
        <f aca="false">IF(INDEX(成本费用登记表!$Q$4:$Y$303,281,1)=0,"",INDEX(成本费用登记表!$Q$4:$Y$303,281,1))</f>
        <v/>
      </c>
      <c r="F2950" s="99" t="str">
        <f aca="false">IF($E2950="","",IFERROR(INDEX(科目表!$A$4:$A$81,MATCH($E2950,科目表!$B$4:$B$81,0)),""))</f>
        <v/>
      </c>
      <c r="G2950" s="67" t="str">
        <f aca="false">IF($E2950="","",IFERROR(INDEX(科目表!$E$4:$E$81,MATCH($E2950,科目表!$B$4:$B$81,0)),""))</f>
        <v/>
      </c>
      <c r="H2950" s="70" t="str">
        <f aca="false">IF($E2950="","",N(INDEX(成本费用登记表!$Q$4:$Y$303,281,2)))</f>
        <v/>
      </c>
      <c r="I2950" s="70" t="str">
        <f aca="false">IF($E2950="","",N(INDEX(成本费用登记表!$Q$4:$Y$303,281,3)))</f>
        <v/>
      </c>
      <c r="J2950" s="67" t="str">
        <f aca="false">IF($E2950="","",INDEX(成本费用登记表!$C$4:$C$303,281))</f>
        <v/>
      </c>
      <c r="K2950" s="67" t="str">
        <f aca="false">IF($E2950="","",INDEX(成本费用登记表!$D$4:$D$303,281))</f>
        <v/>
      </c>
      <c r="L2950" s="107" t="str">
        <f aca="false">IF($E2950="","",INDEX(成本费用登记表!$N$4:$N$303,281))</f>
        <v/>
      </c>
      <c r="M2950" s="107"/>
      <c r="N2950" s="67" t="str">
        <f aca="false">IF($E2950="","","系统")</f>
        <v/>
      </c>
      <c r="O2950" s="67" t="str">
        <f aca="false">IF($E2950="","","自动C")</f>
        <v/>
      </c>
      <c r="P2950" s="18"/>
    </row>
    <row r="2951" customFormat="false" ht="18" hidden="false" customHeight="true" outlineLevel="0" collapsed="false">
      <c r="A2951" s="107" t="str">
        <f aca="false">IF($E2951="","",ROW()-3)</f>
        <v/>
      </c>
      <c r="B2951" s="110" t="str">
        <f aca="false">IF($E2951="","",INDEX(成本费用登记表!$B$4:$B$303,281))</f>
        <v/>
      </c>
      <c r="C2951" s="67" t="str">
        <f aca="false">IF($E2951="","","记-"&amp;TEXT($B2951,"YYYYMM")&amp;"-费用")</f>
        <v/>
      </c>
      <c r="D2951" s="107" t="str">
        <f aca="false">IF($E2951="","",INDEX(成本费用登记表!$E$4:$E$303,281))</f>
        <v/>
      </c>
      <c r="E2951" s="67" t="str">
        <f aca="false">IF(INDEX(成本费用登记表!$Q$4:$Y$303,281,4)=0,"",INDEX(成本费用登记表!$Q$4:$Y$303,281,4))</f>
        <v/>
      </c>
      <c r="F2951" s="99" t="str">
        <f aca="false">IF($E2951="","",IFERROR(INDEX(科目表!$A$4:$A$81,MATCH($E2951,科目表!$B$4:$B$81,0)),""))</f>
        <v/>
      </c>
      <c r="G2951" s="67" t="str">
        <f aca="false">IF($E2951="","",IFERROR(INDEX(科目表!$E$4:$E$81,MATCH($E2951,科目表!$B$4:$B$81,0)),""))</f>
        <v/>
      </c>
      <c r="H2951" s="70" t="str">
        <f aca="false">IF($E2951="","",N(INDEX(成本费用登记表!$Q$4:$Y$303,281,5)))</f>
        <v/>
      </c>
      <c r="I2951" s="70" t="str">
        <f aca="false">IF($E2951="","",N(INDEX(成本费用登记表!$Q$4:$Y$303,281,6)))</f>
        <v/>
      </c>
      <c r="J2951" s="67" t="str">
        <f aca="false">IF($E2951="","",INDEX(成本费用登记表!$C$4:$C$303,281))</f>
        <v/>
      </c>
      <c r="K2951" s="67" t="str">
        <f aca="false">IF($E2951="","",INDEX(成本费用登记表!$D$4:$D$303,281))</f>
        <v/>
      </c>
      <c r="L2951" s="107" t="str">
        <f aca="false">IF($E2951="","",INDEX(成本费用登记表!$N$4:$N$303,281))</f>
        <v/>
      </c>
      <c r="M2951" s="107"/>
      <c r="N2951" s="67" t="str">
        <f aca="false">IF($E2951="","","系统")</f>
        <v/>
      </c>
      <c r="O2951" s="67" t="str">
        <f aca="false">IF($E2951="","","自动C")</f>
        <v/>
      </c>
      <c r="P2951" s="18"/>
    </row>
    <row r="2952" customFormat="false" ht="18" hidden="false" customHeight="true" outlineLevel="0" collapsed="false">
      <c r="A2952" s="107" t="str">
        <f aca="false">IF($E2952="","",ROW()-3)</f>
        <v/>
      </c>
      <c r="B2952" s="110" t="str">
        <f aca="false">IF($E2952="","",INDEX(成本费用登记表!$B$4:$B$303,281))</f>
        <v/>
      </c>
      <c r="C2952" s="67" t="str">
        <f aca="false">IF($E2952="","","记-"&amp;TEXT($B2952,"YYYYMM")&amp;"-费用")</f>
        <v/>
      </c>
      <c r="D2952" s="107" t="str">
        <f aca="false">IF($E2952="","",INDEX(成本费用登记表!$E$4:$E$303,281))</f>
        <v/>
      </c>
      <c r="E2952" s="67" t="str">
        <f aca="false">IF(INDEX(成本费用登记表!$Q$4:$Y$303,281,7)=0,"",INDEX(成本费用登记表!$Q$4:$Y$303,281,7))</f>
        <v/>
      </c>
      <c r="F2952" s="99" t="str">
        <f aca="false">IF($E2952="","",IFERROR(INDEX(科目表!$A$4:$A$81,MATCH($E2952,科目表!$B$4:$B$81,0)),""))</f>
        <v/>
      </c>
      <c r="G2952" s="67" t="str">
        <f aca="false">IF($E2952="","",IFERROR(INDEX(科目表!$E$4:$E$81,MATCH($E2952,科目表!$B$4:$B$81,0)),""))</f>
        <v/>
      </c>
      <c r="H2952" s="70" t="str">
        <f aca="false">IF($E2952="","",N(INDEX(成本费用登记表!$Q$4:$Y$303,281,8)))</f>
        <v/>
      </c>
      <c r="I2952" s="70" t="str">
        <f aca="false">IF($E2952="","",N(INDEX(成本费用登记表!$Q$4:$Y$303,281,9)))</f>
        <v/>
      </c>
      <c r="J2952" s="67" t="str">
        <f aca="false">IF($E2952="","",INDEX(成本费用登记表!$C$4:$C$303,281))</f>
        <v/>
      </c>
      <c r="K2952" s="67" t="str">
        <f aca="false">IF($E2952="","",INDEX(成本费用登记表!$D$4:$D$303,281))</f>
        <v/>
      </c>
      <c r="L2952" s="107" t="str">
        <f aca="false">IF($E2952="","",INDEX(成本费用登记表!$N$4:$N$303,281))</f>
        <v/>
      </c>
      <c r="M2952" s="107"/>
      <c r="N2952" s="67" t="str">
        <f aca="false">IF($E2952="","","系统")</f>
        <v/>
      </c>
      <c r="O2952" s="67" t="str">
        <f aca="false">IF($E2952="","","自动C")</f>
        <v/>
      </c>
      <c r="P2952" s="18"/>
    </row>
    <row r="2953" customFormat="false" ht="18" hidden="false" customHeight="true" outlineLevel="0" collapsed="false">
      <c r="A2953" s="107" t="str">
        <f aca="false">IF($E2953="","",ROW()-3)</f>
        <v/>
      </c>
      <c r="B2953" s="110" t="str">
        <f aca="false">IF($E2953="","",INDEX(成本费用登记表!$B$4:$B$303,282))</f>
        <v/>
      </c>
      <c r="C2953" s="67" t="str">
        <f aca="false">IF($E2953="","","记-"&amp;TEXT($B2953,"YYYYMM")&amp;"-费用")</f>
        <v/>
      </c>
      <c r="D2953" s="107" t="str">
        <f aca="false">IF($E2953="","",INDEX(成本费用登记表!$E$4:$E$303,282))</f>
        <v/>
      </c>
      <c r="E2953" s="67" t="str">
        <f aca="false">IF(INDEX(成本费用登记表!$Q$4:$Y$303,282,1)=0,"",INDEX(成本费用登记表!$Q$4:$Y$303,282,1))</f>
        <v/>
      </c>
      <c r="F2953" s="99" t="str">
        <f aca="false">IF($E2953="","",IFERROR(INDEX(科目表!$A$4:$A$81,MATCH($E2953,科目表!$B$4:$B$81,0)),""))</f>
        <v/>
      </c>
      <c r="G2953" s="67" t="str">
        <f aca="false">IF($E2953="","",IFERROR(INDEX(科目表!$E$4:$E$81,MATCH($E2953,科目表!$B$4:$B$81,0)),""))</f>
        <v/>
      </c>
      <c r="H2953" s="70" t="str">
        <f aca="false">IF($E2953="","",N(INDEX(成本费用登记表!$Q$4:$Y$303,282,2)))</f>
        <v/>
      </c>
      <c r="I2953" s="70" t="str">
        <f aca="false">IF($E2953="","",N(INDEX(成本费用登记表!$Q$4:$Y$303,282,3)))</f>
        <v/>
      </c>
      <c r="J2953" s="67" t="str">
        <f aca="false">IF($E2953="","",INDEX(成本费用登记表!$C$4:$C$303,282))</f>
        <v/>
      </c>
      <c r="K2953" s="67" t="str">
        <f aca="false">IF($E2953="","",INDEX(成本费用登记表!$D$4:$D$303,282))</f>
        <v/>
      </c>
      <c r="L2953" s="107" t="str">
        <f aca="false">IF($E2953="","",INDEX(成本费用登记表!$N$4:$N$303,282))</f>
        <v/>
      </c>
      <c r="M2953" s="107"/>
      <c r="N2953" s="67" t="str">
        <f aca="false">IF($E2953="","","系统")</f>
        <v/>
      </c>
      <c r="O2953" s="67" t="str">
        <f aca="false">IF($E2953="","","自动C")</f>
        <v/>
      </c>
      <c r="P2953" s="18"/>
    </row>
    <row r="2954" customFormat="false" ht="18" hidden="false" customHeight="true" outlineLevel="0" collapsed="false">
      <c r="A2954" s="107" t="str">
        <f aca="false">IF($E2954="","",ROW()-3)</f>
        <v/>
      </c>
      <c r="B2954" s="110" t="str">
        <f aca="false">IF($E2954="","",INDEX(成本费用登记表!$B$4:$B$303,282))</f>
        <v/>
      </c>
      <c r="C2954" s="67" t="str">
        <f aca="false">IF($E2954="","","记-"&amp;TEXT($B2954,"YYYYMM")&amp;"-费用")</f>
        <v/>
      </c>
      <c r="D2954" s="107" t="str">
        <f aca="false">IF($E2954="","",INDEX(成本费用登记表!$E$4:$E$303,282))</f>
        <v/>
      </c>
      <c r="E2954" s="67" t="str">
        <f aca="false">IF(INDEX(成本费用登记表!$Q$4:$Y$303,282,4)=0,"",INDEX(成本费用登记表!$Q$4:$Y$303,282,4))</f>
        <v/>
      </c>
      <c r="F2954" s="99" t="str">
        <f aca="false">IF($E2954="","",IFERROR(INDEX(科目表!$A$4:$A$81,MATCH($E2954,科目表!$B$4:$B$81,0)),""))</f>
        <v/>
      </c>
      <c r="G2954" s="67" t="str">
        <f aca="false">IF($E2954="","",IFERROR(INDEX(科目表!$E$4:$E$81,MATCH($E2954,科目表!$B$4:$B$81,0)),""))</f>
        <v/>
      </c>
      <c r="H2954" s="70" t="str">
        <f aca="false">IF($E2954="","",N(INDEX(成本费用登记表!$Q$4:$Y$303,282,5)))</f>
        <v/>
      </c>
      <c r="I2954" s="70" t="str">
        <f aca="false">IF($E2954="","",N(INDEX(成本费用登记表!$Q$4:$Y$303,282,6)))</f>
        <v/>
      </c>
      <c r="J2954" s="67" t="str">
        <f aca="false">IF($E2954="","",INDEX(成本费用登记表!$C$4:$C$303,282))</f>
        <v/>
      </c>
      <c r="K2954" s="67" t="str">
        <f aca="false">IF($E2954="","",INDEX(成本费用登记表!$D$4:$D$303,282))</f>
        <v/>
      </c>
      <c r="L2954" s="107" t="str">
        <f aca="false">IF($E2954="","",INDEX(成本费用登记表!$N$4:$N$303,282))</f>
        <v/>
      </c>
      <c r="M2954" s="107"/>
      <c r="N2954" s="67" t="str">
        <f aca="false">IF($E2954="","","系统")</f>
        <v/>
      </c>
      <c r="O2954" s="67" t="str">
        <f aca="false">IF($E2954="","","自动C")</f>
        <v/>
      </c>
      <c r="P2954" s="18"/>
    </row>
    <row r="2955" customFormat="false" ht="18" hidden="false" customHeight="true" outlineLevel="0" collapsed="false">
      <c r="A2955" s="107" t="str">
        <f aca="false">IF($E2955="","",ROW()-3)</f>
        <v/>
      </c>
      <c r="B2955" s="110" t="str">
        <f aca="false">IF($E2955="","",INDEX(成本费用登记表!$B$4:$B$303,282))</f>
        <v/>
      </c>
      <c r="C2955" s="67" t="str">
        <f aca="false">IF($E2955="","","记-"&amp;TEXT($B2955,"YYYYMM")&amp;"-费用")</f>
        <v/>
      </c>
      <c r="D2955" s="107" t="str">
        <f aca="false">IF($E2955="","",INDEX(成本费用登记表!$E$4:$E$303,282))</f>
        <v/>
      </c>
      <c r="E2955" s="67" t="str">
        <f aca="false">IF(INDEX(成本费用登记表!$Q$4:$Y$303,282,7)=0,"",INDEX(成本费用登记表!$Q$4:$Y$303,282,7))</f>
        <v/>
      </c>
      <c r="F2955" s="99" t="str">
        <f aca="false">IF($E2955="","",IFERROR(INDEX(科目表!$A$4:$A$81,MATCH($E2955,科目表!$B$4:$B$81,0)),""))</f>
        <v/>
      </c>
      <c r="G2955" s="67" t="str">
        <f aca="false">IF($E2955="","",IFERROR(INDEX(科目表!$E$4:$E$81,MATCH($E2955,科目表!$B$4:$B$81,0)),""))</f>
        <v/>
      </c>
      <c r="H2955" s="70" t="str">
        <f aca="false">IF($E2955="","",N(INDEX(成本费用登记表!$Q$4:$Y$303,282,8)))</f>
        <v/>
      </c>
      <c r="I2955" s="70" t="str">
        <f aca="false">IF($E2955="","",N(INDEX(成本费用登记表!$Q$4:$Y$303,282,9)))</f>
        <v/>
      </c>
      <c r="J2955" s="67" t="str">
        <f aca="false">IF($E2955="","",INDEX(成本费用登记表!$C$4:$C$303,282))</f>
        <v/>
      </c>
      <c r="K2955" s="67" t="str">
        <f aca="false">IF($E2955="","",INDEX(成本费用登记表!$D$4:$D$303,282))</f>
        <v/>
      </c>
      <c r="L2955" s="107" t="str">
        <f aca="false">IF($E2955="","",INDEX(成本费用登记表!$N$4:$N$303,282))</f>
        <v/>
      </c>
      <c r="M2955" s="107"/>
      <c r="N2955" s="67" t="str">
        <f aca="false">IF($E2955="","","系统")</f>
        <v/>
      </c>
      <c r="O2955" s="67" t="str">
        <f aca="false">IF($E2955="","","自动C")</f>
        <v/>
      </c>
      <c r="P2955" s="18"/>
    </row>
    <row r="2956" customFormat="false" ht="18" hidden="false" customHeight="true" outlineLevel="0" collapsed="false">
      <c r="A2956" s="107" t="str">
        <f aca="false">IF($E2956="","",ROW()-3)</f>
        <v/>
      </c>
      <c r="B2956" s="110" t="str">
        <f aca="false">IF($E2956="","",INDEX(成本费用登记表!$B$4:$B$303,283))</f>
        <v/>
      </c>
      <c r="C2956" s="67" t="str">
        <f aca="false">IF($E2956="","","记-"&amp;TEXT($B2956,"YYYYMM")&amp;"-费用")</f>
        <v/>
      </c>
      <c r="D2956" s="107" t="str">
        <f aca="false">IF($E2956="","",INDEX(成本费用登记表!$E$4:$E$303,283))</f>
        <v/>
      </c>
      <c r="E2956" s="67" t="str">
        <f aca="false">IF(INDEX(成本费用登记表!$Q$4:$Y$303,283,1)=0,"",INDEX(成本费用登记表!$Q$4:$Y$303,283,1))</f>
        <v/>
      </c>
      <c r="F2956" s="99" t="str">
        <f aca="false">IF($E2956="","",IFERROR(INDEX(科目表!$A$4:$A$81,MATCH($E2956,科目表!$B$4:$B$81,0)),""))</f>
        <v/>
      </c>
      <c r="G2956" s="67" t="str">
        <f aca="false">IF($E2956="","",IFERROR(INDEX(科目表!$E$4:$E$81,MATCH($E2956,科目表!$B$4:$B$81,0)),""))</f>
        <v/>
      </c>
      <c r="H2956" s="70" t="str">
        <f aca="false">IF($E2956="","",N(INDEX(成本费用登记表!$Q$4:$Y$303,283,2)))</f>
        <v/>
      </c>
      <c r="I2956" s="70" t="str">
        <f aca="false">IF($E2956="","",N(INDEX(成本费用登记表!$Q$4:$Y$303,283,3)))</f>
        <v/>
      </c>
      <c r="J2956" s="67" t="str">
        <f aca="false">IF($E2956="","",INDEX(成本费用登记表!$C$4:$C$303,283))</f>
        <v/>
      </c>
      <c r="K2956" s="67" t="str">
        <f aca="false">IF($E2956="","",INDEX(成本费用登记表!$D$4:$D$303,283))</f>
        <v/>
      </c>
      <c r="L2956" s="107" t="str">
        <f aca="false">IF($E2956="","",INDEX(成本费用登记表!$N$4:$N$303,283))</f>
        <v/>
      </c>
      <c r="M2956" s="107"/>
      <c r="N2956" s="67" t="str">
        <f aca="false">IF($E2956="","","系统")</f>
        <v/>
      </c>
      <c r="O2956" s="67" t="str">
        <f aca="false">IF($E2956="","","自动C")</f>
        <v/>
      </c>
      <c r="P2956" s="18"/>
    </row>
    <row r="2957" customFormat="false" ht="18" hidden="false" customHeight="true" outlineLevel="0" collapsed="false">
      <c r="A2957" s="107" t="str">
        <f aca="false">IF($E2957="","",ROW()-3)</f>
        <v/>
      </c>
      <c r="B2957" s="110" t="str">
        <f aca="false">IF($E2957="","",INDEX(成本费用登记表!$B$4:$B$303,283))</f>
        <v/>
      </c>
      <c r="C2957" s="67" t="str">
        <f aca="false">IF($E2957="","","记-"&amp;TEXT($B2957,"YYYYMM")&amp;"-费用")</f>
        <v/>
      </c>
      <c r="D2957" s="107" t="str">
        <f aca="false">IF($E2957="","",INDEX(成本费用登记表!$E$4:$E$303,283))</f>
        <v/>
      </c>
      <c r="E2957" s="67" t="str">
        <f aca="false">IF(INDEX(成本费用登记表!$Q$4:$Y$303,283,4)=0,"",INDEX(成本费用登记表!$Q$4:$Y$303,283,4))</f>
        <v/>
      </c>
      <c r="F2957" s="99" t="str">
        <f aca="false">IF($E2957="","",IFERROR(INDEX(科目表!$A$4:$A$81,MATCH($E2957,科目表!$B$4:$B$81,0)),""))</f>
        <v/>
      </c>
      <c r="G2957" s="67" t="str">
        <f aca="false">IF($E2957="","",IFERROR(INDEX(科目表!$E$4:$E$81,MATCH($E2957,科目表!$B$4:$B$81,0)),""))</f>
        <v/>
      </c>
      <c r="H2957" s="70" t="str">
        <f aca="false">IF($E2957="","",N(INDEX(成本费用登记表!$Q$4:$Y$303,283,5)))</f>
        <v/>
      </c>
      <c r="I2957" s="70" t="str">
        <f aca="false">IF($E2957="","",N(INDEX(成本费用登记表!$Q$4:$Y$303,283,6)))</f>
        <v/>
      </c>
      <c r="J2957" s="67" t="str">
        <f aca="false">IF($E2957="","",INDEX(成本费用登记表!$C$4:$C$303,283))</f>
        <v/>
      </c>
      <c r="K2957" s="67" t="str">
        <f aca="false">IF($E2957="","",INDEX(成本费用登记表!$D$4:$D$303,283))</f>
        <v/>
      </c>
      <c r="L2957" s="107" t="str">
        <f aca="false">IF($E2957="","",INDEX(成本费用登记表!$N$4:$N$303,283))</f>
        <v/>
      </c>
      <c r="M2957" s="107"/>
      <c r="N2957" s="67" t="str">
        <f aca="false">IF($E2957="","","系统")</f>
        <v/>
      </c>
      <c r="O2957" s="67" t="str">
        <f aca="false">IF($E2957="","","自动C")</f>
        <v/>
      </c>
      <c r="P2957" s="18"/>
    </row>
    <row r="2958" customFormat="false" ht="18" hidden="false" customHeight="true" outlineLevel="0" collapsed="false">
      <c r="A2958" s="107" t="str">
        <f aca="false">IF($E2958="","",ROW()-3)</f>
        <v/>
      </c>
      <c r="B2958" s="110" t="str">
        <f aca="false">IF($E2958="","",INDEX(成本费用登记表!$B$4:$B$303,283))</f>
        <v/>
      </c>
      <c r="C2958" s="67" t="str">
        <f aca="false">IF($E2958="","","记-"&amp;TEXT($B2958,"YYYYMM")&amp;"-费用")</f>
        <v/>
      </c>
      <c r="D2958" s="107" t="str">
        <f aca="false">IF($E2958="","",INDEX(成本费用登记表!$E$4:$E$303,283))</f>
        <v/>
      </c>
      <c r="E2958" s="67" t="str">
        <f aca="false">IF(INDEX(成本费用登记表!$Q$4:$Y$303,283,7)=0,"",INDEX(成本费用登记表!$Q$4:$Y$303,283,7))</f>
        <v/>
      </c>
      <c r="F2958" s="99" t="str">
        <f aca="false">IF($E2958="","",IFERROR(INDEX(科目表!$A$4:$A$81,MATCH($E2958,科目表!$B$4:$B$81,0)),""))</f>
        <v/>
      </c>
      <c r="G2958" s="67" t="str">
        <f aca="false">IF($E2958="","",IFERROR(INDEX(科目表!$E$4:$E$81,MATCH($E2958,科目表!$B$4:$B$81,0)),""))</f>
        <v/>
      </c>
      <c r="H2958" s="70" t="str">
        <f aca="false">IF($E2958="","",N(INDEX(成本费用登记表!$Q$4:$Y$303,283,8)))</f>
        <v/>
      </c>
      <c r="I2958" s="70" t="str">
        <f aca="false">IF($E2958="","",N(INDEX(成本费用登记表!$Q$4:$Y$303,283,9)))</f>
        <v/>
      </c>
      <c r="J2958" s="67" t="str">
        <f aca="false">IF($E2958="","",INDEX(成本费用登记表!$C$4:$C$303,283))</f>
        <v/>
      </c>
      <c r="K2958" s="67" t="str">
        <f aca="false">IF($E2958="","",INDEX(成本费用登记表!$D$4:$D$303,283))</f>
        <v/>
      </c>
      <c r="L2958" s="107" t="str">
        <f aca="false">IF($E2958="","",INDEX(成本费用登记表!$N$4:$N$303,283))</f>
        <v/>
      </c>
      <c r="M2958" s="107"/>
      <c r="N2958" s="67" t="str">
        <f aca="false">IF($E2958="","","系统")</f>
        <v/>
      </c>
      <c r="O2958" s="67" t="str">
        <f aca="false">IF($E2958="","","自动C")</f>
        <v/>
      </c>
      <c r="P2958" s="18"/>
    </row>
    <row r="2959" customFormat="false" ht="18" hidden="false" customHeight="true" outlineLevel="0" collapsed="false">
      <c r="A2959" s="107" t="str">
        <f aca="false">IF($E2959="","",ROW()-3)</f>
        <v/>
      </c>
      <c r="B2959" s="110" t="str">
        <f aca="false">IF($E2959="","",INDEX(成本费用登记表!$B$4:$B$303,284))</f>
        <v/>
      </c>
      <c r="C2959" s="67" t="str">
        <f aca="false">IF($E2959="","","记-"&amp;TEXT($B2959,"YYYYMM")&amp;"-费用")</f>
        <v/>
      </c>
      <c r="D2959" s="107" t="str">
        <f aca="false">IF($E2959="","",INDEX(成本费用登记表!$E$4:$E$303,284))</f>
        <v/>
      </c>
      <c r="E2959" s="67" t="str">
        <f aca="false">IF(INDEX(成本费用登记表!$Q$4:$Y$303,284,1)=0,"",INDEX(成本费用登记表!$Q$4:$Y$303,284,1))</f>
        <v/>
      </c>
      <c r="F2959" s="99" t="str">
        <f aca="false">IF($E2959="","",IFERROR(INDEX(科目表!$A$4:$A$81,MATCH($E2959,科目表!$B$4:$B$81,0)),""))</f>
        <v/>
      </c>
      <c r="G2959" s="67" t="str">
        <f aca="false">IF($E2959="","",IFERROR(INDEX(科目表!$E$4:$E$81,MATCH($E2959,科目表!$B$4:$B$81,0)),""))</f>
        <v/>
      </c>
      <c r="H2959" s="70" t="str">
        <f aca="false">IF($E2959="","",N(INDEX(成本费用登记表!$Q$4:$Y$303,284,2)))</f>
        <v/>
      </c>
      <c r="I2959" s="70" t="str">
        <f aca="false">IF($E2959="","",N(INDEX(成本费用登记表!$Q$4:$Y$303,284,3)))</f>
        <v/>
      </c>
      <c r="J2959" s="67" t="str">
        <f aca="false">IF($E2959="","",INDEX(成本费用登记表!$C$4:$C$303,284))</f>
        <v/>
      </c>
      <c r="K2959" s="67" t="str">
        <f aca="false">IF($E2959="","",INDEX(成本费用登记表!$D$4:$D$303,284))</f>
        <v/>
      </c>
      <c r="L2959" s="107" t="str">
        <f aca="false">IF($E2959="","",INDEX(成本费用登记表!$N$4:$N$303,284))</f>
        <v/>
      </c>
      <c r="M2959" s="107"/>
      <c r="N2959" s="67" t="str">
        <f aca="false">IF($E2959="","","系统")</f>
        <v/>
      </c>
      <c r="O2959" s="67" t="str">
        <f aca="false">IF($E2959="","","自动C")</f>
        <v/>
      </c>
      <c r="P2959" s="18"/>
    </row>
    <row r="2960" customFormat="false" ht="18" hidden="false" customHeight="true" outlineLevel="0" collapsed="false">
      <c r="A2960" s="107" t="str">
        <f aca="false">IF($E2960="","",ROW()-3)</f>
        <v/>
      </c>
      <c r="B2960" s="110" t="str">
        <f aca="false">IF($E2960="","",INDEX(成本费用登记表!$B$4:$B$303,284))</f>
        <v/>
      </c>
      <c r="C2960" s="67" t="str">
        <f aca="false">IF($E2960="","","记-"&amp;TEXT($B2960,"YYYYMM")&amp;"-费用")</f>
        <v/>
      </c>
      <c r="D2960" s="107" t="str">
        <f aca="false">IF($E2960="","",INDEX(成本费用登记表!$E$4:$E$303,284))</f>
        <v/>
      </c>
      <c r="E2960" s="67" t="str">
        <f aca="false">IF(INDEX(成本费用登记表!$Q$4:$Y$303,284,4)=0,"",INDEX(成本费用登记表!$Q$4:$Y$303,284,4))</f>
        <v/>
      </c>
      <c r="F2960" s="99" t="str">
        <f aca="false">IF($E2960="","",IFERROR(INDEX(科目表!$A$4:$A$81,MATCH($E2960,科目表!$B$4:$B$81,0)),""))</f>
        <v/>
      </c>
      <c r="G2960" s="67" t="str">
        <f aca="false">IF($E2960="","",IFERROR(INDEX(科目表!$E$4:$E$81,MATCH($E2960,科目表!$B$4:$B$81,0)),""))</f>
        <v/>
      </c>
      <c r="H2960" s="70" t="str">
        <f aca="false">IF($E2960="","",N(INDEX(成本费用登记表!$Q$4:$Y$303,284,5)))</f>
        <v/>
      </c>
      <c r="I2960" s="70" t="str">
        <f aca="false">IF($E2960="","",N(INDEX(成本费用登记表!$Q$4:$Y$303,284,6)))</f>
        <v/>
      </c>
      <c r="J2960" s="67" t="str">
        <f aca="false">IF($E2960="","",INDEX(成本费用登记表!$C$4:$C$303,284))</f>
        <v/>
      </c>
      <c r="K2960" s="67" t="str">
        <f aca="false">IF($E2960="","",INDEX(成本费用登记表!$D$4:$D$303,284))</f>
        <v/>
      </c>
      <c r="L2960" s="107" t="str">
        <f aca="false">IF($E2960="","",INDEX(成本费用登记表!$N$4:$N$303,284))</f>
        <v/>
      </c>
      <c r="M2960" s="107"/>
      <c r="N2960" s="67" t="str">
        <f aca="false">IF($E2960="","","系统")</f>
        <v/>
      </c>
      <c r="O2960" s="67" t="str">
        <f aca="false">IF($E2960="","","自动C")</f>
        <v/>
      </c>
      <c r="P2960" s="18"/>
    </row>
    <row r="2961" customFormat="false" ht="18" hidden="false" customHeight="true" outlineLevel="0" collapsed="false">
      <c r="A2961" s="107" t="str">
        <f aca="false">IF($E2961="","",ROW()-3)</f>
        <v/>
      </c>
      <c r="B2961" s="110" t="str">
        <f aca="false">IF($E2961="","",INDEX(成本费用登记表!$B$4:$B$303,284))</f>
        <v/>
      </c>
      <c r="C2961" s="67" t="str">
        <f aca="false">IF($E2961="","","记-"&amp;TEXT($B2961,"YYYYMM")&amp;"-费用")</f>
        <v/>
      </c>
      <c r="D2961" s="107" t="str">
        <f aca="false">IF($E2961="","",INDEX(成本费用登记表!$E$4:$E$303,284))</f>
        <v/>
      </c>
      <c r="E2961" s="67" t="str">
        <f aca="false">IF(INDEX(成本费用登记表!$Q$4:$Y$303,284,7)=0,"",INDEX(成本费用登记表!$Q$4:$Y$303,284,7))</f>
        <v/>
      </c>
      <c r="F2961" s="99" t="str">
        <f aca="false">IF($E2961="","",IFERROR(INDEX(科目表!$A$4:$A$81,MATCH($E2961,科目表!$B$4:$B$81,0)),""))</f>
        <v/>
      </c>
      <c r="G2961" s="67" t="str">
        <f aca="false">IF($E2961="","",IFERROR(INDEX(科目表!$E$4:$E$81,MATCH($E2961,科目表!$B$4:$B$81,0)),""))</f>
        <v/>
      </c>
      <c r="H2961" s="70" t="str">
        <f aca="false">IF($E2961="","",N(INDEX(成本费用登记表!$Q$4:$Y$303,284,8)))</f>
        <v/>
      </c>
      <c r="I2961" s="70" t="str">
        <f aca="false">IF($E2961="","",N(INDEX(成本费用登记表!$Q$4:$Y$303,284,9)))</f>
        <v/>
      </c>
      <c r="J2961" s="67" t="str">
        <f aca="false">IF($E2961="","",INDEX(成本费用登记表!$C$4:$C$303,284))</f>
        <v/>
      </c>
      <c r="K2961" s="67" t="str">
        <f aca="false">IF($E2961="","",INDEX(成本费用登记表!$D$4:$D$303,284))</f>
        <v/>
      </c>
      <c r="L2961" s="107" t="str">
        <f aca="false">IF($E2961="","",INDEX(成本费用登记表!$N$4:$N$303,284))</f>
        <v/>
      </c>
      <c r="M2961" s="107"/>
      <c r="N2961" s="67" t="str">
        <f aca="false">IF($E2961="","","系统")</f>
        <v/>
      </c>
      <c r="O2961" s="67" t="str">
        <f aca="false">IF($E2961="","","自动C")</f>
        <v/>
      </c>
      <c r="P2961" s="18"/>
    </row>
    <row r="2962" customFormat="false" ht="18" hidden="false" customHeight="true" outlineLevel="0" collapsed="false">
      <c r="A2962" s="107" t="str">
        <f aca="false">IF($E2962="","",ROW()-3)</f>
        <v/>
      </c>
      <c r="B2962" s="110" t="str">
        <f aca="false">IF($E2962="","",INDEX(成本费用登记表!$B$4:$B$303,285))</f>
        <v/>
      </c>
      <c r="C2962" s="67" t="str">
        <f aca="false">IF($E2962="","","记-"&amp;TEXT($B2962,"YYYYMM")&amp;"-费用")</f>
        <v/>
      </c>
      <c r="D2962" s="107" t="str">
        <f aca="false">IF($E2962="","",INDEX(成本费用登记表!$E$4:$E$303,285))</f>
        <v/>
      </c>
      <c r="E2962" s="67" t="str">
        <f aca="false">IF(INDEX(成本费用登记表!$Q$4:$Y$303,285,1)=0,"",INDEX(成本费用登记表!$Q$4:$Y$303,285,1))</f>
        <v/>
      </c>
      <c r="F2962" s="99" t="str">
        <f aca="false">IF($E2962="","",IFERROR(INDEX(科目表!$A$4:$A$81,MATCH($E2962,科目表!$B$4:$B$81,0)),""))</f>
        <v/>
      </c>
      <c r="G2962" s="67" t="str">
        <f aca="false">IF($E2962="","",IFERROR(INDEX(科目表!$E$4:$E$81,MATCH($E2962,科目表!$B$4:$B$81,0)),""))</f>
        <v/>
      </c>
      <c r="H2962" s="70" t="str">
        <f aca="false">IF($E2962="","",N(INDEX(成本费用登记表!$Q$4:$Y$303,285,2)))</f>
        <v/>
      </c>
      <c r="I2962" s="70" t="str">
        <f aca="false">IF($E2962="","",N(INDEX(成本费用登记表!$Q$4:$Y$303,285,3)))</f>
        <v/>
      </c>
      <c r="J2962" s="67" t="str">
        <f aca="false">IF($E2962="","",INDEX(成本费用登记表!$C$4:$C$303,285))</f>
        <v/>
      </c>
      <c r="K2962" s="67" t="str">
        <f aca="false">IF($E2962="","",INDEX(成本费用登记表!$D$4:$D$303,285))</f>
        <v/>
      </c>
      <c r="L2962" s="107" t="str">
        <f aca="false">IF($E2962="","",INDEX(成本费用登记表!$N$4:$N$303,285))</f>
        <v/>
      </c>
      <c r="M2962" s="107"/>
      <c r="N2962" s="67" t="str">
        <f aca="false">IF($E2962="","","系统")</f>
        <v/>
      </c>
      <c r="O2962" s="67" t="str">
        <f aca="false">IF($E2962="","","自动C")</f>
        <v/>
      </c>
      <c r="P2962" s="18"/>
    </row>
    <row r="2963" customFormat="false" ht="18" hidden="false" customHeight="true" outlineLevel="0" collapsed="false">
      <c r="A2963" s="107" t="str">
        <f aca="false">IF($E2963="","",ROW()-3)</f>
        <v/>
      </c>
      <c r="B2963" s="110" t="str">
        <f aca="false">IF($E2963="","",INDEX(成本费用登记表!$B$4:$B$303,285))</f>
        <v/>
      </c>
      <c r="C2963" s="67" t="str">
        <f aca="false">IF($E2963="","","记-"&amp;TEXT($B2963,"YYYYMM")&amp;"-费用")</f>
        <v/>
      </c>
      <c r="D2963" s="107" t="str">
        <f aca="false">IF($E2963="","",INDEX(成本费用登记表!$E$4:$E$303,285))</f>
        <v/>
      </c>
      <c r="E2963" s="67" t="str">
        <f aca="false">IF(INDEX(成本费用登记表!$Q$4:$Y$303,285,4)=0,"",INDEX(成本费用登记表!$Q$4:$Y$303,285,4))</f>
        <v/>
      </c>
      <c r="F2963" s="99" t="str">
        <f aca="false">IF($E2963="","",IFERROR(INDEX(科目表!$A$4:$A$81,MATCH($E2963,科目表!$B$4:$B$81,0)),""))</f>
        <v/>
      </c>
      <c r="G2963" s="67" t="str">
        <f aca="false">IF($E2963="","",IFERROR(INDEX(科目表!$E$4:$E$81,MATCH($E2963,科目表!$B$4:$B$81,0)),""))</f>
        <v/>
      </c>
      <c r="H2963" s="70" t="str">
        <f aca="false">IF($E2963="","",N(INDEX(成本费用登记表!$Q$4:$Y$303,285,5)))</f>
        <v/>
      </c>
      <c r="I2963" s="70" t="str">
        <f aca="false">IF($E2963="","",N(INDEX(成本费用登记表!$Q$4:$Y$303,285,6)))</f>
        <v/>
      </c>
      <c r="J2963" s="67" t="str">
        <f aca="false">IF($E2963="","",INDEX(成本费用登记表!$C$4:$C$303,285))</f>
        <v/>
      </c>
      <c r="K2963" s="67" t="str">
        <f aca="false">IF($E2963="","",INDEX(成本费用登记表!$D$4:$D$303,285))</f>
        <v/>
      </c>
      <c r="L2963" s="107" t="str">
        <f aca="false">IF($E2963="","",INDEX(成本费用登记表!$N$4:$N$303,285))</f>
        <v/>
      </c>
      <c r="M2963" s="107"/>
      <c r="N2963" s="67" t="str">
        <f aca="false">IF($E2963="","","系统")</f>
        <v/>
      </c>
      <c r="O2963" s="67" t="str">
        <f aca="false">IF($E2963="","","自动C")</f>
        <v/>
      </c>
      <c r="P2963" s="18"/>
    </row>
    <row r="2964" customFormat="false" ht="18" hidden="false" customHeight="true" outlineLevel="0" collapsed="false">
      <c r="A2964" s="107" t="str">
        <f aca="false">IF($E2964="","",ROW()-3)</f>
        <v/>
      </c>
      <c r="B2964" s="110" t="str">
        <f aca="false">IF($E2964="","",INDEX(成本费用登记表!$B$4:$B$303,285))</f>
        <v/>
      </c>
      <c r="C2964" s="67" t="str">
        <f aca="false">IF($E2964="","","记-"&amp;TEXT($B2964,"YYYYMM")&amp;"-费用")</f>
        <v/>
      </c>
      <c r="D2964" s="107" t="str">
        <f aca="false">IF($E2964="","",INDEX(成本费用登记表!$E$4:$E$303,285))</f>
        <v/>
      </c>
      <c r="E2964" s="67" t="str">
        <f aca="false">IF(INDEX(成本费用登记表!$Q$4:$Y$303,285,7)=0,"",INDEX(成本费用登记表!$Q$4:$Y$303,285,7))</f>
        <v/>
      </c>
      <c r="F2964" s="99" t="str">
        <f aca="false">IF($E2964="","",IFERROR(INDEX(科目表!$A$4:$A$81,MATCH($E2964,科目表!$B$4:$B$81,0)),""))</f>
        <v/>
      </c>
      <c r="G2964" s="67" t="str">
        <f aca="false">IF($E2964="","",IFERROR(INDEX(科目表!$E$4:$E$81,MATCH($E2964,科目表!$B$4:$B$81,0)),""))</f>
        <v/>
      </c>
      <c r="H2964" s="70" t="str">
        <f aca="false">IF($E2964="","",N(INDEX(成本费用登记表!$Q$4:$Y$303,285,8)))</f>
        <v/>
      </c>
      <c r="I2964" s="70" t="str">
        <f aca="false">IF($E2964="","",N(INDEX(成本费用登记表!$Q$4:$Y$303,285,9)))</f>
        <v/>
      </c>
      <c r="J2964" s="67" t="str">
        <f aca="false">IF($E2964="","",INDEX(成本费用登记表!$C$4:$C$303,285))</f>
        <v/>
      </c>
      <c r="K2964" s="67" t="str">
        <f aca="false">IF($E2964="","",INDEX(成本费用登记表!$D$4:$D$303,285))</f>
        <v/>
      </c>
      <c r="L2964" s="107" t="str">
        <f aca="false">IF($E2964="","",INDEX(成本费用登记表!$N$4:$N$303,285))</f>
        <v/>
      </c>
      <c r="M2964" s="107"/>
      <c r="N2964" s="67" t="str">
        <f aca="false">IF($E2964="","","系统")</f>
        <v/>
      </c>
      <c r="O2964" s="67" t="str">
        <f aca="false">IF($E2964="","","自动C")</f>
        <v/>
      </c>
      <c r="P2964" s="18"/>
    </row>
    <row r="2965" customFormat="false" ht="18" hidden="false" customHeight="true" outlineLevel="0" collapsed="false">
      <c r="A2965" s="107" t="str">
        <f aca="false">IF($E2965="","",ROW()-3)</f>
        <v/>
      </c>
      <c r="B2965" s="110" t="str">
        <f aca="false">IF($E2965="","",INDEX(成本费用登记表!$B$4:$B$303,286))</f>
        <v/>
      </c>
      <c r="C2965" s="67" t="str">
        <f aca="false">IF($E2965="","","记-"&amp;TEXT($B2965,"YYYYMM")&amp;"-费用")</f>
        <v/>
      </c>
      <c r="D2965" s="107" t="str">
        <f aca="false">IF($E2965="","",INDEX(成本费用登记表!$E$4:$E$303,286))</f>
        <v/>
      </c>
      <c r="E2965" s="67" t="str">
        <f aca="false">IF(INDEX(成本费用登记表!$Q$4:$Y$303,286,1)=0,"",INDEX(成本费用登记表!$Q$4:$Y$303,286,1))</f>
        <v/>
      </c>
      <c r="F2965" s="99" t="str">
        <f aca="false">IF($E2965="","",IFERROR(INDEX(科目表!$A$4:$A$81,MATCH($E2965,科目表!$B$4:$B$81,0)),""))</f>
        <v/>
      </c>
      <c r="G2965" s="67" t="str">
        <f aca="false">IF($E2965="","",IFERROR(INDEX(科目表!$E$4:$E$81,MATCH($E2965,科目表!$B$4:$B$81,0)),""))</f>
        <v/>
      </c>
      <c r="H2965" s="70" t="str">
        <f aca="false">IF($E2965="","",N(INDEX(成本费用登记表!$Q$4:$Y$303,286,2)))</f>
        <v/>
      </c>
      <c r="I2965" s="70" t="str">
        <f aca="false">IF($E2965="","",N(INDEX(成本费用登记表!$Q$4:$Y$303,286,3)))</f>
        <v/>
      </c>
      <c r="J2965" s="67" t="str">
        <f aca="false">IF($E2965="","",INDEX(成本费用登记表!$C$4:$C$303,286))</f>
        <v/>
      </c>
      <c r="K2965" s="67" t="str">
        <f aca="false">IF($E2965="","",INDEX(成本费用登记表!$D$4:$D$303,286))</f>
        <v/>
      </c>
      <c r="L2965" s="107" t="str">
        <f aca="false">IF($E2965="","",INDEX(成本费用登记表!$N$4:$N$303,286))</f>
        <v/>
      </c>
      <c r="M2965" s="107"/>
      <c r="N2965" s="67" t="str">
        <f aca="false">IF($E2965="","","系统")</f>
        <v/>
      </c>
      <c r="O2965" s="67" t="str">
        <f aca="false">IF($E2965="","","自动C")</f>
        <v/>
      </c>
      <c r="P2965" s="18"/>
    </row>
    <row r="2966" customFormat="false" ht="18" hidden="false" customHeight="true" outlineLevel="0" collapsed="false">
      <c r="A2966" s="107" t="str">
        <f aca="false">IF($E2966="","",ROW()-3)</f>
        <v/>
      </c>
      <c r="B2966" s="110" t="str">
        <f aca="false">IF($E2966="","",INDEX(成本费用登记表!$B$4:$B$303,286))</f>
        <v/>
      </c>
      <c r="C2966" s="67" t="str">
        <f aca="false">IF($E2966="","","记-"&amp;TEXT($B2966,"YYYYMM")&amp;"-费用")</f>
        <v/>
      </c>
      <c r="D2966" s="107" t="str">
        <f aca="false">IF($E2966="","",INDEX(成本费用登记表!$E$4:$E$303,286))</f>
        <v/>
      </c>
      <c r="E2966" s="67" t="str">
        <f aca="false">IF(INDEX(成本费用登记表!$Q$4:$Y$303,286,4)=0,"",INDEX(成本费用登记表!$Q$4:$Y$303,286,4))</f>
        <v/>
      </c>
      <c r="F2966" s="99" t="str">
        <f aca="false">IF($E2966="","",IFERROR(INDEX(科目表!$A$4:$A$81,MATCH($E2966,科目表!$B$4:$B$81,0)),""))</f>
        <v/>
      </c>
      <c r="G2966" s="67" t="str">
        <f aca="false">IF($E2966="","",IFERROR(INDEX(科目表!$E$4:$E$81,MATCH($E2966,科目表!$B$4:$B$81,0)),""))</f>
        <v/>
      </c>
      <c r="H2966" s="70" t="str">
        <f aca="false">IF($E2966="","",N(INDEX(成本费用登记表!$Q$4:$Y$303,286,5)))</f>
        <v/>
      </c>
      <c r="I2966" s="70" t="str">
        <f aca="false">IF($E2966="","",N(INDEX(成本费用登记表!$Q$4:$Y$303,286,6)))</f>
        <v/>
      </c>
      <c r="J2966" s="67" t="str">
        <f aca="false">IF($E2966="","",INDEX(成本费用登记表!$C$4:$C$303,286))</f>
        <v/>
      </c>
      <c r="K2966" s="67" t="str">
        <f aca="false">IF($E2966="","",INDEX(成本费用登记表!$D$4:$D$303,286))</f>
        <v/>
      </c>
      <c r="L2966" s="107" t="str">
        <f aca="false">IF($E2966="","",INDEX(成本费用登记表!$N$4:$N$303,286))</f>
        <v/>
      </c>
      <c r="M2966" s="107"/>
      <c r="N2966" s="67" t="str">
        <f aca="false">IF($E2966="","","系统")</f>
        <v/>
      </c>
      <c r="O2966" s="67" t="str">
        <f aca="false">IF($E2966="","","自动C")</f>
        <v/>
      </c>
      <c r="P2966" s="18"/>
    </row>
    <row r="2967" customFormat="false" ht="18" hidden="false" customHeight="true" outlineLevel="0" collapsed="false">
      <c r="A2967" s="107" t="str">
        <f aca="false">IF($E2967="","",ROW()-3)</f>
        <v/>
      </c>
      <c r="B2967" s="110" t="str">
        <f aca="false">IF($E2967="","",INDEX(成本费用登记表!$B$4:$B$303,286))</f>
        <v/>
      </c>
      <c r="C2967" s="67" t="str">
        <f aca="false">IF($E2967="","","记-"&amp;TEXT($B2967,"YYYYMM")&amp;"-费用")</f>
        <v/>
      </c>
      <c r="D2967" s="107" t="str">
        <f aca="false">IF($E2967="","",INDEX(成本费用登记表!$E$4:$E$303,286))</f>
        <v/>
      </c>
      <c r="E2967" s="67" t="str">
        <f aca="false">IF(INDEX(成本费用登记表!$Q$4:$Y$303,286,7)=0,"",INDEX(成本费用登记表!$Q$4:$Y$303,286,7))</f>
        <v/>
      </c>
      <c r="F2967" s="99" t="str">
        <f aca="false">IF($E2967="","",IFERROR(INDEX(科目表!$A$4:$A$81,MATCH($E2967,科目表!$B$4:$B$81,0)),""))</f>
        <v/>
      </c>
      <c r="G2967" s="67" t="str">
        <f aca="false">IF($E2967="","",IFERROR(INDEX(科目表!$E$4:$E$81,MATCH($E2967,科目表!$B$4:$B$81,0)),""))</f>
        <v/>
      </c>
      <c r="H2967" s="70" t="str">
        <f aca="false">IF($E2967="","",N(INDEX(成本费用登记表!$Q$4:$Y$303,286,8)))</f>
        <v/>
      </c>
      <c r="I2967" s="70" t="str">
        <f aca="false">IF($E2967="","",N(INDEX(成本费用登记表!$Q$4:$Y$303,286,9)))</f>
        <v/>
      </c>
      <c r="J2967" s="67" t="str">
        <f aca="false">IF($E2967="","",INDEX(成本费用登记表!$C$4:$C$303,286))</f>
        <v/>
      </c>
      <c r="K2967" s="67" t="str">
        <f aca="false">IF($E2967="","",INDEX(成本费用登记表!$D$4:$D$303,286))</f>
        <v/>
      </c>
      <c r="L2967" s="107" t="str">
        <f aca="false">IF($E2967="","",INDEX(成本费用登记表!$N$4:$N$303,286))</f>
        <v/>
      </c>
      <c r="M2967" s="107"/>
      <c r="N2967" s="67" t="str">
        <f aca="false">IF($E2967="","","系统")</f>
        <v/>
      </c>
      <c r="O2967" s="67" t="str">
        <f aca="false">IF($E2967="","","自动C")</f>
        <v/>
      </c>
      <c r="P2967" s="18"/>
    </row>
    <row r="2968" customFormat="false" ht="18" hidden="false" customHeight="true" outlineLevel="0" collapsed="false">
      <c r="A2968" s="107" t="str">
        <f aca="false">IF($E2968="","",ROW()-3)</f>
        <v/>
      </c>
      <c r="B2968" s="110" t="str">
        <f aca="false">IF($E2968="","",INDEX(成本费用登记表!$B$4:$B$303,287))</f>
        <v/>
      </c>
      <c r="C2968" s="67" t="str">
        <f aca="false">IF($E2968="","","记-"&amp;TEXT($B2968,"YYYYMM")&amp;"-费用")</f>
        <v/>
      </c>
      <c r="D2968" s="107" t="str">
        <f aca="false">IF($E2968="","",INDEX(成本费用登记表!$E$4:$E$303,287))</f>
        <v/>
      </c>
      <c r="E2968" s="67" t="str">
        <f aca="false">IF(INDEX(成本费用登记表!$Q$4:$Y$303,287,1)=0,"",INDEX(成本费用登记表!$Q$4:$Y$303,287,1))</f>
        <v/>
      </c>
      <c r="F2968" s="99" t="str">
        <f aca="false">IF($E2968="","",IFERROR(INDEX(科目表!$A$4:$A$81,MATCH($E2968,科目表!$B$4:$B$81,0)),""))</f>
        <v/>
      </c>
      <c r="G2968" s="67" t="str">
        <f aca="false">IF($E2968="","",IFERROR(INDEX(科目表!$E$4:$E$81,MATCH($E2968,科目表!$B$4:$B$81,0)),""))</f>
        <v/>
      </c>
      <c r="H2968" s="70" t="str">
        <f aca="false">IF($E2968="","",N(INDEX(成本费用登记表!$Q$4:$Y$303,287,2)))</f>
        <v/>
      </c>
      <c r="I2968" s="70" t="str">
        <f aca="false">IF($E2968="","",N(INDEX(成本费用登记表!$Q$4:$Y$303,287,3)))</f>
        <v/>
      </c>
      <c r="J2968" s="67" t="str">
        <f aca="false">IF($E2968="","",INDEX(成本费用登记表!$C$4:$C$303,287))</f>
        <v/>
      </c>
      <c r="K2968" s="67" t="str">
        <f aca="false">IF($E2968="","",INDEX(成本费用登记表!$D$4:$D$303,287))</f>
        <v/>
      </c>
      <c r="L2968" s="107" t="str">
        <f aca="false">IF($E2968="","",INDEX(成本费用登记表!$N$4:$N$303,287))</f>
        <v/>
      </c>
      <c r="M2968" s="107"/>
      <c r="N2968" s="67" t="str">
        <f aca="false">IF($E2968="","","系统")</f>
        <v/>
      </c>
      <c r="O2968" s="67" t="str">
        <f aca="false">IF($E2968="","","自动C")</f>
        <v/>
      </c>
      <c r="P2968" s="18"/>
    </row>
    <row r="2969" customFormat="false" ht="18" hidden="false" customHeight="true" outlineLevel="0" collapsed="false">
      <c r="A2969" s="107" t="str">
        <f aca="false">IF($E2969="","",ROW()-3)</f>
        <v/>
      </c>
      <c r="B2969" s="110" t="str">
        <f aca="false">IF($E2969="","",INDEX(成本费用登记表!$B$4:$B$303,287))</f>
        <v/>
      </c>
      <c r="C2969" s="67" t="str">
        <f aca="false">IF($E2969="","","记-"&amp;TEXT($B2969,"YYYYMM")&amp;"-费用")</f>
        <v/>
      </c>
      <c r="D2969" s="107" t="str">
        <f aca="false">IF($E2969="","",INDEX(成本费用登记表!$E$4:$E$303,287))</f>
        <v/>
      </c>
      <c r="E2969" s="67" t="str">
        <f aca="false">IF(INDEX(成本费用登记表!$Q$4:$Y$303,287,4)=0,"",INDEX(成本费用登记表!$Q$4:$Y$303,287,4))</f>
        <v/>
      </c>
      <c r="F2969" s="99" t="str">
        <f aca="false">IF($E2969="","",IFERROR(INDEX(科目表!$A$4:$A$81,MATCH($E2969,科目表!$B$4:$B$81,0)),""))</f>
        <v/>
      </c>
      <c r="G2969" s="67" t="str">
        <f aca="false">IF($E2969="","",IFERROR(INDEX(科目表!$E$4:$E$81,MATCH($E2969,科目表!$B$4:$B$81,0)),""))</f>
        <v/>
      </c>
      <c r="H2969" s="70" t="str">
        <f aca="false">IF($E2969="","",N(INDEX(成本费用登记表!$Q$4:$Y$303,287,5)))</f>
        <v/>
      </c>
      <c r="I2969" s="70" t="str">
        <f aca="false">IF($E2969="","",N(INDEX(成本费用登记表!$Q$4:$Y$303,287,6)))</f>
        <v/>
      </c>
      <c r="J2969" s="67" t="str">
        <f aca="false">IF($E2969="","",INDEX(成本费用登记表!$C$4:$C$303,287))</f>
        <v/>
      </c>
      <c r="K2969" s="67" t="str">
        <f aca="false">IF($E2969="","",INDEX(成本费用登记表!$D$4:$D$303,287))</f>
        <v/>
      </c>
      <c r="L2969" s="107" t="str">
        <f aca="false">IF($E2969="","",INDEX(成本费用登记表!$N$4:$N$303,287))</f>
        <v/>
      </c>
      <c r="M2969" s="107"/>
      <c r="N2969" s="67" t="str">
        <f aca="false">IF($E2969="","","系统")</f>
        <v/>
      </c>
      <c r="O2969" s="67" t="str">
        <f aca="false">IF($E2969="","","自动C")</f>
        <v/>
      </c>
      <c r="P2969" s="18"/>
    </row>
    <row r="2970" customFormat="false" ht="18" hidden="false" customHeight="true" outlineLevel="0" collapsed="false">
      <c r="A2970" s="107" t="str">
        <f aca="false">IF($E2970="","",ROW()-3)</f>
        <v/>
      </c>
      <c r="B2970" s="110" t="str">
        <f aca="false">IF($E2970="","",INDEX(成本费用登记表!$B$4:$B$303,287))</f>
        <v/>
      </c>
      <c r="C2970" s="67" t="str">
        <f aca="false">IF($E2970="","","记-"&amp;TEXT($B2970,"YYYYMM")&amp;"-费用")</f>
        <v/>
      </c>
      <c r="D2970" s="107" t="str">
        <f aca="false">IF($E2970="","",INDEX(成本费用登记表!$E$4:$E$303,287))</f>
        <v/>
      </c>
      <c r="E2970" s="67" t="str">
        <f aca="false">IF(INDEX(成本费用登记表!$Q$4:$Y$303,287,7)=0,"",INDEX(成本费用登记表!$Q$4:$Y$303,287,7))</f>
        <v/>
      </c>
      <c r="F2970" s="99" t="str">
        <f aca="false">IF($E2970="","",IFERROR(INDEX(科目表!$A$4:$A$81,MATCH($E2970,科目表!$B$4:$B$81,0)),""))</f>
        <v/>
      </c>
      <c r="G2970" s="67" t="str">
        <f aca="false">IF($E2970="","",IFERROR(INDEX(科目表!$E$4:$E$81,MATCH($E2970,科目表!$B$4:$B$81,0)),""))</f>
        <v/>
      </c>
      <c r="H2970" s="70" t="str">
        <f aca="false">IF($E2970="","",N(INDEX(成本费用登记表!$Q$4:$Y$303,287,8)))</f>
        <v/>
      </c>
      <c r="I2970" s="70" t="str">
        <f aca="false">IF($E2970="","",N(INDEX(成本费用登记表!$Q$4:$Y$303,287,9)))</f>
        <v/>
      </c>
      <c r="J2970" s="67" t="str">
        <f aca="false">IF($E2970="","",INDEX(成本费用登记表!$C$4:$C$303,287))</f>
        <v/>
      </c>
      <c r="K2970" s="67" t="str">
        <f aca="false">IF($E2970="","",INDEX(成本费用登记表!$D$4:$D$303,287))</f>
        <v/>
      </c>
      <c r="L2970" s="107" t="str">
        <f aca="false">IF($E2970="","",INDEX(成本费用登记表!$N$4:$N$303,287))</f>
        <v/>
      </c>
      <c r="M2970" s="107"/>
      <c r="N2970" s="67" t="str">
        <f aca="false">IF($E2970="","","系统")</f>
        <v/>
      </c>
      <c r="O2970" s="67" t="str">
        <f aca="false">IF($E2970="","","自动C")</f>
        <v/>
      </c>
      <c r="P2970" s="18"/>
    </row>
    <row r="2971" customFormat="false" ht="18" hidden="false" customHeight="true" outlineLevel="0" collapsed="false">
      <c r="A2971" s="107" t="str">
        <f aca="false">IF($E2971="","",ROW()-3)</f>
        <v/>
      </c>
      <c r="B2971" s="110" t="str">
        <f aca="false">IF($E2971="","",INDEX(成本费用登记表!$B$4:$B$303,288))</f>
        <v/>
      </c>
      <c r="C2971" s="67" t="str">
        <f aca="false">IF($E2971="","","记-"&amp;TEXT($B2971,"YYYYMM")&amp;"-费用")</f>
        <v/>
      </c>
      <c r="D2971" s="107" t="str">
        <f aca="false">IF($E2971="","",INDEX(成本费用登记表!$E$4:$E$303,288))</f>
        <v/>
      </c>
      <c r="E2971" s="67" t="str">
        <f aca="false">IF(INDEX(成本费用登记表!$Q$4:$Y$303,288,1)=0,"",INDEX(成本费用登记表!$Q$4:$Y$303,288,1))</f>
        <v/>
      </c>
      <c r="F2971" s="99" t="str">
        <f aca="false">IF($E2971="","",IFERROR(INDEX(科目表!$A$4:$A$81,MATCH($E2971,科目表!$B$4:$B$81,0)),""))</f>
        <v/>
      </c>
      <c r="G2971" s="67" t="str">
        <f aca="false">IF($E2971="","",IFERROR(INDEX(科目表!$E$4:$E$81,MATCH($E2971,科目表!$B$4:$B$81,0)),""))</f>
        <v/>
      </c>
      <c r="H2971" s="70" t="str">
        <f aca="false">IF($E2971="","",N(INDEX(成本费用登记表!$Q$4:$Y$303,288,2)))</f>
        <v/>
      </c>
      <c r="I2971" s="70" t="str">
        <f aca="false">IF($E2971="","",N(INDEX(成本费用登记表!$Q$4:$Y$303,288,3)))</f>
        <v/>
      </c>
      <c r="J2971" s="67" t="str">
        <f aca="false">IF($E2971="","",INDEX(成本费用登记表!$C$4:$C$303,288))</f>
        <v/>
      </c>
      <c r="K2971" s="67" t="str">
        <f aca="false">IF($E2971="","",INDEX(成本费用登记表!$D$4:$D$303,288))</f>
        <v/>
      </c>
      <c r="L2971" s="107" t="str">
        <f aca="false">IF($E2971="","",INDEX(成本费用登记表!$N$4:$N$303,288))</f>
        <v/>
      </c>
      <c r="M2971" s="107"/>
      <c r="N2971" s="67" t="str">
        <f aca="false">IF($E2971="","","系统")</f>
        <v/>
      </c>
      <c r="O2971" s="67" t="str">
        <f aca="false">IF($E2971="","","自动C")</f>
        <v/>
      </c>
      <c r="P2971" s="18"/>
    </row>
    <row r="2972" customFormat="false" ht="18" hidden="false" customHeight="true" outlineLevel="0" collapsed="false">
      <c r="A2972" s="107" t="str">
        <f aca="false">IF($E2972="","",ROW()-3)</f>
        <v/>
      </c>
      <c r="B2972" s="110" t="str">
        <f aca="false">IF($E2972="","",INDEX(成本费用登记表!$B$4:$B$303,288))</f>
        <v/>
      </c>
      <c r="C2972" s="67" t="str">
        <f aca="false">IF($E2972="","","记-"&amp;TEXT($B2972,"YYYYMM")&amp;"-费用")</f>
        <v/>
      </c>
      <c r="D2972" s="107" t="str">
        <f aca="false">IF($E2972="","",INDEX(成本费用登记表!$E$4:$E$303,288))</f>
        <v/>
      </c>
      <c r="E2972" s="67" t="str">
        <f aca="false">IF(INDEX(成本费用登记表!$Q$4:$Y$303,288,4)=0,"",INDEX(成本费用登记表!$Q$4:$Y$303,288,4))</f>
        <v/>
      </c>
      <c r="F2972" s="99" t="str">
        <f aca="false">IF($E2972="","",IFERROR(INDEX(科目表!$A$4:$A$81,MATCH($E2972,科目表!$B$4:$B$81,0)),""))</f>
        <v/>
      </c>
      <c r="G2972" s="67" t="str">
        <f aca="false">IF($E2972="","",IFERROR(INDEX(科目表!$E$4:$E$81,MATCH($E2972,科目表!$B$4:$B$81,0)),""))</f>
        <v/>
      </c>
      <c r="H2972" s="70" t="str">
        <f aca="false">IF($E2972="","",N(INDEX(成本费用登记表!$Q$4:$Y$303,288,5)))</f>
        <v/>
      </c>
      <c r="I2972" s="70" t="str">
        <f aca="false">IF($E2972="","",N(INDEX(成本费用登记表!$Q$4:$Y$303,288,6)))</f>
        <v/>
      </c>
      <c r="J2972" s="67" t="str">
        <f aca="false">IF($E2972="","",INDEX(成本费用登记表!$C$4:$C$303,288))</f>
        <v/>
      </c>
      <c r="K2972" s="67" t="str">
        <f aca="false">IF($E2972="","",INDEX(成本费用登记表!$D$4:$D$303,288))</f>
        <v/>
      </c>
      <c r="L2972" s="107" t="str">
        <f aca="false">IF($E2972="","",INDEX(成本费用登记表!$N$4:$N$303,288))</f>
        <v/>
      </c>
      <c r="M2972" s="107"/>
      <c r="N2972" s="67" t="str">
        <f aca="false">IF($E2972="","","系统")</f>
        <v/>
      </c>
      <c r="O2972" s="67" t="str">
        <f aca="false">IF($E2972="","","自动C")</f>
        <v/>
      </c>
      <c r="P2972" s="18"/>
    </row>
    <row r="2973" customFormat="false" ht="18" hidden="false" customHeight="true" outlineLevel="0" collapsed="false">
      <c r="A2973" s="107" t="str">
        <f aca="false">IF($E2973="","",ROW()-3)</f>
        <v/>
      </c>
      <c r="B2973" s="110" t="str">
        <f aca="false">IF($E2973="","",INDEX(成本费用登记表!$B$4:$B$303,288))</f>
        <v/>
      </c>
      <c r="C2973" s="67" t="str">
        <f aca="false">IF($E2973="","","记-"&amp;TEXT($B2973,"YYYYMM")&amp;"-费用")</f>
        <v/>
      </c>
      <c r="D2973" s="107" t="str">
        <f aca="false">IF($E2973="","",INDEX(成本费用登记表!$E$4:$E$303,288))</f>
        <v/>
      </c>
      <c r="E2973" s="67" t="str">
        <f aca="false">IF(INDEX(成本费用登记表!$Q$4:$Y$303,288,7)=0,"",INDEX(成本费用登记表!$Q$4:$Y$303,288,7))</f>
        <v/>
      </c>
      <c r="F2973" s="99" t="str">
        <f aca="false">IF($E2973="","",IFERROR(INDEX(科目表!$A$4:$A$81,MATCH($E2973,科目表!$B$4:$B$81,0)),""))</f>
        <v/>
      </c>
      <c r="G2973" s="67" t="str">
        <f aca="false">IF($E2973="","",IFERROR(INDEX(科目表!$E$4:$E$81,MATCH($E2973,科目表!$B$4:$B$81,0)),""))</f>
        <v/>
      </c>
      <c r="H2973" s="70" t="str">
        <f aca="false">IF($E2973="","",N(INDEX(成本费用登记表!$Q$4:$Y$303,288,8)))</f>
        <v/>
      </c>
      <c r="I2973" s="70" t="str">
        <f aca="false">IF($E2973="","",N(INDEX(成本费用登记表!$Q$4:$Y$303,288,9)))</f>
        <v/>
      </c>
      <c r="J2973" s="67" t="str">
        <f aca="false">IF($E2973="","",INDEX(成本费用登记表!$C$4:$C$303,288))</f>
        <v/>
      </c>
      <c r="K2973" s="67" t="str">
        <f aca="false">IF($E2973="","",INDEX(成本费用登记表!$D$4:$D$303,288))</f>
        <v/>
      </c>
      <c r="L2973" s="107" t="str">
        <f aca="false">IF($E2973="","",INDEX(成本费用登记表!$N$4:$N$303,288))</f>
        <v/>
      </c>
      <c r="M2973" s="107"/>
      <c r="N2973" s="67" t="str">
        <f aca="false">IF($E2973="","","系统")</f>
        <v/>
      </c>
      <c r="O2973" s="67" t="str">
        <f aca="false">IF($E2973="","","自动C")</f>
        <v/>
      </c>
      <c r="P2973" s="18"/>
    </row>
    <row r="2974" customFormat="false" ht="18" hidden="false" customHeight="true" outlineLevel="0" collapsed="false">
      <c r="A2974" s="107" t="str">
        <f aca="false">IF($E2974="","",ROW()-3)</f>
        <v/>
      </c>
      <c r="B2974" s="110" t="str">
        <f aca="false">IF($E2974="","",INDEX(成本费用登记表!$B$4:$B$303,289))</f>
        <v/>
      </c>
      <c r="C2974" s="67" t="str">
        <f aca="false">IF($E2974="","","记-"&amp;TEXT($B2974,"YYYYMM")&amp;"-费用")</f>
        <v/>
      </c>
      <c r="D2974" s="107" t="str">
        <f aca="false">IF($E2974="","",INDEX(成本费用登记表!$E$4:$E$303,289))</f>
        <v/>
      </c>
      <c r="E2974" s="67" t="str">
        <f aca="false">IF(INDEX(成本费用登记表!$Q$4:$Y$303,289,1)=0,"",INDEX(成本费用登记表!$Q$4:$Y$303,289,1))</f>
        <v/>
      </c>
      <c r="F2974" s="99" t="str">
        <f aca="false">IF($E2974="","",IFERROR(INDEX(科目表!$A$4:$A$81,MATCH($E2974,科目表!$B$4:$B$81,0)),""))</f>
        <v/>
      </c>
      <c r="G2974" s="67" t="str">
        <f aca="false">IF($E2974="","",IFERROR(INDEX(科目表!$E$4:$E$81,MATCH($E2974,科目表!$B$4:$B$81,0)),""))</f>
        <v/>
      </c>
      <c r="H2974" s="70" t="str">
        <f aca="false">IF($E2974="","",N(INDEX(成本费用登记表!$Q$4:$Y$303,289,2)))</f>
        <v/>
      </c>
      <c r="I2974" s="70" t="str">
        <f aca="false">IF($E2974="","",N(INDEX(成本费用登记表!$Q$4:$Y$303,289,3)))</f>
        <v/>
      </c>
      <c r="J2974" s="67" t="str">
        <f aca="false">IF($E2974="","",INDEX(成本费用登记表!$C$4:$C$303,289))</f>
        <v/>
      </c>
      <c r="K2974" s="67" t="str">
        <f aca="false">IF($E2974="","",INDEX(成本费用登记表!$D$4:$D$303,289))</f>
        <v/>
      </c>
      <c r="L2974" s="107" t="str">
        <f aca="false">IF($E2974="","",INDEX(成本费用登记表!$N$4:$N$303,289))</f>
        <v/>
      </c>
      <c r="M2974" s="107"/>
      <c r="N2974" s="67" t="str">
        <f aca="false">IF($E2974="","","系统")</f>
        <v/>
      </c>
      <c r="O2974" s="67" t="str">
        <f aca="false">IF($E2974="","","自动C")</f>
        <v/>
      </c>
      <c r="P2974" s="18"/>
    </row>
    <row r="2975" customFormat="false" ht="18" hidden="false" customHeight="true" outlineLevel="0" collapsed="false">
      <c r="A2975" s="107" t="str">
        <f aca="false">IF($E2975="","",ROW()-3)</f>
        <v/>
      </c>
      <c r="B2975" s="110" t="str">
        <f aca="false">IF($E2975="","",INDEX(成本费用登记表!$B$4:$B$303,289))</f>
        <v/>
      </c>
      <c r="C2975" s="67" t="str">
        <f aca="false">IF($E2975="","","记-"&amp;TEXT($B2975,"YYYYMM")&amp;"-费用")</f>
        <v/>
      </c>
      <c r="D2975" s="107" t="str">
        <f aca="false">IF($E2975="","",INDEX(成本费用登记表!$E$4:$E$303,289))</f>
        <v/>
      </c>
      <c r="E2975" s="67" t="str">
        <f aca="false">IF(INDEX(成本费用登记表!$Q$4:$Y$303,289,4)=0,"",INDEX(成本费用登记表!$Q$4:$Y$303,289,4))</f>
        <v/>
      </c>
      <c r="F2975" s="99" t="str">
        <f aca="false">IF($E2975="","",IFERROR(INDEX(科目表!$A$4:$A$81,MATCH($E2975,科目表!$B$4:$B$81,0)),""))</f>
        <v/>
      </c>
      <c r="G2975" s="67" t="str">
        <f aca="false">IF($E2975="","",IFERROR(INDEX(科目表!$E$4:$E$81,MATCH($E2975,科目表!$B$4:$B$81,0)),""))</f>
        <v/>
      </c>
      <c r="H2975" s="70" t="str">
        <f aca="false">IF($E2975="","",N(INDEX(成本费用登记表!$Q$4:$Y$303,289,5)))</f>
        <v/>
      </c>
      <c r="I2975" s="70" t="str">
        <f aca="false">IF($E2975="","",N(INDEX(成本费用登记表!$Q$4:$Y$303,289,6)))</f>
        <v/>
      </c>
      <c r="J2975" s="67" t="str">
        <f aca="false">IF($E2975="","",INDEX(成本费用登记表!$C$4:$C$303,289))</f>
        <v/>
      </c>
      <c r="K2975" s="67" t="str">
        <f aca="false">IF($E2975="","",INDEX(成本费用登记表!$D$4:$D$303,289))</f>
        <v/>
      </c>
      <c r="L2975" s="107" t="str">
        <f aca="false">IF($E2975="","",INDEX(成本费用登记表!$N$4:$N$303,289))</f>
        <v/>
      </c>
      <c r="M2975" s="107"/>
      <c r="N2975" s="67" t="str">
        <f aca="false">IF($E2975="","","系统")</f>
        <v/>
      </c>
      <c r="O2975" s="67" t="str">
        <f aca="false">IF($E2975="","","自动C")</f>
        <v/>
      </c>
      <c r="P2975" s="18"/>
    </row>
    <row r="2976" customFormat="false" ht="18" hidden="false" customHeight="true" outlineLevel="0" collapsed="false">
      <c r="A2976" s="107" t="str">
        <f aca="false">IF($E2976="","",ROW()-3)</f>
        <v/>
      </c>
      <c r="B2976" s="110" t="str">
        <f aca="false">IF($E2976="","",INDEX(成本费用登记表!$B$4:$B$303,289))</f>
        <v/>
      </c>
      <c r="C2976" s="67" t="str">
        <f aca="false">IF($E2976="","","记-"&amp;TEXT($B2976,"YYYYMM")&amp;"-费用")</f>
        <v/>
      </c>
      <c r="D2976" s="107" t="str">
        <f aca="false">IF($E2976="","",INDEX(成本费用登记表!$E$4:$E$303,289))</f>
        <v/>
      </c>
      <c r="E2976" s="67" t="str">
        <f aca="false">IF(INDEX(成本费用登记表!$Q$4:$Y$303,289,7)=0,"",INDEX(成本费用登记表!$Q$4:$Y$303,289,7))</f>
        <v/>
      </c>
      <c r="F2976" s="99" t="str">
        <f aca="false">IF($E2976="","",IFERROR(INDEX(科目表!$A$4:$A$81,MATCH($E2976,科目表!$B$4:$B$81,0)),""))</f>
        <v/>
      </c>
      <c r="G2976" s="67" t="str">
        <f aca="false">IF($E2976="","",IFERROR(INDEX(科目表!$E$4:$E$81,MATCH($E2976,科目表!$B$4:$B$81,0)),""))</f>
        <v/>
      </c>
      <c r="H2976" s="70" t="str">
        <f aca="false">IF($E2976="","",N(INDEX(成本费用登记表!$Q$4:$Y$303,289,8)))</f>
        <v/>
      </c>
      <c r="I2976" s="70" t="str">
        <f aca="false">IF($E2976="","",N(INDEX(成本费用登记表!$Q$4:$Y$303,289,9)))</f>
        <v/>
      </c>
      <c r="J2976" s="67" t="str">
        <f aca="false">IF($E2976="","",INDEX(成本费用登记表!$C$4:$C$303,289))</f>
        <v/>
      </c>
      <c r="K2976" s="67" t="str">
        <f aca="false">IF($E2976="","",INDEX(成本费用登记表!$D$4:$D$303,289))</f>
        <v/>
      </c>
      <c r="L2976" s="107" t="str">
        <f aca="false">IF($E2976="","",INDEX(成本费用登记表!$N$4:$N$303,289))</f>
        <v/>
      </c>
      <c r="M2976" s="107"/>
      <c r="N2976" s="67" t="str">
        <f aca="false">IF($E2976="","","系统")</f>
        <v/>
      </c>
      <c r="O2976" s="67" t="str">
        <f aca="false">IF($E2976="","","自动C")</f>
        <v/>
      </c>
      <c r="P2976" s="18"/>
    </row>
    <row r="2977" customFormat="false" ht="18" hidden="false" customHeight="true" outlineLevel="0" collapsed="false">
      <c r="A2977" s="107" t="str">
        <f aca="false">IF($E2977="","",ROW()-3)</f>
        <v/>
      </c>
      <c r="B2977" s="110" t="str">
        <f aca="false">IF($E2977="","",INDEX(成本费用登记表!$B$4:$B$303,290))</f>
        <v/>
      </c>
      <c r="C2977" s="67" t="str">
        <f aca="false">IF($E2977="","","记-"&amp;TEXT($B2977,"YYYYMM")&amp;"-费用")</f>
        <v/>
      </c>
      <c r="D2977" s="107" t="str">
        <f aca="false">IF($E2977="","",INDEX(成本费用登记表!$E$4:$E$303,290))</f>
        <v/>
      </c>
      <c r="E2977" s="67" t="str">
        <f aca="false">IF(INDEX(成本费用登记表!$Q$4:$Y$303,290,1)=0,"",INDEX(成本费用登记表!$Q$4:$Y$303,290,1))</f>
        <v/>
      </c>
      <c r="F2977" s="99" t="str">
        <f aca="false">IF($E2977="","",IFERROR(INDEX(科目表!$A$4:$A$81,MATCH($E2977,科目表!$B$4:$B$81,0)),""))</f>
        <v/>
      </c>
      <c r="G2977" s="67" t="str">
        <f aca="false">IF($E2977="","",IFERROR(INDEX(科目表!$E$4:$E$81,MATCH($E2977,科目表!$B$4:$B$81,0)),""))</f>
        <v/>
      </c>
      <c r="H2977" s="70" t="str">
        <f aca="false">IF($E2977="","",N(INDEX(成本费用登记表!$Q$4:$Y$303,290,2)))</f>
        <v/>
      </c>
      <c r="I2977" s="70" t="str">
        <f aca="false">IF($E2977="","",N(INDEX(成本费用登记表!$Q$4:$Y$303,290,3)))</f>
        <v/>
      </c>
      <c r="J2977" s="67" t="str">
        <f aca="false">IF($E2977="","",INDEX(成本费用登记表!$C$4:$C$303,290))</f>
        <v/>
      </c>
      <c r="K2977" s="67" t="str">
        <f aca="false">IF($E2977="","",INDEX(成本费用登记表!$D$4:$D$303,290))</f>
        <v/>
      </c>
      <c r="L2977" s="107" t="str">
        <f aca="false">IF($E2977="","",INDEX(成本费用登记表!$N$4:$N$303,290))</f>
        <v/>
      </c>
      <c r="M2977" s="107"/>
      <c r="N2977" s="67" t="str">
        <f aca="false">IF($E2977="","","系统")</f>
        <v/>
      </c>
      <c r="O2977" s="67" t="str">
        <f aca="false">IF($E2977="","","自动C")</f>
        <v/>
      </c>
      <c r="P2977" s="18"/>
    </row>
    <row r="2978" customFormat="false" ht="18" hidden="false" customHeight="true" outlineLevel="0" collapsed="false">
      <c r="A2978" s="107" t="str">
        <f aca="false">IF($E2978="","",ROW()-3)</f>
        <v/>
      </c>
      <c r="B2978" s="110" t="str">
        <f aca="false">IF($E2978="","",INDEX(成本费用登记表!$B$4:$B$303,290))</f>
        <v/>
      </c>
      <c r="C2978" s="67" t="str">
        <f aca="false">IF($E2978="","","记-"&amp;TEXT($B2978,"YYYYMM")&amp;"-费用")</f>
        <v/>
      </c>
      <c r="D2978" s="107" t="str">
        <f aca="false">IF($E2978="","",INDEX(成本费用登记表!$E$4:$E$303,290))</f>
        <v/>
      </c>
      <c r="E2978" s="67" t="str">
        <f aca="false">IF(INDEX(成本费用登记表!$Q$4:$Y$303,290,4)=0,"",INDEX(成本费用登记表!$Q$4:$Y$303,290,4))</f>
        <v/>
      </c>
      <c r="F2978" s="99" t="str">
        <f aca="false">IF($E2978="","",IFERROR(INDEX(科目表!$A$4:$A$81,MATCH($E2978,科目表!$B$4:$B$81,0)),""))</f>
        <v/>
      </c>
      <c r="G2978" s="67" t="str">
        <f aca="false">IF($E2978="","",IFERROR(INDEX(科目表!$E$4:$E$81,MATCH($E2978,科目表!$B$4:$B$81,0)),""))</f>
        <v/>
      </c>
      <c r="H2978" s="70" t="str">
        <f aca="false">IF($E2978="","",N(INDEX(成本费用登记表!$Q$4:$Y$303,290,5)))</f>
        <v/>
      </c>
      <c r="I2978" s="70" t="str">
        <f aca="false">IF($E2978="","",N(INDEX(成本费用登记表!$Q$4:$Y$303,290,6)))</f>
        <v/>
      </c>
      <c r="J2978" s="67" t="str">
        <f aca="false">IF($E2978="","",INDEX(成本费用登记表!$C$4:$C$303,290))</f>
        <v/>
      </c>
      <c r="K2978" s="67" t="str">
        <f aca="false">IF($E2978="","",INDEX(成本费用登记表!$D$4:$D$303,290))</f>
        <v/>
      </c>
      <c r="L2978" s="107" t="str">
        <f aca="false">IF($E2978="","",INDEX(成本费用登记表!$N$4:$N$303,290))</f>
        <v/>
      </c>
      <c r="M2978" s="107"/>
      <c r="N2978" s="67" t="str">
        <f aca="false">IF($E2978="","","系统")</f>
        <v/>
      </c>
      <c r="O2978" s="67" t="str">
        <f aca="false">IF($E2978="","","自动C")</f>
        <v/>
      </c>
      <c r="P2978" s="18"/>
    </row>
    <row r="2979" customFormat="false" ht="18" hidden="false" customHeight="true" outlineLevel="0" collapsed="false">
      <c r="A2979" s="107" t="str">
        <f aca="false">IF($E2979="","",ROW()-3)</f>
        <v/>
      </c>
      <c r="B2979" s="110" t="str">
        <f aca="false">IF($E2979="","",INDEX(成本费用登记表!$B$4:$B$303,290))</f>
        <v/>
      </c>
      <c r="C2979" s="67" t="str">
        <f aca="false">IF($E2979="","","记-"&amp;TEXT($B2979,"YYYYMM")&amp;"-费用")</f>
        <v/>
      </c>
      <c r="D2979" s="107" t="str">
        <f aca="false">IF($E2979="","",INDEX(成本费用登记表!$E$4:$E$303,290))</f>
        <v/>
      </c>
      <c r="E2979" s="67" t="str">
        <f aca="false">IF(INDEX(成本费用登记表!$Q$4:$Y$303,290,7)=0,"",INDEX(成本费用登记表!$Q$4:$Y$303,290,7))</f>
        <v/>
      </c>
      <c r="F2979" s="99" t="str">
        <f aca="false">IF($E2979="","",IFERROR(INDEX(科目表!$A$4:$A$81,MATCH($E2979,科目表!$B$4:$B$81,0)),""))</f>
        <v/>
      </c>
      <c r="G2979" s="67" t="str">
        <f aca="false">IF($E2979="","",IFERROR(INDEX(科目表!$E$4:$E$81,MATCH($E2979,科目表!$B$4:$B$81,0)),""))</f>
        <v/>
      </c>
      <c r="H2979" s="70" t="str">
        <f aca="false">IF($E2979="","",N(INDEX(成本费用登记表!$Q$4:$Y$303,290,8)))</f>
        <v/>
      </c>
      <c r="I2979" s="70" t="str">
        <f aca="false">IF($E2979="","",N(INDEX(成本费用登记表!$Q$4:$Y$303,290,9)))</f>
        <v/>
      </c>
      <c r="J2979" s="67" t="str">
        <f aca="false">IF($E2979="","",INDEX(成本费用登记表!$C$4:$C$303,290))</f>
        <v/>
      </c>
      <c r="K2979" s="67" t="str">
        <f aca="false">IF($E2979="","",INDEX(成本费用登记表!$D$4:$D$303,290))</f>
        <v/>
      </c>
      <c r="L2979" s="107" t="str">
        <f aca="false">IF($E2979="","",INDEX(成本费用登记表!$N$4:$N$303,290))</f>
        <v/>
      </c>
      <c r="M2979" s="107"/>
      <c r="N2979" s="67" t="str">
        <f aca="false">IF($E2979="","","系统")</f>
        <v/>
      </c>
      <c r="O2979" s="67" t="str">
        <f aca="false">IF($E2979="","","自动C")</f>
        <v/>
      </c>
      <c r="P2979" s="18"/>
    </row>
    <row r="2980" customFormat="false" ht="18" hidden="false" customHeight="true" outlineLevel="0" collapsed="false">
      <c r="A2980" s="107" t="str">
        <f aca="false">IF($E2980="","",ROW()-3)</f>
        <v/>
      </c>
      <c r="B2980" s="110" t="str">
        <f aca="false">IF($E2980="","",INDEX(成本费用登记表!$B$4:$B$303,291))</f>
        <v/>
      </c>
      <c r="C2980" s="67" t="str">
        <f aca="false">IF($E2980="","","记-"&amp;TEXT($B2980,"YYYYMM")&amp;"-费用")</f>
        <v/>
      </c>
      <c r="D2980" s="107" t="str">
        <f aca="false">IF($E2980="","",INDEX(成本费用登记表!$E$4:$E$303,291))</f>
        <v/>
      </c>
      <c r="E2980" s="67" t="str">
        <f aca="false">IF(INDEX(成本费用登记表!$Q$4:$Y$303,291,1)=0,"",INDEX(成本费用登记表!$Q$4:$Y$303,291,1))</f>
        <v/>
      </c>
      <c r="F2980" s="99" t="str">
        <f aca="false">IF($E2980="","",IFERROR(INDEX(科目表!$A$4:$A$81,MATCH($E2980,科目表!$B$4:$B$81,0)),""))</f>
        <v/>
      </c>
      <c r="G2980" s="67" t="str">
        <f aca="false">IF($E2980="","",IFERROR(INDEX(科目表!$E$4:$E$81,MATCH($E2980,科目表!$B$4:$B$81,0)),""))</f>
        <v/>
      </c>
      <c r="H2980" s="70" t="str">
        <f aca="false">IF($E2980="","",N(INDEX(成本费用登记表!$Q$4:$Y$303,291,2)))</f>
        <v/>
      </c>
      <c r="I2980" s="70" t="str">
        <f aca="false">IF($E2980="","",N(INDEX(成本费用登记表!$Q$4:$Y$303,291,3)))</f>
        <v/>
      </c>
      <c r="J2980" s="67" t="str">
        <f aca="false">IF($E2980="","",INDEX(成本费用登记表!$C$4:$C$303,291))</f>
        <v/>
      </c>
      <c r="K2980" s="67" t="str">
        <f aca="false">IF($E2980="","",INDEX(成本费用登记表!$D$4:$D$303,291))</f>
        <v/>
      </c>
      <c r="L2980" s="107" t="str">
        <f aca="false">IF($E2980="","",INDEX(成本费用登记表!$N$4:$N$303,291))</f>
        <v/>
      </c>
      <c r="M2980" s="107"/>
      <c r="N2980" s="67" t="str">
        <f aca="false">IF($E2980="","","系统")</f>
        <v/>
      </c>
      <c r="O2980" s="67" t="str">
        <f aca="false">IF($E2980="","","自动C")</f>
        <v/>
      </c>
      <c r="P2980" s="18"/>
    </row>
    <row r="2981" customFormat="false" ht="18" hidden="false" customHeight="true" outlineLevel="0" collapsed="false">
      <c r="A2981" s="107" t="str">
        <f aca="false">IF($E2981="","",ROW()-3)</f>
        <v/>
      </c>
      <c r="B2981" s="110" t="str">
        <f aca="false">IF($E2981="","",INDEX(成本费用登记表!$B$4:$B$303,291))</f>
        <v/>
      </c>
      <c r="C2981" s="67" t="str">
        <f aca="false">IF($E2981="","","记-"&amp;TEXT($B2981,"YYYYMM")&amp;"-费用")</f>
        <v/>
      </c>
      <c r="D2981" s="107" t="str">
        <f aca="false">IF($E2981="","",INDEX(成本费用登记表!$E$4:$E$303,291))</f>
        <v/>
      </c>
      <c r="E2981" s="67" t="str">
        <f aca="false">IF(INDEX(成本费用登记表!$Q$4:$Y$303,291,4)=0,"",INDEX(成本费用登记表!$Q$4:$Y$303,291,4))</f>
        <v/>
      </c>
      <c r="F2981" s="99" t="str">
        <f aca="false">IF($E2981="","",IFERROR(INDEX(科目表!$A$4:$A$81,MATCH($E2981,科目表!$B$4:$B$81,0)),""))</f>
        <v/>
      </c>
      <c r="G2981" s="67" t="str">
        <f aca="false">IF($E2981="","",IFERROR(INDEX(科目表!$E$4:$E$81,MATCH($E2981,科目表!$B$4:$B$81,0)),""))</f>
        <v/>
      </c>
      <c r="H2981" s="70" t="str">
        <f aca="false">IF($E2981="","",N(INDEX(成本费用登记表!$Q$4:$Y$303,291,5)))</f>
        <v/>
      </c>
      <c r="I2981" s="70" t="str">
        <f aca="false">IF($E2981="","",N(INDEX(成本费用登记表!$Q$4:$Y$303,291,6)))</f>
        <v/>
      </c>
      <c r="J2981" s="67" t="str">
        <f aca="false">IF($E2981="","",INDEX(成本费用登记表!$C$4:$C$303,291))</f>
        <v/>
      </c>
      <c r="K2981" s="67" t="str">
        <f aca="false">IF($E2981="","",INDEX(成本费用登记表!$D$4:$D$303,291))</f>
        <v/>
      </c>
      <c r="L2981" s="107" t="str">
        <f aca="false">IF($E2981="","",INDEX(成本费用登记表!$N$4:$N$303,291))</f>
        <v/>
      </c>
      <c r="M2981" s="107"/>
      <c r="N2981" s="67" t="str">
        <f aca="false">IF($E2981="","","系统")</f>
        <v/>
      </c>
      <c r="O2981" s="67" t="str">
        <f aca="false">IF($E2981="","","自动C")</f>
        <v/>
      </c>
      <c r="P2981" s="18"/>
    </row>
    <row r="2982" customFormat="false" ht="18" hidden="false" customHeight="true" outlineLevel="0" collapsed="false">
      <c r="A2982" s="107" t="str">
        <f aca="false">IF($E2982="","",ROW()-3)</f>
        <v/>
      </c>
      <c r="B2982" s="110" t="str">
        <f aca="false">IF($E2982="","",INDEX(成本费用登记表!$B$4:$B$303,291))</f>
        <v/>
      </c>
      <c r="C2982" s="67" t="str">
        <f aca="false">IF($E2982="","","记-"&amp;TEXT($B2982,"YYYYMM")&amp;"-费用")</f>
        <v/>
      </c>
      <c r="D2982" s="107" t="str">
        <f aca="false">IF($E2982="","",INDEX(成本费用登记表!$E$4:$E$303,291))</f>
        <v/>
      </c>
      <c r="E2982" s="67" t="str">
        <f aca="false">IF(INDEX(成本费用登记表!$Q$4:$Y$303,291,7)=0,"",INDEX(成本费用登记表!$Q$4:$Y$303,291,7))</f>
        <v/>
      </c>
      <c r="F2982" s="99" t="str">
        <f aca="false">IF($E2982="","",IFERROR(INDEX(科目表!$A$4:$A$81,MATCH($E2982,科目表!$B$4:$B$81,0)),""))</f>
        <v/>
      </c>
      <c r="G2982" s="67" t="str">
        <f aca="false">IF($E2982="","",IFERROR(INDEX(科目表!$E$4:$E$81,MATCH($E2982,科目表!$B$4:$B$81,0)),""))</f>
        <v/>
      </c>
      <c r="H2982" s="70" t="str">
        <f aca="false">IF($E2982="","",N(INDEX(成本费用登记表!$Q$4:$Y$303,291,8)))</f>
        <v/>
      </c>
      <c r="I2982" s="70" t="str">
        <f aca="false">IF($E2982="","",N(INDEX(成本费用登记表!$Q$4:$Y$303,291,9)))</f>
        <v/>
      </c>
      <c r="J2982" s="67" t="str">
        <f aca="false">IF($E2982="","",INDEX(成本费用登记表!$C$4:$C$303,291))</f>
        <v/>
      </c>
      <c r="K2982" s="67" t="str">
        <f aca="false">IF($E2982="","",INDEX(成本费用登记表!$D$4:$D$303,291))</f>
        <v/>
      </c>
      <c r="L2982" s="107" t="str">
        <f aca="false">IF($E2982="","",INDEX(成本费用登记表!$N$4:$N$303,291))</f>
        <v/>
      </c>
      <c r="M2982" s="107"/>
      <c r="N2982" s="67" t="str">
        <f aca="false">IF($E2982="","","系统")</f>
        <v/>
      </c>
      <c r="O2982" s="67" t="str">
        <f aca="false">IF($E2982="","","自动C")</f>
        <v/>
      </c>
      <c r="P2982" s="18"/>
    </row>
    <row r="2983" customFormat="false" ht="18" hidden="false" customHeight="true" outlineLevel="0" collapsed="false">
      <c r="A2983" s="107" t="str">
        <f aca="false">IF($E2983="","",ROW()-3)</f>
        <v/>
      </c>
      <c r="B2983" s="110" t="str">
        <f aca="false">IF($E2983="","",INDEX(成本费用登记表!$B$4:$B$303,292))</f>
        <v/>
      </c>
      <c r="C2983" s="67" t="str">
        <f aca="false">IF($E2983="","","记-"&amp;TEXT($B2983,"YYYYMM")&amp;"-费用")</f>
        <v/>
      </c>
      <c r="D2983" s="107" t="str">
        <f aca="false">IF($E2983="","",INDEX(成本费用登记表!$E$4:$E$303,292))</f>
        <v/>
      </c>
      <c r="E2983" s="67" t="str">
        <f aca="false">IF(INDEX(成本费用登记表!$Q$4:$Y$303,292,1)=0,"",INDEX(成本费用登记表!$Q$4:$Y$303,292,1))</f>
        <v/>
      </c>
      <c r="F2983" s="99" t="str">
        <f aca="false">IF($E2983="","",IFERROR(INDEX(科目表!$A$4:$A$81,MATCH($E2983,科目表!$B$4:$B$81,0)),""))</f>
        <v/>
      </c>
      <c r="G2983" s="67" t="str">
        <f aca="false">IF($E2983="","",IFERROR(INDEX(科目表!$E$4:$E$81,MATCH($E2983,科目表!$B$4:$B$81,0)),""))</f>
        <v/>
      </c>
      <c r="H2983" s="70" t="str">
        <f aca="false">IF($E2983="","",N(INDEX(成本费用登记表!$Q$4:$Y$303,292,2)))</f>
        <v/>
      </c>
      <c r="I2983" s="70" t="str">
        <f aca="false">IF($E2983="","",N(INDEX(成本费用登记表!$Q$4:$Y$303,292,3)))</f>
        <v/>
      </c>
      <c r="J2983" s="67" t="str">
        <f aca="false">IF($E2983="","",INDEX(成本费用登记表!$C$4:$C$303,292))</f>
        <v/>
      </c>
      <c r="K2983" s="67" t="str">
        <f aca="false">IF($E2983="","",INDEX(成本费用登记表!$D$4:$D$303,292))</f>
        <v/>
      </c>
      <c r="L2983" s="107" t="str">
        <f aca="false">IF($E2983="","",INDEX(成本费用登记表!$N$4:$N$303,292))</f>
        <v/>
      </c>
      <c r="M2983" s="107"/>
      <c r="N2983" s="67" t="str">
        <f aca="false">IF($E2983="","","系统")</f>
        <v/>
      </c>
      <c r="O2983" s="67" t="str">
        <f aca="false">IF($E2983="","","自动C")</f>
        <v/>
      </c>
      <c r="P2983" s="18"/>
    </row>
    <row r="2984" customFormat="false" ht="18" hidden="false" customHeight="true" outlineLevel="0" collapsed="false">
      <c r="A2984" s="107" t="str">
        <f aca="false">IF($E2984="","",ROW()-3)</f>
        <v/>
      </c>
      <c r="B2984" s="110" t="str">
        <f aca="false">IF($E2984="","",INDEX(成本费用登记表!$B$4:$B$303,292))</f>
        <v/>
      </c>
      <c r="C2984" s="67" t="str">
        <f aca="false">IF($E2984="","","记-"&amp;TEXT($B2984,"YYYYMM")&amp;"-费用")</f>
        <v/>
      </c>
      <c r="D2984" s="107" t="str">
        <f aca="false">IF($E2984="","",INDEX(成本费用登记表!$E$4:$E$303,292))</f>
        <v/>
      </c>
      <c r="E2984" s="67" t="str">
        <f aca="false">IF(INDEX(成本费用登记表!$Q$4:$Y$303,292,4)=0,"",INDEX(成本费用登记表!$Q$4:$Y$303,292,4))</f>
        <v/>
      </c>
      <c r="F2984" s="99" t="str">
        <f aca="false">IF($E2984="","",IFERROR(INDEX(科目表!$A$4:$A$81,MATCH($E2984,科目表!$B$4:$B$81,0)),""))</f>
        <v/>
      </c>
      <c r="G2984" s="67" t="str">
        <f aca="false">IF($E2984="","",IFERROR(INDEX(科目表!$E$4:$E$81,MATCH($E2984,科目表!$B$4:$B$81,0)),""))</f>
        <v/>
      </c>
      <c r="H2984" s="70" t="str">
        <f aca="false">IF($E2984="","",N(INDEX(成本费用登记表!$Q$4:$Y$303,292,5)))</f>
        <v/>
      </c>
      <c r="I2984" s="70" t="str">
        <f aca="false">IF($E2984="","",N(INDEX(成本费用登记表!$Q$4:$Y$303,292,6)))</f>
        <v/>
      </c>
      <c r="J2984" s="67" t="str">
        <f aca="false">IF($E2984="","",INDEX(成本费用登记表!$C$4:$C$303,292))</f>
        <v/>
      </c>
      <c r="K2984" s="67" t="str">
        <f aca="false">IF($E2984="","",INDEX(成本费用登记表!$D$4:$D$303,292))</f>
        <v/>
      </c>
      <c r="L2984" s="107" t="str">
        <f aca="false">IF($E2984="","",INDEX(成本费用登记表!$N$4:$N$303,292))</f>
        <v/>
      </c>
      <c r="M2984" s="107"/>
      <c r="N2984" s="67" t="str">
        <f aca="false">IF($E2984="","","系统")</f>
        <v/>
      </c>
      <c r="O2984" s="67" t="str">
        <f aca="false">IF($E2984="","","自动C")</f>
        <v/>
      </c>
      <c r="P2984" s="18"/>
    </row>
    <row r="2985" customFormat="false" ht="18" hidden="false" customHeight="true" outlineLevel="0" collapsed="false">
      <c r="A2985" s="107" t="str">
        <f aca="false">IF($E2985="","",ROW()-3)</f>
        <v/>
      </c>
      <c r="B2985" s="110" t="str">
        <f aca="false">IF($E2985="","",INDEX(成本费用登记表!$B$4:$B$303,292))</f>
        <v/>
      </c>
      <c r="C2985" s="67" t="str">
        <f aca="false">IF($E2985="","","记-"&amp;TEXT($B2985,"YYYYMM")&amp;"-费用")</f>
        <v/>
      </c>
      <c r="D2985" s="107" t="str">
        <f aca="false">IF($E2985="","",INDEX(成本费用登记表!$E$4:$E$303,292))</f>
        <v/>
      </c>
      <c r="E2985" s="67" t="str">
        <f aca="false">IF(INDEX(成本费用登记表!$Q$4:$Y$303,292,7)=0,"",INDEX(成本费用登记表!$Q$4:$Y$303,292,7))</f>
        <v/>
      </c>
      <c r="F2985" s="99" t="str">
        <f aca="false">IF($E2985="","",IFERROR(INDEX(科目表!$A$4:$A$81,MATCH($E2985,科目表!$B$4:$B$81,0)),""))</f>
        <v/>
      </c>
      <c r="G2985" s="67" t="str">
        <f aca="false">IF($E2985="","",IFERROR(INDEX(科目表!$E$4:$E$81,MATCH($E2985,科目表!$B$4:$B$81,0)),""))</f>
        <v/>
      </c>
      <c r="H2985" s="70" t="str">
        <f aca="false">IF($E2985="","",N(INDEX(成本费用登记表!$Q$4:$Y$303,292,8)))</f>
        <v/>
      </c>
      <c r="I2985" s="70" t="str">
        <f aca="false">IF($E2985="","",N(INDEX(成本费用登记表!$Q$4:$Y$303,292,9)))</f>
        <v/>
      </c>
      <c r="J2985" s="67" t="str">
        <f aca="false">IF($E2985="","",INDEX(成本费用登记表!$C$4:$C$303,292))</f>
        <v/>
      </c>
      <c r="K2985" s="67" t="str">
        <f aca="false">IF($E2985="","",INDEX(成本费用登记表!$D$4:$D$303,292))</f>
        <v/>
      </c>
      <c r="L2985" s="107" t="str">
        <f aca="false">IF($E2985="","",INDEX(成本费用登记表!$N$4:$N$303,292))</f>
        <v/>
      </c>
      <c r="M2985" s="107"/>
      <c r="N2985" s="67" t="str">
        <f aca="false">IF($E2985="","","系统")</f>
        <v/>
      </c>
      <c r="O2985" s="67" t="str">
        <f aca="false">IF($E2985="","","自动C")</f>
        <v/>
      </c>
      <c r="P2985" s="18"/>
    </row>
    <row r="2986" customFormat="false" ht="18" hidden="false" customHeight="true" outlineLevel="0" collapsed="false">
      <c r="A2986" s="107" t="str">
        <f aca="false">IF($E2986="","",ROW()-3)</f>
        <v/>
      </c>
      <c r="B2986" s="110" t="str">
        <f aca="false">IF($E2986="","",INDEX(成本费用登记表!$B$4:$B$303,293))</f>
        <v/>
      </c>
      <c r="C2986" s="67" t="str">
        <f aca="false">IF($E2986="","","记-"&amp;TEXT($B2986,"YYYYMM")&amp;"-费用")</f>
        <v/>
      </c>
      <c r="D2986" s="107" t="str">
        <f aca="false">IF($E2986="","",INDEX(成本费用登记表!$E$4:$E$303,293))</f>
        <v/>
      </c>
      <c r="E2986" s="67" t="str">
        <f aca="false">IF(INDEX(成本费用登记表!$Q$4:$Y$303,293,1)=0,"",INDEX(成本费用登记表!$Q$4:$Y$303,293,1))</f>
        <v/>
      </c>
      <c r="F2986" s="99" t="str">
        <f aca="false">IF($E2986="","",IFERROR(INDEX(科目表!$A$4:$A$81,MATCH($E2986,科目表!$B$4:$B$81,0)),""))</f>
        <v/>
      </c>
      <c r="G2986" s="67" t="str">
        <f aca="false">IF($E2986="","",IFERROR(INDEX(科目表!$E$4:$E$81,MATCH($E2986,科目表!$B$4:$B$81,0)),""))</f>
        <v/>
      </c>
      <c r="H2986" s="70" t="str">
        <f aca="false">IF($E2986="","",N(INDEX(成本费用登记表!$Q$4:$Y$303,293,2)))</f>
        <v/>
      </c>
      <c r="I2986" s="70" t="str">
        <f aca="false">IF($E2986="","",N(INDEX(成本费用登记表!$Q$4:$Y$303,293,3)))</f>
        <v/>
      </c>
      <c r="J2986" s="67" t="str">
        <f aca="false">IF($E2986="","",INDEX(成本费用登记表!$C$4:$C$303,293))</f>
        <v/>
      </c>
      <c r="K2986" s="67" t="str">
        <f aca="false">IF($E2986="","",INDEX(成本费用登记表!$D$4:$D$303,293))</f>
        <v/>
      </c>
      <c r="L2986" s="107" t="str">
        <f aca="false">IF($E2986="","",INDEX(成本费用登记表!$N$4:$N$303,293))</f>
        <v/>
      </c>
      <c r="M2986" s="107"/>
      <c r="N2986" s="67" t="str">
        <f aca="false">IF($E2986="","","系统")</f>
        <v/>
      </c>
      <c r="O2986" s="67" t="str">
        <f aca="false">IF($E2986="","","自动C")</f>
        <v/>
      </c>
      <c r="P2986" s="18"/>
    </row>
    <row r="2987" customFormat="false" ht="18" hidden="false" customHeight="true" outlineLevel="0" collapsed="false">
      <c r="A2987" s="107" t="str">
        <f aca="false">IF($E2987="","",ROW()-3)</f>
        <v/>
      </c>
      <c r="B2987" s="110" t="str">
        <f aca="false">IF($E2987="","",INDEX(成本费用登记表!$B$4:$B$303,293))</f>
        <v/>
      </c>
      <c r="C2987" s="67" t="str">
        <f aca="false">IF($E2987="","","记-"&amp;TEXT($B2987,"YYYYMM")&amp;"-费用")</f>
        <v/>
      </c>
      <c r="D2987" s="107" t="str">
        <f aca="false">IF($E2987="","",INDEX(成本费用登记表!$E$4:$E$303,293))</f>
        <v/>
      </c>
      <c r="E2987" s="67" t="str">
        <f aca="false">IF(INDEX(成本费用登记表!$Q$4:$Y$303,293,4)=0,"",INDEX(成本费用登记表!$Q$4:$Y$303,293,4))</f>
        <v/>
      </c>
      <c r="F2987" s="99" t="str">
        <f aca="false">IF($E2987="","",IFERROR(INDEX(科目表!$A$4:$A$81,MATCH($E2987,科目表!$B$4:$B$81,0)),""))</f>
        <v/>
      </c>
      <c r="G2987" s="67" t="str">
        <f aca="false">IF($E2987="","",IFERROR(INDEX(科目表!$E$4:$E$81,MATCH($E2987,科目表!$B$4:$B$81,0)),""))</f>
        <v/>
      </c>
      <c r="H2987" s="70" t="str">
        <f aca="false">IF($E2987="","",N(INDEX(成本费用登记表!$Q$4:$Y$303,293,5)))</f>
        <v/>
      </c>
      <c r="I2987" s="70" t="str">
        <f aca="false">IF($E2987="","",N(INDEX(成本费用登记表!$Q$4:$Y$303,293,6)))</f>
        <v/>
      </c>
      <c r="J2987" s="67" t="str">
        <f aca="false">IF($E2987="","",INDEX(成本费用登记表!$C$4:$C$303,293))</f>
        <v/>
      </c>
      <c r="K2987" s="67" t="str">
        <f aca="false">IF($E2987="","",INDEX(成本费用登记表!$D$4:$D$303,293))</f>
        <v/>
      </c>
      <c r="L2987" s="107" t="str">
        <f aca="false">IF($E2987="","",INDEX(成本费用登记表!$N$4:$N$303,293))</f>
        <v/>
      </c>
      <c r="M2987" s="107"/>
      <c r="N2987" s="67" t="str">
        <f aca="false">IF($E2987="","","系统")</f>
        <v/>
      </c>
      <c r="O2987" s="67" t="str">
        <f aca="false">IF($E2987="","","自动C")</f>
        <v/>
      </c>
      <c r="P2987" s="18"/>
    </row>
    <row r="2988" customFormat="false" ht="18" hidden="false" customHeight="true" outlineLevel="0" collapsed="false">
      <c r="A2988" s="107" t="str">
        <f aca="false">IF($E2988="","",ROW()-3)</f>
        <v/>
      </c>
      <c r="B2988" s="110" t="str">
        <f aca="false">IF($E2988="","",INDEX(成本费用登记表!$B$4:$B$303,293))</f>
        <v/>
      </c>
      <c r="C2988" s="67" t="str">
        <f aca="false">IF($E2988="","","记-"&amp;TEXT($B2988,"YYYYMM")&amp;"-费用")</f>
        <v/>
      </c>
      <c r="D2988" s="107" t="str">
        <f aca="false">IF($E2988="","",INDEX(成本费用登记表!$E$4:$E$303,293))</f>
        <v/>
      </c>
      <c r="E2988" s="67" t="str">
        <f aca="false">IF(INDEX(成本费用登记表!$Q$4:$Y$303,293,7)=0,"",INDEX(成本费用登记表!$Q$4:$Y$303,293,7))</f>
        <v/>
      </c>
      <c r="F2988" s="99" t="str">
        <f aca="false">IF($E2988="","",IFERROR(INDEX(科目表!$A$4:$A$81,MATCH($E2988,科目表!$B$4:$B$81,0)),""))</f>
        <v/>
      </c>
      <c r="G2988" s="67" t="str">
        <f aca="false">IF($E2988="","",IFERROR(INDEX(科目表!$E$4:$E$81,MATCH($E2988,科目表!$B$4:$B$81,0)),""))</f>
        <v/>
      </c>
      <c r="H2988" s="70" t="str">
        <f aca="false">IF($E2988="","",N(INDEX(成本费用登记表!$Q$4:$Y$303,293,8)))</f>
        <v/>
      </c>
      <c r="I2988" s="70" t="str">
        <f aca="false">IF($E2988="","",N(INDEX(成本费用登记表!$Q$4:$Y$303,293,9)))</f>
        <v/>
      </c>
      <c r="J2988" s="67" t="str">
        <f aca="false">IF($E2988="","",INDEX(成本费用登记表!$C$4:$C$303,293))</f>
        <v/>
      </c>
      <c r="K2988" s="67" t="str">
        <f aca="false">IF($E2988="","",INDEX(成本费用登记表!$D$4:$D$303,293))</f>
        <v/>
      </c>
      <c r="L2988" s="107" t="str">
        <f aca="false">IF($E2988="","",INDEX(成本费用登记表!$N$4:$N$303,293))</f>
        <v/>
      </c>
      <c r="M2988" s="107"/>
      <c r="N2988" s="67" t="str">
        <f aca="false">IF($E2988="","","系统")</f>
        <v/>
      </c>
      <c r="O2988" s="67" t="str">
        <f aca="false">IF($E2988="","","自动C")</f>
        <v/>
      </c>
      <c r="P2988" s="18"/>
    </row>
    <row r="2989" customFormat="false" ht="18" hidden="false" customHeight="true" outlineLevel="0" collapsed="false">
      <c r="A2989" s="107" t="str">
        <f aca="false">IF($E2989="","",ROW()-3)</f>
        <v/>
      </c>
      <c r="B2989" s="110" t="str">
        <f aca="false">IF($E2989="","",INDEX(成本费用登记表!$B$4:$B$303,294))</f>
        <v/>
      </c>
      <c r="C2989" s="67" t="str">
        <f aca="false">IF($E2989="","","记-"&amp;TEXT($B2989,"YYYYMM")&amp;"-费用")</f>
        <v/>
      </c>
      <c r="D2989" s="107" t="str">
        <f aca="false">IF($E2989="","",INDEX(成本费用登记表!$E$4:$E$303,294))</f>
        <v/>
      </c>
      <c r="E2989" s="67" t="str">
        <f aca="false">IF(INDEX(成本费用登记表!$Q$4:$Y$303,294,1)=0,"",INDEX(成本费用登记表!$Q$4:$Y$303,294,1))</f>
        <v/>
      </c>
      <c r="F2989" s="99" t="str">
        <f aca="false">IF($E2989="","",IFERROR(INDEX(科目表!$A$4:$A$81,MATCH($E2989,科目表!$B$4:$B$81,0)),""))</f>
        <v/>
      </c>
      <c r="G2989" s="67" t="str">
        <f aca="false">IF($E2989="","",IFERROR(INDEX(科目表!$E$4:$E$81,MATCH($E2989,科目表!$B$4:$B$81,0)),""))</f>
        <v/>
      </c>
      <c r="H2989" s="70" t="str">
        <f aca="false">IF($E2989="","",N(INDEX(成本费用登记表!$Q$4:$Y$303,294,2)))</f>
        <v/>
      </c>
      <c r="I2989" s="70" t="str">
        <f aca="false">IF($E2989="","",N(INDEX(成本费用登记表!$Q$4:$Y$303,294,3)))</f>
        <v/>
      </c>
      <c r="J2989" s="67" t="str">
        <f aca="false">IF($E2989="","",INDEX(成本费用登记表!$C$4:$C$303,294))</f>
        <v/>
      </c>
      <c r="K2989" s="67" t="str">
        <f aca="false">IF($E2989="","",INDEX(成本费用登记表!$D$4:$D$303,294))</f>
        <v/>
      </c>
      <c r="L2989" s="107" t="str">
        <f aca="false">IF($E2989="","",INDEX(成本费用登记表!$N$4:$N$303,294))</f>
        <v/>
      </c>
      <c r="M2989" s="107"/>
      <c r="N2989" s="67" t="str">
        <f aca="false">IF($E2989="","","系统")</f>
        <v/>
      </c>
      <c r="O2989" s="67" t="str">
        <f aca="false">IF($E2989="","","自动C")</f>
        <v/>
      </c>
      <c r="P2989" s="18"/>
    </row>
    <row r="2990" customFormat="false" ht="18" hidden="false" customHeight="true" outlineLevel="0" collapsed="false">
      <c r="A2990" s="107" t="str">
        <f aca="false">IF($E2990="","",ROW()-3)</f>
        <v/>
      </c>
      <c r="B2990" s="110" t="str">
        <f aca="false">IF($E2990="","",INDEX(成本费用登记表!$B$4:$B$303,294))</f>
        <v/>
      </c>
      <c r="C2990" s="67" t="str">
        <f aca="false">IF($E2990="","","记-"&amp;TEXT($B2990,"YYYYMM")&amp;"-费用")</f>
        <v/>
      </c>
      <c r="D2990" s="107" t="str">
        <f aca="false">IF($E2990="","",INDEX(成本费用登记表!$E$4:$E$303,294))</f>
        <v/>
      </c>
      <c r="E2990" s="67" t="str">
        <f aca="false">IF(INDEX(成本费用登记表!$Q$4:$Y$303,294,4)=0,"",INDEX(成本费用登记表!$Q$4:$Y$303,294,4))</f>
        <v/>
      </c>
      <c r="F2990" s="99" t="str">
        <f aca="false">IF($E2990="","",IFERROR(INDEX(科目表!$A$4:$A$81,MATCH($E2990,科目表!$B$4:$B$81,0)),""))</f>
        <v/>
      </c>
      <c r="G2990" s="67" t="str">
        <f aca="false">IF($E2990="","",IFERROR(INDEX(科目表!$E$4:$E$81,MATCH($E2990,科目表!$B$4:$B$81,0)),""))</f>
        <v/>
      </c>
      <c r="H2990" s="70" t="str">
        <f aca="false">IF($E2990="","",N(INDEX(成本费用登记表!$Q$4:$Y$303,294,5)))</f>
        <v/>
      </c>
      <c r="I2990" s="70" t="str">
        <f aca="false">IF($E2990="","",N(INDEX(成本费用登记表!$Q$4:$Y$303,294,6)))</f>
        <v/>
      </c>
      <c r="J2990" s="67" t="str">
        <f aca="false">IF($E2990="","",INDEX(成本费用登记表!$C$4:$C$303,294))</f>
        <v/>
      </c>
      <c r="K2990" s="67" t="str">
        <f aca="false">IF($E2990="","",INDEX(成本费用登记表!$D$4:$D$303,294))</f>
        <v/>
      </c>
      <c r="L2990" s="107" t="str">
        <f aca="false">IF($E2990="","",INDEX(成本费用登记表!$N$4:$N$303,294))</f>
        <v/>
      </c>
      <c r="M2990" s="107"/>
      <c r="N2990" s="67" t="str">
        <f aca="false">IF($E2990="","","系统")</f>
        <v/>
      </c>
      <c r="O2990" s="67" t="str">
        <f aca="false">IF($E2990="","","自动C")</f>
        <v/>
      </c>
      <c r="P2990" s="18"/>
    </row>
    <row r="2991" customFormat="false" ht="18" hidden="false" customHeight="true" outlineLevel="0" collapsed="false">
      <c r="A2991" s="107" t="str">
        <f aca="false">IF($E2991="","",ROW()-3)</f>
        <v/>
      </c>
      <c r="B2991" s="110" t="str">
        <f aca="false">IF($E2991="","",INDEX(成本费用登记表!$B$4:$B$303,294))</f>
        <v/>
      </c>
      <c r="C2991" s="67" t="str">
        <f aca="false">IF($E2991="","","记-"&amp;TEXT($B2991,"YYYYMM")&amp;"-费用")</f>
        <v/>
      </c>
      <c r="D2991" s="107" t="str">
        <f aca="false">IF($E2991="","",INDEX(成本费用登记表!$E$4:$E$303,294))</f>
        <v/>
      </c>
      <c r="E2991" s="67" t="str">
        <f aca="false">IF(INDEX(成本费用登记表!$Q$4:$Y$303,294,7)=0,"",INDEX(成本费用登记表!$Q$4:$Y$303,294,7))</f>
        <v/>
      </c>
      <c r="F2991" s="99" t="str">
        <f aca="false">IF($E2991="","",IFERROR(INDEX(科目表!$A$4:$A$81,MATCH($E2991,科目表!$B$4:$B$81,0)),""))</f>
        <v/>
      </c>
      <c r="G2991" s="67" t="str">
        <f aca="false">IF($E2991="","",IFERROR(INDEX(科目表!$E$4:$E$81,MATCH($E2991,科目表!$B$4:$B$81,0)),""))</f>
        <v/>
      </c>
      <c r="H2991" s="70" t="str">
        <f aca="false">IF($E2991="","",N(INDEX(成本费用登记表!$Q$4:$Y$303,294,8)))</f>
        <v/>
      </c>
      <c r="I2991" s="70" t="str">
        <f aca="false">IF($E2991="","",N(INDEX(成本费用登记表!$Q$4:$Y$303,294,9)))</f>
        <v/>
      </c>
      <c r="J2991" s="67" t="str">
        <f aca="false">IF($E2991="","",INDEX(成本费用登记表!$C$4:$C$303,294))</f>
        <v/>
      </c>
      <c r="K2991" s="67" t="str">
        <f aca="false">IF($E2991="","",INDEX(成本费用登记表!$D$4:$D$303,294))</f>
        <v/>
      </c>
      <c r="L2991" s="107" t="str">
        <f aca="false">IF($E2991="","",INDEX(成本费用登记表!$N$4:$N$303,294))</f>
        <v/>
      </c>
      <c r="M2991" s="107"/>
      <c r="N2991" s="67" t="str">
        <f aca="false">IF($E2991="","","系统")</f>
        <v/>
      </c>
      <c r="O2991" s="67" t="str">
        <f aca="false">IF($E2991="","","自动C")</f>
        <v/>
      </c>
      <c r="P2991" s="18"/>
    </row>
    <row r="2992" customFormat="false" ht="18" hidden="false" customHeight="true" outlineLevel="0" collapsed="false">
      <c r="A2992" s="107" t="str">
        <f aca="false">IF($E2992="","",ROW()-3)</f>
        <v/>
      </c>
      <c r="B2992" s="110" t="str">
        <f aca="false">IF($E2992="","",INDEX(成本费用登记表!$B$4:$B$303,295))</f>
        <v/>
      </c>
      <c r="C2992" s="67" t="str">
        <f aca="false">IF($E2992="","","记-"&amp;TEXT($B2992,"YYYYMM")&amp;"-费用")</f>
        <v/>
      </c>
      <c r="D2992" s="107" t="str">
        <f aca="false">IF($E2992="","",INDEX(成本费用登记表!$E$4:$E$303,295))</f>
        <v/>
      </c>
      <c r="E2992" s="67" t="str">
        <f aca="false">IF(INDEX(成本费用登记表!$Q$4:$Y$303,295,1)=0,"",INDEX(成本费用登记表!$Q$4:$Y$303,295,1))</f>
        <v/>
      </c>
      <c r="F2992" s="99" t="str">
        <f aca="false">IF($E2992="","",IFERROR(INDEX(科目表!$A$4:$A$81,MATCH($E2992,科目表!$B$4:$B$81,0)),""))</f>
        <v/>
      </c>
      <c r="G2992" s="67" t="str">
        <f aca="false">IF($E2992="","",IFERROR(INDEX(科目表!$E$4:$E$81,MATCH($E2992,科目表!$B$4:$B$81,0)),""))</f>
        <v/>
      </c>
      <c r="H2992" s="70" t="str">
        <f aca="false">IF($E2992="","",N(INDEX(成本费用登记表!$Q$4:$Y$303,295,2)))</f>
        <v/>
      </c>
      <c r="I2992" s="70" t="str">
        <f aca="false">IF($E2992="","",N(INDEX(成本费用登记表!$Q$4:$Y$303,295,3)))</f>
        <v/>
      </c>
      <c r="J2992" s="67" t="str">
        <f aca="false">IF($E2992="","",INDEX(成本费用登记表!$C$4:$C$303,295))</f>
        <v/>
      </c>
      <c r="K2992" s="67" t="str">
        <f aca="false">IF($E2992="","",INDEX(成本费用登记表!$D$4:$D$303,295))</f>
        <v/>
      </c>
      <c r="L2992" s="107" t="str">
        <f aca="false">IF($E2992="","",INDEX(成本费用登记表!$N$4:$N$303,295))</f>
        <v/>
      </c>
      <c r="M2992" s="107"/>
      <c r="N2992" s="67" t="str">
        <f aca="false">IF($E2992="","","系统")</f>
        <v/>
      </c>
      <c r="O2992" s="67" t="str">
        <f aca="false">IF($E2992="","","自动C")</f>
        <v/>
      </c>
      <c r="P2992" s="18"/>
    </row>
    <row r="2993" customFormat="false" ht="18" hidden="false" customHeight="true" outlineLevel="0" collapsed="false">
      <c r="A2993" s="107" t="str">
        <f aca="false">IF($E2993="","",ROW()-3)</f>
        <v/>
      </c>
      <c r="B2993" s="110" t="str">
        <f aca="false">IF($E2993="","",INDEX(成本费用登记表!$B$4:$B$303,295))</f>
        <v/>
      </c>
      <c r="C2993" s="67" t="str">
        <f aca="false">IF($E2993="","","记-"&amp;TEXT($B2993,"YYYYMM")&amp;"-费用")</f>
        <v/>
      </c>
      <c r="D2993" s="107" t="str">
        <f aca="false">IF($E2993="","",INDEX(成本费用登记表!$E$4:$E$303,295))</f>
        <v/>
      </c>
      <c r="E2993" s="67" t="str">
        <f aca="false">IF(INDEX(成本费用登记表!$Q$4:$Y$303,295,4)=0,"",INDEX(成本费用登记表!$Q$4:$Y$303,295,4))</f>
        <v/>
      </c>
      <c r="F2993" s="99" t="str">
        <f aca="false">IF($E2993="","",IFERROR(INDEX(科目表!$A$4:$A$81,MATCH($E2993,科目表!$B$4:$B$81,0)),""))</f>
        <v/>
      </c>
      <c r="G2993" s="67" t="str">
        <f aca="false">IF($E2993="","",IFERROR(INDEX(科目表!$E$4:$E$81,MATCH($E2993,科目表!$B$4:$B$81,0)),""))</f>
        <v/>
      </c>
      <c r="H2993" s="70" t="str">
        <f aca="false">IF($E2993="","",N(INDEX(成本费用登记表!$Q$4:$Y$303,295,5)))</f>
        <v/>
      </c>
      <c r="I2993" s="70" t="str">
        <f aca="false">IF($E2993="","",N(INDEX(成本费用登记表!$Q$4:$Y$303,295,6)))</f>
        <v/>
      </c>
      <c r="J2993" s="67" t="str">
        <f aca="false">IF($E2993="","",INDEX(成本费用登记表!$C$4:$C$303,295))</f>
        <v/>
      </c>
      <c r="K2993" s="67" t="str">
        <f aca="false">IF($E2993="","",INDEX(成本费用登记表!$D$4:$D$303,295))</f>
        <v/>
      </c>
      <c r="L2993" s="107" t="str">
        <f aca="false">IF($E2993="","",INDEX(成本费用登记表!$N$4:$N$303,295))</f>
        <v/>
      </c>
      <c r="M2993" s="107"/>
      <c r="N2993" s="67" t="str">
        <f aca="false">IF($E2993="","","系统")</f>
        <v/>
      </c>
      <c r="O2993" s="67" t="str">
        <f aca="false">IF($E2993="","","自动C")</f>
        <v/>
      </c>
      <c r="P2993" s="18"/>
    </row>
    <row r="2994" customFormat="false" ht="18" hidden="false" customHeight="true" outlineLevel="0" collapsed="false">
      <c r="A2994" s="107" t="str">
        <f aca="false">IF($E2994="","",ROW()-3)</f>
        <v/>
      </c>
      <c r="B2994" s="110" t="str">
        <f aca="false">IF($E2994="","",INDEX(成本费用登记表!$B$4:$B$303,295))</f>
        <v/>
      </c>
      <c r="C2994" s="67" t="str">
        <f aca="false">IF($E2994="","","记-"&amp;TEXT($B2994,"YYYYMM")&amp;"-费用")</f>
        <v/>
      </c>
      <c r="D2994" s="107" t="str">
        <f aca="false">IF($E2994="","",INDEX(成本费用登记表!$E$4:$E$303,295))</f>
        <v/>
      </c>
      <c r="E2994" s="67" t="str">
        <f aca="false">IF(INDEX(成本费用登记表!$Q$4:$Y$303,295,7)=0,"",INDEX(成本费用登记表!$Q$4:$Y$303,295,7))</f>
        <v/>
      </c>
      <c r="F2994" s="99" t="str">
        <f aca="false">IF($E2994="","",IFERROR(INDEX(科目表!$A$4:$A$81,MATCH($E2994,科目表!$B$4:$B$81,0)),""))</f>
        <v/>
      </c>
      <c r="G2994" s="67" t="str">
        <f aca="false">IF($E2994="","",IFERROR(INDEX(科目表!$E$4:$E$81,MATCH($E2994,科目表!$B$4:$B$81,0)),""))</f>
        <v/>
      </c>
      <c r="H2994" s="70" t="str">
        <f aca="false">IF($E2994="","",N(INDEX(成本费用登记表!$Q$4:$Y$303,295,8)))</f>
        <v/>
      </c>
      <c r="I2994" s="70" t="str">
        <f aca="false">IF($E2994="","",N(INDEX(成本费用登记表!$Q$4:$Y$303,295,9)))</f>
        <v/>
      </c>
      <c r="J2994" s="67" t="str">
        <f aca="false">IF($E2994="","",INDEX(成本费用登记表!$C$4:$C$303,295))</f>
        <v/>
      </c>
      <c r="K2994" s="67" t="str">
        <f aca="false">IF($E2994="","",INDEX(成本费用登记表!$D$4:$D$303,295))</f>
        <v/>
      </c>
      <c r="L2994" s="107" t="str">
        <f aca="false">IF($E2994="","",INDEX(成本费用登记表!$N$4:$N$303,295))</f>
        <v/>
      </c>
      <c r="M2994" s="107"/>
      <c r="N2994" s="67" t="str">
        <f aca="false">IF($E2994="","","系统")</f>
        <v/>
      </c>
      <c r="O2994" s="67" t="str">
        <f aca="false">IF($E2994="","","自动C")</f>
        <v/>
      </c>
      <c r="P2994" s="18"/>
    </row>
    <row r="2995" customFormat="false" ht="18" hidden="false" customHeight="true" outlineLevel="0" collapsed="false">
      <c r="A2995" s="107" t="str">
        <f aca="false">IF($E2995="","",ROW()-3)</f>
        <v/>
      </c>
      <c r="B2995" s="110" t="str">
        <f aca="false">IF($E2995="","",INDEX(成本费用登记表!$B$4:$B$303,296))</f>
        <v/>
      </c>
      <c r="C2995" s="67" t="str">
        <f aca="false">IF($E2995="","","记-"&amp;TEXT($B2995,"YYYYMM")&amp;"-费用")</f>
        <v/>
      </c>
      <c r="D2995" s="107" t="str">
        <f aca="false">IF($E2995="","",INDEX(成本费用登记表!$E$4:$E$303,296))</f>
        <v/>
      </c>
      <c r="E2995" s="67" t="str">
        <f aca="false">IF(INDEX(成本费用登记表!$Q$4:$Y$303,296,1)=0,"",INDEX(成本费用登记表!$Q$4:$Y$303,296,1))</f>
        <v/>
      </c>
      <c r="F2995" s="99" t="str">
        <f aca="false">IF($E2995="","",IFERROR(INDEX(科目表!$A$4:$A$81,MATCH($E2995,科目表!$B$4:$B$81,0)),""))</f>
        <v/>
      </c>
      <c r="G2995" s="67" t="str">
        <f aca="false">IF($E2995="","",IFERROR(INDEX(科目表!$E$4:$E$81,MATCH($E2995,科目表!$B$4:$B$81,0)),""))</f>
        <v/>
      </c>
      <c r="H2995" s="70" t="str">
        <f aca="false">IF($E2995="","",N(INDEX(成本费用登记表!$Q$4:$Y$303,296,2)))</f>
        <v/>
      </c>
      <c r="I2995" s="70" t="str">
        <f aca="false">IF($E2995="","",N(INDEX(成本费用登记表!$Q$4:$Y$303,296,3)))</f>
        <v/>
      </c>
      <c r="J2995" s="67" t="str">
        <f aca="false">IF($E2995="","",INDEX(成本费用登记表!$C$4:$C$303,296))</f>
        <v/>
      </c>
      <c r="K2995" s="67" t="str">
        <f aca="false">IF($E2995="","",INDEX(成本费用登记表!$D$4:$D$303,296))</f>
        <v/>
      </c>
      <c r="L2995" s="107" t="str">
        <f aca="false">IF($E2995="","",INDEX(成本费用登记表!$N$4:$N$303,296))</f>
        <v/>
      </c>
      <c r="M2995" s="107"/>
      <c r="N2995" s="67" t="str">
        <f aca="false">IF($E2995="","","系统")</f>
        <v/>
      </c>
      <c r="O2995" s="67" t="str">
        <f aca="false">IF($E2995="","","自动C")</f>
        <v/>
      </c>
      <c r="P2995" s="18"/>
    </row>
    <row r="2996" customFormat="false" ht="18" hidden="false" customHeight="true" outlineLevel="0" collapsed="false">
      <c r="A2996" s="107" t="str">
        <f aca="false">IF($E2996="","",ROW()-3)</f>
        <v/>
      </c>
      <c r="B2996" s="110" t="str">
        <f aca="false">IF($E2996="","",INDEX(成本费用登记表!$B$4:$B$303,296))</f>
        <v/>
      </c>
      <c r="C2996" s="67" t="str">
        <f aca="false">IF($E2996="","","记-"&amp;TEXT($B2996,"YYYYMM")&amp;"-费用")</f>
        <v/>
      </c>
      <c r="D2996" s="107" t="str">
        <f aca="false">IF($E2996="","",INDEX(成本费用登记表!$E$4:$E$303,296))</f>
        <v/>
      </c>
      <c r="E2996" s="67" t="str">
        <f aca="false">IF(INDEX(成本费用登记表!$Q$4:$Y$303,296,4)=0,"",INDEX(成本费用登记表!$Q$4:$Y$303,296,4))</f>
        <v/>
      </c>
      <c r="F2996" s="99" t="str">
        <f aca="false">IF($E2996="","",IFERROR(INDEX(科目表!$A$4:$A$81,MATCH($E2996,科目表!$B$4:$B$81,0)),""))</f>
        <v/>
      </c>
      <c r="G2996" s="67" t="str">
        <f aca="false">IF($E2996="","",IFERROR(INDEX(科目表!$E$4:$E$81,MATCH($E2996,科目表!$B$4:$B$81,0)),""))</f>
        <v/>
      </c>
      <c r="H2996" s="70" t="str">
        <f aca="false">IF($E2996="","",N(INDEX(成本费用登记表!$Q$4:$Y$303,296,5)))</f>
        <v/>
      </c>
      <c r="I2996" s="70" t="str">
        <f aca="false">IF($E2996="","",N(INDEX(成本费用登记表!$Q$4:$Y$303,296,6)))</f>
        <v/>
      </c>
      <c r="J2996" s="67" t="str">
        <f aca="false">IF($E2996="","",INDEX(成本费用登记表!$C$4:$C$303,296))</f>
        <v/>
      </c>
      <c r="K2996" s="67" t="str">
        <f aca="false">IF($E2996="","",INDEX(成本费用登记表!$D$4:$D$303,296))</f>
        <v/>
      </c>
      <c r="L2996" s="107" t="str">
        <f aca="false">IF($E2996="","",INDEX(成本费用登记表!$N$4:$N$303,296))</f>
        <v/>
      </c>
      <c r="M2996" s="107"/>
      <c r="N2996" s="67" t="str">
        <f aca="false">IF($E2996="","","系统")</f>
        <v/>
      </c>
      <c r="O2996" s="67" t="str">
        <f aca="false">IF($E2996="","","自动C")</f>
        <v/>
      </c>
      <c r="P2996" s="18"/>
    </row>
    <row r="2997" customFormat="false" ht="18" hidden="false" customHeight="true" outlineLevel="0" collapsed="false">
      <c r="A2997" s="107" t="str">
        <f aca="false">IF($E2997="","",ROW()-3)</f>
        <v/>
      </c>
      <c r="B2997" s="110" t="str">
        <f aca="false">IF($E2997="","",INDEX(成本费用登记表!$B$4:$B$303,296))</f>
        <v/>
      </c>
      <c r="C2997" s="67" t="str">
        <f aca="false">IF($E2997="","","记-"&amp;TEXT($B2997,"YYYYMM")&amp;"-费用")</f>
        <v/>
      </c>
      <c r="D2997" s="107" t="str">
        <f aca="false">IF($E2997="","",INDEX(成本费用登记表!$E$4:$E$303,296))</f>
        <v/>
      </c>
      <c r="E2997" s="67" t="str">
        <f aca="false">IF(INDEX(成本费用登记表!$Q$4:$Y$303,296,7)=0,"",INDEX(成本费用登记表!$Q$4:$Y$303,296,7))</f>
        <v/>
      </c>
      <c r="F2997" s="99" t="str">
        <f aca="false">IF($E2997="","",IFERROR(INDEX(科目表!$A$4:$A$81,MATCH($E2997,科目表!$B$4:$B$81,0)),""))</f>
        <v/>
      </c>
      <c r="G2997" s="67" t="str">
        <f aca="false">IF($E2997="","",IFERROR(INDEX(科目表!$E$4:$E$81,MATCH($E2997,科目表!$B$4:$B$81,0)),""))</f>
        <v/>
      </c>
      <c r="H2997" s="70" t="str">
        <f aca="false">IF($E2997="","",N(INDEX(成本费用登记表!$Q$4:$Y$303,296,8)))</f>
        <v/>
      </c>
      <c r="I2997" s="70" t="str">
        <f aca="false">IF($E2997="","",N(INDEX(成本费用登记表!$Q$4:$Y$303,296,9)))</f>
        <v/>
      </c>
      <c r="J2997" s="67" t="str">
        <f aca="false">IF($E2997="","",INDEX(成本费用登记表!$C$4:$C$303,296))</f>
        <v/>
      </c>
      <c r="K2997" s="67" t="str">
        <f aca="false">IF($E2997="","",INDEX(成本费用登记表!$D$4:$D$303,296))</f>
        <v/>
      </c>
      <c r="L2997" s="107" t="str">
        <f aca="false">IF($E2997="","",INDEX(成本费用登记表!$N$4:$N$303,296))</f>
        <v/>
      </c>
      <c r="M2997" s="107"/>
      <c r="N2997" s="67" t="str">
        <f aca="false">IF($E2997="","","系统")</f>
        <v/>
      </c>
      <c r="O2997" s="67" t="str">
        <f aca="false">IF($E2997="","","自动C")</f>
        <v/>
      </c>
      <c r="P2997" s="18"/>
    </row>
    <row r="2998" customFormat="false" ht="18" hidden="false" customHeight="true" outlineLevel="0" collapsed="false">
      <c r="A2998" s="107" t="str">
        <f aca="false">IF($E2998="","",ROW()-3)</f>
        <v/>
      </c>
      <c r="B2998" s="110" t="str">
        <f aca="false">IF($E2998="","",INDEX(成本费用登记表!$B$4:$B$303,297))</f>
        <v/>
      </c>
      <c r="C2998" s="67" t="str">
        <f aca="false">IF($E2998="","","记-"&amp;TEXT($B2998,"YYYYMM")&amp;"-费用")</f>
        <v/>
      </c>
      <c r="D2998" s="107" t="str">
        <f aca="false">IF($E2998="","",INDEX(成本费用登记表!$E$4:$E$303,297))</f>
        <v/>
      </c>
      <c r="E2998" s="67" t="str">
        <f aca="false">IF(INDEX(成本费用登记表!$Q$4:$Y$303,297,1)=0,"",INDEX(成本费用登记表!$Q$4:$Y$303,297,1))</f>
        <v/>
      </c>
      <c r="F2998" s="99" t="str">
        <f aca="false">IF($E2998="","",IFERROR(INDEX(科目表!$A$4:$A$81,MATCH($E2998,科目表!$B$4:$B$81,0)),""))</f>
        <v/>
      </c>
      <c r="G2998" s="67" t="str">
        <f aca="false">IF($E2998="","",IFERROR(INDEX(科目表!$E$4:$E$81,MATCH($E2998,科目表!$B$4:$B$81,0)),""))</f>
        <v/>
      </c>
      <c r="H2998" s="70" t="str">
        <f aca="false">IF($E2998="","",N(INDEX(成本费用登记表!$Q$4:$Y$303,297,2)))</f>
        <v/>
      </c>
      <c r="I2998" s="70" t="str">
        <f aca="false">IF($E2998="","",N(INDEX(成本费用登记表!$Q$4:$Y$303,297,3)))</f>
        <v/>
      </c>
      <c r="J2998" s="67" t="str">
        <f aca="false">IF($E2998="","",INDEX(成本费用登记表!$C$4:$C$303,297))</f>
        <v/>
      </c>
      <c r="K2998" s="67" t="str">
        <f aca="false">IF($E2998="","",INDEX(成本费用登记表!$D$4:$D$303,297))</f>
        <v/>
      </c>
      <c r="L2998" s="107" t="str">
        <f aca="false">IF($E2998="","",INDEX(成本费用登记表!$N$4:$N$303,297))</f>
        <v/>
      </c>
      <c r="M2998" s="107"/>
      <c r="N2998" s="67" t="str">
        <f aca="false">IF($E2998="","","系统")</f>
        <v/>
      </c>
      <c r="O2998" s="67" t="str">
        <f aca="false">IF($E2998="","","自动C")</f>
        <v/>
      </c>
      <c r="P2998" s="18"/>
    </row>
    <row r="2999" customFormat="false" ht="18" hidden="false" customHeight="true" outlineLevel="0" collapsed="false">
      <c r="A2999" s="107" t="str">
        <f aca="false">IF($E2999="","",ROW()-3)</f>
        <v/>
      </c>
      <c r="B2999" s="110" t="str">
        <f aca="false">IF($E2999="","",INDEX(成本费用登记表!$B$4:$B$303,297))</f>
        <v/>
      </c>
      <c r="C2999" s="67" t="str">
        <f aca="false">IF($E2999="","","记-"&amp;TEXT($B2999,"YYYYMM")&amp;"-费用")</f>
        <v/>
      </c>
      <c r="D2999" s="107" t="str">
        <f aca="false">IF($E2999="","",INDEX(成本费用登记表!$E$4:$E$303,297))</f>
        <v/>
      </c>
      <c r="E2999" s="67" t="str">
        <f aca="false">IF(INDEX(成本费用登记表!$Q$4:$Y$303,297,4)=0,"",INDEX(成本费用登记表!$Q$4:$Y$303,297,4))</f>
        <v/>
      </c>
      <c r="F2999" s="99" t="str">
        <f aca="false">IF($E2999="","",IFERROR(INDEX(科目表!$A$4:$A$81,MATCH($E2999,科目表!$B$4:$B$81,0)),""))</f>
        <v/>
      </c>
      <c r="G2999" s="67" t="str">
        <f aca="false">IF($E2999="","",IFERROR(INDEX(科目表!$E$4:$E$81,MATCH($E2999,科目表!$B$4:$B$81,0)),""))</f>
        <v/>
      </c>
      <c r="H2999" s="70" t="str">
        <f aca="false">IF($E2999="","",N(INDEX(成本费用登记表!$Q$4:$Y$303,297,5)))</f>
        <v/>
      </c>
      <c r="I2999" s="70" t="str">
        <f aca="false">IF($E2999="","",N(INDEX(成本费用登记表!$Q$4:$Y$303,297,6)))</f>
        <v/>
      </c>
      <c r="J2999" s="67" t="str">
        <f aca="false">IF($E2999="","",INDEX(成本费用登记表!$C$4:$C$303,297))</f>
        <v/>
      </c>
      <c r="K2999" s="67" t="str">
        <f aca="false">IF($E2999="","",INDEX(成本费用登记表!$D$4:$D$303,297))</f>
        <v/>
      </c>
      <c r="L2999" s="107" t="str">
        <f aca="false">IF($E2999="","",INDEX(成本费用登记表!$N$4:$N$303,297))</f>
        <v/>
      </c>
      <c r="M2999" s="107"/>
      <c r="N2999" s="67" t="str">
        <f aca="false">IF($E2999="","","系统")</f>
        <v/>
      </c>
      <c r="O2999" s="67" t="str">
        <f aca="false">IF($E2999="","","自动C")</f>
        <v/>
      </c>
      <c r="P2999" s="18"/>
    </row>
    <row r="3000" customFormat="false" ht="18" hidden="false" customHeight="true" outlineLevel="0" collapsed="false">
      <c r="A3000" s="107" t="str">
        <f aca="false">IF($E3000="","",ROW()-3)</f>
        <v/>
      </c>
      <c r="B3000" s="110" t="str">
        <f aca="false">IF($E3000="","",INDEX(成本费用登记表!$B$4:$B$303,297))</f>
        <v/>
      </c>
      <c r="C3000" s="67" t="str">
        <f aca="false">IF($E3000="","","记-"&amp;TEXT($B3000,"YYYYMM")&amp;"-费用")</f>
        <v/>
      </c>
      <c r="D3000" s="107" t="str">
        <f aca="false">IF($E3000="","",INDEX(成本费用登记表!$E$4:$E$303,297))</f>
        <v/>
      </c>
      <c r="E3000" s="67" t="str">
        <f aca="false">IF(INDEX(成本费用登记表!$Q$4:$Y$303,297,7)=0,"",INDEX(成本费用登记表!$Q$4:$Y$303,297,7))</f>
        <v/>
      </c>
      <c r="F3000" s="99" t="str">
        <f aca="false">IF($E3000="","",IFERROR(INDEX(科目表!$A$4:$A$81,MATCH($E3000,科目表!$B$4:$B$81,0)),""))</f>
        <v/>
      </c>
      <c r="G3000" s="67" t="str">
        <f aca="false">IF($E3000="","",IFERROR(INDEX(科目表!$E$4:$E$81,MATCH($E3000,科目表!$B$4:$B$81,0)),""))</f>
        <v/>
      </c>
      <c r="H3000" s="70" t="str">
        <f aca="false">IF($E3000="","",N(INDEX(成本费用登记表!$Q$4:$Y$303,297,8)))</f>
        <v/>
      </c>
      <c r="I3000" s="70" t="str">
        <f aca="false">IF($E3000="","",N(INDEX(成本费用登记表!$Q$4:$Y$303,297,9)))</f>
        <v/>
      </c>
      <c r="J3000" s="67" t="str">
        <f aca="false">IF($E3000="","",INDEX(成本费用登记表!$C$4:$C$303,297))</f>
        <v/>
      </c>
      <c r="K3000" s="67" t="str">
        <f aca="false">IF($E3000="","",INDEX(成本费用登记表!$D$4:$D$303,297))</f>
        <v/>
      </c>
      <c r="L3000" s="107" t="str">
        <f aca="false">IF($E3000="","",INDEX(成本费用登记表!$N$4:$N$303,297))</f>
        <v/>
      </c>
      <c r="M3000" s="107"/>
      <c r="N3000" s="67" t="str">
        <f aca="false">IF($E3000="","","系统")</f>
        <v/>
      </c>
      <c r="O3000" s="67" t="str">
        <f aca="false">IF($E3000="","","自动C")</f>
        <v/>
      </c>
      <c r="P3000" s="18"/>
    </row>
    <row r="3001" customFormat="false" ht="18" hidden="false" customHeight="true" outlineLevel="0" collapsed="false">
      <c r="A3001" s="107" t="str">
        <f aca="false">IF($E3001="","",ROW()-3)</f>
        <v/>
      </c>
      <c r="B3001" s="110" t="str">
        <f aca="false">IF($E3001="","",INDEX(成本费用登记表!$B$4:$B$303,298))</f>
        <v/>
      </c>
      <c r="C3001" s="67" t="str">
        <f aca="false">IF($E3001="","","记-"&amp;TEXT($B3001,"YYYYMM")&amp;"-费用")</f>
        <v/>
      </c>
      <c r="D3001" s="107" t="str">
        <f aca="false">IF($E3001="","",INDEX(成本费用登记表!$E$4:$E$303,298))</f>
        <v/>
      </c>
      <c r="E3001" s="67" t="str">
        <f aca="false">IF(INDEX(成本费用登记表!$Q$4:$Y$303,298,1)=0,"",INDEX(成本费用登记表!$Q$4:$Y$303,298,1))</f>
        <v/>
      </c>
      <c r="F3001" s="99" t="str">
        <f aca="false">IF($E3001="","",IFERROR(INDEX(科目表!$A$4:$A$81,MATCH($E3001,科目表!$B$4:$B$81,0)),""))</f>
        <v/>
      </c>
      <c r="G3001" s="67" t="str">
        <f aca="false">IF($E3001="","",IFERROR(INDEX(科目表!$E$4:$E$81,MATCH($E3001,科目表!$B$4:$B$81,0)),""))</f>
        <v/>
      </c>
      <c r="H3001" s="70" t="str">
        <f aca="false">IF($E3001="","",N(INDEX(成本费用登记表!$Q$4:$Y$303,298,2)))</f>
        <v/>
      </c>
      <c r="I3001" s="70" t="str">
        <f aca="false">IF($E3001="","",N(INDEX(成本费用登记表!$Q$4:$Y$303,298,3)))</f>
        <v/>
      </c>
      <c r="J3001" s="67" t="str">
        <f aca="false">IF($E3001="","",INDEX(成本费用登记表!$C$4:$C$303,298))</f>
        <v/>
      </c>
      <c r="K3001" s="67" t="str">
        <f aca="false">IF($E3001="","",INDEX(成本费用登记表!$D$4:$D$303,298))</f>
        <v/>
      </c>
      <c r="L3001" s="107" t="str">
        <f aca="false">IF($E3001="","",INDEX(成本费用登记表!$N$4:$N$303,298))</f>
        <v/>
      </c>
      <c r="M3001" s="107"/>
      <c r="N3001" s="67" t="str">
        <f aca="false">IF($E3001="","","系统")</f>
        <v/>
      </c>
      <c r="O3001" s="67" t="str">
        <f aca="false">IF($E3001="","","自动C")</f>
        <v/>
      </c>
      <c r="P3001" s="18"/>
    </row>
    <row r="3002" customFormat="false" ht="18" hidden="false" customHeight="true" outlineLevel="0" collapsed="false">
      <c r="A3002" s="107" t="str">
        <f aca="false">IF($E3002="","",ROW()-3)</f>
        <v/>
      </c>
      <c r="B3002" s="110" t="str">
        <f aca="false">IF($E3002="","",INDEX(成本费用登记表!$B$4:$B$303,298))</f>
        <v/>
      </c>
      <c r="C3002" s="67" t="str">
        <f aca="false">IF($E3002="","","记-"&amp;TEXT($B3002,"YYYYMM")&amp;"-费用")</f>
        <v/>
      </c>
      <c r="D3002" s="107" t="str">
        <f aca="false">IF($E3002="","",INDEX(成本费用登记表!$E$4:$E$303,298))</f>
        <v/>
      </c>
      <c r="E3002" s="67" t="str">
        <f aca="false">IF(INDEX(成本费用登记表!$Q$4:$Y$303,298,4)=0,"",INDEX(成本费用登记表!$Q$4:$Y$303,298,4))</f>
        <v/>
      </c>
      <c r="F3002" s="99" t="str">
        <f aca="false">IF($E3002="","",IFERROR(INDEX(科目表!$A$4:$A$81,MATCH($E3002,科目表!$B$4:$B$81,0)),""))</f>
        <v/>
      </c>
      <c r="G3002" s="67" t="str">
        <f aca="false">IF($E3002="","",IFERROR(INDEX(科目表!$E$4:$E$81,MATCH($E3002,科目表!$B$4:$B$81,0)),""))</f>
        <v/>
      </c>
      <c r="H3002" s="70" t="str">
        <f aca="false">IF($E3002="","",N(INDEX(成本费用登记表!$Q$4:$Y$303,298,5)))</f>
        <v/>
      </c>
      <c r="I3002" s="70" t="str">
        <f aca="false">IF($E3002="","",N(INDEX(成本费用登记表!$Q$4:$Y$303,298,6)))</f>
        <v/>
      </c>
      <c r="J3002" s="67" t="str">
        <f aca="false">IF($E3002="","",INDEX(成本费用登记表!$C$4:$C$303,298))</f>
        <v/>
      </c>
      <c r="K3002" s="67" t="str">
        <f aca="false">IF($E3002="","",INDEX(成本费用登记表!$D$4:$D$303,298))</f>
        <v/>
      </c>
      <c r="L3002" s="107" t="str">
        <f aca="false">IF($E3002="","",INDEX(成本费用登记表!$N$4:$N$303,298))</f>
        <v/>
      </c>
      <c r="M3002" s="107"/>
      <c r="N3002" s="67" t="str">
        <f aca="false">IF($E3002="","","系统")</f>
        <v/>
      </c>
      <c r="O3002" s="67" t="str">
        <f aca="false">IF($E3002="","","自动C")</f>
        <v/>
      </c>
      <c r="P3002" s="18"/>
    </row>
    <row r="3003" customFormat="false" ht="18" hidden="false" customHeight="true" outlineLevel="0" collapsed="false">
      <c r="A3003" s="107" t="str">
        <f aca="false">IF($E3003="","",ROW()-3)</f>
        <v/>
      </c>
      <c r="B3003" s="110" t="str">
        <f aca="false">IF($E3003="","",INDEX(成本费用登记表!$B$4:$B$303,298))</f>
        <v/>
      </c>
      <c r="C3003" s="67" t="str">
        <f aca="false">IF($E3003="","","记-"&amp;TEXT($B3003,"YYYYMM")&amp;"-费用")</f>
        <v/>
      </c>
      <c r="D3003" s="107" t="str">
        <f aca="false">IF($E3003="","",INDEX(成本费用登记表!$E$4:$E$303,298))</f>
        <v/>
      </c>
      <c r="E3003" s="67" t="str">
        <f aca="false">IF(INDEX(成本费用登记表!$Q$4:$Y$303,298,7)=0,"",INDEX(成本费用登记表!$Q$4:$Y$303,298,7))</f>
        <v/>
      </c>
      <c r="F3003" s="99" t="str">
        <f aca="false">IF($E3003="","",IFERROR(INDEX(科目表!$A$4:$A$81,MATCH($E3003,科目表!$B$4:$B$81,0)),""))</f>
        <v/>
      </c>
      <c r="G3003" s="67" t="str">
        <f aca="false">IF($E3003="","",IFERROR(INDEX(科目表!$E$4:$E$81,MATCH($E3003,科目表!$B$4:$B$81,0)),""))</f>
        <v/>
      </c>
      <c r="H3003" s="70" t="str">
        <f aca="false">IF($E3003="","",N(INDEX(成本费用登记表!$Q$4:$Y$303,298,8)))</f>
        <v/>
      </c>
      <c r="I3003" s="70" t="str">
        <f aca="false">IF($E3003="","",N(INDEX(成本费用登记表!$Q$4:$Y$303,298,9)))</f>
        <v/>
      </c>
      <c r="J3003" s="67" t="str">
        <f aca="false">IF($E3003="","",INDEX(成本费用登记表!$C$4:$C$303,298))</f>
        <v/>
      </c>
      <c r="K3003" s="67" t="str">
        <f aca="false">IF($E3003="","",INDEX(成本费用登记表!$D$4:$D$303,298))</f>
        <v/>
      </c>
      <c r="L3003" s="107" t="str">
        <f aca="false">IF($E3003="","",INDEX(成本费用登记表!$N$4:$N$303,298))</f>
        <v/>
      </c>
      <c r="M3003" s="107"/>
      <c r="N3003" s="67" t="str">
        <f aca="false">IF($E3003="","","系统")</f>
        <v/>
      </c>
      <c r="O3003" s="67" t="str">
        <f aca="false">IF($E3003="","","自动C")</f>
        <v/>
      </c>
      <c r="P3003" s="18"/>
    </row>
    <row r="3004" customFormat="false" ht="18" hidden="false" customHeight="true" outlineLevel="0" collapsed="false">
      <c r="A3004" s="107" t="str">
        <f aca="false">IF($E3004="","",ROW()-3)</f>
        <v/>
      </c>
      <c r="B3004" s="110" t="str">
        <f aca="false">IF($E3004="","",INDEX(成本费用登记表!$B$4:$B$303,299))</f>
        <v/>
      </c>
      <c r="C3004" s="67" t="str">
        <f aca="false">IF($E3004="","","记-"&amp;TEXT($B3004,"YYYYMM")&amp;"-费用")</f>
        <v/>
      </c>
      <c r="D3004" s="107" t="str">
        <f aca="false">IF($E3004="","",INDEX(成本费用登记表!$E$4:$E$303,299))</f>
        <v/>
      </c>
      <c r="E3004" s="67" t="str">
        <f aca="false">IF(INDEX(成本费用登记表!$Q$4:$Y$303,299,1)=0,"",INDEX(成本费用登记表!$Q$4:$Y$303,299,1))</f>
        <v/>
      </c>
      <c r="F3004" s="99" t="str">
        <f aca="false">IF($E3004="","",IFERROR(INDEX(科目表!$A$4:$A$81,MATCH($E3004,科目表!$B$4:$B$81,0)),""))</f>
        <v/>
      </c>
      <c r="G3004" s="67" t="str">
        <f aca="false">IF($E3004="","",IFERROR(INDEX(科目表!$E$4:$E$81,MATCH($E3004,科目表!$B$4:$B$81,0)),""))</f>
        <v/>
      </c>
      <c r="H3004" s="70" t="str">
        <f aca="false">IF($E3004="","",N(INDEX(成本费用登记表!$Q$4:$Y$303,299,2)))</f>
        <v/>
      </c>
      <c r="I3004" s="70" t="str">
        <f aca="false">IF($E3004="","",N(INDEX(成本费用登记表!$Q$4:$Y$303,299,3)))</f>
        <v/>
      </c>
      <c r="J3004" s="67" t="str">
        <f aca="false">IF($E3004="","",INDEX(成本费用登记表!$C$4:$C$303,299))</f>
        <v/>
      </c>
      <c r="K3004" s="67" t="str">
        <f aca="false">IF($E3004="","",INDEX(成本费用登记表!$D$4:$D$303,299))</f>
        <v/>
      </c>
      <c r="L3004" s="107" t="str">
        <f aca="false">IF($E3004="","",INDEX(成本费用登记表!$N$4:$N$303,299))</f>
        <v/>
      </c>
      <c r="M3004" s="107"/>
      <c r="N3004" s="67" t="str">
        <f aca="false">IF($E3004="","","系统")</f>
        <v/>
      </c>
      <c r="O3004" s="67" t="str">
        <f aca="false">IF($E3004="","","自动C")</f>
        <v/>
      </c>
      <c r="P3004" s="18"/>
    </row>
    <row r="3005" customFormat="false" ht="18" hidden="false" customHeight="true" outlineLevel="0" collapsed="false">
      <c r="A3005" s="107" t="str">
        <f aca="false">IF($E3005="","",ROW()-3)</f>
        <v/>
      </c>
      <c r="B3005" s="110" t="str">
        <f aca="false">IF($E3005="","",INDEX(成本费用登记表!$B$4:$B$303,299))</f>
        <v/>
      </c>
      <c r="C3005" s="67" t="str">
        <f aca="false">IF($E3005="","","记-"&amp;TEXT($B3005,"YYYYMM")&amp;"-费用")</f>
        <v/>
      </c>
      <c r="D3005" s="107" t="str">
        <f aca="false">IF($E3005="","",INDEX(成本费用登记表!$E$4:$E$303,299))</f>
        <v/>
      </c>
      <c r="E3005" s="67" t="str">
        <f aca="false">IF(INDEX(成本费用登记表!$Q$4:$Y$303,299,4)=0,"",INDEX(成本费用登记表!$Q$4:$Y$303,299,4))</f>
        <v/>
      </c>
      <c r="F3005" s="99" t="str">
        <f aca="false">IF($E3005="","",IFERROR(INDEX(科目表!$A$4:$A$81,MATCH($E3005,科目表!$B$4:$B$81,0)),""))</f>
        <v/>
      </c>
      <c r="G3005" s="67" t="str">
        <f aca="false">IF($E3005="","",IFERROR(INDEX(科目表!$E$4:$E$81,MATCH($E3005,科目表!$B$4:$B$81,0)),""))</f>
        <v/>
      </c>
      <c r="H3005" s="70" t="str">
        <f aca="false">IF($E3005="","",N(INDEX(成本费用登记表!$Q$4:$Y$303,299,5)))</f>
        <v/>
      </c>
      <c r="I3005" s="70" t="str">
        <f aca="false">IF($E3005="","",N(INDEX(成本费用登记表!$Q$4:$Y$303,299,6)))</f>
        <v/>
      </c>
      <c r="J3005" s="67" t="str">
        <f aca="false">IF($E3005="","",INDEX(成本费用登记表!$C$4:$C$303,299))</f>
        <v/>
      </c>
      <c r="K3005" s="67" t="str">
        <f aca="false">IF($E3005="","",INDEX(成本费用登记表!$D$4:$D$303,299))</f>
        <v/>
      </c>
      <c r="L3005" s="107" t="str">
        <f aca="false">IF($E3005="","",INDEX(成本费用登记表!$N$4:$N$303,299))</f>
        <v/>
      </c>
      <c r="M3005" s="107"/>
      <c r="N3005" s="67" t="str">
        <f aca="false">IF($E3005="","","系统")</f>
        <v/>
      </c>
      <c r="O3005" s="67" t="str">
        <f aca="false">IF($E3005="","","自动C")</f>
        <v/>
      </c>
      <c r="P3005" s="18"/>
    </row>
    <row r="3006" customFormat="false" ht="18" hidden="false" customHeight="true" outlineLevel="0" collapsed="false">
      <c r="A3006" s="107" t="str">
        <f aca="false">IF($E3006="","",ROW()-3)</f>
        <v/>
      </c>
      <c r="B3006" s="110" t="str">
        <f aca="false">IF($E3006="","",INDEX(成本费用登记表!$B$4:$B$303,299))</f>
        <v/>
      </c>
      <c r="C3006" s="67" t="str">
        <f aca="false">IF($E3006="","","记-"&amp;TEXT($B3006,"YYYYMM")&amp;"-费用")</f>
        <v/>
      </c>
      <c r="D3006" s="107" t="str">
        <f aca="false">IF($E3006="","",INDEX(成本费用登记表!$E$4:$E$303,299))</f>
        <v/>
      </c>
      <c r="E3006" s="67" t="str">
        <f aca="false">IF(INDEX(成本费用登记表!$Q$4:$Y$303,299,7)=0,"",INDEX(成本费用登记表!$Q$4:$Y$303,299,7))</f>
        <v/>
      </c>
      <c r="F3006" s="99" t="str">
        <f aca="false">IF($E3006="","",IFERROR(INDEX(科目表!$A$4:$A$81,MATCH($E3006,科目表!$B$4:$B$81,0)),""))</f>
        <v/>
      </c>
      <c r="G3006" s="67" t="str">
        <f aca="false">IF($E3006="","",IFERROR(INDEX(科目表!$E$4:$E$81,MATCH($E3006,科目表!$B$4:$B$81,0)),""))</f>
        <v/>
      </c>
      <c r="H3006" s="70" t="str">
        <f aca="false">IF($E3006="","",N(INDEX(成本费用登记表!$Q$4:$Y$303,299,8)))</f>
        <v/>
      </c>
      <c r="I3006" s="70" t="str">
        <f aca="false">IF($E3006="","",N(INDEX(成本费用登记表!$Q$4:$Y$303,299,9)))</f>
        <v/>
      </c>
      <c r="J3006" s="67" t="str">
        <f aca="false">IF($E3006="","",INDEX(成本费用登记表!$C$4:$C$303,299))</f>
        <v/>
      </c>
      <c r="K3006" s="67" t="str">
        <f aca="false">IF($E3006="","",INDEX(成本费用登记表!$D$4:$D$303,299))</f>
        <v/>
      </c>
      <c r="L3006" s="107" t="str">
        <f aca="false">IF($E3006="","",INDEX(成本费用登记表!$N$4:$N$303,299))</f>
        <v/>
      </c>
      <c r="M3006" s="107"/>
      <c r="N3006" s="67" t="str">
        <f aca="false">IF($E3006="","","系统")</f>
        <v/>
      </c>
      <c r="O3006" s="67" t="str">
        <f aca="false">IF($E3006="","","自动C")</f>
        <v/>
      </c>
      <c r="P3006" s="18"/>
    </row>
    <row r="3007" customFormat="false" ht="18" hidden="false" customHeight="true" outlineLevel="0" collapsed="false">
      <c r="A3007" s="107" t="str">
        <f aca="false">IF($E3007="","",ROW()-3)</f>
        <v/>
      </c>
      <c r="B3007" s="110" t="str">
        <f aca="false">IF($E3007="","",INDEX(成本费用登记表!$B$4:$B$303,300))</f>
        <v/>
      </c>
      <c r="C3007" s="67" t="str">
        <f aca="false">IF($E3007="","","记-"&amp;TEXT($B3007,"YYYYMM")&amp;"-费用")</f>
        <v/>
      </c>
      <c r="D3007" s="107" t="str">
        <f aca="false">IF($E3007="","",INDEX(成本费用登记表!$E$4:$E$303,300))</f>
        <v/>
      </c>
      <c r="E3007" s="67" t="str">
        <f aca="false">IF(INDEX(成本费用登记表!$Q$4:$Y$303,300,1)=0,"",INDEX(成本费用登记表!$Q$4:$Y$303,300,1))</f>
        <v/>
      </c>
      <c r="F3007" s="99" t="str">
        <f aca="false">IF($E3007="","",IFERROR(INDEX(科目表!$A$4:$A$81,MATCH($E3007,科目表!$B$4:$B$81,0)),""))</f>
        <v/>
      </c>
      <c r="G3007" s="67" t="str">
        <f aca="false">IF($E3007="","",IFERROR(INDEX(科目表!$E$4:$E$81,MATCH($E3007,科目表!$B$4:$B$81,0)),""))</f>
        <v/>
      </c>
      <c r="H3007" s="70" t="str">
        <f aca="false">IF($E3007="","",N(INDEX(成本费用登记表!$Q$4:$Y$303,300,2)))</f>
        <v/>
      </c>
      <c r="I3007" s="70" t="str">
        <f aca="false">IF($E3007="","",N(INDEX(成本费用登记表!$Q$4:$Y$303,300,3)))</f>
        <v/>
      </c>
      <c r="J3007" s="67" t="str">
        <f aca="false">IF($E3007="","",INDEX(成本费用登记表!$C$4:$C$303,300))</f>
        <v/>
      </c>
      <c r="K3007" s="67" t="str">
        <f aca="false">IF($E3007="","",INDEX(成本费用登记表!$D$4:$D$303,300))</f>
        <v/>
      </c>
      <c r="L3007" s="107" t="str">
        <f aca="false">IF($E3007="","",INDEX(成本费用登记表!$N$4:$N$303,300))</f>
        <v/>
      </c>
      <c r="M3007" s="107"/>
      <c r="N3007" s="67" t="str">
        <f aca="false">IF($E3007="","","系统")</f>
        <v/>
      </c>
      <c r="O3007" s="67" t="str">
        <f aca="false">IF($E3007="","","自动C")</f>
        <v/>
      </c>
      <c r="P3007" s="18"/>
    </row>
    <row r="3008" customFormat="false" ht="18" hidden="false" customHeight="true" outlineLevel="0" collapsed="false">
      <c r="A3008" s="107" t="str">
        <f aca="false">IF($E3008="","",ROW()-3)</f>
        <v/>
      </c>
      <c r="B3008" s="110" t="str">
        <f aca="false">IF($E3008="","",INDEX(成本费用登记表!$B$4:$B$303,300))</f>
        <v/>
      </c>
      <c r="C3008" s="67" t="str">
        <f aca="false">IF($E3008="","","记-"&amp;TEXT($B3008,"YYYYMM")&amp;"-费用")</f>
        <v/>
      </c>
      <c r="D3008" s="107" t="str">
        <f aca="false">IF($E3008="","",INDEX(成本费用登记表!$E$4:$E$303,300))</f>
        <v/>
      </c>
      <c r="E3008" s="67" t="str">
        <f aca="false">IF(INDEX(成本费用登记表!$Q$4:$Y$303,300,4)=0,"",INDEX(成本费用登记表!$Q$4:$Y$303,300,4))</f>
        <v/>
      </c>
      <c r="F3008" s="99" t="str">
        <f aca="false">IF($E3008="","",IFERROR(INDEX(科目表!$A$4:$A$81,MATCH($E3008,科目表!$B$4:$B$81,0)),""))</f>
        <v/>
      </c>
      <c r="G3008" s="67" t="str">
        <f aca="false">IF($E3008="","",IFERROR(INDEX(科目表!$E$4:$E$81,MATCH($E3008,科目表!$B$4:$B$81,0)),""))</f>
        <v/>
      </c>
      <c r="H3008" s="70" t="str">
        <f aca="false">IF($E3008="","",N(INDEX(成本费用登记表!$Q$4:$Y$303,300,5)))</f>
        <v/>
      </c>
      <c r="I3008" s="70" t="str">
        <f aca="false">IF($E3008="","",N(INDEX(成本费用登记表!$Q$4:$Y$303,300,6)))</f>
        <v/>
      </c>
      <c r="J3008" s="67" t="str">
        <f aca="false">IF($E3008="","",INDEX(成本费用登记表!$C$4:$C$303,300))</f>
        <v/>
      </c>
      <c r="K3008" s="67" t="str">
        <f aca="false">IF($E3008="","",INDEX(成本费用登记表!$D$4:$D$303,300))</f>
        <v/>
      </c>
      <c r="L3008" s="107" t="str">
        <f aca="false">IF($E3008="","",INDEX(成本费用登记表!$N$4:$N$303,300))</f>
        <v/>
      </c>
      <c r="M3008" s="107"/>
      <c r="N3008" s="67" t="str">
        <f aca="false">IF($E3008="","","系统")</f>
        <v/>
      </c>
      <c r="O3008" s="67" t="str">
        <f aca="false">IF($E3008="","","自动C")</f>
        <v/>
      </c>
      <c r="P3008" s="18"/>
    </row>
    <row r="3009" customFormat="false" ht="18" hidden="false" customHeight="true" outlineLevel="0" collapsed="false">
      <c r="A3009" s="107" t="str">
        <f aca="false">IF($E3009="","",ROW()-3)</f>
        <v/>
      </c>
      <c r="B3009" s="110" t="str">
        <f aca="false">IF($E3009="","",INDEX(成本费用登记表!$B$4:$B$303,300))</f>
        <v/>
      </c>
      <c r="C3009" s="67" t="str">
        <f aca="false">IF($E3009="","","记-"&amp;TEXT($B3009,"YYYYMM")&amp;"-费用")</f>
        <v/>
      </c>
      <c r="D3009" s="107" t="str">
        <f aca="false">IF($E3009="","",INDEX(成本费用登记表!$E$4:$E$303,300))</f>
        <v/>
      </c>
      <c r="E3009" s="67" t="str">
        <f aca="false">IF(INDEX(成本费用登记表!$Q$4:$Y$303,300,7)=0,"",INDEX(成本费用登记表!$Q$4:$Y$303,300,7))</f>
        <v/>
      </c>
      <c r="F3009" s="99" t="str">
        <f aca="false">IF($E3009="","",IFERROR(INDEX(科目表!$A$4:$A$81,MATCH($E3009,科目表!$B$4:$B$81,0)),""))</f>
        <v/>
      </c>
      <c r="G3009" s="67" t="str">
        <f aca="false">IF($E3009="","",IFERROR(INDEX(科目表!$E$4:$E$81,MATCH($E3009,科目表!$B$4:$B$81,0)),""))</f>
        <v/>
      </c>
      <c r="H3009" s="70" t="str">
        <f aca="false">IF($E3009="","",N(INDEX(成本费用登记表!$Q$4:$Y$303,300,8)))</f>
        <v/>
      </c>
      <c r="I3009" s="70" t="str">
        <f aca="false">IF($E3009="","",N(INDEX(成本费用登记表!$Q$4:$Y$303,300,9)))</f>
        <v/>
      </c>
      <c r="J3009" s="67" t="str">
        <f aca="false">IF($E3009="","",INDEX(成本费用登记表!$C$4:$C$303,300))</f>
        <v/>
      </c>
      <c r="K3009" s="67" t="str">
        <f aca="false">IF($E3009="","",INDEX(成本费用登记表!$D$4:$D$303,300))</f>
        <v/>
      </c>
      <c r="L3009" s="107" t="str">
        <f aca="false">IF($E3009="","",INDEX(成本费用登记表!$N$4:$N$303,300))</f>
        <v/>
      </c>
      <c r="M3009" s="107"/>
      <c r="N3009" s="67" t="str">
        <f aca="false">IF($E3009="","","系统")</f>
        <v/>
      </c>
      <c r="O3009" s="67" t="str">
        <f aca="false">IF($E3009="","","自动C")</f>
        <v/>
      </c>
      <c r="P3009" s="18"/>
    </row>
    <row r="3010" customFormat="false" ht="18" hidden="false" customHeight="true" outlineLevel="0" collapsed="false">
      <c r="A3010" s="107" t="str">
        <f aca="false">IF($E3010="","",ROW()-3)</f>
        <v/>
      </c>
      <c r="B3010" s="111"/>
      <c r="C3010" s="112"/>
      <c r="D3010" s="113"/>
      <c r="E3010" s="112"/>
      <c r="F3010" s="99" t="str">
        <f aca="false">IF($E3010="","",IFERROR(INDEX(科目表!$A$4:$A$81,MATCH($E3010,科目表!$B$4:$B$81,0)),""))</f>
        <v/>
      </c>
      <c r="G3010" s="67" t="str">
        <f aca="false">IF($E3010="","",IFERROR(INDEX(科目表!$E$4:$E$81,MATCH($E3010,科目表!$B$4:$B$81,0)),""))</f>
        <v/>
      </c>
      <c r="H3010" s="114"/>
      <c r="I3010" s="114"/>
      <c r="J3010" s="112"/>
      <c r="K3010" s="112"/>
      <c r="L3010" s="113"/>
      <c r="M3010" s="115"/>
      <c r="N3010" s="113"/>
      <c r="O3010" s="67" t="str">
        <f aca="false">IF($E3010="","","手工")</f>
        <v/>
      </c>
      <c r="P3010" s="113"/>
    </row>
    <row r="3011" customFormat="false" ht="18" hidden="false" customHeight="true" outlineLevel="0" collapsed="false">
      <c r="A3011" s="107" t="str">
        <f aca="false">IF($E3011="","",ROW()-3)</f>
        <v/>
      </c>
      <c r="B3011" s="111"/>
      <c r="C3011" s="112"/>
      <c r="D3011" s="113"/>
      <c r="E3011" s="112"/>
      <c r="F3011" s="99" t="str">
        <f aca="false">IF($E3011="","",IFERROR(INDEX(科目表!$A$4:$A$81,MATCH($E3011,科目表!$B$4:$B$81,0)),""))</f>
        <v/>
      </c>
      <c r="G3011" s="67" t="str">
        <f aca="false">IF($E3011="","",IFERROR(INDEX(科目表!$E$4:$E$81,MATCH($E3011,科目表!$B$4:$B$81,0)),""))</f>
        <v/>
      </c>
      <c r="H3011" s="114"/>
      <c r="I3011" s="114"/>
      <c r="J3011" s="112"/>
      <c r="K3011" s="112"/>
      <c r="L3011" s="113"/>
      <c r="M3011" s="115"/>
      <c r="N3011" s="113"/>
      <c r="O3011" s="67" t="str">
        <f aca="false">IF($E3011="","","手工")</f>
        <v/>
      </c>
      <c r="P3011" s="113"/>
    </row>
    <row r="3012" customFormat="false" ht="18" hidden="false" customHeight="true" outlineLevel="0" collapsed="false">
      <c r="A3012" s="107" t="str">
        <f aca="false">IF($E3012="","",ROW()-3)</f>
        <v/>
      </c>
      <c r="B3012" s="111"/>
      <c r="C3012" s="112"/>
      <c r="D3012" s="113"/>
      <c r="E3012" s="112"/>
      <c r="F3012" s="99" t="str">
        <f aca="false">IF($E3012="","",IFERROR(INDEX(科目表!$A$4:$A$81,MATCH($E3012,科目表!$B$4:$B$81,0)),""))</f>
        <v/>
      </c>
      <c r="G3012" s="67" t="str">
        <f aca="false">IF($E3012="","",IFERROR(INDEX(科目表!$E$4:$E$81,MATCH($E3012,科目表!$B$4:$B$81,0)),""))</f>
        <v/>
      </c>
      <c r="H3012" s="114"/>
      <c r="I3012" s="114"/>
      <c r="J3012" s="112"/>
      <c r="K3012" s="112"/>
      <c r="L3012" s="113"/>
      <c r="M3012" s="115"/>
      <c r="N3012" s="113"/>
      <c r="O3012" s="67" t="str">
        <f aca="false">IF($E3012="","","手工")</f>
        <v/>
      </c>
      <c r="P3012" s="113"/>
    </row>
    <row r="3013" customFormat="false" ht="18" hidden="false" customHeight="true" outlineLevel="0" collapsed="false">
      <c r="A3013" s="107" t="str">
        <f aca="false">IF($E3013="","",ROW()-3)</f>
        <v/>
      </c>
      <c r="B3013" s="111"/>
      <c r="C3013" s="112"/>
      <c r="D3013" s="113"/>
      <c r="E3013" s="112"/>
      <c r="F3013" s="99" t="str">
        <f aca="false">IF($E3013="","",IFERROR(INDEX(科目表!$A$4:$A$81,MATCH($E3013,科目表!$B$4:$B$81,0)),""))</f>
        <v/>
      </c>
      <c r="G3013" s="67" t="str">
        <f aca="false">IF($E3013="","",IFERROR(INDEX(科目表!$E$4:$E$81,MATCH($E3013,科目表!$B$4:$B$81,0)),""))</f>
        <v/>
      </c>
      <c r="H3013" s="114"/>
      <c r="I3013" s="114"/>
      <c r="J3013" s="112"/>
      <c r="K3013" s="112"/>
      <c r="L3013" s="113"/>
      <c r="M3013" s="115"/>
      <c r="N3013" s="113"/>
      <c r="O3013" s="67" t="str">
        <f aca="false">IF($E3013="","","手工")</f>
        <v/>
      </c>
      <c r="P3013" s="113"/>
    </row>
    <row r="3014" customFormat="false" ht="18" hidden="false" customHeight="true" outlineLevel="0" collapsed="false">
      <c r="A3014" s="107" t="str">
        <f aca="false">IF($E3014="","",ROW()-3)</f>
        <v/>
      </c>
      <c r="B3014" s="111"/>
      <c r="C3014" s="112"/>
      <c r="D3014" s="113"/>
      <c r="E3014" s="112"/>
      <c r="F3014" s="99" t="str">
        <f aca="false">IF($E3014="","",IFERROR(INDEX(科目表!$A$4:$A$81,MATCH($E3014,科目表!$B$4:$B$81,0)),""))</f>
        <v/>
      </c>
      <c r="G3014" s="67" t="str">
        <f aca="false">IF($E3014="","",IFERROR(INDEX(科目表!$E$4:$E$81,MATCH($E3014,科目表!$B$4:$B$81,0)),""))</f>
        <v/>
      </c>
      <c r="H3014" s="114"/>
      <c r="I3014" s="114"/>
      <c r="J3014" s="112"/>
      <c r="K3014" s="112"/>
      <c r="L3014" s="113"/>
      <c r="M3014" s="115"/>
      <c r="N3014" s="113"/>
      <c r="O3014" s="67" t="str">
        <f aca="false">IF($E3014="","","手工")</f>
        <v/>
      </c>
      <c r="P3014" s="113"/>
    </row>
    <row r="3015" customFormat="false" ht="18" hidden="false" customHeight="true" outlineLevel="0" collapsed="false">
      <c r="A3015" s="107" t="str">
        <f aca="false">IF($E3015="","",ROW()-3)</f>
        <v/>
      </c>
      <c r="B3015" s="111"/>
      <c r="C3015" s="112"/>
      <c r="D3015" s="113"/>
      <c r="E3015" s="112"/>
      <c r="F3015" s="99" t="str">
        <f aca="false">IF($E3015="","",IFERROR(INDEX(科目表!$A$4:$A$81,MATCH($E3015,科目表!$B$4:$B$81,0)),""))</f>
        <v/>
      </c>
      <c r="G3015" s="67" t="str">
        <f aca="false">IF($E3015="","",IFERROR(INDEX(科目表!$E$4:$E$81,MATCH($E3015,科目表!$B$4:$B$81,0)),""))</f>
        <v/>
      </c>
      <c r="H3015" s="114"/>
      <c r="I3015" s="114"/>
      <c r="J3015" s="112"/>
      <c r="K3015" s="112"/>
      <c r="L3015" s="113"/>
      <c r="M3015" s="115"/>
      <c r="N3015" s="113"/>
      <c r="O3015" s="67" t="str">
        <f aca="false">IF($E3015="","","手工")</f>
        <v/>
      </c>
      <c r="P3015" s="113"/>
    </row>
    <row r="3016" customFormat="false" ht="18" hidden="false" customHeight="true" outlineLevel="0" collapsed="false">
      <c r="A3016" s="107" t="str">
        <f aca="false">IF($E3016="","",ROW()-3)</f>
        <v/>
      </c>
      <c r="B3016" s="111"/>
      <c r="C3016" s="112"/>
      <c r="D3016" s="113"/>
      <c r="E3016" s="112"/>
      <c r="F3016" s="99" t="str">
        <f aca="false">IF($E3016="","",IFERROR(INDEX(科目表!$A$4:$A$81,MATCH($E3016,科目表!$B$4:$B$81,0)),""))</f>
        <v/>
      </c>
      <c r="G3016" s="67" t="str">
        <f aca="false">IF($E3016="","",IFERROR(INDEX(科目表!$E$4:$E$81,MATCH($E3016,科目表!$B$4:$B$81,0)),""))</f>
        <v/>
      </c>
      <c r="H3016" s="114"/>
      <c r="I3016" s="114"/>
      <c r="J3016" s="112"/>
      <c r="K3016" s="112"/>
      <c r="L3016" s="113"/>
      <c r="M3016" s="115"/>
      <c r="N3016" s="113"/>
      <c r="O3016" s="67" t="str">
        <f aca="false">IF($E3016="","","手工")</f>
        <v/>
      </c>
      <c r="P3016" s="113"/>
    </row>
    <row r="3017" customFormat="false" ht="18" hidden="false" customHeight="true" outlineLevel="0" collapsed="false">
      <c r="A3017" s="107" t="str">
        <f aca="false">IF($E3017="","",ROW()-3)</f>
        <v/>
      </c>
      <c r="B3017" s="111"/>
      <c r="C3017" s="112"/>
      <c r="D3017" s="113"/>
      <c r="E3017" s="112"/>
      <c r="F3017" s="99" t="str">
        <f aca="false">IF($E3017="","",IFERROR(INDEX(科目表!$A$4:$A$81,MATCH($E3017,科目表!$B$4:$B$81,0)),""))</f>
        <v/>
      </c>
      <c r="G3017" s="67" t="str">
        <f aca="false">IF($E3017="","",IFERROR(INDEX(科目表!$E$4:$E$81,MATCH($E3017,科目表!$B$4:$B$81,0)),""))</f>
        <v/>
      </c>
      <c r="H3017" s="114"/>
      <c r="I3017" s="114"/>
      <c r="J3017" s="112"/>
      <c r="K3017" s="112"/>
      <c r="L3017" s="113"/>
      <c r="M3017" s="115"/>
      <c r="N3017" s="113"/>
      <c r="O3017" s="67" t="str">
        <f aca="false">IF($E3017="","","手工")</f>
        <v/>
      </c>
      <c r="P3017" s="113"/>
    </row>
    <row r="3018" customFormat="false" ht="18" hidden="false" customHeight="true" outlineLevel="0" collapsed="false">
      <c r="A3018" s="107" t="str">
        <f aca="false">IF($E3018="","",ROW()-3)</f>
        <v/>
      </c>
      <c r="B3018" s="111"/>
      <c r="C3018" s="112"/>
      <c r="D3018" s="113"/>
      <c r="E3018" s="112"/>
      <c r="F3018" s="99" t="str">
        <f aca="false">IF($E3018="","",IFERROR(INDEX(科目表!$A$4:$A$81,MATCH($E3018,科目表!$B$4:$B$81,0)),""))</f>
        <v/>
      </c>
      <c r="G3018" s="67" t="str">
        <f aca="false">IF($E3018="","",IFERROR(INDEX(科目表!$E$4:$E$81,MATCH($E3018,科目表!$B$4:$B$81,0)),""))</f>
        <v/>
      </c>
      <c r="H3018" s="114"/>
      <c r="I3018" s="114"/>
      <c r="J3018" s="112"/>
      <c r="K3018" s="112"/>
      <c r="L3018" s="113"/>
      <c r="M3018" s="115"/>
      <c r="N3018" s="113"/>
      <c r="O3018" s="67" t="str">
        <f aca="false">IF($E3018="","","手工")</f>
        <v/>
      </c>
      <c r="P3018" s="113"/>
    </row>
    <row r="3019" customFormat="false" ht="18" hidden="false" customHeight="true" outlineLevel="0" collapsed="false">
      <c r="A3019" s="107" t="str">
        <f aca="false">IF($E3019="","",ROW()-3)</f>
        <v/>
      </c>
      <c r="B3019" s="111"/>
      <c r="C3019" s="112"/>
      <c r="D3019" s="113"/>
      <c r="E3019" s="112"/>
      <c r="F3019" s="99" t="str">
        <f aca="false">IF($E3019="","",IFERROR(INDEX(科目表!$A$4:$A$81,MATCH($E3019,科目表!$B$4:$B$81,0)),""))</f>
        <v/>
      </c>
      <c r="G3019" s="67" t="str">
        <f aca="false">IF($E3019="","",IFERROR(INDEX(科目表!$E$4:$E$81,MATCH($E3019,科目表!$B$4:$B$81,0)),""))</f>
        <v/>
      </c>
      <c r="H3019" s="114"/>
      <c r="I3019" s="114"/>
      <c r="J3019" s="112"/>
      <c r="K3019" s="112"/>
      <c r="L3019" s="113"/>
      <c r="M3019" s="115"/>
      <c r="N3019" s="113"/>
      <c r="O3019" s="67" t="str">
        <f aca="false">IF($E3019="","","手工")</f>
        <v/>
      </c>
      <c r="P3019" s="113"/>
    </row>
    <row r="3020" customFormat="false" ht="18" hidden="false" customHeight="true" outlineLevel="0" collapsed="false">
      <c r="A3020" s="107" t="str">
        <f aca="false">IF($E3020="","",ROW()-3)</f>
        <v/>
      </c>
      <c r="B3020" s="111"/>
      <c r="C3020" s="112"/>
      <c r="D3020" s="113"/>
      <c r="E3020" s="112"/>
      <c r="F3020" s="99" t="str">
        <f aca="false">IF($E3020="","",IFERROR(INDEX(科目表!$A$4:$A$81,MATCH($E3020,科目表!$B$4:$B$81,0)),""))</f>
        <v/>
      </c>
      <c r="G3020" s="67" t="str">
        <f aca="false">IF($E3020="","",IFERROR(INDEX(科目表!$E$4:$E$81,MATCH($E3020,科目表!$B$4:$B$81,0)),""))</f>
        <v/>
      </c>
      <c r="H3020" s="114"/>
      <c r="I3020" s="114"/>
      <c r="J3020" s="112"/>
      <c r="K3020" s="112"/>
      <c r="L3020" s="113"/>
      <c r="M3020" s="115"/>
      <c r="N3020" s="113"/>
      <c r="O3020" s="67" t="str">
        <f aca="false">IF($E3020="","","手工")</f>
        <v/>
      </c>
      <c r="P3020" s="113"/>
    </row>
    <row r="3021" customFormat="false" ht="18" hidden="false" customHeight="true" outlineLevel="0" collapsed="false">
      <c r="A3021" s="107" t="str">
        <f aca="false">IF($E3021="","",ROW()-3)</f>
        <v/>
      </c>
      <c r="B3021" s="111"/>
      <c r="C3021" s="112"/>
      <c r="D3021" s="113"/>
      <c r="E3021" s="112"/>
      <c r="F3021" s="99" t="str">
        <f aca="false">IF($E3021="","",IFERROR(INDEX(科目表!$A$4:$A$81,MATCH($E3021,科目表!$B$4:$B$81,0)),""))</f>
        <v/>
      </c>
      <c r="G3021" s="67" t="str">
        <f aca="false">IF($E3021="","",IFERROR(INDEX(科目表!$E$4:$E$81,MATCH($E3021,科目表!$B$4:$B$81,0)),""))</f>
        <v/>
      </c>
      <c r="H3021" s="114"/>
      <c r="I3021" s="114"/>
      <c r="J3021" s="112"/>
      <c r="K3021" s="112"/>
      <c r="L3021" s="113"/>
      <c r="M3021" s="115"/>
      <c r="N3021" s="113"/>
      <c r="O3021" s="67" t="str">
        <f aca="false">IF($E3021="","","手工")</f>
        <v/>
      </c>
      <c r="P3021" s="113"/>
    </row>
    <row r="3022" customFormat="false" ht="18" hidden="false" customHeight="true" outlineLevel="0" collapsed="false">
      <c r="A3022" s="107" t="str">
        <f aca="false">IF($E3022="","",ROW()-3)</f>
        <v/>
      </c>
      <c r="B3022" s="111"/>
      <c r="C3022" s="112"/>
      <c r="D3022" s="113"/>
      <c r="E3022" s="112"/>
      <c r="F3022" s="99" t="str">
        <f aca="false">IF($E3022="","",IFERROR(INDEX(科目表!$A$4:$A$81,MATCH($E3022,科目表!$B$4:$B$81,0)),""))</f>
        <v/>
      </c>
      <c r="G3022" s="67" t="str">
        <f aca="false">IF($E3022="","",IFERROR(INDEX(科目表!$E$4:$E$81,MATCH($E3022,科目表!$B$4:$B$81,0)),""))</f>
        <v/>
      </c>
      <c r="H3022" s="114"/>
      <c r="I3022" s="114"/>
      <c r="J3022" s="112"/>
      <c r="K3022" s="112"/>
      <c r="L3022" s="113"/>
      <c r="M3022" s="115"/>
      <c r="N3022" s="113"/>
      <c r="O3022" s="67" t="str">
        <f aca="false">IF($E3022="","","手工")</f>
        <v/>
      </c>
      <c r="P3022" s="113"/>
    </row>
    <row r="3023" customFormat="false" ht="18" hidden="false" customHeight="true" outlineLevel="0" collapsed="false">
      <c r="A3023" s="107" t="str">
        <f aca="false">IF($E3023="","",ROW()-3)</f>
        <v/>
      </c>
      <c r="B3023" s="111"/>
      <c r="C3023" s="112"/>
      <c r="D3023" s="113"/>
      <c r="E3023" s="112"/>
      <c r="F3023" s="99" t="str">
        <f aca="false">IF($E3023="","",IFERROR(INDEX(科目表!$A$4:$A$81,MATCH($E3023,科目表!$B$4:$B$81,0)),""))</f>
        <v/>
      </c>
      <c r="G3023" s="67" t="str">
        <f aca="false">IF($E3023="","",IFERROR(INDEX(科目表!$E$4:$E$81,MATCH($E3023,科目表!$B$4:$B$81,0)),""))</f>
        <v/>
      </c>
      <c r="H3023" s="114"/>
      <c r="I3023" s="114"/>
      <c r="J3023" s="112"/>
      <c r="K3023" s="112"/>
      <c r="L3023" s="113"/>
      <c r="M3023" s="115"/>
      <c r="N3023" s="113"/>
      <c r="O3023" s="67" t="str">
        <f aca="false">IF($E3023="","","手工")</f>
        <v/>
      </c>
      <c r="P3023" s="113"/>
    </row>
    <row r="3024" customFormat="false" ht="18" hidden="false" customHeight="true" outlineLevel="0" collapsed="false">
      <c r="A3024" s="107" t="str">
        <f aca="false">IF($E3024="","",ROW()-3)</f>
        <v/>
      </c>
      <c r="B3024" s="111"/>
      <c r="C3024" s="112"/>
      <c r="D3024" s="113"/>
      <c r="E3024" s="112"/>
      <c r="F3024" s="99" t="str">
        <f aca="false">IF($E3024="","",IFERROR(INDEX(科目表!$A$4:$A$81,MATCH($E3024,科目表!$B$4:$B$81,0)),""))</f>
        <v/>
      </c>
      <c r="G3024" s="67" t="str">
        <f aca="false">IF($E3024="","",IFERROR(INDEX(科目表!$E$4:$E$81,MATCH($E3024,科目表!$B$4:$B$81,0)),""))</f>
        <v/>
      </c>
      <c r="H3024" s="114"/>
      <c r="I3024" s="114"/>
      <c r="J3024" s="112"/>
      <c r="K3024" s="112"/>
      <c r="L3024" s="113"/>
      <c r="M3024" s="115"/>
      <c r="N3024" s="113"/>
      <c r="O3024" s="67" t="str">
        <f aca="false">IF($E3024="","","手工")</f>
        <v/>
      </c>
      <c r="P3024" s="113"/>
    </row>
    <row r="3025" customFormat="false" ht="18" hidden="false" customHeight="true" outlineLevel="0" collapsed="false">
      <c r="A3025" s="107" t="str">
        <f aca="false">IF($E3025="","",ROW()-3)</f>
        <v/>
      </c>
      <c r="B3025" s="111"/>
      <c r="C3025" s="112"/>
      <c r="D3025" s="113"/>
      <c r="E3025" s="112"/>
      <c r="F3025" s="99" t="str">
        <f aca="false">IF($E3025="","",IFERROR(INDEX(科目表!$A$4:$A$81,MATCH($E3025,科目表!$B$4:$B$81,0)),""))</f>
        <v/>
      </c>
      <c r="G3025" s="67" t="str">
        <f aca="false">IF($E3025="","",IFERROR(INDEX(科目表!$E$4:$E$81,MATCH($E3025,科目表!$B$4:$B$81,0)),""))</f>
        <v/>
      </c>
      <c r="H3025" s="114"/>
      <c r="I3025" s="114"/>
      <c r="J3025" s="112"/>
      <c r="K3025" s="112"/>
      <c r="L3025" s="113"/>
      <c r="M3025" s="115"/>
      <c r="N3025" s="113"/>
      <c r="O3025" s="67" t="str">
        <f aca="false">IF($E3025="","","手工")</f>
        <v/>
      </c>
      <c r="P3025" s="113"/>
    </row>
    <row r="3026" customFormat="false" ht="18" hidden="false" customHeight="true" outlineLevel="0" collapsed="false">
      <c r="A3026" s="107" t="str">
        <f aca="false">IF($E3026="","",ROW()-3)</f>
        <v/>
      </c>
      <c r="B3026" s="111"/>
      <c r="C3026" s="112"/>
      <c r="D3026" s="113"/>
      <c r="E3026" s="112"/>
      <c r="F3026" s="99" t="str">
        <f aca="false">IF($E3026="","",IFERROR(INDEX(科目表!$A$4:$A$81,MATCH($E3026,科目表!$B$4:$B$81,0)),""))</f>
        <v/>
      </c>
      <c r="G3026" s="67" t="str">
        <f aca="false">IF($E3026="","",IFERROR(INDEX(科目表!$E$4:$E$81,MATCH($E3026,科目表!$B$4:$B$81,0)),""))</f>
        <v/>
      </c>
      <c r="H3026" s="114"/>
      <c r="I3026" s="114"/>
      <c r="J3026" s="112"/>
      <c r="K3026" s="112"/>
      <c r="L3026" s="113"/>
      <c r="M3026" s="115"/>
      <c r="N3026" s="113"/>
      <c r="O3026" s="67" t="str">
        <f aca="false">IF($E3026="","","手工")</f>
        <v/>
      </c>
      <c r="P3026" s="113"/>
    </row>
    <row r="3027" customFormat="false" ht="18" hidden="false" customHeight="true" outlineLevel="0" collapsed="false">
      <c r="A3027" s="107" t="str">
        <f aca="false">IF($E3027="","",ROW()-3)</f>
        <v/>
      </c>
      <c r="B3027" s="111"/>
      <c r="C3027" s="112"/>
      <c r="D3027" s="113"/>
      <c r="E3027" s="112"/>
      <c r="F3027" s="99" t="str">
        <f aca="false">IF($E3027="","",IFERROR(INDEX(科目表!$A$4:$A$81,MATCH($E3027,科目表!$B$4:$B$81,0)),""))</f>
        <v/>
      </c>
      <c r="G3027" s="67" t="str">
        <f aca="false">IF($E3027="","",IFERROR(INDEX(科目表!$E$4:$E$81,MATCH($E3027,科目表!$B$4:$B$81,0)),""))</f>
        <v/>
      </c>
      <c r="H3027" s="114"/>
      <c r="I3027" s="114"/>
      <c r="J3027" s="112"/>
      <c r="K3027" s="112"/>
      <c r="L3027" s="113"/>
      <c r="M3027" s="115"/>
      <c r="N3027" s="113"/>
      <c r="O3027" s="67" t="str">
        <f aca="false">IF($E3027="","","手工")</f>
        <v/>
      </c>
      <c r="P3027" s="113"/>
    </row>
    <row r="3028" customFormat="false" ht="18" hidden="false" customHeight="true" outlineLevel="0" collapsed="false">
      <c r="A3028" s="107" t="str">
        <f aca="false">IF($E3028="","",ROW()-3)</f>
        <v/>
      </c>
      <c r="B3028" s="111"/>
      <c r="C3028" s="112"/>
      <c r="D3028" s="113"/>
      <c r="E3028" s="112"/>
      <c r="F3028" s="99" t="str">
        <f aca="false">IF($E3028="","",IFERROR(INDEX(科目表!$A$4:$A$81,MATCH($E3028,科目表!$B$4:$B$81,0)),""))</f>
        <v/>
      </c>
      <c r="G3028" s="67" t="str">
        <f aca="false">IF($E3028="","",IFERROR(INDEX(科目表!$E$4:$E$81,MATCH($E3028,科目表!$B$4:$B$81,0)),""))</f>
        <v/>
      </c>
      <c r="H3028" s="114"/>
      <c r="I3028" s="114"/>
      <c r="J3028" s="112"/>
      <c r="K3028" s="112"/>
      <c r="L3028" s="113"/>
      <c r="M3028" s="115"/>
      <c r="N3028" s="113"/>
      <c r="O3028" s="67" t="str">
        <f aca="false">IF($E3028="","","手工")</f>
        <v/>
      </c>
      <c r="P3028" s="113"/>
    </row>
    <row r="3029" customFormat="false" ht="18" hidden="false" customHeight="true" outlineLevel="0" collapsed="false">
      <c r="A3029" s="107" t="str">
        <f aca="false">IF($E3029="","",ROW()-3)</f>
        <v/>
      </c>
      <c r="B3029" s="111"/>
      <c r="C3029" s="112"/>
      <c r="D3029" s="113"/>
      <c r="E3029" s="112"/>
      <c r="F3029" s="99" t="str">
        <f aca="false">IF($E3029="","",IFERROR(INDEX(科目表!$A$4:$A$81,MATCH($E3029,科目表!$B$4:$B$81,0)),""))</f>
        <v/>
      </c>
      <c r="G3029" s="67" t="str">
        <f aca="false">IF($E3029="","",IFERROR(INDEX(科目表!$E$4:$E$81,MATCH($E3029,科目表!$B$4:$B$81,0)),""))</f>
        <v/>
      </c>
      <c r="H3029" s="114"/>
      <c r="I3029" s="114"/>
      <c r="J3029" s="112"/>
      <c r="K3029" s="112"/>
      <c r="L3029" s="113"/>
      <c r="M3029" s="115"/>
      <c r="N3029" s="113"/>
      <c r="O3029" s="67" t="str">
        <f aca="false">IF($E3029="","","手工")</f>
        <v/>
      </c>
      <c r="P3029" s="113"/>
    </row>
    <row r="3030" customFormat="false" ht="18" hidden="false" customHeight="true" outlineLevel="0" collapsed="false">
      <c r="A3030" s="107" t="str">
        <f aca="false">IF($E3030="","",ROW()-3)</f>
        <v/>
      </c>
      <c r="B3030" s="111"/>
      <c r="C3030" s="112"/>
      <c r="D3030" s="113"/>
      <c r="E3030" s="112"/>
      <c r="F3030" s="99" t="str">
        <f aca="false">IF($E3030="","",IFERROR(INDEX(科目表!$A$4:$A$81,MATCH($E3030,科目表!$B$4:$B$81,0)),""))</f>
        <v/>
      </c>
      <c r="G3030" s="67" t="str">
        <f aca="false">IF($E3030="","",IFERROR(INDEX(科目表!$E$4:$E$81,MATCH($E3030,科目表!$B$4:$B$81,0)),""))</f>
        <v/>
      </c>
      <c r="H3030" s="114"/>
      <c r="I3030" s="114"/>
      <c r="J3030" s="112"/>
      <c r="K3030" s="112"/>
      <c r="L3030" s="113"/>
      <c r="M3030" s="115"/>
      <c r="N3030" s="113"/>
      <c r="O3030" s="67" t="str">
        <f aca="false">IF($E3030="","","手工")</f>
        <v/>
      </c>
      <c r="P3030" s="113"/>
    </row>
    <row r="3031" customFormat="false" ht="18" hidden="false" customHeight="true" outlineLevel="0" collapsed="false">
      <c r="A3031" s="107" t="str">
        <f aca="false">IF($E3031="","",ROW()-3)</f>
        <v/>
      </c>
      <c r="B3031" s="111"/>
      <c r="C3031" s="112"/>
      <c r="D3031" s="113"/>
      <c r="E3031" s="112"/>
      <c r="F3031" s="99" t="str">
        <f aca="false">IF($E3031="","",IFERROR(INDEX(科目表!$A$4:$A$81,MATCH($E3031,科目表!$B$4:$B$81,0)),""))</f>
        <v/>
      </c>
      <c r="G3031" s="67" t="str">
        <f aca="false">IF($E3031="","",IFERROR(INDEX(科目表!$E$4:$E$81,MATCH($E3031,科目表!$B$4:$B$81,0)),""))</f>
        <v/>
      </c>
      <c r="H3031" s="114"/>
      <c r="I3031" s="114"/>
      <c r="J3031" s="112"/>
      <c r="K3031" s="112"/>
      <c r="L3031" s="113"/>
      <c r="M3031" s="115"/>
      <c r="N3031" s="113"/>
      <c r="O3031" s="67" t="str">
        <f aca="false">IF($E3031="","","手工")</f>
        <v/>
      </c>
      <c r="P3031" s="113"/>
    </row>
    <row r="3032" customFormat="false" ht="18" hidden="false" customHeight="true" outlineLevel="0" collapsed="false">
      <c r="A3032" s="107" t="str">
        <f aca="false">IF($E3032="","",ROW()-3)</f>
        <v/>
      </c>
      <c r="B3032" s="111"/>
      <c r="C3032" s="112"/>
      <c r="D3032" s="113"/>
      <c r="E3032" s="112"/>
      <c r="F3032" s="99" t="str">
        <f aca="false">IF($E3032="","",IFERROR(INDEX(科目表!$A$4:$A$81,MATCH($E3032,科目表!$B$4:$B$81,0)),""))</f>
        <v/>
      </c>
      <c r="G3032" s="67" t="str">
        <f aca="false">IF($E3032="","",IFERROR(INDEX(科目表!$E$4:$E$81,MATCH($E3032,科目表!$B$4:$B$81,0)),""))</f>
        <v/>
      </c>
      <c r="H3032" s="114"/>
      <c r="I3032" s="114"/>
      <c r="J3032" s="112"/>
      <c r="K3032" s="112"/>
      <c r="L3032" s="113"/>
      <c r="M3032" s="115"/>
      <c r="N3032" s="113"/>
      <c r="O3032" s="67" t="str">
        <f aca="false">IF($E3032="","","手工")</f>
        <v/>
      </c>
      <c r="P3032" s="113"/>
    </row>
    <row r="3033" customFormat="false" ht="18" hidden="false" customHeight="true" outlineLevel="0" collapsed="false">
      <c r="A3033" s="107" t="str">
        <f aca="false">IF($E3033="","",ROW()-3)</f>
        <v/>
      </c>
      <c r="B3033" s="111"/>
      <c r="C3033" s="112"/>
      <c r="D3033" s="113"/>
      <c r="E3033" s="112"/>
      <c r="F3033" s="99" t="str">
        <f aca="false">IF($E3033="","",IFERROR(INDEX(科目表!$A$4:$A$81,MATCH($E3033,科目表!$B$4:$B$81,0)),""))</f>
        <v/>
      </c>
      <c r="G3033" s="67" t="str">
        <f aca="false">IF($E3033="","",IFERROR(INDEX(科目表!$E$4:$E$81,MATCH($E3033,科目表!$B$4:$B$81,0)),""))</f>
        <v/>
      </c>
      <c r="H3033" s="114"/>
      <c r="I3033" s="114"/>
      <c r="J3033" s="112"/>
      <c r="K3033" s="112"/>
      <c r="L3033" s="113"/>
      <c r="M3033" s="115"/>
      <c r="N3033" s="113"/>
      <c r="O3033" s="67" t="str">
        <f aca="false">IF($E3033="","","手工")</f>
        <v/>
      </c>
      <c r="P3033" s="113"/>
    </row>
    <row r="3034" customFormat="false" ht="18" hidden="false" customHeight="true" outlineLevel="0" collapsed="false">
      <c r="A3034" s="107" t="str">
        <f aca="false">IF($E3034="","",ROW()-3)</f>
        <v/>
      </c>
      <c r="B3034" s="111"/>
      <c r="C3034" s="112"/>
      <c r="D3034" s="113"/>
      <c r="E3034" s="112"/>
      <c r="F3034" s="99" t="str">
        <f aca="false">IF($E3034="","",IFERROR(INDEX(科目表!$A$4:$A$81,MATCH($E3034,科目表!$B$4:$B$81,0)),""))</f>
        <v/>
      </c>
      <c r="G3034" s="67" t="str">
        <f aca="false">IF($E3034="","",IFERROR(INDEX(科目表!$E$4:$E$81,MATCH($E3034,科目表!$B$4:$B$81,0)),""))</f>
        <v/>
      </c>
      <c r="H3034" s="114"/>
      <c r="I3034" s="114"/>
      <c r="J3034" s="112"/>
      <c r="K3034" s="112"/>
      <c r="L3034" s="113"/>
      <c r="M3034" s="115"/>
      <c r="N3034" s="113"/>
      <c r="O3034" s="67" t="str">
        <f aca="false">IF($E3034="","","手工")</f>
        <v/>
      </c>
      <c r="P3034" s="113"/>
    </row>
    <row r="3035" customFormat="false" ht="18" hidden="false" customHeight="true" outlineLevel="0" collapsed="false">
      <c r="A3035" s="107" t="str">
        <f aca="false">IF($E3035="","",ROW()-3)</f>
        <v/>
      </c>
      <c r="B3035" s="111"/>
      <c r="C3035" s="112"/>
      <c r="D3035" s="113"/>
      <c r="E3035" s="112"/>
      <c r="F3035" s="99" t="str">
        <f aca="false">IF($E3035="","",IFERROR(INDEX(科目表!$A$4:$A$81,MATCH($E3035,科目表!$B$4:$B$81,0)),""))</f>
        <v/>
      </c>
      <c r="G3035" s="67" t="str">
        <f aca="false">IF($E3035="","",IFERROR(INDEX(科目表!$E$4:$E$81,MATCH($E3035,科目表!$B$4:$B$81,0)),""))</f>
        <v/>
      </c>
      <c r="H3035" s="114"/>
      <c r="I3035" s="114"/>
      <c r="J3035" s="112"/>
      <c r="K3035" s="112"/>
      <c r="L3035" s="113"/>
      <c r="M3035" s="115"/>
      <c r="N3035" s="113"/>
      <c r="O3035" s="67" t="str">
        <f aca="false">IF($E3035="","","手工")</f>
        <v/>
      </c>
      <c r="P3035" s="113"/>
    </row>
    <row r="3036" customFormat="false" ht="18" hidden="false" customHeight="true" outlineLevel="0" collapsed="false">
      <c r="A3036" s="107" t="str">
        <f aca="false">IF($E3036="","",ROW()-3)</f>
        <v/>
      </c>
      <c r="B3036" s="111"/>
      <c r="C3036" s="112"/>
      <c r="D3036" s="113"/>
      <c r="E3036" s="112"/>
      <c r="F3036" s="99" t="str">
        <f aca="false">IF($E3036="","",IFERROR(INDEX(科目表!$A$4:$A$81,MATCH($E3036,科目表!$B$4:$B$81,0)),""))</f>
        <v/>
      </c>
      <c r="G3036" s="67" t="str">
        <f aca="false">IF($E3036="","",IFERROR(INDEX(科目表!$E$4:$E$81,MATCH($E3036,科目表!$B$4:$B$81,0)),""))</f>
        <v/>
      </c>
      <c r="H3036" s="114"/>
      <c r="I3036" s="114"/>
      <c r="J3036" s="112"/>
      <c r="K3036" s="112"/>
      <c r="L3036" s="113"/>
      <c r="M3036" s="115"/>
      <c r="N3036" s="113"/>
      <c r="O3036" s="67" t="str">
        <f aca="false">IF($E3036="","","手工")</f>
        <v/>
      </c>
      <c r="P3036" s="113"/>
    </row>
    <row r="3037" customFormat="false" ht="18" hidden="false" customHeight="true" outlineLevel="0" collapsed="false">
      <c r="A3037" s="107" t="str">
        <f aca="false">IF($E3037="","",ROW()-3)</f>
        <v/>
      </c>
      <c r="B3037" s="111"/>
      <c r="C3037" s="112"/>
      <c r="D3037" s="113"/>
      <c r="E3037" s="112"/>
      <c r="F3037" s="99" t="str">
        <f aca="false">IF($E3037="","",IFERROR(INDEX(科目表!$A$4:$A$81,MATCH($E3037,科目表!$B$4:$B$81,0)),""))</f>
        <v/>
      </c>
      <c r="G3037" s="67" t="str">
        <f aca="false">IF($E3037="","",IFERROR(INDEX(科目表!$E$4:$E$81,MATCH($E3037,科目表!$B$4:$B$81,0)),""))</f>
        <v/>
      </c>
      <c r="H3037" s="114"/>
      <c r="I3037" s="114"/>
      <c r="J3037" s="112"/>
      <c r="K3037" s="112"/>
      <c r="L3037" s="113"/>
      <c r="M3037" s="115"/>
      <c r="N3037" s="113"/>
      <c r="O3037" s="67" t="str">
        <f aca="false">IF($E3037="","","手工")</f>
        <v/>
      </c>
      <c r="P3037" s="113"/>
    </row>
    <row r="3038" customFormat="false" ht="18" hidden="false" customHeight="true" outlineLevel="0" collapsed="false">
      <c r="A3038" s="107" t="str">
        <f aca="false">IF($E3038="","",ROW()-3)</f>
        <v/>
      </c>
      <c r="B3038" s="111"/>
      <c r="C3038" s="112"/>
      <c r="D3038" s="113"/>
      <c r="E3038" s="112"/>
      <c r="F3038" s="99" t="str">
        <f aca="false">IF($E3038="","",IFERROR(INDEX(科目表!$A$4:$A$81,MATCH($E3038,科目表!$B$4:$B$81,0)),""))</f>
        <v/>
      </c>
      <c r="G3038" s="67" t="str">
        <f aca="false">IF($E3038="","",IFERROR(INDEX(科目表!$E$4:$E$81,MATCH($E3038,科目表!$B$4:$B$81,0)),""))</f>
        <v/>
      </c>
      <c r="H3038" s="114"/>
      <c r="I3038" s="114"/>
      <c r="J3038" s="112"/>
      <c r="K3038" s="112"/>
      <c r="L3038" s="113"/>
      <c r="M3038" s="115"/>
      <c r="N3038" s="113"/>
      <c r="O3038" s="67" t="str">
        <f aca="false">IF($E3038="","","手工")</f>
        <v/>
      </c>
      <c r="P3038" s="113"/>
    </row>
    <row r="3039" customFormat="false" ht="18" hidden="false" customHeight="true" outlineLevel="0" collapsed="false">
      <c r="A3039" s="107" t="str">
        <f aca="false">IF($E3039="","",ROW()-3)</f>
        <v/>
      </c>
      <c r="B3039" s="111"/>
      <c r="C3039" s="112"/>
      <c r="D3039" s="113"/>
      <c r="E3039" s="112"/>
      <c r="F3039" s="99" t="str">
        <f aca="false">IF($E3039="","",IFERROR(INDEX(科目表!$A$4:$A$81,MATCH($E3039,科目表!$B$4:$B$81,0)),""))</f>
        <v/>
      </c>
      <c r="G3039" s="67" t="str">
        <f aca="false">IF($E3039="","",IFERROR(INDEX(科目表!$E$4:$E$81,MATCH($E3039,科目表!$B$4:$B$81,0)),""))</f>
        <v/>
      </c>
      <c r="H3039" s="114"/>
      <c r="I3039" s="114"/>
      <c r="J3039" s="112"/>
      <c r="K3039" s="112"/>
      <c r="L3039" s="113"/>
      <c r="M3039" s="115"/>
      <c r="N3039" s="113"/>
      <c r="O3039" s="67" t="str">
        <f aca="false">IF($E3039="","","手工")</f>
        <v/>
      </c>
      <c r="P3039" s="113"/>
    </row>
    <row r="3040" customFormat="false" ht="18" hidden="false" customHeight="true" outlineLevel="0" collapsed="false">
      <c r="A3040" s="107" t="str">
        <f aca="false">IF($E3040="","",ROW()-3)</f>
        <v/>
      </c>
      <c r="B3040" s="111"/>
      <c r="C3040" s="112"/>
      <c r="D3040" s="113"/>
      <c r="E3040" s="112"/>
      <c r="F3040" s="99" t="str">
        <f aca="false">IF($E3040="","",IFERROR(INDEX(科目表!$A$4:$A$81,MATCH($E3040,科目表!$B$4:$B$81,0)),""))</f>
        <v/>
      </c>
      <c r="G3040" s="67" t="str">
        <f aca="false">IF($E3040="","",IFERROR(INDEX(科目表!$E$4:$E$81,MATCH($E3040,科目表!$B$4:$B$81,0)),""))</f>
        <v/>
      </c>
      <c r="H3040" s="114"/>
      <c r="I3040" s="114"/>
      <c r="J3040" s="112"/>
      <c r="K3040" s="112"/>
      <c r="L3040" s="113"/>
      <c r="M3040" s="115"/>
      <c r="N3040" s="113"/>
      <c r="O3040" s="67" t="str">
        <f aca="false">IF($E3040="","","手工")</f>
        <v/>
      </c>
      <c r="P3040" s="113"/>
    </row>
    <row r="3041" customFormat="false" ht="18" hidden="false" customHeight="true" outlineLevel="0" collapsed="false">
      <c r="A3041" s="107" t="str">
        <f aca="false">IF($E3041="","",ROW()-3)</f>
        <v/>
      </c>
      <c r="B3041" s="111"/>
      <c r="C3041" s="112"/>
      <c r="D3041" s="113"/>
      <c r="E3041" s="112"/>
      <c r="F3041" s="99" t="str">
        <f aca="false">IF($E3041="","",IFERROR(INDEX(科目表!$A$4:$A$81,MATCH($E3041,科目表!$B$4:$B$81,0)),""))</f>
        <v/>
      </c>
      <c r="G3041" s="67" t="str">
        <f aca="false">IF($E3041="","",IFERROR(INDEX(科目表!$E$4:$E$81,MATCH($E3041,科目表!$B$4:$B$81,0)),""))</f>
        <v/>
      </c>
      <c r="H3041" s="114"/>
      <c r="I3041" s="114"/>
      <c r="J3041" s="112"/>
      <c r="K3041" s="112"/>
      <c r="L3041" s="113"/>
      <c r="M3041" s="115"/>
      <c r="N3041" s="113"/>
      <c r="O3041" s="67" t="str">
        <f aca="false">IF($E3041="","","手工")</f>
        <v/>
      </c>
      <c r="P3041" s="113"/>
    </row>
    <row r="3042" customFormat="false" ht="18" hidden="false" customHeight="true" outlineLevel="0" collapsed="false">
      <c r="A3042" s="107" t="str">
        <f aca="false">IF($E3042="","",ROW()-3)</f>
        <v/>
      </c>
      <c r="B3042" s="111"/>
      <c r="C3042" s="112"/>
      <c r="D3042" s="113"/>
      <c r="E3042" s="112"/>
      <c r="F3042" s="99" t="str">
        <f aca="false">IF($E3042="","",IFERROR(INDEX(科目表!$A$4:$A$81,MATCH($E3042,科目表!$B$4:$B$81,0)),""))</f>
        <v/>
      </c>
      <c r="G3042" s="67" t="str">
        <f aca="false">IF($E3042="","",IFERROR(INDEX(科目表!$E$4:$E$81,MATCH($E3042,科目表!$B$4:$B$81,0)),""))</f>
        <v/>
      </c>
      <c r="H3042" s="114"/>
      <c r="I3042" s="114"/>
      <c r="J3042" s="112"/>
      <c r="K3042" s="112"/>
      <c r="L3042" s="113"/>
      <c r="M3042" s="115"/>
      <c r="N3042" s="113"/>
      <c r="O3042" s="67" t="str">
        <f aca="false">IF($E3042="","","手工")</f>
        <v/>
      </c>
      <c r="P3042" s="113"/>
    </row>
    <row r="3043" customFormat="false" ht="18" hidden="false" customHeight="true" outlineLevel="0" collapsed="false">
      <c r="A3043" s="107" t="str">
        <f aca="false">IF($E3043="","",ROW()-3)</f>
        <v/>
      </c>
      <c r="B3043" s="111"/>
      <c r="C3043" s="112"/>
      <c r="D3043" s="113"/>
      <c r="E3043" s="112"/>
      <c r="F3043" s="99" t="str">
        <f aca="false">IF($E3043="","",IFERROR(INDEX(科目表!$A$4:$A$81,MATCH($E3043,科目表!$B$4:$B$81,0)),""))</f>
        <v/>
      </c>
      <c r="G3043" s="67" t="str">
        <f aca="false">IF($E3043="","",IFERROR(INDEX(科目表!$E$4:$E$81,MATCH($E3043,科目表!$B$4:$B$81,0)),""))</f>
        <v/>
      </c>
      <c r="H3043" s="114"/>
      <c r="I3043" s="114"/>
      <c r="J3043" s="112"/>
      <c r="K3043" s="112"/>
      <c r="L3043" s="113"/>
      <c r="M3043" s="115"/>
      <c r="N3043" s="113"/>
      <c r="O3043" s="67" t="str">
        <f aca="false">IF($E3043="","","手工")</f>
        <v/>
      </c>
      <c r="P3043" s="113"/>
    </row>
    <row r="3044" customFormat="false" ht="18" hidden="false" customHeight="true" outlineLevel="0" collapsed="false">
      <c r="A3044" s="107" t="str">
        <f aca="false">IF($E3044="","",ROW()-3)</f>
        <v/>
      </c>
      <c r="B3044" s="111"/>
      <c r="C3044" s="112"/>
      <c r="D3044" s="113"/>
      <c r="E3044" s="112"/>
      <c r="F3044" s="99" t="str">
        <f aca="false">IF($E3044="","",IFERROR(INDEX(科目表!$A$4:$A$81,MATCH($E3044,科目表!$B$4:$B$81,0)),""))</f>
        <v/>
      </c>
      <c r="G3044" s="67" t="str">
        <f aca="false">IF($E3044="","",IFERROR(INDEX(科目表!$E$4:$E$81,MATCH($E3044,科目表!$B$4:$B$81,0)),""))</f>
        <v/>
      </c>
      <c r="H3044" s="114"/>
      <c r="I3044" s="114"/>
      <c r="J3044" s="112"/>
      <c r="K3044" s="112"/>
      <c r="L3044" s="113"/>
      <c r="M3044" s="115"/>
      <c r="N3044" s="113"/>
      <c r="O3044" s="67" t="str">
        <f aca="false">IF($E3044="","","手工")</f>
        <v/>
      </c>
      <c r="P3044" s="113"/>
    </row>
    <row r="3045" customFormat="false" ht="18" hidden="false" customHeight="true" outlineLevel="0" collapsed="false">
      <c r="A3045" s="107" t="str">
        <f aca="false">IF($E3045="","",ROW()-3)</f>
        <v/>
      </c>
      <c r="B3045" s="111"/>
      <c r="C3045" s="112"/>
      <c r="D3045" s="113"/>
      <c r="E3045" s="112"/>
      <c r="F3045" s="99" t="str">
        <f aca="false">IF($E3045="","",IFERROR(INDEX(科目表!$A$4:$A$81,MATCH($E3045,科目表!$B$4:$B$81,0)),""))</f>
        <v/>
      </c>
      <c r="G3045" s="67" t="str">
        <f aca="false">IF($E3045="","",IFERROR(INDEX(科目表!$E$4:$E$81,MATCH($E3045,科目表!$B$4:$B$81,0)),""))</f>
        <v/>
      </c>
      <c r="H3045" s="114"/>
      <c r="I3045" s="114"/>
      <c r="J3045" s="112"/>
      <c r="K3045" s="112"/>
      <c r="L3045" s="113"/>
      <c r="M3045" s="115"/>
      <c r="N3045" s="113"/>
      <c r="O3045" s="67" t="str">
        <f aca="false">IF($E3045="","","手工")</f>
        <v/>
      </c>
      <c r="P3045" s="113"/>
    </row>
    <row r="3046" customFormat="false" ht="18" hidden="false" customHeight="true" outlineLevel="0" collapsed="false">
      <c r="A3046" s="107" t="str">
        <f aca="false">IF($E3046="","",ROW()-3)</f>
        <v/>
      </c>
      <c r="B3046" s="111"/>
      <c r="C3046" s="112"/>
      <c r="D3046" s="113"/>
      <c r="E3046" s="112"/>
      <c r="F3046" s="99" t="str">
        <f aca="false">IF($E3046="","",IFERROR(INDEX(科目表!$A$4:$A$81,MATCH($E3046,科目表!$B$4:$B$81,0)),""))</f>
        <v/>
      </c>
      <c r="G3046" s="67" t="str">
        <f aca="false">IF($E3046="","",IFERROR(INDEX(科目表!$E$4:$E$81,MATCH($E3046,科目表!$B$4:$B$81,0)),""))</f>
        <v/>
      </c>
      <c r="H3046" s="114"/>
      <c r="I3046" s="114"/>
      <c r="J3046" s="112"/>
      <c r="K3046" s="112"/>
      <c r="L3046" s="113"/>
      <c r="M3046" s="115"/>
      <c r="N3046" s="113"/>
      <c r="O3046" s="67" t="str">
        <f aca="false">IF($E3046="","","手工")</f>
        <v/>
      </c>
      <c r="P3046" s="113"/>
    </row>
    <row r="3047" customFormat="false" ht="18" hidden="false" customHeight="true" outlineLevel="0" collapsed="false">
      <c r="A3047" s="107" t="str">
        <f aca="false">IF($E3047="","",ROW()-3)</f>
        <v/>
      </c>
      <c r="B3047" s="111"/>
      <c r="C3047" s="112"/>
      <c r="D3047" s="113"/>
      <c r="E3047" s="112"/>
      <c r="F3047" s="99" t="str">
        <f aca="false">IF($E3047="","",IFERROR(INDEX(科目表!$A$4:$A$81,MATCH($E3047,科目表!$B$4:$B$81,0)),""))</f>
        <v/>
      </c>
      <c r="G3047" s="67" t="str">
        <f aca="false">IF($E3047="","",IFERROR(INDEX(科目表!$E$4:$E$81,MATCH($E3047,科目表!$B$4:$B$81,0)),""))</f>
        <v/>
      </c>
      <c r="H3047" s="114"/>
      <c r="I3047" s="114"/>
      <c r="J3047" s="112"/>
      <c r="K3047" s="112"/>
      <c r="L3047" s="113"/>
      <c r="M3047" s="115"/>
      <c r="N3047" s="113"/>
      <c r="O3047" s="67" t="str">
        <f aca="false">IF($E3047="","","手工")</f>
        <v/>
      </c>
      <c r="P3047" s="113"/>
    </row>
    <row r="3048" customFormat="false" ht="18" hidden="false" customHeight="true" outlineLevel="0" collapsed="false">
      <c r="A3048" s="107" t="str">
        <f aca="false">IF($E3048="","",ROW()-3)</f>
        <v/>
      </c>
      <c r="B3048" s="111"/>
      <c r="C3048" s="112"/>
      <c r="D3048" s="113"/>
      <c r="E3048" s="112"/>
      <c r="F3048" s="99" t="str">
        <f aca="false">IF($E3048="","",IFERROR(INDEX(科目表!$A$4:$A$81,MATCH($E3048,科目表!$B$4:$B$81,0)),""))</f>
        <v/>
      </c>
      <c r="G3048" s="67" t="str">
        <f aca="false">IF($E3048="","",IFERROR(INDEX(科目表!$E$4:$E$81,MATCH($E3048,科目表!$B$4:$B$81,0)),""))</f>
        <v/>
      </c>
      <c r="H3048" s="114"/>
      <c r="I3048" s="114"/>
      <c r="J3048" s="112"/>
      <c r="K3048" s="112"/>
      <c r="L3048" s="113"/>
      <c r="M3048" s="115"/>
      <c r="N3048" s="113"/>
      <c r="O3048" s="67" t="str">
        <f aca="false">IF($E3048="","","手工")</f>
        <v/>
      </c>
      <c r="P3048" s="113"/>
    </row>
    <row r="3049" customFormat="false" ht="18" hidden="false" customHeight="true" outlineLevel="0" collapsed="false">
      <c r="A3049" s="107" t="str">
        <f aca="false">IF($E3049="","",ROW()-3)</f>
        <v/>
      </c>
      <c r="B3049" s="111"/>
      <c r="C3049" s="112"/>
      <c r="D3049" s="113"/>
      <c r="E3049" s="112"/>
      <c r="F3049" s="99" t="str">
        <f aca="false">IF($E3049="","",IFERROR(INDEX(科目表!$A$4:$A$81,MATCH($E3049,科目表!$B$4:$B$81,0)),""))</f>
        <v/>
      </c>
      <c r="G3049" s="67" t="str">
        <f aca="false">IF($E3049="","",IFERROR(INDEX(科目表!$E$4:$E$81,MATCH($E3049,科目表!$B$4:$B$81,0)),""))</f>
        <v/>
      </c>
      <c r="H3049" s="114"/>
      <c r="I3049" s="114"/>
      <c r="J3049" s="112"/>
      <c r="K3049" s="112"/>
      <c r="L3049" s="113"/>
      <c r="M3049" s="115"/>
      <c r="N3049" s="113"/>
      <c r="O3049" s="67" t="str">
        <f aca="false">IF($E3049="","","手工")</f>
        <v/>
      </c>
      <c r="P3049" s="113"/>
    </row>
    <row r="3050" customFormat="false" ht="18" hidden="false" customHeight="true" outlineLevel="0" collapsed="false">
      <c r="A3050" s="107" t="str">
        <f aca="false">IF($E3050="","",ROW()-3)</f>
        <v/>
      </c>
      <c r="B3050" s="111"/>
      <c r="C3050" s="112"/>
      <c r="D3050" s="113"/>
      <c r="E3050" s="112"/>
      <c r="F3050" s="99" t="str">
        <f aca="false">IF($E3050="","",IFERROR(INDEX(科目表!$A$4:$A$81,MATCH($E3050,科目表!$B$4:$B$81,0)),""))</f>
        <v/>
      </c>
      <c r="G3050" s="67" t="str">
        <f aca="false">IF($E3050="","",IFERROR(INDEX(科目表!$E$4:$E$81,MATCH($E3050,科目表!$B$4:$B$81,0)),""))</f>
        <v/>
      </c>
      <c r="H3050" s="114"/>
      <c r="I3050" s="114"/>
      <c r="J3050" s="112"/>
      <c r="K3050" s="112"/>
      <c r="L3050" s="113"/>
      <c r="M3050" s="115"/>
      <c r="N3050" s="113"/>
      <c r="O3050" s="67" t="str">
        <f aca="false">IF($E3050="","","手工")</f>
        <v/>
      </c>
      <c r="P3050" s="113"/>
    </row>
    <row r="3051" customFormat="false" ht="18" hidden="false" customHeight="true" outlineLevel="0" collapsed="false">
      <c r="A3051" s="107" t="str">
        <f aca="false">IF($E3051="","",ROW()-3)</f>
        <v/>
      </c>
      <c r="B3051" s="111"/>
      <c r="C3051" s="112"/>
      <c r="D3051" s="113"/>
      <c r="E3051" s="112"/>
      <c r="F3051" s="99" t="str">
        <f aca="false">IF($E3051="","",IFERROR(INDEX(科目表!$A$4:$A$81,MATCH($E3051,科目表!$B$4:$B$81,0)),""))</f>
        <v/>
      </c>
      <c r="G3051" s="67" t="str">
        <f aca="false">IF($E3051="","",IFERROR(INDEX(科目表!$E$4:$E$81,MATCH($E3051,科目表!$B$4:$B$81,0)),""))</f>
        <v/>
      </c>
      <c r="H3051" s="114"/>
      <c r="I3051" s="114"/>
      <c r="J3051" s="112"/>
      <c r="K3051" s="112"/>
      <c r="L3051" s="113"/>
      <c r="M3051" s="115"/>
      <c r="N3051" s="113"/>
      <c r="O3051" s="67" t="str">
        <f aca="false">IF($E3051="","","手工")</f>
        <v/>
      </c>
      <c r="P3051" s="113"/>
    </row>
    <row r="3052" customFormat="false" ht="18" hidden="false" customHeight="true" outlineLevel="0" collapsed="false">
      <c r="A3052" s="107" t="str">
        <f aca="false">IF($E3052="","",ROW()-3)</f>
        <v/>
      </c>
      <c r="B3052" s="111"/>
      <c r="C3052" s="112"/>
      <c r="D3052" s="113"/>
      <c r="E3052" s="112"/>
      <c r="F3052" s="99" t="str">
        <f aca="false">IF($E3052="","",IFERROR(INDEX(科目表!$A$4:$A$81,MATCH($E3052,科目表!$B$4:$B$81,0)),""))</f>
        <v/>
      </c>
      <c r="G3052" s="67" t="str">
        <f aca="false">IF($E3052="","",IFERROR(INDEX(科目表!$E$4:$E$81,MATCH($E3052,科目表!$B$4:$B$81,0)),""))</f>
        <v/>
      </c>
      <c r="H3052" s="114"/>
      <c r="I3052" s="114"/>
      <c r="J3052" s="112"/>
      <c r="K3052" s="112"/>
      <c r="L3052" s="113"/>
      <c r="M3052" s="115"/>
      <c r="N3052" s="113"/>
      <c r="O3052" s="67" t="str">
        <f aca="false">IF($E3052="","","手工")</f>
        <v/>
      </c>
      <c r="P3052" s="113"/>
    </row>
    <row r="3053" customFormat="false" ht="18" hidden="false" customHeight="true" outlineLevel="0" collapsed="false">
      <c r="A3053" s="107" t="str">
        <f aca="false">IF($E3053="","",ROW()-3)</f>
        <v/>
      </c>
      <c r="B3053" s="111"/>
      <c r="C3053" s="112"/>
      <c r="D3053" s="113"/>
      <c r="E3053" s="112"/>
      <c r="F3053" s="99" t="str">
        <f aca="false">IF($E3053="","",IFERROR(INDEX(科目表!$A$4:$A$81,MATCH($E3053,科目表!$B$4:$B$81,0)),""))</f>
        <v/>
      </c>
      <c r="G3053" s="67" t="str">
        <f aca="false">IF($E3053="","",IFERROR(INDEX(科目表!$E$4:$E$81,MATCH($E3053,科目表!$B$4:$B$81,0)),""))</f>
        <v/>
      </c>
      <c r="H3053" s="114"/>
      <c r="I3053" s="114"/>
      <c r="J3053" s="112"/>
      <c r="K3053" s="112"/>
      <c r="L3053" s="113"/>
      <c r="M3053" s="115"/>
      <c r="N3053" s="113"/>
      <c r="O3053" s="67" t="str">
        <f aca="false">IF($E3053="","","手工")</f>
        <v/>
      </c>
      <c r="P3053" s="113"/>
    </row>
    <row r="3054" customFormat="false" ht="18" hidden="false" customHeight="true" outlineLevel="0" collapsed="false">
      <c r="A3054" s="107" t="str">
        <f aca="false">IF($E3054="","",ROW()-3)</f>
        <v/>
      </c>
      <c r="B3054" s="111"/>
      <c r="C3054" s="112"/>
      <c r="D3054" s="113"/>
      <c r="E3054" s="112"/>
      <c r="F3054" s="99" t="str">
        <f aca="false">IF($E3054="","",IFERROR(INDEX(科目表!$A$4:$A$81,MATCH($E3054,科目表!$B$4:$B$81,0)),""))</f>
        <v/>
      </c>
      <c r="G3054" s="67" t="str">
        <f aca="false">IF($E3054="","",IFERROR(INDEX(科目表!$E$4:$E$81,MATCH($E3054,科目表!$B$4:$B$81,0)),""))</f>
        <v/>
      </c>
      <c r="H3054" s="114"/>
      <c r="I3054" s="114"/>
      <c r="J3054" s="112"/>
      <c r="K3054" s="112"/>
      <c r="L3054" s="113"/>
      <c r="M3054" s="115"/>
      <c r="N3054" s="113"/>
      <c r="O3054" s="67" t="str">
        <f aca="false">IF($E3054="","","手工")</f>
        <v/>
      </c>
      <c r="P3054" s="113"/>
    </row>
    <row r="3055" customFormat="false" ht="18" hidden="false" customHeight="true" outlineLevel="0" collapsed="false">
      <c r="A3055" s="107" t="str">
        <f aca="false">IF($E3055="","",ROW()-3)</f>
        <v/>
      </c>
      <c r="B3055" s="111"/>
      <c r="C3055" s="112"/>
      <c r="D3055" s="113"/>
      <c r="E3055" s="112"/>
      <c r="F3055" s="99" t="str">
        <f aca="false">IF($E3055="","",IFERROR(INDEX(科目表!$A$4:$A$81,MATCH($E3055,科目表!$B$4:$B$81,0)),""))</f>
        <v/>
      </c>
      <c r="G3055" s="67" t="str">
        <f aca="false">IF($E3055="","",IFERROR(INDEX(科目表!$E$4:$E$81,MATCH($E3055,科目表!$B$4:$B$81,0)),""))</f>
        <v/>
      </c>
      <c r="H3055" s="114"/>
      <c r="I3055" s="114"/>
      <c r="J3055" s="112"/>
      <c r="K3055" s="112"/>
      <c r="L3055" s="113"/>
      <c r="M3055" s="115"/>
      <c r="N3055" s="113"/>
      <c r="O3055" s="67" t="str">
        <f aca="false">IF($E3055="","","手工")</f>
        <v/>
      </c>
      <c r="P3055" s="113"/>
    </row>
    <row r="3056" customFormat="false" ht="18" hidden="false" customHeight="true" outlineLevel="0" collapsed="false">
      <c r="A3056" s="107" t="str">
        <f aca="false">IF($E3056="","",ROW()-3)</f>
        <v/>
      </c>
      <c r="B3056" s="111"/>
      <c r="C3056" s="112"/>
      <c r="D3056" s="113"/>
      <c r="E3056" s="112"/>
      <c r="F3056" s="99" t="str">
        <f aca="false">IF($E3056="","",IFERROR(INDEX(科目表!$A$4:$A$81,MATCH($E3056,科目表!$B$4:$B$81,0)),""))</f>
        <v/>
      </c>
      <c r="G3056" s="67" t="str">
        <f aca="false">IF($E3056="","",IFERROR(INDEX(科目表!$E$4:$E$81,MATCH($E3056,科目表!$B$4:$B$81,0)),""))</f>
        <v/>
      </c>
      <c r="H3056" s="114"/>
      <c r="I3056" s="114"/>
      <c r="J3056" s="112"/>
      <c r="K3056" s="112"/>
      <c r="L3056" s="113"/>
      <c r="M3056" s="115"/>
      <c r="N3056" s="113"/>
      <c r="O3056" s="67" t="str">
        <f aca="false">IF($E3056="","","手工")</f>
        <v/>
      </c>
      <c r="P3056" s="113"/>
    </row>
    <row r="3057" customFormat="false" ht="18" hidden="false" customHeight="true" outlineLevel="0" collapsed="false">
      <c r="A3057" s="107" t="str">
        <f aca="false">IF($E3057="","",ROW()-3)</f>
        <v/>
      </c>
      <c r="B3057" s="111"/>
      <c r="C3057" s="112"/>
      <c r="D3057" s="113"/>
      <c r="E3057" s="112"/>
      <c r="F3057" s="99" t="str">
        <f aca="false">IF($E3057="","",IFERROR(INDEX(科目表!$A$4:$A$81,MATCH($E3057,科目表!$B$4:$B$81,0)),""))</f>
        <v/>
      </c>
      <c r="G3057" s="67" t="str">
        <f aca="false">IF($E3057="","",IFERROR(INDEX(科目表!$E$4:$E$81,MATCH($E3057,科目表!$B$4:$B$81,0)),""))</f>
        <v/>
      </c>
      <c r="H3057" s="114"/>
      <c r="I3057" s="114"/>
      <c r="J3057" s="112"/>
      <c r="K3057" s="112"/>
      <c r="L3057" s="113"/>
      <c r="M3057" s="115"/>
      <c r="N3057" s="113"/>
      <c r="O3057" s="67" t="str">
        <f aca="false">IF($E3057="","","手工")</f>
        <v/>
      </c>
      <c r="P3057" s="113"/>
    </row>
    <row r="3058" customFormat="false" ht="18" hidden="false" customHeight="true" outlineLevel="0" collapsed="false">
      <c r="A3058" s="107" t="str">
        <f aca="false">IF($E3058="","",ROW()-3)</f>
        <v/>
      </c>
      <c r="B3058" s="111"/>
      <c r="C3058" s="112"/>
      <c r="D3058" s="113"/>
      <c r="E3058" s="112"/>
      <c r="F3058" s="99" t="str">
        <f aca="false">IF($E3058="","",IFERROR(INDEX(科目表!$A$4:$A$81,MATCH($E3058,科目表!$B$4:$B$81,0)),""))</f>
        <v/>
      </c>
      <c r="G3058" s="67" t="str">
        <f aca="false">IF($E3058="","",IFERROR(INDEX(科目表!$E$4:$E$81,MATCH($E3058,科目表!$B$4:$B$81,0)),""))</f>
        <v/>
      </c>
      <c r="H3058" s="114"/>
      <c r="I3058" s="114"/>
      <c r="J3058" s="112"/>
      <c r="K3058" s="112"/>
      <c r="L3058" s="113"/>
      <c r="M3058" s="115"/>
      <c r="N3058" s="113"/>
      <c r="O3058" s="67" t="str">
        <f aca="false">IF($E3058="","","手工")</f>
        <v/>
      </c>
      <c r="P3058" s="113"/>
    </row>
    <row r="3059" customFormat="false" ht="18" hidden="false" customHeight="true" outlineLevel="0" collapsed="false">
      <c r="A3059" s="107" t="str">
        <f aca="false">IF($E3059="","",ROW()-3)</f>
        <v/>
      </c>
      <c r="B3059" s="111"/>
      <c r="C3059" s="112"/>
      <c r="D3059" s="113"/>
      <c r="E3059" s="112"/>
      <c r="F3059" s="99" t="str">
        <f aca="false">IF($E3059="","",IFERROR(INDEX(科目表!$A$4:$A$81,MATCH($E3059,科目表!$B$4:$B$81,0)),""))</f>
        <v/>
      </c>
      <c r="G3059" s="67" t="str">
        <f aca="false">IF($E3059="","",IFERROR(INDEX(科目表!$E$4:$E$81,MATCH($E3059,科目表!$B$4:$B$81,0)),""))</f>
        <v/>
      </c>
      <c r="H3059" s="114"/>
      <c r="I3059" s="114"/>
      <c r="J3059" s="112"/>
      <c r="K3059" s="112"/>
      <c r="L3059" s="113"/>
      <c r="M3059" s="115"/>
      <c r="N3059" s="113"/>
      <c r="O3059" s="67" t="str">
        <f aca="false">IF($E3059="","","手工")</f>
        <v/>
      </c>
      <c r="P3059" s="113"/>
    </row>
    <row r="3060" customFormat="false" ht="18" hidden="false" customHeight="true" outlineLevel="0" collapsed="false">
      <c r="A3060" s="107" t="str">
        <f aca="false">IF($E3060="","",ROW()-3)</f>
        <v/>
      </c>
      <c r="B3060" s="111"/>
      <c r="C3060" s="112"/>
      <c r="D3060" s="113"/>
      <c r="E3060" s="112"/>
      <c r="F3060" s="99" t="str">
        <f aca="false">IF($E3060="","",IFERROR(INDEX(科目表!$A$4:$A$81,MATCH($E3060,科目表!$B$4:$B$81,0)),""))</f>
        <v/>
      </c>
      <c r="G3060" s="67" t="str">
        <f aca="false">IF($E3060="","",IFERROR(INDEX(科目表!$E$4:$E$81,MATCH($E3060,科目表!$B$4:$B$81,0)),""))</f>
        <v/>
      </c>
      <c r="H3060" s="114"/>
      <c r="I3060" s="114"/>
      <c r="J3060" s="112"/>
      <c r="K3060" s="112"/>
      <c r="L3060" s="113"/>
      <c r="M3060" s="115"/>
      <c r="N3060" s="113"/>
      <c r="O3060" s="67" t="str">
        <f aca="false">IF($E3060="","","手工")</f>
        <v/>
      </c>
      <c r="P3060" s="113"/>
    </row>
    <row r="3061" customFormat="false" ht="18" hidden="false" customHeight="true" outlineLevel="0" collapsed="false">
      <c r="A3061" s="107" t="str">
        <f aca="false">IF($E3061="","",ROW()-3)</f>
        <v/>
      </c>
      <c r="B3061" s="111"/>
      <c r="C3061" s="112"/>
      <c r="D3061" s="113"/>
      <c r="E3061" s="112"/>
      <c r="F3061" s="99" t="str">
        <f aca="false">IF($E3061="","",IFERROR(INDEX(科目表!$A$4:$A$81,MATCH($E3061,科目表!$B$4:$B$81,0)),""))</f>
        <v/>
      </c>
      <c r="G3061" s="67" t="str">
        <f aca="false">IF($E3061="","",IFERROR(INDEX(科目表!$E$4:$E$81,MATCH($E3061,科目表!$B$4:$B$81,0)),""))</f>
        <v/>
      </c>
      <c r="H3061" s="114"/>
      <c r="I3061" s="114"/>
      <c r="J3061" s="112"/>
      <c r="K3061" s="112"/>
      <c r="L3061" s="113"/>
      <c r="M3061" s="115"/>
      <c r="N3061" s="113"/>
      <c r="O3061" s="67" t="str">
        <f aca="false">IF($E3061="","","手工")</f>
        <v/>
      </c>
      <c r="P3061" s="113"/>
    </row>
    <row r="3062" customFormat="false" ht="18" hidden="false" customHeight="true" outlineLevel="0" collapsed="false">
      <c r="A3062" s="107" t="str">
        <f aca="false">IF($E3062="","",ROW()-3)</f>
        <v/>
      </c>
      <c r="B3062" s="111"/>
      <c r="C3062" s="112"/>
      <c r="D3062" s="113"/>
      <c r="E3062" s="112"/>
      <c r="F3062" s="99" t="str">
        <f aca="false">IF($E3062="","",IFERROR(INDEX(科目表!$A$4:$A$81,MATCH($E3062,科目表!$B$4:$B$81,0)),""))</f>
        <v/>
      </c>
      <c r="G3062" s="67" t="str">
        <f aca="false">IF($E3062="","",IFERROR(INDEX(科目表!$E$4:$E$81,MATCH($E3062,科目表!$B$4:$B$81,0)),""))</f>
        <v/>
      </c>
      <c r="H3062" s="114"/>
      <c r="I3062" s="114"/>
      <c r="J3062" s="112"/>
      <c r="K3062" s="112"/>
      <c r="L3062" s="113"/>
      <c r="M3062" s="115"/>
      <c r="N3062" s="113"/>
      <c r="O3062" s="67" t="str">
        <f aca="false">IF($E3062="","","手工")</f>
        <v/>
      </c>
      <c r="P3062" s="113"/>
    </row>
    <row r="3063" customFormat="false" ht="18" hidden="false" customHeight="true" outlineLevel="0" collapsed="false">
      <c r="A3063" s="107" t="str">
        <f aca="false">IF($E3063="","",ROW()-3)</f>
        <v/>
      </c>
      <c r="B3063" s="111"/>
      <c r="C3063" s="112"/>
      <c r="D3063" s="113"/>
      <c r="E3063" s="112"/>
      <c r="F3063" s="99" t="str">
        <f aca="false">IF($E3063="","",IFERROR(INDEX(科目表!$A$4:$A$81,MATCH($E3063,科目表!$B$4:$B$81,0)),""))</f>
        <v/>
      </c>
      <c r="G3063" s="67" t="str">
        <f aca="false">IF($E3063="","",IFERROR(INDEX(科目表!$E$4:$E$81,MATCH($E3063,科目表!$B$4:$B$81,0)),""))</f>
        <v/>
      </c>
      <c r="H3063" s="114"/>
      <c r="I3063" s="114"/>
      <c r="J3063" s="112"/>
      <c r="K3063" s="112"/>
      <c r="L3063" s="113"/>
      <c r="M3063" s="115"/>
      <c r="N3063" s="113"/>
      <c r="O3063" s="67" t="str">
        <f aca="false">IF($E3063="","","手工")</f>
        <v/>
      </c>
      <c r="P3063" s="113"/>
    </row>
    <row r="3064" customFormat="false" ht="18" hidden="false" customHeight="true" outlineLevel="0" collapsed="false">
      <c r="A3064" s="107" t="str">
        <f aca="false">IF($E3064="","",ROW()-3)</f>
        <v/>
      </c>
      <c r="B3064" s="111"/>
      <c r="C3064" s="112"/>
      <c r="D3064" s="113"/>
      <c r="E3064" s="112"/>
      <c r="F3064" s="99" t="str">
        <f aca="false">IF($E3064="","",IFERROR(INDEX(科目表!$A$4:$A$81,MATCH($E3064,科目表!$B$4:$B$81,0)),""))</f>
        <v/>
      </c>
      <c r="G3064" s="67" t="str">
        <f aca="false">IF($E3064="","",IFERROR(INDEX(科目表!$E$4:$E$81,MATCH($E3064,科目表!$B$4:$B$81,0)),""))</f>
        <v/>
      </c>
      <c r="H3064" s="114"/>
      <c r="I3064" s="114"/>
      <c r="J3064" s="112"/>
      <c r="K3064" s="112"/>
      <c r="L3064" s="113"/>
      <c r="M3064" s="115"/>
      <c r="N3064" s="113"/>
      <c r="O3064" s="67" t="str">
        <f aca="false">IF($E3064="","","手工")</f>
        <v/>
      </c>
      <c r="P3064" s="113"/>
    </row>
    <row r="3065" customFormat="false" ht="18" hidden="false" customHeight="true" outlineLevel="0" collapsed="false">
      <c r="A3065" s="107" t="str">
        <f aca="false">IF($E3065="","",ROW()-3)</f>
        <v/>
      </c>
      <c r="B3065" s="111"/>
      <c r="C3065" s="112"/>
      <c r="D3065" s="113"/>
      <c r="E3065" s="112"/>
      <c r="F3065" s="99" t="str">
        <f aca="false">IF($E3065="","",IFERROR(INDEX(科目表!$A$4:$A$81,MATCH($E3065,科目表!$B$4:$B$81,0)),""))</f>
        <v/>
      </c>
      <c r="G3065" s="67" t="str">
        <f aca="false">IF($E3065="","",IFERROR(INDEX(科目表!$E$4:$E$81,MATCH($E3065,科目表!$B$4:$B$81,0)),""))</f>
        <v/>
      </c>
      <c r="H3065" s="114"/>
      <c r="I3065" s="114"/>
      <c r="J3065" s="112"/>
      <c r="K3065" s="112"/>
      <c r="L3065" s="113"/>
      <c r="M3065" s="115"/>
      <c r="N3065" s="113"/>
      <c r="O3065" s="67" t="str">
        <f aca="false">IF($E3065="","","手工")</f>
        <v/>
      </c>
      <c r="P3065" s="113"/>
    </row>
    <row r="3066" customFormat="false" ht="18" hidden="false" customHeight="true" outlineLevel="0" collapsed="false">
      <c r="A3066" s="107" t="str">
        <f aca="false">IF($E3066="","",ROW()-3)</f>
        <v/>
      </c>
      <c r="B3066" s="111"/>
      <c r="C3066" s="112"/>
      <c r="D3066" s="113"/>
      <c r="E3066" s="112"/>
      <c r="F3066" s="99" t="str">
        <f aca="false">IF($E3066="","",IFERROR(INDEX(科目表!$A$4:$A$81,MATCH($E3066,科目表!$B$4:$B$81,0)),""))</f>
        <v/>
      </c>
      <c r="G3066" s="67" t="str">
        <f aca="false">IF($E3066="","",IFERROR(INDEX(科目表!$E$4:$E$81,MATCH($E3066,科目表!$B$4:$B$81,0)),""))</f>
        <v/>
      </c>
      <c r="H3066" s="114"/>
      <c r="I3066" s="114"/>
      <c r="J3066" s="112"/>
      <c r="K3066" s="112"/>
      <c r="L3066" s="113"/>
      <c r="M3066" s="115"/>
      <c r="N3066" s="113"/>
      <c r="O3066" s="67" t="str">
        <f aca="false">IF($E3066="","","手工")</f>
        <v/>
      </c>
      <c r="P3066" s="113"/>
    </row>
    <row r="3067" customFormat="false" ht="18" hidden="false" customHeight="true" outlineLevel="0" collapsed="false">
      <c r="A3067" s="107" t="str">
        <f aca="false">IF($E3067="","",ROW()-3)</f>
        <v/>
      </c>
      <c r="B3067" s="111"/>
      <c r="C3067" s="112"/>
      <c r="D3067" s="113"/>
      <c r="E3067" s="112"/>
      <c r="F3067" s="99" t="str">
        <f aca="false">IF($E3067="","",IFERROR(INDEX(科目表!$A$4:$A$81,MATCH($E3067,科目表!$B$4:$B$81,0)),""))</f>
        <v/>
      </c>
      <c r="G3067" s="67" t="str">
        <f aca="false">IF($E3067="","",IFERROR(INDEX(科目表!$E$4:$E$81,MATCH($E3067,科目表!$B$4:$B$81,0)),""))</f>
        <v/>
      </c>
      <c r="H3067" s="114"/>
      <c r="I3067" s="114"/>
      <c r="J3067" s="112"/>
      <c r="K3067" s="112"/>
      <c r="L3067" s="113"/>
      <c r="M3067" s="115"/>
      <c r="N3067" s="113"/>
      <c r="O3067" s="67" t="str">
        <f aca="false">IF($E3067="","","手工")</f>
        <v/>
      </c>
      <c r="P3067" s="113"/>
    </row>
    <row r="3068" customFormat="false" ht="18" hidden="false" customHeight="true" outlineLevel="0" collapsed="false">
      <c r="A3068" s="107" t="str">
        <f aca="false">IF($E3068="","",ROW()-3)</f>
        <v/>
      </c>
      <c r="B3068" s="111"/>
      <c r="C3068" s="112"/>
      <c r="D3068" s="113"/>
      <c r="E3068" s="112"/>
      <c r="F3068" s="99" t="str">
        <f aca="false">IF($E3068="","",IFERROR(INDEX(科目表!$A$4:$A$81,MATCH($E3068,科目表!$B$4:$B$81,0)),""))</f>
        <v/>
      </c>
      <c r="G3068" s="67" t="str">
        <f aca="false">IF($E3068="","",IFERROR(INDEX(科目表!$E$4:$E$81,MATCH($E3068,科目表!$B$4:$B$81,0)),""))</f>
        <v/>
      </c>
      <c r="H3068" s="114"/>
      <c r="I3068" s="114"/>
      <c r="J3068" s="112"/>
      <c r="K3068" s="112"/>
      <c r="L3068" s="113"/>
      <c r="M3068" s="115"/>
      <c r="N3068" s="113"/>
      <c r="O3068" s="67" t="str">
        <f aca="false">IF($E3068="","","手工")</f>
        <v/>
      </c>
      <c r="P3068" s="113"/>
    </row>
    <row r="3069" customFormat="false" ht="18" hidden="false" customHeight="true" outlineLevel="0" collapsed="false">
      <c r="A3069" s="107" t="str">
        <f aca="false">IF($E3069="","",ROW()-3)</f>
        <v/>
      </c>
      <c r="B3069" s="111"/>
      <c r="C3069" s="112"/>
      <c r="D3069" s="113"/>
      <c r="E3069" s="112"/>
      <c r="F3069" s="99" t="str">
        <f aca="false">IF($E3069="","",IFERROR(INDEX(科目表!$A$4:$A$81,MATCH($E3069,科目表!$B$4:$B$81,0)),""))</f>
        <v/>
      </c>
      <c r="G3069" s="67" t="str">
        <f aca="false">IF($E3069="","",IFERROR(INDEX(科目表!$E$4:$E$81,MATCH($E3069,科目表!$B$4:$B$81,0)),""))</f>
        <v/>
      </c>
      <c r="H3069" s="114"/>
      <c r="I3069" s="114"/>
      <c r="J3069" s="112"/>
      <c r="K3069" s="112"/>
      <c r="L3069" s="113"/>
      <c r="M3069" s="115"/>
      <c r="N3069" s="113"/>
      <c r="O3069" s="67" t="str">
        <f aca="false">IF($E3069="","","手工")</f>
        <v/>
      </c>
      <c r="P3069" s="113"/>
    </row>
    <row r="3070" customFormat="false" ht="18" hidden="false" customHeight="true" outlineLevel="0" collapsed="false">
      <c r="A3070" s="107" t="str">
        <f aca="false">IF($E3070="","",ROW()-3)</f>
        <v/>
      </c>
      <c r="B3070" s="111"/>
      <c r="C3070" s="112"/>
      <c r="D3070" s="113"/>
      <c r="E3070" s="112"/>
      <c r="F3070" s="99" t="str">
        <f aca="false">IF($E3070="","",IFERROR(INDEX(科目表!$A$4:$A$81,MATCH($E3070,科目表!$B$4:$B$81,0)),""))</f>
        <v/>
      </c>
      <c r="G3070" s="67" t="str">
        <f aca="false">IF($E3070="","",IFERROR(INDEX(科目表!$E$4:$E$81,MATCH($E3070,科目表!$B$4:$B$81,0)),""))</f>
        <v/>
      </c>
      <c r="H3070" s="114"/>
      <c r="I3070" s="114"/>
      <c r="J3070" s="112"/>
      <c r="K3070" s="112"/>
      <c r="L3070" s="113"/>
      <c r="M3070" s="115"/>
      <c r="N3070" s="113"/>
      <c r="O3070" s="67" t="str">
        <f aca="false">IF($E3070="","","手工")</f>
        <v/>
      </c>
      <c r="P3070" s="113"/>
    </row>
    <row r="3071" customFormat="false" ht="18" hidden="false" customHeight="true" outlineLevel="0" collapsed="false">
      <c r="A3071" s="107" t="str">
        <f aca="false">IF($E3071="","",ROW()-3)</f>
        <v/>
      </c>
      <c r="B3071" s="111"/>
      <c r="C3071" s="112"/>
      <c r="D3071" s="113"/>
      <c r="E3071" s="112"/>
      <c r="F3071" s="99" t="str">
        <f aca="false">IF($E3071="","",IFERROR(INDEX(科目表!$A$4:$A$81,MATCH($E3071,科目表!$B$4:$B$81,0)),""))</f>
        <v/>
      </c>
      <c r="G3071" s="67" t="str">
        <f aca="false">IF($E3071="","",IFERROR(INDEX(科目表!$E$4:$E$81,MATCH($E3071,科目表!$B$4:$B$81,0)),""))</f>
        <v/>
      </c>
      <c r="H3071" s="114"/>
      <c r="I3071" s="114"/>
      <c r="J3071" s="112"/>
      <c r="K3071" s="112"/>
      <c r="L3071" s="113"/>
      <c r="M3071" s="115"/>
      <c r="N3071" s="113"/>
      <c r="O3071" s="67" t="str">
        <f aca="false">IF($E3071="","","手工")</f>
        <v/>
      </c>
      <c r="P3071" s="113"/>
    </row>
    <row r="3072" customFormat="false" ht="18" hidden="false" customHeight="true" outlineLevel="0" collapsed="false">
      <c r="A3072" s="107" t="str">
        <f aca="false">IF($E3072="","",ROW()-3)</f>
        <v/>
      </c>
      <c r="B3072" s="111"/>
      <c r="C3072" s="112"/>
      <c r="D3072" s="113"/>
      <c r="E3072" s="112"/>
      <c r="F3072" s="99" t="str">
        <f aca="false">IF($E3072="","",IFERROR(INDEX(科目表!$A$4:$A$81,MATCH($E3072,科目表!$B$4:$B$81,0)),""))</f>
        <v/>
      </c>
      <c r="G3072" s="67" t="str">
        <f aca="false">IF($E3072="","",IFERROR(INDEX(科目表!$E$4:$E$81,MATCH($E3072,科目表!$B$4:$B$81,0)),""))</f>
        <v/>
      </c>
      <c r="H3072" s="114"/>
      <c r="I3072" s="114"/>
      <c r="J3072" s="112"/>
      <c r="K3072" s="112"/>
      <c r="L3072" s="113"/>
      <c r="M3072" s="115"/>
      <c r="N3072" s="113"/>
      <c r="O3072" s="67" t="str">
        <f aca="false">IF($E3072="","","手工")</f>
        <v/>
      </c>
      <c r="P3072" s="113"/>
    </row>
    <row r="3073" customFormat="false" ht="18" hidden="false" customHeight="true" outlineLevel="0" collapsed="false">
      <c r="A3073" s="107" t="str">
        <f aca="false">IF($E3073="","",ROW()-3)</f>
        <v/>
      </c>
      <c r="B3073" s="111"/>
      <c r="C3073" s="112"/>
      <c r="D3073" s="113"/>
      <c r="E3073" s="112"/>
      <c r="F3073" s="99" t="str">
        <f aca="false">IF($E3073="","",IFERROR(INDEX(科目表!$A$4:$A$81,MATCH($E3073,科目表!$B$4:$B$81,0)),""))</f>
        <v/>
      </c>
      <c r="G3073" s="67" t="str">
        <f aca="false">IF($E3073="","",IFERROR(INDEX(科目表!$E$4:$E$81,MATCH($E3073,科目表!$B$4:$B$81,0)),""))</f>
        <v/>
      </c>
      <c r="H3073" s="114"/>
      <c r="I3073" s="114"/>
      <c r="J3073" s="112"/>
      <c r="K3073" s="112"/>
      <c r="L3073" s="113"/>
      <c r="M3073" s="115"/>
      <c r="N3073" s="113"/>
      <c r="O3073" s="67" t="str">
        <f aca="false">IF($E3073="","","手工")</f>
        <v/>
      </c>
      <c r="P3073" s="113"/>
    </row>
    <row r="3074" customFormat="false" ht="18" hidden="false" customHeight="true" outlineLevel="0" collapsed="false">
      <c r="A3074" s="107" t="str">
        <f aca="false">IF($E3074="","",ROW()-3)</f>
        <v/>
      </c>
      <c r="B3074" s="111"/>
      <c r="C3074" s="112"/>
      <c r="D3074" s="113"/>
      <c r="E3074" s="112"/>
      <c r="F3074" s="99" t="str">
        <f aca="false">IF($E3074="","",IFERROR(INDEX(科目表!$A$4:$A$81,MATCH($E3074,科目表!$B$4:$B$81,0)),""))</f>
        <v/>
      </c>
      <c r="G3074" s="67" t="str">
        <f aca="false">IF($E3074="","",IFERROR(INDEX(科目表!$E$4:$E$81,MATCH($E3074,科目表!$B$4:$B$81,0)),""))</f>
        <v/>
      </c>
      <c r="H3074" s="114"/>
      <c r="I3074" s="114"/>
      <c r="J3074" s="112"/>
      <c r="K3074" s="112"/>
      <c r="L3074" s="113"/>
      <c r="M3074" s="115"/>
      <c r="N3074" s="113"/>
      <c r="O3074" s="67" t="str">
        <f aca="false">IF($E3074="","","手工")</f>
        <v/>
      </c>
      <c r="P3074" s="113"/>
    </row>
    <row r="3075" customFormat="false" ht="18" hidden="false" customHeight="true" outlineLevel="0" collapsed="false">
      <c r="A3075" s="107" t="str">
        <f aca="false">IF($E3075="","",ROW()-3)</f>
        <v/>
      </c>
      <c r="B3075" s="111"/>
      <c r="C3075" s="112"/>
      <c r="D3075" s="113"/>
      <c r="E3075" s="112"/>
      <c r="F3075" s="99" t="str">
        <f aca="false">IF($E3075="","",IFERROR(INDEX(科目表!$A$4:$A$81,MATCH($E3075,科目表!$B$4:$B$81,0)),""))</f>
        <v/>
      </c>
      <c r="G3075" s="67" t="str">
        <f aca="false">IF($E3075="","",IFERROR(INDEX(科目表!$E$4:$E$81,MATCH($E3075,科目表!$B$4:$B$81,0)),""))</f>
        <v/>
      </c>
      <c r="H3075" s="114"/>
      <c r="I3075" s="114"/>
      <c r="J3075" s="112"/>
      <c r="K3075" s="112"/>
      <c r="L3075" s="113"/>
      <c r="M3075" s="115"/>
      <c r="N3075" s="113"/>
      <c r="O3075" s="67" t="str">
        <f aca="false">IF($E3075="","","手工")</f>
        <v/>
      </c>
      <c r="P3075" s="113"/>
    </row>
    <row r="3076" customFormat="false" ht="18" hidden="false" customHeight="true" outlineLevel="0" collapsed="false">
      <c r="A3076" s="107" t="str">
        <f aca="false">IF($E3076="","",ROW()-3)</f>
        <v/>
      </c>
      <c r="B3076" s="111"/>
      <c r="C3076" s="112"/>
      <c r="D3076" s="113"/>
      <c r="E3076" s="112"/>
      <c r="F3076" s="99" t="str">
        <f aca="false">IF($E3076="","",IFERROR(INDEX(科目表!$A$4:$A$81,MATCH($E3076,科目表!$B$4:$B$81,0)),""))</f>
        <v/>
      </c>
      <c r="G3076" s="67" t="str">
        <f aca="false">IF($E3076="","",IFERROR(INDEX(科目表!$E$4:$E$81,MATCH($E3076,科目表!$B$4:$B$81,0)),""))</f>
        <v/>
      </c>
      <c r="H3076" s="114"/>
      <c r="I3076" s="114"/>
      <c r="J3076" s="112"/>
      <c r="K3076" s="112"/>
      <c r="L3076" s="113"/>
      <c r="M3076" s="115"/>
      <c r="N3076" s="113"/>
      <c r="O3076" s="67" t="str">
        <f aca="false">IF($E3076="","","手工")</f>
        <v/>
      </c>
      <c r="P3076" s="113"/>
    </row>
    <row r="3077" customFormat="false" ht="18" hidden="false" customHeight="true" outlineLevel="0" collapsed="false">
      <c r="A3077" s="107" t="str">
        <f aca="false">IF($E3077="","",ROW()-3)</f>
        <v/>
      </c>
      <c r="B3077" s="111"/>
      <c r="C3077" s="112"/>
      <c r="D3077" s="113"/>
      <c r="E3077" s="112"/>
      <c r="F3077" s="99" t="str">
        <f aca="false">IF($E3077="","",IFERROR(INDEX(科目表!$A$4:$A$81,MATCH($E3077,科目表!$B$4:$B$81,0)),""))</f>
        <v/>
      </c>
      <c r="G3077" s="67" t="str">
        <f aca="false">IF($E3077="","",IFERROR(INDEX(科目表!$E$4:$E$81,MATCH($E3077,科目表!$B$4:$B$81,0)),""))</f>
        <v/>
      </c>
      <c r="H3077" s="114"/>
      <c r="I3077" s="114"/>
      <c r="J3077" s="112"/>
      <c r="K3077" s="112"/>
      <c r="L3077" s="113"/>
      <c r="M3077" s="115"/>
      <c r="N3077" s="113"/>
      <c r="O3077" s="67" t="str">
        <f aca="false">IF($E3077="","","手工")</f>
        <v/>
      </c>
      <c r="P3077" s="113"/>
    </row>
    <row r="3078" customFormat="false" ht="18" hidden="false" customHeight="true" outlineLevel="0" collapsed="false">
      <c r="A3078" s="107" t="str">
        <f aca="false">IF($E3078="","",ROW()-3)</f>
        <v/>
      </c>
      <c r="B3078" s="111"/>
      <c r="C3078" s="112"/>
      <c r="D3078" s="113"/>
      <c r="E3078" s="112"/>
      <c r="F3078" s="99" t="str">
        <f aca="false">IF($E3078="","",IFERROR(INDEX(科目表!$A$4:$A$81,MATCH($E3078,科目表!$B$4:$B$81,0)),""))</f>
        <v/>
      </c>
      <c r="G3078" s="67" t="str">
        <f aca="false">IF($E3078="","",IFERROR(INDEX(科目表!$E$4:$E$81,MATCH($E3078,科目表!$B$4:$B$81,0)),""))</f>
        <v/>
      </c>
      <c r="H3078" s="114"/>
      <c r="I3078" s="114"/>
      <c r="J3078" s="112"/>
      <c r="K3078" s="112"/>
      <c r="L3078" s="113"/>
      <c r="M3078" s="115"/>
      <c r="N3078" s="113"/>
      <c r="O3078" s="67" t="str">
        <f aca="false">IF($E3078="","","手工")</f>
        <v/>
      </c>
      <c r="P3078" s="113"/>
    </row>
    <row r="3079" customFormat="false" ht="18" hidden="false" customHeight="true" outlineLevel="0" collapsed="false">
      <c r="A3079" s="107" t="str">
        <f aca="false">IF($E3079="","",ROW()-3)</f>
        <v/>
      </c>
      <c r="B3079" s="111"/>
      <c r="C3079" s="112"/>
      <c r="D3079" s="113"/>
      <c r="E3079" s="112"/>
      <c r="F3079" s="99" t="str">
        <f aca="false">IF($E3079="","",IFERROR(INDEX(科目表!$A$4:$A$81,MATCH($E3079,科目表!$B$4:$B$81,0)),""))</f>
        <v/>
      </c>
      <c r="G3079" s="67" t="str">
        <f aca="false">IF($E3079="","",IFERROR(INDEX(科目表!$E$4:$E$81,MATCH($E3079,科目表!$B$4:$B$81,0)),""))</f>
        <v/>
      </c>
      <c r="H3079" s="114"/>
      <c r="I3079" s="114"/>
      <c r="J3079" s="112"/>
      <c r="K3079" s="112"/>
      <c r="L3079" s="113"/>
      <c r="M3079" s="115"/>
      <c r="N3079" s="113"/>
      <c r="O3079" s="67" t="str">
        <f aca="false">IF($E3079="","","手工")</f>
        <v/>
      </c>
      <c r="P3079" s="113"/>
    </row>
    <row r="3080" customFormat="false" ht="18" hidden="false" customHeight="true" outlineLevel="0" collapsed="false">
      <c r="A3080" s="107" t="str">
        <f aca="false">IF($E3080="","",ROW()-3)</f>
        <v/>
      </c>
      <c r="B3080" s="111"/>
      <c r="C3080" s="112"/>
      <c r="D3080" s="113"/>
      <c r="E3080" s="112"/>
      <c r="F3080" s="99" t="str">
        <f aca="false">IF($E3080="","",IFERROR(INDEX(科目表!$A$4:$A$81,MATCH($E3080,科目表!$B$4:$B$81,0)),""))</f>
        <v/>
      </c>
      <c r="G3080" s="67" t="str">
        <f aca="false">IF($E3080="","",IFERROR(INDEX(科目表!$E$4:$E$81,MATCH($E3080,科目表!$B$4:$B$81,0)),""))</f>
        <v/>
      </c>
      <c r="H3080" s="114"/>
      <c r="I3080" s="114"/>
      <c r="J3080" s="112"/>
      <c r="K3080" s="112"/>
      <c r="L3080" s="113"/>
      <c r="M3080" s="115"/>
      <c r="N3080" s="113"/>
      <c r="O3080" s="67" t="str">
        <f aca="false">IF($E3080="","","手工")</f>
        <v/>
      </c>
      <c r="P3080" s="113"/>
    </row>
    <row r="3081" customFormat="false" ht="18" hidden="false" customHeight="true" outlineLevel="0" collapsed="false">
      <c r="A3081" s="107" t="str">
        <f aca="false">IF($E3081="","",ROW()-3)</f>
        <v/>
      </c>
      <c r="B3081" s="111"/>
      <c r="C3081" s="112"/>
      <c r="D3081" s="113"/>
      <c r="E3081" s="112"/>
      <c r="F3081" s="99" t="str">
        <f aca="false">IF($E3081="","",IFERROR(INDEX(科目表!$A$4:$A$81,MATCH($E3081,科目表!$B$4:$B$81,0)),""))</f>
        <v/>
      </c>
      <c r="G3081" s="67" t="str">
        <f aca="false">IF($E3081="","",IFERROR(INDEX(科目表!$E$4:$E$81,MATCH($E3081,科目表!$B$4:$B$81,0)),""))</f>
        <v/>
      </c>
      <c r="H3081" s="114"/>
      <c r="I3081" s="114"/>
      <c r="J3081" s="112"/>
      <c r="K3081" s="112"/>
      <c r="L3081" s="113"/>
      <c r="M3081" s="115"/>
      <c r="N3081" s="113"/>
      <c r="O3081" s="67" t="str">
        <f aca="false">IF($E3081="","","手工")</f>
        <v/>
      </c>
      <c r="P3081" s="113"/>
    </row>
    <row r="3082" customFormat="false" ht="18" hidden="false" customHeight="true" outlineLevel="0" collapsed="false">
      <c r="A3082" s="107" t="str">
        <f aca="false">IF($E3082="","",ROW()-3)</f>
        <v/>
      </c>
      <c r="B3082" s="111"/>
      <c r="C3082" s="112"/>
      <c r="D3082" s="113"/>
      <c r="E3082" s="112"/>
      <c r="F3082" s="99" t="str">
        <f aca="false">IF($E3082="","",IFERROR(INDEX(科目表!$A$4:$A$81,MATCH($E3082,科目表!$B$4:$B$81,0)),""))</f>
        <v/>
      </c>
      <c r="G3082" s="67" t="str">
        <f aca="false">IF($E3082="","",IFERROR(INDEX(科目表!$E$4:$E$81,MATCH($E3082,科目表!$B$4:$B$81,0)),""))</f>
        <v/>
      </c>
      <c r="H3082" s="114"/>
      <c r="I3082" s="114"/>
      <c r="J3082" s="112"/>
      <c r="K3082" s="112"/>
      <c r="L3082" s="113"/>
      <c r="M3082" s="115"/>
      <c r="N3082" s="113"/>
      <c r="O3082" s="67" t="str">
        <f aca="false">IF($E3082="","","手工")</f>
        <v/>
      </c>
      <c r="P3082" s="113"/>
    </row>
    <row r="3083" customFormat="false" ht="18" hidden="false" customHeight="true" outlineLevel="0" collapsed="false">
      <c r="A3083" s="107" t="str">
        <f aca="false">IF($E3083="","",ROW()-3)</f>
        <v/>
      </c>
      <c r="B3083" s="111"/>
      <c r="C3083" s="112"/>
      <c r="D3083" s="113"/>
      <c r="E3083" s="112"/>
      <c r="F3083" s="99" t="str">
        <f aca="false">IF($E3083="","",IFERROR(INDEX(科目表!$A$4:$A$81,MATCH($E3083,科目表!$B$4:$B$81,0)),""))</f>
        <v/>
      </c>
      <c r="G3083" s="67" t="str">
        <f aca="false">IF($E3083="","",IFERROR(INDEX(科目表!$E$4:$E$81,MATCH($E3083,科目表!$B$4:$B$81,0)),""))</f>
        <v/>
      </c>
      <c r="H3083" s="114"/>
      <c r="I3083" s="114"/>
      <c r="J3083" s="112"/>
      <c r="K3083" s="112"/>
      <c r="L3083" s="113"/>
      <c r="M3083" s="115"/>
      <c r="N3083" s="113"/>
      <c r="O3083" s="67" t="str">
        <f aca="false">IF($E3083="","","手工")</f>
        <v/>
      </c>
      <c r="P3083" s="113"/>
    </row>
    <row r="3084" customFormat="false" ht="18" hidden="false" customHeight="true" outlineLevel="0" collapsed="false">
      <c r="A3084" s="107" t="str">
        <f aca="false">IF($E3084="","",ROW()-3)</f>
        <v/>
      </c>
      <c r="B3084" s="111"/>
      <c r="C3084" s="112"/>
      <c r="D3084" s="113"/>
      <c r="E3084" s="112"/>
      <c r="F3084" s="99" t="str">
        <f aca="false">IF($E3084="","",IFERROR(INDEX(科目表!$A$4:$A$81,MATCH($E3084,科目表!$B$4:$B$81,0)),""))</f>
        <v/>
      </c>
      <c r="G3084" s="67" t="str">
        <f aca="false">IF($E3084="","",IFERROR(INDEX(科目表!$E$4:$E$81,MATCH($E3084,科目表!$B$4:$B$81,0)),""))</f>
        <v/>
      </c>
      <c r="H3084" s="114"/>
      <c r="I3084" s="114"/>
      <c r="J3084" s="112"/>
      <c r="K3084" s="112"/>
      <c r="L3084" s="113"/>
      <c r="M3084" s="115"/>
      <c r="N3084" s="113"/>
      <c r="O3084" s="67" t="str">
        <f aca="false">IF($E3084="","","手工")</f>
        <v/>
      </c>
      <c r="P3084" s="113"/>
    </row>
    <row r="3085" customFormat="false" ht="18" hidden="false" customHeight="true" outlineLevel="0" collapsed="false">
      <c r="A3085" s="107" t="str">
        <f aca="false">IF($E3085="","",ROW()-3)</f>
        <v/>
      </c>
      <c r="B3085" s="111"/>
      <c r="C3085" s="112"/>
      <c r="D3085" s="113"/>
      <c r="E3085" s="112"/>
      <c r="F3085" s="99" t="str">
        <f aca="false">IF($E3085="","",IFERROR(INDEX(科目表!$A$4:$A$81,MATCH($E3085,科目表!$B$4:$B$81,0)),""))</f>
        <v/>
      </c>
      <c r="G3085" s="67" t="str">
        <f aca="false">IF($E3085="","",IFERROR(INDEX(科目表!$E$4:$E$81,MATCH($E3085,科目表!$B$4:$B$81,0)),""))</f>
        <v/>
      </c>
      <c r="H3085" s="114"/>
      <c r="I3085" s="114"/>
      <c r="J3085" s="112"/>
      <c r="K3085" s="112"/>
      <c r="L3085" s="113"/>
      <c r="M3085" s="115"/>
      <c r="N3085" s="113"/>
      <c r="O3085" s="67" t="str">
        <f aca="false">IF($E3085="","","手工")</f>
        <v/>
      </c>
      <c r="P3085" s="113"/>
    </row>
    <row r="3086" customFormat="false" ht="18" hidden="false" customHeight="true" outlineLevel="0" collapsed="false">
      <c r="A3086" s="107" t="str">
        <f aca="false">IF($E3086="","",ROW()-3)</f>
        <v/>
      </c>
      <c r="B3086" s="111"/>
      <c r="C3086" s="112"/>
      <c r="D3086" s="113"/>
      <c r="E3086" s="112"/>
      <c r="F3086" s="99" t="str">
        <f aca="false">IF($E3086="","",IFERROR(INDEX(科目表!$A$4:$A$81,MATCH($E3086,科目表!$B$4:$B$81,0)),""))</f>
        <v/>
      </c>
      <c r="G3086" s="67" t="str">
        <f aca="false">IF($E3086="","",IFERROR(INDEX(科目表!$E$4:$E$81,MATCH($E3086,科目表!$B$4:$B$81,0)),""))</f>
        <v/>
      </c>
      <c r="H3086" s="114"/>
      <c r="I3086" s="114"/>
      <c r="J3086" s="112"/>
      <c r="K3086" s="112"/>
      <c r="L3086" s="113"/>
      <c r="M3086" s="115"/>
      <c r="N3086" s="113"/>
      <c r="O3086" s="67" t="str">
        <f aca="false">IF($E3086="","","手工")</f>
        <v/>
      </c>
      <c r="P3086" s="113"/>
    </row>
    <row r="3087" customFormat="false" ht="18" hidden="false" customHeight="true" outlineLevel="0" collapsed="false">
      <c r="A3087" s="107" t="str">
        <f aca="false">IF($E3087="","",ROW()-3)</f>
        <v/>
      </c>
      <c r="B3087" s="111"/>
      <c r="C3087" s="112"/>
      <c r="D3087" s="113"/>
      <c r="E3087" s="112"/>
      <c r="F3087" s="99" t="str">
        <f aca="false">IF($E3087="","",IFERROR(INDEX(科目表!$A$4:$A$81,MATCH($E3087,科目表!$B$4:$B$81,0)),""))</f>
        <v/>
      </c>
      <c r="G3087" s="67" t="str">
        <f aca="false">IF($E3087="","",IFERROR(INDEX(科目表!$E$4:$E$81,MATCH($E3087,科目表!$B$4:$B$81,0)),""))</f>
        <v/>
      </c>
      <c r="H3087" s="114"/>
      <c r="I3087" s="114"/>
      <c r="J3087" s="112"/>
      <c r="K3087" s="112"/>
      <c r="L3087" s="113"/>
      <c r="M3087" s="115"/>
      <c r="N3087" s="113"/>
      <c r="O3087" s="67" t="str">
        <f aca="false">IF($E3087="","","手工")</f>
        <v/>
      </c>
      <c r="P3087" s="113"/>
    </row>
    <row r="3088" customFormat="false" ht="18" hidden="false" customHeight="true" outlineLevel="0" collapsed="false">
      <c r="A3088" s="107" t="str">
        <f aca="false">IF($E3088="","",ROW()-3)</f>
        <v/>
      </c>
      <c r="B3088" s="111"/>
      <c r="C3088" s="112"/>
      <c r="D3088" s="113"/>
      <c r="E3088" s="112"/>
      <c r="F3088" s="99" t="str">
        <f aca="false">IF($E3088="","",IFERROR(INDEX(科目表!$A$4:$A$81,MATCH($E3088,科目表!$B$4:$B$81,0)),""))</f>
        <v/>
      </c>
      <c r="G3088" s="67" t="str">
        <f aca="false">IF($E3088="","",IFERROR(INDEX(科目表!$E$4:$E$81,MATCH($E3088,科目表!$B$4:$B$81,0)),""))</f>
        <v/>
      </c>
      <c r="H3088" s="114"/>
      <c r="I3088" s="114"/>
      <c r="J3088" s="112"/>
      <c r="K3088" s="112"/>
      <c r="L3088" s="113"/>
      <c r="M3088" s="115"/>
      <c r="N3088" s="113"/>
      <c r="O3088" s="67" t="str">
        <f aca="false">IF($E3088="","","手工")</f>
        <v/>
      </c>
      <c r="P3088" s="113"/>
    </row>
    <row r="3089" customFormat="false" ht="18" hidden="false" customHeight="true" outlineLevel="0" collapsed="false">
      <c r="A3089" s="107" t="str">
        <f aca="false">IF($E3089="","",ROW()-3)</f>
        <v/>
      </c>
      <c r="B3089" s="111"/>
      <c r="C3089" s="112"/>
      <c r="D3089" s="113"/>
      <c r="E3089" s="112"/>
      <c r="F3089" s="99" t="str">
        <f aca="false">IF($E3089="","",IFERROR(INDEX(科目表!$A$4:$A$81,MATCH($E3089,科目表!$B$4:$B$81,0)),""))</f>
        <v/>
      </c>
      <c r="G3089" s="67" t="str">
        <f aca="false">IF($E3089="","",IFERROR(INDEX(科目表!$E$4:$E$81,MATCH($E3089,科目表!$B$4:$B$81,0)),""))</f>
        <v/>
      </c>
      <c r="H3089" s="114"/>
      <c r="I3089" s="114"/>
      <c r="J3089" s="112"/>
      <c r="K3089" s="112"/>
      <c r="L3089" s="113"/>
      <c r="M3089" s="115"/>
      <c r="N3089" s="113"/>
      <c r="O3089" s="67" t="str">
        <f aca="false">IF($E3089="","","手工")</f>
        <v/>
      </c>
      <c r="P3089" s="113"/>
    </row>
    <row r="3090" customFormat="false" ht="18" hidden="false" customHeight="true" outlineLevel="0" collapsed="false">
      <c r="A3090" s="107" t="str">
        <f aca="false">IF($E3090="","",ROW()-3)</f>
        <v/>
      </c>
      <c r="B3090" s="111"/>
      <c r="C3090" s="112"/>
      <c r="D3090" s="113"/>
      <c r="E3090" s="112"/>
      <c r="F3090" s="99" t="str">
        <f aca="false">IF($E3090="","",IFERROR(INDEX(科目表!$A$4:$A$81,MATCH($E3090,科目表!$B$4:$B$81,0)),""))</f>
        <v/>
      </c>
      <c r="G3090" s="67" t="str">
        <f aca="false">IF($E3090="","",IFERROR(INDEX(科目表!$E$4:$E$81,MATCH($E3090,科目表!$B$4:$B$81,0)),""))</f>
        <v/>
      </c>
      <c r="H3090" s="114"/>
      <c r="I3090" s="114"/>
      <c r="J3090" s="112"/>
      <c r="K3090" s="112"/>
      <c r="L3090" s="113"/>
      <c r="M3090" s="115"/>
      <c r="N3090" s="113"/>
      <c r="O3090" s="67" t="str">
        <f aca="false">IF($E3090="","","手工")</f>
        <v/>
      </c>
      <c r="P3090" s="113"/>
    </row>
    <row r="3091" customFormat="false" ht="18" hidden="false" customHeight="true" outlineLevel="0" collapsed="false">
      <c r="A3091" s="107" t="str">
        <f aca="false">IF($E3091="","",ROW()-3)</f>
        <v/>
      </c>
      <c r="B3091" s="111"/>
      <c r="C3091" s="112"/>
      <c r="D3091" s="113"/>
      <c r="E3091" s="112"/>
      <c r="F3091" s="99" t="str">
        <f aca="false">IF($E3091="","",IFERROR(INDEX(科目表!$A$4:$A$81,MATCH($E3091,科目表!$B$4:$B$81,0)),""))</f>
        <v/>
      </c>
      <c r="G3091" s="67" t="str">
        <f aca="false">IF($E3091="","",IFERROR(INDEX(科目表!$E$4:$E$81,MATCH($E3091,科目表!$B$4:$B$81,0)),""))</f>
        <v/>
      </c>
      <c r="H3091" s="114"/>
      <c r="I3091" s="114"/>
      <c r="J3091" s="112"/>
      <c r="K3091" s="112"/>
      <c r="L3091" s="113"/>
      <c r="M3091" s="115"/>
      <c r="N3091" s="113"/>
      <c r="O3091" s="67" t="str">
        <f aca="false">IF($E3091="","","手工")</f>
        <v/>
      </c>
      <c r="P3091" s="113"/>
    </row>
    <row r="3092" customFormat="false" ht="18" hidden="false" customHeight="true" outlineLevel="0" collapsed="false">
      <c r="A3092" s="107" t="str">
        <f aca="false">IF($E3092="","",ROW()-3)</f>
        <v/>
      </c>
      <c r="B3092" s="111"/>
      <c r="C3092" s="112"/>
      <c r="D3092" s="113"/>
      <c r="E3092" s="112"/>
      <c r="F3092" s="99" t="str">
        <f aca="false">IF($E3092="","",IFERROR(INDEX(科目表!$A$4:$A$81,MATCH($E3092,科目表!$B$4:$B$81,0)),""))</f>
        <v/>
      </c>
      <c r="G3092" s="67" t="str">
        <f aca="false">IF($E3092="","",IFERROR(INDEX(科目表!$E$4:$E$81,MATCH($E3092,科目表!$B$4:$B$81,0)),""))</f>
        <v/>
      </c>
      <c r="H3092" s="114"/>
      <c r="I3092" s="114"/>
      <c r="J3092" s="112"/>
      <c r="K3092" s="112"/>
      <c r="L3092" s="113"/>
      <c r="M3092" s="115"/>
      <c r="N3092" s="113"/>
      <c r="O3092" s="67" t="str">
        <f aca="false">IF($E3092="","","手工")</f>
        <v/>
      </c>
      <c r="P3092" s="113"/>
    </row>
    <row r="3093" customFormat="false" ht="18" hidden="false" customHeight="true" outlineLevel="0" collapsed="false">
      <c r="A3093" s="107" t="str">
        <f aca="false">IF($E3093="","",ROW()-3)</f>
        <v/>
      </c>
      <c r="B3093" s="111"/>
      <c r="C3093" s="112"/>
      <c r="D3093" s="113"/>
      <c r="E3093" s="112"/>
      <c r="F3093" s="99" t="str">
        <f aca="false">IF($E3093="","",IFERROR(INDEX(科目表!$A$4:$A$81,MATCH($E3093,科目表!$B$4:$B$81,0)),""))</f>
        <v/>
      </c>
      <c r="G3093" s="67" t="str">
        <f aca="false">IF($E3093="","",IFERROR(INDEX(科目表!$E$4:$E$81,MATCH($E3093,科目表!$B$4:$B$81,0)),""))</f>
        <v/>
      </c>
      <c r="H3093" s="114"/>
      <c r="I3093" s="114"/>
      <c r="J3093" s="112"/>
      <c r="K3093" s="112"/>
      <c r="L3093" s="113"/>
      <c r="M3093" s="115"/>
      <c r="N3093" s="113"/>
      <c r="O3093" s="67" t="str">
        <f aca="false">IF($E3093="","","手工")</f>
        <v/>
      </c>
      <c r="P3093" s="113"/>
    </row>
    <row r="3094" customFormat="false" ht="18" hidden="false" customHeight="true" outlineLevel="0" collapsed="false">
      <c r="A3094" s="107" t="str">
        <f aca="false">IF($E3094="","",ROW()-3)</f>
        <v/>
      </c>
      <c r="B3094" s="111"/>
      <c r="C3094" s="112"/>
      <c r="D3094" s="113"/>
      <c r="E3094" s="112"/>
      <c r="F3094" s="99" t="str">
        <f aca="false">IF($E3094="","",IFERROR(INDEX(科目表!$A$4:$A$81,MATCH($E3094,科目表!$B$4:$B$81,0)),""))</f>
        <v/>
      </c>
      <c r="G3094" s="67" t="str">
        <f aca="false">IF($E3094="","",IFERROR(INDEX(科目表!$E$4:$E$81,MATCH($E3094,科目表!$B$4:$B$81,0)),""))</f>
        <v/>
      </c>
      <c r="H3094" s="114"/>
      <c r="I3094" s="114"/>
      <c r="J3094" s="112"/>
      <c r="K3094" s="112"/>
      <c r="L3094" s="113"/>
      <c r="M3094" s="115"/>
      <c r="N3094" s="113"/>
      <c r="O3094" s="67" t="str">
        <f aca="false">IF($E3094="","","手工")</f>
        <v/>
      </c>
      <c r="P3094" s="113"/>
    </row>
    <row r="3095" customFormat="false" ht="18" hidden="false" customHeight="true" outlineLevel="0" collapsed="false">
      <c r="A3095" s="107" t="str">
        <f aca="false">IF($E3095="","",ROW()-3)</f>
        <v/>
      </c>
      <c r="B3095" s="111"/>
      <c r="C3095" s="112"/>
      <c r="D3095" s="113"/>
      <c r="E3095" s="112"/>
      <c r="F3095" s="99" t="str">
        <f aca="false">IF($E3095="","",IFERROR(INDEX(科目表!$A$4:$A$81,MATCH($E3095,科目表!$B$4:$B$81,0)),""))</f>
        <v/>
      </c>
      <c r="G3095" s="67" t="str">
        <f aca="false">IF($E3095="","",IFERROR(INDEX(科目表!$E$4:$E$81,MATCH($E3095,科目表!$B$4:$B$81,0)),""))</f>
        <v/>
      </c>
      <c r="H3095" s="114"/>
      <c r="I3095" s="114"/>
      <c r="J3095" s="112"/>
      <c r="K3095" s="112"/>
      <c r="L3095" s="113"/>
      <c r="M3095" s="115"/>
      <c r="N3095" s="113"/>
      <c r="O3095" s="67" t="str">
        <f aca="false">IF($E3095="","","手工")</f>
        <v/>
      </c>
      <c r="P3095" s="113"/>
    </row>
    <row r="3096" customFormat="false" ht="18" hidden="false" customHeight="true" outlineLevel="0" collapsed="false">
      <c r="A3096" s="107" t="str">
        <f aca="false">IF($E3096="","",ROW()-3)</f>
        <v/>
      </c>
      <c r="B3096" s="111"/>
      <c r="C3096" s="112"/>
      <c r="D3096" s="113"/>
      <c r="E3096" s="112"/>
      <c r="F3096" s="99" t="str">
        <f aca="false">IF($E3096="","",IFERROR(INDEX(科目表!$A$4:$A$81,MATCH($E3096,科目表!$B$4:$B$81,0)),""))</f>
        <v/>
      </c>
      <c r="G3096" s="67" t="str">
        <f aca="false">IF($E3096="","",IFERROR(INDEX(科目表!$E$4:$E$81,MATCH($E3096,科目表!$B$4:$B$81,0)),""))</f>
        <v/>
      </c>
      <c r="H3096" s="114"/>
      <c r="I3096" s="114"/>
      <c r="J3096" s="112"/>
      <c r="K3096" s="112"/>
      <c r="L3096" s="113"/>
      <c r="M3096" s="115"/>
      <c r="N3096" s="113"/>
      <c r="O3096" s="67" t="str">
        <f aca="false">IF($E3096="","","手工")</f>
        <v/>
      </c>
      <c r="P3096" s="113"/>
    </row>
    <row r="3097" customFormat="false" ht="18" hidden="false" customHeight="true" outlineLevel="0" collapsed="false">
      <c r="A3097" s="107" t="str">
        <f aca="false">IF($E3097="","",ROW()-3)</f>
        <v/>
      </c>
      <c r="B3097" s="111"/>
      <c r="C3097" s="112"/>
      <c r="D3097" s="113"/>
      <c r="E3097" s="112"/>
      <c r="F3097" s="99" t="str">
        <f aca="false">IF($E3097="","",IFERROR(INDEX(科目表!$A$4:$A$81,MATCH($E3097,科目表!$B$4:$B$81,0)),""))</f>
        <v/>
      </c>
      <c r="G3097" s="67" t="str">
        <f aca="false">IF($E3097="","",IFERROR(INDEX(科目表!$E$4:$E$81,MATCH($E3097,科目表!$B$4:$B$81,0)),""))</f>
        <v/>
      </c>
      <c r="H3097" s="114"/>
      <c r="I3097" s="114"/>
      <c r="J3097" s="112"/>
      <c r="K3097" s="112"/>
      <c r="L3097" s="113"/>
      <c r="M3097" s="115"/>
      <c r="N3097" s="113"/>
      <c r="O3097" s="67" t="str">
        <f aca="false">IF($E3097="","","手工")</f>
        <v/>
      </c>
      <c r="P3097" s="113"/>
    </row>
    <row r="3098" customFormat="false" ht="18" hidden="false" customHeight="true" outlineLevel="0" collapsed="false">
      <c r="A3098" s="107" t="str">
        <f aca="false">IF($E3098="","",ROW()-3)</f>
        <v/>
      </c>
      <c r="B3098" s="111"/>
      <c r="C3098" s="112"/>
      <c r="D3098" s="113"/>
      <c r="E3098" s="112"/>
      <c r="F3098" s="99" t="str">
        <f aca="false">IF($E3098="","",IFERROR(INDEX(科目表!$A$4:$A$81,MATCH($E3098,科目表!$B$4:$B$81,0)),""))</f>
        <v/>
      </c>
      <c r="G3098" s="67" t="str">
        <f aca="false">IF($E3098="","",IFERROR(INDEX(科目表!$E$4:$E$81,MATCH($E3098,科目表!$B$4:$B$81,0)),""))</f>
        <v/>
      </c>
      <c r="H3098" s="114"/>
      <c r="I3098" s="114"/>
      <c r="J3098" s="112"/>
      <c r="K3098" s="112"/>
      <c r="L3098" s="113"/>
      <c r="M3098" s="115"/>
      <c r="N3098" s="113"/>
      <c r="O3098" s="67" t="str">
        <f aca="false">IF($E3098="","","手工")</f>
        <v/>
      </c>
      <c r="P3098" s="113"/>
    </row>
    <row r="3099" customFormat="false" ht="18" hidden="false" customHeight="true" outlineLevel="0" collapsed="false">
      <c r="A3099" s="107" t="str">
        <f aca="false">IF($E3099="","",ROW()-3)</f>
        <v/>
      </c>
      <c r="B3099" s="111"/>
      <c r="C3099" s="112"/>
      <c r="D3099" s="113"/>
      <c r="E3099" s="112"/>
      <c r="F3099" s="99" t="str">
        <f aca="false">IF($E3099="","",IFERROR(INDEX(科目表!$A$4:$A$81,MATCH($E3099,科目表!$B$4:$B$81,0)),""))</f>
        <v/>
      </c>
      <c r="G3099" s="67" t="str">
        <f aca="false">IF($E3099="","",IFERROR(INDEX(科目表!$E$4:$E$81,MATCH($E3099,科目表!$B$4:$B$81,0)),""))</f>
        <v/>
      </c>
      <c r="H3099" s="114"/>
      <c r="I3099" s="114"/>
      <c r="J3099" s="112"/>
      <c r="K3099" s="112"/>
      <c r="L3099" s="113"/>
      <c r="M3099" s="115"/>
      <c r="N3099" s="113"/>
      <c r="O3099" s="67" t="str">
        <f aca="false">IF($E3099="","","手工")</f>
        <v/>
      </c>
      <c r="P3099" s="113"/>
    </row>
    <row r="3100" customFormat="false" ht="18" hidden="false" customHeight="true" outlineLevel="0" collapsed="false">
      <c r="A3100" s="107" t="str">
        <f aca="false">IF($E3100="","",ROW()-3)</f>
        <v/>
      </c>
      <c r="B3100" s="111"/>
      <c r="C3100" s="112"/>
      <c r="D3100" s="113"/>
      <c r="E3100" s="112"/>
      <c r="F3100" s="99" t="str">
        <f aca="false">IF($E3100="","",IFERROR(INDEX(科目表!$A$4:$A$81,MATCH($E3100,科目表!$B$4:$B$81,0)),""))</f>
        <v/>
      </c>
      <c r="G3100" s="67" t="str">
        <f aca="false">IF($E3100="","",IFERROR(INDEX(科目表!$E$4:$E$81,MATCH($E3100,科目表!$B$4:$B$81,0)),""))</f>
        <v/>
      </c>
      <c r="H3100" s="114"/>
      <c r="I3100" s="114"/>
      <c r="J3100" s="112"/>
      <c r="K3100" s="112"/>
      <c r="L3100" s="113"/>
      <c r="M3100" s="115"/>
      <c r="N3100" s="113"/>
      <c r="O3100" s="67" t="str">
        <f aca="false">IF($E3100="","","手工")</f>
        <v/>
      </c>
      <c r="P3100" s="113"/>
    </row>
    <row r="3101" customFormat="false" ht="18" hidden="false" customHeight="true" outlineLevel="0" collapsed="false">
      <c r="A3101" s="107" t="str">
        <f aca="false">IF($E3101="","",ROW()-3)</f>
        <v/>
      </c>
      <c r="B3101" s="111"/>
      <c r="C3101" s="112"/>
      <c r="D3101" s="113"/>
      <c r="E3101" s="112"/>
      <c r="F3101" s="99" t="str">
        <f aca="false">IF($E3101="","",IFERROR(INDEX(科目表!$A$4:$A$81,MATCH($E3101,科目表!$B$4:$B$81,0)),""))</f>
        <v/>
      </c>
      <c r="G3101" s="67" t="str">
        <f aca="false">IF($E3101="","",IFERROR(INDEX(科目表!$E$4:$E$81,MATCH($E3101,科目表!$B$4:$B$81,0)),""))</f>
        <v/>
      </c>
      <c r="H3101" s="114"/>
      <c r="I3101" s="114"/>
      <c r="J3101" s="112"/>
      <c r="K3101" s="112"/>
      <c r="L3101" s="113"/>
      <c r="M3101" s="115"/>
      <c r="N3101" s="113"/>
      <c r="O3101" s="67" t="str">
        <f aca="false">IF($E3101="","","手工")</f>
        <v/>
      </c>
      <c r="P3101" s="113"/>
    </row>
    <row r="3102" customFormat="false" ht="18" hidden="false" customHeight="true" outlineLevel="0" collapsed="false">
      <c r="A3102" s="107" t="str">
        <f aca="false">IF($E3102="","",ROW()-3)</f>
        <v/>
      </c>
      <c r="B3102" s="111"/>
      <c r="C3102" s="112"/>
      <c r="D3102" s="113"/>
      <c r="E3102" s="112"/>
      <c r="F3102" s="99" t="str">
        <f aca="false">IF($E3102="","",IFERROR(INDEX(科目表!$A$4:$A$81,MATCH($E3102,科目表!$B$4:$B$81,0)),""))</f>
        <v/>
      </c>
      <c r="G3102" s="67" t="str">
        <f aca="false">IF($E3102="","",IFERROR(INDEX(科目表!$E$4:$E$81,MATCH($E3102,科目表!$B$4:$B$81,0)),""))</f>
        <v/>
      </c>
      <c r="H3102" s="114"/>
      <c r="I3102" s="114"/>
      <c r="J3102" s="112"/>
      <c r="K3102" s="112"/>
      <c r="L3102" s="113"/>
      <c r="M3102" s="115"/>
      <c r="N3102" s="113"/>
      <c r="O3102" s="67" t="str">
        <f aca="false">IF($E3102="","","手工")</f>
        <v/>
      </c>
      <c r="P3102" s="113"/>
    </row>
    <row r="3103" customFormat="false" ht="18" hidden="false" customHeight="true" outlineLevel="0" collapsed="false">
      <c r="A3103" s="107" t="str">
        <f aca="false">IF($E3103="","",ROW()-3)</f>
        <v/>
      </c>
      <c r="B3103" s="111"/>
      <c r="C3103" s="112"/>
      <c r="D3103" s="113"/>
      <c r="E3103" s="112"/>
      <c r="F3103" s="99" t="str">
        <f aca="false">IF($E3103="","",IFERROR(INDEX(科目表!$A$4:$A$81,MATCH($E3103,科目表!$B$4:$B$81,0)),""))</f>
        <v/>
      </c>
      <c r="G3103" s="67" t="str">
        <f aca="false">IF($E3103="","",IFERROR(INDEX(科目表!$E$4:$E$81,MATCH($E3103,科目表!$B$4:$B$81,0)),""))</f>
        <v/>
      </c>
      <c r="H3103" s="114"/>
      <c r="I3103" s="114"/>
      <c r="J3103" s="112"/>
      <c r="K3103" s="112"/>
      <c r="L3103" s="113"/>
      <c r="M3103" s="115"/>
      <c r="N3103" s="113"/>
      <c r="O3103" s="67" t="str">
        <f aca="false">IF($E3103="","","手工")</f>
        <v/>
      </c>
      <c r="P3103" s="113"/>
    </row>
    <row r="3104" customFormat="false" ht="18" hidden="false" customHeight="true" outlineLevel="0" collapsed="false">
      <c r="A3104" s="107" t="str">
        <f aca="false">IF($E3104="","",ROW()-3)</f>
        <v/>
      </c>
      <c r="B3104" s="111"/>
      <c r="C3104" s="112"/>
      <c r="D3104" s="113"/>
      <c r="E3104" s="112"/>
      <c r="F3104" s="99" t="str">
        <f aca="false">IF($E3104="","",IFERROR(INDEX(科目表!$A$4:$A$81,MATCH($E3104,科目表!$B$4:$B$81,0)),""))</f>
        <v/>
      </c>
      <c r="G3104" s="67" t="str">
        <f aca="false">IF($E3104="","",IFERROR(INDEX(科目表!$E$4:$E$81,MATCH($E3104,科目表!$B$4:$B$81,0)),""))</f>
        <v/>
      </c>
      <c r="H3104" s="114"/>
      <c r="I3104" s="114"/>
      <c r="J3104" s="112"/>
      <c r="K3104" s="112"/>
      <c r="L3104" s="113"/>
      <c r="M3104" s="115"/>
      <c r="N3104" s="113"/>
      <c r="O3104" s="67" t="str">
        <f aca="false">IF($E3104="","","手工")</f>
        <v/>
      </c>
      <c r="P3104" s="113"/>
    </row>
    <row r="3105" customFormat="false" ht="18" hidden="false" customHeight="true" outlineLevel="0" collapsed="false">
      <c r="A3105" s="107" t="str">
        <f aca="false">IF($E3105="","",ROW()-3)</f>
        <v/>
      </c>
      <c r="B3105" s="111"/>
      <c r="C3105" s="112"/>
      <c r="D3105" s="113"/>
      <c r="E3105" s="112"/>
      <c r="F3105" s="99" t="str">
        <f aca="false">IF($E3105="","",IFERROR(INDEX(科目表!$A$4:$A$81,MATCH($E3105,科目表!$B$4:$B$81,0)),""))</f>
        <v/>
      </c>
      <c r="G3105" s="67" t="str">
        <f aca="false">IF($E3105="","",IFERROR(INDEX(科目表!$E$4:$E$81,MATCH($E3105,科目表!$B$4:$B$81,0)),""))</f>
        <v/>
      </c>
      <c r="H3105" s="114"/>
      <c r="I3105" s="114"/>
      <c r="J3105" s="112"/>
      <c r="K3105" s="112"/>
      <c r="L3105" s="113"/>
      <c r="M3105" s="115"/>
      <c r="N3105" s="113"/>
      <c r="O3105" s="67" t="str">
        <f aca="false">IF($E3105="","","手工")</f>
        <v/>
      </c>
      <c r="P3105" s="113"/>
    </row>
    <row r="3106" customFormat="false" ht="18" hidden="false" customHeight="true" outlineLevel="0" collapsed="false">
      <c r="A3106" s="107" t="str">
        <f aca="false">IF($E3106="","",ROW()-3)</f>
        <v/>
      </c>
      <c r="B3106" s="111"/>
      <c r="C3106" s="112"/>
      <c r="D3106" s="113"/>
      <c r="E3106" s="112"/>
      <c r="F3106" s="99" t="str">
        <f aca="false">IF($E3106="","",IFERROR(INDEX(科目表!$A$4:$A$81,MATCH($E3106,科目表!$B$4:$B$81,0)),""))</f>
        <v/>
      </c>
      <c r="G3106" s="67" t="str">
        <f aca="false">IF($E3106="","",IFERROR(INDEX(科目表!$E$4:$E$81,MATCH($E3106,科目表!$B$4:$B$81,0)),""))</f>
        <v/>
      </c>
      <c r="H3106" s="114"/>
      <c r="I3106" s="114"/>
      <c r="J3106" s="112"/>
      <c r="K3106" s="112"/>
      <c r="L3106" s="113"/>
      <c r="M3106" s="115"/>
      <c r="N3106" s="113"/>
      <c r="O3106" s="67" t="str">
        <f aca="false">IF($E3106="","","手工")</f>
        <v/>
      </c>
      <c r="P3106" s="113"/>
    </row>
    <row r="3107" customFormat="false" ht="18" hidden="false" customHeight="true" outlineLevel="0" collapsed="false">
      <c r="A3107" s="107" t="str">
        <f aca="false">IF($E3107="","",ROW()-3)</f>
        <v/>
      </c>
      <c r="B3107" s="111"/>
      <c r="C3107" s="112"/>
      <c r="D3107" s="113"/>
      <c r="E3107" s="112"/>
      <c r="F3107" s="99" t="str">
        <f aca="false">IF($E3107="","",IFERROR(INDEX(科目表!$A$4:$A$81,MATCH($E3107,科目表!$B$4:$B$81,0)),""))</f>
        <v/>
      </c>
      <c r="G3107" s="67" t="str">
        <f aca="false">IF($E3107="","",IFERROR(INDEX(科目表!$E$4:$E$81,MATCH($E3107,科目表!$B$4:$B$81,0)),""))</f>
        <v/>
      </c>
      <c r="H3107" s="114"/>
      <c r="I3107" s="114"/>
      <c r="J3107" s="112"/>
      <c r="K3107" s="112"/>
      <c r="L3107" s="113"/>
      <c r="M3107" s="115"/>
      <c r="N3107" s="113"/>
      <c r="O3107" s="67" t="str">
        <f aca="false">IF($E3107="","","手工")</f>
        <v/>
      </c>
      <c r="P3107" s="113"/>
    </row>
    <row r="3108" customFormat="false" ht="18" hidden="false" customHeight="true" outlineLevel="0" collapsed="false">
      <c r="A3108" s="107" t="str">
        <f aca="false">IF($E3108="","",ROW()-3)</f>
        <v/>
      </c>
      <c r="B3108" s="111"/>
      <c r="C3108" s="112"/>
      <c r="D3108" s="113"/>
      <c r="E3108" s="112"/>
      <c r="F3108" s="99" t="str">
        <f aca="false">IF($E3108="","",IFERROR(INDEX(科目表!$A$4:$A$81,MATCH($E3108,科目表!$B$4:$B$81,0)),""))</f>
        <v/>
      </c>
      <c r="G3108" s="67" t="str">
        <f aca="false">IF($E3108="","",IFERROR(INDEX(科目表!$E$4:$E$81,MATCH($E3108,科目表!$B$4:$B$81,0)),""))</f>
        <v/>
      </c>
      <c r="H3108" s="114"/>
      <c r="I3108" s="114"/>
      <c r="J3108" s="112"/>
      <c r="K3108" s="112"/>
      <c r="L3108" s="113"/>
      <c r="M3108" s="115"/>
      <c r="N3108" s="113"/>
      <c r="O3108" s="67" t="str">
        <f aca="false">IF($E3108="","","手工")</f>
        <v/>
      </c>
      <c r="P3108" s="113"/>
    </row>
    <row r="3109" customFormat="false" ht="18" hidden="false" customHeight="true" outlineLevel="0" collapsed="false">
      <c r="A3109" s="107" t="str">
        <f aca="false">IF($E3109="","",ROW()-3)</f>
        <v/>
      </c>
      <c r="B3109" s="111"/>
      <c r="C3109" s="112"/>
      <c r="D3109" s="113"/>
      <c r="E3109" s="112"/>
      <c r="F3109" s="99" t="str">
        <f aca="false">IF($E3109="","",IFERROR(INDEX(科目表!$A$4:$A$81,MATCH($E3109,科目表!$B$4:$B$81,0)),""))</f>
        <v/>
      </c>
      <c r="G3109" s="67" t="str">
        <f aca="false">IF($E3109="","",IFERROR(INDEX(科目表!$E$4:$E$81,MATCH($E3109,科目表!$B$4:$B$81,0)),""))</f>
        <v/>
      </c>
      <c r="H3109" s="114"/>
      <c r="I3109" s="114"/>
      <c r="J3109" s="112"/>
      <c r="K3109" s="112"/>
      <c r="L3109" s="113"/>
      <c r="M3109" s="115"/>
      <c r="N3109" s="113"/>
      <c r="O3109" s="67" t="str">
        <f aca="false">IF($E3109="","","手工")</f>
        <v/>
      </c>
      <c r="P3109" s="113"/>
    </row>
    <row r="3110" customFormat="false" ht="18" hidden="false" customHeight="true" outlineLevel="0" collapsed="false">
      <c r="A3110" s="107" t="str">
        <f aca="false">IF($E3110="","",ROW()-3)</f>
        <v/>
      </c>
      <c r="B3110" s="111"/>
      <c r="C3110" s="112"/>
      <c r="D3110" s="113"/>
      <c r="E3110" s="112"/>
      <c r="F3110" s="99" t="str">
        <f aca="false">IF($E3110="","",IFERROR(INDEX(科目表!$A$4:$A$81,MATCH($E3110,科目表!$B$4:$B$81,0)),""))</f>
        <v/>
      </c>
      <c r="G3110" s="67" t="str">
        <f aca="false">IF($E3110="","",IFERROR(INDEX(科目表!$E$4:$E$81,MATCH($E3110,科目表!$B$4:$B$81,0)),""))</f>
        <v/>
      </c>
      <c r="H3110" s="114"/>
      <c r="I3110" s="114"/>
      <c r="J3110" s="112"/>
      <c r="K3110" s="112"/>
      <c r="L3110" s="113"/>
      <c r="M3110" s="115"/>
      <c r="N3110" s="113"/>
      <c r="O3110" s="67" t="str">
        <f aca="false">IF($E3110="","","手工")</f>
        <v/>
      </c>
      <c r="P3110" s="113"/>
    </row>
    <row r="3111" customFormat="false" ht="18" hidden="false" customHeight="true" outlineLevel="0" collapsed="false">
      <c r="A3111" s="107" t="str">
        <f aca="false">IF($E3111="","",ROW()-3)</f>
        <v/>
      </c>
      <c r="B3111" s="111"/>
      <c r="C3111" s="112"/>
      <c r="D3111" s="113"/>
      <c r="E3111" s="112"/>
      <c r="F3111" s="99" t="str">
        <f aca="false">IF($E3111="","",IFERROR(INDEX(科目表!$A$4:$A$81,MATCH($E3111,科目表!$B$4:$B$81,0)),""))</f>
        <v/>
      </c>
      <c r="G3111" s="67" t="str">
        <f aca="false">IF($E3111="","",IFERROR(INDEX(科目表!$E$4:$E$81,MATCH($E3111,科目表!$B$4:$B$81,0)),""))</f>
        <v/>
      </c>
      <c r="H3111" s="114"/>
      <c r="I3111" s="114"/>
      <c r="J3111" s="112"/>
      <c r="K3111" s="112"/>
      <c r="L3111" s="113"/>
      <c r="M3111" s="115"/>
      <c r="N3111" s="113"/>
      <c r="O3111" s="67" t="str">
        <f aca="false">IF($E3111="","","手工")</f>
        <v/>
      </c>
      <c r="P3111" s="113"/>
    </row>
    <row r="3112" customFormat="false" ht="18" hidden="false" customHeight="true" outlineLevel="0" collapsed="false">
      <c r="A3112" s="107" t="str">
        <f aca="false">IF($E3112="","",ROW()-3)</f>
        <v/>
      </c>
      <c r="B3112" s="111"/>
      <c r="C3112" s="112"/>
      <c r="D3112" s="113"/>
      <c r="E3112" s="112"/>
      <c r="F3112" s="99" t="str">
        <f aca="false">IF($E3112="","",IFERROR(INDEX(科目表!$A$4:$A$81,MATCH($E3112,科目表!$B$4:$B$81,0)),""))</f>
        <v/>
      </c>
      <c r="G3112" s="67" t="str">
        <f aca="false">IF($E3112="","",IFERROR(INDEX(科目表!$E$4:$E$81,MATCH($E3112,科目表!$B$4:$B$81,0)),""))</f>
        <v/>
      </c>
      <c r="H3112" s="114"/>
      <c r="I3112" s="114"/>
      <c r="J3112" s="112"/>
      <c r="K3112" s="112"/>
      <c r="L3112" s="113"/>
      <c r="M3112" s="115"/>
      <c r="N3112" s="113"/>
      <c r="O3112" s="67" t="str">
        <f aca="false">IF($E3112="","","手工")</f>
        <v/>
      </c>
      <c r="P3112" s="113"/>
    </row>
    <row r="3113" customFormat="false" ht="18" hidden="false" customHeight="true" outlineLevel="0" collapsed="false">
      <c r="A3113" s="107" t="str">
        <f aca="false">IF($E3113="","",ROW()-3)</f>
        <v/>
      </c>
      <c r="B3113" s="111"/>
      <c r="C3113" s="112"/>
      <c r="D3113" s="113"/>
      <c r="E3113" s="112"/>
      <c r="F3113" s="99" t="str">
        <f aca="false">IF($E3113="","",IFERROR(INDEX(科目表!$A$4:$A$81,MATCH($E3113,科目表!$B$4:$B$81,0)),""))</f>
        <v/>
      </c>
      <c r="G3113" s="67" t="str">
        <f aca="false">IF($E3113="","",IFERROR(INDEX(科目表!$E$4:$E$81,MATCH($E3113,科目表!$B$4:$B$81,0)),""))</f>
        <v/>
      </c>
      <c r="H3113" s="114"/>
      <c r="I3113" s="114"/>
      <c r="J3113" s="112"/>
      <c r="K3113" s="112"/>
      <c r="L3113" s="113"/>
      <c r="M3113" s="115"/>
      <c r="N3113" s="113"/>
      <c r="O3113" s="67" t="str">
        <f aca="false">IF($E3113="","","手工")</f>
        <v/>
      </c>
      <c r="P3113" s="113"/>
    </row>
    <row r="3114" customFormat="false" ht="18" hidden="false" customHeight="true" outlineLevel="0" collapsed="false">
      <c r="A3114" s="107" t="str">
        <f aca="false">IF($E3114="","",ROW()-3)</f>
        <v/>
      </c>
      <c r="B3114" s="111"/>
      <c r="C3114" s="112"/>
      <c r="D3114" s="113"/>
      <c r="E3114" s="112"/>
      <c r="F3114" s="99" t="str">
        <f aca="false">IF($E3114="","",IFERROR(INDEX(科目表!$A$4:$A$81,MATCH($E3114,科目表!$B$4:$B$81,0)),""))</f>
        <v/>
      </c>
      <c r="G3114" s="67" t="str">
        <f aca="false">IF($E3114="","",IFERROR(INDEX(科目表!$E$4:$E$81,MATCH($E3114,科目表!$B$4:$B$81,0)),""))</f>
        <v/>
      </c>
      <c r="H3114" s="114"/>
      <c r="I3114" s="114"/>
      <c r="J3114" s="112"/>
      <c r="K3114" s="112"/>
      <c r="L3114" s="113"/>
      <c r="M3114" s="115"/>
      <c r="N3114" s="113"/>
      <c r="O3114" s="67" t="str">
        <f aca="false">IF($E3114="","","手工")</f>
        <v/>
      </c>
      <c r="P3114" s="113"/>
    </row>
    <row r="3115" customFormat="false" ht="18" hidden="false" customHeight="true" outlineLevel="0" collapsed="false">
      <c r="A3115" s="107" t="str">
        <f aca="false">IF($E3115="","",ROW()-3)</f>
        <v/>
      </c>
      <c r="B3115" s="111"/>
      <c r="C3115" s="112"/>
      <c r="D3115" s="113"/>
      <c r="E3115" s="112"/>
      <c r="F3115" s="99" t="str">
        <f aca="false">IF($E3115="","",IFERROR(INDEX(科目表!$A$4:$A$81,MATCH($E3115,科目表!$B$4:$B$81,0)),""))</f>
        <v/>
      </c>
      <c r="G3115" s="67" t="str">
        <f aca="false">IF($E3115="","",IFERROR(INDEX(科目表!$E$4:$E$81,MATCH($E3115,科目表!$B$4:$B$81,0)),""))</f>
        <v/>
      </c>
      <c r="H3115" s="114"/>
      <c r="I3115" s="114"/>
      <c r="J3115" s="112"/>
      <c r="K3115" s="112"/>
      <c r="L3115" s="113"/>
      <c r="M3115" s="115"/>
      <c r="N3115" s="113"/>
      <c r="O3115" s="67" t="str">
        <f aca="false">IF($E3115="","","手工")</f>
        <v/>
      </c>
      <c r="P3115" s="113"/>
    </row>
    <row r="3116" customFormat="false" ht="18" hidden="false" customHeight="true" outlineLevel="0" collapsed="false">
      <c r="A3116" s="107" t="str">
        <f aca="false">IF($E3116="","",ROW()-3)</f>
        <v/>
      </c>
      <c r="B3116" s="111"/>
      <c r="C3116" s="112"/>
      <c r="D3116" s="113"/>
      <c r="E3116" s="112"/>
      <c r="F3116" s="99" t="str">
        <f aca="false">IF($E3116="","",IFERROR(INDEX(科目表!$A$4:$A$81,MATCH($E3116,科目表!$B$4:$B$81,0)),""))</f>
        <v/>
      </c>
      <c r="G3116" s="67" t="str">
        <f aca="false">IF($E3116="","",IFERROR(INDEX(科目表!$E$4:$E$81,MATCH($E3116,科目表!$B$4:$B$81,0)),""))</f>
        <v/>
      </c>
      <c r="H3116" s="114"/>
      <c r="I3116" s="114"/>
      <c r="J3116" s="112"/>
      <c r="K3116" s="112"/>
      <c r="L3116" s="113"/>
      <c r="M3116" s="115"/>
      <c r="N3116" s="113"/>
      <c r="O3116" s="67" t="str">
        <f aca="false">IF($E3116="","","手工")</f>
        <v/>
      </c>
      <c r="P3116" s="113"/>
    </row>
    <row r="3117" customFormat="false" ht="18" hidden="false" customHeight="true" outlineLevel="0" collapsed="false">
      <c r="A3117" s="107" t="str">
        <f aca="false">IF($E3117="","",ROW()-3)</f>
        <v/>
      </c>
      <c r="B3117" s="111"/>
      <c r="C3117" s="112"/>
      <c r="D3117" s="113"/>
      <c r="E3117" s="112"/>
      <c r="F3117" s="99" t="str">
        <f aca="false">IF($E3117="","",IFERROR(INDEX(科目表!$A$4:$A$81,MATCH($E3117,科目表!$B$4:$B$81,0)),""))</f>
        <v/>
      </c>
      <c r="G3117" s="67" t="str">
        <f aca="false">IF($E3117="","",IFERROR(INDEX(科目表!$E$4:$E$81,MATCH($E3117,科目表!$B$4:$B$81,0)),""))</f>
        <v/>
      </c>
      <c r="H3117" s="114"/>
      <c r="I3117" s="114"/>
      <c r="J3117" s="112"/>
      <c r="K3117" s="112"/>
      <c r="L3117" s="113"/>
      <c r="M3117" s="115"/>
      <c r="N3117" s="113"/>
      <c r="O3117" s="67" t="str">
        <f aca="false">IF($E3117="","","手工")</f>
        <v/>
      </c>
      <c r="P3117" s="113"/>
    </row>
    <row r="3118" customFormat="false" ht="18" hidden="false" customHeight="true" outlineLevel="0" collapsed="false">
      <c r="A3118" s="107" t="str">
        <f aca="false">IF($E3118="","",ROW()-3)</f>
        <v/>
      </c>
      <c r="B3118" s="111"/>
      <c r="C3118" s="112"/>
      <c r="D3118" s="113"/>
      <c r="E3118" s="112"/>
      <c r="F3118" s="99" t="str">
        <f aca="false">IF($E3118="","",IFERROR(INDEX(科目表!$A$4:$A$81,MATCH($E3118,科目表!$B$4:$B$81,0)),""))</f>
        <v/>
      </c>
      <c r="G3118" s="67" t="str">
        <f aca="false">IF($E3118="","",IFERROR(INDEX(科目表!$E$4:$E$81,MATCH($E3118,科目表!$B$4:$B$81,0)),""))</f>
        <v/>
      </c>
      <c r="H3118" s="114"/>
      <c r="I3118" s="114"/>
      <c r="J3118" s="112"/>
      <c r="K3118" s="112"/>
      <c r="L3118" s="113"/>
      <c r="M3118" s="115"/>
      <c r="N3118" s="113"/>
      <c r="O3118" s="67" t="str">
        <f aca="false">IF($E3118="","","手工")</f>
        <v/>
      </c>
      <c r="P3118" s="113"/>
    </row>
    <row r="3119" customFormat="false" ht="18" hidden="false" customHeight="true" outlineLevel="0" collapsed="false">
      <c r="A3119" s="107" t="str">
        <f aca="false">IF($E3119="","",ROW()-3)</f>
        <v/>
      </c>
      <c r="B3119" s="111"/>
      <c r="C3119" s="112"/>
      <c r="D3119" s="113"/>
      <c r="E3119" s="112"/>
      <c r="F3119" s="99" t="str">
        <f aca="false">IF($E3119="","",IFERROR(INDEX(科目表!$A$4:$A$81,MATCH($E3119,科目表!$B$4:$B$81,0)),""))</f>
        <v/>
      </c>
      <c r="G3119" s="67" t="str">
        <f aca="false">IF($E3119="","",IFERROR(INDEX(科目表!$E$4:$E$81,MATCH($E3119,科目表!$B$4:$B$81,0)),""))</f>
        <v/>
      </c>
      <c r="H3119" s="114"/>
      <c r="I3119" s="114"/>
      <c r="J3119" s="112"/>
      <c r="K3119" s="112"/>
      <c r="L3119" s="113"/>
      <c r="M3119" s="115"/>
      <c r="N3119" s="113"/>
      <c r="O3119" s="67" t="str">
        <f aca="false">IF($E3119="","","手工")</f>
        <v/>
      </c>
      <c r="P3119" s="113"/>
    </row>
    <row r="3120" customFormat="false" ht="18" hidden="false" customHeight="true" outlineLevel="0" collapsed="false">
      <c r="A3120" s="107" t="str">
        <f aca="false">IF($E3120="","",ROW()-3)</f>
        <v/>
      </c>
      <c r="B3120" s="111"/>
      <c r="C3120" s="112"/>
      <c r="D3120" s="113"/>
      <c r="E3120" s="112"/>
      <c r="F3120" s="99" t="str">
        <f aca="false">IF($E3120="","",IFERROR(INDEX(科目表!$A$4:$A$81,MATCH($E3120,科目表!$B$4:$B$81,0)),""))</f>
        <v/>
      </c>
      <c r="G3120" s="67" t="str">
        <f aca="false">IF($E3120="","",IFERROR(INDEX(科目表!$E$4:$E$81,MATCH($E3120,科目表!$B$4:$B$81,0)),""))</f>
        <v/>
      </c>
      <c r="H3120" s="114"/>
      <c r="I3120" s="114"/>
      <c r="J3120" s="112"/>
      <c r="K3120" s="112"/>
      <c r="L3120" s="113"/>
      <c r="M3120" s="115"/>
      <c r="N3120" s="113"/>
      <c r="O3120" s="67" t="str">
        <f aca="false">IF($E3120="","","手工")</f>
        <v/>
      </c>
      <c r="P3120" s="113"/>
    </row>
    <row r="3121" customFormat="false" ht="18" hidden="false" customHeight="true" outlineLevel="0" collapsed="false">
      <c r="A3121" s="107" t="str">
        <f aca="false">IF($E3121="","",ROW()-3)</f>
        <v/>
      </c>
      <c r="B3121" s="111"/>
      <c r="C3121" s="112"/>
      <c r="D3121" s="113"/>
      <c r="E3121" s="112"/>
      <c r="F3121" s="99" t="str">
        <f aca="false">IF($E3121="","",IFERROR(INDEX(科目表!$A$4:$A$81,MATCH($E3121,科目表!$B$4:$B$81,0)),""))</f>
        <v/>
      </c>
      <c r="G3121" s="67" t="str">
        <f aca="false">IF($E3121="","",IFERROR(INDEX(科目表!$E$4:$E$81,MATCH($E3121,科目表!$B$4:$B$81,0)),""))</f>
        <v/>
      </c>
      <c r="H3121" s="114"/>
      <c r="I3121" s="114"/>
      <c r="J3121" s="112"/>
      <c r="K3121" s="112"/>
      <c r="L3121" s="113"/>
      <c r="M3121" s="115"/>
      <c r="N3121" s="113"/>
      <c r="O3121" s="67" t="str">
        <f aca="false">IF($E3121="","","手工")</f>
        <v/>
      </c>
      <c r="P3121" s="113"/>
    </row>
    <row r="3122" customFormat="false" ht="18" hidden="false" customHeight="true" outlineLevel="0" collapsed="false">
      <c r="A3122" s="107" t="str">
        <f aca="false">IF($E3122="","",ROW()-3)</f>
        <v/>
      </c>
      <c r="B3122" s="111"/>
      <c r="C3122" s="112"/>
      <c r="D3122" s="113"/>
      <c r="E3122" s="112"/>
      <c r="F3122" s="99" t="str">
        <f aca="false">IF($E3122="","",IFERROR(INDEX(科目表!$A$4:$A$81,MATCH($E3122,科目表!$B$4:$B$81,0)),""))</f>
        <v/>
      </c>
      <c r="G3122" s="67" t="str">
        <f aca="false">IF($E3122="","",IFERROR(INDEX(科目表!$E$4:$E$81,MATCH($E3122,科目表!$B$4:$B$81,0)),""))</f>
        <v/>
      </c>
      <c r="H3122" s="114"/>
      <c r="I3122" s="114"/>
      <c r="J3122" s="112"/>
      <c r="K3122" s="112"/>
      <c r="L3122" s="113"/>
      <c r="M3122" s="115"/>
      <c r="N3122" s="113"/>
      <c r="O3122" s="67" t="str">
        <f aca="false">IF($E3122="","","手工")</f>
        <v/>
      </c>
      <c r="P3122" s="113"/>
    </row>
    <row r="3123" customFormat="false" ht="18" hidden="false" customHeight="true" outlineLevel="0" collapsed="false">
      <c r="A3123" s="107" t="str">
        <f aca="false">IF($E3123="","",ROW()-3)</f>
        <v/>
      </c>
      <c r="B3123" s="111"/>
      <c r="C3123" s="112"/>
      <c r="D3123" s="113"/>
      <c r="E3123" s="112"/>
      <c r="F3123" s="99" t="str">
        <f aca="false">IF($E3123="","",IFERROR(INDEX(科目表!$A$4:$A$81,MATCH($E3123,科目表!$B$4:$B$81,0)),""))</f>
        <v/>
      </c>
      <c r="G3123" s="67" t="str">
        <f aca="false">IF($E3123="","",IFERROR(INDEX(科目表!$E$4:$E$81,MATCH($E3123,科目表!$B$4:$B$81,0)),""))</f>
        <v/>
      </c>
      <c r="H3123" s="114"/>
      <c r="I3123" s="114"/>
      <c r="J3123" s="112"/>
      <c r="K3123" s="112"/>
      <c r="L3123" s="113"/>
      <c r="M3123" s="115"/>
      <c r="N3123" s="113"/>
      <c r="O3123" s="67" t="str">
        <f aca="false">IF($E3123="","","手工")</f>
        <v/>
      </c>
      <c r="P3123" s="113"/>
    </row>
    <row r="3124" customFormat="false" ht="18" hidden="false" customHeight="true" outlineLevel="0" collapsed="false">
      <c r="A3124" s="107" t="str">
        <f aca="false">IF($E3124="","",ROW()-3)</f>
        <v/>
      </c>
      <c r="B3124" s="111"/>
      <c r="C3124" s="112"/>
      <c r="D3124" s="113"/>
      <c r="E3124" s="112"/>
      <c r="F3124" s="99" t="str">
        <f aca="false">IF($E3124="","",IFERROR(INDEX(科目表!$A$4:$A$81,MATCH($E3124,科目表!$B$4:$B$81,0)),""))</f>
        <v/>
      </c>
      <c r="G3124" s="67" t="str">
        <f aca="false">IF($E3124="","",IFERROR(INDEX(科目表!$E$4:$E$81,MATCH($E3124,科目表!$B$4:$B$81,0)),""))</f>
        <v/>
      </c>
      <c r="H3124" s="114"/>
      <c r="I3124" s="114"/>
      <c r="J3124" s="112"/>
      <c r="K3124" s="112"/>
      <c r="L3124" s="113"/>
      <c r="M3124" s="115"/>
      <c r="N3124" s="113"/>
      <c r="O3124" s="67" t="str">
        <f aca="false">IF($E3124="","","手工")</f>
        <v/>
      </c>
      <c r="P3124" s="113"/>
    </row>
    <row r="3125" customFormat="false" ht="18" hidden="false" customHeight="true" outlineLevel="0" collapsed="false">
      <c r="A3125" s="107" t="str">
        <f aca="false">IF($E3125="","",ROW()-3)</f>
        <v/>
      </c>
      <c r="B3125" s="111"/>
      <c r="C3125" s="112"/>
      <c r="D3125" s="113"/>
      <c r="E3125" s="112"/>
      <c r="F3125" s="99" t="str">
        <f aca="false">IF($E3125="","",IFERROR(INDEX(科目表!$A$4:$A$81,MATCH($E3125,科目表!$B$4:$B$81,0)),""))</f>
        <v/>
      </c>
      <c r="G3125" s="67" t="str">
        <f aca="false">IF($E3125="","",IFERROR(INDEX(科目表!$E$4:$E$81,MATCH($E3125,科目表!$B$4:$B$81,0)),""))</f>
        <v/>
      </c>
      <c r="H3125" s="114"/>
      <c r="I3125" s="114"/>
      <c r="J3125" s="112"/>
      <c r="K3125" s="112"/>
      <c r="L3125" s="113"/>
      <c r="M3125" s="115"/>
      <c r="N3125" s="113"/>
      <c r="O3125" s="67" t="str">
        <f aca="false">IF($E3125="","","手工")</f>
        <v/>
      </c>
      <c r="P3125" s="113"/>
    </row>
    <row r="3126" customFormat="false" ht="18" hidden="false" customHeight="true" outlineLevel="0" collapsed="false">
      <c r="A3126" s="107" t="str">
        <f aca="false">IF($E3126="","",ROW()-3)</f>
        <v/>
      </c>
      <c r="B3126" s="111"/>
      <c r="C3126" s="112"/>
      <c r="D3126" s="113"/>
      <c r="E3126" s="112"/>
      <c r="F3126" s="99" t="str">
        <f aca="false">IF($E3126="","",IFERROR(INDEX(科目表!$A$4:$A$81,MATCH($E3126,科目表!$B$4:$B$81,0)),""))</f>
        <v/>
      </c>
      <c r="G3126" s="67" t="str">
        <f aca="false">IF($E3126="","",IFERROR(INDEX(科目表!$E$4:$E$81,MATCH($E3126,科目表!$B$4:$B$81,0)),""))</f>
        <v/>
      </c>
      <c r="H3126" s="114"/>
      <c r="I3126" s="114"/>
      <c r="J3126" s="112"/>
      <c r="K3126" s="112"/>
      <c r="L3126" s="113"/>
      <c r="M3126" s="115"/>
      <c r="N3126" s="113"/>
      <c r="O3126" s="67" t="str">
        <f aca="false">IF($E3126="","","手工")</f>
        <v/>
      </c>
      <c r="P3126" s="113"/>
    </row>
    <row r="3127" customFormat="false" ht="18" hidden="false" customHeight="true" outlineLevel="0" collapsed="false">
      <c r="A3127" s="107" t="str">
        <f aca="false">IF($E3127="","",ROW()-3)</f>
        <v/>
      </c>
      <c r="B3127" s="111"/>
      <c r="C3127" s="112"/>
      <c r="D3127" s="113"/>
      <c r="E3127" s="112"/>
      <c r="F3127" s="99" t="str">
        <f aca="false">IF($E3127="","",IFERROR(INDEX(科目表!$A$4:$A$81,MATCH($E3127,科目表!$B$4:$B$81,0)),""))</f>
        <v/>
      </c>
      <c r="G3127" s="67" t="str">
        <f aca="false">IF($E3127="","",IFERROR(INDEX(科目表!$E$4:$E$81,MATCH($E3127,科目表!$B$4:$B$81,0)),""))</f>
        <v/>
      </c>
      <c r="H3127" s="114"/>
      <c r="I3127" s="114"/>
      <c r="J3127" s="112"/>
      <c r="K3127" s="112"/>
      <c r="L3127" s="113"/>
      <c r="M3127" s="115"/>
      <c r="N3127" s="113"/>
      <c r="O3127" s="67" t="str">
        <f aca="false">IF($E3127="","","手工")</f>
        <v/>
      </c>
      <c r="P3127" s="113"/>
    </row>
    <row r="3128" customFormat="false" ht="18" hidden="false" customHeight="true" outlineLevel="0" collapsed="false">
      <c r="A3128" s="107" t="str">
        <f aca="false">IF($E3128="","",ROW()-3)</f>
        <v/>
      </c>
      <c r="B3128" s="111"/>
      <c r="C3128" s="112"/>
      <c r="D3128" s="113"/>
      <c r="E3128" s="112"/>
      <c r="F3128" s="99" t="str">
        <f aca="false">IF($E3128="","",IFERROR(INDEX(科目表!$A$4:$A$81,MATCH($E3128,科目表!$B$4:$B$81,0)),""))</f>
        <v/>
      </c>
      <c r="G3128" s="67" t="str">
        <f aca="false">IF($E3128="","",IFERROR(INDEX(科目表!$E$4:$E$81,MATCH($E3128,科目表!$B$4:$B$81,0)),""))</f>
        <v/>
      </c>
      <c r="H3128" s="114"/>
      <c r="I3128" s="114"/>
      <c r="J3128" s="112"/>
      <c r="K3128" s="112"/>
      <c r="L3128" s="113"/>
      <c r="M3128" s="115"/>
      <c r="N3128" s="113"/>
      <c r="O3128" s="67" t="str">
        <f aca="false">IF($E3128="","","手工")</f>
        <v/>
      </c>
      <c r="P3128" s="113"/>
    </row>
    <row r="3129" customFormat="false" ht="18" hidden="false" customHeight="true" outlineLevel="0" collapsed="false">
      <c r="A3129" s="107" t="str">
        <f aca="false">IF($E3129="","",ROW()-3)</f>
        <v/>
      </c>
      <c r="B3129" s="111"/>
      <c r="C3129" s="112"/>
      <c r="D3129" s="113"/>
      <c r="E3129" s="112"/>
      <c r="F3129" s="99" t="str">
        <f aca="false">IF($E3129="","",IFERROR(INDEX(科目表!$A$4:$A$81,MATCH($E3129,科目表!$B$4:$B$81,0)),""))</f>
        <v/>
      </c>
      <c r="G3129" s="67" t="str">
        <f aca="false">IF($E3129="","",IFERROR(INDEX(科目表!$E$4:$E$81,MATCH($E3129,科目表!$B$4:$B$81,0)),""))</f>
        <v/>
      </c>
      <c r="H3129" s="114"/>
      <c r="I3129" s="114"/>
      <c r="J3129" s="112"/>
      <c r="K3129" s="112"/>
      <c r="L3129" s="113"/>
      <c r="M3129" s="115"/>
      <c r="N3129" s="113"/>
      <c r="O3129" s="67" t="str">
        <f aca="false">IF($E3129="","","手工")</f>
        <v/>
      </c>
      <c r="P3129" s="113"/>
    </row>
    <row r="3130" customFormat="false" ht="18" hidden="false" customHeight="true" outlineLevel="0" collapsed="false">
      <c r="A3130" s="107" t="str">
        <f aca="false">IF($E3130="","",ROW()-3)</f>
        <v/>
      </c>
      <c r="B3130" s="111"/>
      <c r="C3130" s="112"/>
      <c r="D3130" s="113"/>
      <c r="E3130" s="112"/>
      <c r="F3130" s="99" t="str">
        <f aca="false">IF($E3130="","",IFERROR(INDEX(科目表!$A$4:$A$81,MATCH($E3130,科目表!$B$4:$B$81,0)),""))</f>
        <v/>
      </c>
      <c r="G3130" s="67" t="str">
        <f aca="false">IF($E3130="","",IFERROR(INDEX(科目表!$E$4:$E$81,MATCH($E3130,科目表!$B$4:$B$81,0)),""))</f>
        <v/>
      </c>
      <c r="H3130" s="114"/>
      <c r="I3130" s="114"/>
      <c r="J3130" s="112"/>
      <c r="K3130" s="112"/>
      <c r="L3130" s="113"/>
      <c r="M3130" s="115"/>
      <c r="N3130" s="113"/>
      <c r="O3130" s="67" t="str">
        <f aca="false">IF($E3130="","","手工")</f>
        <v/>
      </c>
      <c r="P3130" s="113"/>
    </row>
    <row r="3131" customFormat="false" ht="18" hidden="false" customHeight="true" outlineLevel="0" collapsed="false">
      <c r="A3131" s="107" t="str">
        <f aca="false">IF($E3131="","",ROW()-3)</f>
        <v/>
      </c>
      <c r="B3131" s="111"/>
      <c r="C3131" s="112"/>
      <c r="D3131" s="113"/>
      <c r="E3131" s="112"/>
      <c r="F3131" s="99" t="str">
        <f aca="false">IF($E3131="","",IFERROR(INDEX(科目表!$A$4:$A$81,MATCH($E3131,科目表!$B$4:$B$81,0)),""))</f>
        <v/>
      </c>
      <c r="G3131" s="67" t="str">
        <f aca="false">IF($E3131="","",IFERROR(INDEX(科目表!$E$4:$E$81,MATCH($E3131,科目表!$B$4:$B$81,0)),""))</f>
        <v/>
      </c>
      <c r="H3131" s="114"/>
      <c r="I3131" s="114"/>
      <c r="J3131" s="112"/>
      <c r="K3131" s="112"/>
      <c r="L3131" s="113"/>
      <c r="M3131" s="115"/>
      <c r="N3131" s="113"/>
      <c r="O3131" s="67" t="str">
        <f aca="false">IF($E3131="","","手工")</f>
        <v/>
      </c>
      <c r="P3131" s="113"/>
    </row>
    <row r="3132" customFormat="false" ht="18" hidden="false" customHeight="true" outlineLevel="0" collapsed="false">
      <c r="A3132" s="107" t="str">
        <f aca="false">IF($E3132="","",ROW()-3)</f>
        <v/>
      </c>
      <c r="B3132" s="111"/>
      <c r="C3132" s="112"/>
      <c r="D3132" s="113"/>
      <c r="E3132" s="112"/>
      <c r="F3132" s="99" t="str">
        <f aca="false">IF($E3132="","",IFERROR(INDEX(科目表!$A$4:$A$81,MATCH($E3132,科目表!$B$4:$B$81,0)),""))</f>
        <v/>
      </c>
      <c r="G3132" s="67" t="str">
        <f aca="false">IF($E3132="","",IFERROR(INDEX(科目表!$E$4:$E$81,MATCH($E3132,科目表!$B$4:$B$81,0)),""))</f>
        <v/>
      </c>
      <c r="H3132" s="114"/>
      <c r="I3132" s="114"/>
      <c r="J3132" s="112"/>
      <c r="K3132" s="112"/>
      <c r="L3132" s="113"/>
      <c r="M3132" s="115"/>
      <c r="N3132" s="113"/>
      <c r="O3132" s="67" t="str">
        <f aca="false">IF($E3132="","","手工")</f>
        <v/>
      </c>
      <c r="P3132" s="113"/>
    </row>
    <row r="3133" customFormat="false" ht="18" hidden="false" customHeight="true" outlineLevel="0" collapsed="false">
      <c r="A3133" s="107" t="str">
        <f aca="false">IF($E3133="","",ROW()-3)</f>
        <v/>
      </c>
      <c r="B3133" s="111"/>
      <c r="C3133" s="112"/>
      <c r="D3133" s="113"/>
      <c r="E3133" s="112"/>
      <c r="F3133" s="99" t="str">
        <f aca="false">IF($E3133="","",IFERROR(INDEX(科目表!$A$4:$A$81,MATCH($E3133,科目表!$B$4:$B$81,0)),""))</f>
        <v/>
      </c>
      <c r="G3133" s="67" t="str">
        <f aca="false">IF($E3133="","",IFERROR(INDEX(科目表!$E$4:$E$81,MATCH($E3133,科目表!$B$4:$B$81,0)),""))</f>
        <v/>
      </c>
      <c r="H3133" s="114"/>
      <c r="I3133" s="114"/>
      <c r="J3133" s="112"/>
      <c r="K3133" s="112"/>
      <c r="L3133" s="113"/>
      <c r="M3133" s="115"/>
      <c r="N3133" s="113"/>
      <c r="O3133" s="67" t="str">
        <f aca="false">IF($E3133="","","手工")</f>
        <v/>
      </c>
      <c r="P3133" s="113"/>
    </row>
    <row r="3134" customFormat="false" ht="18" hidden="false" customHeight="true" outlineLevel="0" collapsed="false">
      <c r="A3134" s="107" t="str">
        <f aca="false">IF($E3134="","",ROW()-3)</f>
        <v/>
      </c>
      <c r="B3134" s="111"/>
      <c r="C3134" s="112"/>
      <c r="D3134" s="113"/>
      <c r="E3134" s="112"/>
      <c r="F3134" s="99" t="str">
        <f aca="false">IF($E3134="","",IFERROR(INDEX(科目表!$A$4:$A$81,MATCH($E3134,科目表!$B$4:$B$81,0)),""))</f>
        <v/>
      </c>
      <c r="G3134" s="67" t="str">
        <f aca="false">IF($E3134="","",IFERROR(INDEX(科目表!$E$4:$E$81,MATCH($E3134,科目表!$B$4:$B$81,0)),""))</f>
        <v/>
      </c>
      <c r="H3134" s="114"/>
      <c r="I3134" s="114"/>
      <c r="J3134" s="112"/>
      <c r="K3134" s="112"/>
      <c r="L3134" s="113"/>
      <c r="M3134" s="115"/>
      <c r="N3134" s="113"/>
      <c r="O3134" s="67" t="str">
        <f aca="false">IF($E3134="","","手工")</f>
        <v/>
      </c>
      <c r="P3134" s="113"/>
    </row>
    <row r="3135" customFormat="false" ht="18" hidden="false" customHeight="true" outlineLevel="0" collapsed="false">
      <c r="A3135" s="107" t="str">
        <f aca="false">IF($E3135="","",ROW()-3)</f>
        <v/>
      </c>
      <c r="B3135" s="111"/>
      <c r="C3135" s="112"/>
      <c r="D3135" s="113"/>
      <c r="E3135" s="112"/>
      <c r="F3135" s="99" t="str">
        <f aca="false">IF($E3135="","",IFERROR(INDEX(科目表!$A$4:$A$81,MATCH($E3135,科目表!$B$4:$B$81,0)),""))</f>
        <v/>
      </c>
      <c r="G3135" s="67" t="str">
        <f aca="false">IF($E3135="","",IFERROR(INDEX(科目表!$E$4:$E$81,MATCH($E3135,科目表!$B$4:$B$81,0)),""))</f>
        <v/>
      </c>
      <c r="H3135" s="114"/>
      <c r="I3135" s="114"/>
      <c r="J3135" s="112"/>
      <c r="K3135" s="112"/>
      <c r="L3135" s="113"/>
      <c r="M3135" s="115"/>
      <c r="N3135" s="113"/>
      <c r="O3135" s="67" t="str">
        <f aca="false">IF($E3135="","","手工")</f>
        <v/>
      </c>
      <c r="P3135" s="113"/>
    </row>
    <row r="3136" customFormat="false" ht="18" hidden="false" customHeight="true" outlineLevel="0" collapsed="false">
      <c r="A3136" s="107" t="str">
        <f aca="false">IF($E3136="","",ROW()-3)</f>
        <v/>
      </c>
      <c r="B3136" s="111"/>
      <c r="C3136" s="112"/>
      <c r="D3136" s="113"/>
      <c r="E3136" s="112"/>
      <c r="F3136" s="99" t="str">
        <f aca="false">IF($E3136="","",IFERROR(INDEX(科目表!$A$4:$A$81,MATCH($E3136,科目表!$B$4:$B$81,0)),""))</f>
        <v/>
      </c>
      <c r="G3136" s="67" t="str">
        <f aca="false">IF($E3136="","",IFERROR(INDEX(科目表!$E$4:$E$81,MATCH($E3136,科目表!$B$4:$B$81,0)),""))</f>
        <v/>
      </c>
      <c r="H3136" s="114"/>
      <c r="I3136" s="114"/>
      <c r="J3136" s="112"/>
      <c r="K3136" s="112"/>
      <c r="L3136" s="113"/>
      <c r="M3136" s="115"/>
      <c r="N3136" s="113"/>
      <c r="O3136" s="67" t="str">
        <f aca="false">IF($E3136="","","手工")</f>
        <v/>
      </c>
      <c r="P3136" s="113"/>
    </row>
    <row r="3137" customFormat="false" ht="18" hidden="false" customHeight="true" outlineLevel="0" collapsed="false">
      <c r="A3137" s="107" t="str">
        <f aca="false">IF($E3137="","",ROW()-3)</f>
        <v/>
      </c>
      <c r="B3137" s="111"/>
      <c r="C3137" s="112"/>
      <c r="D3137" s="113"/>
      <c r="E3137" s="112"/>
      <c r="F3137" s="99" t="str">
        <f aca="false">IF($E3137="","",IFERROR(INDEX(科目表!$A$4:$A$81,MATCH($E3137,科目表!$B$4:$B$81,0)),""))</f>
        <v/>
      </c>
      <c r="G3137" s="67" t="str">
        <f aca="false">IF($E3137="","",IFERROR(INDEX(科目表!$E$4:$E$81,MATCH($E3137,科目表!$B$4:$B$81,0)),""))</f>
        <v/>
      </c>
      <c r="H3137" s="114"/>
      <c r="I3137" s="114"/>
      <c r="J3137" s="112"/>
      <c r="K3137" s="112"/>
      <c r="L3137" s="113"/>
      <c r="M3137" s="115"/>
      <c r="N3137" s="113"/>
      <c r="O3137" s="67" t="str">
        <f aca="false">IF($E3137="","","手工")</f>
        <v/>
      </c>
      <c r="P3137" s="113"/>
    </row>
    <row r="3138" customFormat="false" ht="18" hidden="false" customHeight="true" outlineLevel="0" collapsed="false">
      <c r="A3138" s="107" t="str">
        <f aca="false">IF($E3138="","",ROW()-3)</f>
        <v/>
      </c>
      <c r="B3138" s="111"/>
      <c r="C3138" s="112"/>
      <c r="D3138" s="113"/>
      <c r="E3138" s="112"/>
      <c r="F3138" s="99" t="str">
        <f aca="false">IF($E3138="","",IFERROR(INDEX(科目表!$A$4:$A$81,MATCH($E3138,科目表!$B$4:$B$81,0)),""))</f>
        <v/>
      </c>
      <c r="G3138" s="67" t="str">
        <f aca="false">IF($E3138="","",IFERROR(INDEX(科目表!$E$4:$E$81,MATCH($E3138,科目表!$B$4:$B$81,0)),""))</f>
        <v/>
      </c>
      <c r="H3138" s="114"/>
      <c r="I3138" s="114"/>
      <c r="J3138" s="112"/>
      <c r="K3138" s="112"/>
      <c r="L3138" s="113"/>
      <c r="M3138" s="115"/>
      <c r="N3138" s="113"/>
      <c r="O3138" s="67" t="str">
        <f aca="false">IF($E3138="","","手工")</f>
        <v/>
      </c>
      <c r="P3138" s="113"/>
    </row>
    <row r="3139" customFormat="false" ht="18" hidden="false" customHeight="true" outlineLevel="0" collapsed="false">
      <c r="A3139" s="107" t="str">
        <f aca="false">IF($E3139="","",ROW()-3)</f>
        <v/>
      </c>
      <c r="B3139" s="111"/>
      <c r="C3139" s="112"/>
      <c r="D3139" s="113"/>
      <c r="E3139" s="112"/>
      <c r="F3139" s="99" t="str">
        <f aca="false">IF($E3139="","",IFERROR(INDEX(科目表!$A$4:$A$81,MATCH($E3139,科目表!$B$4:$B$81,0)),""))</f>
        <v/>
      </c>
      <c r="G3139" s="67" t="str">
        <f aca="false">IF($E3139="","",IFERROR(INDEX(科目表!$E$4:$E$81,MATCH($E3139,科目表!$B$4:$B$81,0)),""))</f>
        <v/>
      </c>
      <c r="H3139" s="114"/>
      <c r="I3139" s="114"/>
      <c r="J3139" s="112"/>
      <c r="K3139" s="112"/>
      <c r="L3139" s="113"/>
      <c r="M3139" s="115"/>
      <c r="N3139" s="113"/>
      <c r="O3139" s="67" t="str">
        <f aca="false">IF($E3139="","","手工")</f>
        <v/>
      </c>
      <c r="P3139" s="113"/>
    </row>
    <row r="3140" customFormat="false" ht="18" hidden="false" customHeight="true" outlineLevel="0" collapsed="false">
      <c r="A3140" s="107" t="str">
        <f aca="false">IF($E3140="","",ROW()-3)</f>
        <v/>
      </c>
      <c r="B3140" s="111"/>
      <c r="C3140" s="112"/>
      <c r="D3140" s="113"/>
      <c r="E3140" s="112"/>
      <c r="F3140" s="99" t="str">
        <f aca="false">IF($E3140="","",IFERROR(INDEX(科目表!$A$4:$A$81,MATCH($E3140,科目表!$B$4:$B$81,0)),""))</f>
        <v/>
      </c>
      <c r="G3140" s="67" t="str">
        <f aca="false">IF($E3140="","",IFERROR(INDEX(科目表!$E$4:$E$81,MATCH($E3140,科目表!$B$4:$B$81,0)),""))</f>
        <v/>
      </c>
      <c r="H3140" s="114"/>
      <c r="I3140" s="114"/>
      <c r="J3140" s="112"/>
      <c r="K3140" s="112"/>
      <c r="L3140" s="113"/>
      <c r="M3140" s="115"/>
      <c r="N3140" s="113"/>
      <c r="O3140" s="67" t="str">
        <f aca="false">IF($E3140="","","手工")</f>
        <v/>
      </c>
      <c r="P3140" s="113"/>
    </row>
    <row r="3141" customFormat="false" ht="18" hidden="false" customHeight="true" outlineLevel="0" collapsed="false">
      <c r="A3141" s="107" t="str">
        <f aca="false">IF($E3141="","",ROW()-3)</f>
        <v/>
      </c>
      <c r="B3141" s="111"/>
      <c r="C3141" s="112"/>
      <c r="D3141" s="113"/>
      <c r="E3141" s="112"/>
      <c r="F3141" s="99" t="str">
        <f aca="false">IF($E3141="","",IFERROR(INDEX(科目表!$A$4:$A$81,MATCH($E3141,科目表!$B$4:$B$81,0)),""))</f>
        <v/>
      </c>
      <c r="G3141" s="67" t="str">
        <f aca="false">IF($E3141="","",IFERROR(INDEX(科目表!$E$4:$E$81,MATCH($E3141,科目表!$B$4:$B$81,0)),""))</f>
        <v/>
      </c>
      <c r="H3141" s="114"/>
      <c r="I3141" s="114"/>
      <c r="J3141" s="112"/>
      <c r="K3141" s="112"/>
      <c r="L3141" s="113"/>
      <c r="M3141" s="115"/>
      <c r="N3141" s="113"/>
      <c r="O3141" s="67" t="str">
        <f aca="false">IF($E3141="","","手工")</f>
        <v/>
      </c>
      <c r="P3141" s="113"/>
    </row>
    <row r="3142" customFormat="false" ht="18" hidden="false" customHeight="true" outlineLevel="0" collapsed="false">
      <c r="A3142" s="107" t="str">
        <f aca="false">IF($E3142="","",ROW()-3)</f>
        <v/>
      </c>
      <c r="B3142" s="111"/>
      <c r="C3142" s="112"/>
      <c r="D3142" s="113"/>
      <c r="E3142" s="112"/>
      <c r="F3142" s="99" t="str">
        <f aca="false">IF($E3142="","",IFERROR(INDEX(科目表!$A$4:$A$81,MATCH($E3142,科目表!$B$4:$B$81,0)),""))</f>
        <v/>
      </c>
      <c r="G3142" s="67" t="str">
        <f aca="false">IF($E3142="","",IFERROR(INDEX(科目表!$E$4:$E$81,MATCH($E3142,科目表!$B$4:$B$81,0)),""))</f>
        <v/>
      </c>
      <c r="H3142" s="114"/>
      <c r="I3142" s="114"/>
      <c r="J3142" s="112"/>
      <c r="K3142" s="112"/>
      <c r="L3142" s="113"/>
      <c r="M3142" s="115"/>
      <c r="N3142" s="113"/>
      <c r="O3142" s="67" t="str">
        <f aca="false">IF($E3142="","","手工")</f>
        <v/>
      </c>
      <c r="P3142" s="113"/>
    </row>
    <row r="3143" customFormat="false" ht="18" hidden="false" customHeight="true" outlineLevel="0" collapsed="false">
      <c r="A3143" s="107" t="str">
        <f aca="false">IF($E3143="","",ROW()-3)</f>
        <v/>
      </c>
      <c r="B3143" s="111"/>
      <c r="C3143" s="112"/>
      <c r="D3143" s="113"/>
      <c r="E3143" s="112"/>
      <c r="F3143" s="99" t="str">
        <f aca="false">IF($E3143="","",IFERROR(INDEX(科目表!$A$4:$A$81,MATCH($E3143,科目表!$B$4:$B$81,0)),""))</f>
        <v/>
      </c>
      <c r="G3143" s="67" t="str">
        <f aca="false">IF($E3143="","",IFERROR(INDEX(科目表!$E$4:$E$81,MATCH($E3143,科目表!$B$4:$B$81,0)),""))</f>
        <v/>
      </c>
      <c r="H3143" s="114"/>
      <c r="I3143" s="114"/>
      <c r="J3143" s="112"/>
      <c r="K3143" s="112"/>
      <c r="L3143" s="113"/>
      <c r="M3143" s="115"/>
      <c r="N3143" s="113"/>
      <c r="O3143" s="67" t="str">
        <f aca="false">IF($E3143="","","手工")</f>
        <v/>
      </c>
      <c r="P3143" s="113"/>
    </row>
    <row r="3144" customFormat="false" ht="18" hidden="false" customHeight="true" outlineLevel="0" collapsed="false">
      <c r="A3144" s="107" t="str">
        <f aca="false">IF($E3144="","",ROW()-3)</f>
        <v/>
      </c>
      <c r="B3144" s="111"/>
      <c r="C3144" s="112"/>
      <c r="D3144" s="113"/>
      <c r="E3144" s="112"/>
      <c r="F3144" s="99" t="str">
        <f aca="false">IF($E3144="","",IFERROR(INDEX(科目表!$A$4:$A$81,MATCH($E3144,科目表!$B$4:$B$81,0)),""))</f>
        <v/>
      </c>
      <c r="G3144" s="67" t="str">
        <f aca="false">IF($E3144="","",IFERROR(INDEX(科目表!$E$4:$E$81,MATCH($E3144,科目表!$B$4:$B$81,0)),""))</f>
        <v/>
      </c>
      <c r="H3144" s="114"/>
      <c r="I3144" s="114"/>
      <c r="J3144" s="112"/>
      <c r="K3144" s="112"/>
      <c r="L3144" s="113"/>
      <c r="M3144" s="115"/>
      <c r="N3144" s="113"/>
      <c r="O3144" s="67" t="str">
        <f aca="false">IF($E3144="","","手工")</f>
        <v/>
      </c>
      <c r="P3144" s="113"/>
    </row>
    <row r="3145" customFormat="false" ht="18" hidden="false" customHeight="true" outlineLevel="0" collapsed="false">
      <c r="A3145" s="107" t="str">
        <f aca="false">IF($E3145="","",ROW()-3)</f>
        <v/>
      </c>
      <c r="B3145" s="111"/>
      <c r="C3145" s="112"/>
      <c r="D3145" s="113"/>
      <c r="E3145" s="112"/>
      <c r="F3145" s="99" t="str">
        <f aca="false">IF($E3145="","",IFERROR(INDEX(科目表!$A$4:$A$81,MATCH($E3145,科目表!$B$4:$B$81,0)),""))</f>
        <v/>
      </c>
      <c r="G3145" s="67" t="str">
        <f aca="false">IF($E3145="","",IFERROR(INDEX(科目表!$E$4:$E$81,MATCH($E3145,科目表!$B$4:$B$81,0)),""))</f>
        <v/>
      </c>
      <c r="H3145" s="114"/>
      <c r="I3145" s="114"/>
      <c r="J3145" s="112"/>
      <c r="K3145" s="112"/>
      <c r="L3145" s="113"/>
      <c r="M3145" s="115"/>
      <c r="N3145" s="113"/>
      <c r="O3145" s="67" t="str">
        <f aca="false">IF($E3145="","","手工")</f>
        <v/>
      </c>
      <c r="P3145" s="113"/>
    </row>
    <row r="3146" customFormat="false" ht="18" hidden="false" customHeight="true" outlineLevel="0" collapsed="false">
      <c r="A3146" s="107" t="str">
        <f aca="false">IF($E3146="","",ROW()-3)</f>
        <v/>
      </c>
      <c r="B3146" s="111"/>
      <c r="C3146" s="112"/>
      <c r="D3146" s="113"/>
      <c r="E3146" s="112"/>
      <c r="F3146" s="99" t="str">
        <f aca="false">IF($E3146="","",IFERROR(INDEX(科目表!$A$4:$A$81,MATCH($E3146,科目表!$B$4:$B$81,0)),""))</f>
        <v/>
      </c>
      <c r="G3146" s="67" t="str">
        <f aca="false">IF($E3146="","",IFERROR(INDEX(科目表!$E$4:$E$81,MATCH($E3146,科目表!$B$4:$B$81,0)),""))</f>
        <v/>
      </c>
      <c r="H3146" s="114"/>
      <c r="I3146" s="114"/>
      <c r="J3146" s="112"/>
      <c r="K3146" s="112"/>
      <c r="L3146" s="113"/>
      <c r="M3146" s="115"/>
      <c r="N3146" s="113"/>
      <c r="O3146" s="67" t="str">
        <f aca="false">IF($E3146="","","手工")</f>
        <v/>
      </c>
      <c r="P3146" s="113"/>
    </row>
    <row r="3147" customFormat="false" ht="18" hidden="false" customHeight="true" outlineLevel="0" collapsed="false">
      <c r="A3147" s="107" t="str">
        <f aca="false">IF($E3147="","",ROW()-3)</f>
        <v/>
      </c>
      <c r="B3147" s="111"/>
      <c r="C3147" s="112"/>
      <c r="D3147" s="113"/>
      <c r="E3147" s="112"/>
      <c r="F3147" s="99" t="str">
        <f aca="false">IF($E3147="","",IFERROR(INDEX(科目表!$A$4:$A$81,MATCH($E3147,科目表!$B$4:$B$81,0)),""))</f>
        <v/>
      </c>
      <c r="G3147" s="67" t="str">
        <f aca="false">IF($E3147="","",IFERROR(INDEX(科目表!$E$4:$E$81,MATCH($E3147,科目表!$B$4:$B$81,0)),""))</f>
        <v/>
      </c>
      <c r="H3147" s="114"/>
      <c r="I3147" s="114"/>
      <c r="J3147" s="112"/>
      <c r="K3147" s="112"/>
      <c r="L3147" s="113"/>
      <c r="M3147" s="115"/>
      <c r="N3147" s="113"/>
      <c r="O3147" s="67" t="str">
        <f aca="false">IF($E3147="","","手工")</f>
        <v/>
      </c>
      <c r="P3147" s="113"/>
    </row>
    <row r="3148" customFormat="false" ht="18" hidden="false" customHeight="true" outlineLevel="0" collapsed="false">
      <c r="A3148" s="107" t="str">
        <f aca="false">IF($E3148="","",ROW()-3)</f>
        <v/>
      </c>
      <c r="B3148" s="111"/>
      <c r="C3148" s="112"/>
      <c r="D3148" s="113"/>
      <c r="E3148" s="112"/>
      <c r="F3148" s="99" t="str">
        <f aca="false">IF($E3148="","",IFERROR(INDEX(科目表!$A$4:$A$81,MATCH($E3148,科目表!$B$4:$B$81,0)),""))</f>
        <v/>
      </c>
      <c r="G3148" s="67" t="str">
        <f aca="false">IF($E3148="","",IFERROR(INDEX(科目表!$E$4:$E$81,MATCH($E3148,科目表!$B$4:$B$81,0)),""))</f>
        <v/>
      </c>
      <c r="H3148" s="114"/>
      <c r="I3148" s="114"/>
      <c r="J3148" s="112"/>
      <c r="K3148" s="112"/>
      <c r="L3148" s="113"/>
      <c r="M3148" s="115"/>
      <c r="N3148" s="113"/>
      <c r="O3148" s="67" t="str">
        <f aca="false">IF($E3148="","","手工")</f>
        <v/>
      </c>
      <c r="P3148" s="113"/>
    </row>
    <row r="3149" customFormat="false" ht="18" hidden="false" customHeight="true" outlineLevel="0" collapsed="false">
      <c r="A3149" s="107" t="str">
        <f aca="false">IF($E3149="","",ROW()-3)</f>
        <v/>
      </c>
      <c r="B3149" s="111"/>
      <c r="C3149" s="112"/>
      <c r="D3149" s="113"/>
      <c r="E3149" s="112"/>
      <c r="F3149" s="99" t="str">
        <f aca="false">IF($E3149="","",IFERROR(INDEX(科目表!$A$4:$A$81,MATCH($E3149,科目表!$B$4:$B$81,0)),""))</f>
        <v/>
      </c>
      <c r="G3149" s="67" t="str">
        <f aca="false">IF($E3149="","",IFERROR(INDEX(科目表!$E$4:$E$81,MATCH($E3149,科目表!$B$4:$B$81,0)),""))</f>
        <v/>
      </c>
      <c r="H3149" s="114"/>
      <c r="I3149" s="114"/>
      <c r="J3149" s="112"/>
      <c r="K3149" s="112"/>
      <c r="L3149" s="113"/>
      <c r="M3149" s="115"/>
      <c r="N3149" s="113"/>
      <c r="O3149" s="67" t="str">
        <f aca="false">IF($E3149="","","手工")</f>
        <v/>
      </c>
      <c r="P3149" s="113"/>
    </row>
    <row r="3150" customFormat="false" ht="18" hidden="false" customHeight="true" outlineLevel="0" collapsed="false">
      <c r="A3150" s="107" t="str">
        <f aca="false">IF($E3150="","",ROW()-3)</f>
        <v/>
      </c>
      <c r="B3150" s="111"/>
      <c r="C3150" s="112"/>
      <c r="D3150" s="113"/>
      <c r="E3150" s="112"/>
      <c r="F3150" s="99" t="str">
        <f aca="false">IF($E3150="","",IFERROR(INDEX(科目表!$A$4:$A$81,MATCH($E3150,科目表!$B$4:$B$81,0)),""))</f>
        <v/>
      </c>
      <c r="G3150" s="67" t="str">
        <f aca="false">IF($E3150="","",IFERROR(INDEX(科目表!$E$4:$E$81,MATCH($E3150,科目表!$B$4:$B$81,0)),""))</f>
        <v/>
      </c>
      <c r="H3150" s="114"/>
      <c r="I3150" s="114"/>
      <c r="J3150" s="112"/>
      <c r="K3150" s="112"/>
      <c r="L3150" s="113"/>
      <c r="M3150" s="115"/>
      <c r="N3150" s="113"/>
      <c r="O3150" s="67" t="str">
        <f aca="false">IF($E3150="","","手工")</f>
        <v/>
      </c>
      <c r="P3150" s="113"/>
    </row>
    <row r="3151" customFormat="false" ht="18" hidden="false" customHeight="true" outlineLevel="0" collapsed="false">
      <c r="A3151" s="107" t="str">
        <f aca="false">IF($E3151="","",ROW()-3)</f>
        <v/>
      </c>
      <c r="B3151" s="111"/>
      <c r="C3151" s="112"/>
      <c r="D3151" s="113"/>
      <c r="E3151" s="112"/>
      <c r="F3151" s="99" t="str">
        <f aca="false">IF($E3151="","",IFERROR(INDEX(科目表!$A$4:$A$81,MATCH($E3151,科目表!$B$4:$B$81,0)),""))</f>
        <v/>
      </c>
      <c r="G3151" s="67" t="str">
        <f aca="false">IF($E3151="","",IFERROR(INDEX(科目表!$E$4:$E$81,MATCH($E3151,科目表!$B$4:$B$81,0)),""))</f>
        <v/>
      </c>
      <c r="H3151" s="114"/>
      <c r="I3151" s="114"/>
      <c r="J3151" s="112"/>
      <c r="K3151" s="112"/>
      <c r="L3151" s="113"/>
      <c r="M3151" s="115"/>
      <c r="N3151" s="113"/>
      <c r="O3151" s="67" t="str">
        <f aca="false">IF($E3151="","","手工")</f>
        <v/>
      </c>
      <c r="P3151" s="113"/>
    </row>
    <row r="3152" customFormat="false" ht="18" hidden="false" customHeight="true" outlineLevel="0" collapsed="false">
      <c r="A3152" s="107" t="str">
        <f aca="false">IF($E3152="","",ROW()-3)</f>
        <v/>
      </c>
      <c r="B3152" s="111"/>
      <c r="C3152" s="112"/>
      <c r="D3152" s="113"/>
      <c r="E3152" s="112"/>
      <c r="F3152" s="99" t="str">
        <f aca="false">IF($E3152="","",IFERROR(INDEX(科目表!$A$4:$A$81,MATCH($E3152,科目表!$B$4:$B$81,0)),""))</f>
        <v/>
      </c>
      <c r="G3152" s="67" t="str">
        <f aca="false">IF($E3152="","",IFERROR(INDEX(科目表!$E$4:$E$81,MATCH($E3152,科目表!$B$4:$B$81,0)),""))</f>
        <v/>
      </c>
      <c r="H3152" s="114"/>
      <c r="I3152" s="114"/>
      <c r="J3152" s="112"/>
      <c r="K3152" s="112"/>
      <c r="L3152" s="113"/>
      <c r="M3152" s="115"/>
      <c r="N3152" s="113"/>
      <c r="O3152" s="67" t="str">
        <f aca="false">IF($E3152="","","手工")</f>
        <v/>
      </c>
      <c r="P3152" s="113"/>
    </row>
    <row r="3153" customFormat="false" ht="18" hidden="false" customHeight="true" outlineLevel="0" collapsed="false">
      <c r="A3153" s="107" t="str">
        <f aca="false">IF($E3153="","",ROW()-3)</f>
        <v/>
      </c>
      <c r="B3153" s="111"/>
      <c r="C3153" s="112"/>
      <c r="D3153" s="113"/>
      <c r="E3153" s="112"/>
      <c r="F3153" s="99" t="str">
        <f aca="false">IF($E3153="","",IFERROR(INDEX(科目表!$A$4:$A$81,MATCH($E3153,科目表!$B$4:$B$81,0)),""))</f>
        <v/>
      </c>
      <c r="G3153" s="67" t="str">
        <f aca="false">IF($E3153="","",IFERROR(INDEX(科目表!$E$4:$E$81,MATCH($E3153,科目表!$B$4:$B$81,0)),""))</f>
        <v/>
      </c>
      <c r="H3153" s="114"/>
      <c r="I3153" s="114"/>
      <c r="J3153" s="112"/>
      <c r="K3153" s="112"/>
      <c r="L3153" s="113"/>
      <c r="M3153" s="115"/>
      <c r="N3153" s="113"/>
      <c r="O3153" s="67" t="str">
        <f aca="false">IF($E3153="","","手工")</f>
        <v/>
      </c>
      <c r="P3153" s="113"/>
    </row>
    <row r="3154" customFormat="false" ht="18" hidden="false" customHeight="true" outlineLevel="0" collapsed="false">
      <c r="A3154" s="107" t="str">
        <f aca="false">IF($E3154="","",ROW()-3)</f>
        <v/>
      </c>
      <c r="B3154" s="111"/>
      <c r="C3154" s="112"/>
      <c r="D3154" s="113"/>
      <c r="E3154" s="112"/>
      <c r="F3154" s="99" t="str">
        <f aca="false">IF($E3154="","",IFERROR(INDEX(科目表!$A$4:$A$81,MATCH($E3154,科目表!$B$4:$B$81,0)),""))</f>
        <v/>
      </c>
      <c r="G3154" s="67" t="str">
        <f aca="false">IF($E3154="","",IFERROR(INDEX(科目表!$E$4:$E$81,MATCH($E3154,科目表!$B$4:$B$81,0)),""))</f>
        <v/>
      </c>
      <c r="H3154" s="114"/>
      <c r="I3154" s="114"/>
      <c r="J3154" s="112"/>
      <c r="K3154" s="112"/>
      <c r="L3154" s="113"/>
      <c r="M3154" s="115"/>
      <c r="N3154" s="113"/>
      <c r="O3154" s="67" t="str">
        <f aca="false">IF($E3154="","","手工")</f>
        <v/>
      </c>
      <c r="P3154" s="113"/>
    </row>
    <row r="3155" customFormat="false" ht="18" hidden="false" customHeight="true" outlineLevel="0" collapsed="false">
      <c r="A3155" s="107" t="str">
        <f aca="false">IF($E3155="","",ROW()-3)</f>
        <v/>
      </c>
      <c r="B3155" s="111"/>
      <c r="C3155" s="112"/>
      <c r="D3155" s="113"/>
      <c r="E3155" s="112"/>
      <c r="F3155" s="99" t="str">
        <f aca="false">IF($E3155="","",IFERROR(INDEX(科目表!$A$4:$A$81,MATCH($E3155,科目表!$B$4:$B$81,0)),""))</f>
        <v/>
      </c>
      <c r="G3155" s="67" t="str">
        <f aca="false">IF($E3155="","",IFERROR(INDEX(科目表!$E$4:$E$81,MATCH($E3155,科目表!$B$4:$B$81,0)),""))</f>
        <v/>
      </c>
      <c r="H3155" s="114"/>
      <c r="I3155" s="114"/>
      <c r="J3155" s="112"/>
      <c r="K3155" s="112"/>
      <c r="L3155" s="113"/>
      <c r="M3155" s="115"/>
      <c r="N3155" s="113"/>
      <c r="O3155" s="67" t="str">
        <f aca="false">IF($E3155="","","手工")</f>
        <v/>
      </c>
      <c r="P3155" s="113"/>
    </row>
    <row r="3156" customFormat="false" ht="18" hidden="false" customHeight="true" outlineLevel="0" collapsed="false">
      <c r="A3156" s="107" t="str">
        <f aca="false">IF($E3156="","",ROW()-3)</f>
        <v/>
      </c>
      <c r="B3156" s="111"/>
      <c r="C3156" s="112"/>
      <c r="D3156" s="113"/>
      <c r="E3156" s="112"/>
      <c r="F3156" s="99" t="str">
        <f aca="false">IF($E3156="","",IFERROR(INDEX(科目表!$A$4:$A$81,MATCH($E3156,科目表!$B$4:$B$81,0)),""))</f>
        <v/>
      </c>
      <c r="G3156" s="67" t="str">
        <f aca="false">IF($E3156="","",IFERROR(INDEX(科目表!$E$4:$E$81,MATCH($E3156,科目表!$B$4:$B$81,0)),""))</f>
        <v/>
      </c>
      <c r="H3156" s="114"/>
      <c r="I3156" s="114"/>
      <c r="J3156" s="112"/>
      <c r="K3156" s="112"/>
      <c r="L3156" s="113"/>
      <c r="M3156" s="115"/>
      <c r="N3156" s="113"/>
      <c r="O3156" s="67" t="str">
        <f aca="false">IF($E3156="","","手工")</f>
        <v/>
      </c>
      <c r="P3156" s="113"/>
    </row>
    <row r="3157" customFormat="false" ht="18" hidden="false" customHeight="true" outlineLevel="0" collapsed="false">
      <c r="A3157" s="107" t="str">
        <f aca="false">IF($E3157="","",ROW()-3)</f>
        <v/>
      </c>
      <c r="B3157" s="111"/>
      <c r="C3157" s="112"/>
      <c r="D3157" s="113"/>
      <c r="E3157" s="112"/>
      <c r="F3157" s="99" t="str">
        <f aca="false">IF($E3157="","",IFERROR(INDEX(科目表!$A$4:$A$81,MATCH($E3157,科目表!$B$4:$B$81,0)),""))</f>
        <v/>
      </c>
      <c r="G3157" s="67" t="str">
        <f aca="false">IF($E3157="","",IFERROR(INDEX(科目表!$E$4:$E$81,MATCH($E3157,科目表!$B$4:$B$81,0)),""))</f>
        <v/>
      </c>
      <c r="H3157" s="114"/>
      <c r="I3157" s="114"/>
      <c r="J3157" s="112"/>
      <c r="K3157" s="112"/>
      <c r="L3157" s="113"/>
      <c r="M3157" s="115"/>
      <c r="N3157" s="113"/>
      <c r="O3157" s="67" t="str">
        <f aca="false">IF($E3157="","","手工")</f>
        <v/>
      </c>
      <c r="P3157" s="113"/>
    </row>
    <row r="3158" customFormat="false" ht="18" hidden="false" customHeight="true" outlineLevel="0" collapsed="false">
      <c r="A3158" s="107" t="str">
        <f aca="false">IF($E3158="","",ROW()-3)</f>
        <v/>
      </c>
      <c r="B3158" s="111"/>
      <c r="C3158" s="112"/>
      <c r="D3158" s="113"/>
      <c r="E3158" s="112"/>
      <c r="F3158" s="99" t="str">
        <f aca="false">IF($E3158="","",IFERROR(INDEX(科目表!$A$4:$A$81,MATCH($E3158,科目表!$B$4:$B$81,0)),""))</f>
        <v/>
      </c>
      <c r="G3158" s="67" t="str">
        <f aca="false">IF($E3158="","",IFERROR(INDEX(科目表!$E$4:$E$81,MATCH($E3158,科目表!$B$4:$B$81,0)),""))</f>
        <v/>
      </c>
      <c r="H3158" s="114"/>
      <c r="I3158" s="114"/>
      <c r="J3158" s="112"/>
      <c r="K3158" s="112"/>
      <c r="L3158" s="113"/>
      <c r="M3158" s="115"/>
      <c r="N3158" s="113"/>
      <c r="O3158" s="67" t="str">
        <f aca="false">IF($E3158="","","手工")</f>
        <v/>
      </c>
      <c r="P3158" s="113"/>
    </row>
    <row r="3159" customFormat="false" ht="18" hidden="false" customHeight="true" outlineLevel="0" collapsed="false">
      <c r="A3159" s="107" t="str">
        <f aca="false">IF($E3159="","",ROW()-3)</f>
        <v/>
      </c>
      <c r="B3159" s="111"/>
      <c r="C3159" s="112"/>
      <c r="D3159" s="113"/>
      <c r="E3159" s="112"/>
      <c r="F3159" s="99" t="str">
        <f aca="false">IF($E3159="","",IFERROR(INDEX(科目表!$A$4:$A$81,MATCH($E3159,科目表!$B$4:$B$81,0)),""))</f>
        <v/>
      </c>
      <c r="G3159" s="67" t="str">
        <f aca="false">IF($E3159="","",IFERROR(INDEX(科目表!$E$4:$E$81,MATCH($E3159,科目表!$B$4:$B$81,0)),""))</f>
        <v/>
      </c>
      <c r="H3159" s="114"/>
      <c r="I3159" s="114"/>
      <c r="J3159" s="112"/>
      <c r="K3159" s="112"/>
      <c r="L3159" s="113"/>
      <c r="M3159" s="115"/>
      <c r="N3159" s="113"/>
      <c r="O3159" s="67" t="str">
        <f aca="false">IF($E3159="","","手工")</f>
        <v/>
      </c>
      <c r="P3159" s="113"/>
    </row>
    <row r="3160" customFormat="false" ht="18" hidden="false" customHeight="true" outlineLevel="0" collapsed="false">
      <c r="A3160" s="107" t="str">
        <f aca="false">IF($E3160="","",ROW()-3)</f>
        <v/>
      </c>
      <c r="B3160" s="111"/>
      <c r="C3160" s="112"/>
      <c r="D3160" s="113"/>
      <c r="E3160" s="112"/>
      <c r="F3160" s="99" t="str">
        <f aca="false">IF($E3160="","",IFERROR(INDEX(科目表!$A$4:$A$81,MATCH($E3160,科目表!$B$4:$B$81,0)),""))</f>
        <v/>
      </c>
      <c r="G3160" s="67" t="str">
        <f aca="false">IF($E3160="","",IFERROR(INDEX(科目表!$E$4:$E$81,MATCH($E3160,科目表!$B$4:$B$81,0)),""))</f>
        <v/>
      </c>
      <c r="H3160" s="114"/>
      <c r="I3160" s="114"/>
      <c r="J3160" s="112"/>
      <c r="K3160" s="112"/>
      <c r="L3160" s="113"/>
      <c r="M3160" s="115"/>
      <c r="N3160" s="113"/>
      <c r="O3160" s="67" t="str">
        <f aca="false">IF($E3160="","","手工")</f>
        <v/>
      </c>
      <c r="P3160" s="113"/>
    </row>
    <row r="3161" customFormat="false" ht="18" hidden="false" customHeight="true" outlineLevel="0" collapsed="false">
      <c r="A3161" s="107" t="str">
        <f aca="false">IF($E3161="","",ROW()-3)</f>
        <v/>
      </c>
      <c r="B3161" s="111"/>
      <c r="C3161" s="112"/>
      <c r="D3161" s="113"/>
      <c r="E3161" s="112"/>
      <c r="F3161" s="99" t="str">
        <f aca="false">IF($E3161="","",IFERROR(INDEX(科目表!$A$4:$A$81,MATCH($E3161,科目表!$B$4:$B$81,0)),""))</f>
        <v/>
      </c>
      <c r="G3161" s="67" t="str">
        <f aca="false">IF($E3161="","",IFERROR(INDEX(科目表!$E$4:$E$81,MATCH($E3161,科目表!$B$4:$B$81,0)),""))</f>
        <v/>
      </c>
      <c r="H3161" s="114"/>
      <c r="I3161" s="114"/>
      <c r="J3161" s="112"/>
      <c r="K3161" s="112"/>
      <c r="L3161" s="113"/>
      <c r="M3161" s="115"/>
      <c r="N3161" s="113"/>
      <c r="O3161" s="67" t="str">
        <f aca="false">IF($E3161="","","手工")</f>
        <v/>
      </c>
      <c r="P3161" s="113"/>
    </row>
    <row r="3162" customFormat="false" ht="18" hidden="false" customHeight="true" outlineLevel="0" collapsed="false">
      <c r="A3162" s="107" t="str">
        <f aca="false">IF($E3162="","",ROW()-3)</f>
        <v/>
      </c>
      <c r="B3162" s="111"/>
      <c r="C3162" s="112"/>
      <c r="D3162" s="113"/>
      <c r="E3162" s="112"/>
      <c r="F3162" s="99" t="str">
        <f aca="false">IF($E3162="","",IFERROR(INDEX(科目表!$A$4:$A$81,MATCH($E3162,科目表!$B$4:$B$81,0)),""))</f>
        <v/>
      </c>
      <c r="G3162" s="67" t="str">
        <f aca="false">IF($E3162="","",IFERROR(INDEX(科目表!$E$4:$E$81,MATCH($E3162,科目表!$B$4:$B$81,0)),""))</f>
        <v/>
      </c>
      <c r="H3162" s="114"/>
      <c r="I3162" s="114"/>
      <c r="J3162" s="112"/>
      <c r="K3162" s="112"/>
      <c r="L3162" s="113"/>
      <c r="M3162" s="115"/>
      <c r="N3162" s="113"/>
      <c r="O3162" s="67" t="str">
        <f aca="false">IF($E3162="","","手工")</f>
        <v/>
      </c>
      <c r="P3162" s="113"/>
    </row>
    <row r="3163" customFormat="false" ht="18" hidden="false" customHeight="true" outlineLevel="0" collapsed="false">
      <c r="A3163" s="107" t="str">
        <f aca="false">IF($E3163="","",ROW()-3)</f>
        <v/>
      </c>
      <c r="B3163" s="111"/>
      <c r="C3163" s="112"/>
      <c r="D3163" s="113"/>
      <c r="E3163" s="112"/>
      <c r="F3163" s="99" t="str">
        <f aca="false">IF($E3163="","",IFERROR(INDEX(科目表!$A$4:$A$81,MATCH($E3163,科目表!$B$4:$B$81,0)),""))</f>
        <v/>
      </c>
      <c r="G3163" s="67" t="str">
        <f aca="false">IF($E3163="","",IFERROR(INDEX(科目表!$E$4:$E$81,MATCH($E3163,科目表!$B$4:$B$81,0)),""))</f>
        <v/>
      </c>
      <c r="H3163" s="114"/>
      <c r="I3163" s="114"/>
      <c r="J3163" s="112"/>
      <c r="K3163" s="112"/>
      <c r="L3163" s="113"/>
      <c r="M3163" s="115"/>
      <c r="N3163" s="113"/>
      <c r="O3163" s="67" t="str">
        <f aca="false">IF($E3163="","","手工")</f>
        <v/>
      </c>
      <c r="P3163" s="113"/>
    </row>
    <row r="3164" customFormat="false" ht="18" hidden="false" customHeight="true" outlineLevel="0" collapsed="false">
      <c r="A3164" s="107" t="str">
        <f aca="false">IF($E3164="","",ROW()-3)</f>
        <v/>
      </c>
      <c r="B3164" s="111"/>
      <c r="C3164" s="112"/>
      <c r="D3164" s="113"/>
      <c r="E3164" s="112"/>
      <c r="F3164" s="99" t="str">
        <f aca="false">IF($E3164="","",IFERROR(INDEX(科目表!$A$4:$A$81,MATCH($E3164,科目表!$B$4:$B$81,0)),""))</f>
        <v/>
      </c>
      <c r="G3164" s="67" t="str">
        <f aca="false">IF($E3164="","",IFERROR(INDEX(科目表!$E$4:$E$81,MATCH($E3164,科目表!$B$4:$B$81,0)),""))</f>
        <v/>
      </c>
      <c r="H3164" s="114"/>
      <c r="I3164" s="114"/>
      <c r="J3164" s="112"/>
      <c r="K3164" s="112"/>
      <c r="L3164" s="113"/>
      <c r="M3164" s="115"/>
      <c r="N3164" s="113"/>
      <c r="O3164" s="67" t="str">
        <f aca="false">IF($E3164="","","手工")</f>
        <v/>
      </c>
      <c r="P3164" s="113"/>
    </row>
    <row r="3165" customFormat="false" ht="18" hidden="false" customHeight="true" outlineLevel="0" collapsed="false">
      <c r="A3165" s="107" t="str">
        <f aca="false">IF($E3165="","",ROW()-3)</f>
        <v/>
      </c>
      <c r="B3165" s="111"/>
      <c r="C3165" s="112"/>
      <c r="D3165" s="113"/>
      <c r="E3165" s="112"/>
      <c r="F3165" s="99" t="str">
        <f aca="false">IF($E3165="","",IFERROR(INDEX(科目表!$A$4:$A$81,MATCH($E3165,科目表!$B$4:$B$81,0)),""))</f>
        <v/>
      </c>
      <c r="G3165" s="67" t="str">
        <f aca="false">IF($E3165="","",IFERROR(INDEX(科目表!$E$4:$E$81,MATCH($E3165,科目表!$B$4:$B$81,0)),""))</f>
        <v/>
      </c>
      <c r="H3165" s="114"/>
      <c r="I3165" s="114"/>
      <c r="J3165" s="112"/>
      <c r="K3165" s="112"/>
      <c r="L3165" s="113"/>
      <c r="M3165" s="115"/>
      <c r="N3165" s="113"/>
      <c r="O3165" s="67" t="str">
        <f aca="false">IF($E3165="","","手工")</f>
        <v/>
      </c>
      <c r="P3165" s="113"/>
    </row>
    <row r="3166" customFormat="false" ht="18" hidden="false" customHeight="true" outlineLevel="0" collapsed="false">
      <c r="A3166" s="107" t="str">
        <f aca="false">IF($E3166="","",ROW()-3)</f>
        <v/>
      </c>
      <c r="B3166" s="111"/>
      <c r="C3166" s="112"/>
      <c r="D3166" s="113"/>
      <c r="E3166" s="112"/>
      <c r="F3166" s="99" t="str">
        <f aca="false">IF($E3166="","",IFERROR(INDEX(科目表!$A$4:$A$81,MATCH($E3166,科目表!$B$4:$B$81,0)),""))</f>
        <v/>
      </c>
      <c r="G3166" s="67" t="str">
        <f aca="false">IF($E3166="","",IFERROR(INDEX(科目表!$E$4:$E$81,MATCH($E3166,科目表!$B$4:$B$81,0)),""))</f>
        <v/>
      </c>
      <c r="H3166" s="114"/>
      <c r="I3166" s="114"/>
      <c r="J3166" s="112"/>
      <c r="K3166" s="112"/>
      <c r="L3166" s="113"/>
      <c r="M3166" s="115"/>
      <c r="N3166" s="113"/>
      <c r="O3166" s="67" t="str">
        <f aca="false">IF($E3166="","","手工")</f>
        <v/>
      </c>
      <c r="P3166" s="113"/>
    </row>
    <row r="3167" customFormat="false" ht="18" hidden="false" customHeight="true" outlineLevel="0" collapsed="false">
      <c r="A3167" s="107" t="str">
        <f aca="false">IF($E3167="","",ROW()-3)</f>
        <v/>
      </c>
      <c r="B3167" s="111"/>
      <c r="C3167" s="112"/>
      <c r="D3167" s="113"/>
      <c r="E3167" s="112"/>
      <c r="F3167" s="99" t="str">
        <f aca="false">IF($E3167="","",IFERROR(INDEX(科目表!$A$4:$A$81,MATCH($E3167,科目表!$B$4:$B$81,0)),""))</f>
        <v/>
      </c>
      <c r="G3167" s="67" t="str">
        <f aca="false">IF($E3167="","",IFERROR(INDEX(科目表!$E$4:$E$81,MATCH($E3167,科目表!$B$4:$B$81,0)),""))</f>
        <v/>
      </c>
      <c r="H3167" s="114"/>
      <c r="I3167" s="114"/>
      <c r="J3167" s="112"/>
      <c r="K3167" s="112"/>
      <c r="L3167" s="113"/>
      <c r="M3167" s="115"/>
      <c r="N3167" s="113"/>
      <c r="O3167" s="67" t="str">
        <f aca="false">IF($E3167="","","手工")</f>
        <v/>
      </c>
      <c r="P3167" s="113"/>
    </row>
    <row r="3168" customFormat="false" ht="18" hidden="false" customHeight="true" outlineLevel="0" collapsed="false">
      <c r="A3168" s="107" t="str">
        <f aca="false">IF($E3168="","",ROW()-3)</f>
        <v/>
      </c>
      <c r="B3168" s="111"/>
      <c r="C3168" s="112"/>
      <c r="D3168" s="113"/>
      <c r="E3168" s="112"/>
      <c r="F3168" s="99" t="str">
        <f aca="false">IF($E3168="","",IFERROR(INDEX(科目表!$A$4:$A$81,MATCH($E3168,科目表!$B$4:$B$81,0)),""))</f>
        <v/>
      </c>
      <c r="G3168" s="67" t="str">
        <f aca="false">IF($E3168="","",IFERROR(INDEX(科目表!$E$4:$E$81,MATCH($E3168,科目表!$B$4:$B$81,0)),""))</f>
        <v/>
      </c>
      <c r="H3168" s="114"/>
      <c r="I3168" s="114"/>
      <c r="J3168" s="112"/>
      <c r="K3168" s="112"/>
      <c r="L3168" s="113"/>
      <c r="M3168" s="115"/>
      <c r="N3168" s="113"/>
      <c r="O3168" s="67" t="str">
        <f aca="false">IF($E3168="","","手工")</f>
        <v/>
      </c>
      <c r="P3168" s="113"/>
    </row>
    <row r="3169" customFormat="false" ht="18" hidden="false" customHeight="true" outlineLevel="0" collapsed="false">
      <c r="A3169" s="107" t="str">
        <f aca="false">IF($E3169="","",ROW()-3)</f>
        <v/>
      </c>
      <c r="B3169" s="111"/>
      <c r="C3169" s="112"/>
      <c r="D3169" s="113"/>
      <c r="E3169" s="112"/>
      <c r="F3169" s="99" t="str">
        <f aca="false">IF($E3169="","",IFERROR(INDEX(科目表!$A$4:$A$81,MATCH($E3169,科目表!$B$4:$B$81,0)),""))</f>
        <v/>
      </c>
      <c r="G3169" s="67" t="str">
        <f aca="false">IF($E3169="","",IFERROR(INDEX(科目表!$E$4:$E$81,MATCH($E3169,科目表!$B$4:$B$81,0)),""))</f>
        <v/>
      </c>
      <c r="H3169" s="114"/>
      <c r="I3169" s="114"/>
      <c r="J3169" s="112"/>
      <c r="K3169" s="112"/>
      <c r="L3169" s="113"/>
      <c r="M3169" s="115"/>
      <c r="N3169" s="113"/>
      <c r="O3169" s="67" t="str">
        <f aca="false">IF($E3169="","","手工")</f>
        <v/>
      </c>
      <c r="P3169" s="113"/>
    </row>
    <row r="3170" customFormat="false" ht="18" hidden="false" customHeight="true" outlineLevel="0" collapsed="false">
      <c r="A3170" s="107" t="str">
        <f aca="false">IF($E3170="","",ROW()-3)</f>
        <v/>
      </c>
      <c r="B3170" s="111"/>
      <c r="C3170" s="112"/>
      <c r="D3170" s="113"/>
      <c r="E3170" s="112"/>
      <c r="F3170" s="99" t="str">
        <f aca="false">IF($E3170="","",IFERROR(INDEX(科目表!$A$4:$A$81,MATCH($E3170,科目表!$B$4:$B$81,0)),""))</f>
        <v/>
      </c>
      <c r="G3170" s="67" t="str">
        <f aca="false">IF($E3170="","",IFERROR(INDEX(科目表!$E$4:$E$81,MATCH($E3170,科目表!$B$4:$B$81,0)),""))</f>
        <v/>
      </c>
      <c r="H3170" s="114"/>
      <c r="I3170" s="114"/>
      <c r="J3170" s="112"/>
      <c r="K3170" s="112"/>
      <c r="L3170" s="113"/>
      <c r="M3170" s="115"/>
      <c r="N3170" s="113"/>
      <c r="O3170" s="67" t="str">
        <f aca="false">IF($E3170="","","手工")</f>
        <v/>
      </c>
      <c r="P3170" s="113"/>
    </row>
    <row r="3171" customFormat="false" ht="18" hidden="false" customHeight="true" outlineLevel="0" collapsed="false">
      <c r="A3171" s="107" t="str">
        <f aca="false">IF($E3171="","",ROW()-3)</f>
        <v/>
      </c>
      <c r="B3171" s="111"/>
      <c r="C3171" s="112"/>
      <c r="D3171" s="113"/>
      <c r="E3171" s="112"/>
      <c r="F3171" s="99" t="str">
        <f aca="false">IF($E3171="","",IFERROR(INDEX(科目表!$A$4:$A$81,MATCH($E3171,科目表!$B$4:$B$81,0)),""))</f>
        <v/>
      </c>
      <c r="G3171" s="67" t="str">
        <f aca="false">IF($E3171="","",IFERROR(INDEX(科目表!$E$4:$E$81,MATCH($E3171,科目表!$B$4:$B$81,0)),""))</f>
        <v/>
      </c>
      <c r="H3171" s="114"/>
      <c r="I3171" s="114"/>
      <c r="J3171" s="112"/>
      <c r="K3171" s="112"/>
      <c r="L3171" s="113"/>
      <c r="M3171" s="115"/>
      <c r="N3171" s="113"/>
      <c r="O3171" s="67" t="str">
        <f aca="false">IF($E3171="","","手工")</f>
        <v/>
      </c>
      <c r="P3171" s="113"/>
    </row>
    <row r="3172" customFormat="false" ht="18" hidden="false" customHeight="true" outlineLevel="0" collapsed="false">
      <c r="A3172" s="107" t="str">
        <f aca="false">IF($E3172="","",ROW()-3)</f>
        <v/>
      </c>
      <c r="B3172" s="111"/>
      <c r="C3172" s="112"/>
      <c r="D3172" s="113"/>
      <c r="E3172" s="112"/>
      <c r="F3172" s="99" t="str">
        <f aca="false">IF($E3172="","",IFERROR(INDEX(科目表!$A$4:$A$81,MATCH($E3172,科目表!$B$4:$B$81,0)),""))</f>
        <v/>
      </c>
      <c r="G3172" s="67" t="str">
        <f aca="false">IF($E3172="","",IFERROR(INDEX(科目表!$E$4:$E$81,MATCH($E3172,科目表!$B$4:$B$81,0)),""))</f>
        <v/>
      </c>
      <c r="H3172" s="114"/>
      <c r="I3172" s="114"/>
      <c r="J3172" s="112"/>
      <c r="K3172" s="112"/>
      <c r="L3172" s="113"/>
      <c r="M3172" s="115"/>
      <c r="N3172" s="113"/>
      <c r="O3172" s="67" t="str">
        <f aca="false">IF($E3172="","","手工")</f>
        <v/>
      </c>
      <c r="P3172" s="113"/>
    </row>
    <row r="3173" customFormat="false" ht="18" hidden="false" customHeight="true" outlineLevel="0" collapsed="false">
      <c r="A3173" s="107" t="str">
        <f aca="false">IF($E3173="","",ROW()-3)</f>
        <v/>
      </c>
      <c r="B3173" s="111"/>
      <c r="C3173" s="112"/>
      <c r="D3173" s="113"/>
      <c r="E3173" s="112"/>
      <c r="F3173" s="99" t="str">
        <f aca="false">IF($E3173="","",IFERROR(INDEX(科目表!$A$4:$A$81,MATCH($E3173,科目表!$B$4:$B$81,0)),""))</f>
        <v/>
      </c>
      <c r="G3173" s="67" t="str">
        <f aca="false">IF($E3173="","",IFERROR(INDEX(科目表!$E$4:$E$81,MATCH($E3173,科目表!$B$4:$B$81,0)),""))</f>
        <v/>
      </c>
      <c r="H3173" s="114"/>
      <c r="I3173" s="114"/>
      <c r="J3173" s="112"/>
      <c r="K3173" s="112"/>
      <c r="L3173" s="113"/>
      <c r="M3173" s="115"/>
      <c r="N3173" s="113"/>
      <c r="O3173" s="67" t="str">
        <f aca="false">IF($E3173="","","手工")</f>
        <v/>
      </c>
      <c r="P3173" s="113"/>
    </row>
    <row r="3174" customFormat="false" ht="18" hidden="false" customHeight="true" outlineLevel="0" collapsed="false">
      <c r="A3174" s="107" t="str">
        <f aca="false">IF($E3174="","",ROW()-3)</f>
        <v/>
      </c>
      <c r="B3174" s="111"/>
      <c r="C3174" s="112"/>
      <c r="D3174" s="113"/>
      <c r="E3174" s="112"/>
      <c r="F3174" s="99" t="str">
        <f aca="false">IF($E3174="","",IFERROR(INDEX(科目表!$A$4:$A$81,MATCH($E3174,科目表!$B$4:$B$81,0)),""))</f>
        <v/>
      </c>
      <c r="G3174" s="67" t="str">
        <f aca="false">IF($E3174="","",IFERROR(INDEX(科目表!$E$4:$E$81,MATCH($E3174,科目表!$B$4:$B$81,0)),""))</f>
        <v/>
      </c>
      <c r="H3174" s="114"/>
      <c r="I3174" s="114"/>
      <c r="J3174" s="112"/>
      <c r="K3174" s="112"/>
      <c r="L3174" s="113"/>
      <c r="M3174" s="115"/>
      <c r="N3174" s="113"/>
      <c r="O3174" s="67" t="str">
        <f aca="false">IF($E3174="","","手工")</f>
        <v/>
      </c>
      <c r="P3174" s="113"/>
    </row>
    <row r="3175" customFormat="false" ht="18" hidden="false" customHeight="true" outlineLevel="0" collapsed="false">
      <c r="A3175" s="107" t="str">
        <f aca="false">IF($E3175="","",ROW()-3)</f>
        <v/>
      </c>
      <c r="B3175" s="111"/>
      <c r="C3175" s="112"/>
      <c r="D3175" s="113"/>
      <c r="E3175" s="112"/>
      <c r="F3175" s="99" t="str">
        <f aca="false">IF($E3175="","",IFERROR(INDEX(科目表!$A$4:$A$81,MATCH($E3175,科目表!$B$4:$B$81,0)),""))</f>
        <v/>
      </c>
      <c r="G3175" s="67" t="str">
        <f aca="false">IF($E3175="","",IFERROR(INDEX(科目表!$E$4:$E$81,MATCH($E3175,科目表!$B$4:$B$81,0)),""))</f>
        <v/>
      </c>
      <c r="H3175" s="114"/>
      <c r="I3175" s="114"/>
      <c r="J3175" s="112"/>
      <c r="K3175" s="112"/>
      <c r="L3175" s="113"/>
      <c r="M3175" s="115"/>
      <c r="N3175" s="113"/>
      <c r="O3175" s="67" t="str">
        <f aca="false">IF($E3175="","","手工")</f>
        <v/>
      </c>
      <c r="P3175" s="113"/>
    </row>
    <row r="3176" customFormat="false" ht="18" hidden="false" customHeight="true" outlineLevel="0" collapsed="false">
      <c r="A3176" s="107" t="str">
        <f aca="false">IF($E3176="","",ROW()-3)</f>
        <v/>
      </c>
      <c r="B3176" s="111"/>
      <c r="C3176" s="112"/>
      <c r="D3176" s="113"/>
      <c r="E3176" s="112"/>
      <c r="F3176" s="99" t="str">
        <f aca="false">IF($E3176="","",IFERROR(INDEX(科目表!$A$4:$A$81,MATCH($E3176,科目表!$B$4:$B$81,0)),""))</f>
        <v/>
      </c>
      <c r="G3176" s="67" t="str">
        <f aca="false">IF($E3176="","",IFERROR(INDEX(科目表!$E$4:$E$81,MATCH($E3176,科目表!$B$4:$B$81,0)),""))</f>
        <v/>
      </c>
      <c r="H3176" s="114"/>
      <c r="I3176" s="114"/>
      <c r="J3176" s="112"/>
      <c r="K3176" s="112"/>
      <c r="L3176" s="113"/>
      <c r="M3176" s="115"/>
      <c r="N3176" s="113"/>
      <c r="O3176" s="67" t="str">
        <f aca="false">IF($E3176="","","手工")</f>
        <v/>
      </c>
      <c r="P3176" s="113"/>
    </row>
    <row r="3177" customFormat="false" ht="18" hidden="false" customHeight="true" outlineLevel="0" collapsed="false">
      <c r="A3177" s="107" t="str">
        <f aca="false">IF($E3177="","",ROW()-3)</f>
        <v/>
      </c>
      <c r="B3177" s="111"/>
      <c r="C3177" s="112"/>
      <c r="D3177" s="113"/>
      <c r="E3177" s="112"/>
      <c r="F3177" s="99" t="str">
        <f aca="false">IF($E3177="","",IFERROR(INDEX(科目表!$A$4:$A$81,MATCH($E3177,科目表!$B$4:$B$81,0)),""))</f>
        <v/>
      </c>
      <c r="G3177" s="67" t="str">
        <f aca="false">IF($E3177="","",IFERROR(INDEX(科目表!$E$4:$E$81,MATCH($E3177,科目表!$B$4:$B$81,0)),""))</f>
        <v/>
      </c>
      <c r="H3177" s="114"/>
      <c r="I3177" s="114"/>
      <c r="J3177" s="112"/>
      <c r="K3177" s="112"/>
      <c r="L3177" s="113"/>
      <c r="M3177" s="115"/>
      <c r="N3177" s="113"/>
      <c r="O3177" s="67" t="str">
        <f aca="false">IF($E3177="","","手工")</f>
        <v/>
      </c>
      <c r="P3177" s="113"/>
    </row>
    <row r="3178" customFormat="false" ht="18" hidden="false" customHeight="true" outlineLevel="0" collapsed="false">
      <c r="A3178" s="107" t="str">
        <f aca="false">IF($E3178="","",ROW()-3)</f>
        <v/>
      </c>
      <c r="B3178" s="111"/>
      <c r="C3178" s="112"/>
      <c r="D3178" s="113"/>
      <c r="E3178" s="112"/>
      <c r="F3178" s="99" t="str">
        <f aca="false">IF($E3178="","",IFERROR(INDEX(科目表!$A$4:$A$81,MATCH($E3178,科目表!$B$4:$B$81,0)),""))</f>
        <v/>
      </c>
      <c r="G3178" s="67" t="str">
        <f aca="false">IF($E3178="","",IFERROR(INDEX(科目表!$E$4:$E$81,MATCH($E3178,科目表!$B$4:$B$81,0)),""))</f>
        <v/>
      </c>
      <c r="H3178" s="114"/>
      <c r="I3178" s="114"/>
      <c r="J3178" s="112"/>
      <c r="K3178" s="112"/>
      <c r="L3178" s="113"/>
      <c r="M3178" s="115"/>
      <c r="N3178" s="113"/>
      <c r="O3178" s="67" t="str">
        <f aca="false">IF($E3178="","","手工")</f>
        <v/>
      </c>
      <c r="P3178" s="113"/>
    </row>
    <row r="3179" customFormat="false" ht="18" hidden="false" customHeight="true" outlineLevel="0" collapsed="false">
      <c r="A3179" s="107" t="str">
        <f aca="false">IF($E3179="","",ROW()-3)</f>
        <v/>
      </c>
      <c r="B3179" s="111"/>
      <c r="C3179" s="112"/>
      <c r="D3179" s="113"/>
      <c r="E3179" s="112"/>
      <c r="F3179" s="99" t="str">
        <f aca="false">IF($E3179="","",IFERROR(INDEX(科目表!$A$4:$A$81,MATCH($E3179,科目表!$B$4:$B$81,0)),""))</f>
        <v/>
      </c>
      <c r="G3179" s="67" t="str">
        <f aca="false">IF($E3179="","",IFERROR(INDEX(科目表!$E$4:$E$81,MATCH($E3179,科目表!$B$4:$B$81,0)),""))</f>
        <v/>
      </c>
      <c r="H3179" s="114"/>
      <c r="I3179" s="114"/>
      <c r="J3179" s="112"/>
      <c r="K3179" s="112"/>
      <c r="L3179" s="113"/>
      <c r="M3179" s="115"/>
      <c r="N3179" s="113"/>
      <c r="O3179" s="67" t="str">
        <f aca="false">IF($E3179="","","手工")</f>
        <v/>
      </c>
      <c r="P3179" s="113"/>
    </row>
    <row r="3180" customFormat="false" ht="18" hidden="false" customHeight="true" outlineLevel="0" collapsed="false">
      <c r="A3180" s="107" t="str">
        <f aca="false">IF($E3180="","",ROW()-3)</f>
        <v/>
      </c>
      <c r="B3180" s="111"/>
      <c r="C3180" s="112"/>
      <c r="D3180" s="113"/>
      <c r="E3180" s="112"/>
      <c r="F3180" s="99" t="str">
        <f aca="false">IF($E3180="","",IFERROR(INDEX(科目表!$A$4:$A$81,MATCH($E3180,科目表!$B$4:$B$81,0)),""))</f>
        <v/>
      </c>
      <c r="G3180" s="67" t="str">
        <f aca="false">IF($E3180="","",IFERROR(INDEX(科目表!$E$4:$E$81,MATCH($E3180,科目表!$B$4:$B$81,0)),""))</f>
        <v/>
      </c>
      <c r="H3180" s="114"/>
      <c r="I3180" s="114"/>
      <c r="J3180" s="112"/>
      <c r="K3180" s="112"/>
      <c r="L3180" s="113"/>
      <c r="M3180" s="115"/>
      <c r="N3180" s="113"/>
      <c r="O3180" s="67" t="str">
        <f aca="false">IF($E3180="","","手工")</f>
        <v/>
      </c>
      <c r="P3180" s="113"/>
    </row>
    <row r="3181" customFormat="false" ht="18" hidden="false" customHeight="true" outlineLevel="0" collapsed="false">
      <c r="A3181" s="107" t="str">
        <f aca="false">IF($E3181="","",ROW()-3)</f>
        <v/>
      </c>
      <c r="B3181" s="111"/>
      <c r="C3181" s="112"/>
      <c r="D3181" s="113"/>
      <c r="E3181" s="112"/>
      <c r="F3181" s="99" t="str">
        <f aca="false">IF($E3181="","",IFERROR(INDEX(科目表!$A$4:$A$81,MATCH($E3181,科目表!$B$4:$B$81,0)),""))</f>
        <v/>
      </c>
      <c r="G3181" s="67" t="str">
        <f aca="false">IF($E3181="","",IFERROR(INDEX(科目表!$E$4:$E$81,MATCH($E3181,科目表!$B$4:$B$81,0)),""))</f>
        <v/>
      </c>
      <c r="H3181" s="114"/>
      <c r="I3181" s="114"/>
      <c r="J3181" s="112"/>
      <c r="K3181" s="112"/>
      <c r="L3181" s="113"/>
      <c r="M3181" s="115"/>
      <c r="N3181" s="113"/>
      <c r="O3181" s="67" t="str">
        <f aca="false">IF($E3181="","","手工")</f>
        <v/>
      </c>
      <c r="P3181" s="113"/>
    </row>
    <row r="3182" customFormat="false" ht="18" hidden="false" customHeight="true" outlineLevel="0" collapsed="false">
      <c r="A3182" s="107" t="str">
        <f aca="false">IF($E3182="","",ROW()-3)</f>
        <v/>
      </c>
      <c r="B3182" s="111"/>
      <c r="C3182" s="112"/>
      <c r="D3182" s="113"/>
      <c r="E3182" s="112"/>
      <c r="F3182" s="99" t="str">
        <f aca="false">IF($E3182="","",IFERROR(INDEX(科目表!$A$4:$A$81,MATCH($E3182,科目表!$B$4:$B$81,0)),""))</f>
        <v/>
      </c>
      <c r="G3182" s="67" t="str">
        <f aca="false">IF($E3182="","",IFERROR(INDEX(科目表!$E$4:$E$81,MATCH($E3182,科目表!$B$4:$B$81,0)),""))</f>
        <v/>
      </c>
      <c r="H3182" s="114"/>
      <c r="I3182" s="114"/>
      <c r="J3182" s="112"/>
      <c r="K3182" s="112"/>
      <c r="L3182" s="113"/>
      <c r="M3182" s="115"/>
      <c r="N3182" s="113"/>
      <c r="O3182" s="67" t="str">
        <f aca="false">IF($E3182="","","手工")</f>
        <v/>
      </c>
      <c r="P3182" s="113"/>
    </row>
    <row r="3183" customFormat="false" ht="18" hidden="false" customHeight="true" outlineLevel="0" collapsed="false">
      <c r="A3183" s="107" t="str">
        <f aca="false">IF($E3183="","",ROW()-3)</f>
        <v/>
      </c>
      <c r="B3183" s="111"/>
      <c r="C3183" s="112"/>
      <c r="D3183" s="113"/>
      <c r="E3183" s="112"/>
      <c r="F3183" s="99" t="str">
        <f aca="false">IF($E3183="","",IFERROR(INDEX(科目表!$A$4:$A$81,MATCH($E3183,科目表!$B$4:$B$81,0)),""))</f>
        <v/>
      </c>
      <c r="G3183" s="67" t="str">
        <f aca="false">IF($E3183="","",IFERROR(INDEX(科目表!$E$4:$E$81,MATCH($E3183,科目表!$B$4:$B$81,0)),""))</f>
        <v/>
      </c>
      <c r="H3183" s="114"/>
      <c r="I3183" s="114"/>
      <c r="J3183" s="112"/>
      <c r="K3183" s="112"/>
      <c r="L3183" s="113"/>
      <c r="M3183" s="115"/>
      <c r="N3183" s="113"/>
      <c r="O3183" s="67" t="str">
        <f aca="false">IF($E3183="","","手工")</f>
        <v/>
      </c>
      <c r="P3183" s="113"/>
    </row>
    <row r="3184" customFormat="false" ht="18" hidden="false" customHeight="true" outlineLevel="0" collapsed="false">
      <c r="A3184" s="107" t="str">
        <f aca="false">IF($E3184="","",ROW()-3)</f>
        <v/>
      </c>
      <c r="B3184" s="111"/>
      <c r="C3184" s="112"/>
      <c r="D3184" s="113"/>
      <c r="E3184" s="112"/>
      <c r="F3184" s="99" t="str">
        <f aca="false">IF($E3184="","",IFERROR(INDEX(科目表!$A$4:$A$81,MATCH($E3184,科目表!$B$4:$B$81,0)),""))</f>
        <v/>
      </c>
      <c r="G3184" s="67" t="str">
        <f aca="false">IF($E3184="","",IFERROR(INDEX(科目表!$E$4:$E$81,MATCH($E3184,科目表!$B$4:$B$81,0)),""))</f>
        <v/>
      </c>
      <c r="H3184" s="114"/>
      <c r="I3184" s="114"/>
      <c r="J3184" s="112"/>
      <c r="K3184" s="112"/>
      <c r="L3184" s="113"/>
      <c r="M3184" s="115"/>
      <c r="N3184" s="113"/>
      <c r="O3184" s="67" t="str">
        <f aca="false">IF($E3184="","","手工")</f>
        <v/>
      </c>
      <c r="P3184" s="113"/>
    </row>
    <row r="3185" customFormat="false" ht="18" hidden="false" customHeight="true" outlineLevel="0" collapsed="false">
      <c r="A3185" s="107" t="str">
        <f aca="false">IF($E3185="","",ROW()-3)</f>
        <v/>
      </c>
      <c r="B3185" s="111"/>
      <c r="C3185" s="112"/>
      <c r="D3185" s="113"/>
      <c r="E3185" s="112"/>
      <c r="F3185" s="99" t="str">
        <f aca="false">IF($E3185="","",IFERROR(INDEX(科目表!$A$4:$A$81,MATCH($E3185,科目表!$B$4:$B$81,0)),""))</f>
        <v/>
      </c>
      <c r="G3185" s="67" t="str">
        <f aca="false">IF($E3185="","",IFERROR(INDEX(科目表!$E$4:$E$81,MATCH($E3185,科目表!$B$4:$B$81,0)),""))</f>
        <v/>
      </c>
      <c r="H3185" s="114"/>
      <c r="I3185" s="114"/>
      <c r="J3185" s="112"/>
      <c r="K3185" s="112"/>
      <c r="L3185" s="113"/>
      <c r="M3185" s="115"/>
      <c r="N3185" s="113"/>
      <c r="O3185" s="67" t="str">
        <f aca="false">IF($E3185="","","手工")</f>
        <v/>
      </c>
      <c r="P3185" s="113"/>
    </row>
    <row r="3186" customFormat="false" ht="18" hidden="false" customHeight="true" outlineLevel="0" collapsed="false">
      <c r="A3186" s="107" t="str">
        <f aca="false">IF($E3186="","",ROW()-3)</f>
        <v/>
      </c>
      <c r="B3186" s="111"/>
      <c r="C3186" s="112"/>
      <c r="D3186" s="113"/>
      <c r="E3186" s="112"/>
      <c r="F3186" s="99" t="str">
        <f aca="false">IF($E3186="","",IFERROR(INDEX(科目表!$A$4:$A$81,MATCH($E3186,科目表!$B$4:$B$81,0)),""))</f>
        <v/>
      </c>
      <c r="G3186" s="67" t="str">
        <f aca="false">IF($E3186="","",IFERROR(INDEX(科目表!$E$4:$E$81,MATCH($E3186,科目表!$B$4:$B$81,0)),""))</f>
        <v/>
      </c>
      <c r="H3186" s="114"/>
      <c r="I3186" s="114"/>
      <c r="J3186" s="112"/>
      <c r="K3186" s="112"/>
      <c r="L3186" s="113"/>
      <c r="M3186" s="115"/>
      <c r="N3186" s="113"/>
      <c r="O3186" s="67" t="str">
        <f aca="false">IF($E3186="","","手工")</f>
        <v/>
      </c>
      <c r="P3186" s="113"/>
    </row>
    <row r="3187" customFormat="false" ht="18" hidden="false" customHeight="true" outlineLevel="0" collapsed="false">
      <c r="A3187" s="107" t="str">
        <f aca="false">IF($E3187="","",ROW()-3)</f>
        <v/>
      </c>
      <c r="B3187" s="111"/>
      <c r="C3187" s="112"/>
      <c r="D3187" s="113"/>
      <c r="E3187" s="112"/>
      <c r="F3187" s="99" t="str">
        <f aca="false">IF($E3187="","",IFERROR(INDEX(科目表!$A$4:$A$81,MATCH($E3187,科目表!$B$4:$B$81,0)),""))</f>
        <v/>
      </c>
      <c r="G3187" s="67" t="str">
        <f aca="false">IF($E3187="","",IFERROR(INDEX(科目表!$E$4:$E$81,MATCH($E3187,科目表!$B$4:$B$81,0)),""))</f>
        <v/>
      </c>
      <c r="H3187" s="114"/>
      <c r="I3187" s="114"/>
      <c r="J3187" s="112"/>
      <c r="K3187" s="112"/>
      <c r="L3187" s="113"/>
      <c r="M3187" s="115"/>
      <c r="N3187" s="113"/>
      <c r="O3187" s="67" t="str">
        <f aca="false">IF($E3187="","","手工")</f>
        <v/>
      </c>
      <c r="P3187" s="113"/>
    </row>
    <row r="3188" customFormat="false" ht="18" hidden="false" customHeight="true" outlineLevel="0" collapsed="false">
      <c r="A3188" s="107" t="str">
        <f aca="false">IF($E3188="","",ROW()-3)</f>
        <v/>
      </c>
      <c r="B3188" s="111"/>
      <c r="C3188" s="112"/>
      <c r="D3188" s="113"/>
      <c r="E3188" s="112"/>
      <c r="F3188" s="99" t="str">
        <f aca="false">IF($E3188="","",IFERROR(INDEX(科目表!$A$4:$A$81,MATCH($E3188,科目表!$B$4:$B$81,0)),""))</f>
        <v/>
      </c>
      <c r="G3188" s="67" t="str">
        <f aca="false">IF($E3188="","",IFERROR(INDEX(科目表!$E$4:$E$81,MATCH($E3188,科目表!$B$4:$B$81,0)),""))</f>
        <v/>
      </c>
      <c r="H3188" s="114"/>
      <c r="I3188" s="114"/>
      <c r="J3188" s="112"/>
      <c r="K3188" s="112"/>
      <c r="L3188" s="113"/>
      <c r="M3188" s="115"/>
      <c r="N3188" s="113"/>
      <c r="O3188" s="67" t="str">
        <f aca="false">IF($E3188="","","手工")</f>
        <v/>
      </c>
      <c r="P3188" s="113"/>
    </row>
    <row r="3189" customFormat="false" ht="18" hidden="false" customHeight="true" outlineLevel="0" collapsed="false">
      <c r="A3189" s="107" t="str">
        <f aca="false">IF($E3189="","",ROW()-3)</f>
        <v/>
      </c>
      <c r="B3189" s="111"/>
      <c r="C3189" s="112"/>
      <c r="D3189" s="113"/>
      <c r="E3189" s="112"/>
      <c r="F3189" s="99" t="str">
        <f aca="false">IF($E3189="","",IFERROR(INDEX(科目表!$A$4:$A$81,MATCH($E3189,科目表!$B$4:$B$81,0)),""))</f>
        <v/>
      </c>
      <c r="G3189" s="67" t="str">
        <f aca="false">IF($E3189="","",IFERROR(INDEX(科目表!$E$4:$E$81,MATCH($E3189,科目表!$B$4:$B$81,0)),""))</f>
        <v/>
      </c>
      <c r="H3189" s="114"/>
      <c r="I3189" s="114"/>
      <c r="J3189" s="112"/>
      <c r="K3189" s="112"/>
      <c r="L3189" s="113"/>
      <c r="M3189" s="115"/>
      <c r="N3189" s="113"/>
      <c r="O3189" s="67" t="str">
        <f aca="false">IF($E3189="","","手工")</f>
        <v/>
      </c>
      <c r="P3189" s="113"/>
    </row>
    <row r="3190" customFormat="false" ht="18" hidden="false" customHeight="true" outlineLevel="0" collapsed="false">
      <c r="A3190" s="107" t="str">
        <f aca="false">IF($E3190="","",ROW()-3)</f>
        <v/>
      </c>
      <c r="B3190" s="111"/>
      <c r="C3190" s="112"/>
      <c r="D3190" s="113"/>
      <c r="E3190" s="112"/>
      <c r="F3190" s="99" t="str">
        <f aca="false">IF($E3190="","",IFERROR(INDEX(科目表!$A$4:$A$81,MATCH($E3190,科目表!$B$4:$B$81,0)),""))</f>
        <v/>
      </c>
      <c r="G3190" s="67" t="str">
        <f aca="false">IF($E3190="","",IFERROR(INDEX(科目表!$E$4:$E$81,MATCH($E3190,科目表!$B$4:$B$81,0)),""))</f>
        <v/>
      </c>
      <c r="H3190" s="114"/>
      <c r="I3190" s="114"/>
      <c r="J3190" s="112"/>
      <c r="K3190" s="112"/>
      <c r="L3190" s="113"/>
      <c r="M3190" s="115"/>
      <c r="N3190" s="113"/>
      <c r="O3190" s="67" t="str">
        <f aca="false">IF($E3190="","","手工")</f>
        <v/>
      </c>
      <c r="P3190" s="113"/>
    </row>
    <row r="3191" customFormat="false" ht="18" hidden="false" customHeight="true" outlineLevel="0" collapsed="false">
      <c r="A3191" s="107" t="str">
        <f aca="false">IF($E3191="","",ROW()-3)</f>
        <v/>
      </c>
      <c r="B3191" s="111"/>
      <c r="C3191" s="112"/>
      <c r="D3191" s="113"/>
      <c r="E3191" s="112"/>
      <c r="F3191" s="99" t="str">
        <f aca="false">IF($E3191="","",IFERROR(INDEX(科目表!$A$4:$A$81,MATCH($E3191,科目表!$B$4:$B$81,0)),""))</f>
        <v/>
      </c>
      <c r="G3191" s="67" t="str">
        <f aca="false">IF($E3191="","",IFERROR(INDEX(科目表!$E$4:$E$81,MATCH($E3191,科目表!$B$4:$B$81,0)),""))</f>
        <v/>
      </c>
      <c r="H3191" s="114"/>
      <c r="I3191" s="114"/>
      <c r="J3191" s="112"/>
      <c r="K3191" s="112"/>
      <c r="L3191" s="113"/>
      <c r="M3191" s="115"/>
      <c r="N3191" s="113"/>
      <c r="O3191" s="67" t="str">
        <f aca="false">IF($E3191="","","手工")</f>
        <v/>
      </c>
      <c r="P3191" s="113"/>
    </row>
    <row r="3192" customFormat="false" ht="18" hidden="false" customHeight="true" outlineLevel="0" collapsed="false">
      <c r="A3192" s="107" t="str">
        <f aca="false">IF($E3192="","",ROW()-3)</f>
        <v/>
      </c>
      <c r="B3192" s="111"/>
      <c r="C3192" s="112"/>
      <c r="D3192" s="113"/>
      <c r="E3192" s="112"/>
      <c r="F3192" s="99" t="str">
        <f aca="false">IF($E3192="","",IFERROR(INDEX(科目表!$A$4:$A$81,MATCH($E3192,科目表!$B$4:$B$81,0)),""))</f>
        <v/>
      </c>
      <c r="G3192" s="67" t="str">
        <f aca="false">IF($E3192="","",IFERROR(INDEX(科目表!$E$4:$E$81,MATCH($E3192,科目表!$B$4:$B$81,0)),""))</f>
        <v/>
      </c>
      <c r="H3192" s="114"/>
      <c r="I3192" s="114"/>
      <c r="J3192" s="112"/>
      <c r="K3192" s="112"/>
      <c r="L3192" s="113"/>
      <c r="M3192" s="115"/>
      <c r="N3192" s="113"/>
      <c r="O3192" s="67" t="str">
        <f aca="false">IF($E3192="","","手工")</f>
        <v/>
      </c>
      <c r="P3192" s="113"/>
    </row>
    <row r="3193" customFormat="false" ht="18" hidden="false" customHeight="true" outlineLevel="0" collapsed="false">
      <c r="A3193" s="107" t="str">
        <f aca="false">IF($E3193="","",ROW()-3)</f>
        <v/>
      </c>
      <c r="B3193" s="111"/>
      <c r="C3193" s="112"/>
      <c r="D3193" s="113"/>
      <c r="E3193" s="112"/>
      <c r="F3193" s="99" t="str">
        <f aca="false">IF($E3193="","",IFERROR(INDEX(科目表!$A$4:$A$81,MATCH($E3193,科目表!$B$4:$B$81,0)),""))</f>
        <v/>
      </c>
      <c r="G3193" s="67" t="str">
        <f aca="false">IF($E3193="","",IFERROR(INDEX(科目表!$E$4:$E$81,MATCH($E3193,科目表!$B$4:$B$81,0)),""))</f>
        <v/>
      </c>
      <c r="H3193" s="114"/>
      <c r="I3193" s="114"/>
      <c r="J3193" s="112"/>
      <c r="K3193" s="112"/>
      <c r="L3193" s="113"/>
      <c r="M3193" s="115"/>
      <c r="N3193" s="113"/>
      <c r="O3193" s="67" t="str">
        <f aca="false">IF($E3193="","","手工")</f>
        <v/>
      </c>
      <c r="P3193" s="113"/>
    </row>
    <row r="3194" customFormat="false" ht="18" hidden="false" customHeight="true" outlineLevel="0" collapsed="false">
      <c r="A3194" s="107" t="str">
        <f aca="false">IF($E3194="","",ROW()-3)</f>
        <v/>
      </c>
      <c r="B3194" s="111"/>
      <c r="C3194" s="112"/>
      <c r="D3194" s="113"/>
      <c r="E3194" s="112"/>
      <c r="F3194" s="99" t="str">
        <f aca="false">IF($E3194="","",IFERROR(INDEX(科目表!$A$4:$A$81,MATCH($E3194,科目表!$B$4:$B$81,0)),""))</f>
        <v/>
      </c>
      <c r="G3194" s="67" t="str">
        <f aca="false">IF($E3194="","",IFERROR(INDEX(科目表!$E$4:$E$81,MATCH($E3194,科目表!$B$4:$B$81,0)),""))</f>
        <v/>
      </c>
      <c r="H3194" s="114"/>
      <c r="I3194" s="114"/>
      <c r="J3194" s="112"/>
      <c r="K3194" s="112"/>
      <c r="L3194" s="113"/>
      <c r="M3194" s="115"/>
      <c r="N3194" s="113"/>
      <c r="O3194" s="67" t="str">
        <f aca="false">IF($E3194="","","手工")</f>
        <v/>
      </c>
      <c r="P3194" s="113"/>
    </row>
    <row r="3195" customFormat="false" ht="18" hidden="false" customHeight="true" outlineLevel="0" collapsed="false">
      <c r="A3195" s="107" t="str">
        <f aca="false">IF($E3195="","",ROW()-3)</f>
        <v/>
      </c>
      <c r="B3195" s="111"/>
      <c r="C3195" s="112"/>
      <c r="D3195" s="113"/>
      <c r="E3195" s="112"/>
      <c r="F3195" s="99" t="str">
        <f aca="false">IF($E3195="","",IFERROR(INDEX(科目表!$A$4:$A$81,MATCH($E3195,科目表!$B$4:$B$81,0)),""))</f>
        <v/>
      </c>
      <c r="G3195" s="67" t="str">
        <f aca="false">IF($E3195="","",IFERROR(INDEX(科目表!$E$4:$E$81,MATCH($E3195,科目表!$B$4:$B$81,0)),""))</f>
        <v/>
      </c>
      <c r="H3195" s="114"/>
      <c r="I3195" s="114"/>
      <c r="J3195" s="112"/>
      <c r="K3195" s="112"/>
      <c r="L3195" s="113"/>
      <c r="M3195" s="115"/>
      <c r="N3195" s="113"/>
      <c r="O3195" s="67" t="str">
        <f aca="false">IF($E3195="","","手工")</f>
        <v/>
      </c>
      <c r="P3195" s="113"/>
    </row>
    <row r="3196" customFormat="false" ht="18" hidden="false" customHeight="true" outlineLevel="0" collapsed="false">
      <c r="A3196" s="107" t="str">
        <f aca="false">IF($E3196="","",ROW()-3)</f>
        <v/>
      </c>
      <c r="B3196" s="111"/>
      <c r="C3196" s="112"/>
      <c r="D3196" s="113"/>
      <c r="E3196" s="112"/>
      <c r="F3196" s="99" t="str">
        <f aca="false">IF($E3196="","",IFERROR(INDEX(科目表!$A$4:$A$81,MATCH($E3196,科目表!$B$4:$B$81,0)),""))</f>
        <v/>
      </c>
      <c r="G3196" s="67" t="str">
        <f aca="false">IF($E3196="","",IFERROR(INDEX(科目表!$E$4:$E$81,MATCH($E3196,科目表!$B$4:$B$81,0)),""))</f>
        <v/>
      </c>
      <c r="H3196" s="114"/>
      <c r="I3196" s="114"/>
      <c r="J3196" s="112"/>
      <c r="K3196" s="112"/>
      <c r="L3196" s="113"/>
      <c r="M3196" s="115"/>
      <c r="N3196" s="113"/>
      <c r="O3196" s="67" t="str">
        <f aca="false">IF($E3196="","","手工")</f>
        <v/>
      </c>
      <c r="P3196" s="113"/>
    </row>
    <row r="3197" customFormat="false" ht="18" hidden="false" customHeight="true" outlineLevel="0" collapsed="false">
      <c r="A3197" s="107" t="str">
        <f aca="false">IF($E3197="","",ROW()-3)</f>
        <v/>
      </c>
      <c r="B3197" s="111"/>
      <c r="C3197" s="112"/>
      <c r="D3197" s="113"/>
      <c r="E3197" s="112"/>
      <c r="F3197" s="99" t="str">
        <f aca="false">IF($E3197="","",IFERROR(INDEX(科目表!$A$4:$A$81,MATCH($E3197,科目表!$B$4:$B$81,0)),""))</f>
        <v/>
      </c>
      <c r="G3197" s="67" t="str">
        <f aca="false">IF($E3197="","",IFERROR(INDEX(科目表!$E$4:$E$81,MATCH($E3197,科目表!$B$4:$B$81,0)),""))</f>
        <v/>
      </c>
      <c r="H3197" s="114"/>
      <c r="I3197" s="114"/>
      <c r="J3197" s="112"/>
      <c r="K3197" s="112"/>
      <c r="L3197" s="113"/>
      <c r="M3197" s="115"/>
      <c r="N3197" s="113"/>
      <c r="O3197" s="67" t="str">
        <f aca="false">IF($E3197="","","手工")</f>
        <v/>
      </c>
      <c r="P3197" s="113"/>
    </row>
    <row r="3198" customFormat="false" ht="18" hidden="false" customHeight="true" outlineLevel="0" collapsed="false">
      <c r="A3198" s="107" t="str">
        <f aca="false">IF($E3198="","",ROW()-3)</f>
        <v/>
      </c>
      <c r="B3198" s="111"/>
      <c r="C3198" s="112"/>
      <c r="D3198" s="113"/>
      <c r="E3198" s="112"/>
      <c r="F3198" s="99" t="str">
        <f aca="false">IF($E3198="","",IFERROR(INDEX(科目表!$A$4:$A$81,MATCH($E3198,科目表!$B$4:$B$81,0)),""))</f>
        <v/>
      </c>
      <c r="G3198" s="67" t="str">
        <f aca="false">IF($E3198="","",IFERROR(INDEX(科目表!$E$4:$E$81,MATCH($E3198,科目表!$B$4:$B$81,0)),""))</f>
        <v/>
      </c>
      <c r="H3198" s="114"/>
      <c r="I3198" s="114"/>
      <c r="J3198" s="112"/>
      <c r="K3198" s="112"/>
      <c r="L3198" s="113"/>
      <c r="M3198" s="115"/>
      <c r="N3198" s="113"/>
      <c r="O3198" s="67" t="str">
        <f aca="false">IF($E3198="","","手工")</f>
        <v/>
      </c>
      <c r="P3198" s="113"/>
    </row>
    <row r="3199" customFormat="false" ht="18" hidden="false" customHeight="true" outlineLevel="0" collapsed="false">
      <c r="A3199" s="107" t="str">
        <f aca="false">IF($E3199="","",ROW()-3)</f>
        <v/>
      </c>
      <c r="B3199" s="111"/>
      <c r="C3199" s="112"/>
      <c r="D3199" s="113"/>
      <c r="E3199" s="112"/>
      <c r="F3199" s="99" t="str">
        <f aca="false">IF($E3199="","",IFERROR(INDEX(科目表!$A$4:$A$81,MATCH($E3199,科目表!$B$4:$B$81,0)),""))</f>
        <v/>
      </c>
      <c r="G3199" s="67" t="str">
        <f aca="false">IF($E3199="","",IFERROR(INDEX(科目表!$E$4:$E$81,MATCH($E3199,科目表!$B$4:$B$81,0)),""))</f>
        <v/>
      </c>
      <c r="H3199" s="114"/>
      <c r="I3199" s="114"/>
      <c r="J3199" s="112"/>
      <c r="K3199" s="112"/>
      <c r="L3199" s="113"/>
      <c r="M3199" s="115"/>
      <c r="N3199" s="113"/>
      <c r="O3199" s="67" t="str">
        <f aca="false">IF($E3199="","","手工")</f>
        <v/>
      </c>
      <c r="P3199" s="113"/>
    </row>
    <row r="3200" customFormat="false" ht="18" hidden="false" customHeight="true" outlineLevel="0" collapsed="false">
      <c r="A3200" s="107" t="str">
        <f aca="false">IF($E3200="","",ROW()-3)</f>
        <v/>
      </c>
      <c r="B3200" s="111"/>
      <c r="C3200" s="112"/>
      <c r="D3200" s="113"/>
      <c r="E3200" s="112"/>
      <c r="F3200" s="99" t="str">
        <f aca="false">IF($E3200="","",IFERROR(INDEX(科目表!$A$4:$A$81,MATCH($E3200,科目表!$B$4:$B$81,0)),""))</f>
        <v/>
      </c>
      <c r="G3200" s="67" t="str">
        <f aca="false">IF($E3200="","",IFERROR(INDEX(科目表!$E$4:$E$81,MATCH($E3200,科目表!$B$4:$B$81,0)),""))</f>
        <v/>
      </c>
      <c r="H3200" s="114"/>
      <c r="I3200" s="114"/>
      <c r="J3200" s="112"/>
      <c r="K3200" s="112"/>
      <c r="L3200" s="113"/>
      <c r="M3200" s="115"/>
      <c r="N3200" s="113"/>
      <c r="O3200" s="67" t="str">
        <f aca="false">IF($E3200="","","手工")</f>
        <v/>
      </c>
      <c r="P3200" s="113"/>
    </row>
    <row r="3201" customFormat="false" ht="18" hidden="false" customHeight="true" outlineLevel="0" collapsed="false">
      <c r="A3201" s="107" t="str">
        <f aca="false">IF($E3201="","",ROW()-3)</f>
        <v/>
      </c>
      <c r="B3201" s="111"/>
      <c r="C3201" s="112"/>
      <c r="D3201" s="113"/>
      <c r="E3201" s="112"/>
      <c r="F3201" s="99" t="str">
        <f aca="false">IF($E3201="","",IFERROR(INDEX(科目表!$A$4:$A$81,MATCH($E3201,科目表!$B$4:$B$81,0)),""))</f>
        <v/>
      </c>
      <c r="G3201" s="67" t="str">
        <f aca="false">IF($E3201="","",IFERROR(INDEX(科目表!$E$4:$E$81,MATCH($E3201,科目表!$B$4:$B$81,0)),""))</f>
        <v/>
      </c>
      <c r="H3201" s="114"/>
      <c r="I3201" s="114"/>
      <c r="J3201" s="112"/>
      <c r="K3201" s="112"/>
      <c r="L3201" s="113"/>
      <c r="M3201" s="115"/>
      <c r="N3201" s="113"/>
      <c r="O3201" s="67" t="str">
        <f aca="false">IF($E3201="","","手工")</f>
        <v/>
      </c>
      <c r="P3201" s="113"/>
    </row>
    <row r="3202" customFormat="false" ht="18" hidden="false" customHeight="true" outlineLevel="0" collapsed="false">
      <c r="A3202" s="107" t="str">
        <f aca="false">IF($E3202="","",ROW()-3)</f>
        <v/>
      </c>
      <c r="B3202" s="111"/>
      <c r="C3202" s="112"/>
      <c r="D3202" s="113"/>
      <c r="E3202" s="112"/>
      <c r="F3202" s="99" t="str">
        <f aca="false">IF($E3202="","",IFERROR(INDEX(科目表!$A$4:$A$81,MATCH($E3202,科目表!$B$4:$B$81,0)),""))</f>
        <v/>
      </c>
      <c r="G3202" s="67" t="str">
        <f aca="false">IF($E3202="","",IFERROR(INDEX(科目表!$E$4:$E$81,MATCH($E3202,科目表!$B$4:$B$81,0)),""))</f>
        <v/>
      </c>
      <c r="H3202" s="114"/>
      <c r="I3202" s="114"/>
      <c r="J3202" s="112"/>
      <c r="K3202" s="112"/>
      <c r="L3202" s="113"/>
      <c r="M3202" s="115"/>
      <c r="N3202" s="113"/>
      <c r="O3202" s="67" t="str">
        <f aca="false">IF($E3202="","","手工")</f>
        <v/>
      </c>
      <c r="P3202" s="113"/>
    </row>
    <row r="3203" customFormat="false" ht="18" hidden="false" customHeight="true" outlineLevel="0" collapsed="false">
      <c r="A3203" s="107" t="str">
        <f aca="false">IF($E3203="","",ROW()-3)</f>
        <v/>
      </c>
      <c r="B3203" s="111"/>
      <c r="C3203" s="112"/>
      <c r="D3203" s="113"/>
      <c r="E3203" s="112"/>
      <c r="F3203" s="99" t="str">
        <f aca="false">IF($E3203="","",IFERROR(INDEX(科目表!$A$4:$A$81,MATCH($E3203,科目表!$B$4:$B$81,0)),""))</f>
        <v/>
      </c>
      <c r="G3203" s="67" t="str">
        <f aca="false">IF($E3203="","",IFERROR(INDEX(科目表!$E$4:$E$81,MATCH($E3203,科目表!$B$4:$B$81,0)),""))</f>
        <v/>
      </c>
      <c r="H3203" s="114"/>
      <c r="I3203" s="114"/>
      <c r="J3203" s="112"/>
      <c r="K3203" s="112"/>
      <c r="L3203" s="113"/>
      <c r="M3203" s="115"/>
      <c r="N3203" s="113"/>
      <c r="O3203" s="67" t="str">
        <f aca="false">IF($E3203="","","手工")</f>
        <v/>
      </c>
      <c r="P3203" s="113"/>
    </row>
    <row r="3204" customFormat="false" ht="18" hidden="false" customHeight="true" outlineLevel="0" collapsed="false">
      <c r="A3204" s="107" t="str">
        <f aca="false">IF($E3204="","",ROW()-3)</f>
        <v/>
      </c>
      <c r="B3204" s="111"/>
      <c r="C3204" s="112"/>
      <c r="D3204" s="113"/>
      <c r="E3204" s="112"/>
      <c r="F3204" s="99" t="str">
        <f aca="false">IF($E3204="","",IFERROR(INDEX(科目表!$A$4:$A$81,MATCH($E3204,科目表!$B$4:$B$81,0)),""))</f>
        <v/>
      </c>
      <c r="G3204" s="67" t="str">
        <f aca="false">IF($E3204="","",IFERROR(INDEX(科目表!$E$4:$E$81,MATCH($E3204,科目表!$B$4:$B$81,0)),""))</f>
        <v/>
      </c>
      <c r="H3204" s="114"/>
      <c r="I3204" s="114"/>
      <c r="J3204" s="112"/>
      <c r="K3204" s="112"/>
      <c r="L3204" s="113"/>
      <c r="M3204" s="115"/>
      <c r="N3204" s="113"/>
      <c r="O3204" s="67" t="str">
        <f aca="false">IF($E3204="","","手工")</f>
        <v/>
      </c>
      <c r="P3204" s="113"/>
    </row>
    <row r="3205" customFormat="false" ht="18" hidden="false" customHeight="true" outlineLevel="0" collapsed="false">
      <c r="A3205" s="107" t="str">
        <f aca="false">IF($E3205="","",ROW()-3)</f>
        <v/>
      </c>
      <c r="B3205" s="111"/>
      <c r="C3205" s="112"/>
      <c r="D3205" s="113"/>
      <c r="E3205" s="112"/>
      <c r="F3205" s="99" t="str">
        <f aca="false">IF($E3205="","",IFERROR(INDEX(科目表!$A$4:$A$81,MATCH($E3205,科目表!$B$4:$B$81,0)),""))</f>
        <v/>
      </c>
      <c r="G3205" s="67" t="str">
        <f aca="false">IF($E3205="","",IFERROR(INDEX(科目表!$E$4:$E$81,MATCH($E3205,科目表!$B$4:$B$81,0)),""))</f>
        <v/>
      </c>
      <c r="H3205" s="114"/>
      <c r="I3205" s="114"/>
      <c r="J3205" s="112"/>
      <c r="K3205" s="112"/>
      <c r="L3205" s="113"/>
      <c r="M3205" s="115"/>
      <c r="N3205" s="113"/>
      <c r="O3205" s="67" t="str">
        <f aca="false">IF($E3205="","","手工")</f>
        <v/>
      </c>
      <c r="P3205" s="113"/>
    </row>
    <row r="3206" customFormat="false" ht="18" hidden="false" customHeight="true" outlineLevel="0" collapsed="false">
      <c r="A3206" s="107" t="str">
        <f aca="false">IF($E3206="","",ROW()-3)</f>
        <v/>
      </c>
      <c r="B3206" s="111"/>
      <c r="C3206" s="112"/>
      <c r="D3206" s="113"/>
      <c r="E3206" s="112"/>
      <c r="F3206" s="99" t="str">
        <f aca="false">IF($E3206="","",IFERROR(INDEX(科目表!$A$4:$A$81,MATCH($E3206,科目表!$B$4:$B$81,0)),""))</f>
        <v/>
      </c>
      <c r="G3206" s="67" t="str">
        <f aca="false">IF($E3206="","",IFERROR(INDEX(科目表!$E$4:$E$81,MATCH($E3206,科目表!$B$4:$B$81,0)),""))</f>
        <v/>
      </c>
      <c r="H3206" s="114"/>
      <c r="I3206" s="114"/>
      <c r="J3206" s="112"/>
      <c r="K3206" s="112"/>
      <c r="L3206" s="113"/>
      <c r="M3206" s="115"/>
      <c r="N3206" s="113"/>
      <c r="O3206" s="67" t="str">
        <f aca="false">IF($E3206="","","手工")</f>
        <v/>
      </c>
      <c r="P3206" s="113"/>
    </row>
    <row r="3207" customFormat="false" ht="18" hidden="false" customHeight="true" outlineLevel="0" collapsed="false">
      <c r="A3207" s="107" t="str">
        <f aca="false">IF($E3207="","",ROW()-3)</f>
        <v/>
      </c>
      <c r="B3207" s="111"/>
      <c r="C3207" s="112"/>
      <c r="D3207" s="113"/>
      <c r="E3207" s="112"/>
      <c r="F3207" s="99" t="str">
        <f aca="false">IF($E3207="","",IFERROR(INDEX(科目表!$A$4:$A$81,MATCH($E3207,科目表!$B$4:$B$81,0)),""))</f>
        <v/>
      </c>
      <c r="G3207" s="67" t="str">
        <f aca="false">IF($E3207="","",IFERROR(INDEX(科目表!$E$4:$E$81,MATCH($E3207,科目表!$B$4:$B$81,0)),""))</f>
        <v/>
      </c>
      <c r="H3207" s="114"/>
      <c r="I3207" s="114"/>
      <c r="J3207" s="112"/>
      <c r="K3207" s="112"/>
      <c r="L3207" s="113"/>
      <c r="M3207" s="115"/>
      <c r="N3207" s="113"/>
      <c r="O3207" s="67" t="str">
        <f aca="false">IF($E3207="","","手工")</f>
        <v/>
      </c>
      <c r="P3207" s="113"/>
    </row>
    <row r="3208" customFormat="false" ht="18" hidden="false" customHeight="true" outlineLevel="0" collapsed="false">
      <c r="A3208" s="107" t="str">
        <f aca="false">IF($E3208="","",ROW()-3)</f>
        <v/>
      </c>
      <c r="B3208" s="111"/>
      <c r="C3208" s="112"/>
      <c r="D3208" s="113"/>
      <c r="E3208" s="112"/>
      <c r="F3208" s="99" t="str">
        <f aca="false">IF($E3208="","",IFERROR(INDEX(科目表!$A$4:$A$81,MATCH($E3208,科目表!$B$4:$B$81,0)),""))</f>
        <v/>
      </c>
      <c r="G3208" s="67" t="str">
        <f aca="false">IF($E3208="","",IFERROR(INDEX(科目表!$E$4:$E$81,MATCH($E3208,科目表!$B$4:$B$81,0)),""))</f>
        <v/>
      </c>
      <c r="H3208" s="114"/>
      <c r="I3208" s="114"/>
      <c r="J3208" s="112"/>
      <c r="K3208" s="112"/>
      <c r="L3208" s="113"/>
      <c r="M3208" s="115"/>
      <c r="N3208" s="113"/>
      <c r="O3208" s="67" t="str">
        <f aca="false">IF($E3208="","","手工")</f>
        <v/>
      </c>
      <c r="P3208" s="113"/>
    </row>
    <row r="3209" customFormat="false" ht="18" hidden="false" customHeight="true" outlineLevel="0" collapsed="false">
      <c r="A3209" s="107" t="str">
        <f aca="false">IF($E3209="","",ROW()-3)</f>
        <v/>
      </c>
      <c r="B3209" s="111"/>
      <c r="C3209" s="112"/>
      <c r="D3209" s="113"/>
      <c r="E3209" s="112"/>
      <c r="F3209" s="99" t="str">
        <f aca="false">IF($E3209="","",IFERROR(INDEX(科目表!$A$4:$A$81,MATCH($E3209,科目表!$B$4:$B$81,0)),""))</f>
        <v/>
      </c>
      <c r="G3209" s="67" t="str">
        <f aca="false">IF($E3209="","",IFERROR(INDEX(科目表!$E$4:$E$81,MATCH($E3209,科目表!$B$4:$B$81,0)),""))</f>
        <v/>
      </c>
      <c r="H3209" s="114"/>
      <c r="I3209" s="114"/>
      <c r="J3209" s="112"/>
      <c r="K3209" s="112"/>
      <c r="L3209" s="113"/>
      <c r="M3209" s="115"/>
      <c r="N3209" s="113"/>
      <c r="O3209" s="67" t="str">
        <f aca="false">IF($E3209="","","手工")</f>
        <v/>
      </c>
      <c r="P3209" s="113"/>
    </row>
    <row r="3210" customFormat="false" ht="18" hidden="false" customHeight="true" outlineLevel="0" collapsed="false">
      <c r="A3210" s="107" t="str">
        <f aca="false">IF($E3210="","",ROW()-3)</f>
        <v/>
      </c>
      <c r="B3210" s="111"/>
      <c r="C3210" s="112"/>
      <c r="D3210" s="113"/>
      <c r="E3210" s="112"/>
      <c r="F3210" s="99" t="str">
        <f aca="false">IF($E3210="","",IFERROR(INDEX(科目表!$A$4:$A$81,MATCH($E3210,科目表!$B$4:$B$81,0)),""))</f>
        <v/>
      </c>
      <c r="G3210" s="67" t="str">
        <f aca="false">IF($E3210="","",IFERROR(INDEX(科目表!$E$4:$E$81,MATCH($E3210,科目表!$B$4:$B$81,0)),""))</f>
        <v/>
      </c>
      <c r="H3210" s="114"/>
      <c r="I3210" s="114"/>
      <c r="J3210" s="112"/>
      <c r="K3210" s="112"/>
      <c r="L3210" s="113"/>
      <c r="M3210" s="115"/>
      <c r="N3210" s="113"/>
      <c r="O3210" s="67" t="str">
        <f aca="false">IF($E3210="","","手工")</f>
        <v/>
      </c>
      <c r="P3210" s="113"/>
    </row>
    <row r="3211" customFormat="false" ht="18" hidden="false" customHeight="true" outlineLevel="0" collapsed="false">
      <c r="A3211" s="107" t="str">
        <f aca="false">IF($E3211="","",ROW()-3)</f>
        <v/>
      </c>
      <c r="B3211" s="111"/>
      <c r="C3211" s="112"/>
      <c r="D3211" s="113"/>
      <c r="E3211" s="112"/>
      <c r="F3211" s="99" t="str">
        <f aca="false">IF($E3211="","",IFERROR(INDEX(科目表!$A$4:$A$81,MATCH($E3211,科目表!$B$4:$B$81,0)),""))</f>
        <v/>
      </c>
      <c r="G3211" s="67" t="str">
        <f aca="false">IF($E3211="","",IFERROR(INDEX(科目表!$E$4:$E$81,MATCH($E3211,科目表!$B$4:$B$81,0)),""))</f>
        <v/>
      </c>
      <c r="H3211" s="114"/>
      <c r="I3211" s="114"/>
      <c r="J3211" s="112"/>
      <c r="K3211" s="112"/>
      <c r="L3211" s="113"/>
      <c r="M3211" s="115"/>
      <c r="N3211" s="113"/>
      <c r="O3211" s="67" t="str">
        <f aca="false">IF($E3211="","","手工")</f>
        <v/>
      </c>
      <c r="P3211" s="113"/>
    </row>
    <row r="3212" customFormat="false" ht="18" hidden="false" customHeight="true" outlineLevel="0" collapsed="false">
      <c r="A3212" s="107" t="str">
        <f aca="false">IF($E3212="","",ROW()-3)</f>
        <v/>
      </c>
      <c r="B3212" s="111"/>
      <c r="C3212" s="112"/>
      <c r="D3212" s="113"/>
      <c r="E3212" s="112"/>
      <c r="F3212" s="99" t="str">
        <f aca="false">IF($E3212="","",IFERROR(INDEX(科目表!$A$4:$A$81,MATCH($E3212,科目表!$B$4:$B$81,0)),""))</f>
        <v/>
      </c>
      <c r="G3212" s="67" t="str">
        <f aca="false">IF($E3212="","",IFERROR(INDEX(科目表!$E$4:$E$81,MATCH($E3212,科目表!$B$4:$B$81,0)),""))</f>
        <v/>
      </c>
      <c r="H3212" s="114"/>
      <c r="I3212" s="114"/>
      <c r="J3212" s="112"/>
      <c r="K3212" s="112"/>
      <c r="L3212" s="113"/>
      <c r="M3212" s="115"/>
      <c r="N3212" s="113"/>
      <c r="O3212" s="67" t="str">
        <f aca="false">IF($E3212="","","手工")</f>
        <v/>
      </c>
      <c r="P3212" s="113"/>
    </row>
    <row r="3213" customFormat="false" ht="18" hidden="false" customHeight="true" outlineLevel="0" collapsed="false">
      <c r="A3213" s="107" t="str">
        <f aca="false">IF($E3213="","",ROW()-3)</f>
        <v/>
      </c>
      <c r="B3213" s="111"/>
      <c r="C3213" s="112"/>
      <c r="D3213" s="113"/>
      <c r="E3213" s="112"/>
      <c r="F3213" s="99" t="str">
        <f aca="false">IF($E3213="","",IFERROR(INDEX(科目表!$A$4:$A$81,MATCH($E3213,科目表!$B$4:$B$81,0)),""))</f>
        <v/>
      </c>
      <c r="G3213" s="67" t="str">
        <f aca="false">IF($E3213="","",IFERROR(INDEX(科目表!$E$4:$E$81,MATCH($E3213,科目表!$B$4:$B$81,0)),""))</f>
        <v/>
      </c>
      <c r="H3213" s="114"/>
      <c r="I3213" s="114"/>
      <c r="J3213" s="112"/>
      <c r="K3213" s="112"/>
      <c r="L3213" s="113"/>
      <c r="M3213" s="115"/>
      <c r="N3213" s="113"/>
      <c r="O3213" s="67" t="str">
        <f aca="false">IF($E3213="","","手工")</f>
        <v/>
      </c>
      <c r="P3213" s="113"/>
    </row>
    <row r="3214" customFormat="false" ht="18" hidden="false" customHeight="true" outlineLevel="0" collapsed="false">
      <c r="A3214" s="107" t="str">
        <f aca="false">IF($E3214="","",ROW()-3)</f>
        <v/>
      </c>
      <c r="B3214" s="111"/>
      <c r="C3214" s="112"/>
      <c r="D3214" s="113"/>
      <c r="E3214" s="112"/>
      <c r="F3214" s="99" t="str">
        <f aca="false">IF($E3214="","",IFERROR(INDEX(科目表!$A$4:$A$81,MATCH($E3214,科目表!$B$4:$B$81,0)),""))</f>
        <v/>
      </c>
      <c r="G3214" s="67" t="str">
        <f aca="false">IF($E3214="","",IFERROR(INDEX(科目表!$E$4:$E$81,MATCH($E3214,科目表!$B$4:$B$81,0)),""))</f>
        <v/>
      </c>
      <c r="H3214" s="114"/>
      <c r="I3214" s="114"/>
      <c r="J3214" s="112"/>
      <c r="K3214" s="112"/>
      <c r="L3214" s="113"/>
      <c r="M3214" s="115"/>
      <c r="N3214" s="113"/>
      <c r="O3214" s="67" t="str">
        <f aca="false">IF($E3214="","","手工")</f>
        <v/>
      </c>
      <c r="P3214" s="113"/>
    </row>
    <row r="3215" customFormat="false" ht="18" hidden="false" customHeight="true" outlineLevel="0" collapsed="false">
      <c r="A3215" s="107" t="str">
        <f aca="false">IF($E3215="","",ROW()-3)</f>
        <v/>
      </c>
      <c r="B3215" s="111"/>
      <c r="C3215" s="112"/>
      <c r="D3215" s="113"/>
      <c r="E3215" s="112"/>
      <c r="F3215" s="99" t="str">
        <f aca="false">IF($E3215="","",IFERROR(INDEX(科目表!$A$4:$A$81,MATCH($E3215,科目表!$B$4:$B$81,0)),""))</f>
        <v/>
      </c>
      <c r="G3215" s="67" t="str">
        <f aca="false">IF($E3215="","",IFERROR(INDEX(科目表!$E$4:$E$81,MATCH($E3215,科目表!$B$4:$B$81,0)),""))</f>
        <v/>
      </c>
      <c r="H3215" s="114"/>
      <c r="I3215" s="114"/>
      <c r="J3215" s="112"/>
      <c r="K3215" s="112"/>
      <c r="L3215" s="113"/>
      <c r="M3215" s="115"/>
      <c r="N3215" s="113"/>
      <c r="O3215" s="67" t="str">
        <f aca="false">IF($E3215="","","手工")</f>
        <v/>
      </c>
      <c r="P3215" s="113"/>
    </row>
    <row r="3216" customFormat="false" ht="18" hidden="false" customHeight="true" outlineLevel="0" collapsed="false">
      <c r="A3216" s="107" t="str">
        <f aca="false">IF($E3216="","",ROW()-3)</f>
        <v/>
      </c>
      <c r="B3216" s="111"/>
      <c r="C3216" s="112"/>
      <c r="D3216" s="113"/>
      <c r="E3216" s="112"/>
      <c r="F3216" s="99" t="str">
        <f aca="false">IF($E3216="","",IFERROR(INDEX(科目表!$A$4:$A$81,MATCH($E3216,科目表!$B$4:$B$81,0)),""))</f>
        <v/>
      </c>
      <c r="G3216" s="67" t="str">
        <f aca="false">IF($E3216="","",IFERROR(INDEX(科目表!$E$4:$E$81,MATCH($E3216,科目表!$B$4:$B$81,0)),""))</f>
        <v/>
      </c>
      <c r="H3216" s="114"/>
      <c r="I3216" s="114"/>
      <c r="J3216" s="112"/>
      <c r="K3216" s="112"/>
      <c r="L3216" s="113"/>
      <c r="M3216" s="115"/>
      <c r="N3216" s="113"/>
      <c r="O3216" s="67" t="str">
        <f aca="false">IF($E3216="","","手工")</f>
        <v/>
      </c>
      <c r="P3216" s="113"/>
    </row>
    <row r="3217" customFormat="false" ht="18" hidden="false" customHeight="true" outlineLevel="0" collapsed="false">
      <c r="A3217" s="107" t="str">
        <f aca="false">IF($E3217="","",ROW()-3)</f>
        <v/>
      </c>
      <c r="B3217" s="111"/>
      <c r="C3217" s="112"/>
      <c r="D3217" s="113"/>
      <c r="E3217" s="112"/>
      <c r="F3217" s="99" t="str">
        <f aca="false">IF($E3217="","",IFERROR(INDEX(科目表!$A$4:$A$81,MATCH($E3217,科目表!$B$4:$B$81,0)),""))</f>
        <v/>
      </c>
      <c r="G3217" s="67" t="str">
        <f aca="false">IF($E3217="","",IFERROR(INDEX(科目表!$E$4:$E$81,MATCH($E3217,科目表!$B$4:$B$81,0)),""))</f>
        <v/>
      </c>
      <c r="H3217" s="114"/>
      <c r="I3217" s="114"/>
      <c r="J3217" s="112"/>
      <c r="K3217" s="112"/>
      <c r="L3217" s="113"/>
      <c r="M3217" s="115"/>
      <c r="N3217" s="113"/>
      <c r="O3217" s="67" t="str">
        <f aca="false">IF($E3217="","","手工")</f>
        <v/>
      </c>
      <c r="P3217" s="113"/>
    </row>
    <row r="3218" customFormat="false" ht="18" hidden="false" customHeight="true" outlineLevel="0" collapsed="false">
      <c r="A3218" s="107" t="str">
        <f aca="false">IF($E3218="","",ROW()-3)</f>
        <v/>
      </c>
      <c r="B3218" s="111"/>
      <c r="C3218" s="112"/>
      <c r="D3218" s="113"/>
      <c r="E3218" s="112"/>
      <c r="F3218" s="99" t="str">
        <f aca="false">IF($E3218="","",IFERROR(INDEX(科目表!$A$4:$A$81,MATCH($E3218,科目表!$B$4:$B$81,0)),""))</f>
        <v/>
      </c>
      <c r="G3218" s="67" t="str">
        <f aca="false">IF($E3218="","",IFERROR(INDEX(科目表!$E$4:$E$81,MATCH($E3218,科目表!$B$4:$B$81,0)),""))</f>
        <v/>
      </c>
      <c r="H3218" s="114"/>
      <c r="I3218" s="114"/>
      <c r="J3218" s="112"/>
      <c r="K3218" s="112"/>
      <c r="L3218" s="113"/>
      <c r="M3218" s="115"/>
      <c r="N3218" s="113"/>
      <c r="O3218" s="67" t="str">
        <f aca="false">IF($E3218="","","手工")</f>
        <v/>
      </c>
      <c r="P3218" s="113"/>
    </row>
    <row r="3219" customFormat="false" ht="18" hidden="false" customHeight="true" outlineLevel="0" collapsed="false">
      <c r="A3219" s="107" t="str">
        <f aca="false">IF($E3219="","",ROW()-3)</f>
        <v/>
      </c>
      <c r="B3219" s="111"/>
      <c r="C3219" s="112"/>
      <c r="D3219" s="113"/>
      <c r="E3219" s="112"/>
      <c r="F3219" s="99" t="str">
        <f aca="false">IF($E3219="","",IFERROR(INDEX(科目表!$A$4:$A$81,MATCH($E3219,科目表!$B$4:$B$81,0)),""))</f>
        <v/>
      </c>
      <c r="G3219" s="67" t="str">
        <f aca="false">IF($E3219="","",IFERROR(INDEX(科目表!$E$4:$E$81,MATCH($E3219,科目表!$B$4:$B$81,0)),""))</f>
        <v/>
      </c>
      <c r="H3219" s="114"/>
      <c r="I3219" s="114"/>
      <c r="J3219" s="112"/>
      <c r="K3219" s="112"/>
      <c r="L3219" s="113"/>
      <c r="M3219" s="115"/>
      <c r="N3219" s="113"/>
      <c r="O3219" s="67" t="str">
        <f aca="false">IF($E3219="","","手工")</f>
        <v/>
      </c>
      <c r="P3219" s="113"/>
    </row>
    <row r="3220" customFormat="false" ht="18" hidden="false" customHeight="true" outlineLevel="0" collapsed="false">
      <c r="A3220" s="107" t="str">
        <f aca="false">IF($E3220="","",ROW()-3)</f>
        <v/>
      </c>
      <c r="B3220" s="111"/>
      <c r="C3220" s="112"/>
      <c r="D3220" s="113"/>
      <c r="E3220" s="112"/>
      <c r="F3220" s="99" t="str">
        <f aca="false">IF($E3220="","",IFERROR(INDEX(科目表!$A$4:$A$81,MATCH($E3220,科目表!$B$4:$B$81,0)),""))</f>
        <v/>
      </c>
      <c r="G3220" s="67" t="str">
        <f aca="false">IF($E3220="","",IFERROR(INDEX(科目表!$E$4:$E$81,MATCH($E3220,科目表!$B$4:$B$81,0)),""))</f>
        <v/>
      </c>
      <c r="H3220" s="114"/>
      <c r="I3220" s="114"/>
      <c r="J3220" s="112"/>
      <c r="K3220" s="112"/>
      <c r="L3220" s="113"/>
      <c r="M3220" s="115"/>
      <c r="N3220" s="113"/>
      <c r="O3220" s="67" t="str">
        <f aca="false">IF($E3220="","","手工")</f>
        <v/>
      </c>
      <c r="P3220" s="113"/>
    </row>
    <row r="3221" customFormat="false" ht="18" hidden="false" customHeight="true" outlineLevel="0" collapsed="false">
      <c r="A3221" s="107" t="str">
        <f aca="false">IF($E3221="","",ROW()-3)</f>
        <v/>
      </c>
      <c r="B3221" s="111"/>
      <c r="C3221" s="112"/>
      <c r="D3221" s="113"/>
      <c r="E3221" s="112"/>
      <c r="F3221" s="99" t="str">
        <f aca="false">IF($E3221="","",IFERROR(INDEX(科目表!$A$4:$A$81,MATCH($E3221,科目表!$B$4:$B$81,0)),""))</f>
        <v/>
      </c>
      <c r="G3221" s="67" t="str">
        <f aca="false">IF($E3221="","",IFERROR(INDEX(科目表!$E$4:$E$81,MATCH($E3221,科目表!$B$4:$B$81,0)),""))</f>
        <v/>
      </c>
      <c r="H3221" s="114"/>
      <c r="I3221" s="114"/>
      <c r="J3221" s="112"/>
      <c r="K3221" s="112"/>
      <c r="L3221" s="113"/>
      <c r="M3221" s="115"/>
      <c r="N3221" s="113"/>
      <c r="O3221" s="67" t="str">
        <f aca="false">IF($E3221="","","手工")</f>
        <v/>
      </c>
      <c r="P3221" s="113"/>
    </row>
    <row r="3222" customFormat="false" ht="18" hidden="false" customHeight="true" outlineLevel="0" collapsed="false">
      <c r="A3222" s="107" t="str">
        <f aca="false">IF($E3222="","",ROW()-3)</f>
        <v/>
      </c>
      <c r="B3222" s="111"/>
      <c r="C3222" s="112"/>
      <c r="D3222" s="113"/>
      <c r="E3222" s="112"/>
      <c r="F3222" s="99" t="str">
        <f aca="false">IF($E3222="","",IFERROR(INDEX(科目表!$A$4:$A$81,MATCH($E3222,科目表!$B$4:$B$81,0)),""))</f>
        <v/>
      </c>
      <c r="G3222" s="67" t="str">
        <f aca="false">IF($E3222="","",IFERROR(INDEX(科目表!$E$4:$E$81,MATCH($E3222,科目表!$B$4:$B$81,0)),""))</f>
        <v/>
      </c>
      <c r="H3222" s="114"/>
      <c r="I3222" s="114"/>
      <c r="J3222" s="112"/>
      <c r="K3222" s="112"/>
      <c r="L3222" s="113"/>
      <c r="M3222" s="115"/>
      <c r="N3222" s="113"/>
      <c r="O3222" s="67" t="str">
        <f aca="false">IF($E3222="","","手工")</f>
        <v/>
      </c>
      <c r="P3222" s="113"/>
    </row>
    <row r="3223" customFormat="false" ht="18" hidden="false" customHeight="true" outlineLevel="0" collapsed="false">
      <c r="A3223" s="107" t="str">
        <f aca="false">IF($E3223="","",ROW()-3)</f>
        <v/>
      </c>
      <c r="B3223" s="111"/>
      <c r="C3223" s="112"/>
      <c r="D3223" s="113"/>
      <c r="E3223" s="112"/>
      <c r="F3223" s="99" t="str">
        <f aca="false">IF($E3223="","",IFERROR(INDEX(科目表!$A$4:$A$81,MATCH($E3223,科目表!$B$4:$B$81,0)),""))</f>
        <v/>
      </c>
      <c r="G3223" s="67" t="str">
        <f aca="false">IF($E3223="","",IFERROR(INDEX(科目表!$E$4:$E$81,MATCH($E3223,科目表!$B$4:$B$81,0)),""))</f>
        <v/>
      </c>
      <c r="H3223" s="114"/>
      <c r="I3223" s="114"/>
      <c r="J3223" s="112"/>
      <c r="K3223" s="112"/>
      <c r="L3223" s="113"/>
      <c r="M3223" s="115"/>
      <c r="N3223" s="113"/>
      <c r="O3223" s="67" t="str">
        <f aca="false">IF($E3223="","","手工")</f>
        <v/>
      </c>
      <c r="P3223" s="113"/>
    </row>
    <row r="3224" customFormat="false" ht="18" hidden="false" customHeight="true" outlineLevel="0" collapsed="false">
      <c r="A3224" s="107" t="str">
        <f aca="false">IF($E3224="","",ROW()-3)</f>
        <v/>
      </c>
      <c r="B3224" s="111"/>
      <c r="C3224" s="112"/>
      <c r="D3224" s="113"/>
      <c r="E3224" s="112"/>
      <c r="F3224" s="99" t="str">
        <f aca="false">IF($E3224="","",IFERROR(INDEX(科目表!$A$4:$A$81,MATCH($E3224,科目表!$B$4:$B$81,0)),""))</f>
        <v/>
      </c>
      <c r="G3224" s="67" t="str">
        <f aca="false">IF($E3224="","",IFERROR(INDEX(科目表!$E$4:$E$81,MATCH($E3224,科目表!$B$4:$B$81,0)),""))</f>
        <v/>
      </c>
      <c r="H3224" s="114"/>
      <c r="I3224" s="114"/>
      <c r="J3224" s="112"/>
      <c r="K3224" s="112"/>
      <c r="L3224" s="113"/>
      <c r="M3224" s="115"/>
      <c r="N3224" s="113"/>
      <c r="O3224" s="67" t="str">
        <f aca="false">IF($E3224="","","手工")</f>
        <v/>
      </c>
      <c r="P3224" s="113"/>
    </row>
    <row r="3225" customFormat="false" ht="18" hidden="false" customHeight="true" outlineLevel="0" collapsed="false">
      <c r="A3225" s="107" t="str">
        <f aca="false">IF($E3225="","",ROW()-3)</f>
        <v/>
      </c>
      <c r="B3225" s="111"/>
      <c r="C3225" s="112"/>
      <c r="D3225" s="113"/>
      <c r="E3225" s="112"/>
      <c r="F3225" s="99" t="str">
        <f aca="false">IF($E3225="","",IFERROR(INDEX(科目表!$A$4:$A$81,MATCH($E3225,科目表!$B$4:$B$81,0)),""))</f>
        <v/>
      </c>
      <c r="G3225" s="67" t="str">
        <f aca="false">IF($E3225="","",IFERROR(INDEX(科目表!$E$4:$E$81,MATCH($E3225,科目表!$B$4:$B$81,0)),""))</f>
        <v/>
      </c>
      <c r="H3225" s="114"/>
      <c r="I3225" s="114"/>
      <c r="J3225" s="112"/>
      <c r="K3225" s="112"/>
      <c r="L3225" s="113"/>
      <c r="M3225" s="115"/>
      <c r="N3225" s="113"/>
      <c r="O3225" s="67" t="str">
        <f aca="false">IF($E3225="","","手工")</f>
        <v/>
      </c>
      <c r="P3225" s="113"/>
    </row>
    <row r="3226" customFormat="false" ht="18" hidden="false" customHeight="true" outlineLevel="0" collapsed="false">
      <c r="A3226" s="107" t="str">
        <f aca="false">IF($E3226="","",ROW()-3)</f>
        <v/>
      </c>
      <c r="B3226" s="111"/>
      <c r="C3226" s="112"/>
      <c r="D3226" s="113"/>
      <c r="E3226" s="112"/>
      <c r="F3226" s="99" t="str">
        <f aca="false">IF($E3226="","",IFERROR(INDEX(科目表!$A$4:$A$81,MATCH($E3226,科目表!$B$4:$B$81,0)),""))</f>
        <v/>
      </c>
      <c r="G3226" s="67" t="str">
        <f aca="false">IF($E3226="","",IFERROR(INDEX(科目表!$E$4:$E$81,MATCH($E3226,科目表!$B$4:$B$81,0)),""))</f>
        <v/>
      </c>
      <c r="H3226" s="114"/>
      <c r="I3226" s="114"/>
      <c r="J3226" s="112"/>
      <c r="K3226" s="112"/>
      <c r="L3226" s="113"/>
      <c r="M3226" s="115"/>
      <c r="N3226" s="113"/>
      <c r="O3226" s="67" t="str">
        <f aca="false">IF($E3226="","","手工")</f>
        <v/>
      </c>
      <c r="P3226" s="113"/>
    </row>
    <row r="3227" customFormat="false" ht="18" hidden="false" customHeight="true" outlineLevel="0" collapsed="false">
      <c r="A3227" s="107" t="str">
        <f aca="false">IF($E3227="","",ROW()-3)</f>
        <v/>
      </c>
      <c r="B3227" s="111"/>
      <c r="C3227" s="112"/>
      <c r="D3227" s="113"/>
      <c r="E3227" s="112"/>
      <c r="F3227" s="99" t="str">
        <f aca="false">IF($E3227="","",IFERROR(INDEX(科目表!$A$4:$A$81,MATCH($E3227,科目表!$B$4:$B$81,0)),""))</f>
        <v/>
      </c>
      <c r="G3227" s="67" t="str">
        <f aca="false">IF($E3227="","",IFERROR(INDEX(科目表!$E$4:$E$81,MATCH($E3227,科目表!$B$4:$B$81,0)),""))</f>
        <v/>
      </c>
      <c r="H3227" s="114"/>
      <c r="I3227" s="114"/>
      <c r="J3227" s="112"/>
      <c r="K3227" s="112"/>
      <c r="L3227" s="113"/>
      <c r="M3227" s="115"/>
      <c r="N3227" s="113"/>
      <c r="O3227" s="67" t="str">
        <f aca="false">IF($E3227="","","手工")</f>
        <v/>
      </c>
      <c r="P3227" s="113"/>
    </row>
    <row r="3228" customFormat="false" ht="18" hidden="false" customHeight="true" outlineLevel="0" collapsed="false">
      <c r="A3228" s="107" t="str">
        <f aca="false">IF($E3228="","",ROW()-3)</f>
        <v/>
      </c>
      <c r="B3228" s="111"/>
      <c r="C3228" s="112"/>
      <c r="D3228" s="113"/>
      <c r="E3228" s="112"/>
      <c r="F3228" s="99" t="str">
        <f aca="false">IF($E3228="","",IFERROR(INDEX(科目表!$A$4:$A$81,MATCH($E3228,科目表!$B$4:$B$81,0)),""))</f>
        <v/>
      </c>
      <c r="G3228" s="67" t="str">
        <f aca="false">IF($E3228="","",IFERROR(INDEX(科目表!$E$4:$E$81,MATCH($E3228,科目表!$B$4:$B$81,0)),""))</f>
        <v/>
      </c>
      <c r="H3228" s="114"/>
      <c r="I3228" s="114"/>
      <c r="J3228" s="112"/>
      <c r="K3228" s="112"/>
      <c r="L3228" s="113"/>
      <c r="M3228" s="115"/>
      <c r="N3228" s="113"/>
      <c r="O3228" s="67" t="str">
        <f aca="false">IF($E3228="","","手工")</f>
        <v/>
      </c>
      <c r="P3228" s="113"/>
    </row>
    <row r="3229" customFormat="false" ht="18" hidden="false" customHeight="true" outlineLevel="0" collapsed="false">
      <c r="A3229" s="107" t="str">
        <f aca="false">IF($E3229="","",ROW()-3)</f>
        <v/>
      </c>
      <c r="B3229" s="111"/>
      <c r="C3229" s="112"/>
      <c r="D3229" s="113"/>
      <c r="E3229" s="112"/>
      <c r="F3229" s="99" t="str">
        <f aca="false">IF($E3229="","",IFERROR(INDEX(科目表!$A$4:$A$81,MATCH($E3229,科目表!$B$4:$B$81,0)),""))</f>
        <v/>
      </c>
      <c r="G3229" s="67" t="str">
        <f aca="false">IF($E3229="","",IFERROR(INDEX(科目表!$E$4:$E$81,MATCH($E3229,科目表!$B$4:$B$81,0)),""))</f>
        <v/>
      </c>
      <c r="H3229" s="114"/>
      <c r="I3229" s="114"/>
      <c r="J3229" s="112"/>
      <c r="K3229" s="112"/>
      <c r="L3229" s="113"/>
      <c r="M3229" s="115"/>
      <c r="N3229" s="113"/>
      <c r="O3229" s="67" t="str">
        <f aca="false">IF($E3229="","","手工")</f>
        <v/>
      </c>
      <c r="P3229" s="113"/>
    </row>
    <row r="3230" customFormat="false" ht="18" hidden="false" customHeight="true" outlineLevel="0" collapsed="false">
      <c r="A3230" s="107" t="str">
        <f aca="false">IF($E3230="","",ROW()-3)</f>
        <v/>
      </c>
      <c r="B3230" s="111"/>
      <c r="C3230" s="112"/>
      <c r="D3230" s="113"/>
      <c r="E3230" s="112"/>
      <c r="F3230" s="99" t="str">
        <f aca="false">IF($E3230="","",IFERROR(INDEX(科目表!$A$4:$A$81,MATCH($E3230,科目表!$B$4:$B$81,0)),""))</f>
        <v/>
      </c>
      <c r="G3230" s="67" t="str">
        <f aca="false">IF($E3230="","",IFERROR(INDEX(科目表!$E$4:$E$81,MATCH($E3230,科目表!$B$4:$B$81,0)),""))</f>
        <v/>
      </c>
      <c r="H3230" s="114"/>
      <c r="I3230" s="114"/>
      <c r="J3230" s="112"/>
      <c r="K3230" s="112"/>
      <c r="L3230" s="113"/>
      <c r="M3230" s="115"/>
      <c r="N3230" s="113"/>
      <c r="O3230" s="67" t="str">
        <f aca="false">IF($E3230="","","手工")</f>
        <v/>
      </c>
      <c r="P3230" s="113"/>
    </row>
    <row r="3231" customFormat="false" ht="18" hidden="false" customHeight="true" outlineLevel="0" collapsed="false">
      <c r="A3231" s="107" t="str">
        <f aca="false">IF($E3231="","",ROW()-3)</f>
        <v/>
      </c>
      <c r="B3231" s="111"/>
      <c r="C3231" s="112"/>
      <c r="D3231" s="113"/>
      <c r="E3231" s="112"/>
      <c r="F3231" s="99" t="str">
        <f aca="false">IF($E3231="","",IFERROR(INDEX(科目表!$A$4:$A$81,MATCH($E3231,科目表!$B$4:$B$81,0)),""))</f>
        <v/>
      </c>
      <c r="G3231" s="67" t="str">
        <f aca="false">IF($E3231="","",IFERROR(INDEX(科目表!$E$4:$E$81,MATCH($E3231,科目表!$B$4:$B$81,0)),""))</f>
        <v/>
      </c>
      <c r="H3231" s="114"/>
      <c r="I3231" s="114"/>
      <c r="J3231" s="112"/>
      <c r="K3231" s="112"/>
      <c r="L3231" s="113"/>
      <c r="M3231" s="115"/>
      <c r="N3231" s="113"/>
      <c r="O3231" s="67" t="str">
        <f aca="false">IF($E3231="","","手工")</f>
        <v/>
      </c>
      <c r="P3231" s="113"/>
    </row>
    <row r="3232" customFormat="false" ht="18" hidden="false" customHeight="true" outlineLevel="0" collapsed="false">
      <c r="A3232" s="107" t="str">
        <f aca="false">IF($E3232="","",ROW()-3)</f>
        <v/>
      </c>
      <c r="B3232" s="111"/>
      <c r="C3232" s="112"/>
      <c r="D3232" s="113"/>
      <c r="E3232" s="112"/>
      <c r="F3232" s="99" t="str">
        <f aca="false">IF($E3232="","",IFERROR(INDEX(科目表!$A$4:$A$81,MATCH($E3232,科目表!$B$4:$B$81,0)),""))</f>
        <v/>
      </c>
      <c r="G3232" s="67" t="str">
        <f aca="false">IF($E3232="","",IFERROR(INDEX(科目表!$E$4:$E$81,MATCH($E3232,科目表!$B$4:$B$81,0)),""))</f>
        <v/>
      </c>
      <c r="H3232" s="114"/>
      <c r="I3232" s="114"/>
      <c r="J3232" s="112"/>
      <c r="K3232" s="112"/>
      <c r="L3232" s="113"/>
      <c r="M3232" s="115"/>
      <c r="N3232" s="113"/>
      <c r="O3232" s="67" t="str">
        <f aca="false">IF($E3232="","","手工")</f>
        <v/>
      </c>
      <c r="P3232" s="113"/>
    </row>
    <row r="3233" customFormat="false" ht="18" hidden="false" customHeight="true" outlineLevel="0" collapsed="false">
      <c r="A3233" s="107" t="str">
        <f aca="false">IF($E3233="","",ROW()-3)</f>
        <v/>
      </c>
      <c r="B3233" s="111"/>
      <c r="C3233" s="112"/>
      <c r="D3233" s="113"/>
      <c r="E3233" s="112"/>
      <c r="F3233" s="99" t="str">
        <f aca="false">IF($E3233="","",IFERROR(INDEX(科目表!$A$4:$A$81,MATCH($E3233,科目表!$B$4:$B$81,0)),""))</f>
        <v/>
      </c>
      <c r="G3233" s="67" t="str">
        <f aca="false">IF($E3233="","",IFERROR(INDEX(科目表!$E$4:$E$81,MATCH($E3233,科目表!$B$4:$B$81,0)),""))</f>
        <v/>
      </c>
      <c r="H3233" s="114"/>
      <c r="I3233" s="114"/>
      <c r="J3233" s="112"/>
      <c r="K3233" s="112"/>
      <c r="L3233" s="113"/>
      <c r="M3233" s="115"/>
      <c r="N3233" s="113"/>
      <c r="O3233" s="67" t="str">
        <f aca="false">IF($E3233="","","手工")</f>
        <v/>
      </c>
      <c r="P3233" s="113"/>
    </row>
    <row r="3234" customFormat="false" ht="18" hidden="false" customHeight="true" outlineLevel="0" collapsed="false">
      <c r="A3234" s="107" t="str">
        <f aca="false">IF($E3234="","",ROW()-3)</f>
        <v/>
      </c>
      <c r="B3234" s="111"/>
      <c r="C3234" s="112"/>
      <c r="D3234" s="113"/>
      <c r="E3234" s="112"/>
      <c r="F3234" s="99" t="str">
        <f aca="false">IF($E3234="","",IFERROR(INDEX(科目表!$A$4:$A$81,MATCH($E3234,科目表!$B$4:$B$81,0)),""))</f>
        <v/>
      </c>
      <c r="G3234" s="67" t="str">
        <f aca="false">IF($E3234="","",IFERROR(INDEX(科目表!$E$4:$E$81,MATCH($E3234,科目表!$B$4:$B$81,0)),""))</f>
        <v/>
      </c>
      <c r="H3234" s="114"/>
      <c r="I3234" s="114"/>
      <c r="J3234" s="112"/>
      <c r="K3234" s="112"/>
      <c r="L3234" s="113"/>
      <c r="M3234" s="115"/>
      <c r="N3234" s="113"/>
      <c r="O3234" s="67" t="str">
        <f aca="false">IF($E3234="","","手工")</f>
        <v/>
      </c>
      <c r="P3234" s="113"/>
    </row>
    <row r="3235" customFormat="false" ht="18" hidden="false" customHeight="true" outlineLevel="0" collapsed="false">
      <c r="A3235" s="107" t="str">
        <f aca="false">IF($E3235="","",ROW()-3)</f>
        <v/>
      </c>
      <c r="B3235" s="111"/>
      <c r="C3235" s="112"/>
      <c r="D3235" s="113"/>
      <c r="E3235" s="112"/>
      <c r="F3235" s="99" t="str">
        <f aca="false">IF($E3235="","",IFERROR(INDEX(科目表!$A$4:$A$81,MATCH($E3235,科目表!$B$4:$B$81,0)),""))</f>
        <v/>
      </c>
      <c r="G3235" s="67" t="str">
        <f aca="false">IF($E3235="","",IFERROR(INDEX(科目表!$E$4:$E$81,MATCH($E3235,科目表!$B$4:$B$81,0)),""))</f>
        <v/>
      </c>
      <c r="H3235" s="114"/>
      <c r="I3235" s="114"/>
      <c r="J3235" s="112"/>
      <c r="K3235" s="112"/>
      <c r="L3235" s="113"/>
      <c r="M3235" s="115"/>
      <c r="N3235" s="113"/>
      <c r="O3235" s="67" t="str">
        <f aca="false">IF($E3235="","","手工")</f>
        <v/>
      </c>
      <c r="P3235" s="113"/>
    </row>
    <row r="3236" customFormat="false" ht="18" hidden="false" customHeight="true" outlineLevel="0" collapsed="false">
      <c r="A3236" s="107" t="str">
        <f aca="false">IF($E3236="","",ROW()-3)</f>
        <v/>
      </c>
      <c r="B3236" s="111"/>
      <c r="C3236" s="112"/>
      <c r="D3236" s="113"/>
      <c r="E3236" s="112"/>
      <c r="F3236" s="99" t="str">
        <f aca="false">IF($E3236="","",IFERROR(INDEX(科目表!$A$4:$A$81,MATCH($E3236,科目表!$B$4:$B$81,0)),""))</f>
        <v/>
      </c>
      <c r="G3236" s="67" t="str">
        <f aca="false">IF($E3236="","",IFERROR(INDEX(科目表!$E$4:$E$81,MATCH($E3236,科目表!$B$4:$B$81,0)),""))</f>
        <v/>
      </c>
      <c r="H3236" s="114"/>
      <c r="I3236" s="114"/>
      <c r="J3236" s="112"/>
      <c r="K3236" s="112"/>
      <c r="L3236" s="113"/>
      <c r="M3236" s="115"/>
      <c r="N3236" s="113"/>
      <c r="O3236" s="67" t="str">
        <f aca="false">IF($E3236="","","手工")</f>
        <v/>
      </c>
      <c r="P3236" s="113"/>
    </row>
    <row r="3237" customFormat="false" ht="18" hidden="false" customHeight="true" outlineLevel="0" collapsed="false">
      <c r="A3237" s="107" t="str">
        <f aca="false">IF($E3237="","",ROW()-3)</f>
        <v/>
      </c>
      <c r="B3237" s="111"/>
      <c r="C3237" s="112"/>
      <c r="D3237" s="113"/>
      <c r="E3237" s="112"/>
      <c r="F3237" s="99" t="str">
        <f aca="false">IF($E3237="","",IFERROR(INDEX(科目表!$A$4:$A$81,MATCH($E3237,科目表!$B$4:$B$81,0)),""))</f>
        <v/>
      </c>
      <c r="G3237" s="67" t="str">
        <f aca="false">IF($E3237="","",IFERROR(INDEX(科目表!$E$4:$E$81,MATCH($E3237,科目表!$B$4:$B$81,0)),""))</f>
        <v/>
      </c>
      <c r="H3237" s="114"/>
      <c r="I3237" s="114"/>
      <c r="J3237" s="112"/>
      <c r="K3237" s="112"/>
      <c r="L3237" s="113"/>
      <c r="M3237" s="115"/>
      <c r="N3237" s="113"/>
      <c r="O3237" s="67" t="str">
        <f aca="false">IF($E3237="","","手工")</f>
        <v/>
      </c>
      <c r="P3237" s="113"/>
    </row>
    <row r="3238" customFormat="false" ht="18" hidden="false" customHeight="true" outlineLevel="0" collapsed="false">
      <c r="A3238" s="107" t="str">
        <f aca="false">IF($E3238="","",ROW()-3)</f>
        <v/>
      </c>
      <c r="B3238" s="111"/>
      <c r="C3238" s="112"/>
      <c r="D3238" s="113"/>
      <c r="E3238" s="112"/>
      <c r="F3238" s="99" t="str">
        <f aca="false">IF($E3238="","",IFERROR(INDEX(科目表!$A$4:$A$81,MATCH($E3238,科目表!$B$4:$B$81,0)),""))</f>
        <v/>
      </c>
      <c r="G3238" s="67" t="str">
        <f aca="false">IF($E3238="","",IFERROR(INDEX(科目表!$E$4:$E$81,MATCH($E3238,科目表!$B$4:$B$81,0)),""))</f>
        <v/>
      </c>
      <c r="H3238" s="114"/>
      <c r="I3238" s="114"/>
      <c r="J3238" s="112"/>
      <c r="K3238" s="112"/>
      <c r="L3238" s="113"/>
      <c r="M3238" s="115"/>
      <c r="N3238" s="113"/>
      <c r="O3238" s="67" t="str">
        <f aca="false">IF($E3238="","","手工")</f>
        <v/>
      </c>
      <c r="P3238" s="113"/>
    </row>
    <row r="3239" customFormat="false" ht="18" hidden="false" customHeight="true" outlineLevel="0" collapsed="false">
      <c r="A3239" s="107" t="str">
        <f aca="false">IF($E3239="","",ROW()-3)</f>
        <v/>
      </c>
      <c r="B3239" s="111"/>
      <c r="C3239" s="112"/>
      <c r="D3239" s="113"/>
      <c r="E3239" s="112"/>
      <c r="F3239" s="99" t="str">
        <f aca="false">IF($E3239="","",IFERROR(INDEX(科目表!$A$4:$A$81,MATCH($E3239,科目表!$B$4:$B$81,0)),""))</f>
        <v/>
      </c>
      <c r="G3239" s="67" t="str">
        <f aca="false">IF($E3239="","",IFERROR(INDEX(科目表!$E$4:$E$81,MATCH($E3239,科目表!$B$4:$B$81,0)),""))</f>
        <v/>
      </c>
      <c r="H3239" s="114"/>
      <c r="I3239" s="114"/>
      <c r="J3239" s="112"/>
      <c r="K3239" s="112"/>
      <c r="L3239" s="113"/>
      <c r="M3239" s="115"/>
      <c r="N3239" s="113"/>
      <c r="O3239" s="67" t="str">
        <f aca="false">IF($E3239="","","手工")</f>
        <v/>
      </c>
      <c r="P3239" s="113"/>
    </row>
    <row r="3240" customFormat="false" ht="18" hidden="false" customHeight="true" outlineLevel="0" collapsed="false">
      <c r="A3240" s="107" t="str">
        <f aca="false">IF($E3240="","",ROW()-3)</f>
        <v/>
      </c>
      <c r="B3240" s="111"/>
      <c r="C3240" s="112"/>
      <c r="D3240" s="113"/>
      <c r="E3240" s="112"/>
      <c r="F3240" s="99" t="str">
        <f aca="false">IF($E3240="","",IFERROR(INDEX(科目表!$A$4:$A$81,MATCH($E3240,科目表!$B$4:$B$81,0)),""))</f>
        <v/>
      </c>
      <c r="G3240" s="67" t="str">
        <f aca="false">IF($E3240="","",IFERROR(INDEX(科目表!$E$4:$E$81,MATCH($E3240,科目表!$B$4:$B$81,0)),""))</f>
        <v/>
      </c>
      <c r="H3240" s="114"/>
      <c r="I3240" s="114"/>
      <c r="J3240" s="112"/>
      <c r="K3240" s="112"/>
      <c r="L3240" s="113"/>
      <c r="M3240" s="115"/>
      <c r="N3240" s="113"/>
      <c r="O3240" s="67" t="str">
        <f aca="false">IF($E3240="","","手工")</f>
        <v/>
      </c>
      <c r="P3240" s="113"/>
    </row>
    <row r="3241" customFormat="false" ht="18" hidden="false" customHeight="true" outlineLevel="0" collapsed="false">
      <c r="A3241" s="107" t="str">
        <f aca="false">IF($E3241="","",ROW()-3)</f>
        <v/>
      </c>
      <c r="B3241" s="111"/>
      <c r="C3241" s="112"/>
      <c r="D3241" s="113"/>
      <c r="E3241" s="112"/>
      <c r="F3241" s="99" t="str">
        <f aca="false">IF($E3241="","",IFERROR(INDEX(科目表!$A$4:$A$81,MATCH($E3241,科目表!$B$4:$B$81,0)),""))</f>
        <v/>
      </c>
      <c r="G3241" s="67" t="str">
        <f aca="false">IF($E3241="","",IFERROR(INDEX(科目表!$E$4:$E$81,MATCH($E3241,科目表!$B$4:$B$81,0)),""))</f>
        <v/>
      </c>
      <c r="H3241" s="114"/>
      <c r="I3241" s="114"/>
      <c r="J3241" s="112"/>
      <c r="K3241" s="112"/>
      <c r="L3241" s="113"/>
      <c r="M3241" s="115"/>
      <c r="N3241" s="113"/>
      <c r="O3241" s="67" t="str">
        <f aca="false">IF($E3241="","","手工")</f>
        <v/>
      </c>
      <c r="P3241" s="113"/>
    </row>
    <row r="3242" customFormat="false" ht="18" hidden="false" customHeight="true" outlineLevel="0" collapsed="false">
      <c r="A3242" s="107" t="str">
        <f aca="false">IF($E3242="","",ROW()-3)</f>
        <v/>
      </c>
      <c r="B3242" s="111"/>
      <c r="C3242" s="112"/>
      <c r="D3242" s="113"/>
      <c r="E3242" s="112"/>
      <c r="F3242" s="99" t="str">
        <f aca="false">IF($E3242="","",IFERROR(INDEX(科目表!$A$4:$A$81,MATCH($E3242,科目表!$B$4:$B$81,0)),""))</f>
        <v/>
      </c>
      <c r="G3242" s="67" t="str">
        <f aca="false">IF($E3242="","",IFERROR(INDEX(科目表!$E$4:$E$81,MATCH($E3242,科目表!$B$4:$B$81,0)),""))</f>
        <v/>
      </c>
      <c r="H3242" s="114"/>
      <c r="I3242" s="114"/>
      <c r="J3242" s="112"/>
      <c r="K3242" s="112"/>
      <c r="L3242" s="113"/>
      <c r="M3242" s="115"/>
      <c r="N3242" s="113"/>
      <c r="O3242" s="67" t="str">
        <f aca="false">IF($E3242="","","手工")</f>
        <v/>
      </c>
      <c r="P3242" s="113"/>
    </row>
    <row r="3243" customFormat="false" ht="18" hidden="false" customHeight="true" outlineLevel="0" collapsed="false">
      <c r="A3243" s="107" t="str">
        <f aca="false">IF($E3243="","",ROW()-3)</f>
        <v/>
      </c>
      <c r="B3243" s="111"/>
      <c r="C3243" s="112"/>
      <c r="D3243" s="113"/>
      <c r="E3243" s="112"/>
      <c r="F3243" s="99" t="str">
        <f aca="false">IF($E3243="","",IFERROR(INDEX(科目表!$A$4:$A$81,MATCH($E3243,科目表!$B$4:$B$81,0)),""))</f>
        <v/>
      </c>
      <c r="G3243" s="67" t="str">
        <f aca="false">IF($E3243="","",IFERROR(INDEX(科目表!$E$4:$E$81,MATCH($E3243,科目表!$B$4:$B$81,0)),""))</f>
        <v/>
      </c>
      <c r="H3243" s="114"/>
      <c r="I3243" s="114"/>
      <c r="J3243" s="112"/>
      <c r="K3243" s="112"/>
      <c r="L3243" s="113"/>
      <c r="M3243" s="115"/>
      <c r="N3243" s="113"/>
      <c r="O3243" s="67" t="str">
        <f aca="false">IF($E3243="","","手工")</f>
        <v/>
      </c>
      <c r="P3243" s="113"/>
    </row>
    <row r="3244" customFormat="false" ht="18" hidden="false" customHeight="true" outlineLevel="0" collapsed="false">
      <c r="A3244" s="107" t="str">
        <f aca="false">IF($E3244="","",ROW()-3)</f>
        <v/>
      </c>
      <c r="B3244" s="111"/>
      <c r="C3244" s="112"/>
      <c r="D3244" s="113"/>
      <c r="E3244" s="112"/>
      <c r="F3244" s="99" t="str">
        <f aca="false">IF($E3244="","",IFERROR(INDEX(科目表!$A$4:$A$81,MATCH($E3244,科目表!$B$4:$B$81,0)),""))</f>
        <v/>
      </c>
      <c r="G3244" s="67" t="str">
        <f aca="false">IF($E3244="","",IFERROR(INDEX(科目表!$E$4:$E$81,MATCH($E3244,科目表!$B$4:$B$81,0)),""))</f>
        <v/>
      </c>
      <c r="H3244" s="114"/>
      <c r="I3244" s="114"/>
      <c r="J3244" s="112"/>
      <c r="K3244" s="112"/>
      <c r="L3244" s="113"/>
      <c r="M3244" s="115"/>
      <c r="N3244" s="113"/>
      <c r="O3244" s="67" t="str">
        <f aca="false">IF($E3244="","","手工")</f>
        <v/>
      </c>
      <c r="P3244" s="113"/>
    </row>
    <row r="3245" customFormat="false" ht="18" hidden="false" customHeight="true" outlineLevel="0" collapsed="false">
      <c r="A3245" s="107" t="str">
        <f aca="false">IF($E3245="","",ROW()-3)</f>
        <v/>
      </c>
      <c r="B3245" s="111"/>
      <c r="C3245" s="112"/>
      <c r="D3245" s="113"/>
      <c r="E3245" s="112"/>
      <c r="F3245" s="99" t="str">
        <f aca="false">IF($E3245="","",IFERROR(INDEX(科目表!$A$4:$A$81,MATCH($E3245,科目表!$B$4:$B$81,0)),""))</f>
        <v/>
      </c>
      <c r="G3245" s="67" t="str">
        <f aca="false">IF($E3245="","",IFERROR(INDEX(科目表!$E$4:$E$81,MATCH($E3245,科目表!$B$4:$B$81,0)),""))</f>
        <v/>
      </c>
      <c r="H3245" s="114"/>
      <c r="I3245" s="114"/>
      <c r="J3245" s="112"/>
      <c r="K3245" s="112"/>
      <c r="L3245" s="113"/>
      <c r="M3245" s="115"/>
      <c r="N3245" s="113"/>
      <c r="O3245" s="67" t="str">
        <f aca="false">IF($E3245="","","手工")</f>
        <v/>
      </c>
      <c r="P3245" s="113"/>
    </row>
    <row r="3246" customFormat="false" ht="18" hidden="false" customHeight="true" outlineLevel="0" collapsed="false">
      <c r="A3246" s="107" t="str">
        <f aca="false">IF($E3246="","",ROW()-3)</f>
        <v/>
      </c>
      <c r="B3246" s="111"/>
      <c r="C3246" s="112"/>
      <c r="D3246" s="113"/>
      <c r="E3246" s="112"/>
      <c r="F3246" s="99" t="str">
        <f aca="false">IF($E3246="","",IFERROR(INDEX(科目表!$A$4:$A$81,MATCH($E3246,科目表!$B$4:$B$81,0)),""))</f>
        <v/>
      </c>
      <c r="G3246" s="67" t="str">
        <f aca="false">IF($E3246="","",IFERROR(INDEX(科目表!$E$4:$E$81,MATCH($E3246,科目表!$B$4:$B$81,0)),""))</f>
        <v/>
      </c>
      <c r="H3246" s="114"/>
      <c r="I3246" s="114"/>
      <c r="J3246" s="112"/>
      <c r="K3246" s="112"/>
      <c r="L3246" s="113"/>
      <c r="M3246" s="115"/>
      <c r="N3246" s="113"/>
      <c r="O3246" s="67" t="str">
        <f aca="false">IF($E3246="","","手工")</f>
        <v/>
      </c>
      <c r="P3246" s="113"/>
    </row>
    <row r="3247" customFormat="false" ht="18" hidden="false" customHeight="true" outlineLevel="0" collapsed="false">
      <c r="A3247" s="107" t="str">
        <f aca="false">IF($E3247="","",ROW()-3)</f>
        <v/>
      </c>
      <c r="B3247" s="111"/>
      <c r="C3247" s="112"/>
      <c r="D3247" s="113"/>
      <c r="E3247" s="112"/>
      <c r="F3247" s="99" t="str">
        <f aca="false">IF($E3247="","",IFERROR(INDEX(科目表!$A$4:$A$81,MATCH($E3247,科目表!$B$4:$B$81,0)),""))</f>
        <v/>
      </c>
      <c r="G3247" s="67" t="str">
        <f aca="false">IF($E3247="","",IFERROR(INDEX(科目表!$E$4:$E$81,MATCH($E3247,科目表!$B$4:$B$81,0)),""))</f>
        <v/>
      </c>
      <c r="H3247" s="114"/>
      <c r="I3247" s="114"/>
      <c r="J3247" s="112"/>
      <c r="K3247" s="112"/>
      <c r="L3247" s="113"/>
      <c r="M3247" s="115"/>
      <c r="N3247" s="113"/>
      <c r="O3247" s="67" t="str">
        <f aca="false">IF($E3247="","","手工")</f>
        <v/>
      </c>
      <c r="P3247" s="113"/>
    </row>
    <row r="3248" customFormat="false" ht="18" hidden="false" customHeight="true" outlineLevel="0" collapsed="false">
      <c r="A3248" s="107" t="str">
        <f aca="false">IF($E3248="","",ROW()-3)</f>
        <v/>
      </c>
      <c r="B3248" s="111"/>
      <c r="C3248" s="112"/>
      <c r="D3248" s="113"/>
      <c r="E3248" s="112"/>
      <c r="F3248" s="99" t="str">
        <f aca="false">IF($E3248="","",IFERROR(INDEX(科目表!$A$4:$A$81,MATCH($E3248,科目表!$B$4:$B$81,0)),""))</f>
        <v/>
      </c>
      <c r="G3248" s="67" t="str">
        <f aca="false">IF($E3248="","",IFERROR(INDEX(科目表!$E$4:$E$81,MATCH($E3248,科目表!$B$4:$B$81,0)),""))</f>
        <v/>
      </c>
      <c r="H3248" s="114"/>
      <c r="I3248" s="114"/>
      <c r="J3248" s="112"/>
      <c r="K3248" s="112"/>
      <c r="L3248" s="113"/>
      <c r="M3248" s="115"/>
      <c r="N3248" s="113"/>
      <c r="O3248" s="67" t="str">
        <f aca="false">IF($E3248="","","手工")</f>
        <v/>
      </c>
      <c r="P3248" s="113"/>
    </row>
    <row r="3249" customFormat="false" ht="18" hidden="false" customHeight="true" outlineLevel="0" collapsed="false">
      <c r="A3249" s="107" t="str">
        <f aca="false">IF($E3249="","",ROW()-3)</f>
        <v/>
      </c>
      <c r="B3249" s="111"/>
      <c r="C3249" s="112"/>
      <c r="D3249" s="113"/>
      <c r="E3249" s="112"/>
      <c r="F3249" s="99" t="str">
        <f aca="false">IF($E3249="","",IFERROR(INDEX(科目表!$A$4:$A$81,MATCH($E3249,科目表!$B$4:$B$81,0)),""))</f>
        <v/>
      </c>
      <c r="G3249" s="67" t="str">
        <f aca="false">IF($E3249="","",IFERROR(INDEX(科目表!$E$4:$E$81,MATCH($E3249,科目表!$B$4:$B$81,0)),""))</f>
        <v/>
      </c>
      <c r="H3249" s="114"/>
      <c r="I3249" s="114"/>
      <c r="J3249" s="112"/>
      <c r="K3249" s="112"/>
      <c r="L3249" s="113"/>
      <c r="M3249" s="115"/>
      <c r="N3249" s="113"/>
      <c r="O3249" s="67" t="str">
        <f aca="false">IF($E3249="","","手工")</f>
        <v/>
      </c>
      <c r="P3249" s="113"/>
    </row>
    <row r="3250" customFormat="false" ht="18" hidden="false" customHeight="true" outlineLevel="0" collapsed="false">
      <c r="A3250" s="107" t="str">
        <f aca="false">IF($E3250="","",ROW()-3)</f>
        <v/>
      </c>
      <c r="B3250" s="111"/>
      <c r="C3250" s="112"/>
      <c r="D3250" s="113"/>
      <c r="E3250" s="112"/>
      <c r="F3250" s="99" t="str">
        <f aca="false">IF($E3250="","",IFERROR(INDEX(科目表!$A$4:$A$81,MATCH($E3250,科目表!$B$4:$B$81,0)),""))</f>
        <v/>
      </c>
      <c r="G3250" s="67" t="str">
        <f aca="false">IF($E3250="","",IFERROR(INDEX(科目表!$E$4:$E$81,MATCH($E3250,科目表!$B$4:$B$81,0)),""))</f>
        <v/>
      </c>
      <c r="H3250" s="114"/>
      <c r="I3250" s="114"/>
      <c r="J3250" s="112"/>
      <c r="K3250" s="112"/>
      <c r="L3250" s="113"/>
      <c r="M3250" s="115"/>
      <c r="N3250" s="113"/>
      <c r="O3250" s="67" t="str">
        <f aca="false">IF($E3250="","","手工")</f>
        <v/>
      </c>
      <c r="P3250" s="113"/>
    </row>
    <row r="3251" customFormat="false" ht="18" hidden="false" customHeight="true" outlineLevel="0" collapsed="false">
      <c r="A3251" s="107" t="str">
        <f aca="false">IF($E3251="","",ROW()-3)</f>
        <v/>
      </c>
      <c r="B3251" s="111"/>
      <c r="C3251" s="112"/>
      <c r="D3251" s="113"/>
      <c r="E3251" s="112"/>
      <c r="F3251" s="99" t="str">
        <f aca="false">IF($E3251="","",IFERROR(INDEX(科目表!$A$4:$A$81,MATCH($E3251,科目表!$B$4:$B$81,0)),""))</f>
        <v/>
      </c>
      <c r="G3251" s="67" t="str">
        <f aca="false">IF($E3251="","",IFERROR(INDEX(科目表!$E$4:$E$81,MATCH($E3251,科目表!$B$4:$B$81,0)),""))</f>
        <v/>
      </c>
      <c r="H3251" s="114"/>
      <c r="I3251" s="114"/>
      <c r="J3251" s="112"/>
      <c r="K3251" s="112"/>
      <c r="L3251" s="113"/>
      <c r="M3251" s="115"/>
      <c r="N3251" s="113"/>
      <c r="O3251" s="67" t="str">
        <f aca="false">IF($E3251="","","手工")</f>
        <v/>
      </c>
      <c r="P3251" s="113"/>
    </row>
    <row r="3252" customFormat="false" ht="18" hidden="false" customHeight="true" outlineLevel="0" collapsed="false">
      <c r="A3252" s="107" t="str">
        <f aca="false">IF($E3252="","",ROW()-3)</f>
        <v/>
      </c>
      <c r="B3252" s="111"/>
      <c r="C3252" s="112"/>
      <c r="D3252" s="113"/>
      <c r="E3252" s="112"/>
      <c r="F3252" s="99" t="str">
        <f aca="false">IF($E3252="","",IFERROR(INDEX(科目表!$A$4:$A$81,MATCH($E3252,科目表!$B$4:$B$81,0)),""))</f>
        <v/>
      </c>
      <c r="G3252" s="67" t="str">
        <f aca="false">IF($E3252="","",IFERROR(INDEX(科目表!$E$4:$E$81,MATCH($E3252,科目表!$B$4:$B$81,0)),""))</f>
        <v/>
      </c>
      <c r="H3252" s="114"/>
      <c r="I3252" s="114"/>
      <c r="J3252" s="112"/>
      <c r="K3252" s="112"/>
      <c r="L3252" s="113"/>
      <c r="M3252" s="115"/>
      <c r="N3252" s="113"/>
      <c r="O3252" s="67" t="str">
        <f aca="false">IF($E3252="","","手工")</f>
        <v/>
      </c>
      <c r="P3252" s="113"/>
    </row>
    <row r="3253" customFormat="false" ht="18" hidden="false" customHeight="true" outlineLevel="0" collapsed="false">
      <c r="A3253" s="107" t="str">
        <f aca="false">IF($E3253="","",ROW()-3)</f>
        <v/>
      </c>
      <c r="B3253" s="111"/>
      <c r="C3253" s="112"/>
      <c r="D3253" s="113"/>
      <c r="E3253" s="112"/>
      <c r="F3253" s="99" t="str">
        <f aca="false">IF($E3253="","",IFERROR(INDEX(科目表!$A$4:$A$81,MATCH($E3253,科目表!$B$4:$B$81,0)),""))</f>
        <v/>
      </c>
      <c r="G3253" s="67" t="str">
        <f aca="false">IF($E3253="","",IFERROR(INDEX(科目表!$E$4:$E$81,MATCH($E3253,科目表!$B$4:$B$81,0)),""))</f>
        <v/>
      </c>
      <c r="H3253" s="114"/>
      <c r="I3253" s="114"/>
      <c r="J3253" s="112"/>
      <c r="K3253" s="112"/>
      <c r="L3253" s="113"/>
      <c r="M3253" s="115"/>
      <c r="N3253" s="113"/>
      <c r="O3253" s="67" t="str">
        <f aca="false">IF($E3253="","","手工")</f>
        <v/>
      </c>
      <c r="P3253" s="113"/>
    </row>
    <row r="3254" customFormat="false" ht="18" hidden="false" customHeight="true" outlineLevel="0" collapsed="false">
      <c r="A3254" s="107" t="str">
        <f aca="false">IF($E3254="","",ROW()-3)</f>
        <v/>
      </c>
      <c r="B3254" s="111"/>
      <c r="C3254" s="112"/>
      <c r="D3254" s="113"/>
      <c r="E3254" s="112"/>
      <c r="F3254" s="99" t="str">
        <f aca="false">IF($E3254="","",IFERROR(INDEX(科目表!$A$4:$A$81,MATCH($E3254,科目表!$B$4:$B$81,0)),""))</f>
        <v/>
      </c>
      <c r="G3254" s="67" t="str">
        <f aca="false">IF($E3254="","",IFERROR(INDEX(科目表!$E$4:$E$81,MATCH($E3254,科目表!$B$4:$B$81,0)),""))</f>
        <v/>
      </c>
      <c r="H3254" s="114"/>
      <c r="I3254" s="114"/>
      <c r="J3254" s="112"/>
      <c r="K3254" s="112"/>
      <c r="L3254" s="113"/>
      <c r="M3254" s="115"/>
      <c r="N3254" s="113"/>
      <c r="O3254" s="67" t="str">
        <f aca="false">IF($E3254="","","手工")</f>
        <v/>
      </c>
      <c r="P3254" s="113"/>
    </row>
    <row r="3255" customFormat="false" ht="18" hidden="false" customHeight="true" outlineLevel="0" collapsed="false">
      <c r="A3255" s="107" t="str">
        <f aca="false">IF($E3255="","",ROW()-3)</f>
        <v/>
      </c>
      <c r="B3255" s="111"/>
      <c r="C3255" s="112"/>
      <c r="D3255" s="113"/>
      <c r="E3255" s="112"/>
      <c r="F3255" s="99" t="str">
        <f aca="false">IF($E3255="","",IFERROR(INDEX(科目表!$A$4:$A$81,MATCH($E3255,科目表!$B$4:$B$81,0)),""))</f>
        <v/>
      </c>
      <c r="G3255" s="67" t="str">
        <f aca="false">IF($E3255="","",IFERROR(INDEX(科目表!$E$4:$E$81,MATCH($E3255,科目表!$B$4:$B$81,0)),""))</f>
        <v/>
      </c>
      <c r="H3255" s="114"/>
      <c r="I3255" s="114"/>
      <c r="J3255" s="112"/>
      <c r="K3255" s="112"/>
      <c r="L3255" s="113"/>
      <c r="M3255" s="115"/>
      <c r="N3255" s="113"/>
      <c r="O3255" s="67" t="str">
        <f aca="false">IF($E3255="","","手工")</f>
        <v/>
      </c>
      <c r="P3255" s="113"/>
    </row>
    <row r="3256" customFormat="false" ht="18" hidden="false" customHeight="true" outlineLevel="0" collapsed="false">
      <c r="A3256" s="107" t="str">
        <f aca="false">IF($E3256="","",ROW()-3)</f>
        <v/>
      </c>
      <c r="B3256" s="111"/>
      <c r="C3256" s="112"/>
      <c r="D3256" s="113"/>
      <c r="E3256" s="112"/>
      <c r="F3256" s="99" t="str">
        <f aca="false">IF($E3256="","",IFERROR(INDEX(科目表!$A$4:$A$81,MATCH($E3256,科目表!$B$4:$B$81,0)),""))</f>
        <v/>
      </c>
      <c r="G3256" s="67" t="str">
        <f aca="false">IF($E3256="","",IFERROR(INDEX(科目表!$E$4:$E$81,MATCH($E3256,科目表!$B$4:$B$81,0)),""))</f>
        <v/>
      </c>
      <c r="H3256" s="114"/>
      <c r="I3256" s="114"/>
      <c r="J3256" s="112"/>
      <c r="K3256" s="112"/>
      <c r="L3256" s="113"/>
      <c r="M3256" s="115"/>
      <c r="N3256" s="113"/>
      <c r="O3256" s="67" t="str">
        <f aca="false">IF($E3256="","","手工")</f>
        <v/>
      </c>
      <c r="P3256" s="113"/>
    </row>
    <row r="3257" customFormat="false" ht="18" hidden="false" customHeight="true" outlineLevel="0" collapsed="false">
      <c r="A3257" s="107" t="str">
        <f aca="false">IF($E3257="","",ROW()-3)</f>
        <v/>
      </c>
      <c r="B3257" s="111"/>
      <c r="C3257" s="112"/>
      <c r="D3257" s="113"/>
      <c r="E3257" s="112"/>
      <c r="F3257" s="99" t="str">
        <f aca="false">IF($E3257="","",IFERROR(INDEX(科目表!$A$4:$A$81,MATCH($E3257,科目表!$B$4:$B$81,0)),""))</f>
        <v/>
      </c>
      <c r="G3257" s="67" t="str">
        <f aca="false">IF($E3257="","",IFERROR(INDEX(科目表!$E$4:$E$81,MATCH($E3257,科目表!$B$4:$B$81,0)),""))</f>
        <v/>
      </c>
      <c r="H3257" s="114"/>
      <c r="I3257" s="114"/>
      <c r="J3257" s="112"/>
      <c r="K3257" s="112"/>
      <c r="L3257" s="113"/>
      <c r="M3257" s="115"/>
      <c r="N3257" s="113"/>
      <c r="O3257" s="67" t="str">
        <f aca="false">IF($E3257="","","手工")</f>
        <v/>
      </c>
      <c r="P3257" s="113"/>
    </row>
    <row r="3258" customFormat="false" ht="18" hidden="false" customHeight="true" outlineLevel="0" collapsed="false">
      <c r="A3258" s="107" t="str">
        <f aca="false">IF($E3258="","",ROW()-3)</f>
        <v/>
      </c>
      <c r="B3258" s="111"/>
      <c r="C3258" s="112"/>
      <c r="D3258" s="113"/>
      <c r="E3258" s="112"/>
      <c r="F3258" s="99" t="str">
        <f aca="false">IF($E3258="","",IFERROR(INDEX(科目表!$A$4:$A$81,MATCH($E3258,科目表!$B$4:$B$81,0)),""))</f>
        <v/>
      </c>
      <c r="G3258" s="67" t="str">
        <f aca="false">IF($E3258="","",IFERROR(INDEX(科目表!$E$4:$E$81,MATCH($E3258,科目表!$B$4:$B$81,0)),""))</f>
        <v/>
      </c>
      <c r="H3258" s="114"/>
      <c r="I3258" s="114"/>
      <c r="J3258" s="112"/>
      <c r="K3258" s="112"/>
      <c r="L3258" s="113"/>
      <c r="M3258" s="115"/>
      <c r="N3258" s="113"/>
      <c r="O3258" s="67" t="str">
        <f aca="false">IF($E3258="","","手工")</f>
        <v/>
      </c>
      <c r="P3258" s="113"/>
    </row>
    <row r="3259" customFormat="false" ht="18" hidden="false" customHeight="true" outlineLevel="0" collapsed="false">
      <c r="A3259" s="107" t="str">
        <f aca="false">IF($E3259="","",ROW()-3)</f>
        <v/>
      </c>
      <c r="B3259" s="111"/>
      <c r="C3259" s="112"/>
      <c r="D3259" s="113"/>
      <c r="E3259" s="112"/>
      <c r="F3259" s="99" t="str">
        <f aca="false">IF($E3259="","",IFERROR(INDEX(科目表!$A$4:$A$81,MATCH($E3259,科目表!$B$4:$B$81,0)),""))</f>
        <v/>
      </c>
      <c r="G3259" s="67" t="str">
        <f aca="false">IF($E3259="","",IFERROR(INDEX(科目表!$E$4:$E$81,MATCH($E3259,科目表!$B$4:$B$81,0)),""))</f>
        <v/>
      </c>
      <c r="H3259" s="114"/>
      <c r="I3259" s="114"/>
      <c r="J3259" s="112"/>
      <c r="K3259" s="112"/>
      <c r="L3259" s="113"/>
      <c r="M3259" s="115"/>
      <c r="N3259" s="113"/>
      <c r="O3259" s="67" t="str">
        <f aca="false">IF($E3259="","","手工")</f>
        <v/>
      </c>
      <c r="P3259" s="113"/>
    </row>
    <row r="3260" customFormat="false" ht="18" hidden="false" customHeight="true" outlineLevel="0" collapsed="false">
      <c r="A3260" s="107" t="str">
        <f aca="false">IF($E3260="","",ROW()-3)</f>
        <v/>
      </c>
      <c r="B3260" s="111"/>
      <c r="C3260" s="112"/>
      <c r="D3260" s="113"/>
      <c r="E3260" s="112"/>
      <c r="F3260" s="99" t="str">
        <f aca="false">IF($E3260="","",IFERROR(INDEX(科目表!$A$4:$A$81,MATCH($E3260,科目表!$B$4:$B$81,0)),""))</f>
        <v/>
      </c>
      <c r="G3260" s="67" t="str">
        <f aca="false">IF($E3260="","",IFERROR(INDEX(科目表!$E$4:$E$81,MATCH($E3260,科目表!$B$4:$B$81,0)),""))</f>
        <v/>
      </c>
      <c r="H3260" s="114"/>
      <c r="I3260" s="114"/>
      <c r="J3260" s="112"/>
      <c r="K3260" s="112"/>
      <c r="L3260" s="113"/>
      <c r="M3260" s="115"/>
      <c r="N3260" s="113"/>
      <c r="O3260" s="67" t="str">
        <f aca="false">IF($E3260="","","手工")</f>
        <v/>
      </c>
      <c r="P3260" s="113"/>
    </row>
    <row r="3261" customFormat="false" ht="18" hidden="false" customHeight="true" outlineLevel="0" collapsed="false">
      <c r="A3261" s="107" t="str">
        <f aca="false">IF($E3261="","",ROW()-3)</f>
        <v/>
      </c>
      <c r="B3261" s="111"/>
      <c r="C3261" s="112"/>
      <c r="D3261" s="113"/>
      <c r="E3261" s="112"/>
      <c r="F3261" s="99" t="str">
        <f aca="false">IF($E3261="","",IFERROR(INDEX(科目表!$A$4:$A$81,MATCH($E3261,科目表!$B$4:$B$81,0)),""))</f>
        <v/>
      </c>
      <c r="G3261" s="67" t="str">
        <f aca="false">IF($E3261="","",IFERROR(INDEX(科目表!$E$4:$E$81,MATCH($E3261,科目表!$B$4:$B$81,0)),""))</f>
        <v/>
      </c>
      <c r="H3261" s="114"/>
      <c r="I3261" s="114"/>
      <c r="J3261" s="112"/>
      <c r="K3261" s="112"/>
      <c r="L3261" s="113"/>
      <c r="M3261" s="115"/>
      <c r="N3261" s="113"/>
      <c r="O3261" s="67" t="str">
        <f aca="false">IF($E3261="","","手工")</f>
        <v/>
      </c>
      <c r="P3261" s="113"/>
    </row>
    <row r="3262" customFormat="false" ht="18" hidden="false" customHeight="true" outlineLevel="0" collapsed="false">
      <c r="A3262" s="107" t="str">
        <f aca="false">IF($E3262="","",ROW()-3)</f>
        <v/>
      </c>
      <c r="B3262" s="111"/>
      <c r="C3262" s="112"/>
      <c r="D3262" s="113"/>
      <c r="E3262" s="112"/>
      <c r="F3262" s="99" t="str">
        <f aca="false">IF($E3262="","",IFERROR(INDEX(科目表!$A$4:$A$81,MATCH($E3262,科目表!$B$4:$B$81,0)),""))</f>
        <v/>
      </c>
      <c r="G3262" s="67" t="str">
        <f aca="false">IF($E3262="","",IFERROR(INDEX(科目表!$E$4:$E$81,MATCH($E3262,科目表!$B$4:$B$81,0)),""))</f>
        <v/>
      </c>
      <c r="H3262" s="114"/>
      <c r="I3262" s="114"/>
      <c r="J3262" s="112"/>
      <c r="K3262" s="112"/>
      <c r="L3262" s="113"/>
      <c r="M3262" s="115"/>
      <c r="N3262" s="113"/>
      <c r="O3262" s="67" t="str">
        <f aca="false">IF($E3262="","","手工")</f>
        <v/>
      </c>
      <c r="P3262" s="113"/>
    </row>
    <row r="3263" customFormat="false" ht="18" hidden="false" customHeight="true" outlineLevel="0" collapsed="false">
      <c r="A3263" s="107" t="str">
        <f aca="false">IF($E3263="","",ROW()-3)</f>
        <v/>
      </c>
      <c r="B3263" s="111"/>
      <c r="C3263" s="112"/>
      <c r="D3263" s="113"/>
      <c r="E3263" s="112"/>
      <c r="F3263" s="99" t="str">
        <f aca="false">IF($E3263="","",IFERROR(INDEX(科目表!$A$4:$A$81,MATCH($E3263,科目表!$B$4:$B$81,0)),""))</f>
        <v/>
      </c>
      <c r="G3263" s="67" t="str">
        <f aca="false">IF($E3263="","",IFERROR(INDEX(科目表!$E$4:$E$81,MATCH($E3263,科目表!$B$4:$B$81,0)),""))</f>
        <v/>
      </c>
      <c r="H3263" s="114"/>
      <c r="I3263" s="114"/>
      <c r="J3263" s="112"/>
      <c r="K3263" s="112"/>
      <c r="L3263" s="113"/>
      <c r="M3263" s="115"/>
      <c r="N3263" s="113"/>
      <c r="O3263" s="67" t="str">
        <f aca="false">IF($E3263="","","手工")</f>
        <v/>
      </c>
      <c r="P3263" s="113"/>
    </row>
    <row r="3264" customFormat="false" ht="18" hidden="false" customHeight="true" outlineLevel="0" collapsed="false">
      <c r="A3264" s="107" t="str">
        <f aca="false">IF($E3264="","",ROW()-3)</f>
        <v/>
      </c>
      <c r="B3264" s="111"/>
      <c r="C3264" s="112"/>
      <c r="D3264" s="113"/>
      <c r="E3264" s="112"/>
      <c r="F3264" s="99" t="str">
        <f aca="false">IF($E3264="","",IFERROR(INDEX(科目表!$A$4:$A$81,MATCH($E3264,科目表!$B$4:$B$81,0)),""))</f>
        <v/>
      </c>
      <c r="G3264" s="67" t="str">
        <f aca="false">IF($E3264="","",IFERROR(INDEX(科目表!$E$4:$E$81,MATCH($E3264,科目表!$B$4:$B$81,0)),""))</f>
        <v/>
      </c>
      <c r="H3264" s="114"/>
      <c r="I3264" s="114"/>
      <c r="J3264" s="112"/>
      <c r="K3264" s="112"/>
      <c r="L3264" s="113"/>
      <c r="M3264" s="115"/>
      <c r="N3264" s="113"/>
      <c r="O3264" s="67" t="str">
        <f aca="false">IF($E3264="","","手工")</f>
        <v/>
      </c>
      <c r="P3264" s="113"/>
    </row>
    <row r="3265" customFormat="false" ht="18" hidden="false" customHeight="true" outlineLevel="0" collapsed="false">
      <c r="A3265" s="107" t="str">
        <f aca="false">IF($E3265="","",ROW()-3)</f>
        <v/>
      </c>
      <c r="B3265" s="111"/>
      <c r="C3265" s="112"/>
      <c r="D3265" s="113"/>
      <c r="E3265" s="112"/>
      <c r="F3265" s="99" t="str">
        <f aca="false">IF($E3265="","",IFERROR(INDEX(科目表!$A$4:$A$81,MATCH($E3265,科目表!$B$4:$B$81,0)),""))</f>
        <v/>
      </c>
      <c r="G3265" s="67" t="str">
        <f aca="false">IF($E3265="","",IFERROR(INDEX(科目表!$E$4:$E$81,MATCH($E3265,科目表!$B$4:$B$81,0)),""))</f>
        <v/>
      </c>
      <c r="H3265" s="114"/>
      <c r="I3265" s="114"/>
      <c r="J3265" s="112"/>
      <c r="K3265" s="112"/>
      <c r="L3265" s="113"/>
      <c r="M3265" s="115"/>
      <c r="N3265" s="113"/>
      <c r="O3265" s="67" t="str">
        <f aca="false">IF($E3265="","","手工")</f>
        <v/>
      </c>
      <c r="P3265" s="113"/>
    </row>
    <row r="3266" customFormat="false" ht="18" hidden="false" customHeight="true" outlineLevel="0" collapsed="false">
      <c r="A3266" s="107" t="str">
        <f aca="false">IF($E3266="","",ROW()-3)</f>
        <v/>
      </c>
      <c r="B3266" s="111"/>
      <c r="C3266" s="112"/>
      <c r="D3266" s="113"/>
      <c r="E3266" s="112"/>
      <c r="F3266" s="99" t="str">
        <f aca="false">IF($E3266="","",IFERROR(INDEX(科目表!$A$4:$A$81,MATCH($E3266,科目表!$B$4:$B$81,0)),""))</f>
        <v/>
      </c>
      <c r="G3266" s="67" t="str">
        <f aca="false">IF($E3266="","",IFERROR(INDEX(科目表!$E$4:$E$81,MATCH($E3266,科目表!$B$4:$B$81,0)),""))</f>
        <v/>
      </c>
      <c r="H3266" s="114"/>
      <c r="I3266" s="114"/>
      <c r="J3266" s="112"/>
      <c r="K3266" s="112"/>
      <c r="L3266" s="113"/>
      <c r="M3266" s="115"/>
      <c r="N3266" s="113"/>
      <c r="O3266" s="67" t="str">
        <f aca="false">IF($E3266="","","手工")</f>
        <v/>
      </c>
      <c r="P3266" s="113"/>
    </row>
    <row r="3267" customFormat="false" ht="18" hidden="false" customHeight="true" outlineLevel="0" collapsed="false">
      <c r="A3267" s="107" t="str">
        <f aca="false">IF($E3267="","",ROW()-3)</f>
        <v/>
      </c>
      <c r="B3267" s="111"/>
      <c r="C3267" s="112"/>
      <c r="D3267" s="113"/>
      <c r="E3267" s="112"/>
      <c r="F3267" s="99" t="str">
        <f aca="false">IF($E3267="","",IFERROR(INDEX(科目表!$A$4:$A$81,MATCH($E3267,科目表!$B$4:$B$81,0)),""))</f>
        <v/>
      </c>
      <c r="G3267" s="67" t="str">
        <f aca="false">IF($E3267="","",IFERROR(INDEX(科目表!$E$4:$E$81,MATCH($E3267,科目表!$B$4:$B$81,0)),""))</f>
        <v/>
      </c>
      <c r="H3267" s="114"/>
      <c r="I3267" s="114"/>
      <c r="J3267" s="112"/>
      <c r="K3267" s="112"/>
      <c r="L3267" s="113"/>
      <c r="M3267" s="115"/>
      <c r="N3267" s="113"/>
      <c r="O3267" s="67" t="str">
        <f aca="false">IF($E3267="","","手工")</f>
        <v/>
      </c>
      <c r="P3267" s="113"/>
    </row>
    <row r="3268" customFormat="false" ht="18" hidden="false" customHeight="true" outlineLevel="0" collapsed="false">
      <c r="A3268" s="107" t="str">
        <f aca="false">IF($E3268="","",ROW()-3)</f>
        <v/>
      </c>
      <c r="B3268" s="111"/>
      <c r="C3268" s="112"/>
      <c r="D3268" s="113"/>
      <c r="E3268" s="112"/>
      <c r="F3268" s="99" t="str">
        <f aca="false">IF($E3268="","",IFERROR(INDEX(科目表!$A$4:$A$81,MATCH($E3268,科目表!$B$4:$B$81,0)),""))</f>
        <v/>
      </c>
      <c r="G3268" s="67" t="str">
        <f aca="false">IF($E3268="","",IFERROR(INDEX(科目表!$E$4:$E$81,MATCH($E3268,科目表!$B$4:$B$81,0)),""))</f>
        <v/>
      </c>
      <c r="H3268" s="114"/>
      <c r="I3268" s="114"/>
      <c r="J3268" s="112"/>
      <c r="K3268" s="112"/>
      <c r="L3268" s="113"/>
      <c r="M3268" s="115"/>
      <c r="N3268" s="113"/>
      <c r="O3268" s="67" t="str">
        <f aca="false">IF($E3268="","","手工")</f>
        <v/>
      </c>
      <c r="P3268" s="113"/>
    </row>
    <row r="3269" customFormat="false" ht="18" hidden="false" customHeight="true" outlineLevel="0" collapsed="false">
      <c r="A3269" s="107" t="str">
        <f aca="false">IF($E3269="","",ROW()-3)</f>
        <v/>
      </c>
      <c r="B3269" s="111"/>
      <c r="C3269" s="112"/>
      <c r="D3269" s="113"/>
      <c r="E3269" s="112"/>
      <c r="F3269" s="99" t="str">
        <f aca="false">IF($E3269="","",IFERROR(INDEX(科目表!$A$4:$A$81,MATCH($E3269,科目表!$B$4:$B$81,0)),""))</f>
        <v/>
      </c>
      <c r="G3269" s="67" t="str">
        <f aca="false">IF($E3269="","",IFERROR(INDEX(科目表!$E$4:$E$81,MATCH($E3269,科目表!$B$4:$B$81,0)),""))</f>
        <v/>
      </c>
      <c r="H3269" s="114"/>
      <c r="I3269" s="114"/>
      <c r="J3269" s="112"/>
      <c r="K3269" s="112"/>
      <c r="L3269" s="113"/>
      <c r="M3269" s="115"/>
      <c r="N3269" s="113"/>
      <c r="O3269" s="67" t="str">
        <f aca="false">IF($E3269="","","手工")</f>
        <v/>
      </c>
      <c r="P3269" s="113"/>
    </row>
    <row r="3270" customFormat="false" ht="18" hidden="false" customHeight="true" outlineLevel="0" collapsed="false">
      <c r="A3270" s="107" t="str">
        <f aca="false">IF($E3270="","",ROW()-3)</f>
        <v/>
      </c>
      <c r="B3270" s="111"/>
      <c r="C3270" s="112"/>
      <c r="D3270" s="113"/>
      <c r="E3270" s="112"/>
      <c r="F3270" s="99" t="str">
        <f aca="false">IF($E3270="","",IFERROR(INDEX(科目表!$A$4:$A$81,MATCH($E3270,科目表!$B$4:$B$81,0)),""))</f>
        <v/>
      </c>
      <c r="G3270" s="67" t="str">
        <f aca="false">IF($E3270="","",IFERROR(INDEX(科目表!$E$4:$E$81,MATCH($E3270,科目表!$B$4:$B$81,0)),""))</f>
        <v/>
      </c>
      <c r="H3270" s="114"/>
      <c r="I3270" s="114"/>
      <c r="J3270" s="112"/>
      <c r="K3270" s="112"/>
      <c r="L3270" s="113"/>
      <c r="M3270" s="115"/>
      <c r="N3270" s="113"/>
      <c r="O3270" s="67" t="str">
        <f aca="false">IF($E3270="","","手工")</f>
        <v/>
      </c>
      <c r="P3270" s="113"/>
    </row>
    <row r="3271" customFormat="false" ht="18" hidden="false" customHeight="true" outlineLevel="0" collapsed="false">
      <c r="A3271" s="107" t="str">
        <f aca="false">IF($E3271="","",ROW()-3)</f>
        <v/>
      </c>
      <c r="B3271" s="111"/>
      <c r="C3271" s="112"/>
      <c r="D3271" s="113"/>
      <c r="E3271" s="112"/>
      <c r="F3271" s="99" t="str">
        <f aca="false">IF($E3271="","",IFERROR(INDEX(科目表!$A$4:$A$81,MATCH($E3271,科目表!$B$4:$B$81,0)),""))</f>
        <v/>
      </c>
      <c r="G3271" s="67" t="str">
        <f aca="false">IF($E3271="","",IFERROR(INDEX(科目表!$E$4:$E$81,MATCH($E3271,科目表!$B$4:$B$81,0)),""))</f>
        <v/>
      </c>
      <c r="H3271" s="114"/>
      <c r="I3271" s="114"/>
      <c r="J3271" s="112"/>
      <c r="K3271" s="112"/>
      <c r="L3271" s="113"/>
      <c r="M3271" s="115"/>
      <c r="N3271" s="113"/>
      <c r="O3271" s="67" t="str">
        <f aca="false">IF($E3271="","","手工")</f>
        <v/>
      </c>
      <c r="P3271" s="113"/>
    </row>
    <row r="3272" customFormat="false" ht="18" hidden="false" customHeight="true" outlineLevel="0" collapsed="false">
      <c r="A3272" s="107" t="str">
        <f aca="false">IF($E3272="","",ROW()-3)</f>
        <v/>
      </c>
      <c r="B3272" s="111"/>
      <c r="C3272" s="112"/>
      <c r="D3272" s="113"/>
      <c r="E3272" s="112"/>
      <c r="F3272" s="99" t="str">
        <f aca="false">IF($E3272="","",IFERROR(INDEX(科目表!$A$4:$A$81,MATCH($E3272,科目表!$B$4:$B$81,0)),""))</f>
        <v/>
      </c>
      <c r="G3272" s="67" t="str">
        <f aca="false">IF($E3272="","",IFERROR(INDEX(科目表!$E$4:$E$81,MATCH($E3272,科目表!$B$4:$B$81,0)),""))</f>
        <v/>
      </c>
      <c r="H3272" s="114"/>
      <c r="I3272" s="114"/>
      <c r="J3272" s="112"/>
      <c r="K3272" s="112"/>
      <c r="L3272" s="113"/>
      <c r="M3272" s="115"/>
      <c r="N3272" s="113"/>
      <c r="O3272" s="67" t="str">
        <f aca="false">IF($E3272="","","手工")</f>
        <v/>
      </c>
      <c r="P3272" s="113"/>
    </row>
    <row r="3273" customFormat="false" ht="18" hidden="false" customHeight="true" outlineLevel="0" collapsed="false">
      <c r="A3273" s="107" t="str">
        <f aca="false">IF($E3273="","",ROW()-3)</f>
        <v/>
      </c>
      <c r="B3273" s="111"/>
      <c r="C3273" s="112"/>
      <c r="D3273" s="113"/>
      <c r="E3273" s="112"/>
      <c r="F3273" s="99" t="str">
        <f aca="false">IF($E3273="","",IFERROR(INDEX(科目表!$A$4:$A$81,MATCH($E3273,科目表!$B$4:$B$81,0)),""))</f>
        <v/>
      </c>
      <c r="G3273" s="67" t="str">
        <f aca="false">IF($E3273="","",IFERROR(INDEX(科目表!$E$4:$E$81,MATCH($E3273,科目表!$B$4:$B$81,0)),""))</f>
        <v/>
      </c>
      <c r="H3273" s="114"/>
      <c r="I3273" s="114"/>
      <c r="J3273" s="112"/>
      <c r="K3273" s="112"/>
      <c r="L3273" s="113"/>
      <c r="M3273" s="115"/>
      <c r="N3273" s="113"/>
      <c r="O3273" s="67" t="str">
        <f aca="false">IF($E3273="","","手工")</f>
        <v/>
      </c>
      <c r="P3273" s="113"/>
    </row>
    <row r="3274" customFormat="false" ht="18" hidden="false" customHeight="true" outlineLevel="0" collapsed="false">
      <c r="A3274" s="107" t="str">
        <f aca="false">IF($E3274="","",ROW()-3)</f>
        <v/>
      </c>
      <c r="B3274" s="111"/>
      <c r="C3274" s="112"/>
      <c r="D3274" s="113"/>
      <c r="E3274" s="112"/>
      <c r="F3274" s="99" t="str">
        <f aca="false">IF($E3274="","",IFERROR(INDEX(科目表!$A$4:$A$81,MATCH($E3274,科目表!$B$4:$B$81,0)),""))</f>
        <v/>
      </c>
      <c r="G3274" s="67" t="str">
        <f aca="false">IF($E3274="","",IFERROR(INDEX(科目表!$E$4:$E$81,MATCH($E3274,科目表!$B$4:$B$81,0)),""))</f>
        <v/>
      </c>
      <c r="H3274" s="114"/>
      <c r="I3274" s="114"/>
      <c r="J3274" s="112"/>
      <c r="K3274" s="112"/>
      <c r="L3274" s="113"/>
      <c r="M3274" s="115"/>
      <c r="N3274" s="113"/>
      <c r="O3274" s="67" t="str">
        <f aca="false">IF($E3274="","","手工")</f>
        <v/>
      </c>
      <c r="P3274" s="113"/>
    </row>
    <row r="3275" customFormat="false" ht="18" hidden="false" customHeight="true" outlineLevel="0" collapsed="false">
      <c r="A3275" s="107" t="str">
        <f aca="false">IF($E3275="","",ROW()-3)</f>
        <v/>
      </c>
      <c r="B3275" s="111"/>
      <c r="C3275" s="112"/>
      <c r="D3275" s="113"/>
      <c r="E3275" s="112"/>
      <c r="F3275" s="99" t="str">
        <f aca="false">IF($E3275="","",IFERROR(INDEX(科目表!$A$4:$A$81,MATCH($E3275,科目表!$B$4:$B$81,0)),""))</f>
        <v/>
      </c>
      <c r="G3275" s="67" t="str">
        <f aca="false">IF($E3275="","",IFERROR(INDEX(科目表!$E$4:$E$81,MATCH($E3275,科目表!$B$4:$B$81,0)),""))</f>
        <v/>
      </c>
      <c r="H3275" s="114"/>
      <c r="I3275" s="114"/>
      <c r="J3275" s="112"/>
      <c r="K3275" s="112"/>
      <c r="L3275" s="113"/>
      <c r="M3275" s="115"/>
      <c r="N3275" s="113"/>
      <c r="O3275" s="67" t="str">
        <f aca="false">IF($E3275="","","手工")</f>
        <v/>
      </c>
      <c r="P3275" s="113"/>
    </row>
    <row r="3276" customFormat="false" ht="18" hidden="false" customHeight="true" outlineLevel="0" collapsed="false">
      <c r="A3276" s="107" t="str">
        <f aca="false">IF($E3276="","",ROW()-3)</f>
        <v/>
      </c>
      <c r="B3276" s="111"/>
      <c r="C3276" s="112"/>
      <c r="D3276" s="113"/>
      <c r="E3276" s="112"/>
      <c r="F3276" s="99" t="str">
        <f aca="false">IF($E3276="","",IFERROR(INDEX(科目表!$A$4:$A$81,MATCH($E3276,科目表!$B$4:$B$81,0)),""))</f>
        <v/>
      </c>
      <c r="G3276" s="67" t="str">
        <f aca="false">IF($E3276="","",IFERROR(INDEX(科目表!$E$4:$E$81,MATCH($E3276,科目表!$B$4:$B$81,0)),""))</f>
        <v/>
      </c>
      <c r="H3276" s="114"/>
      <c r="I3276" s="114"/>
      <c r="J3276" s="112"/>
      <c r="K3276" s="112"/>
      <c r="L3276" s="113"/>
      <c r="M3276" s="115"/>
      <c r="N3276" s="113"/>
      <c r="O3276" s="67" t="str">
        <f aca="false">IF($E3276="","","手工")</f>
        <v/>
      </c>
      <c r="P3276" s="113"/>
    </row>
    <row r="3277" customFormat="false" ht="18" hidden="false" customHeight="true" outlineLevel="0" collapsed="false">
      <c r="A3277" s="107" t="str">
        <f aca="false">IF($E3277="","",ROW()-3)</f>
        <v/>
      </c>
      <c r="B3277" s="111"/>
      <c r="C3277" s="112"/>
      <c r="D3277" s="113"/>
      <c r="E3277" s="112"/>
      <c r="F3277" s="99" t="str">
        <f aca="false">IF($E3277="","",IFERROR(INDEX(科目表!$A$4:$A$81,MATCH($E3277,科目表!$B$4:$B$81,0)),""))</f>
        <v/>
      </c>
      <c r="G3277" s="67" t="str">
        <f aca="false">IF($E3277="","",IFERROR(INDEX(科目表!$E$4:$E$81,MATCH($E3277,科目表!$B$4:$B$81,0)),""))</f>
        <v/>
      </c>
      <c r="H3277" s="114"/>
      <c r="I3277" s="114"/>
      <c r="J3277" s="112"/>
      <c r="K3277" s="112"/>
      <c r="L3277" s="113"/>
      <c r="M3277" s="115"/>
      <c r="N3277" s="113"/>
      <c r="O3277" s="67" t="str">
        <f aca="false">IF($E3277="","","手工")</f>
        <v/>
      </c>
      <c r="P3277" s="113"/>
    </row>
    <row r="3278" customFormat="false" ht="18" hidden="false" customHeight="true" outlineLevel="0" collapsed="false">
      <c r="A3278" s="107" t="str">
        <f aca="false">IF($E3278="","",ROW()-3)</f>
        <v/>
      </c>
      <c r="B3278" s="111"/>
      <c r="C3278" s="112"/>
      <c r="D3278" s="113"/>
      <c r="E3278" s="112"/>
      <c r="F3278" s="99" t="str">
        <f aca="false">IF($E3278="","",IFERROR(INDEX(科目表!$A$4:$A$81,MATCH($E3278,科目表!$B$4:$B$81,0)),""))</f>
        <v/>
      </c>
      <c r="G3278" s="67" t="str">
        <f aca="false">IF($E3278="","",IFERROR(INDEX(科目表!$E$4:$E$81,MATCH($E3278,科目表!$B$4:$B$81,0)),""))</f>
        <v/>
      </c>
      <c r="H3278" s="114"/>
      <c r="I3278" s="114"/>
      <c r="J3278" s="112"/>
      <c r="K3278" s="112"/>
      <c r="L3278" s="113"/>
      <c r="M3278" s="115"/>
      <c r="N3278" s="113"/>
      <c r="O3278" s="67" t="str">
        <f aca="false">IF($E3278="","","手工")</f>
        <v/>
      </c>
      <c r="P3278" s="113"/>
    </row>
    <row r="3279" customFormat="false" ht="18" hidden="false" customHeight="true" outlineLevel="0" collapsed="false">
      <c r="A3279" s="107" t="str">
        <f aca="false">IF($E3279="","",ROW()-3)</f>
        <v/>
      </c>
      <c r="B3279" s="111"/>
      <c r="C3279" s="112"/>
      <c r="D3279" s="113"/>
      <c r="E3279" s="112"/>
      <c r="F3279" s="99" t="str">
        <f aca="false">IF($E3279="","",IFERROR(INDEX(科目表!$A$4:$A$81,MATCH($E3279,科目表!$B$4:$B$81,0)),""))</f>
        <v/>
      </c>
      <c r="G3279" s="67" t="str">
        <f aca="false">IF($E3279="","",IFERROR(INDEX(科目表!$E$4:$E$81,MATCH($E3279,科目表!$B$4:$B$81,0)),""))</f>
        <v/>
      </c>
      <c r="H3279" s="114"/>
      <c r="I3279" s="114"/>
      <c r="J3279" s="112"/>
      <c r="K3279" s="112"/>
      <c r="L3279" s="113"/>
      <c r="M3279" s="115"/>
      <c r="N3279" s="113"/>
      <c r="O3279" s="67" t="str">
        <f aca="false">IF($E3279="","","手工")</f>
        <v/>
      </c>
      <c r="P3279" s="113"/>
    </row>
    <row r="3280" customFormat="false" ht="18" hidden="false" customHeight="true" outlineLevel="0" collapsed="false">
      <c r="A3280" s="107" t="str">
        <f aca="false">IF($E3280="","",ROW()-3)</f>
        <v/>
      </c>
      <c r="B3280" s="111"/>
      <c r="C3280" s="112"/>
      <c r="D3280" s="113"/>
      <c r="E3280" s="112"/>
      <c r="F3280" s="99" t="str">
        <f aca="false">IF($E3280="","",IFERROR(INDEX(科目表!$A$4:$A$81,MATCH($E3280,科目表!$B$4:$B$81,0)),""))</f>
        <v/>
      </c>
      <c r="G3280" s="67" t="str">
        <f aca="false">IF($E3280="","",IFERROR(INDEX(科目表!$E$4:$E$81,MATCH($E3280,科目表!$B$4:$B$81,0)),""))</f>
        <v/>
      </c>
      <c r="H3280" s="114"/>
      <c r="I3280" s="114"/>
      <c r="J3280" s="112"/>
      <c r="K3280" s="112"/>
      <c r="L3280" s="113"/>
      <c r="M3280" s="115"/>
      <c r="N3280" s="113"/>
      <c r="O3280" s="67" t="str">
        <f aca="false">IF($E3280="","","手工")</f>
        <v/>
      </c>
      <c r="P3280" s="113"/>
    </row>
    <row r="3281" customFormat="false" ht="18" hidden="false" customHeight="true" outlineLevel="0" collapsed="false">
      <c r="A3281" s="107" t="str">
        <f aca="false">IF($E3281="","",ROW()-3)</f>
        <v/>
      </c>
      <c r="B3281" s="111"/>
      <c r="C3281" s="112"/>
      <c r="D3281" s="113"/>
      <c r="E3281" s="112"/>
      <c r="F3281" s="99" t="str">
        <f aca="false">IF($E3281="","",IFERROR(INDEX(科目表!$A$4:$A$81,MATCH($E3281,科目表!$B$4:$B$81,0)),""))</f>
        <v/>
      </c>
      <c r="G3281" s="67" t="str">
        <f aca="false">IF($E3281="","",IFERROR(INDEX(科目表!$E$4:$E$81,MATCH($E3281,科目表!$B$4:$B$81,0)),""))</f>
        <v/>
      </c>
      <c r="H3281" s="114"/>
      <c r="I3281" s="114"/>
      <c r="J3281" s="112"/>
      <c r="K3281" s="112"/>
      <c r="L3281" s="113"/>
      <c r="M3281" s="115"/>
      <c r="N3281" s="113"/>
      <c r="O3281" s="67" t="str">
        <f aca="false">IF($E3281="","","手工")</f>
        <v/>
      </c>
      <c r="P3281" s="113"/>
    </row>
    <row r="3282" customFormat="false" ht="18" hidden="false" customHeight="true" outlineLevel="0" collapsed="false">
      <c r="A3282" s="107" t="str">
        <f aca="false">IF($E3282="","",ROW()-3)</f>
        <v/>
      </c>
      <c r="B3282" s="111"/>
      <c r="C3282" s="112"/>
      <c r="D3282" s="113"/>
      <c r="E3282" s="112"/>
      <c r="F3282" s="99" t="str">
        <f aca="false">IF($E3282="","",IFERROR(INDEX(科目表!$A$4:$A$81,MATCH($E3282,科目表!$B$4:$B$81,0)),""))</f>
        <v/>
      </c>
      <c r="G3282" s="67" t="str">
        <f aca="false">IF($E3282="","",IFERROR(INDEX(科目表!$E$4:$E$81,MATCH($E3282,科目表!$B$4:$B$81,0)),""))</f>
        <v/>
      </c>
      <c r="H3282" s="114"/>
      <c r="I3282" s="114"/>
      <c r="J3282" s="112"/>
      <c r="K3282" s="112"/>
      <c r="L3282" s="113"/>
      <c r="M3282" s="115"/>
      <c r="N3282" s="113"/>
      <c r="O3282" s="67" t="str">
        <f aca="false">IF($E3282="","","手工")</f>
        <v/>
      </c>
      <c r="P3282" s="113"/>
    </row>
    <row r="3283" customFormat="false" ht="18" hidden="false" customHeight="true" outlineLevel="0" collapsed="false">
      <c r="A3283" s="107" t="str">
        <f aca="false">IF($E3283="","",ROW()-3)</f>
        <v/>
      </c>
      <c r="B3283" s="111"/>
      <c r="C3283" s="112"/>
      <c r="D3283" s="113"/>
      <c r="E3283" s="112"/>
      <c r="F3283" s="99" t="str">
        <f aca="false">IF($E3283="","",IFERROR(INDEX(科目表!$A$4:$A$81,MATCH($E3283,科目表!$B$4:$B$81,0)),""))</f>
        <v/>
      </c>
      <c r="G3283" s="67" t="str">
        <f aca="false">IF($E3283="","",IFERROR(INDEX(科目表!$E$4:$E$81,MATCH($E3283,科目表!$B$4:$B$81,0)),""))</f>
        <v/>
      </c>
      <c r="H3283" s="114"/>
      <c r="I3283" s="114"/>
      <c r="J3283" s="112"/>
      <c r="K3283" s="112"/>
      <c r="L3283" s="113"/>
      <c r="M3283" s="115"/>
      <c r="N3283" s="113"/>
      <c r="O3283" s="67" t="str">
        <f aca="false">IF($E3283="","","手工")</f>
        <v/>
      </c>
      <c r="P3283" s="113"/>
    </row>
    <row r="3284" customFormat="false" ht="18" hidden="false" customHeight="true" outlineLevel="0" collapsed="false">
      <c r="A3284" s="107" t="str">
        <f aca="false">IF($E3284="","",ROW()-3)</f>
        <v/>
      </c>
      <c r="B3284" s="111"/>
      <c r="C3284" s="112"/>
      <c r="D3284" s="113"/>
      <c r="E3284" s="112"/>
      <c r="F3284" s="99" t="str">
        <f aca="false">IF($E3284="","",IFERROR(INDEX(科目表!$A$4:$A$81,MATCH($E3284,科目表!$B$4:$B$81,0)),""))</f>
        <v/>
      </c>
      <c r="G3284" s="67" t="str">
        <f aca="false">IF($E3284="","",IFERROR(INDEX(科目表!$E$4:$E$81,MATCH($E3284,科目表!$B$4:$B$81,0)),""))</f>
        <v/>
      </c>
      <c r="H3284" s="114"/>
      <c r="I3284" s="114"/>
      <c r="J3284" s="112"/>
      <c r="K3284" s="112"/>
      <c r="L3284" s="113"/>
      <c r="M3284" s="115"/>
      <c r="N3284" s="113"/>
      <c r="O3284" s="67" t="str">
        <f aca="false">IF($E3284="","","手工")</f>
        <v/>
      </c>
      <c r="P3284" s="113"/>
    </row>
    <row r="3285" customFormat="false" ht="18" hidden="false" customHeight="true" outlineLevel="0" collapsed="false">
      <c r="A3285" s="107" t="str">
        <f aca="false">IF($E3285="","",ROW()-3)</f>
        <v/>
      </c>
      <c r="B3285" s="111"/>
      <c r="C3285" s="112"/>
      <c r="D3285" s="113"/>
      <c r="E3285" s="112"/>
      <c r="F3285" s="99" t="str">
        <f aca="false">IF($E3285="","",IFERROR(INDEX(科目表!$A$4:$A$81,MATCH($E3285,科目表!$B$4:$B$81,0)),""))</f>
        <v/>
      </c>
      <c r="G3285" s="67" t="str">
        <f aca="false">IF($E3285="","",IFERROR(INDEX(科目表!$E$4:$E$81,MATCH($E3285,科目表!$B$4:$B$81,0)),""))</f>
        <v/>
      </c>
      <c r="H3285" s="114"/>
      <c r="I3285" s="114"/>
      <c r="J3285" s="112"/>
      <c r="K3285" s="112"/>
      <c r="L3285" s="113"/>
      <c r="M3285" s="115"/>
      <c r="N3285" s="113"/>
      <c r="O3285" s="67" t="str">
        <f aca="false">IF($E3285="","","手工")</f>
        <v/>
      </c>
      <c r="P3285" s="113"/>
    </row>
    <row r="3286" customFormat="false" ht="18" hidden="false" customHeight="true" outlineLevel="0" collapsed="false">
      <c r="A3286" s="107" t="str">
        <f aca="false">IF($E3286="","",ROW()-3)</f>
        <v/>
      </c>
      <c r="B3286" s="111"/>
      <c r="C3286" s="112"/>
      <c r="D3286" s="113"/>
      <c r="E3286" s="112"/>
      <c r="F3286" s="99" t="str">
        <f aca="false">IF($E3286="","",IFERROR(INDEX(科目表!$A$4:$A$81,MATCH($E3286,科目表!$B$4:$B$81,0)),""))</f>
        <v/>
      </c>
      <c r="G3286" s="67" t="str">
        <f aca="false">IF($E3286="","",IFERROR(INDEX(科目表!$E$4:$E$81,MATCH($E3286,科目表!$B$4:$B$81,0)),""))</f>
        <v/>
      </c>
      <c r="H3286" s="114"/>
      <c r="I3286" s="114"/>
      <c r="J3286" s="112"/>
      <c r="K3286" s="112"/>
      <c r="L3286" s="113"/>
      <c r="M3286" s="115"/>
      <c r="N3286" s="113"/>
      <c r="O3286" s="67" t="str">
        <f aca="false">IF($E3286="","","手工")</f>
        <v/>
      </c>
      <c r="P3286" s="113"/>
    </row>
    <row r="3287" customFormat="false" ht="18" hidden="false" customHeight="true" outlineLevel="0" collapsed="false">
      <c r="A3287" s="107" t="str">
        <f aca="false">IF($E3287="","",ROW()-3)</f>
        <v/>
      </c>
      <c r="B3287" s="111"/>
      <c r="C3287" s="112"/>
      <c r="D3287" s="113"/>
      <c r="E3287" s="112"/>
      <c r="F3287" s="99" t="str">
        <f aca="false">IF($E3287="","",IFERROR(INDEX(科目表!$A$4:$A$81,MATCH($E3287,科目表!$B$4:$B$81,0)),""))</f>
        <v/>
      </c>
      <c r="G3287" s="67" t="str">
        <f aca="false">IF($E3287="","",IFERROR(INDEX(科目表!$E$4:$E$81,MATCH($E3287,科目表!$B$4:$B$81,0)),""))</f>
        <v/>
      </c>
      <c r="H3287" s="114"/>
      <c r="I3287" s="114"/>
      <c r="J3287" s="112"/>
      <c r="K3287" s="112"/>
      <c r="L3287" s="113"/>
      <c r="M3287" s="115"/>
      <c r="N3287" s="113"/>
      <c r="O3287" s="67" t="str">
        <f aca="false">IF($E3287="","","手工")</f>
        <v/>
      </c>
      <c r="P3287" s="113"/>
    </row>
    <row r="3288" customFormat="false" ht="18" hidden="false" customHeight="true" outlineLevel="0" collapsed="false">
      <c r="A3288" s="107" t="str">
        <f aca="false">IF($E3288="","",ROW()-3)</f>
        <v/>
      </c>
      <c r="B3288" s="111"/>
      <c r="C3288" s="112"/>
      <c r="D3288" s="113"/>
      <c r="E3288" s="112"/>
      <c r="F3288" s="99" t="str">
        <f aca="false">IF($E3288="","",IFERROR(INDEX(科目表!$A$4:$A$81,MATCH($E3288,科目表!$B$4:$B$81,0)),""))</f>
        <v/>
      </c>
      <c r="G3288" s="67" t="str">
        <f aca="false">IF($E3288="","",IFERROR(INDEX(科目表!$E$4:$E$81,MATCH($E3288,科目表!$B$4:$B$81,0)),""))</f>
        <v/>
      </c>
      <c r="H3288" s="114"/>
      <c r="I3288" s="114"/>
      <c r="J3288" s="112"/>
      <c r="K3288" s="112"/>
      <c r="L3288" s="113"/>
      <c r="M3288" s="115"/>
      <c r="N3288" s="113"/>
      <c r="O3288" s="67" t="str">
        <f aca="false">IF($E3288="","","手工")</f>
        <v/>
      </c>
      <c r="P3288" s="113"/>
    </row>
    <row r="3289" customFormat="false" ht="18" hidden="false" customHeight="true" outlineLevel="0" collapsed="false">
      <c r="A3289" s="107" t="str">
        <f aca="false">IF($E3289="","",ROW()-3)</f>
        <v/>
      </c>
      <c r="B3289" s="111"/>
      <c r="C3289" s="112"/>
      <c r="D3289" s="113"/>
      <c r="E3289" s="112"/>
      <c r="F3289" s="99" t="str">
        <f aca="false">IF($E3289="","",IFERROR(INDEX(科目表!$A$4:$A$81,MATCH($E3289,科目表!$B$4:$B$81,0)),""))</f>
        <v/>
      </c>
      <c r="G3289" s="67" t="str">
        <f aca="false">IF($E3289="","",IFERROR(INDEX(科目表!$E$4:$E$81,MATCH($E3289,科目表!$B$4:$B$81,0)),""))</f>
        <v/>
      </c>
      <c r="H3289" s="114"/>
      <c r="I3289" s="114"/>
      <c r="J3289" s="112"/>
      <c r="K3289" s="112"/>
      <c r="L3289" s="113"/>
      <c r="M3289" s="115"/>
      <c r="N3289" s="113"/>
      <c r="O3289" s="67" t="str">
        <f aca="false">IF($E3289="","","手工")</f>
        <v/>
      </c>
      <c r="P3289" s="113"/>
    </row>
    <row r="3290" customFormat="false" ht="18" hidden="false" customHeight="true" outlineLevel="0" collapsed="false">
      <c r="A3290" s="107" t="str">
        <f aca="false">IF($E3290="","",ROW()-3)</f>
        <v/>
      </c>
      <c r="B3290" s="111"/>
      <c r="C3290" s="112"/>
      <c r="D3290" s="113"/>
      <c r="E3290" s="112"/>
      <c r="F3290" s="99" t="str">
        <f aca="false">IF($E3290="","",IFERROR(INDEX(科目表!$A$4:$A$81,MATCH($E3290,科目表!$B$4:$B$81,0)),""))</f>
        <v/>
      </c>
      <c r="G3290" s="67" t="str">
        <f aca="false">IF($E3290="","",IFERROR(INDEX(科目表!$E$4:$E$81,MATCH($E3290,科目表!$B$4:$B$81,0)),""))</f>
        <v/>
      </c>
      <c r="H3290" s="114"/>
      <c r="I3290" s="114"/>
      <c r="J3290" s="112"/>
      <c r="K3290" s="112"/>
      <c r="L3290" s="113"/>
      <c r="M3290" s="115"/>
      <c r="N3290" s="113"/>
      <c r="O3290" s="67" t="str">
        <f aca="false">IF($E3290="","","手工")</f>
        <v/>
      </c>
      <c r="P3290" s="113"/>
    </row>
    <row r="3291" customFormat="false" ht="18" hidden="false" customHeight="true" outlineLevel="0" collapsed="false">
      <c r="A3291" s="107" t="str">
        <f aca="false">IF($E3291="","",ROW()-3)</f>
        <v/>
      </c>
      <c r="B3291" s="111"/>
      <c r="C3291" s="112"/>
      <c r="D3291" s="113"/>
      <c r="E3291" s="112"/>
      <c r="F3291" s="99" t="str">
        <f aca="false">IF($E3291="","",IFERROR(INDEX(科目表!$A$4:$A$81,MATCH($E3291,科目表!$B$4:$B$81,0)),""))</f>
        <v/>
      </c>
      <c r="G3291" s="67" t="str">
        <f aca="false">IF($E3291="","",IFERROR(INDEX(科目表!$E$4:$E$81,MATCH($E3291,科目表!$B$4:$B$81,0)),""))</f>
        <v/>
      </c>
      <c r="H3291" s="114"/>
      <c r="I3291" s="114"/>
      <c r="J3291" s="112"/>
      <c r="K3291" s="112"/>
      <c r="L3291" s="113"/>
      <c r="M3291" s="115"/>
      <c r="N3291" s="113"/>
      <c r="O3291" s="67" t="str">
        <f aca="false">IF($E3291="","","手工")</f>
        <v/>
      </c>
      <c r="P3291" s="113"/>
    </row>
    <row r="3292" customFormat="false" ht="18" hidden="false" customHeight="true" outlineLevel="0" collapsed="false">
      <c r="A3292" s="107" t="str">
        <f aca="false">IF($E3292="","",ROW()-3)</f>
        <v/>
      </c>
      <c r="B3292" s="111"/>
      <c r="C3292" s="112"/>
      <c r="D3292" s="113"/>
      <c r="E3292" s="112"/>
      <c r="F3292" s="99" t="str">
        <f aca="false">IF($E3292="","",IFERROR(INDEX(科目表!$A$4:$A$81,MATCH($E3292,科目表!$B$4:$B$81,0)),""))</f>
        <v/>
      </c>
      <c r="G3292" s="67" t="str">
        <f aca="false">IF($E3292="","",IFERROR(INDEX(科目表!$E$4:$E$81,MATCH($E3292,科目表!$B$4:$B$81,0)),""))</f>
        <v/>
      </c>
      <c r="H3292" s="114"/>
      <c r="I3292" s="114"/>
      <c r="J3292" s="112"/>
      <c r="K3292" s="112"/>
      <c r="L3292" s="113"/>
      <c r="M3292" s="115"/>
      <c r="N3292" s="113"/>
      <c r="O3292" s="67" t="str">
        <f aca="false">IF($E3292="","","手工")</f>
        <v/>
      </c>
      <c r="P3292" s="113"/>
    </row>
    <row r="3293" customFormat="false" ht="18" hidden="false" customHeight="true" outlineLevel="0" collapsed="false">
      <c r="A3293" s="107" t="str">
        <f aca="false">IF($E3293="","",ROW()-3)</f>
        <v/>
      </c>
      <c r="B3293" s="111"/>
      <c r="C3293" s="112"/>
      <c r="D3293" s="113"/>
      <c r="E3293" s="112"/>
      <c r="F3293" s="99" t="str">
        <f aca="false">IF($E3293="","",IFERROR(INDEX(科目表!$A$4:$A$81,MATCH($E3293,科目表!$B$4:$B$81,0)),""))</f>
        <v/>
      </c>
      <c r="G3293" s="67" t="str">
        <f aca="false">IF($E3293="","",IFERROR(INDEX(科目表!$E$4:$E$81,MATCH($E3293,科目表!$B$4:$B$81,0)),""))</f>
        <v/>
      </c>
      <c r="H3293" s="114"/>
      <c r="I3293" s="114"/>
      <c r="J3293" s="112"/>
      <c r="K3293" s="112"/>
      <c r="L3293" s="113"/>
      <c r="M3293" s="115"/>
      <c r="N3293" s="113"/>
      <c r="O3293" s="67" t="str">
        <f aca="false">IF($E3293="","","手工")</f>
        <v/>
      </c>
      <c r="P3293" s="113"/>
    </row>
    <row r="3294" customFormat="false" ht="18" hidden="false" customHeight="true" outlineLevel="0" collapsed="false">
      <c r="A3294" s="107" t="str">
        <f aca="false">IF($E3294="","",ROW()-3)</f>
        <v/>
      </c>
      <c r="B3294" s="111"/>
      <c r="C3294" s="112"/>
      <c r="D3294" s="113"/>
      <c r="E3294" s="112"/>
      <c r="F3294" s="99" t="str">
        <f aca="false">IF($E3294="","",IFERROR(INDEX(科目表!$A$4:$A$81,MATCH($E3294,科目表!$B$4:$B$81,0)),""))</f>
        <v/>
      </c>
      <c r="G3294" s="67" t="str">
        <f aca="false">IF($E3294="","",IFERROR(INDEX(科目表!$E$4:$E$81,MATCH($E3294,科目表!$B$4:$B$81,0)),""))</f>
        <v/>
      </c>
      <c r="H3294" s="114"/>
      <c r="I3294" s="114"/>
      <c r="J3294" s="112"/>
      <c r="K3294" s="112"/>
      <c r="L3294" s="113"/>
      <c r="M3294" s="115"/>
      <c r="N3294" s="113"/>
      <c r="O3294" s="67" t="str">
        <f aca="false">IF($E3294="","","手工")</f>
        <v/>
      </c>
      <c r="P3294" s="113"/>
    </row>
    <row r="3295" customFormat="false" ht="18" hidden="false" customHeight="true" outlineLevel="0" collapsed="false">
      <c r="A3295" s="107" t="str">
        <f aca="false">IF($E3295="","",ROW()-3)</f>
        <v/>
      </c>
      <c r="B3295" s="111"/>
      <c r="C3295" s="112"/>
      <c r="D3295" s="113"/>
      <c r="E3295" s="112"/>
      <c r="F3295" s="99" t="str">
        <f aca="false">IF($E3295="","",IFERROR(INDEX(科目表!$A$4:$A$81,MATCH($E3295,科目表!$B$4:$B$81,0)),""))</f>
        <v/>
      </c>
      <c r="G3295" s="67" t="str">
        <f aca="false">IF($E3295="","",IFERROR(INDEX(科目表!$E$4:$E$81,MATCH($E3295,科目表!$B$4:$B$81,0)),""))</f>
        <v/>
      </c>
      <c r="H3295" s="114"/>
      <c r="I3295" s="114"/>
      <c r="J3295" s="112"/>
      <c r="K3295" s="112"/>
      <c r="L3295" s="113"/>
      <c r="M3295" s="115"/>
      <c r="N3295" s="113"/>
      <c r="O3295" s="67" t="str">
        <f aca="false">IF($E3295="","","手工")</f>
        <v/>
      </c>
      <c r="P3295" s="113"/>
    </row>
    <row r="3296" customFormat="false" ht="18" hidden="false" customHeight="true" outlineLevel="0" collapsed="false">
      <c r="A3296" s="107" t="str">
        <f aca="false">IF($E3296="","",ROW()-3)</f>
        <v/>
      </c>
      <c r="B3296" s="111"/>
      <c r="C3296" s="112"/>
      <c r="D3296" s="113"/>
      <c r="E3296" s="112"/>
      <c r="F3296" s="99" t="str">
        <f aca="false">IF($E3296="","",IFERROR(INDEX(科目表!$A$4:$A$81,MATCH($E3296,科目表!$B$4:$B$81,0)),""))</f>
        <v/>
      </c>
      <c r="G3296" s="67" t="str">
        <f aca="false">IF($E3296="","",IFERROR(INDEX(科目表!$E$4:$E$81,MATCH($E3296,科目表!$B$4:$B$81,0)),""))</f>
        <v/>
      </c>
      <c r="H3296" s="114"/>
      <c r="I3296" s="114"/>
      <c r="J3296" s="112"/>
      <c r="K3296" s="112"/>
      <c r="L3296" s="113"/>
      <c r="M3296" s="115"/>
      <c r="N3296" s="113"/>
      <c r="O3296" s="67" t="str">
        <f aca="false">IF($E3296="","","手工")</f>
        <v/>
      </c>
      <c r="P3296" s="113"/>
    </row>
    <row r="3297" customFormat="false" ht="18" hidden="false" customHeight="true" outlineLevel="0" collapsed="false">
      <c r="A3297" s="107" t="str">
        <f aca="false">IF($E3297="","",ROW()-3)</f>
        <v/>
      </c>
      <c r="B3297" s="111"/>
      <c r="C3297" s="112"/>
      <c r="D3297" s="113"/>
      <c r="E3297" s="112"/>
      <c r="F3297" s="99" t="str">
        <f aca="false">IF($E3297="","",IFERROR(INDEX(科目表!$A$4:$A$81,MATCH($E3297,科目表!$B$4:$B$81,0)),""))</f>
        <v/>
      </c>
      <c r="G3297" s="67" t="str">
        <f aca="false">IF($E3297="","",IFERROR(INDEX(科目表!$E$4:$E$81,MATCH($E3297,科目表!$B$4:$B$81,0)),""))</f>
        <v/>
      </c>
      <c r="H3297" s="114"/>
      <c r="I3297" s="114"/>
      <c r="J3297" s="112"/>
      <c r="K3297" s="112"/>
      <c r="L3297" s="113"/>
      <c r="M3297" s="115"/>
      <c r="N3297" s="113"/>
      <c r="O3297" s="67" t="str">
        <f aca="false">IF($E3297="","","手工")</f>
        <v/>
      </c>
      <c r="P3297" s="113"/>
    </row>
    <row r="3298" customFormat="false" ht="18" hidden="false" customHeight="true" outlineLevel="0" collapsed="false">
      <c r="A3298" s="107" t="str">
        <f aca="false">IF($E3298="","",ROW()-3)</f>
        <v/>
      </c>
      <c r="B3298" s="111"/>
      <c r="C3298" s="112"/>
      <c r="D3298" s="113"/>
      <c r="E3298" s="112"/>
      <c r="F3298" s="99" t="str">
        <f aca="false">IF($E3298="","",IFERROR(INDEX(科目表!$A$4:$A$81,MATCH($E3298,科目表!$B$4:$B$81,0)),""))</f>
        <v/>
      </c>
      <c r="G3298" s="67" t="str">
        <f aca="false">IF($E3298="","",IFERROR(INDEX(科目表!$E$4:$E$81,MATCH($E3298,科目表!$B$4:$B$81,0)),""))</f>
        <v/>
      </c>
      <c r="H3298" s="114"/>
      <c r="I3298" s="114"/>
      <c r="J3298" s="112"/>
      <c r="K3298" s="112"/>
      <c r="L3298" s="113"/>
      <c r="M3298" s="115"/>
      <c r="N3298" s="113"/>
      <c r="O3298" s="67" t="str">
        <f aca="false">IF($E3298="","","手工")</f>
        <v/>
      </c>
      <c r="P3298" s="113"/>
    </row>
    <row r="3299" customFormat="false" ht="18" hidden="false" customHeight="true" outlineLevel="0" collapsed="false">
      <c r="A3299" s="107" t="str">
        <f aca="false">IF($E3299="","",ROW()-3)</f>
        <v/>
      </c>
      <c r="B3299" s="111"/>
      <c r="C3299" s="112"/>
      <c r="D3299" s="113"/>
      <c r="E3299" s="112"/>
      <c r="F3299" s="99" t="str">
        <f aca="false">IF($E3299="","",IFERROR(INDEX(科目表!$A$4:$A$81,MATCH($E3299,科目表!$B$4:$B$81,0)),""))</f>
        <v/>
      </c>
      <c r="G3299" s="67" t="str">
        <f aca="false">IF($E3299="","",IFERROR(INDEX(科目表!$E$4:$E$81,MATCH($E3299,科目表!$B$4:$B$81,0)),""))</f>
        <v/>
      </c>
      <c r="H3299" s="114"/>
      <c r="I3299" s="114"/>
      <c r="J3299" s="112"/>
      <c r="K3299" s="112"/>
      <c r="L3299" s="113"/>
      <c r="M3299" s="115"/>
      <c r="N3299" s="113"/>
      <c r="O3299" s="67" t="str">
        <f aca="false">IF($E3299="","","手工")</f>
        <v/>
      </c>
      <c r="P3299" s="113"/>
    </row>
    <row r="3300" customFormat="false" ht="18" hidden="false" customHeight="true" outlineLevel="0" collapsed="false">
      <c r="A3300" s="107" t="str">
        <f aca="false">IF($E3300="","",ROW()-3)</f>
        <v/>
      </c>
      <c r="B3300" s="111"/>
      <c r="C3300" s="112"/>
      <c r="D3300" s="113"/>
      <c r="E3300" s="112"/>
      <c r="F3300" s="99" t="str">
        <f aca="false">IF($E3300="","",IFERROR(INDEX(科目表!$A$4:$A$81,MATCH($E3300,科目表!$B$4:$B$81,0)),""))</f>
        <v/>
      </c>
      <c r="G3300" s="67" t="str">
        <f aca="false">IF($E3300="","",IFERROR(INDEX(科目表!$E$4:$E$81,MATCH($E3300,科目表!$B$4:$B$81,0)),""))</f>
        <v/>
      </c>
      <c r="H3300" s="114"/>
      <c r="I3300" s="114"/>
      <c r="J3300" s="112"/>
      <c r="K3300" s="112"/>
      <c r="L3300" s="113"/>
      <c r="M3300" s="115"/>
      <c r="N3300" s="113"/>
      <c r="O3300" s="67" t="str">
        <f aca="false">IF($E3300="","","手工")</f>
        <v/>
      </c>
      <c r="P3300" s="113"/>
    </row>
    <row r="3301" customFormat="false" ht="18" hidden="false" customHeight="true" outlineLevel="0" collapsed="false">
      <c r="A3301" s="107" t="str">
        <f aca="false">IF($E3301="","",ROW()-3)</f>
        <v/>
      </c>
      <c r="B3301" s="111"/>
      <c r="C3301" s="112"/>
      <c r="D3301" s="113"/>
      <c r="E3301" s="112"/>
      <c r="F3301" s="99" t="str">
        <f aca="false">IF($E3301="","",IFERROR(INDEX(科目表!$A$4:$A$81,MATCH($E3301,科目表!$B$4:$B$81,0)),""))</f>
        <v/>
      </c>
      <c r="G3301" s="67" t="str">
        <f aca="false">IF($E3301="","",IFERROR(INDEX(科目表!$E$4:$E$81,MATCH($E3301,科目表!$B$4:$B$81,0)),""))</f>
        <v/>
      </c>
      <c r="H3301" s="114"/>
      <c r="I3301" s="114"/>
      <c r="J3301" s="112"/>
      <c r="K3301" s="112"/>
      <c r="L3301" s="113"/>
      <c r="M3301" s="115"/>
      <c r="N3301" s="113"/>
      <c r="O3301" s="67" t="str">
        <f aca="false">IF($E3301="","","手工")</f>
        <v/>
      </c>
      <c r="P3301" s="113"/>
    </row>
    <row r="3302" customFormat="false" ht="18" hidden="false" customHeight="true" outlineLevel="0" collapsed="false">
      <c r="A3302" s="107" t="str">
        <f aca="false">IF($E3302="","",ROW()-3)</f>
        <v/>
      </c>
      <c r="B3302" s="111"/>
      <c r="C3302" s="112"/>
      <c r="D3302" s="113"/>
      <c r="E3302" s="112"/>
      <c r="F3302" s="99" t="str">
        <f aca="false">IF($E3302="","",IFERROR(INDEX(科目表!$A$4:$A$81,MATCH($E3302,科目表!$B$4:$B$81,0)),""))</f>
        <v/>
      </c>
      <c r="G3302" s="67" t="str">
        <f aca="false">IF($E3302="","",IFERROR(INDEX(科目表!$E$4:$E$81,MATCH($E3302,科目表!$B$4:$B$81,0)),""))</f>
        <v/>
      </c>
      <c r="H3302" s="114"/>
      <c r="I3302" s="114"/>
      <c r="J3302" s="112"/>
      <c r="K3302" s="112"/>
      <c r="L3302" s="113"/>
      <c r="M3302" s="115"/>
      <c r="N3302" s="113"/>
      <c r="O3302" s="67" t="str">
        <f aca="false">IF($E3302="","","手工")</f>
        <v/>
      </c>
      <c r="P3302" s="113"/>
    </row>
    <row r="3303" customFormat="false" ht="18" hidden="false" customHeight="true" outlineLevel="0" collapsed="false">
      <c r="A3303" s="107" t="str">
        <f aca="false">IF($E3303="","",ROW()-3)</f>
        <v/>
      </c>
      <c r="B3303" s="111"/>
      <c r="C3303" s="112"/>
      <c r="D3303" s="113"/>
      <c r="E3303" s="112"/>
      <c r="F3303" s="99" t="str">
        <f aca="false">IF($E3303="","",IFERROR(INDEX(科目表!$A$4:$A$81,MATCH($E3303,科目表!$B$4:$B$81,0)),""))</f>
        <v/>
      </c>
      <c r="G3303" s="67" t="str">
        <f aca="false">IF($E3303="","",IFERROR(INDEX(科目表!$E$4:$E$81,MATCH($E3303,科目表!$B$4:$B$81,0)),""))</f>
        <v/>
      </c>
      <c r="H3303" s="114"/>
      <c r="I3303" s="114"/>
      <c r="J3303" s="112"/>
      <c r="K3303" s="112"/>
      <c r="L3303" s="113"/>
      <c r="M3303" s="115"/>
      <c r="N3303" s="113"/>
      <c r="O3303" s="67" t="str">
        <f aca="false">IF($E3303="","","手工")</f>
        <v/>
      </c>
      <c r="P3303" s="113"/>
    </row>
    <row r="3304" customFormat="false" ht="18" hidden="false" customHeight="true" outlineLevel="0" collapsed="false">
      <c r="A3304" s="107" t="str">
        <f aca="false">IF($E3304="","",ROW()-3)</f>
        <v/>
      </c>
      <c r="B3304" s="111"/>
      <c r="C3304" s="112"/>
      <c r="D3304" s="113"/>
      <c r="E3304" s="112"/>
      <c r="F3304" s="99" t="str">
        <f aca="false">IF($E3304="","",IFERROR(INDEX(科目表!$A$4:$A$81,MATCH($E3304,科目表!$B$4:$B$81,0)),""))</f>
        <v/>
      </c>
      <c r="G3304" s="67" t="str">
        <f aca="false">IF($E3304="","",IFERROR(INDEX(科目表!$E$4:$E$81,MATCH($E3304,科目表!$B$4:$B$81,0)),""))</f>
        <v/>
      </c>
      <c r="H3304" s="114"/>
      <c r="I3304" s="114"/>
      <c r="J3304" s="112"/>
      <c r="K3304" s="112"/>
      <c r="L3304" s="113"/>
      <c r="M3304" s="115"/>
      <c r="N3304" s="113"/>
      <c r="O3304" s="67" t="str">
        <f aca="false">IF($E3304="","","手工")</f>
        <v/>
      </c>
      <c r="P3304" s="113"/>
    </row>
    <row r="3305" customFormat="false" ht="18" hidden="false" customHeight="true" outlineLevel="0" collapsed="false">
      <c r="A3305" s="107" t="str">
        <f aca="false">IF($E3305="","",ROW()-3)</f>
        <v/>
      </c>
      <c r="B3305" s="111"/>
      <c r="C3305" s="112"/>
      <c r="D3305" s="113"/>
      <c r="E3305" s="112"/>
      <c r="F3305" s="99" t="str">
        <f aca="false">IF($E3305="","",IFERROR(INDEX(科目表!$A$4:$A$81,MATCH($E3305,科目表!$B$4:$B$81,0)),""))</f>
        <v/>
      </c>
      <c r="G3305" s="67" t="str">
        <f aca="false">IF($E3305="","",IFERROR(INDEX(科目表!$E$4:$E$81,MATCH($E3305,科目表!$B$4:$B$81,0)),""))</f>
        <v/>
      </c>
      <c r="H3305" s="114"/>
      <c r="I3305" s="114"/>
      <c r="J3305" s="112"/>
      <c r="K3305" s="112"/>
      <c r="L3305" s="113"/>
      <c r="M3305" s="115"/>
      <c r="N3305" s="113"/>
      <c r="O3305" s="67" t="str">
        <f aca="false">IF($E3305="","","手工")</f>
        <v/>
      </c>
      <c r="P3305" s="113"/>
    </row>
    <row r="3306" customFormat="false" ht="18" hidden="false" customHeight="true" outlineLevel="0" collapsed="false">
      <c r="A3306" s="107" t="str">
        <f aca="false">IF($E3306="","",ROW()-3)</f>
        <v/>
      </c>
      <c r="B3306" s="111"/>
      <c r="C3306" s="112"/>
      <c r="D3306" s="113"/>
      <c r="E3306" s="112"/>
      <c r="F3306" s="99" t="str">
        <f aca="false">IF($E3306="","",IFERROR(INDEX(科目表!$A$4:$A$81,MATCH($E3306,科目表!$B$4:$B$81,0)),""))</f>
        <v/>
      </c>
      <c r="G3306" s="67" t="str">
        <f aca="false">IF($E3306="","",IFERROR(INDEX(科目表!$E$4:$E$81,MATCH($E3306,科目表!$B$4:$B$81,0)),""))</f>
        <v/>
      </c>
      <c r="H3306" s="114"/>
      <c r="I3306" s="114"/>
      <c r="J3306" s="112"/>
      <c r="K3306" s="112"/>
      <c r="L3306" s="113"/>
      <c r="M3306" s="115"/>
      <c r="N3306" s="113"/>
      <c r="O3306" s="67" t="str">
        <f aca="false">IF($E3306="","","手工")</f>
        <v/>
      </c>
      <c r="P3306" s="113"/>
    </row>
    <row r="3307" customFormat="false" ht="18" hidden="false" customHeight="true" outlineLevel="0" collapsed="false">
      <c r="A3307" s="107" t="str">
        <f aca="false">IF($E3307="","",ROW()-3)</f>
        <v/>
      </c>
      <c r="B3307" s="111"/>
      <c r="C3307" s="112"/>
      <c r="D3307" s="113"/>
      <c r="E3307" s="112"/>
      <c r="F3307" s="99" t="str">
        <f aca="false">IF($E3307="","",IFERROR(INDEX(科目表!$A$4:$A$81,MATCH($E3307,科目表!$B$4:$B$81,0)),""))</f>
        <v/>
      </c>
      <c r="G3307" s="67" t="str">
        <f aca="false">IF($E3307="","",IFERROR(INDEX(科目表!$E$4:$E$81,MATCH($E3307,科目表!$B$4:$B$81,0)),""))</f>
        <v/>
      </c>
      <c r="H3307" s="114"/>
      <c r="I3307" s="114"/>
      <c r="J3307" s="112"/>
      <c r="K3307" s="112"/>
      <c r="L3307" s="113"/>
      <c r="M3307" s="115"/>
      <c r="N3307" s="113"/>
      <c r="O3307" s="67" t="str">
        <f aca="false">IF($E3307="","","手工")</f>
        <v/>
      </c>
      <c r="P3307" s="113"/>
    </row>
    <row r="3308" customFormat="false" ht="18" hidden="false" customHeight="true" outlineLevel="0" collapsed="false">
      <c r="A3308" s="107" t="str">
        <f aca="false">IF($E3308="","",ROW()-3)</f>
        <v/>
      </c>
      <c r="B3308" s="111"/>
      <c r="C3308" s="112"/>
      <c r="D3308" s="113"/>
      <c r="E3308" s="112"/>
      <c r="F3308" s="99" t="str">
        <f aca="false">IF($E3308="","",IFERROR(INDEX(科目表!$A$4:$A$81,MATCH($E3308,科目表!$B$4:$B$81,0)),""))</f>
        <v/>
      </c>
      <c r="G3308" s="67" t="str">
        <f aca="false">IF($E3308="","",IFERROR(INDEX(科目表!$E$4:$E$81,MATCH($E3308,科目表!$B$4:$B$81,0)),""))</f>
        <v/>
      </c>
      <c r="H3308" s="114"/>
      <c r="I3308" s="114"/>
      <c r="J3308" s="112"/>
      <c r="K3308" s="112"/>
      <c r="L3308" s="113"/>
      <c r="M3308" s="115"/>
      <c r="N3308" s="113"/>
      <c r="O3308" s="67" t="str">
        <f aca="false">IF($E3308="","","手工")</f>
        <v/>
      </c>
      <c r="P3308" s="113"/>
    </row>
    <row r="3309" customFormat="false" ht="18" hidden="false" customHeight="true" outlineLevel="0" collapsed="false">
      <c r="A3309" s="107" t="str">
        <f aca="false">IF($E3309="","",ROW()-3)</f>
        <v/>
      </c>
      <c r="B3309" s="111"/>
      <c r="C3309" s="112"/>
      <c r="D3309" s="113"/>
      <c r="E3309" s="112"/>
      <c r="F3309" s="99" t="str">
        <f aca="false">IF($E3309="","",IFERROR(INDEX(科目表!$A$4:$A$81,MATCH($E3309,科目表!$B$4:$B$81,0)),""))</f>
        <v/>
      </c>
      <c r="G3309" s="67" t="str">
        <f aca="false">IF($E3309="","",IFERROR(INDEX(科目表!$E$4:$E$81,MATCH($E3309,科目表!$B$4:$B$81,0)),""))</f>
        <v/>
      </c>
      <c r="H3309" s="114"/>
      <c r="I3309" s="114"/>
      <c r="J3309" s="112"/>
      <c r="K3309" s="112"/>
      <c r="L3309" s="113"/>
      <c r="M3309" s="115"/>
      <c r="N3309" s="113"/>
      <c r="O3309" s="67" t="str">
        <f aca="false">IF($E3309="","","手工")</f>
        <v/>
      </c>
      <c r="P3309" s="113"/>
    </row>
    <row r="3310" customFormat="false" ht="18" hidden="false" customHeight="true" outlineLevel="0" collapsed="false">
      <c r="A3310" s="107" t="str">
        <f aca="false">IF($E3310="","",ROW()-3)</f>
        <v/>
      </c>
      <c r="B3310" s="111"/>
      <c r="C3310" s="112"/>
      <c r="D3310" s="113"/>
      <c r="E3310" s="112"/>
      <c r="F3310" s="99" t="str">
        <f aca="false">IF($E3310="","",IFERROR(INDEX(科目表!$A$4:$A$81,MATCH($E3310,科目表!$B$4:$B$81,0)),""))</f>
        <v/>
      </c>
      <c r="G3310" s="67" t="str">
        <f aca="false">IF($E3310="","",IFERROR(INDEX(科目表!$E$4:$E$81,MATCH($E3310,科目表!$B$4:$B$81,0)),""))</f>
        <v/>
      </c>
      <c r="H3310" s="114"/>
      <c r="I3310" s="114"/>
      <c r="J3310" s="112"/>
      <c r="K3310" s="112"/>
      <c r="L3310" s="113"/>
      <c r="M3310" s="115"/>
      <c r="N3310" s="113"/>
      <c r="O3310" s="67" t="str">
        <f aca="false">IF($E3310="","","手工")</f>
        <v/>
      </c>
      <c r="P3310" s="113"/>
    </row>
    <row r="3311" customFormat="false" ht="18" hidden="false" customHeight="true" outlineLevel="0" collapsed="false">
      <c r="A3311" s="107" t="str">
        <f aca="false">IF($E3311="","",ROW()-3)</f>
        <v/>
      </c>
      <c r="B3311" s="111"/>
      <c r="C3311" s="112"/>
      <c r="D3311" s="113"/>
      <c r="E3311" s="112"/>
      <c r="F3311" s="99" t="str">
        <f aca="false">IF($E3311="","",IFERROR(INDEX(科目表!$A$4:$A$81,MATCH($E3311,科目表!$B$4:$B$81,0)),""))</f>
        <v/>
      </c>
      <c r="G3311" s="67" t="str">
        <f aca="false">IF($E3311="","",IFERROR(INDEX(科目表!$E$4:$E$81,MATCH($E3311,科目表!$B$4:$B$81,0)),""))</f>
        <v/>
      </c>
      <c r="H3311" s="114"/>
      <c r="I3311" s="114"/>
      <c r="J3311" s="112"/>
      <c r="K3311" s="112"/>
      <c r="L3311" s="113"/>
      <c r="M3311" s="115"/>
      <c r="N3311" s="113"/>
      <c r="O3311" s="67" t="str">
        <f aca="false">IF($E3311="","","手工")</f>
        <v/>
      </c>
      <c r="P3311" s="113"/>
    </row>
    <row r="3312" customFormat="false" ht="18" hidden="false" customHeight="true" outlineLevel="0" collapsed="false">
      <c r="A3312" s="107" t="str">
        <f aca="false">IF($E3312="","",ROW()-3)</f>
        <v/>
      </c>
      <c r="B3312" s="111"/>
      <c r="C3312" s="112"/>
      <c r="D3312" s="113"/>
      <c r="E3312" s="112"/>
      <c r="F3312" s="99" t="str">
        <f aca="false">IF($E3312="","",IFERROR(INDEX(科目表!$A$4:$A$81,MATCH($E3312,科目表!$B$4:$B$81,0)),""))</f>
        <v/>
      </c>
      <c r="G3312" s="67" t="str">
        <f aca="false">IF($E3312="","",IFERROR(INDEX(科目表!$E$4:$E$81,MATCH($E3312,科目表!$B$4:$B$81,0)),""))</f>
        <v/>
      </c>
      <c r="H3312" s="114"/>
      <c r="I3312" s="114"/>
      <c r="J3312" s="112"/>
      <c r="K3312" s="112"/>
      <c r="L3312" s="113"/>
      <c r="M3312" s="115"/>
      <c r="N3312" s="113"/>
      <c r="O3312" s="67" t="str">
        <f aca="false">IF($E3312="","","手工")</f>
        <v/>
      </c>
      <c r="P3312" s="113"/>
    </row>
    <row r="3313" customFormat="false" ht="18" hidden="false" customHeight="true" outlineLevel="0" collapsed="false">
      <c r="A3313" s="107" t="str">
        <f aca="false">IF($E3313="","",ROW()-3)</f>
        <v/>
      </c>
      <c r="B3313" s="111"/>
      <c r="C3313" s="112"/>
      <c r="D3313" s="113"/>
      <c r="E3313" s="112"/>
      <c r="F3313" s="99" t="str">
        <f aca="false">IF($E3313="","",IFERROR(INDEX(科目表!$A$4:$A$81,MATCH($E3313,科目表!$B$4:$B$81,0)),""))</f>
        <v/>
      </c>
      <c r="G3313" s="67" t="str">
        <f aca="false">IF($E3313="","",IFERROR(INDEX(科目表!$E$4:$E$81,MATCH($E3313,科目表!$B$4:$B$81,0)),""))</f>
        <v/>
      </c>
      <c r="H3313" s="114"/>
      <c r="I3313" s="114"/>
      <c r="J3313" s="112"/>
      <c r="K3313" s="112"/>
      <c r="L3313" s="113"/>
      <c r="M3313" s="115"/>
      <c r="N3313" s="113"/>
      <c r="O3313" s="67" t="str">
        <f aca="false">IF($E3313="","","手工")</f>
        <v/>
      </c>
      <c r="P3313" s="113"/>
    </row>
    <row r="3314" customFormat="false" ht="18" hidden="false" customHeight="true" outlineLevel="0" collapsed="false">
      <c r="A3314" s="107" t="str">
        <f aca="false">IF($E3314="","",ROW()-3)</f>
        <v/>
      </c>
      <c r="B3314" s="111"/>
      <c r="C3314" s="112"/>
      <c r="D3314" s="113"/>
      <c r="E3314" s="112"/>
      <c r="F3314" s="99" t="str">
        <f aca="false">IF($E3314="","",IFERROR(INDEX(科目表!$A$4:$A$81,MATCH($E3314,科目表!$B$4:$B$81,0)),""))</f>
        <v/>
      </c>
      <c r="G3314" s="67" t="str">
        <f aca="false">IF($E3314="","",IFERROR(INDEX(科目表!$E$4:$E$81,MATCH($E3314,科目表!$B$4:$B$81,0)),""))</f>
        <v/>
      </c>
      <c r="H3314" s="114"/>
      <c r="I3314" s="114"/>
      <c r="J3314" s="112"/>
      <c r="K3314" s="112"/>
      <c r="L3314" s="113"/>
      <c r="M3314" s="115"/>
      <c r="N3314" s="113"/>
      <c r="O3314" s="67" t="str">
        <f aca="false">IF($E3314="","","手工")</f>
        <v/>
      </c>
      <c r="P3314" s="113"/>
    </row>
    <row r="3315" customFormat="false" ht="18" hidden="false" customHeight="true" outlineLevel="0" collapsed="false">
      <c r="A3315" s="107" t="str">
        <f aca="false">IF($E3315="","",ROW()-3)</f>
        <v/>
      </c>
      <c r="B3315" s="111"/>
      <c r="C3315" s="112"/>
      <c r="D3315" s="113"/>
      <c r="E3315" s="112"/>
      <c r="F3315" s="99" t="str">
        <f aca="false">IF($E3315="","",IFERROR(INDEX(科目表!$A$4:$A$81,MATCH($E3315,科目表!$B$4:$B$81,0)),""))</f>
        <v/>
      </c>
      <c r="G3315" s="67" t="str">
        <f aca="false">IF($E3315="","",IFERROR(INDEX(科目表!$E$4:$E$81,MATCH($E3315,科目表!$B$4:$B$81,0)),""))</f>
        <v/>
      </c>
      <c r="H3315" s="114"/>
      <c r="I3315" s="114"/>
      <c r="J3315" s="112"/>
      <c r="K3315" s="112"/>
      <c r="L3315" s="113"/>
      <c r="M3315" s="115"/>
      <c r="N3315" s="113"/>
      <c r="O3315" s="67" t="str">
        <f aca="false">IF($E3315="","","手工")</f>
        <v/>
      </c>
      <c r="P3315" s="113"/>
    </row>
    <row r="3316" customFormat="false" ht="18" hidden="false" customHeight="true" outlineLevel="0" collapsed="false">
      <c r="A3316" s="107" t="str">
        <f aca="false">IF($E3316="","",ROW()-3)</f>
        <v/>
      </c>
      <c r="B3316" s="111"/>
      <c r="C3316" s="112"/>
      <c r="D3316" s="113"/>
      <c r="E3316" s="112"/>
      <c r="F3316" s="99" t="str">
        <f aca="false">IF($E3316="","",IFERROR(INDEX(科目表!$A$4:$A$81,MATCH($E3316,科目表!$B$4:$B$81,0)),""))</f>
        <v/>
      </c>
      <c r="G3316" s="67" t="str">
        <f aca="false">IF($E3316="","",IFERROR(INDEX(科目表!$E$4:$E$81,MATCH($E3316,科目表!$B$4:$B$81,0)),""))</f>
        <v/>
      </c>
      <c r="H3316" s="114"/>
      <c r="I3316" s="114"/>
      <c r="J3316" s="112"/>
      <c r="K3316" s="112"/>
      <c r="L3316" s="113"/>
      <c r="M3316" s="115"/>
      <c r="N3316" s="113"/>
      <c r="O3316" s="67" t="str">
        <f aca="false">IF($E3316="","","手工")</f>
        <v/>
      </c>
      <c r="P3316" s="113"/>
    </row>
    <row r="3317" customFormat="false" ht="18" hidden="false" customHeight="true" outlineLevel="0" collapsed="false">
      <c r="A3317" s="107" t="str">
        <f aca="false">IF($E3317="","",ROW()-3)</f>
        <v/>
      </c>
      <c r="B3317" s="111"/>
      <c r="C3317" s="112"/>
      <c r="D3317" s="113"/>
      <c r="E3317" s="112"/>
      <c r="F3317" s="99" t="str">
        <f aca="false">IF($E3317="","",IFERROR(INDEX(科目表!$A$4:$A$81,MATCH($E3317,科目表!$B$4:$B$81,0)),""))</f>
        <v/>
      </c>
      <c r="G3317" s="67" t="str">
        <f aca="false">IF($E3317="","",IFERROR(INDEX(科目表!$E$4:$E$81,MATCH($E3317,科目表!$B$4:$B$81,0)),""))</f>
        <v/>
      </c>
      <c r="H3317" s="114"/>
      <c r="I3317" s="114"/>
      <c r="J3317" s="112"/>
      <c r="K3317" s="112"/>
      <c r="L3317" s="113"/>
      <c r="M3317" s="115"/>
      <c r="N3317" s="113"/>
      <c r="O3317" s="67" t="str">
        <f aca="false">IF($E3317="","","手工")</f>
        <v/>
      </c>
      <c r="P3317" s="113"/>
    </row>
    <row r="3318" customFormat="false" ht="18" hidden="false" customHeight="true" outlineLevel="0" collapsed="false">
      <c r="A3318" s="107" t="str">
        <f aca="false">IF($E3318="","",ROW()-3)</f>
        <v/>
      </c>
      <c r="B3318" s="111"/>
      <c r="C3318" s="112"/>
      <c r="D3318" s="113"/>
      <c r="E3318" s="112"/>
      <c r="F3318" s="99" t="str">
        <f aca="false">IF($E3318="","",IFERROR(INDEX(科目表!$A$4:$A$81,MATCH($E3318,科目表!$B$4:$B$81,0)),""))</f>
        <v/>
      </c>
      <c r="G3318" s="67" t="str">
        <f aca="false">IF($E3318="","",IFERROR(INDEX(科目表!$E$4:$E$81,MATCH($E3318,科目表!$B$4:$B$81,0)),""))</f>
        <v/>
      </c>
      <c r="H3318" s="114"/>
      <c r="I3318" s="114"/>
      <c r="J3318" s="112"/>
      <c r="K3318" s="112"/>
      <c r="L3318" s="113"/>
      <c r="M3318" s="115"/>
      <c r="N3318" s="113"/>
      <c r="O3318" s="67" t="str">
        <f aca="false">IF($E3318="","","手工")</f>
        <v/>
      </c>
      <c r="P3318" s="113"/>
    </row>
    <row r="3319" customFormat="false" ht="18" hidden="false" customHeight="true" outlineLevel="0" collapsed="false">
      <c r="A3319" s="107" t="str">
        <f aca="false">IF($E3319="","",ROW()-3)</f>
        <v/>
      </c>
      <c r="B3319" s="111"/>
      <c r="C3319" s="112"/>
      <c r="D3319" s="113"/>
      <c r="E3319" s="112"/>
      <c r="F3319" s="99" t="str">
        <f aca="false">IF($E3319="","",IFERROR(INDEX(科目表!$A$4:$A$81,MATCH($E3319,科目表!$B$4:$B$81,0)),""))</f>
        <v/>
      </c>
      <c r="G3319" s="67" t="str">
        <f aca="false">IF($E3319="","",IFERROR(INDEX(科目表!$E$4:$E$81,MATCH($E3319,科目表!$B$4:$B$81,0)),""))</f>
        <v/>
      </c>
      <c r="H3319" s="114"/>
      <c r="I3319" s="114"/>
      <c r="J3319" s="112"/>
      <c r="K3319" s="112"/>
      <c r="L3319" s="113"/>
      <c r="M3319" s="115"/>
      <c r="N3319" s="113"/>
      <c r="O3319" s="67" t="str">
        <f aca="false">IF($E3319="","","手工")</f>
        <v/>
      </c>
      <c r="P3319" s="113"/>
    </row>
    <row r="3320" customFormat="false" ht="18" hidden="false" customHeight="true" outlineLevel="0" collapsed="false">
      <c r="A3320" s="107" t="str">
        <f aca="false">IF($E3320="","",ROW()-3)</f>
        <v/>
      </c>
      <c r="B3320" s="111"/>
      <c r="C3320" s="112"/>
      <c r="D3320" s="113"/>
      <c r="E3320" s="112"/>
      <c r="F3320" s="99" t="str">
        <f aca="false">IF($E3320="","",IFERROR(INDEX(科目表!$A$4:$A$81,MATCH($E3320,科目表!$B$4:$B$81,0)),""))</f>
        <v/>
      </c>
      <c r="G3320" s="67" t="str">
        <f aca="false">IF($E3320="","",IFERROR(INDEX(科目表!$E$4:$E$81,MATCH($E3320,科目表!$B$4:$B$81,0)),""))</f>
        <v/>
      </c>
      <c r="H3320" s="114"/>
      <c r="I3320" s="114"/>
      <c r="J3320" s="112"/>
      <c r="K3320" s="112"/>
      <c r="L3320" s="113"/>
      <c r="M3320" s="115"/>
      <c r="N3320" s="113"/>
      <c r="O3320" s="67" t="str">
        <f aca="false">IF($E3320="","","手工")</f>
        <v/>
      </c>
      <c r="P3320" s="113"/>
    </row>
    <row r="3321" customFormat="false" ht="18" hidden="false" customHeight="true" outlineLevel="0" collapsed="false">
      <c r="A3321" s="107" t="str">
        <f aca="false">IF($E3321="","",ROW()-3)</f>
        <v/>
      </c>
      <c r="B3321" s="111"/>
      <c r="C3321" s="112"/>
      <c r="D3321" s="113"/>
      <c r="E3321" s="112"/>
      <c r="F3321" s="99" t="str">
        <f aca="false">IF($E3321="","",IFERROR(INDEX(科目表!$A$4:$A$81,MATCH($E3321,科目表!$B$4:$B$81,0)),""))</f>
        <v/>
      </c>
      <c r="G3321" s="67" t="str">
        <f aca="false">IF($E3321="","",IFERROR(INDEX(科目表!$E$4:$E$81,MATCH($E3321,科目表!$B$4:$B$81,0)),""))</f>
        <v/>
      </c>
      <c r="H3321" s="114"/>
      <c r="I3321" s="114"/>
      <c r="J3321" s="112"/>
      <c r="K3321" s="112"/>
      <c r="L3321" s="113"/>
      <c r="M3321" s="115"/>
      <c r="N3321" s="113"/>
      <c r="O3321" s="67" t="str">
        <f aca="false">IF($E3321="","","手工")</f>
        <v/>
      </c>
      <c r="P3321" s="113"/>
    </row>
    <row r="3322" customFormat="false" ht="18" hidden="false" customHeight="true" outlineLevel="0" collapsed="false">
      <c r="A3322" s="107" t="str">
        <f aca="false">IF($E3322="","",ROW()-3)</f>
        <v/>
      </c>
      <c r="B3322" s="111"/>
      <c r="C3322" s="112"/>
      <c r="D3322" s="113"/>
      <c r="E3322" s="112"/>
      <c r="F3322" s="99" t="str">
        <f aca="false">IF($E3322="","",IFERROR(INDEX(科目表!$A$4:$A$81,MATCH($E3322,科目表!$B$4:$B$81,0)),""))</f>
        <v/>
      </c>
      <c r="G3322" s="67" t="str">
        <f aca="false">IF($E3322="","",IFERROR(INDEX(科目表!$E$4:$E$81,MATCH($E3322,科目表!$B$4:$B$81,0)),""))</f>
        <v/>
      </c>
      <c r="H3322" s="114"/>
      <c r="I3322" s="114"/>
      <c r="J3322" s="112"/>
      <c r="K3322" s="112"/>
      <c r="L3322" s="113"/>
      <c r="M3322" s="115"/>
      <c r="N3322" s="113"/>
      <c r="O3322" s="67" t="str">
        <f aca="false">IF($E3322="","","手工")</f>
        <v/>
      </c>
      <c r="P3322" s="113"/>
    </row>
    <row r="3323" customFormat="false" ht="18" hidden="false" customHeight="true" outlineLevel="0" collapsed="false">
      <c r="A3323" s="107" t="str">
        <f aca="false">IF($E3323="","",ROW()-3)</f>
        <v/>
      </c>
      <c r="B3323" s="111"/>
      <c r="C3323" s="112"/>
      <c r="D3323" s="113"/>
      <c r="E3323" s="112"/>
      <c r="F3323" s="99" t="str">
        <f aca="false">IF($E3323="","",IFERROR(INDEX(科目表!$A$4:$A$81,MATCH($E3323,科目表!$B$4:$B$81,0)),""))</f>
        <v/>
      </c>
      <c r="G3323" s="67" t="str">
        <f aca="false">IF($E3323="","",IFERROR(INDEX(科目表!$E$4:$E$81,MATCH($E3323,科目表!$B$4:$B$81,0)),""))</f>
        <v/>
      </c>
      <c r="H3323" s="114"/>
      <c r="I3323" s="114"/>
      <c r="J3323" s="112"/>
      <c r="K3323" s="112"/>
      <c r="L3323" s="113"/>
      <c r="M3323" s="115"/>
      <c r="N3323" s="113"/>
      <c r="O3323" s="67" t="str">
        <f aca="false">IF($E3323="","","手工")</f>
        <v/>
      </c>
      <c r="P3323" s="113"/>
    </row>
    <row r="3324" customFormat="false" ht="18" hidden="false" customHeight="true" outlineLevel="0" collapsed="false">
      <c r="A3324" s="107" t="str">
        <f aca="false">IF($E3324="","",ROW()-3)</f>
        <v/>
      </c>
      <c r="B3324" s="111"/>
      <c r="C3324" s="112"/>
      <c r="D3324" s="113"/>
      <c r="E3324" s="112"/>
      <c r="F3324" s="99" t="str">
        <f aca="false">IF($E3324="","",IFERROR(INDEX(科目表!$A$4:$A$81,MATCH($E3324,科目表!$B$4:$B$81,0)),""))</f>
        <v/>
      </c>
      <c r="G3324" s="67" t="str">
        <f aca="false">IF($E3324="","",IFERROR(INDEX(科目表!$E$4:$E$81,MATCH($E3324,科目表!$B$4:$B$81,0)),""))</f>
        <v/>
      </c>
      <c r="H3324" s="114"/>
      <c r="I3324" s="114"/>
      <c r="J3324" s="112"/>
      <c r="K3324" s="112"/>
      <c r="L3324" s="113"/>
      <c r="M3324" s="115"/>
      <c r="N3324" s="113"/>
      <c r="O3324" s="67" t="str">
        <f aca="false">IF($E3324="","","手工")</f>
        <v/>
      </c>
      <c r="P3324" s="113"/>
    </row>
    <row r="3325" customFormat="false" ht="18" hidden="false" customHeight="true" outlineLevel="0" collapsed="false">
      <c r="A3325" s="107" t="str">
        <f aca="false">IF($E3325="","",ROW()-3)</f>
        <v/>
      </c>
      <c r="B3325" s="111"/>
      <c r="C3325" s="112"/>
      <c r="D3325" s="113"/>
      <c r="E3325" s="112"/>
      <c r="F3325" s="99" t="str">
        <f aca="false">IF($E3325="","",IFERROR(INDEX(科目表!$A$4:$A$81,MATCH($E3325,科目表!$B$4:$B$81,0)),""))</f>
        <v/>
      </c>
      <c r="G3325" s="67" t="str">
        <f aca="false">IF($E3325="","",IFERROR(INDEX(科目表!$E$4:$E$81,MATCH($E3325,科目表!$B$4:$B$81,0)),""))</f>
        <v/>
      </c>
      <c r="H3325" s="114"/>
      <c r="I3325" s="114"/>
      <c r="J3325" s="112"/>
      <c r="K3325" s="112"/>
      <c r="L3325" s="113"/>
      <c r="M3325" s="115"/>
      <c r="N3325" s="113"/>
      <c r="O3325" s="67" t="str">
        <f aca="false">IF($E3325="","","手工")</f>
        <v/>
      </c>
      <c r="P3325" s="113"/>
    </row>
    <row r="3326" customFormat="false" ht="18" hidden="false" customHeight="true" outlineLevel="0" collapsed="false">
      <c r="A3326" s="107" t="str">
        <f aca="false">IF($E3326="","",ROW()-3)</f>
        <v/>
      </c>
      <c r="B3326" s="111"/>
      <c r="C3326" s="112"/>
      <c r="D3326" s="113"/>
      <c r="E3326" s="112"/>
      <c r="F3326" s="99" t="str">
        <f aca="false">IF($E3326="","",IFERROR(INDEX(科目表!$A$4:$A$81,MATCH($E3326,科目表!$B$4:$B$81,0)),""))</f>
        <v/>
      </c>
      <c r="G3326" s="67" t="str">
        <f aca="false">IF($E3326="","",IFERROR(INDEX(科目表!$E$4:$E$81,MATCH($E3326,科目表!$B$4:$B$81,0)),""))</f>
        <v/>
      </c>
      <c r="H3326" s="114"/>
      <c r="I3326" s="114"/>
      <c r="J3326" s="112"/>
      <c r="K3326" s="112"/>
      <c r="L3326" s="113"/>
      <c r="M3326" s="115"/>
      <c r="N3326" s="113"/>
      <c r="O3326" s="67" t="str">
        <f aca="false">IF($E3326="","","手工")</f>
        <v/>
      </c>
      <c r="P3326" s="113"/>
    </row>
    <row r="3327" customFormat="false" ht="18" hidden="false" customHeight="true" outlineLevel="0" collapsed="false">
      <c r="A3327" s="107" t="str">
        <f aca="false">IF($E3327="","",ROW()-3)</f>
        <v/>
      </c>
      <c r="B3327" s="111"/>
      <c r="C3327" s="112"/>
      <c r="D3327" s="113"/>
      <c r="E3327" s="112"/>
      <c r="F3327" s="99" t="str">
        <f aca="false">IF($E3327="","",IFERROR(INDEX(科目表!$A$4:$A$81,MATCH($E3327,科目表!$B$4:$B$81,0)),""))</f>
        <v/>
      </c>
      <c r="G3327" s="67" t="str">
        <f aca="false">IF($E3327="","",IFERROR(INDEX(科目表!$E$4:$E$81,MATCH($E3327,科目表!$B$4:$B$81,0)),""))</f>
        <v/>
      </c>
      <c r="H3327" s="114"/>
      <c r="I3327" s="114"/>
      <c r="J3327" s="112"/>
      <c r="K3327" s="112"/>
      <c r="L3327" s="113"/>
      <c r="M3327" s="115"/>
      <c r="N3327" s="113"/>
      <c r="O3327" s="67" t="str">
        <f aca="false">IF($E3327="","","手工")</f>
        <v/>
      </c>
      <c r="P3327" s="113"/>
    </row>
    <row r="3328" customFormat="false" ht="18" hidden="false" customHeight="true" outlineLevel="0" collapsed="false">
      <c r="A3328" s="107" t="str">
        <f aca="false">IF($E3328="","",ROW()-3)</f>
        <v/>
      </c>
      <c r="B3328" s="111"/>
      <c r="C3328" s="112"/>
      <c r="D3328" s="113"/>
      <c r="E3328" s="112"/>
      <c r="F3328" s="99" t="str">
        <f aca="false">IF($E3328="","",IFERROR(INDEX(科目表!$A$4:$A$81,MATCH($E3328,科目表!$B$4:$B$81,0)),""))</f>
        <v/>
      </c>
      <c r="G3328" s="67" t="str">
        <f aca="false">IF($E3328="","",IFERROR(INDEX(科目表!$E$4:$E$81,MATCH($E3328,科目表!$B$4:$B$81,0)),""))</f>
        <v/>
      </c>
      <c r="H3328" s="114"/>
      <c r="I3328" s="114"/>
      <c r="J3328" s="112"/>
      <c r="K3328" s="112"/>
      <c r="L3328" s="113"/>
      <c r="M3328" s="115"/>
      <c r="N3328" s="113"/>
      <c r="O3328" s="67" t="str">
        <f aca="false">IF($E3328="","","手工")</f>
        <v/>
      </c>
      <c r="P3328" s="113"/>
    </row>
    <row r="3329" customFormat="false" ht="18" hidden="false" customHeight="true" outlineLevel="0" collapsed="false">
      <c r="A3329" s="107" t="str">
        <f aca="false">IF($E3329="","",ROW()-3)</f>
        <v/>
      </c>
      <c r="B3329" s="111"/>
      <c r="C3329" s="112"/>
      <c r="D3329" s="113"/>
      <c r="E3329" s="112"/>
      <c r="F3329" s="99" t="str">
        <f aca="false">IF($E3329="","",IFERROR(INDEX(科目表!$A$4:$A$81,MATCH($E3329,科目表!$B$4:$B$81,0)),""))</f>
        <v/>
      </c>
      <c r="G3329" s="67" t="str">
        <f aca="false">IF($E3329="","",IFERROR(INDEX(科目表!$E$4:$E$81,MATCH($E3329,科目表!$B$4:$B$81,0)),""))</f>
        <v/>
      </c>
      <c r="H3329" s="114"/>
      <c r="I3329" s="114"/>
      <c r="J3329" s="112"/>
      <c r="K3329" s="112"/>
      <c r="L3329" s="113"/>
      <c r="M3329" s="115"/>
      <c r="N3329" s="113"/>
      <c r="O3329" s="67" t="str">
        <f aca="false">IF($E3329="","","手工")</f>
        <v/>
      </c>
      <c r="P3329" s="113"/>
    </row>
    <row r="3330" customFormat="false" ht="18" hidden="false" customHeight="true" outlineLevel="0" collapsed="false">
      <c r="A3330" s="107" t="str">
        <f aca="false">IF($E3330="","",ROW()-3)</f>
        <v/>
      </c>
      <c r="B3330" s="111"/>
      <c r="C3330" s="112"/>
      <c r="D3330" s="113"/>
      <c r="E3330" s="112"/>
      <c r="F3330" s="99" t="str">
        <f aca="false">IF($E3330="","",IFERROR(INDEX(科目表!$A$4:$A$81,MATCH($E3330,科目表!$B$4:$B$81,0)),""))</f>
        <v/>
      </c>
      <c r="G3330" s="67" t="str">
        <f aca="false">IF($E3330="","",IFERROR(INDEX(科目表!$E$4:$E$81,MATCH($E3330,科目表!$B$4:$B$81,0)),""))</f>
        <v/>
      </c>
      <c r="H3330" s="114"/>
      <c r="I3330" s="114"/>
      <c r="J3330" s="112"/>
      <c r="K3330" s="112"/>
      <c r="L3330" s="113"/>
      <c r="M3330" s="115"/>
      <c r="N3330" s="113"/>
      <c r="O3330" s="67" t="str">
        <f aca="false">IF($E3330="","","手工")</f>
        <v/>
      </c>
      <c r="P3330" s="113"/>
    </row>
    <row r="3331" customFormat="false" ht="18" hidden="false" customHeight="true" outlineLevel="0" collapsed="false">
      <c r="A3331" s="107" t="str">
        <f aca="false">IF($E3331="","",ROW()-3)</f>
        <v/>
      </c>
      <c r="B3331" s="111"/>
      <c r="C3331" s="112"/>
      <c r="D3331" s="113"/>
      <c r="E3331" s="112"/>
      <c r="F3331" s="99" t="str">
        <f aca="false">IF($E3331="","",IFERROR(INDEX(科目表!$A$4:$A$81,MATCH($E3331,科目表!$B$4:$B$81,0)),""))</f>
        <v/>
      </c>
      <c r="G3331" s="67" t="str">
        <f aca="false">IF($E3331="","",IFERROR(INDEX(科目表!$E$4:$E$81,MATCH($E3331,科目表!$B$4:$B$81,0)),""))</f>
        <v/>
      </c>
      <c r="H3331" s="114"/>
      <c r="I3331" s="114"/>
      <c r="J3331" s="112"/>
      <c r="K3331" s="112"/>
      <c r="L3331" s="113"/>
      <c r="M3331" s="115"/>
      <c r="N3331" s="113"/>
      <c r="O3331" s="67" t="str">
        <f aca="false">IF($E3331="","","手工")</f>
        <v/>
      </c>
      <c r="P3331" s="113"/>
    </row>
    <row r="3332" customFormat="false" ht="18" hidden="false" customHeight="true" outlineLevel="0" collapsed="false">
      <c r="A3332" s="107" t="str">
        <f aca="false">IF($E3332="","",ROW()-3)</f>
        <v/>
      </c>
      <c r="B3332" s="111"/>
      <c r="C3332" s="112"/>
      <c r="D3332" s="113"/>
      <c r="E3332" s="112"/>
      <c r="F3332" s="99" t="str">
        <f aca="false">IF($E3332="","",IFERROR(INDEX(科目表!$A$4:$A$81,MATCH($E3332,科目表!$B$4:$B$81,0)),""))</f>
        <v/>
      </c>
      <c r="G3332" s="67" t="str">
        <f aca="false">IF($E3332="","",IFERROR(INDEX(科目表!$E$4:$E$81,MATCH($E3332,科目表!$B$4:$B$81,0)),""))</f>
        <v/>
      </c>
      <c r="H3332" s="114"/>
      <c r="I3332" s="114"/>
      <c r="J3332" s="112"/>
      <c r="K3332" s="112"/>
      <c r="L3332" s="113"/>
      <c r="M3332" s="115"/>
      <c r="N3332" s="113"/>
      <c r="O3332" s="67" t="str">
        <f aca="false">IF($E3332="","","手工")</f>
        <v/>
      </c>
      <c r="P3332" s="113"/>
    </row>
    <row r="3333" customFormat="false" ht="18" hidden="false" customHeight="true" outlineLevel="0" collapsed="false">
      <c r="A3333" s="107" t="str">
        <f aca="false">IF($E3333="","",ROW()-3)</f>
        <v/>
      </c>
      <c r="B3333" s="111"/>
      <c r="C3333" s="112"/>
      <c r="D3333" s="113"/>
      <c r="E3333" s="112"/>
      <c r="F3333" s="99" t="str">
        <f aca="false">IF($E3333="","",IFERROR(INDEX(科目表!$A$4:$A$81,MATCH($E3333,科目表!$B$4:$B$81,0)),""))</f>
        <v/>
      </c>
      <c r="G3333" s="67" t="str">
        <f aca="false">IF($E3333="","",IFERROR(INDEX(科目表!$E$4:$E$81,MATCH($E3333,科目表!$B$4:$B$81,0)),""))</f>
        <v/>
      </c>
      <c r="H3333" s="114"/>
      <c r="I3333" s="114"/>
      <c r="J3333" s="112"/>
      <c r="K3333" s="112"/>
      <c r="L3333" s="113"/>
      <c r="M3333" s="115"/>
      <c r="N3333" s="113"/>
      <c r="O3333" s="67" t="str">
        <f aca="false">IF($E3333="","","手工")</f>
        <v/>
      </c>
      <c r="P3333" s="113"/>
    </row>
    <row r="3334" customFormat="false" ht="18" hidden="false" customHeight="true" outlineLevel="0" collapsed="false">
      <c r="A3334" s="107" t="str">
        <f aca="false">IF($E3334="","",ROW()-3)</f>
        <v/>
      </c>
      <c r="B3334" s="111"/>
      <c r="C3334" s="112"/>
      <c r="D3334" s="113"/>
      <c r="E3334" s="112"/>
      <c r="F3334" s="99" t="str">
        <f aca="false">IF($E3334="","",IFERROR(INDEX(科目表!$A$4:$A$81,MATCH($E3334,科目表!$B$4:$B$81,0)),""))</f>
        <v/>
      </c>
      <c r="G3334" s="67" t="str">
        <f aca="false">IF($E3334="","",IFERROR(INDEX(科目表!$E$4:$E$81,MATCH($E3334,科目表!$B$4:$B$81,0)),""))</f>
        <v/>
      </c>
      <c r="H3334" s="114"/>
      <c r="I3334" s="114"/>
      <c r="J3334" s="112"/>
      <c r="K3334" s="112"/>
      <c r="L3334" s="113"/>
      <c r="M3334" s="115"/>
      <c r="N3334" s="113"/>
      <c r="O3334" s="67" t="str">
        <f aca="false">IF($E3334="","","手工")</f>
        <v/>
      </c>
      <c r="P3334" s="113"/>
    </row>
    <row r="3335" customFormat="false" ht="18" hidden="false" customHeight="true" outlineLevel="0" collapsed="false">
      <c r="A3335" s="107" t="str">
        <f aca="false">IF($E3335="","",ROW()-3)</f>
        <v/>
      </c>
      <c r="B3335" s="111"/>
      <c r="C3335" s="112"/>
      <c r="D3335" s="113"/>
      <c r="E3335" s="112"/>
      <c r="F3335" s="99" t="str">
        <f aca="false">IF($E3335="","",IFERROR(INDEX(科目表!$A$4:$A$81,MATCH($E3335,科目表!$B$4:$B$81,0)),""))</f>
        <v/>
      </c>
      <c r="G3335" s="67" t="str">
        <f aca="false">IF($E3335="","",IFERROR(INDEX(科目表!$E$4:$E$81,MATCH($E3335,科目表!$B$4:$B$81,0)),""))</f>
        <v/>
      </c>
      <c r="H3335" s="114"/>
      <c r="I3335" s="114"/>
      <c r="J3335" s="112"/>
      <c r="K3335" s="112"/>
      <c r="L3335" s="113"/>
      <c r="M3335" s="115"/>
      <c r="N3335" s="113"/>
      <c r="O3335" s="67" t="str">
        <f aca="false">IF($E3335="","","手工")</f>
        <v/>
      </c>
      <c r="P3335" s="113"/>
    </row>
    <row r="3336" customFormat="false" ht="18" hidden="false" customHeight="true" outlineLevel="0" collapsed="false">
      <c r="A3336" s="107" t="str">
        <f aca="false">IF($E3336="","",ROW()-3)</f>
        <v/>
      </c>
      <c r="B3336" s="111"/>
      <c r="C3336" s="112"/>
      <c r="D3336" s="113"/>
      <c r="E3336" s="112"/>
      <c r="F3336" s="99" t="str">
        <f aca="false">IF($E3336="","",IFERROR(INDEX(科目表!$A$4:$A$81,MATCH($E3336,科目表!$B$4:$B$81,0)),""))</f>
        <v/>
      </c>
      <c r="G3336" s="67" t="str">
        <f aca="false">IF($E3336="","",IFERROR(INDEX(科目表!$E$4:$E$81,MATCH($E3336,科目表!$B$4:$B$81,0)),""))</f>
        <v/>
      </c>
      <c r="H3336" s="114"/>
      <c r="I3336" s="114"/>
      <c r="J3336" s="112"/>
      <c r="K3336" s="112"/>
      <c r="L3336" s="113"/>
      <c r="M3336" s="115"/>
      <c r="N3336" s="113"/>
      <c r="O3336" s="67" t="str">
        <f aca="false">IF($E3336="","","手工")</f>
        <v/>
      </c>
      <c r="P3336" s="113"/>
    </row>
    <row r="3337" customFormat="false" ht="18" hidden="false" customHeight="true" outlineLevel="0" collapsed="false">
      <c r="A3337" s="107" t="str">
        <f aca="false">IF($E3337="","",ROW()-3)</f>
        <v/>
      </c>
      <c r="B3337" s="111"/>
      <c r="C3337" s="112"/>
      <c r="D3337" s="113"/>
      <c r="E3337" s="112"/>
      <c r="F3337" s="99" t="str">
        <f aca="false">IF($E3337="","",IFERROR(INDEX(科目表!$A$4:$A$81,MATCH($E3337,科目表!$B$4:$B$81,0)),""))</f>
        <v/>
      </c>
      <c r="G3337" s="67" t="str">
        <f aca="false">IF($E3337="","",IFERROR(INDEX(科目表!$E$4:$E$81,MATCH($E3337,科目表!$B$4:$B$81,0)),""))</f>
        <v/>
      </c>
      <c r="H3337" s="114"/>
      <c r="I3337" s="114"/>
      <c r="J3337" s="112"/>
      <c r="K3337" s="112"/>
      <c r="L3337" s="113"/>
      <c r="M3337" s="115"/>
      <c r="N3337" s="113"/>
      <c r="O3337" s="67" t="str">
        <f aca="false">IF($E3337="","","手工")</f>
        <v/>
      </c>
      <c r="P3337" s="113"/>
    </row>
    <row r="3338" customFormat="false" ht="18" hidden="false" customHeight="true" outlineLevel="0" collapsed="false">
      <c r="A3338" s="107" t="str">
        <f aca="false">IF($E3338="","",ROW()-3)</f>
        <v/>
      </c>
      <c r="B3338" s="111"/>
      <c r="C3338" s="112"/>
      <c r="D3338" s="113"/>
      <c r="E3338" s="112"/>
      <c r="F3338" s="99" t="str">
        <f aca="false">IF($E3338="","",IFERROR(INDEX(科目表!$A$4:$A$81,MATCH($E3338,科目表!$B$4:$B$81,0)),""))</f>
        <v/>
      </c>
      <c r="G3338" s="67" t="str">
        <f aca="false">IF($E3338="","",IFERROR(INDEX(科目表!$E$4:$E$81,MATCH($E3338,科目表!$B$4:$B$81,0)),""))</f>
        <v/>
      </c>
      <c r="H3338" s="114"/>
      <c r="I3338" s="114"/>
      <c r="J3338" s="112"/>
      <c r="K3338" s="112"/>
      <c r="L3338" s="113"/>
      <c r="M3338" s="115"/>
      <c r="N3338" s="113"/>
      <c r="O3338" s="67" t="str">
        <f aca="false">IF($E3338="","","手工")</f>
        <v/>
      </c>
      <c r="P3338" s="113"/>
    </row>
    <row r="3339" customFormat="false" ht="18" hidden="false" customHeight="true" outlineLevel="0" collapsed="false">
      <c r="A3339" s="107" t="str">
        <f aca="false">IF($E3339="","",ROW()-3)</f>
        <v/>
      </c>
      <c r="B3339" s="111"/>
      <c r="C3339" s="112"/>
      <c r="D3339" s="113"/>
      <c r="E3339" s="112"/>
      <c r="F3339" s="99" t="str">
        <f aca="false">IF($E3339="","",IFERROR(INDEX(科目表!$A$4:$A$81,MATCH($E3339,科目表!$B$4:$B$81,0)),""))</f>
        <v/>
      </c>
      <c r="G3339" s="67" t="str">
        <f aca="false">IF($E3339="","",IFERROR(INDEX(科目表!$E$4:$E$81,MATCH($E3339,科目表!$B$4:$B$81,0)),""))</f>
        <v/>
      </c>
      <c r="H3339" s="114"/>
      <c r="I3339" s="114"/>
      <c r="J3339" s="112"/>
      <c r="K3339" s="112"/>
      <c r="L3339" s="113"/>
      <c r="M3339" s="115"/>
      <c r="N3339" s="113"/>
      <c r="O3339" s="67" t="str">
        <f aca="false">IF($E3339="","","手工")</f>
        <v/>
      </c>
      <c r="P3339" s="113"/>
    </row>
    <row r="3340" customFormat="false" ht="18" hidden="false" customHeight="true" outlineLevel="0" collapsed="false">
      <c r="A3340" s="107" t="str">
        <f aca="false">IF($E3340="","",ROW()-3)</f>
        <v/>
      </c>
      <c r="B3340" s="111"/>
      <c r="C3340" s="112"/>
      <c r="D3340" s="113"/>
      <c r="E3340" s="112"/>
      <c r="F3340" s="99" t="str">
        <f aca="false">IF($E3340="","",IFERROR(INDEX(科目表!$A$4:$A$81,MATCH($E3340,科目表!$B$4:$B$81,0)),""))</f>
        <v/>
      </c>
      <c r="G3340" s="67" t="str">
        <f aca="false">IF($E3340="","",IFERROR(INDEX(科目表!$E$4:$E$81,MATCH($E3340,科目表!$B$4:$B$81,0)),""))</f>
        <v/>
      </c>
      <c r="H3340" s="114"/>
      <c r="I3340" s="114"/>
      <c r="J3340" s="112"/>
      <c r="K3340" s="112"/>
      <c r="L3340" s="113"/>
      <c r="M3340" s="115"/>
      <c r="N3340" s="113"/>
      <c r="O3340" s="67" t="str">
        <f aca="false">IF($E3340="","","手工")</f>
        <v/>
      </c>
      <c r="P3340" s="113"/>
    </row>
    <row r="3341" customFormat="false" ht="18" hidden="false" customHeight="true" outlineLevel="0" collapsed="false">
      <c r="A3341" s="107" t="str">
        <f aca="false">IF($E3341="","",ROW()-3)</f>
        <v/>
      </c>
      <c r="B3341" s="111"/>
      <c r="C3341" s="112"/>
      <c r="D3341" s="113"/>
      <c r="E3341" s="112"/>
      <c r="F3341" s="99" t="str">
        <f aca="false">IF($E3341="","",IFERROR(INDEX(科目表!$A$4:$A$81,MATCH($E3341,科目表!$B$4:$B$81,0)),""))</f>
        <v/>
      </c>
      <c r="G3341" s="67" t="str">
        <f aca="false">IF($E3341="","",IFERROR(INDEX(科目表!$E$4:$E$81,MATCH($E3341,科目表!$B$4:$B$81,0)),""))</f>
        <v/>
      </c>
      <c r="H3341" s="114"/>
      <c r="I3341" s="114"/>
      <c r="J3341" s="112"/>
      <c r="K3341" s="112"/>
      <c r="L3341" s="113"/>
      <c r="M3341" s="115"/>
      <c r="N3341" s="113"/>
      <c r="O3341" s="67" t="str">
        <f aca="false">IF($E3341="","","手工")</f>
        <v/>
      </c>
      <c r="P3341" s="113"/>
    </row>
    <row r="3342" customFormat="false" ht="18" hidden="false" customHeight="true" outlineLevel="0" collapsed="false">
      <c r="A3342" s="107" t="str">
        <f aca="false">IF($E3342="","",ROW()-3)</f>
        <v/>
      </c>
      <c r="B3342" s="111"/>
      <c r="C3342" s="112"/>
      <c r="D3342" s="113"/>
      <c r="E3342" s="112"/>
      <c r="F3342" s="99" t="str">
        <f aca="false">IF($E3342="","",IFERROR(INDEX(科目表!$A$4:$A$81,MATCH($E3342,科目表!$B$4:$B$81,0)),""))</f>
        <v/>
      </c>
      <c r="G3342" s="67" t="str">
        <f aca="false">IF($E3342="","",IFERROR(INDEX(科目表!$E$4:$E$81,MATCH($E3342,科目表!$B$4:$B$81,0)),""))</f>
        <v/>
      </c>
      <c r="H3342" s="114"/>
      <c r="I3342" s="114"/>
      <c r="J3342" s="112"/>
      <c r="K3342" s="112"/>
      <c r="L3342" s="113"/>
      <c r="M3342" s="115"/>
      <c r="N3342" s="113"/>
      <c r="O3342" s="67" t="str">
        <f aca="false">IF($E3342="","","手工")</f>
        <v/>
      </c>
      <c r="P3342" s="113"/>
    </row>
    <row r="3343" customFormat="false" ht="18" hidden="false" customHeight="true" outlineLevel="0" collapsed="false">
      <c r="A3343" s="107" t="str">
        <f aca="false">IF($E3343="","",ROW()-3)</f>
        <v/>
      </c>
      <c r="B3343" s="111"/>
      <c r="C3343" s="112"/>
      <c r="D3343" s="113"/>
      <c r="E3343" s="112"/>
      <c r="F3343" s="99" t="str">
        <f aca="false">IF($E3343="","",IFERROR(INDEX(科目表!$A$4:$A$81,MATCH($E3343,科目表!$B$4:$B$81,0)),""))</f>
        <v/>
      </c>
      <c r="G3343" s="67" t="str">
        <f aca="false">IF($E3343="","",IFERROR(INDEX(科目表!$E$4:$E$81,MATCH($E3343,科目表!$B$4:$B$81,0)),""))</f>
        <v/>
      </c>
      <c r="H3343" s="114"/>
      <c r="I3343" s="114"/>
      <c r="J3343" s="112"/>
      <c r="K3343" s="112"/>
      <c r="L3343" s="113"/>
      <c r="M3343" s="115"/>
      <c r="N3343" s="113"/>
      <c r="O3343" s="67" t="str">
        <f aca="false">IF($E3343="","","手工")</f>
        <v/>
      </c>
      <c r="P3343" s="113"/>
    </row>
    <row r="3344" customFormat="false" ht="18" hidden="false" customHeight="true" outlineLevel="0" collapsed="false">
      <c r="A3344" s="107" t="str">
        <f aca="false">IF($E3344="","",ROW()-3)</f>
        <v/>
      </c>
      <c r="B3344" s="111"/>
      <c r="C3344" s="112"/>
      <c r="D3344" s="113"/>
      <c r="E3344" s="112"/>
      <c r="F3344" s="99" t="str">
        <f aca="false">IF($E3344="","",IFERROR(INDEX(科目表!$A$4:$A$81,MATCH($E3344,科目表!$B$4:$B$81,0)),""))</f>
        <v/>
      </c>
      <c r="G3344" s="67" t="str">
        <f aca="false">IF($E3344="","",IFERROR(INDEX(科目表!$E$4:$E$81,MATCH($E3344,科目表!$B$4:$B$81,0)),""))</f>
        <v/>
      </c>
      <c r="H3344" s="114"/>
      <c r="I3344" s="114"/>
      <c r="J3344" s="112"/>
      <c r="K3344" s="112"/>
      <c r="L3344" s="113"/>
      <c r="M3344" s="115"/>
      <c r="N3344" s="113"/>
      <c r="O3344" s="67" t="str">
        <f aca="false">IF($E3344="","","手工")</f>
        <v/>
      </c>
      <c r="P3344" s="113"/>
    </row>
    <row r="3345" customFormat="false" ht="18" hidden="false" customHeight="true" outlineLevel="0" collapsed="false">
      <c r="A3345" s="107" t="str">
        <f aca="false">IF($E3345="","",ROW()-3)</f>
        <v/>
      </c>
      <c r="B3345" s="111"/>
      <c r="C3345" s="112"/>
      <c r="D3345" s="113"/>
      <c r="E3345" s="112"/>
      <c r="F3345" s="99" t="str">
        <f aca="false">IF($E3345="","",IFERROR(INDEX(科目表!$A$4:$A$81,MATCH($E3345,科目表!$B$4:$B$81,0)),""))</f>
        <v/>
      </c>
      <c r="G3345" s="67" t="str">
        <f aca="false">IF($E3345="","",IFERROR(INDEX(科目表!$E$4:$E$81,MATCH($E3345,科目表!$B$4:$B$81,0)),""))</f>
        <v/>
      </c>
      <c r="H3345" s="114"/>
      <c r="I3345" s="114"/>
      <c r="J3345" s="112"/>
      <c r="K3345" s="112"/>
      <c r="L3345" s="113"/>
      <c r="M3345" s="115"/>
      <c r="N3345" s="113"/>
      <c r="O3345" s="67" t="str">
        <f aca="false">IF($E3345="","","手工")</f>
        <v/>
      </c>
      <c r="P3345" s="113"/>
    </row>
    <row r="3346" customFormat="false" ht="18" hidden="false" customHeight="true" outlineLevel="0" collapsed="false">
      <c r="A3346" s="107" t="str">
        <f aca="false">IF($E3346="","",ROW()-3)</f>
        <v/>
      </c>
      <c r="B3346" s="111"/>
      <c r="C3346" s="112"/>
      <c r="D3346" s="113"/>
      <c r="E3346" s="112"/>
      <c r="F3346" s="99" t="str">
        <f aca="false">IF($E3346="","",IFERROR(INDEX(科目表!$A$4:$A$81,MATCH($E3346,科目表!$B$4:$B$81,0)),""))</f>
        <v/>
      </c>
      <c r="G3346" s="67" t="str">
        <f aca="false">IF($E3346="","",IFERROR(INDEX(科目表!$E$4:$E$81,MATCH($E3346,科目表!$B$4:$B$81,0)),""))</f>
        <v/>
      </c>
      <c r="H3346" s="114"/>
      <c r="I3346" s="114"/>
      <c r="J3346" s="112"/>
      <c r="K3346" s="112"/>
      <c r="L3346" s="113"/>
      <c r="M3346" s="115"/>
      <c r="N3346" s="113"/>
      <c r="O3346" s="67" t="str">
        <f aca="false">IF($E3346="","","手工")</f>
        <v/>
      </c>
      <c r="P3346" s="113"/>
    </row>
    <row r="3347" customFormat="false" ht="18" hidden="false" customHeight="true" outlineLevel="0" collapsed="false">
      <c r="A3347" s="107" t="str">
        <f aca="false">IF($E3347="","",ROW()-3)</f>
        <v/>
      </c>
      <c r="B3347" s="111"/>
      <c r="C3347" s="112"/>
      <c r="D3347" s="113"/>
      <c r="E3347" s="112"/>
      <c r="F3347" s="99" t="str">
        <f aca="false">IF($E3347="","",IFERROR(INDEX(科目表!$A$4:$A$81,MATCH($E3347,科目表!$B$4:$B$81,0)),""))</f>
        <v/>
      </c>
      <c r="G3347" s="67" t="str">
        <f aca="false">IF($E3347="","",IFERROR(INDEX(科目表!$E$4:$E$81,MATCH($E3347,科目表!$B$4:$B$81,0)),""))</f>
        <v/>
      </c>
      <c r="H3347" s="114"/>
      <c r="I3347" s="114"/>
      <c r="J3347" s="112"/>
      <c r="K3347" s="112"/>
      <c r="L3347" s="113"/>
      <c r="M3347" s="115"/>
      <c r="N3347" s="113"/>
      <c r="O3347" s="67" t="str">
        <f aca="false">IF($E3347="","","手工")</f>
        <v/>
      </c>
      <c r="P3347" s="113"/>
    </row>
    <row r="3348" customFormat="false" ht="18" hidden="false" customHeight="true" outlineLevel="0" collapsed="false">
      <c r="A3348" s="107" t="str">
        <f aca="false">IF($E3348="","",ROW()-3)</f>
        <v/>
      </c>
      <c r="B3348" s="111"/>
      <c r="C3348" s="112"/>
      <c r="D3348" s="113"/>
      <c r="E3348" s="112"/>
      <c r="F3348" s="99" t="str">
        <f aca="false">IF($E3348="","",IFERROR(INDEX(科目表!$A$4:$A$81,MATCH($E3348,科目表!$B$4:$B$81,0)),""))</f>
        <v/>
      </c>
      <c r="G3348" s="67" t="str">
        <f aca="false">IF($E3348="","",IFERROR(INDEX(科目表!$E$4:$E$81,MATCH($E3348,科目表!$B$4:$B$81,0)),""))</f>
        <v/>
      </c>
      <c r="H3348" s="114"/>
      <c r="I3348" s="114"/>
      <c r="J3348" s="112"/>
      <c r="K3348" s="112"/>
      <c r="L3348" s="113"/>
      <c r="M3348" s="115"/>
      <c r="N3348" s="113"/>
      <c r="O3348" s="67" t="str">
        <f aca="false">IF($E3348="","","手工")</f>
        <v/>
      </c>
      <c r="P3348" s="113"/>
    </row>
    <row r="3349" customFormat="false" ht="18" hidden="false" customHeight="true" outlineLevel="0" collapsed="false">
      <c r="A3349" s="107" t="str">
        <f aca="false">IF($E3349="","",ROW()-3)</f>
        <v/>
      </c>
      <c r="B3349" s="111"/>
      <c r="C3349" s="112"/>
      <c r="D3349" s="113"/>
      <c r="E3349" s="112"/>
      <c r="F3349" s="99" t="str">
        <f aca="false">IF($E3349="","",IFERROR(INDEX(科目表!$A$4:$A$81,MATCH($E3349,科目表!$B$4:$B$81,0)),""))</f>
        <v/>
      </c>
      <c r="G3349" s="67" t="str">
        <f aca="false">IF($E3349="","",IFERROR(INDEX(科目表!$E$4:$E$81,MATCH($E3349,科目表!$B$4:$B$81,0)),""))</f>
        <v/>
      </c>
      <c r="H3349" s="114"/>
      <c r="I3349" s="114"/>
      <c r="J3349" s="112"/>
      <c r="K3349" s="112"/>
      <c r="L3349" s="113"/>
      <c r="M3349" s="115"/>
      <c r="N3349" s="113"/>
      <c r="O3349" s="67" t="str">
        <f aca="false">IF($E3349="","","手工")</f>
        <v/>
      </c>
      <c r="P3349" s="113"/>
    </row>
    <row r="3350" customFormat="false" ht="18" hidden="false" customHeight="true" outlineLevel="0" collapsed="false">
      <c r="A3350" s="107" t="str">
        <f aca="false">IF($E3350="","",ROW()-3)</f>
        <v/>
      </c>
      <c r="B3350" s="111"/>
      <c r="C3350" s="112"/>
      <c r="D3350" s="113"/>
      <c r="E3350" s="112"/>
      <c r="F3350" s="99" t="str">
        <f aca="false">IF($E3350="","",IFERROR(INDEX(科目表!$A$4:$A$81,MATCH($E3350,科目表!$B$4:$B$81,0)),""))</f>
        <v/>
      </c>
      <c r="G3350" s="67" t="str">
        <f aca="false">IF($E3350="","",IFERROR(INDEX(科目表!$E$4:$E$81,MATCH($E3350,科目表!$B$4:$B$81,0)),""))</f>
        <v/>
      </c>
      <c r="H3350" s="114"/>
      <c r="I3350" s="114"/>
      <c r="J3350" s="112"/>
      <c r="K3350" s="112"/>
      <c r="L3350" s="113"/>
      <c r="M3350" s="115"/>
      <c r="N3350" s="113"/>
      <c r="O3350" s="67" t="str">
        <f aca="false">IF($E3350="","","手工")</f>
        <v/>
      </c>
      <c r="P3350" s="113"/>
    </row>
    <row r="3351" customFormat="false" ht="18" hidden="false" customHeight="true" outlineLevel="0" collapsed="false">
      <c r="A3351" s="107" t="str">
        <f aca="false">IF($E3351="","",ROW()-3)</f>
        <v/>
      </c>
      <c r="B3351" s="111"/>
      <c r="C3351" s="112"/>
      <c r="D3351" s="113"/>
      <c r="E3351" s="112"/>
      <c r="F3351" s="99" t="str">
        <f aca="false">IF($E3351="","",IFERROR(INDEX(科目表!$A$4:$A$81,MATCH($E3351,科目表!$B$4:$B$81,0)),""))</f>
        <v/>
      </c>
      <c r="G3351" s="67" t="str">
        <f aca="false">IF($E3351="","",IFERROR(INDEX(科目表!$E$4:$E$81,MATCH($E3351,科目表!$B$4:$B$81,0)),""))</f>
        <v/>
      </c>
      <c r="H3351" s="114"/>
      <c r="I3351" s="114"/>
      <c r="J3351" s="112"/>
      <c r="K3351" s="112"/>
      <c r="L3351" s="113"/>
      <c r="M3351" s="115"/>
      <c r="N3351" s="113"/>
      <c r="O3351" s="67" t="str">
        <f aca="false">IF($E3351="","","手工")</f>
        <v/>
      </c>
      <c r="P3351" s="113"/>
    </row>
    <row r="3352" customFormat="false" ht="18" hidden="false" customHeight="true" outlineLevel="0" collapsed="false">
      <c r="A3352" s="107" t="str">
        <f aca="false">IF($E3352="","",ROW()-3)</f>
        <v/>
      </c>
      <c r="B3352" s="111"/>
      <c r="C3352" s="112"/>
      <c r="D3352" s="113"/>
      <c r="E3352" s="112"/>
      <c r="F3352" s="99" t="str">
        <f aca="false">IF($E3352="","",IFERROR(INDEX(科目表!$A$4:$A$81,MATCH($E3352,科目表!$B$4:$B$81,0)),""))</f>
        <v/>
      </c>
      <c r="G3352" s="67" t="str">
        <f aca="false">IF($E3352="","",IFERROR(INDEX(科目表!$E$4:$E$81,MATCH($E3352,科目表!$B$4:$B$81,0)),""))</f>
        <v/>
      </c>
      <c r="H3352" s="114"/>
      <c r="I3352" s="114"/>
      <c r="J3352" s="112"/>
      <c r="K3352" s="112"/>
      <c r="L3352" s="113"/>
      <c r="M3352" s="115"/>
      <c r="N3352" s="113"/>
      <c r="O3352" s="67" t="str">
        <f aca="false">IF($E3352="","","手工")</f>
        <v/>
      </c>
      <c r="P3352" s="113"/>
    </row>
    <row r="3353" customFormat="false" ht="18" hidden="false" customHeight="true" outlineLevel="0" collapsed="false">
      <c r="A3353" s="107" t="str">
        <f aca="false">IF($E3353="","",ROW()-3)</f>
        <v/>
      </c>
      <c r="B3353" s="111"/>
      <c r="C3353" s="112"/>
      <c r="D3353" s="113"/>
      <c r="E3353" s="112"/>
      <c r="F3353" s="99" t="str">
        <f aca="false">IF($E3353="","",IFERROR(INDEX(科目表!$A$4:$A$81,MATCH($E3353,科目表!$B$4:$B$81,0)),""))</f>
        <v/>
      </c>
      <c r="G3353" s="67" t="str">
        <f aca="false">IF($E3353="","",IFERROR(INDEX(科目表!$E$4:$E$81,MATCH($E3353,科目表!$B$4:$B$81,0)),""))</f>
        <v/>
      </c>
      <c r="H3353" s="114"/>
      <c r="I3353" s="114"/>
      <c r="J3353" s="112"/>
      <c r="K3353" s="112"/>
      <c r="L3353" s="113"/>
      <c r="M3353" s="115"/>
      <c r="N3353" s="113"/>
      <c r="O3353" s="67" t="str">
        <f aca="false">IF($E3353="","","手工")</f>
        <v/>
      </c>
      <c r="P3353" s="113"/>
    </row>
    <row r="3354" customFormat="false" ht="18" hidden="false" customHeight="true" outlineLevel="0" collapsed="false">
      <c r="A3354" s="107" t="str">
        <f aca="false">IF($E3354="","",ROW()-3)</f>
        <v/>
      </c>
      <c r="B3354" s="111"/>
      <c r="C3354" s="112"/>
      <c r="D3354" s="113"/>
      <c r="E3354" s="112"/>
      <c r="F3354" s="99" t="str">
        <f aca="false">IF($E3354="","",IFERROR(INDEX(科目表!$A$4:$A$81,MATCH($E3354,科目表!$B$4:$B$81,0)),""))</f>
        <v/>
      </c>
      <c r="G3354" s="67" t="str">
        <f aca="false">IF($E3354="","",IFERROR(INDEX(科目表!$E$4:$E$81,MATCH($E3354,科目表!$B$4:$B$81,0)),""))</f>
        <v/>
      </c>
      <c r="H3354" s="114"/>
      <c r="I3354" s="114"/>
      <c r="J3354" s="112"/>
      <c r="K3354" s="112"/>
      <c r="L3354" s="113"/>
      <c r="M3354" s="115"/>
      <c r="N3354" s="113"/>
      <c r="O3354" s="67" t="str">
        <f aca="false">IF($E3354="","","手工")</f>
        <v/>
      </c>
      <c r="P3354" s="113"/>
    </row>
    <row r="3355" customFormat="false" ht="18" hidden="false" customHeight="true" outlineLevel="0" collapsed="false">
      <c r="A3355" s="107" t="str">
        <f aca="false">IF($E3355="","",ROW()-3)</f>
        <v/>
      </c>
      <c r="B3355" s="111"/>
      <c r="C3355" s="112"/>
      <c r="D3355" s="113"/>
      <c r="E3355" s="112"/>
      <c r="F3355" s="99" t="str">
        <f aca="false">IF($E3355="","",IFERROR(INDEX(科目表!$A$4:$A$81,MATCH($E3355,科目表!$B$4:$B$81,0)),""))</f>
        <v/>
      </c>
      <c r="G3355" s="67" t="str">
        <f aca="false">IF($E3355="","",IFERROR(INDEX(科目表!$E$4:$E$81,MATCH($E3355,科目表!$B$4:$B$81,0)),""))</f>
        <v/>
      </c>
      <c r="H3355" s="114"/>
      <c r="I3355" s="114"/>
      <c r="J3355" s="112"/>
      <c r="K3355" s="112"/>
      <c r="L3355" s="113"/>
      <c r="M3355" s="115"/>
      <c r="N3355" s="113"/>
      <c r="O3355" s="67" t="str">
        <f aca="false">IF($E3355="","","手工")</f>
        <v/>
      </c>
      <c r="P3355" s="113"/>
    </row>
    <row r="3356" customFormat="false" ht="18" hidden="false" customHeight="true" outlineLevel="0" collapsed="false">
      <c r="A3356" s="107" t="str">
        <f aca="false">IF($E3356="","",ROW()-3)</f>
        <v/>
      </c>
      <c r="B3356" s="111"/>
      <c r="C3356" s="112"/>
      <c r="D3356" s="113"/>
      <c r="E3356" s="112"/>
      <c r="F3356" s="99" t="str">
        <f aca="false">IF($E3356="","",IFERROR(INDEX(科目表!$A$4:$A$81,MATCH($E3356,科目表!$B$4:$B$81,0)),""))</f>
        <v/>
      </c>
      <c r="G3356" s="67" t="str">
        <f aca="false">IF($E3356="","",IFERROR(INDEX(科目表!$E$4:$E$81,MATCH($E3356,科目表!$B$4:$B$81,0)),""))</f>
        <v/>
      </c>
      <c r="H3356" s="114"/>
      <c r="I3356" s="114"/>
      <c r="J3356" s="112"/>
      <c r="K3356" s="112"/>
      <c r="L3356" s="113"/>
      <c r="M3356" s="115"/>
      <c r="N3356" s="113"/>
      <c r="O3356" s="67" t="str">
        <f aca="false">IF($E3356="","","手工")</f>
        <v/>
      </c>
      <c r="P3356" s="113"/>
    </row>
    <row r="3357" customFormat="false" ht="18" hidden="false" customHeight="true" outlineLevel="0" collapsed="false">
      <c r="A3357" s="107" t="str">
        <f aca="false">IF($E3357="","",ROW()-3)</f>
        <v/>
      </c>
      <c r="B3357" s="111"/>
      <c r="C3357" s="112"/>
      <c r="D3357" s="113"/>
      <c r="E3357" s="112"/>
      <c r="F3357" s="99" t="str">
        <f aca="false">IF($E3357="","",IFERROR(INDEX(科目表!$A$4:$A$81,MATCH($E3357,科目表!$B$4:$B$81,0)),""))</f>
        <v/>
      </c>
      <c r="G3357" s="67" t="str">
        <f aca="false">IF($E3357="","",IFERROR(INDEX(科目表!$E$4:$E$81,MATCH($E3357,科目表!$B$4:$B$81,0)),""))</f>
        <v/>
      </c>
      <c r="H3357" s="114"/>
      <c r="I3357" s="114"/>
      <c r="J3357" s="112"/>
      <c r="K3357" s="112"/>
      <c r="L3357" s="113"/>
      <c r="M3357" s="115"/>
      <c r="N3357" s="113"/>
      <c r="O3357" s="67" t="str">
        <f aca="false">IF($E3357="","","手工")</f>
        <v/>
      </c>
      <c r="P3357" s="113"/>
    </row>
    <row r="3358" customFormat="false" ht="18" hidden="false" customHeight="true" outlineLevel="0" collapsed="false">
      <c r="A3358" s="107" t="str">
        <f aca="false">IF($E3358="","",ROW()-3)</f>
        <v/>
      </c>
      <c r="B3358" s="111"/>
      <c r="C3358" s="112"/>
      <c r="D3358" s="113"/>
      <c r="E3358" s="112"/>
      <c r="F3358" s="99" t="str">
        <f aca="false">IF($E3358="","",IFERROR(INDEX(科目表!$A$4:$A$81,MATCH($E3358,科目表!$B$4:$B$81,0)),""))</f>
        <v/>
      </c>
      <c r="G3358" s="67" t="str">
        <f aca="false">IF($E3358="","",IFERROR(INDEX(科目表!$E$4:$E$81,MATCH($E3358,科目表!$B$4:$B$81,0)),""))</f>
        <v/>
      </c>
      <c r="H3358" s="114"/>
      <c r="I3358" s="114"/>
      <c r="J3358" s="112"/>
      <c r="K3358" s="112"/>
      <c r="L3358" s="113"/>
      <c r="M3358" s="115"/>
      <c r="N3358" s="113"/>
      <c r="O3358" s="67" t="str">
        <f aca="false">IF($E3358="","","手工")</f>
        <v/>
      </c>
      <c r="P3358" s="113"/>
    </row>
    <row r="3359" customFormat="false" ht="18" hidden="false" customHeight="true" outlineLevel="0" collapsed="false">
      <c r="A3359" s="107" t="str">
        <f aca="false">IF($E3359="","",ROW()-3)</f>
        <v/>
      </c>
      <c r="B3359" s="111"/>
      <c r="C3359" s="112"/>
      <c r="D3359" s="113"/>
      <c r="E3359" s="112"/>
      <c r="F3359" s="99" t="str">
        <f aca="false">IF($E3359="","",IFERROR(INDEX(科目表!$A$4:$A$81,MATCH($E3359,科目表!$B$4:$B$81,0)),""))</f>
        <v/>
      </c>
      <c r="G3359" s="67" t="str">
        <f aca="false">IF($E3359="","",IFERROR(INDEX(科目表!$E$4:$E$81,MATCH($E3359,科目表!$B$4:$B$81,0)),""))</f>
        <v/>
      </c>
      <c r="H3359" s="114"/>
      <c r="I3359" s="114"/>
      <c r="J3359" s="112"/>
      <c r="K3359" s="112"/>
      <c r="L3359" s="113"/>
      <c r="M3359" s="115"/>
      <c r="N3359" s="113"/>
      <c r="O3359" s="67" t="str">
        <f aca="false">IF($E3359="","","手工")</f>
        <v/>
      </c>
      <c r="P3359" s="113"/>
    </row>
    <row r="3360" customFormat="false" ht="18" hidden="false" customHeight="true" outlineLevel="0" collapsed="false">
      <c r="A3360" s="107" t="str">
        <f aca="false">IF($E3360="","",ROW()-3)</f>
        <v/>
      </c>
      <c r="B3360" s="111"/>
      <c r="C3360" s="112"/>
      <c r="D3360" s="113"/>
      <c r="E3360" s="112"/>
      <c r="F3360" s="99" t="str">
        <f aca="false">IF($E3360="","",IFERROR(INDEX(科目表!$A$4:$A$81,MATCH($E3360,科目表!$B$4:$B$81,0)),""))</f>
        <v/>
      </c>
      <c r="G3360" s="67" t="str">
        <f aca="false">IF($E3360="","",IFERROR(INDEX(科目表!$E$4:$E$81,MATCH($E3360,科目表!$B$4:$B$81,0)),""))</f>
        <v/>
      </c>
      <c r="H3360" s="114"/>
      <c r="I3360" s="114"/>
      <c r="J3360" s="112"/>
      <c r="K3360" s="112"/>
      <c r="L3360" s="113"/>
      <c r="M3360" s="115"/>
      <c r="N3360" s="113"/>
      <c r="O3360" s="67" t="str">
        <f aca="false">IF($E3360="","","手工")</f>
        <v/>
      </c>
      <c r="P3360" s="113"/>
    </row>
    <row r="3361" customFormat="false" ht="18" hidden="false" customHeight="true" outlineLevel="0" collapsed="false">
      <c r="A3361" s="107" t="str">
        <f aca="false">IF($E3361="","",ROW()-3)</f>
        <v/>
      </c>
      <c r="B3361" s="111"/>
      <c r="C3361" s="112"/>
      <c r="D3361" s="113"/>
      <c r="E3361" s="112"/>
      <c r="F3361" s="99" t="str">
        <f aca="false">IF($E3361="","",IFERROR(INDEX(科目表!$A$4:$A$81,MATCH($E3361,科目表!$B$4:$B$81,0)),""))</f>
        <v/>
      </c>
      <c r="G3361" s="67" t="str">
        <f aca="false">IF($E3361="","",IFERROR(INDEX(科目表!$E$4:$E$81,MATCH($E3361,科目表!$B$4:$B$81,0)),""))</f>
        <v/>
      </c>
      <c r="H3361" s="114"/>
      <c r="I3361" s="114"/>
      <c r="J3361" s="112"/>
      <c r="K3361" s="112"/>
      <c r="L3361" s="113"/>
      <c r="M3361" s="115"/>
      <c r="N3361" s="113"/>
      <c r="O3361" s="67" t="str">
        <f aca="false">IF($E3361="","","手工")</f>
        <v/>
      </c>
      <c r="P3361" s="113"/>
    </row>
    <row r="3362" customFormat="false" ht="18" hidden="false" customHeight="true" outlineLevel="0" collapsed="false">
      <c r="A3362" s="107" t="str">
        <f aca="false">IF($E3362="","",ROW()-3)</f>
        <v/>
      </c>
      <c r="B3362" s="111"/>
      <c r="C3362" s="112"/>
      <c r="D3362" s="113"/>
      <c r="E3362" s="112"/>
      <c r="F3362" s="99" t="str">
        <f aca="false">IF($E3362="","",IFERROR(INDEX(科目表!$A$4:$A$81,MATCH($E3362,科目表!$B$4:$B$81,0)),""))</f>
        <v/>
      </c>
      <c r="G3362" s="67" t="str">
        <f aca="false">IF($E3362="","",IFERROR(INDEX(科目表!$E$4:$E$81,MATCH($E3362,科目表!$B$4:$B$81,0)),""))</f>
        <v/>
      </c>
      <c r="H3362" s="114"/>
      <c r="I3362" s="114"/>
      <c r="J3362" s="112"/>
      <c r="K3362" s="112"/>
      <c r="L3362" s="113"/>
      <c r="M3362" s="115"/>
      <c r="N3362" s="113"/>
      <c r="O3362" s="67" t="str">
        <f aca="false">IF($E3362="","","手工")</f>
        <v/>
      </c>
      <c r="P3362" s="113"/>
    </row>
    <row r="3363" customFormat="false" ht="18" hidden="false" customHeight="true" outlineLevel="0" collapsed="false">
      <c r="A3363" s="107" t="str">
        <f aca="false">IF($E3363="","",ROW()-3)</f>
        <v/>
      </c>
      <c r="B3363" s="111"/>
      <c r="C3363" s="112"/>
      <c r="D3363" s="113"/>
      <c r="E3363" s="112"/>
      <c r="F3363" s="99" t="str">
        <f aca="false">IF($E3363="","",IFERROR(INDEX(科目表!$A$4:$A$81,MATCH($E3363,科目表!$B$4:$B$81,0)),""))</f>
        <v/>
      </c>
      <c r="G3363" s="67" t="str">
        <f aca="false">IF($E3363="","",IFERROR(INDEX(科目表!$E$4:$E$81,MATCH($E3363,科目表!$B$4:$B$81,0)),""))</f>
        <v/>
      </c>
      <c r="H3363" s="114"/>
      <c r="I3363" s="114"/>
      <c r="J3363" s="112"/>
      <c r="K3363" s="112"/>
      <c r="L3363" s="113"/>
      <c r="M3363" s="115"/>
      <c r="N3363" s="113"/>
      <c r="O3363" s="67" t="str">
        <f aca="false">IF($E3363="","","手工")</f>
        <v/>
      </c>
      <c r="P3363" s="113"/>
    </row>
    <row r="3364" customFormat="false" ht="18" hidden="false" customHeight="true" outlineLevel="0" collapsed="false">
      <c r="A3364" s="107" t="str">
        <f aca="false">IF($E3364="","",ROW()-3)</f>
        <v/>
      </c>
      <c r="B3364" s="111"/>
      <c r="C3364" s="112"/>
      <c r="D3364" s="113"/>
      <c r="E3364" s="112"/>
      <c r="F3364" s="99" t="str">
        <f aca="false">IF($E3364="","",IFERROR(INDEX(科目表!$A$4:$A$81,MATCH($E3364,科目表!$B$4:$B$81,0)),""))</f>
        <v/>
      </c>
      <c r="G3364" s="67" t="str">
        <f aca="false">IF($E3364="","",IFERROR(INDEX(科目表!$E$4:$E$81,MATCH($E3364,科目表!$B$4:$B$81,0)),""))</f>
        <v/>
      </c>
      <c r="H3364" s="114"/>
      <c r="I3364" s="114"/>
      <c r="J3364" s="112"/>
      <c r="K3364" s="112"/>
      <c r="L3364" s="113"/>
      <c r="M3364" s="115"/>
      <c r="N3364" s="113"/>
      <c r="O3364" s="67" t="str">
        <f aca="false">IF($E3364="","","手工")</f>
        <v/>
      </c>
      <c r="P3364" s="113"/>
    </row>
    <row r="3365" customFormat="false" ht="18" hidden="false" customHeight="true" outlineLevel="0" collapsed="false">
      <c r="A3365" s="107" t="str">
        <f aca="false">IF($E3365="","",ROW()-3)</f>
        <v/>
      </c>
      <c r="B3365" s="111"/>
      <c r="C3365" s="112"/>
      <c r="D3365" s="113"/>
      <c r="E3365" s="112"/>
      <c r="F3365" s="99" t="str">
        <f aca="false">IF($E3365="","",IFERROR(INDEX(科目表!$A$4:$A$81,MATCH($E3365,科目表!$B$4:$B$81,0)),""))</f>
        <v/>
      </c>
      <c r="G3365" s="67" t="str">
        <f aca="false">IF($E3365="","",IFERROR(INDEX(科目表!$E$4:$E$81,MATCH($E3365,科目表!$B$4:$B$81,0)),""))</f>
        <v/>
      </c>
      <c r="H3365" s="114"/>
      <c r="I3365" s="114"/>
      <c r="J3365" s="112"/>
      <c r="K3365" s="112"/>
      <c r="L3365" s="113"/>
      <c r="M3365" s="115"/>
      <c r="N3365" s="113"/>
      <c r="O3365" s="67" t="str">
        <f aca="false">IF($E3365="","","手工")</f>
        <v/>
      </c>
      <c r="P3365" s="113"/>
    </row>
    <row r="3366" customFormat="false" ht="18" hidden="false" customHeight="true" outlineLevel="0" collapsed="false">
      <c r="A3366" s="107" t="str">
        <f aca="false">IF($E3366="","",ROW()-3)</f>
        <v/>
      </c>
      <c r="B3366" s="111"/>
      <c r="C3366" s="112"/>
      <c r="D3366" s="113"/>
      <c r="E3366" s="112"/>
      <c r="F3366" s="99" t="str">
        <f aca="false">IF($E3366="","",IFERROR(INDEX(科目表!$A$4:$A$81,MATCH($E3366,科目表!$B$4:$B$81,0)),""))</f>
        <v/>
      </c>
      <c r="G3366" s="67" t="str">
        <f aca="false">IF($E3366="","",IFERROR(INDEX(科目表!$E$4:$E$81,MATCH($E3366,科目表!$B$4:$B$81,0)),""))</f>
        <v/>
      </c>
      <c r="H3366" s="114"/>
      <c r="I3366" s="114"/>
      <c r="J3366" s="112"/>
      <c r="K3366" s="112"/>
      <c r="L3366" s="113"/>
      <c r="M3366" s="115"/>
      <c r="N3366" s="113"/>
      <c r="O3366" s="67" t="str">
        <f aca="false">IF($E3366="","","手工")</f>
        <v/>
      </c>
      <c r="P3366" s="113"/>
    </row>
    <row r="3367" customFormat="false" ht="18" hidden="false" customHeight="true" outlineLevel="0" collapsed="false">
      <c r="A3367" s="107" t="str">
        <f aca="false">IF($E3367="","",ROW()-3)</f>
        <v/>
      </c>
      <c r="B3367" s="111"/>
      <c r="C3367" s="112"/>
      <c r="D3367" s="113"/>
      <c r="E3367" s="112"/>
      <c r="F3367" s="99" t="str">
        <f aca="false">IF($E3367="","",IFERROR(INDEX(科目表!$A$4:$A$81,MATCH($E3367,科目表!$B$4:$B$81,0)),""))</f>
        <v/>
      </c>
      <c r="G3367" s="67" t="str">
        <f aca="false">IF($E3367="","",IFERROR(INDEX(科目表!$E$4:$E$81,MATCH($E3367,科目表!$B$4:$B$81,0)),""))</f>
        <v/>
      </c>
      <c r="H3367" s="114"/>
      <c r="I3367" s="114"/>
      <c r="J3367" s="112"/>
      <c r="K3367" s="112"/>
      <c r="L3367" s="113"/>
      <c r="M3367" s="115"/>
      <c r="N3367" s="113"/>
      <c r="O3367" s="67" t="str">
        <f aca="false">IF($E3367="","","手工")</f>
        <v/>
      </c>
      <c r="P3367" s="113"/>
    </row>
    <row r="3368" customFormat="false" ht="18" hidden="false" customHeight="true" outlineLevel="0" collapsed="false">
      <c r="A3368" s="107" t="str">
        <f aca="false">IF($E3368="","",ROW()-3)</f>
        <v/>
      </c>
      <c r="B3368" s="111"/>
      <c r="C3368" s="112"/>
      <c r="D3368" s="113"/>
      <c r="E3368" s="112"/>
      <c r="F3368" s="99" t="str">
        <f aca="false">IF($E3368="","",IFERROR(INDEX(科目表!$A$4:$A$81,MATCH($E3368,科目表!$B$4:$B$81,0)),""))</f>
        <v/>
      </c>
      <c r="G3368" s="67" t="str">
        <f aca="false">IF($E3368="","",IFERROR(INDEX(科目表!$E$4:$E$81,MATCH($E3368,科目表!$B$4:$B$81,0)),""))</f>
        <v/>
      </c>
      <c r="H3368" s="114"/>
      <c r="I3368" s="114"/>
      <c r="J3368" s="112"/>
      <c r="K3368" s="112"/>
      <c r="L3368" s="113"/>
      <c r="M3368" s="115"/>
      <c r="N3368" s="113"/>
      <c r="O3368" s="67" t="str">
        <f aca="false">IF($E3368="","","手工")</f>
        <v/>
      </c>
      <c r="P3368" s="113"/>
    </row>
    <row r="3369" customFormat="false" ht="18" hidden="false" customHeight="true" outlineLevel="0" collapsed="false">
      <c r="A3369" s="107" t="str">
        <f aca="false">IF($E3369="","",ROW()-3)</f>
        <v/>
      </c>
      <c r="B3369" s="111"/>
      <c r="C3369" s="112"/>
      <c r="D3369" s="113"/>
      <c r="E3369" s="112"/>
      <c r="F3369" s="99" t="str">
        <f aca="false">IF($E3369="","",IFERROR(INDEX(科目表!$A$4:$A$81,MATCH($E3369,科目表!$B$4:$B$81,0)),""))</f>
        <v/>
      </c>
      <c r="G3369" s="67" t="str">
        <f aca="false">IF($E3369="","",IFERROR(INDEX(科目表!$E$4:$E$81,MATCH($E3369,科目表!$B$4:$B$81,0)),""))</f>
        <v/>
      </c>
      <c r="H3369" s="114"/>
      <c r="I3369" s="114"/>
      <c r="J3369" s="112"/>
      <c r="K3369" s="112"/>
      <c r="L3369" s="113"/>
      <c r="M3369" s="115"/>
      <c r="N3369" s="113"/>
      <c r="O3369" s="67" t="str">
        <f aca="false">IF($E3369="","","手工")</f>
        <v/>
      </c>
      <c r="P3369" s="113"/>
    </row>
    <row r="3370" customFormat="false" ht="18" hidden="false" customHeight="true" outlineLevel="0" collapsed="false">
      <c r="A3370" s="107" t="str">
        <f aca="false">IF($E3370="","",ROW()-3)</f>
        <v/>
      </c>
      <c r="B3370" s="111"/>
      <c r="C3370" s="112"/>
      <c r="D3370" s="113"/>
      <c r="E3370" s="112"/>
      <c r="F3370" s="99" t="str">
        <f aca="false">IF($E3370="","",IFERROR(INDEX(科目表!$A$4:$A$81,MATCH($E3370,科目表!$B$4:$B$81,0)),""))</f>
        <v/>
      </c>
      <c r="G3370" s="67" t="str">
        <f aca="false">IF($E3370="","",IFERROR(INDEX(科目表!$E$4:$E$81,MATCH($E3370,科目表!$B$4:$B$81,0)),""))</f>
        <v/>
      </c>
      <c r="H3370" s="114"/>
      <c r="I3370" s="114"/>
      <c r="J3370" s="112"/>
      <c r="K3370" s="112"/>
      <c r="L3370" s="113"/>
      <c r="M3370" s="115"/>
      <c r="N3370" s="113"/>
      <c r="O3370" s="67" t="str">
        <f aca="false">IF($E3370="","","手工")</f>
        <v/>
      </c>
      <c r="P3370" s="113"/>
    </row>
    <row r="3371" customFormat="false" ht="18" hidden="false" customHeight="true" outlineLevel="0" collapsed="false">
      <c r="A3371" s="107" t="str">
        <f aca="false">IF($E3371="","",ROW()-3)</f>
        <v/>
      </c>
      <c r="B3371" s="111"/>
      <c r="C3371" s="112"/>
      <c r="D3371" s="113"/>
      <c r="E3371" s="112"/>
      <c r="F3371" s="99" t="str">
        <f aca="false">IF($E3371="","",IFERROR(INDEX(科目表!$A$4:$A$81,MATCH($E3371,科目表!$B$4:$B$81,0)),""))</f>
        <v/>
      </c>
      <c r="G3371" s="67" t="str">
        <f aca="false">IF($E3371="","",IFERROR(INDEX(科目表!$E$4:$E$81,MATCH($E3371,科目表!$B$4:$B$81,0)),""))</f>
        <v/>
      </c>
      <c r="H3371" s="114"/>
      <c r="I3371" s="114"/>
      <c r="J3371" s="112"/>
      <c r="K3371" s="112"/>
      <c r="L3371" s="113"/>
      <c r="M3371" s="115"/>
      <c r="N3371" s="113"/>
      <c r="O3371" s="67" t="str">
        <f aca="false">IF($E3371="","","手工")</f>
        <v/>
      </c>
      <c r="P3371" s="113"/>
    </row>
    <row r="3372" customFormat="false" ht="18" hidden="false" customHeight="true" outlineLevel="0" collapsed="false">
      <c r="A3372" s="107" t="str">
        <f aca="false">IF($E3372="","",ROW()-3)</f>
        <v/>
      </c>
      <c r="B3372" s="111"/>
      <c r="C3372" s="112"/>
      <c r="D3372" s="113"/>
      <c r="E3372" s="112"/>
      <c r="F3372" s="99" t="str">
        <f aca="false">IF($E3372="","",IFERROR(INDEX(科目表!$A$4:$A$81,MATCH($E3372,科目表!$B$4:$B$81,0)),""))</f>
        <v/>
      </c>
      <c r="G3372" s="67" t="str">
        <f aca="false">IF($E3372="","",IFERROR(INDEX(科目表!$E$4:$E$81,MATCH($E3372,科目表!$B$4:$B$81,0)),""))</f>
        <v/>
      </c>
      <c r="H3372" s="114"/>
      <c r="I3372" s="114"/>
      <c r="J3372" s="112"/>
      <c r="K3372" s="112"/>
      <c r="L3372" s="113"/>
      <c r="M3372" s="115"/>
      <c r="N3372" s="113"/>
      <c r="O3372" s="67" t="str">
        <f aca="false">IF($E3372="","","手工")</f>
        <v/>
      </c>
      <c r="P3372" s="113"/>
    </row>
    <row r="3373" customFormat="false" ht="18" hidden="false" customHeight="true" outlineLevel="0" collapsed="false">
      <c r="A3373" s="107" t="str">
        <f aca="false">IF($E3373="","",ROW()-3)</f>
        <v/>
      </c>
      <c r="B3373" s="111"/>
      <c r="C3373" s="112"/>
      <c r="D3373" s="113"/>
      <c r="E3373" s="112"/>
      <c r="F3373" s="99" t="str">
        <f aca="false">IF($E3373="","",IFERROR(INDEX(科目表!$A$4:$A$81,MATCH($E3373,科目表!$B$4:$B$81,0)),""))</f>
        <v/>
      </c>
      <c r="G3373" s="67" t="str">
        <f aca="false">IF($E3373="","",IFERROR(INDEX(科目表!$E$4:$E$81,MATCH($E3373,科目表!$B$4:$B$81,0)),""))</f>
        <v/>
      </c>
      <c r="H3373" s="114"/>
      <c r="I3373" s="114"/>
      <c r="J3373" s="112"/>
      <c r="K3373" s="112"/>
      <c r="L3373" s="113"/>
      <c r="M3373" s="115"/>
      <c r="N3373" s="113"/>
      <c r="O3373" s="67" t="str">
        <f aca="false">IF($E3373="","","手工")</f>
        <v/>
      </c>
      <c r="P3373" s="113"/>
    </row>
    <row r="3374" customFormat="false" ht="18" hidden="false" customHeight="true" outlineLevel="0" collapsed="false">
      <c r="A3374" s="107" t="str">
        <f aca="false">IF($E3374="","",ROW()-3)</f>
        <v/>
      </c>
      <c r="B3374" s="111"/>
      <c r="C3374" s="112"/>
      <c r="D3374" s="113"/>
      <c r="E3374" s="112"/>
      <c r="F3374" s="99" t="str">
        <f aca="false">IF($E3374="","",IFERROR(INDEX(科目表!$A$4:$A$81,MATCH($E3374,科目表!$B$4:$B$81,0)),""))</f>
        <v/>
      </c>
      <c r="G3374" s="67" t="str">
        <f aca="false">IF($E3374="","",IFERROR(INDEX(科目表!$E$4:$E$81,MATCH($E3374,科目表!$B$4:$B$81,0)),""))</f>
        <v/>
      </c>
      <c r="H3374" s="114"/>
      <c r="I3374" s="114"/>
      <c r="J3374" s="112"/>
      <c r="K3374" s="112"/>
      <c r="L3374" s="113"/>
      <c r="M3374" s="115"/>
      <c r="N3374" s="113"/>
      <c r="O3374" s="67" t="str">
        <f aca="false">IF($E3374="","","手工")</f>
        <v/>
      </c>
      <c r="P3374" s="113"/>
    </row>
    <row r="3375" customFormat="false" ht="18" hidden="false" customHeight="true" outlineLevel="0" collapsed="false">
      <c r="A3375" s="107" t="str">
        <f aca="false">IF($E3375="","",ROW()-3)</f>
        <v/>
      </c>
      <c r="B3375" s="111"/>
      <c r="C3375" s="112"/>
      <c r="D3375" s="113"/>
      <c r="E3375" s="112"/>
      <c r="F3375" s="99" t="str">
        <f aca="false">IF($E3375="","",IFERROR(INDEX(科目表!$A$4:$A$81,MATCH($E3375,科目表!$B$4:$B$81,0)),""))</f>
        <v/>
      </c>
      <c r="G3375" s="67" t="str">
        <f aca="false">IF($E3375="","",IFERROR(INDEX(科目表!$E$4:$E$81,MATCH($E3375,科目表!$B$4:$B$81,0)),""))</f>
        <v/>
      </c>
      <c r="H3375" s="114"/>
      <c r="I3375" s="114"/>
      <c r="J3375" s="112"/>
      <c r="K3375" s="112"/>
      <c r="L3375" s="113"/>
      <c r="M3375" s="115"/>
      <c r="N3375" s="113"/>
      <c r="O3375" s="67" t="str">
        <f aca="false">IF($E3375="","","手工")</f>
        <v/>
      </c>
      <c r="P3375" s="113"/>
    </row>
    <row r="3376" customFormat="false" ht="18" hidden="false" customHeight="true" outlineLevel="0" collapsed="false">
      <c r="A3376" s="107" t="str">
        <f aca="false">IF($E3376="","",ROW()-3)</f>
        <v/>
      </c>
      <c r="B3376" s="111"/>
      <c r="C3376" s="112"/>
      <c r="D3376" s="113"/>
      <c r="E3376" s="112"/>
      <c r="F3376" s="99" t="str">
        <f aca="false">IF($E3376="","",IFERROR(INDEX(科目表!$A$4:$A$81,MATCH($E3376,科目表!$B$4:$B$81,0)),""))</f>
        <v/>
      </c>
      <c r="G3376" s="67" t="str">
        <f aca="false">IF($E3376="","",IFERROR(INDEX(科目表!$E$4:$E$81,MATCH($E3376,科目表!$B$4:$B$81,0)),""))</f>
        <v/>
      </c>
      <c r="H3376" s="114"/>
      <c r="I3376" s="114"/>
      <c r="J3376" s="112"/>
      <c r="K3376" s="112"/>
      <c r="L3376" s="113"/>
      <c r="M3376" s="115"/>
      <c r="N3376" s="113"/>
      <c r="O3376" s="67" t="str">
        <f aca="false">IF($E3376="","","手工")</f>
        <v/>
      </c>
      <c r="P3376" s="113"/>
    </row>
    <row r="3377" customFormat="false" ht="18" hidden="false" customHeight="true" outlineLevel="0" collapsed="false">
      <c r="A3377" s="107" t="str">
        <f aca="false">IF($E3377="","",ROW()-3)</f>
        <v/>
      </c>
      <c r="B3377" s="111"/>
      <c r="C3377" s="112"/>
      <c r="D3377" s="113"/>
      <c r="E3377" s="112"/>
      <c r="F3377" s="99" t="str">
        <f aca="false">IF($E3377="","",IFERROR(INDEX(科目表!$A$4:$A$81,MATCH($E3377,科目表!$B$4:$B$81,0)),""))</f>
        <v/>
      </c>
      <c r="G3377" s="67" t="str">
        <f aca="false">IF($E3377="","",IFERROR(INDEX(科目表!$E$4:$E$81,MATCH($E3377,科目表!$B$4:$B$81,0)),""))</f>
        <v/>
      </c>
      <c r="H3377" s="114"/>
      <c r="I3377" s="114"/>
      <c r="J3377" s="112"/>
      <c r="K3377" s="112"/>
      <c r="L3377" s="113"/>
      <c r="M3377" s="115"/>
      <c r="N3377" s="113"/>
      <c r="O3377" s="67" t="str">
        <f aca="false">IF($E3377="","","手工")</f>
        <v/>
      </c>
      <c r="P3377" s="113"/>
    </row>
    <row r="3378" customFormat="false" ht="18" hidden="false" customHeight="true" outlineLevel="0" collapsed="false">
      <c r="A3378" s="107" t="str">
        <f aca="false">IF($E3378="","",ROW()-3)</f>
        <v/>
      </c>
      <c r="B3378" s="111"/>
      <c r="C3378" s="112"/>
      <c r="D3378" s="113"/>
      <c r="E3378" s="112"/>
      <c r="F3378" s="99" t="str">
        <f aca="false">IF($E3378="","",IFERROR(INDEX(科目表!$A$4:$A$81,MATCH($E3378,科目表!$B$4:$B$81,0)),""))</f>
        <v/>
      </c>
      <c r="G3378" s="67" t="str">
        <f aca="false">IF($E3378="","",IFERROR(INDEX(科目表!$E$4:$E$81,MATCH($E3378,科目表!$B$4:$B$81,0)),""))</f>
        <v/>
      </c>
      <c r="H3378" s="114"/>
      <c r="I3378" s="114"/>
      <c r="J3378" s="112"/>
      <c r="K3378" s="112"/>
      <c r="L3378" s="113"/>
      <c r="M3378" s="115"/>
      <c r="N3378" s="113"/>
      <c r="O3378" s="67" t="str">
        <f aca="false">IF($E3378="","","手工")</f>
        <v/>
      </c>
      <c r="P3378" s="113"/>
    </row>
    <row r="3379" customFormat="false" ht="18" hidden="false" customHeight="true" outlineLevel="0" collapsed="false">
      <c r="A3379" s="107" t="str">
        <f aca="false">IF($E3379="","",ROW()-3)</f>
        <v/>
      </c>
      <c r="B3379" s="111"/>
      <c r="C3379" s="112"/>
      <c r="D3379" s="113"/>
      <c r="E3379" s="112"/>
      <c r="F3379" s="99" t="str">
        <f aca="false">IF($E3379="","",IFERROR(INDEX(科目表!$A$4:$A$81,MATCH($E3379,科目表!$B$4:$B$81,0)),""))</f>
        <v/>
      </c>
      <c r="G3379" s="67" t="str">
        <f aca="false">IF($E3379="","",IFERROR(INDEX(科目表!$E$4:$E$81,MATCH($E3379,科目表!$B$4:$B$81,0)),""))</f>
        <v/>
      </c>
      <c r="H3379" s="114"/>
      <c r="I3379" s="114"/>
      <c r="J3379" s="112"/>
      <c r="K3379" s="112"/>
      <c r="L3379" s="113"/>
      <c r="M3379" s="115"/>
      <c r="N3379" s="113"/>
      <c r="O3379" s="67" t="str">
        <f aca="false">IF($E3379="","","手工")</f>
        <v/>
      </c>
      <c r="P3379" s="113"/>
    </row>
    <row r="3380" customFormat="false" ht="18" hidden="false" customHeight="true" outlineLevel="0" collapsed="false">
      <c r="A3380" s="107" t="str">
        <f aca="false">IF($E3380="","",ROW()-3)</f>
        <v/>
      </c>
      <c r="B3380" s="111"/>
      <c r="C3380" s="112"/>
      <c r="D3380" s="113"/>
      <c r="E3380" s="112"/>
      <c r="F3380" s="99" t="str">
        <f aca="false">IF($E3380="","",IFERROR(INDEX(科目表!$A$4:$A$81,MATCH($E3380,科目表!$B$4:$B$81,0)),""))</f>
        <v/>
      </c>
      <c r="G3380" s="67" t="str">
        <f aca="false">IF($E3380="","",IFERROR(INDEX(科目表!$E$4:$E$81,MATCH($E3380,科目表!$B$4:$B$81,0)),""))</f>
        <v/>
      </c>
      <c r="H3380" s="114"/>
      <c r="I3380" s="114"/>
      <c r="J3380" s="112"/>
      <c r="K3380" s="112"/>
      <c r="L3380" s="113"/>
      <c r="M3380" s="115"/>
      <c r="N3380" s="113"/>
      <c r="O3380" s="67" t="str">
        <f aca="false">IF($E3380="","","手工")</f>
        <v/>
      </c>
      <c r="P3380" s="113"/>
    </row>
    <row r="3381" customFormat="false" ht="18" hidden="false" customHeight="true" outlineLevel="0" collapsed="false">
      <c r="A3381" s="107" t="str">
        <f aca="false">IF($E3381="","",ROW()-3)</f>
        <v/>
      </c>
      <c r="B3381" s="111"/>
      <c r="C3381" s="112"/>
      <c r="D3381" s="113"/>
      <c r="E3381" s="112"/>
      <c r="F3381" s="99" t="str">
        <f aca="false">IF($E3381="","",IFERROR(INDEX(科目表!$A$4:$A$81,MATCH($E3381,科目表!$B$4:$B$81,0)),""))</f>
        <v/>
      </c>
      <c r="G3381" s="67" t="str">
        <f aca="false">IF($E3381="","",IFERROR(INDEX(科目表!$E$4:$E$81,MATCH($E3381,科目表!$B$4:$B$81,0)),""))</f>
        <v/>
      </c>
      <c r="H3381" s="114"/>
      <c r="I3381" s="114"/>
      <c r="J3381" s="112"/>
      <c r="K3381" s="112"/>
      <c r="L3381" s="113"/>
      <c r="M3381" s="115"/>
      <c r="N3381" s="113"/>
      <c r="O3381" s="67" t="str">
        <f aca="false">IF($E3381="","","手工")</f>
        <v/>
      </c>
      <c r="P3381" s="113"/>
    </row>
    <row r="3382" customFormat="false" ht="18" hidden="false" customHeight="true" outlineLevel="0" collapsed="false">
      <c r="A3382" s="107" t="str">
        <f aca="false">IF($E3382="","",ROW()-3)</f>
        <v/>
      </c>
      <c r="B3382" s="111"/>
      <c r="C3382" s="112"/>
      <c r="D3382" s="113"/>
      <c r="E3382" s="112"/>
      <c r="F3382" s="99" t="str">
        <f aca="false">IF($E3382="","",IFERROR(INDEX(科目表!$A$4:$A$81,MATCH($E3382,科目表!$B$4:$B$81,0)),""))</f>
        <v/>
      </c>
      <c r="G3382" s="67" t="str">
        <f aca="false">IF($E3382="","",IFERROR(INDEX(科目表!$E$4:$E$81,MATCH($E3382,科目表!$B$4:$B$81,0)),""))</f>
        <v/>
      </c>
      <c r="H3382" s="114"/>
      <c r="I3382" s="114"/>
      <c r="J3382" s="112"/>
      <c r="K3382" s="112"/>
      <c r="L3382" s="113"/>
      <c r="M3382" s="115"/>
      <c r="N3382" s="113"/>
      <c r="O3382" s="67" t="str">
        <f aca="false">IF($E3382="","","手工")</f>
        <v/>
      </c>
      <c r="P3382" s="113"/>
    </row>
    <row r="3383" customFormat="false" ht="18" hidden="false" customHeight="true" outlineLevel="0" collapsed="false">
      <c r="A3383" s="107" t="str">
        <f aca="false">IF($E3383="","",ROW()-3)</f>
        <v/>
      </c>
      <c r="B3383" s="111"/>
      <c r="C3383" s="112"/>
      <c r="D3383" s="113"/>
      <c r="E3383" s="112"/>
      <c r="F3383" s="99" t="str">
        <f aca="false">IF($E3383="","",IFERROR(INDEX(科目表!$A$4:$A$81,MATCH($E3383,科目表!$B$4:$B$81,0)),""))</f>
        <v/>
      </c>
      <c r="G3383" s="67" t="str">
        <f aca="false">IF($E3383="","",IFERROR(INDEX(科目表!$E$4:$E$81,MATCH($E3383,科目表!$B$4:$B$81,0)),""))</f>
        <v/>
      </c>
      <c r="H3383" s="114"/>
      <c r="I3383" s="114"/>
      <c r="J3383" s="112"/>
      <c r="K3383" s="112"/>
      <c r="L3383" s="113"/>
      <c r="M3383" s="115"/>
      <c r="N3383" s="113"/>
      <c r="O3383" s="67" t="str">
        <f aca="false">IF($E3383="","","手工")</f>
        <v/>
      </c>
      <c r="P3383" s="113"/>
    </row>
    <row r="3384" customFormat="false" ht="18" hidden="false" customHeight="true" outlineLevel="0" collapsed="false">
      <c r="A3384" s="107" t="str">
        <f aca="false">IF($E3384="","",ROW()-3)</f>
        <v/>
      </c>
      <c r="B3384" s="111"/>
      <c r="C3384" s="112"/>
      <c r="D3384" s="113"/>
      <c r="E3384" s="112"/>
      <c r="F3384" s="99" t="str">
        <f aca="false">IF($E3384="","",IFERROR(INDEX(科目表!$A$4:$A$81,MATCH($E3384,科目表!$B$4:$B$81,0)),""))</f>
        <v/>
      </c>
      <c r="G3384" s="67" t="str">
        <f aca="false">IF($E3384="","",IFERROR(INDEX(科目表!$E$4:$E$81,MATCH($E3384,科目表!$B$4:$B$81,0)),""))</f>
        <v/>
      </c>
      <c r="H3384" s="114"/>
      <c r="I3384" s="114"/>
      <c r="J3384" s="112"/>
      <c r="K3384" s="112"/>
      <c r="L3384" s="113"/>
      <c r="M3384" s="115"/>
      <c r="N3384" s="113"/>
      <c r="O3384" s="67" t="str">
        <f aca="false">IF($E3384="","","手工")</f>
        <v/>
      </c>
      <c r="P3384" s="113"/>
    </row>
    <row r="3385" customFormat="false" ht="18" hidden="false" customHeight="true" outlineLevel="0" collapsed="false">
      <c r="A3385" s="107" t="str">
        <f aca="false">IF($E3385="","",ROW()-3)</f>
        <v/>
      </c>
      <c r="B3385" s="111"/>
      <c r="C3385" s="112"/>
      <c r="D3385" s="113"/>
      <c r="E3385" s="112"/>
      <c r="F3385" s="99" t="str">
        <f aca="false">IF($E3385="","",IFERROR(INDEX(科目表!$A$4:$A$81,MATCH($E3385,科目表!$B$4:$B$81,0)),""))</f>
        <v/>
      </c>
      <c r="G3385" s="67" t="str">
        <f aca="false">IF($E3385="","",IFERROR(INDEX(科目表!$E$4:$E$81,MATCH($E3385,科目表!$B$4:$B$81,0)),""))</f>
        <v/>
      </c>
      <c r="H3385" s="114"/>
      <c r="I3385" s="114"/>
      <c r="J3385" s="112"/>
      <c r="K3385" s="112"/>
      <c r="L3385" s="113"/>
      <c r="M3385" s="115"/>
      <c r="N3385" s="113"/>
      <c r="O3385" s="67" t="str">
        <f aca="false">IF($E3385="","","手工")</f>
        <v/>
      </c>
      <c r="P3385" s="113"/>
    </row>
    <row r="3386" customFormat="false" ht="18" hidden="false" customHeight="true" outlineLevel="0" collapsed="false">
      <c r="A3386" s="107" t="str">
        <f aca="false">IF($E3386="","",ROW()-3)</f>
        <v/>
      </c>
      <c r="B3386" s="111"/>
      <c r="C3386" s="112"/>
      <c r="D3386" s="113"/>
      <c r="E3386" s="112"/>
      <c r="F3386" s="99" t="str">
        <f aca="false">IF($E3386="","",IFERROR(INDEX(科目表!$A$4:$A$81,MATCH($E3386,科目表!$B$4:$B$81,0)),""))</f>
        <v/>
      </c>
      <c r="G3386" s="67" t="str">
        <f aca="false">IF($E3386="","",IFERROR(INDEX(科目表!$E$4:$E$81,MATCH($E3386,科目表!$B$4:$B$81,0)),""))</f>
        <v/>
      </c>
      <c r="H3386" s="114"/>
      <c r="I3386" s="114"/>
      <c r="J3386" s="112"/>
      <c r="K3386" s="112"/>
      <c r="L3386" s="113"/>
      <c r="M3386" s="115"/>
      <c r="N3386" s="113"/>
      <c r="O3386" s="67" t="str">
        <f aca="false">IF($E3386="","","手工")</f>
        <v/>
      </c>
      <c r="P3386" s="113"/>
    </row>
    <row r="3387" customFormat="false" ht="18" hidden="false" customHeight="true" outlineLevel="0" collapsed="false">
      <c r="A3387" s="107" t="str">
        <f aca="false">IF($E3387="","",ROW()-3)</f>
        <v/>
      </c>
      <c r="B3387" s="111"/>
      <c r="C3387" s="112"/>
      <c r="D3387" s="113"/>
      <c r="E3387" s="112"/>
      <c r="F3387" s="99" t="str">
        <f aca="false">IF($E3387="","",IFERROR(INDEX(科目表!$A$4:$A$81,MATCH($E3387,科目表!$B$4:$B$81,0)),""))</f>
        <v/>
      </c>
      <c r="G3387" s="67" t="str">
        <f aca="false">IF($E3387="","",IFERROR(INDEX(科目表!$E$4:$E$81,MATCH($E3387,科目表!$B$4:$B$81,0)),""))</f>
        <v/>
      </c>
      <c r="H3387" s="114"/>
      <c r="I3387" s="114"/>
      <c r="J3387" s="112"/>
      <c r="K3387" s="112"/>
      <c r="L3387" s="113"/>
      <c r="M3387" s="115"/>
      <c r="N3387" s="113"/>
      <c r="O3387" s="67" t="str">
        <f aca="false">IF($E3387="","","手工")</f>
        <v/>
      </c>
      <c r="P3387" s="113"/>
    </row>
    <row r="3388" customFormat="false" ht="18" hidden="false" customHeight="true" outlineLevel="0" collapsed="false">
      <c r="A3388" s="107" t="str">
        <f aca="false">IF($E3388="","",ROW()-3)</f>
        <v/>
      </c>
      <c r="B3388" s="111"/>
      <c r="C3388" s="112"/>
      <c r="D3388" s="113"/>
      <c r="E3388" s="112"/>
      <c r="F3388" s="99" t="str">
        <f aca="false">IF($E3388="","",IFERROR(INDEX(科目表!$A$4:$A$81,MATCH($E3388,科目表!$B$4:$B$81,0)),""))</f>
        <v/>
      </c>
      <c r="G3388" s="67" t="str">
        <f aca="false">IF($E3388="","",IFERROR(INDEX(科目表!$E$4:$E$81,MATCH($E3388,科目表!$B$4:$B$81,0)),""))</f>
        <v/>
      </c>
      <c r="H3388" s="114"/>
      <c r="I3388" s="114"/>
      <c r="J3388" s="112"/>
      <c r="K3388" s="112"/>
      <c r="L3388" s="113"/>
      <c r="M3388" s="115"/>
      <c r="N3388" s="113"/>
      <c r="O3388" s="67" t="str">
        <f aca="false">IF($E3388="","","手工")</f>
        <v/>
      </c>
      <c r="P3388" s="113"/>
    </row>
    <row r="3389" customFormat="false" ht="18" hidden="false" customHeight="true" outlineLevel="0" collapsed="false">
      <c r="A3389" s="107" t="str">
        <f aca="false">IF($E3389="","",ROW()-3)</f>
        <v/>
      </c>
      <c r="B3389" s="111"/>
      <c r="C3389" s="112"/>
      <c r="D3389" s="113"/>
      <c r="E3389" s="112"/>
      <c r="F3389" s="99" t="str">
        <f aca="false">IF($E3389="","",IFERROR(INDEX(科目表!$A$4:$A$81,MATCH($E3389,科目表!$B$4:$B$81,0)),""))</f>
        <v/>
      </c>
      <c r="G3389" s="67" t="str">
        <f aca="false">IF($E3389="","",IFERROR(INDEX(科目表!$E$4:$E$81,MATCH($E3389,科目表!$B$4:$B$81,0)),""))</f>
        <v/>
      </c>
      <c r="H3389" s="114"/>
      <c r="I3389" s="114"/>
      <c r="J3389" s="112"/>
      <c r="K3389" s="112"/>
      <c r="L3389" s="113"/>
      <c r="M3389" s="115"/>
      <c r="N3389" s="113"/>
      <c r="O3389" s="67" t="str">
        <f aca="false">IF($E3389="","","手工")</f>
        <v/>
      </c>
      <c r="P3389" s="113"/>
    </row>
    <row r="3390" customFormat="false" ht="18" hidden="false" customHeight="true" outlineLevel="0" collapsed="false">
      <c r="A3390" s="107" t="str">
        <f aca="false">IF($E3390="","",ROW()-3)</f>
        <v/>
      </c>
      <c r="B3390" s="111"/>
      <c r="C3390" s="112"/>
      <c r="D3390" s="113"/>
      <c r="E3390" s="112"/>
      <c r="F3390" s="99" t="str">
        <f aca="false">IF($E3390="","",IFERROR(INDEX(科目表!$A$4:$A$81,MATCH($E3390,科目表!$B$4:$B$81,0)),""))</f>
        <v/>
      </c>
      <c r="G3390" s="67" t="str">
        <f aca="false">IF($E3390="","",IFERROR(INDEX(科目表!$E$4:$E$81,MATCH($E3390,科目表!$B$4:$B$81,0)),""))</f>
        <v/>
      </c>
      <c r="H3390" s="114"/>
      <c r="I3390" s="114"/>
      <c r="J3390" s="112"/>
      <c r="K3390" s="112"/>
      <c r="L3390" s="113"/>
      <c r="M3390" s="115"/>
      <c r="N3390" s="113"/>
      <c r="O3390" s="67" t="str">
        <f aca="false">IF($E3390="","","手工")</f>
        <v/>
      </c>
      <c r="P3390" s="113"/>
    </row>
    <row r="3391" customFormat="false" ht="18" hidden="false" customHeight="true" outlineLevel="0" collapsed="false">
      <c r="A3391" s="107" t="str">
        <f aca="false">IF($E3391="","",ROW()-3)</f>
        <v/>
      </c>
      <c r="B3391" s="111"/>
      <c r="C3391" s="112"/>
      <c r="D3391" s="113"/>
      <c r="E3391" s="112"/>
      <c r="F3391" s="99" t="str">
        <f aca="false">IF($E3391="","",IFERROR(INDEX(科目表!$A$4:$A$81,MATCH($E3391,科目表!$B$4:$B$81,0)),""))</f>
        <v/>
      </c>
      <c r="G3391" s="67" t="str">
        <f aca="false">IF($E3391="","",IFERROR(INDEX(科目表!$E$4:$E$81,MATCH($E3391,科目表!$B$4:$B$81,0)),""))</f>
        <v/>
      </c>
      <c r="H3391" s="114"/>
      <c r="I3391" s="114"/>
      <c r="J3391" s="112"/>
      <c r="K3391" s="112"/>
      <c r="L3391" s="113"/>
      <c r="M3391" s="115"/>
      <c r="N3391" s="113"/>
      <c r="O3391" s="67" t="str">
        <f aca="false">IF($E3391="","","手工")</f>
        <v/>
      </c>
      <c r="P3391" s="113"/>
    </row>
    <row r="3392" customFormat="false" ht="18" hidden="false" customHeight="true" outlineLevel="0" collapsed="false">
      <c r="A3392" s="107" t="str">
        <f aca="false">IF($E3392="","",ROW()-3)</f>
        <v/>
      </c>
      <c r="B3392" s="111"/>
      <c r="C3392" s="112"/>
      <c r="D3392" s="113"/>
      <c r="E3392" s="112"/>
      <c r="F3392" s="99" t="str">
        <f aca="false">IF($E3392="","",IFERROR(INDEX(科目表!$A$4:$A$81,MATCH($E3392,科目表!$B$4:$B$81,0)),""))</f>
        <v/>
      </c>
      <c r="G3392" s="67" t="str">
        <f aca="false">IF($E3392="","",IFERROR(INDEX(科目表!$E$4:$E$81,MATCH($E3392,科目表!$B$4:$B$81,0)),""))</f>
        <v/>
      </c>
      <c r="H3392" s="114"/>
      <c r="I3392" s="114"/>
      <c r="J3392" s="112"/>
      <c r="K3392" s="112"/>
      <c r="L3392" s="113"/>
      <c r="M3392" s="115"/>
      <c r="N3392" s="113"/>
      <c r="O3392" s="67" t="str">
        <f aca="false">IF($E3392="","","手工")</f>
        <v/>
      </c>
      <c r="P3392" s="113"/>
    </row>
    <row r="3393" customFormat="false" ht="18" hidden="false" customHeight="true" outlineLevel="0" collapsed="false">
      <c r="A3393" s="107" t="str">
        <f aca="false">IF($E3393="","",ROW()-3)</f>
        <v/>
      </c>
      <c r="B3393" s="111"/>
      <c r="C3393" s="112"/>
      <c r="D3393" s="113"/>
      <c r="E3393" s="112"/>
      <c r="F3393" s="99" t="str">
        <f aca="false">IF($E3393="","",IFERROR(INDEX(科目表!$A$4:$A$81,MATCH($E3393,科目表!$B$4:$B$81,0)),""))</f>
        <v/>
      </c>
      <c r="G3393" s="67" t="str">
        <f aca="false">IF($E3393="","",IFERROR(INDEX(科目表!$E$4:$E$81,MATCH($E3393,科目表!$B$4:$B$81,0)),""))</f>
        <v/>
      </c>
      <c r="H3393" s="114"/>
      <c r="I3393" s="114"/>
      <c r="J3393" s="112"/>
      <c r="K3393" s="112"/>
      <c r="L3393" s="113"/>
      <c r="M3393" s="115"/>
      <c r="N3393" s="113"/>
      <c r="O3393" s="67" t="str">
        <f aca="false">IF($E3393="","","手工")</f>
        <v/>
      </c>
      <c r="P3393" s="113"/>
    </row>
    <row r="3394" customFormat="false" ht="18" hidden="false" customHeight="true" outlineLevel="0" collapsed="false">
      <c r="A3394" s="107" t="str">
        <f aca="false">IF($E3394="","",ROW()-3)</f>
        <v/>
      </c>
      <c r="B3394" s="111"/>
      <c r="C3394" s="112"/>
      <c r="D3394" s="113"/>
      <c r="E3394" s="112"/>
      <c r="F3394" s="99" t="str">
        <f aca="false">IF($E3394="","",IFERROR(INDEX(科目表!$A$4:$A$81,MATCH($E3394,科目表!$B$4:$B$81,0)),""))</f>
        <v/>
      </c>
      <c r="G3394" s="67" t="str">
        <f aca="false">IF($E3394="","",IFERROR(INDEX(科目表!$E$4:$E$81,MATCH($E3394,科目表!$B$4:$B$81,0)),""))</f>
        <v/>
      </c>
      <c r="H3394" s="114"/>
      <c r="I3394" s="114"/>
      <c r="J3394" s="112"/>
      <c r="K3394" s="112"/>
      <c r="L3394" s="113"/>
      <c r="M3394" s="115"/>
      <c r="N3394" s="113"/>
      <c r="O3394" s="67" t="str">
        <f aca="false">IF($E3394="","","手工")</f>
        <v/>
      </c>
      <c r="P3394" s="113"/>
    </row>
    <row r="3395" customFormat="false" ht="18" hidden="false" customHeight="true" outlineLevel="0" collapsed="false">
      <c r="A3395" s="107" t="str">
        <f aca="false">IF($E3395="","",ROW()-3)</f>
        <v/>
      </c>
      <c r="B3395" s="111"/>
      <c r="C3395" s="112"/>
      <c r="D3395" s="113"/>
      <c r="E3395" s="112"/>
      <c r="F3395" s="99" t="str">
        <f aca="false">IF($E3395="","",IFERROR(INDEX(科目表!$A$4:$A$81,MATCH($E3395,科目表!$B$4:$B$81,0)),""))</f>
        <v/>
      </c>
      <c r="G3395" s="67" t="str">
        <f aca="false">IF($E3395="","",IFERROR(INDEX(科目表!$E$4:$E$81,MATCH($E3395,科目表!$B$4:$B$81,0)),""))</f>
        <v/>
      </c>
      <c r="H3395" s="114"/>
      <c r="I3395" s="114"/>
      <c r="J3395" s="112"/>
      <c r="K3395" s="112"/>
      <c r="L3395" s="113"/>
      <c r="M3395" s="115"/>
      <c r="N3395" s="113"/>
      <c r="O3395" s="67" t="str">
        <f aca="false">IF($E3395="","","手工")</f>
        <v/>
      </c>
      <c r="P3395" s="113"/>
    </row>
    <row r="3396" customFormat="false" ht="18" hidden="false" customHeight="true" outlineLevel="0" collapsed="false">
      <c r="A3396" s="107" t="str">
        <f aca="false">IF($E3396="","",ROW()-3)</f>
        <v/>
      </c>
      <c r="B3396" s="111"/>
      <c r="C3396" s="112"/>
      <c r="D3396" s="113"/>
      <c r="E3396" s="112"/>
      <c r="F3396" s="99" t="str">
        <f aca="false">IF($E3396="","",IFERROR(INDEX(科目表!$A$4:$A$81,MATCH($E3396,科目表!$B$4:$B$81,0)),""))</f>
        <v/>
      </c>
      <c r="G3396" s="67" t="str">
        <f aca="false">IF($E3396="","",IFERROR(INDEX(科目表!$E$4:$E$81,MATCH($E3396,科目表!$B$4:$B$81,0)),""))</f>
        <v/>
      </c>
      <c r="H3396" s="114"/>
      <c r="I3396" s="114"/>
      <c r="J3396" s="112"/>
      <c r="K3396" s="112"/>
      <c r="L3396" s="113"/>
      <c r="M3396" s="115"/>
      <c r="N3396" s="113"/>
      <c r="O3396" s="67" t="str">
        <f aca="false">IF($E3396="","","手工")</f>
        <v/>
      </c>
      <c r="P3396" s="113"/>
    </row>
    <row r="3397" customFormat="false" ht="18" hidden="false" customHeight="true" outlineLevel="0" collapsed="false">
      <c r="A3397" s="107" t="str">
        <f aca="false">IF($E3397="","",ROW()-3)</f>
        <v/>
      </c>
      <c r="B3397" s="111"/>
      <c r="C3397" s="112"/>
      <c r="D3397" s="113"/>
      <c r="E3397" s="112"/>
      <c r="F3397" s="99" t="str">
        <f aca="false">IF($E3397="","",IFERROR(INDEX(科目表!$A$4:$A$81,MATCH($E3397,科目表!$B$4:$B$81,0)),""))</f>
        <v/>
      </c>
      <c r="G3397" s="67" t="str">
        <f aca="false">IF($E3397="","",IFERROR(INDEX(科目表!$E$4:$E$81,MATCH($E3397,科目表!$B$4:$B$81,0)),""))</f>
        <v/>
      </c>
      <c r="H3397" s="114"/>
      <c r="I3397" s="114"/>
      <c r="J3397" s="112"/>
      <c r="K3397" s="112"/>
      <c r="L3397" s="113"/>
      <c r="M3397" s="115"/>
      <c r="N3397" s="113"/>
      <c r="O3397" s="67" t="str">
        <f aca="false">IF($E3397="","","手工")</f>
        <v/>
      </c>
      <c r="P3397" s="113"/>
    </row>
    <row r="3398" customFormat="false" ht="18" hidden="false" customHeight="true" outlineLevel="0" collapsed="false">
      <c r="A3398" s="107" t="str">
        <f aca="false">IF($E3398="","",ROW()-3)</f>
        <v/>
      </c>
      <c r="B3398" s="111"/>
      <c r="C3398" s="112"/>
      <c r="D3398" s="113"/>
      <c r="E3398" s="112"/>
      <c r="F3398" s="99" t="str">
        <f aca="false">IF($E3398="","",IFERROR(INDEX(科目表!$A$4:$A$81,MATCH($E3398,科目表!$B$4:$B$81,0)),""))</f>
        <v/>
      </c>
      <c r="G3398" s="67" t="str">
        <f aca="false">IF($E3398="","",IFERROR(INDEX(科目表!$E$4:$E$81,MATCH($E3398,科目表!$B$4:$B$81,0)),""))</f>
        <v/>
      </c>
      <c r="H3398" s="114"/>
      <c r="I3398" s="114"/>
      <c r="J3398" s="112"/>
      <c r="K3398" s="112"/>
      <c r="L3398" s="113"/>
      <c r="M3398" s="115"/>
      <c r="N3398" s="113"/>
      <c r="O3398" s="67" t="str">
        <f aca="false">IF($E3398="","","手工")</f>
        <v/>
      </c>
      <c r="P3398" s="113"/>
    </row>
    <row r="3399" customFormat="false" ht="18" hidden="false" customHeight="true" outlineLevel="0" collapsed="false">
      <c r="A3399" s="107" t="str">
        <f aca="false">IF($E3399="","",ROW()-3)</f>
        <v/>
      </c>
      <c r="B3399" s="111"/>
      <c r="C3399" s="112"/>
      <c r="D3399" s="113"/>
      <c r="E3399" s="112"/>
      <c r="F3399" s="99" t="str">
        <f aca="false">IF($E3399="","",IFERROR(INDEX(科目表!$A$4:$A$81,MATCH($E3399,科目表!$B$4:$B$81,0)),""))</f>
        <v/>
      </c>
      <c r="G3399" s="67" t="str">
        <f aca="false">IF($E3399="","",IFERROR(INDEX(科目表!$E$4:$E$81,MATCH($E3399,科目表!$B$4:$B$81,0)),""))</f>
        <v/>
      </c>
      <c r="H3399" s="114"/>
      <c r="I3399" s="114"/>
      <c r="J3399" s="112"/>
      <c r="K3399" s="112"/>
      <c r="L3399" s="113"/>
      <c r="M3399" s="115"/>
      <c r="N3399" s="113"/>
      <c r="O3399" s="67" t="str">
        <f aca="false">IF($E3399="","","手工")</f>
        <v/>
      </c>
      <c r="P3399" s="113"/>
    </row>
    <row r="3400" customFormat="false" ht="18" hidden="false" customHeight="true" outlineLevel="0" collapsed="false">
      <c r="A3400" s="107" t="str">
        <f aca="false">IF($E3400="","",ROW()-3)</f>
        <v/>
      </c>
      <c r="B3400" s="111"/>
      <c r="C3400" s="112"/>
      <c r="D3400" s="113"/>
      <c r="E3400" s="112"/>
      <c r="F3400" s="99" t="str">
        <f aca="false">IF($E3400="","",IFERROR(INDEX(科目表!$A$4:$A$81,MATCH($E3400,科目表!$B$4:$B$81,0)),""))</f>
        <v/>
      </c>
      <c r="G3400" s="67" t="str">
        <f aca="false">IF($E3400="","",IFERROR(INDEX(科目表!$E$4:$E$81,MATCH($E3400,科目表!$B$4:$B$81,0)),""))</f>
        <v/>
      </c>
      <c r="H3400" s="114"/>
      <c r="I3400" s="114"/>
      <c r="J3400" s="112"/>
      <c r="K3400" s="112"/>
      <c r="L3400" s="113"/>
      <c r="M3400" s="115"/>
      <c r="N3400" s="113"/>
      <c r="O3400" s="67" t="str">
        <f aca="false">IF($E3400="","","手工")</f>
        <v/>
      </c>
      <c r="P3400" s="113"/>
    </row>
    <row r="3401" customFormat="false" ht="18" hidden="false" customHeight="true" outlineLevel="0" collapsed="false">
      <c r="A3401" s="107" t="str">
        <f aca="false">IF($E3401="","",ROW()-3)</f>
        <v/>
      </c>
      <c r="B3401" s="111"/>
      <c r="C3401" s="112"/>
      <c r="D3401" s="113"/>
      <c r="E3401" s="112"/>
      <c r="F3401" s="99" t="str">
        <f aca="false">IF($E3401="","",IFERROR(INDEX(科目表!$A$4:$A$81,MATCH($E3401,科目表!$B$4:$B$81,0)),""))</f>
        <v/>
      </c>
      <c r="G3401" s="67" t="str">
        <f aca="false">IF($E3401="","",IFERROR(INDEX(科目表!$E$4:$E$81,MATCH($E3401,科目表!$B$4:$B$81,0)),""))</f>
        <v/>
      </c>
      <c r="H3401" s="114"/>
      <c r="I3401" s="114"/>
      <c r="J3401" s="112"/>
      <c r="K3401" s="112"/>
      <c r="L3401" s="113"/>
      <c r="M3401" s="115"/>
      <c r="N3401" s="113"/>
      <c r="O3401" s="67" t="str">
        <f aca="false">IF($E3401="","","手工")</f>
        <v/>
      </c>
      <c r="P3401" s="113"/>
    </row>
    <row r="3402" customFormat="false" ht="18" hidden="false" customHeight="true" outlineLevel="0" collapsed="false">
      <c r="A3402" s="107" t="str">
        <f aca="false">IF($E3402="","",ROW()-3)</f>
        <v/>
      </c>
      <c r="B3402" s="111"/>
      <c r="C3402" s="112"/>
      <c r="D3402" s="113"/>
      <c r="E3402" s="112"/>
      <c r="F3402" s="99" t="str">
        <f aca="false">IF($E3402="","",IFERROR(INDEX(科目表!$A$4:$A$81,MATCH($E3402,科目表!$B$4:$B$81,0)),""))</f>
        <v/>
      </c>
      <c r="G3402" s="67" t="str">
        <f aca="false">IF($E3402="","",IFERROR(INDEX(科目表!$E$4:$E$81,MATCH($E3402,科目表!$B$4:$B$81,0)),""))</f>
        <v/>
      </c>
      <c r="H3402" s="114"/>
      <c r="I3402" s="114"/>
      <c r="J3402" s="112"/>
      <c r="K3402" s="112"/>
      <c r="L3402" s="113"/>
      <c r="M3402" s="115"/>
      <c r="N3402" s="113"/>
      <c r="O3402" s="67" t="str">
        <f aca="false">IF($E3402="","","手工")</f>
        <v/>
      </c>
      <c r="P3402" s="113"/>
    </row>
    <row r="3403" customFormat="false" ht="18" hidden="false" customHeight="true" outlineLevel="0" collapsed="false">
      <c r="A3403" s="107" t="str">
        <f aca="false">IF($E3403="","",ROW()-3)</f>
        <v/>
      </c>
      <c r="B3403" s="111"/>
      <c r="C3403" s="112"/>
      <c r="D3403" s="113"/>
      <c r="E3403" s="112"/>
      <c r="F3403" s="99" t="str">
        <f aca="false">IF($E3403="","",IFERROR(INDEX(科目表!$A$4:$A$81,MATCH($E3403,科目表!$B$4:$B$81,0)),""))</f>
        <v/>
      </c>
      <c r="G3403" s="67" t="str">
        <f aca="false">IF($E3403="","",IFERROR(INDEX(科目表!$E$4:$E$81,MATCH($E3403,科目表!$B$4:$B$81,0)),""))</f>
        <v/>
      </c>
      <c r="H3403" s="114"/>
      <c r="I3403" s="114"/>
      <c r="J3403" s="112"/>
      <c r="K3403" s="112"/>
      <c r="L3403" s="113"/>
      <c r="M3403" s="115"/>
      <c r="N3403" s="113"/>
      <c r="O3403" s="67" t="str">
        <f aca="false">IF($E3403="","","手工")</f>
        <v/>
      </c>
      <c r="P3403" s="113"/>
    </row>
    <row r="3404" customFormat="false" ht="18" hidden="false" customHeight="true" outlineLevel="0" collapsed="false">
      <c r="A3404" s="107" t="str">
        <f aca="false">IF($E3404="","",ROW()-3)</f>
        <v/>
      </c>
      <c r="B3404" s="111"/>
      <c r="C3404" s="112"/>
      <c r="D3404" s="113"/>
      <c r="E3404" s="112"/>
      <c r="F3404" s="99" t="str">
        <f aca="false">IF($E3404="","",IFERROR(INDEX(科目表!$A$4:$A$81,MATCH($E3404,科目表!$B$4:$B$81,0)),""))</f>
        <v/>
      </c>
      <c r="G3404" s="67" t="str">
        <f aca="false">IF($E3404="","",IFERROR(INDEX(科目表!$E$4:$E$81,MATCH($E3404,科目表!$B$4:$B$81,0)),""))</f>
        <v/>
      </c>
      <c r="H3404" s="114"/>
      <c r="I3404" s="114"/>
      <c r="J3404" s="112"/>
      <c r="K3404" s="112"/>
      <c r="L3404" s="113"/>
      <c r="M3404" s="115"/>
      <c r="N3404" s="113"/>
      <c r="O3404" s="67" t="str">
        <f aca="false">IF($E3404="","","手工")</f>
        <v/>
      </c>
      <c r="P3404" s="113"/>
    </row>
    <row r="3405" customFormat="false" ht="18" hidden="false" customHeight="true" outlineLevel="0" collapsed="false">
      <c r="A3405" s="107" t="str">
        <f aca="false">IF($E3405="","",ROW()-3)</f>
        <v/>
      </c>
      <c r="B3405" s="111"/>
      <c r="C3405" s="112"/>
      <c r="D3405" s="113"/>
      <c r="E3405" s="112"/>
      <c r="F3405" s="99" t="str">
        <f aca="false">IF($E3405="","",IFERROR(INDEX(科目表!$A$4:$A$81,MATCH($E3405,科目表!$B$4:$B$81,0)),""))</f>
        <v/>
      </c>
      <c r="G3405" s="67" t="str">
        <f aca="false">IF($E3405="","",IFERROR(INDEX(科目表!$E$4:$E$81,MATCH($E3405,科目表!$B$4:$B$81,0)),""))</f>
        <v/>
      </c>
      <c r="H3405" s="114"/>
      <c r="I3405" s="114"/>
      <c r="J3405" s="112"/>
      <c r="K3405" s="112"/>
      <c r="L3405" s="113"/>
      <c r="M3405" s="115"/>
      <c r="N3405" s="113"/>
      <c r="O3405" s="67" t="str">
        <f aca="false">IF($E3405="","","手工")</f>
        <v/>
      </c>
      <c r="P3405" s="113"/>
    </row>
    <row r="3406" customFormat="false" ht="18" hidden="false" customHeight="true" outlineLevel="0" collapsed="false">
      <c r="A3406" s="107" t="str">
        <f aca="false">IF($E3406="","",ROW()-3)</f>
        <v/>
      </c>
      <c r="B3406" s="111"/>
      <c r="C3406" s="112"/>
      <c r="D3406" s="113"/>
      <c r="E3406" s="112"/>
      <c r="F3406" s="99" t="str">
        <f aca="false">IF($E3406="","",IFERROR(INDEX(科目表!$A$4:$A$81,MATCH($E3406,科目表!$B$4:$B$81,0)),""))</f>
        <v/>
      </c>
      <c r="G3406" s="67" t="str">
        <f aca="false">IF($E3406="","",IFERROR(INDEX(科目表!$E$4:$E$81,MATCH($E3406,科目表!$B$4:$B$81,0)),""))</f>
        <v/>
      </c>
      <c r="H3406" s="114"/>
      <c r="I3406" s="114"/>
      <c r="J3406" s="112"/>
      <c r="K3406" s="112"/>
      <c r="L3406" s="113"/>
      <c r="M3406" s="115"/>
      <c r="N3406" s="113"/>
      <c r="O3406" s="67" t="str">
        <f aca="false">IF($E3406="","","手工")</f>
        <v/>
      </c>
      <c r="P3406" s="113"/>
    </row>
    <row r="3407" customFormat="false" ht="18" hidden="false" customHeight="true" outlineLevel="0" collapsed="false">
      <c r="A3407" s="107" t="str">
        <f aca="false">IF($E3407="","",ROW()-3)</f>
        <v/>
      </c>
      <c r="B3407" s="111"/>
      <c r="C3407" s="112"/>
      <c r="D3407" s="113"/>
      <c r="E3407" s="112"/>
      <c r="F3407" s="99" t="str">
        <f aca="false">IF($E3407="","",IFERROR(INDEX(科目表!$A$4:$A$81,MATCH($E3407,科目表!$B$4:$B$81,0)),""))</f>
        <v/>
      </c>
      <c r="G3407" s="67" t="str">
        <f aca="false">IF($E3407="","",IFERROR(INDEX(科目表!$E$4:$E$81,MATCH($E3407,科目表!$B$4:$B$81,0)),""))</f>
        <v/>
      </c>
      <c r="H3407" s="114"/>
      <c r="I3407" s="114"/>
      <c r="J3407" s="112"/>
      <c r="K3407" s="112"/>
      <c r="L3407" s="113"/>
      <c r="M3407" s="115"/>
      <c r="N3407" s="113"/>
      <c r="O3407" s="67" t="str">
        <f aca="false">IF($E3407="","","手工")</f>
        <v/>
      </c>
      <c r="P3407" s="113"/>
    </row>
    <row r="3408" customFormat="false" ht="18" hidden="false" customHeight="true" outlineLevel="0" collapsed="false">
      <c r="A3408" s="107" t="str">
        <f aca="false">IF($E3408="","",ROW()-3)</f>
        <v/>
      </c>
      <c r="B3408" s="111"/>
      <c r="C3408" s="112"/>
      <c r="D3408" s="113"/>
      <c r="E3408" s="112"/>
      <c r="F3408" s="99" t="str">
        <f aca="false">IF($E3408="","",IFERROR(INDEX(科目表!$A$4:$A$81,MATCH($E3408,科目表!$B$4:$B$81,0)),""))</f>
        <v/>
      </c>
      <c r="G3408" s="67" t="str">
        <f aca="false">IF($E3408="","",IFERROR(INDEX(科目表!$E$4:$E$81,MATCH($E3408,科目表!$B$4:$B$81,0)),""))</f>
        <v/>
      </c>
      <c r="H3408" s="114"/>
      <c r="I3408" s="114"/>
      <c r="J3408" s="112"/>
      <c r="K3408" s="112"/>
      <c r="L3408" s="113"/>
      <c r="M3408" s="115"/>
      <c r="N3408" s="113"/>
      <c r="O3408" s="67" t="str">
        <f aca="false">IF($E3408="","","手工")</f>
        <v/>
      </c>
      <c r="P3408" s="113"/>
    </row>
    <row r="3409" customFormat="false" ht="18" hidden="false" customHeight="true" outlineLevel="0" collapsed="false">
      <c r="A3409" s="107" t="str">
        <f aca="false">IF($E3409="","",ROW()-3)</f>
        <v/>
      </c>
      <c r="B3409" s="111"/>
      <c r="C3409" s="112"/>
      <c r="D3409" s="113"/>
      <c r="E3409" s="112"/>
      <c r="F3409" s="99" t="str">
        <f aca="false">IF($E3409="","",IFERROR(INDEX(科目表!$A$4:$A$81,MATCH($E3409,科目表!$B$4:$B$81,0)),""))</f>
        <v/>
      </c>
      <c r="G3409" s="67" t="str">
        <f aca="false">IF($E3409="","",IFERROR(INDEX(科目表!$E$4:$E$81,MATCH($E3409,科目表!$B$4:$B$81,0)),""))</f>
        <v/>
      </c>
      <c r="H3409" s="114"/>
      <c r="I3409" s="114"/>
      <c r="J3409" s="112"/>
      <c r="K3409" s="112"/>
      <c r="L3409" s="113"/>
      <c r="M3409" s="115"/>
      <c r="N3409" s="113"/>
      <c r="O3409" s="67" t="str">
        <f aca="false">IF($E3409="","","手工")</f>
        <v/>
      </c>
      <c r="P3409" s="113"/>
    </row>
    <row r="3410" customFormat="false" ht="18" hidden="false" customHeight="true" outlineLevel="0" collapsed="false">
      <c r="A3410" s="107" t="str">
        <f aca="false">IF($E3410="","",ROW()-3)</f>
        <v/>
      </c>
      <c r="B3410" s="111"/>
      <c r="C3410" s="112"/>
      <c r="D3410" s="113"/>
      <c r="E3410" s="112"/>
      <c r="F3410" s="99" t="str">
        <f aca="false">IF($E3410="","",IFERROR(INDEX(科目表!$A$4:$A$81,MATCH($E3410,科目表!$B$4:$B$81,0)),""))</f>
        <v/>
      </c>
      <c r="G3410" s="67" t="str">
        <f aca="false">IF($E3410="","",IFERROR(INDEX(科目表!$E$4:$E$81,MATCH($E3410,科目表!$B$4:$B$81,0)),""))</f>
        <v/>
      </c>
      <c r="H3410" s="114"/>
      <c r="I3410" s="114"/>
      <c r="J3410" s="112"/>
      <c r="K3410" s="112"/>
      <c r="L3410" s="113"/>
      <c r="M3410" s="115"/>
      <c r="N3410" s="113"/>
      <c r="O3410" s="67" t="str">
        <f aca="false">IF($E3410="","","手工")</f>
        <v/>
      </c>
      <c r="P3410" s="113"/>
    </row>
    <row r="3411" customFormat="false" ht="18" hidden="false" customHeight="true" outlineLevel="0" collapsed="false">
      <c r="A3411" s="107" t="str">
        <f aca="false">IF($E3411="","",ROW()-3)</f>
        <v/>
      </c>
      <c r="B3411" s="111"/>
      <c r="C3411" s="112"/>
      <c r="D3411" s="113"/>
      <c r="E3411" s="112"/>
      <c r="F3411" s="99" t="str">
        <f aca="false">IF($E3411="","",IFERROR(INDEX(科目表!$A$4:$A$81,MATCH($E3411,科目表!$B$4:$B$81,0)),""))</f>
        <v/>
      </c>
      <c r="G3411" s="67" t="str">
        <f aca="false">IF($E3411="","",IFERROR(INDEX(科目表!$E$4:$E$81,MATCH($E3411,科目表!$B$4:$B$81,0)),""))</f>
        <v/>
      </c>
      <c r="H3411" s="114"/>
      <c r="I3411" s="114"/>
      <c r="J3411" s="112"/>
      <c r="K3411" s="112"/>
      <c r="L3411" s="113"/>
      <c r="M3411" s="115"/>
      <c r="N3411" s="113"/>
      <c r="O3411" s="67" t="str">
        <f aca="false">IF($E3411="","","手工")</f>
        <v/>
      </c>
      <c r="P3411" s="113"/>
    </row>
    <row r="3412" customFormat="false" ht="18" hidden="false" customHeight="true" outlineLevel="0" collapsed="false">
      <c r="A3412" s="107" t="str">
        <f aca="false">IF($E3412="","",ROW()-3)</f>
        <v/>
      </c>
      <c r="B3412" s="111"/>
      <c r="C3412" s="112"/>
      <c r="D3412" s="113"/>
      <c r="E3412" s="112"/>
      <c r="F3412" s="99" t="str">
        <f aca="false">IF($E3412="","",IFERROR(INDEX(科目表!$A$4:$A$81,MATCH($E3412,科目表!$B$4:$B$81,0)),""))</f>
        <v/>
      </c>
      <c r="G3412" s="67" t="str">
        <f aca="false">IF($E3412="","",IFERROR(INDEX(科目表!$E$4:$E$81,MATCH($E3412,科目表!$B$4:$B$81,0)),""))</f>
        <v/>
      </c>
      <c r="H3412" s="114"/>
      <c r="I3412" s="114"/>
      <c r="J3412" s="112"/>
      <c r="K3412" s="112"/>
      <c r="L3412" s="113"/>
      <c r="M3412" s="115"/>
      <c r="N3412" s="113"/>
      <c r="O3412" s="67" t="str">
        <f aca="false">IF($E3412="","","手工")</f>
        <v/>
      </c>
      <c r="P3412" s="113"/>
    </row>
    <row r="3413" customFormat="false" ht="18" hidden="false" customHeight="true" outlineLevel="0" collapsed="false">
      <c r="A3413" s="107" t="str">
        <f aca="false">IF($E3413="","",ROW()-3)</f>
        <v/>
      </c>
      <c r="B3413" s="111"/>
      <c r="C3413" s="112"/>
      <c r="D3413" s="113"/>
      <c r="E3413" s="112"/>
      <c r="F3413" s="99" t="str">
        <f aca="false">IF($E3413="","",IFERROR(INDEX(科目表!$A$4:$A$81,MATCH($E3413,科目表!$B$4:$B$81,0)),""))</f>
        <v/>
      </c>
      <c r="G3413" s="67" t="str">
        <f aca="false">IF($E3413="","",IFERROR(INDEX(科目表!$E$4:$E$81,MATCH($E3413,科目表!$B$4:$B$81,0)),""))</f>
        <v/>
      </c>
      <c r="H3413" s="114"/>
      <c r="I3413" s="114"/>
      <c r="J3413" s="112"/>
      <c r="K3413" s="112"/>
      <c r="L3413" s="113"/>
      <c r="M3413" s="115"/>
      <c r="N3413" s="113"/>
      <c r="O3413" s="67" t="str">
        <f aca="false">IF($E3413="","","手工")</f>
        <v/>
      </c>
      <c r="P3413" s="113"/>
    </row>
    <row r="3414" customFormat="false" ht="18" hidden="false" customHeight="true" outlineLevel="0" collapsed="false">
      <c r="A3414" s="107" t="str">
        <f aca="false">IF($E3414="","",ROW()-3)</f>
        <v/>
      </c>
      <c r="B3414" s="111"/>
      <c r="C3414" s="112"/>
      <c r="D3414" s="113"/>
      <c r="E3414" s="112"/>
      <c r="F3414" s="99" t="str">
        <f aca="false">IF($E3414="","",IFERROR(INDEX(科目表!$A$4:$A$81,MATCH($E3414,科目表!$B$4:$B$81,0)),""))</f>
        <v/>
      </c>
      <c r="G3414" s="67" t="str">
        <f aca="false">IF($E3414="","",IFERROR(INDEX(科目表!$E$4:$E$81,MATCH($E3414,科目表!$B$4:$B$81,0)),""))</f>
        <v/>
      </c>
      <c r="H3414" s="114"/>
      <c r="I3414" s="114"/>
      <c r="J3414" s="112"/>
      <c r="K3414" s="112"/>
      <c r="L3414" s="113"/>
      <c r="M3414" s="115"/>
      <c r="N3414" s="113"/>
      <c r="O3414" s="67" t="str">
        <f aca="false">IF($E3414="","","手工")</f>
        <v/>
      </c>
      <c r="P3414" s="113"/>
    </row>
    <row r="3415" customFormat="false" ht="18" hidden="false" customHeight="true" outlineLevel="0" collapsed="false">
      <c r="A3415" s="107" t="str">
        <f aca="false">IF($E3415="","",ROW()-3)</f>
        <v/>
      </c>
      <c r="B3415" s="111"/>
      <c r="C3415" s="112"/>
      <c r="D3415" s="113"/>
      <c r="E3415" s="112"/>
      <c r="F3415" s="99" t="str">
        <f aca="false">IF($E3415="","",IFERROR(INDEX(科目表!$A$4:$A$81,MATCH($E3415,科目表!$B$4:$B$81,0)),""))</f>
        <v/>
      </c>
      <c r="G3415" s="67" t="str">
        <f aca="false">IF($E3415="","",IFERROR(INDEX(科目表!$E$4:$E$81,MATCH($E3415,科目表!$B$4:$B$81,0)),""))</f>
        <v/>
      </c>
      <c r="H3415" s="114"/>
      <c r="I3415" s="114"/>
      <c r="J3415" s="112"/>
      <c r="K3415" s="112"/>
      <c r="L3415" s="113"/>
      <c r="M3415" s="115"/>
      <c r="N3415" s="113"/>
      <c r="O3415" s="67" t="str">
        <f aca="false">IF($E3415="","","手工")</f>
        <v/>
      </c>
      <c r="P3415" s="113"/>
    </row>
    <row r="3416" customFormat="false" ht="18" hidden="false" customHeight="true" outlineLevel="0" collapsed="false">
      <c r="A3416" s="107" t="str">
        <f aca="false">IF($E3416="","",ROW()-3)</f>
        <v/>
      </c>
      <c r="B3416" s="111"/>
      <c r="C3416" s="112"/>
      <c r="D3416" s="113"/>
      <c r="E3416" s="112"/>
      <c r="F3416" s="99" t="str">
        <f aca="false">IF($E3416="","",IFERROR(INDEX(科目表!$A$4:$A$81,MATCH($E3416,科目表!$B$4:$B$81,0)),""))</f>
        <v/>
      </c>
      <c r="G3416" s="67" t="str">
        <f aca="false">IF($E3416="","",IFERROR(INDEX(科目表!$E$4:$E$81,MATCH($E3416,科目表!$B$4:$B$81,0)),""))</f>
        <v/>
      </c>
      <c r="H3416" s="114"/>
      <c r="I3416" s="114"/>
      <c r="J3416" s="112"/>
      <c r="K3416" s="112"/>
      <c r="L3416" s="113"/>
      <c r="M3416" s="115"/>
      <c r="N3416" s="113"/>
      <c r="O3416" s="67" t="str">
        <f aca="false">IF($E3416="","","手工")</f>
        <v/>
      </c>
      <c r="P3416" s="113"/>
    </row>
    <row r="3417" customFormat="false" ht="18" hidden="false" customHeight="true" outlineLevel="0" collapsed="false">
      <c r="A3417" s="107" t="str">
        <f aca="false">IF($E3417="","",ROW()-3)</f>
        <v/>
      </c>
      <c r="B3417" s="111"/>
      <c r="C3417" s="112"/>
      <c r="D3417" s="113"/>
      <c r="E3417" s="112"/>
      <c r="F3417" s="99" t="str">
        <f aca="false">IF($E3417="","",IFERROR(INDEX(科目表!$A$4:$A$81,MATCH($E3417,科目表!$B$4:$B$81,0)),""))</f>
        <v/>
      </c>
      <c r="G3417" s="67" t="str">
        <f aca="false">IF($E3417="","",IFERROR(INDEX(科目表!$E$4:$E$81,MATCH($E3417,科目表!$B$4:$B$81,0)),""))</f>
        <v/>
      </c>
      <c r="H3417" s="114"/>
      <c r="I3417" s="114"/>
      <c r="J3417" s="112"/>
      <c r="K3417" s="112"/>
      <c r="L3417" s="113"/>
      <c r="M3417" s="115"/>
      <c r="N3417" s="113"/>
      <c r="O3417" s="67" t="str">
        <f aca="false">IF($E3417="","","手工")</f>
        <v/>
      </c>
      <c r="P3417" s="113"/>
    </row>
    <row r="3418" customFormat="false" ht="18" hidden="false" customHeight="true" outlineLevel="0" collapsed="false">
      <c r="A3418" s="107" t="str">
        <f aca="false">IF($E3418="","",ROW()-3)</f>
        <v/>
      </c>
      <c r="B3418" s="111"/>
      <c r="C3418" s="112"/>
      <c r="D3418" s="113"/>
      <c r="E3418" s="112"/>
      <c r="F3418" s="99" t="str">
        <f aca="false">IF($E3418="","",IFERROR(INDEX(科目表!$A$4:$A$81,MATCH($E3418,科目表!$B$4:$B$81,0)),""))</f>
        <v/>
      </c>
      <c r="G3418" s="67" t="str">
        <f aca="false">IF($E3418="","",IFERROR(INDEX(科目表!$E$4:$E$81,MATCH($E3418,科目表!$B$4:$B$81,0)),""))</f>
        <v/>
      </c>
      <c r="H3418" s="114"/>
      <c r="I3418" s="114"/>
      <c r="J3418" s="112"/>
      <c r="K3418" s="112"/>
      <c r="L3418" s="113"/>
      <c r="M3418" s="115"/>
      <c r="N3418" s="113"/>
      <c r="O3418" s="67" t="str">
        <f aca="false">IF($E3418="","","手工")</f>
        <v/>
      </c>
      <c r="P3418" s="113"/>
    </row>
    <row r="3419" customFormat="false" ht="18" hidden="false" customHeight="true" outlineLevel="0" collapsed="false">
      <c r="A3419" s="107" t="str">
        <f aca="false">IF($E3419="","",ROW()-3)</f>
        <v/>
      </c>
      <c r="B3419" s="111"/>
      <c r="C3419" s="112"/>
      <c r="D3419" s="113"/>
      <c r="E3419" s="112"/>
      <c r="F3419" s="99" t="str">
        <f aca="false">IF($E3419="","",IFERROR(INDEX(科目表!$A$4:$A$81,MATCH($E3419,科目表!$B$4:$B$81,0)),""))</f>
        <v/>
      </c>
      <c r="G3419" s="67" t="str">
        <f aca="false">IF($E3419="","",IFERROR(INDEX(科目表!$E$4:$E$81,MATCH($E3419,科目表!$B$4:$B$81,0)),""))</f>
        <v/>
      </c>
      <c r="H3419" s="114"/>
      <c r="I3419" s="114"/>
      <c r="J3419" s="112"/>
      <c r="K3419" s="112"/>
      <c r="L3419" s="113"/>
      <c r="M3419" s="115"/>
      <c r="N3419" s="113"/>
      <c r="O3419" s="67" t="str">
        <f aca="false">IF($E3419="","","手工")</f>
        <v/>
      </c>
      <c r="P3419" s="113"/>
    </row>
    <row r="3420" customFormat="false" ht="18" hidden="false" customHeight="true" outlineLevel="0" collapsed="false">
      <c r="A3420" s="107" t="str">
        <f aca="false">IF($E3420="","",ROW()-3)</f>
        <v/>
      </c>
      <c r="B3420" s="111"/>
      <c r="C3420" s="112"/>
      <c r="D3420" s="113"/>
      <c r="E3420" s="112"/>
      <c r="F3420" s="99" t="str">
        <f aca="false">IF($E3420="","",IFERROR(INDEX(科目表!$A$4:$A$81,MATCH($E3420,科目表!$B$4:$B$81,0)),""))</f>
        <v/>
      </c>
      <c r="G3420" s="67" t="str">
        <f aca="false">IF($E3420="","",IFERROR(INDEX(科目表!$E$4:$E$81,MATCH($E3420,科目表!$B$4:$B$81,0)),""))</f>
        <v/>
      </c>
      <c r="H3420" s="114"/>
      <c r="I3420" s="114"/>
      <c r="J3420" s="112"/>
      <c r="K3420" s="112"/>
      <c r="L3420" s="113"/>
      <c r="M3420" s="115"/>
      <c r="N3420" s="113"/>
      <c r="O3420" s="67" t="str">
        <f aca="false">IF($E3420="","","手工")</f>
        <v/>
      </c>
      <c r="P3420" s="113"/>
    </row>
    <row r="3421" customFormat="false" ht="18" hidden="false" customHeight="true" outlineLevel="0" collapsed="false">
      <c r="A3421" s="107" t="str">
        <f aca="false">IF($E3421="","",ROW()-3)</f>
        <v/>
      </c>
      <c r="B3421" s="111"/>
      <c r="C3421" s="112"/>
      <c r="D3421" s="113"/>
      <c r="E3421" s="112"/>
      <c r="F3421" s="99" t="str">
        <f aca="false">IF($E3421="","",IFERROR(INDEX(科目表!$A$4:$A$81,MATCH($E3421,科目表!$B$4:$B$81,0)),""))</f>
        <v/>
      </c>
      <c r="G3421" s="67" t="str">
        <f aca="false">IF($E3421="","",IFERROR(INDEX(科目表!$E$4:$E$81,MATCH($E3421,科目表!$B$4:$B$81,0)),""))</f>
        <v/>
      </c>
      <c r="H3421" s="114"/>
      <c r="I3421" s="114"/>
      <c r="J3421" s="112"/>
      <c r="K3421" s="112"/>
      <c r="L3421" s="113"/>
      <c r="M3421" s="115"/>
      <c r="N3421" s="113"/>
      <c r="O3421" s="67" t="str">
        <f aca="false">IF($E3421="","","手工")</f>
        <v/>
      </c>
      <c r="P3421" s="113"/>
    </row>
    <row r="3422" customFormat="false" ht="18" hidden="false" customHeight="true" outlineLevel="0" collapsed="false">
      <c r="A3422" s="107" t="str">
        <f aca="false">IF($E3422="","",ROW()-3)</f>
        <v/>
      </c>
      <c r="B3422" s="111"/>
      <c r="C3422" s="112"/>
      <c r="D3422" s="113"/>
      <c r="E3422" s="112"/>
      <c r="F3422" s="99" t="str">
        <f aca="false">IF($E3422="","",IFERROR(INDEX(科目表!$A$4:$A$81,MATCH($E3422,科目表!$B$4:$B$81,0)),""))</f>
        <v/>
      </c>
      <c r="G3422" s="67" t="str">
        <f aca="false">IF($E3422="","",IFERROR(INDEX(科目表!$E$4:$E$81,MATCH($E3422,科目表!$B$4:$B$81,0)),""))</f>
        <v/>
      </c>
      <c r="H3422" s="114"/>
      <c r="I3422" s="114"/>
      <c r="J3422" s="112"/>
      <c r="K3422" s="112"/>
      <c r="L3422" s="113"/>
      <c r="M3422" s="115"/>
      <c r="N3422" s="113"/>
      <c r="O3422" s="67" t="str">
        <f aca="false">IF($E3422="","","手工")</f>
        <v/>
      </c>
      <c r="P3422" s="113"/>
    </row>
    <row r="3423" customFormat="false" ht="18" hidden="false" customHeight="true" outlineLevel="0" collapsed="false">
      <c r="A3423" s="107" t="str">
        <f aca="false">IF($E3423="","",ROW()-3)</f>
        <v/>
      </c>
      <c r="B3423" s="111"/>
      <c r="C3423" s="112"/>
      <c r="D3423" s="113"/>
      <c r="E3423" s="112"/>
      <c r="F3423" s="99" t="str">
        <f aca="false">IF($E3423="","",IFERROR(INDEX(科目表!$A$4:$A$81,MATCH($E3423,科目表!$B$4:$B$81,0)),""))</f>
        <v/>
      </c>
      <c r="G3423" s="67" t="str">
        <f aca="false">IF($E3423="","",IFERROR(INDEX(科目表!$E$4:$E$81,MATCH($E3423,科目表!$B$4:$B$81,0)),""))</f>
        <v/>
      </c>
      <c r="H3423" s="114"/>
      <c r="I3423" s="114"/>
      <c r="J3423" s="112"/>
      <c r="K3423" s="112"/>
      <c r="L3423" s="113"/>
      <c r="M3423" s="115"/>
      <c r="N3423" s="113"/>
      <c r="O3423" s="67" t="str">
        <f aca="false">IF($E3423="","","手工")</f>
        <v/>
      </c>
      <c r="P3423" s="113"/>
    </row>
    <row r="3424" customFormat="false" ht="18" hidden="false" customHeight="true" outlineLevel="0" collapsed="false">
      <c r="A3424" s="107" t="str">
        <f aca="false">IF($E3424="","",ROW()-3)</f>
        <v/>
      </c>
      <c r="B3424" s="111"/>
      <c r="C3424" s="112"/>
      <c r="D3424" s="113"/>
      <c r="E3424" s="112"/>
      <c r="F3424" s="99" t="str">
        <f aca="false">IF($E3424="","",IFERROR(INDEX(科目表!$A$4:$A$81,MATCH($E3424,科目表!$B$4:$B$81,0)),""))</f>
        <v/>
      </c>
      <c r="G3424" s="67" t="str">
        <f aca="false">IF($E3424="","",IFERROR(INDEX(科目表!$E$4:$E$81,MATCH($E3424,科目表!$B$4:$B$81,0)),""))</f>
        <v/>
      </c>
      <c r="H3424" s="114"/>
      <c r="I3424" s="114"/>
      <c r="J3424" s="112"/>
      <c r="K3424" s="112"/>
      <c r="L3424" s="113"/>
      <c r="M3424" s="115"/>
      <c r="N3424" s="113"/>
      <c r="O3424" s="67" t="str">
        <f aca="false">IF($E3424="","","手工")</f>
        <v/>
      </c>
      <c r="P3424" s="113"/>
    </row>
    <row r="3425" customFormat="false" ht="18" hidden="false" customHeight="true" outlineLevel="0" collapsed="false">
      <c r="A3425" s="107" t="str">
        <f aca="false">IF($E3425="","",ROW()-3)</f>
        <v/>
      </c>
      <c r="B3425" s="111"/>
      <c r="C3425" s="112"/>
      <c r="D3425" s="113"/>
      <c r="E3425" s="112"/>
      <c r="F3425" s="99" t="str">
        <f aca="false">IF($E3425="","",IFERROR(INDEX(科目表!$A$4:$A$81,MATCH($E3425,科目表!$B$4:$B$81,0)),""))</f>
        <v/>
      </c>
      <c r="G3425" s="67" t="str">
        <f aca="false">IF($E3425="","",IFERROR(INDEX(科目表!$E$4:$E$81,MATCH($E3425,科目表!$B$4:$B$81,0)),""))</f>
        <v/>
      </c>
      <c r="H3425" s="114"/>
      <c r="I3425" s="114"/>
      <c r="J3425" s="112"/>
      <c r="K3425" s="112"/>
      <c r="L3425" s="113"/>
      <c r="M3425" s="115"/>
      <c r="N3425" s="113"/>
      <c r="O3425" s="67" t="str">
        <f aca="false">IF($E3425="","","手工")</f>
        <v/>
      </c>
      <c r="P3425" s="113"/>
    </row>
    <row r="3426" customFormat="false" ht="18" hidden="false" customHeight="true" outlineLevel="0" collapsed="false">
      <c r="A3426" s="107" t="str">
        <f aca="false">IF($E3426="","",ROW()-3)</f>
        <v/>
      </c>
      <c r="B3426" s="111"/>
      <c r="C3426" s="112"/>
      <c r="D3426" s="113"/>
      <c r="E3426" s="112"/>
      <c r="F3426" s="99" t="str">
        <f aca="false">IF($E3426="","",IFERROR(INDEX(科目表!$A$4:$A$81,MATCH($E3426,科目表!$B$4:$B$81,0)),""))</f>
        <v/>
      </c>
      <c r="G3426" s="67" t="str">
        <f aca="false">IF($E3426="","",IFERROR(INDEX(科目表!$E$4:$E$81,MATCH($E3426,科目表!$B$4:$B$81,0)),""))</f>
        <v/>
      </c>
      <c r="H3426" s="114"/>
      <c r="I3426" s="114"/>
      <c r="J3426" s="112"/>
      <c r="K3426" s="112"/>
      <c r="L3426" s="113"/>
      <c r="M3426" s="115"/>
      <c r="N3426" s="113"/>
      <c r="O3426" s="67" t="str">
        <f aca="false">IF($E3426="","","手工")</f>
        <v/>
      </c>
      <c r="P3426" s="113"/>
    </row>
    <row r="3427" customFormat="false" ht="18" hidden="false" customHeight="true" outlineLevel="0" collapsed="false">
      <c r="A3427" s="107" t="str">
        <f aca="false">IF($E3427="","",ROW()-3)</f>
        <v/>
      </c>
      <c r="B3427" s="111"/>
      <c r="C3427" s="112"/>
      <c r="D3427" s="113"/>
      <c r="E3427" s="112"/>
      <c r="F3427" s="99" t="str">
        <f aca="false">IF($E3427="","",IFERROR(INDEX(科目表!$A$4:$A$81,MATCH($E3427,科目表!$B$4:$B$81,0)),""))</f>
        <v/>
      </c>
      <c r="G3427" s="67" t="str">
        <f aca="false">IF($E3427="","",IFERROR(INDEX(科目表!$E$4:$E$81,MATCH($E3427,科目表!$B$4:$B$81,0)),""))</f>
        <v/>
      </c>
      <c r="H3427" s="114"/>
      <c r="I3427" s="114"/>
      <c r="J3427" s="112"/>
      <c r="K3427" s="112"/>
      <c r="L3427" s="113"/>
      <c r="M3427" s="115"/>
      <c r="N3427" s="113"/>
      <c r="O3427" s="67" t="str">
        <f aca="false">IF($E3427="","","手工")</f>
        <v/>
      </c>
      <c r="P3427" s="113"/>
    </row>
    <row r="3428" customFormat="false" ht="18" hidden="false" customHeight="true" outlineLevel="0" collapsed="false">
      <c r="A3428" s="107" t="str">
        <f aca="false">IF($E3428="","",ROW()-3)</f>
        <v/>
      </c>
      <c r="B3428" s="111"/>
      <c r="C3428" s="112"/>
      <c r="D3428" s="113"/>
      <c r="E3428" s="112"/>
      <c r="F3428" s="99" t="str">
        <f aca="false">IF($E3428="","",IFERROR(INDEX(科目表!$A$4:$A$81,MATCH($E3428,科目表!$B$4:$B$81,0)),""))</f>
        <v/>
      </c>
      <c r="G3428" s="67" t="str">
        <f aca="false">IF($E3428="","",IFERROR(INDEX(科目表!$E$4:$E$81,MATCH($E3428,科目表!$B$4:$B$81,0)),""))</f>
        <v/>
      </c>
      <c r="H3428" s="114"/>
      <c r="I3428" s="114"/>
      <c r="J3428" s="112"/>
      <c r="K3428" s="112"/>
      <c r="L3428" s="113"/>
      <c r="M3428" s="115"/>
      <c r="N3428" s="113"/>
      <c r="O3428" s="67" t="str">
        <f aca="false">IF($E3428="","","手工")</f>
        <v/>
      </c>
      <c r="P3428" s="113"/>
    </row>
    <row r="3429" customFormat="false" ht="18" hidden="false" customHeight="true" outlineLevel="0" collapsed="false">
      <c r="A3429" s="107" t="str">
        <f aca="false">IF($E3429="","",ROW()-3)</f>
        <v/>
      </c>
      <c r="B3429" s="111"/>
      <c r="C3429" s="112"/>
      <c r="D3429" s="113"/>
      <c r="E3429" s="112"/>
      <c r="F3429" s="99" t="str">
        <f aca="false">IF($E3429="","",IFERROR(INDEX(科目表!$A$4:$A$81,MATCH($E3429,科目表!$B$4:$B$81,0)),""))</f>
        <v/>
      </c>
      <c r="G3429" s="67" t="str">
        <f aca="false">IF($E3429="","",IFERROR(INDEX(科目表!$E$4:$E$81,MATCH($E3429,科目表!$B$4:$B$81,0)),""))</f>
        <v/>
      </c>
      <c r="H3429" s="114"/>
      <c r="I3429" s="114"/>
      <c r="J3429" s="112"/>
      <c r="K3429" s="112"/>
      <c r="L3429" s="113"/>
      <c r="M3429" s="115"/>
      <c r="N3429" s="113"/>
      <c r="O3429" s="67" t="str">
        <f aca="false">IF($E3429="","","手工")</f>
        <v/>
      </c>
      <c r="P3429" s="113"/>
    </row>
    <row r="3430" customFormat="false" ht="18" hidden="false" customHeight="true" outlineLevel="0" collapsed="false">
      <c r="A3430" s="107" t="str">
        <f aca="false">IF($E3430="","",ROW()-3)</f>
        <v/>
      </c>
      <c r="B3430" s="111"/>
      <c r="C3430" s="112"/>
      <c r="D3430" s="113"/>
      <c r="E3430" s="112"/>
      <c r="F3430" s="99" t="str">
        <f aca="false">IF($E3430="","",IFERROR(INDEX(科目表!$A$4:$A$81,MATCH($E3430,科目表!$B$4:$B$81,0)),""))</f>
        <v/>
      </c>
      <c r="G3430" s="67" t="str">
        <f aca="false">IF($E3430="","",IFERROR(INDEX(科目表!$E$4:$E$81,MATCH($E3430,科目表!$B$4:$B$81,0)),""))</f>
        <v/>
      </c>
      <c r="H3430" s="114"/>
      <c r="I3430" s="114"/>
      <c r="J3430" s="112"/>
      <c r="K3430" s="112"/>
      <c r="L3430" s="113"/>
      <c r="M3430" s="115"/>
      <c r="N3430" s="113"/>
      <c r="O3430" s="67" t="str">
        <f aca="false">IF($E3430="","","手工")</f>
        <v/>
      </c>
      <c r="P3430" s="113"/>
    </row>
    <row r="3431" customFormat="false" ht="18" hidden="false" customHeight="true" outlineLevel="0" collapsed="false">
      <c r="A3431" s="107" t="str">
        <f aca="false">IF($E3431="","",ROW()-3)</f>
        <v/>
      </c>
      <c r="B3431" s="111"/>
      <c r="C3431" s="112"/>
      <c r="D3431" s="113"/>
      <c r="E3431" s="112"/>
      <c r="F3431" s="99" t="str">
        <f aca="false">IF($E3431="","",IFERROR(INDEX(科目表!$A$4:$A$81,MATCH($E3431,科目表!$B$4:$B$81,0)),""))</f>
        <v/>
      </c>
      <c r="G3431" s="67" t="str">
        <f aca="false">IF($E3431="","",IFERROR(INDEX(科目表!$E$4:$E$81,MATCH($E3431,科目表!$B$4:$B$81,0)),""))</f>
        <v/>
      </c>
      <c r="H3431" s="114"/>
      <c r="I3431" s="114"/>
      <c r="J3431" s="112"/>
      <c r="K3431" s="112"/>
      <c r="L3431" s="113"/>
      <c r="M3431" s="115"/>
      <c r="N3431" s="113"/>
      <c r="O3431" s="67" t="str">
        <f aca="false">IF($E3431="","","手工")</f>
        <v/>
      </c>
      <c r="P3431" s="113"/>
    </row>
    <row r="3432" customFormat="false" ht="18" hidden="false" customHeight="true" outlineLevel="0" collapsed="false">
      <c r="A3432" s="107" t="str">
        <f aca="false">IF($E3432="","",ROW()-3)</f>
        <v/>
      </c>
      <c r="B3432" s="111"/>
      <c r="C3432" s="112"/>
      <c r="D3432" s="113"/>
      <c r="E3432" s="112"/>
      <c r="F3432" s="99" t="str">
        <f aca="false">IF($E3432="","",IFERROR(INDEX(科目表!$A$4:$A$81,MATCH($E3432,科目表!$B$4:$B$81,0)),""))</f>
        <v/>
      </c>
      <c r="G3432" s="67" t="str">
        <f aca="false">IF($E3432="","",IFERROR(INDEX(科目表!$E$4:$E$81,MATCH($E3432,科目表!$B$4:$B$81,0)),""))</f>
        <v/>
      </c>
      <c r="H3432" s="114"/>
      <c r="I3432" s="114"/>
      <c r="J3432" s="112"/>
      <c r="K3432" s="112"/>
      <c r="L3432" s="113"/>
      <c r="M3432" s="115"/>
      <c r="N3432" s="113"/>
      <c r="O3432" s="67" t="str">
        <f aca="false">IF($E3432="","","手工")</f>
        <v/>
      </c>
      <c r="P3432" s="113"/>
    </row>
    <row r="3433" customFormat="false" ht="18" hidden="false" customHeight="true" outlineLevel="0" collapsed="false">
      <c r="A3433" s="107" t="str">
        <f aca="false">IF($E3433="","",ROW()-3)</f>
        <v/>
      </c>
      <c r="B3433" s="111"/>
      <c r="C3433" s="112"/>
      <c r="D3433" s="113"/>
      <c r="E3433" s="112"/>
      <c r="F3433" s="99" t="str">
        <f aca="false">IF($E3433="","",IFERROR(INDEX(科目表!$A$4:$A$81,MATCH($E3433,科目表!$B$4:$B$81,0)),""))</f>
        <v/>
      </c>
      <c r="G3433" s="67" t="str">
        <f aca="false">IF($E3433="","",IFERROR(INDEX(科目表!$E$4:$E$81,MATCH($E3433,科目表!$B$4:$B$81,0)),""))</f>
        <v/>
      </c>
      <c r="H3433" s="114"/>
      <c r="I3433" s="114"/>
      <c r="J3433" s="112"/>
      <c r="K3433" s="112"/>
      <c r="L3433" s="113"/>
      <c r="M3433" s="115"/>
      <c r="N3433" s="113"/>
      <c r="O3433" s="67" t="str">
        <f aca="false">IF($E3433="","","手工")</f>
        <v/>
      </c>
      <c r="P3433" s="113"/>
    </row>
    <row r="3434" customFormat="false" ht="18" hidden="false" customHeight="true" outlineLevel="0" collapsed="false">
      <c r="A3434" s="107" t="str">
        <f aca="false">IF($E3434="","",ROW()-3)</f>
        <v/>
      </c>
      <c r="B3434" s="111"/>
      <c r="C3434" s="112"/>
      <c r="D3434" s="113"/>
      <c r="E3434" s="112"/>
      <c r="F3434" s="99" t="str">
        <f aca="false">IF($E3434="","",IFERROR(INDEX(科目表!$A$4:$A$81,MATCH($E3434,科目表!$B$4:$B$81,0)),""))</f>
        <v/>
      </c>
      <c r="G3434" s="67" t="str">
        <f aca="false">IF($E3434="","",IFERROR(INDEX(科目表!$E$4:$E$81,MATCH($E3434,科目表!$B$4:$B$81,0)),""))</f>
        <v/>
      </c>
      <c r="H3434" s="114"/>
      <c r="I3434" s="114"/>
      <c r="J3434" s="112"/>
      <c r="K3434" s="112"/>
      <c r="L3434" s="113"/>
      <c r="M3434" s="115"/>
      <c r="N3434" s="113"/>
      <c r="O3434" s="67" t="str">
        <f aca="false">IF($E3434="","","手工")</f>
        <v/>
      </c>
      <c r="P3434" s="113"/>
    </row>
    <row r="3435" customFormat="false" ht="18" hidden="false" customHeight="true" outlineLevel="0" collapsed="false">
      <c r="A3435" s="107" t="str">
        <f aca="false">IF($E3435="","",ROW()-3)</f>
        <v/>
      </c>
      <c r="B3435" s="111"/>
      <c r="C3435" s="112"/>
      <c r="D3435" s="113"/>
      <c r="E3435" s="112"/>
      <c r="F3435" s="99" t="str">
        <f aca="false">IF($E3435="","",IFERROR(INDEX(科目表!$A$4:$A$81,MATCH($E3435,科目表!$B$4:$B$81,0)),""))</f>
        <v/>
      </c>
      <c r="G3435" s="67" t="str">
        <f aca="false">IF($E3435="","",IFERROR(INDEX(科目表!$E$4:$E$81,MATCH($E3435,科目表!$B$4:$B$81,0)),""))</f>
        <v/>
      </c>
      <c r="H3435" s="114"/>
      <c r="I3435" s="114"/>
      <c r="J3435" s="112"/>
      <c r="K3435" s="112"/>
      <c r="L3435" s="113"/>
      <c r="M3435" s="115"/>
      <c r="N3435" s="113"/>
      <c r="O3435" s="67" t="str">
        <f aca="false">IF($E3435="","","手工")</f>
        <v/>
      </c>
      <c r="P3435" s="113"/>
    </row>
    <row r="3436" customFormat="false" ht="18" hidden="false" customHeight="true" outlineLevel="0" collapsed="false">
      <c r="A3436" s="107" t="str">
        <f aca="false">IF($E3436="","",ROW()-3)</f>
        <v/>
      </c>
      <c r="B3436" s="111"/>
      <c r="C3436" s="112"/>
      <c r="D3436" s="113"/>
      <c r="E3436" s="112"/>
      <c r="F3436" s="99" t="str">
        <f aca="false">IF($E3436="","",IFERROR(INDEX(科目表!$A$4:$A$81,MATCH($E3436,科目表!$B$4:$B$81,0)),""))</f>
        <v/>
      </c>
      <c r="G3436" s="67" t="str">
        <f aca="false">IF($E3436="","",IFERROR(INDEX(科目表!$E$4:$E$81,MATCH($E3436,科目表!$B$4:$B$81,0)),""))</f>
        <v/>
      </c>
      <c r="H3436" s="114"/>
      <c r="I3436" s="114"/>
      <c r="J3436" s="112"/>
      <c r="K3436" s="112"/>
      <c r="L3436" s="113"/>
      <c r="M3436" s="115"/>
      <c r="N3436" s="113"/>
      <c r="O3436" s="67" t="str">
        <f aca="false">IF($E3436="","","手工")</f>
        <v/>
      </c>
      <c r="P3436" s="113"/>
    </row>
    <row r="3437" customFormat="false" ht="18" hidden="false" customHeight="true" outlineLevel="0" collapsed="false">
      <c r="A3437" s="107" t="str">
        <f aca="false">IF($E3437="","",ROW()-3)</f>
        <v/>
      </c>
      <c r="B3437" s="111"/>
      <c r="C3437" s="112"/>
      <c r="D3437" s="113"/>
      <c r="E3437" s="112"/>
      <c r="F3437" s="99" t="str">
        <f aca="false">IF($E3437="","",IFERROR(INDEX(科目表!$A$4:$A$81,MATCH($E3437,科目表!$B$4:$B$81,0)),""))</f>
        <v/>
      </c>
      <c r="G3437" s="67" t="str">
        <f aca="false">IF($E3437="","",IFERROR(INDEX(科目表!$E$4:$E$81,MATCH($E3437,科目表!$B$4:$B$81,0)),""))</f>
        <v/>
      </c>
      <c r="H3437" s="114"/>
      <c r="I3437" s="114"/>
      <c r="J3437" s="112"/>
      <c r="K3437" s="112"/>
      <c r="L3437" s="113"/>
      <c r="M3437" s="115"/>
      <c r="N3437" s="113"/>
      <c r="O3437" s="67" t="str">
        <f aca="false">IF($E3437="","","手工")</f>
        <v/>
      </c>
      <c r="P3437" s="113"/>
    </row>
    <row r="3438" customFormat="false" ht="18" hidden="false" customHeight="true" outlineLevel="0" collapsed="false">
      <c r="A3438" s="107" t="str">
        <f aca="false">IF($E3438="","",ROW()-3)</f>
        <v/>
      </c>
      <c r="B3438" s="111"/>
      <c r="C3438" s="112"/>
      <c r="D3438" s="113"/>
      <c r="E3438" s="112"/>
      <c r="F3438" s="99" t="str">
        <f aca="false">IF($E3438="","",IFERROR(INDEX(科目表!$A$4:$A$81,MATCH($E3438,科目表!$B$4:$B$81,0)),""))</f>
        <v/>
      </c>
      <c r="G3438" s="67" t="str">
        <f aca="false">IF($E3438="","",IFERROR(INDEX(科目表!$E$4:$E$81,MATCH($E3438,科目表!$B$4:$B$81,0)),""))</f>
        <v/>
      </c>
      <c r="H3438" s="114"/>
      <c r="I3438" s="114"/>
      <c r="J3438" s="112"/>
      <c r="K3438" s="112"/>
      <c r="L3438" s="113"/>
      <c r="M3438" s="115"/>
      <c r="N3438" s="113"/>
      <c r="O3438" s="67" t="str">
        <f aca="false">IF($E3438="","","手工")</f>
        <v/>
      </c>
      <c r="P3438" s="113"/>
    </row>
    <row r="3439" customFormat="false" ht="18" hidden="false" customHeight="true" outlineLevel="0" collapsed="false">
      <c r="A3439" s="107" t="str">
        <f aca="false">IF($E3439="","",ROW()-3)</f>
        <v/>
      </c>
      <c r="B3439" s="111"/>
      <c r="C3439" s="112"/>
      <c r="D3439" s="113"/>
      <c r="E3439" s="112"/>
      <c r="F3439" s="99" t="str">
        <f aca="false">IF($E3439="","",IFERROR(INDEX(科目表!$A$4:$A$81,MATCH($E3439,科目表!$B$4:$B$81,0)),""))</f>
        <v/>
      </c>
      <c r="G3439" s="67" t="str">
        <f aca="false">IF($E3439="","",IFERROR(INDEX(科目表!$E$4:$E$81,MATCH($E3439,科目表!$B$4:$B$81,0)),""))</f>
        <v/>
      </c>
      <c r="H3439" s="114"/>
      <c r="I3439" s="114"/>
      <c r="J3439" s="112"/>
      <c r="K3439" s="112"/>
      <c r="L3439" s="113"/>
      <c r="M3439" s="115"/>
      <c r="N3439" s="113"/>
      <c r="O3439" s="67" t="str">
        <f aca="false">IF($E3439="","","手工")</f>
        <v/>
      </c>
      <c r="P3439" s="113"/>
    </row>
    <row r="3440" customFormat="false" ht="18" hidden="false" customHeight="true" outlineLevel="0" collapsed="false">
      <c r="A3440" s="107" t="str">
        <f aca="false">IF($E3440="","",ROW()-3)</f>
        <v/>
      </c>
      <c r="B3440" s="111"/>
      <c r="C3440" s="112"/>
      <c r="D3440" s="113"/>
      <c r="E3440" s="112"/>
      <c r="F3440" s="99" t="str">
        <f aca="false">IF($E3440="","",IFERROR(INDEX(科目表!$A$4:$A$81,MATCH($E3440,科目表!$B$4:$B$81,0)),""))</f>
        <v/>
      </c>
      <c r="G3440" s="67" t="str">
        <f aca="false">IF($E3440="","",IFERROR(INDEX(科目表!$E$4:$E$81,MATCH($E3440,科目表!$B$4:$B$81,0)),""))</f>
        <v/>
      </c>
      <c r="H3440" s="114"/>
      <c r="I3440" s="114"/>
      <c r="J3440" s="112"/>
      <c r="K3440" s="112"/>
      <c r="L3440" s="113"/>
      <c r="M3440" s="115"/>
      <c r="N3440" s="113"/>
      <c r="O3440" s="67" t="str">
        <f aca="false">IF($E3440="","","手工")</f>
        <v/>
      </c>
      <c r="P3440" s="113"/>
    </row>
    <row r="3441" customFormat="false" ht="18" hidden="false" customHeight="true" outlineLevel="0" collapsed="false">
      <c r="A3441" s="107" t="str">
        <f aca="false">IF($E3441="","",ROW()-3)</f>
        <v/>
      </c>
      <c r="B3441" s="111"/>
      <c r="C3441" s="112"/>
      <c r="D3441" s="113"/>
      <c r="E3441" s="112"/>
      <c r="F3441" s="99" t="str">
        <f aca="false">IF($E3441="","",IFERROR(INDEX(科目表!$A$4:$A$81,MATCH($E3441,科目表!$B$4:$B$81,0)),""))</f>
        <v/>
      </c>
      <c r="G3441" s="67" t="str">
        <f aca="false">IF($E3441="","",IFERROR(INDEX(科目表!$E$4:$E$81,MATCH($E3441,科目表!$B$4:$B$81,0)),""))</f>
        <v/>
      </c>
      <c r="H3441" s="114"/>
      <c r="I3441" s="114"/>
      <c r="J3441" s="112"/>
      <c r="K3441" s="112"/>
      <c r="L3441" s="113"/>
      <c r="M3441" s="115"/>
      <c r="N3441" s="113"/>
      <c r="O3441" s="67" t="str">
        <f aca="false">IF($E3441="","","手工")</f>
        <v/>
      </c>
      <c r="P3441" s="113"/>
    </row>
    <row r="3442" customFormat="false" ht="18" hidden="false" customHeight="true" outlineLevel="0" collapsed="false">
      <c r="A3442" s="107" t="str">
        <f aca="false">IF($E3442="","",ROW()-3)</f>
        <v/>
      </c>
      <c r="B3442" s="111"/>
      <c r="C3442" s="112"/>
      <c r="D3442" s="113"/>
      <c r="E3442" s="112"/>
      <c r="F3442" s="99" t="str">
        <f aca="false">IF($E3442="","",IFERROR(INDEX(科目表!$A$4:$A$81,MATCH($E3442,科目表!$B$4:$B$81,0)),""))</f>
        <v/>
      </c>
      <c r="G3442" s="67" t="str">
        <f aca="false">IF($E3442="","",IFERROR(INDEX(科目表!$E$4:$E$81,MATCH($E3442,科目表!$B$4:$B$81,0)),""))</f>
        <v/>
      </c>
      <c r="H3442" s="114"/>
      <c r="I3442" s="114"/>
      <c r="J3442" s="112"/>
      <c r="K3442" s="112"/>
      <c r="L3442" s="113"/>
      <c r="M3442" s="115"/>
      <c r="N3442" s="113"/>
      <c r="O3442" s="67" t="str">
        <f aca="false">IF($E3442="","","手工")</f>
        <v/>
      </c>
      <c r="P3442" s="113"/>
    </row>
    <row r="3443" customFormat="false" ht="18" hidden="false" customHeight="true" outlineLevel="0" collapsed="false">
      <c r="A3443" s="107" t="str">
        <f aca="false">IF($E3443="","",ROW()-3)</f>
        <v/>
      </c>
      <c r="B3443" s="111"/>
      <c r="C3443" s="112"/>
      <c r="D3443" s="113"/>
      <c r="E3443" s="112"/>
      <c r="F3443" s="99" t="str">
        <f aca="false">IF($E3443="","",IFERROR(INDEX(科目表!$A$4:$A$81,MATCH($E3443,科目表!$B$4:$B$81,0)),""))</f>
        <v/>
      </c>
      <c r="G3443" s="67" t="str">
        <f aca="false">IF($E3443="","",IFERROR(INDEX(科目表!$E$4:$E$81,MATCH($E3443,科目表!$B$4:$B$81,0)),""))</f>
        <v/>
      </c>
      <c r="H3443" s="114"/>
      <c r="I3443" s="114"/>
      <c r="J3443" s="112"/>
      <c r="K3443" s="112"/>
      <c r="L3443" s="113"/>
      <c r="M3443" s="115"/>
      <c r="N3443" s="113"/>
      <c r="O3443" s="67" t="str">
        <f aca="false">IF($E3443="","","手工")</f>
        <v/>
      </c>
      <c r="P3443" s="113"/>
    </row>
    <row r="3444" customFormat="false" ht="18" hidden="false" customHeight="true" outlineLevel="0" collapsed="false">
      <c r="A3444" s="107" t="str">
        <f aca="false">IF($E3444="","",ROW()-3)</f>
        <v/>
      </c>
      <c r="B3444" s="111"/>
      <c r="C3444" s="112"/>
      <c r="D3444" s="113"/>
      <c r="E3444" s="112"/>
      <c r="F3444" s="99" t="str">
        <f aca="false">IF($E3444="","",IFERROR(INDEX(科目表!$A$4:$A$81,MATCH($E3444,科目表!$B$4:$B$81,0)),""))</f>
        <v/>
      </c>
      <c r="G3444" s="67" t="str">
        <f aca="false">IF($E3444="","",IFERROR(INDEX(科目表!$E$4:$E$81,MATCH($E3444,科目表!$B$4:$B$81,0)),""))</f>
        <v/>
      </c>
      <c r="H3444" s="114"/>
      <c r="I3444" s="114"/>
      <c r="J3444" s="112"/>
      <c r="K3444" s="112"/>
      <c r="L3444" s="113"/>
      <c r="M3444" s="115"/>
      <c r="N3444" s="113"/>
      <c r="O3444" s="67" t="str">
        <f aca="false">IF($E3444="","","手工")</f>
        <v/>
      </c>
      <c r="P3444" s="113"/>
    </row>
    <row r="3445" customFormat="false" ht="18" hidden="false" customHeight="true" outlineLevel="0" collapsed="false">
      <c r="A3445" s="107" t="str">
        <f aca="false">IF($E3445="","",ROW()-3)</f>
        <v/>
      </c>
      <c r="B3445" s="111"/>
      <c r="C3445" s="112"/>
      <c r="D3445" s="113"/>
      <c r="E3445" s="112"/>
      <c r="F3445" s="99" t="str">
        <f aca="false">IF($E3445="","",IFERROR(INDEX(科目表!$A$4:$A$81,MATCH($E3445,科目表!$B$4:$B$81,0)),""))</f>
        <v/>
      </c>
      <c r="G3445" s="67" t="str">
        <f aca="false">IF($E3445="","",IFERROR(INDEX(科目表!$E$4:$E$81,MATCH($E3445,科目表!$B$4:$B$81,0)),""))</f>
        <v/>
      </c>
      <c r="H3445" s="114"/>
      <c r="I3445" s="114"/>
      <c r="J3445" s="112"/>
      <c r="K3445" s="112"/>
      <c r="L3445" s="113"/>
      <c r="M3445" s="115"/>
      <c r="N3445" s="113"/>
      <c r="O3445" s="67" t="str">
        <f aca="false">IF($E3445="","","手工")</f>
        <v/>
      </c>
      <c r="P3445" s="113"/>
    </row>
    <row r="3446" customFormat="false" ht="18" hidden="false" customHeight="true" outlineLevel="0" collapsed="false">
      <c r="A3446" s="107" t="str">
        <f aca="false">IF($E3446="","",ROW()-3)</f>
        <v/>
      </c>
      <c r="B3446" s="111"/>
      <c r="C3446" s="112"/>
      <c r="D3446" s="113"/>
      <c r="E3446" s="112"/>
      <c r="F3446" s="99" t="str">
        <f aca="false">IF($E3446="","",IFERROR(INDEX(科目表!$A$4:$A$81,MATCH($E3446,科目表!$B$4:$B$81,0)),""))</f>
        <v/>
      </c>
      <c r="G3446" s="67" t="str">
        <f aca="false">IF($E3446="","",IFERROR(INDEX(科目表!$E$4:$E$81,MATCH($E3446,科目表!$B$4:$B$81,0)),""))</f>
        <v/>
      </c>
      <c r="H3446" s="114"/>
      <c r="I3446" s="114"/>
      <c r="J3446" s="112"/>
      <c r="K3446" s="112"/>
      <c r="L3446" s="113"/>
      <c r="M3446" s="115"/>
      <c r="N3446" s="113"/>
      <c r="O3446" s="67" t="str">
        <f aca="false">IF($E3446="","","手工")</f>
        <v/>
      </c>
      <c r="P3446" s="113"/>
    </row>
    <row r="3447" customFormat="false" ht="18" hidden="false" customHeight="true" outlineLevel="0" collapsed="false">
      <c r="A3447" s="107" t="str">
        <f aca="false">IF($E3447="","",ROW()-3)</f>
        <v/>
      </c>
      <c r="B3447" s="111"/>
      <c r="C3447" s="112"/>
      <c r="D3447" s="113"/>
      <c r="E3447" s="112"/>
      <c r="F3447" s="99" t="str">
        <f aca="false">IF($E3447="","",IFERROR(INDEX(科目表!$A$4:$A$81,MATCH($E3447,科目表!$B$4:$B$81,0)),""))</f>
        <v/>
      </c>
      <c r="G3447" s="67" t="str">
        <f aca="false">IF($E3447="","",IFERROR(INDEX(科目表!$E$4:$E$81,MATCH($E3447,科目表!$B$4:$B$81,0)),""))</f>
        <v/>
      </c>
      <c r="H3447" s="114"/>
      <c r="I3447" s="114"/>
      <c r="J3447" s="112"/>
      <c r="K3447" s="112"/>
      <c r="L3447" s="113"/>
      <c r="M3447" s="115"/>
      <c r="N3447" s="113"/>
      <c r="O3447" s="67" t="str">
        <f aca="false">IF($E3447="","","手工")</f>
        <v/>
      </c>
      <c r="P3447" s="113"/>
    </row>
    <row r="3448" customFormat="false" ht="18" hidden="false" customHeight="true" outlineLevel="0" collapsed="false">
      <c r="A3448" s="107" t="str">
        <f aca="false">IF($E3448="","",ROW()-3)</f>
        <v/>
      </c>
      <c r="B3448" s="111"/>
      <c r="C3448" s="112"/>
      <c r="D3448" s="113"/>
      <c r="E3448" s="112"/>
      <c r="F3448" s="99" t="str">
        <f aca="false">IF($E3448="","",IFERROR(INDEX(科目表!$A$4:$A$81,MATCH($E3448,科目表!$B$4:$B$81,0)),""))</f>
        <v/>
      </c>
      <c r="G3448" s="67" t="str">
        <f aca="false">IF($E3448="","",IFERROR(INDEX(科目表!$E$4:$E$81,MATCH($E3448,科目表!$B$4:$B$81,0)),""))</f>
        <v/>
      </c>
      <c r="H3448" s="114"/>
      <c r="I3448" s="114"/>
      <c r="J3448" s="112"/>
      <c r="K3448" s="112"/>
      <c r="L3448" s="113"/>
      <c r="M3448" s="115"/>
      <c r="N3448" s="113"/>
      <c r="O3448" s="67" t="str">
        <f aca="false">IF($E3448="","","手工")</f>
        <v/>
      </c>
      <c r="P3448" s="113"/>
    </row>
    <row r="3449" customFormat="false" ht="18" hidden="false" customHeight="true" outlineLevel="0" collapsed="false">
      <c r="A3449" s="107" t="str">
        <f aca="false">IF($E3449="","",ROW()-3)</f>
        <v/>
      </c>
      <c r="B3449" s="111"/>
      <c r="C3449" s="112"/>
      <c r="D3449" s="113"/>
      <c r="E3449" s="112"/>
      <c r="F3449" s="99" t="str">
        <f aca="false">IF($E3449="","",IFERROR(INDEX(科目表!$A$4:$A$81,MATCH($E3449,科目表!$B$4:$B$81,0)),""))</f>
        <v/>
      </c>
      <c r="G3449" s="67" t="str">
        <f aca="false">IF($E3449="","",IFERROR(INDEX(科目表!$E$4:$E$81,MATCH($E3449,科目表!$B$4:$B$81,0)),""))</f>
        <v/>
      </c>
      <c r="H3449" s="114"/>
      <c r="I3449" s="114"/>
      <c r="J3449" s="112"/>
      <c r="K3449" s="112"/>
      <c r="L3449" s="113"/>
      <c r="M3449" s="115"/>
      <c r="N3449" s="113"/>
      <c r="O3449" s="67" t="str">
        <f aca="false">IF($E3449="","","手工")</f>
        <v/>
      </c>
      <c r="P3449" s="113"/>
    </row>
    <row r="3450" customFormat="false" ht="18" hidden="false" customHeight="true" outlineLevel="0" collapsed="false">
      <c r="A3450" s="107" t="str">
        <f aca="false">IF($E3450="","",ROW()-3)</f>
        <v/>
      </c>
      <c r="B3450" s="111"/>
      <c r="C3450" s="112"/>
      <c r="D3450" s="113"/>
      <c r="E3450" s="112"/>
      <c r="F3450" s="99" t="str">
        <f aca="false">IF($E3450="","",IFERROR(INDEX(科目表!$A$4:$A$81,MATCH($E3450,科目表!$B$4:$B$81,0)),""))</f>
        <v/>
      </c>
      <c r="G3450" s="67" t="str">
        <f aca="false">IF($E3450="","",IFERROR(INDEX(科目表!$E$4:$E$81,MATCH($E3450,科目表!$B$4:$B$81,0)),""))</f>
        <v/>
      </c>
      <c r="H3450" s="114"/>
      <c r="I3450" s="114"/>
      <c r="J3450" s="112"/>
      <c r="K3450" s="112"/>
      <c r="L3450" s="113"/>
      <c r="M3450" s="115"/>
      <c r="N3450" s="113"/>
      <c r="O3450" s="67" t="str">
        <f aca="false">IF($E3450="","","手工")</f>
        <v/>
      </c>
      <c r="P3450" s="113"/>
    </row>
    <row r="3451" customFormat="false" ht="18" hidden="false" customHeight="true" outlineLevel="0" collapsed="false">
      <c r="A3451" s="107" t="str">
        <f aca="false">IF($E3451="","",ROW()-3)</f>
        <v/>
      </c>
      <c r="B3451" s="111"/>
      <c r="C3451" s="112"/>
      <c r="D3451" s="113"/>
      <c r="E3451" s="112"/>
      <c r="F3451" s="99" t="str">
        <f aca="false">IF($E3451="","",IFERROR(INDEX(科目表!$A$4:$A$81,MATCH($E3451,科目表!$B$4:$B$81,0)),""))</f>
        <v/>
      </c>
      <c r="G3451" s="67" t="str">
        <f aca="false">IF($E3451="","",IFERROR(INDEX(科目表!$E$4:$E$81,MATCH($E3451,科目表!$B$4:$B$81,0)),""))</f>
        <v/>
      </c>
      <c r="H3451" s="114"/>
      <c r="I3451" s="114"/>
      <c r="J3451" s="112"/>
      <c r="K3451" s="112"/>
      <c r="L3451" s="113"/>
      <c r="M3451" s="115"/>
      <c r="N3451" s="113"/>
      <c r="O3451" s="67" t="str">
        <f aca="false">IF($E3451="","","手工")</f>
        <v/>
      </c>
      <c r="P3451" s="113"/>
    </row>
    <row r="3452" customFormat="false" ht="18" hidden="false" customHeight="true" outlineLevel="0" collapsed="false">
      <c r="A3452" s="107" t="str">
        <f aca="false">IF($E3452="","",ROW()-3)</f>
        <v/>
      </c>
      <c r="B3452" s="111"/>
      <c r="C3452" s="112"/>
      <c r="D3452" s="113"/>
      <c r="E3452" s="112"/>
      <c r="F3452" s="99" t="str">
        <f aca="false">IF($E3452="","",IFERROR(INDEX(科目表!$A$4:$A$81,MATCH($E3452,科目表!$B$4:$B$81,0)),""))</f>
        <v/>
      </c>
      <c r="G3452" s="67" t="str">
        <f aca="false">IF($E3452="","",IFERROR(INDEX(科目表!$E$4:$E$81,MATCH($E3452,科目表!$B$4:$B$81,0)),""))</f>
        <v/>
      </c>
      <c r="H3452" s="114"/>
      <c r="I3452" s="114"/>
      <c r="J3452" s="112"/>
      <c r="K3452" s="112"/>
      <c r="L3452" s="113"/>
      <c r="M3452" s="115"/>
      <c r="N3452" s="113"/>
      <c r="O3452" s="67" t="str">
        <f aca="false">IF($E3452="","","手工")</f>
        <v/>
      </c>
      <c r="P3452" s="113"/>
    </row>
    <row r="3453" customFormat="false" ht="18" hidden="false" customHeight="true" outlineLevel="0" collapsed="false">
      <c r="A3453" s="107" t="str">
        <f aca="false">IF($E3453="","",ROW()-3)</f>
        <v/>
      </c>
      <c r="B3453" s="111"/>
      <c r="C3453" s="112"/>
      <c r="D3453" s="113"/>
      <c r="E3453" s="112"/>
      <c r="F3453" s="99" t="str">
        <f aca="false">IF($E3453="","",IFERROR(INDEX(科目表!$A$4:$A$81,MATCH($E3453,科目表!$B$4:$B$81,0)),""))</f>
        <v/>
      </c>
      <c r="G3453" s="67" t="str">
        <f aca="false">IF($E3453="","",IFERROR(INDEX(科目表!$E$4:$E$81,MATCH($E3453,科目表!$B$4:$B$81,0)),""))</f>
        <v/>
      </c>
      <c r="H3453" s="114"/>
      <c r="I3453" s="114"/>
      <c r="J3453" s="112"/>
      <c r="K3453" s="112"/>
      <c r="L3453" s="113"/>
      <c r="M3453" s="115"/>
      <c r="N3453" s="113"/>
      <c r="O3453" s="67" t="str">
        <f aca="false">IF($E3453="","","手工")</f>
        <v/>
      </c>
      <c r="P3453" s="113"/>
    </row>
    <row r="3454" customFormat="false" ht="18" hidden="false" customHeight="true" outlineLevel="0" collapsed="false">
      <c r="A3454" s="107" t="str">
        <f aca="false">IF($E3454="","",ROW()-3)</f>
        <v/>
      </c>
      <c r="B3454" s="111"/>
      <c r="C3454" s="112"/>
      <c r="D3454" s="113"/>
      <c r="E3454" s="112"/>
      <c r="F3454" s="99" t="str">
        <f aca="false">IF($E3454="","",IFERROR(INDEX(科目表!$A$4:$A$81,MATCH($E3454,科目表!$B$4:$B$81,0)),""))</f>
        <v/>
      </c>
      <c r="G3454" s="67" t="str">
        <f aca="false">IF($E3454="","",IFERROR(INDEX(科目表!$E$4:$E$81,MATCH($E3454,科目表!$B$4:$B$81,0)),""))</f>
        <v/>
      </c>
      <c r="H3454" s="114"/>
      <c r="I3454" s="114"/>
      <c r="J3454" s="112"/>
      <c r="K3454" s="112"/>
      <c r="L3454" s="113"/>
      <c r="M3454" s="115"/>
      <c r="N3454" s="113"/>
      <c r="O3454" s="67" t="str">
        <f aca="false">IF($E3454="","","手工")</f>
        <v/>
      </c>
      <c r="P3454" s="113"/>
    </row>
    <row r="3455" customFormat="false" ht="18" hidden="false" customHeight="true" outlineLevel="0" collapsed="false">
      <c r="A3455" s="107" t="str">
        <f aca="false">IF($E3455="","",ROW()-3)</f>
        <v/>
      </c>
      <c r="B3455" s="111"/>
      <c r="C3455" s="112"/>
      <c r="D3455" s="113"/>
      <c r="E3455" s="112"/>
      <c r="F3455" s="99" t="str">
        <f aca="false">IF($E3455="","",IFERROR(INDEX(科目表!$A$4:$A$81,MATCH($E3455,科目表!$B$4:$B$81,0)),""))</f>
        <v/>
      </c>
      <c r="G3455" s="67" t="str">
        <f aca="false">IF($E3455="","",IFERROR(INDEX(科目表!$E$4:$E$81,MATCH($E3455,科目表!$B$4:$B$81,0)),""))</f>
        <v/>
      </c>
      <c r="H3455" s="114"/>
      <c r="I3455" s="114"/>
      <c r="J3455" s="112"/>
      <c r="K3455" s="112"/>
      <c r="L3455" s="113"/>
      <c r="M3455" s="115"/>
      <c r="N3455" s="113"/>
      <c r="O3455" s="67" t="str">
        <f aca="false">IF($E3455="","","手工")</f>
        <v/>
      </c>
      <c r="P3455" s="113"/>
    </row>
    <row r="3456" customFormat="false" ht="18" hidden="false" customHeight="true" outlineLevel="0" collapsed="false">
      <c r="A3456" s="107" t="str">
        <f aca="false">IF($E3456="","",ROW()-3)</f>
        <v/>
      </c>
      <c r="B3456" s="111"/>
      <c r="C3456" s="112"/>
      <c r="D3456" s="113"/>
      <c r="E3456" s="112"/>
      <c r="F3456" s="99" t="str">
        <f aca="false">IF($E3456="","",IFERROR(INDEX(科目表!$A$4:$A$81,MATCH($E3456,科目表!$B$4:$B$81,0)),""))</f>
        <v/>
      </c>
      <c r="G3456" s="67" t="str">
        <f aca="false">IF($E3456="","",IFERROR(INDEX(科目表!$E$4:$E$81,MATCH($E3456,科目表!$B$4:$B$81,0)),""))</f>
        <v/>
      </c>
      <c r="H3456" s="114"/>
      <c r="I3456" s="114"/>
      <c r="J3456" s="112"/>
      <c r="K3456" s="112"/>
      <c r="L3456" s="113"/>
      <c r="M3456" s="115"/>
      <c r="N3456" s="113"/>
      <c r="O3456" s="67" t="str">
        <f aca="false">IF($E3456="","","手工")</f>
        <v/>
      </c>
      <c r="P3456" s="113"/>
    </row>
    <row r="3457" customFormat="false" ht="18" hidden="false" customHeight="true" outlineLevel="0" collapsed="false">
      <c r="A3457" s="107" t="str">
        <f aca="false">IF($E3457="","",ROW()-3)</f>
        <v/>
      </c>
      <c r="B3457" s="111"/>
      <c r="C3457" s="112"/>
      <c r="D3457" s="113"/>
      <c r="E3457" s="112"/>
      <c r="F3457" s="99" t="str">
        <f aca="false">IF($E3457="","",IFERROR(INDEX(科目表!$A$4:$A$81,MATCH($E3457,科目表!$B$4:$B$81,0)),""))</f>
        <v/>
      </c>
      <c r="G3457" s="67" t="str">
        <f aca="false">IF($E3457="","",IFERROR(INDEX(科目表!$E$4:$E$81,MATCH($E3457,科目表!$B$4:$B$81,0)),""))</f>
        <v/>
      </c>
      <c r="H3457" s="114"/>
      <c r="I3457" s="114"/>
      <c r="J3457" s="112"/>
      <c r="K3457" s="112"/>
      <c r="L3457" s="113"/>
      <c r="M3457" s="115"/>
      <c r="N3457" s="113"/>
      <c r="O3457" s="67" t="str">
        <f aca="false">IF($E3457="","","手工")</f>
        <v/>
      </c>
      <c r="P3457" s="113"/>
    </row>
    <row r="3458" customFormat="false" ht="18" hidden="false" customHeight="true" outlineLevel="0" collapsed="false">
      <c r="A3458" s="107" t="str">
        <f aca="false">IF($E3458="","",ROW()-3)</f>
        <v/>
      </c>
      <c r="B3458" s="111"/>
      <c r="C3458" s="112"/>
      <c r="D3458" s="113"/>
      <c r="E3458" s="112"/>
      <c r="F3458" s="99" t="str">
        <f aca="false">IF($E3458="","",IFERROR(INDEX(科目表!$A$4:$A$81,MATCH($E3458,科目表!$B$4:$B$81,0)),""))</f>
        <v/>
      </c>
      <c r="G3458" s="67" t="str">
        <f aca="false">IF($E3458="","",IFERROR(INDEX(科目表!$E$4:$E$81,MATCH($E3458,科目表!$B$4:$B$81,0)),""))</f>
        <v/>
      </c>
      <c r="H3458" s="114"/>
      <c r="I3458" s="114"/>
      <c r="J3458" s="112"/>
      <c r="K3458" s="112"/>
      <c r="L3458" s="113"/>
      <c r="M3458" s="115"/>
      <c r="N3458" s="113"/>
      <c r="O3458" s="67" t="str">
        <f aca="false">IF($E3458="","","手工")</f>
        <v/>
      </c>
      <c r="P3458" s="113"/>
    </row>
    <row r="3459" customFormat="false" ht="18" hidden="false" customHeight="true" outlineLevel="0" collapsed="false">
      <c r="A3459" s="107" t="str">
        <f aca="false">IF($E3459="","",ROW()-3)</f>
        <v/>
      </c>
      <c r="B3459" s="111"/>
      <c r="C3459" s="112"/>
      <c r="D3459" s="113"/>
      <c r="E3459" s="112"/>
      <c r="F3459" s="99" t="str">
        <f aca="false">IF($E3459="","",IFERROR(INDEX(科目表!$A$4:$A$81,MATCH($E3459,科目表!$B$4:$B$81,0)),""))</f>
        <v/>
      </c>
      <c r="G3459" s="67" t="str">
        <f aca="false">IF($E3459="","",IFERROR(INDEX(科目表!$E$4:$E$81,MATCH($E3459,科目表!$B$4:$B$81,0)),""))</f>
        <v/>
      </c>
      <c r="H3459" s="114"/>
      <c r="I3459" s="114"/>
      <c r="J3459" s="112"/>
      <c r="K3459" s="112"/>
      <c r="L3459" s="113"/>
      <c r="M3459" s="115"/>
      <c r="N3459" s="113"/>
      <c r="O3459" s="67" t="str">
        <f aca="false">IF($E3459="","","手工")</f>
        <v/>
      </c>
      <c r="P3459" s="113"/>
    </row>
    <row r="3460" customFormat="false" ht="18" hidden="false" customHeight="true" outlineLevel="0" collapsed="false">
      <c r="A3460" s="107" t="str">
        <f aca="false">IF($E3460="","",ROW()-3)</f>
        <v/>
      </c>
      <c r="B3460" s="111"/>
      <c r="C3460" s="112"/>
      <c r="D3460" s="113"/>
      <c r="E3460" s="112"/>
      <c r="F3460" s="99" t="str">
        <f aca="false">IF($E3460="","",IFERROR(INDEX(科目表!$A$4:$A$81,MATCH($E3460,科目表!$B$4:$B$81,0)),""))</f>
        <v/>
      </c>
      <c r="G3460" s="67" t="str">
        <f aca="false">IF($E3460="","",IFERROR(INDEX(科目表!$E$4:$E$81,MATCH($E3460,科目表!$B$4:$B$81,0)),""))</f>
        <v/>
      </c>
      <c r="H3460" s="114"/>
      <c r="I3460" s="114"/>
      <c r="J3460" s="112"/>
      <c r="K3460" s="112"/>
      <c r="L3460" s="113"/>
      <c r="M3460" s="115"/>
      <c r="N3460" s="113"/>
      <c r="O3460" s="67" t="str">
        <f aca="false">IF($E3460="","","手工")</f>
        <v/>
      </c>
      <c r="P3460" s="113"/>
    </row>
    <row r="3461" customFormat="false" ht="18" hidden="false" customHeight="true" outlineLevel="0" collapsed="false">
      <c r="A3461" s="107" t="str">
        <f aca="false">IF($E3461="","",ROW()-3)</f>
        <v/>
      </c>
      <c r="B3461" s="111"/>
      <c r="C3461" s="112"/>
      <c r="D3461" s="113"/>
      <c r="E3461" s="112"/>
      <c r="F3461" s="99" t="str">
        <f aca="false">IF($E3461="","",IFERROR(INDEX(科目表!$A$4:$A$81,MATCH($E3461,科目表!$B$4:$B$81,0)),""))</f>
        <v/>
      </c>
      <c r="G3461" s="67" t="str">
        <f aca="false">IF($E3461="","",IFERROR(INDEX(科目表!$E$4:$E$81,MATCH($E3461,科目表!$B$4:$B$81,0)),""))</f>
        <v/>
      </c>
      <c r="H3461" s="114"/>
      <c r="I3461" s="114"/>
      <c r="J3461" s="112"/>
      <c r="K3461" s="112"/>
      <c r="L3461" s="113"/>
      <c r="M3461" s="115"/>
      <c r="N3461" s="113"/>
      <c r="O3461" s="67" t="str">
        <f aca="false">IF($E3461="","","手工")</f>
        <v/>
      </c>
      <c r="P3461" s="113"/>
    </row>
    <row r="3462" customFormat="false" ht="18" hidden="false" customHeight="true" outlineLevel="0" collapsed="false">
      <c r="A3462" s="107" t="str">
        <f aca="false">IF($E3462="","",ROW()-3)</f>
        <v/>
      </c>
      <c r="B3462" s="111"/>
      <c r="C3462" s="112"/>
      <c r="D3462" s="113"/>
      <c r="E3462" s="112"/>
      <c r="F3462" s="99" t="str">
        <f aca="false">IF($E3462="","",IFERROR(INDEX(科目表!$A$4:$A$81,MATCH($E3462,科目表!$B$4:$B$81,0)),""))</f>
        <v/>
      </c>
      <c r="G3462" s="67" t="str">
        <f aca="false">IF($E3462="","",IFERROR(INDEX(科目表!$E$4:$E$81,MATCH($E3462,科目表!$B$4:$B$81,0)),""))</f>
        <v/>
      </c>
      <c r="H3462" s="114"/>
      <c r="I3462" s="114"/>
      <c r="J3462" s="112"/>
      <c r="K3462" s="112"/>
      <c r="L3462" s="113"/>
      <c r="M3462" s="115"/>
      <c r="N3462" s="113"/>
      <c r="O3462" s="67" t="str">
        <f aca="false">IF($E3462="","","手工")</f>
        <v/>
      </c>
      <c r="P3462" s="113"/>
    </row>
    <row r="3463" customFormat="false" ht="18" hidden="false" customHeight="true" outlineLevel="0" collapsed="false">
      <c r="A3463" s="107" t="str">
        <f aca="false">IF($E3463="","",ROW()-3)</f>
        <v/>
      </c>
      <c r="B3463" s="111"/>
      <c r="C3463" s="112"/>
      <c r="D3463" s="113"/>
      <c r="E3463" s="112"/>
      <c r="F3463" s="99" t="str">
        <f aca="false">IF($E3463="","",IFERROR(INDEX(科目表!$A$4:$A$81,MATCH($E3463,科目表!$B$4:$B$81,0)),""))</f>
        <v/>
      </c>
      <c r="G3463" s="67" t="str">
        <f aca="false">IF($E3463="","",IFERROR(INDEX(科目表!$E$4:$E$81,MATCH($E3463,科目表!$B$4:$B$81,0)),""))</f>
        <v/>
      </c>
      <c r="H3463" s="114"/>
      <c r="I3463" s="114"/>
      <c r="J3463" s="112"/>
      <c r="K3463" s="112"/>
      <c r="L3463" s="113"/>
      <c r="M3463" s="115"/>
      <c r="N3463" s="113"/>
      <c r="O3463" s="67" t="str">
        <f aca="false">IF($E3463="","","手工")</f>
        <v/>
      </c>
      <c r="P3463" s="113"/>
    </row>
    <row r="3464" customFormat="false" ht="18" hidden="false" customHeight="true" outlineLevel="0" collapsed="false">
      <c r="A3464" s="107" t="str">
        <f aca="false">IF($E3464="","",ROW()-3)</f>
        <v/>
      </c>
      <c r="B3464" s="111"/>
      <c r="C3464" s="112"/>
      <c r="D3464" s="113"/>
      <c r="E3464" s="112"/>
      <c r="F3464" s="99" t="str">
        <f aca="false">IF($E3464="","",IFERROR(INDEX(科目表!$A$4:$A$81,MATCH($E3464,科目表!$B$4:$B$81,0)),""))</f>
        <v/>
      </c>
      <c r="G3464" s="67" t="str">
        <f aca="false">IF($E3464="","",IFERROR(INDEX(科目表!$E$4:$E$81,MATCH($E3464,科目表!$B$4:$B$81,0)),""))</f>
        <v/>
      </c>
      <c r="H3464" s="114"/>
      <c r="I3464" s="114"/>
      <c r="J3464" s="112"/>
      <c r="K3464" s="112"/>
      <c r="L3464" s="113"/>
      <c r="M3464" s="115"/>
      <c r="N3464" s="113"/>
      <c r="O3464" s="67" t="str">
        <f aca="false">IF($E3464="","","手工")</f>
        <v/>
      </c>
      <c r="P3464" s="113"/>
    </row>
    <row r="3465" customFormat="false" ht="18" hidden="false" customHeight="true" outlineLevel="0" collapsed="false">
      <c r="A3465" s="107" t="str">
        <f aca="false">IF($E3465="","",ROW()-3)</f>
        <v/>
      </c>
      <c r="B3465" s="111"/>
      <c r="C3465" s="112"/>
      <c r="D3465" s="113"/>
      <c r="E3465" s="112"/>
      <c r="F3465" s="99" t="str">
        <f aca="false">IF($E3465="","",IFERROR(INDEX(科目表!$A$4:$A$81,MATCH($E3465,科目表!$B$4:$B$81,0)),""))</f>
        <v/>
      </c>
      <c r="G3465" s="67" t="str">
        <f aca="false">IF($E3465="","",IFERROR(INDEX(科目表!$E$4:$E$81,MATCH($E3465,科目表!$B$4:$B$81,0)),""))</f>
        <v/>
      </c>
      <c r="H3465" s="114"/>
      <c r="I3465" s="114"/>
      <c r="J3465" s="112"/>
      <c r="K3465" s="112"/>
      <c r="L3465" s="113"/>
      <c r="M3465" s="115"/>
      <c r="N3465" s="113"/>
      <c r="O3465" s="67" t="str">
        <f aca="false">IF($E3465="","","手工")</f>
        <v/>
      </c>
      <c r="P3465" s="113"/>
    </row>
    <row r="3466" customFormat="false" ht="18" hidden="false" customHeight="true" outlineLevel="0" collapsed="false">
      <c r="A3466" s="107" t="str">
        <f aca="false">IF($E3466="","",ROW()-3)</f>
        <v/>
      </c>
      <c r="B3466" s="111"/>
      <c r="C3466" s="112"/>
      <c r="D3466" s="113"/>
      <c r="E3466" s="112"/>
      <c r="F3466" s="99" t="str">
        <f aca="false">IF($E3466="","",IFERROR(INDEX(科目表!$A$4:$A$81,MATCH($E3466,科目表!$B$4:$B$81,0)),""))</f>
        <v/>
      </c>
      <c r="G3466" s="67" t="str">
        <f aca="false">IF($E3466="","",IFERROR(INDEX(科目表!$E$4:$E$81,MATCH($E3466,科目表!$B$4:$B$81,0)),""))</f>
        <v/>
      </c>
      <c r="H3466" s="114"/>
      <c r="I3466" s="114"/>
      <c r="J3466" s="112"/>
      <c r="K3466" s="112"/>
      <c r="L3466" s="113"/>
      <c r="M3466" s="115"/>
      <c r="N3466" s="113"/>
      <c r="O3466" s="67" t="str">
        <f aca="false">IF($E3466="","","手工")</f>
        <v/>
      </c>
      <c r="P3466" s="113"/>
    </row>
    <row r="3467" customFormat="false" ht="18" hidden="false" customHeight="true" outlineLevel="0" collapsed="false">
      <c r="A3467" s="107" t="str">
        <f aca="false">IF($E3467="","",ROW()-3)</f>
        <v/>
      </c>
      <c r="B3467" s="111"/>
      <c r="C3467" s="112"/>
      <c r="D3467" s="113"/>
      <c r="E3467" s="112"/>
      <c r="F3467" s="99" t="str">
        <f aca="false">IF($E3467="","",IFERROR(INDEX(科目表!$A$4:$A$81,MATCH($E3467,科目表!$B$4:$B$81,0)),""))</f>
        <v/>
      </c>
      <c r="G3467" s="67" t="str">
        <f aca="false">IF($E3467="","",IFERROR(INDEX(科目表!$E$4:$E$81,MATCH($E3467,科目表!$B$4:$B$81,0)),""))</f>
        <v/>
      </c>
      <c r="H3467" s="114"/>
      <c r="I3467" s="114"/>
      <c r="J3467" s="112"/>
      <c r="K3467" s="112"/>
      <c r="L3467" s="113"/>
      <c r="M3467" s="115"/>
      <c r="N3467" s="113"/>
      <c r="O3467" s="67" t="str">
        <f aca="false">IF($E3467="","","手工")</f>
        <v/>
      </c>
      <c r="P3467" s="113"/>
    </row>
    <row r="3468" customFormat="false" ht="18" hidden="false" customHeight="true" outlineLevel="0" collapsed="false">
      <c r="A3468" s="107" t="str">
        <f aca="false">IF($E3468="","",ROW()-3)</f>
        <v/>
      </c>
      <c r="B3468" s="111"/>
      <c r="C3468" s="112"/>
      <c r="D3468" s="113"/>
      <c r="E3468" s="112"/>
      <c r="F3468" s="99" t="str">
        <f aca="false">IF($E3468="","",IFERROR(INDEX(科目表!$A$4:$A$81,MATCH($E3468,科目表!$B$4:$B$81,0)),""))</f>
        <v/>
      </c>
      <c r="G3468" s="67" t="str">
        <f aca="false">IF($E3468="","",IFERROR(INDEX(科目表!$E$4:$E$81,MATCH($E3468,科目表!$B$4:$B$81,0)),""))</f>
        <v/>
      </c>
      <c r="H3468" s="114"/>
      <c r="I3468" s="114"/>
      <c r="J3468" s="112"/>
      <c r="K3468" s="112"/>
      <c r="L3468" s="113"/>
      <c r="M3468" s="115"/>
      <c r="N3468" s="113"/>
      <c r="O3468" s="67" t="str">
        <f aca="false">IF($E3468="","","手工")</f>
        <v/>
      </c>
      <c r="P3468" s="113"/>
    </row>
    <row r="3469" customFormat="false" ht="18" hidden="false" customHeight="true" outlineLevel="0" collapsed="false">
      <c r="A3469" s="107" t="str">
        <f aca="false">IF($E3469="","",ROW()-3)</f>
        <v/>
      </c>
      <c r="B3469" s="111"/>
      <c r="C3469" s="112"/>
      <c r="D3469" s="113"/>
      <c r="E3469" s="112"/>
      <c r="F3469" s="99" t="str">
        <f aca="false">IF($E3469="","",IFERROR(INDEX(科目表!$A$4:$A$81,MATCH($E3469,科目表!$B$4:$B$81,0)),""))</f>
        <v/>
      </c>
      <c r="G3469" s="67" t="str">
        <f aca="false">IF($E3469="","",IFERROR(INDEX(科目表!$E$4:$E$81,MATCH($E3469,科目表!$B$4:$B$81,0)),""))</f>
        <v/>
      </c>
      <c r="H3469" s="114"/>
      <c r="I3469" s="114"/>
      <c r="J3469" s="112"/>
      <c r="K3469" s="112"/>
      <c r="L3469" s="113"/>
      <c r="M3469" s="115"/>
      <c r="N3469" s="113"/>
      <c r="O3469" s="67" t="str">
        <f aca="false">IF($E3469="","","手工")</f>
        <v/>
      </c>
      <c r="P3469" s="113"/>
    </row>
    <row r="3470" customFormat="false" ht="18" hidden="false" customHeight="true" outlineLevel="0" collapsed="false">
      <c r="A3470" s="107" t="str">
        <f aca="false">IF($E3470="","",ROW()-3)</f>
        <v/>
      </c>
      <c r="B3470" s="111"/>
      <c r="C3470" s="112"/>
      <c r="D3470" s="113"/>
      <c r="E3470" s="112"/>
      <c r="F3470" s="99" t="str">
        <f aca="false">IF($E3470="","",IFERROR(INDEX(科目表!$A$4:$A$81,MATCH($E3470,科目表!$B$4:$B$81,0)),""))</f>
        <v/>
      </c>
      <c r="G3470" s="67" t="str">
        <f aca="false">IF($E3470="","",IFERROR(INDEX(科目表!$E$4:$E$81,MATCH($E3470,科目表!$B$4:$B$81,0)),""))</f>
        <v/>
      </c>
      <c r="H3470" s="114"/>
      <c r="I3470" s="114"/>
      <c r="J3470" s="112"/>
      <c r="K3470" s="112"/>
      <c r="L3470" s="113"/>
      <c r="M3470" s="115"/>
      <c r="N3470" s="113"/>
      <c r="O3470" s="67" t="str">
        <f aca="false">IF($E3470="","","手工")</f>
        <v/>
      </c>
      <c r="P3470" s="113"/>
    </row>
    <row r="3471" customFormat="false" ht="18" hidden="false" customHeight="true" outlineLevel="0" collapsed="false">
      <c r="A3471" s="107" t="str">
        <f aca="false">IF($E3471="","",ROW()-3)</f>
        <v/>
      </c>
      <c r="B3471" s="111"/>
      <c r="C3471" s="112"/>
      <c r="D3471" s="113"/>
      <c r="E3471" s="112"/>
      <c r="F3471" s="99" t="str">
        <f aca="false">IF($E3471="","",IFERROR(INDEX(科目表!$A$4:$A$81,MATCH($E3471,科目表!$B$4:$B$81,0)),""))</f>
        <v/>
      </c>
      <c r="G3471" s="67" t="str">
        <f aca="false">IF($E3471="","",IFERROR(INDEX(科目表!$E$4:$E$81,MATCH($E3471,科目表!$B$4:$B$81,0)),""))</f>
        <v/>
      </c>
      <c r="H3471" s="114"/>
      <c r="I3471" s="114"/>
      <c r="J3471" s="112"/>
      <c r="K3471" s="112"/>
      <c r="L3471" s="113"/>
      <c r="M3471" s="115"/>
      <c r="N3471" s="113"/>
      <c r="O3471" s="67" t="str">
        <f aca="false">IF($E3471="","","手工")</f>
        <v/>
      </c>
      <c r="P3471" s="113"/>
    </row>
    <row r="3472" customFormat="false" ht="18" hidden="false" customHeight="true" outlineLevel="0" collapsed="false">
      <c r="A3472" s="107" t="str">
        <f aca="false">IF($E3472="","",ROW()-3)</f>
        <v/>
      </c>
      <c r="B3472" s="111"/>
      <c r="C3472" s="112"/>
      <c r="D3472" s="113"/>
      <c r="E3472" s="112"/>
      <c r="F3472" s="99" t="str">
        <f aca="false">IF($E3472="","",IFERROR(INDEX(科目表!$A$4:$A$81,MATCH($E3472,科目表!$B$4:$B$81,0)),""))</f>
        <v/>
      </c>
      <c r="G3472" s="67" t="str">
        <f aca="false">IF($E3472="","",IFERROR(INDEX(科目表!$E$4:$E$81,MATCH($E3472,科目表!$B$4:$B$81,0)),""))</f>
        <v/>
      </c>
      <c r="H3472" s="114"/>
      <c r="I3472" s="114"/>
      <c r="J3472" s="112"/>
      <c r="K3472" s="112"/>
      <c r="L3472" s="113"/>
      <c r="M3472" s="115"/>
      <c r="N3472" s="113"/>
      <c r="O3472" s="67" t="str">
        <f aca="false">IF($E3472="","","手工")</f>
        <v/>
      </c>
      <c r="P3472" s="113"/>
    </row>
    <row r="3473" customFormat="false" ht="18" hidden="false" customHeight="true" outlineLevel="0" collapsed="false">
      <c r="A3473" s="107" t="str">
        <f aca="false">IF($E3473="","",ROW()-3)</f>
        <v/>
      </c>
      <c r="B3473" s="111"/>
      <c r="C3473" s="112"/>
      <c r="D3473" s="113"/>
      <c r="E3473" s="112"/>
      <c r="F3473" s="99" t="str">
        <f aca="false">IF($E3473="","",IFERROR(INDEX(科目表!$A$4:$A$81,MATCH($E3473,科目表!$B$4:$B$81,0)),""))</f>
        <v/>
      </c>
      <c r="G3473" s="67" t="str">
        <f aca="false">IF($E3473="","",IFERROR(INDEX(科目表!$E$4:$E$81,MATCH($E3473,科目表!$B$4:$B$81,0)),""))</f>
        <v/>
      </c>
      <c r="H3473" s="114"/>
      <c r="I3473" s="114"/>
      <c r="J3473" s="112"/>
      <c r="K3473" s="112"/>
      <c r="L3473" s="113"/>
      <c r="M3473" s="115"/>
      <c r="N3473" s="113"/>
      <c r="O3473" s="67" t="str">
        <f aca="false">IF($E3473="","","手工")</f>
        <v/>
      </c>
      <c r="P3473" s="113"/>
    </row>
    <row r="3474" customFormat="false" ht="18" hidden="false" customHeight="true" outlineLevel="0" collapsed="false">
      <c r="A3474" s="107" t="str">
        <f aca="false">IF($E3474="","",ROW()-3)</f>
        <v/>
      </c>
      <c r="B3474" s="111"/>
      <c r="C3474" s="112"/>
      <c r="D3474" s="113"/>
      <c r="E3474" s="112"/>
      <c r="F3474" s="99" t="str">
        <f aca="false">IF($E3474="","",IFERROR(INDEX(科目表!$A$4:$A$81,MATCH($E3474,科目表!$B$4:$B$81,0)),""))</f>
        <v/>
      </c>
      <c r="G3474" s="67" t="str">
        <f aca="false">IF($E3474="","",IFERROR(INDEX(科目表!$E$4:$E$81,MATCH($E3474,科目表!$B$4:$B$81,0)),""))</f>
        <v/>
      </c>
      <c r="H3474" s="114"/>
      <c r="I3474" s="114"/>
      <c r="J3474" s="112"/>
      <c r="K3474" s="112"/>
      <c r="L3474" s="113"/>
      <c r="M3474" s="115"/>
      <c r="N3474" s="113"/>
      <c r="O3474" s="67" t="str">
        <f aca="false">IF($E3474="","","手工")</f>
        <v/>
      </c>
      <c r="P3474" s="113"/>
    </row>
    <row r="3475" customFormat="false" ht="18" hidden="false" customHeight="true" outlineLevel="0" collapsed="false">
      <c r="A3475" s="107" t="str">
        <f aca="false">IF($E3475="","",ROW()-3)</f>
        <v/>
      </c>
      <c r="B3475" s="111"/>
      <c r="C3475" s="112"/>
      <c r="D3475" s="113"/>
      <c r="E3475" s="112"/>
      <c r="F3475" s="99" t="str">
        <f aca="false">IF($E3475="","",IFERROR(INDEX(科目表!$A$4:$A$81,MATCH($E3475,科目表!$B$4:$B$81,0)),""))</f>
        <v/>
      </c>
      <c r="G3475" s="67" t="str">
        <f aca="false">IF($E3475="","",IFERROR(INDEX(科目表!$E$4:$E$81,MATCH($E3475,科目表!$B$4:$B$81,0)),""))</f>
        <v/>
      </c>
      <c r="H3475" s="114"/>
      <c r="I3475" s="114"/>
      <c r="J3475" s="112"/>
      <c r="K3475" s="112"/>
      <c r="L3475" s="113"/>
      <c r="M3475" s="115"/>
      <c r="N3475" s="113"/>
      <c r="O3475" s="67" t="str">
        <f aca="false">IF($E3475="","","手工")</f>
        <v/>
      </c>
      <c r="P3475" s="113"/>
    </row>
    <row r="3476" customFormat="false" ht="18" hidden="false" customHeight="true" outlineLevel="0" collapsed="false">
      <c r="A3476" s="107" t="str">
        <f aca="false">IF($E3476="","",ROW()-3)</f>
        <v/>
      </c>
      <c r="B3476" s="111"/>
      <c r="C3476" s="112"/>
      <c r="D3476" s="113"/>
      <c r="E3476" s="112"/>
      <c r="F3476" s="99" t="str">
        <f aca="false">IF($E3476="","",IFERROR(INDEX(科目表!$A$4:$A$81,MATCH($E3476,科目表!$B$4:$B$81,0)),""))</f>
        <v/>
      </c>
      <c r="G3476" s="67" t="str">
        <f aca="false">IF($E3476="","",IFERROR(INDEX(科目表!$E$4:$E$81,MATCH($E3476,科目表!$B$4:$B$81,0)),""))</f>
        <v/>
      </c>
      <c r="H3476" s="114"/>
      <c r="I3476" s="114"/>
      <c r="J3476" s="112"/>
      <c r="K3476" s="112"/>
      <c r="L3476" s="113"/>
      <c r="M3476" s="115"/>
      <c r="N3476" s="113"/>
      <c r="O3476" s="67" t="str">
        <f aca="false">IF($E3476="","","手工")</f>
        <v/>
      </c>
      <c r="P3476" s="113"/>
    </row>
    <row r="3477" customFormat="false" ht="18" hidden="false" customHeight="true" outlineLevel="0" collapsed="false">
      <c r="A3477" s="107" t="str">
        <f aca="false">IF($E3477="","",ROW()-3)</f>
        <v/>
      </c>
      <c r="B3477" s="111"/>
      <c r="C3477" s="112"/>
      <c r="D3477" s="113"/>
      <c r="E3477" s="112"/>
      <c r="F3477" s="99" t="str">
        <f aca="false">IF($E3477="","",IFERROR(INDEX(科目表!$A$4:$A$81,MATCH($E3477,科目表!$B$4:$B$81,0)),""))</f>
        <v/>
      </c>
      <c r="G3477" s="67" t="str">
        <f aca="false">IF($E3477="","",IFERROR(INDEX(科目表!$E$4:$E$81,MATCH($E3477,科目表!$B$4:$B$81,0)),""))</f>
        <v/>
      </c>
      <c r="H3477" s="114"/>
      <c r="I3477" s="114"/>
      <c r="J3477" s="112"/>
      <c r="K3477" s="112"/>
      <c r="L3477" s="113"/>
      <c r="M3477" s="115"/>
      <c r="N3477" s="113"/>
      <c r="O3477" s="67" t="str">
        <f aca="false">IF($E3477="","","手工")</f>
        <v/>
      </c>
      <c r="P3477" s="113"/>
    </row>
    <row r="3478" customFormat="false" ht="18" hidden="false" customHeight="true" outlineLevel="0" collapsed="false">
      <c r="A3478" s="107" t="str">
        <f aca="false">IF($E3478="","",ROW()-3)</f>
        <v/>
      </c>
      <c r="B3478" s="111"/>
      <c r="C3478" s="112"/>
      <c r="D3478" s="113"/>
      <c r="E3478" s="112"/>
      <c r="F3478" s="99" t="str">
        <f aca="false">IF($E3478="","",IFERROR(INDEX(科目表!$A$4:$A$81,MATCH($E3478,科目表!$B$4:$B$81,0)),""))</f>
        <v/>
      </c>
      <c r="G3478" s="67" t="str">
        <f aca="false">IF($E3478="","",IFERROR(INDEX(科目表!$E$4:$E$81,MATCH($E3478,科目表!$B$4:$B$81,0)),""))</f>
        <v/>
      </c>
      <c r="H3478" s="114"/>
      <c r="I3478" s="114"/>
      <c r="J3478" s="112"/>
      <c r="K3478" s="112"/>
      <c r="L3478" s="113"/>
      <c r="M3478" s="115"/>
      <c r="N3478" s="113"/>
      <c r="O3478" s="67" t="str">
        <f aca="false">IF($E3478="","","手工")</f>
        <v/>
      </c>
      <c r="P3478" s="113"/>
    </row>
    <row r="3479" customFormat="false" ht="18" hidden="false" customHeight="true" outlineLevel="0" collapsed="false">
      <c r="A3479" s="107" t="str">
        <f aca="false">IF($E3479="","",ROW()-3)</f>
        <v/>
      </c>
      <c r="B3479" s="111"/>
      <c r="C3479" s="112"/>
      <c r="D3479" s="113"/>
      <c r="E3479" s="112"/>
      <c r="F3479" s="99" t="str">
        <f aca="false">IF($E3479="","",IFERROR(INDEX(科目表!$A$4:$A$81,MATCH($E3479,科目表!$B$4:$B$81,0)),""))</f>
        <v/>
      </c>
      <c r="G3479" s="67" t="str">
        <f aca="false">IF($E3479="","",IFERROR(INDEX(科目表!$E$4:$E$81,MATCH($E3479,科目表!$B$4:$B$81,0)),""))</f>
        <v/>
      </c>
      <c r="H3479" s="114"/>
      <c r="I3479" s="114"/>
      <c r="J3479" s="112"/>
      <c r="K3479" s="112"/>
      <c r="L3479" s="113"/>
      <c r="M3479" s="115"/>
      <c r="N3479" s="113"/>
      <c r="O3479" s="67" t="str">
        <f aca="false">IF($E3479="","","手工")</f>
        <v/>
      </c>
      <c r="P3479" s="113"/>
    </row>
    <row r="3480" customFormat="false" ht="18" hidden="false" customHeight="true" outlineLevel="0" collapsed="false">
      <c r="A3480" s="107" t="str">
        <f aca="false">IF($E3480="","",ROW()-3)</f>
        <v/>
      </c>
      <c r="B3480" s="111"/>
      <c r="C3480" s="112"/>
      <c r="D3480" s="113"/>
      <c r="E3480" s="112"/>
      <c r="F3480" s="99" t="str">
        <f aca="false">IF($E3480="","",IFERROR(INDEX(科目表!$A$4:$A$81,MATCH($E3480,科目表!$B$4:$B$81,0)),""))</f>
        <v/>
      </c>
      <c r="G3480" s="67" t="str">
        <f aca="false">IF($E3480="","",IFERROR(INDEX(科目表!$E$4:$E$81,MATCH($E3480,科目表!$B$4:$B$81,0)),""))</f>
        <v/>
      </c>
      <c r="H3480" s="114"/>
      <c r="I3480" s="114"/>
      <c r="J3480" s="112"/>
      <c r="K3480" s="112"/>
      <c r="L3480" s="113"/>
      <c r="M3480" s="115"/>
      <c r="N3480" s="113"/>
      <c r="O3480" s="67" t="str">
        <f aca="false">IF($E3480="","","手工")</f>
        <v/>
      </c>
      <c r="P3480" s="113"/>
    </row>
    <row r="3481" customFormat="false" ht="18" hidden="false" customHeight="true" outlineLevel="0" collapsed="false">
      <c r="A3481" s="107" t="str">
        <f aca="false">IF($E3481="","",ROW()-3)</f>
        <v/>
      </c>
      <c r="B3481" s="111"/>
      <c r="C3481" s="112"/>
      <c r="D3481" s="113"/>
      <c r="E3481" s="112"/>
      <c r="F3481" s="99" t="str">
        <f aca="false">IF($E3481="","",IFERROR(INDEX(科目表!$A$4:$A$81,MATCH($E3481,科目表!$B$4:$B$81,0)),""))</f>
        <v/>
      </c>
      <c r="G3481" s="67" t="str">
        <f aca="false">IF($E3481="","",IFERROR(INDEX(科目表!$E$4:$E$81,MATCH($E3481,科目表!$B$4:$B$81,0)),""))</f>
        <v/>
      </c>
      <c r="H3481" s="114"/>
      <c r="I3481" s="114"/>
      <c r="J3481" s="112"/>
      <c r="K3481" s="112"/>
      <c r="L3481" s="113"/>
      <c r="M3481" s="115"/>
      <c r="N3481" s="113"/>
      <c r="O3481" s="67" t="str">
        <f aca="false">IF($E3481="","","手工")</f>
        <v/>
      </c>
      <c r="P3481" s="113"/>
    </row>
    <row r="3482" customFormat="false" ht="18" hidden="false" customHeight="true" outlineLevel="0" collapsed="false">
      <c r="A3482" s="107" t="str">
        <f aca="false">IF($E3482="","",ROW()-3)</f>
        <v/>
      </c>
      <c r="B3482" s="111"/>
      <c r="C3482" s="112"/>
      <c r="D3482" s="113"/>
      <c r="E3482" s="112"/>
      <c r="F3482" s="99" t="str">
        <f aca="false">IF($E3482="","",IFERROR(INDEX(科目表!$A$4:$A$81,MATCH($E3482,科目表!$B$4:$B$81,0)),""))</f>
        <v/>
      </c>
      <c r="G3482" s="67" t="str">
        <f aca="false">IF($E3482="","",IFERROR(INDEX(科目表!$E$4:$E$81,MATCH($E3482,科目表!$B$4:$B$81,0)),""))</f>
        <v/>
      </c>
      <c r="H3482" s="114"/>
      <c r="I3482" s="114"/>
      <c r="J3482" s="112"/>
      <c r="K3482" s="112"/>
      <c r="L3482" s="113"/>
      <c r="M3482" s="115"/>
      <c r="N3482" s="113"/>
      <c r="O3482" s="67" t="str">
        <f aca="false">IF($E3482="","","手工")</f>
        <v/>
      </c>
      <c r="P3482" s="113"/>
    </row>
    <row r="3483" customFormat="false" ht="18" hidden="false" customHeight="true" outlineLevel="0" collapsed="false">
      <c r="A3483" s="107" t="str">
        <f aca="false">IF($E3483="","",ROW()-3)</f>
        <v/>
      </c>
      <c r="B3483" s="111"/>
      <c r="C3483" s="112"/>
      <c r="D3483" s="113"/>
      <c r="E3483" s="112"/>
      <c r="F3483" s="99" t="str">
        <f aca="false">IF($E3483="","",IFERROR(INDEX(科目表!$A$4:$A$81,MATCH($E3483,科目表!$B$4:$B$81,0)),""))</f>
        <v/>
      </c>
      <c r="G3483" s="67" t="str">
        <f aca="false">IF($E3483="","",IFERROR(INDEX(科目表!$E$4:$E$81,MATCH($E3483,科目表!$B$4:$B$81,0)),""))</f>
        <v/>
      </c>
      <c r="H3483" s="114"/>
      <c r="I3483" s="114"/>
      <c r="J3483" s="112"/>
      <c r="K3483" s="112"/>
      <c r="L3483" s="113"/>
      <c r="M3483" s="115"/>
      <c r="N3483" s="113"/>
      <c r="O3483" s="67" t="str">
        <f aca="false">IF($E3483="","","手工")</f>
        <v/>
      </c>
      <c r="P3483" s="113"/>
    </row>
    <row r="3484" customFormat="false" ht="18" hidden="false" customHeight="true" outlineLevel="0" collapsed="false">
      <c r="A3484" s="107" t="str">
        <f aca="false">IF($E3484="","",ROW()-3)</f>
        <v/>
      </c>
      <c r="B3484" s="111"/>
      <c r="C3484" s="112"/>
      <c r="D3484" s="113"/>
      <c r="E3484" s="112"/>
      <c r="F3484" s="99" t="str">
        <f aca="false">IF($E3484="","",IFERROR(INDEX(科目表!$A$4:$A$81,MATCH($E3484,科目表!$B$4:$B$81,0)),""))</f>
        <v/>
      </c>
      <c r="G3484" s="67" t="str">
        <f aca="false">IF($E3484="","",IFERROR(INDEX(科目表!$E$4:$E$81,MATCH($E3484,科目表!$B$4:$B$81,0)),""))</f>
        <v/>
      </c>
      <c r="H3484" s="114"/>
      <c r="I3484" s="114"/>
      <c r="J3484" s="112"/>
      <c r="K3484" s="112"/>
      <c r="L3484" s="113"/>
      <c r="M3484" s="115"/>
      <c r="N3484" s="113"/>
      <c r="O3484" s="67" t="str">
        <f aca="false">IF($E3484="","","手工")</f>
        <v/>
      </c>
      <c r="P3484" s="113"/>
    </row>
    <row r="3485" customFormat="false" ht="18" hidden="false" customHeight="true" outlineLevel="0" collapsed="false">
      <c r="A3485" s="107" t="str">
        <f aca="false">IF($E3485="","",ROW()-3)</f>
        <v/>
      </c>
      <c r="B3485" s="111"/>
      <c r="C3485" s="112"/>
      <c r="D3485" s="113"/>
      <c r="E3485" s="112"/>
      <c r="F3485" s="99" t="str">
        <f aca="false">IF($E3485="","",IFERROR(INDEX(科目表!$A$4:$A$81,MATCH($E3485,科目表!$B$4:$B$81,0)),""))</f>
        <v/>
      </c>
      <c r="G3485" s="67" t="str">
        <f aca="false">IF($E3485="","",IFERROR(INDEX(科目表!$E$4:$E$81,MATCH($E3485,科目表!$B$4:$B$81,0)),""))</f>
        <v/>
      </c>
      <c r="H3485" s="114"/>
      <c r="I3485" s="114"/>
      <c r="J3485" s="112"/>
      <c r="K3485" s="112"/>
      <c r="L3485" s="113"/>
      <c r="M3485" s="115"/>
      <c r="N3485" s="113"/>
      <c r="O3485" s="67" t="str">
        <f aca="false">IF($E3485="","","手工")</f>
        <v/>
      </c>
      <c r="P3485" s="113"/>
    </row>
    <row r="3486" customFormat="false" ht="18" hidden="false" customHeight="true" outlineLevel="0" collapsed="false">
      <c r="A3486" s="107" t="str">
        <f aca="false">IF($E3486="","",ROW()-3)</f>
        <v/>
      </c>
      <c r="B3486" s="111"/>
      <c r="C3486" s="112"/>
      <c r="D3486" s="113"/>
      <c r="E3486" s="112"/>
      <c r="F3486" s="99" t="str">
        <f aca="false">IF($E3486="","",IFERROR(INDEX(科目表!$A$4:$A$81,MATCH($E3486,科目表!$B$4:$B$81,0)),""))</f>
        <v/>
      </c>
      <c r="G3486" s="67" t="str">
        <f aca="false">IF($E3486="","",IFERROR(INDEX(科目表!$E$4:$E$81,MATCH($E3486,科目表!$B$4:$B$81,0)),""))</f>
        <v/>
      </c>
      <c r="H3486" s="114"/>
      <c r="I3486" s="114"/>
      <c r="J3486" s="112"/>
      <c r="K3486" s="112"/>
      <c r="L3486" s="113"/>
      <c r="M3486" s="115"/>
      <c r="N3486" s="113"/>
      <c r="O3486" s="67" t="str">
        <f aca="false">IF($E3486="","","手工")</f>
        <v/>
      </c>
      <c r="P3486" s="113"/>
    </row>
    <row r="3487" customFormat="false" ht="18" hidden="false" customHeight="true" outlineLevel="0" collapsed="false">
      <c r="A3487" s="107" t="str">
        <f aca="false">IF($E3487="","",ROW()-3)</f>
        <v/>
      </c>
      <c r="B3487" s="111"/>
      <c r="C3487" s="112"/>
      <c r="D3487" s="113"/>
      <c r="E3487" s="112"/>
      <c r="F3487" s="99" t="str">
        <f aca="false">IF($E3487="","",IFERROR(INDEX(科目表!$A$4:$A$81,MATCH($E3487,科目表!$B$4:$B$81,0)),""))</f>
        <v/>
      </c>
      <c r="G3487" s="67" t="str">
        <f aca="false">IF($E3487="","",IFERROR(INDEX(科目表!$E$4:$E$81,MATCH($E3487,科目表!$B$4:$B$81,0)),""))</f>
        <v/>
      </c>
      <c r="H3487" s="114"/>
      <c r="I3487" s="114"/>
      <c r="J3487" s="112"/>
      <c r="K3487" s="112"/>
      <c r="L3487" s="113"/>
      <c r="M3487" s="115"/>
      <c r="N3487" s="113"/>
      <c r="O3487" s="67" t="str">
        <f aca="false">IF($E3487="","","手工")</f>
        <v/>
      </c>
      <c r="P3487" s="113"/>
    </row>
    <row r="3488" customFormat="false" ht="18" hidden="false" customHeight="true" outlineLevel="0" collapsed="false">
      <c r="A3488" s="107" t="str">
        <f aca="false">IF($E3488="","",ROW()-3)</f>
        <v/>
      </c>
      <c r="B3488" s="111"/>
      <c r="C3488" s="112"/>
      <c r="D3488" s="113"/>
      <c r="E3488" s="112"/>
      <c r="F3488" s="99" t="str">
        <f aca="false">IF($E3488="","",IFERROR(INDEX(科目表!$A$4:$A$81,MATCH($E3488,科目表!$B$4:$B$81,0)),""))</f>
        <v/>
      </c>
      <c r="G3488" s="67" t="str">
        <f aca="false">IF($E3488="","",IFERROR(INDEX(科目表!$E$4:$E$81,MATCH($E3488,科目表!$B$4:$B$81,0)),""))</f>
        <v/>
      </c>
      <c r="H3488" s="114"/>
      <c r="I3488" s="114"/>
      <c r="J3488" s="112"/>
      <c r="K3488" s="112"/>
      <c r="L3488" s="113"/>
      <c r="M3488" s="115"/>
      <c r="N3488" s="113"/>
      <c r="O3488" s="67" t="str">
        <f aca="false">IF($E3488="","","手工")</f>
        <v/>
      </c>
      <c r="P3488" s="113"/>
    </row>
    <row r="3489" customFormat="false" ht="18" hidden="false" customHeight="true" outlineLevel="0" collapsed="false">
      <c r="A3489" s="107" t="str">
        <f aca="false">IF($E3489="","",ROW()-3)</f>
        <v/>
      </c>
      <c r="B3489" s="111"/>
      <c r="C3489" s="112"/>
      <c r="D3489" s="113"/>
      <c r="E3489" s="112"/>
      <c r="F3489" s="99" t="str">
        <f aca="false">IF($E3489="","",IFERROR(INDEX(科目表!$A$4:$A$81,MATCH($E3489,科目表!$B$4:$B$81,0)),""))</f>
        <v/>
      </c>
      <c r="G3489" s="67" t="str">
        <f aca="false">IF($E3489="","",IFERROR(INDEX(科目表!$E$4:$E$81,MATCH($E3489,科目表!$B$4:$B$81,0)),""))</f>
        <v/>
      </c>
      <c r="H3489" s="114"/>
      <c r="I3489" s="114"/>
      <c r="J3489" s="112"/>
      <c r="K3489" s="112"/>
      <c r="L3489" s="113"/>
      <c r="M3489" s="115"/>
      <c r="N3489" s="113"/>
      <c r="O3489" s="67" t="str">
        <f aca="false">IF($E3489="","","手工")</f>
        <v/>
      </c>
      <c r="P3489" s="113"/>
    </row>
    <row r="3490" customFormat="false" ht="18" hidden="false" customHeight="true" outlineLevel="0" collapsed="false">
      <c r="A3490" s="107" t="str">
        <f aca="false">IF($E3490="","",ROW()-3)</f>
        <v/>
      </c>
      <c r="B3490" s="111"/>
      <c r="C3490" s="112"/>
      <c r="D3490" s="113"/>
      <c r="E3490" s="112"/>
      <c r="F3490" s="99" t="str">
        <f aca="false">IF($E3490="","",IFERROR(INDEX(科目表!$A$4:$A$81,MATCH($E3490,科目表!$B$4:$B$81,0)),""))</f>
        <v/>
      </c>
      <c r="G3490" s="67" t="str">
        <f aca="false">IF($E3490="","",IFERROR(INDEX(科目表!$E$4:$E$81,MATCH($E3490,科目表!$B$4:$B$81,0)),""))</f>
        <v/>
      </c>
      <c r="H3490" s="114"/>
      <c r="I3490" s="114"/>
      <c r="J3490" s="112"/>
      <c r="K3490" s="112"/>
      <c r="L3490" s="113"/>
      <c r="M3490" s="115"/>
      <c r="N3490" s="113"/>
      <c r="O3490" s="67" t="str">
        <f aca="false">IF($E3490="","","手工")</f>
        <v/>
      </c>
      <c r="P3490" s="113"/>
    </row>
    <row r="3491" customFormat="false" ht="18" hidden="false" customHeight="true" outlineLevel="0" collapsed="false">
      <c r="A3491" s="107" t="str">
        <f aca="false">IF($E3491="","",ROW()-3)</f>
        <v/>
      </c>
      <c r="B3491" s="111"/>
      <c r="C3491" s="112"/>
      <c r="D3491" s="113"/>
      <c r="E3491" s="112"/>
      <c r="F3491" s="99" t="str">
        <f aca="false">IF($E3491="","",IFERROR(INDEX(科目表!$A$4:$A$81,MATCH($E3491,科目表!$B$4:$B$81,0)),""))</f>
        <v/>
      </c>
      <c r="G3491" s="67" t="str">
        <f aca="false">IF($E3491="","",IFERROR(INDEX(科目表!$E$4:$E$81,MATCH($E3491,科目表!$B$4:$B$81,0)),""))</f>
        <v/>
      </c>
      <c r="H3491" s="114"/>
      <c r="I3491" s="114"/>
      <c r="J3491" s="112"/>
      <c r="K3491" s="112"/>
      <c r="L3491" s="113"/>
      <c r="M3491" s="115"/>
      <c r="N3491" s="113"/>
      <c r="O3491" s="67" t="str">
        <f aca="false">IF($E3491="","","手工")</f>
        <v/>
      </c>
      <c r="P3491" s="113"/>
    </row>
    <row r="3492" customFormat="false" ht="18" hidden="false" customHeight="true" outlineLevel="0" collapsed="false">
      <c r="A3492" s="107" t="str">
        <f aca="false">IF($E3492="","",ROW()-3)</f>
        <v/>
      </c>
      <c r="B3492" s="111"/>
      <c r="C3492" s="112"/>
      <c r="D3492" s="113"/>
      <c r="E3492" s="112"/>
      <c r="F3492" s="99" t="str">
        <f aca="false">IF($E3492="","",IFERROR(INDEX(科目表!$A$4:$A$81,MATCH($E3492,科目表!$B$4:$B$81,0)),""))</f>
        <v/>
      </c>
      <c r="G3492" s="67" t="str">
        <f aca="false">IF($E3492="","",IFERROR(INDEX(科目表!$E$4:$E$81,MATCH($E3492,科目表!$B$4:$B$81,0)),""))</f>
        <v/>
      </c>
      <c r="H3492" s="114"/>
      <c r="I3492" s="114"/>
      <c r="J3492" s="112"/>
      <c r="K3492" s="112"/>
      <c r="L3492" s="113"/>
      <c r="M3492" s="115"/>
      <c r="N3492" s="113"/>
      <c r="O3492" s="67" t="str">
        <f aca="false">IF($E3492="","","手工")</f>
        <v/>
      </c>
      <c r="P3492" s="113"/>
    </row>
    <row r="3493" customFormat="false" ht="18" hidden="false" customHeight="true" outlineLevel="0" collapsed="false">
      <c r="A3493" s="107" t="str">
        <f aca="false">IF($E3493="","",ROW()-3)</f>
        <v/>
      </c>
      <c r="B3493" s="111"/>
      <c r="C3493" s="112"/>
      <c r="D3493" s="113"/>
      <c r="E3493" s="112"/>
      <c r="F3493" s="99" t="str">
        <f aca="false">IF($E3493="","",IFERROR(INDEX(科目表!$A$4:$A$81,MATCH($E3493,科目表!$B$4:$B$81,0)),""))</f>
        <v/>
      </c>
      <c r="G3493" s="67" t="str">
        <f aca="false">IF($E3493="","",IFERROR(INDEX(科目表!$E$4:$E$81,MATCH($E3493,科目表!$B$4:$B$81,0)),""))</f>
        <v/>
      </c>
      <c r="H3493" s="114"/>
      <c r="I3493" s="114"/>
      <c r="J3493" s="112"/>
      <c r="K3493" s="112"/>
      <c r="L3493" s="113"/>
      <c r="M3493" s="115"/>
      <c r="N3493" s="113"/>
      <c r="O3493" s="67" t="str">
        <f aca="false">IF($E3493="","","手工")</f>
        <v/>
      </c>
      <c r="P3493" s="113"/>
    </row>
    <row r="3494" customFormat="false" ht="18" hidden="false" customHeight="true" outlineLevel="0" collapsed="false">
      <c r="A3494" s="107" t="str">
        <f aca="false">IF($E3494="","",ROW()-3)</f>
        <v/>
      </c>
      <c r="B3494" s="111"/>
      <c r="C3494" s="112"/>
      <c r="D3494" s="113"/>
      <c r="E3494" s="112"/>
      <c r="F3494" s="99" t="str">
        <f aca="false">IF($E3494="","",IFERROR(INDEX(科目表!$A$4:$A$81,MATCH($E3494,科目表!$B$4:$B$81,0)),""))</f>
        <v/>
      </c>
      <c r="G3494" s="67" t="str">
        <f aca="false">IF($E3494="","",IFERROR(INDEX(科目表!$E$4:$E$81,MATCH($E3494,科目表!$B$4:$B$81,0)),""))</f>
        <v/>
      </c>
      <c r="H3494" s="114"/>
      <c r="I3494" s="114"/>
      <c r="J3494" s="112"/>
      <c r="K3494" s="112"/>
      <c r="L3494" s="113"/>
      <c r="M3494" s="115"/>
      <c r="N3494" s="113"/>
      <c r="O3494" s="67" t="str">
        <f aca="false">IF($E3494="","","手工")</f>
        <v/>
      </c>
      <c r="P3494" s="113"/>
    </row>
    <row r="3495" customFormat="false" ht="18" hidden="false" customHeight="true" outlineLevel="0" collapsed="false">
      <c r="A3495" s="107" t="str">
        <f aca="false">IF($E3495="","",ROW()-3)</f>
        <v/>
      </c>
      <c r="B3495" s="111"/>
      <c r="C3495" s="112"/>
      <c r="D3495" s="113"/>
      <c r="E3495" s="112"/>
      <c r="F3495" s="99" t="str">
        <f aca="false">IF($E3495="","",IFERROR(INDEX(科目表!$A$4:$A$81,MATCH($E3495,科目表!$B$4:$B$81,0)),""))</f>
        <v/>
      </c>
      <c r="G3495" s="67" t="str">
        <f aca="false">IF($E3495="","",IFERROR(INDEX(科目表!$E$4:$E$81,MATCH($E3495,科目表!$B$4:$B$81,0)),""))</f>
        <v/>
      </c>
      <c r="H3495" s="114"/>
      <c r="I3495" s="114"/>
      <c r="J3495" s="112"/>
      <c r="K3495" s="112"/>
      <c r="L3495" s="113"/>
      <c r="M3495" s="115"/>
      <c r="N3495" s="113"/>
      <c r="O3495" s="67" t="str">
        <f aca="false">IF($E3495="","","手工")</f>
        <v/>
      </c>
      <c r="P3495" s="113"/>
    </row>
    <row r="3496" customFormat="false" ht="18" hidden="false" customHeight="true" outlineLevel="0" collapsed="false">
      <c r="A3496" s="107" t="str">
        <f aca="false">IF($E3496="","",ROW()-3)</f>
        <v/>
      </c>
      <c r="B3496" s="111"/>
      <c r="C3496" s="112"/>
      <c r="D3496" s="113"/>
      <c r="E3496" s="112"/>
      <c r="F3496" s="99" t="str">
        <f aca="false">IF($E3496="","",IFERROR(INDEX(科目表!$A$4:$A$81,MATCH($E3496,科目表!$B$4:$B$81,0)),""))</f>
        <v/>
      </c>
      <c r="G3496" s="67" t="str">
        <f aca="false">IF($E3496="","",IFERROR(INDEX(科目表!$E$4:$E$81,MATCH($E3496,科目表!$B$4:$B$81,0)),""))</f>
        <v/>
      </c>
      <c r="H3496" s="114"/>
      <c r="I3496" s="114"/>
      <c r="J3496" s="112"/>
      <c r="K3496" s="112"/>
      <c r="L3496" s="113"/>
      <c r="M3496" s="115"/>
      <c r="N3496" s="113"/>
      <c r="O3496" s="67" t="str">
        <f aca="false">IF($E3496="","","手工")</f>
        <v/>
      </c>
      <c r="P3496" s="113"/>
    </row>
    <row r="3497" customFormat="false" ht="18" hidden="false" customHeight="true" outlineLevel="0" collapsed="false">
      <c r="A3497" s="107" t="str">
        <f aca="false">IF($E3497="","",ROW()-3)</f>
        <v/>
      </c>
      <c r="B3497" s="111"/>
      <c r="C3497" s="112"/>
      <c r="D3497" s="113"/>
      <c r="E3497" s="112"/>
      <c r="F3497" s="99" t="str">
        <f aca="false">IF($E3497="","",IFERROR(INDEX(科目表!$A$4:$A$81,MATCH($E3497,科目表!$B$4:$B$81,0)),""))</f>
        <v/>
      </c>
      <c r="G3497" s="67" t="str">
        <f aca="false">IF($E3497="","",IFERROR(INDEX(科目表!$E$4:$E$81,MATCH($E3497,科目表!$B$4:$B$81,0)),""))</f>
        <v/>
      </c>
      <c r="H3497" s="114"/>
      <c r="I3497" s="114"/>
      <c r="J3497" s="112"/>
      <c r="K3497" s="112"/>
      <c r="L3497" s="113"/>
      <c r="M3497" s="115"/>
      <c r="N3497" s="113"/>
      <c r="O3497" s="67" t="str">
        <f aca="false">IF($E3497="","","手工")</f>
        <v/>
      </c>
      <c r="P3497" s="113"/>
    </row>
    <row r="3498" customFormat="false" ht="18" hidden="false" customHeight="true" outlineLevel="0" collapsed="false">
      <c r="A3498" s="107" t="str">
        <f aca="false">IF($E3498="","",ROW()-3)</f>
        <v/>
      </c>
      <c r="B3498" s="111"/>
      <c r="C3498" s="112"/>
      <c r="D3498" s="113"/>
      <c r="E3498" s="112"/>
      <c r="F3498" s="99" t="str">
        <f aca="false">IF($E3498="","",IFERROR(INDEX(科目表!$A$4:$A$81,MATCH($E3498,科目表!$B$4:$B$81,0)),""))</f>
        <v/>
      </c>
      <c r="G3498" s="67" t="str">
        <f aca="false">IF($E3498="","",IFERROR(INDEX(科目表!$E$4:$E$81,MATCH($E3498,科目表!$B$4:$B$81,0)),""))</f>
        <v/>
      </c>
      <c r="H3498" s="114"/>
      <c r="I3498" s="114"/>
      <c r="J3498" s="112"/>
      <c r="K3498" s="112"/>
      <c r="L3498" s="113"/>
      <c r="M3498" s="115"/>
      <c r="N3498" s="113"/>
      <c r="O3498" s="67" t="str">
        <f aca="false">IF($E3498="","","手工")</f>
        <v/>
      </c>
      <c r="P3498" s="113"/>
    </row>
    <row r="3499" customFormat="false" ht="18" hidden="false" customHeight="true" outlineLevel="0" collapsed="false">
      <c r="A3499" s="107" t="str">
        <f aca="false">IF($E3499="","",ROW()-3)</f>
        <v/>
      </c>
      <c r="B3499" s="111"/>
      <c r="C3499" s="112"/>
      <c r="D3499" s="113"/>
      <c r="E3499" s="112"/>
      <c r="F3499" s="99" t="str">
        <f aca="false">IF($E3499="","",IFERROR(INDEX(科目表!$A$4:$A$81,MATCH($E3499,科目表!$B$4:$B$81,0)),""))</f>
        <v/>
      </c>
      <c r="G3499" s="67" t="str">
        <f aca="false">IF($E3499="","",IFERROR(INDEX(科目表!$E$4:$E$81,MATCH($E3499,科目表!$B$4:$B$81,0)),""))</f>
        <v/>
      </c>
      <c r="H3499" s="114"/>
      <c r="I3499" s="114"/>
      <c r="J3499" s="112"/>
      <c r="K3499" s="112"/>
      <c r="L3499" s="113"/>
      <c r="M3499" s="115"/>
      <c r="N3499" s="113"/>
      <c r="O3499" s="67" t="str">
        <f aca="false">IF($E3499="","","手工")</f>
        <v/>
      </c>
      <c r="P3499" s="113"/>
    </row>
    <row r="3500" customFormat="false" ht="18" hidden="false" customHeight="true" outlineLevel="0" collapsed="false">
      <c r="A3500" s="107" t="str">
        <f aca="false">IF($E3500="","",ROW()-3)</f>
        <v/>
      </c>
      <c r="B3500" s="111"/>
      <c r="C3500" s="112"/>
      <c r="D3500" s="113"/>
      <c r="E3500" s="112"/>
      <c r="F3500" s="99" t="str">
        <f aca="false">IF($E3500="","",IFERROR(INDEX(科目表!$A$4:$A$81,MATCH($E3500,科目表!$B$4:$B$81,0)),""))</f>
        <v/>
      </c>
      <c r="G3500" s="67" t="str">
        <f aca="false">IF($E3500="","",IFERROR(INDEX(科目表!$E$4:$E$81,MATCH($E3500,科目表!$B$4:$B$81,0)),""))</f>
        <v/>
      </c>
      <c r="H3500" s="114"/>
      <c r="I3500" s="114"/>
      <c r="J3500" s="112"/>
      <c r="K3500" s="112"/>
      <c r="L3500" s="113"/>
      <c r="M3500" s="115"/>
      <c r="N3500" s="113"/>
      <c r="O3500" s="67" t="str">
        <f aca="false">IF($E3500="","","手工")</f>
        <v/>
      </c>
      <c r="P3500" s="113"/>
    </row>
    <row r="3501" customFormat="false" ht="18" hidden="false" customHeight="true" outlineLevel="0" collapsed="false">
      <c r="A3501" s="107" t="str">
        <f aca="false">IF($E3501="","",ROW()-3)</f>
        <v/>
      </c>
      <c r="B3501" s="111"/>
      <c r="C3501" s="112"/>
      <c r="D3501" s="113"/>
      <c r="E3501" s="112"/>
      <c r="F3501" s="99" t="str">
        <f aca="false">IF($E3501="","",IFERROR(INDEX(科目表!$A$4:$A$81,MATCH($E3501,科目表!$B$4:$B$81,0)),""))</f>
        <v/>
      </c>
      <c r="G3501" s="67" t="str">
        <f aca="false">IF($E3501="","",IFERROR(INDEX(科目表!$E$4:$E$81,MATCH($E3501,科目表!$B$4:$B$81,0)),""))</f>
        <v/>
      </c>
      <c r="H3501" s="114"/>
      <c r="I3501" s="114"/>
      <c r="J3501" s="112"/>
      <c r="K3501" s="112"/>
      <c r="L3501" s="113"/>
      <c r="M3501" s="115"/>
      <c r="N3501" s="113"/>
      <c r="O3501" s="67" t="str">
        <f aca="false">IF($E3501="","","手工")</f>
        <v/>
      </c>
      <c r="P3501" s="113"/>
    </row>
    <row r="3502" customFormat="false" ht="18" hidden="false" customHeight="true" outlineLevel="0" collapsed="false">
      <c r="A3502" s="107" t="str">
        <f aca="false">IF($E3502="","",ROW()-3)</f>
        <v/>
      </c>
      <c r="B3502" s="111"/>
      <c r="C3502" s="112"/>
      <c r="D3502" s="113"/>
      <c r="E3502" s="112"/>
      <c r="F3502" s="99" t="str">
        <f aca="false">IF($E3502="","",IFERROR(INDEX(科目表!$A$4:$A$81,MATCH($E3502,科目表!$B$4:$B$81,0)),""))</f>
        <v/>
      </c>
      <c r="G3502" s="67" t="str">
        <f aca="false">IF($E3502="","",IFERROR(INDEX(科目表!$E$4:$E$81,MATCH($E3502,科目表!$B$4:$B$81,0)),""))</f>
        <v/>
      </c>
      <c r="H3502" s="114"/>
      <c r="I3502" s="114"/>
      <c r="J3502" s="112"/>
      <c r="K3502" s="112"/>
      <c r="L3502" s="113"/>
      <c r="M3502" s="115"/>
      <c r="N3502" s="113"/>
      <c r="O3502" s="67" t="str">
        <f aca="false">IF($E3502="","","手工")</f>
        <v/>
      </c>
      <c r="P3502" s="113"/>
    </row>
    <row r="3503" customFormat="false" ht="18" hidden="false" customHeight="true" outlineLevel="0" collapsed="false">
      <c r="A3503" s="107" t="str">
        <f aca="false">IF($E3503="","",ROW()-3)</f>
        <v/>
      </c>
      <c r="B3503" s="111"/>
      <c r="C3503" s="112"/>
      <c r="D3503" s="113"/>
      <c r="E3503" s="112"/>
      <c r="F3503" s="99" t="str">
        <f aca="false">IF($E3503="","",IFERROR(INDEX(科目表!$A$4:$A$81,MATCH($E3503,科目表!$B$4:$B$81,0)),""))</f>
        <v/>
      </c>
      <c r="G3503" s="67" t="str">
        <f aca="false">IF($E3503="","",IFERROR(INDEX(科目表!$E$4:$E$81,MATCH($E3503,科目表!$B$4:$B$81,0)),""))</f>
        <v/>
      </c>
      <c r="H3503" s="114"/>
      <c r="I3503" s="114"/>
      <c r="J3503" s="112"/>
      <c r="K3503" s="112"/>
      <c r="L3503" s="113"/>
      <c r="M3503" s="115"/>
      <c r="N3503" s="113"/>
      <c r="O3503" s="67" t="str">
        <f aca="false">IF($E3503="","","手工")</f>
        <v/>
      </c>
      <c r="P3503" s="113"/>
    </row>
    <row r="3504" customFormat="false" ht="18" hidden="false" customHeight="true" outlineLevel="0" collapsed="false">
      <c r="A3504" s="107" t="str">
        <f aca="false">IF($E3504="","",ROW()-3)</f>
        <v/>
      </c>
      <c r="B3504" s="111"/>
      <c r="C3504" s="112"/>
      <c r="D3504" s="113"/>
      <c r="E3504" s="112"/>
      <c r="F3504" s="99" t="str">
        <f aca="false">IF($E3504="","",IFERROR(INDEX(科目表!$A$4:$A$81,MATCH($E3504,科目表!$B$4:$B$81,0)),""))</f>
        <v/>
      </c>
      <c r="G3504" s="67" t="str">
        <f aca="false">IF($E3504="","",IFERROR(INDEX(科目表!$E$4:$E$81,MATCH($E3504,科目表!$B$4:$B$81,0)),""))</f>
        <v/>
      </c>
      <c r="H3504" s="114"/>
      <c r="I3504" s="114"/>
      <c r="J3504" s="112"/>
      <c r="K3504" s="112"/>
      <c r="L3504" s="113"/>
      <c r="M3504" s="115"/>
      <c r="N3504" s="113"/>
      <c r="O3504" s="67" t="str">
        <f aca="false">IF($E3504="","","手工")</f>
        <v/>
      </c>
      <c r="P3504" s="113"/>
    </row>
    <row r="3505" customFormat="false" ht="18" hidden="false" customHeight="true" outlineLevel="0" collapsed="false">
      <c r="A3505" s="107" t="str">
        <f aca="false">IF($E3505="","",ROW()-3)</f>
        <v/>
      </c>
      <c r="B3505" s="111"/>
      <c r="C3505" s="112"/>
      <c r="D3505" s="113"/>
      <c r="E3505" s="112"/>
      <c r="F3505" s="99" t="str">
        <f aca="false">IF($E3505="","",IFERROR(INDEX(科目表!$A$4:$A$81,MATCH($E3505,科目表!$B$4:$B$81,0)),""))</f>
        <v/>
      </c>
      <c r="G3505" s="67" t="str">
        <f aca="false">IF($E3505="","",IFERROR(INDEX(科目表!$E$4:$E$81,MATCH($E3505,科目表!$B$4:$B$81,0)),""))</f>
        <v/>
      </c>
      <c r="H3505" s="114"/>
      <c r="I3505" s="114"/>
      <c r="J3505" s="112"/>
      <c r="K3505" s="112"/>
      <c r="L3505" s="113"/>
      <c r="M3505" s="115"/>
      <c r="N3505" s="113"/>
      <c r="O3505" s="67" t="str">
        <f aca="false">IF($E3505="","","手工")</f>
        <v/>
      </c>
      <c r="P3505" s="113"/>
    </row>
    <row r="3506" customFormat="false" ht="18" hidden="false" customHeight="true" outlineLevel="0" collapsed="false">
      <c r="A3506" s="107" t="str">
        <f aca="false">IF($E3506="","",ROW()-3)</f>
        <v/>
      </c>
      <c r="B3506" s="111"/>
      <c r="C3506" s="112"/>
      <c r="D3506" s="113"/>
      <c r="E3506" s="112"/>
      <c r="F3506" s="99" t="str">
        <f aca="false">IF($E3506="","",IFERROR(INDEX(科目表!$A$4:$A$81,MATCH($E3506,科目表!$B$4:$B$81,0)),""))</f>
        <v/>
      </c>
      <c r="G3506" s="67" t="str">
        <f aca="false">IF($E3506="","",IFERROR(INDEX(科目表!$E$4:$E$81,MATCH($E3506,科目表!$B$4:$B$81,0)),""))</f>
        <v/>
      </c>
      <c r="H3506" s="114"/>
      <c r="I3506" s="114"/>
      <c r="J3506" s="112"/>
      <c r="K3506" s="112"/>
      <c r="L3506" s="113"/>
      <c r="M3506" s="115"/>
      <c r="N3506" s="113"/>
      <c r="O3506" s="67" t="str">
        <f aca="false">IF($E3506="","","手工")</f>
        <v/>
      </c>
      <c r="P3506" s="113"/>
    </row>
    <row r="3507" customFormat="false" ht="18" hidden="false" customHeight="true" outlineLevel="0" collapsed="false">
      <c r="A3507" s="107" t="str">
        <f aca="false">IF($E3507="","",ROW()-3)</f>
        <v/>
      </c>
      <c r="B3507" s="111"/>
      <c r="C3507" s="112"/>
      <c r="D3507" s="113"/>
      <c r="E3507" s="112"/>
      <c r="F3507" s="99" t="str">
        <f aca="false">IF($E3507="","",IFERROR(INDEX(科目表!$A$4:$A$81,MATCH($E3507,科目表!$B$4:$B$81,0)),""))</f>
        <v/>
      </c>
      <c r="G3507" s="67" t="str">
        <f aca="false">IF($E3507="","",IFERROR(INDEX(科目表!$E$4:$E$81,MATCH($E3507,科目表!$B$4:$B$81,0)),""))</f>
        <v/>
      </c>
      <c r="H3507" s="114"/>
      <c r="I3507" s="114"/>
      <c r="J3507" s="112"/>
      <c r="K3507" s="112"/>
      <c r="L3507" s="113"/>
      <c r="M3507" s="115"/>
      <c r="N3507" s="113"/>
      <c r="O3507" s="67" t="str">
        <f aca="false">IF($E3507="","","手工")</f>
        <v/>
      </c>
      <c r="P3507" s="113"/>
    </row>
    <row r="3508" customFormat="false" ht="18" hidden="false" customHeight="true" outlineLevel="0" collapsed="false">
      <c r="A3508" s="107" t="str">
        <f aca="false">IF($E3508="","",ROW()-3)</f>
        <v/>
      </c>
      <c r="B3508" s="111"/>
      <c r="C3508" s="112"/>
      <c r="D3508" s="113"/>
      <c r="E3508" s="112"/>
      <c r="F3508" s="99" t="str">
        <f aca="false">IF($E3508="","",IFERROR(INDEX(科目表!$A$4:$A$81,MATCH($E3508,科目表!$B$4:$B$81,0)),""))</f>
        <v/>
      </c>
      <c r="G3508" s="67" t="str">
        <f aca="false">IF($E3508="","",IFERROR(INDEX(科目表!$E$4:$E$81,MATCH($E3508,科目表!$B$4:$B$81,0)),""))</f>
        <v/>
      </c>
      <c r="H3508" s="114"/>
      <c r="I3508" s="114"/>
      <c r="J3508" s="112"/>
      <c r="K3508" s="112"/>
      <c r="L3508" s="113"/>
      <c r="M3508" s="115"/>
      <c r="N3508" s="113"/>
      <c r="O3508" s="67" t="str">
        <f aca="false">IF($E3508="","","手工")</f>
        <v/>
      </c>
      <c r="P3508" s="113"/>
    </row>
    <row r="3509" customFormat="false" ht="18" hidden="false" customHeight="true" outlineLevel="0" collapsed="false">
      <c r="A3509" s="107" t="str">
        <f aca="false">IF($E3509="","",ROW()-3)</f>
        <v/>
      </c>
      <c r="B3509" s="111"/>
      <c r="C3509" s="112"/>
      <c r="D3509" s="113"/>
      <c r="E3509" s="112"/>
      <c r="F3509" s="99" t="str">
        <f aca="false">IF($E3509="","",IFERROR(INDEX(科目表!$A$4:$A$81,MATCH($E3509,科目表!$B$4:$B$81,0)),""))</f>
        <v/>
      </c>
      <c r="G3509" s="67" t="str">
        <f aca="false">IF($E3509="","",IFERROR(INDEX(科目表!$E$4:$E$81,MATCH($E3509,科目表!$B$4:$B$81,0)),""))</f>
        <v/>
      </c>
      <c r="H3509" s="114"/>
      <c r="I3509" s="114"/>
      <c r="J3509" s="112"/>
      <c r="K3509" s="112"/>
      <c r="L3509" s="113"/>
      <c r="M3509" s="115"/>
      <c r="N3509" s="113"/>
      <c r="O3509" s="67" t="str">
        <f aca="false">IF($E3509="","","手工")</f>
        <v/>
      </c>
      <c r="P3509" s="113"/>
    </row>
    <row r="3510" customFormat="false" ht="18" hidden="false" customHeight="true" outlineLevel="0" collapsed="false">
      <c r="A3510" s="107" t="str">
        <f aca="false">IF($E3510="","",ROW()-3)</f>
        <v/>
      </c>
      <c r="B3510" s="111"/>
      <c r="C3510" s="112"/>
      <c r="D3510" s="113"/>
      <c r="E3510" s="112"/>
      <c r="F3510" s="99" t="str">
        <f aca="false">IF($E3510="","",IFERROR(INDEX(科目表!$A$4:$A$81,MATCH($E3510,科目表!$B$4:$B$81,0)),""))</f>
        <v/>
      </c>
      <c r="G3510" s="67" t="str">
        <f aca="false">IF($E3510="","",IFERROR(INDEX(科目表!$E$4:$E$81,MATCH($E3510,科目表!$B$4:$B$81,0)),""))</f>
        <v/>
      </c>
      <c r="H3510" s="114"/>
      <c r="I3510" s="114"/>
      <c r="J3510" s="112"/>
      <c r="K3510" s="112"/>
      <c r="L3510" s="113"/>
      <c r="M3510" s="115"/>
      <c r="N3510" s="113"/>
      <c r="O3510" s="67" t="str">
        <f aca="false">IF($E3510="","","手工")</f>
        <v/>
      </c>
      <c r="P3510" s="113"/>
    </row>
    <row r="3511" customFormat="false" ht="18" hidden="false" customHeight="true" outlineLevel="0" collapsed="false">
      <c r="A3511" s="107" t="str">
        <f aca="false">IF($E3511="","",ROW()-3)</f>
        <v/>
      </c>
      <c r="B3511" s="111"/>
      <c r="C3511" s="112"/>
      <c r="D3511" s="113"/>
      <c r="E3511" s="112"/>
      <c r="F3511" s="99" t="str">
        <f aca="false">IF($E3511="","",IFERROR(INDEX(科目表!$A$4:$A$81,MATCH($E3511,科目表!$B$4:$B$81,0)),""))</f>
        <v/>
      </c>
      <c r="G3511" s="67" t="str">
        <f aca="false">IF($E3511="","",IFERROR(INDEX(科目表!$E$4:$E$81,MATCH($E3511,科目表!$B$4:$B$81,0)),""))</f>
        <v/>
      </c>
      <c r="H3511" s="114"/>
      <c r="I3511" s="114"/>
      <c r="J3511" s="112"/>
      <c r="K3511" s="112"/>
      <c r="L3511" s="113"/>
      <c r="M3511" s="115"/>
      <c r="N3511" s="113"/>
      <c r="O3511" s="67" t="str">
        <f aca="false">IF($E3511="","","手工")</f>
        <v/>
      </c>
      <c r="P3511" s="113"/>
    </row>
    <row r="3512" customFormat="false" ht="18" hidden="false" customHeight="true" outlineLevel="0" collapsed="false">
      <c r="A3512" s="107" t="str">
        <f aca="false">IF($E3512="","",ROW()-3)</f>
        <v/>
      </c>
      <c r="B3512" s="111"/>
      <c r="C3512" s="112"/>
      <c r="D3512" s="113"/>
      <c r="E3512" s="112"/>
      <c r="F3512" s="99" t="str">
        <f aca="false">IF($E3512="","",IFERROR(INDEX(科目表!$A$4:$A$81,MATCH($E3512,科目表!$B$4:$B$81,0)),""))</f>
        <v/>
      </c>
      <c r="G3512" s="67" t="str">
        <f aca="false">IF($E3512="","",IFERROR(INDEX(科目表!$E$4:$E$81,MATCH($E3512,科目表!$B$4:$B$81,0)),""))</f>
        <v/>
      </c>
      <c r="H3512" s="114"/>
      <c r="I3512" s="114"/>
      <c r="J3512" s="112"/>
      <c r="K3512" s="112"/>
      <c r="L3512" s="113"/>
      <c r="M3512" s="115"/>
      <c r="N3512" s="113"/>
      <c r="O3512" s="67" t="str">
        <f aca="false">IF($E3512="","","手工")</f>
        <v/>
      </c>
      <c r="P3512" s="113"/>
    </row>
    <row r="3513" customFormat="false" ht="18" hidden="false" customHeight="true" outlineLevel="0" collapsed="false">
      <c r="A3513" s="107" t="str">
        <f aca="false">IF($E3513="","",ROW()-3)</f>
        <v/>
      </c>
      <c r="B3513" s="111"/>
      <c r="C3513" s="112"/>
      <c r="D3513" s="113"/>
      <c r="E3513" s="112"/>
      <c r="F3513" s="99" t="str">
        <f aca="false">IF($E3513="","",IFERROR(INDEX(科目表!$A$4:$A$81,MATCH($E3513,科目表!$B$4:$B$81,0)),""))</f>
        <v/>
      </c>
      <c r="G3513" s="67" t="str">
        <f aca="false">IF($E3513="","",IFERROR(INDEX(科目表!$E$4:$E$81,MATCH($E3513,科目表!$B$4:$B$81,0)),""))</f>
        <v/>
      </c>
      <c r="H3513" s="114"/>
      <c r="I3513" s="114"/>
      <c r="J3513" s="112"/>
      <c r="K3513" s="112"/>
      <c r="L3513" s="113"/>
      <c r="M3513" s="115"/>
      <c r="N3513" s="113"/>
      <c r="O3513" s="67" t="str">
        <f aca="false">IF($E3513="","","手工")</f>
        <v/>
      </c>
      <c r="P3513" s="113"/>
    </row>
    <row r="3514" customFormat="false" ht="18" hidden="false" customHeight="true" outlineLevel="0" collapsed="false">
      <c r="A3514" s="107" t="str">
        <f aca="false">IF($E3514="","",ROW()-3)</f>
        <v/>
      </c>
      <c r="B3514" s="111"/>
      <c r="C3514" s="112"/>
      <c r="D3514" s="113"/>
      <c r="E3514" s="112"/>
      <c r="F3514" s="99" t="str">
        <f aca="false">IF($E3514="","",IFERROR(INDEX(科目表!$A$4:$A$81,MATCH($E3514,科目表!$B$4:$B$81,0)),""))</f>
        <v/>
      </c>
      <c r="G3514" s="67" t="str">
        <f aca="false">IF($E3514="","",IFERROR(INDEX(科目表!$E$4:$E$81,MATCH($E3514,科目表!$B$4:$B$81,0)),""))</f>
        <v/>
      </c>
      <c r="H3514" s="114"/>
      <c r="I3514" s="114"/>
      <c r="J3514" s="112"/>
      <c r="K3514" s="112"/>
      <c r="L3514" s="113"/>
      <c r="M3514" s="115"/>
      <c r="N3514" s="113"/>
      <c r="O3514" s="67" t="str">
        <f aca="false">IF($E3514="","","手工")</f>
        <v/>
      </c>
      <c r="P3514" s="113"/>
    </row>
    <row r="3515" customFormat="false" ht="18" hidden="false" customHeight="true" outlineLevel="0" collapsed="false">
      <c r="A3515" s="107" t="str">
        <f aca="false">IF($E3515="","",ROW()-3)</f>
        <v/>
      </c>
      <c r="B3515" s="111"/>
      <c r="C3515" s="112"/>
      <c r="D3515" s="113"/>
      <c r="E3515" s="112"/>
      <c r="F3515" s="99" t="str">
        <f aca="false">IF($E3515="","",IFERROR(INDEX(科目表!$A$4:$A$81,MATCH($E3515,科目表!$B$4:$B$81,0)),""))</f>
        <v/>
      </c>
      <c r="G3515" s="67" t="str">
        <f aca="false">IF($E3515="","",IFERROR(INDEX(科目表!$E$4:$E$81,MATCH($E3515,科目表!$B$4:$B$81,0)),""))</f>
        <v/>
      </c>
      <c r="H3515" s="114"/>
      <c r="I3515" s="114"/>
      <c r="J3515" s="112"/>
      <c r="K3515" s="112"/>
      <c r="L3515" s="113"/>
      <c r="M3515" s="115"/>
      <c r="N3515" s="113"/>
      <c r="O3515" s="67" t="str">
        <f aca="false">IF($E3515="","","手工")</f>
        <v/>
      </c>
      <c r="P3515" s="113"/>
    </row>
    <row r="3516" customFormat="false" ht="18" hidden="false" customHeight="true" outlineLevel="0" collapsed="false">
      <c r="A3516" s="107" t="str">
        <f aca="false">IF($E3516="","",ROW()-3)</f>
        <v/>
      </c>
      <c r="B3516" s="111"/>
      <c r="C3516" s="112"/>
      <c r="D3516" s="113"/>
      <c r="E3516" s="112"/>
      <c r="F3516" s="99" t="str">
        <f aca="false">IF($E3516="","",IFERROR(INDEX(科目表!$A$4:$A$81,MATCH($E3516,科目表!$B$4:$B$81,0)),""))</f>
        <v/>
      </c>
      <c r="G3516" s="67" t="str">
        <f aca="false">IF($E3516="","",IFERROR(INDEX(科目表!$E$4:$E$81,MATCH($E3516,科目表!$B$4:$B$81,0)),""))</f>
        <v/>
      </c>
      <c r="H3516" s="114"/>
      <c r="I3516" s="114"/>
      <c r="J3516" s="112"/>
      <c r="K3516" s="112"/>
      <c r="L3516" s="113"/>
      <c r="M3516" s="115"/>
      <c r="N3516" s="113"/>
      <c r="O3516" s="67" t="str">
        <f aca="false">IF($E3516="","","手工")</f>
        <v/>
      </c>
      <c r="P3516" s="113"/>
    </row>
    <row r="3517" customFormat="false" ht="18" hidden="false" customHeight="true" outlineLevel="0" collapsed="false">
      <c r="A3517" s="107" t="str">
        <f aca="false">IF($E3517="","",ROW()-3)</f>
        <v/>
      </c>
      <c r="B3517" s="111"/>
      <c r="C3517" s="112"/>
      <c r="D3517" s="113"/>
      <c r="E3517" s="112"/>
      <c r="F3517" s="99" t="str">
        <f aca="false">IF($E3517="","",IFERROR(INDEX(科目表!$A$4:$A$81,MATCH($E3517,科目表!$B$4:$B$81,0)),""))</f>
        <v/>
      </c>
      <c r="G3517" s="67" t="str">
        <f aca="false">IF($E3517="","",IFERROR(INDEX(科目表!$E$4:$E$81,MATCH($E3517,科目表!$B$4:$B$81,0)),""))</f>
        <v/>
      </c>
      <c r="H3517" s="114"/>
      <c r="I3517" s="114"/>
      <c r="J3517" s="112"/>
      <c r="K3517" s="112"/>
      <c r="L3517" s="113"/>
      <c r="M3517" s="115"/>
      <c r="N3517" s="113"/>
      <c r="O3517" s="67" t="str">
        <f aca="false">IF($E3517="","","手工")</f>
        <v/>
      </c>
      <c r="P3517" s="113"/>
    </row>
    <row r="3518" customFormat="false" ht="18" hidden="false" customHeight="true" outlineLevel="0" collapsed="false">
      <c r="A3518" s="107" t="str">
        <f aca="false">IF($E3518="","",ROW()-3)</f>
        <v/>
      </c>
      <c r="B3518" s="111"/>
      <c r="C3518" s="112"/>
      <c r="D3518" s="113"/>
      <c r="E3518" s="112"/>
      <c r="F3518" s="99" t="str">
        <f aca="false">IF($E3518="","",IFERROR(INDEX(科目表!$A$4:$A$81,MATCH($E3518,科目表!$B$4:$B$81,0)),""))</f>
        <v/>
      </c>
      <c r="G3518" s="67" t="str">
        <f aca="false">IF($E3518="","",IFERROR(INDEX(科目表!$E$4:$E$81,MATCH($E3518,科目表!$B$4:$B$81,0)),""))</f>
        <v/>
      </c>
      <c r="H3518" s="114"/>
      <c r="I3518" s="114"/>
      <c r="J3518" s="112"/>
      <c r="K3518" s="112"/>
      <c r="L3518" s="113"/>
      <c r="M3518" s="115"/>
      <c r="N3518" s="113"/>
      <c r="O3518" s="67" t="str">
        <f aca="false">IF($E3518="","","手工")</f>
        <v/>
      </c>
      <c r="P3518" s="113"/>
    </row>
    <row r="3519" customFormat="false" ht="18" hidden="false" customHeight="true" outlineLevel="0" collapsed="false">
      <c r="A3519" s="107" t="str">
        <f aca="false">IF($E3519="","",ROW()-3)</f>
        <v/>
      </c>
      <c r="B3519" s="111"/>
      <c r="C3519" s="112"/>
      <c r="D3519" s="113"/>
      <c r="E3519" s="112"/>
      <c r="F3519" s="99" t="str">
        <f aca="false">IF($E3519="","",IFERROR(INDEX(科目表!$A$4:$A$81,MATCH($E3519,科目表!$B$4:$B$81,0)),""))</f>
        <v/>
      </c>
      <c r="G3519" s="67" t="str">
        <f aca="false">IF($E3519="","",IFERROR(INDEX(科目表!$E$4:$E$81,MATCH($E3519,科目表!$B$4:$B$81,0)),""))</f>
        <v/>
      </c>
      <c r="H3519" s="114"/>
      <c r="I3519" s="114"/>
      <c r="J3519" s="112"/>
      <c r="K3519" s="112"/>
      <c r="L3519" s="113"/>
      <c r="M3519" s="115"/>
      <c r="N3519" s="113"/>
      <c r="O3519" s="67" t="str">
        <f aca="false">IF($E3519="","","手工")</f>
        <v/>
      </c>
      <c r="P3519" s="113"/>
    </row>
    <row r="3520" customFormat="false" ht="18" hidden="false" customHeight="true" outlineLevel="0" collapsed="false">
      <c r="A3520" s="107" t="str">
        <f aca="false">IF($E3520="","",ROW()-3)</f>
        <v/>
      </c>
      <c r="B3520" s="111"/>
      <c r="C3520" s="112"/>
      <c r="D3520" s="113"/>
      <c r="E3520" s="112"/>
      <c r="F3520" s="99" t="str">
        <f aca="false">IF($E3520="","",IFERROR(INDEX(科目表!$A$4:$A$81,MATCH($E3520,科目表!$B$4:$B$81,0)),""))</f>
        <v/>
      </c>
      <c r="G3520" s="67" t="str">
        <f aca="false">IF($E3520="","",IFERROR(INDEX(科目表!$E$4:$E$81,MATCH($E3520,科目表!$B$4:$B$81,0)),""))</f>
        <v/>
      </c>
      <c r="H3520" s="114"/>
      <c r="I3520" s="114"/>
      <c r="J3520" s="112"/>
      <c r="K3520" s="112"/>
      <c r="L3520" s="113"/>
      <c r="M3520" s="115"/>
      <c r="N3520" s="113"/>
      <c r="O3520" s="67" t="str">
        <f aca="false">IF($E3520="","","手工")</f>
        <v/>
      </c>
      <c r="P3520" s="113"/>
    </row>
    <row r="3521" customFormat="false" ht="18" hidden="false" customHeight="true" outlineLevel="0" collapsed="false">
      <c r="A3521" s="107" t="str">
        <f aca="false">IF($E3521="","",ROW()-3)</f>
        <v/>
      </c>
      <c r="B3521" s="111"/>
      <c r="C3521" s="112"/>
      <c r="D3521" s="113"/>
      <c r="E3521" s="112"/>
      <c r="F3521" s="99" t="str">
        <f aca="false">IF($E3521="","",IFERROR(INDEX(科目表!$A$4:$A$81,MATCH($E3521,科目表!$B$4:$B$81,0)),""))</f>
        <v/>
      </c>
      <c r="G3521" s="67" t="str">
        <f aca="false">IF($E3521="","",IFERROR(INDEX(科目表!$E$4:$E$81,MATCH($E3521,科目表!$B$4:$B$81,0)),""))</f>
        <v/>
      </c>
      <c r="H3521" s="114"/>
      <c r="I3521" s="114"/>
      <c r="J3521" s="112"/>
      <c r="K3521" s="112"/>
      <c r="L3521" s="113"/>
      <c r="M3521" s="115"/>
      <c r="N3521" s="113"/>
      <c r="O3521" s="67" t="str">
        <f aca="false">IF($E3521="","","手工")</f>
        <v/>
      </c>
      <c r="P3521" s="113"/>
    </row>
    <row r="3522" customFormat="false" ht="18" hidden="false" customHeight="true" outlineLevel="0" collapsed="false">
      <c r="A3522" s="107" t="str">
        <f aca="false">IF($E3522="","",ROW()-3)</f>
        <v/>
      </c>
      <c r="B3522" s="111"/>
      <c r="C3522" s="112"/>
      <c r="D3522" s="113"/>
      <c r="E3522" s="112"/>
      <c r="F3522" s="99" t="str">
        <f aca="false">IF($E3522="","",IFERROR(INDEX(科目表!$A$4:$A$81,MATCH($E3522,科目表!$B$4:$B$81,0)),""))</f>
        <v/>
      </c>
      <c r="G3522" s="67" t="str">
        <f aca="false">IF($E3522="","",IFERROR(INDEX(科目表!$E$4:$E$81,MATCH($E3522,科目表!$B$4:$B$81,0)),""))</f>
        <v/>
      </c>
      <c r="H3522" s="114"/>
      <c r="I3522" s="114"/>
      <c r="J3522" s="112"/>
      <c r="K3522" s="112"/>
      <c r="L3522" s="113"/>
      <c r="M3522" s="115"/>
      <c r="N3522" s="113"/>
      <c r="O3522" s="67" t="str">
        <f aca="false">IF($E3522="","","手工")</f>
        <v/>
      </c>
      <c r="P3522" s="113"/>
    </row>
    <row r="3523" customFormat="false" ht="18" hidden="false" customHeight="true" outlineLevel="0" collapsed="false">
      <c r="A3523" s="107" t="str">
        <f aca="false">IF($E3523="","",ROW()-3)</f>
        <v/>
      </c>
      <c r="B3523" s="111"/>
      <c r="C3523" s="112"/>
      <c r="D3523" s="113"/>
      <c r="E3523" s="112"/>
      <c r="F3523" s="99" t="str">
        <f aca="false">IF($E3523="","",IFERROR(INDEX(科目表!$A$4:$A$81,MATCH($E3523,科目表!$B$4:$B$81,0)),""))</f>
        <v/>
      </c>
      <c r="G3523" s="67" t="str">
        <f aca="false">IF($E3523="","",IFERROR(INDEX(科目表!$E$4:$E$81,MATCH($E3523,科目表!$B$4:$B$81,0)),""))</f>
        <v/>
      </c>
      <c r="H3523" s="114"/>
      <c r="I3523" s="114"/>
      <c r="J3523" s="112"/>
      <c r="K3523" s="112"/>
      <c r="L3523" s="113"/>
      <c r="M3523" s="115"/>
      <c r="N3523" s="113"/>
      <c r="O3523" s="67" t="str">
        <f aca="false">IF($E3523="","","手工")</f>
        <v/>
      </c>
      <c r="P3523" s="113"/>
    </row>
    <row r="3524" customFormat="false" ht="18" hidden="false" customHeight="true" outlineLevel="0" collapsed="false">
      <c r="A3524" s="107" t="str">
        <f aca="false">IF($E3524="","",ROW()-3)</f>
        <v/>
      </c>
      <c r="B3524" s="111"/>
      <c r="C3524" s="112"/>
      <c r="D3524" s="113"/>
      <c r="E3524" s="112"/>
      <c r="F3524" s="99" t="str">
        <f aca="false">IF($E3524="","",IFERROR(INDEX(科目表!$A$4:$A$81,MATCH($E3524,科目表!$B$4:$B$81,0)),""))</f>
        <v/>
      </c>
      <c r="G3524" s="67" t="str">
        <f aca="false">IF($E3524="","",IFERROR(INDEX(科目表!$E$4:$E$81,MATCH($E3524,科目表!$B$4:$B$81,0)),""))</f>
        <v/>
      </c>
      <c r="H3524" s="114"/>
      <c r="I3524" s="114"/>
      <c r="J3524" s="112"/>
      <c r="K3524" s="112"/>
      <c r="L3524" s="113"/>
      <c r="M3524" s="115"/>
      <c r="N3524" s="113"/>
      <c r="O3524" s="67" t="str">
        <f aca="false">IF($E3524="","","手工")</f>
        <v/>
      </c>
      <c r="P3524" s="113"/>
    </row>
    <row r="3525" customFormat="false" ht="18" hidden="false" customHeight="true" outlineLevel="0" collapsed="false">
      <c r="A3525" s="107" t="str">
        <f aca="false">IF($E3525="","",ROW()-3)</f>
        <v/>
      </c>
      <c r="B3525" s="111"/>
      <c r="C3525" s="112"/>
      <c r="D3525" s="113"/>
      <c r="E3525" s="112"/>
      <c r="F3525" s="99" t="str">
        <f aca="false">IF($E3525="","",IFERROR(INDEX(科目表!$A$4:$A$81,MATCH($E3525,科目表!$B$4:$B$81,0)),""))</f>
        <v/>
      </c>
      <c r="G3525" s="67" t="str">
        <f aca="false">IF($E3525="","",IFERROR(INDEX(科目表!$E$4:$E$81,MATCH($E3525,科目表!$B$4:$B$81,0)),""))</f>
        <v/>
      </c>
      <c r="H3525" s="114"/>
      <c r="I3525" s="114"/>
      <c r="J3525" s="112"/>
      <c r="K3525" s="112"/>
      <c r="L3525" s="113"/>
      <c r="M3525" s="115"/>
      <c r="N3525" s="113"/>
      <c r="O3525" s="67" t="str">
        <f aca="false">IF($E3525="","","手工")</f>
        <v/>
      </c>
      <c r="P3525" s="113"/>
    </row>
    <row r="3526" customFormat="false" ht="18" hidden="false" customHeight="true" outlineLevel="0" collapsed="false">
      <c r="A3526" s="107" t="str">
        <f aca="false">IF($E3526="","",ROW()-3)</f>
        <v/>
      </c>
      <c r="B3526" s="111"/>
      <c r="C3526" s="112"/>
      <c r="D3526" s="113"/>
      <c r="E3526" s="112"/>
      <c r="F3526" s="99" t="str">
        <f aca="false">IF($E3526="","",IFERROR(INDEX(科目表!$A$4:$A$81,MATCH($E3526,科目表!$B$4:$B$81,0)),""))</f>
        <v/>
      </c>
      <c r="G3526" s="67" t="str">
        <f aca="false">IF($E3526="","",IFERROR(INDEX(科目表!$E$4:$E$81,MATCH($E3526,科目表!$B$4:$B$81,0)),""))</f>
        <v/>
      </c>
      <c r="H3526" s="114"/>
      <c r="I3526" s="114"/>
      <c r="J3526" s="112"/>
      <c r="K3526" s="112"/>
      <c r="L3526" s="113"/>
      <c r="M3526" s="115"/>
      <c r="N3526" s="113"/>
      <c r="O3526" s="67" t="str">
        <f aca="false">IF($E3526="","","手工")</f>
        <v/>
      </c>
      <c r="P3526" s="113"/>
    </row>
    <row r="3527" customFormat="false" ht="18" hidden="false" customHeight="true" outlineLevel="0" collapsed="false">
      <c r="A3527" s="107" t="str">
        <f aca="false">IF($E3527="","",ROW()-3)</f>
        <v/>
      </c>
      <c r="B3527" s="111"/>
      <c r="C3527" s="112"/>
      <c r="D3527" s="113"/>
      <c r="E3527" s="112"/>
      <c r="F3527" s="99" t="str">
        <f aca="false">IF($E3527="","",IFERROR(INDEX(科目表!$A$4:$A$81,MATCH($E3527,科目表!$B$4:$B$81,0)),""))</f>
        <v/>
      </c>
      <c r="G3527" s="67" t="str">
        <f aca="false">IF($E3527="","",IFERROR(INDEX(科目表!$E$4:$E$81,MATCH($E3527,科目表!$B$4:$B$81,0)),""))</f>
        <v/>
      </c>
      <c r="H3527" s="114"/>
      <c r="I3527" s="114"/>
      <c r="J3527" s="112"/>
      <c r="K3527" s="112"/>
      <c r="L3527" s="113"/>
      <c r="M3527" s="115"/>
      <c r="N3527" s="113"/>
      <c r="O3527" s="67" t="str">
        <f aca="false">IF($E3527="","","手工")</f>
        <v/>
      </c>
      <c r="P3527" s="113"/>
    </row>
    <row r="3528" customFormat="false" ht="18" hidden="false" customHeight="true" outlineLevel="0" collapsed="false">
      <c r="A3528" s="107" t="str">
        <f aca="false">IF($E3528="","",ROW()-3)</f>
        <v/>
      </c>
      <c r="B3528" s="111"/>
      <c r="C3528" s="112"/>
      <c r="D3528" s="113"/>
      <c r="E3528" s="112"/>
      <c r="F3528" s="99" t="str">
        <f aca="false">IF($E3528="","",IFERROR(INDEX(科目表!$A$4:$A$81,MATCH($E3528,科目表!$B$4:$B$81,0)),""))</f>
        <v/>
      </c>
      <c r="G3528" s="67" t="str">
        <f aca="false">IF($E3528="","",IFERROR(INDEX(科目表!$E$4:$E$81,MATCH($E3528,科目表!$B$4:$B$81,0)),""))</f>
        <v/>
      </c>
      <c r="H3528" s="114"/>
      <c r="I3528" s="114"/>
      <c r="J3528" s="112"/>
      <c r="K3528" s="112"/>
      <c r="L3528" s="113"/>
      <c r="M3528" s="115"/>
      <c r="N3528" s="113"/>
      <c r="O3528" s="67" t="str">
        <f aca="false">IF($E3528="","","手工")</f>
        <v/>
      </c>
      <c r="P3528" s="113"/>
    </row>
    <row r="3529" customFormat="false" ht="18" hidden="false" customHeight="true" outlineLevel="0" collapsed="false">
      <c r="A3529" s="107" t="str">
        <f aca="false">IF($E3529="","",ROW()-3)</f>
        <v/>
      </c>
      <c r="B3529" s="111"/>
      <c r="C3529" s="112"/>
      <c r="D3529" s="113"/>
      <c r="E3529" s="112"/>
      <c r="F3529" s="99" t="str">
        <f aca="false">IF($E3529="","",IFERROR(INDEX(科目表!$A$4:$A$81,MATCH($E3529,科目表!$B$4:$B$81,0)),""))</f>
        <v/>
      </c>
      <c r="G3529" s="67" t="str">
        <f aca="false">IF($E3529="","",IFERROR(INDEX(科目表!$E$4:$E$81,MATCH($E3529,科目表!$B$4:$B$81,0)),""))</f>
        <v/>
      </c>
      <c r="H3529" s="114"/>
      <c r="I3529" s="114"/>
      <c r="J3529" s="112"/>
      <c r="K3529" s="112"/>
      <c r="L3529" s="113"/>
      <c r="M3529" s="115"/>
      <c r="N3529" s="113"/>
      <c r="O3529" s="67" t="str">
        <f aca="false">IF($E3529="","","手工")</f>
        <v/>
      </c>
      <c r="P3529" s="113"/>
    </row>
    <row r="3530" customFormat="false" ht="18" hidden="false" customHeight="true" outlineLevel="0" collapsed="false">
      <c r="A3530" s="107" t="str">
        <f aca="false">IF($E3530="","",ROW()-3)</f>
        <v/>
      </c>
      <c r="B3530" s="111"/>
      <c r="C3530" s="112"/>
      <c r="D3530" s="113"/>
      <c r="E3530" s="112"/>
      <c r="F3530" s="99" t="str">
        <f aca="false">IF($E3530="","",IFERROR(INDEX(科目表!$A$4:$A$81,MATCH($E3530,科目表!$B$4:$B$81,0)),""))</f>
        <v/>
      </c>
      <c r="G3530" s="67" t="str">
        <f aca="false">IF($E3530="","",IFERROR(INDEX(科目表!$E$4:$E$81,MATCH($E3530,科目表!$B$4:$B$81,0)),""))</f>
        <v/>
      </c>
      <c r="H3530" s="114"/>
      <c r="I3530" s="114"/>
      <c r="J3530" s="112"/>
      <c r="K3530" s="112"/>
      <c r="L3530" s="113"/>
      <c r="M3530" s="115"/>
      <c r="N3530" s="113"/>
      <c r="O3530" s="67" t="str">
        <f aca="false">IF($E3530="","","手工")</f>
        <v/>
      </c>
      <c r="P3530" s="113"/>
    </row>
    <row r="3531" customFormat="false" ht="18" hidden="false" customHeight="true" outlineLevel="0" collapsed="false">
      <c r="A3531" s="107" t="str">
        <f aca="false">IF($E3531="","",ROW()-3)</f>
        <v/>
      </c>
      <c r="B3531" s="111"/>
      <c r="C3531" s="112"/>
      <c r="D3531" s="113"/>
      <c r="E3531" s="112"/>
      <c r="F3531" s="99" t="str">
        <f aca="false">IF($E3531="","",IFERROR(INDEX(科目表!$A$4:$A$81,MATCH($E3531,科目表!$B$4:$B$81,0)),""))</f>
        <v/>
      </c>
      <c r="G3531" s="67" t="str">
        <f aca="false">IF($E3531="","",IFERROR(INDEX(科目表!$E$4:$E$81,MATCH($E3531,科目表!$B$4:$B$81,0)),""))</f>
        <v/>
      </c>
      <c r="H3531" s="114"/>
      <c r="I3531" s="114"/>
      <c r="J3531" s="112"/>
      <c r="K3531" s="112"/>
      <c r="L3531" s="113"/>
      <c r="M3531" s="115"/>
      <c r="N3531" s="113"/>
      <c r="O3531" s="67" t="str">
        <f aca="false">IF($E3531="","","手工")</f>
        <v/>
      </c>
      <c r="P3531" s="113"/>
    </row>
    <row r="3532" customFormat="false" ht="18" hidden="false" customHeight="true" outlineLevel="0" collapsed="false">
      <c r="A3532" s="107" t="str">
        <f aca="false">IF($E3532="","",ROW()-3)</f>
        <v/>
      </c>
      <c r="B3532" s="111"/>
      <c r="C3532" s="112"/>
      <c r="D3532" s="113"/>
      <c r="E3532" s="112"/>
      <c r="F3532" s="99" t="str">
        <f aca="false">IF($E3532="","",IFERROR(INDEX(科目表!$A$4:$A$81,MATCH($E3532,科目表!$B$4:$B$81,0)),""))</f>
        <v/>
      </c>
      <c r="G3532" s="67" t="str">
        <f aca="false">IF($E3532="","",IFERROR(INDEX(科目表!$E$4:$E$81,MATCH($E3532,科目表!$B$4:$B$81,0)),""))</f>
        <v/>
      </c>
      <c r="H3532" s="114"/>
      <c r="I3532" s="114"/>
      <c r="J3532" s="112"/>
      <c r="K3532" s="112"/>
      <c r="L3532" s="113"/>
      <c r="M3532" s="115"/>
      <c r="N3532" s="113"/>
      <c r="O3532" s="67" t="str">
        <f aca="false">IF($E3532="","","手工")</f>
        <v/>
      </c>
      <c r="P3532" s="113"/>
    </row>
    <row r="3533" customFormat="false" ht="18" hidden="false" customHeight="true" outlineLevel="0" collapsed="false">
      <c r="A3533" s="107" t="str">
        <f aca="false">IF($E3533="","",ROW()-3)</f>
        <v/>
      </c>
      <c r="B3533" s="111"/>
      <c r="C3533" s="112"/>
      <c r="D3533" s="113"/>
      <c r="E3533" s="112"/>
      <c r="F3533" s="99" t="str">
        <f aca="false">IF($E3533="","",IFERROR(INDEX(科目表!$A$4:$A$81,MATCH($E3533,科目表!$B$4:$B$81,0)),""))</f>
        <v/>
      </c>
      <c r="G3533" s="67" t="str">
        <f aca="false">IF($E3533="","",IFERROR(INDEX(科目表!$E$4:$E$81,MATCH($E3533,科目表!$B$4:$B$81,0)),""))</f>
        <v/>
      </c>
      <c r="H3533" s="114"/>
      <c r="I3533" s="114"/>
      <c r="J3533" s="112"/>
      <c r="K3533" s="112"/>
      <c r="L3533" s="113"/>
      <c r="M3533" s="115"/>
      <c r="N3533" s="113"/>
      <c r="O3533" s="67" t="str">
        <f aca="false">IF($E3533="","","手工")</f>
        <v/>
      </c>
      <c r="P3533" s="113"/>
    </row>
    <row r="3534" customFormat="false" ht="18" hidden="false" customHeight="true" outlineLevel="0" collapsed="false">
      <c r="A3534" s="107" t="str">
        <f aca="false">IF($E3534="","",ROW()-3)</f>
        <v/>
      </c>
      <c r="B3534" s="111"/>
      <c r="C3534" s="112"/>
      <c r="D3534" s="113"/>
      <c r="E3534" s="112"/>
      <c r="F3534" s="99" t="str">
        <f aca="false">IF($E3534="","",IFERROR(INDEX(科目表!$A$4:$A$81,MATCH($E3534,科目表!$B$4:$B$81,0)),""))</f>
        <v/>
      </c>
      <c r="G3534" s="67" t="str">
        <f aca="false">IF($E3534="","",IFERROR(INDEX(科目表!$E$4:$E$81,MATCH($E3534,科目表!$B$4:$B$81,0)),""))</f>
        <v/>
      </c>
      <c r="H3534" s="114"/>
      <c r="I3534" s="114"/>
      <c r="J3534" s="112"/>
      <c r="K3534" s="112"/>
      <c r="L3534" s="113"/>
      <c r="M3534" s="115"/>
      <c r="N3534" s="113"/>
      <c r="O3534" s="67" t="str">
        <f aca="false">IF($E3534="","","手工")</f>
        <v/>
      </c>
      <c r="P3534" s="113"/>
    </row>
    <row r="3535" customFormat="false" ht="18" hidden="false" customHeight="true" outlineLevel="0" collapsed="false">
      <c r="A3535" s="107" t="str">
        <f aca="false">IF($E3535="","",ROW()-3)</f>
        <v/>
      </c>
      <c r="B3535" s="111"/>
      <c r="C3535" s="112"/>
      <c r="D3535" s="113"/>
      <c r="E3535" s="112"/>
      <c r="F3535" s="99" t="str">
        <f aca="false">IF($E3535="","",IFERROR(INDEX(科目表!$A$4:$A$81,MATCH($E3535,科目表!$B$4:$B$81,0)),""))</f>
        <v/>
      </c>
      <c r="G3535" s="67" t="str">
        <f aca="false">IF($E3535="","",IFERROR(INDEX(科目表!$E$4:$E$81,MATCH($E3535,科目表!$B$4:$B$81,0)),""))</f>
        <v/>
      </c>
      <c r="H3535" s="114"/>
      <c r="I3535" s="114"/>
      <c r="J3535" s="112"/>
      <c r="K3535" s="112"/>
      <c r="L3535" s="113"/>
      <c r="M3535" s="115"/>
      <c r="N3535" s="113"/>
      <c r="O3535" s="67" t="str">
        <f aca="false">IF($E3535="","","手工")</f>
        <v/>
      </c>
      <c r="P3535" s="113"/>
    </row>
    <row r="3536" customFormat="false" ht="18" hidden="false" customHeight="true" outlineLevel="0" collapsed="false">
      <c r="A3536" s="107" t="str">
        <f aca="false">IF($E3536="","",ROW()-3)</f>
        <v/>
      </c>
      <c r="B3536" s="111"/>
      <c r="C3536" s="112"/>
      <c r="D3536" s="113"/>
      <c r="E3536" s="112"/>
      <c r="F3536" s="99" t="str">
        <f aca="false">IF($E3536="","",IFERROR(INDEX(科目表!$A$4:$A$81,MATCH($E3536,科目表!$B$4:$B$81,0)),""))</f>
        <v/>
      </c>
      <c r="G3536" s="67" t="str">
        <f aca="false">IF($E3536="","",IFERROR(INDEX(科目表!$E$4:$E$81,MATCH($E3536,科目表!$B$4:$B$81,0)),""))</f>
        <v/>
      </c>
      <c r="H3536" s="114"/>
      <c r="I3536" s="114"/>
      <c r="J3536" s="112"/>
      <c r="K3536" s="112"/>
      <c r="L3536" s="113"/>
      <c r="M3536" s="115"/>
      <c r="N3536" s="113"/>
      <c r="O3536" s="67" t="str">
        <f aca="false">IF($E3536="","","手工")</f>
        <v/>
      </c>
      <c r="P3536" s="113"/>
    </row>
    <row r="3537" customFormat="false" ht="18" hidden="false" customHeight="true" outlineLevel="0" collapsed="false">
      <c r="A3537" s="107" t="str">
        <f aca="false">IF($E3537="","",ROW()-3)</f>
        <v/>
      </c>
      <c r="B3537" s="111"/>
      <c r="C3537" s="112"/>
      <c r="D3537" s="113"/>
      <c r="E3537" s="112"/>
      <c r="F3537" s="99" t="str">
        <f aca="false">IF($E3537="","",IFERROR(INDEX(科目表!$A$4:$A$81,MATCH($E3537,科目表!$B$4:$B$81,0)),""))</f>
        <v/>
      </c>
      <c r="G3537" s="67" t="str">
        <f aca="false">IF($E3537="","",IFERROR(INDEX(科目表!$E$4:$E$81,MATCH($E3537,科目表!$B$4:$B$81,0)),""))</f>
        <v/>
      </c>
      <c r="H3537" s="114"/>
      <c r="I3537" s="114"/>
      <c r="J3537" s="112"/>
      <c r="K3537" s="112"/>
      <c r="L3537" s="113"/>
      <c r="M3537" s="115"/>
      <c r="N3537" s="113"/>
      <c r="O3537" s="67" t="str">
        <f aca="false">IF($E3537="","","手工")</f>
        <v/>
      </c>
      <c r="P3537" s="113"/>
    </row>
    <row r="3538" customFormat="false" ht="18" hidden="false" customHeight="true" outlineLevel="0" collapsed="false">
      <c r="A3538" s="107" t="str">
        <f aca="false">IF($E3538="","",ROW()-3)</f>
        <v/>
      </c>
      <c r="B3538" s="111"/>
      <c r="C3538" s="112"/>
      <c r="D3538" s="113"/>
      <c r="E3538" s="112"/>
      <c r="F3538" s="99" t="str">
        <f aca="false">IF($E3538="","",IFERROR(INDEX(科目表!$A$4:$A$81,MATCH($E3538,科目表!$B$4:$B$81,0)),""))</f>
        <v/>
      </c>
      <c r="G3538" s="67" t="str">
        <f aca="false">IF($E3538="","",IFERROR(INDEX(科目表!$E$4:$E$81,MATCH($E3538,科目表!$B$4:$B$81,0)),""))</f>
        <v/>
      </c>
      <c r="H3538" s="114"/>
      <c r="I3538" s="114"/>
      <c r="J3538" s="112"/>
      <c r="K3538" s="112"/>
      <c r="L3538" s="113"/>
      <c r="M3538" s="115"/>
      <c r="N3538" s="113"/>
      <c r="O3538" s="67" t="str">
        <f aca="false">IF($E3538="","","手工")</f>
        <v/>
      </c>
      <c r="P3538" s="113"/>
    </row>
    <row r="3539" customFormat="false" ht="18" hidden="false" customHeight="true" outlineLevel="0" collapsed="false">
      <c r="A3539" s="107" t="str">
        <f aca="false">IF($E3539="","",ROW()-3)</f>
        <v/>
      </c>
      <c r="B3539" s="111"/>
      <c r="C3539" s="112"/>
      <c r="D3539" s="113"/>
      <c r="E3539" s="112"/>
      <c r="F3539" s="99" t="str">
        <f aca="false">IF($E3539="","",IFERROR(INDEX(科目表!$A$4:$A$81,MATCH($E3539,科目表!$B$4:$B$81,0)),""))</f>
        <v/>
      </c>
      <c r="G3539" s="67" t="str">
        <f aca="false">IF($E3539="","",IFERROR(INDEX(科目表!$E$4:$E$81,MATCH($E3539,科目表!$B$4:$B$81,0)),""))</f>
        <v/>
      </c>
      <c r="H3539" s="114"/>
      <c r="I3539" s="114"/>
      <c r="J3539" s="112"/>
      <c r="K3539" s="112"/>
      <c r="L3539" s="113"/>
      <c r="M3539" s="115"/>
      <c r="N3539" s="113"/>
      <c r="O3539" s="67" t="str">
        <f aca="false">IF($E3539="","","手工")</f>
        <v/>
      </c>
      <c r="P3539" s="113"/>
    </row>
    <row r="3540" customFormat="false" ht="18" hidden="false" customHeight="true" outlineLevel="0" collapsed="false">
      <c r="A3540" s="107" t="str">
        <f aca="false">IF($E3540="","",ROW()-3)</f>
        <v/>
      </c>
      <c r="B3540" s="111"/>
      <c r="C3540" s="112"/>
      <c r="D3540" s="113"/>
      <c r="E3540" s="112"/>
      <c r="F3540" s="99" t="str">
        <f aca="false">IF($E3540="","",IFERROR(INDEX(科目表!$A$4:$A$81,MATCH($E3540,科目表!$B$4:$B$81,0)),""))</f>
        <v/>
      </c>
      <c r="G3540" s="67" t="str">
        <f aca="false">IF($E3540="","",IFERROR(INDEX(科目表!$E$4:$E$81,MATCH($E3540,科目表!$B$4:$B$81,0)),""))</f>
        <v/>
      </c>
      <c r="H3540" s="114"/>
      <c r="I3540" s="114"/>
      <c r="J3540" s="112"/>
      <c r="K3540" s="112"/>
      <c r="L3540" s="113"/>
      <c r="M3540" s="115"/>
      <c r="N3540" s="113"/>
      <c r="O3540" s="67" t="str">
        <f aca="false">IF($E3540="","","手工")</f>
        <v/>
      </c>
      <c r="P3540" s="113"/>
    </row>
    <row r="3541" customFormat="false" ht="18" hidden="false" customHeight="true" outlineLevel="0" collapsed="false">
      <c r="A3541" s="107" t="str">
        <f aca="false">IF($E3541="","",ROW()-3)</f>
        <v/>
      </c>
      <c r="B3541" s="111"/>
      <c r="C3541" s="112"/>
      <c r="D3541" s="113"/>
      <c r="E3541" s="112"/>
      <c r="F3541" s="99" t="str">
        <f aca="false">IF($E3541="","",IFERROR(INDEX(科目表!$A$4:$A$81,MATCH($E3541,科目表!$B$4:$B$81,0)),""))</f>
        <v/>
      </c>
      <c r="G3541" s="67" t="str">
        <f aca="false">IF($E3541="","",IFERROR(INDEX(科目表!$E$4:$E$81,MATCH($E3541,科目表!$B$4:$B$81,0)),""))</f>
        <v/>
      </c>
      <c r="H3541" s="114"/>
      <c r="I3541" s="114"/>
      <c r="J3541" s="112"/>
      <c r="K3541" s="112"/>
      <c r="L3541" s="113"/>
      <c r="M3541" s="115"/>
      <c r="N3541" s="113"/>
      <c r="O3541" s="67" t="str">
        <f aca="false">IF($E3541="","","手工")</f>
        <v/>
      </c>
      <c r="P3541" s="113"/>
    </row>
    <row r="3542" customFormat="false" ht="18" hidden="false" customHeight="true" outlineLevel="0" collapsed="false">
      <c r="A3542" s="107" t="str">
        <f aca="false">IF($E3542="","",ROW()-3)</f>
        <v/>
      </c>
      <c r="B3542" s="111"/>
      <c r="C3542" s="112"/>
      <c r="D3542" s="113"/>
      <c r="E3542" s="112"/>
      <c r="F3542" s="99" t="str">
        <f aca="false">IF($E3542="","",IFERROR(INDEX(科目表!$A$4:$A$81,MATCH($E3542,科目表!$B$4:$B$81,0)),""))</f>
        <v/>
      </c>
      <c r="G3542" s="67" t="str">
        <f aca="false">IF($E3542="","",IFERROR(INDEX(科目表!$E$4:$E$81,MATCH($E3542,科目表!$B$4:$B$81,0)),""))</f>
        <v/>
      </c>
      <c r="H3542" s="114"/>
      <c r="I3542" s="114"/>
      <c r="J3542" s="112"/>
      <c r="K3542" s="112"/>
      <c r="L3542" s="113"/>
      <c r="M3542" s="115"/>
      <c r="N3542" s="113"/>
      <c r="O3542" s="67" t="str">
        <f aca="false">IF($E3542="","","手工")</f>
        <v/>
      </c>
      <c r="P3542" s="113"/>
    </row>
    <row r="3543" customFormat="false" ht="18" hidden="false" customHeight="true" outlineLevel="0" collapsed="false">
      <c r="A3543" s="107" t="str">
        <f aca="false">IF($E3543="","",ROW()-3)</f>
        <v/>
      </c>
      <c r="B3543" s="111"/>
      <c r="C3543" s="112"/>
      <c r="D3543" s="113"/>
      <c r="E3543" s="112"/>
      <c r="F3543" s="99" t="str">
        <f aca="false">IF($E3543="","",IFERROR(INDEX(科目表!$A$4:$A$81,MATCH($E3543,科目表!$B$4:$B$81,0)),""))</f>
        <v/>
      </c>
      <c r="G3543" s="67" t="str">
        <f aca="false">IF($E3543="","",IFERROR(INDEX(科目表!$E$4:$E$81,MATCH($E3543,科目表!$B$4:$B$81,0)),""))</f>
        <v/>
      </c>
      <c r="H3543" s="114"/>
      <c r="I3543" s="114"/>
      <c r="J3543" s="112"/>
      <c r="K3543" s="112"/>
      <c r="L3543" s="113"/>
      <c r="M3543" s="115"/>
      <c r="N3543" s="113"/>
      <c r="O3543" s="67" t="str">
        <f aca="false">IF($E3543="","","手工")</f>
        <v/>
      </c>
      <c r="P3543" s="113"/>
    </row>
    <row r="3544" customFormat="false" ht="18" hidden="false" customHeight="true" outlineLevel="0" collapsed="false">
      <c r="A3544" s="107" t="str">
        <f aca="false">IF($E3544="","",ROW()-3)</f>
        <v/>
      </c>
      <c r="B3544" s="111"/>
      <c r="C3544" s="112"/>
      <c r="D3544" s="113"/>
      <c r="E3544" s="112"/>
      <c r="F3544" s="99" t="str">
        <f aca="false">IF($E3544="","",IFERROR(INDEX(科目表!$A$4:$A$81,MATCH($E3544,科目表!$B$4:$B$81,0)),""))</f>
        <v/>
      </c>
      <c r="G3544" s="67" t="str">
        <f aca="false">IF($E3544="","",IFERROR(INDEX(科目表!$E$4:$E$81,MATCH($E3544,科目表!$B$4:$B$81,0)),""))</f>
        <v/>
      </c>
      <c r="H3544" s="114"/>
      <c r="I3544" s="114"/>
      <c r="J3544" s="112"/>
      <c r="K3544" s="112"/>
      <c r="L3544" s="113"/>
      <c r="M3544" s="115"/>
      <c r="N3544" s="113"/>
      <c r="O3544" s="67" t="str">
        <f aca="false">IF($E3544="","","手工")</f>
        <v/>
      </c>
      <c r="P3544" s="113"/>
    </row>
    <row r="3545" customFormat="false" ht="18" hidden="false" customHeight="true" outlineLevel="0" collapsed="false">
      <c r="A3545" s="107" t="str">
        <f aca="false">IF($E3545="","",ROW()-3)</f>
        <v/>
      </c>
      <c r="B3545" s="111"/>
      <c r="C3545" s="112"/>
      <c r="D3545" s="113"/>
      <c r="E3545" s="112"/>
      <c r="F3545" s="99" t="str">
        <f aca="false">IF($E3545="","",IFERROR(INDEX(科目表!$A$4:$A$81,MATCH($E3545,科目表!$B$4:$B$81,0)),""))</f>
        <v/>
      </c>
      <c r="G3545" s="67" t="str">
        <f aca="false">IF($E3545="","",IFERROR(INDEX(科目表!$E$4:$E$81,MATCH($E3545,科目表!$B$4:$B$81,0)),""))</f>
        <v/>
      </c>
      <c r="H3545" s="114"/>
      <c r="I3545" s="114"/>
      <c r="J3545" s="112"/>
      <c r="K3545" s="112"/>
      <c r="L3545" s="113"/>
      <c r="M3545" s="115"/>
      <c r="N3545" s="113"/>
      <c r="O3545" s="67" t="str">
        <f aca="false">IF($E3545="","","手工")</f>
        <v/>
      </c>
      <c r="P3545" s="113"/>
    </row>
    <row r="3546" customFormat="false" ht="18" hidden="false" customHeight="true" outlineLevel="0" collapsed="false">
      <c r="A3546" s="107" t="str">
        <f aca="false">IF($E3546="","",ROW()-3)</f>
        <v/>
      </c>
      <c r="B3546" s="111"/>
      <c r="C3546" s="112"/>
      <c r="D3546" s="113"/>
      <c r="E3546" s="112"/>
      <c r="F3546" s="99" t="str">
        <f aca="false">IF($E3546="","",IFERROR(INDEX(科目表!$A$4:$A$81,MATCH($E3546,科目表!$B$4:$B$81,0)),""))</f>
        <v/>
      </c>
      <c r="G3546" s="67" t="str">
        <f aca="false">IF($E3546="","",IFERROR(INDEX(科目表!$E$4:$E$81,MATCH($E3546,科目表!$B$4:$B$81,0)),""))</f>
        <v/>
      </c>
      <c r="H3546" s="114"/>
      <c r="I3546" s="114"/>
      <c r="J3546" s="112"/>
      <c r="K3546" s="112"/>
      <c r="L3546" s="113"/>
      <c r="M3546" s="115"/>
      <c r="N3546" s="113"/>
      <c r="O3546" s="67" t="str">
        <f aca="false">IF($E3546="","","手工")</f>
        <v/>
      </c>
      <c r="P3546" s="113"/>
    </row>
    <row r="3547" customFormat="false" ht="18" hidden="false" customHeight="true" outlineLevel="0" collapsed="false">
      <c r="A3547" s="107" t="str">
        <f aca="false">IF($E3547="","",ROW()-3)</f>
        <v/>
      </c>
      <c r="B3547" s="111"/>
      <c r="C3547" s="112"/>
      <c r="D3547" s="113"/>
      <c r="E3547" s="112"/>
      <c r="F3547" s="99" t="str">
        <f aca="false">IF($E3547="","",IFERROR(INDEX(科目表!$A$4:$A$81,MATCH($E3547,科目表!$B$4:$B$81,0)),""))</f>
        <v/>
      </c>
      <c r="G3547" s="67" t="str">
        <f aca="false">IF($E3547="","",IFERROR(INDEX(科目表!$E$4:$E$81,MATCH($E3547,科目表!$B$4:$B$81,0)),""))</f>
        <v/>
      </c>
      <c r="H3547" s="114"/>
      <c r="I3547" s="114"/>
      <c r="J3547" s="112"/>
      <c r="K3547" s="112"/>
      <c r="L3547" s="113"/>
      <c r="M3547" s="115"/>
      <c r="N3547" s="113"/>
      <c r="O3547" s="67" t="str">
        <f aca="false">IF($E3547="","","手工")</f>
        <v/>
      </c>
      <c r="P3547" s="113"/>
    </row>
    <row r="3548" customFormat="false" ht="18" hidden="false" customHeight="true" outlineLevel="0" collapsed="false">
      <c r="A3548" s="107" t="str">
        <f aca="false">IF($E3548="","",ROW()-3)</f>
        <v/>
      </c>
      <c r="B3548" s="111"/>
      <c r="C3548" s="112"/>
      <c r="D3548" s="113"/>
      <c r="E3548" s="112"/>
      <c r="F3548" s="99" t="str">
        <f aca="false">IF($E3548="","",IFERROR(INDEX(科目表!$A$4:$A$81,MATCH($E3548,科目表!$B$4:$B$81,0)),""))</f>
        <v/>
      </c>
      <c r="G3548" s="67" t="str">
        <f aca="false">IF($E3548="","",IFERROR(INDEX(科目表!$E$4:$E$81,MATCH($E3548,科目表!$B$4:$B$81,0)),""))</f>
        <v/>
      </c>
      <c r="H3548" s="114"/>
      <c r="I3548" s="114"/>
      <c r="J3548" s="112"/>
      <c r="K3548" s="112"/>
      <c r="L3548" s="113"/>
      <c r="M3548" s="115"/>
      <c r="N3548" s="113"/>
      <c r="O3548" s="67" t="str">
        <f aca="false">IF($E3548="","","手工")</f>
        <v/>
      </c>
      <c r="P3548" s="113"/>
    </row>
    <row r="3549" customFormat="false" ht="18" hidden="false" customHeight="true" outlineLevel="0" collapsed="false">
      <c r="A3549" s="107" t="str">
        <f aca="false">IF($E3549="","",ROW()-3)</f>
        <v/>
      </c>
      <c r="B3549" s="111"/>
      <c r="C3549" s="112"/>
      <c r="D3549" s="113"/>
      <c r="E3549" s="112"/>
      <c r="F3549" s="99" t="str">
        <f aca="false">IF($E3549="","",IFERROR(INDEX(科目表!$A$4:$A$81,MATCH($E3549,科目表!$B$4:$B$81,0)),""))</f>
        <v/>
      </c>
      <c r="G3549" s="67" t="str">
        <f aca="false">IF($E3549="","",IFERROR(INDEX(科目表!$E$4:$E$81,MATCH($E3549,科目表!$B$4:$B$81,0)),""))</f>
        <v/>
      </c>
      <c r="H3549" s="114"/>
      <c r="I3549" s="114"/>
      <c r="J3549" s="112"/>
      <c r="K3549" s="112"/>
      <c r="L3549" s="113"/>
      <c r="M3549" s="115"/>
      <c r="N3549" s="113"/>
      <c r="O3549" s="67" t="str">
        <f aca="false">IF($E3549="","","手工")</f>
        <v/>
      </c>
      <c r="P3549" s="113"/>
    </row>
    <row r="3550" customFormat="false" ht="18" hidden="false" customHeight="true" outlineLevel="0" collapsed="false">
      <c r="A3550" s="107" t="str">
        <f aca="false">IF($E3550="","",ROW()-3)</f>
        <v/>
      </c>
      <c r="B3550" s="111"/>
      <c r="C3550" s="112"/>
      <c r="D3550" s="113"/>
      <c r="E3550" s="112"/>
      <c r="F3550" s="99" t="str">
        <f aca="false">IF($E3550="","",IFERROR(INDEX(科目表!$A$4:$A$81,MATCH($E3550,科目表!$B$4:$B$81,0)),""))</f>
        <v/>
      </c>
      <c r="G3550" s="67" t="str">
        <f aca="false">IF($E3550="","",IFERROR(INDEX(科目表!$E$4:$E$81,MATCH($E3550,科目表!$B$4:$B$81,0)),""))</f>
        <v/>
      </c>
      <c r="H3550" s="114"/>
      <c r="I3550" s="114"/>
      <c r="J3550" s="112"/>
      <c r="K3550" s="112"/>
      <c r="L3550" s="113"/>
      <c r="M3550" s="115"/>
      <c r="N3550" s="113"/>
      <c r="O3550" s="67" t="str">
        <f aca="false">IF($E3550="","","手工")</f>
        <v/>
      </c>
      <c r="P3550" s="113"/>
    </row>
    <row r="3551" customFormat="false" ht="18" hidden="false" customHeight="true" outlineLevel="0" collapsed="false">
      <c r="A3551" s="107" t="str">
        <f aca="false">IF($E3551="","",ROW()-3)</f>
        <v/>
      </c>
      <c r="B3551" s="111"/>
      <c r="C3551" s="112"/>
      <c r="D3551" s="113"/>
      <c r="E3551" s="112"/>
      <c r="F3551" s="99" t="str">
        <f aca="false">IF($E3551="","",IFERROR(INDEX(科目表!$A$4:$A$81,MATCH($E3551,科目表!$B$4:$B$81,0)),""))</f>
        <v/>
      </c>
      <c r="G3551" s="67" t="str">
        <f aca="false">IF($E3551="","",IFERROR(INDEX(科目表!$E$4:$E$81,MATCH($E3551,科目表!$B$4:$B$81,0)),""))</f>
        <v/>
      </c>
      <c r="H3551" s="114"/>
      <c r="I3551" s="114"/>
      <c r="J3551" s="112"/>
      <c r="K3551" s="112"/>
      <c r="L3551" s="113"/>
      <c r="M3551" s="115"/>
      <c r="N3551" s="113"/>
      <c r="O3551" s="67" t="str">
        <f aca="false">IF($E3551="","","手工")</f>
        <v/>
      </c>
      <c r="P3551" s="113"/>
    </row>
    <row r="3552" customFormat="false" ht="18" hidden="false" customHeight="true" outlineLevel="0" collapsed="false">
      <c r="A3552" s="107" t="str">
        <f aca="false">IF($E3552="","",ROW()-3)</f>
        <v/>
      </c>
      <c r="B3552" s="111"/>
      <c r="C3552" s="112"/>
      <c r="D3552" s="113"/>
      <c r="E3552" s="112"/>
      <c r="F3552" s="99" t="str">
        <f aca="false">IF($E3552="","",IFERROR(INDEX(科目表!$A$4:$A$81,MATCH($E3552,科目表!$B$4:$B$81,0)),""))</f>
        <v/>
      </c>
      <c r="G3552" s="67" t="str">
        <f aca="false">IF($E3552="","",IFERROR(INDEX(科目表!$E$4:$E$81,MATCH($E3552,科目表!$B$4:$B$81,0)),""))</f>
        <v/>
      </c>
      <c r="H3552" s="114"/>
      <c r="I3552" s="114"/>
      <c r="J3552" s="112"/>
      <c r="K3552" s="112"/>
      <c r="L3552" s="113"/>
      <c r="M3552" s="115"/>
      <c r="N3552" s="113"/>
      <c r="O3552" s="67" t="str">
        <f aca="false">IF($E3552="","","手工")</f>
        <v/>
      </c>
      <c r="P3552" s="113"/>
    </row>
    <row r="3553" customFormat="false" ht="18" hidden="false" customHeight="true" outlineLevel="0" collapsed="false">
      <c r="A3553" s="107" t="str">
        <f aca="false">IF($E3553="","",ROW()-3)</f>
        <v/>
      </c>
      <c r="B3553" s="111"/>
      <c r="C3553" s="112"/>
      <c r="D3553" s="113"/>
      <c r="E3553" s="112"/>
      <c r="F3553" s="99" t="str">
        <f aca="false">IF($E3553="","",IFERROR(INDEX(科目表!$A$4:$A$81,MATCH($E3553,科目表!$B$4:$B$81,0)),""))</f>
        <v/>
      </c>
      <c r="G3553" s="67" t="str">
        <f aca="false">IF($E3553="","",IFERROR(INDEX(科目表!$E$4:$E$81,MATCH($E3553,科目表!$B$4:$B$81,0)),""))</f>
        <v/>
      </c>
      <c r="H3553" s="114"/>
      <c r="I3553" s="114"/>
      <c r="J3553" s="112"/>
      <c r="K3553" s="112"/>
      <c r="L3553" s="113"/>
      <c r="M3553" s="115"/>
      <c r="N3553" s="113"/>
      <c r="O3553" s="67" t="str">
        <f aca="false">IF($E3553="","","手工")</f>
        <v/>
      </c>
      <c r="P3553" s="113"/>
    </row>
    <row r="3554" customFormat="false" ht="18" hidden="false" customHeight="true" outlineLevel="0" collapsed="false">
      <c r="A3554" s="107" t="str">
        <f aca="false">IF($E3554="","",ROW()-3)</f>
        <v/>
      </c>
      <c r="B3554" s="111"/>
      <c r="C3554" s="112"/>
      <c r="D3554" s="113"/>
      <c r="E3554" s="112"/>
      <c r="F3554" s="99" t="str">
        <f aca="false">IF($E3554="","",IFERROR(INDEX(科目表!$A$4:$A$81,MATCH($E3554,科目表!$B$4:$B$81,0)),""))</f>
        <v/>
      </c>
      <c r="G3554" s="67" t="str">
        <f aca="false">IF($E3554="","",IFERROR(INDEX(科目表!$E$4:$E$81,MATCH($E3554,科目表!$B$4:$B$81,0)),""))</f>
        <v/>
      </c>
      <c r="H3554" s="114"/>
      <c r="I3554" s="114"/>
      <c r="J3554" s="112"/>
      <c r="K3554" s="112"/>
      <c r="L3554" s="113"/>
      <c r="M3554" s="115"/>
      <c r="N3554" s="113"/>
      <c r="O3554" s="67" t="str">
        <f aca="false">IF($E3554="","","手工")</f>
        <v/>
      </c>
      <c r="P3554" s="113"/>
    </row>
    <row r="3555" customFormat="false" ht="18" hidden="false" customHeight="true" outlineLevel="0" collapsed="false">
      <c r="A3555" s="107" t="str">
        <f aca="false">IF($E3555="","",ROW()-3)</f>
        <v/>
      </c>
      <c r="B3555" s="111"/>
      <c r="C3555" s="112"/>
      <c r="D3555" s="113"/>
      <c r="E3555" s="112"/>
      <c r="F3555" s="99" t="str">
        <f aca="false">IF($E3555="","",IFERROR(INDEX(科目表!$A$4:$A$81,MATCH($E3555,科目表!$B$4:$B$81,0)),""))</f>
        <v/>
      </c>
      <c r="G3555" s="67" t="str">
        <f aca="false">IF($E3555="","",IFERROR(INDEX(科目表!$E$4:$E$81,MATCH($E3555,科目表!$B$4:$B$81,0)),""))</f>
        <v/>
      </c>
      <c r="H3555" s="114"/>
      <c r="I3555" s="114"/>
      <c r="J3555" s="112"/>
      <c r="K3555" s="112"/>
      <c r="L3555" s="113"/>
      <c r="M3555" s="115"/>
      <c r="N3555" s="113"/>
      <c r="O3555" s="67" t="str">
        <f aca="false">IF($E3555="","","手工")</f>
        <v/>
      </c>
      <c r="P3555" s="113"/>
    </row>
    <row r="3556" customFormat="false" ht="18" hidden="false" customHeight="true" outlineLevel="0" collapsed="false">
      <c r="A3556" s="107" t="str">
        <f aca="false">IF($E3556="","",ROW()-3)</f>
        <v/>
      </c>
      <c r="B3556" s="111"/>
      <c r="C3556" s="112"/>
      <c r="D3556" s="113"/>
      <c r="E3556" s="112"/>
      <c r="F3556" s="99" t="str">
        <f aca="false">IF($E3556="","",IFERROR(INDEX(科目表!$A$4:$A$81,MATCH($E3556,科目表!$B$4:$B$81,0)),""))</f>
        <v/>
      </c>
      <c r="G3556" s="67" t="str">
        <f aca="false">IF($E3556="","",IFERROR(INDEX(科目表!$E$4:$E$81,MATCH($E3556,科目表!$B$4:$B$81,0)),""))</f>
        <v/>
      </c>
      <c r="H3556" s="114"/>
      <c r="I3556" s="114"/>
      <c r="J3556" s="112"/>
      <c r="K3556" s="112"/>
      <c r="L3556" s="113"/>
      <c r="M3556" s="115"/>
      <c r="N3556" s="113"/>
      <c r="O3556" s="67" t="str">
        <f aca="false">IF($E3556="","","手工")</f>
        <v/>
      </c>
      <c r="P3556" s="113"/>
    </row>
    <row r="3557" customFormat="false" ht="18" hidden="false" customHeight="true" outlineLevel="0" collapsed="false">
      <c r="A3557" s="107" t="str">
        <f aca="false">IF($E3557="","",ROW()-3)</f>
        <v/>
      </c>
      <c r="B3557" s="111"/>
      <c r="C3557" s="112"/>
      <c r="D3557" s="113"/>
      <c r="E3557" s="112"/>
      <c r="F3557" s="99" t="str">
        <f aca="false">IF($E3557="","",IFERROR(INDEX(科目表!$A$4:$A$81,MATCH($E3557,科目表!$B$4:$B$81,0)),""))</f>
        <v/>
      </c>
      <c r="G3557" s="67" t="str">
        <f aca="false">IF($E3557="","",IFERROR(INDEX(科目表!$E$4:$E$81,MATCH($E3557,科目表!$B$4:$B$81,0)),""))</f>
        <v/>
      </c>
      <c r="H3557" s="114"/>
      <c r="I3557" s="114"/>
      <c r="J3557" s="112"/>
      <c r="K3557" s="112"/>
      <c r="L3557" s="113"/>
      <c r="M3557" s="115"/>
      <c r="N3557" s="113"/>
      <c r="O3557" s="67" t="str">
        <f aca="false">IF($E3557="","","手工")</f>
        <v/>
      </c>
      <c r="P3557" s="113"/>
    </row>
    <row r="3558" customFormat="false" ht="18" hidden="false" customHeight="true" outlineLevel="0" collapsed="false">
      <c r="A3558" s="107" t="str">
        <f aca="false">IF($E3558="","",ROW()-3)</f>
        <v/>
      </c>
      <c r="B3558" s="111"/>
      <c r="C3558" s="112"/>
      <c r="D3558" s="113"/>
      <c r="E3558" s="112"/>
      <c r="F3558" s="99" t="str">
        <f aca="false">IF($E3558="","",IFERROR(INDEX(科目表!$A$4:$A$81,MATCH($E3558,科目表!$B$4:$B$81,0)),""))</f>
        <v/>
      </c>
      <c r="G3558" s="67" t="str">
        <f aca="false">IF($E3558="","",IFERROR(INDEX(科目表!$E$4:$E$81,MATCH($E3558,科目表!$B$4:$B$81,0)),""))</f>
        <v/>
      </c>
      <c r="H3558" s="114"/>
      <c r="I3558" s="114"/>
      <c r="J3558" s="112"/>
      <c r="K3558" s="112"/>
      <c r="L3558" s="113"/>
      <c r="M3558" s="115"/>
      <c r="N3558" s="113"/>
      <c r="O3558" s="67" t="str">
        <f aca="false">IF($E3558="","","手工")</f>
        <v/>
      </c>
      <c r="P3558" s="113"/>
    </row>
    <row r="3559" customFormat="false" ht="18" hidden="false" customHeight="true" outlineLevel="0" collapsed="false">
      <c r="A3559" s="107" t="str">
        <f aca="false">IF($E3559="","",ROW()-3)</f>
        <v/>
      </c>
      <c r="B3559" s="111"/>
      <c r="C3559" s="112"/>
      <c r="D3559" s="113"/>
      <c r="E3559" s="112"/>
      <c r="F3559" s="99" t="str">
        <f aca="false">IF($E3559="","",IFERROR(INDEX(科目表!$A$4:$A$81,MATCH($E3559,科目表!$B$4:$B$81,0)),""))</f>
        <v/>
      </c>
      <c r="G3559" s="67" t="str">
        <f aca="false">IF($E3559="","",IFERROR(INDEX(科目表!$E$4:$E$81,MATCH($E3559,科目表!$B$4:$B$81,0)),""))</f>
        <v/>
      </c>
      <c r="H3559" s="114"/>
      <c r="I3559" s="114"/>
      <c r="J3559" s="112"/>
      <c r="K3559" s="112"/>
      <c r="L3559" s="113"/>
      <c r="M3559" s="115"/>
      <c r="N3559" s="113"/>
      <c r="O3559" s="67" t="str">
        <f aca="false">IF($E3559="","","手工")</f>
        <v/>
      </c>
      <c r="P3559" s="113"/>
    </row>
    <row r="3560" customFormat="false" ht="18" hidden="false" customHeight="true" outlineLevel="0" collapsed="false">
      <c r="A3560" s="107" t="str">
        <f aca="false">IF($E3560="","",ROW()-3)</f>
        <v/>
      </c>
      <c r="B3560" s="111"/>
      <c r="C3560" s="112"/>
      <c r="D3560" s="113"/>
      <c r="E3560" s="112"/>
      <c r="F3560" s="99" t="str">
        <f aca="false">IF($E3560="","",IFERROR(INDEX(科目表!$A$4:$A$81,MATCH($E3560,科目表!$B$4:$B$81,0)),""))</f>
        <v/>
      </c>
      <c r="G3560" s="67" t="str">
        <f aca="false">IF($E3560="","",IFERROR(INDEX(科目表!$E$4:$E$81,MATCH($E3560,科目表!$B$4:$B$81,0)),""))</f>
        <v/>
      </c>
      <c r="H3560" s="114"/>
      <c r="I3560" s="114"/>
      <c r="J3560" s="112"/>
      <c r="K3560" s="112"/>
      <c r="L3560" s="113"/>
      <c r="M3560" s="115"/>
      <c r="N3560" s="113"/>
      <c r="O3560" s="67" t="str">
        <f aca="false">IF($E3560="","","手工")</f>
        <v/>
      </c>
      <c r="P3560" s="113"/>
    </row>
    <row r="3561" customFormat="false" ht="18" hidden="false" customHeight="true" outlineLevel="0" collapsed="false">
      <c r="A3561" s="107" t="str">
        <f aca="false">IF($E3561="","",ROW()-3)</f>
        <v/>
      </c>
      <c r="B3561" s="111"/>
      <c r="C3561" s="112"/>
      <c r="D3561" s="113"/>
      <c r="E3561" s="112"/>
      <c r="F3561" s="99" t="str">
        <f aca="false">IF($E3561="","",IFERROR(INDEX(科目表!$A$4:$A$81,MATCH($E3561,科目表!$B$4:$B$81,0)),""))</f>
        <v/>
      </c>
      <c r="G3561" s="67" t="str">
        <f aca="false">IF($E3561="","",IFERROR(INDEX(科目表!$E$4:$E$81,MATCH($E3561,科目表!$B$4:$B$81,0)),""))</f>
        <v/>
      </c>
      <c r="H3561" s="114"/>
      <c r="I3561" s="114"/>
      <c r="J3561" s="112"/>
      <c r="K3561" s="112"/>
      <c r="L3561" s="113"/>
      <c r="M3561" s="115"/>
      <c r="N3561" s="113"/>
      <c r="O3561" s="67" t="str">
        <f aca="false">IF($E3561="","","手工")</f>
        <v/>
      </c>
      <c r="P3561" s="113"/>
    </row>
    <row r="3562" customFormat="false" ht="18" hidden="false" customHeight="true" outlineLevel="0" collapsed="false">
      <c r="A3562" s="107" t="str">
        <f aca="false">IF($E3562="","",ROW()-3)</f>
        <v/>
      </c>
      <c r="B3562" s="111"/>
      <c r="C3562" s="112"/>
      <c r="D3562" s="113"/>
      <c r="E3562" s="112"/>
      <c r="F3562" s="99" t="str">
        <f aca="false">IF($E3562="","",IFERROR(INDEX(科目表!$A$4:$A$81,MATCH($E3562,科目表!$B$4:$B$81,0)),""))</f>
        <v/>
      </c>
      <c r="G3562" s="67" t="str">
        <f aca="false">IF($E3562="","",IFERROR(INDEX(科目表!$E$4:$E$81,MATCH($E3562,科目表!$B$4:$B$81,0)),""))</f>
        <v/>
      </c>
      <c r="H3562" s="114"/>
      <c r="I3562" s="114"/>
      <c r="J3562" s="112"/>
      <c r="K3562" s="112"/>
      <c r="L3562" s="113"/>
      <c r="M3562" s="115"/>
      <c r="N3562" s="113"/>
      <c r="O3562" s="67" t="str">
        <f aca="false">IF($E3562="","","手工")</f>
        <v/>
      </c>
      <c r="P3562" s="113"/>
    </row>
    <row r="3563" customFormat="false" ht="18" hidden="false" customHeight="true" outlineLevel="0" collapsed="false">
      <c r="A3563" s="107" t="str">
        <f aca="false">IF($E3563="","",ROW()-3)</f>
        <v/>
      </c>
      <c r="B3563" s="111"/>
      <c r="C3563" s="112"/>
      <c r="D3563" s="113"/>
      <c r="E3563" s="112"/>
      <c r="F3563" s="99" t="str">
        <f aca="false">IF($E3563="","",IFERROR(INDEX(科目表!$A$4:$A$81,MATCH($E3563,科目表!$B$4:$B$81,0)),""))</f>
        <v/>
      </c>
      <c r="G3563" s="67" t="str">
        <f aca="false">IF($E3563="","",IFERROR(INDEX(科目表!$E$4:$E$81,MATCH($E3563,科目表!$B$4:$B$81,0)),""))</f>
        <v/>
      </c>
      <c r="H3563" s="114"/>
      <c r="I3563" s="114"/>
      <c r="J3563" s="112"/>
      <c r="K3563" s="112"/>
      <c r="L3563" s="113"/>
      <c r="M3563" s="115"/>
      <c r="N3563" s="113"/>
      <c r="O3563" s="67" t="str">
        <f aca="false">IF($E3563="","","手工")</f>
        <v/>
      </c>
      <c r="P3563" s="113"/>
    </row>
    <row r="3564" customFormat="false" ht="18" hidden="false" customHeight="true" outlineLevel="0" collapsed="false">
      <c r="A3564" s="107" t="str">
        <f aca="false">IF($E3564="","",ROW()-3)</f>
        <v/>
      </c>
      <c r="B3564" s="111"/>
      <c r="C3564" s="112"/>
      <c r="D3564" s="113"/>
      <c r="E3564" s="112"/>
      <c r="F3564" s="99" t="str">
        <f aca="false">IF($E3564="","",IFERROR(INDEX(科目表!$A$4:$A$81,MATCH($E3564,科目表!$B$4:$B$81,0)),""))</f>
        <v/>
      </c>
      <c r="G3564" s="67" t="str">
        <f aca="false">IF($E3564="","",IFERROR(INDEX(科目表!$E$4:$E$81,MATCH($E3564,科目表!$B$4:$B$81,0)),""))</f>
        <v/>
      </c>
      <c r="H3564" s="114"/>
      <c r="I3564" s="114"/>
      <c r="J3564" s="112"/>
      <c r="K3564" s="112"/>
      <c r="L3564" s="113"/>
      <c r="M3564" s="115"/>
      <c r="N3564" s="113"/>
      <c r="O3564" s="67" t="str">
        <f aca="false">IF($E3564="","","手工")</f>
        <v/>
      </c>
      <c r="P3564" s="113"/>
    </row>
    <row r="3565" customFormat="false" ht="18" hidden="false" customHeight="true" outlineLevel="0" collapsed="false">
      <c r="A3565" s="107" t="str">
        <f aca="false">IF($E3565="","",ROW()-3)</f>
        <v/>
      </c>
      <c r="B3565" s="111"/>
      <c r="C3565" s="112"/>
      <c r="D3565" s="113"/>
      <c r="E3565" s="112"/>
      <c r="F3565" s="99" t="str">
        <f aca="false">IF($E3565="","",IFERROR(INDEX(科目表!$A$4:$A$81,MATCH($E3565,科目表!$B$4:$B$81,0)),""))</f>
        <v/>
      </c>
      <c r="G3565" s="67" t="str">
        <f aca="false">IF($E3565="","",IFERROR(INDEX(科目表!$E$4:$E$81,MATCH($E3565,科目表!$B$4:$B$81,0)),""))</f>
        <v/>
      </c>
      <c r="H3565" s="114"/>
      <c r="I3565" s="114"/>
      <c r="J3565" s="112"/>
      <c r="K3565" s="112"/>
      <c r="L3565" s="113"/>
      <c r="M3565" s="115"/>
      <c r="N3565" s="113"/>
      <c r="O3565" s="67" t="str">
        <f aca="false">IF($E3565="","","手工")</f>
        <v/>
      </c>
      <c r="P3565" s="113"/>
    </row>
    <row r="3566" customFormat="false" ht="18" hidden="false" customHeight="true" outlineLevel="0" collapsed="false">
      <c r="A3566" s="107" t="str">
        <f aca="false">IF($E3566="","",ROW()-3)</f>
        <v/>
      </c>
      <c r="B3566" s="111"/>
      <c r="C3566" s="112"/>
      <c r="D3566" s="113"/>
      <c r="E3566" s="112"/>
      <c r="F3566" s="99" t="str">
        <f aca="false">IF($E3566="","",IFERROR(INDEX(科目表!$A$4:$A$81,MATCH($E3566,科目表!$B$4:$B$81,0)),""))</f>
        <v/>
      </c>
      <c r="G3566" s="67" t="str">
        <f aca="false">IF($E3566="","",IFERROR(INDEX(科目表!$E$4:$E$81,MATCH($E3566,科目表!$B$4:$B$81,0)),""))</f>
        <v/>
      </c>
      <c r="H3566" s="114"/>
      <c r="I3566" s="114"/>
      <c r="J3566" s="112"/>
      <c r="K3566" s="112"/>
      <c r="L3566" s="113"/>
      <c r="M3566" s="115"/>
      <c r="N3566" s="113"/>
      <c r="O3566" s="67" t="str">
        <f aca="false">IF($E3566="","","手工")</f>
        <v/>
      </c>
      <c r="P3566" s="113"/>
    </row>
    <row r="3567" customFormat="false" ht="18" hidden="false" customHeight="true" outlineLevel="0" collapsed="false">
      <c r="A3567" s="107" t="str">
        <f aca="false">IF($E3567="","",ROW()-3)</f>
        <v/>
      </c>
      <c r="B3567" s="111"/>
      <c r="C3567" s="112"/>
      <c r="D3567" s="113"/>
      <c r="E3567" s="112"/>
      <c r="F3567" s="99" t="str">
        <f aca="false">IF($E3567="","",IFERROR(INDEX(科目表!$A$4:$A$81,MATCH($E3567,科目表!$B$4:$B$81,0)),""))</f>
        <v/>
      </c>
      <c r="G3567" s="67" t="str">
        <f aca="false">IF($E3567="","",IFERROR(INDEX(科目表!$E$4:$E$81,MATCH($E3567,科目表!$B$4:$B$81,0)),""))</f>
        <v/>
      </c>
      <c r="H3567" s="114"/>
      <c r="I3567" s="114"/>
      <c r="J3567" s="112"/>
      <c r="K3567" s="112"/>
      <c r="L3567" s="113"/>
      <c r="M3567" s="115"/>
      <c r="N3567" s="113"/>
      <c r="O3567" s="67" t="str">
        <f aca="false">IF($E3567="","","手工")</f>
        <v/>
      </c>
      <c r="P3567" s="113"/>
    </row>
    <row r="3568" customFormat="false" ht="18" hidden="false" customHeight="true" outlineLevel="0" collapsed="false">
      <c r="A3568" s="107" t="str">
        <f aca="false">IF($E3568="","",ROW()-3)</f>
        <v/>
      </c>
      <c r="B3568" s="111"/>
      <c r="C3568" s="112"/>
      <c r="D3568" s="113"/>
      <c r="E3568" s="112"/>
      <c r="F3568" s="99" t="str">
        <f aca="false">IF($E3568="","",IFERROR(INDEX(科目表!$A$4:$A$81,MATCH($E3568,科目表!$B$4:$B$81,0)),""))</f>
        <v/>
      </c>
      <c r="G3568" s="67" t="str">
        <f aca="false">IF($E3568="","",IFERROR(INDEX(科目表!$E$4:$E$81,MATCH($E3568,科目表!$B$4:$B$81,0)),""))</f>
        <v/>
      </c>
      <c r="H3568" s="114"/>
      <c r="I3568" s="114"/>
      <c r="J3568" s="112"/>
      <c r="K3568" s="112"/>
      <c r="L3568" s="113"/>
      <c r="M3568" s="115"/>
      <c r="N3568" s="113"/>
      <c r="O3568" s="67" t="str">
        <f aca="false">IF($E3568="","","手工")</f>
        <v/>
      </c>
      <c r="P3568" s="113"/>
    </row>
    <row r="3569" customFormat="false" ht="18" hidden="false" customHeight="true" outlineLevel="0" collapsed="false">
      <c r="A3569" s="107" t="str">
        <f aca="false">IF($E3569="","",ROW()-3)</f>
        <v/>
      </c>
      <c r="B3569" s="111"/>
      <c r="C3569" s="112"/>
      <c r="D3569" s="113"/>
      <c r="E3569" s="112"/>
      <c r="F3569" s="99" t="str">
        <f aca="false">IF($E3569="","",IFERROR(INDEX(科目表!$A$4:$A$81,MATCH($E3569,科目表!$B$4:$B$81,0)),""))</f>
        <v/>
      </c>
      <c r="G3569" s="67" t="str">
        <f aca="false">IF($E3569="","",IFERROR(INDEX(科目表!$E$4:$E$81,MATCH($E3569,科目表!$B$4:$B$81,0)),""))</f>
        <v/>
      </c>
      <c r="H3569" s="114"/>
      <c r="I3569" s="114"/>
      <c r="J3569" s="112"/>
      <c r="K3569" s="112"/>
      <c r="L3569" s="113"/>
      <c r="M3569" s="115"/>
      <c r="N3569" s="113"/>
      <c r="O3569" s="67" t="str">
        <f aca="false">IF($E3569="","","手工")</f>
        <v/>
      </c>
      <c r="P3569" s="113"/>
    </row>
    <row r="3570" customFormat="false" ht="18" hidden="false" customHeight="true" outlineLevel="0" collapsed="false">
      <c r="A3570" s="107" t="str">
        <f aca="false">IF($E3570="","",ROW()-3)</f>
        <v/>
      </c>
      <c r="B3570" s="111"/>
      <c r="C3570" s="112"/>
      <c r="D3570" s="113"/>
      <c r="E3570" s="112"/>
      <c r="F3570" s="99" t="str">
        <f aca="false">IF($E3570="","",IFERROR(INDEX(科目表!$A$4:$A$81,MATCH($E3570,科目表!$B$4:$B$81,0)),""))</f>
        <v/>
      </c>
      <c r="G3570" s="67" t="str">
        <f aca="false">IF($E3570="","",IFERROR(INDEX(科目表!$E$4:$E$81,MATCH($E3570,科目表!$B$4:$B$81,0)),""))</f>
        <v/>
      </c>
      <c r="H3570" s="114"/>
      <c r="I3570" s="114"/>
      <c r="J3570" s="112"/>
      <c r="K3570" s="112"/>
      <c r="L3570" s="113"/>
      <c r="M3570" s="115"/>
      <c r="N3570" s="113"/>
      <c r="O3570" s="67" t="str">
        <f aca="false">IF($E3570="","","手工")</f>
        <v/>
      </c>
      <c r="P3570" s="113"/>
    </row>
    <row r="3571" customFormat="false" ht="18" hidden="false" customHeight="true" outlineLevel="0" collapsed="false">
      <c r="A3571" s="107" t="str">
        <f aca="false">IF($E3571="","",ROW()-3)</f>
        <v/>
      </c>
      <c r="B3571" s="111"/>
      <c r="C3571" s="112"/>
      <c r="D3571" s="113"/>
      <c r="E3571" s="112"/>
      <c r="F3571" s="99" t="str">
        <f aca="false">IF($E3571="","",IFERROR(INDEX(科目表!$A$4:$A$81,MATCH($E3571,科目表!$B$4:$B$81,0)),""))</f>
        <v/>
      </c>
      <c r="G3571" s="67" t="str">
        <f aca="false">IF($E3571="","",IFERROR(INDEX(科目表!$E$4:$E$81,MATCH($E3571,科目表!$B$4:$B$81,0)),""))</f>
        <v/>
      </c>
      <c r="H3571" s="114"/>
      <c r="I3571" s="114"/>
      <c r="J3571" s="112"/>
      <c r="K3571" s="112"/>
      <c r="L3571" s="113"/>
      <c r="M3571" s="115"/>
      <c r="N3571" s="113"/>
      <c r="O3571" s="67" t="str">
        <f aca="false">IF($E3571="","","手工")</f>
        <v/>
      </c>
      <c r="P3571" s="113"/>
    </row>
    <row r="3572" customFormat="false" ht="18" hidden="false" customHeight="true" outlineLevel="0" collapsed="false">
      <c r="A3572" s="107" t="str">
        <f aca="false">IF($E3572="","",ROW()-3)</f>
        <v/>
      </c>
      <c r="B3572" s="111"/>
      <c r="C3572" s="112"/>
      <c r="D3572" s="113"/>
      <c r="E3572" s="112"/>
      <c r="F3572" s="99" t="str">
        <f aca="false">IF($E3572="","",IFERROR(INDEX(科目表!$A$4:$A$81,MATCH($E3572,科目表!$B$4:$B$81,0)),""))</f>
        <v/>
      </c>
      <c r="G3572" s="67" t="str">
        <f aca="false">IF($E3572="","",IFERROR(INDEX(科目表!$E$4:$E$81,MATCH($E3572,科目表!$B$4:$B$81,0)),""))</f>
        <v/>
      </c>
      <c r="H3572" s="114"/>
      <c r="I3572" s="114"/>
      <c r="J3572" s="112"/>
      <c r="K3572" s="112"/>
      <c r="L3572" s="113"/>
      <c r="M3572" s="115"/>
      <c r="N3572" s="113"/>
      <c r="O3572" s="67" t="str">
        <f aca="false">IF($E3572="","","手工")</f>
        <v/>
      </c>
      <c r="P3572" s="113"/>
    </row>
    <row r="3573" customFormat="false" ht="18" hidden="false" customHeight="true" outlineLevel="0" collapsed="false">
      <c r="A3573" s="107" t="str">
        <f aca="false">IF($E3573="","",ROW()-3)</f>
        <v/>
      </c>
      <c r="B3573" s="111"/>
      <c r="C3573" s="112"/>
      <c r="D3573" s="113"/>
      <c r="E3573" s="112"/>
      <c r="F3573" s="99" t="str">
        <f aca="false">IF($E3573="","",IFERROR(INDEX(科目表!$A$4:$A$81,MATCH($E3573,科目表!$B$4:$B$81,0)),""))</f>
        <v/>
      </c>
      <c r="G3573" s="67" t="str">
        <f aca="false">IF($E3573="","",IFERROR(INDEX(科目表!$E$4:$E$81,MATCH($E3573,科目表!$B$4:$B$81,0)),""))</f>
        <v/>
      </c>
      <c r="H3573" s="114"/>
      <c r="I3573" s="114"/>
      <c r="J3573" s="112"/>
      <c r="K3573" s="112"/>
      <c r="L3573" s="113"/>
      <c r="M3573" s="115"/>
      <c r="N3573" s="113"/>
      <c r="O3573" s="67" t="str">
        <f aca="false">IF($E3573="","","手工")</f>
        <v/>
      </c>
      <c r="P3573" s="113"/>
    </row>
    <row r="3574" customFormat="false" ht="18" hidden="false" customHeight="true" outlineLevel="0" collapsed="false">
      <c r="A3574" s="107" t="str">
        <f aca="false">IF($E3574="","",ROW()-3)</f>
        <v/>
      </c>
      <c r="B3574" s="111"/>
      <c r="C3574" s="112"/>
      <c r="D3574" s="113"/>
      <c r="E3574" s="112"/>
      <c r="F3574" s="99" t="str">
        <f aca="false">IF($E3574="","",IFERROR(INDEX(科目表!$A$4:$A$81,MATCH($E3574,科目表!$B$4:$B$81,0)),""))</f>
        <v/>
      </c>
      <c r="G3574" s="67" t="str">
        <f aca="false">IF($E3574="","",IFERROR(INDEX(科目表!$E$4:$E$81,MATCH($E3574,科目表!$B$4:$B$81,0)),""))</f>
        <v/>
      </c>
      <c r="H3574" s="114"/>
      <c r="I3574" s="114"/>
      <c r="J3574" s="112"/>
      <c r="K3574" s="112"/>
      <c r="L3574" s="113"/>
      <c r="M3574" s="115"/>
      <c r="N3574" s="113"/>
      <c r="O3574" s="67" t="str">
        <f aca="false">IF($E3574="","","手工")</f>
        <v/>
      </c>
      <c r="P3574" s="113"/>
    </row>
    <row r="3575" customFormat="false" ht="18" hidden="false" customHeight="true" outlineLevel="0" collapsed="false">
      <c r="A3575" s="107" t="str">
        <f aca="false">IF($E3575="","",ROW()-3)</f>
        <v/>
      </c>
      <c r="B3575" s="111"/>
      <c r="C3575" s="112"/>
      <c r="D3575" s="113"/>
      <c r="E3575" s="112"/>
      <c r="F3575" s="99" t="str">
        <f aca="false">IF($E3575="","",IFERROR(INDEX(科目表!$A$4:$A$81,MATCH($E3575,科目表!$B$4:$B$81,0)),""))</f>
        <v/>
      </c>
      <c r="G3575" s="67" t="str">
        <f aca="false">IF($E3575="","",IFERROR(INDEX(科目表!$E$4:$E$81,MATCH($E3575,科目表!$B$4:$B$81,0)),""))</f>
        <v/>
      </c>
      <c r="H3575" s="114"/>
      <c r="I3575" s="114"/>
      <c r="J3575" s="112"/>
      <c r="K3575" s="112"/>
      <c r="L3575" s="113"/>
      <c r="M3575" s="115"/>
      <c r="N3575" s="113"/>
      <c r="O3575" s="67" t="str">
        <f aca="false">IF($E3575="","","手工")</f>
        <v/>
      </c>
      <c r="P3575" s="113"/>
    </row>
    <row r="3576" customFormat="false" ht="18" hidden="false" customHeight="true" outlineLevel="0" collapsed="false">
      <c r="A3576" s="107" t="str">
        <f aca="false">IF($E3576="","",ROW()-3)</f>
        <v/>
      </c>
      <c r="B3576" s="111"/>
      <c r="C3576" s="112"/>
      <c r="D3576" s="113"/>
      <c r="E3576" s="112"/>
      <c r="F3576" s="99" t="str">
        <f aca="false">IF($E3576="","",IFERROR(INDEX(科目表!$A$4:$A$81,MATCH($E3576,科目表!$B$4:$B$81,0)),""))</f>
        <v/>
      </c>
      <c r="G3576" s="67" t="str">
        <f aca="false">IF($E3576="","",IFERROR(INDEX(科目表!$E$4:$E$81,MATCH($E3576,科目表!$B$4:$B$81,0)),""))</f>
        <v/>
      </c>
      <c r="H3576" s="114"/>
      <c r="I3576" s="114"/>
      <c r="J3576" s="112"/>
      <c r="K3576" s="112"/>
      <c r="L3576" s="113"/>
      <c r="M3576" s="115"/>
      <c r="N3576" s="113"/>
      <c r="O3576" s="67" t="str">
        <f aca="false">IF($E3576="","","手工")</f>
        <v/>
      </c>
      <c r="P3576" s="113"/>
    </row>
    <row r="3577" customFormat="false" ht="18" hidden="false" customHeight="true" outlineLevel="0" collapsed="false">
      <c r="A3577" s="107" t="str">
        <f aca="false">IF($E3577="","",ROW()-3)</f>
        <v/>
      </c>
      <c r="B3577" s="111"/>
      <c r="C3577" s="112"/>
      <c r="D3577" s="113"/>
      <c r="E3577" s="112"/>
      <c r="F3577" s="99" t="str">
        <f aca="false">IF($E3577="","",IFERROR(INDEX(科目表!$A$4:$A$81,MATCH($E3577,科目表!$B$4:$B$81,0)),""))</f>
        <v/>
      </c>
      <c r="G3577" s="67" t="str">
        <f aca="false">IF($E3577="","",IFERROR(INDEX(科目表!$E$4:$E$81,MATCH($E3577,科目表!$B$4:$B$81,0)),""))</f>
        <v/>
      </c>
      <c r="H3577" s="114"/>
      <c r="I3577" s="114"/>
      <c r="J3577" s="112"/>
      <c r="K3577" s="112"/>
      <c r="L3577" s="113"/>
      <c r="M3577" s="115"/>
      <c r="N3577" s="113"/>
      <c r="O3577" s="67" t="str">
        <f aca="false">IF($E3577="","","手工")</f>
        <v/>
      </c>
      <c r="P3577" s="113"/>
    </row>
    <row r="3578" customFormat="false" ht="18" hidden="false" customHeight="true" outlineLevel="0" collapsed="false">
      <c r="A3578" s="107" t="str">
        <f aca="false">IF($E3578="","",ROW()-3)</f>
        <v/>
      </c>
      <c r="B3578" s="111"/>
      <c r="C3578" s="112"/>
      <c r="D3578" s="113"/>
      <c r="E3578" s="112"/>
      <c r="F3578" s="99" t="str">
        <f aca="false">IF($E3578="","",IFERROR(INDEX(科目表!$A$4:$A$81,MATCH($E3578,科目表!$B$4:$B$81,0)),""))</f>
        <v/>
      </c>
      <c r="G3578" s="67" t="str">
        <f aca="false">IF($E3578="","",IFERROR(INDEX(科目表!$E$4:$E$81,MATCH($E3578,科目表!$B$4:$B$81,0)),""))</f>
        <v/>
      </c>
      <c r="H3578" s="114"/>
      <c r="I3578" s="114"/>
      <c r="J3578" s="112"/>
      <c r="K3578" s="112"/>
      <c r="L3578" s="113"/>
      <c r="M3578" s="115"/>
      <c r="N3578" s="113"/>
      <c r="O3578" s="67" t="str">
        <f aca="false">IF($E3578="","","手工")</f>
        <v/>
      </c>
      <c r="P3578" s="113"/>
    </row>
    <row r="3579" customFormat="false" ht="18" hidden="false" customHeight="true" outlineLevel="0" collapsed="false">
      <c r="A3579" s="107" t="str">
        <f aca="false">IF($E3579="","",ROW()-3)</f>
        <v/>
      </c>
      <c r="B3579" s="111"/>
      <c r="C3579" s="112"/>
      <c r="D3579" s="113"/>
      <c r="E3579" s="112"/>
      <c r="F3579" s="99" t="str">
        <f aca="false">IF($E3579="","",IFERROR(INDEX(科目表!$A$4:$A$81,MATCH($E3579,科目表!$B$4:$B$81,0)),""))</f>
        <v/>
      </c>
      <c r="G3579" s="67" t="str">
        <f aca="false">IF($E3579="","",IFERROR(INDEX(科目表!$E$4:$E$81,MATCH($E3579,科目表!$B$4:$B$81,0)),""))</f>
        <v/>
      </c>
      <c r="H3579" s="114"/>
      <c r="I3579" s="114"/>
      <c r="J3579" s="112"/>
      <c r="K3579" s="112"/>
      <c r="L3579" s="113"/>
      <c r="M3579" s="115"/>
      <c r="N3579" s="113"/>
      <c r="O3579" s="67" t="str">
        <f aca="false">IF($E3579="","","手工")</f>
        <v/>
      </c>
      <c r="P3579" s="113"/>
    </row>
    <row r="3580" customFormat="false" ht="18" hidden="false" customHeight="true" outlineLevel="0" collapsed="false">
      <c r="A3580" s="107" t="str">
        <f aca="false">IF($E3580="","",ROW()-3)</f>
        <v/>
      </c>
      <c r="B3580" s="111"/>
      <c r="C3580" s="112"/>
      <c r="D3580" s="113"/>
      <c r="E3580" s="112"/>
      <c r="F3580" s="99" t="str">
        <f aca="false">IF($E3580="","",IFERROR(INDEX(科目表!$A$4:$A$81,MATCH($E3580,科目表!$B$4:$B$81,0)),""))</f>
        <v/>
      </c>
      <c r="G3580" s="67" t="str">
        <f aca="false">IF($E3580="","",IFERROR(INDEX(科目表!$E$4:$E$81,MATCH($E3580,科目表!$B$4:$B$81,0)),""))</f>
        <v/>
      </c>
      <c r="H3580" s="114"/>
      <c r="I3580" s="114"/>
      <c r="J3580" s="112"/>
      <c r="K3580" s="112"/>
      <c r="L3580" s="113"/>
      <c r="M3580" s="115"/>
      <c r="N3580" s="113"/>
      <c r="O3580" s="67" t="str">
        <f aca="false">IF($E3580="","","手工")</f>
        <v/>
      </c>
      <c r="P3580" s="113"/>
    </row>
    <row r="3581" customFormat="false" ht="18" hidden="false" customHeight="true" outlineLevel="0" collapsed="false">
      <c r="A3581" s="107" t="str">
        <f aca="false">IF($E3581="","",ROW()-3)</f>
        <v/>
      </c>
      <c r="B3581" s="111"/>
      <c r="C3581" s="112"/>
      <c r="D3581" s="113"/>
      <c r="E3581" s="112"/>
      <c r="F3581" s="99" t="str">
        <f aca="false">IF($E3581="","",IFERROR(INDEX(科目表!$A$4:$A$81,MATCH($E3581,科目表!$B$4:$B$81,0)),""))</f>
        <v/>
      </c>
      <c r="G3581" s="67" t="str">
        <f aca="false">IF($E3581="","",IFERROR(INDEX(科目表!$E$4:$E$81,MATCH($E3581,科目表!$B$4:$B$81,0)),""))</f>
        <v/>
      </c>
      <c r="H3581" s="114"/>
      <c r="I3581" s="114"/>
      <c r="J3581" s="112"/>
      <c r="K3581" s="112"/>
      <c r="L3581" s="113"/>
      <c r="M3581" s="115"/>
      <c r="N3581" s="113"/>
      <c r="O3581" s="67" t="str">
        <f aca="false">IF($E3581="","","手工")</f>
        <v/>
      </c>
      <c r="P3581" s="113"/>
    </row>
    <row r="3582" customFormat="false" ht="18" hidden="false" customHeight="true" outlineLevel="0" collapsed="false">
      <c r="A3582" s="107" t="str">
        <f aca="false">IF($E3582="","",ROW()-3)</f>
        <v/>
      </c>
      <c r="B3582" s="111"/>
      <c r="C3582" s="112"/>
      <c r="D3582" s="113"/>
      <c r="E3582" s="112"/>
      <c r="F3582" s="99" t="str">
        <f aca="false">IF($E3582="","",IFERROR(INDEX(科目表!$A$4:$A$81,MATCH($E3582,科目表!$B$4:$B$81,0)),""))</f>
        <v/>
      </c>
      <c r="G3582" s="67" t="str">
        <f aca="false">IF($E3582="","",IFERROR(INDEX(科目表!$E$4:$E$81,MATCH($E3582,科目表!$B$4:$B$81,0)),""))</f>
        <v/>
      </c>
      <c r="H3582" s="114"/>
      <c r="I3582" s="114"/>
      <c r="J3582" s="112"/>
      <c r="K3582" s="112"/>
      <c r="L3582" s="113"/>
      <c r="M3582" s="115"/>
      <c r="N3582" s="113"/>
      <c r="O3582" s="67" t="str">
        <f aca="false">IF($E3582="","","手工")</f>
        <v/>
      </c>
      <c r="P3582" s="113"/>
    </row>
    <row r="3583" customFormat="false" ht="18" hidden="false" customHeight="true" outlineLevel="0" collapsed="false">
      <c r="A3583" s="107" t="str">
        <f aca="false">IF($E3583="","",ROW()-3)</f>
        <v/>
      </c>
      <c r="B3583" s="111"/>
      <c r="C3583" s="112"/>
      <c r="D3583" s="113"/>
      <c r="E3583" s="112"/>
      <c r="F3583" s="99" t="str">
        <f aca="false">IF($E3583="","",IFERROR(INDEX(科目表!$A$4:$A$81,MATCH($E3583,科目表!$B$4:$B$81,0)),""))</f>
        <v/>
      </c>
      <c r="G3583" s="67" t="str">
        <f aca="false">IF($E3583="","",IFERROR(INDEX(科目表!$E$4:$E$81,MATCH($E3583,科目表!$B$4:$B$81,0)),""))</f>
        <v/>
      </c>
      <c r="H3583" s="114"/>
      <c r="I3583" s="114"/>
      <c r="J3583" s="112"/>
      <c r="K3583" s="112"/>
      <c r="L3583" s="113"/>
      <c r="M3583" s="115"/>
      <c r="N3583" s="113"/>
      <c r="O3583" s="67" t="str">
        <f aca="false">IF($E3583="","","手工")</f>
        <v/>
      </c>
      <c r="P3583" s="113"/>
    </row>
    <row r="3584" customFormat="false" ht="18" hidden="false" customHeight="true" outlineLevel="0" collapsed="false">
      <c r="A3584" s="107" t="str">
        <f aca="false">IF($E3584="","",ROW()-3)</f>
        <v/>
      </c>
      <c r="B3584" s="111"/>
      <c r="C3584" s="112"/>
      <c r="D3584" s="113"/>
      <c r="E3584" s="112"/>
      <c r="F3584" s="99" t="str">
        <f aca="false">IF($E3584="","",IFERROR(INDEX(科目表!$A$4:$A$81,MATCH($E3584,科目表!$B$4:$B$81,0)),""))</f>
        <v/>
      </c>
      <c r="G3584" s="67" t="str">
        <f aca="false">IF($E3584="","",IFERROR(INDEX(科目表!$E$4:$E$81,MATCH($E3584,科目表!$B$4:$B$81,0)),""))</f>
        <v/>
      </c>
      <c r="H3584" s="114"/>
      <c r="I3584" s="114"/>
      <c r="J3584" s="112"/>
      <c r="K3584" s="112"/>
      <c r="L3584" s="113"/>
      <c r="M3584" s="115"/>
      <c r="N3584" s="113"/>
      <c r="O3584" s="67" t="str">
        <f aca="false">IF($E3584="","","手工")</f>
        <v/>
      </c>
      <c r="P3584" s="113"/>
    </row>
    <row r="3585" customFormat="false" ht="18" hidden="false" customHeight="true" outlineLevel="0" collapsed="false">
      <c r="A3585" s="107" t="str">
        <f aca="false">IF($E3585="","",ROW()-3)</f>
        <v/>
      </c>
      <c r="B3585" s="111"/>
      <c r="C3585" s="112"/>
      <c r="D3585" s="113"/>
      <c r="E3585" s="112"/>
      <c r="F3585" s="99" t="str">
        <f aca="false">IF($E3585="","",IFERROR(INDEX(科目表!$A$4:$A$81,MATCH($E3585,科目表!$B$4:$B$81,0)),""))</f>
        <v/>
      </c>
      <c r="G3585" s="67" t="str">
        <f aca="false">IF($E3585="","",IFERROR(INDEX(科目表!$E$4:$E$81,MATCH($E3585,科目表!$B$4:$B$81,0)),""))</f>
        <v/>
      </c>
      <c r="H3585" s="114"/>
      <c r="I3585" s="114"/>
      <c r="J3585" s="112"/>
      <c r="K3585" s="112"/>
      <c r="L3585" s="113"/>
      <c r="M3585" s="115"/>
      <c r="N3585" s="113"/>
      <c r="O3585" s="67" t="str">
        <f aca="false">IF($E3585="","","手工")</f>
        <v/>
      </c>
      <c r="P3585" s="113"/>
    </row>
    <row r="3586" customFormat="false" ht="18" hidden="false" customHeight="true" outlineLevel="0" collapsed="false">
      <c r="A3586" s="107" t="str">
        <f aca="false">IF($E3586="","",ROW()-3)</f>
        <v/>
      </c>
      <c r="B3586" s="111"/>
      <c r="C3586" s="112"/>
      <c r="D3586" s="113"/>
      <c r="E3586" s="112"/>
      <c r="F3586" s="99" t="str">
        <f aca="false">IF($E3586="","",IFERROR(INDEX(科目表!$A$4:$A$81,MATCH($E3586,科目表!$B$4:$B$81,0)),""))</f>
        <v/>
      </c>
      <c r="G3586" s="67" t="str">
        <f aca="false">IF($E3586="","",IFERROR(INDEX(科目表!$E$4:$E$81,MATCH($E3586,科目表!$B$4:$B$81,0)),""))</f>
        <v/>
      </c>
      <c r="H3586" s="114"/>
      <c r="I3586" s="114"/>
      <c r="J3586" s="112"/>
      <c r="K3586" s="112"/>
      <c r="L3586" s="113"/>
      <c r="M3586" s="115"/>
      <c r="N3586" s="113"/>
      <c r="O3586" s="67" t="str">
        <f aca="false">IF($E3586="","","手工")</f>
        <v/>
      </c>
      <c r="P3586" s="113"/>
    </row>
    <row r="3587" customFormat="false" ht="18" hidden="false" customHeight="true" outlineLevel="0" collapsed="false">
      <c r="A3587" s="107" t="str">
        <f aca="false">IF($E3587="","",ROW()-3)</f>
        <v/>
      </c>
      <c r="B3587" s="111"/>
      <c r="C3587" s="112"/>
      <c r="D3587" s="113"/>
      <c r="E3587" s="112"/>
      <c r="F3587" s="99" t="str">
        <f aca="false">IF($E3587="","",IFERROR(INDEX(科目表!$A$4:$A$81,MATCH($E3587,科目表!$B$4:$B$81,0)),""))</f>
        <v/>
      </c>
      <c r="G3587" s="67" t="str">
        <f aca="false">IF($E3587="","",IFERROR(INDEX(科目表!$E$4:$E$81,MATCH($E3587,科目表!$B$4:$B$81,0)),""))</f>
        <v/>
      </c>
      <c r="H3587" s="114"/>
      <c r="I3587" s="114"/>
      <c r="J3587" s="112"/>
      <c r="K3587" s="112"/>
      <c r="L3587" s="113"/>
      <c r="M3587" s="115"/>
      <c r="N3587" s="113"/>
      <c r="O3587" s="67" t="str">
        <f aca="false">IF($E3587="","","手工")</f>
        <v/>
      </c>
      <c r="P3587" s="113"/>
    </row>
    <row r="3588" customFormat="false" ht="18" hidden="false" customHeight="true" outlineLevel="0" collapsed="false">
      <c r="A3588" s="107" t="str">
        <f aca="false">IF($E3588="","",ROW()-3)</f>
        <v/>
      </c>
      <c r="B3588" s="111"/>
      <c r="C3588" s="112"/>
      <c r="D3588" s="113"/>
      <c r="E3588" s="112"/>
      <c r="F3588" s="99" t="str">
        <f aca="false">IF($E3588="","",IFERROR(INDEX(科目表!$A$4:$A$81,MATCH($E3588,科目表!$B$4:$B$81,0)),""))</f>
        <v/>
      </c>
      <c r="G3588" s="67" t="str">
        <f aca="false">IF($E3588="","",IFERROR(INDEX(科目表!$E$4:$E$81,MATCH($E3588,科目表!$B$4:$B$81,0)),""))</f>
        <v/>
      </c>
      <c r="H3588" s="114"/>
      <c r="I3588" s="114"/>
      <c r="J3588" s="112"/>
      <c r="K3588" s="112"/>
      <c r="L3588" s="113"/>
      <c r="M3588" s="115"/>
      <c r="N3588" s="113"/>
      <c r="O3588" s="67" t="str">
        <f aca="false">IF($E3588="","","手工")</f>
        <v/>
      </c>
      <c r="P3588" s="113"/>
    </row>
    <row r="3589" customFormat="false" ht="18" hidden="false" customHeight="true" outlineLevel="0" collapsed="false">
      <c r="A3589" s="107" t="str">
        <f aca="false">IF($E3589="","",ROW()-3)</f>
        <v/>
      </c>
      <c r="B3589" s="111"/>
      <c r="C3589" s="112"/>
      <c r="D3589" s="113"/>
      <c r="E3589" s="112"/>
      <c r="F3589" s="99" t="str">
        <f aca="false">IF($E3589="","",IFERROR(INDEX(科目表!$A$4:$A$81,MATCH($E3589,科目表!$B$4:$B$81,0)),""))</f>
        <v/>
      </c>
      <c r="G3589" s="67" t="str">
        <f aca="false">IF($E3589="","",IFERROR(INDEX(科目表!$E$4:$E$81,MATCH($E3589,科目表!$B$4:$B$81,0)),""))</f>
        <v/>
      </c>
      <c r="H3589" s="114"/>
      <c r="I3589" s="114"/>
      <c r="J3589" s="112"/>
      <c r="K3589" s="112"/>
      <c r="L3589" s="113"/>
      <c r="M3589" s="115"/>
      <c r="N3589" s="113"/>
      <c r="O3589" s="67" t="str">
        <f aca="false">IF($E3589="","","手工")</f>
        <v/>
      </c>
      <c r="P3589" s="113"/>
    </row>
    <row r="3590" customFormat="false" ht="18" hidden="false" customHeight="true" outlineLevel="0" collapsed="false">
      <c r="A3590" s="107" t="str">
        <f aca="false">IF($E3590="","",ROW()-3)</f>
        <v/>
      </c>
      <c r="B3590" s="111"/>
      <c r="C3590" s="112"/>
      <c r="D3590" s="113"/>
      <c r="E3590" s="112"/>
      <c r="F3590" s="99" t="str">
        <f aca="false">IF($E3590="","",IFERROR(INDEX(科目表!$A$4:$A$81,MATCH($E3590,科目表!$B$4:$B$81,0)),""))</f>
        <v/>
      </c>
      <c r="G3590" s="67" t="str">
        <f aca="false">IF($E3590="","",IFERROR(INDEX(科目表!$E$4:$E$81,MATCH($E3590,科目表!$B$4:$B$81,0)),""))</f>
        <v/>
      </c>
      <c r="H3590" s="114"/>
      <c r="I3590" s="114"/>
      <c r="J3590" s="112"/>
      <c r="K3590" s="112"/>
      <c r="L3590" s="113"/>
      <c r="M3590" s="115"/>
      <c r="N3590" s="113"/>
      <c r="O3590" s="67" t="str">
        <f aca="false">IF($E3590="","","手工")</f>
        <v/>
      </c>
      <c r="P3590" s="113"/>
    </row>
    <row r="3591" customFormat="false" ht="18" hidden="false" customHeight="true" outlineLevel="0" collapsed="false">
      <c r="A3591" s="107" t="str">
        <f aca="false">IF($E3591="","",ROW()-3)</f>
        <v/>
      </c>
      <c r="B3591" s="111"/>
      <c r="C3591" s="112"/>
      <c r="D3591" s="113"/>
      <c r="E3591" s="112"/>
      <c r="F3591" s="99" t="str">
        <f aca="false">IF($E3591="","",IFERROR(INDEX(科目表!$A$4:$A$81,MATCH($E3591,科目表!$B$4:$B$81,0)),""))</f>
        <v/>
      </c>
      <c r="G3591" s="67" t="str">
        <f aca="false">IF($E3591="","",IFERROR(INDEX(科目表!$E$4:$E$81,MATCH($E3591,科目表!$B$4:$B$81,0)),""))</f>
        <v/>
      </c>
      <c r="H3591" s="114"/>
      <c r="I3591" s="114"/>
      <c r="J3591" s="112"/>
      <c r="K3591" s="112"/>
      <c r="L3591" s="113"/>
      <c r="M3591" s="115"/>
      <c r="N3591" s="113"/>
      <c r="O3591" s="67" t="str">
        <f aca="false">IF($E3591="","","手工")</f>
        <v/>
      </c>
      <c r="P3591" s="113"/>
    </row>
    <row r="3592" customFormat="false" ht="18" hidden="false" customHeight="true" outlineLevel="0" collapsed="false">
      <c r="A3592" s="107" t="str">
        <f aca="false">IF($E3592="","",ROW()-3)</f>
        <v/>
      </c>
      <c r="B3592" s="111"/>
      <c r="C3592" s="112"/>
      <c r="D3592" s="113"/>
      <c r="E3592" s="112"/>
      <c r="F3592" s="99" t="str">
        <f aca="false">IF($E3592="","",IFERROR(INDEX(科目表!$A$4:$A$81,MATCH($E3592,科目表!$B$4:$B$81,0)),""))</f>
        <v/>
      </c>
      <c r="G3592" s="67" t="str">
        <f aca="false">IF($E3592="","",IFERROR(INDEX(科目表!$E$4:$E$81,MATCH($E3592,科目表!$B$4:$B$81,0)),""))</f>
        <v/>
      </c>
      <c r="H3592" s="114"/>
      <c r="I3592" s="114"/>
      <c r="J3592" s="112"/>
      <c r="K3592" s="112"/>
      <c r="L3592" s="113"/>
      <c r="M3592" s="115"/>
      <c r="N3592" s="113"/>
      <c r="O3592" s="67" t="str">
        <f aca="false">IF($E3592="","","手工")</f>
        <v/>
      </c>
      <c r="P3592" s="113"/>
    </row>
    <row r="3593" customFormat="false" ht="18" hidden="false" customHeight="true" outlineLevel="0" collapsed="false">
      <c r="A3593" s="107" t="str">
        <f aca="false">IF($E3593="","",ROW()-3)</f>
        <v/>
      </c>
      <c r="B3593" s="111"/>
      <c r="C3593" s="112"/>
      <c r="D3593" s="113"/>
      <c r="E3593" s="112"/>
      <c r="F3593" s="99" t="str">
        <f aca="false">IF($E3593="","",IFERROR(INDEX(科目表!$A$4:$A$81,MATCH($E3593,科目表!$B$4:$B$81,0)),""))</f>
        <v/>
      </c>
      <c r="G3593" s="67" t="str">
        <f aca="false">IF($E3593="","",IFERROR(INDEX(科目表!$E$4:$E$81,MATCH($E3593,科目表!$B$4:$B$81,0)),""))</f>
        <v/>
      </c>
      <c r="H3593" s="114"/>
      <c r="I3593" s="114"/>
      <c r="J3593" s="112"/>
      <c r="K3593" s="112"/>
      <c r="L3593" s="113"/>
      <c r="M3593" s="115"/>
      <c r="N3593" s="113"/>
      <c r="O3593" s="67" t="str">
        <f aca="false">IF($E3593="","","手工")</f>
        <v/>
      </c>
      <c r="P3593" s="113"/>
    </row>
    <row r="3594" customFormat="false" ht="18" hidden="false" customHeight="true" outlineLevel="0" collapsed="false">
      <c r="A3594" s="107" t="str">
        <f aca="false">IF($E3594="","",ROW()-3)</f>
        <v/>
      </c>
      <c r="B3594" s="111"/>
      <c r="C3594" s="112"/>
      <c r="D3594" s="113"/>
      <c r="E3594" s="112"/>
      <c r="F3594" s="99" t="str">
        <f aca="false">IF($E3594="","",IFERROR(INDEX(科目表!$A$4:$A$81,MATCH($E3594,科目表!$B$4:$B$81,0)),""))</f>
        <v/>
      </c>
      <c r="G3594" s="67" t="str">
        <f aca="false">IF($E3594="","",IFERROR(INDEX(科目表!$E$4:$E$81,MATCH($E3594,科目表!$B$4:$B$81,0)),""))</f>
        <v/>
      </c>
      <c r="H3594" s="114"/>
      <c r="I3594" s="114"/>
      <c r="J3594" s="112"/>
      <c r="K3594" s="112"/>
      <c r="L3594" s="113"/>
      <c r="M3594" s="115"/>
      <c r="N3594" s="113"/>
      <c r="O3594" s="67" t="str">
        <f aca="false">IF($E3594="","","手工")</f>
        <v/>
      </c>
      <c r="P3594" s="113"/>
    </row>
    <row r="3595" customFormat="false" ht="18" hidden="false" customHeight="true" outlineLevel="0" collapsed="false">
      <c r="A3595" s="107" t="str">
        <f aca="false">IF($E3595="","",ROW()-3)</f>
        <v/>
      </c>
      <c r="B3595" s="111"/>
      <c r="C3595" s="112"/>
      <c r="D3595" s="113"/>
      <c r="E3595" s="112"/>
      <c r="F3595" s="99" t="str">
        <f aca="false">IF($E3595="","",IFERROR(INDEX(科目表!$A$4:$A$81,MATCH($E3595,科目表!$B$4:$B$81,0)),""))</f>
        <v/>
      </c>
      <c r="G3595" s="67" t="str">
        <f aca="false">IF($E3595="","",IFERROR(INDEX(科目表!$E$4:$E$81,MATCH($E3595,科目表!$B$4:$B$81,0)),""))</f>
        <v/>
      </c>
      <c r="H3595" s="114"/>
      <c r="I3595" s="114"/>
      <c r="J3595" s="112"/>
      <c r="K3595" s="112"/>
      <c r="L3595" s="113"/>
      <c r="M3595" s="115"/>
      <c r="N3595" s="113"/>
      <c r="O3595" s="67" t="str">
        <f aca="false">IF($E3595="","","手工")</f>
        <v/>
      </c>
      <c r="P3595" s="113"/>
    </row>
    <row r="3596" customFormat="false" ht="18" hidden="false" customHeight="true" outlineLevel="0" collapsed="false">
      <c r="A3596" s="107" t="str">
        <f aca="false">IF($E3596="","",ROW()-3)</f>
        <v/>
      </c>
      <c r="B3596" s="111"/>
      <c r="C3596" s="112"/>
      <c r="D3596" s="113"/>
      <c r="E3596" s="112"/>
      <c r="F3596" s="99" t="str">
        <f aca="false">IF($E3596="","",IFERROR(INDEX(科目表!$A$4:$A$81,MATCH($E3596,科目表!$B$4:$B$81,0)),""))</f>
        <v/>
      </c>
      <c r="G3596" s="67" t="str">
        <f aca="false">IF($E3596="","",IFERROR(INDEX(科目表!$E$4:$E$81,MATCH($E3596,科目表!$B$4:$B$81,0)),""))</f>
        <v/>
      </c>
      <c r="H3596" s="114"/>
      <c r="I3596" s="114"/>
      <c r="J3596" s="112"/>
      <c r="K3596" s="112"/>
      <c r="L3596" s="113"/>
      <c r="M3596" s="115"/>
      <c r="N3596" s="113"/>
      <c r="O3596" s="67" t="str">
        <f aca="false">IF($E3596="","","手工")</f>
        <v/>
      </c>
      <c r="P3596" s="113"/>
    </row>
    <row r="3597" customFormat="false" ht="18" hidden="false" customHeight="true" outlineLevel="0" collapsed="false">
      <c r="A3597" s="107" t="str">
        <f aca="false">IF($E3597="","",ROW()-3)</f>
        <v/>
      </c>
      <c r="B3597" s="111"/>
      <c r="C3597" s="112"/>
      <c r="D3597" s="113"/>
      <c r="E3597" s="112"/>
      <c r="F3597" s="99" t="str">
        <f aca="false">IF($E3597="","",IFERROR(INDEX(科目表!$A$4:$A$81,MATCH($E3597,科目表!$B$4:$B$81,0)),""))</f>
        <v/>
      </c>
      <c r="G3597" s="67" t="str">
        <f aca="false">IF($E3597="","",IFERROR(INDEX(科目表!$E$4:$E$81,MATCH($E3597,科目表!$B$4:$B$81,0)),""))</f>
        <v/>
      </c>
      <c r="H3597" s="114"/>
      <c r="I3597" s="114"/>
      <c r="J3597" s="112"/>
      <c r="K3597" s="112"/>
      <c r="L3597" s="113"/>
      <c r="M3597" s="115"/>
      <c r="N3597" s="113"/>
      <c r="O3597" s="67" t="str">
        <f aca="false">IF($E3597="","","手工")</f>
        <v/>
      </c>
      <c r="P3597" s="113"/>
    </row>
    <row r="3598" customFormat="false" ht="18" hidden="false" customHeight="true" outlineLevel="0" collapsed="false">
      <c r="A3598" s="107" t="str">
        <f aca="false">IF($E3598="","",ROW()-3)</f>
        <v/>
      </c>
      <c r="B3598" s="111"/>
      <c r="C3598" s="112"/>
      <c r="D3598" s="113"/>
      <c r="E3598" s="112"/>
      <c r="F3598" s="99" t="str">
        <f aca="false">IF($E3598="","",IFERROR(INDEX(科目表!$A$4:$A$81,MATCH($E3598,科目表!$B$4:$B$81,0)),""))</f>
        <v/>
      </c>
      <c r="G3598" s="67" t="str">
        <f aca="false">IF($E3598="","",IFERROR(INDEX(科目表!$E$4:$E$81,MATCH($E3598,科目表!$B$4:$B$81,0)),""))</f>
        <v/>
      </c>
      <c r="H3598" s="114"/>
      <c r="I3598" s="114"/>
      <c r="J3598" s="112"/>
      <c r="K3598" s="112"/>
      <c r="L3598" s="113"/>
      <c r="M3598" s="115"/>
      <c r="N3598" s="113"/>
      <c r="O3598" s="67" t="str">
        <f aca="false">IF($E3598="","","手工")</f>
        <v/>
      </c>
      <c r="P3598" s="113"/>
    </row>
    <row r="3599" customFormat="false" ht="18" hidden="false" customHeight="true" outlineLevel="0" collapsed="false">
      <c r="A3599" s="107" t="str">
        <f aca="false">IF($E3599="","",ROW()-3)</f>
        <v/>
      </c>
      <c r="B3599" s="111"/>
      <c r="C3599" s="112"/>
      <c r="D3599" s="113"/>
      <c r="E3599" s="112"/>
      <c r="F3599" s="99" t="str">
        <f aca="false">IF($E3599="","",IFERROR(INDEX(科目表!$A$4:$A$81,MATCH($E3599,科目表!$B$4:$B$81,0)),""))</f>
        <v/>
      </c>
      <c r="G3599" s="67" t="str">
        <f aca="false">IF($E3599="","",IFERROR(INDEX(科目表!$E$4:$E$81,MATCH($E3599,科目表!$B$4:$B$81,0)),""))</f>
        <v/>
      </c>
      <c r="H3599" s="114"/>
      <c r="I3599" s="114"/>
      <c r="J3599" s="112"/>
      <c r="K3599" s="112"/>
      <c r="L3599" s="113"/>
      <c r="M3599" s="115"/>
      <c r="N3599" s="113"/>
      <c r="O3599" s="67" t="str">
        <f aca="false">IF($E3599="","","手工")</f>
        <v/>
      </c>
      <c r="P3599" s="113"/>
    </row>
    <row r="3600" customFormat="false" ht="18" hidden="false" customHeight="true" outlineLevel="0" collapsed="false">
      <c r="A3600" s="107" t="str">
        <f aca="false">IF($E3600="","",ROW()-3)</f>
        <v/>
      </c>
      <c r="B3600" s="111"/>
      <c r="C3600" s="112"/>
      <c r="D3600" s="113"/>
      <c r="E3600" s="112"/>
      <c r="F3600" s="99" t="str">
        <f aca="false">IF($E3600="","",IFERROR(INDEX(科目表!$A$4:$A$81,MATCH($E3600,科目表!$B$4:$B$81,0)),""))</f>
        <v/>
      </c>
      <c r="G3600" s="67" t="str">
        <f aca="false">IF($E3600="","",IFERROR(INDEX(科目表!$E$4:$E$81,MATCH($E3600,科目表!$B$4:$B$81,0)),""))</f>
        <v/>
      </c>
      <c r="H3600" s="114"/>
      <c r="I3600" s="114"/>
      <c r="J3600" s="112"/>
      <c r="K3600" s="112"/>
      <c r="L3600" s="113"/>
      <c r="M3600" s="115"/>
      <c r="N3600" s="113"/>
      <c r="O3600" s="67" t="str">
        <f aca="false">IF($E3600="","","手工")</f>
        <v/>
      </c>
      <c r="P3600" s="113"/>
    </row>
    <row r="3601" customFormat="false" ht="18" hidden="false" customHeight="true" outlineLevel="0" collapsed="false">
      <c r="A3601" s="107" t="str">
        <f aca="false">IF($E3601="","",ROW()-3)</f>
        <v/>
      </c>
      <c r="B3601" s="111"/>
      <c r="C3601" s="112"/>
      <c r="D3601" s="113"/>
      <c r="E3601" s="112"/>
      <c r="F3601" s="99" t="str">
        <f aca="false">IF($E3601="","",IFERROR(INDEX(科目表!$A$4:$A$81,MATCH($E3601,科目表!$B$4:$B$81,0)),""))</f>
        <v/>
      </c>
      <c r="G3601" s="67" t="str">
        <f aca="false">IF($E3601="","",IFERROR(INDEX(科目表!$E$4:$E$81,MATCH($E3601,科目表!$B$4:$B$81,0)),""))</f>
        <v/>
      </c>
      <c r="H3601" s="114"/>
      <c r="I3601" s="114"/>
      <c r="J3601" s="112"/>
      <c r="K3601" s="112"/>
      <c r="L3601" s="113"/>
      <c r="M3601" s="115"/>
      <c r="N3601" s="113"/>
      <c r="O3601" s="67" t="str">
        <f aca="false">IF($E3601="","","手工")</f>
        <v/>
      </c>
      <c r="P3601" s="113"/>
    </row>
    <row r="3602" customFormat="false" ht="18" hidden="false" customHeight="true" outlineLevel="0" collapsed="false">
      <c r="A3602" s="107" t="str">
        <f aca="false">IF($E3602="","",ROW()-3)</f>
        <v/>
      </c>
      <c r="B3602" s="111"/>
      <c r="C3602" s="112"/>
      <c r="D3602" s="113"/>
      <c r="E3602" s="112"/>
      <c r="F3602" s="99" t="str">
        <f aca="false">IF($E3602="","",IFERROR(INDEX(科目表!$A$4:$A$81,MATCH($E3602,科目表!$B$4:$B$81,0)),""))</f>
        <v/>
      </c>
      <c r="G3602" s="67" t="str">
        <f aca="false">IF($E3602="","",IFERROR(INDEX(科目表!$E$4:$E$81,MATCH($E3602,科目表!$B$4:$B$81,0)),""))</f>
        <v/>
      </c>
      <c r="H3602" s="114"/>
      <c r="I3602" s="114"/>
      <c r="J3602" s="112"/>
      <c r="K3602" s="112"/>
      <c r="L3602" s="113"/>
      <c r="M3602" s="115"/>
      <c r="N3602" s="113"/>
      <c r="O3602" s="67" t="str">
        <f aca="false">IF($E3602="","","手工")</f>
        <v/>
      </c>
      <c r="P3602" s="113"/>
    </row>
    <row r="3603" customFormat="false" ht="18" hidden="false" customHeight="true" outlineLevel="0" collapsed="false">
      <c r="A3603" s="107" t="str">
        <f aca="false">IF($E3603="","",ROW()-3)</f>
        <v/>
      </c>
      <c r="B3603" s="111"/>
      <c r="C3603" s="112"/>
      <c r="D3603" s="113"/>
      <c r="E3603" s="112"/>
      <c r="F3603" s="99" t="str">
        <f aca="false">IF($E3603="","",IFERROR(INDEX(科目表!$A$4:$A$81,MATCH($E3603,科目表!$B$4:$B$81,0)),""))</f>
        <v/>
      </c>
      <c r="G3603" s="67" t="str">
        <f aca="false">IF($E3603="","",IFERROR(INDEX(科目表!$E$4:$E$81,MATCH($E3603,科目表!$B$4:$B$81,0)),""))</f>
        <v/>
      </c>
      <c r="H3603" s="114"/>
      <c r="I3603" s="114"/>
      <c r="J3603" s="112"/>
      <c r="K3603" s="112"/>
      <c r="L3603" s="113"/>
      <c r="M3603" s="115"/>
      <c r="N3603" s="113"/>
      <c r="O3603" s="67" t="str">
        <f aca="false">IF($E3603="","","手工")</f>
        <v/>
      </c>
      <c r="P3603" s="113"/>
    </row>
    <row r="3604" customFormat="false" ht="18" hidden="false" customHeight="true" outlineLevel="0" collapsed="false">
      <c r="A3604" s="107" t="str">
        <f aca="false">IF($E3604="","",ROW()-3)</f>
        <v/>
      </c>
      <c r="B3604" s="111"/>
      <c r="C3604" s="112"/>
      <c r="D3604" s="113"/>
      <c r="E3604" s="112"/>
      <c r="F3604" s="99" t="str">
        <f aca="false">IF($E3604="","",IFERROR(INDEX(科目表!$A$4:$A$81,MATCH($E3604,科目表!$B$4:$B$81,0)),""))</f>
        <v/>
      </c>
      <c r="G3604" s="67" t="str">
        <f aca="false">IF($E3604="","",IFERROR(INDEX(科目表!$E$4:$E$81,MATCH($E3604,科目表!$B$4:$B$81,0)),""))</f>
        <v/>
      </c>
      <c r="H3604" s="114"/>
      <c r="I3604" s="114"/>
      <c r="J3604" s="112"/>
      <c r="K3604" s="112"/>
      <c r="L3604" s="113"/>
      <c r="M3604" s="115"/>
      <c r="N3604" s="113"/>
      <c r="O3604" s="67" t="str">
        <f aca="false">IF($E3604="","","手工")</f>
        <v/>
      </c>
      <c r="P3604" s="113"/>
    </row>
    <row r="3605" customFormat="false" ht="18" hidden="false" customHeight="true" outlineLevel="0" collapsed="false">
      <c r="A3605" s="107" t="str">
        <f aca="false">IF($E3605="","",ROW()-3)</f>
        <v/>
      </c>
      <c r="B3605" s="111"/>
      <c r="C3605" s="112"/>
      <c r="D3605" s="113"/>
      <c r="E3605" s="112"/>
      <c r="F3605" s="99" t="str">
        <f aca="false">IF($E3605="","",IFERROR(INDEX(科目表!$A$4:$A$81,MATCH($E3605,科目表!$B$4:$B$81,0)),""))</f>
        <v/>
      </c>
      <c r="G3605" s="67" t="str">
        <f aca="false">IF($E3605="","",IFERROR(INDEX(科目表!$E$4:$E$81,MATCH($E3605,科目表!$B$4:$B$81,0)),""))</f>
        <v/>
      </c>
      <c r="H3605" s="114"/>
      <c r="I3605" s="114"/>
      <c r="J3605" s="112"/>
      <c r="K3605" s="112"/>
      <c r="L3605" s="113"/>
      <c r="M3605" s="115"/>
      <c r="N3605" s="113"/>
      <c r="O3605" s="67" t="str">
        <f aca="false">IF($E3605="","","手工")</f>
        <v/>
      </c>
      <c r="P3605" s="113"/>
    </row>
    <row r="3606" customFormat="false" ht="18" hidden="false" customHeight="true" outlineLevel="0" collapsed="false">
      <c r="A3606" s="107" t="str">
        <f aca="false">IF($E3606="","",ROW()-3)</f>
        <v/>
      </c>
      <c r="B3606" s="111"/>
      <c r="C3606" s="112"/>
      <c r="D3606" s="113"/>
      <c r="E3606" s="112"/>
      <c r="F3606" s="99" t="str">
        <f aca="false">IF($E3606="","",IFERROR(INDEX(科目表!$A$4:$A$81,MATCH($E3606,科目表!$B$4:$B$81,0)),""))</f>
        <v/>
      </c>
      <c r="G3606" s="67" t="str">
        <f aca="false">IF($E3606="","",IFERROR(INDEX(科目表!$E$4:$E$81,MATCH($E3606,科目表!$B$4:$B$81,0)),""))</f>
        <v/>
      </c>
      <c r="H3606" s="114"/>
      <c r="I3606" s="114"/>
      <c r="J3606" s="112"/>
      <c r="K3606" s="112"/>
      <c r="L3606" s="113"/>
      <c r="M3606" s="115"/>
      <c r="N3606" s="113"/>
      <c r="O3606" s="67" t="str">
        <f aca="false">IF($E3606="","","手工")</f>
        <v/>
      </c>
      <c r="P3606" s="113"/>
    </row>
    <row r="3607" customFormat="false" ht="18" hidden="false" customHeight="true" outlineLevel="0" collapsed="false">
      <c r="A3607" s="107" t="str">
        <f aca="false">IF($E3607="","",ROW()-3)</f>
        <v/>
      </c>
      <c r="B3607" s="111"/>
      <c r="C3607" s="112"/>
      <c r="D3607" s="113"/>
      <c r="E3607" s="112"/>
      <c r="F3607" s="99" t="str">
        <f aca="false">IF($E3607="","",IFERROR(INDEX(科目表!$A$4:$A$81,MATCH($E3607,科目表!$B$4:$B$81,0)),""))</f>
        <v/>
      </c>
      <c r="G3607" s="67" t="str">
        <f aca="false">IF($E3607="","",IFERROR(INDEX(科目表!$E$4:$E$81,MATCH($E3607,科目表!$B$4:$B$81,0)),""))</f>
        <v/>
      </c>
      <c r="H3607" s="114"/>
      <c r="I3607" s="114"/>
      <c r="J3607" s="112"/>
      <c r="K3607" s="112"/>
      <c r="L3607" s="113"/>
      <c r="M3607" s="115"/>
      <c r="N3607" s="113"/>
      <c r="O3607" s="67" t="str">
        <f aca="false">IF($E3607="","","手工")</f>
        <v/>
      </c>
      <c r="P3607" s="113"/>
    </row>
    <row r="3608" customFormat="false" ht="18" hidden="false" customHeight="true" outlineLevel="0" collapsed="false">
      <c r="A3608" s="107" t="str">
        <f aca="false">IF($E3608="","",ROW()-3)</f>
        <v/>
      </c>
      <c r="B3608" s="111"/>
      <c r="C3608" s="112"/>
      <c r="D3608" s="113"/>
      <c r="E3608" s="112"/>
      <c r="F3608" s="99" t="str">
        <f aca="false">IF($E3608="","",IFERROR(INDEX(科目表!$A$4:$A$81,MATCH($E3608,科目表!$B$4:$B$81,0)),""))</f>
        <v/>
      </c>
      <c r="G3608" s="67" t="str">
        <f aca="false">IF($E3608="","",IFERROR(INDEX(科目表!$E$4:$E$81,MATCH($E3608,科目表!$B$4:$B$81,0)),""))</f>
        <v/>
      </c>
      <c r="H3608" s="114"/>
      <c r="I3608" s="114"/>
      <c r="J3608" s="112"/>
      <c r="K3608" s="112"/>
      <c r="L3608" s="113"/>
      <c r="M3608" s="115"/>
      <c r="N3608" s="113"/>
      <c r="O3608" s="67" t="str">
        <f aca="false">IF($E3608="","","手工")</f>
        <v/>
      </c>
      <c r="P3608" s="113"/>
    </row>
    <row r="3609" customFormat="false" ht="18" hidden="false" customHeight="true" outlineLevel="0" collapsed="false">
      <c r="A3609" s="107" t="str">
        <f aca="false">IF($E3609="","",ROW()-3)</f>
        <v/>
      </c>
      <c r="B3609" s="111"/>
      <c r="C3609" s="112"/>
      <c r="D3609" s="113"/>
      <c r="E3609" s="112"/>
      <c r="F3609" s="99" t="str">
        <f aca="false">IF($E3609="","",IFERROR(INDEX(科目表!$A$4:$A$81,MATCH($E3609,科目表!$B$4:$B$81,0)),""))</f>
        <v/>
      </c>
      <c r="G3609" s="67" t="str">
        <f aca="false">IF($E3609="","",IFERROR(INDEX(科目表!$E$4:$E$81,MATCH($E3609,科目表!$B$4:$B$81,0)),""))</f>
        <v/>
      </c>
      <c r="H3609" s="114"/>
      <c r="I3609" s="114"/>
      <c r="J3609" s="112"/>
      <c r="K3609" s="112"/>
      <c r="L3609" s="113"/>
      <c r="M3609" s="115"/>
      <c r="N3609" s="113"/>
      <c r="O3609" s="67" t="str">
        <f aca="false">IF($E3609="","","手工")</f>
        <v/>
      </c>
      <c r="P3609" s="113"/>
    </row>
    <row r="3610" customFormat="false" ht="16.5" hidden="false" customHeight="true" outlineLevel="0" collapsed="false">
      <c r="A3610" s="71"/>
      <c r="B3610" s="71"/>
      <c r="C3610" s="71"/>
      <c r="D3610" s="72" t="s">
        <v>783</v>
      </c>
      <c r="E3610" s="71"/>
      <c r="F3610" s="71"/>
      <c r="G3610" s="71"/>
      <c r="H3610" s="73" t="n">
        <f aca="false">ROUND(SUM(H4:H3609),2)</f>
        <v>734916.51</v>
      </c>
      <c r="I3610" s="73" t="n">
        <f aca="false">ROUND(SUM(I4:I3609),2)</f>
        <v>734916.51</v>
      </c>
      <c r="J3610" s="71" t="str">
        <f aca="false">IF(ROUND(H3610-I3610,2)=0,"✔ 借贷平衡","✘ 差 "&amp;TEXT(H3610-I3610,"#,##0.00"))</f>
        <v>✔ 借贷平衡</v>
      </c>
      <c r="K3610" s="71"/>
      <c r="L3610" s="71"/>
      <c r="M3610" s="71"/>
      <c r="N3610" s="71"/>
      <c r="O3610" s="71"/>
      <c r="P3610" s="71"/>
    </row>
  </sheetData>
  <autoFilter ref="A3:P3610"/>
  <mergeCells count="2">
    <mergeCell ref="A1:P1"/>
    <mergeCell ref="A2:P2"/>
  </mergeCells>
  <conditionalFormatting sqref="A2">
    <cfRule type="expression" priority="2" aboveAverage="0" equalAverage="0" bottom="0" percent="0" rank="0" text="" dxfId="0">
      <formula>OR(N(对接源_01水果!$T$1)+N(对接源_02物料!$T$1)=0,N(对接源_01水果!$T$4)*N(对接源_02物料!$T$4)=0)</formula>
    </cfRule>
  </conditionalFormatting>
  <dataValidations count="3">
    <dataValidation allowBlank="true" errorStyle="stop" operator="between" showDropDown="false" showErrorMessage="false" showInputMessage="false" sqref="E3010:E3609" type="list">
      <formula1>科目表!$B$4:$B$81</formula1>
      <formula2>0</formula2>
    </dataValidation>
    <dataValidation allowBlank="true" errorStyle="stop" operator="between" showDropDown="false" showErrorMessage="false" showInputMessage="false" sqref="J3010:J3609" type="list">
      <formula1>科目表!$I$4:$I$140</formula1>
      <formula2>0</formula2>
    </dataValidation>
    <dataValidation allowBlank="true" errorStyle="stop" operator="between" showDropDown="false" showErrorMessage="false" showInputMessage="false" sqref="K3010:K3609" type="list">
      <formula1>科目表!$J$4:$J$140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9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6" activeCellId="0" sqref="B6"/>
    </sheetView>
  </sheetViews>
  <sheetFormatPr defaultColWidth="9" defaultRowHeight="13.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6"/>
    <col collapsed="false" customWidth="true" hidden="false" outlineLevel="0" max="9" min="9" style="0" width="26"/>
  </cols>
  <sheetData>
    <row r="1" customFormat="false" ht="30" hidden="false" customHeight="true" outlineLevel="0" collapsed="false">
      <c r="A1" s="20" t="s">
        <v>784</v>
      </c>
      <c r="B1" s="20"/>
      <c r="C1" s="20"/>
      <c r="D1" s="20"/>
      <c r="E1" s="20"/>
      <c r="F1" s="20"/>
      <c r="G1" s="20"/>
      <c r="H1" s="20"/>
      <c r="I1" s="20"/>
    </row>
    <row r="2" customFormat="false" ht="18" hidden="false" customHeight="true" outlineLevel="0" collapsed="false">
      <c r="A2" s="116"/>
      <c r="B2" s="116"/>
      <c r="C2" s="116"/>
      <c r="D2" s="116"/>
      <c r="E2" s="116"/>
      <c r="F2" s="116"/>
      <c r="G2" s="116"/>
      <c r="H2" s="116"/>
      <c r="I2" s="116"/>
    </row>
    <row r="3" customFormat="false" ht="16.5" hidden="false" customHeight="true" outlineLevel="0" collapsed="false">
      <c r="A3" s="117" t="s">
        <v>785</v>
      </c>
      <c r="B3" s="117"/>
      <c r="C3" s="117"/>
      <c r="D3" s="117"/>
      <c r="E3" s="117"/>
      <c r="F3" s="117"/>
      <c r="G3" s="117"/>
      <c r="H3" s="117"/>
      <c r="I3" s="117"/>
    </row>
    <row r="4" customFormat="false" ht="25.5" hidden="false" customHeight="true" outlineLevel="0" collapsed="false">
      <c r="A4" s="37" t="s">
        <v>432</v>
      </c>
      <c r="B4" s="37" t="s">
        <v>27</v>
      </c>
      <c r="C4" s="37" t="s">
        <v>786</v>
      </c>
      <c r="D4" s="37" t="s">
        <v>787</v>
      </c>
      <c r="E4" s="37" t="s">
        <v>788</v>
      </c>
    </row>
    <row r="5" customFormat="false" ht="18" hidden="false" customHeight="true" outlineLevel="0" collapsed="false">
      <c r="A5" s="19" t="str">
        <f aca="false">IF(科目表!$K4="","",科目表!$K4)</f>
        <v>库存现金</v>
      </c>
      <c r="B5" s="70" t="n">
        <f aca="false">IF($A5="","",ROUND(IFERROR(INDEX(期初余额!$I$4:$I$43,MATCH($A5,期初余额!$H$4:$H$43,0)),0),2))</f>
        <v>0</v>
      </c>
      <c r="C5" s="70" t="n">
        <f aca="false">IF($A5="","",ROUND(SUMIFS(资金日记账!$H$4:$H$603,资金日记账!$C$4:$C$603,$A5),2))</f>
        <v>0</v>
      </c>
      <c r="D5" s="70" t="n">
        <f aca="false">IF($A5="","",ROUND(SUMIFS(资金日记账!$I$4:$I$603,资金日记账!$C$4:$C$603,$A5),2))</f>
        <v>0</v>
      </c>
      <c r="E5" s="70" t="n">
        <f aca="false">IF($A5="","",ROUND($B5+$C5-$D5,2))</f>
        <v>0</v>
      </c>
    </row>
    <row r="6" customFormat="false" ht="18" hidden="false" customHeight="true" outlineLevel="0" collapsed="false">
      <c r="A6" s="19" t="str">
        <f aca="false">IF(科目表!$K5="","",科目表!$K5)</f>
        <v>基本户-银行存款</v>
      </c>
      <c r="B6" s="70" t="n">
        <f aca="false">IF($A6="","",ROUND(IFERROR(INDEX(期初余额!$I$4:$I$43,MATCH($A6,期初余额!$H$4:$H$43,0)),0),2))</f>
        <v>62246</v>
      </c>
      <c r="C6" s="70" t="n">
        <f aca="false">IF($A6="","",ROUND(SUMIFS(资金日记账!$H$4:$H$603,资金日记账!$C$4:$C$603,$A6),2))</f>
        <v>320800</v>
      </c>
      <c r="D6" s="70" t="n">
        <f aca="false">IF($A6="","",ROUND(SUMIFS(资金日记账!$I$4:$I$603,资金日记账!$C$4:$C$603,$A6),2))</f>
        <v>67400</v>
      </c>
      <c r="E6" s="70" t="n">
        <f aca="false">IF($A6="","",ROUND($B6+$C6-$D6,2))</f>
        <v>315646</v>
      </c>
    </row>
    <row r="7" customFormat="false" ht="18" hidden="false" customHeight="true" outlineLevel="0" collapsed="false">
      <c r="A7" s="19" t="str">
        <f aca="false">IF(科目表!$K6="","",科目表!$K6)</f>
        <v>一般户-银行存款</v>
      </c>
      <c r="B7" s="70" t="n">
        <f aca="false">IF($A7="","",ROUND(IFERROR(INDEX(期初余额!$I$4:$I$43,MATCH($A7,期初余额!$H$4:$H$43,0)),0),2))</f>
        <v>0</v>
      </c>
      <c r="C7" s="70" t="n">
        <f aca="false">IF($A7="","",ROUND(SUMIFS(资金日记账!$H$4:$H$603,资金日记账!$C$4:$C$603,$A7),2))</f>
        <v>0</v>
      </c>
      <c r="D7" s="70" t="n">
        <f aca="false">IF($A7="","",ROUND(SUMIFS(资金日记账!$I$4:$I$603,资金日记账!$C$4:$C$603,$A7),2))</f>
        <v>0</v>
      </c>
      <c r="E7" s="70" t="n">
        <f aca="false">IF($A7="","",ROUND($B7+$C7-$D7,2))</f>
        <v>0</v>
      </c>
    </row>
    <row r="8" customFormat="false" ht="18" hidden="false" customHeight="true" outlineLevel="0" collapsed="false">
      <c r="A8" s="19" t="str">
        <f aca="false">IF(科目表!$K7="","",科目表!$K7)</f>
        <v>微信</v>
      </c>
      <c r="B8" s="70" t="n">
        <f aca="false">IF($A8="","",ROUND(IFERROR(INDEX(期初余额!$I$4:$I$43,MATCH($A8,期初余额!$H$4:$H$43,0)),0),2))</f>
        <v>74812</v>
      </c>
      <c r="C8" s="70" t="n">
        <f aca="false">IF($A8="","",ROUND(SUMIFS(资金日记账!$H$4:$H$603,资金日记账!$C$4:$C$603,$A8),2))</f>
        <v>82645</v>
      </c>
      <c r="D8" s="70" t="n">
        <f aca="false">IF($A8="","",ROUND(SUMIFS(资金日记账!$I$4:$I$603,资金日记账!$C$4:$C$603,$A8),2))</f>
        <v>153039.51</v>
      </c>
      <c r="E8" s="70" t="n">
        <f aca="false">IF($A8="","",ROUND($B8+$C8-$D8,2))</f>
        <v>4417.49</v>
      </c>
    </row>
    <row r="9" customFormat="false" ht="18" hidden="false" customHeight="true" outlineLevel="0" collapsed="false">
      <c r="A9" s="19" t="str">
        <f aca="false">IF(科目表!$K8="","",科目表!$K8)</f>
        <v>支付宝</v>
      </c>
      <c r="B9" s="70" t="n">
        <f aca="false">IF($A9="","",ROUND(IFERROR(INDEX(期初余额!$I$4:$I$43,MATCH($A9,期初余额!$H$4:$H$43,0)),0),2))</f>
        <v>99017</v>
      </c>
      <c r="C9" s="70" t="n">
        <f aca="false">IF($A9="","",ROUND(SUMIFS(资金日记账!$H$4:$H$603,资金日记账!$C$4:$C$603,$A9),2))</f>
        <v>54035</v>
      </c>
      <c r="D9" s="70" t="n">
        <f aca="false">IF($A9="","",ROUND(SUMIFS(资金日记账!$I$4:$I$603,资金日记账!$C$4:$C$603,$A9),2))</f>
        <v>56605</v>
      </c>
      <c r="E9" s="70" t="n">
        <f aca="false">IF($A9="","",ROUND($B9+$C9-$D9,2))</f>
        <v>96447</v>
      </c>
    </row>
    <row r="10" customFormat="false" ht="18" hidden="false" customHeight="true" outlineLevel="0" collapsed="false">
      <c r="A10" s="19" t="str">
        <f aca="false">IF(科目表!$K9="","",科目表!$K9)</f>
        <v>承兑汇票</v>
      </c>
      <c r="B10" s="70" t="n">
        <f aca="false">IF($A10="","",ROUND(IFERROR(INDEX(期初余额!$I$4:$I$43,MATCH($A10,期初余额!$H$4:$H$43,0)),0),2))</f>
        <v>0</v>
      </c>
      <c r="C10" s="70" t="n">
        <f aca="false">IF($A10="","",ROUND(SUMIFS(资金日记账!$H$4:$H$603,资金日记账!$C$4:$C$603,$A10),2))</f>
        <v>0</v>
      </c>
      <c r="D10" s="70" t="n">
        <f aca="false">IF($A10="","",ROUND(SUMIFS(资金日记账!$I$4:$I$603,资金日记账!$C$4:$C$603,$A10),2))</f>
        <v>0</v>
      </c>
      <c r="E10" s="70" t="n">
        <f aca="false">IF($A10="","",ROUND($B10+$C10-$D10,2))</f>
        <v>0</v>
      </c>
    </row>
    <row r="11" customFormat="false" ht="18" hidden="false" customHeight="true" outlineLevel="0" collapsed="false">
      <c r="A11" s="19" t="str">
        <f aca="false">IF(科目表!$K10="","",科目表!$K10)</f>
        <v>工行-姜诗林</v>
      </c>
      <c r="B11" s="70" t="n">
        <f aca="false">IF($A11="","",ROUND(IFERROR(INDEX(期初余额!$I$4:$I$43,MATCH($A11,期初余额!$H$4:$H$43,0)),0),2))</f>
        <v>0</v>
      </c>
      <c r="C11" s="70" t="n">
        <f aca="false">IF($A11="","",ROUND(SUMIFS(资金日记账!$H$4:$H$603,资金日记账!$C$4:$C$603,$A11),2))</f>
        <v>0</v>
      </c>
      <c r="D11" s="70" t="n">
        <f aca="false">IF($A11="","",ROUND(SUMIFS(资金日记账!$I$4:$I$603,资金日记账!$C$4:$C$603,$A11),2))</f>
        <v>0</v>
      </c>
      <c r="E11" s="70" t="n">
        <f aca="false">IF($A11="","",ROUND($B11+$C11-$D11,2))</f>
        <v>0</v>
      </c>
    </row>
    <row r="12" customFormat="false" ht="18" hidden="false" customHeight="true" outlineLevel="0" collapsed="false">
      <c r="A12" s="19" t="str">
        <f aca="false">IF(科目表!$K11="","",科目表!$K11)</f>
        <v>建行-张涛</v>
      </c>
      <c r="B12" s="70" t="n">
        <f aca="false">IF($A12="","",ROUND(IFERROR(INDEX(期初余额!$I$4:$I$43,MATCH($A12,期初余额!$H$4:$H$43,0)),0),2))</f>
        <v>0</v>
      </c>
      <c r="C12" s="70" t="n">
        <f aca="false">IF($A12="","",ROUND(SUMIFS(资金日记账!$H$4:$H$603,资金日记账!$C$4:$C$603,$A12),2))</f>
        <v>0</v>
      </c>
      <c r="D12" s="70" t="n">
        <f aca="false">IF($A12="","",ROUND(SUMIFS(资金日记账!$I$4:$I$603,资金日记账!$C$4:$C$603,$A12),2))</f>
        <v>0</v>
      </c>
      <c r="E12" s="70" t="n">
        <f aca="false">IF($A12="","",ROUND($B12+$C12-$D12,2))</f>
        <v>0</v>
      </c>
    </row>
    <row r="13" customFormat="false" ht="18" hidden="false" customHeight="true" outlineLevel="0" collapsed="false">
      <c r="A13" s="19" t="str">
        <f aca="false">IF(科目表!$K12="","",科目表!$K12)</f>
        <v>慢慢微信</v>
      </c>
      <c r="B13" s="70" t="n">
        <f aca="false">IF($A13="","",ROUND(IFERROR(INDEX(期初余额!$I$4:$I$43,MATCH($A13,期初余额!$H$4:$H$43,0)),0),2))</f>
        <v>0</v>
      </c>
      <c r="C13" s="70" t="n">
        <f aca="false">IF($A13="","",ROUND(SUMIFS(资金日记账!$H$4:$H$603,资金日记账!$C$4:$C$603,$A13),2))</f>
        <v>0</v>
      </c>
      <c r="D13" s="70" t="n">
        <f aca="false">IF($A13="","",ROUND(SUMIFS(资金日记账!$I$4:$I$603,资金日记账!$C$4:$C$603,$A13),2))</f>
        <v>0</v>
      </c>
      <c r="E13" s="70" t="n">
        <f aca="false">IF($A13="","",ROUND($B13+$C13-$D13,2))</f>
        <v>0</v>
      </c>
    </row>
    <row r="14" customFormat="false" ht="18" hidden="false" customHeight="true" outlineLevel="0" collapsed="false">
      <c r="A14" s="19" t="str">
        <f aca="false">IF(科目表!$K13="","",科目表!$K13)</f>
        <v>果然鲜微信</v>
      </c>
      <c r="B14" s="70" t="n">
        <f aca="false">IF($A14="","",ROUND(IFERROR(INDEX(期初余额!$I$4:$I$43,MATCH($A14,期初余额!$H$4:$H$43,0)),0),2))</f>
        <v>0</v>
      </c>
      <c r="C14" s="70" t="n">
        <f aca="false">IF($A14="","",ROUND(SUMIFS(资金日记账!$H$4:$H$603,资金日记账!$C$4:$C$603,$A14),2))</f>
        <v>0</v>
      </c>
      <c r="D14" s="70" t="n">
        <f aca="false">IF($A14="","",ROUND(SUMIFS(资金日记账!$I$4:$I$603,资金日记账!$C$4:$C$603,$A14),2))</f>
        <v>0</v>
      </c>
      <c r="E14" s="70" t="n">
        <f aca="false">IF($A14="","",ROUND($B14+$C14-$D14,2))</f>
        <v>0</v>
      </c>
    </row>
    <row r="15" customFormat="false" ht="18" hidden="false" customHeight="true" outlineLevel="0" collapsed="false">
      <c r="A15" s="19" t="str">
        <f aca="false">IF(科目表!$K14="","",科目表!$K14)</f>
        <v/>
      </c>
      <c r="B15" s="70" t="str">
        <f aca="false">IF($A15="","",ROUND(IFERROR(INDEX(期初余额!$I$4:$I$43,MATCH($A15,期初余额!$H$4:$H$43,0)),0),2))</f>
        <v/>
      </c>
      <c r="C15" s="70" t="str">
        <f aca="false">IF($A15="","",ROUND(SUMIFS(资金日记账!$H$4:$H$603,资金日记账!$C$4:$C$603,$A15),2))</f>
        <v/>
      </c>
      <c r="D15" s="70" t="str">
        <f aca="false">IF($A15="","",ROUND(SUMIFS(资金日记账!$I$4:$I$603,资金日记账!$C$4:$C$603,$A15),2))</f>
        <v/>
      </c>
      <c r="E15" s="70" t="str">
        <f aca="false">IF($A15="","",ROUND($B15+$C15-$D15,2))</f>
        <v/>
      </c>
    </row>
    <row r="16" customFormat="false" ht="18" hidden="false" customHeight="true" outlineLevel="0" collapsed="false">
      <c r="A16" s="19" t="str">
        <f aca="false">IF(科目表!$K15="","",科目表!$K15)</f>
        <v/>
      </c>
      <c r="B16" s="70" t="str">
        <f aca="false">IF($A16="","",ROUND(IFERROR(INDEX(期初余额!$I$4:$I$43,MATCH($A16,期初余额!$H$4:$H$43,0)),0),2))</f>
        <v/>
      </c>
      <c r="C16" s="70" t="str">
        <f aca="false">IF($A16="","",ROUND(SUMIFS(资金日记账!$H$4:$H$603,资金日记账!$C$4:$C$603,$A16),2))</f>
        <v/>
      </c>
      <c r="D16" s="70" t="str">
        <f aca="false">IF($A16="","",ROUND(SUMIFS(资金日记账!$I$4:$I$603,资金日记账!$C$4:$C$603,$A16),2))</f>
        <v/>
      </c>
      <c r="E16" s="70" t="str">
        <f aca="false">IF($A16="","",ROUND($B16+$C16-$D16,2))</f>
        <v/>
      </c>
    </row>
    <row r="17" customFormat="false" ht="18" hidden="false" customHeight="true" outlineLevel="0" collapsed="false">
      <c r="A17" s="19" t="str">
        <f aca="false">IF(科目表!$K16="","",科目表!$K16)</f>
        <v/>
      </c>
      <c r="B17" s="70" t="str">
        <f aca="false">IF($A17="","",ROUND(IFERROR(INDEX(期初余额!$I$4:$I$43,MATCH($A17,期初余额!$H$4:$H$43,0)),0),2))</f>
        <v/>
      </c>
      <c r="C17" s="70" t="str">
        <f aca="false">IF($A17="","",ROUND(SUMIFS(资金日记账!$H$4:$H$603,资金日记账!$C$4:$C$603,$A17),2))</f>
        <v/>
      </c>
      <c r="D17" s="70" t="str">
        <f aca="false">IF($A17="","",ROUND(SUMIFS(资金日记账!$I$4:$I$603,资金日记账!$C$4:$C$603,$A17),2))</f>
        <v/>
      </c>
      <c r="E17" s="70" t="str">
        <f aca="false">IF($A17="","",ROUND($B17+$C17-$D17,2))</f>
        <v/>
      </c>
    </row>
    <row r="18" customFormat="false" ht="18" hidden="false" customHeight="true" outlineLevel="0" collapsed="false">
      <c r="A18" s="19" t="str">
        <f aca="false">IF(科目表!$K17="","",科目表!$K17)</f>
        <v/>
      </c>
      <c r="B18" s="70" t="str">
        <f aca="false">IF($A18="","",ROUND(IFERROR(INDEX(期初余额!$I$4:$I$43,MATCH($A18,期初余额!$H$4:$H$43,0)),0),2))</f>
        <v/>
      </c>
      <c r="C18" s="70" t="str">
        <f aca="false">IF($A18="","",ROUND(SUMIFS(资金日记账!$H$4:$H$603,资金日记账!$C$4:$C$603,$A18),2))</f>
        <v/>
      </c>
      <c r="D18" s="70" t="str">
        <f aca="false">IF($A18="","",ROUND(SUMIFS(资金日记账!$I$4:$I$603,资金日记账!$C$4:$C$603,$A18),2))</f>
        <v/>
      </c>
      <c r="E18" s="70" t="str">
        <f aca="false">IF($A18="","",ROUND($B18+$C18-$D18,2))</f>
        <v/>
      </c>
    </row>
    <row r="19" customFormat="false" ht="16.5" hidden="false" customHeight="true" outlineLevel="0" collapsed="false">
      <c r="A19" s="72" t="s">
        <v>229</v>
      </c>
      <c r="B19" s="73" t="n">
        <f aca="false">ROUND(SUM(B5:B18),2)</f>
        <v>236075</v>
      </c>
      <c r="C19" s="73" t="n">
        <f aca="false">ROUND(SUM(C5:C18),2)</f>
        <v>457480</v>
      </c>
      <c r="D19" s="73" t="n">
        <f aca="false">ROUND(SUM(D5:D18),2)</f>
        <v>277044.51</v>
      </c>
      <c r="E19" s="73" t="n">
        <f aca="false">ROUND(SUM(E5:E18),2)</f>
        <v>416510.49</v>
      </c>
    </row>
    <row r="20" customFormat="false" ht="16.5" hidden="false" customHeight="true" outlineLevel="0" collapsed="false">
      <c r="A20" s="118" t="s">
        <v>789</v>
      </c>
      <c r="B20" s="95"/>
      <c r="C20" s="95"/>
      <c r="D20" s="95"/>
      <c r="E20" s="119" t="n">
        <f aca="false">ROUND(SUMIFS(科目余额表!$I$4:$I$81,科目余额表!$D$4:$D$81,"货币资金")-SUMIFS(科目余额表!$J$4:$J$81,科目余额表!$D$4:$D$81,"货币资金"),2)</f>
        <v>180435.49</v>
      </c>
      <c r="F20" s="120" t="str">
        <f aca="false">IF(ROUND($E20-$E19,2)=0,"✔ 与日记账一致","✘ 差额 "&amp;TEXT($E20-$E19,"#,##0.00"))</f>
        <v>✘ 差额 -236,075.00</v>
      </c>
    </row>
    <row r="21" customFormat="false" ht="18" hidden="false" customHeight="true" outlineLevel="0" collapsed="false">
      <c r="A21" s="67"/>
      <c r="B21" s="121"/>
      <c r="C21" s="70"/>
      <c r="D21" s="70"/>
      <c r="E21" s="70"/>
      <c r="F21" s="121"/>
      <c r="G21" s="70"/>
      <c r="H21" s="70"/>
      <c r="I21" s="70"/>
    </row>
    <row r="22" customFormat="false" ht="16.5" hidden="false" customHeight="true" outlineLevel="0" collapsed="false">
      <c r="A22" s="117" t="s">
        <v>790</v>
      </c>
      <c r="B22" s="117"/>
      <c r="C22" s="117"/>
      <c r="D22" s="117"/>
      <c r="E22" s="117"/>
      <c r="F22" s="117"/>
      <c r="G22" s="117"/>
      <c r="H22" s="117"/>
      <c r="I22" s="117"/>
    </row>
    <row r="23" customFormat="false" ht="30" hidden="false" customHeight="true" outlineLevel="0" collapsed="false">
      <c r="A23" s="37" t="s">
        <v>431</v>
      </c>
      <c r="B23" s="37" t="s">
        <v>791</v>
      </c>
      <c r="C23" s="37" t="s">
        <v>792</v>
      </c>
      <c r="D23" s="37" t="s">
        <v>793</v>
      </c>
      <c r="E23" s="37" t="s">
        <v>794</v>
      </c>
      <c r="F23" s="37" t="s">
        <v>795</v>
      </c>
      <c r="G23" s="37" t="s">
        <v>796</v>
      </c>
      <c r="H23" s="37" t="s">
        <v>797</v>
      </c>
      <c r="I23" s="37" t="s">
        <v>771</v>
      </c>
    </row>
    <row r="24" customFormat="false" ht="18" hidden="false" customHeight="true" outlineLevel="0" collapsed="false">
      <c r="A24" s="67" t="str">
        <f aca="false">IFERROR(INDEX(_自动清单!$E$4:$E$253,ROW()-23),"")</f>
        <v>王照雪</v>
      </c>
      <c r="B24" s="121"/>
      <c r="C24" s="70" t="n">
        <f aca="false">IF($A24="","",ROUND(SUMIFS(进销存对接!$G$4:$G$305,进销存对接!$D$4:$D$305,"客户应收",进销存对接!$C$4:$C$305,$A24),2))</f>
        <v>0</v>
      </c>
      <c r="D24" s="70" t="n">
        <f aca="false">IF($A24="","",ROUND(SUMIFS(资金日记账!$H$4:$H$603,资金日记账!$E$4:$E$603,$A24,资金日记账!$K$4:$K$603,"应收账款"),2))</f>
        <v>0</v>
      </c>
      <c r="E24" s="70" t="n">
        <f aca="false">IF($A24="","",ROUND(N($B24)+$C24-$D24,2))</f>
        <v>0</v>
      </c>
      <c r="F24" s="121"/>
      <c r="G24" s="70" t="n">
        <f aca="false">IF($A24="","",ROUND(SUMIFS(进销存对接!$F$4:$F$305,进销存对接!$D$4:$D$305,"客户应收",进销存对接!$C$4:$C$305,$A24)+SUMIFS(记账凭证!$I$4:$I$3609,记账凭证!$J$4:$J$3609,$A24,记账凭证!$E$4:$E$3609,"应付账款"),2))</f>
        <v>0</v>
      </c>
      <c r="H24" s="70" t="n">
        <f aca="false">IF($A24="","",ROUND(SUMIFS(记账凭证!$H$4:$H$3609,记账凭证!$J$4:$J$3609,$A24,记账凭证!$E$4:$E$3609,"应付账款"),2))</f>
        <v>0</v>
      </c>
      <c r="I24" s="70" t="n">
        <f aca="false">IF($A24="","",ROUND(N($F24)+$G24-$H24,2))</f>
        <v>0</v>
      </c>
    </row>
    <row r="25" customFormat="false" ht="18" hidden="false" customHeight="true" outlineLevel="0" collapsed="false">
      <c r="A25" s="67" t="str">
        <f aca="false">IFERROR(INDEX(_自动清单!$E$4:$E$253,ROW()-23),"")</f>
        <v>麦麦提</v>
      </c>
      <c r="B25" s="121"/>
      <c r="C25" s="70" t="n">
        <f aca="false">IF($A25="","",ROUND(SUMIFS(进销存对接!$G$4:$G$305,进销存对接!$D$4:$D$305,"客户应收",进销存对接!$C$4:$C$305,$A25),2))</f>
        <v>0</v>
      </c>
      <c r="D25" s="70" t="n">
        <f aca="false">IF($A25="","",ROUND(SUMIFS(资金日记账!$H$4:$H$603,资金日记账!$E$4:$E$603,$A25,资金日记账!$K$4:$K$603,"应收账款"),2))</f>
        <v>0</v>
      </c>
      <c r="E25" s="70" t="n">
        <f aca="false">IF($A25="","",ROUND(N($B25)+$C25-$D25,2))</f>
        <v>0</v>
      </c>
      <c r="F25" s="121"/>
      <c r="G25" s="70" t="n">
        <f aca="false">IF($A25="","",ROUND(SUMIFS(进销存对接!$F$4:$F$305,进销存对接!$D$4:$D$305,"客户应收",进销存对接!$C$4:$C$305,$A25)+SUMIFS(记账凭证!$I$4:$I$3609,记账凭证!$J$4:$J$3609,$A25,记账凭证!$E$4:$E$3609,"应付账款"),2))</f>
        <v>0</v>
      </c>
      <c r="H25" s="70" t="n">
        <f aca="false">IF($A25="","",ROUND(SUMIFS(记账凭证!$H$4:$H$3609,记账凭证!$J$4:$J$3609,$A25,记账凭证!$E$4:$E$3609,"应付账款"),2))</f>
        <v>0</v>
      </c>
      <c r="I25" s="70" t="n">
        <f aca="false">IF($A25="","",ROUND(N($F25)+$G25-$H25,2))</f>
        <v>0</v>
      </c>
    </row>
    <row r="26" customFormat="false" ht="18" hidden="false" customHeight="true" outlineLevel="0" collapsed="false">
      <c r="A26" s="67" t="str">
        <f aca="false">IFERROR(INDEX(_自动清单!$E$4:$E$253,ROW()-23),"")</f>
        <v>热合曼</v>
      </c>
      <c r="B26" s="121"/>
      <c r="C26" s="70" t="n">
        <f aca="false">IF($A26="","",ROUND(SUMIFS(进销存对接!$G$4:$G$305,进销存对接!$D$4:$D$305,"客户应收",进销存对接!$C$4:$C$305,$A26),2))</f>
        <v>0</v>
      </c>
      <c r="D26" s="70" t="n">
        <f aca="false">IF($A26="","",ROUND(SUMIFS(资金日记账!$H$4:$H$603,资金日记账!$E$4:$E$603,$A26,资金日记账!$K$4:$K$603,"应收账款"),2))</f>
        <v>0</v>
      </c>
      <c r="E26" s="70" t="n">
        <f aca="false">IF($A26="","",ROUND(N($B26)+$C26-$D26,2))</f>
        <v>0</v>
      </c>
      <c r="F26" s="121"/>
      <c r="G26" s="70" t="n">
        <f aca="false">IF($A26="","",ROUND(SUMIFS(进销存对接!$F$4:$F$305,进销存对接!$D$4:$D$305,"客户应收",进销存对接!$C$4:$C$305,$A26)+SUMIFS(记账凭证!$I$4:$I$3609,记账凭证!$J$4:$J$3609,$A26,记账凭证!$E$4:$E$3609,"应付账款"),2))</f>
        <v>0</v>
      </c>
      <c r="H26" s="70" t="n">
        <f aca="false">IF($A26="","",ROUND(SUMIFS(记账凭证!$H$4:$H$3609,记账凭证!$J$4:$J$3609,$A26,记账凭证!$E$4:$E$3609,"应付账款"),2))</f>
        <v>0</v>
      </c>
      <c r="I26" s="70" t="n">
        <f aca="false">IF($A26="","",ROUND(N($F26)+$G26-$H26,2))</f>
        <v>0</v>
      </c>
    </row>
    <row r="27" customFormat="false" ht="18" hidden="false" customHeight="true" outlineLevel="0" collapsed="false">
      <c r="A27" s="67" t="str">
        <f aca="false">IFERROR(INDEX(_自动清单!$E$4:$E$253,ROW()-23),"")</f>
        <v>王灵云</v>
      </c>
      <c r="B27" s="121"/>
      <c r="C27" s="70" t="n">
        <f aca="false">IF($A27="","",ROUND(SUMIFS(进销存对接!$G$4:$G$305,进销存对接!$D$4:$D$305,"客户应收",进销存对接!$C$4:$C$305,$A27),2))</f>
        <v>0</v>
      </c>
      <c r="D27" s="70" t="n">
        <f aca="false">IF($A27="","",ROUND(SUMIFS(资金日记账!$H$4:$H$603,资金日记账!$E$4:$E$603,$A27,资金日记账!$K$4:$K$603,"应收账款"),2))</f>
        <v>0</v>
      </c>
      <c r="E27" s="70" t="n">
        <f aca="false">IF($A27="","",ROUND(N($B27)+$C27-$D27,2))</f>
        <v>0</v>
      </c>
      <c r="F27" s="121"/>
      <c r="G27" s="70" t="n">
        <f aca="false">IF($A27="","",ROUND(SUMIFS(进销存对接!$F$4:$F$305,进销存对接!$D$4:$D$305,"客户应收",进销存对接!$C$4:$C$305,$A27)+SUMIFS(记账凭证!$I$4:$I$3609,记账凭证!$J$4:$J$3609,$A27,记账凭证!$E$4:$E$3609,"应付账款"),2))</f>
        <v>0</v>
      </c>
      <c r="H27" s="70" t="n">
        <f aca="false">IF($A27="","",ROUND(SUMIFS(记账凭证!$H$4:$H$3609,记账凭证!$J$4:$J$3609,$A27,记账凭证!$E$4:$E$3609,"应付账款"),2))</f>
        <v>0</v>
      </c>
      <c r="I27" s="70" t="n">
        <f aca="false">IF($A27="","",ROUND(N($F27)+$G27-$H27,2))</f>
        <v>0</v>
      </c>
    </row>
    <row r="28" customFormat="false" ht="18" hidden="false" customHeight="true" outlineLevel="0" collapsed="false">
      <c r="A28" s="67" t="str">
        <f aca="false">IFERROR(INDEX(_自动清单!$E$4:$E$253,ROW()-23),"")</f>
        <v>全修塑业</v>
      </c>
      <c r="B28" s="121"/>
      <c r="C28" s="70" t="n">
        <f aca="false">IF($A28="","",ROUND(SUMIFS(进销存对接!$G$4:$G$305,进销存对接!$D$4:$D$305,"客户应收",进销存对接!$C$4:$C$305,$A28),2))</f>
        <v>0</v>
      </c>
      <c r="D28" s="70" t="n">
        <f aca="false">IF($A28="","",ROUND(SUMIFS(资金日记账!$H$4:$H$603,资金日记账!$E$4:$E$603,$A28,资金日记账!$K$4:$K$603,"应收账款"),2))</f>
        <v>0</v>
      </c>
      <c r="E28" s="70" t="n">
        <f aca="false">IF($A28="","",ROUND(N($B28)+$C28-$D28,2))</f>
        <v>0</v>
      </c>
      <c r="F28" s="121"/>
      <c r="G28" s="70" t="n">
        <f aca="false">IF($A28="","",ROUND(SUMIFS(进销存对接!$F$4:$F$305,进销存对接!$D$4:$D$305,"客户应收",进销存对接!$C$4:$C$305,$A28)+SUMIFS(记账凭证!$I$4:$I$3609,记账凭证!$J$4:$J$3609,$A28,记账凭证!$E$4:$E$3609,"应付账款"),2))</f>
        <v>0</v>
      </c>
      <c r="H28" s="70" t="n">
        <f aca="false">IF($A28="","",ROUND(SUMIFS(记账凭证!$H$4:$H$3609,记账凭证!$J$4:$J$3609,$A28,记账凭证!$E$4:$E$3609,"应付账款"),2))</f>
        <v>0</v>
      </c>
      <c r="I28" s="70" t="n">
        <f aca="false">IF($A28="","",ROUND(N($F28)+$G28-$H28,2))</f>
        <v>0</v>
      </c>
    </row>
    <row r="29" customFormat="false" ht="18" hidden="false" customHeight="true" outlineLevel="0" collapsed="false">
      <c r="A29" s="67" t="str">
        <f aca="false">IFERROR(INDEX(_自动清单!$E$4:$E$253,ROW()-23),"")</f>
        <v>新顺发泡网</v>
      </c>
      <c r="B29" s="121"/>
      <c r="C29" s="70" t="n">
        <f aca="false">IF($A29="","",ROUND(SUMIFS(进销存对接!$G$4:$G$305,进销存对接!$D$4:$D$305,"客户应收",进销存对接!$C$4:$C$305,$A29),2))</f>
        <v>0</v>
      </c>
      <c r="D29" s="70" t="n">
        <f aca="false">IF($A29="","",ROUND(SUMIFS(资金日记账!$H$4:$H$603,资金日记账!$E$4:$E$603,$A29,资金日记账!$K$4:$K$603,"应收账款"),2))</f>
        <v>0</v>
      </c>
      <c r="E29" s="70" t="n">
        <f aca="false">IF($A29="","",ROUND(N($B29)+$C29-$D29,2))</f>
        <v>0</v>
      </c>
      <c r="F29" s="121"/>
      <c r="G29" s="70" t="n">
        <f aca="false">IF($A29="","",ROUND(SUMIFS(进销存对接!$F$4:$F$305,进销存对接!$D$4:$D$305,"客户应收",进销存对接!$C$4:$C$305,$A29)+SUMIFS(记账凭证!$I$4:$I$3609,记账凭证!$J$4:$J$3609,$A29,记账凭证!$E$4:$E$3609,"应付账款"),2))</f>
        <v>0</v>
      </c>
      <c r="H29" s="70" t="n">
        <f aca="false">IF($A29="","",ROUND(SUMIFS(记账凭证!$H$4:$H$3609,记账凭证!$J$4:$J$3609,$A29,记账凭证!$E$4:$E$3609,"应付账款"),2))</f>
        <v>0</v>
      </c>
      <c r="I29" s="70" t="n">
        <f aca="false">IF($A29="","",ROUND(N($F29)+$G29-$H29,2))</f>
        <v>0</v>
      </c>
    </row>
    <row r="30" customFormat="false" ht="18" hidden="false" customHeight="true" outlineLevel="0" collapsed="false">
      <c r="A30" s="67" t="str">
        <f aca="false">IFERROR(INDEX(_自动清单!$E$4:$E$253,ROW()-23),"")</f>
        <v>伍元虎</v>
      </c>
      <c r="B30" s="121"/>
      <c r="C30" s="70" t="n">
        <f aca="false">IF($A30="","",ROUND(SUMIFS(进销存对接!$G$4:$G$305,进销存对接!$D$4:$D$305,"客户应收",进销存对接!$C$4:$C$305,$A30),2))</f>
        <v>0</v>
      </c>
      <c r="D30" s="70" t="n">
        <f aca="false">IF($A30="","",ROUND(SUMIFS(资金日记账!$H$4:$H$603,资金日记账!$E$4:$E$603,$A30,资金日记账!$K$4:$K$603,"应收账款"),2))</f>
        <v>836</v>
      </c>
      <c r="E30" s="70" t="n">
        <f aca="false">IF($A30="","",ROUND(N($B30)+$C30-$D30,2))</f>
        <v>-836</v>
      </c>
      <c r="F30" s="121"/>
      <c r="G30" s="70" t="n">
        <f aca="false">IF($A30="","",ROUND(SUMIFS(进销存对接!$F$4:$F$305,进销存对接!$D$4:$D$305,"客户应收",进销存对接!$C$4:$C$305,$A30)+SUMIFS(记账凭证!$I$4:$I$3609,记账凭证!$J$4:$J$3609,$A30,记账凭证!$E$4:$E$3609,"应付账款"),2))</f>
        <v>0</v>
      </c>
      <c r="H30" s="70" t="n">
        <f aca="false">IF($A30="","",ROUND(SUMIFS(记账凭证!$H$4:$H$3609,记账凭证!$J$4:$J$3609,$A30,记账凭证!$E$4:$E$3609,"应付账款"),2))</f>
        <v>0</v>
      </c>
      <c r="I30" s="70" t="n">
        <f aca="false">IF($A30="","",ROUND(N($F30)+$G30-$H30,2))</f>
        <v>0</v>
      </c>
    </row>
    <row r="31" customFormat="false" ht="18" hidden="false" customHeight="true" outlineLevel="0" collapsed="false">
      <c r="A31" s="67" t="str">
        <f aca="false">IFERROR(INDEX(_自动清单!$E$4:$E$253,ROW()-23),"")</f>
        <v>吐尔逊</v>
      </c>
      <c r="B31" s="121"/>
      <c r="C31" s="70" t="n">
        <f aca="false">IF($A31="","",ROUND(SUMIFS(进销存对接!$G$4:$G$305,进销存对接!$D$4:$D$305,"客户应收",进销存对接!$C$4:$C$305,$A31),2))</f>
        <v>0</v>
      </c>
      <c r="D31" s="70" t="n">
        <f aca="false">IF($A31="","",ROUND(SUMIFS(资金日记账!$H$4:$H$603,资金日记账!$E$4:$E$603,$A31,资金日记账!$K$4:$K$603,"应收账款"),2))</f>
        <v>0</v>
      </c>
      <c r="E31" s="70" t="n">
        <f aca="false">IF($A31="","",ROUND(N($B31)+$C31-$D31,2))</f>
        <v>0</v>
      </c>
      <c r="F31" s="121"/>
      <c r="G31" s="70" t="n">
        <f aca="false">IF($A31="","",ROUND(SUMIFS(进销存对接!$F$4:$F$305,进销存对接!$D$4:$D$305,"客户应收",进销存对接!$C$4:$C$305,$A31)+SUMIFS(记账凭证!$I$4:$I$3609,记账凭证!$J$4:$J$3609,$A31,记账凭证!$E$4:$E$3609,"应付账款"),2))</f>
        <v>0</v>
      </c>
      <c r="H31" s="70" t="n">
        <f aca="false">IF($A31="","",ROUND(SUMIFS(记账凭证!$H$4:$H$3609,记账凭证!$J$4:$J$3609,$A31,记账凭证!$E$4:$E$3609,"应付账款"),2))</f>
        <v>0</v>
      </c>
      <c r="I31" s="70" t="n">
        <f aca="false">IF($A31="","",ROUND(N($F31)+$G31-$H31,2))</f>
        <v>0</v>
      </c>
    </row>
    <row r="32" customFormat="false" ht="18" hidden="false" customHeight="true" outlineLevel="0" collapsed="false">
      <c r="A32" s="67" t="str">
        <f aca="false">IFERROR(INDEX(_自动清单!$E$4:$E$253,ROW()-23),"")</f>
        <v>贾建国</v>
      </c>
      <c r="B32" s="121"/>
      <c r="C32" s="70" t="n">
        <f aca="false">IF($A32="","",ROUND(SUMIFS(进销存对接!$G$4:$G$305,进销存对接!$D$4:$D$305,"客户应收",进销存对接!$C$4:$C$305,$A32),2))</f>
        <v>0</v>
      </c>
      <c r="D32" s="70" t="n">
        <f aca="false">IF($A32="","",ROUND(SUMIFS(资金日记账!$H$4:$H$603,资金日记账!$E$4:$E$603,$A32,资金日记账!$K$4:$K$603,"应收账款"),2))</f>
        <v>0</v>
      </c>
      <c r="E32" s="70" t="n">
        <f aca="false">IF($A32="","",ROUND(N($B32)+$C32-$D32,2))</f>
        <v>0</v>
      </c>
      <c r="F32" s="121"/>
      <c r="G32" s="70" t="n">
        <f aca="false">IF($A32="","",ROUND(SUMIFS(进销存对接!$F$4:$F$305,进销存对接!$D$4:$D$305,"客户应收",进销存对接!$C$4:$C$305,$A32)+SUMIFS(记账凭证!$I$4:$I$3609,记账凭证!$J$4:$J$3609,$A32,记账凭证!$E$4:$E$3609,"应付账款"),2))</f>
        <v>0</v>
      </c>
      <c r="H32" s="70" t="n">
        <f aca="false">IF($A32="","",ROUND(SUMIFS(记账凭证!$H$4:$H$3609,记账凭证!$J$4:$J$3609,$A32,记账凭证!$E$4:$E$3609,"应付账款"),2))</f>
        <v>0</v>
      </c>
      <c r="I32" s="70" t="n">
        <f aca="false">IF($A32="","",ROUND(N($F32)+$G32-$H32,2))</f>
        <v>0</v>
      </c>
    </row>
    <row r="33" customFormat="false" ht="18" hidden="false" customHeight="true" outlineLevel="0" collapsed="false">
      <c r="A33" s="67" t="str">
        <f aca="false">IFERROR(INDEX(_自动清单!$E$4:$E$253,ROW()-23),"")</f>
        <v>聂新平</v>
      </c>
      <c r="B33" s="121"/>
      <c r="C33" s="70" t="n">
        <f aca="false">IF($A33="","",ROUND(SUMIFS(进销存对接!$G$4:$G$305,进销存对接!$D$4:$D$305,"客户应收",进销存对接!$C$4:$C$305,$A33),2))</f>
        <v>0</v>
      </c>
      <c r="D33" s="70" t="n">
        <f aca="false">IF($A33="","",ROUND(SUMIFS(资金日记账!$H$4:$H$603,资金日记账!$E$4:$E$603,$A33,资金日记账!$K$4:$K$603,"应收账款"),2))</f>
        <v>0</v>
      </c>
      <c r="E33" s="70" t="n">
        <f aca="false">IF($A33="","",ROUND(N($B33)+$C33-$D33,2))</f>
        <v>0</v>
      </c>
      <c r="F33" s="121"/>
      <c r="G33" s="70" t="n">
        <f aca="false">IF($A33="","",ROUND(SUMIFS(进销存对接!$F$4:$F$305,进销存对接!$D$4:$D$305,"客户应收",进销存对接!$C$4:$C$305,$A33)+SUMIFS(记账凭证!$I$4:$I$3609,记账凭证!$J$4:$J$3609,$A33,记账凭证!$E$4:$E$3609,"应付账款"),2))</f>
        <v>0</v>
      </c>
      <c r="H33" s="70" t="n">
        <f aca="false">IF($A33="","",ROUND(SUMIFS(记账凭证!$H$4:$H$3609,记账凭证!$J$4:$J$3609,$A33,记账凭证!$E$4:$E$3609,"应付账款"),2))</f>
        <v>0</v>
      </c>
      <c r="I33" s="70" t="n">
        <f aca="false">IF($A33="","",ROUND(N($F33)+$G33-$H33,2))</f>
        <v>0</v>
      </c>
    </row>
    <row r="34" customFormat="false" ht="18" hidden="false" customHeight="true" outlineLevel="0" collapsed="false">
      <c r="A34" s="67" t="str">
        <f aca="false">IFERROR(INDEX(_自动清单!$E$4:$E$253,ROW()-23),"")</f>
        <v>荆建君</v>
      </c>
      <c r="B34" s="121"/>
      <c r="C34" s="70" t="n">
        <f aca="false">IF($A34="","",ROUND(SUMIFS(进销存对接!$G$4:$G$305,进销存对接!$D$4:$D$305,"客户应收",进销存对接!$C$4:$C$305,$A34),2))</f>
        <v>0</v>
      </c>
      <c r="D34" s="70" t="n">
        <f aca="false">IF($A34="","",ROUND(SUMIFS(资金日记账!$H$4:$H$603,资金日记账!$E$4:$E$603,$A34,资金日记账!$K$4:$K$603,"应收账款"),2))</f>
        <v>0</v>
      </c>
      <c r="E34" s="70" t="n">
        <f aca="false">IF($A34="","",ROUND(N($B34)+$C34-$D34,2))</f>
        <v>0</v>
      </c>
      <c r="F34" s="121"/>
      <c r="G34" s="70" t="n">
        <f aca="false">IF($A34="","",ROUND(SUMIFS(进销存对接!$F$4:$F$305,进销存对接!$D$4:$D$305,"客户应收",进销存对接!$C$4:$C$305,$A34)+SUMIFS(记账凭证!$I$4:$I$3609,记账凭证!$J$4:$J$3609,$A34,记账凭证!$E$4:$E$3609,"应付账款"),2))</f>
        <v>0</v>
      </c>
      <c r="H34" s="70" t="n">
        <f aca="false">IF($A34="","",ROUND(SUMIFS(记账凭证!$H$4:$H$3609,记账凭证!$J$4:$J$3609,$A34,记账凭证!$E$4:$E$3609,"应付账款"),2))</f>
        <v>0</v>
      </c>
      <c r="I34" s="70" t="n">
        <f aca="false">IF($A34="","",ROUND(N($F34)+$G34-$H34,2))</f>
        <v>0</v>
      </c>
    </row>
    <row r="35" customFormat="false" ht="18" hidden="false" customHeight="true" outlineLevel="0" collapsed="false">
      <c r="A35" s="67" t="str">
        <f aca="false">IFERROR(INDEX(_自动清单!$E$4:$E$253,ROW()-23),"")</f>
        <v>马锦祥</v>
      </c>
      <c r="B35" s="121"/>
      <c r="C35" s="70" t="n">
        <f aca="false">IF($A35="","",ROUND(SUMIFS(进销存对接!$G$4:$G$305,进销存对接!$D$4:$D$305,"客户应收",进销存对接!$C$4:$C$305,$A35),2))</f>
        <v>0</v>
      </c>
      <c r="D35" s="70" t="n">
        <f aca="false">IF($A35="","",ROUND(SUMIFS(资金日记账!$H$4:$H$603,资金日记账!$E$4:$E$603,$A35,资金日记账!$K$4:$K$603,"应收账款"),2))</f>
        <v>0</v>
      </c>
      <c r="E35" s="70" t="n">
        <f aca="false">IF($A35="","",ROUND(N($B35)+$C35-$D35,2))</f>
        <v>0</v>
      </c>
      <c r="F35" s="121"/>
      <c r="G35" s="70" t="n">
        <f aca="false">IF($A35="","",ROUND(SUMIFS(进销存对接!$F$4:$F$305,进销存对接!$D$4:$D$305,"客户应收",进销存对接!$C$4:$C$305,$A35)+SUMIFS(记账凭证!$I$4:$I$3609,记账凭证!$J$4:$J$3609,$A35,记账凭证!$E$4:$E$3609,"应付账款"),2))</f>
        <v>0</v>
      </c>
      <c r="H35" s="70" t="n">
        <f aca="false">IF($A35="","",ROUND(SUMIFS(记账凭证!$H$4:$H$3609,记账凭证!$J$4:$J$3609,$A35,记账凭证!$E$4:$E$3609,"应付账款"),2))</f>
        <v>0</v>
      </c>
      <c r="I35" s="70" t="n">
        <f aca="false">IF($A35="","",ROUND(N($F35)+$G35-$H35,2))</f>
        <v>0</v>
      </c>
    </row>
    <row r="36" customFormat="false" ht="18" hidden="false" customHeight="true" outlineLevel="0" collapsed="false">
      <c r="A36" s="67" t="str">
        <f aca="false">IFERROR(INDEX(_自动清单!$E$4:$E$253,ROW()-23),"")</f>
        <v>吐尔洪</v>
      </c>
      <c r="B36" s="121"/>
      <c r="C36" s="70" t="n">
        <f aca="false">IF($A36="","",ROUND(SUMIFS(进销存对接!$G$4:$G$305,进销存对接!$D$4:$D$305,"客户应收",进销存对接!$C$4:$C$305,$A36),2))</f>
        <v>0</v>
      </c>
      <c r="D36" s="70" t="n">
        <f aca="false">IF($A36="","",ROUND(SUMIFS(资金日记账!$H$4:$H$603,资金日记账!$E$4:$E$603,$A36,资金日记账!$K$4:$K$603,"应收账款"),2))</f>
        <v>0</v>
      </c>
      <c r="E36" s="70" t="n">
        <f aca="false">IF($A36="","",ROUND(N($B36)+$C36-$D36,2))</f>
        <v>0</v>
      </c>
      <c r="F36" s="121"/>
      <c r="G36" s="70" t="n">
        <f aca="false">IF($A36="","",ROUND(SUMIFS(进销存对接!$F$4:$F$305,进销存对接!$D$4:$D$305,"客户应收",进销存对接!$C$4:$C$305,$A36)+SUMIFS(记账凭证!$I$4:$I$3609,记账凭证!$J$4:$J$3609,$A36,记账凭证!$E$4:$E$3609,"应付账款"),2))</f>
        <v>0</v>
      </c>
      <c r="H36" s="70" t="n">
        <f aca="false">IF($A36="","",ROUND(SUMIFS(记账凭证!$H$4:$H$3609,记账凭证!$J$4:$J$3609,$A36,记账凭证!$E$4:$E$3609,"应付账款"),2))</f>
        <v>0</v>
      </c>
      <c r="I36" s="70" t="n">
        <f aca="false">IF($A36="","",ROUND(N($F36)+$G36-$H36,2))</f>
        <v>0</v>
      </c>
    </row>
    <row r="37" customFormat="false" ht="18" hidden="false" customHeight="true" outlineLevel="0" collapsed="false">
      <c r="A37" s="67" t="str">
        <f aca="false">IFERROR(INDEX(_自动清单!$E$4:$E$253,ROW()-23),"")</f>
        <v>杨艳玲</v>
      </c>
      <c r="B37" s="121"/>
      <c r="C37" s="70" t="n">
        <f aca="false">IF($A37="","",ROUND(SUMIFS(进销存对接!$G$4:$G$305,进销存对接!$D$4:$D$305,"客户应收",进销存对接!$C$4:$C$305,$A37),2))</f>
        <v>0</v>
      </c>
      <c r="D37" s="70" t="n">
        <f aca="false">IF($A37="","",ROUND(SUMIFS(资金日记账!$H$4:$H$603,资金日记账!$E$4:$E$603,$A37,资金日记账!$K$4:$K$603,"应收账款"),2))</f>
        <v>0</v>
      </c>
      <c r="E37" s="70" t="n">
        <f aca="false">IF($A37="","",ROUND(N($B37)+$C37-$D37,2))</f>
        <v>0</v>
      </c>
      <c r="F37" s="121"/>
      <c r="G37" s="70" t="n">
        <f aca="false">IF($A37="","",ROUND(SUMIFS(进销存对接!$F$4:$F$305,进销存对接!$D$4:$D$305,"客户应收",进销存对接!$C$4:$C$305,$A37)+SUMIFS(记账凭证!$I$4:$I$3609,记账凭证!$J$4:$J$3609,$A37,记账凭证!$E$4:$E$3609,"应付账款"),2))</f>
        <v>0</v>
      </c>
      <c r="H37" s="70" t="n">
        <f aca="false">IF($A37="","",ROUND(SUMIFS(记账凭证!$H$4:$H$3609,记账凭证!$J$4:$J$3609,$A37,记账凭证!$E$4:$E$3609,"应付账款"),2))</f>
        <v>0</v>
      </c>
      <c r="I37" s="70" t="n">
        <f aca="false">IF($A37="","",ROUND(N($F37)+$G37-$H37,2))</f>
        <v>0</v>
      </c>
    </row>
    <row r="38" customFormat="false" ht="18" hidden="false" customHeight="true" outlineLevel="0" collapsed="false">
      <c r="A38" s="67" t="str">
        <f aca="false">IFERROR(INDEX(_自动清单!$E$4:$E$253,ROW()-23),"")</f>
        <v>努尔敦</v>
      </c>
      <c r="B38" s="121"/>
      <c r="C38" s="70" t="n">
        <f aca="false">IF($A38="","",ROUND(SUMIFS(进销存对接!$G$4:$G$305,进销存对接!$D$4:$D$305,"客户应收",进销存对接!$C$4:$C$305,$A38),2))</f>
        <v>0</v>
      </c>
      <c r="D38" s="70" t="n">
        <f aca="false">IF($A38="","",ROUND(SUMIFS(资金日记账!$H$4:$H$603,资金日记账!$E$4:$E$603,$A38,资金日记账!$K$4:$K$603,"应收账款"),2))</f>
        <v>0</v>
      </c>
      <c r="E38" s="70" t="n">
        <f aca="false">IF($A38="","",ROUND(N($B38)+$C38-$D38,2))</f>
        <v>0</v>
      </c>
      <c r="F38" s="121"/>
      <c r="G38" s="70" t="n">
        <f aca="false">IF($A38="","",ROUND(SUMIFS(进销存对接!$F$4:$F$305,进销存对接!$D$4:$D$305,"客户应收",进销存对接!$C$4:$C$305,$A38)+SUMIFS(记账凭证!$I$4:$I$3609,记账凭证!$J$4:$J$3609,$A38,记账凭证!$E$4:$E$3609,"应付账款"),2))</f>
        <v>0</v>
      </c>
      <c r="H38" s="70" t="n">
        <f aca="false">IF($A38="","",ROUND(SUMIFS(记账凭证!$H$4:$H$3609,记账凭证!$J$4:$J$3609,$A38,记账凭证!$E$4:$E$3609,"应付账款"),2))</f>
        <v>0</v>
      </c>
      <c r="I38" s="70" t="n">
        <f aca="false">IF($A38="","",ROUND(N($F38)+$G38-$H38,2))</f>
        <v>0</v>
      </c>
    </row>
    <row r="39" customFormat="false" ht="18" hidden="false" customHeight="true" outlineLevel="0" collapsed="false">
      <c r="A39" s="67" t="str">
        <f aca="false">IFERROR(INDEX(_自动清单!$E$4:$E$253,ROW()-23),"")</f>
        <v>王浩</v>
      </c>
      <c r="B39" s="121"/>
      <c r="C39" s="70" t="n">
        <f aca="false">IF($A39="","",ROUND(SUMIFS(进销存对接!$G$4:$G$305,进销存对接!$D$4:$D$305,"客户应收",进销存对接!$C$4:$C$305,$A39),2))</f>
        <v>0</v>
      </c>
      <c r="D39" s="70" t="n">
        <f aca="false">IF($A39="","",ROUND(SUMIFS(资金日记账!$H$4:$H$603,资金日记账!$E$4:$E$603,$A39,资金日记账!$K$4:$K$603,"应收账款"),2))</f>
        <v>0</v>
      </c>
      <c r="E39" s="70" t="n">
        <f aca="false">IF($A39="","",ROUND(N($B39)+$C39-$D39,2))</f>
        <v>0</v>
      </c>
      <c r="F39" s="121"/>
      <c r="G39" s="70" t="n">
        <f aca="false">IF($A39="","",ROUND(SUMIFS(进销存对接!$F$4:$F$305,进销存对接!$D$4:$D$305,"客户应收",进销存对接!$C$4:$C$305,$A39)+SUMIFS(记账凭证!$I$4:$I$3609,记账凭证!$J$4:$J$3609,$A39,记账凭证!$E$4:$E$3609,"应付账款"),2))</f>
        <v>0</v>
      </c>
      <c r="H39" s="70" t="n">
        <f aca="false">IF($A39="","",ROUND(SUMIFS(记账凭证!$H$4:$H$3609,记账凭证!$J$4:$J$3609,$A39,记账凭证!$E$4:$E$3609,"应付账款"),2))</f>
        <v>0</v>
      </c>
      <c r="I39" s="70" t="n">
        <f aca="false">IF($A39="","",ROUND(N($F39)+$G39-$H39,2))</f>
        <v>0</v>
      </c>
    </row>
    <row r="40" customFormat="false" ht="18" hidden="false" customHeight="true" outlineLevel="0" collapsed="false">
      <c r="A40" s="67" t="str">
        <f aca="false">IFERROR(INDEX(_自动清单!$E$4:$E$253,ROW()-23),"")</f>
        <v>热合曼+艾则孜</v>
      </c>
      <c r="B40" s="121"/>
      <c r="C40" s="70" t="n">
        <f aca="false">IF($A40="","",ROUND(SUMIFS(进销存对接!$G$4:$G$305,进销存对接!$D$4:$D$305,"客户应收",进销存对接!$C$4:$C$305,$A40),2))</f>
        <v>0</v>
      </c>
      <c r="D40" s="70" t="n">
        <f aca="false">IF($A40="","",ROUND(SUMIFS(资金日记账!$H$4:$H$603,资金日记账!$E$4:$E$603,$A40,资金日记账!$K$4:$K$603,"应收账款"),2))</f>
        <v>0</v>
      </c>
      <c r="E40" s="70" t="n">
        <f aca="false">IF($A40="","",ROUND(N($B40)+$C40-$D40,2))</f>
        <v>0</v>
      </c>
      <c r="F40" s="121"/>
      <c r="G40" s="70" t="n">
        <f aca="false">IF($A40="","",ROUND(SUMIFS(进销存对接!$F$4:$F$305,进销存对接!$D$4:$D$305,"客户应收",进销存对接!$C$4:$C$305,$A40)+SUMIFS(记账凭证!$I$4:$I$3609,记账凭证!$J$4:$J$3609,$A40,记账凭证!$E$4:$E$3609,"应付账款"),2))</f>
        <v>0</v>
      </c>
      <c r="H40" s="70" t="n">
        <f aca="false">IF($A40="","",ROUND(SUMIFS(记账凭证!$H$4:$H$3609,记账凭证!$J$4:$J$3609,$A40,记账凭证!$E$4:$E$3609,"应付账款"),2))</f>
        <v>0</v>
      </c>
      <c r="I40" s="70" t="n">
        <f aca="false">IF($A40="","",ROUND(N($F40)+$G40-$H40,2))</f>
        <v>0</v>
      </c>
    </row>
    <row r="41" customFormat="false" ht="18" hidden="false" customHeight="true" outlineLevel="0" collapsed="false">
      <c r="A41" s="67" t="str">
        <f aca="false">IFERROR(INDEX(_自动清单!$E$4:$E$253,ROW()-23),"")</f>
        <v>李现东</v>
      </c>
      <c r="B41" s="121"/>
      <c r="C41" s="70" t="n">
        <f aca="false">IF($A41="","",ROUND(SUMIFS(进销存对接!$G$4:$G$305,进销存对接!$D$4:$D$305,"客户应收",进销存对接!$C$4:$C$305,$A41),2))</f>
        <v>0</v>
      </c>
      <c r="D41" s="70" t="n">
        <f aca="false">IF($A41="","",ROUND(SUMIFS(资金日记账!$H$4:$H$603,资金日记账!$E$4:$E$603,$A41,资金日记账!$K$4:$K$603,"应收账款"),2))</f>
        <v>0</v>
      </c>
      <c r="E41" s="70" t="n">
        <f aca="false">IF($A41="","",ROUND(N($B41)+$C41-$D41,2))</f>
        <v>0</v>
      </c>
      <c r="F41" s="121"/>
      <c r="G41" s="70" t="n">
        <f aca="false">IF($A41="","",ROUND(SUMIFS(进销存对接!$F$4:$F$305,进销存对接!$D$4:$D$305,"客户应收",进销存对接!$C$4:$C$305,$A41)+SUMIFS(记账凭证!$I$4:$I$3609,记账凭证!$J$4:$J$3609,$A41,记账凭证!$E$4:$E$3609,"应付账款"),2))</f>
        <v>0</v>
      </c>
      <c r="H41" s="70" t="n">
        <f aca="false">IF($A41="","",ROUND(SUMIFS(记账凭证!$H$4:$H$3609,记账凭证!$J$4:$J$3609,$A41,记账凭证!$E$4:$E$3609,"应付账款"),2))</f>
        <v>0</v>
      </c>
      <c r="I41" s="70" t="n">
        <f aca="false">IF($A41="","",ROUND(N($F41)+$G41-$H41,2))</f>
        <v>0</v>
      </c>
    </row>
    <row r="42" customFormat="false" ht="18" hidden="false" customHeight="true" outlineLevel="0" collapsed="false">
      <c r="A42" s="67" t="str">
        <f aca="false">IFERROR(INDEX(_自动清单!$E$4:$E$253,ROW()-23),"")</f>
        <v>阿布都</v>
      </c>
      <c r="B42" s="121"/>
      <c r="C42" s="70" t="n">
        <f aca="false">IF($A42="","",ROUND(SUMIFS(进销存对接!$G$4:$G$305,进销存对接!$D$4:$D$305,"客户应收",进销存对接!$C$4:$C$305,$A42),2))</f>
        <v>0</v>
      </c>
      <c r="D42" s="70" t="n">
        <f aca="false">IF($A42="","",ROUND(SUMIFS(资金日记账!$H$4:$H$603,资金日记账!$E$4:$E$603,$A42,资金日记账!$K$4:$K$603,"应收账款"),2))</f>
        <v>0</v>
      </c>
      <c r="E42" s="70" t="n">
        <f aca="false">IF($A42="","",ROUND(N($B42)+$C42-$D42,2))</f>
        <v>0</v>
      </c>
      <c r="F42" s="121"/>
      <c r="G42" s="70" t="n">
        <f aca="false">IF($A42="","",ROUND(SUMIFS(进销存对接!$F$4:$F$305,进销存对接!$D$4:$D$305,"客户应收",进销存对接!$C$4:$C$305,$A42)+SUMIFS(记账凭证!$I$4:$I$3609,记账凭证!$J$4:$J$3609,$A42,记账凭证!$E$4:$E$3609,"应付账款"),2))</f>
        <v>0</v>
      </c>
      <c r="H42" s="70" t="n">
        <f aca="false">IF($A42="","",ROUND(SUMIFS(记账凭证!$H$4:$H$3609,记账凭证!$J$4:$J$3609,$A42,记账凭证!$E$4:$E$3609,"应付账款"),2))</f>
        <v>0</v>
      </c>
      <c r="I42" s="70" t="n">
        <f aca="false">IF($A42="","",ROUND(N($F42)+$G42-$H42,2))</f>
        <v>0</v>
      </c>
    </row>
    <row r="43" customFormat="false" ht="18" hidden="false" customHeight="true" outlineLevel="0" collapsed="false">
      <c r="A43" s="67" t="str">
        <f aca="false">IFERROR(INDEX(_自动清单!$E$4:$E$253,ROW()-23),"")</f>
        <v>艾则孜</v>
      </c>
      <c r="B43" s="121"/>
      <c r="C43" s="70" t="n">
        <f aca="false">IF($A43="","",ROUND(SUMIFS(进销存对接!$G$4:$G$305,进销存对接!$D$4:$D$305,"客户应收",进销存对接!$C$4:$C$305,$A43),2))</f>
        <v>0</v>
      </c>
      <c r="D43" s="70" t="n">
        <f aca="false">IF($A43="","",ROUND(SUMIFS(资金日记账!$H$4:$H$603,资金日记账!$E$4:$E$603,$A43,资金日记账!$K$4:$K$603,"应收账款"),2))</f>
        <v>0</v>
      </c>
      <c r="E43" s="70" t="n">
        <f aca="false">IF($A43="","",ROUND(N($B43)+$C43-$D43,2))</f>
        <v>0</v>
      </c>
      <c r="F43" s="121"/>
      <c r="G43" s="70" t="n">
        <f aca="false">IF($A43="","",ROUND(SUMIFS(进销存对接!$F$4:$F$305,进销存对接!$D$4:$D$305,"客户应收",进销存对接!$C$4:$C$305,$A43)+SUMIFS(记账凭证!$I$4:$I$3609,记账凭证!$J$4:$J$3609,$A43,记账凭证!$E$4:$E$3609,"应付账款"),2))</f>
        <v>0</v>
      </c>
      <c r="H43" s="70" t="n">
        <f aca="false">IF($A43="","",ROUND(SUMIFS(记账凭证!$H$4:$H$3609,记账凭证!$J$4:$J$3609,$A43,记账凭证!$E$4:$E$3609,"应付账款"),2))</f>
        <v>0</v>
      </c>
      <c r="I43" s="70" t="n">
        <f aca="false">IF($A43="","",ROUND(N($F43)+$G43-$H43,2))</f>
        <v>0</v>
      </c>
    </row>
    <row r="44" customFormat="false" ht="18" hidden="false" customHeight="true" outlineLevel="0" collapsed="false">
      <c r="A44" s="67" t="str">
        <f aca="false">IFERROR(INDEX(_自动清单!$E$4:$E$253,ROW()-23),"")</f>
        <v/>
      </c>
      <c r="B44" s="121"/>
      <c r="C44" s="70" t="str">
        <f aca="false">IF($A44="","",ROUND(SUMIFS(进销存对接!$G$4:$G$305,进销存对接!$D$4:$D$305,"客户应收",进销存对接!$C$4:$C$305,$A44),2))</f>
        <v/>
      </c>
      <c r="D44" s="70" t="str">
        <f aca="false">IF($A44="","",ROUND(SUMIFS(资金日记账!$H$4:$H$603,资金日记账!$E$4:$E$603,$A44,资金日记账!$K$4:$K$603,"应收账款"),2))</f>
        <v/>
      </c>
      <c r="E44" s="70" t="str">
        <f aca="false">IF($A44="","",ROUND(N($B44)+$C44-$D44,2))</f>
        <v/>
      </c>
      <c r="F44" s="121"/>
      <c r="G44" s="70" t="str">
        <f aca="false">IF($A44="","",ROUND(SUMIFS(进销存对接!$F$4:$F$305,进销存对接!$D$4:$D$305,"客户应收",进销存对接!$C$4:$C$305,$A44)+SUMIFS(记账凭证!$I$4:$I$3609,记账凭证!$J$4:$J$3609,$A44,记账凭证!$E$4:$E$3609,"应付账款"),2))</f>
        <v/>
      </c>
      <c r="H44" s="70" t="str">
        <f aca="false">IF($A44="","",ROUND(SUMIFS(记账凭证!$H$4:$H$3609,记账凭证!$J$4:$J$3609,$A44,记账凭证!$E$4:$E$3609,"应付账款"),2))</f>
        <v/>
      </c>
      <c r="I44" s="70" t="str">
        <f aca="false">IF($A44="","",ROUND(N($F44)+$G44-$H44,2))</f>
        <v/>
      </c>
    </row>
    <row r="45" customFormat="false" ht="18" hidden="false" customHeight="true" outlineLevel="0" collapsed="false">
      <c r="A45" s="67" t="str">
        <f aca="false">IFERROR(INDEX(_自动清单!$E$4:$E$253,ROW()-23),"")</f>
        <v/>
      </c>
      <c r="B45" s="121"/>
      <c r="C45" s="70" t="str">
        <f aca="false">IF($A45="","",ROUND(SUMIFS(进销存对接!$G$4:$G$305,进销存对接!$D$4:$D$305,"客户应收",进销存对接!$C$4:$C$305,$A45),2))</f>
        <v/>
      </c>
      <c r="D45" s="70" t="str">
        <f aca="false">IF($A45="","",ROUND(SUMIFS(资金日记账!$H$4:$H$603,资金日记账!$E$4:$E$603,$A45,资金日记账!$K$4:$K$603,"应收账款"),2))</f>
        <v/>
      </c>
      <c r="E45" s="70" t="str">
        <f aca="false">IF($A45="","",ROUND(N($B45)+$C45-$D45,2))</f>
        <v/>
      </c>
      <c r="F45" s="121"/>
      <c r="G45" s="70" t="str">
        <f aca="false">IF($A45="","",ROUND(SUMIFS(进销存对接!$F$4:$F$305,进销存对接!$D$4:$D$305,"客户应收",进销存对接!$C$4:$C$305,$A45)+SUMIFS(记账凭证!$I$4:$I$3609,记账凭证!$J$4:$J$3609,$A45,记账凭证!$E$4:$E$3609,"应付账款"),2))</f>
        <v/>
      </c>
      <c r="H45" s="70" t="str">
        <f aca="false">IF($A45="","",ROUND(SUMIFS(记账凭证!$H$4:$H$3609,记账凭证!$J$4:$J$3609,$A45,记账凭证!$E$4:$E$3609,"应付账款"),2))</f>
        <v/>
      </c>
      <c r="I45" s="70" t="str">
        <f aca="false">IF($A45="","",ROUND(N($F45)+$G45-$H45,2))</f>
        <v/>
      </c>
    </row>
    <row r="46" customFormat="false" ht="18" hidden="false" customHeight="true" outlineLevel="0" collapsed="false">
      <c r="A46" s="67" t="str">
        <f aca="false">IFERROR(INDEX(_自动清单!$E$4:$E$253,ROW()-23),"")</f>
        <v/>
      </c>
      <c r="B46" s="121"/>
      <c r="C46" s="70" t="str">
        <f aca="false">IF($A46="","",ROUND(SUMIFS(进销存对接!$G$4:$G$305,进销存对接!$D$4:$D$305,"客户应收",进销存对接!$C$4:$C$305,$A46),2))</f>
        <v/>
      </c>
      <c r="D46" s="70" t="str">
        <f aca="false">IF($A46="","",ROUND(SUMIFS(资金日记账!$H$4:$H$603,资金日记账!$E$4:$E$603,$A46,资金日记账!$K$4:$K$603,"应收账款"),2))</f>
        <v/>
      </c>
      <c r="E46" s="70" t="str">
        <f aca="false">IF($A46="","",ROUND(N($B46)+$C46-$D46,2))</f>
        <v/>
      </c>
      <c r="F46" s="121"/>
      <c r="G46" s="70" t="str">
        <f aca="false">IF($A46="","",ROUND(SUMIFS(进销存对接!$F$4:$F$305,进销存对接!$D$4:$D$305,"客户应收",进销存对接!$C$4:$C$305,$A46)+SUMIFS(记账凭证!$I$4:$I$3609,记账凭证!$J$4:$J$3609,$A46,记账凭证!$E$4:$E$3609,"应付账款"),2))</f>
        <v/>
      </c>
      <c r="H46" s="70" t="str">
        <f aca="false">IF($A46="","",ROUND(SUMIFS(记账凭证!$H$4:$H$3609,记账凭证!$J$4:$J$3609,$A46,记账凭证!$E$4:$E$3609,"应付账款"),2))</f>
        <v/>
      </c>
      <c r="I46" s="70" t="str">
        <f aca="false">IF($A46="","",ROUND(N($F46)+$G46-$H46,2))</f>
        <v/>
      </c>
    </row>
    <row r="47" customFormat="false" ht="18" hidden="false" customHeight="true" outlineLevel="0" collapsed="false">
      <c r="A47" s="67" t="str">
        <f aca="false">IFERROR(INDEX(_自动清单!$E$4:$E$253,ROW()-23),"")</f>
        <v/>
      </c>
      <c r="B47" s="121"/>
      <c r="C47" s="70" t="str">
        <f aca="false">IF($A47="","",ROUND(SUMIFS(进销存对接!$G$4:$G$305,进销存对接!$D$4:$D$305,"客户应收",进销存对接!$C$4:$C$305,$A47),2))</f>
        <v/>
      </c>
      <c r="D47" s="70" t="str">
        <f aca="false">IF($A47="","",ROUND(SUMIFS(资金日记账!$H$4:$H$603,资金日记账!$E$4:$E$603,$A47,资金日记账!$K$4:$K$603,"应收账款"),2))</f>
        <v/>
      </c>
      <c r="E47" s="70" t="str">
        <f aca="false">IF($A47="","",ROUND(N($B47)+$C47-$D47,2))</f>
        <v/>
      </c>
      <c r="F47" s="121"/>
      <c r="G47" s="70" t="str">
        <f aca="false">IF($A47="","",ROUND(SUMIFS(进销存对接!$F$4:$F$305,进销存对接!$D$4:$D$305,"客户应收",进销存对接!$C$4:$C$305,$A47)+SUMIFS(记账凭证!$I$4:$I$3609,记账凭证!$J$4:$J$3609,$A47,记账凭证!$E$4:$E$3609,"应付账款"),2))</f>
        <v/>
      </c>
      <c r="H47" s="70" t="str">
        <f aca="false">IF($A47="","",ROUND(SUMIFS(记账凭证!$H$4:$H$3609,记账凭证!$J$4:$J$3609,$A47,记账凭证!$E$4:$E$3609,"应付账款"),2))</f>
        <v/>
      </c>
      <c r="I47" s="70" t="str">
        <f aca="false">IF($A47="","",ROUND(N($F47)+$G47-$H47,2))</f>
        <v/>
      </c>
    </row>
    <row r="48" customFormat="false" ht="18" hidden="false" customHeight="true" outlineLevel="0" collapsed="false">
      <c r="A48" s="67" t="str">
        <f aca="false">IFERROR(INDEX(_自动清单!$E$4:$E$253,ROW()-23),"")</f>
        <v/>
      </c>
      <c r="B48" s="121"/>
      <c r="C48" s="70" t="str">
        <f aca="false">IF($A48="","",ROUND(SUMIFS(进销存对接!$G$4:$G$305,进销存对接!$D$4:$D$305,"客户应收",进销存对接!$C$4:$C$305,$A48),2))</f>
        <v/>
      </c>
      <c r="D48" s="70" t="str">
        <f aca="false">IF($A48="","",ROUND(SUMIFS(资金日记账!$H$4:$H$603,资金日记账!$E$4:$E$603,$A48,资金日记账!$K$4:$K$603,"应收账款"),2))</f>
        <v/>
      </c>
      <c r="E48" s="70" t="str">
        <f aca="false">IF($A48="","",ROUND(N($B48)+$C48-$D48,2))</f>
        <v/>
      </c>
      <c r="F48" s="121"/>
      <c r="G48" s="70" t="str">
        <f aca="false">IF($A48="","",ROUND(SUMIFS(进销存对接!$F$4:$F$305,进销存对接!$D$4:$D$305,"客户应收",进销存对接!$C$4:$C$305,$A48)+SUMIFS(记账凭证!$I$4:$I$3609,记账凭证!$J$4:$J$3609,$A48,记账凭证!$E$4:$E$3609,"应付账款"),2))</f>
        <v/>
      </c>
      <c r="H48" s="70" t="str">
        <f aca="false">IF($A48="","",ROUND(SUMIFS(记账凭证!$H$4:$H$3609,记账凭证!$J$4:$J$3609,$A48,记账凭证!$E$4:$E$3609,"应付账款"),2))</f>
        <v/>
      </c>
      <c r="I48" s="70" t="str">
        <f aca="false">IF($A48="","",ROUND(N($F48)+$G48-$H48,2))</f>
        <v/>
      </c>
    </row>
    <row r="49" customFormat="false" ht="18" hidden="false" customHeight="true" outlineLevel="0" collapsed="false">
      <c r="A49" s="67" t="str">
        <f aca="false">IFERROR(INDEX(_自动清单!$E$4:$E$253,ROW()-23),"")</f>
        <v/>
      </c>
      <c r="B49" s="121"/>
      <c r="C49" s="70" t="str">
        <f aca="false">IF($A49="","",ROUND(SUMIFS(进销存对接!$G$4:$G$305,进销存对接!$D$4:$D$305,"客户应收",进销存对接!$C$4:$C$305,$A49),2))</f>
        <v/>
      </c>
      <c r="D49" s="70" t="str">
        <f aca="false">IF($A49="","",ROUND(SUMIFS(资金日记账!$H$4:$H$603,资金日记账!$E$4:$E$603,$A49,资金日记账!$K$4:$K$603,"应收账款"),2))</f>
        <v/>
      </c>
      <c r="E49" s="70" t="str">
        <f aca="false">IF($A49="","",ROUND(N($B49)+$C49-$D49,2))</f>
        <v/>
      </c>
      <c r="F49" s="121"/>
      <c r="G49" s="70" t="str">
        <f aca="false">IF($A49="","",ROUND(SUMIFS(进销存对接!$F$4:$F$305,进销存对接!$D$4:$D$305,"客户应收",进销存对接!$C$4:$C$305,$A49)+SUMIFS(记账凭证!$I$4:$I$3609,记账凭证!$J$4:$J$3609,$A49,记账凭证!$E$4:$E$3609,"应付账款"),2))</f>
        <v/>
      </c>
      <c r="H49" s="70" t="str">
        <f aca="false">IF($A49="","",ROUND(SUMIFS(记账凭证!$H$4:$H$3609,记账凭证!$J$4:$J$3609,$A49,记账凭证!$E$4:$E$3609,"应付账款"),2))</f>
        <v/>
      </c>
      <c r="I49" s="70" t="str">
        <f aca="false">IF($A49="","",ROUND(N($F49)+$G49-$H49,2))</f>
        <v/>
      </c>
    </row>
    <row r="50" customFormat="false" ht="18" hidden="false" customHeight="true" outlineLevel="0" collapsed="false">
      <c r="A50" s="67" t="str">
        <f aca="false">IFERROR(INDEX(_自动清单!$E$4:$E$253,ROW()-23),"")</f>
        <v/>
      </c>
      <c r="B50" s="121"/>
      <c r="C50" s="70" t="str">
        <f aca="false">IF($A50="","",ROUND(SUMIFS(进销存对接!$G$4:$G$305,进销存对接!$D$4:$D$305,"客户应收",进销存对接!$C$4:$C$305,$A50),2))</f>
        <v/>
      </c>
      <c r="D50" s="70" t="str">
        <f aca="false">IF($A50="","",ROUND(SUMIFS(资金日记账!$H$4:$H$603,资金日记账!$E$4:$E$603,$A50,资金日记账!$K$4:$K$603,"应收账款"),2))</f>
        <v/>
      </c>
      <c r="E50" s="70" t="str">
        <f aca="false">IF($A50="","",ROUND(N($B50)+$C50-$D50,2))</f>
        <v/>
      </c>
      <c r="F50" s="121"/>
      <c r="G50" s="70" t="str">
        <f aca="false">IF($A50="","",ROUND(SUMIFS(进销存对接!$F$4:$F$305,进销存对接!$D$4:$D$305,"客户应收",进销存对接!$C$4:$C$305,$A50)+SUMIFS(记账凭证!$I$4:$I$3609,记账凭证!$J$4:$J$3609,$A50,记账凭证!$E$4:$E$3609,"应付账款"),2))</f>
        <v/>
      </c>
      <c r="H50" s="70" t="str">
        <f aca="false">IF($A50="","",ROUND(SUMIFS(记账凭证!$H$4:$H$3609,记账凭证!$J$4:$J$3609,$A50,记账凭证!$E$4:$E$3609,"应付账款"),2))</f>
        <v/>
      </c>
      <c r="I50" s="70" t="str">
        <f aca="false">IF($A50="","",ROUND(N($F50)+$G50-$H50,2))</f>
        <v/>
      </c>
    </row>
    <row r="51" customFormat="false" ht="18" hidden="false" customHeight="true" outlineLevel="0" collapsed="false">
      <c r="A51" s="67" t="str">
        <f aca="false">IFERROR(INDEX(_自动清单!$E$4:$E$253,ROW()-23),"")</f>
        <v/>
      </c>
      <c r="B51" s="121"/>
      <c r="C51" s="70" t="str">
        <f aca="false">IF($A51="","",ROUND(SUMIFS(进销存对接!$G$4:$G$305,进销存对接!$D$4:$D$305,"客户应收",进销存对接!$C$4:$C$305,$A51),2))</f>
        <v/>
      </c>
      <c r="D51" s="70" t="str">
        <f aca="false">IF($A51="","",ROUND(SUMIFS(资金日记账!$H$4:$H$603,资金日记账!$E$4:$E$603,$A51,资金日记账!$K$4:$K$603,"应收账款"),2))</f>
        <v/>
      </c>
      <c r="E51" s="70" t="str">
        <f aca="false">IF($A51="","",ROUND(N($B51)+$C51-$D51,2))</f>
        <v/>
      </c>
      <c r="F51" s="121"/>
      <c r="G51" s="70" t="str">
        <f aca="false">IF($A51="","",ROUND(SUMIFS(进销存对接!$F$4:$F$305,进销存对接!$D$4:$D$305,"客户应收",进销存对接!$C$4:$C$305,$A51)+SUMIFS(记账凭证!$I$4:$I$3609,记账凭证!$J$4:$J$3609,$A51,记账凭证!$E$4:$E$3609,"应付账款"),2))</f>
        <v/>
      </c>
      <c r="H51" s="70" t="str">
        <f aca="false">IF($A51="","",ROUND(SUMIFS(记账凭证!$H$4:$H$3609,记账凭证!$J$4:$J$3609,$A51,记账凭证!$E$4:$E$3609,"应付账款"),2))</f>
        <v/>
      </c>
      <c r="I51" s="70" t="str">
        <f aca="false">IF($A51="","",ROUND(N($F51)+$G51-$H51,2))</f>
        <v/>
      </c>
    </row>
    <row r="52" customFormat="false" ht="18" hidden="false" customHeight="true" outlineLevel="0" collapsed="false">
      <c r="A52" s="67" t="str">
        <f aca="false">IFERROR(INDEX(_自动清单!$E$4:$E$253,ROW()-23),"")</f>
        <v/>
      </c>
      <c r="B52" s="121"/>
      <c r="C52" s="70" t="str">
        <f aca="false">IF($A52="","",ROUND(SUMIFS(进销存对接!$G$4:$G$305,进销存对接!$D$4:$D$305,"客户应收",进销存对接!$C$4:$C$305,$A52),2))</f>
        <v/>
      </c>
      <c r="D52" s="70" t="str">
        <f aca="false">IF($A52="","",ROUND(SUMIFS(资金日记账!$H$4:$H$603,资金日记账!$E$4:$E$603,$A52,资金日记账!$K$4:$K$603,"应收账款"),2))</f>
        <v/>
      </c>
      <c r="E52" s="70" t="str">
        <f aca="false">IF($A52="","",ROUND(N($B52)+$C52-$D52,2))</f>
        <v/>
      </c>
      <c r="F52" s="121"/>
      <c r="G52" s="70" t="str">
        <f aca="false">IF($A52="","",ROUND(SUMIFS(进销存对接!$F$4:$F$305,进销存对接!$D$4:$D$305,"客户应收",进销存对接!$C$4:$C$305,$A52)+SUMIFS(记账凭证!$I$4:$I$3609,记账凭证!$J$4:$J$3609,$A52,记账凭证!$E$4:$E$3609,"应付账款"),2))</f>
        <v/>
      </c>
      <c r="H52" s="70" t="str">
        <f aca="false">IF($A52="","",ROUND(SUMIFS(记账凭证!$H$4:$H$3609,记账凭证!$J$4:$J$3609,$A52,记账凭证!$E$4:$E$3609,"应付账款"),2))</f>
        <v/>
      </c>
      <c r="I52" s="70" t="str">
        <f aca="false">IF($A52="","",ROUND(N($F52)+$G52-$H52,2))</f>
        <v/>
      </c>
    </row>
    <row r="53" customFormat="false" ht="18" hidden="false" customHeight="true" outlineLevel="0" collapsed="false">
      <c r="A53" s="67" t="str">
        <f aca="false">IFERROR(INDEX(_自动清单!$E$4:$E$253,ROW()-23),"")</f>
        <v/>
      </c>
      <c r="B53" s="121"/>
      <c r="C53" s="70" t="str">
        <f aca="false">IF($A53="","",ROUND(SUMIFS(进销存对接!$G$4:$G$305,进销存对接!$D$4:$D$305,"客户应收",进销存对接!$C$4:$C$305,$A53),2))</f>
        <v/>
      </c>
      <c r="D53" s="70" t="str">
        <f aca="false">IF($A53="","",ROUND(SUMIFS(资金日记账!$H$4:$H$603,资金日记账!$E$4:$E$603,$A53,资金日记账!$K$4:$K$603,"应收账款"),2))</f>
        <v/>
      </c>
      <c r="E53" s="70" t="str">
        <f aca="false">IF($A53="","",ROUND(N($B53)+$C53-$D53,2))</f>
        <v/>
      </c>
      <c r="F53" s="121"/>
      <c r="G53" s="70" t="str">
        <f aca="false">IF($A53="","",ROUND(SUMIFS(进销存对接!$F$4:$F$305,进销存对接!$D$4:$D$305,"客户应收",进销存对接!$C$4:$C$305,$A53)+SUMIFS(记账凭证!$I$4:$I$3609,记账凭证!$J$4:$J$3609,$A53,记账凭证!$E$4:$E$3609,"应付账款"),2))</f>
        <v/>
      </c>
      <c r="H53" s="70" t="str">
        <f aca="false">IF($A53="","",ROUND(SUMIFS(记账凭证!$H$4:$H$3609,记账凭证!$J$4:$J$3609,$A53,记账凭证!$E$4:$E$3609,"应付账款"),2))</f>
        <v/>
      </c>
      <c r="I53" s="70" t="str">
        <f aca="false">IF($A53="","",ROUND(N($F53)+$G53-$H53,2))</f>
        <v/>
      </c>
    </row>
    <row r="54" customFormat="false" ht="18" hidden="false" customHeight="true" outlineLevel="0" collapsed="false">
      <c r="A54" s="67" t="str">
        <f aca="false">IFERROR(INDEX(_自动清单!$E$4:$E$253,ROW()-23),"")</f>
        <v/>
      </c>
      <c r="B54" s="121"/>
      <c r="C54" s="70" t="str">
        <f aca="false">IF($A54="","",ROUND(SUMIFS(进销存对接!$G$4:$G$305,进销存对接!$D$4:$D$305,"客户应收",进销存对接!$C$4:$C$305,$A54),2))</f>
        <v/>
      </c>
      <c r="D54" s="70" t="str">
        <f aca="false">IF($A54="","",ROUND(SUMIFS(资金日记账!$H$4:$H$603,资金日记账!$E$4:$E$603,$A54,资金日记账!$K$4:$K$603,"应收账款"),2))</f>
        <v/>
      </c>
      <c r="E54" s="70" t="str">
        <f aca="false">IF($A54="","",ROUND(N($B54)+$C54-$D54,2))</f>
        <v/>
      </c>
      <c r="F54" s="121"/>
      <c r="G54" s="70" t="str">
        <f aca="false">IF($A54="","",ROUND(SUMIFS(进销存对接!$F$4:$F$305,进销存对接!$D$4:$D$305,"客户应收",进销存对接!$C$4:$C$305,$A54)+SUMIFS(记账凭证!$I$4:$I$3609,记账凭证!$J$4:$J$3609,$A54,记账凭证!$E$4:$E$3609,"应付账款"),2))</f>
        <v/>
      </c>
      <c r="H54" s="70" t="str">
        <f aca="false">IF($A54="","",ROUND(SUMIFS(记账凭证!$H$4:$H$3609,记账凭证!$J$4:$J$3609,$A54,记账凭证!$E$4:$E$3609,"应付账款"),2))</f>
        <v/>
      </c>
      <c r="I54" s="70" t="str">
        <f aca="false">IF($A54="","",ROUND(N($F54)+$G54-$H54,2))</f>
        <v/>
      </c>
    </row>
    <row r="55" customFormat="false" ht="18" hidden="false" customHeight="true" outlineLevel="0" collapsed="false">
      <c r="A55" s="67" t="str">
        <f aca="false">IFERROR(INDEX(_自动清单!$E$4:$E$253,ROW()-23),"")</f>
        <v/>
      </c>
      <c r="B55" s="121"/>
      <c r="C55" s="70" t="str">
        <f aca="false">IF($A55="","",ROUND(SUMIFS(进销存对接!$G$4:$G$305,进销存对接!$D$4:$D$305,"客户应收",进销存对接!$C$4:$C$305,$A55),2))</f>
        <v/>
      </c>
      <c r="D55" s="70" t="str">
        <f aca="false">IF($A55="","",ROUND(SUMIFS(资金日记账!$H$4:$H$603,资金日记账!$E$4:$E$603,$A55,资金日记账!$K$4:$K$603,"应收账款"),2))</f>
        <v/>
      </c>
      <c r="E55" s="70" t="str">
        <f aca="false">IF($A55="","",ROUND(N($B55)+$C55-$D55,2))</f>
        <v/>
      </c>
      <c r="F55" s="121"/>
      <c r="G55" s="70" t="str">
        <f aca="false">IF($A55="","",ROUND(SUMIFS(进销存对接!$F$4:$F$305,进销存对接!$D$4:$D$305,"客户应收",进销存对接!$C$4:$C$305,$A55)+SUMIFS(记账凭证!$I$4:$I$3609,记账凭证!$J$4:$J$3609,$A55,记账凭证!$E$4:$E$3609,"应付账款"),2))</f>
        <v/>
      </c>
      <c r="H55" s="70" t="str">
        <f aca="false">IF($A55="","",ROUND(SUMIFS(记账凭证!$H$4:$H$3609,记账凭证!$J$4:$J$3609,$A55,记账凭证!$E$4:$E$3609,"应付账款"),2))</f>
        <v/>
      </c>
      <c r="I55" s="70" t="str">
        <f aca="false">IF($A55="","",ROUND(N($F55)+$G55-$H55,2))</f>
        <v/>
      </c>
    </row>
    <row r="56" customFormat="false" ht="18" hidden="false" customHeight="true" outlineLevel="0" collapsed="false">
      <c r="A56" s="67" t="str">
        <f aca="false">IFERROR(INDEX(_自动清单!$E$4:$E$253,ROW()-23),"")</f>
        <v/>
      </c>
      <c r="B56" s="121"/>
      <c r="C56" s="70" t="str">
        <f aca="false">IF($A56="","",ROUND(SUMIFS(进销存对接!$G$4:$G$305,进销存对接!$D$4:$D$305,"客户应收",进销存对接!$C$4:$C$305,$A56),2))</f>
        <v/>
      </c>
      <c r="D56" s="70" t="str">
        <f aca="false">IF($A56="","",ROUND(SUMIFS(资金日记账!$H$4:$H$603,资金日记账!$E$4:$E$603,$A56,资金日记账!$K$4:$K$603,"应收账款"),2))</f>
        <v/>
      </c>
      <c r="E56" s="70" t="str">
        <f aca="false">IF($A56="","",ROUND(N($B56)+$C56-$D56,2))</f>
        <v/>
      </c>
      <c r="F56" s="121"/>
      <c r="G56" s="70" t="str">
        <f aca="false">IF($A56="","",ROUND(SUMIFS(进销存对接!$F$4:$F$305,进销存对接!$D$4:$D$305,"客户应收",进销存对接!$C$4:$C$305,$A56)+SUMIFS(记账凭证!$I$4:$I$3609,记账凭证!$J$4:$J$3609,$A56,记账凭证!$E$4:$E$3609,"应付账款"),2))</f>
        <v/>
      </c>
      <c r="H56" s="70" t="str">
        <f aca="false">IF($A56="","",ROUND(SUMIFS(记账凭证!$H$4:$H$3609,记账凭证!$J$4:$J$3609,$A56,记账凭证!$E$4:$E$3609,"应付账款"),2))</f>
        <v/>
      </c>
      <c r="I56" s="70" t="str">
        <f aca="false">IF($A56="","",ROUND(N($F56)+$G56-$H56,2))</f>
        <v/>
      </c>
    </row>
    <row r="57" customFormat="false" ht="18" hidden="false" customHeight="true" outlineLevel="0" collapsed="false">
      <c r="A57" s="67" t="str">
        <f aca="false">IFERROR(INDEX(_自动清单!$E$4:$E$253,ROW()-23),"")</f>
        <v/>
      </c>
      <c r="B57" s="121"/>
      <c r="C57" s="70" t="str">
        <f aca="false">IF($A57="","",ROUND(SUMIFS(进销存对接!$G$4:$G$305,进销存对接!$D$4:$D$305,"客户应收",进销存对接!$C$4:$C$305,$A57),2))</f>
        <v/>
      </c>
      <c r="D57" s="70" t="str">
        <f aca="false">IF($A57="","",ROUND(SUMIFS(资金日记账!$H$4:$H$603,资金日记账!$E$4:$E$603,$A57,资金日记账!$K$4:$K$603,"应收账款"),2))</f>
        <v/>
      </c>
      <c r="E57" s="70" t="str">
        <f aca="false">IF($A57="","",ROUND(N($B57)+$C57-$D57,2))</f>
        <v/>
      </c>
      <c r="F57" s="121"/>
      <c r="G57" s="70" t="str">
        <f aca="false">IF($A57="","",ROUND(SUMIFS(进销存对接!$F$4:$F$305,进销存对接!$D$4:$D$305,"客户应收",进销存对接!$C$4:$C$305,$A57)+SUMIFS(记账凭证!$I$4:$I$3609,记账凭证!$J$4:$J$3609,$A57,记账凭证!$E$4:$E$3609,"应付账款"),2))</f>
        <v/>
      </c>
      <c r="H57" s="70" t="str">
        <f aca="false">IF($A57="","",ROUND(SUMIFS(记账凭证!$H$4:$H$3609,记账凭证!$J$4:$J$3609,$A57,记账凭证!$E$4:$E$3609,"应付账款"),2))</f>
        <v/>
      </c>
      <c r="I57" s="70" t="str">
        <f aca="false">IF($A57="","",ROUND(N($F57)+$G57-$H57,2))</f>
        <v/>
      </c>
    </row>
    <row r="58" customFormat="false" ht="18" hidden="false" customHeight="true" outlineLevel="0" collapsed="false">
      <c r="A58" s="67" t="str">
        <f aca="false">IFERROR(INDEX(_自动清单!$E$4:$E$253,ROW()-23),"")</f>
        <v/>
      </c>
      <c r="B58" s="121"/>
      <c r="C58" s="70" t="str">
        <f aca="false">IF($A58="","",ROUND(SUMIFS(进销存对接!$G$4:$G$305,进销存对接!$D$4:$D$305,"客户应收",进销存对接!$C$4:$C$305,$A58),2))</f>
        <v/>
      </c>
      <c r="D58" s="70" t="str">
        <f aca="false">IF($A58="","",ROUND(SUMIFS(资金日记账!$H$4:$H$603,资金日记账!$E$4:$E$603,$A58,资金日记账!$K$4:$K$603,"应收账款"),2))</f>
        <v/>
      </c>
      <c r="E58" s="70" t="str">
        <f aca="false">IF($A58="","",ROUND(N($B58)+$C58-$D58,2))</f>
        <v/>
      </c>
      <c r="F58" s="121"/>
      <c r="G58" s="70" t="str">
        <f aca="false">IF($A58="","",ROUND(SUMIFS(进销存对接!$F$4:$F$305,进销存对接!$D$4:$D$305,"客户应收",进销存对接!$C$4:$C$305,$A58)+SUMIFS(记账凭证!$I$4:$I$3609,记账凭证!$J$4:$J$3609,$A58,记账凭证!$E$4:$E$3609,"应付账款"),2))</f>
        <v/>
      </c>
      <c r="H58" s="70" t="str">
        <f aca="false">IF($A58="","",ROUND(SUMIFS(记账凭证!$H$4:$H$3609,记账凭证!$J$4:$J$3609,$A58,记账凭证!$E$4:$E$3609,"应付账款"),2))</f>
        <v/>
      </c>
      <c r="I58" s="70" t="str">
        <f aca="false">IF($A58="","",ROUND(N($F58)+$G58-$H58,2))</f>
        <v/>
      </c>
    </row>
    <row r="59" customFormat="false" ht="18" hidden="false" customHeight="true" outlineLevel="0" collapsed="false">
      <c r="A59" s="67" t="str">
        <f aca="false">IFERROR(INDEX(_自动清单!$E$4:$E$253,ROW()-23),"")</f>
        <v/>
      </c>
      <c r="B59" s="121"/>
      <c r="C59" s="70" t="str">
        <f aca="false">IF($A59="","",ROUND(SUMIFS(进销存对接!$G$4:$G$305,进销存对接!$D$4:$D$305,"客户应收",进销存对接!$C$4:$C$305,$A59),2))</f>
        <v/>
      </c>
      <c r="D59" s="70" t="str">
        <f aca="false">IF($A59="","",ROUND(SUMIFS(资金日记账!$H$4:$H$603,资金日记账!$E$4:$E$603,$A59,资金日记账!$K$4:$K$603,"应收账款"),2))</f>
        <v/>
      </c>
      <c r="E59" s="70" t="str">
        <f aca="false">IF($A59="","",ROUND(N($B59)+$C59-$D59,2))</f>
        <v/>
      </c>
      <c r="F59" s="121"/>
      <c r="G59" s="70" t="str">
        <f aca="false">IF($A59="","",ROUND(SUMIFS(进销存对接!$F$4:$F$305,进销存对接!$D$4:$D$305,"客户应收",进销存对接!$C$4:$C$305,$A59)+SUMIFS(记账凭证!$I$4:$I$3609,记账凭证!$J$4:$J$3609,$A59,记账凭证!$E$4:$E$3609,"应付账款"),2))</f>
        <v/>
      </c>
      <c r="H59" s="70" t="str">
        <f aca="false">IF($A59="","",ROUND(SUMIFS(记账凭证!$H$4:$H$3609,记账凭证!$J$4:$J$3609,$A59,记账凭证!$E$4:$E$3609,"应付账款"),2))</f>
        <v/>
      </c>
      <c r="I59" s="70" t="str">
        <f aca="false">IF($A59="","",ROUND(N($F59)+$G59-$H59,2))</f>
        <v/>
      </c>
    </row>
    <row r="60" customFormat="false" ht="18" hidden="false" customHeight="true" outlineLevel="0" collapsed="false">
      <c r="A60" s="67" t="str">
        <f aca="false">IFERROR(INDEX(_自动清单!$E$4:$E$253,ROW()-23),"")</f>
        <v/>
      </c>
      <c r="B60" s="121"/>
      <c r="C60" s="70" t="str">
        <f aca="false">IF($A60="","",ROUND(SUMIFS(进销存对接!$G$4:$G$305,进销存对接!$D$4:$D$305,"客户应收",进销存对接!$C$4:$C$305,$A60),2))</f>
        <v/>
      </c>
      <c r="D60" s="70" t="str">
        <f aca="false">IF($A60="","",ROUND(SUMIFS(资金日记账!$H$4:$H$603,资金日记账!$E$4:$E$603,$A60,资金日记账!$K$4:$K$603,"应收账款"),2))</f>
        <v/>
      </c>
      <c r="E60" s="70" t="str">
        <f aca="false">IF($A60="","",ROUND(N($B60)+$C60-$D60,2))</f>
        <v/>
      </c>
      <c r="F60" s="121"/>
      <c r="G60" s="70" t="str">
        <f aca="false">IF($A60="","",ROUND(SUMIFS(进销存对接!$F$4:$F$305,进销存对接!$D$4:$D$305,"客户应收",进销存对接!$C$4:$C$305,$A60)+SUMIFS(记账凭证!$I$4:$I$3609,记账凭证!$J$4:$J$3609,$A60,记账凭证!$E$4:$E$3609,"应付账款"),2))</f>
        <v/>
      </c>
      <c r="H60" s="70" t="str">
        <f aca="false">IF($A60="","",ROUND(SUMIFS(记账凭证!$H$4:$H$3609,记账凭证!$J$4:$J$3609,$A60,记账凭证!$E$4:$E$3609,"应付账款"),2))</f>
        <v/>
      </c>
      <c r="I60" s="70" t="str">
        <f aca="false">IF($A60="","",ROUND(N($F60)+$G60-$H60,2))</f>
        <v/>
      </c>
    </row>
    <row r="61" customFormat="false" ht="18" hidden="false" customHeight="true" outlineLevel="0" collapsed="false">
      <c r="A61" s="67" t="str">
        <f aca="false">IFERROR(INDEX(_自动清单!$E$4:$E$253,ROW()-23),"")</f>
        <v/>
      </c>
      <c r="B61" s="121"/>
      <c r="C61" s="70" t="str">
        <f aca="false">IF($A61="","",ROUND(SUMIFS(进销存对接!$G$4:$G$305,进销存对接!$D$4:$D$305,"客户应收",进销存对接!$C$4:$C$305,$A61),2))</f>
        <v/>
      </c>
      <c r="D61" s="70" t="str">
        <f aca="false">IF($A61="","",ROUND(SUMIFS(资金日记账!$H$4:$H$603,资金日记账!$E$4:$E$603,$A61,资金日记账!$K$4:$K$603,"应收账款"),2))</f>
        <v/>
      </c>
      <c r="E61" s="70" t="str">
        <f aca="false">IF($A61="","",ROUND(N($B61)+$C61-$D61,2))</f>
        <v/>
      </c>
      <c r="F61" s="121"/>
      <c r="G61" s="70" t="str">
        <f aca="false">IF($A61="","",ROUND(SUMIFS(进销存对接!$F$4:$F$305,进销存对接!$D$4:$D$305,"客户应收",进销存对接!$C$4:$C$305,$A61)+SUMIFS(记账凭证!$I$4:$I$3609,记账凭证!$J$4:$J$3609,$A61,记账凭证!$E$4:$E$3609,"应付账款"),2))</f>
        <v/>
      </c>
      <c r="H61" s="70" t="str">
        <f aca="false">IF($A61="","",ROUND(SUMIFS(记账凭证!$H$4:$H$3609,记账凭证!$J$4:$J$3609,$A61,记账凭证!$E$4:$E$3609,"应付账款"),2))</f>
        <v/>
      </c>
      <c r="I61" s="70" t="str">
        <f aca="false">IF($A61="","",ROUND(N($F61)+$G61-$H61,2))</f>
        <v/>
      </c>
    </row>
    <row r="62" customFormat="false" ht="18" hidden="false" customHeight="true" outlineLevel="0" collapsed="false">
      <c r="A62" s="67" t="str">
        <f aca="false">IFERROR(INDEX(_自动清单!$E$4:$E$253,ROW()-23),"")</f>
        <v/>
      </c>
      <c r="B62" s="121"/>
      <c r="C62" s="70" t="str">
        <f aca="false">IF($A62="","",ROUND(SUMIFS(进销存对接!$G$4:$G$305,进销存对接!$D$4:$D$305,"客户应收",进销存对接!$C$4:$C$305,$A62),2))</f>
        <v/>
      </c>
      <c r="D62" s="70" t="str">
        <f aca="false">IF($A62="","",ROUND(SUMIFS(资金日记账!$H$4:$H$603,资金日记账!$E$4:$E$603,$A62,资金日记账!$K$4:$K$603,"应收账款"),2))</f>
        <v/>
      </c>
      <c r="E62" s="70" t="str">
        <f aca="false">IF($A62="","",ROUND(N($B62)+$C62-$D62,2))</f>
        <v/>
      </c>
      <c r="F62" s="121"/>
      <c r="G62" s="70" t="str">
        <f aca="false">IF($A62="","",ROUND(SUMIFS(进销存对接!$F$4:$F$305,进销存对接!$D$4:$D$305,"客户应收",进销存对接!$C$4:$C$305,$A62)+SUMIFS(记账凭证!$I$4:$I$3609,记账凭证!$J$4:$J$3609,$A62,记账凭证!$E$4:$E$3609,"应付账款"),2))</f>
        <v/>
      </c>
      <c r="H62" s="70" t="str">
        <f aca="false">IF($A62="","",ROUND(SUMIFS(记账凭证!$H$4:$H$3609,记账凭证!$J$4:$J$3609,$A62,记账凭证!$E$4:$E$3609,"应付账款"),2))</f>
        <v/>
      </c>
      <c r="I62" s="70" t="str">
        <f aca="false">IF($A62="","",ROUND(N($F62)+$G62-$H62,2))</f>
        <v/>
      </c>
    </row>
    <row r="63" customFormat="false" ht="18" hidden="false" customHeight="true" outlineLevel="0" collapsed="false">
      <c r="A63" s="67" t="str">
        <f aca="false">IFERROR(INDEX(_自动清单!$E$4:$E$253,ROW()-23),"")</f>
        <v/>
      </c>
      <c r="B63" s="121"/>
      <c r="C63" s="70" t="str">
        <f aca="false">IF($A63="","",ROUND(SUMIFS(进销存对接!$G$4:$G$305,进销存对接!$D$4:$D$305,"客户应收",进销存对接!$C$4:$C$305,$A63),2))</f>
        <v/>
      </c>
      <c r="D63" s="70" t="str">
        <f aca="false">IF($A63="","",ROUND(SUMIFS(资金日记账!$H$4:$H$603,资金日记账!$E$4:$E$603,$A63,资金日记账!$K$4:$K$603,"应收账款"),2))</f>
        <v/>
      </c>
      <c r="E63" s="70" t="str">
        <f aca="false">IF($A63="","",ROUND(N($B63)+$C63-$D63,2))</f>
        <v/>
      </c>
      <c r="F63" s="121"/>
      <c r="G63" s="70" t="str">
        <f aca="false">IF($A63="","",ROUND(SUMIFS(进销存对接!$F$4:$F$305,进销存对接!$D$4:$D$305,"客户应收",进销存对接!$C$4:$C$305,$A63)+SUMIFS(记账凭证!$I$4:$I$3609,记账凭证!$J$4:$J$3609,$A63,记账凭证!$E$4:$E$3609,"应付账款"),2))</f>
        <v/>
      </c>
      <c r="H63" s="70" t="str">
        <f aca="false">IF($A63="","",ROUND(SUMIFS(记账凭证!$H$4:$H$3609,记账凭证!$J$4:$J$3609,$A63,记账凭证!$E$4:$E$3609,"应付账款"),2))</f>
        <v/>
      </c>
      <c r="I63" s="70" t="str">
        <f aca="false">IF($A63="","",ROUND(N($F63)+$G63-$H63,2))</f>
        <v/>
      </c>
    </row>
    <row r="64" customFormat="false" ht="18" hidden="false" customHeight="true" outlineLevel="0" collapsed="false">
      <c r="A64" s="67" t="str">
        <f aca="false">IFERROR(INDEX(_自动清单!$E$4:$E$253,ROW()-23),"")</f>
        <v/>
      </c>
      <c r="B64" s="121"/>
      <c r="C64" s="70" t="str">
        <f aca="false">IF($A64="","",ROUND(SUMIFS(进销存对接!$G$4:$G$305,进销存对接!$D$4:$D$305,"客户应收",进销存对接!$C$4:$C$305,$A64),2))</f>
        <v/>
      </c>
      <c r="D64" s="70" t="str">
        <f aca="false">IF($A64="","",ROUND(SUMIFS(资金日记账!$H$4:$H$603,资金日记账!$E$4:$E$603,$A64,资金日记账!$K$4:$K$603,"应收账款"),2))</f>
        <v/>
      </c>
      <c r="E64" s="70" t="str">
        <f aca="false">IF($A64="","",ROUND(N($B64)+$C64-$D64,2))</f>
        <v/>
      </c>
      <c r="F64" s="121"/>
      <c r="G64" s="70" t="str">
        <f aca="false">IF($A64="","",ROUND(SUMIFS(进销存对接!$F$4:$F$305,进销存对接!$D$4:$D$305,"客户应收",进销存对接!$C$4:$C$305,$A64)+SUMIFS(记账凭证!$I$4:$I$3609,记账凭证!$J$4:$J$3609,$A64,记账凭证!$E$4:$E$3609,"应付账款"),2))</f>
        <v/>
      </c>
      <c r="H64" s="70" t="str">
        <f aca="false">IF($A64="","",ROUND(SUMIFS(记账凭证!$H$4:$H$3609,记账凭证!$J$4:$J$3609,$A64,记账凭证!$E$4:$E$3609,"应付账款"),2))</f>
        <v/>
      </c>
      <c r="I64" s="70" t="str">
        <f aca="false">IF($A64="","",ROUND(N($F64)+$G64-$H64,2))</f>
        <v/>
      </c>
    </row>
    <row r="65" customFormat="false" ht="18" hidden="false" customHeight="true" outlineLevel="0" collapsed="false">
      <c r="A65" s="67" t="str">
        <f aca="false">IFERROR(INDEX(_自动清单!$E$4:$E$253,ROW()-23),"")</f>
        <v/>
      </c>
      <c r="B65" s="121"/>
      <c r="C65" s="70" t="str">
        <f aca="false">IF($A65="","",ROUND(SUMIFS(进销存对接!$G$4:$G$305,进销存对接!$D$4:$D$305,"客户应收",进销存对接!$C$4:$C$305,$A65),2))</f>
        <v/>
      </c>
      <c r="D65" s="70" t="str">
        <f aca="false">IF($A65="","",ROUND(SUMIFS(资金日记账!$H$4:$H$603,资金日记账!$E$4:$E$603,$A65,资金日记账!$K$4:$K$603,"应收账款"),2))</f>
        <v/>
      </c>
      <c r="E65" s="70" t="str">
        <f aca="false">IF($A65="","",ROUND(N($B65)+$C65-$D65,2))</f>
        <v/>
      </c>
      <c r="F65" s="121"/>
      <c r="G65" s="70" t="str">
        <f aca="false">IF($A65="","",ROUND(SUMIFS(进销存对接!$F$4:$F$305,进销存对接!$D$4:$D$305,"客户应收",进销存对接!$C$4:$C$305,$A65)+SUMIFS(记账凭证!$I$4:$I$3609,记账凭证!$J$4:$J$3609,$A65,记账凭证!$E$4:$E$3609,"应付账款"),2))</f>
        <v/>
      </c>
      <c r="H65" s="70" t="str">
        <f aca="false">IF($A65="","",ROUND(SUMIFS(记账凭证!$H$4:$H$3609,记账凭证!$J$4:$J$3609,$A65,记账凭证!$E$4:$E$3609,"应付账款"),2))</f>
        <v/>
      </c>
      <c r="I65" s="70" t="str">
        <f aca="false">IF($A65="","",ROUND(N($F65)+$G65-$H65,2))</f>
        <v/>
      </c>
    </row>
    <row r="66" customFormat="false" ht="18" hidden="false" customHeight="true" outlineLevel="0" collapsed="false">
      <c r="A66" s="67" t="str">
        <f aca="false">IFERROR(INDEX(_自动清单!$E$4:$E$253,ROW()-23),"")</f>
        <v/>
      </c>
      <c r="B66" s="121"/>
      <c r="C66" s="70" t="str">
        <f aca="false">IF($A66="","",ROUND(SUMIFS(进销存对接!$G$4:$G$305,进销存对接!$D$4:$D$305,"客户应收",进销存对接!$C$4:$C$305,$A66),2))</f>
        <v/>
      </c>
      <c r="D66" s="70" t="str">
        <f aca="false">IF($A66="","",ROUND(SUMIFS(资金日记账!$H$4:$H$603,资金日记账!$E$4:$E$603,$A66,资金日记账!$K$4:$K$603,"应收账款"),2))</f>
        <v/>
      </c>
      <c r="E66" s="70" t="str">
        <f aca="false">IF($A66="","",ROUND(N($B66)+$C66-$D66,2))</f>
        <v/>
      </c>
      <c r="F66" s="121"/>
      <c r="G66" s="70" t="str">
        <f aca="false">IF($A66="","",ROUND(SUMIFS(进销存对接!$F$4:$F$305,进销存对接!$D$4:$D$305,"客户应收",进销存对接!$C$4:$C$305,$A66)+SUMIFS(记账凭证!$I$4:$I$3609,记账凭证!$J$4:$J$3609,$A66,记账凭证!$E$4:$E$3609,"应付账款"),2))</f>
        <v/>
      </c>
      <c r="H66" s="70" t="str">
        <f aca="false">IF($A66="","",ROUND(SUMIFS(记账凭证!$H$4:$H$3609,记账凭证!$J$4:$J$3609,$A66,记账凭证!$E$4:$E$3609,"应付账款"),2))</f>
        <v/>
      </c>
      <c r="I66" s="70" t="str">
        <f aca="false">IF($A66="","",ROUND(N($F66)+$G66-$H66,2))</f>
        <v/>
      </c>
    </row>
    <row r="67" customFormat="false" ht="18" hidden="false" customHeight="true" outlineLevel="0" collapsed="false">
      <c r="A67" s="67" t="str">
        <f aca="false">IFERROR(INDEX(_自动清单!$E$4:$E$253,ROW()-23),"")</f>
        <v/>
      </c>
      <c r="B67" s="121"/>
      <c r="C67" s="70" t="str">
        <f aca="false">IF($A67="","",ROUND(SUMIFS(进销存对接!$G$4:$G$305,进销存对接!$D$4:$D$305,"客户应收",进销存对接!$C$4:$C$305,$A67),2))</f>
        <v/>
      </c>
      <c r="D67" s="70" t="str">
        <f aca="false">IF($A67="","",ROUND(SUMIFS(资金日记账!$H$4:$H$603,资金日记账!$E$4:$E$603,$A67,资金日记账!$K$4:$K$603,"应收账款"),2))</f>
        <v/>
      </c>
      <c r="E67" s="70" t="str">
        <f aca="false">IF($A67="","",ROUND(N($B67)+$C67-$D67,2))</f>
        <v/>
      </c>
      <c r="F67" s="121"/>
      <c r="G67" s="70" t="str">
        <f aca="false">IF($A67="","",ROUND(SUMIFS(进销存对接!$F$4:$F$305,进销存对接!$D$4:$D$305,"客户应收",进销存对接!$C$4:$C$305,$A67)+SUMIFS(记账凭证!$I$4:$I$3609,记账凭证!$J$4:$J$3609,$A67,记账凭证!$E$4:$E$3609,"应付账款"),2))</f>
        <v/>
      </c>
      <c r="H67" s="70" t="str">
        <f aca="false">IF($A67="","",ROUND(SUMIFS(记账凭证!$H$4:$H$3609,记账凭证!$J$4:$J$3609,$A67,记账凭证!$E$4:$E$3609,"应付账款"),2))</f>
        <v/>
      </c>
      <c r="I67" s="70" t="str">
        <f aca="false">IF($A67="","",ROUND(N($F67)+$G67-$H67,2))</f>
        <v/>
      </c>
    </row>
    <row r="68" customFormat="false" ht="18" hidden="false" customHeight="true" outlineLevel="0" collapsed="false">
      <c r="A68" s="67" t="str">
        <f aca="false">IFERROR(INDEX(_自动清单!$E$4:$E$253,ROW()-23),"")</f>
        <v/>
      </c>
      <c r="B68" s="121"/>
      <c r="C68" s="70" t="str">
        <f aca="false">IF($A68="","",ROUND(SUMIFS(进销存对接!$G$4:$G$305,进销存对接!$D$4:$D$305,"客户应收",进销存对接!$C$4:$C$305,$A68),2))</f>
        <v/>
      </c>
      <c r="D68" s="70" t="str">
        <f aca="false">IF($A68="","",ROUND(SUMIFS(资金日记账!$H$4:$H$603,资金日记账!$E$4:$E$603,$A68,资金日记账!$K$4:$K$603,"应收账款"),2))</f>
        <v/>
      </c>
      <c r="E68" s="70" t="str">
        <f aca="false">IF($A68="","",ROUND(N($B68)+$C68-$D68,2))</f>
        <v/>
      </c>
      <c r="F68" s="121"/>
      <c r="G68" s="70" t="str">
        <f aca="false">IF($A68="","",ROUND(SUMIFS(进销存对接!$F$4:$F$305,进销存对接!$D$4:$D$305,"客户应收",进销存对接!$C$4:$C$305,$A68)+SUMIFS(记账凭证!$I$4:$I$3609,记账凭证!$J$4:$J$3609,$A68,记账凭证!$E$4:$E$3609,"应付账款"),2))</f>
        <v/>
      </c>
      <c r="H68" s="70" t="str">
        <f aca="false">IF($A68="","",ROUND(SUMIFS(记账凭证!$H$4:$H$3609,记账凭证!$J$4:$J$3609,$A68,记账凭证!$E$4:$E$3609,"应付账款"),2))</f>
        <v/>
      </c>
      <c r="I68" s="70" t="str">
        <f aca="false">IF($A68="","",ROUND(N($F68)+$G68-$H68,2))</f>
        <v/>
      </c>
    </row>
    <row r="69" customFormat="false" ht="18" hidden="false" customHeight="true" outlineLevel="0" collapsed="false">
      <c r="A69" s="67" t="str">
        <f aca="false">IFERROR(INDEX(_自动清单!$E$4:$E$253,ROW()-23),"")</f>
        <v/>
      </c>
      <c r="B69" s="121"/>
      <c r="C69" s="70" t="str">
        <f aca="false">IF($A69="","",ROUND(SUMIFS(进销存对接!$G$4:$G$305,进销存对接!$D$4:$D$305,"客户应收",进销存对接!$C$4:$C$305,$A69),2))</f>
        <v/>
      </c>
      <c r="D69" s="70" t="str">
        <f aca="false">IF($A69="","",ROUND(SUMIFS(资金日记账!$H$4:$H$603,资金日记账!$E$4:$E$603,$A69,资金日记账!$K$4:$K$603,"应收账款"),2))</f>
        <v/>
      </c>
      <c r="E69" s="70" t="str">
        <f aca="false">IF($A69="","",ROUND(N($B69)+$C69-$D69,2))</f>
        <v/>
      </c>
      <c r="F69" s="121"/>
      <c r="G69" s="70" t="str">
        <f aca="false">IF($A69="","",ROUND(SUMIFS(进销存对接!$F$4:$F$305,进销存对接!$D$4:$D$305,"客户应收",进销存对接!$C$4:$C$305,$A69)+SUMIFS(记账凭证!$I$4:$I$3609,记账凭证!$J$4:$J$3609,$A69,记账凭证!$E$4:$E$3609,"应付账款"),2))</f>
        <v/>
      </c>
      <c r="H69" s="70" t="str">
        <f aca="false">IF($A69="","",ROUND(SUMIFS(记账凭证!$H$4:$H$3609,记账凭证!$J$4:$J$3609,$A69,记账凭证!$E$4:$E$3609,"应付账款"),2))</f>
        <v/>
      </c>
      <c r="I69" s="70" t="str">
        <f aca="false">IF($A69="","",ROUND(N($F69)+$G69-$H69,2))</f>
        <v/>
      </c>
    </row>
    <row r="70" customFormat="false" ht="18" hidden="false" customHeight="true" outlineLevel="0" collapsed="false">
      <c r="A70" s="67" t="str">
        <f aca="false">IFERROR(INDEX(_自动清单!$E$4:$E$253,ROW()-23),"")</f>
        <v/>
      </c>
      <c r="B70" s="121"/>
      <c r="C70" s="70" t="str">
        <f aca="false">IF($A70="","",ROUND(SUMIFS(进销存对接!$G$4:$G$305,进销存对接!$D$4:$D$305,"客户应收",进销存对接!$C$4:$C$305,$A70),2))</f>
        <v/>
      </c>
      <c r="D70" s="70" t="str">
        <f aca="false">IF($A70="","",ROUND(SUMIFS(资金日记账!$H$4:$H$603,资金日记账!$E$4:$E$603,$A70,资金日记账!$K$4:$K$603,"应收账款"),2))</f>
        <v/>
      </c>
      <c r="E70" s="70" t="str">
        <f aca="false">IF($A70="","",ROUND(N($B70)+$C70-$D70,2))</f>
        <v/>
      </c>
      <c r="F70" s="121"/>
      <c r="G70" s="70" t="str">
        <f aca="false">IF($A70="","",ROUND(SUMIFS(进销存对接!$F$4:$F$305,进销存对接!$D$4:$D$305,"客户应收",进销存对接!$C$4:$C$305,$A70)+SUMIFS(记账凭证!$I$4:$I$3609,记账凭证!$J$4:$J$3609,$A70,记账凭证!$E$4:$E$3609,"应付账款"),2))</f>
        <v/>
      </c>
      <c r="H70" s="70" t="str">
        <f aca="false">IF($A70="","",ROUND(SUMIFS(记账凭证!$H$4:$H$3609,记账凭证!$J$4:$J$3609,$A70,记账凭证!$E$4:$E$3609,"应付账款"),2))</f>
        <v/>
      </c>
      <c r="I70" s="70" t="str">
        <f aca="false">IF($A70="","",ROUND(N($F70)+$G70-$H70,2))</f>
        <v/>
      </c>
    </row>
    <row r="71" customFormat="false" ht="18" hidden="false" customHeight="true" outlineLevel="0" collapsed="false">
      <c r="A71" s="67" t="str">
        <f aca="false">IFERROR(INDEX(_自动清单!$E$4:$E$253,ROW()-23),"")</f>
        <v/>
      </c>
      <c r="B71" s="121"/>
      <c r="C71" s="70" t="str">
        <f aca="false">IF($A71="","",ROUND(SUMIFS(进销存对接!$G$4:$G$305,进销存对接!$D$4:$D$305,"客户应收",进销存对接!$C$4:$C$305,$A71),2))</f>
        <v/>
      </c>
      <c r="D71" s="70" t="str">
        <f aca="false">IF($A71="","",ROUND(SUMIFS(资金日记账!$H$4:$H$603,资金日记账!$E$4:$E$603,$A71,资金日记账!$K$4:$K$603,"应收账款"),2))</f>
        <v/>
      </c>
      <c r="E71" s="70" t="str">
        <f aca="false">IF($A71="","",ROUND(N($B71)+$C71-$D71,2))</f>
        <v/>
      </c>
      <c r="F71" s="121"/>
      <c r="G71" s="70" t="str">
        <f aca="false">IF($A71="","",ROUND(SUMIFS(进销存对接!$F$4:$F$305,进销存对接!$D$4:$D$305,"客户应收",进销存对接!$C$4:$C$305,$A71)+SUMIFS(记账凭证!$I$4:$I$3609,记账凭证!$J$4:$J$3609,$A71,记账凭证!$E$4:$E$3609,"应付账款"),2))</f>
        <v/>
      </c>
      <c r="H71" s="70" t="str">
        <f aca="false">IF($A71="","",ROUND(SUMIFS(记账凭证!$H$4:$H$3609,记账凭证!$J$4:$J$3609,$A71,记账凭证!$E$4:$E$3609,"应付账款"),2))</f>
        <v/>
      </c>
      <c r="I71" s="70" t="str">
        <f aca="false">IF($A71="","",ROUND(N($F71)+$G71-$H71,2))</f>
        <v/>
      </c>
    </row>
    <row r="72" customFormat="false" ht="18" hidden="false" customHeight="true" outlineLevel="0" collapsed="false">
      <c r="A72" s="67" t="str">
        <f aca="false">IFERROR(INDEX(_自动清单!$E$4:$E$253,ROW()-23),"")</f>
        <v/>
      </c>
      <c r="B72" s="121"/>
      <c r="C72" s="70" t="str">
        <f aca="false">IF($A72="","",ROUND(SUMIFS(进销存对接!$G$4:$G$305,进销存对接!$D$4:$D$305,"客户应收",进销存对接!$C$4:$C$305,$A72),2))</f>
        <v/>
      </c>
      <c r="D72" s="70" t="str">
        <f aca="false">IF($A72="","",ROUND(SUMIFS(资金日记账!$H$4:$H$603,资金日记账!$E$4:$E$603,$A72,资金日记账!$K$4:$K$603,"应收账款"),2))</f>
        <v/>
      </c>
      <c r="E72" s="70" t="str">
        <f aca="false">IF($A72="","",ROUND(N($B72)+$C72-$D72,2))</f>
        <v/>
      </c>
      <c r="F72" s="121"/>
      <c r="G72" s="70" t="str">
        <f aca="false">IF($A72="","",ROUND(SUMIFS(进销存对接!$F$4:$F$305,进销存对接!$D$4:$D$305,"客户应收",进销存对接!$C$4:$C$305,$A72)+SUMIFS(记账凭证!$I$4:$I$3609,记账凭证!$J$4:$J$3609,$A72,记账凭证!$E$4:$E$3609,"应付账款"),2))</f>
        <v/>
      </c>
      <c r="H72" s="70" t="str">
        <f aca="false">IF($A72="","",ROUND(SUMIFS(记账凭证!$H$4:$H$3609,记账凭证!$J$4:$J$3609,$A72,记账凭证!$E$4:$E$3609,"应付账款"),2))</f>
        <v/>
      </c>
      <c r="I72" s="70" t="str">
        <f aca="false">IF($A72="","",ROUND(N($F72)+$G72-$H72,2))</f>
        <v/>
      </c>
    </row>
    <row r="73" customFormat="false" ht="18" hidden="false" customHeight="true" outlineLevel="0" collapsed="false">
      <c r="A73" s="67" t="str">
        <f aca="false">IFERROR(INDEX(_自动清单!$E$4:$E$253,ROW()-23),"")</f>
        <v/>
      </c>
      <c r="B73" s="121"/>
      <c r="C73" s="70" t="str">
        <f aca="false">IF($A73="","",ROUND(SUMIFS(进销存对接!$G$4:$G$305,进销存对接!$D$4:$D$305,"客户应收",进销存对接!$C$4:$C$305,$A73),2))</f>
        <v/>
      </c>
      <c r="D73" s="70" t="str">
        <f aca="false">IF($A73="","",ROUND(SUMIFS(资金日记账!$H$4:$H$603,资金日记账!$E$4:$E$603,$A73,资金日记账!$K$4:$K$603,"应收账款"),2))</f>
        <v/>
      </c>
      <c r="E73" s="70" t="str">
        <f aca="false">IF($A73="","",ROUND(N($B73)+$C73-$D73,2))</f>
        <v/>
      </c>
      <c r="F73" s="121"/>
      <c r="G73" s="70" t="str">
        <f aca="false">IF($A73="","",ROUND(SUMIFS(进销存对接!$F$4:$F$305,进销存对接!$D$4:$D$305,"客户应收",进销存对接!$C$4:$C$305,$A73)+SUMIFS(记账凭证!$I$4:$I$3609,记账凭证!$J$4:$J$3609,$A73,记账凭证!$E$4:$E$3609,"应付账款"),2))</f>
        <v/>
      </c>
      <c r="H73" s="70" t="str">
        <f aca="false">IF($A73="","",ROUND(SUMIFS(记账凭证!$H$4:$H$3609,记账凭证!$J$4:$J$3609,$A73,记账凭证!$E$4:$E$3609,"应付账款"),2))</f>
        <v/>
      </c>
      <c r="I73" s="70" t="str">
        <f aca="false">IF($A73="","",ROUND(N($F73)+$G73-$H73,2))</f>
        <v/>
      </c>
    </row>
    <row r="74" customFormat="false" ht="18" hidden="false" customHeight="true" outlineLevel="0" collapsed="false">
      <c r="A74" s="67" t="str">
        <f aca="false">IFERROR(INDEX(_自动清单!$E$4:$E$253,ROW()-23),"")</f>
        <v/>
      </c>
      <c r="B74" s="121"/>
      <c r="C74" s="70" t="str">
        <f aca="false">IF($A74="","",ROUND(SUMIFS(进销存对接!$G$4:$G$305,进销存对接!$D$4:$D$305,"客户应收",进销存对接!$C$4:$C$305,$A74),2))</f>
        <v/>
      </c>
      <c r="D74" s="70" t="str">
        <f aca="false">IF($A74="","",ROUND(SUMIFS(资金日记账!$H$4:$H$603,资金日记账!$E$4:$E$603,$A74,资金日记账!$K$4:$K$603,"应收账款"),2))</f>
        <v/>
      </c>
      <c r="E74" s="70" t="str">
        <f aca="false">IF($A74="","",ROUND(N($B74)+$C74-$D74,2))</f>
        <v/>
      </c>
      <c r="F74" s="121"/>
      <c r="G74" s="70" t="str">
        <f aca="false">IF($A74="","",ROUND(SUMIFS(进销存对接!$F$4:$F$305,进销存对接!$D$4:$D$305,"客户应收",进销存对接!$C$4:$C$305,$A74)+SUMIFS(记账凭证!$I$4:$I$3609,记账凭证!$J$4:$J$3609,$A74,记账凭证!$E$4:$E$3609,"应付账款"),2))</f>
        <v/>
      </c>
      <c r="H74" s="70" t="str">
        <f aca="false">IF($A74="","",ROUND(SUMIFS(记账凭证!$H$4:$H$3609,记账凭证!$J$4:$J$3609,$A74,记账凭证!$E$4:$E$3609,"应付账款"),2))</f>
        <v/>
      </c>
      <c r="I74" s="70" t="str">
        <f aca="false">IF($A74="","",ROUND(N($F74)+$G74-$H74,2))</f>
        <v/>
      </c>
    </row>
    <row r="75" customFormat="false" ht="18" hidden="false" customHeight="true" outlineLevel="0" collapsed="false">
      <c r="A75" s="67" t="str">
        <f aca="false">IFERROR(INDEX(_自动清单!$E$4:$E$253,ROW()-23),"")</f>
        <v/>
      </c>
      <c r="B75" s="121"/>
      <c r="C75" s="70" t="str">
        <f aca="false">IF($A75="","",ROUND(SUMIFS(进销存对接!$G$4:$G$305,进销存对接!$D$4:$D$305,"客户应收",进销存对接!$C$4:$C$305,$A75),2))</f>
        <v/>
      </c>
      <c r="D75" s="70" t="str">
        <f aca="false">IF($A75="","",ROUND(SUMIFS(资金日记账!$H$4:$H$603,资金日记账!$E$4:$E$603,$A75,资金日记账!$K$4:$K$603,"应收账款"),2))</f>
        <v/>
      </c>
      <c r="E75" s="70" t="str">
        <f aca="false">IF($A75="","",ROUND(N($B75)+$C75-$D75,2))</f>
        <v/>
      </c>
      <c r="F75" s="121"/>
      <c r="G75" s="70" t="str">
        <f aca="false">IF($A75="","",ROUND(SUMIFS(进销存对接!$F$4:$F$305,进销存对接!$D$4:$D$305,"客户应收",进销存对接!$C$4:$C$305,$A75)+SUMIFS(记账凭证!$I$4:$I$3609,记账凭证!$J$4:$J$3609,$A75,记账凭证!$E$4:$E$3609,"应付账款"),2))</f>
        <v/>
      </c>
      <c r="H75" s="70" t="str">
        <f aca="false">IF($A75="","",ROUND(SUMIFS(记账凭证!$H$4:$H$3609,记账凭证!$J$4:$J$3609,$A75,记账凭证!$E$4:$E$3609,"应付账款"),2))</f>
        <v/>
      </c>
      <c r="I75" s="70" t="str">
        <f aca="false">IF($A75="","",ROUND(N($F75)+$G75-$H75,2))</f>
        <v/>
      </c>
    </row>
    <row r="76" customFormat="false" ht="18" hidden="false" customHeight="true" outlineLevel="0" collapsed="false">
      <c r="A76" s="67" t="str">
        <f aca="false">IFERROR(INDEX(_自动清单!$E$4:$E$253,ROW()-23),"")</f>
        <v/>
      </c>
      <c r="B76" s="121"/>
      <c r="C76" s="70" t="str">
        <f aca="false">IF($A76="","",ROUND(SUMIFS(进销存对接!$G$4:$G$305,进销存对接!$D$4:$D$305,"客户应收",进销存对接!$C$4:$C$305,$A76),2))</f>
        <v/>
      </c>
      <c r="D76" s="70" t="str">
        <f aca="false">IF($A76="","",ROUND(SUMIFS(资金日记账!$H$4:$H$603,资金日记账!$E$4:$E$603,$A76,资金日记账!$K$4:$K$603,"应收账款"),2))</f>
        <v/>
      </c>
      <c r="E76" s="70" t="str">
        <f aca="false">IF($A76="","",ROUND(N($B76)+$C76-$D76,2))</f>
        <v/>
      </c>
      <c r="F76" s="121"/>
      <c r="G76" s="70" t="str">
        <f aca="false">IF($A76="","",ROUND(SUMIFS(进销存对接!$F$4:$F$305,进销存对接!$D$4:$D$305,"客户应收",进销存对接!$C$4:$C$305,$A76)+SUMIFS(记账凭证!$I$4:$I$3609,记账凭证!$J$4:$J$3609,$A76,记账凭证!$E$4:$E$3609,"应付账款"),2))</f>
        <v/>
      </c>
      <c r="H76" s="70" t="str">
        <f aca="false">IF($A76="","",ROUND(SUMIFS(记账凭证!$H$4:$H$3609,记账凭证!$J$4:$J$3609,$A76,记账凭证!$E$4:$E$3609,"应付账款"),2))</f>
        <v/>
      </c>
      <c r="I76" s="70" t="str">
        <f aca="false">IF($A76="","",ROUND(N($F76)+$G76-$H76,2))</f>
        <v/>
      </c>
    </row>
    <row r="77" customFormat="false" ht="18" hidden="false" customHeight="true" outlineLevel="0" collapsed="false">
      <c r="A77" s="67" t="str">
        <f aca="false">IFERROR(INDEX(_自动清单!$E$4:$E$253,ROW()-23),"")</f>
        <v/>
      </c>
      <c r="B77" s="121"/>
      <c r="C77" s="70" t="str">
        <f aca="false">IF($A77="","",ROUND(SUMIFS(进销存对接!$G$4:$G$305,进销存对接!$D$4:$D$305,"客户应收",进销存对接!$C$4:$C$305,$A77),2))</f>
        <v/>
      </c>
      <c r="D77" s="70" t="str">
        <f aca="false">IF($A77="","",ROUND(SUMIFS(资金日记账!$H$4:$H$603,资金日记账!$E$4:$E$603,$A77,资金日记账!$K$4:$K$603,"应收账款"),2))</f>
        <v/>
      </c>
      <c r="E77" s="70" t="str">
        <f aca="false">IF($A77="","",ROUND(N($B77)+$C77-$D77,2))</f>
        <v/>
      </c>
      <c r="F77" s="121"/>
      <c r="G77" s="70" t="str">
        <f aca="false">IF($A77="","",ROUND(SUMIFS(进销存对接!$F$4:$F$305,进销存对接!$D$4:$D$305,"客户应收",进销存对接!$C$4:$C$305,$A77)+SUMIFS(记账凭证!$I$4:$I$3609,记账凭证!$J$4:$J$3609,$A77,记账凭证!$E$4:$E$3609,"应付账款"),2))</f>
        <v/>
      </c>
      <c r="H77" s="70" t="str">
        <f aca="false">IF($A77="","",ROUND(SUMIFS(记账凭证!$H$4:$H$3609,记账凭证!$J$4:$J$3609,$A77,记账凭证!$E$4:$E$3609,"应付账款"),2))</f>
        <v/>
      </c>
      <c r="I77" s="70" t="str">
        <f aca="false">IF($A77="","",ROUND(N($F77)+$G77-$H77,2))</f>
        <v/>
      </c>
    </row>
    <row r="78" customFormat="false" ht="18" hidden="false" customHeight="true" outlineLevel="0" collapsed="false">
      <c r="A78" s="67" t="str">
        <f aca="false">IFERROR(INDEX(_自动清单!$E$4:$E$253,ROW()-23),"")</f>
        <v/>
      </c>
      <c r="B78" s="121"/>
      <c r="C78" s="70" t="str">
        <f aca="false">IF($A78="","",ROUND(SUMIFS(进销存对接!$G$4:$G$305,进销存对接!$D$4:$D$305,"客户应收",进销存对接!$C$4:$C$305,$A78),2))</f>
        <v/>
      </c>
      <c r="D78" s="70" t="str">
        <f aca="false">IF($A78="","",ROUND(SUMIFS(资金日记账!$H$4:$H$603,资金日记账!$E$4:$E$603,$A78,资金日记账!$K$4:$K$603,"应收账款"),2))</f>
        <v/>
      </c>
      <c r="E78" s="70" t="str">
        <f aca="false">IF($A78="","",ROUND(N($B78)+$C78-$D78,2))</f>
        <v/>
      </c>
      <c r="F78" s="121"/>
      <c r="G78" s="70" t="str">
        <f aca="false">IF($A78="","",ROUND(SUMIFS(进销存对接!$F$4:$F$305,进销存对接!$D$4:$D$305,"客户应收",进销存对接!$C$4:$C$305,$A78)+SUMIFS(记账凭证!$I$4:$I$3609,记账凭证!$J$4:$J$3609,$A78,记账凭证!$E$4:$E$3609,"应付账款"),2))</f>
        <v/>
      </c>
      <c r="H78" s="70" t="str">
        <f aca="false">IF($A78="","",ROUND(SUMIFS(记账凭证!$H$4:$H$3609,记账凭证!$J$4:$J$3609,$A78,记账凭证!$E$4:$E$3609,"应付账款"),2))</f>
        <v/>
      </c>
      <c r="I78" s="70" t="str">
        <f aca="false">IF($A78="","",ROUND(N($F78)+$G78-$H78,2))</f>
        <v/>
      </c>
    </row>
    <row r="79" customFormat="false" ht="18" hidden="false" customHeight="true" outlineLevel="0" collapsed="false">
      <c r="A79" s="67" t="str">
        <f aca="false">IFERROR(INDEX(_自动清单!$E$4:$E$253,ROW()-23),"")</f>
        <v/>
      </c>
      <c r="B79" s="121"/>
      <c r="C79" s="70" t="str">
        <f aca="false">IF($A79="","",ROUND(SUMIFS(进销存对接!$G$4:$G$305,进销存对接!$D$4:$D$305,"客户应收",进销存对接!$C$4:$C$305,$A79),2))</f>
        <v/>
      </c>
      <c r="D79" s="70" t="str">
        <f aca="false">IF($A79="","",ROUND(SUMIFS(资金日记账!$H$4:$H$603,资金日记账!$E$4:$E$603,$A79,资金日记账!$K$4:$K$603,"应收账款"),2))</f>
        <v/>
      </c>
      <c r="E79" s="70" t="str">
        <f aca="false">IF($A79="","",ROUND(N($B79)+$C79-$D79,2))</f>
        <v/>
      </c>
      <c r="F79" s="121"/>
      <c r="G79" s="70" t="str">
        <f aca="false">IF($A79="","",ROUND(SUMIFS(进销存对接!$F$4:$F$305,进销存对接!$D$4:$D$305,"客户应收",进销存对接!$C$4:$C$305,$A79)+SUMIFS(记账凭证!$I$4:$I$3609,记账凭证!$J$4:$J$3609,$A79,记账凭证!$E$4:$E$3609,"应付账款"),2))</f>
        <v/>
      </c>
      <c r="H79" s="70" t="str">
        <f aca="false">IF($A79="","",ROUND(SUMIFS(记账凭证!$H$4:$H$3609,记账凭证!$J$4:$J$3609,$A79,记账凭证!$E$4:$E$3609,"应付账款"),2))</f>
        <v/>
      </c>
      <c r="I79" s="70" t="str">
        <f aca="false">IF($A79="","",ROUND(N($F79)+$G79-$H79,2))</f>
        <v/>
      </c>
    </row>
    <row r="80" customFormat="false" ht="18" hidden="false" customHeight="true" outlineLevel="0" collapsed="false">
      <c r="A80" s="67" t="str">
        <f aca="false">IFERROR(INDEX(_自动清单!$E$4:$E$253,ROW()-23),"")</f>
        <v/>
      </c>
      <c r="B80" s="121"/>
      <c r="C80" s="70" t="str">
        <f aca="false">IF($A80="","",ROUND(SUMIFS(进销存对接!$G$4:$G$305,进销存对接!$D$4:$D$305,"客户应收",进销存对接!$C$4:$C$305,$A80),2))</f>
        <v/>
      </c>
      <c r="D80" s="70" t="str">
        <f aca="false">IF($A80="","",ROUND(SUMIFS(资金日记账!$H$4:$H$603,资金日记账!$E$4:$E$603,$A80,资金日记账!$K$4:$K$603,"应收账款"),2))</f>
        <v/>
      </c>
      <c r="E80" s="70" t="str">
        <f aca="false">IF($A80="","",ROUND(N($B80)+$C80-$D80,2))</f>
        <v/>
      </c>
      <c r="F80" s="121"/>
      <c r="G80" s="70" t="str">
        <f aca="false">IF($A80="","",ROUND(SUMIFS(进销存对接!$F$4:$F$305,进销存对接!$D$4:$D$305,"客户应收",进销存对接!$C$4:$C$305,$A80)+SUMIFS(记账凭证!$I$4:$I$3609,记账凭证!$J$4:$J$3609,$A80,记账凭证!$E$4:$E$3609,"应付账款"),2))</f>
        <v/>
      </c>
      <c r="H80" s="70" t="str">
        <f aca="false">IF($A80="","",ROUND(SUMIFS(记账凭证!$H$4:$H$3609,记账凭证!$J$4:$J$3609,$A80,记账凭证!$E$4:$E$3609,"应付账款"),2))</f>
        <v/>
      </c>
      <c r="I80" s="70" t="str">
        <f aca="false">IF($A80="","",ROUND(N($F80)+$G80-$H80,2))</f>
        <v/>
      </c>
    </row>
    <row r="81" customFormat="false" ht="18" hidden="false" customHeight="true" outlineLevel="0" collapsed="false">
      <c r="A81" s="67" t="str">
        <f aca="false">IFERROR(INDEX(_自动清单!$E$4:$E$253,ROW()-23),"")</f>
        <v/>
      </c>
      <c r="B81" s="121"/>
      <c r="C81" s="70" t="str">
        <f aca="false">IF($A81="","",ROUND(SUMIFS(进销存对接!$G$4:$G$305,进销存对接!$D$4:$D$305,"客户应收",进销存对接!$C$4:$C$305,$A81),2))</f>
        <v/>
      </c>
      <c r="D81" s="70" t="str">
        <f aca="false">IF($A81="","",ROUND(SUMIFS(资金日记账!$H$4:$H$603,资金日记账!$E$4:$E$603,$A81,资金日记账!$K$4:$K$603,"应收账款"),2))</f>
        <v/>
      </c>
      <c r="E81" s="70" t="str">
        <f aca="false">IF($A81="","",ROUND(N($B81)+$C81-$D81,2))</f>
        <v/>
      </c>
      <c r="F81" s="121"/>
      <c r="G81" s="70" t="str">
        <f aca="false">IF($A81="","",ROUND(SUMIFS(进销存对接!$F$4:$F$305,进销存对接!$D$4:$D$305,"客户应收",进销存对接!$C$4:$C$305,$A81)+SUMIFS(记账凭证!$I$4:$I$3609,记账凭证!$J$4:$J$3609,$A81,记账凭证!$E$4:$E$3609,"应付账款"),2))</f>
        <v/>
      </c>
      <c r="H81" s="70" t="str">
        <f aca="false">IF($A81="","",ROUND(SUMIFS(记账凭证!$H$4:$H$3609,记账凭证!$J$4:$J$3609,$A81,记账凭证!$E$4:$E$3609,"应付账款"),2))</f>
        <v/>
      </c>
      <c r="I81" s="70" t="str">
        <f aca="false">IF($A81="","",ROUND(N($F81)+$G81-$H81,2))</f>
        <v/>
      </c>
    </row>
    <row r="82" customFormat="false" ht="18" hidden="false" customHeight="true" outlineLevel="0" collapsed="false">
      <c r="A82" s="67" t="str">
        <f aca="false">IFERROR(INDEX(_自动清单!$E$4:$E$253,ROW()-23),"")</f>
        <v/>
      </c>
      <c r="B82" s="121"/>
      <c r="C82" s="70" t="str">
        <f aca="false">IF($A82="","",ROUND(SUMIFS(进销存对接!$G$4:$G$305,进销存对接!$D$4:$D$305,"客户应收",进销存对接!$C$4:$C$305,$A82),2))</f>
        <v/>
      </c>
      <c r="D82" s="70" t="str">
        <f aca="false">IF($A82="","",ROUND(SUMIFS(资金日记账!$H$4:$H$603,资金日记账!$E$4:$E$603,$A82,资金日记账!$K$4:$K$603,"应收账款"),2))</f>
        <v/>
      </c>
      <c r="E82" s="70" t="str">
        <f aca="false">IF($A82="","",ROUND(N($B82)+$C82-$D82,2))</f>
        <v/>
      </c>
      <c r="F82" s="121"/>
      <c r="G82" s="70" t="str">
        <f aca="false">IF($A82="","",ROUND(SUMIFS(进销存对接!$F$4:$F$305,进销存对接!$D$4:$D$305,"客户应收",进销存对接!$C$4:$C$305,$A82)+SUMIFS(记账凭证!$I$4:$I$3609,记账凭证!$J$4:$J$3609,$A82,记账凭证!$E$4:$E$3609,"应付账款"),2))</f>
        <v/>
      </c>
      <c r="H82" s="70" t="str">
        <f aca="false">IF($A82="","",ROUND(SUMIFS(记账凭证!$H$4:$H$3609,记账凭证!$J$4:$J$3609,$A82,记账凭证!$E$4:$E$3609,"应付账款"),2))</f>
        <v/>
      </c>
      <c r="I82" s="70" t="str">
        <f aca="false">IF($A82="","",ROUND(N($F82)+$G82-$H82,2))</f>
        <v/>
      </c>
    </row>
    <row r="83" customFormat="false" ht="18" hidden="false" customHeight="true" outlineLevel="0" collapsed="false">
      <c r="A83" s="67" t="str">
        <f aca="false">IFERROR(INDEX(_自动清单!$E$4:$E$253,ROW()-23),"")</f>
        <v/>
      </c>
      <c r="B83" s="121"/>
      <c r="C83" s="70" t="str">
        <f aca="false">IF($A83="","",ROUND(SUMIFS(进销存对接!$G$4:$G$305,进销存对接!$D$4:$D$305,"客户应收",进销存对接!$C$4:$C$305,$A83),2))</f>
        <v/>
      </c>
      <c r="D83" s="70" t="str">
        <f aca="false">IF($A83="","",ROUND(SUMIFS(资金日记账!$H$4:$H$603,资金日记账!$E$4:$E$603,$A83,资金日记账!$K$4:$K$603,"应收账款"),2))</f>
        <v/>
      </c>
      <c r="E83" s="70" t="str">
        <f aca="false">IF($A83="","",ROUND(N($B83)+$C83-$D83,2))</f>
        <v/>
      </c>
      <c r="F83" s="121"/>
      <c r="G83" s="70" t="str">
        <f aca="false">IF($A83="","",ROUND(SUMIFS(进销存对接!$F$4:$F$305,进销存对接!$D$4:$D$305,"客户应收",进销存对接!$C$4:$C$305,$A83)+SUMIFS(记账凭证!$I$4:$I$3609,记账凭证!$J$4:$J$3609,$A83,记账凭证!$E$4:$E$3609,"应付账款"),2))</f>
        <v/>
      </c>
      <c r="H83" s="70" t="str">
        <f aca="false">IF($A83="","",ROUND(SUMIFS(记账凭证!$H$4:$H$3609,记账凭证!$J$4:$J$3609,$A83,记账凭证!$E$4:$E$3609,"应付账款"),2))</f>
        <v/>
      </c>
      <c r="I83" s="70" t="str">
        <f aca="false">IF($A83="","",ROUND(N($F83)+$G83-$H83,2))</f>
        <v/>
      </c>
    </row>
    <row r="84" customFormat="false" ht="18" hidden="false" customHeight="true" outlineLevel="0" collapsed="false">
      <c r="A84" s="67" t="str">
        <f aca="false">IFERROR(INDEX(_自动清单!$E$4:$E$253,ROW()-23),"")</f>
        <v/>
      </c>
      <c r="B84" s="121"/>
      <c r="C84" s="70" t="str">
        <f aca="false">IF($A84="","",ROUND(SUMIFS(进销存对接!$G$4:$G$305,进销存对接!$D$4:$D$305,"客户应收",进销存对接!$C$4:$C$305,$A84),2))</f>
        <v/>
      </c>
      <c r="D84" s="70" t="str">
        <f aca="false">IF($A84="","",ROUND(SUMIFS(资金日记账!$H$4:$H$603,资金日记账!$E$4:$E$603,$A84,资金日记账!$K$4:$K$603,"应收账款"),2))</f>
        <v/>
      </c>
      <c r="E84" s="70" t="str">
        <f aca="false">IF($A84="","",ROUND(N($B84)+$C84-$D84,2))</f>
        <v/>
      </c>
      <c r="F84" s="121"/>
      <c r="G84" s="70" t="str">
        <f aca="false">IF($A84="","",ROUND(SUMIFS(进销存对接!$F$4:$F$305,进销存对接!$D$4:$D$305,"客户应收",进销存对接!$C$4:$C$305,$A84)+SUMIFS(记账凭证!$I$4:$I$3609,记账凭证!$J$4:$J$3609,$A84,记账凭证!$E$4:$E$3609,"应付账款"),2))</f>
        <v/>
      </c>
      <c r="H84" s="70" t="str">
        <f aca="false">IF($A84="","",ROUND(SUMIFS(记账凭证!$H$4:$H$3609,记账凭证!$J$4:$J$3609,$A84,记账凭证!$E$4:$E$3609,"应付账款"),2))</f>
        <v/>
      </c>
      <c r="I84" s="70" t="str">
        <f aca="false">IF($A84="","",ROUND(N($F84)+$G84-$H84,2))</f>
        <v/>
      </c>
    </row>
    <row r="85" customFormat="false" ht="18" hidden="false" customHeight="true" outlineLevel="0" collapsed="false">
      <c r="A85" s="67" t="str">
        <f aca="false">IFERROR(INDEX(_自动清单!$E$4:$E$253,ROW()-23),"")</f>
        <v/>
      </c>
      <c r="B85" s="121"/>
      <c r="C85" s="70" t="str">
        <f aca="false">IF($A85="","",ROUND(SUMIFS(进销存对接!$G$4:$G$305,进销存对接!$D$4:$D$305,"客户应收",进销存对接!$C$4:$C$305,$A85),2))</f>
        <v/>
      </c>
      <c r="D85" s="70" t="str">
        <f aca="false">IF($A85="","",ROUND(SUMIFS(资金日记账!$H$4:$H$603,资金日记账!$E$4:$E$603,$A85,资金日记账!$K$4:$K$603,"应收账款"),2))</f>
        <v/>
      </c>
      <c r="E85" s="70" t="str">
        <f aca="false">IF($A85="","",ROUND(N($B85)+$C85-$D85,2))</f>
        <v/>
      </c>
      <c r="F85" s="121"/>
      <c r="G85" s="70" t="str">
        <f aca="false">IF($A85="","",ROUND(SUMIFS(进销存对接!$F$4:$F$305,进销存对接!$D$4:$D$305,"客户应收",进销存对接!$C$4:$C$305,$A85)+SUMIFS(记账凭证!$I$4:$I$3609,记账凭证!$J$4:$J$3609,$A85,记账凭证!$E$4:$E$3609,"应付账款"),2))</f>
        <v/>
      </c>
      <c r="H85" s="70" t="str">
        <f aca="false">IF($A85="","",ROUND(SUMIFS(记账凭证!$H$4:$H$3609,记账凭证!$J$4:$J$3609,$A85,记账凭证!$E$4:$E$3609,"应付账款"),2))</f>
        <v/>
      </c>
      <c r="I85" s="70" t="str">
        <f aca="false">IF($A85="","",ROUND(N($F85)+$G85-$H85,2))</f>
        <v/>
      </c>
    </row>
    <row r="86" customFormat="false" ht="18" hidden="false" customHeight="true" outlineLevel="0" collapsed="false">
      <c r="A86" s="67" t="str">
        <f aca="false">IFERROR(INDEX(_自动清单!$E$4:$E$253,ROW()-23),"")</f>
        <v/>
      </c>
      <c r="B86" s="121"/>
      <c r="C86" s="70" t="str">
        <f aca="false">IF($A86="","",ROUND(SUMIFS(进销存对接!$G$4:$G$305,进销存对接!$D$4:$D$305,"客户应收",进销存对接!$C$4:$C$305,$A86),2))</f>
        <v/>
      </c>
      <c r="D86" s="70" t="str">
        <f aca="false">IF($A86="","",ROUND(SUMIFS(资金日记账!$H$4:$H$603,资金日记账!$E$4:$E$603,$A86,资金日记账!$K$4:$K$603,"应收账款"),2))</f>
        <v/>
      </c>
      <c r="E86" s="70" t="str">
        <f aca="false">IF($A86="","",ROUND(N($B86)+$C86-$D86,2))</f>
        <v/>
      </c>
      <c r="F86" s="121"/>
      <c r="G86" s="70" t="str">
        <f aca="false">IF($A86="","",ROUND(SUMIFS(进销存对接!$F$4:$F$305,进销存对接!$D$4:$D$305,"客户应收",进销存对接!$C$4:$C$305,$A86)+SUMIFS(记账凭证!$I$4:$I$3609,记账凭证!$J$4:$J$3609,$A86,记账凭证!$E$4:$E$3609,"应付账款"),2))</f>
        <v/>
      </c>
      <c r="H86" s="70" t="str">
        <f aca="false">IF($A86="","",ROUND(SUMIFS(记账凭证!$H$4:$H$3609,记账凭证!$J$4:$J$3609,$A86,记账凭证!$E$4:$E$3609,"应付账款"),2))</f>
        <v/>
      </c>
      <c r="I86" s="70" t="str">
        <f aca="false">IF($A86="","",ROUND(N($F86)+$G86-$H86,2))</f>
        <v/>
      </c>
    </row>
    <row r="87" customFormat="false" ht="18" hidden="false" customHeight="true" outlineLevel="0" collapsed="false">
      <c r="A87" s="67" t="str">
        <f aca="false">IFERROR(INDEX(_自动清单!$E$4:$E$253,ROW()-23),"")</f>
        <v/>
      </c>
      <c r="B87" s="121"/>
      <c r="C87" s="70" t="str">
        <f aca="false">IF($A87="","",ROUND(SUMIFS(进销存对接!$G$4:$G$305,进销存对接!$D$4:$D$305,"客户应收",进销存对接!$C$4:$C$305,$A87),2))</f>
        <v/>
      </c>
      <c r="D87" s="70" t="str">
        <f aca="false">IF($A87="","",ROUND(SUMIFS(资金日记账!$H$4:$H$603,资金日记账!$E$4:$E$603,$A87,资金日记账!$K$4:$K$603,"应收账款"),2))</f>
        <v/>
      </c>
      <c r="E87" s="70" t="str">
        <f aca="false">IF($A87="","",ROUND(N($B87)+$C87-$D87,2))</f>
        <v/>
      </c>
      <c r="F87" s="121"/>
      <c r="G87" s="70" t="str">
        <f aca="false">IF($A87="","",ROUND(SUMIFS(进销存对接!$F$4:$F$305,进销存对接!$D$4:$D$305,"客户应收",进销存对接!$C$4:$C$305,$A87)+SUMIFS(记账凭证!$I$4:$I$3609,记账凭证!$J$4:$J$3609,$A87,记账凭证!$E$4:$E$3609,"应付账款"),2))</f>
        <v/>
      </c>
      <c r="H87" s="70" t="str">
        <f aca="false">IF($A87="","",ROUND(SUMIFS(记账凭证!$H$4:$H$3609,记账凭证!$J$4:$J$3609,$A87,记账凭证!$E$4:$E$3609,"应付账款"),2))</f>
        <v/>
      </c>
      <c r="I87" s="70" t="str">
        <f aca="false">IF($A87="","",ROUND(N($F87)+$G87-$H87,2))</f>
        <v/>
      </c>
    </row>
    <row r="88" customFormat="false" ht="18" hidden="false" customHeight="true" outlineLevel="0" collapsed="false">
      <c r="A88" s="67" t="str">
        <f aca="false">IFERROR(INDEX(_自动清单!$E$4:$E$253,ROW()-23),"")</f>
        <v/>
      </c>
      <c r="B88" s="121"/>
      <c r="C88" s="70" t="str">
        <f aca="false">IF($A88="","",ROUND(SUMIFS(进销存对接!$G$4:$G$305,进销存对接!$D$4:$D$305,"客户应收",进销存对接!$C$4:$C$305,$A88),2))</f>
        <v/>
      </c>
      <c r="D88" s="70" t="str">
        <f aca="false">IF($A88="","",ROUND(SUMIFS(资金日记账!$H$4:$H$603,资金日记账!$E$4:$E$603,$A88,资金日记账!$K$4:$K$603,"应收账款"),2))</f>
        <v/>
      </c>
      <c r="E88" s="70" t="str">
        <f aca="false">IF($A88="","",ROUND(N($B88)+$C88-$D88,2))</f>
        <v/>
      </c>
      <c r="F88" s="121"/>
      <c r="G88" s="70" t="str">
        <f aca="false">IF($A88="","",ROUND(SUMIFS(进销存对接!$F$4:$F$305,进销存对接!$D$4:$D$305,"客户应收",进销存对接!$C$4:$C$305,$A88)+SUMIFS(记账凭证!$I$4:$I$3609,记账凭证!$J$4:$J$3609,$A88,记账凭证!$E$4:$E$3609,"应付账款"),2))</f>
        <v/>
      </c>
      <c r="H88" s="70" t="str">
        <f aca="false">IF($A88="","",ROUND(SUMIFS(记账凭证!$H$4:$H$3609,记账凭证!$J$4:$J$3609,$A88,记账凭证!$E$4:$E$3609,"应付账款"),2))</f>
        <v/>
      </c>
      <c r="I88" s="70" t="str">
        <f aca="false">IF($A88="","",ROUND(N($F88)+$G88-$H88,2))</f>
        <v/>
      </c>
    </row>
    <row r="89" customFormat="false" ht="18" hidden="false" customHeight="true" outlineLevel="0" collapsed="false">
      <c r="A89" s="67" t="str">
        <f aca="false">IFERROR(INDEX(_自动清单!$E$4:$E$253,ROW()-23),"")</f>
        <v/>
      </c>
      <c r="B89" s="121"/>
      <c r="C89" s="70" t="str">
        <f aca="false">IF($A89="","",ROUND(SUMIFS(进销存对接!$G$4:$G$305,进销存对接!$D$4:$D$305,"客户应收",进销存对接!$C$4:$C$305,$A89),2))</f>
        <v/>
      </c>
      <c r="D89" s="70" t="str">
        <f aca="false">IF($A89="","",ROUND(SUMIFS(资金日记账!$H$4:$H$603,资金日记账!$E$4:$E$603,$A89,资金日记账!$K$4:$K$603,"应收账款"),2))</f>
        <v/>
      </c>
      <c r="E89" s="70" t="str">
        <f aca="false">IF($A89="","",ROUND(N($B89)+$C89-$D89,2))</f>
        <v/>
      </c>
      <c r="F89" s="121"/>
      <c r="G89" s="70" t="str">
        <f aca="false">IF($A89="","",ROUND(SUMIFS(进销存对接!$F$4:$F$305,进销存对接!$D$4:$D$305,"客户应收",进销存对接!$C$4:$C$305,$A89)+SUMIFS(记账凭证!$I$4:$I$3609,记账凭证!$J$4:$J$3609,$A89,记账凭证!$E$4:$E$3609,"应付账款"),2))</f>
        <v/>
      </c>
      <c r="H89" s="70" t="str">
        <f aca="false">IF($A89="","",ROUND(SUMIFS(记账凭证!$H$4:$H$3609,记账凭证!$J$4:$J$3609,$A89,记账凭证!$E$4:$E$3609,"应付账款"),2))</f>
        <v/>
      </c>
      <c r="I89" s="70" t="str">
        <f aca="false">IF($A89="","",ROUND(N($F89)+$G89-$H89,2))</f>
        <v/>
      </c>
    </row>
    <row r="90" customFormat="false" ht="18" hidden="false" customHeight="true" outlineLevel="0" collapsed="false">
      <c r="A90" s="67" t="str">
        <f aca="false">IFERROR(INDEX(_自动清单!$E$4:$E$253,ROW()-23),"")</f>
        <v/>
      </c>
      <c r="B90" s="121"/>
      <c r="C90" s="70" t="str">
        <f aca="false">IF($A90="","",ROUND(SUMIFS(进销存对接!$G$4:$G$305,进销存对接!$D$4:$D$305,"客户应收",进销存对接!$C$4:$C$305,$A90),2))</f>
        <v/>
      </c>
      <c r="D90" s="70" t="str">
        <f aca="false">IF($A90="","",ROUND(SUMIFS(资金日记账!$H$4:$H$603,资金日记账!$E$4:$E$603,$A90,资金日记账!$K$4:$K$603,"应收账款"),2))</f>
        <v/>
      </c>
      <c r="E90" s="70" t="str">
        <f aca="false">IF($A90="","",ROUND(N($B90)+$C90-$D90,2))</f>
        <v/>
      </c>
      <c r="F90" s="121"/>
      <c r="G90" s="70" t="str">
        <f aca="false">IF($A90="","",ROUND(SUMIFS(进销存对接!$F$4:$F$305,进销存对接!$D$4:$D$305,"客户应收",进销存对接!$C$4:$C$305,$A90)+SUMIFS(记账凭证!$I$4:$I$3609,记账凭证!$J$4:$J$3609,$A90,记账凭证!$E$4:$E$3609,"应付账款"),2))</f>
        <v/>
      </c>
      <c r="H90" s="70" t="str">
        <f aca="false">IF($A90="","",ROUND(SUMIFS(记账凭证!$H$4:$H$3609,记账凭证!$J$4:$J$3609,$A90,记账凭证!$E$4:$E$3609,"应付账款"),2))</f>
        <v/>
      </c>
      <c r="I90" s="70" t="str">
        <f aca="false">IF($A90="","",ROUND(N($F90)+$G90-$H90,2))</f>
        <v/>
      </c>
    </row>
    <row r="91" customFormat="false" ht="18" hidden="false" customHeight="true" outlineLevel="0" collapsed="false">
      <c r="A91" s="67" t="str">
        <f aca="false">IFERROR(INDEX(_自动清单!$E$4:$E$253,ROW()-23),"")</f>
        <v/>
      </c>
      <c r="B91" s="121"/>
      <c r="C91" s="70" t="str">
        <f aca="false">IF($A91="","",ROUND(SUMIFS(进销存对接!$G$4:$G$305,进销存对接!$D$4:$D$305,"客户应收",进销存对接!$C$4:$C$305,$A91),2))</f>
        <v/>
      </c>
      <c r="D91" s="70" t="str">
        <f aca="false">IF($A91="","",ROUND(SUMIFS(资金日记账!$H$4:$H$603,资金日记账!$E$4:$E$603,$A91,资金日记账!$K$4:$K$603,"应收账款"),2))</f>
        <v/>
      </c>
      <c r="E91" s="70" t="str">
        <f aca="false">IF($A91="","",ROUND(N($B91)+$C91-$D91,2))</f>
        <v/>
      </c>
      <c r="F91" s="121"/>
      <c r="G91" s="70" t="str">
        <f aca="false">IF($A91="","",ROUND(SUMIFS(进销存对接!$F$4:$F$305,进销存对接!$D$4:$D$305,"客户应收",进销存对接!$C$4:$C$305,$A91)+SUMIFS(记账凭证!$I$4:$I$3609,记账凭证!$J$4:$J$3609,$A91,记账凭证!$E$4:$E$3609,"应付账款"),2))</f>
        <v/>
      </c>
      <c r="H91" s="70" t="str">
        <f aca="false">IF($A91="","",ROUND(SUMIFS(记账凭证!$H$4:$H$3609,记账凭证!$J$4:$J$3609,$A91,记账凭证!$E$4:$E$3609,"应付账款"),2))</f>
        <v/>
      </c>
      <c r="I91" s="70" t="str">
        <f aca="false">IF($A91="","",ROUND(N($F91)+$G91-$H91,2))</f>
        <v/>
      </c>
    </row>
    <row r="92" customFormat="false" ht="18" hidden="false" customHeight="true" outlineLevel="0" collapsed="false">
      <c r="A92" s="67" t="str">
        <f aca="false">IFERROR(INDEX(_自动清单!$E$4:$E$253,ROW()-23),"")</f>
        <v/>
      </c>
      <c r="B92" s="121"/>
      <c r="C92" s="70" t="str">
        <f aca="false">IF($A92="","",ROUND(SUMIFS(进销存对接!$G$4:$G$305,进销存对接!$D$4:$D$305,"客户应收",进销存对接!$C$4:$C$305,$A92),2))</f>
        <v/>
      </c>
      <c r="D92" s="70" t="str">
        <f aca="false">IF($A92="","",ROUND(SUMIFS(资金日记账!$H$4:$H$603,资金日记账!$E$4:$E$603,$A92,资金日记账!$K$4:$K$603,"应收账款"),2))</f>
        <v/>
      </c>
      <c r="E92" s="70" t="str">
        <f aca="false">IF($A92="","",ROUND(N($B92)+$C92-$D92,2))</f>
        <v/>
      </c>
      <c r="F92" s="121"/>
      <c r="G92" s="70" t="str">
        <f aca="false">IF($A92="","",ROUND(SUMIFS(进销存对接!$F$4:$F$305,进销存对接!$D$4:$D$305,"客户应收",进销存对接!$C$4:$C$305,$A92)+SUMIFS(记账凭证!$I$4:$I$3609,记账凭证!$J$4:$J$3609,$A92,记账凭证!$E$4:$E$3609,"应付账款"),2))</f>
        <v/>
      </c>
      <c r="H92" s="70" t="str">
        <f aca="false">IF($A92="","",ROUND(SUMIFS(记账凭证!$H$4:$H$3609,记账凭证!$J$4:$J$3609,$A92,记账凭证!$E$4:$E$3609,"应付账款"),2))</f>
        <v/>
      </c>
      <c r="I92" s="70" t="str">
        <f aca="false">IF($A92="","",ROUND(N($F92)+$G92-$H92,2))</f>
        <v/>
      </c>
    </row>
    <row r="93" customFormat="false" ht="18" hidden="false" customHeight="true" outlineLevel="0" collapsed="false">
      <c r="A93" s="67" t="str">
        <f aca="false">IFERROR(INDEX(_自动清单!$E$4:$E$253,ROW()-23),"")</f>
        <v/>
      </c>
      <c r="B93" s="121"/>
      <c r="C93" s="70" t="str">
        <f aca="false">IF($A93="","",ROUND(SUMIFS(进销存对接!$G$4:$G$305,进销存对接!$D$4:$D$305,"客户应收",进销存对接!$C$4:$C$305,$A93),2))</f>
        <v/>
      </c>
      <c r="D93" s="70" t="str">
        <f aca="false">IF($A93="","",ROUND(SUMIFS(资金日记账!$H$4:$H$603,资金日记账!$E$4:$E$603,$A93,资金日记账!$K$4:$K$603,"应收账款"),2))</f>
        <v/>
      </c>
      <c r="E93" s="70" t="str">
        <f aca="false">IF($A93="","",ROUND(N($B93)+$C93-$D93,2))</f>
        <v/>
      </c>
      <c r="F93" s="121"/>
      <c r="G93" s="70" t="str">
        <f aca="false">IF($A93="","",ROUND(SUMIFS(进销存对接!$F$4:$F$305,进销存对接!$D$4:$D$305,"客户应收",进销存对接!$C$4:$C$305,$A93)+SUMIFS(记账凭证!$I$4:$I$3609,记账凭证!$J$4:$J$3609,$A93,记账凭证!$E$4:$E$3609,"应付账款"),2))</f>
        <v/>
      </c>
      <c r="H93" s="70" t="str">
        <f aca="false">IF($A93="","",ROUND(SUMIFS(记账凭证!$H$4:$H$3609,记账凭证!$J$4:$J$3609,$A93,记账凭证!$E$4:$E$3609,"应付账款"),2))</f>
        <v/>
      </c>
      <c r="I93" s="70" t="str">
        <f aca="false">IF($A93="","",ROUND(N($F93)+$G93-$H93,2))</f>
        <v/>
      </c>
    </row>
    <row r="94" customFormat="false" ht="18" hidden="false" customHeight="true" outlineLevel="0" collapsed="false">
      <c r="A94" s="67" t="str">
        <f aca="false">IFERROR(INDEX(_自动清单!$E$4:$E$253,ROW()-23),"")</f>
        <v/>
      </c>
      <c r="B94" s="121"/>
      <c r="C94" s="70" t="str">
        <f aca="false">IF($A94="","",ROUND(SUMIFS(进销存对接!$G$4:$G$305,进销存对接!$D$4:$D$305,"客户应收",进销存对接!$C$4:$C$305,$A94),2))</f>
        <v/>
      </c>
      <c r="D94" s="70" t="str">
        <f aca="false">IF($A94="","",ROUND(SUMIFS(资金日记账!$H$4:$H$603,资金日记账!$E$4:$E$603,$A94,资金日记账!$K$4:$K$603,"应收账款"),2))</f>
        <v/>
      </c>
      <c r="E94" s="70" t="str">
        <f aca="false">IF($A94="","",ROUND(N($B94)+$C94-$D94,2))</f>
        <v/>
      </c>
      <c r="F94" s="121"/>
      <c r="G94" s="70" t="str">
        <f aca="false">IF($A94="","",ROUND(SUMIFS(进销存对接!$F$4:$F$305,进销存对接!$D$4:$D$305,"客户应收",进销存对接!$C$4:$C$305,$A94)+SUMIFS(记账凭证!$I$4:$I$3609,记账凭证!$J$4:$J$3609,$A94,记账凭证!$E$4:$E$3609,"应付账款"),2))</f>
        <v/>
      </c>
      <c r="H94" s="70" t="str">
        <f aca="false">IF($A94="","",ROUND(SUMIFS(记账凭证!$H$4:$H$3609,记账凭证!$J$4:$J$3609,$A94,记账凭证!$E$4:$E$3609,"应付账款"),2))</f>
        <v/>
      </c>
      <c r="I94" s="70" t="str">
        <f aca="false">IF($A94="","",ROUND(N($F94)+$G94-$H94,2))</f>
        <v/>
      </c>
    </row>
    <row r="95" customFormat="false" ht="18" hidden="false" customHeight="true" outlineLevel="0" collapsed="false">
      <c r="A95" s="67" t="str">
        <f aca="false">IFERROR(INDEX(_自动清单!$E$4:$E$253,ROW()-23),"")</f>
        <v/>
      </c>
      <c r="B95" s="121"/>
      <c r="C95" s="70" t="str">
        <f aca="false">IF($A95="","",ROUND(SUMIFS(进销存对接!$G$4:$G$305,进销存对接!$D$4:$D$305,"客户应收",进销存对接!$C$4:$C$305,$A95),2))</f>
        <v/>
      </c>
      <c r="D95" s="70" t="str">
        <f aca="false">IF($A95="","",ROUND(SUMIFS(资金日记账!$H$4:$H$603,资金日记账!$E$4:$E$603,$A95,资金日记账!$K$4:$K$603,"应收账款"),2))</f>
        <v/>
      </c>
      <c r="E95" s="70" t="str">
        <f aca="false">IF($A95="","",ROUND(N($B95)+$C95-$D95,2))</f>
        <v/>
      </c>
      <c r="F95" s="121"/>
      <c r="G95" s="70" t="str">
        <f aca="false">IF($A95="","",ROUND(SUMIFS(进销存对接!$F$4:$F$305,进销存对接!$D$4:$D$305,"客户应收",进销存对接!$C$4:$C$305,$A95)+SUMIFS(记账凭证!$I$4:$I$3609,记账凭证!$J$4:$J$3609,$A95,记账凭证!$E$4:$E$3609,"应付账款"),2))</f>
        <v/>
      </c>
      <c r="H95" s="70" t="str">
        <f aca="false">IF($A95="","",ROUND(SUMIFS(记账凭证!$H$4:$H$3609,记账凭证!$J$4:$J$3609,$A95,记账凭证!$E$4:$E$3609,"应付账款"),2))</f>
        <v/>
      </c>
      <c r="I95" s="70" t="str">
        <f aca="false">IF($A95="","",ROUND(N($F95)+$G95-$H95,2))</f>
        <v/>
      </c>
    </row>
    <row r="96" customFormat="false" ht="18" hidden="false" customHeight="true" outlineLevel="0" collapsed="false">
      <c r="A96" s="67" t="str">
        <f aca="false">IFERROR(INDEX(_自动清单!$E$4:$E$253,ROW()-23),"")</f>
        <v/>
      </c>
      <c r="B96" s="121"/>
      <c r="C96" s="70" t="str">
        <f aca="false">IF($A96="","",ROUND(SUMIFS(进销存对接!$G$4:$G$305,进销存对接!$D$4:$D$305,"客户应收",进销存对接!$C$4:$C$305,$A96),2))</f>
        <v/>
      </c>
      <c r="D96" s="70" t="str">
        <f aca="false">IF($A96="","",ROUND(SUMIFS(资金日记账!$H$4:$H$603,资金日记账!$E$4:$E$603,$A96,资金日记账!$K$4:$K$603,"应收账款"),2))</f>
        <v/>
      </c>
      <c r="E96" s="70" t="str">
        <f aca="false">IF($A96="","",ROUND(N($B96)+$C96-$D96,2))</f>
        <v/>
      </c>
      <c r="F96" s="121"/>
      <c r="G96" s="70" t="str">
        <f aca="false">IF($A96="","",ROUND(SUMIFS(进销存对接!$F$4:$F$305,进销存对接!$D$4:$D$305,"客户应收",进销存对接!$C$4:$C$305,$A96)+SUMIFS(记账凭证!$I$4:$I$3609,记账凭证!$J$4:$J$3609,$A96,记账凭证!$E$4:$E$3609,"应付账款"),2))</f>
        <v/>
      </c>
      <c r="H96" s="70" t="str">
        <f aca="false">IF($A96="","",ROUND(SUMIFS(记账凭证!$H$4:$H$3609,记账凭证!$J$4:$J$3609,$A96,记账凭证!$E$4:$E$3609,"应付账款"),2))</f>
        <v/>
      </c>
      <c r="I96" s="70" t="str">
        <f aca="false">IF($A96="","",ROUND(N($F96)+$G96-$H96,2))</f>
        <v/>
      </c>
    </row>
    <row r="97" customFormat="false" ht="18" hidden="false" customHeight="true" outlineLevel="0" collapsed="false">
      <c r="A97" s="67" t="str">
        <f aca="false">IFERROR(INDEX(_自动清单!$E$4:$E$253,ROW()-23),"")</f>
        <v/>
      </c>
      <c r="B97" s="121"/>
      <c r="C97" s="70" t="str">
        <f aca="false">IF($A97="","",ROUND(SUMIFS(进销存对接!$G$4:$G$305,进销存对接!$D$4:$D$305,"客户应收",进销存对接!$C$4:$C$305,$A97),2))</f>
        <v/>
      </c>
      <c r="D97" s="70" t="str">
        <f aca="false">IF($A97="","",ROUND(SUMIFS(资金日记账!$H$4:$H$603,资金日记账!$E$4:$E$603,$A97,资金日记账!$K$4:$K$603,"应收账款"),2))</f>
        <v/>
      </c>
      <c r="E97" s="70" t="str">
        <f aca="false">IF($A97="","",ROUND(N($B97)+$C97-$D97,2))</f>
        <v/>
      </c>
      <c r="F97" s="121"/>
      <c r="G97" s="70" t="str">
        <f aca="false">IF($A97="","",ROUND(SUMIFS(进销存对接!$F$4:$F$305,进销存对接!$D$4:$D$305,"客户应收",进销存对接!$C$4:$C$305,$A97)+SUMIFS(记账凭证!$I$4:$I$3609,记账凭证!$J$4:$J$3609,$A97,记账凭证!$E$4:$E$3609,"应付账款"),2))</f>
        <v/>
      </c>
      <c r="H97" s="70" t="str">
        <f aca="false">IF($A97="","",ROUND(SUMIFS(记账凭证!$H$4:$H$3609,记账凭证!$J$4:$J$3609,$A97,记账凭证!$E$4:$E$3609,"应付账款"),2))</f>
        <v/>
      </c>
      <c r="I97" s="70" t="str">
        <f aca="false">IF($A97="","",ROUND(N($F97)+$G97-$H97,2))</f>
        <v/>
      </c>
    </row>
    <row r="98" customFormat="false" ht="18" hidden="false" customHeight="true" outlineLevel="0" collapsed="false">
      <c r="A98" s="67" t="str">
        <f aca="false">IFERROR(INDEX(_自动清单!$E$4:$E$253,ROW()-23),"")</f>
        <v/>
      </c>
      <c r="B98" s="121"/>
      <c r="C98" s="70" t="str">
        <f aca="false">IF($A98="","",ROUND(SUMIFS(进销存对接!$G$4:$G$305,进销存对接!$D$4:$D$305,"客户应收",进销存对接!$C$4:$C$305,$A98),2))</f>
        <v/>
      </c>
      <c r="D98" s="70" t="str">
        <f aca="false">IF($A98="","",ROUND(SUMIFS(资金日记账!$H$4:$H$603,资金日记账!$E$4:$E$603,$A98,资金日记账!$K$4:$K$603,"应收账款"),2))</f>
        <v/>
      </c>
      <c r="E98" s="70" t="str">
        <f aca="false">IF($A98="","",ROUND(N($B98)+$C98-$D98,2))</f>
        <v/>
      </c>
      <c r="F98" s="121"/>
      <c r="G98" s="70" t="str">
        <f aca="false">IF($A98="","",ROUND(SUMIFS(进销存对接!$F$4:$F$305,进销存对接!$D$4:$D$305,"客户应收",进销存对接!$C$4:$C$305,$A98)+SUMIFS(记账凭证!$I$4:$I$3609,记账凭证!$J$4:$J$3609,$A98,记账凭证!$E$4:$E$3609,"应付账款"),2))</f>
        <v/>
      </c>
      <c r="H98" s="70" t="str">
        <f aca="false">IF($A98="","",ROUND(SUMIFS(记账凭证!$H$4:$H$3609,记账凭证!$J$4:$J$3609,$A98,记账凭证!$E$4:$E$3609,"应付账款"),2))</f>
        <v/>
      </c>
      <c r="I98" s="70" t="str">
        <f aca="false">IF($A98="","",ROUND(N($F98)+$G98-$H98,2))</f>
        <v/>
      </c>
    </row>
    <row r="99" customFormat="false" ht="18" hidden="false" customHeight="true" outlineLevel="0" collapsed="false">
      <c r="A99" s="67" t="str">
        <f aca="false">IFERROR(INDEX(_自动清单!$E$4:$E$253,ROW()-23),"")</f>
        <v/>
      </c>
      <c r="B99" s="121"/>
      <c r="C99" s="70" t="str">
        <f aca="false">IF($A99="","",ROUND(SUMIFS(进销存对接!$G$4:$G$305,进销存对接!$D$4:$D$305,"客户应收",进销存对接!$C$4:$C$305,$A99),2))</f>
        <v/>
      </c>
      <c r="D99" s="70" t="str">
        <f aca="false">IF($A99="","",ROUND(SUMIFS(资金日记账!$H$4:$H$603,资金日记账!$E$4:$E$603,$A99,资金日记账!$K$4:$K$603,"应收账款"),2))</f>
        <v/>
      </c>
      <c r="E99" s="70" t="str">
        <f aca="false">IF($A99="","",ROUND(N($B99)+$C99-$D99,2))</f>
        <v/>
      </c>
      <c r="F99" s="121"/>
      <c r="G99" s="70" t="str">
        <f aca="false">IF($A99="","",ROUND(SUMIFS(进销存对接!$F$4:$F$305,进销存对接!$D$4:$D$305,"客户应收",进销存对接!$C$4:$C$305,$A99)+SUMIFS(记账凭证!$I$4:$I$3609,记账凭证!$J$4:$J$3609,$A99,记账凭证!$E$4:$E$3609,"应付账款"),2))</f>
        <v/>
      </c>
      <c r="H99" s="70" t="str">
        <f aca="false">IF($A99="","",ROUND(SUMIFS(记账凭证!$H$4:$H$3609,记账凭证!$J$4:$J$3609,$A99,记账凭证!$E$4:$E$3609,"应付账款"),2))</f>
        <v/>
      </c>
      <c r="I99" s="70" t="str">
        <f aca="false">IF($A99="","",ROUND(N($F99)+$G99-$H99,2))</f>
        <v/>
      </c>
    </row>
    <row r="100" customFormat="false" ht="18" hidden="false" customHeight="true" outlineLevel="0" collapsed="false">
      <c r="A100" s="67" t="str">
        <f aca="false">IFERROR(INDEX(_自动清单!$E$4:$E$253,ROW()-23),"")</f>
        <v/>
      </c>
      <c r="B100" s="121"/>
      <c r="C100" s="70" t="str">
        <f aca="false">IF($A100="","",ROUND(SUMIFS(进销存对接!$G$4:$G$305,进销存对接!$D$4:$D$305,"客户应收",进销存对接!$C$4:$C$305,$A100),2))</f>
        <v/>
      </c>
      <c r="D100" s="70" t="str">
        <f aca="false">IF($A100="","",ROUND(SUMIFS(资金日记账!$H$4:$H$603,资金日记账!$E$4:$E$603,$A100,资金日记账!$K$4:$K$603,"应收账款"),2))</f>
        <v/>
      </c>
      <c r="E100" s="70" t="str">
        <f aca="false">IF($A100="","",ROUND(N($B100)+$C100-$D100,2))</f>
        <v/>
      </c>
      <c r="F100" s="121"/>
      <c r="G100" s="70" t="str">
        <f aca="false">IF($A100="","",ROUND(SUMIFS(进销存对接!$F$4:$F$305,进销存对接!$D$4:$D$305,"客户应收",进销存对接!$C$4:$C$305,$A100)+SUMIFS(记账凭证!$I$4:$I$3609,记账凭证!$J$4:$J$3609,$A100,记账凭证!$E$4:$E$3609,"应付账款"),2))</f>
        <v/>
      </c>
      <c r="H100" s="70" t="str">
        <f aca="false">IF($A100="","",ROUND(SUMIFS(记账凭证!$H$4:$H$3609,记账凭证!$J$4:$J$3609,$A100,记账凭证!$E$4:$E$3609,"应付账款"),2))</f>
        <v/>
      </c>
      <c r="I100" s="70" t="str">
        <f aca="false">IF($A100="","",ROUND(N($F100)+$G100-$H100,2))</f>
        <v/>
      </c>
    </row>
    <row r="101" customFormat="false" ht="18" hidden="false" customHeight="true" outlineLevel="0" collapsed="false">
      <c r="A101" s="67" t="str">
        <f aca="false">IFERROR(INDEX(_自动清单!$E$4:$E$253,ROW()-23),"")</f>
        <v/>
      </c>
      <c r="B101" s="121"/>
      <c r="C101" s="70" t="str">
        <f aca="false">IF($A101="","",ROUND(SUMIFS(进销存对接!$G$4:$G$305,进销存对接!$D$4:$D$305,"客户应收",进销存对接!$C$4:$C$305,$A101),2))</f>
        <v/>
      </c>
      <c r="D101" s="70" t="str">
        <f aca="false">IF($A101="","",ROUND(SUMIFS(资金日记账!$H$4:$H$603,资金日记账!$E$4:$E$603,$A101,资金日记账!$K$4:$K$603,"应收账款"),2))</f>
        <v/>
      </c>
      <c r="E101" s="70" t="str">
        <f aca="false">IF($A101="","",ROUND(N($B101)+$C101-$D101,2))</f>
        <v/>
      </c>
      <c r="F101" s="121"/>
      <c r="G101" s="70" t="str">
        <f aca="false">IF($A101="","",ROUND(SUMIFS(进销存对接!$F$4:$F$305,进销存对接!$D$4:$D$305,"客户应收",进销存对接!$C$4:$C$305,$A101)+SUMIFS(记账凭证!$I$4:$I$3609,记账凭证!$J$4:$J$3609,$A101,记账凭证!$E$4:$E$3609,"应付账款"),2))</f>
        <v/>
      </c>
      <c r="H101" s="70" t="str">
        <f aca="false">IF($A101="","",ROUND(SUMIFS(记账凭证!$H$4:$H$3609,记账凭证!$J$4:$J$3609,$A101,记账凭证!$E$4:$E$3609,"应付账款"),2))</f>
        <v/>
      </c>
      <c r="I101" s="70" t="str">
        <f aca="false">IF($A101="","",ROUND(N($F101)+$G101-$H101,2))</f>
        <v/>
      </c>
    </row>
    <row r="102" customFormat="false" ht="18" hidden="false" customHeight="true" outlineLevel="0" collapsed="false">
      <c r="A102" s="67" t="str">
        <f aca="false">IFERROR(INDEX(_自动清单!$E$4:$E$253,ROW()-23),"")</f>
        <v/>
      </c>
      <c r="B102" s="121"/>
      <c r="C102" s="70" t="str">
        <f aca="false">IF($A102="","",ROUND(SUMIFS(进销存对接!$G$4:$G$305,进销存对接!$D$4:$D$305,"客户应收",进销存对接!$C$4:$C$305,$A102),2))</f>
        <v/>
      </c>
      <c r="D102" s="70" t="str">
        <f aca="false">IF($A102="","",ROUND(SUMIFS(资金日记账!$H$4:$H$603,资金日记账!$E$4:$E$603,$A102,资金日记账!$K$4:$K$603,"应收账款"),2))</f>
        <v/>
      </c>
      <c r="E102" s="70" t="str">
        <f aca="false">IF($A102="","",ROUND(N($B102)+$C102-$D102,2))</f>
        <v/>
      </c>
      <c r="F102" s="121"/>
      <c r="G102" s="70" t="str">
        <f aca="false">IF($A102="","",ROUND(SUMIFS(进销存对接!$F$4:$F$305,进销存对接!$D$4:$D$305,"客户应收",进销存对接!$C$4:$C$305,$A102)+SUMIFS(记账凭证!$I$4:$I$3609,记账凭证!$J$4:$J$3609,$A102,记账凭证!$E$4:$E$3609,"应付账款"),2))</f>
        <v/>
      </c>
      <c r="H102" s="70" t="str">
        <f aca="false">IF($A102="","",ROUND(SUMIFS(记账凭证!$H$4:$H$3609,记账凭证!$J$4:$J$3609,$A102,记账凭证!$E$4:$E$3609,"应付账款"),2))</f>
        <v/>
      </c>
      <c r="I102" s="70" t="str">
        <f aca="false">IF($A102="","",ROUND(N($F102)+$G102-$H102,2))</f>
        <v/>
      </c>
    </row>
    <row r="103" customFormat="false" ht="18" hidden="false" customHeight="true" outlineLevel="0" collapsed="false">
      <c r="A103" s="67" t="str">
        <f aca="false">IFERROR(INDEX(_自动清单!$E$4:$E$253,ROW()-23),"")</f>
        <v/>
      </c>
      <c r="B103" s="121"/>
      <c r="C103" s="70" t="str">
        <f aca="false">IF($A103="","",ROUND(SUMIFS(进销存对接!$G$4:$G$305,进销存对接!$D$4:$D$305,"客户应收",进销存对接!$C$4:$C$305,$A103),2))</f>
        <v/>
      </c>
      <c r="D103" s="70" t="str">
        <f aca="false">IF($A103="","",ROUND(SUMIFS(资金日记账!$H$4:$H$603,资金日记账!$E$4:$E$603,$A103,资金日记账!$K$4:$K$603,"应收账款"),2))</f>
        <v/>
      </c>
      <c r="E103" s="70" t="str">
        <f aca="false">IF($A103="","",ROUND(N($B103)+$C103-$D103,2))</f>
        <v/>
      </c>
      <c r="F103" s="121"/>
      <c r="G103" s="70" t="str">
        <f aca="false">IF($A103="","",ROUND(SUMIFS(进销存对接!$F$4:$F$305,进销存对接!$D$4:$D$305,"客户应收",进销存对接!$C$4:$C$305,$A103)+SUMIFS(记账凭证!$I$4:$I$3609,记账凭证!$J$4:$J$3609,$A103,记账凭证!$E$4:$E$3609,"应付账款"),2))</f>
        <v/>
      </c>
      <c r="H103" s="70" t="str">
        <f aca="false">IF($A103="","",ROUND(SUMIFS(记账凭证!$H$4:$H$3609,记账凭证!$J$4:$J$3609,$A103,记账凭证!$E$4:$E$3609,"应付账款"),2))</f>
        <v/>
      </c>
      <c r="I103" s="70" t="str">
        <f aca="false">IF($A103="","",ROUND(N($F103)+$G103-$H103,2))</f>
        <v/>
      </c>
    </row>
    <row r="104" customFormat="false" ht="18" hidden="false" customHeight="true" outlineLevel="0" collapsed="false">
      <c r="A104" s="67" t="str">
        <f aca="false">IFERROR(INDEX(_自动清单!$E$4:$E$253,ROW()-23),"")</f>
        <v/>
      </c>
      <c r="B104" s="121"/>
      <c r="C104" s="70" t="str">
        <f aca="false">IF($A104="","",ROUND(SUMIFS(进销存对接!$G$4:$G$305,进销存对接!$D$4:$D$305,"客户应收",进销存对接!$C$4:$C$305,$A104),2))</f>
        <v/>
      </c>
      <c r="D104" s="70" t="str">
        <f aca="false">IF($A104="","",ROUND(SUMIFS(资金日记账!$H$4:$H$603,资金日记账!$E$4:$E$603,$A104,资金日记账!$K$4:$K$603,"应收账款"),2))</f>
        <v/>
      </c>
      <c r="E104" s="70" t="str">
        <f aca="false">IF($A104="","",ROUND(N($B104)+$C104-$D104,2))</f>
        <v/>
      </c>
      <c r="F104" s="121"/>
      <c r="G104" s="70" t="str">
        <f aca="false">IF($A104="","",ROUND(SUMIFS(进销存对接!$F$4:$F$305,进销存对接!$D$4:$D$305,"客户应收",进销存对接!$C$4:$C$305,$A104)+SUMIFS(记账凭证!$I$4:$I$3609,记账凭证!$J$4:$J$3609,$A104,记账凭证!$E$4:$E$3609,"应付账款"),2))</f>
        <v/>
      </c>
      <c r="H104" s="70" t="str">
        <f aca="false">IF($A104="","",ROUND(SUMIFS(记账凭证!$H$4:$H$3609,记账凭证!$J$4:$J$3609,$A104,记账凭证!$E$4:$E$3609,"应付账款"),2))</f>
        <v/>
      </c>
      <c r="I104" s="70" t="str">
        <f aca="false">IF($A104="","",ROUND(N($F104)+$G104-$H104,2))</f>
        <v/>
      </c>
    </row>
    <row r="105" customFormat="false" ht="18" hidden="false" customHeight="true" outlineLevel="0" collapsed="false">
      <c r="A105" s="67" t="str">
        <f aca="false">IFERROR(INDEX(_自动清单!$E$4:$E$253,ROW()-23),"")</f>
        <v/>
      </c>
      <c r="B105" s="121"/>
      <c r="C105" s="70" t="str">
        <f aca="false">IF($A105="","",ROUND(SUMIFS(进销存对接!$G$4:$G$305,进销存对接!$D$4:$D$305,"客户应收",进销存对接!$C$4:$C$305,$A105),2))</f>
        <v/>
      </c>
      <c r="D105" s="70" t="str">
        <f aca="false">IF($A105="","",ROUND(SUMIFS(资金日记账!$H$4:$H$603,资金日记账!$E$4:$E$603,$A105,资金日记账!$K$4:$K$603,"应收账款"),2))</f>
        <v/>
      </c>
      <c r="E105" s="70" t="str">
        <f aca="false">IF($A105="","",ROUND(N($B105)+$C105-$D105,2))</f>
        <v/>
      </c>
      <c r="F105" s="121"/>
      <c r="G105" s="70" t="str">
        <f aca="false">IF($A105="","",ROUND(SUMIFS(进销存对接!$F$4:$F$305,进销存对接!$D$4:$D$305,"客户应收",进销存对接!$C$4:$C$305,$A105)+SUMIFS(记账凭证!$I$4:$I$3609,记账凭证!$J$4:$J$3609,$A105,记账凭证!$E$4:$E$3609,"应付账款"),2))</f>
        <v/>
      </c>
      <c r="H105" s="70" t="str">
        <f aca="false">IF($A105="","",ROUND(SUMIFS(记账凭证!$H$4:$H$3609,记账凭证!$J$4:$J$3609,$A105,记账凭证!$E$4:$E$3609,"应付账款"),2))</f>
        <v/>
      </c>
      <c r="I105" s="70" t="str">
        <f aca="false">IF($A105="","",ROUND(N($F105)+$G105-$H105,2))</f>
        <v/>
      </c>
    </row>
    <row r="106" customFormat="false" ht="18" hidden="false" customHeight="true" outlineLevel="0" collapsed="false">
      <c r="A106" s="67" t="str">
        <f aca="false">IFERROR(INDEX(_自动清单!$E$4:$E$253,ROW()-23),"")</f>
        <v/>
      </c>
      <c r="B106" s="121"/>
      <c r="C106" s="70" t="str">
        <f aca="false">IF($A106="","",ROUND(SUMIFS(进销存对接!$G$4:$G$305,进销存对接!$D$4:$D$305,"客户应收",进销存对接!$C$4:$C$305,$A106),2))</f>
        <v/>
      </c>
      <c r="D106" s="70" t="str">
        <f aca="false">IF($A106="","",ROUND(SUMIFS(资金日记账!$H$4:$H$603,资金日记账!$E$4:$E$603,$A106,资金日记账!$K$4:$K$603,"应收账款"),2))</f>
        <v/>
      </c>
      <c r="E106" s="70" t="str">
        <f aca="false">IF($A106="","",ROUND(N($B106)+$C106-$D106,2))</f>
        <v/>
      </c>
      <c r="F106" s="121"/>
      <c r="G106" s="70" t="str">
        <f aca="false">IF($A106="","",ROUND(SUMIFS(进销存对接!$F$4:$F$305,进销存对接!$D$4:$D$305,"客户应收",进销存对接!$C$4:$C$305,$A106)+SUMIFS(记账凭证!$I$4:$I$3609,记账凭证!$J$4:$J$3609,$A106,记账凭证!$E$4:$E$3609,"应付账款"),2))</f>
        <v/>
      </c>
      <c r="H106" s="70" t="str">
        <f aca="false">IF($A106="","",ROUND(SUMIFS(记账凭证!$H$4:$H$3609,记账凭证!$J$4:$J$3609,$A106,记账凭证!$E$4:$E$3609,"应付账款"),2))</f>
        <v/>
      </c>
      <c r="I106" s="70" t="str">
        <f aca="false">IF($A106="","",ROUND(N($F106)+$G106-$H106,2))</f>
        <v/>
      </c>
    </row>
    <row r="107" customFormat="false" ht="18" hidden="false" customHeight="true" outlineLevel="0" collapsed="false">
      <c r="A107" s="67" t="str">
        <f aca="false">IFERROR(INDEX(_自动清单!$E$4:$E$253,ROW()-23),"")</f>
        <v/>
      </c>
      <c r="B107" s="121"/>
      <c r="C107" s="70" t="str">
        <f aca="false">IF($A107="","",ROUND(SUMIFS(进销存对接!$G$4:$G$305,进销存对接!$D$4:$D$305,"客户应收",进销存对接!$C$4:$C$305,$A107),2))</f>
        <v/>
      </c>
      <c r="D107" s="70" t="str">
        <f aca="false">IF($A107="","",ROUND(SUMIFS(资金日记账!$H$4:$H$603,资金日记账!$E$4:$E$603,$A107,资金日记账!$K$4:$K$603,"应收账款"),2))</f>
        <v/>
      </c>
      <c r="E107" s="70" t="str">
        <f aca="false">IF($A107="","",ROUND(N($B107)+$C107-$D107,2))</f>
        <v/>
      </c>
      <c r="F107" s="121"/>
      <c r="G107" s="70" t="str">
        <f aca="false">IF($A107="","",ROUND(SUMIFS(进销存对接!$F$4:$F$305,进销存对接!$D$4:$D$305,"客户应收",进销存对接!$C$4:$C$305,$A107)+SUMIFS(记账凭证!$I$4:$I$3609,记账凭证!$J$4:$J$3609,$A107,记账凭证!$E$4:$E$3609,"应付账款"),2))</f>
        <v/>
      </c>
      <c r="H107" s="70" t="str">
        <f aca="false">IF($A107="","",ROUND(SUMIFS(记账凭证!$H$4:$H$3609,记账凭证!$J$4:$J$3609,$A107,记账凭证!$E$4:$E$3609,"应付账款"),2))</f>
        <v/>
      </c>
      <c r="I107" s="70" t="str">
        <f aca="false">IF($A107="","",ROUND(N($F107)+$G107-$H107,2))</f>
        <v/>
      </c>
    </row>
    <row r="108" customFormat="false" ht="18" hidden="false" customHeight="true" outlineLevel="0" collapsed="false">
      <c r="A108" s="67" t="str">
        <f aca="false">IFERROR(INDEX(_自动清单!$E$4:$E$253,ROW()-23),"")</f>
        <v/>
      </c>
      <c r="B108" s="121"/>
      <c r="C108" s="70" t="str">
        <f aca="false">IF($A108="","",ROUND(SUMIFS(进销存对接!$G$4:$G$305,进销存对接!$D$4:$D$305,"客户应收",进销存对接!$C$4:$C$305,$A108),2))</f>
        <v/>
      </c>
      <c r="D108" s="70" t="str">
        <f aca="false">IF($A108="","",ROUND(SUMIFS(资金日记账!$H$4:$H$603,资金日记账!$E$4:$E$603,$A108,资金日记账!$K$4:$K$603,"应收账款"),2))</f>
        <v/>
      </c>
      <c r="E108" s="70" t="str">
        <f aca="false">IF($A108="","",ROUND(N($B108)+$C108-$D108,2))</f>
        <v/>
      </c>
      <c r="F108" s="121"/>
      <c r="G108" s="70" t="str">
        <f aca="false">IF($A108="","",ROUND(SUMIFS(进销存对接!$F$4:$F$305,进销存对接!$D$4:$D$305,"客户应收",进销存对接!$C$4:$C$305,$A108)+SUMIFS(记账凭证!$I$4:$I$3609,记账凭证!$J$4:$J$3609,$A108,记账凭证!$E$4:$E$3609,"应付账款"),2))</f>
        <v/>
      </c>
      <c r="H108" s="70" t="str">
        <f aca="false">IF($A108="","",ROUND(SUMIFS(记账凭证!$H$4:$H$3609,记账凭证!$J$4:$J$3609,$A108,记账凭证!$E$4:$E$3609,"应付账款"),2))</f>
        <v/>
      </c>
      <c r="I108" s="70" t="str">
        <f aca="false">IF($A108="","",ROUND(N($F108)+$G108-$H108,2))</f>
        <v/>
      </c>
    </row>
    <row r="109" customFormat="false" ht="18" hidden="false" customHeight="true" outlineLevel="0" collapsed="false">
      <c r="A109" s="67" t="str">
        <f aca="false">IFERROR(INDEX(_自动清单!$E$4:$E$253,ROW()-23),"")</f>
        <v/>
      </c>
      <c r="B109" s="121"/>
      <c r="C109" s="70" t="str">
        <f aca="false">IF($A109="","",ROUND(SUMIFS(进销存对接!$G$4:$G$305,进销存对接!$D$4:$D$305,"客户应收",进销存对接!$C$4:$C$305,$A109),2))</f>
        <v/>
      </c>
      <c r="D109" s="70" t="str">
        <f aca="false">IF($A109="","",ROUND(SUMIFS(资金日记账!$H$4:$H$603,资金日记账!$E$4:$E$603,$A109,资金日记账!$K$4:$K$603,"应收账款"),2))</f>
        <v/>
      </c>
      <c r="E109" s="70" t="str">
        <f aca="false">IF($A109="","",ROUND(N($B109)+$C109-$D109,2))</f>
        <v/>
      </c>
      <c r="F109" s="121"/>
      <c r="G109" s="70" t="str">
        <f aca="false">IF($A109="","",ROUND(SUMIFS(进销存对接!$F$4:$F$305,进销存对接!$D$4:$D$305,"客户应收",进销存对接!$C$4:$C$305,$A109)+SUMIFS(记账凭证!$I$4:$I$3609,记账凭证!$J$4:$J$3609,$A109,记账凭证!$E$4:$E$3609,"应付账款"),2))</f>
        <v/>
      </c>
      <c r="H109" s="70" t="str">
        <f aca="false">IF($A109="","",ROUND(SUMIFS(记账凭证!$H$4:$H$3609,记账凭证!$J$4:$J$3609,$A109,记账凭证!$E$4:$E$3609,"应付账款"),2))</f>
        <v/>
      </c>
      <c r="I109" s="70" t="str">
        <f aca="false">IF($A109="","",ROUND(N($F109)+$G109-$H109,2))</f>
        <v/>
      </c>
    </row>
    <row r="110" customFormat="false" ht="18" hidden="false" customHeight="true" outlineLevel="0" collapsed="false">
      <c r="A110" s="67" t="str">
        <f aca="false">IFERROR(INDEX(_自动清单!$E$4:$E$253,ROW()-23),"")</f>
        <v/>
      </c>
      <c r="B110" s="121"/>
      <c r="C110" s="70" t="str">
        <f aca="false">IF($A110="","",ROUND(SUMIFS(进销存对接!$G$4:$G$305,进销存对接!$D$4:$D$305,"客户应收",进销存对接!$C$4:$C$305,$A110),2))</f>
        <v/>
      </c>
      <c r="D110" s="70" t="str">
        <f aca="false">IF($A110="","",ROUND(SUMIFS(资金日记账!$H$4:$H$603,资金日记账!$E$4:$E$603,$A110,资金日记账!$K$4:$K$603,"应收账款"),2))</f>
        <v/>
      </c>
      <c r="E110" s="70" t="str">
        <f aca="false">IF($A110="","",ROUND(N($B110)+$C110-$D110,2))</f>
        <v/>
      </c>
      <c r="F110" s="121"/>
      <c r="G110" s="70" t="str">
        <f aca="false">IF($A110="","",ROUND(SUMIFS(进销存对接!$F$4:$F$305,进销存对接!$D$4:$D$305,"客户应收",进销存对接!$C$4:$C$305,$A110)+SUMIFS(记账凭证!$I$4:$I$3609,记账凭证!$J$4:$J$3609,$A110,记账凭证!$E$4:$E$3609,"应付账款"),2))</f>
        <v/>
      </c>
      <c r="H110" s="70" t="str">
        <f aca="false">IF($A110="","",ROUND(SUMIFS(记账凭证!$H$4:$H$3609,记账凭证!$J$4:$J$3609,$A110,记账凭证!$E$4:$E$3609,"应付账款"),2))</f>
        <v/>
      </c>
      <c r="I110" s="70" t="str">
        <f aca="false">IF($A110="","",ROUND(N($F110)+$G110-$H110,2))</f>
        <v/>
      </c>
    </row>
    <row r="111" customFormat="false" ht="18" hidden="false" customHeight="true" outlineLevel="0" collapsed="false">
      <c r="A111" s="67" t="str">
        <f aca="false">IFERROR(INDEX(_自动清单!$E$4:$E$253,ROW()-23),"")</f>
        <v/>
      </c>
      <c r="B111" s="121"/>
      <c r="C111" s="70" t="str">
        <f aca="false">IF($A111="","",ROUND(SUMIFS(进销存对接!$G$4:$G$305,进销存对接!$D$4:$D$305,"客户应收",进销存对接!$C$4:$C$305,$A111),2))</f>
        <v/>
      </c>
      <c r="D111" s="70" t="str">
        <f aca="false">IF($A111="","",ROUND(SUMIFS(资金日记账!$H$4:$H$603,资金日记账!$E$4:$E$603,$A111,资金日记账!$K$4:$K$603,"应收账款"),2))</f>
        <v/>
      </c>
      <c r="E111" s="70" t="str">
        <f aca="false">IF($A111="","",ROUND(N($B111)+$C111-$D111,2))</f>
        <v/>
      </c>
      <c r="F111" s="121"/>
      <c r="G111" s="70" t="str">
        <f aca="false">IF($A111="","",ROUND(SUMIFS(进销存对接!$F$4:$F$305,进销存对接!$D$4:$D$305,"客户应收",进销存对接!$C$4:$C$305,$A111)+SUMIFS(记账凭证!$I$4:$I$3609,记账凭证!$J$4:$J$3609,$A111,记账凭证!$E$4:$E$3609,"应付账款"),2))</f>
        <v/>
      </c>
      <c r="H111" s="70" t="str">
        <f aca="false">IF($A111="","",ROUND(SUMIFS(记账凭证!$H$4:$H$3609,记账凭证!$J$4:$J$3609,$A111,记账凭证!$E$4:$E$3609,"应付账款"),2))</f>
        <v/>
      </c>
      <c r="I111" s="70" t="str">
        <f aca="false">IF($A111="","",ROUND(N($F111)+$G111-$H111,2))</f>
        <v/>
      </c>
    </row>
    <row r="112" customFormat="false" ht="18" hidden="false" customHeight="true" outlineLevel="0" collapsed="false">
      <c r="A112" s="67" t="str">
        <f aca="false">IFERROR(INDEX(_自动清单!$E$4:$E$253,ROW()-23),"")</f>
        <v/>
      </c>
      <c r="B112" s="121"/>
      <c r="C112" s="70" t="str">
        <f aca="false">IF($A112="","",ROUND(SUMIFS(进销存对接!$G$4:$G$305,进销存对接!$D$4:$D$305,"客户应收",进销存对接!$C$4:$C$305,$A112),2))</f>
        <v/>
      </c>
      <c r="D112" s="70" t="str">
        <f aca="false">IF($A112="","",ROUND(SUMIFS(资金日记账!$H$4:$H$603,资金日记账!$E$4:$E$603,$A112,资金日记账!$K$4:$K$603,"应收账款"),2))</f>
        <v/>
      </c>
      <c r="E112" s="70" t="str">
        <f aca="false">IF($A112="","",ROUND(N($B112)+$C112-$D112,2))</f>
        <v/>
      </c>
      <c r="F112" s="121"/>
      <c r="G112" s="70" t="str">
        <f aca="false">IF($A112="","",ROUND(SUMIFS(进销存对接!$F$4:$F$305,进销存对接!$D$4:$D$305,"客户应收",进销存对接!$C$4:$C$305,$A112)+SUMIFS(记账凭证!$I$4:$I$3609,记账凭证!$J$4:$J$3609,$A112,记账凭证!$E$4:$E$3609,"应付账款"),2))</f>
        <v/>
      </c>
      <c r="H112" s="70" t="str">
        <f aca="false">IF($A112="","",ROUND(SUMIFS(记账凭证!$H$4:$H$3609,记账凭证!$J$4:$J$3609,$A112,记账凭证!$E$4:$E$3609,"应付账款"),2))</f>
        <v/>
      </c>
      <c r="I112" s="70" t="str">
        <f aca="false">IF($A112="","",ROUND(N($F112)+$G112-$H112,2))</f>
        <v/>
      </c>
    </row>
    <row r="113" customFormat="false" ht="18" hidden="false" customHeight="true" outlineLevel="0" collapsed="false">
      <c r="A113" s="67" t="str">
        <f aca="false">IFERROR(INDEX(_自动清单!$E$4:$E$253,ROW()-23),"")</f>
        <v/>
      </c>
      <c r="B113" s="121"/>
      <c r="C113" s="70" t="str">
        <f aca="false">IF($A113="","",ROUND(SUMIFS(进销存对接!$G$4:$G$305,进销存对接!$D$4:$D$305,"客户应收",进销存对接!$C$4:$C$305,$A113),2))</f>
        <v/>
      </c>
      <c r="D113" s="70" t="str">
        <f aca="false">IF($A113="","",ROUND(SUMIFS(资金日记账!$H$4:$H$603,资金日记账!$E$4:$E$603,$A113,资金日记账!$K$4:$K$603,"应收账款"),2))</f>
        <v/>
      </c>
      <c r="E113" s="70" t="str">
        <f aca="false">IF($A113="","",ROUND(N($B113)+$C113-$D113,2))</f>
        <v/>
      </c>
      <c r="F113" s="121"/>
      <c r="G113" s="70" t="str">
        <f aca="false">IF($A113="","",ROUND(SUMIFS(进销存对接!$F$4:$F$305,进销存对接!$D$4:$D$305,"客户应收",进销存对接!$C$4:$C$305,$A113)+SUMIFS(记账凭证!$I$4:$I$3609,记账凭证!$J$4:$J$3609,$A113,记账凭证!$E$4:$E$3609,"应付账款"),2))</f>
        <v/>
      </c>
      <c r="H113" s="70" t="str">
        <f aca="false">IF($A113="","",ROUND(SUMIFS(记账凭证!$H$4:$H$3609,记账凭证!$J$4:$J$3609,$A113,记账凭证!$E$4:$E$3609,"应付账款"),2))</f>
        <v/>
      </c>
      <c r="I113" s="70" t="str">
        <f aca="false">IF($A113="","",ROUND(N($F113)+$G113-$H113,2))</f>
        <v/>
      </c>
    </row>
    <row r="114" customFormat="false" ht="18" hidden="false" customHeight="true" outlineLevel="0" collapsed="false">
      <c r="A114" s="67" t="str">
        <f aca="false">IFERROR(INDEX(_自动清单!$E$4:$E$253,ROW()-23),"")</f>
        <v/>
      </c>
      <c r="B114" s="121"/>
      <c r="C114" s="70" t="str">
        <f aca="false">IF($A114="","",ROUND(SUMIFS(进销存对接!$G$4:$G$305,进销存对接!$D$4:$D$305,"客户应收",进销存对接!$C$4:$C$305,$A114),2))</f>
        <v/>
      </c>
      <c r="D114" s="70" t="str">
        <f aca="false">IF($A114="","",ROUND(SUMIFS(资金日记账!$H$4:$H$603,资金日记账!$E$4:$E$603,$A114,资金日记账!$K$4:$K$603,"应收账款"),2))</f>
        <v/>
      </c>
      <c r="E114" s="70" t="str">
        <f aca="false">IF($A114="","",ROUND(N($B114)+$C114-$D114,2))</f>
        <v/>
      </c>
      <c r="F114" s="121"/>
      <c r="G114" s="70" t="str">
        <f aca="false">IF($A114="","",ROUND(SUMIFS(进销存对接!$F$4:$F$305,进销存对接!$D$4:$D$305,"客户应收",进销存对接!$C$4:$C$305,$A114)+SUMIFS(记账凭证!$I$4:$I$3609,记账凭证!$J$4:$J$3609,$A114,记账凭证!$E$4:$E$3609,"应付账款"),2))</f>
        <v/>
      </c>
      <c r="H114" s="70" t="str">
        <f aca="false">IF($A114="","",ROUND(SUMIFS(记账凭证!$H$4:$H$3609,记账凭证!$J$4:$J$3609,$A114,记账凭证!$E$4:$E$3609,"应付账款"),2))</f>
        <v/>
      </c>
      <c r="I114" s="70" t="str">
        <f aca="false">IF($A114="","",ROUND(N($F114)+$G114-$H114,2))</f>
        <v/>
      </c>
    </row>
    <row r="115" customFormat="false" ht="18" hidden="false" customHeight="true" outlineLevel="0" collapsed="false">
      <c r="A115" s="67" t="str">
        <f aca="false">IFERROR(INDEX(_自动清单!$E$4:$E$253,ROW()-23),"")</f>
        <v/>
      </c>
      <c r="B115" s="121"/>
      <c r="C115" s="70" t="str">
        <f aca="false">IF($A115="","",ROUND(SUMIFS(进销存对接!$G$4:$G$305,进销存对接!$D$4:$D$305,"客户应收",进销存对接!$C$4:$C$305,$A115),2))</f>
        <v/>
      </c>
      <c r="D115" s="70" t="str">
        <f aca="false">IF($A115="","",ROUND(SUMIFS(资金日记账!$H$4:$H$603,资金日记账!$E$4:$E$603,$A115,资金日记账!$K$4:$K$603,"应收账款"),2))</f>
        <v/>
      </c>
      <c r="E115" s="70" t="str">
        <f aca="false">IF($A115="","",ROUND(N($B115)+$C115-$D115,2))</f>
        <v/>
      </c>
      <c r="F115" s="121"/>
      <c r="G115" s="70" t="str">
        <f aca="false">IF($A115="","",ROUND(SUMIFS(进销存对接!$F$4:$F$305,进销存对接!$D$4:$D$305,"客户应收",进销存对接!$C$4:$C$305,$A115)+SUMIFS(记账凭证!$I$4:$I$3609,记账凭证!$J$4:$J$3609,$A115,记账凭证!$E$4:$E$3609,"应付账款"),2))</f>
        <v/>
      </c>
      <c r="H115" s="70" t="str">
        <f aca="false">IF($A115="","",ROUND(SUMIFS(记账凭证!$H$4:$H$3609,记账凭证!$J$4:$J$3609,$A115,记账凭证!$E$4:$E$3609,"应付账款"),2))</f>
        <v/>
      </c>
      <c r="I115" s="70" t="str">
        <f aca="false">IF($A115="","",ROUND(N($F115)+$G115-$H115,2))</f>
        <v/>
      </c>
    </row>
    <row r="116" customFormat="false" ht="18" hidden="false" customHeight="true" outlineLevel="0" collapsed="false">
      <c r="A116" s="67" t="str">
        <f aca="false">IFERROR(INDEX(_自动清单!$E$4:$E$253,ROW()-23),"")</f>
        <v/>
      </c>
      <c r="B116" s="121"/>
      <c r="C116" s="70" t="str">
        <f aca="false">IF($A116="","",ROUND(SUMIFS(进销存对接!$G$4:$G$305,进销存对接!$D$4:$D$305,"客户应收",进销存对接!$C$4:$C$305,$A116),2))</f>
        <v/>
      </c>
      <c r="D116" s="70" t="str">
        <f aca="false">IF($A116="","",ROUND(SUMIFS(资金日记账!$H$4:$H$603,资金日记账!$E$4:$E$603,$A116,资金日记账!$K$4:$K$603,"应收账款"),2))</f>
        <v/>
      </c>
      <c r="E116" s="70" t="str">
        <f aca="false">IF($A116="","",ROUND(N($B116)+$C116-$D116,2))</f>
        <v/>
      </c>
      <c r="F116" s="121"/>
      <c r="G116" s="70" t="str">
        <f aca="false">IF($A116="","",ROUND(SUMIFS(进销存对接!$F$4:$F$305,进销存对接!$D$4:$D$305,"客户应收",进销存对接!$C$4:$C$305,$A116)+SUMIFS(记账凭证!$I$4:$I$3609,记账凭证!$J$4:$J$3609,$A116,记账凭证!$E$4:$E$3609,"应付账款"),2))</f>
        <v/>
      </c>
      <c r="H116" s="70" t="str">
        <f aca="false">IF($A116="","",ROUND(SUMIFS(记账凭证!$H$4:$H$3609,记账凭证!$J$4:$J$3609,$A116,记账凭证!$E$4:$E$3609,"应付账款"),2))</f>
        <v/>
      </c>
      <c r="I116" s="70" t="str">
        <f aca="false">IF($A116="","",ROUND(N($F116)+$G116-$H116,2))</f>
        <v/>
      </c>
    </row>
    <row r="117" customFormat="false" ht="18" hidden="false" customHeight="true" outlineLevel="0" collapsed="false">
      <c r="A117" s="67" t="str">
        <f aca="false">IFERROR(INDEX(_自动清单!$E$4:$E$253,ROW()-23),"")</f>
        <v/>
      </c>
      <c r="B117" s="121"/>
      <c r="C117" s="70" t="str">
        <f aca="false">IF($A117="","",ROUND(SUMIFS(进销存对接!$G$4:$G$305,进销存对接!$D$4:$D$305,"客户应收",进销存对接!$C$4:$C$305,$A117),2))</f>
        <v/>
      </c>
      <c r="D117" s="70" t="str">
        <f aca="false">IF($A117="","",ROUND(SUMIFS(资金日记账!$H$4:$H$603,资金日记账!$E$4:$E$603,$A117,资金日记账!$K$4:$K$603,"应收账款"),2))</f>
        <v/>
      </c>
      <c r="E117" s="70" t="str">
        <f aca="false">IF($A117="","",ROUND(N($B117)+$C117-$D117,2))</f>
        <v/>
      </c>
      <c r="F117" s="121"/>
      <c r="G117" s="70" t="str">
        <f aca="false">IF($A117="","",ROUND(SUMIFS(进销存对接!$F$4:$F$305,进销存对接!$D$4:$D$305,"客户应收",进销存对接!$C$4:$C$305,$A117)+SUMIFS(记账凭证!$I$4:$I$3609,记账凭证!$J$4:$J$3609,$A117,记账凭证!$E$4:$E$3609,"应付账款"),2))</f>
        <v/>
      </c>
      <c r="H117" s="70" t="str">
        <f aca="false">IF($A117="","",ROUND(SUMIFS(记账凭证!$H$4:$H$3609,记账凭证!$J$4:$J$3609,$A117,记账凭证!$E$4:$E$3609,"应付账款"),2))</f>
        <v/>
      </c>
      <c r="I117" s="70" t="str">
        <f aca="false">IF($A117="","",ROUND(N($F117)+$G117-$H117,2))</f>
        <v/>
      </c>
    </row>
    <row r="118" customFormat="false" ht="18" hidden="false" customHeight="true" outlineLevel="0" collapsed="false">
      <c r="A118" s="67" t="str">
        <f aca="false">IFERROR(INDEX(_自动清单!$E$4:$E$253,ROW()-23),"")</f>
        <v/>
      </c>
      <c r="B118" s="121"/>
      <c r="C118" s="70" t="str">
        <f aca="false">IF($A118="","",ROUND(SUMIFS(进销存对接!$G$4:$G$305,进销存对接!$D$4:$D$305,"客户应收",进销存对接!$C$4:$C$305,$A118),2))</f>
        <v/>
      </c>
      <c r="D118" s="70" t="str">
        <f aca="false">IF($A118="","",ROUND(SUMIFS(资金日记账!$H$4:$H$603,资金日记账!$E$4:$E$603,$A118,资金日记账!$K$4:$K$603,"应收账款"),2))</f>
        <v/>
      </c>
      <c r="E118" s="70" t="str">
        <f aca="false">IF($A118="","",ROUND(N($B118)+$C118-$D118,2))</f>
        <v/>
      </c>
      <c r="F118" s="121"/>
      <c r="G118" s="70" t="str">
        <f aca="false">IF($A118="","",ROUND(SUMIFS(进销存对接!$F$4:$F$305,进销存对接!$D$4:$D$305,"客户应收",进销存对接!$C$4:$C$305,$A118)+SUMIFS(记账凭证!$I$4:$I$3609,记账凭证!$J$4:$J$3609,$A118,记账凭证!$E$4:$E$3609,"应付账款"),2))</f>
        <v/>
      </c>
      <c r="H118" s="70" t="str">
        <f aca="false">IF($A118="","",ROUND(SUMIFS(记账凭证!$H$4:$H$3609,记账凭证!$J$4:$J$3609,$A118,记账凭证!$E$4:$E$3609,"应付账款"),2))</f>
        <v/>
      </c>
      <c r="I118" s="70" t="str">
        <f aca="false">IF($A118="","",ROUND(N($F118)+$G118-$H118,2))</f>
        <v/>
      </c>
    </row>
    <row r="119" customFormat="false" ht="18" hidden="false" customHeight="true" outlineLevel="0" collapsed="false">
      <c r="A119" s="67" t="str">
        <f aca="false">IFERROR(INDEX(_自动清单!$E$4:$E$253,ROW()-23),"")</f>
        <v/>
      </c>
      <c r="B119" s="121"/>
      <c r="C119" s="70" t="str">
        <f aca="false">IF($A119="","",ROUND(SUMIFS(进销存对接!$G$4:$G$305,进销存对接!$D$4:$D$305,"客户应收",进销存对接!$C$4:$C$305,$A119),2))</f>
        <v/>
      </c>
      <c r="D119" s="70" t="str">
        <f aca="false">IF($A119="","",ROUND(SUMIFS(资金日记账!$H$4:$H$603,资金日记账!$E$4:$E$603,$A119,资金日记账!$K$4:$K$603,"应收账款"),2))</f>
        <v/>
      </c>
      <c r="E119" s="70" t="str">
        <f aca="false">IF($A119="","",ROUND(N($B119)+$C119-$D119,2))</f>
        <v/>
      </c>
      <c r="F119" s="121"/>
      <c r="G119" s="70" t="str">
        <f aca="false">IF($A119="","",ROUND(SUMIFS(进销存对接!$F$4:$F$305,进销存对接!$D$4:$D$305,"客户应收",进销存对接!$C$4:$C$305,$A119)+SUMIFS(记账凭证!$I$4:$I$3609,记账凭证!$J$4:$J$3609,$A119,记账凭证!$E$4:$E$3609,"应付账款"),2))</f>
        <v/>
      </c>
      <c r="H119" s="70" t="str">
        <f aca="false">IF($A119="","",ROUND(SUMIFS(记账凭证!$H$4:$H$3609,记账凭证!$J$4:$J$3609,$A119,记账凭证!$E$4:$E$3609,"应付账款"),2))</f>
        <v/>
      </c>
      <c r="I119" s="70" t="str">
        <f aca="false">IF($A119="","",ROUND(N($F119)+$G119-$H119,2))</f>
        <v/>
      </c>
    </row>
    <row r="120" customFormat="false" ht="18" hidden="false" customHeight="true" outlineLevel="0" collapsed="false">
      <c r="A120" s="67" t="str">
        <f aca="false">IFERROR(INDEX(_自动清单!$E$4:$E$253,ROW()-23),"")</f>
        <v/>
      </c>
      <c r="B120" s="121"/>
      <c r="C120" s="70" t="str">
        <f aca="false">IF($A120="","",ROUND(SUMIFS(进销存对接!$G$4:$G$305,进销存对接!$D$4:$D$305,"客户应收",进销存对接!$C$4:$C$305,$A120),2))</f>
        <v/>
      </c>
      <c r="D120" s="70" t="str">
        <f aca="false">IF($A120="","",ROUND(SUMIFS(资金日记账!$H$4:$H$603,资金日记账!$E$4:$E$603,$A120,资金日记账!$K$4:$K$603,"应收账款"),2))</f>
        <v/>
      </c>
      <c r="E120" s="70" t="str">
        <f aca="false">IF($A120="","",ROUND(N($B120)+$C120-$D120,2))</f>
        <v/>
      </c>
      <c r="F120" s="121"/>
      <c r="G120" s="70" t="str">
        <f aca="false">IF($A120="","",ROUND(SUMIFS(进销存对接!$F$4:$F$305,进销存对接!$D$4:$D$305,"客户应收",进销存对接!$C$4:$C$305,$A120)+SUMIFS(记账凭证!$I$4:$I$3609,记账凭证!$J$4:$J$3609,$A120,记账凭证!$E$4:$E$3609,"应付账款"),2))</f>
        <v/>
      </c>
      <c r="H120" s="70" t="str">
        <f aca="false">IF($A120="","",ROUND(SUMIFS(记账凭证!$H$4:$H$3609,记账凭证!$J$4:$J$3609,$A120,记账凭证!$E$4:$E$3609,"应付账款"),2))</f>
        <v/>
      </c>
      <c r="I120" s="70" t="str">
        <f aca="false">IF($A120="","",ROUND(N($F120)+$G120-$H120,2))</f>
        <v/>
      </c>
    </row>
    <row r="121" customFormat="false" ht="18" hidden="false" customHeight="true" outlineLevel="0" collapsed="false">
      <c r="A121" s="67" t="str">
        <f aca="false">IFERROR(INDEX(_自动清单!$E$4:$E$253,ROW()-23),"")</f>
        <v/>
      </c>
      <c r="B121" s="121"/>
      <c r="C121" s="70" t="str">
        <f aca="false">IF($A121="","",ROUND(SUMIFS(进销存对接!$G$4:$G$305,进销存对接!$D$4:$D$305,"客户应收",进销存对接!$C$4:$C$305,$A121),2))</f>
        <v/>
      </c>
      <c r="D121" s="70" t="str">
        <f aca="false">IF($A121="","",ROUND(SUMIFS(资金日记账!$H$4:$H$603,资金日记账!$E$4:$E$603,$A121,资金日记账!$K$4:$K$603,"应收账款"),2))</f>
        <v/>
      </c>
      <c r="E121" s="70" t="str">
        <f aca="false">IF($A121="","",ROUND(N($B121)+$C121-$D121,2))</f>
        <v/>
      </c>
      <c r="F121" s="121"/>
      <c r="G121" s="70" t="str">
        <f aca="false">IF($A121="","",ROUND(SUMIFS(进销存对接!$F$4:$F$305,进销存对接!$D$4:$D$305,"客户应收",进销存对接!$C$4:$C$305,$A121)+SUMIFS(记账凭证!$I$4:$I$3609,记账凭证!$J$4:$J$3609,$A121,记账凭证!$E$4:$E$3609,"应付账款"),2))</f>
        <v/>
      </c>
      <c r="H121" s="70" t="str">
        <f aca="false">IF($A121="","",ROUND(SUMIFS(记账凭证!$H$4:$H$3609,记账凭证!$J$4:$J$3609,$A121,记账凭证!$E$4:$E$3609,"应付账款"),2))</f>
        <v/>
      </c>
      <c r="I121" s="70" t="str">
        <f aca="false">IF($A121="","",ROUND(N($F121)+$G121-$H121,2))</f>
        <v/>
      </c>
    </row>
    <row r="122" customFormat="false" ht="18" hidden="false" customHeight="true" outlineLevel="0" collapsed="false">
      <c r="A122" s="67" t="str">
        <f aca="false">IFERROR(INDEX(_自动清单!$E$4:$E$253,ROW()-23),"")</f>
        <v/>
      </c>
      <c r="B122" s="121"/>
      <c r="C122" s="70" t="str">
        <f aca="false">IF($A122="","",ROUND(SUMIFS(进销存对接!$G$4:$G$305,进销存对接!$D$4:$D$305,"客户应收",进销存对接!$C$4:$C$305,$A122),2))</f>
        <v/>
      </c>
      <c r="D122" s="70" t="str">
        <f aca="false">IF($A122="","",ROUND(SUMIFS(资金日记账!$H$4:$H$603,资金日记账!$E$4:$E$603,$A122,资金日记账!$K$4:$K$603,"应收账款"),2))</f>
        <v/>
      </c>
      <c r="E122" s="70" t="str">
        <f aca="false">IF($A122="","",ROUND(N($B122)+$C122-$D122,2))</f>
        <v/>
      </c>
      <c r="F122" s="121"/>
      <c r="G122" s="70" t="str">
        <f aca="false">IF($A122="","",ROUND(SUMIFS(进销存对接!$F$4:$F$305,进销存对接!$D$4:$D$305,"客户应收",进销存对接!$C$4:$C$305,$A122)+SUMIFS(记账凭证!$I$4:$I$3609,记账凭证!$J$4:$J$3609,$A122,记账凭证!$E$4:$E$3609,"应付账款"),2))</f>
        <v/>
      </c>
      <c r="H122" s="70" t="str">
        <f aca="false">IF($A122="","",ROUND(SUMIFS(记账凭证!$H$4:$H$3609,记账凭证!$J$4:$J$3609,$A122,记账凭证!$E$4:$E$3609,"应付账款"),2))</f>
        <v/>
      </c>
      <c r="I122" s="70" t="str">
        <f aca="false">IF($A122="","",ROUND(N($F122)+$G122-$H122,2))</f>
        <v/>
      </c>
    </row>
    <row r="123" customFormat="false" ht="18" hidden="false" customHeight="true" outlineLevel="0" collapsed="false">
      <c r="A123" s="67" t="str">
        <f aca="false">IFERROR(INDEX(_自动清单!$E$4:$E$253,ROW()-23),"")</f>
        <v/>
      </c>
      <c r="B123" s="121"/>
      <c r="C123" s="70" t="str">
        <f aca="false">IF($A123="","",ROUND(SUMIFS(进销存对接!$G$4:$G$305,进销存对接!$D$4:$D$305,"客户应收",进销存对接!$C$4:$C$305,$A123),2))</f>
        <v/>
      </c>
      <c r="D123" s="70" t="str">
        <f aca="false">IF($A123="","",ROUND(SUMIFS(资金日记账!$H$4:$H$603,资金日记账!$E$4:$E$603,$A123,资金日记账!$K$4:$K$603,"应收账款"),2))</f>
        <v/>
      </c>
      <c r="E123" s="70" t="str">
        <f aca="false">IF($A123="","",ROUND(N($B123)+$C123-$D123,2))</f>
        <v/>
      </c>
      <c r="F123" s="121"/>
      <c r="G123" s="70" t="str">
        <f aca="false">IF($A123="","",ROUND(SUMIFS(进销存对接!$F$4:$F$305,进销存对接!$D$4:$D$305,"客户应收",进销存对接!$C$4:$C$305,$A123)+SUMIFS(记账凭证!$I$4:$I$3609,记账凭证!$J$4:$J$3609,$A123,记账凭证!$E$4:$E$3609,"应付账款"),2))</f>
        <v/>
      </c>
      <c r="H123" s="70" t="str">
        <f aca="false">IF($A123="","",ROUND(SUMIFS(记账凭证!$H$4:$H$3609,记账凭证!$J$4:$J$3609,$A123,记账凭证!$E$4:$E$3609,"应付账款"),2))</f>
        <v/>
      </c>
      <c r="I123" s="70" t="str">
        <f aca="false">IF($A123="","",ROUND(N($F123)+$G123-$H123,2))</f>
        <v/>
      </c>
    </row>
    <row r="124" customFormat="false" ht="18" hidden="false" customHeight="true" outlineLevel="0" collapsed="false">
      <c r="A124" s="67" t="str">
        <f aca="false">IFERROR(INDEX(_自动清单!$E$4:$E$253,ROW()-23),"")</f>
        <v/>
      </c>
      <c r="B124" s="121"/>
      <c r="C124" s="70" t="str">
        <f aca="false">IF($A124="","",ROUND(SUMIFS(进销存对接!$G$4:$G$305,进销存对接!$D$4:$D$305,"客户应收",进销存对接!$C$4:$C$305,$A124),2))</f>
        <v/>
      </c>
      <c r="D124" s="70" t="str">
        <f aca="false">IF($A124="","",ROUND(SUMIFS(资金日记账!$H$4:$H$603,资金日记账!$E$4:$E$603,$A124,资金日记账!$K$4:$K$603,"应收账款"),2))</f>
        <v/>
      </c>
      <c r="E124" s="70" t="str">
        <f aca="false">IF($A124="","",ROUND(N($B124)+$C124-$D124,2))</f>
        <v/>
      </c>
      <c r="F124" s="121"/>
      <c r="G124" s="70" t="str">
        <f aca="false">IF($A124="","",ROUND(SUMIFS(进销存对接!$F$4:$F$305,进销存对接!$D$4:$D$305,"客户应收",进销存对接!$C$4:$C$305,$A124)+SUMIFS(记账凭证!$I$4:$I$3609,记账凭证!$J$4:$J$3609,$A124,记账凭证!$E$4:$E$3609,"应付账款"),2))</f>
        <v/>
      </c>
      <c r="H124" s="70" t="str">
        <f aca="false">IF($A124="","",ROUND(SUMIFS(记账凭证!$H$4:$H$3609,记账凭证!$J$4:$J$3609,$A124,记账凭证!$E$4:$E$3609,"应付账款"),2))</f>
        <v/>
      </c>
      <c r="I124" s="70" t="str">
        <f aca="false">IF($A124="","",ROUND(N($F124)+$G124-$H124,2))</f>
        <v/>
      </c>
    </row>
    <row r="125" customFormat="false" ht="18" hidden="false" customHeight="true" outlineLevel="0" collapsed="false">
      <c r="A125" s="67" t="str">
        <f aca="false">IFERROR(INDEX(_自动清单!$E$4:$E$253,ROW()-23),"")</f>
        <v/>
      </c>
      <c r="B125" s="121"/>
      <c r="C125" s="70" t="str">
        <f aca="false">IF($A125="","",ROUND(SUMIFS(进销存对接!$G$4:$G$305,进销存对接!$D$4:$D$305,"客户应收",进销存对接!$C$4:$C$305,$A125),2))</f>
        <v/>
      </c>
      <c r="D125" s="70" t="str">
        <f aca="false">IF($A125="","",ROUND(SUMIFS(资金日记账!$H$4:$H$603,资金日记账!$E$4:$E$603,$A125,资金日记账!$K$4:$K$603,"应收账款"),2))</f>
        <v/>
      </c>
      <c r="E125" s="70" t="str">
        <f aca="false">IF($A125="","",ROUND(N($B125)+$C125-$D125,2))</f>
        <v/>
      </c>
      <c r="F125" s="121"/>
      <c r="G125" s="70" t="str">
        <f aca="false">IF($A125="","",ROUND(SUMIFS(进销存对接!$F$4:$F$305,进销存对接!$D$4:$D$305,"客户应收",进销存对接!$C$4:$C$305,$A125)+SUMIFS(记账凭证!$I$4:$I$3609,记账凭证!$J$4:$J$3609,$A125,记账凭证!$E$4:$E$3609,"应付账款"),2))</f>
        <v/>
      </c>
      <c r="H125" s="70" t="str">
        <f aca="false">IF($A125="","",ROUND(SUMIFS(记账凭证!$H$4:$H$3609,记账凭证!$J$4:$J$3609,$A125,记账凭证!$E$4:$E$3609,"应付账款"),2))</f>
        <v/>
      </c>
      <c r="I125" s="70" t="str">
        <f aca="false">IF($A125="","",ROUND(N($F125)+$G125-$H125,2))</f>
        <v/>
      </c>
    </row>
    <row r="126" customFormat="false" ht="18" hidden="false" customHeight="true" outlineLevel="0" collapsed="false">
      <c r="A126" s="67" t="str">
        <f aca="false">IFERROR(INDEX(_自动清单!$E$4:$E$253,ROW()-23),"")</f>
        <v/>
      </c>
      <c r="B126" s="121"/>
      <c r="C126" s="70" t="str">
        <f aca="false">IF($A126="","",ROUND(SUMIFS(进销存对接!$G$4:$G$305,进销存对接!$D$4:$D$305,"客户应收",进销存对接!$C$4:$C$305,$A126),2))</f>
        <v/>
      </c>
      <c r="D126" s="70" t="str">
        <f aca="false">IF($A126="","",ROUND(SUMIFS(资金日记账!$H$4:$H$603,资金日记账!$E$4:$E$603,$A126,资金日记账!$K$4:$K$603,"应收账款"),2))</f>
        <v/>
      </c>
      <c r="E126" s="70" t="str">
        <f aca="false">IF($A126="","",ROUND(N($B126)+$C126-$D126,2))</f>
        <v/>
      </c>
      <c r="F126" s="121"/>
      <c r="G126" s="70" t="str">
        <f aca="false">IF($A126="","",ROUND(SUMIFS(进销存对接!$F$4:$F$305,进销存对接!$D$4:$D$305,"客户应收",进销存对接!$C$4:$C$305,$A126)+SUMIFS(记账凭证!$I$4:$I$3609,记账凭证!$J$4:$J$3609,$A126,记账凭证!$E$4:$E$3609,"应付账款"),2))</f>
        <v/>
      </c>
      <c r="H126" s="70" t="str">
        <f aca="false">IF($A126="","",ROUND(SUMIFS(记账凭证!$H$4:$H$3609,记账凭证!$J$4:$J$3609,$A126,记账凭证!$E$4:$E$3609,"应付账款"),2))</f>
        <v/>
      </c>
      <c r="I126" s="70" t="str">
        <f aca="false">IF($A126="","",ROUND(N($F126)+$G126-$H126,2))</f>
        <v/>
      </c>
    </row>
    <row r="127" customFormat="false" ht="18" hidden="false" customHeight="true" outlineLevel="0" collapsed="false">
      <c r="A127" s="67" t="str">
        <f aca="false">IFERROR(INDEX(_自动清单!$E$4:$E$253,ROW()-23),"")</f>
        <v/>
      </c>
      <c r="B127" s="121"/>
      <c r="C127" s="70" t="str">
        <f aca="false">IF($A127="","",ROUND(SUMIFS(进销存对接!$G$4:$G$305,进销存对接!$D$4:$D$305,"客户应收",进销存对接!$C$4:$C$305,$A127),2))</f>
        <v/>
      </c>
      <c r="D127" s="70" t="str">
        <f aca="false">IF($A127="","",ROUND(SUMIFS(资金日记账!$H$4:$H$603,资金日记账!$E$4:$E$603,$A127,资金日记账!$K$4:$K$603,"应收账款"),2))</f>
        <v/>
      </c>
      <c r="E127" s="70" t="str">
        <f aca="false">IF($A127="","",ROUND(N($B127)+$C127-$D127,2))</f>
        <v/>
      </c>
      <c r="F127" s="121"/>
      <c r="G127" s="70" t="str">
        <f aca="false">IF($A127="","",ROUND(SUMIFS(进销存对接!$F$4:$F$305,进销存对接!$D$4:$D$305,"客户应收",进销存对接!$C$4:$C$305,$A127)+SUMIFS(记账凭证!$I$4:$I$3609,记账凭证!$J$4:$J$3609,$A127,记账凭证!$E$4:$E$3609,"应付账款"),2))</f>
        <v/>
      </c>
      <c r="H127" s="70" t="str">
        <f aca="false">IF($A127="","",ROUND(SUMIFS(记账凭证!$H$4:$H$3609,记账凭证!$J$4:$J$3609,$A127,记账凭证!$E$4:$E$3609,"应付账款"),2))</f>
        <v/>
      </c>
      <c r="I127" s="70" t="str">
        <f aca="false">IF($A127="","",ROUND(N($F127)+$G127-$H127,2))</f>
        <v/>
      </c>
    </row>
    <row r="128" customFormat="false" ht="18" hidden="false" customHeight="true" outlineLevel="0" collapsed="false">
      <c r="A128" s="67" t="str">
        <f aca="false">IFERROR(INDEX(_自动清单!$E$4:$E$253,ROW()-23),"")</f>
        <v/>
      </c>
      <c r="B128" s="121"/>
      <c r="C128" s="70" t="str">
        <f aca="false">IF($A128="","",ROUND(SUMIFS(进销存对接!$G$4:$G$305,进销存对接!$D$4:$D$305,"客户应收",进销存对接!$C$4:$C$305,$A128),2))</f>
        <v/>
      </c>
      <c r="D128" s="70" t="str">
        <f aca="false">IF($A128="","",ROUND(SUMIFS(资金日记账!$H$4:$H$603,资金日记账!$E$4:$E$603,$A128,资金日记账!$K$4:$K$603,"应收账款"),2))</f>
        <v/>
      </c>
      <c r="E128" s="70" t="str">
        <f aca="false">IF($A128="","",ROUND(N($B128)+$C128-$D128,2))</f>
        <v/>
      </c>
      <c r="F128" s="121"/>
      <c r="G128" s="70" t="str">
        <f aca="false">IF($A128="","",ROUND(SUMIFS(进销存对接!$F$4:$F$305,进销存对接!$D$4:$D$305,"客户应收",进销存对接!$C$4:$C$305,$A128)+SUMIFS(记账凭证!$I$4:$I$3609,记账凭证!$J$4:$J$3609,$A128,记账凭证!$E$4:$E$3609,"应付账款"),2))</f>
        <v/>
      </c>
      <c r="H128" s="70" t="str">
        <f aca="false">IF($A128="","",ROUND(SUMIFS(记账凭证!$H$4:$H$3609,记账凭证!$J$4:$J$3609,$A128,记账凭证!$E$4:$E$3609,"应付账款"),2))</f>
        <v/>
      </c>
      <c r="I128" s="70" t="str">
        <f aca="false">IF($A128="","",ROUND(N($F128)+$G128-$H128,2))</f>
        <v/>
      </c>
    </row>
    <row r="129" customFormat="false" ht="18" hidden="false" customHeight="true" outlineLevel="0" collapsed="false">
      <c r="A129" s="67" t="str">
        <f aca="false">IFERROR(INDEX(_自动清单!$E$4:$E$253,ROW()-23),"")</f>
        <v/>
      </c>
      <c r="B129" s="121"/>
      <c r="C129" s="70" t="str">
        <f aca="false">IF($A129="","",ROUND(SUMIFS(进销存对接!$G$4:$G$305,进销存对接!$D$4:$D$305,"客户应收",进销存对接!$C$4:$C$305,$A129),2))</f>
        <v/>
      </c>
      <c r="D129" s="70" t="str">
        <f aca="false">IF($A129="","",ROUND(SUMIFS(资金日记账!$H$4:$H$603,资金日记账!$E$4:$E$603,$A129,资金日记账!$K$4:$K$603,"应收账款"),2))</f>
        <v/>
      </c>
      <c r="E129" s="70" t="str">
        <f aca="false">IF($A129="","",ROUND(N($B129)+$C129-$D129,2))</f>
        <v/>
      </c>
      <c r="F129" s="121"/>
      <c r="G129" s="70" t="str">
        <f aca="false">IF($A129="","",ROUND(SUMIFS(进销存对接!$F$4:$F$305,进销存对接!$D$4:$D$305,"客户应收",进销存对接!$C$4:$C$305,$A129)+SUMIFS(记账凭证!$I$4:$I$3609,记账凭证!$J$4:$J$3609,$A129,记账凭证!$E$4:$E$3609,"应付账款"),2))</f>
        <v/>
      </c>
      <c r="H129" s="70" t="str">
        <f aca="false">IF($A129="","",ROUND(SUMIFS(记账凭证!$H$4:$H$3609,记账凭证!$J$4:$J$3609,$A129,记账凭证!$E$4:$E$3609,"应付账款"),2))</f>
        <v/>
      </c>
      <c r="I129" s="70" t="str">
        <f aca="false">IF($A129="","",ROUND(N($F129)+$G129-$H129,2))</f>
        <v/>
      </c>
    </row>
    <row r="130" customFormat="false" ht="18" hidden="false" customHeight="true" outlineLevel="0" collapsed="false">
      <c r="A130" s="67" t="str">
        <f aca="false">IFERROR(INDEX(_自动清单!$E$4:$E$253,ROW()-23),"")</f>
        <v/>
      </c>
      <c r="B130" s="121"/>
      <c r="C130" s="70" t="str">
        <f aca="false">IF($A130="","",ROUND(SUMIFS(进销存对接!$G$4:$G$305,进销存对接!$D$4:$D$305,"客户应收",进销存对接!$C$4:$C$305,$A130),2))</f>
        <v/>
      </c>
      <c r="D130" s="70" t="str">
        <f aca="false">IF($A130="","",ROUND(SUMIFS(资金日记账!$H$4:$H$603,资金日记账!$E$4:$E$603,$A130,资金日记账!$K$4:$K$603,"应收账款"),2))</f>
        <v/>
      </c>
      <c r="E130" s="70" t="str">
        <f aca="false">IF($A130="","",ROUND(N($B130)+$C130-$D130,2))</f>
        <v/>
      </c>
      <c r="F130" s="121"/>
      <c r="G130" s="70" t="str">
        <f aca="false">IF($A130="","",ROUND(SUMIFS(进销存对接!$F$4:$F$305,进销存对接!$D$4:$D$305,"客户应收",进销存对接!$C$4:$C$305,$A130)+SUMIFS(记账凭证!$I$4:$I$3609,记账凭证!$J$4:$J$3609,$A130,记账凭证!$E$4:$E$3609,"应付账款"),2))</f>
        <v/>
      </c>
      <c r="H130" s="70" t="str">
        <f aca="false">IF($A130="","",ROUND(SUMIFS(记账凭证!$H$4:$H$3609,记账凭证!$J$4:$J$3609,$A130,记账凭证!$E$4:$E$3609,"应付账款"),2))</f>
        <v/>
      </c>
      <c r="I130" s="70" t="str">
        <f aca="false">IF($A130="","",ROUND(N($F130)+$G130-$H130,2))</f>
        <v/>
      </c>
    </row>
    <row r="131" customFormat="false" ht="18" hidden="false" customHeight="true" outlineLevel="0" collapsed="false">
      <c r="A131" s="67" t="str">
        <f aca="false">IFERROR(INDEX(_自动清单!$E$4:$E$253,ROW()-23),"")</f>
        <v/>
      </c>
      <c r="B131" s="121"/>
      <c r="C131" s="70" t="str">
        <f aca="false">IF($A131="","",ROUND(SUMIFS(进销存对接!$G$4:$G$305,进销存对接!$D$4:$D$305,"客户应收",进销存对接!$C$4:$C$305,$A131),2))</f>
        <v/>
      </c>
      <c r="D131" s="70" t="str">
        <f aca="false">IF($A131="","",ROUND(SUMIFS(资金日记账!$H$4:$H$603,资金日记账!$E$4:$E$603,$A131,资金日记账!$K$4:$K$603,"应收账款"),2))</f>
        <v/>
      </c>
      <c r="E131" s="70" t="str">
        <f aca="false">IF($A131="","",ROUND(N($B131)+$C131-$D131,2))</f>
        <v/>
      </c>
      <c r="F131" s="121"/>
      <c r="G131" s="70" t="str">
        <f aca="false">IF($A131="","",ROUND(SUMIFS(进销存对接!$F$4:$F$305,进销存对接!$D$4:$D$305,"客户应收",进销存对接!$C$4:$C$305,$A131)+SUMIFS(记账凭证!$I$4:$I$3609,记账凭证!$J$4:$J$3609,$A131,记账凭证!$E$4:$E$3609,"应付账款"),2))</f>
        <v/>
      </c>
      <c r="H131" s="70" t="str">
        <f aca="false">IF($A131="","",ROUND(SUMIFS(记账凭证!$H$4:$H$3609,记账凭证!$J$4:$J$3609,$A131,记账凭证!$E$4:$E$3609,"应付账款"),2))</f>
        <v/>
      </c>
      <c r="I131" s="70" t="str">
        <f aca="false">IF($A131="","",ROUND(N($F131)+$G131-$H131,2))</f>
        <v/>
      </c>
    </row>
    <row r="132" customFormat="false" ht="18" hidden="false" customHeight="true" outlineLevel="0" collapsed="false">
      <c r="A132" s="67" t="str">
        <f aca="false">IFERROR(INDEX(_自动清单!$E$4:$E$253,ROW()-23),"")</f>
        <v/>
      </c>
      <c r="B132" s="121"/>
      <c r="C132" s="70" t="str">
        <f aca="false">IF($A132="","",ROUND(SUMIFS(进销存对接!$G$4:$G$305,进销存对接!$D$4:$D$305,"客户应收",进销存对接!$C$4:$C$305,$A132),2))</f>
        <v/>
      </c>
      <c r="D132" s="70" t="str">
        <f aca="false">IF($A132="","",ROUND(SUMIFS(资金日记账!$H$4:$H$603,资金日记账!$E$4:$E$603,$A132,资金日记账!$K$4:$K$603,"应收账款"),2))</f>
        <v/>
      </c>
      <c r="E132" s="70" t="str">
        <f aca="false">IF($A132="","",ROUND(N($B132)+$C132-$D132,2))</f>
        <v/>
      </c>
      <c r="F132" s="121"/>
      <c r="G132" s="70" t="str">
        <f aca="false">IF($A132="","",ROUND(SUMIFS(进销存对接!$F$4:$F$305,进销存对接!$D$4:$D$305,"客户应收",进销存对接!$C$4:$C$305,$A132)+SUMIFS(记账凭证!$I$4:$I$3609,记账凭证!$J$4:$J$3609,$A132,记账凭证!$E$4:$E$3609,"应付账款"),2))</f>
        <v/>
      </c>
      <c r="H132" s="70" t="str">
        <f aca="false">IF($A132="","",ROUND(SUMIFS(记账凭证!$H$4:$H$3609,记账凭证!$J$4:$J$3609,$A132,记账凭证!$E$4:$E$3609,"应付账款"),2))</f>
        <v/>
      </c>
      <c r="I132" s="70" t="str">
        <f aca="false">IF($A132="","",ROUND(N($F132)+$G132-$H132,2))</f>
        <v/>
      </c>
    </row>
    <row r="133" customFormat="false" ht="18" hidden="false" customHeight="true" outlineLevel="0" collapsed="false">
      <c r="A133" s="67" t="str">
        <f aca="false">IFERROR(INDEX(_自动清单!$E$4:$E$253,ROW()-23),"")</f>
        <v/>
      </c>
      <c r="B133" s="121"/>
      <c r="C133" s="70" t="str">
        <f aca="false">IF($A133="","",ROUND(SUMIFS(进销存对接!$G$4:$G$305,进销存对接!$D$4:$D$305,"客户应收",进销存对接!$C$4:$C$305,$A133),2))</f>
        <v/>
      </c>
      <c r="D133" s="70" t="str">
        <f aca="false">IF($A133="","",ROUND(SUMIFS(资金日记账!$H$4:$H$603,资金日记账!$E$4:$E$603,$A133,资金日记账!$K$4:$K$603,"应收账款"),2))</f>
        <v/>
      </c>
      <c r="E133" s="70" t="str">
        <f aca="false">IF($A133="","",ROUND(N($B133)+$C133-$D133,2))</f>
        <v/>
      </c>
      <c r="F133" s="121"/>
      <c r="G133" s="70" t="str">
        <f aca="false">IF($A133="","",ROUND(SUMIFS(进销存对接!$F$4:$F$305,进销存对接!$D$4:$D$305,"客户应收",进销存对接!$C$4:$C$305,$A133)+SUMIFS(记账凭证!$I$4:$I$3609,记账凭证!$J$4:$J$3609,$A133,记账凭证!$E$4:$E$3609,"应付账款"),2))</f>
        <v/>
      </c>
      <c r="H133" s="70" t="str">
        <f aca="false">IF($A133="","",ROUND(SUMIFS(记账凭证!$H$4:$H$3609,记账凭证!$J$4:$J$3609,$A133,记账凭证!$E$4:$E$3609,"应付账款"),2))</f>
        <v/>
      </c>
      <c r="I133" s="70" t="str">
        <f aca="false">IF($A133="","",ROUND(N($F133)+$G133-$H133,2))</f>
        <v/>
      </c>
    </row>
    <row r="134" customFormat="false" ht="18" hidden="false" customHeight="true" outlineLevel="0" collapsed="false">
      <c r="A134" s="72" t="s">
        <v>229</v>
      </c>
      <c r="B134" s="73" t="n">
        <f aca="false">ROUND(SUM(B24:B133),2)</f>
        <v>0</v>
      </c>
      <c r="C134" s="73" t="n">
        <f aca="false">ROUND(SUM(C24:C133),2)</f>
        <v>0</v>
      </c>
      <c r="D134" s="73" t="n">
        <f aca="false">ROUND(SUM(D24:D133),2)</f>
        <v>836</v>
      </c>
      <c r="E134" s="73" t="n">
        <f aca="false">ROUND(SUM(E24:E133),2)</f>
        <v>-836</v>
      </c>
      <c r="F134" s="73" t="n">
        <f aca="false">ROUND(SUM(F24:F133),2)</f>
        <v>0</v>
      </c>
      <c r="G134" s="73" t="n">
        <f aca="false">ROUND(SUM(G24:G133),2)</f>
        <v>0</v>
      </c>
      <c r="H134" s="73" t="n">
        <f aca="false">ROUND(SUM(H24:H133),2)</f>
        <v>0</v>
      </c>
      <c r="I134" s="73" t="n">
        <f aca="false">ROUND(SUM(I24:I133),2)</f>
        <v>0</v>
      </c>
    </row>
    <row r="135" customFormat="false" ht="18" hidden="false" customHeight="true" outlineLevel="0" collapsed="false">
      <c r="A135" s="67"/>
      <c r="B135" s="121"/>
      <c r="C135" s="70"/>
      <c r="D135" s="70"/>
      <c r="E135" s="70"/>
      <c r="F135" s="121"/>
      <c r="G135" s="70"/>
      <c r="H135" s="70"/>
      <c r="I135" s="70"/>
    </row>
    <row r="136" customFormat="false" ht="18" hidden="false" customHeight="true" outlineLevel="0" collapsed="false">
      <c r="A136" s="67"/>
      <c r="B136" s="121"/>
      <c r="C136" s="70"/>
      <c r="D136" s="70"/>
      <c r="E136" s="70"/>
      <c r="F136" s="121"/>
      <c r="G136" s="70"/>
      <c r="H136" s="70"/>
      <c r="I136" s="70"/>
    </row>
    <row r="137" customFormat="false" ht="18" hidden="false" customHeight="true" outlineLevel="0" collapsed="false">
      <c r="A137" s="67"/>
      <c r="B137" s="121"/>
      <c r="C137" s="70"/>
      <c r="D137" s="70"/>
      <c r="E137" s="70"/>
      <c r="F137" s="121"/>
      <c r="G137" s="70"/>
      <c r="H137" s="70"/>
      <c r="I137" s="70"/>
    </row>
    <row r="138" customFormat="false" ht="18" hidden="false" customHeight="true" outlineLevel="0" collapsed="false">
      <c r="A138" s="67"/>
      <c r="B138" s="121"/>
      <c r="C138" s="70"/>
      <c r="D138" s="70"/>
      <c r="E138" s="70"/>
      <c r="F138" s="121"/>
      <c r="G138" s="70"/>
      <c r="H138" s="70"/>
      <c r="I138" s="70"/>
    </row>
    <row r="139" customFormat="false" ht="18" hidden="false" customHeight="true" outlineLevel="0" collapsed="false">
      <c r="A139" s="67"/>
      <c r="B139" s="121"/>
      <c r="C139" s="70"/>
      <c r="D139" s="70"/>
      <c r="E139" s="70"/>
      <c r="F139" s="121"/>
      <c r="G139" s="70"/>
      <c r="H139" s="70"/>
      <c r="I139" s="70"/>
    </row>
  </sheetData>
  <mergeCells count="4">
    <mergeCell ref="A1:I1"/>
    <mergeCell ref="A2:I2"/>
    <mergeCell ref="A3:I3"/>
    <mergeCell ref="A22:I22"/>
  </mergeCells>
  <conditionalFormatting sqref="A2">
    <cfRule type="expression" priority="2" aboveAverage="0" equalAverage="0" bottom="0" percent="0" rank="0" text="" dxfId="0">
      <formula>(N(_自动清单!$A$1)&gt;110)</formula>
    </cfRule>
    <cfRule type="expression" priority="3" aboveAverage="0" equalAverage="0" bottom="0" percent="0" rank="0" text="" dxfId="0">
      <formula>OR(N(对接源_01水果!$T$1)+N(对接源_02物料!$T$1)=0,N(对接源_01水果!$T$4)*N(对接源_02物料!$T$4)=0)</formula>
    </cfRule>
  </conditionalFormatting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205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I26" activeCellId="0" sqref="I26"/>
    </sheetView>
  </sheetViews>
  <sheetFormatPr defaultColWidth="9" defaultRowHeight="13.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31" t="s">
        <v>798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customFormat="false" ht="18" hidden="false" customHeight="true" outlineLevel="0" collapsed="false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customFormat="false" ht="19.5" hidden="false" customHeight="true" outlineLevel="0" collapsed="false">
      <c r="A3" s="13" t="s">
        <v>799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customFormat="false" ht="30" hidden="false" customHeight="true" outlineLevel="0" collapsed="false">
      <c r="A4" s="37" t="s">
        <v>3</v>
      </c>
      <c r="B4" s="37" t="s">
        <v>431</v>
      </c>
      <c r="C4" s="37" t="s">
        <v>791</v>
      </c>
      <c r="D4" s="37" t="s">
        <v>792</v>
      </c>
      <c r="E4" s="37" t="s">
        <v>793</v>
      </c>
      <c r="F4" s="37" t="s">
        <v>794</v>
      </c>
      <c r="G4" s="37" t="s">
        <v>795</v>
      </c>
      <c r="H4" s="37" t="s">
        <v>796</v>
      </c>
      <c r="I4" s="37" t="s">
        <v>797</v>
      </c>
      <c r="J4" s="37" t="s">
        <v>771</v>
      </c>
      <c r="K4" s="37" t="s">
        <v>800</v>
      </c>
      <c r="L4" s="37" t="s">
        <v>165</v>
      </c>
      <c r="M4" s="37" t="s">
        <v>174</v>
      </c>
    </row>
    <row r="5" customFormat="false" ht="13.5" hidden="false" customHeight="false" outlineLevel="0" collapsed="false">
      <c r="A5" s="40" t="n">
        <f aca="false">IF($B5="","",ROW()-4)</f>
        <v>1</v>
      </c>
      <c r="B5" s="33" t="str">
        <f aca="false">IFERROR(INDEX(_自动清单!$E$4:$E$253,ROW()-4),"")</f>
        <v>王照雪</v>
      </c>
      <c r="C5" s="123"/>
      <c r="D5" s="70" t="n">
        <f aca="false">IF($B5="","",ROUND(SUMIFS(进销存对接!$G$4:$G$305,进销存对接!$I$4:$I$305,"客户往来",进销存对接!$C$4:$C$305,$B5),2))</f>
        <v>-40</v>
      </c>
      <c r="E5" s="70" t="n">
        <f aca="false">IF($B5="","",ROUND(SUMIFS(资金日记账!$H$4:$H$603,资金日记账!$E$4:$E$603,$B5,资金日记账!$K$4:$K$603,"应收账款"),2))</f>
        <v>0</v>
      </c>
      <c r="F5" s="70" t="n">
        <f aca="false">IF($B5="","",ROUND(N($C5)+N($D5)-N($E5),2))</f>
        <v>-40</v>
      </c>
      <c r="G5" s="123"/>
      <c r="H5" s="70" t="n">
        <f aca="false">IF($B5="","",ROUND(SUMIFS(进销存对接!$F$4:$F$305,进销存对接!$I$4:$I$305,"客户往来",进销存对接!$C$4:$C$305,$B5)+SUMIFS(记账凭证!$I$4:$I$3609,记账凭证!$J$4:$J$3609,$B5,记账凭证!$E$4:$E$3609,"应付账款"),2))</f>
        <v>40</v>
      </c>
      <c r="I5" s="70" t="n">
        <f aca="false">IF($B5="","",ROUND(SUMIFS(记账凭证!$H$4:$H$3609,记账凭证!$J$4:$J$3609,$B5,记账凭证!$E$4:$E$3609,"应付账款"),2))</f>
        <v>0</v>
      </c>
      <c r="J5" s="70" t="n">
        <f aca="false">IF($B5="","",ROUND(N($G5)+N($H5)-N($I5),2))</f>
        <v>40</v>
      </c>
      <c r="K5" s="70" t="n">
        <f aca="false">IF($B5="","",ROUND(N($F5)-N($J5),2))</f>
        <v>-80</v>
      </c>
      <c r="L5" s="40" t="str">
        <f aca="false">IF($B5="","",IF(ROUND(N($K5),2)&gt;0,"对方欠款",IF(ROUND(N($K5),2)&lt;0,"我方欠款","已两清")))</f>
        <v>我方欠款</v>
      </c>
      <c r="M5" s="124"/>
    </row>
    <row r="6" customFormat="false" ht="13.5" hidden="false" customHeight="false" outlineLevel="0" collapsed="false">
      <c r="A6" s="40" t="n">
        <f aca="false">IF($B6="","",ROW()-4)</f>
        <v>2</v>
      </c>
      <c r="B6" s="33" t="str">
        <f aca="false">IFERROR(INDEX(_自动清单!$E$4:$E$253,ROW()-4),"")</f>
        <v>麦麦提</v>
      </c>
      <c r="C6" s="123"/>
      <c r="D6" s="70" t="n">
        <f aca="false">IF($B6="","",ROUND(SUMIFS(进销存对接!$G$4:$G$305,进销存对接!$I$4:$I$305,"客户往来",进销存对接!$C$4:$C$305,$B6),2))</f>
        <v>-60</v>
      </c>
      <c r="E6" s="70" t="n">
        <f aca="false">IF($B6="","",ROUND(SUMIFS(资金日记账!$H$4:$H$603,资金日记账!$E$4:$E$603,$B6,资金日记账!$K$4:$K$603,"应收账款"),2))</f>
        <v>0</v>
      </c>
      <c r="F6" s="70" t="n">
        <f aca="false">IF($B6="","",ROUND(N($C6)+N($D6)-N($E6),2))</f>
        <v>-60</v>
      </c>
      <c r="G6" s="123"/>
      <c r="H6" s="70" t="n">
        <f aca="false">IF($B6="","",ROUND(SUMIFS(进销存对接!$F$4:$F$305,进销存对接!$I$4:$I$305,"客户往来",进销存对接!$C$4:$C$305,$B6)+SUMIFS(记账凭证!$I$4:$I$3609,记账凭证!$J$4:$J$3609,$B6,记账凭证!$E$4:$E$3609,"应付账款"),2))</f>
        <v>60</v>
      </c>
      <c r="I6" s="70" t="n">
        <f aca="false">IF($B6="","",ROUND(SUMIFS(记账凭证!$H$4:$H$3609,记账凭证!$J$4:$J$3609,$B6,记账凭证!$E$4:$E$3609,"应付账款"),2))</f>
        <v>0</v>
      </c>
      <c r="J6" s="70" t="n">
        <f aca="false">IF($B6="","",ROUND(N($G6)+N($H6)-N($I6),2))</f>
        <v>60</v>
      </c>
      <c r="K6" s="70" t="n">
        <f aca="false">IF($B6="","",ROUND(N($F6)-N($J6),2))</f>
        <v>-120</v>
      </c>
      <c r="L6" s="40" t="str">
        <f aca="false">IF($B6="","",IF(ROUND(N($K6),2)&gt;0,"对方欠款",IF(ROUND(N($K6),2)&lt;0,"我方欠款","已两清")))</f>
        <v>我方欠款</v>
      </c>
      <c r="M6" s="124"/>
    </row>
    <row r="7" customFormat="false" ht="13.5" hidden="false" customHeight="false" outlineLevel="0" collapsed="false">
      <c r="A7" s="40" t="n">
        <f aca="false">IF($B7="","",ROW()-4)</f>
        <v>3</v>
      </c>
      <c r="B7" s="33" t="str">
        <f aca="false">IFERROR(INDEX(_自动清单!$E$4:$E$253,ROW()-4),"")</f>
        <v>热合曼</v>
      </c>
      <c r="C7" s="123"/>
      <c r="D7" s="70" t="n">
        <f aca="false">IF($B7="","",ROUND(SUMIFS(进销存对接!$G$4:$G$305,进销存对接!$I$4:$I$305,"客户往来",进销存对接!$C$4:$C$305,$B7),2))</f>
        <v>-90</v>
      </c>
      <c r="E7" s="70" t="n">
        <f aca="false">IF($B7="","",ROUND(SUMIFS(资金日记账!$H$4:$H$603,资金日记账!$E$4:$E$603,$B7,资金日记账!$K$4:$K$603,"应收账款"),2))</f>
        <v>0</v>
      </c>
      <c r="F7" s="70" t="n">
        <f aca="false">IF($B7="","",ROUND(N($C7)+N($D7)-N($E7),2))</f>
        <v>-90</v>
      </c>
      <c r="G7" s="123"/>
      <c r="H7" s="70" t="n">
        <f aca="false">IF($B7="","",ROUND(SUMIFS(进销存对接!$F$4:$F$305,进销存对接!$I$4:$I$305,"客户往来",进销存对接!$C$4:$C$305,$B7)+SUMIFS(记账凭证!$I$4:$I$3609,记账凭证!$J$4:$J$3609,$B7,记账凭证!$E$4:$E$3609,"应付账款"),2))</f>
        <v>90</v>
      </c>
      <c r="I7" s="70" t="n">
        <f aca="false">IF($B7="","",ROUND(SUMIFS(记账凭证!$H$4:$H$3609,记账凭证!$J$4:$J$3609,$B7,记账凭证!$E$4:$E$3609,"应付账款"),2))</f>
        <v>0</v>
      </c>
      <c r="J7" s="70" t="n">
        <f aca="false">IF($B7="","",ROUND(N($G7)+N($H7)-N($I7),2))</f>
        <v>90</v>
      </c>
      <c r="K7" s="70" t="n">
        <f aca="false">IF($B7="","",ROUND(N($F7)-N($J7),2))</f>
        <v>-180</v>
      </c>
      <c r="L7" s="40" t="str">
        <f aca="false">IF($B7="","",IF(ROUND(N($K7),2)&gt;0,"对方欠款",IF(ROUND(N($K7),2)&lt;0,"我方欠款","已两清")))</f>
        <v>我方欠款</v>
      </c>
      <c r="M7" s="124"/>
    </row>
    <row r="8" customFormat="false" ht="13.5" hidden="false" customHeight="false" outlineLevel="0" collapsed="false">
      <c r="A8" s="40" t="n">
        <f aca="false">IF($B8="","",ROW()-4)</f>
        <v>4</v>
      </c>
      <c r="B8" s="33" t="str">
        <f aca="false">IFERROR(INDEX(_自动清单!$E$4:$E$253,ROW()-4),"")</f>
        <v>王灵云</v>
      </c>
      <c r="C8" s="123"/>
      <c r="D8" s="70" t="n">
        <f aca="false">IF($B8="","",ROUND(SUMIFS(进销存对接!$G$4:$G$305,进销存对接!$I$4:$I$305,"客户往来",进销存对接!$C$4:$C$305,$B8),2))</f>
        <v>-132</v>
      </c>
      <c r="E8" s="70" t="n">
        <f aca="false">IF($B8="","",ROUND(SUMIFS(资金日记账!$H$4:$H$603,资金日记账!$E$4:$E$603,$B8,资金日记账!$K$4:$K$603,"应收账款"),2))</f>
        <v>0</v>
      </c>
      <c r="F8" s="70" t="n">
        <f aca="false">IF($B8="","",ROUND(N($C8)+N($D8)-N($E8),2))</f>
        <v>-132</v>
      </c>
      <c r="G8" s="123"/>
      <c r="H8" s="70" t="n">
        <f aca="false">IF($B8="","",ROUND(SUMIFS(进销存对接!$F$4:$F$305,进销存对接!$I$4:$I$305,"客户往来",进销存对接!$C$4:$C$305,$B8)+SUMIFS(记账凭证!$I$4:$I$3609,记账凭证!$J$4:$J$3609,$B8,记账凭证!$E$4:$E$3609,"应付账款"),2))</f>
        <v>132</v>
      </c>
      <c r="I8" s="70" t="n">
        <f aca="false">IF($B8="","",ROUND(SUMIFS(记账凭证!$H$4:$H$3609,记账凭证!$J$4:$J$3609,$B8,记账凭证!$E$4:$E$3609,"应付账款"),2))</f>
        <v>0</v>
      </c>
      <c r="J8" s="70" t="n">
        <f aca="false">IF($B8="","",ROUND(N($G8)+N($H8)-N($I8),2))</f>
        <v>132</v>
      </c>
      <c r="K8" s="70" t="n">
        <f aca="false">IF($B8="","",ROUND(N($F8)-N($J8),2))</f>
        <v>-264</v>
      </c>
      <c r="L8" s="40" t="str">
        <f aca="false">IF($B8="","",IF(ROUND(N($K8),2)&gt;0,"对方欠款",IF(ROUND(N($K8),2)&lt;0,"我方欠款","已两清")))</f>
        <v>我方欠款</v>
      </c>
      <c r="M8" s="124"/>
    </row>
    <row r="9" customFormat="false" ht="13.5" hidden="false" customHeight="false" outlineLevel="0" collapsed="false">
      <c r="A9" s="40" t="n">
        <f aca="false">IF($B9="","",ROW()-4)</f>
        <v>5</v>
      </c>
      <c r="B9" s="33" t="str">
        <f aca="false">IFERROR(INDEX(_自动清单!$E$4:$E$253,ROW()-4),"")</f>
        <v>全修塑业</v>
      </c>
      <c r="C9" s="123"/>
      <c r="D9" s="70" t="n">
        <f aca="false">IF($B9="","",ROUND(SUMIFS(进销存对接!$G$4:$G$305,进销存对接!$I$4:$I$305,"客户往来",进销存对接!$C$4:$C$305,$B9),2))</f>
        <v>0</v>
      </c>
      <c r="E9" s="70" t="n">
        <f aca="false">IF($B9="","",ROUND(SUMIFS(资金日记账!$H$4:$H$603,资金日记账!$E$4:$E$603,$B9,资金日记账!$K$4:$K$603,"应收账款"),2))</f>
        <v>0</v>
      </c>
      <c r="F9" s="70" t="n">
        <f aca="false">IF($B9="","",ROUND(N($C9)+N($D9)-N($E9),2))</f>
        <v>0</v>
      </c>
      <c r="G9" s="123"/>
      <c r="H9" s="70" t="n">
        <f aca="false">IF($B9="","",ROUND(SUMIFS(进销存对接!$F$4:$F$305,进销存对接!$I$4:$I$305,"客户往来",进销存对接!$C$4:$C$305,$B9)+SUMIFS(记账凭证!$I$4:$I$3609,记账凭证!$J$4:$J$3609,$B9,记账凭证!$E$4:$E$3609,"应付账款"),2))</f>
        <v>281760</v>
      </c>
      <c r="I9" s="70" t="n">
        <f aca="false">IF($B9="","",ROUND(SUMIFS(记账凭证!$H$4:$H$3609,记账凭证!$J$4:$J$3609,$B9,记账凭证!$E$4:$E$3609,"应付账款"),2))</f>
        <v>0</v>
      </c>
      <c r="J9" s="70" t="n">
        <f aca="false">IF($B9="","",ROUND(N($G9)+N($H9)-N($I9),2))</f>
        <v>281760</v>
      </c>
      <c r="K9" s="70" t="n">
        <f aca="false">IF($B9="","",ROUND(N($F9)-N($J9),2))</f>
        <v>-281760</v>
      </c>
      <c r="L9" s="40" t="str">
        <f aca="false">IF($B9="","",IF(ROUND(N($K9),2)&gt;0,"对方欠款",IF(ROUND(N($K9),2)&lt;0,"我方欠款","已两清")))</f>
        <v>我方欠款</v>
      </c>
      <c r="M9" s="124"/>
    </row>
    <row r="10" customFormat="false" ht="13.5" hidden="false" customHeight="false" outlineLevel="0" collapsed="false">
      <c r="A10" s="40" t="n">
        <f aca="false">IF($B10="","",ROW()-4)</f>
        <v>6</v>
      </c>
      <c r="B10" s="33" t="str">
        <f aca="false">IFERROR(INDEX(_自动清单!$E$4:$E$253,ROW()-4),"")</f>
        <v>新顺发泡网</v>
      </c>
      <c r="C10" s="123"/>
      <c r="D10" s="70" t="n">
        <f aca="false">IF($B10="","",ROUND(SUMIFS(进销存对接!$G$4:$G$305,进销存对接!$I$4:$I$305,"客户往来",进销存对接!$C$4:$C$305,$B10),2))</f>
        <v>0</v>
      </c>
      <c r="E10" s="70" t="n">
        <f aca="false">IF($B10="","",ROUND(SUMIFS(资金日记账!$H$4:$H$603,资金日记账!$E$4:$E$603,$B10,资金日记账!$K$4:$K$603,"应收账款"),2))</f>
        <v>0</v>
      </c>
      <c r="F10" s="70" t="n">
        <f aca="false">IF($B10="","",ROUND(N($C10)+N($D10)-N($E10),2))</f>
        <v>0</v>
      </c>
      <c r="G10" s="123"/>
      <c r="H10" s="70" t="n">
        <f aca="false">IF($B10="","",ROUND(SUMIFS(进销存对接!$F$4:$F$305,进销存对接!$I$4:$I$305,"客户往来",进销存对接!$C$4:$C$305,$B10)+SUMIFS(记账凭证!$I$4:$I$3609,记账凭证!$J$4:$J$3609,$B10,记账凭证!$E$4:$E$3609,"应付账款"),2))</f>
        <v>49728</v>
      </c>
      <c r="I10" s="70" t="n">
        <f aca="false">IF($B10="","",ROUND(SUMIFS(记账凭证!$H$4:$H$3609,记账凭证!$J$4:$J$3609,$B10,记账凭证!$E$4:$E$3609,"应付账款"),2))</f>
        <v>0</v>
      </c>
      <c r="J10" s="70" t="n">
        <f aca="false">IF($B10="","",ROUND(N($G10)+N($H10)-N($I10),2))</f>
        <v>49728</v>
      </c>
      <c r="K10" s="70" t="n">
        <f aca="false">IF($B10="","",ROUND(N($F10)-N($J10),2))</f>
        <v>-49728</v>
      </c>
      <c r="L10" s="40" t="str">
        <f aca="false">IF($B10="","",IF(ROUND(N($K10),2)&gt;0,"对方欠款",IF(ROUND(N($K10),2)&lt;0,"我方欠款","已两清")))</f>
        <v>我方欠款</v>
      </c>
      <c r="M10" s="124"/>
    </row>
    <row r="11" customFormat="false" ht="13.5" hidden="false" customHeight="false" outlineLevel="0" collapsed="false">
      <c r="A11" s="40" t="n">
        <f aca="false">IF($B11="","",ROW()-4)</f>
        <v>7</v>
      </c>
      <c r="B11" s="33" t="str">
        <f aca="false">IFERROR(INDEX(_自动清单!$E$4:$E$253,ROW()-4),"")</f>
        <v>伍元虎</v>
      </c>
      <c r="C11" s="123"/>
      <c r="D11" s="70" t="n">
        <f aca="false">IF($B11="","",ROUND(SUMIFS(进销存对接!$G$4:$G$305,进销存对接!$I$4:$I$305,"客户往来",进销存对接!$C$4:$C$305,$B11),2))</f>
        <v>0</v>
      </c>
      <c r="E11" s="70" t="n">
        <f aca="false">IF($B11="","",ROUND(SUMIFS(资金日记账!$H$4:$H$603,资金日记账!$E$4:$E$603,$B11,资金日记账!$K$4:$K$603,"应收账款"),2))</f>
        <v>836</v>
      </c>
      <c r="F11" s="70" t="n">
        <f aca="false">IF($B11="","",ROUND(N($C11)+N($D11)-N($E11),2))</f>
        <v>-836</v>
      </c>
      <c r="G11" s="123"/>
      <c r="H11" s="70" t="n">
        <f aca="false">IF($B11="","",ROUND(SUMIFS(进销存对接!$F$4:$F$305,进销存对接!$I$4:$I$305,"客户往来",进销存对接!$C$4:$C$305,$B11)+SUMIFS(记账凭证!$I$4:$I$3609,记账凭证!$J$4:$J$3609,$B11,记账凭证!$E$4:$E$3609,"应付账款"),2))</f>
        <v>0</v>
      </c>
      <c r="I11" s="70" t="n">
        <f aca="false">IF($B11="","",ROUND(SUMIFS(记账凭证!$H$4:$H$3609,记账凭证!$J$4:$J$3609,$B11,记账凭证!$E$4:$E$3609,"应付账款"),2))</f>
        <v>0</v>
      </c>
      <c r="J11" s="70" t="n">
        <f aca="false">IF($B11="","",ROUND(N($G11)+N($H11)-N($I11),2))</f>
        <v>0</v>
      </c>
      <c r="K11" s="70" t="n">
        <f aca="false">IF($B11="","",ROUND(N($F11)-N($J11),2))</f>
        <v>-836</v>
      </c>
      <c r="L11" s="40" t="str">
        <f aca="false">IF($B11="","",IF(ROUND(N($K11),2)&gt;0,"对方欠款",IF(ROUND(N($K11),2)&lt;0,"我方欠款","已两清")))</f>
        <v>我方欠款</v>
      </c>
      <c r="M11" s="124"/>
    </row>
    <row r="12" customFormat="false" ht="13.5" hidden="false" customHeight="false" outlineLevel="0" collapsed="false">
      <c r="A12" s="40" t="n">
        <f aca="false">IF($B12="","",ROW()-4)</f>
        <v>8</v>
      </c>
      <c r="B12" s="33" t="str">
        <f aca="false">IFERROR(INDEX(_自动清单!$E$4:$E$253,ROW()-4),"")</f>
        <v>吐尔逊</v>
      </c>
      <c r="C12" s="123"/>
      <c r="D12" s="70" t="n">
        <f aca="false">IF($B12="","",ROUND(SUMIFS(进销存对接!$G$4:$G$305,进销存对接!$I$4:$I$305,"客户往来",进销存对接!$C$4:$C$305,$B12),2))</f>
        <v>0</v>
      </c>
      <c r="E12" s="70" t="n">
        <f aca="false">IF($B12="","",ROUND(SUMIFS(资金日记账!$H$4:$H$603,资金日记账!$E$4:$E$603,$B12,资金日记账!$K$4:$K$603,"应收账款"),2))</f>
        <v>0</v>
      </c>
      <c r="F12" s="70" t="n">
        <f aca="false">IF($B12="","",ROUND(N($C12)+N($D12)-N($E12),2))</f>
        <v>0</v>
      </c>
      <c r="G12" s="123"/>
      <c r="H12" s="70" t="n">
        <f aca="false">IF($B12="","",ROUND(SUMIFS(进销存对接!$F$4:$F$305,进销存对接!$I$4:$I$305,"客户往来",进销存对接!$C$4:$C$305,$B12)+SUMIFS(记账凭证!$I$4:$I$3609,记账凭证!$J$4:$J$3609,$B12,记账凭证!$E$4:$E$3609,"应付账款"),2))</f>
        <v>0</v>
      </c>
      <c r="I12" s="70" t="n">
        <f aca="false">IF($B12="","",ROUND(SUMIFS(记账凭证!$H$4:$H$3609,记账凭证!$J$4:$J$3609,$B12,记账凭证!$E$4:$E$3609,"应付账款"),2))</f>
        <v>0</v>
      </c>
      <c r="J12" s="70" t="n">
        <f aca="false">IF($B12="","",ROUND(N($G12)+N($H12)-N($I12),2))</f>
        <v>0</v>
      </c>
      <c r="K12" s="70" t="n">
        <f aca="false">IF($B12="","",ROUND(N($F12)-N($J12),2))</f>
        <v>0</v>
      </c>
      <c r="L12" s="40" t="str">
        <f aca="false">IF($B12="","",IF(ROUND(N($K12),2)&gt;0,"对方欠款",IF(ROUND(N($K12),2)&lt;0,"我方欠款","已两清")))</f>
        <v>已两清</v>
      </c>
      <c r="M12" s="124"/>
    </row>
    <row r="13" customFormat="false" ht="13.5" hidden="false" customHeight="false" outlineLevel="0" collapsed="false">
      <c r="A13" s="40" t="n">
        <f aca="false">IF($B13="","",ROW()-4)</f>
        <v>9</v>
      </c>
      <c r="B13" s="33" t="str">
        <f aca="false">IFERROR(INDEX(_自动清单!$E$4:$E$253,ROW()-4),"")</f>
        <v>贾建国</v>
      </c>
      <c r="C13" s="123"/>
      <c r="D13" s="70" t="n">
        <f aca="false">IF($B13="","",ROUND(SUMIFS(进销存对接!$G$4:$G$305,进销存对接!$I$4:$I$305,"客户往来",进销存对接!$C$4:$C$305,$B13),2))</f>
        <v>0</v>
      </c>
      <c r="E13" s="70" t="n">
        <f aca="false">IF($B13="","",ROUND(SUMIFS(资金日记账!$H$4:$H$603,资金日记账!$E$4:$E$603,$B13,资金日记账!$K$4:$K$603,"应收账款"),2))</f>
        <v>0</v>
      </c>
      <c r="F13" s="70" t="n">
        <f aca="false">IF($B13="","",ROUND(N($C13)+N($D13)-N($E13),2))</f>
        <v>0</v>
      </c>
      <c r="G13" s="123"/>
      <c r="H13" s="70" t="n">
        <f aca="false">IF($B13="","",ROUND(SUMIFS(进销存对接!$F$4:$F$305,进销存对接!$I$4:$I$305,"客户往来",进销存对接!$C$4:$C$305,$B13)+SUMIFS(记账凭证!$I$4:$I$3609,记账凭证!$J$4:$J$3609,$B13,记账凭证!$E$4:$E$3609,"应付账款"),2))</f>
        <v>0</v>
      </c>
      <c r="I13" s="70" t="n">
        <f aca="false">IF($B13="","",ROUND(SUMIFS(记账凭证!$H$4:$H$3609,记账凭证!$J$4:$J$3609,$B13,记账凭证!$E$4:$E$3609,"应付账款"),2))</f>
        <v>0</v>
      </c>
      <c r="J13" s="70" t="n">
        <f aca="false">IF($B13="","",ROUND(N($G13)+N($H13)-N($I13),2))</f>
        <v>0</v>
      </c>
      <c r="K13" s="70" t="n">
        <f aca="false">IF($B13="","",ROUND(N($F13)-N($J13),2))</f>
        <v>0</v>
      </c>
      <c r="L13" s="40" t="str">
        <f aca="false">IF($B13="","",IF(ROUND(N($K13),2)&gt;0,"对方欠款",IF(ROUND(N($K13),2)&lt;0,"我方欠款","已两清")))</f>
        <v>已两清</v>
      </c>
      <c r="M13" s="124"/>
    </row>
    <row r="14" customFormat="false" ht="13.5" hidden="false" customHeight="false" outlineLevel="0" collapsed="false">
      <c r="A14" s="40" t="n">
        <f aca="false">IF($B14="","",ROW()-4)</f>
        <v>10</v>
      </c>
      <c r="B14" s="33" t="str">
        <f aca="false">IFERROR(INDEX(_自动清单!$E$4:$E$253,ROW()-4),"")</f>
        <v>聂新平</v>
      </c>
      <c r="C14" s="123"/>
      <c r="D14" s="70" t="n">
        <f aca="false">IF($B14="","",ROUND(SUMIFS(进销存对接!$G$4:$G$305,进销存对接!$I$4:$I$305,"客户往来",进销存对接!$C$4:$C$305,$B14),2))</f>
        <v>0</v>
      </c>
      <c r="E14" s="70" t="n">
        <f aca="false">IF($B14="","",ROUND(SUMIFS(资金日记账!$H$4:$H$603,资金日记账!$E$4:$E$603,$B14,资金日记账!$K$4:$K$603,"应收账款"),2))</f>
        <v>0</v>
      </c>
      <c r="F14" s="70" t="n">
        <f aca="false">IF($B14="","",ROUND(N($C14)+N($D14)-N($E14),2))</f>
        <v>0</v>
      </c>
      <c r="G14" s="123"/>
      <c r="H14" s="70" t="n">
        <f aca="false">IF($B14="","",ROUND(SUMIFS(进销存对接!$F$4:$F$305,进销存对接!$I$4:$I$305,"客户往来",进销存对接!$C$4:$C$305,$B14)+SUMIFS(记账凭证!$I$4:$I$3609,记账凭证!$J$4:$J$3609,$B14,记账凭证!$E$4:$E$3609,"应付账款"),2))</f>
        <v>0</v>
      </c>
      <c r="I14" s="70" t="n">
        <f aca="false">IF($B14="","",ROUND(SUMIFS(记账凭证!$H$4:$H$3609,记账凭证!$J$4:$J$3609,$B14,记账凭证!$E$4:$E$3609,"应付账款"),2))</f>
        <v>0</v>
      </c>
      <c r="J14" s="70" t="n">
        <f aca="false">IF($B14="","",ROUND(N($G14)+N($H14)-N($I14),2))</f>
        <v>0</v>
      </c>
      <c r="K14" s="70" t="n">
        <f aca="false">IF($B14="","",ROUND(N($F14)-N($J14),2))</f>
        <v>0</v>
      </c>
      <c r="L14" s="40" t="str">
        <f aca="false">IF($B14="","",IF(ROUND(N($K14),2)&gt;0,"对方欠款",IF(ROUND(N($K14),2)&lt;0,"我方欠款","已两清")))</f>
        <v>已两清</v>
      </c>
      <c r="M14" s="124"/>
    </row>
    <row r="15" customFormat="false" ht="13.5" hidden="false" customHeight="false" outlineLevel="0" collapsed="false">
      <c r="A15" s="40" t="n">
        <f aca="false">IF($B15="","",ROW()-4)</f>
        <v>11</v>
      </c>
      <c r="B15" s="33" t="str">
        <f aca="false">IFERROR(INDEX(_自动清单!$E$4:$E$253,ROW()-4),"")</f>
        <v>荆建君</v>
      </c>
      <c r="C15" s="123"/>
      <c r="D15" s="70" t="n">
        <f aca="false">IF($B15="","",ROUND(SUMIFS(进销存对接!$G$4:$G$305,进销存对接!$I$4:$I$305,"客户往来",进销存对接!$C$4:$C$305,$B15),2))</f>
        <v>0</v>
      </c>
      <c r="E15" s="70" t="n">
        <f aca="false">IF($B15="","",ROUND(SUMIFS(资金日记账!$H$4:$H$603,资金日记账!$E$4:$E$603,$B15,资金日记账!$K$4:$K$603,"应收账款"),2))</f>
        <v>0</v>
      </c>
      <c r="F15" s="70" t="n">
        <f aca="false">IF($B15="","",ROUND(N($C15)+N($D15)-N($E15),2))</f>
        <v>0</v>
      </c>
      <c r="G15" s="123"/>
      <c r="H15" s="70" t="n">
        <f aca="false">IF($B15="","",ROUND(SUMIFS(进销存对接!$F$4:$F$305,进销存对接!$I$4:$I$305,"客户往来",进销存对接!$C$4:$C$305,$B15)+SUMIFS(记账凭证!$I$4:$I$3609,记账凭证!$J$4:$J$3609,$B15,记账凭证!$E$4:$E$3609,"应付账款"),2))</f>
        <v>0</v>
      </c>
      <c r="I15" s="70" t="n">
        <f aca="false">IF($B15="","",ROUND(SUMIFS(记账凭证!$H$4:$H$3609,记账凭证!$J$4:$J$3609,$B15,记账凭证!$E$4:$E$3609,"应付账款"),2))</f>
        <v>0</v>
      </c>
      <c r="J15" s="70" t="n">
        <f aca="false">IF($B15="","",ROUND(N($G15)+N($H15)-N($I15),2))</f>
        <v>0</v>
      </c>
      <c r="K15" s="70" t="n">
        <f aca="false">IF($B15="","",ROUND(N($F15)-N($J15),2))</f>
        <v>0</v>
      </c>
      <c r="L15" s="40" t="str">
        <f aca="false">IF($B15="","",IF(ROUND(N($K15),2)&gt;0,"对方欠款",IF(ROUND(N($K15),2)&lt;0,"我方欠款","已两清")))</f>
        <v>已两清</v>
      </c>
      <c r="M15" s="124"/>
    </row>
    <row r="16" customFormat="false" ht="13.5" hidden="false" customHeight="false" outlineLevel="0" collapsed="false">
      <c r="A16" s="40" t="n">
        <f aca="false">IF($B16="","",ROW()-4)</f>
        <v>12</v>
      </c>
      <c r="B16" s="33" t="str">
        <f aca="false">IFERROR(INDEX(_自动清单!$E$4:$E$253,ROW()-4),"")</f>
        <v>马锦祥</v>
      </c>
      <c r="C16" s="123"/>
      <c r="D16" s="70" t="n">
        <f aca="false">IF($B16="","",ROUND(SUMIFS(进销存对接!$G$4:$G$305,进销存对接!$I$4:$I$305,"客户往来",进销存对接!$C$4:$C$305,$B16),2))</f>
        <v>0</v>
      </c>
      <c r="E16" s="70" t="n">
        <f aca="false">IF($B16="","",ROUND(SUMIFS(资金日记账!$H$4:$H$603,资金日记账!$E$4:$E$603,$B16,资金日记账!$K$4:$K$603,"应收账款"),2))</f>
        <v>0</v>
      </c>
      <c r="F16" s="70" t="n">
        <f aca="false">IF($B16="","",ROUND(N($C16)+N($D16)-N($E16),2))</f>
        <v>0</v>
      </c>
      <c r="G16" s="123"/>
      <c r="H16" s="70" t="n">
        <f aca="false">IF($B16="","",ROUND(SUMIFS(进销存对接!$F$4:$F$305,进销存对接!$I$4:$I$305,"客户往来",进销存对接!$C$4:$C$305,$B16)+SUMIFS(记账凭证!$I$4:$I$3609,记账凭证!$J$4:$J$3609,$B16,记账凭证!$E$4:$E$3609,"应付账款"),2))</f>
        <v>0</v>
      </c>
      <c r="I16" s="70" t="n">
        <f aca="false">IF($B16="","",ROUND(SUMIFS(记账凭证!$H$4:$H$3609,记账凭证!$J$4:$J$3609,$B16,记账凭证!$E$4:$E$3609,"应付账款"),2))</f>
        <v>0</v>
      </c>
      <c r="J16" s="70" t="n">
        <f aca="false">IF($B16="","",ROUND(N($G16)+N($H16)-N($I16),2))</f>
        <v>0</v>
      </c>
      <c r="K16" s="70" t="n">
        <f aca="false">IF($B16="","",ROUND(N($F16)-N($J16),2))</f>
        <v>0</v>
      </c>
      <c r="L16" s="40" t="str">
        <f aca="false">IF($B16="","",IF(ROUND(N($K16),2)&gt;0,"对方欠款",IF(ROUND(N($K16),2)&lt;0,"我方欠款","已两清")))</f>
        <v>已两清</v>
      </c>
      <c r="M16" s="124"/>
    </row>
    <row r="17" customFormat="false" ht="13.5" hidden="false" customHeight="false" outlineLevel="0" collapsed="false">
      <c r="A17" s="40" t="n">
        <f aca="false">IF($B17="","",ROW()-4)</f>
        <v>13</v>
      </c>
      <c r="B17" s="33" t="str">
        <f aca="false">IFERROR(INDEX(_自动清单!$E$4:$E$253,ROW()-4),"")</f>
        <v>吐尔洪</v>
      </c>
      <c r="C17" s="123"/>
      <c r="D17" s="70" t="n">
        <f aca="false">IF($B17="","",ROUND(SUMIFS(进销存对接!$G$4:$G$305,进销存对接!$I$4:$I$305,"客户往来",进销存对接!$C$4:$C$305,$B17),2))</f>
        <v>0</v>
      </c>
      <c r="E17" s="70" t="n">
        <f aca="false">IF($B17="","",ROUND(SUMIFS(资金日记账!$H$4:$H$603,资金日记账!$E$4:$E$603,$B17,资金日记账!$K$4:$K$603,"应收账款"),2))</f>
        <v>0</v>
      </c>
      <c r="F17" s="70" t="n">
        <f aca="false">IF($B17="","",ROUND(N($C17)+N($D17)-N($E17),2))</f>
        <v>0</v>
      </c>
      <c r="G17" s="123"/>
      <c r="H17" s="70" t="n">
        <f aca="false">IF($B17="","",ROUND(SUMIFS(进销存对接!$F$4:$F$305,进销存对接!$I$4:$I$305,"客户往来",进销存对接!$C$4:$C$305,$B17)+SUMIFS(记账凭证!$I$4:$I$3609,记账凭证!$J$4:$J$3609,$B17,记账凭证!$E$4:$E$3609,"应付账款"),2))</f>
        <v>0</v>
      </c>
      <c r="I17" s="70" t="n">
        <f aca="false">IF($B17="","",ROUND(SUMIFS(记账凭证!$H$4:$H$3609,记账凭证!$J$4:$J$3609,$B17,记账凭证!$E$4:$E$3609,"应付账款"),2))</f>
        <v>0</v>
      </c>
      <c r="J17" s="70" t="n">
        <f aca="false">IF($B17="","",ROUND(N($G17)+N($H17)-N($I17),2))</f>
        <v>0</v>
      </c>
      <c r="K17" s="70" t="n">
        <f aca="false">IF($B17="","",ROUND(N($F17)-N($J17),2))</f>
        <v>0</v>
      </c>
      <c r="L17" s="40" t="str">
        <f aca="false">IF($B17="","",IF(ROUND(N($K17),2)&gt;0,"对方欠款",IF(ROUND(N($K17),2)&lt;0,"我方欠款","已两清")))</f>
        <v>已两清</v>
      </c>
      <c r="M17" s="124"/>
    </row>
    <row r="18" customFormat="false" ht="13.5" hidden="false" customHeight="false" outlineLevel="0" collapsed="false">
      <c r="A18" s="40" t="n">
        <f aca="false">IF($B18="","",ROW()-4)</f>
        <v>14</v>
      </c>
      <c r="B18" s="33" t="str">
        <f aca="false">IFERROR(INDEX(_自动清单!$E$4:$E$253,ROW()-4),"")</f>
        <v>杨艳玲</v>
      </c>
      <c r="C18" s="123"/>
      <c r="D18" s="70" t="n">
        <f aca="false">IF($B18="","",ROUND(SUMIFS(进销存对接!$G$4:$G$305,进销存对接!$I$4:$I$305,"客户往来",进销存对接!$C$4:$C$305,$B18),2))</f>
        <v>0</v>
      </c>
      <c r="E18" s="70" t="n">
        <f aca="false">IF($B18="","",ROUND(SUMIFS(资金日记账!$H$4:$H$603,资金日记账!$E$4:$E$603,$B18,资金日记账!$K$4:$K$603,"应收账款"),2))</f>
        <v>0</v>
      </c>
      <c r="F18" s="70" t="n">
        <f aca="false">IF($B18="","",ROUND(N($C18)+N($D18)-N($E18),2))</f>
        <v>0</v>
      </c>
      <c r="G18" s="123"/>
      <c r="H18" s="70" t="n">
        <f aca="false">IF($B18="","",ROUND(SUMIFS(进销存对接!$F$4:$F$305,进销存对接!$I$4:$I$305,"客户往来",进销存对接!$C$4:$C$305,$B18)+SUMIFS(记账凭证!$I$4:$I$3609,记账凭证!$J$4:$J$3609,$B18,记账凭证!$E$4:$E$3609,"应付账款"),2))</f>
        <v>0</v>
      </c>
      <c r="I18" s="70" t="n">
        <f aca="false">IF($B18="","",ROUND(SUMIFS(记账凭证!$H$4:$H$3609,记账凭证!$J$4:$J$3609,$B18,记账凭证!$E$4:$E$3609,"应付账款"),2))</f>
        <v>0</v>
      </c>
      <c r="J18" s="70" t="n">
        <f aca="false">IF($B18="","",ROUND(N($G18)+N($H18)-N($I18),2))</f>
        <v>0</v>
      </c>
      <c r="K18" s="70" t="n">
        <f aca="false">IF($B18="","",ROUND(N($F18)-N($J18),2))</f>
        <v>0</v>
      </c>
      <c r="L18" s="40" t="str">
        <f aca="false">IF($B18="","",IF(ROUND(N($K18),2)&gt;0,"对方欠款",IF(ROUND(N($K18),2)&lt;0,"我方欠款","已两清")))</f>
        <v>已两清</v>
      </c>
      <c r="M18" s="124"/>
    </row>
    <row r="19" customFormat="false" ht="13.5" hidden="false" customHeight="false" outlineLevel="0" collapsed="false">
      <c r="A19" s="40" t="n">
        <f aca="false">IF($B19="","",ROW()-4)</f>
        <v>15</v>
      </c>
      <c r="B19" s="33" t="str">
        <f aca="false">IFERROR(INDEX(_自动清单!$E$4:$E$253,ROW()-4),"")</f>
        <v>努尔敦</v>
      </c>
      <c r="C19" s="123"/>
      <c r="D19" s="70" t="n">
        <f aca="false">IF($B19="","",ROUND(SUMIFS(进销存对接!$G$4:$G$305,进销存对接!$I$4:$I$305,"客户往来",进销存对接!$C$4:$C$305,$B19),2))</f>
        <v>0</v>
      </c>
      <c r="E19" s="70" t="n">
        <f aca="false">IF($B19="","",ROUND(SUMIFS(资金日记账!$H$4:$H$603,资金日记账!$E$4:$E$603,$B19,资金日记账!$K$4:$K$603,"应收账款"),2))</f>
        <v>0</v>
      </c>
      <c r="F19" s="70" t="n">
        <f aca="false">IF($B19="","",ROUND(N($C19)+N($D19)-N($E19),2))</f>
        <v>0</v>
      </c>
      <c r="G19" s="123"/>
      <c r="H19" s="70" t="n">
        <f aca="false">IF($B19="","",ROUND(SUMIFS(进销存对接!$F$4:$F$305,进销存对接!$I$4:$I$305,"客户往来",进销存对接!$C$4:$C$305,$B19)+SUMIFS(记账凭证!$I$4:$I$3609,记账凭证!$J$4:$J$3609,$B19,记账凭证!$E$4:$E$3609,"应付账款"),2))</f>
        <v>0</v>
      </c>
      <c r="I19" s="70" t="n">
        <f aca="false">IF($B19="","",ROUND(SUMIFS(记账凭证!$H$4:$H$3609,记账凭证!$J$4:$J$3609,$B19,记账凭证!$E$4:$E$3609,"应付账款"),2))</f>
        <v>0</v>
      </c>
      <c r="J19" s="70" t="n">
        <f aca="false">IF($B19="","",ROUND(N($G19)+N($H19)-N($I19),2))</f>
        <v>0</v>
      </c>
      <c r="K19" s="70" t="n">
        <f aca="false">IF($B19="","",ROUND(N($F19)-N($J19),2))</f>
        <v>0</v>
      </c>
      <c r="L19" s="40" t="str">
        <f aca="false">IF($B19="","",IF(ROUND(N($K19),2)&gt;0,"对方欠款",IF(ROUND(N($K19),2)&lt;0,"我方欠款","已两清")))</f>
        <v>已两清</v>
      </c>
      <c r="M19" s="124"/>
    </row>
    <row r="20" customFormat="false" ht="13.5" hidden="false" customHeight="false" outlineLevel="0" collapsed="false">
      <c r="A20" s="40" t="n">
        <f aca="false">IF($B20="","",ROW()-4)</f>
        <v>16</v>
      </c>
      <c r="B20" s="33" t="str">
        <f aca="false">IFERROR(INDEX(_自动清单!$E$4:$E$253,ROW()-4),"")</f>
        <v>王浩</v>
      </c>
      <c r="C20" s="123"/>
      <c r="D20" s="70" t="n">
        <f aca="false">IF($B20="","",ROUND(SUMIFS(进销存对接!$G$4:$G$305,进销存对接!$I$4:$I$305,"客户往来",进销存对接!$C$4:$C$305,$B20),2))</f>
        <v>0</v>
      </c>
      <c r="E20" s="70" t="n">
        <f aca="false">IF($B20="","",ROUND(SUMIFS(资金日记账!$H$4:$H$603,资金日记账!$E$4:$E$603,$B20,资金日记账!$K$4:$K$603,"应收账款"),2))</f>
        <v>0</v>
      </c>
      <c r="F20" s="70" t="n">
        <f aca="false">IF($B20="","",ROUND(N($C20)+N($D20)-N($E20),2))</f>
        <v>0</v>
      </c>
      <c r="G20" s="123"/>
      <c r="H20" s="70" t="n">
        <f aca="false">IF($B20="","",ROUND(SUMIFS(进销存对接!$F$4:$F$305,进销存对接!$I$4:$I$305,"客户往来",进销存对接!$C$4:$C$305,$B20)+SUMIFS(记账凭证!$I$4:$I$3609,记账凭证!$J$4:$J$3609,$B20,记账凭证!$E$4:$E$3609,"应付账款"),2))</f>
        <v>0</v>
      </c>
      <c r="I20" s="70" t="n">
        <f aca="false">IF($B20="","",ROUND(SUMIFS(记账凭证!$H$4:$H$3609,记账凭证!$J$4:$J$3609,$B20,记账凭证!$E$4:$E$3609,"应付账款"),2))</f>
        <v>0</v>
      </c>
      <c r="J20" s="70" t="n">
        <f aca="false">IF($B20="","",ROUND(N($G20)+N($H20)-N($I20),2))</f>
        <v>0</v>
      </c>
      <c r="K20" s="70" t="n">
        <f aca="false">IF($B20="","",ROUND(N($F20)-N($J20),2))</f>
        <v>0</v>
      </c>
      <c r="L20" s="40" t="str">
        <f aca="false">IF($B20="","",IF(ROUND(N($K20),2)&gt;0,"对方欠款",IF(ROUND(N($K20),2)&lt;0,"我方欠款","已两清")))</f>
        <v>已两清</v>
      </c>
      <c r="M20" s="124"/>
    </row>
    <row r="21" customFormat="false" ht="13.5" hidden="false" customHeight="false" outlineLevel="0" collapsed="false">
      <c r="A21" s="40" t="n">
        <f aca="false">IF($B21="","",ROW()-4)</f>
        <v>17</v>
      </c>
      <c r="B21" s="33" t="str">
        <f aca="false">IFERROR(INDEX(_自动清单!$E$4:$E$253,ROW()-4),"")</f>
        <v>热合曼+艾则孜</v>
      </c>
      <c r="C21" s="123"/>
      <c r="D21" s="70" t="n">
        <f aca="false">IF($B21="","",ROUND(SUMIFS(进销存对接!$G$4:$G$305,进销存对接!$I$4:$I$305,"客户往来",进销存对接!$C$4:$C$305,$B21),2))</f>
        <v>0</v>
      </c>
      <c r="E21" s="70" t="n">
        <f aca="false">IF($B21="","",ROUND(SUMIFS(资金日记账!$H$4:$H$603,资金日记账!$E$4:$E$603,$B21,资金日记账!$K$4:$K$603,"应收账款"),2))</f>
        <v>0</v>
      </c>
      <c r="F21" s="70" t="n">
        <f aca="false">IF($B21="","",ROUND(N($C21)+N($D21)-N($E21),2))</f>
        <v>0</v>
      </c>
      <c r="G21" s="123"/>
      <c r="H21" s="70" t="n">
        <f aca="false">IF($B21="","",ROUND(SUMIFS(进销存对接!$F$4:$F$305,进销存对接!$I$4:$I$305,"客户往来",进销存对接!$C$4:$C$305,$B21)+SUMIFS(记账凭证!$I$4:$I$3609,记账凭证!$J$4:$J$3609,$B21,记账凭证!$E$4:$E$3609,"应付账款"),2))</f>
        <v>0</v>
      </c>
      <c r="I21" s="70" t="n">
        <f aca="false">IF($B21="","",ROUND(SUMIFS(记账凭证!$H$4:$H$3609,记账凭证!$J$4:$J$3609,$B21,记账凭证!$E$4:$E$3609,"应付账款"),2))</f>
        <v>0</v>
      </c>
      <c r="J21" s="70" t="n">
        <f aca="false">IF($B21="","",ROUND(N($G21)+N($H21)-N($I21),2))</f>
        <v>0</v>
      </c>
      <c r="K21" s="70" t="n">
        <f aca="false">IF($B21="","",ROUND(N($F21)-N($J21),2))</f>
        <v>0</v>
      </c>
      <c r="L21" s="40" t="str">
        <f aca="false">IF($B21="","",IF(ROUND(N($K21),2)&gt;0,"对方欠款",IF(ROUND(N($K21),2)&lt;0,"我方欠款","已两清")))</f>
        <v>已两清</v>
      </c>
      <c r="M21" s="124"/>
    </row>
    <row r="22" customFormat="false" ht="13.5" hidden="false" customHeight="false" outlineLevel="0" collapsed="false">
      <c r="A22" s="40" t="n">
        <f aca="false">IF($B22="","",ROW()-4)</f>
        <v>18</v>
      </c>
      <c r="B22" s="33" t="str">
        <f aca="false">IFERROR(INDEX(_自动清单!$E$4:$E$253,ROW()-4),"")</f>
        <v>李现东</v>
      </c>
      <c r="C22" s="123"/>
      <c r="D22" s="70" t="n">
        <f aca="false">IF($B22="","",ROUND(SUMIFS(进销存对接!$G$4:$G$305,进销存对接!$I$4:$I$305,"客户往来",进销存对接!$C$4:$C$305,$B22),2))</f>
        <v>0</v>
      </c>
      <c r="E22" s="70" t="n">
        <f aca="false">IF($B22="","",ROUND(SUMIFS(资金日记账!$H$4:$H$603,资金日记账!$E$4:$E$603,$B22,资金日记账!$K$4:$K$603,"应收账款"),2))</f>
        <v>0</v>
      </c>
      <c r="F22" s="70" t="n">
        <f aca="false">IF($B22="","",ROUND(N($C22)+N($D22)-N($E22),2))</f>
        <v>0</v>
      </c>
      <c r="G22" s="123"/>
      <c r="H22" s="70" t="n">
        <f aca="false">IF($B22="","",ROUND(SUMIFS(进销存对接!$F$4:$F$305,进销存对接!$I$4:$I$305,"客户往来",进销存对接!$C$4:$C$305,$B22)+SUMIFS(记账凭证!$I$4:$I$3609,记账凭证!$J$4:$J$3609,$B22,记账凭证!$E$4:$E$3609,"应付账款"),2))</f>
        <v>0</v>
      </c>
      <c r="I22" s="70" t="n">
        <f aca="false">IF($B22="","",ROUND(SUMIFS(记账凭证!$H$4:$H$3609,记账凭证!$J$4:$J$3609,$B22,记账凭证!$E$4:$E$3609,"应付账款"),2))</f>
        <v>0</v>
      </c>
      <c r="J22" s="70" t="n">
        <f aca="false">IF($B22="","",ROUND(N($G22)+N($H22)-N($I22),2))</f>
        <v>0</v>
      </c>
      <c r="K22" s="70" t="n">
        <f aca="false">IF($B22="","",ROUND(N($F22)-N($J22),2))</f>
        <v>0</v>
      </c>
      <c r="L22" s="40" t="str">
        <f aca="false">IF($B22="","",IF(ROUND(N($K22),2)&gt;0,"对方欠款",IF(ROUND(N($K22),2)&lt;0,"我方欠款","已两清")))</f>
        <v>已两清</v>
      </c>
      <c r="M22" s="124"/>
    </row>
    <row r="23" customFormat="false" ht="13.5" hidden="false" customHeight="false" outlineLevel="0" collapsed="false">
      <c r="A23" s="40" t="n">
        <f aca="false">IF($B23="","",ROW()-4)</f>
        <v>19</v>
      </c>
      <c r="B23" s="33" t="str">
        <f aca="false">IFERROR(INDEX(_自动清单!$E$4:$E$253,ROW()-4),"")</f>
        <v>阿布都</v>
      </c>
      <c r="C23" s="123"/>
      <c r="D23" s="70" t="n">
        <f aca="false">IF($B23="","",ROUND(SUMIFS(进销存对接!$G$4:$G$305,进销存对接!$I$4:$I$305,"客户往来",进销存对接!$C$4:$C$305,$B23),2))</f>
        <v>0</v>
      </c>
      <c r="E23" s="70" t="n">
        <f aca="false">IF($B23="","",ROUND(SUMIFS(资金日记账!$H$4:$H$603,资金日记账!$E$4:$E$603,$B23,资金日记账!$K$4:$K$603,"应收账款"),2))</f>
        <v>0</v>
      </c>
      <c r="F23" s="70" t="n">
        <f aca="false">IF($B23="","",ROUND(N($C23)+N($D23)-N($E23),2))</f>
        <v>0</v>
      </c>
      <c r="G23" s="123"/>
      <c r="H23" s="70" t="n">
        <f aca="false">IF($B23="","",ROUND(SUMIFS(进销存对接!$F$4:$F$305,进销存对接!$I$4:$I$305,"客户往来",进销存对接!$C$4:$C$305,$B23)+SUMIFS(记账凭证!$I$4:$I$3609,记账凭证!$J$4:$J$3609,$B23,记账凭证!$E$4:$E$3609,"应付账款"),2))</f>
        <v>0</v>
      </c>
      <c r="I23" s="70" t="n">
        <f aca="false">IF($B23="","",ROUND(SUMIFS(记账凭证!$H$4:$H$3609,记账凭证!$J$4:$J$3609,$B23,记账凭证!$E$4:$E$3609,"应付账款"),2))</f>
        <v>0</v>
      </c>
      <c r="J23" s="70" t="n">
        <f aca="false">IF($B23="","",ROUND(N($G23)+N($H23)-N($I23),2))</f>
        <v>0</v>
      </c>
      <c r="K23" s="70" t="n">
        <f aca="false">IF($B23="","",ROUND(N($F23)-N($J23),2))</f>
        <v>0</v>
      </c>
      <c r="L23" s="40" t="str">
        <f aca="false">IF($B23="","",IF(ROUND(N($K23),2)&gt;0,"对方欠款",IF(ROUND(N($K23),2)&lt;0,"我方欠款","已两清")))</f>
        <v>已两清</v>
      </c>
      <c r="M23" s="124"/>
    </row>
    <row r="24" customFormat="false" ht="13.5" hidden="false" customHeight="false" outlineLevel="0" collapsed="false">
      <c r="A24" s="40" t="n">
        <f aca="false">IF($B24="","",ROW()-4)</f>
        <v>20</v>
      </c>
      <c r="B24" s="33" t="str">
        <f aca="false">IFERROR(INDEX(_自动清单!$E$4:$E$253,ROW()-4),"")</f>
        <v>艾则孜</v>
      </c>
      <c r="C24" s="123"/>
      <c r="D24" s="70" t="n">
        <f aca="false">IF($B24="","",ROUND(SUMIFS(进销存对接!$G$4:$G$305,进销存对接!$I$4:$I$305,"客户往来",进销存对接!$C$4:$C$305,$B24),2))</f>
        <v>0</v>
      </c>
      <c r="E24" s="70" t="n">
        <f aca="false">IF($B24="","",ROUND(SUMIFS(资金日记账!$H$4:$H$603,资金日记账!$E$4:$E$603,$B24,资金日记账!$K$4:$K$603,"应收账款"),2))</f>
        <v>0</v>
      </c>
      <c r="F24" s="70" t="n">
        <f aca="false">IF($B24="","",ROUND(N($C24)+N($D24)-N($E24),2))</f>
        <v>0</v>
      </c>
      <c r="G24" s="123"/>
      <c r="H24" s="70" t="n">
        <f aca="false">IF($B24="","",ROUND(SUMIFS(进销存对接!$F$4:$F$305,进销存对接!$I$4:$I$305,"客户往来",进销存对接!$C$4:$C$305,$B24)+SUMIFS(记账凭证!$I$4:$I$3609,记账凭证!$J$4:$J$3609,$B24,记账凭证!$E$4:$E$3609,"应付账款"),2))</f>
        <v>0</v>
      </c>
      <c r="I24" s="70" t="n">
        <f aca="false">IF($B24="","",ROUND(SUMIFS(记账凭证!$H$4:$H$3609,记账凭证!$J$4:$J$3609,$B24,记账凭证!$E$4:$E$3609,"应付账款"),2))</f>
        <v>0</v>
      </c>
      <c r="J24" s="70" t="n">
        <f aca="false">IF($B24="","",ROUND(N($G24)+N($H24)-N($I24),2))</f>
        <v>0</v>
      </c>
      <c r="K24" s="70" t="n">
        <f aca="false">IF($B24="","",ROUND(N($F24)-N($J24),2))</f>
        <v>0</v>
      </c>
      <c r="L24" s="40" t="str">
        <f aca="false">IF($B24="","",IF(ROUND(N($K24),2)&gt;0,"对方欠款",IF(ROUND(N($K24),2)&lt;0,"我方欠款","已两清")))</f>
        <v>已两清</v>
      </c>
      <c r="M24" s="124"/>
    </row>
    <row r="25" customFormat="false" ht="13.5" hidden="false" customHeight="false" outlineLevel="0" collapsed="false">
      <c r="A25" s="40" t="str">
        <f aca="false">IF($B25="","",ROW()-4)</f>
        <v/>
      </c>
      <c r="B25" s="33" t="str">
        <f aca="false">IFERROR(INDEX(_自动清单!$E$4:$E$253,ROW()-4),"")</f>
        <v/>
      </c>
      <c r="C25" s="123"/>
      <c r="D25" s="70" t="str">
        <f aca="false">IF($B25="","",ROUND(SUMIFS(进销存对接!$G$4:$G$305,进销存对接!$I$4:$I$305,"客户往来",进销存对接!$C$4:$C$305,$B25),2))</f>
        <v/>
      </c>
      <c r="E25" s="70" t="str">
        <f aca="false">IF($B25="","",ROUND(SUMIFS(资金日记账!$H$4:$H$603,资金日记账!$E$4:$E$603,$B25,资金日记账!$K$4:$K$603,"应收账款"),2))</f>
        <v/>
      </c>
      <c r="F25" s="70" t="str">
        <f aca="false">IF($B25="","",ROUND(N($C25)+N($D25)-N($E25),2))</f>
        <v/>
      </c>
      <c r="G25" s="123"/>
      <c r="H25" s="70" t="str">
        <f aca="false">IF($B25="","",ROUND(SUMIFS(进销存对接!$F$4:$F$305,进销存对接!$I$4:$I$305,"客户往来",进销存对接!$C$4:$C$305,$B25)+SUMIFS(记账凭证!$I$4:$I$3609,记账凭证!$J$4:$J$3609,$B25,记账凭证!$E$4:$E$3609,"应付账款"),2))</f>
        <v/>
      </c>
      <c r="I25" s="70" t="str">
        <f aca="false">IF($B25="","",ROUND(SUMIFS(记账凭证!$H$4:$H$3609,记账凭证!$J$4:$J$3609,$B25,记账凭证!$E$4:$E$3609,"应付账款"),2))</f>
        <v/>
      </c>
      <c r="J25" s="70" t="str">
        <f aca="false">IF($B25="","",ROUND(N($G25)+N($H25)-N($I25),2))</f>
        <v/>
      </c>
      <c r="K25" s="70" t="str">
        <f aca="false">IF($B25="","",ROUND(N($F25)-N($J25),2))</f>
        <v/>
      </c>
      <c r="L25" s="40" t="str">
        <f aca="false">IF($B25="","",IF(ROUND(N($K25),2)&gt;0,"对方欠款",IF(ROUND(N($K25),2)&lt;0,"我方欠款","已两清")))</f>
        <v/>
      </c>
      <c r="M25" s="124"/>
    </row>
    <row r="26" customFormat="false" ht="13.5" hidden="false" customHeight="false" outlineLevel="0" collapsed="false">
      <c r="A26" s="40" t="str">
        <f aca="false">IF($B26="","",ROW()-4)</f>
        <v/>
      </c>
      <c r="B26" s="33" t="str">
        <f aca="false">IFERROR(INDEX(_自动清单!$E$4:$E$253,ROW()-4),"")</f>
        <v/>
      </c>
      <c r="C26" s="123"/>
      <c r="D26" s="70" t="str">
        <f aca="false">IF($B26="","",ROUND(SUMIFS(进销存对接!$G$4:$G$305,进销存对接!$I$4:$I$305,"客户往来",进销存对接!$C$4:$C$305,$B26),2))</f>
        <v/>
      </c>
      <c r="E26" s="70" t="str">
        <f aca="false">IF($B26="","",ROUND(SUMIFS(资金日记账!$H$4:$H$603,资金日记账!$E$4:$E$603,$B26,资金日记账!$K$4:$K$603,"应收账款"),2))</f>
        <v/>
      </c>
      <c r="F26" s="70" t="str">
        <f aca="false">IF($B26="","",ROUND(N($C26)+N($D26)-N($E26),2))</f>
        <v/>
      </c>
      <c r="G26" s="123"/>
      <c r="H26" s="70" t="str">
        <f aca="false">IF($B26="","",ROUND(SUMIFS(进销存对接!$F$4:$F$305,进销存对接!$I$4:$I$305,"客户往来",进销存对接!$C$4:$C$305,$B26)+SUMIFS(记账凭证!$I$4:$I$3609,记账凭证!$J$4:$J$3609,$B26,记账凭证!$E$4:$E$3609,"应付账款"),2))</f>
        <v/>
      </c>
      <c r="I26" s="70" t="str">
        <f aca="false">IF($B26="","",ROUND(SUMIFS(记账凭证!$H$4:$H$3609,记账凭证!$J$4:$J$3609,$B26,记账凭证!$E$4:$E$3609,"应付账款"),2))</f>
        <v/>
      </c>
      <c r="J26" s="70" t="str">
        <f aca="false">IF($B26="","",ROUND(N($G26)+N($H26)-N($I26),2))</f>
        <v/>
      </c>
      <c r="K26" s="70" t="str">
        <f aca="false">IF($B26="","",ROUND(N($F26)-N($J26),2))</f>
        <v/>
      </c>
      <c r="L26" s="40" t="str">
        <f aca="false">IF($B26="","",IF(ROUND(N($K26),2)&gt;0,"对方欠款",IF(ROUND(N($K26),2)&lt;0,"我方欠款","已两清")))</f>
        <v/>
      </c>
      <c r="M26" s="124"/>
    </row>
    <row r="27" customFormat="false" ht="13.5" hidden="false" customHeight="false" outlineLevel="0" collapsed="false">
      <c r="A27" s="40" t="str">
        <f aca="false">IF($B27="","",ROW()-4)</f>
        <v/>
      </c>
      <c r="B27" s="33" t="str">
        <f aca="false">IFERROR(INDEX(_自动清单!$E$4:$E$253,ROW()-4),"")</f>
        <v/>
      </c>
      <c r="C27" s="123"/>
      <c r="D27" s="70" t="str">
        <f aca="false">IF($B27="","",ROUND(SUMIFS(进销存对接!$G$4:$G$305,进销存对接!$I$4:$I$305,"客户往来",进销存对接!$C$4:$C$305,$B27),2))</f>
        <v/>
      </c>
      <c r="E27" s="70" t="str">
        <f aca="false">IF($B27="","",ROUND(SUMIFS(资金日记账!$H$4:$H$603,资金日记账!$E$4:$E$603,$B27,资金日记账!$K$4:$K$603,"应收账款"),2))</f>
        <v/>
      </c>
      <c r="F27" s="70" t="str">
        <f aca="false">IF($B27="","",ROUND(N($C27)+N($D27)-N($E27),2))</f>
        <v/>
      </c>
      <c r="G27" s="123"/>
      <c r="H27" s="70" t="str">
        <f aca="false">IF($B27="","",ROUND(SUMIFS(进销存对接!$F$4:$F$305,进销存对接!$I$4:$I$305,"客户往来",进销存对接!$C$4:$C$305,$B27)+SUMIFS(记账凭证!$I$4:$I$3609,记账凭证!$J$4:$J$3609,$B27,记账凭证!$E$4:$E$3609,"应付账款"),2))</f>
        <v/>
      </c>
      <c r="I27" s="70" t="str">
        <f aca="false">IF($B27="","",ROUND(SUMIFS(记账凭证!$H$4:$H$3609,记账凭证!$J$4:$J$3609,$B27,记账凭证!$E$4:$E$3609,"应付账款"),2))</f>
        <v/>
      </c>
      <c r="J27" s="70" t="str">
        <f aca="false">IF($B27="","",ROUND(N($G27)+N($H27)-N($I27),2))</f>
        <v/>
      </c>
      <c r="K27" s="70" t="str">
        <f aca="false">IF($B27="","",ROUND(N($F27)-N($J27),2))</f>
        <v/>
      </c>
      <c r="L27" s="40" t="str">
        <f aca="false">IF($B27="","",IF(ROUND(N($K27),2)&gt;0,"对方欠款",IF(ROUND(N($K27),2)&lt;0,"我方欠款","已两清")))</f>
        <v/>
      </c>
      <c r="M27" s="124"/>
    </row>
    <row r="28" customFormat="false" ht="13.5" hidden="false" customHeight="false" outlineLevel="0" collapsed="false">
      <c r="A28" s="40" t="str">
        <f aca="false">IF($B28="","",ROW()-4)</f>
        <v/>
      </c>
      <c r="B28" s="33" t="str">
        <f aca="false">IFERROR(INDEX(_自动清单!$E$4:$E$253,ROW()-4),"")</f>
        <v/>
      </c>
      <c r="C28" s="123"/>
      <c r="D28" s="70" t="str">
        <f aca="false">IF($B28="","",ROUND(SUMIFS(进销存对接!$G$4:$G$305,进销存对接!$I$4:$I$305,"客户往来",进销存对接!$C$4:$C$305,$B28),2))</f>
        <v/>
      </c>
      <c r="E28" s="70" t="str">
        <f aca="false">IF($B28="","",ROUND(SUMIFS(资金日记账!$H$4:$H$603,资金日记账!$E$4:$E$603,$B28,资金日记账!$K$4:$K$603,"应收账款"),2))</f>
        <v/>
      </c>
      <c r="F28" s="70" t="str">
        <f aca="false">IF($B28="","",ROUND(N($C28)+N($D28)-N($E28),2))</f>
        <v/>
      </c>
      <c r="G28" s="123"/>
      <c r="H28" s="70" t="str">
        <f aca="false">IF($B28="","",ROUND(SUMIFS(进销存对接!$F$4:$F$305,进销存对接!$I$4:$I$305,"客户往来",进销存对接!$C$4:$C$305,$B28)+SUMIFS(记账凭证!$I$4:$I$3609,记账凭证!$J$4:$J$3609,$B28,记账凭证!$E$4:$E$3609,"应付账款"),2))</f>
        <v/>
      </c>
      <c r="I28" s="70" t="str">
        <f aca="false">IF($B28="","",ROUND(SUMIFS(记账凭证!$H$4:$H$3609,记账凭证!$J$4:$J$3609,$B28,记账凭证!$E$4:$E$3609,"应付账款"),2))</f>
        <v/>
      </c>
      <c r="J28" s="70" t="str">
        <f aca="false">IF($B28="","",ROUND(N($G28)+N($H28)-N($I28),2))</f>
        <v/>
      </c>
      <c r="K28" s="70" t="str">
        <f aca="false">IF($B28="","",ROUND(N($F28)-N($J28),2))</f>
        <v/>
      </c>
      <c r="L28" s="40" t="str">
        <f aca="false">IF($B28="","",IF(ROUND(N($K28),2)&gt;0,"对方欠款",IF(ROUND(N($K28),2)&lt;0,"我方欠款","已两清")))</f>
        <v/>
      </c>
      <c r="M28" s="124"/>
    </row>
    <row r="29" customFormat="false" ht="13.5" hidden="false" customHeight="false" outlineLevel="0" collapsed="false">
      <c r="A29" s="40" t="str">
        <f aca="false">IF($B29="","",ROW()-4)</f>
        <v/>
      </c>
      <c r="B29" s="33" t="str">
        <f aca="false">IFERROR(INDEX(_自动清单!$E$4:$E$253,ROW()-4),"")</f>
        <v/>
      </c>
      <c r="C29" s="123"/>
      <c r="D29" s="70" t="str">
        <f aca="false">IF($B29="","",ROUND(SUMIFS(进销存对接!$G$4:$G$305,进销存对接!$I$4:$I$305,"客户往来",进销存对接!$C$4:$C$305,$B29),2))</f>
        <v/>
      </c>
      <c r="E29" s="70" t="str">
        <f aca="false">IF($B29="","",ROUND(SUMIFS(资金日记账!$H$4:$H$603,资金日记账!$E$4:$E$603,$B29,资金日记账!$K$4:$K$603,"应收账款"),2))</f>
        <v/>
      </c>
      <c r="F29" s="70" t="str">
        <f aca="false">IF($B29="","",ROUND(N($C29)+N($D29)-N($E29),2))</f>
        <v/>
      </c>
      <c r="G29" s="123"/>
      <c r="H29" s="70" t="str">
        <f aca="false">IF($B29="","",ROUND(SUMIFS(进销存对接!$F$4:$F$305,进销存对接!$I$4:$I$305,"客户往来",进销存对接!$C$4:$C$305,$B29)+SUMIFS(记账凭证!$I$4:$I$3609,记账凭证!$J$4:$J$3609,$B29,记账凭证!$E$4:$E$3609,"应付账款"),2))</f>
        <v/>
      </c>
      <c r="I29" s="70" t="str">
        <f aca="false">IF($B29="","",ROUND(SUMIFS(记账凭证!$H$4:$H$3609,记账凭证!$J$4:$J$3609,$B29,记账凭证!$E$4:$E$3609,"应付账款"),2))</f>
        <v/>
      </c>
      <c r="J29" s="70" t="str">
        <f aca="false">IF($B29="","",ROUND(N($G29)+N($H29)-N($I29),2))</f>
        <v/>
      </c>
      <c r="K29" s="70" t="str">
        <f aca="false">IF($B29="","",ROUND(N($F29)-N($J29),2))</f>
        <v/>
      </c>
      <c r="L29" s="40" t="str">
        <f aca="false">IF($B29="","",IF(ROUND(N($K29),2)&gt;0,"对方欠款",IF(ROUND(N($K29),2)&lt;0,"我方欠款","已两清")))</f>
        <v/>
      </c>
      <c r="M29" s="124"/>
    </row>
    <row r="30" customFormat="false" ht="13.5" hidden="false" customHeight="false" outlineLevel="0" collapsed="false">
      <c r="A30" s="40" t="str">
        <f aca="false">IF($B30="","",ROW()-4)</f>
        <v/>
      </c>
      <c r="B30" s="33" t="str">
        <f aca="false">IFERROR(INDEX(_自动清单!$E$4:$E$253,ROW()-4),"")</f>
        <v/>
      </c>
      <c r="C30" s="123"/>
      <c r="D30" s="70" t="str">
        <f aca="false">IF($B30="","",ROUND(SUMIFS(进销存对接!$G$4:$G$305,进销存对接!$I$4:$I$305,"客户往来",进销存对接!$C$4:$C$305,$B30),2))</f>
        <v/>
      </c>
      <c r="E30" s="70" t="str">
        <f aca="false">IF($B30="","",ROUND(SUMIFS(资金日记账!$H$4:$H$603,资金日记账!$E$4:$E$603,$B30,资金日记账!$K$4:$K$603,"应收账款"),2))</f>
        <v/>
      </c>
      <c r="F30" s="70" t="str">
        <f aca="false">IF($B30="","",ROUND(N($C30)+N($D30)-N($E30),2))</f>
        <v/>
      </c>
      <c r="G30" s="123"/>
      <c r="H30" s="70" t="str">
        <f aca="false">IF($B30="","",ROUND(SUMIFS(进销存对接!$F$4:$F$305,进销存对接!$I$4:$I$305,"客户往来",进销存对接!$C$4:$C$305,$B30)+SUMIFS(记账凭证!$I$4:$I$3609,记账凭证!$J$4:$J$3609,$B30,记账凭证!$E$4:$E$3609,"应付账款"),2))</f>
        <v/>
      </c>
      <c r="I30" s="70" t="str">
        <f aca="false">IF($B30="","",ROUND(SUMIFS(记账凭证!$H$4:$H$3609,记账凭证!$J$4:$J$3609,$B30,记账凭证!$E$4:$E$3609,"应付账款"),2))</f>
        <v/>
      </c>
      <c r="J30" s="70" t="str">
        <f aca="false">IF($B30="","",ROUND(N($G30)+N($H30)-N($I30),2))</f>
        <v/>
      </c>
      <c r="K30" s="70" t="str">
        <f aca="false">IF($B30="","",ROUND(N($F30)-N($J30),2))</f>
        <v/>
      </c>
      <c r="L30" s="40" t="str">
        <f aca="false">IF($B30="","",IF(ROUND(N($K30),2)&gt;0,"对方欠款",IF(ROUND(N($K30),2)&lt;0,"我方欠款","已两清")))</f>
        <v/>
      </c>
      <c r="M30" s="124"/>
    </row>
    <row r="31" customFormat="false" ht="13.5" hidden="false" customHeight="false" outlineLevel="0" collapsed="false">
      <c r="A31" s="40" t="str">
        <f aca="false">IF($B31="","",ROW()-4)</f>
        <v/>
      </c>
      <c r="B31" s="33" t="str">
        <f aca="false">IFERROR(INDEX(_自动清单!$E$4:$E$253,ROW()-4),"")</f>
        <v/>
      </c>
      <c r="C31" s="123"/>
      <c r="D31" s="70" t="str">
        <f aca="false">IF($B31="","",ROUND(SUMIFS(进销存对接!$G$4:$G$305,进销存对接!$I$4:$I$305,"客户往来",进销存对接!$C$4:$C$305,$B31),2))</f>
        <v/>
      </c>
      <c r="E31" s="70" t="str">
        <f aca="false">IF($B31="","",ROUND(SUMIFS(资金日记账!$H$4:$H$603,资金日记账!$E$4:$E$603,$B31,资金日记账!$K$4:$K$603,"应收账款"),2))</f>
        <v/>
      </c>
      <c r="F31" s="70" t="str">
        <f aca="false">IF($B31="","",ROUND(N($C31)+N($D31)-N($E31),2))</f>
        <v/>
      </c>
      <c r="G31" s="123"/>
      <c r="H31" s="70" t="str">
        <f aca="false">IF($B31="","",ROUND(SUMIFS(进销存对接!$F$4:$F$305,进销存对接!$I$4:$I$305,"客户往来",进销存对接!$C$4:$C$305,$B31)+SUMIFS(记账凭证!$I$4:$I$3609,记账凭证!$J$4:$J$3609,$B31,记账凭证!$E$4:$E$3609,"应付账款"),2))</f>
        <v/>
      </c>
      <c r="I31" s="70" t="str">
        <f aca="false">IF($B31="","",ROUND(SUMIFS(记账凭证!$H$4:$H$3609,记账凭证!$J$4:$J$3609,$B31,记账凭证!$E$4:$E$3609,"应付账款"),2))</f>
        <v/>
      </c>
      <c r="J31" s="70" t="str">
        <f aca="false">IF($B31="","",ROUND(N($G31)+N($H31)-N($I31),2))</f>
        <v/>
      </c>
      <c r="K31" s="70" t="str">
        <f aca="false">IF($B31="","",ROUND(N($F31)-N($J31),2))</f>
        <v/>
      </c>
      <c r="L31" s="40" t="str">
        <f aca="false">IF($B31="","",IF(ROUND(N($K31),2)&gt;0,"对方欠款",IF(ROUND(N($K31),2)&lt;0,"我方欠款","已两清")))</f>
        <v/>
      </c>
      <c r="M31" s="124"/>
    </row>
    <row r="32" customFormat="false" ht="13.5" hidden="false" customHeight="false" outlineLevel="0" collapsed="false">
      <c r="A32" s="40" t="str">
        <f aca="false">IF($B32="","",ROW()-4)</f>
        <v/>
      </c>
      <c r="B32" s="33" t="str">
        <f aca="false">IFERROR(INDEX(_自动清单!$E$4:$E$253,ROW()-4),"")</f>
        <v/>
      </c>
      <c r="C32" s="123"/>
      <c r="D32" s="70" t="str">
        <f aca="false">IF($B32="","",ROUND(SUMIFS(进销存对接!$G$4:$G$305,进销存对接!$I$4:$I$305,"客户往来",进销存对接!$C$4:$C$305,$B32),2))</f>
        <v/>
      </c>
      <c r="E32" s="70" t="str">
        <f aca="false">IF($B32="","",ROUND(SUMIFS(资金日记账!$H$4:$H$603,资金日记账!$E$4:$E$603,$B32,资金日记账!$K$4:$K$603,"应收账款"),2))</f>
        <v/>
      </c>
      <c r="F32" s="70" t="str">
        <f aca="false">IF($B32="","",ROUND(N($C32)+N($D32)-N($E32),2))</f>
        <v/>
      </c>
      <c r="G32" s="123"/>
      <c r="H32" s="70" t="str">
        <f aca="false">IF($B32="","",ROUND(SUMIFS(进销存对接!$F$4:$F$305,进销存对接!$I$4:$I$305,"客户往来",进销存对接!$C$4:$C$305,$B32)+SUMIFS(记账凭证!$I$4:$I$3609,记账凭证!$J$4:$J$3609,$B32,记账凭证!$E$4:$E$3609,"应付账款"),2))</f>
        <v/>
      </c>
      <c r="I32" s="70" t="str">
        <f aca="false">IF($B32="","",ROUND(SUMIFS(记账凭证!$H$4:$H$3609,记账凭证!$J$4:$J$3609,$B32,记账凭证!$E$4:$E$3609,"应付账款"),2))</f>
        <v/>
      </c>
      <c r="J32" s="70" t="str">
        <f aca="false">IF($B32="","",ROUND(N($G32)+N($H32)-N($I32),2))</f>
        <v/>
      </c>
      <c r="K32" s="70" t="str">
        <f aca="false">IF($B32="","",ROUND(N($F32)-N($J32),2))</f>
        <v/>
      </c>
      <c r="L32" s="40" t="str">
        <f aca="false">IF($B32="","",IF(ROUND(N($K32),2)&gt;0,"对方欠款",IF(ROUND(N($K32),2)&lt;0,"我方欠款","已两清")))</f>
        <v/>
      </c>
      <c r="M32" s="124"/>
    </row>
    <row r="33" customFormat="false" ht="13.5" hidden="false" customHeight="false" outlineLevel="0" collapsed="false">
      <c r="A33" s="40" t="str">
        <f aca="false">IF($B33="","",ROW()-4)</f>
        <v/>
      </c>
      <c r="B33" s="33" t="str">
        <f aca="false">IFERROR(INDEX(_自动清单!$E$4:$E$253,ROW()-4),"")</f>
        <v/>
      </c>
      <c r="C33" s="123"/>
      <c r="D33" s="70" t="str">
        <f aca="false">IF($B33="","",ROUND(SUMIFS(进销存对接!$G$4:$G$305,进销存对接!$I$4:$I$305,"客户往来",进销存对接!$C$4:$C$305,$B33),2))</f>
        <v/>
      </c>
      <c r="E33" s="70" t="str">
        <f aca="false">IF($B33="","",ROUND(SUMIFS(资金日记账!$H$4:$H$603,资金日记账!$E$4:$E$603,$B33,资金日记账!$K$4:$K$603,"应收账款"),2))</f>
        <v/>
      </c>
      <c r="F33" s="70" t="str">
        <f aca="false">IF($B33="","",ROUND(N($C33)+N($D33)-N($E33),2))</f>
        <v/>
      </c>
      <c r="G33" s="123"/>
      <c r="H33" s="70" t="str">
        <f aca="false">IF($B33="","",ROUND(SUMIFS(进销存对接!$F$4:$F$305,进销存对接!$I$4:$I$305,"客户往来",进销存对接!$C$4:$C$305,$B33)+SUMIFS(记账凭证!$I$4:$I$3609,记账凭证!$J$4:$J$3609,$B33,记账凭证!$E$4:$E$3609,"应付账款"),2))</f>
        <v/>
      </c>
      <c r="I33" s="70" t="str">
        <f aca="false">IF($B33="","",ROUND(SUMIFS(记账凭证!$H$4:$H$3609,记账凭证!$J$4:$J$3609,$B33,记账凭证!$E$4:$E$3609,"应付账款"),2))</f>
        <v/>
      </c>
      <c r="J33" s="70" t="str">
        <f aca="false">IF($B33="","",ROUND(N($G33)+N($H33)-N($I33),2))</f>
        <v/>
      </c>
      <c r="K33" s="70" t="str">
        <f aca="false">IF($B33="","",ROUND(N($F33)-N($J33),2))</f>
        <v/>
      </c>
      <c r="L33" s="40" t="str">
        <f aca="false">IF($B33="","",IF(ROUND(N($K33),2)&gt;0,"对方欠款",IF(ROUND(N($K33),2)&lt;0,"我方欠款","已两清")))</f>
        <v/>
      </c>
      <c r="M33" s="124"/>
    </row>
    <row r="34" customFormat="false" ht="13.5" hidden="false" customHeight="false" outlineLevel="0" collapsed="false">
      <c r="A34" s="40" t="str">
        <f aca="false">IF($B34="","",ROW()-4)</f>
        <v/>
      </c>
      <c r="B34" s="33" t="str">
        <f aca="false">IFERROR(INDEX(_自动清单!$E$4:$E$253,ROW()-4),"")</f>
        <v/>
      </c>
      <c r="C34" s="123"/>
      <c r="D34" s="70" t="str">
        <f aca="false">IF($B34="","",ROUND(SUMIFS(进销存对接!$G$4:$G$305,进销存对接!$I$4:$I$305,"客户往来",进销存对接!$C$4:$C$305,$B34),2))</f>
        <v/>
      </c>
      <c r="E34" s="70" t="str">
        <f aca="false">IF($B34="","",ROUND(SUMIFS(资金日记账!$H$4:$H$603,资金日记账!$E$4:$E$603,$B34,资金日记账!$K$4:$K$603,"应收账款"),2))</f>
        <v/>
      </c>
      <c r="F34" s="70" t="str">
        <f aca="false">IF($B34="","",ROUND(N($C34)+N($D34)-N($E34),2))</f>
        <v/>
      </c>
      <c r="G34" s="123"/>
      <c r="H34" s="70" t="str">
        <f aca="false">IF($B34="","",ROUND(SUMIFS(进销存对接!$F$4:$F$305,进销存对接!$I$4:$I$305,"客户往来",进销存对接!$C$4:$C$305,$B34)+SUMIFS(记账凭证!$I$4:$I$3609,记账凭证!$J$4:$J$3609,$B34,记账凭证!$E$4:$E$3609,"应付账款"),2))</f>
        <v/>
      </c>
      <c r="I34" s="70" t="str">
        <f aca="false">IF($B34="","",ROUND(SUMIFS(记账凭证!$H$4:$H$3609,记账凭证!$J$4:$J$3609,$B34,记账凭证!$E$4:$E$3609,"应付账款"),2))</f>
        <v/>
      </c>
      <c r="J34" s="70" t="str">
        <f aca="false">IF($B34="","",ROUND(N($G34)+N($H34)-N($I34),2))</f>
        <v/>
      </c>
      <c r="K34" s="70" t="str">
        <f aca="false">IF($B34="","",ROUND(N($F34)-N($J34),2))</f>
        <v/>
      </c>
      <c r="L34" s="40" t="str">
        <f aca="false">IF($B34="","",IF(ROUND(N($K34),2)&gt;0,"对方欠款",IF(ROUND(N($K34),2)&lt;0,"我方欠款","已两清")))</f>
        <v/>
      </c>
      <c r="M34" s="124"/>
    </row>
    <row r="35" customFormat="false" ht="13.5" hidden="false" customHeight="false" outlineLevel="0" collapsed="false">
      <c r="A35" s="40" t="str">
        <f aca="false">IF($B35="","",ROW()-4)</f>
        <v/>
      </c>
      <c r="B35" s="33" t="str">
        <f aca="false">IFERROR(INDEX(_自动清单!$E$4:$E$253,ROW()-4),"")</f>
        <v/>
      </c>
      <c r="C35" s="123"/>
      <c r="D35" s="70" t="str">
        <f aca="false">IF($B35="","",ROUND(SUMIFS(进销存对接!$G$4:$G$305,进销存对接!$I$4:$I$305,"客户往来",进销存对接!$C$4:$C$305,$B35),2))</f>
        <v/>
      </c>
      <c r="E35" s="70" t="str">
        <f aca="false">IF($B35="","",ROUND(SUMIFS(资金日记账!$H$4:$H$603,资金日记账!$E$4:$E$603,$B35,资金日记账!$K$4:$K$603,"应收账款"),2))</f>
        <v/>
      </c>
      <c r="F35" s="70" t="str">
        <f aca="false">IF($B35="","",ROUND(N($C35)+N($D35)-N($E35),2))</f>
        <v/>
      </c>
      <c r="G35" s="123"/>
      <c r="H35" s="70" t="str">
        <f aca="false">IF($B35="","",ROUND(SUMIFS(进销存对接!$F$4:$F$305,进销存对接!$I$4:$I$305,"客户往来",进销存对接!$C$4:$C$305,$B35)+SUMIFS(记账凭证!$I$4:$I$3609,记账凭证!$J$4:$J$3609,$B35,记账凭证!$E$4:$E$3609,"应付账款"),2))</f>
        <v/>
      </c>
      <c r="I35" s="70" t="str">
        <f aca="false">IF($B35="","",ROUND(SUMIFS(记账凭证!$H$4:$H$3609,记账凭证!$J$4:$J$3609,$B35,记账凭证!$E$4:$E$3609,"应付账款"),2))</f>
        <v/>
      </c>
      <c r="J35" s="70" t="str">
        <f aca="false">IF($B35="","",ROUND(N($G35)+N($H35)-N($I35),2))</f>
        <v/>
      </c>
      <c r="K35" s="70" t="str">
        <f aca="false">IF($B35="","",ROUND(N($F35)-N($J35),2))</f>
        <v/>
      </c>
      <c r="L35" s="40" t="str">
        <f aca="false">IF($B35="","",IF(ROUND(N($K35),2)&gt;0,"对方欠款",IF(ROUND(N($K35),2)&lt;0,"我方欠款","已两清")))</f>
        <v/>
      </c>
      <c r="M35" s="124"/>
    </row>
    <row r="36" customFormat="false" ht="13.5" hidden="false" customHeight="false" outlineLevel="0" collapsed="false">
      <c r="A36" s="40" t="str">
        <f aca="false">IF($B36="","",ROW()-4)</f>
        <v/>
      </c>
      <c r="B36" s="33" t="str">
        <f aca="false">IFERROR(INDEX(_自动清单!$E$4:$E$253,ROW()-4),"")</f>
        <v/>
      </c>
      <c r="C36" s="123"/>
      <c r="D36" s="70" t="str">
        <f aca="false">IF($B36="","",ROUND(SUMIFS(进销存对接!$G$4:$G$305,进销存对接!$I$4:$I$305,"客户往来",进销存对接!$C$4:$C$305,$B36),2))</f>
        <v/>
      </c>
      <c r="E36" s="70" t="str">
        <f aca="false">IF($B36="","",ROUND(SUMIFS(资金日记账!$H$4:$H$603,资金日记账!$E$4:$E$603,$B36,资金日记账!$K$4:$K$603,"应收账款"),2))</f>
        <v/>
      </c>
      <c r="F36" s="70" t="str">
        <f aca="false">IF($B36="","",ROUND(N($C36)+N($D36)-N($E36),2))</f>
        <v/>
      </c>
      <c r="G36" s="123"/>
      <c r="H36" s="70" t="str">
        <f aca="false">IF($B36="","",ROUND(SUMIFS(进销存对接!$F$4:$F$305,进销存对接!$I$4:$I$305,"客户往来",进销存对接!$C$4:$C$305,$B36)+SUMIFS(记账凭证!$I$4:$I$3609,记账凭证!$J$4:$J$3609,$B36,记账凭证!$E$4:$E$3609,"应付账款"),2))</f>
        <v/>
      </c>
      <c r="I36" s="70" t="str">
        <f aca="false">IF($B36="","",ROUND(SUMIFS(记账凭证!$H$4:$H$3609,记账凭证!$J$4:$J$3609,$B36,记账凭证!$E$4:$E$3609,"应付账款"),2))</f>
        <v/>
      </c>
      <c r="J36" s="70" t="str">
        <f aca="false">IF($B36="","",ROUND(N($G36)+N($H36)-N($I36),2))</f>
        <v/>
      </c>
      <c r="K36" s="70" t="str">
        <f aca="false">IF($B36="","",ROUND(N($F36)-N($J36),2))</f>
        <v/>
      </c>
      <c r="L36" s="40" t="str">
        <f aca="false">IF($B36="","",IF(ROUND(N($K36),2)&gt;0,"对方欠款",IF(ROUND(N($K36),2)&lt;0,"我方欠款","已两清")))</f>
        <v/>
      </c>
      <c r="M36" s="124"/>
    </row>
    <row r="37" customFormat="false" ht="13.5" hidden="false" customHeight="false" outlineLevel="0" collapsed="false">
      <c r="A37" s="40" t="str">
        <f aca="false">IF($B37="","",ROW()-4)</f>
        <v/>
      </c>
      <c r="B37" s="33" t="str">
        <f aca="false">IFERROR(INDEX(_自动清单!$E$4:$E$253,ROW()-4),"")</f>
        <v/>
      </c>
      <c r="C37" s="123"/>
      <c r="D37" s="70" t="str">
        <f aca="false">IF($B37="","",ROUND(SUMIFS(进销存对接!$G$4:$G$305,进销存对接!$I$4:$I$305,"客户往来",进销存对接!$C$4:$C$305,$B37),2))</f>
        <v/>
      </c>
      <c r="E37" s="70" t="str">
        <f aca="false">IF($B37="","",ROUND(SUMIFS(资金日记账!$H$4:$H$603,资金日记账!$E$4:$E$603,$B37,资金日记账!$K$4:$K$603,"应收账款"),2))</f>
        <v/>
      </c>
      <c r="F37" s="70" t="str">
        <f aca="false">IF($B37="","",ROUND(N($C37)+N($D37)-N($E37),2))</f>
        <v/>
      </c>
      <c r="G37" s="123"/>
      <c r="H37" s="70" t="str">
        <f aca="false">IF($B37="","",ROUND(SUMIFS(进销存对接!$F$4:$F$305,进销存对接!$I$4:$I$305,"客户往来",进销存对接!$C$4:$C$305,$B37)+SUMIFS(记账凭证!$I$4:$I$3609,记账凭证!$J$4:$J$3609,$B37,记账凭证!$E$4:$E$3609,"应付账款"),2))</f>
        <v/>
      </c>
      <c r="I37" s="70" t="str">
        <f aca="false">IF($B37="","",ROUND(SUMIFS(记账凭证!$H$4:$H$3609,记账凭证!$J$4:$J$3609,$B37,记账凭证!$E$4:$E$3609,"应付账款"),2))</f>
        <v/>
      </c>
      <c r="J37" s="70" t="str">
        <f aca="false">IF($B37="","",ROUND(N($G37)+N($H37)-N($I37),2))</f>
        <v/>
      </c>
      <c r="K37" s="70" t="str">
        <f aca="false">IF($B37="","",ROUND(N($F37)-N($J37),2))</f>
        <v/>
      </c>
      <c r="L37" s="40" t="str">
        <f aca="false">IF($B37="","",IF(ROUND(N($K37),2)&gt;0,"对方欠款",IF(ROUND(N($K37),2)&lt;0,"我方欠款","已两清")))</f>
        <v/>
      </c>
      <c r="M37" s="124"/>
    </row>
    <row r="38" customFormat="false" ht="13.5" hidden="false" customHeight="false" outlineLevel="0" collapsed="false">
      <c r="A38" s="40" t="str">
        <f aca="false">IF($B38="","",ROW()-4)</f>
        <v/>
      </c>
      <c r="B38" s="33" t="str">
        <f aca="false">IFERROR(INDEX(_自动清单!$E$4:$E$253,ROW()-4),"")</f>
        <v/>
      </c>
      <c r="C38" s="123"/>
      <c r="D38" s="70" t="str">
        <f aca="false">IF($B38="","",ROUND(SUMIFS(进销存对接!$G$4:$G$305,进销存对接!$I$4:$I$305,"客户往来",进销存对接!$C$4:$C$305,$B38),2))</f>
        <v/>
      </c>
      <c r="E38" s="70" t="str">
        <f aca="false">IF($B38="","",ROUND(SUMIFS(资金日记账!$H$4:$H$603,资金日记账!$E$4:$E$603,$B38,资金日记账!$K$4:$K$603,"应收账款"),2))</f>
        <v/>
      </c>
      <c r="F38" s="70" t="str">
        <f aca="false">IF($B38="","",ROUND(N($C38)+N($D38)-N($E38),2))</f>
        <v/>
      </c>
      <c r="G38" s="123"/>
      <c r="H38" s="70" t="str">
        <f aca="false">IF($B38="","",ROUND(SUMIFS(进销存对接!$F$4:$F$305,进销存对接!$I$4:$I$305,"客户往来",进销存对接!$C$4:$C$305,$B38)+SUMIFS(记账凭证!$I$4:$I$3609,记账凭证!$J$4:$J$3609,$B38,记账凭证!$E$4:$E$3609,"应付账款"),2))</f>
        <v/>
      </c>
      <c r="I38" s="70" t="str">
        <f aca="false">IF($B38="","",ROUND(SUMIFS(记账凭证!$H$4:$H$3609,记账凭证!$J$4:$J$3609,$B38,记账凭证!$E$4:$E$3609,"应付账款"),2))</f>
        <v/>
      </c>
      <c r="J38" s="70" t="str">
        <f aca="false">IF($B38="","",ROUND(N($G38)+N($H38)-N($I38),2))</f>
        <v/>
      </c>
      <c r="K38" s="70" t="str">
        <f aca="false">IF($B38="","",ROUND(N($F38)-N($J38),2))</f>
        <v/>
      </c>
      <c r="L38" s="40" t="str">
        <f aca="false">IF($B38="","",IF(ROUND(N($K38),2)&gt;0,"对方欠款",IF(ROUND(N($K38),2)&lt;0,"我方欠款","已两清")))</f>
        <v/>
      </c>
      <c r="M38" s="124"/>
    </row>
    <row r="39" customFormat="false" ht="13.5" hidden="false" customHeight="false" outlineLevel="0" collapsed="false">
      <c r="A39" s="40" t="str">
        <f aca="false">IF($B39="","",ROW()-4)</f>
        <v/>
      </c>
      <c r="B39" s="33" t="str">
        <f aca="false">IFERROR(INDEX(_自动清单!$E$4:$E$253,ROW()-4),"")</f>
        <v/>
      </c>
      <c r="C39" s="123"/>
      <c r="D39" s="70" t="str">
        <f aca="false">IF($B39="","",ROUND(SUMIFS(进销存对接!$G$4:$G$305,进销存对接!$I$4:$I$305,"客户往来",进销存对接!$C$4:$C$305,$B39),2))</f>
        <v/>
      </c>
      <c r="E39" s="70" t="str">
        <f aca="false">IF($B39="","",ROUND(SUMIFS(资金日记账!$H$4:$H$603,资金日记账!$E$4:$E$603,$B39,资金日记账!$K$4:$K$603,"应收账款"),2))</f>
        <v/>
      </c>
      <c r="F39" s="70" t="str">
        <f aca="false">IF($B39="","",ROUND(N($C39)+N($D39)-N($E39),2))</f>
        <v/>
      </c>
      <c r="G39" s="123"/>
      <c r="H39" s="70" t="str">
        <f aca="false">IF($B39="","",ROUND(SUMIFS(进销存对接!$F$4:$F$305,进销存对接!$I$4:$I$305,"客户往来",进销存对接!$C$4:$C$305,$B39)+SUMIFS(记账凭证!$I$4:$I$3609,记账凭证!$J$4:$J$3609,$B39,记账凭证!$E$4:$E$3609,"应付账款"),2))</f>
        <v/>
      </c>
      <c r="I39" s="70" t="str">
        <f aca="false">IF($B39="","",ROUND(SUMIFS(记账凭证!$H$4:$H$3609,记账凭证!$J$4:$J$3609,$B39,记账凭证!$E$4:$E$3609,"应付账款"),2))</f>
        <v/>
      </c>
      <c r="J39" s="70" t="str">
        <f aca="false">IF($B39="","",ROUND(N($G39)+N($H39)-N($I39),2))</f>
        <v/>
      </c>
      <c r="K39" s="70" t="str">
        <f aca="false">IF($B39="","",ROUND(N($F39)-N($J39),2))</f>
        <v/>
      </c>
      <c r="L39" s="40" t="str">
        <f aca="false">IF($B39="","",IF(ROUND(N($K39),2)&gt;0,"对方欠款",IF(ROUND(N($K39),2)&lt;0,"我方欠款","已两清")))</f>
        <v/>
      </c>
      <c r="M39" s="124"/>
    </row>
    <row r="40" customFormat="false" ht="13.5" hidden="false" customHeight="false" outlineLevel="0" collapsed="false">
      <c r="A40" s="40" t="str">
        <f aca="false">IF($B40="","",ROW()-4)</f>
        <v/>
      </c>
      <c r="B40" s="33" t="str">
        <f aca="false">IFERROR(INDEX(_自动清单!$E$4:$E$253,ROW()-4),"")</f>
        <v/>
      </c>
      <c r="C40" s="123"/>
      <c r="D40" s="70" t="str">
        <f aca="false">IF($B40="","",ROUND(SUMIFS(进销存对接!$G$4:$G$305,进销存对接!$I$4:$I$305,"客户往来",进销存对接!$C$4:$C$305,$B40),2))</f>
        <v/>
      </c>
      <c r="E40" s="70" t="str">
        <f aca="false">IF($B40="","",ROUND(SUMIFS(资金日记账!$H$4:$H$603,资金日记账!$E$4:$E$603,$B40,资金日记账!$K$4:$K$603,"应收账款"),2))</f>
        <v/>
      </c>
      <c r="F40" s="70" t="str">
        <f aca="false">IF($B40="","",ROUND(N($C40)+N($D40)-N($E40),2))</f>
        <v/>
      </c>
      <c r="G40" s="123"/>
      <c r="H40" s="70" t="str">
        <f aca="false">IF($B40="","",ROUND(SUMIFS(进销存对接!$F$4:$F$305,进销存对接!$I$4:$I$305,"客户往来",进销存对接!$C$4:$C$305,$B40)+SUMIFS(记账凭证!$I$4:$I$3609,记账凭证!$J$4:$J$3609,$B40,记账凭证!$E$4:$E$3609,"应付账款"),2))</f>
        <v/>
      </c>
      <c r="I40" s="70" t="str">
        <f aca="false">IF($B40="","",ROUND(SUMIFS(记账凭证!$H$4:$H$3609,记账凭证!$J$4:$J$3609,$B40,记账凭证!$E$4:$E$3609,"应付账款"),2))</f>
        <v/>
      </c>
      <c r="J40" s="70" t="str">
        <f aca="false">IF($B40="","",ROUND(N($G40)+N($H40)-N($I40),2))</f>
        <v/>
      </c>
      <c r="K40" s="70" t="str">
        <f aca="false">IF($B40="","",ROUND(N($F40)-N($J40),2))</f>
        <v/>
      </c>
      <c r="L40" s="40" t="str">
        <f aca="false">IF($B40="","",IF(ROUND(N($K40),2)&gt;0,"对方欠款",IF(ROUND(N($K40),2)&lt;0,"我方欠款","已两清")))</f>
        <v/>
      </c>
      <c r="M40" s="124"/>
    </row>
    <row r="41" customFormat="false" ht="13.5" hidden="false" customHeight="false" outlineLevel="0" collapsed="false">
      <c r="A41" s="40" t="str">
        <f aca="false">IF($B41="","",ROW()-4)</f>
        <v/>
      </c>
      <c r="B41" s="33" t="str">
        <f aca="false">IFERROR(INDEX(_自动清单!$E$4:$E$253,ROW()-4),"")</f>
        <v/>
      </c>
      <c r="C41" s="123"/>
      <c r="D41" s="70" t="str">
        <f aca="false">IF($B41="","",ROUND(SUMIFS(进销存对接!$G$4:$G$305,进销存对接!$I$4:$I$305,"客户往来",进销存对接!$C$4:$C$305,$B41),2))</f>
        <v/>
      </c>
      <c r="E41" s="70" t="str">
        <f aca="false">IF($B41="","",ROUND(SUMIFS(资金日记账!$H$4:$H$603,资金日记账!$E$4:$E$603,$B41,资金日记账!$K$4:$K$603,"应收账款"),2))</f>
        <v/>
      </c>
      <c r="F41" s="70" t="str">
        <f aca="false">IF($B41="","",ROUND(N($C41)+N($D41)-N($E41),2))</f>
        <v/>
      </c>
      <c r="G41" s="123"/>
      <c r="H41" s="70" t="str">
        <f aca="false">IF($B41="","",ROUND(SUMIFS(进销存对接!$F$4:$F$305,进销存对接!$I$4:$I$305,"客户往来",进销存对接!$C$4:$C$305,$B41)+SUMIFS(记账凭证!$I$4:$I$3609,记账凭证!$J$4:$J$3609,$B41,记账凭证!$E$4:$E$3609,"应付账款"),2))</f>
        <v/>
      </c>
      <c r="I41" s="70" t="str">
        <f aca="false">IF($B41="","",ROUND(SUMIFS(记账凭证!$H$4:$H$3609,记账凭证!$J$4:$J$3609,$B41,记账凭证!$E$4:$E$3609,"应付账款"),2))</f>
        <v/>
      </c>
      <c r="J41" s="70" t="str">
        <f aca="false">IF($B41="","",ROUND(N($G41)+N($H41)-N($I41),2))</f>
        <v/>
      </c>
      <c r="K41" s="70" t="str">
        <f aca="false">IF($B41="","",ROUND(N($F41)-N($J41),2))</f>
        <v/>
      </c>
      <c r="L41" s="40" t="str">
        <f aca="false">IF($B41="","",IF(ROUND(N($K41),2)&gt;0,"对方欠款",IF(ROUND(N($K41),2)&lt;0,"我方欠款","已两清")))</f>
        <v/>
      </c>
      <c r="M41" s="124"/>
    </row>
    <row r="42" customFormat="false" ht="13.5" hidden="false" customHeight="false" outlineLevel="0" collapsed="false">
      <c r="A42" s="40" t="str">
        <f aca="false">IF($B42="","",ROW()-4)</f>
        <v/>
      </c>
      <c r="B42" s="33" t="str">
        <f aca="false">IFERROR(INDEX(_自动清单!$E$4:$E$253,ROW()-4),"")</f>
        <v/>
      </c>
      <c r="C42" s="123"/>
      <c r="D42" s="70" t="str">
        <f aca="false">IF($B42="","",ROUND(SUMIFS(进销存对接!$G$4:$G$305,进销存对接!$I$4:$I$305,"客户往来",进销存对接!$C$4:$C$305,$B42),2))</f>
        <v/>
      </c>
      <c r="E42" s="70" t="str">
        <f aca="false">IF($B42="","",ROUND(SUMIFS(资金日记账!$H$4:$H$603,资金日记账!$E$4:$E$603,$B42,资金日记账!$K$4:$K$603,"应收账款"),2))</f>
        <v/>
      </c>
      <c r="F42" s="70" t="str">
        <f aca="false">IF($B42="","",ROUND(N($C42)+N($D42)-N($E42),2))</f>
        <v/>
      </c>
      <c r="G42" s="123"/>
      <c r="H42" s="70" t="str">
        <f aca="false">IF($B42="","",ROUND(SUMIFS(进销存对接!$F$4:$F$305,进销存对接!$I$4:$I$305,"客户往来",进销存对接!$C$4:$C$305,$B42)+SUMIFS(记账凭证!$I$4:$I$3609,记账凭证!$J$4:$J$3609,$B42,记账凭证!$E$4:$E$3609,"应付账款"),2))</f>
        <v/>
      </c>
      <c r="I42" s="70" t="str">
        <f aca="false">IF($B42="","",ROUND(SUMIFS(记账凭证!$H$4:$H$3609,记账凭证!$J$4:$J$3609,$B42,记账凭证!$E$4:$E$3609,"应付账款"),2))</f>
        <v/>
      </c>
      <c r="J42" s="70" t="str">
        <f aca="false">IF($B42="","",ROUND(N($G42)+N($H42)-N($I42),2))</f>
        <v/>
      </c>
      <c r="K42" s="70" t="str">
        <f aca="false">IF($B42="","",ROUND(N($F42)-N($J42),2))</f>
        <v/>
      </c>
      <c r="L42" s="40" t="str">
        <f aca="false">IF($B42="","",IF(ROUND(N($K42),2)&gt;0,"对方欠款",IF(ROUND(N($K42),2)&lt;0,"我方欠款","已两清")))</f>
        <v/>
      </c>
      <c r="M42" s="124"/>
    </row>
    <row r="43" customFormat="false" ht="13.5" hidden="false" customHeight="false" outlineLevel="0" collapsed="false">
      <c r="A43" s="40" t="str">
        <f aca="false">IF($B43="","",ROW()-4)</f>
        <v/>
      </c>
      <c r="B43" s="33" t="str">
        <f aca="false">IFERROR(INDEX(_自动清单!$E$4:$E$253,ROW()-4),"")</f>
        <v/>
      </c>
      <c r="C43" s="123"/>
      <c r="D43" s="70" t="str">
        <f aca="false">IF($B43="","",ROUND(SUMIFS(进销存对接!$G$4:$G$305,进销存对接!$I$4:$I$305,"客户往来",进销存对接!$C$4:$C$305,$B43),2))</f>
        <v/>
      </c>
      <c r="E43" s="70" t="str">
        <f aca="false">IF($B43="","",ROUND(SUMIFS(资金日记账!$H$4:$H$603,资金日记账!$E$4:$E$603,$B43,资金日记账!$K$4:$K$603,"应收账款"),2))</f>
        <v/>
      </c>
      <c r="F43" s="70" t="str">
        <f aca="false">IF($B43="","",ROUND(N($C43)+N($D43)-N($E43),2))</f>
        <v/>
      </c>
      <c r="G43" s="123"/>
      <c r="H43" s="70" t="str">
        <f aca="false">IF($B43="","",ROUND(SUMIFS(进销存对接!$F$4:$F$305,进销存对接!$I$4:$I$305,"客户往来",进销存对接!$C$4:$C$305,$B43)+SUMIFS(记账凭证!$I$4:$I$3609,记账凭证!$J$4:$J$3609,$B43,记账凭证!$E$4:$E$3609,"应付账款"),2))</f>
        <v/>
      </c>
      <c r="I43" s="70" t="str">
        <f aca="false">IF($B43="","",ROUND(SUMIFS(记账凭证!$H$4:$H$3609,记账凭证!$J$4:$J$3609,$B43,记账凭证!$E$4:$E$3609,"应付账款"),2))</f>
        <v/>
      </c>
      <c r="J43" s="70" t="str">
        <f aca="false">IF($B43="","",ROUND(N($G43)+N($H43)-N($I43),2))</f>
        <v/>
      </c>
      <c r="K43" s="70" t="str">
        <f aca="false">IF($B43="","",ROUND(N($F43)-N($J43),2))</f>
        <v/>
      </c>
      <c r="L43" s="40" t="str">
        <f aca="false">IF($B43="","",IF(ROUND(N($K43),2)&gt;0,"对方欠款",IF(ROUND(N($K43),2)&lt;0,"我方欠款","已两清")))</f>
        <v/>
      </c>
      <c r="M43" s="124"/>
    </row>
    <row r="44" customFormat="false" ht="13.5" hidden="false" customHeight="false" outlineLevel="0" collapsed="false">
      <c r="A44" s="40" t="str">
        <f aca="false">IF($B44="","",ROW()-4)</f>
        <v/>
      </c>
      <c r="B44" s="33" t="str">
        <f aca="false">IFERROR(INDEX(_自动清单!$E$4:$E$253,ROW()-4),"")</f>
        <v/>
      </c>
      <c r="C44" s="123"/>
      <c r="D44" s="70" t="str">
        <f aca="false">IF($B44="","",ROUND(SUMIFS(进销存对接!$G$4:$G$305,进销存对接!$I$4:$I$305,"客户往来",进销存对接!$C$4:$C$305,$B44),2))</f>
        <v/>
      </c>
      <c r="E44" s="70" t="str">
        <f aca="false">IF($B44="","",ROUND(SUMIFS(资金日记账!$H$4:$H$603,资金日记账!$E$4:$E$603,$B44,资金日记账!$K$4:$K$603,"应收账款"),2))</f>
        <v/>
      </c>
      <c r="F44" s="70" t="str">
        <f aca="false">IF($B44="","",ROUND(N($C44)+N($D44)-N($E44),2))</f>
        <v/>
      </c>
      <c r="G44" s="123"/>
      <c r="H44" s="70" t="str">
        <f aca="false">IF($B44="","",ROUND(SUMIFS(进销存对接!$F$4:$F$305,进销存对接!$I$4:$I$305,"客户往来",进销存对接!$C$4:$C$305,$B44)+SUMIFS(记账凭证!$I$4:$I$3609,记账凭证!$J$4:$J$3609,$B44,记账凭证!$E$4:$E$3609,"应付账款"),2))</f>
        <v/>
      </c>
      <c r="I44" s="70" t="str">
        <f aca="false">IF($B44="","",ROUND(SUMIFS(记账凭证!$H$4:$H$3609,记账凭证!$J$4:$J$3609,$B44,记账凭证!$E$4:$E$3609,"应付账款"),2))</f>
        <v/>
      </c>
      <c r="J44" s="70" t="str">
        <f aca="false">IF($B44="","",ROUND(N($G44)+N($H44)-N($I44),2))</f>
        <v/>
      </c>
      <c r="K44" s="70" t="str">
        <f aca="false">IF($B44="","",ROUND(N($F44)-N($J44),2))</f>
        <v/>
      </c>
      <c r="L44" s="40" t="str">
        <f aca="false">IF($B44="","",IF(ROUND(N($K44),2)&gt;0,"对方欠款",IF(ROUND(N($K44),2)&lt;0,"我方欠款","已两清")))</f>
        <v/>
      </c>
      <c r="M44" s="124"/>
    </row>
    <row r="45" customFormat="false" ht="13.5" hidden="false" customHeight="false" outlineLevel="0" collapsed="false">
      <c r="A45" s="40" t="str">
        <f aca="false">IF($B45="","",ROW()-4)</f>
        <v/>
      </c>
      <c r="B45" s="33" t="str">
        <f aca="false">IFERROR(INDEX(_自动清单!$E$4:$E$253,ROW()-4),"")</f>
        <v/>
      </c>
      <c r="C45" s="123"/>
      <c r="D45" s="70" t="str">
        <f aca="false">IF($B45="","",ROUND(SUMIFS(进销存对接!$G$4:$G$305,进销存对接!$I$4:$I$305,"客户往来",进销存对接!$C$4:$C$305,$B45),2))</f>
        <v/>
      </c>
      <c r="E45" s="70" t="str">
        <f aca="false">IF($B45="","",ROUND(SUMIFS(资金日记账!$H$4:$H$603,资金日记账!$E$4:$E$603,$B45,资金日记账!$K$4:$K$603,"应收账款"),2))</f>
        <v/>
      </c>
      <c r="F45" s="70" t="str">
        <f aca="false">IF($B45="","",ROUND(N($C45)+N($D45)-N($E45),2))</f>
        <v/>
      </c>
      <c r="G45" s="123"/>
      <c r="H45" s="70" t="str">
        <f aca="false">IF($B45="","",ROUND(SUMIFS(进销存对接!$F$4:$F$305,进销存对接!$I$4:$I$305,"客户往来",进销存对接!$C$4:$C$305,$B45)+SUMIFS(记账凭证!$I$4:$I$3609,记账凭证!$J$4:$J$3609,$B45,记账凭证!$E$4:$E$3609,"应付账款"),2))</f>
        <v/>
      </c>
      <c r="I45" s="70" t="str">
        <f aca="false">IF($B45="","",ROUND(SUMIFS(记账凭证!$H$4:$H$3609,记账凭证!$J$4:$J$3609,$B45,记账凭证!$E$4:$E$3609,"应付账款"),2))</f>
        <v/>
      </c>
      <c r="J45" s="70" t="str">
        <f aca="false">IF($B45="","",ROUND(N($G45)+N($H45)-N($I45),2))</f>
        <v/>
      </c>
      <c r="K45" s="70" t="str">
        <f aca="false">IF($B45="","",ROUND(N($F45)-N($J45),2))</f>
        <v/>
      </c>
      <c r="L45" s="40" t="str">
        <f aca="false">IF($B45="","",IF(ROUND(N($K45),2)&gt;0,"对方欠款",IF(ROUND(N($K45),2)&lt;0,"我方欠款","已两清")))</f>
        <v/>
      </c>
      <c r="M45" s="124"/>
    </row>
    <row r="46" customFormat="false" ht="13.5" hidden="false" customHeight="false" outlineLevel="0" collapsed="false">
      <c r="A46" s="40" t="str">
        <f aca="false">IF($B46="","",ROW()-4)</f>
        <v/>
      </c>
      <c r="B46" s="33" t="str">
        <f aca="false">IFERROR(INDEX(_自动清单!$E$4:$E$253,ROW()-4),"")</f>
        <v/>
      </c>
      <c r="C46" s="123"/>
      <c r="D46" s="70" t="str">
        <f aca="false">IF($B46="","",ROUND(SUMIFS(进销存对接!$G$4:$G$305,进销存对接!$I$4:$I$305,"客户往来",进销存对接!$C$4:$C$305,$B46),2))</f>
        <v/>
      </c>
      <c r="E46" s="70" t="str">
        <f aca="false">IF($B46="","",ROUND(SUMIFS(资金日记账!$H$4:$H$603,资金日记账!$E$4:$E$603,$B46,资金日记账!$K$4:$K$603,"应收账款"),2))</f>
        <v/>
      </c>
      <c r="F46" s="70" t="str">
        <f aca="false">IF($B46="","",ROUND(N($C46)+N($D46)-N($E46),2))</f>
        <v/>
      </c>
      <c r="G46" s="123"/>
      <c r="H46" s="70" t="str">
        <f aca="false">IF($B46="","",ROUND(SUMIFS(进销存对接!$F$4:$F$305,进销存对接!$I$4:$I$305,"客户往来",进销存对接!$C$4:$C$305,$B46)+SUMIFS(记账凭证!$I$4:$I$3609,记账凭证!$J$4:$J$3609,$B46,记账凭证!$E$4:$E$3609,"应付账款"),2))</f>
        <v/>
      </c>
      <c r="I46" s="70" t="str">
        <f aca="false">IF($B46="","",ROUND(SUMIFS(记账凭证!$H$4:$H$3609,记账凭证!$J$4:$J$3609,$B46,记账凭证!$E$4:$E$3609,"应付账款"),2))</f>
        <v/>
      </c>
      <c r="J46" s="70" t="str">
        <f aca="false">IF($B46="","",ROUND(N($G46)+N($H46)-N($I46),2))</f>
        <v/>
      </c>
      <c r="K46" s="70" t="str">
        <f aca="false">IF($B46="","",ROUND(N($F46)-N($J46),2))</f>
        <v/>
      </c>
      <c r="L46" s="40" t="str">
        <f aca="false">IF($B46="","",IF(ROUND(N($K46),2)&gt;0,"对方欠款",IF(ROUND(N($K46),2)&lt;0,"我方欠款","已两清")))</f>
        <v/>
      </c>
      <c r="M46" s="124"/>
    </row>
    <row r="47" customFormat="false" ht="13.5" hidden="false" customHeight="false" outlineLevel="0" collapsed="false">
      <c r="A47" s="40" t="str">
        <f aca="false">IF($B47="","",ROW()-4)</f>
        <v/>
      </c>
      <c r="B47" s="33" t="str">
        <f aca="false">IFERROR(INDEX(_自动清单!$E$4:$E$253,ROW()-4),"")</f>
        <v/>
      </c>
      <c r="C47" s="123"/>
      <c r="D47" s="70" t="str">
        <f aca="false">IF($B47="","",ROUND(SUMIFS(进销存对接!$G$4:$G$305,进销存对接!$I$4:$I$305,"客户往来",进销存对接!$C$4:$C$305,$B47),2))</f>
        <v/>
      </c>
      <c r="E47" s="70" t="str">
        <f aca="false">IF($B47="","",ROUND(SUMIFS(资金日记账!$H$4:$H$603,资金日记账!$E$4:$E$603,$B47,资金日记账!$K$4:$K$603,"应收账款"),2))</f>
        <v/>
      </c>
      <c r="F47" s="70" t="str">
        <f aca="false">IF($B47="","",ROUND(N($C47)+N($D47)-N($E47),2))</f>
        <v/>
      </c>
      <c r="G47" s="123"/>
      <c r="H47" s="70" t="str">
        <f aca="false">IF($B47="","",ROUND(SUMIFS(进销存对接!$F$4:$F$305,进销存对接!$I$4:$I$305,"客户往来",进销存对接!$C$4:$C$305,$B47)+SUMIFS(记账凭证!$I$4:$I$3609,记账凭证!$J$4:$J$3609,$B47,记账凭证!$E$4:$E$3609,"应付账款"),2))</f>
        <v/>
      </c>
      <c r="I47" s="70" t="str">
        <f aca="false">IF($B47="","",ROUND(SUMIFS(记账凭证!$H$4:$H$3609,记账凭证!$J$4:$J$3609,$B47,记账凭证!$E$4:$E$3609,"应付账款"),2))</f>
        <v/>
      </c>
      <c r="J47" s="70" t="str">
        <f aca="false">IF($B47="","",ROUND(N($G47)+N($H47)-N($I47),2))</f>
        <v/>
      </c>
      <c r="K47" s="70" t="str">
        <f aca="false">IF($B47="","",ROUND(N($F47)-N($J47),2))</f>
        <v/>
      </c>
      <c r="L47" s="40" t="str">
        <f aca="false">IF($B47="","",IF(ROUND(N($K47),2)&gt;0,"对方欠款",IF(ROUND(N($K47),2)&lt;0,"我方欠款","已两清")))</f>
        <v/>
      </c>
      <c r="M47" s="124"/>
    </row>
    <row r="48" customFormat="false" ht="13.5" hidden="false" customHeight="false" outlineLevel="0" collapsed="false">
      <c r="A48" s="40" t="str">
        <f aca="false">IF($B48="","",ROW()-4)</f>
        <v/>
      </c>
      <c r="B48" s="33" t="str">
        <f aca="false">IFERROR(INDEX(_自动清单!$E$4:$E$253,ROW()-4),"")</f>
        <v/>
      </c>
      <c r="C48" s="123"/>
      <c r="D48" s="70" t="str">
        <f aca="false">IF($B48="","",ROUND(SUMIFS(进销存对接!$G$4:$G$305,进销存对接!$I$4:$I$305,"客户往来",进销存对接!$C$4:$C$305,$B48),2))</f>
        <v/>
      </c>
      <c r="E48" s="70" t="str">
        <f aca="false">IF($B48="","",ROUND(SUMIFS(资金日记账!$H$4:$H$603,资金日记账!$E$4:$E$603,$B48,资金日记账!$K$4:$K$603,"应收账款"),2))</f>
        <v/>
      </c>
      <c r="F48" s="70" t="str">
        <f aca="false">IF($B48="","",ROUND(N($C48)+N($D48)-N($E48),2))</f>
        <v/>
      </c>
      <c r="G48" s="123"/>
      <c r="H48" s="70" t="str">
        <f aca="false">IF($B48="","",ROUND(SUMIFS(进销存对接!$F$4:$F$305,进销存对接!$I$4:$I$305,"客户往来",进销存对接!$C$4:$C$305,$B48)+SUMIFS(记账凭证!$I$4:$I$3609,记账凭证!$J$4:$J$3609,$B48,记账凭证!$E$4:$E$3609,"应付账款"),2))</f>
        <v/>
      </c>
      <c r="I48" s="70" t="str">
        <f aca="false">IF($B48="","",ROUND(SUMIFS(记账凭证!$H$4:$H$3609,记账凭证!$J$4:$J$3609,$B48,记账凭证!$E$4:$E$3609,"应付账款"),2))</f>
        <v/>
      </c>
      <c r="J48" s="70" t="str">
        <f aca="false">IF($B48="","",ROUND(N($G48)+N($H48)-N($I48),2))</f>
        <v/>
      </c>
      <c r="K48" s="70" t="str">
        <f aca="false">IF($B48="","",ROUND(N($F48)-N($J48),2))</f>
        <v/>
      </c>
      <c r="L48" s="40" t="str">
        <f aca="false">IF($B48="","",IF(ROUND(N($K48),2)&gt;0,"对方欠款",IF(ROUND(N($K48),2)&lt;0,"我方欠款","已两清")))</f>
        <v/>
      </c>
      <c r="M48" s="124"/>
    </row>
    <row r="49" customFormat="false" ht="13.5" hidden="false" customHeight="false" outlineLevel="0" collapsed="false">
      <c r="A49" s="40" t="str">
        <f aca="false">IF($B49="","",ROW()-4)</f>
        <v/>
      </c>
      <c r="B49" s="33" t="str">
        <f aca="false">IFERROR(INDEX(_自动清单!$E$4:$E$253,ROW()-4),"")</f>
        <v/>
      </c>
      <c r="C49" s="123"/>
      <c r="D49" s="70" t="str">
        <f aca="false">IF($B49="","",ROUND(SUMIFS(进销存对接!$G$4:$G$305,进销存对接!$I$4:$I$305,"客户往来",进销存对接!$C$4:$C$305,$B49),2))</f>
        <v/>
      </c>
      <c r="E49" s="70" t="str">
        <f aca="false">IF($B49="","",ROUND(SUMIFS(资金日记账!$H$4:$H$603,资金日记账!$E$4:$E$603,$B49,资金日记账!$K$4:$K$603,"应收账款"),2))</f>
        <v/>
      </c>
      <c r="F49" s="70" t="str">
        <f aca="false">IF($B49="","",ROUND(N($C49)+N($D49)-N($E49),2))</f>
        <v/>
      </c>
      <c r="G49" s="123"/>
      <c r="H49" s="70" t="str">
        <f aca="false">IF($B49="","",ROUND(SUMIFS(进销存对接!$F$4:$F$305,进销存对接!$I$4:$I$305,"客户往来",进销存对接!$C$4:$C$305,$B49)+SUMIFS(记账凭证!$I$4:$I$3609,记账凭证!$J$4:$J$3609,$B49,记账凭证!$E$4:$E$3609,"应付账款"),2))</f>
        <v/>
      </c>
      <c r="I49" s="70" t="str">
        <f aca="false">IF($B49="","",ROUND(SUMIFS(记账凭证!$H$4:$H$3609,记账凭证!$J$4:$J$3609,$B49,记账凭证!$E$4:$E$3609,"应付账款"),2))</f>
        <v/>
      </c>
      <c r="J49" s="70" t="str">
        <f aca="false">IF($B49="","",ROUND(N($G49)+N($H49)-N($I49),2))</f>
        <v/>
      </c>
      <c r="K49" s="70" t="str">
        <f aca="false">IF($B49="","",ROUND(N($F49)-N($J49),2))</f>
        <v/>
      </c>
      <c r="L49" s="40" t="str">
        <f aca="false">IF($B49="","",IF(ROUND(N($K49),2)&gt;0,"对方欠款",IF(ROUND(N($K49),2)&lt;0,"我方欠款","已两清")))</f>
        <v/>
      </c>
      <c r="M49" s="124"/>
    </row>
    <row r="50" customFormat="false" ht="13.5" hidden="false" customHeight="false" outlineLevel="0" collapsed="false">
      <c r="A50" s="40" t="str">
        <f aca="false">IF($B50="","",ROW()-4)</f>
        <v/>
      </c>
      <c r="B50" s="33" t="str">
        <f aca="false">IFERROR(INDEX(_自动清单!$E$4:$E$253,ROW()-4),"")</f>
        <v/>
      </c>
      <c r="C50" s="123"/>
      <c r="D50" s="70" t="str">
        <f aca="false">IF($B50="","",ROUND(SUMIFS(进销存对接!$G$4:$G$305,进销存对接!$I$4:$I$305,"客户往来",进销存对接!$C$4:$C$305,$B50),2))</f>
        <v/>
      </c>
      <c r="E50" s="70" t="str">
        <f aca="false">IF($B50="","",ROUND(SUMIFS(资金日记账!$H$4:$H$603,资金日记账!$E$4:$E$603,$B50,资金日记账!$K$4:$K$603,"应收账款"),2))</f>
        <v/>
      </c>
      <c r="F50" s="70" t="str">
        <f aca="false">IF($B50="","",ROUND(N($C50)+N($D50)-N($E50),2))</f>
        <v/>
      </c>
      <c r="G50" s="123"/>
      <c r="H50" s="70" t="str">
        <f aca="false">IF($B50="","",ROUND(SUMIFS(进销存对接!$F$4:$F$305,进销存对接!$I$4:$I$305,"客户往来",进销存对接!$C$4:$C$305,$B50)+SUMIFS(记账凭证!$I$4:$I$3609,记账凭证!$J$4:$J$3609,$B50,记账凭证!$E$4:$E$3609,"应付账款"),2))</f>
        <v/>
      </c>
      <c r="I50" s="70" t="str">
        <f aca="false">IF($B50="","",ROUND(SUMIFS(记账凭证!$H$4:$H$3609,记账凭证!$J$4:$J$3609,$B50,记账凭证!$E$4:$E$3609,"应付账款"),2))</f>
        <v/>
      </c>
      <c r="J50" s="70" t="str">
        <f aca="false">IF($B50="","",ROUND(N($G50)+N($H50)-N($I50),2))</f>
        <v/>
      </c>
      <c r="K50" s="70" t="str">
        <f aca="false">IF($B50="","",ROUND(N($F50)-N($J50),2))</f>
        <v/>
      </c>
      <c r="L50" s="40" t="str">
        <f aca="false">IF($B50="","",IF(ROUND(N($K50),2)&gt;0,"对方欠款",IF(ROUND(N($K50),2)&lt;0,"我方欠款","已两清")))</f>
        <v/>
      </c>
      <c r="M50" s="124"/>
    </row>
    <row r="51" customFormat="false" ht="13.5" hidden="false" customHeight="false" outlineLevel="0" collapsed="false">
      <c r="A51" s="40" t="str">
        <f aca="false">IF($B51="","",ROW()-4)</f>
        <v/>
      </c>
      <c r="B51" s="33" t="str">
        <f aca="false">IFERROR(INDEX(_自动清单!$E$4:$E$253,ROW()-4),"")</f>
        <v/>
      </c>
      <c r="C51" s="123"/>
      <c r="D51" s="70" t="str">
        <f aca="false">IF($B51="","",ROUND(SUMIFS(进销存对接!$G$4:$G$305,进销存对接!$I$4:$I$305,"客户往来",进销存对接!$C$4:$C$305,$B51),2))</f>
        <v/>
      </c>
      <c r="E51" s="70" t="str">
        <f aca="false">IF($B51="","",ROUND(SUMIFS(资金日记账!$H$4:$H$603,资金日记账!$E$4:$E$603,$B51,资金日记账!$K$4:$K$603,"应收账款"),2))</f>
        <v/>
      </c>
      <c r="F51" s="70" t="str">
        <f aca="false">IF($B51="","",ROUND(N($C51)+N($D51)-N($E51),2))</f>
        <v/>
      </c>
      <c r="G51" s="123"/>
      <c r="H51" s="70" t="str">
        <f aca="false">IF($B51="","",ROUND(SUMIFS(进销存对接!$F$4:$F$305,进销存对接!$I$4:$I$305,"客户往来",进销存对接!$C$4:$C$305,$B51)+SUMIFS(记账凭证!$I$4:$I$3609,记账凭证!$J$4:$J$3609,$B51,记账凭证!$E$4:$E$3609,"应付账款"),2))</f>
        <v/>
      </c>
      <c r="I51" s="70" t="str">
        <f aca="false">IF($B51="","",ROUND(SUMIFS(记账凭证!$H$4:$H$3609,记账凭证!$J$4:$J$3609,$B51,记账凭证!$E$4:$E$3609,"应付账款"),2))</f>
        <v/>
      </c>
      <c r="J51" s="70" t="str">
        <f aca="false">IF($B51="","",ROUND(N($G51)+N($H51)-N($I51),2))</f>
        <v/>
      </c>
      <c r="K51" s="70" t="str">
        <f aca="false">IF($B51="","",ROUND(N($F51)-N($J51),2))</f>
        <v/>
      </c>
      <c r="L51" s="40" t="str">
        <f aca="false">IF($B51="","",IF(ROUND(N($K51),2)&gt;0,"对方欠款",IF(ROUND(N($K51),2)&lt;0,"我方欠款","已两清")))</f>
        <v/>
      </c>
      <c r="M51" s="124"/>
    </row>
    <row r="52" customFormat="false" ht="13.5" hidden="false" customHeight="false" outlineLevel="0" collapsed="false">
      <c r="A52" s="40" t="str">
        <f aca="false">IF($B52="","",ROW()-4)</f>
        <v/>
      </c>
      <c r="B52" s="33" t="str">
        <f aca="false">IFERROR(INDEX(_自动清单!$E$4:$E$253,ROW()-4),"")</f>
        <v/>
      </c>
      <c r="C52" s="123"/>
      <c r="D52" s="70" t="str">
        <f aca="false">IF($B52="","",ROUND(SUMIFS(进销存对接!$G$4:$G$305,进销存对接!$I$4:$I$305,"客户往来",进销存对接!$C$4:$C$305,$B52),2))</f>
        <v/>
      </c>
      <c r="E52" s="70" t="str">
        <f aca="false">IF($B52="","",ROUND(SUMIFS(资金日记账!$H$4:$H$603,资金日记账!$E$4:$E$603,$B52,资金日记账!$K$4:$K$603,"应收账款"),2))</f>
        <v/>
      </c>
      <c r="F52" s="70" t="str">
        <f aca="false">IF($B52="","",ROUND(N($C52)+N($D52)-N($E52),2))</f>
        <v/>
      </c>
      <c r="G52" s="123"/>
      <c r="H52" s="70" t="str">
        <f aca="false">IF($B52="","",ROUND(SUMIFS(进销存对接!$F$4:$F$305,进销存对接!$I$4:$I$305,"客户往来",进销存对接!$C$4:$C$305,$B52)+SUMIFS(记账凭证!$I$4:$I$3609,记账凭证!$J$4:$J$3609,$B52,记账凭证!$E$4:$E$3609,"应付账款"),2))</f>
        <v/>
      </c>
      <c r="I52" s="70" t="str">
        <f aca="false">IF($B52="","",ROUND(SUMIFS(记账凭证!$H$4:$H$3609,记账凭证!$J$4:$J$3609,$B52,记账凭证!$E$4:$E$3609,"应付账款"),2))</f>
        <v/>
      </c>
      <c r="J52" s="70" t="str">
        <f aca="false">IF($B52="","",ROUND(N($G52)+N($H52)-N($I52),2))</f>
        <v/>
      </c>
      <c r="K52" s="70" t="str">
        <f aca="false">IF($B52="","",ROUND(N($F52)-N($J52),2))</f>
        <v/>
      </c>
      <c r="L52" s="40" t="str">
        <f aca="false">IF($B52="","",IF(ROUND(N($K52),2)&gt;0,"对方欠款",IF(ROUND(N($K52),2)&lt;0,"我方欠款","已两清")))</f>
        <v/>
      </c>
      <c r="M52" s="124"/>
    </row>
    <row r="53" customFormat="false" ht="13.5" hidden="false" customHeight="false" outlineLevel="0" collapsed="false">
      <c r="A53" s="40" t="str">
        <f aca="false">IF($B53="","",ROW()-4)</f>
        <v/>
      </c>
      <c r="B53" s="33" t="str">
        <f aca="false">IFERROR(INDEX(_自动清单!$E$4:$E$253,ROW()-4),"")</f>
        <v/>
      </c>
      <c r="C53" s="123"/>
      <c r="D53" s="70" t="str">
        <f aca="false">IF($B53="","",ROUND(SUMIFS(进销存对接!$G$4:$G$305,进销存对接!$I$4:$I$305,"客户往来",进销存对接!$C$4:$C$305,$B53),2))</f>
        <v/>
      </c>
      <c r="E53" s="70" t="str">
        <f aca="false">IF($B53="","",ROUND(SUMIFS(资金日记账!$H$4:$H$603,资金日记账!$E$4:$E$603,$B53,资金日记账!$K$4:$K$603,"应收账款"),2))</f>
        <v/>
      </c>
      <c r="F53" s="70" t="str">
        <f aca="false">IF($B53="","",ROUND(N($C53)+N($D53)-N($E53),2))</f>
        <v/>
      </c>
      <c r="G53" s="123"/>
      <c r="H53" s="70" t="str">
        <f aca="false">IF($B53="","",ROUND(SUMIFS(进销存对接!$F$4:$F$305,进销存对接!$I$4:$I$305,"客户往来",进销存对接!$C$4:$C$305,$B53)+SUMIFS(记账凭证!$I$4:$I$3609,记账凭证!$J$4:$J$3609,$B53,记账凭证!$E$4:$E$3609,"应付账款"),2))</f>
        <v/>
      </c>
      <c r="I53" s="70" t="str">
        <f aca="false">IF($B53="","",ROUND(SUMIFS(记账凭证!$H$4:$H$3609,记账凭证!$J$4:$J$3609,$B53,记账凭证!$E$4:$E$3609,"应付账款"),2))</f>
        <v/>
      </c>
      <c r="J53" s="70" t="str">
        <f aca="false">IF($B53="","",ROUND(N($G53)+N($H53)-N($I53),2))</f>
        <v/>
      </c>
      <c r="K53" s="70" t="str">
        <f aca="false">IF($B53="","",ROUND(N($F53)-N($J53),2))</f>
        <v/>
      </c>
      <c r="L53" s="40" t="str">
        <f aca="false">IF($B53="","",IF(ROUND(N($K53),2)&gt;0,"对方欠款",IF(ROUND(N($K53),2)&lt;0,"我方欠款","已两清")))</f>
        <v/>
      </c>
      <c r="M53" s="124"/>
    </row>
    <row r="54" customFormat="false" ht="13.5" hidden="false" customHeight="false" outlineLevel="0" collapsed="false">
      <c r="A54" s="40" t="str">
        <f aca="false">IF($B54="","",ROW()-4)</f>
        <v/>
      </c>
      <c r="B54" s="33" t="str">
        <f aca="false">IFERROR(INDEX(_自动清单!$E$4:$E$253,ROW()-4),"")</f>
        <v/>
      </c>
      <c r="C54" s="123"/>
      <c r="D54" s="70" t="str">
        <f aca="false">IF($B54="","",ROUND(SUMIFS(进销存对接!$G$4:$G$305,进销存对接!$I$4:$I$305,"客户往来",进销存对接!$C$4:$C$305,$B54),2))</f>
        <v/>
      </c>
      <c r="E54" s="70" t="str">
        <f aca="false">IF($B54="","",ROUND(SUMIFS(资金日记账!$H$4:$H$603,资金日记账!$E$4:$E$603,$B54,资金日记账!$K$4:$K$603,"应收账款"),2))</f>
        <v/>
      </c>
      <c r="F54" s="70" t="str">
        <f aca="false">IF($B54="","",ROUND(N($C54)+N($D54)-N($E54),2))</f>
        <v/>
      </c>
      <c r="G54" s="123"/>
      <c r="H54" s="70" t="str">
        <f aca="false">IF($B54="","",ROUND(SUMIFS(进销存对接!$F$4:$F$305,进销存对接!$I$4:$I$305,"客户往来",进销存对接!$C$4:$C$305,$B54)+SUMIFS(记账凭证!$I$4:$I$3609,记账凭证!$J$4:$J$3609,$B54,记账凭证!$E$4:$E$3609,"应付账款"),2))</f>
        <v/>
      </c>
      <c r="I54" s="70" t="str">
        <f aca="false">IF($B54="","",ROUND(SUMIFS(记账凭证!$H$4:$H$3609,记账凭证!$J$4:$J$3609,$B54,记账凭证!$E$4:$E$3609,"应付账款"),2))</f>
        <v/>
      </c>
      <c r="J54" s="70" t="str">
        <f aca="false">IF($B54="","",ROUND(N($G54)+N($H54)-N($I54),2))</f>
        <v/>
      </c>
      <c r="K54" s="70" t="str">
        <f aca="false">IF($B54="","",ROUND(N($F54)-N($J54),2))</f>
        <v/>
      </c>
      <c r="L54" s="40" t="str">
        <f aca="false">IF($B54="","",IF(ROUND(N($K54),2)&gt;0,"对方欠款",IF(ROUND(N($K54),2)&lt;0,"我方欠款","已两清")))</f>
        <v/>
      </c>
      <c r="M54" s="124"/>
    </row>
    <row r="55" customFormat="false" ht="13.5" hidden="false" customHeight="false" outlineLevel="0" collapsed="false">
      <c r="A55" s="40" t="str">
        <f aca="false">IF($B55="","",ROW()-4)</f>
        <v/>
      </c>
      <c r="B55" s="33" t="str">
        <f aca="false">IFERROR(INDEX(_自动清单!$E$4:$E$253,ROW()-4),"")</f>
        <v/>
      </c>
      <c r="C55" s="123"/>
      <c r="D55" s="70" t="str">
        <f aca="false">IF($B55="","",ROUND(SUMIFS(进销存对接!$G$4:$G$305,进销存对接!$I$4:$I$305,"客户往来",进销存对接!$C$4:$C$305,$B55),2))</f>
        <v/>
      </c>
      <c r="E55" s="70" t="str">
        <f aca="false">IF($B55="","",ROUND(SUMIFS(资金日记账!$H$4:$H$603,资金日记账!$E$4:$E$603,$B55,资金日记账!$K$4:$K$603,"应收账款"),2))</f>
        <v/>
      </c>
      <c r="F55" s="70" t="str">
        <f aca="false">IF($B55="","",ROUND(N($C55)+N($D55)-N($E55),2))</f>
        <v/>
      </c>
      <c r="G55" s="123"/>
      <c r="H55" s="70" t="str">
        <f aca="false">IF($B55="","",ROUND(SUMIFS(进销存对接!$F$4:$F$305,进销存对接!$I$4:$I$305,"客户往来",进销存对接!$C$4:$C$305,$B55)+SUMIFS(记账凭证!$I$4:$I$3609,记账凭证!$J$4:$J$3609,$B55,记账凭证!$E$4:$E$3609,"应付账款"),2))</f>
        <v/>
      </c>
      <c r="I55" s="70" t="str">
        <f aca="false">IF($B55="","",ROUND(SUMIFS(记账凭证!$H$4:$H$3609,记账凭证!$J$4:$J$3609,$B55,记账凭证!$E$4:$E$3609,"应付账款"),2))</f>
        <v/>
      </c>
      <c r="J55" s="70" t="str">
        <f aca="false">IF($B55="","",ROUND(N($G55)+N($H55)-N($I55),2))</f>
        <v/>
      </c>
      <c r="K55" s="70" t="str">
        <f aca="false">IF($B55="","",ROUND(N($F55)-N($J55),2))</f>
        <v/>
      </c>
      <c r="L55" s="40" t="str">
        <f aca="false">IF($B55="","",IF(ROUND(N($K55),2)&gt;0,"对方欠款",IF(ROUND(N($K55),2)&lt;0,"我方欠款","已两清")))</f>
        <v/>
      </c>
      <c r="M55" s="124"/>
    </row>
    <row r="56" customFormat="false" ht="13.5" hidden="false" customHeight="false" outlineLevel="0" collapsed="false">
      <c r="A56" s="40" t="str">
        <f aca="false">IF($B56="","",ROW()-4)</f>
        <v/>
      </c>
      <c r="B56" s="33" t="str">
        <f aca="false">IFERROR(INDEX(_自动清单!$E$4:$E$253,ROW()-4),"")</f>
        <v/>
      </c>
      <c r="C56" s="123"/>
      <c r="D56" s="70" t="str">
        <f aca="false">IF($B56="","",ROUND(SUMIFS(进销存对接!$G$4:$G$305,进销存对接!$I$4:$I$305,"客户往来",进销存对接!$C$4:$C$305,$B56),2))</f>
        <v/>
      </c>
      <c r="E56" s="70" t="str">
        <f aca="false">IF($B56="","",ROUND(SUMIFS(资金日记账!$H$4:$H$603,资金日记账!$E$4:$E$603,$B56,资金日记账!$K$4:$K$603,"应收账款"),2))</f>
        <v/>
      </c>
      <c r="F56" s="70" t="str">
        <f aca="false">IF($B56="","",ROUND(N($C56)+N($D56)-N($E56),2))</f>
        <v/>
      </c>
      <c r="G56" s="123"/>
      <c r="H56" s="70" t="str">
        <f aca="false">IF($B56="","",ROUND(SUMIFS(进销存对接!$F$4:$F$305,进销存对接!$I$4:$I$305,"客户往来",进销存对接!$C$4:$C$305,$B56)+SUMIFS(记账凭证!$I$4:$I$3609,记账凭证!$J$4:$J$3609,$B56,记账凭证!$E$4:$E$3609,"应付账款"),2))</f>
        <v/>
      </c>
      <c r="I56" s="70" t="str">
        <f aca="false">IF($B56="","",ROUND(SUMIFS(记账凭证!$H$4:$H$3609,记账凭证!$J$4:$J$3609,$B56,记账凭证!$E$4:$E$3609,"应付账款"),2))</f>
        <v/>
      </c>
      <c r="J56" s="70" t="str">
        <f aca="false">IF($B56="","",ROUND(N($G56)+N($H56)-N($I56),2))</f>
        <v/>
      </c>
      <c r="K56" s="70" t="str">
        <f aca="false">IF($B56="","",ROUND(N($F56)-N($J56),2))</f>
        <v/>
      </c>
      <c r="L56" s="40" t="str">
        <f aca="false">IF($B56="","",IF(ROUND(N($K56),2)&gt;0,"对方欠款",IF(ROUND(N($K56),2)&lt;0,"我方欠款","已两清")))</f>
        <v/>
      </c>
      <c r="M56" s="124"/>
    </row>
    <row r="57" customFormat="false" ht="13.5" hidden="false" customHeight="false" outlineLevel="0" collapsed="false">
      <c r="A57" s="40" t="str">
        <f aca="false">IF($B57="","",ROW()-4)</f>
        <v/>
      </c>
      <c r="B57" s="33" t="str">
        <f aca="false">IFERROR(INDEX(_自动清单!$E$4:$E$253,ROW()-4),"")</f>
        <v/>
      </c>
      <c r="C57" s="123"/>
      <c r="D57" s="70" t="str">
        <f aca="false">IF($B57="","",ROUND(SUMIFS(进销存对接!$G$4:$G$305,进销存对接!$I$4:$I$305,"客户往来",进销存对接!$C$4:$C$305,$B57),2))</f>
        <v/>
      </c>
      <c r="E57" s="70" t="str">
        <f aca="false">IF($B57="","",ROUND(SUMIFS(资金日记账!$H$4:$H$603,资金日记账!$E$4:$E$603,$B57,资金日记账!$K$4:$K$603,"应收账款"),2))</f>
        <v/>
      </c>
      <c r="F57" s="70" t="str">
        <f aca="false">IF($B57="","",ROUND(N($C57)+N($D57)-N($E57),2))</f>
        <v/>
      </c>
      <c r="G57" s="123"/>
      <c r="H57" s="70" t="str">
        <f aca="false">IF($B57="","",ROUND(SUMIFS(进销存对接!$F$4:$F$305,进销存对接!$I$4:$I$305,"客户往来",进销存对接!$C$4:$C$305,$B57)+SUMIFS(记账凭证!$I$4:$I$3609,记账凭证!$J$4:$J$3609,$B57,记账凭证!$E$4:$E$3609,"应付账款"),2))</f>
        <v/>
      </c>
      <c r="I57" s="70" t="str">
        <f aca="false">IF($B57="","",ROUND(SUMIFS(记账凭证!$H$4:$H$3609,记账凭证!$J$4:$J$3609,$B57,记账凭证!$E$4:$E$3609,"应付账款"),2))</f>
        <v/>
      </c>
      <c r="J57" s="70" t="str">
        <f aca="false">IF($B57="","",ROUND(N($G57)+N($H57)-N($I57),2))</f>
        <v/>
      </c>
      <c r="K57" s="70" t="str">
        <f aca="false">IF($B57="","",ROUND(N($F57)-N($J57),2))</f>
        <v/>
      </c>
      <c r="L57" s="40" t="str">
        <f aca="false">IF($B57="","",IF(ROUND(N($K57),2)&gt;0,"对方欠款",IF(ROUND(N($K57),2)&lt;0,"我方欠款","已两清")))</f>
        <v/>
      </c>
      <c r="M57" s="124"/>
    </row>
    <row r="58" customFormat="false" ht="13.5" hidden="false" customHeight="false" outlineLevel="0" collapsed="false">
      <c r="A58" s="40" t="str">
        <f aca="false">IF($B58="","",ROW()-4)</f>
        <v/>
      </c>
      <c r="B58" s="33" t="str">
        <f aca="false">IFERROR(INDEX(_自动清单!$E$4:$E$253,ROW()-4),"")</f>
        <v/>
      </c>
      <c r="C58" s="123"/>
      <c r="D58" s="70" t="str">
        <f aca="false">IF($B58="","",ROUND(SUMIFS(进销存对接!$G$4:$G$305,进销存对接!$I$4:$I$305,"客户往来",进销存对接!$C$4:$C$305,$B58),2))</f>
        <v/>
      </c>
      <c r="E58" s="70" t="str">
        <f aca="false">IF($B58="","",ROUND(SUMIFS(资金日记账!$H$4:$H$603,资金日记账!$E$4:$E$603,$B58,资金日记账!$K$4:$K$603,"应收账款"),2))</f>
        <v/>
      </c>
      <c r="F58" s="70" t="str">
        <f aca="false">IF($B58="","",ROUND(N($C58)+N($D58)-N($E58),2))</f>
        <v/>
      </c>
      <c r="G58" s="123"/>
      <c r="H58" s="70" t="str">
        <f aca="false">IF($B58="","",ROUND(SUMIFS(进销存对接!$F$4:$F$305,进销存对接!$I$4:$I$305,"客户往来",进销存对接!$C$4:$C$305,$B58)+SUMIFS(记账凭证!$I$4:$I$3609,记账凭证!$J$4:$J$3609,$B58,记账凭证!$E$4:$E$3609,"应付账款"),2))</f>
        <v/>
      </c>
      <c r="I58" s="70" t="str">
        <f aca="false">IF($B58="","",ROUND(SUMIFS(记账凭证!$H$4:$H$3609,记账凭证!$J$4:$J$3609,$B58,记账凭证!$E$4:$E$3609,"应付账款"),2))</f>
        <v/>
      </c>
      <c r="J58" s="70" t="str">
        <f aca="false">IF($B58="","",ROUND(N($G58)+N($H58)-N($I58),2))</f>
        <v/>
      </c>
      <c r="K58" s="70" t="str">
        <f aca="false">IF($B58="","",ROUND(N($F58)-N($J58),2))</f>
        <v/>
      </c>
      <c r="L58" s="40" t="str">
        <f aca="false">IF($B58="","",IF(ROUND(N($K58),2)&gt;0,"对方欠款",IF(ROUND(N($K58),2)&lt;0,"我方欠款","已两清")))</f>
        <v/>
      </c>
      <c r="M58" s="124"/>
    </row>
    <row r="59" customFormat="false" ht="13.5" hidden="false" customHeight="false" outlineLevel="0" collapsed="false">
      <c r="A59" s="40" t="str">
        <f aca="false">IF($B59="","",ROW()-4)</f>
        <v/>
      </c>
      <c r="B59" s="33" t="str">
        <f aca="false">IFERROR(INDEX(_自动清单!$E$4:$E$253,ROW()-4),"")</f>
        <v/>
      </c>
      <c r="C59" s="123"/>
      <c r="D59" s="70" t="str">
        <f aca="false">IF($B59="","",ROUND(SUMIFS(进销存对接!$G$4:$G$305,进销存对接!$I$4:$I$305,"客户往来",进销存对接!$C$4:$C$305,$B59),2))</f>
        <v/>
      </c>
      <c r="E59" s="70" t="str">
        <f aca="false">IF($B59="","",ROUND(SUMIFS(资金日记账!$H$4:$H$603,资金日记账!$E$4:$E$603,$B59,资金日记账!$K$4:$K$603,"应收账款"),2))</f>
        <v/>
      </c>
      <c r="F59" s="70" t="str">
        <f aca="false">IF($B59="","",ROUND(N($C59)+N($D59)-N($E59),2))</f>
        <v/>
      </c>
      <c r="G59" s="123"/>
      <c r="H59" s="70" t="str">
        <f aca="false">IF($B59="","",ROUND(SUMIFS(进销存对接!$F$4:$F$305,进销存对接!$I$4:$I$305,"客户往来",进销存对接!$C$4:$C$305,$B59)+SUMIFS(记账凭证!$I$4:$I$3609,记账凭证!$J$4:$J$3609,$B59,记账凭证!$E$4:$E$3609,"应付账款"),2))</f>
        <v/>
      </c>
      <c r="I59" s="70" t="str">
        <f aca="false">IF($B59="","",ROUND(SUMIFS(记账凭证!$H$4:$H$3609,记账凭证!$J$4:$J$3609,$B59,记账凭证!$E$4:$E$3609,"应付账款"),2))</f>
        <v/>
      </c>
      <c r="J59" s="70" t="str">
        <f aca="false">IF($B59="","",ROUND(N($G59)+N($H59)-N($I59),2))</f>
        <v/>
      </c>
      <c r="K59" s="70" t="str">
        <f aca="false">IF($B59="","",ROUND(N($F59)-N($J59),2))</f>
        <v/>
      </c>
      <c r="L59" s="40" t="str">
        <f aca="false">IF($B59="","",IF(ROUND(N($K59),2)&gt;0,"对方欠款",IF(ROUND(N($K59),2)&lt;0,"我方欠款","已两清")))</f>
        <v/>
      </c>
      <c r="M59" s="124"/>
    </row>
    <row r="60" customFormat="false" ht="13.5" hidden="false" customHeight="false" outlineLevel="0" collapsed="false">
      <c r="A60" s="40" t="str">
        <f aca="false">IF($B60="","",ROW()-4)</f>
        <v/>
      </c>
      <c r="B60" s="33" t="str">
        <f aca="false">IFERROR(INDEX(_自动清单!$E$4:$E$253,ROW()-4),"")</f>
        <v/>
      </c>
      <c r="C60" s="123"/>
      <c r="D60" s="70" t="str">
        <f aca="false">IF($B60="","",ROUND(SUMIFS(进销存对接!$G$4:$G$305,进销存对接!$I$4:$I$305,"客户往来",进销存对接!$C$4:$C$305,$B60),2))</f>
        <v/>
      </c>
      <c r="E60" s="70" t="str">
        <f aca="false">IF($B60="","",ROUND(SUMIFS(资金日记账!$H$4:$H$603,资金日记账!$E$4:$E$603,$B60,资金日记账!$K$4:$K$603,"应收账款"),2))</f>
        <v/>
      </c>
      <c r="F60" s="70" t="str">
        <f aca="false">IF($B60="","",ROUND(N($C60)+N($D60)-N($E60),2))</f>
        <v/>
      </c>
      <c r="G60" s="123"/>
      <c r="H60" s="70" t="str">
        <f aca="false">IF($B60="","",ROUND(SUMIFS(进销存对接!$F$4:$F$305,进销存对接!$I$4:$I$305,"客户往来",进销存对接!$C$4:$C$305,$B60)+SUMIFS(记账凭证!$I$4:$I$3609,记账凭证!$J$4:$J$3609,$B60,记账凭证!$E$4:$E$3609,"应付账款"),2))</f>
        <v/>
      </c>
      <c r="I60" s="70" t="str">
        <f aca="false">IF($B60="","",ROUND(SUMIFS(记账凭证!$H$4:$H$3609,记账凭证!$J$4:$J$3609,$B60,记账凭证!$E$4:$E$3609,"应付账款"),2))</f>
        <v/>
      </c>
      <c r="J60" s="70" t="str">
        <f aca="false">IF($B60="","",ROUND(N($G60)+N($H60)-N($I60),2))</f>
        <v/>
      </c>
      <c r="K60" s="70" t="str">
        <f aca="false">IF($B60="","",ROUND(N($F60)-N($J60),2))</f>
        <v/>
      </c>
      <c r="L60" s="40" t="str">
        <f aca="false">IF($B60="","",IF(ROUND(N($K60),2)&gt;0,"对方欠款",IF(ROUND(N($K60),2)&lt;0,"我方欠款","已两清")))</f>
        <v/>
      </c>
      <c r="M60" s="124"/>
    </row>
    <row r="61" customFormat="false" ht="13.5" hidden="false" customHeight="false" outlineLevel="0" collapsed="false">
      <c r="A61" s="40" t="str">
        <f aca="false">IF($B61="","",ROW()-4)</f>
        <v/>
      </c>
      <c r="B61" s="33" t="str">
        <f aca="false">IFERROR(INDEX(_自动清单!$E$4:$E$253,ROW()-4),"")</f>
        <v/>
      </c>
      <c r="C61" s="123"/>
      <c r="D61" s="70" t="str">
        <f aca="false">IF($B61="","",ROUND(SUMIFS(进销存对接!$G$4:$G$305,进销存对接!$I$4:$I$305,"客户往来",进销存对接!$C$4:$C$305,$B61),2))</f>
        <v/>
      </c>
      <c r="E61" s="70" t="str">
        <f aca="false">IF($B61="","",ROUND(SUMIFS(资金日记账!$H$4:$H$603,资金日记账!$E$4:$E$603,$B61,资金日记账!$K$4:$K$603,"应收账款"),2))</f>
        <v/>
      </c>
      <c r="F61" s="70" t="str">
        <f aca="false">IF($B61="","",ROUND(N($C61)+N($D61)-N($E61),2))</f>
        <v/>
      </c>
      <c r="G61" s="123"/>
      <c r="H61" s="70" t="str">
        <f aca="false">IF($B61="","",ROUND(SUMIFS(进销存对接!$F$4:$F$305,进销存对接!$I$4:$I$305,"客户往来",进销存对接!$C$4:$C$305,$B61)+SUMIFS(记账凭证!$I$4:$I$3609,记账凭证!$J$4:$J$3609,$B61,记账凭证!$E$4:$E$3609,"应付账款"),2))</f>
        <v/>
      </c>
      <c r="I61" s="70" t="str">
        <f aca="false">IF($B61="","",ROUND(SUMIFS(记账凭证!$H$4:$H$3609,记账凭证!$J$4:$J$3609,$B61,记账凭证!$E$4:$E$3609,"应付账款"),2))</f>
        <v/>
      </c>
      <c r="J61" s="70" t="str">
        <f aca="false">IF($B61="","",ROUND(N($G61)+N($H61)-N($I61),2))</f>
        <v/>
      </c>
      <c r="K61" s="70" t="str">
        <f aca="false">IF($B61="","",ROUND(N($F61)-N($J61),2))</f>
        <v/>
      </c>
      <c r="L61" s="40" t="str">
        <f aca="false">IF($B61="","",IF(ROUND(N($K61),2)&gt;0,"对方欠款",IF(ROUND(N($K61),2)&lt;0,"我方欠款","已两清")))</f>
        <v/>
      </c>
      <c r="M61" s="124"/>
    </row>
    <row r="62" customFormat="false" ht="13.5" hidden="false" customHeight="false" outlineLevel="0" collapsed="false">
      <c r="A62" s="40" t="str">
        <f aca="false">IF($B62="","",ROW()-4)</f>
        <v/>
      </c>
      <c r="B62" s="33" t="str">
        <f aca="false">IFERROR(INDEX(_自动清单!$E$4:$E$253,ROW()-4),"")</f>
        <v/>
      </c>
      <c r="C62" s="123"/>
      <c r="D62" s="70" t="str">
        <f aca="false">IF($B62="","",ROUND(SUMIFS(进销存对接!$G$4:$G$305,进销存对接!$I$4:$I$305,"客户往来",进销存对接!$C$4:$C$305,$B62),2))</f>
        <v/>
      </c>
      <c r="E62" s="70" t="str">
        <f aca="false">IF($B62="","",ROUND(SUMIFS(资金日记账!$H$4:$H$603,资金日记账!$E$4:$E$603,$B62,资金日记账!$K$4:$K$603,"应收账款"),2))</f>
        <v/>
      </c>
      <c r="F62" s="70" t="str">
        <f aca="false">IF($B62="","",ROUND(N($C62)+N($D62)-N($E62),2))</f>
        <v/>
      </c>
      <c r="G62" s="123"/>
      <c r="H62" s="70" t="str">
        <f aca="false">IF($B62="","",ROUND(SUMIFS(进销存对接!$F$4:$F$305,进销存对接!$I$4:$I$305,"客户往来",进销存对接!$C$4:$C$305,$B62)+SUMIFS(记账凭证!$I$4:$I$3609,记账凭证!$J$4:$J$3609,$B62,记账凭证!$E$4:$E$3609,"应付账款"),2))</f>
        <v/>
      </c>
      <c r="I62" s="70" t="str">
        <f aca="false">IF($B62="","",ROUND(SUMIFS(记账凭证!$H$4:$H$3609,记账凭证!$J$4:$J$3609,$B62,记账凭证!$E$4:$E$3609,"应付账款"),2))</f>
        <v/>
      </c>
      <c r="J62" s="70" t="str">
        <f aca="false">IF($B62="","",ROUND(N($G62)+N($H62)-N($I62),2))</f>
        <v/>
      </c>
      <c r="K62" s="70" t="str">
        <f aca="false">IF($B62="","",ROUND(N($F62)-N($J62),2))</f>
        <v/>
      </c>
      <c r="L62" s="40" t="str">
        <f aca="false">IF($B62="","",IF(ROUND(N($K62),2)&gt;0,"对方欠款",IF(ROUND(N($K62),2)&lt;0,"我方欠款","已两清")))</f>
        <v/>
      </c>
      <c r="M62" s="124"/>
    </row>
    <row r="63" customFormat="false" ht="13.5" hidden="false" customHeight="false" outlineLevel="0" collapsed="false">
      <c r="A63" s="40" t="str">
        <f aca="false">IF($B63="","",ROW()-4)</f>
        <v/>
      </c>
      <c r="B63" s="33" t="str">
        <f aca="false">IFERROR(INDEX(_自动清单!$E$4:$E$253,ROW()-4),"")</f>
        <v/>
      </c>
      <c r="C63" s="123"/>
      <c r="D63" s="70" t="str">
        <f aca="false">IF($B63="","",ROUND(SUMIFS(进销存对接!$G$4:$G$305,进销存对接!$I$4:$I$305,"客户往来",进销存对接!$C$4:$C$305,$B63),2))</f>
        <v/>
      </c>
      <c r="E63" s="70" t="str">
        <f aca="false">IF($B63="","",ROUND(SUMIFS(资金日记账!$H$4:$H$603,资金日记账!$E$4:$E$603,$B63,资金日记账!$K$4:$K$603,"应收账款"),2))</f>
        <v/>
      </c>
      <c r="F63" s="70" t="str">
        <f aca="false">IF($B63="","",ROUND(N($C63)+N($D63)-N($E63),2))</f>
        <v/>
      </c>
      <c r="G63" s="123"/>
      <c r="H63" s="70" t="str">
        <f aca="false">IF($B63="","",ROUND(SUMIFS(进销存对接!$F$4:$F$305,进销存对接!$I$4:$I$305,"客户往来",进销存对接!$C$4:$C$305,$B63)+SUMIFS(记账凭证!$I$4:$I$3609,记账凭证!$J$4:$J$3609,$B63,记账凭证!$E$4:$E$3609,"应付账款"),2))</f>
        <v/>
      </c>
      <c r="I63" s="70" t="str">
        <f aca="false">IF($B63="","",ROUND(SUMIFS(记账凭证!$H$4:$H$3609,记账凭证!$J$4:$J$3609,$B63,记账凭证!$E$4:$E$3609,"应付账款"),2))</f>
        <v/>
      </c>
      <c r="J63" s="70" t="str">
        <f aca="false">IF($B63="","",ROUND(N($G63)+N($H63)-N($I63),2))</f>
        <v/>
      </c>
      <c r="K63" s="70" t="str">
        <f aca="false">IF($B63="","",ROUND(N($F63)-N($J63),2))</f>
        <v/>
      </c>
      <c r="L63" s="40" t="str">
        <f aca="false">IF($B63="","",IF(ROUND(N($K63),2)&gt;0,"对方欠款",IF(ROUND(N($K63),2)&lt;0,"我方欠款","已两清")))</f>
        <v/>
      </c>
      <c r="M63" s="124"/>
    </row>
    <row r="64" customFormat="false" ht="13.5" hidden="false" customHeight="false" outlineLevel="0" collapsed="false">
      <c r="A64" s="40" t="str">
        <f aca="false">IF($B64="","",ROW()-4)</f>
        <v/>
      </c>
      <c r="B64" s="33" t="str">
        <f aca="false">IFERROR(INDEX(_自动清单!$E$4:$E$253,ROW()-4),"")</f>
        <v/>
      </c>
      <c r="C64" s="123"/>
      <c r="D64" s="70" t="str">
        <f aca="false">IF($B64="","",ROUND(SUMIFS(进销存对接!$G$4:$G$305,进销存对接!$I$4:$I$305,"客户往来",进销存对接!$C$4:$C$305,$B64),2))</f>
        <v/>
      </c>
      <c r="E64" s="70" t="str">
        <f aca="false">IF($B64="","",ROUND(SUMIFS(资金日记账!$H$4:$H$603,资金日记账!$E$4:$E$603,$B64,资金日记账!$K$4:$K$603,"应收账款"),2))</f>
        <v/>
      </c>
      <c r="F64" s="70" t="str">
        <f aca="false">IF($B64="","",ROUND(N($C64)+N($D64)-N($E64),2))</f>
        <v/>
      </c>
      <c r="G64" s="123"/>
      <c r="H64" s="70" t="str">
        <f aca="false">IF($B64="","",ROUND(SUMIFS(进销存对接!$F$4:$F$305,进销存对接!$I$4:$I$305,"客户往来",进销存对接!$C$4:$C$305,$B64)+SUMIFS(记账凭证!$I$4:$I$3609,记账凭证!$J$4:$J$3609,$B64,记账凭证!$E$4:$E$3609,"应付账款"),2))</f>
        <v/>
      </c>
      <c r="I64" s="70" t="str">
        <f aca="false">IF($B64="","",ROUND(SUMIFS(记账凭证!$H$4:$H$3609,记账凭证!$J$4:$J$3609,$B64,记账凭证!$E$4:$E$3609,"应付账款"),2))</f>
        <v/>
      </c>
      <c r="J64" s="70" t="str">
        <f aca="false">IF($B64="","",ROUND(N($G64)+N($H64)-N($I64),2))</f>
        <v/>
      </c>
      <c r="K64" s="70" t="str">
        <f aca="false">IF($B64="","",ROUND(N($F64)-N($J64),2))</f>
        <v/>
      </c>
      <c r="L64" s="40" t="str">
        <f aca="false">IF($B64="","",IF(ROUND(N($K64),2)&gt;0,"对方欠款",IF(ROUND(N($K64),2)&lt;0,"我方欠款","已两清")))</f>
        <v/>
      </c>
      <c r="M64" s="124"/>
    </row>
    <row r="65" customFormat="false" ht="13.5" hidden="false" customHeight="false" outlineLevel="0" collapsed="false">
      <c r="A65" s="40" t="str">
        <f aca="false">IF($B65="","",ROW()-4)</f>
        <v/>
      </c>
      <c r="B65" s="33" t="str">
        <f aca="false">IFERROR(INDEX(_自动清单!$E$4:$E$253,ROW()-4),"")</f>
        <v/>
      </c>
      <c r="C65" s="123"/>
      <c r="D65" s="70" t="str">
        <f aca="false">IF($B65="","",ROUND(SUMIFS(进销存对接!$G$4:$G$305,进销存对接!$I$4:$I$305,"客户往来",进销存对接!$C$4:$C$305,$B65),2))</f>
        <v/>
      </c>
      <c r="E65" s="70" t="str">
        <f aca="false">IF($B65="","",ROUND(SUMIFS(资金日记账!$H$4:$H$603,资金日记账!$E$4:$E$603,$B65,资金日记账!$K$4:$K$603,"应收账款"),2))</f>
        <v/>
      </c>
      <c r="F65" s="70" t="str">
        <f aca="false">IF($B65="","",ROUND(N($C65)+N($D65)-N($E65),2))</f>
        <v/>
      </c>
      <c r="G65" s="123"/>
      <c r="H65" s="70" t="str">
        <f aca="false">IF($B65="","",ROUND(SUMIFS(进销存对接!$F$4:$F$305,进销存对接!$I$4:$I$305,"客户往来",进销存对接!$C$4:$C$305,$B65)+SUMIFS(记账凭证!$I$4:$I$3609,记账凭证!$J$4:$J$3609,$B65,记账凭证!$E$4:$E$3609,"应付账款"),2))</f>
        <v/>
      </c>
      <c r="I65" s="70" t="str">
        <f aca="false">IF($B65="","",ROUND(SUMIFS(记账凭证!$H$4:$H$3609,记账凭证!$J$4:$J$3609,$B65,记账凭证!$E$4:$E$3609,"应付账款"),2))</f>
        <v/>
      </c>
      <c r="J65" s="70" t="str">
        <f aca="false">IF($B65="","",ROUND(N($G65)+N($H65)-N($I65),2))</f>
        <v/>
      </c>
      <c r="K65" s="70" t="str">
        <f aca="false">IF($B65="","",ROUND(N($F65)-N($J65),2))</f>
        <v/>
      </c>
      <c r="L65" s="40" t="str">
        <f aca="false">IF($B65="","",IF(ROUND(N($K65),2)&gt;0,"对方欠款",IF(ROUND(N($K65),2)&lt;0,"我方欠款","已两清")))</f>
        <v/>
      </c>
      <c r="M65" s="124"/>
    </row>
    <row r="66" customFormat="false" ht="13.5" hidden="false" customHeight="false" outlineLevel="0" collapsed="false">
      <c r="A66" s="40" t="str">
        <f aca="false">IF($B66="","",ROW()-4)</f>
        <v/>
      </c>
      <c r="B66" s="33" t="str">
        <f aca="false">IFERROR(INDEX(_自动清单!$E$4:$E$253,ROW()-4),"")</f>
        <v/>
      </c>
      <c r="C66" s="123"/>
      <c r="D66" s="70" t="str">
        <f aca="false">IF($B66="","",ROUND(SUMIFS(进销存对接!$G$4:$G$305,进销存对接!$I$4:$I$305,"客户往来",进销存对接!$C$4:$C$305,$B66),2))</f>
        <v/>
      </c>
      <c r="E66" s="70" t="str">
        <f aca="false">IF($B66="","",ROUND(SUMIFS(资金日记账!$H$4:$H$603,资金日记账!$E$4:$E$603,$B66,资金日记账!$K$4:$K$603,"应收账款"),2))</f>
        <v/>
      </c>
      <c r="F66" s="70" t="str">
        <f aca="false">IF($B66="","",ROUND(N($C66)+N($D66)-N($E66),2))</f>
        <v/>
      </c>
      <c r="G66" s="123"/>
      <c r="H66" s="70" t="str">
        <f aca="false">IF($B66="","",ROUND(SUMIFS(进销存对接!$F$4:$F$305,进销存对接!$I$4:$I$305,"客户往来",进销存对接!$C$4:$C$305,$B66)+SUMIFS(记账凭证!$I$4:$I$3609,记账凭证!$J$4:$J$3609,$B66,记账凭证!$E$4:$E$3609,"应付账款"),2))</f>
        <v/>
      </c>
      <c r="I66" s="70" t="str">
        <f aca="false">IF($B66="","",ROUND(SUMIFS(记账凭证!$H$4:$H$3609,记账凭证!$J$4:$J$3609,$B66,记账凭证!$E$4:$E$3609,"应付账款"),2))</f>
        <v/>
      </c>
      <c r="J66" s="70" t="str">
        <f aca="false">IF($B66="","",ROUND(N($G66)+N($H66)-N($I66),2))</f>
        <v/>
      </c>
      <c r="K66" s="70" t="str">
        <f aca="false">IF($B66="","",ROUND(N($F66)-N($J66),2))</f>
        <v/>
      </c>
      <c r="L66" s="40" t="str">
        <f aca="false">IF($B66="","",IF(ROUND(N($K66),2)&gt;0,"对方欠款",IF(ROUND(N($K66),2)&lt;0,"我方欠款","已两清")))</f>
        <v/>
      </c>
      <c r="M66" s="124"/>
    </row>
    <row r="67" customFormat="false" ht="13.5" hidden="false" customHeight="false" outlineLevel="0" collapsed="false">
      <c r="A67" s="40" t="str">
        <f aca="false">IF($B67="","",ROW()-4)</f>
        <v/>
      </c>
      <c r="B67" s="33" t="str">
        <f aca="false">IFERROR(INDEX(_自动清单!$E$4:$E$253,ROW()-4),"")</f>
        <v/>
      </c>
      <c r="C67" s="123"/>
      <c r="D67" s="70" t="str">
        <f aca="false">IF($B67="","",ROUND(SUMIFS(进销存对接!$G$4:$G$305,进销存对接!$I$4:$I$305,"客户往来",进销存对接!$C$4:$C$305,$B67),2))</f>
        <v/>
      </c>
      <c r="E67" s="70" t="str">
        <f aca="false">IF($B67="","",ROUND(SUMIFS(资金日记账!$H$4:$H$603,资金日记账!$E$4:$E$603,$B67,资金日记账!$K$4:$K$603,"应收账款"),2))</f>
        <v/>
      </c>
      <c r="F67" s="70" t="str">
        <f aca="false">IF($B67="","",ROUND(N($C67)+N($D67)-N($E67),2))</f>
        <v/>
      </c>
      <c r="G67" s="123"/>
      <c r="H67" s="70" t="str">
        <f aca="false">IF($B67="","",ROUND(SUMIFS(进销存对接!$F$4:$F$305,进销存对接!$I$4:$I$305,"客户往来",进销存对接!$C$4:$C$305,$B67)+SUMIFS(记账凭证!$I$4:$I$3609,记账凭证!$J$4:$J$3609,$B67,记账凭证!$E$4:$E$3609,"应付账款"),2))</f>
        <v/>
      </c>
      <c r="I67" s="70" t="str">
        <f aca="false">IF($B67="","",ROUND(SUMIFS(记账凭证!$H$4:$H$3609,记账凭证!$J$4:$J$3609,$B67,记账凭证!$E$4:$E$3609,"应付账款"),2))</f>
        <v/>
      </c>
      <c r="J67" s="70" t="str">
        <f aca="false">IF($B67="","",ROUND(N($G67)+N($H67)-N($I67),2))</f>
        <v/>
      </c>
      <c r="K67" s="70" t="str">
        <f aca="false">IF($B67="","",ROUND(N($F67)-N($J67),2))</f>
        <v/>
      </c>
      <c r="L67" s="40" t="str">
        <f aca="false">IF($B67="","",IF(ROUND(N($K67),2)&gt;0,"对方欠款",IF(ROUND(N($K67),2)&lt;0,"我方欠款","已两清")))</f>
        <v/>
      </c>
      <c r="M67" s="124"/>
    </row>
    <row r="68" customFormat="false" ht="13.5" hidden="false" customHeight="false" outlineLevel="0" collapsed="false">
      <c r="A68" s="40" t="str">
        <f aca="false">IF($B68="","",ROW()-4)</f>
        <v/>
      </c>
      <c r="B68" s="33" t="str">
        <f aca="false">IFERROR(INDEX(_自动清单!$E$4:$E$253,ROW()-4),"")</f>
        <v/>
      </c>
      <c r="C68" s="123"/>
      <c r="D68" s="70" t="str">
        <f aca="false">IF($B68="","",ROUND(SUMIFS(进销存对接!$G$4:$G$305,进销存对接!$I$4:$I$305,"客户往来",进销存对接!$C$4:$C$305,$B68),2))</f>
        <v/>
      </c>
      <c r="E68" s="70" t="str">
        <f aca="false">IF($B68="","",ROUND(SUMIFS(资金日记账!$H$4:$H$603,资金日记账!$E$4:$E$603,$B68,资金日记账!$K$4:$K$603,"应收账款"),2))</f>
        <v/>
      </c>
      <c r="F68" s="70" t="str">
        <f aca="false">IF($B68="","",ROUND(N($C68)+N($D68)-N($E68),2))</f>
        <v/>
      </c>
      <c r="G68" s="123"/>
      <c r="H68" s="70" t="str">
        <f aca="false">IF($B68="","",ROUND(SUMIFS(进销存对接!$F$4:$F$305,进销存对接!$I$4:$I$305,"客户往来",进销存对接!$C$4:$C$305,$B68)+SUMIFS(记账凭证!$I$4:$I$3609,记账凭证!$J$4:$J$3609,$B68,记账凭证!$E$4:$E$3609,"应付账款"),2))</f>
        <v/>
      </c>
      <c r="I68" s="70" t="str">
        <f aca="false">IF($B68="","",ROUND(SUMIFS(记账凭证!$H$4:$H$3609,记账凭证!$J$4:$J$3609,$B68,记账凭证!$E$4:$E$3609,"应付账款"),2))</f>
        <v/>
      </c>
      <c r="J68" s="70" t="str">
        <f aca="false">IF($B68="","",ROUND(N($G68)+N($H68)-N($I68),2))</f>
        <v/>
      </c>
      <c r="K68" s="70" t="str">
        <f aca="false">IF($B68="","",ROUND(N($F68)-N($J68),2))</f>
        <v/>
      </c>
      <c r="L68" s="40" t="str">
        <f aca="false">IF($B68="","",IF(ROUND(N($K68),2)&gt;0,"对方欠款",IF(ROUND(N($K68),2)&lt;0,"我方欠款","已两清")))</f>
        <v/>
      </c>
      <c r="M68" s="124"/>
    </row>
    <row r="69" customFormat="false" ht="13.5" hidden="false" customHeight="false" outlineLevel="0" collapsed="false">
      <c r="A69" s="40" t="str">
        <f aca="false">IF($B69="","",ROW()-4)</f>
        <v/>
      </c>
      <c r="B69" s="33" t="str">
        <f aca="false">IFERROR(INDEX(_自动清单!$E$4:$E$253,ROW()-4),"")</f>
        <v/>
      </c>
      <c r="C69" s="123"/>
      <c r="D69" s="70" t="str">
        <f aca="false">IF($B69="","",ROUND(SUMIFS(进销存对接!$G$4:$G$305,进销存对接!$I$4:$I$305,"客户往来",进销存对接!$C$4:$C$305,$B69),2))</f>
        <v/>
      </c>
      <c r="E69" s="70" t="str">
        <f aca="false">IF($B69="","",ROUND(SUMIFS(资金日记账!$H$4:$H$603,资金日记账!$E$4:$E$603,$B69,资金日记账!$K$4:$K$603,"应收账款"),2))</f>
        <v/>
      </c>
      <c r="F69" s="70" t="str">
        <f aca="false">IF($B69="","",ROUND(N($C69)+N($D69)-N($E69),2))</f>
        <v/>
      </c>
      <c r="G69" s="123"/>
      <c r="H69" s="70" t="str">
        <f aca="false">IF($B69="","",ROUND(SUMIFS(进销存对接!$F$4:$F$305,进销存对接!$I$4:$I$305,"客户往来",进销存对接!$C$4:$C$305,$B69)+SUMIFS(记账凭证!$I$4:$I$3609,记账凭证!$J$4:$J$3609,$B69,记账凭证!$E$4:$E$3609,"应付账款"),2))</f>
        <v/>
      </c>
      <c r="I69" s="70" t="str">
        <f aca="false">IF($B69="","",ROUND(SUMIFS(记账凭证!$H$4:$H$3609,记账凭证!$J$4:$J$3609,$B69,记账凭证!$E$4:$E$3609,"应付账款"),2))</f>
        <v/>
      </c>
      <c r="J69" s="70" t="str">
        <f aca="false">IF($B69="","",ROUND(N($G69)+N($H69)-N($I69),2))</f>
        <v/>
      </c>
      <c r="K69" s="70" t="str">
        <f aca="false">IF($B69="","",ROUND(N($F69)-N($J69),2))</f>
        <v/>
      </c>
      <c r="L69" s="40" t="str">
        <f aca="false">IF($B69="","",IF(ROUND(N($K69),2)&gt;0,"对方欠款",IF(ROUND(N($K69),2)&lt;0,"我方欠款","已两清")))</f>
        <v/>
      </c>
      <c r="M69" s="124"/>
    </row>
    <row r="70" customFormat="false" ht="13.5" hidden="false" customHeight="false" outlineLevel="0" collapsed="false">
      <c r="A70" s="40" t="str">
        <f aca="false">IF($B70="","",ROW()-4)</f>
        <v/>
      </c>
      <c r="B70" s="33" t="str">
        <f aca="false">IFERROR(INDEX(_自动清单!$E$4:$E$253,ROW()-4),"")</f>
        <v/>
      </c>
      <c r="C70" s="123"/>
      <c r="D70" s="70" t="str">
        <f aca="false">IF($B70="","",ROUND(SUMIFS(进销存对接!$G$4:$G$305,进销存对接!$I$4:$I$305,"客户往来",进销存对接!$C$4:$C$305,$B70),2))</f>
        <v/>
      </c>
      <c r="E70" s="70" t="str">
        <f aca="false">IF($B70="","",ROUND(SUMIFS(资金日记账!$H$4:$H$603,资金日记账!$E$4:$E$603,$B70,资金日记账!$K$4:$K$603,"应收账款"),2))</f>
        <v/>
      </c>
      <c r="F70" s="70" t="str">
        <f aca="false">IF($B70="","",ROUND(N($C70)+N($D70)-N($E70),2))</f>
        <v/>
      </c>
      <c r="G70" s="123"/>
      <c r="H70" s="70" t="str">
        <f aca="false">IF($B70="","",ROUND(SUMIFS(进销存对接!$F$4:$F$305,进销存对接!$I$4:$I$305,"客户往来",进销存对接!$C$4:$C$305,$B70)+SUMIFS(记账凭证!$I$4:$I$3609,记账凭证!$J$4:$J$3609,$B70,记账凭证!$E$4:$E$3609,"应付账款"),2))</f>
        <v/>
      </c>
      <c r="I70" s="70" t="str">
        <f aca="false">IF($B70="","",ROUND(SUMIFS(记账凭证!$H$4:$H$3609,记账凭证!$J$4:$J$3609,$B70,记账凭证!$E$4:$E$3609,"应付账款"),2))</f>
        <v/>
      </c>
      <c r="J70" s="70" t="str">
        <f aca="false">IF($B70="","",ROUND(N($G70)+N($H70)-N($I70),2))</f>
        <v/>
      </c>
      <c r="K70" s="70" t="str">
        <f aca="false">IF($B70="","",ROUND(N($F70)-N($J70),2))</f>
        <v/>
      </c>
      <c r="L70" s="40" t="str">
        <f aca="false">IF($B70="","",IF(ROUND(N($K70),2)&gt;0,"对方欠款",IF(ROUND(N($K70),2)&lt;0,"我方欠款","已两清")))</f>
        <v/>
      </c>
      <c r="M70" s="124"/>
    </row>
    <row r="71" customFormat="false" ht="13.5" hidden="false" customHeight="false" outlineLevel="0" collapsed="false">
      <c r="A71" s="40" t="str">
        <f aca="false">IF($B71="","",ROW()-4)</f>
        <v/>
      </c>
      <c r="B71" s="33" t="str">
        <f aca="false">IFERROR(INDEX(_自动清单!$E$4:$E$253,ROW()-4),"")</f>
        <v/>
      </c>
      <c r="C71" s="123"/>
      <c r="D71" s="70" t="str">
        <f aca="false">IF($B71="","",ROUND(SUMIFS(进销存对接!$G$4:$G$305,进销存对接!$I$4:$I$305,"客户往来",进销存对接!$C$4:$C$305,$B71),2))</f>
        <v/>
      </c>
      <c r="E71" s="70" t="str">
        <f aca="false">IF($B71="","",ROUND(SUMIFS(资金日记账!$H$4:$H$603,资金日记账!$E$4:$E$603,$B71,资金日记账!$K$4:$K$603,"应收账款"),2))</f>
        <v/>
      </c>
      <c r="F71" s="70" t="str">
        <f aca="false">IF($B71="","",ROUND(N($C71)+N($D71)-N($E71),2))</f>
        <v/>
      </c>
      <c r="G71" s="123"/>
      <c r="H71" s="70" t="str">
        <f aca="false">IF($B71="","",ROUND(SUMIFS(进销存对接!$F$4:$F$305,进销存对接!$I$4:$I$305,"客户往来",进销存对接!$C$4:$C$305,$B71)+SUMIFS(记账凭证!$I$4:$I$3609,记账凭证!$J$4:$J$3609,$B71,记账凭证!$E$4:$E$3609,"应付账款"),2))</f>
        <v/>
      </c>
      <c r="I71" s="70" t="str">
        <f aca="false">IF($B71="","",ROUND(SUMIFS(记账凭证!$H$4:$H$3609,记账凭证!$J$4:$J$3609,$B71,记账凭证!$E$4:$E$3609,"应付账款"),2))</f>
        <v/>
      </c>
      <c r="J71" s="70" t="str">
        <f aca="false">IF($B71="","",ROUND(N($G71)+N($H71)-N($I71),2))</f>
        <v/>
      </c>
      <c r="K71" s="70" t="str">
        <f aca="false">IF($B71="","",ROUND(N($F71)-N($J71),2))</f>
        <v/>
      </c>
      <c r="L71" s="40" t="str">
        <f aca="false">IF($B71="","",IF(ROUND(N($K71),2)&gt;0,"对方欠款",IF(ROUND(N($K71),2)&lt;0,"我方欠款","已两清")))</f>
        <v/>
      </c>
      <c r="M71" s="124"/>
    </row>
    <row r="72" customFormat="false" ht="13.5" hidden="false" customHeight="false" outlineLevel="0" collapsed="false">
      <c r="A72" s="40" t="str">
        <f aca="false">IF($B72="","",ROW()-4)</f>
        <v/>
      </c>
      <c r="B72" s="33" t="str">
        <f aca="false">IFERROR(INDEX(_自动清单!$E$4:$E$253,ROW()-4),"")</f>
        <v/>
      </c>
      <c r="C72" s="123"/>
      <c r="D72" s="70" t="str">
        <f aca="false">IF($B72="","",ROUND(SUMIFS(进销存对接!$G$4:$G$305,进销存对接!$I$4:$I$305,"客户往来",进销存对接!$C$4:$C$305,$B72),2))</f>
        <v/>
      </c>
      <c r="E72" s="70" t="str">
        <f aca="false">IF($B72="","",ROUND(SUMIFS(资金日记账!$H$4:$H$603,资金日记账!$E$4:$E$603,$B72,资金日记账!$K$4:$K$603,"应收账款"),2))</f>
        <v/>
      </c>
      <c r="F72" s="70" t="str">
        <f aca="false">IF($B72="","",ROUND(N($C72)+N($D72)-N($E72),2))</f>
        <v/>
      </c>
      <c r="G72" s="123"/>
      <c r="H72" s="70" t="str">
        <f aca="false">IF($B72="","",ROUND(SUMIFS(进销存对接!$F$4:$F$305,进销存对接!$I$4:$I$305,"客户往来",进销存对接!$C$4:$C$305,$B72)+SUMIFS(记账凭证!$I$4:$I$3609,记账凭证!$J$4:$J$3609,$B72,记账凭证!$E$4:$E$3609,"应付账款"),2))</f>
        <v/>
      </c>
      <c r="I72" s="70" t="str">
        <f aca="false">IF($B72="","",ROUND(SUMIFS(记账凭证!$H$4:$H$3609,记账凭证!$J$4:$J$3609,$B72,记账凭证!$E$4:$E$3609,"应付账款"),2))</f>
        <v/>
      </c>
      <c r="J72" s="70" t="str">
        <f aca="false">IF($B72="","",ROUND(N($G72)+N($H72)-N($I72),2))</f>
        <v/>
      </c>
      <c r="K72" s="70" t="str">
        <f aca="false">IF($B72="","",ROUND(N($F72)-N($J72),2))</f>
        <v/>
      </c>
      <c r="L72" s="40" t="str">
        <f aca="false">IF($B72="","",IF(ROUND(N($K72),2)&gt;0,"对方欠款",IF(ROUND(N($K72),2)&lt;0,"我方欠款","已两清")))</f>
        <v/>
      </c>
      <c r="M72" s="124"/>
    </row>
    <row r="73" customFormat="false" ht="13.5" hidden="false" customHeight="false" outlineLevel="0" collapsed="false">
      <c r="A73" s="40" t="str">
        <f aca="false">IF($B73="","",ROW()-4)</f>
        <v/>
      </c>
      <c r="B73" s="33" t="str">
        <f aca="false">IFERROR(INDEX(_自动清单!$E$4:$E$253,ROW()-4),"")</f>
        <v/>
      </c>
      <c r="C73" s="123"/>
      <c r="D73" s="70" t="str">
        <f aca="false">IF($B73="","",ROUND(SUMIFS(进销存对接!$G$4:$G$305,进销存对接!$I$4:$I$305,"客户往来",进销存对接!$C$4:$C$305,$B73),2))</f>
        <v/>
      </c>
      <c r="E73" s="70" t="str">
        <f aca="false">IF($B73="","",ROUND(SUMIFS(资金日记账!$H$4:$H$603,资金日记账!$E$4:$E$603,$B73,资金日记账!$K$4:$K$603,"应收账款"),2))</f>
        <v/>
      </c>
      <c r="F73" s="70" t="str">
        <f aca="false">IF($B73="","",ROUND(N($C73)+N($D73)-N($E73),2))</f>
        <v/>
      </c>
      <c r="G73" s="123"/>
      <c r="H73" s="70" t="str">
        <f aca="false">IF($B73="","",ROUND(SUMIFS(进销存对接!$F$4:$F$305,进销存对接!$I$4:$I$305,"客户往来",进销存对接!$C$4:$C$305,$B73)+SUMIFS(记账凭证!$I$4:$I$3609,记账凭证!$J$4:$J$3609,$B73,记账凭证!$E$4:$E$3609,"应付账款"),2))</f>
        <v/>
      </c>
      <c r="I73" s="70" t="str">
        <f aca="false">IF($B73="","",ROUND(SUMIFS(记账凭证!$H$4:$H$3609,记账凭证!$J$4:$J$3609,$B73,记账凭证!$E$4:$E$3609,"应付账款"),2))</f>
        <v/>
      </c>
      <c r="J73" s="70" t="str">
        <f aca="false">IF($B73="","",ROUND(N($G73)+N($H73)-N($I73),2))</f>
        <v/>
      </c>
      <c r="K73" s="70" t="str">
        <f aca="false">IF($B73="","",ROUND(N($F73)-N($J73),2))</f>
        <v/>
      </c>
      <c r="L73" s="40" t="str">
        <f aca="false">IF($B73="","",IF(ROUND(N($K73),2)&gt;0,"对方欠款",IF(ROUND(N($K73),2)&lt;0,"我方欠款","已两清")))</f>
        <v/>
      </c>
      <c r="M73" s="124"/>
    </row>
    <row r="74" customFormat="false" ht="13.5" hidden="false" customHeight="false" outlineLevel="0" collapsed="false">
      <c r="A74" s="40" t="str">
        <f aca="false">IF($B74="","",ROW()-4)</f>
        <v/>
      </c>
      <c r="B74" s="33" t="str">
        <f aca="false">IFERROR(INDEX(_自动清单!$E$4:$E$253,ROW()-4),"")</f>
        <v/>
      </c>
      <c r="C74" s="123"/>
      <c r="D74" s="70" t="str">
        <f aca="false">IF($B74="","",ROUND(SUMIFS(进销存对接!$G$4:$G$305,进销存对接!$I$4:$I$305,"客户往来",进销存对接!$C$4:$C$305,$B74),2))</f>
        <v/>
      </c>
      <c r="E74" s="70" t="str">
        <f aca="false">IF($B74="","",ROUND(SUMIFS(资金日记账!$H$4:$H$603,资金日记账!$E$4:$E$603,$B74,资金日记账!$K$4:$K$603,"应收账款"),2))</f>
        <v/>
      </c>
      <c r="F74" s="70" t="str">
        <f aca="false">IF($B74="","",ROUND(N($C74)+N($D74)-N($E74),2))</f>
        <v/>
      </c>
      <c r="G74" s="123"/>
      <c r="H74" s="70" t="str">
        <f aca="false">IF($B74="","",ROUND(SUMIFS(进销存对接!$F$4:$F$305,进销存对接!$I$4:$I$305,"客户往来",进销存对接!$C$4:$C$305,$B74)+SUMIFS(记账凭证!$I$4:$I$3609,记账凭证!$J$4:$J$3609,$B74,记账凭证!$E$4:$E$3609,"应付账款"),2))</f>
        <v/>
      </c>
      <c r="I74" s="70" t="str">
        <f aca="false">IF($B74="","",ROUND(SUMIFS(记账凭证!$H$4:$H$3609,记账凭证!$J$4:$J$3609,$B74,记账凭证!$E$4:$E$3609,"应付账款"),2))</f>
        <v/>
      </c>
      <c r="J74" s="70" t="str">
        <f aca="false">IF($B74="","",ROUND(N($G74)+N($H74)-N($I74),2))</f>
        <v/>
      </c>
      <c r="K74" s="70" t="str">
        <f aca="false">IF($B74="","",ROUND(N($F74)-N($J74),2))</f>
        <v/>
      </c>
      <c r="L74" s="40" t="str">
        <f aca="false">IF($B74="","",IF(ROUND(N($K74),2)&gt;0,"对方欠款",IF(ROUND(N($K74),2)&lt;0,"我方欠款","已两清")))</f>
        <v/>
      </c>
      <c r="M74" s="124"/>
    </row>
    <row r="75" customFormat="false" ht="13.5" hidden="false" customHeight="false" outlineLevel="0" collapsed="false">
      <c r="A75" s="40" t="str">
        <f aca="false">IF($B75="","",ROW()-4)</f>
        <v/>
      </c>
      <c r="B75" s="33" t="str">
        <f aca="false">IFERROR(INDEX(_自动清单!$E$4:$E$253,ROW()-4),"")</f>
        <v/>
      </c>
      <c r="C75" s="123"/>
      <c r="D75" s="70" t="str">
        <f aca="false">IF($B75="","",ROUND(SUMIFS(进销存对接!$G$4:$G$305,进销存对接!$I$4:$I$305,"客户往来",进销存对接!$C$4:$C$305,$B75),2))</f>
        <v/>
      </c>
      <c r="E75" s="70" t="str">
        <f aca="false">IF($B75="","",ROUND(SUMIFS(资金日记账!$H$4:$H$603,资金日记账!$E$4:$E$603,$B75,资金日记账!$K$4:$K$603,"应收账款"),2))</f>
        <v/>
      </c>
      <c r="F75" s="70" t="str">
        <f aca="false">IF($B75="","",ROUND(N($C75)+N($D75)-N($E75),2))</f>
        <v/>
      </c>
      <c r="G75" s="123"/>
      <c r="H75" s="70" t="str">
        <f aca="false">IF($B75="","",ROUND(SUMIFS(进销存对接!$F$4:$F$305,进销存对接!$I$4:$I$305,"客户往来",进销存对接!$C$4:$C$305,$B75)+SUMIFS(记账凭证!$I$4:$I$3609,记账凭证!$J$4:$J$3609,$B75,记账凭证!$E$4:$E$3609,"应付账款"),2))</f>
        <v/>
      </c>
      <c r="I75" s="70" t="str">
        <f aca="false">IF($B75="","",ROUND(SUMIFS(记账凭证!$H$4:$H$3609,记账凭证!$J$4:$J$3609,$B75,记账凭证!$E$4:$E$3609,"应付账款"),2))</f>
        <v/>
      </c>
      <c r="J75" s="70" t="str">
        <f aca="false">IF($B75="","",ROUND(N($G75)+N($H75)-N($I75),2))</f>
        <v/>
      </c>
      <c r="K75" s="70" t="str">
        <f aca="false">IF($B75="","",ROUND(N($F75)-N($J75),2))</f>
        <v/>
      </c>
      <c r="L75" s="40" t="str">
        <f aca="false">IF($B75="","",IF(ROUND(N($K75),2)&gt;0,"对方欠款",IF(ROUND(N($K75),2)&lt;0,"我方欠款","已两清")))</f>
        <v/>
      </c>
      <c r="M75" s="124"/>
    </row>
    <row r="76" customFormat="false" ht="13.5" hidden="false" customHeight="false" outlineLevel="0" collapsed="false">
      <c r="A76" s="40" t="str">
        <f aca="false">IF($B76="","",ROW()-4)</f>
        <v/>
      </c>
      <c r="B76" s="33" t="str">
        <f aca="false">IFERROR(INDEX(_自动清单!$E$4:$E$253,ROW()-4),"")</f>
        <v/>
      </c>
      <c r="C76" s="123"/>
      <c r="D76" s="70" t="str">
        <f aca="false">IF($B76="","",ROUND(SUMIFS(进销存对接!$G$4:$G$305,进销存对接!$I$4:$I$305,"客户往来",进销存对接!$C$4:$C$305,$B76),2))</f>
        <v/>
      </c>
      <c r="E76" s="70" t="str">
        <f aca="false">IF($B76="","",ROUND(SUMIFS(资金日记账!$H$4:$H$603,资金日记账!$E$4:$E$603,$B76,资金日记账!$K$4:$K$603,"应收账款"),2))</f>
        <v/>
      </c>
      <c r="F76" s="70" t="str">
        <f aca="false">IF($B76="","",ROUND(N($C76)+N($D76)-N($E76),2))</f>
        <v/>
      </c>
      <c r="G76" s="123"/>
      <c r="H76" s="70" t="str">
        <f aca="false">IF($B76="","",ROUND(SUMIFS(进销存对接!$F$4:$F$305,进销存对接!$I$4:$I$305,"客户往来",进销存对接!$C$4:$C$305,$B76)+SUMIFS(记账凭证!$I$4:$I$3609,记账凭证!$J$4:$J$3609,$B76,记账凭证!$E$4:$E$3609,"应付账款"),2))</f>
        <v/>
      </c>
      <c r="I76" s="70" t="str">
        <f aca="false">IF($B76="","",ROUND(SUMIFS(记账凭证!$H$4:$H$3609,记账凭证!$J$4:$J$3609,$B76,记账凭证!$E$4:$E$3609,"应付账款"),2))</f>
        <v/>
      </c>
      <c r="J76" s="70" t="str">
        <f aca="false">IF($B76="","",ROUND(N($G76)+N($H76)-N($I76),2))</f>
        <v/>
      </c>
      <c r="K76" s="70" t="str">
        <f aca="false">IF($B76="","",ROUND(N($F76)-N($J76),2))</f>
        <v/>
      </c>
      <c r="L76" s="40" t="str">
        <f aca="false">IF($B76="","",IF(ROUND(N($K76),2)&gt;0,"对方欠款",IF(ROUND(N($K76),2)&lt;0,"我方欠款","已两清")))</f>
        <v/>
      </c>
      <c r="M76" s="124"/>
    </row>
    <row r="77" customFormat="false" ht="13.5" hidden="false" customHeight="false" outlineLevel="0" collapsed="false">
      <c r="A77" s="40" t="str">
        <f aca="false">IF($B77="","",ROW()-4)</f>
        <v/>
      </c>
      <c r="B77" s="33" t="str">
        <f aca="false">IFERROR(INDEX(_自动清单!$E$4:$E$253,ROW()-4),"")</f>
        <v/>
      </c>
      <c r="C77" s="123"/>
      <c r="D77" s="70" t="str">
        <f aca="false">IF($B77="","",ROUND(SUMIFS(进销存对接!$G$4:$G$305,进销存对接!$I$4:$I$305,"客户往来",进销存对接!$C$4:$C$305,$B77),2))</f>
        <v/>
      </c>
      <c r="E77" s="70" t="str">
        <f aca="false">IF($B77="","",ROUND(SUMIFS(资金日记账!$H$4:$H$603,资金日记账!$E$4:$E$603,$B77,资金日记账!$K$4:$K$603,"应收账款"),2))</f>
        <v/>
      </c>
      <c r="F77" s="70" t="str">
        <f aca="false">IF($B77="","",ROUND(N($C77)+N($D77)-N($E77),2))</f>
        <v/>
      </c>
      <c r="G77" s="123"/>
      <c r="H77" s="70" t="str">
        <f aca="false">IF($B77="","",ROUND(SUMIFS(进销存对接!$F$4:$F$305,进销存对接!$I$4:$I$305,"客户往来",进销存对接!$C$4:$C$305,$B77)+SUMIFS(记账凭证!$I$4:$I$3609,记账凭证!$J$4:$J$3609,$B77,记账凭证!$E$4:$E$3609,"应付账款"),2))</f>
        <v/>
      </c>
      <c r="I77" s="70" t="str">
        <f aca="false">IF($B77="","",ROUND(SUMIFS(记账凭证!$H$4:$H$3609,记账凭证!$J$4:$J$3609,$B77,记账凭证!$E$4:$E$3609,"应付账款"),2))</f>
        <v/>
      </c>
      <c r="J77" s="70" t="str">
        <f aca="false">IF($B77="","",ROUND(N($G77)+N($H77)-N($I77),2))</f>
        <v/>
      </c>
      <c r="K77" s="70" t="str">
        <f aca="false">IF($B77="","",ROUND(N($F77)-N($J77),2))</f>
        <v/>
      </c>
      <c r="L77" s="40" t="str">
        <f aca="false">IF($B77="","",IF(ROUND(N($K77),2)&gt;0,"对方欠款",IF(ROUND(N($K77),2)&lt;0,"我方欠款","已两清")))</f>
        <v/>
      </c>
      <c r="M77" s="124"/>
    </row>
    <row r="78" customFormat="false" ht="13.5" hidden="false" customHeight="false" outlineLevel="0" collapsed="false">
      <c r="A78" s="40" t="str">
        <f aca="false">IF($B78="","",ROW()-4)</f>
        <v/>
      </c>
      <c r="B78" s="33" t="str">
        <f aca="false">IFERROR(INDEX(_自动清单!$E$4:$E$253,ROW()-4),"")</f>
        <v/>
      </c>
      <c r="C78" s="123"/>
      <c r="D78" s="70" t="str">
        <f aca="false">IF($B78="","",ROUND(SUMIFS(进销存对接!$G$4:$G$305,进销存对接!$I$4:$I$305,"客户往来",进销存对接!$C$4:$C$305,$B78),2))</f>
        <v/>
      </c>
      <c r="E78" s="70" t="str">
        <f aca="false">IF($B78="","",ROUND(SUMIFS(资金日记账!$H$4:$H$603,资金日记账!$E$4:$E$603,$B78,资金日记账!$K$4:$K$603,"应收账款"),2))</f>
        <v/>
      </c>
      <c r="F78" s="70" t="str">
        <f aca="false">IF($B78="","",ROUND(N($C78)+N($D78)-N($E78),2))</f>
        <v/>
      </c>
      <c r="G78" s="123"/>
      <c r="H78" s="70" t="str">
        <f aca="false">IF($B78="","",ROUND(SUMIFS(进销存对接!$F$4:$F$305,进销存对接!$I$4:$I$305,"客户往来",进销存对接!$C$4:$C$305,$B78)+SUMIFS(记账凭证!$I$4:$I$3609,记账凭证!$J$4:$J$3609,$B78,记账凭证!$E$4:$E$3609,"应付账款"),2))</f>
        <v/>
      </c>
      <c r="I78" s="70" t="str">
        <f aca="false">IF($B78="","",ROUND(SUMIFS(记账凭证!$H$4:$H$3609,记账凭证!$J$4:$J$3609,$B78,记账凭证!$E$4:$E$3609,"应付账款"),2))</f>
        <v/>
      </c>
      <c r="J78" s="70" t="str">
        <f aca="false">IF($B78="","",ROUND(N($G78)+N($H78)-N($I78),2))</f>
        <v/>
      </c>
      <c r="K78" s="70" t="str">
        <f aca="false">IF($B78="","",ROUND(N($F78)-N($J78),2))</f>
        <v/>
      </c>
      <c r="L78" s="40" t="str">
        <f aca="false">IF($B78="","",IF(ROUND(N($K78),2)&gt;0,"对方欠款",IF(ROUND(N($K78),2)&lt;0,"我方欠款","已两清")))</f>
        <v/>
      </c>
      <c r="M78" s="124"/>
    </row>
    <row r="79" customFormat="false" ht="13.5" hidden="false" customHeight="false" outlineLevel="0" collapsed="false">
      <c r="A79" s="40" t="str">
        <f aca="false">IF($B79="","",ROW()-4)</f>
        <v/>
      </c>
      <c r="B79" s="33" t="str">
        <f aca="false">IFERROR(INDEX(_自动清单!$E$4:$E$253,ROW()-4),"")</f>
        <v/>
      </c>
      <c r="C79" s="123"/>
      <c r="D79" s="70" t="str">
        <f aca="false">IF($B79="","",ROUND(SUMIFS(进销存对接!$G$4:$G$305,进销存对接!$I$4:$I$305,"客户往来",进销存对接!$C$4:$C$305,$B79),2))</f>
        <v/>
      </c>
      <c r="E79" s="70" t="str">
        <f aca="false">IF($B79="","",ROUND(SUMIFS(资金日记账!$H$4:$H$603,资金日记账!$E$4:$E$603,$B79,资金日记账!$K$4:$K$603,"应收账款"),2))</f>
        <v/>
      </c>
      <c r="F79" s="70" t="str">
        <f aca="false">IF($B79="","",ROUND(N($C79)+N($D79)-N($E79),2))</f>
        <v/>
      </c>
      <c r="G79" s="123"/>
      <c r="H79" s="70" t="str">
        <f aca="false">IF($B79="","",ROUND(SUMIFS(进销存对接!$F$4:$F$305,进销存对接!$I$4:$I$305,"客户往来",进销存对接!$C$4:$C$305,$B79)+SUMIFS(记账凭证!$I$4:$I$3609,记账凭证!$J$4:$J$3609,$B79,记账凭证!$E$4:$E$3609,"应付账款"),2))</f>
        <v/>
      </c>
      <c r="I79" s="70" t="str">
        <f aca="false">IF($B79="","",ROUND(SUMIFS(记账凭证!$H$4:$H$3609,记账凭证!$J$4:$J$3609,$B79,记账凭证!$E$4:$E$3609,"应付账款"),2))</f>
        <v/>
      </c>
      <c r="J79" s="70" t="str">
        <f aca="false">IF($B79="","",ROUND(N($G79)+N($H79)-N($I79),2))</f>
        <v/>
      </c>
      <c r="K79" s="70" t="str">
        <f aca="false">IF($B79="","",ROUND(N($F79)-N($J79),2))</f>
        <v/>
      </c>
      <c r="L79" s="40" t="str">
        <f aca="false">IF($B79="","",IF(ROUND(N($K79),2)&gt;0,"对方欠款",IF(ROUND(N($K79),2)&lt;0,"我方欠款","已两清")))</f>
        <v/>
      </c>
      <c r="M79" s="124"/>
    </row>
    <row r="80" customFormat="false" ht="13.5" hidden="false" customHeight="false" outlineLevel="0" collapsed="false">
      <c r="A80" s="40" t="str">
        <f aca="false">IF($B80="","",ROW()-4)</f>
        <v/>
      </c>
      <c r="B80" s="33" t="str">
        <f aca="false">IFERROR(INDEX(_自动清单!$E$4:$E$253,ROW()-4),"")</f>
        <v/>
      </c>
      <c r="C80" s="123"/>
      <c r="D80" s="70" t="str">
        <f aca="false">IF($B80="","",ROUND(SUMIFS(进销存对接!$G$4:$G$305,进销存对接!$I$4:$I$305,"客户往来",进销存对接!$C$4:$C$305,$B80),2))</f>
        <v/>
      </c>
      <c r="E80" s="70" t="str">
        <f aca="false">IF($B80="","",ROUND(SUMIFS(资金日记账!$H$4:$H$603,资金日记账!$E$4:$E$603,$B80,资金日记账!$K$4:$K$603,"应收账款"),2))</f>
        <v/>
      </c>
      <c r="F80" s="70" t="str">
        <f aca="false">IF($B80="","",ROUND(N($C80)+N($D80)-N($E80),2))</f>
        <v/>
      </c>
      <c r="G80" s="123"/>
      <c r="H80" s="70" t="str">
        <f aca="false">IF($B80="","",ROUND(SUMIFS(进销存对接!$F$4:$F$305,进销存对接!$I$4:$I$305,"客户往来",进销存对接!$C$4:$C$305,$B80)+SUMIFS(记账凭证!$I$4:$I$3609,记账凭证!$J$4:$J$3609,$B80,记账凭证!$E$4:$E$3609,"应付账款"),2))</f>
        <v/>
      </c>
      <c r="I80" s="70" t="str">
        <f aca="false">IF($B80="","",ROUND(SUMIFS(记账凭证!$H$4:$H$3609,记账凭证!$J$4:$J$3609,$B80,记账凭证!$E$4:$E$3609,"应付账款"),2))</f>
        <v/>
      </c>
      <c r="J80" s="70" t="str">
        <f aca="false">IF($B80="","",ROUND(N($G80)+N($H80)-N($I80),2))</f>
        <v/>
      </c>
      <c r="K80" s="70" t="str">
        <f aca="false">IF($B80="","",ROUND(N($F80)-N($J80),2))</f>
        <v/>
      </c>
      <c r="L80" s="40" t="str">
        <f aca="false">IF($B80="","",IF(ROUND(N($K80),2)&gt;0,"对方欠款",IF(ROUND(N($K80),2)&lt;0,"我方欠款","已两清")))</f>
        <v/>
      </c>
      <c r="M80" s="124"/>
    </row>
    <row r="81" customFormat="false" ht="13.5" hidden="false" customHeight="false" outlineLevel="0" collapsed="false">
      <c r="A81" s="40" t="str">
        <f aca="false">IF($B81="","",ROW()-4)</f>
        <v/>
      </c>
      <c r="B81" s="33" t="str">
        <f aca="false">IFERROR(INDEX(_自动清单!$E$4:$E$253,ROW()-4),"")</f>
        <v/>
      </c>
      <c r="C81" s="123"/>
      <c r="D81" s="70" t="str">
        <f aca="false">IF($B81="","",ROUND(SUMIFS(进销存对接!$G$4:$G$305,进销存对接!$I$4:$I$305,"客户往来",进销存对接!$C$4:$C$305,$B81),2))</f>
        <v/>
      </c>
      <c r="E81" s="70" t="str">
        <f aca="false">IF($B81="","",ROUND(SUMIFS(资金日记账!$H$4:$H$603,资金日记账!$E$4:$E$603,$B81,资金日记账!$K$4:$K$603,"应收账款"),2))</f>
        <v/>
      </c>
      <c r="F81" s="70" t="str">
        <f aca="false">IF($B81="","",ROUND(N($C81)+N($D81)-N($E81),2))</f>
        <v/>
      </c>
      <c r="G81" s="123"/>
      <c r="H81" s="70" t="str">
        <f aca="false">IF($B81="","",ROUND(SUMIFS(进销存对接!$F$4:$F$305,进销存对接!$I$4:$I$305,"客户往来",进销存对接!$C$4:$C$305,$B81)+SUMIFS(记账凭证!$I$4:$I$3609,记账凭证!$J$4:$J$3609,$B81,记账凭证!$E$4:$E$3609,"应付账款"),2))</f>
        <v/>
      </c>
      <c r="I81" s="70" t="str">
        <f aca="false">IF($B81="","",ROUND(SUMIFS(记账凭证!$H$4:$H$3609,记账凭证!$J$4:$J$3609,$B81,记账凭证!$E$4:$E$3609,"应付账款"),2))</f>
        <v/>
      </c>
      <c r="J81" s="70" t="str">
        <f aca="false">IF($B81="","",ROUND(N($G81)+N($H81)-N($I81),2))</f>
        <v/>
      </c>
      <c r="K81" s="70" t="str">
        <f aca="false">IF($B81="","",ROUND(N($F81)-N($J81),2))</f>
        <v/>
      </c>
      <c r="L81" s="40" t="str">
        <f aca="false">IF($B81="","",IF(ROUND(N($K81),2)&gt;0,"对方欠款",IF(ROUND(N($K81),2)&lt;0,"我方欠款","已两清")))</f>
        <v/>
      </c>
      <c r="M81" s="124"/>
    </row>
    <row r="82" customFormat="false" ht="13.5" hidden="false" customHeight="false" outlineLevel="0" collapsed="false">
      <c r="A82" s="40" t="str">
        <f aca="false">IF($B82="","",ROW()-4)</f>
        <v/>
      </c>
      <c r="B82" s="33" t="str">
        <f aca="false">IFERROR(INDEX(_自动清单!$E$4:$E$253,ROW()-4),"")</f>
        <v/>
      </c>
      <c r="C82" s="123"/>
      <c r="D82" s="70" t="str">
        <f aca="false">IF($B82="","",ROUND(SUMIFS(进销存对接!$G$4:$G$305,进销存对接!$I$4:$I$305,"客户往来",进销存对接!$C$4:$C$305,$B82),2))</f>
        <v/>
      </c>
      <c r="E82" s="70" t="str">
        <f aca="false">IF($B82="","",ROUND(SUMIFS(资金日记账!$H$4:$H$603,资金日记账!$E$4:$E$603,$B82,资金日记账!$K$4:$K$603,"应收账款"),2))</f>
        <v/>
      </c>
      <c r="F82" s="70" t="str">
        <f aca="false">IF($B82="","",ROUND(N($C82)+N($D82)-N($E82),2))</f>
        <v/>
      </c>
      <c r="G82" s="123"/>
      <c r="H82" s="70" t="str">
        <f aca="false">IF($B82="","",ROUND(SUMIFS(进销存对接!$F$4:$F$305,进销存对接!$I$4:$I$305,"客户往来",进销存对接!$C$4:$C$305,$B82)+SUMIFS(记账凭证!$I$4:$I$3609,记账凭证!$J$4:$J$3609,$B82,记账凭证!$E$4:$E$3609,"应付账款"),2))</f>
        <v/>
      </c>
      <c r="I82" s="70" t="str">
        <f aca="false">IF($B82="","",ROUND(SUMIFS(记账凭证!$H$4:$H$3609,记账凭证!$J$4:$J$3609,$B82,记账凭证!$E$4:$E$3609,"应付账款"),2))</f>
        <v/>
      </c>
      <c r="J82" s="70" t="str">
        <f aca="false">IF($B82="","",ROUND(N($G82)+N($H82)-N($I82),2))</f>
        <v/>
      </c>
      <c r="K82" s="70" t="str">
        <f aca="false">IF($B82="","",ROUND(N($F82)-N($J82),2))</f>
        <v/>
      </c>
      <c r="L82" s="40" t="str">
        <f aca="false">IF($B82="","",IF(ROUND(N($K82),2)&gt;0,"对方欠款",IF(ROUND(N($K82),2)&lt;0,"我方欠款","已两清")))</f>
        <v/>
      </c>
      <c r="M82" s="124"/>
    </row>
    <row r="83" customFormat="false" ht="13.5" hidden="false" customHeight="false" outlineLevel="0" collapsed="false">
      <c r="A83" s="40" t="str">
        <f aca="false">IF($B83="","",ROW()-4)</f>
        <v/>
      </c>
      <c r="B83" s="33" t="str">
        <f aca="false">IFERROR(INDEX(_自动清单!$E$4:$E$253,ROW()-4),"")</f>
        <v/>
      </c>
      <c r="C83" s="123"/>
      <c r="D83" s="70" t="str">
        <f aca="false">IF($B83="","",ROUND(SUMIFS(进销存对接!$G$4:$G$305,进销存对接!$I$4:$I$305,"客户往来",进销存对接!$C$4:$C$305,$B83),2))</f>
        <v/>
      </c>
      <c r="E83" s="70" t="str">
        <f aca="false">IF($B83="","",ROUND(SUMIFS(资金日记账!$H$4:$H$603,资金日记账!$E$4:$E$603,$B83,资金日记账!$K$4:$K$603,"应收账款"),2))</f>
        <v/>
      </c>
      <c r="F83" s="70" t="str">
        <f aca="false">IF($B83="","",ROUND(N($C83)+N($D83)-N($E83),2))</f>
        <v/>
      </c>
      <c r="G83" s="123"/>
      <c r="H83" s="70" t="str">
        <f aca="false">IF($B83="","",ROUND(SUMIFS(进销存对接!$F$4:$F$305,进销存对接!$I$4:$I$305,"客户往来",进销存对接!$C$4:$C$305,$B83)+SUMIFS(记账凭证!$I$4:$I$3609,记账凭证!$J$4:$J$3609,$B83,记账凭证!$E$4:$E$3609,"应付账款"),2))</f>
        <v/>
      </c>
      <c r="I83" s="70" t="str">
        <f aca="false">IF($B83="","",ROUND(SUMIFS(记账凭证!$H$4:$H$3609,记账凭证!$J$4:$J$3609,$B83,记账凭证!$E$4:$E$3609,"应付账款"),2))</f>
        <v/>
      </c>
      <c r="J83" s="70" t="str">
        <f aca="false">IF($B83="","",ROUND(N($G83)+N($H83)-N($I83),2))</f>
        <v/>
      </c>
      <c r="K83" s="70" t="str">
        <f aca="false">IF($B83="","",ROUND(N($F83)-N($J83),2))</f>
        <v/>
      </c>
      <c r="L83" s="40" t="str">
        <f aca="false">IF($B83="","",IF(ROUND(N($K83),2)&gt;0,"对方欠款",IF(ROUND(N($K83),2)&lt;0,"我方欠款","已两清")))</f>
        <v/>
      </c>
      <c r="M83" s="124"/>
    </row>
    <row r="84" customFormat="false" ht="13.5" hidden="false" customHeight="false" outlineLevel="0" collapsed="false">
      <c r="A84" s="40" t="str">
        <f aca="false">IF($B84="","",ROW()-4)</f>
        <v/>
      </c>
      <c r="B84" s="33" t="str">
        <f aca="false">IFERROR(INDEX(_自动清单!$E$4:$E$253,ROW()-4),"")</f>
        <v/>
      </c>
      <c r="C84" s="123"/>
      <c r="D84" s="70" t="str">
        <f aca="false">IF($B84="","",ROUND(SUMIFS(进销存对接!$G$4:$G$305,进销存对接!$I$4:$I$305,"客户往来",进销存对接!$C$4:$C$305,$B84),2))</f>
        <v/>
      </c>
      <c r="E84" s="70" t="str">
        <f aca="false">IF($B84="","",ROUND(SUMIFS(资金日记账!$H$4:$H$603,资金日记账!$E$4:$E$603,$B84,资金日记账!$K$4:$K$603,"应收账款"),2))</f>
        <v/>
      </c>
      <c r="F84" s="70" t="str">
        <f aca="false">IF($B84="","",ROUND(N($C84)+N($D84)-N($E84),2))</f>
        <v/>
      </c>
      <c r="G84" s="123"/>
      <c r="H84" s="70" t="str">
        <f aca="false">IF($B84="","",ROUND(SUMIFS(进销存对接!$F$4:$F$305,进销存对接!$I$4:$I$305,"客户往来",进销存对接!$C$4:$C$305,$B84)+SUMIFS(记账凭证!$I$4:$I$3609,记账凭证!$J$4:$J$3609,$B84,记账凭证!$E$4:$E$3609,"应付账款"),2))</f>
        <v/>
      </c>
      <c r="I84" s="70" t="str">
        <f aca="false">IF($B84="","",ROUND(SUMIFS(记账凭证!$H$4:$H$3609,记账凭证!$J$4:$J$3609,$B84,记账凭证!$E$4:$E$3609,"应付账款"),2))</f>
        <v/>
      </c>
      <c r="J84" s="70" t="str">
        <f aca="false">IF($B84="","",ROUND(N($G84)+N($H84)-N($I84),2))</f>
        <v/>
      </c>
      <c r="K84" s="70" t="str">
        <f aca="false">IF($B84="","",ROUND(N($F84)-N($J84),2))</f>
        <v/>
      </c>
      <c r="L84" s="40" t="str">
        <f aca="false">IF($B84="","",IF(ROUND(N($K84),2)&gt;0,"对方欠款",IF(ROUND(N($K84),2)&lt;0,"我方欠款","已两清")))</f>
        <v/>
      </c>
      <c r="M84" s="124"/>
    </row>
    <row r="85" customFormat="false" ht="13.5" hidden="false" customHeight="false" outlineLevel="0" collapsed="false">
      <c r="A85" s="40" t="str">
        <f aca="false">IF($B85="","",ROW()-4)</f>
        <v/>
      </c>
      <c r="B85" s="33" t="str">
        <f aca="false">IFERROR(INDEX(_自动清单!$E$4:$E$253,ROW()-4),"")</f>
        <v/>
      </c>
      <c r="C85" s="123"/>
      <c r="D85" s="70" t="str">
        <f aca="false">IF($B85="","",ROUND(SUMIFS(进销存对接!$G$4:$G$305,进销存对接!$I$4:$I$305,"客户往来",进销存对接!$C$4:$C$305,$B85),2))</f>
        <v/>
      </c>
      <c r="E85" s="70" t="str">
        <f aca="false">IF($B85="","",ROUND(SUMIFS(资金日记账!$H$4:$H$603,资金日记账!$E$4:$E$603,$B85,资金日记账!$K$4:$K$603,"应收账款"),2))</f>
        <v/>
      </c>
      <c r="F85" s="70" t="str">
        <f aca="false">IF($B85="","",ROUND(N($C85)+N($D85)-N($E85),2))</f>
        <v/>
      </c>
      <c r="G85" s="123"/>
      <c r="H85" s="70" t="str">
        <f aca="false">IF($B85="","",ROUND(SUMIFS(进销存对接!$F$4:$F$305,进销存对接!$I$4:$I$305,"客户往来",进销存对接!$C$4:$C$305,$B85)+SUMIFS(记账凭证!$I$4:$I$3609,记账凭证!$J$4:$J$3609,$B85,记账凭证!$E$4:$E$3609,"应付账款"),2))</f>
        <v/>
      </c>
      <c r="I85" s="70" t="str">
        <f aca="false">IF($B85="","",ROUND(SUMIFS(记账凭证!$H$4:$H$3609,记账凭证!$J$4:$J$3609,$B85,记账凭证!$E$4:$E$3609,"应付账款"),2))</f>
        <v/>
      </c>
      <c r="J85" s="70" t="str">
        <f aca="false">IF($B85="","",ROUND(N($G85)+N($H85)-N($I85),2))</f>
        <v/>
      </c>
      <c r="K85" s="70" t="str">
        <f aca="false">IF($B85="","",ROUND(N($F85)-N($J85),2))</f>
        <v/>
      </c>
      <c r="L85" s="40" t="str">
        <f aca="false">IF($B85="","",IF(ROUND(N($K85),2)&gt;0,"对方欠款",IF(ROUND(N($K85),2)&lt;0,"我方欠款","已两清")))</f>
        <v/>
      </c>
      <c r="M85" s="124"/>
    </row>
    <row r="86" customFormat="false" ht="13.5" hidden="false" customHeight="false" outlineLevel="0" collapsed="false">
      <c r="A86" s="40" t="str">
        <f aca="false">IF($B86="","",ROW()-4)</f>
        <v/>
      </c>
      <c r="B86" s="33" t="str">
        <f aca="false">IFERROR(INDEX(_自动清单!$E$4:$E$253,ROW()-4),"")</f>
        <v/>
      </c>
      <c r="C86" s="123"/>
      <c r="D86" s="70" t="str">
        <f aca="false">IF($B86="","",ROUND(SUMIFS(进销存对接!$G$4:$G$305,进销存对接!$I$4:$I$305,"客户往来",进销存对接!$C$4:$C$305,$B86),2))</f>
        <v/>
      </c>
      <c r="E86" s="70" t="str">
        <f aca="false">IF($B86="","",ROUND(SUMIFS(资金日记账!$H$4:$H$603,资金日记账!$E$4:$E$603,$B86,资金日记账!$K$4:$K$603,"应收账款"),2))</f>
        <v/>
      </c>
      <c r="F86" s="70" t="str">
        <f aca="false">IF($B86="","",ROUND(N($C86)+N($D86)-N($E86),2))</f>
        <v/>
      </c>
      <c r="G86" s="123"/>
      <c r="H86" s="70" t="str">
        <f aca="false">IF($B86="","",ROUND(SUMIFS(进销存对接!$F$4:$F$305,进销存对接!$I$4:$I$305,"客户往来",进销存对接!$C$4:$C$305,$B86)+SUMIFS(记账凭证!$I$4:$I$3609,记账凭证!$J$4:$J$3609,$B86,记账凭证!$E$4:$E$3609,"应付账款"),2))</f>
        <v/>
      </c>
      <c r="I86" s="70" t="str">
        <f aca="false">IF($B86="","",ROUND(SUMIFS(记账凭证!$H$4:$H$3609,记账凭证!$J$4:$J$3609,$B86,记账凭证!$E$4:$E$3609,"应付账款"),2))</f>
        <v/>
      </c>
      <c r="J86" s="70" t="str">
        <f aca="false">IF($B86="","",ROUND(N($G86)+N($H86)-N($I86),2))</f>
        <v/>
      </c>
      <c r="K86" s="70" t="str">
        <f aca="false">IF($B86="","",ROUND(N($F86)-N($J86),2))</f>
        <v/>
      </c>
      <c r="L86" s="40" t="str">
        <f aca="false">IF($B86="","",IF(ROUND(N($K86),2)&gt;0,"对方欠款",IF(ROUND(N($K86),2)&lt;0,"我方欠款","已两清")))</f>
        <v/>
      </c>
      <c r="M86" s="124"/>
    </row>
    <row r="87" customFormat="false" ht="13.5" hidden="false" customHeight="false" outlineLevel="0" collapsed="false">
      <c r="A87" s="40" t="str">
        <f aca="false">IF($B87="","",ROW()-4)</f>
        <v/>
      </c>
      <c r="B87" s="33" t="str">
        <f aca="false">IFERROR(INDEX(_自动清单!$E$4:$E$253,ROW()-4),"")</f>
        <v/>
      </c>
      <c r="C87" s="123"/>
      <c r="D87" s="70" t="str">
        <f aca="false">IF($B87="","",ROUND(SUMIFS(进销存对接!$G$4:$G$305,进销存对接!$I$4:$I$305,"客户往来",进销存对接!$C$4:$C$305,$B87),2))</f>
        <v/>
      </c>
      <c r="E87" s="70" t="str">
        <f aca="false">IF($B87="","",ROUND(SUMIFS(资金日记账!$H$4:$H$603,资金日记账!$E$4:$E$603,$B87,资金日记账!$K$4:$K$603,"应收账款"),2))</f>
        <v/>
      </c>
      <c r="F87" s="70" t="str">
        <f aca="false">IF($B87="","",ROUND(N($C87)+N($D87)-N($E87),2))</f>
        <v/>
      </c>
      <c r="G87" s="123"/>
      <c r="H87" s="70" t="str">
        <f aca="false">IF($B87="","",ROUND(SUMIFS(进销存对接!$F$4:$F$305,进销存对接!$I$4:$I$305,"客户往来",进销存对接!$C$4:$C$305,$B87)+SUMIFS(记账凭证!$I$4:$I$3609,记账凭证!$J$4:$J$3609,$B87,记账凭证!$E$4:$E$3609,"应付账款"),2))</f>
        <v/>
      </c>
      <c r="I87" s="70" t="str">
        <f aca="false">IF($B87="","",ROUND(SUMIFS(记账凭证!$H$4:$H$3609,记账凭证!$J$4:$J$3609,$B87,记账凭证!$E$4:$E$3609,"应付账款"),2))</f>
        <v/>
      </c>
      <c r="J87" s="70" t="str">
        <f aca="false">IF($B87="","",ROUND(N($G87)+N($H87)-N($I87),2))</f>
        <v/>
      </c>
      <c r="K87" s="70" t="str">
        <f aca="false">IF($B87="","",ROUND(N($F87)-N($J87),2))</f>
        <v/>
      </c>
      <c r="L87" s="40" t="str">
        <f aca="false">IF($B87="","",IF(ROUND(N($K87),2)&gt;0,"对方欠款",IF(ROUND(N($K87),2)&lt;0,"我方欠款","已两清")))</f>
        <v/>
      </c>
      <c r="M87" s="124"/>
    </row>
    <row r="88" customFormat="false" ht="13.5" hidden="false" customHeight="false" outlineLevel="0" collapsed="false">
      <c r="A88" s="40" t="str">
        <f aca="false">IF($B88="","",ROW()-4)</f>
        <v/>
      </c>
      <c r="B88" s="33" t="str">
        <f aca="false">IFERROR(INDEX(_自动清单!$E$4:$E$253,ROW()-4),"")</f>
        <v/>
      </c>
      <c r="C88" s="123"/>
      <c r="D88" s="70" t="str">
        <f aca="false">IF($B88="","",ROUND(SUMIFS(进销存对接!$G$4:$G$305,进销存对接!$I$4:$I$305,"客户往来",进销存对接!$C$4:$C$305,$B88),2))</f>
        <v/>
      </c>
      <c r="E88" s="70" t="str">
        <f aca="false">IF($B88="","",ROUND(SUMIFS(资金日记账!$H$4:$H$603,资金日记账!$E$4:$E$603,$B88,资金日记账!$K$4:$K$603,"应收账款"),2))</f>
        <v/>
      </c>
      <c r="F88" s="70" t="str">
        <f aca="false">IF($B88="","",ROUND(N($C88)+N($D88)-N($E88),2))</f>
        <v/>
      </c>
      <c r="G88" s="123"/>
      <c r="H88" s="70" t="str">
        <f aca="false">IF($B88="","",ROUND(SUMIFS(进销存对接!$F$4:$F$305,进销存对接!$I$4:$I$305,"客户往来",进销存对接!$C$4:$C$305,$B88)+SUMIFS(记账凭证!$I$4:$I$3609,记账凭证!$J$4:$J$3609,$B88,记账凭证!$E$4:$E$3609,"应付账款"),2))</f>
        <v/>
      </c>
      <c r="I88" s="70" t="str">
        <f aca="false">IF($B88="","",ROUND(SUMIFS(记账凭证!$H$4:$H$3609,记账凭证!$J$4:$J$3609,$B88,记账凭证!$E$4:$E$3609,"应付账款"),2))</f>
        <v/>
      </c>
      <c r="J88" s="70" t="str">
        <f aca="false">IF($B88="","",ROUND(N($G88)+N($H88)-N($I88),2))</f>
        <v/>
      </c>
      <c r="K88" s="70" t="str">
        <f aca="false">IF($B88="","",ROUND(N($F88)-N($J88),2))</f>
        <v/>
      </c>
      <c r="L88" s="40" t="str">
        <f aca="false">IF($B88="","",IF(ROUND(N($K88),2)&gt;0,"对方欠款",IF(ROUND(N($K88),2)&lt;0,"我方欠款","已两清")))</f>
        <v/>
      </c>
      <c r="M88" s="124"/>
    </row>
    <row r="89" customFormat="false" ht="13.5" hidden="false" customHeight="false" outlineLevel="0" collapsed="false">
      <c r="A89" s="40" t="str">
        <f aca="false">IF($B89="","",ROW()-4)</f>
        <v/>
      </c>
      <c r="B89" s="33" t="str">
        <f aca="false">IFERROR(INDEX(_自动清单!$E$4:$E$253,ROW()-4),"")</f>
        <v/>
      </c>
      <c r="C89" s="123"/>
      <c r="D89" s="70" t="str">
        <f aca="false">IF($B89="","",ROUND(SUMIFS(进销存对接!$G$4:$G$305,进销存对接!$I$4:$I$305,"客户往来",进销存对接!$C$4:$C$305,$B89),2))</f>
        <v/>
      </c>
      <c r="E89" s="70" t="str">
        <f aca="false">IF($B89="","",ROUND(SUMIFS(资金日记账!$H$4:$H$603,资金日记账!$E$4:$E$603,$B89,资金日记账!$K$4:$K$603,"应收账款"),2))</f>
        <v/>
      </c>
      <c r="F89" s="70" t="str">
        <f aca="false">IF($B89="","",ROUND(N($C89)+N($D89)-N($E89),2))</f>
        <v/>
      </c>
      <c r="G89" s="123"/>
      <c r="H89" s="70" t="str">
        <f aca="false">IF($B89="","",ROUND(SUMIFS(进销存对接!$F$4:$F$305,进销存对接!$I$4:$I$305,"客户往来",进销存对接!$C$4:$C$305,$B89)+SUMIFS(记账凭证!$I$4:$I$3609,记账凭证!$J$4:$J$3609,$B89,记账凭证!$E$4:$E$3609,"应付账款"),2))</f>
        <v/>
      </c>
      <c r="I89" s="70" t="str">
        <f aca="false">IF($B89="","",ROUND(SUMIFS(记账凭证!$H$4:$H$3609,记账凭证!$J$4:$J$3609,$B89,记账凭证!$E$4:$E$3609,"应付账款"),2))</f>
        <v/>
      </c>
      <c r="J89" s="70" t="str">
        <f aca="false">IF($B89="","",ROUND(N($G89)+N($H89)-N($I89),2))</f>
        <v/>
      </c>
      <c r="K89" s="70" t="str">
        <f aca="false">IF($B89="","",ROUND(N($F89)-N($J89),2))</f>
        <v/>
      </c>
      <c r="L89" s="40" t="str">
        <f aca="false">IF($B89="","",IF(ROUND(N($K89),2)&gt;0,"对方欠款",IF(ROUND(N($K89),2)&lt;0,"我方欠款","已两清")))</f>
        <v/>
      </c>
      <c r="M89" s="124"/>
    </row>
    <row r="90" customFormat="false" ht="13.5" hidden="false" customHeight="false" outlineLevel="0" collapsed="false">
      <c r="A90" s="40" t="str">
        <f aca="false">IF($B90="","",ROW()-4)</f>
        <v/>
      </c>
      <c r="B90" s="33" t="str">
        <f aca="false">IFERROR(INDEX(_自动清单!$E$4:$E$253,ROW()-4),"")</f>
        <v/>
      </c>
      <c r="C90" s="123"/>
      <c r="D90" s="70" t="str">
        <f aca="false">IF($B90="","",ROUND(SUMIFS(进销存对接!$G$4:$G$305,进销存对接!$I$4:$I$305,"客户往来",进销存对接!$C$4:$C$305,$B90),2))</f>
        <v/>
      </c>
      <c r="E90" s="70" t="str">
        <f aca="false">IF($B90="","",ROUND(SUMIFS(资金日记账!$H$4:$H$603,资金日记账!$E$4:$E$603,$B90,资金日记账!$K$4:$K$603,"应收账款"),2))</f>
        <v/>
      </c>
      <c r="F90" s="70" t="str">
        <f aca="false">IF($B90="","",ROUND(N($C90)+N($D90)-N($E90),2))</f>
        <v/>
      </c>
      <c r="G90" s="123"/>
      <c r="H90" s="70" t="str">
        <f aca="false">IF($B90="","",ROUND(SUMIFS(进销存对接!$F$4:$F$305,进销存对接!$I$4:$I$305,"客户往来",进销存对接!$C$4:$C$305,$B90)+SUMIFS(记账凭证!$I$4:$I$3609,记账凭证!$J$4:$J$3609,$B90,记账凭证!$E$4:$E$3609,"应付账款"),2))</f>
        <v/>
      </c>
      <c r="I90" s="70" t="str">
        <f aca="false">IF($B90="","",ROUND(SUMIFS(记账凭证!$H$4:$H$3609,记账凭证!$J$4:$J$3609,$B90,记账凭证!$E$4:$E$3609,"应付账款"),2))</f>
        <v/>
      </c>
      <c r="J90" s="70" t="str">
        <f aca="false">IF($B90="","",ROUND(N($G90)+N($H90)-N($I90),2))</f>
        <v/>
      </c>
      <c r="K90" s="70" t="str">
        <f aca="false">IF($B90="","",ROUND(N($F90)-N($J90),2))</f>
        <v/>
      </c>
      <c r="L90" s="40" t="str">
        <f aca="false">IF($B90="","",IF(ROUND(N($K90),2)&gt;0,"对方欠款",IF(ROUND(N($K90),2)&lt;0,"我方欠款","已两清")))</f>
        <v/>
      </c>
      <c r="M90" s="124"/>
    </row>
    <row r="91" customFormat="false" ht="13.5" hidden="false" customHeight="false" outlineLevel="0" collapsed="false">
      <c r="A91" s="40" t="str">
        <f aca="false">IF($B91="","",ROW()-4)</f>
        <v/>
      </c>
      <c r="B91" s="33" t="str">
        <f aca="false">IFERROR(INDEX(_自动清单!$E$4:$E$253,ROW()-4),"")</f>
        <v/>
      </c>
      <c r="C91" s="123"/>
      <c r="D91" s="70" t="str">
        <f aca="false">IF($B91="","",ROUND(SUMIFS(进销存对接!$G$4:$G$305,进销存对接!$I$4:$I$305,"客户往来",进销存对接!$C$4:$C$305,$B91),2))</f>
        <v/>
      </c>
      <c r="E91" s="70" t="str">
        <f aca="false">IF($B91="","",ROUND(SUMIFS(资金日记账!$H$4:$H$603,资金日记账!$E$4:$E$603,$B91,资金日记账!$K$4:$K$603,"应收账款"),2))</f>
        <v/>
      </c>
      <c r="F91" s="70" t="str">
        <f aca="false">IF($B91="","",ROUND(N($C91)+N($D91)-N($E91),2))</f>
        <v/>
      </c>
      <c r="G91" s="123"/>
      <c r="H91" s="70" t="str">
        <f aca="false">IF($B91="","",ROUND(SUMIFS(进销存对接!$F$4:$F$305,进销存对接!$I$4:$I$305,"客户往来",进销存对接!$C$4:$C$305,$B91)+SUMIFS(记账凭证!$I$4:$I$3609,记账凭证!$J$4:$J$3609,$B91,记账凭证!$E$4:$E$3609,"应付账款"),2))</f>
        <v/>
      </c>
      <c r="I91" s="70" t="str">
        <f aca="false">IF($B91="","",ROUND(SUMIFS(记账凭证!$H$4:$H$3609,记账凭证!$J$4:$J$3609,$B91,记账凭证!$E$4:$E$3609,"应付账款"),2))</f>
        <v/>
      </c>
      <c r="J91" s="70" t="str">
        <f aca="false">IF($B91="","",ROUND(N($G91)+N($H91)-N($I91),2))</f>
        <v/>
      </c>
      <c r="K91" s="70" t="str">
        <f aca="false">IF($B91="","",ROUND(N($F91)-N($J91),2))</f>
        <v/>
      </c>
      <c r="L91" s="40" t="str">
        <f aca="false">IF($B91="","",IF(ROUND(N($K91),2)&gt;0,"对方欠款",IF(ROUND(N($K91),2)&lt;0,"我方欠款","已两清")))</f>
        <v/>
      </c>
      <c r="M91" s="124"/>
    </row>
    <row r="92" customFormat="false" ht="13.5" hidden="false" customHeight="false" outlineLevel="0" collapsed="false">
      <c r="A92" s="40" t="str">
        <f aca="false">IF($B92="","",ROW()-4)</f>
        <v/>
      </c>
      <c r="B92" s="33" t="str">
        <f aca="false">IFERROR(INDEX(_自动清单!$E$4:$E$253,ROW()-4),"")</f>
        <v/>
      </c>
      <c r="C92" s="123"/>
      <c r="D92" s="70" t="str">
        <f aca="false">IF($B92="","",ROUND(SUMIFS(进销存对接!$G$4:$G$305,进销存对接!$I$4:$I$305,"客户往来",进销存对接!$C$4:$C$305,$B92),2))</f>
        <v/>
      </c>
      <c r="E92" s="70" t="str">
        <f aca="false">IF($B92="","",ROUND(SUMIFS(资金日记账!$H$4:$H$603,资金日记账!$E$4:$E$603,$B92,资金日记账!$K$4:$K$603,"应收账款"),2))</f>
        <v/>
      </c>
      <c r="F92" s="70" t="str">
        <f aca="false">IF($B92="","",ROUND(N($C92)+N($D92)-N($E92),2))</f>
        <v/>
      </c>
      <c r="G92" s="123"/>
      <c r="H92" s="70" t="str">
        <f aca="false">IF($B92="","",ROUND(SUMIFS(进销存对接!$F$4:$F$305,进销存对接!$I$4:$I$305,"客户往来",进销存对接!$C$4:$C$305,$B92)+SUMIFS(记账凭证!$I$4:$I$3609,记账凭证!$J$4:$J$3609,$B92,记账凭证!$E$4:$E$3609,"应付账款"),2))</f>
        <v/>
      </c>
      <c r="I92" s="70" t="str">
        <f aca="false">IF($B92="","",ROUND(SUMIFS(记账凭证!$H$4:$H$3609,记账凭证!$J$4:$J$3609,$B92,记账凭证!$E$4:$E$3609,"应付账款"),2))</f>
        <v/>
      </c>
      <c r="J92" s="70" t="str">
        <f aca="false">IF($B92="","",ROUND(N($G92)+N($H92)-N($I92),2))</f>
        <v/>
      </c>
      <c r="K92" s="70" t="str">
        <f aca="false">IF($B92="","",ROUND(N($F92)-N($J92),2))</f>
        <v/>
      </c>
      <c r="L92" s="40" t="str">
        <f aca="false">IF($B92="","",IF(ROUND(N($K92),2)&gt;0,"对方欠款",IF(ROUND(N($K92),2)&lt;0,"我方欠款","已两清")))</f>
        <v/>
      </c>
      <c r="M92" s="124"/>
    </row>
    <row r="93" customFormat="false" ht="13.5" hidden="false" customHeight="false" outlineLevel="0" collapsed="false">
      <c r="A93" s="40" t="str">
        <f aca="false">IF($B93="","",ROW()-4)</f>
        <v/>
      </c>
      <c r="B93" s="33" t="str">
        <f aca="false">IFERROR(INDEX(_自动清单!$E$4:$E$253,ROW()-4),"")</f>
        <v/>
      </c>
      <c r="C93" s="123"/>
      <c r="D93" s="70" t="str">
        <f aca="false">IF($B93="","",ROUND(SUMIFS(进销存对接!$G$4:$G$305,进销存对接!$I$4:$I$305,"客户往来",进销存对接!$C$4:$C$305,$B93),2))</f>
        <v/>
      </c>
      <c r="E93" s="70" t="str">
        <f aca="false">IF($B93="","",ROUND(SUMIFS(资金日记账!$H$4:$H$603,资金日记账!$E$4:$E$603,$B93,资金日记账!$K$4:$K$603,"应收账款"),2))</f>
        <v/>
      </c>
      <c r="F93" s="70" t="str">
        <f aca="false">IF($B93="","",ROUND(N($C93)+N($D93)-N($E93),2))</f>
        <v/>
      </c>
      <c r="G93" s="123"/>
      <c r="H93" s="70" t="str">
        <f aca="false">IF($B93="","",ROUND(SUMIFS(进销存对接!$F$4:$F$305,进销存对接!$I$4:$I$305,"客户往来",进销存对接!$C$4:$C$305,$B93)+SUMIFS(记账凭证!$I$4:$I$3609,记账凭证!$J$4:$J$3609,$B93,记账凭证!$E$4:$E$3609,"应付账款"),2))</f>
        <v/>
      </c>
      <c r="I93" s="70" t="str">
        <f aca="false">IF($B93="","",ROUND(SUMIFS(记账凭证!$H$4:$H$3609,记账凭证!$J$4:$J$3609,$B93,记账凭证!$E$4:$E$3609,"应付账款"),2))</f>
        <v/>
      </c>
      <c r="J93" s="70" t="str">
        <f aca="false">IF($B93="","",ROUND(N($G93)+N($H93)-N($I93),2))</f>
        <v/>
      </c>
      <c r="K93" s="70" t="str">
        <f aca="false">IF($B93="","",ROUND(N($F93)-N($J93),2))</f>
        <v/>
      </c>
      <c r="L93" s="40" t="str">
        <f aca="false">IF($B93="","",IF(ROUND(N($K93),2)&gt;0,"对方欠款",IF(ROUND(N($K93),2)&lt;0,"我方欠款","已两清")))</f>
        <v/>
      </c>
      <c r="M93" s="124"/>
    </row>
    <row r="94" customFormat="false" ht="13.5" hidden="false" customHeight="false" outlineLevel="0" collapsed="false">
      <c r="A94" s="40" t="str">
        <f aca="false">IF($B94="","",ROW()-4)</f>
        <v/>
      </c>
      <c r="B94" s="33" t="str">
        <f aca="false">IFERROR(INDEX(_自动清单!$E$4:$E$253,ROW()-4),"")</f>
        <v/>
      </c>
      <c r="C94" s="123"/>
      <c r="D94" s="70" t="str">
        <f aca="false">IF($B94="","",ROUND(SUMIFS(进销存对接!$G$4:$G$305,进销存对接!$I$4:$I$305,"客户往来",进销存对接!$C$4:$C$305,$B94),2))</f>
        <v/>
      </c>
      <c r="E94" s="70" t="str">
        <f aca="false">IF($B94="","",ROUND(SUMIFS(资金日记账!$H$4:$H$603,资金日记账!$E$4:$E$603,$B94,资金日记账!$K$4:$K$603,"应收账款"),2))</f>
        <v/>
      </c>
      <c r="F94" s="70" t="str">
        <f aca="false">IF($B94="","",ROUND(N($C94)+N($D94)-N($E94),2))</f>
        <v/>
      </c>
      <c r="G94" s="123"/>
      <c r="H94" s="70" t="str">
        <f aca="false">IF($B94="","",ROUND(SUMIFS(进销存对接!$F$4:$F$305,进销存对接!$I$4:$I$305,"客户往来",进销存对接!$C$4:$C$305,$B94)+SUMIFS(记账凭证!$I$4:$I$3609,记账凭证!$J$4:$J$3609,$B94,记账凭证!$E$4:$E$3609,"应付账款"),2))</f>
        <v/>
      </c>
      <c r="I94" s="70" t="str">
        <f aca="false">IF($B94="","",ROUND(SUMIFS(记账凭证!$H$4:$H$3609,记账凭证!$J$4:$J$3609,$B94,记账凭证!$E$4:$E$3609,"应付账款"),2))</f>
        <v/>
      </c>
      <c r="J94" s="70" t="str">
        <f aca="false">IF($B94="","",ROUND(N($G94)+N($H94)-N($I94),2))</f>
        <v/>
      </c>
      <c r="K94" s="70" t="str">
        <f aca="false">IF($B94="","",ROUND(N($F94)-N($J94),2))</f>
        <v/>
      </c>
      <c r="L94" s="40" t="str">
        <f aca="false">IF($B94="","",IF(ROUND(N($K94),2)&gt;0,"对方欠款",IF(ROUND(N($K94),2)&lt;0,"我方欠款","已两清")))</f>
        <v/>
      </c>
      <c r="M94" s="124"/>
    </row>
    <row r="95" customFormat="false" ht="13.5" hidden="false" customHeight="false" outlineLevel="0" collapsed="false">
      <c r="A95" s="40" t="str">
        <f aca="false">IF($B95="","",ROW()-4)</f>
        <v/>
      </c>
      <c r="B95" s="33" t="str">
        <f aca="false">IFERROR(INDEX(_自动清单!$E$4:$E$253,ROW()-4),"")</f>
        <v/>
      </c>
      <c r="C95" s="123"/>
      <c r="D95" s="70" t="str">
        <f aca="false">IF($B95="","",ROUND(SUMIFS(进销存对接!$G$4:$G$305,进销存对接!$I$4:$I$305,"客户往来",进销存对接!$C$4:$C$305,$B95),2))</f>
        <v/>
      </c>
      <c r="E95" s="70" t="str">
        <f aca="false">IF($B95="","",ROUND(SUMIFS(资金日记账!$H$4:$H$603,资金日记账!$E$4:$E$603,$B95,资金日记账!$K$4:$K$603,"应收账款"),2))</f>
        <v/>
      </c>
      <c r="F95" s="70" t="str">
        <f aca="false">IF($B95="","",ROUND(N($C95)+N($D95)-N($E95),2))</f>
        <v/>
      </c>
      <c r="G95" s="123"/>
      <c r="H95" s="70" t="str">
        <f aca="false">IF($B95="","",ROUND(SUMIFS(进销存对接!$F$4:$F$305,进销存对接!$I$4:$I$305,"客户往来",进销存对接!$C$4:$C$305,$B95)+SUMIFS(记账凭证!$I$4:$I$3609,记账凭证!$J$4:$J$3609,$B95,记账凭证!$E$4:$E$3609,"应付账款"),2))</f>
        <v/>
      </c>
      <c r="I95" s="70" t="str">
        <f aca="false">IF($B95="","",ROUND(SUMIFS(记账凭证!$H$4:$H$3609,记账凭证!$J$4:$J$3609,$B95,记账凭证!$E$4:$E$3609,"应付账款"),2))</f>
        <v/>
      </c>
      <c r="J95" s="70" t="str">
        <f aca="false">IF($B95="","",ROUND(N($G95)+N($H95)-N($I95),2))</f>
        <v/>
      </c>
      <c r="K95" s="70" t="str">
        <f aca="false">IF($B95="","",ROUND(N($F95)-N($J95),2))</f>
        <v/>
      </c>
      <c r="L95" s="40" t="str">
        <f aca="false">IF($B95="","",IF(ROUND(N($K95),2)&gt;0,"对方欠款",IF(ROUND(N($K95),2)&lt;0,"我方欠款","已两清")))</f>
        <v/>
      </c>
      <c r="M95" s="124"/>
    </row>
    <row r="96" customFormat="false" ht="13.5" hidden="false" customHeight="false" outlineLevel="0" collapsed="false">
      <c r="A96" s="40" t="str">
        <f aca="false">IF($B96="","",ROW()-4)</f>
        <v/>
      </c>
      <c r="B96" s="33" t="str">
        <f aca="false">IFERROR(INDEX(_自动清单!$E$4:$E$253,ROW()-4),"")</f>
        <v/>
      </c>
      <c r="C96" s="123"/>
      <c r="D96" s="70" t="str">
        <f aca="false">IF($B96="","",ROUND(SUMIFS(进销存对接!$G$4:$G$305,进销存对接!$I$4:$I$305,"客户往来",进销存对接!$C$4:$C$305,$B96),2))</f>
        <v/>
      </c>
      <c r="E96" s="70" t="str">
        <f aca="false">IF($B96="","",ROUND(SUMIFS(资金日记账!$H$4:$H$603,资金日记账!$E$4:$E$603,$B96,资金日记账!$K$4:$K$603,"应收账款"),2))</f>
        <v/>
      </c>
      <c r="F96" s="70" t="str">
        <f aca="false">IF($B96="","",ROUND(N($C96)+N($D96)-N($E96),2))</f>
        <v/>
      </c>
      <c r="G96" s="123"/>
      <c r="H96" s="70" t="str">
        <f aca="false">IF($B96="","",ROUND(SUMIFS(进销存对接!$F$4:$F$305,进销存对接!$I$4:$I$305,"客户往来",进销存对接!$C$4:$C$305,$B96)+SUMIFS(记账凭证!$I$4:$I$3609,记账凭证!$J$4:$J$3609,$B96,记账凭证!$E$4:$E$3609,"应付账款"),2))</f>
        <v/>
      </c>
      <c r="I96" s="70" t="str">
        <f aca="false">IF($B96="","",ROUND(SUMIFS(记账凭证!$H$4:$H$3609,记账凭证!$J$4:$J$3609,$B96,记账凭证!$E$4:$E$3609,"应付账款"),2))</f>
        <v/>
      </c>
      <c r="J96" s="70" t="str">
        <f aca="false">IF($B96="","",ROUND(N($G96)+N($H96)-N($I96),2))</f>
        <v/>
      </c>
      <c r="K96" s="70" t="str">
        <f aca="false">IF($B96="","",ROUND(N($F96)-N($J96),2))</f>
        <v/>
      </c>
      <c r="L96" s="40" t="str">
        <f aca="false">IF($B96="","",IF(ROUND(N($K96),2)&gt;0,"对方欠款",IF(ROUND(N($K96),2)&lt;0,"我方欠款","已两清")))</f>
        <v/>
      </c>
      <c r="M96" s="124"/>
    </row>
    <row r="97" customFormat="false" ht="13.5" hidden="false" customHeight="false" outlineLevel="0" collapsed="false">
      <c r="A97" s="40" t="str">
        <f aca="false">IF($B97="","",ROW()-4)</f>
        <v/>
      </c>
      <c r="B97" s="33" t="str">
        <f aca="false">IFERROR(INDEX(_自动清单!$E$4:$E$253,ROW()-4),"")</f>
        <v/>
      </c>
      <c r="C97" s="123"/>
      <c r="D97" s="70" t="str">
        <f aca="false">IF($B97="","",ROUND(SUMIFS(进销存对接!$G$4:$G$305,进销存对接!$I$4:$I$305,"客户往来",进销存对接!$C$4:$C$305,$B97),2))</f>
        <v/>
      </c>
      <c r="E97" s="70" t="str">
        <f aca="false">IF($B97="","",ROUND(SUMIFS(资金日记账!$H$4:$H$603,资金日记账!$E$4:$E$603,$B97,资金日记账!$K$4:$K$603,"应收账款"),2))</f>
        <v/>
      </c>
      <c r="F97" s="70" t="str">
        <f aca="false">IF($B97="","",ROUND(N($C97)+N($D97)-N($E97),2))</f>
        <v/>
      </c>
      <c r="G97" s="123"/>
      <c r="H97" s="70" t="str">
        <f aca="false">IF($B97="","",ROUND(SUMIFS(进销存对接!$F$4:$F$305,进销存对接!$I$4:$I$305,"客户往来",进销存对接!$C$4:$C$305,$B97)+SUMIFS(记账凭证!$I$4:$I$3609,记账凭证!$J$4:$J$3609,$B97,记账凭证!$E$4:$E$3609,"应付账款"),2))</f>
        <v/>
      </c>
      <c r="I97" s="70" t="str">
        <f aca="false">IF($B97="","",ROUND(SUMIFS(记账凭证!$H$4:$H$3609,记账凭证!$J$4:$J$3609,$B97,记账凭证!$E$4:$E$3609,"应付账款"),2))</f>
        <v/>
      </c>
      <c r="J97" s="70" t="str">
        <f aca="false">IF($B97="","",ROUND(N($G97)+N($H97)-N($I97),2))</f>
        <v/>
      </c>
      <c r="K97" s="70" t="str">
        <f aca="false">IF($B97="","",ROUND(N($F97)-N($J97),2))</f>
        <v/>
      </c>
      <c r="L97" s="40" t="str">
        <f aca="false">IF($B97="","",IF(ROUND(N($K97),2)&gt;0,"对方欠款",IF(ROUND(N($K97),2)&lt;0,"我方欠款","已两清")))</f>
        <v/>
      </c>
      <c r="M97" s="124"/>
    </row>
    <row r="98" customFormat="false" ht="13.5" hidden="false" customHeight="false" outlineLevel="0" collapsed="false">
      <c r="A98" s="40" t="str">
        <f aca="false">IF($B98="","",ROW()-4)</f>
        <v/>
      </c>
      <c r="B98" s="33" t="str">
        <f aca="false">IFERROR(INDEX(_自动清单!$E$4:$E$253,ROW()-4),"")</f>
        <v/>
      </c>
      <c r="C98" s="123"/>
      <c r="D98" s="70" t="str">
        <f aca="false">IF($B98="","",ROUND(SUMIFS(进销存对接!$G$4:$G$305,进销存对接!$I$4:$I$305,"客户往来",进销存对接!$C$4:$C$305,$B98),2))</f>
        <v/>
      </c>
      <c r="E98" s="70" t="str">
        <f aca="false">IF($B98="","",ROUND(SUMIFS(资金日记账!$H$4:$H$603,资金日记账!$E$4:$E$603,$B98,资金日记账!$K$4:$K$603,"应收账款"),2))</f>
        <v/>
      </c>
      <c r="F98" s="70" t="str">
        <f aca="false">IF($B98="","",ROUND(N($C98)+N($D98)-N($E98),2))</f>
        <v/>
      </c>
      <c r="G98" s="123"/>
      <c r="H98" s="70" t="str">
        <f aca="false">IF($B98="","",ROUND(SUMIFS(进销存对接!$F$4:$F$305,进销存对接!$I$4:$I$305,"客户往来",进销存对接!$C$4:$C$305,$B98)+SUMIFS(记账凭证!$I$4:$I$3609,记账凭证!$J$4:$J$3609,$B98,记账凭证!$E$4:$E$3609,"应付账款"),2))</f>
        <v/>
      </c>
      <c r="I98" s="70" t="str">
        <f aca="false">IF($B98="","",ROUND(SUMIFS(记账凭证!$H$4:$H$3609,记账凭证!$J$4:$J$3609,$B98,记账凭证!$E$4:$E$3609,"应付账款"),2))</f>
        <v/>
      </c>
      <c r="J98" s="70" t="str">
        <f aca="false">IF($B98="","",ROUND(N($G98)+N($H98)-N($I98),2))</f>
        <v/>
      </c>
      <c r="K98" s="70" t="str">
        <f aca="false">IF($B98="","",ROUND(N($F98)-N($J98),2))</f>
        <v/>
      </c>
      <c r="L98" s="40" t="str">
        <f aca="false">IF($B98="","",IF(ROUND(N($K98),2)&gt;0,"对方欠款",IF(ROUND(N($K98),2)&lt;0,"我方欠款","已两清")))</f>
        <v/>
      </c>
      <c r="M98" s="124"/>
    </row>
    <row r="99" customFormat="false" ht="13.5" hidden="false" customHeight="false" outlineLevel="0" collapsed="false">
      <c r="A99" s="40" t="str">
        <f aca="false">IF($B99="","",ROW()-4)</f>
        <v/>
      </c>
      <c r="B99" s="33" t="str">
        <f aca="false">IFERROR(INDEX(_自动清单!$E$4:$E$253,ROW()-4),"")</f>
        <v/>
      </c>
      <c r="C99" s="123"/>
      <c r="D99" s="70" t="str">
        <f aca="false">IF($B99="","",ROUND(SUMIFS(进销存对接!$G$4:$G$305,进销存对接!$I$4:$I$305,"客户往来",进销存对接!$C$4:$C$305,$B99),2))</f>
        <v/>
      </c>
      <c r="E99" s="70" t="str">
        <f aca="false">IF($B99="","",ROUND(SUMIFS(资金日记账!$H$4:$H$603,资金日记账!$E$4:$E$603,$B99,资金日记账!$K$4:$K$603,"应收账款"),2))</f>
        <v/>
      </c>
      <c r="F99" s="70" t="str">
        <f aca="false">IF($B99="","",ROUND(N($C99)+N($D99)-N($E99),2))</f>
        <v/>
      </c>
      <c r="G99" s="123"/>
      <c r="H99" s="70" t="str">
        <f aca="false">IF($B99="","",ROUND(SUMIFS(进销存对接!$F$4:$F$305,进销存对接!$I$4:$I$305,"客户往来",进销存对接!$C$4:$C$305,$B99)+SUMIFS(记账凭证!$I$4:$I$3609,记账凭证!$J$4:$J$3609,$B99,记账凭证!$E$4:$E$3609,"应付账款"),2))</f>
        <v/>
      </c>
      <c r="I99" s="70" t="str">
        <f aca="false">IF($B99="","",ROUND(SUMIFS(记账凭证!$H$4:$H$3609,记账凭证!$J$4:$J$3609,$B99,记账凭证!$E$4:$E$3609,"应付账款"),2))</f>
        <v/>
      </c>
      <c r="J99" s="70" t="str">
        <f aca="false">IF($B99="","",ROUND(N($G99)+N($H99)-N($I99),2))</f>
        <v/>
      </c>
      <c r="K99" s="70" t="str">
        <f aca="false">IF($B99="","",ROUND(N($F99)-N($J99),2))</f>
        <v/>
      </c>
      <c r="L99" s="40" t="str">
        <f aca="false">IF($B99="","",IF(ROUND(N($K99),2)&gt;0,"对方欠款",IF(ROUND(N($K99),2)&lt;0,"我方欠款","已两清")))</f>
        <v/>
      </c>
      <c r="M99" s="124"/>
    </row>
    <row r="100" customFormat="false" ht="13.5" hidden="false" customHeight="false" outlineLevel="0" collapsed="false">
      <c r="A100" s="40" t="str">
        <f aca="false">IF($B100="","",ROW()-4)</f>
        <v/>
      </c>
      <c r="B100" s="33" t="str">
        <f aca="false">IFERROR(INDEX(_自动清单!$E$4:$E$253,ROW()-4),"")</f>
        <v/>
      </c>
      <c r="C100" s="123"/>
      <c r="D100" s="70" t="str">
        <f aca="false">IF($B100="","",ROUND(SUMIFS(进销存对接!$G$4:$G$305,进销存对接!$I$4:$I$305,"客户往来",进销存对接!$C$4:$C$305,$B100),2))</f>
        <v/>
      </c>
      <c r="E100" s="70" t="str">
        <f aca="false">IF($B100="","",ROUND(SUMIFS(资金日记账!$H$4:$H$603,资金日记账!$E$4:$E$603,$B100,资金日记账!$K$4:$K$603,"应收账款"),2))</f>
        <v/>
      </c>
      <c r="F100" s="70" t="str">
        <f aca="false">IF($B100="","",ROUND(N($C100)+N($D100)-N($E100),2))</f>
        <v/>
      </c>
      <c r="G100" s="123"/>
      <c r="H100" s="70" t="str">
        <f aca="false">IF($B100="","",ROUND(SUMIFS(进销存对接!$F$4:$F$305,进销存对接!$I$4:$I$305,"客户往来",进销存对接!$C$4:$C$305,$B100)+SUMIFS(记账凭证!$I$4:$I$3609,记账凭证!$J$4:$J$3609,$B100,记账凭证!$E$4:$E$3609,"应付账款"),2))</f>
        <v/>
      </c>
      <c r="I100" s="70" t="str">
        <f aca="false">IF($B100="","",ROUND(SUMIFS(记账凭证!$H$4:$H$3609,记账凭证!$J$4:$J$3609,$B100,记账凭证!$E$4:$E$3609,"应付账款"),2))</f>
        <v/>
      </c>
      <c r="J100" s="70" t="str">
        <f aca="false">IF($B100="","",ROUND(N($G100)+N($H100)-N($I100),2))</f>
        <v/>
      </c>
      <c r="K100" s="70" t="str">
        <f aca="false">IF($B100="","",ROUND(N($F100)-N($J100),2))</f>
        <v/>
      </c>
      <c r="L100" s="40" t="str">
        <f aca="false">IF($B100="","",IF(ROUND(N($K100),2)&gt;0,"对方欠款",IF(ROUND(N($K100),2)&lt;0,"我方欠款","已两清")))</f>
        <v/>
      </c>
      <c r="M100" s="124"/>
    </row>
    <row r="101" customFormat="false" ht="13.5" hidden="false" customHeight="false" outlineLevel="0" collapsed="false">
      <c r="A101" s="40" t="str">
        <f aca="false">IF($B101="","",ROW()-4)</f>
        <v/>
      </c>
      <c r="B101" s="33" t="str">
        <f aca="false">IFERROR(INDEX(_自动清单!$E$4:$E$253,ROW()-4),"")</f>
        <v/>
      </c>
      <c r="C101" s="123"/>
      <c r="D101" s="70" t="str">
        <f aca="false">IF($B101="","",ROUND(SUMIFS(进销存对接!$G$4:$G$305,进销存对接!$I$4:$I$305,"客户往来",进销存对接!$C$4:$C$305,$B101),2))</f>
        <v/>
      </c>
      <c r="E101" s="70" t="str">
        <f aca="false">IF($B101="","",ROUND(SUMIFS(资金日记账!$H$4:$H$603,资金日记账!$E$4:$E$603,$B101,资金日记账!$K$4:$K$603,"应收账款"),2))</f>
        <v/>
      </c>
      <c r="F101" s="70" t="str">
        <f aca="false">IF($B101="","",ROUND(N($C101)+N($D101)-N($E101),2))</f>
        <v/>
      </c>
      <c r="G101" s="123"/>
      <c r="H101" s="70" t="str">
        <f aca="false">IF($B101="","",ROUND(SUMIFS(进销存对接!$F$4:$F$305,进销存对接!$I$4:$I$305,"客户往来",进销存对接!$C$4:$C$305,$B101)+SUMIFS(记账凭证!$I$4:$I$3609,记账凭证!$J$4:$J$3609,$B101,记账凭证!$E$4:$E$3609,"应付账款"),2))</f>
        <v/>
      </c>
      <c r="I101" s="70" t="str">
        <f aca="false">IF($B101="","",ROUND(SUMIFS(记账凭证!$H$4:$H$3609,记账凭证!$J$4:$J$3609,$B101,记账凭证!$E$4:$E$3609,"应付账款"),2))</f>
        <v/>
      </c>
      <c r="J101" s="70" t="str">
        <f aca="false">IF($B101="","",ROUND(N($G101)+N($H101)-N($I101),2))</f>
        <v/>
      </c>
      <c r="K101" s="70" t="str">
        <f aca="false">IF($B101="","",ROUND(N($F101)-N($J101),2))</f>
        <v/>
      </c>
      <c r="L101" s="40" t="str">
        <f aca="false">IF($B101="","",IF(ROUND(N($K101),2)&gt;0,"对方欠款",IF(ROUND(N($K101),2)&lt;0,"我方欠款","已两清")))</f>
        <v/>
      </c>
      <c r="M101" s="124"/>
    </row>
    <row r="102" customFormat="false" ht="13.5" hidden="false" customHeight="false" outlineLevel="0" collapsed="false">
      <c r="A102" s="40" t="str">
        <f aca="false">IF($B102="","",ROW()-4)</f>
        <v/>
      </c>
      <c r="B102" s="33" t="str">
        <f aca="false">IFERROR(INDEX(_自动清单!$E$4:$E$253,ROW()-4),"")</f>
        <v/>
      </c>
      <c r="C102" s="123"/>
      <c r="D102" s="70" t="str">
        <f aca="false">IF($B102="","",ROUND(SUMIFS(进销存对接!$G$4:$G$305,进销存对接!$I$4:$I$305,"客户往来",进销存对接!$C$4:$C$305,$B102),2))</f>
        <v/>
      </c>
      <c r="E102" s="70" t="str">
        <f aca="false">IF($B102="","",ROUND(SUMIFS(资金日记账!$H$4:$H$603,资金日记账!$E$4:$E$603,$B102,资金日记账!$K$4:$K$603,"应收账款"),2))</f>
        <v/>
      </c>
      <c r="F102" s="70" t="str">
        <f aca="false">IF($B102="","",ROUND(N($C102)+N($D102)-N($E102),2))</f>
        <v/>
      </c>
      <c r="G102" s="123"/>
      <c r="H102" s="70" t="str">
        <f aca="false">IF($B102="","",ROUND(SUMIFS(进销存对接!$F$4:$F$305,进销存对接!$I$4:$I$305,"客户往来",进销存对接!$C$4:$C$305,$B102)+SUMIFS(记账凭证!$I$4:$I$3609,记账凭证!$J$4:$J$3609,$B102,记账凭证!$E$4:$E$3609,"应付账款"),2))</f>
        <v/>
      </c>
      <c r="I102" s="70" t="str">
        <f aca="false">IF($B102="","",ROUND(SUMIFS(记账凭证!$H$4:$H$3609,记账凭证!$J$4:$J$3609,$B102,记账凭证!$E$4:$E$3609,"应付账款"),2))</f>
        <v/>
      </c>
      <c r="J102" s="70" t="str">
        <f aca="false">IF($B102="","",ROUND(N($G102)+N($H102)-N($I102),2))</f>
        <v/>
      </c>
      <c r="K102" s="70" t="str">
        <f aca="false">IF($B102="","",ROUND(N($F102)-N($J102),2))</f>
        <v/>
      </c>
      <c r="L102" s="40" t="str">
        <f aca="false">IF($B102="","",IF(ROUND(N($K102),2)&gt;0,"对方欠款",IF(ROUND(N($K102),2)&lt;0,"我方欠款","已两清")))</f>
        <v/>
      </c>
      <c r="M102" s="124"/>
    </row>
    <row r="103" customFormat="false" ht="13.5" hidden="false" customHeight="false" outlineLevel="0" collapsed="false">
      <c r="A103" s="40" t="str">
        <f aca="false">IF($B103="","",ROW()-4)</f>
        <v/>
      </c>
      <c r="B103" s="33" t="str">
        <f aca="false">IFERROR(INDEX(_自动清单!$E$4:$E$253,ROW()-4),"")</f>
        <v/>
      </c>
      <c r="C103" s="123"/>
      <c r="D103" s="70" t="str">
        <f aca="false">IF($B103="","",ROUND(SUMIFS(进销存对接!$G$4:$G$305,进销存对接!$I$4:$I$305,"客户往来",进销存对接!$C$4:$C$305,$B103),2))</f>
        <v/>
      </c>
      <c r="E103" s="70" t="str">
        <f aca="false">IF($B103="","",ROUND(SUMIFS(资金日记账!$H$4:$H$603,资金日记账!$E$4:$E$603,$B103,资金日记账!$K$4:$K$603,"应收账款"),2))</f>
        <v/>
      </c>
      <c r="F103" s="70" t="str">
        <f aca="false">IF($B103="","",ROUND(N($C103)+N($D103)-N($E103),2))</f>
        <v/>
      </c>
      <c r="G103" s="123"/>
      <c r="H103" s="70" t="str">
        <f aca="false">IF($B103="","",ROUND(SUMIFS(进销存对接!$F$4:$F$305,进销存对接!$I$4:$I$305,"客户往来",进销存对接!$C$4:$C$305,$B103)+SUMIFS(记账凭证!$I$4:$I$3609,记账凭证!$J$4:$J$3609,$B103,记账凭证!$E$4:$E$3609,"应付账款"),2))</f>
        <v/>
      </c>
      <c r="I103" s="70" t="str">
        <f aca="false">IF($B103="","",ROUND(SUMIFS(记账凭证!$H$4:$H$3609,记账凭证!$J$4:$J$3609,$B103,记账凭证!$E$4:$E$3609,"应付账款"),2))</f>
        <v/>
      </c>
      <c r="J103" s="70" t="str">
        <f aca="false">IF($B103="","",ROUND(N($G103)+N($H103)-N($I103),2))</f>
        <v/>
      </c>
      <c r="K103" s="70" t="str">
        <f aca="false">IF($B103="","",ROUND(N($F103)-N($J103),2))</f>
        <v/>
      </c>
      <c r="L103" s="40" t="str">
        <f aca="false">IF($B103="","",IF(ROUND(N($K103),2)&gt;0,"对方欠款",IF(ROUND(N($K103),2)&lt;0,"我方欠款","已两清")))</f>
        <v/>
      </c>
      <c r="M103" s="124"/>
    </row>
    <row r="104" customFormat="false" ht="13.5" hidden="false" customHeight="false" outlineLevel="0" collapsed="false">
      <c r="A104" s="40" t="str">
        <f aca="false">IF($B104="","",ROW()-4)</f>
        <v/>
      </c>
      <c r="B104" s="33" t="str">
        <f aca="false">IFERROR(INDEX(_自动清单!$E$4:$E$253,ROW()-4),"")</f>
        <v/>
      </c>
      <c r="C104" s="123"/>
      <c r="D104" s="70" t="str">
        <f aca="false">IF($B104="","",ROUND(SUMIFS(进销存对接!$G$4:$G$305,进销存对接!$I$4:$I$305,"客户往来",进销存对接!$C$4:$C$305,$B104),2))</f>
        <v/>
      </c>
      <c r="E104" s="70" t="str">
        <f aca="false">IF($B104="","",ROUND(SUMIFS(资金日记账!$H$4:$H$603,资金日记账!$E$4:$E$603,$B104,资金日记账!$K$4:$K$603,"应收账款"),2))</f>
        <v/>
      </c>
      <c r="F104" s="70" t="str">
        <f aca="false">IF($B104="","",ROUND(N($C104)+N($D104)-N($E104),2))</f>
        <v/>
      </c>
      <c r="G104" s="123"/>
      <c r="H104" s="70" t="str">
        <f aca="false">IF($B104="","",ROUND(SUMIFS(进销存对接!$F$4:$F$305,进销存对接!$I$4:$I$305,"客户往来",进销存对接!$C$4:$C$305,$B104)+SUMIFS(记账凭证!$I$4:$I$3609,记账凭证!$J$4:$J$3609,$B104,记账凭证!$E$4:$E$3609,"应付账款"),2))</f>
        <v/>
      </c>
      <c r="I104" s="70" t="str">
        <f aca="false">IF($B104="","",ROUND(SUMIFS(记账凭证!$H$4:$H$3609,记账凭证!$J$4:$J$3609,$B104,记账凭证!$E$4:$E$3609,"应付账款"),2))</f>
        <v/>
      </c>
      <c r="J104" s="70" t="str">
        <f aca="false">IF($B104="","",ROUND(N($G104)+N($H104)-N($I104),2))</f>
        <v/>
      </c>
      <c r="K104" s="70" t="str">
        <f aca="false">IF($B104="","",ROUND(N($F104)-N($J104),2))</f>
        <v/>
      </c>
      <c r="L104" s="40" t="str">
        <f aca="false">IF($B104="","",IF(ROUND(N($K104),2)&gt;0,"对方欠款",IF(ROUND(N($K104),2)&lt;0,"我方欠款","已两清")))</f>
        <v/>
      </c>
      <c r="M104" s="124"/>
    </row>
    <row r="105" customFormat="false" ht="13.5" hidden="false" customHeight="false" outlineLevel="0" collapsed="false">
      <c r="A105" s="40" t="str">
        <f aca="false">IF($B105="","",ROW()-4)</f>
        <v/>
      </c>
      <c r="B105" s="33" t="str">
        <f aca="false">IFERROR(INDEX(_自动清单!$E$4:$E$253,ROW()-4),"")</f>
        <v/>
      </c>
      <c r="C105" s="123"/>
      <c r="D105" s="70" t="str">
        <f aca="false">IF($B105="","",ROUND(SUMIFS(进销存对接!$G$4:$G$305,进销存对接!$I$4:$I$305,"客户往来",进销存对接!$C$4:$C$305,$B105),2))</f>
        <v/>
      </c>
      <c r="E105" s="70" t="str">
        <f aca="false">IF($B105="","",ROUND(SUMIFS(资金日记账!$H$4:$H$603,资金日记账!$E$4:$E$603,$B105,资金日记账!$K$4:$K$603,"应收账款"),2))</f>
        <v/>
      </c>
      <c r="F105" s="70" t="str">
        <f aca="false">IF($B105="","",ROUND(N($C105)+N($D105)-N($E105),2))</f>
        <v/>
      </c>
      <c r="G105" s="123"/>
      <c r="H105" s="70" t="str">
        <f aca="false">IF($B105="","",ROUND(SUMIFS(进销存对接!$F$4:$F$305,进销存对接!$I$4:$I$305,"客户往来",进销存对接!$C$4:$C$305,$B105)+SUMIFS(记账凭证!$I$4:$I$3609,记账凭证!$J$4:$J$3609,$B105,记账凭证!$E$4:$E$3609,"应付账款"),2))</f>
        <v/>
      </c>
      <c r="I105" s="70" t="str">
        <f aca="false">IF($B105="","",ROUND(SUMIFS(记账凭证!$H$4:$H$3609,记账凭证!$J$4:$J$3609,$B105,记账凭证!$E$4:$E$3609,"应付账款"),2))</f>
        <v/>
      </c>
      <c r="J105" s="70" t="str">
        <f aca="false">IF($B105="","",ROUND(N($G105)+N($H105)-N($I105),2))</f>
        <v/>
      </c>
      <c r="K105" s="70" t="str">
        <f aca="false">IF($B105="","",ROUND(N($F105)-N($J105),2))</f>
        <v/>
      </c>
      <c r="L105" s="40" t="str">
        <f aca="false">IF($B105="","",IF(ROUND(N($K105),2)&gt;0,"对方欠款",IF(ROUND(N($K105),2)&lt;0,"我方欠款","已两清")))</f>
        <v/>
      </c>
      <c r="M105" s="124"/>
    </row>
    <row r="106" customFormat="false" ht="13.5" hidden="false" customHeight="false" outlineLevel="0" collapsed="false">
      <c r="A106" s="40" t="str">
        <f aca="false">IF($B106="","",ROW()-4)</f>
        <v/>
      </c>
      <c r="B106" s="33" t="str">
        <f aca="false">IFERROR(INDEX(_自动清单!$E$4:$E$253,ROW()-4),"")</f>
        <v/>
      </c>
      <c r="C106" s="123"/>
      <c r="D106" s="70" t="str">
        <f aca="false">IF($B106="","",ROUND(SUMIFS(进销存对接!$G$4:$G$305,进销存对接!$I$4:$I$305,"客户往来",进销存对接!$C$4:$C$305,$B106),2))</f>
        <v/>
      </c>
      <c r="E106" s="70" t="str">
        <f aca="false">IF($B106="","",ROUND(SUMIFS(资金日记账!$H$4:$H$603,资金日记账!$E$4:$E$603,$B106,资金日记账!$K$4:$K$603,"应收账款"),2))</f>
        <v/>
      </c>
      <c r="F106" s="70" t="str">
        <f aca="false">IF($B106="","",ROUND(N($C106)+N($D106)-N($E106),2))</f>
        <v/>
      </c>
      <c r="G106" s="123"/>
      <c r="H106" s="70" t="str">
        <f aca="false">IF($B106="","",ROUND(SUMIFS(进销存对接!$F$4:$F$305,进销存对接!$I$4:$I$305,"客户往来",进销存对接!$C$4:$C$305,$B106)+SUMIFS(记账凭证!$I$4:$I$3609,记账凭证!$J$4:$J$3609,$B106,记账凭证!$E$4:$E$3609,"应付账款"),2))</f>
        <v/>
      </c>
      <c r="I106" s="70" t="str">
        <f aca="false">IF($B106="","",ROUND(SUMIFS(记账凭证!$H$4:$H$3609,记账凭证!$J$4:$J$3609,$B106,记账凭证!$E$4:$E$3609,"应付账款"),2))</f>
        <v/>
      </c>
      <c r="J106" s="70" t="str">
        <f aca="false">IF($B106="","",ROUND(N($G106)+N($H106)-N($I106),2))</f>
        <v/>
      </c>
      <c r="K106" s="70" t="str">
        <f aca="false">IF($B106="","",ROUND(N($F106)-N($J106),2))</f>
        <v/>
      </c>
      <c r="L106" s="40" t="str">
        <f aca="false">IF($B106="","",IF(ROUND(N($K106),2)&gt;0,"对方欠款",IF(ROUND(N($K106),2)&lt;0,"我方欠款","已两清")))</f>
        <v/>
      </c>
      <c r="M106" s="124"/>
    </row>
    <row r="107" customFormat="false" ht="13.5" hidden="false" customHeight="false" outlineLevel="0" collapsed="false">
      <c r="A107" s="40" t="str">
        <f aca="false">IF($B107="","",ROW()-4)</f>
        <v/>
      </c>
      <c r="B107" s="33" t="str">
        <f aca="false">IFERROR(INDEX(_自动清单!$E$4:$E$253,ROW()-4),"")</f>
        <v/>
      </c>
      <c r="C107" s="123"/>
      <c r="D107" s="70" t="str">
        <f aca="false">IF($B107="","",ROUND(SUMIFS(进销存对接!$G$4:$G$305,进销存对接!$I$4:$I$305,"客户往来",进销存对接!$C$4:$C$305,$B107),2))</f>
        <v/>
      </c>
      <c r="E107" s="70" t="str">
        <f aca="false">IF($B107="","",ROUND(SUMIFS(资金日记账!$H$4:$H$603,资金日记账!$E$4:$E$603,$B107,资金日记账!$K$4:$K$603,"应收账款"),2))</f>
        <v/>
      </c>
      <c r="F107" s="70" t="str">
        <f aca="false">IF($B107="","",ROUND(N($C107)+N($D107)-N($E107),2))</f>
        <v/>
      </c>
      <c r="G107" s="123"/>
      <c r="H107" s="70" t="str">
        <f aca="false">IF($B107="","",ROUND(SUMIFS(进销存对接!$F$4:$F$305,进销存对接!$I$4:$I$305,"客户往来",进销存对接!$C$4:$C$305,$B107)+SUMIFS(记账凭证!$I$4:$I$3609,记账凭证!$J$4:$J$3609,$B107,记账凭证!$E$4:$E$3609,"应付账款"),2))</f>
        <v/>
      </c>
      <c r="I107" s="70" t="str">
        <f aca="false">IF($B107="","",ROUND(SUMIFS(记账凭证!$H$4:$H$3609,记账凭证!$J$4:$J$3609,$B107,记账凭证!$E$4:$E$3609,"应付账款"),2))</f>
        <v/>
      </c>
      <c r="J107" s="70" t="str">
        <f aca="false">IF($B107="","",ROUND(N($G107)+N($H107)-N($I107),2))</f>
        <v/>
      </c>
      <c r="K107" s="70" t="str">
        <f aca="false">IF($B107="","",ROUND(N($F107)-N($J107),2))</f>
        <v/>
      </c>
      <c r="L107" s="40" t="str">
        <f aca="false">IF($B107="","",IF(ROUND(N($K107),2)&gt;0,"对方欠款",IF(ROUND(N($K107),2)&lt;0,"我方欠款","已两清")))</f>
        <v/>
      </c>
      <c r="M107" s="124"/>
    </row>
    <row r="108" customFormat="false" ht="13.5" hidden="false" customHeight="false" outlineLevel="0" collapsed="false">
      <c r="A108" s="40" t="str">
        <f aca="false">IF($B108="","",ROW()-4)</f>
        <v/>
      </c>
      <c r="B108" s="33" t="str">
        <f aca="false">IFERROR(INDEX(_自动清单!$E$4:$E$253,ROW()-4),"")</f>
        <v/>
      </c>
      <c r="C108" s="123"/>
      <c r="D108" s="70" t="str">
        <f aca="false">IF($B108="","",ROUND(SUMIFS(进销存对接!$G$4:$G$305,进销存对接!$I$4:$I$305,"客户往来",进销存对接!$C$4:$C$305,$B108),2))</f>
        <v/>
      </c>
      <c r="E108" s="70" t="str">
        <f aca="false">IF($B108="","",ROUND(SUMIFS(资金日记账!$H$4:$H$603,资金日记账!$E$4:$E$603,$B108,资金日记账!$K$4:$K$603,"应收账款"),2))</f>
        <v/>
      </c>
      <c r="F108" s="70" t="str">
        <f aca="false">IF($B108="","",ROUND(N($C108)+N($D108)-N($E108),2))</f>
        <v/>
      </c>
      <c r="G108" s="123"/>
      <c r="H108" s="70" t="str">
        <f aca="false">IF($B108="","",ROUND(SUMIFS(进销存对接!$F$4:$F$305,进销存对接!$I$4:$I$305,"客户往来",进销存对接!$C$4:$C$305,$B108)+SUMIFS(记账凭证!$I$4:$I$3609,记账凭证!$J$4:$J$3609,$B108,记账凭证!$E$4:$E$3609,"应付账款"),2))</f>
        <v/>
      </c>
      <c r="I108" s="70" t="str">
        <f aca="false">IF($B108="","",ROUND(SUMIFS(记账凭证!$H$4:$H$3609,记账凭证!$J$4:$J$3609,$B108,记账凭证!$E$4:$E$3609,"应付账款"),2))</f>
        <v/>
      </c>
      <c r="J108" s="70" t="str">
        <f aca="false">IF($B108="","",ROUND(N($G108)+N($H108)-N($I108),2))</f>
        <v/>
      </c>
      <c r="K108" s="70" t="str">
        <f aca="false">IF($B108="","",ROUND(N($F108)-N($J108),2))</f>
        <v/>
      </c>
      <c r="L108" s="40" t="str">
        <f aca="false">IF($B108="","",IF(ROUND(N($K108),2)&gt;0,"对方欠款",IF(ROUND(N($K108),2)&lt;0,"我方欠款","已两清")))</f>
        <v/>
      </c>
      <c r="M108" s="124"/>
    </row>
    <row r="109" customFormat="false" ht="13.5" hidden="false" customHeight="false" outlineLevel="0" collapsed="false">
      <c r="A109" s="40" t="str">
        <f aca="false">IF($B109="","",ROW()-4)</f>
        <v/>
      </c>
      <c r="B109" s="33" t="str">
        <f aca="false">IFERROR(INDEX(_自动清单!$E$4:$E$253,ROW()-4),"")</f>
        <v/>
      </c>
      <c r="C109" s="123"/>
      <c r="D109" s="70" t="str">
        <f aca="false">IF($B109="","",ROUND(SUMIFS(进销存对接!$G$4:$G$305,进销存对接!$I$4:$I$305,"客户往来",进销存对接!$C$4:$C$305,$B109),2))</f>
        <v/>
      </c>
      <c r="E109" s="70" t="str">
        <f aca="false">IF($B109="","",ROUND(SUMIFS(资金日记账!$H$4:$H$603,资金日记账!$E$4:$E$603,$B109,资金日记账!$K$4:$K$603,"应收账款"),2))</f>
        <v/>
      </c>
      <c r="F109" s="70" t="str">
        <f aca="false">IF($B109="","",ROUND(N($C109)+N($D109)-N($E109),2))</f>
        <v/>
      </c>
      <c r="G109" s="123"/>
      <c r="H109" s="70" t="str">
        <f aca="false">IF($B109="","",ROUND(SUMIFS(进销存对接!$F$4:$F$305,进销存对接!$I$4:$I$305,"客户往来",进销存对接!$C$4:$C$305,$B109)+SUMIFS(记账凭证!$I$4:$I$3609,记账凭证!$J$4:$J$3609,$B109,记账凭证!$E$4:$E$3609,"应付账款"),2))</f>
        <v/>
      </c>
      <c r="I109" s="70" t="str">
        <f aca="false">IF($B109="","",ROUND(SUMIFS(记账凭证!$H$4:$H$3609,记账凭证!$J$4:$J$3609,$B109,记账凭证!$E$4:$E$3609,"应付账款"),2))</f>
        <v/>
      </c>
      <c r="J109" s="70" t="str">
        <f aca="false">IF($B109="","",ROUND(N($G109)+N($H109)-N($I109),2))</f>
        <v/>
      </c>
      <c r="K109" s="70" t="str">
        <f aca="false">IF($B109="","",ROUND(N($F109)-N($J109),2))</f>
        <v/>
      </c>
      <c r="L109" s="40" t="str">
        <f aca="false">IF($B109="","",IF(ROUND(N($K109),2)&gt;0,"对方欠款",IF(ROUND(N($K109),2)&lt;0,"我方欠款","已两清")))</f>
        <v/>
      </c>
      <c r="M109" s="124"/>
    </row>
    <row r="110" customFormat="false" ht="13.5" hidden="false" customHeight="false" outlineLevel="0" collapsed="false">
      <c r="A110" s="40" t="str">
        <f aca="false">IF($B110="","",ROW()-4)</f>
        <v/>
      </c>
      <c r="B110" s="33" t="str">
        <f aca="false">IFERROR(INDEX(_自动清单!$E$4:$E$253,ROW()-4),"")</f>
        <v/>
      </c>
      <c r="C110" s="123"/>
      <c r="D110" s="70" t="str">
        <f aca="false">IF($B110="","",ROUND(SUMIFS(进销存对接!$G$4:$G$305,进销存对接!$I$4:$I$305,"客户往来",进销存对接!$C$4:$C$305,$B110),2))</f>
        <v/>
      </c>
      <c r="E110" s="70" t="str">
        <f aca="false">IF($B110="","",ROUND(SUMIFS(资金日记账!$H$4:$H$603,资金日记账!$E$4:$E$603,$B110,资金日记账!$K$4:$K$603,"应收账款"),2))</f>
        <v/>
      </c>
      <c r="F110" s="70" t="str">
        <f aca="false">IF($B110="","",ROUND(N($C110)+N($D110)-N($E110),2))</f>
        <v/>
      </c>
      <c r="G110" s="123"/>
      <c r="H110" s="70" t="str">
        <f aca="false">IF($B110="","",ROUND(SUMIFS(进销存对接!$F$4:$F$305,进销存对接!$I$4:$I$305,"客户往来",进销存对接!$C$4:$C$305,$B110)+SUMIFS(记账凭证!$I$4:$I$3609,记账凭证!$J$4:$J$3609,$B110,记账凭证!$E$4:$E$3609,"应付账款"),2))</f>
        <v/>
      </c>
      <c r="I110" s="70" t="str">
        <f aca="false">IF($B110="","",ROUND(SUMIFS(记账凭证!$H$4:$H$3609,记账凭证!$J$4:$J$3609,$B110,记账凭证!$E$4:$E$3609,"应付账款"),2))</f>
        <v/>
      </c>
      <c r="J110" s="70" t="str">
        <f aca="false">IF($B110="","",ROUND(N($G110)+N($H110)-N($I110),2))</f>
        <v/>
      </c>
      <c r="K110" s="70" t="str">
        <f aca="false">IF($B110="","",ROUND(N($F110)-N($J110),2))</f>
        <v/>
      </c>
      <c r="L110" s="40" t="str">
        <f aca="false">IF($B110="","",IF(ROUND(N($K110),2)&gt;0,"对方欠款",IF(ROUND(N($K110),2)&lt;0,"我方欠款","已两清")))</f>
        <v/>
      </c>
      <c r="M110" s="124"/>
    </row>
    <row r="111" customFormat="false" ht="13.5" hidden="false" customHeight="false" outlineLevel="0" collapsed="false">
      <c r="A111" s="40" t="str">
        <f aca="false">IF($B111="","",ROW()-4)</f>
        <v/>
      </c>
      <c r="B111" s="33" t="str">
        <f aca="false">IFERROR(INDEX(_自动清单!$E$4:$E$253,ROW()-4),"")</f>
        <v/>
      </c>
      <c r="C111" s="123"/>
      <c r="D111" s="70" t="str">
        <f aca="false">IF($B111="","",ROUND(SUMIFS(进销存对接!$G$4:$G$305,进销存对接!$I$4:$I$305,"客户往来",进销存对接!$C$4:$C$305,$B111),2))</f>
        <v/>
      </c>
      <c r="E111" s="70" t="str">
        <f aca="false">IF($B111="","",ROUND(SUMIFS(资金日记账!$H$4:$H$603,资金日记账!$E$4:$E$603,$B111,资金日记账!$K$4:$K$603,"应收账款"),2))</f>
        <v/>
      </c>
      <c r="F111" s="70" t="str">
        <f aca="false">IF($B111="","",ROUND(N($C111)+N($D111)-N($E111),2))</f>
        <v/>
      </c>
      <c r="G111" s="123"/>
      <c r="H111" s="70" t="str">
        <f aca="false">IF($B111="","",ROUND(SUMIFS(进销存对接!$F$4:$F$305,进销存对接!$I$4:$I$305,"客户往来",进销存对接!$C$4:$C$305,$B111)+SUMIFS(记账凭证!$I$4:$I$3609,记账凭证!$J$4:$J$3609,$B111,记账凭证!$E$4:$E$3609,"应付账款"),2))</f>
        <v/>
      </c>
      <c r="I111" s="70" t="str">
        <f aca="false">IF($B111="","",ROUND(SUMIFS(记账凭证!$H$4:$H$3609,记账凭证!$J$4:$J$3609,$B111,记账凭证!$E$4:$E$3609,"应付账款"),2))</f>
        <v/>
      </c>
      <c r="J111" s="70" t="str">
        <f aca="false">IF($B111="","",ROUND(N($G111)+N($H111)-N($I111),2))</f>
        <v/>
      </c>
      <c r="K111" s="70" t="str">
        <f aca="false">IF($B111="","",ROUND(N($F111)-N($J111),2))</f>
        <v/>
      </c>
      <c r="L111" s="40" t="str">
        <f aca="false">IF($B111="","",IF(ROUND(N($K111),2)&gt;0,"对方欠款",IF(ROUND(N($K111),2)&lt;0,"我方欠款","已两清")))</f>
        <v/>
      </c>
      <c r="M111" s="124"/>
    </row>
    <row r="112" customFormat="false" ht="13.5" hidden="false" customHeight="false" outlineLevel="0" collapsed="false">
      <c r="A112" s="40" t="str">
        <f aca="false">IF($B112="","",ROW()-4)</f>
        <v/>
      </c>
      <c r="B112" s="33" t="str">
        <f aca="false">IFERROR(INDEX(_自动清单!$E$4:$E$253,ROW()-4),"")</f>
        <v/>
      </c>
      <c r="C112" s="123"/>
      <c r="D112" s="70" t="str">
        <f aca="false">IF($B112="","",ROUND(SUMIFS(进销存对接!$G$4:$G$305,进销存对接!$I$4:$I$305,"客户往来",进销存对接!$C$4:$C$305,$B112),2))</f>
        <v/>
      </c>
      <c r="E112" s="70" t="str">
        <f aca="false">IF($B112="","",ROUND(SUMIFS(资金日记账!$H$4:$H$603,资金日记账!$E$4:$E$603,$B112,资金日记账!$K$4:$K$603,"应收账款"),2))</f>
        <v/>
      </c>
      <c r="F112" s="70" t="str">
        <f aca="false">IF($B112="","",ROUND(N($C112)+N($D112)-N($E112),2))</f>
        <v/>
      </c>
      <c r="G112" s="123"/>
      <c r="H112" s="70" t="str">
        <f aca="false">IF($B112="","",ROUND(SUMIFS(进销存对接!$F$4:$F$305,进销存对接!$I$4:$I$305,"客户往来",进销存对接!$C$4:$C$305,$B112)+SUMIFS(记账凭证!$I$4:$I$3609,记账凭证!$J$4:$J$3609,$B112,记账凭证!$E$4:$E$3609,"应付账款"),2))</f>
        <v/>
      </c>
      <c r="I112" s="70" t="str">
        <f aca="false">IF($B112="","",ROUND(SUMIFS(记账凭证!$H$4:$H$3609,记账凭证!$J$4:$J$3609,$B112,记账凭证!$E$4:$E$3609,"应付账款"),2))</f>
        <v/>
      </c>
      <c r="J112" s="70" t="str">
        <f aca="false">IF($B112="","",ROUND(N($G112)+N($H112)-N($I112),2))</f>
        <v/>
      </c>
      <c r="K112" s="70" t="str">
        <f aca="false">IF($B112="","",ROUND(N($F112)-N($J112),2))</f>
        <v/>
      </c>
      <c r="L112" s="40" t="str">
        <f aca="false">IF($B112="","",IF(ROUND(N($K112),2)&gt;0,"对方欠款",IF(ROUND(N($K112),2)&lt;0,"我方欠款","已两清")))</f>
        <v/>
      </c>
      <c r="M112" s="124"/>
    </row>
    <row r="113" customFormat="false" ht="13.5" hidden="false" customHeight="false" outlineLevel="0" collapsed="false">
      <c r="A113" s="40" t="str">
        <f aca="false">IF($B113="","",ROW()-4)</f>
        <v/>
      </c>
      <c r="B113" s="33" t="str">
        <f aca="false">IFERROR(INDEX(_自动清单!$E$4:$E$253,ROW()-4),"")</f>
        <v/>
      </c>
      <c r="C113" s="123"/>
      <c r="D113" s="70" t="str">
        <f aca="false">IF($B113="","",ROUND(SUMIFS(进销存对接!$G$4:$G$305,进销存对接!$I$4:$I$305,"客户往来",进销存对接!$C$4:$C$305,$B113),2))</f>
        <v/>
      </c>
      <c r="E113" s="70" t="str">
        <f aca="false">IF($B113="","",ROUND(SUMIFS(资金日记账!$H$4:$H$603,资金日记账!$E$4:$E$603,$B113,资金日记账!$K$4:$K$603,"应收账款"),2))</f>
        <v/>
      </c>
      <c r="F113" s="70" t="str">
        <f aca="false">IF($B113="","",ROUND(N($C113)+N($D113)-N($E113),2))</f>
        <v/>
      </c>
      <c r="G113" s="123"/>
      <c r="H113" s="70" t="str">
        <f aca="false">IF($B113="","",ROUND(SUMIFS(进销存对接!$F$4:$F$305,进销存对接!$I$4:$I$305,"客户往来",进销存对接!$C$4:$C$305,$B113)+SUMIFS(记账凭证!$I$4:$I$3609,记账凭证!$J$4:$J$3609,$B113,记账凭证!$E$4:$E$3609,"应付账款"),2))</f>
        <v/>
      </c>
      <c r="I113" s="70" t="str">
        <f aca="false">IF($B113="","",ROUND(SUMIFS(记账凭证!$H$4:$H$3609,记账凭证!$J$4:$J$3609,$B113,记账凭证!$E$4:$E$3609,"应付账款"),2))</f>
        <v/>
      </c>
      <c r="J113" s="70" t="str">
        <f aca="false">IF($B113="","",ROUND(N($G113)+N($H113)-N($I113),2))</f>
        <v/>
      </c>
      <c r="K113" s="70" t="str">
        <f aca="false">IF($B113="","",ROUND(N($F113)-N($J113),2))</f>
        <v/>
      </c>
      <c r="L113" s="40" t="str">
        <f aca="false">IF($B113="","",IF(ROUND(N($K113),2)&gt;0,"对方欠款",IF(ROUND(N($K113),2)&lt;0,"我方欠款","已两清")))</f>
        <v/>
      </c>
      <c r="M113" s="124"/>
    </row>
    <row r="114" customFormat="false" ht="13.5" hidden="false" customHeight="false" outlineLevel="0" collapsed="false">
      <c r="A114" s="40" t="str">
        <f aca="false">IF($B114="","",ROW()-4)</f>
        <v/>
      </c>
      <c r="B114" s="33" t="str">
        <f aca="false">IFERROR(INDEX(_自动清单!$E$4:$E$253,ROW()-4),"")</f>
        <v/>
      </c>
      <c r="C114" s="123"/>
      <c r="D114" s="70" t="str">
        <f aca="false">IF($B114="","",ROUND(SUMIFS(进销存对接!$G$4:$G$305,进销存对接!$I$4:$I$305,"客户往来",进销存对接!$C$4:$C$305,$B114),2))</f>
        <v/>
      </c>
      <c r="E114" s="70" t="str">
        <f aca="false">IF($B114="","",ROUND(SUMIFS(资金日记账!$H$4:$H$603,资金日记账!$E$4:$E$603,$B114,资金日记账!$K$4:$K$603,"应收账款"),2))</f>
        <v/>
      </c>
      <c r="F114" s="70" t="str">
        <f aca="false">IF($B114="","",ROUND(N($C114)+N($D114)-N($E114),2))</f>
        <v/>
      </c>
      <c r="G114" s="123"/>
      <c r="H114" s="70" t="str">
        <f aca="false">IF($B114="","",ROUND(SUMIFS(进销存对接!$F$4:$F$305,进销存对接!$I$4:$I$305,"客户往来",进销存对接!$C$4:$C$305,$B114)+SUMIFS(记账凭证!$I$4:$I$3609,记账凭证!$J$4:$J$3609,$B114,记账凭证!$E$4:$E$3609,"应付账款"),2))</f>
        <v/>
      </c>
      <c r="I114" s="70" t="str">
        <f aca="false">IF($B114="","",ROUND(SUMIFS(记账凭证!$H$4:$H$3609,记账凭证!$J$4:$J$3609,$B114,记账凭证!$E$4:$E$3609,"应付账款"),2))</f>
        <v/>
      </c>
      <c r="J114" s="70" t="str">
        <f aca="false">IF($B114="","",ROUND(N($G114)+N($H114)-N($I114),2))</f>
        <v/>
      </c>
      <c r="K114" s="70" t="str">
        <f aca="false">IF($B114="","",ROUND(N($F114)-N($J114),2))</f>
        <v/>
      </c>
      <c r="L114" s="40" t="str">
        <f aca="false">IF($B114="","",IF(ROUND(N($K114),2)&gt;0,"对方欠款",IF(ROUND(N($K114),2)&lt;0,"我方欠款","已两清")))</f>
        <v/>
      </c>
      <c r="M114" s="124"/>
    </row>
    <row r="115" customFormat="false" ht="13.5" hidden="false" customHeight="false" outlineLevel="0" collapsed="false">
      <c r="A115" s="40" t="str">
        <f aca="false">IF($B115="","",ROW()-4)</f>
        <v/>
      </c>
      <c r="B115" s="33" t="str">
        <f aca="false">IFERROR(INDEX(_自动清单!$E$4:$E$253,ROW()-4),"")</f>
        <v/>
      </c>
      <c r="C115" s="123"/>
      <c r="D115" s="70" t="str">
        <f aca="false">IF($B115="","",ROUND(SUMIFS(进销存对接!$G$4:$G$305,进销存对接!$I$4:$I$305,"客户往来",进销存对接!$C$4:$C$305,$B115),2))</f>
        <v/>
      </c>
      <c r="E115" s="70" t="str">
        <f aca="false">IF($B115="","",ROUND(SUMIFS(资金日记账!$H$4:$H$603,资金日记账!$E$4:$E$603,$B115,资金日记账!$K$4:$K$603,"应收账款"),2))</f>
        <v/>
      </c>
      <c r="F115" s="70" t="str">
        <f aca="false">IF($B115="","",ROUND(N($C115)+N($D115)-N($E115),2))</f>
        <v/>
      </c>
      <c r="G115" s="123"/>
      <c r="H115" s="70" t="str">
        <f aca="false">IF($B115="","",ROUND(SUMIFS(进销存对接!$F$4:$F$305,进销存对接!$I$4:$I$305,"客户往来",进销存对接!$C$4:$C$305,$B115)+SUMIFS(记账凭证!$I$4:$I$3609,记账凭证!$J$4:$J$3609,$B115,记账凭证!$E$4:$E$3609,"应付账款"),2))</f>
        <v/>
      </c>
      <c r="I115" s="70" t="str">
        <f aca="false">IF($B115="","",ROUND(SUMIFS(记账凭证!$H$4:$H$3609,记账凭证!$J$4:$J$3609,$B115,记账凭证!$E$4:$E$3609,"应付账款"),2))</f>
        <v/>
      </c>
      <c r="J115" s="70" t="str">
        <f aca="false">IF($B115="","",ROUND(N($G115)+N($H115)-N($I115),2))</f>
        <v/>
      </c>
      <c r="K115" s="70" t="str">
        <f aca="false">IF($B115="","",ROUND(N($F115)-N($J115),2))</f>
        <v/>
      </c>
      <c r="L115" s="40" t="str">
        <f aca="false">IF($B115="","",IF(ROUND(N($K115),2)&gt;0,"对方欠款",IF(ROUND(N($K115),2)&lt;0,"我方欠款","已两清")))</f>
        <v/>
      </c>
      <c r="M115" s="124"/>
    </row>
    <row r="116" customFormat="false" ht="13.5" hidden="false" customHeight="false" outlineLevel="0" collapsed="false">
      <c r="A116" s="40" t="str">
        <f aca="false">IF($B116="","",ROW()-4)</f>
        <v/>
      </c>
      <c r="B116" s="33" t="str">
        <f aca="false">IFERROR(INDEX(_自动清单!$E$4:$E$253,ROW()-4),"")</f>
        <v/>
      </c>
      <c r="C116" s="123"/>
      <c r="D116" s="70" t="str">
        <f aca="false">IF($B116="","",ROUND(SUMIFS(进销存对接!$G$4:$G$305,进销存对接!$I$4:$I$305,"客户往来",进销存对接!$C$4:$C$305,$B116),2))</f>
        <v/>
      </c>
      <c r="E116" s="70" t="str">
        <f aca="false">IF($B116="","",ROUND(SUMIFS(资金日记账!$H$4:$H$603,资金日记账!$E$4:$E$603,$B116,资金日记账!$K$4:$K$603,"应收账款"),2))</f>
        <v/>
      </c>
      <c r="F116" s="70" t="str">
        <f aca="false">IF($B116="","",ROUND(N($C116)+N($D116)-N($E116),2))</f>
        <v/>
      </c>
      <c r="G116" s="123"/>
      <c r="H116" s="70" t="str">
        <f aca="false">IF($B116="","",ROUND(SUMIFS(进销存对接!$F$4:$F$305,进销存对接!$I$4:$I$305,"客户往来",进销存对接!$C$4:$C$305,$B116)+SUMIFS(记账凭证!$I$4:$I$3609,记账凭证!$J$4:$J$3609,$B116,记账凭证!$E$4:$E$3609,"应付账款"),2))</f>
        <v/>
      </c>
      <c r="I116" s="70" t="str">
        <f aca="false">IF($B116="","",ROUND(SUMIFS(记账凭证!$H$4:$H$3609,记账凭证!$J$4:$J$3609,$B116,记账凭证!$E$4:$E$3609,"应付账款"),2))</f>
        <v/>
      </c>
      <c r="J116" s="70" t="str">
        <f aca="false">IF($B116="","",ROUND(N($G116)+N($H116)-N($I116),2))</f>
        <v/>
      </c>
      <c r="K116" s="70" t="str">
        <f aca="false">IF($B116="","",ROUND(N($F116)-N($J116),2))</f>
        <v/>
      </c>
      <c r="L116" s="40" t="str">
        <f aca="false">IF($B116="","",IF(ROUND(N($K116),2)&gt;0,"对方欠款",IF(ROUND(N($K116),2)&lt;0,"我方欠款","已两清")))</f>
        <v/>
      </c>
      <c r="M116" s="124"/>
    </row>
    <row r="117" customFormat="false" ht="13.5" hidden="false" customHeight="false" outlineLevel="0" collapsed="false">
      <c r="A117" s="40" t="str">
        <f aca="false">IF($B117="","",ROW()-4)</f>
        <v/>
      </c>
      <c r="B117" s="33" t="str">
        <f aca="false">IFERROR(INDEX(_自动清单!$E$4:$E$253,ROW()-4),"")</f>
        <v/>
      </c>
      <c r="C117" s="123"/>
      <c r="D117" s="70" t="str">
        <f aca="false">IF($B117="","",ROUND(SUMIFS(进销存对接!$G$4:$G$305,进销存对接!$I$4:$I$305,"客户往来",进销存对接!$C$4:$C$305,$B117),2))</f>
        <v/>
      </c>
      <c r="E117" s="70" t="str">
        <f aca="false">IF($B117="","",ROUND(SUMIFS(资金日记账!$H$4:$H$603,资金日记账!$E$4:$E$603,$B117,资金日记账!$K$4:$K$603,"应收账款"),2))</f>
        <v/>
      </c>
      <c r="F117" s="70" t="str">
        <f aca="false">IF($B117="","",ROUND(N($C117)+N($D117)-N($E117),2))</f>
        <v/>
      </c>
      <c r="G117" s="123"/>
      <c r="H117" s="70" t="str">
        <f aca="false">IF($B117="","",ROUND(SUMIFS(进销存对接!$F$4:$F$305,进销存对接!$I$4:$I$305,"客户往来",进销存对接!$C$4:$C$305,$B117)+SUMIFS(记账凭证!$I$4:$I$3609,记账凭证!$J$4:$J$3609,$B117,记账凭证!$E$4:$E$3609,"应付账款"),2))</f>
        <v/>
      </c>
      <c r="I117" s="70" t="str">
        <f aca="false">IF($B117="","",ROUND(SUMIFS(记账凭证!$H$4:$H$3609,记账凭证!$J$4:$J$3609,$B117,记账凭证!$E$4:$E$3609,"应付账款"),2))</f>
        <v/>
      </c>
      <c r="J117" s="70" t="str">
        <f aca="false">IF($B117="","",ROUND(N($G117)+N($H117)-N($I117),2))</f>
        <v/>
      </c>
      <c r="K117" s="70" t="str">
        <f aca="false">IF($B117="","",ROUND(N($F117)-N($J117),2))</f>
        <v/>
      </c>
      <c r="L117" s="40" t="str">
        <f aca="false">IF($B117="","",IF(ROUND(N($K117),2)&gt;0,"对方欠款",IF(ROUND(N($K117),2)&lt;0,"我方欠款","已两清")))</f>
        <v/>
      </c>
      <c r="M117" s="124"/>
    </row>
    <row r="118" customFormat="false" ht="13.5" hidden="false" customHeight="false" outlineLevel="0" collapsed="false">
      <c r="A118" s="40" t="str">
        <f aca="false">IF($B118="","",ROW()-4)</f>
        <v/>
      </c>
      <c r="B118" s="33" t="str">
        <f aca="false">IFERROR(INDEX(_自动清单!$E$4:$E$253,ROW()-4),"")</f>
        <v/>
      </c>
      <c r="C118" s="123"/>
      <c r="D118" s="70" t="str">
        <f aca="false">IF($B118="","",ROUND(SUMIFS(进销存对接!$G$4:$G$305,进销存对接!$I$4:$I$305,"客户往来",进销存对接!$C$4:$C$305,$B118),2))</f>
        <v/>
      </c>
      <c r="E118" s="70" t="str">
        <f aca="false">IF($B118="","",ROUND(SUMIFS(资金日记账!$H$4:$H$603,资金日记账!$E$4:$E$603,$B118,资金日记账!$K$4:$K$603,"应收账款"),2))</f>
        <v/>
      </c>
      <c r="F118" s="70" t="str">
        <f aca="false">IF($B118="","",ROUND(N($C118)+N($D118)-N($E118),2))</f>
        <v/>
      </c>
      <c r="G118" s="123"/>
      <c r="H118" s="70" t="str">
        <f aca="false">IF($B118="","",ROUND(SUMIFS(进销存对接!$F$4:$F$305,进销存对接!$I$4:$I$305,"客户往来",进销存对接!$C$4:$C$305,$B118)+SUMIFS(记账凭证!$I$4:$I$3609,记账凭证!$J$4:$J$3609,$B118,记账凭证!$E$4:$E$3609,"应付账款"),2))</f>
        <v/>
      </c>
      <c r="I118" s="70" t="str">
        <f aca="false">IF($B118="","",ROUND(SUMIFS(记账凭证!$H$4:$H$3609,记账凭证!$J$4:$J$3609,$B118,记账凭证!$E$4:$E$3609,"应付账款"),2))</f>
        <v/>
      </c>
      <c r="J118" s="70" t="str">
        <f aca="false">IF($B118="","",ROUND(N($G118)+N($H118)-N($I118),2))</f>
        <v/>
      </c>
      <c r="K118" s="70" t="str">
        <f aca="false">IF($B118="","",ROUND(N($F118)-N($J118),2))</f>
        <v/>
      </c>
      <c r="L118" s="40" t="str">
        <f aca="false">IF($B118="","",IF(ROUND(N($K118),2)&gt;0,"对方欠款",IF(ROUND(N($K118),2)&lt;0,"我方欠款","已两清")))</f>
        <v/>
      </c>
      <c r="M118" s="124"/>
    </row>
    <row r="119" customFormat="false" ht="13.5" hidden="false" customHeight="false" outlineLevel="0" collapsed="false">
      <c r="A119" s="40" t="str">
        <f aca="false">IF($B119="","",ROW()-4)</f>
        <v/>
      </c>
      <c r="B119" s="33" t="str">
        <f aca="false">IFERROR(INDEX(_自动清单!$E$4:$E$253,ROW()-4),"")</f>
        <v/>
      </c>
      <c r="C119" s="123"/>
      <c r="D119" s="70" t="str">
        <f aca="false">IF($B119="","",ROUND(SUMIFS(进销存对接!$G$4:$G$305,进销存对接!$I$4:$I$305,"客户往来",进销存对接!$C$4:$C$305,$B119),2))</f>
        <v/>
      </c>
      <c r="E119" s="70" t="str">
        <f aca="false">IF($B119="","",ROUND(SUMIFS(资金日记账!$H$4:$H$603,资金日记账!$E$4:$E$603,$B119,资金日记账!$K$4:$K$603,"应收账款"),2))</f>
        <v/>
      </c>
      <c r="F119" s="70" t="str">
        <f aca="false">IF($B119="","",ROUND(N($C119)+N($D119)-N($E119),2))</f>
        <v/>
      </c>
      <c r="G119" s="123"/>
      <c r="H119" s="70" t="str">
        <f aca="false">IF($B119="","",ROUND(SUMIFS(进销存对接!$F$4:$F$305,进销存对接!$I$4:$I$305,"客户往来",进销存对接!$C$4:$C$305,$B119)+SUMIFS(记账凭证!$I$4:$I$3609,记账凭证!$J$4:$J$3609,$B119,记账凭证!$E$4:$E$3609,"应付账款"),2))</f>
        <v/>
      </c>
      <c r="I119" s="70" t="str">
        <f aca="false">IF($B119="","",ROUND(SUMIFS(记账凭证!$H$4:$H$3609,记账凭证!$J$4:$J$3609,$B119,记账凭证!$E$4:$E$3609,"应付账款"),2))</f>
        <v/>
      </c>
      <c r="J119" s="70" t="str">
        <f aca="false">IF($B119="","",ROUND(N($G119)+N($H119)-N($I119),2))</f>
        <v/>
      </c>
      <c r="K119" s="70" t="str">
        <f aca="false">IF($B119="","",ROUND(N($F119)-N($J119),2))</f>
        <v/>
      </c>
      <c r="L119" s="40" t="str">
        <f aca="false">IF($B119="","",IF(ROUND(N($K119),2)&gt;0,"对方欠款",IF(ROUND(N($K119),2)&lt;0,"我方欠款","已两清")))</f>
        <v/>
      </c>
      <c r="M119" s="124"/>
    </row>
    <row r="120" customFormat="false" ht="13.5" hidden="false" customHeight="false" outlineLevel="0" collapsed="false">
      <c r="A120" s="40" t="str">
        <f aca="false">IF($B120="","",ROW()-4)</f>
        <v/>
      </c>
      <c r="B120" s="33" t="str">
        <f aca="false">IFERROR(INDEX(_自动清单!$E$4:$E$253,ROW()-4),"")</f>
        <v/>
      </c>
      <c r="C120" s="123"/>
      <c r="D120" s="70" t="str">
        <f aca="false">IF($B120="","",ROUND(SUMIFS(进销存对接!$G$4:$G$305,进销存对接!$I$4:$I$305,"客户往来",进销存对接!$C$4:$C$305,$B120),2))</f>
        <v/>
      </c>
      <c r="E120" s="70" t="str">
        <f aca="false">IF($B120="","",ROUND(SUMIFS(资金日记账!$H$4:$H$603,资金日记账!$E$4:$E$603,$B120,资金日记账!$K$4:$K$603,"应收账款"),2))</f>
        <v/>
      </c>
      <c r="F120" s="70" t="str">
        <f aca="false">IF($B120="","",ROUND(N($C120)+N($D120)-N($E120),2))</f>
        <v/>
      </c>
      <c r="G120" s="123"/>
      <c r="H120" s="70" t="str">
        <f aca="false">IF($B120="","",ROUND(SUMIFS(进销存对接!$F$4:$F$305,进销存对接!$I$4:$I$305,"客户往来",进销存对接!$C$4:$C$305,$B120)+SUMIFS(记账凭证!$I$4:$I$3609,记账凭证!$J$4:$J$3609,$B120,记账凭证!$E$4:$E$3609,"应付账款"),2))</f>
        <v/>
      </c>
      <c r="I120" s="70" t="str">
        <f aca="false">IF($B120="","",ROUND(SUMIFS(记账凭证!$H$4:$H$3609,记账凭证!$J$4:$J$3609,$B120,记账凭证!$E$4:$E$3609,"应付账款"),2))</f>
        <v/>
      </c>
      <c r="J120" s="70" t="str">
        <f aca="false">IF($B120="","",ROUND(N($G120)+N($H120)-N($I120),2))</f>
        <v/>
      </c>
      <c r="K120" s="70" t="str">
        <f aca="false">IF($B120="","",ROUND(N($F120)-N($J120),2))</f>
        <v/>
      </c>
      <c r="L120" s="40" t="str">
        <f aca="false">IF($B120="","",IF(ROUND(N($K120),2)&gt;0,"对方欠款",IF(ROUND(N($K120),2)&lt;0,"我方欠款","已两清")))</f>
        <v/>
      </c>
      <c r="M120" s="124"/>
    </row>
    <row r="121" customFormat="false" ht="13.5" hidden="false" customHeight="false" outlineLevel="0" collapsed="false">
      <c r="A121" s="40" t="str">
        <f aca="false">IF($B121="","",ROW()-4)</f>
        <v/>
      </c>
      <c r="B121" s="33" t="str">
        <f aca="false">IFERROR(INDEX(_自动清单!$E$4:$E$253,ROW()-4),"")</f>
        <v/>
      </c>
      <c r="C121" s="123"/>
      <c r="D121" s="70" t="str">
        <f aca="false">IF($B121="","",ROUND(SUMIFS(进销存对接!$G$4:$G$305,进销存对接!$I$4:$I$305,"客户往来",进销存对接!$C$4:$C$305,$B121),2))</f>
        <v/>
      </c>
      <c r="E121" s="70" t="str">
        <f aca="false">IF($B121="","",ROUND(SUMIFS(资金日记账!$H$4:$H$603,资金日记账!$E$4:$E$603,$B121,资金日记账!$K$4:$K$603,"应收账款"),2))</f>
        <v/>
      </c>
      <c r="F121" s="70" t="str">
        <f aca="false">IF($B121="","",ROUND(N($C121)+N($D121)-N($E121),2))</f>
        <v/>
      </c>
      <c r="G121" s="123"/>
      <c r="H121" s="70" t="str">
        <f aca="false">IF($B121="","",ROUND(SUMIFS(进销存对接!$F$4:$F$305,进销存对接!$I$4:$I$305,"客户往来",进销存对接!$C$4:$C$305,$B121)+SUMIFS(记账凭证!$I$4:$I$3609,记账凭证!$J$4:$J$3609,$B121,记账凭证!$E$4:$E$3609,"应付账款"),2))</f>
        <v/>
      </c>
      <c r="I121" s="70" t="str">
        <f aca="false">IF($B121="","",ROUND(SUMIFS(记账凭证!$H$4:$H$3609,记账凭证!$J$4:$J$3609,$B121,记账凭证!$E$4:$E$3609,"应付账款"),2))</f>
        <v/>
      </c>
      <c r="J121" s="70" t="str">
        <f aca="false">IF($B121="","",ROUND(N($G121)+N($H121)-N($I121),2))</f>
        <v/>
      </c>
      <c r="K121" s="70" t="str">
        <f aca="false">IF($B121="","",ROUND(N($F121)-N($J121),2))</f>
        <v/>
      </c>
      <c r="L121" s="40" t="str">
        <f aca="false">IF($B121="","",IF(ROUND(N($K121),2)&gt;0,"对方欠款",IF(ROUND(N($K121),2)&lt;0,"我方欠款","已两清")))</f>
        <v/>
      </c>
      <c r="M121" s="124"/>
    </row>
    <row r="122" customFormat="false" ht="13.5" hidden="false" customHeight="false" outlineLevel="0" collapsed="false">
      <c r="A122" s="40" t="str">
        <f aca="false">IF($B122="","",ROW()-4)</f>
        <v/>
      </c>
      <c r="B122" s="33" t="str">
        <f aca="false">IFERROR(INDEX(_自动清单!$E$4:$E$253,ROW()-4),"")</f>
        <v/>
      </c>
      <c r="C122" s="123"/>
      <c r="D122" s="70" t="str">
        <f aca="false">IF($B122="","",ROUND(SUMIFS(进销存对接!$G$4:$G$305,进销存对接!$I$4:$I$305,"客户往来",进销存对接!$C$4:$C$305,$B122),2))</f>
        <v/>
      </c>
      <c r="E122" s="70" t="str">
        <f aca="false">IF($B122="","",ROUND(SUMIFS(资金日记账!$H$4:$H$603,资金日记账!$E$4:$E$603,$B122,资金日记账!$K$4:$K$603,"应收账款"),2))</f>
        <v/>
      </c>
      <c r="F122" s="70" t="str">
        <f aca="false">IF($B122="","",ROUND(N($C122)+N($D122)-N($E122),2))</f>
        <v/>
      </c>
      <c r="G122" s="123"/>
      <c r="H122" s="70" t="str">
        <f aca="false">IF($B122="","",ROUND(SUMIFS(进销存对接!$F$4:$F$305,进销存对接!$I$4:$I$305,"客户往来",进销存对接!$C$4:$C$305,$B122)+SUMIFS(记账凭证!$I$4:$I$3609,记账凭证!$J$4:$J$3609,$B122,记账凭证!$E$4:$E$3609,"应付账款"),2))</f>
        <v/>
      </c>
      <c r="I122" s="70" t="str">
        <f aca="false">IF($B122="","",ROUND(SUMIFS(记账凭证!$H$4:$H$3609,记账凭证!$J$4:$J$3609,$B122,记账凭证!$E$4:$E$3609,"应付账款"),2))</f>
        <v/>
      </c>
      <c r="J122" s="70" t="str">
        <f aca="false">IF($B122="","",ROUND(N($G122)+N($H122)-N($I122),2))</f>
        <v/>
      </c>
      <c r="K122" s="70" t="str">
        <f aca="false">IF($B122="","",ROUND(N($F122)-N($J122),2))</f>
        <v/>
      </c>
      <c r="L122" s="40" t="str">
        <f aca="false">IF($B122="","",IF(ROUND(N($K122),2)&gt;0,"对方欠款",IF(ROUND(N($K122),2)&lt;0,"我方欠款","已两清")))</f>
        <v/>
      </c>
      <c r="M122" s="124"/>
    </row>
    <row r="123" customFormat="false" ht="13.5" hidden="false" customHeight="false" outlineLevel="0" collapsed="false">
      <c r="A123" s="40" t="str">
        <f aca="false">IF($B123="","",ROW()-4)</f>
        <v/>
      </c>
      <c r="B123" s="33" t="str">
        <f aca="false">IFERROR(INDEX(_自动清单!$E$4:$E$253,ROW()-4),"")</f>
        <v/>
      </c>
      <c r="C123" s="123"/>
      <c r="D123" s="70" t="str">
        <f aca="false">IF($B123="","",ROUND(SUMIFS(进销存对接!$G$4:$G$305,进销存对接!$I$4:$I$305,"客户往来",进销存对接!$C$4:$C$305,$B123),2))</f>
        <v/>
      </c>
      <c r="E123" s="70" t="str">
        <f aca="false">IF($B123="","",ROUND(SUMIFS(资金日记账!$H$4:$H$603,资金日记账!$E$4:$E$603,$B123,资金日记账!$K$4:$K$603,"应收账款"),2))</f>
        <v/>
      </c>
      <c r="F123" s="70" t="str">
        <f aca="false">IF($B123="","",ROUND(N($C123)+N($D123)-N($E123),2))</f>
        <v/>
      </c>
      <c r="G123" s="123"/>
      <c r="H123" s="70" t="str">
        <f aca="false">IF($B123="","",ROUND(SUMIFS(进销存对接!$F$4:$F$305,进销存对接!$I$4:$I$305,"客户往来",进销存对接!$C$4:$C$305,$B123)+SUMIFS(记账凭证!$I$4:$I$3609,记账凭证!$J$4:$J$3609,$B123,记账凭证!$E$4:$E$3609,"应付账款"),2))</f>
        <v/>
      </c>
      <c r="I123" s="70" t="str">
        <f aca="false">IF($B123="","",ROUND(SUMIFS(记账凭证!$H$4:$H$3609,记账凭证!$J$4:$J$3609,$B123,记账凭证!$E$4:$E$3609,"应付账款"),2))</f>
        <v/>
      </c>
      <c r="J123" s="70" t="str">
        <f aca="false">IF($B123="","",ROUND(N($G123)+N($H123)-N($I123),2))</f>
        <v/>
      </c>
      <c r="K123" s="70" t="str">
        <f aca="false">IF($B123="","",ROUND(N($F123)-N($J123),2))</f>
        <v/>
      </c>
      <c r="L123" s="40" t="str">
        <f aca="false">IF($B123="","",IF(ROUND(N($K123),2)&gt;0,"对方欠款",IF(ROUND(N($K123),2)&lt;0,"我方欠款","已两清")))</f>
        <v/>
      </c>
      <c r="M123" s="124"/>
    </row>
    <row r="124" customFormat="false" ht="13.5" hidden="false" customHeight="false" outlineLevel="0" collapsed="false">
      <c r="A124" s="40" t="str">
        <f aca="false">IF($B124="","",ROW()-4)</f>
        <v/>
      </c>
      <c r="B124" s="33" t="str">
        <f aca="false">IFERROR(INDEX(_自动清单!$E$4:$E$253,ROW()-4),"")</f>
        <v/>
      </c>
      <c r="C124" s="123"/>
      <c r="D124" s="70" t="str">
        <f aca="false">IF($B124="","",ROUND(SUMIFS(进销存对接!$G$4:$G$305,进销存对接!$I$4:$I$305,"客户往来",进销存对接!$C$4:$C$305,$B124),2))</f>
        <v/>
      </c>
      <c r="E124" s="70" t="str">
        <f aca="false">IF($B124="","",ROUND(SUMIFS(资金日记账!$H$4:$H$603,资金日记账!$E$4:$E$603,$B124,资金日记账!$K$4:$K$603,"应收账款"),2))</f>
        <v/>
      </c>
      <c r="F124" s="70" t="str">
        <f aca="false">IF($B124="","",ROUND(N($C124)+N($D124)-N($E124),2))</f>
        <v/>
      </c>
      <c r="G124" s="123"/>
      <c r="H124" s="70" t="str">
        <f aca="false">IF($B124="","",ROUND(SUMIFS(进销存对接!$F$4:$F$305,进销存对接!$I$4:$I$305,"客户往来",进销存对接!$C$4:$C$305,$B124)+SUMIFS(记账凭证!$I$4:$I$3609,记账凭证!$J$4:$J$3609,$B124,记账凭证!$E$4:$E$3609,"应付账款"),2))</f>
        <v/>
      </c>
      <c r="I124" s="70" t="str">
        <f aca="false">IF($B124="","",ROUND(SUMIFS(记账凭证!$H$4:$H$3609,记账凭证!$J$4:$J$3609,$B124,记账凭证!$E$4:$E$3609,"应付账款"),2))</f>
        <v/>
      </c>
      <c r="J124" s="70" t="str">
        <f aca="false">IF($B124="","",ROUND(N($G124)+N($H124)-N($I124),2))</f>
        <v/>
      </c>
      <c r="K124" s="70" t="str">
        <f aca="false">IF($B124="","",ROUND(N($F124)-N($J124),2))</f>
        <v/>
      </c>
      <c r="L124" s="40" t="str">
        <f aca="false">IF($B124="","",IF(ROUND(N($K124),2)&gt;0,"对方欠款",IF(ROUND(N($K124),2)&lt;0,"我方欠款","已两清")))</f>
        <v/>
      </c>
      <c r="M124" s="124"/>
    </row>
    <row r="125" customFormat="false" ht="13.5" hidden="false" customHeight="false" outlineLevel="0" collapsed="false">
      <c r="A125" s="40" t="str">
        <f aca="false">IF($B125="","",ROW()-4)</f>
        <v/>
      </c>
      <c r="B125" s="33" t="str">
        <f aca="false">IFERROR(INDEX(_自动清单!$E$4:$E$253,ROW()-4),"")</f>
        <v/>
      </c>
      <c r="C125" s="123"/>
      <c r="D125" s="70" t="str">
        <f aca="false">IF($B125="","",ROUND(SUMIFS(进销存对接!$G$4:$G$305,进销存对接!$I$4:$I$305,"客户往来",进销存对接!$C$4:$C$305,$B125),2))</f>
        <v/>
      </c>
      <c r="E125" s="70" t="str">
        <f aca="false">IF($B125="","",ROUND(SUMIFS(资金日记账!$H$4:$H$603,资金日记账!$E$4:$E$603,$B125,资金日记账!$K$4:$K$603,"应收账款"),2))</f>
        <v/>
      </c>
      <c r="F125" s="70" t="str">
        <f aca="false">IF($B125="","",ROUND(N($C125)+N($D125)-N($E125),2))</f>
        <v/>
      </c>
      <c r="G125" s="123"/>
      <c r="H125" s="70" t="str">
        <f aca="false">IF($B125="","",ROUND(SUMIFS(进销存对接!$F$4:$F$305,进销存对接!$I$4:$I$305,"客户往来",进销存对接!$C$4:$C$305,$B125)+SUMIFS(记账凭证!$I$4:$I$3609,记账凭证!$J$4:$J$3609,$B125,记账凭证!$E$4:$E$3609,"应付账款"),2))</f>
        <v/>
      </c>
      <c r="I125" s="70" t="str">
        <f aca="false">IF($B125="","",ROUND(SUMIFS(记账凭证!$H$4:$H$3609,记账凭证!$J$4:$J$3609,$B125,记账凭证!$E$4:$E$3609,"应付账款"),2))</f>
        <v/>
      </c>
      <c r="J125" s="70" t="str">
        <f aca="false">IF($B125="","",ROUND(N($G125)+N($H125)-N($I125),2))</f>
        <v/>
      </c>
      <c r="K125" s="70" t="str">
        <f aca="false">IF($B125="","",ROUND(N($F125)-N($J125),2))</f>
        <v/>
      </c>
      <c r="L125" s="40" t="str">
        <f aca="false">IF($B125="","",IF(ROUND(N($K125),2)&gt;0,"对方欠款",IF(ROUND(N($K125),2)&lt;0,"我方欠款","已两清")))</f>
        <v/>
      </c>
      <c r="M125" s="124"/>
    </row>
    <row r="126" customFormat="false" ht="13.5" hidden="false" customHeight="false" outlineLevel="0" collapsed="false">
      <c r="A126" s="40" t="str">
        <f aca="false">IF($B126="","",ROW()-4)</f>
        <v/>
      </c>
      <c r="B126" s="33" t="str">
        <f aca="false">IFERROR(INDEX(_自动清单!$E$4:$E$253,ROW()-4),"")</f>
        <v/>
      </c>
      <c r="C126" s="123"/>
      <c r="D126" s="70" t="str">
        <f aca="false">IF($B126="","",ROUND(SUMIFS(进销存对接!$G$4:$G$305,进销存对接!$I$4:$I$305,"客户往来",进销存对接!$C$4:$C$305,$B126),2))</f>
        <v/>
      </c>
      <c r="E126" s="70" t="str">
        <f aca="false">IF($B126="","",ROUND(SUMIFS(资金日记账!$H$4:$H$603,资金日记账!$E$4:$E$603,$B126,资金日记账!$K$4:$K$603,"应收账款"),2))</f>
        <v/>
      </c>
      <c r="F126" s="70" t="str">
        <f aca="false">IF($B126="","",ROUND(N($C126)+N($D126)-N($E126),2))</f>
        <v/>
      </c>
      <c r="G126" s="123"/>
      <c r="H126" s="70" t="str">
        <f aca="false">IF($B126="","",ROUND(SUMIFS(进销存对接!$F$4:$F$305,进销存对接!$I$4:$I$305,"客户往来",进销存对接!$C$4:$C$305,$B126)+SUMIFS(记账凭证!$I$4:$I$3609,记账凭证!$J$4:$J$3609,$B126,记账凭证!$E$4:$E$3609,"应付账款"),2))</f>
        <v/>
      </c>
      <c r="I126" s="70" t="str">
        <f aca="false">IF($B126="","",ROUND(SUMIFS(记账凭证!$H$4:$H$3609,记账凭证!$J$4:$J$3609,$B126,记账凭证!$E$4:$E$3609,"应付账款"),2))</f>
        <v/>
      </c>
      <c r="J126" s="70" t="str">
        <f aca="false">IF($B126="","",ROUND(N($G126)+N($H126)-N($I126),2))</f>
        <v/>
      </c>
      <c r="K126" s="70" t="str">
        <f aca="false">IF($B126="","",ROUND(N($F126)-N($J126),2))</f>
        <v/>
      </c>
      <c r="L126" s="40" t="str">
        <f aca="false">IF($B126="","",IF(ROUND(N($K126),2)&gt;0,"对方欠款",IF(ROUND(N($K126),2)&lt;0,"我方欠款","已两清")))</f>
        <v/>
      </c>
      <c r="M126" s="124"/>
    </row>
    <row r="127" customFormat="false" ht="13.5" hidden="false" customHeight="false" outlineLevel="0" collapsed="false">
      <c r="A127" s="40" t="str">
        <f aca="false">IF($B127="","",ROW()-4)</f>
        <v/>
      </c>
      <c r="B127" s="33" t="str">
        <f aca="false">IFERROR(INDEX(_自动清单!$E$4:$E$253,ROW()-4),"")</f>
        <v/>
      </c>
      <c r="C127" s="123"/>
      <c r="D127" s="70" t="str">
        <f aca="false">IF($B127="","",ROUND(SUMIFS(进销存对接!$G$4:$G$305,进销存对接!$I$4:$I$305,"客户往来",进销存对接!$C$4:$C$305,$B127),2))</f>
        <v/>
      </c>
      <c r="E127" s="70" t="str">
        <f aca="false">IF($B127="","",ROUND(SUMIFS(资金日记账!$H$4:$H$603,资金日记账!$E$4:$E$603,$B127,资金日记账!$K$4:$K$603,"应收账款"),2))</f>
        <v/>
      </c>
      <c r="F127" s="70" t="str">
        <f aca="false">IF($B127="","",ROUND(N($C127)+N($D127)-N($E127),2))</f>
        <v/>
      </c>
      <c r="G127" s="123"/>
      <c r="H127" s="70" t="str">
        <f aca="false">IF($B127="","",ROUND(SUMIFS(进销存对接!$F$4:$F$305,进销存对接!$I$4:$I$305,"客户往来",进销存对接!$C$4:$C$305,$B127)+SUMIFS(记账凭证!$I$4:$I$3609,记账凭证!$J$4:$J$3609,$B127,记账凭证!$E$4:$E$3609,"应付账款"),2))</f>
        <v/>
      </c>
      <c r="I127" s="70" t="str">
        <f aca="false">IF($B127="","",ROUND(SUMIFS(记账凭证!$H$4:$H$3609,记账凭证!$J$4:$J$3609,$B127,记账凭证!$E$4:$E$3609,"应付账款"),2))</f>
        <v/>
      </c>
      <c r="J127" s="70" t="str">
        <f aca="false">IF($B127="","",ROUND(N($G127)+N($H127)-N($I127),2))</f>
        <v/>
      </c>
      <c r="K127" s="70" t="str">
        <f aca="false">IF($B127="","",ROUND(N($F127)-N($J127),2))</f>
        <v/>
      </c>
      <c r="L127" s="40" t="str">
        <f aca="false">IF($B127="","",IF(ROUND(N($K127),2)&gt;0,"对方欠款",IF(ROUND(N($K127),2)&lt;0,"我方欠款","已两清")))</f>
        <v/>
      </c>
      <c r="M127" s="124"/>
    </row>
    <row r="128" customFormat="false" ht="13.5" hidden="false" customHeight="false" outlineLevel="0" collapsed="false">
      <c r="A128" s="40" t="str">
        <f aca="false">IF($B128="","",ROW()-4)</f>
        <v/>
      </c>
      <c r="B128" s="33" t="str">
        <f aca="false">IFERROR(INDEX(_自动清单!$E$4:$E$253,ROW()-4),"")</f>
        <v/>
      </c>
      <c r="C128" s="123"/>
      <c r="D128" s="70" t="str">
        <f aca="false">IF($B128="","",ROUND(SUMIFS(进销存对接!$G$4:$G$305,进销存对接!$I$4:$I$305,"客户往来",进销存对接!$C$4:$C$305,$B128),2))</f>
        <v/>
      </c>
      <c r="E128" s="70" t="str">
        <f aca="false">IF($B128="","",ROUND(SUMIFS(资金日记账!$H$4:$H$603,资金日记账!$E$4:$E$603,$B128,资金日记账!$K$4:$K$603,"应收账款"),2))</f>
        <v/>
      </c>
      <c r="F128" s="70" t="str">
        <f aca="false">IF($B128="","",ROUND(N($C128)+N($D128)-N($E128),2))</f>
        <v/>
      </c>
      <c r="G128" s="123"/>
      <c r="H128" s="70" t="str">
        <f aca="false">IF($B128="","",ROUND(SUMIFS(进销存对接!$F$4:$F$305,进销存对接!$I$4:$I$305,"客户往来",进销存对接!$C$4:$C$305,$B128)+SUMIFS(记账凭证!$I$4:$I$3609,记账凭证!$J$4:$J$3609,$B128,记账凭证!$E$4:$E$3609,"应付账款"),2))</f>
        <v/>
      </c>
      <c r="I128" s="70" t="str">
        <f aca="false">IF($B128="","",ROUND(SUMIFS(记账凭证!$H$4:$H$3609,记账凭证!$J$4:$J$3609,$B128,记账凭证!$E$4:$E$3609,"应付账款"),2))</f>
        <v/>
      </c>
      <c r="J128" s="70" t="str">
        <f aca="false">IF($B128="","",ROUND(N($G128)+N($H128)-N($I128),2))</f>
        <v/>
      </c>
      <c r="K128" s="70" t="str">
        <f aca="false">IF($B128="","",ROUND(N($F128)-N($J128),2))</f>
        <v/>
      </c>
      <c r="L128" s="40" t="str">
        <f aca="false">IF($B128="","",IF(ROUND(N($K128),2)&gt;0,"对方欠款",IF(ROUND(N($K128),2)&lt;0,"我方欠款","已两清")))</f>
        <v/>
      </c>
      <c r="M128" s="124"/>
    </row>
    <row r="129" customFormat="false" ht="13.5" hidden="false" customHeight="false" outlineLevel="0" collapsed="false">
      <c r="A129" s="40" t="str">
        <f aca="false">IF($B129="","",ROW()-4)</f>
        <v/>
      </c>
      <c r="B129" s="33" t="str">
        <f aca="false">IFERROR(INDEX(_自动清单!$E$4:$E$253,ROW()-4),"")</f>
        <v/>
      </c>
      <c r="C129" s="123"/>
      <c r="D129" s="70" t="str">
        <f aca="false">IF($B129="","",ROUND(SUMIFS(进销存对接!$G$4:$G$305,进销存对接!$I$4:$I$305,"客户往来",进销存对接!$C$4:$C$305,$B129),2))</f>
        <v/>
      </c>
      <c r="E129" s="70" t="str">
        <f aca="false">IF($B129="","",ROUND(SUMIFS(资金日记账!$H$4:$H$603,资金日记账!$E$4:$E$603,$B129,资金日记账!$K$4:$K$603,"应收账款"),2))</f>
        <v/>
      </c>
      <c r="F129" s="70" t="str">
        <f aca="false">IF($B129="","",ROUND(N($C129)+N($D129)-N($E129),2))</f>
        <v/>
      </c>
      <c r="G129" s="123"/>
      <c r="H129" s="70" t="str">
        <f aca="false">IF($B129="","",ROUND(SUMIFS(进销存对接!$F$4:$F$305,进销存对接!$I$4:$I$305,"客户往来",进销存对接!$C$4:$C$305,$B129)+SUMIFS(记账凭证!$I$4:$I$3609,记账凭证!$J$4:$J$3609,$B129,记账凭证!$E$4:$E$3609,"应付账款"),2))</f>
        <v/>
      </c>
      <c r="I129" s="70" t="str">
        <f aca="false">IF($B129="","",ROUND(SUMIFS(记账凭证!$H$4:$H$3609,记账凭证!$J$4:$J$3609,$B129,记账凭证!$E$4:$E$3609,"应付账款"),2))</f>
        <v/>
      </c>
      <c r="J129" s="70" t="str">
        <f aca="false">IF($B129="","",ROUND(N($G129)+N($H129)-N($I129),2))</f>
        <v/>
      </c>
      <c r="K129" s="70" t="str">
        <f aca="false">IF($B129="","",ROUND(N($F129)-N($J129),2))</f>
        <v/>
      </c>
      <c r="L129" s="40" t="str">
        <f aca="false">IF($B129="","",IF(ROUND(N($K129),2)&gt;0,"对方欠款",IF(ROUND(N($K129),2)&lt;0,"我方欠款","已两清")))</f>
        <v/>
      </c>
      <c r="M129" s="124"/>
    </row>
    <row r="130" customFormat="false" ht="13.5" hidden="false" customHeight="false" outlineLevel="0" collapsed="false">
      <c r="A130" s="40" t="str">
        <f aca="false">IF($B130="","",ROW()-4)</f>
        <v/>
      </c>
      <c r="B130" s="33" t="str">
        <f aca="false">IFERROR(INDEX(_自动清单!$E$4:$E$253,ROW()-4),"")</f>
        <v/>
      </c>
      <c r="C130" s="123"/>
      <c r="D130" s="70" t="str">
        <f aca="false">IF($B130="","",ROUND(SUMIFS(进销存对接!$G$4:$G$305,进销存对接!$I$4:$I$305,"客户往来",进销存对接!$C$4:$C$305,$B130),2))</f>
        <v/>
      </c>
      <c r="E130" s="70" t="str">
        <f aca="false">IF($B130="","",ROUND(SUMIFS(资金日记账!$H$4:$H$603,资金日记账!$E$4:$E$603,$B130,资金日记账!$K$4:$K$603,"应收账款"),2))</f>
        <v/>
      </c>
      <c r="F130" s="70" t="str">
        <f aca="false">IF($B130="","",ROUND(N($C130)+N($D130)-N($E130),2))</f>
        <v/>
      </c>
      <c r="G130" s="123"/>
      <c r="H130" s="70" t="str">
        <f aca="false">IF($B130="","",ROUND(SUMIFS(进销存对接!$F$4:$F$305,进销存对接!$I$4:$I$305,"客户往来",进销存对接!$C$4:$C$305,$B130)+SUMIFS(记账凭证!$I$4:$I$3609,记账凭证!$J$4:$J$3609,$B130,记账凭证!$E$4:$E$3609,"应付账款"),2))</f>
        <v/>
      </c>
      <c r="I130" s="70" t="str">
        <f aca="false">IF($B130="","",ROUND(SUMIFS(记账凭证!$H$4:$H$3609,记账凭证!$J$4:$J$3609,$B130,记账凭证!$E$4:$E$3609,"应付账款"),2))</f>
        <v/>
      </c>
      <c r="J130" s="70" t="str">
        <f aca="false">IF($B130="","",ROUND(N($G130)+N($H130)-N($I130),2))</f>
        <v/>
      </c>
      <c r="K130" s="70" t="str">
        <f aca="false">IF($B130="","",ROUND(N($F130)-N($J130),2))</f>
        <v/>
      </c>
      <c r="L130" s="40" t="str">
        <f aca="false">IF($B130="","",IF(ROUND(N($K130),2)&gt;0,"对方欠款",IF(ROUND(N($K130),2)&lt;0,"我方欠款","已两清")))</f>
        <v/>
      </c>
      <c r="M130" s="124"/>
    </row>
    <row r="131" customFormat="false" ht="13.5" hidden="false" customHeight="false" outlineLevel="0" collapsed="false">
      <c r="A131" s="40" t="str">
        <f aca="false">IF($B131="","",ROW()-4)</f>
        <v/>
      </c>
      <c r="B131" s="33" t="str">
        <f aca="false">IFERROR(INDEX(_自动清单!$E$4:$E$253,ROW()-4),"")</f>
        <v/>
      </c>
      <c r="C131" s="123"/>
      <c r="D131" s="70" t="str">
        <f aca="false">IF($B131="","",ROUND(SUMIFS(进销存对接!$G$4:$G$305,进销存对接!$I$4:$I$305,"客户往来",进销存对接!$C$4:$C$305,$B131),2))</f>
        <v/>
      </c>
      <c r="E131" s="70" t="str">
        <f aca="false">IF($B131="","",ROUND(SUMIFS(资金日记账!$H$4:$H$603,资金日记账!$E$4:$E$603,$B131,资金日记账!$K$4:$K$603,"应收账款"),2))</f>
        <v/>
      </c>
      <c r="F131" s="70" t="str">
        <f aca="false">IF($B131="","",ROUND(N($C131)+N($D131)-N($E131),2))</f>
        <v/>
      </c>
      <c r="G131" s="123"/>
      <c r="H131" s="70" t="str">
        <f aca="false">IF($B131="","",ROUND(SUMIFS(进销存对接!$F$4:$F$305,进销存对接!$I$4:$I$305,"客户往来",进销存对接!$C$4:$C$305,$B131)+SUMIFS(记账凭证!$I$4:$I$3609,记账凭证!$J$4:$J$3609,$B131,记账凭证!$E$4:$E$3609,"应付账款"),2))</f>
        <v/>
      </c>
      <c r="I131" s="70" t="str">
        <f aca="false">IF($B131="","",ROUND(SUMIFS(记账凭证!$H$4:$H$3609,记账凭证!$J$4:$J$3609,$B131,记账凭证!$E$4:$E$3609,"应付账款"),2))</f>
        <v/>
      </c>
      <c r="J131" s="70" t="str">
        <f aca="false">IF($B131="","",ROUND(N($G131)+N($H131)-N($I131),2))</f>
        <v/>
      </c>
      <c r="K131" s="70" t="str">
        <f aca="false">IF($B131="","",ROUND(N($F131)-N($J131),2))</f>
        <v/>
      </c>
      <c r="L131" s="40" t="str">
        <f aca="false">IF($B131="","",IF(ROUND(N($K131),2)&gt;0,"对方欠款",IF(ROUND(N($K131),2)&lt;0,"我方欠款","已两清")))</f>
        <v/>
      </c>
      <c r="M131" s="124"/>
    </row>
    <row r="132" customFormat="false" ht="13.5" hidden="false" customHeight="false" outlineLevel="0" collapsed="false">
      <c r="A132" s="40" t="str">
        <f aca="false">IF($B132="","",ROW()-4)</f>
        <v/>
      </c>
      <c r="B132" s="33" t="str">
        <f aca="false">IFERROR(INDEX(_自动清单!$E$4:$E$253,ROW()-4),"")</f>
        <v/>
      </c>
      <c r="C132" s="123"/>
      <c r="D132" s="70" t="str">
        <f aca="false">IF($B132="","",ROUND(SUMIFS(进销存对接!$G$4:$G$305,进销存对接!$I$4:$I$305,"客户往来",进销存对接!$C$4:$C$305,$B132),2))</f>
        <v/>
      </c>
      <c r="E132" s="70" t="str">
        <f aca="false">IF($B132="","",ROUND(SUMIFS(资金日记账!$H$4:$H$603,资金日记账!$E$4:$E$603,$B132,资金日记账!$K$4:$K$603,"应收账款"),2))</f>
        <v/>
      </c>
      <c r="F132" s="70" t="str">
        <f aca="false">IF($B132="","",ROUND(N($C132)+N($D132)-N($E132),2))</f>
        <v/>
      </c>
      <c r="G132" s="123"/>
      <c r="H132" s="70" t="str">
        <f aca="false">IF($B132="","",ROUND(SUMIFS(进销存对接!$F$4:$F$305,进销存对接!$I$4:$I$305,"客户往来",进销存对接!$C$4:$C$305,$B132)+SUMIFS(记账凭证!$I$4:$I$3609,记账凭证!$J$4:$J$3609,$B132,记账凭证!$E$4:$E$3609,"应付账款"),2))</f>
        <v/>
      </c>
      <c r="I132" s="70" t="str">
        <f aca="false">IF($B132="","",ROUND(SUMIFS(记账凭证!$H$4:$H$3609,记账凭证!$J$4:$J$3609,$B132,记账凭证!$E$4:$E$3609,"应付账款"),2))</f>
        <v/>
      </c>
      <c r="J132" s="70" t="str">
        <f aca="false">IF($B132="","",ROUND(N($G132)+N($H132)-N($I132),2))</f>
        <v/>
      </c>
      <c r="K132" s="70" t="str">
        <f aca="false">IF($B132="","",ROUND(N($F132)-N($J132),2))</f>
        <v/>
      </c>
      <c r="L132" s="40" t="str">
        <f aca="false">IF($B132="","",IF(ROUND(N($K132),2)&gt;0,"对方欠款",IF(ROUND(N($K132),2)&lt;0,"我方欠款","已两清")))</f>
        <v/>
      </c>
      <c r="M132" s="124"/>
    </row>
    <row r="133" customFormat="false" ht="13.5" hidden="false" customHeight="false" outlineLevel="0" collapsed="false">
      <c r="A133" s="40" t="str">
        <f aca="false">IF($B133="","",ROW()-4)</f>
        <v/>
      </c>
      <c r="B133" s="33" t="str">
        <f aca="false">IFERROR(INDEX(_自动清单!$E$4:$E$253,ROW()-4),"")</f>
        <v/>
      </c>
      <c r="C133" s="123"/>
      <c r="D133" s="70" t="str">
        <f aca="false">IF($B133="","",ROUND(SUMIFS(进销存对接!$G$4:$G$305,进销存对接!$I$4:$I$305,"客户往来",进销存对接!$C$4:$C$305,$B133),2))</f>
        <v/>
      </c>
      <c r="E133" s="70" t="str">
        <f aca="false">IF($B133="","",ROUND(SUMIFS(资金日记账!$H$4:$H$603,资金日记账!$E$4:$E$603,$B133,资金日记账!$K$4:$K$603,"应收账款"),2))</f>
        <v/>
      </c>
      <c r="F133" s="70" t="str">
        <f aca="false">IF($B133="","",ROUND(N($C133)+N($D133)-N($E133),2))</f>
        <v/>
      </c>
      <c r="G133" s="123"/>
      <c r="H133" s="70" t="str">
        <f aca="false">IF($B133="","",ROUND(SUMIFS(进销存对接!$F$4:$F$305,进销存对接!$I$4:$I$305,"客户往来",进销存对接!$C$4:$C$305,$B133)+SUMIFS(记账凭证!$I$4:$I$3609,记账凭证!$J$4:$J$3609,$B133,记账凭证!$E$4:$E$3609,"应付账款"),2))</f>
        <v/>
      </c>
      <c r="I133" s="70" t="str">
        <f aca="false">IF($B133="","",ROUND(SUMIFS(记账凭证!$H$4:$H$3609,记账凭证!$J$4:$J$3609,$B133,记账凭证!$E$4:$E$3609,"应付账款"),2))</f>
        <v/>
      </c>
      <c r="J133" s="70" t="str">
        <f aca="false">IF($B133="","",ROUND(N($G133)+N($H133)-N($I133),2))</f>
        <v/>
      </c>
      <c r="K133" s="70" t="str">
        <f aca="false">IF($B133="","",ROUND(N($F133)-N($J133),2))</f>
        <v/>
      </c>
      <c r="L133" s="40" t="str">
        <f aca="false">IF($B133="","",IF(ROUND(N($K133),2)&gt;0,"对方欠款",IF(ROUND(N($K133),2)&lt;0,"我方欠款","已两清")))</f>
        <v/>
      </c>
      <c r="M133" s="124"/>
    </row>
    <row r="134" customFormat="false" ht="13.5" hidden="false" customHeight="false" outlineLevel="0" collapsed="false">
      <c r="A134" s="40" t="str">
        <f aca="false">IF($B134="","",ROW()-4)</f>
        <v/>
      </c>
      <c r="B134" s="33" t="str">
        <f aca="false">IFERROR(INDEX(_自动清单!$E$4:$E$253,ROW()-4),"")</f>
        <v/>
      </c>
      <c r="C134" s="123"/>
      <c r="D134" s="70" t="str">
        <f aca="false">IF($B134="","",ROUND(SUMIFS(进销存对接!$G$4:$G$305,进销存对接!$I$4:$I$305,"客户往来",进销存对接!$C$4:$C$305,$B134),2))</f>
        <v/>
      </c>
      <c r="E134" s="70" t="str">
        <f aca="false">IF($B134="","",ROUND(SUMIFS(资金日记账!$H$4:$H$603,资金日记账!$E$4:$E$603,$B134,资金日记账!$K$4:$K$603,"应收账款"),2))</f>
        <v/>
      </c>
      <c r="F134" s="70" t="str">
        <f aca="false">IF($B134="","",ROUND(N($C134)+N($D134)-N($E134),2))</f>
        <v/>
      </c>
      <c r="G134" s="123"/>
      <c r="H134" s="70" t="str">
        <f aca="false">IF($B134="","",ROUND(SUMIFS(进销存对接!$F$4:$F$305,进销存对接!$I$4:$I$305,"客户往来",进销存对接!$C$4:$C$305,$B134)+SUMIFS(记账凭证!$I$4:$I$3609,记账凭证!$J$4:$J$3609,$B134,记账凭证!$E$4:$E$3609,"应付账款"),2))</f>
        <v/>
      </c>
      <c r="I134" s="70" t="str">
        <f aca="false">IF($B134="","",ROUND(SUMIFS(记账凭证!$H$4:$H$3609,记账凭证!$J$4:$J$3609,$B134,记账凭证!$E$4:$E$3609,"应付账款"),2))</f>
        <v/>
      </c>
      <c r="J134" s="70" t="str">
        <f aca="false">IF($B134="","",ROUND(N($G134)+N($H134)-N($I134),2))</f>
        <v/>
      </c>
      <c r="K134" s="70" t="str">
        <f aca="false">IF($B134="","",ROUND(N($F134)-N($J134),2))</f>
        <v/>
      </c>
      <c r="L134" s="40" t="str">
        <f aca="false">IF($B134="","",IF(ROUND(N($K134),2)&gt;0,"对方欠款",IF(ROUND(N($K134),2)&lt;0,"我方欠款","已两清")))</f>
        <v/>
      </c>
      <c r="M134" s="124"/>
    </row>
    <row r="135" customFormat="false" ht="13.5" hidden="false" customHeight="false" outlineLevel="0" collapsed="false">
      <c r="A135" s="40" t="str">
        <f aca="false">IF($B135="","",ROW()-4)</f>
        <v/>
      </c>
      <c r="B135" s="33" t="str">
        <f aca="false">IFERROR(INDEX(_自动清单!$E$4:$E$253,ROW()-4),"")</f>
        <v/>
      </c>
      <c r="C135" s="123"/>
      <c r="D135" s="70" t="str">
        <f aca="false">IF($B135="","",ROUND(SUMIFS(进销存对接!$G$4:$G$305,进销存对接!$I$4:$I$305,"客户往来",进销存对接!$C$4:$C$305,$B135),2))</f>
        <v/>
      </c>
      <c r="E135" s="70" t="str">
        <f aca="false">IF($B135="","",ROUND(SUMIFS(资金日记账!$H$4:$H$603,资金日记账!$E$4:$E$603,$B135,资金日记账!$K$4:$K$603,"应收账款"),2))</f>
        <v/>
      </c>
      <c r="F135" s="70" t="str">
        <f aca="false">IF($B135="","",ROUND(N($C135)+N($D135)-N($E135),2))</f>
        <v/>
      </c>
      <c r="G135" s="123"/>
      <c r="H135" s="70" t="str">
        <f aca="false">IF($B135="","",ROUND(SUMIFS(进销存对接!$F$4:$F$305,进销存对接!$I$4:$I$305,"客户往来",进销存对接!$C$4:$C$305,$B135)+SUMIFS(记账凭证!$I$4:$I$3609,记账凭证!$J$4:$J$3609,$B135,记账凭证!$E$4:$E$3609,"应付账款"),2))</f>
        <v/>
      </c>
      <c r="I135" s="70" t="str">
        <f aca="false">IF($B135="","",ROUND(SUMIFS(记账凭证!$H$4:$H$3609,记账凭证!$J$4:$J$3609,$B135,记账凭证!$E$4:$E$3609,"应付账款"),2))</f>
        <v/>
      </c>
      <c r="J135" s="70" t="str">
        <f aca="false">IF($B135="","",ROUND(N($G135)+N($H135)-N($I135),2))</f>
        <v/>
      </c>
      <c r="K135" s="70" t="str">
        <f aca="false">IF($B135="","",ROUND(N($F135)-N($J135),2))</f>
        <v/>
      </c>
      <c r="L135" s="40" t="str">
        <f aca="false">IF($B135="","",IF(ROUND(N($K135),2)&gt;0,"对方欠款",IF(ROUND(N($K135),2)&lt;0,"我方欠款","已两清")))</f>
        <v/>
      </c>
      <c r="M135" s="124"/>
    </row>
    <row r="136" customFormat="false" ht="13.5" hidden="false" customHeight="false" outlineLevel="0" collapsed="false">
      <c r="A136" s="40" t="str">
        <f aca="false">IF($B136="","",ROW()-4)</f>
        <v/>
      </c>
      <c r="B136" s="33" t="str">
        <f aca="false">IFERROR(INDEX(_自动清单!$E$4:$E$253,ROW()-4),"")</f>
        <v/>
      </c>
      <c r="C136" s="123"/>
      <c r="D136" s="70" t="str">
        <f aca="false">IF($B136="","",ROUND(SUMIFS(进销存对接!$G$4:$G$305,进销存对接!$I$4:$I$305,"客户往来",进销存对接!$C$4:$C$305,$B136),2))</f>
        <v/>
      </c>
      <c r="E136" s="70" t="str">
        <f aca="false">IF($B136="","",ROUND(SUMIFS(资金日记账!$H$4:$H$603,资金日记账!$E$4:$E$603,$B136,资金日记账!$K$4:$K$603,"应收账款"),2))</f>
        <v/>
      </c>
      <c r="F136" s="70" t="str">
        <f aca="false">IF($B136="","",ROUND(N($C136)+N($D136)-N($E136),2))</f>
        <v/>
      </c>
      <c r="G136" s="123"/>
      <c r="H136" s="70" t="str">
        <f aca="false">IF($B136="","",ROUND(SUMIFS(进销存对接!$F$4:$F$305,进销存对接!$I$4:$I$305,"客户往来",进销存对接!$C$4:$C$305,$B136)+SUMIFS(记账凭证!$I$4:$I$3609,记账凭证!$J$4:$J$3609,$B136,记账凭证!$E$4:$E$3609,"应付账款"),2))</f>
        <v/>
      </c>
      <c r="I136" s="70" t="str">
        <f aca="false">IF($B136="","",ROUND(SUMIFS(记账凭证!$H$4:$H$3609,记账凭证!$J$4:$J$3609,$B136,记账凭证!$E$4:$E$3609,"应付账款"),2))</f>
        <v/>
      </c>
      <c r="J136" s="70" t="str">
        <f aca="false">IF($B136="","",ROUND(N($G136)+N($H136)-N($I136),2))</f>
        <v/>
      </c>
      <c r="K136" s="70" t="str">
        <f aca="false">IF($B136="","",ROUND(N($F136)-N($J136),2))</f>
        <v/>
      </c>
      <c r="L136" s="40" t="str">
        <f aca="false">IF($B136="","",IF(ROUND(N($K136),2)&gt;0,"对方欠款",IF(ROUND(N($K136),2)&lt;0,"我方欠款","已两清")))</f>
        <v/>
      </c>
      <c r="M136" s="124"/>
    </row>
    <row r="137" customFormat="false" ht="13.5" hidden="false" customHeight="false" outlineLevel="0" collapsed="false">
      <c r="A137" s="40" t="str">
        <f aca="false">IF($B137="","",ROW()-4)</f>
        <v/>
      </c>
      <c r="B137" s="33" t="str">
        <f aca="false">IFERROR(INDEX(_自动清单!$E$4:$E$253,ROW()-4),"")</f>
        <v/>
      </c>
      <c r="C137" s="123"/>
      <c r="D137" s="70" t="str">
        <f aca="false">IF($B137="","",ROUND(SUMIFS(进销存对接!$G$4:$G$305,进销存对接!$I$4:$I$305,"客户往来",进销存对接!$C$4:$C$305,$B137),2))</f>
        <v/>
      </c>
      <c r="E137" s="70" t="str">
        <f aca="false">IF($B137="","",ROUND(SUMIFS(资金日记账!$H$4:$H$603,资金日记账!$E$4:$E$603,$B137,资金日记账!$K$4:$K$603,"应收账款"),2))</f>
        <v/>
      </c>
      <c r="F137" s="70" t="str">
        <f aca="false">IF($B137="","",ROUND(N($C137)+N($D137)-N($E137),2))</f>
        <v/>
      </c>
      <c r="G137" s="123"/>
      <c r="H137" s="70" t="str">
        <f aca="false">IF($B137="","",ROUND(SUMIFS(进销存对接!$F$4:$F$305,进销存对接!$I$4:$I$305,"客户往来",进销存对接!$C$4:$C$305,$B137)+SUMIFS(记账凭证!$I$4:$I$3609,记账凭证!$J$4:$J$3609,$B137,记账凭证!$E$4:$E$3609,"应付账款"),2))</f>
        <v/>
      </c>
      <c r="I137" s="70" t="str">
        <f aca="false">IF($B137="","",ROUND(SUMIFS(记账凭证!$H$4:$H$3609,记账凭证!$J$4:$J$3609,$B137,记账凭证!$E$4:$E$3609,"应付账款"),2))</f>
        <v/>
      </c>
      <c r="J137" s="70" t="str">
        <f aca="false">IF($B137="","",ROUND(N($G137)+N($H137)-N($I137),2))</f>
        <v/>
      </c>
      <c r="K137" s="70" t="str">
        <f aca="false">IF($B137="","",ROUND(N($F137)-N($J137),2))</f>
        <v/>
      </c>
      <c r="L137" s="40" t="str">
        <f aca="false">IF($B137="","",IF(ROUND(N($K137),2)&gt;0,"对方欠款",IF(ROUND(N($K137),2)&lt;0,"我方欠款","已两清")))</f>
        <v/>
      </c>
      <c r="M137" s="124"/>
    </row>
    <row r="138" customFormat="false" ht="13.5" hidden="false" customHeight="false" outlineLevel="0" collapsed="false">
      <c r="A138" s="40" t="str">
        <f aca="false">IF($B138="","",ROW()-4)</f>
        <v/>
      </c>
      <c r="B138" s="33" t="str">
        <f aca="false">IFERROR(INDEX(_自动清单!$E$4:$E$253,ROW()-4),"")</f>
        <v/>
      </c>
      <c r="C138" s="123"/>
      <c r="D138" s="70" t="str">
        <f aca="false">IF($B138="","",ROUND(SUMIFS(进销存对接!$G$4:$G$305,进销存对接!$I$4:$I$305,"客户往来",进销存对接!$C$4:$C$305,$B138),2))</f>
        <v/>
      </c>
      <c r="E138" s="70" t="str">
        <f aca="false">IF($B138="","",ROUND(SUMIFS(资金日记账!$H$4:$H$603,资金日记账!$E$4:$E$603,$B138,资金日记账!$K$4:$K$603,"应收账款"),2))</f>
        <v/>
      </c>
      <c r="F138" s="70" t="str">
        <f aca="false">IF($B138="","",ROUND(N($C138)+N($D138)-N($E138),2))</f>
        <v/>
      </c>
      <c r="G138" s="123"/>
      <c r="H138" s="70" t="str">
        <f aca="false">IF($B138="","",ROUND(SUMIFS(进销存对接!$F$4:$F$305,进销存对接!$I$4:$I$305,"客户往来",进销存对接!$C$4:$C$305,$B138)+SUMIFS(记账凭证!$I$4:$I$3609,记账凭证!$J$4:$J$3609,$B138,记账凭证!$E$4:$E$3609,"应付账款"),2))</f>
        <v/>
      </c>
      <c r="I138" s="70" t="str">
        <f aca="false">IF($B138="","",ROUND(SUMIFS(记账凭证!$H$4:$H$3609,记账凭证!$J$4:$J$3609,$B138,记账凭证!$E$4:$E$3609,"应付账款"),2))</f>
        <v/>
      </c>
      <c r="J138" s="70" t="str">
        <f aca="false">IF($B138="","",ROUND(N($G138)+N($H138)-N($I138),2))</f>
        <v/>
      </c>
      <c r="K138" s="70" t="str">
        <f aca="false">IF($B138="","",ROUND(N($F138)-N($J138),2))</f>
        <v/>
      </c>
      <c r="L138" s="40" t="str">
        <f aca="false">IF($B138="","",IF(ROUND(N($K138),2)&gt;0,"对方欠款",IF(ROUND(N($K138),2)&lt;0,"我方欠款","已两清")))</f>
        <v/>
      </c>
      <c r="M138" s="124"/>
    </row>
    <row r="139" customFormat="false" ht="13.5" hidden="false" customHeight="false" outlineLevel="0" collapsed="false">
      <c r="A139" s="40" t="str">
        <f aca="false">IF($B139="","",ROW()-4)</f>
        <v/>
      </c>
      <c r="B139" s="33" t="str">
        <f aca="false">IFERROR(INDEX(_自动清单!$E$4:$E$253,ROW()-4),"")</f>
        <v/>
      </c>
      <c r="C139" s="123"/>
      <c r="D139" s="70" t="str">
        <f aca="false">IF($B139="","",ROUND(SUMIFS(进销存对接!$G$4:$G$305,进销存对接!$I$4:$I$305,"客户往来",进销存对接!$C$4:$C$305,$B139),2))</f>
        <v/>
      </c>
      <c r="E139" s="70" t="str">
        <f aca="false">IF($B139="","",ROUND(SUMIFS(资金日记账!$H$4:$H$603,资金日记账!$E$4:$E$603,$B139,资金日记账!$K$4:$K$603,"应收账款"),2))</f>
        <v/>
      </c>
      <c r="F139" s="70" t="str">
        <f aca="false">IF($B139="","",ROUND(N($C139)+N($D139)-N($E139),2))</f>
        <v/>
      </c>
      <c r="G139" s="123"/>
      <c r="H139" s="70" t="str">
        <f aca="false">IF($B139="","",ROUND(SUMIFS(进销存对接!$F$4:$F$305,进销存对接!$I$4:$I$305,"客户往来",进销存对接!$C$4:$C$305,$B139)+SUMIFS(记账凭证!$I$4:$I$3609,记账凭证!$J$4:$J$3609,$B139,记账凭证!$E$4:$E$3609,"应付账款"),2))</f>
        <v/>
      </c>
      <c r="I139" s="70" t="str">
        <f aca="false">IF($B139="","",ROUND(SUMIFS(记账凭证!$H$4:$H$3609,记账凭证!$J$4:$J$3609,$B139,记账凭证!$E$4:$E$3609,"应付账款"),2))</f>
        <v/>
      </c>
      <c r="J139" s="70" t="str">
        <f aca="false">IF($B139="","",ROUND(N($G139)+N($H139)-N($I139),2))</f>
        <v/>
      </c>
      <c r="K139" s="70" t="str">
        <f aca="false">IF($B139="","",ROUND(N($F139)-N($J139),2))</f>
        <v/>
      </c>
      <c r="L139" s="40" t="str">
        <f aca="false">IF($B139="","",IF(ROUND(N($K139),2)&gt;0,"对方欠款",IF(ROUND(N($K139),2)&lt;0,"我方欠款","已两清")))</f>
        <v/>
      </c>
      <c r="M139" s="124"/>
    </row>
    <row r="140" customFormat="false" ht="13.5" hidden="false" customHeight="false" outlineLevel="0" collapsed="false">
      <c r="A140" s="40" t="str">
        <f aca="false">IF($B140="","",ROW()-4)</f>
        <v/>
      </c>
      <c r="B140" s="33" t="str">
        <f aca="false">IFERROR(INDEX(_自动清单!$E$4:$E$253,ROW()-4),"")</f>
        <v/>
      </c>
      <c r="C140" s="123"/>
      <c r="D140" s="70" t="str">
        <f aca="false">IF($B140="","",ROUND(SUMIFS(进销存对接!$G$4:$G$305,进销存对接!$I$4:$I$305,"客户往来",进销存对接!$C$4:$C$305,$B140),2))</f>
        <v/>
      </c>
      <c r="E140" s="70" t="str">
        <f aca="false">IF($B140="","",ROUND(SUMIFS(资金日记账!$H$4:$H$603,资金日记账!$E$4:$E$603,$B140,资金日记账!$K$4:$K$603,"应收账款"),2))</f>
        <v/>
      </c>
      <c r="F140" s="70" t="str">
        <f aca="false">IF($B140="","",ROUND(N($C140)+N($D140)-N($E140),2))</f>
        <v/>
      </c>
      <c r="G140" s="123"/>
      <c r="H140" s="70" t="str">
        <f aca="false">IF($B140="","",ROUND(SUMIFS(进销存对接!$F$4:$F$305,进销存对接!$I$4:$I$305,"客户往来",进销存对接!$C$4:$C$305,$B140)+SUMIFS(记账凭证!$I$4:$I$3609,记账凭证!$J$4:$J$3609,$B140,记账凭证!$E$4:$E$3609,"应付账款"),2))</f>
        <v/>
      </c>
      <c r="I140" s="70" t="str">
        <f aca="false">IF($B140="","",ROUND(SUMIFS(记账凭证!$H$4:$H$3609,记账凭证!$J$4:$J$3609,$B140,记账凭证!$E$4:$E$3609,"应付账款"),2))</f>
        <v/>
      </c>
      <c r="J140" s="70" t="str">
        <f aca="false">IF($B140="","",ROUND(N($G140)+N($H140)-N($I140),2))</f>
        <v/>
      </c>
      <c r="K140" s="70" t="str">
        <f aca="false">IF($B140="","",ROUND(N($F140)-N($J140),2))</f>
        <v/>
      </c>
      <c r="L140" s="40" t="str">
        <f aca="false">IF($B140="","",IF(ROUND(N($K140),2)&gt;0,"对方欠款",IF(ROUND(N($K140),2)&lt;0,"我方欠款","已两清")))</f>
        <v/>
      </c>
      <c r="M140" s="124"/>
    </row>
    <row r="141" customFormat="false" ht="13.5" hidden="false" customHeight="false" outlineLevel="0" collapsed="false">
      <c r="A141" s="40" t="str">
        <f aca="false">IF($B141="","",ROW()-4)</f>
        <v/>
      </c>
      <c r="B141" s="33" t="str">
        <f aca="false">IFERROR(INDEX(_自动清单!$E$4:$E$253,ROW()-4),"")</f>
        <v/>
      </c>
      <c r="C141" s="123"/>
      <c r="D141" s="70" t="str">
        <f aca="false">IF($B141="","",ROUND(SUMIFS(进销存对接!$G$4:$G$305,进销存对接!$I$4:$I$305,"客户往来",进销存对接!$C$4:$C$305,$B141),2))</f>
        <v/>
      </c>
      <c r="E141" s="70" t="str">
        <f aca="false">IF($B141="","",ROUND(SUMIFS(资金日记账!$H$4:$H$603,资金日记账!$E$4:$E$603,$B141,资金日记账!$K$4:$K$603,"应收账款"),2))</f>
        <v/>
      </c>
      <c r="F141" s="70" t="str">
        <f aca="false">IF($B141="","",ROUND(N($C141)+N($D141)-N($E141),2))</f>
        <v/>
      </c>
      <c r="G141" s="123"/>
      <c r="H141" s="70" t="str">
        <f aca="false">IF($B141="","",ROUND(SUMIFS(进销存对接!$F$4:$F$305,进销存对接!$I$4:$I$305,"客户往来",进销存对接!$C$4:$C$305,$B141)+SUMIFS(记账凭证!$I$4:$I$3609,记账凭证!$J$4:$J$3609,$B141,记账凭证!$E$4:$E$3609,"应付账款"),2))</f>
        <v/>
      </c>
      <c r="I141" s="70" t="str">
        <f aca="false">IF($B141="","",ROUND(SUMIFS(记账凭证!$H$4:$H$3609,记账凭证!$J$4:$J$3609,$B141,记账凭证!$E$4:$E$3609,"应付账款"),2))</f>
        <v/>
      </c>
      <c r="J141" s="70" t="str">
        <f aca="false">IF($B141="","",ROUND(N($G141)+N($H141)-N($I141),2))</f>
        <v/>
      </c>
      <c r="K141" s="70" t="str">
        <f aca="false">IF($B141="","",ROUND(N($F141)-N($J141),2))</f>
        <v/>
      </c>
      <c r="L141" s="40" t="str">
        <f aca="false">IF($B141="","",IF(ROUND(N($K141),2)&gt;0,"对方欠款",IF(ROUND(N($K141),2)&lt;0,"我方欠款","已两清")))</f>
        <v/>
      </c>
      <c r="M141" s="124"/>
    </row>
    <row r="142" customFormat="false" ht="13.5" hidden="false" customHeight="false" outlineLevel="0" collapsed="false">
      <c r="A142" s="40" t="str">
        <f aca="false">IF($B142="","",ROW()-4)</f>
        <v/>
      </c>
      <c r="B142" s="33" t="str">
        <f aca="false">IFERROR(INDEX(_自动清单!$E$4:$E$253,ROW()-4),"")</f>
        <v/>
      </c>
      <c r="C142" s="123"/>
      <c r="D142" s="70" t="str">
        <f aca="false">IF($B142="","",ROUND(SUMIFS(进销存对接!$G$4:$G$305,进销存对接!$I$4:$I$305,"客户往来",进销存对接!$C$4:$C$305,$B142),2))</f>
        <v/>
      </c>
      <c r="E142" s="70" t="str">
        <f aca="false">IF($B142="","",ROUND(SUMIFS(资金日记账!$H$4:$H$603,资金日记账!$E$4:$E$603,$B142,资金日记账!$K$4:$K$603,"应收账款"),2))</f>
        <v/>
      </c>
      <c r="F142" s="70" t="str">
        <f aca="false">IF($B142="","",ROUND(N($C142)+N($D142)-N($E142),2))</f>
        <v/>
      </c>
      <c r="G142" s="123"/>
      <c r="H142" s="70" t="str">
        <f aca="false">IF($B142="","",ROUND(SUMIFS(进销存对接!$F$4:$F$305,进销存对接!$I$4:$I$305,"客户往来",进销存对接!$C$4:$C$305,$B142)+SUMIFS(记账凭证!$I$4:$I$3609,记账凭证!$J$4:$J$3609,$B142,记账凭证!$E$4:$E$3609,"应付账款"),2))</f>
        <v/>
      </c>
      <c r="I142" s="70" t="str">
        <f aca="false">IF($B142="","",ROUND(SUMIFS(记账凭证!$H$4:$H$3609,记账凭证!$J$4:$J$3609,$B142,记账凭证!$E$4:$E$3609,"应付账款"),2))</f>
        <v/>
      </c>
      <c r="J142" s="70" t="str">
        <f aca="false">IF($B142="","",ROUND(N($G142)+N($H142)-N($I142),2))</f>
        <v/>
      </c>
      <c r="K142" s="70" t="str">
        <f aca="false">IF($B142="","",ROUND(N($F142)-N($J142),2))</f>
        <v/>
      </c>
      <c r="L142" s="40" t="str">
        <f aca="false">IF($B142="","",IF(ROUND(N($K142),2)&gt;0,"对方欠款",IF(ROUND(N($K142),2)&lt;0,"我方欠款","已两清")))</f>
        <v/>
      </c>
      <c r="M142" s="124"/>
    </row>
    <row r="143" customFormat="false" ht="13.5" hidden="false" customHeight="false" outlineLevel="0" collapsed="false">
      <c r="A143" s="40" t="str">
        <f aca="false">IF($B143="","",ROW()-4)</f>
        <v/>
      </c>
      <c r="B143" s="33" t="str">
        <f aca="false">IFERROR(INDEX(_自动清单!$E$4:$E$253,ROW()-4),"")</f>
        <v/>
      </c>
      <c r="C143" s="123"/>
      <c r="D143" s="70" t="str">
        <f aca="false">IF($B143="","",ROUND(SUMIFS(进销存对接!$G$4:$G$305,进销存对接!$I$4:$I$305,"客户往来",进销存对接!$C$4:$C$305,$B143),2))</f>
        <v/>
      </c>
      <c r="E143" s="70" t="str">
        <f aca="false">IF($B143="","",ROUND(SUMIFS(资金日记账!$H$4:$H$603,资金日记账!$E$4:$E$603,$B143,资金日记账!$K$4:$K$603,"应收账款"),2))</f>
        <v/>
      </c>
      <c r="F143" s="70" t="str">
        <f aca="false">IF($B143="","",ROUND(N($C143)+N($D143)-N($E143),2))</f>
        <v/>
      </c>
      <c r="G143" s="123"/>
      <c r="H143" s="70" t="str">
        <f aca="false">IF($B143="","",ROUND(SUMIFS(进销存对接!$F$4:$F$305,进销存对接!$I$4:$I$305,"客户往来",进销存对接!$C$4:$C$305,$B143)+SUMIFS(记账凭证!$I$4:$I$3609,记账凭证!$J$4:$J$3609,$B143,记账凭证!$E$4:$E$3609,"应付账款"),2))</f>
        <v/>
      </c>
      <c r="I143" s="70" t="str">
        <f aca="false">IF($B143="","",ROUND(SUMIFS(记账凭证!$H$4:$H$3609,记账凭证!$J$4:$J$3609,$B143,记账凭证!$E$4:$E$3609,"应付账款"),2))</f>
        <v/>
      </c>
      <c r="J143" s="70" t="str">
        <f aca="false">IF($B143="","",ROUND(N($G143)+N($H143)-N($I143),2))</f>
        <v/>
      </c>
      <c r="K143" s="70" t="str">
        <f aca="false">IF($B143="","",ROUND(N($F143)-N($J143),2))</f>
        <v/>
      </c>
      <c r="L143" s="40" t="str">
        <f aca="false">IF($B143="","",IF(ROUND(N($K143),2)&gt;0,"对方欠款",IF(ROUND(N($K143),2)&lt;0,"我方欠款","已两清")))</f>
        <v/>
      </c>
      <c r="M143" s="124"/>
    </row>
    <row r="144" customFormat="false" ht="13.5" hidden="false" customHeight="false" outlineLevel="0" collapsed="false">
      <c r="A144" s="40" t="str">
        <f aca="false">IF($B144="","",ROW()-4)</f>
        <v/>
      </c>
      <c r="B144" s="33" t="str">
        <f aca="false">IFERROR(INDEX(_自动清单!$E$4:$E$253,ROW()-4),"")</f>
        <v/>
      </c>
      <c r="C144" s="123"/>
      <c r="D144" s="70" t="str">
        <f aca="false">IF($B144="","",ROUND(SUMIFS(进销存对接!$G$4:$G$305,进销存对接!$I$4:$I$305,"客户往来",进销存对接!$C$4:$C$305,$B144),2))</f>
        <v/>
      </c>
      <c r="E144" s="70" t="str">
        <f aca="false">IF($B144="","",ROUND(SUMIFS(资金日记账!$H$4:$H$603,资金日记账!$E$4:$E$603,$B144,资金日记账!$K$4:$K$603,"应收账款"),2))</f>
        <v/>
      </c>
      <c r="F144" s="70" t="str">
        <f aca="false">IF($B144="","",ROUND(N($C144)+N($D144)-N($E144),2))</f>
        <v/>
      </c>
      <c r="G144" s="123"/>
      <c r="H144" s="70" t="str">
        <f aca="false">IF($B144="","",ROUND(SUMIFS(进销存对接!$F$4:$F$305,进销存对接!$I$4:$I$305,"客户往来",进销存对接!$C$4:$C$305,$B144)+SUMIFS(记账凭证!$I$4:$I$3609,记账凭证!$J$4:$J$3609,$B144,记账凭证!$E$4:$E$3609,"应付账款"),2))</f>
        <v/>
      </c>
      <c r="I144" s="70" t="str">
        <f aca="false">IF($B144="","",ROUND(SUMIFS(记账凭证!$H$4:$H$3609,记账凭证!$J$4:$J$3609,$B144,记账凭证!$E$4:$E$3609,"应付账款"),2))</f>
        <v/>
      </c>
      <c r="J144" s="70" t="str">
        <f aca="false">IF($B144="","",ROUND(N($G144)+N($H144)-N($I144),2))</f>
        <v/>
      </c>
      <c r="K144" s="70" t="str">
        <f aca="false">IF($B144="","",ROUND(N($F144)-N($J144),2))</f>
        <v/>
      </c>
      <c r="L144" s="40" t="str">
        <f aca="false">IF($B144="","",IF(ROUND(N($K144),2)&gt;0,"对方欠款",IF(ROUND(N($K144),2)&lt;0,"我方欠款","已两清")))</f>
        <v/>
      </c>
      <c r="M144" s="124"/>
    </row>
    <row r="145" customFormat="false" ht="13.5" hidden="false" customHeight="false" outlineLevel="0" collapsed="false">
      <c r="A145" s="40" t="str">
        <f aca="false">IF($B145="","",ROW()-4)</f>
        <v/>
      </c>
      <c r="B145" s="33" t="str">
        <f aca="false">IFERROR(INDEX(_自动清单!$E$4:$E$253,ROW()-4),"")</f>
        <v/>
      </c>
      <c r="C145" s="123"/>
      <c r="D145" s="70" t="str">
        <f aca="false">IF($B145="","",ROUND(SUMIFS(进销存对接!$G$4:$G$305,进销存对接!$I$4:$I$305,"客户往来",进销存对接!$C$4:$C$305,$B145),2))</f>
        <v/>
      </c>
      <c r="E145" s="70" t="str">
        <f aca="false">IF($B145="","",ROUND(SUMIFS(资金日记账!$H$4:$H$603,资金日记账!$E$4:$E$603,$B145,资金日记账!$K$4:$K$603,"应收账款"),2))</f>
        <v/>
      </c>
      <c r="F145" s="70" t="str">
        <f aca="false">IF($B145="","",ROUND(N($C145)+N($D145)-N($E145),2))</f>
        <v/>
      </c>
      <c r="G145" s="123"/>
      <c r="H145" s="70" t="str">
        <f aca="false">IF($B145="","",ROUND(SUMIFS(进销存对接!$F$4:$F$305,进销存对接!$I$4:$I$305,"客户往来",进销存对接!$C$4:$C$305,$B145)+SUMIFS(记账凭证!$I$4:$I$3609,记账凭证!$J$4:$J$3609,$B145,记账凭证!$E$4:$E$3609,"应付账款"),2))</f>
        <v/>
      </c>
      <c r="I145" s="70" t="str">
        <f aca="false">IF($B145="","",ROUND(SUMIFS(记账凭证!$H$4:$H$3609,记账凭证!$J$4:$J$3609,$B145,记账凭证!$E$4:$E$3609,"应付账款"),2))</f>
        <v/>
      </c>
      <c r="J145" s="70" t="str">
        <f aca="false">IF($B145="","",ROUND(N($G145)+N($H145)-N($I145),2))</f>
        <v/>
      </c>
      <c r="K145" s="70" t="str">
        <f aca="false">IF($B145="","",ROUND(N($F145)-N($J145),2))</f>
        <v/>
      </c>
      <c r="L145" s="40" t="str">
        <f aca="false">IF($B145="","",IF(ROUND(N($K145),2)&gt;0,"对方欠款",IF(ROUND(N($K145),2)&lt;0,"我方欠款","已两清")))</f>
        <v/>
      </c>
      <c r="M145" s="124"/>
    </row>
    <row r="146" customFormat="false" ht="13.5" hidden="false" customHeight="false" outlineLevel="0" collapsed="false">
      <c r="A146" s="40" t="str">
        <f aca="false">IF($B146="","",ROW()-4)</f>
        <v/>
      </c>
      <c r="B146" s="33" t="str">
        <f aca="false">IFERROR(INDEX(_自动清单!$E$4:$E$253,ROW()-4),"")</f>
        <v/>
      </c>
      <c r="C146" s="123"/>
      <c r="D146" s="70" t="str">
        <f aca="false">IF($B146="","",ROUND(SUMIFS(进销存对接!$G$4:$G$305,进销存对接!$I$4:$I$305,"客户往来",进销存对接!$C$4:$C$305,$B146),2))</f>
        <v/>
      </c>
      <c r="E146" s="70" t="str">
        <f aca="false">IF($B146="","",ROUND(SUMIFS(资金日记账!$H$4:$H$603,资金日记账!$E$4:$E$603,$B146,资金日记账!$K$4:$K$603,"应收账款"),2))</f>
        <v/>
      </c>
      <c r="F146" s="70" t="str">
        <f aca="false">IF($B146="","",ROUND(N($C146)+N($D146)-N($E146),2))</f>
        <v/>
      </c>
      <c r="G146" s="123"/>
      <c r="H146" s="70" t="str">
        <f aca="false">IF($B146="","",ROUND(SUMIFS(进销存对接!$F$4:$F$305,进销存对接!$I$4:$I$305,"客户往来",进销存对接!$C$4:$C$305,$B146)+SUMIFS(记账凭证!$I$4:$I$3609,记账凭证!$J$4:$J$3609,$B146,记账凭证!$E$4:$E$3609,"应付账款"),2))</f>
        <v/>
      </c>
      <c r="I146" s="70" t="str">
        <f aca="false">IF($B146="","",ROUND(SUMIFS(记账凭证!$H$4:$H$3609,记账凭证!$J$4:$J$3609,$B146,记账凭证!$E$4:$E$3609,"应付账款"),2))</f>
        <v/>
      </c>
      <c r="J146" s="70" t="str">
        <f aca="false">IF($B146="","",ROUND(N($G146)+N($H146)-N($I146),2))</f>
        <v/>
      </c>
      <c r="K146" s="70" t="str">
        <f aca="false">IF($B146="","",ROUND(N($F146)-N($J146),2))</f>
        <v/>
      </c>
      <c r="L146" s="40" t="str">
        <f aca="false">IF($B146="","",IF(ROUND(N($K146),2)&gt;0,"对方欠款",IF(ROUND(N($K146),2)&lt;0,"我方欠款","已两清")))</f>
        <v/>
      </c>
      <c r="M146" s="124"/>
    </row>
    <row r="147" customFormat="false" ht="13.5" hidden="false" customHeight="false" outlineLevel="0" collapsed="false">
      <c r="A147" s="40" t="str">
        <f aca="false">IF($B147="","",ROW()-4)</f>
        <v/>
      </c>
      <c r="B147" s="33" t="str">
        <f aca="false">IFERROR(INDEX(_自动清单!$E$4:$E$253,ROW()-4),"")</f>
        <v/>
      </c>
      <c r="C147" s="123"/>
      <c r="D147" s="70" t="str">
        <f aca="false">IF($B147="","",ROUND(SUMIFS(进销存对接!$G$4:$G$305,进销存对接!$I$4:$I$305,"客户往来",进销存对接!$C$4:$C$305,$B147),2))</f>
        <v/>
      </c>
      <c r="E147" s="70" t="str">
        <f aca="false">IF($B147="","",ROUND(SUMIFS(资金日记账!$H$4:$H$603,资金日记账!$E$4:$E$603,$B147,资金日记账!$K$4:$K$603,"应收账款"),2))</f>
        <v/>
      </c>
      <c r="F147" s="70" t="str">
        <f aca="false">IF($B147="","",ROUND(N($C147)+N($D147)-N($E147),2))</f>
        <v/>
      </c>
      <c r="G147" s="123"/>
      <c r="H147" s="70" t="str">
        <f aca="false">IF($B147="","",ROUND(SUMIFS(进销存对接!$F$4:$F$305,进销存对接!$I$4:$I$305,"客户往来",进销存对接!$C$4:$C$305,$B147)+SUMIFS(记账凭证!$I$4:$I$3609,记账凭证!$J$4:$J$3609,$B147,记账凭证!$E$4:$E$3609,"应付账款"),2))</f>
        <v/>
      </c>
      <c r="I147" s="70" t="str">
        <f aca="false">IF($B147="","",ROUND(SUMIFS(记账凭证!$H$4:$H$3609,记账凭证!$J$4:$J$3609,$B147,记账凭证!$E$4:$E$3609,"应付账款"),2))</f>
        <v/>
      </c>
      <c r="J147" s="70" t="str">
        <f aca="false">IF($B147="","",ROUND(N($G147)+N($H147)-N($I147),2))</f>
        <v/>
      </c>
      <c r="K147" s="70" t="str">
        <f aca="false">IF($B147="","",ROUND(N($F147)-N($J147),2))</f>
        <v/>
      </c>
      <c r="L147" s="40" t="str">
        <f aca="false">IF($B147="","",IF(ROUND(N($K147),2)&gt;0,"对方欠款",IF(ROUND(N($K147),2)&lt;0,"我方欠款","已两清")))</f>
        <v/>
      </c>
      <c r="M147" s="124"/>
    </row>
    <row r="148" customFormat="false" ht="13.5" hidden="false" customHeight="false" outlineLevel="0" collapsed="false">
      <c r="A148" s="40" t="str">
        <f aca="false">IF($B148="","",ROW()-4)</f>
        <v/>
      </c>
      <c r="B148" s="33" t="str">
        <f aca="false">IFERROR(INDEX(_自动清单!$E$4:$E$253,ROW()-4),"")</f>
        <v/>
      </c>
      <c r="C148" s="123"/>
      <c r="D148" s="70" t="str">
        <f aca="false">IF($B148="","",ROUND(SUMIFS(进销存对接!$G$4:$G$305,进销存对接!$I$4:$I$305,"客户往来",进销存对接!$C$4:$C$305,$B148),2))</f>
        <v/>
      </c>
      <c r="E148" s="70" t="str">
        <f aca="false">IF($B148="","",ROUND(SUMIFS(资金日记账!$H$4:$H$603,资金日记账!$E$4:$E$603,$B148,资金日记账!$K$4:$K$603,"应收账款"),2))</f>
        <v/>
      </c>
      <c r="F148" s="70" t="str">
        <f aca="false">IF($B148="","",ROUND(N($C148)+N($D148)-N($E148),2))</f>
        <v/>
      </c>
      <c r="G148" s="123"/>
      <c r="H148" s="70" t="str">
        <f aca="false">IF($B148="","",ROUND(SUMIFS(进销存对接!$F$4:$F$305,进销存对接!$I$4:$I$305,"客户往来",进销存对接!$C$4:$C$305,$B148)+SUMIFS(记账凭证!$I$4:$I$3609,记账凭证!$J$4:$J$3609,$B148,记账凭证!$E$4:$E$3609,"应付账款"),2))</f>
        <v/>
      </c>
      <c r="I148" s="70" t="str">
        <f aca="false">IF($B148="","",ROUND(SUMIFS(记账凭证!$H$4:$H$3609,记账凭证!$J$4:$J$3609,$B148,记账凭证!$E$4:$E$3609,"应付账款"),2))</f>
        <v/>
      </c>
      <c r="J148" s="70" t="str">
        <f aca="false">IF($B148="","",ROUND(N($G148)+N($H148)-N($I148),2))</f>
        <v/>
      </c>
      <c r="K148" s="70" t="str">
        <f aca="false">IF($B148="","",ROUND(N($F148)-N($J148),2))</f>
        <v/>
      </c>
      <c r="L148" s="40" t="str">
        <f aca="false">IF($B148="","",IF(ROUND(N($K148),2)&gt;0,"对方欠款",IF(ROUND(N($K148),2)&lt;0,"我方欠款","已两清")))</f>
        <v/>
      </c>
      <c r="M148" s="124"/>
    </row>
    <row r="149" customFormat="false" ht="13.5" hidden="false" customHeight="false" outlineLevel="0" collapsed="false">
      <c r="A149" s="40" t="str">
        <f aca="false">IF($B149="","",ROW()-4)</f>
        <v/>
      </c>
      <c r="B149" s="33" t="str">
        <f aca="false">IFERROR(INDEX(_自动清单!$E$4:$E$253,ROW()-4),"")</f>
        <v/>
      </c>
      <c r="C149" s="123"/>
      <c r="D149" s="70" t="str">
        <f aca="false">IF($B149="","",ROUND(SUMIFS(进销存对接!$G$4:$G$305,进销存对接!$I$4:$I$305,"客户往来",进销存对接!$C$4:$C$305,$B149),2))</f>
        <v/>
      </c>
      <c r="E149" s="70" t="str">
        <f aca="false">IF($B149="","",ROUND(SUMIFS(资金日记账!$H$4:$H$603,资金日记账!$E$4:$E$603,$B149,资金日记账!$K$4:$K$603,"应收账款"),2))</f>
        <v/>
      </c>
      <c r="F149" s="70" t="str">
        <f aca="false">IF($B149="","",ROUND(N($C149)+N($D149)-N($E149),2))</f>
        <v/>
      </c>
      <c r="G149" s="123"/>
      <c r="H149" s="70" t="str">
        <f aca="false">IF($B149="","",ROUND(SUMIFS(进销存对接!$F$4:$F$305,进销存对接!$I$4:$I$305,"客户往来",进销存对接!$C$4:$C$305,$B149)+SUMIFS(记账凭证!$I$4:$I$3609,记账凭证!$J$4:$J$3609,$B149,记账凭证!$E$4:$E$3609,"应付账款"),2))</f>
        <v/>
      </c>
      <c r="I149" s="70" t="str">
        <f aca="false">IF($B149="","",ROUND(SUMIFS(记账凭证!$H$4:$H$3609,记账凭证!$J$4:$J$3609,$B149,记账凭证!$E$4:$E$3609,"应付账款"),2))</f>
        <v/>
      </c>
      <c r="J149" s="70" t="str">
        <f aca="false">IF($B149="","",ROUND(N($G149)+N($H149)-N($I149),2))</f>
        <v/>
      </c>
      <c r="K149" s="70" t="str">
        <f aca="false">IF($B149="","",ROUND(N($F149)-N($J149),2))</f>
        <v/>
      </c>
      <c r="L149" s="40" t="str">
        <f aca="false">IF($B149="","",IF(ROUND(N($K149),2)&gt;0,"对方欠款",IF(ROUND(N($K149),2)&lt;0,"我方欠款","已两清")))</f>
        <v/>
      </c>
      <c r="M149" s="124"/>
    </row>
    <row r="150" customFormat="false" ht="13.5" hidden="false" customHeight="false" outlineLevel="0" collapsed="false">
      <c r="A150" s="40" t="str">
        <f aca="false">IF($B150="","",ROW()-4)</f>
        <v/>
      </c>
      <c r="B150" s="33" t="str">
        <f aca="false">IFERROR(INDEX(_自动清单!$E$4:$E$253,ROW()-4),"")</f>
        <v/>
      </c>
      <c r="C150" s="123"/>
      <c r="D150" s="70" t="str">
        <f aca="false">IF($B150="","",ROUND(SUMIFS(进销存对接!$G$4:$G$305,进销存对接!$I$4:$I$305,"客户往来",进销存对接!$C$4:$C$305,$B150),2))</f>
        <v/>
      </c>
      <c r="E150" s="70" t="str">
        <f aca="false">IF($B150="","",ROUND(SUMIFS(资金日记账!$H$4:$H$603,资金日记账!$E$4:$E$603,$B150,资金日记账!$K$4:$K$603,"应收账款"),2))</f>
        <v/>
      </c>
      <c r="F150" s="70" t="str">
        <f aca="false">IF($B150="","",ROUND(N($C150)+N($D150)-N($E150),2))</f>
        <v/>
      </c>
      <c r="G150" s="123"/>
      <c r="H150" s="70" t="str">
        <f aca="false">IF($B150="","",ROUND(SUMIFS(进销存对接!$F$4:$F$305,进销存对接!$I$4:$I$305,"客户往来",进销存对接!$C$4:$C$305,$B150)+SUMIFS(记账凭证!$I$4:$I$3609,记账凭证!$J$4:$J$3609,$B150,记账凭证!$E$4:$E$3609,"应付账款"),2))</f>
        <v/>
      </c>
      <c r="I150" s="70" t="str">
        <f aca="false">IF($B150="","",ROUND(SUMIFS(记账凭证!$H$4:$H$3609,记账凭证!$J$4:$J$3609,$B150,记账凭证!$E$4:$E$3609,"应付账款"),2))</f>
        <v/>
      </c>
      <c r="J150" s="70" t="str">
        <f aca="false">IF($B150="","",ROUND(N($G150)+N($H150)-N($I150),2))</f>
        <v/>
      </c>
      <c r="K150" s="70" t="str">
        <f aca="false">IF($B150="","",ROUND(N($F150)-N($J150),2))</f>
        <v/>
      </c>
      <c r="L150" s="40" t="str">
        <f aca="false">IF($B150="","",IF(ROUND(N($K150),2)&gt;0,"对方欠款",IF(ROUND(N($K150),2)&lt;0,"我方欠款","已两清")))</f>
        <v/>
      </c>
      <c r="M150" s="124"/>
    </row>
    <row r="151" customFormat="false" ht="13.5" hidden="false" customHeight="false" outlineLevel="0" collapsed="false">
      <c r="A151" s="40" t="str">
        <f aca="false">IF($B151="","",ROW()-4)</f>
        <v/>
      </c>
      <c r="B151" s="33" t="str">
        <f aca="false">IFERROR(INDEX(_自动清单!$E$4:$E$253,ROW()-4),"")</f>
        <v/>
      </c>
      <c r="C151" s="123"/>
      <c r="D151" s="70" t="str">
        <f aca="false">IF($B151="","",ROUND(SUMIFS(进销存对接!$G$4:$G$305,进销存对接!$I$4:$I$305,"客户往来",进销存对接!$C$4:$C$305,$B151),2))</f>
        <v/>
      </c>
      <c r="E151" s="70" t="str">
        <f aca="false">IF($B151="","",ROUND(SUMIFS(资金日记账!$H$4:$H$603,资金日记账!$E$4:$E$603,$B151,资金日记账!$K$4:$K$603,"应收账款"),2))</f>
        <v/>
      </c>
      <c r="F151" s="70" t="str">
        <f aca="false">IF($B151="","",ROUND(N($C151)+N($D151)-N($E151),2))</f>
        <v/>
      </c>
      <c r="G151" s="123"/>
      <c r="H151" s="70" t="str">
        <f aca="false">IF($B151="","",ROUND(SUMIFS(进销存对接!$F$4:$F$305,进销存对接!$I$4:$I$305,"客户往来",进销存对接!$C$4:$C$305,$B151)+SUMIFS(记账凭证!$I$4:$I$3609,记账凭证!$J$4:$J$3609,$B151,记账凭证!$E$4:$E$3609,"应付账款"),2))</f>
        <v/>
      </c>
      <c r="I151" s="70" t="str">
        <f aca="false">IF($B151="","",ROUND(SUMIFS(记账凭证!$H$4:$H$3609,记账凭证!$J$4:$J$3609,$B151,记账凭证!$E$4:$E$3609,"应付账款"),2))</f>
        <v/>
      </c>
      <c r="J151" s="70" t="str">
        <f aca="false">IF($B151="","",ROUND(N($G151)+N($H151)-N($I151),2))</f>
        <v/>
      </c>
      <c r="K151" s="70" t="str">
        <f aca="false">IF($B151="","",ROUND(N($F151)-N($J151),2))</f>
        <v/>
      </c>
      <c r="L151" s="40" t="str">
        <f aca="false">IF($B151="","",IF(ROUND(N($K151),2)&gt;0,"对方欠款",IF(ROUND(N($K151),2)&lt;0,"我方欠款","已两清")))</f>
        <v/>
      </c>
      <c r="M151" s="124"/>
    </row>
    <row r="152" customFormat="false" ht="13.5" hidden="false" customHeight="false" outlineLevel="0" collapsed="false">
      <c r="A152" s="40" t="str">
        <f aca="false">IF($B152="","",ROW()-4)</f>
        <v/>
      </c>
      <c r="B152" s="33" t="str">
        <f aca="false">IFERROR(INDEX(_自动清单!$E$4:$E$253,ROW()-4),"")</f>
        <v/>
      </c>
      <c r="C152" s="123"/>
      <c r="D152" s="70" t="str">
        <f aca="false">IF($B152="","",ROUND(SUMIFS(进销存对接!$G$4:$G$305,进销存对接!$I$4:$I$305,"客户往来",进销存对接!$C$4:$C$305,$B152),2))</f>
        <v/>
      </c>
      <c r="E152" s="70" t="str">
        <f aca="false">IF($B152="","",ROUND(SUMIFS(资金日记账!$H$4:$H$603,资金日记账!$E$4:$E$603,$B152,资金日记账!$K$4:$K$603,"应收账款"),2))</f>
        <v/>
      </c>
      <c r="F152" s="70" t="str">
        <f aca="false">IF($B152="","",ROUND(N($C152)+N($D152)-N($E152),2))</f>
        <v/>
      </c>
      <c r="G152" s="123"/>
      <c r="H152" s="70" t="str">
        <f aca="false">IF($B152="","",ROUND(SUMIFS(进销存对接!$F$4:$F$305,进销存对接!$I$4:$I$305,"客户往来",进销存对接!$C$4:$C$305,$B152)+SUMIFS(记账凭证!$I$4:$I$3609,记账凭证!$J$4:$J$3609,$B152,记账凭证!$E$4:$E$3609,"应付账款"),2))</f>
        <v/>
      </c>
      <c r="I152" s="70" t="str">
        <f aca="false">IF($B152="","",ROUND(SUMIFS(记账凭证!$H$4:$H$3609,记账凭证!$J$4:$J$3609,$B152,记账凭证!$E$4:$E$3609,"应付账款"),2))</f>
        <v/>
      </c>
      <c r="J152" s="70" t="str">
        <f aca="false">IF($B152="","",ROUND(N($G152)+N($H152)-N($I152),2))</f>
        <v/>
      </c>
      <c r="K152" s="70" t="str">
        <f aca="false">IF($B152="","",ROUND(N($F152)-N($J152),2))</f>
        <v/>
      </c>
      <c r="L152" s="40" t="str">
        <f aca="false">IF($B152="","",IF(ROUND(N($K152),2)&gt;0,"对方欠款",IF(ROUND(N($K152),2)&lt;0,"我方欠款","已两清")))</f>
        <v/>
      </c>
      <c r="M152" s="124"/>
    </row>
    <row r="153" customFormat="false" ht="13.5" hidden="false" customHeight="false" outlineLevel="0" collapsed="false">
      <c r="A153" s="40" t="str">
        <f aca="false">IF($B153="","",ROW()-4)</f>
        <v/>
      </c>
      <c r="B153" s="33" t="str">
        <f aca="false">IFERROR(INDEX(_自动清单!$E$4:$E$253,ROW()-4),"")</f>
        <v/>
      </c>
      <c r="C153" s="123"/>
      <c r="D153" s="70" t="str">
        <f aca="false">IF($B153="","",ROUND(SUMIFS(进销存对接!$G$4:$G$305,进销存对接!$I$4:$I$305,"客户往来",进销存对接!$C$4:$C$305,$B153),2))</f>
        <v/>
      </c>
      <c r="E153" s="70" t="str">
        <f aca="false">IF($B153="","",ROUND(SUMIFS(资金日记账!$H$4:$H$603,资金日记账!$E$4:$E$603,$B153,资金日记账!$K$4:$K$603,"应收账款"),2))</f>
        <v/>
      </c>
      <c r="F153" s="70" t="str">
        <f aca="false">IF($B153="","",ROUND(N($C153)+N($D153)-N($E153),2))</f>
        <v/>
      </c>
      <c r="G153" s="123"/>
      <c r="H153" s="70" t="str">
        <f aca="false">IF($B153="","",ROUND(SUMIFS(进销存对接!$F$4:$F$305,进销存对接!$I$4:$I$305,"客户往来",进销存对接!$C$4:$C$305,$B153)+SUMIFS(记账凭证!$I$4:$I$3609,记账凭证!$J$4:$J$3609,$B153,记账凭证!$E$4:$E$3609,"应付账款"),2))</f>
        <v/>
      </c>
      <c r="I153" s="70" t="str">
        <f aca="false">IF($B153="","",ROUND(SUMIFS(记账凭证!$H$4:$H$3609,记账凭证!$J$4:$J$3609,$B153,记账凭证!$E$4:$E$3609,"应付账款"),2))</f>
        <v/>
      </c>
      <c r="J153" s="70" t="str">
        <f aca="false">IF($B153="","",ROUND(N($G153)+N($H153)-N($I153),2))</f>
        <v/>
      </c>
      <c r="K153" s="70" t="str">
        <f aca="false">IF($B153="","",ROUND(N($F153)-N($J153),2))</f>
        <v/>
      </c>
      <c r="L153" s="40" t="str">
        <f aca="false">IF($B153="","",IF(ROUND(N($K153),2)&gt;0,"对方欠款",IF(ROUND(N($K153),2)&lt;0,"我方欠款","已两清")))</f>
        <v/>
      </c>
      <c r="M153" s="124"/>
    </row>
    <row r="154" customFormat="false" ht="13.5" hidden="false" customHeight="false" outlineLevel="0" collapsed="false">
      <c r="A154" s="40" t="str">
        <f aca="false">IF($B154="","",ROW()-4)</f>
        <v/>
      </c>
      <c r="B154" s="33" t="str">
        <f aca="false">IFERROR(INDEX(_自动清单!$E$4:$E$253,ROW()-4),"")</f>
        <v/>
      </c>
      <c r="C154" s="123"/>
      <c r="D154" s="70" t="str">
        <f aca="false">IF($B154="","",ROUND(SUMIFS(进销存对接!$G$4:$G$305,进销存对接!$I$4:$I$305,"客户往来",进销存对接!$C$4:$C$305,$B154),2))</f>
        <v/>
      </c>
      <c r="E154" s="70" t="str">
        <f aca="false">IF($B154="","",ROUND(SUMIFS(资金日记账!$H$4:$H$603,资金日记账!$E$4:$E$603,$B154,资金日记账!$K$4:$K$603,"应收账款"),2))</f>
        <v/>
      </c>
      <c r="F154" s="70" t="str">
        <f aca="false">IF($B154="","",ROUND(N($C154)+N($D154)-N($E154),2))</f>
        <v/>
      </c>
      <c r="G154" s="123"/>
      <c r="H154" s="70" t="str">
        <f aca="false">IF($B154="","",ROUND(SUMIFS(进销存对接!$F$4:$F$305,进销存对接!$I$4:$I$305,"客户往来",进销存对接!$C$4:$C$305,$B154)+SUMIFS(记账凭证!$I$4:$I$3609,记账凭证!$J$4:$J$3609,$B154,记账凭证!$E$4:$E$3609,"应付账款"),2))</f>
        <v/>
      </c>
      <c r="I154" s="70" t="str">
        <f aca="false">IF($B154="","",ROUND(SUMIFS(记账凭证!$H$4:$H$3609,记账凭证!$J$4:$J$3609,$B154,记账凭证!$E$4:$E$3609,"应付账款"),2))</f>
        <v/>
      </c>
      <c r="J154" s="70" t="str">
        <f aca="false">IF($B154="","",ROUND(N($G154)+N($H154)-N($I154),2))</f>
        <v/>
      </c>
      <c r="K154" s="70" t="str">
        <f aca="false">IF($B154="","",ROUND(N($F154)-N($J154),2))</f>
        <v/>
      </c>
      <c r="L154" s="40" t="str">
        <f aca="false">IF($B154="","",IF(ROUND(N($K154),2)&gt;0,"对方欠款",IF(ROUND(N($K154),2)&lt;0,"我方欠款","已两清")))</f>
        <v/>
      </c>
      <c r="M154" s="124"/>
    </row>
    <row r="155" customFormat="false" ht="13.5" hidden="false" customHeight="false" outlineLevel="0" collapsed="false">
      <c r="A155" s="40" t="str">
        <f aca="false">IF($B155="","",ROW()-4)</f>
        <v/>
      </c>
      <c r="B155" s="33" t="str">
        <f aca="false">IFERROR(INDEX(_自动清单!$E$4:$E$253,ROW()-4),"")</f>
        <v/>
      </c>
      <c r="C155" s="123"/>
      <c r="D155" s="70" t="str">
        <f aca="false">IF($B155="","",ROUND(SUMIFS(进销存对接!$G$4:$G$305,进销存对接!$I$4:$I$305,"客户往来",进销存对接!$C$4:$C$305,$B155),2))</f>
        <v/>
      </c>
      <c r="E155" s="70" t="str">
        <f aca="false">IF($B155="","",ROUND(SUMIFS(资金日记账!$H$4:$H$603,资金日记账!$E$4:$E$603,$B155,资金日记账!$K$4:$K$603,"应收账款"),2))</f>
        <v/>
      </c>
      <c r="F155" s="70" t="str">
        <f aca="false">IF($B155="","",ROUND(N($C155)+N($D155)-N($E155),2))</f>
        <v/>
      </c>
      <c r="G155" s="123"/>
      <c r="H155" s="70" t="str">
        <f aca="false">IF($B155="","",ROUND(SUMIFS(进销存对接!$F$4:$F$305,进销存对接!$I$4:$I$305,"客户往来",进销存对接!$C$4:$C$305,$B155)+SUMIFS(记账凭证!$I$4:$I$3609,记账凭证!$J$4:$J$3609,$B155,记账凭证!$E$4:$E$3609,"应付账款"),2))</f>
        <v/>
      </c>
      <c r="I155" s="70" t="str">
        <f aca="false">IF($B155="","",ROUND(SUMIFS(记账凭证!$H$4:$H$3609,记账凭证!$J$4:$J$3609,$B155,记账凭证!$E$4:$E$3609,"应付账款"),2))</f>
        <v/>
      </c>
      <c r="J155" s="70" t="str">
        <f aca="false">IF($B155="","",ROUND(N($G155)+N($H155)-N($I155),2))</f>
        <v/>
      </c>
      <c r="K155" s="70" t="str">
        <f aca="false">IF($B155="","",ROUND(N($F155)-N($J155),2))</f>
        <v/>
      </c>
      <c r="L155" s="40" t="str">
        <f aca="false">IF($B155="","",IF(ROUND(N($K155),2)&gt;0,"对方欠款",IF(ROUND(N($K155),2)&lt;0,"我方欠款","已两清")))</f>
        <v/>
      </c>
      <c r="M155" s="124"/>
    </row>
    <row r="156" customFormat="false" ht="13.5" hidden="false" customHeight="false" outlineLevel="0" collapsed="false">
      <c r="A156" s="40" t="str">
        <f aca="false">IF($B156="","",ROW()-4)</f>
        <v/>
      </c>
      <c r="B156" s="33" t="str">
        <f aca="false">IFERROR(INDEX(_自动清单!$E$4:$E$253,ROW()-4),"")</f>
        <v/>
      </c>
      <c r="C156" s="123"/>
      <c r="D156" s="70" t="str">
        <f aca="false">IF($B156="","",ROUND(SUMIFS(进销存对接!$G$4:$G$305,进销存对接!$I$4:$I$305,"客户往来",进销存对接!$C$4:$C$305,$B156),2))</f>
        <v/>
      </c>
      <c r="E156" s="70" t="str">
        <f aca="false">IF($B156="","",ROUND(SUMIFS(资金日记账!$H$4:$H$603,资金日记账!$E$4:$E$603,$B156,资金日记账!$K$4:$K$603,"应收账款"),2))</f>
        <v/>
      </c>
      <c r="F156" s="70" t="str">
        <f aca="false">IF($B156="","",ROUND(N($C156)+N($D156)-N($E156),2))</f>
        <v/>
      </c>
      <c r="G156" s="123"/>
      <c r="H156" s="70" t="str">
        <f aca="false">IF($B156="","",ROUND(SUMIFS(进销存对接!$F$4:$F$305,进销存对接!$I$4:$I$305,"客户往来",进销存对接!$C$4:$C$305,$B156)+SUMIFS(记账凭证!$I$4:$I$3609,记账凭证!$J$4:$J$3609,$B156,记账凭证!$E$4:$E$3609,"应付账款"),2))</f>
        <v/>
      </c>
      <c r="I156" s="70" t="str">
        <f aca="false">IF($B156="","",ROUND(SUMIFS(记账凭证!$H$4:$H$3609,记账凭证!$J$4:$J$3609,$B156,记账凭证!$E$4:$E$3609,"应付账款"),2))</f>
        <v/>
      </c>
      <c r="J156" s="70" t="str">
        <f aca="false">IF($B156="","",ROUND(N($G156)+N($H156)-N($I156),2))</f>
        <v/>
      </c>
      <c r="K156" s="70" t="str">
        <f aca="false">IF($B156="","",ROUND(N($F156)-N($J156),2))</f>
        <v/>
      </c>
      <c r="L156" s="40" t="str">
        <f aca="false">IF($B156="","",IF(ROUND(N($K156),2)&gt;0,"对方欠款",IF(ROUND(N($K156),2)&lt;0,"我方欠款","已两清")))</f>
        <v/>
      </c>
      <c r="M156" s="124"/>
    </row>
    <row r="157" customFormat="false" ht="13.5" hidden="false" customHeight="false" outlineLevel="0" collapsed="false">
      <c r="A157" s="40" t="str">
        <f aca="false">IF($B157="","",ROW()-4)</f>
        <v/>
      </c>
      <c r="B157" s="33" t="str">
        <f aca="false">IFERROR(INDEX(_自动清单!$E$4:$E$253,ROW()-4),"")</f>
        <v/>
      </c>
      <c r="C157" s="123"/>
      <c r="D157" s="70" t="str">
        <f aca="false">IF($B157="","",ROUND(SUMIFS(进销存对接!$G$4:$G$305,进销存对接!$I$4:$I$305,"客户往来",进销存对接!$C$4:$C$305,$B157),2))</f>
        <v/>
      </c>
      <c r="E157" s="70" t="str">
        <f aca="false">IF($B157="","",ROUND(SUMIFS(资金日记账!$H$4:$H$603,资金日记账!$E$4:$E$603,$B157,资金日记账!$K$4:$K$603,"应收账款"),2))</f>
        <v/>
      </c>
      <c r="F157" s="70" t="str">
        <f aca="false">IF($B157="","",ROUND(N($C157)+N($D157)-N($E157),2))</f>
        <v/>
      </c>
      <c r="G157" s="123"/>
      <c r="H157" s="70" t="str">
        <f aca="false">IF($B157="","",ROUND(SUMIFS(进销存对接!$F$4:$F$305,进销存对接!$I$4:$I$305,"客户往来",进销存对接!$C$4:$C$305,$B157)+SUMIFS(记账凭证!$I$4:$I$3609,记账凭证!$J$4:$J$3609,$B157,记账凭证!$E$4:$E$3609,"应付账款"),2))</f>
        <v/>
      </c>
      <c r="I157" s="70" t="str">
        <f aca="false">IF($B157="","",ROUND(SUMIFS(记账凭证!$H$4:$H$3609,记账凭证!$J$4:$J$3609,$B157,记账凭证!$E$4:$E$3609,"应付账款"),2))</f>
        <v/>
      </c>
      <c r="J157" s="70" t="str">
        <f aca="false">IF($B157="","",ROUND(N($G157)+N($H157)-N($I157),2))</f>
        <v/>
      </c>
      <c r="K157" s="70" t="str">
        <f aca="false">IF($B157="","",ROUND(N($F157)-N($J157),2))</f>
        <v/>
      </c>
      <c r="L157" s="40" t="str">
        <f aca="false">IF($B157="","",IF(ROUND(N($K157),2)&gt;0,"对方欠款",IF(ROUND(N($K157),2)&lt;0,"我方欠款","已两清")))</f>
        <v/>
      </c>
      <c r="M157" s="124"/>
    </row>
    <row r="158" customFormat="false" ht="13.5" hidden="false" customHeight="false" outlineLevel="0" collapsed="false">
      <c r="A158" s="40" t="str">
        <f aca="false">IF($B158="","",ROW()-4)</f>
        <v/>
      </c>
      <c r="B158" s="33" t="str">
        <f aca="false">IFERROR(INDEX(_自动清单!$E$4:$E$253,ROW()-4),"")</f>
        <v/>
      </c>
      <c r="C158" s="123"/>
      <c r="D158" s="70" t="str">
        <f aca="false">IF($B158="","",ROUND(SUMIFS(进销存对接!$G$4:$G$305,进销存对接!$I$4:$I$305,"客户往来",进销存对接!$C$4:$C$305,$B158),2))</f>
        <v/>
      </c>
      <c r="E158" s="70" t="str">
        <f aca="false">IF($B158="","",ROUND(SUMIFS(资金日记账!$H$4:$H$603,资金日记账!$E$4:$E$603,$B158,资金日记账!$K$4:$K$603,"应收账款"),2))</f>
        <v/>
      </c>
      <c r="F158" s="70" t="str">
        <f aca="false">IF($B158="","",ROUND(N($C158)+N($D158)-N($E158),2))</f>
        <v/>
      </c>
      <c r="G158" s="123"/>
      <c r="H158" s="70" t="str">
        <f aca="false">IF($B158="","",ROUND(SUMIFS(进销存对接!$F$4:$F$305,进销存对接!$I$4:$I$305,"客户往来",进销存对接!$C$4:$C$305,$B158)+SUMIFS(记账凭证!$I$4:$I$3609,记账凭证!$J$4:$J$3609,$B158,记账凭证!$E$4:$E$3609,"应付账款"),2))</f>
        <v/>
      </c>
      <c r="I158" s="70" t="str">
        <f aca="false">IF($B158="","",ROUND(SUMIFS(记账凭证!$H$4:$H$3609,记账凭证!$J$4:$J$3609,$B158,记账凭证!$E$4:$E$3609,"应付账款"),2))</f>
        <v/>
      </c>
      <c r="J158" s="70" t="str">
        <f aca="false">IF($B158="","",ROUND(N($G158)+N($H158)-N($I158),2))</f>
        <v/>
      </c>
      <c r="K158" s="70" t="str">
        <f aca="false">IF($B158="","",ROUND(N($F158)-N($J158),2))</f>
        <v/>
      </c>
      <c r="L158" s="40" t="str">
        <f aca="false">IF($B158="","",IF(ROUND(N($K158),2)&gt;0,"对方欠款",IF(ROUND(N($K158),2)&lt;0,"我方欠款","已两清")))</f>
        <v/>
      </c>
      <c r="M158" s="124"/>
    </row>
    <row r="159" customFormat="false" ht="13.5" hidden="false" customHeight="false" outlineLevel="0" collapsed="false">
      <c r="A159" s="40" t="str">
        <f aca="false">IF($B159="","",ROW()-4)</f>
        <v/>
      </c>
      <c r="B159" s="33" t="str">
        <f aca="false">IFERROR(INDEX(_自动清单!$E$4:$E$253,ROW()-4),"")</f>
        <v/>
      </c>
      <c r="C159" s="123"/>
      <c r="D159" s="70" t="str">
        <f aca="false">IF($B159="","",ROUND(SUMIFS(进销存对接!$G$4:$G$305,进销存对接!$I$4:$I$305,"客户往来",进销存对接!$C$4:$C$305,$B159),2))</f>
        <v/>
      </c>
      <c r="E159" s="70" t="str">
        <f aca="false">IF($B159="","",ROUND(SUMIFS(资金日记账!$H$4:$H$603,资金日记账!$E$4:$E$603,$B159,资金日记账!$K$4:$K$603,"应收账款"),2))</f>
        <v/>
      </c>
      <c r="F159" s="70" t="str">
        <f aca="false">IF($B159="","",ROUND(N($C159)+N($D159)-N($E159),2))</f>
        <v/>
      </c>
      <c r="G159" s="123"/>
      <c r="H159" s="70" t="str">
        <f aca="false">IF($B159="","",ROUND(SUMIFS(进销存对接!$F$4:$F$305,进销存对接!$I$4:$I$305,"客户往来",进销存对接!$C$4:$C$305,$B159)+SUMIFS(记账凭证!$I$4:$I$3609,记账凭证!$J$4:$J$3609,$B159,记账凭证!$E$4:$E$3609,"应付账款"),2))</f>
        <v/>
      </c>
      <c r="I159" s="70" t="str">
        <f aca="false">IF($B159="","",ROUND(SUMIFS(记账凭证!$H$4:$H$3609,记账凭证!$J$4:$J$3609,$B159,记账凭证!$E$4:$E$3609,"应付账款"),2))</f>
        <v/>
      </c>
      <c r="J159" s="70" t="str">
        <f aca="false">IF($B159="","",ROUND(N($G159)+N($H159)-N($I159),2))</f>
        <v/>
      </c>
      <c r="K159" s="70" t="str">
        <f aca="false">IF($B159="","",ROUND(N($F159)-N($J159),2))</f>
        <v/>
      </c>
      <c r="L159" s="40" t="str">
        <f aca="false">IF($B159="","",IF(ROUND(N($K159),2)&gt;0,"对方欠款",IF(ROUND(N($K159),2)&lt;0,"我方欠款","已两清")))</f>
        <v/>
      </c>
      <c r="M159" s="124"/>
    </row>
    <row r="160" customFormat="false" ht="13.5" hidden="false" customHeight="false" outlineLevel="0" collapsed="false">
      <c r="A160" s="40" t="str">
        <f aca="false">IF($B160="","",ROW()-4)</f>
        <v/>
      </c>
      <c r="B160" s="33" t="str">
        <f aca="false">IFERROR(INDEX(_自动清单!$E$4:$E$253,ROW()-4),"")</f>
        <v/>
      </c>
      <c r="C160" s="123"/>
      <c r="D160" s="70" t="str">
        <f aca="false">IF($B160="","",ROUND(SUMIFS(进销存对接!$G$4:$G$305,进销存对接!$I$4:$I$305,"客户往来",进销存对接!$C$4:$C$305,$B160),2))</f>
        <v/>
      </c>
      <c r="E160" s="70" t="str">
        <f aca="false">IF($B160="","",ROUND(SUMIFS(资金日记账!$H$4:$H$603,资金日记账!$E$4:$E$603,$B160,资金日记账!$K$4:$K$603,"应收账款"),2))</f>
        <v/>
      </c>
      <c r="F160" s="70" t="str">
        <f aca="false">IF($B160="","",ROUND(N($C160)+N($D160)-N($E160),2))</f>
        <v/>
      </c>
      <c r="G160" s="123"/>
      <c r="H160" s="70" t="str">
        <f aca="false">IF($B160="","",ROUND(SUMIFS(进销存对接!$F$4:$F$305,进销存对接!$I$4:$I$305,"客户往来",进销存对接!$C$4:$C$305,$B160)+SUMIFS(记账凭证!$I$4:$I$3609,记账凭证!$J$4:$J$3609,$B160,记账凭证!$E$4:$E$3609,"应付账款"),2))</f>
        <v/>
      </c>
      <c r="I160" s="70" t="str">
        <f aca="false">IF($B160="","",ROUND(SUMIFS(记账凭证!$H$4:$H$3609,记账凭证!$J$4:$J$3609,$B160,记账凭证!$E$4:$E$3609,"应付账款"),2))</f>
        <v/>
      </c>
      <c r="J160" s="70" t="str">
        <f aca="false">IF($B160="","",ROUND(N($G160)+N($H160)-N($I160),2))</f>
        <v/>
      </c>
      <c r="K160" s="70" t="str">
        <f aca="false">IF($B160="","",ROUND(N($F160)-N($J160),2))</f>
        <v/>
      </c>
      <c r="L160" s="40" t="str">
        <f aca="false">IF($B160="","",IF(ROUND(N($K160),2)&gt;0,"对方欠款",IF(ROUND(N($K160),2)&lt;0,"我方欠款","已两清")))</f>
        <v/>
      </c>
      <c r="M160" s="124"/>
    </row>
    <row r="161" customFormat="false" ht="13.5" hidden="false" customHeight="false" outlineLevel="0" collapsed="false">
      <c r="A161" s="40" t="str">
        <f aca="false">IF($B161="","",ROW()-4)</f>
        <v/>
      </c>
      <c r="B161" s="33" t="str">
        <f aca="false">IFERROR(INDEX(_自动清单!$E$4:$E$253,ROW()-4),"")</f>
        <v/>
      </c>
      <c r="C161" s="123"/>
      <c r="D161" s="70" t="str">
        <f aca="false">IF($B161="","",ROUND(SUMIFS(进销存对接!$G$4:$G$305,进销存对接!$I$4:$I$305,"客户往来",进销存对接!$C$4:$C$305,$B161),2))</f>
        <v/>
      </c>
      <c r="E161" s="70" t="str">
        <f aca="false">IF($B161="","",ROUND(SUMIFS(资金日记账!$H$4:$H$603,资金日记账!$E$4:$E$603,$B161,资金日记账!$K$4:$K$603,"应收账款"),2))</f>
        <v/>
      </c>
      <c r="F161" s="70" t="str">
        <f aca="false">IF($B161="","",ROUND(N($C161)+N($D161)-N($E161),2))</f>
        <v/>
      </c>
      <c r="G161" s="123"/>
      <c r="H161" s="70" t="str">
        <f aca="false">IF($B161="","",ROUND(SUMIFS(进销存对接!$F$4:$F$305,进销存对接!$I$4:$I$305,"客户往来",进销存对接!$C$4:$C$305,$B161)+SUMIFS(记账凭证!$I$4:$I$3609,记账凭证!$J$4:$J$3609,$B161,记账凭证!$E$4:$E$3609,"应付账款"),2))</f>
        <v/>
      </c>
      <c r="I161" s="70" t="str">
        <f aca="false">IF($B161="","",ROUND(SUMIFS(记账凭证!$H$4:$H$3609,记账凭证!$J$4:$J$3609,$B161,记账凭证!$E$4:$E$3609,"应付账款"),2))</f>
        <v/>
      </c>
      <c r="J161" s="70" t="str">
        <f aca="false">IF($B161="","",ROUND(N($G161)+N($H161)-N($I161),2))</f>
        <v/>
      </c>
      <c r="K161" s="70" t="str">
        <f aca="false">IF($B161="","",ROUND(N($F161)-N($J161),2))</f>
        <v/>
      </c>
      <c r="L161" s="40" t="str">
        <f aca="false">IF($B161="","",IF(ROUND(N($K161),2)&gt;0,"对方欠款",IF(ROUND(N($K161),2)&lt;0,"我方欠款","已两清")))</f>
        <v/>
      </c>
      <c r="M161" s="124"/>
    </row>
    <row r="162" customFormat="false" ht="13.5" hidden="false" customHeight="false" outlineLevel="0" collapsed="false">
      <c r="A162" s="40" t="str">
        <f aca="false">IF($B162="","",ROW()-4)</f>
        <v/>
      </c>
      <c r="B162" s="33" t="str">
        <f aca="false">IFERROR(INDEX(_自动清单!$E$4:$E$253,ROW()-4),"")</f>
        <v/>
      </c>
      <c r="C162" s="123"/>
      <c r="D162" s="70" t="str">
        <f aca="false">IF($B162="","",ROUND(SUMIFS(进销存对接!$G$4:$G$305,进销存对接!$I$4:$I$305,"客户往来",进销存对接!$C$4:$C$305,$B162),2))</f>
        <v/>
      </c>
      <c r="E162" s="70" t="str">
        <f aca="false">IF($B162="","",ROUND(SUMIFS(资金日记账!$H$4:$H$603,资金日记账!$E$4:$E$603,$B162,资金日记账!$K$4:$K$603,"应收账款"),2))</f>
        <v/>
      </c>
      <c r="F162" s="70" t="str">
        <f aca="false">IF($B162="","",ROUND(N($C162)+N($D162)-N($E162),2))</f>
        <v/>
      </c>
      <c r="G162" s="123"/>
      <c r="H162" s="70" t="str">
        <f aca="false">IF($B162="","",ROUND(SUMIFS(进销存对接!$F$4:$F$305,进销存对接!$I$4:$I$305,"客户往来",进销存对接!$C$4:$C$305,$B162)+SUMIFS(记账凭证!$I$4:$I$3609,记账凭证!$J$4:$J$3609,$B162,记账凭证!$E$4:$E$3609,"应付账款"),2))</f>
        <v/>
      </c>
      <c r="I162" s="70" t="str">
        <f aca="false">IF($B162="","",ROUND(SUMIFS(记账凭证!$H$4:$H$3609,记账凭证!$J$4:$J$3609,$B162,记账凭证!$E$4:$E$3609,"应付账款"),2))</f>
        <v/>
      </c>
      <c r="J162" s="70" t="str">
        <f aca="false">IF($B162="","",ROUND(N($G162)+N($H162)-N($I162),2))</f>
        <v/>
      </c>
      <c r="K162" s="70" t="str">
        <f aca="false">IF($B162="","",ROUND(N($F162)-N($J162),2))</f>
        <v/>
      </c>
      <c r="L162" s="40" t="str">
        <f aca="false">IF($B162="","",IF(ROUND(N($K162),2)&gt;0,"对方欠款",IF(ROUND(N($K162),2)&lt;0,"我方欠款","已两清")))</f>
        <v/>
      </c>
      <c r="M162" s="124"/>
    </row>
    <row r="163" customFormat="false" ht="13.5" hidden="false" customHeight="false" outlineLevel="0" collapsed="false">
      <c r="A163" s="40" t="str">
        <f aca="false">IF($B163="","",ROW()-4)</f>
        <v/>
      </c>
      <c r="B163" s="33" t="str">
        <f aca="false">IFERROR(INDEX(_自动清单!$E$4:$E$253,ROW()-4),"")</f>
        <v/>
      </c>
      <c r="C163" s="123"/>
      <c r="D163" s="70" t="str">
        <f aca="false">IF($B163="","",ROUND(SUMIFS(进销存对接!$G$4:$G$305,进销存对接!$I$4:$I$305,"客户往来",进销存对接!$C$4:$C$305,$B163),2))</f>
        <v/>
      </c>
      <c r="E163" s="70" t="str">
        <f aca="false">IF($B163="","",ROUND(SUMIFS(资金日记账!$H$4:$H$603,资金日记账!$E$4:$E$603,$B163,资金日记账!$K$4:$K$603,"应收账款"),2))</f>
        <v/>
      </c>
      <c r="F163" s="70" t="str">
        <f aca="false">IF($B163="","",ROUND(N($C163)+N($D163)-N($E163),2))</f>
        <v/>
      </c>
      <c r="G163" s="123"/>
      <c r="H163" s="70" t="str">
        <f aca="false">IF($B163="","",ROUND(SUMIFS(进销存对接!$F$4:$F$305,进销存对接!$I$4:$I$305,"客户往来",进销存对接!$C$4:$C$305,$B163)+SUMIFS(记账凭证!$I$4:$I$3609,记账凭证!$J$4:$J$3609,$B163,记账凭证!$E$4:$E$3609,"应付账款"),2))</f>
        <v/>
      </c>
      <c r="I163" s="70" t="str">
        <f aca="false">IF($B163="","",ROUND(SUMIFS(记账凭证!$H$4:$H$3609,记账凭证!$J$4:$J$3609,$B163,记账凭证!$E$4:$E$3609,"应付账款"),2))</f>
        <v/>
      </c>
      <c r="J163" s="70" t="str">
        <f aca="false">IF($B163="","",ROUND(N($G163)+N($H163)-N($I163),2))</f>
        <v/>
      </c>
      <c r="K163" s="70" t="str">
        <f aca="false">IF($B163="","",ROUND(N($F163)-N($J163),2))</f>
        <v/>
      </c>
      <c r="L163" s="40" t="str">
        <f aca="false">IF($B163="","",IF(ROUND(N($K163),2)&gt;0,"对方欠款",IF(ROUND(N($K163),2)&lt;0,"我方欠款","已两清")))</f>
        <v/>
      </c>
      <c r="M163" s="124"/>
    </row>
    <row r="164" customFormat="false" ht="13.5" hidden="false" customHeight="false" outlineLevel="0" collapsed="false">
      <c r="A164" s="40" t="str">
        <f aca="false">IF($B164="","",ROW()-4)</f>
        <v/>
      </c>
      <c r="B164" s="33" t="str">
        <f aca="false">IFERROR(INDEX(_自动清单!$E$4:$E$253,ROW()-4),"")</f>
        <v/>
      </c>
      <c r="C164" s="123"/>
      <c r="D164" s="70" t="str">
        <f aca="false">IF($B164="","",ROUND(SUMIFS(进销存对接!$G$4:$G$305,进销存对接!$I$4:$I$305,"客户往来",进销存对接!$C$4:$C$305,$B164),2))</f>
        <v/>
      </c>
      <c r="E164" s="70" t="str">
        <f aca="false">IF($B164="","",ROUND(SUMIFS(资金日记账!$H$4:$H$603,资金日记账!$E$4:$E$603,$B164,资金日记账!$K$4:$K$603,"应收账款"),2))</f>
        <v/>
      </c>
      <c r="F164" s="70" t="str">
        <f aca="false">IF($B164="","",ROUND(N($C164)+N($D164)-N($E164),2))</f>
        <v/>
      </c>
      <c r="G164" s="123"/>
      <c r="H164" s="70" t="str">
        <f aca="false">IF($B164="","",ROUND(SUMIFS(进销存对接!$F$4:$F$305,进销存对接!$I$4:$I$305,"客户往来",进销存对接!$C$4:$C$305,$B164)+SUMIFS(记账凭证!$I$4:$I$3609,记账凭证!$J$4:$J$3609,$B164,记账凭证!$E$4:$E$3609,"应付账款"),2))</f>
        <v/>
      </c>
      <c r="I164" s="70" t="str">
        <f aca="false">IF($B164="","",ROUND(SUMIFS(记账凭证!$H$4:$H$3609,记账凭证!$J$4:$J$3609,$B164,记账凭证!$E$4:$E$3609,"应付账款"),2))</f>
        <v/>
      </c>
      <c r="J164" s="70" t="str">
        <f aca="false">IF($B164="","",ROUND(N($G164)+N($H164)-N($I164),2))</f>
        <v/>
      </c>
      <c r="K164" s="70" t="str">
        <f aca="false">IF($B164="","",ROUND(N($F164)-N($J164),2))</f>
        <v/>
      </c>
      <c r="L164" s="40" t="str">
        <f aca="false">IF($B164="","",IF(ROUND(N($K164),2)&gt;0,"对方欠款",IF(ROUND(N($K164),2)&lt;0,"我方欠款","已两清")))</f>
        <v/>
      </c>
      <c r="M164" s="124"/>
    </row>
    <row r="165" customFormat="false" ht="13.5" hidden="false" customHeight="false" outlineLevel="0" collapsed="false">
      <c r="A165" s="40" t="str">
        <f aca="false">IF($B165="","",ROW()-4)</f>
        <v/>
      </c>
      <c r="B165" s="33" t="str">
        <f aca="false">IFERROR(INDEX(_自动清单!$E$4:$E$253,ROW()-4),"")</f>
        <v/>
      </c>
      <c r="C165" s="123"/>
      <c r="D165" s="70" t="str">
        <f aca="false">IF($B165="","",ROUND(SUMIFS(进销存对接!$G$4:$G$305,进销存对接!$I$4:$I$305,"客户往来",进销存对接!$C$4:$C$305,$B165),2))</f>
        <v/>
      </c>
      <c r="E165" s="70" t="str">
        <f aca="false">IF($B165="","",ROUND(SUMIFS(资金日记账!$H$4:$H$603,资金日记账!$E$4:$E$603,$B165,资金日记账!$K$4:$K$603,"应收账款"),2))</f>
        <v/>
      </c>
      <c r="F165" s="70" t="str">
        <f aca="false">IF($B165="","",ROUND(N($C165)+N($D165)-N($E165),2))</f>
        <v/>
      </c>
      <c r="G165" s="123"/>
      <c r="H165" s="70" t="str">
        <f aca="false">IF($B165="","",ROUND(SUMIFS(进销存对接!$F$4:$F$305,进销存对接!$I$4:$I$305,"客户往来",进销存对接!$C$4:$C$305,$B165)+SUMIFS(记账凭证!$I$4:$I$3609,记账凭证!$J$4:$J$3609,$B165,记账凭证!$E$4:$E$3609,"应付账款"),2))</f>
        <v/>
      </c>
      <c r="I165" s="70" t="str">
        <f aca="false">IF($B165="","",ROUND(SUMIFS(记账凭证!$H$4:$H$3609,记账凭证!$J$4:$J$3609,$B165,记账凭证!$E$4:$E$3609,"应付账款"),2))</f>
        <v/>
      </c>
      <c r="J165" s="70" t="str">
        <f aca="false">IF($B165="","",ROUND(N($G165)+N($H165)-N($I165),2))</f>
        <v/>
      </c>
      <c r="K165" s="70" t="str">
        <f aca="false">IF($B165="","",ROUND(N($F165)-N($J165),2))</f>
        <v/>
      </c>
      <c r="L165" s="40" t="str">
        <f aca="false">IF($B165="","",IF(ROUND(N($K165),2)&gt;0,"对方欠款",IF(ROUND(N($K165),2)&lt;0,"我方欠款","已两清")))</f>
        <v/>
      </c>
      <c r="M165" s="124"/>
    </row>
    <row r="166" customFormat="false" ht="13.5" hidden="false" customHeight="false" outlineLevel="0" collapsed="false">
      <c r="A166" s="40" t="str">
        <f aca="false">IF($B166="","",ROW()-4)</f>
        <v/>
      </c>
      <c r="B166" s="33" t="str">
        <f aca="false">IFERROR(INDEX(_自动清单!$E$4:$E$253,ROW()-4),"")</f>
        <v/>
      </c>
      <c r="C166" s="123"/>
      <c r="D166" s="70" t="str">
        <f aca="false">IF($B166="","",ROUND(SUMIFS(进销存对接!$G$4:$G$305,进销存对接!$I$4:$I$305,"客户往来",进销存对接!$C$4:$C$305,$B166),2))</f>
        <v/>
      </c>
      <c r="E166" s="70" t="str">
        <f aca="false">IF($B166="","",ROUND(SUMIFS(资金日记账!$H$4:$H$603,资金日记账!$E$4:$E$603,$B166,资金日记账!$K$4:$K$603,"应收账款"),2))</f>
        <v/>
      </c>
      <c r="F166" s="70" t="str">
        <f aca="false">IF($B166="","",ROUND(N($C166)+N($D166)-N($E166),2))</f>
        <v/>
      </c>
      <c r="G166" s="123"/>
      <c r="H166" s="70" t="str">
        <f aca="false">IF($B166="","",ROUND(SUMIFS(进销存对接!$F$4:$F$305,进销存对接!$I$4:$I$305,"客户往来",进销存对接!$C$4:$C$305,$B166)+SUMIFS(记账凭证!$I$4:$I$3609,记账凭证!$J$4:$J$3609,$B166,记账凭证!$E$4:$E$3609,"应付账款"),2))</f>
        <v/>
      </c>
      <c r="I166" s="70" t="str">
        <f aca="false">IF($B166="","",ROUND(SUMIFS(记账凭证!$H$4:$H$3609,记账凭证!$J$4:$J$3609,$B166,记账凭证!$E$4:$E$3609,"应付账款"),2))</f>
        <v/>
      </c>
      <c r="J166" s="70" t="str">
        <f aca="false">IF($B166="","",ROUND(N($G166)+N($H166)-N($I166),2))</f>
        <v/>
      </c>
      <c r="K166" s="70" t="str">
        <f aca="false">IF($B166="","",ROUND(N($F166)-N($J166),2))</f>
        <v/>
      </c>
      <c r="L166" s="40" t="str">
        <f aca="false">IF($B166="","",IF(ROUND(N($K166),2)&gt;0,"对方欠款",IF(ROUND(N($K166),2)&lt;0,"我方欠款","已两清")))</f>
        <v/>
      </c>
      <c r="M166" s="124"/>
    </row>
    <row r="167" customFormat="false" ht="13.5" hidden="false" customHeight="false" outlineLevel="0" collapsed="false">
      <c r="A167" s="40" t="str">
        <f aca="false">IF($B167="","",ROW()-4)</f>
        <v/>
      </c>
      <c r="B167" s="33" t="str">
        <f aca="false">IFERROR(INDEX(_自动清单!$E$4:$E$253,ROW()-4),"")</f>
        <v/>
      </c>
      <c r="C167" s="123"/>
      <c r="D167" s="70" t="str">
        <f aca="false">IF($B167="","",ROUND(SUMIFS(进销存对接!$G$4:$G$305,进销存对接!$I$4:$I$305,"客户往来",进销存对接!$C$4:$C$305,$B167),2))</f>
        <v/>
      </c>
      <c r="E167" s="70" t="str">
        <f aca="false">IF($B167="","",ROUND(SUMIFS(资金日记账!$H$4:$H$603,资金日记账!$E$4:$E$603,$B167,资金日记账!$K$4:$K$603,"应收账款"),2))</f>
        <v/>
      </c>
      <c r="F167" s="70" t="str">
        <f aca="false">IF($B167="","",ROUND(N($C167)+N($D167)-N($E167),2))</f>
        <v/>
      </c>
      <c r="G167" s="123"/>
      <c r="H167" s="70" t="str">
        <f aca="false">IF($B167="","",ROUND(SUMIFS(进销存对接!$F$4:$F$305,进销存对接!$I$4:$I$305,"客户往来",进销存对接!$C$4:$C$305,$B167)+SUMIFS(记账凭证!$I$4:$I$3609,记账凭证!$J$4:$J$3609,$B167,记账凭证!$E$4:$E$3609,"应付账款"),2))</f>
        <v/>
      </c>
      <c r="I167" s="70" t="str">
        <f aca="false">IF($B167="","",ROUND(SUMIFS(记账凭证!$H$4:$H$3609,记账凭证!$J$4:$J$3609,$B167,记账凭证!$E$4:$E$3609,"应付账款"),2))</f>
        <v/>
      </c>
      <c r="J167" s="70" t="str">
        <f aca="false">IF($B167="","",ROUND(N($G167)+N($H167)-N($I167),2))</f>
        <v/>
      </c>
      <c r="K167" s="70" t="str">
        <f aca="false">IF($B167="","",ROUND(N($F167)-N($J167),2))</f>
        <v/>
      </c>
      <c r="L167" s="40" t="str">
        <f aca="false">IF($B167="","",IF(ROUND(N($K167),2)&gt;0,"对方欠款",IF(ROUND(N($K167),2)&lt;0,"我方欠款","已两清")))</f>
        <v/>
      </c>
      <c r="M167" s="124"/>
    </row>
    <row r="168" customFormat="false" ht="13.5" hidden="false" customHeight="false" outlineLevel="0" collapsed="false">
      <c r="A168" s="40" t="str">
        <f aca="false">IF($B168="","",ROW()-4)</f>
        <v/>
      </c>
      <c r="B168" s="33" t="str">
        <f aca="false">IFERROR(INDEX(_自动清单!$E$4:$E$253,ROW()-4),"")</f>
        <v/>
      </c>
      <c r="C168" s="123"/>
      <c r="D168" s="70" t="str">
        <f aca="false">IF($B168="","",ROUND(SUMIFS(进销存对接!$G$4:$G$305,进销存对接!$I$4:$I$305,"客户往来",进销存对接!$C$4:$C$305,$B168),2))</f>
        <v/>
      </c>
      <c r="E168" s="70" t="str">
        <f aca="false">IF($B168="","",ROUND(SUMIFS(资金日记账!$H$4:$H$603,资金日记账!$E$4:$E$603,$B168,资金日记账!$K$4:$K$603,"应收账款"),2))</f>
        <v/>
      </c>
      <c r="F168" s="70" t="str">
        <f aca="false">IF($B168="","",ROUND(N($C168)+N($D168)-N($E168),2))</f>
        <v/>
      </c>
      <c r="G168" s="123"/>
      <c r="H168" s="70" t="str">
        <f aca="false">IF($B168="","",ROUND(SUMIFS(进销存对接!$F$4:$F$305,进销存对接!$I$4:$I$305,"客户往来",进销存对接!$C$4:$C$305,$B168)+SUMIFS(记账凭证!$I$4:$I$3609,记账凭证!$J$4:$J$3609,$B168,记账凭证!$E$4:$E$3609,"应付账款"),2))</f>
        <v/>
      </c>
      <c r="I168" s="70" t="str">
        <f aca="false">IF($B168="","",ROUND(SUMIFS(记账凭证!$H$4:$H$3609,记账凭证!$J$4:$J$3609,$B168,记账凭证!$E$4:$E$3609,"应付账款"),2))</f>
        <v/>
      </c>
      <c r="J168" s="70" t="str">
        <f aca="false">IF($B168="","",ROUND(N($G168)+N($H168)-N($I168),2))</f>
        <v/>
      </c>
      <c r="K168" s="70" t="str">
        <f aca="false">IF($B168="","",ROUND(N($F168)-N($J168),2))</f>
        <v/>
      </c>
      <c r="L168" s="40" t="str">
        <f aca="false">IF($B168="","",IF(ROUND(N($K168),2)&gt;0,"对方欠款",IF(ROUND(N($K168),2)&lt;0,"我方欠款","已两清")))</f>
        <v/>
      </c>
      <c r="M168" s="124"/>
    </row>
    <row r="169" customFormat="false" ht="13.5" hidden="false" customHeight="false" outlineLevel="0" collapsed="false">
      <c r="A169" s="40" t="str">
        <f aca="false">IF($B169="","",ROW()-4)</f>
        <v/>
      </c>
      <c r="B169" s="33" t="str">
        <f aca="false">IFERROR(INDEX(_自动清单!$E$4:$E$253,ROW()-4),"")</f>
        <v/>
      </c>
      <c r="C169" s="123"/>
      <c r="D169" s="70" t="str">
        <f aca="false">IF($B169="","",ROUND(SUMIFS(进销存对接!$G$4:$G$305,进销存对接!$I$4:$I$305,"客户往来",进销存对接!$C$4:$C$305,$B169),2))</f>
        <v/>
      </c>
      <c r="E169" s="70" t="str">
        <f aca="false">IF($B169="","",ROUND(SUMIFS(资金日记账!$H$4:$H$603,资金日记账!$E$4:$E$603,$B169,资金日记账!$K$4:$K$603,"应收账款"),2))</f>
        <v/>
      </c>
      <c r="F169" s="70" t="str">
        <f aca="false">IF($B169="","",ROUND(N($C169)+N($D169)-N($E169),2))</f>
        <v/>
      </c>
      <c r="G169" s="123"/>
      <c r="H169" s="70" t="str">
        <f aca="false">IF($B169="","",ROUND(SUMIFS(进销存对接!$F$4:$F$305,进销存对接!$I$4:$I$305,"客户往来",进销存对接!$C$4:$C$305,$B169)+SUMIFS(记账凭证!$I$4:$I$3609,记账凭证!$J$4:$J$3609,$B169,记账凭证!$E$4:$E$3609,"应付账款"),2))</f>
        <v/>
      </c>
      <c r="I169" s="70" t="str">
        <f aca="false">IF($B169="","",ROUND(SUMIFS(记账凭证!$H$4:$H$3609,记账凭证!$J$4:$J$3609,$B169,记账凭证!$E$4:$E$3609,"应付账款"),2))</f>
        <v/>
      </c>
      <c r="J169" s="70" t="str">
        <f aca="false">IF($B169="","",ROUND(N($G169)+N($H169)-N($I169),2))</f>
        <v/>
      </c>
      <c r="K169" s="70" t="str">
        <f aca="false">IF($B169="","",ROUND(N($F169)-N($J169),2))</f>
        <v/>
      </c>
      <c r="L169" s="40" t="str">
        <f aca="false">IF($B169="","",IF(ROUND(N($K169),2)&gt;0,"对方欠款",IF(ROUND(N($K169),2)&lt;0,"我方欠款","已两清")))</f>
        <v/>
      </c>
      <c r="M169" s="124"/>
    </row>
    <row r="170" customFormat="false" ht="13.5" hidden="false" customHeight="false" outlineLevel="0" collapsed="false">
      <c r="A170" s="40" t="str">
        <f aca="false">IF($B170="","",ROW()-4)</f>
        <v/>
      </c>
      <c r="B170" s="33" t="str">
        <f aca="false">IFERROR(INDEX(_自动清单!$E$4:$E$253,ROW()-4),"")</f>
        <v/>
      </c>
      <c r="C170" s="123"/>
      <c r="D170" s="70" t="str">
        <f aca="false">IF($B170="","",ROUND(SUMIFS(进销存对接!$G$4:$G$305,进销存对接!$I$4:$I$305,"客户往来",进销存对接!$C$4:$C$305,$B170),2))</f>
        <v/>
      </c>
      <c r="E170" s="70" t="str">
        <f aca="false">IF($B170="","",ROUND(SUMIFS(资金日记账!$H$4:$H$603,资金日记账!$E$4:$E$603,$B170,资金日记账!$K$4:$K$603,"应收账款"),2))</f>
        <v/>
      </c>
      <c r="F170" s="70" t="str">
        <f aca="false">IF($B170="","",ROUND(N($C170)+N($D170)-N($E170),2))</f>
        <v/>
      </c>
      <c r="G170" s="123"/>
      <c r="H170" s="70" t="str">
        <f aca="false">IF($B170="","",ROUND(SUMIFS(进销存对接!$F$4:$F$305,进销存对接!$I$4:$I$305,"客户往来",进销存对接!$C$4:$C$305,$B170)+SUMIFS(记账凭证!$I$4:$I$3609,记账凭证!$J$4:$J$3609,$B170,记账凭证!$E$4:$E$3609,"应付账款"),2))</f>
        <v/>
      </c>
      <c r="I170" s="70" t="str">
        <f aca="false">IF($B170="","",ROUND(SUMIFS(记账凭证!$H$4:$H$3609,记账凭证!$J$4:$J$3609,$B170,记账凭证!$E$4:$E$3609,"应付账款"),2))</f>
        <v/>
      </c>
      <c r="J170" s="70" t="str">
        <f aca="false">IF($B170="","",ROUND(N($G170)+N($H170)-N($I170),2))</f>
        <v/>
      </c>
      <c r="K170" s="70" t="str">
        <f aca="false">IF($B170="","",ROUND(N($F170)-N($J170),2))</f>
        <v/>
      </c>
      <c r="L170" s="40" t="str">
        <f aca="false">IF($B170="","",IF(ROUND(N($K170),2)&gt;0,"对方欠款",IF(ROUND(N($K170),2)&lt;0,"我方欠款","已两清")))</f>
        <v/>
      </c>
      <c r="M170" s="124"/>
    </row>
    <row r="171" customFormat="false" ht="13.5" hidden="false" customHeight="false" outlineLevel="0" collapsed="false">
      <c r="A171" s="40" t="str">
        <f aca="false">IF($B171="","",ROW()-4)</f>
        <v/>
      </c>
      <c r="B171" s="33" t="str">
        <f aca="false">IFERROR(INDEX(_自动清单!$E$4:$E$253,ROW()-4),"")</f>
        <v/>
      </c>
      <c r="C171" s="123"/>
      <c r="D171" s="70" t="str">
        <f aca="false">IF($B171="","",ROUND(SUMIFS(进销存对接!$G$4:$G$305,进销存对接!$I$4:$I$305,"客户往来",进销存对接!$C$4:$C$305,$B171),2))</f>
        <v/>
      </c>
      <c r="E171" s="70" t="str">
        <f aca="false">IF($B171="","",ROUND(SUMIFS(资金日记账!$H$4:$H$603,资金日记账!$E$4:$E$603,$B171,资金日记账!$K$4:$K$603,"应收账款"),2))</f>
        <v/>
      </c>
      <c r="F171" s="70" t="str">
        <f aca="false">IF($B171="","",ROUND(N($C171)+N($D171)-N($E171),2))</f>
        <v/>
      </c>
      <c r="G171" s="123"/>
      <c r="H171" s="70" t="str">
        <f aca="false">IF($B171="","",ROUND(SUMIFS(进销存对接!$F$4:$F$305,进销存对接!$I$4:$I$305,"客户往来",进销存对接!$C$4:$C$305,$B171)+SUMIFS(记账凭证!$I$4:$I$3609,记账凭证!$J$4:$J$3609,$B171,记账凭证!$E$4:$E$3609,"应付账款"),2))</f>
        <v/>
      </c>
      <c r="I171" s="70" t="str">
        <f aca="false">IF($B171="","",ROUND(SUMIFS(记账凭证!$H$4:$H$3609,记账凭证!$J$4:$J$3609,$B171,记账凭证!$E$4:$E$3609,"应付账款"),2))</f>
        <v/>
      </c>
      <c r="J171" s="70" t="str">
        <f aca="false">IF($B171="","",ROUND(N($G171)+N($H171)-N($I171),2))</f>
        <v/>
      </c>
      <c r="K171" s="70" t="str">
        <f aca="false">IF($B171="","",ROUND(N($F171)-N($J171),2))</f>
        <v/>
      </c>
      <c r="L171" s="40" t="str">
        <f aca="false">IF($B171="","",IF(ROUND(N($K171),2)&gt;0,"对方欠款",IF(ROUND(N($K171),2)&lt;0,"我方欠款","已两清")))</f>
        <v/>
      </c>
      <c r="M171" s="124"/>
    </row>
    <row r="172" customFormat="false" ht="13.5" hidden="false" customHeight="false" outlineLevel="0" collapsed="false">
      <c r="A172" s="40" t="str">
        <f aca="false">IF($B172="","",ROW()-4)</f>
        <v/>
      </c>
      <c r="B172" s="33" t="str">
        <f aca="false">IFERROR(INDEX(_自动清单!$E$4:$E$253,ROW()-4),"")</f>
        <v/>
      </c>
      <c r="C172" s="123"/>
      <c r="D172" s="70" t="str">
        <f aca="false">IF($B172="","",ROUND(SUMIFS(进销存对接!$G$4:$G$305,进销存对接!$I$4:$I$305,"客户往来",进销存对接!$C$4:$C$305,$B172),2))</f>
        <v/>
      </c>
      <c r="E172" s="70" t="str">
        <f aca="false">IF($B172="","",ROUND(SUMIFS(资金日记账!$H$4:$H$603,资金日记账!$E$4:$E$603,$B172,资金日记账!$K$4:$K$603,"应收账款"),2))</f>
        <v/>
      </c>
      <c r="F172" s="70" t="str">
        <f aca="false">IF($B172="","",ROUND(N($C172)+N($D172)-N($E172),2))</f>
        <v/>
      </c>
      <c r="G172" s="123"/>
      <c r="H172" s="70" t="str">
        <f aca="false">IF($B172="","",ROUND(SUMIFS(进销存对接!$F$4:$F$305,进销存对接!$I$4:$I$305,"客户往来",进销存对接!$C$4:$C$305,$B172)+SUMIFS(记账凭证!$I$4:$I$3609,记账凭证!$J$4:$J$3609,$B172,记账凭证!$E$4:$E$3609,"应付账款"),2))</f>
        <v/>
      </c>
      <c r="I172" s="70" t="str">
        <f aca="false">IF($B172="","",ROUND(SUMIFS(记账凭证!$H$4:$H$3609,记账凭证!$J$4:$J$3609,$B172,记账凭证!$E$4:$E$3609,"应付账款"),2))</f>
        <v/>
      </c>
      <c r="J172" s="70" t="str">
        <f aca="false">IF($B172="","",ROUND(N($G172)+N($H172)-N($I172),2))</f>
        <v/>
      </c>
      <c r="K172" s="70" t="str">
        <f aca="false">IF($B172="","",ROUND(N($F172)-N($J172),2))</f>
        <v/>
      </c>
      <c r="L172" s="40" t="str">
        <f aca="false">IF($B172="","",IF(ROUND(N($K172),2)&gt;0,"对方欠款",IF(ROUND(N($K172),2)&lt;0,"我方欠款","已两清")))</f>
        <v/>
      </c>
      <c r="M172" s="124"/>
    </row>
    <row r="173" customFormat="false" ht="13.5" hidden="false" customHeight="false" outlineLevel="0" collapsed="false">
      <c r="A173" s="40" t="str">
        <f aca="false">IF($B173="","",ROW()-4)</f>
        <v/>
      </c>
      <c r="B173" s="33" t="str">
        <f aca="false">IFERROR(INDEX(_自动清单!$E$4:$E$253,ROW()-4),"")</f>
        <v/>
      </c>
      <c r="C173" s="123"/>
      <c r="D173" s="70" t="str">
        <f aca="false">IF($B173="","",ROUND(SUMIFS(进销存对接!$G$4:$G$305,进销存对接!$I$4:$I$305,"客户往来",进销存对接!$C$4:$C$305,$B173),2))</f>
        <v/>
      </c>
      <c r="E173" s="70" t="str">
        <f aca="false">IF($B173="","",ROUND(SUMIFS(资金日记账!$H$4:$H$603,资金日记账!$E$4:$E$603,$B173,资金日记账!$K$4:$K$603,"应收账款"),2))</f>
        <v/>
      </c>
      <c r="F173" s="70" t="str">
        <f aca="false">IF($B173="","",ROUND(N($C173)+N($D173)-N($E173),2))</f>
        <v/>
      </c>
      <c r="G173" s="123"/>
      <c r="H173" s="70" t="str">
        <f aca="false">IF($B173="","",ROUND(SUMIFS(进销存对接!$F$4:$F$305,进销存对接!$I$4:$I$305,"客户往来",进销存对接!$C$4:$C$305,$B173)+SUMIFS(记账凭证!$I$4:$I$3609,记账凭证!$J$4:$J$3609,$B173,记账凭证!$E$4:$E$3609,"应付账款"),2))</f>
        <v/>
      </c>
      <c r="I173" s="70" t="str">
        <f aca="false">IF($B173="","",ROUND(SUMIFS(记账凭证!$H$4:$H$3609,记账凭证!$J$4:$J$3609,$B173,记账凭证!$E$4:$E$3609,"应付账款"),2))</f>
        <v/>
      </c>
      <c r="J173" s="70" t="str">
        <f aca="false">IF($B173="","",ROUND(N($G173)+N($H173)-N($I173),2))</f>
        <v/>
      </c>
      <c r="K173" s="70" t="str">
        <f aca="false">IF($B173="","",ROUND(N($F173)-N($J173),2))</f>
        <v/>
      </c>
      <c r="L173" s="40" t="str">
        <f aca="false">IF($B173="","",IF(ROUND(N($K173),2)&gt;0,"对方欠款",IF(ROUND(N($K173),2)&lt;0,"我方欠款","已两清")))</f>
        <v/>
      </c>
      <c r="M173" s="124"/>
    </row>
    <row r="174" customFormat="false" ht="13.5" hidden="false" customHeight="false" outlineLevel="0" collapsed="false">
      <c r="A174" s="40" t="str">
        <f aca="false">IF($B174="","",ROW()-4)</f>
        <v/>
      </c>
      <c r="B174" s="33" t="str">
        <f aca="false">IFERROR(INDEX(_自动清单!$E$4:$E$253,ROW()-4),"")</f>
        <v/>
      </c>
      <c r="C174" s="123"/>
      <c r="D174" s="70" t="str">
        <f aca="false">IF($B174="","",ROUND(SUMIFS(进销存对接!$G$4:$G$305,进销存对接!$I$4:$I$305,"客户往来",进销存对接!$C$4:$C$305,$B174),2))</f>
        <v/>
      </c>
      <c r="E174" s="70" t="str">
        <f aca="false">IF($B174="","",ROUND(SUMIFS(资金日记账!$H$4:$H$603,资金日记账!$E$4:$E$603,$B174,资金日记账!$K$4:$K$603,"应收账款"),2))</f>
        <v/>
      </c>
      <c r="F174" s="70" t="str">
        <f aca="false">IF($B174="","",ROUND(N($C174)+N($D174)-N($E174),2))</f>
        <v/>
      </c>
      <c r="G174" s="123"/>
      <c r="H174" s="70" t="str">
        <f aca="false">IF($B174="","",ROUND(SUMIFS(进销存对接!$F$4:$F$305,进销存对接!$I$4:$I$305,"客户往来",进销存对接!$C$4:$C$305,$B174)+SUMIFS(记账凭证!$I$4:$I$3609,记账凭证!$J$4:$J$3609,$B174,记账凭证!$E$4:$E$3609,"应付账款"),2))</f>
        <v/>
      </c>
      <c r="I174" s="70" t="str">
        <f aca="false">IF($B174="","",ROUND(SUMIFS(记账凭证!$H$4:$H$3609,记账凭证!$J$4:$J$3609,$B174,记账凭证!$E$4:$E$3609,"应付账款"),2))</f>
        <v/>
      </c>
      <c r="J174" s="70" t="str">
        <f aca="false">IF($B174="","",ROUND(N($G174)+N($H174)-N($I174),2))</f>
        <v/>
      </c>
      <c r="K174" s="70" t="str">
        <f aca="false">IF($B174="","",ROUND(N($F174)-N($J174),2))</f>
        <v/>
      </c>
      <c r="L174" s="40" t="str">
        <f aca="false">IF($B174="","",IF(ROUND(N($K174),2)&gt;0,"对方欠款",IF(ROUND(N($K174),2)&lt;0,"我方欠款","已两清")))</f>
        <v/>
      </c>
      <c r="M174" s="124"/>
    </row>
    <row r="175" customFormat="false" ht="13.5" hidden="false" customHeight="false" outlineLevel="0" collapsed="false">
      <c r="A175" s="40" t="str">
        <f aca="false">IF($B175="","",ROW()-4)</f>
        <v/>
      </c>
      <c r="B175" s="33" t="str">
        <f aca="false">IFERROR(INDEX(_自动清单!$E$4:$E$253,ROW()-4),"")</f>
        <v/>
      </c>
      <c r="C175" s="123"/>
      <c r="D175" s="70" t="str">
        <f aca="false">IF($B175="","",ROUND(SUMIFS(进销存对接!$G$4:$G$305,进销存对接!$I$4:$I$305,"客户往来",进销存对接!$C$4:$C$305,$B175),2))</f>
        <v/>
      </c>
      <c r="E175" s="70" t="str">
        <f aca="false">IF($B175="","",ROUND(SUMIFS(资金日记账!$H$4:$H$603,资金日记账!$E$4:$E$603,$B175,资金日记账!$K$4:$K$603,"应收账款"),2))</f>
        <v/>
      </c>
      <c r="F175" s="70" t="str">
        <f aca="false">IF($B175="","",ROUND(N($C175)+N($D175)-N($E175),2))</f>
        <v/>
      </c>
      <c r="G175" s="123"/>
      <c r="H175" s="70" t="str">
        <f aca="false">IF($B175="","",ROUND(SUMIFS(进销存对接!$F$4:$F$305,进销存对接!$I$4:$I$305,"客户往来",进销存对接!$C$4:$C$305,$B175)+SUMIFS(记账凭证!$I$4:$I$3609,记账凭证!$J$4:$J$3609,$B175,记账凭证!$E$4:$E$3609,"应付账款"),2))</f>
        <v/>
      </c>
      <c r="I175" s="70" t="str">
        <f aca="false">IF($B175="","",ROUND(SUMIFS(记账凭证!$H$4:$H$3609,记账凭证!$J$4:$J$3609,$B175,记账凭证!$E$4:$E$3609,"应付账款"),2))</f>
        <v/>
      </c>
      <c r="J175" s="70" t="str">
        <f aca="false">IF($B175="","",ROUND(N($G175)+N($H175)-N($I175),2))</f>
        <v/>
      </c>
      <c r="K175" s="70" t="str">
        <f aca="false">IF($B175="","",ROUND(N($F175)-N($J175),2))</f>
        <v/>
      </c>
      <c r="L175" s="40" t="str">
        <f aca="false">IF($B175="","",IF(ROUND(N($K175),2)&gt;0,"对方欠款",IF(ROUND(N($K175),2)&lt;0,"我方欠款","已两清")))</f>
        <v/>
      </c>
      <c r="M175" s="124"/>
    </row>
    <row r="176" customFormat="false" ht="13.5" hidden="false" customHeight="false" outlineLevel="0" collapsed="false">
      <c r="A176" s="40" t="str">
        <f aca="false">IF($B176="","",ROW()-4)</f>
        <v/>
      </c>
      <c r="B176" s="33" t="str">
        <f aca="false">IFERROR(INDEX(_自动清单!$E$4:$E$253,ROW()-4),"")</f>
        <v/>
      </c>
      <c r="C176" s="123"/>
      <c r="D176" s="70" t="str">
        <f aca="false">IF($B176="","",ROUND(SUMIFS(进销存对接!$G$4:$G$305,进销存对接!$I$4:$I$305,"客户往来",进销存对接!$C$4:$C$305,$B176),2))</f>
        <v/>
      </c>
      <c r="E176" s="70" t="str">
        <f aca="false">IF($B176="","",ROUND(SUMIFS(资金日记账!$H$4:$H$603,资金日记账!$E$4:$E$603,$B176,资金日记账!$K$4:$K$603,"应收账款"),2))</f>
        <v/>
      </c>
      <c r="F176" s="70" t="str">
        <f aca="false">IF($B176="","",ROUND(N($C176)+N($D176)-N($E176),2))</f>
        <v/>
      </c>
      <c r="G176" s="123"/>
      <c r="H176" s="70" t="str">
        <f aca="false">IF($B176="","",ROUND(SUMIFS(进销存对接!$F$4:$F$305,进销存对接!$I$4:$I$305,"客户往来",进销存对接!$C$4:$C$305,$B176)+SUMIFS(记账凭证!$I$4:$I$3609,记账凭证!$J$4:$J$3609,$B176,记账凭证!$E$4:$E$3609,"应付账款"),2))</f>
        <v/>
      </c>
      <c r="I176" s="70" t="str">
        <f aca="false">IF($B176="","",ROUND(SUMIFS(记账凭证!$H$4:$H$3609,记账凭证!$J$4:$J$3609,$B176,记账凭证!$E$4:$E$3609,"应付账款"),2))</f>
        <v/>
      </c>
      <c r="J176" s="70" t="str">
        <f aca="false">IF($B176="","",ROUND(N($G176)+N($H176)-N($I176),2))</f>
        <v/>
      </c>
      <c r="K176" s="70" t="str">
        <f aca="false">IF($B176="","",ROUND(N($F176)-N($J176),2))</f>
        <v/>
      </c>
      <c r="L176" s="40" t="str">
        <f aca="false">IF($B176="","",IF(ROUND(N($K176),2)&gt;0,"对方欠款",IF(ROUND(N($K176),2)&lt;0,"我方欠款","已两清")))</f>
        <v/>
      </c>
      <c r="M176" s="124"/>
    </row>
    <row r="177" customFormat="false" ht="13.5" hidden="false" customHeight="false" outlineLevel="0" collapsed="false">
      <c r="A177" s="40" t="str">
        <f aca="false">IF($B177="","",ROW()-4)</f>
        <v/>
      </c>
      <c r="B177" s="33" t="str">
        <f aca="false">IFERROR(INDEX(_自动清单!$E$4:$E$253,ROW()-4),"")</f>
        <v/>
      </c>
      <c r="C177" s="123"/>
      <c r="D177" s="70" t="str">
        <f aca="false">IF($B177="","",ROUND(SUMIFS(进销存对接!$G$4:$G$305,进销存对接!$I$4:$I$305,"客户往来",进销存对接!$C$4:$C$305,$B177),2))</f>
        <v/>
      </c>
      <c r="E177" s="70" t="str">
        <f aca="false">IF($B177="","",ROUND(SUMIFS(资金日记账!$H$4:$H$603,资金日记账!$E$4:$E$603,$B177,资金日记账!$K$4:$K$603,"应收账款"),2))</f>
        <v/>
      </c>
      <c r="F177" s="70" t="str">
        <f aca="false">IF($B177="","",ROUND(N($C177)+N($D177)-N($E177),2))</f>
        <v/>
      </c>
      <c r="G177" s="123"/>
      <c r="H177" s="70" t="str">
        <f aca="false">IF($B177="","",ROUND(SUMIFS(进销存对接!$F$4:$F$305,进销存对接!$I$4:$I$305,"客户往来",进销存对接!$C$4:$C$305,$B177)+SUMIFS(记账凭证!$I$4:$I$3609,记账凭证!$J$4:$J$3609,$B177,记账凭证!$E$4:$E$3609,"应付账款"),2))</f>
        <v/>
      </c>
      <c r="I177" s="70" t="str">
        <f aca="false">IF($B177="","",ROUND(SUMIFS(记账凭证!$H$4:$H$3609,记账凭证!$J$4:$J$3609,$B177,记账凭证!$E$4:$E$3609,"应付账款"),2))</f>
        <v/>
      </c>
      <c r="J177" s="70" t="str">
        <f aca="false">IF($B177="","",ROUND(N($G177)+N($H177)-N($I177),2))</f>
        <v/>
      </c>
      <c r="K177" s="70" t="str">
        <f aca="false">IF($B177="","",ROUND(N($F177)-N($J177),2))</f>
        <v/>
      </c>
      <c r="L177" s="40" t="str">
        <f aca="false">IF($B177="","",IF(ROUND(N($K177),2)&gt;0,"对方欠款",IF(ROUND(N($K177),2)&lt;0,"我方欠款","已两清")))</f>
        <v/>
      </c>
      <c r="M177" s="124"/>
    </row>
    <row r="178" customFormat="false" ht="13.5" hidden="false" customHeight="false" outlineLevel="0" collapsed="false">
      <c r="A178" s="40" t="str">
        <f aca="false">IF($B178="","",ROW()-4)</f>
        <v/>
      </c>
      <c r="B178" s="33" t="str">
        <f aca="false">IFERROR(INDEX(_自动清单!$E$4:$E$253,ROW()-4),"")</f>
        <v/>
      </c>
      <c r="C178" s="123"/>
      <c r="D178" s="70" t="str">
        <f aca="false">IF($B178="","",ROUND(SUMIFS(进销存对接!$G$4:$G$305,进销存对接!$I$4:$I$305,"客户往来",进销存对接!$C$4:$C$305,$B178),2))</f>
        <v/>
      </c>
      <c r="E178" s="70" t="str">
        <f aca="false">IF($B178="","",ROUND(SUMIFS(资金日记账!$H$4:$H$603,资金日记账!$E$4:$E$603,$B178,资金日记账!$K$4:$K$603,"应收账款"),2))</f>
        <v/>
      </c>
      <c r="F178" s="70" t="str">
        <f aca="false">IF($B178="","",ROUND(N($C178)+N($D178)-N($E178),2))</f>
        <v/>
      </c>
      <c r="G178" s="123"/>
      <c r="H178" s="70" t="str">
        <f aca="false">IF($B178="","",ROUND(SUMIFS(进销存对接!$F$4:$F$305,进销存对接!$I$4:$I$305,"客户往来",进销存对接!$C$4:$C$305,$B178)+SUMIFS(记账凭证!$I$4:$I$3609,记账凭证!$J$4:$J$3609,$B178,记账凭证!$E$4:$E$3609,"应付账款"),2))</f>
        <v/>
      </c>
      <c r="I178" s="70" t="str">
        <f aca="false">IF($B178="","",ROUND(SUMIFS(记账凭证!$H$4:$H$3609,记账凭证!$J$4:$J$3609,$B178,记账凭证!$E$4:$E$3609,"应付账款"),2))</f>
        <v/>
      </c>
      <c r="J178" s="70" t="str">
        <f aca="false">IF($B178="","",ROUND(N($G178)+N($H178)-N($I178),2))</f>
        <v/>
      </c>
      <c r="K178" s="70" t="str">
        <f aca="false">IF($B178="","",ROUND(N($F178)-N($J178),2))</f>
        <v/>
      </c>
      <c r="L178" s="40" t="str">
        <f aca="false">IF($B178="","",IF(ROUND(N($K178),2)&gt;0,"对方欠款",IF(ROUND(N($K178),2)&lt;0,"我方欠款","已两清")))</f>
        <v/>
      </c>
      <c r="M178" s="124"/>
    </row>
    <row r="179" customFormat="false" ht="13.5" hidden="false" customHeight="false" outlineLevel="0" collapsed="false">
      <c r="A179" s="40" t="str">
        <f aca="false">IF($B179="","",ROW()-4)</f>
        <v/>
      </c>
      <c r="B179" s="33" t="str">
        <f aca="false">IFERROR(INDEX(_自动清单!$E$4:$E$253,ROW()-4),"")</f>
        <v/>
      </c>
      <c r="C179" s="123"/>
      <c r="D179" s="70" t="str">
        <f aca="false">IF($B179="","",ROUND(SUMIFS(进销存对接!$G$4:$G$305,进销存对接!$I$4:$I$305,"客户往来",进销存对接!$C$4:$C$305,$B179),2))</f>
        <v/>
      </c>
      <c r="E179" s="70" t="str">
        <f aca="false">IF($B179="","",ROUND(SUMIFS(资金日记账!$H$4:$H$603,资金日记账!$E$4:$E$603,$B179,资金日记账!$K$4:$K$603,"应收账款"),2))</f>
        <v/>
      </c>
      <c r="F179" s="70" t="str">
        <f aca="false">IF($B179="","",ROUND(N($C179)+N($D179)-N($E179),2))</f>
        <v/>
      </c>
      <c r="G179" s="123"/>
      <c r="H179" s="70" t="str">
        <f aca="false">IF($B179="","",ROUND(SUMIFS(进销存对接!$F$4:$F$305,进销存对接!$I$4:$I$305,"客户往来",进销存对接!$C$4:$C$305,$B179)+SUMIFS(记账凭证!$I$4:$I$3609,记账凭证!$J$4:$J$3609,$B179,记账凭证!$E$4:$E$3609,"应付账款"),2))</f>
        <v/>
      </c>
      <c r="I179" s="70" t="str">
        <f aca="false">IF($B179="","",ROUND(SUMIFS(记账凭证!$H$4:$H$3609,记账凭证!$J$4:$J$3609,$B179,记账凭证!$E$4:$E$3609,"应付账款"),2))</f>
        <v/>
      </c>
      <c r="J179" s="70" t="str">
        <f aca="false">IF($B179="","",ROUND(N($G179)+N($H179)-N($I179),2))</f>
        <v/>
      </c>
      <c r="K179" s="70" t="str">
        <f aca="false">IF($B179="","",ROUND(N($F179)-N($J179),2))</f>
        <v/>
      </c>
      <c r="L179" s="40" t="str">
        <f aca="false">IF($B179="","",IF(ROUND(N($K179),2)&gt;0,"对方欠款",IF(ROUND(N($K179),2)&lt;0,"我方欠款","已两清")))</f>
        <v/>
      </c>
      <c r="M179" s="124"/>
    </row>
    <row r="180" customFormat="false" ht="13.5" hidden="false" customHeight="false" outlineLevel="0" collapsed="false">
      <c r="A180" s="40" t="str">
        <f aca="false">IF($B180="","",ROW()-4)</f>
        <v/>
      </c>
      <c r="B180" s="33" t="str">
        <f aca="false">IFERROR(INDEX(_自动清单!$E$4:$E$253,ROW()-4),"")</f>
        <v/>
      </c>
      <c r="C180" s="123"/>
      <c r="D180" s="70" t="str">
        <f aca="false">IF($B180="","",ROUND(SUMIFS(进销存对接!$G$4:$G$305,进销存对接!$I$4:$I$305,"客户往来",进销存对接!$C$4:$C$305,$B180),2))</f>
        <v/>
      </c>
      <c r="E180" s="70" t="str">
        <f aca="false">IF($B180="","",ROUND(SUMIFS(资金日记账!$H$4:$H$603,资金日记账!$E$4:$E$603,$B180,资金日记账!$K$4:$K$603,"应收账款"),2))</f>
        <v/>
      </c>
      <c r="F180" s="70" t="str">
        <f aca="false">IF($B180="","",ROUND(N($C180)+N($D180)-N($E180),2))</f>
        <v/>
      </c>
      <c r="G180" s="123"/>
      <c r="H180" s="70" t="str">
        <f aca="false">IF($B180="","",ROUND(SUMIFS(进销存对接!$F$4:$F$305,进销存对接!$I$4:$I$305,"客户往来",进销存对接!$C$4:$C$305,$B180)+SUMIFS(记账凭证!$I$4:$I$3609,记账凭证!$J$4:$J$3609,$B180,记账凭证!$E$4:$E$3609,"应付账款"),2))</f>
        <v/>
      </c>
      <c r="I180" s="70" t="str">
        <f aca="false">IF($B180="","",ROUND(SUMIFS(记账凭证!$H$4:$H$3609,记账凭证!$J$4:$J$3609,$B180,记账凭证!$E$4:$E$3609,"应付账款"),2))</f>
        <v/>
      </c>
      <c r="J180" s="70" t="str">
        <f aca="false">IF($B180="","",ROUND(N($G180)+N($H180)-N($I180),2))</f>
        <v/>
      </c>
      <c r="K180" s="70" t="str">
        <f aca="false">IF($B180="","",ROUND(N($F180)-N($J180),2))</f>
        <v/>
      </c>
      <c r="L180" s="40" t="str">
        <f aca="false">IF($B180="","",IF(ROUND(N($K180),2)&gt;0,"对方欠款",IF(ROUND(N($K180),2)&lt;0,"我方欠款","已两清")))</f>
        <v/>
      </c>
      <c r="M180" s="124"/>
    </row>
    <row r="181" customFormat="false" ht="13.5" hidden="false" customHeight="false" outlineLevel="0" collapsed="false">
      <c r="A181" s="40" t="str">
        <f aca="false">IF($B181="","",ROW()-4)</f>
        <v/>
      </c>
      <c r="B181" s="33" t="str">
        <f aca="false">IFERROR(INDEX(_自动清单!$E$4:$E$253,ROW()-4),"")</f>
        <v/>
      </c>
      <c r="C181" s="123"/>
      <c r="D181" s="70" t="str">
        <f aca="false">IF($B181="","",ROUND(SUMIFS(进销存对接!$G$4:$G$305,进销存对接!$I$4:$I$305,"客户往来",进销存对接!$C$4:$C$305,$B181),2))</f>
        <v/>
      </c>
      <c r="E181" s="70" t="str">
        <f aca="false">IF($B181="","",ROUND(SUMIFS(资金日记账!$H$4:$H$603,资金日记账!$E$4:$E$603,$B181,资金日记账!$K$4:$K$603,"应收账款"),2))</f>
        <v/>
      </c>
      <c r="F181" s="70" t="str">
        <f aca="false">IF($B181="","",ROUND(N($C181)+N($D181)-N($E181),2))</f>
        <v/>
      </c>
      <c r="G181" s="123"/>
      <c r="H181" s="70" t="str">
        <f aca="false">IF($B181="","",ROUND(SUMIFS(进销存对接!$F$4:$F$305,进销存对接!$I$4:$I$305,"客户往来",进销存对接!$C$4:$C$305,$B181)+SUMIFS(记账凭证!$I$4:$I$3609,记账凭证!$J$4:$J$3609,$B181,记账凭证!$E$4:$E$3609,"应付账款"),2))</f>
        <v/>
      </c>
      <c r="I181" s="70" t="str">
        <f aca="false">IF($B181="","",ROUND(SUMIFS(记账凭证!$H$4:$H$3609,记账凭证!$J$4:$J$3609,$B181,记账凭证!$E$4:$E$3609,"应付账款"),2))</f>
        <v/>
      </c>
      <c r="J181" s="70" t="str">
        <f aca="false">IF($B181="","",ROUND(N($G181)+N($H181)-N($I181),2))</f>
        <v/>
      </c>
      <c r="K181" s="70" t="str">
        <f aca="false">IF($B181="","",ROUND(N($F181)-N($J181),2))</f>
        <v/>
      </c>
      <c r="L181" s="40" t="str">
        <f aca="false">IF($B181="","",IF(ROUND(N($K181),2)&gt;0,"对方欠款",IF(ROUND(N($K181),2)&lt;0,"我方欠款","已两清")))</f>
        <v/>
      </c>
      <c r="M181" s="124"/>
    </row>
    <row r="182" customFormat="false" ht="13.5" hidden="false" customHeight="false" outlineLevel="0" collapsed="false">
      <c r="A182" s="40" t="str">
        <f aca="false">IF($B182="","",ROW()-4)</f>
        <v/>
      </c>
      <c r="B182" s="33" t="str">
        <f aca="false">IFERROR(INDEX(_自动清单!$E$4:$E$253,ROW()-4),"")</f>
        <v/>
      </c>
      <c r="C182" s="123"/>
      <c r="D182" s="70" t="str">
        <f aca="false">IF($B182="","",ROUND(SUMIFS(进销存对接!$G$4:$G$305,进销存对接!$I$4:$I$305,"客户往来",进销存对接!$C$4:$C$305,$B182),2))</f>
        <v/>
      </c>
      <c r="E182" s="70" t="str">
        <f aca="false">IF($B182="","",ROUND(SUMIFS(资金日记账!$H$4:$H$603,资金日记账!$E$4:$E$603,$B182,资金日记账!$K$4:$K$603,"应收账款"),2))</f>
        <v/>
      </c>
      <c r="F182" s="70" t="str">
        <f aca="false">IF($B182="","",ROUND(N($C182)+N($D182)-N($E182),2))</f>
        <v/>
      </c>
      <c r="G182" s="123"/>
      <c r="H182" s="70" t="str">
        <f aca="false">IF($B182="","",ROUND(SUMIFS(进销存对接!$F$4:$F$305,进销存对接!$I$4:$I$305,"客户往来",进销存对接!$C$4:$C$305,$B182)+SUMIFS(记账凭证!$I$4:$I$3609,记账凭证!$J$4:$J$3609,$B182,记账凭证!$E$4:$E$3609,"应付账款"),2))</f>
        <v/>
      </c>
      <c r="I182" s="70" t="str">
        <f aca="false">IF($B182="","",ROUND(SUMIFS(记账凭证!$H$4:$H$3609,记账凭证!$J$4:$J$3609,$B182,记账凭证!$E$4:$E$3609,"应付账款"),2))</f>
        <v/>
      </c>
      <c r="J182" s="70" t="str">
        <f aca="false">IF($B182="","",ROUND(N($G182)+N($H182)-N($I182),2))</f>
        <v/>
      </c>
      <c r="K182" s="70" t="str">
        <f aca="false">IF($B182="","",ROUND(N($F182)-N($J182),2))</f>
        <v/>
      </c>
      <c r="L182" s="40" t="str">
        <f aca="false">IF($B182="","",IF(ROUND(N($K182),2)&gt;0,"对方欠款",IF(ROUND(N($K182),2)&lt;0,"我方欠款","已两清")))</f>
        <v/>
      </c>
      <c r="M182" s="124"/>
    </row>
    <row r="183" customFormat="false" ht="13.5" hidden="false" customHeight="false" outlineLevel="0" collapsed="false">
      <c r="A183" s="40" t="str">
        <f aca="false">IF($B183="","",ROW()-4)</f>
        <v/>
      </c>
      <c r="B183" s="33" t="str">
        <f aca="false">IFERROR(INDEX(_自动清单!$E$4:$E$253,ROW()-4),"")</f>
        <v/>
      </c>
      <c r="C183" s="123"/>
      <c r="D183" s="70" t="str">
        <f aca="false">IF($B183="","",ROUND(SUMIFS(进销存对接!$G$4:$G$305,进销存对接!$I$4:$I$305,"客户往来",进销存对接!$C$4:$C$305,$B183),2))</f>
        <v/>
      </c>
      <c r="E183" s="70" t="str">
        <f aca="false">IF($B183="","",ROUND(SUMIFS(资金日记账!$H$4:$H$603,资金日记账!$E$4:$E$603,$B183,资金日记账!$K$4:$K$603,"应收账款"),2))</f>
        <v/>
      </c>
      <c r="F183" s="70" t="str">
        <f aca="false">IF($B183="","",ROUND(N($C183)+N($D183)-N($E183),2))</f>
        <v/>
      </c>
      <c r="G183" s="123"/>
      <c r="H183" s="70" t="str">
        <f aca="false">IF($B183="","",ROUND(SUMIFS(进销存对接!$F$4:$F$305,进销存对接!$I$4:$I$305,"客户往来",进销存对接!$C$4:$C$305,$B183)+SUMIFS(记账凭证!$I$4:$I$3609,记账凭证!$J$4:$J$3609,$B183,记账凭证!$E$4:$E$3609,"应付账款"),2))</f>
        <v/>
      </c>
      <c r="I183" s="70" t="str">
        <f aca="false">IF($B183="","",ROUND(SUMIFS(记账凭证!$H$4:$H$3609,记账凭证!$J$4:$J$3609,$B183,记账凭证!$E$4:$E$3609,"应付账款"),2))</f>
        <v/>
      </c>
      <c r="J183" s="70" t="str">
        <f aca="false">IF($B183="","",ROUND(N($G183)+N($H183)-N($I183),2))</f>
        <v/>
      </c>
      <c r="K183" s="70" t="str">
        <f aca="false">IF($B183="","",ROUND(N($F183)-N($J183),2))</f>
        <v/>
      </c>
      <c r="L183" s="40" t="str">
        <f aca="false">IF($B183="","",IF(ROUND(N($K183),2)&gt;0,"对方欠款",IF(ROUND(N($K183),2)&lt;0,"我方欠款","已两清")))</f>
        <v/>
      </c>
      <c r="M183" s="124"/>
    </row>
    <row r="184" customFormat="false" ht="13.5" hidden="false" customHeight="false" outlineLevel="0" collapsed="false">
      <c r="A184" s="40" t="str">
        <f aca="false">IF($B184="","",ROW()-4)</f>
        <v/>
      </c>
      <c r="B184" s="33" t="str">
        <f aca="false">IFERROR(INDEX(_自动清单!$E$4:$E$253,ROW()-4),"")</f>
        <v/>
      </c>
      <c r="C184" s="123"/>
      <c r="D184" s="70" t="str">
        <f aca="false">IF($B184="","",ROUND(SUMIFS(进销存对接!$G$4:$G$305,进销存对接!$I$4:$I$305,"客户往来",进销存对接!$C$4:$C$305,$B184),2))</f>
        <v/>
      </c>
      <c r="E184" s="70" t="str">
        <f aca="false">IF($B184="","",ROUND(SUMIFS(资金日记账!$H$4:$H$603,资金日记账!$E$4:$E$603,$B184,资金日记账!$K$4:$K$603,"应收账款"),2))</f>
        <v/>
      </c>
      <c r="F184" s="70" t="str">
        <f aca="false">IF($B184="","",ROUND(N($C184)+N($D184)-N($E184),2))</f>
        <v/>
      </c>
      <c r="G184" s="123"/>
      <c r="H184" s="70" t="str">
        <f aca="false">IF($B184="","",ROUND(SUMIFS(进销存对接!$F$4:$F$305,进销存对接!$I$4:$I$305,"客户往来",进销存对接!$C$4:$C$305,$B184)+SUMIFS(记账凭证!$I$4:$I$3609,记账凭证!$J$4:$J$3609,$B184,记账凭证!$E$4:$E$3609,"应付账款"),2))</f>
        <v/>
      </c>
      <c r="I184" s="70" t="str">
        <f aca="false">IF($B184="","",ROUND(SUMIFS(记账凭证!$H$4:$H$3609,记账凭证!$J$4:$J$3609,$B184,记账凭证!$E$4:$E$3609,"应付账款"),2))</f>
        <v/>
      </c>
      <c r="J184" s="70" t="str">
        <f aca="false">IF($B184="","",ROUND(N($G184)+N($H184)-N($I184),2))</f>
        <v/>
      </c>
      <c r="K184" s="70" t="str">
        <f aca="false">IF($B184="","",ROUND(N($F184)-N($J184),2))</f>
        <v/>
      </c>
      <c r="L184" s="40" t="str">
        <f aca="false">IF($B184="","",IF(ROUND(N($K184),2)&gt;0,"对方欠款",IF(ROUND(N($K184),2)&lt;0,"我方欠款","已两清")))</f>
        <v/>
      </c>
      <c r="M184" s="124"/>
    </row>
    <row r="185" customFormat="false" ht="13.5" hidden="false" customHeight="false" outlineLevel="0" collapsed="false">
      <c r="A185" s="40" t="str">
        <f aca="false">IF($B185="","",ROW()-4)</f>
        <v/>
      </c>
      <c r="B185" s="33" t="str">
        <f aca="false">IFERROR(INDEX(_自动清单!$E$4:$E$253,ROW()-4),"")</f>
        <v/>
      </c>
      <c r="C185" s="123"/>
      <c r="D185" s="70" t="str">
        <f aca="false">IF($B185="","",ROUND(SUMIFS(进销存对接!$G$4:$G$305,进销存对接!$I$4:$I$305,"客户往来",进销存对接!$C$4:$C$305,$B185),2))</f>
        <v/>
      </c>
      <c r="E185" s="70" t="str">
        <f aca="false">IF($B185="","",ROUND(SUMIFS(资金日记账!$H$4:$H$603,资金日记账!$E$4:$E$603,$B185,资金日记账!$K$4:$K$603,"应收账款"),2))</f>
        <v/>
      </c>
      <c r="F185" s="70" t="str">
        <f aca="false">IF($B185="","",ROUND(N($C185)+N($D185)-N($E185),2))</f>
        <v/>
      </c>
      <c r="G185" s="123"/>
      <c r="H185" s="70" t="str">
        <f aca="false">IF($B185="","",ROUND(SUMIFS(进销存对接!$F$4:$F$305,进销存对接!$I$4:$I$305,"客户往来",进销存对接!$C$4:$C$305,$B185)+SUMIFS(记账凭证!$I$4:$I$3609,记账凭证!$J$4:$J$3609,$B185,记账凭证!$E$4:$E$3609,"应付账款"),2))</f>
        <v/>
      </c>
      <c r="I185" s="70" t="str">
        <f aca="false">IF($B185="","",ROUND(SUMIFS(记账凭证!$H$4:$H$3609,记账凭证!$J$4:$J$3609,$B185,记账凭证!$E$4:$E$3609,"应付账款"),2))</f>
        <v/>
      </c>
      <c r="J185" s="70" t="str">
        <f aca="false">IF($B185="","",ROUND(N($G185)+N($H185)-N($I185),2))</f>
        <v/>
      </c>
      <c r="K185" s="70" t="str">
        <f aca="false">IF($B185="","",ROUND(N($F185)-N($J185),2))</f>
        <v/>
      </c>
      <c r="L185" s="40" t="str">
        <f aca="false">IF($B185="","",IF(ROUND(N($K185),2)&gt;0,"对方欠款",IF(ROUND(N($K185),2)&lt;0,"我方欠款","已两清")))</f>
        <v/>
      </c>
      <c r="M185" s="124"/>
    </row>
    <row r="186" customFormat="false" ht="13.5" hidden="false" customHeight="false" outlineLevel="0" collapsed="false">
      <c r="A186" s="40" t="str">
        <f aca="false">IF($B186="","",ROW()-4)</f>
        <v/>
      </c>
      <c r="B186" s="33" t="str">
        <f aca="false">IFERROR(INDEX(_自动清单!$E$4:$E$253,ROW()-4),"")</f>
        <v/>
      </c>
      <c r="C186" s="123"/>
      <c r="D186" s="70" t="str">
        <f aca="false">IF($B186="","",ROUND(SUMIFS(进销存对接!$G$4:$G$305,进销存对接!$I$4:$I$305,"客户往来",进销存对接!$C$4:$C$305,$B186),2))</f>
        <v/>
      </c>
      <c r="E186" s="70" t="str">
        <f aca="false">IF($B186="","",ROUND(SUMIFS(资金日记账!$H$4:$H$603,资金日记账!$E$4:$E$603,$B186,资金日记账!$K$4:$K$603,"应收账款"),2))</f>
        <v/>
      </c>
      <c r="F186" s="70" t="str">
        <f aca="false">IF($B186="","",ROUND(N($C186)+N($D186)-N($E186),2))</f>
        <v/>
      </c>
      <c r="G186" s="123"/>
      <c r="H186" s="70" t="str">
        <f aca="false">IF($B186="","",ROUND(SUMIFS(进销存对接!$F$4:$F$305,进销存对接!$I$4:$I$305,"客户往来",进销存对接!$C$4:$C$305,$B186)+SUMIFS(记账凭证!$I$4:$I$3609,记账凭证!$J$4:$J$3609,$B186,记账凭证!$E$4:$E$3609,"应付账款"),2))</f>
        <v/>
      </c>
      <c r="I186" s="70" t="str">
        <f aca="false">IF($B186="","",ROUND(SUMIFS(记账凭证!$H$4:$H$3609,记账凭证!$J$4:$J$3609,$B186,记账凭证!$E$4:$E$3609,"应付账款"),2))</f>
        <v/>
      </c>
      <c r="J186" s="70" t="str">
        <f aca="false">IF($B186="","",ROUND(N($G186)+N($H186)-N($I186),2))</f>
        <v/>
      </c>
      <c r="K186" s="70" t="str">
        <f aca="false">IF($B186="","",ROUND(N($F186)-N($J186),2))</f>
        <v/>
      </c>
      <c r="L186" s="40" t="str">
        <f aca="false">IF($B186="","",IF(ROUND(N($K186),2)&gt;0,"对方欠款",IF(ROUND(N($K186),2)&lt;0,"我方欠款","已两清")))</f>
        <v/>
      </c>
      <c r="M186" s="124"/>
    </row>
    <row r="187" customFormat="false" ht="13.5" hidden="false" customHeight="false" outlineLevel="0" collapsed="false">
      <c r="A187" s="40" t="str">
        <f aca="false">IF($B187="","",ROW()-4)</f>
        <v/>
      </c>
      <c r="B187" s="33" t="str">
        <f aca="false">IFERROR(INDEX(_自动清单!$E$4:$E$253,ROW()-4),"")</f>
        <v/>
      </c>
      <c r="C187" s="123"/>
      <c r="D187" s="70" t="str">
        <f aca="false">IF($B187="","",ROUND(SUMIFS(进销存对接!$G$4:$G$305,进销存对接!$I$4:$I$305,"客户往来",进销存对接!$C$4:$C$305,$B187),2))</f>
        <v/>
      </c>
      <c r="E187" s="70" t="str">
        <f aca="false">IF($B187="","",ROUND(SUMIFS(资金日记账!$H$4:$H$603,资金日记账!$E$4:$E$603,$B187,资金日记账!$K$4:$K$603,"应收账款"),2))</f>
        <v/>
      </c>
      <c r="F187" s="70" t="str">
        <f aca="false">IF($B187="","",ROUND(N($C187)+N($D187)-N($E187),2))</f>
        <v/>
      </c>
      <c r="G187" s="123"/>
      <c r="H187" s="70" t="str">
        <f aca="false">IF($B187="","",ROUND(SUMIFS(进销存对接!$F$4:$F$305,进销存对接!$I$4:$I$305,"客户往来",进销存对接!$C$4:$C$305,$B187)+SUMIFS(记账凭证!$I$4:$I$3609,记账凭证!$J$4:$J$3609,$B187,记账凭证!$E$4:$E$3609,"应付账款"),2))</f>
        <v/>
      </c>
      <c r="I187" s="70" t="str">
        <f aca="false">IF($B187="","",ROUND(SUMIFS(记账凭证!$H$4:$H$3609,记账凭证!$J$4:$J$3609,$B187,记账凭证!$E$4:$E$3609,"应付账款"),2))</f>
        <v/>
      </c>
      <c r="J187" s="70" t="str">
        <f aca="false">IF($B187="","",ROUND(N($G187)+N($H187)-N($I187),2))</f>
        <v/>
      </c>
      <c r="K187" s="70" t="str">
        <f aca="false">IF($B187="","",ROUND(N($F187)-N($J187),2))</f>
        <v/>
      </c>
      <c r="L187" s="40" t="str">
        <f aca="false">IF($B187="","",IF(ROUND(N($K187),2)&gt;0,"对方欠款",IF(ROUND(N($K187),2)&lt;0,"我方欠款","已两清")))</f>
        <v/>
      </c>
      <c r="M187" s="124"/>
    </row>
    <row r="188" customFormat="false" ht="13.5" hidden="false" customHeight="false" outlineLevel="0" collapsed="false">
      <c r="A188" s="40" t="str">
        <f aca="false">IF($B188="","",ROW()-4)</f>
        <v/>
      </c>
      <c r="B188" s="33" t="str">
        <f aca="false">IFERROR(INDEX(_自动清单!$E$4:$E$253,ROW()-4),"")</f>
        <v/>
      </c>
      <c r="C188" s="123"/>
      <c r="D188" s="70" t="str">
        <f aca="false">IF($B188="","",ROUND(SUMIFS(进销存对接!$G$4:$G$305,进销存对接!$I$4:$I$305,"客户往来",进销存对接!$C$4:$C$305,$B188),2))</f>
        <v/>
      </c>
      <c r="E188" s="70" t="str">
        <f aca="false">IF($B188="","",ROUND(SUMIFS(资金日记账!$H$4:$H$603,资金日记账!$E$4:$E$603,$B188,资金日记账!$K$4:$K$603,"应收账款"),2))</f>
        <v/>
      </c>
      <c r="F188" s="70" t="str">
        <f aca="false">IF($B188="","",ROUND(N($C188)+N($D188)-N($E188),2))</f>
        <v/>
      </c>
      <c r="G188" s="123"/>
      <c r="H188" s="70" t="str">
        <f aca="false">IF($B188="","",ROUND(SUMIFS(进销存对接!$F$4:$F$305,进销存对接!$I$4:$I$305,"客户往来",进销存对接!$C$4:$C$305,$B188)+SUMIFS(记账凭证!$I$4:$I$3609,记账凭证!$J$4:$J$3609,$B188,记账凭证!$E$4:$E$3609,"应付账款"),2))</f>
        <v/>
      </c>
      <c r="I188" s="70" t="str">
        <f aca="false">IF($B188="","",ROUND(SUMIFS(记账凭证!$H$4:$H$3609,记账凭证!$J$4:$J$3609,$B188,记账凭证!$E$4:$E$3609,"应付账款"),2))</f>
        <v/>
      </c>
      <c r="J188" s="70" t="str">
        <f aca="false">IF($B188="","",ROUND(N($G188)+N($H188)-N($I188),2))</f>
        <v/>
      </c>
      <c r="K188" s="70" t="str">
        <f aca="false">IF($B188="","",ROUND(N($F188)-N($J188),2))</f>
        <v/>
      </c>
      <c r="L188" s="40" t="str">
        <f aca="false">IF($B188="","",IF(ROUND(N($K188),2)&gt;0,"对方欠款",IF(ROUND(N($K188),2)&lt;0,"我方欠款","已两清")))</f>
        <v/>
      </c>
      <c r="M188" s="124"/>
    </row>
    <row r="189" customFormat="false" ht="13.5" hidden="false" customHeight="false" outlineLevel="0" collapsed="false">
      <c r="A189" s="40" t="str">
        <f aca="false">IF($B189="","",ROW()-4)</f>
        <v/>
      </c>
      <c r="B189" s="33" t="str">
        <f aca="false">IFERROR(INDEX(_自动清单!$E$4:$E$253,ROW()-4),"")</f>
        <v/>
      </c>
      <c r="C189" s="123"/>
      <c r="D189" s="70" t="str">
        <f aca="false">IF($B189="","",ROUND(SUMIFS(进销存对接!$G$4:$G$305,进销存对接!$I$4:$I$305,"客户往来",进销存对接!$C$4:$C$305,$B189),2))</f>
        <v/>
      </c>
      <c r="E189" s="70" t="str">
        <f aca="false">IF($B189="","",ROUND(SUMIFS(资金日记账!$H$4:$H$603,资金日记账!$E$4:$E$603,$B189,资金日记账!$K$4:$K$603,"应收账款"),2))</f>
        <v/>
      </c>
      <c r="F189" s="70" t="str">
        <f aca="false">IF($B189="","",ROUND(N($C189)+N($D189)-N($E189),2))</f>
        <v/>
      </c>
      <c r="G189" s="123"/>
      <c r="H189" s="70" t="str">
        <f aca="false">IF($B189="","",ROUND(SUMIFS(进销存对接!$F$4:$F$305,进销存对接!$I$4:$I$305,"客户往来",进销存对接!$C$4:$C$305,$B189)+SUMIFS(记账凭证!$I$4:$I$3609,记账凭证!$J$4:$J$3609,$B189,记账凭证!$E$4:$E$3609,"应付账款"),2))</f>
        <v/>
      </c>
      <c r="I189" s="70" t="str">
        <f aca="false">IF($B189="","",ROUND(SUMIFS(记账凭证!$H$4:$H$3609,记账凭证!$J$4:$J$3609,$B189,记账凭证!$E$4:$E$3609,"应付账款"),2))</f>
        <v/>
      </c>
      <c r="J189" s="70" t="str">
        <f aca="false">IF($B189="","",ROUND(N($G189)+N($H189)-N($I189),2))</f>
        <v/>
      </c>
      <c r="K189" s="70" t="str">
        <f aca="false">IF($B189="","",ROUND(N($F189)-N($J189),2))</f>
        <v/>
      </c>
      <c r="L189" s="40" t="str">
        <f aca="false">IF($B189="","",IF(ROUND(N($K189),2)&gt;0,"对方欠款",IF(ROUND(N($K189),2)&lt;0,"我方欠款","已两清")))</f>
        <v/>
      </c>
      <c r="M189" s="124"/>
    </row>
    <row r="190" customFormat="false" ht="13.5" hidden="false" customHeight="false" outlineLevel="0" collapsed="false">
      <c r="A190" s="40" t="str">
        <f aca="false">IF($B190="","",ROW()-4)</f>
        <v/>
      </c>
      <c r="B190" s="33" t="str">
        <f aca="false">IFERROR(INDEX(_自动清单!$E$4:$E$253,ROW()-4),"")</f>
        <v/>
      </c>
      <c r="C190" s="123"/>
      <c r="D190" s="70" t="str">
        <f aca="false">IF($B190="","",ROUND(SUMIFS(进销存对接!$G$4:$G$305,进销存对接!$I$4:$I$305,"客户往来",进销存对接!$C$4:$C$305,$B190),2))</f>
        <v/>
      </c>
      <c r="E190" s="70" t="str">
        <f aca="false">IF($B190="","",ROUND(SUMIFS(资金日记账!$H$4:$H$603,资金日记账!$E$4:$E$603,$B190,资金日记账!$K$4:$K$603,"应收账款"),2))</f>
        <v/>
      </c>
      <c r="F190" s="70" t="str">
        <f aca="false">IF($B190="","",ROUND(N($C190)+N($D190)-N($E190),2))</f>
        <v/>
      </c>
      <c r="G190" s="123"/>
      <c r="H190" s="70" t="str">
        <f aca="false">IF($B190="","",ROUND(SUMIFS(进销存对接!$F$4:$F$305,进销存对接!$I$4:$I$305,"客户往来",进销存对接!$C$4:$C$305,$B190)+SUMIFS(记账凭证!$I$4:$I$3609,记账凭证!$J$4:$J$3609,$B190,记账凭证!$E$4:$E$3609,"应付账款"),2))</f>
        <v/>
      </c>
      <c r="I190" s="70" t="str">
        <f aca="false">IF($B190="","",ROUND(SUMIFS(记账凭证!$H$4:$H$3609,记账凭证!$J$4:$J$3609,$B190,记账凭证!$E$4:$E$3609,"应付账款"),2))</f>
        <v/>
      </c>
      <c r="J190" s="70" t="str">
        <f aca="false">IF($B190="","",ROUND(N($G190)+N($H190)-N($I190),2))</f>
        <v/>
      </c>
      <c r="K190" s="70" t="str">
        <f aca="false">IF($B190="","",ROUND(N($F190)-N($J190),2))</f>
        <v/>
      </c>
      <c r="L190" s="40" t="str">
        <f aca="false">IF($B190="","",IF(ROUND(N($K190),2)&gt;0,"对方欠款",IF(ROUND(N($K190),2)&lt;0,"我方欠款","已两清")))</f>
        <v/>
      </c>
      <c r="M190" s="124"/>
    </row>
    <row r="191" customFormat="false" ht="13.5" hidden="false" customHeight="false" outlineLevel="0" collapsed="false">
      <c r="A191" s="40" t="str">
        <f aca="false">IF($B191="","",ROW()-4)</f>
        <v/>
      </c>
      <c r="B191" s="33" t="str">
        <f aca="false">IFERROR(INDEX(_自动清单!$E$4:$E$253,ROW()-4),"")</f>
        <v/>
      </c>
      <c r="C191" s="123"/>
      <c r="D191" s="70" t="str">
        <f aca="false">IF($B191="","",ROUND(SUMIFS(进销存对接!$G$4:$G$305,进销存对接!$I$4:$I$305,"客户往来",进销存对接!$C$4:$C$305,$B191),2))</f>
        <v/>
      </c>
      <c r="E191" s="70" t="str">
        <f aca="false">IF($B191="","",ROUND(SUMIFS(资金日记账!$H$4:$H$603,资金日记账!$E$4:$E$603,$B191,资金日记账!$K$4:$K$603,"应收账款"),2))</f>
        <v/>
      </c>
      <c r="F191" s="70" t="str">
        <f aca="false">IF($B191="","",ROUND(N($C191)+N($D191)-N($E191),2))</f>
        <v/>
      </c>
      <c r="G191" s="123"/>
      <c r="H191" s="70" t="str">
        <f aca="false">IF($B191="","",ROUND(SUMIFS(进销存对接!$F$4:$F$305,进销存对接!$I$4:$I$305,"客户往来",进销存对接!$C$4:$C$305,$B191)+SUMIFS(记账凭证!$I$4:$I$3609,记账凭证!$J$4:$J$3609,$B191,记账凭证!$E$4:$E$3609,"应付账款"),2))</f>
        <v/>
      </c>
      <c r="I191" s="70" t="str">
        <f aca="false">IF($B191="","",ROUND(SUMIFS(记账凭证!$H$4:$H$3609,记账凭证!$J$4:$J$3609,$B191,记账凭证!$E$4:$E$3609,"应付账款"),2))</f>
        <v/>
      </c>
      <c r="J191" s="70" t="str">
        <f aca="false">IF($B191="","",ROUND(N($G191)+N($H191)-N($I191),2))</f>
        <v/>
      </c>
      <c r="K191" s="70" t="str">
        <f aca="false">IF($B191="","",ROUND(N($F191)-N($J191),2))</f>
        <v/>
      </c>
      <c r="L191" s="40" t="str">
        <f aca="false">IF($B191="","",IF(ROUND(N($K191),2)&gt;0,"对方欠款",IF(ROUND(N($K191),2)&lt;0,"我方欠款","已两清")))</f>
        <v/>
      </c>
      <c r="M191" s="124"/>
    </row>
    <row r="192" customFormat="false" ht="13.5" hidden="false" customHeight="false" outlineLevel="0" collapsed="false">
      <c r="A192" s="40" t="str">
        <f aca="false">IF($B192="","",ROW()-4)</f>
        <v/>
      </c>
      <c r="B192" s="33" t="str">
        <f aca="false">IFERROR(INDEX(_自动清单!$E$4:$E$253,ROW()-4),"")</f>
        <v/>
      </c>
      <c r="C192" s="123"/>
      <c r="D192" s="70" t="str">
        <f aca="false">IF($B192="","",ROUND(SUMIFS(进销存对接!$G$4:$G$305,进销存对接!$I$4:$I$305,"客户往来",进销存对接!$C$4:$C$305,$B192),2))</f>
        <v/>
      </c>
      <c r="E192" s="70" t="str">
        <f aca="false">IF($B192="","",ROUND(SUMIFS(资金日记账!$H$4:$H$603,资金日记账!$E$4:$E$603,$B192,资金日记账!$K$4:$K$603,"应收账款"),2))</f>
        <v/>
      </c>
      <c r="F192" s="70" t="str">
        <f aca="false">IF($B192="","",ROUND(N($C192)+N($D192)-N($E192),2))</f>
        <v/>
      </c>
      <c r="G192" s="123"/>
      <c r="H192" s="70" t="str">
        <f aca="false">IF($B192="","",ROUND(SUMIFS(进销存对接!$F$4:$F$305,进销存对接!$I$4:$I$305,"客户往来",进销存对接!$C$4:$C$305,$B192)+SUMIFS(记账凭证!$I$4:$I$3609,记账凭证!$J$4:$J$3609,$B192,记账凭证!$E$4:$E$3609,"应付账款"),2))</f>
        <v/>
      </c>
      <c r="I192" s="70" t="str">
        <f aca="false">IF($B192="","",ROUND(SUMIFS(记账凭证!$H$4:$H$3609,记账凭证!$J$4:$J$3609,$B192,记账凭证!$E$4:$E$3609,"应付账款"),2))</f>
        <v/>
      </c>
      <c r="J192" s="70" t="str">
        <f aca="false">IF($B192="","",ROUND(N($G192)+N($H192)-N($I192),2))</f>
        <v/>
      </c>
      <c r="K192" s="70" t="str">
        <f aca="false">IF($B192="","",ROUND(N($F192)-N($J192),2))</f>
        <v/>
      </c>
      <c r="L192" s="40" t="str">
        <f aca="false">IF($B192="","",IF(ROUND(N($K192),2)&gt;0,"对方欠款",IF(ROUND(N($K192),2)&lt;0,"我方欠款","已两清")))</f>
        <v/>
      </c>
      <c r="M192" s="124"/>
    </row>
    <row r="193" customFormat="false" ht="13.5" hidden="false" customHeight="false" outlineLevel="0" collapsed="false">
      <c r="A193" s="40" t="str">
        <f aca="false">IF($B193="","",ROW()-4)</f>
        <v/>
      </c>
      <c r="B193" s="33" t="str">
        <f aca="false">IFERROR(INDEX(_自动清单!$E$4:$E$253,ROW()-4),"")</f>
        <v/>
      </c>
      <c r="C193" s="123"/>
      <c r="D193" s="70" t="str">
        <f aca="false">IF($B193="","",ROUND(SUMIFS(进销存对接!$G$4:$G$305,进销存对接!$I$4:$I$305,"客户往来",进销存对接!$C$4:$C$305,$B193),2))</f>
        <v/>
      </c>
      <c r="E193" s="70" t="str">
        <f aca="false">IF($B193="","",ROUND(SUMIFS(资金日记账!$H$4:$H$603,资金日记账!$E$4:$E$603,$B193,资金日记账!$K$4:$K$603,"应收账款"),2))</f>
        <v/>
      </c>
      <c r="F193" s="70" t="str">
        <f aca="false">IF($B193="","",ROUND(N($C193)+N($D193)-N($E193),2))</f>
        <v/>
      </c>
      <c r="G193" s="123"/>
      <c r="H193" s="70" t="str">
        <f aca="false">IF($B193="","",ROUND(SUMIFS(进销存对接!$F$4:$F$305,进销存对接!$I$4:$I$305,"客户往来",进销存对接!$C$4:$C$305,$B193)+SUMIFS(记账凭证!$I$4:$I$3609,记账凭证!$J$4:$J$3609,$B193,记账凭证!$E$4:$E$3609,"应付账款"),2))</f>
        <v/>
      </c>
      <c r="I193" s="70" t="str">
        <f aca="false">IF($B193="","",ROUND(SUMIFS(记账凭证!$H$4:$H$3609,记账凭证!$J$4:$J$3609,$B193,记账凭证!$E$4:$E$3609,"应付账款"),2))</f>
        <v/>
      </c>
      <c r="J193" s="70" t="str">
        <f aca="false">IF($B193="","",ROUND(N($G193)+N($H193)-N($I193),2))</f>
        <v/>
      </c>
      <c r="K193" s="70" t="str">
        <f aca="false">IF($B193="","",ROUND(N($F193)-N($J193),2))</f>
        <v/>
      </c>
      <c r="L193" s="40" t="str">
        <f aca="false">IF($B193="","",IF(ROUND(N($K193),2)&gt;0,"对方欠款",IF(ROUND(N($K193),2)&lt;0,"我方欠款","已两清")))</f>
        <v/>
      </c>
      <c r="M193" s="124"/>
    </row>
    <row r="194" customFormat="false" ht="13.5" hidden="false" customHeight="false" outlineLevel="0" collapsed="false">
      <c r="A194" s="40" t="str">
        <f aca="false">IF($B194="","",ROW()-4)</f>
        <v/>
      </c>
      <c r="B194" s="33" t="str">
        <f aca="false">IFERROR(INDEX(_自动清单!$E$4:$E$253,ROW()-4),"")</f>
        <v/>
      </c>
      <c r="C194" s="123"/>
      <c r="D194" s="70" t="str">
        <f aca="false">IF($B194="","",ROUND(SUMIFS(进销存对接!$G$4:$G$305,进销存对接!$I$4:$I$305,"客户往来",进销存对接!$C$4:$C$305,$B194),2))</f>
        <v/>
      </c>
      <c r="E194" s="70" t="str">
        <f aca="false">IF($B194="","",ROUND(SUMIFS(资金日记账!$H$4:$H$603,资金日记账!$E$4:$E$603,$B194,资金日记账!$K$4:$K$603,"应收账款"),2))</f>
        <v/>
      </c>
      <c r="F194" s="70" t="str">
        <f aca="false">IF($B194="","",ROUND(N($C194)+N($D194)-N($E194),2))</f>
        <v/>
      </c>
      <c r="G194" s="123"/>
      <c r="H194" s="70" t="str">
        <f aca="false">IF($B194="","",ROUND(SUMIFS(进销存对接!$F$4:$F$305,进销存对接!$I$4:$I$305,"客户往来",进销存对接!$C$4:$C$305,$B194)+SUMIFS(记账凭证!$I$4:$I$3609,记账凭证!$J$4:$J$3609,$B194,记账凭证!$E$4:$E$3609,"应付账款"),2))</f>
        <v/>
      </c>
      <c r="I194" s="70" t="str">
        <f aca="false">IF($B194="","",ROUND(SUMIFS(记账凭证!$H$4:$H$3609,记账凭证!$J$4:$J$3609,$B194,记账凭证!$E$4:$E$3609,"应付账款"),2))</f>
        <v/>
      </c>
      <c r="J194" s="70" t="str">
        <f aca="false">IF($B194="","",ROUND(N($G194)+N($H194)-N($I194),2))</f>
        <v/>
      </c>
      <c r="K194" s="70" t="str">
        <f aca="false">IF($B194="","",ROUND(N($F194)-N($J194),2))</f>
        <v/>
      </c>
      <c r="L194" s="40" t="str">
        <f aca="false">IF($B194="","",IF(ROUND(N($K194),2)&gt;0,"对方欠款",IF(ROUND(N($K194),2)&lt;0,"我方欠款","已两清")))</f>
        <v/>
      </c>
      <c r="M194" s="124"/>
    </row>
    <row r="195" customFormat="false" ht="13.5" hidden="false" customHeight="false" outlineLevel="0" collapsed="false">
      <c r="A195" s="40" t="str">
        <f aca="false">IF($B195="","",ROW()-4)</f>
        <v/>
      </c>
      <c r="B195" s="33" t="str">
        <f aca="false">IFERROR(INDEX(_自动清单!$E$4:$E$253,ROW()-4),"")</f>
        <v/>
      </c>
      <c r="C195" s="123"/>
      <c r="D195" s="70" t="str">
        <f aca="false">IF($B195="","",ROUND(SUMIFS(进销存对接!$G$4:$G$305,进销存对接!$I$4:$I$305,"客户往来",进销存对接!$C$4:$C$305,$B195),2))</f>
        <v/>
      </c>
      <c r="E195" s="70" t="str">
        <f aca="false">IF($B195="","",ROUND(SUMIFS(资金日记账!$H$4:$H$603,资金日记账!$E$4:$E$603,$B195,资金日记账!$K$4:$K$603,"应收账款"),2))</f>
        <v/>
      </c>
      <c r="F195" s="70" t="str">
        <f aca="false">IF($B195="","",ROUND(N($C195)+N($D195)-N($E195),2))</f>
        <v/>
      </c>
      <c r="G195" s="123"/>
      <c r="H195" s="70" t="str">
        <f aca="false">IF($B195="","",ROUND(SUMIFS(进销存对接!$F$4:$F$305,进销存对接!$I$4:$I$305,"客户往来",进销存对接!$C$4:$C$305,$B195)+SUMIFS(记账凭证!$I$4:$I$3609,记账凭证!$J$4:$J$3609,$B195,记账凭证!$E$4:$E$3609,"应付账款"),2))</f>
        <v/>
      </c>
      <c r="I195" s="70" t="str">
        <f aca="false">IF($B195="","",ROUND(SUMIFS(记账凭证!$H$4:$H$3609,记账凭证!$J$4:$J$3609,$B195,记账凭证!$E$4:$E$3609,"应付账款"),2))</f>
        <v/>
      </c>
      <c r="J195" s="70" t="str">
        <f aca="false">IF($B195="","",ROUND(N($G195)+N($H195)-N($I195),2))</f>
        <v/>
      </c>
      <c r="K195" s="70" t="str">
        <f aca="false">IF($B195="","",ROUND(N($F195)-N($J195),2))</f>
        <v/>
      </c>
      <c r="L195" s="40" t="str">
        <f aca="false">IF($B195="","",IF(ROUND(N($K195),2)&gt;0,"对方欠款",IF(ROUND(N($K195),2)&lt;0,"我方欠款","已两清")))</f>
        <v/>
      </c>
      <c r="M195" s="124"/>
    </row>
    <row r="196" customFormat="false" ht="13.5" hidden="false" customHeight="false" outlineLevel="0" collapsed="false">
      <c r="A196" s="40" t="str">
        <f aca="false">IF($B196="","",ROW()-4)</f>
        <v/>
      </c>
      <c r="B196" s="33" t="str">
        <f aca="false">IFERROR(INDEX(_自动清单!$E$4:$E$253,ROW()-4),"")</f>
        <v/>
      </c>
      <c r="C196" s="123"/>
      <c r="D196" s="70" t="str">
        <f aca="false">IF($B196="","",ROUND(SUMIFS(进销存对接!$G$4:$G$305,进销存对接!$I$4:$I$305,"客户往来",进销存对接!$C$4:$C$305,$B196),2))</f>
        <v/>
      </c>
      <c r="E196" s="70" t="str">
        <f aca="false">IF($B196="","",ROUND(SUMIFS(资金日记账!$H$4:$H$603,资金日记账!$E$4:$E$603,$B196,资金日记账!$K$4:$K$603,"应收账款"),2))</f>
        <v/>
      </c>
      <c r="F196" s="70" t="str">
        <f aca="false">IF($B196="","",ROUND(N($C196)+N($D196)-N($E196),2))</f>
        <v/>
      </c>
      <c r="G196" s="123"/>
      <c r="H196" s="70" t="str">
        <f aca="false">IF($B196="","",ROUND(SUMIFS(进销存对接!$F$4:$F$305,进销存对接!$I$4:$I$305,"客户往来",进销存对接!$C$4:$C$305,$B196)+SUMIFS(记账凭证!$I$4:$I$3609,记账凭证!$J$4:$J$3609,$B196,记账凭证!$E$4:$E$3609,"应付账款"),2))</f>
        <v/>
      </c>
      <c r="I196" s="70" t="str">
        <f aca="false">IF($B196="","",ROUND(SUMIFS(记账凭证!$H$4:$H$3609,记账凭证!$J$4:$J$3609,$B196,记账凭证!$E$4:$E$3609,"应付账款"),2))</f>
        <v/>
      </c>
      <c r="J196" s="70" t="str">
        <f aca="false">IF($B196="","",ROUND(N($G196)+N($H196)-N($I196),2))</f>
        <v/>
      </c>
      <c r="K196" s="70" t="str">
        <f aca="false">IF($B196="","",ROUND(N($F196)-N($J196),2))</f>
        <v/>
      </c>
      <c r="L196" s="40" t="str">
        <f aca="false">IF($B196="","",IF(ROUND(N($K196),2)&gt;0,"对方欠款",IF(ROUND(N($K196),2)&lt;0,"我方欠款","已两清")))</f>
        <v/>
      </c>
      <c r="M196" s="124"/>
    </row>
    <row r="197" customFormat="false" ht="13.5" hidden="false" customHeight="false" outlineLevel="0" collapsed="false">
      <c r="A197" s="40" t="str">
        <f aca="false">IF($B197="","",ROW()-4)</f>
        <v/>
      </c>
      <c r="B197" s="33" t="str">
        <f aca="false">IFERROR(INDEX(_自动清单!$E$4:$E$253,ROW()-4),"")</f>
        <v/>
      </c>
      <c r="C197" s="123"/>
      <c r="D197" s="70" t="str">
        <f aca="false">IF($B197="","",ROUND(SUMIFS(进销存对接!$G$4:$G$305,进销存对接!$I$4:$I$305,"客户往来",进销存对接!$C$4:$C$305,$B197),2))</f>
        <v/>
      </c>
      <c r="E197" s="70" t="str">
        <f aca="false">IF($B197="","",ROUND(SUMIFS(资金日记账!$H$4:$H$603,资金日记账!$E$4:$E$603,$B197,资金日记账!$K$4:$K$603,"应收账款"),2))</f>
        <v/>
      </c>
      <c r="F197" s="70" t="str">
        <f aca="false">IF($B197="","",ROUND(N($C197)+N($D197)-N($E197),2))</f>
        <v/>
      </c>
      <c r="G197" s="123"/>
      <c r="H197" s="70" t="str">
        <f aca="false">IF($B197="","",ROUND(SUMIFS(进销存对接!$F$4:$F$305,进销存对接!$I$4:$I$305,"客户往来",进销存对接!$C$4:$C$305,$B197)+SUMIFS(记账凭证!$I$4:$I$3609,记账凭证!$J$4:$J$3609,$B197,记账凭证!$E$4:$E$3609,"应付账款"),2))</f>
        <v/>
      </c>
      <c r="I197" s="70" t="str">
        <f aca="false">IF($B197="","",ROUND(SUMIFS(记账凭证!$H$4:$H$3609,记账凭证!$J$4:$J$3609,$B197,记账凭证!$E$4:$E$3609,"应付账款"),2))</f>
        <v/>
      </c>
      <c r="J197" s="70" t="str">
        <f aca="false">IF($B197="","",ROUND(N($G197)+N($H197)-N($I197),2))</f>
        <v/>
      </c>
      <c r="K197" s="70" t="str">
        <f aca="false">IF($B197="","",ROUND(N($F197)-N($J197),2))</f>
        <v/>
      </c>
      <c r="L197" s="40" t="str">
        <f aca="false">IF($B197="","",IF(ROUND(N($K197),2)&gt;0,"对方欠款",IF(ROUND(N($K197),2)&lt;0,"我方欠款","已两清")))</f>
        <v/>
      </c>
      <c r="M197" s="124"/>
    </row>
    <row r="198" customFormat="false" ht="13.5" hidden="false" customHeight="false" outlineLevel="0" collapsed="false">
      <c r="A198" s="40" t="str">
        <f aca="false">IF($B198="","",ROW()-4)</f>
        <v/>
      </c>
      <c r="B198" s="33" t="str">
        <f aca="false">IFERROR(INDEX(_自动清单!$E$4:$E$253,ROW()-4),"")</f>
        <v/>
      </c>
      <c r="C198" s="123"/>
      <c r="D198" s="70" t="str">
        <f aca="false">IF($B198="","",ROUND(SUMIFS(进销存对接!$G$4:$G$305,进销存对接!$I$4:$I$305,"客户往来",进销存对接!$C$4:$C$305,$B198),2))</f>
        <v/>
      </c>
      <c r="E198" s="70" t="str">
        <f aca="false">IF($B198="","",ROUND(SUMIFS(资金日记账!$H$4:$H$603,资金日记账!$E$4:$E$603,$B198,资金日记账!$K$4:$K$603,"应收账款"),2))</f>
        <v/>
      </c>
      <c r="F198" s="70" t="str">
        <f aca="false">IF($B198="","",ROUND(N($C198)+N($D198)-N($E198),2))</f>
        <v/>
      </c>
      <c r="G198" s="123"/>
      <c r="H198" s="70" t="str">
        <f aca="false">IF($B198="","",ROUND(SUMIFS(进销存对接!$F$4:$F$305,进销存对接!$I$4:$I$305,"客户往来",进销存对接!$C$4:$C$305,$B198)+SUMIFS(记账凭证!$I$4:$I$3609,记账凭证!$J$4:$J$3609,$B198,记账凭证!$E$4:$E$3609,"应付账款"),2))</f>
        <v/>
      </c>
      <c r="I198" s="70" t="str">
        <f aca="false">IF($B198="","",ROUND(SUMIFS(记账凭证!$H$4:$H$3609,记账凭证!$J$4:$J$3609,$B198,记账凭证!$E$4:$E$3609,"应付账款"),2))</f>
        <v/>
      </c>
      <c r="J198" s="70" t="str">
        <f aca="false">IF($B198="","",ROUND(N($G198)+N($H198)-N($I198),2))</f>
        <v/>
      </c>
      <c r="K198" s="70" t="str">
        <f aca="false">IF($B198="","",ROUND(N($F198)-N($J198),2))</f>
        <v/>
      </c>
      <c r="L198" s="40" t="str">
        <f aca="false">IF($B198="","",IF(ROUND(N($K198),2)&gt;0,"对方欠款",IF(ROUND(N($K198),2)&lt;0,"我方欠款","已两清")))</f>
        <v/>
      </c>
      <c r="M198" s="124"/>
    </row>
    <row r="199" customFormat="false" ht="13.5" hidden="false" customHeight="false" outlineLevel="0" collapsed="false">
      <c r="A199" s="40" t="str">
        <f aca="false">IF($B199="","",ROW()-4)</f>
        <v/>
      </c>
      <c r="B199" s="33" t="str">
        <f aca="false">IFERROR(INDEX(_自动清单!$E$4:$E$253,ROW()-4),"")</f>
        <v/>
      </c>
      <c r="C199" s="123"/>
      <c r="D199" s="70" t="str">
        <f aca="false">IF($B199="","",ROUND(SUMIFS(进销存对接!$G$4:$G$305,进销存对接!$I$4:$I$305,"客户往来",进销存对接!$C$4:$C$305,$B199),2))</f>
        <v/>
      </c>
      <c r="E199" s="70" t="str">
        <f aca="false">IF($B199="","",ROUND(SUMIFS(资金日记账!$H$4:$H$603,资金日记账!$E$4:$E$603,$B199,资金日记账!$K$4:$K$603,"应收账款"),2))</f>
        <v/>
      </c>
      <c r="F199" s="70" t="str">
        <f aca="false">IF($B199="","",ROUND(N($C199)+N($D199)-N($E199),2))</f>
        <v/>
      </c>
      <c r="G199" s="123"/>
      <c r="H199" s="70" t="str">
        <f aca="false">IF($B199="","",ROUND(SUMIFS(进销存对接!$F$4:$F$305,进销存对接!$I$4:$I$305,"客户往来",进销存对接!$C$4:$C$305,$B199)+SUMIFS(记账凭证!$I$4:$I$3609,记账凭证!$J$4:$J$3609,$B199,记账凭证!$E$4:$E$3609,"应付账款"),2))</f>
        <v/>
      </c>
      <c r="I199" s="70" t="str">
        <f aca="false">IF($B199="","",ROUND(SUMIFS(记账凭证!$H$4:$H$3609,记账凭证!$J$4:$J$3609,$B199,记账凭证!$E$4:$E$3609,"应付账款"),2))</f>
        <v/>
      </c>
      <c r="J199" s="70" t="str">
        <f aca="false">IF($B199="","",ROUND(N($G199)+N($H199)-N($I199),2))</f>
        <v/>
      </c>
      <c r="K199" s="70" t="str">
        <f aca="false">IF($B199="","",ROUND(N($F199)-N($J199),2))</f>
        <v/>
      </c>
      <c r="L199" s="40" t="str">
        <f aca="false">IF($B199="","",IF(ROUND(N($K199),2)&gt;0,"对方欠款",IF(ROUND(N($K199),2)&lt;0,"我方欠款","已两清")))</f>
        <v/>
      </c>
      <c r="M199" s="124"/>
    </row>
    <row r="200" customFormat="false" ht="13.5" hidden="false" customHeight="false" outlineLevel="0" collapsed="false">
      <c r="A200" s="40" t="str">
        <f aca="false">IF($B200="","",ROW()-4)</f>
        <v/>
      </c>
      <c r="B200" s="33" t="str">
        <f aca="false">IFERROR(INDEX(_自动清单!$E$4:$E$253,ROW()-4),"")</f>
        <v/>
      </c>
      <c r="C200" s="123"/>
      <c r="D200" s="70" t="str">
        <f aca="false">IF($B200="","",ROUND(SUMIFS(进销存对接!$G$4:$G$305,进销存对接!$I$4:$I$305,"客户往来",进销存对接!$C$4:$C$305,$B200),2))</f>
        <v/>
      </c>
      <c r="E200" s="70" t="str">
        <f aca="false">IF($B200="","",ROUND(SUMIFS(资金日记账!$H$4:$H$603,资金日记账!$E$4:$E$603,$B200,资金日记账!$K$4:$K$603,"应收账款"),2))</f>
        <v/>
      </c>
      <c r="F200" s="70" t="str">
        <f aca="false">IF($B200="","",ROUND(N($C200)+N($D200)-N($E200),2))</f>
        <v/>
      </c>
      <c r="G200" s="123"/>
      <c r="H200" s="70" t="str">
        <f aca="false">IF($B200="","",ROUND(SUMIFS(进销存对接!$F$4:$F$305,进销存对接!$I$4:$I$305,"客户往来",进销存对接!$C$4:$C$305,$B200)+SUMIFS(记账凭证!$I$4:$I$3609,记账凭证!$J$4:$J$3609,$B200,记账凭证!$E$4:$E$3609,"应付账款"),2))</f>
        <v/>
      </c>
      <c r="I200" s="70" t="str">
        <f aca="false">IF($B200="","",ROUND(SUMIFS(记账凭证!$H$4:$H$3609,记账凭证!$J$4:$J$3609,$B200,记账凭证!$E$4:$E$3609,"应付账款"),2))</f>
        <v/>
      </c>
      <c r="J200" s="70" t="str">
        <f aca="false">IF($B200="","",ROUND(N($G200)+N($H200)-N($I200),2))</f>
        <v/>
      </c>
      <c r="K200" s="70" t="str">
        <f aca="false">IF($B200="","",ROUND(N($F200)-N($J200),2))</f>
        <v/>
      </c>
      <c r="L200" s="40" t="str">
        <f aca="false">IF($B200="","",IF(ROUND(N($K200),2)&gt;0,"对方欠款",IF(ROUND(N($K200),2)&lt;0,"我方欠款","已两清")))</f>
        <v/>
      </c>
      <c r="M200" s="124"/>
    </row>
    <row r="201" customFormat="false" ht="13.5" hidden="false" customHeight="false" outlineLevel="0" collapsed="false">
      <c r="A201" s="40" t="str">
        <f aca="false">IF($B201="","",ROW()-4)</f>
        <v/>
      </c>
      <c r="B201" s="33" t="str">
        <f aca="false">IFERROR(INDEX(_自动清单!$E$4:$E$253,ROW()-4),"")</f>
        <v/>
      </c>
      <c r="C201" s="123"/>
      <c r="D201" s="70" t="str">
        <f aca="false">IF($B201="","",ROUND(SUMIFS(进销存对接!$G$4:$G$305,进销存对接!$I$4:$I$305,"客户往来",进销存对接!$C$4:$C$305,$B201),2))</f>
        <v/>
      </c>
      <c r="E201" s="70" t="str">
        <f aca="false">IF($B201="","",ROUND(SUMIFS(资金日记账!$H$4:$H$603,资金日记账!$E$4:$E$603,$B201,资金日记账!$K$4:$K$603,"应收账款"),2))</f>
        <v/>
      </c>
      <c r="F201" s="70" t="str">
        <f aca="false">IF($B201="","",ROUND(N($C201)+N($D201)-N($E201),2))</f>
        <v/>
      </c>
      <c r="G201" s="123"/>
      <c r="H201" s="70" t="str">
        <f aca="false">IF($B201="","",ROUND(SUMIFS(进销存对接!$F$4:$F$305,进销存对接!$I$4:$I$305,"客户往来",进销存对接!$C$4:$C$305,$B201)+SUMIFS(记账凭证!$I$4:$I$3609,记账凭证!$J$4:$J$3609,$B201,记账凭证!$E$4:$E$3609,"应付账款"),2))</f>
        <v/>
      </c>
      <c r="I201" s="70" t="str">
        <f aca="false">IF($B201="","",ROUND(SUMIFS(记账凭证!$H$4:$H$3609,记账凭证!$J$4:$J$3609,$B201,记账凭证!$E$4:$E$3609,"应付账款"),2))</f>
        <v/>
      </c>
      <c r="J201" s="70" t="str">
        <f aca="false">IF($B201="","",ROUND(N($G201)+N($H201)-N($I201),2))</f>
        <v/>
      </c>
      <c r="K201" s="70" t="str">
        <f aca="false">IF($B201="","",ROUND(N($F201)-N($J201),2))</f>
        <v/>
      </c>
      <c r="L201" s="40" t="str">
        <f aca="false">IF($B201="","",IF(ROUND(N($K201),2)&gt;0,"对方欠款",IF(ROUND(N($K201),2)&lt;0,"我方欠款","已两清")))</f>
        <v/>
      </c>
      <c r="M201" s="124"/>
    </row>
    <row r="202" customFormat="false" ht="13.5" hidden="false" customHeight="false" outlineLevel="0" collapsed="false">
      <c r="A202" s="40" t="str">
        <f aca="false">IF($B202="","",ROW()-4)</f>
        <v/>
      </c>
      <c r="B202" s="33" t="str">
        <f aca="false">IFERROR(INDEX(_自动清单!$E$4:$E$253,ROW()-4),"")</f>
        <v/>
      </c>
      <c r="C202" s="123"/>
      <c r="D202" s="70" t="str">
        <f aca="false">IF($B202="","",ROUND(SUMIFS(进销存对接!$G$4:$G$305,进销存对接!$I$4:$I$305,"客户往来",进销存对接!$C$4:$C$305,$B202),2))</f>
        <v/>
      </c>
      <c r="E202" s="70" t="str">
        <f aca="false">IF($B202="","",ROUND(SUMIFS(资金日记账!$H$4:$H$603,资金日记账!$E$4:$E$603,$B202,资金日记账!$K$4:$K$603,"应收账款"),2))</f>
        <v/>
      </c>
      <c r="F202" s="70" t="str">
        <f aca="false">IF($B202="","",ROUND(N($C202)+N($D202)-N($E202),2))</f>
        <v/>
      </c>
      <c r="G202" s="123"/>
      <c r="H202" s="70" t="str">
        <f aca="false">IF($B202="","",ROUND(SUMIFS(进销存对接!$F$4:$F$305,进销存对接!$I$4:$I$305,"客户往来",进销存对接!$C$4:$C$305,$B202)+SUMIFS(记账凭证!$I$4:$I$3609,记账凭证!$J$4:$J$3609,$B202,记账凭证!$E$4:$E$3609,"应付账款"),2))</f>
        <v/>
      </c>
      <c r="I202" s="70" t="str">
        <f aca="false">IF($B202="","",ROUND(SUMIFS(记账凭证!$H$4:$H$3609,记账凭证!$J$4:$J$3609,$B202,记账凭证!$E$4:$E$3609,"应付账款"),2))</f>
        <v/>
      </c>
      <c r="J202" s="70" t="str">
        <f aca="false">IF($B202="","",ROUND(N($G202)+N($H202)-N($I202),2))</f>
        <v/>
      </c>
      <c r="K202" s="70" t="str">
        <f aca="false">IF($B202="","",ROUND(N($F202)-N($J202),2))</f>
        <v/>
      </c>
      <c r="L202" s="40" t="str">
        <f aca="false">IF($B202="","",IF(ROUND(N($K202),2)&gt;0,"对方欠款",IF(ROUND(N($K202),2)&lt;0,"我方欠款","已两清")))</f>
        <v/>
      </c>
      <c r="M202" s="124"/>
    </row>
    <row r="203" customFormat="false" ht="13.5" hidden="false" customHeight="false" outlineLevel="0" collapsed="false">
      <c r="A203" s="40" t="str">
        <f aca="false">IF($B203="","",ROW()-4)</f>
        <v/>
      </c>
      <c r="B203" s="33" t="str">
        <f aca="false">IFERROR(INDEX(_自动清单!$E$4:$E$253,ROW()-4),"")</f>
        <v/>
      </c>
      <c r="C203" s="123"/>
      <c r="D203" s="70" t="str">
        <f aca="false">IF($B203="","",ROUND(SUMIFS(进销存对接!$G$4:$G$305,进销存对接!$I$4:$I$305,"客户往来",进销存对接!$C$4:$C$305,$B203),2))</f>
        <v/>
      </c>
      <c r="E203" s="70" t="str">
        <f aca="false">IF($B203="","",ROUND(SUMIFS(资金日记账!$H$4:$H$603,资金日记账!$E$4:$E$603,$B203,资金日记账!$K$4:$K$603,"应收账款"),2))</f>
        <v/>
      </c>
      <c r="F203" s="70" t="str">
        <f aca="false">IF($B203="","",ROUND(N($C203)+N($D203)-N($E203),2))</f>
        <v/>
      </c>
      <c r="G203" s="123"/>
      <c r="H203" s="70" t="str">
        <f aca="false">IF($B203="","",ROUND(SUMIFS(进销存对接!$F$4:$F$305,进销存对接!$I$4:$I$305,"客户往来",进销存对接!$C$4:$C$305,$B203)+SUMIFS(记账凭证!$I$4:$I$3609,记账凭证!$J$4:$J$3609,$B203,记账凭证!$E$4:$E$3609,"应付账款"),2))</f>
        <v/>
      </c>
      <c r="I203" s="70" t="str">
        <f aca="false">IF($B203="","",ROUND(SUMIFS(记账凭证!$H$4:$H$3609,记账凭证!$J$4:$J$3609,$B203,记账凭证!$E$4:$E$3609,"应付账款"),2))</f>
        <v/>
      </c>
      <c r="J203" s="70" t="str">
        <f aca="false">IF($B203="","",ROUND(N($G203)+N($H203)-N($I203),2))</f>
        <v/>
      </c>
      <c r="K203" s="70" t="str">
        <f aca="false">IF($B203="","",ROUND(N($F203)-N($J203),2))</f>
        <v/>
      </c>
      <c r="L203" s="40" t="str">
        <f aca="false">IF($B203="","",IF(ROUND(N($K203),2)&gt;0,"对方欠款",IF(ROUND(N($K203),2)&lt;0,"我方欠款","已两清")))</f>
        <v/>
      </c>
      <c r="M203" s="124"/>
    </row>
    <row r="204" customFormat="false" ht="13.5" hidden="false" customHeight="false" outlineLevel="0" collapsed="false">
      <c r="A204" s="40" t="str">
        <f aca="false">IF($B204="","",ROW()-4)</f>
        <v/>
      </c>
      <c r="B204" s="33" t="str">
        <f aca="false">IFERROR(INDEX(_自动清单!$E$4:$E$253,ROW()-4),"")</f>
        <v/>
      </c>
      <c r="C204" s="123"/>
      <c r="D204" s="70" t="str">
        <f aca="false">IF($B204="","",ROUND(SUMIFS(进销存对接!$G$4:$G$305,进销存对接!$I$4:$I$305,"客户往来",进销存对接!$C$4:$C$305,$B204),2))</f>
        <v/>
      </c>
      <c r="E204" s="70" t="str">
        <f aca="false">IF($B204="","",ROUND(SUMIFS(资金日记账!$H$4:$H$603,资金日记账!$E$4:$E$603,$B204,资金日记账!$K$4:$K$603,"应收账款"),2))</f>
        <v/>
      </c>
      <c r="F204" s="70" t="str">
        <f aca="false">IF($B204="","",ROUND(N($C204)+N($D204)-N($E204),2))</f>
        <v/>
      </c>
      <c r="G204" s="123"/>
      <c r="H204" s="70" t="str">
        <f aca="false">IF($B204="","",ROUND(SUMIFS(进销存对接!$F$4:$F$305,进销存对接!$I$4:$I$305,"客户往来",进销存对接!$C$4:$C$305,$B204)+SUMIFS(记账凭证!$I$4:$I$3609,记账凭证!$J$4:$J$3609,$B204,记账凭证!$E$4:$E$3609,"应付账款"),2))</f>
        <v/>
      </c>
      <c r="I204" s="70" t="str">
        <f aca="false">IF($B204="","",ROUND(SUMIFS(记账凭证!$H$4:$H$3609,记账凭证!$J$4:$J$3609,$B204,记账凭证!$E$4:$E$3609,"应付账款"),2))</f>
        <v/>
      </c>
      <c r="J204" s="70" t="str">
        <f aca="false">IF($B204="","",ROUND(N($G204)+N($H204)-N($I204),2))</f>
        <v/>
      </c>
      <c r="K204" s="70" t="str">
        <f aca="false">IF($B204="","",ROUND(N($F204)-N($J204),2))</f>
        <v/>
      </c>
      <c r="L204" s="40" t="str">
        <f aca="false">IF($B204="","",IF(ROUND(N($K204),2)&gt;0,"对方欠款",IF(ROUND(N($K204),2)&lt;0,"我方欠款","已两清")))</f>
        <v/>
      </c>
      <c r="M204" s="124"/>
    </row>
    <row r="205" customFormat="false" ht="13.5" hidden="false" customHeight="false" outlineLevel="0" collapsed="false">
      <c r="A205" s="125"/>
      <c r="B205" s="92" t="s">
        <v>229</v>
      </c>
      <c r="C205" s="126" t="n">
        <f aca="false">ROUND(SUM(C5:C204),2)</f>
        <v>0</v>
      </c>
      <c r="D205" s="126" t="n">
        <f aca="false">ROUND(SUM(D5:D204),2)</f>
        <v>-322</v>
      </c>
      <c r="E205" s="126" t="n">
        <f aca="false">ROUND(SUM(E5:E204),2)</f>
        <v>836</v>
      </c>
      <c r="F205" s="126" t="n">
        <f aca="false">ROUND(SUM(F5:F204),2)</f>
        <v>-1158</v>
      </c>
      <c r="G205" s="126" t="n">
        <f aca="false">ROUND(SUM(G5:G204),2)</f>
        <v>0</v>
      </c>
      <c r="H205" s="126" t="n">
        <f aca="false">ROUND(SUM(H5:H204),2)</f>
        <v>331810</v>
      </c>
      <c r="I205" s="126" t="n">
        <f aca="false">ROUND(SUM(I5:I204),2)</f>
        <v>0</v>
      </c>
      <c r="J205" s="126" t="n">
        <f aca="false">ROUND(SUM(J5:J204),2)</f>
        <v>331810</v>
      </c>
      <c r="K205" s="126" t="n">
        <f aca="false">ROUND(SUM(K5:K204),2)</f>
        <v>-332968</v>
      </c>
      <c r="L205" s="92" t="str">
        <f aca="false">COUNTIF($L$5:$L$204,"对方欠款")&amp;"家欠款 / "&amp;COUNTIF($L$5:$L$204,"我方欠款")&amp;"家应付"</f>
        <v>0家欠款 / 7家应付</v>
      </c>
      <c r="M205" s="92"/>
    </row>
  </sheetData>
  <mergeCells count="3">
    <mergeCell ref="A1:M1"/>
    <mergeCell ref="A2:M2"/>
    <mergeCell ref="A3:M3"/>
  </mergeCells>
  <conditionalFormatting sqref="A2">
    <cfRule type="expression" priority="2" aboveAverage="0" equalAverage="0" bottom="0" percent="0" rank="0" text="" dxfId="0">
      <formula>(N(_自动清单!$A$1)&gt;200)</formula>
    </cfRule>
    <cfRule type="expression" priority="3" aboveAverage="0" equalAverage="0" bottom="0" percent="0" rank="0" text="" dxfId="0">
      <formula>OR(N(对接源_01水果!$T$1)+N(对接源_02物料!$T$1)=0,N(对接源_01水果!$T$4)*N(对接源_02物料!$T$4)=0)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69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J29" activeCellId="0" sqref="J29"/>
    </sheetView>
  </sheetViews>
  <sheetFormatPr defaultColWidth="8.54296875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.6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6.5"/>
    <col collapsed="false" customWidth="true" hidden="false" outlineLevel="0" max="11" min="11" style="0" width="14"/>
    <col collapsed="false" customWidth="true" hidden="false" outlineLevel="0" max="12" min="12" style="0" width="18"/>
  </cols>
  <sheetData>
    <row r="1" customFormat="false" ht="25.5" hidden="false" customHeight="true" outlineLevel="0" collapsed="false">
      <c r="A1" s="57" t="s">
        <v>801</v>
      </c>
      <c r="B1" s="57"/>
      <c r="C1" s="57"/>
      <c r="D1" s="57"/>
      <c r="E1" s="57"/>
      <c r="F1" s="57"/>
      <c r="G1" s="57"/>
      <c r="H1" s="57"/>
      <c r="I1" s="57"/>
      <c r="J1" s="57"/>
    </row>
    <row r="2" customFormat="false" ht="15.75" hidden="false" customHeight="true" outlineLevel="0" collapsed="false">
      <c r="A2" s="127" t="s">
        <v>802</v>
      </c>
      <c r="B2" s="127"/>
      <c r="C2" s="127"/>
      <c r="D2" s="127"/>
      <c r="E2" s="127"/>
      <c r="F2" s="127"/>
      <c r="G2" s="127"/>
      <c r="H2" s="127"/>
      <c r="I2" s="127"/>
      <c r="J2" s="127"/>
    </row>
    <row r="4" customFormat="false" ht="15" hidden="false" customHeight="true" outlineLevel="0" collapsed="false">
      <c r="A4" s="128" t="s">
        <v>803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</row>
    <row r="5" customFormat="false" ht="30" hidden="false" customHeight="true" outlineLevel="0" collapsed="false">
      <c r="A5" s="15" t="s">
        <v>3</v>
      </c>
      <c r="B5" s="15" t="s">
        <v>804</v>
      </c>
      <c r="C5" s="15" t="s">
        <v>805</v>
      </c>
      <c r="D5" s="15" t="s">
        <v>211</v>
      </c>
      <c r="E5" s="15" t="s">
        <v>212</v>
      </c>
      <c r="F5" s="15"/>
      <c r="G5" s="15"/>
      <c r="H5" s="15" t="s">
        <v>806</v>
      </c>
      <c r="I5" s="15" t="s">
        <v>807</v>
      </c>
      <c r="J5" s="15" t="s">
        <v>808</v>
      </c>
      <c r="K5" s="15" t="s">
        <v>809</v>
      </c>
      <c r="L5" s="15" t="s">
        <v>263</v>
      </c>
    </row>
    <row r="6" customFormat="false" ht="15.75" hidden="false" customHeight="true" outlineLevel="0" collapsed="false">
      <c r="A6" s="63" t="n">
        <f aca="false">IF($B6="","",ROW()-5)</f>
        <v>1</v>
      </c>
      <c r="B6" s="62" t="str">
        <f aca="false">IFERROR(INDEX(_自动清单!$E$4:$E$203,ROW()-5),"")</f>
        <v>王照雪</v>
      </c>
      <c r="C6" s="64" t="n">
        <f aca="false">IF($B6="","",COUNTIF(对接源_01库存!$B$4:$B$403,$B6))</f>
        <v>11</v>
      </c>
      <c r="D6" s="64" t="n">
        <f aca="false">IF($B6="","",SUMIF(对接源_01库存!$B$4:$B$403,$B6,对接源_01库存!$F$4:$F$403))</f>
        <v>1073</v>
      </c>
      <c r="E6" s="65" t="n">
        <f aca="false">IF($B6="","",ROUND(SUMIF(对接源_01库存!$B$4:$B$403,$B6,对接源_01库存!$G$4:$G$403),2))</f>
        <v>58059.2</v>
      </c>
      <c r="F6" s="129"/>
      <c r="G6" s="129"/>
      <c r="H6" s="130" t="n">
        <f aca="false">IF($B6="","",ROUND(SUMIF($B$69:$B$468,$B6,$H$69:$H$468),2))</f>
        <v>782.8</v>
      </c>
      <c r="I6" s="65" t="n">
        <f aca="false">IF($B6="","",ROUND(IFERROR(INDEX(应收应付汇总表!$F$5:$F$204,MATCH($B6,应收应付汇总表!$B$5:$B$204,0)),0),2))</f>
        <v>-40</v>
      </c>
      <c r="J6" s="130" t="n">
        <f aca="false">IF($B6="","",ROUND(N($H6)-N($I6),2))</f>
        <v>822.8</v>
      </c>
      <c r="K6" s="131" t="str">
        <f aca="false">IF($B6="","",IF(N($I6)&lt;=0,"没有欠款",IF(N($J6)&gt;=0,"货够抵账 · 可以先不收","货不够抵 · 该收钱了")))</f>
        <v>没有欠款</v>
      </c>
      <c r="L6" s="132" t="str">
        <f aca="false">IF($B6="","",$B6&amp;" 库里还压着 "&amp;TEXT(N($H6),"#,##0.00")&amp;" 元的货，欠我们 "&amp;TEXT(N($I6),"#,##0.00")&amp;" 元，差额 "&amp;TEXT(N($J6),"#,##0.00")&amp;" 元")</f>
        <v>王照雪 库里还压着 782.80 元的货，欠我们 -40.00 元，差额 822.80 元</v>
      </c>
    </row>
    <row r="7" customFormat="false" ht="15.75" hidden="false" customHeight="true" outlineLevel="0" collapsed="false">
      <c r="A7" s="63" t="n">
        <f aca="false">IF($B7="","",ROW()-5)</f>
        <v>2</v>
      </c>
      <c r="B7" s="62" t="str">
        <f aca="false">IFERROR(INDEX(_自动清单!$E$4:$E$203,ROW()-5),"")</f>
        <v>麦麦提</v>
      </c>
      <c r="C7" s="64" t="n">
        <f aca="false">IF($B7="","",COUNTIF(对接源_01库存!$B$4:$B$403,$B7))</f>
        <v>3</v>
      </c>
      <c r="D7" s="64" t="n">
        <f aca="false">IF($B7="","",SUMIF(对接源_01库存!$B$4:$B$403,$B7,对接源_01库存!$F$4:$F$403))</f>
        <v>3180</v>
      </c>
      <c r="E7" s="65" t="n">
        <f aca="false">IF($B7="","",ROUND(SUMIF(对接源_01库存!$B$4:$B$403,$B7,对接源_01库存!$G$4:$G$403),2))</f>
        <v>73453</v>
      </c>
      <c r="F7" s="129"/>
      <c r="G7" s="129"/>
      <c r="H7" s="130" t="n">
        <f aca="false">IF($B7="","",ROUND(SUMIF($B$69:$B$468,$B7,$H$69:$H$468),2))</f>
        <v>3701.7</v>
      </c>
      <c r="I7" s="65" t="n">
        <f aca="false">IF($B7="","",ROUND(IFERROR(INDEX(应收应付汇总表!$F$5:$F$204,MATCH($B7,应收应付汇总表!$B$5:$B$204,0)),0),2))</f>
        <v>-60</v>
      </c>
      <c r="J7" s="130" t="n">
        <f aca="false">IF($B7="","",ROUND(N($H7)-N($I7),2))</f>
        <v>3761.7</v>
      </c>
      <c r="K7" s="131" t="str">
        <f aca="false">IF($B7="","",IF(N($I7)&lt;=0,"没有欠款",IF(N($J7)&gt;=0,"货够抵账 · 可以先不收","货不够抵 · 该收钱了")))</f>
        <v>没有欠款</v>
      </c>
      <c r="L7" s="132" t="str">
        <f aca="false">IF($B7="","",$B7&amp;" 库里还压着 "&amp;TEXT(N($H7),"#,##0.00")&amp;" 元的货，欠我们 "&amp;TEXT(N($I7),"#,##0.00")&amp;" 元，差额 "&amp;TEXT(N($J7),"#,##0.00")&amp;" 元")</f>
        <v>麦麦提 库里还压着 3,701.70 元的货，欠我们 -60.00 元，差额 3,761.70 元</v>
      </c>
    </row>
    <row r="8" customFormat="false" ht="15.75" hidden="false" customHeight="true" outlineLevel="0" collapsed="false">
      <c r="A8" s="63" t="n">
        <f aca="false">IF($B8="","",ROW()-5)</f>
        <v>3</v>
      </c>
      <c r="B8" s="62" t="str">
        <f aca="false">IFERROR(INDEX(_自动清单!$E$4:$E$203,ROW()-5),"")</f>
        <v>热合曼</v>
      </c>
      <c r="C8" s="64" t="n">
        <f aca="false">IF($B8="","",COUNTIF(对接源_01库存!$B$4:$B$403,$B8))</f>
        <v>3</v>
      </c>
      <c r="D8" s="64" t="n">
        <f aca="false">IF($B8="","",SUMIF(对接源_01库存!$B$4:$B$403,$B8,对接源_01库存!$F$4:$F$403))</f>
        <v>1521</v>
      </c>
      <c r="E8" s="65" t="n">
        <f aca="false">IF($B8="","",ROUND(SUMIF(对接源_01库存!$B$4:$B$403,$B8,对接源_01库存!$G$4:$G$403),2))</f>
        <v>29445.3</v>
      </c>
      <c r="F8" s="129"/>
      <c r="G8" s="129"/>
      <c r="H8" s="130" t="n">
        <f aca="false">IF($B8="","",ROUND(SUMIF($B$69:$B$468,$B8,$H$69:$H$468),2))</f>
        <v>1303.9</v>
      </c>
      <c r="I8" s="65" t="n">
        <f aca="false">IF($B8="","",ROUND(IFERROR(INDEX(应收应付汇总表!$F$5:$F$204,MATCH($B8,应收应付汇总表!$B$5:$B$204,0)),0),2))</f>
        <v>-90</v>
      </c>
      <c r="J8" s="130" t="n">
        <f aca="false">IF($B8="","",ROUND(N($H8)-N($I8),2))</f>
        <v>1393.9</v>
      </c>
      <c r="K8" s="131" t="str">
        <f aca="false">IF($B8="","",IF(N($I8)&lt;=0,"没有欠款",IF(N($J8)&gt;=0,"货够抵账 · 可以先不收","货不够抵 · 该收钱了")))</f>
        <v>没有欠款</v>
      </c>
      <c r="L8" s="132" t="str">
        <f aca="false">IF($B8="","",$B8&amp;" 库里还压着 "&amp;TEXT(N($H8),"#,##0.00")&amp;" 元的货，欠我们 "&amp;TEXT(N($I8),"#,##0.00")&amp;" 元，差额 "&amp;TEXT(N($J8),"#,##0.00")&amp;" 元")</f>
        <v>热合曼 库里还压着 1,303.90 元的货，欠我们 -90.00 元，差额 1,393.90 元</v>
      </c>
    </row>
    <row r="9" customFormat="false" ht="15.75" hidden="false" customHeight="true" outlineLevel="0" collapsed="false">
      <c r="A9" s="63" t="n">
        <f aca="false">IF($B9="","",ROW()-5)</f>
        <v>4</v>
      </c>
      <c r="B9" s="62" t="str">
        <f aca="false">IFERROR(INDEX(_自动清单!$E$4:$E$203,ROW()-5),"")</f>
        <v>王灵云</v>
      </c>
      <c r="C9" s="64" t="n">
        <f aca="false">IF($B9="","",COUNTIF(对接源_01库存!$B$4:$B$403,$B9))</f>
        <v>3</v>
      </c>
      <c r="D9" s="64" t="n">
        <f aca="false">IF($B9="","",SUMIF(对接源_01库存!$B$4:$B$403,$B9,对接源_01库存!$F$4:$F$403))</f>
        <v>3782</v>
      </c>
      <c r="E9" s="65" t="n">
        <f aca="false">IF($B9="","",ROUND(SUMIF(对接源_01库存!$B$4:$B$403,$B9,对接源_01库存!$G$4:$G$403),2))</f>
        <v>79231.2</v>
      </c>
      <c r="F9" s="129"/>
      <c r="G9" s="129"/>
      <c r="H9" s="130" t="n">
        <f aca="false">IF($B9="","",ROUND(SUMIF($B$69:$B$468,$B9,$H$69:$H$468),2))</f>
        <v>3926.2</v>
      </c>
      <c r="I9" s="65" t="n">
        <f aca="false">IF($B9="","",ROUND(IFERROR(INDEX(应收应付汇总表!$F$5:$F$204,MATCH($B9,应收应付汇总表!$B$5:$B$204,0)),0),2))</f>
        <v>-132</v>
      </c>
      <c r="J9" s="130" t="n">
        <f aca="false">IF($B9="","",ROUND(N($H9)-N($I9),2))</f>
        <v>4058.2</v>
      </c>
      <c r="K9" s="131" t="str">
        <f aca="false">IF($B9="","",IF(N($I9)&lt;=0,"没有欠款",IF(N($J9)&gt;=0,"货够抵账 · 可以先不收","货不够抵 · 该收钱了")))</f>
        <v>没有欠款</v>
      </c>
      <c r="L9" s="132" t="str">
        <f aca="false">IF($B9="","",$B9&amp;" 库里还压着 "&amp;TEXT(N($H9),"#,##0.00")&amp;" 元的货，欠我们 "&amp;TEXT(N($I9),"#,##0.00")&amp;" 元，差额 "&amp;TEXT(N($J9),"#,##0.00")&amp;" 元")</f>
        <v>王灵云 库里还压着 3,926.20 元的货，欠我们 -132.00 元，差额 4,058.20 元</v>
      </c>
    </row>
    <row r="10" customFormat="false" ht="15.75" hidden="false" customHeight="true" outlineLevel="0" collapsed="false">
      <c r="A10" s="63" t="n">
        <f aca="false">IF($B10="","",ROW()-5)</f>
        <v>5</v>
      </c>
      <c r="B10" s="62" t="str">
        <f aca="false">IFERROR(INDEX(_自动清单!$E$4:$E$203,ROW()-5),"")</f>
        <v>全修塑业</v>
      </c>
      <c r="C10" s="64" t="n">
        <f aca="false">IF($B10="","",COUNTIF(对接源_01库存!$B$4:$B$403,$B10))</f>
        <v>0</v>
      </c>
      <c r="D10" s="64" t="n">
        <f aca="false">IF($B10="","",SUMIF(对接源_01库存!$B$4:$B$403,$B10,对接源_01库存!$F$4:$F$403))</f>
        <v>0</v>
      </c>
      <c r="E10" s="65" t="n">
        <f aca="false">IF($B10="","",ROUND(SUMIF(对接源_01库存!$B$4:$B$403,$B10,对接源_01库存!$G$4:$G$403),2))</f>
        <v>0</v>
      </c>
      <c r="F10" s="129"/>
      <c r="G10" s="129"/>
      <c r="H10" s="130" t="n">
        <f aca="false">IF($B10="","",ROUND(SUMIF($B$69:$B$468,$B10,$H$69:$H$468),2))</f>
        <v>0</v>
      </c>
      <c r="I10" s="65" t="n">
        <f aca="false">IF($B10="","",ROUND(IFERROR(INDEX(应收应付汇总表!$F$5:$F$204,MATCH($B10,应收应付汇总表!$B$5:$B$204,0)),0),2))</f>
        <v>0</v>
      </c>
      <c r="J10" s="130" t="n">
        <f aca="false">IF($B10="","",ROUND(N($H10)-N($I10),2))</f>
        <v>0</v>
      </c>
      <c r="K10" s="131" t="str">
        <f aca="false">IF($B10="","",IF(N($I10)&lt;=0,"没有欠款",IF(N($J10)&gt;=0,"货够抵账 · 可以先不收","货不够抵 · 该收钱了")))</f>
        <v>没有欠款</v>
      </c>
      <c r="L10" s="132" t="str">
        <f aca="false">IF($B10="","",$B10&amp;" 库里还压着 "&amp;TEXT(N($H10),"#,##0.00")&amp;" 元的货，欠我们 "&amp;TEXT(N($I10),"#,##0.00")&amp;" 元，差额 "&amp;TEXT(N($J10),"#,##0.00")&amp;" 元")</f>
        <v>全修塑业 库里还压着 0.00 元的货，欠我们 0.00 元，差额 0.00 元</v>
      </c>
    </row>
    <row r="11" customFormat="false" ht="15.75" hidden="false" customHeight="true" outlineLevel="0" collapsed="false">
      <c r="A11" s="63" t="n">
        <f aca="false">IF($B11="","",ROW()-5)</f>
        <v>6</v>
      </c>
      <c r="B11" s="62" t="str">
        <f aca="false">IFERROR(INDEX(_自动清单!$E$4:$E$203,ROW()-5),"")</f>
        <v>新顺发泡网</v>
      </c>
      <c r="C11" s="64" t="n">
        <f aca="false">IF($B11="","",COUNTIF(对接源_01库存!$B$4:$B$403,$B11))</f>
        <v>0</v>
      </c>
      <c r="D11" s="64" t="n">
        <f aca="false">IF($B11="","",SUMIF(对接源_01库存!$B$4:$B$403,$B11,对接源_01库存!$F$4:$F$403))</f>
        <v>0</v>
      </c>
      <c r="E11" s="65" t="n">
        <f aca="false">IF($B11="","",ROUND(SUMIF(对接源_01库存!$B$4:$B$403,$B11,对接源_01库存!$G$4:$G$403),2))</f>
        <v>0</v>
      </c>
      <c r="F11" s="129"/>
      <c r="G11" s="129"/>
      <c r="H11" s="130" t="n">
        <f aca="false">IF($B11="","",ROUND(SUMIF($B$69:$B$468,$B11,$H$69:$H$468),2))</f>
        <v>0</v>
      </c>
      <c r="I11" s="65" t="n">
        <f aca="false">IF($B11="","",ROUND(IFERROR(INDEX(应收应付汇总表!$F$5:$F$204,MATCH($B11,应收应付汇总表!$B$5:$B$204,0)),0),2))</f>
        <v>0</v>
      </c>
      <c r="J11" s="130" t="n">
        <f aca="false">IF($B11="","",ROUND(N($H11)-N($I11),2))</f>
        <v>0</v>
      </c>
      <c r="K11" s="131" t="str">
        <f aca="false">IF($B11="","",IF(N($I11)&lt;=0,"没有欠款",IF(N($J11)&gt;=0,"货够抵账 · 可以先不收","货不够抵 · 该收钱了")))</f>
        <v>没有欠款</v>
      </c>
      <c r="L11" s="132" t="str">
        <f aca="false">IF($B11="","",$B11&amp;" 库里还压着 "&amp;TEXT(N($H11),"#,##0.00")&amp;" 元的货，欠我们 "&amp;TEXT(N($I11),"#,##0.00")&amp;" 元，差额 "&amp;TEXT(N($J11),"#,##0.00")&amp;" 元")</f>
        <v>新顺发泡网 库里还压着 0.00 元的货，欠我们 0.00 元，差额 0.00 元</v>
      </c>
    </row>
    <row r="12" customFormat="false" ht="15.75" hidden="false" customHeight="true" outlineLevel="0" collapsed="false">
      <c r="A12" s="63" t="n">
        <f aca="false">IF($B12="","",ROW()-5)</f>
        <v>7</v>
      </c>
      <c r="B12" s="62" t="str">
        <f aca="false">IFERROR(INDEX(_自动清单!$E$4:$E$203,ROW()-5),"")</f>
        <v>伍元虎</v>
      </c>
      <c r="C12" s="64" t="n">
        <f aca="false">IF($B12="","",COUNTIF(对接源_01库存!$B$4:$B$403,$B12))</f>
        <v>1</v>
      </c>
      <c r="D12" s="64" t="n">
        <f aca="false">IF($B12="","",SUMIF(对接源_01库存!$B$4:$B$403,$B12,对接源_01库存!$F$4:$F$403))</f>
        <v>0</v>
      </c>
      <c r="E12" s="65" t="n">
        <f aca="false">IF($B12="","",ROUND(SUMIF(对接源_01库存!$B$4:$B$403,$B12,对接源_01库存!$G$4:$G$403),2))</f>
        <v>0</v>
      </c>
      <c r="F12" s="129"/>
      <c r="G12" s="129"/>
      <c r="H12" s="130" t="n">
        <f aca="false">IF($B12="","",ROUND(SUMIF($B$69:$B$468,$B12,$H$69:$H$468),2))</f>
        <v>0</v>
      </c>
      <c r="I12" s="65" t="n">
        <f aca="false">IF($B12="","",ROUND(IFERROR(INDEX(应收应付汇总表!$F$5:$F$204,MATCH($B12,应收应付汇总表!$B$5:$B$204,0)),0),2))</f>
        <v>-836</v>
      </c>
      <c r="J12" s="130" t="n">
        <f aca="false">IF($B12="","",ROUND(N($H12)-N($I12),2))</f>
        <v>836</v>
      </c>
      <c r="K12" s="131" t="str">
        <f aca="false">IF($B12="","",IF(N($I12)&lt;=0,"没有欠款",IF(N($J12)&gt;=0,"货够抵账 · 可以先不收","货不够抵 · 该收钱了")))</f>
        <v>没有欠款</v>
      </c>
      <c r="L12" s="132" t="str">
        <f aca="false">IF($B12="","",$B12&amp;" 库里还压着 "&amp;TEXT(N($H12),"#,##0.00")&amp;" 元的货，欠我们 "&amp;TEXT(N($I12),"#,##0.00")&amp;" 元，差额 "&amp;TEXT(N($J12),"#,##0.00")&amp;" 元")</f>
        <v>伍元虎 库里还压着 0.00 元的货，欠我们 -836.00 元，差额 836.00 元</v>
      </c>
    </row>
    <row r="13" customFormat="false" ht="15.75" hidden="false" customHeight="true" outlineLevel="0" collapsed="false">
      <c r="A13" s="63" t="n">
        <f aca="false">IF($B13="","",ROW()-5)</f>
        <v>8</v>
      </c>
      <c r="B13" s="62" t="str">
        <f aca="false">IFERROR(INDEX(_自动清单!$E$4:$E$203,ROW()-5),"")</f>
        <v>吐尔逊</v>
      </c>
      <c r="C13" s="64" t="n">
        <f aca="false">IF($B13="","",COUNTIF(对接源_01库存!$B$4:$B$403,$B13))</f>
        <v>2</v>
      </c>
      <c r="D13" s="64" t="n">
        <f aca="false">IF($B13="","",SUMIF(对接源_01库存!$B$4:$B$403,$B13,对接源_01库存!$F$4:$F$403))</f>
        <v>200</v>
      </c>
      <c r="E13" s="65" t="n">
        <f aca="false">IF($B13="","",ROUND(SUMIF(对接源_01库存!$B$4:$B$403,$B13,对接源_01库存!$G$4:$G$403),2))</f>
        <v>4200</v>
      </c>
      <c r="F13" s="129"/>
      <c r="G13" s="129"/>
      <c r="H13" s="130" t="n">
        <f aca="false">IF($B13="","",ROUND(SUMIF($B$69:$B$468,$B13,$H$69:$H$468),2))</f>
        <v>160</v>
      </c>
      <c r="I13" s="65" t="n">
        <f aca="false">IF($B13="","",ROUND(IFERROR(INDEX(应收应付汇总表!$F$5:$F$204,MATCH($B13,应收应付汇总表!$B$5:$B$204,0)),0),2))</f>
        <v>0</v>
      </c>
      <c r="J13" s="130" t="n">
        <f aca="false">IF($B13="","",ROUND(N($H13)-N($I13),2))</f>
        <v>160</v>
      </c>
      <c r="K13" s="131" t="str">
        <f aca="false">IF($B13="","",IF(N($I13)&lt;=0,"没有欠款",IF(N($J13)&gt;=0,"货够抵账 · 可以先不收","货不够抵 · 该收钱了")))</f>
        <v>没有欠款</v>
      </c>
      <c r="L13" s="132" t="str">
        <f aca="false">IF($B13="","",$B13&amp;" 库里还压着 "&amp;TEXT(N($H13),"#,##0.00")&amp;" 元的货，欠我们 "&amp;TEXT(N($I13),"#,##0.00")&amp;" 元，差额 "&amp;TEXT(N($J13),"#,##0.00")&amp;" 元")</f>
        <v>吐尔逊 库里还压着 160.00 元的货，欠我们 0.00 元，差额 160.00 元</v>
      </c>
    </row>
    <row r="14" customFormat="false" ht="15.75" hidden="false" customHeight="true" outlineLevel="0" collapsed="false">
      <c r="A14" s="63" t="n">
        <f aca="false">IF($B14="","",ROW()-5)</f>
        <v>9</v>
      </c>
      <c r="B14" s="62" t="str">
        <f aca="false">IFERROR(INDEX(_自动清单!$E$4:$E$203,ROW()-5),"")</f>
        <v>贾建国</v>
      </c>
      <c r="C14" s="64" t="n">
        <f aca="false">IF($B14="","",COUNTIF(对接源_01库存!$B$4:$B$403,$B14))</f>
        <v>2</v>
      </c>
      <c r="D14" s="64" t="n">
        <f aca="false">IF($B14="","",SUMIF(对接源_01库存!$B$4:$B$403,$B14,对接源_01库存!$F$4:$F$403))</f>
        <v>1390</v>
      </c>
      <c r="E14" s="65" t="n">
        <f aca="false">IF($B14="","",ROUND(SUMIF(对接源_01库存!$B$4:$B$403,$B14,对接源_01库存!$G$4:$G$403),2))</f>
        <v>28596.6</v>
      </c>
      <c r="F14" s="129"/>
      <c r="G14" s="129"/>
      <c r="H14" s="130" t="n">
        <f aca="false">IF($B14="","",ROUND(SUMIF($B$69:$B$468,$B14,$H$69:$H$468),2))</f>
        <v>925.1</v>
      </c>
      <c r="I14" s="65" t="n">
        <f aca="false">IF($B14="","",ROUND(IFERROR(INDEX(应收应付汇总表!$F$5:$F$204,MATCH($B14,应收应付汇总表!$B$5:$B$204,0)),0),2))</f>
        <v>0</v>
      </c>
      <c r="J14" s="130" t="n">
        <f aca="false">IF($B14="","",ROUND(N($H14)-N($I14),2))</f>
        <v>925.1</v>
      </c>
      <c r="K14" s="131" t="str">
        <f aca="false">IF($B14="","",IF(N($I14)&lt;=0,"没有欠款",IF(N($J14)&gt;=0,"货够抵账 · 可以先不收","货不够抵 · 该收钱了")))</f>
        <v>没有欠款</v>
      </c>
      <c r="L14" s="132" t="str">
        <f aca="false">IF($B14="","",$B14&amp;" 库里还压着 "&amp;TEXT(N($H14),"#,##0.00")&amp;" 元的货，欠我们 "&amp;TEXT(N($I14),"#,##0.00")&amp;" 元，差额 "&amp;TEXT(N($J14),"#,##0.00")&amp;" 元")</f>
        <v>贾建国 库里还压着 925.10 元的货，欠我们 0.00 元，差额 925.10 元</v>
      </c>
    </row>
    <row r="15" customFormat="false" ht="15.75" hidden="false" customHeight="true" outlineLevel="0" collapsed="false">
      <c r="A15" s="63" t="n">
        <f aca="false">IF($B15="","",ROW()-5)</f>
        <v>10</v>
      </c>
      <c r="B15" s="62" t="str">
        <f aca="false">IFERROR(INDEX(_自动清单!$E$4:$E$203,ROW()-5),"")</f>
        <v>聂新平</v>
      </c>
      <c r="C15" s="64" t="n">
        <f aca="false">IF($B15="","",COUNTIF(对接源_01库存!$B$4:$B$403,$B15))</f>
        <v>5</v>
      </c>
      <c r="D15" s="64" t="n">
        <f aca="false">IF($B15="","",SUMIF(对接源_01库存!$B$4:$B$403,$B15,对接源_01库存!$F$4:$F$403))</f>
        <v>1</v>
      </c>
      <c r="E15" s="65" t="n">
        <f aca="false">IF($B15="","",ROUND(SUMIF(对接源_01库存!$B$4:$B$403,$B15,对接源_01库存!$G$4:$G$403),2))</f>
        <v>27840.6</v>
      </c>
      <c r="F15" s="129"/>
      <c r="G15" s="129"/>
      <c r="H15" s="130" t="n">
        <f aca="false">IF($B15="","",ROUND(SUMIF($B$69:$B$468,$B15,$H$69:$H$468),2))</f>
        <v>0</v>
      </c>
      <c r="I15" s="65" t="n">
        <f aca="false">IF($B15="","",ROUND(IFERROR(INDEX(应收应付汇总表!$F$5:$F$204,MATCH($B15,应收应付汇总表!$B$5:$B$204,0)),0),2))</f>
        <v>0</v>
      </c>
      <c r="J15" s="130" t="n">
        <f aca="false">IF($B15="","",ROUND(N($H15)-N($I15),2))</f>
        <v>0</v>
      </c>
      <c r="K15" s="131" t="str">
        <f aca="false">IF($B15="","",IF(N($I15)&lt;=0,"没有欠款",IF(N($J15)&gt;=0,"货够抵账 · 可以先不收","货不够抵 · 该收钱了")))</f>
        <v>没有欠款</v>
      </c>
      <c r="L15" s="132" t="str">
        <f aca="false">IF($B15="","",$B15&amp;" 库里还压着 "&amp;TEXT(N($H15),"#,##0.00")&amp;" 元的货，欠我们 "&amp;TEXT(N($I15),"#,##0.00")&amp;" 元，差额 "&amp;TEXT(N($J15),"#,##0.00")&amp;" 元")</f>
        <v>聂新平 库里还压着 0.00 元的货，欠我们 0.00 元，差额 0.00 元</v>
      </c>
    </row>
    <row r="16" customFormat="false" ht="15.75" hidden="false" customHeight="true" outlineLevel="0" collapsed="false">
      <c r="A16" s="63" t="n">
        <f aca="false">IF($B16="","",ROW()-5)</f>
        <v>11</v>
      </c>
      <c r="B16" s="62" t="str">
        <f aca="false">IFERROR(INDEX(_自动清单!$E$4:$E$203,ROW()-5),"")</f>
        <v>荆建君</v>
      </c>
      <c r="C16" s="64" t="n">
        <f aca="false">IF($B16="","",COUNTIF(对接源_01库存!$B$4:$B$403,$B16))</f>
        <v>2</v>
      </c>
      <c r="D16" s="64" t="n">
        <f aca="false">IF($B16="","",SUMIF(对接源_01库存!$B$4:$B$403,$B16,对接源_01库存!$F$4:$F$403))</f>
        <v>1864</v>
      </c>
      <c r="E16" s="65" t="n">
        <f aca="false">IF($B16="","",ROUND(SUMIF(对接源_01库存!$B$4:$B$403,$B16,对接源_01库存!$G$4:$G$403),2))</f>
        <v>34111.2</v>
      </c>
      <c r="F16" s="129"/>
      <c r="G16" s="129"/>
      <c r="H16" s="130" t="n">
        <f aca="false">IF($B16="","",ROUND(SUMIF($B$69:$B$468,$B16,$H$69:$H$468),2))</f>
        <v>1755.6</v>
      </c>
      <c r="I16" s="65" t="n">
        <f aca="false">IF($B16="","",ROUND(IFERROR(INDEX(应收应付汇总表!$F$5:$F$204,MATCH($B16,应收应付汇总表!$B$5:$B$204,0)),0),2))</f>
        <v>0</v>
      </c>
      <c r="J16" s="130" t="n">
        <f aca="false">IF($B16="","",ROUND(N($H16)-N($I16),2))</f>
        <v>1755.6</v>
      </c>
      <c r="K16" s="131" t="str">
        <f aca="false">IF($B16="","",IF(N($I16)&lt;=0,"没有欠款",IF(N($J16)&gt;=0,"货够抵账 · 可以先不收","货不够抵 · 该收钱了")))</f>
        <v>没有欠款</v>
      </c>
      <c r="L16" s="132" t="str">
        <f aca="false">IF($B16="","",$B16&amp;" 库里还压着 "&amp;TEXT(N($H16),"#,##0.00")&amp;" 元的货，欠我们 "&amp;TEXT(N($I16),"#,##0.00")&amp;" 元，差额 "&amp;TEXT(N($J16),"#,##0.00")&amp;" 元")</f>
        <v>荆建君 库里还压着 1,755.60 元的货，欠我们 0.00 元，差额 1,755.60 元</v>
      </c>
    </row>
    <row r="17" customFormat="false" ht="15.75" hidden="false" customHeight="true" outlineLevel="0" collapsed="false">
      <c r="A17" s="63" t="n">
        <f aca="false">IF($B17="","",ROW()-5)</f>
        <v>12</v>
      </c>
      <c r="B17" s="62" t="str">
        <f aca="false">IFERROR(INDEX(_自动清单!$E$4:$E$203,ROW()-5),"")</f>
        <v>马锦祥</v>
      </c>
      <c r="C17" s="64" t="n">
        <f aca="false">IF($B17="","",COUNTIF(对接源_01库存!$B$4:$B$403,$B17))</f>
        <v>4</v>
      </c>
      <c r="D17" s="64" t="n">
        <f aca="false">IF($B17="","",SUMIF(对接源_01库存!$B$4:$B$403,$B17,对接源_01库存!$F$4:$F$403))</f>
        <v>2557</v>
      </c>
      <c r="E17" s="65" t="n">
        <f aca="false">IF($B17="","",ROUND(SUMIF(对接源_01库存!$B$4:$B$403,$B17,对接源_01库存!$G$4:$G$403),2))</f>
        <v>47327.3</v>
      </c>
      <c r="F17" s="129"/>
      <c r="G17" s="129"/>
      <c r="H17" s="130" t="n">
        <f aca="false">IF($B17="","",ROUND(SUMIF($B$69:$B$468,$B17,$H$69:$H$468),2))</f>
        <v>2813.6</v>
      </c>
      <c r="I17" s="65" t="n">
        <f aca="false">IF($B17="","",ROUND(IFERROR(INDEX(应收应付汇总表!$F$5:$F$204,MATCH($B17,应收应付汇总表!$B$5:$B$204,0)),0),2))</f>
        <v>0</v>
      </c>
      <c r="J17" s="130" t="n">
        <f aca="false">IF($B17="","",ROUND(N($H17)-N($I17),2))</f>
        <v>2813.6</v>
      </c>
      <c r="K17" s="131" t="str">
        <f aca="false">IF($B17="","",IF(N($I17)&lt;=0,"没有欠款",IF(N($J17)&gt;=0,"货够抵账 · 可以先不收","货不够抵 · 该收钱了")))</f>
        <v>没有欠款</v>
      </c>
      <c r="L17" s="132" t="str">
        <f aca="false">IF($B17="","",$B17&amp;" 库里还压着 "&amp;TEXT(N($H17),"#,##0.00")&amp;" 元的货，欠我们 "&amp;TEXT(N($I17),"#,##0.00")&amp;" 元，差额 "&amp;TEXT(N($J17),"#,##0.00")&amp;" 元")</f>
        <v>马锦祥 库里还压着 2,813.60 元的货，欠我们 0.00 元，差额 2,813.60 元</v>
      </c>
    </row>
    <row r="18" customFormat="false" ht="15.75" hidden="false" customHeight="true" outlineLevel="0" collapsed="false">
      <c r="A18" s="63" t="n">
        <f aca="false">IF($B18="","",ROW()-5)</f>
        <v>13</v>
      </c>
      <c r="B18" s="62" t="str">
        <f aca="false">IFERROR(INDEX(_自动清单!$E$4:$E$203,ROW()-5),"")</f>
        <v>吐尔洪</v>
      </c>
      <c r="C18" s="64" t="n">
        <f aca="false">IF($B18="","",COUNTIF(对接源_01库存!$B$4:$B$403,$B18))</f>
        <v>3</v>
      </c>
      <c r="D18" s="64" t="n">
        <f aca="false">IF($B18="","",SUMIF(对接源_01库存!$B$4:$B$403,$B18,对接源_01库存!$F$4:$F$403))</f>
        <v>1832</v>
      </c>
      <c r="E18" s="65" t="n">
        <f aca="false">IF($B18="","",ROUND(SUMIF(对接源_01库存!$B$4:$B$403,$B18,对接源_01库存!$G$4:$G$403),2))</f>
        <v>36145.6</v>
      </c>
      <c r="F18" s="129"/>
      <c r="G18" s="129"/>
      <c r="H18" s="130" t="n">
        <f aca="false">IF($B18="","",ROUND(SUMIF($B$69:$B$468,$B18,$H$69:$H$468),2))</f>
        <v>1879.6</v>
      </c>
      <c r="I18" s="65" t="n">
        <f aca="false">IF($B18="","",ROUND(IFERROR(INDEX(应收应付汇总表!$F$5:$F$204,MATCH($B18,应收应付汇总表!$B$5:$B$204,0)),0),2))</f>
        <v>0</v>
      </c>
      <c r="J18" s="130" t="n">
        <f aca="false">IF($B18="","",ROUND(N($H18)-N($I18),2))</f>
        <v>1879.6</v>
      </c>
      <c r="K18" s="131" t="str">
        <f aca="false">IF($B18="","",IF(N($I18)&lt;=0,"没有欠款",IF(N($J18)&gt;=0,"货够抵账 · 可以先不收","货不够抵 · 该收钱了")))</f>
        <v>没有欠款</v>
      </c>
      <c r="L18" s="132" t="str">
        <f aca="false">IF($B18="","",$B18&amp;" 库里还压着 "&amp;TEXT(N($H18),"#,##0.00")&amp;" 元的货，欠我们 "&amp;TEXT(N($I18),"#,##0.00")&amp;" 元，差额 "&amp;TEXT(N($J18),"#,##0.00")&amp;" 元")</f>
        <v>吐尔洪 库里还压着 1,879.60 元的货，欠我们 0.00 元，差额 1,879.60 元</v>
      </c>
    </row>
    <row r="19" customFormat="false" ht="15.75" hidden="false" customHeight="true" outlineLevel="0" collapsed="false">
      <c r="A19" s="63" t="n">
        <f aca="false">IF($B19="","",ROW()-5)</f>
        <v>14</v>
      </c>
      <c r="B19" s="62" t="str">
        <f aca="false">IFERROR(INDEX(_自动清单!$E$4:$E$203,ROW()-5),"")</f>
        <v>杨艳玲</v>
      </c>
      <c r="C19" s="64" t="n">
        <f aca="false">IF($B19="","",COUNTIF(对接源_01库存!$B$4:$B$403,$B19))</f>
        <v>1</v>
      </c>
      <c r="D19" s="64" t="n">
        <f aca="false">IF($B19="","",SUMIF(对接源_01库存!$B$4:$B$403,$B19,对接源_01库存!$F$4:$F$403))</f>
        <v>104</v>
      </c>
      <c r="E19" s="65" t="n">
        <f aca="false">IF($B19="","",ROUND(SUMIF(对接源_01库存!$B$4:$B$403,$B19,对接源_01库存!$G$4:$G$403),2))</f>
        <v>1799.2</v>
      </c>
      <c r="F19" s="129"/>
      <c r="G19" s="129"/>
      <c r="H19" s="130" t="n">
        <f aca="false">IF($B19="","",ROUND(SUMIF($B$69:$B$468,$B19,$H$69:$H$468),2))</f>
        <v>208</v>
      </c>
      <c r="I19" s="65" t="n">
        <f aca="false">IF($B19="","",ROUND(IFERROR(INDEX(应收应付汇总表!$F$5:$F$204,MATCH($B19,应收应付汇总表!$B$5:$B$204,0)),0),2))</f>
        <v>0</v>
      </c>
      <c r="J19" s="130" t="n">
        <f aca="false">IF($B19="","",ROUND(N($H19)-N($I19),2))</f>
        <v>208</v>
      </c>
      <c r="K19" s="131" t="str">
        <f aca="false">IF($B19="","",IF(N($I19)&lt;=0,"没有欠款",IF(N($J19)&gt;=0,"货够抵账 · 可以先不收","货不够抵 · 该收钱了")))</f>
        <v>没有欠款</v>
      </c>
      <c r="L19" s="132" t="str">
        <f aca="false">IF($B19="","",$B19&amp;" 库里还压着 "&amp;TEXT(N($H19),"#,##0.00")&amp;" 元的货，欠我们 "&amp;TEXT(N($I19),"#,##0.00")&amp;" 元，差额 "&amp;TEXT(N($J19),"#,##0.00")&amp;" 元")</f>
        <v>杨艳玲 库里还压着 208.00 元的货，欠我们 0.00 元，差额 208.00 元</v>
      </c>
    </row>
    <row r="20" customFormat="false" ht="15.75" hidden="false" customHeight="true" outlineLevel="0" collapsed="false">
      <c r="A20" s="63" t="n">
        <f aca="false">IF($B20="","",ROW()-5)</f>
        <v>15</v>
      </c>
      <c r="B20" s="62" t="str">
        <f aca="false">IFERROR(INDEX(_自动清单!$E$4:$E$203,ROW()-5),"")</f>
        <v>努尔敦</v>
      </c>
      <c r="C20" s="64" t="n">
        <f aca="false">IF($B20="","",COUNTIF(对接源_01库存!$B$4:$B$403,$B20))</f>
        <v>3</v>
      </c>
      <c r="D20" s="64" t="n">
        <f aca="false">IF($B20="","",SUMIF(对接源_01库存!$B$4:$B$403,$B20,对接源_01库存!$F$4:$F$403))</f>
        <v>3223</v>
      </c>
      <c r="E20" s="65" t="n">
        <f aca="false">IF($B20="","",ROUND(SUMIF(对接源_01库存!$B$4:$B$403,$B20,对接源_01库存!$G$4:$G$403),2))</f>
        <v>62388.9</v>
      </c>
      <c r="F20" s="129"/>
      <c r="G20" s="129"/>
      <c r="H20" s="130" t="n">
        <f aca="false">IF($B20="","",ROUND(SUMIF($B$69:$B$468,$B20,$H$69:$H$468),2))</f>
        <v>3323.9</v>
      </c>
      <c r="I20" s="65" t="n">
        <f aca="false">IF($B20="","",ROUND(IFERROR(INDEX(应收应付汇总表!$F$5:$F$204,MATCH($B20,应收应付汇总表!$B$5:$B$204,0)),0),2))</f>
        <v>0</v>
      </c>
      <c r="J20" s="130" t="n">
        <f aca="false">IF($B20="","",ROUND(N($H20)-N($I20),2))</f>
        <v>3323.9</v>
      </c>
      <c r="K20" s="131" t="str">
        <f aca="false">IF($B20="","",IF(N($I20)&lt;=0,"没有欠款",IF(N($J20)&gt;=0,"货够抵账 · 可以先不收","货不够抵 · 该收钱了")))</f>
        <v>没有欠款</v>
      </c>
      <c r="L20" s="132" t="str">
        <f aca="false">IF($B20="","",$B20&amp;" 库里还压着 "&amp;TEXT(N($H20),"#,##0.00")&amp;" 元的货，欠我们 "&amp;TEXT(N($I20),"#,##0.00")&amp;" 元，差额 "&amp;TEXT(N($J20),"#,##0.00")&amp;" 元")</f>
        <v>努尔敦 库里还压着 3,323.90 元的货，欠我们 0.00 元，差额 3,323.90 元</v>
      </c>
    </row>
    <row r="21" customFormat="false" ht="15.75" hidden="false" customHeight="true" outlineLevel="0" collapsed="false">
      <c r="A21" s="63" t="n">
        <f aca="false">IF($B21="","",ROW()-5)</f>
        <v>16</v>
      </c>
      <c r="B21" s="62" t="str">
        <f aca="false">IFERROR(INDEX(_自动清单!$E$4:$E$203,ROW()-5),"")</f>
        <v>王浩</v>
      </c>
      <c r="C21" s="64" t="n">
        <f aca="false">IF($B21="","",COUNTIF(对接源_01库存!$B$4:$B$403,$B21))</f>
        <v>1</v>
      </c>
      <c r="D21" s="64" t="n">
        <f aca="false">IF($B21="","",SUMIF(对接源_01库存!$B$4:$B$403,$B21,对接源_01库存!$F$4:$F$403))</f>
        <v>1177</v>
      </c>
      <c r="E21" s="65" t="n">
        <f aca="false">IF($B21="","",ROUND(SUMIF(对接源_01库存!$B$4:$B$403,$B21,对接源_01库存!$G$4:$G$403),2))</f>
        <v>21667.2</v>
      </c>
      <c r="F21" s="129"/>
      <c r="G21" s="129"/>
      <c r="H21" s="130" t="n">
        <f aca="false">IF($B21="","",ROUND(SUMIF($B$69:$B$468,$B21,$H$69:$H$468),2))</f>
        <v>1765.5</v>
      </c>
      <c r="I21" s="65" t="n">
        <f aca="false">IF($B21="","",ROUND(IFERROR(INDEX(应收应付汇总表!$F$5:$F$204,MATCH($B21,应收应付汇总表!$B$5:$B$204,0)),0),2))</f>
        <v>0</v>
      </c>
      <c r="J21" s="130" t="n">
        <f aca="false">IF($B21="","",ROUND(N($H21)-N($I21),2))</f>
        <v>1765.5</v>
      </c>
      <c r="K21" s="131" t="str">
        <f aca="false">IF($B21="","",IF(N($I21)&lt;=0,"没有欠款",IF(N($J21)&gt;=0,"货够抵账 · 可以先不收","货不够抵 · 该收钱了")))</f>
        <v>没有欠款</v>
      </c>
      <c r="L21" s="132" t="str">
        <f aca="false">IF($B21="","",$B21&amp;" 库里还压着 "&amp;TEXT(N($H21),"#,##0.00")&amp;" 元的货，欠我们 "&amp;TEXT(N($I21),"#,##0.00")&amp;" 元，差额 "&amp;TEXT(N($J21),"#,##0.00")&amp;" 元")</f>
        <v>王浩 库里还压着 1,765.50 元的货，欠我们 0.00 元，差额 1,765.50 元</v>
      </c>
    </row>
    <row r="22" customFormat="false" ht="15.75" hidden="false" customHeight="true" outlineLevel="0" collapsed="false">
      <c r="A22" s="63" t="n">
        <f aca="false">IF($B22="","",ROW()-5)</f>
        <v>17</v>
      </c>
      <c r="B22" s="62" t="str">
        <f aca="false">IFERROR(INDEX(_自动清单!$E$4:$E$203,ROW()-5),"")</f>
        <v>热合曼+艾则孜</v>
      </c>
      <c r="C22" s="64" t="n">
        <f aca="false">IF($B22="","",COUNTIF(对接源_01库存!$B$4:$B$403,$B22))</f>
        <v>3</v>
      </c>
      <c r="D22" s="64" t="n">
        <f aca="false">IF($B22="","",SUMIF(对接源_01库存!$B$4:$B$403,$B22,对接源_01库存!$F$4:$F$403))</f>
        <v>500</v>
      </c>
      <c r="E22" s="65" t="n">
        <f aca="false">IF($B22="","",ROUND(SUMIF(对接源_01库存!$B$4:$B$403,$B22,对接源_01库存!$G$4:$G$403),2))</f>
        <v>9674</v>
      </c>
      <c r="F22" s="129"/>
      <c r="G22" s="129"/>
      <c r="H22" s="130" t="n">
        <f aca="false">IF($B22="","",ROUND(SUMIF($B$69:$B$468,$B22,$H$69:$H$468),2))</f>
        <v>501.4</v>
      </c>
      <c r="I22" s="65" t="n">
        <f aca="false">IF($B22="","",ROUND(IFERROR(INDEX(应收应付汇总表!$F$5:$F$204,MATCH($B22,应收应付汇总表!$B$5:$B$204,0)),0),2))</f>
        <v>0</v>
      </c>
      <c r="J22" s="130" t="n">
        <f aca="false">IF($B22="","",ROUND(N($H22)-N($I22),2))</f>
        <v>501.4</v>
      </c>
      <c r="K22" s="131" t="str">
        <f aca="false">IF($B22="","",IF(N($I22)&lt;=0,"没有欠款",IF(N($J22)&gt;=0,"货够抵账 · 可以先不收","货不够抵 · 该收钱了")))</f>
        <v>没有欠款</v>
      </c>
      <c r="L22" s="132" t="str">
        <f aca="false">IF($B22="","",$B22&amp;" 库里还压着 "&amp;TEXT(N($H22),"#,##0.00")&amp;" 元的货，欠我们 "&amp;TEXT(N($I22),"#,##0.00")&amp;" 元，差额 "&amp;TEXT(N($J22),"#,##0.00")&amp;" 元")</f>
        <v>热合曼+艾则孜 库里还压着 501.40 元的货，欠我们 0.00 元，差额 501.40 元</v>
      </c>
    </row>
    <row r="23" customFormat="false" ht="15.75" hidden="false" customHeight="true" outlineLevel="0" collapsed="false">
      <c r="A23" s="63" t="n">
        <f aca="false">IF($B23="","",ROW()-5)</f>
        <v>18</v>
      </c>
      <c r="B23" s="62" t="str">
        <f aca="false">IFERROR(INDEX(_自动清单!$E$4:$E$203,ROW()-5),"")</f>
        <v>李现东</v>
      </c>
      <c r="C23" s="64" t="n">
        <f aca="false">IF($B23="","",COUNTIF(对接源_01库存!$B$4:$B$403,$B23))</f>
        <v>3</v>
      </c>
      <c r="D23" s="64" t="n">
        <f aca="false">IF($B23="","",SUMIF(对接源_01库存!$B$4:$B$403,$B23,对接源_01库存!$F$4:$F$403))</f>
        <v>469</v>
      </c>
      <c r="E23" s="65" t="n">
        <f aca="false">IF($B23="","",ROUND(SUMIF(对接源_01库存!$B$4:$B$403,$B23,对接源_01库存!$G$4:$G$403),2))</f>
        <v>8994.7</v>
      </c>
      <c r="F23" s="129"/>
      <c r="G23" s="129"/>
      <c r="H23" s="130" t="n">
        <f aca="false">IF($B23="","",ROUND(SUMIF($B$69:$B$468,$B23,$H$69:$H$468),2))</f>
        <v>473</v>
      </c>
      <c r="I23" s="65" t="n">
        <f aca="false">IF($B23="","",ROUND(IFERROR(INDEX(应收应付汇总表!$F$5:$F$204,MATCH($B23,应收应付汇总表!$B$5:$B$204,0)),0),2))</f>
        <v>0</v>
      </c>
      <c r="J23" s="130" t="n">
        <f aca="false">IF($B23="","",ROUND(N($H23)-N($I23),2))</f>
        <v>473</v>
      </c>
      <c r="K23" s="131" t="str">
        <f aca="false">IF($B23="","",IF(N($I23)&lt;=0,"没有欠款",IF(N($J23)&gt;=0,"货够抵账 · 可以先不收","货不够抵 · 该收钱了")))</f>
        <v>没有欠款</v>
      </c>
      <c r="L23" s="132" t="str">
        <f aca="false">IF($B23="","",$B23&amp;" 库里还压着 "&amp;TEXT(N($H23),"#,##0.00")&amp;" 元的货，欠我们 "&amp;TEXT(N($I23),"#,##0.00")&amp;" 元，差额 "&amp;TEXT(N($J23),"#,##0.00")&amp;" 元")</f>
        <v>李现东 库里还压着 473.00 元的货，欠我们 0.00 元，差额 473.00 元</v>
      </c>
    </row>
    <row r="24" customFormat="false" ht="15.75" hidden="false" customHeight="true" outlineLevel="0" collapsed="false">
      <c r="A24" s="63" t="n">
        <f aca="false">IF($B24="","",ROW()-5)</f>
        <v>19</v>
      </c>
      <c r="B24" s="62" t="str">
        <f aca="false">IFERROR(INDEX(_自动清单!$E$4:$E$203,ROW()-5),"")</f>
        <v>阿布都</v>
      </c>
      <c r="C24" s="64" t="n">
        <f aca="false">IF($B24="","",COUNTIF(对接源_01库存!$B$4:$B$403,$B24))</f>
        <v>3</v>
      </c>
      <c r="D24" s="64" t="n">
        <f aca="false">IF($B24="","",SUMIF(对接源_01库存!$B$4:$B$403,$B24,对接源_01库存!$F$4:$F$403))</f>
        <v>315</v>
      </c>
      <c r="E24" s="65" t="n">
        <f aca="false">IF($B24="","",ROUND(SUMIF(对接源_01库存!$B$4:$B$403,$B24,对接源_01库存!$G$4:$G$403),2))</f>
        <v>5972.5</v>
      </c>
      <c r="F24" s="129"/>
      <c r="G24" s="129"/>
      <c r="H24" s="130" t="n">
        <f aca="false">IF($B24="","",ROUND(SUMIF($B$69:$B$468,$B24,$H$69:$H$468),2))</f>
        <v>0</v>
      </c>
      <c r="I24" s="65" t="n">
        <f aca="false">IF($B24="","",ROUND(IFERROR(INDEX(应收应付汇总表!$F$5:$F$204,MATCH($B24,应收应付汇总表!$B$5:$B$204,0)),0),2))</f>
        <v>0</v>
      </c>
      <c r="J24" s="130" t="n">
        <f aca="false">IF($B24="","",ROUND(N($H24)-N($I24),2))</f>
        <v>0</v>
      </c>
      <c r="K24" s="131" t="str">
        <f aca="false">IF($B24="","",IF(N($I24)&lt;=0,"没有欠款",IF(N($J24)&gt;=0,"货够抵账 · 可以先不收","货不够抵 · 该收钱了")))</f>
        <v>没有欠款</v>
      </c>
      <c r="L24" s="132" t="str">
        <f aca="false">IF($B24="","",$B24&amp;" 库里还压着 "&amp;TEXT(N($H24),"#,##0.00")&amp;" 元的货，欠我们 "&amp;TEXT(N($I24),"#,##0.00")&amp;" 元，差额 "&amp;TEXT(N($J24),"#,##0.00")&amp;" 元")</f>
        <v>阿布都 库里还压着 0.00 元的货，欠我们 0.00 元，差额 0.00 元</v>
      </c>
    </row>
    <row r="25" customFormat="false" ht="15.75" hidden="false" customHeight="true" outlineLevel="0" collapsed="false">
      <c r="A25" s="63" t="n">
        <f aca="false">IF($B25="","",ROW()-5)</f>
        <v>20</v>
      </c>
      <c r="B25" s="62" t="str">
        <f aca="false">IFERROR(INDEX(_自动清单!$E$4:$E$203,ROW()-5),"")</f>
        <v>艾则孜</v>
      </c>
      <c r="C25" s="64" t="n">
        <f aca="false">IF($B25="","",COUNTIF(对接源_01库存!$B$4:$B$403,$B25))</f>
        <v>3</v>
      </c>
      <c r="D25" s="64" t="n">
        <f aca="false">IF($B25="","",SUMIF(对接源_01库存!$B$4:$B$403,$B25,对接源_01库存!$F$4:$F$403))</f>
        <v>538</v>
      </c>
      <c r="E25" s="65" t="n">
        <f aca="false">IF($B25="","",ROUND(SUMIF(对接源_01库存!$B$4:$B$403,$B25,对接源_01库存!$G$4:$G$403),2))</f>
        <v>10647.4</v>
      </c>
      <c r="F25" s="129"/>
      <c r="G25" s="129"/>
      <c r="H25" s="130" t="n">
        <f aca="false">IF($B25="","",ROUND(SUMIF($B$69:$B$468,$B25,$H$69:$H$468),2))</f>
        <v>0</v>
      </c>
      <c r="I25" s="65" t="n">
        <f aca="false">IF($B25="","",ROUND(IFERROR(INDEX(应收应付汇总表!$F$5:$F$204,MATCH($B25,应收应付汇总表!$B$5:$B$204,0)),0),2))</f>
        <v>0</v>
      </c>
      <c r="J25" s="130" t="n">
        <f aca="false">IF($B25="","",ROUND(N($H25)-N($I25),2))</f>
        <v>0</v>
      </c>
      <c r="K25" s="131" t="str">
        <f aca="false">IF($B25="","",IF(N($I25)&lt;=0,"没有欠款",IF(N($J25)&gt;=0,"货够抵账 · 可以先不收","货不够抵 · 该收钱了")))</f>
        <v>没有欠款</v>
      </c>
      <c r="L25" s="132" t="str">
        <f aca="false">IF($B25="","",$B25&amp;" 库里还压着 "&amp;TEXT(N($H25),"#,##0.00")&amp;" 元的货，欠我们 "&amp;TEXT(N($I25),"#,##0.00")&amp;" 元，差额 "&amp;TEXT(N($J25),"#,##0.00")&amp;" 元")</f>
        <v>艾则孜 库里还压着 0.00 元的货，欠我们 0.00 元，差额 0.00 元</v>
      </c>
    </row>
    <row r="26" customFormat="false" ht="15.75" hidden="false" customHeight="true" outlineLevel="0" collapsed="false">
      <c r="A26" s="63" t="str">
        <f aca="false">IF($B26="","",ROW()-5)</f>
        <v/>
      </c>
      <c r="B26" s="62" t="str">
        <f aca="false">IFERROR(INDEX(_自动清单!$E$4:$E$203,ROW()-5),"")</f>
        <v/>
      </c>
      <c r="C26" s="64" t="str">
        <f aca="false">IF($B26="","",COUNTIF(对接源_01库存!$B$4:$B$403,$B26))</f>
        <v/>
      </c>
      <c r="D26" s="64" t="str">
        <f aca="false">IF($B26="","",SUMIF(对接源_01库存!$B$4:$B$403,$B26,对接源_01库存!$F$4:$F$403))</f>
        <v/>
      </c>
      <c r="E26" s="65" t="str">
        <f aca="false">IF($B26="","",ROUND(SUMIF(对接源_01库存!$B$4:$B$403,$B26,对接源_01库存!$G$4:$G$403),2))</f>
        <v/>
      </c>
      <c r="F26" s="129"/>
      <c r="G26" s="129"/>
      <c r="H26" s="130" t="str">
        <f aca="false">IF($B26="","",ROUND(SUMIF($B$69:$B$468,$B26,$H$69:$H$468),2))</f>
        <v/>
      </c>
      <c r="I26" s="65" t="str">
        <f aca="false">IF($B26="","",ROUND(IFERROR(INDEX(应收应付汇总表!$F$5:$F$204,MATCH($B26,应收应付汇总表!$B$5:$B$204,0)),0),2))</f>
        <v/>
      </c>
      <c r="J26" s="130" t="str">
        <f aca="false">IF($B26="","",ROUND(N($H26)-N($I26),2))</f>
        <v/>
      </c>
      <c r="K26" s="131" t="str">
        <f aca="false">IF($B26="","",IF(N($I26)&lt;=0,"没有欠款",IF(N($J26)&gt;=0,"货够抵账 · 可以先不收","货不够抵 · 该收钱了")))</f>
        <v/>
      </c>
      <c r="L26" s="132" t="str">
        <f aca="false">IF($B26="","",$B26&amp;" 库里还压着 "&amp;TEXT(N($H26),"#,##0.00")&amp;" 元的货，欠我们 "&amp;TEXT(N($I26),"#,##0.00")&amp;" 元，差额 "&amp;TEXT(N($J26),"#,##0.00")&amp;" 元")</f>
        <v/>
      </c>
    </row>
    <row r="27" customFormat="false" ht="15.75" hidden="false" customHeight="true" outlineLevel="0" collapsed="false">
      <c r="A27" s="63" t="str">
        <f aca="false">IF($B27="","",ROW()-5)</f>
        <v/>
      </c>
      <c r="B27" s="62" t="str">
        <f aca="false">IFERROR(INDEX(_自动清单!$E$4:$E$203,ROW()-5),"")</f>
        <v/>
      </c>
      <c r="C27" s="64" t="str">
        <f aca="false">IF($B27="","",COUNTIF(对接源_01库存!$B$4:$B$403,$B27))</f>
        <v/>
      </c>
      <c r="D27" s="64" t="str">
        <f aca="false">IF($B27="","",SUMIF(对接源_01库存!$B$4:$B$403,$B27,对接源_01库存!$F$4:$F$403))</f>
        <v/>
      </c>
      <c r="E27" s="65" t="str">
        <f aca="false">IF($B27="","",ROUND(SUMIF(对接源_01库存!$B$4:$B$403,$B27,对接源_01库存!$G$4:$G$403),2))</f>
        <v/>
      </c>
      <c r="F27" s="129"/>
      <c r="G27" s="129"/>
      <c r="H27" s="130" t="str">
        <f aca="false">IF($B27="","",ROUND(SUMIF($B$69:$B$468,$B27,$H$69:$H$468),2))</f>
        <v/>
      </c>
      <c r="I27" s="65" t="str">
        <f aca="false">IF($B27="","",ROUND(IFERROR(INDEX(应收应付汇总表!$F$5:$F$204,MATCH($B27,应收应付汇总表!$B$5:$B$204,0)),0),2))</f>
        <v/>
      </c>
      <c r="J27" s="130" t="str">
        <f aca="false">IF($B27="","",ROUND(N($H27)-N($I27),2))</f>
        <v/>
      </c>
      <c r="K27" s="131" t="str">
        <f aca="false">IF($B27="","",IF(N($I27)&lt;=0,"没有欠款",IF(N($J27)&gt;=0,"货够抵账 · 可以先不收","货不够抵 · 该收钱了")))</f>
        <v/>
      </c>
      <c r="L27" s="132" t="str">
        <f aca="false">IF($B27="","",$B27&amp;" 库里还压着 "&amp;TEXT(N($H27),"#,##0.00")&amp;" 元的货，欠我们 "&amp;TEXT(N($I27),"#,##0.00")&amp;" 元，差额 "&amp;TEXT(N($J27),"#,##0.00")&amp;" 元")</f>
        <v/>
      </c>
    </row>
    <row r="28" customFormat="false" ht="15.75" hidden="false" customHeight="true" outlineLevel="0" collapsed="false">
      <c r="A28" s="63" t="str">
        <f aca="false">IF($B28="","",ROW()-5)</f>
        <v/>
      </c>
      <c r="B28" s="62" t="str">
        <f aca="false">IFERROR(INDEX(_自动清单!$E$4:$E$203,ROW()-5),"")</f>
        <v/>
      </c>
      <c r="C28" s="64" t="str">
        <f aca="false">IF($B28="","",COUNTIF(对接源_01库存!$B$4:$B$403,$B28))</f>
        <v/>
      </c>
      <c r="D28" s="64" t="str">
        <f aca="false">IF($B28="","",SUMIF(对接源_01库存!$B$4:$B$403,$B28,对接源_01库存!$F$4:$F$403))</f>
        <v/>
      </c>
      <c r="E28" s="65" t="str">
        <f aca="false">IF($B28="","",ROUND(SUMIF(对接源_01库存!$B$4:$B$403,$B28,对接源_01库存!$G$4:$G$403),2))</f>
        <v/>
      </c>
      <c r="F28" s="129"/>
      <c r="G28" s="129"/>
      <c r="H28" s="130" t="str">
        <f aca="false">IF($B28="","",ROUND(SUMIF($B$69:$B$468,$B28,$H$69:$H$468),2))</f>
        <v/>
      </c>
      <c r="I28" s="65" t="str">
        <f aca="false">IF($B28="","",ROUND(IFERROR(INDEX(应收应付汇总表!$F$5:$F$204,MATCH($B28,应收应付汇总表!$B$5:$B$204,0)),0),2))</f>
        <v/>
      </c>
      <c r="J28" s="130" t="str">
        <f aca="false">IF($B28="","",ROUND(N($H28)-N($I28),2))</f>
        <v/>
      </c>
      <c r="K28" s="131" t="str">
        <f aca="false">IF($B28="","",IF(N($I28)&lt;=0,"没有欠款",IF(N($J28)&gt;=0,"货够抵账 · 可以先不收","货不够抵 · 该收钱了")))</f>
        <v/>
      </c>
      <c r="L28" s="132" t="str">
        <f aca="false">IF($B28="","",$B28&amp;" 库里还压着 "&amp;TEXT(N($H28),"#,##0.00")&amp;" 元的货，欠我们 "&amp;TEXT(N($I28),"#,##0.00")&amp;" 元，差额 "&amp;TEXT(N($J28),"#,##0.00")&amp;" 元")</f>
        <v/>
      </c>
    </row>
    <row r="29" customFormat="false" ht="15.75" hidden="false" customHeight="true" outlineLevel="0" collapsed="false">
      <c r="A29" s="63" t="str">
        <f aca="false">IF($B29="","",ROW()-5)</f>
        <v/>
      </c>
      <c r="B29" s="62" t="str">
        <f aca="false">IFERROR(INDEX(_自动清单!$E$4:$E$203,ROW()-5),"")</f>
        <v/>
      </c>
      <c r="C29" s="64" t="str">
        <f aca="false">IF($B29="","",COUNTIF(对接源_01库存!$B$4:$B$403,$B29))</f>
        <v/>
      </c>
      <c r="D29" s="64" t="str">
        <f aca="false">IF($B29="","",SUMIF(对接源_01库存!$B$4:$B$403,$B29,对接源_01库存!$F$4:$F$403))</f>
        <v/>
      </c>
      <c r="E29" s="65" t="str">
        <f aca="false">IF($B29="","",ROUND(SUMIF(对接源_01库存!$B$4:$B$403,$B29,对接源_01库存!$G$4:$G$403),2))</f>
        <v/>
      </c>
      <c r="F29" s="129"/>
      <c r="G29" s="129"/>
      <c r="H29" s="130" t="str">
        <f aca="false">IF($B29="","",ROUND(SUMIF($B$69:$B$468,$B29,$H$69:$H$468),2))</f>
        <v/>
      </c>
      <c r="I29" s="65" t="str">
        <f aca="false">IF($B29="","",ROUND(IFERROR(INDEX(应收应付汇总表!$F$5:$F$204,MATCH($B29,应收应付汇总表!$B$5:$B$204,0)),0),2))</f>
        <v/>
      </c>
      <c r="J29" s="130" t="str">
        <f aca="false">IF($B29="","",ROUND(N($H29)-N($I29),2))</f>
        <v/>
      </c>
      <c r="K29" s="131" t="str">
        <f aca="false">IF($B29="","",IF(N($I29)&lt;=0,"没有欠款",IF(N($J29)&gt;=0,"货够抵账 · 可以先不收","货不够抵 · 该收钱了")))</f>
        <v/>
      </c>
      <c r="L29" s="132" t="str">
        <f aca="false">IF($B29="","",$B29&amp;" 库里还压着 "&amp;TEXT(N($H29),"#,##0.00")&amp;" 元的货，欠我们 "&amp;TEXT(N($I29),"#,##0.00")&amp;" 元，差额 "&amp;TEXT(N($J29),"#,##0.00")&amp;" 元")</f>
        <v/>
      </c>
    </row>
    <row r="30" customFormat="false" ht="15.75" hidden="false" customHeight="true" outlineLevel="0" collapsed="false">
      <c r="A30" s="63" t="str">
        <f aca="false">IF($B30="","",ROW()-5)</f>
        <v/>
      </c>
      <c r="B30" s="62" t="str">
        <f aca="false">IFERROR(INDEX(_自动清单!$E$4:$E$203,ROW()-5),"")</f>
        <v/>
      </c>
      <c r="C30" s="64" t="str">
        <f aca="false">IF($B30="","",COUNTIF(对接源_01库存!$B$4:$B$403,$B30))</f>
        <v/>
      </c>
      <c r="D30" s="64" t="str">
        <f aca="false">IF($B30="","",SUMIF(对接源_01库存!$B$4:$B$403,$B30,对接源_01库存!$F$4:$F$403))</f>
        <v/>
      </c>
      <c r="E30" s="65" t="str">
        <f aca="false">IF($B30="","",ROUND(SUMIF(对接源_01库存!$B$4:$B$403,$B30,对接源_01库存!$G$4:$G$403),2))</f>
        <v/>
      </c>
      <c r="F30" s="129"/>
      <c r="G30" s="129"/>
      <c r="H30" s="130" t="str">
        <f aca="false">IF($B30="","",ROUND(SUMIF($B$69:$B$468,$B30,$H$69:$H$468),2))</f>
        <v/>
      </c>
      <c r="I30" s="65" t="str">
        <f aca="false">IF($B30="","",ROUND(IFERROR(INDEX(应收应付汇总表!$F$5:$F$204,MATCH($B30,应收应付汇总表!$B$5:$B$204,0)),0),2))</f>
        <v/>
      </c>
      <c r="J30" s="130" t="str">
        <f aca="false">IF($B30="","",ROUND(N($H30)-N($I30),2))</f>
        <v/>
      </c>
      <c r="K30" s="131" t="str">
        <f aca="false">IF($B30="","",IF(N($I30)&lt;=0,"没有欠款",IF(N($J30)&gt;=0,"货够抵账 · 可以先不收","货不够抵 · 该收钱了")))</f>
        <v/>
      </c>
      <c r="L30" s="132" t="str">
        <f aca="false">IF($B30="","",$B30&amp;" 库里还压着 "&amp;TEXT(N($H30),"#,##0.00")&amp;" 元的货，欠我们 "&amp;TEXT(N($I30),"#,##0.00")&amp;" 元，差额 "&amp;TEXT(N($J30),"#,##0.00")&amp;" 元")</f>
        <v/>
      </c>
    </row>
    <row r="31" customFormat="false" ht="15.75" hidden="false" customHeight="true" outlineLevel="0" collapsed="false">
      <c r="A31" s="63" t="str">
        <f aca="false">IF($B31="","",ROW()-5)</f>
        <v/>
      </c>
      <c r="B31" s="62" t="str">
        <f aca="false">IFERROR(INDEX(_自动清单!$E$4:$E$203,ROW()-5),"")</f>
        <v/>
      </c>
      <c r="C31" s="64" t="str">
        <f aca="false">IF($B31="","",COUNTIF(对接源_01库存!$B$4:$B$403,$B31))</f>
        <v/>
      </c>
      <c r="D31" s="64" t="str">
        <f aca="false">IF($B31="","",SUMIF(对接源_01库存!$B$4:$B$403,$B31,对接源_01库存!$F$4:$F$403))</f>
        <v/>
      </c>
      <c r="E31" s="65" t="str">
        <f aca="false">IF($B31="","",ROUND(SUMIF(对接源_01库存!$B$4:$B$403,$B31,对接源_01库存!$G$4:$G$403),2))</f>
        <v/>
      </c>
      <c r="F31" s="129"/>
      <c r="G31" s="129"/>
      <c r="H31" s="130" t="str">
        <f aca="false">IF($B31="","",ROUND(SUMIF($B$69:$B$468,$B31,$H$69:$H$468),2))</f>
        <v/>
      </c>
      <c r="I31" s="65" t="str">
        <f aca="false">IF($B31="","",ROUND(IFERROR(INDEX(应收应付汇总表!$F$5:$F$204,MATCH($B31,应收应付汇总表!$B$5:$B$204,0)),0),2))</f>
        <v/>
      </c>
      <c r="J31" s="130" t="str">
        <f aca="false">IF($B31="","",ROUND(N($H31)-N($I31),2))</f>
        <v/>
      </c>
      <c r="K31" s="131" t="str">
        <f aca="false">IF($B31="","",IF(N($I31)&lt;=0,"没有欠款",IF(N($J31)&gt;=0,"货够抵账 · 可以先不收","货不够抵 · 该收钱了")))</f>
        <v/>
      </c>
      <c r="L31" s="132" t="str">
        <f aca="false">IF($B31="","",$B31&amp;" 库里还压着 "&amp;TEXT(N($H31),"#,##0.00")&amp;" 元的货，欠我们 "&amp;TEXT(N($I31),"#,##0.00")&amp;" 元，差额 "&amp;TEXT(N($J31),"#,##0.00")&amp;" 元")</f>
        <v/>
      </c>
    </row>
    <row r="32" customFormat="false" ht="15.75" hidden="false" customHeight="true" outlineLevel="0" collapsed="false">
      <c r="A32" s="63" t="str">
        <f aca="false">IF($B32="","",ROW()-5)</f>
        <v/>
      </c>
      <c r="B32" s="62" t="str">
        <f aca="false">IFERROR(INDEX(_自动清单!$E$4:$E$203,ROW()-5),"")</f>
        <v/>
      </c>
      <c r="C32" s="64" t="str">
        <f aca="false">IF($B32="","",COUNTIF(对接源_01库存!$B$4:$B$403,$B32))</f>
        <v/>
      </c>
      <c r="D32" s="64" t="str">
        <f aca="false">IF($B32="","",SUMIF(对接源_01库存!$B$4:$B$403,$B32,对接源_01库存!$F$4:$F$403))</f>
        <v/>
      </c>
      <c r="E32" s="65" t="str">
        <f aca="false">IF($B32="","",ROUND(SUMIF(对接源_01库存!$B$4:$B$403,$B32,对接源_01库存!$G$4:$G$403),2))</f>
        <v/>
      </c>
      <c r="F32" s="129"/>
      <c r="G32" s="129"/>
      <c r="H32" s="130" t="str">
        <f aca="false">IF($B32="","",ROUND(SUMIF($B$69:$B$468,$B32,$H$69:$H$468),2))</f>
        <v/>
      </c>
      <c r="I32" s="65" t="str">
        <f aca="false">IF($B32="","",ROUND(IFERROR(INDEX(应收应付汇总表!$F$5:$F$204,MATCH($B32,应收应付汇总表!$B$5:$B$204,0)),0),2))</f>
        <v/>
      </c>
      <c r="J32" s="130" t="str">
        <f aca="false">IF($B32="","",ROUND(N($H32)-N($I32),2))</f>
        <v/>
      </c>
      <c r="K32" s="131" t="str">
        <f aca="false">IF($B32="","",IF(N($I32)&lt;=0,"没有欠款",IF(N($J32)&gt;=0,"货够抵账 · 可以先不收","货不够抵 · 该收钱了")))</f>
        <v/>
      </c>
      <c r="L32" s="132" t="str">
        <f aca="false">IF($B32="","",$B32&amp;" 库里还压着 "&amp;TEXT(N($H32),"#,##0.00")&amp;" 元的货，欠我们 "&amp;TEXT(N($I32),"#,##0.00")&amp;" 元，差额 "&amp;TEXT(N($J32),"#,##0.00")&amp;" 元")</f>
        <v/>
      </c>
    </row>
    <row r="33" customFormat="false" ht="15.75" hidden="false" customHeight="true" outlineLevel="0" collapsed="false">
      <c r="A33" s="63" t="str">
        <f aca="false">IF($B33="","",ROW()-5)</f>
        <v/>
      </c>
      <c r="B33" s="62" t="str">
        <f aca="false">IFERROR(INDEX(_自动清单!$E$4:$E$203,ROW()-5),"")</f>
        <v/>
      </c>
      <c r="C33" s="64" t="str">
        <f aca="false">IF($B33="","",COUNTIF(对接源_01库存!$B$4:$B$403,$B33))</f>
        <v/>
      </c>
      <c r="D33" s="64" t="str">
        <f aca="false">IF($B33="","",SUMIF(对接源_01库存!$B$4:$B$403,$B33,对接源_01库存!$F$4:$F$403))</f>
        <v/>
      </c>
      <c r="E33" s="65" t="str">
        <f aca="false">IF($B33="","",ROUND(SUMIF(对接源_01库存!$B$4:$B$403,$B33,对接源_01库存!$G$4:$G$403),2))</f>
        <v/>
      </c>
      <c r="F33" s="129"/>
      <c r="G33" s="129"/>
      <c r="H33" s="130" t="str">
        <f aca="false">IF($B33="","",ROUND(SUMIF($B$69:$B$468,$B33,$H$69:$H$468),2))</f>
        <v/>
      </c>
      <c r="I33" s="65" t="str">
        <f aca="false">IF($B33="","",ROUND(IFERROR(INDEX(应收应付汇总表!$F$5:$F$204,MATCH($B33,应收应付汇总表!$B$5:$B$204,0)),0),2))</f>
        <v/>
      </c>
      <c r="J33" s="130" t="str">
        <f aca="false">IF($B33="","",ROUND(N($H33)-N($I33),2))</f>
        <v/>
      </c>
      <c r="K33" s="131" t="str">
        <f aca="false">IF($B33="","",IF(N($I33)&lt;=0,"没有欠款",IF(N($J33)&gt;=0,"货够抵账 · 可以先不收","货不够抵 · 该收钱了")))</f>
        <v/>
      </c>
      <c r="L33" s="132" t="str">
        <f aca="false">IF($B33="","",$B33&amp;" 库里还压着 "&amp;TEXT(N($H33),"#,##0.00")&amp;" 元的货，欠我们 "&amp;TEXT(N($I33),"#,##0.00")&amp;" 元，差额 "&amp;TEXT(N($J33),"#,##0.00")&amp;" 元")</f>
        <v/>
      </c>
    </row>
    <row r="34" customFormat="false" ht="15.75" hidden="false" customHeight="true" outlineLevel="0" collapsed="false">
      <c r="A34" s="63" t="str">
        <f aca="false">IF($B34="","",ROW()-5)</f>
        <v/>
      </c>
      <c r="B34" s="62" t="str">
        <f aca="false">IFERROR(INDEX(_自动清单!$E$4:$E$203,ROW()-5),"")</f>
        <v/>
      </c>
      <c r="C34" s="64" t="str">
        <f aca="false">IF($B34="","",COUNTIF(对接源_01库存!$B$4:$B$403,$B34))</f>
        <v/>
      </c>
      <c r="D34" s="64" t="str">
        <f aca="false">IF($B34="","",SUMIF(对接源_01库存!$B$4:$B$403,$B34,对接源_01库存!$F$4:$F$403))</f>
        <v/>
      </c>
      <c r="E34" s="65" t="str">
        <f aca="false">IF($B34="","",ROUND(SUMIF(对接源_01库存!$B$4:$B$403,$B34,对接源_01库存!$G$4:$G$403),2))</f>
        <v/>
      </c>
      <c r="F34" s="129"/>
      <c r="G34" s="129"/>
      <c r="H34" s="130" t="str">
        <f aca="false">IF($B34="","",ROUND(SUMIF($B$69:$B$468,$B34,$H$69:$H$468),2))</f>
        <v/>
      </c>
      <c r="I34" s="65" t="str">
        <f aca="false">IF($B34="","",ROUND(IFERROR(INDEX(应收应付汇总表!$F$5:$F$204,MATCH($B34,应收应付汇总表!$B$5:$B$204,0)),0),2))</f>
        <v/>
      </c>
      <c r="J34" s="130" t="str">
        <f aca="false">IF($B34="","",ROUND(N($H34)-N($I34),2))</f>
        <v/>
      </c>
      <c r="K34" s="131" t="str">
        <f aca="false">IF($B34="","",IF(N($I34)&lt;=0,"没有欠款",IF(N($J34)&gt;=0,"货够抵账 · 可以先不收","货不够抵 · 该收钱了")))</f>
        <v/>
      </c>
      <c r="L34" s="132" t="str">
        <f aca="false">IF($B34="","",$B34&amp;" 库里还压着 "&amp;TEXT(N($H34),"#,##0.00")&amp;" 元的货，欠我们 "&amp;TEXT(N($I34),"#,##0.00")&amp;" 元，差额 "&amp;TEXT(N($J34),"#,##0.00")&amp;" 元")</f>
        <v/>
      </c>
    </row>
    <row r="35" customFormat="false" ht="15.75" hidden="false" customHeight="true" outlineLevel="0" collapsed="false">
      <c r="A35" s="63" t="str">
        <f aca="false">IF($B35="","",ROW()-5)</f>
        <v/>
      </c>
      <c r="B35" s="62" t="str">
        <f aca="false">IFERROR(INDEX(_自动清单!$E$4:$E$203,ROW()-5),"")</f>
        <v/>
      </c>
      <c r="C35" s="64" t="str">
        <f aca="false">IF($B35="","",COUNTIF(对接源_01库存!$B$4:$B$403,$B35))</f>
        <v/>
      </c>
      <c r="D35" s="64" t="str">
        <f aca="false">IF($B35="","",SUMIF(对接源_01库存!$B$4:$B$403,$B35,对接源_01库存!$F$4:$F$403))</f>
        <v/>
      </c>
      <c r="E35" s="65" t="str">
        <f aca="false">IF($B35="","",ROUND(SUMIF(对接源_01库存!$B$4:$B$403,$B35,对接源_01库存!$G$4:$G$403),2))</f>
        <v/>
      </c>
      <c r="F35" s="129"/>
      <c r="G35" s="129"/>
      <c r="H35" s="130" t="str">
        <f aca="false">IF($B35="","",ROUND(SUMIF($B$69:$B$468,$B35,$H$69:$H$468),2))</f>
        <v/>
      </c>
      <c r="I35" s="65" t="str">
        <f aca="false">IF($B35="","",ROUND(IFERROR(INDEX(应收应付汇总表!$F$5:$F$204,MATCH($B35,应收应付汇总表!$B$5:$B$204,0)),0),2))</f>
        <v/>
      </c>
      <c r="J35" s="130" t="str">
        <f aca="false">IF($B35="","",ROUND(N($H35)-N($I35),2))</f>
        <v/>
      </c>
      <c r="K35" s="131" t="str">
        <f aca="false">IF($B35="","",IF(N($I35)&lt;=0,"没有欠款",IF(N($J35)&gt;=0,"货够抵账 · 可以先不收","货不够抵 · 该收钱了")))</f>
        <v/>
      </c>
      <c r="L35" s="132" t="str">
        <f aca="false">IF($B35="","",$B35&amp;" 库里还压着 "&amp;TEXT(N($H35),"#,##0.00")&amp;" 元的货，欠我们 "&amp;TEXT(N($I35),"#,##0.00")&amp;" 元，差额 "&amp;TEXT(N($J35),"#,##0.00")&amp;" 元")</f>
        <v/>
      </c>
    </row>
    <row r="36" customFormat="false" ht="15.75" hidden="false" customHeight="true" outlineLevel="0" collapsed="false">
      <c r="A36" s="63" t="str">
        <f aca="false">IF($B36="","",ROW()-5)</f>
        <v/>
      </c>
      <c r="B36" s="62" t="str">
        <f aca="false">IFERROR(INDEX(_自动清单!$E$4:$E$203,ROW()-5),"")</f>
        <v/>
      </c>
      <c r="C36" s="64" t="str">
        <f aca="false">IF($B36="","",COUNTIF(对接源_01库存!$B$4:$B$403,$B36))</f>
        <v/>
      </c>
      <c r="D36" s="64" t="str">
        <f aca="false">IF($B36="","",SUMIF(对接源_01库存!$B$4:$B$403,$B36,对接源_01库存!$F$4:$F$403))</f>
        <v/>
      </c>
      <c r="E36" s="65" t="str">
        <f aca="false">IF($B36="","",ROUND(SUMIF(对接源_01库存!$B$4:$B$403,$B36,对接源_01库存!$G$4:$G$403),2))</f>
        <v/>
      </c>
      <c r="F36" s="129"/>
      <c r="G36" s="129"/>
      <c r="H36" s="130" t="str">
        <f aca="false">IF($B36="","",ROUND(SUMIF($B$69:$B$468,$B36,$H$69:$H$468),2))</f>
        <v/>
      </c>
      <c r="I36" s="65" t="str">
        <f aca="false">IF($B36="","",ROUND(IFERROR(INDEX(应收应付汇总表!$F$5:$F$204,MATCH($B36,应收应付汇总表!$B$5:$B$204,0)),0),2))</f>
        <v/>
      </c>
      <c r="J36" s="130" t="str">
        <f aca="false">IF($B36="","",ROUND(N($H36)-N($I36),2))</f>
        <v/>
      </c>
      <c r="K36" s="131" t="str">
        <f aca="false">IF($B36="","",IF(N($I36)&lt;=0,"没有欠款",IF(N($J36)&gt;=0,"货够抵账 · 可以先不收","货不够抵 · 该收钱了")))</f>
        <v/>
      </c>
      <c r="L36" s="132" t="str">
        <f aca="false">IF($B36="","",$B36&amp;" 库里还压着 "&amp;TEXT(N($H36),"#,##0.00")&amp;" 元的货，欠我们 "&amp;TEXT(N($I36),"#,##0.00")&amp;" 元，差额 "&amp;TEXT(N($J36),"#,##0.00")&amp;" 元")</f>
        <v/>
      </c>
    </row>
    <row r="37" customFormat="false" ht="15.75" hidden="false" customHeight="true" outlineLevel="0" collapsed="false">
      <c r="A37" s="63" t="str">
        <f aca="false">IF($B37="","",ROW()-5)</f>
        <v/>
      </c>
      <c r="B37" s="62" t="str">
        <f aca="false">IFERROR(INDEX(_自动清单!$E$4:$E$203,ROW()-5),"")</f>
        <v/>
      </c>
      <c r="C37" s="64" t="str">
        <f aca="false">IF($B37="","",COUNTIF(对接源_01库存!$B$4:$B$403,$B37))</f>
        <v/>
      </c>
      <c r="D37" s="64" t="str">
        <f aca="false">IF($B37="","",SUMIF(对接源_01库存!$B$4:$B$403,$B37,对接源_01库存!$F$4:$F$403))</f>
        <v/>
      </c>
      <c r="E37" s="65" t="str">
        <f aca="false">IF($B37="","",ROUND(SUMIF(对接源_01库存!$B$4:$B$403,$B37,对接源_01库存!$G$4:$G$403),2))</f>
        <v/>
      </c>
      <c r="F37" s="129"/>
      <c r="G37" s="129"/>
      <c r="H37" s="130" t="str">
        <f aca="false">IF($B37="","",ROUND(SUMIF($B$69:$B$468,$B37,$H$69:$H$468),2))</f>
        <v/>
      </c>
      <c r="I37" s="65" t="str">
        <f aca="false">IF($B37="","",ROUND(IFERROR(INDEX(应收应付汇总表!$F$5:$F$204,MATCH($B37,应收应付汇总表!$B$5:$B$204,0)),0),2))</f>
        <v/>
      </c>
      <c r="J37" s="130" t="str">
        <f aca="false">IF($B37="","",ROUND(N($H37)-N($I37),2))</f>
        <v/>
      </c>
      <c r="K37" s="131" t="str">
        <f aca="false">IF($B37="","",IF(N($I37)&lt;=0,"没有欠款",IF(N($J37)&gt;=0,"货够抵账 · 可以先不收","货不够抵 · 该收钱了")))</f>
        <v/>
      </c>
      <c r="L37" s="132" t="str">
        <f aca="false">IF($B37="","",$B37&amp;" 库里还压着 "&amp;TEXT(N($H37),"#,##0.00")&amp;" 元的货，欠我们 "&amp;TEXT(N($I37),"#,##0.00")&amp;" 元，差额 "&amp;TEXT(N($J37),"#,##0.00")&amp;" 元")</f>
        <v/>
      </c>
    </row>
    <row r="38" customFormat="false" ht="15.75" hidden="false" customHeight="true" outlineLevel="0" collapsed="false">
      <c r="A38" s="63" t="str">
        <f aca="false">IF($B38="","",ROW()-5)</f>
        <v/>
      </c>
      <c r="B38" s="62" t="str">
        <f aca="false">IFERROR(INDEX(_自动清单!$E$4:$E$203,ROW()-5),"")</f>
        <v/>
      </c>
      <c r="C38" s="64" t="str">
        <f aca="false">IF($B38="","",COUNTIF(对接源_01库存!$B$4:$B$403,$B38))</f>
        <v/>
      </c>
      <c r="D38" s="64" t="str">
        <f aca="false">IF($B38="","",SUMIF(对接源_01库存!$B$4:$B$403,$B38,对接源_01库存!$F$4:$F$403))</f>
        <v/>
      </c>
      <c r="E38" s="65" t="str">
        <f aca="false">IF($B38="","",ROUND(SUMIF(对接源_01库存!$B$4:$B$403,$B38,对接源_01库存!$G$4:$G$403),2))</f>
        <v/>
      </c>
      <c r="F38" s="129"/>
      <c r="G38" s="129"/>
      <c r="H38" s="130" t="str">
        <f aca="false">IF($B38="","",ROUND(SUMIF($B$69:$B$468,$B38,$H$69:$H$468),2))</f>
        <v/>
      </c>
      <c r="I38" s="65" t="str">
        <f aca="false">IF($B38="","",ROUND(IFERROR(INDEX(应收应付汇总表!$F$5:$F$204,MATCH($B38,应收应付汇总表!$B$5:$B$204,0)),0),2))</f>
        <v/>
      </c>
      <c r="J38" s="130" t="str">
        <f aca="false">IF($B38="","",ROUND(N($H38)-N($I38),2))</f>
        <v/>
      </c>
      <c r="K38" s="131" t="str">
        <f aca="false">IF($B38="","",IF(N($I38)&lt;=0,"没有欠款",IF(N($J38)&gt;=0,"货够抵账 · 可以先不收","货不够抵 · 该收钱了")))</f>
        <v/>
      </c>
      <c r="L38" s="132" t="str">
        <f aca="false">IF($B38="","",$B38&amp;" 库里还压着 "&amp;TEXT(N($H38),"#,##0.00")&amp;" 元的货，欠我们 "&amp;TEXT(N($I38),"#,##0.00")&amp;" 元，差额 "&amp;TEXT(N($J38),"#,##0.00")&amp;" 元")</f>
        <v/>
      </c>
    </row>
    <row r="39" customFormat="false" ht="15.75" hidden="false" customHeight="true" outlineLevel="0" collapsed="false">
      <c r="A39" s="63" t="str">
        <f aca="false">IF($B39="","",ROW()-5)</f>
        <v/>
      </c>
      <c r="B39" s="62" t="str">
        <f aca="false">IFERROR(INDEX(_自动清单!$E$4:$E$203,ROW()-5),"")</f>
        <v/>
      </c>
      <c r="C39" s="64" t="str">
        <f aca="false">IF($B39="","",COUNTIF(对接源_01库存!$B$4:$B$403,$B39))</f>
        <v/>
      </c>
      <c r="D39" s="64" t="str">
        <f aca="false">IF($B39="","",SUMIF(对接源_01库存!$B$4:$B$403,$B39,对接源_01库存!$F$4:$F$403))</f>
        <v/>
      </c>
      <c r="E39" s="65" t="str">
        <f aca="false">IF($B39="","",ROUND(SUMIF(对接源_01库存!$B$4:$B$403,$B39,对接源_01库存!$G$4:$G$403),2))</f>
        <v/>
      </c>
      <c r="F39" s="129"/>
      <c r="G39" s="129"/>
      <c r="H39" s="130" t="str">
        <f aca="false">IF($B39="","",ROUND(SUMIF($B$69:$B$468,$B39,$H$69:$H$468),2))</f>
        <v/>
      </c>
      <c r="I39" s="65" t="str">
        <f aca="false">IF($B39="","",ROUND(IFERROR(INDEX(应收应付汇总表!$F$5:$F$204,MATCH($B39,应收应付汇总表!$B$5:$B$204,0)),0),2))</f>
        <v/>
      </c>
      <c r="J39" s="130" t="str">
        <f aca="false">IF($B39="","",ROUND(N($H39)-N($I39),2))</f>
        <v/>
      </c>
      <c r="K39" s="131" t="str">
        <f aca="false">IF($B39="","",IF(N($I39)&lt;=0,"没有欠款",IF(N($J39)&gt;=0,"货够抵账 · 可以先不收","货不够抵 · 该收钱了")))</f>
        <v/>
      </c>
      <c r="L39" s="132" t="str">
        <f aca="false">IF($B39="","",$B39&amp;" 库里还压着 "&amp;TEXT(N($H39),"#,##0.00")&amp;" 元的货，欠我们 "&amp;TEXT(N($I39),"#,##0.00")&amp;" 元，差额 "&amp;TEXT(N($J39),"#,##0.00")&amp;" 元")</f>
        <v/>
      </c>
    </row>
    <row r="40" customFormat="false" ht="15.75" hidden="false" customHeight="true" outlineLevel="0" collapsed="false">
      <c r="A40" s="63" t="str">
        <f aca="false">IF($B40="","",ROW()-5)</f>
        <v/>
      </c>
      <c r="B40" s="62" t="str">
        <f aca="false">IFERROR(INDEX(_自动清单!$E$4:$E$203,ROW()-5),"")</f>
        <v/>
      </c>
      <c r="C40" s="64" t="str">
        <f aca="false">IF($B40="","",COUNTIF(对接源_01库存!$B$4:$B$403,$B40))</f>
        <v/>
      </c>
      <c r="D40" s="64" t="str">
        <f aca="false">IF($B40="","",SUMIF(对接源_01库存!$B$4:$B$403,$B40,对接源_01库存!$F$4:$F$403))</f>
        <v/>
      </c>
      <c r="E40" s="65" t="str">
        <f aca="false">IF($B40="","",ROUND(SUMIF(对接源_01库存!$B$4:$B$403,$B40,对接源_01库存!$G$4:$G$403),2))</f>
        <v/>
      </c>
      <c r="F40" s="129"/>
      <c r="G40" s="129"/>
      <c r="H40" s="130" t="str">
        <f aca="false">IF($B40="","",ROUND(SUMIF($B$69:$B$468,$B40,$H$69:$H$468),2))</f>
        <v/>
      </c>
      <c r="I40" s="65" t="str">
        <f aca="false">IF($B40="","",ROUND(IFERROR(INDEX(应收应付汇总表!$F$5:$F$204,MATCH($B40,应收应付汇总表!$B$5:$B$204,0)),0),2))</f>
        <v/>
      </c>
      <c r="J40" s="130" t="str">
        <f aca="false">IF($B40="","",ROUND(N($H40)-N($I40),2))</f>
        <v/>
      </c>
      <c r="K40" s="131" t="str">
        <f aca="false">IF($B40="","",IF(N($I40)&lt;=0,"没有欠款",IF(N($J40)&gt;=0,"货够抵账 · 可以先不收","货不够抵 · 该收钱了")))</f>
        <v/>
      </c>
      <c r="L40" s="132" t="str">
        <f aca="false">IF($B40="","",$B40&amp;" 库里还压着 "&amp;TEXT(N($H40),"#,##0.00")&amp;" 元的货，欠我们 "&amp;TEXT(N($I40),"#,##0.00")&amp;" 元，差额 "&amp;TEXT(N($J40),"#,##0.00")&amp;" 元")</f>
        <v/>
      </c>
    </row>
    <row r="41" customFormat="false" ht="15.75" hidden="false" customHeight="true" outlineLevel="0" collapsed="false">
      <c r="A41" s="63" t="str">
        <f aca="false">IF($B41="","",ROW()-5)</f>
        <v/>
      </c>
      <c r="B41" s="62" t="str">
        <f aca="false">IFERROR(INDEX(_自动清单!$E$4:$E$203,ROW()-5),"")</f>
        <v/>
      </c>
      <c r="C41" s="64" t="str">
        <f aca="false">IF($B41="","",COUNTIF(对接源_01库存!$B$4:$B$403,$B41))</f>
        <v/>
      </c>
      <c r="D41" s="64" t="str">
        <f aca="false">IF($B41="","",SUMIF(对接源_01库存!$B$4:$B$403,$B41,对接源_01库存!$F$4:$F$403))</f>
        <v/>
      </c>
      <c r="E41" s="65" t="str">
        <f aca="false">IF($B41="","",ROUND(SUMIF(对接源_01库存!$B$4:$B$403,$B41,对接源_01库存!$G$4:$G$403),2))</f>
        <v/>
      </c>
      <c r="F41" s="129"/>
      <c r="G41" s="129"/>
      <c r="H41" s="130" t="str">
        <f aca="false">IF($B41="","",ROUND(SUMIF($B$69:$B$468,$B41,$H$69:$H$468),2))</f>
        <v/>
      </c>
      <c r="I41" s="65" t="str">
        <f aca="false">IF($B41="","",ROUND(IFERROR(INDEX(应收应付汇总表!$F$5:$F$204,MATCH($B41,应收应付汇总表!$B$5:$B$204,0)),0),2))</f>
        <v/>
      </c>
      <c r="J41" s="130" t="str">
        <f aca="false">IF($B41="","",ROUND(N($H41)-N($I41),2))</f>
        <v/>
      </c>
      <c r="K41" s="131" t="str">
        <f aca="false">IF($B41="","",IF(N($I41)&lt;=0,"没有欠款",IF(N($J41)&gt;=0,"货够抵账 · 可以先不收","货不够抵 · 该收钱了")))</f>
        <v/>
      </c>
      <c r="L41" s="132" t="str">
        <f aca="false">IF($B41="","",$B41&amp;" 库里还压着 "&amp;TEXT(N($H41),"#,##0.00")&amp;" 元的货，欠我们 "&amp;TEXT(N($I41),"#,##0.00")&amp;" 元，差额 "&amp;TEXT(N($J41),"#,##0.00")&amp;" 元")</f>
        <v/>
      </c>
    </row>
    <row r="42" customFormat="false" ht="15.75" hidden="false" customHeight="true" outlineLevel="0" collapsed="false">
      <c r="A42" s="63" t="str">
        <f aca="false">IF($B42="","",ROW()-5)</f>
        <v/>
      </c>
      <c r="B42" s="62" t="str">
        <f aca="false">IFERROR(INDEX(_自动清单!$E$4:$E$203,ROW()-5),"")</f>
        <v/>
      </c>
      <c r="C42" s="64" t="str">
        <f aca="false">IF($B42="","",COUNTIF(对接源_01库存!$B$4:$B$403,$B42))</f>
        <v/>
      </c>
      <c r="D42" s="64" t="str">
        <f aca="false">IF($B42="","",SUMIF(对接源_01库存!$B$4:$B$403,$B42,对接源_01库存!$F$4:$F$403))</f>
        <v/>
      </c>
      <c r="E42" s="65" t="str">
        <f aca="false">IF($B42="","",ROUND(SUMIF(对接源_01库存!$B$4:$B$403,$B42,对接源_01库存!$G$4:$G$403),2))</f>
        <v/>
      </c>
      <c r="F42" s="129"/>
      <c r="G42" s="129"/>
      <c r="H42" s="130" t="str">
        <f aca="false">IF($B42="","",ROUND(SUMIF($B$69:$B$468,$B42,$H$69:$H$468),2))</f>
        <v/>
      </c>
      <c r="I42" s="65" t="str">
        <f aca="false">IF($B42="","",ROUND(IFERROR(INDEX(应收应付汇总表!$F$5:$F$204,MATCH($B42,应收应付汇总表!$B$5:$B$204,0)),0),2))</f>
        <v/>
      </c>
      <c r="J42" s="130" t="str">
        <f aca="false">IF($B42="","",ROUND(N($H42)-N($I42),2))</f>
        <v/>
      </c>
      <c r="K42" s="131" t="str">
        <f aca="false">IF($B42="","",IF(N($I42)&lt;=0,"没有欠款",IF(N($J42)&gt;=0,"货够抵账 · 可以先不收","货不够抵 · 该收钱了")))</f>
        <v/>
      </c>
      <c r="L42" s="132" t="str">
        <f aca="false">IF($B42="","",$B42&amp;" 库里还压着 "&amp;TEXT(N($H42),"#,##0.00")&amp;" 元的货，欠我们 "&amp;TEXT(N($I42),"#,##0.00")&amp;" 元，差额 "&amp;TEXT(N($J42),"#,##0.00")&amp;" 元")</f>
        <v/>
      </c>
    </row>
    <row r="43" customFormat="false" ht="15.75" hidden="false" customHeight="true" outlineLevel="0" collapsed="false">
      <c r="A43" s="63" t="str">
        <f aca="false">IF($B43="","",ROW()-5)</f>
        <v/>
      </c>
      <c r="B43" s="62" t="str">
        <f aca="false">IFERROR(INDEX(_自动清单!$E$4:$E$203,ROW()-5),"")</f>
        <v/>
      </c>
      <c r="C43" s="64" t="str">
        <f aca="false">IF($B43="","",COUNTIF(对接源_01库存!$B$4:$B$403,$B43))</f>
        <v/>
      </c>
      <c r="D43" s="64" t="str">
        <f aca="false">IF($B43="","",SUMIF(对接源_01库存!$B$4:$B$403,$B43,对接源_01库存!$F$4:$F$403))</f>
        <v/>
      </c>
      <c r="E43" s="65" t="str">
        <f aca="false">IF($B43="","",ROUND(SUMIF(对接源_01库存!$B$4:$B$403,$B43,对接源_01库存!$G$4:$G$403),2))</f>
        <v/>
      </c>
      <c r="F43" s="129"/>
      <c r="G43" s="129"/>
      <c r="H43" s="130" t="str">
        <f aca="false">IF($B43="","",ROUND(SUMIF($B$69:$B$468,$B43,$H$69:$H$468),2))</f>
        <v/>
      </c>
      <c r="I43" s="65" t="str">
        <f aca="false">IF($B43="","",ROUND(IFERROR(INDEX(应收应付汇总表!$F$5:$F$204,MATCH($B43,应收应付汇总表!$B$5:$B$204,0)),0),2))</f>
        <v/>
      </c>
      <c r="J43" s="130" t="str">
        <f aca="false">IF($B43="","",ROUND(N($H43)-N($I43),2))</f>
        <v/>
      </c>
      <c r="K43" s="131" t="str">
        <f aca="false">IF($B43="","",IF(N($I43)&lt;=0,"没有欠款",IF(N($J43)&gt;=0,"货够抵账 · 可以先不收","货不够抵 · 该收钱了")))</f>
        <v/>
      </c>
      <c r="L43" s="132" t="str">
        <f aca="false">IF($B43="","",$B43&amp;" 库里还压着 "&amp;TEXT(N($H43),"#,##0.00")&amp;" 元的货，欠我们 "&amp;TEXT(N($I43),"#,##0.00")&amp;" 元，差额 "&amp;TEXT(N($J43),"#,##0.00")&amp;" 元")</f>
        <v/>
      </c>
    </row>
    <row r="44" customFormat="false" ht="15.75" hidden="false" customHeight="true" outlineLevel="0" collapsed="false">
      <c r="A44" s="63" t="str">
        <f aca="false">IF($B44="","",ROW()-5)</f>
        <v/>
      </c>
      <c r="B44" s="62" t="str">
        <f aca="false">IFERROR(INDEX(_自动清单!$E$4:$E$203,ROW()-5),"")</f>
        <v/>
      </c>
      <c r="C44" s="64" t="str">
        <f aca="false">IF($B44="","",COUNTIF(对接源_01库存!$B$4:$B$403,$B44))</f>
        <v/>
      </c>
      <c r="D44" s="64" t="str">
        <f aca="false">IF($B44="","",SUMIF(对接源_01库存!$B$4:$B$403,$B44,对接源_01库存!$F$4:$F$403))</f>
        <v/>
      </c>
      <c r="E44" s="65" t="str">
        <f aca="false">IF($B44="","",ROUND(SUMIF(对接源_01库存!$B$4:$B$403,$B44,对接源_01库存!$G$4:$G$403),2))</f>
        <v/>
      </c>
      <c r="F44" s="129"/>
      <c r="G44" s="129"/>
      <c r="H44" s="130" t="str">
        <f aca="false">IF($B44="","",ROUND(SUMIF($B$69:$B$468,$B44,$H$69:$H$468),2))</f>
        <v/>
      </c>
      <c r="I44" s="65" t="str">
        <f aca="false">IF($B44="","",ROUND(IFERROR(INDEX(应收应付汇总表!$F$5:$F$204,MATCH($B44,应收应付汇总表!$B$5:$B$204,0)),0),2))</f>
        <v/>
      </c>
      <c r="J44" s="130" t="str">
        <f aca="false">IF($B44="","",ROUND(N($H44)-N($I44),2))</f>
        <v/>
      </c>
      <c r="K44" s="131" t="str">
        <f aca="false">IF($B44="","",IF(N($I44)&lt;=0,"没有欠款",IF(N($J44)&gt;=0,"货够抵账 · 可以先不收","货不够抵 · 该收钱了")))</f>
        <v/>
      </c>
      <c r="L44" s="132" t="str">
        <f aca="false">IF($B44="","",$B44&amp;" 库里还压着 "&amp;TEXT(N($H44),"#,##0.00")&amp;" 元的货，欠我们 "&amp;TEXT(N($I44),"#,##0.00")&amp;" 元，差额 "&amp;TEXT(N($J44),"#,##0.00")&amp;" 元")</f>
        <v/>
      </c>
    </row>
    <row r="45" customFormat="false" ht="15.75" hidden="false" customHeight="true" outlineLevel="0" collapsed="false">
      <c r="A45" s="63" t="str">
        <f aca="false">IF($B45="","",ROW()-5)</f>
        <v/>
      </c>
      <c r="B45" s="62" t="str">
        <f aca="false">IFERROR(INDEX(_自动清单!$E$4:$E$203,ROW()-5),"")</f>
        <v/>
      </c>
      <c r="C45" s="64" t="str">
        <f aca="false">IF($B45="","",COUNTIF(对接源_01库存!$B$4:$B$403,$B45))</f>
        <v/>
      </c>
      <c r="D45" s="64" t="str">
        <f aca="false">IF($B45="","",SUMIF(对接源_01库存!$B$4:$B$403,$B45,对接源_01库存!$F$4:$F$403))</f>
        <v/>
      </c>
      <c r="E45" s="65" t="str">
        <f aca="false">IF($B45="","",ROUND(SUMIF(对接源_01库存!$B$4:$B$403,$B45,对接源_01库存!$G$4:$G$403),2))</f>
        <v/>
      </c>
      <c r="F45" s="129"/>
      <c r="G45" s="129"/>
      <c r="H45" s="130" t="str">
        <f aca="false">IF($B45="","",ROUND(SUMIF($B$69:$B$468,$B45,$H$69:$H$468),2))</f>
        <v/>
      </c>
      <c r="I45" s="65" t="str">
        <f aca="false">IF($B45="","",ROUND(IFERROR(INDEX(应收应付汇总表!$F$5:$F$204,MATCH($B45,应收应付汇总表!$B$5:$B$204,0)),0),2))</f>
        <v/>
      </c>
      <c r="J45" s="130" t="str">
        <f aca="false">IF($B45="","",ROUND(N($H45)-N($I45),2))</f>
        <v/>
      </c>
      <c r="K45" s="131" t="str">
        <f aca="false">IF($B45="","",IF(N($I45)&lt;=0,"没有欠款",IF(N($J45)&gt;=0,"货够抵账 · 可以先不收","货不够抵 · 该收钱了")))</f>
        <v/>
      </c>
      <c r="L45" s="132" t="str">
        <f aca="false">IF($B45="","",$B45&amp;" 库里还压着 "&amp;TEXT(N($H45),"#,##0.00")&amp;" 元的货，欠我们 "&amp;TEXT(N($I45),"#,##0.00")&amp;" 元，差额 "&amp;TEXT(N($J45),"#,##0.00")&amp;" 元")</f>
        <v/>
      </c>
    </row>
    <row r="46" customFormat="false" ht="15.75" hidden="false" customHeight="true" outlineLevel="0" collapsed="false">
      <c r="A46" s="63" t="str">
        <f aca="false">IF($B46="","",ROW()-5)</f>
        <v/>
      </c>
      <c r="B46" s="62" t="str">
        <f aca="false">IFERROR(INDEX(_自动清单!$E$4:$E$203,ROW()-5),"")</f>
        <v/>
      </c>
      <c r="C46" s="64" t="str">
        <f aca="false">IF($B46="","",COUNTIF(对接源_01库存!$B$4:$B$403,$B46))</f>
        <v/>
      </c>
      <c r="D46" s="64" t="str">
        <f aca="false">IF($B46="","",SUMIF(对接源_01库存!$B$4:$B$403,$B46,对接源_01库存!$F$4:$F$403))</f>
        <v/>
      </c>
      <c r="E46" s="65" t="str">
        <f aca="false">IF($B46="","",ROUND(SUMIF(对接源_01库存!$B$4:$B$403,$B46,对接源_01库存!$G$4:$G$403),2))</f>
        <v/>
      </c>
      <c r="F46" s="129"/>
      <c r="G46" s="129"/>
      <c r="H46" s="130" t="str">
        <f aca="false">IF($B46="","",ROUND(SUMIF($B$69:$B$468,$B46,$H$69:$H$468),2))</f>
        <v/>
      </c>
      <c r="I46" s="65" t="str">
        <f aca="false">IF($B46="","",ROUND(IFERROR(INDEX(应收应付汇总表!$F$5:$F$204,MATCH($B46,应收应付汇总表!$B$5:$B$204,0)),0),2))</f>
        <v/>
      </c>
      <c r="J46" s="130" t="str">
        <f aca="false">IF($B46="","",ROUND(N($H46)-N($I46),2))</f>
        <v/>
      </c>
      <c r="K46" s="131" t="str">
        <f aca="false">IF($B46="","",IF(N($I46)&lt;=0,"没有欠款",IF(N($J46)&gt;=0,"货够抵账 · 可以先不收","货不够抵 · 该收钱了")))</f>
        <v/>
      </c>
      <c r="L46" s="132" t="str">
        <f aca="false">IF($B46="","",$B46&amp;" 库里还压着 "&amp;TEXT(N($H46),"#,##0.00")&amp;" 元的货，欠我们 "&amp;TEXT(N($I46),"#,##0.00")&amp;" 元，差额 "&amp;TEXT(N($J46),"#,##0.00")&amp;" 元")</f>
        <v/>
      </c>
    </row>
    <row r="47" customFormat="false" ht="15.75" hidden="false" customHeight="true" outlineLevel="0" collapsed="false">
      <c r="A47" s="63" t="str">
        <f aca="false">IF($B47="","",ROW()-5)</f>
        <v/>
      </c>
      <c r="B47" s="62" t="str">
        <f aca="false">IFERROR(INDEX(_自动清单!$E$4:$E$203,ROW()-5),"")</f>
        <v/>
      </c>
      <c r="C47" s="64" t="str">
        <f aca="false">IF($B47="","",COUNTIF(对接源_01库存!$B$4:$B$403,$B47))</f>
        <v/>
      </c>
      <c r="D47" s="64" t="str">
        <f aca="false">IF($B47="","",SUMIF(对接源_01库存!$B$4:$B$403,$B47,对接源_01库存!$F$4:$F$403))</f>
        <v/>
      </c>
      <c r="E47" s="65" t="str">
        <f aca="false">IF($B47="","",ROUND(SUMIF(对接源_01库存!$B$4:$B$403,$B47,对接源_01库存!$G$4:$G$403),2))</f>
        <v/>
      </c>
      <c r="F47" s="129"/>
      <c r="G47" s="129"/>
      <c r="H47" s="130" t="str">
        <f aca="false">IF($B47="","",ROUND(SUMIF($B$69:$B$468,$B47,$H$69:$H$468),2))</f>
        <v/>
      </c>
      <c r="I47" s="65" t="str">
        <f aca="false">IF($B47="","",ROUND(IFERROR(INDEX(应收应付汇总表!$F$5:$F$204,MATCH($B47,应收应付汇总表!$B$5:$B$204,0)),0),2))</f>
        <v/>
      </c>
      <c r="J47" s="130" t="str">
        <f aca="false">IF($B47="","",ROUND(N($H47)-N($I47),2))</f>
        <v/>
      </c>
      <c r="K47" s="131" t="str">
        <f aca="false">IF($B47="","",IF(N($I47)&lt;=0,"没有欠款",IF(N($J47)&gt;=0,"货够抵账 · 可以先不收","货不够抵 · 该收钱了")))</f>
        <v/>
      </c>
      <c r="L47" s="132" t="str">
        <f aca="false">IF($B47="","",$B47&amp;" 库里还压着 "&amp;TEXT(N($H47),"#,##0.00")&amp;" 元的货，欠我们 "&amp;TEXT(N($I47),"#,##0.00")&amp;" 元，差额 "&amp;TEXT(N($J47),"#,##0.00")&amp;" 元")</f>
        <v/>
      </c>
    </row>
    <row r="48" customFormat="false" ht="15.75" hidden="false" customHeight="true" outlineLevel="0" collapsed="false">
      <c r="A48" s="63" t="str">
        <f aca="false">IF($B48="","",ROW()-5)</f>
        <v/>
      </c>
      <c r="B48" s="62" t="str">
        <f aca="false">IFERROR(INDEX(_自动清单!$E$4:$E$203,ROW()-5),"")</f>
        <v/>
      </c>
      <c r="C48" s="64" t="str">
        <f aca="false">IF($B48="","",COUNTIF(对接源_01库存!$B$4:$B$403,$B48))</f>
        <v/>
      </c>
      <c r="D48" s="64" t="str">
        <f aca="false">IF($B48="","",SUMIF(对接源_01库存!$B$4:$B$403,$B48,对接源_01库存!$F$4:$F$403))</f>
        <v/>
      </c>
      <c r="E48" s="65" t="str">
        <f aca="false">IF($B48="","",ROUND(SUMIF(对接源_01库存!$B$4:$B$403,$B48,对接源_01库存!$G$4:$G$403),2))</f>
        <v/>
      </c>
      <c r="F48" s="129"/>
      <c r="G48" s="129"/>
      <c r="H48" s="130" t="str">
        <f aca="false">IF($B48="","",ROUND(SUMIF($B$69:$B$468,$B48,$H$69:$H$468),2))</f>
        <v/>
      </c>
      <c r="I48" s="65" t="str">
        <f aca="false">IF($B48="","",ROUND(IFERROR(INDEX(应收应付汇总表!$F$5:$F$204,MATCH($B48,应收应付汇总表!$B$5:$B$204,0)),0),2))</f>
        <v/>
      </c>
      <c r="J48" s="130" t="str">
        <f aca="false">IF($B48="","",ROUND(N($H48)-N($I48),2))</f>
        <v/>
      </c>
      <c r="K48" s="131" t="str">
        <f aca="false">IF($B48="","",IF(N($I48)&lt;=0,"没有欠款",IF(N($J48)&gt;=0,"货够抵账 · 可以先不收","货不够抵 · 该收钱了")))</f>
        <v/>
      </c>
      <c r="L48" s="132" t="str">
        <f aca="false">IF($B48="","",$B48&amp;" 库里还压着 "&amp;TEXT(N($H48),"#,##0.00")&amp;" 元的货，欠我们 "&amp;TEXT(N($I48),"#,##0.00")&amp;" 元，差额 "&amp;TEXT(N($J48),"#,##0.00")&amp;" 元")</f>
        <v/>
      </c>
    </row>
    <row r="49" customFormat="false" ht="15.75" hidden="false" customHeight="true" outlineLevel="0" collapsed="false">
      <c r="A49" s="63" t="str">
        <f aca="false">IF($B49="","",ROW()-5)</f>
        <v/>
      </c>
      <c r="B49" s="62" t="str">
        <f aca="false">IFERROR(INDEX(_自动清单!$E$4:$E$203,ROW()-5),"")</f>
        <v/>
      </c>
      <c r="C49" s="64" t="str">
        <f aca="false">IF($B49="","",COUNTIF(对接源_01库存!$B$4:$B$403,$B49))</f>
        <v/>
      </c>
      <c r="D49" s="64" t="str">
        <f aca="false">IF($B49="","",SUMIF(对接源_01库存!$B$4:$B$403,$B49,对接源_01库存!$F$4:$F$403))</f>
        <v/>
      </c>
      <c r="E49" s="65" t="str">
        <f aca="false">IF($B49="","",ROUND(SUMIF(对接源_01库存!$B$4:$B$403,$B49,对接源_01库存!$G$4:$G$403),2))</f>
        <v/>
      </c>
      <c r="F49" s="129"/>
      <c r="G49" s="129"/>
      <c r="H49" s="130" t="str">
        <f aca="false">IF($B49="","",ROUND(SUMIF($B$69:$B$468,$B49,$H$69:$H$468),2))</f>
        <v/>
      </c>
      <c r="I49" s="65" t="str">
        <f aca="false">IF($B49="","",ROUND(IFERROR(INDEX(应收应付汇总表!$F$5:$F$204,MATCH($B49,应收应付汇总表!$B$5:$B$204,0)),0),2))</f>
        <v/>
      </c>
      <c r="J49" s="130" t="str">
        <f aca="false">IF($B49="","",ROUND(N($H49)-N($I49),2))</f>
        <v/>
      </c>
      <c r="K49" s="131" t="str">
        <f aca="false">IF($B49="","",IF(N($I49)&lt;=0,"没有欠款",IF(N($J49)&gt;=0,"货够抵账 · 可以先不收","货不够抵 · 该收钱了")))</f>
        <v/>
      </c>
      <c r="L49" s="132" t="str">
        <f aca="false">IF($B49="","",$B49&amp;" 库里还压着 "&amp;TEXT(N($H49),"#,##0.00")&amp;" 元的货，欠我们 "&amp;TEXT(N($I49),"#,##0.00")&amp;" 元，差额 "&amp;TEXT(N($J49),"#,##0.00")&amp;" 元")</f>
        <v/>
      </c>
    </row>
    <row r="50" customFormat="false" ht="15.75" hidden="false" customHeight="true" outlineLevel="0" collapsed="false">
      <c r="A50" s="63" t="str">
        <f aca="false">IF($B50="","",ROW()-5)</f>
        <v/>
      </c>
      <c r="B50" s="62" t="str">
        <f aca="false">IFERROR(INDEX(_自动清单!$E$4:$E$203,ROW()-5),"")</f>
        <v/>
      </c>
      <c r="C50" s="64" t="str">
        <f aca="false">IF($B50="","",COUNTIF(对接源_01库存!$B$4:$B$403,$B50))</f>
        <v/>
      </c>
      <c r="D50" s="64" t="str">
        <f aca="false">IF($B50="","",SUMIF(对接源_01库存!$B$4:$B$403,$B50,对接源_01库存!$F$4:$F$403))</f>
        <v/>
      </c>
      <c r="E50" s="65" t="str">
        <f aca="false">IF($B50="","",ROUND(SUMIF(对接源_01库存!$B$4:$B$403,$B50,对接源_01库存!$G$4:$G$403),2))</f>
        <v/>
      </c>
      <c r="F50" s="129"/>
      <c r="G50" s="129"/>
      <c r="H50" s="130" t="str">
        <f aca="false">IF($B50="","",ROUND(SUMIF($B$69:$B$468,$B50,$H$69:$H$468),2))</f>
        <v/>
      </c>
      <c r="I50" s="65" t="str">
        <f aca="false">IF($B50="","",ROUND(IFERROR(INDEX(应收应付汇总表!$F$5:$F$204,MATCH($B50,应收应付汇总表!$B$5:$B$204,0)),0),2))</f>
        <v/>
      </c>
      <c r="J50" s="130" t="str">
        <f aca="false">IF($B50="","",ROUND(N($H50)-N($I50),2))</f>
        <v/>
      </c>
      <c r="K50" s="131" t="str">
        <f aca="false">IF($B50="","",IF(N($I50)&lt;=0,"没有欠款",IF(N($J50)&gt;=0,"货够抵账 · 可以先不收","货不够抵 · 该收钱了")))</f>
        <v/>
      </c>
      <c r="L50" s="132" t="str">
        <f aca="false">IF($B50="","",$B50&amp;" 库里还压着 "&amp;TEXT(N($H50),"#,##0.00")&amp;" 元的货，欠我们 "&amp;TEXT(N($I50),"#,##0.00")&amp;" 元，差额 "&amp;TEXT(N($J50),"#,##0.00")&amp;" 元")</f>
        <v/>
      </c>
    </row>
    <row r="51" customFormat="false" ht="15.75" hidden="false" customHeight="true" outlineLevel="0" collapsed="false">
      <c r="A51" s="63" t="str">
        <f aca="false">IF($B51="","",ROW()-5)</f>
        <v/>
      </c>
      <c r="B51" s="62" t="str">
        <f aca="false">IFERROR(INDEX(_自动清单!$E$4:$E$203,ROW()-5),"")</f>
        <v/>
      </c>
      <c r="C51" s="64" t="str">
        <f aca="false">IF($B51="","",COUNTIF(对接源_01库存!$B$4:$B$403,$B51))</f>
        <v/>
      </c>
      <c r="D51" s="64" t="str">
        <f aca="false">IF($B51="","",SUMIF(对接源_01库存!$B$4:$B$403,$B51,对接源_01库存!$F$4:$F$403))</f>
        <v/>
      </c>
      <c r="E51" s="65" t="str">
        <f aca="false">IF($B51="","",ROUND(SUMIF(对接源_01库存!$B$4:$B$403,$B51,对接源_01库存!$G$4:$G$403),2))</f>
        <v/>
      </c>
      <c r="F51" s="129"/>
      <c r="G51" s="129"/>
      <c r="H51" s="130" t="str">
        <f aca="false">IF($B51="","",ROUND(SUMIF($B$69:$B$468,$B51,$H$69:$H$468),2))</f>
        <v/>
      </c>
      <c r="I51" s="65" t="str">
        <f aca="false">IF($B51="","",ROUND(IFERROR(INDEX(应收应付汇总表!$F$5:$F$204,MATCH($B51,应收应付汇总表!$B$5:$B$204,0)),0),2))</f>
        <v/>
      </c>
      <c r="J51" s="130" t="str">
        <f aca="false">IF($B51="","",ROUND(N($H51)-N($I51),2))</f>
        <v/>
      </c>
      <c r="K51" s="131" t="str">
        <f aca="false">IF($B51="","",IF(N($I51)&lt;=0,"没有欠款",IF(N($J51)&gt;=0,"货够抵账 · 可以先不收","货不够抵 · 该收钱了")))</f>
        <v/>
      </c>
      <c r="L51" s="132" t="str">
        <f aca="false">IF($B51="","",$B51&amp;" 库里还压着 "&amp;TEXT(N($H51),"#,##0.00")&amp;" 元的货，欠我们 "&amp;TEXT(N($I51),"#,##0.00")&amp;" 元，差额 "&amp;TEXT(N($J51),"#,##0.00")&amp;" 元")</f>
        <v/>
      </c>
    </row>
    <row r="52" customFormat="false" ht="15.75" hidden="false" customHeight="true" outlineLevel="0" collapsed="false">
      <c r="A52" s="63" t="str">
        <f aca="false">IF($B52="","",ROW()-5)</f>
        <v/>
      </c>
      <c r="B52" s="62" t="str">
        <f aca="false">IFERROR(INDEX(_自动清单!$E$4:$E$203,ROW()-5),"")</f>
        <v/>
      </c>
      <c r="C52" s="64" t="str">
        <f aca="false">IF($B52="","",COUNTIF(对接源_01库存!$B$4:$B$403,$B52))</f>
        <v/>
      </c>
      <c r="D52" s="64" t="str">
        <f aca="false">IF($B52="","",SUMIF(对接源_01库存!$B$4:$B$403,$B52,对接源_01库存!$F$4:$F$403))</f>
        <v/>
      </c>
      <c r="E52" s="65" t="str">
        <f aca="false">IF($B52="","",ROUND(SUMIF(对接源_01库存!$B$4:$B$403,$B52,对接源_01库存!$G$4:$G$403),2))</f>
        <v/>
      </c>
      <c r="F52" s="129"/>
      <c r="G52" s="129"/>
      <c r="H52" s="130" t="str">
        <f aca="false">IF($B52="","",ROUND(SUMIF($B$69:$B$468,$B52,$H$69:$H$468),2))</f>
        <v/>
      </c>
      <c r="I52" s="65" t="str">
        <f aca="false">IF($B52="","",ROUND(IFERROR(INDEX(应收应付汇总表!$F$5:$F$204,MATCH($B52,应收应付汇总表!$B$5:$B$204,0)),0),2))</f>
        <v/>
      </c>
      <c r="J52" s="130" t="str">
        <f aca="false">IF($B52="","",ROUND(N($H52)-N($I52),2))</f>
        <v/>
      </c>
      <c r="K52" s="131" t="str">
        <f aca="false">IF($B52="","",IF(N($I52)&lt;=0,"没有欠款",IF(N($J52)&gt;=0,"货够抵账 · 可以先不收","货不够抵 · 该收钱了")))</f>
        <v/>
      </c>
      <c r="L52" s="132" t="str">
        <f aca="false">IF($B52="","",$B52&amp;" 库里还压着 "&amp;TEXT(N($H52),"#,##0.00")&amp;" 元的货，欠我们 "&amp;TEXT(N($I52),"#,##0.00")&amp;" 元，差额 "&amp;TEXT(N($J52),"#,##0.00")&amp;" 元")</f>
        <v/>
      </c>
    </row>
    <row r="53" customFormat="false" ht="15.75" hidden="false" customHeight="true" outlineLevel="0" collapsed="false">
      <c r="A53" s="63" t="str">
        <f aca="false">IF($B53="","",ROW()-5)</f>
        <v/>
      </c>
      <c r="B53" s="62" t="str">
        <f aca="false">IFERROR(INDEX(_自动清单!$E$4:$E$203,ROW()-5),"")</f>
        <v/>
      </c>
      <c r="C53" s="64" t="str">
        <f aca="false">IF($B53="","",COUNTIF(对接源_01库存!$B$4:$B$403,$B53))</f>
        <v/>
      </c>
      <c r="D53" s="64" t="str">
        <f aca="false">IF($B53="","",SUMIF(对接源_01库存!$B$4:$B$403,$B53,对接源_01库存!$F$4:$F$403))</f>
        <v/>
      </c>
      <c r="E53" s="65" t="str">
        <f aca="false">IF($B53="","",ROUND(SUMIF(对接源_01库存!$B$4:$B$403,$B53,对接源_01库存!$G$4:$G$403),2))</f>
        <v/>
      </c>
      <c r="F53" s="129"/>
      <c r="G53" s="129"/>
      <c r="H53" s="130" t="str">
        <f aca="false">IF($B53="","",ROUND(SUMIF($B$69:$B$468,$B53,$H$69:$H$468),2))</f>
        <v/>
      </c>
      <c r="I53" s="65" t="str">
        <f aca="false">IF($B53="","",ROUND(IFERROR(INDEX(应收应付汇总表!$F$5:$F$204,MATCH($B53,应收应付汇总表!$B$5:$B$204,0)),0),2))</f>
        <v/>
      </c>
      <c r="J53" s="130" t="str">
        <f aca="false">IF($B53="","",ROUND(N($H53)-N($I53),2))</f>
        <v/>
      </c>
      <c r="K53" s="131" t="str">
        <f aca="false">IF($B53="","",IF(N($I53)&lt;=0,"没有欠款",IF(N($J53)&gt;=0,"货够抵账 · 可以先不收","货不够抵 · 该收钱了")))</f>
        <v/>
      </c>
      <c r="L53" s="132" t="str">
        <f aca="false">IF($B53="","",$B53&amp;" 库里还压着 "&amp;TEXT(N($H53),"#,##0.00")&amp;" 元的货，欠我们 "&amp;TEXT(N($I53),"#,##0.00")&amp;" 元，差额 "&amp;TEXT(N($J53),"#,##0.00")&amp;" 元")</f>
        <v/>
      </c>
    </row>
    <row r="54" customFormat="false" ht="15.75" hidden="false" customHeight="true" outlineLevel="0" collapsed="false">
      <c r="A54" s="63" t="str">
        <f aca="false">IF($B54="","",ROW()-5)</f>
        <v/>
      </c>
      <c r="B54" s="62" t="str">
        <f aca="false">IFERROR(INDEX(_自动清单!$E$4:$E$203,ROW()-5),"")</f>
        <v/>
      </c>
      <c r="C54" s="64" t="str">
        <f aca="false">IF($B54="","",COUNTIF(对接源_01库存!$B$4:$B$403,$B54))</f>
        <v/>
      </c>
      <c r="D54" s="64" t="str">
        <f aca="false">IF($B54="","",SUMIF(对接源_01库存!$B$4:$B$403,$B54,对接源_01库存!$F$4:$F$403))</f>
        <v/>
      </c>
      <c r="E54" s="65" t="str">
        <f aca="false">IF($B54="","",ROUND(SUMIF(对接源_01库存!$B$4:$B$403,$B54,对接源_01库存!$G$4:$G$403),2))</f>
        <v/>
      </c>
      <c r="F54" s="129"/>
      <c r="G54" s="129"/>
      <c r="H54" s="130" t="str">
        <f aca="false">IF($B54="","",ROUND(SUMIF($B$69:$B$468,$B54,$H$69:$H$468),2))</f>
        <v/>
      </c>
      <c r="I54" s="65" t="str">
        <f aca="false">IF($B54="","",ROUND(IFERROR(INDEX(应收应付汇总表!$F$5:$F$204,MATCH($B54,应收应付汇总表!$B$5:$B$204,0)),0),2))</f>
        <v/>
      </c>
      <c r="J54" s="130" t="str">
        <f aca="false">IF($B54="","",ROUND(N($H54)-N($I54),2))</f>
        <v/>
      </c>
      <c r="K54" s="131" t="str">
        <f aca="false">IF($B54="","",IF(N($I54)&lt;=0,"没有欠款",IF(N($J54)&gt;=0,"货够抵账 · 可以先不收","货不够抵 · 该收钱了")))</f>
        <v/>
      </c>
      <c r="L54" s="132" t="str">
        <f aca="false">IF($B54="","",$B54&amp;" 库里还压着 "&amp;TEXT(N($H54),"#,##0.00")&amp;" 元的货，欠我们 "&amp;TEXT(N($I54),"#,##0.00")&amp;" 元，差额 "&amp;TEXT(N($J54),"#,##0.00")&amp;" 元")</f>
        <v/>
      </c>
    </row>
    <row r="55" customFormat="false" ht="15.75" hidden="false" customHeight="true" outlineLevel="0" collapsed="false">
      <c r="A55" s="63" t="str">
        <f aca="false">IF($B55="","",ROW()-5)</f>
        <v/>
      </c>
      <c r="B55" s="62" t="str">
        <f aca="false">IFERROR(INDEX(_自动清单!$E$4:$E$203,ROW()-5),"")</f>
        <v/>
      </c>
      <c r="C55" s="64" t="str">
        <f aca="false">IF($B55="","",COUNTIF(对接源_01库存!$B$4:$B$403,$B55))</f>
        <v/>
      </c>
      <c r="D55" s="64" t="str">
        <f aca="false">IF($B55="","",SUMIF(对接源_01库存!$B$4:$B$403,$B55,对接源_01库存!$F$4:$F$403))</f>
        <v/>
      </c>
      <c r="E55" s="65" t="str">
        <f aca="false">IF($B55="","",ROUND(SUMIF(对接源_01库存!$B$4:$B$403,$B55,对接源_01库存!$G$4:$G$403),2))</f>
        <v/>
      </c>
      <c r="F55" s="129"/>
      <c r="G55" s="129"/>
      <c r="H55" s="130" t="str">
        <f aca="false">IF($B55="","",ROUND(SUMIF($B$69:$B$468,$B55,$H$69:$H$468),2))</f>
        <v/>
      </c>
      <c r="I55" s="65" t="str">
        <f aca="false">IF($B55="","",ROUND(IFERROR(INDEX(应收应付汇总表!$F$5:$F$204,MATCH($B55,应收应付汇总表!$B$5:$B$204,0)),0),2))</f>
        <v/>
      </c>
      <c r="J55" s="130" t="str">
        <f aca="false">IF($B55="","",ROUND(N($H55)-N($I55),2))</f>
        <v/>
      </c>
      <c r="K55" s="131" t="str">
        <f aca="false">IF($B55="","",IF(N($I55)&lt;=0,"没有欠款",IF(N($J55)&gt;=0,"货够抵账 · 可以先不收","货不够抵 · 该收钱了")))</f>
        <v/>
      </c>
      <c r="L55" s="132" t="str">
        <f aca="false">IF($B55="","",$B55&amp;" 库里还压着 "&amp;TEXT(N($H55),"#,##0.00")&amp;" 元的货，欠我们 "&amp;TEXT(N($I55),"#,##0.00")&amp;" 元，差额 "&amp;TEXT(N($J55),"#,##0.00")&amp;" 元")</f>
        <v/>
      </c>
    </row>
    <row r="56" customFormat="false" ht="15.75" hidden="false" customHeight="true" outlineLevel="0" collapsed="false">
      <c r="A56" s="63" t="str">
        <f aca="false">IF($B56="","",ROW()-5)</f>
        <v/>
      </c>
      <c r="B56" s="62" t="str">
        <f aca="false">IFERROR(INDEX(_自动清单!$E$4:$E$203,ROW()-5),"")</f>
        <v/>
      </c>
      <c r="C56" s="64" t="str">
        <f aca="false">IF($B56="","",COUNTIF(对接源_01库存!$B$4:$B$403,$B56))</f>
        <v/>
      </c>
      <c r="D56" s="64" t="str">
        <f aca="false">IF($B56="","",SUMIF(对接源_01库存!$B$4:$B$403,$B56,对接源_01库存!$F$4:$F$403))</f>
        <v/>
      </c>
      <c r="E56" s="65" t="str">
        <f aca="false">IF($B56="","",ROUND(SUMIF(对接源_01库存!$B$4:$B$403,$B56,对接源_01库存!$G$4:$G$403),2))</f>
        <v/>
      </c>
      <c r="F56" s="129"/>
      <c r="G56" s="129"/>
      <c r="H56" s="130" t="str">
        <f aca="false">IF($B56="","",ROUND(SUMIF($B$69:$B$468,$B56,$H$69:$H$468),2))</f>
        <v/>
      </c>
      <c r="I56" s="65" t="str">
        <f aca="false">IF($B56="","",ROUND(IFERROR(INDEX(应收应付汇总表!$F$5:$F$204,MATCH($B56,应收应付汇总表!$B$5:$B$204,0)),0),2))</f>
        <v/>
      </c>
      <c r="J56" s="130" t="str">
        <f aca="false">IF($B56="","",ROUND(N($H56)-N($I56),2))</f>
        <v/>
      </c>
      <c r="K56" s="131" t="str">
        <f aca="false">IF($B56="","",IF(N($I56)&lt;=0,"没有欠款",IF(N($J56)&gt;=0,"货够抵账 · 可以先不收","货不够抵 · 该收钱了")))</f>
        <v/>
      </c>
      <c r="L56" s="132" t="str">
        <f aca="false">IF($B56="","",$B56&amp;" 库里还压着 "&amp;TEXT(N($H56),"#,##0.00")&amp;" 元的货，欠我们 "&amp;TEXT(N($I56),"#,##0.00")&amp;" 元，差额 "&amp;TEXT(N($J56),"#,##0.00")&amp;" 元")</f>
        <v/>
      </c>
    </row>
    <row r="57" customFormat="false" ht="15.75" hidden="false" customHeight="true" outlineLevel="0" collapsed="false">
      <c r="A57" s="63" t="str">
        <f aca="false">IF($B57="","",ROW()-5)</f>
        <v/>
      </c>
      <c r="B57" s="62" t="str">
        <f aca="false">IFERROR(INDEX(_自动清单!$E$4:$E$203,ROW()-5),"")</f>
        <v/>
      </c>
      <c r="C57" s="64" t="str">
        <f aca="false">IF($B57="","",COUNTIF(对接源_01库存!$B$4:$B$403,$B57))</f>
        <v/>
      </c>
      <c r="D57" s="64" t="str">
        <f aca="false">IF($B57="","",SUMIF(对接源_01库存!$B$4:$B$403,$B57,对接源_01库存!$F$4:$F$403))</f>
        <v/>
      </c>
      <c r="E57" s="65" t="str">
        <f aca="false">IF($B57="","",ROUND(SUMIF(对接源_01库存!$B$4:$B$403,$B57,对接源_01库存!$G$4:$G$403),2))</f>
        <v/>
      </c>
      <c r="F57" s="129"/>
      <c r="G57" s="129"/>
      <c r="H57" s="130" t="str">
        <f aca="false">IF($B57="","",ROUND(SUMIF($B$69:$B$468,$B57,$H$69:$H$468),2))</f>
        <v/>
      </c>
      <c r="I57" s="65" t="str">
        <f aca="false">IF($B57="","",ROUND(IFERROR(INDEX(应收应付汇总表!$F$5:$F$204,MATCH($B57,应收应付汇总表!$B$5:$B$204,0)),0),2))</f>
        <v/>
      </c>
      <c r="J57" s="130" t="str">
        <f aca="false">IF($B57="","",ROUND(N($H57)-N($I57),2))</f>
        <v/>
      </c>
      <c r="K57" s="131" t="str">
        <f aca="false">IF($B57="","",IF(N($I57)&lt;=0,"没有欠款",IF(N($J57)&gt;=0,"货够抵账 · 可以先不收","货不够抵 · 该收钱了")))</f>
        <v/>
      </c>
      <c r="L57" s="132" t="str">
        <f aca="false">IF($B57="","",$B57&amp;" 库里还压着 "&amp;TEXT(N($H57),"#,##0.00")&amp;" 元的货，欠我们 "&amp;TEXT(N($I57),"#,##0.00")&amp;" 元，差额 "&amp;TEXT(N($J57),"#,##0.00")&amp;" 元")</f>
        <v/>
      </c>
    </row>
    <row r="58" customFormat="false" ht="15.75" hidden="false" customHeight="true" outlineLevel="0" collapsed="false">
      <c r="A58" s="63" t="str">
        <f aca="false">IF($B58="","",ROW()-5)</f>
        <v/>
      </c>
      <c r="B58" s="62" t="str">
        <f aca="false">IFERROR(INDEX(_自动清单!$E$4:$E$203,ROW()-5),"")</f>
        <v/>
      </c>
      <c r="C58" s="64" t="str">
        <f aca="false">IF($B58="","",COUNTIF(对接源_01库存!$B$4:$B$403,$B58))</f>
        <v/>
      </c>
      <c r="D58" s="64" t="str">
        <f aca="false">IF($B58="","",SUMIF(对接源_01库存!$B$4:$B$403,$B58,对接源_01库存!$F$4:$F$403))</f>
        <v/>
      </c>
      <c r="E58" s="65" t="str">
        <f aca="false">IF($B58="","",ROUND(SUMIF(对接源_01库存!$B$4:$B$403,$B58,对接源_01库存!$G$4:$G$403),2))</f>
        <v/>
      </c>
      <c r="F58" s="129"/>
      <c r="G58" s="129"/>
      <c r="H58" s="130" t="str">
        <f aca="false">IF($B58="","",ROUND(SUMIF($B$69:$B$468,$B58,$H$69:$H$468),2))</f>
        <v/>
      </c>
      <c r="I58" s="65" t="str">
        <f aca="false">IF($B58="","",ROUND(IFERROR(INDEX(应收应付汇总表!$F$5:$F$204,MATCH($B58,应收应付汇总表!$B$5:$B$204,0)),0),2))</f>
        <v/>
      </c>
      <c r="J58" s="130" t="str">
        <f aca="false">IF($B58="","",ROUND(N($H58)-N($I58),2))</f>
        <v/>
      </c>
      <c r="K58" s="131" t="str">
        <f aca="false">IF($B58="","",IF(N($I58)&lt;=0,"没有欠款",IF(N($J58)&gt;=0,"货够抵账 · 可以先不收","货不够抵 · 该收钱了")))</f>
        <v/>
      </c>
      <c r="L58" s="132" t="str">
        <f aca="false">IF($B58="","",$B58&amp;" 库里还压着 "&amp;TEXT(N($H58),"#,##0.00")&amp;" 元的货，欠我们 "&amp;TEXT(N($I58),"#,##0.00")&amp;" 元，差额 "&amp;TEXT(N($J58),"#,##0.00")&amp;" 元")</f>
        <v/>
      </c>
    </row>
    <row r="59" customFormat="false" ht="15.75" hidden="false" customHeight="true" outlineLevel="0" collapsed="false">
      <c r="A59" s="63" t="str">
        <f aca="false">IF($B59="","",ROW()-5)</f>
        <v/>
      </c>
      <c r="B59" s="62" t="str">
        <f aca="false">IFERROR(INDEX(_自动清单!$E$4:$E$203,ROW()-5),"")</f>
        <v/>
      </c>
      <c r="C59" s="64" t="str">
        <f aca="false">IF($B59="","",COUNTIF(对接源_01库存!$B$4:$B$403,$B59))</f>
        <v/>
      </c>
      <c r="D59" s="64" t="str">
        <f aca="false">IF($B59="","",SUMIF(对接源_01库存!$B$4:$B$403,$B59,对接源_01库存!$F$4:$F$403))</f>
        <v/>
      </c>
      <c r="E59" s="65" t="str">
        <f aca="false">IF($B59="","",ROUND(SUMIF(对接源_01库存!$B$4:$B$403,$B59,对接源_01库存!$G$4:$G$403),2))</f>
        <v/>
      </c>
      <c r="F59" s="129"/>
      <c r="G59" s="129"/>
      <c r="H59" s="130" t="str">
        <f aca="false">IF($B59="","",ROUND(SUMIF($B$69:$B$468,$B59,$H$69:$H$468),2))</f>
        <v/>
      </c>
      <c r="I59" s="65" t="str">
        <f aca="false">IF($B59="","",ROUND(IFERROR(INDEX(应收应付汇总表!$F$5:$F$204,MATCH($B59,应收应付汇总表!$B$5:$B$204,0)),0),2))</f>
        <v/>
      </c>
      <c r="J59" s="130" t="str">
        <f aca="false">IF($B59="","",ROUND(N($H59)-N($I59),2))</f>
        <v/>
      </c>
      <c r="K59" s="131" t="str">
        <f aca="false">IF($B59="","",IF(N($I59)&lt;=0,"没有欠款",IF(N($J59)&gt;=0,"货够抵账 · 可以先不收","货不够抵 · 该收钱了")))</f>
        <v/>
      </c>
      <c r="L59" s="132" t="str">
        <f aca="false">IF($B59="","",$B59&amp;" 库里还压着 "&amp;TEXT(N($H59),"#,##0.00")&amp;" 元的货，欠我们 "&amp;TEXT(N($I59),"#,##0.00")&amp;" 元，差额 "&amp;TEXT(N($J59),"#,##0.00")&amp;" 元")</f>
        <v/>
      </c>
    </row>
    <row r="60" customFormat="false" ht="15.75" hidden="false" customHeight="true" outlineLevel="0" collapsed="false">
      <c r="A60" s="63" t="str">
        <f aca="false">IF($B60="","",ROW()-5)</f>
        <v/>
      </c>
      <c r="B60" s="62" t="str">
        <f aca="false">IFERROR(INDEX(_自动清单!$E$4:$E$203,ROW()-5),"")</f>
        <v/>
      </c>
      <c r="C60" s="64" t="str">
        <f aca="false">IF($B60="","",COUNTIF(对接源_01库存!$B$4:$B$403,$B60))</f>
        <v/>
      </c>
      <c r="D60" s="64" t="str">
        <f aca="false">IF($B60="","",SUMIF(对接源_01库存!$B$4:$B$403,$B60,对接源_01库存!$F$4:$F$403))</f>
        <v/>
      </c>
      <c r="E60" s="65" t="str">
        <f aca="false">IF($B60="","",ROUND(SUMIF(对接源_01库存!$B$4:$B$403,$B60,对接源_01库存!$G$4:$G$403),2))</f>
        <v/>
      </c>
      <c r="F60" s="129"/>
      <c r="G60" s="129"/>
      <c r="H60" s="130" t="str">
        <f aca="false">IF($B60="","",ROUND(SUMIF($B$69:$B$468,$B60,$H$69:$H$468),2))</f>
        <v/>
      </c>
      <c r="I60" s="65" t="str">
        <f aca="false">IF($B60="","",ROUND(IFERROR(INDEX(应收应付汇总表!$F$5:$F$204,MATCH($B60,应收应付汇总表!$B$5:$B$204,0)),0),2))</f>
        <v/>
      </c>
      <c r="J60" s="130" t="str">
        <f aca="false">IF($B60="","",ROUND(N($H60)-N($I60),2))</f>
        <v/>
      </c>
      <c r="K60" s="131" t="str">
        <f aca="false">IF($B60="","",IF(N($I60)&lt;=0,"没有欠款",IF(N($J60)&gt;=0,"货够抵账 · 可以先不收","货不够抵 · 该收钱了")))</f>
        <v/>
      </c>
      <c r="L60" s="132" t="str">
        <f aca="false">IF($B60="","",$B60&amp;" 库里还压着 "&amp;TEXT(N($H60),"#,##0.00")&amp;" 元的货，欠我们 "&amp;TEXT(N($I60),"#,##0.00")&amp;" 元，差额 "&amp;TEXT(N($J60),"#,##0.00")&amp;" 元")</f>
        <v/>
      </c>
    </row>
    <row r="61" customFormat="false" ht="15.75" hidden="false" customHeight="true" outlineLevel="0" collapsed="false">
      <c r="A61" s="63" t="str">
        <f aca="false">IF($B61="","",ROW()-5)</f>
        <v/>
      </c>
      <c r="B61" s="62" t="str">
        <f aca="false">IFERROR(INDEX(_自动清单!$E$4:$E$203,ROW()-5),"")</f>
        <v/>
      </c>
      <c r="C61" s="64" t="str">
        <f aca="false">IF($B61="","",COUNTIF(对接源_01库存!$B$4:$B$403,$B61))</f>
        <v/>
      </c>
      <c r="D61" s="64" t="str">
        <f aca="false">IF($B61="","",SUMIF(对接源_01库存!$B$4:$B$403,$B61,对接源_01库存!$F$4:$F$403))</f>
        <v/>
      </c>
      <c r="E61" s="65" t="str">
        <f aca="false">IF($B61="","",ROUND(SUMIF(对接源_01库存!$B$4:$B$403,$B61,对接源_01库存!$G$4:$G$403),2))</f>
        <v/>
      </c>
      <c r="F61" s="129"/>
      <c r="G61" s="129"/>
      <c r="H61" s="130" t="str">
        <f aca="false">IF($B61="","",ROUND(SUMIF($B$69:$B$468,$B61,$H$69:$H$468),2))</f>
        <v/>
      </c>
      <c r="I61" s="65" t="str">
        <f aca="false">IF($B61="","",ROUND(IFERROR(INDEX(应收应付汇总表!$F$5:$F$204,MATCH($B61,应收应付汇总表!$B$5:$B$204,0)),0),2))</f>
        <v/>
      </c>
      <c r="J61" s="130" t="str">
        <f aca="false">IF($B61="","",ROUND(N($H61)-N($I61),2))</f>
        <v/>
      </c>
      <c r="K61" s="131" t="str">
        <f aca="false">IF($B61="","",IF(N($I61)&lt;=0,"没有欠款",IF(N($J61)&gt;=0,"货够抵账 · 可以先不收","货不够抵 · 该收钱了")))</f>
        <v/>
      </c>
      <c r="L61" s="132" t="str">
        <f aca="false">IF($B61="","",$B61&amp;" 库里还压着 "&amp;TEXT(N($H61),"#,##0.00")&amp;" 元的货，欠我们 "&amp;TEXT(N($I61),"#,##0.00")&amp;" 元，差额 "&amp;TEXT(N($J61),"#,##0.00")&amp;" 元")</f>
        <v/>
      </c>
    </row>
    <row r="62" customFormat="false" ht="15.75" hidden="false" customHeight="true" outlineLevel="0" collapsed="false">
      <c r="A62" s="63" t="str">
        <f aca="false">IF($B62="","",ROW()-5)</f>
        <v/>
      </c>
      <c r="B62" s="62" t="str">
        <f aca="false">IFERROR(INDEX(_自动清单!$E$4:$E$203,ROW()-5),"")</f>
        <v/>
      </c>
      <c r="C62" s="64" t="str">
        <f aca="false">IF($B62="","",COUNTIF(对接源_01库存!$B$4:$B$403,$B62))</f>
        <v/>
      </c>
      <c r="D62" s="64" t="str">
        <f aca="false">IF($B62="","",SUMIF(对接源_01库存!$B$4:$B$403,$B62,对接源_01库存!$F$4:$F$403))</f>
        <v/>
      </c>
      <c r="E62" s="65" t="str">
        <f aca="false">IF($B62="","",ROUND(SUMIF(对接源_01库存!$B$4:$B$403,$B62,对接源_01库存!$G$4:$G$403),2))</f>
        <v/>
      </c>
      <c r="F62" s="129"/>
      <c r="G62" s="129"/>
      <c r="H62" s="130" t="str">
        <f aca="false">IF($B62="","",ROUND(SUMIF($B$69:$B$468,$B62,$H$69:$H$468),2))</f>
        <v/>
      </c>
      <c r="I62" s="65" t="str">
        <f aca="false">IF($B62="","",ROUND(IFERROR(INDEX(应收应付汇总表!$F$5:$F$204,MATCH($B62,应收应付汇总表!$B$5:$B$204,0)),0),2))</f>
        <v/>
      </c>
      <c r="J62" s="130" t="str">
        <f aca="false">IF($B62="","",ROUND(N($H62)-N($I62),2))</f>
        <v/>
      </c>
      <c r="K62" s="131" t="str">
        <f aca="false">IF($B62="","",IF(N($I62)&lt;=0,"没有欠款",IF(N($J62)&gt;=0,"货够抵账 · 可以先不收","货不够抵 · 该收钱了")))</f>
        <v/>
      </c>
      <c r="L62" s="132" t="str">
        <f aca="false">IF($B62="","",$B62&amp;" 库里还压着 "&amp;TEXT(N($H62),"#,##0.00")&amp;" 元的货，欠我们 "&amp;TEXT(N($I62),"#,##0.00")&amp;" 元，差额 "&amp;TEXT(N($J62),"#,##0.00")&amp;" 元")</f>
        <v/>
      </c>
    </row>
    <row r="63" customFormat="false" ht="15.75" hidden="false" customHeight="true" outlineLevel="0" collapsed="false">
      <c r="A63" s="63" t="str">
        <f aca="false">IF($B63="","",ROW()-5)</f>
        <v/>
      </c>
      <c r="B63" s="62" t="str">
        <f aca="false">IFERROR(INDEX(_自动清单!$E$4:$E$203,ROW()-5),"")</f>
        <v/>
      </c>
      <c r="C63" s="64" t="str">
        <f aca="false">IF($B63="","",COUNTIF(对接源_01库存!$B$4:$B$403,$B63))</f>
        <v/>
      </c>
      <c r="D63" s="64" t="str">
        <f aca="false">IF($B63="","",SUMIF(对接源_01库存!$B$4:$B$403,$B63,对接源_01库存!$F$4:$F$403))</f>
        <v/>
      </c>
      <c r="E63" s="65" t="str">
        <f aca="false">IF($B63="","",ROUND(SUMIF(对接源_01库存!$B$4:$B$403,$B63,对接源_01库存!$G$4:$G$403),2))</f>
        <v/>
      </c>
      <c r="F63" s="129"/>
      <c r="G63" s="129"/>
      <c r="H63" s="130" t="str">
        <f aca="false">IF($B63="","",ROUND(SUMIF($B$69:$B$468,$B63,$H$69:$H$468),2))</f>
        <v/>
      </c>
      <c r="I63" s="65" t="str">
        <f aca="false">IF($B63="","",ROUND(IFERROR(INDEX(应收应付汇总表!$F$5:$F$204,MATCH($B63,应收应付汇总表!$B$5:$B$204,0)),0),2))</f>
        <v/>
      </c>
      <c r="J63" s="130" t="str">
        <f aca="false">IF($B63="","",ROUND(N($H63)-N($I63),2))</f>
        <v/>
      </c>
      <c r="K63" s="131" t="str">
        <f aca="false">IF($B63="","",IF(N($I63)&lt;=0,"没有欠款",IF(N($J63)&gt;=0,"货够抵账 · 可以先不收","货不够抵 · 该收钱了")))</f>
        <v/>
      </c>
      <c r="L63" s="132" t="str">
        <f aca="false">IF($B63="","",$B63&amp;" 库里还压着 "&amp;TEXT(N($H63),"#,##0.00")&amp;" 元的货，欠我们 "&amp;TEXT(N($I63),"#,##0.00")&amp;" 元，差额 "&amp;TEXT(N($J63),"#,##0.00")&amp;" 元")</f>
        <v/>
      </c>
    </row>
    <row r="64" customFormat="false" ht="15.75" hidden="false" customHeight="true" outlineLevel="0" collapsed="false">
      <c r="A64" s="63" t="str">
        <f aca="false">IF($B64="","",ROW()-5)</f>
        <v/>
      </c>
      <c r="B64" s="62" t="str">
        <f aca="false">IFERROR(INDEX(_自动清单!$E$4:$E$203,ROW()-5),"")</f>
        <v/>
      </c>
      <c r="C64" s="64" t="str">
        <f aca="false">IF($B64="","",COUNTIF(对接源_01库存!$B$4:$B$403,$B64))</f>
        <v/>
      </c>
      <c r="D64" s="64" t="str">
        <f aca="false">IF($B64="","",SUMIF(对接源_01库存!$B$4:$B$403,$B64,对接源_01库存!$F$4:$F$403))</f>
        <v/>
      </c>
      <c r="E64" s="65" t="str">
        <f aca="false">IF($B64="","",ROUND(SUMIF(对接源_01库存!$B$4:$B$403,$B64,对接源_01库存!$G$4:$G$403),2))</f>
        <v/>
      </c>
      <c r="F64" s="129"/>
      <c r="G64" s="129"/>
      <c r="H64" s="130" t="str">
        <f aca="false">IF($B64="","",ROUND(SUMIF($B$69:$B$468,$B64,$H$69:$H$468),2))</f>
        <v/>
      </c>
      <c r="I64" s="65" t="str">
        <f aca="false">IF($B64="","",ROUND(IFERROR(INDEX(应收应付汇总表!$F$5:$F$204,MATCH($B64,应收应付汇总表!$B$5:$B$204,0)),0),2))</f>
        <v/>
      </c>
      <c r="J64" s="130" t="str">
        <f aca="false">IF($B64="","",ROUND(N($H64)-N($I64),2))</f>
        <v/>
      </c>
      <c r="K64" s="131" t="str">
        <f aca="false">IF($B64="","",IF(N($I64)&lt;=0,"没有欠款",IF(N($J64)&gt;=0,"货够抵账 · 可以先不收","货不够抵 · 该收钱了")))</f>
        <v/>
      </c>
      <c r="L64" s="132" t="str">
        <f aca="false">IF($B64="","",$B64&amp;" 库里还压着 "&amp;TEXT(N($H64),"#,##0.00")&amp;" 元的货，欠我们 "&amp;TEXT(N($I64),"#,##0.00")&amp;" 元，差额 "&amp;TEXT(N($J64),"#,##0.00")&amp;" 元")</f>
        <v/>
      </c>
    </row>
    <row r="65" customFormat="false" ht="15.75" hidden="false" customHeight="true" outlineLevel="0" collapsed="false">
      <c r="A65" s="63" t="str">
        <f aca="false">IF($B65="","",ROW()-5)</f>
        <v/>
      </c>
      <c r="B65" s="62" t="str">
        <f aca="false">IFERROR(INDEX(_自动清单!$E$4:$E$203,ROW()-5),"")</f>
        <v/>
      </c>
      <c r="C65" s="64" t="str">
        <f aca="false">IF($B65="","",COUNTIF(对接源_01库存!$B$4:$B$403,$B65))</f>
        <v/>
      </c>
      <c r="D65" s="64" t="str">
        <f aca="false">IF($B65="","",SUMIF(对接源_01库存!$B$4:$B$403,$B65,对接源_01库存!$F$4:$F$403))</f>
        <v/>
      </c>
      <c r="E65" s="65" t="str">
        <f aca="false">IF($B65="","",ROUND(SUMIF(对接源_01库存!$B$4:$B$403,$B65,对接源_01库存!$G$4:$G$403),2))</f>
        <v/>
      </c>
      <c r="F65" s="129"/>
      <c r="G65" s="129"/>
      <c r="H65" s="130" t="str">
        <f aca="false">IF($B65="","",ROUND(SUMIF($B$69:$B$468,$B65,$H$69:$H$468),2))</f>
        <v/>
      </c>
      <c r="I65" s="65" t="str">
        <f aca="false">IF($B65="","",ROUND(IFERROR(INDEX(应收应付汇总表!$F$5:$F$204,MATCH($B65,应收应付汇总表!$B$5:$B$204,0)),0),2))</f>
        <v/>
      </c>
      <c r="J65" s="130" t="str">
        <f aca="false">IF($B65="","",ROUND(N($H65)-N($I65),2))</f>
        <v/>
      </c>
      <c r="K65" s="131" t="str">
        <f aca="false">IF($B65="","",IF(N($I65)&lt;=0,"没有欠款",IF(N($J65)&gt;=0,"货够抵账 · 可以先不收","货不够抵 · 该收钱了")))</f>
        <v/>
      </c>
      <c r="L65" s="132" t="str">
        <f aca="false">IF($B65="","",$B65&amp;" 库里还压着 "&amp;TEXT(N($H65),"#,##0.00")&amp;" 元的货，欠我们 "&amp;TEXT(N($I65),"#,##0.00")&amp;" 元，差额 "&amp;TEXT(N($J65),"#,##0.00")&amp;" 元")</f>
        <v/>
      </c>
    </row>
    <row r="66" customFormat="false" ht="16.5" hidden="false" customHeight="true" outlineLevel="0" collapsed="false">
      <c r="A66" s="133" t="s">
        <v>810</v>
      </c>
      <c r="B66" s="133"/>
      <c r="C66" s="134" t="n">
        <f aca="false">ROUND(SUM(C6:C65),2)</f>
        <v>56</v>
      </c>
      <c r="D66" s="134" t="n">
        <f aca="false">ROUND(SUM(D6:D65),2)</f>
        <v>23726</v>
      </c>
      <c r="E66" s="135" t="n">
        <f aca="false">ROUND(SUM(E6:E65),2)</f>
        <v>539553.9</v>
      </c>
      <c r="F66" s="133"/>
      <c r="G66" s="133"/>
      <c r="H66" s="135" t="n">
        <f aca="false">ROUND(SUM(H6:H65),2)</f>
        <v>23520.3</v>
      </c>
      <c r="I66" s="135" t="n">
        <f aca="false">ROUND(SUM(I6:I65),2)</f>
        <v>-1158</v>
      </c>
      <c r="J66" s="135" t="n">
        <f aca="false">ROUND(SUM(J6:J65),2)</f>
        <v>24678.3</v>
      </c>
      <c r="K66" s="133"/>
      <c r="L66" s="133"/>
    </row>
    <row r="67" customFormat="false" ht="15" hidden="false" customHeight="true" outlineLevel="0" collapsed="false">
      <c r="A67" s="128" t="s">
        <v>811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</row>
    <row r="68" customFormat="false" ht="30" hidden="false" customHeight="true" outlineLevel="0" collapsed="false">
      <c r="A68" s="15" t="s">
        <v>3</v>
      </c>
      <c r="B68" s="15" t="s">
        <v>804</v>
      </c>
      <c r="C68" s="15" t="s">
        <v>190</v>
      </c>
      <c r="D68" s="15" t="s">
        <v>209</v>
      </c>
      <c r="E68" s="15" t="s">
        <v>210</v>
      </c>
      <c r="F68" s="15" t="s">
        <v>211</v>
      </c>
      <c r="G68" s="15" t="s">
        <v>212</v>
      </c>
      <c r="H68" s="15" t="s">
        <v>806</v>
      </c>
      <c r="I68" s="15" t="s">
        <v>812</v>
      </c>
      <c r="J68" s="15" t="s">
        <v>813</v>
      </c>
      <c r="K68" s="15"/>
      <c r="L68" s="15" t="s">
        <v>174</v>
      </c>
    </row>
    <row r="69" customFormat="false" ht="15" hidden="false" customHeight="true" outlineLevel="0" collapsed="false">
      <c r="A69" s="63" t="n">
        <f aca="false">IF($B69="","",ROW()-68)</f>
        <v>1</v>
      </c>
      <c r="B69" s="62" t="str">
        <f aca="false">IF(对接源_01库存!$B4="","",对接源_01库存!$B4)</f>
        <v>聂新平</v>
      </c>
      <c r="C69" s="63" t="str">
        <f aca="false">IF($B69="","",对接源_01库存!$C4)</f>
        <v>苹果</v>
      </c>
      <c r="D69" s="63" t="str">
        <f aca="false">IF($B69="","",对接源_01库存!$D4)</f>
        <v>嘎啦85#</v>
      </c>
      <c r="E69" s="63" t="str">
        <f aca="false">IF($B69="","",对接源_01库存!$E4)</f>
        <v>筐</v>
      </c>
      <c r="F69" s="64" t="n">
        <f aca="false">IF($B69="","",N(对接源_01库存!$F4))</f>
        <v>0</v>
      </c>
      <c r="G69" s="65" t="n">
        <f aca="false">IF($B69="","",N(对接源_01库存!$G4))</f>
        <v>9156</v>
      </c>
      <c r="H69" s="130" t="n">
        <f aca="false">IF($B69="","",ROUND(N($F69)*N($I69),2))</f>
        <v>0</v>
      </c>
      <c r="I69" s="136"/>
      <c r="J69" s="131" t="str">
        <f aca="false">IF($B69="","",对接源_01库存!$H4)</f>
        <v>无库存</v>
      </c>
      <c r="K69" s="129"/>
      <c r="L69" s="132" t="str">
        <f aca="false">IF($B69="","",IF(N($I69)=0,"← 这一行还没填单价",""))</f>
        <v>← 这一行还没填单价</v>
      </c>
    </row>
    <row r="70" customFormat="false" ht="15" hidden="false" customHeight="true" outlineLevel="0" collapsed="false">
      <c r="A70" s="63" t="n">
        <f aca="false">IF($B70="","",ROW()-68)</f>
        <v>2</v>
      </c>
      <c r="B70" s="62" t="str">
        <f aca="false">IF(对接源_01库存!$B5="","",对接源_01库存!$B5)</f>
        <v>聂新平</v>
      </c>
      <c r="C70" s="63" t="str">
        <f aca="false">IF($B70="","",对接源_01库存!$C5)</f>
        <v>苹果</v>
      </c>
      <c r="D70" s="63" t="str">
        <f aca="false">IF($B70="","",对接源_01库存!$D5)</f>
        <v>嘎啦100#</v>
      </c>
      <c r="E70" s="63" t="str">
        <f aca="false">IF($B70="","",对接源_01库存!$E5)</f>
        <v>筐</v>
      </c>
      <c r="F70" s="64" t="n">
        <f aca="false">IF($B70="","",N(对接源_01库存!$F5))</f>
        <v>0</v>
      </c>
      <c r="G70" s="65" t="n">
        <f aca="false">IF($B70="","",N(对接源_01库存!$G5))</f>
        <v>18682.6</v>
      </c>
      <c r="H70" s="130" t="n">
        <f aca="false">IF($B70="","",ROUND(N($F70)*N($I70),2))</f>
        <v>0</v>
      </c>
      <c r="I70" s="136"/>
      <c r="J70" s="131" t="str">
        <f aca="false">IF($B70="","",对接源_01库存!$H5)</f>
        <v>无库存</v>
      </c>
      <c r="K70" s="129"/>
      <c r="L70" s="132" t="str">
        <f aca="false">IF($B70="","",IF(N($I70)=0,"← 这一行还没填单价",""))</f>
        <v>← 这一行还没填单价</v>
      </c>
    </row>
    <row r="71" customFormat="false" ht="15" hidden="false" customHeight="true" outlineLevel="0" collapsed="false">
      <c r="A71" s="63" t="n">
        <f aca="false">IF($B71="","",ROW()-68)</f>
        <v>3</v>
      </c>
      <c r="B71" s="62" t="str">
        <f aca="false">IF(对接源_01库存!$B6="","",对接源_01库存!$B6)</f>
        <v>王照雪</v>
      </c>
      <c r="C71" s="63" t="str">
        <f aca="false">IF($B71="","",对接源_01库存!$C6)</f>
        <v>苹果</v>
      </c>
      <c r="D71" s="63" t="str">
        <f aca="false">IF($B71="","",对接源_01库存!$D6)</f>
        <v>华硕一级</v>
      </c>
      <c r="E71" s="63" t="str">
        <f aca="false">IF($B71="","",对接源_01库存!$E6)</f>
        <v>筐</v>
      </c>
      <c r="F71" s="64" t="n">
        <f aca="false">IF($B71="","",N(对接源_01库存!$F6))</f>
        <v>0</v>
      </c>
      <c r="G71" s="65" t="n">
        <f aca="false">IF($B71="","",N(对接源_01库存!$G6))</f>
        <v>11591</v>
      </c>
      <c r="H71" s="130" t="n">
        <f aca="false">IF($B71="","",ROUND(N($F71)*N($I71),2))</f>
        <v>0</v>
      </c>
      <c r="I71" s="136"/>
      <c r="J71" s="131" t="str">
        <f aca="false">IF($B71="","",对接源_01库存!$H6)</f>
        <v>无库存</v>
      </c>
      <c r="K71" s="129"/>
      <c r="L71" s="132" t="str">
        <f aca="false">IF($B71="","",IF(N($I71)=0,"← 这一行还没填单价",""))</f>
        <v>← 这一行还没填单价</v>
      </c>
    </row>
    <row r="72" customFormat="false" ht="15" hidden="false" customHeight="true" outlineLevel="0" collapsed="false">
      <c r="A72" s="63" t="n">
        <f aca="false">IF($B72="","",ROW()-68)</f>
        <v>4</v>
      </c>
      <c r="B72" s="62" t="str">
        <f aca="false">IF(对接源_01库存!$B7="","",对接源_01库存!$B7)</f>
        <v>王照雪</v>
      </c>
      <c r="C72" s="63" t="str">
        <f aca="false">IF($B72="","",对接源_01库存!$C7)</f>
        <v>苹果</v>
      </c>
      <c r="D72" s="63" t="str">
        <f aca="false">IF($B72="","",对接源_01库存!$D7)</f>
        <v>华硕二级</v>
      </c>
      <c r="E72" s="63" t="str">
        <f aca="false">IF($B72="","",对接源_01库存!$E7)</f>
        <v>筐</v>
      </c>
      <c r="F72" s="64" t="n">
        <f aca="false">IF($B72="","",N(对接源_01库存!$F7))</f>
        <v>0</v>
      </c>
      <c r="G72" s="65" t="n">
        <f aca="false">IF($B72="","",N(对接源_01库存!$G7))</f>
        <v>5362.7</v>
      </c>
      <c r="H72" s="130" t="n">
        <f aca="false">IF($B72="","",ROUND(N($F72)*N($I72),2))</f>
        <v>0</v>
      </c>
      <c r="I72" s="136"/>
      <c r="J72" s="131" t="str">
        <f aca="false">IF($B72="","",对接源_01库存!$H7)</f>
        <v>无库存</v>
      </c>
      <c r="K72" s="129"/>
      <c r="L72" s="132" t="str">
        <f aca="false">IF($B72="","",IF(N($I72)=0,"← 这一行还没填单价",""))</f>
        <v>← 这一行还没填单价</v>
      </c>
    </row>
    <row r="73" customFormat="false" ht="15" hidden="false" customHeight="true" outlineLevel="0" collapsed="false">
      <c r="A73" s="63" t="n">
        <f aca="false">IF($B73="","",ROW()-68)</f>
        <v>5</v>
      </c>
      <c r="B73" s="62" t="str">
        <f aca="false">IF(对接源_01库存!$B8="","",对接源_01库存!$B8)</f>
        <v>王照雪</v>
      </c>
      <c r="C73" s="63" t="str">
        <f aca="false">IF($B73="","",对接源_01库存!$C8)</f>
        <v>苹果</v>
      </c>
      <c r="D73" s="63" t="str">
        <f aca="false">IF($B73="","",对接源_01库存!$D8)</f>
        <v>华硕高次</v>
      </c>
      <c r="E73" s="63" t="str">
        <f aca="false">IF($B73="","",对接源_01库存!$E8)</f>
        <v>筐</v>
      </c>
      <c r="F73" s="64" t="n">
        <f aca="false">IF($B73="","",N(对接源_01库存!$F8))</f>
        <v>0</v>
      </c>
      <c r="G73" s="65" t="n">
        <f aca="false">IF($B73="","",N(对接源_01库存!$G8))</f>
        <v>2992.9</v>
      </c>
      <c r="H73" s="130" t="n">
        <f aca="false">IF($B73="","",ROUND(N($F73)*N($I73),2))</f>
        <v>0</v>
      </c>
      <c r="I73" s="136"/>
      <c r="J73" s="131" t="str">
        <f aca="false">IF($B73="","",对接源_01库存!$H8)</f>
        <v>无库存</v>
      </c>
      <c r="K73" s="129"/>
      <c r="L73" s="132" t="str">
        <f aca="false">IF($B73="","",IF(N($I73)=0,"← 这一行还没填单价",""))</f>
        <v>← 这一行还没填单价</v>
      </c>
    </row>
    <row r="74" customFormat="false" ht="15" hidden="false" customHeight="true" outlineLevel="0" collapsed="false">
      <c r="A74" s="63" t="n">
        <f aca="false">IF($B74="","",ROW()-68)</f>
        <v>6</v>
      </c>
      <c r="B74" s="62" t="str">
        <f aca="false">IF(对接源_01库存!$B9="","",对接源_01库存!$B9)</f>
        <v>伍元虎</v>
      </c>
      <c r="C74" s="63" t="str">
        <f aca="false">IF($B74="","",对接源_01库存!$C9)</f>
        <v>苹果</v>
      </c>
      <c r="D74" s="63" t="str">
        <f aca="false">IF($B74="","",对接源_01库存!$D9)</f>
        <v>海棠果</v>
      </c>
      <c r="E74" s="63" t="str">
        <f aca="false">IF($B74="","",对接源_01库存!$E9)</f>
        <v>筐</v>
      </c>
      <c r="F74" s="64" t="n">
        <f aca="false">IF($B74="","",N(对接源_01库存!$F9))</f>
        <v>0</v>
      </c>
      <c r="G74" s="65" t="n">
        <f aca="false">IF($B74="","",N(对接源_01库存!$G9))</f>
        <v>0</v>
      </c>
      <c r="H74" s="130" t="n">
        <f aca="false">IF($B74="","",ROUND(N($F74)*N($I74),2))</f>
        <v>0</v>
      </c>
      <c r="I74" s="136"/>
      <c r="J74" s="131" t="str">
        <f aca="false">IF($B74="","",对接源_01库存!$H9)</f>
        <v>无库存</v>
      </c>
      <c r="K74" s="129"/>
      <c r="L74" s="132" t="str">
        <f aca="false">IF($B74="","",IF(N($I74)=0,"← 这一行还没填单价",""))</f>
        <v>← 这一行还没填单价</v>
      </c>
    </row>
    <row r="75" customFormat="false" ht="15" hidden="false" customHeight="true" outlineLevel="0" collapsed="false">
      <c r="A75" s="63" t="n">
        <f aca="false">IF($B75="","",ROW()-68)</f>
        <v>7</v>
      </c>
      <c r="B75" s="62" t="str">
        <f aca="false">IF(对接源_01库存!$B10="","",对接源_01库存!$B10)</f>
        <v>王照雪</v>
      </c>
      <c r="C75" s="63" t="str">
        <f aca="false">IF($B75="","",对接源_01库存!$C10)</f>
        <v>李子</v>
      </c>
      <c r="D75" s="63" t="str">
        <f aca="false">IF($B75="","",对接源_01库存!$D10)</f>
        <v>樱桃李</v>
      </c>
      <c r="E75" s="63" t="str">
        <f aca="false">IF($B75="","",对接源_01库存!$E10)</f>
        <v>筐</v>
      </c>
      <c r="F75" s="64" t="n">
        <f aca="false">IF($B75="","",N(对接源_01库存!$F10))</f>
        <v>0</v>
      </c>
      <c r="G75" s="65" t="n">
        <f aca="false">IF($B75="","",N(对接源_01库存!$G10))</f>
        <v>0</v>
      </c>
      <c r="H75" s="130" t="n">
        <f aca="false">IF($B75="","",ROUND(N($F75)*N($I75),2))</f>
        <v>0</v>
      </c>
      <c r="I75" s="136"/>
      <c r="J75" s="131" t="str">
        <f aca="false">IF($B75="","",对接源_01库存!$H10)</f>
        <v>无库存</v>
      </c>
      <c r="K75" s="129"/>
      <c r="L75" s="132" t="str">
        <f aca="false">IF($B75="","",IF(N($I75)=0,"← 这一行还没填单价",""))</f>
        <v>← 这一行还没填单价</v>
      </c>
    </row>
    <row r="76" customFormat="false" ht="15" hidden="false" customHeight="true" outlineLevel="0" collapsed="false">
      <c r="A76" s="63" t="n">
        <f aca="false">IF($B76="","",ROW()-68)</f>
        <v>8</v>
      </c>
      <c r="B76" s="62" t="str">
        <f aca="false">IF(对接源_01库存!$B11="","",对接源_01库存!$B11)</f>
        <v>马锦祥</v>
      </c>
      <c r="C76" s="63" t="str">
        <f aca="false">IF($B76="","",对接源_01库存!$C11)</f>
        <v>苹果</v>
      </c>
      <c r="D76" s="63" t="str">
        <f aca="false">IF($B76="","",对接源_01库存!$D11)</f>
        <v>海棠果</v>
      </c>
      <c r="E76" s="63" t="str">
        <f aca="false">IF($B76="","",对接源_01库存!$E11)</f>
        <v>筐</v>
      </c>
      <c r="F76" s="64" t="n">
        <f aca="false">IF($B76="","",N(对接源_01库存!$F11))</f>
        <v>66</v>
      </c>
      <c r="G76" s="65" t="n">
        <f aca="false">IF($B76="","",N(对接源_01库存!$G11))</f>
        <v>198</v>
      </c>
      <c r="H76" s="130" t="n">
        <f aca="false">IF($B76="","",ROUND(N($F76)*N($I76),2))</f>
        <v>132</v>
      </c>
      <c r="I76" s="136" t="n">
        <v>2</v>
      </c>
      <c r="J76" s="131" t="str">
        <f aca="false">IF($B76="","",对接源_01库存!$H11)</f>
        <v>偏低</v>
      </c>
      <c r="K76" s="129"/>
      <c r="L76" s="132" t="str">
        <f aca="false">IF($B76="","",IF(N($I76)=0,"← 这一行还没填单价",""))</f>
        <v/>
      </c>
    </row>
    <row r="77" customFormat="false" ht="15" hidden="false" customHeight="true" outlineLevel="0" collapsed="false">
      <c r="A77" s="63" t="n">
        <f aca="false">IF($B77="","",ROW()-68)</f>
        <v>9</v>
      </c>
      <c r="B77" s="62" t="str">
        <f aca="false">IF(对接源_01库存!$B12="","",对接源_01库存!$B12)</f>
        <v>聂新平</v>
      </c>
      <c r="C77" s="63" t="str">
        <f aca="false">IF($B77="","",对接源_01库存!$C12)</f>
        <v>西梅</v>
      </c>
      <c r="D77" s="63" t="str">
        <f aca="false">IF($B77="","",对接源_01库存!$D12)</f>
        <v>西梅二级</v>
      </c>
      <c r="E77" s="63" t="str">
        <f aca="false">IF($B77="","",对接源_01库存!$E12)</f>
        <v>筐</v>
      </c>
      <c r="F77" s="64" t="n">
        <f aca="false">IF($B77="","",N(对接源_01库存!$F12))</f>
        <v>1</v>
      </c>
      <c r="G77" s="65" t="n">
        <f aca="false">IF($B77="","",N(对接源_01库存!$G12))</f>
        <v>2</v>
      </c>
      <c r="H77" s="130" t="n">
        <f aca="false">IF($B77="","",ROUND(N($F77)*N($I77),2))</f>
        <v>0</v>
      </c>
      <c r="I77" s="136"/>
      <c r="J77" s="131" t="str">
        <f aca="false">IF($B77="","",对接源_01库存!$H12)</f>
        <v>偏低</v>
      </c>
      <c r="K77" s="129"/>
      <c r="L77" s="132" t="str">
        <f aca="false">IF($B77="","",IF(N($I77)=0,"← 这一行还没填单价",""))</f>
        <v>← 这一行还没填单价</v>
      </c>
    </row>
    <row r="78" customFormat="false" ht="15" hidden="false" customHeight="true" outlineLevel="0" collapsed="false">
      <c r="A78" s="63" t="n">
        <f aca="false">IF($B78="","",ROW()-68)</f>
        <v>10</v>
      </c>
      <c r="B78" s="62" t="str">
        <f aca="false">IF(对接源_01库存!$B13="","",对接源_01库存!$B13)</f>
        <v>聂新平</v>
      </c>
      <c r="C78" s="63" t="str">
        <f aca="false">IF($B78="","",对接源_01库存!$C13)</f>
        <v>西梅</v>
      </c>
      <c r="D78" s="63" t="str">
        <f aca="false">IF($B78="","",对接源_01库存!$D13)</f>
        <v>西梅三级</v>
      </c>
      <c r="E78" s="63" t="str">
        <f aca="false">IF($B78="","",对接源_01库存!$E13)</f>
        <v>筐</v>
      </c>
      <c r="F78" s="64" t="n">
        <f aca="false">IF($B78="","",N(对接源_01库存!$F13))</f>
        <v>0</v>
      </c>
      <c r="G78" s="65" t="n">
        <f aca="false">IF($B78="","",N(对接源_01库存!$G13))</f>
        <v>0</v>
      </c>
      <c r="H78" s="130" t="n">
        <f aca="false">IF($B78="","",ROUND(N($F78)*N($I78),2))</f>
        <v>0</v>
      </c>
      <c r="I78" s="136"/>
      <c r="J78" s="131" t="str">
        <f aca="false">IF($B78="","",对接源_01库存!$H13)</f>
        <v>无库存</v>
      </c>
      <c r="K78" s="129"/>
      <c r="L78" s="132" t="str">
        <f aca="false">IF($B78="","",IF(N($I78)=0,"← 这一行还没填单价",""))</f>
        <v>← 这一行还没填单价</v>
      </c>
    </row>
    <row r="79" customFormat="false" ht="15" hidden="false" customHeight="true" outlineLevel="0" collapsed="false">
      <c r="A79" s="63" t="n">
        <f aca="false">IF($B79="","",ROW()-68)</f>
        <v>11</v>
      </c>
      <c r="B79" s="62" t="str">
        <f aca="false">IF(对接源_01库存!$B14="","",对接源_01库存!$B14)</f>
        <v>聂新平</v>
      </c>
      <c r="C79" s="63" t="str">
        <f aca="false">IF($B79="","",对接源_01库存!$C14)</f>
        <v>西梅</v>
      </c>
      <c r="D79" s="63" t="str">
        <f aca="false">IF($B79="","",对接源_01库存!$D14)</f>
        <v>西梅一级</v>
      </c>
      <c r="E79" s="63" t="str">
        <f aca="false">IF($B79="","",对接源_01库存!$E14)</f>
        <v>筐</v>
      </c>
      <c r="F79" s="64" t="n">
        <f aca="false">IF($B79="","",N(对接源_01库存!$F14))</f>
        <v>0</v>
      </c>
      <c r="G79" s="65" t="n">
        <f aca="false">IF($B79="","",N(对接源_01库存!$G14))</f>
        <v>0</v>
      </c>
      <c r="H79" s="130" t="n">
        <f aca="false">IF($B79="","",ROUND(N($F79)*N($I79),2))</f>
        <v>0</v>
      </c>
      <c r="I79" s="136"/>
      <c r="J79" s="131" t="str">
        <f aca="false">IF($B79="","",对接源_01库存!$H14)</f>
        <v>无库存</v>
      </c>
      <c r="K79" s="129"/>
      <c r="L79" s="132" t="str">
        <f aca="false">IF($B79="","",IF(N($I79)=0,"← 这一行还没填单价",""))</f>
        <v>← 这一行还没填单价</v>
      </c>
    </row>
    <row r="80" customFormat="false" ht="15" hidden="false" customHeight="true" outlineLevel="0" collapsed="false">
      <c r="A80" s="63" t="n">
        <f aca="false">IF($B80="","",ROW()-68)</f>
        <v>12</v>
      </c>
      <c r="B80" s="62" t="str">
        <f aca="false">IF(对接源_01库存!$B15="","",对接源_01库存!$B15)</f>
        <v>马锦祥</v>
      </c>
      <c r="C80" s="63" t="str">
        <f aca="false">IF($B80="","",对接源_01库存!$C15)</f>
        <v>香梨</v>
      </c>
      <c r="D80" s="63" t="str">
        <f aca="false">IF($B80="","",对接源_01库存!$D15)</f>
        <v>香梨一级</v>
      </c>
      <c r="E80" s="63" t="str">
        <f aca="false">IF($B80="","",对接源_01库存!$E15)</f>
        <v>筐</v>
      </c>
      <c r="F80" s="64" t="n">
        <f aca="false">IF($B80="","",N(对接源_01库存!$F15))</f>
        <v>1953</v>
      </c>
      <c r="G80" s="65" t="n">
        <f aca="false">IF($B80="","",N(对接源_01库存!$G15))</f>
        <v>35739.9</v>
      </c>
      <c r="H80" s="130" t="n">
        <f aca="false">IF($B80="","",ROUND(N($F80)*N($I80),2))</f>
        <v>2343.6</v>
      </c>
      <c r="I80" s="136" t="n">
        <v>1.2</v>
      </c>
      <c r="J80" s="131" t="str">
        <f aca="false">IF($B80="","",对接源_01库存!$H15)</f>
        <v>偏低</v>
      </c>
      <c r="K80" s="129"/>
      <c r="L80" s="132" t="str">
        <f aca="false">IF($B80="","",IF(N($I80)=0,"← 这一行还没填单价",""))</f>
        <v/>
      </c>
    </row>
    <row r="81" customFormat="false" ht="15" hidden="false" customHeight="true" outlineLevel="0" collapsed="false">
      <c r="A81" s="63" t="n">
        <f aca="false">IF($B81="","",ROW()-68)</f>
        <v>13</v>
      </c>
      <c r="B81" s="62" t="str">
        <f aca="false">IF(对接源_01库存!$B16="","",对接源_01库存!$B16)</f>
        <v>马锦祥</v>
      </c>
      <c r="C81" s="63" t="str">
        <f aca="false">IF($B81="","",对接源_01库存!$C16)</f>
        <v>香梨</v>
      </c>
      <c r="D81" s="63" t="str">
        <f aca="false">IF($B81="","",对接源_01库存!$D16)</f>
        <v>香梨二级</v>
      </c>
      <c r="E81" s="63" t="str">
        <f aca="false">IF($B81="","",对接源_01库存!$E16)</f>
        <v>筐</v>
      </c>
      <c r="F81" s="64" t="n">
        <f aca="false">IF($B81="","",N(对接源_01库存!$F16))</f>
        <v>386</v>
      </c>
      <c r="G81" s="65" t="n">
        <f aca="false">IF($B81="","",N(对接源_01库存!$G16))</f>
        <v>8607.8</v>
      </c>
      <c r="H81" s="130" t="n">
        <f aca="false">IF($B81="","",ROUND(N($F81)*N($I81),2))</f>
        <v>231.6</v>
      </c>
      <c r="I81" s="136" t="n">
        <v>0.6</v>
      </c>
      <c r="J81" s="131" t="str">
        <f aca="false">IF($B81="","",对接源_01库存!$H16)</f>
        <v>偏低</v>
      </c>
      <c r="K81" s="129"/>
      <c r="L81" s="132" t="str">
        <f aca="false">IF($B81="","",IF(N($I81)=0,"← 这一行还没填单价",""))</f>
        <v/>
      </c>
    </row>
    <row r="82" customFormat="false" ht="15" hidden="false" customHeight="true" outlineLevel="0" collapsed="false">
      <c r="A82" s="63" t="n">
        <f aca="false">IF($B82="","",ROW()-68)</f>
        <v>14</v>
      </c>
      <c r="B82" s="62" t="str">
        <f aca="false">IF(对接源_01库存!$B17="","",对接源_01库存!$B17)</f>
        <v>马锦祥</v>
      </c>
      <c r="C82" s="63" t="str">
        <f aca="false">IF($B82="","",对接源_01库存!$C17)</f>
        <v>香梨</v>
      </c>
      <c r="D82" s="63" t="str">
        <f aca="false">IF($B82="","",对接源_01库存!$D17)</f>
        <v>香梨副特</v>
      </c>
      <c r="E82" s="63" t="str">
        <f aca="false">IF($B82="","",对接源_01库存!$E17)</f>
        <v>筐</v>
      </c>
      <c r="F82" s="64" t="n">
        <f aca="false">IF($B82="","",N(对接源_01库存!$F17))</f>
        <v>152</v>
      </c>
      <c r="G82" s="65" t="n">
        <f aca="false">IF($B82="","",N(对接源_01库存!$G17))</f>
        <v>2781.6</v>
      </c>
      <c r="H82" s="130" t="n">
        <f aca="false">IF($B82="","",ROUND(N($F82)*N($I82),2))</f>
        <v>106.4</v>
      </c>
      <c r="I82" s="136" t="n">
        <v>0.7</v>
      </c>
      <c r="J82" s="131" t="str">
        <f aca="false">IF($B82="","",对接源_01库存!$H17)</f>
        <v>偏低</v>
      </c>
      <c r="K82" s="129"/>
      <c r="L82" s="132" t="str">
        <f aca="false">IF($B82="","",IF(N($I82)=0,"← 这一行还没填单价",""))</f>
        <v/>
      </c>
    </row>
    <row r="83" customFormat="false" ht="15" hidden="false" customHeight="true" outlineLevel="0" collapsed="false">
      <c r="A83" s="63" t="n">
        <f aca="false">IF($B83="","",ROW()-68)</f>
        <v>15</v>
      </c>
      <c r="B83" s="62" t="str">
        <f aca="false">IF(对接源_01库存!$B18="","",对接源_01库存!$B18)</f>
        <v>麦麦提</v>
      </c>
      <c r="C83" s="63" t="str">
        <f aca="false">IF($B83="","",对接源_01库存!$C18)</f>
        <v>香梨</v>
      </c>
      <c r="D83" s="63" t="str">
        <f aca="false">IF($B83="","",对接源_01库存!$D18)</f>
        <v>香梨特级</v>
      </c>
      <c r="E83" s="63" t="str">
        <f aca="false">IF($B83="","",对接源_01库存!$E18)</f>
        <v>筐</v>
      </c>
      <c r="F83" s="64" t="n">
        <f aca="false">IF($B83="","",N(对接源_01库存!$F18))</f>
        <v>1667</v>
      </c>
      <c r="G83" s="65" t="n">
        <f aca="false">IF($B83="","",N(对接源_01库存!$G18))</f>
        <v>30542.7</v>
      </c>
      <c r="H83" s="130" t="n">
        <f aca="false">IF($B83="","",ROUND(N($F83)*N($I83),2))</f>
        <v>2500.5</v>
      </c>
      <c r="I83" s="136" t="n">
        <v>1.5</v>
      </c>
      <c r="J83" s="131" t="str">
        <f aca="false">IF($B83="","",对接源_01库存!$H18)</f>
        <v>偏低</v>
      </c>
      <c r="K83" s="129"/>
      <c r="L83" s="132" t="str">
        <f aca="false">IF($B83="","",IF(N($I83)=0,"← 这一行还没填单价",""))</f>
        <v/>
      </c>
    </row>
    <row r="84" customFormat="false" ht="15" hidden="false" customHeight="true" outlineLevel="0" collapsed="false">
      <c r="A84" s="63" t="n">
        <f aca="false">IF($B84="","",ROW()-68)</f>
        <v>16</v>
      </c>
      <c r="B84" s="62" t="str">
        <f aca="false">IF(对接源_01库存!$B19="","",对接源_01库存!$B19)</f>
        <v>麦麦提</v>
      </c>
      <c r="C84" s="63" t="str">
        <f aca="false">IF($B84="","",对接源_01库存!$C19)</f>
        <v>香梨</v>
      </c>
      <c r="D84" s="63" t="str">
        <f aca="false">IF($B84="","",对接源_01库存!$D19)</f>
        <v>香梨一级</v>
      </c>
      <c r="E84" s="63" t="str">
        <f aca="false">IF($B84="","",对接源_01库存!$E19)</f>
        <v>筐</v>
      </c>
      <c r="F84" s="64" t="n">
        <f aca="false">IF($B84="","",N(对接源_01库存!$F19))</f>
        <v>489</v>
      </c>
      <c r="G84" s="65" t="n">
        <f aca="false">IF($B84="","",N(对接源_01库存!$G19))</f>
        <v>20075.1</v>
      </c>
      <c r="H84" s="130" t="n">
        <f aca="false">IF($B84="","",ROUND(N($F84)*N($I84),2))</f>
        <v>586.8</v>
      </c>
      <c r="I84" s="136" t="n">
        <v>1.2</v>
      </c>
      <c r="J84" s="131" t="str">
        <f aca="false">IF($B84="","",对接源_01库存!$H19)</f>
        <v>偏低</v>
      </c>
      <c r="K84" s="129"/>
      <c r="L84" s="132" t="str">
        <f aca="false">IF($B84="","",IF(N($I84)=0,"← 这一行还没填单价",""))</f>
        <v/>
      </c>
    </row>
    <row r="85" customFormat="false" ht="15" hidden="false" customHeight="true" outlineLevel="0" collapsed="false">
      <c r="A85" s="63" t="n">
        <f aca="false">IF($B85="","",ROW()-68)</f>
        <v>17</v>
      </c>
      <c r="B85" s="62" t="str">
        <f aca="false">IF(对接源_01库存!$B20="","",对接源_01库存!$B20)</f>
        <v>麦麦提</v>
      </c>
      <c r="C85" s="63" t="str">
        <f aca="false">IF($B85="","",对接源_01库存!$C20)</f>
        <v>香梨</v>
      </c>
      <c r="D85" s="63" t="str">
        <f aca="false">IF($B85="","",对接源_01库存!$D20)</f>
        <v>香梨二级</v>
      </c>
      <c r="E85" s="63" t="str">
        <f aca="false">IF($B85="","",对接源_01库存!$E20)</f>
        <v>筐</v>
      </c>
      <c r="F85" s="64" t="n">
        <f aca="false">IF($B85="","",N(对接源_01库存!$F20))</f>
        <v>1024</v>
      </c>
      <c r="G85" s="65" t="n">
        <f aca="false">IF($B85="","",N(对接源_01库存!$G20))</f>
        <v>22835.2</v>
      </c>
      <c r="H85" s="130" t="n">
        <f aca="false">IF($B85="","",ROUND(N($F85)*N($I85),2))</f>
        <v>614.4</v>
      </c>
      <c r="I85" s="136" t="n">
        <v>0.6</v>
      </c>
      <c r="J85" s="131" t="str">
        <f aca="false">IF($B85="","",对接源_01库存!$H20)</f>
        <v>偏低</v>
      </c>
      <c r="K85" s="129"/>
      <c r="L85" s="132" t="str">
        <f aca="false">IF($B85="","",IF(N($I85)=0,"← 这一行还没填单价",""))</f>
        <v/>
      </c>
    </row>
    <row r="86" customFormat="false" ht="15" hidden="false" customHeight="true" outlineLevel="0" collapsed="false">
      <c r="A86" s="63" t="n">
        <f aca="false">IF($B86="","",ROW()-68)</f>
        <v>18</v>
      </c>
      <c r="B86" s="62" t="str">
        <f aca="false">IF(对接源_01库存!$B21="","",对接源_01库存!$B21)</f>
        <v>吐尔洪</v>
      </c>
      <c r="C86" s="63" t="str">
        <f aca="false">IF($B86="","",对接源_01库存!$C21)</f>
        <v>香梨</v>
      </c>
      <c r="D86" s="63" t="str">
        <f aca="false">IF($B86="","",对接源_01库存!$D21)</f>
        <v>香梨特级</v>
      </c>
      <c r="E86" s="63" t="str">
        <f aca="false">IF($B86="","",对接源_01库存!$E21)</f>
        <v>筐</v>
      </c>
      <c r="F86" s="64" t="n">
        <f aca="false">IF($B86="","",N(对接源_01库存!$F21))</f>
        <v>868</v>
      </c>
      <c r="G86" s="65" t="n">
        <f aca="false">IF($B86="","",N(对接源_01库存!$G21))</f>
        <v>15884.4</v>
      </c>
      <c r="H86" s="130" t="n">
        <f aca="false">IF($B86="","",ROUND(N($F86)*N($I86),2))</f>
        <v>1128.4</v>
      </c>
      <c r="I86" s="136" t="n">
        <v>1.3</v>
      </c>
      <c r="J86" s="131" t="str">
        <f aca="false">IF($B86="","",对接源_01库存!$H21)</f>
        <v>偏低</v>
      </c>
      <c r="K86" s="129"/>
      <c r="L86" s="132" t="str">
        <f aca="false">IF($B86="","",IF(N($I86)=0,"← 这一行还没填单价",""))</f>
        <v/>
      </c>
    </row>
    <row r="87" customFormat="false" ht="15" hidden="false" customHeight="true" outlineLevel="0" collapsed="false">
      <c r="A87" s="63" t="n">
        <f aca="false">IF($B87="","",ROW()-68)</f>
        <v>19</v>
      </c>
      <c r="B87" s="62" t="str">
        <f aca="false">IF(对接源_01库存!$B22="","",对接源_01库存!$B22)</f>
        <v>吐尔洪</v>
      </c>
      <c r="C87" s="63" t="str">
        <f aca="false">IF($B87="","",对接源_01库存!$C22)</f>
        <v>香梨</v>
      </c>
      <c r="D87" s="63" t="str">
        <f aca="false">IF($B87="","",对接源_01库存!$D22)</f>
        <v>香梨二级</v>
      </c>
      <c r="E87" s="63" t="str">
        <f aca="false">IF($B87="","",对接源_01库存!$E22)</f>
        <v>筐</v>
      </c>
      <c r="F87" s="64" t="n">
        <f aca="false">IF($B87="","",N(对接源_01库存!$F22))</f>
        <v>676</v>
      </c>
      <c r="G87" s="65" t="n">
        <f aca="false">IF($B87="","",N(对接源_01库存!$G22))</f>
        <v>14990.8</v>
      </c>
      <c r="H87" s="130" t="n">
        <f aca="false">IF($B87="","",ROUND(N($F87)*N($I87),2))</f>
        <v>405.6</v>
      </c>
      <c r="I87" s="136" t="n">
        <v>0.6</v>
      </c>
      <c r="J87" s="131" t="str">
        <f aca="false">IF($B87="","",对接源_01库存!$H22)</f>
        <v>偏低</v>
      </c>
      <c r="K87" s="129"/>
      <c r="L87" s="132" t="str">
        <f aca="false">IF($B87="","",IF(N($I87)=0,"← 这一行还没填单价",""))</f>
        <v/>
      </c>
    </row>
    <row r="88" customFormat="false" ht="15" hidden="false" customHeight="true" outlineLevel="0" collapsed="false">
      <c r="A88" s="63" t="n">
        <f aca="false">IF($B88="","",ROW()-68)</f>
        <v>20</v>
      </c>
      <c r="B88" s="62" t="str">
        <f aca="false">IF(对接源_01库存!$B23="","",对接源_01库存!$B23)</f>
        <v>热合曼</v>
      </c>
      <c r="C88" s="63" t="str">
        <f aca="false">IF($B88="","",对接源_01库存!$C23)</f>
        <v>香梨</v>
      </c>
      <c r="D88" s="63" t="str">
        <f aca="false">IF($B88="","",对接源_01库存!$D23)</f>
        <v>香梨一级</v>
      </c>
      <c r="E88" s="63" t="str">
        <f aca="false">IF($B88="","",对接源_01库存!$E23)</f>
        <v>筐</v>
      </c>
      <c r="F88" s="64" t="n">
        <f aca="false">IF($B88="","",N(对接源_01库存!$F23))</f>
        <v>519</v>
      </c>
      <c r="G88" s="65" t="n">
        <f aca="false">IF($B88="","",N(对接源_01库存!$G23))</f>
        <v>9497.7</v>
      </c>
      <c r="H88" s="130" t="n">
        <f aca="false">IF($B88="","",ROUND(N($F88)*N($I88),2))</f>
        <v>622.8</v>
      </c>
      <c r="I88" s="136" t="n">
        <v>1.2</v>
      </c>
      <c r="J88" s="131" t="str">
        <f aca="false">IF($B88="","",对接源_01库存!$H23)</f>
        <v>偏低</v>
      </c>
      <c r="K88" s="129"/>
      <c r="L88" s="132" t="str">
        <f aca="false">IF($B88="","",IF(N($I88)=0,"← 这一行还没填单价",""))</f>
        <v/>
      </c>
    </row>
    <row r="89" customFormat="false" ht="15" hidden="false" customHeight="true" outlineLevel="0" collapsed="false">
      <c r="A89" s="63" t="n">
        <f aca="false">IF($B89="","",ROW()-68)</f>
        <v>21</v>
      </c>
      <c r="B89" s="62" t="str">
        <f aca="false">IF(对接源_01库存!$B24="","",对接源_01库存!$B24)</f>
        <v>热合曼</v>
      </c>
      <c r="C89" s="63" t="str">
        <f aca="false">IF($B89="","",对接源_01库存!$C24)</f>
        <v>香梨</v>
      </c>
      <c r="D89" s="63" t="str">
        <f aca="false">IF($B89="","",对接源_01库存!$D24)</f>
        <v>香梨二级</v>
      </c>
      <c r="E89" s="63" t="str">
        <f aca="false">IF($B89="","",对接源_01库存!$E24)</f>
        <v>筐</v>
      </c>
      <c r="F89" s="64" t="n">
        <f aca="false">IF($B89="","",N(对接源_01库存!$F24))</f>
        <v>203</v>
      </c>
      <c r="G89" s="65" t="n">
        <f aca="false">IF($B89="","",N(对接源_01库存!$G24))</f>
        <v>4526.9</v>
      </c>
      <c r="H89" s="130" t="n">
        <f aca="false">IF($B89="","",ROUND(N($F89)*N($I89),2))</f>
        <v>121.8</v>
      </c>
      <c r="I89" s="136" t="n">
        <v>0.6</v>
      </c>
      <c r="J89" s="131" t="str">
        <f aca="false">IF($B89="","",对接源_01库存!$H24)</f>
        <v>偏低</v>
      </c>
      <c r="K89" s="129"/>
      <c r="L89" s="132" t="str">
        <f aca="false">IF($B89="","",IF(N($I89)=0,"← 这一行还没填单价",""))</f>
        <v/>
      </c>
    </row>
    <row r="90" customFormat="false" ht="15" hidden="false" customHeight="true" outlineLevel="0" collapsed="false">
      <c r="A90" s="63" t="n">
        <f aca="false">IF($B90="","",ROW()-68)</f>
        <v>22</v>
      </c>
      <c r="B90" s="62" t="str">
        <f aca="false">IF(对接源_01库存!$B25="","",对接源_01库存!$B25)</f>
        <v>热合曼</v>
      </c>
      <c r="C90" s="63" t="str">
        <f aca="false">IF($B90="","",对接源_01库存!$C25)</f>
        <v>香梨</v>
      </c>
      <c r="D90" s="63" t="str">
        <f aca="false">IF($B90="","",对接源_01库存!$D25)</f>
        <v>香梨副特</v>
      </c>
      <c r="E90" s="63" t="str">
        <f aca="false">IF($B90="","",对接源_01库存!$E25)</f>
        <v>筐</v>
      </c>
      <c r="F90" s="64" t="n">
        <f aca="false">IF($B90="","",N(对接源_01库存!$F25))</f>
        <v>799</v>
      </c>
      <c r="G90" s="65" t="n">
        <f aca="false">IF($B90="","",N(对接源_01库存!$G25))</f>
        <v>15420.7</v>
      </c>
      <c r="H90" s="130" t="n">
        <f aca="false">IF($B90="","",ROUND(N($F90)*N($I90),2))</f>
        <v>559.3</v>
      </c>
      <c r="I90" s="136" t="n">
        <v>0.7</v>
      </c>
      <c r="J90" s="131" t="str">
        <f aca="false">IF($B90="","",对接源_01库存!$H25)</f>
        <v>偏低</v>
      </c>
      <c r="K90" s="129"/>
      <c r="L90" s="132" t="str">
        <f aca="false">IF($B90="","",IF(N($I90)=0,"← 这一行还没填单价",""))</f>
        <v/>
      </c>
    </row>
    <row r="91" customFormat="false" ht="15" hidden="false" customHeight="true" outlineLevel="0" collapsed="false">
      <c r="A91" s="63" t="n">
        <f aca="false">IF($B91="","",ROW()-68)</f>
        <v>23</v>
      </c>
      <c r="B91" s="62" t="str">
        <f aca="false">IF(对接源_01库存!$B26="","",对接源_01库存!$B26)</f>
        <v>贾建国</v>
      </c>
      <c r="C91" s="63" t="str">
        <f aca="false">IF($B91="","",对接源_01库存!$C26)</f>
        <v>香梨</v>
      </c>
      <c r="D91" s="63" t="str">
        <f aca="false">IF($B91="","",对接源_01库存!$D26)</f>
        <v>香梨副特</v>
      </c>
      <c r="E91" s="63" t="str">
        <f aca="false">IF($B91="","",对接源_01库存!$E26)</f>
        <v>筐</v>
      </c>
      <c r="F91" s="64" t="n">
        <f aca="false">IF($B91="","",N(对接源_01库存!$F26))</f>
        <v>911</v>
      </c>
      <c r="G91" s="65" t="n">
        <f aca="false">IF($B91="","",N(对接源_01库存!$G26))</f>
        <v>17819.1</v>
      </c>
      <c r="H91" s="130" t="n">
        <f aca="false">IF($B91="","",ROUND(N($F91)*N($I91),2))</f>
        <v>637.7</v>
      </c>
      <c r="I91" s="136" t="n">
        <v>0.7</v>
      </c>
      <c r="J91" s="131" t="str">
        <f aca="false">IF($B91="","",对接源_01库存!$H26)</f>
        <v>偏低</v>
      </c>
      <c r="K91" s="129"/>
      <c r="L91" s="132" t="str">
        <f aca="false">IF($B91="","",IF(N($I91)=0,"← 这一行还没填单价",""))</f>
        <v/>
      </c>
    </row>
    <row r="92" customFormat="false" ht="15" hidden="false" customHeight="true" outlineLevel="0" collapsed="false">
      <c r="A92" s="63" t="n">
        <f aca="false">IF($B92="","",ROW()-68)</f>
        <v>24</v>
      </c>
      <c r="B92" s="62" t="str">
        <f aca="false">IF(对接源_01库存!$B27="","",对接源_01库存!$B27)</f>
        <v>贾建国</v>
      </c>
      <c r="C92" s="63" t="str">
        <f aca="false">IF($B92="","",对接源_01库存!$C27)</f>
        <v>香梨</v>
      </c>
      <c r="D92" s="63" t="str">
        <f aca="false">IF($B92="","",对接源_01库存!$D27)</f>
        <v>香梨二级</v>
      </c>
      <c r="E92" s="63" t="str">
        <f aca="false">IF($B92="","",对接源_01库存!$E27)</f>
        <v>筐</v>
      </c>
      <c r="F92" s="64" t="n">
        <f aca="false">IF($B92="","",N(对接源_01库存!$F27))</f>
        <v>479</v>
      </c>
      <c r="G92" s="65" t="n">
        <f aca="false">IF($B92="","",N(对接源_01库存!$G27))</f>
        <v>10777.5</v>
      </c>
      <c r="H92" s="130" t="n">
        <f aca="false">IF($B92="","",ROUND(N($F92)*N($I92),2))</f>
        <v>287.4</v>
      </c>
      <c r="I92" s="136" t="n">
        <v>0.6</v>
      </c>
      <c r="J92" s="131" t="str">
        <f aca="false">IF($B92="","",对接源_01库存!$H27)</f>
        <v>偏低</v>
      </c>
      <c r="K92" s="129"/>
      <c r="L92" s="132" t="str">
        <f aca="false">IF($B92="","",IF(N($I92)=0,"← 这一行还没填单价",""))</f>
        <v/>
      </c>
    </row>
    <row r="93" customFormat="false" ht="15" hidden="false" customHeight="true" outlineLevel="0" collapsed="false">
      <c r="A93" s="63" t="n">
        <f aca="false">IF($B93="","",ROW()-68)</f>
        <v>25</v>
      </c>
      <c r="B93" s="62" t="str">
        <f aca="false">IF(对接源_01库存!$B28="","",对接源_01库存!$B28)</f>
        <v>吐尔洪</v>
      </c>
      <c r="C93" s="63" t="str">
        <f aca="false">IF($B93="","",对接源_01库存!$C28)</f>
        <v>香梨</v>
      </c>
      <c r="D93" s="63" t="str">
        <f aca="false">IF($B93="","",对接源_01库存!$D28)</f>
        <v>香梨一级</v>
      </c>
      <c r="E93" s="63" t="str">
        <f aca="false">IF($B93="","",对接源_01库存!$E28)</f>
        <v>筐</v>
      </c>
      <c r="F93" s="64" t="n">
        <f aca="false">IF($B93="","",N(对接源_01库存!$F28))</f>
        <v>288</v>
      </c>
      <c r="G93" s="65" t="n">
        <f aca="false">IF($B93="","",N(对接源_01库存!$G28))</f>
        <v>5270.4</v>
      </c>
      <c r="H93" s="130" t="n">
        <f aca="false">IF($B93="","",ROUND(N($F93)*N($I93),2))</f>
        <v>345.6</v>
      </c>
      <c r="I93" s="136" t="n">
        <v>1.2</v>
      </c>
      <c r="J93" s="131" t="str">
        <f aca="false">IF($B93="","",对接源_01库存!$H28)</f>
        <v>偏低</v>
      </c>
      <c r="K93" s="129"/>
      <c r="L93" s="132" t="str">
        <f aca="false">IF($B93="","",IF(N($I93)=0,"← 这一行还没填单价",""))</f>
        <v/>
      </c>
    </row>
    <row r="94" customFormat="false" ht="15" hidden="false" customHeight="true" outlineLevel="0" collapsed="false">
      <c r="A94" s="63" t="n">
        <f aca="false">IF($B94="","",ROW()-68)</f>
        <v>26</v>
      </c>
      <c r="B94" s="62" t="str">
        <f aca="false">IF(对接源_01库存!$B29="","",对接源_01库存!$B29)</f>
        <v>王灵云</v>
      </c>
      <c r="C94" s="63" t="str">
        <f aca="false">IF($B94="","",对接源_01库存!$C29)</f>
        <v>香梨</v>
      </c>
      <c r="D94" s="63" t="str">
        <f aca="false">IF($B94="","",对接源_01库存!$D29)</f>
        <v>香梨一级</v>
      </c>
      <c r="E94" s="63" t="str">
        <f aca="false">IF($B94="","",对接源_01库存!$E29)</f>
        <v>筐</v>
      </c>
      <c r="F94" s="64" t="n">
        <f aca="false">IF($B94="","",N(对接源_01库存!$F29))</f>
        <v>2663</v>
      </c>
      <c r="G94" s="65" t="n">
        <f aca="false">IF($B94="","",N(对接源_01库存!$G29))</f>
        <v>55760.1</v>
      </c>
      <c r="H94" s="130" t="n">
        <f aca="false">IF($B94="","",ROUND(N($F94)*N($I94),2))</f>
        <v>3195.6</v>
      </c>
      <c r="I94" s="136" t="n">
        <v>1.2</v>
      </c>
      <c r="J94" s="131" t="str">
        <f aca="false">IF($B94="","",对接源_01库存!$H29)</f>
        <v>偏低</v>
      </c>
      <c r="K94" s="129"/>
      <c r="L94" s="132" t="str">
        <f aca="false">IF($B94="","",IF(N($I94)=0,"← 这一行还没填单价",""))</f>
        <v/>
      </c>
    </row>
    <row r="95" customFormat="false" ht="15" hidden="false" customHeight="true" outlineLevel="0" collapsed="false">
      <c r="A95" s="63" t="n">
        <f aca="false">IF($B95="","",ROW()-68)</f>
        <v>27</v>
      </c>
      <c r="B95" s="62" t="str">
        <f aca="false">IF(对接源_01库存!$B30="","",对接源_01库存!$B30)</f>
        <v>王灵云</v>
      </c>
      <c r="C95" s="63" t="str">
        <f aca="false">IF($B95="","",对接源_01库存!$C30)</f>
        <v>香梨</v>
      </c>
      <c r="D95" s="63" t="str">
        <f aca="false">IF($B95="","",对接源_01库存!$D30)</f>
        <v>香梨副特</v>
      </c>
      <c r="E95" s="63" t="str">
        <f aca="false">IF($B95="","",对接源_01库存!$E30)</f>
        <v>筐</v>
      </c>
      <c r="F95" s="64" t="n">
        <f aca="false">IF($B95="","",N(对接源_01库存!$F30))</f>
        <v>592</v>
      </c>
      <c r="G95" s="65" t="n">
        <f aca="false">IF($B95="","",N(对接源_01库存!$G30))</f>
        <v>12012</v>
      </c>
      <c r="H95" s="130" t="n">
        <f aca="false">IF($B95="","",ROUND(N($F95)*N($I95),2))</f>
        <v>414.4</v>
      </c>
      <c r="I95" s="136" t="n">
        <v>0.7</v>
      </c>
      <c r="J95" s="131" t="str">
        <f aca="false">IF($B95="","",对接源_01库存!$H30)</f>
        <v>偏低</v>
      </c>
      <c r="K95" s="129"/>
      <c r="L95" s="132" t="str">
        <f aca="false">IF($B95="","",IF(N($I95)=0,"← 这一行还没填单价",""))</f>
        <v/>
      </c>
    </row>
    <row r="96" customFormat="false" ht="15" hidden="false" customHeight="true" outlineLevel="0" collapsed="false">
      <c r="A96" s="63" t="n">
        <f aca="false">IF($B96="","",ROW()-68)</f>
        <v>28</v>
      </c>
      <c r="B96" s="62" t="str">
        <f aca="false">IF(对接源_01库存!$B31="","",对接源_01库存!$B31)</f>
        <v>王灵云</v>
      </c>
      <c r="C96" s="63" t="str">
        <f aca="false">IF($B96="","",对接源_01库存!$C31)</f>
        <v>香梨</v>
      </c>
      <c r="D96" s="63" t="str">
        <f aca="false">IF($B96="","",对接源_01库存!$D31)</f>
        <v>香梨二级</v>
      </c>
      <c r="E96" s="63" t="str">
        <f aca="false">IF($B96="","",对接源_01库存!$E31)</f>
        <v>筐</v>
      </c>
      <c r="F96" s="64" t="n">
        <f aca="false">IF($B96="","",N(对接源_01库存!$F31))</f>
        <v>527</v>
      </c>
      <c r="G96" s="65" t="n">
        <f aca="false">IF($B96="","",N(对接源_01库存!$G31))</f>
        <v>11459.1</v>
      </c>
      <c r="H96" s="130" t="n">
        <f aca="false">IF($B96="","",ROUND(N($F96)*N($I96),2))</f>
        <v>316.2</v>
      </c>
      <c r="I96" s="136" t="n">
        <v>0.6</v>
      </c>
      <c r="J96" s="131" t="str">
        <f aca="false">IF($B96="","",对接源_01库存!$H31)</f>
        <v>偏低</v>
      </c>
      <c r="K96" s="129"/>
      <c r="L96" s="132" t="str">
        <f aca="false">IF($B96="","",IF(N($I96)=0,"← 这一行还没填单价",""))</f>
        <v/>
      </c>
    </row>
    <row r="97" customFormat="false" ht="15" hidden="false" customHeight="true" outlineLevel="0" collapsed="false">
      <c r="A97" s="63" t="n">
        <f aca="false">IF($B97="","",ROW()-68)</f>
        <v>29</v>
      </c>
      <c r="B97" s="62" t="str">
        <f aca="false">IF(对接源_01库存!$B32="","",对接源_01库存!$B32)</f>
        <v>杨艳玲</v>
      </c>
      <c r="C97" s="63" t="str">
        <f aca="false">IF($B97="","",对接源_01库存!$C32)</f>
        <v>香梨</v>
      </c>
      <c r="D97" s="63" t="str">
        <f aca="false">IF($B97="","",对接源_01库存!$D32)</f>
        <v>香梨玉露</v>
      </c>
      <c r="E97" s="63" t="str">
        <f aca="false">IF($B97="","",对接源_01库存!$E32)</f>
        <v>筐</v>
      </c>
      <c r="F97" s="64" t="n">
        <f aca="false">IF($B97="","",N(对接源_01库存!$F32))</f>
        <v>104</v>
      </c>
      <c r="G97" s="65" t="n">
        <f aca="false">IF($B97="","",N(对接源_01库存!$G32))</f>
        <v>1799.2</v>
      </c>
      <c r="H97" s="130" t="n">
        <f aca="false">IF($B97="","",ROUND(N($F97)*N($I97),2))</f>
        <v>208</v>
      </c>
      <c r="I97" s="136" t="n">
        <v>2</v>
      </c>
      <c r="J97" s="131" t="str">
        <f aca="false">IF($B97="","",对接源_01库存!$H32)</f>
        <v>偏低</v>
      </c>
      <c r="K97" s="129"/>
      <c r="L97" s="132" t="str">
        <f aca="false">IF($B97="","",IF(N($I97)=0,"← 这一行还没填单价",""))</f>
        <v/>
      </c>
    </row>
    <row r="98" customFormat="false" ht="15" hidden="false" customHeight="true" outlineLevel="0" collapsed="false">
      <c r="A98" s="63" t="n">
        <f aca="false">IF($B98="","",ROW()-68)</f>
        <v>30</v>
      </c>
      <c r="B98" s="62" t="str">
        <f aca="false">IF(对接源_01库存!$B33="","",对接源_01库存!$B33)</f>
        <v>荆建君</v>
      </c>
      <c r="C98" s="63" t="str">
        <f aca="false">IF($B98="","",对接源_01库存!$C33)</f>
        <v>香梨</v>
      </c>
      <c r="D98" s="63" t="str">
        <f aca="false">IF($B98="","",对接源_01库存!$D33)</f>
        <v>香梨一级</v>
      </c>
      <c r="E98" s="63" t="str">
        <f aca="false">IF($B98="","",对接源_01库存!$E33)</f>
        <v>筐</v>
      </c>
      <c r="F98" s="64" t="n">
        <f aca="false">IF($B98="","",N(对接源_01库存!$F33))</f>
        <v>1062</v>
      </c>
      <c r="G98" s="65" t="n">
        <f aca="false">IF($B98="","",N(对接源_01库存!$G33))</f>
        <v>19434.6</v>
      </c>
      <c r="H98" s="130" t="n">
        <f aca="false">IF($B98="","",ROUND(N($F98)*N($I98),2))</f>
        <v>1274.4</v>
      </c>
      <c r="I98" s="136" t="n">
        <v>1.2</v>
      </c>
      <c r="J98" s="131" t="str">
        <f aca="false">IF($B98="","",对接源_01库存!$H33)</f>
        <v>偏低</v>
      </c>
      <c r="K98" s="129"/>
      <c r="L98" s="132" t="str">
        <f aca="false">IF($B98="","",IF(N($I98)=0,"← 这一行还没填单价",""))</f>
        <v/>
      </c>
    </row>
    <row r="99" customFormat="false" ht="15" hidden="false" customHeight="true" outlineLevel="0" collapsed="false">
      <c r="A99" s="63" t="n">
        <f aca="false">IF($B99="","",ROW()-68)</f>
        <v>31</v>
      </c>
      <c r="B99" s="62" t="str">
        <f aca="false">IF(对接源_01库存!$B34="","",对接源_01库存!$B34)</f>
        <v>荆建君</v>
      </c>
      <c r="C99" s="63" t="str">
        <f aca="false">IF($B99="","",对接源_01库存!$C34)</f>
        <v>香梨</v>
      </c>
      <c r="D99" s="63" t="str">
        <f aca="false">IF($B99="","",对接源_01库存!$D34)</f>
        <v>香梨二级</v>
      </c>
      <c r="E99" s="63" t="str">
        <f aca="false">IF($B99="","",对接源_01库存!$E34)</f>
        <v>筐</v>
      </c>
      <c r="F99" s="64" t="n">
        <f aca="false">IF($B99="","",N(对接源_01库存!$F34))</f>
        <v>802</v>
      </c>
      <c r="G99" s="65" t="n">
        <f aca="false">IF($B99="","",N(对接源_01库存!$G34))</f>
        <v>14676.6</v>
      </c>
      <c r="H99" s="130" t="n">
        <f aca="false">IF($B99="","",ROUND(N($F99)*N($I99),2))</f>
        <v>481.2</v>
      </c>
      <c r="I99" s="136" t="n">
        <v>0.6</v>
      </c>
      <c r="J99" s="131" t="str">
        <f aca="false">IF($B99="","",对接源_01库存!$H34)</f>
        <v>偏低</v>
      </c>
      <c r="K99" s="129"/>
      <c r="L99" s="132" t="str">
        <f aca="false">IF($B99="","",IF(N($I99)=0,"← 这一行还没填单价",""))</f>
        <v/>
      </c>
    </row>
    <row r="100" customFormat="false" ht="15" hidden="false" customHeight="true" outlineLevel="0" collapsed="false">
      <c r="A100" s="63" t="n">
        <f aca="false">IF($B100="","",ROW()-68)</f>
        <v>32</v>
      </c>
      <c r="B100" s="62" t="str">
        <f aca="false">IF(对接源_01库存!$B35="","",对接源_01库存!$B35)</f>
        <v>王照雪</v>
      </c>
      <c r="C100" s="63" t="str">
        <f aca="false">IF($B100="","",对接源_01库存!$C35)</f>
        <v>香梨</v>
      </c>
      <c r="D100" s="63" t="str">
        <f aca="false">IF($B100="","",对接源_01库存!$D35)</f>
        <v>香梨一级</v>
      </c>
      <c r="E100" s="63" t="str">
        <f aca="false">IF($B100="","",对接源_01库存!$E35)</f>
        <v>筐</v>
      </c>
      <c r="F100" s="64" t="n">
        <f aca="false">IF($B100="","",N(对接源_01库存!$F35))</f>
        <v>401</v>
      </c>
      <c r="G100" s="65" t="n">
        <f aca="false">IF($B100="","",N(对接源_01库存!$G35))</f>
        <v>7778</v>
      </c>
      <c r="H100" s="130" t="n">
        <f aca="false">IF($B100="","",ROUND(N($F100)*N($I100),2))</f>
        <v>481.2</v>
      </c>
      <c r="I100" s="136" t="n">
        <v>1.2</v>
      </c>
      <c r="J100" s="131" t="str">
        <f aca="false">IF($B100="","",对接源_01库存!$H35)</f>
        <v>偏低</v>
      </c>
      <c r="K100" s="129"/>
      <c r="L100" s="132" t="str">
        <f aca="false">IF($B100="","",IF(N($I100)=0,"← 这一行还没填单价",""))</f>
        <v/>
      </c>
    </row>
    <row r="101" customFormat="false" ht="15" hidden="false" customHeight="true" outlineLevel="0" collapsed="false">
      <c r="A101" s="63" t="n">
        <f aca="false">IF($B101="","",ROW()-68)</f>
        <v>33</v>
      </c>
      <c r="B101" s="62" t="str">
        <f aca="false">IF(对接源_01库存!$B36="","",对接源_01库存!$B36)</f>
        <v>王照雪</v>
      </c>
      <c r="C101" s="63" t="str">
        <f aca="false">IF($B101="","",对接源_01库存!$C36)</f>
        <v>香梨</v>
      </c>
      <c r="D101" s="63" t="str">
        <f aca="false">IF($B101="","",对接源_01库存!$D36)</f>
        <v>香梨副特</v>
      </c>
      <c r="E101" s="63" t="str">
        <f aca="false">IF($B101="","",对接源_01库存!$E36)</f>
        <v>筐</v>
      </c>
      <c r="F101" s="64" t="n">
        <f aca="false">IF($B101="","",N(对接源_01库存!$F36))</f>
        <v>388</v>
      </c>
      <c r="G101" s="65" t="n">
        <f aca="false">IF($B101="","",N(对接源_01库存!$G36))</f>
        <v>7344</v>
      </c>
      <c r="H101" s="130" t="n">
        <f aca="false">IF($B101="","",ROUND(N($F101)*N($I101),2))</f>
        <v>271.6</v>
      </c>
      <c r="I101" s="136" t="n">
        <v>0.7</v>
      </c>
      <c r="J101" s="131" t="str">
        <f aca="false">IF($B101="","",对接源_01库存!$H36)</f>
        <v>偏低</v>
      </c>
      <c r="K101" s="129"/>
      <c r="L101" s="132" t="str">
        <f aca="false">IF($B101="","",IF(N($I101)=0,"← 这一行还没填单价",""))</f>
        <v/>
      </c>
    </row>
    <row r="102" customFormat="false" ht="15" hidden="false" customHeight="true" outlineLevel="0" collapsed="false">
      <c r="A102" s="63" t="n">
        <f aca="false">IF($B102="","",ROW()-68)</f>
        <v>34</v>
      </c>
      <c r="B102" s="62" t="str">
        <f aca="false">IF(对接源_01库存!$B37="","",对接源_01库存!$B37)</f>
        <v>努尔敦</v>
      </c>
      <c r="C102" s="63" t="str">
        <f aca="false">IF($B102="","",对接源_01库存!$C37)</f>
        <v>香梨</v>
      </c>
      <c r="D102" s="63" t="str">
        <f aca="false">IF($B102="","",对接源_01库存!$D37)</f>
        <v>香梨特级</v>
      </c>
      <c r="E102" s="63" t="str">
        <f aca="false">IF($B102="","",对接源_01库存!$E37)</f>
        <v>筐</v>
      </c>
      <c r="F102" s="64" t="n">
        <f aca="false">IF($B102="","",N(对接源_01库存!$F37))</f>
        <v>1194</v>
      </c>
      <c r="G102" s="65" t="n">
        <f aca="false">IF($B102="","",N(对接源_01库存!$G37))</f>
        <v>21850.2</v>
      </c>
      <c r="H102" s="130" t="n">
        <f aca="false">IF($B102="","",ROUND(N($F102)*N($I102),2))</f>
        <v>1432.8</v>
      </c>
      <c r="I102" s="136" t="n">
        <v>1.2</v>
      </c>
      <c r="J102" s="131" t="str">
        <f aca="false">IF($B102="","",对接源_01库存!$H37)</f>
        <v>偏低</v>
      </c>
      <c r="K102" s="129"/>
      <c r="L102" s="132" t="str">
        <f aca="false">IF($B102="","",IF(N($I102)=0,"← 这一行还没填单价",""))</f>
        <v/>
      </c>
    </row>
    <row r="103" customFormat="false" ht="15" hidden="false" customHeight="true" outlineLevel="0" collapsed="false">
      <c r="A103" s="63" t="n">
        <f aca="false">IF($B103="","",ROW()-68)</f>
        <v>35</v>
      </c>
      <c r="B103" s="62" t="str">
        <f aca="false">IF(对接源_01库存!$B38="","",对接源_01库存!$B38)</f>
        <v>努尔敦</v>
      </c>
      <c r="C103" s="63" t="str">
        <f aca="false">IF($B103="","",对接源_01库存!$C38)</f>
        <v>香梨</v>
      </c>
      <c r="D103" s="63" t="str">
        <f aca="false">IF($B103="","",对接源_01库存!$D38)</f>
        <v>香梨一级</v>
      </c>
      <c r="E103" s="63" t="str">
        <f aca="false">IF($B103="","",对接源_01库存!$E38)</f>
        <v>筐</v>
      </c>
      <c r="F103" s="64" t="n">
        <f aca="false">IF($B103="","",N(对接源_01库存!$F38))</f>
        <v>1177</v>
      </c>
      <c r="G103" s="65" t="n">
        <f aca="false">IF($B103="","",N(对接源_01库存!$G38))</f>
        <v>21539.1</v>
      </c>
      <c r="H103" s="130" t="n">
        <f aca="false">IF($B103="","",ROUND(N($F103)*N($I103),2))</f>
        <v>1294.7</v>
      </c>
      <c r="I103" s="136" t="n">
        <v>1.1</v>
      </c>
      <c r="J103" s="131" t="str">
        <f aca="false">IF($B103="","",对接源_01库存!$H38)</f>
        <v>偏低</v>
      </c>
      <c r="K103" s="129"/>
      <c r="L103" s="132" t="str">
        <f aca="false">IF($B103="","",IF(N($I103)=0,"← 这一行还没填单价",""))</f>
        <v/>
      </c>
    </row>
    <row r="104" customFormat="false" ht="15" hidden="false" customHeight="true" outlineLevel="0" collapsed="false">
      <c r="A104" s="63" t="n">
        <f aca="false">IF($B104="","",ROW()-68)</f>
        <v>36</v>
      </c>
      <c r="B104" s="62" t="str">
        <f aca="false">IF(对接源_01库存!$B39="","",对接源_01库存!$B39)</f>
        <v>努尔敦</v>
      </c>
      <c r="C104" s="63" t="str">
        <f aca="false">IF($B104="","",对接源_01库存!$C39)</f>
        <v>香梨</v>
      </c>
      <c r="D104" s="63" t="str">
        <f aca="false">IF($B104="","",对接源_01库存!$D39)</f>
        <v>香梨二级</v>
      </c>
      <c r="E104" s="63" t="str">
        <f aca="false">IF($B104="","",对接源_01库存!$E39)</f>
        <v>筐</v>
      </c>
      <c r="F104" s="64" t="n">
        <f aca="false">IF($B104="","",N(对接源_01库存!$F39))</f>
        <v>852</v>
      </c>
      <c r="G104" s="65" t="n">
        <f aca="false">IF($B104="","",N(对接源_01库存!$G39))</f>
        <v>18999.6</v>
      </c>
      <c r="H104" s="130" t="n">
        <f aca="false">IF($B104="","",ROUND(N($F104)*N($I104),2))</f>
        <v>596.4</v>
      </c>
      <c r="I104" s="136" t="n">
        <v>0.7</v>
      </c>
      <c r="J104" s="131" t="str">
        <f aca="false">IF($B104="","",对接源_01库存!$H39)</f>
        <v>偏低</v>
      </c>
      <c r="K104" s="129"/>
      <c r="L104" s="132" t="str">
        <f aca="false">IF($B104="","",IF(N($I104)=0,"← 这一行还没填单价",""))</f>
        <v/>
      </c>
    </row>
    <row r="105" customFormat="false" ht="15" hidden="false" customHeight="true" outlineLevel="0" collapsed="false">
      <c r="A105" s="63" t="n">
        <f aca="false">IF($B105="","",ROW()-68)</f>
        <v>37</v>
      </c>
      <c r="B105" s="62" t="str">
        <f aca="false">IF(对接源_01库存!$B40="","",对接源_01库存!$B40)</f>
        <v>王浩</v>
      </c>
      <c r="C105" s="63" t="str">
        <f aca="false">IF($B105="","",对接源_01库存!$C40)</f>
        <v>香梨</v>
      </c>
      <c r="D105" s="63" t="str">
        <f aca="false">IF($B105="","",对接源_01库存!$D40)</f>
        <v>香梨一级</v>
      </c>
      <c r="E105" s="63" t="str">
        <f aca="false">IF($B105="","",对接源_01库存!$E40)</f>
        <v>筐</v>
      </c>
      <c r="F105" s="64" t="n">
        <f aca="false">IF($B105="","",N(对接源_01库存!$F40))</f>
        <v>1177</v>
      </c>
      <c r="G105" s="65" t="n">
        <f aca="false">IF($B105="","",N(对接源_01库存!$G40))</f>
        <v>21667.2</v>
      </c>
      <c r="H105" s="130" t="n">
        <f aca="false">IF($B105="","",ROUND(N($F105)*N($I105),2))</f>
        <v>1765.5</v>
      </c>
      <c r="I105" s="136" t="n">
        <v>1.5</v>
      </c>
      <c r="J105" s="131" t="str">
        <f aca="false">IF($B105="","",对接源_01库存!$H40)</f>
        <v>偏低</v>
      </c>
      <c r="K105" s="129"/>
      <c r="L105" s="132" t="str">
        <f aca="false">IF($B105="","",IF(N($I105)=0,"← 这一行还没填单价",""))</f>
        <v/>
      </c>
    </row>
    <row r="106" customFormat="false" ht="15" hidden="false" customHeight="true" outlineLevel="0" collapsed="false">
      <c r="A106" s="63" t="n">
        <f aca="false">IF($B106="","",ROW()-68)</f>
        <v>38</v>
      </c>
      <c r="B106" s="62" t="str">
        <f aca="false">IF(对接源_01库存!$B41="","",对接源_01库存!$B41)</f>
        <v>王照雪</v>
      </c>
      <c r="C106" s="63" t="str">
        <f aca="false">IF($B106="","",对接源_01库存!$C41)</f>
        <v>香梨</v>
      </c>
      <c r="D106" s="63" t="str">
        <f aca="false">IF($B106="","",对接源_01库存!$D41)</f>
        <v>香梨二级</v>
      </c>
      <c r="E106" s="63" t="str">
        <f aca="false">IF($B106="","",对接源_01库存!$E41)</f>
        <v>筐</v>
      </c>
      <c r="F106" s="64" t="n">
        <f aca="false">IF($B106="","",N(对接源_01库存!$F41))</f>
        <v>50</v>
      </c>
      <c r="G106" s="65" t="n">
        <f aca="false">IF($B106="","",N(对接源_01库存!$G41))</f>
        <v>1125</v>
      </c>
      <c r="H106" s="130" t="n">
        <f aca="false">IF($B106="","",ROUND(N($F106)*N($I106),2))</f>
        <v>30</v>
      </c>
      <c r="I106" s="136" t="n">
        <v>0.6</v>
      </c>
      <c r="J106" s="131" t="str">
        <f aca="false">IF($B106="","",对接源_01库存!$H41)</f>
        <v>偏低</v>
      </c>
      <c r="K106" s="129"/>
      <c r="L106" s="132" t="str">
        <f aca="false">IF($B106="","",IF(N($I106)=0,"← 这一行还没填单价",""))</f>
        <v/>
      </c>
    </row>
    <row r="107" customFormat="false" ht="15" hidden="false" customHeight="true" outlineLevel="0" collapsed="false">
      <c r="A107" s="63" t="n">
        <f aca="false">IF($B107="","",ROW()-68)</f>
        <v>39</v>
      </c>
      <c r="B107" s="62" t="str">
        <f aca="false">IF(对接源_01库存!$B42="","",对接源_01库存!$B42)</f>
        <v>王照雪</v>
      </c>
      <c r="C107" s="63" t="str">
        <f aca="false">IF($B107="","",对接源_01库存!$C42)</f>
        <v>苹果</v>
      </c>
      <c r="D107" s="63" t="str">
        <f aca="false">IF($B107="","",对接源_01库存!$D42)</f>
        <v>新世纪一级</v>
      </c>
      <c r="E107" s="63" t="str">
        <f aca="false">IF($B107="","",对接源_01库存!$E42)</f>
        <v>筐</v>
      </c>
      <c r="F107" s="64" t="n">
        <f aca="false">IF($B107="","",N(对接源_01库存!$F42))</f>
        <v>182</v>
      </c>
      <c r="G107" s="65" t="n">
        <f aca="false">IF($B107="","",N(对接源_01库存!$G42))</f>
        <v>15102.9</v>
      </c>
      <c r="H107" s="130" t="n">
        <f aca="false">IF($B107="","",ROUND(N($F107)*N($I107),2))</f>
        <v>0</v>
      </c>
      <c r="I107" s="136"/>
      <c r="J107" s="131" t="str">
        <f aca="false">IF($B107="","",对接源_01库存!$H42)</f>
        <v>偏低</v>
      </c>
      <c r="K107" s="129"/>
      <c r="L107" s="132" t="str">
        <f aca="false">IF($B107="","",IF(N($I107)=0,"← 这一行还没填单价",""))</f>
        <v>← 这一行还没填单价</v>
      </c>
    </row>
    <row r="108" customFormat="false" ht="15" hidden="false" customHeight="true" outlineLevel="0" collapsed="false">
      <c r="A108" s="63" t="n">
        <f aca="false">IF($B108="","",ROW()-68)</f>
        <v>40</v>
      </c>
      <c r="B108" s="62" t="str">
        <f aca="false">IF(对接源_01库存!$B43="","",对接源_01库存!$B43)</f>
        <v>王照雪</v>
      </c>
      <c r="C108" s="63" t="str">
        <f aca="false">IF($B108="","",对接源_01库存!$C43)</f>
        <v>苹果</v>
      </c>
      <c r="D108" s="63" t="str">
        <f aca="false">IF($B108="","",对接源_01库存!$D43)</f>
        <v>新世纪二级</v>
      </c>
      <c r="E108" s="63" t="str">
        <f aca="false">IF($B108="","",对接源_01库存!$E43)</f>
        <v>筐</v>
      </c>
      <c r="F108" s="64" t="n">
        <f aca="false">IF($B108="","",N(对接源_01库存!$F43))</f>
        <v>52</v>
      </c>
      <c r="G108" s="65" t="n">
        <f aca="false">IF($B108="","",N(对接源_01库存!$G43))</f>
        <v>5084.6</v>
      </c>
      <c r="H108" s="130" t="n">
        <f aca="false">IF($B108="","",ROUND(N($F108)*N($I108),2))</f>
        <v>0</v>
      </c>
      <c r="I108" s="136"/>
      <c r="J108" s="131" t="str">
        <f aca="false">IF($B108="","",对接源_01库存!$H43)</f>
        <v>偏低</v>
      </c>
      <c r="K108" s="129"/>
      <c r="L108" s="132" t="str">
        <f aca="false">IF($B108="","",IF(N($I108)=0,"← 这一行还没填单价",""))</f>
        <v>← 这一行还没填单价</v>
      </c>
    </row>
    <row r="109" customFormat="false" ht="15" hidden="false" customHeight="true" outlineLevel="0" collapsed="false">
      <c r="A109" s="63" t="n">
        <f aca="false">IF($B109="","",ROW()-68)</f>
        <v>41</v>
      </c>
      <c r="B109" s="62" t="str">
        <f aca="false">IF(对接源_01库存!$B44="","",对接源_01库存!$B44)</f>
        <v>王照雪</v>
      </c>
      <c r="C109" s="63" t="str">
        <f aca="false">IF($B109="","",对接源_01库存!$C44)</f>
        <v>苹果</v>
      </c>
      <c r="D109" s="63" t="str">
        <f aca="false">IF($B109="","",对接源_01库存!$D44)</f>
        <v>新世纪特级</v>
      </c>
      <c r="E109" s="63" t="str">
        <f aca="false">IF($B109="","",对接源_01库存!$E44)</f>
        <v>筐</v>
      </c>
      <c r="F109" s="64" t="n">
        <f aca="false">IF($B109="","",N(对接源_01库存!$F44))</f>
        <v>0</v>
      </c>
      <c r="G109" s="65" t="n">
        <f aca="false">IF($B109="","",N(对接源_01库存!$G44))</f>
        <v>1262.9</v>
      </c>
      <c r="H109" s="130" t="n">
        <f aca="false">IF($B109="","",ROUND(N($F109)*N($I109),2))</f>
        <v>0</v>
      </c>
      <c r="I109" s="136"/>
      <c r="J109" s="131" t="str">
        <f aca="false">IF($B109="","",对接源_01库存!$H44)</f>
        <v>无库存</v>
      </c>
      <c r="K109" s="129"/>
      <c r="L109" s="132" t="str">
        <f aca="false">IF($B109="","",IF(N($I109)=0,"← 这一行还没填单价",""))</f>
        <v>← 这一行还没填单价</v>
      </c>
    </row>
    <row r="110" customFormat="false" ht="15" hidden="false" customHeight="true" outlineLevel="0" collapsed="false">
      <c r="A110" s="63" t="n">
        <f aca="false">IF($B110="","",ROW()-68)</f>
        <v>42</v>
      </c>
      <c r="B110" s="62" t="str">
        <f aca="false">IF(对接源_01库存!$B45="","",对接源_01库存!$B45)</f>
        <v>热合曼+艾则孜</v>
      </c>
      <c r="C110" s="63" t="str">
        <f aca="false">IF($B110="","",对接源_01库存!$C45)</f>
        <v>香梨</v>
      </c>
      <c r="D110" s="63" t="str">
        <f aca="false">IF($B110="","",对接源_01库存!$D45)</f>
        <v>香梨一级</v>
      </c>
      <c r="E110" s="63" t="str">
        <f aca="false">IF($B110="","",对接源_01库存!$E45)</f>
        <v>筐</v>
      </c>
      <c r="F110" s="64" t="n">
        <f aca="false">IF($B110="","",N(对接源_01库存!$F45))</f>
        <v>329</v>
      </c>
      <c r="G110" s="65" t="n">
        <f aca="false">IF($B110="","",N(对接源_01库存!$G45))</f>
        <v>6020.7</v>
      </c>
      <c r="H110" s="130" t="n">
        <f aca="false">IF($B110="","",ROUND(N($F110)*N($I110),2))</f>
        <v>394.8</v>
      </c>
      <c r="I110" s="136" t="n">
        <v>1.2</v>
      </c>
      <c r="J110" s="131" t="str">
        <f aca="false">IF($B110="","",对接源_01库存!$H45)</f>
        <v>偏低</v>
      </c>
      <c r="K110" s="129"/>
      <c r="L110" s="132" t="str">
        <f aca="false">IF($B110="","",IF(N($I110)=0,"← 这一行还没填单价",""))</f>
        <v/>
      </c>
    </row>
    <row r="111" customFormat="false" ht="15" hidden="false" customHeight="true" outlineLevel="0" collapsed="false">
      <c r="A111" s="63" t="n">
        <f aca="false">IF($B111="","",ROW()-68)</f>
        <v>43</v>
      </c>
      <c r="B111" s="62" t="str">
        <f aca="false">IF(对接源_01库存!$B46="","",对接源_01库存!$B46)</f>
        <v>热合曼+艾则孜</v>
      </c>
      <c r="C111" s="63" t="str">
        <f aca="false">IF($B111="","",对接源_01库存!$C46)</f>
        <v>香梨</v>
      </c>
      <c r="D111" s="63" t="str">
        <f aca="false">IF($B111="","",对接源_01库存!$D46)</f>
        <v>香梨二级</v>
      </c>
      <c r="E111" s="63" t="str">
        <f aca="false">IF($B111="","",对接源_01库存!$E46)</f>
        <v>筐</v>
      </c>
      <c r="F111" s="64" t="n">
        <f aca="false">IF($B111="","",N(对接源_01库存!$F46))</f>
        <v>131</v>
      </c>
      <c r="G111" s="65" t="n">
        <f aca="false">IF($B111="","",N(对接源_01库存!$G46))</f>
        <v>2921.3</v>
      </c>
      <c r="H111" s="130" t="n">
        <f aca="false">IF($B111="","",ROUND(N($F111)*N($I111),2))</f>
        <v>78.6</v>
      </c>
      <c r="I111" s="136" t="n">
        <v>0.6</v>
      </c>
      <c r="J111" s="131" t="str">
        <f aca="false">IF($B111="","",对接源_01库存!$H46)</f>
        <v>偏低</v>
      </c>
      <c r="K111" s="129"/>
      <c r="L111" s="132" t="str">
        <f aca="false">IF($B111="","",IF(N($I111)=0,"← 这一行还没填单价",""))</f>
        <v/>
      </c>
    </row>
    <row r="112" customFormat="false" ht="15" hidden="false" customHeight="true" outlineLevel="0" collapsed="false">
      <c r="A112" s="63" t="n">
        <f aca="false">IF($B112="","",ROW()-68)</f>
        <v>44</v>
      </c>
      <c r="B112" s="62" t="str">
        <f aca="false">IF(对接源_01库存!$B47="","",对接源_01库存!$B47)</f>
        <v>热合曼+艾则孜</v>
      </c>
      <c r="C112" s="63" t="str">
        <f aca="false">IF($B112="","",对接源_01库存!$C47)</f>
        <v>香梨</v>
      </c>
      <c r="D112" s="63" t="str">
        <f aca="false">IF($B112="","",对接源_01库存!$D47)</f>
        <v>香梨副特</v>
      </c>
      <c r="E112" s="63" t="str">
        <f aca="false">IF($B112="","",对接源_01库存!$E47)</f>
        <v>筐</v>
      </c>
      <c r="F112" s="64" t="n">
        <f aca="false">IF($B112="","",N(对接源_01库存!$F47))</f>
        <v>40</v>
      </c>
      <c r="G112" s="65" t="n">
        <f aca="false">IF($B112="","",N(对接源_01库存!$G47))</f>
        <v>732</v>
      </c>
      <c r="H112" s="130" t="n">
        <f aca="false">IF($B112="","",ROUND(N($F112)*N($I112),2))</f>
        <v>28</v>
      </c>
      <c r="I112" s="136" t="n">
        <v>0.7</v>
      </c>
      <c r="J112" s="131" t="str">
        <f aca="false">IF($B112="","",对接源_01库存!$H47)</f>
        <v>偏低</v>
      </c>
      <c r="K112" s="129"/>
      <c r="L112" s="132" t="str">
        <f aca="false">IF($B112="","",IF(N($I112)=0,"← 这一行还没填单价",""))</f>
        <v/>
      </c>
    </row>
    <row r="113" customFormat="false" ht="15" hidden="false" customHeight="true" outlineLevel="0" collapsed="false">
      <c r="A113" s="63" t="n">
        <f aca="false">IF($B113="","",ROW()-68)</f>
        <v>45</v>
      </c>
      <c r="B113" s="62" t="str">
        <f aca="false">IF(对接源_01库存!$B48="","",对接源_01库存!$B48)</f>
        <v>李现东</v>
      </c>
      <c r="C113" s="63" t="str">
        <f aca="false">IF($B113="","",对接源_01库存!$C48)</f>
        <v>香梨</v>
      </c>
      <c r="D113" s="63" t="str">
        <f aca="false">IF($B113="","",对接源_01库存!$D48)</f>
        <v>香梨一级</v>
      </c>
      <c r="E113" s="63" t="str">
        <f aca="false">IF($B113="","",对接源_01库存!$E48)</f>
        <v>筐</v>
      </c>
      <c r="F113" s="64" t="n">
        <f aca="false">IF($B113="","",N(对接源_01库存!$F48))</f>
        <v>310</v>
      </c>
      <c r="G113" s="65" t="n">
        <f aca="false">IF($B113="","",N(对接源_01库存!$G48))</f>
        <v>5673</v>
      </c>
      <c r="H113" s="130" t="n">
        <f aca="false">IF($B113="","",ROUND(N($F113)*N($I113),2))</f>
        <v>372</v>
      </c>
      <c r="I113" s="136" t="n">
        <v>1.2</v>
      </c>
      <c r="J113" s="131" t="str">
        <f aca="false">IF($B113="","",对接源_01库存!$H48)</f>
        <v>偏低</v>
      </c>
      <c r="K113" s="129"/>
      <c r="L113" s="132" t="str">
        <f aca="false">IF($B113="","",IF(N($I113)=0,"← 这一行还没填单价",""))</f>
        <v/>
      </c>
    </row>
    <row r="114" customFormat="false" ht="15" hidden="false" customHeight="true" outlineLevel="0" collapsed="false">
      <c r="A114" s="63" t="n">
        <f aca="false">IF($B114="","",ROW()-68)</f>
        <v>46</v>
      </c>
      <c r="B114" s="62" t="str">
        <f aca="false">IF(对接源_01库存!$B49="","",对接源_01库存!$B49)</f>
        <v>李现东</v>
      </c>
      <c r="C114" s="63" t="str">
        <f aca="false">IF($B114="","",对接源_01库存!$C49)</f>
        <v>香梨</v>
      </c>
      <c r="D114" s="63" t="str">
        <f aca="false">IF($B114="","",对接源_01库存!$D49)</f>
        <v>香梨二级</v>
      </c>
      <c r="E114" s="63" t="str">
        <f aca="false">IF($B114="","",对接源_01库存!$E49)</f>
        <v>筐</v>
      </c>
      <c r="F114" s="64" t="n">
        <f aca="false">IF($B114="","",N(对接源_01库存!$F49))</f>
        <v>103</v>
      </c>
      <c r="G114" s="65" t="n">
        <f aca="false">IF($B114="","",N(对接源_01库存!$G49))</f>
        <v>2296.9</v>
      </c>
      <c r="H114" s="130" t="n">
        <f aca="false">IF($B114="","",ROUND(N($F114)*N($I114),2))</f>
        <v>61.8</v>
      </c>
      <c r="I114" s="136" t="n">
        <v>0.6</v>
      </c>
      <c r="J114" s="131" t="str">
        <f aca="false">IF($B114="","",对接源_01库存!$H49)</f>
        <v>偏低</v>
      </c>
      <c r="K114" s="129"/>
      <c r="L114" s="132" t="str">
        <f aca="false">IF($B114="","",IF(N($I114)=0,"← 这一行还没填单价",""))</f>
        <v/>
      </c>
    </row>
    <row r="115" customFormat="false" ht="15" hidden="false" customHeight="true" outlineLevel="0" collapsed="false">
      <c r="A115" s="63" t="n">
        <f aca="false">IF($B115="","",ROW()-68)</f>
        <v>47</v>
      </c>
      <c r="B115" s="62" t="str">
        <f aca="false">IF(对接源_01库存!$B50="","",对接源_01库存!$B50)</f>
        <v>李现东</v>
      </c>
      <c r="C115" s="63" t="str">
        <f aca="false">IF($B115="","",对接源_01库存!$C50)</f>
        <v>香梨</v>
      </c>
      <c r="D115" s="63" t="str">
        <f aca="false">IF($B115="","",对接源_01库存!$D50)</f>
        <v>香梨副特</v>
      </c>
      <c r="E115" s="63" t="str">
        <f aca="false">IF($B115="","",对接源_01库存!$E50)</f>
        <v>筐</v>
      </c>
      <c r="F115" s="64" t="n">
        <f aca="false">IF($B115="","",N(对接源_01库存!$F50))</f>
        <v>56</v>
      </c>
      <c r="G115" s="65" t="n">
        <f aca="false">IF($B115="","",N(对接源_01库存!$G50))</f>
        <v>1024.8</v>
      </c>
      <c r="H115" s="130" t="n">
        <f aca="false">IF($B115="","",ROUND(N($F115)*N($I115),2))</f>
        <v>39.2</v>
      </c>
      <c r="I115" s="136" t="n">
        <v>0.7</v>
      </c>
      <c r="J115" s="131" t="str">
        <f aca="false">IF($B115="","",对接源_01库存!$H50)</f>
        <v>偏低</v>
      </c>
      <c r="K115" s="129"/>
      <c r="L115" s="132" t="str">
        <f aca="false">IF($B115="","",IF(N($I115)=0,"← 这一行还没填单价",""))</f>
        <v/>
      </c>
    </row>
    <row r="116" customFormat="false" ht="15" hidden="false" customHeight="true" outlineLevel="0" collapsed="false">
      <c r="A116" s="63" t="n">
        <f aca="false">IF($B116="","",ROW()-68)</f>
        <v>48</v>
      </c>
      <c r="B116" s="62" t="str">
        <f aca="false">IF(对接源_01库存!$B51="","",对接源_01库存!$B51)</f>
        <v>吐尔逊</v>
      </c>
      <c r="C116" s="63" t="str">
        <f aca="false">IF($B116="","",对接源_01库存!$C51)</f>
        <v>香梨</v>
      </c>
      <c r="D116" s="63" t="str">
        <f aca="false">IF($B116="","",对接源_01库存!$D51)</f>
        <v>香梨一级</v>
      </c>
      <c r="E116" s="63" t="str">
        <f aca="false">IF($B116="","",对接源_01库存!$E51)</f>
        <v>筐</v>
      </c>
      <c r="F116" s="64" t="n">
        <f aca="false">IF($B116="","",N(对接源_01库存!$F51))</f>
        <v>100</v>
      </c>
      <c r="G116" s="65" t="n">
        <f aca="false">IF($B116="","",N(对接源_01库存!$G51))</f>
        <v>1750</v>
      </c>
      <c r="H116" s="130" t="n">
        <f aca="false">IF($B116="","",ROUND(N($F116)*N($I116),2))</f>
        <v>100</v>
      </c>
      <c r="I116" s="136" t="n">
        <v>1</v>
      </c>
      <c r="J116" s="131" t="str">
        <f aca="false">IF($B116="","",对接源_01库存!$H51)</f>
        <v>偏低</v>
      </c>
      <c r="K116" s="129"/>
      <c r="L116" s="132" t="str">
        <f aca="false">IF($B116="","",IF(N($I116)=0,"← 这一行还没填单价",""))</f>
        <v/>
      </c>
    </row>
    <row r="117" customFormat="false" ht="15" hidden="false" customHeight="true" outlineLevel="0" collapsed="false">
      <c r="A117" s="63" t="n">
        <f aca="false">IF($B117="","",ROW()-68)</f>
        <v>49</v>
      </c>
      <c r="B117" s="62" t="str">
        <f aca="false">IF(对接源_01库存!$B52="","",对接源_01库存!$B52)</f>
        <v>吐尔逊</v>
      </c>
      <c r="C117" s="63" t="str">
        <f aca="false">IF($B117="","",对接源_01库存!$C52)</f>
        <v>香梨</v>
      </c>
      <c r="D117" s="63" t="str">
        <f aca="false">IF($B117="","",对接源_01库存!$D52)</f>
        <v>香梨二级</v>
      </c>
      <c r="E117" s="63" t="str">
        <f aca="false">IF($B117="","",对接源_01库存!$E52)</f>
        <v>筐</v>
      </c>
      <c r="F117" s="64" t="n">
        <f aca="false">IF($B117="","",N(对接源_01库存!$F52))</f>
        <v>100</v>
      </c>
      <c r="G117" s="65" t="n">
        <f aca="false">IF($B117="","",N(对接源_01库存!$G52))</f>
        <v>2450</v>
      </c>
      <c r="H117" s="130" t="n">
        <f aca="false">IF($B117="","",ROUND(N($F117)*N($I117),2))</f>
        <v>60</v>
      </c>
      <c r="I117" s="136" t="n">
        <v>0.6</v>
      </c>
      <c r="J117" s="131" t="str">
        <f aca="false">IF($B117="","",对接源_01库存!$H52)</f>
        <v>偏低</v>
      </c>
      <c r="K117" s="129"/>
      <c r="L117" s="132" t="str">
        <f aca="false">IF($B117="","",IF(N($I117)=0,"← 这一行还没填单价",""))</f>
        <v/>
      </c>
    </row>
    <row r="118" customFormat="false" ht="15" hidden="false" customHeight="true" outlineLevel="0" collapsed="false">
      <c r="A118" s="63" t="n">
        <f aca="false">IF($B118="","",ROW()-68)</f>
        <v>50</v>
      </c>
      <c r="B118" s="62" t="str">
        <f aca="false">IF(对接源_01库存!$B53="","",对接源_01库存!$B53)</f>
        <v>王照雪</v>
      </c>
      <c r="C118" s="63" t="str">
        <f aca="false">IF($B118="","",对接源_01库存!$C53)</f>
        <v>苹果</v>
      </c>
      <c r="D118" s="63" t="str">
        <f aca="false">IF($B118="","",对接源_01库存!$D53)</f>
        <v>玫瑰红一级</v>
      </c>
      <c r="E118" s="63" t="str">
        <f aca="false">IF($B118="","",对接源_01库存!$E53)</f>
        <v>筐</v>
      </c>
      <c r="F118" s="64" t="n">
        <f aca="false">IF($B118="","",N(对接源_01库存!$F53))</f>
        <v>0</v>
      </c>
      <c r="G118" s="65" t="n">
        <f aca="false">IF($B118="","",N(对接源_01库存!$G53))</f>
        <v>415.2</v>
      </c>
      <c r="H118" s="130" t="n">
        <f aca="false">IF($B118="","",ROUND(N($F118)*N($I118),2))</f>
        <v>0</v>
      </c>
      <c r="I118" s="136"/>
      <c r="J118" s="131" t="str">
        <f aca="false">IF($B118="","",对接源_01库存!$H53)</f>
        <v>无库存</v>
      </c>
      <c r="K118" s="129"/>
      <c r="L118" s="132" t="str">
        <f aca="false">IF($B118="","",IF(N($I118)=0,"← 这一行还没填单价",""))</f>
        <v>← 这一行还没填单价</v>
      </c>
    </row>
    <row r="119" customFormat="false" ht="15" hidden="false" customHeight="true" outlineLevel="0" collapsed="false">
      <c r="A119" s="63" t="n">
        <f aca="false">IF($B119="","",ROW()-68)</f>
        <v>51</v>
      </c>
      <c r="B119" s="62" t="str">
        <f aca="false">IF(对接源_01库存!$B54="","",对接源_01库存!$B54)</f>
        <v>阿布都</v>
      </c>
      <c r="C119" s="63" t="str">
        <f aca="false">IF($B119="","",对接源_01库存!$C54)</f>
        <v>香梨</v>
      </c>
      <c r="D119" s="63" t="str">
        <f aca="false">IF($B119="","",对接源_01库存!$D54)</f>
        <v>香梨特级</v>
      </c>
      <c r="E119" s="63" t="str">
        <f aca="false">IF($B119="","",对接源_01库存!$E54)</f>
        <v>筐</v>
      </c>
      <c r="F119" s="64" t="n">
        <f aca="false">IF($B119="","",N(对接源_01库存!$F54))</f>
        <v>118</v>
      </c>
      <c r="G119" s="65" t="n">
        <f aca="false">IF($B119="","",N(对接源_01库存!$G54))</f>
        <v>2159.4</v>
      </c>
      <c r="H119" s="130" t="n">
        <f aca="false">IF($B119="","",ROUND(N($F119)*N($I119),2))</f>
        <v>0</v>
      </c>
      <c r="I119" s="136"/>
      <c r="J119" s="131" t="str">
        <f aca="false">IF($B119="","",对接源_01库存!$H54)</f>
        <v>偏低</v>
      </c>
      <c r="K119" s="129"/>
      <c r="L119" s="132" t="str">
        <f aca="false">IF($B119="","",IF(N($I119)=0,"← 这一行还没填单价",""))</f>
        <v>← 这一行还没填单价</v>
      </c>
    </row>
    <row r="120" customFormat="false" ht="15" hidden="false" customHeight="true" outlineLevel="0" collapsed="false">
      <c r="A120" s="63" t="n">
        <f aca="false">IF($B120="","",ROW()-68)</f>
        <v>52</v>
      </c>
      <c r="B120" s="62" t="str">
        <f aca="false">IF(对接源_01库存!$B55="","",对接源_01库存!$B55)</f>
        <v>阿布都</v>
      </c>
      <c r="C120" s="63" t="str">
        <f aca="false">IF($B120="","",对接源_01库存!$C55)</f>
        <v>香梨</v>
      </c>
      <c r="D120" s="63" t="str">
        <f aca="false">IF($B120="","",对接源_01库存!$D55)</f>
        <v>香梨一级</v>
      </c>
      <c r="E120" s="63" t="str">
        <f aca="false">IF($B120="","",对接源_01库存!$E55)</f>
        <v>筐</v>
      </c>
      <c r="F120" s="64" t="n">
        <f aca="false">IF($B120="","",N(对接源_01库存!$F55))</f>
        <v>43</v>
      </c>
      <c r="G120" s="65" t="n">
        <f aca="false">IF($B120="","",N(对接源_01库存!$G55))</f>
        <v>786.9</v>
      </c>
      <c r="H120" s="130" t="n">
        <f aca="false">IF($B120="","",ROUND(N($F120)*N($I120),2))</f>
        <v>0</v>
      </c>
      <c r="I120" s="136"/>
      <c r="J120" s="131" t="str">
        <f aca="false">IF($B120="","",对接源_01库存!$H55)</f>
        <v>偏低</v>
      </c>
      <c r="K120" s="129"/>
      <c r="L120" s="132" t="str">
        <f aca="false">IF($B120="","",IF(N($I120)=0,"← 这一行还没填单价",""))</f>
        <v>← 这一行还没填单价</v>
      </c>
    </row>
    <row r="121" customFormat="false" ht="15" hidden="false" customHeight="true" outlineLevel="0" collapsed="false">
      <c r="A121" s="63" t="n">
        <f aca="false">IF($B121="","",ROW()-68)</f>
        <v>53</v>
      </c>
      <c r="B121" s="62" t="str">
        <f aca="false">IF(对接源_01库存!$B56="","",对接源_01库存!$B56)</f>
        <v>阿布都</v>
      </c>
      <c r="C121" s="63" t="str">
        <f aca="false">IF($B121="","",对接源_01库存!$C56)</f>
        <v>香梨</v>
      </c>
      <c r="D121" s="63" t="str">
        <f aca="false">IF($B121="","",对接源_01库存!$D56)</f>
        <v>香梨副特</v>
      </c>
      <c r="E121" s="63" t="str">
        <f aca="false">IF($B121="","",对接源_01库存!$E56)</f>
        <v>筐</v>
      </c>
      <c r="F121" s="64" t="n">
        <f aca="false">IF($B121="","",N(对接源_01库存!$F56))</f>
        <v>154</v>
      </c>
      <c r="G121" s="65" t="n">
        <f aca="false">IF($B121="","",N(对接源_01库存!$G56))</f>
        <v>3026.2</v>
      </c>
      <c r="H121" s="130" t="n">
        <f aca="false">IF($B121="","",ROUND(N($F121)*N($I121),2))</f>
        <v>0</v>
      </c>
      <c r="I121" s="136"/>
      <c r="J121" s="131" t="str">
        <f aca="false">IF($B121="","",对接源_01库存!$H56)</f>
        <v>偏低</v>
      </c>
      <c r="K121" s="129"/>
      <c r="L121" s="132" t="str">
        <f aca="false">IF($B121="","",IF(N($I121)=0,"← 这一行还没填单价",""))</f>
        <v>← 这一行还没填单价</v>
      </c>
    </row>
    <row r="122" customFormat="false" ht="15" hidden="false" customHeight="true" outlineLevel="0" collapsed="false">
      <c r="A122" s="63" t="n">
        <f aca="false">IF($B122="","",ROW()-68)</f>
        <v>54</v>
      </c>
      <c r="B122" s="62" t="str">
        <f aca="false">IF(对接源_01库存!$B57="","",对接源_01库存!$B57)</f>
        <v>艾则孜</v>
      </c>
      <c r="C122" s="63" t="str">
        <f aca="false">IF($B122="","",对接源_01库存!$C57)</f>
        <v>香梨</v>
      </c>
      <c r="D122" s="63" t="str">
        <f aca="false">IF($B122="","",对接源_01库存!$D57)</f>
        <v>香梨一级</v>
      </c>
      <c r="E122" s="63" t="str">
        <f aca="false">IF($B122="","",对接源_01库存!$E57)</f>
        <v>筐</v>
      </c>
      <c r="F122" s="64" t="n">
        <f aca="false">IF($B122="","",N(对接源_01库存!$F57))</f>
        <v>280</v>
      </c>
      <c r="G122" s="65" t="n">
        <f aca="false">IF($B122="","",N(对接源_01库存!$G57))</f>
        <v>5404</v>
      </c>
      <c r="H122" s="130" t="n">
        <f aca="false">IF($B122="","",ROUND(N($F122)*N($I122),2))</f>
        <v>0</v>
      </c>
      <c r="I122" s="136"/>
      <c r="J122" s="131" t="str">
        <f aca="false">IF($B122="","",对接源_01库存!$H57)</f>
        <v>偏低</v>
      </c>
      <c r="K122" s="129"/>
      <c r="L122" s="132" t="str">
        <f aca="false">IF($B122="","",IF(N($I122)=0,"← 这一行还没填单价",""))</f>
        <v>← 这一行还没填单价</v>
      </c>
    </row>
    <row r="123" customFormat="false" ht="15" hidden="false" customHeight="true" outlineLevel="0" collapsed="false">
      <c r="A123" s="63" t="n">
        <f aca="false">IF($B123="","",ROW()-68)</f>
        <v>55</v>
      </c>
      <c r="B123" s="62" t="str">
        <f aca="false">IF(对接源_01库存!$B58="","",对接源_01库存!$B58)</f>
        <v>艾则孜</v>
      </c>
      <c r="C123" s="63" t="str">
        <f aca="false">IF($B123="","",对接源_01库存!$C58)</f>
        <v>香梨</v>
      </c>
      <c r="D123" s="63" t="str">
        <f aca="false">IF($B123="","",对接源_01库存!$D58)</f>
        <v>香梨二级</v>
      </c>
      <c r="E123" s="63" t="str">
        <f aca="false">IF($B123="","",对接源_01库存!$E58)</f>
        <v>筐</v>
      </c>
      <c r="F123" s="64" t="n">
        <f aca="false">IF($B123="","",N(对接源_01库存!$F58))</f>
        <v>88</v>
      </c>
      <c r="G123" s="65" t="n">
        <f aca="false">IF($B123="","",N(对接源_01库存!$G58))</f>
        <v>1962.4</v>
      </c>
      <c r="H123" s="130" t="n">
        <f aca="false">IF($B123="","",ROUND(N($F123)*N($I123),2))</f>
        <v>0</v>
      </c>
      <c r="I123" s="136"/>
      <c r="J123" s="131" t="str">
        <f aca="false">IF($B123="","",对接源_01库存!$H58)</f>
        <v>偏低</v>
      </c>
      <c r="K123" s="129"/>
      <c r="L123" s="132" t="str">
        <f aca="false">IF($B123="","",IF(N($I123)=0,"← 这一行还没填单价",""))</f>
        <v>← 这一行还没填单价</v>
      </c>
    </row>
    <row r="124" customFormat="false" ht="15" hidden="false" customHeight="true" outlineLevel="0" collapsed="false">
      <c r="A124" s="63" t="n">
        <f aca="false">IF($B124="","",ROW()-68)</f>
        <v>56</v>
      </c>
      <c r="B124" s="62" t="str">
        <f aca="false">IF(对接源_01库存!$B59="","",对接源_01库存!$B59)</f>
        <v>艾则孜</v>
      </c>
      <c r="C124" s="63" t="str">
        <f aca="false">IF($B124="","",对接源_01库存!$C59)</f>
        <v>香梨</v>
      </c>
      <c r="D124" s="63" t="str">
        <f aca="false">IF($B124="","",对接源_01库存!$D59)</f>
        <v>香梨副特</v>
      </c>
      <c r="E124" s="63" t="str">
        <f aca="false">IF($B124="","",对接源_01库存!$E59)</f>
        <v>筐</v>
      </c>
      <c r="F124" s="64" t="n">
        <f aca="false">IF($B124="","",N(对接源_01库存!$F59))</f>
        <v>170</v>
      </c>
      <c r="G124" s="65" t="n">
        <f aca="false">IF($B124="","",N(对接源_01库存!$G59))</f>
        <v>3281</v>
      </c>
      <c r="H124" s="130" t="n">
        <f aca="false">IF($B124="","",ROUND(N($F124)*N($I124),2))</f>
        <v>0</v>
      </c>
      <c r="I124" s="136"/>
      <c r="J124" s="131" t="str">
        <f aca="false">IF($B124="","",对接源_01库存!$H59)</f>
        <v>偏低</v>
      </c>
      <c r="K124" s="129"/>
      <c r="L124" s="132" t="str">
        <f aca="false">IF($B124="","",IF(N($I124)=0,"← 这一行还没填单价",""))</f>
        <v>← 这一行还没填单价</v>
      </c>
    </row>
    <row r="125" customFormat="false" ht="15" hidden="false" customHeight="true" outlineLevel="0" collapsed="false">
      <c r="A125" s="63" t="str">
        <f aca="false">IF($B125="","",ROW()-68)</f>
        <v/>
      </c>
      <c r="B125" s="62" t="str">
        <f aca="false">IF(对接源_01库存!$B60="","",对接源_01库存!$B60)</f>
        <v/>
      </c>
      <c r="C125" s="63" t="str">
        <f aca="false">IF($B125="","",对接源_01库存!$C60)</f>
        <v/>
      </c>
      <c r="D125" s="63" t="str">
        <f aca="false">IF($B125="","",对接源_01库存!$D60)</f>
        <v/>
      </c>
      <c r="E125" s="63" t="str">
        <f aca="false">IF($B125="","",对接源_01库存!$E60)</f>
        <v/>
      </c>
      <c r="F125" s="64" t="str">
        <f aca="false">IF($B125="","",N(对接源_01库存!$F60))</f>
        <v/>
      </c>
      <c r="G125" s="65" t="str">
        <f aca="false">IF($B125="","",N(对接源_01库存!$G60))</f>
        <v/>
      </c>
      <c r="H125" s="130" t="str">
        <f aca="false">IF($B125="","",ROUND(N($F125)*N($I125),2))</f>
        <v/>
      </c>
      <c r="I125" s="136"/>
      <c r="J125" s="131" t="str">
        <f aca="false">IF($B125="","",对接源_01库存!$H60)</f>
        <v/>
      </c>
      <c r="K125" s="129"/>
      <c r="L125" s="132" t="str">
        <f aca="false">IF($B125="","",IF(N($I125)=0,"← 这一行还没填单价",""))</f>
        <v/>
      </c>
    </row>
    <row r="126" customFormat="false" ht="15" hidden="false" customHeight="true" outlineLevel="0" collapsed="false">
      <c r="A126" s="63" t="str">
        <f aca="false">IF($B126="","",ROW()-68)</f>
        <v/>
      </c>
      <c r="B126" s="62" t="str">
        <f aca="false">IF(对接源_01库存!$B61="","",对接源_01库存!$B61)</f>
        <v/>
      </c>
      <c r="C126" s="63" t="str">
        <f aca="false">IF($B126="","",对接源_01库存!$C61)</f>
        <v/>
      </c>
      <c r="D126" s="63" t="str">
        <f aca="false">IF($B126="","",对接源_01库存!$D61)</f>
        <v/>
      </c>
      <c r="E126" s="63" t="str">
        <f aca="false">IF($B126="","",对接源_01库存!$E61)</f>
        <v/>
      </c>
      <c r="F126" s="64" t="str">
        <f aca="false">IF($B126="","",N(对接源_01库存!$F61))</f>
        <v/>
      </c>
      <c r="G126" s="65" t="str">
        <f aca="false">IF($B126="","",N(对接源_01库存!$G61))</f>
        <v/>
      </c>
      <c r="H126" s="130" t="str">
        <f aca="false">IF($B126="","",ROUND(N($F126)*N($I126),2))</f>
        <v/>
      </c>
      <c r="I126" s="136"/>
      <c r="J126" s="131" t="str">
        <f aca="false">IF($B126="","",对接源_01库存!$H61)</f>
        <v/>
      </c>
      <c r="K126" s="129"/>
      <c r="L126" s="132" t="str">
        <f aca="false">IF($B126="","",IF(N($I126)=0,"← 这一行还没填单价",""))</f>
        <v/>
      </c>
    </row>
    <row r="127" customFormat="false" ht="15" hidden="false" customHeight="true" outlineLevel="0" collapsed="false">
      <c r="A127" s="63" t="str">
        <f aca="false">IF($B127="","",ROW()-68)</f>
        <v/>
      </c>
      <c r="B127" s="62" t="str">
        <f aca="false">IF(对接源_01库存!$B62="","",对接源_01库存!$B62)</f>
        <v/>
      </c>
      <c r="C127" s="63" t="str">
        <f aca="false">IF($B127="","",对接源_01库存!$C62)</f>
        <v/>
      </c>
      <c r="D127" s="63" t="str">
        <f aca="false">IF($B127="","",对接源_01库存!$D62)</f>
        <v/>
      </c>
      <c r="E127" s="63" t="str">
        <f aca="false">IF($B127="","",对接源_01库存!$E62)</f>
        <v/>
      </c>
      <c r="F127" s="64" t="str">
        <f aca="false">IF($B127="","",N(对接源_01库存!$F62))</f>
        <v/>
      </c>
      <c r="G127" s="65" t="str">
        <f aca="false">IF($B127="","",N(对接源_01库存!$G62))</f>
        <v/>
      </c>
      <c r="H127" s="130" t="str">
        <f aca="false">IF($B127="","",ROUND(N($F127)*N($I127),2))</f>
        <v/>
      </c>
      <c r="I127" s="136"/>
      <c r="J127" s="131" t="str">
        <f aca="false">IF($B127="","",对接源_01库存!$H62)</f>
        <v/>
      </c>
      <c r="K127" s="129"/>
      <c r="L127" s="132" t="str">
        <f aca="false">IF($B127="","",IF(N($I127)=0,"← 这一行还没填单价",""))</f>
        <v/>
      </c>
    </row>
    <row r="128" customFormat="false" ht="15" hidden="false" customHeight="true" outlineLevel="0" collapsed="false">
      <c r="A128" s="63" t="str">
        <f aca="false">IF($B128="","",ROW()-68)</f>
        <v/>
      </c>
      <c r="B128" s="62" t="str">
        <f aca="false">IF(对接源_01库存!$B63="","",对接源_01库存!$B63)</f>
        <v/>
      </c>
      <c r="C128" s="63" t="str">
        <f aca="false">IF($B128="","",对接源_01库存!$C63)</f>
        <v/>
      </c>
      <c r="D128" s="63" t="str">
        <f aca="false">IF($B128="","",对接源_01库存!$D63)</f>
        <v/>
      </c>
      <c r="E128" s="63" t="str">
        <f aca="false">IF($B128="","",对接源_01库存!$E63)</f>
        <v/>
      </c>
      <c r="F128" s="64" t="str">
        <f aca="false">IF($B128="","",N(对接源_01库存!$F63))</f>
        <v/>
      </c>
      <c r="G128" s="65" t="str">
        <f aca="false">IF($B128="","",N(对接源_01库存!$G63))</f>
        <v/>
      </c>
      <c r="H128" s="130" t="str">
        <f aca="false">IF($B128="","",ROUND(N($F128)*N($I128),2))</f>
        <v/>
      </c>
      <c r="I128" s="136"/>
      <c r="J128" s="131" t="str">
        <f aca="false">IF($B128="","",对接源_01库存!$H63)</f>
        <v/>
      </c>
      <c r="K128" s="129"/>
      <c r="L128" s="132" t="str">
        <f aca="false">IF($B128="","",IF(N($I128)=0,"← 这一行还没填单价",""))</f>
        <v/>
      </c>
    </row>
    <row r="129" customFormat="false" ht="15" hidden="false" customHeight="true" outlineLevel="0" collapsed="false">
      <c r="A129" s="63" t="str">
        <f aca="false">IF($B129="","",ROW()-68)</f>
        <v/>
      </c>
      <c r="B129" s="62" t="str">
        <f aca="false">IF(对接源_01库存!$B64="","",对接源_01库存!$B64)</f>
        <v/>
      </c>
      <c r="C129" s="63" t="str">
        <f aca="false">IF($B129="","",对接源_01库存!$C64)</f>
        <v/>
      </c>
      <c r="D129" s="63" t="str">
        <f aca="false">IF($B129="","",对接源_01库存!$D64)</f>
        <v/>
      </c>
      <c r="E129" s="63" t="str">
        <f aca="false">IF($B129="","",对接源_01库存!$E64)</f>
        <v/>
      </c>
      <c r="F129" s="64" t="str">
        <f aca="false">IF($B129="","",N(对接源_01库存!$F64))</f>
        <v/>
      </c>
      <c r="G129" s="65" t="str">
        <f aca="false">IF($B129="","",N(对接源_01库存!$G64))</f>
        <v/>
      </c>
      <c r="H129" s="130" t="str">
        <f aca="false">IF($B129="","",ROUND(N($F129)*N($I129),2))</f>
        <v/>
      </c>
      <c r="I129" s="136"/>
      <c r="J129" s="131" t="str">
        <f aca="false">IF($B129="","",对接源_01库存!$H64)</f>
        <v/>
      </c>
      <c r="K129" s="129"/>
      <c r="L129" s="132" t="str">
        <f aca="false">IF($B129="","",IF(N($I129)=0,"← 这一行还没填单价",""))</f>
        <v/>
      </c>
    </row>
    <row r="130" customFormat="false" ht="15" hidden="false" customHeight="true" outlineLevel="0" collapsed="false">
      <c r="A130" s="63" t="str">
        <f aca="false">IF($B130="","",ROW()-68)</f>
        <v/>
      </c>
      <c r="B130" s="62" t="str">
        <f aca="false">IF(对接源_01库存!$B65="","",对接源_01库存!$B65)</f>
        <v/>
      </c>
      <c r="C130" s="63" t="str">
        <f aca="false">IF($B130="","",对接源_01库存!$C65)</f>
        <v/>
      </c>
      <c r="D130" s="63" t="str">
        <f aca="false">IF($B130="","",对接源_01库存!$D65)</f>
        <v/>
      </c>
      <c r="E130" s="63" t="str">
        <f aca="false">IF($B130="","",对接源_01库存!$E65)</f>
        <v/>
      </c>
      <c r="F130" s="64" t="str">
        <f aca="false">IF($B130="","",N(对接源_01库存!$F65))</f>
        <v/>
      </c>
      <c r="G130" s="65" t="str">
        <f aca="false">IF($B130="","",N(对接源_01库存!$G65))</f>
        <v/>
      </c>
      <c r="H130" s="130" t="str">
        <f aca="false">IF($B130="","",ROUND(N($F130)*N($I130),2))</f>
        <v/>
      </c>
      <c r="I130" s="136"/>
      <c r="J130" s="131" t="str">
        <f aca="false">IF($B130="","",对接源_01库存!$H65)</f>
        <v/>
      </c>
      <c r="K130" s="129"/>
      <c r="L130" s="132" t="str">
        <f aca="false">IF($B130="","",IF(N($I130)=0,"← 这一行还没填单价",""))</f>
        <v/>
      </c>
    </row>
    <row r="131" customFormat="false" ht="15" hidden="false" customHeight="true" outlineLevel="0" collapsed="false">
      <c r="A131" s="63" t="str">
        <f aca="false">IF($B131="","",ROW()-68)</f>
        <v/>
      </c>
      <c r="B131" s="62" t="str">
        <f aca="false">IF(对接源_01库存!$B66="","",对接源_01库存!$B66)</f>
        <v/>
      </c>
      <c r="C131" s="63" t="str">
        <f aca="false">IF($B131="","",对接源_01库存!$C66)</f>
        <v/>
      </c>
      <c r="D131" s="63" t="str">
        <f aca="false">IF($B131="","",对接源_01库存!$D66)</f>
        <v/>
      </c>
      <c r="E131" s="63" t="str">
        <f aca="false">IF($B131="","",对接源_01库存!$E66)</f>
        <v/>
      </c>
      <c r="F131" s="64" t="str">
        <f aca="false">IF($B131="","",N(对接源_01库存!$F66))</f>
        <v/>
      </c>
      <c r="G131" s="65" t="str">
        <f aca="false">IF($B131="","",N(对接源_01库存!$G66))</f>
        <v/>
      </c>
      <c r="H131" s="130" t="str">
        <f aca="false">IF($B131="","",ROUND(N($F131)*N($I131),2))</f>
        <v/>
      </c>
      <c r="I131" s="136"/>
      <c r="J131" s="131" t="str">
        <f aca="false">IF($B131="","",对接源_01库存!$H66)</f>
        <v/>
      </c>
      <c r="K131" s="129"/>
      <c r="L131" s="132" t="str">
        <f aca="false">IF($B131="","",IF(N($I131)=0,"← 这一行还没填单价",""))</f>
        <v/>
      </c>
    </row>
    <row r="132" customFormat="false" ht="15" hidden="false" customHeight="true" outlineLevel="0" collapsed="false">
      <c r="A132" s="63" t="str">
        <f aca="false">IF($B132="","",ROW()-68)</f>
        <v/>
      </c>
      <c r="B132" s="62" t="str">
        <f aca="false">IF(对接源_01库存!$B67="","",对接源_01库存!$B67)</f>
        <v/>
      </c>
      <c r="C132" s="63" t="str">
        <f aca="false">IF($B132="","",对接源_01库存!$C67)</f>
        <v/>
      </c>
      <c r="D132" s="63" t="str">
        <f aca="false">IF($B132="","",对接源_01库存!$D67)</f>
        <v/>
      </c>
      <c r="E132" s="63" t="str">
        <f aca="false">IF($B132="","",对接源_01库存!$E67)</f>
        <v/>
      </c>
      <c r="F132" s="64" t="str">
        <f aca="false">IF($B132="","",N(对接源_01库存!$F67))</f>
        <v/>
      </c>
      <c r="G132" s="65" t="str">
        <f aca="false">IF($B132="","",N(对接源_01库存!$G67))</f>
        <v/>
      </c>
      <c r="H132" s="130" t="str">
        <f aca="false">IF($B132="","",ROUND(N($F132)*N($I132),2))</f>
        <v/>
      </c>
      <c r="I132" s="136"/>
      <c r="J132" s="131" t="str">
        <f aca="false">IF($B132="","",对接源_01库存!$H67)</f>
        <v/>
      </c>
      <c r="K132" s="129"/>
      <c r="L132" s="132" t="str">
        <f aca="false">IF($B132="","",IF(N($I132)=0,"← 这一行还没填单价",""))</f>
        <v/>
      </c>
    </row>
    <row r="133" customFormat="false" ht="15" hidden="false" customHeight="true" outlineLevel="0" collapsed="false">
      <c r="A133" s="63" t="str">
        <f aca="false">IF($B133="","",ROW()-68)</f>
        <v/>
      </c>
      <c r="B133" s="62" t="str">
        <f aca="false">IF(对接源_01库存!$B68="","",对接源_01库存!$B68)</f>
        <v/>
      </c>
      <c r="C133" s="63" t="str">
        <f aca="false">IF($B133="","",对接源_01库存!$C68)</f>
        <v/>
      </c>
      <c r="D133" s="63" t="str">
        <f aca="false">IF($B133="","",对接源_01库存!$D68)</f>
        <v/>
      </c>
      <c r="E133" s="63" t="str">
        <f aca="false">IF($B133="","",对接源_01库存!$E68)</f>
        <v/>
      </c>
      <c r="F133" s="64" t="str">
        <f aca="false">IF($B133="","",N(对接源_01库存!$F68))</f>
        <v/>
      </c>
      <c r="G133" s="65" t="str">
        <f aca="false">IF($B133="","",N(对接源_01库存!$G68))</f>
        <v/>
      </c>
      <c r="H133" s="130" t="str">
        <f aca="false">IF($B133="","",ROUND(N($F133)*N($I133),2))</f>
        <v/>
      </c>
      <c r="I133" s="136"/>
      <c r="J133" s="131" t="str">
        <f aca="false">IF($B133="","",对接源_01库存!$H68)</f>
        <v/>
      </c>
      <c r="K133" s="129"/>
      <c r="L133" s="132" t="str">
        <f aca="false">IF($B133="","",IF(N($I133)=0,"← 这一行还没填单价",""))</f>
        <v/>
      </c>
    </row>
    <row r="134" customFormat="false" ht="15" hidden="false" customHeight="true" outlineLevel="0" collapsed="false">
      <c r="A134" s="63" t="str">
        <f aca="false">IF($B134="","",ROW()-68)</f>
        <v/>
      </c>
      <c r="B134" s="62" t="str">
        <f aca="false">IF(对接源_01库存!$B69="","",对接源_01库存!$B69)</f>
        <v/>
      </c>
      <c r="C134" s="63" t="str">
        <f aca="false">IF($B134="","",对接源_01库存!$C69)</f>
        <v/>
      </c>
      <c r="D134" s="63" t="str">
        <f aca="false">IF($B134="","",对接源_01库存!$D69)</f>
        <v/>
      </c>
      <c r="E134" s="63" t="str">
        <f aca="false">IF($B134="","",对接源_01库存!$E69)</f>
        <v/>
      </c>
      <c r="F134" s="64" t="str">
        <f aca="false">IF($B134="","",N(对接源_01库存!$F69))</f>
        <v/>
      </c>
      <c r="G134" s="65" t="str">
        <f aca="false">IF($B134="","",N(对接源_01库存!$G69))</f>
        <v/>
      </c>
      <c r="H134" s="130" t="str">
        <f aca="false">IF($B134="","",ROUND(N($F134)*N($I134),2))</f>
        <v/>
      </c>
      <c r="I134" s="136"/>
      <c r="J134" s="131" t="str">
        <f aca="false">IF($B134="","",对接源_01库存!$H69)</f>
        <v/>
      </c>
      <c r="K134" s="129"/>
      <c r="L134" s="132" t="str">
        <f aca="false">IF($B134="","",IF(N($I134)=0,"← 这一行还没填单价",""))</f>
        <v/>
      </c>
    </row>
    <row r="135" customFormat="false" ht="15" hidden="false" customHeight="true" outlineLevel="0" collapsed="false">
      <c r="A135" s="63" t="str">
        <f aca="false">IF($B135="","",ROW()-68)</f>
        <v/>
      </c>
      <c r="B135" s="62" t="str">
        <f aca="false">IF(对接源_01库存!$B70="","",对接源_01库存!$B70)</f>
        <v/>
      </c>
      <c r="C135" s="63" t="str">
        <f aca="false">IF($B135="","",对接源_01库存!$C70)</f>
        <v/>
      </c>
      <c r="D135" s="63" t="str">
        <f aca="false">IF($B135="","",对接源_01库存!$D70)</f>
        <v/>
      </c>
      <c r="E135" s="63" t="str">
        <f aca="false">IF($B135="","",对接源_01库存!$E70)</f>
        <v/>
      </c>
      <c r="F135" s="64" t="str">
        <f aca="false">IF($B135="","",N(对接源_01库存!$F70))</f>
        <v/>
      </c>
      <c r="G135" s="65" t="str">
        <f aca="false">IF($B135="","",N(对接源_01库存!$G70))</f>
        <v/>
      </c>
      <c r="H135" s="130" t="str">
        <f aca="false">IF($B135="","",ROUND(N($F135)*N($I135),2))</f>
        <v/>
      </c>
      <c r="I135" s="136"/>
      <c r="J135" s="131" t="str">
        <f aca="false">IF($B135="","",对接源_01库存!$H70)</f>
        <v/>
      </c>
      <c r="K135" s="129"/>
      <c r="L135" s="132" t="str">
        <f aca="false">IF($B135="","",IF(N($I135)=0,"← 这一行还没填单价",""))</f>
        <v/>
      </c>
    </row>
    <row r="136" customFormat="false" ht="15" hidden="false" customHeight="true" outlineLevel="0" collapsed="false">
      <c r="A136" s="63" t="str">
        <f aca="false">IF($B136="","",ROW()-68)</f>
        <v/>
      </c>
      <c r="B136" s="62" t="str">
        <f aca="false">IF(对接源_01库存!$B71="","",对接源_01库存!$B71)</f>
        <v/>
      </c>
      <c r="C136" s="63" t="str">
        <f aca="false">IF($B136="","",对接源_01库存!$C71)</f>
        <v/>
      </c>
      <c r="D136" s="63" t="str">
        <f aca="false">IF($B136="","",对接源_01库存!$D71)</f>
        <v/>
      </c>
      <c r="E136" s="63" t="str">
        <f aca="false">IF($B136="","",对接源_01库存!$E71)</f>
        <v/>
      </c>
      <c r="F136" s="64" t="str">
        <f aca="false">IF($B136="","",N(对接源_01库存!$F71))</f>
        <v/>
      </c>
      <c r="G136" s="65" t="str">
        <f aca="false">IF($B136="","",N(对接源_01库存!$G71))</f>
        <v/>
      </c>
      <c r="H136" s="130" t="str">
        <f aca="false">IF($B136="","",ROUND(N($F136)*N($I136),2))</f>
        <v/>
      </c>
      <c r="I136" s="136"/>
      <c r="J136" s="131" t="str">
        <f aca="false">IF($B136="","",对接源_01库存!$H71)</f>
        <v/>
      </c>
      <c r="K136" s="129"/>
      <c r="L136" s="132" t="str">
        <f aca="false">IF($B136="","",IF(N($I136)=0,"← 这一行还没填单价",""))</f>
        <v/>
      </c>
    </row>
    <row r="137" customFormat="false" ht="15" hidden="false" customHeight="true" outlineLevel="0" collapsed="false">
      <c r="A137" s="63" t="str">
        <f aca="false">IF($B137="","",ROW()-68)</f>
        <v/>
      </c>
      <c r="B137" s="62" t="str">
        <f aca="false">IF(对接源_01库存!$B72="","",对接源_01库存!$B72)</f>
        <v/>
      </c>
      <c r="C137" s="63" t="str">
        <f aca="false">IF($B137="","",对接源_01库存!$C72)</f>
        <v/>
      </c>
      <c r="D137" s="63" t="str">
        <f aca="false">IF($B137="","",对接源_01库存!$D72)</f>
        <v/>
      </c>
      <c r="E137" s="63" t="str">
        <f aca="false">IF($B137="","",对接源_01库存!$E72)</f>
        <v/>
      </c>
      <c r="F137" s="64" t="str">
        <f aca="false">IF($B137="","",N(对接源_01库存!$F72))</f>
        <v/>
      </c>
      <c r="G137" s="65" t="str">
        <f aca="false">IF($B137="","",N(对接源_01库存!$G72))</f>
        <v/>
      </c>
      <c r="H137" s="130" t="str">
        <f aca="false">IF($B137="","",ROUND(N($F137)*N($I137),2))</f>
        <v/>
      </c>
      <c r="I137" s="136"/>
      <c r="J137" s="131" t="str">
        <f aca="false">IF($B137="","",对接源_01库存!$H72)</f>
        <v/>
      </c>
      <c r="K137" s="129"/>
      <c r="L137" s="132" t="str">
        <f aca="false">IF($B137="","",IF(N($I137)=0,"← 这一行还没填单价",""))</f>
        <v/>
      </c>
    </row>
    <row r="138" customFormat="false" ht="15" hidden="false" customHeight="true" outlineLevel="0" collapsed="false">
      <c r="A138" s="63" t="str">
        <f aca="false">IF($B138="","",ROW()-68)</f>
        <v/>
      </c>
      <c r="B138" s="62" t="str">
        <f aca="false">IF(对接源_01库存!$B73="","",对接源_01库存!$B73)</f>
        <v/>
      </c>
      <c r="C138" s="63" t="str">
        <f aca="false">IF($B138="","",对接源_01库存!$C73)</f>
        <v/>
      </c>
      <c r="D138" s="63" t="str">
        <f aca="false">IF($B138="","",对接源_01库存!$D73)</f>
        <v/>
      </c>
      <c r="E138" s="63" t="str">
        <f aca="false">IF($B138="","",对接源_01库存!$E73)</f>
        <v/>
      </c>
      <c r="F138" s="64" t="str">
        <f aca="false">IF($B138="","",N(对接源_01库存!$F73))</f>
        <v/>
      </c>
      <c r="G138" s="65" t="str">
        <f aca="false">IF($B138="","",N(对接源_01库存!$G73))</f>
        <v/>
      </c>
      <c r="H138" s="130" t="str">
        <f aca="false">IF($B138="","",ROUND(N($F138)*N($I138),2))</f>
        <v/>
      </c>
      <c r="I138" s="136"/>
      <c r="J138" s="131" t="str">
        <f aca="false">IF($B138="","",对接源_01库存!$H73)</f>
        <v/>
      </c>
      <c r="K138" s="129"/>
      <c r="L138" s="132" t="str">
        <f aca="false">IF($B138="","",IF(N($I138)=0,"← 这一行还没填单价",""))</f>
        <v/>
      </c>
    </row>
    <row r="139" customFormat="false" ht="15" hidden="false" customHeight="true" outlineLevel="0" collapsed="false">
      <c r="A139" s="63" t="str">
        <f aca="false">IF($B139="","",ROW()-68)</f>
        <v/>
      </c>
      <c r="B139" s="62" t="str">
        <f aca="false">IF(对接源_01库存!$B74="","",对接源_01库存!$B74)</f>
        <v/>
      </c>
      <c r="C139" s="63" t="str">
        <f aca="false">IF($B139="","",对接源_01库存!$C74)</f>
        <v/>
      </c>
      <c r="D139" s="63" t="str">
        <f aca="false">IF($B139="","",对接源_01库存!$D74)</f>
        <v/>
      </c>
      <c r="E139" s="63" t="str">
        <f aca="false">IF($B139="","",对接源_01库存!$E74)</f>
        <v/>
      </c>
      <c r="F139" s="64" t="str">
        <f aca="false">IF($B139="","",N(对接源_01库存!$F74))</f>
        <v/>
      </c>
      <c r="G139" s="65" t="str">
        <f aca="false">IF($B139="","",N(对接源_01库存!$G74))</f>
        <v/>
      </c>
      <c r="H139" s="130" t="str">
        <f aca="false">IF($B139="","",ROUND(N($F139)*N($I139),2))</f>
        <v/>
      </c>
      <c r="I139" s="136"/>
      <c r="J139" s="131" t="str">
        <f aca="false">IF($B139="","",对接源_01库存!$H74)</f>
        <v/>
      </c>
      <c r="K139" s="129"/>
      <c r="L139" s="132" t="str">
        <f aca="false">IF($B139="","",IF(N($I139)=0,"← 这一行还没填单价",""))</f>
        <v/>
      </c>
    </row>
    <row r="140" customFormat="false" ht="15" hidden="false" customHeight="true" outlineLevel="0" collapsed="false">
      <c r="A140" s="63" t="str">
        <f aca="false">IF($B140="","",ROW()-68)</f>
        <v/>
      </c>
      <c r="B140" s="62" t="str">
        <f aca="false">IF(对接源_01库存!$B75="","",对接源_01库存!$B75)</f>
        <v/>
      </c>
      <c r="C140" s="63" t="str">
        <f aca="false">IF($B140="","",对接源_01库存!$C75)</f>
        <v/>
      </c>
      <c r="D140" s="63" t="str">
        <f aca="false">IF($B140="","",对接源_01库存!$D75)</f>
        <v/>
      </c>
      <c r="E140" s="63" t="str">
        <f aca="false">IF($B140="","",对接源_01库存!$E75)</f>
        <v/>
      </c>
      <c r="F140" s="64" t="str">
        <f aca="false">IF($B140="","",N(对接源_01库存!$F75))</f>
        <v/>
      </c>
      <c r="G140" s="65" t="str">
        <f aca="false">IF($B140="","",N(对接源_01库存!$G75))</f>
        <v/>
      </c>
      <c r="H140" s="130" t="str">
        <f aca="false">IF($B140="","",ROUND(N($F140)*N($I140),2))</f>
        <v/>
      </c>
      <c r="I140" s="136"/>
      <c r="J140" s="131" t="str">
        <f aca="false">IF($B140="","",对接源_01库存!$H75)</f>
        <v/>
      </c>
      <c r="K140" s="129"/>
      <c r="L140" s="132" t="str">
        <f aca="false">IF($B140="","",IF(N($I140)=0,"← 这一行还没填单价",""))</f>
        <v/>
      </c>
    </row>
    <row r="141" customFormat="false" ht="15" hidden="false" customHeight="true" outlineLevel="0" collapsed="false">
      <c r="A141" s="63" t="str">
        <f aca="false">IF($B141="","",ROW()-68)</f>
        <v/>
      </c>
      <c r="B141" s="62" t="str">
        <f aca="false">IF(对接源_01库存!$B76="","",对接源_01库存!$B76)</f>
        <v/>
      </c>
      <c r="C141" s="63" t="str">
        <f aca="false">IF($B141="","",对接源_01库存!$C76)</f>
        <v/>
      </c>
      <c r="D141" s="63" t="str">
        <f aca="false">IF($B141="","",对接源_01库存!$D76)</f>
        <v/>
      </c>
      <c r="E141" s="63" t="str">
        <f aca="false">IF($B141="","",对接源_01库存!$E76)</f>
        <v/>
      </c>
      <c r="F141" s="64" t="str">
        <f aca="false">IF($B141="","",N(对接源_01库存!$F76))</f>
        <v/>
      </c>
      <c r="G141" s="65" t="str">
        <f aca="false">IF($B141="","",N(对接源_01库存!$G76))</f>
        <v/>
      </c>
      <c r="H141" s="130" t="str">
        <f aca="false">IF($B141="","",ROUND(N($F141)*N($I141),2))</f>
        <v/>
      </c>
      <c r="I141" s="136"/>
      <c r="J141" s="131" t="str">
        <f aca="false">IF($B141="","",对接源_01库存!$H76)</f>
        <v/>
      </c>
      <c r="K141" s="129"/>
      <c r="L141" s="132" t="str">
        <f aca="false">IF($B141="","",IF(N($I141)=0,"← 这一行还没填单价",""))</f>
        <v/>
      </c>
    </row>
    <row r="142" customFormat="false" ht="15" hidden="false" customHeight="true" outlineLevel="0" collapsed="false">
      <c r="A142" s="63" t="str">
        <f aca="false">IF($B142="","",ROW()-68)</f>
        <v/>
      </c>
      <c r="B142" s="62" t="str">
        <f aca="false">IF(对接源_01库存!$B77="","",对接源_01库存!$B77)</f>
        <v/>
      </c>
      <c r="C142" s="63" t="str">
        <f aca="false">IF($B142="","",对接源_01库存!$C77)</f>
        <v/>
      </c>
      <c r="D142" s="63" t="str">
        <f aca="false">IF($B142="","",对接源_01库存!$D77)</f>
        <v/>
      </c>
      <c r="E142" s="63" t="str">
        <f aca="false">IF($B142="","",对接源_01库存!$E77)</f>
        <v/>
      </c>
      <c r="F142" s="64" t="str">
        <f aca="false">IF($B142="","",N(对接源_01库存!$F77))</f>
        <v/>
      </c>
      <c r="G142" s="65" t="str">
        <f aca="false">IF($B142="","",N(对接源_01库存!$G77))</f>
        <v/>
      </c>
      <c r="H142" s="130" t="str">
        <f aca="false">IF($B142="","",ROUND(N($F142)*N($I142),2))</f>
        <v/>
      </c>
      <c r="I142" s="136"/>
      <c r="J142" s="131" t="str">
        <f aca="false">IF($B142="","",对接源_01库存!$H77)</f>
        <v/>
      </c>
      <c r="K142" s="129"/>
      <c r="L142" s="132" t="str">
        <f aca="false">IF($B142="","",IF(N($I142)=0,"← 这一行还没填单价",""))</f>
        <v/>
      </c>
    </row>
    <row r="143" customFormat="false" ht="15" hidden="false" customHeight="true" outlineLevel="0" collapsed="false">
      <c r="A143" s="63" t="str">
        <f aca="false">IF($B143="","",ROW()-68)</f>
        <v/>
      </c>
      <c r="B143" s="62" t="str">
        <f aca="false">IF(对接源_01库存!$B78="","",对接源_01库存!$B78)</f>
        <v/>
      </c>
      <c r="C143" s="63" t="str">
        <f aca="false">IF($B143="","",对接源_01库存!$C78)</f>
        <v/>
      </c>
      <c r="D143" s="63" t="str">
        <f aca="false">IF($B143="","",对接源_01库存!$D78)</f>
        <v/>
      </c>
      <c r="E143" s="63" t="str">
        <f aca="false">IF($B143="","",对接源_01库存!$E78)</f>
        <v/>
      </c>
      <c r="F143" s="64" t="str">
        <f aca="false">IF($B143="","",N(对接源_01库存!$F78))</f>
        <v/>
      </c>
      <c r="G143" s="65" t="str">
        <f aca="false">IF($B143="","",N(对接源_01库存!$G78))</f>
        <v/>
      </c>
      <c r="H143" s="130" t="str">
        <f aca="false">IF($B143="","",ROUND(N($F143)*N($I143),2))</f>
        <v/>
      </c>
      <c r="I143" s="136"/>
      <c r="J143" s="131" t="str">
        <f aca="false">IF($B143="","",对接源_01库存!$H78)</f>
        <v/>
      </c>
      <c r="K143" s="129"/>
      <c r="L143" s="132" t="str">
        <f aca="false">IF($B143="","",IF(N($I143)=0,"← 这一行还没填单价",""))</f>
        <v/>
      </c>
    </row>
    <row r="144" customFormat="false" ht="15" hidden="false" customHeight="true" outlineLevel="0" collapsed="false">
      <c r="A144" s="63" t="str">
        <f aca="false">IF($B144="","",ROW()-68)</f>
        <v/>
      </c>
      <c r="B144" s="62" t="str">
        <f aca="false">IF(对接源_01库存!$B79="","",对接源_01库存!$B79)</f>
        <v/>
      </c>
      <c r="C144" s="63" t="str">
        <f aca="false">IF($B144="","",对接源_01库存!$C79)</f>
        <v/>
      </c>
      <c r="D144" s="63" t="str">
        <f aca="false">IF($B144="","",对接源_01库存!$D79)</f>
        <v/>
      </c>
      <c r="E144" s="63" t="str">
        <f aca="false">IF($B144="","",对接源_01库存!$E79)</f>
        <v/>
      </c>
      <c r="F144" s="64" t="str">
        <f aca="false">IF($B144="","",N(对接源_01库存!$F79))</f>
        <v/>
      </c>
      <c r="G144" s="65" t="str">
        <f aca="false">IF($B144="","",N(对接源_01库存!$G79))</f>
        <v/>
      </c>
      <c r="H144" s="130" t="str">
        <f aca="false">IF($B144="","",ROUND(N($F144)*N($I144),2))</f>
        <v/>
      </c>
      <c r="I144" s="136"/>
      <c r="J144" s="131" t="str">
        <f aca="false">IF($B144="","",对接源_01库存!$H79)</f>
        <v/>
      </c>
      <c r="K144" s="129"/>
      <c r="L144" s="132" t="str">
        <f aca="false">IF($B144="","",IF(N($I144)=0,"← 这一行还没填单价",""))</f>
        <v/>
      </c>
    </row>
    <row r="145" customFormat="false" ht="15" hidden="false" customHeight="true" outlineLevel="0" collapsed="false">
      <c r="A145" s="63" t="str">
        <f aca="false">IF($B145="","",ROW()-68)</f>
        <v/>
      </c>
      <c r="B145" s="62" t="str">
        <f aca="false">IF(对接源_01库存!$B80="","",对接源_01库存!$B80)</f>
        <v/>
      </c>
      <c r="C145" s="63" t="str">
        <f aca="false">IF($B145="","",对接源_01库存!$C80)</f>
        <v/>
      </c>
      <c r="D145" s="63" t="str">
        <f aca="false">IF($B145="","",对接源_01库存!$D80)</f>
        <v/>
      </c>
      <c r="E145" s="63" t="str">
        <f aca="false">IF($B145="","",对接源_01库存!$E80)</f>
        <v/>
      </c>
      <c r="F145" s="64" t="str">
        <f aca="false">IF($B145="","",N(对接源_01库存!$F80))</f>
        <v/>
      </c>
      <c r="G145" s="65" t="str">
        <f aca="false">IF($B145="","",N(对接源_01库存!$G80))</f>
        <v/>
      </c>
      <c r="H145" s="130" t="str">
        <f aca="false">IF($B145="","",ROUND(N($F145)*N($I145),2))</f>
        <v/>
      </c>
      <c r="I145" s="136"/>
      <c r="J145" s="131" t="str">
        <f aca="false">IF($B145="","",对接源_01库存!$H80)</f>
        <v/>
      </c>
      <c r="K145" s="129"/>
      <c r="L145" s="132" t="str">
        <f aca="false">IF($B145="","",IF(N($I145)=0,"← 这一行还没填单价",""))</f>
        <v/>
      </c>
    </row>
    <row r="146" customFormat="false" ht="15" hidden="false" customHeight="true" outlineLevel="0" collapsed="false">
      <c r="A146" s="63" t="str">
        <f aca="false">IF($B146="","",ROW()-68)</f>
        <v/>
      </c>
      <c r="B146" s="62" t="str">
        <f aca="false">IF(对接源_01库存!$B81="","",对接源_01库存!$B81)</f>
        <v/>
      </c>
      <c r="C146" s="63" t="str">
        <f aca="false">IF($B146="","",对接源_01库存!$C81)</f>
        <v/>
      </c>
      <c r="D146" s="63" t="str">
        <f aca="false">IF($B146="","",对接源_01库存!$D81)</f>
        <v/>
      </c>
      <c r="E146" s="63" t="str">
        <f aca="false">IF($B146="","",对接源_01库存!$E81)</f>
        <v/>
      </c>
      <c r="F146" s="64" t="str">
        <f aca="false">IF($B146="","",N(对接源_01库存!$F81))</f>
        <v/>
      </c>
      <c r="G146" s="65" t="str">
        <f aca="false">IF($B146="","",N(对接源_01库存!$G81))</f>
        <v/>
      </c>
      <c r="H146" s="130" t="str">
        <f aca="false">IF($B146="","",ROUND(N($F146)*N($I146),2))</f>
        <v/>
      </c>
      <c r="I146" s="136"/>
      <c r="J146" s="131" t="str">
        <f aca="false">IF($B146="","",对接源_01库存!$H81)</f>
        <v/>
      </c>
      <c r="K146" s="129"/>
      <c r="L146" s="132" t="str">
        <f aca="false">IF($B146="","",IF(N($I146)=0,"← 这一行还没填单价",""))</f>
        <v/>
      </c>
    </row>
    <row r="147" customFormat="false" ht="15" hidden="false" customHeight="true" outlineLevel="0" collapsed="false">
      <c r="A147" s="63" t="str">
        <f aca="false">IF($B147="","",ROW()-68)</f>
        <v/>
      </c>
      <c r="B147" s="62" t="str">
        <f aca="false">IF(对接源_01库存!$B82="","",对接源_01库存!$B82)</f>
        <v/>
      </c>
      <c r="C147" s="63" t="str">
        <f aca="false">IF($B147="","",对接源_01库存!$C82)</f>
        <v/>
      </c>
      <c r="D147" s="63" t="str">
        <f aca="false">IF($B147="","",对接源_01库存!$D82)</f>
        <v/>
      </c>
      <c r="E147" s="63" t="str">
        <f aca="false">IF($B147="","",对接源_01库存!$E82)</f>
        <v/>
      </c>
      <c r="F147" s="64" t="str">
        <f aca="false">IF($B147="","",N(对接源_01库存!$F82))</f>
        <v/>
      </c>
      <c r="G147" s="65" t="str">
        <f aca="false">IF($B147="","",N(对接源_01库存!$G82))</f>
        <v/>
      </c>
      <c r="H147" s="130" t="str">
        <f aca="false">IF($B147="","",ROUND(N($F147)*N($I147),2))</f>
        <v/>
      </c>
      <c r="I147" s="136"/>
      <c r="J147" s="131" t="str">
        <f aca="false">IF($B147="","",对接源_01库存!$H82)</f>
        <v/>
      </c>
      <c r="K147" s="129"/>
      <c r="L147" s="132" t="str">
        <f aca="false">IF($B147="","",IF(N($I147)=0,"← 这一行还没填单价",""))</f>
        <v/>
      </c>
    </row>
    <row r="148" customFormat="false" ht="15" hidden="false" customHeight="true" outlineLevel="0" collapsed="false">
      <c r="A148" s="63" t="str">
        <f aca="false">IF($B148="","",ROW()-68)</f>
        <v/>
      </c>
      <c r="B148" s="62" t="str">
        <f aca="false">IF(对接源_01库存!$B83="","",对接源_01库存!$B83)</f>
        <v/>
      </c>
      <c r="C148" s="63" t="str">
        <f aca="false">IF($B148="","",对接源_01库存!$C83)</f>
        <v/>
      </c>
      <c r="D148" s="63" t="str">
        <f aca="false">IF($B148="","",对接源_01库存!$D83)</f>
        <v/>
      </c>
      <c r="E148" s="63" t="str">
        <f aca="false">IF($B148="","",对接源_01库存!$E83)</f>
        <v/>
      </c>
      <c r="F148" s="64" t="str">
        <f aca="false">IF($B148="","",N(对接源_01库存!$F83))</f>
        <v/>
      </c>
      <c r="G148" s="65" t="str">
        <f aca="false">IF($B148="","",N(对接源_01库存!$G83))</f>
        <v/>
      </c>
      <c r="H148" s="130" t="str">
        <f aca="false">IF($B148="","",ROUND(N($F148)*N($I148),2))</f>
        <v/>
      </c>
      <c r="I148" s="136"/>
      <c r="J148" s="131" t="str">
        <f aca="false">IF($B148="","",对接源_01库存!$H83)</f>
        <v/>
      </c>
      <c r="K148" s="129"/>
      <c r="L148" s="132" t="str">
        <f aca="false">IF($B148="","",IF(N($I148)=0,"← 这一行还没填单价",""))</f>
        <v/>
      </c>
    </row>
    <row r="149" customFormat="false" ht="15" hidden="false" customHeight="true" outlineLevel="0" collapsed="false">
      <c r="A149" s="63" t="str">
        <f aca="false">IF($B149="","",ROW()-68)</f>
        <v/>
      </c>
      <c r="B149" s="62" t="str">
        <f aca="false">IF(对接源_01库存!$B84="","",对接源_01库存!$B84)</f>
        <v/>
      </c>
      <c r="C149" s="63" t="str">
        <f aca="false">IF($B149="","",对接源_01库存!$C84)</f>
        <v/>
      </c>
      <c r="D149" s="63" t="str">
        <f aca="false">IF($B149="","",对接源_01库存!$D84)</f>
        <v/>
      </c>
      <c r="E149" s="63" t="str">
        <f aca="false">IF($B149="","",对接源_01库存!$E84)</f>
        <v/>
      </c>
      <c r="F149" s="64" t="str">
        <f aca="false">IF($B149="","",N(对接源_01库存!$F84))</f>
        <v/>
      </c>
      <c r="G149" s="65" t="str">
        <f aca="false">IF($B149="","",N(对接源_01库存!$G84))</f>
        <v/>
      </c>
      <c r="H149" s="130" t="str">
        <f aca="false">IF($B149="","",ROUND(N($F149)*N($I149),2))</f>
        <v/>
      </c>
      <c r="I149" s="136"/>
      <c r="J149" s="131" t="str">
        <f aca="false">IF($B149="","",对接源_01库存!$H84)</f>
        <v/>
      </c>
      <c r="K149" s="129"/>
      <c r="L149" s="132" t="str">
        <f aca="false">IF($B149="","",IF(N($I149)=0,"← 这一行还没填单价",""))</f>
        <v/>
      </c>
    </row>
    <row r="150" customFormat="false" ht="15" hidden="false" customHeight="true" outlineLevel="0" collapsed="false">
      <c r="A150" s="63" t="str">
        <f aca="false">IF($B150="","",ROW()-68)</f>
        <v/>
      </c>
      <c r="B150" s="62" t="str">
        <f aca="false">IF(对接源_01库存!$B85="","",对接源_01库存!$B85)</f>
        <v/>
      </c>
      <c r="C150" s="63" t="str">
        <f aca="false">IF($B150="","",对接源_01库存!$C85)</f>
        <v/>
      </c>
      <c r="D150" s="63" t="str">
        <f aca="false">IF($B150="","",对接源_01库存!$D85)</f>
        <v/>
      </c>
      <c r="E150" s="63" t="str">
        <f aca="false">IF($B150="","",对接源_01库存!$E85)</f>
        <v/>
      </c>
      <c r="F150" s="64" t="str">
        <f aca="false">IF($B150="","",N(对接源_01库存!$F85))</f>
        <v/>
      </c>
      <c r="G150" s="65" t="str">
        <f aca="false">IF($B150="","",N(对接源_01库存!$G85))</f>
        <v/>
      </c>
      <c r="H150" s="130" t="str">
        <f aca="false">IF($B150="","",ROUND(N($F150)*N($I150),2))</f>
        <v/>
      </c>
      <c r="I150" s="136"/>
      <c r="J150" s="131" t="str">
        <f aca="false">IF($B150="","",对接源_01库存!$H85)</f>
        <v/>
      </c>
      <c r="K150" s="129"/>
      <c r="L150" s="132" t="str">
        <f aca="false">IF($B150="","",IF(N($I150)=0,"← 这一行还没填单价",""))</f>
        <v/>
      </c>
    </row>
    <row r="151" customFormat="false" ht="15" hidden="false" customHeight="true" outlineLevel="0" collapsed="false">
      <c r="A151" s="63" t="str">
        <f aca="false">IF($B151="","",ROW()-68)</f>
        <v/>
      </c>
      <c r="B151" s="62" t="str">
        <f aca="false">IF(对接源_01库存!$B86="","",对接源_01库存!$B86)</f>
        <v/>
      </c>
      <c r="C151" s="63" t="str">
        <f aca="false">IF($B151="","",对接源_01库存!$C86)</f>
        <v/>
      </c>
      <c r="D151" s="63" t="str">
        <f aca="false">IF($B151="","",对接源_01库存!$D86)</f>
        <v/>
      </c>
      <c r="E151" s="63" t="str">
        <f aca="false">IF($B151="","",对接源_01库存!$E86)</f>
        <v/>
      </c>
      <c r="F151" s="64" t="str">
        <f aca="false">IF($B151="","",N(对接源_01库存!$F86))</f>
        <v/>
      </c>
      <c r="G151" s="65" t="str">
        <f aca="false">IF($B151="","",N(对接源_01库存!$G86))</f>
        <v/>
      </c>
      <c r="H151" s="130" t="str">
        <f aca="false">IF($B151="","",ROUND(N($F151)*N($I151),2))</f>
        <v/>
      </c>
      <c r="I151" s="136"/>
      <c r="J151" s="131" t="str">
        <f aca="false">IF($B151="","",对接源_01库存!$H86)</f>
        <v/>
      </c>
      <c r="K151" s="129"/>
      <c r="L151" s="132" t="str">
        <f aca="false">IF($B151="","",IF(N($I151)=0,"← 这一行还没填单价",""))</f>
        <v/>
      </c>
    </row>
    <row r="152" customFormat="false" ht="15" hidden="false" customHeight="true" outlineLevel="0" collapsed="false">
      <c r="A152" s="63" t="str">
        <f aca="false">IF($B152="","",ROW()-68)</f>
        <v/>
      </c>
      <c r="B152" s="62" t="str">
        <f aca="false">IF(对接源_01库存!$B87="","",对接源_01库存!$B87)</f>
        <v/>
      </c>
      <c r="C152" s="63" t="str">
        <f aca="false">IF($B152="","",对接源_01库存!$C87)</f>
        <v/>
      </c>
      <c r="D152" s="63" t="str">
        <f aca="false">IF($B152="","",对接源_01库存!$D87)</f>
        <v/>
      </c>
      <c r="E152" s="63" t="str">
        <f aca="false">IF($B152="","",对接源_01库存!$E87)</f>
        <v/>
      </c>
      <c r="F152" s="64" t="str">
        <f aca="false">IF($B152="","",N(对接源_01库存!$F87))</f>
        <v/>
      </c>
      <c r="G152" s="65" t="str">
        <f aca="false">IF($B152="","",N(对接源_01库存!$G87))</f>
        <v/>
      </c>
      <c r="H152" s="130" t="str">
        <f aca="false">IF($B152="","",ROUND(N($F152)*N($I152),2))</f>
        <v/>
      </c>
      <c r="I152" s="136"/>
      <c r="J152" s="131" t="str">
        <f aca="false">IF($B152="","",对接源_01库存!$H87)</f>
        <v/>
      </c>
      <c r="K152" s="129"/>
      <c r="L152" s="132" t="str">
        <f aca="false">IF($B152="","",IF(N($I152)=0,"← 这一行还没填单价",""))</f>
        <v/>
      </c>
    </row>
    <row r="153" customFormat="false" ht="15" hidden="false" customHeight="true" outlineLevel="0" collapsed="false">
      <c r="A153" s="63" t="str">
        <f aca="false">IF($B153="","",ROW()-68)</f>
        <v/>
      </c>
      <c r="B153" s="62" t="str">
        <f aca="false">IF(对接源_01库存!$B88="","",对接源_01库存!$B88)</f>
        <v/>
      </c>
      <c r="C153" s="63" t="str">
        <f aca="false">IF($B153="","",对接源_01库存!$C88)</f>
        <v/>
      </c>
      <c r="D153" s="63" t="str">
        <f aca="false">IF($B153="","",对接源_01库存!$D88)</f>
        <v/>
      </c>
      <c r="E153" s="63" t="str">
        <f aca="false">IF($B153="","",对接源_01库存!$E88)</f>
        <v/>
      </c>
      <c r="F153" s="64" t="str">
        <f aca="false">IF($B153="","",N(对接源_01库存!$F88))</f>
        <v/>
      </c>
      <c r="G153" s="65" t="str">
        <f aca="false">IF($B153="","",N(对接源_01库存!$G88))</f>
        <v/>
      </c>
      <c r="H153" s="130" t="str">
        <f aca="false">IF($B153="","",ROUND(N($F153)*N($I153),2))</f>
        <v/>
      </c>
      <c r="I153" s="136"/>
      <c r="J153" s="131" t="str">
        <f aca="false">IF($B153="","",对接源_01库存!$H88)</f>
        <v/>
      </c>
      <c r="K153" s="129"/>
      <c r="L153" s="132" t="str">
        <f aca="false">IF($B153="","",IF(N($I153)=0,"← 这一行还没填单价",""))</f>
        <v/>
      </c>
    </row>
    <row r="154" customFormat="false" ht="15" hidden="false" customHeight="true" outlineLevel="0" collapsed="false">
      <c r="A154" s="63" t="str">
        <f aca="false">IF($B154="","",ROW()-68)</f>
        <v/>
      </c>
      <c r="B154" s="62" t="str">
        <f aca="false">IF(对接源_01库存!$B89="","",对接源_01库存!$B89)</f>
        <v/>
      </c>
      <c r="C154" s="63" t="str">
        <f aca="false">IF($B154="","",对接源_01库存!$C89)</f>
        <v/>
      </c>
      <c r="D154" s="63" t="str">
        <f aca="false">IF($B154="","",对接源_01库存!$D89)</f>
        <v/>
      </c>
      <c r="E154" s="63" t="str">
        <f aca="false">IF($B154="","",对接源_01库存!$E89)</f>
        <v/>
      </c>
      <c r="F154" s="64" t="str">
        <f aca="false">IF($B154="","",N(对接源_01库存!$F89))</f>
        <v/>
      </c>
      <c r="G154" s="65" t="str">
        <f aca="false">IF($B154="","",N(对接源_01库存!$G89))</f>
        <v/>
      </c>
      <c r="H154" s="130" t="str">
        <f aca="false">IF($B154="","",ROUND(N($F154)*N($I154),2))</f>
        <v/>
      </c>
      <c r="I154" s="136"/>
      <c r="J154" s="131" t="str">
        <f aca="false">IF($B154="","",对接源_01库存!$H89)</f>
        <v/>
      </c>
      <c r="K154" s="129"/>
      <c r="L154" s="132" t="str">
        <f aca="false">IF($B154="","",IF(N($I154)=0,"← 这一行还没填单价",""))</f>
        <v/>
      </c>
    </row>
    <row r="155" customFormat="false" ht="15" hidden="false" customHeight="true" outlineLevel="0" collapsed="false">
      <c r="A155" s="63" t="str">
        <f aca="false">IF($B155="","",ROW()-68)</f>
        <v/>
      </c>
      <c r="B155" s="62" t="str">
        <f aca="false">IF(对接源_01库存!$B90="","",对接源_01库存!$B90)</f>
        <v/>
      </c>
      <c r="C155" s="63" t="str">
        <f aca="false">IF($B155="","",对接源_01库存!$C90)</f>
        <v/>
      </c>
      <c r="D155" s="63" t="str">
        <f aca="false">IF($B155="","",对接源_01库存!$D90)</f>
        <v/>
      </c>
      <c r="E155" s="63" t="str">
        <f aca="false">IF($B155="","",对接源_01库存!$E90)</f>
        <v/>
      </c>
      <c r="F155" s="64" t="str">
        <f aca="false">IF($B155="","",N(对接源_01库存!$F90))</f>
        <v/>
      </c>
      <c r="G155" s="65" t="str">
        <f aca="false">IF($B155="","",N(对接源_01库存!$G90))</f>
        <v/>
      </c>
      <c r="H155" s="130" t="str">
        <f aca="false">IF($B155="","",ROUND(N($F155)*N($I155),2))</f>
        <v/>
      </c>
      <c r="I155" s="136"/>
      <c r="J155" s="131" t="str">
        <f aca="false">IF($B155="","",对接源_01库存!$H90)</f>
        <v/>
      </c>
      <c r="K155" s="129"/>
      <c r="L155" s="132" t="str">
        <f aca="false">IF($B155="","",IF(N($I155)=0,"← 这一行还没填单价",""))</f>
        <v/>
      </c>
    </row>
    <row r="156" customFormat="false" ht="15" hidden="false" customHeight="true" outlineLevel="0" collapsed="false">
      <c r="A156" s="63" t="str">
        <f aca="false">IF($B156="","",ROW()-68)</f>
        <v/>
      </c>
      <c r="B156" s="62" t="str">
        <f aca="false">IF(对接源_01库存!$B91="","",对接源_01库存!$B91)</f>
        <v/>
      </c>
      <c r="C156" s="63" t="str">
        <f aca="false">IF($B156="","",对接源_01库存!$C91)</f>
        <v/>
      </c>
      <c r="D156" s="63" t="str">
        <f aca="false">IF($B156="","",对接源_01库存!$D91)</f>
        <v/>
      </c>
      <c r="E156" s="63" t="str">
        <f aca="false">IF($B156="","",对接源_01库存!$E91)</f>
        <v/>
      </c>
      <c r="F156" s="64" t="str">
        <f aca="false">IF($B156="","",N(对接源_01库存!$F91))</f>
        <v/>
      </c>
      <c r="G156" s="65" t="str">
        <f aca="false">IF($B156="","",N(对接源_01库存!$G91))</f>
        <v/>
      </c>
      <c r="H156" s="130" t="str">
        <f aca="false">IF($B156="","",ROUND(N($F156)*N($I156),2))</f>
        <v/>
      </c>
      <c r="I156" s="136"/>
      <c r="J156" s="131" t="str">
        <f aca="false">IF($B156="","",对接源_01库存!$H91)</f>
        <v/>
      </c>
      <c r="K156" s="129"/>
      <c r="L156" s="132" t="str">
        <f aca="false">IF($B156="","",IF(N($I156)=0,"← 这一行还没填单价",""))</f>
        <v/>
      </c>
    </row>
    <row r="157" customFormat="false" ht="15" hidden="false" customHeight="true" outlineLevel="0" collapsed="false">
      <c r="A157" s="63" t="str">
        <f aca="false">IF($B157="","",ROW()-68)</f>
        <v/>
      </c>
      <c r="B157" s="62" t="str">
        <f aca="false">IF(对接源_01库存!$B92="","",对接源_01库存!$B92)</f>
        <v/>
      </c>
      <c r="C157" s="63" t="str">
        <f aca="false">IF($B157="","",对接源_01库存!$C92)</f>
        <v/>
      </c>
      <c r="D157" s="63" t="str">
        <f aca="false">IF($B157="","",对接源_01库存!$D92)</f>
        <v/>
      </c>
      <c r="E157" s="63" t="str">
        <f aca="false">IF($B157="","",对接源_01库存!$E92)</f>
        <v/>
      </c>
      <c r="F157" s="64" t="str">
        <f aca="false">IF($B157="","",N(对接源_01库存!$F92))</f>
        <v/>
      </c>
      <c r="G157" s="65" t="str">
        <f aca="false">IF($B157="","",N(对接源_01库存!$G92))</f>
        <v/>
      </c>
      <c r="H157" s="130" t="str">
        <f aca="false">IF($B157="","",ROUND(N($F157)*N($I157),2))</f>
        <v/>
      </c>
      <c r="I157" s="136"/>
      <c r="J157" s="131" t="str">
        <f aca="false">IF($B157="","",对接源_01库存!$H92)</f>
        <v/>
      </c>
      <c r="K157" s="129"/>
      <c r="L157" s="132" t="str">
        <f aca="false">IF($B157="","",IF(N($I157)=0,"← 这一行还没填单价",""))</f>
        <v/>
      </c>
    </row>
    <row r="158" customFormat="false" ht="15" hidden="false" customHeight="true" outlineLevel="0" collapsed="false">
      <c r="A158" s="63" t="str">
        <f aca="false">IF($B158="","",ROW()-68)</f>
        <v/>
      </c>
      <c r="B158" s="62" t="str">
        <f aca="false">IF(对接源_01库存!$B93="","",对接源_01库存!$B93)</f>
        <v/>
      </c>
      <c r="C158" s="63" t="str">
        <f aca="false">IF($B158="","",对接源_01库存!$C93)</f>
        <v/>
      </c>
      <c r="D158" s="63" t="str">
        <f aca="false">IF($B158="","",对接源_01库存!$D93)</f>
        <v/>
      </c>
      <c r="E158" s="63" t="str">
        <f aca="false">IF($B158="","",对接源_01库存!$E93)</f>
        <v/>
      </c>
      <c r="F158" s="64" t="str">
        <f aca="false">IF($B158="","",N(对接源_01库存!$F93))</f>
        <v/>
      </c>
      <c r="G158" s="65" t="str">
        <f aca="false">IF($B158="","",N(对接源_01库存!$G93))</f>
        <v/>
      </c>
      <c r="H158" s="130" t="str">
        <f aca="false">IF($B158="","",ROUND(N($F158)*N($I158),2))</f>
        <v/>
      </c>
      <c r="I158" s="136"/>
      <c r="J158" s="131" t="str">
        <f aca="false">IF($B158="","",对接源_01库存!$H93)</f>
        <v/>
      </c>
      <c r="K158" s="129"/>
      <c r="L158" s="132" t="str">
        <f aca="false">IF($B158="","",IF(N($I158)=0,"← 这一行还没填单价",""))</f>
        <v/>
      </c>
    </row>
    <row r="159" customFormat="false" ht="15" hidden="false" customHeight="true" outlineLevel="0" collapsed="false">
      <c r="A159" s="63" t="str">
        <f aca="false">IF($B159="","",ROW()-68)</f>
        <v/>
      </c>
      <c r="B159" s="62" t="str">
        <f aca="false">IF(对接源_01库存!$B94="","",对接源_01库存!$B94)</f>
        <v/>
      </c>
      <c r="C159" s="63" t="str">
        <f aca="false">IF($B159="","",对接源_01库存!$C94)</f>
        <v/>
      </c>
      <c r="D159" s="63" t="str">
        <f aca="false">IF($B159="","",对接源_01库存!$D94)</f>
        <v/>
      </c>
      <c r="E159" s="63" t="str">
        <f aca="false">IF($B159="","",对接源_01库存!$E94)</f>
        <v/>
      </c>
      <c r="F159" s="64" t="str">
        <f aca="false">IF($B159="","",N(对接源_01库存!$F94))</f>
        <v/>
      </c>
      <c r="G159" s="65" t="str">
        <f aca="false">IF($B159="","",N(对接源_01库存!$G94))</f>
        <v/>
      </c>
      <c r="H159" s="130" t="str">
        <f aca="false">IF($B159="","",ROUND(N($F159)*N($I159),2))</f>
        <v/>
      </c>
      <c r="I159" s="136"/>
      <c r="J159" s="131" t="str">
        <f aca="false">IF($B159="","",对接源_01库存!$H94)</f>
        <v/>
      </c>
      <c r="K159" s="129"/>
      <c r="L159" s="132" t="str">
        <f aca="false">IF($B159="","",IF(N($I159)=0,"← 这一行还没填单价",""))</f>
        <v/>
      </c>
    </row>
    <row r="160" customFormat="false" ht="15" hidden="false" customHeight="true" outlineLevel="0" collapsed="false">
      <c r="A160" s="63" t="str">
        <f aca="false">IF($B160="","",ROW()-68)</f>
        <v/>
      </c>
      <c r="B160" s="62" t="str">
        <f aca="false">IF(对接源_01库存!$B95="","",对接源_01库存!$B95)</f>
        <v/>
      </c>
      <c r="C160" s="63" t="str">
        <f aca="false">IF($B160="","",对接源_01库存!$C95)</f>
        <v/>
      </c>
      <c r="D160" s="63" t="str">
        <f aca="false">IF($B160="","",对接源_01库存!$D95)</f>
        <v/>
      </c>
      <c r="E160" s="63" t="str">
        <f aca="false">IF($B160="","",对接源_01库存!$E95)</f>
        <v/>
      </c>
      <c r="F160" s="64" t="str">
        <f aca="false">IF($B160="","",N(对接源_01库存!$F95))</f>
        <v/>
      </c>
      <c r="G160" s="65" t="str">
        <f aca="false">IF($B160="","",N(对接源_01库存!$G95))</f>
        <v/>
      </c>
      <c r="H160" s="130" t="str">
        <f aca="false">IF($B160="","",ROUND(N($F160)*N($I160),2))</f>
        <v/>
      </c>
      <c r="I160" s="136"/>
      <c r="J160" s="131" t="str">
        <f aca="false">IF($B160="","",对接源_01库存!$H95)</f>
        <v/>
      </c>
      <c r="K160" s="129"/>
      <c r="L160" s="132" t="str">
        <f aca="false">IF($B160="","",IF(N($I160)=0,"← 这一行还没填单价",""))</f>
        <v/>
      </c>
    </row>
    <row r="161" customFormat="false" ht="15" hidden="false" customHeight="true" outlineLevel="0" collapsed="false">
      <c r="A161" s="63" t="str">
        <f aca="false">IF($B161="","",ROW()-68)</f>
        <v/>
      </c>
      <c r="B161" s="62" t="str">
        <f aca="false">IF(对接源_01库存!$B96="","",对接源_01库存!$B96)</f>
        <v/>
      </c>
      <c r="C161" s="63" t="str">
        <f aca="false">IF($B161="","",对接源_01库存!$C96)</f>
        <v/>
      </c>
      <c r="D161" s="63" t="str">
        <f aca="false">IF($B161="","",对接源_01库存!$D96)</f>
        <v/>
      </c>
      <c r="E161" s="63" t="str">
        <f aca="false">IF($B161="","",对接源_01库存!$E96)</f>
        <v/>
      </c>
      <c r="F161" s="64" t="str">
        <f aca="false">IF($B161="","",N(对接源_01库存!$F96))</f>
        <v/>
      </c>
      <c r="G161" s="65" t="str">
        <f aca="false">IF($B161="","",N(对接源_01库存!$G96))</f>
        <v/>
      </c>
      <c r="H161" s="130" t="str">
        <f aca="false">IF($B161="","",ROUND(N($F161)*N($I161),2))</f>
        <v/>
      </c>
      <c r="I161" s="136"/>
      <c r="J161" s="131" t="str">
        <f aca="false">IF($B161="","",对接源_01库存!$H96)</f>
        <v/>
      </c>
      <c r="K161" s="129"/>
      <c r="L161" s="132" t="str">
        <f aca="false">IF($B161="","",IF(N($I161)=0,"← 这一行还没填单价",""))</f>
        <v/>
      </c>
    </row>
    <row r="162" customFormat="false" ht="15" hidden="false" customHeight="true" outlineLevel="0" collapsed="false">
      <c r="A162" s="63" t="str">
        <f aca="false">IF($B162="","",ROW()-68)</f>
        <v/>
      </c>
      <c r="B162" s="62" t="str">
        <f aca="false">IF(对接源_01库存!$B97="","",对接源_01库存!$B97)</f>
        <v/>
      </c>
      <c r="C162" s="63" t="str">
        <f aca="false">IF($B162="","",对接源_01库存!$C97)</f>
        <v/>
      </c>
      <c r="D162" s="63" t="str">
        <f aca="false">IF($B162="","",对接源_01库存!$D97)</f>
        <v/>
      </c>
      <c r="E162" s="63" t="str">
        <f aca="false">IF($B162="","",对接源_01库存!$E97)</f>
        <v/>
      </c>
      <c r="F162" s="64" t="str">
        <f aca="false">IF($B162="","",N(对接源_01库存!$F97))</f>
        <v/>
      </c>
      <c r="G162" s="65" t="str">
        <f aca="false">IF($B162="","",N(对接源_01库存!$G97))</f>
        <v/>
      </c>
      <c r="H162" s="130" t="str">
        <f aca="false">IF($B162="","",ROUND(N($F162)*N($I162),2))</f>
        <v/>
      </c>
      <c r="I162" s="136"/>
      <c r="J162" s="131" t="str">
        <f aca="false">IF($B162="","",对接源_01库存!$H97)</f>
        <v/>
      </c>
      <c r="K162" s="129"/>
      <c r="L162" s="132" t="str">
        <f aca="false">IF($B162="","",IF(N($I162)=0,"← 这一行还没填单价",""))</f>
        <v/>
      </c>
    </row>
    <row r="163" customFormat="false" ht="15" hidden="false" customHeight="true" outlineLevel="0" collapsed="false">
      <c r="A163" s="63" t="str">
        <f aca="false">IF($B163="","",ROW()-68)</f>
        <v/>
      </c>
      <c r="B163" s="62" t="str">
        <f aca="false">IF(对接源_01库存!$B98="","",对接源_01库存!$B98)</f>
        <v/>
      </c>
      <c r="C163" s="63" t="str">
        <f aca="false">IF($B163="","",对接源_01库存!$C98)</f>
        <v/>
      </c>
      <c r="D163" s="63" t="str">
        <f aca="false">IF($B163="","",对接源_01库存!$D98)</f>
        <v/>
      </c>
      <c r="E163" s="63" t="str">
        <f aca="false">IF($B163="","",对接源_01库存!$E98)</f>
        <v/>
      </c>
      <c r="F163" s="64" t="str">
        <f aca="false">IF($B163="","",N(对接源_01库存!$F98))</f>
        <v/>
      </c>
      <c r="G163" s="65" t="str">
        <f aca="false">IF($B163="","",N(对接源_01库存!$G98))</f>
        <v/>
      </c>
      <c r="H163" s="130" t="str">
        <f aca="false">IF($B163="","",ROUND(N($F163)*N($I163),2))</f>
        <v/>
      </c>
      <c r="I163" s="136"/>
      <c r="J163" s="131" t="str">
        <f aca="false">IF($B163="","",对接源_01库存!$H98)</f>
        <v/>
      </c>
      <c r="K163" s="129"/>
      <c r="L163" s="132" t="str">
        <f aca="false">IF($B163="","",IF(N($I163)=0,"← 这一行还没填单价",""))</f>
        <v/>
      </c>
    </row>
    <row r="164" customFormat="false" ht="15" hidden="false" customHeight="true" outlineLevel="0" collapsed="false">
      <c r="A164" s="63" t="str">
        <f aca="false">IF($B164="","",ROW()-68)</f>
        <v/>
      </c>
      <c r="B164" s="62" t="str">
        <f aca="false">IF(对接源_01库存!$B99="","",对接源_01库存!$B99)</f>
        <v/>
      </c>
      <c r="C164" s="63" t="str">
        <f aca="false">IF($B164="","",对接源_01库存!$C99)</f>
        <v/>
      </c>
      <c r="D164" s="63" t="str">
        <f aca="false">IF($B164="","",对接源_01库存!$D99)</f>
        <v/>
      </c>
      <c r="E164" s="63" t="str">
        <f aca="false">IF($B164="","",对接源_01库存!$E99)</f>
        <v/>
      </c>
      <c r="F164" s="64" t="str">
        <f aca="false">IF($B164="","",N(对接源_01库存!$F99))</f>
        <v/>
      </c>
      <c r="G164" s="65" t="str">
        <f aca="false">IF($B164="","",N(对接源_01库存!$G99))</f>
        <v/>
      </c>
      <c r="H164" s="130" t="str">
        <f aca="false">IF($B164="","",ROUND(N($F164)*N($I164),2))</f>
        <v/>
      </c>
      <c r="I164" s="136"/>
      <c r="J164" s="131" t="str">
        <f aca="false">IF($B164="","",对接源_01库存!$H99)</f>
        <v/>
      </c>
      <c r="K164" s="129"/>
      <c r="L164" s="132" t="str">
        <f aca="false">IF($B164="","",IF(N($I164)=0,"← 这一行还没填单价",""))</f>
        <v/>
      </c>
    </row>
    <row r="165" customFormat="false" ht="15" hidden="false" customHeight="true" outlineLevel="0" collapsed="false">
      <c r="A165" s="63" t="str">
        <f aca="false">IF($B165="","",ROW()-68)</f>
        <v/>
      </c>
      <c r="B165" s="62" t="str">
        <f aca="false">IF(对接源_01库存!$B100="","",对接源_01库存!$B100)</f>
        <v/>
      </c>
      <c r="C165" s="63" t="str">
        <f aca="false">IF($B165="","",对接源_01库存!$C100)</f>
        <v/>
      </c>
      <c r="D165" s="63" t="str">
        <f aca="false">IF($B165="","",对接源_01库存!$D100)</f>
        <v/>
      </c>
      <c r="E165" s="63" t="str">
        <f aca="false">IF($B165="","",对接源_01库存!$E100)</f>
        <v/>
      </c>
      <c r="F165" s="64" t="str">
        <f aca="false">IF($B165="","",N(对接源_01库存!$F100))</f>
        <v/>
      </c>
      <c r="G165" s="65" t="str">
        <f aca="false">IF($B165="","",N(对接源_01库存!$G100))</f>
        <v/>
      </c>
      <c r="H165" s="130" t="str">
        <f aca="false">IF($B165="","",ROUND(N($F165)*N($I165),2))</f>
        <v/>
      </c>
      <c r="I165" s="136"/>
      <c r="J165" s="131" t="str">
        <f aca="false">IF($B165="","",对接源_01库存!$H100)</f>
        <v/>
      </c>
      <c r="K165" s="129"/>
      <c r="L165" s="132" t="str">
        <f aca="false">IF($B165="","",IF(N($I165)=0,"← 这一行还没填单价",""))</f>
        <v/>
      </c>
    </row>
    <row r="166" customFormat="false" ht="15" hidden="false" customHeight="true" outlineLevel="0" collapsed="false">
      <c r="A166" s="63" t="str">
        <f aca="false">IF($B166="","",ROW()-68)</f>
        <v/>
      </c>
      <c r="B166" s="62" t="str">
        <f aca="false">IF(对接源_01库存!$B101="","",对接源_01库存!$B101)</f>
        <v/>
      </c>
      <c r="C166" s="63" t="str">
        <f aca="false">IF($B166="","",对接源_01库存!$C101)</f>
        <v/>
      </c>
      <c r="D166" s="63" t="str">
        <f aca="false">IF($B166="","",对接源_01库存!$D101)</f>
        <v/>
      </c>
      <c r="E166" s="63" t="str">
        <f aca="false">IF($B166="","",对接源_01库存!$E101)</f>
        <v/>
      </c>
      <c r="F166" s="64" t="str">
        <f aca="false">IF($B166="","",N(对接源_01库存!$F101))</f>
        <v/>
      </c>
      <c r="G166" s="65" t="str">
        <f aca="false">IF($B166="","",N(对接源_01库存!$G101))</f>
        <v/>
      </c>
      <c r="H166" s="130" t="str">
        <f aca="false">IF($B166="","",ROUND(N($F166)*N($I166),2))</f>
        <v/>
      </c>
      <c r="I166" s="136"/>
      <c r="J166" s="131" t="str">
        <f aca="false">IF($B166="","",对接源_01库存!$H101)</f>
        <v/>
      </c>
      <c r="K166" s="129"/>
      <c r="L166" s="132" t="str">
        <f aca="false">IF($B166="","",IF(N($I166)=0,"← 这一行还没填单价",""))</f>
        <v/>
      </c>
    </row>
    <row r="167" customFormat="false" ht="15" hidden="false" customHeight="true" outlineLevel="0" collapsed="false">
      <c r="A167" s="63" t="str">
        <f aca="false">IF($B167="","",ROW()-68)</f>
        <v/>
      </c>
      <c r="B167" s="62" t="str">
        <f aca="false">IF(对接源_01库存!$B102="","",对接源_01库存!$B102)</f>
        <v/>
      </c>
      <c r="C167" s="63" t="str">
        <f aca="false">IF($B167="","",对接源_01库存!$C102)</f>
        <v/>
      </c>
      <c r="D167" s="63" t="str">
        <f aca="false">IF($B167="","",对接源_01库存!$D102)</f>
        <v/>
      </c>
      <c r="E167" s="63" t="str">
        <f aca="false">IF($B167="","",对接源_01库存!$E102)</f>
        <v/>
      </c>
      <c r="F167" s="64" t="str">
        <f aca="false">IF($B167="","",N(对接源_01库存!$F102))</f>
        <v/>
      </c>
      <c r="G167" s="65" t="str">
        <f aca="false">IF($B167="","",N(对接源_01库存!$G102))</f>
        <v/>
      </c>
      <c r="H167" s="130" t="str">
        <f aca="false">IF($B167="","",ROUND(N($F167)*N($I167),2))</f>
        <v/>
      </c>
      <c r="I167" s="136"/>
      <c r="J167" s="131" t="str">
        <f aca="false">IF($B167="","",对接源_01库存!$H102)</f>
        <v/>
      </c>
      <c r="K167" s="129"/>
      <c r="L167" s="132" t="str">
        <f aca="false">IF($B167="","",IF(N($I167)=0,"← 这一行还没填单价",""))</f>
        <v/>
      </c>
    </row>
    <row r="168" customFormat="false" ht="15" hidden="false" customHeight="true" outlineLevel="0" collapsed="false">
      <c r="A168" s="63" t="str">
        <f aca="false">IF($B168="","",ROW()-68)</f>
        <v/>
      </c>
      <c r="B168" s="62" t="str">
        <f aca="false">IF(对接源_01库存!$B103="","",对接源_01库存!$B103)</f>
        <v/>
      </c>
      <c r="C168" s="63" t="str">
        <f aca="false">IF($B168="","",对接源_01库存!$C103)</f>
        <v/>
      </c>
      <c r="D168" s="63" t="str">
        <f aca="false">IF($B168="","",对接源_01库存!$D103)</f>
        <v/>
      </c>
      <c r="E168" s="63" t="str">
        <f aca="false">IF($B168="","",对接源_01库存!$E103)</f>
        <v/>
      </c>
      <c r="F168" s="64" t="str">
        <f aca="false">IF($B168="","",N(对接源_01库存!$F103))</f>
        <v/>
      </c>
      <c r="G168" s="65" t="str">
        <f aca="false">IF($B168="","",N(对接源_01库存!$G103))</f>
        <v/>
      </c>
      <c r="H168" s="130" t="str">
        <f aca="false">IF($B168="","",ROUND(N($F168)*N($I168),2))</f>
        <v/>
      </c>
      <c r="I168" s="136"/>
      <c r="J168" s="131" t="str">
        <f aca="false">IF($B168="","",对接源_01库存!$H103)</f>
        <v/>
      </c>
      <c r="K168" s="129"/>
      <c r="L168" s="132" t="str">
        <f aca="false">IF($B168="","",IF(N($I168)=0,"← 这一行还没填单价",""))</f>
        <v/>
      </c>
    </row>
    <row r="169" customFormat="false" ht="15" hidden="false" customHeight="true" outlineLevel="0" collapsed="false">
      <c r="A169" s="63" t="str">
        <f aca="false">IF($B169="","",ROW()-68)</f>
        <v/>
      </c>
      <c r="B169" s="62" t="str">
        <f aca="false">IF(对接源_01库存!$B104="","",对接源_01库存!$B104)</f>
        <v/>
      </c>
      <c r="C169" s="63" t="str">
        <f aca="false">IF($B169="","",对接源_01库存!$C104)</f>
        <v/>
      </c>
      <c r="D169" s="63" t="str">
        <f aca="false">IF($B169="","",对接源_01库存!$D104)</f>
        <v/>
      </c>
      <c r="E169" s="63" t="str">
        <f aca="false">IF($B169="","",对接源_01库存!$E104)</f>
        <v/>
      </c>
      <c r="F169" s="64" t="str">
        <f aca="false">IF($B169="","",N(对接源_01库存!$F104))</f>
        <v/>
      </c>
      <c r="G169" s="65" t="str">
        <f aca="false">IF($B169="","",N(对接源_01库存!$G104))</f>
        <v/>
      </c>
      <c r="H169" s="130" t="str">
        <f aca="false">IF($B169="","",ROUND(N($F169)*N($I169),2))</f>
        <v/>
      </c>
      <c r="I169" s="136"/>
      <c r="J169" s="131" t="str">
        <f aca="false">IF($B169="","",对接源_01库存!$H104)</f>
        <v/>
      </c>
      <c r="K169" s="129"/>
      <c r="L169" s="132" t="str">
        <f aca="false">IF($B169="","",IF(N($I169)=0,"← 这一行还没填单价",""))</f>
        <v/>
      </c>
    </row>
    <row r="170" customFormat="false" ht="15" hidden="false" customHeight="true" outlineLevel="0" collapsed="false">
      <c r="A170" s="63" t="str">
        <f aca="false">IF($B170="","",ROW()-68)</f>
        <v/>
      </c>
      <c r="B170" s="62" t="str">
        <f aca="false">IF(对接源_01库存!$B105="","",对接源_01库存!$B105)</f>
        <v/>
      </c>
      <c r="C170" s="63" t="str">
        <f aca="false">IF($B170="","",对接源_01库存!$C105)</f>
        <v/>
      </c>
      <c r="D170" s="63" t="str">
        <f aca="false">IF($B170="","",对接源_01库存!$D105)</f>
        <v/>
      </c>
      <c r="E170" s="63" t="str">
        <f aca="false">IF($B170="","",对接源_01库存!$E105)</f>
        <v/>
      </c>
      <c r="F170" s="64" t="str">
        <f aca="false">IF($B170="","",N(对接源_01库存!$F105))</f>
        <v/>
      </c>
      <c r="G170" s="65" t="str">
        <f aca="false">IF($B170="","",N(对接源_01库存!$G105))</f>
        <v/>
      </c>
      <c r="H170" s="130" t="str">
        <f aca="false">IF($B170="","",ROUND(N($F170)*N($I170),2))</f>
        <v/>
      </c>
      <c r="I170" s="136"/>
      <c r="J170" s="131" t="str">
        <f aca="false">IF($B170="","",对接源_01库存!$H105)</f>
        <v/>
      </c>
      <c r="K170" s="129"/>
      <c r="L170" s="132" t="str">
        <f aca="false">IF($B170="","",IF(N($I170)=0,"← 这一行还没填单价",""))</f>
        <v/>
      </c>
    </row>
    <row r="171" customFormat="false" ht="15" hidden="false" customHeight="true" outlineLevel="0" collapsed="false">
      <c r="A171" s="63" t="str">
        <f aca="false">IF($B171="","",ROW()-68)</f>
        <v/>
      </c>
      <c r="B171" s="62" t="str">
        <f aca="false">IF(对接源_01库存!$B106="","",对接源_01库存!$B106)</f>
        <v/>
      </c>
      <c r="C171" s="63" t="str">
        <f aca="false">IF($B171="","",对接源_01库存!$C106)</f>
        <v/>
      </c>
      <c r="D171" s="63" t="str">
        <f aca="false">IF($B171="","",对接源_01库存!$D106)</f>
        <v/>
      </c>
      <c r="E171" s="63" t="str">
        <f aca="false">IF($B171="","",对接源_01库存!$E106)</f>
        <v/>
      </c>
      <c r="F171" s="64" t="str">
        <f aca="false">IF($B171="","",N(对接源_01库存!$F106))</f>
        <v/>
      </c>
      <c r="G171" s="65" t="str">
        <f aca="false">IF($B171="","",N(对接源_01库存!$G106))</f>
        <v/>
      </c>
      <c r="H171" s="130" t="str">
        <f aca="false">IF($B171="","",ROUND(N($F171)*N($I171),2))</f>
        <v/>
      </c>
      <c r="I171" s="136"/>
      <c r="J171" s="131" t="str">
        <f aca="false">IF($B171="","",对接源_01库存!$H106)</f>
        <v/>
      </c>
      <c r="K171" s="129"/>
      <c r="L171" s="132" t="str">
        <f aca="false">IF($B171="","",IF(N($I171)=0,"← 这一行还没填单价",""))</f>
        <v/>
      </c>
    </row>
    <row r="172" customFormat="false" ht="15" hidden="false" customHeight="true" outlineLevel="0" collapsed="false">
      <c r="A172" s="63" t="str">
        <f aca="false">IF($B172="","",ROW()-68)</f>
        <v/>
      </c>
      <c r="B172" s="62" t="str">
        <f aca="false">IF(对接源_01库存!$B107="","",对接源_01库存!$B107)</f>
        <v/>
      </c>
      <c r="C172" s="63" t="str">
        <f aca="false">IF($B172="","",对接源_01库存!$C107)</f>
        <v/>
      </c>
      <c r="D172" s="63" t="str">
        <f aca="false">IF($B172="","",对接源_01库存!$D107)</f>
        <v/>
      </c>
      <c r="E172" s="63" t="str">
        <f aca="false">IF($B172="","",对接源_01库存!$E107)</f>
        <v/>
      </c>
      <c r="F172" s="64" t="str">
        <f aca="false">IF($B172="","",N(对接源_01库存!$F107))</f>
        <v/>
      </c>
      <c r="G172" s="65" t="str">
        <f aca="false">IF($B172="","",N(对接源_01库存!$G107))</f>
        <v/>
      </c>
      <c r="H172" s="130" t="str">
        <f aca="false">IF($B172="","",ROUND(N($F172)*N($I172),2))</f>
        <v/>
      </c>
      <c r="I172" s="136"/>
      <c r="J172" s="131" t="str">
        <f aca="false">IF($B172="","",对接源_01库存!$H107)</f>
        <v/>
      </c>
      <c r="K172" s="129"/>
      <c r="L172" s="132" t="str">
        <f aca="false">IF($B172="","",IF(N($I172)=0,"← 这一行还没填单价",""))</f>
        <v/>
      </c>
    </row>
    <row r="173" customFormat="false" ht="15" hidden="false" customHeight="true" outlineLevel="0" collapsed="false">
      <c r="A173" s="63" t="str">
        <f aca="false">IF($B173="","",ROW()-68)</f>
        <v/>
      </c>
      <c r="B173" s="62" t="str">
        <f aca="false">IF(对接源_01库存!$B108="","",对接源_01库存!$B108)</f>
        <v/>
      </c>
      <c r="C173" s="63" t="str">
        <f aca="false">IF($B173="","",对接源_01库存!$C108)</f>
        <v/>
      </c>
      <c r="D173" s="63" t="str">
        <f aca="false">IF($B173="","",对接源_01库存!$D108)</f>
        <v/>
      </c>
      <c r="E173" s="63" t="str">
        <f aca="false">IF($B173="","",对接源_01库存!$E108)</f>
        <v/>
      </c>
      <c r="F173" s="64" t="str">
        <f aca="false">IF($B173="","",N(对接源_01库存!$F108))</f>
        <v/>
      </c>
      <c r="G173" s="65" t="str">
        <f aca="false">IF($B173="","",N(对接源_01库存!$G108))</f>
        <v/>
      </c>
      <c r="H173" s="130" t="str">
        <f aca="false">IF($B173="","",ROUND(N($F173)*N($I173),2))</f>
        <v/>
      </c>
      <c r="I173" s="136"/>
      <c r="J173" s="131" t="str">
        <f aca="false">IF($B173="","",对接源_01库存!$H108)</f>
        <v/>
      </c>
      <c r="K173" s="129"/>
      <c r="L173" s="132" t="str">
        <f aca="false">IF($B173="","",IF(N($I173)=0,"← 这一行还没填单价",""))</f>
        <v/>
      </c>
    </row>
    <row r="174" customFormat="false" ht="15" hidden="false" customHeight="true" outlineLevel="0" collapsed="false">
      <c r="A174" s="63" t="str">
        <f aca="false">IF($B174="","",ROW()-68)</f>
        <v/>
      </c>
      <c r="B174" s="62" t="str">
        <f aca="false">IF(对接源_01库存!$B109="","",对接源_01库存!$B109)</f>
        <v/>
      </c>
      <c r="C174" s="63" t="str">
        <f aca="false">IF($B174="","",对接源_01库存!$C109)</f>
        <v/>
      </c>
      <c r="D174" s="63" t="str">
        <f aca="false">IF($B174="","",对接源_01库存!$D109)</f>
        <v/>
      </c>
      <c r="E174" s="63" t="str">
        <f aca="false">IF($B174="","",对接源_01库存!$E109)</f>
        <v/>
      </c>
      <c r="F174" s="64" t="str">
        <f aca="false">IF($B174="","",N(对接源_01库存!$F109))</f>
        <v/>
      </c>
      <c r="G174" s="65" t="str">
        <f aca="false">IF($B174="","",N(对接源_01库存!$G109))</f>
        <v/>
      </c>
      <c r="H174" s="130" t="str">
        <f aca="false">IF($B174="","",ROUND(N($F174)*N($I174),2))</f>
        <v/>
      </c>
      <c r="I174" s="136"/>
      <c r="J174" s="131" t="str">
        <f aca="false">IF($B174="","",对接源_01库存!$H109)</f>
        <v/>
      </c>
      <c r="K174" s="129"/>
      <c r="L174" s="132" t="str">
        <f aca="false">IF($B174="","",IF(N($I174)=0,"← 这一行还没填单价",""))</f>
        <v/>
      </c>
    </row>
    <row r="175" customFormat="false" ht="15" hidden="false" customHeight="true" outlineLevel="0" collapsed="false">
      <c r="A175" s="63" t="str">
        <f aca="false">IF($B175="","",ROW()-68)</f>
        <v/>
      </c>
      <c r="B175" s="62" t="str">
        <f aca="false">IF(对接源_01库存!$B110="","",对接源_01库存!$B110)</f>
        <v/>
      </c>
      <c r="C175" s="63" t="str">
        <f aca="false">IF($B175="","",对接源_01库存!$C110)</f>
        <v/>
      </c>
      <c r="D175" s="63" t="str">
        <f aca="false">IF($B175="","",对接源_01库存!$D110)</f>
        <v/>
      </c>
      <c r="E175" s="63" t="str">
        <f aca="false">IF($B175="","",对接源_01库存!$E110)</f>
        <v/>
      </c>
      <c r="F175" s="64" t="str">
        <f aca="false">IF($B175="","",N(对接源_01库存!$F110))</f>
        <v/>
      </c>
      <c r="G175" s="65" t="str">
        <f aca="false">IF($B175="","",N(对接源_01库存!$G110))</f>
        <v/>
      </c>
      <c r="H175" s="130" t="str">
        <f aca="false">IF($B175="","",ROUND(N($F175)*N($I175),2))</f>
        <v/>
      </c>
      <c r="I175" s="136"/>
      <c r="J175" s="131" t="str">
        <f aca="false">IF($B175="","",对接源_01库存!$H110)</f>
        <v/>
      </c>
      <c r="K175" s="129"/>
      <c r="L175" s="132" t="str">
        <f aca="false">IF($B175="","",IF(N($I175)=0,"← 这一行还没填单价",""))</f>
        <v/>
      </c>
    </row>
    <row r="176" customFormat="false" ht="15" hidden="false" customHeight="true" outlineLevel="0" collapsed="false">
      <c r="A176" s="63" t="str">
        <f aca="false">IF($B176="","",ROW()-68)</f>
        <v/>
      </c>
      <c r="B176" s="62" t="str">
        <f aca="false">IF(对接源_01库存!$B111="","",对接源_01库存!$B111)</f>
        <v/>
      </c>
      <c r="C176" s="63" t="str">
        <f aca="false">IF($B176="","",对接源_01库存!$C111)</f>
        <v/>
      </c>
      <c r="D176" s="63" t="str">
        <f aca="false">IF($B176="","",对接源_01库存!$D111)</f>
        <v/>
      </c>
      <c r="E176" s="63" t="str">
        <f aca="false">IF($B176="","",对接源_01库存!$E111)</f>
        <v/>
      </c>
      <c r="F176" s="64" t="str">
        <f aca="false">IF($B176="","",N(对接源_01库存!$F111))</f>
        <v/>
      </c>
      <c r="G176" s="65" t="str">
        <f aca="false">IF($B176="","",N(对接源_01库存!$G111))</f>
        <v/>
      </c>
      <c r="H176" s="130" t="str">
        <f aca="false">IF($B176="","",ROUND(N($F176)*N($I176),2))</f>
        <v/>
      </c>
      <c r="I176" s="136"/>
      <c r="J176" s="131" t="str">
        <f aca="false">IF($B176="","",对接源_01库存!$H111)</f>
        <v/>
      </c>
      <c r="K176" s="129"/>
      <c r="L176" s="132" t="str">
        <f aca="false">IF($B176="","",IF(N($I176)=0,"← 这一行还没填单价",""))</f>
        <v/>
      </c>
    </row>
    <row r="177" customFormat="false" ht="15" hidden="false" customHeight="true" outlineLevel="0" collapsed="false">
      <c r="A177" s="63" t="str">
        <f aca="false">IF($B177="","",ROW()-68)</f>
        <v/>
      </c>
      <c r="B177" s="62" t="str">
        <f aca="false">IF(对接源_01库存!$B112="","",对接源_01库存!$B112)</f>
        <v/>
      </c>
      <c r="C177" s="63" t="str">
        <f aca="false">IF($B177="","",对接源_01库存!$C112)</f>
        <v/>
      </c>
      <c r="D177" s="63" t="str">
        <f aca="false">IF($B177="","",对接源_01库存!$D112)</f>
        <v/>
      </c>
      <c r="E177" s="63" t="str">
        <f aca="false">IF($B177="","",对接源_01库存!$E112)</f>
        <v/>
      </c>
      <c r="F177" s="64" t="str">
        <f aca="false">IF($B177="","",N(对接源_01库存!$F112))</f>
        <v/>
      </c>
      <c r="G177" s="65" t="str">
        <f aca="false">IF($B177="","",N(对接源_01库存!$G112))</f>
        <v/>
      </c>
      <c r="H177" s="130" t="str">
        <f aca="false">IF($B177="","",ROUND(N($F177)*N($I177),2))</f>
        <v/>
      </c>
      <c r="I177" s="136"/>
      <c r="J177" s="131" t="str">
        <f aca="false">IF($B177="","",对接源_01库存!$H112)</f>
        <v/>
      </c>
      <c r="K177" s="129"/>
      <c r="L177" s="132" t="str">
        <f aca="false">IF($B177="","",IF(N($I177)=0,"← 这一行还没填单价",""))</f>
        <v/>
      </c>
    </row>
    <row r="178" customFormat="false" ht="15" hidden="false" customHeight="true" outlineLevel="0" collapsed="false">
      <c r="A178" s="63" t="str">
        <f aca="false">IF($B178="","",ROW()-68)</f>
        <v/>
      </c>
      <c r="B178" s="62" t="str">
        <f aca="false">IF(对接源_01库存!$B113="","",对接源_01库存!$B113)</f>
        <v/>
      </c>
      <c r="C178" s="63" t="str">
        <f aca="false">IF($B178="","",对接源_01库存!$C113)</f>
        <v/>
      </c>
      <c r="D178" s="63" t="str">
        <f aca="false">IF($B178="","",对接源_01库存!$D113)</f>
        <v/>
      </c>
      <c r="E178" s="63" t="str">
        <f aca="false">IF($B178="","",对接源_01库存!$E113)</f>
        <v/>
      </c>
      <c r="F178" s="64" t="str">
        <f aca="false">IF($B178="","",N(对接源_01库存!$F113))</f>
        <v/>
      </c>
      <c r="G178" s="65" t="str">
        <f aca="false">IF($B178="","",N(对接源_01库存!$G113))</f>
        <v/>
      </c>
      <c r="H178" s="130" t="str">
        <f aca="false">IF($B178="","",ROUND(N($F178)*N($I178),2))</f>
        <v/>
      </c>
      <c r="I178" s="136"/>
      <c r="J178" s="131" t="str">
        <f aca="false">IF($B178="","",对接源_01库存!$H113)</f>
        <v/>
      </c>
      <c r="K178" s="129"/>
      <c r="L178" s="132" t="str">
        <f aca="false">IF($B178="","",IF(N($I178)=0,"← 这一行还没填单价",""))</f>
        <v/>
      </c>
    </row>
    <row r="179" customFormat="false" ht="15" hidden="false" customHeight="true" outlineLevel="0" collapsed="false">
      <c r="A179" s="63" t="str">
        <f aca="false">IF($B179="","",ROW()-68)</f>
        <v/>
      </c>
      <c r="B179" s="62" t="str">
        <f aca="false">IF(对接源_01库存!$B114="","",对接源_01库存!$B114)</f>
        <v/>
      </c>
      <c r="C179" s="63" t="str">
        <f aca="false">IF($B179="","",对接源_01库存!$C114)</f>
        <v/>
      </c>
      <c r="D179" s="63" t="str">
        <f aca="false">IF($B179="","",对接源_01库存!$D114)</f>
        <v/>
      </c>
      <c r="E179" s="63" t="str">
        <f aca="false">IF($B179="","",对接源_01库存!$E114)</f>
        <v/>
      </c>
      <c r="F179" s="64" t="str">
        <f aca="false">IF($B179="","",N(对接源_01库存!$F114))</f>
        <v/>
      </c>
      <c r="G179" s="65" t="str">
        <f aca="false">IF($B179="","",N(对接源_01库存!$G114))</f>
        <v/>
      </c>
      <c r="H179" s="130" t="str">
        <f aca="false">IF($B179="","",ROUND(N($F179)*N($I179),2))</f>
        <v/>
      </c>
      <c r="I179" s="136"/>
      <c r="J179" s="131" t="str">
        <f aca="false">IF($B179="","",对接源_01库存!$H114)</f>
        <v/>
      </c>
      <c r="K179" s="129"/>
      <c r="L179" s="132" t="str">
        <f aca="false">IF($B179="","",IF(N($I179)=0,"← 这一行还没填单价",""))</f>
        <v/>
      </c>
    </row>
    <row r="180" customFormat="false" ht="15" hidden="false" customHeight="true" outlineLevel="0" collapsed="false">
      <c r="A180" s="63" t="str">
        <f aca="false">IF($B180="","",ROW()-68)</f>
        <v/>
      </c>
      <c r="B180" s="62" t="str">
        <f aca="false">IF(对接源_01库存!$B115="","",对接源_01库存!$B115)</f>
        <v/>
      </c>
      <c r="C180" s="63" t="str">
        <f aca="false">IF($B180="","",对接源_01库存!$C115)</f>
        <v/>
      </c>
      <c r="D180" s="63" t="str">
        <f aca="false">IF($B180="","",对接源_01库存!$D115)</f>
        <v/>
      </c>
      <c r="E180" s="63" t="str">
        <f aca="false">IF($B180="","",对接源_01库存!$E115)</f>
        <v/>
      </c>
      <c r="F180" s="64" t="str">
        <f aca="false">IF($B180="","",N(对接源_01库存!$F115))</f>
        <v/>
      </c>
      <c r="G180" s="65" t="str">
        <f aca="false">IF($B180="","",N(对接源_01库存!$G115))</f>
        <v/>
      </c>
      <c r="H180" s="130" t="str">
        <f aca="false">IF($B180="","",ROUND(N($F180)*N($I180),2))</f>
        <v/>
      </c>
      <c r="I180" s="136"/>
      <c r="J180" s="131" t="str">
        <f aca="false">IF($B180="","",对接源_01库存!$H115)</f>
        <v/>
      </c>
      <c r="K180" s="129"/>
      <c r="L180" s="132" t="str">
        <f aca="false">IF($B180="","",IF(N($I180)=0,"← 这一行还没填单价",""))</f>
        <v/>
      </c>
    </row>
    <row r="181" customFormat="false" ht="15" hidden="false" customHeight="true" outlineLevel="0" collapsed="false">
      <c r="A181" s="63" t="str">
        <f aca="false">IF($B181="","",ROW()-68)</f>
        <v/>
      </c>
      <c r="B181" s="62" t="str">
        <f aca="false">IF(对接源_01库存!$B116="","",对接源_01库存!$B116)</f>
        <v/>
      </c>
      <c r="C181" s="63" t="str">
        <f aca="false">IF($B181="","",对接源_01库存!$C116)</f>
        <v/>
      </c>
      <c r="D181" s="63" t="str">
        <f aca="false">IF($B181="","",对接源_01库存!$D116)</f>
        <v/>
      </c>
      <c r="E181" s="63" t="str">
        <f aca="false">IF($B181="","",对接源_01库存!$E116)</f>
        <v/>
      </c>
      <c r="F181" s="64" t="str">
        <f aca="false">IF($B181="","",N(对接源_01库存!$F116))</f>
        <v/>
      </c>
      <c r="G181" s="65" t="str">
        <f aca="false">IF($B181="","",N(对接源_01库存!$G116))</f>
        <v/>
      </c>
      <c r="H181" s="130" t="str">
        <f aca="false">IF($B181="","",ROUND(N($F181)*N($I181),2))</f>
        <v/>
      </c>
      <c r="I181" s="136"/>
      <c r="J181" s="131" t="str">
        <f aca="false">IF($B181="","",对接源_01库存!$H116)</f>
        <v/>
      </c>
      <c r="K181" s="129"/>
      <c r="L181" s="132" t="str">
        <f aca="false">IF($B181="","",IF(N($I181)=0,"← 这一行还没填单价",""))</f>
        <v/>
      </c>
    </row>
    <row r="182" customFormat="false" ht="15" hidden="false" customHeight="true" outlineLevel="0" collapsed="false">
      <c r="A182" s="63" t="str">
        <f aca="false">IF($B182="","",ROW()-68)</f>
        <v/>
      </c>
      <c r="B182" s="62" t="str">
        <f aca="false">IF(对接源_01库存!$B117="","",对接源_01库存!$B117)</f>
        <v/>
      </c>
      <c r="C182" s="63" t="str">
        <f aca="false">IF($B182="","",对接源_01库存!$C117)</f>
        <v/>
      </c>
      <c r="D182" s="63" t="str">
        <f aca="false">IF($B182="","",对接源_01库存!$D117)</f>
        <v/>
      </c>
      <c r="E182" s="63" t="str">
        <f aca="false">IF($B182="","",对接源_01库存!$E117)</f>
        <v/>
      </c>
      <c r="F182" s="64" t="str">
        <f aca="false">IF($B182="","",N(对接源_01库存!$F117))</f>
        <v/>
      </c>
      <c r="G182" s="65" t="str">
        <f aca="false">IF($B182="","",N(对接源_01库存!$G117))</f>
        <v/>
      </c>
      <c r="H182" s="130" t="str">
        <f aca="false">IF($B182="","",ROUND(N($F182)*N($I182),2))</f>
        <v/>
      </c>
      <c r="I182" s="136"/>
      <c r="J182" s="131" t="str">
        <f aca="false">IF($B182="","",对接源_01库存!$H117)</f>
        <v/>
      </c>
      <c r="K182" s="129"/>
      <c r="L182" s="132" t="str">
        <f aca="false">IF($B182="","",IF(N($I182)=0,"← 这一行还没填单价",""))</f>
        <v/>
      </c>
    </row>
    <row r="183" customFormat="false" ht="15" hidden="false" customHeight="true" outlineLevel="0" collapsed="false">
      <c r="A183" s="63" t="str">
        <f aca="false">IF($B183="","",ROW()-68)</f>
        <v/>
      </c>
      <c r="B183" s="62" t="str">
        <f aca="false">IF(对接源_01库存!$B118="","",对接源_01库存!$B118)</f>
        <v/>
      </c>
      <c r="C183" s="63" t="str">
        <f aca="false">IF($B183="","",对接源_01库存!$C118)</f>
        <v/>
      </c>
      <c r="D183" s="63" t="str">
        <f aca="false">IF($B183="","",对接源_01库存!$D118)</f>
        <v/>
      </c>
      <c r="E183" s="63" t="str">
        <f aca="false">IF($B183="","",对接源_01库存!$E118)</f>
        <v/>
      </c>
      <c r="F183" s="64" t="str">
        <f aca="false">IF($B183="","",N(对接源_01库存!$F118))</f>
        <v/>
      </c>
      <c r="G183" s="65" t="str">
        <f aca="false">IF($B183="","",N(对接源_01库存!$G118))</f>
        <v/>
      </c>
      <c r="H183" s="130" t="str">
        <f aca="false">IF($B183="","",ROUND(N($F183)*N($I183),2))</f>
        <v/>
      </c>
      <c r="I183" s="136"/>
      <c r="J183" s="131" t="str">
        <f aca="false">IF($B183="","",对接源_01库存!$H118)</f>
        <v/>
      </c>
      <c r="K183" s="129"/>
      <c r="L183" s="132" t="str">
        <f aca="false">IF($B183="","",IF(N($I183)=0,"← 这一行还没填单价",""))</f>
        <v/>
      </c>
    </row>
    <row r="184" customFormat="false" ht="15" hidden="false" customHeight="true" outlineLevel="0" collapsed="false">
      <c r="A184" s="63" t="str">
        <f aca="false">IF($B184="","",ROW()-68)</f>
        <v/>
      </c>
      <c r="B184" s="62" t="str">
        <f aca="false">IF(对接源_01库存!$B119="","",对接源_01库存!$B119)</f>
        <v/>
      </c>
      <c r="C184" s="63" t="str">
        <f aca="false">IF($B184="","",对接源_01库存!$C119)</f>
        <v/>
      </c>
      <c r="D184" s="63" t="str">
        <f aca="false">IF($B184="","",对接源_01库存!$D119)</f>
        <v/>
      </c>
      <c r="E184" s="63" t="str">
        <f aca="false">IF($B184="","",对接源_01库存!$E119)</f>
        <v/>
      </c>
      <c r="F184" s="64" t="str">
        <f aca="false">IF($B184="","",N(对接源_01库存!$F119))</f>
        <v/>
      </c>
      <c r="G184" s="65" t="str">
        <f aca="false">IF($B184="","",N(对接源_01库存!$G119))</f>
        <v/>
      </c>
      <c r="H184" s="130" t="str">
        <f aca="false">IF($B184="","",ROUND(N($F184)*N($I184),2))</f>
        <v/>
      </c>
      <c r="I184" s="136"/>
      <c r="J184" s="131" t="str">
        <f aca="false">IF($B184="","",对接源_01库存!$H119)</f>
        <v/>
      </c>
      <c r="K184" s="129"/>
      <c r="L184" s="132" t="str">
        <f aca="false">IF($B184="","",IF(N($I184)=0,"← 这一行还没填单价",""))</f>
        <v/>
      </c>
    </row>
    <row r="185" customFormat="false" ht="15" hidden="false" customHeight="true" outlineLevel="0" collapsed="false">
      <c r="A185" s="63" t="str">
        <f aca="false">IF($B185="","",ROW()-68)</f>
        <v/>
      </c>
      <c r="B185" s="62" t="str">
        <f aca="false">IF(对接源_01库存!$B120="","",对接源_01库存!$B120)</f>
        <v/>
      </c>
      <c r="C185" s="63" t="str">
        <f aca="false">IF($B185="","",对接源_01库存!$C120)</f>
        <v/>
      </c>
      <c r="D185" s="63" t="str">
        <f aca="false">IF($B185="","",对接源_01库存!$D120)</f>
        <v/>
      </c>
      <c r="E185" s="63" t="str">
        <f aca="false">IF($B185="","",对接源_01库存!$E120)</f>
        <v/>
      </c>
      <c r="F185" s="64" t="str">
        <f aca="false">IF($B185="","",N(对接源_01库存!$F120))</f>
        <v/>
      </c>
      <c r="G185" s="65" t="str">
        <f aca="false">IF($B185="","",N(对接源_01库存!$G120))</f>
        <v/>
      </c>
      <c r="H185" s="130" t="str">
        <f aca="false">IF($B185="","",ROUND(N($F185)*N($I185),2))</f>
        <v/>
      </c>
      <c r="I185" s="136"/>
      <c r="J185" s="131" t="str">
        <f aca="false">IF($B185="","",对接源_01库存!$H120)</f>
        <v/>
      </c>
      <c r="K185" s="129"/>
      <c r="L185" s="132" t="str">
        <f aca="false">IF($B185="","",IF(N($I185)=0,"← 这一行还没填单价",""))</f>
        <v/>
      </c>
    </row>
    <row r="186" customFormat="false" ht="15" hidden="false" customHeight="true" outlineLevel="0" collapsed="false">
      <c r="A186" s="63" t="str">
        <f aca="false">IF($B186="","",ROW()-68)</f>
        <v/>
      </c>
      <c r="B186" s="62" t="str">
        <f aca="false">IF(对接源_01库存!$B121="","",对接源_01库存!$B121)</f>
        <v/>
      </c>
      <c r="C186" s="63" t="str">
        <f aca="false">IF($B186="","",对接源_01库存!$C121)</f>
        <v/>
      </c>
      <c r="D186" s="63" t="str">
        <f aca="false">IF($B186="","",对接源_01库存!$D121)</f>
        <v/>
      </c>
      <c r="E186" s="63" t="str">
        <f aca="false">IF($B186="","",对接源_01库存!$E121)</f>
        <v/>
      </c>
      <c r="F186" s="64" t="str">
        <f aca="false">IF($B186="","",N(对接源_01库存!$F121))</f>
        <v/>
      </c>
      <c r="G186" s="65" t="str">
        <f aca="false">IF($B186="","",N(对接源_01库存!$G121))</f>
        <v/>
      </c>
      <c r="H186" s="130" t="str">
        <f aca="false">IF($B186="","",ROUND(N($F186)*N($I186),2))</f>
        <v/>
      </c>
      <c r="I186" s="136"/>
      <c r="J186" s="131" t="str">
        <f aca="false">IF($B186="","",对接源_01库存!$H121)</f>
        <v/>
      </c>
      <c r="K186" s="129"/>
      <c r="L186" s="132" t="str">
        <f aca="false">IF($B186="","",IF(N($I186)=0,"← 这一行还没填单价",""))</f>
        <v/>
      </c>
    </row>
    <row r="187" customFormat="false" ht="15" hidden="false" customHeight="true" outlineLevel="0" collapsed="false">
      <c r="A187" s="63" t="str">
        <f aca="false">IF($B187="","",ROW()-68)</f>
        <v/>
      </c>
      <c r="B187" s="62" t="str">
        <f aca="false">IF(对接源_01库存!$B122="","",对接源_01库存!$B122)</f>
        <v/>
      </c>
      <c r="C187" s="63" t="str">
        <f aca="false">IF($B187="","",对接源_01库存!$C122)</f>
        <v/>
      </c>
      <c r="D187" s="63" t="str">
        <f aca="false">IF($B187="","",对接源_01库存!$D122)</f>
        <v/>
      </c>
      <c r="E187" s="63" t="str">
        <f aca="false">IF($B187="","",对接源_01库存!$E122)</f>
        <v/>
      </c>
      <c r="F187" s="64" t="str">
        <f aca="false">IF($B187="","",N(对接源_01库存!$F122))</f>
        <v/>
      </c>
      <c r="G187" s="65" t="str">
        <f aca="false">IF($B187="","",N(对接源_01库存!$G122))</f>
        <v/>
      </c>
      <c r="H187" s="130" t="str">
        <f aca="false">IF($B187="","",ROUND(N($F187)*N($I187),2))</f>
        <v/>
      </c>
      <c r="I187" s="136"/>
      <c r="J187" s="131" t="str">
        <f aca="false">IF($B187="","",对接源_01库存!$H122)</f>
        <v/>
      </c>
      <c r="K187" s="129"/>
      <c r="L187" s="132" t="str">
        <f aca="false">IF($B187="","",IF(N($I187)=0,"← 这一行还没填单价",""))</f>
        <v/>
      </c>
    </row>
    <row r="188" customFormat="false" ht="15" hidden="false" customHeight="true" outlineLevel="0" collapsed="false">
      <c r="A188" s="63" t="str">
        <f aca="false">IF($B188="","",ROW()-68)</f>
        <v/>
      </c>
      <c r="B188" s="62" t="str">
        <f aca="false">IF(对接源_01库存!$B123="","",对接源_01库存!$B123)</f>
        <v/>
      </c>
      <c r="C188" s="63" t="str">
        <f aca="false">IF($B188="","",对接源_01库存!$C123)</f>
        <v/>
      </c>
      <c r="D188" s="63" t="str">
        <f aca="false">IF($B188="","",对接源_01库存!$D123)</f>
        <v/>
      </c>
      <c r="E188" s="63" t="str">
        <f aca="false">IF($B188="","",对接源_01库存!$E123)</f>
        <v/>
      </c>
      <c r="F188" s="64" t="str">
        <f aca="false">IF($B188="","",N(对接源_01库存!$F123))</f>
        <v/>
      </c>
      <c r="G188" s="65" t="str">
        <f aca="false">IF($B188="","",N(对接源_01库存!$G123))</f>
        <v/>
      </c>
      <c r="H188" s="130" t="str">
        <f aca="false">IF($B188="","",ROUND(N($F188)*N($I188),2))</f>
        <v/>
      </c>
      <c r="I188" s="136"/>
      <c r="J188" s="131" t="str">
        <f aca="false">IF($B188="","",对接源_01库存!$H123)</f>
        <v/>
      </c>
      <c r="K188" s="129"/>
      <c r="L188" s="132" t="str">
        <f aca="false">IF($B188="","",IF(N($I188)=0,"← 这一行还没填单价",""))</f>
        <v/>
      </c>
    </row>
    <row r="189" customFormat="false" ht="15" hidden="false" customHeight="true" outlineLevel="0" collapsed="false">
      <c r="A189" s="63" t="str">
        <f aca="false">IF($B189="","",ROW()-68)</f>
        <v/>
      </c>
      <c r="B189" s="62" t="str">
        <f aca="false">IF(对接源_01库存!$B124="","",对接源_01库存!$B124)</f>
        <v/>
      </c>
      <c r="C189" s="63" t="str">
        <f aca="false">IF($B189="","",对接源_01库存!$C124)</f>
        <v/>
      </c>
      <c r="D189" s="63" t="str">
        <f aca="false">IF($B189="","",对接源_01库存!$D124)</f>
        <v/>
      </c>
      <c r="E189" s="63" t="str">
        <f aca="false">IF($B189="","",对接源_01库存!$E124)</f>
        <v/>
      </c>
      <c r="F189" s="64" t="str">
        <f aca="false">IF($B189="","",N(对接源_01库存!$F124))</f>
        <v/>
      </c>
      <c r="G189" s="65" t="str">
        <f aca="false">IF($B189="","",N(对接源_01库存!$G124))</f>
        <v/>
      </c>
      <c r="H189" s="130" t="str">
        <f aca="false">IF($B189="","",ROUND(N($F189)*N($I189),2))</f>
        <v/>
      </c>
      <c r="I189" s="136"/>
      <c r="J189" s="131" t="str">
        <f aca="false">IF($B189="","",对接源_01库存!$H124)</f>
        <v/>
      </c>
      <c r="K189" s="129"/>
      <c r="L189" s="132" t="str">
        <f aca="false">IF($B189="","",IF(N($I189)=0,"← 这一行还没填单价",""))</f>
        <v/>
      </c>
    </row>
    <row r="190" customFormat="false" ht="15" hidden="false" customHeight="true" outlineLevel="0" collapsed="false">
      <c r="A190" s="63" t="str">
        <f aca="false">IF($B190="","",ROW()-68)</f>
        <v/>
      </c>
      <c r="B190" s="62" t="str">
        <f aca="false">IF(对接源_01库存!$B125="","",对接源_01库存!$B125)</f>
        <v/>
      </c>
      <c r="C190" s="63" t="str">
        <f aca="false">IF($B190="","",对接源_01库存!$C125)</f>
        <v/>
      </c>
      <c r="D190" s="63" t="str">
        <f aca="false">IF($B190="","",对接源_01库存!$D125)</f>
        <v/>
      </c>
      <c r="E190" s="63" t="str">
        <f aca="false">IF($B190="","",对接源_01库存!$E125)</f>
        <v/>
      </c>
      <c r="F190" s="64" t="str">
        <f aca="false">IF($B190="","",N(对接源_01库存!$F125))</f>
        <v/>
      </c>
      <c r="G190" s="65" t="str">
        <f aca="false">IF($B190="","",N(对接源_01库存!$G125))</f>
        <v/>
      </c>
      <c r="H190" s="130" t="str">
        <f aca="false">IF($B190="","",ROUND(N($F190)*N($I190),2))</f>
        <v/>
      </c>
      <c r="I190" s="136"/>
      <c r="J190" s="131" t="str">
        <f aca="false">IF($B190="","",对接源_01库存!$H125)</f>
        <v/>
      </c>
      <c r="K190" s="129"/>
      <c r="L190" s="132" t="str">
        <f aca="false">IF($B190="","",IF(N($I190)=0,"← 这一行还没填单价",""))</f>
        <v/>
      </c>
    </row>
    <row r="191" customFormat="false" ht="15" hidden="false" customHeight="true" outlineLevel="0" collapsed="false">
      <c r="A191" s="63" t="str">
        <f aca="false">IF($B191="","",ROW()-68)</f>
        <v/>
      </c>
      <c r="B191" s="62" t="str">
        <f aca="false">IF(对接源_01库存!$B126="","",对接源_01库存!$B126)</f>
        <v/>
      </c>
      <c r="C191" s="63" t="str">
        <f aca="false">IF($B191="","",对接源_01库存!$C126)</f>
        <v/>
      </c>
      <c r="D191" s="63" t="str">
        <f aca="false">IF($B191="","",对接源_01库存!$D126)</f>
        <v/>
      </c>
      <c r="E191" s="63" t="str">
        <f aca="false">IF($B191="","",对接源_01库存!$E126)</f>
        <v/>
      </c>
      <c r="F191" s="64" t="str">
        <f aca="false">IF($B191="","",N(对接源_01库存!$F126))</f>
        <v/>
      </c>
      <c r="G191" s="65" t="str">
        <f aca="false">IF($B191="","",N(对接源_01库存!$G126))</f>
        <v/>
      </c>
      <c r="H191" s="130" t="str">
        <f aca="false">IF($B191="","",ROUND(N($F191)*N($I191),2))</f>
        <v/>
      </c>
      <c r="I191" s="136"/>
      <c r="J191" s="131" t="str">
        <f aca="false">IF($B191="","",对接源_01库存!$H126)</f>
        <v/>
      </c>
      <c r="K191" s="129"/>
      <c r="L191" s="132" t="str">
        <f aca="false">IF($B191="","",IF(N($I191)=0,"← 这一行还没填单价",""))</f>
        <v/>
      </c>
    </row>
    <row r="192" customFormat="false" ht="15" hidden="false" customHeight="true" outlineLevel="0" collapsed="false">
      <c r="A192" s="63" t="str">
        <f aca="false">IF($B192="","",ROW()-68)</f>
        <v/>
      </c>
      <c r="B192" s="62" t="str">
        <f aca="false">IF(对接源_01库存!$B127="","",对接源_01库存!$B127)</f>
        <v/>
      </c>
      <c r="C192" s="63" t="str">
        <f aca="false">IF($B192="","",对接源_01库存!$C127)</f>
        <v/>
      </c>
      <c r="D192" s="63" t="str">
        <f aca="false">IF($B192="","",对接源_01库存!$D127)</f>
        <v/>
      </c>
      <c r="E192" s="63" t="str">
        <f aca="false">IF($B192="","",对接源_01库存!$E127)</f>
        <v/>
      </c>
      <c r="F192" s="64" t="str">
        <f aca="false">IF($B192="","",N(对接源_01库存!$F127))</f>
        <v/>
      </c>
      <c r="G192" s="65" t="str">
        <f aca="false">IF($B192="","",N(对接源_01库存!$G127))</f>
        <v/>
      </c>
      <c r="H192" s="130" t="str">
        <f aca="false">IF($B192="","",ROUND(N($F192)*N($I192),2))</f>
        <v/>
      </c>
      <c r="I192" s="136"/>
      <c r="J192" s="131" t="str">
        <f aca="false">IF($B192="","",对接源_01库存!$H127)</f>
        <v/>
      </c>
      <c r="K192" s="129"/>
      <c r="L192" s="132" t="str">
        <f aca="false">IF($B192="","",IF(N($I192)=0,"← 这一行还没填单价",""))</f>
        <v/>
      </c>
    </row>
    <row r="193" customFormat="false" ht="15" hidden="false" customHeight="true" outlineLevel="0" collapsed="false">
      <c r="A193" s="63" t="str">
        <f aca="false">IF($B193="","",ROW()-68)</f>
        <v/>
      </c>
      <c r="B193" s="62" t="str">
        <f aca="false">IF(对接源_01库存!$B128="","",对接源_01库存!$B128)</f>
        <v/>
      </c>
      <c r="C193" s="63" t="str">
        <f aca="false">IF($B193="","",对接源_01库存!$C128)</f>
        <v/>
      </c>
      <c r="D193" s="63" t="str">
        <f aca="false">IF($B193="","",对接源_01库存!$D128)</f>
        <v/>
      </c>
      <c r="E193" s="63" t="str">
        <f aca="false">IF($B193="","",对接源_01库存!$E128)</f>
        <v/>
      </c>
      <c r="F193" s="64" t="str">
        <f aca="false">IF($B193="","",N(对接源_01库存!$F128))</f>
        <v/>
      </c>
      <c r="G193" s="65" t="str">
        <f aca="false">IF($B193="","",N(对接源_01库存!$G128))</f>
        <v/>
      </c>
      <c r="H193" s="130" t="str">
        <f aca="false">IF($B193="","",ROUND(N($F193)*N($I193),2))</f>
        <v/>
      </c>
      <c r="I193" s="136"/>
      <c r="J193" s="131" t="str">
        <f aca="false">IF($B193="","",对接源_01库存!$H128)</f>
        <v/>
      </c>
      <c r="K193" s="129"/>
      <c r="L193" s="132" t="str">
        <f aca="false">IF($B193="","",IF(N($I193)=0,"← 这一行还没填单价",""))</f>
        <v/>
      </c>
    </row>
    <row r="194" customFormat="false" ht="15" hidden="false" customHeight="true" outlineLevel="0" collapsed="false">
      <c r="A194" s="63" t="str">
        <f aca="false">IF($B194="","",ROW()-68)</f>
        <v/>
      </c>
      <c r="B194" s="62" t="str">
        <f aca="false">IF(对接源_01库存!$B129="","",对接源_01库存!$B129)</f>
        <v/>
      </c>
      <c r="C194" s="63" t="str">
        <f aca="false">IF($B194="","",对接源_01库存!$C129)</f>
        <v/>
      </c>
      <c r="D194" s="63" t="str">
        <f aca="false">IF($B194="","",对接源_01库存!$D129)</f>
        <v/>
      </c>
      <c r="E194" s="63" t="str">
        <f aca="false">IF($B194="","",对接源_01库存!$E129)</f>
        <v/>
      </c>
      <c r="F194" s="64" t="str">
        <f aca="false">IF($B194="","",N(对接源_01库存!$F129))</f>
        <v/>
      </c>
      <c r="G194" s="65" t="str">
        <f aca="false">IF($B194="","",N(对接源_01库存!$G129))</f>
        <v/>
      </c>
      <c r="H194" s="130" t="str">
        <f aca="false">IF($B194="","",ROUND(N($F194)*N($I194),2))</f>
        <v/>
      </c>
      <c r="I194" s="136"/>
      <c r="J194" s="131" t="str">
        <f aca="false">IF($B194="","",对接源_01库存!$H129)</f>
        <v/>
      </c>
      <c r="K194" s="129"/>
      <c r="L194" s="132" t="str">
        <f aca="false">IF($B194="","",IF(N($I194)=0,"← 这一行还没填单价",""))</f>
        <v/>
      </c>
    </row>
    <row r="195" customFormat="false" ht="15" hidden="false" customHeight="true" outlineLevel="0" collapsed="false">
      <c r="A195" s="63" t="str">
        <f aca="false">IF($B195="","",ROW()-68)</f>
        <v/>
      </c>
      <c r="B195" s="62" t="str">
        <f aca="false">IF(对接源_01库存!$B130="","",对接源_01库存!$B130)</f>
        <v/>
      </c>
      <c r="C195" s="63" t="str">
        <f aca="false">IF($B195="","",对接源_01库存!$C130)</f>
        <v/>
      </c>
      <c r="D195" s="63" t="str">
        <f aca="false">IF($B195="","",对接源_01库存!$D130)</f>
        <v/>
      </c>
      <c r="E195" s="63" t="str">
        <f aca="false">IF($B195="","",对接源_01库存!$E130)</f>
        <v/>
      </c>
      <c r="F195" s="64" t="str">
        <f aca="false">IF($B195="","",N(对接源_01库存!$F130))</f>
        <v/>
      </c>
      <c r="G195" s="65" t="str">
        <f aca="false">IF($B195="","",N(对接源_01库存!$G130))</f>
        <v/>
      </c>
      <c r="H195" s="130" t="str">
        <f aca="false">IF($B195="","",ROUND(N($F195)*N($I195),2))</f>
        <v/>
      </c>
      <c r="I195" s="136"/>
      <c r="J195" s="131" t="str">
        <f aca="false">IF($B195="","",对接源_01库存!$H130)</f>
        <v/>
      </c>
      <c r="K195" s="129"/>
      <c r="L195" s="132" t="str">
        <f aca="false">IF($B195="","",IF(N($I195)=0,"← 这一行还没填单价",""))</f>
        <v/>
      </c>
    </row>
    <row r="196" customFormat="false" ht="15" hidden="false" customHeight="true" outlineLevel="0" collapsed="false">
      <c r="A196" s="63" t="str">
        <f aca="false">IF($B196="","",ROW()-68)</f>
        <v/>
      </c>
      <c r="B196" s="62" t="str">
        <f aca="false">IF(对接源_01库存!$B131="","",对接源_01库存!$B131)</f>
        <v/>
      </c>
      <c r="C196" s="63" t="str">
        <f aca="false">IF($B196="","",对接源_01库存!$C131)</f>
        <v/>
      </c>
      <c r="D196" s="63" t="str">
        <f aca="false">IF($B196="","",对接源_01库存!$D131)</f>
        <v/>
      </c>
      <c r="E196" s="63" t="str">
        <f aca="false">IF($B196="","",对接源_01库存!$E131)</f>
        <v/>
      </c>
      <c r="F196" s="64" t="str">
        <f aca="false">IF($B196="","",N(对接源_01库存!$F131))</f>
        <v/>
      </c>
      <c r="G196" s="65" t="str">
        <f aca="false">IF($B196="","",N(对接源_01库存!$G131))</f>
        <v/>
      </c>
      <c r="H196" s="130" t="str">
        <f aca="false">IF($B196="","",ROUND(N($F196)*N($I196),2))</f>
        <v/>
      </c>
      <c r="I196" s="136"/>
      <c r="J196" s="131" t="str">
        <f aca="false">IF($B196="","",对接源_01库存!$H131)</f>
        <v/>
      </c>
      <c r="K196" s="129"/>
      <c r="L196" s="132" t="str">
        <f aca="false">IF($B196="","",IF(N($I196)=0,"← 这一行还没填单价",""))</f>
        <v/>
      </c>
    </row>
    <row r="197" customFormat="false" ht="15" hidden="false" customHeight="true" outlineLevel="0" collapsed="false">
      <c r="A197" s="63" t="str">
        <f aca="false">IF($B197="","",ROW()-68)</f>
        <v/>
      </c>
      <c r="B197" s="62" t="str">
        <f aca="false">IF(对接源_01库存!$B132="","",对接源_01库存!$B132)</f>
        <v/>
      </c>
      <c r="C197" s="63" t="str">
        <f aca="false">IF($B197="","",对接源_01库存!$C132)</f>
        <v/>
      </c>
      <c r="D197" s="63" t="str">
        <f aca="false">IF($B197="","",对接源_01库存!$D132)</f>
        <v/>
      </c>
      <c r="E197" s="63" t="str">
        <f aca="false">IF($B197="","",对接源_01库存!$E132)</f>
        <v/>
      </c>
      <c r="F197" s="64" t="str">
        <f aca="false">IF($B197="","",N(对接源_01库存!$F132))</f>
        <v/>
      </c>
      <c r="G197" s="65" t="str">
        <f aca="false">IF($B197="","",N(对接源_01库存!$G132))</f>
        <v/>
      </c>
      <c r="H197" s="130" t="str">
        <f aca="false">IF($B197="","",ROUND(N($F197)*N($I197),2))</f>
        <v/>
      </c>
      <c r="I197" s="136"/>
      <c r="J197" s="131" t="str">
        <f aca="false">IF($B197="","",对接源_01库存!$H132)</f>
        <v/>
      </c>
      <c r="K197" s="129"/>
      <c r="L197" s="132" t="str">
        <f aca="false">IF($B197="","",IF(N($I197)=0,"← 这一行还没填单价",""))</f>
        <v/>
      </c>
    </row>
    <row r="198" customFormat="false" ht="15" hidden="false" customHeight="true" outlineLevel="0" collapsed="false">
      <c r="A198" s="63" t="str">
        <f aca="false">IF($B198="","",ROW()-68)</f>
        <v/>
      </c>
      <c r="B198" s="62" t="str">
        <f aca="false">IF(对接源_01库存!$B133="","",对接源_01库存!$B133)</f>
        <v/>
      </c>
      <c r="C198" s="63" t="str">
        <f aca="false">IF($B198="","",对接源_01库存!$C133)</f>
        <v/>
      </c>
      <c r="D198" s="63" t="str">
        <f aca="false">IF($B198="","",对接源_01库存!$D133)</f>
        <v/>
      </c>
      <c r="E198" s="63" t="str">
        <f aca="false">IF($B198="","",对接源_01库存!$E133)</f>
        <v/>
      </c>
      <c r="F198" s="64" t="str">
        <f aca="false">IF($B198="","",N(对接源_01库存!$F133))</f>
        <v/>
      </c>
      <c r="G198" s="65" t="str">
        <f aca="false">IF($B198="","",N(对接源_01库存!$G133))</f>
        <v/>
      </c>
      <c r="H198" s="130" t="str">
        <f aca="false">IF($B198="","",ROUND(N($F198)*N($I198),2))</f>
        <v/>
      </c>
      <c r="I198" s="136"/>
      <c r="J198" s="131" t="str">
        <f aca="false">IF($B198="","",对接源_01库存!$H133)</f>
        <v/>
      </c>
      <c r="K198" s="129"/>
      <c r="L198" s="132" t="str">
        <f aca="false">IF($B198="","",IF(N($I198)=0,"← 这一行还没填单价",""))</f>
        <v/>
      </c>
    </row>
    <row r="199" customFormat="false" ht="15" hidden="false" customHeight="true" outlineLevel="0" collapsed="false">
      <c r="A199" s="63" t="str">
        <f aca="false">IF($B199="","",ROW()-68)</f>
        <v/>
      </c>
      <c r="B199" s="62" t="str">
        <f aca="false">IF(对接源_01库存!$B134="","",对接源_01库存!$B134)</f>
        <v/>
      </c>
      <c r="C199" s="63" t="str">
        <f aca="false">IF($B199="","",对接源_01库存!$C134)</f>
        <v/>
      </c>
      <c r="D199" s="63" t="str">
        <f aca="false">IF($B199="","",对接源_01库存!$D134)</f>
        <v/>
      </c>
      <c r="E199" s="63" t="str">
        <f aca="false">IF($B199="","",对接源_01库存!$E134)</f>
        <v/>
      </c>
      <c r="F199" s="64" t="str">
        <f aca="false">IF($B199="","",N(对接源_01库存!$F134))</f>
        <v/>
      </c>
      <c r="G199" s="65" t="str">
        <f aca="false">IF($B199="","",N(对接源_01库存!$G134))</f>
        <v/>
      </c>
      <c r="H199" s="130" t="str">
        <f aca="false">IF($B199="","",ROUND(N($F199)*N($I199),2))</f>
        <v/>
      </c>
      <c r="I199" s="136"/>
      <c r="J199" s="131" t="str">
        <f aca="false">IF($B199="","",对接源_01库存!$H134)</f>
        <v/>
      </c>
      <c r="K199" s="129"/>
      <c r="L199" s="132" t="str">
        <f aca="false">IF($B199="","",IF(N($I199)=0,"← 这一行还没填单价",""))</f>
        <v/>
      </c>
    </row>
    <row r="200" customFormat="false" ht="15" hidden="false" customHeight="true" outlineLevel="0" collapsed="false">
      <c r="A200" s="63" t="str">
        <f aca="false">IF($B200="","",ROW()-68)</f>
        <v/>
      </c>
      <c r="B200" s="62" t="str">
        <f aca="false">IF(对接源_01库存!$B135="","",对接源_01库存!$B135)</f>
        <v/>
      </c>
      <c r="C200" s="63" t="str">
        <f aca="false">IF($B200="","",对接源_01库存!$C135)</f>
        <v/>
      </c>
      <c r="D200" s="63" t="str">
        <f aca="false">IF($B200="","",对接源_01库存!$D135)</f>
        <v/>
      </c>
      <c r="E200" s="63" t="str">
        <f aca="false">IF($B200="","",对接源_01库存!$E135)</f>
        <v/>
      </c>
      <c r="F200" s="64" t="str">
        <f aca="false">IF($B200="","",N(对接源_01库存!$F135))</f>
        <v/>
      </c>
      <c r="G200" s="65" t="str">
        <f aca="false">IF($B200="","",N(对接源_01库存!$G135))</f>
        <v/>
      </c>
      <c r="H200" s="130" t="str">
        <f aca="false">IF($B200="","",ROUND(N($F200)*N($I200),2))</f>
        <v/>
      </c>
      <c r="I200" s="136"/>
      <c r="J200" s="131" t="str">
        <f aca="false">IF($B200="","",对接源_01库存!$H135)</f>
        <v/>
      </c>
      <c r="K200" s="129"/>
      <c r="L200" s="132" t="str">
        <f aca="false">IF($B200="","",IF(N($I200)=0,"← 这一行还没填单价",""))</f>
        <v/>
      </c>
    </row>
    <row r="201" customFormat="false" ht="15" hidden="false" customHeight="true" outlineLevel="0" collapsed="false">
      <c r="A201" s="63" t="str">
        <f aca="false">IF($B201="","",ROW()-68)</f>
        <v/>
      </c>
      <c r="B201" s="62" t="str">
        <f aca="false">IF(对接源_01库存!$B136="","",对接源_01库存!$B136)</f>
        <v/>
      </c>
      <c r="C201" s="63" t="str">
        <f aca="false">IF($B201="","",对接源_01库存!$C136)</f>
        <v/>
      </c>
      <c r="D201" s="63" t="str">
        <f aca="false">IF($B201="","",对接源_01库存!$D136)</f>
        <v/>
      </c>
      <c r="E201" s="63" t="str">
        <f aca="false">IF($B201="","",对接源_01库存!$E136)</f>
        <v/>
      </c>
      <c r="F201" s="64" t="str">
        <f aca="false">IF($B201="","",N(对接源_01库存!$F136))</f>
        <v/>
      </c>
      <c r="G201" s="65" t="str">
        <f aca="false">IF($B201="","",N(对接源_01库存!$G136))</f>
        <v/>
      </c>
      <c r="H201" s="130" t="str">
        <f aca="false">IF($B201="","",ROUND(N($F201)*N($I201),2))</f>
        <v/>
      </c>
      <c r="I201" s="136"/>
      <c r="J201" s="131" t="str">
        <f aca="false">IF($B201="","",对接源_01库存!$H136)</f>
        <v/>
      </c>
      <c r="K201" s="129"/>
      <c r="L201" s="132" t="str">
        <f aca="false">IF($B201="","",IF(N($I201)=0,"← 这一行还没填单价",""))</f>
        <v/>
      </c>
    </row>
    <row r="202" customFormat="false" ht="15" hidden="false" customHeight="true" outlineLevel="0" collapsed="false">
      <c r="A202" s="63" t="str">
        <f aca="false">IF($B202="","",ROW()-68)</f>
        <v/>
      </c>
      <c r="B202" s="62" t="str">
        <f aca="false">IF(对接源_01库存!$B137="","",对接源_01库存!$B137)</f>
        <v/>
      </c>
      <c r="C202" s="63" t="str">
        <f aca="false">IF($B202="","",对接源_01库存!$C137)</f>
        <v/>
      </c>
      <c r="D202" s="63" t="str">
        <f aca="false">IF($B202="","",对接源_01库存!$D137)</f>
        <v/>
      </c>
      <c r="E202" s="63" t="str">
        <f aca="false">IF($B202="","",对接源_01库存!$E137)</f>
        <v/>
      </c>
      <c r="F202" s="64" t="str">
        <f aca="false">IF($B202="","",N(对接源_01库存!$F137))</f>
        <v/>
      </c>
      <c r="G202" s="65" t="str">
        <f aca="false">IF($B202="","",N(对接源_01库存!$G137))</f>
        <v/>
      </c>
      <c r="H202" s="130" t="str">
        <f aca="false">IF($B202="","",ROUND(N($F202)*N($I202),2))</f>
        <v/>
      </c>
      <c r="I202" s="136"/>
      <c r="J202" s="131" t="str">
        <f aca="false">IF($B202="","",对接源_01库存!$H137)</f>
        <v/>
      </c>
      <c r="K202" s="129"/>
      <c r="L202" s="132" t="str">
        <f aca="false">IF($B202="","",IF(N($I202)=0,"← 这一行还没填单价",""))</f>
        <v/>
      </c>
    </row>
    <row r="203" customFormat="false" ht="15" hidden="false" customHeight="true" outlineLevel="0" collapsed="false">
      <c r="A203" s="63" t="str">
        <f aca="false">IF($B203="","",ROW()-68)</f>
        <v/>
      </c>
      <c r="B203" s="62" t="str">
        <f aca="false">IF(对接源_01库存!$B138="","",对接源_01库存!$B138)</f>
        <v/>
      </c>
      <c r="C203" s="63" t="str">
        <f aca="false">IF($B203="","",对接源_01库存!$C138)</f>
        <v/>
      </c>
      <c r="D203" s="63" t="str">
        <f aca="false">IF($B203="","",对接源_01库存!$D138)</f>
        <v/>
      </c>
      <c r="E203" s="63" t="str">
        <f aca="false">IF($B203="","",对接源_01库存!$E138)</f>
        <v/>
      </c>
      <c r="F203" s="64" t="str">
        <f aca="false">IF($B203="","",N(对接源_01库存!$F138))</f>
        <v/>
      </c>
      <c r="G203" s="65" t="str">
        <f aca="false">IF($B203="","",N(对接源_01库存!$G138))</f>
        <v/>
      </c>
      <c r="H203" s="130" t="str">
        <f aca="false">IF($B203="","",ROUND(N($F203)*N($I203),2))</f>
        <v/>
      </c>
      <c r="I203" s="136"/>
      <c r="J203" s="131" t="str">
        <f aca="false">IF($B203="","",对接源_01库存!$H138)</f>
        <v/>
      </c>
      <c r="K203" s="129"/>
      <c r="L203" s="132" t="str">
        <f aca="false">IF($B203="","",IF(N($I203)=0,"← 这一行还没填单价",""))</f>
        <v/>
      </c>
    </row>
    <row r="204" customFormat="false" ht="15" hidden="false" customHeight="true" outlineLevel="0" collapsed="false">
      <c r="A204" s="63" t="str">
        <f aca="false">IF($B204="","",ROW()-68)</f>
        <v/>
      </c>
      <c r="B204" s="62" t="str">
        <f aca="false">IF(对接源_01库存!$B139="","",对接源_01库存!$B139)</f>
        <v/>
      </c>
      <c r="C204" s="63" t="str">
        <f aca="false">IF($B204="","",对接源_01库存!$C139)</f>
        <v/>
      </c>
      <c r="D204" s="63" t="str">
        <f aca="false">IF($B204="","",对接源_01库存!$D139)</f>
        <v/>
      </c>
      <c r="E204" s="63" t="str">
        <f aca="false">IF($B204="","",对接源_01库存!$E139)</f>
        <v/>
      </c>
      <c r="F204" s="64" t="str">
        <f aca="false">IF($B204="","",N(对接源_01库存!$F139))</f>
        <v/>
      </c>
      <c r="G204" s="65" t="str">
        <f aca="false">IF($B204="","",N(对接源_01库存!$G139))</f>
        <v/>
      </c>
      <c r="H204" s="130" t="str">
        <f aca="false">IF($B204="","",ROUND(N($F204)*N($I204),2))</f>
        <v/>
      </c>
      <c r="I204" s="136"/>
      <c r="J204" s="131" t="str">
        <f aca="false">IF($B204="","",对接源_01库存!$H139)</f>
        <v/>
      </c>
      <c r="K204" s="129"/>
      <c r="L204" s="132" t="str">
        <f aca="false">IF($B204="","",IF(N($I204)=0,"← 这一行还没填单价",""))</f>
        <v/>
      </c>
    </row>
    <row r="205" customFormat="false" ht="15" hidden="false" customHeight="true" outlineLevel="0" collapsed="false">
      <c r="A205" s="63" t="str">
        <f aca="false">IF($B205="","",ROW()-68)</f>
        <v/>
      </c>
      <c r="B205" s="62" t="str">
        <f aca="false">IF(对接源_01库存!$B140="","",对接源_01库存!$B140)</f>
        <v/>
      </c>
      <c r="C205" s="63" t="str">
        <f aca="false">IF($B205="","",对接源_01库存!$C140)</f>
        <v/>
      </c>
      <c r="D205" s="63" t="str">
        <f aca="false">IF($B205="","",对接源_01库存!$D140)</f>
        <v/>
      </c>
      <c r="E205" s="63" t="str">
        <f aca="false">IF($B205="","",对接源_01库存!$E140)</f>
        <v/>
      </c>
      <c r="F205" s="64" t="str">
        <f aca="false">IF($B205="","",N(对接源_01库存!$F140))</f>
        <v/>
      </c>
      <c r="G205" s="65" t="str">
        <f aca="false">IF($B205="","",N(对接源_01库存!$G140))</f>
        <v/>
      </c>
      <c r="H205" s="130" t="str">
        <f aca="false">IF($B205="","",ROUND(N($F205)*N($I205),2))</f>
        <v/>
      </c>
      <c r="I205" s="136"/>
      <c r="J205" s="131" t="str">
        <f aca="false">IF($B205="","",对接源_01库存!$H140)</f>
        <v/>
      </c>
      <c r="K205" s="129"/>
      <c r="L205" s="132" t="str">
        <f aca="false">IF($B205="","",IF(N($I205)=0,"← 这一行还没填单价",""))</f>
        <v/>
      </c>
    </row>
    <row r="206" customFormat="false" ht="15" hidden="false" customHeight="true" outlineLevel="0" collapsed="false">
      <c r="A206" s="63" t="str">
        <f aca="false">IF($B206="","",ROW()-68)</f>
        <v/>
      </c>
      <c r="B206" s="62" t="str">
        <f aca="false">IF(对接源_01库存!$B141="","",对接源_01库存!$B141)</f>
        <v/>
      </c>
      <c r="C206" s="63" t="str">
        <f aca="false">IF($B206="","",对接源_01库存!$C141)</f>
        <v/>
      </c>
      <c r="D206" s="63" t="str">
        <f aca="false">IF($B206="","",对接源_01库存!$D141)</f>
        <v/>
      </c>
      <c r="E206" s="63" t="str">
        <f aca="false">IF($B206="","",对接源_01库存!$E141)</f>
        <v/>
      </c>
      <c r="F206" s="64" t="str">
        <f aca="false">IF($B206="","",N(对接源_01库存!$F141))</f>
        <v/>
      </c>
      <c r="G206" s="65" t="str">
        <f aca="false">IF($B206="","",N(对接源_01库存!$G141))</f>
        <v/>
      </c>
      <c r="H206" s="130" t="str">
        <f aca="false">IF($B206="","",ROUND(N($F206)*N($I206),2))</f>
        <v/>
      </c>
      <c r="I206" s="136"/>
      <c r="J206" s="131" t="str">
        <f aca="false">IF($B206="","",对接源_01库存!$H141)</f>
        <v/>
      </c>
      <c r="K206" s="129"/>
      <c r="L206" s="132" t="str">
        <f aca="false">IF($B206="","",IF(N($I206)=0,"← 这一行还没填单价",""))</f>
        <v/>
      </c>
    </row>
    <row r="207" customFormat="false" ht="15" hidden="false" customHeight="true" outlineLevel="0" collapsed="false">
      <c r="A207" s="63" t="str">
        <f aca="false">IF($B207="","",ROW()-68)</f>
        <v/>
      </c>
      <c r="B207" s="62" t="str">
        <f aca="false">IF(对接源_01库存!$B142="","",对接源_01库存!$B142)</f>
        <v/>
      </c>
      <c r="C207" s="63" t="str">
        <f aca="false">IF($B207="","",对接源_01库存!$C142)</f>
        <v/>
      </c>
      <c r="D207" s="63" t="str">
        <f aca="false">IF($B207="","",对接源_01库存!$D142)</f>
        <v/>
      </c>
      <c r="E207" s="63" t="str">
        <f aca="false">IF($B207="","",对接源_01库存!$E142)</f>
        <v/>
      </c>
      <c r="F207" s="64" t="str">
        <f aca="false">IF($B207="","",N(对接源_01库存!$F142))</f>
        <v/>
      </c>
      <c r="G207" s="65" t="str">
        <f aca="false">IF($B207="","",N(对接源_01库存!$G142))</f>
        <v/>
      </c>
      <c r="H207" s="130" t="str">
        <f aca="false">IF($B207="","",ROUND(N($F207)*N($I207),2))</f>
        <v/>
      </c>
      <c r="I207" s="136"/>
      <c r="J207" s="131" t="str">
        <f aca="false">IF($B207="","",对接源_01库存!$H142)</f>
        <v/>
      </c>
      <c r="K207" s="129"/>
      <c r="L207" s="132" t="str">
        <f aca="false">IF($B207="","",IF(N($I207)=0,"← 这一行还没填单价",""))</f>
        <v/>
      </c>
    </row>
    <row r="208" customFormat="false" ht="15" hidden="false" customHeight="true" outlineLevel="0" collapsed="false">
      <c r="A208" s="63" t="str">
        <f aca="false">IF($B208="","",ROW()-68)</f>
        <v/>
      </c>
      <c r="B208" s="62" t="str">
        <f aca="false">IF(对接源_01库存!$B143="","",对接源_01库存!$B143)</f>
        <v/>
      </c>
      <c r="C208" s="63" t="str">
        <f aca="false">IF($B208="","",对接源_01库存!$C143)</f>
        <v/>
      </c>
      <c r="D208" s="63" t="str">
        <f aca="false">IF($B208="","",对接源_01库存!$D143)</f>
        <v/>
      </c>
      <c r="E208" s="63" t="str">
        <f aca="false">IF($B208="","",对接源_01库存!$E143)</f>
        <v/>
      </c>
      <c r="F208" s="64" t="str">
        <f aca="false">IF($B208="","",N(对接源_01库存!$F143))</f>
        <v/>
      </c>
      <c r="G208" s="65" t="str">
        <f aca="false">IF($B208="","",N(对接源_01库存!$G143))</f>
        <v/>
      </c>
      <c r="H208" s="130" t="str">
        <f aca="false">IF($B208="","",ROUND(N($F208)*N($I208),2))</f>
        <v/>
      </c>
      <c r="I208" s="136"/>
      <c r="J208" s="131" t="str">
        <f aca="false">IF($B208="","",对接源_01库存!$H143)</f>
        <v/>
      </c>
      <c r="K208" s="129"/>
      <c r="L208" s="132" t="str">
        <f aca="false">IF($B208="","",IF(N($I208)=0,"← 这一行还没填单价",""))</f>
        <v/>
      </c>
    </row>
    <row r="209" customFormat="false" ht="15" hidden="false" customHeight="true" outlineLevel="0" collapsed="false">
      <c r="A209" s="63" t="str">
        <f aca="false">IF($B209="","",ROW()-68)</f>
        <v/>
      </c>
      <c r="B209" s="62" t="str">
        <f aca="false">IF(对接源_01库存!$B144="","",对接源_01库存!$B144)</f>
        <v/>
      </c>
      <c r="C209" s="63" t="str">
        <f aca="false">IF($B209="","",对接源_01库存!$C144)</f>
        <v/>
      </c>
      <c r="D209" s="63" t="str">
        <f aca="false">IF($B209="","",对接源_01库存!$D144)</f>
        <v/>
      </c>
      <c r="E209" s="63" t="str">
        <f aca="false">IF($B209="","",对接源_01库存!$E144)</f>
        <v/>
      </c>
      <c r="F209" s="64" t="str">
        <f aca="false">IF($B209="","",N(对接源_01库存!$F144))</f>
        <v/>
      </c>
      <c r="G209" s="65" t="str">
        <f aca="false">IF($B209="","",N(对接源_01库存!$G144))</f>
        <v/>
      </c>
      <c r="H209" s="130" t="str">
        <f aca="false">IF($B209="","",ROUND(N($F209)*N($I209),2))</f>
        <v/>
      </c>
      <c r="I209" s="136"/>
      <c r="J209" s="131" t="str">
        <f aca="false">IF($B209="","",对接源_01库存!$H144)</f>
        <v/>
      </c>
      <c r="K209" s="129"/>
      <c r="L209" s="132" t="str">
        <f aca="false">IF($B209="","",IF(N($I209)=0,"← 这一行还没填单价",""))</f>
        <v/>
      </c>
    </row>
    <row r="210" customFormat="false" ht="15" hidden="false" customHeight="true" outlineLevel="0" collapsed="false">
      <c r="A210" s="63" t="str">
        <f aca="false">IF($B210="","",ROW()-68)</f>
        <v/>
      </c>
      <c r="B210" s="62" t="str">
        <f aca="false">IF(对接源_01库存!$B145="","",对接源_01库存!$B145)</f>
        <v/>
      </c>
      <c r="C210" s="63" t="str">
        <f aca="false">IF($B210="","",对接源_01库存!$C145)</f>
        <v/>
      </c>
      <c r="D210" s="63" t="str">
        <f aca="false">IF($B210="","",对接源_01库存!$D145)</f>
        <v/>
      </c>
      <c r="E210" s="63" t="str">
        <f aca="false">IF($B210="","",对接源_01库存!$E145)</f>
        <v/>
      </c>
      <c r="F210" s="64" t="str">
        <f aca="false">IF($B210="","",N(对接源_01库存!$F145))</f>
        <v/>
      </c>
      <c r="G210" s="65" t="str">
        <f aca="false">IF($B210="","",N(对接源_01库存!$G145))</f>
        <v/>
      </c>
      <c r="H210" s="130" t="str">
        <f aca="false">IF($B210="","",ROUND(N($F210)*N($I210),2))</f>
        <v/>
      </c>
      <c r="I210" s="136"/>
      <c r="J210" s="131" t="str">
        <f aca="false">IF($B210="","",对接源_01库存!$H145)</f>
        <v/>
      </c>
      <c r="K210" s="129"/>
      <c r="L210" s="132" t="str">
        <f aca="false">IF($B210="","",IF(N($I210)=0,"← 这一行还没填单价",""))</f>
        <v/>
      </c>
    </row>
    <row r="211" customFormat="false" ht="15" hidden="false" customHeight="true" outlineLevel="0" collapsed="false">
      <c r="A211" s="63" t="str">
        <f aca="false">IF($B211="","",ROW()-68)</f>
        <v/>
      </c>
      <c r="B211" s="62" t="str">
        <f aca="false">IF(对接源_01库存!$B146="","",对接源_01库存!$B146)</f>
        <v/>
      </c>
      <c r="C211" s="63" t="str">
        <f aca="false">IF($B211="","",对接源_01库存!$C146)</f>
        <v/>
      </c>
      <c r="D211" s="63" t="str">
        <f aca="false">IF($B211="","",对接源_01库存!$D146)</f>
        <v/>
      </c>
      <c r="E211" s="63" t="str">
        <f aca="false">IF($B211="","",对接源_01库存!$E146)</f>
        <v/>
      </c>
      <c r="F211" s="64" t="str">
        <f aca="false">IF($B211="","",N(对接源_01库存!$F146))</f>
        <v/>
      </c>
      <c r="G211" s="65" t="str">
        <f aca="false">IF($B211="","",N(对接源_01库存!$G146))</f>
        <v/>
      </c>
      <c r="H211" s="130" t="str">
        <f aca="false">IF($B211="","",ROUND(N($F211)*N($I211),2))</f>
        <v/>
      </c>
      <c r="I211" s="136"/>
      <c r="J211" s="131" t="str">
        <f aca="false">IF($B211="","",对接源_01库存!$H146)</f>
        <v/>
      </c>
      <c r="K211" s="129"/>
      <c r="L211" s="132" t="str">
        <f aca="false">IF($B211="","",IF(N($I211)=0,"← 这一行还没填单价",""))</f>
        <v/>
      </c>
    </row>
    <row r="212" customFormat="false" ht="15" hidden="false" customHeight="true" outlineLevel="0" collapsed="false">
      <c r="A212" s="63" t="str">
        <f aca="false">IF($B212="","",ROW()-68)</f>
        <v/>
      </c>
      <c r="B212" s="62" t="str">
        <f aca="false">IF(对接源_01库存!$B147="","",对接源_01库存!$B147)</f>
        <v/>
      </c>
      <c r="C212" s="63" t="str">
        <f aca="false">IF($B212="","",对接源_01库存!$C147)</f>
        <v/>
      </c>
      <c r="D212" s="63" t="str">
        <f aca="false">IF($B212="","",对接源_01库存!$D147)</f>
        <v/>
      </c>
      <c r="E212" s="63" t="str">
        <f aca="false">IF($B212="","",对接源_01库存!$E147)</f>
        <v/>
      </c>
      <c r="F212" s="64" t="str">
        <f aca="false">IF($B212="","",N(对接源_01库存!$F147))</f>
        <v/>
      </c>
      <c r="G212" s="65" t="str">
        <f aca="false">IF($B212="","",N(对接源_01库存!$G147))</f>
        <v/>
      </c>
      <c r="H212" s="130" t="str">
        <f aca="false">IF($B212="","",ROUND(N($F212)*N($I212),2))</f>
        <v/>
      </c>
      <c r="I212" s="136"/>
      <c r="J212" s="131" t="str">
        <f aca="false">IF($B212="","",对接源_01库存!$H147)</f>
        <v/>
      </c>
      <c r="K212" s="129"/>
      <c r="L212" s="132" t="str">
        <f aca="false">IF($B212="","",IF(N($I212)=0,"← 这一行还没填单价",""))</f>
        <v/>
      </c>
    </row>
    <row r="213" customFormat="false" ht="15" hidden="false" customHeight="true" outlineLevel="0" collapsed="false">
      <c r="A213" s="63" t="str">
        <f aca="false">IF($B213="","",ROW()-68)</f>
        <v/>
      </c>
      <c r="B213" s="62" t="str">
        <f aca="false">IF(对接源_01库存!$B148="","",对接源_01库存!$B148)</f>
        <v/>
      </c>
      <c r="C213" s="63" t="str">
        <f aca="false">IF($B213="","",对接源_01库存!$C148)</f>
        <v/>
      </c>
      <c r="D213" s="63" t="str">
        <f aca="false">IF($B213="","",对接源_01库存!$D148)</f>
        <v/>
      </c>
      <c r="E213" s="63" t="str">
        <f aca="false">IF($B213="","",对接源_01库存!$E148)</f>
        <v/>
      </c>
      <c r="F213" s="64" t="str">
        <f aca="false">IF($B213="","",N(对接源_01库存!$F148))</f>
        <v/>
      </c>
      <c r="G213" s="65" t="str">
        <f aca="false">IF($B213="","",N(对接源_01库存!$G148))</f>
        <v/>
      </c>
      <c r="H213" s="130" t="str">
        <f aca="false">IF($B213="","",ROUND(N($F213)*N($I213),2))</f>
        <v/>
      </c>
      <c r="I213" s="136"/>
      <c r="J213" s="131" t="str">
        <f aca="false">IF($B213="","",对接源_01库存!$H148)</f>
        <v/>
      </c>
      <c r="K213" s="129"/>
      <c r="L213" s="132" t="str">
        <f aca="false">IF($B213="","",IF(N($I213)=0,"← 这一行还没填单价",""))</f>
        <v/>
      </c>
    </row>
    <row r="214" customFormat="false" ht="15" hidden="false" customHeight="true" outlineLevel="0" collapsed="false">
      <c r="A214" s="63" t="str">
        <f aca="false">IF($B214="","",ROW()-68)</f>
        <v/>
      </c>
      <c r="B214" s="62" t="str">
        <f aca="false">IF(对接源_01库存!$B149="","",对接源_01库存!$B149)</f>
        <v/>
      </c>
      <c r="C214" s="63" t="str">
        <f aca="false">IF($B214="","",对接源_01库存!$C149)</f>
        <v/>
      </c>
      <c r="D214" s="63" t="str">
        <f aca="false">IF($B214="","",对接源_01库存!$D149)</f>
        <v/>
      </c>
      <c r="E214" s="63" t="str">
        <f aca="false">IF($B214="","",对接源_01库存!$E149)</f>
        <v/>
      </c>
      <c r="F214" s="64" t="str">
        <f aca="false">IF($B214="","",N(对接源_01库存!$F149))</f>
        <v/>
      </c>
      <c r="G214" s="65" t="str">
        <f aca="false">IF($B214="","",N(对接源_01库存!$G149))</f>
        <v/>
      </c>
      <c r="H214" s="130" t="str">
        <f aca="false">IF($B214="","",ROUND(N($F214)*N($I214),2))</f>
        <v/>
      </c>
      <c r="I214" s="136"/>
      <c r="J214" s="131" t="str">
        <f aca="false">IF($B214="","",对接源_01库存!$H149)</f>
        <v/>
      </c>
      <c r="K214" s="129"/>
      <c r="L214" s="132" t="str">
        <f aca="false">IF($B214="","",IF(N($I214)=0,"← 这一行还没填单价",""))</f>
        <v/>
      </c>
    </row>
    <row r="215" customFormat="false" ht="15" hidden="false" customHeight="true" outlineLevel="0" collapsed="false">
      <c r="A215" s="63" t="str">
        <f aca="false">IF($B215="","",ROW()-68)</f>
        <v/>
      </c>
      <c r="B215" s="62" t="str">
        <f aca="false">IF(对接源_01库存!$B150="","",对接源_01库存!$B150)</f>
        <v/>
      </c>
      <c r="C215" s="63" t="str">
        <f aca="false">IF($B215="","",对接源_01库存!$C150)</f>
        <v/>
      </c>
      <c r="D215" s="63" t="str">
        <f aca="false">IF($B215="","",对接源_01库存!$D150)</f>
        <v/>
      </c>
      <c r="E215" s="63" t="str">
        <f aca="false">IF($B215="","",对接源_01库存!$E150)</f>
        <v/>
      </c>
      <c r="F215" s="64" t="str">
        <f aca="false">IF($B215="","",N(对接源_01库存!$F150))</f>
        <v/>
      </c>
      <c r="G215" s="65" t="str">
        <f aca="false">IF($B215="","",N(对接源_01库存!$G150))</f>
        <v/>
      </c>
      <c r="H215" s="130" t="str">
        <f aca="false">IF($B215="","",ROUND(N($F215)*N($I215),2))</f>
        <v/>
      </c>
      <c r="I215" s="136"/>
      <c r="J215" s="131" t="str">
        <f aca="false">IF($B215="","",对接源_01库存!$H150)</f>
        <v/>
      </c>
      <c r="K215" s="129"/>
      <c r="L215" s="132" t="str">
        <f aca="false">IF($B215="","",IF(N($I215)=0,"← 这一行还没填单价",""))</f>
        <v/>
      </c>
    </row>
    <row r="216" customFormat="false" ht="15" hidden="false" customHeight="true" outlineLevel="0" collapsed="false">
      <c r="A216" s="63" t="str">
        <f aca="false">IF($B216="","",ROW()-68)</f>
        <v/>
      </c>
      <c r="B216" s="62" t="str">
        <f aca="false">IF(对接源_01库存!$B151="","",对接源_01库存!$B151)</f>
        <v/>
      </c>
      <c r="C216" s="63" t="str">
        <f aca="false">IF($B216="","",对接源_01库存!$C151)</f>
        <v/>
      </c>
      <c r="D216" s="63" t="str">
        <f aca="false">IF($B216="","",对接源_01库存!$D151)</f>
        <v/>
      </c>
      <c r="E216" s="63" t="str">
        <f aca="false">IF($B216="","",对接源_01库存!$E151)</f>
        <v/>
      </c>
      <c r="F216" s="64" t="str">
        <f aca="false">IF($B216="","",N(对接源_01库存!$F151))</f>
        <v/>
      </c>
      <c r="G216" s="65" t="str">
        <f aca="false">IF($B216="","",N(对接源_01库存!$G151))</f>
        <v/>
      </c>
      <c r="H216" s="130" t="str">
        <f aca="false">IF($B216="","",ROUND(N($F216)*N($I216),2))</f>
        <v/>
      </c>
      <c r="I216" s="136"/>
      <c r="J216" s="131" t="str">
        <f aca="false">IF($B216="","",对接源_01库存!$H151)</f>
        <v/>
      </c>
      <c r="K216" s="129"/>
      <c r="L216" s="132" t="str">
        <f aca="false">IF($B216="","",IF(N($I216)=0,"← 这一行还没填单价",""))</f>
        <v/>
      </c>
    </row>
    <row r="217" customFormat="false" ht="15" hidden="false" customHeight="true" outlineLevel="0" collapsed="false">
      <c r="A217" s="63" t="str">
        <f aca="false">IF($B217="","",ROW()-68)</f>
        <v/>
      </c>
      <c r="B217" s="62" t="str">
        <f aca="false">IF(对接源_01库存!$B152="","",对接源_01库存!$B152)</f>
        <v/>
      </c>
      <c r="C217" s="63" t="str">
        <f aca="false">IF($B217="","",对接源_01库存!$C152)</f>
        <v/>
      </c>
      <c r="D217" s="63" t="str">
        <f aca="false">IF($B217="","",对接源_01库存!$D152)</f>
        <v/>
      </c>
      <c r="E217" s="63" t="str">
        <f aca="false">IF($B217="","",对接源_01库存!$E152)</f>
        <v/>
      </c>
      <c r="F217" s="64" t="str">
        <f aca="false">IF($B217="","",N(对接源_01库存!$F152))</f>
        <v/>
      </c>
      <c r="G217" s="65" t="str">
        <f aca="false">IF($B217="","",N(对接源_01库存!$G152))</f>
        <v/>
      </c>
      <c r="H217" s="130" t="str">
        <f aca="false">IF($B217="","",ROUND(N($F217)*N($I217),2))</f>
        <v/>
      </c>
      <c r="I217" s="136"/>
      <c r="J217" s="131" t="str">
        <f aca="false">IF($B217="","",对接源_01库存!$H152)</f>
        <v/>
      </c>
      <c r="K217" s="129"/>
      <c r="L217" s="132" t="str">
        <f aca="false">IF($B217="","",IF(N($I217)=0,"← 这一行还没填单价",""))</f>
        <v/>
      </c>
    </row>
    <row r="218" customFormat="false" ht="15" hidden="false" customHeight="true" outlineLevel="0" collapsed="false">
      <c r="A218" s="63" t="str">
        <f aca="false">IF($B218="","",ROW()-68)</f>
        <v/>
      </c>
      <c r="B218" s="62" t="str">
        <f aca="false">IF(对接源_01库存!$B153="","",对接源_01库存!$B153)</f>
        <v/>
      </c>
      <c r="C218" s="63" t="str">
        <f aca="false">IF($B218="","",对接源_01库存!$C153)</f>
        <v/>
      </c>
      <c r="D218" s="63" t="str">
        <f aca="false">IF($B218="","",对接源_01库存!$D153)</f>
        <v/>
      </c>
      <c r="E218" s="63" t="str">
        <f aca="false">IF($B218="","",对接源_01库存!$E153)</f>
        <v/>
      </c>
      <c r="F218" s="64" t="str">
        <f aca="false">IF($B218="","",N(对接源_01库存!$F153))</f>
        <v/>
      </c>
      <c r="G218" s="65" t="str">
        <f aca="false">IF($B218="","",N(对接源_01库存!$G153))</f>
        <v/>
      </c>
      <c r="H218" s="130" t="str">
        <f aca="false">IF($B218="","",ROUND(N($F218)*N($I218),2))</f>
        <v/>
      </c>
      <c r="I218" s="136"/>
      <c r="J218" s="131" t="str">
        <f aca="false">IF($B218="","",对接源_01库存!$H153)</f>
        <v/>
      </c>
      <c r="K218" s="129"/>
      <c r="L218" s="132" t="str">
        <f aca="false">IF($B218="","",IF(N($I218)=0,"← 这一行还没填单价",""))</f>
        <v/>
      </c>
    </row>
    <row r="219" customFormat="false" ht="15" hidden="false" customHeight="true" outlineLevel="0" collapsed="false">
      <c r="A219" s="63" t="str">
        <f aca="false">IF($B219="","",ROW()-68)</f>
        <v/>
      </c>
      <c r="B219" s="62" t="str">
        <f aca="false">IF(对接源_01库存!$B154="","",对接源_01库存!$B154)</f>
        <v/>
      </c>
      <c r="C219" s="63" t="str">
        <f aca="false">IF($B219="","",对接源_01库存!$C154)</f>
        <v/>
      </c>
      <c r="D219" s="63" t="str">
        <f aca="false">IF($B219="","",对接源_01库存!$D154)</f>
        <v/>
      </c>
      <c r="E219" s="63" t="str">
        <f aca="false">IF($B219="","",对接源_01库存!$E154)</f>
        <v/>
      </c>
      <c r="F219" s="64" t="str">
        <f aca="false">IF($B219="","",N(对接源_01库存!$F154))</f>
        <v/>
      </c>
      <c r="G219" s="65" t="str">
        <f aca="false">IF($B219="","",N(对接源_01库存!$G154))</f>
        <v/>
      </c>
      <c r="H219" s="130" t="str">
        <f aca="false">IF($B219="","",ROUND(N($F219)*N($I219),2))</f>
        <v/>
      </c>
      <c r="I219" s="136"/>
      <c r="J219" s="131" t="str">
        <f aca="false">IF($B219="","",对接源_01库存!$H154)</f>
        <v/>
      </c>
      <c r="K219" s="129"/>
      <c r="L219" s="132" t="str">
        <f aca="false">IF($B219="","",IF(N($I219)=0,"← 这一行还没填单价",""))</f>
        <v/>
      </c>
    </row>
    <row r="220" customFormat="false" ht="15" hidden="false" customHeight="true" outlineLevel="0" collapsed="false">
      <c r="A220" s="63" t="str">
        <f aca="false">IF($B220="","",ROW()-68)</f>
        <v/>
      </c>
      <c r="B220" s="62" t="str">
        <f aca="false">IF(对接源_01库存!$B155="","",对接源_01库存!$B155)</f>
        <v/>
      </c>
      <c r="C220" s="63" t="str">
        <f aca="false">IF($B220="","",对接源_01库存!$C155)</f>
        <v/>
      </c>
      <c r="D220" s="63" t="str">
        <f aca="false">IF($B220="","",对接源_01库存!$D155)</f>
        <v/>
      </c>
      <c r="E220" s="63" t="str">
        <f aca="false">IF($B220="","",对接源_01库存!$E155)</f>
        <v/>
      </c>
      <c r="F220" s="64" t="str">
        <f aca="false">IF($B220="","",N(对接源_01库存!$F155))</f>
        <v/>
      </c>
      <c r="G220" s="65" t="str">
        <f aca="false">IF($B220="","",N(对接源_01库存!$G155))</f>
        <v/>
      </c>
      <c r="H220" s="130" t="str">
        <f aca="false">IF($B220="","",ROUND(N($F220)*N($I220),2))</f>
        <v/>
      </c>
      <c r="I220" s="136"/>
      <c r="J220" s="131" t="str">
        <f aca="false">IF($B220="","",对接源_01库存!$H155)</f>
        <v/>
      </c>
      <c r="K220" s="129"/>
      <c r="L220" s="132" t="str">
        <f aca="false">IF($B220="","",IF(N($I220)=0,"← 这一行还没填单价",""))</f>
        <v/>
      </c>
    </row>
    <row r="221" customFormat="false" ht="15" hidden="false" customHeight="true" outlineLevel="0" collapsed="false">
      <c r="A221" s="63" t="str">
        <f aca="false">IF($B221="","",ROW()-68)</f>
        <v/>
      </c>
      <c r="B221" s="62" t="str">
        <f aca="false">IF(对接源_01库存!$B156="","",对接源_01库存!$B156)</f>
        <v/>
      </c>
      <c r="C221" s="63" t="str">
        <f aca="false">IF($B221="","",对接源_01库存!$C156)</f>
        <v/>
      </c>
      <c r="D221" s="63" t="str">
        <f aca="false">IF($B221="","",对接源_01库存!$D156)</f>
        <v/>
      </c>
      <c r="E221" s="63" t="str">
        <f aca="false">IF($B221="","",对接源_01库存!$E156)</f>
        <v/>
      </c>
      <c r="F221" s="64" t="str">
        <f aca="false">IF($B221="","",N(对接源_01库存!$F156))</f>
        <v/>
      </c>
      <c r="G221" s="65" t="str">
        <f aca="false">IF($B221="","",N(对接源_01库存!$G156))</f>
        <v/>
      </c>
      <c r="H221" s="130" t="str">
        <f aca="false">IF($B221="","",ROUND(N($F221)*N($I221),2))</f>
        <v/>
      </c>
      <c r="I221" s="136"/>
      <c r="J221" s="131" t="str">
        <f aca="false">IF($B221="","",对接源_01库存!$H156)</f>
        <v/>
      </c>
      <c r="K221" s="129"/>
      <c r="L221" s="132" t="str">
        <f aca="false">IF($B221="","",IF(N($I221)=0,"← 这一行还没填单价",""))</f>
        <v/>
      </c>
    </row>
    <row r="222" customFormat="false" ht="15" hidden="false" customHeight="true" outlineLevel="0" collapsed="false">
      <c r="A222" s="63" t="str">
        <f aca="false">IF($B222="","",ROW()-68)</f>
        <v/>
      </c>
      <c r="B222" s="62" t="str">
        <f aca="false">IF(对接源_01库存!$B157="","",对接源_01库存!$B157)</f>
        <v/>
      </c>
      <c r="C222" s="63" t="str">
        <f aca="false">IF($B222="","",对接源_01库存!$C157)</f>
        <v/>
      </c>
      <c r="D222" s="63" t="str">
        <f aca="false">IF($B222="","",对接源_01库存!$D157)</f>
        <v/>
      </c>
      <c r="E222" s="63" t="str">
        <f aca="false">IF($B222="","",对接源_01库存!$E157)</f>
        <v/>
      </c>
      <c r="F222" s="64" t="str">
        <f aca="false">IF($B222="","",N(对接源_01库存!$F157))</f>
        <v/>
      </c>
      <c r="G222" s="65" t="str">
        <f aca="false">IF($B222="","",N(对接源_01库存!$G157))</f>
        <v/>
      </c>
      <c r="H222" s="130" t="str">
        <f aca="false">IF($B222="","",ROUND(N($F222)*N($I222),2))</f>
        <v/>
      </c>
      <c r="I222" s="136"/>
      <c r="J222" s="131" t="str">
        <f aca="false">IF($B222="","",对接源_01库存!$H157)</f>
        <v/>
      </c>
      <c r="K222" s="129"/>
      <c r="L222" s="132" t="str">
        <f aca="false">IF($B222="","",IF(N($I222)=0,"← 这一行还没填单价",""))</f>
        <v/>
      </c>
    </row>
    <row r="223" customFormat="false" ht="15" hidden="false" customHeight="true" outlineLevel="0" collapsed="false">
      <c r="A223" s="63" t="str">
        <f aca="false">IF($B223="","",ROW()-68)</f>
        <v/>
      </c>
      <c r="B223" s="62" t="str">
        <f aca="false">IF(对接源_01库存!$B158="","",对接源_01库存!$B158)</f>
        <v/>
      </c>
      <c r="C223" s="63" t="str">
        <f aca="false">IF($B223="","",对接源_01库存!$C158)</f>
        <v/>
      </c>
      <c r="D223" s="63" t="str">
        <f aca="false">IF($B223="","",对接源_01库存!$D158)</f>
        <v/>
      </c>
      <c r="E223" s="63" t="str">
        <f aca="false">IF($B223="","",对接源_01库存!$E158)</f>
        <v/>
      </c>
      <c r="F223" s="64" t="str">
        <f aca="false">IF($B223="","",N(对接源_01库存!$F158))</f>
        <v/>
      </c>
      <c r="G223" s="65" t="str">
        <f aca="false">IF($B223="","",N(对接源_01库存!$G158))</f>
        <v/>
      </c>
      <c r="H223" s="130" t="str">
        <f aca="false">IF($B223="","",ROUND(N($F223)*N($I223),2))</f>
        <v/>
      </c>
      <c r="I223" s="136"/>
      <c r="J223" s="131" t="str">
        <f aca="false">IF($B223="","",对接源_01库存!$H158)</f>
        <v/>
      </c>
      <c r="K223" s="129"/>
      <c r="L223" s="132" t="str">
        <f aca="false">IF($B223="","",IF(N($I223)=0,"← 这一行还没填单价",""))</f>
        <v/>
      </c>
    </row>
    <row r="224" customFormat="false" ht="15" hidden="false" customHeight="true" outlineLevel="0" collapsed="false">
      <c r="A224" s="63" t="str">
        <f aca="false">IF($B224="","",ROW()-68)</f>
        <v/>
      </c>
      <c r="B224" s="62" t="str">
        <f aca="false">IF(对接源_01库存!$B159="","",对接源_01库存!$B159)</f>
        <v/>
      </c>
      <c r="C224" s="63" t="str">
        <f aca="false">IF($B224="","",对接源_01库存!$C159)</f>
        <v/>
      </c>
      <c r="D224" s="63" t="str">
        <f aca="false">IF($B224="","",对接源_01库存!$D159)</f>
        <v/>
      </c>
      <c r="E224" s="63" t="str">
        <f aca="false">IF($B224="","",对接源_01库存!$E159)</f>
        <v/>
      </c>
      <c r="F224" s="64" t="str">
        <f aca="false">IF($B224="","",N(对接源_01库存!$F159))</f>
        <v/>
      </c>
      <c r="G224" s="65" t="str">
        <f aca="false">IF($B224="","",N(对接源_01库存!$G159))</f>
        <v/>
      </c>
      <c r="H224" s="130" t="str">
        <f aca="false">IF($B224="","",ROUND(N($F224)*N($I224),2))</f>
        <v/>
      </c>
      <c r="I224" s="136"/>
      <c r="J224" s="131" t="str">
        <f aca="false">IF($B224="","",对接源_01库存!$H159)</f>
        <v/>
      </c>
      <c r="K224" s="129"/>
      <c r="L224" s="132" t="str">
        <f aca="false">IF($B224="","",IF(N($I224)=0,"← 这一行还没填单价",""))</f>
        <v/>
      </c>
    </row>
    <row r="225" customFormat="false" ht="15" hidden="false" customHeight="true" outlineLevel="0" collapsed="false">
      <c r="A225" s="63" t="str">
        <f aca="false">IF($B225="","",ROW()-68)</f>
        <v/>
      </c>
      <c r="B225" s="62" t="str">
        <f aca="false">IF(对接源_01库存!$B160="","",对接源_01库存!$B160)</f>
        <v/>
      </c>
      <c r="C225" s="63" t="str">
        <f aca="false">IF($B225="","",对接源_01库存!$C160)</f>
        <v/>
      </c>
      <c r="D225" s="63" t="str">
        <f aca="false">IF($B225="","",对接源_01库存!$D160)</f>
        <v/>
      </c>
      <c r="E225" s="63" t="str">
        <f aca="false">IF($B225="","",对接源_01库存!$E160)</f>
        <v/>
      </c>
      <c r="F225" s="64" t="str">
        <f aca="false">IF($B225="","",N(对接源_01库存!$F160))</f>
        <v/>
      </c>
      <c r="G225" s="65" t="str">
        <f aca="false">IF($B225="","",N(对接源_01库存!$G160))</f>
        <v/>
      </c>
      <c r="H225" s="130" t="str">
        <f aca="false">IF($B225="","",ROUND(N($F225)*N($I225),2))</f>
        <v/>
      </c>
      <c r="I225" s="136"/>
      <c r="J225" s="131" t="str">
        <f aca="false">IF($B225="","",对接源_01库存!$H160)</f>
        <v/>
      </c>
      <c r="K225" s="129"/>
      <c r="L225" s="132" t="str">
        <f aca="false">IF($B225="","",IF(N($I225)=0,"← 这一行还没填单价",""))</f>
        <v/>
      </c>
    </row>
    <row r="226" customFormat="false" ht="15" hidden="false" customHeight="true" outlineLevel="0" collapsed="false">
      <c r="A226" s="63" t="str">
        <f aca="false">IF($B226="","",ROW()-68)</f>
        <v/>
      </c>
      <c r="B226" s="62" t="str">
        <f aca="false">IF(对接源_01库存!$B161="","",对接源_01库存!$B161)</f>
        <v/>
      </c>
      <c r="C226" s="63" t="str">
        <f aca="false">IF($B226="","",对接源_01库存!$C161)</f>
        <v/>
      </c>
      <c r="D226" s="63" t="str">
        <f aca="false">IF($B226="","",对接源_01库存!$D161)</f>
        <v/>
      </c>
      <c r="E226" s="63" t="str">
        <f aca="false">IF($B226="","",对接源_01库存!$E161)</f>
        <v/>
      </c>
      <c r="F226" s="64" t="str">
        <f aca="false">IF($B226="","",N(对接源_01库存!$F161))</f>
        <v/>
      </c>
      <c r="G226" s="65" t="str">
        <f aca="false">IF($B226="","",N(对接源_01库存!$G161))</f>
        <v/>
      </c>
      <c r="H226" s="130" t="str">
        <f aca="false">IF($B226="","",ROUND(N($F226)*N($I226),2))</f>
        <v/>
      </c>
      <c r="I226" s="136"/>
      <c r="J226" s="131" t="str">
        <f aca="false">IF($B226="","",对接源_01库存!$H161)</f>
        <v/>
      </c>
      <c r="K226" s="129"/>
      <c r="L226" s="132" t="str">
        <f aca="false">IF($B226="","",IF(N($I226)=0,"← 这一行还没填单价",""))</f>
        <v/>
      </c>
    </row>
    <row r="227" customFormat="false" ht="15" hidden="false" customHeight="true" outlineLevel="0" collapsed="false">
      <c r="A227" s="63" t="str">
        <f aca="false">IF($B227="","",ROW()-68)</f>
        <v/>
      </c>
      <c r="B227" s="62" t="str">
        <f aca="false">IF(对接源_01库存!$B162="","",对接源_01库存!$B162)</f>
        <v/>
      </c>
      <c r="C227" s="63" t="str">
        <f aca="false">IF($B227="","",对接源_01库存!$C162)</f>
        <v/>
      </c>
      <c r="D227" s="63" t="str">
        <f aca="false">IF($B227="","",对接源_01库存!$D162)</f>
        <v/>
      </c>
      <c r="E227" s="63" t="str">
        <f aca="false">IF($B227="","",对接源_01库存!$E162)</f>
        <v/>
      </c>
      <c r="F227" s="64" t="str">
        <f aca="false">IF($B227="","",N(对接源_01库存!$F162))</f>
        <v/>
      </c>
      <c r="G227" s="65" t="str">
        <f aca="false">IF($B227="","",N(对接源_01库存!$G162))</f>
        <v/>
      </c>
      <c r="H227" s="130" t="str">
        <f aca="false">IF($B227="","",ROUND(N($F227)*N($I227),2))</f>
        <v/>
      </c>
      <c r="I227" s="136"/>
      <c r="J227" s="131" t="str">
        <f aca="false">IF($B227="","",对接源_01库存!$H162)</f>
        <v/>
      </c>
      <c r="K227" s="129"/>
      <c r="L227" s="132" t="str">
        <f aca="false">IF($B227="","",IF(N($I227)=0,"← 这一行还没填单价",""))</f>
        <v/>
      </c>
    </row>
    <row r="228" customFormat="false" ht="15" hidden="false" customHeight="true" outlineLevel="0" collapsed="false">
      <c r="A228" s="63" t="str">
        <f aca="false">IF($B228="","",ROW()-68)</f>
        <v/>
      </c>
      <c r="B228" s="62" t="str">
        <f aca="false">IF(对接源_01库存!$B163="","",对接源_01库存!$B163)</f>
        <v/>
      </c>
      <c r="C228" s="63" t="str">
        <f aca="false">IF($B228="","",对接源_01库存!$C163)</f>
        <v/>
      </c>
      <c r="D228" s="63" t="str">
        <f aca="false">IF($B228="","",对接源_01库存!$D163)</f>
        <v/>
      </c>
      <c r="E228" s="63" t="str">
        <f aca="false">IF($B228="","",对接源_01库存!$E163)</f>
        <v/>
      </c>
      <c r="F228" s="64" t="str">
        <f aca="false">IF($B228="","",N(对接源_01库存!$F163))</f>
        <v/>
      </c>
      <c r="G228" s="65" t="str">
        <f aca="false">IF($B228="","",N(对接源_01库存!$G163))</f>
        <v/>
      </c>
      <c r="H228" s="130" t="str">
        <f aca="false">IF($B228="","",ROUND(N($F228)*N($I228),2))</f>
        <v/>
      </c>
      <c r="I228" s="136"/>
      <c r="J228" s="131" t="str">
        <f aca="false">IF($B228="","",对接源_01库存!$H163)</f>
        <v/>
      </c>
      <c r="K228" s="129"/>
      <c r="L228" s="132" t="str">
        <f aca="false">IF($B228="","",IF(N($I228)=0,"← 这一行还没填单价",""))</f>
        <v/>
      </c>
    </row>
    <row r="229" customFormat="false" ht="15" hidden="false" customHeight="true" outlineLevel="0" collapsed="false">
      <c r="A229" s="63" t="str">
        <f aca="false">IF($B229="","",ROW()-68)</f>
        <v/>
      </c>
      <c r="B229" s="62" t="str">
        <f aca="false">IF(对接源_01库存!$B164="","",对接源_01库存!$B164)</f>
        <v/>
      </c>
      <c r="C229" s="63" t="str">
        <f aca="false">IF($B229="","",对接源_01库存!$C164)</f>
        <v/>
      </c>
      <c r="D229" s="63" t="str">
        <f aca="false">IF($B229="","",对接源_01库存!$D164)</f>
        <v/>
      </c>
      <c r="E229" s="63" t="str">
        <f aca="false">IF($B229="","",对接源_01库存!$E164)</f>
        <v/>
      </c>
      <c r="F229" s="64" t="str">
        <f aca="false">IF($B229="","",N(对接源_01库存!$F164))</f>
        <v/>
      </c>
      <c r="G229" s="65" t="str">
        <f aca="false">IF($B229="","",N(对接源_01库存!$G164))</f>
        <v/>
      </c>
      <c r="H229" s="130" t="str">
        <f aca="false">IF($B229="","",ROUND(N($F229)*N($I229),2))</f>
        <v/>
      </c>
      <c r="I229" s="136"/>
      <c r="J229" s="131" t="str">
        <f aca="false">IF($B229="","",对接源_01库存!$H164)</f>
        <v/>
      </c>
      <c r="K229" s="129"/>
      <c r="L229" s="132" t="str">
        <f aca="false">IF($B229="","",IF(N($I229)=0,"← 这一行还没填单价",""))</f>
        <v/>
      </c>
    </row>
    <row r="230" customFormat="false" ht="15" hidden="false" customHeight="true" outlineLevel="0" collapsed="false">
      <c r="A230" s="63" t="str">
        <f aca="false">IF($B230="","",ROW()-68)</f>
        <v/>
      </c>
      <c r="B230" s="62" t="str">
        <f aca="false">IF(对接源_01库存!$B165="","",对接源_01库存!$B165)</f>
        <v/>
      </c>
      <c r="C230" s="63" t="str">
        <f aca="false">IF($B230="","",对接源_01库存!$C165)</f>
        <v/>
      </c>
      <c r="D230" s="63" t="str">
        <f aca="false">IF($B230="","",对接源_01库存!$D165)</f>
        <v/>
      </c>
      <c r="E230" s="63" t="str">
        <f aca="false">IF($B230="","",对接源_01库存!$E165)</f>
        <v/>
      </c>
      <c r="F230" s="64" t="str">
        <f aca="false">IF($B230="","",N(对接源_01库存!$F165))</f>
        <v/>
      </c>
      <c r="G230" s="65" t="str">
        <f aca="false">IF($B230="","",N(对接源_01库存!$G165))</f>
        <v/>
      </c>
      <c r="H230" s="130" t="str">
        <f aca="false">IF($B230="","",ROUND(N($F230)*N($I230),2))</f>
        <v/>
      </c>
      <c r="I230" s="136"/>
      <c r="J230" s="131" t="str">
        <f aca="false">IF($B230="","",对接源_01库存!$H165)</f>
        <v/>
      </c>
      <c r="K230" s="129"/>
      <c r="L230" s="132" t="str">
        <f aca="false">IF($B230="","",IF(N($I230)=0,"← 这一行还没填单价",""))</f>
        <v/>
      </c>
    </row>
    <row r="231" customFormat="false" ht="15" hidden="false" customHeight="true" outlineLevel="0" collapsed="false">
      <c r="A231" s="63" t="str">
        <f aca="false">IF($B231="","",ROW()-68)</f>
        <v/>
      </c>
      <c r="B231" s="62" t="str">
        <f aca="false">IF(对接源_01库存!$B166="","",对接源_01库存!$B166)</f>
        <v/>
      </c>
      <c r="C231" s="63" t="str">
        <f aca="false">IF($B231="","",对接源_01库存!$C166)</f>
        <v/>
      </c>
      <c r="D231" s="63" t="str">
        <f aca="false">IF($B231="","",对接源_01库存!$D166)</f>
        <v/>
      </c>
      <c r="E231" s="63" t="str">
        <f aca="false">IF($B231="","",对接源_01库存!$E166)</f>
        <v/>
      </c>
      <c r="F231" s="64" t="str">
        <f aca="false">IF($B231="","",N(对接源_01库存!$F166))</f>
        <v/>
      </c>
      <c r="G231" s="65" t="str">
        <f aca="false">IF($B231="","",N(对接源_01库存!$G166))</f>
        <v/>
      </c>
      <c r="H231" s="130" t="str">
        <f aca="false">IF($B231="","",ROUND(N($F231)*N($I231),2))</f>
        <v/>
      </c>
      <c r="I231" s="136"/>
      <c r="J231" s="131" t="str">
        <f aca="false">IF($B231="","",对接源_01库存!$H166)</f>
        <v/>
      </c>
      <c r="K231" s="129"/>
      <c r="L231" s="132" t="str">
        <f aca="false">IF($B231="","",IF(N($I231)=0,"← 这一行还没填单价",""))</f>
        <v/>
      </c>
    </row>
    <row r="232" customFormat="false" ht="15" hidden="false" customHeight="true" outlineLevel="0" collapsed="false">
      <c r="A232" s="63" t="str">
        <f aca="false">IF($B232="","",ROW()-68)</f>
        <v/>
      </c>
      <c r="B232" s="62" t="str">
        <f aca="false">IF(对接源_01库存!$B167="","",对接源_01库存!$B167)</f>
        <v/>
      </c>
      <c r="C232" s="63" t="str">
        <f aca="false">IF($B232="","",对接源_01库存!$C167)</f>
        <v/>
      </c>
      <c r="D232" s="63" t="str">
        <f aca="false">IF($B232="","",对接源_01库存!$D167)</f>
        <v/>
      </c>
      <c r="E232" s="63" t="str">
        <f aca="false">IF($B232="","",对接源_01库存!$E167)</f>
        <v/>
      </c>
      <c r="F232" s="64" t="str">
        <f aca="false">IF($B232="","",N(对接源_01库存!$F167))</f>
        <v/>
      </c>
      <c r="G232" s="65" t="str">
        <f aca="false">IF($B232="","",N(对接源_01库存!$G167))</f>
        <v/>
      </c>
      <c r="H232" s="130" t="str">
        <f aca="false">IF($B232="","",ROUND(N($F232)*N($I232),2))</f>
        <v/>
      </c>
      <c r="I232" s="136"/>
      <c r="J232" s="131" t="str">
        <f aca="false">IF($B232="","",对接源_01库存!$H167)</f>
        <v/>
      </c>
      <c r="K232" s="129"/>
      <c r="L232" s="132" t="str">
        <f aca="false">IF($B232="","",IF(N($I232)=0,"← 这一行还没填单价",""))</f>
        <v/>
      </c>
    </row>
    <row r="233" customFormat="false" ht="15" hidden="false" customHeight="true" outlineLevel="0" collapsed="false">
      <c r="A233" s="63" t="str">
        <f aca="false">IF($B233="","",ROW()-68)</f>
        <v/>
      </c>
      <c r="B233" s="62" t="str">
        <f aca="false">IF(对接源_01库存!$B168="","",对接源_01库存!$B168)</f>
        <v/>
      </c>
      <c r="C233" s="63" t="str">
        <f aca="false">IF($B233="","",对接源_01库存!$C168)</f>
        <v/>
      </c>
      <c r="D233" s="63" t="str">
        <f aca="false">IF($B233="","",对接源_01库存!$D168)</f>
        <v/>
      </c>
      <c r="E233" s="63" t="str">
        <f aca="false">IF($B233="","",对接源_01库存!$E168)</f>
        <v/>
      </c>
      <c r="F233" s="64" t="str">
        <f aca="false">IF($B233="","",N(对接源_01库存!$F168))</f>
        <v/>
      </c>
      <c r="G233" s="65" t="str">
        <f aca="false">IF($B233="","",N(对接源_01库存!$G168))</f>
        <v/>
      </c>
      <c r="H233" s="130" t="str">
        <f aca="false">IF($B233="","",ROUND(N($F233)*N($I233),2))</f>
        <v/>
      </c>
      <c r="I233" s="136"/>
      <c r="J233" s="131" t="str">
        <f aca="false">IF($B233="","",对接源_01库存!$H168)</f>
        <v/>
      </c>
      <c r="K233" s="129"/>
      <c r="L233" s="132" t="str">
        <f aca="false">IF($B233="","",IF(N($I233)=0,"← 这一行还没填单价",""))</f>
        <v/>
      </c>
    </row>
    <row r="234" customFormat="false" ht="15" hidden="false" customHeight="true" outlineLevel="0" collapsed="false">
      <c r="A234" s="63" t="str">
        <f aca="false">IF($B234="","",ROW()-68)</f>
        <v/>
      </c>
      <c r="B234" s="62" t="str">
        <f aca="false">IF(对接源_01库存!$B169="","",对接源_01库存!$B169)</f>
        <v/>
      </c>
      <c r="C234" s="63" t="str">
        <f aca="false">IF($B234="","",对接源_01库存!$C169)</f>
        <v/>
      </c>
      <c r="D234" s="63" t="str">
        <f aca="false">IF($B234="","",对接源_01库存!$D169)</f>
        <v/>
      </c>
      <c r="E234" s="63" t="str">
        <f aca="false">IF($B234="","",对接源_01库存!$E169)</f>
        <v/>
      </c>
      <c r="F234" s="64" t="str">
        <f aca="false">IF($B234="","",N(对接源_01库存!$F169))</f>
        <v/>
      </c>
      <c r="G234" s="65" t="str">
        <f aca="false">IF($B234="","",N(对接源_01库存!$G169))</f>
        <v/>
      </c>
      <c r="H234" s="130" t="str">
        <f aca="false">IF($B234="","",ROUND(N($F234)*N($I234),2))</f>
        <v/>
      </c>
      <c r="I234" s="136"/>
      <c r="J234" s="131" t="str">
        <f aca="false">IF($B234="","",对接源_01库存!$H169)</f>
        <v/>
      </c>
      <c r="K234" s="129"/>
      <c r="L234" s="132" t="str">
        <f aca="false">IF($B234="","",IF(N($I234)=0,"← 这一行还没填单价",""))</f>
        <v/>
      </c>
    </row>
    <row r="235" customFormat="false" ht="15" hidden="false" customHeight="true" outlineLevel="0" collapsed="false">
      <c r="A235" s="63" t="str">
        <f aca="false">IF($B235="","",ROW()-68)</f>
        <v/>
      </c>
      <c r="B235" s="62" t="str">
        <f aca="false">IF(对接源_01库存!$B170="","",对接源_01库存!$B170)</f>
        <v/>
      </c>
      <c r="C235" s="63" t="str">
        <f aca="false">IF($B235="","",对接源_01库存!$C170)</f>
        <v/>
      </c>
      <c r="D235" s="63" t="str">
        <f aca="false">IF($B235="","",对接源_01库存!$D170)</f>
        <v/>
      </c>
      <c r="E235" s="63" t="str">
        <f aca="false">IF($B235="","",对接源_01库存!$E170)</f>
        <v/>
      </c>
      <c r="F235" s="64" t="str">
        <f aca="false">IF($B235="","",N(对接源_01库存!$F170))</f>
        <v/>
      </c>
      <c r="G235" s="65" t="str">
        <f aca="false">IF($B235="","",N(对接源_01库存!$G170))</f>
        <v/>
      </c>
      <c r="H235" s="130" t="str">
        <f aca="false">IF($B235="","",ROUND(N($F235)*N($I235),2))</f>
        <v/>
      </c>
      <c r="I235" s="136"/>
      <c r="J235" s="131" t="str">
        <f aca="false">IF($B235="","",对接源_01库存!$H170)</f>
        <v/>
      </c>
      <c r="K235" s="129"/>
      <c r="L235" s="132" t="str">
        <f aca="false">IF($B235="","",IF(N($I235)=0,"← 这一行还没填单价",""))</f>
        <v/>
      </c>
    </row>
    <row r="236" customFormat="false" ht="15" hidden="false" customHeight="true" outlineLevel="0" collapsed="false">
      <c r="A236" s="63" t="str">
        <f aca="false">IF($B236="","",ROW()-68)</f>
        <v/>
      </c>
      <c r="B236" s="62" t="str">
        <f aca="false">IF(对接源_01库存!$B171="","",对接源_01库存!$B171)</f>
        <v/>
      </c>
      <c r="C236" s="63" t="str">
        <f aca="false">IF($B236="","",对接源_01库存!$C171)</f>
        <v/>
      </c>
      <c r="D236" s="63" t="str">
        <f aca="false">IF($B236="","",对接源_01库存!$D171)</f>
        <v/>
      </c>
      <c r="E236" s="63" t="str">
        <f aca="false">IF($B236="","",对接源_01库存!$E171)</f>
        <v/>
      </c>
      <c r="F236" s="64" t="str">
        <f aca="false">IF($B236="","",N(对接源_01库存!$F171))</f>
        <v/>
      </c>
      <c r="G236" s="65" t="str">
        <f aca="false">IF($B236="","",N(对接源_01库存!$G171))</f>
        <v/>
      </c>
      <c r="H236" s="130" t="str">
        <f aca="false">IF($B236="","",ROUND(N($F236)*N($I236),2))</f>
        <v/>
      </c>
      <c r="I236" s="136"/>
      <c r="J236" s="131" t="str">
        <f aca="false">IF($B236="","",对接源_01库存!$H171)</f>
        <v/>
      </c>
      <c r="K236" s="129"/>
      <c r="L236" s="132" t="str">
        <f aca="false">IF($B236="","",IF(N($I236)=0,"← 这一行还没填单价",""))</f>
        <v/>
      </c>
    </row>
    <row r="237" customFormat="false" ht="15" hidden="false" customHeight="true" outlineLevel="0" collapsed="false">
      <c r="A237" s="63" t="str">
        <f aca="false">IF($B237="","",ROW()-68)</f>
        <v/>
      </c>
      <c r="B237" s="62" t="str">
        <f aca="false">IF(对接源_01库存!$B172="","",对接源_01库存!$B172)</f>
        <v/>
      </c>
      <c r="C237" s="63" t="str">
        <f aca="false">IF($B237="","",对接源_01库存!$C172)</f>
        <v/>
      </c>
      <c r="D237" s="63" t="str">
        <f aca="false">IF($B237="","",对接源_01库存!$D172)</f>
        <v/>
      </c>
      <c r="E237" s="63" t="str">
        <f aca="false">IF($B237="","",对接源_01库存!$E172)</f>
        <v/>
      </c>
      <c r="F237" s="64" t="str">
        <f aca="false">IF($B237="","",N(对接源_01库存!$F172))</f>
        <v/>
      </c>
      <c r="G237" s="65" t="str">
        <f aca="false">IF($B237="","",N(对接源_01库存!$G172))</f>
        <v/>
      </c>
      <c r="H237" s="130" t="str">
        <f aca="false">IF($B237="","",ROUND(N($F237)*N($I237),2))</f>
        <v/>
      </c>
      <c r="I237" s="136"/>
      <c r="J237" s="131" t="str">
        <f aca="false">IF($B237="","",对接源_01库存!$H172)</f>
        <v/>
      </c>
      <c r="K237" s="129"/>
      <c r="L237" s="132" t="str">
        <f aca="false">IF($B237="","",IF(N($I237)=0,"← 这一行还没填单价",""))</f>
        <v/>
      </c>
    </row>
    <row r="238" customFormat="false" ht="15" hidden="false" customHeight="true" outlineLevel="0" collapsed="false">
      <c r="A238" s="63" t="str">
        <f aca="false">IF($B238="","",ROW()-68)</f>
        <v/>
      </c>
      <c r="B238" s="62" t="str">
        <f aca="false">IF(对接源_01库存!$B173="","",对接源_01库存!$B173)</f>
        <v/>
      </c>
      <c r="C238" s="63" t="str">
        <f aca="false">IF($B238="","",对接源_01库存!$C173)</f>
        <v/>
      </c>
      <c r="D238" s="63" t="str">
        <f aca="false">IF($B238="","",对接源_01库存!$D173)</f>
        <v/>
      </c>
      <c r="E238" s="63" t="str">
        <f aca="false">IF($B238="","",对接源_01库存!$E173)</f>
        <v/>
      </c>
      <c r="F238" s="64" t="str">
        <f aca="false">IF($B238="","",N(对接源_01库存!$F173))</f>
        <v/>
      </c>
      <c r="G238" s="65" t="str">
        <f aca="false">IF($B238="","",N(对接源_01库存!$G173))</f>
        <v/>
      </c>
      <c r="H238" s="130" t="str">
        <f aca="false">IF($B238="","",ROUND(N($F238)*N($I238),2))</f>
        <v/>
      </c>
      <c r="I238" s="136"/>
      <c r="J238" s="131" t="str">
        <f aca="false">IF($B238="","",对接源_01库存!$H173)</f>
        <v/>
      </c>
      <c r="K238" s="129"/>
      <c r="L238" s="132" t="str">
        <f aca="false">IF($B238="","",IF(N($I238)=0,"← 这一行还没填单价",""))</f>
        <v/>
      </c>
    </row>
    <row r="239" customFormat="false" ht="15" hidden="false" customHeight="true" outlineLevel="0" collapsed="false">
      <c r="A239" s="63" t="str">
        <f aca="false">IF($B239="","",ROW()-68)</f>
        <v/>
      </c>
      <c r="B239" s="62" t="str">
        <f aca="false">IF(对接源_01库存!$B174="","",对接源_01库存!$B174)</f>
        <v/>
      </c>
      <c r="C239" s="63" t="str">
        <f aca="false">IF($B239="","",对接源_01库存!$C174)</f>
        <v/>
      </c>
      <c r="D239" s="63" t="str">
        <f aca="false">IF($B239="","",对接源_01库存!$D174)</f>
        <v/>
      </c>
      <c r="E239" s="63" t="str">
        <f aca="false">IF($B239="","",对接源_01库存!$E174)</f>
        <v/>
      </c>
      <c r="F239" s="64" t="str">
        <f aca="false">IF($B239="","",N(对接源_01库存!$F174))</f>
        <v/>
      </c>
      <c r="G239" s="65" t="str">
        <f aca="false">IF($B239="","",N(对接源_01库存!$G174))</f>
        <v/>
      </c>
      <c r="H239" s="130" t="str">
        <f aca="false">IF($B239="","",ROUND(N($F239)*N($I239),2))</f>
        <v/>
      </c>
      <c r="I239" s="136"/>
      <c r="J239" s="131" t="str">
        <f aca="false">IF($B239="","",对接源_01库存!$H174)</f>
        <v/>
      </c>
      <c r="K239" s="129"/>
      <c r="L239" s="132" t="str">
        <f aca="false">IF($B239="","",IF(N($I239)=0,"← 这一行还没填单价",""))</f>
        <v/>
      </c>
    </row>
    <row r="240" customFormat="false" ht="15" hidden="false" customHeight="true" outlineLevel="0" collapsed="false">
      <c r="A240" s="63" t="str">
        <f aca="false">IF($B240="","",ROW()-68)</f>
        <v/>
      </c>
      <c r="B240" s="62" t="str">
        <f aca="false">IF(对接源_01库存!$B175="","",对接源_01库存!$B175)</f>
        <v/>
      </c>
      <c r="C240" s="63" t="str">
        <f aca="false">IF($B240="","",对接源_01库存!$C175)</f>
        <v/>
      </c>
      <c r="D240" s="63" t="str">
        <f aca="false">IF($B240="","",对接源_01库存!$D175)</f>
        <v/>
      </c>
      <c r="E240" s="63" t="str">
        <f aca="false">IF($B240="","",对接源_01库存!$E175)</f>
        <v/>
      </c>
      <c r="F240" s="64" t="str">
        <f aca="false">IF($B240="","",N(对接源_01库存!$F175))</f>
        <v/>
      </c>
      <c r="G240" s="65" t="str">
        <f aca="false">IF($B240="","",N(对接源_01库存!$G175))</f>
        <v/>
      </c>
      <c r="H240" s="130" t="str">
        <f aca="false">IF($B240="","",ROUND(N($F240)*N($I240),2))</f>
        <v/>
      </c>
      <c r="I240" s="136"/>
      <c r="J240" s="131" t="str">
        <f aca="false">IF($B240="","",对接源_01库存!$H175)</f>
        <v/>
      </c>
      <c r="K240" s="129"/>
      <c r="L240" s="132" t="str">
        <f aca="false">IF($B240="","",IF(N($I240)=0,"← 这一行还没填单价",""))</f>
        <v/>
      </c>
    </row>
    <row r="241" customFormat="false" ht="15" hidden="false" customHeight="true" outlineLevel="0" collapsed="false">
      <c r="A241" s="63" t="str">
        <f aca="false">IF($B241="","",ROW()-68)</f>
        <v/>
      </c>
      <c r="B241" s="62" t="str">
        <f aca="false">IF(对接源_01库存!$B176="","",对接源_01库存!$B176)</f>
        <v/>
      </c>
      <c r="C241" s="63" t="str">
        <f aca="false">IF($B241="","",对接源_01库存!$C176)</f>
        <v/>
      </c>
      <c r="D241" s="63" t="str">
        <f aca="false">IF($B241="","",对接源_01库存!$D176)</f>
        <v/>
      </c>
      <c r="E241" s="63" t="str">
        <f aca="false">IF($B241="","",对接源_01库存!$E176)</f>
        <v/>
      </c>
      <c r="F241" s="64" t="str">
        <f aca="false">IF($B241="","",N(对接源_01库存!$F176))</f>
        <v/>
      </c>
      <c r="G241" s="65" t="str">
        <f aca="false">IF($B241="","",N(对接源_01库存!$G176))</f>
        <v/>
      </c>
      <c r="H241" s="130" t="str">
        <f aca="false">IF($B241="","",ROUND(N($F241)*N($I241),2))</f>
        <v/>
      </c>
      <c r="I241" s="136"/>
      <c r="J241" s="131" t="str">
        <f aca="false">IF($B241="","",对接源_01库存!$H176)</f>
        <v/>
      </c>
      <c r="K241" s="129"/>
      <c r="L241" s="132" t="str">
        <f aca="false">IF($B241="","",IF(N($I241)=0,"← 这一行还没填单价",""))</f>
        <v/>
      </c>
    </row>
    <row r="242" customFormat="false" ht="15" hidden="false" customHeight="true" outlineLevel="0" collapsed="false">
      <c r="A242" s="63" t="str">
        <f aca="false">IF($B242="","",ROW()-68)</f>
        <v/>
      </c>
      <c r="B242" s="62" t="str">
        <f aca="false">IF(对接源_01库存!$B177="","",对接源_01库存!$B177)</f>
        <v/>
      </c>
      <c r="C242" s="63" t="str">
        <f aca="false">IF($B242="","",对接源_01库存!$C177)</f>
        <v/>
      </c>
      <c r="D242" s="63" t="str">
        <f aca="false">IF($B242="","",对接源_01库存!$D177)</f>
        <v/>
      </c>
      <c r="E242" s="63" t="str">
        <f aca="false">IF($B242="","",对接源_01库存!$E177)</f>
        <v/>
      </c>
      <c r="F242" s="64" t="str">
        <f aca="false">IF($B242="","",N(对接源_01库存!$F177))</f>
        <v/>
      </c>
      <c r="G242" s="65" t="str">
        <f aca="false">IF($B242="","",N(对接源_01库存!$G177))</f>
        <v/>
      </c>
      <c r="H242" s="130" t="str">
        <f aca="false">IF($B242="","",ROUND(N($F242)*N($I242),2))</f>
        <v/>
      </c>
      <c r="I242" s="136"/>
      <c r="J242" s="131" t="str">
        <f aca="false">IF($B242="","",对接源_01库存!$H177)</f>
        <v/>
      </c>
      <c r="K242" s="129"/>
      <c r="L242" s="132" t="str">
        <f aca="false">IF($B242="","",IF(N($I242)=0,"← 这一行还没填单价",""))</f>
        <v/>
      </c>
    </row>
    <row r="243" customFormat="false" ht="15" hidden="false" customHeight="true" outlineLevel="0" collapsed="false">
      <c r="A243" s="63" t="str">
        <f aca="false">IF($B243="","",ROW()-68)</f>
        <v/>
      </c>
      <c r="B243" s="62" t="str">
        <f aca="false">IF(对接源_01库存!$B178="","",对接源_01库存!$B178)</f>
        <v/>
      </c>
      <c r="C243" s="63" t="str">
        <f aca="false">IF($B243="","",对接源_01库存!$C178)</f>
        <v/>
      </c>
      <c r="D243" s="63" t="str">
        <f aca="false">IF($B243="","",对接源_01库存!$D178)</f>
        <v/>
      </c>
      <c r="E243" s="63" t="str">
        <f aca="false">IF($B243="","",对接源_01库存!$E178)</f>
        <v/>
      </c>
      <c r="F243" s="64" t="str">
        <f aca="false">IF($B243="","",N(对接源_01库存!$F178))</f>
        <v/>
      </c>
      <c r="G243" s="65" t="str">
        <f aca="false">IF($B243="","",N(对接源_01库存!$G178))</f>
        <v/>
      </c>
      <c r="H243" s="130" t="str">
        <f aca="false">IF($B243="","",ROUND(N($F243)*N($I243),2))</f>
        <v/>
      </c>
      <c r="I243" s="136"/>
      <c r="J243" s="131" t="str">
        <f aca="false">IF($B243="","",对接源_01库存!$H178)</f>
        <v/>
      </c>
      <c r="K243" s="129"/>
      <c r="L243" s="132" t="str">
        <f aca="false">IF($B243="","",IF(N($I243)=0,"← 这一行还没填单价",""))</f>
        <v/>
      </c>
    </row>
    <row r="244" customFormat="false" ht="15" hidden="false" customHeight="true" outlineLevel="0" collapsed="false">
      <c r="A244" s="63" t="str">
        <f aca="false">IF($B244="","",ROW()-68)</f>
        <v/>
      </c>
      <c r="B244" s="62" t="str">
        <f aca="false">IF(对接源_01库存!$B179="","",对接源_01库存!$B179)</f>
        <v/>
      </c>
      <c r="C244" s="63" t="str">
        <f aca="false">IF($B244="","",对接源_01库存!$C179)</f>
        <v/>
      </c>
      <c r="D244" s="63" t="str">
        <f aca="false">IF($B244="","",对接源_01库存!$D179)</f>
        <v/>
      </c>
      <c r="E244" s="63" t="str">
        <f aca="false">IF($B244="","",对接源_01库存!$E179)</f>
        <v/>
      </c>
      <c r="F244" s="64" t="str">
        <f aca="false">IF($B244="","",N(对接源_01库存!$F179))</f>
        <v/>
      </c>
      <c r="G244" s="65" t="str">
        <f aca="false">IF($B244="","",N(对接源_01库存!$G179))</f>
        <v/>
      </c>
      <c r="H244" s="130" t="str">
        <f aca="false">IF($B244="","",ROUND(N($F244)*N($I244),2))</f>
        <v/>
      </c>
      <c r="I244" s="136"/>
      <c r="J244" s="131" t="str">
        <f aca="false">IF($B244="","",对接源_01库存!$H179)</f>
        <v/>
      </c>
      <c r="K244" s="129"/>
      <c r="L244" s="132" t="str">
        <f aca="false">IF($B244="","",IF(N($I244)=0,"← 这一行还没填单价",""))</f>
        <v/>
      </c>
    </row>
    <row r="245" customFormat="false" ht="15" hidden="false" customHeight="true" outlineLevel="0" collapsed="false">
      <c r="A245" s="63" t="str">
        <f aca="false">IF($B245="","",ROW()-68)</f>
        <v/>
      </c>
      <c r="B245" s="62" t="str">
        <f aca="false">IF(对接源_01库存!$B180="","",对接源_01库存!$B180)</f>
        <v/>
      </c>
      <c r="C245" s="63" t="str">
        <f aca="false">IF($B245="","",对接源_01库存!$C180)</f>
        <v/>
      </c>
      <c r="D245" s="63" t="str">
        <f aca="false">IF($B245="","",对接源_01库存!$D180)</f>
        <v/>
      </c>
      <c r="E245" s="63" t="str">
        <f aca="false">IF($B245="","",对接源_01库存!$E180)</f>
        <v/>
      </c>
      <c r="F245" s="64" t="str">
        <f aca="false">IF($B245="","",N(对接源_01库存!$F180))</f>
        <v/>
      </c>
      <c r="G245" s="65" t="str">
        <f aca="false">IF($B245="","",N(对接源_01库存!$G180))</f>
        <v/>
      </c>
      <c r="H245" s="130" t="str">
        <f aca="false">IF($B245="","",ROUND(N($F245)*N($I245),2))</f>
        <v/>
      </c>
      <c r="I245" s="136"/>
      <c r="J245" s="131" t="str">
        <f aca="false">IF($B245="","",对接源_01库存!$H180)</f>
        <v/>
      </c>
      <c r="K245" s="129"/>
      <c r="L245" s="132" t="str">
        <f aca="false">IF($B245="","",IF(N($I245)=0,"← 这一行还没填单价",""))</f>
        <v/>
      </c>
    </row>
    <row r="246" customFormat="false" ht="15" hidden="false" customHeight="true" outlineLevel="0" collapsed="false">
      <c r="A246" s="63" t="str">
        <f aca="false">IF($B246="","",ROW()-68)</f>
        <v/>
      </c>
      <c r="B246" s="62" t="str">
        <f aca="false">IF(对接源_01库存!$B181="","",对接源_01库存!$B181)</f>
        <v/>
      </c>
      <c r="C246" s="63" t="str">
        <f aca="false">IF($B246="","",对接源_01库存!$C181)</f>
        <v/>
      </c>
      <c r="D246" s="63" t="str">
        <f aca="false">IF($B246="","",对接源_01库存!$D181)</f>
        <v/>
      </c>
      <c r="E246" s="63" t="str">
        <f aca="false">IF($B246="","",对接源_01库存!$E181)</f>
        <v/>
      </c>
      <c r="F246" s="64" t="str">
        <f aca="false">IF($B246="","",N(对接源_01库存!$F181))</f>
        <v/>
      </c>
      <c r="G246" s="65" t="str">
        <f aca="false">IF($B246="","",N(对接源_01库存!$G181))</f>
        <v/>
      </c>
      <c r="H246" s="130" t="str">
        <f aca="false">IF($B246="","",ROUND(N($F246)*N($I246),2))</f>
        <v/>
      </c>
      <c r="I246" s="136"/>
      <c r="J246" s="131" t="str">
        <f aca="false">IF($B246="","",对接源_01库存!$H181)</f>
        <v/>
      </c>
      <c r="K246" s="129"/>
      <c r="L246" s="132" t="str">
        <f aca="false">IF($B246="","",IF(N($I246)=0,"← 这一行还没填单价",""))</f>
        <v/>
      </c>
    </row>
    <row r="247" customFormat="false" ht="15" hidden="false" customHeight="true" outlineLevel="0" collapsed="false">
      <c r="A247" s="63" t="str">
        <f aca="false">IF($B247="","",ROW()-68)</f>
        <v/>
      </c>
      <c r="B247" s="62" t="str">
        <f aca="false">IF(对接源_01库存!$B182="","",对接源_01库存!$B182)</f>
        <v/>
      </c>
      <c r="C247" s="63" t="str">
        <f aca="false">IF($B247="","",对接源_01库存!$C182)</f>
        <v/>
      </c>
      <c r="D247" s="63" t="str">
        <f aca="false">IF($B247="","",对接源_01库存!$D182)</f>
        <v/>
      </c>
      <c r="E247" s="63" t="str">
        <f aca="false">IF($B247="","",对接源_01库存!$E182)</f>
        <v/>
      </c>
      <c r="F247" s="64" t="str">
        <f aca="false">IF($B247="","",N(对接源_01库存!$F182))</f>
        <v/>
      </c>
      <c r="G247" s="65" t="str">
        <f aca="false">IF($B247="","",N(对接源_01库存!$G182))</f>
        <v/>
      </c>
      <c r="H247" s="130" t="str">
        <f aca="false">IF($B247="","",ROUND(N($F247)*N($I247),2))</f>
        <v/>
      </c>
      <c r="I247" s="136"/>
      <c r="J247" s="131" t="str">
        <f aca="false">IF($B247="","",对接源_01库存!$H182)</f>
        <v/>
      </c>
      <c r="K247" s="129"/>
      <c r="L247" s="132" t="str">
        <f aca="false">IF($B247="","",IF(N($I247)=0,"← 这一行还没填单价",""))</f>
        <v/>
      </c>
    </row>
    <row r="248" customFormat="false" ht="15" hidden="false" customHeight="true" outlineLevel="0" collapsed="false">
      <c r="A248" s="63" t="str">
        <f aca="false">IF($B248="","",ROW()-68)</f>
        <v/>
      </c>
      <c r="B248" s="62" t="str">
        <f aca="false">IF(对接源_01库存!$B183="","",对接源_01库存!$B183)</f>
        <v/>
      </c>
      <c r="C248" s="63" t="str">
        <f aca="false">IF($B248="","",对接源_01库存!$C183)</f>
        <v/>
      </c>
      <c r="D248" s="63" t="str">
        <f aca="false">IF($B248="","",对接源_01库存!$D183)</f>
        <v/>
      </c>
      <c r="E248" s="63" t="str">
        <f aca="false">IF($B248="","",对接源_01库存!$E183)</f>
        <v/>
      </c>
      <c r="F248" s="64" t="str">
        <f aca="false">IF($B248="","",N(对接源_01库存!$F183))</f>
        <v/>
      </c>
      <c r="G248" s="65" t="str">
        <f aca="false">IF($B248="","",N(对接源_01库存!$G183))</f>
        <v/>
      </c>
      <c r="H248" s="130" t="str">
        <f aca="false">IF($B248="","",ROUND(N($F248)*N($I248),2))</f>
        <v/>
      </c>
      <c r="I248" s="136"/>
      <c r="J248" s="131" t="str">
        <f aca="false">IF($B248="","",对接源_01库存!$H183)</f>
        <v/>
      </c>
      <c r="K248" s="129"/>
      <c r="L248" s="132" t="str">
        <f aca="false">IF($B248="","",IF(N($I248)=0,"← 这一行还没填单价",""))</f>
        <v/>
      </c>
    </row>
    <row r="249" customFormat="false" ht="15" hidden="false" customHeight="true" outlineLevel="0" collapsed="false">
      <c r="A249" s="63" t="str">
        <f aca="false">IF($B249="","",ROW()-68)</f>
        <v/>
      </c>
      <c r="B249" s="62" t="str">
        <f aca="false">IF(对接源_01库存!$B184="","",对接源_01库存!$B184)</f>
        <v/>
      </c>
      <c r="C249" s="63" t="str">
        <f aca="false">IF($B249="","",对接源_01库存!$C184)</f>
        <v/>
      </c>
      <c r="D249" s="63" t="str">
        <f aca="false">IF($B249="","",对接源_01库存!$D184)</f>
        <v/>
      </c>
      <c r="E249" s="63" t="str">
        <f aca="false">IF($B249="","",对接源_01库存!$E184)</f>
        <v/>
      </c>
      <c r="F249" s="64" t="str">
        <f aca="false">IF($B249="","",N(对接源_01库存!$F184))</f>
        <v/>
      </c>
      <c r="G249" s="65" t="str">
        <f aca="false">IF($B249="","",N(对接源_01库存!$G184))</f>
        <v/>
      </c>
      <c r="H249" s="130" t="str">
        <f aca="false">IF($B249="","",ROUND(N($F249)*N($I249),2))</f>
        <v/>
      </c>
      <c r="I249" s="136"/>
      <c r="J249" s="131" t="str">
        <f aca="false">IF($B249="","",对接源_01库存!$H184)</f>
        <v/>
      </c>
      <c r="K249" s="129"/>
      <c r="L249" s="132" t="str">
        <f aca="false">IF($B249="","",IF(N($I249)=0,"← 这一行还没填单价",""))</f>
        <v/>
      </c>
    </row>
    <row r="250" customFormat="false" ht="15" hidden="false" customHeight="true" outlineLevel="0" collapsed="false">
      <c r="A250" s="63" t="str">
        <f aca="false">IF($B250="","",ROW()-68)</f>
        <v/>
      </c>
      <c r="B250" s="62" t="str">
        <f aca="false">IF(对接源_01库存!$B185="","",对接源_01库存!$B185)</f>
        <v/>
      </c>
      <c r="C250" s="63" t="str">
        <f aca="false">IF($B250="","",对接源_01库存!$C185)</f>
        <v/>
      </c>
      <c r="D250" s="63" t="str">
        <f aca="false">IF($B250="","",对接源_01库存!$D185)</f>
        <v/>
      </c>
      <c r="E250" s="63" t="str">
        <f aca="false">IF($B250="","",对接源_01库存!$E185)</f>
        <v/>
      </c>
      <c r="F250" s="64" t="str">
        <f aca="false">IF($B250="","",N(对接源_01库存!$F185))</f>
        <v/>
      </c>
      <c r="G250" s="65" t="str">
        <f aca="false">IF($B250="","",N(对接源_01库存!$G185))</f>
        <v/>
      </c>
      <c r="H250" s="130" t="str">
        <f aca="false">IF($B250="","",ROUND(N($F250)*N($I250),2))</f>
        <v/>
      </c>
      <c r="I250" s="136"/>
      <c r="J250" s="131" t="str">
        <f aca="false">IF($B250="","",对接源_01库存!$H185)</f>
        <v/>
      </c>
      <c r="K250" s="129"/>
      <c r="L250" s="132" t="str">
        <f aca="false">IF($B250="","",IF(N($I250)=0,"← 这一行还没填单价",""))</f>
        <v/>
      </c>
    </row>
    <row r="251" customFormat="false" ht="15" hidden="false" customHeight="true" outlineLevel="0" collapsed="false">
      <c r="A251" s="63" t="str">
        <f aca="false">IF($B251="","",ROW()-68)</f>
        <v/>
      </c>
      <c r="B251" s="62" t="str">
        <f aca="false">IF(对接源_01库存!$B186="","",对接源_01库存!$B186)</f>
        <v/>
      </c>
      <c r="C251" s="63" t="str">
        <f aca="false">IF($B251="","",对接源_01库存!$C186)</f>
        <v/>
      </c>
      <c r="D251" s="63" t="str">
        <f aca="false">IF($B251="","",对接源_01库存!$D186)</f>
        <v/>
      </c>
      <c r="E251" s="63" t="str">
        <f aca="false">IF($B251="","",对接源_01库存!$E186)</f>
        <v/>
      </c>
      <c r="F251" s="64" t="str">
        <f aca="false">IF($B251="","",N(对接源_01库存!$F186))</f>
        <v/>
      </c>
      <c r="G251" s="65" t="str">
        <f aca="false">IF($B251="","",N(对接源_01库存!$G186))</f>
        <v/>
      </c>
      <c r="H251" s="130" t="str">
        <f aca="false">IF($B251="","",ROUND(N($F251)*N($I251),2))</f>
        <v/>
      </c>
      <c r="I251" s="136"/>
      <c r="J251" s="131" t="str">
        <f aca="false">IF($B251="","",对接源_01库存!$H186)</f>
        <v/>
      </c>
      <c r="K251" s="129"/>
      <c r="L251" s="132" t="str">
        <f aca="false">IF($B251="","",IF(N($I251)=0,"← 这一行还没填单价",""))</f>
        <v/>
      </c>
    </row>
    <row r="252" customFormat="false" ht="15" hidden="false" customHeight="true" outlineLevel="0" collapsed="false">
      <c r="A252" s="63" t="str">
        <f aca="false">IF($B252="","",ROW()-68)</f>
        <v/>
      </c>
      <c r="B252" s="62" t="str">
        <f aca="false">IF(对接源_01库存!$B187="","",对接源_01库存!$B187)</f>
        <v/>
      </c>
      <c r="C252" s="63" t="str">
        <f aca="false">IF($B252="","",对接源_01库存!$C187)</f>
        <v/>
      </c>
      <c r="D252" s="63" t="str">
        <f aca="false">IF($B252="","",对接源_01库存!$D187)</f>
        <v/>
      </c>
      <c r="E252" s="63" t="str">
        <f aca="false">IF($B252="","",对接源_01库存!$E187)</f>
        <v/>
      </c>
      <c r="F252" s="64" t="str">
        <f aca="false">IF($B252="","",N(对接源_01库存!$F187))</f>
        <v/>
      </c>
      <c r="G252" s="65" t="str">
        <f aca="false">IF($B252="","",N(对接源_01库存!$G187))</f>
        <v/>
      </c>
      <c r="H252" s="130" t="str">
        <f aca="false">IF($B252="","",ROUND(N($F252)*N($I252),2))</f>
        <v/>
      </c>
      <c r="I252" s="136"/>
      <c r="J252" s="131" t="str">
        <f aca="false">IF($B252="","",对接源_01库存!$H187)</f>
        <v/>
      </c>
      <c r="K252" s="129"/>
      <c r="L252" s="132" t="str">
        <f aca="false">IF($B252="","",IF(N($I252)=0,"← 这一行还没填单价",""))</f>
        <v/>
      </c>
    </row>
    <row r="253" customFormat="false" ht="15" hidden="false" customHeight="true" outlineLevel="0" collapsed="false">
      <c r="A253" s="63" t="str">
        <f aca="false">IF($B253="","",ROW()-68)</f>
        <v/>
      </c>
      <c r="B253" s="62" t="str">
        <f aca="false">IF(对接源_01库存!$B188="","",对接源_01库存!$B188)</f>
        <v/>
      </c>
      <c r="C253" s="63" t="str">
        <f aca="false">IF($B253="","",对接源_01库存!$C188)</f>
        <v/>
      </c>
      <c r="D253" s="63" t="str">
        <f aca="false">IF($B253="","",对接源_01库存!$D188)</f>
        <v/>
      </c>
      <c r="E253" s="63" t="str">
        <f aca="false">IF($B253="","",对接源_01库存!$E188)</f>
        <v/>
      </c>
      <c r="F253" s="64" t="str">
        <f aca="false">IF($B253="","",N(对接源_01库存!$F188))</f>
        <v/>
      </c>
      <c r="G253" s="65" t="str">
        <f aca="false">IF($B253="","",N(对接源_01库存!$G188))</f>
        <v/>
      </c>
      <c r="H253" s="130" t="str">
        <f aca="false">IF($B253="","",ROUND(N($F253)*N($I253),2))</f>
        <v/>
      </c>
      <c r="I253" s="136"/>
      <c r="J253" s="131" t="str">
        <f aca="false">IF($B253="","",对接源_01库存!$H188)</f>
        <v/>
      </c>
      <c r="K253" s="129"/>
      <c r="L253" s="132" t="str">
        <f aca="false">IF($B253="","",IF(N($I253)=0,"← 这一行还没填单价",""))</f>
        <v/>
      </c>
    </row>
    <row r="254" customFormat="false" ht="15" hidden="false" customHeight="true" outlineLevel="0" collapsed="false">
      <c r="A254" s="63" t="str">
        <f aca="false">IF($B254="","",ROW()-68)</f>
        <v/>
      </c>
      <c r="B254" s="62" t="str">
        <f aca="false">IF(对接源_01库存!$B189="","",对接源_01库存!$B189)</f>
        <v/>
      </c>
      <c r="C254" s="63" t="str">
        <f aca="false">IF($B254="","",对接源_01库存!$C189)</f>
        <v/>
      </c>
      <c r="D254" s="63" t="str">
        <f aca="false">IF($B254="","",对接源_01库存!$D189)</f>
        <v/>
      </c>
      <c r="E254" s="63" t="str">
        <f aca="false">IF($B254="","",对接源_01库存!$E189)</f>
        <v/>
      </c>
      <c r="F254" s="64" t="str">
        <f aca="false">IF($B254="","",N(对接源_01库存!$F189))</f>
        <v/>
      </c>
      <c r="G254" s="65" t="str">
        <f aca="false">IF($B254="","",N(对接源_01库存!$G189))</f>
        <v/>
      </c>
      <c r="H254" s="130" t="str">
        <f aca="false">IF($B254="","",ROUND(N($F254)*N($I254),2))</f>
        <v/>
      </c>
      <c r="I254" s="136"/>
      <c r="J254" s="131" t="str">
        <f aca="false">IF($B254="","",对接源_01库存!$H189)</f>
        <v/>
      </c>
      <c r="K254" s="129"/>
      <c r="L254" s="132" t="str">
        <f aca="false">IF($B254="","",IF(N($I254)=0,"← 这一行还没填单价",""))</f>
        <v/>
      </c>
    </row>
    <row r="255" customFormat="false" ht="15" hidden="false" customHeight="true" outlineLevel="0" collapsed="false">
      <c r="A255" s="63" t="str">
        <f aca="false">IF($B255="","",ROW()-68)</f>
        <v/>
      </c>
      <c r="B255" s="62" t="str">
        <f aca="false">IF(对接源_01库存!$B190="","",对接源_01库存!$B190)</f>
        <v/>
      </c>
      <c r="C255" s="63" t="str">
        <f aca="false">IF($B255="","",对接源_01库存!$C190)</f>
        <v/>
      </c>
      <c r="D255" s="63" t="str">
        <f aca="false">IF($B255="","",对接源_01库存!$D190)</f>
        <v/>
      </c>
      <c r="E255" s="63" t="str">
        <f aca="false">IF($B255="","",对接源_01库存!$E190)</f>
        <v/>
      </c>
      <c r="F255" s="64" t="str">
        <f aca="false">IF($B255="","",N(对接源_01库存!$F190))</f>
        <v/>
      </c>
      <c r="G255" s="65" t="str">
        <f aca="false">IF($B255="","",N(对接源_01库存!$G190))</f>
        <v/>
      </c>
      <c r="H255" s="130" t="str">
        <f aca="false">IF($B255="","",ROUND(N($F255)*N($I255),2))</f>
        <v/>
      </c>
      <c r="I255" s="136"/>
      <c r="J255" s="131" t="str">
        <f aca="false">IF($B255="","",对接源_01库存!$H190)</f>
        <v/>
      </c>
      <c r="K255" s="129"/>
      <c r="L255" s="132" t="str">
        <f aca="false">IF($B255="","",IF(N($I255)=0,"← 这一行还没填单价",""))</f>
        <v/>
      </c>
    </row>
    <row r="256" customFormat="false" ht="15" hidden="false" customHeight="true" outlineLevel="0" collapsed="false">
      <c r="A256" s="63" t="str">
        <f aca="false">IF($B256="","",ROW()-68)</f>
        <v/>
      </c>
      <c r="B256" s="62" t="str">
        <f aca="false">IF(对接源_01库存!$B191="","",对接源_01库存!$B191)</f>
        <v/>
      </c>
      <c r="C256" s="63" t="str">
        <f aca="false">IF($B256="","",对接源_01库存!$C191)</f>
        <v/>
      </c>
      <c r="D256" s="63" t="str">
        <f aca="false">IF($B256="","",对接源_01库存!$D191)</f>
        <v/>
      </c>
      <c r="E256" s="63" t="str">
        <f aca="false">IF($B256="","",对接源_01库存!$E191)</f>
        <v/>
      </c>
      <c r="F256" s="64" t="str">
        <f aca="false">IF($B256="","",N(对接源_01库存!$F191))</f>
        <v/>
      </c>
      <c r="G256" s="65" t="str">
        <f aca="false">IF($B256="","",N(对接源_01库存!$G191))</f>
        <v/>
      </c>
      <c r="H256" s="130" t="str">
        <f aca="false">IF($B256="","",ROUND(N($F256)*N($I256),2))</f>
        <v/>
      </c>
      <c r="I256" s="136"/>
      <c r="J256" s="131" t="str">
        <f aca="false">IF($B256="","",对接源_01库存!$H191)</f>
        <v/>
      </c>
      <c r="K256" s="129"/>
      <c r="L256" s="132" t="str">
        <f aca="false">IF($B256="","",IF(N($I256)=0,"← 这一行还没填单价",""))</f>
        <v/>
      </c>
    </row>
    <row r="257" customFormat="false" ht="15" hidden="false" customHeight="true" outlineLevel="0" collapsed="false">
      <c r="A257" s="63" t="str">
        <f aca="false">IF($B257="","",ROW()-68)</f>
        <v/>
      </c>
      <c r="B257" s="62" t="str">
        <f aca="false">IF(对接源_01库存!$B192="","",对接源_01库存!$B192)</f>
        <v/>
      </c>
      <c r="C257" s="63" t="str">
        <f aca="false">IF($B257="","",对接源_01库存!$C192)</f>
        <v/>
      </c>
      <c r="D257" s="63" t="str">
        <f aca="false">IF($B257="","",对接源_01库存!$D192)</f>
        <v/>
      </c>
      <c r="E257" s="63" t="str">
        <f aca="false">IF($B257="","",对接源_01库存!$E192)</f>
        <v/>
      </c>
      <c r="F257" s="64" t="str">
        <f aca="false">IF($B257="","",N(对接源_01库存!$F192))</f>
        <v/>
      </c>
      <c r="G257" s="65" t="str">
        <f aca="false">IF($B257="","",N(对接源_01库存!$G192))</f>
        <v/>
      </c>
      <c r="H257" s="130" t="str">
        <f aca="false">IF($B257="","",ROUND(N($F257)*N($I257),2))</f>
        <v/>
      </c>
      <c r="I257" s="136"/>
      <c r="J257" s="131" t="str">
        <f aca="false">IF($B257="","",对接源_01库存!$H192)</f>
        <v/>
      </c>
      <c r="K257" s="129"/>
      <c r="L257" s="132" t="str">
        <f aca="false">IF($B257="","",IF(N($I257)=0,"← 这一行还没填单价",""))</f>
        <v/>
      </c>
    </row>
    <row r="258" customFormat="false" ht="15" hidden="false" customHeight="true" outlineLevel="0" collapsed="false">
      <c r="A258" s="63" t="str">
        <f aca="false">IF($B258="","",ROW()-68)</f>
        <v/>
      </c>
      <c r="B258" s="62" t="str">
        <f aca="false">IF(对接源_01库存!$B193="","",对接源_01库存!$B193)</f>
        <v/>
      </c>
      <c r="C258" s="63" t="str">
        <f aca="false">IF($B258="","",对接源_01库存!$C193)</f>
        <v/>
      </c>
      <c r="D258" s="63" t="str">
        <f aca="false">IF($B258="","",对接源_01库存!$D193)</f>
        <v/>
      </c>
      <c r="E258" s="63" t="str">
        <f aca="false">IF($B258="","",对接源_01库存!$E193)</f>
        <v/>
      </c>
      <c r="F258" s="64" t="str">
        <f aca="false">IF($B258="","",N(对接源_01库存!$F193))</f>
        <v/>
      </c>
      <c r="G258" s="65" t="str">
        <f aca="false">IF($B258="","",N(对接源_01库存!$G193))</f>
        <v/>
      </c>
      <c r="H258" s="130" t="str">
        <f aca="false">IF($B258="","",ROUND(N($F258)*N($I258),2))</f>
        <v/>
      </c>
      <c r="I258" s="136"/>
      <c r="J258" s="131" t="str">
        <f aca="false">IF($B258="","",对接源_01库存!$H193)</f>
        <v/>
      </c>
      <c r="K258" s="129"/>
      <c r="L258" s="132" t="str">
        <f aca="false">IF($B258="","",IF(N($I258)=0,"← 这一行还没填单价",""))</f>
        <v/>
      </c>
    </row>
    <row r="259" customFormat="false" ht="15" hidden="false" customHeight="true" outlineLevel="0" collapsed="false">
      <c r="A259" s="63" t="str">
        <f aca="false">IF($B259="","",ROW()-68)</f>
        <v/>
      </c>
      <c r="B259" s="62" t="str">
        <f aca="false">IF(对接源_01库存!$B194="","",对接源_01库存!$B194)</f>
        <v/>
      </c>
      <c r="C259" s="63" t="str">
        <f aca="false">IF($B259="","",对接源_01库存!$C194)</f>
        <v/>
      </c>
      <c r="D259" s="63" t="str">
        <f aca="false">IF($B259="","",对接源_01库存!$D194)</f>
        <v/>
      </c>
      <c r="E259" s="63" t="str">
        <f aca="false">IF($B259="","",对接源_01库存!$E194)</f>
        <v/>
      </c>
      <c r="F259" s="64" t="str">
        <f aca="false">IF($B259="","",N(对接源_01库存!$F194))</f>
        <v/>
      </c>
      <c r="G259" s="65" t="str">
        <f aca="false">IF($B259="","",N(对接源_01库存!$G194))</f>
        <v/>
      </c>
      <c r="H259" s="130" t="str">
        <f aca="false">IF($B259="","",ROUND(N($F259)*N($I259),2))</f>
        <v/>
      </c>
      <c r="I259" s="136"/>
      <c r="J259" s="131" t="str">
        <f aca="false">IF($B259="","",对接源_01库存!$H194)</f>
        <v/>
      </c>
      <c r="K259" s="129"/>
      <c r="L259" s="132" t="str">
        <f aca="false">IF($B259="","",IF(N($I259)=0,"← 这一行还没填单价",""))</f>
        <v/>
      </c>
    </row>
    <row r="260" customFormat="false" ht="15" hidden="false" customHeight="true" outlineLevel="0" collapsed="false">
      <c r="A260" s="63" t="str">
        <f aca="false">IF($B260="","",ROW()-68)</f>
        <v/>
      </c>
      <c r="B260" s="62" t="str">
        <f aca="false">IF(对接源_01库存!$B195="","",对接源_01库存!$B195)</f>
        <v/>
      </c>
      <c r="C260" s="63" t="str">
        <f aca="false">IF($B260="","",对接源_01库存!$C195)</f>
        <v/>
      </c>
      <c r="D260" s="63" t="str">
        <f aca="false">IF($B260="","",对接源_01库存!$D195)</f>
        <v/>
      </c>
      <c r="E260" s="63" t="str">
        <f aca="false">IF($B260="","",对接源_01库存!$E195)</f>
        <v/>
      </c>
      <c r="F260" s="64" t="str">
        <f aca="false">IF($B260="","",N(对接源_01库存!$F195))</f>
        <v/>
      </c>
      <c r="G260" s="65" t="str">
        <f aca="false">IF($B260="","",N(对接源_01库存!$G195))</f>
        <v/>
      </c>
      <c r="H260" s="130" t="str">
        <f aca="false">IF($B260="","",ROUND(N($F260)*N($I260),2))</f>
        <v/>
      </c>
      <c r="I260" s="136"/>
      <c r="J260" s="131" t="str">
        <f aca="false">IF($B260="","",对接源_01库存!$H195)</f>
        <v/>
      </c>
      <c r="K260" s="129"/>
      <c r="L260" s="132" t="str">
        <f aca="false">IF($B260="","",IF(N($I260)=0,"← 这一行还没填单价",""))</f>
        <v/>
      </c>
    </row>
    <row r="261" customFormat="false" ht="15" hidden="false" customHeight="true" outlineLevel="0" collapsed="false">
      <c r="A261" s="63" t="str">
        <f aca="false">IF($B261="","",ROW()-68)</f>
        <v/>
      </c>
      <c r="B261" s="62" t="str">
        <f aca="false">IF(对接源_01库存!$B196="","",对接源_01库存!$B196)</f>
        <v/>
      </c>
      <c r="C261" s="63" t="str">
        <f aca="false">IF($B261="","",对接源_01库存!$C196)</f>
        <v/>
      </c>
      <c r="D261" s="63" t="str">
        <f aca="false">IF($B261="","",对接源_01库存!$D196)</f>
        <v/>
      </c>
      <c r="E261" s="63" t="str">
        <f aca="false">IF($B261="","",对接源_01库存!$E196)</f>
        <v/>
      </c>
      <c r="F261" s="64" t="str">
        <f aca="false">IF($B261="","",N(对接源_01库存!$F196))</f>
        <v/>
      </c>
      <c r="G261" s="65" t="str">
        <f aca="false">IF($B261="","",N(对接源_01库存!$G196))</f>
        <v/>
      </c>
      <c r="H261" s="130" t="str">
        <f aca="false">IF($B261="","",ROUND(N($F261)*N($I261),2))</f>
        <v/>
      </c>
      <c r="I261" s="136"/>
      <c r="J261" s="131" t="str">
        <f aca="false">IF($B261="","",对接源_01库存!$H196)</f>
        <v/>
      </c>
      <c r="K261" s="129"/>
      <c r="L261" s="132" t="str">
        <f aca="false">IF($B261="","",IF(N($I261)=0,"← 这一行还没填单价",""))</f>
        <v/>
      </c>
    </row>
    <row r="262" customFormat="false" ht="15" hidden="false" customHeight="true" outlineLevel="0" collapsed="false">
      <c r="A262" s="63" t="str">
        <f aca="false">IF($B262="","",ROW()-68)</f>
        <v/>
      </c>
      <c r="B262" s="62" t="str">
        <f aca="false">IF(对接源_01库存!$B197="","",对接源_01库存!$B197)</f>
        <v/>
      </c>
      <c r="C262" s="63" t="str">
        <f aca="false">IF($B262="","",对接源_01库存!$C197)</f>
        <v/>
      </c>
      <c r="D262" s="63" t="str">
        <f aca="false">IF($B262="","",对接源_01库存!$D197)</f>
        <v/>
      </c>
      <c r="E262" s="63" t="str">
        <f aca="false">IF($B262="","",对接源_01库存!$E197)</f>
        <v/>
      </c>
      <c r="F262" s="64" t="str">
        <f aca="false">IF($B262="","",N(对接源_01库存!$F197))</f>
        <v/>
      </c>
      <c r="G262" s="65" t="str">
        <f aca="false">IF($B262="","",N(对接源_01库存!$G197))</f>
        <v/>
      </c>
      <c r="H262" s="130" t="str">
        <f aca="false">IF($B262="","",ROUND(N($F262)*N($I262),2))</f>
        <v/>
      </c>
      <c r="I262" s="136"/>
      <c r="J262" s="131" t="str">
        <f aca="false">IF($B262="","",对接源_01库存!$H197)</f>
        <v/>
      </c>
      <c r="K262" s="129"/>
      <c r="L262" s="132" t="str">
        <f aca="false">IF($B262="","",IF(N($I262)=0,"← 这一行还没填单价",""))</f>
        <v/>
      </c>
    </row>
    <row r="263" customFormat="false" ht="15" hidden="false" customHeight="true" outlineLevel="0" collapsed="false">
      <c r="A263" s="63" t="str">
        <f aca="false">IF($B263="","",ROW()-68)</f>
        <v/>
      </c>
      <c r="B263" s="62" t="str">
        <f aca="false">IF(对接源_01库存!$B198="","",对接源_01库存!$B198)</f>
        <v/>
      </c>
      <c r="C263" s="63" t="str">
        <f aca="false">IF($B263="","",对接源_01库存!$C198)</f>
        <v/>
      </c>
      <c r="D263" s="63" t="str">
        <f aca="false">IF($B263="","",对接源_01库存!$D198)</f>
        <v/>
      </c>
      <c r="E263" s="63" t="str">
        <f aca="false">IF($B263="","",对接源_01库存!$E198)</f>
        <v/>
      </c>
      <c r="F263" s="64" t="str">
        <f aca="false">IF($B263="","",N(对接源_01库存!$F198))</f>
        <v/>
      </c>
      <c r="G263" s="65" t="str">
        <f aca="false">IF($B263="","",N(对接源_01库存!$G198))</f>
        <v/>
      </c>
      <c r="H263" s="130" t="str">
        <f aca="false">IF($B263="","",ROUND(N($F263)*N($I263),2))</f>
        <v/>
      </c>
      <c r="I263" s="136"/>
      <c r="J263" s="131" t="str">
        <f aca="false">IF($B263="","",对接源_01库存!$H198)</f>
        <v/>
      </c>
      <c r="K263" s="129"/>
      <c r="L263" s="132" t="str">
        <f aca="false">IF($B263="","",IF(N($I263)=0,"← 这一行还没填单价",""))</f>
        <v/>
      </c>
    </row>
    <row r="264" customFormat="false" ht="15" hidden="false" customHeight="true" outlineLevel="0" collapsed="false">
      <c r="A264" s="63" t="str">
        <f aca="false">IF($B264="","",ROW()-68)</f>
        <v/>
      </c>
      <c r="B264" s="62" t="str">
        <f aca="false">IF(对接源_01库存!$B199="","",对接源_01库存!$B199)</f>
        <v/>
      </c>
      <c r="C264" s="63" t="str">
        <f aca="false">IF($B264="","",对接源_01库存!$C199)</f>
        <v/>
      </c>
      <c r="D264" s="63" t="str">
        <f aca="false">IF($B264="","",对接源_01库存!$D199)</f>
        <v/>
      </c>
      <c r="E264" s="63" t="str">
        <f aca="false">IF($B264="","",对接源_01库存!$E199)</f>
        <v/>
      </c>
      <c r="F264" s="64" t="str">
        <f aca="false">IF($B264="","",N(对接源_01库存!$F199))</f>
        <v/>
      </c>
      <c r="G264" s="65" t="str">
        <f aca="false">IF($B264="","",N(对接源_01库存!$G199))</f>
        <v/>
      </c>
      <c r="H264" s="130" t="str">
        <f aca="false">IF($B264="","",ROUND(N($F264)*N($I264),2))</f>
        <v/>
      </c>
      <c r="I264" s="136"/>
      <c r="J264" s="131" t="str">
        <f aca="false">IF($B264="","",对接源_01库存!$H199)</f>
        <v/>
      </c>
      <c r="K264" s="129"/>
      <c r="L264" s="132" t="str">
        <f aca="false">IF($B264="","",IF(N($I264)=0,"← 这一行还没填单价",""))</f>
        <v/>
      </c>
    </row>
    <row r="265" customFormat="false" ht="15" hidden="false" customHeight="true" outlineLevel="0" collapsed="false">
      <c r="A265" s="63" t="str">
        <f aca="false">IF($B265="","",ROW()-68)</f>
        <v/>
      </c>
      <c r="B265" s="62" t="str">
        <f aca="false">IF(对接源_01库存!$B200="","",对接源_01库存!$B200)</f>
        <v/>
      </c>
      <c r="C265" s="63" t="str">
        <f aca="false">IF($B265="","",对接源_01库存!$C200)</f>
        <v/>
      </c>
      <c r="D265" s="63" t="str">
        <f aca="false">IF($B265="","",对接源_01库存!$D200)</f>
        <v/>
      </c>
      <c r="E265" s="63" t="str">
        <f aca="false">IF($B265="","",对接源_01库存!$E200)</f>
        <v/>
      </c>
      <c r="F265" s="64" t="str">
        <f aca="false">IF($B265="","",N(对接源_01库存!$F200))</f>
        <v/>
      </c>
      <c r="G265" s="65" t="str">
        <f aca="false">IF($B265="","",N(对接源_01库存!$G200))</f>
        <v/>
      </c>
      <c r="H265" s="130" t="str">
        <f aca="false">IF($B265="","",ROUND(N($F265)*N($I265),2))</f>
        <v/>
      </c>
      <c r="I265" s="136"/>
      <c r="J265" s="131" t="str">
        <f aca="false">IF($B265="","",对接源_01库存!$H200)</f>
        <v/>
      </c>
      <c r="K265" s="129"/>
      <c r="L265" s="132" t="str">
        <f aca="false">IF($B265="","",IF(N($I265)=0,"← 这一行还没填单价",""))</f>
        <v/>
      </c>
    </row>
    <row r="266" customFormat="false" ht="15" hidden="false" customHeight="true" outlineLevel="0" collapsed="false">
      <c r="A266" s="63" t="str">
        <f aca="false">IF($B266="","",ROW()-68)</f>
        <v/>
      </c>
      <c r="B266" s="62" t="str">
        <f aca="false">IF(对接源_01库存!$B201="","",对接源_01库存!$B201)</f>
        <v/>
      </c>
      <c r="C266" s="63" t="str">
        <f aca="false">IF($B266="","",对接源_01库存!$C201)</f>
        <v/>
      </c>
      <c r="D266" s="63" t="str">
        <f aca="false">IF($B266="","",对接源_01库存!$D201)</f>
        <v/>
      </c>
      <c r="E266" s="63" t="str">
        <f aca="false">IF($B266="","",对接源_01库存!$E201)</f>
        <v/>
      </c>
      <c r="F266" s="64" t="str">
        <f aca="false">IF($B266="","",N(对接源_01库存!$F201))</f>
        <v/>
      </c>
      <c r="G266" s="65" t="str">
        <f aca="false">IF($B266="","",N(对接源_01库存!$G201))</f>
        <v/>
      </c>
      <c r="H266" s="130" t="str">
        <f aca="false">IF($B266="","",ROUND(N($F266)*N($I266),2))</f>
        <v/>
      </c>
      <c r="I266" s="136"/>
      <c r="J266" s="131" t="str">
        <f aca="false">IF($B266="","",对接源_01库存!$H201)</f>
        <v/>
      </c>
      <c r="K266" s="129"/>
      <c r="L266" s="132" t="str">
        <f aca="false">IF($B266="","",IF(N($I266)=0,"← 这一行还没填单价",""))</f>
        <v/>
      </c>
    </row>
    <row r="267" customFormat="false" ht="15" hidden="false" customHeight="true" outlineLevel="0" collapsed="false">
      <c r="A267" s="63" t="str">
        <f aca="false">IF($B267="","",ROW()-68)</f>
        <v/>
      </c>
      <c r="B267" s="62" t="str">
        <f aca="false">IF(对接源_01库存!$B202="","",对接源_01库存!$B202)</f>
        <v/>
      </c>
      <c r="C267" s="63" t="str">
        <f aca="false">IF($B267="","",对接源_01库存!$C202)</f>
        <v/>
      </c>
      <c r="D267" s="63" t="str">
        <f aca="false">IF($B267="","",对接源_01库存!$D202)</f>
        <v/>
      </c>
      <c r="E267" s="63" t="str">
        <f aca="false">IF($B267="","",对接源_01库存!$E202)</f>
        <v/>
      </c>
      <c r="F267" s="64" t="str">
        <f aca="false">IF($B267="","",N(对接源_01库存!$F202))</f>
        <v/>
      </c>
      <c r="G267" s="65" t="str">
        <f aca="false">IF($B267="","",N(对接源_01库存!$G202))</f>
        <v/>
      </c>
      <c r="H267" s="130" t="str">
        <f aca="false">IF($B267="","",ROUND(N($F267)*N($I267),2))</f>
        <v/>
      </c>
      <c r="I267" s="136"/>
      <c r="J267" s="131" t="str">
        <f aca="false">IF($B267="","",对接源_01库存!$H202)</f>
        <v/>
      </c>
      <c r="K267" s="129"/>
      <c r="L267" s="132" t="str">
        <f aca="false">IF($B267="","",IF(N($I267)=0,"← 这一行还没填单价",""))</f>
        <v/>
      </c>
    </row>
    <row r="268" customFormat="false" ht="15" hidden="false" customHeight="true" outlineLevel="0" collapsed="false">
      <c r="A268" s="63" t="str">
        <f aca="false">IF($B268="","",ROW()-68)</f>
        <v/>
      </c>
      <c r="B268" s="62" t="str">
        <f aca="false">IF(对接源_01库存!$B203="","",对接源_01库存!$B203)</f>
        <v/>
      </c>
      <c r="C268" s="63" t="str">
        <f aca="false">IF($B268="","",对接源_01库存!$C203)</f>
        <v/>
      </c>
      <c r="D268" s="63" t="str">
        <f aca="false">IF($B268="","",对接源_01库存!$D203)</f>
        <v/>
      </c>
      <c r="E268" s="63" t="str">
        <f aca="false">IF($B268="","",对接源_01库存!$E203)</f>
        <v/>
      </c>
      <c r="F268" s="64" t="str">
        <f aca="false">IF($B268="","",N(对接源_01库存!$F203))</f>
        <v/>
      </c>
      <c r="G268" s="65" t="str">
        <f aca="false">IF($B268="","",N(对接源_01库存!$G203))</f>
        <v/>
      </c>
      <c r="H268" s="130" t="str">
        <f aca="false">IF($B268="","",ROUND(N($F268)*N($I268),2))</f>
        <v/>
      </c>
      <c r="I268" s="136"/>
      <c r="J268" s="131" t="str">
        <f aca="false">IF($B268="","",对接源_01库存!$H203)</f>
        <v/>
      </c>
      <c r="K268" s="129"/>
      <c r="L268" s="132" t="str">
        <f aca="false">IF($B268="","",IF(N($I268)=0,"← 这一行还没填单价",""))</f>
        <v/>
      </c>
    </row>
    <row r="269" customFormat="false" ht="15" hidden="false" customHeight="true" outlineLevel="0" collapsed="false">
      <c r="A269" s="63" t="str">
        <f aca="false">IF($B269="","",ROW()-68)</f>
        <v/>
      </c>
      <c r="B269" s="62" t="str">
        <f aca="false">IF(对接源_01库存!$B204="","",对接源_01库存!$B204)</f>
        <v/>
      </c>
      <c r="C269" s="63" t="str">
        <f aca="false">IF($B269="","",对接源_01库存!$C204)</f>
        <v/>
      </c>
      <c r="D269" s="63" t="str">
        <f aca="false">IF($B269="","",对接源_01库存!$D204)</f>
        <v/>
      </c>
      <c r="E269" s="63" t="str">
        <f aca="false">IF($B269="","",对接源_01库存!$E204)</f>
        <v/>
      </c>
      <c r="F269" s="64" t="str">
        <f aca="false">IF($B269="","",N(对接源_01库存!$F204))</f>
        <v/>
      </c>
      <c r="G269" s="65" t="str">
        <f aca="false">IF($B269="","",N(对接源_01库存!$G204))</f>
        <v/>
      </c>
      <c r="H269" s="130" t="str">
        <f aca="false">IF($B269="","",ROUND(N($F269)*N($I269),2))</f>
        <v/>
      </c>
      <c r="I269" s="136"/>
      <c r="J269" s="131" t="str">
        <f aca="false">IF($B269="","",对接源_01库存!$H204)</f>
        <v/>
      </c>
      <c r="K269" s="129"/>
      <c r="L269" s="132" t="str">
        <f aca="false">IF($B269="","",IF(N($I269)=0,"← 这一行还没填单价",""))</f>
        <v/>
      </c>
    </row>
    <row r="270" customFormat="false" ht="15" hidden="false" customHeight="true" outlineLevel="0" collapsed="false">
      <c r="A270" s="63" t="str">
        <f aca="false">IF($B270="","",ROW()-68)</f>
        <v/>
      </c>
      <c r="B270" s="62" t="str">
        <f aca="false">IF(对接源_01库存!$B205="","",对接源_01库存!$B205)</f>
        <v/>
      </c>
      <c r="C270" s="63" t="str">
        <f aca="false">IF($B270="","",对接源_01库存!$C205)</f>
        <v/>
      </c>
      <c r="D270" s="63" t="str">
        <f aca="false">IF($B270="","",对接源_01库存!$D205)</f>
        <v/>
      </c>
      <c r="E270" s="63" t="str">
        <f aca="false">IF($B270="","",对接源_01库存!$E205)</f>
        <v/>
      </c>
      <c r="F270" s="64" t="str">
        <f aca="false">IF($B270="","",N(对接源_01库存!$F205))</f>
        <v/>
      </c>
      <c r="G270" s="65" t="str">
        <f aca="false">IF($B270="","",N(对接源_01库存!$G205))</f>
        <v/>
      </c>
      <c r="H270" s="130" t="str">
        <f aca="false">IF($B270="","",ROUND(N($F270)*N($I270),2))</f>
        <v/>
      </c>
      <c r="I270" s="136"/>
      <c r="J270" s="131" t="str">
        <f aca="false">IF($B270="","",对接源_01库存!$H205)</f>
        <v/>
      </c>
      <c r="K270" s="129"/>
      <c r="L270" s="132" t="str">
        <f aca="false">IF($B270="","",IF(N($I270)=0,"← 这一行还没填单价",""))</f>
        <v/>
      </c>
    </row>
    <row r="271" customFormat="false" ht="15" hidden="false" customHeight="true" outlineLevel="0" collapsed="false">
      <c r="A271" s="63" t="str">
        <f aca="false">IF($B271="","",ROW()-68)</f>
        <v/>
      </c>
      <c r="B271" s="62" t="str">
        <f aca="false">IF(对接源_01库存!$B206="","",对接源_01库存!$B206)</f>
        <v/>
      </c>
      <c r="C271" s="63" t="str">
        <f aca="false">IF($B271="","",对接源_01库存!$C206)</f>
        <v/>
      </c>
      <c r="D271" s="63" t="str">
        <f aca="false">IF($B271="","",对接源_01库存!$D206)</f>
        <v/>
      </c>
      <c r="E271" s="63" t="str">
        <f aca="false">IF($B271="","",对接源_01库存!$E206)</f>
        <v/>
      </c>
      <c r="F271" s="64" t="str">
        <f aca="false">IF($B271="","",N(对接源_01库存!$F206))</f>
        <v/>
      </c>
      <c r="G271" s="65" t="str">
        <f aca="false">IF($B271="","",N(对接源_01库存!$G206))</f>
        <v/>
      </c>
      <c r="H271" s="130" t="str">
        <f aca="false">IF($B271="","",ROUND(N($F271)*N($I271),2))</f>
        <v/>
      </c>
      <c r="I271" s="136"/>
      <c r="J271" s="131" t="str">
        <f aca="false">IF($B271="","",对接源_01库存!$H206)</f>
        <v/>
      </c>
      <c r="K271" s="129"/>
      <c r="L271" s="132" t="str">
        <f aca="false">IF($B271="","",IF(N($I271)=0,"← 这一行还没填单价",""))</f>
        <v/>
      </c>
    </row>
    <row r="272" customFormat="false" ht="15" hidden="false" customHeight="true" outlineLevel="0" collapsed="false">
      <c r="A272" s="63" t="str">
        <f aca="false">IF($B272="","",ROW()-68)</f>
        <v/>
      </c>
      <c r="B272" s="62" t="str">
        <f aca="false">IF(对接源_01库存!$B207="","",对接源_01库存!$B207)</f>
        <v/>
      </c>
      <c r="C272" s="63" t="str">
        <f aca="false">IF($B272="","",对接源_01库存!$C207)</f>
        <v/>
      </c>
      <c r="D272" s="63" t="str">
        <f aca="false">IF($B272="","",对接源_01库存!$D207)</f>
        <v/>
      </c>
      <c r="E272" s="63" t="str">
        <f aca="false">IF($B272="","",对接源_01库存!$E207)</f>
        <v/>
      </c>
      <c r="F272" s="64" t="str">
        <f aca="false">IF($B272="","",N(对接源_01库存!$F207))</f>
        <v/>
      </c>
      <c r="G272" s="65" t="str">
        <f aca="false">IF($B272="","",N(对接源_01库存!$G207))</f>
        <v/>
      </c>
      <c r="H272" s="130" t="str">
        <f aca="false">IF($B272="","",ROUND(N($F272)*N($I272),2))</f>
        <v/>
      </c>
      <c r="I272" s="136"/>
      <c r="J272" s="131" t="str">
        <f aca="false">IF($B272="","",对接源_01库存!$H207)</f>
        <v/>
      </c>
      <c r="K272" s="129"/>
      <c r="L272" s="132" t="str">
        <f aca="false">IF($B272="","",IF(N($I272)=0,"← 这一行还没填单价",""))</f>
        <v/>
      </c>
    </row>
    <row r="273" customFormat="false" ht="15" hidden="false" customHeight="true" outlineLevel="0" collapsed="false">
      <c r="A273" s="63" t="str">
        <f aca="false">IF($B273="","",ROW()-68)</f>
        <v/>
      </c>
      <c r="B273" s="62" t="str">
        <f aca="false">IF(对接源_01库存!$B208="","",对接源_01库存!$B208)</f>
        <v/>
      </c>
      <c r="C273" s="63" t="str">
        <f aca="false">IF($B273="","",对接源_01库存!$C208)</f>
        <v/>
      </c>
      <c r="D273" s="63" t="str">
        <f aca="false">IF($B273="","",对接源_01库存!$D208)</f>
        <v/>
      </c>
      <c r="E273" s="63" t="str">
        <f aca="false">IF($B273="","",对接源_01库存!$E208)</f>
        <v/>
      </c>
      <c r="F273" s="64" t="str">
        <f aca="false">IF($B273="","",N(对接源_01库存!$F208))</f>
        <v/>
      </c>
      <c r="G273" s="65" t="str">
        <f aca="false">IF($B273="","",N(对接源_01库存!$G208))</f>
        <v/>
      </c>
      <c r="H273" s="130" t="str">
        <f aca="false">IF($B273="","",ROUND(N($F273)*N($I273),2))</f>
        <v/>
      </c>
      <c r="I273" s="136"/>
      <c r="J273" s="131" t="str">
        <f aca="false">IF($B273="","",对接源_01库存!$H208)</f>
        <v/>
      </c>
      <c r="K273" s="129"/>
      <c r="L273" s="132" t="str">
        <f aca="false">IF($B273="","",IF(N($I273)=0,"← 这一行还没填单价",""))</f>
        <v/>
      </c>
    </row>
    <row r="274" customFormat="false" ht="15" hidden="false" customHeight="true" outlineLevel="0" collapsed="false">
      <c r="A274" s="63" t="str">
        <f aca="false">IF($B274="","",ROW()-68)</f>
        <v/>
      </c>
      <c r="B274" s="62" t="str">
        <f aca="false">IF(对接源_01库存!$B209="","",对接源_01库存!$B209)</f>
        <v/>
      </c>
      <c r="C274" s="63" t="str">
        <f aca="false">IF($B274="","",对接源_01库存!$C209)</f>
        <v/>
      </c>
      <c r="D274" s="63" t="str">
        <f aca="false">IF($B274="","",对接源_01库存!$D209)</f>
        <v/>
      </c>
      <c r="E274" s="63" t="str">
        <f aca="false">IF($B274="","",对接源_01库存!$E209)</f>
        <v/>
      </c>
      <c r="F274" s="64" t="str">
        <f aca="false">IF($B274="","",N(对接源_01库存!$F209))</f>
        <v/>
      </c>
      <c r="G274" s="65" t="str">
        <f aca="false">IF($B274="","",N(对接源_01库存!$G209))</f>
        <v/>
      </c>
      <c r="H274" s="130" t="str">
        <f aca="false">IF($B274="","",ROUND(N($F274)*N($I274),2))</f>
        <v/>
      </c>
      <c r="I274" s="136"/>
      <c r="J274" s="131" t="str">
        <f aca="false">IF($B274="","",对接源_01库存!$H209)</f>
        <v/>
      </c>
      <c r="K274" s="129"/>
      <c r="L274" s="132" t="str">
        <f aca="false">IF($B274="","",IF(N($I274)=0,"← 这一行还没填单价",""))</f>
        <v/>
      </c>
    </row>
    <row r="275" customFormat="false" ht="15" hidden="false" customHeight="true" outlineLevel="0" collapsed="false">
      <c r="A275" s="63" t="str">
        <f aca="false">IF($B275="","",ROW()-68)</f>
        <v/>
      </c>
      <c r="B275" s="62" t="str">
        <f aca="false">IF(对接源_01库存!$B210="","",对接源_01库存!$B210)</f>
        <v/>
      </c>
      <c r="C275" s="63" t="str">
        <f aca="false">IF($B275="","",对接源_01库存!$C210)</f>
        <v/>
      </c>
      <c r="D275" s="63" t="str">
        <f aca="false">IF($B275="","",对接源_01库存!$D210)</f>
        <v/>
      </c>
      <c r="E275" s="63" t="str">
        <f aca="false">IF($B275="","",对接源_01库存!$E210)</f>
        <v/>
      </c>
      <c r="F275" s="64" t="str">
        <f aca="false">IF($B275="","",N(对接源_01库存!$F210))</f>
        <v/>
      </c>
      <c r="G275" s="65" t="str">
        <f aca="false">IF($B275="","",N(对接源_01库存!$G210))</f>
        <v/>
      </c>
      <c r="H275" s="130" t="str">
        <f aca="false">IF($B275="","",ROUND(N($F275)*N($I275),2))</f>
        <v/>
      </c>
      <c r="I275" s="136"/>
      <c r="J275" s="131" t="str">
        <f aca="false">IF($B275="","",对接源_01库存!$H210)</f>
        <v/>
      </c>
      <c r="K275" s="129"/>
      <c r="L275" s="132" t="str">
        <f aca="false">IF($B275="","",IF(N($I275)=0,"← 这一行还没填单价",""))</f>
        <v/>
      </c>
    </row>
    <row r="276" customFormat="false" ht="15" hidden="false" customHeight="true" outlineLevel="0" collapsed="false">
      <c r="A276" s="63" t="str">
        <f aca="false">IF($B276="","",ROW()-68)</f>
        <v/>
      </c>
      <c r="B276" s="62" t="str">
        <f aca="false">IF(对接源_01库存!$B211="","",对接源_01库存!$B211)</f>
        <v/>
      </c>
      <c r="C276" s="63" t="str">
        <f aca="false">IF($B276="","",对接源_01库存!$C211)</f>
        <v/>
      </c>
      <c r="D276" s="63" t="str">
        <f aca="false">IF($B276="","",对接源_01库存!$D211)</f>
        <v/>
      </c>
      <c r="E276" s="63" t="str">
        <f aca="false">IF($B276="","",对接源_01库存!$E211)</f>
        <v/>
      </c>
      <c r="F276" s="64" t="str">
        <f aca="false">IF($B276="","",N(对接源_01库存!$F211))</f>
        <v/>
      </c>
      <c r="G276" s="65" t="str">
        <f aca="false">IF($B276="","",N(对接源_01库存!$G211))</f>
        <v/>
      </c>
      <c r="H276" s="130" t="str">
        <f aca="false">IF($B276="","",ROUND(N($F276)*N($I276),2))</f>
        <v/>
      </c>
      <c r="I276" s="136"/>
      <c r="J276" s="131" t="str">
        <f aca="false">IF($B276="","",对接源_01库存!$H211)</f>
        <v/>
      </c>
      <c r="K276" s="129"/>
      <c r="L276" s="132" t="str">
        <f aca="false">IF($B276="","",IF(N($I276)=0,"← 这一行还没填单价",""))</f>
        <v/>
      </c>
    </row>
    <row r="277" customFormat="false" ht="15" hidden="false" customHeight="true" outlineLevel="0" collapsed="false">
      <c r="A277" s="63" t="str">
        <f aca="false">IF($B277="","",ROW()-68)</f>
        <v/>
      </c>
      <c r="B277" s="62" t="str">
        <f aca="false">IF(对接源_01库存!$B212="","",对接源_01库存!$B212)</f>
        <v/>
      </c>
      <c r="C277" s="63" t="str">
        <f aca="false">IF($B277="","",对接源_01库存!$C212)</f>
        <v/>
      </c>
      <c r="D277" s="63" t="str">
        <f aca="false">IF($B277="","",对接源_01库存!$D212)</f>
        <v/>
      </c>
      <c r="E277" s="63" t="str">
        <f aca="false">IF($B277="","",对接源_01库存!$E212)</f>
        <v/>
      </c>
      <c r="F277" s="64" t="str">
        <f aca="false">IF($B277="","",N(对接源_01库存!$F212))</f>
        <v/>
      </c>
      <c r="G277" s="65" t="str">
        <f aca="false">IF($B277="","",N(对接源_01库存!$G212))</f>
        <v/>
      </c>
      <c r="H277" s="130" t="str">
        <f aca="false">IF($B277="","",ROUND(N($F277)*N($I277),2))</f>
        <v/>
      </c>
      <c r="I277" s="136"/>
      <c r="J277" s="131" t="str">
        <f aca="false">IF($B277="","",对接源_01库存!$H212)</f>
        <v/>
      </c>
      <c r="K277" s="129"/>
      <c r="L277" s="132" t="str">
        <f aca="false">IF($B277="","",IF(N($I277)=0,"← 这一行还没填单价",""))</f>
        <v/>
      </c>
    </row>
    <row r="278" customFormat="false" ht="15" hidden="false" customHeight="true" outlineLevel="0" collapsed="false">
      <c r="A278" s="63" t="str">
        <f aca="false">IF($B278="","",ROW()-68)</f>
        <v/>
      </c>
      <c r="B278" s="62" t="str">
        <f aca="false">IF(对接源_01库存!$B213="","",对接源_01库存!$B213)</f>
        <v/>
      </c>
      <c r="C278" s="63" t="str">
        <f aca="false">IF($B278="","",对接源_01库存!$C213)</f>
        <v/>
      </c>
      <c r="D278" s="63" t="str">
        <f aca="false">IF($B278="","",对接源_01库存!$D213)</f>
        <v/>
      </c>
      <c r="E278" s="63" t="str">
        <f aca="false">IF($B278="","",对接源_01库存!$E213)</f>
        <v/>
      </c>
      <c r="F278" s="64" t="str">
        <f aca="false">IF($B278="","",N(对接源_01库存!$F213))</f>
        <v/>
      </c>
      <c r="G278" s="65" t="str">
        <f aca="false">IF($B278="","",N(对接源_01库存!$G213))</f>
        <v/>
      </c>
      <c r="H278" s="130" t="str">
        <f aca="false">IF($B278="","",ROUND(N($F278)*N($I278),2))</f>
        <v/>
      </c>
      <c r="I278" s="136"/>
      <c r="J278" s="131" t="str">
        <f aca="false">IF($B278="","",对接源_01库存!$H213)</f>
        <v/>
      </c>
      <c r="K278" s="129"/>
      <c r="L278" s="132" t="str">
        <f aca="false">IF($B278="","",IF(N($I278)=0,"← 这一行还没填单价",""))</f>
        <v/>
      </c>
    </row>
    <row r="279" customFormat="false" ht="15" hidden="false" customHeight="true" outlineLevel="0" collapsed="false">
      <c r="A279" s="63" t="str">
        <f aca="false">IF($B279="","",ROW()-68)</f>
        <v/>
      </c>
      <c r="B279" s="62" t="str">
        <f aca="false">IF(对接源_01库存!$B214="","",对接源_01库存!$B214)</f>
        <v/>
      </c>
      <c r="C279" s="63" t="str">
        <f aca="false">IF($B279="","",对接源_01库存!$C214)</f>
        <v/>
      </c>
      <c r="D279" s="63" t="str">
        <f aca="false">IF($B279="","",对接源_01库存!$D214)</f>
        <v/>
      </c>
      <c r="E279" s="63" t="str">
        <f aca="false">IF($B279="","",对接源_01库存!$E214)</f>
        <v/>
      </c>
      <c r="F279" s="64" t="str">
        <f aca="false">IF($B279="","",N(对接源_01库存!$F214))</f>
        <v/>
      </c>
      <c r="G279" s="65" t="str">
        <f aca="false">IF($B279="","",N(对接源_01库存!$G214))</f>
        <v/>
      </c>
      <c r="H279" s="130" t="str">
        <f aca="false">IF($B279="","",ROUND(N($F279)*N($I279),2))</f>
        <v/>
      </c>
      <c r="I279" s="136"/>
      <c r="J279" s="131" t="str">
        <f aca="false">IF($B279="","",对接源_01库存!$H214)</f>
        <v/>
      </c>
      <c r="K279" s="129"/>
      <c r="L279" s="132" t="str">
        <f aca="false">IF($B279="","",IF(N($I279)=0,"← 这一行还没填单价",""))</f>
        <v/>
      </c>
    </row>
    <row r="280" customFormat="false" ht="15" hidden="false" customHeight="true" outlineLevel="0" collapsed="false">
      <c r="A280" s="63" t="str">
        <f aca="false">IF($B280="","",ROW()-68)</f>
        <v/>
      </c>
      <c r="B280" s="62" t="str">
        <f aca="false">IF(对接源_01库存!$B215="","",对接源_01库存!$B215)</f>
        <v/>
      </c>
      <c r="C280" s="63" t="str">
        <f aca="false">IF($B280="","",对接源_01库存!$C215)</f>
        <v/>
      </c>
      <c r="D280" s="63" t="str">
        <f aca="false">IF($B280="","",对接源_01库存!$D215)</f>
        <v/>
      </c>
      <c r="E280" s="63" t="str">
        <f aca="false">IF($B280="","",对接源_01库存!$E215)</f>
        <v/>
      </c>
      <c r="F280" s="64" t="str">
        <f aca="false">IF($B280="","",N(对接源_01库存!$F215))</f>
        <v/>
      </c>
      <c r="G280" s="65" t="str">
        <f aca="false">IF($B280="","",N(对接源_01库存!$G215))</f>
        <v/>
      </c>
      <c r="H280" s="130" t="str">
        <f aca="false">IF($B280="","",ROUND(N($F280)*N($I280),2))</f>
        <v/>
      </c>
      <c r="I280" s="136"/>
      <c r="J280" s="131" t="str">
        <f aca="false">IF($B280="","",对接源_01库存!$H215)</f>
        <v/>
      </c>
      <c r="K280" s="129"/>
      <c r="L280" s="132" t="str">
        <f aca="false">IF($B280="","",IF(N($I280)=0,"← 这一行还没填单价",""))</f>
        <v/>
      </c>
    </row>
    <row r="281" customFormat="false" ht="15" hidden="false" customHeight="true" outlineLevel="0" collapsed="false">
      <c r="A281" s="63" t="str">
        <f aca="false">IF($B281="","",ROW()-68)</f>
        <v/>
      </c>
      <c r="B281" s="62" t="str">
        <f aca="false">IF(对接源_01库存!$B216="","",对接源_01库存!$B216)</f>
        <v/>
      </c>
      <c r="C281" s="63" t="str">
        <f aca="false">IF($B281="","",对接源_01库存!$C216)</f>
        <v/>
      </c>
      <c r="D281" s="63" t="str">
        <f aca="false">IF($B281="","",对接源_01库存!$D216)</f>
        <v/>
      </c>
      <c r="E281" s="63" t="str">
        <f aca="false">IF($B281="","",对接源_01库存!$E216)</f>
        <v/>
      </c>
      <c r="F281" s="64" t="str">
        <f aca="false">IF($B281="","",N(对接源_01库存!$F216))</f>
        <v/>
      </c>
      <c r="G281" s="65" t="str">
        <f aca="false">IF($B281="","",N(对接源_01库存!$G216))</f>
        <v/>
      </c>
      <c r="H281" s="130" t="str">
        <f aca="false">IF($B281="","",ROUND(N($F281)*N($I281),2))</f>
        <v/>
      </c>
      <c r="I281" s="136"/>
      <c r="J281" s="131" t="str">
        <f aca="false">IF($B281="","",对接源_01库存!$H216)</f>
        <v/>
      </c>
      <c r="K281" s="129"/>
      <c r="L281" s="132" t="str">
        <f aca="false">IF($B281="","",IF(N($I281)=0,"← 这一行还没填单价",""))</f>
        <v/>
      </c>
    </row>
    <row r="282" customFormat="false" ht="15" hidden="false" customHeight="true" outlineLevel="0" collapsed="false">
      <c r="A282" s="63" t="str">
        <f aca="false">IF($B282="","",ROW()-68)</f>
        <v/>
      </c>
      <c r="B282" s="62" t="str">
        <f aca="false">IF(对接源_01库存!$B217="","",对接源_01库存!$B217)</f>
        <v/>
      </c>
      <c r="C282" s="63" t="str">
        <f aca="false">IF($B282="","",对接源_01库存!$C217)</f>
        <v/>
      </c>
      <c r="D282" s="63" t="str">
        <f aca="false">IF($B282="","",对接源_01库存!$D217)</f>
        <v/>
      </c>
      <c r="E282" s="63" t="str">
        <f aca="false">IF($B282="","",对接源_01库存!$E217)</f>
        <v/>
      </c>
      <c r="F282" s="64" t="str">
        <f aca="false">IF($B282="","",N(对接源_01库存!$F217))</f>
        <v/>
      </c>
      <c r="G282" s="65" t="str">
        <f aca="false">IF($B282="","",N(对接源_01库存!$G217))</f>
        <v/>
      </c>
      <c r="H282" s="130" t="str">
        <f aca="false">IF($B282="","",ROUND(N($F282)*N($I282),2))</f>
        <v/>
      </c>
      <c r="I282" s="136"/>
      <c r="J282" s="131" t="str">
        <f aca="false">IF($B282="","",对接源_01库存!$H217)</f>
        <v/>
      </c>
      <c r="K282" s="129"/>
      <c r="L282" s="132" t="str">
        <f aca="false">IF($B282="","",IF(N($I282)=0,"← 这一行还没填单价",""))</f>
        <v/>
      </c>
    </row>
    <row r="283" customFormat="false" ht="15" hidden="false" customHeight="true" outlineLevel="0" collapsed="false">
      <c r="A283" s="63" t="str">
        <f aca="false">IF($B283="","",ROW()-68)</f>
        <v/>
      </c>
      <c r="B283" s="62" t="str">
        <f aca="false">IF(对接源_01库存!$B218="","",对接源_01库存!$B218)</f>
        <v/>
      </c>
      <c r="C283" s="63" t="str">
        <f aca="false">IF($B283="","",对接源_01库存!$C218)</f>
        <v/>
      </c>
      <c r="D283" s="63" t="str">
        <f aca="false">IF($B283="","",对接源_01库存!$D218)</f>
        <v/>
      </c>
      <c r="E283" s="63" t="str">
        <f aca="false">IF($B283="","",对接源_01库存!$E218)</f>
        <v/>
      </c>
      <c r="F283" s="64" t="str">
        <f aca="false">IF($B283="","",N(对接源_01库存!$F218))</f>
        <v/>
      </c>
      <c r="G283" s="65" t="str">
        <f aca="false">IF($B283="","",N(对接源_01库存!$G218))</f>
        <v/>
      </c>
      <c r="H283" s="130" t="str">
        <f aca="false">IF($B283="","",ROUND(N($F283)*N($I283),2))</f>
        <v/>
      </c>
      <c r="I283" s="136"/>
      <c r="J283" s="131" t="str">
        <f aca="false">IF($B283="","",对接源_01库存!$H218)</f>
        <v/>
      </c>
      <c r="K283" s="129"/>
      <c r="L283" s="132" t="str">
        <f aca="false">IF($B283="","",IF(N($I283)=0,"← 这一行还没填单价",""))</f>
        <v/>
      </c>
    </row>
    <row r="284" customFormat="false" ht="15" hidden="false" customHeight="true" outlineLevel="0" collapsed="false">
      <c r="A284" s="63" t="str">
        <f aca="false">IF($B284="","",ROW()-68)</f>
        <v/>
      </c>
      <c r="B284" s="62" t="str">
        <f aca="false">IF(对接源_01库存!$B219="","",对接源_01库存!$B219)</f>
        <v/>
      </c>
      <c r="C284" s="63" t="str">
        <f aca="false">IF($B284="","",对接源_01库存!$C219)</f>
        <v/>
      </c>
      <c r="D284" s="63" t="str">
        <f aca="false">IF($B284="","",对接源_01库存!$D219)</f>
        <v/>
      </c>
      <c r="E284" s="63" t="str">
        <f aca="false">IF($B284="","",对接源_01库存!$E219)</f>
        <v/>
      </c>
      <c r="F284" s="64" t="str">
        <f aca="false">IF($B284="","",N(对接源_01库存!$F219))</f>
        <v/>
      </c>
      <c r="G284" s="65" t="str">
        <f aca="false">IF($B284="","",N(对接源_01库存!$G219))</f>
        <v/>
      </c>
      <c r="H284" s="130" t="str">
        <f aca="false">IF($B284="","",ROUND(N($F284)*N($I284),2))</f>
        <v/>
      </c>
      <c r="I284" s="136"/>
      <c r="J284" s="131" t="str">
        <f aca="false">IF($B284="","",对接源_01库存!$H219)</f>
        <v/>
      </c>
      <c r="K284" s="129"/>
      <c r="L284" s="132" t="str">
        <f aca="false">IF($B284="","",IF(N($I284)=0,"← 这一行还没填单价",""))</f>
        <v/>
      </c>
    </row>
    <row r="285" customFormat="false" ht="15" hidden="false" customHeight="true" outlineLevel="0" collapsed="false">
      <c r="A285" s="63" t="str">
        <f aca="false">IF($B285="","",ROW()-68)</f>
        <v/>
      </c>
      <c r="B285" s="62" t="str">
        <f aca="false">IF(对接源_01库存!$B220="","",对接源_01库存!$B220)</f>
        <v/>
      </c>
      <c r="C285" s="63" t="str">
        <f aca="false">IF($B285="","",对接源_01库存!$C220)</f>
        <v/>
      </c>
      <c r="D285" s="63" t="str">
        <f aca="false">IF($B285="","",对接源_01库存!$D220)</f>
        <v/>
      </c>
      <c r="E285" s="63" t="str">
        <f aca="false">IF($B285="","",对接源_01库存!$E220)</f>
        <v/>
      </c>
      <c r="F285" s="64" t="str">
        <f aca="false">IF($B285="","",N(对接源_01库存!$F220))</f>
        <v/>
      </c>
      <c r="G285" s="65" t="str">
        <f aca="false">IF($B285="","",N(对接源_01库存!$G220))</f>
        <v/>
      </c>
      <c r="H285" s="130" t="str">
        <f aca="false">IF($B285="","",ROUND(N($F285)*N($I285),2))</f>
        <v/>
      </c>
      <c r="I285" s="136"/>
      <c r="J285" s="131" t="str">
        <f aca="false">IF($B285="","",对接源_01库存!$H220)</f>
        <v/>
      </c>
      <c r="K285" s="129"/>
      <c r="L285" s="132" t="str">
        <f aca="false">IF($B285="","",IF(N($I285)=0,"← 这一行还没填单价",""))</f>
        <v/>
      </c>
    </row>
    <row r="286" customFormat="false" ht="15" hidden="false" customHeight="true" outlineLevel="0" collapsed="false">
      <c r="A286" s="63" t="str">
        <f aca="false">IF($B286="","",ROW()-68)</f>
        <v/>
      </c>
      <c r="B286" s="62" t="str">
        <f aca="false">IF(对接源_01库存!$B221="","",对接源_01库存!$B221)</f>
        <v/>
      </c>
      <c r="C286" s="63" t="str">
        <f aca="false">IF($B286="","",对接源_01库存!$C221)</f>
        <v/>
      </c>
      <c r="D286" s="63" t="str">
        <f aca="false">IF($B286="","",对接源_01库存!$D221)</f>
        <v/>
      </c>
      <c r="E286" s="63" t="str">
        <f aca="false">IF($B286="","",对接源_01库存!$E221)</f>
        <v/>
      </c>
      <c r="F286" s="64" t="str">
        <f aca="false">IF($B286="","",N(对接源_01库存!$F221))</f>
        <v/>
      </c>
      <c r="G286" s="65" t="str">
        <f aca="false">IF($B286="","",N(对接源_01库存!$G221))</f>
        <v/>
      </c>
      <c r="H286" s="130" t="str">
        <f aca="false">IF($B286="","",ROUND(N($F286)*N($I286),2))</f>
        <v/>
      </c>
      <c r="I286" s="136"/>
      <c r="J286" s="131" t="str">
        <f aca="false">IF($B286="","",对接源_01库存!$H221)</f>
        <v/>
      </c>
      <c r="K286" s="129"/>
      <c r="L286" s="132" t="str">
        <f aca="false">IF($B286="","",IF(N($I286)=0,"← 这一行还没填单价",""))</f>
        <v/>
      </c>
    </row>
    <row r="287" customFormat="false" ht="15" hidden="false" customHeight="true" outlineLevel="0" collapsed="false">
      <c r="A287" s="63" t="str">
        <f aca="false">IF($B287="","",ROW()-68)</f>
        <v/>
      </c>
      <c r="B287" s="62" t="str">
        <f aca="false">IF(对接源_01库存!$B222="","",对接源_01库存!$B222)</f>
        <v/>
      </c>
      <c r="C287" s="63" t="str">
        <f aca="false">IF($B287="","",对接源_01库存!$C222)</f>
        <v/>
      </c>
      <c r="D287" s="63" t="str">
        <f aca="false">IF($B287="","",对接源_01库存!$D222)</f>
        <v/>
      </c>
      <c r="E287" s="63" t="str">
        <f aca="false">IF($B287="","",对接源_01库存!$E222)</f>
        <v/>
      </c>
      <c r="F287" s="64" t="str">
        <f aca="false">IF($B287="","",N(对接源_01库存!$F222))</f>
        <v/>
      </c>
      <c r="G287" s="65" t="str">
        <f aca="false">IF($B287="","",N(对接源_01库存!$G222))</f>
        <v/>
      </c>
      <c r="H287" s="130" t="str">
        <f aca="false">IF($B287="","",ROUND(N($F287)*N($I287),2))</f>
        <v/>
      </c>
      <c r="I287" s="136"/>
      <c r="J287" s="131" t="str">
        <f aca="false">IF($B287="","",对接源_01库存!$H222)</f>
        <v/>
      </c>
      <c r="K287" s="129"/>
      <c r="L287" s="132" t="str">
        <f aca="false">IF($B287="","",IF(N($I287)=0,"← 这一行还没填单价",""))</f>
        <v/>
      </c>
    </row>
    <row r="288" customFormat="false" ht="15" hidden="false" customHeight="true" outlineLevel="0" collapsed="false">
      <c r="A288" s="63" t="str">
        <f aca="false">IF($B288="","",ROW()-68)</f>
        <v/>
      </c>
      <c r="B288" s="62" t="str">
        <f aca="false">IF(对接源_01库存!$B223="","",对接源_01库存!$B223)</f>
        <v/>
      </c>
      <c r="C288" s="63" t="str">
        <f aca="false">IF($B288="","",对接源_01库存!$C223)</f>
        <v/>
      </c>
      <c r="D288" s="63" t="str">
        <f aca="false">IF($B288="","",对接源_01库存!$D223)</f>
        <v/>
      </c>
      <c r="E288" s="63" t="str">
        <f aca="false">IF($B288="","",对接源_01库存!$E223)</f>
        <v/>
      </c>
      <c r="F288" s="64" t="str">
        <f aca="false">IF($B288="","",N(对接源_01库存!$F223))</f>
        <v/>
      </c>
      <c r="G288" s="65" t="str">
        <f aca="false">IF($B288="","",N(对接源_01库存!$G223))</f>
        <v/>
      </c>
      <c r="H288" s="130" t="str">
        <f aca="false">IF($B288="","",ROUND(N($F288)*N($I288),2))</f>
        <v/>
      </c>
      <c r="I288" s="136"/>
      <c r="J288" s="131" t="str">
        <f aca="false">IF($B288="","",对接源_01库存!$H223)</f>
        <v/>
      </c>
      <c r="K288" s="129"/>
      <c r="L288" s="132" t="str">
        <f aca="false">IF($B288="","",IF(N($I288)=0,"← 这一行还没填单价",""))</f>
        <v/>
      </c>
    </row>
    <row r="289" customFormat="false" ht="15" hidden="false" customHeight="true" outlineLevel="0" collapsed="false">
      <c r="A289" s="63" t="str">
        <f aca="false">IF($B289="","",ROW()-68)</f>
        <v/>
      </c>
      <c r="B289" s="62" t="str">
        <f aca="false">IF(对接源_01库存!$B224="","",对接源_01库存!$B224)</f>
        <v/>
      </c>
      <c r="C289" s="63" t="str">
        <f aca="false">IF($B289="","",对接源_01库存!$C224)</f>
        <v/>
      </c>
      <c r="D289" s="63" t="str">
        <f aca="false">IF($B289="","",对接源_01库存!$D224)</f>
        <v/>
      </c>
      <c r="E289" s="63" t="str">
        <f aca="false">IF($B289="","",对接源_01库存!$E224)</f>
        <v/>
      </c>
      <c r="F289" s="64" t="str">
        <f aca="false">IF($B289="","",N(对接源_01库存!$F224))</f>
        <v/>
      </c>
      <c r="G289" s="65" t="str">
        <f aca="false">IF($B289="","",N(对接源_01库存!$G224))</f>
        <v/>
      </c>
      <c r="H289" s="130" t="str">
        <f aca="false">IF($B289="","",ROUND(N($F289)*N($I289),2))</f>
        <v/>
      </c>
      <c r="I289" s="136"/>
      <c r="J289" s="131" t="str">
        <f aca="false">IF($B289="","",对接源_01库存!$H224)</f>
        <v/>
      </c>
      <c r="K289" s="129"/>
      <c r="L289" s="132" t="str">
        <f aca="false">IF($B289="","",IF(N($I289)=0,"← 这一行还没填单价",""))</f>
        <v/>
      </c>
    </row>
    <row r="290" customFormat="false" ht="15" hidden="false" customHeight="true" outlineLevel="0" collapsed="false">
      <c r="A290" s="63" t="str">
        <f aca="false">IF($B290="","",ROW()-68)</f>
        <v/>
      </c>
      <c r="B290" s="62" t="str">
        <f aca="false">IF(对接源_01库存!$B225="","",对接源_01库存!$B225)</f>
        <v/>
      </c>
      <c r="C290" s="63" t="str">
        <f aca="false">IF($B290="","",对接源_01库存!$C225)</f>
        <v/>
      </c>
      <c r="D290" s="63" t="str">
        <f aca="false">IF($B290="","",对接源_01库存!$D225)</f>
        <v/>
      </c>
      <c r="E290" s="63" t="str">
        <f aca="false">IF($B290="","",对接源_01库存!$E225)</f>
        <v/>
      </c>
      <c r="F290" s="64" t="str">
        <f aca="false">IF($B290="","",N(对接源_01库存!$F225))</f>
        <v/>
      </c>
      <c r="G290" s="65" t="str">
        <f aca="false">IF($B290="","",N(对接源_01库存!$G225))</f>
        <v/>
      </c>
      <c r="H290" s="130" t="str">
        <f aca="false">IF($B290="","",ROUND(N($F290)*N($I290),2))</f>
        <v/>
      </c>
      <c r="I290" s="136"/>
      <c r="J290" s="131" t="str">
        <f aca="false">IF($B290="","",对接源_01库存!$H225)</f>
        <v/>
      </c>
      <c r="K290" s="129"/>
      <c r="L290" s="132" t="str">
        <f aca="false">IF($B290="","",IF(N($I290)=0,"← 这一行还没填单价",""))</f>
        <v/>
      </c>
    </row>
    <row r="291" customFormat="false" ht="15" hidden="false" customHeight="true" outlineLevel="0" collapsed="false">
      <c r="A291" s="63" t="str">
        <f aca="false">IF($B291="","",ROW()-68)</f>
        <v/>
      </c>
      <c r="B291" s="62" t="str">
        <f aca="false">IF(对接源_01库存!$B226="","",对接源_01库存!$B226)</f>
        <v/>
      </c>
      <c r="C291" s="63" t="str">
        <f aca="false">IF($B291="","",对接源_01库存!$C226)</f>
        <v/>
      </c>
      <c r="D291" s="63" t="str">
        <f aca="false">IF($B291="","",对接源_01库存!$D226)</f>
        <v/>
      </c>
      <c r="E291" s="63" t="str">
        <f aca="false">IF($B291="","",对接源_01库存!$E226)</f>
        <v/>
      </c>
      <c r="F291" s="64" t="str">
        <f aca="false">IF($B291="","",N(对接源_01库存!$F226))</f>
        <v/>
      </c>
      <c r="G291" s="65" t="str">
        <f aca="false">IF($B291="","",N(对接源_01库存!$G226))</f>
        <v/>
      </c>
      <c r="H291" s="130" t="str">
        <f aca="false">IF($B291="","",ROUND(N($F291)*N($I291),2))</f>
        <v/>
      </c>
      <c r="I291" s="136"/>
      <c r="J291" s="131" t="str">
        <f aca="false">IF($B291="","",对接源_01库存!$H226)</f>
        <v/>
      </c>
      <c r="K291" s="129"/>
      <c r="L291" s="132" t="str">
        <f aca="false">IF($B291="","",IF(N($I291)=0,"← 这一行还没填单价",""))</f>
        <v/>
      </c>
    </row>
    <row r="292" customFormat="false" ht="15" hidden="false" customHeight="true" outlineLevel="0" collapsed="false">
      <c r="A292" s="63" t="str">
        <f aca="false">IF($B292="","",ROW()-68)</f>
        <v/>
      </c>
      <c r="B292" s="62" t="str">
        <f aca="false">IF(对接源_01库存!$B227="","",对接源_01库存!$B227)</f>
        <v/>
      </c>
      <c r="C292" s="63" t="str">
        <f aca="false">IF($B292="","",对接源_01库存!$C227)</f>
        <v/>
      </c>
      <c r="D292" s="63" t="str">
        <f aca="false">IF($B292="","",对接源_01库存!$D227)</f>
        <v/>
      </c>
      <c r="E292" s="63" t="str">
        <f aca="false">IF($B292="","",对接源_01库存!$E227)</f>
        <v/>
      </c>
      <c r="F292" s="64" t="str">
        <f aca="false">IF($B292="","",N(对接源_01库存!$F227))</f>
        <v/>
      </c>
      <c r="G292" s="65" t="str">
        <f aca="false">IF($B292="","",N(对接源_01库存!$G227))</f>
        <v/>
      </c>
      <c r="H292" s="130" t="str">
        <f aca="false">IF($B292="","",ROUND(N($F292)*N($I292),2))</f>
        <v/>
      </c>
      <c r="I292" s="136"/>
      <c r="J292" s="131" t="str">
        <f aca="false">IF($B292="","",对接源_01库存!$H227)</f>
        <v/>
      </c>
      <c r="K292" s="129"/>
      <c r="L292" s="132" t="str">
        <f aca="false">IF($B292="","",IF(N($I292)=0,"← 这一行还没填单价",""))</f>
        <v/>
      </c>
    </row>
    <row r="293" customFormat="false" ht="15" hidden="false" customHeight="true" outlineLevel="0" collapsed="false">
      <c r="A293" s="63" t="str">
        <f aca="false">IF($B293="","",ROW()-68)</f>
        <v/>
      </c>
      <c r="B293" s="62" t="str">
        <f aca="false">IF(对接源_01库存!$B228="","",对接源_01库存!$B228)</f>
        <v/>
      </c>
      <c r="C293" s="63" t="str">
        <f aca="false">IF($B293="","",对接源_01库存!$C228)</f>
        <v/>
      </c>
      <c r="D293" s="63" t="str">
        <f aca="false">IF($B293="","",对接源_01库存!$D228)</f>
        <v/>
      </c>
      <c r="E293" s="63" t="str">
        <f aca="false">IF($B293="","",对接源_01库存!$E228)</f>
        <v/>
      </c>
      <c r="F293" s="64" t="str">
        <f aca="false">IF($B293="","",N(对接源_01库存!$F228))</f>
        <v/>
      </c>
      <c r="G293" s="65" t="str">
        <f aca="false">IF($B293="","",N(对接源_01库存!$G228))</f>
        <v/>
      </c>
      <c r="H293" s="130" t="str">
        <f aca="false">IF($B293="","",ROUND(N($F293)*N($I293),2))</f>
        <v/>
      </c>
      <c r="I293" s="136"/>
      <c r="J293" s="131" t="str">
        <f aca="false">IF($B293="","",对接源_01库存!$H228)</f>
        <v/>
      </c>
      <c r="K293" s="129"/>
      <c r="L293" s="132" t="str">
        <f aca="false">IF($B293="","",IF(N($I293)=0,"← 这一行还没填单价",""))</f>
        <v/>
      </c>
    </row>
    <row r="294" customFormat="false" ht="15" hidden="false" customHeight="true" outlineLevel="0" collapsed="false">
      <c r="A294" s="63" t="str">
        <f aca="false">IF($B294="","",ROW()-68)</f>
        <v/>
      </c>
      <c r="B294" s="62" t="str">
        <f aca="false">IF(对接源_01库存!$B229="","",对接源_01库存!$B229)</f>
        <v/>
      </c>
      <c r="C294" s="63" t="str">
        <f aca="false">IF($B294="","",对接源_01库存!$C229)</f>
        <v/>
      </c>
      <c r="D294" s="63" t="str">
        <f aca="false">IF($B294="","",对接源_01库存!$D229)</f>
        <v/>
      </c>
      <c r="E294" s="63" t="str">
        <f aca="false">IF($B294="","",对接源_01库存!$E229)</f>
        <v/>
      </c>
      <c r="F294" s="64" t="str">
        <f aca="false">IF($B294="","",N(对接源_01库存!$F229))</f>
        <v/>
      </c>
      <c r="G294" s="65" t="str">
        <f aca="false">IF($B294="","",N(对接源_01库存!$G229))</f>
        <v/>
      </c>
      <c r="H294" s="130" t="str">
        <f aca="false">IF($B294="","",ROUND(N($F294)*N($I294),2))</f>
        <v/>
      </c>
      <c r="I294" s="136"/>
      <c r="J294" s="131" t="str">
        <f aca="false">IF($B294="","",对接源_01库存!$H229)</f>
        <v/>
      </c>
      <c r="K294" s="129"/>
      <c r="L294" s="132" t="str">
        <f aca="false">IF($B294="","",IF(N($I294)=0,"← 这一行还没填单价",""))</f>
        <v/>
      </c>
    </row>
    <row r="295" customFormat="false" ht="15" hidden="false" customHeight="true" outlineLevel="0" collapsed="false">
      <c r="A295" s="63" t="str">
        <f aca="false">IF($B295="","",ROW()-68)</f>
        <v/>
      </c>
      <c r="B295" s="62" t="str">
        <f aca="false">IF(对接源_01库存!$B230="","",对接源_01库存!$B230)</f>
        <v/>
      </c>
      <c r="C295" s="63" t="str">
        <f aca="false">IF($B295="","",对接源_01库存!$C230)</f>
        <v/>
      </c>
      <c r="D295" s="63" t="str">
        <f aca="false">IF($B295="","",对接源_01库存!$D230)</f>
        <v/>
      </c>
      <c r="E295" s="63" t="str">
        <f aca="false">IF($B295="","",对接源_01库存!$E230)</f>
        <v/>
      </c>
      <c r="F295" s="64" t="str">
        <f aca="false">IF($B295="","",N(对接源_01库存!$F230))</f>
        <v/>
      </c>
      <c r="G295" s="65" t="str">
        <f aca="false">IF($B295="","",N(对接源_01库存!$G230))</f>
        <v/>
      </c>
      <c r="H295" s="130" t="str">
        <f aca="false">IF($B295="","",ROUND(N($F295)*N($I295),2))</f>
        <v/>
      </c>
      <c r="I295" s="136"/>
      <c r="J295" s="131" t="str">
        <f aca="false">IF($B295="","",对接源_01库存!$H230)</f>
        <v/>
      </c>
      <c r="K295" s="129"/>
      <c r="L295" s="132" t="str">
        <f aca="false">IF($B295="","",IF(N($I295)=0,"← 这一行还没填单价",""))</f>
        <v/>
      </c>
    </row>
    <row r="296" customFormat="false" ht="15" hidden="false" customHeight="true" outlineLevel="0" collapsed="false">
      <c r="A296" s="63" t="str">
        <f aca="false">IF($B296="","",ROW()-68)</f>
        <v/>
      </c>
      <c r="B296" s="62" t="str">
        <f aca="false">IF(对接源_01库存!$B231="","",对接源_01库存!$B231)</f>
        <v/>
      </c>
      <c r="C296" s="63" t="str">
        <f aca="false">IF($B296="","",对接源_01库存!$C231)</f>
        <v/>
      </c>
      <c r="D296" s="63" t="str">
        <f aca="false">IF($B296="","",对接源_01库存!$D231)</f>
        <v/>
      </c>
      <c r="E296" s="63" t="str">
        <f aca="false">IF($B296="","",对接源_01库存!$E231)</f>
        <v/>
      </c>
      <c r="F296" s="64" t="str">
        <f aca="false">IF($B296="","",N(对接源_01库存!$F231))</f>
        <v/>
      </c>
      <c r="G296" s="65" t="str">
        <f aca="false">IF($B296="","",N(对接源_01库存!$G231))</f>
        <v/>
      </c>
      <c r="H296" s="130" t="str">
        <f aca="false">IF($B296="","",ROUND(N($F296)*N($I296),2))</f>
        <v/>
      </c>
      <c r="I296" s="136"/>
      <c r="J296" s="131" t="str">
        <f aca="false">IF($B296="","",对接源_01库存!$H231)</f>
        <v/>
      </c>
      <c r="K296" s="129"/>
      <c r="L296" s="132" t="str">
        <f aca="false">IF($B296="","",IF(N($I296)=0,"← 这一行还没填单价",""))</f>
        <v/>
      </c>
    </row>
    <row r="297" customFormat="false" ht="15" hidden="false" customHeight="true" outlineLevel="0" collapsed="false">
      <c r="A297" s="63" t="str">
        <f aca="false">IF($B297="","",ROW()-68)</f>
        <v/>
      </c>
      <c r="B297" s="62" t="str">
        <f aca="false">IF(对接源_01库存!$B232="","",对接源_01库存!$B232)</f>
        <v/>
      </c>
      <c r="C297" s="63" t="str">
        <f aca="false">IF($B297="","",对接源_01库存!$C232)</f>
        <v/>
      </c>
      <c r="D297" s="63" t="str">
        <f aca="false">IF($B297="","",对接源_01库存!$D232)</f>
        <v/>
      </c>
      <c r="E297" s="63" t="str">
        <f aca="false">IF($B297="","",对接源_01库存!$E232)</f>
        <v/>
      </c>
      <c r="F297" s="64" t="str">
        <f aca="false">IF($B297="","",N(对接源_01库存!$F232))</f>
        <v/>
      </c>
      <c r="G297" s="65" t="str">
        <f aca="false">IF($B297="","",N(对接源_01库存!$G232))</f>
        <v/>
      </c>
      <c r="H297" s="130" t="str">
        <f aca="false">IF($B297="","",ROUND(N($F297)*N($I297),2))</f>
        <v/>
      </c>
      <c r="I297" s="136"/>
      <c r="J297" s="131" t="str">
        <f aca="false">IF($B297="","",对接源_01库存!$H232)</f>
        <v/>
      </c>
      <c r="K297" s="129"/>
      <c r="L297" s="132" t="str">
        <f aca="false">IF($B297="","",IF(N($I297)=0,"← 这一行还没填单价",""))</f>
        <v/>
      </c>
    </row>
    <row r="298" customFormat="false" ht="15" hidden="false" customHeight="true" outlineLevel="0" collapsed="false">
      <c r="A298" s="63" t="str">
        <f aca="false">IF($B298="","",ROW()-68)</f>
        <v/>
      </c>
      <c r="B298" s="62" t="str">
        <f aca="false">IF(对接源_01库存!$B233="","",对接源_01库存!$B233)</f>
        <v/>
      </c>
      <c r="C298" s="63" t="str">
        <f aca="false">IF($B298="","",对接源_01库存!$C233)</f>
        <v/>
      </c>
      <c r="D298" s="63" t="str">
        <f aca="false">IF($B298="","",对接源_01库存!$D233)</f>
        <v/>
      </c>
      <c r="E298" s="63" t="str">
        <f aca="false">IF($B298="","",对接源_01库存!$E233)</f>
        <v/>
      </c>
      <c r="F298" s="64" t="str">
        <f aca="false">IF($B298="","",N(对接源_01库存!$F233))</f>
        <v/>
      </c>
      <c r="G298" s="65" t="str">
        <f aca="false">IF($B298="","",N(对接源_01库存!$G233))</f>
        <v/>
      </c>
      <c r="H298" s="130" t="str">
        <f aca="false">IF($B298="","",ROUND(N($F298)*N($I298),2))</f>
        <v/>
      </c>
      <c r="I298" s="136"/>
      <c r="J298" s="131" t="str">
        <f aca="false">IF($B298="","",对接源_01库存!$H233)</f>
        <v/>
      </c>
      <c r="K298" s="129"/>
      <c r="L298" s="132" t="str">
        <f aca="false">IF($B298="","",IF(N($I298)=0,"← 这一行还没填单价",""))</f>
        <v/>
      </c>
    </row>
    <row r="299" customFormat="false" ht="15" hidden="false" customHeight="true" outlineLevel="0" collapsed="false">
      <c r="A299" s="63" t="str">
        <f aca="false">IF($B299="","",ROW()-68)</f>
        <v/>
      </c>
      <c r="B299" s="62" t="str">
        <f aca="false">IF(对接源_01库存!$B234="","",对接源_01库存!$B234)</f>
        <v/>
      </c>
      <c r="C299" s="63" t="str">
        <f aca="false">IF($B299="","",对接源_01库存!$C234)</f>
        <v/>
      </c>
      <c r="D299" s="63" t="str">
        <f aca="false">IF($B299="","",对接源_01库存!$D234)</f>
        <v/>
      </c>
      <c r="E299" s="63" t="str">
        <f aca="false">IF($B299="","",对接源_01库存!$E234)</f>
        <v/>
      </c>
      <c r="F299" s="64" t="str">
        <f aca="false">IF($B299="","",N(对接源_01库存!$F234))</f>
        <v/>
      </c>
      <c r="G299" s="65" t="str">
        <f aca="false">IF($B299="","",N(对接源_01库存!$G234))</f>
        <v/>
      </c>
      <c r="H299" s="130" t="str">
        <f aca="false">IF($B299="","",ROUND(N($F299)*N($I299),2))</f>
        <v/>
      </c>
      <c r="I299" s="136"/>
      <c r="J299" s="131" t="str">
        <f aca="false">IF($B299="","",对接源_01库存!$H234)</f>
        <v/>
      </c>
      <c r="K299" s="129"/>
      <c r="L299" s="132" t="str">
        <f aca="false">IF($B299="","",IF(N($I299)=0,"← 这一行还没填单价",""))</f>
        <v/>
      </c>
    </row>
    <row r="300" customFormat="false" ht="15" hidden="false" customHeight="true" outlineLevel="0" collapsed="false">
      <c r="A300" s="63" t="str">
        <f aca="false">IF($B300="","",ROW()-68)</f>
        <v/>
      </c>
      <c r="B300" s="62" t="str">
        <f aca="false">IF(对接源_01库存!$B235="","",对接源_01库存!$B235)</f>
        <v/>
      </c>
      <c r="C300" s="63" t="str">
        <f aca="false">IF($B300="","",对接源_01库存!$C235)</f>
        <v/>
      </c>
      <c r="D300" s="63" t="str">
        <f aca="false">IF($B300="","",对接源_01库存!$D235)</f>
        <v/>
      </c>
      <c r="E300" s="63" t="str">
        <f aca="false">IF($B300="","",对接源_01库存!$E235)</f>
        <v/>
      </c>
      <c r="F300" s="64" t="str">
        <f aca="false">IF($B300="","",N(对接源_01库存!$F235))</f>
        <v/>
      </c>
      <c r="G300" s="65" t="str">
        <f aca="false">IF($B300="","",N(对接源_01库存!$G235))</f>
        <v/>
      </c>
      <c r="H300" s="130" t="str">
        <f aca="false">IF($B300="","",ROUND(N($F300)*N($I300),2))</f>
        <v/>
      </c>
      <c r="I300" s="136"/>
      <c r="J300" s="131" t="str">
        <f aca="false">IF($B300="","",对接源_01库存!$H235)</f>
        <v/>
      </c>
      <c r="K300" s="129"/>
      <c r="L300" s="132" t="str">
        <f aca="false">IF($B300="","",IF(N($I300)=0,"← 这一行还没填单价",""))</f>
        <v/>
      </c>
    </row>
    <row r="301" customFormat="false" ht="15" hidden="false" customHeight="true" outlineLevel="0" collapsed="false">
      <c r="A301" s="63" t="str">
        <f aca="false">IF($B301="","",ROW()-68)</f>
        <v/>
      </c>
      <c r="B301" s="62" t="str">
        <f aca="false">IF(对接源_01库存!$B236="","",对接源_01库存!$B236)</f>
        <v/>
      </c>
      <c r="C301" s="63" t="str">
        <f aca="false">IF($B301="","",对接源_01库存!$C236)</f>
        <v/>
      </c>
      <c r="D301" s="63" t="str">
        <f aca="false">IF($B301="","",对接源_01库存!$D236)</f>
        <v/>
      </c>
      <c r="E301" s="63" t="str">
        <f aca="false">IF($B301="","",对接源_01库存!$E236)</f>
        <v/>
      </c>
      <c r="F301" s="64" t="str">
        <f aca="false">IF($B301="","",N(对接源_01库存!$F236))</f>
        <v/>
      </c>
      <c r="G301" s="65" t="str">
        <f aca="false">IF($B301="","",N(对接源_01库存!$G236))</f>
        <v/>
      </c>
      <c r="H301" s="130" t="str">
        <f aca="false">IF($B301="","",ROUND(N($F301)*N($I301),2))</f>
        <v/>
      </c>
      <c r="I301" s="136"/>
      <c r="J301" s="131" t="str">
        <f aca="false">IF($B301="","",对接源_01库存!$H236)</f>
        <v/>
      </c>
      <c r="K301" s="129"/>
      <c r="L301" s="132" t="str">
        <f aca="false">IF($B301="","",IF(N($I301)=0,"← 这一行还没填单价",""))</f>
        <v/>
      </c>
    </row>
    <row r="302" customFormat="false" ht="15" hidden="false" customHeight="true" outlineLevel="0" collapsed="false">
      <c r="A302" s="63" t="str">
        <f aca="false">IF($B302="","",ROW()-68)</f>
        <v/>
      </c>
      <c r="B302" s="62" t="str">
        <f aca="false">IF(对接源_01库存!$B237="","",对接源_01库存!$B237)</f>
        <v/>
      </c>
      <c r="C302" s="63" t="str">
        <f aca="false">IF($B302="","",对接源_01库存!$C237)</f>
        <v/>
      </c>
      <c r="D302" s="63" t="str">
        <f aca="false">IF($B302="","",对接源_01库存!$D237)</f>
        <v/>
      </c>
      <c r="E302" s="63" t="str">
        <f aca="false">IF($B302="","",对接源_01库存!$E237)</f>
        <v/>
      </c>
      <c r="F302" s="64" t="str">
        <f aca="false">IF($B302="","",N(对接源_01库存!$F237))</f>
        <v/>
      </c>
      <c r="G302" s="65" t="str">
        <f aca="false">IF($B302="","",N(对接源_01库存!$G237))</f>
        <v/>
      </c>
      <c r="H302" s="130" t="str">
        <f aca="false">IF($B302="","",ROUND(N($F302)*N($I302),2))</f>
        <v/>
      </c>
      <c r="I302" s="136"/>
      <c r="J302" s="131" t="str">
        <f aca="false">IF($B302="","",对接源_01库存!$H237)</f>
        <v/>
      </c>
      <c r="K302" s="129"/>
      <c r="L302" s="132" t="str">
        <f aca="false">IF($B302="","",IF(N($I302)=0,"← 这一行还没填单价",""))</f>
        <v/>
      </c>
    </row>
    <row r="303" customFormat="false" ht="15" hidden="false" customHeight="true" outlineLevel="0" collapsed="false">
      <c r="A303" s="63" t="str">
        <f aca="false">IF($B303="","",ROW()-68)</f>
        <v/>
      </c>
      <c r="B303" s="62" t="str">
        <f aca="false">IF(对接源_01库存!$B238="","",对接源_01库存!$B238)</f>
        <v/>
      </c>
      <c r="C303" s="63" t="str">
        <f aca="false">IF($B303="","",对接源_01库存!$C238)</f>
        <v/>
      </c>
      <c r="D303" s="63" t="str">
        <f aca="false">IF($B303="","",对接源_01库存!$D238)</f>
        <v/>
      </c>
      <c r="E303" s="63" t="str">
        <f aca="false">IF($B303="","",对接源_01库存!$E238)</f>
        <v/>
      </c>
      <c r="F303" s="64" t="str">
        <f aca="false">IF($B303="","",N(对接源_01库存!$F238))</f>
        <v/>
      </c>
      <c r="G303" s="65" t="str">
        <f aca="false">IF($B303="","",N(对接源_01库存!$G238))</f>
        <v/>
      </c>
      <c r="H303" s="130" t="str">
        <f aca="false">IF($B303="","",ROUND(N($F303)*N($I303),2))</f>
        <v/>
      </c>
      <c r="I303" s="136"/>
      <c r="J303" s="131" t="str">
        <f aca="false">IF($B303="","",对接源_01库存!$H238)</f>
        <v/>
      </c>
      <c r="K303" s="129"/>
      <c r="L303" s="132" t="str">
        <f aca="false">IF($B303="","",IF(N($I303)=0,"← 这一行还没填单价",""))</f>
        <v/>
      </c>
    </row>
    <row r="304" customFormat="false" ht="15" hidden="false" customHeight="true" outlineLevel="0" collapsed="false">
      <c r="A304" s="63" t="str">
        <f aca="false">IF($B304="","",ROW()-68)</f>
        <v/>
      </c>
      <c r="B304" s="62" t="str">
        <f aca="false">IF(对接源_01库存!$B239="","",对接源_01库存!$B239)</f>
        <v/>
      </c>
      <c r="C304" s="63" t="str">
        <f aca="false">IF($B304="","",对接源_01库存!$C239)</f>
        <v/>
      </c>
      <c r="D304" s="63" t="str">
        <f aca="false">IF($B304="","",对接源_01库存!$D239)</f>
        <v/>
      </c>
      <c r="E304" s="63" t="str">
        <f aca="false">IF($B304="","",对接源_01库存!$E239)</f>
        <v/>
      </c>
      <c r="F304" s="64" t="str">
        <f aca="false">IF($B304="","",N(对接源_01库存!$F239))</f>
        <v/>
      </c>
      <c r="G304" s="65" t="str">
        <f aca="false">IF($B304="","",N(对接源_01库存!$G239))</f>
        <v/>
      </c>
      <c r="H304" s="130" t="str">
        <f aca="false">IF($B304="","",ROUND(N($F304)*N($I304),2))</f>
        <v/>
      </c>
      <c r="I304" s="136"/>
      <c r="J304" s="131" t="str">
        <f aca="false">IF($B304="","",对接源_01库存!$H239)</f>
        <v/>
      </c>
      <c r="K304" s="129"/>
      <c r="L304" s="132" t="str">
        <f aca="false">IF($B304="","",IF(N($I304)=0,"← 这一行还没填单价",""))</f>
        <v/>
      </c>
    </row>
    <row r="305" customFormat="false" ht="15" hidden="false" customHeight="true" outlineLevel="0" collapsed="false">
      <c r="A305" s="63" t="str">
        <f aca="false">IF($B305="","",ROW()-68)</f>
        <v/>
      </c>
      <c r="B305" s="62" t="str">
        <f aca="false">IF(对接源_01库存!$B240="","",对接源_01库存!$B240)</f>
        <v/>
      </c>
      <c r="C305" s="63" t="str">
        <f aca="false">IF($B305="","",对接源_01库存!$C240)</f>
        <v/>
      </c>
      <c r="D305" s="63" t="str">
        <f aca="false">IF($B305="","",对接源_01库存!$D240)</f>
        <v/>
      </c>
      <c r="E305" s="63" t="str">
        <f aca="false">IF($B305="","",对接源_01库存!$E240)</f>
        <v/>
      </c>
      <c r="F305" s="64" t="str">
        <f aca="false">IF($B305="","",N(对接源_01库存!$F240))</f>
        <v/>
      </c>
      <c r="G305" s="65" t="str">
        <f aca="false">IF($B305="","",N(对接源_01库存!$G240))</f>
        <v/>
      </c>
      <c r="H305" s="130" t="str">
        <f aca="false">IF($B305="","",ROUND(N($F305)*N($I305),2))</f>
        <v/>
      </c>
      <c r="I305" s="136"/>
      <c r="J305" s="131" t="str">
        <f aca="false">IF($B305="","",对接源_01库存!$H240)</f>
        <v/>
      </c>
      <c r="K305" s="129"/>
      <c r="L305" s="132" t="str">
        <f aca="false">IF($B305="","",IF(N($I305)=0,"← 这一行还没填单价",""))</f>
        <v/>
      </c>
    </row>
    <row r="306" customFormat="false" ht="15" hidden="false" customHeight="true" outlineLevel="0" collapsed="false">
      <c r="A306" s="63" t="str">
        <f aca="false">IF($B306="","",ROW()-68)</f>
        <v/>
      </c>
      <c r="B306" s="62" t="str">
        <f aca="false">IF(对接源_01库存!$B241="","",对接源_01库存!$B241)</f>
        <v/>
      </c>
      <c r="C306" s="63" t="str">
        <f aca="false">IF($B306="","",对接源_01库存!$C241)</f>
        <v/>
      </c>
      <c r="D306" s="63" t="str">
        <f aca="false">IF($B306="","",对接源_01库存!$D241)</f>
        <v/>
      </c>
      <c r="E306" s="63" t="str">
        <f aca="false">IF($B306="","",对接源_01库存!$E241)</f>
        <v/>
      </c>
      <c r="F306" s="64" t="str">
        <f aca="false">IF($B306="","",N(对接源_01库存!$F241))</f>
        <v/>
      </c>
      <c r="G306" s="65" t="str">
        <f aca="false">IF($B306="","",N(对接源_01库存!$G241))</f>
        <v/>
      </c>
      <c r="H306" s="130" t="str">
        <f aca="false">IF($B306="","",ROUND(N($F306)*N($I306),2))</f>
        <v/>
      </c>
      <c r="I306" s="136"/>
      <c r="J306" s="131" t="str">
        <f aca="false">IF($B306="","",对接源_01库存!$H241)</f>
        <v/>
      </c>
      <c r="K306" s="129"/>
      <c r="L306" s="132" t="str">
        <f aca="false">IF($B306="","",IF(N($I306)=0,"← 这一行还没填单价",""))</f>
        <v/>
      </c>
    </row>
    <row r="307" customFormat="false" ht="15" hidden="false" customHeight="true" outlineLevel="0" collapsed="false">
      <c r="A307" s="63" t="str">
        <f aca="false">IF($B307="","",ROW()-68)</f>
        <v/>
      </c>
      <c r="B307" s="62" t="str">
        <f aca="false">IF(对接源_01库存!$B242="","",对接源_01库存!$B242)</f>
        <v/>
      </c>
      <c r="C307" s="63" t="str">
        <f aca="false">IF($B307="","",对接源_01库存!$C242)</f>
        <v/>
      </c>
      <c r="D307" s="63" t="str">
        <f aca="false">IF($B307="","",对接源_01库存!$D242)</f>
        <v/>
      </c>
      <c r="E307" s="63" t="str">
        <f aca="false">IF($B307="","",对接源_01库存!$E242)</f>
        <v/>
      </c>
      <c r="F307" s="64" t="str">
        <f aca="false">IF($B307="","",N(对接源_01库存!$F242))</f>
        <v/>
      </c>
      <c r="G307" s="65" t="str">
        <f aca="false">IF($B307="","",N(对接源_01库存!$G242))</f>
        <v/>
      </c>
      <c r="H307" s="130" t="str">
        <f aca="false">IF($B307="","",ROUND(N($F307)*N($I307),2))</f>
        <v/>
      </c>
      <c r="I307" s="136"/>
      <c r="J307" s="131" t="str">
        <f aca="false">IF($B307="","",对接源_01库存!$H242)</f>
        <v/>
      </c>
      <c r="K307" s="129"/>
      <c r="L307" s="132" t="str">
        <f aca="false">IF($B307="","",IF(N($I307)=0,"← 这一行还没填单价",""))</f>
        <v/>
      </c>
    </row>
    <row r="308" customFormat="false" ht="15" hidden="false" customHeight="true" outlineLevel="0" collapsed="false">
      <c r="A308" s="63" t="str">
        <f aca="false">IF($B308="","",ROW()-68)</f>
        <v/>
      </c>
      <c r="B308" s="62" t="str">
        <f aca="false">IF(对接源_01库存!$B243="","",对接源_01库存!$B243)</f>
        <v/>
      </c>
      <c r="C308" s="63" t="str">
        <f aca="false">IF($B308="","",对接源_01库存!$C243)</f>
        <v/>
      </c>
      <c r="D308" s="63" t="str">
        <f aca="false">IF($B308="","",对接源_01库存!$D243)</f>
        <v/>
      </c>
      <c r="E308" s="63" t="str">
        <f aca="false">IF($B308="","",对接源_01库存!$E243)</f>
        <v/>
      </c>
      <c r="F308" s="64" t="str">
        <f aca="false">IF($B308="","",N(对接源_01库存!$F243))</f>
        <v/>
      </c>
      <c r="G308" s="65" t="str">
        <f aca="false">IF($B308="","",N(对接源_01库存!$G243))</f>
        <v/>
      </c>
      <c r="H308" s="130" t="str">
        <f aca="false">IF($B308="","",ROUND(N($F308)*N($I308),2))</f>
        <v/>
      </c>
      <c r="I308" s="136"/>
      <c r="J308" s="131" t="str">
        <f aca="false">IF($B308="","",对接源_01库存!$H243)</f>
        <v/>
      </c>
      <c r="K308" s="129"/>
      <c r="L308" s="132" t="str">
        <f aca="false">IF($B308="","",IF(N($I308)=0,"← 这一行还没填单价",""))</f>
        <v/>
      </c>
    </row>
    <row r="309" customFormat="false" ht="15" hidden="false" customHeight="true" outlineLevel="0" collapsed="false">
      <c r="A309" s="63" t="str">
        <f aca="false">IF($B309="","",ROW()-68)</f>
        <v/>
      </c>
      <c r="B309" s="62" t="str">
        <f aca="false">IF(对接源_01库存!$B244="","",对接源_01库存!$B244)</f>
        <v/>
      </c>
      <c r="C309" s="63" t="str">
        <f aca="false">IF($B309="","",对接源_01库存!$C244)</f>
        <v/>
      </c>
      <c r="D309" s="63" t="str">
        <f aca="false">IF($B309="","",对接源_01库存!$D244)</f>
        <v/>
      </c>
      <c r="E309" s="63" t="str">
        <f aca="false">IF($B309="","",对接源_01库存!$E244)</f>
        <v/>
      </c>
      <c r="F309" s="64" t="str">
        <f aca="false">IF($B309="","",N(对接源_01库存!$F244))</f>
        <v/>
      </c>
      <c r="G309" s="65" t="str">
        <f aca="false">IF($B309="","",N(对接源_01库存!$G244))</f>
        <v/>
      </c>
      <c r="H309" s="130" t="str">
        <f aca="false">IF($B309="","",ROUND(N($F309)*N($I309),2))</f>
        <v/>
      </c>
      <c r="I309" s="136"/>
      <c r="J309" s="131" t="str">
        <f aca="false">IF($B309="","",对接源_01库存!$H244)</f>
        <v/>
      </c>
      <c r="K309" s="129"/>
      <c r="L309" s="132" t="str">
        <f aca="false">IF($B309="","",IF(N($I309)=0,"← 这一行还没填单价",""))</f>
        <v/>
      </c>
    </row>
    <row r="310" customFormat="false" ht="15" hidden="false" customHeight="true" outlineLevel="0" collapsed="false">
      <c r="A310" s="63" t="str">
        <f aca="false">IF($B310="","",ROW()-68)</f>
        <v/>
      </c>
      <c r="B310" s="62" t="str">
        <f aca="false">IF(对接源_01库存!$B245="","",对接源_01库存!$B245)</f>
        <v/>
      </c>
      <c r="C310" s="63" t="str">
        <f aca="false">IF($B310="","",对接源_01库存!$C245)</f>
        <v/>
      </c>
      <c r="D310" s="63" t="str">
        <f aca="false">IF($B310="","",对接源_01库存!$D245)</f>
        <v/>
      </c>
      <c r="E310" s="63" t="str">
        <f aca="false">IF($B310="","",对接源_01库存!$E245)</f>
        <v/>
      </c>
      <c r="F310" s="64" t="str">
        <f aca="false">IF($B310="","",N(对接源_01库存!$F245))</f>
        <v/>
      </c>
      <c r="G310" s="65" t="str">
        <f aca="false">IF($B310="","",N(对接源_01库存!$G245))</f>
        <v/>
      </c>
      <c r="H310" s="130" t="str">
        <f aca="false">IF($B310="","",ROUND(N($F310)*N($I310),2))</f>
        <v/>
      </c>
      <c r="I310" s="136"/>
      <c r="J310" s="131" t="str">
        <f aca="false">IF($B310="","",对接源_01库存!$H245)</f>
        <v/>
      </c>
      <c r="K310" s="129"/>
      <c r="L310" s="132" t="str">
        <f aca="false">IF($B310="","",IF(N($I310)=0,"← 这一行还没填单价",""))</f>
        <v/>
      </c>
    </row>
    <row r="311" customFormat="false" ht="15" hidden="false" customHeight="true" outlineLevel="0" collapsed="false">
      <c r="A311" s="63" t="str">
        <f aca="false">IF($B311="","",ROW()-68)</f>
        <v/>
      </c>
      <c r="B311" s="62" t="str">
        <f aca="false">IF(对接源_01库存!$B246="","",对接源_01库存!$B246)</f>
        <v/>
      </c>
      <c r="C311" s="63" t="str">
        <f aca="false">IF($B311="","",对接源_01库存!$C246)</f>
        <v/>
      </c>
      <c r="D311" s="63" t="str">
        <f aca="false">IF($B311="","",对接源_01库存!$D246)</f>
        <v/>
      </c>
      <c r="E311" s="63" t="str">
        <f aca="false">IF($B311="","",对接源_01库存!$E246)</f>
        <v/>
      </c>
      <c r="F311" s="64" t="str">
        <f aca="false">IF($B311="","",N(对接源_01库存!$F246))</f>
        <v/>
      </c>
      <c r="G311" s="65" t="str">
        <f aca="false">IF($B311="","",N(对接源_01库存!$G246))</f>
        <v/>
      </c>
      <c r="H311" s="130" t="str">
        <f aca="false">IF($B311="","",ROUND(N($F311)*N($I311),2))</f>
        <v/>
      </c>
      <c r="I311" s="136"/>
      <c r="J311" s="131" t="str">
        <f aca="false">IF($B311="","",对接源_01库存!$H246)</f>
        <v/>
      </c>
      <c r="K311" s="129"/>
      <c r="L311" s="132" t="str">
        <f aca="false">IF($B311="","",IF(N($I311)=0,"← 这一行还没填单价",""))</f>
        <v/>
      </c>
    </row>
    <row r="312" customFormat="false" ht="15" hidden="false" customHeight="true" outlineLevel="0" collapsed="false">
      <c r="A312" s="63" t="str">
        <f aca="false">IF($B312="","",ROW()-68)</f>
        <v/>
      </c>
      <c r="B312" s="62" t="str">
        <f aca="false">IF(对接源_01库存!$B247="","",对接源_01库存!$B247)</f>
        <v/>
      </c>
      <c r="C312" s="63" t="str">
        <f aca="false">IF($B312="","",对接源_01库存!$C247)</f>
        <v/>
      </c>
      <c r="D312" s="63" t="str">
        <f aca="false">IF($B312="","",对接源_01库存!$D247)</f>
        <v/>
      </c>
      <c r="E312" s="63" t="str">
        <f aca="false">IF($B312="","",对接源_01库存!$E247)</f>
        <v/>
      </c>
      <c r="F312" s="64" t="str">
        <f aca="false">IF($B312="","",N(对接源_01库存!$F247))</f>
        <v/>
      </c>
      <c r="G312" s="65" t="str">
        <f aca="false">IF($B312="","",N(对接源_01库存!$G247))</f>
        <v/>
      </c>
      <c r="H312" s="130" t="str">
        <f aca="false">IF($B312="","",ROUND(N($F312)*N($I312),2))</f>
        <v/>
      </c>
      <c r="I312" s="136"/>
      <c r="J312" s="131" t="str">
        <f aca="false">IF($B312="","",对接源_01库存!$H247)</f>
        <v/>
      </c>
      <c r="K312" s="129"/>
      <c r="L312" s="132" t="str">
        <f aca="false">IF($B312="","",IF(N($I312)=0,"← 这一行还没填单价",""))</f>
        <v/>
      </c>
    </row>
    <row r="313" customFormat="false" ht="15" hidden="false" customHeight="true" outlineLevel="0" collapsed="false">
      <c r="A313" s="63" t="str">
        <f aca="false">IF($B313="","",ROW()-68)</f>
        <v/>
      </c>
      <c r="B313" s="62" t="str">
        <f aca="false">IF(对接源_01库存!$B248="","",对接源_01库存!$B248)</f>
        <v/>
      </c>
      <c r="C313" s="63" t="str">
        <f aca="false">IF($B313="","",对接源_01库存!$C248)</f>
        <v/>
      </c>
      <c r="D313" s="63" t="str">
        <f aca="false">IF($B313="","",对接源_01库存!$D248)</f>
        <v/>
      </c>
      <c r="E313" s="63" t="str">
        <f aca="false">IF($B313="","",对接源_01库存!$E248)</f>
        <v/>
      </c>
      <c r="F313" s="64" t="str">
        <f aca="false">IF($B313="","",N(对接源_01库存!$F248))</f>
        <v/>
      </c>
      <c r="G313" s="65" t="str">
        <f aca="false">IF($B313="","",N(对接源_01库存!$G248))</f>
        <v/>
      </c>
      <c r="H313" s="130" t="str">
        <f aca="false">IF($B313="","",ROUND(N($F313)*N($I313),2))</f>
        <v/>
      </c>
      <c r="I313" s="136"/>
      <c r="J313" s="131" t="str">
        <f aca="false">IF($B313="","",对接源_01库存!$H248)</f>
        <v/>
      </c>
      <c r="K313" s="129"/>
      <c r="L313" s="132" t="str">
        <f aca="false">IF($B313="","",IF(N($I313)=0,"← 这一行还没填单价",""))</f>
        <v/>
      </c>
    </row>
    <row r="314" customFormat="false" ht="15" hidden="false" customHeight="true" outlineLevel="0" collapsed="false">
      <c r="A314" s="63" t="str">
        <f aca="false">IF($B314="","",ROW()-68)</f>
        <v/>
      </c>
      <c r="B314" s="62" t="str">
        <f aca="false">IF(对接源_01库存!$B249="","",对接源_01库存!$B249)</f>
        <v/>
      </c>
      <c r="C314" s="63" t="str">
        <f aca="false">IF($B314="","",对接源_01库存!$C249)</f>
        <v/>
      </c>
      <c r="D314" s="63" t="str">
        <f aca="false">IF($B314="","",对接源_01库存!$D249)</f>
        <v/>
      </c>
      <c r="E314" s="63" t="str">
        <f aca="false">IF($B314="","",对接源_01库存!$E249)</f>
        <v/>
      </c>
      <c r="F314" s="64" t="str">
        <f aca="false">IF($B314="","",N(对接源_01库存!$F249))</f>
        <v/>
      </c>
      <c r="G314" s="65" t="str">
        <f aca="false">IF($B314="","",N(对接源_01库存!$G249))</f>
        <v/>
      </c>
      <c r="H314" s="130" t="str">
        <f aca="false">IF($B314="","",ROUND(N($F314)*N($I314),2))</f>
        <v/>
      </c>
      <c r="I314" s="136"/>
      <c r="J314" s="131" t="str">
        <f aca="false">IF($B314="","",对接源_01库存!$H249)</f>
        <v/>
      </c>
      <c r="K314" s="129"/>
      <c r="L314" s="132" t="str">
        <f aca="false">IF($B314="","",IF(N($I314)=0,"← 这一行还没填单价",""))</f>
        <v/>
      </c>
    </row>
    <row r="315" customFormat="false" ht="15" hidden="false" customHeight="true" outlineLevel="0" collapsed="false">
      <c r="A315" s="63" t="str">
        <f aca="false">IF($B315="","",ROW()-68)</f>
        <v/>
      </c>
      <c r="B315" s="62" t="str">
        <f aca="false">IF(对接源_01库存!$B250="","",对接源_01库存!$B250)</f>
        <v/>
      </c>
      <c r="C315" s="63" t="str">
        <f aca="false">IF($B315="","",对接源_01库存!$C250)</f>
        <v/>
      </c>
      <c r="D315" s="63" t="str">
        <f aca="false">IF($B315="","",对接源_01库存!$D250)</f>
        <v/>
      </c>
      <c r="E315" s="63" t="str">
        <f aca="false">IF($B315="","",对接源_01库存!$E250)</f>
        <v/>
      </c>
      <c r="F315" s="64" t="str">
        <f aca="false">IF($B315="","",N(对接源_01库存!$F250))</f>
        <v/>
      </c>
      <c r="G315" s="65" t="str">
        <f aca="false">IF($B315="","",N(对接源_01库存!$G250))</f>
        <v/>
      </c>
      <c r="H315" s="130" t="str">
        <f aca="false">IF($B315="","",ROUND(N($F315)*N($I315),2))</f>
        <v/>
      </c>
      <c r="I315" s="136"/>
      <c r="J315" s="131" t="str">
        <f aca="false">IF($B315="","",对接源_01库存!$H250)</f>
        <v/>
      </c>
      <c r="K315" s="129"/>
      <c r="L315" s="132" t="str">
        <f aca="false">IF($B315="","",IF(N($I315)=0,"← 这一行还没填单价",""))</f>
        <v/>
      </c>
    </row>
    <row r="316" customFormat="false" ht="15" hidden="false" customHeight="true" outlineLevel="0" collapsed="false">
      <c r="A316" s="63" t="str">
        <f aca="false">IF($B316="","",ROW()-68)</f>
        <v/>
      </c>
      <c r="B316" s="62" t="str">
        <f aca="false">IF(对接源_01库存!$B251="","",对接源_01库存!$B251)</f>
        <v/>
      </c>
      <c r="C316" s="63" t="str">
        <f aca="false">IF($B316="","",对接源_01库存!$C251)</f>
        <v/>
      </c>
      <c r="D316" s="63" t="str">
        <f aca="false">IF($B316="","",对接源_01库存!$D251)</f>
        <v/>
      </c>
      <c r="E316" s="63" t="str">
        <f aca="false">IF($B316="","",对接源_01库存!$E251)</f>
        <v/>
      </c>
      <c r="F316" s="64" t="str">
        <f aca="false">IF($B316="","",N(对接源_01库存!$F251))</f>
        <v/>
      </c>
      <c r="G316" s="65" t="str">
        <f aca="false">IF($B316="","",N(对接源_01库存!$G251))</f>
        <v/>
      </c>
      <c r="H316" s="130" t="str">
        <f aca="false">IF($B316="","",ROUND(N($F316)*N($I316),2))</f>
        <v/>
      </c>
      <c r="I316" s="136"/>
      <c r="J316" s="131" t="str">
        <f aca="false">IF($B316="","",对接源_01库存!$H251)</f>
        <v/>
      </c>
      <c r="K316" s="129"/>
      <c r="L316" s="132" t="str">
        <f aca="false">IF($B316="","",IF(N($I316)=0,"← 这一行还没填单价",""))</f>
        <v/>
      </c>
    </row>
    <row r="317" customFormat="false" ht="15" hidden="false" customHeight="true" outlineLevel="0" collapsed="false">
      <c r="A317" s="63" t="str">
        <f aca="false">IF($B317="","",ROW()-68)</f>
        <v/>
      </c>
      <c r="B317" s="62" t="str">
        <f aca="false">IF(对接源_01库存!$B252="","",对接源_01库存!$B252)</f>
        <v/>
      </c>
      <c r="C317" s="63" t="str">
        <f aca="false">IF($B317="","",对接源_01库存!$C252)</f>
        <v/>
      </c>
      <c r="D317" s="63" t="str">
        <f aca="false">IF($B317="","",对接源_01库存!$D252)</f>
        <v/>
      </c>
      <c r="E317" s="63" t="str">
        <f aca="false">IF($B317="","",对接源_01库存!$E252)</f>
        <v/>
      </c>
      <c r="F317" s="64" t="str">
        <f aca="false">IF($B317="","",N(对接源_01库存!$F252))</f>
        <v/>
      </c>
      <c r="G317" s="65" t="str">
        <f aca="false">IF($B317="","",N(对接源_01库存!$G252))</f>
        <v/>
      </c>
      <c r="H317" s="130" t="str">
        <f aca="false">IF($B317="","",ROUND(N($F317)*N($I317),2))</f>
        <v/>
      </c>
      <c r="I317" s="136"/>
      <c r="J317" s="131" t="str">
        <f aca="false">IF($B317="","",对接源_01库存!$H252)</f>
        <v/>
      </c>
      <c r="K317" s="129"/>
      <c r="L317" s="132" t="str">
        <f aca="false">IF($B317="","",IF(N($I317)=0,"← 这一行还没填单价",""))</f>
        <v/>
      </c>
    </row>
    <row r="318" customFormat="false" ht="15" hidden="false" customHeight="true" outlineLevel="0" collapsed="false">
      <c r="A318" s="63" t="str">
        <f aca="false">IF($B318="","",ROW()-68)</f>
        <v/>
      </c>
      <c r="B318" s="62" t="str">
        <f aca="false">IF(对接源_01库存!$B253="","",对接源_01库存!$B253)</f>
        <v/>
      </c>
      <c r="C318" s="63" t="str">
        <f aca="false">IF($B318="","",对接源_01库存!$C253)</f>
        <v/>
      </c>
      <c r="D318" s="63" t="str">
        <f aca="false">IF($B318="","",对接源_01库存!$D253)</f>
        <v/>
      </c>
      <c r="E318" s="63" t="str">
        <f aca="false">IF($B318="","",对接源_01库存!$E253)</f>
        <v/>
      </c>
      <c r="F318" s="64" t="str">
        <f aca="false">IF($B318="","",N(对接源_01库存!$F253))</f>
        <v/>
      </c>
      <c r="G318" s="65" t="str">
        <f aca="false">IF($B318="","",N(对接源_01库存!$G253))</f>
        <v/>
      </c>
      <c r="H318" s="130" t="str">
        <f aca="false">IF($B318="","",ROUND(N($F318)*N($I318),2))</f>
        <v/>
      </c>
      <c r="I318" s="136"/>
      <c r="J318" s="131" t="str">
        <f aca="false">IF($B318="","",对接源_01库存!$H253)</f>
        <v/>
      </c>
      <c r="K318" s="129"/>
      <c r="L318" s="132" t="str">
        <f aca="false">IF($B318="","",IF(N($I318)=0,"← 这一行还没填单价",""))</f>
        <v/>
      </c>
    </row>
    <row r="319" customFormat="false" ht="15" hidden="false" customHeight="true" outlineLevel="0" collapsed="false">
      <c r="A319" s="63" t="str">
        <f aca="false">IF($B319="","",ROW()-68)</f>
        <v/>
      </c>
      <c r="B319" s="62" t="str">
        <f aca="false">IF(对接源_01库存!$B254="","",对接源_01库存!$B254)</f>
        <v/>
      </c>
      <c r="C319" s="63" t="str">
        <f aca="false">IF($B319="","",对接源_01库存!$C254)</f>
        <v/>
      </c>
      <c r="D319" s="63" t="str">
        <f aca="false">IF($B319="","",对接源_01库存!$D254)</f>
        <v/>
      </c>
      <c r="E319" s="63" t="str">
        <f aca="false">IF($B319="","",对接源_01库存!$E254)</f>
        <v/>
      </c>
      <c r="F319" s="64" t="str">
        <f aca="false">IF($B319="","",N(对接源_01库存!$F254))</f>
        <v/>
      </c>
      <c r="G319" s="65" t="str">
        <f aca="false">IF($B319="","",N(对接源_01库存!$G254))</f>
        <v/>
      </c>
      <c r="H319" s="130" t="str">
        <f aca="false">IF($B319="","",ROUND(N($F319)*N($I319),2))</f>
        <v/>
      </c>
      <c r="I319" s="136"/>
      <c r="J319" s="131" t="str">
        <f aca="false">IF($B319="","",对接源_01库存!$H254)</f>
        <v/>
      </c>
      <c r="K319" s="129"/>
      <c r="L319" s="132" t="str">
        <f aca="false">IF($B319="","",IF(N($I319)=0,"← 这一行还没填单价",""))</f>
        <v/>
      </c>
    </row>
    <row r="320" customFormat="false" ht="15" hidden="false" customHeight="true" outlineLevel="0" collapsed="false">
      <c r="A320" s="63" t="str">
        <f aca="false">IF($B320="","",ROW()-68)</f>
        <v/>
      </c>
      <c r="B320" s="62" t="str">
        <f aca="false">IF(对接源_01库存!$B255="","",对接源_01库存!$B255)</f>
        <v/>
      </c>
      <c r="C320" s="63" t="str">
        <f aca="false">IF($B320="","",对接源_01库存!$C255)</f>
        <v/>
      </c>
      <c r="D320" s="63" t="str">
        <f aca="false">IF($B320="","",对接源_01库存!$D255)</f>
        <v/>
      </c>
      <c r="E320" s="63" t="str">
        <f aca="false">IF($B320="","",对接源_01库存!$E255)</f>
        <v/>
      </c>
      <c r="F320" s="64" t="str">
        <f aca="false">IF($B320="","",N(对接源_01库存!$F255))</f>
        <v/>
      </c>
      <c r="G320" s="65" t="str">
        <f aca="false">IF($B320="","",N(对接源_01库存!$G255))</f>
        <v/>
      </c>
      <c r="H320" s="130" t="str">
        <f aca="false">IF($B320="","",ROUND(N($F320)*N($I320),2))</f>
        <v/>
      </c>
      <c r="I320" s="136"/>
      <c r="J320" s="131" t="str">
        <f aca="false">IF($B320="","",对接源_01库存!$H255)</f>
        <v/>
      </c>
      <c r="K320" s="129"/>
      <c r="L320" s="132" t="str">
        <f aca="false">IF($B320="","",IF(N($I320)=0,"← 这一行还没填单价",""))</f>
        <v/>
      </c>
    </row>
    <row r="321" customFormat="false" ht="15" hidden="false" customHeight="true" outlineLevel="0" collapsed="false">
      <c r="A321" s="63" t="str">
        <f aca="false">IF($B321="","",ROW()-68)</f>
        <v/>
      </c>
      <c r="B321" s="62" t="str">
        <f aca="false">IF(对接源_01库存!$B256="","",对接源_01库存!$B256)</f>
        <v/>
      </c>
      <c r="C321" s="63" t="str">
        <f aca="false">IF($B321="","",对接源_01库存!$C256)</f>
        <v/>
      </c>
      <c r="D321" s="63" t="str">
        <f aca="false">IF($B321="","",对接源_01库存!$D256)</f>
        <v/>
      </c>
      <c r="E321" s="63" t="str">
        <f aca="false">IF($B321="","",对接源_01库存!$E256)</f>
        <v/>
      </c>
      <c r="F321" s="64" t="str">
        <f aca="false">IF($B321="","",N(对接源_01库存!$F256))</f>
        <v/>
      </c>
      <c r="G321" s="65" t="str">
        <f aca="false">IF($B321="","",N(对接源_01库存!$G256))</f>
        <v/>
      </c>
      <c r="H321" s="130" t="str">
        <f aca="false">IF($B321="","",ROUND(N($F321)*N($I321),2))</f>
        <v/>
      </c>
      <c r="I321" s="136"/>
      <c r="J321" s="131" t="str">
        <f aca="false">IF($B321="","",对接源_01库存!$H256)</f>
        <v/>
      </c>
      <c r="K321" s="129"/>
      <c r="L321" s="132" t="str">
        <f aca="false">IF($B321="","",IF(N($I321)=0,"← 这一行还没填单价",""))</f>
        <v/>
      </c>
    </row>
    <row r="322" customFormat="false" ht="15" hidden="false" customHeight="true" outlineLevel="0" collapsed="false">
      <c r="A322" s="63" t="str">
        <f aca="false">IF($B322="","",ROW()-68)</f>
        <v/>
      </c>
      <c r="B322" s="62" t="str">
        <f aca="false">IF(对接源_01库存!$B257="","",对接源_01库存!$B257)</f>
        <v/>
      </c>
      <c r="C322" s="63" t="str">
        <f aca="false">IF($B322="","",对接源_01库存!$C257)</f>
        <v/>
      </c>
      <c r="D322" s="63" t="str">
        <f aca="false">IF($B322="","",对接源_01库存!$D257)</f>
        <v/>
      </c>
      <c r="E322" s="63" t="str">
        <f aca="false">IF($B322="","",对接源_01库存!$E257)</f>
        <v/>
      </c>
      <c r="F322" s="64" t="str">
        <f aca="false">IF($B322="","",N(对接源_01库存!$F257))</f>
        <v/>
      </c>
      <c r="G322" s="65" t="str">
        <f aca="false">IF($B322="","",N(对接源_01库存!$G257))</f>
        <v/>
      </c>
      <c r="H322" s="130" t="str">
        <f aca="false">IF($B322="","",ROUND(N($F322)*N($I322),2))</f>
        <v/>
      </c>
      <c r="I322" s="136"/>
      <c r="J322" s="131" t="str">
        <f aca="false">IF($B322="","",对接源_01库存!$H257)</f>
        <v/>
      </c>
      <c r="K322" s="129"/>
      <c r="L322" s="132" t="str">
        <f aca="false">IF($B322="","",IF(N($I322)=0,"← 这一行还没填单价",""))</f>
        <v/>
      </c>
    </row>
    <row r="323" customFormat="false" ht="15" hidden="false" customHeight="true" outlineLevel="0" collapsed="false">
      <c r="A323" s="63" t="str">
        <f aca="false">IF($B323="","",ROW()-68)</f>
        <v/>
      </c>
      <c r="B323" s="62" t="str">
        <f aca="false">IF(对接源_01库存!$B258="","",对接源_01库存!$B258)</f>
        <v/>
      </c>
      <c r="C323" s="63" t="str">
        <f aca="false">IF($B323="","",对接源_01库存!$C258)</f>
        <v/>
      </c>
      <c r="D323" s="63" t="str">
        <f aca="false">IF($B323="","",对接源_01库存!$D258)</f>
        <v/>
      </c>
      <c r="E323" s="63" t="str">
        <f aca="false">IF($B323="","",对接源_01库存!$E258)</f>
        <v/>
      </c>
      <c r="F323" s="64" t="str">
        <f aca="false">IF($B323="","",N(对接源_01库存!$F258))</f>
        <v/>
      </c>
      <c r="G323" s="65" t="str">
        <f aca="false">IF($B323="","",N(对接源_01库存!$G258))</f>
        <v/>
      </c>
      <c r="H323" s="130" t="str">
        <f aca="false">IF($B323="","",ROUND(N($F323)*N($I323),2))</f>
        <v/>
      </c>
      <c r="I323" s="136"/>
      <c r="J323" s="131" t="str">
        <f aca="false">IF($B323="","",对接源_01库存!$H258)</f>
        <v/>
      </c>
      <c r="K323" s="129"/>
      <c r="L323" s="132" t="str">
        <f aca="false">IF($B323="","",IF(N($I323)=0,"← 这一行还没填单价",""))</f>
        <v/>
      </c>
    </row>
    <row r="324" customFormat="false" ht="15" hidden="false" customHeight="true" outlineLevel="0" collapsed="false">
      <c r="A324" s="63" t="str">
        <f aca="false">IF($B324="","",ROW()-68)</f>
        <v/>
      </c>
      <c r="B324" s="62" t="str">
        <f aca="false">IF(对接源_01库存!$B259="","",对接源_01库存!$B259)</f>
        <v/>
      </c>
      <c r="C324" s="63" t="str">
        <f aca="false">IF($B324="","",对接源_01库存!$C259)</f>
        <v/>
      </c>
      <c r="D324" s="63" t="str">
        <f aca="false">IF($B324="","",对接源_01库存!$D259)</f>
        <v/>
      </c>
      <c r="E324" s="63" t="str">
        <f aca="false">IF($B324="","",对接源_01库存!$E259)</f>
        <v/>
      </c>
      <c r="F324" s="64" t="str">
        <f aca="false">IF($B324="","",N(对接源_01库存!$F259))</f>
        <v/>
      </c>
      <c r="G324" s="65" t="str">
        <f aca="false">IF($B324="","",N(对接源_01库存!$G259))</f>
        <v/>
      </c>
      <c r="H324" s="130" t="str">
        <f aca="false">IF($B324="","",ROUND(N($F324)*N($I324),2))</f>
        <v/>
      </c>
      <c r="I324" s="136"/>
      <c r="J324" s="131" t="str">
        <f aca="false">IF($B324="","",对接源_01库存!$H259)</f>
        <v/>
      </c>
      <c r="K324" s="129"/>
      <c r="L324" s="132" t="str">
        <f aca="false">IF($B324="","",IF(N($I324)=0,"← 这一行还没填单价",""))</f>
        <v/>
      </c>
    </row>
    <row r="325" customFormat="false" ht="15" hidden="false" customHeight="true" outlineLevel="0" collapsed="false">
      <c r="A325" s="63" t="str">
        <f aca="false">IF($B325="","",ROW()-68)</f>
        <v/>
      </c>
      <c r="B325" s="62" t="str">
        <f aca="false">IF(对接源_01库存!$B260="","",对接源_01库存!$B260)</f>
        <v/>
      </c>
      <c r="C325" s="63" t="str">
        <f aca="false">IF($B325="","",对接源_01库存!$C260)</f>
        <v/>
      </c>
      <c r="D325" s="63" t="str">
        <f aca="false">IF($B325="","",对接源_01库存!$D260)</f>
        <v/>
      </c>
      <c r="E325" s="63" t="str">
        <f aca="false">IF($B325="","",对接源_01库存!$E260)</f>
        <v/>
      </c>
      <c r="F325" s="64" t="str">
        <f aca="false">IF($B325="","",N(对接源_01库存!$F260))</f>
        <v/>
      </c>
      <c r="G325" s="65" t="str">
        <f aca="false">IF($B325="","",N(对接源_01库存!$G260))</f>
        <v/>
      </c>
      <c r="H325" s="130" t="str">
        <f aca="false">IF($B325="","",ROUND(N($F325)*N($I325),2))</f>
        <v/>
      </c>
      <c r="I325" s="136"/>
      <c r="J325" s="131" t="str">
        <f aca="false">IF($B325="","",对接源_01库存!$H260)</f>
        <v/>
      </c>
      <c r="K325" s="129"/>
      <c r="L325" s="132" t="str">
        <f aca="false">IF($B325="","",IF(N($I325)=0,"← 这一行还没填单价",""))</f>
        <v/>
      </c>
    </row>
    <row r="326" customFormat="false" ht="15" hidden="false" customHeight="true" outlineLevel="0" collapsed="false">
      <c r="A326" s="63" t="str">
        <f aca="false">IF($B326="","",ROW()-68)</f>
        <v/>
      </c>
      <c r="B326" s="62" t="str">
        <f aca="false">IF(对接源_01库存!$B261="","",对接源_01库存!$B261)</f>
        <v/>
      </c>
      <c r="C326" s="63" t="str">
        <f aca="false">IF($B326="","",对接源_01库存!$C261)</f>
        <v/>
      </c>
      <c r="D326" s="63" t="str">
        <f aca="false">IF($B326="","",对接源_01库存!$D261)</f>
        <v/>
      </c>
      <c r="E326" s="63" t="str">
        <f aca="false">IF($B326="","",对接源_01库存!$E261)</f>
        <v/>
      </c>
      <c r="F326" s="64" t="str">
        <f aca="false">IF($B326="","",N(对接源_01库存!$F261))</f>
        <v/>
      </c>
      <c r="G326" s="65" t="str">
        <f aca="false">IF($B326="","",N(对接源_01库存!$G261))</f>
        <v/>
      </c>
      <c r="H326" s="130" t="str">
        <f aca="false">IF($B326="","",ROUND(N($F326)*N($I326),2))</f>
        <v/>
      </c>
      <c r="I326" s="136"/>
      <c r="J326" s="131" t="str">
        <f aca="false">IF($B326="","",对接源_01库存!$H261)</f>
        <v/>
      </c>
      <c r="K326" s="129"/>
      <c r="L326" s="132" t="str">
        <f aca="false">IF($B326="","",IF(N($I326)=0,"← 这一行还没填单价",""))</f>
        <v/>
      </c>
    </row>
    <row r="327" customFormat="false" ht="15" hidden="false" customHeight="true" outlineLevel="0" collapsed="false">
      <c r="A327" s="63" t="str">
        <f aca="false">IF($B327="","",ROW()-68)</f>
        <v/>
      </c>
      <c r="B327" s="62" t="str">
        <f aca="false">IF(对接源_01库存!$B262="","",对接源_01库存!$B262)</f>
        <v/>
      </c>
      <c r="C327" s="63" t="str">
        <f aca="false">IF($B327="","",对接源_01库存!$C262)</f>
        <v/>
      </c>
      <c r="D327" s="63" t="str">
        <f aca="false">IF($B327="","",对接源_01库存!$D262)</f>
        <v/>
      </c>
      <c r="E327" s="63" t="str">
        <f aca="false">IF($B327="","",对接源_01库存!$E262)</f>
        <v/>
      </c>
      <c r="F327" s="64" t="str">
        <f aca="false">IF($B327="","",N(对接源_01库存!$F262))</f>
        <v/>
      </c>
      <c r="G327" s="65" t="str">
        <f aca="false">IF($B327="","",N(对接源_01库存!$G262))</f>
        <v/>
      </c>
      <c r="H327" s="130" t="str">
        <f aca="false">IF($B327="","",ROUND(N($F327)*N($I327),2))</f>
        <v/>
      </c>
      <c r="I327" s="136"/>
      <c r="J327" s="131" t="str">
        <f aca="false">IF($B327="","",对接源_01库存!$H262)</f>
        <v/>
      </c>
      <c r="K327" s="129"/>
      <c r="L327" s="132" t="str">
        <f aca="false">IF($B327="","",IF(N($I327)=0,"← 这一行还没填单价",""))</f>
        <v/>
      </c>
    </row>
    <row r="328" customFormat="false" ht="15" hidden="false" customHeight="true" outlineLevel="0" collapsed="false">
      <c r="A328" s="63" t="str">
        <f aca="false">IF($B328="","",ROW()-68)</f>
        <v/>
      </c>
      <c r="B328" s="62" t="str">
        <f aca="false">IF(对接源_01库存!$B263="","",对接源_01库存!$B263)</f>
        <v/>
      </c>
      <c r="C328" s="63" t="str">
        <f aca="false">IF($B328="","",对接源_01库存!$C263)</f>
        <v/>
      </c>
      <c r="D328" s="63" t="str">
        <f aca="false">IF($B328="","",对接源_01库存!$D263)</f>
        <v/>
      </c>
      <c r="E328" s="63" t="str">
        <f aca="false">IF($B328="","",对接源_01库存!$E263)</f>
        <v/>
      </c>
      <c r="F328" s="64" t="str">
        <f aca="false">IF($B328="","",N(对接源_01库存!$F263))</f>
        <v/>
      </c>
      <c r="G328" s="65" t="str">
        <f aca="false">IF($B328="","",N(对接源_01库存!$G263))</f>
        <v/>
      </c>
      <c r="H328" s="130" t="str">
        <f aca="false">IF($B328="","",ROUND(N($F328)*N($I328),2))</f>
        <v/>
      </c>
      <c r="I328" s="136"/>
      <c r="J328" s="131" t="str">
        <f aca="false">IF($B328="","",对接源_01库存!$H263)</f>
        <v/>
      </c>
      <c r="K328" s="129"/>
      <c r="L328" s="132" t="str">
        <f aca="false">IF($B328="","",IF(N($I328)=0,"← 这一行还没填单价",""))</f>
        <v/>
      </c>
    </row>
    <row r="329" customFormat="false" ht="15" hidden="false" customHeight="true" outlineLevel="0" collapsed="false">
      <c r="A329" s="63" t="str">
        <f aca="false">IF($B329="","",ROW()-68)</f>
        <v/>
      </c>
      <c r="B329" s="62" t="str">
        <f aca="false">IF(对接源_01库存!$B264="","",对接源_01库存!$B264)</f>
        <v/>
      </c>
      <c r="C329" s="63" t="str">
        <f aca="false">IF($B329="","",对接源_01库存!$C264)</f>
        <v/>
      </c>
      <c r="D329" s="63" t="str">
        <f aca="false">IF($B329="","",对接源_01库存!$D264)</f>
        <v/>
      </c>
      <c r="E329" s="63" t="str">
        <f aca="false">IF($B329="","",对接源_01库存!$E264)</f>
        <v/>
      </c>
      <c r="F329" s="64" t="str">
        <f aca="false">IF($B329="","",N(对接源_01库存!$F264))</f>
        <v/>
      </c>
      <c r="G329" s="65" t="str">
        <f aca="false">IF($B329="","",N(对接源_01库存!$G264))</f>
        <v/>
      </c>
      <c r="H329" s="130" t="str">
        <f aca="false">IF($B329="","",ROUND(N($F329)*N($I329),2))</f>
        <v/>
      </c>
      <c r="I329" s="136"/>
      <c r="J329" s="131" t="str">
        <f aca="false">IF($B329="","",对接源_01库存!$H264)</f>
        <v/>
      </c>
      <c r="K329" s="129"/>
      <c r="L329" s="132" t="str">
        <f aca="false">IF($B329="","",IF(N($I329)=0,"← 这一行还没填单价",""))</f>
        <v/>
      </c>
    </row>
    <row r="330" customFormat="false" ht="15" hidden="false" customHeight="true" outlineLevel="0" collapsed="false">
      <c r="A330" s="63" t="str">
        <f aca="false">IF($B330="","",ROW()-68)</f>
        <v/>
      </c>
      <c r="B330" s="62" t="str">
        <f aca="false">IF(对接源_01库存!$B265="","",对接源_01库存!$B265)</f>
        <v/>
      </c>
      <c r="C330" s="63" t="str">
        <f aca="false">IF($B330="","",对接源_01库存!$C265)</f>
        <v/>
      </c>
      <c r="D330" s="63" t="str">
        <f aca="false">IF($B330="","",对接源_01库存!$D265)</f>
        <v/>
      </c>
      <c r="E330" s="63" t="str">
        <f aca="false">IF($B330="","",对接源_01库存!$E265)</f>
        <v/>
      </c>
      <c r="F330" s="64" t="str">
        <f aca="false">IF($B330="","",N(对接源_01库存!$F265))</f>
        <v/>
      </c>
      <c r="G330" s="65" t="str">
        <f aca="false">IF($B330="","",N(对接源_01库存!$G265))</f>
        <v/>
      </c>
      <c r="H330" s="130" t="str">
        <f aca="false">IF($B330="","",ROUND(N($F330)*N($I330),2))</f>
        <v/>
      </c>
      <c r="I330" s="136"/>
      <c r="J330" s="131" t="str">
        <f aca="false">IF($B330="","",对接源_01库存!$H265)</f>
        <v/>
      </c>
      <c r="K330" s="129"/>
      <c r="L330" s="132" t="str">
        <f aca="false">IF($B330="","",IF(N($I330)=0,"← 这一行还没填单价",""))</f>
        <v/>
      </c>
    </row>
    <row r="331" customFormat="false" ht="15" hidden="false" customHeight="true" outlineLevel="0" collapsed="false">
      <c r="A331" s="63" t="str">
        <f aca="false">IF($B331="","",ROW()-68)</f>
        <v/>
      </c>
      <c r="B331" s="62" t="str">
        <f aca="false">IF(对接源_01库存!$B266="","",对接源_01库存!$B266)</f>
        <v/>
      </c>
      <c r="C331" s="63" t="str">
        <f aca="false">IF($B331="","",对接源_01库存!$C266)</f>
        <v/>
      </c>
      <c r="D331" s="63" t="str">
        <f aca="false">IF($B331="","",对接源_01库存!$D266)</f>
        <v/>
      </c>
      <c r="E331" s="63" t="str">
        <f aca="false">IF($B331="","",对接源_01库存!$E266)</f>
        <v/>
      </c>
      <c r="F331" s="64" t="str">
        <f aca="false">IF($B331="","",N(对接源_01库存!$F266))</f>
        <v/>
      </c>
      <c r="G331" s="65" t="str">
        <f aca="false">IF($B331="","",N(对接源_01库存!$G266))</f>
        <v/>
      </c>
      <c r="H331" s="130" t="str">
        <f aca="false">IF($B331="","",ROUND(N($F331)*N($I331),2))</f>
        <v/>
      </c>
      <c r="I331" s="136"/>
      <c r="J331" s="131" t="str">
        <f aca="false">IF($B331="","",对接源_01库存!$H266)</f>
        <v/>
      </c>
      <c r="K331" s="129"/>
      <c r="L331" s="132" t="str">
        <f aca="false">IF($B331="","",IF(N($I331)=0,"← 这一行还没填单价",""))</f>
        <v/>
      </c>
    </row>
    <row r="332" customFormat="false" ht="15" hidden="false" customHeight="true" outlineLevel="0" collapsed="false">
      <c r="A332" s="63" t="str">
        <f aca="false">IF($B332="","",ROW()-68)</f>
        <v/>
      </c>
      <c r="B332" s="62" t="str">
        <f aca="false">IF(对接源_01库存!$B267="","",对接源_01库存!$B267)</f>
        <v/>
      </c>
      <c r="C332" s="63" t="str">
        <f aca="false">IF($B332="","",对接源_01库存!$C267)</f>
        <v/>
      </c>
      <c r="D332" s="63" t="str">
        <f aca="false">IF($B332="","",对接源_01库存!$D267)</f>
        <v/>
      </c>
      <c r="E332" s="63" t="str">
        <f aca="false">IF($B332="","",对接源_01库存!$E267)</f>
        <v/>
      </c>
      <c r="F332" s="64" t="str">
        <f aca="false">IF($B332="","",N(对接源_01库存!$F267))</f>
        <v/>
      </c>
      <c r="G332" s="65" t="str">
        <f aca="false">IF($B332="","",N(对接源_01库存!$G267))</f>
        <v/>
      </c>
      <c r="H332" s="130" t="str">
        <f aca="false">IF($B332="","",ROUND(N($F332)*N($I332),2))</f>
        <v/>
      </c>
      <c r="I332" s="136"/>
      <c r="J332" s="131" t="str">
        <f aca="false">IF($B332="","",对接源_01库存!$H267)</f>
        <v/>
      </c>
      <c r="K332" s="129"/>
      <c r="L332" s="132" t="str">
        <f aca="false">IF($B332="","",IF(N($I332)=0,"← 这一行还没填单价",""))</f>
        <v/>
      </c>
    </row>
    <row r="333" customFormat="false" ht="15" hidden="false" customHeight="true" outlineLevel="0" collapsed="false">
      <c r="A333" s="63" t="str">
        <f aca="false">IF($B333="","",ROW()-68)</f>
        <v/>
      </c>
      <c r="B333" s="62" t="str">
        <f aca="false">IF(对接源_01库存!$B268="","",对接源_01库存!$B268)</f>
        <v/>
      </c>
      <c r="C333" s="63" t="str">
        <f aca="false">IF($B333="","",对接源_01库存!$C268)</f>
        <v/>
      </c>
      <c r="D333" s="63" t="str">
        <f aca="false">IF($B333="","",对接源_01库存!$D268)</f>
        <v/>
      </c>
      <c r="E333" s="63" t="str">
        <f aca="false">IF($B333="","",对接源_01库存!$E268)</f>
        <v/>
      </c>
      <c r="F333" s="64" t="str">
        <f aca="false">IF($B333="","",N(对接源_01库存!$F268))</f>
        <v/>
      </c>
      <c r="G333" s="65" t="str">
        <f aca="false">IF($B333="","",N(对接源_01库存!$G268))</f>
        <v/>
      </c>
      <c r="H333" s="130" t="str">
        <f aca="false">IF($B333="","",ROUND(N($F333)*N($I333),2))</f>
        <v/>
      </c>
      <c r="I333" s="136"/>
      <c r="J333" s="131" t="str">
        <f aca="false">IF($B333="","",对接源_01库存!$H268)</f>
        <v/>
      </c>
      <c r="K333" s="129"/>
      <c r="L333" s="132" t="str">
        <f aca="false">IF($B333="","",IF(N($I333)=0,"← 这一行还没填单价",""))</f>
        <v/>
      </c>
    </row>
    <row r="334" customFormat="false" ht="15" hidden="false" customHeight="true" outlineLevel="0" collapsed="false">
      <c r="A334" s="63" t="str">
        <f aca="false">IF($B334="","",ROW()-68)</f>
        <v/>
      </c>
      <c r="B334" s="62" t="str">
        <f aca="false">IF(对接源_01库存!$B269="","",对接源_01库存!$B269)</f>
        <v/>
      </c>
      <c r="C334" s="63" t="str">
        <f aca="false">IF($B334="","",对接源_01库存!$C269)</f>
        <v/>
      </c>
      <c r="D334" s="63" t="str">
        <f aca="false">IF($B334="","",对接源_01库存!$D269)</f>
        <v/>
      </c>
      <c r="E334" s="63" t="str">
        <f aca="false">IF($B334="","",对接源_01库存!$E269)</f>
        <v/>
      </c>
      <c r="F334" s="64" t="str">
        <f aca="false">IF($B334="","",N(对接源_01库存!$F269))</f>
        <v/>
      </c>
      <c r="G334" s="65" t="str">
        <f aca="false">IF($B334="","",N(对接源_01库存!$G269))</f>
        <v/>
      </c>
      <c r="H334" s="130" t="str">
        <f aca="false">IF($B334="","",ROUND(N($F334)*N($I334),2))</f>
        <v/>
      </c>
      <c r="I334" s="136"/>
      <c r="J334" s="131" t="str">
        <f aca="false">IF($B334="","",对接源_01库存!$H269)</f>
        <v/>
      </c>
      <c r="K334" s="129"/>
      <c r="L334" s="132" t="str">
        <f aca="false">IF($B334="","",IF(N($I334)=0,"← 这一行还没填单价",""))</f>
        <v/>
      </c>
    </row>
    <row r="335" customFormat="false" ht="15" hidden="false" customHeight="true" outlineLevel="0" collapsed="false">
      <c r="A335" s="63" t="str">
        <f aca="false">IF($B335="","",ROW()-68)</f>
        <v/>
      </c>
      <c r="B335" s="62" t="str">
        <f aca="false">IF(对接源_01库存!$B270="","",对接源_01库存!$B270)</f>
        <v/>
      </c>
      <c r="C335" s="63" t="str">
        <f aca="false">IF($B335="","",对接源_01库存!$C270)</f>
        <v/>
      </c>
      <c r="D335" s="63" t="str">
        <f aca="false">IF($B335="","",对接源_01库存!$D270)</f>
        <v/>
      </c>
      <c r="E335" s="63" t="str">
        <f aca="false">IF($B335="","",对接源_01库存!$E270)</f>
        <v/>
      </c>
      <c r="F335" s="64" t="str">
        <f aca="false">IF($B335="","",N(对接源_01库存!$F270))</f>
        <v/>
      </c>
      <c r="G335" s="65" t="str">
        <f aca="false">IF($B335="","",N(对接源_01库存!$G270))</f>
        <v/>
      </c>
      <c r="H335" s="130" t="str">
        <f aca="false">IF($B335="","",ROUND(N($F335)*N($I335),2))</f>
        <v/>
      </c>
      <c r="I335" s="136"/>
      <c r="J335" s="131" t="str">
        <f aca="false">IF($B335="","",对接源_01库存!$H270)</f>
        <v/>
      </c>
      <c r="K335" s="129"/>
      <c r="L335" s="132" t="str">
        <f aca="false">IF($B335="","",IF(N($I335)=0,"← 这一行还没填单价",""))</f>
        <v/>
      </c>
    </row>
    <row r="336" customFormat="false" ht="15" hidden="false" customHeight="true" outlineLevel="0" collapsed="false">
      <c r="A336" s="63" t="str">
        <f aca="false">IF($B336="","",ROW()-68)</f>
        <v/>
      </c>
      <c r="B336" s="62" t="str">
        <f aca="false">IF(对接源_01库存!$B271="","",对接源_01库存!$B271)</f>
        <v/>
      </c>
      <c r="C336" s="63" t="str">
        <f aca="false">IF($B336="","",对接源_01库存!$C271)</f>
        <v/>
      </c>
      <c r="D336" s="63" t="str">
        <f aca="false">IF($B336="","",对接源_01库存!$D271)</f>
        <v/>
      </c>
      <c r="E336" s="63" t="str">
        <f aca="false">IF($B336="","",对接源_01库存!$E271)</f>
        <v/>
      </c>
      <c r="F336" s="64" t="str">
        <f aca="false">IF($B336="","",N(对接源_01库存!$F271))</f>
        <v/>
      </c>
      <c r="G336" s="65" t="str">
        <f aca="false">IF($B336="","",N(对接源_01库存!$G271))</f>
        <v/>
      </c>
      <c r="H336" s="130" t="str">
        <f aca="false">IF($B336="","",ROUND(N($F336)*N($I336),2))</f>
        <v/>
      </c>
      <c r="I336" s="136"/>
      <c r="J336" s="131" t="str">
        <f aca="false">IF($B336="","",对接源_01库存!$H271)</f>
        <v/>
      </c>
      <c r="K336" s="129"/>
      <c r="L336" s="132" t="str">
        <f aca="false">IF($B336="","",IF(N($I336)=0,"← 这一行还没填单价",""))</f>
        <v/>
      </c>
    </row>
    <row r="337" customFormat="false" ht="15" hidden="false" customHeight="true" outlineLevel="0" collapsed="false">
      <c r="A337" s="63" t="str">
        <f aca="false">IF($B337="","",ROW()-68)</f>
        <v/>
      </c>
      <c r="B337" s="62" t="str">
        <f aca="false">IF(对接源_01库存!$B272="","",对接源_01库存!$B272)</f>
        <v/>
      </c>
      <c r="C337" s="63" t="str">
        <f aca="false">IF($B337="","",对接源_01库存!$C272)</f>
        <v/>
      </c>
      <c r="D337" s="63" t="str">
        <f aca="false">IF($B337="","",对接源_01库存!$D272)</f>
        <v/>
      </c>
      <c r="E337" s="63" t="str">
        <f aca="false">IF($B337="","",对接源_01库存!$E272)</f>
        <v/>
      </c>
      <c r="F337" s="64" t="str">
        <f aca="false">IF($B337="","",N(对接源_01库存!$F272))</f>
        <v/>
      </c>
      <c r="G337" s="65" t="str">
        <f aca="false">IF($B337="","",N(对接源_01库存!$G272))</f>
        <v/>
      </c>
      <c r="H337" s="130" t="str">
        <f aca="false">IF($B337="","",ROUND(N($F337)*N($I337),2))</f>
        <v/>
      </c>
      <c r="I337" s="136"/>
      <c r="J337" s="131" t="str">
        <f aca="false">IF($B337="","",对接源_01库存!$H272)</f>
        <v/>
      </c>
      <c r="K337" s="129"/>
      <c r="L337" s="132" t="str">
        <f aca="false">IF($B337="","",IF(N($I337)=0,"← 这一行还没填单价",""))</f>
        <v/>
      </c>
    </row>
    <row r="338" customFormat="false" ht="15" hidden="false" customHeight="true" outlineLevel="0" collapsed="false">
      <c r="A338" s="63" t="str">
        <f aca="false">IF($B338="","",ROW()-68)</f>
        <v/>
      </c>
      <c r="B338" s="62" t="str">
        <f aca="false">IF(对接源_01库存!$B273="","",对接源_01库存!$B273)</f>
        <v/>
      </c>
      <c r="C338" s="63" t="str">
        <f aca="false">IF($B338="","",对接源_01库存!$C273)</f>
        <v/>
      </c>
      <c r="D338" s="63" t="str">
        <f aca="false">IF($B338="","",对接源_01库存!$D273)</f>
        <v/>
      </c>
      <c r="E338" s="63" t="str">
        <f aca="false">IF($B338="","",对接源_01库存!$E273)</f>
        <v/>
      </c>
      <c r="F338" s="64" t="str">
        <f aca="false">IF($B338="","",N(对接源_01库存!$F273))</f>
        <v/>
      </c>
      <c r="G338" s="65" t="str">
        <f aca="false">IF($B338="","",N(对接源_01库存!$G273))</f>
        <v/>
      </c>
      <c r="H338" s="130" t="str">
        <f aca="false">IF($B338="","",ROUND(N($F338)*N($I338),2))</f>
        <v/>
      </c>
      <c r="I338" s="136"/>
      <c r="J338" s="131" t="str">
        <f aca="false">IF($B338="","",对接源_01库存!$H273)</f>
        <v/>
      </c>
      <c r="K338" s="129"/>
      <c r="L338" s="132" t="str">
        <f aca="false">IF($B338="","",IF(N($I338)=0,"← 这一行还没填单价",""))</f>
        <v/>
      </c>
    </row>
    <row r="339" customFormat="false" ht="15" hidden="false" customHeight="true" outlineLevel="0" collapsed="false">
      <c r="A339" s="63" t="str">
        <f aca="false">IF($B339="","",ROW()-68)</f>
        <v/>
      </c>
      <c r="B339" s="62" t="str">
        <f aca="false">IF(对接源_01库存!$B274="","",对接源_01库存!$B274)</f>
        <v/>
      </c>
      <c r="C339" s="63" t="str">
        <f aca="false">IF($B339="","",对接源_01库存!$C274)</f>
        <v/>
      </c>
      <c r="D339" s="63" t="str">
        <f aca="false">IF($B339="","",对接源_01库存!$D274)</f>
        <v/>
      </c>
      <c r="E339" s="63" t="str">
        <f aca="false">IF($B339="","",对接源_01库存!$E274)</f>
        <v/>
      </c>
      <c r="F339" s="64" t="str">
        <f aca="false">IF($B339="","",N(对接源_01库存!$F274))</f>
        <v/>
      </c>
      <c r="G339" s="65" t="str">
        <f aca="false">IF($B339="","",N(对接源_01库存!$G274))</f>
        <v/>
      </c>
      <c r="H339" s="130" t="str">
        <f aca="false">IF($B339="","",ROUND(N($F339)*N($I339),2))</f>
        <v/>
      </c>
      <c r="I339" s="136"/>
      <c r="J339" s="131" t="str">
        <f aca="false">IF($B339="","",对接源_01库存!$H274)</f>
        <v/>
      </c>
      <c r="K339" s="129"/>
      <c r="L339" s="132" t="str">
        <f aca="false">IF($B339="","",IF(N($I339)=0,"← 这一行还没填单价",""))</f>
        <v/>
      </c>
    </row>
    <row r="340" customFormat="false" ht="15" hidden="false" customHeight="true" outlineLevel="0" collapsed="false">
      <c r="A340" s="63" t="str">
        <f aca="false">IF($B340="","",ROW()-68)</f>
        <v/>
      </c>
      <c r="B340" s="62" t="str">
        <f aca="false">IF(对接源_01库存!$B275="","",对接源_01库存!$B275)</f>
        <v/>
      </c>
      <c r="C340" s="63" t="str">
        <f aca="false">IF($B340="","",对接源_01库存!$C275)</f>
        <v/>
      </c>
      <c r="D340" s="63" t="str">
        <f aca="false">IF($B340="","",对接源_01库存!$D275)</f>
        <v/>
      </c>
      <c r="E340" s="63" t="str">
        <f aca="false">IF($B340="","",对接源_01库存!$E275)</f>
        <v/>
      </c>
      <c r="F340" s="64" t="str">
        <f aca="false">IF($B340="","",N(对接源_01库存!$F275))</f>
        <v/>
      </c>
      <c r="G340" s="65" t="str">
        <f aca="false">IF($B340="","",N(对接源_01库存!$G275))</f>
        <v/>
      </c>
      <c r="H340" s="130" t="str">
        <f aca="false">IF($B340="","",ROUND(N($F340)*N($I340),2))</f>
        <v/>
      </c>
      <c r="I340" s="136"/>
      <c r="J340" s="131" t="str">
        <f aca="false">IF($B340="","",对接源_01库存!$H275)</f>
        <v/>
      </c>
      <c r="K340" s="129"/>
      <c r="L340" s="132" t="str">
        <f aca="false">IF($B340="","",IF(N($I340)=0,"← 这一行还没填单价",""))</f>
        <v/>
      </c>
    </row>
    <row r="341" customFormat="false" ht="15" hidden="false" customHeight="true" outlineLevel="0" collapsed="false">
      <c r="A341" s="63" t="str">
        <f aca="false">IF($B341="","",ROW()-68)</f>
        <v/>
      </c>
      <c r="B341" s="62" t="str">
        <f aca="false">IF(对接源_01库存!$B276="","",对接源_01库存!$B276)</f>
        <v/>
      </c>
      <c r="C341" s="63" t="str">
        <f aca="false">IF($B341="","",对接源_01库存!$C276)</f>
        <v/>
      </c>
      <c r="D341" s="63" t="str">
        <f aca="false">IF($B341="","",对接源_01库存!$D276)</f>
        <v/>
      </c>
      <c r="E341" s="63" t="str">
        <f aca="false">IF($B341="","",对接源_01库存!$E276)</f>
        <v/>
      </c>
      <c r="F341" s="64" t="str">
        <f aca="false">IF($B341="","",N(对接源_01库存!$F276))</f>
        <v/>
      </c>
      <c r="G341" s="65" t="str">
        <f aca="false">IF($B341="","",N(对接源_01库存!$G276))</f>
        <v/>
      </c>
      <c r="H341" s="130" t="str">
        <f aca="false">IF($B341="","",ROUND(N($F341)*N($I341),2))</f>
        <v/>
      </c>
      <c r="I341" s="136"/>
      <c r="J341" s="131" t="str">
        <f aca="false">IF($B341="","",对接源_01库存!$H276)</f>
        <v/>
      </c>
      <c r="K341" s="129"/>
      <c r="L341" s="132" t="str">
        <f aca="false">IF($B341="","",IF(N($I341)=0,"← 这一行还没填单价",""))</f>
        <v/>
      </c>
    </row>
    <row r="342" customFormat="false" ht="15" hidden="false" customHeight="true" outlineLevel="0" collapsed="false">
      <c r="A342" s="63" t="str">
        <f aca="false">IF($B342="","",ROW()-68)</f>
        <v/>
      </c>
      <c r="B342" s="62" t="str">
        <f aca="false">IF(对接源_01库存!$B277="","",对接源_01库存!$B277)</f>
        <v/>
      </c>
      <c r="C342" s="63" t="str">
        <f aca="false">IF($B342="","",对接源_01库存!$C277)</f>
        <v/>
      </c>
      <c r="D342" s="63" t="str">
        <f aca="false">IF($B342="","",对接源_01库存!$D277)</f>
        <v/>
      </c>
      <c r="E342" s="63" t="str">
        <f aca="false">IF($B342="","",对接源_01库存!$E277)</f>
        <v/>
      </c>
      <c r="F342" s="64" t="str">
        <f aca="false">IF($B342="","",N(对接源_01库存!$F277))</f>
        <v/>
      </c>
      <c r="G342" s="65" t="str">
        <f aca="false">IF($B342="","",N(对接源_01库存!$G277))</f>
        <v/>
      </c>
      <c r="H342" s="130" t="str">
        <f aca="false">IF($B342="","",ROUND(N($F342)*N($I342),2))</f>
        <v/>
      </c>
      <c r="I342" s="136"/>
      <c r="J342" s="131" t="str">
        <f aca="false">IF($B342="","",对接源_01库存!$H277)</f>
        <v/>
      </c>
      <c r="K342" s="129"/>
      <c r="L342" s="132" t="str">
        <f aca="false">IF($B342="","",IF(N($I342)=0,"← 这一行还没填单价",""))</f>
        <v/>
      </c>
    </row>
    <row r="343" customFormat="false" ht="15" hidden="false" customHeight="true" outlineLevel="0" collapsed="false">
      <c r="A343" s="63" t="str">
        <f aca="false">IF($B343="","",ROW()-68)</f>
        <v/>
      </c>
      <c r="B343" s="62" t="str">
        <f aca="false">IF(对接源_01库存!$B278="","",对接源_01库存!$B278)</f>
        <v/>
      </c>
      <c r="C343" s="63" t="str">
        <f aca="false">IF($B343="","",对接源_01库存!$C278)</f>
        <v/>
      </c>
      <c r="D343" s="63" t="str">
        <f aca="false">IF($B343="","",对接源_01库存!$D278)</f>
        <v/>
      </c>
      <c r="E343" s="63" t="str">
        <f aca="false">IF($B343="","",对接源_01库存!$E278)</f>
        <v/>
      </c>
      <c r="F343" s="64" t="str">
        <f aca="false">IF($B343="","",N(对接源_01库存!$F278))</f>
        <v/>
      </c>
      <c r="G343" s="65" t="str">
        <f aca="false">IF($B343="","",N(对接源_01库存!$G278))</f>
        <v/>
      </c>
      <c r="H343" s="130" t="str">
        <f aca="false">IF($B343="","",ROUND(N($F343)*N($I343),2))</f>
        <v/>
      </c>
      <c r="I343" s="136"/>
      <c r="J343" s="131" t="str">
        <f aca="false">IF($B343="","",对接源_01库存!$H278)</f>
        <v/>
      </c>
      <c r="K343" s="129"/>
      <c r="L343" s="132" t="str">
        <f aca="false">IF($B343="","",IF(N($I343)=0,"← 这一行还没填单价",""))</f>
        <v/>
      </c>
    </row>
    <row r="344" customFormat="false" ht="15" hidden="false" customHeight="true" outlineLevel="0" collapsed="false">
      <c r="A344" s="63" t="str">
        <f aca="false">IF($B344="","",ROW()-68)</f>
        <v/>
      </c>
      <c r="B344" s="62" t="str">
        <f aca="false">IF(对接源_01库存!$B279="","",对接源_01库存!$B279)</f>
        <v/>
      </c>
      <c r="C344" s="63" t="str">
        <f aca="false">IF($B344="","",对接源_01库存!$C279)</f>
        <v/>
      </c>
      <c r="D344" s="63" t="str">
        <f aca="false">IF($B344="","",对接源_01库存!$D279)</f>
        <v/>
      </c>
      <c r="E344" s="63" t="str">
        <f aca="false">IF($B344="","",对接源_01库存!$E279)</f>
        <v/>
      </c>
      <c r="F344" s="64" t="str">
        <f aca="false">IF($B344="","",N(对接源_01库存!$F279))</f>
        <v/>
      </c>
      <c r="G344" s="65" t="str">
        <f aca="false">IF($B344="","",N(对接源_01库存!$G279))</f>
        <v/>
      </c>
      <c r="H344" s="130" t="str">
        <f aca="false">IF($B344="","",ROUND(N($F344)*N($I344),2))</f>
        <v/>
      </c>
      <c r="I344" s="136"/>
      <c r="J344" s="131" t="str">
        <f aca="false">IF($B344="","",对接源_01库存!$H279)</f>
        <v/>
      </c>
      <c r="K344" s="129"/>
      <c r="L344" s="132" t="str">
        <f aca="false">IF($B344="","",IF(N($I344)=0,"← 这一行还没填单价",""))</f>
        <v/>
      </c>
    </row>
    <row r="345" customFormat="false" ht="15" hidden="false" customHeight="true" outlineLevel="0" collapsed="false">
      <c r="A345" s="63" t="str">
        <f aca="false">IF($B345="","",ROW()-68)</f>
        <v/>
      </c>
      <c r="B345" s="62" t="str">
        <f aca="false">IF(对接源_01库存!$B280="","",对接源_01库存!$B280)</f>
        <v/>
      </c>
      <c r="C345" s="63" t="str">
        <f aca="false">IF($B345="","",对接源_01库存!$C280)</f>
        <v/>
      </c>
      <c r="D345" s="63" t="str">
        <f aca="false">IF($B345="","",对接源_01库存!$D280)</f>
        <v/>
      </c>
      <c r="E345" s="63" t="str">
        <f aca="false">IF($B345="","",对接源_01库存!$E280)</f>
        <v/>
      </c>
      <c r="F345" s="64" t="str">
        <f aca="false">IF($B345="","",N(对接源_01库存!$F280))</f>
        <v/>
      </c>
      <c r="G345" s="65" t="str">
        <f aca="false">IF($B345="","",N(对接源_01库存!$G280))</f>
        <v/>
      </c>
      <c r="H345" s="130" t="str">
        <f aca="false">IF($B345="","",ROUND(N($F345)*N($I345),2))</f>
        <v/>
      </c>
      <c r="I345" s="136"/>
      <c r="J345" s="131" t="str">
        <f aca="false">IF($B345="","",对接源_01库存!$H280)</f>
        <v/>
      </c>
      <c r="K345" s="129"/>
      <c r="L345" s="132" t="str">
        <f aca="false">IF($B345="","",IF(N($I345)=0,"← 这一行还没填单价",""))</f>
        <v/>
      </c>
    </row>
    <row r="346" customFormat="false" ht="15" hidden="false" customHeight="true" outlineLevel="0" collapsed="false">
      <c r="A346" s="63" t="str">
        <f aca="false">IF($B346="","",ROW()-68)</f>
        <v/>
      </c>
      <c r="B346" s="62" t="str">
        <f aca="false">IF(对接源_01库存!$B281="","",对接源_01库存!$B281)</f>
        <v/>
      </c>
      <c r="C346" s="63" t="str">
        <f aca="false">IF($B346="","",对接源_01库存!$C281)</f>
        <v/>
      </c>
      <c r="D346" s="63" t="str">
        <f aca="false">IF($B346="","",对接源_01库存!$D281)</f>
        <v/>
      </c>
      <c r="E346" s="63" t="str">
        <f aca="false">IF($B346="","",对接源_01库存!$E281)</f>
        <v/>
      </c>
      <c r="F346" s="64" t="str">
        <f aca="false">IF($B346="","",N(对接源_01库存!$F281))</f>
        <v/>
      </c>
      <c r="G346" s="65" t="str">
        <f aca="false">IF($B346="","",N(对接源_01库存!$G281))</f>
        <v/>
      </c>
      <c r="H346" s="130" t="str">
        <f aca="false">IF($B346="","",ROUND(N($F346)*N($I346),2))</f>
        <v/>
      </c>
      <c r="I346" s="136"/>
      <c r="J346" s="131" t="str">
        <f aca="false">IF($B346="","",对接源_01库存!$H281)</f>
        <v/>
      </c>
      <c r="K346" s="129"/>
      <c r="L346" s="132" t="str">
        <f aca="false">IF($B346="","",IF(N($I346)=0,"← 这一行还没填单价",""))</f>
        <v/>
      </c>
    </row>
    <row r="347" customFormat="false" ht="15" hidden="false" customHeight="true" outlineLevel="0" collapsed="false">
      <c r="A347" s="63" t="str">
        <f aca="false">IF($B347="","",ROW()-68)</f>
        <v/>
      </c>
      <c r="B347" s="62" t="str">
        <f aca="false">IF(对接源_01库存!$B282="","",对接源_01库存!$B282)</f>
        <v/>
      </c>
      <c r="C347" s="63" t="str">
        <f aca="false">IF($B347="","",对接源_01库存!$C282)</f>
        <v/>
      </c>
      <c r="D347" s="63" t="str">
        <f aca="false">IF($B347="","",对接源_01库存!$D282)</f>
        <v/>
      </c>
      <c r="E347" s="63" t="str">
        <f aca="false">IF($B347="","",对接源_01库存!$E282)</f>
        <v/>
      </c>
      <c r="F347" s="64" t="str">
        <f aca="false">IF($B347="","",N(对接源_01库存!$F282))</f>
        <v/>
      </c>
      <c r="G347" s="65" t="str">
        <f aca="false">IF($B347="","",N(对接源_01库存!$G282))</f>
        <v/>
      </c>
      <c r="H347" s="130" t="str">
        <f aca="false">IF($B347="","",ROUND(N($F347)*N($I347),2))</f>
        <v/>
      </c>
      <c r="I347" s="136"/>
      <c r="J347" s="131" t="str">
        <f aca="false">IF($B347="","",对接源_01库存!$H282)</f>
        <v/>
      </c>
      <c r="K347" s="129"/>
      <c r="L347" s="132" t="str">
        <f aca="false">IF($B347="","",IF(N($I347)=0,"← 这一行还没填单价",""))</f>
        <v/>
      </c>
    </row>
    <row r="348" customFormat="false" ht="15" hidden="false" customHeight="true" outlineLevel="0" collapsed="false">
      <c r="A348" s="63" t="str">
        <f aca="false">IF($B348="","",ROW()-68)</f>
        <v/>
      </c>
      <c r="B348" s="62" t="str">
        <f aca="false">IF(对接源_01库存!$B283="","",对接源_01库存!$B283)</f>
        <v/>
      </c>
      <c r="C348" s="63" t="str">
        <f aca="false">IF($B348="","",对接源_01库存!$C283)</f>
        <v/>
      </c>
      <c r="D348" s="63" t="str">
        <f aca="false">IF($B348="","",对接源_01库存!$D283)</f>
        <v/>
      </c>
      <c r="E348" s="63" t="str">
        <f aca="false">IF($B348="","",对接源_01库存!$E283)</f>
        <v/>
      </c>
      <c r="F348" s="64" t="str">
        <f aca="false">IF($B348="","",N(对接源_01库存!$F283))</f>
        <v/>
      </c>
      <c r="G348" s="65" t="str">
        <f aca="false">IF($B348="","",N(对接源_01库存!$G283))</f>
        <v/>
      </c>
      <c r="H348" s="130" t="str">
        <f aca="false">IF($B348="","",ROUND(N($F348)*N($I348),2))</f>
        <v/>
      </c>
      <c r="I348" s="136"/>
      <c r="J348" s="131" t="str">
        <f aca="false">IF($B348="","",对接源_01库存!$H283)</f>
        <v/>
      </c>
      <c r="K348" s="129"/>
      <c r="L348" s="132" t="str">
        <f aca="false">IF($B348="","",IF(N($I348)=0,"← 这一行还没填单价",""))</f>
        <v/>
      </c>
    </row>
    <row r="349" customFormat="false" ht="15" hidden="false" customHeight="true" outlineLevel="0" collapsed="false">
      <c r="A349" s="63" t="str">
        <f aca="false">IF($B349="","",ROW()-68)</f>
        <v/>
      </c>
      <c r="B349" s="62" t="str">
        <f aca="false">IF(对接源_01库存!$B284="","",对接源_01库存!$B284)</f>
        <v/>
      </c>
      <c r="C349" s="63" t="str">
        <f aca="false">IF($B349="","",对接源_01库存!$C284)</f>
        <v/>
      </c>
      <c r="D349" s="63" t="str">
        <f aca="false">IF($B349="","",对接源_01库存!$D284)</f>
        <v/>
      </c>
      <c r="E349" s="63" t="str">
        <f aca="false">IF($B349="","",对接源_01库存!$E284)</f>
        <v/>
      </c>
      <c r="F349" s="64" t="str">
        <f aca="false">IF($B349="","",N(对接源_01库存!$F284))</f>
        <v/>
      </c>
      <c r="G349" s="65" t="str">
        <f aca="false">IF($B349="","",N(对接源_01库存!$G284))</f>
        <v/>
      </c>
      <c r="H349" s="130" t="str">
        <f aca="false">IF($B349="","",ROUND(N($F349)*N($I349),2))</f>
        <v/>
      </c>
      <c r="I349" s="136"/>
      <c r="J349" s="131" t="str">
        <f aca="false">IF($B349="","",对接源_01库存!$H284)</f>
        <v/>
      </c>
      <c r="K349" s="129"/>
      <c r="L349" s="132" t="str">
        <f aca="false">IF($B349="","",IF(N($I349)=0,"← 这一行还没填单价",""))</f>
        <v/>
      </c>
    </row>
    <row r="350" customFormat="false" ht="15" hidden="false" customHeight="true" outlineLevel="0" collapsed="false">
      <c r="A350" s="63" t="str">
        <f aca="false">IF($B350="","",ROW()-68)</f>
        <v/>
      </c>
      <c r="B350" s="62" t="str">
        <f aca="false">IF(对接源_01库存!$B285="","",对接源_01库存!$B285)</f>
        <v/>
      </c>
      <c r="C350" s="63" t="str">
        <f aca="false">IF($B350="","",对接源_01库存!$C285)</f>
        <v/>
      </c>
      <c r="D350" s="63" t="str">
        <f aca="false">IF($B350="","",对接源_01库存!$D285)</f>
        <v/>
      </c>
      <c r="E350" s="63" t="str">
        <f aca="false">IF($B350="","",对接源_01库存!$E285)</f>
        <v/>
      </c>
      <c r="F350" s="64" t="str">
        <f aca="false">IF($B350="","",N(对接源_01库存!$F285))</f>
        <v/>
      </c>
      <c r="G350" s="65" t="str">
        <f aca="false">IF($B350="","",N(对接源_01库存!$G285))</f>
        <v/>
      </c>
      <c r="H350" s="130" t="str">
        <f aca="false">IF($B350="","",ROUND(N($F350)*N($I350),2))</f>
        <v/>
      </c>
      <c r="I350" s="136"/>
      <c r="J350" s="131" t="str">
        <f aca="false">IF($B350="","",对接源_01库存!$H285)</f>
        <v/>
      </c>
      <c r="K350" s="129"/>
      <c r="L350" s="132" t="str">
        <f aca="false">IF($B350="","",IF(N($I350)=0,"← 这一行还没填单价",""))</f>
        <v/>
      </c>
    </row>
    <row r="351" customFormat="false" ht="15" hidden="false" customHeight="true" outlineLevel="0" collapsed="false">
      <c r="A351" s="63" t="str">
        <f aca="false">IF($B351="","",ROW()-68)</f>
        <v/>
      </c>
      <c r="B351" s="62" t="str">
        <f aca="false">IF(对接源_01库存!$B286="","",对接源_01库存!$B286)</f>
        <v/>
      </c>
      <c r="C351" s="63" t="str">
        <f aca="false">IF($B351="","",对接源_01库存!$C286)</f>
        <v/>
      </c>
      <c r="D351" s="63" t="str">
        <f aca="false">IF($B351="","",对接源_01库存!$D286)</f>
        <v/>
      </c>
      <c r="E351" s="63" t="str">
        <f aca="false">IF($B351="","",对接源_01库存!$E286)</f>
        <v/>
      </c>
      <c r="F351" s="64" t="str">
        <f aca="false">IF($B351="","",N(对接源_01库存!$F286))</f>
        <v/>
      </c>
      <c r="G351" s="65" t="str">
        <f aca="false">IF($B351="","",N(对接源_01库存!$G286))</f>
        <v/>
      </c>
      <c r="H351" s="130" t="str">
        <f aca="false">IF($B351="","",ROUND(N($F351)*N($I351),2))</f>
        <v/>
      </c>
      <c r="I351" s="136"/>
      <c r="J351" s="131" t="str">
        <f aca="false">IF($B351="","",对接源_01库存!$H286)</f>
        <v/>
      </c>
      <c r="K351" s="129"/>
      <c r="L351" s="132" t="str">
        <f aca="false">IF($B351="","",IF(N($I351)=0,"← 这一行还没填单价",""))</f>
        <v/>
      </c>
    </row>
    <row r="352" customFormat="false" ht="15" hidden="false" customHeight="true" outlineLevel="0" collapsed="false">
      <c r="A352" s="63" t="str">
        <f aca="false">IF($B352="","",ROW()-68)</f>
        <v/>
      </c>
      <c r="B352" s="62" t="str">
        <f aca="false">IF(对接源_01库存!$B287="","",对接源_01库存!$B287)</f>
        <v/>
      </c>
      <c r="C352" s="63" t="str">
        <f aca="false">IF($B352="","",对接源_01库存!$C287)</f>
        <v/>
      </c>
      <c r="D352" s="63" t="str">
        <f aca="false">IF($B352="","",对接源_01库存!$D287)</f>
        <v/>
      </c>
      <c r="E352" s="63" t="str">
        <f aca="false">IF($B352="","",对接源_01库存!$E287)</f>
        <v/>
      </c>
      <c r="F352" s="64" t="str">
        <f aca="false">IF($B352="","",N(对接源_01库存!$F287))</f>
        <v/>
      </c>
      <c r="G352" s="65" t="str">
        <f aca="false">IF($B352="","",N(对接源_01库存!$G287))</f>
        <v/>
      </c>
      <c r="H352" s="130" t="str">
        <f aca="false">IF($B352="","",ROUND(N($F352)*N($I352),2))</f>
        <v/>
      </c>
      <c r="I352" s="136"/>
      <c r="J352" s="131" t="str">
        <f aca="false">IF($B352="","",对接源_01库存!$H287)</f>
        <v/>
      </c>
      <c r="K352" s="129"/>
      <c r="L352" s="132" t="str">
        <f aca="false">IF($B352="","",IF(N($I352)=0,"← 这一行还没填单价",""))</f>
        <v/>
      </c>
    </row>
    <row r="353" customFormat="false" ht="15" hidden="false" customHeight="true" outlineLevel="0" collapsed="false">
      <c r="A353" s="63" t="str">
        <f aca="false">IF($B353="","",ROW()-68)</f>
        <v/>
      </c>
      <c r="B353" s="62" t="str">
        <f aca="false">IF(对接源_01库存!$B288="","",对接源_01库存!$B288)</f>
        <v/>
      </c>
      <c r="C353" s="63" t="str">
        <f aca="false">IF($B353="","",对接源_01库存!$C288)</f>
        <v/>
      </c>
      <c r="D353" s="63" t="str">
        <f aca="false">IF($B353="","",对接源_01库存!$D288)</f>
        <v/>
      </c>
      <c r="E353" s="63" t="str">
        <f aca="false">IF($B353="","",对接源_01库存!$E288)</f>
        <v/>
      </c>
      <c r="F353" s="64" t="str">
        <f aca="false">IF($B353="","",N(对接源_01库存!$F288))</f>
        <v/>
      </c>
      <c r="G353" s="65" t="str">
        <f aca="false">IF($B353="","",N(对接源_01库存!$G288))</f>
        <v/>
      </c>
      <c r="H353" s="130" t="str">
        <f aca="false">IF($B353="","",ROUND(N($F353)*N($I353),2))</f>
        <v/>
      </c>
      <c r="I353" s="136"/>
      <c r="J353" s="131" t="str">
        <f aca="false">IF($B353="","",对接源_01库存!$H288)</f>
        <v/>
      </c>
      <c r="K353" s="129"/>
      <c r="L353" s="132" t="str">
        <f aca="false">IF($B353="","",IF(N($I353)=0,"← 这一行还没填单价",""))</f>
        <v/>
      </c>
    </row>
    <row r="354" customFormat="false" ht="15" hidden="false" customHeight="true" outlineLevel="0" collapsed="false">
      <c r="A354" s="63" t="str">
        <f aca="false">IF($B354="","",ROW()-68)</f>
        <v/>
      </c>
      <c r="B354" s="62" t="str">
        <f aca="false">IF(对接源_01库存!$B289="","",对接源_01库存!$B289)</f>
        <v/>
      </c>
      <c r="C354" s="63" t="str">
        <f aca="false">IF($B354="","",对接源_01库存!$C289)</f>
        <v/>
      </c>
      <c r="D354" s="63" t="str">
        <f aca="false">IF($B354="","",对接源_01库存!$D289)</f>
        <v/>
      </c>
      <c r="E354" s="63" t="str">
        <f aca="false">IF($B354="","",对接源_01库存!$E289)</f>
        <v/>
      </c>
      <c r="F354" s="64" t="str">
        <f aca="false">IF($B354="","",N(对接源_01库存!$F289))</f>
        <v/>
      </c>
      <c r="G354" s="65" t="str">
        <f aca="false">IF($B354="","",N(对接源_01库存!$G289))</f>
        <v/>
      </c>
      <c r="H354" s="130" t="str">
        <f aca="false">IF($B354="","",ROUND(N($F354)*N($I354),2))</f>
        <v/>
      </c>
      <c r="I354" s="136"/>
      <c r="J354" s="131" t="str">
        <f aca="false">IF($B354="","",对接源_01库存!$H289)</f>
        <v/>
      </c>
      <c r="K354" s="129"/>
      <c r="L354" s="132" t="str">
        <f aca="false">IF($B354="","",IF(N($I354)=0,"← 这一行还没填单价",""))</f>
        <v/>
      </c>
    </row>
    <row r="355" customFormat="false" ht="15" hidden="false" customHeight="true" outlineLevel="0" collapsed="false">
      <c r="A355" s="63" t="str">
        <f aca="false">IF($B355="","",ROW()-68)</f>
        <v/>
      </c>
      <c r="B355" s="62" t="str">
        <f aca="false">IF(对接源_01库存!$B290="","",对接源_01库存!$B290)</f>
        <v/>
      </c>
      <c r="C355" s="63" t="str">
        <f aca="false">IF($B355="","",对接源_01库存!$C290)</f>
        <v/>
      </c>
      <c r="D355" s="63" t="str">
        <f aca="false">IF($B355="","",对接源_01库存!$D290)</f>
        <v/>
      </c>
      <c r="E355" s="63" t="str">
        <f aca="false">IF($B355="","",对接源_01库存!$E290)</f>
        <v/>
      </c>
      <c r="F355" s="64" t="str">
        <f aca="false">IF($B355="","",N(对接源_01库存!$F290))</f>
        <v/>
      </c>
      <c r="G355" s="65" t="str">
        <f aca="false">IF($B355="","",N(对接源_01库存!$G290))</f>
        <v/>
      </c>
      <c r="H355" s="130" t="str">
        <f aca="false">IF($B355="","",ROUND(N($F355)*N($I355),2))</f>
        <v/>
      </c>
      <c r="I355" s="136"/>
      <c r="J355" s="131" t="str">
        <f aca="false">IF($B355="","",对接源_01库存!$H290)</f>
        <v/>
      </c>
      <c r="K355" s="129"/>
      <c r="L355" s="132" t="str">
        <f aca="false">IF($B355="","",IF(N($I355)=0,"← 这一行还没填单价",""))</f>
        <v/>
      </c>
    </row>
    <row r="356" customFormat="false" ht="15" hidden="false" customHeight="true" outlineLevel="0" collapsed="false">
      <c r="A356" s="63" t="str">
        <f aca="false">IF($B356="","",ROW()-68)</f>
        <v/>
      </c>
      <c r="B356" s="62" t="str">
        <f aca="false">IF(对接源_01库存!$B291="","",对接源_01库存!$B291)</f>
        <v/>
      </c>
      <c r="C356" s="63" t="str">
        <f aca="false">IF($B356="","",对接源_01库存!$C291)</f>
        <v/>
      </c>
      <c r="D356" s="63" t="str">
        <f aca="false">IF($B356="","",对接源_01库存!$D291)</f>
        <v/>
      </c>
      <c r="E356" s="63" t="str">
        <f aca="false">IF($B356="","",对接源_01库存!$E291)</f>
        <v/>
      </c>
      <c r="F356" s="64" t="str">
        <f aca="false">IF($B356="","",N(对接源_01库存!$F291))</f>
        <v/>
      </c>
      <c r="G356" s="65" t="str">
        <f aca="false">IF($B356="","",N(对接源_01库存!$G291))</f>
        <v/>
      </c>
      <c r="H356" s="130" t="str">
        <f aca="false">IF($B356="","",ROUND(N($F356)*N($I356),2))</f>
        <v/>
      </c>
      <c r="I356" s="136"/>
      <c r="J356" s="131" t="str">
        <f aca="false">IF($B356="","",对接源_01库存!$H291)</f>
        <v/>
      </c>
      <c r="K356" s="129"/>
      <c r="L356" s="132" t="str">
        <f aca="false">IF($B356="","",IF(N($I356)=0,"← 这一行还没填单价",""))</f>
        <v/>
      </c>
    </row>
    <row r="357" customFormat="false" ht="15" hidden="false" customHeight="true" outlineLevel="0" collapsed="false">
      <c r="A357" s="63" t="str">
        <f aca="false">IF($B357="","",ROW()-68)</f>
        <v/>
      </c>
      <c r="B357" s="62" t="str">
        <f aca="false">IF(对接源_01库存!$B292="","",对接源_01库存!$B292)</f>
        <v/>
      </c>
      <c r="C357" s="63" t="str">
        <f aca="false">IF($B357="","",对接源_01库存!$C292)</f>
        <v/>
      </c>
      <c r="D357" s="63" t="str">
        <f aca="false">IF($B357="","",对接源_01库存!$D292)</f>
        <v/>
      </c>
      <c r="E357" s="63" t="str">
        <f aca="false">IF($B357="","",对接源_01库存!$E292)</f>
        <v/>
      </c>
      <c r="F357" s="64" t="str">
        <f aca="false">IF($B357="","",N(对接源_01库存!$F292))</f>
        <v/>
      </c>
      <c r="G357" s="65" t="str">
        <f aca="false">IF($B357="","",N(对接源_01库存!$G292))</f>
        <v/>
      </c>
      <c r="H357" s="130" t="str">
        <f aca="false">IF($B357="","",ROUND(N($F357)*N($I357),2))</f>
        <v/>
      </c>
      <c r="I357" s="136"/>
      <c r="J357" s="131" t="str">
        <f aca="false">IF($B357="","",对接源_01库存!$H292)</f>
        <v/>
      </c>
      <c r="K357" s="129"/>
      <c r="L357" s="132" t="str">
        <f aca="false">IF($B357="","",IF(N($I357)=0,"← 这一行还没填单价",""))</f>
        <v/>
      </c>
    </row>
    <row r="358" customFormat="false" ht="15" hidden="false" customHeight="true" outlineLevel="0" collapsed="false">
      <c r="A358" s="63" t="str">
        <f aca="false">IF($B358="","",ROW()-68)</f>
        <v/>
      </c>
      <c r="B358" s="62" t="str">
        <f aca="false">IF(对接源_01库存!$B293="","",对接源_01库存!$B293)</f>
        <v/>
      </c>
      <c r="C358" s="63" t="str">
        <f aca="false">IF($B358="","",对接源_01库存!$C293)</f>
        <v/>
      </c>
      <c r="D358" s="63" t="str">
        <f aca="false">IF($B358="","",对接源_01库存!$D293)</f>
        <v/>
      </c>
      <c r="E358" s="63" t="str">
        <f aca="false">IF($B358="","",对接源_01库存!$E293)</f>
        <v/>
      </c>
      <c r="F358" s="64" t="str">
        <f aca="false">IF($B358="","",N(对接源_01库存!$F293))</f>
        <v/>
      </c>
      <c r="G358" s="65" t="str">
        <f aca="false">IF($B358="","",N(对接源_01库存!$G293))</f>
        <v/>
      </c>
      <c r="H358" s="130" t="str">
        <f aca="false">IF($B358="","",ROUND(N($F358)*N($I358),2))</f>
        <v/>
      </c>
      <c r="I358" s="136"/>
      <c r="J358" s="131" t="str">
        <f aca="false">IF($B358="","",对接源_01库存!$H293)</f>
        <v/>
      </c>
      <c r="K358" s="129"/>
      <c r="L358" s="132" t="str">
        <f aca="false">IF($B358="","",IF(N($I358)=0,"← 这一行还没填单价",""))</f>
        <v/>
      </c>
    </row>
    <row r="359" customFormat="false" ht="15" hidden="false" customHeight="true" outlineLevel="0" collapsed="false">
      <c r="A359" s="63" t="str">
        <f aca="false">IF($B359="","",ROW()-68)</f>
        <v/>
      </c>
      <c r="B359" s="62" t="str">
        <f aca="false">IF(对接源_01库存!$B294="","",对接源_01库存!$B294)</f>
        <v/>
      </c>
      <c r="C359" s="63" t="str">
        <f aca="false">IF($B359="","",对接源_01库存!$C294)</f>
        <v/>
      </c>
      <c r="D359" s="63" t="str">
        <f aca="false">IF($B359="","",对接源_01库存!$D294)</f>
        <v/>
      </c>
      <c r="E359" s="63" t="str">
        <f aca="false">IF($B359="","",对接源_01库存!$E294)</f>
        <v/>
      </c>
      <c r="F359" s="64" t="str">
        <f aca="false">IF($B359="","",N(对接源_01库存!$F294))</f>
        <v/>
      </c>
      <c r="G359" s="65" t="str">
        <f aca="false">IF($B359="","",N(对接源_01库存!$G294))</f>
        <v/>
      </c>
      <c r="H359" s="130" t="str">
        <f aca="false">IF($B359="","",ROUND(N($F359)*N($I359),2))</f>
        <v/>
      </c>
      <c r="I359" s="136"/>
      <c r="J359" s="131" t="str">
        <f aca="false">IF($B359="","",对接源_01库存!$H294)</f>
        <v/>
      </c>
      <c r="K359" s="129"/>
      <c r="L359" s="132" t="str">
        <f aca="false">IF($B359="","",IF(N($I359)=0,"← 这一行还没填单价",""))</f>
        <v/>
      </c>
    </row>
    <row r="360" customFormat="false" ht="15" hidden="false" customHeight="true" outlineLevel="0" collapsed="false">
      <c r="A360" s="63" t="str">
        <f aca="false">IF($B360="","",ROW()-68)</f>
        <v/>
      </c>
      <c r="B360" s="62" t="str">
        <f aca="false">IF(对接源_01库存!$B295="","",对接源_01库存!$B295)</f>
        <v/>
      </c>
      <c r="C360" s="63" t="str">
        <f aca="false">IF($B360="","",对接源_01库存!$C295)</f>
        <v/>
      </c>
      <c r="D360" s="63" t="str">
        <f aca="false">IF($B360="","",对接源_01库存!$D295)</f>
        <v/>
      </c>
      <c r="E360" s="63" t="str">
        <f aca="false">IF($B360="","",对接源_01库存!$E295)</f>
        <v/>
      </c>
      <c r="F360" s="64" t="str">
        <f aca="false">IF($B360="","",N(对接源_01库存!$F295))</f>
        <v/>
      </c>
      <c r="G360" s="65" t="str">
        <f aca="false">IF($B360="","",N(对接源_01库存!$G295))</f>
        <v/>
      </c>
      <c r="H360" s="130" t="str">
        <f aca="false">IF($B360="","",ROUND(N($F360)*N($I360),2))</f>
        <v/>
      </c>
      <c r="I360" s="136"/>
      <c r="J360" s="131" t="str">
        <f aca="false">IF($B360="","",对接源_01库存!$H295)</f>
        <v/>
      </c>
      <c r="K360" s="129"/>
      <c r="L360" s="132" t="str">
        <f aca="false">IF($B360="","",IF(N($I360)=0,"← 这一行还没填单价",""))</f>
        <v/>
      </c>
    </row>
    <row r="361" customFormat="false" ht="15" hidden="false" customHeight="true" outlineLevel="0" collapsed="false">
      <c r="A361" s="63" t="str">
        <f aca="false">IF($B361="","",ROW()-68)</f>
        <v/>
      </c>
      <c r="B361" s="62" t="str">
        <f aca="false">IF(对接源_01库存!$B296="","",对接源_01库存!$B296)</f>
        <v/>
      </c>
      <c r="C361" s="63" t="str">
        <f aca="false">IF($B361="","",对接源_01库存!$C296)</f>
        <v/>
      </c>
      <c r="D361" s="63" t="str">
        <f aca="false">IF($B361="","",对接源_01库存!$D296)</f>
        <v/>
      </c>
      <c r="E361" s="63" t="str">
        <f aca="false">IF($B361="","",对接源_01库存!$E296)</f>
        <v/>
      </c>
      <c r="F361" s="64" t="str">
        <f aca="false">IF($B361="","",N(对接源_01库存!$F296))</f>
        <v/>
      </c>
      <c r="G361" s="65" t="str">
        <f aca="false">IF($B361="","",N(对接源_01库存!$G296))</f>
        <v/>
      </c>
      <c r="H361" s="130" t="str">
        <f aca="false">IF($B361="","",ROUND(N($F361)*N($I361),2))</f>
        <v/>
      </c>
      <c r="I361" s="136"/>
      <c r="J361" s="131" t="str">
        <f aca="false">IF($B361="","",对接源_01库存!$H296)</f>
        <v/>
      </c>
      <c r="K361" s="129"/>
      <c r="L361" s="132" t="str">
        <f aca="false">IF($B361="","",IF(N($I361)=0,"← 这一行还没填单价",""))</f>
        <v/>
      </c>
    </row>
    <row r="362" customFormat="false" ht="15" hidden="false" customHeight="true" outlineLevel="0" collapsed="false">
      <c r="A362" s="63" t="str">
        <f aca="false">IF($B362="","",ROW()-68)</f>
        <v/>
      </c>
      <c r="B362" s="62" t="str">
        <f aca="false">IF(对接源_01库存!$B297="","",对接源_01库存!$B297)</f>
        <v/>
      </c>
      <c r="C362" s="63" t="str">
        <f aca="false">IF($B362="","",对接源_01库存!$C297)</f>
        <v/>
      </c>
      <c r="D362" s="63" t="str">
        <f aca="false">IF($B362="","",对接源_01库存!$D297)</f>
        <v/>
      </c>
      <c r="E362" s="63" t="str">
        <f aca="false">IF($B362="","",对接源_01库存!$E297)</f>
        <v/>
      </c>
      <c r="F362" s="64" t="str">
        <f aca="false">IF($B362="","",N(对接源_01库存!$F297))</f>
        <v/>
      </c>
      <c r="G362" s="65" t="str">
        <f aca="false">IF($B362="","",N(对接源_01库存!$G297))</f>
        <v/>
      </c>
      <c r="H362" s="130" t="str">
        <f aca="false">IF($B362="","",ROUND(N($F362)*N($I362),2))</f>
        <v/>
      </c>
      <c r="I362" s="136"/>
      <c r="J362" s="131" t="str">
        <f aca="false">IF($B362="","",对接源_01库存!$H297)</f>
        <v/>
      </c>
      <c r="K362" s="129"/>
      <c r="L362" s="132" t="str">
        <f aca="false">IF($B362="","",IF(N($I362)=0,"← 这一行还没填单价",""))</f>
        <v/>
      </c>
    </row>
    <row r="363" customFormat="false" ht="15" hidden="false" customHeight="true" outlineLevel="0" collapsed="false">
      <c r="A363" s="63" t="str">
        <f aca="false">IF($B363="","",ROW()-68)</f>
        <v/>
      </c>
      <c r="B363" s="62" t="str">
        <f aca="false">IF(对接源_01库存!$B298="","",对接源_01库存!$B298)</f>
        <v/>
      </c>
      <c r="C363" s="63" t="str">
        <f aca="false">IF($B363="","",对接源_01库存!$C298)</f>
        <v/>
      </c>
      <c r="D363" s="63" t="str">
        <f aca="false">IF($B363="","",对接源_01库存!$D298)</f>
        <v/>
      </c>
      <c r="E363" s="63" t="str">
        <f aca="false">IF($B363="","",对接源_01库存!$E298)</f>
        <v/>
      </c>
      <c r="F363" s="64" t="str">
        <f aca="false">IF($B363="","",N(对接源_01库存!$F298))</f>
        <v/>
      </c>
      <c r="G363" s="65" t="str">
        <f aca="false">IF($B363="","",N(对接源_01库存!$G298))</f>
        <v/>
      </c>
      <c r="H363" s="130" t="str">
        <f aca="false">IF($B363="","",ROUND(N($F363)*N($I363),2))</f>
        <v/>
      </c>
      <c r="I363" s="136"/>
      <c r="J363" s="131" t="str">
        <f aca="false">IF($B363="","",对接源_01库存!$H298)</f>
        <v/>
      </c>
      <c r="K363" s="129"/>
      <c r="L363" s="132" t="str">
        <f aca="false">IF($B363="","",IF(N($I363)=0,"← 这一行还没填单价",""))</f>
        <v/>
      </c>
    </row>
    <row r="364" customFormat="false" ht="15" hidden="false" customHeight="true" outlineLevel="0" collapsed="false">
      <c r="A364" s="63" t="str">
        <f aca="false">IF($B364="","",ROW()-68)</f>
        <v/>
      </c>
      <c r="B364" s="62" t="str">
        <f aca="false">IF(对接源_01库存!$B299="","",对接源_01库存!$B299)</f>
        <v/>
      </c>
      <c r="C364" s="63" t="str">
        <f aca="false">IF($B364="","",对接源_01库存!$C299)</f>
        <v/>
      </c>
      <c r="D364" s="63" t="str">
        <f aca="false">IF($B364="","",对接源_01库存!$D299)</f>
        <v/>
      </c>
      <c r="E364" s="63" t="str">
        <f aca="false">IF($B364="","",对接源_01库存!$E299)</f>
        <v/>
      </c>
      <c r="F364" s="64" t="str">
        <f aca="false">IF($B364="","",N(对接源_01库存!$F299))</f>
        <v/>
      </c>
      <c r="G364" s="65" t="str">
        <f aca="false">IF($B364="","",N(对接源_01库存!$G299))</f>
        <v/>
      </c>
      <c r="H364" s="130" t="str">
        <f aca="false">IF($B364="","",ROUND(N($F364)*N($I364),2))</f>
        <v/>
      </c>
      <c r="I364" s="136"/>
      <c r="J364" s="131" t="str">
        <f aca="false">IF($B364="","",对接源_01库存!$H299)</f>
        <v/>
      </c>
      <c r="K364" s="129"/>
      <c r="L364" s="132" t="str">
        <f aca="false">IF($B364="","",IF(N($I364)=0,"← 这一行还没填单价",""))</f>
        <v/>
      </c>
    </row>
    <row r="365" customFormat="false" ht="15" hidden="false" customHeight="true" outlineLevel="0" collapsed="false">
      <c r="A365" s="63" t="str">
        <f aca="false">IF($B365="","",ROW()-68)</f>
        <v/>
      </c>
      <c r="B365" s="62" t="str">
        <f aca="false">IF(对接源_01库存!$B300="","",对接源_01库存!$B300)</f>
        <v/>
      </c>
      <c r="C365" s="63" t="str">
        <f aca="false">IF($B365="","",对接源_01库存!$C300)</f>
        <v/>
      </c>
      <c r="D365" s="63" t="str">
        <f aca="false">IF($B365="","",对接源_01库存!$D300)</f>
        <v/>
      </c>
      <c r="E365" s="63" t="str">
        <f aca="false">IF($B365="","",对接源_01库存!$E300)</f>
        <v/>
      </c>
      <c r="F365" s="64" t="str">
        <f aca="false">IF($B365="","",N(对接源_01库存!$F300))</f>
        <v/>
      </c>
      <c r="G365" s="65" t="str">
        <f aca="false">IF($B365="","",N(对接源_01库存!$G300))</f>
        <v/>
      </c>
      <c r="H365" s="130" t="str">
        <f aca="false">IF($B365="","",ROUND(N($F365)*N($I365),2))</f>
        <v/>
      </c>
      <c r="I365" s="136"/>
      <c r="J365" s="131" t="str">
        <f aca="false">IF($B365="","",对接源_01库存!$H300)</f>
        <v/>
      </c>
      <c r="K365" s="129"/>
      <c r="L365" s="132" t="str">
        <f aca="false">IF($B365="","",IF(N($I365)=0,"← 这一行还没填单价",""))</f>
        <v/>
      </c>
    </row>
    <row r="366" customFormat="false" ht="15" hidden="false" customHeight="true" outlineLevel="0" collapsed="false">
      <c r="A366" s="63" t="str">
        <f aca="false">IF($B366="","",ROW()-68)</f>
        <v/>
      </c>
      <c r="B366" s="62" t="str">
        <f aca="false">IF(对接源_01库存!$B301="","",对接源_01库存!$B301)</f>
        <v/>
      </c>
      <c r="C366" s="63" t="str">
        <f aca="false">IF($B366="","",对接源_01库存!$C301)</f>
        <v/>
      </c>
      <c r="D366" s="63" t="str">
        <f aca="false">IF($B366="","",对接源_01库存!$D301)</f>
        <v/>
      </c>
      <c r="E366" s="63" t="str">
        <f aca="false">IF($B366="","",对接源_01库存!$E301)</f>
        <v/>
      </c>
      <c r="F366" s="64" t="str">
        <f aca="false">IF($B366="","",N(对接源_01库存!$F301))</f>
        <v/>
      </c>
      <c r="G366" s="65" t="str">
        <f aca="false">IF($B366="","",N(对接源_01库存!$G301))</f>
        <v/>
      </c>
      <c r="H366" s="130" t="str">
        <f aca="false">IF($B366="","",ROUND(N($F366)*N($I366),2))</f>
        <v/>
      </c>
      <c r="I366" s="136"/>
      <c r="J366" s="131" t="str">
        <f aca="false">IF($B366="","",对接源_01库存!$H301)</f>
        <v/>
      </c>
      <c r="K366" s="129"/>
      <c r="L366" s="132" t="str">
        <f aca="false">IF($B366="","",IF(N($I366)=0,"← 这一行还没填单价",""))</f>
        <v/>
      </c>
    </row>
    <row r="367" customFormat="false" ht="15" hidden="false" customHeight="true" outlineLevel="0" collapsed="false">
      <c r="A367" s="63" t="str">
        <f aca="false">IF($B367="","",ROW()-68)</f>
        <v/>
      </c>
      <c r="B367" s="62" t="str">
        <f aca="false">IF(对接源_01库存!$B302="","",对接源_01库存!$B302)</f>
        <v/>
      </c>
      <c r="C367" s="63" t="str">
        <f aca="false">IF($B367="","",对接源_01库存!$C302)</f>
        <v/>
      </c>
      <c r="D367" s="63" t="str">
        <f aca="false">IF($B367="","",对接源_01库存!$D302)</f>
        <v/>
      </c>
      <c r="E367" s="63" t="str">
        <f aca="false">IF($B367="","",对接源_01库存!$E302)</f>
        <v/>
      </c>
      <c r="F367" s="64" t="str">
        <f aca="false">IF($B367="","",N(对接源_01库存!$F302))</f>
        <v/>
      </c>
      <c r="G367" s="65" t="str">
        <f aca="false">IF($B367="","",N(对接源_01库存!$G302))</f>
        <v/>
      </c>
      <c r="H367" s="130" t="str">
        <f aca="false">IF($B367="","",ROUND(N($F367)*N($I367),2))</f>
        <v/>
      </c>
      <c r="I367" s="136"/>
      <c r="J367" s="131" t="str">
        <f aca="false">IF($B367="","",对接源_01库存!$H302)</f>
        <v/>
      </c>
      <c r="K367" s="129"/>
      <c r="L367" s="132" t="str">
        <f aca="false">IF($B367="","",IF(N($I367)=0,"← 这一行还没填单价",""))</f>
        <v/>
      </c>
    </row>
    <row r="368" customFormat="false" ht="15" hidden="false" customHeight="true" outlineLevel="0" collapsed="false">
      <c r="A368" s="63" t="str">
        <f aca="false">IF($B368="","",ROW()-68)</f>
        <v/>
      </c>
      <c r="B368" s="62" t="str">
        <f aca="false">IF(对接源_01库存!$B303="","",对接源_01库存!$B303)</f>
        <v/>
      </c>
      <c r="C368" s="63" t="str">
        <f aca="false">IF($B368="","",对接源_01库存!$C303)</f>
        <v/>
      </c>
      <c r="D368" s="63" t="str">
        <f aca="false">IF($B368="","",对接源_01库存!$D303)</f>
        <v/>
      </c>
      <c r="E368" s="63" t="str">
        <f aca="false">IF($B368="","",对接源_01库存!$E303)</f>
        <v/>
      </c>
      <c r="F368" s="64" t="str">
        <f aca="false">IF($B368="","",N(对接源_01库存!$F303))</f>
        <v/>
      </c>
      <c r="G368" s="65" t="str">
        <f aca="false">IF($B368="","",N(对接源_01库存!$G303))</f>
        <v/>
      </c>
      <c r="H368" s="130" t="str">
        <f aca="false">IF($B368="","",ROUND(N($F368)*N($I368),2))</f>
        <v/>
      </c>
      <c r="I368" s="136"/>
      <c r="J368" s="131" t="str">
        <f aca="false">IF($B368="","",对接源_01库存!$H303)</f>
        <v/>
      </c>
      <c r="K368" s="129"/>
      <c r="L368" s="132" t="str">
        <f aca="false">IF($B368="","",IF(N($I368)=0,"← 这一行还没填单价",""))</f>
        <v/>
      </c>
    </row>
    <row r="369" customFormat="false" ht="15" hidden="false" customHeight="true" outlineLevel="0" collapsed="false">
      <c r="A369" s="63" t="str">
        <f aca="false">IF($B369="","",ROW()-68)</f>
        <v/>
      </c>
      <c r="B369" s="62" t="str">
        <f aca="false">IF(对接源_01库存!$B304="","",对接源_01库存!$B304)</f>
        <v/>
      </c>
      <c r="C369" s="63" t="str">
        <f aca="false">IF($B369="","",对接源_01库存!$C304)</f>
        <v/>
      </c>
      <c r="D369" s="63" t="str">
        <f aca="false">IF($B369="","",对接源_01库存!$D304)</f>
        <v/>
      </c>
      <c r="E369" s="63" t="str">
        <f aca="false">IF($B369="","",对接源_01库存!$E304)</f>
        <v/>
      </c>
      <c r="F369" s="64" t="str">
        <f aca="false">IF($B369="","",N(对接源_01库存!$F304))</f>
        <v/>
      </c>
      <c r="G369" s="65" t="str">
        <f aca="false">IF($B369="","",N(对接源_01库存!$G304))</f>
        <v/>
      </c>
      <c r="H369" s="130" t="str">
        <f aca="false">IF($B369="","",ROUND(N($F369)*N($I369),2))</f>
        <v/>
      </c>
      <c r="I369" s="136"/>
      <c r="J369" s="131" t="str">
        <f aca="false">IF($B369="","",对接源_01库存!$H304)</f>
        <v/>
      </c>
      <c r="K369" s="129"/>
      <c r="L369" s="132" t="str">
        <f aca="false">IF($B369="","",IF(N($I369)=0,"← 这一行还没填单价",""))</f>
        <v/>
      </c>
    </row>
    <row r="370" customFormat="false" ht="15" hidden="false" customHeight="true" outlineLevel="0" collapsed="false">
      <c r="A370" s="63" t="str">
        <f aca="false">IF($B370="","",ROW()-68)</f>
        <v/>
      </c>
      <c r="B370" s="62" t="str">
        <f aca="false">IF(对接源_01库存!$B305="","",对接源_01库存!$B305)</f>
        <v/>
      </c>
      <c r="C370" s="63" t="str">
        <f aca="false">IF($B370="","",对接源_01库存!$C305)</f>
        <v/>
      </c>
      <c r="D370" s="63" t="str">
        <f aca="false">IF($B370="","",对接源_01库存!$D305)</f>
        <v/>
      </c>
      <c r="E370" s="63" t="str">
        <f aca="false">IF($B370="","",对接源_01库存!$E305)</f>
        <v/>
      </c>
      <c r="F370" s="64" t="str">
        <f aca="false">IF($B370="","",N(对接源_01库存!$F305))</f>
        <v/>
      </c>
      <c r="G370" s="65" t="str">
        <f aca="false">IF($B370="","",N(对接源_01库存!$G305))</f>
        <v/>
      </c>
      <c r="H370" s="130" t="str">
        <f aca="false">IF($B370="","",ROUND(N($F370)*N($I370),2))</f>
        <v/>
      </c>
      <c r="I370" s="136"/>
      <c r="J370" s="131" t="str">
        <f aca="false">IF($B370="","",对接源_01库存!$H305)</f>
        <v/>
      </c>
      <c r="K370" s="129"/>
      <c r="L370" s="132" t="str">
        <f aca="false">IF($B370="","",IF(N($I370)=0,"← 这一行还没填单价",""))</f>
        <v/>
      </c>
    </row>
    <row r="371" customFormat="false" ht="15" hidden="false" customHeight="true" outlineLevel="0" collapsed="false">
      <c r="A371" s="63" t="str">
        <f aca="false">IF($B371="","",ROW()-68)</f>
        <v/>
      </c>
      <c r="B371" s="62" t="str">
        <f aca="false">IF(对接源_01库存!$B306="","",对接源_01库存!$B306)</f>
        <v/>
      </c>
      <c r="C371" s="63" t="str">
        <f aca="false">IF($B371="","",对接源_01库存!$C306)</f>
        <v/>
      </c>
      <c r="D371" s="63" t="str">
        <f aca="false">IF($B371="","",对接源_01库存!$D306)</f>
        <v/>
      </c>
      <c r="E371" s="63" t="str">
        <f aca="false">IF($B371="","",对接源_01库存!$E306)</f>
        <v/>
      </c>
      <c r="F371" s="64" t="str">
        <f aca="false">IF($B371="","",N(对接源_01库存!$F306))</f>
        <v/>
      </c>
      <c r="G371" s="65" t="str">
        <f aca="false">IF($B371="","",N(对接源_01库存!$G306))</f>
        <v/>
      </c>
      <c r="H371" s="130" t="str">
        <f aca="false">IF($B371="","",ROUND(N($F371)*N($I371),2))</f>
        <v/>
      </c>
      <c r="I371" s="136"/>
      <c r="J371" s="131" t="str">
        <f aca="false">IF($B371="","",对接源_01库存!$H306)</f>
        <v/>
      </c>
      <c r="K371" s="129"/>
      <c r="L371" s="132" t="str">
        <f aca="false">IF($B371="","",IF(N($I371)=0,"← 这一行还没填单价",""))</f>
        <v/>
      </c>
    </row>
    <row r="372" customFormat="false" ht="15" hidden="false" customHeight="true" outlineLevel="0" collapsed="false">
      <c r="A372" s="63" t="str">
        <f aca="false">IF($B372="","",ROW()-68)</f>
        <v/>
      </c>
      <c r="B372" s="62" t="str">
        <f aca="false">IF(对接源_01库存!$B307="","",对接源_01库存!$B307)</f>
        <v/>
      </c>
      <c r="C372" s="63" t="str">
        <f aca="false">IF($B372="","",对接源_01库存!$C307)</f>
        <v/>
      </c>
      <c r="D372" s="63" t="str">
        <f aca="false">IF($B372="","",对接源_01库存!$D307)</f>
        <v/>
      </c>
      <c r="E372" s="63" t="str">
        <f aca="false">IF($B372="","",对接源_01库存!$E307)</f>
        <v/>
      </c>
      <c r="F372" s="64" t="str">
        <f aca="false">IF($B372="","",N(对接源_01库存!$F307))</f>
        <v/>
      </c>
      <c r="G372" s="65" t="str">
        <f aca="false">IF($B372="","",N(对接源_01库存!$G307))</f>
        <v/>
      </c>
      <c r="H372" s="130" t="str">
        <f aca="false">IF($B372="","",ROUND(N($F372)*N($I372),2))</f>
        <v/>
      </c>
      <c r="I372" s="136"/>
      <c r="J372" s="131" t="str">
        <f aca="false">IF($B372="","",对接源_01库存!$H307)</f>
        <v/>
      </c>
      <c r="K372" s="129"/>
      <c r="L372" s="132" t="str">
        <f aca="false">IF($B372="","",IF(N($I372)=0,"← 这一行还没填单价",""))</f>
        <v/>
      </c>
    </row>
    <row r="373" customFormat="false" ht="15" hidden="false" customHeight="true" outlineLevel="0" collapsed="false">
      <c r="A373" s="63" t="str">
        <f aca="false">IF($B373="","",ROW()-68)</f>
        <v/>
      </c>
      <c r="B373" s="62" t="str">
        <f aca="false">IF(对接源_01库存!$B308="","",对接源_01库存!$B308)</f>
        <v/>
      </c>
      <c r="C373" s="63" t="str">
        <f aca="false">IF($B373="","",对接源_01库存!$C308)</f>
        <v/>
      </c>
      <c r="D373" s="63" t="str">
        <f aca="false">IF($B373="","",对接源_01库存!$D308)</f>
        <v/>
      </c>
      <c r="E373" s="63" t="str">
        <f aca="false">IF($B373="","",对接源_01库存!$E308)</f>
        <v/>
      </c>
      <c r="F373" s="64" t="str">
        <f aca="false">IF($B373="","",N(对接源_01库存!$F308))</f>
        <v/>
      </c>
      <c r="G373" s="65" t="str">
        <f aca="false">IF($B373="","",N(对接源_01库存!$G308))</f>
        <v/>
      </c>
      <c r="H373" s="130" t="str">
        <f aca="false">IF($B373="","",ROUND(N($F373)*N($I373),2))</f>
        <v/>
      </c>
      <c r="I373" s="136"/>
      <c r="J373" s="131" t="str">
        <f aca="false">IF($B373="","",对接源_01库存!$H308)</f>
        <v/>
      </c>
      <c r="K373" s="129"/>
      <c r="L373" s="132" t="str">
        <f aca="false">IF($B373="","",IF(N($I373)=0,"← 这一行还没填单价",""))</f>
        <v/>
      </c>
    </row>
    <row r="374" customFormat="false" ht="15" hidden="false" customHeight="true" outlineLevel="0" collapsed="false">
      <c r="A374" s="63" t="str">
        <f aca="false">IF($B374="","",ROW()-68)</f>
        <v/>
      </c>
      <c r="B374" s="62" t="str">
        <f aca="false">IF(对接源_01库存!$B309="","",对接源_01库存!$B309)</f>
        <v/>
      </c>
      <c r="C374" s="63" t="str">
        <f aca="false">IF($B374="","",对接源_01库存!$C309)</f>
        <v/>
      </c>
      <c r="D374" s="63" t="str">
        <f aca="false">IF($B374="","",对接源_01库存!$D309)</f>
        <v/>
      </c>
      <c r="E374" s="63" t="str">
        <f aca="false">IF($B374="","",对接源_01库存!$E309)</f>
        <v/>
      </c>
      <c r="F374" s="64" t="str">
        <f aca="false">IF($B374="","",N(对接源_01库存!$F309))</f>
        <v/>
      </c>
      <c r="G374" s="65" t="str">
        <f aca="false">IF($B374="","",N(对接源_01库存!$G309))</f>
        <v/>
      </c>
      <c r="H374" s="130" t="str">
        <f aca="false">IF($B374="","",ROUND(N($F374)*N($I374),2))</f>
        <v/>
      </c>
      <c r="I374" s="136"/>
      <c r="J374" s="131" t="str">
        <f aca="false">IF($B374="","",对接源_01库存!$H309)</f>
        <v/>
      </c>
      <c r="K374" s="129"/>
      <c r="L374" s="132" t="str">
        <f aca="false">IF($B374="","",IF(N($I374)=0,"← 这一行还没填单价",""))</f>
        <v/>
      </c>
    </row>
    <row r="375" customFormat="false" ht="15" hidden="false" customHeight="true" outlineLevel="0" collapsed="false">
      <c r="A375" s="63" t="str">
        <f aca="false">IF($B375="","",ROW()-68)</f>
        <v/>
      </c>
      <c r="B375" s="62" t="str">
        <f aca="false">IF(对接源_01库存!$B310="","",对接源_01库存!$B310)</f>
        <v/>
      </c>
      <c r="C375" s="63" t="str">
        <f aca="false">IF($B375="","",对接源_01库存!$C310)</f>
        <v/>
      </c>
      <c r="D375" s="63" t="str">
        <f aca="false">IF($B375="","",对接源_01库存!$D310)</f>
        <v/>
      </c>
      <c r="E375" s="63" t="str">
        <f aca="false">IF($B375="","",对接源_01库存!$E310)</f>
        <v/>
      </c>
      <c r="F375" s="64" t="str">
        <f aca="false">IF($B375="","",N(对接源_01库存!$F310))</f>
        <v/>
      </c>
      <c r="G375" s="65" t="str">
        <f aca="false">IF($B375="","",N(对接源_01库存!$G310))</f>
        <v/>
      </c>
      <c r="H375" s="130" t="str">
        <f aca="false">IF($B375="","",ROUND(N($F375)*N($I375),2))</f>
        <v/>
      </c>
      <c r="I375" s="136"/>
      <c r="J375" s="131" t="str">
        <f aca="false">IF($B375="","",对接源_01库存!$H310)</f>
        <v/>
      </c>
      <c r="K375" s="129"/>
      <c r="L375" s="132" t="str">
        <f aca="false">IF($B375="","",IF(N($I375)=0,"← 这一行还没填单价",""))</f>
        <v/>
      </c>
    </row>
    <row r="376" customFormat="false" ht="15" hidden="false" customHeight="true" outlineLevel="0" collapsed="false">
      <c r="A376" s="63" t="str">
        <f aca="false">IF($B376="","",ROW()-68)</f>
        <v/>
      </c>
      <c r="B376" s="62" t="str">
        <f aca="false">IF(对接源_01库存!$B311="","",对接源_01库存!$B311)</f>
        <v/>
      </c>
      <c r="C376" s="63" t="str">
        <f aca="false">IF($B376="","",对接源_01库存!$C311)</f>
        <v/>
      </c>
      <c r="D376" s="63" t="str">
        <f aca="false">IF($B376="","",对接源_01库存!$D311)</f>
        <v/>
      </c>
      <c r="E376" s="63" t="str">
        <f aca="false">IF($B376="","",对接源_01库存!$E311)</f>
        <v/>
      </c>
      <c r="F376" s="64" t="str">
        <f aca="false">IF($B376="","",N(对接源_01库存!$F311))</f>
        <v/>
      </c>
      <c r="G376" s="65" t="str">
        <f aca="false">IF($B376="","",N(对接源_01库存!$G311))</f>
        <v/>
      </c>
      <c r="H376" s="130" t="str">
        <f aca="false">IF($B376="","",ROUND(N($F376)*N($I376),2))</f>
        <v/>
      </c>
      <c r="I376" s="136"/>
      <c r="J376" s="131" t="str">
        <f aca="false">IF($B376="","",对接源_01库存!$H311)</f>
        <v/>
      </c>
      <c r="K376" s="129"/>
      <c r="L376" s="132" t="str">
        <f aca="false">IF($B376="","",IF(N($I376)=0,"← 这一行还没填单价",""))</f>
        <v/>
      </c>
    </row>
    <row r="377" customFormat="false" ht="15" hidden="false" customHeight="true" outlineLevel="0" collapsed="false">
      <c r="A377" s="63" t="str">
        <f aca="false">IF($B377="","",ROW()-68)</f>
        <v/>
      </c>
      <c r="B377" s="62" t="str">
        <f aca="false">IF(对接源_01库存!$B312="","",对接源_01库存!$B312)</f>
        <v/>
      </c>
      <c r="C377" s="63" t="str">
        <f aca="false">IF($B377="","",对接源_01库存!$C312)</f>
        <v/>
      </c>
      <c r="D377" s="63" t="str">
        <f aca="false">IF($B377="","",对接源_01库存!$D312)</f>
        <v/>
      </c>
      <c r="E377" s="63" t="str">
        <f aca="false">IF($B377="","",对接源_01库存!$E312)</f>
        <v/>
      </c>
      <c r="F377" s="64" t="str">
        <f aca="false">IF($B377="","",N(对接源_01库存!$F312))</f>
        <v/>
      </c>
      <c r="G377" s="65" t="str">
        <f aca="false">IF($B377="","",N(对接源_01库存!$G312))</f>
        <v/>
      </c>
      <c r="H377" s="130" t="str">
        <f aca="false">IF($B377="","",ROUND(N($F377)*N($I377),2))</f>
        <v/>
      </c>
      <c r="I377" s="136"/>
      <c r="J377" s="131" t="str">
        <f aca="false">IF($B377="","",对接源_01库存!$H312)</f>
        <v/>
      </c>
      <c r="K377" s="129"/>
      <c r="L377" s="132" t="str">
        <f aca="false">IF($B377="","",IF(N($I377)=0,"← 这一行还没填单价",""))</f>
        <v/>
      </c>
    </row>
    <row r="378" customFormat="false" ht="15" hidden="false" customHeight="true" outlineLevel="0" collapsed="false">
      <c r="A378" s="63" t="str">
        <f aca="false">IF($B378="","",ROW()-68)</f>
        <v/>
      </c>
      <c r="B378" s="62" t="str">
        <f aca="false">IF(对接源_01库存!$B313="","",对接源_01库存!$B313)</f>
        <v/>
      </c>
      <c r="C378" s="63" t="str">
        <f aca="false">IF($B378="","",对接源_01库存!$C313)</f>
        <v/>
      </c>
      <c r="D378" s="63" t="str">
        <f aca="false">IF($B378="","",对接源_01库存!$D313)</f>
        <v/>
      </c>
      <c r="E378" s="63" t="str">
        <f aca="false">IF($B378="","",对接源_01库存!$E313)</f>
        <v/>
      </c>
      <c r="F378" s="64" t="str">
        <f aca="false">IF($B378="","",N(对接源_01库存!$F313))</f>
        <v/>
      </c>
      <c r="G378" s="65" t="str">
        <f aca="false">IF($B378="","",N(对接源_01库存!$G313))</f>
        <v/>
      </c>
      <c r="H378" s="130" t="str">
        <f aca="false">IF($B378="","",ROUND(N($F378)*N($I378),2))</f>
        <v/>
      </c>
      <c r="I378" s="136"/>
      <c r="J378" s="131" t="str">
        <f aca="false">IF($B378="","",对接源_01库存!$H313)</f>
        <v/>
      </c>
      <c r="K378" s="129"/>
      <c r="L378" s="132" t="str">
        <f aca="false">IF($B378="","",IF(N($I378)=0,"← 这一行还没填单价",""))</f>
        <v/>
      </c>
    </row>
    <row r="379" customFormat="false" ht="15" hidden="false" customHeight="true" outlineLevel="0" collapsed="false">
      <c r="A379" s="63" t="str">
        <f aca="false">IF($B379="","",ROW()-68)</f>
        <v/>
      </c>
      <c r="B379" s="62" t="str">
        <f aca="false">IF(对接源_01库存!$B314="","",对接源_01库存!$B314)</f>
        <v/>
      </c>
      <c r="C379" s="63" t="str">
        <f aca="false">IF($B379="","",对接源_01库存!$C314)</f>
        <v/>
      </c>
      <c r="D379" s="63" t="str">
        <f aca="false">IF($B379="","",对接源_01库存!$D314)</f>
        <v/>
      </c>
      <c r="E379" s="63" t="str">
        <f aca="false">IF($B379="","",对接源_01库存!$E314)</f>
        <v/>
      </c>
      <c r="F379" s="64" t="str">
        <f aca="false">IF($B379="","",N(对接源_01库存!$F314))</f>
        <v/>
      </c>
      <c r="G379" s="65" t="str">
        <f aca="false">IF($B379="","",N(对接源_01库存!$G314))</f>
        <v/>
      </c>
      <c r="H379" s="130" t="str">
        <f aca="false">IF($B379="","",ROUND(N($F379)*N($I379),2))</f>
        <v/>
      </c>
      <c r="I379" s="136"/>
      <c r="J379" s="131" t="str">
        <f aca="false">IF($B379="","",对接源_01库存!$H314)</f>
        <v/>
      </c>
      <c r="K379" s="129"/>
      <c r="L379" s="132" t="str">
        <f aca="false">IF($B379="","",IF(N($I379)=0,"← 这一行还没填单价",""))</f>
        <v/>
      </c>
    </row>
    <row r="380" customFormat="false" ht="15" hidden="false" customHeight="true" outlineLevel="0" collapsed="false">
      <c r="A380" s="63" t="str">
        <f aca="false">IF($B380="","",ROW()-68)</f>
        <v/>
      </c>
      <c r="B380" s="62" t="str">
        <f aca="false">IF(对接源_01库存!$B315="","",对接源_01库存!$B315)</f>
        <v/>
      </c>
      <c r="C380" s="63" t="str">
        <f aca="false">IF($B380="","",对接源_01库存!$C315)</f>
        <v/>
      </c>
      <c r="D380" s="63" t="str">
        <f aca="false">IF($B380="","",对接源_01库存!$D315)</f>
        <v/>
      </c>
      <c r="E380" s="63" t="str">
        <f aca="false">IF($B380="","",对接源_01库存!$E315)</f>
        <v/>
      </c>
      <c r="F380" s="64" t="str">
        <f aca="false">IF($B380="","",N(对接源_01库存!$F315))</f>
        <v/>
      </c>
      <c r="G380" s="65" t="str">
        <f aca="false">IF($B380="","",N(对接源_01库存!$G315))</f>
        <v/>
      </c>
      <c r="H380" s="130" t="str">
        <f aca="false">IF($B380="","",ROUND(N($F380)*N($I380),2))</f>
        <v/>
      </c>
      <c r="I380" s="136"/>
      <c r="J380" s="131" t="str">
        <f aca="false">IF($B380="","",对接源_01库存!$H315)</f>
        <v/>
      </c>
      <c r="K380" s="129"/>
      <c r="L380" s="132" t="str">
        <f aca="false">IF($B380="","",IF(N($I380)=0,"← 这一行还没填单价",""))</f>
        <v/>
      </c>
    </row>
    <row r="381" customFormat="false" ht="15" hidden="false" customHeight="true" outlineLevel="0" collapsed="false">
      <c r="A381" s="63" t="str">
        <f aca="false">IF($B381="","",ROW()-68)</f>
        <v/>
      </c>
      <c r="B381" s="62" t="str">
        <f aca="false">IF(对接源_01库存!$B316="","",对接源_01库存!$B316)</f>
        <v/>
      </c>
      <c r="C381" s="63" t="str">
        <f aca="false">IF($B381="","",对接源_01库存!$C316)</f>
        <v/>
      </c>
      <c r="D381" s="63" t="str">
        <f aca="false">IF($B381="","",对接源_01库存!$D316)</f>
        <v/>
      </c>
      <c r="E381" s="63" t="str">
        <f aca="false">IF($B381="","",对接源_01库存!$E316)</f>
        <v/>
      </c>
      <c r="F381" s="64" t="str">
        <f aca="false">IF($B381="","",N(对接源_01库存!$F316))</f>
        <v/>
      </c>
      <c r="G381" s="65" t="str">
        <f aca="false">IF($B381="","",N(对接源_01库存!$G316))</f>
        <v/>
      </c>
      <c r="H381" s="130" t="str">
        <f aca="false">IF($B381="","",ROUND(N($F381)*N($I381),2))</f>
        <v/>
      </c>
      <c r="I381" s="136"/>
      <c r="J381" s="131" t="str">
        <f aca="false">IF($B381="","",对接源_01库存!$H316)</f>
        <v/>
      </c>
      <c r="K381" s="129"/>
      <c r="L381" s="132" t="str">
        <f aca="false">IF($B381="","",IF(N($I381)=0,"← 这一行还没填单价",""))</f>
        <v/>
      </c>
    </row>
    <row r="382" customFormat="false" ht="15" hidden="false" customHeight="true" outlineLevel="0" collapsed="false">
      <c r="A382" s="63" t="str">
        <f aca="false">IF($B382="","",ROW()-68)</f>
        <v/>
      </c>
      <c r="B382" s="62" t="str">
        <f aca="false">IF(对接源_01库存!$B317="","",对接源_01库存!$B317)</f>
        <v/>
      </c>
      <c r="C382" s="63" t="str">
        <f aca="false">IF($B382="","",对接源_01库存!$C317)</f>
        <v/>
      </c>
      <c r="D382" s="63" t="str">
        <f aca="false">IF($B382="","",对接源_01库存!$D317)</f>
        <v/>
      </c>
      <c r="E382" s="63" t="str">
        <f aca="false">IF($B382="","",对接源_01库存!$E317)</f>
        <v/>
      </c>
      <c r="F382" s="64" t="str">
        <f aca="false">IF($B382="","",N(对接源_01库存!$F317))</f>
        <v/>
      </c>
      <c r="G382" s="65" t="str">
        <f aca="false">IF($B382="","",N(对接源_01库存!$G317))</f>
        <v/>
      </c>
      <c r="H382" s="130" t="str">
        <f aca="false">IF($B382="","",ROUND(N($F382)*N($I382),2))</f>
        <v/>
      </c>
      <c r="I382" s="136"/>
      <c r="J382" s="131" t="str">
        <f aca="false">IF($B382="","",对接源_01库存!$H317)</f>
        <v/>
      </c>
      <c r="K382" s="129"/>
      <c r="L382" s="132" t="str">
        <f aca="false">IF($B382="","",IF(N($I382)=0,"← 这一行还没填单价",""))</f>
        <v/>
      </c>
    </row>
    <row r="383" customFormat="false" ht="15" hidden="false" customHeight="true" outlineLevel="0" collapsed="false">
      <c r="A383" s="63" t="str">
        <f aca="false">IF($B383="","",ROW()-68)</f>
        <v/>
      </c>
      <c r="B383" s="62" t="str">
        <f aca="false">IF(对接源_01库存!$B318="","",对接源_01库存!$B318)</f>
        <v/>
      </c>
      <c r="C383" s="63" t="str">
        <f aca="false">IF($B383="","",对接源_01库存!$C318)</f>
        <v/>
      </c>
      <c r="D383" s="63" t="str">
        <f aca="false">IF($B383="","",对接源_01库存!$D318)</f>
        <v/>
      </c>
      <c r="E383" s="63" t="str">
        <f aca="false">IF($B383="","",对接源_01库存!$E318)</f>
        <v/>
      </c>
      <c r="F383" s="64" t="str">
        <f aca="false">IF($B383="","",N(对接源_01库存!$F318))</f>
        <v/>
      </c>
      <c r="G383" s="65" t="str">
        <f aca="false">IF($B383="","",N(对接源_01库存!$G318))</f>
        <v/>
      </c>
      <c r="H383" s="130" t="str">
        <f aca="false">IF($B383="","",ROUND(N($F383)*N($I383),2))</f>
        <v/>
      </c>
      <c r="I383" s="136"/>
      <c r="J383" s="131" t="str">
        <f aca="false">IF($B383="","",对接源_01库存!$H318)</f>
        <v/>
      </c>
      <c r="K383" s="129"/>
      <c r="L383" s="132" t="str">
        <f aca="false">IF($B383="","",IF(N($I383)=0,"← 这一行还没填单价",""))</f>
        <v/>
      </c>
    </row>
    <row r="384" customFormat="false" ht="15" hidden="false" customHeight="true" outlineLevel="0" collapsed="false">
      <c r="A384" s="63" t="str">
        <f aca="false">IF($B384="","",ROW()-68)</f>
        <v/>
      </c>
      <c r="B384" s="62" t="str">
        <f aca="false">IF(对接源_01库存!$B319="","",对接源_01库存!$B319)</f>
        <v/>
      </c>
      <c r="C384" s="63" t="str">
        <f aca="false">IF($B384="","",对接源_01库存!$C319)</f>
        <v/>
      </c>
      <c r="D384" s="63" t="str">
        <f aca="false">IF($B384="","",对接源_01库存!$D319)</f>
        <v/>
      </c>
      <c r="E384" s="63" t="str">
        <f aca="false">IF($B384="","",对接源_01库存!$E319)</f>
        <v/>
      </c>
      <c r="F384" s="64" t="str">
        <f aca="false">IF($B384="","",N(对接源_01库存!$F319))</f>
        <v/>
      </c>
      <c r="G384" s="65" t="str">
        <f aca="false">IF($B384="","",N(对接源_01库存!$G319))</f>
        <v/>
      </c>
      <c r="H384" s="130" t="str">
        <f aca="false">IF($B384="","",ROUND(N($F384)*N($I384),2))</f>
        <v/>
      </c>
      <c r="I384" s="136"/>
      <c r="J384" s="131" t="str">
        <f aca="false">IF($B384="","",对接源_01库存!$H319)</f>
        <v/>
      </c>
      <c r="K384" s="129"/>
      <c r="L384" s="132" t="str">
        <f aca="false">IF($B384="","",IF(N($I384)=0,"← 这一行还没填单价",""))</f>
        <v/>
      </c>
    </row>
    <row r="385" customFormat="false" ht="15" hidden="false" customHeight="true" outlineLevel="0" collapsed="false">
      <c r="A385" s="63" t="str">
        <f aca="false">IF($B385="","",ROW()-68)</f>
        <v/>
      </c>
      <c r="B385" s="62" t="str">
        <f aca="false">IF(对接源_01库存!$B320="","",对接源_01库存!$B320)</f>
        <v/>
      </c>
      <c r="C385" s="63" t="str">
        <f aca="false">IF($B385="","",对接源_01库存!$C320)</f>
        <v/>
      </c>
      <c r="D385" s="63" t="str">
        <f aca="false">IF($B385="","",对接源_01库存!$D320)</f>
        <v/>
      </c>
      <c r="E385" s="63" t="str">
        <f aca="false">IF($B385="","",对接源_01库存!$E320)</f>
        <v/>
      </c>
      <c r="F385" s="64" t="str">
        <f aca="false">IF($B385="","",N(对接源_01库存!$F320))</f>
        <v/>
      </c>
      <c r="G385" s="65" t="str">
        <f aca="false">IF($B385="","",N(对接源_01库存!$G320))</f>
        <v/>
      </c>
      <c r="H385" s="130" t="str">
        <f aca="false">IF($B385="","",ROUND(N($F385)*N($I385),2))</f>
        <v/>
      </c>
      <c r="I385" s="136"/>
      <c r="J385" s="131" t="str">
        <f aca="false">IF($B385="","",对接源_01库存!$H320)</f>
        <v/>
      </c>
      <c r="K385" s="129"/>
      <c r="L385" s="132" t="str">
        <f aca="false">IF($B385="","",IF(N($I385)=0,"← 这一行还没填单价",""))</f>
        <v/>
      </c>
    </row>
    <row r="386" customFormat="false" ht="15" hidden="false" customHeight="true" outlineLevel="0" collapsed="false">
      <c r="A386" s="63" t="str">
        <f aca="false">IF($B386="","",ROW()-68)</f>
        <v/>
      </c>
      <c r="B386" s="62" t="str">
        <f aca="false">IF(对接源_01库存!$B321="","",对接源_01库存!$B321)</f>
        <v/>
      </c>
      <c r="C386" s="63" t="str">
        <f aca="false">IF($B386="","",对接源_01库存!$C321)</f>
        <v/>
      </c>
      <c r="D386" s="63" t="str">
        <f aca="false">IF($B386="","",对接源_01库存!$D321)</f>
        <v/>
      </c>
      <c r="E386" s="63" t="str">
        <f aca="false">IF($B386="","",对接源_01库存!$E321)</f>
        <v/>
      </c>
      <c r="F386" s="64" t="str">
        <f aca="false">IF($B386="","",N(对接源_01库存!$F321))</f>
        <v/>
      </c>
      <c r="G386" s="65" t="str">
        <f aca="false">IF($B386="","",N(对接源_01库存!$G321))</f>
        <v/>
      </c>
      <c r="H386" s="130" t="str">
        <f aca="false">IF($B386="","",ROUND(N($F386)*N($I386),2))</f>
        <v/>
      </c>
      <c r="I386" s="136"/>
      <c r="J386" s="131" t="str">
        <f aca="false">IF($B386="","",对接源_01库存!$H321)</f>
        <v/>
      </c>
      <c r="K386" s="129"/>
      <c r="L386" s="132" t="str">
        <f aca="false">IF($B386="","",IF(N($I386)=0,"← 这一行还没填单价",""))</f>
        <v/>
      </c>
    </row>
    <row r="387" customFormat="false" ht="15" hidden="false" customHeight="true" outlineLevel="0" collapsed="false">
      <c r="A387" s="63" t="str">
        <f aca="false">IF($B387="","",ROW()-68)</f>
        <v/>
      </c>
      <c r="B387" s="62" t="str">
        <f aca="false">IF(对接源_01库存!$B322="","",对接源_01库存!$B322)</f>
        <v/>
      </c>
      <c r="C387" s="63" t="str">
        <f aca="false">IF($B387="","",对接源_01库存!$C322)</f>
        <v/>
      </c>
      <c r="D387" s="63" t="str">
        <f aca="false">IF($B387="","",对接源_01库存!$D322)</f>
        <v/>
      </c>
      <c r="E387" s="63" t="str">
        <f aca="false">IF($B387="","",对接源_01库存!$E322)</f>
        <v/>
      </c>
      <c r="F387" s="64" t="str">
        <f aca="false">IF($B387="","",N(对接源_01库存!$F322))</f>
        <v/>
      </c>
      <c r="G387" s="65" t="str">
        <f aca="false">IF($B387="","",N(对接源_01库存!$G322))</f>
        <v/>
      </c>
      <c r="H387" s="130" t="str">
        <f aca="false">IF($B387="","",ROUND(N($F387)*N($I387),2))</f>
        <v/>
      </c>
      <c r="I387" s="136"/>
      <c r="J387" s="131" t="str">
        <f aca="false">IF($B387="","",对接源_01库存!$H322)</f>
        <v/>
      </c>
      <c r="K387" s="129"/>
      <c r="L387" s="132" t="str">
        <f aca="false">IF($B387="","",IF(N($I387)=0,"← 这一行还没填单价",""))</f>
        <v/>
      </c>
    </row>
    <row r="388" customFormat="false" ht="15" hidden="false" customHeight="true" outlineLevel="0" collapsed="false">
      <c r="A388" s="63" t="str">
        <f aca="false">IF($B388="","",ROW()-68)</f>
        <v/>
      </c>
      <c r="B388" s="62" t="str">
        <f aca="false">IF(对接源_01库存!$B323="","",对接源_01库存!$B323)</f>
        <v/>
      </c>
      <c r="C388" s="63" t="str">
        <f aca="false">IF($B388="","",对接源_01库存!$C323)</f>
        <v/>
      </c>
      <c r="D388" s="63" t="str">
        <f aca="false">IF($B388="","",对接源_01库存!$D323)</f>
        <v/>
      </c>
      <c r="E388" s="63" t="str">
        <f aca="false">IF($B388="","",对接源_01库存!$E323)</f>
        <v/>
      </c>
      <c r="F388" s="64" t="str">
        <f aca="false">IF($B388="","",N(对接源_01库存!$F323))</f>
        <v/>
      </c>
      <c r="G388" s="65" t="str">
        <f aca="false">IF($B388="","",N(对接源_01库存!$G323))</f>
        <v/>
      </c>
      <c r="H388" s="130" t="str">
        <f aca="false">IF($B388="","",ROUND(N($F388)*N($I388),2))</f>
        <v/>
      </c>
      <c r="I388" s="136"/>
      <c r="J388" s="131" t="str">
        <f aca="false">IF($B388="","",对接源_01库存!$H323)</f>
        <v/>
      </c>
      <c r="K388" s="129"/>
      <c r="L388" s="132" t="str">
        <f aca="false">IF($B388="","",IF(N($I388)=0,"← 这一行还没填单价",""))</f>
        <v/>
      </c>
    </row>
    <row r="389" customFormat="false" ht="15" hidden="false" customHeight="true" outlineLevel="0" collapsed="false">
      <c r="A389" s="63" t="str">
        <f aca="false">IF($B389="","",ROW()-68)</f>
        <v/>
      </c>
      <c r="B389" s="62" t="str">
        <f aca="false">IF(对接源_01库存!$B324="","",对接源_01库存!$B324)</f>
        <v/>
      </c>
      <c r="C389" s="63" t="str">
        <f aca="false">IF($B389="","",对接源_01库存!$C324)</f>
        <v/>
      </c>
      <c r="D389" s="63" t="str">
        <f aca="false">IF($B389="","",对接源_01库存!$D324)</f>
        <v/>
      </c>
      <c r="E389" s="63" t="str">
        <f aca="false">IF($B389="","",对接源_01库存!$E324)</f>
        <v/>
      </c>
      <c r="F389" s="64" t="str">
        <f aca="false">IF($B389="","",N(对接源_01库存!$F324))</f>
        <v/>
      </c>
      <c r="G389" s="65" t="str">
        <f aca="false">IF($B389="","",N(对接源_01库存!$G324))</f>
        <v/>
      </c>
      <c r="H389" s="130" t="str">
        <f aca="false">IF($B389="","",ROUND(N($F389)*N($I389),2))</f>
        <v/>
      </c>
      <c r="I389" s="136"/>
      <c r="J389" s="131" t="str">
        <f aca="false">IF($B389="","",对接源_01库存!$H324)</f>
        <v/>
      </c>
      <c r="K389" s="129"/>
      <c r="L389" s="132" t="str">
        <f aca="false">IF($B389="","",IF(N($I389)=0,"← 这一行还没填单价",""))</f>
        <v/>
      </c>
    </row>
    <row r="390" customFormat="false" ht="15" hidden="false" customHeight="true" outlineLevel="0" collapsed="false">
      <c r="A390" s="63" t="str">
        <f aca="false">IF($B390="","",ROW()-68)</f>
        <v/>
      </c>
      <c r="B390" s="62" t="str">
        <f aca="false">IF(对接源_01库存!$B325="","",对接源_01库存!$B325)</f>
        <v/>
      </c>
      <c r="C390" s="63" t="str">
        <f aca="false">IF($B390="","",对接源_01库存!$C325)</f>
        <v/>
      </c>
      <c r="D390" s="63" t="str">
        <f aca="false">IF($B390="","",对接源_01库存!$D325)</f>
        <v/>
      </c>
      <c r="E390" s="63" t="str">
        <f aca="false">IF($B390="","",对接源_01库存!$E325)</f>
        <v/>
      </c>
      <c r="F390" s="64" t="str">
        <f aca="false">IF($B390="","",N(对接源_01库存!$F325))</f>
        <v/>
      </c>
      <c r="G390" s="65" t="str">
        <f aca="false">IF($B390="","",N(对接源_01库存!$G325))</f>
        <v/>
      </c>
      <c r="H390" s="130" t="str">
        <f aca="false">IF($B390="","",ROUND(N($F390)*N($I390),2))</f>
        <v/>
      </c>
      <c r="I390" s="136"/>
      <c r="J390" s="131" t="str">
        <f aca="false">IF($B390="","",对接源_01库存!$H325)</f>
        <v/>
      </c>
      <c r="K390" s="129"/>
      <c r="L390" s="132" t="str">
        <f aca="false">IF($B390="","",IF(N($I390)=0,"← 这一行还没填单价",""))</f>
        <v/>
      </c>
    </row>
    <row r="391" customFormat="false" ht="15" hidden="false" customHeight="true" outlineLevel="0" collapsed="false">
      <c r="A391" s="63" t="str">
        <f aca="false">IF($B391="","",ROW()-68)</f>
        <v/>
      </c>
      <c r="B391" s="62" t="str">
        <f aca="false">IF(对接源_01库存!$B326="","",对接源_01库存!$B326)</f>
        <v/>
      </c>
      <c r="C391" s="63" t="str">
        <f aca="false">IF($B391="","",对接源_01库存!$C326)</f>
        <v/>
      </c>
      <c r="D391" s="63" t="str">
        <f aca="false">IF($B391="","",对接源_01库存!$D326)</f>
        <v/>
      </c>
      <c r="E391" s="63" t="str">
        <f aca="false">IF($B391="","",对接源_01库存!$E326)</f>
        <v/>
      </c>
      <c r="F391" s="64" t="str">
        <f aca="false">IF($B391="","",N(对接源_01库存!$F326))</f>
        <v/>
      </c>
      <c r="G391" s="65" t="str">
        <f aca="false">IF($B391="","",N(对接源_01库存!$G326))</f>
        <v/>
      </c>
      <c r="H391" s="130" t="str">
        <f aca="false">IF($B391="","",ROUND(N($F391)*N($I391),2))</f>
        <v/>
      </c>
      <c r="I391" s="136"/>
      <c r="J391" s="131" t="str">
        <f aca="false">IF($B391="","",对接源_01库存!$H326)</f>
        <v/>
      </c>
      <c r="K391" s="129"/>
      <c r="L391" s="132" t="str">
        <f aca="false">IF($B391="","",IF(N($I391)=0,"← 这一行还没填单价",""))</f>
        <v/>
      </c>
    </row>
    <row r="392" customFormat="false" ht="15" hidden="false" customHeight="true" outlineLevel="0" collapsed="false">
      <c r="A392" s="63" t="str">
        <f aca="false">IF($B392="","",ROW()-68)</f>
        <v/>
      </c>
      <c r="B392" s="62" t="str">
        <f aca="false">IF(对接源_01库存!$B327="","",对接源_01库存!$B327)</f>
        <v/>
      </c>
      <c r="C392" s="63" t="str">
        <f aca="false">IF($B392="","",对接源_01库存!$C327)</f>
        <v/>
      </c>
      <c r="D392" s="63" t="str">
        <f aca="false">IF($B392="","",对接源_01库存!$D327)</f>
        <v/>
      </c>
      <c r="E392" s="63" t="str">
        <f aca="false">IF($B392="","",对接源_01库存!$E327)</f>
        <v/>
      </c>
      <c r="F392" s="64" t="str">
        <f aca="false">IF($B392="","",N(对接源_01库存!$F327))</f>
        <v/>
      </c>
      <c r="G392" s="65" t="str">
        <f aca="false">IF($B392="","",N(对接源_01库存!$G327))</f>
        <v/>
      </c>
      <c r="H392" s="130" t="str">
        <f aca="false">IF($B392="","",ROUND(N($F392)*N($I392),2))</f>
        <v/>
      </c>
      <c r="I392" s="136"/>
      <c r="J392" s="131" t="str">
        <f aca="false">IF($B392="","",对接源_01库存!$H327)</f>
        <v/>
      </c>
      <c r="K392" s="129"/>
      <c r="L392" s="132" t="str">
        <f aca="false">IF($B392="","",IF(N($I392)=0,"← 这一行还没填单价",""))</f>
        <v/>
      </c>
    </row>
    <row r="393" customFormat="false" ht="15" hidden="false" customHeight="true" outlineLevel="0" collapsed="false">
      <c r="A393" s="63" t="str">
        <f aca="false">IF($B393="","",ROW()-68)</f>
        <v/>
      </c>
      <c r="B393" s="62" t="str">
        <f aca="false">IF(对接源_01库存!$B328="","",对接源_01库存!$B328)</f>
        <v/>
      </c>
      <c r="C393" s="63" t="str">
        <f aca="false">IF($B393="","",对接源_01库存!$C328)</f>
        <v/>
      </c>
      <c r="D393" s="63" t="str">
        <f aca="false">IF($B393="","",对接源_01库存!$D328)</f>
        <v/>
      </c>
      <c r="E393" s="63" t="str">
        <f aca="false">IF($B393="","",对接源_01库存!$E328)</f>
        <v/>
      </c>
      <c r="F393" s="64" t="str">
        <f aca="false">IF($B393="","",N(对接源_01库存!$F328))</f>
        <v/>
      </c>
      <c r="G393" s="65" t="str">
        <f aca="false">IF($B393="","",N(对接源_01库存!$G328))</f>
        <v/>
      </c>
      <c r="H393" s="130" t="str">
        <f aca="false">IF($B393="","",ROUND(N($F393)*N($I393),2))</f>
        <v/>
      </c>
      <c r="I393" s="136"/>
      <c r="J393" s="131" t="str">
        <f aca="false">IF($B393="","",对接源_01库存!$H328)</f>
        <v/>
      </c>
      <c r="K393" s="129"/>
      <c r="L393" s="132" t="str">
        <f aca="false">IF($B393="","",IF(N($I393)=0,"← 这一行还没填单价",""))</f>
        <v/>
      </c>
    </row>
    <row r="394" customFormat="false" ht="15" hidden="false" customHeight="true" outlineLevel="0" collapsed="false">
      <c r="A394" s="63" t="str">
        <f aca="false">IF($B394="","",ROW()-68)</f>
        <v/>
      </c>
      <c r="B394" s="62" t="str">
        <f aca="false">IF(对接源_01库存!$B329="","",对接源_01库存!$B329)</f>
        <v/>
      </c>
      <c r="C394" s="63" t="str">
        <f aca="false">IF($B394="","",对接源_01库存!$C329)</f>
        <v/>
      </c>
      <c r="D394" s="63" t="str">
        <f aca="false">IF($B394="","",对接源_01库存!$D329)</f>
        <v/>
      </c>
      <c r="E394" s="63" t="str">
        <f aca="false">IF($B394="","",对接源_01库存!$E329)</f>
        <v/>
      </c>
      <c r="F394" s="64" t="str">
        <f aca="false">IF($B394="","",N(对接源_01库存!$F329))</f>
        <v/>
      </c>
      <c r="G394" s="65" t="str">
        <f aca="false">IF($B394="","",N(对接源_01库存!$G329))</f>
        <v/>
      </c>
      <c r="H394" s="130" t="str">
        <f aca="false">IF($B394="","",ROUND(N($F394)*N($I394),2))</f>
        <v/>
      </c>
      <c r="I394" s="136"/>
      <c r="J394" s="131" t="str">
        <f aca="false">IF($B394="","",对接源_01库存!$H329)</f>
        <v/>
      </c>
      <c r="K394" s="129"/>
      <c r="L394" s="132" t="str">
        <f aca="false">IF($B394="","",IF(N($I394)=0,"← 这一行还没填单价",""))</f>
        <v/>
      </c>
    </row>
    <row r="395" customFormat="false" ht="15" hidden="false" customHeight="true" outlineLevel="0" collapsed="false">
      <c r="A395" s="63" t="str">
        <f aca="false">IF($B395="","",ROW()-68)</f>
        <v/>
      </c>
      <c r="B395" s="62" t="str">
        <f aca="false">IF(对接源_01库存!$B330="","",对接源_01库存!$B330)</f>
        <v/>
      </c>
      <c r="C395" s="63" t="str">
        <f aca="false">IF($B395="","",对接源_01库存!$C330)</f>
        <v/>
      </c>
      <c r="D395" s="63" t="str">
        <f aca="false">IF($B395="","",对接源_01库存!$D330)</f>
        <v/>
      </c>
      <c r="E395" s="63" t="str">
        <f aca="false">IF($B395="","",对接源_01库存!$E330)</f>
        <v/>
      </c>
      <c r="F395" s="64" t="str">
        <f aca="false">IF($B395="","",N(对接源_01库存!$F330))</f>
        <v/>
      </c>
      <c r="G395" s="65" t="str">
        <f aca="false">IF($B395="","",N(对接源_01库存!$G330))</f>
        <v/>
      </c>
      <c r="H395" s="130" t="str">
        <f aca="false">IF($B395="","",ROUND(N($F395)*N($I395),2))</f>
        <v/>
      </c>
      <c r="I395" s="136"/>
      <c r="J395" s="131" t="str">
        <f aca="false">IF($B395="","",对接源_01库存!$H330)</f>
        <v/>
      </c>
      <c r="K395" s="129"/>
      <c r="L395" s="132" t="str">
        <f aca="false">IF($B395="","",IF(N($I395)=0,"← 这一行还没填单价",""))</f>
        <v/>
      </c>
    </row>
    <row r="396" customFormat="false" ht="15" hidden="false" customHeight="true" outlineLevel="0" collapsed="false">
      <c r="A396" s="63" t="str">
        <f aca="false">IF($B396="","",ROW()-68)</f>
        <v/>
      </c>
      <c r="B396" s="62" t="str">
        <f aca="false">IF(对接源_01库存!$B331="","",对接源_01库存!$B331)</f>
        <v/>
      </c>
      <c r="C396" s="63" t="str">
        <f aca="false">IF($B396="","",对接源_01库存!$C331)</f>
        <v/>
      </c>
      <c r="D396" s="63" t="str">
        <f aca="false">IF($B396="","",对接源_01库存!$D331)</f>
        <v/>
      </c>
      <c r="E396" s="63" t="str">
        <f aca="false">IF($B396="","",对接源_01库存!$E331)</f>
        <v/>
      </c>
      <c r="F396" s="64" t="str">
        <f aca="false">IF($B396="","",N(对接源_01库存!$F331))</f>
        <v/>
      </c>
      <c r="G396" s="65" t="str">
        <f aca="false">IF($B396="","",N(对接源_01库存!$G331))</f>
        <v/>
      </c>
      <c r="H396" s="130" t="str">
        <f aca="false">IF($B396="","",ROUND(N($F396)*N($I396),2))</f>
        <v/>
      </c>
      <c r="I396" s="136"/>
      <c r="J396" s="131" t="str">
        <f aca="false">IF($B396="","",对接源_01库存!$H331)</f>
        <v/>
      </c>
      <c r="K396" s="129"/>
      <c r="L396" s="132" t="str">
        <f aca="false">IF($B396="","",IF(N($I396)=0,"← 这一行还没填单价",""))</f>
        <v/>
      </c>
    </row>
    <row r="397" customFormat="false" ht="15" hidden="false" customHeight="true" outlineLevel="0" collapsed="false">
      <c r="A397" s="63" t="str">
        <f aca="false">IF($B397="","",ROW()-68)</f>
        <v/>
      </c>
      <c r="B397" s="62" t="str">
        <f aca="false">IF(对接源_01库存!$B332="","",对接源_01库存!$B332)</f>
        <v/>
      </c>
      <c r="C397" s="63" t="str">
        <f aca="false">IF($B397="","",对接源_01库存!$C332)</f>
        <v/>
      </c>
      <c r="D397" s="63" t="str">
        <f aca="false">IF($B397="","",对接源_01库存!$D332)</f>
        <v/>
      </c>
      <c r="E397" s="63" t="str">
        <f aca="false">IF($B397="","",对接源_01库存!$E332)</f>
        <v/>
      </c>
      <c r="F397" s="64" t="str">
        <f aca="false">IF($B397="","",N(对接源_01库存!$F332))</f>
        <v/>
      </c>
      <c r="G397" s="65" t="str">
        <f aca="false">IF($B397="","",N(对接源_01库存!$G332))</f>
        <v/>
      </c>
      <c r="H397" s="130" t="str">
        <f aca="false">IF($B397="","",ROUND(N($F397)*N($I397),2))</f>
        <v/>
      </c>
      <c r="I397" s="136"/>
      <c r="J397" s="131" t="str">
        <f aca="false">IF($B397="","",对接源_01库存!$H332)</f>
        <v/>
      </c>
      <c r="K397" s="129"/>
      <c r="L397" s="132" t="str">
        <f aca="false">IF($B397="","",IF(N($I397)=0,"← 这一行还没填单价",""))</f>
        <v/>
      </c>
    </row>
    <row r="398" customFormat="false" ht="15" hidden="false" customHeight="true" outlineLevel="0" collapsed="false">
      <c r="A398" s="63" t="str">
        <f aca="false">IF($B398="","",ROW()-68)</f>
        <v/>
      </c>
      <c r="B398" s="62" t="str">
        <f aca="false">IF(对接源_01库存!$B333="","",对接源_01库存!$B333)</f>
        <v/>
      </c>
      <c r="C398" s="63" t="str">
        <f aca="false">IF($B398="","",对接源_01库存!$C333)</f>
        <v/>
      </c>
      <c r="D398" s="63" t="str">
        <f aca="false">IF($B398="","",对接源_01库存!$D333)</f>
        <v/>
      </c>
      <c r="E398" s="63" t="str">
        <f aca="false">IF($B398="","",对接源_01库存!$E333)</f>
        <v/>
      </c>
      <c r="F398" s="64" t="str">
        <f aca="false">IF($B398="","",N(对接源_01库存!$F333))</f>
        <v/>
      </c>
      <c r="G398" s="65" t="str">
        <f aca="false">IF($B398="","",N(对接源_01库存!$G333))</f>
        <v/>
      </c>
      <c r="H398" s="130" t="str">
        <f aca="false">IF($B398="","",ROUND(N($F398)*N($I398),2))</f>
        <v/>
      </c>
      <c r="I398" s="136"/>
      <c r="J398" s="131" t="str">
        <f aca="false">IF($B398="","",对接源_01库存!$H333)</f>
        <v/>
      </c>
      <c r="K398" s="129"/>
      <c r="L398" s="132" t="str">
        <f aca="false">IF($B398="","",IF(N($I398)=0,"← 这一行还没填单价",""))</f>
        <v/>
      </c>
    </row>
    <row r="399" customFormat="false" ht="15" hidden="false" customHeight="true" outlineLevel="0" collapsed="false">
      <c r="A399" s="63" t="str">
        <f aca="false">IF($B399="","",ROW()-68)</f>
        <v/>
      </c>
      <c r="B399" s="62" t="str">
        <f aca="false">IF(对接源_01库存!$B334="","",对接源_01库存!$B334)</f>
        <v/>
      </c>
      <c r="C399" s="63" t="str">
        <f aca="false">IF($B399="","",对接源_01库存!$C334)</f>
        <v/>
      </c>
      <c r="D399" s="63" t="str">
        <f aca="false">IF($B399="","",对接源_01库存!$D334)</f>
        <v/>
      </c>
      <c r="E399" s="63" t="str">
        <f aca="false">IF($B399="","",对接源_01库存!$E334)</f>
        <v/>
      </c>
      <c r="F399" s="64" t="str">
        <f aca="false">IF($B399="","",N(对接源_01库存!$F334))</f>
        <v/>
      </c>
      <c r="G399" s="65" t="str">
        <f aca="false">IF($B399="","",N(对接源_01库存!$G334))</f>
        <v/>
      </c>
      <c r="H399" s="130" t="str">
        <f aca="false">IF($B399="","",ROUND(N($F399)*N($I399),2))</f>
        <v/>
      </c>
      <c r="I399" s="136"/>
      <c r="J399" s="131" t="str">
        <f aca="false">IF($B399="","",对接源_01库存!$H334)</f>
        <v/>
      </c>
      <c r="K399" s="129"/>
      <c r="L399" s="132" t="str">
        <f aca="false">IF($B399="","",IF(N($I399)=0,"← 这一行还没填单价",""))</f>
        <v/>
      </c>
    </row>
    <row r="400" customFormat="false" ht="15" hidden="false" customHeight="true" outlineLevel="0" collapsed="false">
      <c r="A400" s="63" t="str">
        <f aca="false">IF($B400="","",ROW()-68)</f>
        <v/>
      </c>
      <c r="B400" s="62" t="str">
        <f aca="false">IF(对接源_01库存!$B335="","",对接源_01库存!$B335)</f>
        <v/>
      </c>
      <c r="C400" s="63" t="str">
        <f aca="false">IF($B400="","",对接源_01库存!$C335)</f>
        <v/>
      </c>
      <c r="D400" s="63" t="str">
        <f aca="false">IF($B400="","",对接源_01库存!$D335)</f>
        <v/>
      </c>
      <c r="E400" s="63" t="str">
        <f aca="false">IF($B400="","",对接源_01库存!$E335)</f>
        <v/>
      </c>
      <c r="F400" s="64" t="str">
        <f aca="false">IF($B400="","",N(对接源_01库存!$F335))</f>
        <v/>
      </c>
      <c r="G400" s="65" t="str">
        <f aca="false">IF($B400="","",N(对接源_01库存!$G335))</f>
        <v/>
      </c>
      <c r="H400" s="130" t="str">
        <f aca="false">IF($B400="","",ROUND(N($F400)*N($I400),2))</f>
        <v/>
      </c>
      <c r="I400" s="136"/>
      <c r="J400" s="131" t="str">
        <f aca="false">IF($B400="","",对接源_01库存!$H335)</f>
        <v/>
      </c>
      <c r="K400" s="129"/>
      <c r="L400" s="132" t="str">
        <f aca="false">IF($B400="","",IF(N($I400)=0,"← 这一行还没填单价",""))</f>
        <v/>
      </c>
    </row>
    <row r="401" customFormat="false" ht="15" hidden="false" customHeight="true" outlineLevel="0" collapsed="false">
      <c r="A401" s="63" t="str">
        <f aca="false">IF($B401="","",ROW()-68)</f>
        <v/>
      </c>
      <c r="B401" s="62" t="str">
        <f aca="false">IF(对接源_01库存!$B336="","",对接源_01库存!$B336)</f>
        <v/>
      </c>
      <c r="C401" s="63" t="str">
        <f aca="false">IF($B401="","",对接源_01库存!$C336)</f>
        <v/>
      </c>
      <c r="D401" s="63" t="str">
        <f aca="false">IF($B401="","",对接源_01库存!$D336)</f>
        <v/>
      </c>
      <c r="E401" s="63" t="str">
        <f aca="false">IF($B401="","",对接源_01库存!$E336)</f>
        <v/>
      </c>
      <c r="F401" s="64" t="str">
        <f aca="false">IF($B401="","",N(对接源_01库存!$F336))</f>
        <v/>
      </c>
      <c r="G401" s="65" t="str">
        <f aca="false">IF($B401="","",N(对接源_01库存!$G336))</f>
        <v/>
      </c>
      <c r="H401" s="130" t="str">
        <f aca="false">IF($B401="","",ROUND(N($F401)*N($I401),2))</f>
        <v/>
      </c>
      <c r="I401" s="136"/>
      <c r="J401" s="131" t="str">
        <f aca="false">IF($B401="","",对接源_01库存!$H336)</f>
        <v/>
      </c>
      <c r="K401" s="129"/>
      <c r="L401" s="132" t="str">
        <f aca="false">IF($B401="","",IF(N($I401)=0,"← 这一行还没填单价",""))</f>
        <v/>
      </c>
    </row>
    <row r="402" customFormat="false" ht="15" hidden="false" customHeight="true" outlineLevel="0" collapsed="false">
      <c r="A402" s="63" t="str">
        <f aca="false">IF($B402="","",ROW()-68)</f>
        <v/>
      </c>
      <c r="B402" s="62" t="str">
        <f aca="false">IF(对接源_01库存!$B337="","",对接源_01库存!$B337)</f>
        <v/>
      </c>
      <c r="C402" s="63" t="str">
        <f aca="false">IF($B402="","",对接源_01库存!$C337)</f>
        <v/>
      </c>
      <c r="D402" s="63" t="str">
        <f aca="false">IF($B402="","",对接源_01库存!$D337)</f>
        <v/>
      </c>
      <c r="E402" s="63" t="str">
        <f aca="false">IF($B402="","",对接源_01库存!$E337)</f>
        <v/>
      </c>
      <c r="F402" s="64" t="str">
        <f aca="false">IF($B402="","",N(对接源_01库存!$F337))</f>
        <v/>
      </c>
      <c r="G402" s="65" t="str">
        <f aca="false">IF($B402="","",N(对接源_01库存!$G337))</f>
        <v/>
      </c>
      <c r="H402" s="130" t="str">
        <f aca="false">IF($B402="","",ROUND(N($F402)*N($I402),2))</f>
        <v/>
      </c>
      <c r="I402" s="136"/>
      <c r="J402" s="131" t="str">
        <f aca="false">IF($B402="","",对接源_01库存!$H337)</f>
        <v/>
      </c>
      <c r="K402" s="129"/>
      <c r="L402" s="132" t="str">
        <f aca="false">IF($B402="","",IF(N($I402)=0,"← 这一行还没填单价",""))</f>
        <v/>
      </c>
    </row>
    <row r="403" customFormat="false" ht="15" hidden="false" customHeight="true" outlineLevel="0" collapsed="false">
      <c r="A403" s="63" t="str">
        <f aca="false">IF($B403="","",ROW()-68)</f>
        <v/>
      </c>
      <c r="B403" s="62" t="str">
        <f aca="false">IF(对接源_01库存!$B338="","",对接源_01库存!$B338)</f>
        <v/>
      </c>
      <c r="C403" s="63" t="str">
        <f aca="false">IF($B403="","",对接源_01库存!$C338)</f>
        <v/>
      </c>
      <c r="D403" s="63" t="str">
        <f aca="false">IF($B403="","",对接源_01库存!$D338)</f>
        <v/>
      </c>
      <c r="E403" s="63" t="str">
        <f aca="false">IF($B403="","",对接源_01库存!$E338)</f>
        <v/>
      </c>
      <c r="F403" s="64" t="str">
        <f aca="false">IF($B403="","",N(对接源_01库存!$F338))</f>
        <v/>
      </c>
      <c r="G403" s="65" t="str">
        <f aca="false">IF($B403="","",N(对接源_01库存!$G338))</f>
        <v/>
      </c>
      <c r="H403" s="130" t="str">
        <f aca="false">IF($B403="","",ROUND(N($F403)*N($I403),2))</f>
        <v/>
      </c>
      <c r="I403" s="136"/>
      <c r="J403" s="131" t="str">
        <f aca="false">IF($B403="","",对接源_01库存!$H338)</f>
        <v/>
      </c>
      <c r="K403" s="129"/>
      <c r="L403" s="132" t="str">
        <f aca="false">IF($B403="","",IF(N($I403)=0,"← 这一行还没填单价",""))</f>
        <v/>
      </c>
    </row>
    <row r="404" customFormat="false" ht="15" hidden="false" customHeight="true" outlineLevel="0" collapsed="false">
      <c r="A404" s="63" t="str">
        <f aca="false">IF($B404="","",ROW()-68)</f>
        <v/>
      </c>
      <c r="B404" s="62" t="str">
        <f aca="false">IF(对接源_01库存!$B339="","",对接源_01库存!$B339)</f>
        <v/>
      </c>
      <c r="C404" s="63" t="str">
        <f aca="false">IF($B404="","",对接源_01库存!$C339)</f>
        <v/>
      </c>
      <c r="D404" s="63" t="str">
        <f aca="false">IF($B404="","",对接源_01库存!$D339)</f>
        <v/>
      </c>
      <c r="E404" s="63" t="str">
        <f aca="false">IF($B404="","",对接源_01库存!$E339)</f>
        <v/>
      </c>
      <c r="F404" s="64" t="str">
        <f aca="false">IF($B404="","",N(对接源_01库存!$F339))</f>
        <v/>
      </c>
      <c r="G404" s="65" t="str">
        <f aca="false">IF($B404="","",N(对接源_01库存!$G339))</f>
        <v/>
      </c>
      <c r="H404" s="130" t="str">
        <f aca="false">IF($B404="","",ROUND(N($F404)*N($I404),2))</f>
        <v/>
      </c>
      <c r="I404" s="136"/>
      <c r="J404" s="131" t="str">
        <f aca="false">IF($B404="","",对接源_01库存!$H339)</f>
        <v/>
      </c>
      <c r="K404" s="129"/>
      <c r="L404" s="132" t="str">
        <f aca="false">IF($B404="","",IF(N($I404)=0,"← 这一行还没填单价",""))</f>
        <v/>
      </c>
    </row>
    <row r="405" customFormat="false" ht="15" hidden="false" customHeight="true" outlineLevel="0" collapsed="false">
      <c r="A405" s="63" t="str">
        <f aca="false">IF($B405="","",ROW()-68)</f>
        <v/>
      </c>
      <c r="B405" s="62" t="str">
        <f aca="false">IF(对接源_01库存!$B340="","",对接源_01库存!$B340)</f>
        <v/>
      </c>
      <c r="C405" s="63" t="str">
        <f aca="false">IF($B405="","",对接源_01库存!$C340)</f>
        <v/>
      </c>
      <c r="D405" s="63" t="str">
        <f aca="false">IF($B405="","",对接源_01库存!$D340)</f>
        <v/>
      </c>
      <c r="E405" s="63" t="str">
        <f aca="false">IF($B405="","",对接源_01库存!$E340)</f>
        <v/>
      </c>
      <c r="F405" s="64" t="str">
        <f aca="false">IF($B405="","",N(对接源_01库存!$F340))</f>
        <v/>
      </c>
      <c r="G405" s="65" t="str">
        <f aca="false">IF($B405="","",N(对接源_01库存!$G340))</f>
        <v/>
      </c>
      <c r="H405" s="130" t="str">
        <f aca="false">IF($B405="","",ROUND(N($F405)*N($I405),2))</f>
        <v/>
      </c>
      <c r="I405" s="136"/>
      <c r="J405" s="131" t="str">
        <f aca="false">IF($B405="","",对接源_01库存!$H340)</f>
        <v/>
      </c>
      <c r="K405" s="129"/>
      <c r="L405" s="132" t="str">
        <f aca="false">IF($B405="","",IF(N($I405)=0,"← 这一行还没填单价",""))</f>
        <v/>
      </c>
    </row>
    <row r="406" customFormat="false" ht="15" hidden="false" customHeight="true" outlineLevel="0" collapsed="false">
      <c r="A406" s="63" t="str">
        <f aca="false">IF($B406="","",ROW()-68)</f>
        <v/>
      </c>
      <c r="B406" s="62" t="str">
        <f aca="false">IF(对接源_01库存!$B341="","",对接源_01库存!$B341)</f>
        <v/>
      </c>
      <c r="C406" s="63" t="str">
        <f aca="false">IF($B406="","",对接源_01库存!$C341)</f>
        <v/>
      </c>
      <c r="D406" s="63" t="str">
        <f aca="false">IF($B406="","",对接源_01库存!$D341)</f>
        <v/>
      </c>
      <c r="E406" s="63" t="str">
        <f aca="false">IF($B406="","",对接源_01库存!$E341)</f>
        <v/>
      </c>
      <c r="F406" s="64" t="str">
        <f aca="false">IF($B406="","",N(对接源_01库存!$F341))</f>
        <v/>
      </c>
      <c r="G406" s="65" t="str">
        <f aca="false">IF($B406="","",N(对接源_01库存!$G341))</f>
        <v/>
      </c>
      <c r="H406" s="130" t="str">
        <f aca="false">IF($B406="","",ROUND(N($F406)*N($I406),2))</f>
        <v/>
      </c>
      <c r="I406" s="136"/>
      <c r="J406" s="131" t="str">
        <f aca="false">IF($B406="","",对接源_01库存!$H341)</f>
        <v/>
      </c>
      <c r="K406" s="129"/>
      <c r="L406" s="132" t="str">
        <f aca="false">IF($B406="","",IF(N($I406)=0,"← 这一行还没填单价",""))</f>
        <v/>
      </c>
    </row>
    <row r="407" customFormat="false" ht="15" hidden="false" customHeight="true" outlineLevel="0" collapsed="false">
      <c r="A407" s="63" t="str">
        <f aca="false">IF($B407="","",ROW()-68)</f>
        <v/>
      </c>
      <c r="B407" s="62" t="str">
        <f aca="false">IF(对接源_01库存!$B342="","",对接源_01库存!$B342)</f>
        <v/>
      </c>
      <c r="C407" s="63" t="str">
        <f aca="false">IF($B407="","",对接源_01库存!$C342)</f>
        <v/>
      </c>
      <c r="D407" s="63" t="str">
        <f aca="false">IF($B407="","",对接源_01库存!$D342)</f>
        <v/>
      </c>
      <c r="E407" s="63" t="str">
        <f aca="false">IF($B407="","",对接源_01库存!$E342)</f>
        <v/>
      </c>
      <c r="F407" s="64" t="str">
        <f aca="false">IF($B407="","",N(对接源_01库存!$F342))</f>
        <v/>
      </c>
      <c r="G407" s="65" t="str">
        <f aca="false">IF($B407="","",N(对接源_01库存!$G342))</f>
        <v/>
      </c>
      <c r="H407" s="130" t="str">
        <f aca="false">IF($B407="","",ROUND(N($F407)*N($I407),2))</f>
        <v/>
      </c>
      <c r="I407" s="136"/>
      <c r="J407" s="131" t="str">
        <f aca="false">IF($B407="","",对接源_01库存!$H342)</f>
        <v/>
      </c>
      <c r="K407" s="129"/>
      <c r="L407" s="132" t="str">
        <f aca="false">IF($B407="","",IF(N($I407)=0,"← 这一行还没填单价",""))</f>
        <v/>
      </c>
    </row>
    <row r="408" customFormat="false" ht="15" hidden="false" customHeight="true" outlineLevel="0" collapsed="false">
      <c r="A408" s="63" t="str">
        <f aca="false">IF($B408="","",ROW()-68)</f>
        <v/>
      </c>
      <c r="B408" s="62" t="str">
        <f aca="false">IF(对接源_01库存!$B343="","",对接源_01库存!$B343)</f>
        <v/>
      </c>
      <c r="C408" s="63" t="str">
        <f aca="false">IF($B408="","",对接源_01库存!$C343)</f>
        <v/>
      </c>
      <c r="D408" s="63" t="str">
        <f aca="false">IF($B408="","",对接源_01库存!$D343)</f>
        <v/>
      </c>
      <c r="E408" s="63" t="str">
        <f aca="false">IF($B408="","",对接源_01库存!$E343)</f>
        <v/>
      </c>
      <c r="F408" s="64" t="str">
        <f aca="false">IF($B408="","",N(对接源_01库存!$F343))</f>
        <v/>
      </c>
      <c r="G408" s="65" t="str">
        <f aca="false">IF($B408="","",N(对接源_01库存!$G343))</f>
        <v/>
      </c>
      <c r="H408" s="130" t="str">
        <f aca="false">IF($B408="","",ROUND(N($F408)*N($I408),2))</f>
        <v/>
      </c>
      <c r="I408" s="136"/>
      <c r="J408" s="131" t="str">
        <f aca="false">IF($B408="","",对接源_01库存!$H343)</f>
        <v/>
      </c>
      <c r="K408" s="129"/>
      <c r="L408" s="132" t="str">
        <f aca="false">IF($B408="","",IF(N($I408)=0,"← 这一行还没填单价",""))</f>
        <v/>
      </c>
    </row>
    <row r="409" customFormat="false" ht="15" hidden="false" customHeight="true" outlineLevel="0" collapsed="false">
      <c r="A409" s="63" t="str">
        <f aca="false">IF($B409="","",ROW()-68)</f>
        <v/>
      </c>
      <c r="B409" s="62" t="str">
        <f aca="false">IF(对接源_01库存!$B344="","",对接源_01库存!$B344)</f>
        <v/>
      </c>
      <c r="C409" s="63" t="str">
        <f aca="false">IF($B409="","",对接源_01库存!$C344)</f>
        <v/>
      </c>
      <c r="D409" s="63" t="str">
        <f aca="false">IF($B409="","",对接源_01库存!$D344)</f>
        <v/>
      </c>
      <c r="E409" s="63" t="str">
        <f aca="false">IF($B409="","",对接源_01库存!$E344)</f>
        <v/>
      </c>
      <c r="F409" s="64" t="str">
        <f aca="false">IF($B409="","",N(对接源_01库存!$F344))</f>
        <v/>
      </c>
      <c r="G409" s="65" t="str">
        <f aca="false">IF($B409="","",N(对接源_01库存!$G344))</f>
        <v/>
      </c>
      <c r="H409" s="130" t="str">
        <f aca="false">IF($B409="","",ROUND(N($F409)*N($I409),2))</f>
        <v/>
      </c>
      <c r="I409" s="136"/>
      <c r="J409" s="131" t="str">
        <f aca="false">IF($B409="","",对接源_01库存!$H344)</f>
        <v/>
      </c>
      <c r="K409" s="129"/>
      <c r="L409" s="132" t="str">
        <f aca="false">IF($B409="","",IF(N($I409)=0,"← 这一行还没填单价",""))</f>
        <v/>
      </c>
    </row>
    <row r="410" customFormat="false" ht="15" hidden="false" customHeight="true" outlineLevel="0" collapsed="false">
      <c r="A410" s="63" t="str">
        <f aca="false">IF($B410="","",ROW()-68)</f>
        <v/>
      </c>
      <c r="B410" s="62" t="str">
        <f aca="false">IF(对接源_01库存!$B345="","",对接源_01库存!$B345)</f>
        <v/>
      </c>
      <c r="C410" s="63" t="str">
        <f aca="false">IF($B410="","",对接源_01库存!$C345)</f>
        <v/>
      </c>
      <c r="D410" s="63" t="str">
        <f aca="false">IF($B410="","",对接源_01库存!$D345)</f>
        <v/>
      </c>
      <c r="E410" s="63" t="str">
        <f aca="false">IF($B410="","",对接源_01库存!$E345)</f>
        <v/>
      </c>
      <c r="F410" s="64" t="str">
        <f aca="false">IF($B410="","",N(对接源_01库存!$F345))</f>
        <v/>
      </c>
      <c r="G410" s="65" t="str">
        <f aca="false">IF($B410="","",N(对接源_01库存!$G345))</f>
        <v/>
      </c>
      <c r="H410" s="130" t="str">
        <f aca="false">IF($B410="","",ROUND(N($F410)*N($I410),2))</f>
        <v/>
      </c>
      <c r="I410" s="136"/>
      <c r="J410" s="131" t="str">
        <f aca="false">IF($B410="","",对接源_01库存!$H345)</f>
        <v/>
      </c>
      <c r="K410" s="129"/>
      <c r="L410" s="132" t="str">
        <f aca="false">IF($B410="","",IF(N($I410)=0,"← 这一行还没填单价",""))</f>
        <v/>
      </c>
    </row>
    <row r="411" customFormat="false" ht="15" hidden="false" customHeight="true" outlineLevel="0" collapsed="false">
      <c r="A411" s="63" t="str">
        <f aca="false">IF($B411="","",ROW()-68)</f>
        <v/>
      </c>
      <c r="B411" s="62" t="str">
        <f aca="false">IF(对接源_01库存!$B346="","",对接源_01库存!$B346)</f>
        <v/>
      </c>
      <c r="C411" s="63" t="str">
        <f aca="false">IF($B411="","",对接源_01库存!$C346)</f>
        <v/>
      </c>
      <c r="D411" s="63" t="str">
        <f aca="false">IF($B411="","",对接源_01库存!$D346)</f>
        <v/>
      </c>
      <c r="E411" s="63" t="str">
        <f aca="false">IF($B411="","",对接源_01库存!$E346)</f>
        <v/>
      </c>
      <c r="F411" s="64" t="str">
        <f aca="false">IF($B411="","",N(对接源_01库存!$F346))</f>
        <v/>
      </c>
      <c r="G411" s="65" t="str">
        <f aca="false">IF($B411="","",N(对接源_01库存!$G346))</f>
        <v/>
      </c>
      <c r="H411" s="130" t="str">
        <f aca="false">IF($B411="","",ROUND(N($F411)*N($I411),2))</f>
        <v/>
      </c>
      <c r="I411" s="136"/>
      <c r="J411" s="131" t="str">
        <f aca="false">IF($B411="","",对接源_01库存!$H346)</f>
        <v/>
      </c>
      <c r="K411" s="129"/>
      <c r="L411" s="132" t="str">
        <f aca="false">IF($B411="","",IF(N($I411)=0,"← 这一行还没填单价",""))</f>
        <v/>
      </c>
    </row>
    <row r="412" customFormat="false" ht="15" hidden="false" customHeight="true" outlineLevel="0" collapsed="false">
      <c r="A412" s="63" t="str">
        <f aca="false">IF($B412="","",ROW()-68)</f>
        <v/>
      </c>
      <c r="B412" s="62" t="str">
        <f aca="false">IF(对接源_01库存!$B347="","",对接源_01库存!$B347)</f>
        <v/>
      </c>
      <c r="C412" s="63" t="str">
        <f aca="false">IF($B412="","",对接源_01库存!$C347)</f>
        <v/>
      </c>
      <c r="D412" s="63" t="str">
        <f aca="false">IF($B412="","",对接源_01库存!$D347)</f>
        <v/>
      </c>
      <c r="E412" s="63" t="str">
        <f aca="false">IF($B412="","",对接源_01库存!$E347)</f>
        <v/>
      </c>
      <c r="F412" s="64" t="str">
        <f aca="false">IF($B412="","",N(对接源_01库存!$F347))</f>
        <v/>
      </c>
      <c r="G412" s="65" t="str">
        <f aca="false">IF($B412="","",N(对接源_01库存!$G347))</f>
        <v/>
      </c>
      <c r="H412" s="130" t="str">
        <f aca="false">IF($B412="","",ROUND(N($F412)*N($I412),2))</f>
        <v/>
      </c>
      <c r="I412" s="136"/>
      <c r="J412" s="131" t="str">
        <f aca="false">IF($B412="","",对接源_01库存!$H347)</f>
        <v/>
      </c>
      <c r="K412" s="129"/>
      <c r="L412" s="132" t="str">
        <f aca="false">IF($B412="","",IF(N($I412)=0,"← 这一行还没填单价",""))</f>
        <v/>
      </c>
    </row>
    <row r="413" customFormat="false" ht="15" hidden="false" customHeight="true" outlineLevel="0" collapsed="false">
      <c r="A413" s="63" t="str">
        <f aca="false">IF($B413="","",ROW()-68)</f>
        <v/>
      </c>
      <c r="B413" s="62" t="str">
        <f aca="false">IF(对接源_01库存!$B348="","",对接源_01库存!$B348)</f>
        <v/>
      </c>
      <c r="C413" s="63" t="str">
        <f aca="false">IF($B413="","",对接源_01库存!$C348)</f>
        <v/>
      </c>
      <c r="D413" s="63" t="str">
        <f aca="false">IF($B413="","",对接源_01库存!$D348)</f>
        <v/>
      </c>
      <c r="E413" s="63" t="str">
        <f aca="false">IF($B413="","",对接源_01库存!$E348)</f>
        <v/>
      </c>
      <c r="F413" s="64" t="str">
        <f aca="false">IF($B413="","",N(对接源_01库存!$F348))</f>
        <v/>
      </c>
      <c r="G413" s="65" t="str">
        <f aca="false">IF($B413="","",N(对接源_01库存!$G348))</f>
        <v/>
      </c>
      <c r="H413" s="130" t="str">
        <f aca="false">IF($B413="","",ROUND(N($F413)*N($I413),2))</f>
        <v/>
      </c>
      <c r="I413" s="136"/>
      <c r="J413" s="131" t="str">
        <f aca="false">IF($B413="","",对接源_01库存!$H348)</f>
        <v/>
      </c>
      <c r="K413" s="129"/>
      <c r="L413" s="132" t="str">
        <f aca="false">IF($B413="","",IF(N($I413)=0,"← 这一行还没填单价",""))</f>
        <v/>
      </c>
    </row>
    <row r="414" customFormat="false" ht="15" hidden="false" customHeight="true" outlineLevel="0" collapsed="false">
      <c r="A414" s="63" t="str">
        <f aca="false">IF($B414="","",ROW()-68)</f>
        <v/>
      </c>
      <c r="B414" s="62" t="str">
        <f aca="false">IF(对接源_01库存!$B349="","",对接源_01库存!$B349)</f>
        <v/>
      </c>
      <c r="C414" s="63" t="str">
        <f aca="false">IF($B414="","",对接源_01库存!$C349)</f>
        <v/>
      </c>
      <c r="D414" s="63" t="str">
        <f aca="false">IF($B414="","",对接源_01库存!$D349)</f>
        <v/>
      </c>
      <c r="E414" s="63" t="str">
        <f aca="false">IF($B414="","",对接源_01库存!$E349)</f>
        <v/>
      </c>
      <c r="F414" s="64" t="str">
        <f aca="false">IF($B414="","",N(对接源_01库存!$F349))</f>
        <v/>
      </c>
      <c r="G414" s="65" t="str">
        <f aca="false">IF($B414="","",N(对接源_01库存!$G349))</f>
        <v/>
      </c>
      <c r="H414" s="130" t="str">
        <f aca="false">IF($B414="","",ROUND(N($F414)*N($I414),2))</f>
        <v/>
      </c>
      <c r="I414" s="136"/>
      <c r="J414" s="131" t="str">
        <f aca="false">IF($B414="","",对接源_01库存!$H349)</f>
        <v/>
      </c>
      <c r="K414" s="129"/>
      <c r="L414" s="132" t="str">
        <f aca="false">IF($B414="","",IF(N($I414)=0,"← 这一行还没填单价",""))</f>
        <v/>
      </c>
    </row>
    <row r="415" customFormat="false" ht="15" hidden="false" customHeight="true" outlineLevel="0" collapsed="false">
      <c r="A415" s="63" t="str">
        <f aca="false">IF($B415="","",ROW()-68)</f>
        <v/>
      </c>
      <c r="B415" s="62" t="str">
        <f aca="false">IF(对接源_01库存!$B350="","",对接源_01库存!$B350)</f>
        <v/>
      </c>
      <c r="C415" s="63" t="str">
        <f aca="false">IF($B415="","",对接源_01库存!$C350)</f>
        <v/>
      </c>
      <c r="D415" s="63" t="str">
        <f aca="false">IF($B415="","",对接源_01库存!$D350)</f>
        <v/>
      </c>
      <c r="E415" s="63" t="str">
        <f aca="false">IF($B415="","",对接源_01库存!$E350)</f>
        <v/>
      </c>
      <c r="F415" s="64" t="str">
        <f aca="false">IF($B415="","",N(对接源_01库存!$F350))</f>
        <v/>
      </c>
      <c r="G415" s="65" t="str">
        <f aca="false">IF($B415="","",N(对接源_01库存!$G350))</f>
        <v/>
      </c>
      <c r="H415" s="130" t="str">
        <f aca="false">IF($B415="","",ROUND(N($F415)*N($I415),2))</f>
        <v/>
      </c>
      <c r="I415" s="136"/>
      <c r="J415" s="131" t="str">
        <f aca="false">IF($B415="","",对接源_01库存!$H350)</f>
        <v/>
      </c>
      <c r="K415" s="129"/>
      <c r="L415" s="132" t="str">
        <f aca="false">IF($B415="","",IF(N($I415)=0,"← 这一行还没填单价",""))</f>
        <v/>
      </c>
    </row>
    <row r="416" customFormat="false" ht="15" hidden="false" customHeight="true" outlineLevel="0" collapsed="false">
      <c r="A416" s="63" t="str">
        <f aca="false">IF($B416="","",ROW()-68)</f>
        <v/>
      </c>
      <c r="B416" s="62" t="str">
        <f aca="false">IF(对接源_01库存!$B351="","",对接源_01库存!$B351)</f>
        <v/>
      </c>
      <c r="C416" s="63" t="str">
        <f aca="false">IF($B416="","",对接源_01库存!$C351)</f>
        <v/>
      </c>
      <c r="D416" s="63" t="str">
        <f aca="false">IF($B416="","",对接源_01库存!$D351)</f>
        <v/>
      </c>
      <c r="E416" s="63" t="str">
        <f aca="false">IF($B416="","",对接源_01库存!$E351)</f>
        <v/>
      </c>
      <c r="F416" s="64" t="str">
        <f aca="false">IF($B416="","",N(对接源_01库存!$F351))</f>
        <v/>
      </c>
      <c r="G416" s="65" t="str">
        <f aca="false">IF($B416="","",N(对接源_01库存!$G351))</f>
        <v/>
      </c>
      <c r="H416" s="130" t="str">
        <f aca="false">IF($B416="","",ROUND(N($F416)*N($I416),2))</f>
        <v/>
      </c>
      <c r="I416" s="136"/>
      <c r="J416" s="131" t="str">
        <f aca="false">IF($B416="","",对接源_01库存!$H351)</f>
        <v/>
      </c>
      <c r="K416" s="129"/>
      <c r="L416" s="132" t="str">
        <f aca="false">IF($B416="","",IF(N($I416)=0,"← 这一行还没填单价",""))</f>
        <v/>
      </c>
    </row>
    <row r="417" customFormat="false" ht="15" hidden="false" customHeight="true" outlineLevel="0" collapsed="false">
      <c r="A417" s="63" t="str">
        <f aca="false">IF($B417="","",ROW()-68)</f>
        <v/>
      </c>
      <c r="B417" s="62" t="str">
        <f aca="false">IF(对接源_01库存!$B352="","",对接源_01库存!$B352)</f>
        <v/>
      </c>
      <c r="C417" s="63" t="str">
        <f aca="false">IF($B417="","",对接源_01库存!$C352)</f>
        <v/>
      </c>
      <c r="D417" s="63" t="str">
        <f aca="false">IF($B417="","",对接源_01库存!$D352)</f>
        <v/>
      </c>
      <c r="E417" s="63" t="str">
        <f aca="false">IF($B417="","",对接源_01库存!$E352)</f>
        <v/>
      </c>
      <c r="F417" s="64" t="str">
        <f aca="false">IF($B417="","",N(对接源_01库存!$F352))</f>
        <v/>
      </c>
      <c r="G417" s="65" t="str">
        <f aca="false">IF($B417="","",N(对接源_01库存!$G352))</f>
        <v/>
      </c>
      <c r="H417" s="130" t="str">
        <f aca="false">IF($B417="","",ROUND(N($F417)*N($I417),2))</f>
        <v/>
      </c>
      <c r="I417" s="136"/>
      <c r="J417" s="131" t="str">
        <f aca="false">IF($B417="","",对接源_01库存!$H352)</f>
        <v/>
      </c>
      <c r="K417" s="129"/>
      <c r="L417" s="132" t="str">
        <f aca="false">IF($B417="","",IF(N($I417)=0,"← 这一行还没填单价",""))</f>
        <v/>
      </c>
    </row>
    <row r="418" customFormat="false" ht="15" hidden="false" customHeight="true" outlineLevel="0" collapsed="false">
      <c r="A418" s="63" t="str">
        <f aca="false">IF($B418="","",ROW()-68)</f>
        <v/>
      </c>
      <c r="B418" s="62" t="str">
        <f aca="false">IF(对接源_01库存!$B353="","",对接源_01库存!$B353)</f>
        <v/>
      </c>
      <c r="C418" s="63" t="str">
        <f aca="false">IF($B418="","",对接源_01库存!$C353)</f>
        <v/>
      </c>
      <c r="D418" s="63" t="str">
        <f aca="false">IF($B418="","",对接源_01库存!$D353)</f>
        <v/>
      </c>
      <c r="E418" s="63" t="str">
        <f aca="false">IF($B418="","",对接源_01库存!$E353)</f>
        <v/>
      </c>
      <c r="F418" s="64" t="str">
        <f aca="false">IF($B418="","",N(对接源_01库存!$F353))</f>
        <v/>
      </c>
      <c r="G418" s="65" t="str">
        <f aca="false">IF($B418="","",N(对接源_01库存!$G353))</f>
        <v/>
      </c>
      <c r="H418" s="130" t="str">
        <f aca="false">IF($B418="","",ROUND(N($F418)*N($I418),2))</f>
        <v/>
      </c>
      <c r="I418" s="136"/>
      <c r="J418" s="131" t="str">
        <f aca="false">IF($B418="","",对接源_01库存!$H353)</f>
        <v/>
      </c>
      <c r="K418" s="129"/>
      <c r="L418" s="132" t="str">
        <f aca="false">IF($B418="","",IF(N($I418)=0,"← 这一行还没填单价",""))</f>
        <v/>
      </c>
    </row>
    <row r="419" customFormat="false" ht="15" hidden="false" customHeight="true" outlineLevel="0" collapsed="false">
      <c r="A419" s="63" t="str">
        <f aca="false">IF($B419="","",ROW()-68)</f>
        <v/>
      </c>
      <c r="B419" s="62" t="str">
        <f aca="false">IF(对接源_01库存!$B354="","",对接源_01库存!$B354)</f>
        <v/>
      </c>
      <c r="C419" s="63" t="str">
        <f aca="false">IF($B419="","",对接源_01库存!$C354)</f>
        <v/>
      </c>
      <c r="D419" s="63" t="str">
        <f aca="false">IF($B419="","",对接源_01库存!$D354)</f>
        <v/>
      </c>
      <c r="E419" s="63" t="str">
        <f aca="false">IF($B419="","",对接源_01库存!$E354)</f>
        <v/>
      </c>
      <c r="F419" s="64" t="str">
        <f aca="false">IF($B419="","",N(对接源_01库存!$F354))</f>
        <v/>
      </c>
      <c r="G419" s="65" t="str">
        <f aca="false">IF($B419="","",N(对接源_01库存!$G354))</f>
        <v/>
      </c>
      <c r="H419" s="130" t="str">
        <f aca="false">IF($B419="","",ROUND(N($F419)*N($I419),2))</f>
        <v/>
      </c>
      <c r="I419" s="136"/>
      <c r="J419" s="131" t="str">
        <f aca="false">IF($B419="","",对接源_01库存!$H354)</f>
        <v/>
      </c>
      <c r="K419" s="129"/>
      <c r="L419" s="132" t="str">
        <f aca="false">IF($B419="","",IF(N($I419)=0,"← 这一行还没填单价",""))</f>
        <v/>
      </c>
    </row>
    <row r="420" customFormat="false" ht="15" hidden="false" customHeight="true" outlineLevel="0" collapsed="false">
      <c r="A420" s="63" t="str">
        <f aca="false">IF($B420="","",ROW()-68)</f>
        <v/>
      </c>
      <c r="B420" s="62" t="str">
        <f aca="false">IF(对接源_01库存!$B355="","",对接源_01库存!$B355)</f>
        <v/>
      </c>
      <c r="C420" s="63" t="str">
        <f aca="false">IF($B420="","",对接源_01库存!$C355)</f>
        <v/>
      </c>
      <c r="D420" s="63" t="str">
        <f aca="false">IF($B420="","",对接源_01库存!$D355)</f>
        <v/>
      </c>
      <c r="E420" s="63" t="str">
        <f aca="false">IF($B420="","",对接源_01库存!$E355)</f>
        <v/>
      </c>
      <c r="F420" s="64" t="str">
        <f aca="false">IF($B420="","",N(对接源_01库存!$F355))</f>
        <v/>
      </c>
      <c r="G420" s="65" t="str">
        <f aca="false">IF($B420="","",N(对接源_01库存!$G355))</f>
        <v/>
      </c>
      <c r="H420" s="130" t="str">
        <f aca="false">IF($B420="","",ROUND(N($F420)*N($I420),2))</f>
        <v/>
      </c>
      <c r="I420" s="136"/>
      <c r="J420" s="131" t="str">
        <f aca="false">IF($B420="","",对接源_01库存!$H355)</f>
        <v/>
      </c>
      <c r="K420" s="129"/>
      <c r="L420" s="132" t="str">
        <f aca="false">IF($B420="","",IF(N($I420)=0,"← 这一行还没填单价",""))</f>
        <v/>
      </c>
    </row>
    <row r="421" customFormat="false" ht="15" hidden="false" customHeight="true" outlineLevel="0" collapsed="false">
      <c r="A421" s="63" t="str">
        <f aca="false">IF($B421="","",ROW()-68)</f>
        <v/>
      </c>
      <c r="B421" s="62" t="str">
        <f aca="false">IF(对接源_01库存!$B356="","",对接源_01库存!$B356)</f>
        <v/>
      </c>
      <c r="C421" s="63" t="str">
        <f aca="false">IF($B421="","",对接源_01库存!$C356)</f>
        <v/>
      </c>
      <c r="D421" s="63" t="str">
        <f aca="false">IF($B421="","",对接源_01库存!$D356)</f>
        <v/>
      </c>
      <c r="E421" s="63" t="str">
        <f aca="false">IF($B421="","",对接源_01库存!$E356)</f>
        <v/>
      </c>
      <c r="F421" s="64" t="str">
        <f aca="false">IF($B421="","",N(对接源_01库存!$F356))</f>
        <v/>
      </c>
      <c r="G421" s="65" t="str">
        <f aca="false">IF($B421="","",N(对接源_01库存!$G356))</f>
        <v/>
      </c>
      <c r="H421" s="130" t="str">
        <f aca="false">IF($B421="","",ROUND(N($F421)*N($I421),2))</f>
        <v/>
      </c>
      <c r="I421" s="136"/>
      <c r="J421" s="131" t="str">
        <f aca="false">IF($B421="","",对接源_01库存!$H356)</f>
        <v/>
      </c>
      <c r="K421" s="129"/>
      <c r="L421" s="132" t="str">
        <f aca="false">IF($B421="","",IF(N($I421)=0,"← 这一行还没填单价",""))</f>
        <v/>
      </c>
    </row>
    <row r="422" customFormat="false" ht="15" hidden="false" customHeight="true" outlineLevel="0" collapsed="false">
      <c r="A422" s="63" t="str">
        <f aca="false">IF($B422="","",ROW()-68)</f>
        <v/>
      </c>
      <c r="B422" s="62" t="str">
        <f aca="false">IF(对接源_01库存!$B357="","",对接源_01库存!$B357)</f>
        <v/>
      </c>
      <c r="C422" s="63" t="str">
        <f aca="false">IF($B422="","",对接源_01库存!$C357)</f>
        <v/>
      </c>
      <c r="D422" s="63" t="str">
        <f aca="false">IF($B422="","",对接源_01库存!$D357)</f>
        <v/>
      </c>
      <c r="E422" s="63" t="str">
        <f aca="false">IF($B422="","",对接源_01库存!$E357)</f>
        <v/>
      </c>
      <c r="F422" s="64" t="str">
        <f aca="false">IF($B422="","",N(对接源_01库存!$F357))</f>
        <v/>
      </c>
      <c r="G422" s="65" t="str">
        <f aca="false">IF($B422="","",N(对接源_01库存!$G357))</f>
        <v/>
      </c>
      <c r="H422" s="130" t="str">
        <f aca="false">IF($B422="","",ROUND(N($F422)*N($I422),2))</f>
        <v/>
      </c>
      <c r="I422" s="136"/>
      <c r="J422" s="131" t="str">
        <f aca="false">IF($B422="","",对接源_01库存!$H357)</f>
        <v/>
      </c>
      <c r="K422" s="129"/>
      <c r="L422" s="132" t="str">
        <f aca="false">IF($B422="","",IF(N($I422)=0,"← 这一行还没填单价",""))</f>
        <v/>
      </c>
    </row>
    <row r="423" customFormat="false" ht="15" hidden="false" customHeight="true" outlineLevel="0" collapsed="false">
      <c r="A423" s="63" t="str">
        <f aca="false">IF($B423="","",ROW()-68)</f>
        <v/>
      </c>
      <c r="B423" s="62" t="str">
        <f aca="false">IF(对接源_01库存!$B358="","",对接源_01库存!$B358)</f>
        <v/>
      </c>
      <c r="C423" s="63" t="str">
        <f aca="false">IF($B423="","",对接源_01库存!$C358)</f>
        <v/>
      </c>
      <c r="D423" s="63" t="str">
        <f aca="false">IF($B423="","",对接源_01库存!$D358)</f>
        <v/>
      </c>
      <c r="E423" s="63" t="str">
        <f aca="false">IF($B423="","",对接源_01库存!$E358)</f>
        <v/>
      </c>
      <c r="F423" s="64" t="str">
        <f aca="false">IF($B423="","",N(对接源_01库存!$F358))</f>
        <v/>
      </c>
      <c r="G423" s="65" t="str">
        <f aca="false">IF($B423="","",N(对接源_01库存!$G358))</f>
        <v/>
      </c>
      <c r="H423" s="130" t="str">
        <f aca="false">IF($B423="","",ROUND(N($F423)*N($I423),2))</f>
        <v/>
      </c>
      <c r="I423" s="136"/>
      <c r="J423" s="131" t="str">
        <f aca="false">IF($B423="","",对接源_01库存!$H358)</f>
        <v/>
      </c>
      <c r="K423" s="129"/>
      <c r="L423" s="132" t="str">
        <f aca="false">IF($B423="","",IF(N($I423)=0,"← 这一行还没填单价",""))</f>
        <v/>
      </c>
    </row>
    <row r="424" customFormat="false" ht="15" hidden="false" customHeight="true" outlineLevel="0" collapsed="false">
      <c r="A424" s="63" t="str">
        <f aca="false">IF($B424="","",ROW()-68)</f>
        <v/>
      </c>
      <c r="B424" s="62" t="str">
        <f aca="false">IF(对接源_01库存!$B359="","",对接源_01库存!$B359)</f>
        <v/>
      </c>
      <c r="C424" s="63" t="str">
        <f aca="false">IF($B424="","",对接源_01库存!$C359)</f>
        <v/>
      </c>
      <c r="D424" s="63" t="str">
        <f aca="false">IF($B424="","",对接源_01库存!$D359)</f>
        <v/>
      </c>
      <c r="E424" s="63" t="str">
        <f aca="false">IF($B424="","",对接源_01库存!$E359)</f>
        <v/>
      </c>
      <c r="F424" s="64" t="str">
        <f aca="false">IF($B424="","",N(对接源_01库存!$F359))</f>
        <v/>
      </c>
      <c r="G424" s="65" t="str">
        <f aca="false">IF($B424="","",N(对接源_01库存!$G359))</f>
        <v/>
      </c>
      <c r="H424" s="130" t="str">
        <f aca="false">IF($B424="","",ROUND(N($F424)*N($I424),2))</f>
        <v/>
      </c>
      <c r="I424" s="136"/>
      <c r="J424" s="131" t="str">
        <f aca="false">IF($B424="","",对接源_01库存!$H359)</f>
        <v/>
      </c>
      <c r="K424" s="129"/>
      <c r="L424" s="132" t="str">
        <f aca="false">IF($B424="","",IF(N($I424)=0,"← 这一行还没填单价",""))</f>
        <v/>
      </c>
    </row>
    <row r="425" customFormat="false" ht="15" hidden="false" customHeight="true" outlineLevel="0" collapsed="false">
      <c r="A425" s="63" t="str">
        <f aca="false">IF($B425="","",ROW()-68)</f>
        <v/>
      </c>
      <c r="B425" s="62" t="str">
        <f aca="false">IF(对接源_01库存!$B360="","",对接源_01库存!$B360)</f>
        <v/>
      </c>
      <c r="C425" s="63" t="str">
        <f aca="false">IF($B425="","",对接源_01库存!$C360)</f>
        <v/>
      </c>
      <c r="D425" s="63" t="str">
        <f aca="false">IF($B425="","",对接源_01库存!$D360)</f>
        <v/>
      </c>
      <c r="E425" s="63" t="str">
        <f aca="false">IF($B425="","",对接源_01库存!$E360)</f>
        <v/>
      </c>
      <c r="F425" s="64" t="str">
        <f aca="false">IF($B425="","",N(对接源_01库存!$F360))</f>
        <v/>
      </c>
      <c r="G425" s="65" t="str">
        <f aca="false">IF($B425="","",N(对接源_01库存!$G360))</f>
        <v/>
      </c>
      <c r="H425" s="130" t="str">
        <f aca="false">IF($B425="","",ROUND(N($F425)*N($I425),2))</f>
        <v/>
      </c>
      <c r="I425" s="136"/>
      <c r="J425" s="131" t="str">
        <f aca="false">IF($B425="","",对接源_01库存!$H360)</f>
        <v/>
      </c>
      <c r="K425" s="129"/>
      <c r="L425" s="132" t="str">
        <f aca="false">IF($B425="","",IF(N($I425)=0,"← 这一行还没填单价",""))</f>
        <v/>
      </c>
    </row>
    <row r="426" customFormat="false" ht="15" hidden="false" customHeight="true" outlineLevel="0" collapsed="false">
      <c r="A426" s="63" t="str">
        <f aca="false">IF($B426="","",ROW()-68)</f>
        <v/>
      </c>
      <c r="B426" s="62" t="str">
        <f aca="false">IF(对接源_01库存!$B361="","",对接源_01库存!$B361)</f>
        <v/>
      </c>
      <c r="C426" s="63" t="str">
        <f aca="false">IF($B426="","",对接源_01库存!$C361)</f>
        <v/>
      </c>
      <c r="D426" s="63" t="str">
        <f aca="false">IF($B426="","",对接源_01库存!$D361)</f>
        <v/>
      </c>
      <c r="E426" s="63" t="str">
        <f aca="false">IF($B426="","",对接源_01库存!$E361)</f>
        <v/>
      </c>
      <c r="F426" s="64" t="str">
        <f aca="false">IF($B426="","",N(对接源_01库存!$F361))</f>
        <v/>
      </c>
      <c r="G426" s="65" t="str">
        <f aca="false">IF($B426="","",N(对接源_01库存!$G361))</f>
        <v/>
      </c>
      <c r="H426" s="130" t="str">
        <f aca="false">IF($B426="","",ROUND(N($F426)*N($I426),2))</f>
        <v/>
      </c>
      <c r="I426" s="136"/>
      <c r="J426" s="131" t="str">
        <f aca="false">IF($B426="","",对接源_01库存!$H361)</f>
        <v/>
      </c>
      <c r="K426" s="129"/>
      <c r="L426" s="132" t="str">
        <f aca="false">IF($B426="","",IF(N($I426)=0,"← 这一行还没填单价",""))</f>
        <v/>
      </c>
    </row>
    <row r="427" customFormat="false" ht="15" hidden="false" customHeight="true" outlineLevel="0" collapsed="false">
      <c r="A427" s="63" t="str">
        <f aca="false">IF($B427="","",ROW()-68)</f>
        <v/>
      </c>
      <c r="B427" s="62" t="str">
        <f aca="false">IF(对接源_01库存!$B362="","",对接源_01库存!$B362)</f>
        <v/>
      </c>
      <c r="C427" s="63" t="str">
        <f aca="false">IF($B427="","",对接源_01库存!$C362)</f>
        <v/>
      </c>
      <c r="D427" s="63" t="str">
        <f aca="false">IF($B427="","",对接源_01库存!$D362)</f>
        <v/>
      </c>
      <c r="E427" s="63" t="str">
        <f aca="false">IF($B427="","",对接源_01库存!$E362)</f>
        <v/>
      </c>
      <c r="F427" s="64" t="str">
        <f aca="false">IF($B427="","",N(对接源_01库存!$F362))</f>
        <v/>
      </c>
      <c r="G427" s="65" t="str">
        <f aca="false">IF($B427="","",N(对接源_01库存!$G362))</f>
        <v/>
      </c>
      <c r="H427" s="130" t="str">
        <f aca="false">IF($B427="","",ROUND(N($F427)*N($I427),2))</f>
        <v/>
      </c>
      <c r="I427" s="136"/>
      <c r="J427" s="131" t="str">
        <f aca="false">IF($B427="","",对接源_01库存!$H362)</f>
        <v/>
      </c>
      <c r="K427" s="129"/>
      <c r="L427" s="132" t="str">
        <f aca="false">IF($B427="","",IF(N($I427)=0,"← 这一行还没填单价",""))</f>
        <v/>
      </c>
    </row>
    <row r="428" customFormat="false" ht="15" hidden="false" customHeight="true" outlineLevel="0" collapsed="false">
      <c r="A428" s="63" t="str">
        <f aca="false">IF($B428="","",ROW()-68)</f>
        <v/>
      </c>
      <c r="B428" s="62" t="str">
        <f aca="false">IF(对接源_01库存!$B363="","",对接源_01库存!$B363)</f>
        <v/>
      </c>
      <c r="C428" s="63" t="str">
        <f aca="false">IF($B428="","",对接源_01库存!$C363)</f>
        <v/>
      </c>
      <c r="D428" s="63" t="str">
        <f aca="false">IF($B428="","",对接源_01库存!$D363)</f>
        <v/>
      </c>
      <c r="E428" s="63" t="str">
        <f aca="false">IF($B428="","",对接源_01库存!$E363)</f>
        <v/>
      </c>
      <c r="F428" s="64" t="str">
        <f aca="false">IF($B428="","",N(对接源_01库存!$F363))</f>
        <v/>
      </c>
      <c r="G428" s="65" t="str">
        <f aca="false">IF($B428="","",N(对接源_01库存!$G363))</f>
        <v/>
      </c>
      <c r="H428" s="130" t="str">
        <f aca="false">IF($B428="","",ROUND(N($F428)*N($I428),2))</f>
        <v/>
      </c>
      <c r="I428" s="136"/>
      <c r="J428" s="131" t="str">
        <f aca="false">IF($B428="","",对接源_01库存!$H363)</f>
        <v/>
      </c>
      <c r="K428" s="129"/>
      <c r="L428" s="132" t="str">
        <f aca="false">IF($B428="","",IF(N($I428)=0,"← 这一行还没填单价",""))</f>
        <v/>
      </c>
    </row>
    <row r="429" customFormat="false" ht="15" hidden="false" customHeight="true" outlineLevel="0" collapsed="false">
      <c r="A429" s="63" t="str">
        <f aca="false">IF($B429="","",ROW()-68)</f>
        <v/>
      </c>
      <c r="B429" s="62" t="str">
        <f aca="false">IF(对接源_01库存!$B364="","",对接源_01库存!$B364)</f>
        <v/>
      </c>
      <c r="C429" s="63" t="str">
        <f aca="false">IF($B429="","",对接源_01库存!$C364)</f>
        <v/>
      </c>
      <c r="D429" s="63" t="str">
        <f aca="false">IF($B429="","",对接源_01库存!$D364)</f>
        <v/>
      </c>
      <c r="E429" s="63" t="str">
        <f aca="false">IF($B429="","",对接源_01库存!$E364)</f>
        <v/>
      </c>
      <c r="F429" s="64" t="str">
        <f aca="false">IF($B429="","",N(对接源_01库存!$F364))</f>
        <v/>
      </c>
      <c r="G429" s="65" t="str">
        <f aca="false">IF($B429="","",N(对接源_01库存!$G364))</f>
        <v/>
      </c>
      <c r="H429" s="130" t="str">
        <f aca="false">IF($B429="","",ROUND(N($F429)*N($I429),2))</f>
        <v/>
      </c>
      <c r="I429" s="136"/>
      <c r="J429" s="131" t="str">
        <f aca="false">IF($B429="","",对接源_01库存!$H364)</f>
        <v/>
      </c>
      <c r="K429" s="129"/>
      <c r="L429" s="132" t="str">
        <f aca="false">IF($B429="","",IF(N($I429)=0,"← 这一行还没填单价",""))</f>
        <v/>
      </c>
    </row>
    <row r="430" customFormat="false" ht="15" hidden="false" customHeight="true" outlineLevel="0" collapsed="false">
      <c r="A430" s="63" t="str">
        <f aca="false">IF($B430="","",ROW()-68)</f>
        <v/>
      </c>
      <c r="B430" s="62" t="str">
        <f aca="false">IF(对接源_01库存!$B365="","",对接源_01库存!$B365)</f>
        <v/>
      </c>
      <c r="C430" s="63" t="str">
        <f aca="false">IF($B430="","",对接源_01库存!$C365)</f>
        <v/>
      </c>
      <c r="D430" s="63" t="str">
        <f aca="false">IF($B430="","",对接源_01库存!$D365)</f>
        <v/>
      </c>
      <c r="E430" s="63" t="str">
        <f aca="false">IF($B430="","",对接源_01库存!$E365)</f>
        <v/>
      </c>
      <c r="F430" s="64" t="str">
        <f aca="false">IF($B430="","",N(对接源_01库存!$F365))</f>
        <v/>
      </c>
      <c r="G430" s="65" t="str">
        <f aca="false">IF($B430="","",N(对接源_01库存!$G365))</f>
        <v/>
      </c>
      <c r="H430" s="130" t="str">
        <f aca="false">IF($B430="","",ROUND(N($F430)*N($I430),2))</f>
        <v/>
      </c>
      <c r="I430" s="136"/>
      <c r="J430" s="131" t="str">
        <f aca="false">IF($B430="","",对接源_01库存!$H365)</f>
        <v/>
      </c>
      <c r="K430" s="129"/>
      <c r="L430" s="132" t="str">
        <f aca="false">IF($B430="","",IF(N($I430)=0,"← 这一行还没填单价",""))</f>
        <v/>
      </c>
    </row>
    <row r="431" customFormat="false" ht="15" hidden="false" customHeight="true" outlineLevel="0" collapsed="false">
      <c r="A431" s="63" t="str">
        <f aca="false">IF($B431="","",ROW()-68)</f>
        <v/>
      </c>
      <c r="B431" s="62" t="str">
        <f aca="false">IF(对接源_01库存!$B366="","",对接源_01库存!$B366)</f>
        <v/>
      </c>
      <c r="C431" s="63" t="str">
        <f aca="false">IF($B431="","",对接源_01库存!$C366)</f>
        <v/>
      </c>
      <c r="D431" s="63" t="str">
        <f aca="false">IF($B431="","",对接源_01库存!$D366)</f>
        <v/>
      </c>
      <c r="E431" s="63" t="str">
        <f aca="false">IF($B431="","",对接源_01库存!$E366)</f>
        <v/>
      </c>
      <c r="F431" s="64" t="str">
        <f aca="false">IF($B431="","",N(对接源_01库存!$F366))</f>
        <v/>
      </c>
      <c r="G431" s="65" t="str">
        <f aca="false">IF($B431="","",N(对接源_01库存!$G366))</f>
        <v/>
      </c>
      <c r="H431" s="130" t="str">
        <f aca="false">IF($B431="","",ROUND(N($F431)*N($I431),2))</f>
        <v/>
      </c>
      <c r="I431" s="136"/>
      <c r="J431" s="131" t="str">
        <f aca="false">IF($B431="","",对接源_01库存!$H366)</f>
        <v/>
      </c>
      <c r="K431" s="129"/>
      <c r="L431" s="132" t="str">
        <f aca="false">IF($B431="","",IF(N($I431)=0,"← 这一行还没填单价",""))</f>
        <v/>
      </c>
    </row>
    <row r="432" customFormat="false" ht="15" hidden="false" customHeight="true" outlineLevel="0" collapsed="false">
      <c r="A432" s="63" t="str">
        <f aca="false">IF($B432="","",ROW()-68)</f>
        <v/>
      </c>
      <c r="B432" s="62" t="str">
        <f aca="false">IF(对接源_01库存!$B367="","",对接源_01库存!$B367)</f>
        <v/>
      </c>
      <c r="C432" s="63" t="str">
        <f aca="false">IF($B432="","",对接源_01库存!$C367)</f>
        <v/>
      </c>
      <c r="D432" s="63" t="str">
        <f aca="false">IF($B432="","",对接源_01库存!$D367)</f>
        <v/>
      </c>
      <c r="E432" s="63" t="str">
        <f aca="false">IF($B432="","",对接源_01库存!$E367)</f>
        <v/>
      </c>
      <c r="F432" s="64" t="str">
        <f aca="false">IF($B432="","",N(对接源_01库存!$F367))</f>
        <v/>
      </c>
      <c r="G432" s="65" t="str">
        <f aca="false">IF($B432="","",N(对接源_01库存!$G367))</f>
        <v/>
      </c>
      <c r="H432" s="130" t="str">
        <f aca="false">IF($B432="","",ROUND(N($F432)*N($I432),2))</f>
        <v/>
      </c>
      <c r="I432" s="136"/>
      <c r="J432" s="131" t="str">
        <f aca="false">IF($B432="","",对接源_01库存!$H367)</f>
        <v/>
      </c>
      <c r="K432" s="129"/>
      <c r="L432" s="132" t="str">
        <f aca="false">IF($B432="","",IF(N($I432)=0,"← 这一行还没填单价",""))</f>
        <v/>
      </c>
    </row>
    <row r="433" customFormat="false" ht="15" hidden="false" customHeight="true" outlineLevel="0" collapsed="false">
      <c r="A433" s="63" t="str">
        <f aca="false">IF($B433="","",ROW()-68)</f>
        <v/>
      </c>
      <c r="B433" s="62" t="str">
        <f aca="false">IF(对接源_01库存!$B368="","",对接源_01库存!$B368)</f>
        <v/>
      </c>
      <c r="C433" s="63" t="str">
        <f aca="false">IF($B433="","",对接源_01库存!$C368)</f>
        <v/>
      </c>
      <c r="D433" s="63" t="str">
        <f aca="false">IF($B433="","",对接源_01库存!$D368)</f>
        <v/>
      </c>
      <c r="E433" s="63" t="str">
        <f aca="false">IF($B433="","",对接源_01库存!$E368)</f>
        <v/>
      </c>
      <c r="F433" s="64" t="str">
        <f aca="false">IF($B433="","",N(对接源_01库存!$F368))</f>
        <v/>
      </c>
      <c r="G433" s="65" t="str">
        <f aca="false">IF($B433="","",N(对接源_01库存!$G368))</f>
        <v/>
      </c>
      <c r="H433" s="130" t="str">
        <f aca="false">IF($B433="","",ROUND(N($F433)*N($I433),2))</f>
        <v/>
      </c>
      <c r="I433" s="136"/>
      <c r="J433" s="131" t="str">
        <f aca="false">IF($B433="","",对接源_01库存!$H368)</f>
        <v/>
      </c>
      <c r="K433" s="129"/>
      <c r="L433" s="132" t="str">
        <f aca="false">IF($B433="","",IF(N($I433)=0,"← 这一行还没填单价",""))</f>
        <v/>
      </c>
    </row>
    <row r="434" customFormat="false" ht="15" hidden="false" customHeight="true" outlineLevel="0" collapsed="false">
      <c r="A434" s="63" t="str">
        <f aca="false">IF($B434="","",ROW()-68)</f>
        <v/>
      </c>
      <c r="B434" s="62" t="str">
        <f aca="false">IF(对接源_01库存!$B369="","",对接源_01库存!$B369)</f>
        <v/>
      </c>
      <c r="C434" s="63" t="str">
        <f aca="false">IF($B434="","",对接源_01库存!$C369)</f>
        <v/>
      </c>
      <c r="D434" s="63" t="str">
        <f aca="false">IF($B434="","",对接源_01库存!$D369)</f>
        <v/>
      </c>
      <c r="E434" s="63" t="str">
        <f aca="false">IF($B434="","",对接源_01库存!$E369)</f>
        <v/>
      </c>
      <c r="F434" s="64" t="str">
        <f aca="false">IF($B434="","",N(对接源_01库存!$F369))</f>
        <v/>
      </c>
      <c r="G434" s="65" t="str">
        <f aca="false">IF($B434="","",N(对接源_01库存!$G369))</f>
        <v/>
      </c>
      <c r="H434" s="130" t="str">
        <f aca="false">IF($B434="","",ROUND(N($F434)*N($I434),2))</f>
        <v/>
      </c>
      <c r="I434" s="136"/>
      <c r="J434" s="131" t="str">
        <f aca="false">IF($B434="","",对接源_01库存!$H369)</f>
        <v/>
      </c>
      <c r="K434" s="129"/>
      <c r="L434" s="132" t="str">
        <f aca="false">IF($B434="","",IF(N($I434)=0,"← 这一行还没填单价",""))</f>
        <v/>
      </c>
    </row>
    <row r="435" customFormat="false" ht="15" hidden="false" customHeight="true" outlineLevel="0" collapsed="false">
      <c r="A435" s="63" t="str">
        <f aca="false">IF($B435="","",ROW()-68)</f>
        <v/>
      </c>
      <c r="B435" s="62" t="str">
        <f aca="false">IF(对接源_01库存!$B370="","",对接源_01库存!$B370)</f>
        <v/>
      </c>
      <c r="C435" s="63" t="str">
        <f aca="false">IF($B435="","",对接源_01库存!$C370)</f>
        <v/>
      </c>
      <c r="D435" s="63" t="str">
        <f aca="false">IF($B435="","",对接源_01库存!$D370)</f>
        <v/>
      </c>
      <c r="E435" s="63" t="str">
        <f aca="false">IF($B435="","",对接源_01库存!$E370)</f>
        <v/>
      </c>
      <c r="F435" s="64" t="str">
        <f aca="false">IF($B435="","",N(对接源_01库存!$F370))</f>
        <v/>
      </c>
      <c r="G435" s="65" t="str">
        <f aca="false">IF($B435="","",N(对接源_01库存!$G370))</f>
        <v/>
      </c>
      <c r="H435" s="130" t="str">
        <f aca="false">IF($B435="","",ROUND(N($F435)*N($I435),2))</f>
        <v/>
      </c>
      <c r="I435" s="136"/>
      <c r="J435" s="131" t="str">
        <f aca="false">IF($B435="","",对接源_01库存!$H370)</f>
        <v/>
      </c>
      <c r="K435" s="129"/>
      <c r="L435" s="132" t="str">
        <f aca="false">IF($B435="","",IF(N($I435)=0,"← 这一行还没填单价",""))</f>
        <v/>
      </c>
    </row>
    <row r="436" customFormat="false" ht="15" hidden="false" customHeight="true" outlineLevel="0" collapsed="false">
      <c r="A436" s="63" t="str">
        <f aca="false">IF($B436="","",ROW()-68)</f>
        <v/>
      </c>
      <c r="B436" s="62" t="str">
        <f aca="false">IF(对接源_01库存!$B371="","",对接源_01库存!$B371)</f>
        <v/>
      </c>
      <c r="C436" s="63" t="str">
        <f aca="false">IF($B436="","",对接源_01库存!$C371)</f>
        <v/>
      </c>
      <c r="D436" s="63" t="str">
        <f aca="false">IF($B436="","",对接源_01库存!$D371)</f>
        <v/>
      </c>
      <c r="E436" s="63" t="str">
        <f aca="false">IF($B436="","",对接源_01库存!$E371)</f>
        <v/>
      </c>
      <c r="F436" s="64" t="str">
        <f aca="false">IF($B436="","",N(对接源_01库存!$F371))</f>
        <v/>
      </c>
      <c r="G436" s="65" t="str">
        <f aca="false">IF($B436="","",N(对接源_01库存!$G371))</f>
        <v/>
      </c>
      <c r="H436" s="130" t="str">
        <f aca="false">IF($B436="","",ROUND(N($F436)*N($I436),2))</f>
        <v/>
      </c>
      <c r="I436" s="136"/>
      <c r="J436" s="131" t="str">
        <f aca="false">IF($B436="","",对接源_01库存!$H371)</f>
        <v/>
      </c>
      <c r="K436" s="129"/>
      <c r="L436" s="132" t="str">
        <f aca="false">IF($B436="","",IF(N($I436)=0,"← 这一行还没填单价",""))</f>
        <v/>
      </c>
    </row>
    <row r="437" customFormat="false" ht="15" hidden="false" customHeight="true" outlineLevel="0" collapsed="false">
      <c r="A437" s="63" t="str">
        <f aca="false">IF($B437="","",ROW()-68)</f>
        <v/>
      </c>
      <c r="B437" s="62" t="str">
        <f aca="false">IF(对接源_01库存!$B372="","",对接源_01库存!$B372)</f>
        <v/>
      </c>
      <c r="C437" s="63" t="str">
        <f aca="false">IF($B437="","",对接源_01库存!$C372)</f>
        <v/>
      </c>
      <c r="D437" s="63" t="str">
        <f aca="false">IF($B437="","",对接源_01库存!$D372)</f>
        <v/>
      </c>
      <c r="E437" s="63" t="str">
        <f aca="false">IF($B437="","",对接源_01库存!$E372)</f>
        <v/>
      </c>
      <c r="F437" s="64" t="str">
        <f aca="false">IF($B437="","",N(对接源_01库存!$F372))</f>
        <v/>
      </c>
      <c r="G437" s="65" t="str">
        <f aca="false">IF($B437="","",N(对接源_01库存!$G372))</f>
        <v/>
      </c>
      <c r="H437" s="130" t="str">
        <f aca="false">IF($B437="","",ROUND(N($F437)*N($I437),2))</f>
        <v/>
      </c>
      <c r="I437" s="136"/>
      <c r="J437" s="131" t="str">
        <f aca="false">IF($B437="","",对接源_01库存!$H372)</f>
        <v/>
      </c>
      <c r="K437" s="129"/>
      <c r="L437" s="132" t="str">
        <f aca="false">IF($B437="","",IF(N($I437)=0,"← 这一行还没填单价",""))</f>
        <v/>
      </c>
    </row>
    <row r="438" customFormat="false" ht="15" hidden="false" customHeight="true" outlineLevel="0" collapsed="false">
      <c r="A438" s="63" t="str">
        <f aca="false">IF($B438="","",ROW()-68)</f>
        <v/>
      </c>
      <c r="B438" s="62" t="str">
        <f aca="false">IF(对接源_01库存!$B373="","",对接源_01库存!$B373)</f>
        <v/>
      </c>
      <c r="C438" s="63" t="str">
        <f aca="false">IF($B438="","",对接源_01库存!$C373)</f>
        <v/>
      </c>
      <c r="D438" s="63" t="str">
        <f aca="false">IF($B438="","",对接源_01库存!$D373)</f>
        <v/>
      </c>
      <c r="E438" s="63" t="str">
        <f aca="false">IF($B438="","",对接源_01库存!$E373)</f>
        <v/>
      </c>
      <c r="F438" s="64" t="str">
        <f aca="false">IF($B438="","",N(对接源_01库存!$F373))</f>
        <v/>
      </c>
      <c r="G438" s="65" t="str">
        <f aca="false">IF($B438="","",N(对接源_01库存!$G373))</f>
        <v/>
      </c>
      <c r="H438" s="130" t="str">
        <f aca="false">IF($B438="","",ROUND(N($F438)*N($I438),2))</f>
        <v/>
      </c>
      <c r="I438" s="136"/>
      <c r="J438" s="131" t="str">
        <f aca="false">IF($B438="","",对接源_01库存!$H373)</f>
        <v/>
      </c>
      <c r="K438" s="129"/>
      <c r="L438" s="132" t="str">
        <f aca="false">IF($B438="","",IF(N($I438)=0,"← 这一行还没填单价",""))</f>
        <v/>
      </c>
    </row>
    <row r="439" customFormat="false" ht="15" hidden="false" customHeight="true" outlineLevel="0" collapsed="false">
      <c r="A439" s="63" t="str">
        <f aca="false">IF($B439="","",ROW()-68)</f>
        <v/>
      </c>
      <c r="B439" s="62" t="str">
        <f aca="false">IF(对接源_01库存!$B374="","",对接源_01库存!$B374)</f>
        <v/>
      </c>
      <c r="C439" s="63" t="str">
        <f aca="false">IF($B439="","",对接源_01库存!$C374)</f>
        <v/>
      </c>
      <c r="D439" s="63" t="str">
        <f aca="false">IF($B439="","",对接源_01库存!$D374)</f>
        <v/>
      </c>
      <c r="E439" s="63" t="str">
        <f aca="false">IF($B439="","",对接源_01库存!$E374)</f>
        <v/>
      </c>
      <c r="F439" s="64" t="str">
        <f aca="false">IF($B439="","",N(对接源_01库存!$F374))</f>
        <v/>
      </c>
      <c r="G439" s="65" t="str">
        <f aca="false">IF($B439="","",N(对接源_01库存!$G374))</f>
        <v/>
      </c>
      <c r="H439" s="130" t="str">
        <f aca="false">IF($B439="","",ROUND(N($F439)*N($I439),2))</f>
        <v/>
      </c>
      <c r="I439" s="136"/>
      <c r="J439" s="131" t="str">
        <f aca="false">IF($B439="","",对接源_01库存!$H374)</f>
        <v/>
      </c>
      <c r="K439" s="129"/>
      <c r="L439" s="132" t="str">
        <f aca="false">IF($B439="","",IF(N($I439)=0,"← 这一行还没填单价",""))</f>
        <v/>
      </c>
    </row>
    <row r="440" customFormat="false" ht="15" hidden="false" customHeight="true" outlineLevel="0" collapsed="false">
      <c r="A440" s="63" t="str">
        <f aca="false">IF($B440="","",ROW()-68)</f>
        <v/>
      </c>
      <c r="B440" s="62" t="str">
        <f aca="false">IF(对接源_01库存!$B375="","",对接源_01库存!$B375)</f>
        <v/>
      </c>
      <c r="C440" s="63" t="str">
        <f aca="false">IF($B440="","",对接源_01库存!$C375)</f>
        <v/>
      </c>
      <c r="D440" s="63" t="str">
        <f aca="false">IF($B440="","",对接源_01库存!$D375)</f>
        <v/>
      </c>
      <c r="E440" s="63" t="str">
        <f aca="false">IF($B440="","",对接源_01库存!$E375)</f>
        <v/>
      </c>
      <c r="F440" s="64" t="str">
        <f aca="false">IF($B440="","",N(对接源_01库存!$F375))</f>
        <v/>
      </c>
      <c r="G440" s="65" t="str">
        <f aca="false">IF($B440="","",N(对接源_01库存!$G375))</f>
        <v/>
      </c>
      <c r="H440" s="130" t="str">
        <f aca="false">IF($B440="","",ROUND(N($F440)*N($I440),2))</f>
        <v/>
      </c>
      <c r="I440" s="136"/>
      <c r="J440" s="131" t="str">
        <f aca="false">IF($B440="","",对接源_01库存!$H375)</f>
        <v/>
      </c>
      <c r="K440" s="129"/>
      <c r="L440" s="132" t="str">
        <f aca="false">IF($B440="","",IF(N($I440)=0,"← 这一行还没填单价",""))</f>
        <v/>
      </c>
    </row>
    <row r="441" customFormat="false" ht="15" hidden="false" customHeight="true" outlineLevel="0" collapsed="false">
      <c r="A441" s="63" t="str">
        <f aca="false">IF($B441="","",ROW()-68)</f>
        <v/>
      </c>
      <c r="B441" s="62" t="str">
        <f aca="false">IF(对接源_01库存!$B376="","",对接源_01库存!$B376)</f>
        <v/>
      </c>
      <c r="C441" s="63" t="str">
        <f aca="false">IF($B441="","",对接源_01库存!$C376)</f>
        <v/>
      </c>
      <c r="D441" s="63" t="str">
        <f aca="false">IF($B441="","",对接源_01库存!$D376)</f>
        <v/>
      </c>
      <c r="E441" s="63" t="str">
        <f aca="false">IF($B441="","",对接源_01库存!$E376)</f>
        <v/>
      </c>
      <c r="F441" s="64" t="str">
        <f aca="false">IF($B441="","",N(对接源_01库存!$F376))</f>
        <v/>
      </c>
      <c r="G441" s="65" t="str">
        <f aca="false">IF($B441="","",N(对接源_01库存!$G376))</f>
        <v/>
      </c>
      <c r="H441" s="130" t="str">
        <f aca="false">IF($B441="","",ROUND(N($F441)*N($I441),2))</f>
        <v/>
      </c>
      <c r="I441" s="136"/>
      <c r="J441" s="131" t="str">
        <f aca="false">IF($B441="","",对接源_01库存!$H376)</f>
        <v/>
      </c>
      <c r="K441" s="129"/>
      <c r="L441" s="132" t="str">
        <f aca="false">IF($B441="","",IF(N($I441)=0,"← 这一行还没填单价",""))</f>
        <v/>
      </c>
    </row>
    <row r="442" customFormat="false" ht="15" hidden="false" customHeight="true" outlineLevel="0" collapsed="false">
      <c r="A442" s="63" t="str">
        <f aca="false">IF($B442="","",ROW()-68)</f>
        <v/>
      </c>
      <c r="B442" s="62" t="str">
        <f aca="false">IF(对接源_01库存!$B377="","",对接源_01库存!$B377)</f>
        <v/>
      </c>
      <c r="C442" s="63" t="str">
        <f aca="false">IF($B442="","",对接源_01库存!$C377)</f>
        <v/>
      </c>
      <c r="D442" s="63" t="str">
        <f aca="false">IF($B442="","",对接源_01库存!$D377)</f>
        <v/>
      </c>
      <c r="E442" s="63" t="str">
        <f aca="false">IF($B442="","",对接源_01库存!$E377)</f>
        <v/>
      </c>
      <c r="F442" s="64" t="str">
        <f aca="false">IF($B442="","",N(对接源_01库存!$F377))</f>
        <v/>
      </c>
      <c r="G442" s="65" t="str">
        <f aca="false">IF($B442="","",N(对接源_01库存!$G377))</f>
        <v/>
      </c>
      <c r="H442" s="130" t="str">
        <f aca="false">IF($B442="","",ROUND(N($F442)*N($I442),2))</f>
        <v/>
      </c>
      <c r="I442" s="136"/>
      <c r="J442" s="131" t="str">
        <f aca="false">IF($B442="","",对接源_01库存!$H377)</f>
        <v/>
      </c>
      <c r="K442" s="129"/>
      <c r="L442" s="132" t="str">
        <f aca="false">IF($B442="","",IF(N($I442)=0,"← 这一行还没填单价",""))</f>
        <v/>
      </c>
    </row>
    <row r="443" customFormat="false" ht="15" hidden="false" customHeight="true" outlineLevel="0" collapsed="false">
      <c r="A443" s="63" t="str">
        <f aca="false">IF($B443="","",ROW()-68)</f>
        <v/>
      </c>
      <c r="B443" s="62" t="str">
        <f aca="false">IF(对接源_01库存!$B378="","",对接源_01库存!$B378)</f>
        <v/>
      </c>
      <c r="C443" s="63" t="str">
        <f aca="false">IF($B443="","",对接源_01库存!$C378)</f>
        <v/>
      </c>
      <c r="D443" s="63" t="str">
        <f aca="false">IF($B443="","",对接源_01库存!$D378)</f>
        <v/>
      </c>
      <c r="E443" s="63" t="str">
        <f aca="false">IF($B443="","",对接源_01库存!$E378)</f>
        <v/>
      </c>
      <c r="F443" s="64" t="str">
        <f aca="false">IF($B443="","",N(对接源_01库存!$F378))</f>
        <v/>
      </c>
      <c r="G443" s="65" t="str">
        <f aca="false">IF($B443="","",N(对接源_01库存!$G378))</f>
        <v/>
      </c>
      <c r="H443" s="130" t="str">
        <f aca="false">IF($B443="","",ROUND(N($F443)*N($I443),2))</f>
        <v/>
      </c>
      <c r="I443" s="136"/>
      <c r="J443" s="131" t="str">
        <f aca="false">IF($B443="","",对接源_01库存!$H378)</f>
        <v/>
      </c>
      <c r="K443" s="129"/>
      <c r="L443" s="132" t="str">
        <f aca="false">IF($B443="","",IF(N($I443)=0,"← 这一行还没填单价",""))</f>
        <v/>
      </c>
    </row>
    <row r="444" customFormat="false" ht="15" hidden="false" customHeight="true" outlineLevel="0" collapsed="false">
      <c r="A444" s="63" t="str">
        <f aca="false">IF($B444="","",ROW()-68)</f>
        <v/>
      </c>
      <c r="B444" s="62" t="str">
        <f aca="false">IF(对接源_01库存!$B379="","",对接源_01库存!$B379)</f>
        <v/>
      </c>
      <c r="C444" s="63" t="str">
        <f aca="false">IF($B444="","",对接源_01库存!$C379)</f>
        <v/>
      </c>
      <c r="D444" s="63" t="str">
        <f aca="false">IF($B444="","",对接源_01库存!$D379)</f>
        <v/>
      </c>
      <c r="E444" s="63" t="str">
        <f aca="false">IF($B444="","",对接源_01库存!$E379)</f>
        <v/>
      </c>
      <c r="F444" s="64" t="str">
        <f aca="false">IF($B444="","",N(对接源_01库存!$F379))</f>
        <v/>
      </c>
      <c r="G444" s="65" t="str">
        <f aca="false">IF($B444="","",N(对接源_01库存!$G379))</f>
        <v/>
      </c>
      <c r="H444" s="130" t="str">
        <f aca="false">IF($B444="","",ROUND(N($F444)*N($I444),2))</f>
        <v/>
      </c>
      <c r="I444" s="136"/>
      <c r="J444" s="131" t="str">
        <f aca="false">IF($B444="","",对接源_01库存!$H379)</f>
        <v/>
      </c>
      <c r="K444" s="129"/>
      <c r="L444" s="132" t="str">
        <f aca="false">IF($B444="","",IF(N($I444)=0,"← 这一行还没填单价",""))</f>
        <v/>
      </c>
    </row>
    <row r="445" customFormat="false" ht="15" hidden="false" customHeight="true" outlineLevel="0" collapsed="false">
      <c r="A445" s="63" t="str">
        <f aca="false">IF($B445="","",ROW()-68)</f>
        <v/>
      </c>
      <c r="B445" s="62" t="str">
        <f aca="false">IF(对接源_01库存!$B380="","",对接源_01库存!$B380)</f>
        <v/>
      </c>
      <c r="C445" s="63" t="str">
        <f aca="false">IF($B445="","",对接源_01库存!$C380)</f>
        <v/>
      </c>
      <c r="D445" s="63" t="str">
        <f aca="false">IF($B445="","",对接源_01库存!$D380)</f>
        <v/>
      </c>
      <c r="E445" s="63" t="str">
        <f aca="false">IF($B445="","",对接源_01库存!$E380)</f>
        <v/>
      </c>
      <c r="F445" s="64" t="str">
        <f aca="false">IF($B445="","",N(对接源_01库存!$F380))</f>
        <v/>
      </c>
      <c r="G445" s="65" t="str">
        <f aca="false">IF($B445="","",N(对接源_01库存!$G380))</f>
        <v/>
      </c>
      <c r="H445" s="130" t="str">
        <f aca="false">IF($B445="","",ROUND(N($F445)*N($I445),2))</f>
        <v/>
      </c>
      <c r="I445" s="136"/>
      <c r="J445" s="131" t="str">
        <f aca="false">IF($B445="","",对接源_01库存!$H380)</f>
        <v/>
      </c>
      <c r="K445" s="129"/>
      <c r="L445" s="132" t="str">
        <f aca="false">IF($B445="","",IF(N($I445)=0,"← 这一行还没填单价",""))</f>
        <v/>
      </c>
    </row>
    <row r="446" customFormat="false" ht="15" hidden="false" customHeight="true" outlineLevel="0" collapsed="false">
      <c r="A446" s="63" t="str">
        <f aca="false">IF($B446="","",ROW()-68)</f>
        <v/>
      </c>
      <c r="B446" s="62" t="str">
        <f aca="false">IF(对接源_01库存!$B381="","",对接源_01库存!$B381)</f>
        <v/>
      </c>
      <c r="C446" s="63" t="str">
        <f aca="false">IF($B446="","",对接源_01库存!$C381)</f>
        <v/>
      </c>
      <c r="D446" s="63" t="str">
        <f aca="false">IF($B446="","",对接源_01库存!$D381)</f>
        <v/>
      </c>
      <c r="E446" s="63" t="str">
        <f aca="false">IF($B446="","",对接源_01库存!$E381)</f>
        <v/>
      </c>
      <c r="F446" s="64" t="str">
        <f aca="false">IF($B446="","",N(对接源_01库存!$F381))</f>
        <v/>
      </c>
      <c r="G446" s="65" t="str">
        <f aca="false">IF($B446="","",N(对接源_01库存!$G381))</f>
        <v/>
      </c>
      <c r="H446" s="130" t="str">
        <f aca="false">IF($B446="","",ROUND(N($F446)*N($I446),2))</f>
        <v/>
      </c>
      <c r="I446" s="136"/>
      <c r="J446" s="131" t="str">
        <f aca="false">IF($B446="","",对接源_01库存!$H381)</f>
        <v/>
      </c>
      <c r="K446" s="129"/>
      <c r="L446" s="132" t="str">
        <f aca="false">IF($B446="","",IF(N($I446)=0,"← 这一行还没填单价",""))</f>
        <v/>
      </c>
    </row>
    <row r="447" customFormat="false" ht="15" hidden="false" customHeight="true" outlineLevel="0" collapsed="false">
      <c r="A447" s="63" t="str">
        <f aca="false">IF($B447="","",ROW()-68)</f>
        <v/>
      </c>
      <c r="B447" s="62" t="str">
        <f aca="false">IF(对接源_01库存!$B382="","",对接源_01库存!$B382)</f>
        <v/>
      </c>
      <c r="C447" s="63" t="str">
        <f aca="false">IF($B447="","",对接源_01库存!$C382)</f>
        <v/>
      </c>
      <c r="D447" s="63" t="str">
        <f aca="false">IF($B447="","",对接源_01库存!$D382)</f>
        <v/>
      </c>
      <c r="E447" s="63" t="str">
        <f aca="false">IF($B447="","",对接源_01库存!$E382)</f>
        <v/>
      </c>
      <c r="F447" s="64" t="str">
        <f aca="false">IF($B447="","",N(对接源_01库存!$F382))</f>
        <v/>
      </c>
      <c r="G447" s="65" t="str">
        <f aca="false">IF($B447="","",N(对接源_01库存!$G382))</f>
        <v/>
      </c>
      <c r="H447" s="130" t="str">
        <f aca="false">IF($B447="","",ROUND(N($F447)*N($I447),2))</f>
        <v/>
      </c>
      <c r="I447" s="136"/>
      <c r="J447" s="131" t="str">
        <f aca="false">IF($B447="","",对接源_01库存!$H382)</f>
        <v/>
      </c>
      <c r="K447" s="129"/>
      <c r="L447" s="132" t="str">
        <f aca="false">IF($B447="","",IF(N($I447)=0,"← 这一行还没填单价",""))</f>
        <v/>
      </c>
    </row>
    <row r="448" customFormat="false" ht="15" hidden="false" customHeight="true" outlineLevel="0" collapsed="false">
      <c r="A448" s="63" t="str">
        <f aca="false">IF($B448="","",ROW()-68)</f>
        <v/>
      </c>
      <c r="B448" s="62" t="str">
        <f aca="false">IF(对接源_01库存!$B383="","",对接源_01库存!$B383)</f>
        <v/>
      </c>
      <c r="C448" s="63" t="str">
        <f aca="false">IF($B448="","",对接源_01库存!$C383)</f>
        <v/>
      </c>
      <c r="D448" s="63" t="str">
        <f aca="false">IF($B448="","",对接源_01库存!$D383)</f>
        <v/>
      </c>
      <c r="E448" s="63" t="str">
        <f aca="false">IF($B448="","",对接源_01库存!$E383)</f>
        <v/>
      </c>
      <c r="F448" s="64" t="str">
        <f aca="false">IF($B448="","",N(对接源_01库存!$F383))</f>
        <v/>
      </c>
      <c r="G448" s="65" t="str">
        <f aca="false">IF($B448="","",N(对接源_01库存!$G383))</f>
        <v/>
      </c>
      <c r="H448" s="130" t="str">
        <f aca="false">IF($B448="","",ROUND(N($F448)*N($I448),2))</f>
        <v/>
      </c>
      <c r="I448" s="136"/>
      <c r="J448" s="131" t="str">
        <f aca="false">IF($B448="","",对接源_01库存!$H383)</f>
        <v/>
      </c>
      <c r="K448" s="129"/>
      <c r="L448" s="132" t="str">
        <f aca="false">IF($B448="","",IF(N($I448)=0,"← 这一行还没填单价",""))</f>
        <v/>
      </c>
    </row>
    <row r="449" customFormat="false" ht="15" hidden="false" customHeight="true" outlineLevel="0" collapsed="false">
      <c r="A449" s="63" t="str">
        <f aca="false">IF($B449="","",ROW()-68)</f>
        <v/>
      </c>
      <c r="B449" s="62" t="str">
        <f aca="false">IF(对接源_01库存!$B384="","",对接源_01库存!$B384)</f>
        <v/>
      </c>
      <c r="C449" s="63" t="str">
        <f aca="false">IF($B449="","",对接源_01库存!$C384)</f>
        <v/>
      </c>
      <c r="D449" s="63" t="str">
        <f aca="false">IF($B449="","",对接源_01库存!$D384)</f>
        <v/>
      </c>
      <c r="E449" s="63" t="str">
        <f aca="false">IF($B449="","",对接源_01库存!$E384)</f>
        <v/>
      </c>
      <c r="F449" s="64" t="str">
        <f aca="false">IF($B449="","",N(对接源_01库存!$F384))</f>
        <v/>
      </c>
      <c r="G449" s="65" t="str">
        <f aca="false">IF($B449="","",N(对接源_01库存!$G384))</f>
        <v/>
      </c>
      <c r="H449" s="130" t="str">
        <f aca="false">IF($B449="","",ROUND(N($F449)*N($I449),2))</f>
        <v/>
      </c>
      <c r="I449" s="136"/>
      <c r="J449" s="131" t="str">
        <f aca="false">IF($B449="","",对接源_01库存!$H384)</f>
        <v/>
      </c>
      <c r="K449" s="129"/>
      <c r="L449" s="132" t="str">
        <f aca="false">IF($B449="","",IF(N($I449)=0,"← 这一行还没填单价",""))</f>
        <v/>
      </c>
    </row>
    <row r="450" customFormat="false" ht="15" hidden="false" customHeight="true" outlineLevel="0" collapsed="false">
      <c r="A450" s="63" t="str">
        <f aca="false">IF($B450="","",ROW()-68)</f>
        <v/>
      </c>
      <c r="B450" s="62" t="str">
        <f aca="false">IF(对接源_01库存!$B385="","",对接源_01库存!$B385)</f>
        <v/>
      </c>
      <c r="C450" s="63" t="str">
        <f aca="false">IF($B450="","",对接源_01库存!$C385)</f>
        <v/>
      </c>
      <c r="D450" s="63" t="str">
        <f aca="false">IF($B450="","",对接源_01库存!$D385)</f>
        <v/>
      </c>
      <c r="E450" s="63" t="str">
        <f aca="false">IF($B450="","",对接源_01库存!$E385)</f>
        <v/>
      </c>
      <c r="F450" s="64" t="str">
        <f aca="false">IF($B450="","",N(对接源_01库存!$F385))</f>
        <v/>
      </c>
      <c r="G450" s="65" t="str">
        <f aca="false">IF($B450="","",N(对接源_01库存!$G385))</f>
        <v/>
      </c>
      <c r="H450" s="130" t="str">
        <f aca="false">IF($B450="","",ROUND(N($F450)*N($I450),2))</f>
        <v/>
      </c>
      <c r="I450" s="136"/>
      <c r="J450" s="131" t="str">
        <f aca="false">IF($B450="","",对接源_01库存!$H385)</f>
        <v/>
      </c>
      <c r="K450" s="129"/>
      <c r="L450" s="132" t="str">
        <f aca="false">IF($B450="","",IF(N($I450)=0,"← 这一行还没填单价",""))</f>
        <v/>
      </c>
    </row>
    <row r="451" customFormat="false" ht="15" hidden="false" customHeight="true" outlineLevel="0" collapsed="false">
      <c r="A451" s="63" t="str">
        <f aca="false">IF($B451="","",ROW()-68)</f>
        <v/>
      </c>
      <c r="B451" s="62" t="str">
        <f aca="false">IF(对接源_01库存!$B386="","",对接源_01库存!$B386)</f>
        <v/>
      </c>
      <c r="C451" s="63" t="str">
        <f aca="false">IF($B451="","",对接源_01库存!$C386)</f>
        <v/>
      </c>
      <c r="D451" s="63" t="str">
        <f aca="false">IF($B451="","",对接源_01库存!$D386)</f>
        <v/>
      </c>
      <c r="E451" s="63" t="str">
        <f aca="false">IF($B451="","",对接源_01库存!$E386)</f>
        <v/>
      </c>
      <c r="F451" s="64" t="str">
        <f aca="false">IF($B451="","",N(对接源_01库存!$F386))</f>
        <v/>
      </c>
      <c r="G451" s="65" t="str">
        <f aca="false">IF($B451="","",N(对接源_01库存!$G386))</f>
        <v/>
      </c>
      <c r="H451" s="130" t="str">
        <f aca="false">IF($B451="","",ROUND(N($F451)*N($I451),2))</f>
        <v/>
      </c>
      <c r="I451" s="136"/>
      <c r="J451" s="131" t="str">
        <f aca="false">IF($B451="","",对接源_01库存!$H386)</f>
        <v/>
      </c>
      <c r="K451" s="129"/>
      <c r="L451" s="132" t="str">
        <f aca="false">IF($B451="","",IF(N($I451)=0,"← 这一行还没填单价",""))</f>
        <v/>
      </c>
    </row>
    <row r="452" customFormat="false" ht="15" hidden="false" customHeight="true" outlineLevel="0" collapsed="false">
      <c r="A452" s="63" t="str">
        <f aca="false">IF($B452="","",ROW()-68)</f>
        <v/>
      </c>
      <c r="B452" s="62" t="str">
        <f aca="false">IF(对接源_01库存!$B387="","",对接源_01库存!$B387)</f>
        <v/>
      </c>
      <c r="C452" s="63" t="str">
        <f aca="false">IF($B452="","",对接源_01库存!$C387)</f>
        <v/>
      </c>
      <c r="D452" s="63" t="str">
        <f aca="false">IF($B452="","",对接源_01库存!$D387)</f>
        <v/>
      </c>
      <c r="E452" s="63" t="str">
        <f aca="false">IF($B452="","",对接源_01库存!$E387)</f>
        <v/>
      </c>
      <c r="F452" s="64" t="str">
        <f aca="false">IF($B452="","",N(对接源_01库存!$F387))</f>
        <v/>
      </c>
      <c r="G452" s="65" t="str">
        <f aca="false">IF($B452="","",N(对接源_01库存!$G387))</f>
        <v/>
      </c>
      <c r="H452" s="130" t="str">
        <f aca="false">IF($B452="","",ROUND(N($F452)*N($I452),2))</f>
        <v/>
      </c>
      <c r="I452" s="136"/>
      <c r="J452" s="131" t="str">
        <f aca="false">IF($B452="","",对接源_01库存!$H387)</f>
        <v/>
      </c>
      <c r="K452" s="129"/>
      <c r="L452" s="132" t="str">
        <f aca="false">IF($B452="","",IF(N($I452)=0,"← 这一行还没填单价",""))</f>
        <v/>
      </c>
    </row>
    <row r="453" customFormat="false" ht="15" hidden="false" customHeight="true" outlineLevel="0" collapsed="false">
      <c r="A453" s="63" t="str">
        <f aca="false">IF($B453="","",ROW()-68)</f>
        <v/>
      </c>
      <c r="B453" s="62" t="str">
        <f aca="false">IF(对接源_01库存!$B388="","",对接源_01库存!$B388)</f>
        <v/>
      </c>
      <c r="C453" s="63" t="str">
        <f aca="false">IF($B453="","",对接源_01库存!$C388)</f>
        <v/>
      </c>
      <c r="D453" s="63" t="str">
        <f aca="false">IF($B453="","",对接源_01库存!$D388)</f>
        <v/>
      </c>
      <c r="E453" s="63" t="str">
        <f aca="false">IF($B453="","",对接源_01库存!$E388)</f>
        <v/>
      </c>
      <c r="F453" s="64" t="str">
        <f aca="false">IF($B453="","",N(对接源_01库存!$F388))</f>
        <v/>
      </c>
      <c r="G453" s="65" t="str">
        <f aca="false">IF($B453="","",N(对接源_01库存!$G388))</f>
        <v/>
      </c>
      <c r="H453" s="130" t="str">
        <f aca="false">IF($B453="","",ROUND(N($F453)*N($I453),2))</f>
        <v/>
      </c>
      <c r="I453" s="136"/>
      <c r="J453" s="131" t="str">
        <f aca="false">IF($B453="","",对接源_01库存!$H388)</f>
        <v/>
      </c>
      <c r="K453" s="129"/>
      <c r="L453" s="132" t="str">
        <f aca="false">IF($B453="","",IF(N($I453)=0,"← 这一行还没填单价",""))</f>
        <v/>
      </c>
    </row>
    <row r="454" customFormat="false" ht="15" hidden="false" customHeight="true" outlineLevel="0" collapsed="false">
      <c r="A454" s="63" t="str">
        <f aca="false">IF($B454="","",ROW()-68)</f>
        <v/>
      </c>
      <c r="B454" s="62" t="str">
        <f aca="false">IF(对接源_01库存!$B389="","",对接源_01库存!$B389)</f>
        <v/>
      </c>
      <c r="C454" s="63" t="str">
        <f aca="false">IF($B454="","",对接源_01库存!$C389)</f>
        <v/>
      </c>
      <c r="D454" s="63" t="str">
        <f aca="false">IF($B454="","",对接源_01库存!$D389)</f>
        <v/>
      </c>
      <c r="E454" s="63" t="str">
        <f aca="false">IF($B454="","",对接源_01库存!$E389)</f>
        <v/>
      </c>
      <c r="F454" s="64" t="str">
        <f aca="false">IF($B454="","",N(对接源_01库存!$F389))</f>
        <v/>
      </c>
      <c r="G454" s="65" t="str">
        <f aca="false">IF($B454="","",N(对接源_01库存!$G389))</f>
        <v/>
      </c>
      <c r="H454" s="130" t="str">
        <f aca="false">IF($B454="","",ROUND(N($F454)*N($I454),2))</f>
        <v/>
      </c>
      <c r="I454" s="136"/>
      <c r="J454" s="131" t="str">
        <f aca="false">IF($B454="","",对接源_01库存!$H389)</f>
        <v/>
      </c>
      <c r="K454" s="129"/>
      <c r="L454" s="132" t="str">
        <f aca="false">IF($B454="","",IF(N($I454)=0,"← 这一行还没填单价",""))</f>
        <v/>
      </c>
    </row>
    <row r="455" customFormat="false" ht="15" hidden="false" customHeight="true" outlineLevel="0" collapsed="false">
      <c r="A455" s="63" t="str">
        <f aca="false">IF($B455="","",ROW()-68)</f>
        <v/>
      </c>
      <c r="B455" s="62" t="str">
        <f aca="false">IF(对接源_01库存!$B390="","",对接源_01库存!$B390)</f>
        <v/>
      </c>
      <c r="C455" s="63" t="str">
        <f aca="false">IF($B455="","",对接源_01库存!$C390)</f>
        <v/>
      </c>
      <c r="D455" s="63" t="str">
        <f aca="false">IF($B455="","",对接源_01库存!$D390)</f>
        <v/>
      </c>
      <c r="E455" s="63" t="str">
        <f aca="false">IF($B455="","",对接源_01库存!$E390)</f>
        <v/>
      </c>
      <c r="F455" s="64" t="str">
        <f aca="false">IF($B455="","",N(对接源_01库存!$F390))</f>
        <v/>
      </c>
      <c r="G455" s="65" t="str">
        <f aca="false">IF($B455="","",N(对接源_01库存!$G390))</f>
        <v/>
      </c>
      <c r="H455" s="130" t="str">
        <f aca="false">IF($B455="","",ROUND(N($F455)*N($I455),2))</f>
        <v/>
      </c>
      <c r="I455" s="136"/>
      <c r="J455" s="131" t="str">
        <f aca="false">IF($B455="","",对接源_01库存!$H390)</f>
        <v/>
      </c>
      <c r="K455" s="129"/>
      <c r="L455" s="132" t="str">
        <f aca="false">IF($B455="","",IF(N($I455)=0,"← 这一行还没填单价",""))</f>
        <v/>
      </c>
    </row>
    <row r="456" customFormat="false" ht="15" hidden="false" customHeight="true" outlineLevel="0" collapsed="false">
      <c r="A456" s="63" t="str">
        <f aca="false">IF($B456="","",ROW()-68)</f>
        <v/>
      </c>
      <c r="B456" s="62" t="str">
        <f aca="false">IF(对接源_01库存!$B391="","",对接源_01库存!$B391)</f>
        <v/>
      </c>
      <c r="C456" s="63" t="str">
        <f aca="false">IF($B456="","",对接源_01库存!$C391)</f>
        <v/>
      </c>
      <c r="D456" s="63" t="str">
        <f aca="false">IF($B456="","",对接源_01库存!$D391)</f>
        <v/>
      </c>
      <c r="E456" s="63" t="str">
        <f aca="false">IF($B456="","",对接源_01库存!$E391)</f>
        <v/>
      </c>
      <c r="F456" s="64" t="str">
        <f aca="false">IF($B456="","",N(对接源_01库存!$F391))</f>
        <v/>
      </c>
      <c r="G456" s="65" t="str">
        <f aca="false">IF($B456="","",N(对接源_01库存!$G391))</f>
        <v/>
      </c>
      <c r="H456" s="130" t="str">
        <f aca="false">IF($B456="","",ROUND(N($F456)*N($I456),2))</f>
        <v/>
      </c>
      <c r="I456" s="136"/>
      <c r="J456" s="131" t="str">
        <f aca="false">IF($B456="","",对接源_01库存!$H391)</f>
        <v/>
      </c>
      <c r="K456" s="129"/>
      <c r="L456" s="132" t="str">
        <f aca="false">IF($B456="","",IF(N($I456)=0,"← 这一行还没填单价",""))</f>
        <v/>
      </c>
    </row>
    <row r="457" customFormat="false" ht="15" hidden="false" customHeight="true" outlineLevel="0" collapsed="false">
      <c r="A457" s="63" t="str">
        <f aca="false">IF($B457="","",ROW()-68)</f>
        <v/>
      </c>
      <c r="B457" s="62" t="str">
        <f aca="false">IF(对接源_01库存!$B392="","",对接源_01库存!$B392)</f>
        <v/>
      </c>
      <c r="C457" s="63" t="str">
        <f aca="false">IF($B457="","",对接源_01库存!$C392)</f>
        <v/>
      </c>
      <c r="D457" s="63" t="str">
        <f aca="false">IF($B457="","",对接源_01库存!$D392)</f>
        <v/>
      </c>
      <c r="E457" s="63" t="str">
        <f aca="false">IF($B457="","",对接源_01库存!$E392)</f>
        <v/>
      </c>
      <c r="F457" s="64" t="str">
        <f aca="false">IF($B457="","",N(对接源_01库存!$F392))</f>
        <v/>
      </c>
      <c r="G457" s="65" t="str">
        <f aca="false">IF($B457="","",N(对接源_01库存!$G392))</f>
        <v/>
      </c>
      <c r="H457" s="130" t="str">
        <f aca="false">IF($B457="","",ROUND(N($F457)*N($I457),2))</f>
        <v/>
      </c>
      <c r="I457" s="136"/>
      <c r="J457" s="131" t="str">
        <f aca="false">IF($B457="","",对接源_01库存!$H392)</f>
        <v/>
      </c>
      <c r="K457" s="129"/>
      <c r="L457" s="132" t="str">
        <f aca="false">IF($B457="","",IF(N($I457)=0,"← 这一行还没填单价",""))</f>
        <v/>
      </c>
    </row>
    <row r="458" customFormat="false" ht="15" hidden="false" customHeight="true" outlineLevel="0" collapsed="false">
      <c r="A458" s="63" t="str">
        <f aca="false">IF($B458="","",ROW()-68)</f>
        <v/>
      </c>
      <c r="B458" s="62" t="str">
        <f aca="false">IF(对接源_01库存!$B393="","",对接源_01库存!$B393)</f>
        <v/>
      </c>
      <c r="C458" s="63" t="str">
        <f aca="false">IF($B458="","",对接源_01库存!$C393)</f>
        <v/>
      </c>
      <c r="D458" s="63" t="str">
        <f aca="false">IF($B458="","",对接源_01库存!$D393)</f>
        <v/>
      </c>
      <c r="E458" s="63" t="str">
        <f aca="false">IF($B458="","",对接源_01库存!$E393)</f>
        <v/>
      </c>
      <c r="F458" s="64" t="str">
        <f aca="false">IF($B458="","",N(对接源_01库存!$F393))</f>
        <v/>
      </c>
      <c r="G458" s="65" t="str">
        <f aca="false">IF($B458="","",N(对接源_01库存!$G393))</f>
        <v/>
      </c>
      <c r="H458" s="130" t="str">
        <f aca="false">IF($B458="","",ROUND(N($F458)*N($I458),2))</f>
        <v/>
      </c>
      <c r="I458" s="136"/>
      <c r="J458" s="131" t="str">
        <f aca="false">IF($B458="","",对接源_01库存!$H393)</f>
        <v/>
      </c>
      <c r="K458" s="129"/>
      <c r="L458" s="132" t="str">
        <f aca="false">IF($B458="","",IF(N($I458)=0,"← 这一行还没填单价",""))</f>
        <v/>
      </c>
    </row>
    <row r="459" customFormat="false" ht="15" hidden="false" customHeight="true" outlineLevel="0" collapsed="false">
      <c r="A459" s="63" t="str">
        <f aca="false">IF($B459="","",ROW()-68)</f>
        <v/>
      </c>
      <c r="B459" s="62" t="str">
        <f aca="false">IF(对接源_01库存!$B394="","",对接源_01库存!$B394)</f>
        <v/>
      </c>
      <c r="C459" s="63" t="str">
        <f aca="false">IF($B459="","",对接源_01库存!$C394)</f>
        <v/>
      </c>
      <c r="D459" s="63" t="str">
        <f aca="false">IF($B459="","",对接源_01库存!$D394)</f>
        <v/>
      </c>
      <c r="E459" s="63" t="str">
        <f aca="false">IF($B459="","",对接源_01库存!$E394)</f>
        <v/>
      </c>
      <c r="F459" s="64" t="str">
        <f aca="false">IF($B459="","",N(对接源_01库存!$F394))</f>
        <v/>
      </c>
      <c r="G459" s="65" t="str">
        <f aca="false">IF($B459="","",N(对接源_01库存!$G394))</f>
        <v/>
      </c>
      <c r="H459" s="130" t="str">
        <f aca="false">IF($B459="","",ROUND(N($F459)*N($I459),2))</f>
        <v/>
      </c>
      <c r="I459" s="136"/>
      <c r="J459" s="131" t="str">
        <f aca="false">IF($B459="","",对接源_01库存!$H394)</f>
        <v/>
      </c>
      <c r="K459" s="129"/>
      <c r="L459" s="132" t="str">
        <f aca="false">IF($B459="","",IF(N($I459)=0,"← 这一行还没填单价",""))</f>
        <v/>
      </c>
    </row>
    <row r="460" customFormat="false" ht="15" hidden="false" customHeight="true" outlineLevel="0" collapsed="false">
      <c r="A460" s="63" t="str">
        <f aca="false">IF($B460="","",ROW()-68)</f>
        <v/>
      </c>
      <c r="B460" s="62" t="str">
        <f aca="false">IF(对接源_01库存!$B395="","",对接源_01库存!$B395)</f>
        <v/>
      </c>
      <c r="C460" s="63" t="str">
        <f aca="false">IF($B460="","",对接源_01库存!$C395)</f>
        <v/>
      </c>
      <c r="D460" s="63" t="str">
        <f aca="false">IF($B460="","",对接源_01库存!$D395)</f>
        <v/>
      </c>
      <c r="E460" s="63" t="str">
        <f aca="false">IF($B460="","",对接源_01库存!$E395)</f>
        <v/>
      </c>
      <c r="F460" s="64" t="str">
        <f aca="false">IF($B460="","",N(对接源_01库存!$F395))</f>
        <v/>
      </c>
      <c r="G460" s="65" t="str">
        <f aca="false">IF($B460="","",N(对接源_01库存!$G395))</f>
        <v/>
      </c>
      <c r="H460" s="130" t="str">
        <f aca="false">IF($B460="","",ROUND(N($F460)*N($I460),2))</f>
        <v/>
      </c>
      <c r="I460" s="136"/>
      <c r="J460" s="131" t="str">
        <f aca="false">IF($B460="","",对接源_01库存!$H395)</f>
        <v/>
      </c>
      <c r="K460" s="129"/>
      <c r="L460" s="132" t="str">
        <f aca="false">IF($B460="","",IF(N($I460)=0,"← 这一行还没填单价",""))</f>
        <v/>
      </c>
    </row>
    <row r="461" customFormat="false" ht="15" hidden="false" customHeight="true" outlineLevel="0" collapsed="false">
      <c r="A461" s="63" t="str">
        <f aca="false">IF($B461="","",ROW()-68)</f>
        <v/>
      </c>
      <c r="B461" s="62" t="str">
        <f aca="false">IF(对接源_01库存!$B396="","",对接源_01库存!$B396)</f>
        <v/>
      </c>
      <c r="C461" s="63" t="str">
        <f aca="false">IF($B461="","",对接源_01库存!$C396)</f>
        <v/>
      </c>
      <c r="D461" s="63" t="str">
        <f aca="false">IF($B461="","",对接源_01库存!$D396)</f>
        <v/>
      </c>
      <c r="E461" s="63" t="str">
        <f aca="false">IF($B461="","",对接源_01库存!$E396)</f>
        <v/>
      </c>
      <c r="F461" s="64" t="str">
        <f aca="false">IF($B461="","",N(对接源_01库存!$F396))</f>
        <v/>
      </c>
      <c r="G461" s="65" t="str">
        <f aca="false">IF($B461="","",N(对接源_01库存!$G396))</f>
        <v/>
      </c>
      <c r="H461" s="130" t="str">
        <f aca="false">IF($B461="","",ROUND(N($F461)*N($I461),2))</f>
        <v/>
      </c>
      <c r="I461" s="136"/>
      <c r="J461" s="131" t="str">
        <f aca="false">IF($B461="","",对接源_01库存!$H396)</f>
        <v/>
      </c>
      <c r="K461" s="129"/>
      <c r="L461" s="132" t="str">
        <f aca="false">IF($B461="","",IF(N($I461)=0,"← 这一行还没填单价",""))</f>
        <v/>
      </c>
    </row>
    <row r="462" customFormat="false" ht="15" hidden="false" customHeight="true" outlineLevel="0" collapsed="false">
      <c r="A462" s="63" t="str">
        <f aca="false">IF($B462="","",ROW()-68)</f>
        <v/>
      </c>
      <c r="B462" s="62" t="str">
        <f aca="false">IF(对接源_01库存!$B397="","",对接源_01库存!$B397)</f>
        <v/>
      </c>
      <c r="C462" s="63" t="str">
        <f aca="false">IF($B462="","",对接源_01库存!$C397)</f>
        <v/>
      </c>
      <c r="D462" s="63" t="str">
        <f aca="false">IF($B462="","",对接源_01库存!$D397)</f>
        <v/>
      </c>
      <c r="E462" s="63" t="str">
        <f aca="false">IF($B462="","",对接源_01库存!$E397)</f>
        <v/>
      </c>
      <c r="F462" s="64" t="str">
        <f aca="false">IF($B462="","",N(对接源_01库存!$F397))</f>
        <v/>
      </c>
      <c r="G462" s="65" t="str">
        <f aca="false">IF($B462="","",N(对接源_01库存!$G397))</f>
        <v/>
      </c>
      <c r="H462" s="130" t="str">
        <f aca="false">IF($B462="","",ROUND(N($F462)*N($I462),2))</f>
        <v/>
      </c>
      <c r="I462" s="136"/>
      <c r="J462" s="131" t="str">
        <f aca="false">IF($B462="","",对接源_01库存!$H397)</f>
        <v/>
      </c>
      <c r="K462" s="129"/>
      <c r="L462" s="132" t="str">
        <f aca="false">IF($B462="","",IF(N($I462)=0,"← 这一行还没填单价",""))</f>
        <v/>
      </c>
    </row>
    <row r="463" customFormat="false" ht="15" hidden="false" customHeight="true" outlineLevel="0" collapsed="false">
      <c r="A463" s="63" t="str">
        <f aca="false">IF($B463="","",ROW()-68)</f>
        <v/>
      </c>
      <c r="B463" s="62" t="str">
        <f aca="false">IF(对接源_01库存!$B398="","",对接源_01库存!$B398)</f>
        <v/>
      </c>
      <c r="C463" s="63" t="str">
        <f aca="false">IF($B463="","",对接源_01库存!$C398)</f>
        <v/>
      </c>
      <c r="D463" s="63" t="str">
        <f aca="false">IF($B463="","",对接源_01库存!$D398)</f>
        <v/>
      </c>
      <c r="E463" s="63" t="str">
        <f aca="false">IF($B463="","",对接源_01库存!$E398)</f>
        <v/>
      </c>
      <c r="F463" s="64" t="str">
        <f aca="false">IF($B463="","",N(对接源_01库存!$F398))</f>
        <v/>
      </c>
      <c r="G463" s="65" t="str">
        <f aca="false">IF($B463="","",N(对接源_01库存!$G398))</f>
        <v/>
      </c>
      <c r="H463" s="130" t="str">
        <f aca="false">IF($B463="","",ROUND(N($F463)*N($I463),2))</f>
        <v/>
      </c>
      <c r="I463" s="136"/>
      <c r="J463" s="131" t="str">
        <f aca="false">IF($B463="","",对接源_01库存!$H398)</f>
        <v/>
      </c>
      <c r="K463" s="129"/>
      <c r="L463" s="132" t="str">
        <f aca="false">IF($B463="","",IF(N($I463)=0,"← 这一行还没填单价",""))</f>
        <v/>
      </c>
    </row>
    <row r="464" customFormat="false" ht="15" hidden="false" customHeight="true" outlineLevel="0" collapsed="false">
      <c r="A464" s="63" t="str">
        <f aca="false">IF($B464="","",ROW()-68)</f>
        <v/>
      </c>
      <c r="B464" s="62" t="str">
        <f aca="false">IF(对接源_01库存!$B399="","",对接源_01库存!$B399)</f>
        <v/>
      </c>
      <c r="C464" s="63" t="str">
        <f aca="false">IF($B464="","",对接源_01库存!$C399)</f>
        <v/>
      </c>
      <c r="D464" s="63" t="str">
        <f aca="false">IF($B464="","",对接源_01库存!$D399)</f>
        <v/>
      </c>
      <c r="E464" s="63" t="str">
        <f aca="false">IF($B464="","",对接源_01库存!$E399)</f>
        <v/>
      </c>
      <c r="F464" s="64" t="str">
        <f aca="false">IF($B464="","",N(对接源_01库存!$F399))</f>
        <v/>
      </c>
      <c r="G464" s="65" t="str">
        <f aca="false">IF($B464="","",N(对接源_01库存!$G399))</f>
        <v/>
      </c>
      <c r="H464" s="130" t="str">
        <f aca="false">IF($B464="","",ROUND(N($F464)*N($I464),2))</f>
        <v/>
      </c>
      <c r="I464" s="136"/>
      <c r="J464" s="131" t="str">
        <f aca="false">IF($B464="","",对接源_01库存!$H399)</f>
        <v/>
      </c>
      <c r="K464" s="129"/>
      <c r="L464" s="132" t="str">
        <f aca="false">IF($B464="","",IF(N($I464)=0,"← 这一行还没填单价",""))</f>
        <v/>
      </c>
    </row>
    <row r="465" customFormat="false" ht="15" hidden="false" customHeight="true" outlineLevel="0" collapsed="false">
      <c r="A465" s="63" t="str">
        <f aca="false">IF($B465="","",ROW()-68)</f>
        <v/>
      </c>
      <c r="B465" s="62" t="str">
        <f aca="false">IF(对接源_01库存!$B400="","",对接源_01库存!$B400)</f>
        <v/>
      </c>
      <c r="C465" s="63" t="str">
        <f aca="false">IF($B465="","",对接源_01库存!$C400)</f>
        <v/>
      </c>
      <c r="D465" s="63" t="str">
        <f aca="false">IF($B465="","",对接源_01库存!$D400)</f>
        <v/>
      </c>
      <c r="E465" s="63" t="str">
        <f aca="false">IF($B465="","",对接源_01库存!$E400)</f>
        <v/>
      </c>
      <c r="F465" s="64" t="str">
        <f aca="false">IF($B465="","",N(对接源_01库存!$F400))</f>
        <v/>
      </c>
      <c r="G465" s="65" t="str">
        <f aca="false">IF($B465="","",N(对接源_01库存!$G400))</f>
        <v/>
      </c>
      <c r="H465" s="130" t="str">
        <f aca="false">IF($B465="","",ROUND(N($F465)*N($I465),2))</f>
        <v/>
      </c>
      <c r="I465" s="136"/>
      <c r="J465" s="131" t="str">
        <f aca="false">IF($B465="","",对接源_01库存!$H400)</f>
        <v/>
      </c>
      <c r="K465" s="129"/>
      <c r="L465" s="132" t="str">
        <f aca="false">IF($B465="","",IF(N($I465)=0,"← 这一行还没填单价",""))</f>
        <v/>
      </c>
    </row>
    <row r="466" customFormat="false" ht="15" hidden="false" customHeight="true" outlineLevel="0" collapsed="false">
      <c r="A466" s="63" t="str">
        <f aca="false">IF($B466="","",ROW()-68)</f>
        <v/>
      </c>
      <c r="B466" s="62" t="str">
        <f aca="false">IF(对接源_01库存!$B401="","",对接源_01库存!$B401)</f>
        <v/>
      </c>
      <c r="C466" s="63" t="str">
        <f aca="false">IF($B466="","",对接源_01库存!$C401)</f>
        <v/>
      </c>
      <c r="D466" s="63" t="str">
        <f aca="false">IF($B466="","",对接源_01库存!$D401)</f>
        <v/>
      </c>
      <c r="E466" s="63" t="str">
        <f aca="false">IF($B466="","",对接源_01库存!$E401)</f>
        <v/>
      </c>
      <c r="F466" s="64" t="str">
        <f aca="false">IF($B466="","",N(对接源_01库存!$F401))</f>
        <v/>
      </c>
      <c r="G466" s="65" t="str">
        <f aca="false">IF($B466="","",N(对接源_01库存!$G401))</f>
        <v/>
      </c>
      <c r="H466" s="130" t="str">
        <f aca="false">IF($B466="","",ROUND(N($F466)*N($I466),2))</f>
        <v/>
      </c>
      <c r="I466" s="136"/>
      <c r="J466" s="131" t="str">
        <f aca="false">IF($B466="","",对接源_01库存!$H401)</f>
        <v/>
      </c>
      <c r="K466" s="129"/>
      <c r="L466" s="132" t="str">
        <f aca="false">IF($B466="","",IF(N($I466)=0,"← 这一行还没填单价",""))</f>
        <v/>
      </c>
    </row>
    <row r="467" customFormat="false" ht="15" hidden="false" customHeight="true" outlineLevel="0" collapsed="false">
      <c r="A467" s="63" t="str">
        <f aca="false">IF($B467="","",ROW()-68)</f>
        <v/>
      </c>
      <c r="B467" s="62" t="str">
        <f aca="false">IF(对接源_01库存!$B402="","",对接源_01库存!$B402)</f>
        <v/>
      </c>
      <c r="C467" s="63" t="str">
        <f aca="false">IF($B467="","",对接源_01库存!$C402)</f>
        <v/>
      </c>
      <c r="D467" s="63" t="str">
        <f aca="false">IF($B467="","",对接源_01库存!$D402)</f>
        <v/>
      </c>
      <c r="E467" s="63" t="str">
        <f aca="false">IF($B467="","",对接源_01库存!$E402)</f>
        <v/>
      </c>
      <c r="F467" s="64" t="str">
        <f aca="false">IF($B467="","",N(对接源_01库存!$F402))</f>
        <v/>
      </c>
      <c r="G467" s="65" t="str">
        <f aca="false">IF($B467="","",N(对接源_01库存!$G402))</f>
        <v/>
      </c>
      <c r="H467" s="130" t="str">
        <f aca="false">IF($B467="","",ROUND(N($F467)*N($I467),2))</f>
        <v/>
      </c>
      <c r="I467" s="136"/>
      <c r="J467" s="131" t="str">
        <f aca="false">IF($B467="","",对接源_01库存!$H402)</f>
        <v/>
      </c>
      <c r="K467" s="129"/>
      <c r="L467" s="132" t="str">
        <f aca="false">IF($B467="","",IF(N($I467)=0,"← 这一行还没填单价",""))</f>
        <v/>
      </c>
    </row>
    <row r="468" customFormat="false" ht="15" hidden="false" customHeight="true" outlineLevel="0" collapsed="false">
      <c r="A468" s="63" t="str">
        <f aca="false">IF($B468="","",ROW()-68)</f>
        <v/>
      </c>
      <c r="B468" s="62" t="str">
        <f aca="false">IF(对接源_01库存!$B403="","",对接源_01库存!$B403)</f>
        <v/>
      </c>
      <c r="C468" s="63" t="str">
        <f aca="false">IF($B468="","",对接源_01库存!$C403)</f>
        <v/>
      </c>
      <c r="D468" s="63" t="str">
        <f aca="false">IF($B468="","",对接源_01库存!$D403)</f>
        <v/>
      </c>
      <c r="E468" s="63" t="str">
        <f aca="false">IF($B468="","",对接源_01库存!$E403)</f>
        <v/>
      </c>
      <c r="F468" s="64" t="str">
        <f aca="false">IF($B468="","",N(对接源_01库存!$F403))</f>
        <v/>
      </c>
      <c r="G468" s="65" t="str">
        <f aca="false">IF($B468="","",N(对接源_01库存!$G403))</f>
        <v/>
      </c>
      <c r="H468" s="130" t="str">
        <f aca="false">IF($B468="","",ROUND(N($F468)*N($I468),2))</f>
        <v/>
      </c>
      <c r="I468" s="136"/>
      <c r="J468" s="131" t="str">
        <f aca="false">IF($B468="","",对接源_01库存!$H403)</f>
        <v/>
      </c>
      <c r="K468" s="129"/>
      <c r="L468" s="132" t="str">
        <f aca="false">IF($B468="","",IF(N($I468)=0,"← 这一行还没填单价",""))</f>
        <v/>
      </c>
    </row>
    <row r="469" customFormat="false" ht="16.5" hidden="false" customHeight="true" outlineLevel="0" collapsed="false">
      <c r="A469" s="133" t="s">
        <v>810</v>
      </c>
      <c r="B469" s="133"/>
      <c r="C469" s="133"/>
      <c r="D469" s="133"/>
      <c r="E469" s="133"/>
      <c r="F469" s="134" t="n">
        <f aca="false">ROUND(SUM(F69:F468),2)</f>
        <v>23726</v>
      </c>
      <c r="G469" s="135" t="n">
        <f aca="false">ROUND(SUM(G69:G468),2)</f>
        <v>539553.9</v>
      </c>
      <c r="H469" s="135" t="n">
        <f aca="false">ROUND(SUM(H69:H468),2)</f>
        <v>23520.3</v>
      </c>
      <c r="I469" s="133"/>
      <c r="J469" s="133"/>
      <c r="K469" s="133"/>
      <c r="L469" s="133"/>
    </row>
  </sheetData>
  <mergeCells count="4">
    <mergeCell ref="A1:J1"/>
    <mergeCell ref="A2:J2"/>
    <mergeCell ref="A4:L4"/>
    <mergeCell ref="A67:L67"/>
  </mergeCells>
  <conditionalFormatting sqref="J6:J65">
    <cfRule type="expression" priority="2" aboveAverage="0" equalAverage="0" bottom="0" percent="0" rank="0" text="" dxfId="13">
      <formula>AND($B6&lt;&gt;"",$J6&lt;0)</formula>
    </cfRule>
    <cfRule type="expression" priority="3" aboveAverage="0" equalAverage="0" bottom="0" percent="0" rank="0" text="" dxfId="14">
      <formula>AND($B6&lt;&gt;"",$J6&gt;=0,N($I6)&gt;0)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AA65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J28" activeCellId="0" sqref="J28"/>
    </sheetView>
  </sheetViews>
  <sheetFormatPr defaultColWidth="9" defaultRowHeight="13.5" zeroHeight="false" outlineLevelRow="0" outlineLevelCol="0"/>
  <cols>
    <col collapsed="false" customWidth="true" hidden="false" outlineLevel="0" max="1" min="1" style="0" width="20"/>
    <col collapsed="false" customWidth="true" hidden="false" outlineLevel="0" max="25" min="2" style="0" width="12"/>
    <col collapsed="false" customWidth="true" hidden="false" outlineLevel="0" max="26" min="26" style="0" width="14"/>
  </cols>
  <sheetData>
    <row r="1" customFormat="false" ht="30" hidden="false" customHeight="true" outlineLevel="0" collapsed="false">
      <c r="A1" s="31" t="s">
        <v>814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customFormat="false" ht="13.5" hidden="false" customHeight="false" outlineLevel="0" collapsed="false">
      <c r="A2" s="2" t="s">
        <v>815</v>
      </c>
      <c r="B2" s="2"/>
      <c r="C2" s="2"/>
      <c r="D2" s="2"/>
      <c r="E2" s="137" t="s">
        <v>816</v>
      </c>
      <c r="F2" s="138" t="n">
        <v>46235</v>
      </c>
      <c r="G2" s="139" t="str">
        <f aca="false">IF($F$2="","（请填 F2，例如 2026-8-1）",TEXT($F$2,"yyyy年m月")&amp;"　—　"&amp;TEXT(DATE(YEAR($F$2),MONTH($F$2)+23,1),"yyyy年m月"))</f>
        <v>2026年8月　—　2028年7月</v>
      </c>
      <c r="H2" s="139"/>
      <c r="I2" s="139"/>
      <c r="J2" s="139"/>
      <c r="K2" s="139"/>
      <c r="L2" s="139"/>
    </row>
    <row r="3" customFormat="false" ht="13.5" hidden="false" customHeight="false" outlineLevel="0" collapsed="false">
      <c r="A3" s="140" t="s">
        <v>817</v>
      </c>
      <c r="B3" s="141" t="n">
        <f aca="false">ROUND(SUM(B$5:B$64),2)</f>
        <v>0</v>
      </c>
      <c r="C3" s="141" t="n">
        <f aca="false">ROUND(SUM(C$5:C$64),2)</f>
        <v>19836</v>
      </c>
      <c r="D3" s="141" t="n">
        <f aca="false">ROUND(SUM(D$5:D$64),2)</f>
        <v>0</v>
      </c>
      <c r="E3" s="141" t="n">
        <f aca="false">ROUND(SUM(E$5:E$64),2)</f>
        <v>0</v>
      </c>
      <c r="F3" s="141" t="n">
        <f aca="false">ROUND(SUM(F$5:F$64),2)</f>
        <v>0</v>
      </c>
      <c r="G3" s="141" t="n">
        <f aca="false">ROUND(SUM(G$5:G$64),2)</f>
        <v>0</v>
      </c>
      <c r="H3" s="141" t="n">
        <f aca="false">ROUND(SUM(H$5:H$64),2)</f>
        <v>0</v>
      </c>
      <c r="I3" s="141" t="n">
        <f aca="false">ROUND(SUM(I$5:I$64),2)</f>
        <v>0</v>
      </c>
      <c r="J3" s="141" t="n">
        <f aca="false">ROUND(SUM(J$5:J$64),2)</f>
        <v>0</v>
      </c>
      <c r="K3" s="141" t="n">
        <f aca="false">ROUND(SUM(K$5:K$64),2)</f>
        <v>0</v>
      </c>
      <c r="L3" s="141" t="n">
        <f aca="false">ROUND(SUM(L$5:L$64),2)</f>
        <v>0</v>
      </c>
      <c r="M3" s="141" t="n">
        <f aca="false">ROUND(SUM(M$5:M$64),2)</f>
        <v>0</v>
      </c>
      <c r="N3" s="141" t="n">
        <f aca="false">ROUND(SUM(N$5:N$64),2)</f>
        <v>0</v>
      </c>
      <c r="O3" s="141" t="n">
        <f aca="false">ROUND(SUM(O$5:O$64),2)</f>
        <v>0</v>
      </c>
      <c r="P3" s="141" t="n">
        <f aca="false">ROUND(SUM(P$5:P$64),2)</f>
        <v>0</v>
      </c>
      <c r="Q3" s="141" t="n">
        <f aca="false">ROUND(SUM(Q$5:Q$64),2)</f>
        <v>0</v>
      </c>
      <c r="R3" s="141" t="n">
        <f aca="false">ROUND(SUM(R$5:R$64),2)</f>
        <v>0</v>
      </c>
      <c r="S3" s="141" t="n">
        <f aca="false">ROUND(SUM(S$5:S$64),2)</f>
        <v>0</v>
      </c>
      <c r="T3" s="141" t="n">
        <f aca="false">ROUND(SUM(T$5:T$64),2)</f>
        <v>0</v>
      </c>
      <c r="U3" s="141" t="n">
        <f aca="false">ROUND(SUM(U$5:U$64),2)</f>
        <v>0</v>
      </c>
      <c r="V3" s="141" t="n">
        <f aca="false">ROUND(SUM(V$5:V$64),2)</f>
        <v>0</v>
      </c>
      <c r="W3" s="141" t="n">
        <f aca="false">ROUND(SUM(W$5:W$64),2)</f>
        <v>0</v>
      </c>
      <c r="X3" s="141" t="n">
        <f aca="false">ROUND(SUM(X$5:X$64),2)</f>
        <v>0</v>
      </c>
      <c r="Y3" s="141" t="n">
        <f aca="false">ROUND(SUM(Y$5:Y$64),2)</f>
        <v>0</v>
      </c>
      <c r="Z3" s="141" t="n">
        <f aca="false">ROUND(SUM(Z$5:Z$64),2)</f>
        <v>19836</v>
      </c>
      <c r="AA3" s="141" t="n">
        <f aca="false">ROUND(SUM(AA$5:AA$64),2)</f>
        <v>0</v>
      </c>
    </row>
    <row r="4" customFormat="false" ht="30" hidden="false" customHeight="true" outlineLevel="0" collapsed="false">
      <c r="A4" s="37" t="s">
        <v>818</v>
      </c>
      <c r="B4" s="37" t="str">
        <f aca="true">IF($F$2="",TEXT(DATE(YEAR(TODAY()),MONTH(TODAY())+0,1),"yyyy年m月"),TEXT(DATE(YEAR($F$2),MONTH($F$2)+0,1),"yyyy年m月"))</f>
        <v>2026年8月</v>
      </c>
      <c r="C4" s="37" t="str">
        <f aca="true">IF($F$2="",TEXT(DATE(YEAR(TODAY()),MONTH(TODAY())+1,1),"yyyy年m月"),TEXT(DATE(YEAR($F$2),MONTH($F$2)+1,1),"yyyy年m月"))</f>
        <v>2026年9月</v>
      </c>
      <c r="D4" s="37" t="str">
        <f aca="true">IF($F$2="",TEXT(DATE(YEAR(TODAY()),MONTH(TODAY())+2,1),"yyyy年m月"),TEXT(DATE(YEAR($F$2),MONTH($F$2)+2,1),"yyyy年m月"))</f>
        <v>2026年10月</v>
      </c>
      <c r="E4" s="37" t="str">
        <f aca="true">IF($F$2="",TEXT(DATE(YEAR(TODAY()),MONTH(TODAY())+3,1),"yyyy年m月"),TEXT(DATE(YEAR($F$2),MONTH($F$2)+3,1),"yyyy年m月"))</f>
        <v>2026年11月</v>
      </c>
      <c r="F4" s="37" t="str">
        <f aca="true">IF($F$2="",TEXT(DATE(YEAR(TODAY()),MONTH(TODAY())+4,1),"yyyy年m月"),TEXT(DATE(YEAR($F$2),MONTH($F$2)+4,1),"yyyy年m月"))</f>
        <v>2026年12月</v>
      </c>
      <c r="G4" s="37" t="str">
        <f aca="true">IF($F$2="",TEXT(DATE(YEAR(TODAY()),MONTH(TODAY())+5,1),"yyyy年m月"),TEXT(DATE(YEAR($F$2),MONTH($F$2)+5,1),"yyyy年m月"))</f>
        <v>2027年1月</v>
      </c>
      <c r="H4" s="37" t="str">
        <f aca="true">IF($F$2="",TEXT(DATE(YEAR(TODAY()),MONTH(TODAY())+6,1),"yyyy年m月"),TEXT(DATE(YEAR($F$2),MONTH($F$2)+6,1),"yyyy年m月"))</f>
        <v>2027年2月</v>
      </c>
      <c r="I4" s="37" t="str">
        <f aca="true">IF($F$2="",TEXT(DATE(YEAR(TODAY()),MONTH(TODAY())+7,1),"yyyy年m月"),TEXT(DATE(YEAR($F$2),MONTH($F$2)+7,1),"yyyy年m月"))</f>
        <v>2027年3月</v>
      </c>
      <c r="J4" s="37" t="str">
        <f aca="true">IF($F$2="",TEXT(DATE(YEAR(TODAY()),MONTH(TODAY())+8,1),"yyyy年m月"),TEXT(DATE(YEAR($F$2),MONTH($F$2)+8,1),"yyyy年m月"))</f>
        <v>2027年4月</v>
      </c>
      <c r="K4" s="37" t="str">
        <f aca="true">IF($F$2="",TEXT(DATE(YEAR(TODAY()),MONTH(TODAY())+9,1),"yyyy年m月"),TEXT(DATE(YEAR($F$2),MONTH($F$2)+9,1),"yyyy年m月"))</f>
        <v>2027年5月</v>
      </c>
      <c r="L4" s="37" t="str">
        <f aca="true">IF($F$2="",TEXT(DATE(YEAR(TODAY()),MONTH(TODAY())+10,1),"yyyy年m月"),TEXT(DATE(YEAR($F$2),MONTH($F$2)+10,1),"yyyy年m月"))</f>
        <v>2027年6月</v>
      </c>
      <c r="M4" s="37" t="str">
        <f aca="true">IF($F$2="",TEXT(DATE(YEAR(TODAY()),MONTH(TODAY())+11,1),"yyyy年m月"),TEXT(DATE(YEAR($F$2),MONTH($F$2)+11,1),"yyyy年m月"))</f>
        <v>2027年7月</v>
      </c>
      <c r="N4" s="37" t="str">
        <f aca="true">IF($F$2="",TEXT(DATE(YEAR(TODAY()),MONTH(TODAY())+12,1),"yyyy年m月"),TEXT(DATE(YEAR($F$2),MONTH($F$2)+12,1),"yyyy年m月"))</f>
        <v>2027年8月</v>
      </c>
      <c r="O4" s="37" t="str">
        <f aca="true">IF($F$2="",TEXT(DATE(YEAR(TODAY()),MONTH(TODAY())+13,1),"yyyy年m月"),TEXT(DATE(YEAR($F$2),MONTH($F$2)+13,1),"yyyy年m月"))</f>
        <v>2027年9月</v>
      </c>
      <c r="P4" s="37" t="str">
        <f aca="true">IF($F$2="",TEXT(DATE(YEAR(TODAY()),MONTH(TODAY())+14,1),"yyyy年m月"),TEXT(DATE(YEAR($F$2),MONTH($F$2)+14,1),"yyyy年m月"))</f>
        <v>2027年10月</v>
      </c>
      <c r="Q4" s="37" t="str">
        <f aca="true">IF($F$2="",TEXT(DATE(YEAR(TODAY()),MONTH(TODAY())+15,1),"yyyy年m月"),TEXT(DATE(YEAR($F$2),MONTH($F$2)+15,1),"yyyy年m月"))</f>
        <v>2027年11月</v>
      </c>
      <c r="R4" s="37" t="str">
        <f aca="true">IF($F$2="",TEXT(DATE(YEAR(TODAY()),MONTH(TODAY())+16,1),"yyyy年m月"),TEXT(DATE(YEAR($F$2),MONTH($F$2)+16,1),"yyyy年m月"))</f>
        <v>2027年12月</v>
      </c>
      <c r="S4" s="37" t="str">
        <f aca="true">IF($F$2="",TEXT(DATE(YEAR(TODAY()),MONTH(TODAY())+17,1),"yyyy年m月"),TEXT(DATE(YEAR($F$2),MONTH($F$2)+17,1),"yyyy年m月"))</f>
        <v>2028年1月</v>
      </c>
      <c r="T4" s="37" t="str">
        <f aca="true">IF($F$2="",TEXT(DATE(YEAR(TODAY()),MONTH(TODAY())+18,1),"yyyy年m月"),TEXT(DATE(YEAR($F$2),MONTH($F$2)+18,1),"yyyy年m月"))</f>
        <v>2028年2月</v>
      </c>
      <c r="U4" s="37" t="str">
        <f aca="true">IF($F$2="",TEXT(DATE(YEAR(TODAY()),MONTH(TODAY())+19,1),"yyyy年m月"),TEXT(DATE(YEAR($F$2),MONTH($F$2)+19,1),"yyyy年m月"))</f>
        <v>2028年3月</v>
      </c>
      <c r="V4" s="37" t="str">
        <f aca="true">IF($F$2="",TEXT(DATE(YEAR(TODAY()),MONTH(TODAY())+20,1),"yyyy年m月"),TEXT(DATE(YEAR($F$2),MONTH($F$2)+20,1),"yyyy年m月"))</f>
        <v>2028年4月</v>
      </c>
      <c r="W4" s="37" t="str">
        <f aca="true">IF($F$2="",TEXT(DATE(YEAR(TODAY()),MONTH(TODAY())+21,1),"yyyy年m月"),TEXT(DATE(YEAR($F$2),MONTH($F$2)+21,1),"yyyy年m月"))</f>
        <v>2028年5月</v>
      </c>
      <c r="X4" s="37" t="str">
        <f aca="true">IF($F$2="",TEXT(DATE(YEAR(TODAY()),MONTH(TODAY())+22,1),"yyyy年m月"),TEXT(DATE(YEAR($F$2),MONTH($F$2)+22,1),"yyyy年m月"))</f>
        <v>2028年6月</v>
      </c>
      <c r="Y4" s="37" t="str">
        <f aca="true">IF($F$2="",TEXT(DATE(YEAR(TODAY()),MONTH(TODAY())+23,1),"yyyy年m月"),TEXT(DATE(YEAR($F$2),MONTH($F$2)+23,1),"yyyy年m月"))</f>
        <v>2028年7月</v>
      </c>
      <c r="Z4" s="37" t="s">
        <v>819</v>
      </c>
    </row>
    <row r="5" customFormat="false" ht="13.5" hidden="false" customHeight="false" outlineLevel="0" collapsed="false">
      <c r="A5" s="33" t="str">
        <f aca="false">IFERROR(INDEX(_自动清单!$AJ$4:$AJ$63,1),"")</f>
        <v>伍元虎</v>
      </c>
      <c r="B5" s="41" t="n">
        <f aca="false">IF($A5="","",ROUND(SUMIFS(资金日记账!$H$4:$H$603,资金日记账!$E$4:$E$603,$A5,资金日记账!$V$4:$V$603,B$4),2))</f>
        <v>0</v>
      </c>
      <c r="C5" s="41" t="n">
        <f aca="false">IF($A5="","",ROUND(SUMIFS(资金日记账!$H$4:$H$603,资金日记账!$E$4:$E$603,$A5,资金日记账!$V$4:$V$603,C$4),2))</f>
        <v>836</v>
      </c>
      <c r="D5" s="41" t="n">
        <f aca="false">IF($A5="","",ROUND(SUMIFS(资金日记账!$H$4:$H$603,资金日记账!$E$4:$E$603,$A5,资金日记账!$V$4:$V$603,D$4),2))</f>
        <v>0</v>
      </c>
      <c r="E5" s="41" t="n">
        <f aca="false">IF($A5="","",ROUND(SUMIFS(资金日记账!$H$4:$H$603,资金日记账!$E$4:$E$603,$A5,资金日记账!$V$4:$V$603,E$4),2))</f>
        <v>0</v>
      </c>
      <c r="F5" s="41" t="n">
        <f aca="false">IF($A5="","",ROUND(SUMIFS(资金日记账!$H$4:$H$603,资金日记账!$E$4:$E$603,$A5,资金日记账!$V$4:$V$603,F$4),2))</f>
        <v>0</v>
      </c>
      <c r="G5" s="41" t="n">
        <f aca="false">IF($A5="","",ROUND(SUMIFS(资金日记账!$H$4:$H$603,资金日记账!$E$4:$E$603,$A5,资金日记账!$V$4:$V$603,G$4),2))</f>
        <v>0</v>
      </c>
      <c r="H5" s="41" t="n">
        <f aca="false">IF($A5="","",ROUND(SUMIFS(资金日记账!$H$4:$H$603,资金日记账!$E$4:$E$603,$A5,资金日记账!$V$4:$V$603,H$4),2))</f>
        <v>0</v>
      </c>
      <c r="I5" s="41" t="n">
        <f aca="false">IF($A5="","",ROUND(SUMIFS(资金日记账!$H$4:$H$603,资金日记账!$E$4:$E$603,$A5,资金日记账!$V$4:$V$603,I$4),2))</f>
        <v>0</v>
      </c>
      <c r="J5" s="41" t="n">
        <f aca="false">IF($A5="","",ROUND(SUMIFS(资金日记账!$H$4:$H$603,资金日记账!$E$4:$E$603,$A5,资金日记账!$V$4:$V$603,J$4),2))</f>
        <v>0</v>
      </c>
      <c r="K5" s="41" t="n">
        <f aca="false">IF($A5="","",ROUND(SUMIFS(资金日记账!$H$4:$H$603,资金日记账!$E$4:$E$603,$A5,资金日记账!$V$4:$V$603,K$4),2))</f>
        <v>0</v>
      </c>
      <c r="L5" s="41" t="n">
        <f aca="false">IF($A5="","",ROUND(SUMIFS(资金日记账!$H$4:$H$603,资金日记账!$E$4:$E$603,$A5,资金日记账!$V$4:$V$603,L$4),2))</f>
        <v>0</v>
      </c>
      <c r="M5" s="41" t="n">
        <f aca="false">IF($A5="","",ROUND(SUMIFS(资金日记账!$H$4:$H$603,资金日记账!$E$4:$E$603,$A5,资金日记账!$V$4:$V$603,M$4),2))</f>
        <v>0</v>
      </c>
      <c r="N5" s="41" t="n">
        <f aca="false">IF($A5="","",ROUND(SUMIFS(资金日记账!$H$4:$H$603,资金日记账!$E$4:$E$603,$A5,资金日记账!$V$4:$V$603,N$4),2))</f>
        <v>0</v>
      </c>
      <c r="O5" s="41" t="n">
        <f aca="false">IF($A5="","",ROUND(SUMIFS(资金日记账!$H$4:$H$603,资金日记账!$E$4:$E$603,$A5,资金日记账!$V$4:$V$603,O$4),2))</f>
        <v>0</v>
      </c>
      <c r="P5" s="41" t="n">
        <f aca="false">IF($A5="","",ROUND(SUMIFS(资金日记账!$H$4:$H$603,资金日记账!$E$4:$E$603,$A5,资金日记账!$V$4:$V$603,P$4),2))</f>
        <v>0</v>
      </c>
      <c r="Q5" s="41" t="n">
        <f aca="false">IF($A5="","",ROUND(SUMIFS(资金日记账!$H$4:$H$603,资金日记账!$E$4:$E$603,$A5,资金日记账!$V$4:$V$603,Q$4),2))</f>
        <v>0</v>
      </c>
      <c r="R5" s="41" t="n">
        <f aca="false">IF($A5="","",ROUND(SUMIFS(资金日记账!$H$4:$H$603,资金日记账!$E$4:$E$603,$A5,资金日记账!$V$4:$V$603,R$4),2))</f>
        <v>0</v>
      </c>
      <c r="S5" s="41" t="n">
        <f aca="false">IF($A5="","",ROUND(SUMIFS(资金日记账!$H$4:$H$603,资金日记账!$E$4:$E$603,$A5,资金日记账!$V$4:$V$603,S$4),2))</f>
        <v>0</v>
      </c>
      <c r="T5" s="41" t="n">
        <f aca="false">IF($A5="","",ROUND(SUMIFS(资金日记账!$H$4:$H$603,资金日记账!$E$4:$E$603,$A5,资金日记账!$V$4:$V$603,T$4),2))</f>
        <v>0</v>
      </c>
      <c r="U5" s="41" t="n">
        <f aca="false">IF($A5="","",ROUND(SUMIFS(资金日记账!$H$4:$H$603,资金日记账!$E$4:$E$603,$A5,资金日记账!$V$4:$V$603,U$4),2))</f>
        <v>0</v>
      </c>
      <c r="V5" s="41" t="n">
        <f aca="false">IF($A5="","",ROUND(SUMIFS(资金日记账!$H$4:$H$603,资金日记账!$E$4:$E$603,$A5,资金日记账!$V$4:$V$603,V$4),2))</f>
        <v>0</v>
      </c>
      <c r="W5" s="41" t="n">
        <f aca="false">IF($A5="","",ROUND(SUMIFS(资金日记账!$H$4:$H$603,资金日记账!$E$4:$E$603,$A5,资金日记账!$V$4:$V$603,W$4),2))</f>
        <v>0</v>
      </c>
      <c r="X5" s="41" t="n">
        <f aca="false">IF($A5="","",ROUND(SUMIFS(资金日记账!$H$4:$H$603,资金日记账!$E$4:$E$603,$A5,资金日记账!$V$4:$V$603,X$4),2))</f>
        <v>0</v>
      </c>
      <c r="Y5" s="41" t="n">
        <f aca="false">IF($A5="","",ROUND(SUMIFS(资金日记账!$H$4:$H$603,资金日记账!$E$4:$E$603,$A5,资金日记账!$V$4:$V$603,Y$4),2))</f>
        <v>0</v>
      </c>
      <c r="Z5" s="142" t="n">
        <f aca="false">IF($A5="","",ROUND(SUM($B5:$Y5),2))</f>
        <v>836</v>
      </c>
    </row>
    <row r="6" customFormat="false" ht="13.5" hidden="false" customHeight="false" outlineLevel="0" collapsed="false">
      <c r="A6" s="33" t="str">
        <f aca="false">IFERROR(INDEX(_自动清单!$AJ$4:$AJ$63,2),"")</f>
        <v>吐尔逊</v>
      </c>
      <c r="B6" s="41" t="n">
        <f aca="false">IF($A6="","",ROUND(SUMIFS(资金日记账!$H$4:$H$603,资金日记账!$E$4:$E$603,$A6,资金日记账!$V$4:$V$603,B$4),2))</f>
        <v>0</v>
      </c>
      <c r="C6" s="41" t="n">
        <f aca="false">IF($A6="","",ROUND(SUMIFS(资金日记账!$H$4:$H$603,资金日记账!$E$4:$E$603,$A6,资金日记账!$V$4:$V$603,C$4),2))</f>
        <v>2000</v>
      </c>
      <c r="D6" s="41" t="n">
        <f aca="false">IF($A6="","",ROUND(SUMIFS(资金日记账!$H$4:$H$603,资金日记账!$E$4:$E$603,$A6,资金日记账!$V$4:$V$603,D$4),2))</f>
        <v>0</v>
      </c>
      <c r="E6" s="41" t="n">
        <f aca="false">IF($A6="","",ROUND(SUMIFS(资金日记账!$H$4:$H$603,资金日记账!$E$4:$E$603,$A6,资金日记账!$V$4:$V$603,E$4),2))</f>
        <v>0</v>
      </c>
      <c r="F6" s="41" t="n">
        <f aca="false">IF($A6="","",ROUND(SUMIFS(资金日记账!$H$4:$H$603,资金日记账!$E$4:$E$603,$A6,资金日记账!$V$4:$V$603,F$4),2))</f>
        <v>0</v>
      </c>
      <c r="G6" s="41" t="n">
        <f aca="false">IF($A6="","",ROUND(SUMIFS(资金日记账!$H$4:$H$603,资金日记账!$E$4:$E$603,$A6,资金日记账!$V$4:$V$603,G$4),2))</f>
        <v>0</v>
      </c>
      <c r="H6" s="41" t="n">
        <f aca="false">IF($A6="","",ROUND(SUMIFS(资金日记账!$H$4:$H$603,资金日记账!$E$4:$E$603,$A6,资金日记账!$V$4:$V$603,H$4),2))</f>
        <v>0</v>
      </c>
      <c r="I6" s="41" t="n">
        <f aca="false">IF($A6="","",ROUND(SUMIFS(资金日记账!$H$4:$H$603,资金日记账!$E$4:$E$603,$A6,资金日记账!$V$4:$V$603,I$4),2))</f>
        <v>0</v>
      </c>
      <c r="J6" s="41" t="n">
        <f aca="false">IF($A6="","",ROUND(SUMIFS(资金日记账!$H$4:$H$603,资金日记账!$E$4:$E$603,$A6,资金日记账!$V$4:$V$603,J$4),2))</f>
        <v>0</v>
      </c>
      <c r="K6" s="41" t="n">
        <f aca="false">IF($A6="","",ROUND(SUMIFS(资金日记账!$H$4:$H$603,资金日记账!$E$4:$E$603,$A6,资金日记账!$V$4:$V$603,K$4),2))</f>
        <v>0</v>
      </c>
      <c r="L6" s="41" t="n">
        <f aca="false">IF($A6="","",ROUND(SUMIFS(资金日记账!$H$4:$H$603,资金日记账!$E$4:$E$603,$A6,资金日记账!$V$4:$V$603,L$4),2))</f>
        <v>0</v>
      </c>
      <c r="M6" s="41" t="n">
        <f aca="false">IF($A6="","",ROUND(SUMIFS(资金日记账!$H$4:$H$603,资金日记账!$E$4:$E$603,$A6,资金日记账!$V$4:$V$603,M$4),2))</f>
        <v>0</v>
      </c>
      <c r="N6" s="41" t="n">
        <f aca="false">IF($A6="","",ROUND(SUMIFS(资金日记账!$H$4:$H$603,资金日记账!$E$4:$E$603,$A6,资金日记账!$V$4:$V$603,N$4),2))</f>
        <v>0</v>
      </c>
      <c r="O6" s="41" t="n">
        <f aca="false">IF($A6="","",ROUND(SUMIFS(资金日记账!$H$4:$H$603,资金日记账!$E$4:$E$603,$A6,资金日记账!$V$4:$V$603,O$4),2))</f>
        <v>0</v>
      </c>
      <c r="P6" s="41" t="n">
        <f aca="false">IF($A6="","",ROUND(SUMIFS(资金日记账!$H$4:$H$603,资金日记账!$E$4:$E$603,$A6,资金日记账!$V$4:$V$603,P$4),2))</f>
        <v>0</v>
      </c>
      <c r="Q6" s="41" t="n">
        <f aca="false">IF($A6="","",ROUND(SUMIFS(资金日记账!$H$4:$H$603,资金日记账!$E$4:$E$603,$A6,资金日记账!$V$4:$V$603,Q$4),2))</f>
        <v>0</v>
      </c>
      <c r="R6" s="41" t="n">
        <f aca="false">IF($A6="","",ROUND(SUMIFS(资金日记账!$H$4:$H$603,资金日记账!$E$4:$E$603,$A6,资金日记账!$V$4:$V$603,R$4),2))</f>
        <v>0</v>
      </c>
      <c r="S6" s="41" t="n">
        <f aca="false">IF($A6="","",ROUND(SUMIFS(资金日记账!$H$4:$H$603,资金日记账!$E$4:$E$603,$A6,资金日记账!$V$4:$V$603,S$4),2))</f>
        <v>0</v>
      </c>
      <c r="T6" s="41" t="n">
        <f aca="false">IF($A6="","",ROUND(SUMIFS(资金日记账!$H$4:$H$603,资金日记账!$E$4:$E$603,$A6,资金日记账!$V$4:$V$603,T$4),2))</f>
        <v>0</v>
      </c>
      <c r="U6" s="41" t="n">
        <f aca="false">IF($A6="","",ROUND(SUMIFS(资金日记账!$H$4:$H$603,资金日记账!$E$4:$E$603,$A6,资金日记账!$V$4:$V$603,U$4),2))</f>
        <v>0</v>
      </c>
      <c r="V6" s="41" t="n">
        <f aca="false">IF($A6="","",ROUND(SUMIFS(资金日记账!$H$4:$H$603,资金日记账!$E$4:$E$603,$A6,资金日记账!$V$4:$V$603,V$4),2))</f>
        <v>0</v>
      </c>
      <c r="W6" s="41" t="n">
        <f aca="false">IF($A6="","",ROUND(SUMIFS(资金日记账!$H$4:$H$603,资金日记账!$E$4:$E$603,$A6,资金日记账!$V$4:$V$603,W$4),2))</f>
        <v>0</v>
      </c>
      <c r="X6" s="41" t="n">
        <f aca="false">IF($A6="","",ROUND(SUMIFS(资金日记账!$H$4:$H$603,资金日记账!$E$4:$E$603,$A6,资金日记账!$V$4:$V$603,X$4),2))</f>
        <v>0</v>
      </c>
      <c r="Y6" s="41" t="n">
        <f aca="false">IF($A6="","",ROUND(SUMIFS(资金日记账!$H$4:$H$603,资金日记账!$E$4:$E$603,$A6,资金日记账!$V$4:$V$603,Y$4),2))</f>
        <v>0</v>
      </c>
      <c r="Z6" s="142" t="n">
        <f aca="false">IF($A6="","",ROUND(SUM($B6:$Y6),2))</f>
        <v>2000</v>
      </c>
    </row>
    <row r="7" customFormat="false" ht="13.5" hidden="false" customHeight="false" outlineLevel="0" collapsed="false">
      <c r="A7" s="33" t="str">
        <f aca="false">IFERROR(INDEX(_自动清单!$AJ$4:$AJ$63,3),"")</f>
        <v>贾建国</v>
      </c>
      <c r="B7" s="41" t="n">
        <f aca="false">IF($A7="","",ROUND(SUMIFS(资金日记账!$H$4:$H$603,资金日记账!$E$4:$E$603,$A7,资金日记账!$V$4:$V$603,B$4),2))</f>
        <v>0</v>
      </c>
      <c r="C7" s="41" t="n">
        <f aca="false">IF($A7="","",ROUND(SUMIFS(资金日记账!$H$4:$H$603,资金日记账!$E$4:$E$603,$A7,资金日记账!$V$4:$V$603,C$4),2))</f>
        <v>2000</v>
      </c>
      <c r="D7" s="41" t="n">
        <f aca="false">IF($A7="","",ROUND(SUMIFS(资金日记账!$H$4:$H$603,资金日记账!$E$4:$E$603,$A7,资金日记账!$V$4:$V$603,D$4),2))</f>
        <v>0</v>
      </c>
      <c r="E7" s="41" t="n">
        <f aca="false">IF($A7="","",ROUND(SUMIFS(资金日记账!$H$4:$H$603,资金日记账!$E$4:$E$603,$A7,资金日记账!$V$4:$V$603,E$4),2))</f>
        <v>0</v>
      </c>
      <c r="F7" s="41" t="n">
        <f aca="false">IF($A7="","",ROUND(SUMIFS(资金日记账!$H$4:$H$603,资金日记账!$E$4:$E$603,$A7,资金日记账!$V$4:$V$603,F$4),2))</f>
        <v>0</v>
      </c>
      <c r="G7" s="41" t="n">
        <f aca="false">IF($A7="","",ROUND(SUMIFS(资金日记账!$H$4:$H$603,资金日记账!$E$4:$E$603,$A7,资金日记账!$V$4:$V$603,G$4),2))</f>
        <v>0</v>
      </c>
      <c r="H7" s="41" t="n">
        <f aca="false">IF($A7="","",ROUND(SUMIFS(资金日记账!$H$4:$H$603,资金日记账!$E$4:$E$603,$A7,资金日记账!$V$4:$V$603,H$4),2))</f>
        <v>0</v>
      </c>
      <c r="I7" s="41" t="n">
        <f aca="false">IF($A7="","",ROUND(SUMIFS(资金日记账!$H$4:$H$603,资金日记账!$E$4:$E$603,$A7,资金日记账!$V$4:$V$603,I$4),2))</f>
        <v>0</v>
      </c>
      <c r="J7" s="41" t="n">
        <f aca="false">IF($A7="","",ROUND(SUMIFS(资金日记账!$H$4:$H$603,资金日记账!$E$4:$E$603,$A7,资金日记账!$V$4:$V$603,J$4),2))</f>
        <v>0</v>
      </c>
      <c r="K7" s="41" t="n">
        <f aca="false">IF($A7="","",ROUND(SUMIFS(资金日记账!$H$4:$H$603,资金日记账!$E$4:$E$603,$A7,资金日记账!$V$4:$V$603,K$4),2))</f>
        <v>0</v>
      </c>
      <c r="L7" s="41" t="n">
        <f aca="false">IF($A7="","",ROUND(SUMIFS(资金日记账!$H$4:$H$603,资金日记账!$E$4:$E$603,$A7,资金日记账!$V$4:$V$603,L$4),2))</f>
        <v>0</v>
      </c>
      <c r="M7" s="41" t="n">
        <f aca="false">IF($A7="","",ROUND(SUMIFS(资金日记账!$H$4:$H$603,资金日记账!$E$4:$E$603,$A7,资金日记账!$V$4:$V$603,M$4),2))</f>
        <v>0</v>
      </c>
      <c r="N7" s="41" t="n">
        <f aca="false">IF($A7="","",ROUND(SUMIFS(资金日记账!$H$4:$H$603,资金日记账!$E$4:$E$603,$A7,资金日记账!$V$4:$V$603,N$4),2))</f>
        <v>0</v>
      </c>
      <c r="O7" s="41" t="n">
        <f aca="false">IF($A7="","",ROUND(SUMIFS(资金日记账!$H$4:$H$603,资金日记账!$E$4:$E$603,$A7,资金日记账!$V$4:$V$603,O$4),2))</f>
        <v>0</v>
      </c>
      <c r="P7" s="41" t="n">
        <f aca="false">IF($A7="","",ROUND(SUMIFS(资金日记账!$H$4:$H$603,资金日记账!$E$4:$E$603,$A7,资金日记账!$V$4:$V$603,P$4),2))</f>
        <v>0</v>
      </c>
      <c r="Q7" s="41" t="n">
        <f aca="false">IF($A7="","",ROUND(SUMIFS(资金日记账!$H$4:$H$603,资金日记账!$E$4:$E$603,$A7,资金日记账!$V$4:$V$603,Q$4),2))</f>
        <v>0</v>
      </c>
      <c r="R7" s="41" t="n">
        <f aca="false">IF($A7="","",ROUND(SUMIFS(资金日记账!$H$4:$H$603,资金日记账!$E$4:$E$603,$A7,资金日记账!$V$4:$V$603,R$4),2))</f>
        <v>0</v>
      </c>
      <c r="S7" s="41" t="n">
        <f aca="false">IF($A7="","",ROUND(SUMIFS(资金日记账!$H$4:$H$603,资金日记账!$E$4:$E$603,$A7,资金日记账!$V$4:$V$603,S$4),2))</f>
        <v>0</v>
      </c>
      <c r="T7" s="41" t="n">
        <f aca="false">IF($A7="","",ROUND(SUMIFS(资金日记账!$H$4:$H$603,资金日记账!$E$4:$E$603,$A7,资金日记账!$V$4:$V$603,T$4),2))</f>
        <v>0</v>
      </c>
      <c r="U7" s="41" t="n">
        <f aca="false">IF($A7="","",ROUND(SUMIFS(资金日记账!$H$4:$H$603,资金日记账!$E$4:$E$603,$A7,资金日记账!$V$4:$V$603,U$4),2))</f>
        <v>0</v>
      </c>
      <c r="V7" s="41" t="n">
        <f aca="false">IF($A7="","",ROUND(SUMIFS(资金日记账!$H$4:$H$603,资金日记账!$E$4:$E$603,$A7,资金日记账!$V$4:$V$603,V$4),2))</f>
        <v>0</v>
      </c>
      <c r="W7" s="41" t="n">
        <f aca="false">IF($A7="","",ROUND(SUMIFS(资金日记账!$H$4:$H$603,资金日记账!$E$4:$E$603,$A7,资金日记账!$V$4:$V$603,W$4),2))</f>
        <v>0</v>
      </c>
      <c r="X7" s="41" t="n">
        <f aca="false">IF($A7="","",ROUND(SUMIFS(资金日记账!$H$4:$H$603,资金日记账!$E$4:$E$603,$A7,资金日记账!$V$4:$V$603,X$4),2))</f>
        <v>0</v>
      </c>
      <c r="Y7" s="41" t="n">
        <f aca="false">IF($A7="","",ROUND(SUMIFS(资金日记账!$H$4:$H$603,资金日记账!$E$4:$E$603,$A7,资金日记账!$V$4:$V$603,Y$4),2))</f>
        <v>0</v>
      </c>
      <c r="Z7" s="142" t="n">
        <f aca="false">IF($A7="","",ROUND(SUM($B7:$Y7),2))</f>
        <v>2000</v>
      </c>
    </row>
    <row r="8" customFormat="false" ht="13.5" hidden="false" customHeight="false" outlineLevel="0" collapsed="false">
      <c r="A8" s="33" t="str">
        <f aca="false">IFERROR(INDEX(_自动清单!$AJ$4:$AJ$63,4),"")</f>
        <v>王灵云</v>
      </c>
      <c r="B8" s="41" t="n">
        <f aca="false">IF($A8="","",ROUND(SUMIFS(资金日记账!$H$4:$H$603,资金日记账!$E$4:$E$603,$A8,资金日记账!$V$4:$V$603,B$4),2))</f>
        <v>0</v>
      </c>
      <c r="C8" s="41" t="n">
        <f aca="false">IF($A8="","",ROUND(SUMIFS(资金日记账!$H$4:$H$603,资金日记账!$E$4:$E$603,$A8,资金日记账!$V$4:$V$603,C$4),2))</f>
        <v>3000</v>
      </c>
      <c r="D8" s="41" t="n">
        <f aca="false">IF($A8="","",ROUND(SUMIFS(资金日记账!$H$4:$H$603,资金日记账!$E$4:$E$603,$A8,资金日记账!$V$4:$V$603,D$4),2))</f>
        <v>0</v>
      </c>
      <c r="E8" s="41" t="n">
        <f aca="false">IF($A8="","",ROUND(SUMIFS(资金日记账!$H$4:$H$603,资金日记账!$E$4:$E$603,$A8,资金日记账!$V$4:$V$603,E$4),2))</f>
        <v>0</v>
      </c>
      <c r="F8" s="41" t="n">
        <f aca="false">IF($A8="","",ROUND(SUMIFS(资金日记账!$H$4:$H$603,资金日记账!$E$4:$E$603,$A8,资金日记账!$V$4:$V$603,F$4),2))</f>
        <v>0</v>
      </c>
      <c r="G8" s="41" t="n">
        <f aca="false">IF($A8="","",ROUND(SUMIFS(资金日记账!$H$4:$H$603,资金日记账!$E$4:$E$603,$A8,资金日记账!$V$4:$V$603,G$4),2))</f>
        <v>0</v>
      </c>
      <c r="H8" s="41" t="n">
        <f aca="false">IF($A8="","",ROUND(SUMIFS(资金日记账!$H$4:$H$603,资金日记账!$E$4:$E$603,$A8,资金日记账!$V$4:$V$603,H$4),2))</f>
        <v>0</v>
      </c>
      <c r="I8" s="41" t="n">
        <f aca="false">IF($A8="","",ROUND(SUMIFS(资金日记账!$H$4:$H$603,资金日记账!$E$4:$E$603,$A8,资金日记账!$V$4:$V$603,I$4),2))</f>
        <v>0</v>
      </c>
      <c r="J8" s="41" t="n">
        <f aca="false">IF($A8="","",ROUND(SUMIFS(资金日记账!$H$4:$H$603,资金日记账!$E$4:$E$603,$A8,资金日记账!$V$4:$V$603,J$4),2))</f>
        <v>0</v>
      </c>
      <c r="K8" s="41" t="n">
        <f aca="false">IF($A8="","",ROUND(SUMIFS(资金日记账!$H$4:$H$603,资金日记账!$E$4:$E$603,$A8,资金日记账!$V$4:$V$603,K$4),2))</f>
        <v>0</v>
      </c>
      <c r="L8" s="41" t="n">
        <f aca="false">IF($A8="","",ROUND(SUMIFS(资金日记账!$H$4:$H$603,资金日记账!$E$4:$E$603,$A8,资金日记账!$V$4:$V$603,L$4),2))</f>
        <v>0</v>
      </c>
      <c r="M8" s="41" t="n">
        <f aca="false">IF($A8="","",ROUND(SUMIFS(资金日记账!$H$4:$H$603,资金日记账!$E$4:$E$603,$A8,资金日记账!$V$4:$V$603,M$4),2))</f>
        <v>0</v>
      </c>
      <c r="N8" s="41" t="n">
        <f aca="false">IF($A8="","",ROUND(SUMIFS(资金日记账!$H$4:$H$603,资金日记账!$E$4:$E$603,$A8,资金日记账!$V$4:$V$603,N$4),2))</f>
        <v>0</v>
      </c>
      <c r="O8" s="41" t="n">
        <f aca="false">IF($A8="","",ROUND(SUMIFS(资金日记账!$H$4:$H$603,资金日记账!$E$4:$E$603,$A8,资金日记账!$V$4:$V$603,O$4),2))</f>
        <v>0</v>
      </c>
      <c r="P8" s="41" t="n">
        <f aca="false">IF($A8="","",ROUND(SUMIFS(资金日记账!$H$4:$H$603,资金日记账!$E$4:$E$603,$A8,资金日记账!$V$4:$V$603,P$4),2))</f>
        <v>0</v>
      </c>
      <c r="Q8" s="41" t="n">
        <f aca="false">IF($A8="","",ROUND(SUMIFS(资金日记账!$H$4:$H$603,资金日记账!$E$4:$E$603,$A8,资金日记账!$V$4:$V$603,Q$4),2))</f>
        <v>0</v>
      </c>
      <c r="R8" s="41" t="n">
        <f aca="false">IF($A8="","",ROUND(SUMIFS(资金日记账!$H$4:$H$603,资金日记账!$E$4:$E$603,$A8,资金日记账!$V$4:$V$603,R$4),2))</f>
        <v>0</v>
      </c>
      <c r="S8" s="41" t="n">
        <f aca="false">IF($A8="","",ROUND(SUMIFS(资金日记账!$H$4:$H$603,资金日记账!$E$4:$E$603,$A8,资金日记账!$V$4:$V$603,S$4),2))</f>
        <v>0</v>
      </c>
      <c r="T8" s="41" t="n">
        <f aca="false">IF($A8="","",ROUND(SUMIFS(资金日记账!$H$4:$H$603,资金日记账!$E$4:$E$603,$A8,资金日记账!$V$4:$V$603,T$4),2))</f>
        <v>0</v>
      </c>
      <c r="U8" s="41" t="n">
        <f aca="false">IF($A8="","",ROUND(SUMIFS(资金日记账!$H$4:$H$603,资金日记账!$E$4:$E$603,$A8,资金日记账!$V$4:$V$603,U$4),2))</f>
        <v>0</v>
      </c>
      <c r="V8" s="41" t="n">
        <f aca="false">IF($A8="","",ROUND(SUMIFS(资金日记账!$H$4:$H$603,资金日记账!$E$4:$E$603,$A8,资金日记账!$V$4:$V$603,V$4),2))</f>
        <v>0</v>
      </c>
      <c r="W8" s="41" t="n">
        <f aca="false">IF($A8="","",ROUND(SUMIFS(资金日记账!$H$4:$H$603,资金日记账!$E$4:$E$603,$A8,资金日记账!$V$4:$V$603,W$4),2))</f>
        <v>0</v>
      </c>
      <c r="X8" s="41" t="n">
        <f aca="false">IF($A8="","",ROUND(SUMIFS(资金日记账!$H$4:$H$603,资金日记账!$E$4:$E$603,$A8,资金日记账!$V$4:$V$603,X$4),2))</f>
        <v>0</v>
      </c>
      <c r="Y8" s="41" t="n">
        <f aca="false">IF($A8="","",ROUND(SUMIFS(资金日记账!$H$4:$H$603,资金日记账!$E$4:$E$603,$A8,资金日记账!$V$4:$V$603,Y$4),2))</f>
        <v>0</v>
      </c>
      <c r="Z8" s="142" t="n">
        <f aca="false">IF($A8="","",ROUND(SUM($B8:$Y8),2))</f>
        <v>3000</v>
      </c>
    </row>
    <row r="9" customFormat="false" ht="13.5" hidden="false" customHeight="false" outlineLevel="0" collapsed="false">
      <c r="A9" s="33" t="str">
        <f aca="false">IFERROR(INDEX(_自动清单!$AJ$4:$AJ$63,5),"")</f>
        <v>聂新平</v>
      </c>
      <c r="B9" s="41" t="n">
        <f aca="false">IF($A9="","",ROUND(SUMIFS(资金日记账!$H$4:$H$603,资金日记账!$E$4:$E$603,$A9,资金日记账!$V$4:$V$603,B$4),2))</f>
        <v>0</v>
      </c>
      <c r="C9" s="41" t="n">
        <f aca="false">IF($A9="","",ROUND(SUMIFS(资金日记账!$H$4:$H$603,资金日记账!$E$4:$E$603,$A9,资金日记账!$V$4:$V$603,C$4),2))</f>
        <v>12000</v>
      </c>
      <c r="D9" s="41" t="n">
        <f aca="false">IF($A9="","",ROUND(SUMIFS(资金日记账!$H$4:$H$603,资金日记账!$E$4:$E$603,$A9,资金日记账!$V$4:$V$603,D$4),2))</f>
        <v>0</v>
      </c>
      <c r="E9" s="41" t="n">
        <f aca="false">IF($A9="","",ROUND(SUMIFS(资金日记账!$H$4:$H$603,资金日记账!$E$4:$E$603,$A9,资金日记账!$V$4:$V$603,E$4),2))</f>
        <v>0</v>
      </c>
      <c r="F9" s="41" t="n">
        <f aca="false">IF($A9="","",ROUND(SUMIFS(资金日记账!$H$4:$H$603,资金日记账!$E$4:$E$603,$A9,资金日记账!$V$4:$V$603,F$4),2))</f>
        <v>0</v>
      </c>
      <c r="G9" s="41" t="n">
        <f aca="false">IF($A9="","",ROUND(SUMIFS(资金日记账!$H$4:$H$603,资金日记账!$E$4:$E$603,$A9,资金日记账!$V$4:$V$603,G$4),2))</f>
        <v>0</v>
      </c>
      <c r="H9" s="41" t="n">
        <f aca="false">IF($A9="","",ROUND(SUMIFS(资金日记账!$H$4:$H$603,资金日记账!$E$4:$E$603,$A9,资金日记账!$V$4:$V$603,H$4),2))</f>
        <v>0</v>
      </c>
      <c r="I9" s="41" t="n">
        <f aca="false">IF($A9="","",ROUND(SUMIFS(资金日记账!$H$4:$H$603,资金日记账!$E$4:$E$603,$A9,资金日记账!$V$4:$V$603,I$4),2))</f>
        <v>0</v>
      </c>
      <c r="J9" s="41" t="n">
        <f aca="false">IF($A9="","",ROUND(SUMIFS(资金日记账!$H$4:$H$603,资金日记账!$E$4:$E$603,$A9,资金日记账!$V$4:$V$603,J$4),2))</f>
        <v>0</v>
      </c>
      <c r="K9" s="41" t="n">
        <f aca="false">IF($A9="","",ROUND(SUMIFS(资金日记账!$H$4:$H$603,资金日记账!$E$4:$E$603,$A9,资金日记账!$V$4:$V$603,K$4),2))</f>
        <v>0</v>
      </c>
      <c r="L9" s="41" t="n">
        <f aca="false">IF($A9="","",ROUND(SUMIFS(资金日记账!$H$4:$H$603,资金日记账!$E$4:$E$603,$A9,资金日记账!$V$4:$V$603,L$4),2))</f>
        <v>0</v>
      </c>
      <c r="M9" s="41" t="n">
        <f aca="false">IF($A9="","",ROUND(SUMIFS(资金日记账!$H$4:$H$603,资金日记账!$E$4:$E$603,$A9,资金日记账!$V$4:$V$603,M$4),2))</f>
        <v>0</v>
      </c>
      <c r="N9" s="41" t="n">
        <f aca="false">IF($A9="","",ROUND(SUMIFS(资金日记账!$H$4:$H$603,资金日记账!$E$4:$E$603,$A9,资金日记账!$V$4:$V$603,N$4),2))</f>
        <v>0</v>
      </c>
      <c r="O9" s="41" t="n">
        <f aca="false">IF($A9="","",ROUND(SUMIFS(资金日记账!$H$4:$H$603,资金日记账!$E$4:$E$603,$A9,资金日记账!$V$4:$V$603,O$4),2))</f>
        <v>0</v>
      </c>
      <c r="P9" s="41" t="n">
        <f aca="false">IF($A9="","",ROUND(SUMIFS(资金日记账!$H$4:$H$603,资金日记账!$E$4:$E$603,$A9,资金日记账!$V$4:$V$603,P$4),2))</f>
        <v>0</v>
      </c>
      <c r="Q9" s="41" t="n">
        <f aca="false">IF($A9="","",ROUND(SUMIFS(资金日记账!$H$4:$H$603,资金日记账!$E$4:$E$603,$A9,资金日记账!$V$4:$V$603,Q$4),2))</f>
        <v>0</v>
      </c>
      <c r="R9" s="41" t="n">
        <f aca="false">IF($A9="","",ROUND(SUMIFS(资金日记账!$H$4:$H$603,资金日记账!$E$4:$E$603,$A9,资金日记账!$V$4:$V$603,R$4),2))</f>
        <v>0</v>
      </c>
      <c r="S9" s="41" t="n">
        <f aca="false">IF($A9="","",ROUND(SUMIFS(资金日记账!$H$4:$H$603,资金日记账!$E$4:$E$603,$A9,资金日记账!$V$4:$V$603,S$4),2))</f>
        <v>0</v>
      </c>
      <c r="T9" s="41" t="n">
        <f aca="false">IF($A9="","",ROUND(SUMIFS(资金日记账!$H$4:$H$603,资金日记账!$E$4:$E$603,$A9,资金日记账!$V$4:$V$603,T$4),2))</f>
        <v>0</v>
      </c>
      <c r="U9" s="41" t="n">
        <f aca="false">IF($A9="","",ROUND(SUMIFS(资金日记账!$H$4:$H$603,资金日记账!$E$4:$E$603,$A9,资金日记账!$V$4:$V$603,U$4),2))</f>
        <v>0</v>
      </c>
      <c r="V9" s="41" t="n">
        <f aca="false">IF($A9="","",ROUND(SUMIFS(资金日记账!$H$4:$H$603,资金日记账!$E$4:$E$603,$A9,资金日记账!$V$4:$V$603,V$4),2))</f>
        <v>0</v>
      </c>
      <c r="W9" s="41" t="n">
        <f aca="false">IF($A9="","",ROUND(SUMIFS(资金日记账!$H$4:$H$603,资金日记账!$E$4:$E$603,$A9,资金日记账!$V$4:$V$603,W$4),2))</f>
        <v>0</v>
      </c>
      <c r="X9" s="41" t="n">
        <f aca="false">IF($A9="","",ROUND(SUMIFS(资金日记账!$H$4:$H$603,资金日记账!$E$4:$E$603,$A9,资金日记账!$V$4:$V$603,X$4),2))</f>
        <v>0</v>
      </c>
      <c r="Y9" s="41" t="n">
        <f aca="false">IF($A9="","",ROUND(SUMIFS(资金日记账!$H$4:$H$603,资金日记账!$E$4:$E$603,$A9,资金日记账!$V$4:$V$603,Y$4),2))</f>
        <v>0</v>
      </c>
      <c r="Z9" s="142" t="n">
        <f aca="false">IF($A9="","",ROUND(SUM($B9:$Y9),2))</f>
        <v>12000</v>
      </c>
    </row>
    <row r="10" customFormat="false" ht="13.5" hidden="false" customHeight="false" outlineLevel="0" collapsed="false">
      <c r="A10" s="33" t="str">
        <f aca="false">IFERROR(INDEX(_自动清单!$AJ$4:$AJ$63,6),"")</f>
        <v/>
      </c>
      <c r="B10" s="41" t="str">
        <f aca="false">IF($A10="","",ROUND(SUMIFS(资金日记账!$H$4:$H$603,资金日记账!$E$4:$E$603,$A10,资金日记账!$V$4:$V$603,B$4),2))</f>
        <v/>
      </c>
      <c r="C10" s="41" t="str">
        <f aca="false">IF($A10="","",ROUND(SUMIFS(资金日记账!$H$4:$H$603,资金日记账!$E$4:$E$603,$A10,资金日记账!$V$4:$V$603,C$4),2))</f>
        <v/>
      </c>
      <c r="D10" s="41" t="str">
        <f aca="false">IF($A10="","",ROUND(SUMIFS(资金日记账!$H$4:$H$603,资金日记账!$E$4:$E$603,$A10,资金日记账!$V$4:$V$603,D$4),2))</f>
        <v/>
      </c>
      <c r="E10" s="41" t="str">
        <f aca="false">IF($A10="","",ROUND(SUMIFS(资金日记账!$H$4:$H$603,资金日记账!$E$4:$E$603,$A10,资金日记账!$V$4:$V$603,E$4),2))</f>
        <v/>
      </c>
      <c r="F10" s="41" t="str">
        <f aca="false">IF($A10="","",ROUND(SUMIFS(资金日记账!$H$4:$H$603,资金日记账!$E$4:$E$603,$A10,资金日记账!$V$4:$V$603,F$4),2))</f>
        <v/>
      </c>
      <c r="G10" s="41" t="str">
        <f aca="false">IF($A10="","",ROUND(SUMIFS(资金日记账!$H$4:$H$603,资金日记账!$E$4:$E$603,$A10,资金日记账!$V$4:$V$603,G$4),2))</f>
        <v/>
      </c>
      <c r="H10" s="41" t="str">
        <f aca="false">IF($A10="","",ROUND(SUMIFS(资金日记账!$H$4:$H$603,资金日记账!$E$4:$E$603,$A10,资金日记账!$V$4:$V$603,H$4),2))</f>
        <v/>
      </c>
      <c r="I10" s="41" t="str">
        <f aca="false">IF($A10="","",ROUND(SUMIFS(资金日记账!$H$4:$H$603,资金日记账!$E$4:$E$603,$A10,资金日记账!$V$4:$V$603,I$4),2))</f>
        <v/>
      </c>
      <c r="J10" s="41" t="str">
        <f aca="false">IF($A10="","",ROUND(SUMIFS(资金日记账!$H$4:$H$603,资金日记账!$E$4:$E$603,$A10,资金日记账!$V$4:$V$603,J$4),2))</f>
        <v/>
      </c>
      <c r="K10" s="41" t="str">
        <f aca="false">IF($A10="","",ROUND(SUMIFS(资金日记账!$H$4:$H$603,资金日记账!$E$4:$E$603,$A10,资金日记账!$V$4:$V$603,K$4),2))</f>
        <v/>
      </c>
      <c r="L10" s="41" t="str">
        <f aca="false">IF($A10="","",ROUND(SUMIFS(资金日记账!$H$4:$H$603,资金日记账!$E$4:$E$603,$A10,资金日记账!$V$4:$V$603,L$4),2))</f>
        <v/>
      </c>
      <c r="M10" s="41" t="str">
        <f aca="false">IF($A10="","",ROUND(SUMIFS(资金日记账!$H$4:$H$603,资金日记账!$E$4:$E$603,$A10,资金日记账!$V$4:$V$603,M$4),2))</f>
        <v/>
      </c>
      <c r="N10" s="41" t="str">
        <f aca="false">IF($A10="","",ROUND(SUMIFS(资金日记账!$H$4:$H$603,资金日记账!$E$4:$E$603,$A10,资金日记账!$V$4:$V$603,N$4),2))</f>
        <v/>
      </c>
      <c r="O10" s="41" t="str">
        <f aca="false">IF($A10="","",ROUND(SUMIFS(资金日记账!$H$4:$H$603,资金日记账!$E$4:$E$603,$A10,资金日记账!$V$4:$V$603,O$4),2))</f>
        <v/>
      </c>
      <c r="P10" s="41" t="str">
        <f aca="false">IF($A10="","",ROUND(SUMIFS(资金日记账!$H$4:$H$603,资金日记账!$E$4:$E$603,$A10,资金日记账!$V$4:$V$603,P$4),2))</f>
        <v/>
      </c>
      <c r="Q10" s="41" t="str">
        <f aca="false">IF($A10="","",ROUND(SUMIFS(资金日记账!$H$4:$H$603,资金日记账!$E$4:$E$603,$A10,资金日记账!$V$4:$V$603,Q$4),2))</f>
        <v/>
      </c>
      <c r="R10" s="41" t="str">
        <f aca="false">IF($A10="","",ROUND(SUMIFS(资金日记账!$H$4:$H$603,资金日记账!$E$4:$E$603,$A10,资金日记账!$V$4:$V$603,R$4),2))</f>
        <v/>
      </c>
      <c r="S10" s="41" t="str">
        <f aca="false">IF($A10="","",ROUND(SUMIFS(资金日记账!$H$4:$H$603,资金日记账!$E$4:$E$603,$A10,资金日记账!$V$4:$V$603,S$4),2))</f>
        <v/>
      </c>
      <c r="T10" s="41" t="str">
        <f aca="false">IF($A10="","",ROUND(SUMIFS(资金日记账!$H$4:$H$603,资金日记账!$E$4:$E$603,$A10,资金日记账!$V$4:$V$603,T$4),2))</f>
        <v/>
      </c>
      <c r="U10" s="41" t="str">
        <f aca="false">IF($A10="","",ROUND(SUMIFS(资金日记账!$H$4:$H$603,资金日记账!$E$4:$E$603,$A10,资金日记账!$V$4:$V$603,U$4),2))</f>
        <v/>
      </c>
      <c r="V10" s="41" t="str">
        <f aca="false">IF($A10="","",ROUND(SUMIFS(资金日记账!$H$4:$H$603,资金日记账!$E$4:$E$603,$A10,资金日记账!$V$4:$V$603,V$4),2))</f>
        <v/>
      </c>
      <c r="W10" s="41" t="str">
        <f aca="false">IF($A10="","",ROUND(SUMIFS(资金日记账!$H$4:$H$603,资金日记账!$E$4:$E$603,$A10,资金日记账!$V$4:$V$603,W$4),2))</f>
        <v/>
      </c>
      <c r="X10" s="41" t="str">
        <f aca="false">IF($A10="","",ROUND(SUMIFS(资金日记账!$H$4:$H$603,资金日记账!$E$4:$E$603,$A10,资金日记账!$V$4:$V$603,X$4),2))</f>
        <v/>
      </c>
      <c r="Y10" s="41" t="str">
        <f aca="false">IF($A10="","",ROUND(SUMIFS(资金日记账!$H$4:$H$603,资金日记账!$E$4:$E$603,$A10,资金日记账!$V$4:$V$603,Y$4),2))</f>
        <v/>
      </c>
      <c r="Z10" s="142" t="str">
        <f aca="false">IF($A10="","",ROUND(SUM($B10:$Y10),2))</f>
        <v/>
      </c>
    </row>
    <row r="11" customFormat="false" ht="13.5" hidden="false" customHeight="false" outlineLevel="0" collapsed="false">
      <c r="A11" s="33" t="str">
        <f aca="false">IFERROR(INDEX(_自动清单!$AJ$4:$AJ$63,7),"")</f>
        <v/>
      </c>
      <c r="B11" s="41" t="str">
        <f aca="false">IF($A11="","",ROUND(SUMIFS(资金日记账!$H$4:$H$603,资金日记账!$E$4:$E$603,$A11,资金日记账!$V$4:$V$603,B$4),2))</f>
        <v/>
      </c>
      <c r="C11" s="41" t="str">
        <f aca="false">IF($A11="","",ROUND(SUMIFS(资金日记账!$H$4:$H$603,资金日记账!$E$4:$E$603,$A11,资金日记账!$V$4:$V$603,C$4),2))</f>
        <v/>
      </c>
      <c r="D11" s="41" t="str">
        <f aca="false">IF($A11="","",ROUND(SUMIFS(资金日记账!$H$4:$H$603,资金日记账!$E$4:$E$603,$A11,资金日记账!$V$4:$V$603,D$4),2))</f>
        <v/>
      </c>
      <c r="E11" s="41" t="str">
        <f aca="false">IF($A11="","",ROUND(SUMIFS(资金日记账!$H$4:$H$603,资金日记账!$E$4:$E$603,$A11,资金日记账!$V$4:$V$603,E$4),2))</f>
        <v/>
      </c>
      <c r="F11" s="41" t="str">
        <f aca="false">IF($A11="","",ROUND(SUMIFS(资金日记账!$H$4:$H$603,资金日记账!$E$4:$E$603,$A11,资金日记账!$V$4:$V$603,F$4),2))</f>
        <v/>
      </c>
      <c r="G11" s="41" t="str">
        <f aca="false">IF($A11="","",ROUND(SUMIFS(资金日记账!$H$4:$H$603,资金日记账!$E$4:$E$603,$A11,资金日记账!$V$4:$V$603,G$4),2))</f>
        <v/>
      </c>
      <c r="H11" s="41" t="str">
        <f aca="false">IF($A11="","",ROUND(SUMIFS(资金日记账!$H$4:$H$603,资金日记账!$E$4:$E$603,$A11,资金日记账!$V$4:$V$603,H$4),2))</f>
        <v/>
      </c>
      <c r="I11" s="41" t="str">
        <f aca="false">IF($A11="","",ROUND(SUMIFS(资金日记账!$H$4:$H$603,资金日记账!$E$4:$E$603,$A11,资金日记账!$V$4:$V$603,I$4),2))</f>
        <v/>
      </c>
      <c r="J11" s="41" t="str">
        <f aca="false">IF($A11="","",ROUND(SUMIFS(资金日记账!$H$4:$H$603,资金日记账!$E$4:$E$603,$A11,资金日记账!$V$4:$V$603,J$4),2))</f>
        <v/>
      </c>
      <c r="K11" s="41" t="str">
        <f aca="false">IF($A11="","",ROUND(SUMIFS(资金日记账!$H$4:$H$603,资金日记账!$E$4:$E$603,$A11,资金日记账!$V$4:$V$603,K$4),2))</f>
        <v/>
      </c>
      <c r="L11" s="41" t="str">
        <f aca="false">IF($A11="","",ROUND(SUMIFS(资金日记账!$H$4:$H$603,资金日记账!$E$4:$E$603,$A11,资金日记账!$V$4:$V$603,L$4),2))</f>
        <v/>
      </c>
      <c r="M11" s="41" t="str">
        <f aca="false">IF($A11="","",ROUND(SUMIFS(资金日记账!$H$4:$H$603,资金日记账!$E$4:$E$603,$A11,资金日记账!$V$4:$V$603,M$4),2))</f>
        <v/>
      </c>
      <c r="N11" s="41" t="str">
        <f aca="false">IF($A11="","",ROUND(SUMIFS(资金日记账!$H$4:$H$603,资金日记账!$E$4:$E$603,$A11,资金日记账!$V$4:$V$603,N$4),2))</f>
        <v/>
      </c>
      <c r="O11" s="41" t="str">
        <f aca="false">IF($A11="","",ROUND(SUMIFS(资金日记账!$H$4:$H$603,资金日记账!$E$4:$E$603,$A11,资金日记账!$V$4:$V$603,O$4),2))</f>
        <v/>
      </c>
      <c r="P11" s="41" t="str">
        <f aca="false">IF($A11="","",ROUND(SUMIFS(资金日记账!$H$4:$H$603,资金日记账!$E$4:$E$603,$A11,资金日记账!$V$4:$V$603,P$4),2))</f>
        <v/>
      </c>
      <c r="Q11" s="41" t="str">
        <f aca="false">IF($A11="","",ROUND(SUMIFS(资金日记账!$H$4:$H$603,资金日记账!$E$4:$E$603,$A11,资金日记账!$V$4:$V$603,Q$4),2))</f>
        <v/>
      </c>
      <c r="R11" s="41" t="str">
        <f aca="false">IF($A11="","",ROUND(SUMIFS(资金日记账!$H$4:$H$603,资金日记账!$E$4:$E$603,$A11,资金日记账!$V$4:$V$603,R$4),2))</f>
        <v/>
      </c>
      <c r="S11" s="41" t="str">
        <f aca="false">IF($A11="","",ROUND(SUMIFS(资金日记账!$H$4:$H$603,资金日记账!$E$4:$E$603,$A11,资金日记账!$V$4:$V$603,S$4),2))</f>
        <v/>
      </c>
      <c r="T11" s="41" t="str">
        <f aca="false">IF($A11="","",ROUND(SUMIFS(资金日记账!$H$4:$H$603,资金日记账!$E$4:$E$603,$A11,资金日记账!$V$4:$V$603,T$4),2))</f>
        <v/>
      </c>
      <c r="U11" s="41" t="str">
        <f aca="false">IF($A11="","",ROUND(SUMIFS(资金日记账!$H$4:$H$603,资金日记账!$E$4:$E$603,$A11,资金日记账!$V$4:$V$603,U$4),2))</f>
        <v/>
      </c>
      <c r="V11" s="41" t="str">
        <f aca="false">IF($A11="","",ROUND(SUMIFS(资金日记账!$H$4:$H$603,资金日记账!$E$4:$E$603,$A11,资金日记账!$V$4:$V$603,V$4),2))</f>
        <v/>
      </c>
      <c r="W11" s="41" t="str">
        <f aca="false">IF($A11="","",ROUND(SUMIFS(资金日记账!$H$4:$H$603,资金日记账!$E$4:$E$603,$A11,资金日记账!$V$4:$V$603,W$4),2))</f>
        <v/>
      </c>
      <c r="X11" s="41" t="str">
        <f aca="false">IF($A11="","",ROUND(SUMIFS(资金日记账!$H$4:$H$603,资金日记账!$E$4:$E$603,$A11,资金日记账!$V$4:$V$603,X$4),2))</f>
        <v/>
      </c>
      <c r="Y11" s="41" t="str">
        <f aca="false">IF($A11="","",ROUND(SUMIFS(资金日记账!$H$4:$H$603,资金日记账!$E$4:$E$603,$A11,资金日记账!$V$4:$V$603,Y$4),2))</f>
        <v/>
      </c>
      <c r="Z11" s="142" t="str">
        <f aca="false">IF($A11="","",ROUND(SUM($B11:$Y11),2))</f>
        <v/>
      </c>
    </row>
    <row r="12" customFormat="false" ht="13.5" hidden="false" customHeight="false" outlineLevel="0" collapsed="false">
      <c r="A12" s="33" t="str">
        <f aca="false">IFERROR(INDEX(_自动清单!$AJ$4:$AJ$63,8),"")</f>
        <v/>
      </c>
      <c r="B12" s="41" t="str">
        <f aca="false">IF($A12="","",ROUND(SUMIFS(资金日记账!$H$4:$H$603,资金日记账!$E$4:$E$603,$A12,资金日记账!$V$4:$V$603,B$4),2))</f>
        <v/>
      </c>
      <c r="C12" s="41" t="str">
        <f aca="false">IF($A12="","",ROUND(SUMIFS(资金日记账!$H$4:$H$603,资金日记账!$E$4:$E$603,$A12,资金日记账!$V$4:$V$603,C$4),2))</f>
        <v/>
      </c>
      <c r="D12" s="41" t="str">
        <f aca="false">IF($A12="","",ROUND(SUMIFS(资金日记账!$H$4:$H$603,资金日记账!$E$4:$E$603,$A12,资金日记账!$V$4:$V$603,D$4),2))</f>
        <v/>
      </c>
      <c r="E12" s="41" t="str">
        <f aca="false">IF($A12="","",ROUND(SUMIFS(资金日记账!$H$4:$H$603,资金日记账!$E$4:$E$603,$A12,资金日记账!$V$4:$V$603,E$4),2))</f>
        <v/>
      </c>
      <c r="F12" s="41" t="str">
        <f aca="false">IF($A12="","",ROUND(SUMIFS(资金日记账!$H$4:$H$603,资金日记账!$E$4:$E$603,$A12,资金日记账!$V$4:$V$603,F$4),2))</f>
        <v/>
      </c>
      <c r="G12" s="41" t="str">
        <f aca="false">IF($A12="","",ROUND(SUMIFS(资金日记账!$H$4:$H$603,资金日记账!$E$4:$E$603,$A12,资金日记账!$V$4:$V$603,G$4),2))</f>
        <v/>
      </c>
      <c r="H12" s="41" t="str">
        <f aca="false">IF($A12="","",ROUND(SUMIFS(资金日记账!$H$4:$H$603,资金日记账!$E$4:$E$603,$A12,资金日记账!$V$4:$V$603,H$4),2))</f>
        <v/>
      </c>
      <c r="I12" s="41" t="str">
        <f aca="false">IF($A12="","",ROUND(SUMIFS(资金日记账!$H$4:$H$603,资金日记账!$E$4:$E$603,$A12,资金日记账!$V$4:$V$603,I$4),2))</f>
        <v/>
      </c>
      <c r="J12" s="41" t="str">
        <f aca="false">IF($A12="","",ROUND(SUMIFS(资金日记账!$H$4:$H$603,资金日记账!$E$4:$E$603,$A12,资金日记账!$V$4:$V$603,J$4),2))</f>
        <v/>
      </c>
      <c r="K12" s="41" t="str">
        <f aca="false">IF($A12="","",ROUND(SUMIFS(资金日记账!$H$4:$H$603,资金日记账!$E$4:$E$603,$A12,资金日记账!$V$4:$V$603,K$4),2))</f>
        <v/>
      </c>
      <c r="L12" s="41" t="str">
        <f aca="false">IF($A12="","",ROUND(SUMIFS(资金日记账!$H$4:$H$603,资金日记账!$E$4:$E$603,$A12,资金日记账!$V$4:$V$603,L$4),2))</f>
        <v/>
      </c>
      <c r="M12" s="41" t="str">
        <f aca="false">IF($A12="","",ROUND(SUMIFS(资金日记账!$H$4:$H$603,资金日记账!$E$4:$E$603,$A12,资金日记账!$V$4:$V$603,M$4),2))</f>
        <v/>
      </c>
      <c r="N12" s="41" t="str">
        <f aca="false">IF($A12="","",ROUND(SUMIFS(资金日记账!$H$4:$H$603,资金日记账!$E$4:$E$603,$A12,资金日记账!$V$4:$V$603,N$4),2))</f>
        <v/>
      </c>
      <c r="O12" s="41" t="str">
        <f aca="false">IF($A12="","",ROUND(SUMIFS(资金日记账!$H$4:$H$603,资金日记账!$E$4:$E$603,$A12,资金日记账!$V$4:$V$603,O$4),2))</f>
        <v/>
      </c>
      <c r="P12" s="41" t="str">
        <f aca="false">IF($A12="","",ROUND(SUMIFS(资金日记账!$H$4:$H$603,资金日记账!$E$4:$E$603,$A12,资金日记账!$V$4:$V$603,P$4),2))</f>
        <v/>
      </c>
      <c r="Q12" s="41" t="str">
        <f aca="false">IF($A12="","",ROUND(SUMIFS(资金日记账!$H$4:$H$603,资金日记账!$E$4:$E$603,$A12,资金日记账!$V$4:$V$603,Q$4),2))</f>
        <v/>
      </c>
      <c r="R12" s="41" t="str">
        <f aca="false">IF($A12="","",ROUND(SUMIFS(资金日记账!$H$4:$H$603,资金日记账!$E$4:$E$603,$A12,资金日记账!$V$4:$V$603,R$4),2))</f>
        <v/>
      </c>
      <c r="S12" s="41" t="str">
        <f aca="false">IF($A12="","",ROUND(SUMIFS(资金日记账!$H$4:$H$603,资金日记账!$E$4:$E$603,$A12,资金日记账!$V$4:$V$603,S$4),2))</f>
        <v/>
      </c>
      <c r="T12" s="41" t="str">
        <f aca="false">IF($A12="","",ROUND(SUMIFS(资金日记账!$H$4:$H$603,资金日记账!$E$4:$E$603,$A12,资金日记账!$V$4:$V$603,T$4),2))</f>
        <v/>
      </c>
      <c r="U12" s="41" t="str">
        <f aca="false">IF($A12="","",ROUND(SUMIFS(资金日记账!$H$4:$H$603,资金日记账!$E$4:$E$603,$A12,资金日记账!$V$4:$V$603,U$4),2))</f>
        <v/>
      </c>
      <c r="V12" s="41" t="str">
        <f aca="false">IF($A12="","",ROUND(SUMIFS(资金日记账!$H$4:$H$603,资金日记账!$E$4:$E$603,$A12,资金日记账!$V$4:$V$603,V$4),2))</f>
        <v/>
      </c>
      <c r="W12" s="41" t="str">
        <f aca="false">IF($A12="","",ROUND(SUMIFS(资金日记账!$H$4:$H$603,资金日记账!$E$4:$E$603,$A12,资金日记账!$V$4:$V$603,W$4),2))</f>
        <v/>
      </c>
      <c r="X12" s="41" t="str">
        <f aca="false">IF($A12="","",ROUND(SUMIFS(资金日记账!$H$4:$H$603,资金日记账!$E$4:$E$603,$A12,资金日记账!$V$4:$V$603,X$4),2))</f>
        <v/>
      </c>
      <c r="Y12" s="41" t="str">
        <f aca="false">IF($A12="","",ROUND(SUMIFS(资金日记账!$H$4:$H$603,资金日记账!$E$4:$E$603,$A12,资金日记账!$V$4:$V$603,Y$4),2))</f>
        <v/>
      </c>
      <c r="Z12" s="142" t="str">
        <f aca="false">IF($A12="","",ROUND(SUM($B12:$Y12),2))</f>
        <v/>
      </c>
    </row>
    <row r="13" customFormat="false" ht="13.5" hidden="false" customHeight="false" outlineLevel="0" collapsed="false">
      <c r="A13" s="33" t="str">
        <f aca="false">IFERROR(INDEX(_自动清单!$AJ$4:$AJ$63,9),"")</f>
        <v/>
      </c>
      <c r="B13" s="41" t="str">
        <f aca="false">IF($A13="","",ROUND(SUMIFS(资金日记账!$H$4:$H$603,资金日记账!$E$4:$E$603,$A13,资金日记账!$V$4:$V$603,B$4),2))</f>
        <v/>
      </c>
      <c r="C13" s="41" t="str">
        <f aca="false">IF($A13="","",ROUND(SUMIFS(资金日记账!$H$4:$H$603,资金日记账!$E$4:$E$603,$A13,资金日记账!$V$4:$V$603,C$4),2))</f>
        <v/>
      </c>
      <c r="D13" s="41" t="str">
        <f aca="false">IF($A13="","",ROUND(SUMIFS(资金日记账!$H$4:$H$603,资金日记账!$E$4:$E$603,$A13,资金日记账!$V$4:$V$603,D$4),2))</f>
        <v/>
      </c>
      <c r="E13" s="41" t="str">
        <f aca="false">IF($A13="","",ROUND(SUMIFS(资金日记账!$H$4:$H$603,资金日记账!$E$4:$E$603,$A13,资金日记账!$V$4:$V$603,E$4),2))</f>
        <v/>
      </c>
      <c r="F13" s="41" t="str">
        <f aca="false">IF($A13="","",ROUND(SUMIFS(资金日记账!$H$4:$H$603,资金日记账!$E$4:$E$603,$A13,资金日记账!$V$4:$V$603,F$4),2))</f>
        <v/>
      </c>
      <c r="G13" s="41" t="str">
        <f aca="false">IF($A13="","",ROUND(SUMIFS(资金日记账!$H$4:$H$603,资金日记账!$E$4:$E$603,$A13,资金日记账!$V$4:$V$603,G$4),2))</f>
        <v/>
      </c>
      <c r="H13" s="41" t="str">
        <f aca="false">IF($A13="","",ROUND(SUMIFS(资金日记账!$H$4:$H$603,资金日记账!$E$4:$E$603,$A13,资金日记账!$V$4:$V$603,H$4),2))</f>
        <v/>
      </c>
      <c r="I13" s="41" t="str">
        <f aca="false">IF($A13="","",ROUND(SUMIFS(资金日记账!$H$4:$H$603,资金日记账!$E$4:$E$603,$A13,资金日记账!$V$4:$V$603,I$4),2))</f>
        <v/>
      </c>
      <c r="J13" s="41" t="str">
        <f aca="false">IF($A13="","",ROUND(SUMIFS(资金日记账!$H$4:$H$603,资金日记账!$E$4:$E$603,$A13,资金日记账!$V$4:$V$603,J$4),2))</f>
        <v/>
      </c>
      <c r="K13" s="41" t="str">
        <f aca="false">IF($A13="","",ROUND(SUMIFS(资金日记账!$H$4:$H$603,资金日记账!$E$4:$E$603,$A13,资金日记账!$V$4:$V$603,K$4),2))</f>
        <v/>
      </c>
      <c r="L13" s="41" t="str">
        <f aca="false">IF($A13="","",ROUND(SUMIFS(资金日记账!$H$4:$H$603,资金日记账!$E$4:$E$603,$A13,资金日记账!$V$4:$V$603,L$4),2))</f>
        <v/>
      </c>
      <c r="M13" s="41" t="str">
        <f aca="false">IF($A13="","",ROUND(SUMIFS(资金日记账!$H$4:$H$603,资金日记账!$E$4:$E$603,$A13,资金日记账!$V$4:$V$603,M$4),2))</f>
        <v/>
      </c>
      <c r="N13" s="41" t="str">
        <f aca="false">IF($A13="","",ROUND(SUMIFS(资金日记账!$H$4:$H$603,资金日记账!$E$4:$E$603,$A13,资金日记账!$V$4:$V$603,N$4),2))</f>
        <v/>
      </c>
      <c r="O13" s="41" t="str">
        <f aca="false">IF($A13="","",ROUND(SUMIFS(资金日记账!$H$4:$H$603,资金日记账!$E$4:$E$603,$A13,资金日记账!$V$4:$V$603,O$4),2))</f>
        <v/>
      </c>
      <c r="P13" s="41" t="str">
        <f aca="false">IF($A13="","",ROUND(SUMIFS(资金日记账!$H$4:$H$603,资金日记账!$E$4:$E$603,$A13,资金日记账!$V$4:$V$603,P$4),2))</f>
        <v/>
      </c>
      <c r="Q13" s="41" t="str">
        <f aca="false">IF($A13="","",ROUND(SUMIFS(资金日记账!$H$4:$H$603,资金日记账!$E$4:$E$603,$A13,资金日记账!$V$4:$V$603,Q$4),2))</f>
        <v/>
      </c>
      <c r="R13" s="41" t="str">
        <f aca="false">IF($A13="","",ROUND(SUMIFS(资金日记账!$H$4:$H$603,资金日记账!$E$4:$E$603,$A13,资金日记账!$V$4:$V$603,R$4),2))</f>
        <v/>
      </c>
      <c r="S13" s="41" t="str">
        <f aca="false">IF($A13="","",ROUND(SUMIFS(资金日记账!$H$4:$H$603,资金日记账!$E$4:$E$603,$A13,资金日记账!$V$4:$V$603,S$4),2))</f>
        <v/>
      </c>
      <c r="T13" s="41" t="str">
        <f aca="false">IF($A13="","",ROUND(SUMIFS(资金日记账!$H$4:$H$603,资金日记账!$E$4:$E$603,$A13,资金日记账!$V$4:$V$603,T$4),2))</f>
        <v/>
      </c>
      <c r="U13" s="41" t="str">
        <f aca="false">IF($A13="","",ROUND(SUMIFS(资金日记账!$H$4:$H$603,资金日记账!$E$4:$E$603,$A13,资金日记账!$V$4:$V$603,U$4),2))</f>
        <v/>
      </c>
      <c r="V13" s="41" t="str">
        <f aca="false">IF($A13="","",ROUND(SUMIFS(资金日记账!$H$4:$H$603,资金日记账!$E$4:$E$603,$A13,资金日记账!$V$4:$V$603,V$4),2))</f>
        <v/>
      </c>
      <c r="W13" s="41" t="str">
        <f aca="false">IF($A13="","",ROUND(SUMIFS(资金日记账!$H$4:$H$603,资金日记账!$E$4:$E$603,$A13,资金日记账!$V$4:$V$603,W$4),2))</f>
        <v/>
      </c>
      <c r="X13" s="41" t="str">
        <f aca="false">IF($A13="","",ROUND(SUMIFS(资金日记账!$H$4:$H$603,资金日记账!$E$4:$E$603,$A13,资金日记账!$V$4:$V$603,X$4),2))</f>
        <v/>
      </c>
      <c r="Y13" s="41" t="str">
        <f aca="false">IF($A13="","",ROUND(SUMIFS(资金日记账!$H$4:$H$603,资金日记账!$E$4:$E$603,$A13,资金日记账!$V$4:$V$603,Y$4),2))</f>
        <v/>
      </c>
      <c r="Z13" s="142" t="str">
        <f aca="false">IF($A13="","",ROUND(SUM($B13:$Y13),2))</f>
        <v/>
      </c>
    </row>
    <row r="14" customFormat="false" ht="13.5" hidden="false" customHeight="false" outlineLevel="0" collapsed="false">
      <c r="A14" s="33" t="str">
        <f aca="false">IFERROR(INDEX(_自动清单!$AJ$4:$AJ$63,10),"")</f>
        <v/>
      </c>
      <c r="B14" s="41" t="str">
        <f aca="false">IF($A14="","",ROUND(SUMIFS(资金日记账!$H$4:$H$603,资金日记账!$E$4:$E$603,$A14,资金日记账!$V$4:$V$603,B$4),2))</f>
        <v/>
      </c>
      <c r="C14" s="41" t="str">
        <f aca="false">IF($A14="","",ROUND(SUMIFS(资金日记账!$H$4:$H$603,资金日记账!$E$4:$E$603,$A14,资金日记账!$V$4:$V$603,C$4),2))</f>
        <v/>
      </c>
      <c r="D14" s="41" t="str">
        <f aca="false">IF($A14="","",ROUND(SUMIFS(资金日记账!$H$4:$H$603,资金日记账!$E$4:$E$603,$A14,资金日记账!$V$4:$V$603,D$4),2))</f>
        <v/>
      </c>
      <c r="E14" s="41" t="str">
        <f aca="false">IF($A14="","",ROUND(SUMIFS(资金日记账!$H$4:$H$603,资金日记账!$E$4:$E$603,$A14,资金日记账!$V$4:$V$603,E$4),2))</f>
        <v/>
      </c>
      <c r="F14" s="41" t="str">
        <f aca="false">IF($A14="","",ROUND(SUMIFS(资金日记账!$H$4:$H$603,资金日记账!$E$4:$E$603,$A14,资金日记账!$V$4:$V$603,F$4),2))</f>
        <v/>
      </c>
      <c r="G14" s="41" t="str">
        <f aca="false">IF($A14="","",ROUND(SUMIFS(资金日记账!$H$4:$H$603,资金日记账!$E$4:$E$603,$A14,资金日记账!$V$4:$V$603,G$4),2))</f>
        <v/>
      </c>
      <c r="H14" s="41" t="str">
        <f aca="false">IF($A14="","",ROUND(SUMIFS(资金日记账!$H$4:$H$603,资金日记账!$E$4:$E$603,$A14,资金日记账!$V$4:$V$603,H$4),2))</f>
        <v/>
      </c>
      <c r="I14" s="41" t="str">
        <f aca="false">IF($A14="","",ROUND(SUMIFS(资金日记账!$H$4:$H$603,资金日记账!$E$4:$E$603,$A14,资金日记账!$V$4:$V$603,I$4),2))</f>
        <v/>
      </c>
      <c r="J14" s="41" t="str">
        <f aca="false">IF($A14="","",ROUND(SUMIFS(资金日记账!$H$4:$H$603,资金日记账!$E$4:$E$603,$A14,资金日记账!$V$4:$V$603,J$4),2))</f>
        <v/>
      </c>
      <c r="K14" s="41" t="str">
        <f aca="false">IF($A14="","",ROUND(SUMIFS(资金日记账!$H$4:$H$603,资金日记账!$E$4:$E$603,$A14,资金日记账!$V$4:$V$603,K$4),2))</f>
        <v/>
      </c>
      <c r="L14" s="41" t="str">
        <f aca="false">IF($A14="","",ROUND(SUMIFS(资金日记账!$H$4:$H$603,资金日记账!$E$4:$E$603,$A14,资金日记账!$V$4:$V$603,L$4),2))</f>
        <v/>
      </c>
      <c r="M14" s="41" t="str">
        <f aca="false">IF($A14="","",ROUND(SUMIFS(资金日记账!$H$4:$H$603,资金日记账!$E$4:$E$603,$A14,资金日记账!$V$4:$V$603,M$4),2))</f>
        <v/>
      </c>
      <c r="N14" s="41" t="str">
        <f aca="false">IF($A14="","",ROUND(SUMIFS(资金日记账!$H$4:$H$603,资金日记账!$E$4:$E$603,$A14,资金日记账!$V$4:$V$603,N$4),2))</f>
        <v/>
      </c>
      <c r="O14" s="41" t="str">
        <f aca="false">IF($A14="","",ROUND(SUMIFS(资金日记账!$H$4:$H$603,资金日记账!$E$4:$E$603,$A14,资金日记账!$V$4:$V$603,O$4),2))</f>
        <v/>
      </c>
      <c r="P14" s="41" t="str">
        <f aca="false">IF($A14="","",ROUND(SUMIFS(资金日记账!$H$4:$H$603,资金日记账!$E$4:$E$603,$A14,资金日记账!$V$4:$V$603,P$4),2))</f>
        <v/>
      </c>
      <c r="Q14" s="41" t="str">
        <f aca="false">IF($A14="","",ROUND(SUMIFS(资金日记账!$H$4:$H$603,资金日记账!$E$4:$E$603,$A14,资金日记账!$V$4:$V$603,Q$4),2))</f>
        <v/>
      </c>
      <c r="R14" s="41" t="str">
        <f aca="false">IF($A14="","",ROUND(SUMIFS(资金日记账!$H$4:$H$603,资金日记账!$E$4:$E$603,$A14,资金日记账!$V$4:$V$603,R$4),2))</f>
        <v/>
      </c>
      <c r="S14" s="41" t="str">
        <f aca="false">IF($A14="","",ROUND(SUMIFS(资金日记账!$H$4:$H$603,资金日记账!$E$4:$E$603,$A14,资金日记账!$V$4:$V$603,S$4),2))</f>
        <v/>
      </c>
      <c r="T14" s="41" t="str">
        <f aca="false">IF($A14="","",ROUND(SUMIFS(资金日记账!$H$4:$H$603,资金日记账!$E$4:$E$603,$A14,资金日记账!$V$4:$V$603,T$4),2))</f>
        <v/>
      </c>
      <c r="U14" s="41" t="str">
        <f aca="false">IF($A14="","",ROUND(SUMIFS(资金日记账!$H$4:$H$603,资金日记账!$E$4:$E$603,$A14,资金日记账!$V$4:$V$603,U$4),2))</f>
        <v/>
      </c>
      <c r="V14" s="41" t="str">
        <f aca="false">IF($A14="","",ROUND(SUMIFS(资金日记账!$H$4:$H$603,资金日记账!$E$4:$E$603,$A14,资金日记账!$V$4:$V$603,V$4),2))</f>
        <v/>
      </c>
      <c r="W14" s="41" t="str">
        <f aca="false">IF($A14="","",ROUND(SUMIFS(资金日记账!$H$4:$H$603,资金日记账!$E$4:$E$603,$A14,资金日记账!$V$4:$V$603,W$4),2))</f>
        <v/>
      </c>
      <c r="X14" s="41" t="str">
        <f aca="false">IF($A14="","",ROUND(SUMIFS(资金日记账!$H$4:$H$603,资金日记账!$E$4:$E$603,$A14,资金日记账!$V$4:$V$603,X$4),2))</f>
        <v/>
      </c>
      <c r="Y14" s="41" t="str">
        <f aca="false">IF($A14="","",ROUND(SUMIFS(资金日记账!$H$4:$H$603,资金日记账!$E$4:$E$603,$A14,资金日记账!$V$4:$V$603,Y$4),2))</f>
        <v/>
      </c>
      <c r="Z14" s="142" t="str">
        <f aca="false">IF($A14="","",ROUND(SUM($B14:$Y14),2))</f>
        <v/>
      </c>
    </row>
    <row r="15" customFormat="false" ht="13.5" hidden="false" customHeight="false" outlineLevel="0" collapsed="false">
      <c r="A15" s="33" t="str">
        <f aca="false">IFERROR(INDEX(_自动清单!$AJ$4:$AJ$63,11),"")</f>
        <v/>
      </c>
      <c r="B15" s="41" t="str">
        <f aca="false">IF($A15="","",ROUND(SUMIFS(资金日记账!$H$4:$H$603,资金日记账!$E$4:$E$603,$A15,资金日记账!$V$4:$V$603,B$4),2))</f>
        <v/>
      </c>
      <c r="C15" s="41" t="str">
        <f aca="false">IF($A15="","",ROUND(SUMIFS(资金日记账!$H$4:$H$603,资金日记账!$E$4:$E$603,$A15,资金日记账!$V$4:$V$603,C$4),2))</f>
        <v/>
      </c>
      <c r="D15" s="41" t="str">
        <f aca="false">IF($A15="","",ROUND(SUMIFS(资金日记账!$H$4:$H$603,资金日记账!$E$4:$E$603,$A15,资金日记账!$V$4:$V$603,D$4),2))</f>
        <v/>
      </c>
      <c r="E15" s="41" t="str">
        <f aca="false">IF($A15="","",ROUND(SUMIFS(资金日记账!$H$4:$H$603,资金日记账!$E$4:$E$603,$A15,资金日记账!$V$4:$V$603,E$4),2))</f>
        <v/>
      </c>
      <c r="F15" s="41" t="str">
        <f aca="false">IF($A15="","",ROUND(SUMIFS(资金日记账!$H$4:$H$603,资金日记账!$E$4:$E$603,$A15,资金日记账!$V$4:$V$603,F$4),2))</f>
        <v/>
      </c>
      <c r="G15" s="41" t="str">
        <f aca="false">IF($A15="","",ROUND(SUMIFS(资金日记账!$H$4:$H$603,资金日记账!$E$4:$E$603,$A15,资金日记账!$V$4:$V$603,G$4),2))</f>
        <v/>
      </c>
      <c r="H15" s="41" t="str">
        <f aca="false">IF($A15="","",ROUND(SUMIFS(资金日记账!$H$4:$H$603,资金日记账!$E$4:$E$603,$A15,资金日记账!$V$4:$V$603,H$4),2))</f>
        <v/>
      </c>
      <c r="I15" s="41" t="str">
        <f aca="false">IF($A15="","",ROUND(SUMIFS(资金日记账!$H$4:$H$603,资金日记账!$E$4:$E$603,$A15,资金日记账!$V$4:$V$603,I$4),2))</f>
        <v/>
      </c>
      <c r="J15" s="41" t="str">
        <f aca="false">IF($A15="","",ROUND(SUMIFS(资金日记账!$H$4:$H$603,资金日记账!$E$4:$E$603,$A15,资金日记账!$V$4:$V$603,J$4),2))</f>
        <v/>
      </c>
      <c r="K15" s="41" t="str">
        <f aca="false">IF($A15="","",ROUND(SUMIFS(资金日记账!$H$4:$H$603,资金日记账!$E$4:$E$603,$A15,资金日记账!$V$4:$V$603,K$4),2))</f>
        <v/>
      </c>
      <c r="L15" s="41" t="str">
        <f aca="false">IF($A15="","",ROUND(SUMIFS(资金日记账!$H$4:$H$603,资金日记账!$E$4:$E$603,$A15,资金日记账!$V$4:$V$603,L$4),2))</f>
        <v/>
      </c>
      <c r="M15" s="41" t="str">
        <f aca="false">IF($A15="","",ROUND(SUMIFS(资金日记账!$H$4:$H$603,资金日记账!$E$4:$E$603,$A15,资金日记账!$V$4:$V$603,M$4),2))</f>
        <v/>
      </c>
      <c r="N15" s="41" t="str">
        <f aca="false">IF($A15="","",ROUND(SUMIFS(资金日记账!$H$4:$H$603,资金日记账!$E$4:$E$603,$A15,资金日记账!$V$4:$V$603,N$4),2))</f>
        <v/>
      </c>
      <c r="O15" s="41" t="str">
        <f aca="false">IF($A15="","",ROUND(SUMIFS(资金日记账!$H$4:$H$603,资金日记账!$E$4:$E$603,$A15,资金日记账!$V$4:$V$603,O$4),2))</f>
        <v/>
      </c>
      <c r="P15" s="41" t="str">
        <f aca="false">IF($A15="","",ROUND(SUMIFS(资金日记账!$H$4:$H$603,资金日记账!$E$4:$E$603,$A15,资金日记账!$V$4:$V$603,P$4),2))</f>
        <v/>
      </c>
      <c r="Q15" s="41" t="str">
        <f aca="false">IF($A15="","",ROUND(SUMIFS(资金日记账!$H$4:$H$603,资金日记账!$E$4:$E$603,$A15,资金日记账!$V$4:$V$603,Q$4),2))</f>
        <v/>
      </c>
      <c r="R15" s="41" t="str">
        <f aca="false">IF($A15="","",ROUND(SUMIFS(资金日记账!$H$4:$H$603,资金日记账!$E$4:$E$603,$A15,资金日记账!$V$4:$V$603,R$4),2))</f>
        <v/>
      </c>
      <c r="S15" s="41" t="str">
        <f aca="false">IF($A15="","",ROUND(SUMIFS(资金日记账!$H$4:$H$603,资金日记账!$E$4:$E$603,$A15,资金日记账!$V$4:$V$603,S$4),2))</f>
        <v/>
      </c>
      <c r="T15" s="41" t="str">
        <f aca="false">IF($A15="","",ROUND(SUMIFS(资金日记账!$H$4:$H$603,资金日记账!$E$4:$E$603,$A15,资金日记账!$V$4:$V$603,T$4),2))</f>
        <v/>
      </c>
      <c r="U15" s="41" t="str">
        <f aca="false">IF($A15="","",ROUND(SUMIFS(资金日记账!$H$4:$H$603,资金日记账!$E$4:$E$603,$A15,资金日记账!$V$4:$V$603,U$4),2))</f>
        <v/>
      </c>
      <c r="V15" s="41" t="str">
        <f aca="false">IF($A15="","",ROUND(SUMIFS(资金日记账!$H$4:$H$603,资金日记账!$E$4:$E$603,$A15,资金日记账!$V$4:$V$603,V$4),2))</f>
        <v/>
      </c>
      <c r="W15" s="41" t="str">
        <f aca="false">IF($A15="","",ROUND(SUMIFS(资金日记账!$H$4:$H$603,资金日记账!$E$4:$E$603,$A15,资金日记账!$V$4:$V$603,W$4),2))</f>
        <v/>
      </c>
      <c r="X15" s="41" t="str">
        <f aca="false">IF($A15="","",ROUND(SUMIFS(资金日记账!$H$4:$H$603,资金日记账!$E$4:$E$603,$A15,资金日记账!$V$4:$V$603,X$4),2))</f>
        <v/>
      </c>
      <c r="Y15" s="41" t="str">
        <f aca="false">IF($A15="","",ROUND(SUMIFS(资金日记账!$H$4:$H$603,资金日记账!$E$4:$E$603,$A15,资金日记账!$V$4:$V$603,Y$4),2))</f>
        <v/>
      </c>
      <c r="Z15" s="142" t="str">
        <f aca="false">IF($A15="","",ROUND(SUM($B15:$Y15),2))</f>
        <v/>
      </c>
    </row>
    <row r="16" customFormat="false" ht="13.5" hidden="false" customHeight="false" outlineLevel="0" collapsed="false">
      <c r="A16" s="33" t="str">
        <f aca="false">IFERROR(INDEX(_自动清单!$AJ$4:$AJ$63,12),"")</f>
        <v/>
      </c>
      <c r="B16" s="41" t="str">
        <f aca="false">IF($A16="","",ROUND(SUMIFS(资金日记账!$H$4:$H$603,资金日记账!$E$4:$E$603,$A16,资金日记账!$V$4:$V$603,B$4),2))</f>
        <v/>
      </c>
      <c r="C16" s="41" t="str">
        <f aca="false">IF($A16="","",ROUND(SUMIFS(资金日记账!$H$4:$H$603,资金日记账!$E$4:$E$603,$A16,资金日记账!$V$4:$V$603,C$4),2))</f>
        <v/>
      </c>
      <c r="D16" s="41" t="str">
        <f aca="false">IF($A16="","",ROUND(SUMIFS(资金日记账!$H$4:$H$603,资金日记账!$E$4:$E$603,$A16,资金日记账!$V$4:$V$603,D$4),2))</f>
        <v/>
      </c>
      <c r="E16" s="41" t="str">
        <f aca="false">IF($A16="","",ROUND(SUMIFS(资金日记账!$H$4:$H$603,资金日记账!$E$4:$E$603,$A16,资金日记账!$V$4:$V$603,E$4),2))</f>
        <v/>
      </c>
      <c r="F16" s="41" t="str">
        <f aca="false">IF($A16="","",ROUND(SUMIFS(资金日记账!$H$4:$H$603,资金日记账!$E$4:$E$603,$A16,资金日记账!$V$4:$V$603,F$4),2))</f>
        <v/>
      </c>
      <c r="G16" s="41" t="str">
        <f aca="false">IF($A16="","",ROUND(SUMIFS(资金日记账!$H$4:$H$603,资金日记账!$E$4:$E$603,$A16,资金日记账!$V$4:$V$603,G$4),2))</f>
        <v/>
      </c>
      <c r="H16" s="41" t="str">
        <f aca="false">IF($A16="","",ROUND(SUMIFS(资金日记账!$H$4:$H$603,资金日记账!$E$4:$E$603,$A16,资金日记账!$V$4:$V$603,H$4),2))</f>
        <v/>
      </c>
      <c r="I16" s="41" t="str">
        <f aca="false">IF($A16="","",ROUND(SUMIFS(资金日记账!$H$4:$H$603,资金日记账!$E$4:$E$603,$A16,资金日记账!$V$4:$V$603,I$4),2))</f>
        <v/>
      </c>
      <c r="J16" s="41" t="str">
        <f aca="false">IF($A16="","",ROUND(SUMIFS(资金日记账!$H$4:$H$603,资金日记账!$E$4:$E$603,$A16,资金日记账!$V$4:$V$603,J$4),2))</f>
        <v/>
      </c>
      <c r="K16" s="41" t="str">
        <f aca="false">IF($A16="","",ROUND(SUMIFS(资金日记账!$H$4:$H$603,资金日记账!$E$4:$E$603,$A16,资金日记账!$V$4:$V$603,K$4),2))</f>
        <v/>
      </c>
      <c r="L16" s="41" t="str">
        <f aca="false">IF($A16="","",ROUND(SUMIFS(资金日记账!$H$4:$H$603,资金日记账!$E$4:$E$603,$A16,资金日记账!$V$4:$V$603,L$4),2))</f>
        <v/>
      </c>
      <c r="M16" s="41" t="str">
        <f aca="false">IF($A16="","",ROUND(SUMIFS(资金日记账!$H$4:$H$603,资金日记账!$E$4:$E$603,$A16,资金日记账!$V$4:$V$603,M$4),2))</f>
        <v/>
      </c>
      <c r="N16" s="41" t="str">
        <f aca="false">IF($A16="","",ROUND(SUMIFS(资金日记账!$H$4:$H$603,资金日记账!$E$4:$E$603,$A16,资金日记账!$V$4:$V$603,N$4),2))</f>
        <v/>
      </c>
      <c r="O16" s="41" t="str">
        <f aca="false">IF($A16="","",ROUND(SUMIFS(资金日记账!$H$4:$H$603,资金日记账!$E$4:$E$603,$A16,资金日记账!$V$4:$V$603,O$4),2))</f>
        <v/>
      </c>
      <c r="P16" s="41" t="str">
        <f aca="false">IF($A16="","",ROUND(SUMIFS(资金日记账!$H$4:$H$603,资金日记账!$E$4:$E$603,$A16,资金日记账!$V$4:$V$603,P$4),2))</f>
        <v/>
      </c>
      <c r="Q16" s="41" t="str">
        <f aca="false">IF($A16="","",ROUND(SUMIFS(资金日记账!$H$4:$H$603,资金日记账!$E$4:$E$603,$A16,资金日记账!$V$4:$V$603,Q$4),2))</f>
        <v/>
      </c>
      <c r="R16" s="41" t="str">
        <f aca="false">IF($A16="","",ROUND(SUMIFS(资金日记账!$H$4:$H$603,资金日记账!$E$4:$E$603,$A16,资金日记账!$V$4:$V$603,R$4),2))</f>
        <v/>
      </c>
      <c r="S16" s="41" t="str">
        <f aca="false">IF($A16="","",ROUND(SUMIFS(资金日记账!$H$4:$H$603,资金日记账!$E$4:$E$603,$A16,资金日记账!$V$4:$V$603,S$4),2))</f>
        <v/>
      </c>
      <c r="T16" s="41" t="str">
        <f aca="false">IF($A16="","",ROUND(SUMIFS(资金日记账!$H$4:$H$603,资金日记账!$E$4:$E$603,$A16,资金日记账!$V$4:$V$603,T$4),2))</f>
        <v/>
      </c>
      <c r="U16" s="41" t="str">
        <f aca="false">IF($A16="","",ROUND(SUMIFS(资金日记账!$H$4:$H$603,资金日记账!$E$4:$E$603,$A16,资金日记账!$V$4:$V$603,U$4),2))</f>
        <v/>
      </c>
      <c r="V16" s="41" t="str">
        <f aca="false">IF($A16="","",ROUND(SUMIFS(资金日记账!$H$4:$H$603,资金日记账!$E$4:$E$603,$A16,资金日记账!$V$4:$V$603,V$4),2))</f>
        <v/>
      </c>
      <c r="W16" s="41" t="str">
        <f aca="false">IF($A16="","",ROUND(SUMIFS(资金日记账!$H$4:$H$603,资金日记账!$E$4:$E$603,$A16,资金日记账!$V$4:$V$603,W$4),2))</f>
        <v/>
      </c>
      <c r="X16" s="41" t="str">
        <f aca="false">IF($A16="","",ROUND(SUMIFS(资金日记账!$H$4:$H$603,资金日记账!$E$4:$E$603,$A16,资金日记账!$V$4:$V$603,X$4),2))</f>
        <v/>
      </c>
      <c r="Y16" s="41" t="str">
        <f aca="false">IF($A16="","",ROUND(SUMIFS(资金日记账!$H$4:$H$603,资金日记账!$E$4:$E$603,$A16,资金日记账!$V$4:$V$603,Y$4),2))</f>
        <v/>
      </c>
      <c r="Z16" s="142" t="str">
        <f aca="false">IF($A16="","",ROUND(SUM($B16:$Y16),2))</f>
        <v/>
      </c>
    </row>
    <row r="17" customFormat="false" ht="13.5" hidden="false" customHeight="false" outlineLevel="0" collapsed="false">
      <c r="A17" s="33" t="str">
        <f aca="false">IFERROR(INDEX(_自动清单!$AJ$4:$AJ$63,13),"")</f>
        <v/>
      </c>
      <c r="B17" s="41" t="str">
        <f aca="false">IF($A17="","",ROUND(SUMIFS(资金日记账!$H$4:$H$603,资金日记账!$E$4:$E$603,$A17,资金日记账!$V$4:$V$603,B$4),2))</f>
        <v/>
      </c>
      <c r="C17" s="41" t="str">
        <f aca="false">IF($A17="","",ROUND(SUMIFS(资金日记账!$H$4:$H$603,资金日记账!$E$4:$E$603,$A17,资金日记账!$V$4:$V$603,C$4),2))</f>
        <v/>
      </c>
      <c r="D17" s="41" t="str">
        <f aca="false">IF($A17="","",ROUND(SUMIFS(资金日记账!$H$4:$H$603,资金日记账!$E$4:$E$603,$A17,资金日记账!$V$4:$V$603,D$4),2))</f>
        <v/>
      </c>
      <c r="E17" s="41" t="str">
        <f aca="false">IF($A17="","",ROUND(SUMIFS(资金日记账!$H$4:$H$603,资金日记账!$E$4:$E$603,$A17,资金日记账!$V$4:$V$603,E$4),2))</f>
        <v/>
      </c>
      <c r="F17" s="41" t="str">
        <f aca="false">IF($A17="","",ROUND(SUMIFS(资金日记账!$H$4:$H$603,资金日记账!$E$4:$E$603,$A17,资金日记账!$V$4:$V$603,F$4),2))</f>
        <v/>
      </c>
      <c r="G17" s="41" t="str">
        <f aca="false">IF($A17="","",ROUND(SUMIFS(资金日记账!$H$4:$H$603,资金日记账!$E$4:$E$603,$A17,资金日记账!$V$4:$V$603,G$4),2))</f>
        <v/>
      </c>
      <c r="H17" s="41" t="str">
        <f aca="false">IF($A17="","",ROUND(SUMIFS(资金日记账!$H$4:$H$603,资金日记账!$E$4:$E$603,$A17,资金日记账!$V$4:$V$603,H$4),2))</f>
        <v/>
      </c>
      <c r="I17" s="41" t="str">
        <f aca="false">IF($A17="","",ROUND(SUMIFS(资金日记账!$H$4:$H$603,资金日记账!$E$4:$E$603,$A17,资金日记账!$V$4:$V$603,I$4),2))</f>
        <v/>
      </c>
      <c r="J17" s="41" t="str">
        <f aca="false">IF($A17="","",ROUND(SUMIFS(资金日记账!$H$4:$H$603,资金日记账!$E$4:$E$603,$A17,资金日记账!$V$4:$V$603,J$4),2))</f>
        <v/>
      </c>
      <c r="K17" s="41" t="str">
        <f aca="false">IF($A17="","",ROUND(SUMIFS(资金日记账!$H$4:$H$603,资金日记账!$E$4:$E$603,$A17,资金日记账!$V$4:$V$603,K$4),2))</f>
        <v/>
      </c>
      <c r="L17" s="41" t="str">
        <f aca="false">IF($A17="","",ROUND(SUMIFS(资金日记账!$H$4:$H$603,资金日记账!$E$4:$E$603,$A17,资金日记账!$V$4:$V$603,L$4),2))</f>
        <v/>
      </c>
      <c r="M17" s="41" t="str">
        <f aca="false">IF($A17="","",ROUND(SUMIFS(资金日记账!$H$4:$H$603,资金日记账!$E$4:$E$603,$A17,资金日记账!$V$4:$V$603,M$4),2))</f>
        <v/>
      </c>
      <c r="N17" s="41" t="str">
        <f aca="false">IF($A17="","",ROUND(SUMIFS(资金日记账!$H$4:$H$603,资金日记账!$E$4:$E$603,$A17,资金日记账!$V$4:$V$603,N$4),2))</f>
        <v/>
      </c>
      <c r="O17" s="41" t="str">
        <f aca="false">IF($A17="","",ROUND(SUMIFS(资金日记账!$H$4:$H$603,资金日记账!$E$4:$E$603,$A17,资金日记账!$V$4:$V$603,O$4),2))</f>
        <v/>
      </c>
      <c r="P17" s="41" t="str">
        <f aca="false">IF($A17="","",ROUND(SUMIFS(资金日记账!$H$4:$H$603,资金日记账!$E$4:$E$603,$A17,资金日记账!$V$4:$V$603,P$4),2))</f>
        <v/>
      </c>
      <c r="Q17" s="41" t="str">
        <f aca="false">IF($A17="","",ROUND(SUMIFS(资金日记账!$H$4:$H$603,资金日记账!$E$4:$E$603,$A17,资金日记账!$V$4:$V$603,Q$4),2))</f>
        <v/>
      </c>
      <c r="R17" s="41" t="str">
        <f aca="false">IF($A17="","",ROUND(SUMIFS(资金日记账!$H$4:$H$603,资金日记账!$E$4:$E$603,$A17,资金日记账!$V$4:$V$603,R$4),2))</f>
        <v/>
      </c>
      <c r="S17" s="41" t="str">
        <f aca="false">IF($A17="","",ROUND(SUMIFS(资金日记账!$H$4:$H$603,资金日记账!$E$4:$E$603,$A17,资金日记账!$V$4:$V$603,S$4),2))</f>
        <v/>
      </c>
      <c r="T17" s="41" t="str">
        <f aca="false">IF($A17="","",ROUND(SUMIFS(资金日记账!$H$4:$H$603,资金日记账!$E$4:$E$603,$A17,资金日记账!$V$4:$V$603,T$4),2))</f>
        <v/>
      </c>
      <c r="U17" s="41" t="str">
        <f aca="false">IF($A17="","",ROUND(SUMIFS(资金日记账!$H$4:$H$603,资金日记账!$E$4:$E$603,$A17,资金日记账!$V$4:$V$603,U$4),2))</f>
        <v/>
      </c>
      <c r="V17" s="41" t="str">
        <f aca="false">IF($A17="","",ROUND(SUMIFS(资金日记账!$H$4:$H$603,资金日记账!$E$4:$E$603,$A17,资金日记账!$V$4:$V$603,V$4),2))</f>
        <v/>
      </c>
      <c r="W17" s="41" t="str">
        <f aca="false">IF($A17="","",ROUND(SUMIFS(资金日记账!$H$4:$H$603,资金日记账!$E$4:$E$603,$A17,资金日记账!$V$4:$V$603,W$4),2))</f>
        <v/>
      </c>
      <c r="X17" s="41" t="str">
        <f aca="false">IF($A17="","",ROUND(SUMIFS(资金日记账!$H$4:$H$603,资金日记账!$E$4:$E$603,$A17,资金日记账!$V$4:$V$603,X$4),2))</f>
        <v/>
      </c>
      <c r="Y17" s="41" t="str">
        <f aca="false">IF($A17="","",ROUND(SUMIFS(资金日记账!$H$4:$H$603,资金日记账!$E$4:$E$603,$A17,资金日记账!$V$4:$V$603,Y$4),2))</f>
        <v/>
      </c>
      <c r="Z17" s="142" t="str">
        <f aca="false">IF($A17="","",ROUND(SUM($B17:$Y17),2))</f>
        <v/>
      </c>
    </row>
    <row r="18" customFormat="false" ht="13.5" hidden="false" customHeight="false" outlineLevel="0" collapsed="false">
      <c r="A18" s="33" t="str">
        <f aca="false">IFERROR(INDEX(_自动清单!$AJ$4:$AJ$63,14),"")</f>
        <v/>
      </c>
      <c r="B18" s="41" t="str">
        <f aca="false">IF($A18="","",ROUND(SUMIFS(资金日记账!$H$4:$H$603,资金日记账!$E$4:$E$603,$A18,资金日记账!$V$4:$V$603,B$4),2))</f>
        <v/>
      </c>
      <c r="C18" s="41" t="str">
        <f aca="false">IF($A18="","",ROUND(SUMIFS(资金日记账!$H$4:$H$603,资金日记账!$E$4:$E$603,$A18,资金日记账!$V$4:$V$603,C$4),2))</f>
        <v/>
      </c>
      <c r="D18" s="41" t="str">
        <f aca="false">IF($A18="","",ROUND(SUMIFS(资金日记账!$H$4:$H$603,资金日记账!$E$4:$E$603,$A18,资金日记账!$V$4:$V$603,D$4),2))</f>
        <v/>
      </c>
      <c r="E18" s="41" t="str">
        <f aca="false">IF($A18="","",ROUND(SUMIFS(资金日记账!$H$4:$H$603,资金日记账!$E$4:$E$603,$A18,资金日记账!$V$4:$V$603,E$4),2))</f>
        <v/>
      </c>
      <c r="F18" s="41" t="str">
        <f aca="false">IF($A18="","",ROUND(SUMIFS(资金日记账!$H$4:$H$603,资金日记账!$E$4:$E$603,$A18,资金日记账!$V$4:$V$603,F$4),2))</f>
        <v/>
      </c>
      <c r="G18" s="41" t="str">
        <f aca="false">IF($A18="","",ROUND(SUMIFS(资金日记账!$H$4:$H$603,资金日记账!$E$4:$E$603,$A18,资金日记账!$V$4:$V$603,G$4),2))</f>
        <v/>
      </c>
      <c r="H18" s="41" t="str">
        <f aca="false">IF($A18="","",ROUND(SUMIFS(资金日记账!$H$4:$H$603,资金日记账!$E$4:$E$603,$A18,资金日记账!$V$4:$V$603,H$4),2))</f>
        <v/>
      </c>
      <c r="I18" s="41" t="str">
        <f aca="false">IF($A18="","",ROUND(SUMIFS(资金日记账!$H$4:$H$603,资金日记账!$E$4:$E$603,$A18,资金日记账!$V$4:$V$603,I$4),2))</f>
        <v/>
      </c>
      <c r="J18" s="41" t="str">
        <f aca="false">IF($A18="","",ROUND(SUMIFS(资金日记账!$H$4:$H$603,资金日记账!$E$4:$E$603,$A18,资金日记账!$V$4:$V$603,J$4),2))</f>
        <v/>
      </c>
      <c r="K18" s="41" t="str">
        <f aca="false">IF($A18="","",ROUND(SUMIFS(资金日记账!$H$4:$H$603,资金日记账!$E$4:$E$603,$A18,资金日记账!$V$4:$V$603,K$4),2))</f>
        <v/>
      </c>
      <c r="L18" s="41" t="str">
        <f aca="false">IF($A18="","",ROUND(SUMIFS(资金日记账!$H$4:$H$603,资金日记账!$E$4:$E$603,$A18,资金日记账!$V$4:$V$603,L$4),2))</f>
        <v/>
      </c>
      <c r="M18" s="41" t="str">
        <f aca="false">IF($A18="","",ROUND(SUMIFS(资金日记账!$H$4:$H$603,资金日记账!$E$4:$E$603,$A18,资金日记账!$V$4:$V$603,M$4),2))</f>
        <v/>
      </c>
      <c r="N18" s="41" t="str">
        <f aca="false">IF($A18="","",ROUND(SUMIFS(资金日记账!$H$4:$H$603,资金日记账!$E$4:$E$603,$A18,资金日记账!$V$4:$V$603,N$4),2))</f>
        <v/>
      </c>
      <c r="O18" s="41" t="str">
        <f aca="false">IF($A18="","",ROUND(SUMIFS(资金日记账!$H$4:$H$603,资金日记账!$E$4:$E$603,$A18,资金日记账!$V$4:$V$603,O$4),2))</f>
        <v/>
      </c>
      <c r="P18" s="41" t="str">
        <f aca="false">IF($A18="","",ROUND(SUMIFS(资金日记账!$H$4:$H$603,资金日记账!$E$4:$E$603,$A18,资金日记账!$V$4:$V$603,P$4),2))</f>
        <v/>
      </c>
      <c r="Q18" s="41" t="str">
        <f aca="false">IF($A18="","",ROUND(SUMIFS(资金日记账!$H$4:$H$603,资金日记账!$E$4:$E$603,$A18,资金日记账!$V$4:$V$603,Q$4),2))</f>
        <v/>
      </c>
      <c r="R18" s="41" t="str">
        <f aca="false">IF($A18="","",ROUND(SUMIFS(资金日记账!$H$4:$H$603,资金日记账!$E$4:$E$603,$A18,资金日记账!$V$4:$V$603,R$4),2))</f>
        <v/>
      </c>
      <c r="S18" s="41" t="str">
        <f aca="false">IF($A18="","",ROUND(SUMIFS(资金日记账!$H$4:$H$603,资金日记账!$E$4:$E$603,$A18,资金日记账!$V$4:$V$603,S$4),2))</f>
        <v/>
      </c>
      <c r="T18" s="41" t="str">
        <f aca="false">IF($A18="","",ROUND(SUMIFS(资金日记账!$H$4:$H$603,资金日记账!$E$4:$E$603,$A18,资金日记账!$V$4:$V$603,T$4),2))</f>
        <v/>
      </c>
      <c r="U18" s="41" t="str">
        <f aca="false">IF($A18="","",ROUND(SUMIFS(资金日记账!$H$4:$H$603,资金日记账!$E$4:$E$603,$A18,资金日记账!$V$4:$V$603,U$4),2))</f>
        <v/>
      </c>
      <c r="V18" s="41" t="str">
        <f aca="false">IF($A18="","",ROUND(SUMIFS(资金日记账!$H$4:$H$603,资金日记账!$E$4:$E$603,$A18,资金日记账!$V$4:$V$603,V$4),2))</f>
        <v/>
      </c>
      <c r="W18" s="41" t="str">
        <f aca="false">IF($A18="","",ROUND(SUMIFS(资金日记账!$H$4:$H$603,资金日记账!$E$4:$E$603,$A18,资金日记账!$V$4:$V$603,W$4),2))</f>
        <v/>
      </c>
      <c r="X18" s="41" t="str">
        <f aca="false">IF($A18="","",ROUND(SUMIFS(资金日记账!$H$4:$H$603,资金日记账!$E$4:$E$603,$A18,资金日记账!$V$4:$V$603,X$4),2))</f>
        <v/>
      </c>
      <c r="Y18" s="41" t="str">
        <f aca="false">IF($A18="","",ROUND(SUMIFS(资金日记账!$H$4:$H$603,资金日记账!$E$4:$E$603,$A18,资金日记账!$V$4:$V$603,Y$4),2))</f>
        <v/>
      </c>
      <c r="Z18" s="142" t="str">
        <f aca="false">IF($A18="","",ROUND(SUM($B18:$Y18),2))</f>
        <v/>
      </c>
    </row>
    <row r="19" customFormat="false" ht="13.5" hidden="false" customHeight="false" outlineLevel="0" collapsed="false">
      <c r="A19" s="33" t="str">
        <f aca="false">IFERROR(INDEX(_自动清单!$AJ$4:$AJ$63,15),"")</f>
        <v/>
      </c>
      <c r="B19" s="41" t="str">
        <f aca="false">IF($A19="","",ROUND(SUMIFS(资金日记账!$H$4:$H$603,资金日记账!$E$4:$E$603,$A19,资金日记账!$V$4:$V$603,B$4),2))</f>
        <v/>
      </c>
      <c r="C19" s="41" t="str">
        <f aca="false">IF($A19="","",ROUND(SUMIFS(资金日记账!$H$4:$H$603,资金日记账!$E$4:$E$603,$A19,资金日记账!$V$4:$V$603,C$4),2))</f>
        <v/>
      </c>
      <c r="D19" s="41" t="str">
        <f aca="false">IF($A19="","",ROUND(SUMIFS(资金日记账!$H$4:$H$603,资金日记账!$E$4:$E$603,$A19,资金日记账!$V$4:$V$603,D$4),2))</f>
        <v/>
      </c>
      <c r="E19" s="41" t="str">
        <f aca="false">IF($A19="","",ROUND(SUMIFS(资金日记账!$H$4:$H$603,资金日记账!$E$4:$E$603,$A19,资金日记账!$V$4:$V$603,E$4),2))</f>
        <v/>
      </c>
      <c r="F19" s="41" t="str">
        <f aca="false">IF($A19="","",ROUND(SUMIFS(资金日记账!$H$4:$H$603,资金日记账!$E$4:$E$603,$A19,资金日记账!$V$4:$V$603,F$4),2))</f>
        <v/>
      </c>
      <c r="G19" s="41" t="str">
        <f aca="false">IF($A19="","",ROUND(SUMIFS(资金日记账!$H$4:$H$603,资金日记账!$E$4:$E$603,$A19,资金日记账!$V$4:$V$603,G$4),2))</f>
        <v/>
      </c>
      <c r="H19" s="41" t="str">
        <f aca="false">IF($A19="","",ROUND(SUMIFS(资金日记账!$H$4:$H$603,资金日记账!$E$4:$E$603,$A19,资金日记账!$V$4:$V$603,H$4),2))</f>
        <v/>
      </c>
      <c r="I19" s="41" t="str">
        <f aca="false">IF($A19="","",ROUND(SUMIFS(资金日记账!$H$4:$H$603,资金日记账!$E$4:$E$603,$A19,资金日记账!$V$4:$V$603,I$4),2))</f>
        <v/>
      </c>
      <c r="J19" s="41" t="str">
        <f aca="false">IF($A19="","",ROUND(SUMIFS(资金日记账!$H$4:$H$603,资金日记账!$E$4:$E$603,$A19,资金日记账!$V$4:$V$603,J$4),2))</f>
        <v/>
      </c>
      <c r="K19" s="41" t="str">
        <f aca="false">IF($A19="","",ROUND(SUMIFS(资金日记账!$H$4:$H$603,资金日记账!$E$4:$E$603,$A19,资金日记账!$V$4:$V$603,K$4),2))</f>
        <v/>
      </c>
      <c r="L19" s="41" t="str">
        <f aca="false">IF($A19="","",ROUND(SUMIFS(资金日记账!$H$4:$H$603,资金日记账!$E$4:$E$603,$A19,资金日记账!$V$4:$V$603,L$4),2))</f>
        <v/>
      </c>
      <c r="M19" s="41" t="str">
        <f aca="false">IF($A19="","",ROUND(SUMIFS(资金日记账!$H$4:$H$603,资金日记账!$E$4:$E$603,$A19,资金日记账!$V$4:$V$603,M$4),2))</f>
        <v/>
      </c>
      <c r="N19" s="41" t="str">
        <f aca="false">IF($A19="","",ROUND(SUMIFS(资金日记账!$H$4:$H$603,资金日记账!$E$4:$E$603,$A19,资金日记账!$V$4:$V$603,N$4),2))</f>
        <v/>
      </c>
      <c r="O19" s="41" t="str">
        <f aca="false">IF($A19="","",ROUND(SUMIFS(资金日记账!$H$4:$H$603,资金日记账!$E$4:$E$603,$A19,资金日记账!$V$4:$V$603,O$4),2))</f>
        <v/>
      </c>
      <c r="P19" s="41" t="str">
        <f aca="false">IF($A19="","",ROUND(SUMIFS(资金日记账!$H$4:$H$603,资金日记账!$E$4:$E$603,$A19,资金日记账!$V$4:$V$603,P$4),2))</f>
        <v/>
      </c>
      <c r="Q19" s="41" t="str">
        <f aca="false">IF($A19="","",ROUND(SUMIFS(资金日记账!$H$4:$H$603,资金日记账!$E$4:$E$603,$A19,资金日记账!$V$4:$V$603,Q$4),2))</f>
        <v/>
      </c>
      <c r="R19" s="41" t="str">
        <f aca="false">IF($A19="","",ROUND(SUMIFS(资金日记账!$H$4:$H$603,资金日记账!$E$4:$E$603,$A19,资金日记账!$V$4:$V$603,R$4),2))</f>
        <v/>
      </c>
      <c r="S19" s="41" t="str">
        <f aca="false">IF($A19="","",ROUND(SUMIFS(资金日记账!$H$4:$H$603,资金日记账!$E$4:$E$603,$A19,资金日记账!$V$4:$V$603,S$4),2))</f>
        <v/>
      </c>
      <c r="T19" s="41" t="str">
        <f aca="false">IF($A19="","",ROUND(SUMIFS(资金日记账!$H$4:$H$603,资金日记账!$E$4:$E$603,$A19,资金日记账!$V$4:$V$603,T$4),2))</f>
        <v/>
      </c>
      <c r="U19" s="41" t="str">
        <f aca="false">IF($A19="","",ROUND(SUMIFS(资金日记账!$H$4:$H$603,资金日记账!$E$4:$E$603,$A19,资金日记账!$V$4:$V$603,U$4),2))</f>
        <v/>
      </c>
      <c r="V19" s="41" t="str">
        <f aca="false">IF($A19="","",ROUND(SUMIFS(资金日记账!$H$4:$H$603,资金日记账!$E$4:$E$603,$A19,资金日记账!$V$4:$V$603,V$4),2))</f>
        <v/>
      </c>
      <c r="W19" s="41" t="str">
        <f aca="false">IF($A19="","",ROUND(SUMIFS(资金日记账!$H$4:$H$603,资金日记账!$E$4:$E$603,$A19,资金日记账!$V$4:$V$603,W$4),2))</f>
        <v/>
      </c>
      <c r="X19" s="41" t="str">
        <f aca="false">IF($A19="","",ROUND(SUMIFS(资金日记账!$H$4:$H$603,资金日记账!$E$4:$E$603,$A19,资金日记账!$V$4:$V$603,X$4),2))</f>
        <v/>
      </c>
      <c r="Y19" s="41" t="str">
        <f aca="false">IF($A19="","",ROUND(SUMIFS(资金日记账!$H$4:$H$603,资金日记账!$E$4:$E$603,$A19,资金日记账!$V$4:$V$603,Y$4),2))</f>
        <v/>
      </c>
      <c r="Z19" s="142" t="str">
        <f aca="false">IF($A19="","",ROUND(SUM($B19:$Y19),2))</f>
        <v/>
      </c>
    </row>
    <row r="20" customFormat="false" ht="13.5" hidden="false" customHeight="false" outlineLevel="0" collapsed="false">
      <c r="A20" s="33" t="str">
        <f aca="false">IFERROR(INDEX(_自动清单!$AJ$4:$AJ$63,16),"")</f>
        <v/>
      </c>
      <c r="B20" s="41" t="str">
        <f aca="false">IF($A20="","",ROUND(SUMIFS(资金日记账!$H$4:$H$603,资金日记账!$E$4:$E$603,$A20,资金日记账!$V$4:$V$603,B$4),2))</f>
        <v/>
      </c>
      <c r="C20" s="41" t="str">
        <f aca="false">IF($A20="","",ROUND(SUMIFS(资金日记账!$H$4:$H$603,资金日记账!$E$4:$E$603,$A20,资金日记账!$V$4:$V$603,C$4),2))</f>
        <v/>
      </c>
      <c r="D20" s="41" t="str">
        <f aca="false">IF($A20="","",ROUND(SUMIFS(资金日记账!$H$4:$H$603,资金日记账!$E$4:$E$603,$A20,资金日记账!$V$4:$V$603,D$4),2))</f>
        <v/>
      </c>
      <c r="E20" s="41" t="str">
        <f aca="false">IF($A20="","",ROUND(SUMIFS(资金日记账!$H$4:$H$603,资金日记账!$E$4:$E$603,$A20,资金日记账!$V$4:$V$603,E$4),2))</f>
        <v/>
      </c>
      <c r="F20" s="41" t="str">
        <f aca="false">IF($A20="","",ROUND(SUMIFS(资金日记账!$H$4:$H$603,资金日记账!$E$4:$E$603,$A20,资金日记账!$V$4:$V$603,F$4),2))</f>
        <v/>
      </c>
      <c r="G20" s="41" t="str">
        <f aca="false">IF($A20="","",ROUND(SUMIFS(资金日记账!$H$4:$H$603,资金日记账!$E$4:$E$603,$A20,资金日记账!$V$4:$V$603,G$4),2))</f>
        <v/>
      </c>
      <c r="H20" s="41" t="str">
        <f aca="false">IF($A20="","",ROUND(SUMIFS(资金日记账!$H$4:$H$603,资金日记账!$E$4:$E$603,$A20,资金日记账!$V$4:$V$603,H$4),2))</f>
        <v/>
      </c>
      <c r="I20" s="41" t="str">
        <f aca="false">IF($A20="","",ROUND(SUMIFS(资金日记账!$H$4:$H$603,资金日记账!$E$4:$E$603,$A20,资金日记账!$V$4:$V$603,I$4),2))</f>
        <v/>
      </c>
      <c r="J20" s="41" t="str">
        <f aca="false">IF($A20="","",ROUND(SUMIFS(资金日记账!$H$4:$H$603,资金日记账!$E$4:$E$603,$A20,资金日记账!$V$4:$V$603,J$4),2))</f>
        <v/>
      </c>
      <c r="K20" s="41" t="str">
        <f aca="false">IF($A20="","",ROUND(SUMIFS(资金日记账!$H$4:$H$603,资金日记账!$E$4:$E$603,$A20,资金日记账!$V$4:$V$603,K$4),2))</f>
        <v/>
      </c>
      <c r="L20" s="41" t="str">
        <f aca="false">IF($A20="","",ROUND(SUMIFS(资金日记账!$H$4:$H$603,资金日记账!$E$4:$E$603,$A20,资金日记账!$V$4:$V$603,L$4),2))</f>
        <v/>
      </c>
      <c r="M20" s="41" t="str">
        <f aca="false">IF($A20="","",ROUND(SUMIFS(资金日记账!$H$4:$H$603,资金日记账!$E$4:$E$603,$A20,资金日记账!$V$4:$V$603,M$4),2))</f>
        <v/>
      </c>
      <c r="N20" s="41" t="str">
        <f aca="false">IF($A20="","",ROUND(SUMIFS(资金日记账!$H$4:$H$603,资金日记账!$E$4:$E$603,$A20,资金日记账!$V$4:$V$603,N$4),2))</f>
        <v/>
      </c>
      <c r="O20" s="41" t="str">
        <f aca="false">IF($A20="","",ROUND(SUMIFS(资金日记账!$H$4:$H$603,资金日记账!$E$4:$E$603,$A20,资金日记账!$V$4:$V$603,O$4),2))</f>
        <v/>
      </c>
      <c r="P20" s="41" t="str">
        <f aca="false">IF($A20="","",ROUND(SUMIFS(资金日记账!$H$4:$H$603,资金日记账!$E$4:$E$603,$A20,资金日记账!$V$4:$V$603,P$4),2))</f>
        <v/>
      </c>
      <c r="Q20" s="41" t="str">
        <f aca="false">IF($A20="","",ROUND(SUMIFS(资金日记账!$H$4:$H$603,资金日记账!$E$4:$E$603,$A20,资金日记账!$V$4:$V$603,Q$4),2))</f>
        <v/>
      </c>
      <c r="R20" s="41" t="str">
        <f aca="false">IF($A20="","",ROUND(SUMIFS(资金日记账!$H$4:$H$603,资金日记账!$E$4:$E$603,$A20,资金日记账!$V$4:$V$603,R$4),2))</f>
        <v/>
      </c>
      <c r="S20" s="41" t="str">
        <f aca="false">IF($A20="","",ROUND(SUMIFS(资金日记账!$H$4:$H$603,资金日记账!$E$4:$E$603,$A20,资金日记账!$V$4:$V$603,S$4),2))</f>
        <v/>
      </c>
      <c r="T20" s="41" t="str">
        <f aca="false">IF($A20="","",ROUND(SUMIFS(资金日记账!$H$4:$H$603,资金日记账!$E$4:$E$603,$A20,资金日记账!$V$4:$V$603,T$4),2))</f>
        <v/>
      </c>
      <c r="U20" s="41" t="str">
        <f aca="false">IF($A20="","",ROUND(SUMIFS(资金日记账!$H$4:$H$603,资金日记账!$E$4:$E$603,$A20,资金日记账!$V$4:$V$603,U$4),2))</f>
        <v/>
      </c>
      <c r="V20" s="41" t="str">
        <f aca="false">IF($A20="","",ROUND(SUMIFS(资金日记账!$H$4:$H$603,资金日记账!$E$4:$E$603,$A20,资金日记账!$V$4:$V$603,V$4),2))</f>
        <v/>
      </c>
      <c r="W20" s="41" t="str">
        <f aca="false">IF($A20="","",ROUND(SUMIFS(资金日记账!$H$4:$H$603,资金日记账!$E$4:$E$603,$A20,资金日记账!$V$4:$V$603,W$4),2))</f>
        <v/>
      </c>
      <c r="X20" s="41" t="str">
        <f aca="false">IF($A20="","",ROUND(SUMIFS(资金日记账!$H$4:$H$603,资金日记账!$E$4:$E$603,$A20,资金日记账!$V$4:$V$603,X$4),2))</f>
        <v/>
      </c>
      <c r="Y20" s="41" t="str">
        <f aca="false">IF($A20="","",ROUND(SUMIFS(资金日记账!$H$4:$H$603,资金日记账!$E$4:$E$603,$A20,资金日记账!$V$4:$V$603,Y$4),2))</f>
        <v/>
      </c>
      <c r="Z20" s="142" t="str">
        <f aca="false">IF($A20="","",ROUND(SUM($B20:$Y20),2))</f>
        <v/>
      </c>
    </row>
    <row r="21" customFormat="false" ht="13.5" hidden="false" customHeight="false" outlineLevel="0" collapsed="false">
      <c r="A21" s="33" t="str">
        <f aca="false">IFERROR(INDEX(_自动清单!$AJ$4:$AJ$63,17),"")</f>
        <v/>
      </c>
      <c r="B21" s="41" t="str">
        <f aca="false">IF($A21="","",ROUND(SUMIFS(资金日记账!$H$4:$H$603,资金日记账!$E$4:$E$603,$A21,资金日记账!$V$4:$V$603,B$4),2))</f>
        <v/>
      </c>
      <c r="C21" s="41" t="str">
        <f aca="false">IF($A21="","",ROUND(SUMIFS(资金日记账!$H$4:$H$603,资金日记账!$E$4:$E$603,$A21,资金日记账!$V$4:$V$603,C$4),2))</f>
        <v/>
      </c>
      <c r="D21" s="41" t="str">
        <f aca="false">IF($A21="","",ROUND(SUMIFS(资金日记账!$H$4:$H$603,资金日记账!$E$4:$E$603,$A21,资金日记账!$V$4:$V$603,D$4),2))</f>
        <v/>
      </c>
      <c r="E21" s="41" t="str">
        <f aca="false">IF($A21="","",ROUND(SUMIFS(资金日记账!$H$4:$H$603,资金日记账!$E$4:$E$603,$A21,资金日记账!$V$4:$V$603,E$4),2))</f>
        <v/>
      </c>
      <c r="F21" s="41" t="str">
        <f aca="false">IF($A21="","",ROUND(SUMIFS(资金日记账!$H$4:$H$603,资金日记账!$E$4:$E$603,$A21,资金日记账!$V$4:$V$603,F$4),2))</f>
        <v/>
      </c>
      <c r="G21" s="41" t="str">
        <f aca="false">IF($A21="","",ROUND(SUMIFS(资金日记账!$H$4:$H$603,资金日记账!$E$4:$E$603,$A21,资金日记账!$V$4:$V$603,G$4),2))</f>
        <v/>
      </c>
      <c r="H21" s="41" t="str">
        <f aca="false">IF($A21="","",ROUND(SUMIFS(资金日记账!$H$4:$H$603,资金日记账!$E$4:$E$603,$A21,资金日记账!$V$4:$V$603,H$4),2))</f>
        <v/>
      </c>
      <c r="I21" s="41" t="str">
        <f aca="false">IF($A21="","",ROUND(SUMIFS(资金日记账!$H$4:$H$603,资金日记账!$E$4:$E$603,$A21,资金日记账!$V$4:$V$603,I$4),2))</f>
        <v/>
      </c>
      <c r="J21" s="41" t="str">
        <f aca="false">IF($A21="","",ROUND(SUMIFS(资金日记账!$H$4:$H$603,资金日记账!$E$4:$E$603,$A21,资金日记账!$V$4:$V$603,J$4),2))</f>
        <v/>
      </c>
      <c r="K21" s="41" t="str">
        <f aca="false">IF($A21="","",ROUND(SUMIFS(资金日记账!$H$4:$H$603,资金日记账!$E$4:$E$603,$A21,资金日记账!$V$4:$V$603,K$4),2))</f>
        <v/>
      </c>
      <c r="L21" s="41" t="str">
        <f aca="false">IF($A21="","",ROUND(SUMIFS(资金日记账!$H$4:$H$603,资金日记账!$E$4:$E$603,$A21,资金日记账!$V$4:$V$603,L$4),2))</f>
        <v/>
      </c>
      <c r="M21" s="41" t="str">
        <f aca="false">IF($A21="","",ROUND(SUMIFS(资金日记账!$H$4:$H$603,资金日记账!$E$4:$E$603,$A21,资金日记账!$V$4:$V$603,M$4),2))</f>
        <v/>
      </c>
      <c r="N21" s="41" t="str">
        <f aca="false">IF($A21="","",ROUND(SUMIFS(资金日记账!$H$4:$H$603,资金日记账!$E$4:$E$603,$A21,资金日记账!$V$4:$V$603,N$4),2))</f>
        <v/>
      </c>
      <c r="O21" s="41" t="str">
        <f aca="false">IF($A21="","",ROUND(SUMIFS(资金日记账!$H$4:$H$603,资金日记账!$E$4:$E$603,$A21,资金日记账!$V$4:$V$603,O$4),2))</f>
        <v/>
      </c>
      <c r="P21" s="41" t="str">
        <f aca="false">IF($A21="","",ROUND(SUMIFS(资金日记账!$H$4:$H$603,资金日记账!$E$4:$E$603,$A21,资金日记账!$V$4:$V$603,P$4),2))</f>
        <v/>
      </c>
      <c r="Q21" s="41" t="str">
        <f aca="false">IF($A21="","",ROUND(SUMIFS(资金日记账!$H$4:$H$603,资金日记账!$E$4:$E$603,$A21,资金日记账!$V$4:$V$603,Q$4),2))</f>
        <v/>
      </c>
      <c r="R21" s="41" t="str">
        <f aca="false">IF($A21="","",ROUND(SUMIFS(资金日记账!$H$4:$H$603,资金日记账!$E$4:$E$603,$A21,资金日记账!$V$4:$V$603,R$4),2))</f>
        <v/>
      </c>
      <c r="S21" s="41" t="str">
        <f aca="false">IF($A21="","",ROUND(SUMIFS(资金日记账!$H$4:$H$603,资金日记账!$E$4:$E$603,$A21,资金日记账!$V$4:$V$603,S$4),2))</f>
        <v/>
      </c>
      <c r="T21" s="41" t="str">
        <f aca="false">IF($A21="","",ROUND(SUMIFS(资金日记账!$H$4:$H$603,资金日记账!$E$4:$E$603,$A21,资金日记账!$V$4:$V$603,T$4),2))</f>
        <v/>
      </c>
      <c r="U21" s="41" t="str">
        <f aca="false">IF($A21="","",ROUND(SUMIFS(资金日记账!$H$4:$H$603,资金日记账!$E$4:$E$603,$A21,资金日记账!$V$4:$V$603,U$4),2))</f>
        <v/>
      </c>
      <c r="V21" s="41" t="str">
        <f aca="false">IF($A21="","",ROUND(SUMIFS(资金日记账!$H$4:$H$603,资金日记账!$E$4:$E$603,$A21,资金日记账!$V$4:$V$603,V$4),2))</f>
        <v/>
      </c>
      <c r="W21" s="41" t="str">
        <f aca="false">IF($A21="","",ROUND(SUMIFS(资金日记账!$H$4:$H$603,资金日记账!$E$4:$E$603,$A21,资金日记账!$V$4:$V$603,W$4),2))</f>
        <v/>
      </c>
      <c r="X21" s="41" t="str">
        <f aca="false">IF($A21="","",ROUND(SUMIFS(资金日记账!$H$4:$H$603,资金日记账!$E$4:$E$603,$A21,资金日记账!$V$4:$V$603,X$4),2))</f>
        <v/>
      </c>
      <c r="Y21" s="41" t="str">
        <f aca="false">IF($A21="","",ROUND(SUMIFS(资金日记账!$H$4:$H$603,资金日记账!$E$4:$E$603,$A21,资金日记账!$V$4:$V$603,Y$4),2))</f>
        <v/>
      </c>
      <c r="Z21" s="142" t="str">
        <f aca="false">IF($A21="","",ROUND(SUM($B21:$Y21),2))</f>
        <v/>
      </c>
    </row>
    <row r="22" customFormat="false" ht="13.5" hidden="false" customHeight="false" outlineLevel="0" collapsed="false">
      <c r="A22" s="33" t="str">
        <f aca="false">IFERROR(INDEX(_自动清单!$AJ$4:$AJ$63,18),"")</f>
        <v/>
      </c>
      <c r="B22" s="41" t="str">
        <f aca="false">IF($A22="","",ROUND(SUMIFS(资金日记账!$H$4:$H$603,资金日记账!$E$4:$E$603,$A22,资金日记账!$V$4:$V$603,B$4),2))</f>
        <v/>
      </c>
      <c r="C22" s="41" t="str">
        <f aca="false">IF($A22="","",ROUND(SUMIFS(资金日记账!$H$4:$H$603,资金日记账!$E$4:$E$603,$A22,资金日记账!$V$4:$V$603,C$4),2))</f>
        <v/>
      </c>
      <c r="D22" s="41" t="str">
        <f aca="false">IF($A22="","",ROUND(SUMIFS(资金日记账!$H$4:$H$603,资金日记账!$E$4:$E$603,$A22,资金日记账!$V$4:$V$603,D$4),2))</f>
        <v/>
      </c>
      <c r="E22" s="41" t="str">
        <f aca="false">IF($A22="","",ROUND(SUMIFS(资金日记账!$H$4:$H$603,资金日记账!$E$4:$E$603,$A22,资金日记账!$V$4:$V$603,E$4),2))</f>
        <v/>
      </c>
      <c r="F22" s="41" t="str">
        <f aca="false">IF($A22="","",ROUND(SUMIFS(资金日记账!$H$4:$H$603,资金日记账!$E$4:$E$603,$A22,资金日记账!$V$4:$V$603,F$4),2))</f>
        <v/>
      </c>
      <c r="G22" s="41" t="str">
        <f aca="false">IF($A22="","",ROUND(SUMIFS(资金日记账!$H$4:$H$603,资金日记账!$E$4:$E$603,$A22,资金日记账!$V$4:$V$603,G$4),2))</f>
        <v/>
      </c>
      <c r="H22" s="41" t="str">
        <f aca="false">IF($A22="","",ROUND(SUMIFS(资金日记账!$H$4:$H$603,资金日记账!$E$4:$E$603,$A22,资金日记账!$V$4:$V$603,H$4),2))</f>
        <v/>
      </c>
      <c r="I22" s="41" t="str">
        <f aca="false">IF($A22="","",ROUND(SUMIFS(资金日记账!$H$4:$H$603,资金日记账!$E$4:$E$603,$A22,资金日记账!$V$4:$V$603,I$4),2))</f>
        <v/>
      </c>
      <c r="J22" s="41" t="str">
        <f aca="false">IF($A22="","",ROUND(SUMIFS(资金日记账!$H$4:$H$603,资金日记账!$E$4:$E$603,$A22,资金日记账!$V$4:$V$603,J$4),2))</f>
        <v/>
      </c>
      <c r="K22" s="41" t="str">
        <f aca="false">IF($A22="","",ROUND(SUMIFS(资金日记账!$H$4:$H$603,资金日记账!$E$4:$E$603,$A22,资金日记账!$V$4:$V$603,K$4),2))</f>
        <v/>
      </c>
      <c r="L22" s="41" t="str">
        <f aca="false">IF($A22="","",ROUND(SUMIFS(资金日记账!$H$4:$H$603,资金日记账!$E$4:$E$603,$A22,资金日记账!$V$4:$V$603,L$4),2))</f>
        <v/>
      </c>
      <c r="M22" s="41" t="str">
        <f aca="false">IF($A22="","",ROUND(SUMIFS(资金日记账!$H$4:$H$603,资金日记账!$E$4:$E$603,$A22,资金日记账!$V$4:$V$603,M$4),2))</f>
        <v/>
      </c>
      <c r="N22" s="41" t="str">
        <f aca="false">IF($A22="","",ROUND(SUMIFS(资金日记账!$H$4:$H$603,资金日记账!$E$4:$E$603,$A22,资金日记账!$V$4:$V$603,N$4),2))</f>
        <v/>
      </c>
      <c r="O22" s="41" t="str">
        <f aca="false">IF($A22="","",ROUND(SUMIFS(资金日记账!$H$4:$H$603,资金日记账!$E$4:$E$603,$A22,资金日记账!$V$4:$V$603,O$4),2))</f>
        <v/>
      </c>
      <c r="P22" s="41" t="str">
        <f aca="false">IF($A22="","",ROUND(SUMIFS(资金日记账!$H$4:$H$603,资金日记账!$E$4:$E$603,$A22,资金日记账!$V$4:$V$603,P$4),2))</f>
        <v/>
      </c>
      <c r="Q22" s="41" t="str">
        <f aca="false">IF($A22="","",ROUND(SUMIFS(资金日记账!$H$4:$H$603,资金日记账!$E$4:$E$603,$A22,资金日记账!$V$4:$V$603,Q$4),2))</f>
        <v/>
      </c>
      <c r="R22" s="41" t="str">
        <f aca="false">IF($A22="","",ROUND(SUMIFS(资金日记账!$H$4:$H$603,资金日记账!$E$4:$E$603,$A22,资金日记账!$V$4:$V$603,R$4),2))</f>
        <v/>
      </c>
      <c r="S22" s="41" t="str">
        <f aca="false">IF($A22="","",ROUND(SUMIFS(资金日记账!$H$4:$H$603,资金日记账!$E$4:$E$603,$A22,资金日记账!$V$4:$V$603,S$4),2))</f>
        <v/>
      </c>
      <c r="T22" s="41" t="str">
        <f aca="false">IF($A22="","",ROUND(SUMIFS(资金日记账!$H$4:$H$603,资金日记账!$E$4:$E$603,$A22,资金日记账!$V$4:$V$603,T$4),2))</f>
        <v/>
      </c>
      <c r="U22" s="41" t="str">
        <f aca="false">IF($A22="","",ROUND(SUMIFS(资金日记账!$H$4:$H$603,资金日记账!$E$4:$E$603,$A22,资金日记账!$V$4:$V$603,U$4),2))</f>
        <v/>
      </c>
      <c r="V22" s="41" t="str">
        <f aca="false">IF($A22="","",ROUND(SUMIFS(资金日记账!$H$4:$H$603,资金日记账!$E$4:$E$603,$A22,资金日记账!$V$4:$V$603,V$4),2))</f>
        <v/>
      </c>
      <c r="W22" s="41" t="str">
        <f aca="false">IF($A22="","",ROUND(SUMIFS(资金日记账!$H$4:$H$603,资金日记账!$E$4:$E$603,$A22,资金日记账!$V$4:$V$603,W$4),2))</f>
        <v/>
      </c>
      <c r="X22" s="41" t="str">
        <f aca="false">IF($A22="","",ROUND(SUMIFS(资金日记账!$H$4:$H$603,资金日记账!$E$4:$E$603,$A22,资金日记账!$V$4:$V$603,X$4),2))</f>
        <v/>
      </c>
      <c r="Y22" s="41" t="str">
        <f aca="false">IF($A22="","",ROUND(SUMIFS(资金日记账!$H$4:$H$603,资金日记账!$E$4:$E$603,$A22,资金日记账!$V$4:$V$603,Y$4),2))</f>
        <v/>
      </c>
      <c r="Z22" s="142" t="str">
        <f aca="false">IF($A22="","",ROUND(SUM($B22:$Y22),2))</f>
        <v/>
      </c>
    </row>
    <row r="23" customFormat="false" ht="13.5" hidden="false" customHeight="false" outlineLevel="0" collapsed="false">
      <c r="A23" s="33" t="str">
        <f aca="false">IFERROR(INDEX(_自动清单!$AJ$4:$AJ$63,19),"")</f>
        <v/>
      </c>
      <c r="B23" s="41" t="str">
        <f aca="false">IF($A23="","",ROUND(SUMIFS(资金日记账!$H$4:$H$603,资金日记账!$E$4:$E$603,$A23,资金日记账!$V$4:$V$603,B$4),2))</f>
        <v/>
      </c>
      <c r="C23" s="41" t="str">
        <f aca="false">IF($A23="","",ROUND(SUMIFS(资金日记账!$H$4:$H$603,资金日记账!$E$4:$E$603,$A23,资金日记账!$V$4:$V$603,C$4),2))</f>
        <v/>
      </c>
      <c r="D23" s="41" t="str">
        <f aca="false">IF($A23="","",ROUND(SUMIFS(资金日记账!$H$4:$H$603,资金日记账!$E$4:$E$603,$A23,资金日记账!$V$4:$V$603,D$4),2))</f>
        <v/>
      </c>
      <c r="E23" s="41" t="str">
        <f aca="false">IF($A23="","",ROUND(SUMIFS(资金日记账!$H$4:$H$603,资金日记账!$E$4:$E$603,$A23,资金日记账!$V$4:$V$603,E$4),2))</f>
        <v/>
      </c>
      <c r="F23" s="41" t="str">
        <f aca="false">IF($A23="","",ROUND(SUMIFS(资金日记账!$H$4:$H$603,资金日记账!$E$4:$E$603,$A23,资金日记账!$V$4:$V$603,F$4),2))</f>
        <v/>
      </c>
      <c r="G23" s="41" t="str">
        <f aca="false">IF($A23="","",ROUND(SUMIFS(资金日记账!$H$4:$H$603,资金日记账!$E$4:$E$603,$A23,资金日记账!$V$4:$V$603,G$4),2))</f>
        <v/>
      </c>
      <c r="H23" s="41" t="str">
        <f aca="false">IF($A23="","",ROUND(SUMIFS(资金日记账!$H$4:$H$603,资金日记账!$E$4:$E$603,$A23,资金日记账!$V$4:$V$603,H$4),2))</f>
        <v/>
      </c>
      <c r="I23" s="41" t="str">
        <f aca="false">IF($A23="","",ROUND(SUMIFS(资金日记账!$H$4:$H$603,资金日记账!$E$4:$E$603,$A23,资金日记账!$V$4:$V$603,I$4),2))</f>
        <v/>
      </c>
      <c r="J23" s="41" t="str">
        <f aca="false">IF($A23="","",ROUND(SUMIFS(资金日记账!$H$4:$H$603,资金日记账!$E$4:$E$603,$A23,资金日记账!$V$4:$V$603,J$4),2))</f>
        <v/>
      </c>
      <c r="K23" s="41" t="str">
        <f aca="false">IF($A23="","",ROUND(SUMIFS(资金日记账!$H$4:$H$603,资金日记账!$E$4:$E$603,$A23,资金日记账!$V$4:$V$603,K$4),2))</f>
        <v/>
      </c>
      <c r="L23" s="41" t="str">
        <f aca="false">IF($A23="","",ROUND(SUMIFS(资金日记账!$H$4:$H$603,资金日记账!$E$4:$E$603,$A23,资金日记账!$V$4:$V$603,L$4),2))</f>
        <v/>
      </c>
      <c r="M23" s="41" t="str">
        <f aca="false">IF($A23="","",ROUND(SUMIFS(资金日记账!$H$4:$H$603,资金日记账!$E$4:$E$603,$A23,资金日记账!$V$4:$V$603,M$4),2))</f>
        <v/>
      </c>
      <c r="N23" s="41" t="str">
        <f aca="false">IF($A23="","",ROUND(SUMIFS(资金日记账!$H$4:$H$603,资金日记账!$E$4:$E$603,$A23,资金日记账!$V$4:$V$603,N$4),2))</f>
        <v/>
      </c>
      <c r="O23" s="41" t="str">
        <f aca="false">IF($A23="","",ROUND(SUMIFS(资金日记账!$H$4:$H$603,资金日记账!$E$4:$E$603,$A23,资金日记账!$V$4:$V$603,O$4),2))</f>
        <v/>
      </c>
      <c r="P23" s="41" t="str">
        <f aca="false">IF($A23="","",ROUND(SUMIFS(资金日记账!$H$4:$H$603,资金日记账!$E$4:$E$603,$A23,资金日记账!$V$4:$V$603,P$4),2))</f>
        <v/>
      </c>
      <c r="Q23" s="41" t="str">
        <f aca="false">IF($A23="","",ROUND(SUMIFS(资金日记账!$H$4:$H$603,资金日记账!$E$4:$E$603,$A23,资金日记账!$V$4:$V$603,Q$4),2))</f>
        <v/>
      </c>
      <c r="R23" s="41" t="str">
        <f aca="false">IF($A23="","",ROUND(SUMIFS(资金日记账!$H$4:$H$603,资金日记账!$E$4:$E$603,$A23,资金日记账!$V$4:$V$603,R$4),2))</f>
        <v/>
      </c>
      <c r="S23" s="41" t="str">
        <f aca="false">IF($A23="","",ROUND(SUMIFS(资金日记账!$H$4:$H$603,资金日记账!$E$4:$E$603,$A23,资金日记账!$V$4:$V$603,S$4),2))</f>
        <v/>
      </c>
      <c r="T23" s="41" t="str">
        <f aca="false">IF($A23="","",ROUND(SUMIFS(资金日记账!$H$4:$H$603,资金日记账!$E$4:$E$603,$A23,资金日记账!$V$4:$V$603,T$4),2))</f>
        <v/>
      </c>
      <c r="U23" s="41" t="str">
        <f aca="false">IF($A23="","",ROUND(SUMIFS(资金日记账!$H$4:$H$603,资金日记账!$E$4:$E$603,$A23,资金日记账!$V$4:$V$603,U$4),2))</f>
        <v/>
      </c>
      <c r="V23" s="41" t="str">
        <f aca="false">IF($A23="","",ROUND(SUMIFS(资金日记账!$H$4:$H$603,资金日记账!$E$4:$E$603,$A23,资金日记账!$V$4:$V$603,V$4),2))</f>
        <v/>
      </c>
      <c r="W23" s="41" t="str">
        <f aca="false">IF($A23="","",ROUND(SUMIFS(资金日记账!$H$4:$H$603,资金日记账!$E$4:$E$603,$A23,资金日记账!$V$4:$V$603,W$4),2))</f>
        <v/>
      </c>
      <c r="X23" s="41" t="str">
        <f aca="false">IF($A23="","",ROUND(SUMIFS(资金日记账!$H$4:$H$603,资金日记账!$E$4:$E$603,$A23,资金日记账!$V$4:$V$603,X$4),2))</f>
        <v/>
      </c>
      <c r="Y23" s="41" t="str">
        <f aca="false">IF($A23="","",ROUND(SUMIFS(资金日记账!$H$4:$H$603,资金日记账!$E$4:$E$603,$A23,资金日记账!$V$4:$V$603,Y$4),2))</f>
        <v/>
      </c>
      <c r="Z23" s="142" t="str">
        <f aca="false">IF($A23="","",ROUND(SUM($B23:$Y23),2))</f>
        <v/>
      </c>
    </row>
    <row r="24" customFormat="false" ht="13.5" hidden="false" customHeight="false" outlineLevel="0" collapsed="false">
      <c r="A24" s="33" t="str">
        <f aca="false">IFERROR(INDEX(_自动清单!$AJ$4:$AJ$63,20),"")</f>
        <v/>
      </c>
      <c r="B24" s="41" t="str">
        <f aca="false">IF($A24="","",ROUND(SUMIFS(资金日记账!$H$4:$H$603,资金日记账!$E$4:$E$603,$A24,资金日记账!$V$4:$V$603,B$4),2))</f>
        <v/>
      </c>
      <c r="C24" s="41" t="str">
        <f aca="false">IF($A24="","",ROUND(SUMIFS(资金日记账!$H$4:$H$603,资金日记账!$E$4:$E$603,$A24,资金日记账!$V$4:$V$603,C$4),2))</f>
        <v/>
      </c>
      <c r="D24" s="41" t="str">
        <f aca="false">IF($A24="","",ROUND(SUMIFS(资金日记账!$H$4:$H$603,资金日记账!$E$4:$E$603,$A24,资金日记账!$V$4:$V$603,D$4),2))</f>
        <v/>
      </c>
      <c r="E24" s="41" t="str">
        <f aca="false">IF($A24="","",ROUND(SUMIFS(资金日记账!$H$4:$H$603,资金日记账!$E$4:$E$603,$A24,资金日记账!$V$4:$V$603,E$4),2))</f>
        <v/>
      </c>
      <c r="F24" s="41" t="str">
        <f aca="false">IF($A24="","",ROUND(SUMIFS(资金日记账!$H$4:$H$603,资金日记账!$E$4:$E$603,$A24,资金日记账!$V$4:$V$603,F$4),2))</f>
        <v/>
      </c>
      <c r="G24" s="41" t="str">
        <f aca="false">IF($A24="","",ROUND(SUMIFS(资金日记账!$H$4:$H$603,资金日记账!$E$4:$E$603,$A24,资金日记账!$V$4:$V$603,G$4),2))</f>
        <v/>
      </c>
      <c r="H24" s="41" t="str">
        <f aca="false">IF($A24="","",ROUND(SUMIFS(资金日记账!$H$4:$H$603,资金日记账!$E$4:$E$603,$A24,资金日记账!$V$4:$V$603,H$4),2))</f>
        <v/>
      </c>
      <c r="I24" s="41" t="str">
        <f aca="false">IF($A24="","",ROUND(SUMIFS(资金日记账!$H$4:$H$603,资金日记账!$E$4:$E$603,$A24,资金日记账!$V$4:$V$603,I$4),2))</f>
        <v/>
      </c>
      <c r="J24" s="41" t="str">
        <f aca="false">IF($A24="","",ROUND(SUMIFS(资金日记账!$H$4:$H$603,资金日记账!$E$4:$E$603,$A24,资金日记账!$V$4:$V$603,J$4),2))</f>
        <v/>
      </c>
      <c r="K24" s="41" t="str">
        <f aca="false">IF($A24="","",ROUND(SUMIFS(资金日记账!$H$4:$H$603,资金日记账!$E$4:$E$603,$A24,资金日记账!$V$4:$V$603,K$4),2))</f>
        <v/>
      </c>
      <c r="L24" s="41" t="str">
        <f aca="false">IF($A24="","",ROUND(SUMIFS(资金日记账!$H$4:$H$603,资金日记账!$E$4:$E$603,$A24,资金日记账!$V$4:$V$603,L$4),2))</f>
        <v/>
      </c>
      <c r="M24" s="41" t="str">
        <f aca="false">IF($A24="","",ROUND(SUMIFS(资金日记账!$H$4:$H$603,资金日记账!$E$4:$E$603,$A24,资金日记账!$V$4:$V$603,M$4),2))</f>
        <v/>
      </c>
      <c r="N24" s="41" t="str">
        <f aca="false">IF($A24="","",ROUND(SUMIFS(资金日记账!$H$4:$H$603,资金日记账!$E$4:$E$603,$A24,资金日记账!$V$4:$V$603,N$4),2))</f>
        <v/>
      </c>
      <c r="O24" s="41" t="str">
        <f aca="false">IF($A24="","",ROUND(SUMIFS(资金日记账!$H$4:$H$603,资金日记账!$E$4:$E$603,$A24,资金日记账!$V$4:$V$603,O$4),2))</f>
        <v/>
      </c>
      <c r="P24" s="41" t="str">
        <f aca="false">IF($A24="","",ROUND(SUMIFS(资金日记账!$H$4:$H$603,资金日记账!$E$4:$E$603,$A24,资金日记账!$V$4:$V$603,P$4),2))</f>
        <v/>
      </c>
      <c r="Q24" s="41" t="str">
        <f aca="false">IF($A24="","",ROUND(SUMIFS(资金日记账!$H$4:$H$603,资金日记账!$E$4:$E$603,$A24,资金日记账!$V$4:$V$603,Q$4),2))</f>
        <v/>
      </c>
      <c r="R24" s="41" t="str">
        <f aca="false">IF($A24="","",ROUND(SUMIFS(资金日记账!$H$4:$H$603,资金日记账!$E$4:$E$603,$A24,资金日记账!$V$4:$V$603,R$4),2))</f>
        <v/>
      </c>
      <c r="S24" s="41" t="str">
        <f aca="false">IF($A24="","",ROUND(SUMIFS(资金日记账!$H$4:$H$603,资金日记账!$E$4:$E$603,$A24,资金日记账!$V$4:$V$603,S$4),2))</f>
        <v/>
      </c>
      <c r="T24" s="41" t="str">
        <f aca="false">IF($A24="","",ROUND(SUMIFS(资金日记账!$H$4:$H$603,资金日记账!$E$4:$E$603,$A24,资金日记账!$V$4:$V$603,T$4),2))</f>
        <v/>
      </c>
      <c r="U24" s="41" t="str">
        <f aca="false">IF($A24="","",ROUND(SUMIFS(资金日记账!$H$4:$H$603,资金日记账!$E$4:$E$603,$A24,资金日记账!$V$4:$V$603,U$4),2))</f>
        <v/>
      </c>
      <c r="V24" s="41" t="str">
        <f aca="false">IF($A24="","",ROUND(SUMIFS(资金日记账!$H$4:$H$603,资金日记账!$E$4:$E$603,$A24,资金日记账!$V$4:$V$603,V$4),2))</f>
        <v/>
      </c>
      <c r="W24" s="41" t="str">
        <f aca="false">IF($A24="","",ROUND(SUMIFS(资金日记账!$H$4:$H$603,资金日记账!$E$4:$E$603,$A24,资金日记账!$V$4:$V$603,W$4),2))</f>
        <v/>
      </c>
      <c r="X24" s="41" t="str">
        <f aca="false">IF($A24="","",ROUND(SUMIFS(资金日记账!$H$4:$H$603,资金日记账!$E$4:$E$603,$A24,资金日记账!$V$4:$V$603,X$4),2))</f>
        <v/>
      </c>
      <c r="Y24" s="41" t="str">
        <f aca="false">IF($A24="","",ROUND(SUMIFS(资金日记账!$H$4:$H$603,资金日记账!$E$4:$E$603,$A24,资金日记账!$V$4:$V$603,Y$4),2))</f>
        <v/>
      </c>
      <c r="Z24" s="142" t="str">
        <f aca="false">IF($A24="","",ROUND(SUM($B24:$Y24),2))</f>
        <v/>
      </c>
    </row>
    <row r="25" customFormat="false" ht="13.5" hidden="false" customHeight="false" outlineLevel="0" collapsed="false">
      <c r="A25" s="33" t="str">
        <f aca="false">IFERROR(INDEX(_自动清单!$AJ$4:$AJ$63,21),"")</f>
        <v/>
      </c>
      <c r="B25" s="41" t="str">
        <f aca="false">IF($A25="","",ROUND(SUMIFS(资金日记账!$H$4:$H$603,资金日记账!$E$4:$E$603,$A25,资金日记账!$V$4:$V$603,B$4),2))</f>
        <v/>
      </c>
      <c r="C25" s="41" t="str">
        <f aca="false">IF($A25="","",ROUND(SUMIFS(资金日记账!$H$4:$H$603,资金日记账!$E$4:$E$603,$A25,资金日记账!$V$4:$V$603,C$4),2))</f>
        <v/>
      </c>
      <c r="D25" s="41" t="str">
        <f aca="false">IF($A25="","",ROUND(SUMIFS(资金日记账!$H$4:$H$603,资金日记账!$E$4:$E$603,$A25,资金日记账!$V$4:$V$603,D$4),2))</f>
        <v/>
      </c>
      <c r="E25" s="41" t="str">
        <f aca="false">IF($A25="","",ROUND(SUMIFS(资金日记账!$H$4:$H$603,资金日记账!$E$4:$E$603,$A25,资金日记账!$V$4:$V$603,E$4),2))</f>
        <v/>
      </c>
      <c r="F25" s="41" t="str">
        <f aca="false">IF($A25="","",ROUND(SUMIFS(资金日记账!$H$4:$H$603,资金日记账!$E$4:$E$603,$A25,资金日记账!$V$4:$V$603,F$4),2))</f>
        <v/>
      </c>
      <c r="G25" s="41" t="str">
        <f aca="false">IF($A25="","",ROUND(SUMIFS(资金日记账!$H$4:$H$603,资金日记账!$E$4:$E$603,$A25,资金日记账!$V$4:$V$603,G$4),2))</f>
        <v/>
      </c>
      <c r="H25" s="41" t="str">
        <f aca="false">IF($A25="","",ROUND(SUMIFS(资金日记账!$H$4:$H$603,资金日记账!$E$4:$E$603,$A25,资金日记账!$V$4:$V$603,H$4),2))</f>
        <v/>
      </c>
      <c r="I25" s="41" t="str">
        <f aca="false">IF($A25="","",ROUND(SUMIFS(资金日记账!$H$4:$H$603,资金日记账!$E$4:$E$603,$A25,资金日记账!$V$4:$V$603,I$4),2))</f>
        <v/>
      </c>
      <c r="J25" s="41" t="str">
        <f aca="false">IF($A25="","",ROUND(SUMIFS(资金日记账!$H$4:$H$603,资金日记账!$E$4:$E$603,$A25,资金日记账!$V$4:$V$603,J$4),2))</f>
        <v/>
      </c>
      <c r="K25" s="41" t="str">
        <f aca="false">IF($A25="","",ROUND(SUMIFS(资金日记账!$H$4:$H$603,资金日记账!$E$4:$E$603,$A25,资金日记账!$V$4:$V$603,K$4),2))</f>
        <v/>
      </c>
      <c r="L25" s="41" t="str">
        <f aca="false">IF($A25="","",ROUND(SUMIFS(资金日记账!$H$4:$H$603,资金日记账!$E$4:$E$603,$A25,资金日记账!$V$4:$V$603,L$4),2))</f>
        <v/>
      </c>
      <c r="M25" s="41" t="str">
        <f aca="false">IF($A25="","",ROUND(SUMIFS(资金日记账!$H$4:$H$603,资金日记账!$E$4:$E$603,$A25,资金日记账!$V$4:$V$603,M$4),2))</f>
        <v/>
      </c>
      <c r="N25" s="41" t="str">
        <f aca="false">IF($A25="","",ROUND(SUMIFS(资金日记账!$H$4:$H$603,资金日记账!$E$4:$E$603,$A25,资金日记账!$V$4:$V$603,N$4),2))</f>
        <v/>
      </c>
      <c r="O25" s="41" t="str">
        <f aca="false">IF($A25="","",ROUND(SUMIFS(资金日记账!$H$4:$H$603,资金日记账!$E$4:$E$603,$A25,资金日记账!$V$4:$V$603,O$4),2))</f>
        <v/>
      </c>
      <c r="P25" s="41" t="str">
        <f aca="false">IF($A25="","",ROUND(SUMIFS(资金日记账!$H$4:$H$603,资金日记账!$E$4:$E$603,$A25,资金日记账!$V$4:$V$603,P$4),2))</f>
        <v/>
      </c>
      <c r="Q25" s="41" t="str">
        <f aca="false">IF($A25="","",ROUND(SUMIFS(资金日记账!$H$4:$H$603,资金日记账!$E$4:$E$603,$A25,资金日记账!$V$4:$V$603,Q$4),2))</f>
        <v/>
      </c>
      <c r="R25" s="41" t="str">
        <f aca="false">IF($A25="","",ROUND(SUMIFS(资金日记账!$H$4:$H$603,资金日记账!$E$4:$E$603,$A25,资金日记账!$V$4:$V$603,R$4),2))</f>
        <v/>
      </c>
      <c r="S25" s="41" t="str">
        <f aca="false">IF($A25="","",ROUND(SUMIFS(资金日记账!$H$4:$H$603,资金日记账!$E$4:$E$603,$A25,资金日记账!$V$4:$V$603,S$4),2))</f>
        <v/>
      </c>
      <c r="T25" s="41" t="str">
        <f aca="false">IF($A25="","",ROUND(SUMIFS(资金日记账!$H$4:$H$603,资金日记账!$E$4:$E$603,$A25,资金日记账!$V$4:$V$603,T$4),2))</f>
        <v/>
      </c>
      <c r="U25" s="41" t="str">
        <f aca="false">IF($A25="","",ROUND(SUMIFS(资金日记账!$H$4:$H$603,资金日记账!$E$4:$E$603,$A25,资金日记账!$V$4:$V$603,U$4),2))</f>
        <v/>
      </c>
      <c r="V25" s="41" t="str">
        <f aca="false">IF($A25="","",ROUND(SUMIFS(资金日记账!$H$4:$H$603,资金日记账!$E$4:$E$603,$A25,资金日记账!$V$4:$V$603,V$4),2))</f>
        <v/>
      </c>
      <c r="W25" s="41" t="str">
        <f aca="false">IF($A25="","",ROUND(SUMIFS(资金日记账!$H$4:$H$603,资金日记账!$E$4:$E$603,$A25,资金日记账!$V$4:$V$603,W$4),2))</f>
        <v/>
      </c>
      <c r="X25" s="41" t="str">
        <f aca="false">IF($A25="","",ROUND(SUMIFS(资金日记账!$H$4:$H$603,资金日记账!$E$4:$E$603,$A25,资金日记账!$V$4:$V$603,X$4),2))</f>
        <v/>
      </c>
      <c r="Y25" s="41" t="str">
        <f aca="false">IF($A25="","",ROUND(SUMIFS(资金日记账!$H$4:$H$603,资金日记账!$E$4:$E$603,$A25,资金日记账!$V$4:$V$603,Y$4),2))</f>
        <v/>
      </c>
      <c r="Z25" s="142" t="str">
        <f aca="false">IF($A25="","",ROUND(SUM($B25:$Y25),2))</f>
        <v/>
      </c>
    </row>
    <row r="26" customFormat="false" ht="13.5" hidden="false" customHeight="false" outlineLevel="0" collapsed="false">
      <c r="A26" s="33" t="str">
        <f aca="false">IFERROR(INDEX(_自动清单!$AJ$4:$AJ$63,22),"")</f>
        <v/>
      </c>
      <c r="B26" s="41" t="str">
        <f aca="false">IF($A26="","",ROUND(SUMIFS(资金日记账!$H$4:$H$603,资金日记账!$E$4:$E$603,$A26,资金日记账!$V$4:$V$603,B$4),2))</f>
        <v/>
      </c>
      <c r="C26" s="41" t="str">
        <f aca="false">IF($A26="","",ROUND(SUMIFS(资金日记账!$H$4:$H$603,资金日记账!$E$4:$E$603,$A26,资金日记账!$V$4:$V$603,C$4),2))</f>
        <v/>
      </c>
      <c r="D26" s="41" t="str">
        <f aca="false">IF($A26="","",ROUND(SUMIFS(资金日记账!$H$4:$H$603,资金日记账!$E$4:$E$603,$A26,资金日记账!$V$4:$V$603,D$4),2))</f>
        <v/>
      </c>
      <c r="E26" s="41" t="str">
        <f aca="false">IF($A26="","",ROUND(SUMIFS(资金日记账!$H$4:$H$603,资金日记账!$E$4:$E$603,$A26,资金日记账!$V$4:$V$603,E$4),2))</f>
        <v/>
      </c>
      <c r="F26" s="41" t="str">
        <f aca="false">IF($A26="","",ROUND(SUMIFS(资金日记账!$H$4:$H$603,资金日记账!$E$4:$E$603,$A26,资金日记账!$V$4:$V$603,F$4),2))</f>
        <v/>
      </c>
      <c r="G26" s="41" t="str">
        <f aca="false">IF($A26="","",ROUND(SUMIFS(资金日记账!$H$4:$H$603,资金日记账!$E$4:$E$603,$A26,资金日记账!$V$4:$V$603,G$4),2))</f>
        <v/>
      </c>
      <c r="H26" s="41" t="str">
        <f aca="false">IF($A26="","",ROUND(SUMIFS(资金日记账!$H$4:$H$603,资金日记账!$E$4:$E$603,$A26,资金日记账!$V$4:$V$603,H$4),2))</f>
        <v/>
      </c>
      <c r="I26" s="41" t="str">
        <f aca="false">IF($A26="","",ROUND(SUMIFS(资金日记账!$H$4:$H$603,资金日记账!$E$4:$E$603,$A26,资金日记账!$V$4:$V$603,I$4),2))</f>
        <v/>
      </c>
      <c r="J26" s="41" t="str">
        <f aca="false">IF($A26="","",ROUND(SUMIFS(资金日记账!$H$4:$H$603,资金日记账!$E$4:$E$603,$A26,资金日记账!$V$4:$V$603,J$4),2))</f>
        <v/>
      </c>
      <c r="K26" s="41" t="str">
        <f aca="false">IF($A26="","",ROUND(SUMIFS(资金日记账!$H$4:$H$603,资金日记账!$E$4:$E$603,$A26,资金日记账!$V$4:$V$603,K$4),2))</f>
        <v/>
      </c>
      <c r="L26" s="41" t="str">
        <f aca="false">IF($A26="","",ROUND(SUMIFS(资金日记账!$H$4:$H$603,资金日记账!$E$4:$E$603,$A26,资金日记账!$V$4:$V$603,L$4),2))</f>
        <v/>
      </c>
      <c r="M26" s="41" t="str">
        <f aca="false">IF($A26="","",ROUND(SUMIFS(资金日记账!$H$4:$H$603,资金日记账!$E$4:$E$603,$A26,资金日记账!$V$4:$V$603,M$4),2))</f>
        <v/>
      </c>
      <c r="N26" s="41" t="str">
        <f aca="false">IF($A26="","",ROUND(SUMIFS(资金日记账!$H$4:$H$603,资金日记账!$E$4:$E$603,$A26,资金日记账!$V$4:$V$603,N$4),2))</f>
        <v/>
      </c>
      <c r="O26" s="41" t="str">
        <f aca="false">IF($A26="","",ROUND(SUMIFS(资金日记账!$H$4:$H$603,资金日记账!$E$4:$E$603,$A26,资金日记账!$V$4:$V$603,O$4),2))</f>
        <v/>
      </c>
      <c r="P26" s="41" t="str">
        <f aca="false">IF($A26="","",ROUND(SUMIFS(资金日记账!$H$4:$H$603,资金日记账!$E$4:$E$603,$A26,资金日记账!$V$4:$V$603,P$4),2))</f>
        <v/>
      </c>
      <c r="Q26" s="41" t="str">
        <f aca="false">IF($A26="","",ROUND(SUMIFS(资金日记账!$H$4:$H$603,资金日记账!$E$4:$E$603,$A26,资金日记账!$V$4:$V$603,Q$4),2))</f>
        <v/>
      </c>
      <c r="R26" s="41" t="str">
        <f aca="false">IF($A26="","",ROUND(SUMIFS(资金日记账!$H$4:$H$603,资金日记账!$E$4:$E$603,$A26,资金日记账!$V$4:$V$603,R$4),2))</f>
        <v/>
      </c>
      <c r="S26" s="41" t="str">
        <f aca="false">IF($A26="","",ROUND(SUMIFS(资金日记账!$H$4:$H$603,资金日记账!$E$4:$E$603,$A26,资金日记账!$V$4:$V$603,S$4),2))</f>
        <v/>
      </c>
      <c r="T26" s="41" t="str">
        <f aca="false">IF($A26="","",ROUND(SUMIFS(资金日记账!$H$4:$H$603,资金日记账!$E$4:$E$603,$A26,资金日记账!$V$4:$V$603,T$4),2))</f>
        <v/>
      </c>
      <c r="U26" s="41" t="str">
        <f aca="false">IF($A26="","",ROUND(SUMIFS(资金日记账!$H$4:$H$603,资金日记账!$E$4:$E$603,$A26,资金日记账!$V$4:$V$603,U$4),2))</f>
        <v/>
      </c>
      <c r="V26" s="41" t="str">
        <f aca="false">IF($A26="","",ROUND(SUMIFS(资金日记账!$H$4:$H$603,资金日记账!$E$4:$E$603,$A26,资金日记账!$V$4:$V$603,V$4),2))</f>
        <v/>
      </c>
      <c r="W26" s="41" t="str">
        <f aca="false">IF($A26="","",ROUND(SUMIFS(资金日记账!$H$4:$H$603,资金日记账!$E$4:$E$603,$A26,资金日记账!$V$4:$V$603,W$4),2))</f>
        <v/>
      </c>
      <c r="X26" s="41" t="str">
        <f aca="false">IF($A26="","",ROUND(SUMIFS(资金日记账!$H$4:$H$603,资金日记账!$E$4:$E$603,$A26,资金日记账!$V$4:$V$603,X$4),2))</f>
        <v/>
      </c>
      <c r="Y26" s="41" t="str">
        <f aca="false">IF($A26="","",ROUND(SUMIFS(资金日记账!$H$4:$H$603,资金日记账!$E$4:$E$603,$A26,资金日记账!$V$4:$V$603,Y$4),2))</f>
        <v/>
      </c>
      <c r="Z26" s="142" t="str">
        <f aca="false">IF($A26="","",ROUND(SUM($B26:$Y26),2))</f>
        <v/>
      </c>
    </row>
    <row r="27" customFormat="false" ht="13.5" hidden="false" customHeight="false" outlineLevel="0" collapsed="false">
      <c r="A27" s="33" t="str">
        <f aca="false">IFERROR(INDEX(_自动清单!$AJ$4:$AJ$63,23),"")</f>
        <v/>
      </c>
      <c r="B27" s="41" t="str">
        <f aca="false">IF($A27="","",ROUND(SUMIFS(资金日记账!$H$4:$H$603,资金日记账!$E$4:$E$603,$A27,资金日记账!$V$4:$V$603,B$4),2))</f>
        <v/>
      </c>
      <c r="C27" s="41" t="str">
        <f aca="false">IF($A27="","",ROUND(SUMIFS(资金日记账!$H$4:$H$603,资金日记账!$E$4:$E$603,$A27,资金日记账!$V$4:$V$603,C$4),2))</f>
        <v/>
      </c>
      <c r="D27" s="41" t="str">
        <f aca="false">IF($A27="","",ROUND(SUMIFS(资金日记账!$H$4:$H$603,资金日记账!$E$4:$E$603,$A27,资金日记账!$V$4:$V$603,D$4),2))</f>
        <v/>
      </c>
      <c r="E27" s="41" t="str">
        <f aca="false">IF($A27="","",ROUND(SUMIFS(资金日记账!$H$4:$H$603,资金日记账!$E$4:$E$603,$A27,资金日记账!$V$4:$V$603,E$4),2))</f>
        <v/>
      </c>
      <c r="F27" s="41" t="str">
        <f aca="false">IF($A27="","",ROUND(SUMIFS(资金日记账!$H$4:$H$603,资金日记账!$E$4:$E$603,$A27,资金日记账!$V$4:$V$603,F$4),2))</f>
        <v/>
      </c>
      <c r="G27" s="41" t="str">
        <f aca="false">IF($A27="","",ROUND(SUMIFS(资金日记账!$H$4:$H$603,资金日记账!$E$4:$E$603,$A27,资金日记账!$V$4:$V$603,G$4),2))</f>
        <v/>
      </c>
      <c r="H27" s="41" t="str">
        <f aca="false">IF($A27="","",ROUND(SUMIFS(资金日记账!$H$4:$H$603,资金日记账!$E$4:$E$603,$A27,资金日记账!$V$4:$V$603,H$4),2))</f>
        <v/>
      </c>
      <c r="I27" s="41" t="str">
        <f aca="false">IF($A27="","",ROUND(SUMIFS(资金日记账!$H$4:$H$603,资金日记账!$E$4:$E$603,$A27,资金日记账!$V$4:$V$603,I$4),2))</f>
        <v/>
      </c>
      <c r="J27" s="41" t="str">
        <f aca="false">IF($A27="","",ROUND(SUMIFS(资金日记账!$H$4:$H$603,资金日记账!$E$4:$E$603,$A27,资金日记账!$V$4:$V$603,J$4),2))</f>
        <v/>
      </c>
      <c r="K27" s="41" t="str">
        <f aca="false">IF($A27="","",ROUND(SUMIFS(资金日记账!$H$4:$H$603,资金日记账!$E$4:$E$603,$A27,资金日记账!$V$4:$V$603,K$4),2))</f>
        <v/>
      </c>
      <c r="L27" s="41" t="str">
        <f aca="false">IF($A27="","",ROUND(SUMIFS(资金日记账!$H$4:$H$603,资金日记账!$E$4:$E$603,$A27,资金日记账!$V$4:$V$603,L$4),2))</f>
        <v/>
      </c>
      <c r="M27" s="41" t="str">
        <f aca="false">IF($A27="","",ROUND(SUMIFS(资金日记账!$H$4:$H$603,资金日记账!$E$4:$E$603,$A27,资金日记账!$V$4:$V$603,M$4),2))</f>
        <v/>
      </c>
      <c r="N27" s="41" t="str">
        <f aca="false">IF($A27="","",ROUND(SUMIFS(资金日记账!$H$4:$H$603,资金日记账!$E$4:$E$603,$A27,资金日记账!$V$4:$V$603,N$4),2))</f>
        <v/>
      </c>
      <c r="O27" s="41" t="str">
        <f aca="false">IF($A27="","",ROUND(SUMIFS(资金日记账!$H$4:$H$603,资金日记账!$E$4:$E$603,$A27,资金日记账!$V$4:$V$603,O$4),2))</f>
        <v/>
      </c>
      <c r="P27" s="41" t="str">
        <f aca="false">IF($A27="","",ROUND(SUMIFS(资金日记账!$H$4:$H$603,资金日记账!$E$4:$E$603,$A27,资金日记账!$V$4:$V$603,P$4),2))</f>
        <v/>
      </c>
      <c r="Q27" s="41" t="str">
        <f aca="false">IF($A27="","",ROUND(SUMIFS(资金日记账!$H$4:$H$603,资金日记账!$E$4:$E$603,$A27,资金日记账!$V$4:$V$603,Q$4),2))</f>
        <v/>
      </c>
      <c r="R27" s="41" t="str">
        <f aca="false">IF($A27="","",ROUND(SUMIFS(资金日记账!$H$4:$H$603,资金日记账!$E$4:$E$603,$A27,资金日记账!$V$4:$V$603,R$4),2))</f>
        <v/>
      </c>
      <c r="S27" s="41" t="str">
        <f aca="false">IF($A27="","",ROUND(SUMIFS(资金日记账!$H$4:$H$603,资金日记账!$E$4:$E$603,$A27,资金日记账!$V$4:$V$603,S$4),2))</f>
        <v/>
      </c>
      <c r="T27" s="41" t="str">
        <f aca="false">IF($A27="","",ROUND(SUMIFS(资金日记账!$H$4:$H$603,资金日记账!$E$4:$E$603,$A27,资金日记账!$V$4:$V$603,T$4),2))</f>
        <v/>
      </c>
      <c r="U27" s="41" t="str">
        <f aca="false">IF($A27="","",ROUND(SUMIFS(资金日记账!$H$4:$H$603,资金日记账!$E$4:$E$603,$A27,资金日记账!$V$4:$V$603,U$4),2))</f>
        <v/>
      </c>
      <c r="V27" s="41" t="str">
        <f aca="false">IF($A27="","",ROUND(SUMIFS(资金日记账!$H$4:$H$603,资金日记账!$E$4:$E$603,$A27,资金日记账!$V$4:$V$603,V$4),2))</f>
        <v/>
      </c>
      <c r="W27" s="41" t="str">
        <f aca="false">IF($A27="","",ROUND(SUMIFS(资金日记账!$H$4:$H$603,资金日记账!$E$4:$E$603,$A27,资金日记账!$V$4:$V$603,W$4),2))</f>
        <v/>
      </c>
      <c r="X27" s="41" t="str">
        <f aca="false">IF($A27="","",ROUND(SUMIFS(资金日记账!$H$4:$H$603,资金日记账!$E$4:$E$603,$A27,资金日记账!$V$4:$V$603,X$4),2))</f>
        <v/>
      </c>
      <c r="Y27" s="41" t="str">
        <f aca="false">IF($A27="","",ROUND(SUMIFS(资金日记账!$H$4:$H$603,资金日记账!$E$4:$E$603,$A27,资金日记账!$V$4:$V$603,Y$4),2))</f>
        <v/>
      </c>
      <c r="Z27" s="142" t="str">
        <f aca="false">IF($A27="","",ROUND(SUM($B27:$Y27),2))</f>
        <v/>
      </c>
    </row>
    <row r="28" customFormat="false" ht="13.5" hidden="false" customHeight="false" outlineLevel="0" collapsed="false">
      <c r="A28" s="33" t="str">
        <f aca="false">IFERROR(INDEX(_自动清单!$AJ$4:$AJ$63,24),"")</f>
        <v/>
      </c>
      <c r="B28" s="41" t="str">
        <f aca="false">IF($A28="","",ROUND(SUMIFS(资金日记账!$H$4:$H$603,资金日记账!$E$4:$E$603,$A28,资金日记账!$V$4:$V$603,B$4),2))</f>
        <v/>
      </c>
      <c r="C28" s="41" t="str">
        <f aca="false">IF($A28="","",ROUND(SUMIFS(资金日记账!$H$4:$H$603,资金日记账!$E$4:$E$603,$A28,资金日记账!$V$4:$V$603,C$4),2))</f>
        <v/>
      </c>
      <c r="D28" s="41" t="str">
        <f aca="false">IF($A28="","",ROUND(SUMIFS(资金日记账!$H$4:$H$603,资金日记账!$E$4:$E$603,$A28,资金日记账!$V$4:$V$603,D$4),2))</f>
        <v/>
      </c>
      <c r="E28" s="41" t="str">
        <f aca="false">IF($A28="","",ROUND(SUMIFS(资金日记账!$H$4:$H$603,资金日记账!$E$4:$E$603,$A28,资金日记账!$V$4:$V$603,E$4),2))</f>
        <v/>
      </c>
      <c r="F28" s="41" t="str">
        <f aca="false">IF($A28="","",ROUND(SUMIFS(资金日记账!$H$4:$H$603,资金日记账!$E$4:$E$603,$A28,资金日记账!$V$4:$V$603,F$4),2))</f>
        <v/>
      </c>
      <c r="G28" s="41" t="str">
        <f aca="false">IF($A28="","",ROUND(SUMIFS(资金日记账!$H$4:$H$603,资金日记账!$E$4:$E$603,$A28,资金日记账!$V$4:$V$603,G$4),2))</f>
        <v/>
      </c>
      <c r="H28" s="41" t="str">
        <f aca="false">IF($A28="","",ROUND(SUMIFS(资金日记账!$H$4:$H$603,资金日记账!$E$4:$E$603,$A28,资金日记账!$V$4:$V$603,H$4),2))</f>
        <v/>
      </c>
      <c r="I28" s="41" t="str">
        <f aca="false">IF($A28="","",ROUND(SUMIFS(资金日记账!$H$4:$H$603,资金日记账!$E$4:$E$603,$A28,资金日记账!$V$4:$V$603,I$4),2))</f>
        <v/>
      </c>
      <c r="J28" s="41" t="str">
        <f aca="false">IF($A28="","",ROUND(SUMIFS(资金日记账!$H$4:$H$603,资金日记账!$E$4:$E$603,$A28,资金日记账!$V$4:$V$603,J$4),2))</f>
        <v/>
      </c>
      <c r="K28" s="41" t="str">
        <f aca="false">IF($A28="","",ROUND(SUMIFS(资金日记账!$H$4:$H$603,资金日记账!$E$4:$E$603,$A28,资金日记账!$V$4:$V$603,K$4),2))</f>
        <v/>
      </c>
      <c r="L28" s="41" t="str">
        <f aca="false">IF($A28="","",ROUND(SUMIFS(资金日记账!$H$4:$H$603,资金日记账!$E$4:$E$603,$A28,资金日记账!$V$4:$V$603,L$4),2))</f>
        <v/>
      </c>
      <c r="M28" s="41" t="str">
        <f aca="false">IF($A28="","",ROUND(SUMIFS(资金日记账!$H$4:$H$603,资金日记账!$E$4:$E$603,$A28,资金日记账!$V$4:$V$603,M$4),2))</f>
        <v/>
      </c>
      <c r="N28" s="41" t="str">
        <f aca="false">IF($A28="","",ROUND(SUMIFS(资金日记账!$H$4:$H$603,资金日记账!$E$4:$E$603,$A28,资金日记账!$V$4:$V$603,N$4),2))</f>
        <v/>
      </c>
      <c r="O28" s="41" t="str">
        <f aca="false">IF($A28="","",ROUND(SUMIFS(资金日记账!$H$4:$H$603,资金日记账!$E$4:$E$603,$A28,资金日记账!$V$4:$V$603,O$4),2))</f>
        <v/>
      </c>
      <c r="P28" s="41" t="str">
        <f aca="false">IF($A28="","",ROUND(SUMIFS(资金日记账!$H$4:$H$603,资金日记账!$E$4:$E$603,$A28,资金日记账!$V$4:$V$603,P$4),2))</f>
        <v/>
      </c>
      <c r="Q28" s="41" t="str">
        <f aca="false">IF($A28="","",ROUND(SUMIFS(资金日记账!$H$4:$H$603,资金日记账!$E$4:$E$603,$A28,资金日记账!$V$4:$V$603,Q$4),2))</f>
        <v/>
      </c>
      <c r="R28" s="41" t="str">
        <f aca="false">IF($A28="","",ROUND(SUMIFS(资金日记账!$H$4:$H$603,资金日记账!$E$4:$E$603,$A28,资金日记账!$V$4:$V$603,R$4),2))</f>
        <v/>
      </c>
      <c r="S28" s="41" t="str">
        <f aca="false">IF($A28="","",ROUND(SUMIFS(资金日记账!$H$4:$H$603,资金日记账!$E$4:$E$603,$A28,资金日记账!$V$4:$V$603,S$4),2))</f>
        <v/>
      </c>
      <c r="T28" s="41" t="str">
        <f aca="false">IF($A28="","",ROUND(SUMIFS(资金日记账!$H$4:$H$603,资金日记账!$E$4:$E$603,$A28,资金日记账!$V$4:$V$603,T$4),2))</f>
        <v/>
      </c>
      <c r="U28" s="41" t="str">
        <f aca="false">IF($A28="","",ROUND(SUMIFS(资金日记账!$H$4:$H$603,资金日记账!$E$4:$E$603,$A28,资金日记账!$V$4:$V$603,U$4),2))</f>
        <v/>
      </c>
      <c r="V28" s="41" t="str">
        <f aca="false">IF($A28="","",ROUND(SUMIFS(资金日记账!$H$4:$H$603,资金日记账!$E$4:$E$603,$A28,资金日记账!$V$4:$V$603,V$4),2))</f>
        <v/>
      </c>
      <c r="W28" s="41" t="str">
        <f aca="false">IF($A28="","",ROUND(SUMIFS(资金日记账!$H$4:$H$603,资金日记账!$E$4:$E$603,$A28,资金日记账!$V$4:$V$603,W$4),2))</f>
        <v/>
      </c>
      <c r="X28" s="41" t="str">
        <f aca="false">IF($A28="","",ROUND(SUMIFS(资金日记账!$H$4:$H$603,资金日记账!$E$4:$E$603,$A28,资金日记账!$V$4:$V$603,X$4),2))</f>
        <v/>
      </c>
      <c r="Y28" s="41" t="str">
        <f aca="false">IF($A28="","",ROUND(SUMIFS(资金日记账!$H$4:$H$603,资金日记账!$E$4:$E$603,$A28,资金日记账!$V$4:$V$603,Y$4),2))</f>
        <v/>
      </c>
      <c r="Z28" s="142" t="str">
        <f aca="false">IF($A28="","",ROUND(SUM($B28:$Y28),2))</f>
        <v/>
      </c>
    </row>
    <row r="29" customFormat="false" ht="13.5" hidden="false" customHeight="false" outlineLevel="0" collapsed="false">
      <c r="A29" s="33" t="str">
        <f aca="false">IFERROR(INDEX(_自动清单!$AJ$4:$AJ$63,25),"")</f>
        <v/>
      </c>
      <c r="B29" s="41" t="str">
        <f aca="false">IF($A29="","",ROUND(SUMIFS(资金日记账!$H$4:$H$603,资金日记账!$E$4:$E$603,$A29,资金日记账!$V$4:$V$603,B$4),2))</f>
        <v/>
      </c>
      <c r="C29" s="41" t="str">
        <f aca="false">IF($A29="","",ROUND(SUMIFS(资金日记账!$H$4:$H$603,资金日记账!$E$4:$E$603,$A29,资金日记账!$V$4:$V$603,C$4),2))</f>
        <v/>
      </c>
      <c r="D29" s="41" t="str">
        <f aca="false">IF($A29="","",ROUND(SUMIFS(资金日记账!$H$4:$H$603,资金日记账!$E$4:$E$603,$A29,资金日记账!$V$4:$V$603,D$4),2))</f>
        <v/>
      </c>
      <c r="E29" s="41" t="str">
        <f aca="false">IF($A29="","",ROUND(SUMIFS(资金日记账!$H$4:$H$603,资金日记账!$E$4:$E$603,$A29,资金日记账!$V$4:$V$603,E$4),2))</f>
        <v/>
      </c>
      <c r="F29" s="41" t="str">
        <f aca="false">IF($A29="","",ROUND(SUMIFS(资金日记账!$H$4:$H$603,资金日记账!$E$4:$E$603,$A29,资金日记账!$V$4:$V$603,F$4),2))</f>
        <v/>
      </c>
      <c r="G29" s="41" t="str">
        <f aca="false">IF($A29="","",ROUND(SUMIFS(资金日记账!$H$4:$H$603,资金日记账!$E$4:$E$603,$A29,资金日记账!$V$4:$V$603,G$4),2))</f>
        <v/>
      </c>
      <c r="H29" s="41" t="str">
        <f aca="false">IF($A29="","",ROUND(SUMIFS(资金日记账!$H$4:$H$603,资金日记账!$E$4:$E$603,$A29,资金日记账!$V$4:$V$603,H$4),2))</f>
        <v/>
      </c>
      <c r="I29" s="41" t="str">
        <f aca="false">IF($A29="","",ROUND(SUMIFS(资金日记账!$H$4:$H$603,资金日记账!$E$4:$E$603,$A29,资金日记账!$V$4:$V$603,I$4),2))</f>
        <v/>
      </c>
      <c r="J29" s="41" t="str">
        <f aca="false">IF($A29="","",ROUND(SUMIFS(资金日记账!$H$4:$H$603,资金日记账!$E$4:$E$603,$A29,资金日记账!$V$4:$V$603,J$4),2))</f>
        <v/>
      </c>
      <c r="K29" s="41" t="str">
        <f aca="false">IF($A29="","",ROUND(SUMIFS(资金日记账!$H$4:$H$603,资金日记账!$E$4:$E$603,$A29,资金日记账!$V$4:$V$603,K$4),2))</f>
        <v/>
      </c>
      <c r="L29" s="41" t="str">
        <f aca="false">IF($A29="","",ROUND(SUMIFS(资金日记账!$H$4:$H$603,资金日记账!$E$4:$E$603,$A29,资金日记账!$V$4:$V$603,L$4),2))</f>
        <v/>
      </c>
      <c r="M29" s="41" t="str">
        <f aca="false">IF($A29="","",ROUND(SUMIFS(资金日记账!$H$4:$H$603,资金日记账!$E$4:$E$603,$A29,资金日记账!$V$4:$V$603,M$4),2))</f>
        <v/>
      </c>
      <c r="N29" s="41" t="str">
        <f aca="false">IF($A29="","",ROUND(SUMIFS(资金日记账!$H$4:$H$603,资金日记账!$E$4:$E$603,$A29,资金日记账!$V$4:$V$603,N$4),2))</f>
        <v/>
      </c>
      <c r="O29" s="41" t="str">
        <f aca="false">IF($A29="","",ROUND(SUMIFS(资金日记账!$H$4:$H$603,资金日记账!$E$4:$E$603,$A29,资金日记账!$V$4:$V$603,O$4),2))</f>
        <v/>
      </c>
      <c r="P29" s="41" t="str">
        <f aca="false">IF($A29="","",ROUND(SUMIFS(资金日记账!$H$4:$H$603,资金日记账!$E$4:$E$603,$A29,资金日记账!$V$4:$V$603,P$4),2))</f>
        <v/>
      </c>
      <c r="Q29" s="41" t="str">
        <f aca="false">IF($A29="","",ROUND(SUMIFS(资金日记账!$H$4:$H$603,资金日记账!$E$4:$E$603,$A29,资金日记账!$V$4:$V$603,Q$4),2))</f>
        <v/>
      </c>
      <c r="R29" s="41" t="str">
        <f aca="false">IF($A29="","",ROUND(SUMIFS(资金日记账!$H$4:$H$603,资金日记账!$E$4:$E$603,$A29,资金日记账!$V$4:$V$603,R$4),2))</f>
        <v/>
      </c>
      <c r="S29" s="41" t="str">
        <f aca="false">IF($A29="","",ROUND(SUMIFS(资金日记账!$H$4:$H$603,资金日记账!$E$4:$E$603,$A29,资金日记账!$V$4:$V$603,S$4),2))</f>
        <v/>
      </c>
      <c r="T29" s="41" t="str">
        <f aca="false">IF($A29="","",ROUND(SUMIFS(资金日记账!$H$4:$H$603,资金日记账!$E$4:$E$603,$A29,资金日记账!$V$4:$V$603,T$4),2))</f>
        <v/>
      </c>
      <c r="U29" s="41" t="str">
        <f aca="false">IF($A29="","",ROUND(SUMIFS(资金日记账!$H$4:$H$603,资金日记账!$E$4:$E$603,$A29,资金日记账!$V$4:$V$603,U$4),2))</f>
        <v/>
      </c>
      <c r="V29" s="41" t="str">
        <f aca="false">IF($A29="","",ROUND(SUMIFS(资金日记账!$H$4:$H$603,资金日记账!$E$4:$E$603,$A29,资金日记账!$V$4:$V$603,V$4),2))</f>
        <v/>
      </c>
      <c r="W29" s="41" t="str">
        <f aca="false">IF($A29="","",ROUND(SUMIFS(资金日记账!$H$4:$H$603,资金日记账!$E$4:$E$603,$A29,资金日记账!$V$4:$V$603,W$4),2))</f>
        <v/>
      </c>
      <c r="X29" s="41" t="str">
        <f aca="false">IF($A29="","",ROUND(SUMIFS(资金日记账!$H$4:$H$603,资金日记账!$E$4:$E$603,$A29,资金日记账!$V$4:$V$603,X$4),2))</f>
        <v/>
      </c>
      <c r="Y29" s="41" t="str">
        <f aca="false">IF($A29="","",ROUND(SUMIFS(资金日记账!$H$4:$H$603,资金日记账!$E$4:$E$603,$A29,资金日记账!$V$4:$V$603,Y$4),2))</f>
        <v/>
      </c>
      <c r="Z29" s="142" t="str">
        <f aca="false">IF($A29="","",ROUND(SUM($B29:$Y29),2))</f>
        <v/>
      </c>
    </row>
    <row r="30" customFormat="false" ht="13.5" hidden="false" customHeight="false" outlineLevel="0" collapsed="false">
      <c r="A30" s="33" t="str">
        <f aca="false">IFERROR(INDEX(_自动清单!$AJ$4:$AJ$63,26),"")</f>
        <v/>
      </c>
      <c r="B30" s="41" t="str">
        <f aca="false">IF($A30="","",ROUND(SUMIFS(资金日记账!$H$4:$H$603,资金日记账!$E$4:$E$603,$A30,资金日记账!$V$4:$V$603,B$4),2))</f>
        <v/>
      </c>
      <c r="C30" s="41" t="str">
        <f aca="false">IF($A30="","",ROUND(SUMIFS(资金日记账!$H$4:$H$603,资金日记账!$E$4:$E$603,$A30,资金日记账!$V$4:$V$603,C$4),2))</f>
        <v/>
      </c>
      <c r="D30" s="41" t="str">
        <f aca="false">IF($A30="","",ROUND(SUMIFS(资金日记账!$H$4:$H$603,资金日记账!$E$4:$E$603,$A30,资金日记账!$V$4:$V$603,D$4),2))</f>
        <v/>
      </c>
      <c r="E30" s="41" t="str">
        <f aca="false">IF($A30="","",ROUND(SUMIFS(资金日记账!$H$4:$H$603,资金日记账!$E$4:$E$603,$A30,资金日记账!$V$4:$V$603,E$4),2))</f>
        <v/>
      </c>
      <c r="F30" s="41" t="str">
        <f aca="false">IF($A30="","",ROUND(SUMIFS(资金日记账!$H$4:$H$603,资金日记账!$E$4:$E$603,$A30,资金日记账!$V$4:$V$603,F$4),2))</f>
        <v/>
      </c>
      <c r="G30" s="41" t="str">
        <f aca="false">IF($A30="","",ROUND(SUMIFS(资金日记账!$H$4:$H$603,资金日记账!$E$4:$E$603,$A30,资金日记账!$V$4:$V$603,G$4),2))</f>
        <v/>
      </c>
      <c r="H30" s="41" t="str">
        <f aca="false">IF($A30="","",ROUND(SUMIFS(资金日记账!$H$4:$H$603,资金日记账!$E$4:$E$603,$A30,资金日记账!$V$4:$V$603,H$4),2))</f>
        <v/>
      </c>
      <c r="I30" s="41" t="str">
        <f aca="false">IF($A30="","",ROUND(SUMIFS(资金日记账!$H$4:$H$603,资金日记账!$E$4:$E$603,$A30,资金日记账!$V$4:$V$603,I$4),2))</f>
        <v/>
      </c>
      <c r="J30" s="41" t="str">
        <f aca="false">IF($A30="","",ROUND(SUMIFS(资金日记账!$H$4:$H$603,资金日记账!$E$4:$E$603,$A30,资金日记账!$V$4:$V$603,J$4),2))</f>
        <v/>
      </c>
      <c r="K30" s="41" t="str">
        <f aca="false">IF($A30="","",ROUND(SUMIFS(资金日记账!$H$4:$H$603,资金日记账!$E$4:$E$603,$A30,资金日记账!$V$4:$V$603,K$4),2))</f>
        <v/>
      </c>
      <c r="L30" s="41" t="str">
        <f aca="false">IF($A30="","",ROUND(SUMIFS(资金日记账!$H$4:$H$603,资金日记账!$E$4:$E$603,$A30,资金日记账!$V$4:$V$603,L$4),2))</f>
        <v/>
      </c>
      <c r="M30" s="41" t="str">
        <f aca="false">IF($A30="","",ROUND(SUMIFS(资金日记账!$H$4:$H$603,资金日记账!$E$4:$E$603,$A30,资金日记账!$V$4:$V$603,M$4),2))</f>
        <v/>
      </c>
      <c r="N30" s="41" t="str">
        <f aca="false">IF($A30="","",ROUND(SUMIFS(资金日记账!$H$4:$H$603,资金日记账!$E$4:$E$603,$A30,资金日记账!$V$4:$V$603,N$4),2))</f>
        <v/>
      </c>
      <c r="O30" s="41" t="str">
        <f aca="false">IF($A30="","",ROUND(SUMIFS(资金日记账!$H$4:$H$603,资金日记账!$E$4:$E$603,$A30,资金日记账!$V$4:$V$603,O$4),2))</f>
        <v/>
      </c>
      <c r="P30" s="41" t="str">
        <f aca="false">IF($A30="","",ROUND(SUMIFS(资金日记账!$H$4:$H$603,资金日记账!$E$4:$E$603,$A30,资金日记账!$V$4:$V$603,P$4),2))</f>
        <v/>
      </c>
      <c r="Q30" s="41" t="str">
        <f aca="false">IF($A30="","",ROUND(SUMIFS(资金日记账!$H$4:$H$603,资金日记账!$E$4:$E$603,$A30,资金日记账!$V$4:$V$603,Q$4),2))</f>
        <v/>
      </c>
      <c r="R30" s="41" t="str">
        <f aca="false">IF($A30="","",ROUND(SUMIFS(资金日记账!$H$4:$H$603,资金日记账!$E$4:$E$603,$A30,资金日记账!$V$4:$V$603,R$4),2))</f>
        <v/>
      </c>
      <c r="S30" s="41" t="str">
        <f aca="false">IF($A30="","",ROUND(SUMIFS(资金日记账!$H$4:$H$603,资金日记账!$E$4:$E$603,$A30,资金日记账!$V$4:$V$603,S$4),2))</f>
        <v/>
      </c>
      <c r="T30" s="41" t="str">
        <f aca="false">IF($A30="","",ROUND(SUMIFS(资金日记账!$H$4:$H$603,资金日记账!$E$4:$E$603,$A30,资金日记账!$V$4:$V$603,T$4),2))</f>
        <v/>
      </c>
      <c r="U30" s="41" t="str">
        <f aca="false">IF($A30="","",ROUND(SUMIFS(资金日记账!$H$4:$H$603,资金日记账!$E$4:$E$603,$A30,资金日记账!$V$4:$V$603,U$4),2))</f>
        <v/>
      </c>
      <c r="V30" s="41" t="str">
        <f aca="false">IF($A30="","",ROUND(SUMIFS(资金日记账!$H$4:$H$603,资金日记账!$E$4:$E$603,$A30,资金日记账!$V$4:$V$603,V$4),2))</f>
        <v/>
      </c>
      <c r="W30" s="41" t="str">
        <f aca="false">IF($A30="","",ROUND(SUMIFS(资金日记账!$H$4:$H$603,资金日记账!$E$4:$E$603,$A30,资金日记账!$V$4:$V$603,W$4),2))</f>
        <v/>
      </c>
      <c r="X30" s="41" t="str">
        <f aca="false">IF($A30="","",ROUND(SUMIFS(资金日记账!$H$4:$H$603,资金日记账!$E$4:$E$603,$A30,资金日记账!$V$4:$V$603,X$4),2))</f>
        <v/>
      </c>
      <c r="Y30" s="41" t="str">
        <f aca="false">IF($A30="","",ROUND(SUMIFS(资金日记账!$H$4:$H$603,资金日记账!$E$4:$E$603,$A30,资金日记账!$V$4:$V$603,Y$4),2))</f>
        <v/>
      </c>
      <c r="Z30" s="142" t="str">
        <f aca="false">IF($A30="","",ROUND(SUM($B30:$Y30),2))</f>
        <v/>
      </c>
    </row>
    <row r="31" customFormat="false" ht="13.5" hidden="false" customHeight="false" outlineLevel="0" collapsed="false">
      <c r="A31" s="33" t="str">
        <f aca="false">IFERROR(INDEX(_自动清单!$AJ$4:$AJ$63,27),"")</f>
        <v/>
      </c>
      <c r="B31" s="41" t="str">
        <f aca="false">IF($A31="","",ROUND(SUMIFS(资金日记账!$H$4:$H$603,资金日记账!$E$4:$E$603,$A31,资金日记账!$V$4:$V$603,B$4),2))</f>
        <v/>
      </c>
      <c r="C31" s="41" t="str">
        <f aca="false">IF($A31="","",ROUND(SUMIFS(资金日记账!$H$4:$H$603,资金日记账!$E$4:$E$603,$A31,资金日记账!$V$4:$V$603,C$4),2))</f>
        <v/>
      </c>
      <c r="D31" s="41" t="str">
        <f aca="false">IF($A31="","",ROUND(SUMIFS(资金日记账!$H$4:$H$603,资金日记账!$E$4:$E$603,$A31,资金日记账!$V$4:$V$603,D$4),2))</f>
        <v/>
      </c>
      <c r="E31" s="41" t="str">
        <f aca="false">IF($A31="","",ROUND(SUMIFS(资金日记账!$H$4:$H$603,资金日记账!$E$4:$E$603,$A31,资金日记账!$V$4:$V$603,E$4),2))</f>
        <v/>
      </c>
      <c r="F31" s="41" t="str">
        <f aca="false">IF($A31="","",ROUND(SUMIFS(资金日记账!$H$4:$H$603,资金日记账!$E$4:$E$603,$A31,资金日记账!$V$4:$V$603,F$4),2))</f>
        <v/>
      </c>
      <c r="G31" s="41" t="str">
        <f aca="false">IF($A31="","",ROUND(SUMIFS(资金日记账!$H$4:$H$603,资金日记账!$E$4:$E$603,$A31,资金日记账!$V$4:$V$603,G$4),2))</f>
        <v/>
      </c>
      <c r="H31" s="41" t="str">
        <f aca="false">IF($A31="","",ROUND(SUMIFS(资金日记账!$H$4:$H$603,资金日记账!$E$4:$E$603,$A31,资金日记账!$V$4:$V$603,H$4),2))</f>
        <v/>
      </c>
      <c r="I31" s="41" t="str">
        <f aca="false">IF($A31="","",ROUND(SUMIFS(资金日记账!$H$4:$H$603,资金日记账!$E$4:$E$603,$A31,资金日记账!$V$4:$V$603,I$4),2))</f>
        <v/>
      </c>
      <c r="J31" s="41" t="str">
        <f aca="false">IF($A31="","",ROUND(SUMIFS(资金日记账!$H$4:$H$603,资金日记账!$E$4:$E$603,$A31,资金日记账!$V$4:$V$603,J$4),2))</f>
        <v/>
      </c>
      <c r="K31" s="41" t="str">
        <f aca="false">IF($A31="","",ROUND(SUMIFS(资金日记账!$H$4:$H$603,资金日记账!$E$4:$E$603,$A31,资金日记账!$V$4:$V$603,K$4),2))</f>
        <v/>
      </c>
      <c r="L31" s="41" t="str">
        <f aca="false">IF($A31="","",ROUND(SUMIFS(资金日记账!$H$4:$H$603,资金日记账!$E$4:$E$603,$A31,资金日记账!$V$4:$V$603,L$4),2))</f>
        <v/>
      </c>
      <c r="M31" s="41" t="str">
        <f aca="false">IF($A31="","",ROUND(SUMIFS(资金日记账!$H$4:$H$603,资金日记账!$E$4:$E$603,$A31,资金日记账!$V$4:$V$603,M$4),2))</f>
        <v/>
      </c>
      <c r="N31" s="41" t="str">
        <f aca="false">IF($A31="","",ROUND(SUMIFS(资金日记账!$H$4:$H$603,资金日记账!$E$4:$E$603,$A31,资金日记账!$V$4:$V$603,N$4),2))</f>
        <v/>
      </c>
      <c r="O31" s="41" t="str">
        <f aca="false">IF($A31="","",ROUND(SUMIFS(资金日记账!$H$4:$H$603,资金日记账!$E$4:$E$603,$A31,资金日记账!$V$4:$V$603,O$4),2))</f>
        <v/>
      </c>
      <c r="P31" s="41" t="str">
        <f aca="false">IF($A31="","",ROUND(SUMIFS(资金日记账!$H$4:$H$603,资金日记账!$E$4:$E$603,$A31,资金日记账!$V$4:$V$603,P$4),2))</f>
        <v/>
      </c>
      <c r="Q31" s="41" t="str">
        <f aca="false">IF($A31="","",ROUND(SUMIFS(资金日记账!$H$4:$H$603,资金日记账!$E$4:$E$603,$A31,资金日记账!$V$4:$V$603,Q$4),2))</f>
        <v/>
      </c>
      <c r="R31" s="41" t="str">
        <f aca="false">IF($A31="","",ROUND(SUMIFS(资金日记账!$H$4:$H$603,资金日记账!$E$4:$E$603,$A31,资金日记账!$V$4:$V$603,R$4),2))</f>
        <v/>
      </c>
      <c r="S31" s="41" t="str">
        <f aca="false">IF($A31="","",ROUND(SUMIFS(资金日记账!$H$4:$H$603,资金日记账!$E$4:$E$603,$A31,资金日记账!$V$4:$V$603,S$4),2))</f>
        <v/>
      </c>
      <c r="T31" s="41" t="str">
        <f aca="false">IF($A31="","",ROUND(SUMIFS(资金日记账!$H$4:$H$603,资金日记账!$E$4:$E$603,$A31,资金日记账!$V$4:$V$603,T$4),2))</f>
        <v/>
      </c>
      <c r="U31" s="41" t="str">
        <f aca="false">IF($A31="","",ROUND(SUMIFS(资金日记账!$H$4:$H$603,资金日记账!$E$4:$E$603,$A31,资金日记账!$V$4:$V$603,U$4),2))</f>
        <v/>
      </c>
      <c r="V31" s="41" t="str">
        <f aca="false">IF($A31="","",ROUND(SUMIFS(资金日记账!$H$4:$H$603,资金日记账!$E$4:$E$603,$A31,资金日记账!$V$4:$V$603,V$4),2))</f>
        <v/>
      </c>
      <c r="W31" s="41" t="str">
        <f aca="false">IF($A31="","",ROUND(SUMIFS(资金日记账!$H$4:$H$603,资金日记账!$E$4:$E$603,$A31,资金日记账!$V$4:$V$603,W$4),2))</f>
        <v/>
      </c>
      <c r="X31" s="41" t="str">
        <f aca="false">IF($A31="","",ROUND(SUMIFS(资金日记账!$H$4:$H$603,资金日记账!$E$4:$E$603,$A31,资金日记账!$V$4:$V$603,X$4),2))</f>
        <v/>
      </c>
      <c r="Y31" s="41" t="str">
        <f aca="false">IF($A31="","",ROUND(SUMIFS(资金日记账!$H$4:$H$603,资金日记账!$E$4:$E$603,$A31,资金日记账!$V$4:$V$603,Y$4),2))</f>
        <v/>
      </c>
      <c r="Z31" s="142" t="str">
        <f aca="false">IF($A31="","",ROUND(SUM($B31:$Y31),2))</f>
        <v/>
      </c>
    </row>
    <row r="32" customFormat="false" ht="13.5" hidden="false" customHeight="false" outlineLevel="0" collapsed="false">
      <c r="A32" s="33" t="str">
        <f aca="false">IFERROR(INDEX(_自动清单!$AJ$4:$AJ$63,28),"")</f>
        <v/>
      </c>
      <c r="B32" s="41" t="str">
        <f aca="false">IF($A32="","",ROUND(SUMIFS(资金日记账!$H$4:$H$603,资金日记账!$E$4:$E$603,$A32,资金日记账!$V$4:$V$603,B$4),2))</f>
        <v/>
      </c>
      <c r="C32" s="41" t="str">
        <f aca="false">IF($A32="","",ROUND(SUMIFS(资金日记账!$H$4:$H$603,资金日记账!$E$4:$E$603,$A32,资金日记账!$V$4:$V$603,C$4),2))</f>
        <v/>
      </c>
      <c r="D32" s="41" t="str">
        <f aca="false">IF($A32="","",ROUND(SUMIFS(资金日记账!$H$4:$H$603,资金日记账!$E$4:$E$603,$A32,资金日记账!$V$4:$V$603,D$4),2))</f>
        <v/>
      </c>
      <c r="E32" s="41" t="str">
        <f aca="false">IF($A32="","",ROUND(SUMIFS(资金日记账!$H$4:$H$603,资金日记账!$E$4:$E$603,$A32,资金日记账!$V$4:$V$603,E$4),2))</f>
        <v/>
      </c>
      <c r="F32" s="41" t="str">
        <f aca="false">IF($A32="","",ROUND(SUMIFS(资金日记账!$H$4:$H$603,资金日记账!$E$4:$E$603,$A32,资金日记账!$V$4:$V$603,F$4),2))</f>
        <v/>
      </c>
      <c r="G32" s="41" t="str">
        <f aca="false">IF($A32="","",ROUND(SUMIFS(资金日记账!$H$4:$H$603,资金日记账!$E$4:$E$603,$A32,资金日记账!$V$4:$V$603,G$4),2))</f>
        <v/>
      </c>
      <c r="H32" s="41" t="str">
        <f aca="false">IF($A32="","",ROUND(SUMIFS(资金日记账!$H$4:$H$603,资金日记账!$E$4:$E$603,$A32,资金日记账!$V$4:$V$603,H$4),2))</f>
        <v/>
      </c>
      <c r="I32" s="41" t="str">
        <f aca="false">IF($A32="","",ROUND(SUMIFS(资金日记账!$H$4:$H$603,资金日记账!$E$4:$E$603,$A32,资金日记账!$V$4:$V$603,I$4),2))</f>
        <v/>
      </c>
      <c r="J32" s="41" t="str">
        <f aca="false">IF($A32="","",ROUND(SUMIFS(资金日记账!$H$4:$H$603,资金日记账!$E$4:$E$603,$A32,资金日记账!$V$4:$V$603,J$4),2))</f>
        <v/>
      </c>
      <c r="K32" s="41" t="str">
        <f aca="false">IF($A32="","",ROUND(SUMIFS(资金日记账!$H$4:$H$603,资金日记账!$E$4:$E$603,$A32,资金日记账!$V$4:$V$603,K$4),2))</f>
        <v/>
      </c>
      <c r="L32" s="41" t="str">
        <f aca="false">IF($A32="","",ROUND(SUMIFS(资金日记账!$H$4:$H$603,资金日记账!$E$4:$E$603,$A32,资金日记账!$V$4:$V$603,L$4),2))</f>
        <v/>
      </c>
      <c r="M32" s="41" t="str">
        <f aca="false">IF($A32="","",ROUND(SUMIFS(资金日记账!$H$4:$H$603,资金日记账!$E$4:$E$603,$A32,资金日记账!$V$4:$V$603,M$4),2))</f>
        <v/>
      </c>
      <c r="N32" s="41" t="str">
        <f aca="false">IF($A32="","",ROUND(SUMIFS(资金日记账!$H$4:$H$603,资金日记账!$E$4:$E$603,$A32,资金日记账!$V$4:$V$603,N$4),2))</f>
        <v/>
      </c>
      <c r="O32" s="41" t="str">
        <f aca="false">IF($A32="","",ROUND(SUMIFS(资金日记账!$H$4:$H$603,资金日记账!$E$4:$E$603,$A32,资金日记账!$V$4:$V$603,O$4),2))</f>
        <v/>
      </c>
      <c r="P32" s="41" t="str">
        <f aca="false">IF($A32="","",ROUND(SUMIFS(资金日记账!$H$4:$H$603,资金日记账!$E$4:$E$603,$A32,资金日记账!$V$4:$V$603,P$4),2))</f>
        <v/>
      </c>
      <c r="Q32" s="41" t="str">
        <f aca="false">IF($A32="","",ROUND(SUMIFS(资金日记账!$H$4:$H$603,资金日记账!$E$4:$E$603,$A32,资金日记账!$V$4:$V$603,Q$4),2))</f>
        <v/>
      </c>
      <c r="R32" s="41" t="str">
        <f aca="false">IF($A32="","",ROUND(SUMIFS(资金日记账!$H$4:$H$603,资金日记账!$E$4:$E$603,$A32,资金日记账!$V$4:$V$603,R$4),2))</f>
        <v/>
      </c>
      <c r="S32" s="41" t="str">
        <f aca="false">IF($A32="","",ROUND(SUMIFS(资金日记账!$H$4:$H$603,资金日记账!$E$4:$E$603,$A32,资金日记账!$V$4:$V$603,S$4),2))</f>
        <v/>
      </c>
      <c r="T32" s="41" t="str">
        <f aca="false">IF($A32="","",ROUND(SUMIFS(资金日记账!$H$4:$H$603,资金日记账!$E$4:$E$603,$A32,资金日记账!$V$4:$V$603,T$4),2))</f>
        <v/>
      </c>
      <c r="U32" s="41" t="str">
        <f aca="false">IF($A32="","",ROUND(SUMIFS(资金日记账!$H$4:$H$603,资金日记账!$E$4:$E$603,$A32,资金日记账!$V$4:$V$603,U$4),2))</f>
        <v/>
      </c>
      <c r="V32" s="41" t="str">
        <f aca="false">IF($A32="","",ROUND(SUMIFS(资金日记账!$H$4:$H$603,资金日记账!$E$4:$E$603,$A32,资金日记账!$V$4:$V$603,V$4),2))</f>
        <v/>
      </c>
      <c r="W32" s="41" t="str">
        <f aca="false">IF($A32="","",ROUND(SUMIFS(资金日记账!$H$4:$H$603,资金日记账!$E$4:$E$603,$A32,资金日记账!$V$4:$V$603,W$4),2))</f>
        <v/>
      </c>
      <c r="X32" s="41" t="str">
        <f aca="false">IF($A32="","",ROUND(SUMIFS(资金日记账!$H$4:$H$603,资金日记账!$E$4:$E$603,$A32,资金日记账!$V$4:$V$603,X$4),2))</f>
        <v/>
      </c>
      <c r="Y32" s="41" t="str">
        <f aca="false">IF($A32="","",ROUND(SUMIFS(资金日记账!$H$4:$H$603,资金日记账!$E$4:$E$603,$A32,资金日记账!$V$4:$V$603,Y$4),2))</f>
        <v/>
      </c>
      <c r="Z32" s="142" t="str">
        <f aca="false">IF($A32="","",ROUND(SUM($B32:$Y32),2))</f>
        <v/>
      </c>
    </row>
    <row r="33" customFormat="false" ht="13.5" hidden="false" customHeight="false" outlineLevel="0" collapsed="false">
      <c r="A33" s="33" t="str">
        <f aca="false">IFERROR(INDEX(_自动清单!$AJ$4:$AJ$63,29),"")</f>
        <v/>
      </c>
      <c r="B33" s="41" t="str">
        <f aca="false">IF($A33="","",ROUND(SUMIFS(资金日记账!$H$4:$H$603,资金日记账!$E$4:$E$603,$A33,资金日记账!$V$4:$V$603,B$4),2))</f>
        <v/>
      </c>
      <c r="C33" s="41" t="str">
        <f aca="false">IF($A33="","",ROUND(SUMIFS(资金日记账!$H$4:$H$603,资金日记账!$E$4:$E$603,$A33,资金日记账!$V$4:$V$603,C$4),2))</f>
        <v/>
      </c>
      <c r="D33" s="41" t="str">
        <f aca="false">IF($A33="","",ROUND(SUMIFS(资金日记账!$H$4:$H$603,资金日记账!$E$4:$E$603,$A33,资金日记账!$V$4:$V$603,D$4),2))</f>
        <v/>
      </c>
      <c r="E33" s="41" t="str">
        <f aca="false">IF($A33="","",ROUND(SUMIFS(资金日记账!$H$4:$H$603,资金日记账!$E$4:$E$603,$A33,资金日记账!$V$4:$V$603,E$4),2))</f>
        <v/>
      </c>
      <c r="F33" s="41" t="str">
        <f aca="false">IF($A33="","",ROUND(SUMIFS(资金日记账!$H$4:$H$603,资金日记账!$E$4:$E$603,$A33,资金日记账!$V$4:$V$603,F$4),2))</f>
        <v/>
      </c>
      <c r="G33" s="41" t="str">
        <f aca="false">IF($A33="","",ROUND(SUMIFS(资金日记账!$H$4:$H$603,资金日记账!$E$4:$E$603,$A33,资金日记账!$V$4:$V$603,G$4),2))</f>
        <v/>
      </c>
      <c r="H33" s="41" t="str">
        <f aca="false">IF($A33="","",ROUND(SUMIFS(资金日记账!$H$4:$H$603,资金日记账!$E$4:$E$603,$A33,资金日记账!$V$4:$V$603,H$4),2))</f>
        <v/>
      </c>
      <c r="I33" s="41" t="str">
        <f aca="false">IF($A33="","",ROUND(SUMIFS(资金日记账!$H$4:$H$603,资金日记账!$E$4:$E$603,$A33,资金日记账!$V$4:$V$603,I$4),2))</f>
        <v/>
      </c>
      <c r="J33" s="41" t="str">
        <f aca="false">IF($A33="","",ROUND(SUMIFS(资金日记账!$H$4:$H$603,资金日记账!$E$4:$E$603,$A33,资金日记账!$V$4:$V$603,J$4),2))</f>
        <v/>
      </c>
      <c r="K33" s="41" t="str">
        <f aca="false">IF($A33="","",ROUND(SUMIFS(资金日记账!$H$4:$H$603,资金日记账!$E$4:$E$603,$A33,资金日记账!$V$4:$V$603,K$4),2))</f>
        <v/>
      </c>
      <c r="L33" s="41" t="str">
        <f aca="false">IF($A33="","",ROUND(SUMIFS(资金日记账!$H$4:$H$603,资金日记账!$E$4:$E$603,$A33,资金日记账!$V$4:$V$603,L$4),2))</f>
        <v/>
      </c>
      <c r="M33" s="41" t="str">
        <f aca="false">IF($A33="","",ROUND(SUMIFS(资金日记账!$H$4:$H$603,资金日记账!$E$4:$E$603,$A33,资金日记账!$V$4:$V$603,M$4),2))</f>
        <v/>
      </c>
      <c r="N33" s="41" t="str">
        <f aca="false">IF($A33="","",ROUND(SUMIFS(资金日记账!$H$4:$H$603,资金日记账!$E$4:$E$603,$A33,资金日记账!$V$4:$V$603,N$4),2))</f>
        <v/>
      </c>
      <c r="O33" s="41" t="str">
        <f aca="false">IF($A33="","",ROUND(SUMIFS(资金日记账!$H$4:$H$603,资金日记账!$E$4:$E$603,$A33,资金日记账!$V$4:$V$603,O$4),2))</f>
        <v/>
      </c>
      <c r="P33" s="41" t="str">
        <f aca="false">IF($A33="","",ROUND(SUMIFS(资金日记账!$H$4:$H$603,资金日记账!$E$4:$E$603,$A33,资金日记账!$V$4:$V$603,P$4),2))</f>
        <v/>
      </c>
      <c r="Q33" s="41" t="str">
        <f aca="false">IF($A33="","",ROUND(SUMIFS(资金日记账!$H$4:$H$603,资金日记账!$E$4:$E$603,$A33,资金日记账!$V$4:$V$603,Q$4),2))</f>
        <v/>
      </c>
      <c r="R33" s="41" t="str">
        <f aca="false">IF($A33="","",ROUND(SUMIFS(资金日记账!$H$4:$H$603,资金日记账!$E$4:$E$603,$A33,资金日记账!$V$4:$V$603,R$4),2))</f>
        <v/>
      </c>
      <c r="S33" s="41" t="str">
        <f aca="false">IF($A33="","",ROUND(SUMIFS(资金日记账!$H$4:$H$603,资金日记账!$E$4:$E$603,$A33,资金日记账!$V$4:$V$603,S$4),2))</f>
        <v/>
      </c>
      <c r="T33" s="41" t="str">
        <f aca="false">IF($A33="","",ROUND(SUMIFS(资金日记账!$H$4:$H$603,资金日记账!$E$4:$E$603,$A33,资金日记账!$V$4:$V$603,T$4),2))</f>
        <v/>
      </c>
      <c r="U33" s="41" t="str">
        <f aca="false">IF($A33="","",ROUND(SUMIFS(资金日记账!$H$4:$H$603,资金日记账!$E$4:$E$603,$A33,资金日记账!$V$4:$V$603,U$4),2))</f>
        <v/>
      </c>
      <c r="V33" s="41" t="str">
        <f aca="false">IF($A33="","",ROUND(SUMIFS(资金日记账!$H$4:$H$603,资金日记账!$E$4:$E$603,$A33,资金日记账!$V$4:$V$603,V$4),2))</f>
        <v/>
      </c>
      <c r="W33" s="41" t="str">
        <f aca="false">IF($A33="","",ROUND(SUMIFS(资金日记账!$H$4:$H$603,资金日记账!$E$4:$E$603,$A33,资金日记账!$V$4:$V$603,W$4),2))</f>
        <v/>
      </c>
      <c r="X33" s="41" t="str">
        <f aca="false">IF($A33="","",ROUND(SUMIFS(资金日记账!$H$4:$H$603,资金日记账!$E$4:$E$603,$A33,资金日记账!$V$4:$V$603,X$4),2))</f>
        <v/>
      </c>
      <c r="Y33" s="41" t="str">
        <f aca="false">IF($A33="","",ROUND(SUMIFS(资金日记账!$H$4:$H$603,资金日记账!$E$4:$E$603,$A33,资金日记账!$V$4:$V$603,Y$4),2))</f>
        <v/>
      </c>
      <c r="Z33" s="142" t="str">
        <f aca="false">IF($A33="","",ROUND(SUM($B33:$Y33),2))</f>
        <v/>
      </c>
    </row>
    <row r="34" customFormat="false" ht="13.5" hidden="false" customHeight="false" outlineLevel="0" collapsed="false">
      <c r="A34" s="33" t="str">
        <f aca="false">IFERROR(INDEX(_自动清单!$AJ$4:$AJ$63,30),"")</f>
        <v/>
      </c>
      <c r="B34" s="41" t="str">
        <f aca="false">IF($A34="","",ROUND(SUMIFS(资金日记账!$H$4:$H$603,资金日记账!$E$4:$E$603,$A34,资金日记账!$V$4:$V$603,B$4),2))</f>
        <v/>
      </c>
      <c r="C34" s="41" t="str">
        <f aca="false">IF($A34="","",ROUND(SUMIFS(资金日记账!$H$4:$H$603,资金日记账!$E$4:$E$603,$A34,资金日记账!$V$4:$V$603,C$4),2))</f>
        <v/>
      </c>
      <c r="D34" s="41" t="str">
        <f aca="false">IF($A34="","",ROUND(SUMIFS(资金日记账!$H$4:$H$603,资金日记账!$E$4:$E$603,$A34,资金日记账!$V$4:$V$603,D$4),2))</f>
        <v/>
      </c>
      <c r="E34" s="41" t="str">
        <f aca="false">IF($A34="","",ROUND(SUMIFS(资金日记账!$H$4:$H$603,资金日记账!$E$4:$E$603,$A34,资金日记账!$V$4:$V$603,E$4),2))</f>
        <v/>
      </c>
      <c r="F34" s="41" t="str">
        <f aca="false">IF($A34="","",ROUND(SUMIFS(资金日记账!$H$4:$H$603,资金日记账!$E$4:$E$603,$A34,资金日记账!$V$4:$V$603,F$4),2))</f>
        <v/>
      </c>
      <c r="G34" s="41" t="str">
        <f aca="false">IF($A34="","",ROUND(SUMIFS(资金日记账!$H$4:$H$603,资金日记账!$E$4:$E$603,$A34,资金日记账!$V$4:$V$603,G$4),2))</f>
        <v/>
      </c>
      <c r="H34" s="41" t="str">
        <f aca="false">IF($A34="","",ROUND(SUMIFS(资金日记账!$H$4:$H$603,资金日记账!$E$4:$E$603,$A34,资金日记账!$V$4:$V$603,H$4),2))</f>
        <v/>
      </c>
      <c r="I34" s="41" t="str">
        <f aca="false">IF($A34="","",ROUND(SUMIFS(资金日记账!$H$4:$H$603,资金日记账!$E$4:$E$603,$A34,资金日记账!$V$4:$V$603,I$4),2))</f>
        <v/>
      </c>
      <c r="J34" s="41" t="str">
        <f aca="false">IF($A34="","",ROUND(SUMIFS(资金日记账!$H$4:$H$603,资金日记账!$E$4:$E$603,$A34,资金日记账!$V$4:$V$603,J$4),2))</f>
        <v/>
      </c>
      <c r="K34" s="41" t="str">
        <f aca="false">IF($A34="","",ROUND(SUMIFS(资金日记账!$H$4:$H$603,资金日记账!$E$4:$E$603,$A34,资金日记账!$V$4:$V$603,K$4),2))</f>
        <v/>
      </c>
      <c r="L34" s="41" t="str">
        <f aca="false">IF($A34="","",ROUND(SUMIFS(资金日记账!$H$4:$H$603,资金日记账!$E$4:$E$603,$A34,资金日记账!$V$4:$V$603,L$4),2))</f>
        <v/>
      </c>
      <c r="M34" s="41" t="str">
        <f aca="false">IF($A34="","",ROUND(SUMIFS(资金日记账!$H$4:$H$603,资金日记账!$E$4:$E$603,$A34,资金日记账!$V$4:$V$603,M$4),2))</f>
        <v/>
      </c>
      <c r="N34" s="41" t="str">
        <f aca="false">IF($A34="","",ROUND(SUMIFS(资金日记账!$H$4:$H$603,资金日记账!$E$4:$E$603,$A34,资金日记账!$V$4:$V$603,N$4),2))</f>
        <v/>
      </c>
      <c r="O34" s="41" t="str">
        <f aca="false">IF($A34="","",ROUND(SUMIFS(资金日记账!$H$4:$H$603,资金日记账!$E$4:$E$603,$A34,资金日记账!$V$4:$V$603,O$4),2))</f>
        <v/>
      </c>
      <c r="P34" s="41" t="str">
        <f aca="false">IF($A34="","",ROUND(SUMIFS(资金日记账!$H$4:$H$603,资金日记账!$E$4:$E$603,$A34,资金日记账!$V$4:$V$603,P$4),2))</f>
        <v/>
      </c>
      <c r="Q34" s="41" t="str">
        <f aca="false">IF($A34="","",ROUND(SUMIFS(资金日记账!$H$4:$H$603,资金日记账!$E$4:$E$603,$A34,资金日记账!$V$4:$V$603,Q$4),2))</f>
        <v/>
      </c>
      <c r="R34" s="41" t="str">
        <f aca="false">IF($A34="","",ROUND(SUMIFS(资金日记账!$H$4:$H$603,资金日记账!$E$4:$E$603,$A34,资金日记账!$V$4:$V$603,R$4),2))</f>
        <v/>
      </c>
      <c r="S34" s="41" t="str">
        <f aca="false">IF($A34="","",ROUND(SUMIFS(资金日记账!$H$4:$H$603,资金日记账!$E$4:$E$603,$A34,资金日记账!$V$4:$V$603,S$4),2))</f>
        <v/>
      </c>
      <c r="T34" s="41" t="str">
        <f aca="false">IF($A34="","",ROUND(SUMIFS(资金日记账!$H$4:$H$603,资金日记账!$E$4:$E$603,$A34,资金日记账!$V$4:$V$603,T$4),2))</f>
        <v/>
      </c>
      <c r="U34" s="41" t="str">
        <f aca="false">IF($A34="","",ROUND(SUMIFS(资金日记账!$H$4:$H$603,资金日记账!$E$4:$E$603,$A34,资金日记账!$V$4:$V$603,U$4),2))</f>
        <v/>
      </c>
      <c r="V34" s="41" t="str">
        <f aca="false">IF($A34="","",ROUND(SUMIFS(资金日记账!$H$4:$H$603,资金日记账!$E$4:$E$603,$A34,资金日记账!$V$4:$V$603,V$4),2))</f>
        <v/>
      </c>
      <c r="W34" s="41" t="str">
        <f aca="false">IF($A34="","",ROUND(SUMIFS(资金日记账!$H$4:$H$603,资金日记账!$E$4:$E$603,$A34,资金日记账!$V$4:$V$603,W$4),2))</f>
        <v/>
      </c>
      <c r="X34" s="41" t="str">
        <f aca="false">IF($A34="","",ROUND(SUMIFS(资金日记账!$H$4:$H$603,资金日记账!$E$4:$E$603,$A34,资金日记账!$V$4:$V$603,X$4),2))</f>
        <v/>
      </c>
      <c r="Y34" s="41" t="str">
        <f aca="false">IF($A34="","",ROUND(SUMIFS(资金日记账!$H$4:$H$603,资金日记账!$E$4:$E$603,$A34,资金日记账!$V$4:$V$603,Y$4),2))</f>
        <v/>
      </c>
      <c r="Z34" s="142" t="str">
        <f aca="false">IF($A34="","",ROUND(SUM($B34:$Y34),2))</f>
        <v/>
      </c>
    </row>
    <row r="35" customFormat="false" ht="13.5" hidden="false" customHeight="false" outlineLevel="0" collapsed="false">
      <c r="A35" s="33" t="str">
        <f aca="false">IFERROR(INDEX(_自动清单!$AJ$4:$AJ$63,31),"")</f>
        <v/>
      </c>
      <c r="B35" s="41" t="str">
        <f aca="false">IF($A35="","",ROUND(SUMIFS(资金日记账!$H$4:$H$603,资金日记账!$E$4:$E$603,$A35,资金日记账!$V$4:$V$603,B$4),2))</f>
        <v/>
      </c>
      <c r="C35" s="41" t="str">
        <f aca="false">IF($A35="","",ROUND(SUMIFS(资金日记账!$H$4:$H$603,资金日记账!$E$4:$E$603,$A35,资金日记账!$V$4:$V$603,C$4),2))</f>
        <v/>
      </c>
      <c r="D35" s="41" t="str">
        <f aca="false">IF($A35="","",ROUND(SUMIFS(资金日记账!$H$4:$H$603,资金日记账!$E$4:$E$603,$A35,资金日记账!$V$4:$V$603,D$4),2))</f>
        <v/>
      </c>
      <c r="E35" s="41" t="str">
        <f aca="false">IF($A35="","",ROUND(SUMIFS(资金日记账!$H$4:$H$603,资金日记账!$E$4:$E$603,$A35,资金日记账!$V$4:$V$603,E$4),2))</f>
        <v/>
      </c>
      <c r="F35" s="41" t="str">
        <f aca="false">IF($A35="","",ROUND(SUMIFS(资金日记账!$H$4:$H$603,资金日记账!$E$4:$E$603,$A35,资金日记账!$V$4:$V$603,F$4),2))</f>
        <v/>
      </c>
      <c r="G35" s="41" t="str">
        <f aca="false">IF($A35="","",ROUND(SUMIFS(资金日记账!$H$4:$H$603,资金日记账!$E$4:$E$603,$A35,资金日记账!$V$4:$V$603,G$4),2))</f>
        <v/>
      </c>
      <c r="H35" s="41" t="str">
        <f aca="false">IF($A35="","",ROUND(SUMIFS(资金日记账!$H$4:$H$603,资金日记账!$E$4:$E$603,$A35,资金日记账!$V$4:$V$603,H$4),2))</f>
        <v/>
      </c>
      <c r="I35" s="41" t="str">
        <f aca="false">IF($A35="","",ROUND(SUMIFS(资金日记账!$H$4:$H$603,资金日记账!$E$4:$E$603,$A35,资金日记账!$V$4:$V$603,I$4),2))</f>
        <v/>
      </c>
      <c r="J35" s="41" t="str">
        <f aca="false">IF($A35="","",ROUND(SUMIFS(资金日记账!$H$4:$H$603,资金日记账!$E$4:$E$603,$A35,资金日记账!$V$4:$V$603,J$4),2))</f>
        <v/>
      </c>
      <c r="K35" s="41" t="str">
        <f aca="false">IF($A35="","",ROUND(SUMIFS(资金日记账!$H$4:$H$603,资金日记账!$E$4:$E$603,$A35,资金日记账!$V$4:$V$603,K$4),2))</f>
        <v/>
      </c>
      <c r="L35" s="41" t="str">
        <f aca="false">IF($A35="","",ROUND(SUMIFS(资金日记账!$H$4:$H$603,资金日记账!$E$4:$E$603,$A35,资金日记账!$V$4:$V$603,L$4),2))</f>
        <v/>
      </c>
      <c r="M35" s="41" t="str">
        <f aca="false">IF($A35="","",ROUND(SUMIFS(资金日记账!$H$4:$H$603,资金日记账!$E$4:$E$603,$A35,资金日记账!$V$4:$V$603,M$4),2))</f>
        <v/>
      </c>
      <c r="N35" s="41" t="str">
        <f aca="false">IF($A35="","",ROUND(SUMIFS(资金日记账!$H$4:$H$603,资金日记账!$E$4:$E$603,$A35,资金日记账!$V$4:$V$603,N$4),2))</f>
        <v/>
      </c>
      <c r="O35" s="41" t="str">
        <f aca="false">IF($A35="","",ROUND(SUMIFS(资金日记账!$H$4:$H$603,资金日记账!$E$4:$E$603,$A35,资金日记账!$V$4:$V$603,O$4),2))</f>
        <v/>
      </c>
      <c r="P35" s="41" t="str">
        <f aca="false">IF($A35="","",ROUND(SUMIFS(资金日记账!$H$4:$H$603,资金日记账!$E$4:$E$603,$A35,资金日记账!$V$4:$V$603,P$4),2))</f>
        <v/>
      </c>
      <c r="Q35" s="41" t="str">
        <f aca="false">IF($A35="","",ROUND(SUMIFS(资金日记账!$H$4:$H$603,资金日记账!$E$4:$E$603,$A35,资金日记账!$V$4:$V$603,Q$4),2))</f>
        <v/>
      </c>
      <c r="R35" s="41" t="str">
        <f aca="false">IF($A35="","",ROUND(SUMIFS(资金日记账!$H$4:$H$603,资金日记账!$E$4:$E$603,$A35,资金日记账!$V$4:$V$603,R$4),2))</f>
        <v/>
      </c>
      <c r="S35" s="41" t="str">
        <f aca="false">IF($A35="","",ROUND(SUMIFS(资金日记账!$H$4:$H$603,资金日记账!$E$4:$E$603,$A35,资金日记账!$V$4:$V$603,S$4),2))</f>
        <v/>
      </c>
      <c r="T35" s="41" t="str">
        <f aca="false">IF($A35="","",ROUND(SUMIFS(资金日记账!$H$4:$H$603,资金日记账!$E$4:$E$603,$A35,资金日记账!$V$4:$V$603,T$4),2))</f>
        <v/>
      </c>
      <c r="U35" s="41" t="str">
        <f aca="false">IF($A35="","",ROUND(SUMIFS(资金日记账!$H$4:$H$603,资金日记账!$E$4:$E$603,$A35,资金日记账!$V$4:$V$603,U$4),2))</f>
        <v/>
      </c>
      <c r="V35" s="41" t="str">
        <f aca="false">IF($A35="","",ROUND(SUMIFS(资金日记账!$H$4:$H$603,资金日记账!$E$4:$E$603,$A35,资金日记账!$V$4:$V$603,V$4),2))</f>
        <v/>
      </c>
      <c r="W35" s="41" t="str">
        <f aca="false">IF($A35="","",ROUND(SUMIFS(资金日记账!$H$4:$H$603,资金日记账!$E$4:$E$603,$A35,资金日记账!$V$4:$V$603,W$4),2))</f>
        <v/>
      </c>
      <c r="X35" s="41" t="str">
        <f aca="false">IF($A35="","",ROUND(SUMIFS(资金日记账!$H$4:$H$603,资金日记账!$E$4:$E$603,$A35,资金日记账!$V$4:$V$603,X$4),2))</f>
        <v/>
      </c>
      <c r="Y35" s="41" t="str">
        <f aca="false">IF($A35="","",ROUND(SUMIFS(资金日记账!$H$4:$H$603,资金日记账!$E$4:$E$603,$A35,资金日记账!$V$4:$V$603,Y$4),2))</f>
        <v/>
      </c>
      <c r="Z35" s="142" t="str">
        <f aca="false">IF($A35="","",ROUND(SUM($B35:$Y35),2))</f>
        <v/>
      </c>
    </row>
    <row r="36" customFormat="false" ht="13.5" hidden="false" customHeight="false" outlineLevel="0" collapsed="false">
      <c r="A36" s="33" t="str">
        <f aca="false">IFERROR(INDEX(_自动清单!$AJ$4:$AJ$63,32),"")</f>
        <v/>
      </c>
      <c r="B36" s="41" t="str">
        <f aca="false">IF($A36="","",ROUND(SUMIFS(资金日记账!$H$4:$H$603,资金日记账!$E$4:$E$603,$A36,资金日记账!$V$4:$V$603,B$4),2))</f>
        <v/>
      </c>
      <c r="C36" s="41" t="str">
        <f aca="false">IF($A36="","",ROUND(SUMIFS(资金日记账!$H$4:$H$603,资金日记账!$E$4:$E$603,$A36,资金日记账!$V$4:$V$603,C$4),2))</f>
        <v/>
      </c>
      <c r="D36" s="41" t="str">
        <f aca="false">IF($A36="","",ROUND(SUMIFS(资金日记账!$H$4:$H$603,资金日记账!$E$4:$E$603,$A36,资金日记账!$V$4:$V$603,D$4),2))</f>
        <v/>
      </c>
      <c r="E36" s="41" t="str">
        <f aca="false">IF($A36="","",ROUND(SUMIFS(资金日记账!$H$4:$H$603,资金日记账!$E$4:$E$603,$A36,资金日记账!$V$4:$V$603,E$4),2))</f>
        <v/>
      </c>
      <c r="F36" s="41" t="str">
        <f aca="false">IF($A36="","",ROUND(SUMIFS(资金日记账!$H$4:$H$603,资金日记账!$E$4:$E$603,$A36,资金日记账!$V$4:$V$603,F$4),2))</f>
        <v/>
      </c>
      <c r="G36" s="41" t="str">
        <f aca="false">IF($A36="","",ROUND(SUMIFS(资金日记账!$H$4:$H$603,资金日记账!$E$4:$E$603,$A36,资金日记账!$V$4:$V$603,G$4),2))</f>
        <v/>
      </c>
      <c r="H36" s="41" t="str">
        <f aca="false">IF($A36="","",ROUND(SUMIFS(资金日记账!$H$4:$H$603,资金日记账!$E$4:$E$603,$A36,资金日记账!$V$4:$V$603,H$4),2))</f>
        <v/>
      </c>
      <c r="I36" s="41" t="str">
        <f aca="false">IF($A36="","",ROUND(SUMIFS(资金日记账!$H$4:$H$603,资金日记账!$E$4:$E$603,$A36,资金日记账!$V$4:$V$603,I$4),2))</f>
        <v/>
      </c>
      <c r="J36" s="41" t="str">
        <f aca="false">IF($A36="","",ROUND(SUMIFS(资金日记账!$H$4:$H$603,资金日记账!$E$4:$E$603,$A36,资金日记账!$V$4:$V$603,J$4),2))</f>
        <v/>
      </c>
      <c r="K36" s="41" t="str">
        <f aca="false">IF($A36="","",ROUND(SUMIFS(资金日记账!$H$4:$H$603,资金日记账!$E$4:$E$603,$A36,资金日记账!$V$4:$V$603,K$4),2))</f>
        <v/>
      </c>
      <c r="L36" s="41" t="str">
        <f aca="false">IF($A36="","",ROUND(SUMIFS(资金日记账!$H$4:$H$603,资金日记账!$E$4:$E$603,$A36,资金日记账!$V$4:$V$603,L$4),2))</f>
        <v/>
      </c>
      <c r="M36" s="41" t="str">
        <f aca="false">IF($A36="","",ROUND(SUMIFS(资金日记账!$H$4:$H$603,资金日记账!$E$4:$E$603,$A36,资金日记账!$V$4:$V$603,M$4),2))</f>
        <v/>
      </c>
      <c r="N36" s="41" t="str">
        <f aca="false">IF($A36="","",ROUND(SUMIFS(资金日记账!$H$4:$H$603,资金日记账!$E$4:$E$603,$A36,资金日记账!$V$4:$V$603,N$4),2))</f>
        <v/>
      </c>
      <c r="O36" s="41" t="str">
        <f aca="false">IF($A36="","",ROUND(SUMIFS(资金日记账!$H$4:$H$603,资金日记账!$E$4:$E$603,$A36,资金日记账!$V$4:$V$603,O$4),2))</f>
        <v/>
      </c>
      <c r="P36" s="41" t="str">
        <f aca="false">IF($A36="","",ROUND(SUMIFS(资金日记账!$H$4:$H$603,资金日记账!$E$4:$E$603,$A36,资金日记账!$V$4:$V$603,P$4),2))</f>
        <v/>
      </c>
      <c r="Q36" s="41" t="str">
        <f aca="false">IF($A36="","",ROUND(SUMIFS(资金日记账!$H$4:$H$603,资金日记账!$E$4:$E$603,$A36,资金日记账!$V$4:$V$603,Q$4),2))</f>
        <v/>
      </c>
      <c r="R36" s="41" t="str">
        <f aca="false">IF($A36="","",ROUND(SUMIFS(资金日记账!$H$4:$H$603,资金日记账!$E$4:$E$603,$A36,资金日记账!$V$4:$V$603,R$4),2))</f>
        <v/>
      </c>
      <c r="S36" s="41" t="str">
        <f aca="false">IF($A36="","",ROUND(SUMIFS(资金日记账!$H$4:$H$603,资金日记账!$E$4:$E$603,$A36,资金日记账!$V$4:$V$603,S$4),2))</f>
        <v/>
      </c>
      <c r="T36" s="41" t="str">
        <f aca="false">IF($A36="","",ROUND(SUMIFS(资金日记账!$H$4:$H$603,资金日记账!$E$4:$E$603,$A36,资金日记账!$V$4:$V$603,T$4),2))</f>
        <v/>
      </c>
      <c r="U36" s="41" t="str">
        <f aca="false">IF($A36="","",ROUND(SUMIFS(资金日记账!$H$4:$H$603,资金日记账!$E$4:$E$603,$A36,资金日记账!$V$4:$V$603,U$4),2))</f>
        <v/>
      </c>
      <c r="V36" s="41" t="str">
        <f aca="false">IF($A36="","",ROUND(SUMIFS(资金日记账!$H$4:$H$603,资金日记账!$E$4:$E$603,$A36,资金日记账!$V$4:$V$603,V$4),2))</f>
        <v/>
      </c>
      <c r="W36" s="41" t="str">
        <f aca="false">IF($A36="","",ROUND(SUMIFS(资金日记账!$H$4:$H$603,资金日记账!$E$4:$E$603,$A36,资金日记账!$V$4:$V$603,W$4),2))</f>
        <v/>
      </c>
      <c r="X36" s="41" t="str">
        <f aca="false">IF($A36="","",ROUND(SUMIFS(资金日记账!$H$4:$H$603,资金日记账!$E$4:$E$603,$A36,资金日记账!$V$4:$V$603,X$4),2))</f>
        <v/>
      </c>
      <c r="Y36" s="41" t="str">
        <f aca="false">IF($A36="","",ROUND(SUMIFS(资金日记账!$H$4:$H$603,资金日记账!$E$4:$E$603,$A36,资金日记账!$V$4:$V$603,Y$4),2))</f>
        <v/>
      </c>
      <c r="Z36" s="142" t="str">
        <f aca="false">IF($A36="","",ROUND(SUM($B36:$Y36),2))</f>
        <v/>
      </c>
    </row>
    <row r="37" customFormat="false" ht="13.5" hidden="false" customHeight="false" outlineLevel="0" collapsed="false">
      <c r="A37" s="33" t="str">
        <f aca="false">IFERROR(INDEX(_自动清单!$AJ$4:$AJ$63,33),"")</f>
        <v/>
      </c>
      <c r="B37" s="41" t="str">
        <f aca="false">IF($A37="","",ROUND(SUMIFS(资金日记账!$H$4:$H$603,资金日记账!$E$4:$E$603,$A37,资金日记账!$V$4:$V$603,B$4),2))</f>
        <v/>
      </c>
      <c r="C37" s="41" t="str">
        <f aca="false">IF($A37="","",ROUND(SUMIFS(资金日记账!$H$4:$H$603,资金日记账!$E$4:$E$603,$A37,资金日记账!$V$4:$V$603,C$4),2))</f>
        <v/>
      </c>
      <c r="D37" s="41" t="str">
        <f aca="false">IF($A37="","",ROUND(SUMIFS(资金日记账!$H$4:$H$603,资金日记账!$E$4:$E$603,$A37,资金日记账!$V$4:$V$603,D$4),2))</f>
        <v/>
      </c>
      <c r="E37" s="41" t="str">
        <f aca="false">IF($A37="","",ROUND(SUMIFS(资金日记账!$H$4:$H$603,资金日记账!$E$4:$E$603,$A37,资金日记账!$V$4:$V$603,E$4),2))</f>
        <v/>
      </c>
      <c r="F37" s="41" t="str">
        <f aca="false">IF($A37="","",ROUND(SUMIFS(资金日记账!$H$4:$H$603,资金日记账!$E$4:$E$603,$A37,资金日记账!$V$4:$V$603,F$4),2))</f>
        <v/>
      </c>
      <c r="G37" s="41" t="str">
        <f aca="false">IF($A37="","",ROUND(SUMIFS(资金日记账!$H$4:$H$603,资金日记账!$E$4:$E$603,$A37,资金日记账!$V$4:$V$603,G$4),2))</f>
        <v/>
      </c>
      <c r="H37" s="41" t="str">
        <f aca="false">IF($A37="","",ROUND(SUMIFS(资金日记账!$H$4:$H$603,资金日记账!$E$4:$E$603,$A37,资金日记账!$V$4:$V$603,H$4),2))</f>
        <v/>
      </c>
      <c r="I37" s="41" t="str">
        <f aca="false">IF($A37="","",ROUND(SUMIFS(资金日记账!$H$4:$H$603,资金日记账!$E$4:$E$603,$A37,资金日记账!$V$4:$V$603,I$4),2))</f>
        <v/>
      </c>
      <c r="J37" s="41" t="str">
        <f aca="false">IF($A37="","",ROUND(SUMIFS(资金日记账!$H$4:$H$603,资金日记账!$E$4:$E$603,$A37,资金日记账!$V$4:$V$603,J$4),2))</f>
        <v/>
      </c>
      <c r="K37" s="41" t="str">
        <f aca="false">IF($A37="","",ROUND(SUMIFS(资金日记账!$H$4:$H$603,资金日记账!$E$4:$E$603,$A37,资金日记账!$V$4:$V$603,K$4),2))</f>
        <v/>
      </c>
      <c r="L37" s="41" t="str">
        <f aca="false">IF($A37="","",ROUND(SUMIFS(资金日记账!$H$4:$H$603,资金日记账!$E$4:$E$603,$A37,资金日记账!$V$4:$V$603,L$4),2))</f>
        <v/>
      </c>
      <c r="M37" s="41" t="str">
        <f aca="false">IF($A37="","",ROUND(SUMIFS(资金日记账!$H$4:$H$603,资金日记账!$E$4:$E$603,$A37,资金日记账!$V$4:$V$603,M$4),2))</f>
        <v/>
      </c>
      <c r="N37" s="41" t="str">
        <f aca="false">IF($A37="","",ROUND(SUMIFS(资金日记账!$H$4:$H$603,资金日记账!$E$4:$E$603,$A37,资金日记账!$V$4:$V$603,N$4),2))</f>
        <v/>
      </c>
      <c r="O37" s="41" t="str">
        <f aca="false">IF($A37="","",ROUND(SUMIFS(资金日记账!$H$4:$H$603,资金日记账!$E$4:$E$603,$A37,资金日记账!$V$4:$V$603,O$4),2))</f>
        <v/>
      </c>
      <c r="P37" s="41" t="str">
        <f aca="false">IF($A37="","",ROUND(SUMIFS(资金日记账!$H$4:$H$603,资金日记账!$E$4:$E$603,$A37,资金日记账!$V$4:$V$603,P$4),2))</f>
        <v/>
      </c>
      <c r="Q37" s="41" t="str">
        <f aca="false">IF($A37="","",ROUND(SUMIFS(资金日记账!$H$4:$H$603,资金日记账!$E$4:$E$603,$A37,资金日记账!$V$4:$V$603,Q$4),2))</f>
        <v/>
      </c>
      <c r="R37" s="41" t="str">
        <f aca="false">IF($A37="","",ROUND(SUMIFS(资金日记账!$H$4:$H$603,资金日记账!$E$4:$E$603,$A37,资金日记账!$V$4:$V$603,R$4),2))</f>
        <v/>
      </c>
      <c r="S37" s="41" t="str">
        <f aca="false">IF($A37="","",ROUND(SUMIFS(资金日记账!$H$4:$H$603,资金日记账!$E$4:$E$603,$A37,资金日记账!$V$4:$V$603,S$4),2))</f>
        <v/>
      </c>
      <c r="T37" s="41" t="str">
        <f aca="false">IF($A37="","",ROUND(SUMIFS(资金日记账!$H$4:$H$603,资金日记账!$E$4:$E$603,$A37,资金日记账!$V$4:$V$603,T$4),2))</f>
        <v/>
      </c>
      <c r="U37" s="41" t="str">
        <f aca="false">IF($A37="","",ROUND(SUMIFS(资金日记账!$H$4:$H$603,资金日记账!$E$4:$E$603,$A37,资金日记账!$V$4:$V$603,U$4),2))</f>
        <v/>
      </c>
      <c r="V37" s="41" t="str">
        <f aca="false">IF($A37="","",ROUND(SUMIFS(资金日记账!$H$4:$H$603,资金日记账!$E$4:$E$603,$A37,资金日记账!$V$4:$V$603,V$4),2))</f>
        <v/>
      </c>
      <c r="W37" s="41" t="str">
        <f aca="false">IF($A37="","",ROUND(SUMIFS(资金日记账!$H$4:$H$603,资金日记账!$E$4:$E$603,$A37,资金日记账!$V$4:$V$603,W$4),2))</f>
        <v/>
      </c>
      <c r="X37" s="41" t="str">
        <f aca="false">IF($A37="","",ROUND(SUMIFS(资金日记账!$H$4:$H$603,资金日记账!$E$4:$E$603,$A37,资金日记账!$V$4:$V$603,X$4),2))</f>
        <v/>
      </c>
      <c r="Y37" s="41" t="str">
        <f aca="false">IF($A37="","",ROUND(SUMIFS(资金日记账!$H$4:$H$603,资金日记账!$E$4:$E$603,$A37,资金日记账!$V$4:$V$603,Y$4),2))</f>
        <v/>
      </c>
      <c r="Z37" s="142" t="str">
        <f aca="false">IF($A37="","",ROUND(SUM($B37:$Y37),2))</f>
        <v/>
      </c>
    </row>
    <row r="38" customFormat="false" ht="13.5" hidden="false" customHeight="false" outlineLevel="0" collapsed="false">
      <c r="A38" s="33" t="str">
        <f aca="false">IFERROR(INDEX(_自动清单!$AJ$4:$AJ$63,34),"")</f>
        <v/>
      </c>
      <c r="B38" s="41" t="str">
        <f aca="false">IF($A38="","",ROUND(SUMIFS(资金日记账!$H$4:$H$603,资金日记账!$E$4:$E$603,$A38,资金日记账!$V$4:$V$603,B$4),2))</f>
        <v/>
      </c>
      <c r="C38" s="41" t="str">
        <f aca="false">IF($A38="","",ROUND(SUMIFS(资金日记账!$H$4:$H$603,资金日记账!$E$4:$E$603,$A38,资金日记账!$V$4:$V$603,C$4),2))</f>
        <v/>
      </c>
      <c r="D38" s="41" t="str">
        <f aca="false">IF($A38="","",ROUND(SUMIFS(资金日记账!$H$4:$H$603,资金日记账!$E$4:$E$603,$A38,资金日记账!$V$4:$V$603,D$4),2))</f>
        <v/>
      </c>
      <c r="E38" s="41" t="str">
        <f aca="false">IF($A38="","",ROUND(SUMIFS(资金日记账!$H$4:$H$603,资金日记账!$E$4:$E$603,$A38,资金日记账!$V$4:$V$603,E$4),2))</f>
        <v/>
      </c>
      <c r="F38" s="41" t="str">
        <f aca="false">IF($A38="","",ROUND(SUMIFS(资金日记账!$H$4:$H$603,资金日记账!$E$4:$E$603,$A38,资金日记账!$V$4:$V$603,F$4),2))</f>
        <v/>
      </c>
      <c r="G38" s="41" t="str">
        <f aca="false">IF($A38="","",ROUND(SUMIFS(资金日记账!$H$4:$H$603,资金日记账!$E$4:$E$603,$A38,资金日记账!$V$4:$V$603,G$4),2))</f>
        <v/>
      </c>
      <c r="H38" s="41" t="str">
        <f aca="false">IF($A38="","",ROUND(SUMIFS(资金日记账!$H$4:$H$603,资金日记账!$E$4:$E$603,$A38,资金日记账!$V$4:$V$603,H$4),2))</f>
        <v/>
      </c>
      <c r="I38" s="41" t="str">
        <f aca="false">IF($A38="","",ROUND(SUMIFS(资金日记账!$H$4:$H$603,资金日记账!$E$4:$E$603,$A38,资金日记账!$V$4:$V$603,I$4),2))</f>
        <v/>
      </c>
      <c r="J38" s="41" t="str">
        <f aca="false">IF($A38="","",ROUND(SUMIFS(资金日记账!$H$4:$H$603,资金日记账!$E$4:$E$603,$A38,资金日记账!$V$4:$V$603,J$4),2))</f>
        <v/>
      </c>
      <c r="K38" s="41" t="str">
        <f aca="false">IF($A38="","",ROUND(SUMIFS(资金日记账!$H$4:$H$603,资金日记账!$E$4:$E$603,$A38,资金日记账!$V$4:$V$603,K$4),2))</f>
        <v/>
      </c>
      <c r="L38" s="41" t="str">
        <f aca="false">IF($A38="","",ROUND(SUMIFS(资金日记账!$H$4:$H$603,资金日记账!$E$4:$E$603,$A38,资金日记账!$V$4:$V$603,L$4),2))</f>
        <v/>
      </c>
      <c r="M38" s="41" t="str">
        <f aca="false">IF($A38="","",ROUND(SUMIFS(资金日记账!$H$4:$H$603,资金日记账!$E$4:$E$603,$A38,资金日记账!$V$4:$V$603,M$4),2))</f>
        <v/>
      </c>
      <c r="N38" s="41" t="str">
        <f aca="false">IF($A38="","",ROUND(SUMIFS(资金日记账!$H$4:$H$603,资金日记账!$E$4:$E$603,$A38,资金日记账!$V$4:$V$603,N$4),2))</f>
        <v/>
      </c>
      <c r="O38" s="41" t="str">
        <f aca="false">IF($A38="","",ROUND(SUMIFS(资金日记账!$H$4:$H$603,资金日记账!$E$4:$E$603,$A38,资金日记账!$V$4:$V$603,O$4),2))</f>
        <v/>
      </c>
      <c r="P38" s="41" t="str">
        <f aca="false">IF($A38="","",ROUND(SUMIFS(资金日记账!$H$4:$H$603,资金日记账!$E$4:$E$603,$A38,资金日记账!$V$4:$V$603,P$4),2))</f>
        <v/>
      </c>
      <c r="Q38" s="41" t="str">
        <f aca="false">IF($A38="","",ROUND(SUMIFS(资金日记账!$H$4:$H$603,资金日记账!$E$4:$E$603,$A38,资金日记账!$V$4:$V$603,Q$4),2))</f>
        <v/>
      </c>
      <c r="R38" s="41" t="str">
        <f aca="false">IF($A38="","",ROUND(SUMIFS(资金日记账!$H$4:$H$603,资金日记账!$E$4:$E$603,$A38,资金日记账!$V$4:$V$603,R$4),2))</f>
        <v/>
      </c>
      <c r="S38" s="41" t="str">
        <f aca="false">IF($A38="","",ROUND(SUMIFS(资金日记账!$H$4:$H$603,资金日记账!$E$4:$E$603,$A38,资金日记账!$V$4:$V$603,S$4),2))</f>
        <v/>
      </c>
      <c r="T38" s="41" t="str">
        <f aca="false">IF($A38="","",ROUND(SUMIFS(资金日记账!$H$4:$H$603,资金日记账!$E$4:$E$603,$A38,资金日记账!$V$4:$V$603,T$4),2))</f>
        <v/>
      </c>
      <c r="U38" s="41" t="str">
        <f aca="false">IF($A38="","",ROUND(SUMIFS(资金日记账!$H$4:$H$603,资金日记账!$E$4:$E$603,$A38,资金日记账!$V$4:$V$603,U$4),2))</f>
        <v/>
      </c>
      <c r="V38" s="41" t="str">
        <f aca="false">IF($A38="","",ROUND(SUMIFS(资金日记账!$H$4:$H$603,资金日记账!$E$4:$E$603,$A38,资金日记账!$V$4:$V$603,V$4),2))</f>
        <v/>
      </c>
      <c r="W38" s="41" t="str">
        <f aca="false">IF($A38="","",ROUND(SUMIFS(资金日记账!$H$4:$H$603,资金日记账!$E$4:$E$603,$A38,资金日记账!$V$4:$V$603,W$4),2))</f>
        <v/>
      </c>
      <c r="X38" s="41" t="str">
        <f aca="false">IF($A38="","",ROUND(SUMIFS(资金日记账!$H$4:$H$603,资金日记账!$E$4:$E$603,$A38,资金日记账!$V$4:$V$603,X$4),2))</f>
        <v/>
      </c>
      <c r="Y38" s="41" t="str">
        <f aca="false">IF($A38="","",ROUND(SUMIFS(资金日记账!$H$4:$H$603,资金日记账!$E$4:$E$603,$A38,资金日记账!$V$4:$V$603,Y$4),2))</f>
        <v/>
      </c>
      <c r="Z38" s="142" t="str">
        <f aca="false">IF($A38="","",ROUND(SUM($B38:$Y38),2))</f>
        <v/>
      </c>
    </row>
    <row r="39" customFormat="false" ht="13.5" hidden="false" customHeight="false" outlineLevel="0" collapsed="false">
      <c r="A39" s="33" t="str">
        <f aca="false">IFERROR(INDEX(_自动清单!$AJ$4:$AJ$63,35),"")</f>
        <v/>
      </c>
      <c r="B39" s="41" t="str">
        <f aca="false">IF($A39="","",ROUND(SUMIFS(资金日记账!$H$4:$H$603,资金日记账!$E$4:$E$603,$A39,资金日记账!$V$4:$V$603,B$4),2))</f>
        <v/>
      </c>
      <c r="C39" s="41" t="str">
        <f aca="false">IF($A39="","",ROUND(SUMIFS(资金日记账!$H$4:$H$603,资金日记账!$E$4:$E$603,$A39,资金日记账!$V$4:$V$603,C$4),2))</f>
        <v/>
      </c>
      <c r="D39" s="41" t="str">
        <f aca="false">IF($A39="","",ROUND(SUMIFS(资金日记账!$H$4:$H$603,资金日记账!$E$4:$E$603,$A39,资金日记账!$V$4:$V$603,D$4),2))</f>
        <v/>
      </c>
      <c r="E39" s="41" t="str">
        <f aca="false">IF($A39="","",ROUND(SUMIFS(资金日记账!$H$4:$H$603,资金日记账!$E$4:$E$603,$A39,资金日记账!$V$4:$V$603,E$4),2))</f>
        <v/>
      </c>
      <c r="F39" s="41" t="str">
        <f aca="false">IF($A39="","",ROUND(SUMIFS(资金日记账!$H$4:$H$603,资金日记账!$E$4:$E$603,$A39,资金日记账!$V$4:$V$603,F$4),2))</f>
        <v/>
      </c>
      <c r="G39" s="41" t="str">
        <f aca="false">IF($A39="","",ROUND(SUMIFS(资金日记账!$H$4:$H$603,资金日记账!$E$4:$E$603,$A39,资金日记账!$V$4:$V$603,G$4),2))</f>
        <v/>
      </c>
      <c r="H39" s="41" t="str">
        <f aca="false">IF($A39="","",ROUND(SUMIFS(资金日记账!$H$4:$H$603,资金日记账!$E$4:$E$603,$A39,资金日记账!$V$4:$V$603,H$4),2))</f>
        <v/>
      </c>
      <c r="I39" s="41" t="str">
        <f aca="false">IF($A39="","",ROUND(SUMIFS(资金日记账!$H$4:$H$603,资金日记账!$E$4:$E$603,$A39,资金日记账!$V$4:$V$603,I$4),2))</f>
        <v/>
      </c>
      <c r="J39" s="41" t="str">
        <f aca="false">IF($A39="","",ROUND(SUMIFS(资金日记账!$H$4:$H$603,资金日记账!$E$4:$E$603,$A39,资金日记账!$V$4:$V$603,J$4),2))</f>
        <v/>
      </c>
      <c r="K39" s="41" t="str">
        <f aca="false">IF($A39="","",ROUND(SUMIFS(资金日记账!$H$4:$H$603,资金日记账!$E$4:$E$603,$A39,资金日记账!$V$4:$V$603,K$4),2))</f>
        <v/>
      </c>
      <c r="L39" s="41" t="str">
        <f aca="false">IF($A39="","",ROUND(SUMIFS(资金日记账!$H$4:$H$603,资金日记账!$E$4:$E$603,$A39,资金日记账!$V$4:$V$603,L$4),2))</f>
        <v/>
      </c>
      <c r="M39" s="41" t="str">
        <f aca="false">IF($A39="","",ROUND(SUMIFS(资金日记账!$H$4:$H$603,资金日记账!$E$4:$E$603,$A39,资金日记账!$V$4:$V$603,M$4),2))</f>
        <v/>
      </c>
      <c r="N39" s="41" t="str">
        <f aca="false">IF($A39="","",ROUND(SUMIFS(资金日记账!$H$4:$H$603,资金日记账!$E$4:$E$603,$A39,资金日记账!$V$4:$V$603,N$4),2))</f>
        <v/>
      </c>
      <c r="O39" s="41" t="str">
        <f aca="false">IF($A39="","",ROUND(SUMIFS(资金日记账!$H$4:$H$603,资金日记账!$E$4:$E$603,$A39,资金日记账!$V$4:$V$603,O$4),2))</f>
        <v/>
      </c>
      <c r="P39" s="41" t="str">
        <f aca="false">IF($A39="","",ROUND(SUMIFS(资金日记账!$H$4:$H$603,资金日记账!$E$4:$E$603,$A39,资金日记账!$V$4:$V$603,P$4),2))</f>
        <v/>
      </c>
      <c r="Q39" s="41" t="str">
        <f aca="false">IF($A39="","",ROUND(SUMIFS(资金日记账!$H$4:$H$603,资金日记账!$E$4:$E$603,$A39,资金日记账!$V$4:$V$603,Q$4),2))</f>
        <v/>
      </c>
      <c r="R39" s="41" t="str">
        <f aca="false">IF($A39="","",ROUND(SUMIFS(资金日记账!$H$4:$H$603,资金日记账!$E$4:$E$603,$A39,资金日记账!$V$4:$V$603,R$4),2))</f>
        <v/>
      </c>
      <c r="S39" s="41" t="str">
        <f aca="false">IF($A39="","",ROUND(SUMIFS(资金日记账!$H$4:$H$603,资金日记账!$E$4:$E$603,$A39,资金日记账!$V$4:$V$603,S$4),2))</f>
        <v/>
      </c>
      <c r="T39" s="41" t="str">
        <f aca="false">IF($A39="","",ROUND(SUMIFS(资金日记账!$H$4:$H$603,资金日记账!$E$4:$E$603,$A39,资金日记账!$V$4:$V$603,T$4),2))</f>
        <v/>
      </c>
      <c r="U39" s="41" t="str">
        <f aca="false">IF($A39="","",ROUND(SUMIFS(资金日记账!$H$4:$H$603,资金日记账!$E$4:$E$603,$A39,资金日记账!$V$4:$V$603,U$4),2))</f>
        <v/>
      </c>
      <c r="V39" s="41" t="str">
        <f aca="false">IF($A39="","",ROUND(SUMIFS(资金日记账!$H$4:$H$603,资金日记账!$E$4:$E$603,$A39,资金日记账!$V$4:$V$603,V$4),2))</f>
        <v/>
      </c>
      <c r="W39" s="41" t="str">
        <f aca="false">IF($A39="","",ROUND(SUMIFS(资金日记账!$H$4:$H$603,资金日记账!$E$4:$E$603,$A39,资金日记账!$V$4:$V$603,W$4),2))</f>
        <v/>
      </c>
      <c r="X39" s="41" t="str">
        <f aca="false">IF($A39="","",ROUND(SUMIFS(资金日记账!$H$4:$H$603,资金日记账!$E$4:$E$603,$A39,资金日记账!$V$4:$V$603,X$4),2))</f>
        <v/>
      </c>
      <c r="Y39" s="41" t="str">
        <f aca="false">IF($A39="","",ROUND(SUMIFS(资金日记账!$H$4:$H$603,资金日记账!$E$4:$E$603,$A39,资金日记账!$V$4:$V$603,Y$4),2))</f>
        <v/>
      </c>
      <c r="Z39" s="142" t="str">
        <f aca="false">IF($A39="","",ROUND(SUM($B39:$Y39),2))</f>
        <v/>
      </c>
    </row>
    <row r="40" customFormat="false" ht="13.5" hidden="false" customHeight="false" outlineLevel="0" collapsed="false">
      <c r="A40" s="33" t="str">
        <f aca="false">IFERROR(INDEX(_自动清单!$AJ$4:$AJ$63,36),"")</f>
        <v/>
      </c>
      <c r="B40" s="41" t="str">
        <f aca="false">IF($A40="","",ROUND(SUMIFS(资金日记账!$H$4:$H$603,资金日记账!$E$4:$E$603,$A40,资金日记账!$V$4:$V$603,B$4),2))</f>
        <v/>
      </c>
      <c r="C40" s="41" t="str">
        <f aca="false">IF($A40="","",ROUND(SUMIFS(资金日记账!$H$4:$H$603,资金日记账!$E$4:$E$603,$A40,资金日记账!$V$4:$V$603,C$4),2))</f>
        <v/>
      </c>
      <c r="D40" s="41" t="str">
        <f aca="false">IF($A40="","",ROUND(SUMIFS(资金日记账!$H$4:$H$603,资金日记账!$E$4:$E$603,$A40,资金日记账!$V$4:$V$603,D$4),2))</f>
        <v/>
      </c>
      <c r="E40" s="41" t="str">
        <f aca="false">IF($A40="","",ROUND(SUMIFS(资金日记账!$H$4:$H$603,资金日记账!$E$4:$E$603,$A40,资金日记账!$V$4:$V$603,E$4),2))</f>
        <v/>
      </c>
      <c r="F40" s="41" t="str">
        <f aca="false">IF($A40="","",ROUND(SUMIFS(资金日记账!$H$4:$H$603,资金日记账!$E$4:$E$603,$A40,资金日记账!$V$4:$V$603,F$4),2))</f>
        <v/>
      </c>
      <c r="G40" s="41" t="str">
        <f aca="false">IF($A40="","",ROUND(SUMIFS(资金日记账!$H$4:$H$603,资金日记账!$E$4:$E$603,$A40,资金日记账!$V$4:$V$603,G$4),2))</f>
        <v/>
      </c>
      <c r="H40" s="41" t="str">
        <f aca="false">IF($A40="","",ROUND(SUMIFS(资金日记账!$H$4:$H$603,资金日记账!$E$4:$E$603,$A40,资金日记账!$V$4:$V$603,H$4),2))</f>
        <v/>
      </c>
      <c r="I40" s="41" t="str">
        <f aca="false">IF($A40="","",ROUND(SUMIFS(资金日记账!$H$4:$H$603,资金日记账!$E$4:$E$603,$A40,资金日记账!$V$4:$V$603,I$4),2))</f>
        <v/>
      </c>
      <c r="J40" s="41" t="str">
        <f aca="false">IF($A40="","",ROUND(SUMIFS(资金日记账!$H$4:$H$603,资金日记账!$E$4:$E$603,$A40,资金日记账!$V$4:$V$603,J$4),2))</f>
        <v/>
      </c>
      <c r="K40" s="41" t="str">
        <f aca="false">IF($A40="","",ROUND(SUMIFS(资金日记账!$H$4:$H$603,资金日记账!$E$4:$E$603,$A40,资金日记账!$V$4:$V$603,K$4),2))</f>
        <v/>
      </c>
      <c r="L40" s="41" t="str">
        <f aca="false">IF($A40="","",ROUND(SUMIFS(资金日记账!$H$4:$H$603,资金日记账!$E$4:$E$603,$A40,资金日记账!$V$4:$V$603,L$4),2))</f>
        <v/>
      </c>
      <c r="M40" s="41" t="str">
        <f aca="false">IF($A40="","",ROUND(SUMIFS(资金日记账!$H$4:$H$603,资金日记账!$E$4:$E$603,$A40,资金日记账!$V$4:$V$603,M$4),2))</f>
        <v/>
      </c>
      <c r="N40" s="41" t="str">
        <f aca="false">IF($A40="","",ROUND(SUMIFS(资金日记账!$H$4:$H$603,资金日记账!$E$4:$E$603,$A40,资金日记账!$V$4:$V$603,N$4),2))</f>
        <v/>
      </c>
      <c r="O40" s="41" t="str">
        <f aca="false">IF($A40="","",ROUND(SUMIFS(资金日记账!$H$4:$H$603,资金日记账!$E$4:$E$603,$A40,资金日记账!$V$4:$V$603,O$4),2))</f>
        <v/>
      </c>
      <c r="P40" s="41" t="str">
        <f aca="false">IF($A40="","",ROUND(SUMIFS(资金日记账!$H$4:$H$603,资金日记账!$E$4:$E$603,$A40,资金日记账!$V$4:$V$603,P$4),2))</f>
        <v/>
      </c>
      <c r="Q40" s="41" t="str">
        <f aca="false">IF($A40="","",ROUND(SUMIFS(资金日记账!$H$4:$H$603,资金日记账!$E$4:$E$603,$A40,资金日记账!$V$4:$V$603,Q$4),2))</f>
        <v/>
      </c>
      <c r="R40" s="41" t="str">
        <f aca="false">IF($A40="","",ROUND(SUMIFS(资金日记账!$H$4:$H$603,资金日记账!$E$4:$E$603,$A40,资金日记账!$V$4:$V$603,R$4),2))</f>
        <v/>
      </c>
      <c r="S40" s="41" t="str">
        <f aca="false">IF($A40="","",ROUND(SUMIFS(资金日记账!$H$4:$H$603,资金日记账!$E$4:$E$603,$A40,资金日记账!$V$4:$V$603,S$4),2))</f>
        <v/>
      </c>
      <c r="T40" s="41" t="str">
        <f aca="false">IF($A40="","",ROUND(SUMIFS(资金日记账!$H$4:$H$603,资金日记账!$E$4:$E$603,$A40,资金日记账!$V$4:$V$603,T$4),2))</f>
        <v/>
      </c>
      <c r="U40" s="41" t="str">
        <f aca="false">IF($A40="","",ROUND(SUMIFS(资金日记账!$H$4:$H$603,资金日记账!$E$4:$E$603,$A40,资金日记账!$V$4:$V$603,U$4),2))</f>
        <v/>
      </c>
      <c r="V40" s="41" t="str">
        <f aca="false">IF($A40="","",ROUND(SUMIFS(资金日记账!$H$4:$H$603,资金日记账!$E$4:$E$603,$A40,资金日记账!$V$4:$V$603,V$4),2))</f>
        <v/>
      </c>
      <c r="W40" s="41" t="str">
        <f aca="false">IF($A40="","",ROUND(SUMIFS(资金日记账!$H$4:$H$603,资金日记账!$E$4:$E$603,$A40,资金日记账!$V$4:$V$603,W$4),2))</f>
        <v/>
      </c>
      <c r="X40" s="41" t="str">
        <f aca="false">IF($A40="","",ROUND(SUMIFS(资金日记账!$H$4:$H$603,资金日记账!$E$4:$E$603,$A40,资金日记账!$V$4:$V$603,X$4),2))</f>
        <v/>
      </c>
      <c r="Y40" s="41" t="str">
        <f aca="false">IF($A40="","",ROUND(SUMIFS(资金日记账!$H$4:$H$603,资金日记账!$E$4:$E$603,$A40,资金日记账!$V$4:$V$603,Y$4),2))</f>
        <v/>
      </c>
      <c r="Z40" s="142" t="str">
        <f aca="false">IF($A40="","",ROUND(SUM($B40:$Y40),2))</f>
        <v/>
      </c>
    </row>
    <row r="41" customFormat="false" ht="13.5" hidden="false" customHeight="false" outlineLevel="0" collapsed="false">
      <c r="A41" s="33" t="str">
        <f aca="false">IFERROR(INDEX(_自动清单!$AJ$4:$AJ$63,37),"")</f>
        <v/>
      </c>
      <c r="B41" s="41" t="str">
        <f aca="false">IF($A41="","",ROUND(SUMIFS(资金日记账!$H$4:$H$603,资金日记账!$E$4:$E$603,$A41,资金日记账!$V$4:$V$603,B$4),2))</f>
        <v/>
      </c>
      <c r="C41" s="41" t="str">
        <f aca="false">IF($A41="","",ROUND(SUMIFS(资金日记账!$H$4:$H$603,资金日记账!$E$4:$E$603,$A41,资金日记账!$V$4:$V$603,C$4),2))</f>
        <v/>
      </c>
      <c r="D41" s="41" t="str">
        <f aca="false">IF($A41="","",ROUND(SUMIFS(资金日记账!$H$4:$H$603,资金日记账!$E$4:$E$603,$A41,资金日记账!$V$4:$V$603,D$4),2))</f>
        <v/>
      </c>
      <c r="E41" s="41" t="str">
        <f aca="false">IF($A41="","",ROUND(SUMIFS(资金日记账!$H$4:$H$603,资金日记账!$E$4:$E$603,$A41,资金日记账!$V$4:$V$603,E$4),2))</f>
        <v/>
      </c>
      <c r="F41" s="41" t="str">
        <f aca="false">IF($A41="","",ROUND(SUMIFS(资金日记账!$H$4:$H$603,资金日记账!$E$4:$E$603,$A41,资金日记账!$V$4:$V$603,F$4),2))</f>
        <v/>
      </c>
      <c r="G41" s="41" t="str">
        <f aca="false">IF($A41="","",ROUND(SUMIFS(资金日记账!$H$4:$H$603,资金日记账!$E$4:$E$603,$A41,资金日记账!$V$4:$V$603,G$4),2))</f>
        <v/>
      </c>
      <c r="H41" s="41" t="str">
        <f aca="false">IF($A41="","",ROUND(SUMIFS(资金日记账!$H$4:$H$603,资金日记账!$E$4:$E$603,$A41,资金日记账!$V$4:$V$603,H$4),2))</f>
        <v/>
      </c>
      <c r="I41" s="41" t="str">
        <f aca="false">IF($A41="","",ROUND(SUMIFS(资金日记账!$H$4:$H$603,资金日记账!$E$4:$E$603,$A41,资金日记账!$V$4:$V$603,I$4),2))</f>
        <v/>
      </c>
      <c r="J41" s="41" t="str">
        <f aca="false">IF($A41="","",ROUND(SUMIFS(资金日记账!$H$4:$H$603,资金日记账!$E$4:$E$603,$A41,资金日记账!$V$4:$V$603,J$4),2))</f>
        <v/>
      </c>
      <c r="K41" s="41" t="str">
        <f aca="false">IF($A41="","",ROUND(SUMIFS(资金日记账!$H$4:$H$603,资金日记账!$E$4:$E$603,$A41,资金日记账!$V$4:$V$603,K$4),2))</f>
        <v/>
      </c>
      <c r="L41" s="41" t="str">
        <f aca="false">IF($A41="","",ROUND(SUMIFS(资金日记账!$H$4:$H$603,资金日记账!$E$4:$E$603,$A41,资金日记账!$V$4:$V$603,L$4),2))</f>
        <v/>
      </c>
      <c r="M41" s="41" t="str">
        <f aca="false">IF($A41="","",ROUND(SUMIFS(资金日记账!$H$4:$H$603,资金日记账!$E$4:$E$603,$A41,资金日记账!$V$4:$V$603,M$4),2))</f>
        <v/>
      </c>
      <c r="N41" s="41" t="str">
        <f aca="false">IF($A41="","",ROUND(SUMIFS(资金日记账!$H$4:$H$603,资金日记账!$E$4:$E$603,$A41,资金日记账!$V$4:$V$603,N$4),2))</f>
        <v/>
      </c>
      <c r="O41" s="41" t="str">
        <f aca="false">IF($A41="","",ROUND(SUMIFS(资金日记账!$H$4:$H$603,资金日记账!$E$4:$E$603,$A41,资金日记账!$V$4:$V$603,O$4),2))</f>
        <v/>
      </c>
      <c r="P41" s="41" t="str">
        <f aca="false">IF($A41="","",ROUND(SUMIFS(资金日记账!$H$4:$H$603,资金日记账!$E$4:$E$603,$A41,资金日记账!$V$4:$V$603,P$4),2))</f>
        <v/>
      </c>
      <c r="Q41" s="41" t="str">
        <f aca="false">IF($A41="","",ROUND(SUMIFS(资金日记账!$H$4:$H$603,资金日记账!$E$4:$E$603,$A41,资金日记账!$V$4:$V$603,Q$4),2))</f>
        <v/>
      </c>
      <c r="R41" s="41" t="str">
        <f aca="false">IF($A41="","",ROUND(SUMIFS(资金日记账!$H$4:$H$603,资金日记账!$E$4:$E$603,$A41,资金日记账!$V$4:$V$603,R$4),2))</f>
        <v/>
      </c>
      <c r="S41" s="41" t="str">
        <f aca="false">IF($A41="","",ROUND(SUMIFS(资金日记账!$H$4:$H$603,资金日记账!$E$4:$E$603,$A41,资金日记账!$V$4:$V$603,S$4),2))</f>
        <v/>
      </c>
      <c r="T41" s="41" t="str">
        <f aca="false">IF($A41="","",ROUND(SUMIFS(资金日记账!$H$4:$H$603,资金日记账!$E$4:$E$603,$A41,资金日记账!$V$4:$V$603,T$4),2))</f>
        <v/>
      </c>
      <c r="U41" s="41" t="str">
        <f aca="false">IF($A41="","",ROUND(SUMIFS(资金日记账!$H$4:$H$603,资金日记账!$E$4:$E$603,$A41,资金日记账!$V$4:$V$603,U$4),2))</f>
        <v/>
      </c>
      <c r="V41" s="41" t="str">
        <f aca="false">IF($A41="","",ROUND(SUMIFS(资金日记账!$H$4:$H$603,资金日记账!$E$4:$E$603,$A41,资金日记账!$V$4:$V$603,V$4),2))</f>
        <v/>
      </c>
      <c r="W41" s="41" t="str">
        <f aca="false">IF($A41="","",ROUND(SUMIFS(资金日记账!$H$4:$H$603,资金日记账!$E$4:$E$603,$A41,资金日记账!$V$4:$V$603,W$4),2))</f>
        <v/>
      </c>
      <c r="X41" s="41" t="str">
        <f aca="false">IF($A41="","",ROUND(SUMIFS(资金日记账!$H$4:$H$603,资金日记账!$E$4:$E$603,$A41,资金日记账!$V$4:$V$603,X$4),2))</f>
        <v/>
      </c>
      <c r="Y41" s="41" t="str">
        <f aca="false">IF($A41="","",ROUND(SUMIFS(资金日记账!$H$4:$H$603,资金日记账!$E$4:$E$603,$A41,资金日记账!$V$4:$V$603,Y$4),2))</f>
        <v/>
      </c>
      <c r="Z41" s="142" t="str">
        <f aca="false">IF($A41="","",ROUND(SUM($B41:$Y41),2))</f>
        <v/>
      </c>
    </row>
    <row r="42" customFormat="false" ht="13.5" hidden="false" customHeight="false" outlineLevel="0" collapsed="false">
      <c r="A42" s="33" t="str">
        <f aca="false">IFERROR(INDEX(_自动清单!$AJ$4:$AJ$63,38),"")</f>
        <v/>
      </c>
      <c r="B42" s="41" t="str">
        <f aca="false">IF($A42="","",ROUND(SUMIFS(资金日记账!$H$4:$H$603,资金日记账!$E$4:$E$603,$A42,资金日记账!$V$4:$V$603,B$4),2))</f>
        <v/>
      </c>
      <c r="C42" s="41" t="str">
        <f aca="false">IF($A42="","",ROUND(SUMIFS(资金日记账!$H$4:$H$603,资金日记账!$E$4:$E$603,$A42,资金日记账!$V$4:$V$603,C$4),2))</f>
        <v/>
      </c>
      <c r="D42" s="41" t="str">
        <f aca="false">IF($A42="","",ROUND(SUMIFS(资金日记账!$H$4:$H$603,资金日记账!$E$4:$E$603,$A42,资金日记账!$V$4:$V$603,D$4),2))</f>
        <v/>
      </c>
      <c r="E42" s="41" t="str">
        <f aca="false">IF($A42="","",ROUND(SUMIFS(资金日记账!$H$4:$H$603,资金日记账!$E$4:$E$603,$A42,资金日记账!$V$4:$V$603,E$4),2))</f>
        <v/>
      </c>
      <c r="F42" s="41" t="str">
        <f aca="false">IF($A42="","",ROUND(SUMIFS(资金日记账!$H$4:$H$603,资金日记账!$E$4:$E$603,$A42,资金日记账!$V$4:$V$603,F$4),2))</f>
        <v/>
      </c>
      <c r="G42" s="41" t="str">
        <f aca="false">IF($A42="","",ROUND(SUMIFS(资金日记账!$H$4:$H$603,资金日记账!$E$4:$E$603,$A42,资金日记账!$V$4:$V$603,G$4),2))</f>
        <v/>
      </c>
      <c r="H42" s="41" t="str">
        <f aca="false">IF($A42="","",ROUND(SUMIFS(资金日记账!$H$4:$H$603,资金日记账!$E$4:$E$603,$A42,资金日记账!$V$4:$V$603,H$4),2))</f>
        <v/>
      </c>
      <c r="I42" s="41" t="str">
        <f aca="false">IF($A42="","",ROUND(SUMIFS(资金日记账!$H$4:$H$603,资金日记账!$E$4:$E$603,$A42,资金日记账!$V$4:$V$603,I$4),2))</f>
        <v/>
      </c>
      <c r="J42" s="41" t="str">
        <f aca="false">IF($A42="","",ROUND(SUMIFS(资金日记账!$H$4:$H$603,资金日记账!$E$4:$E$603,$A42,资金日记账!$V$4:$V$603,J$4),2))</f>
        <v/>
      </c>
      <c r="K42" s="41" t="str">
        <f aca="false">IF($A42="","",ROUND(SUMIFS(资金日记账!$H$4:$H$603,资金日记账!$E$4:$E$603,$A42,资金日记账!$V$4:$V$603,K$4),2))</f>
        <v/>
      </c>
      <c r="L42" s="41" t="str">
        <f aca="false">IF($A42="","",ROUND(SUMIFS(资金日记账!$H$4:$H$603,资金日记账!$E$4:$E$603,$A42,资金日记账!$V$4:$V$603,L$4),2))</f>
        <v/>
      </c>
      <c r="M42" s="41" t="str">
        <f aca="false">IF($A42="","",ROUND(SUMIFS(资金日记账!$H$4:$H$603,资金日记账!$E$4:$E$603,$A42,资金日记账!$V$4:$V$603,M$4),2))</f>
        <v/>
      </c>
      <c r="N42" s="41" t="str">
        <f aca="false">IF($A42="","",ROUND(SUMIFS(资金日记账!$H$4:$H$603,资金日记账!$E$4:$E$603,$A42,资金日记账!$V$4:$V$603,N$4),2))</f>
        <v/>
      </c>
      <c r="O42" s="41" t="str">
        <f aca="false">IF($A42="","",ROUND(SUMIFS(资金日记账!$H$4:$H$603,资金日记账!$E$4:$E$603,$A42,资金日记账!$V$4:$V$603,O$4),2))</f>
        <v/>
      </c>
      <c r="P42" s="41" t="str">
        <f aca="false">IF($A42="","",ROUND(SUMIFS(资金日记账!$H$4:$H$603,资金日记账!$E$4:$E$603,$A42,资金日记账!$V$4:$V$603,P$4),2))</f>
        <v/>
      </c>
      <c r="Q42" s="41" t="str">
        <f aca="false">IF($A42="","",ROUND(SUMIFS(资金日记账!$H$4:$H$603,资金日记账!$E$4:$E$603,$A42,资金日记账!$V$4:$V$603,Q$4),2))</f>
        <v/>
      </c>
      <c r="R42" s="41" t="str">
        <f aca="false">IF($A42="","",ROUND(SUMIFS(资金日记账!$H$4:$H$603,资金日记账!$E$4:$E$603,$A42,资金日记账!$V$4:$V$603,R$4),2))</f>
        <v/>
      </c>
      <c r="S42" s="41" t="str">
        <f aca="false">IF($A42="","",ROUND(SUMIFS(资金日记账!$H$4:$H$603,资金日记账!$E$4:$E$603,$A42,资金日记账!$V$4:$V$603,S$4),2))</f>
        <v/>
      </c>
      <c r="T42" s="41" t="str">
        <f aca="false">IF($A42="","",ROUND(SUMIFS(资金日记账!$H$4:$H$603,资金日记账!$E$4:$E$603,$A42,资金日记账!$V$4:$V$603,T$4),2))</f>
        <v/>
      </c>
      <c r="U42" s="41" t="str">
        <f aca="false">IF($A42="","",ROUND(SUMIFS(资金日记账!$H$4:$H$603,资金日记账!$E$4:$E$603,$A42,资金日记账!$V$4:$V$603,U$4),2))</f>
        <v/>
      </c>
      <c r="V42" s="41" t="str">
        <f aca="false">IF($A42="","",ROUND(SUMIFS(资金日记账!$H$4:$H$603,资金日记账!$E$4:$E$603,$A42,资金日记账!$V$4:$V$603,V$4),2))</f>
        <v/>
      </c>
      <c r="W42" s="41" t="str">
        <f aca="false">IF($A42="","",ROUND(SUMIFS(资金日记账!$H$4:$H$603,资金日记账!$E$4:$E$603,$A42,资金日记账!$V$4:$V$603,W$4),2))</f>
        <v/>
      </c>
      <c r="X42" s="41" t="str">
        <f aca="false">IF($A42="","",ROUND(SUMIFS(资金日记账!$H$4:$H$603,资金日记账!$E$4:$E$603,$A42,资金日记账!$V$4:$V$603,X$4),2))</f>
        <v/>
      </c>
      <c r="Y42" s="41" t="str">
        <f aca="false">IF($A42="","",ROUND(SUMIFS(资金日记账!$H$4:$H$603,资金日记账!$E$4:$E$603,$A42,资金日记账!$V$4:$V$603,Y$4),2))</f>
        <v/>
      </c>
      <c r="Z42" s="142" t="str">
        <f aca="false">IF($A42="","",ROUND(SUM($B42:$Y42),2))</f>
        <v/>
      </c>
    </row>
    <row r="43" customFormat="false" ht="13.5" hidden="false" customHeight="false" outlineLevel="0" collapsed="false">
      <c r="A43" s="33" t="str">
        <f aca="false">IFERROR(INDEX(_自动清单!$AJ$4:$AJ$63,39),"")</f>
        <v/>
      </c>
      <c r="B43" s="41" t="str">
        <f aca="false">IF($A43="","",ROUND(SUMIFS(资金日记账!$H$4:$H$603,资金日记账!$E$4:$E$603,$A43,资金日记账!$V$4:$V$603,B$4),2))</f>
        <v/>
      </c>
      <c r="C43" s="41" t="str">
        <f aca="false">IF($A43="","",ROUND(SUMIFS(资金日记账!$H$4:$H$603,资金日记账!$E$4:$E$603,$A43,资金日记账!$V$4:$V$603,C$4),2))</f>
        <v/>
      </c>
      <c r="D43" s="41" t="str">
        <f aca="false">IF($A43="","",ROUND(SUMIFS(资金日记账!$H$4:$H$603,资金日记账!$E$4:$E$603,$A43,资金日记账!$V$4:$V$603,D$4),2))</f>
        <v/>
      </c>
      <c r="E43" s="41" t="str">
        <f aca="false">IF($A43="","",ROUND(SUMIFS(资金日记账!$H$4:$H$603,资金日记账!$E$4:$E$603,$A43,资金日记账!$V$4:$V$603,E$4),2))</f>
        <v/>
      </c>
      <c r="F43" s="41" t="str">
        <f aca="false">IF($A43="","",ROUND(SUMIFS(资金日记账!$H$4:$H$603,资金日记账!$E$4:$E$603,$A43,资金日记账!$V$4:$V$603,F$4),2))</f>
        <v/>
      </c>
      <c r="G43" s="41" t="str">
        <f aca="false">IF($A43="","",ROUND(SUMIFS(资金日记账!$H$4:$H$603,资金日记账!$E$4:$E$603,$A43,资金日记账!$V$4:$V$603,G$4),2))</f>
        <v/>
      </c>
      <c r="H43" s="41" t="str">
        <f aca="false">IF($A43="","",ROUND(SUMIFS(资金日记账!$H$4:$H$603,资金日记账!$E$4:$E$603,$A43,资金日记账!$V$4:$V$603,H$4),2))</f>
        <v/>
      </c>
      <c r="I43" s="41" t="str">
        <f aca="false">IF($A43="","",ROUND(SUMIFS(资金日记账!$H$4:$H$603,资金日记账!$E$4:$E$603,$A43,资金日记账!$V$4:$V$603,I$4),2))</f>
        <v/>
      </c>
      <c r="J43" s="41" t="str">
        <f aca="false">IF($A43="","",ROUND(SUMIFS(资金日记账!$H$4:$H$603,资金日记账!$E$4:$E$603,$A43,资金日记账!$V$4:$V$603,J$4),2))</f>
        <v/>
      </c>
      <c r="K43" s="41" t="str">
        <f aca="false">IF($A43="","",ROUND(SUMIFS(资金日记账!$H$4:$H$603,资金日记账!$E$4:$E$603,$A43,资金日记账!$V$4:$V$603,K$4),2))</f>
        <v/>
      </c>
      <c r="L43" s="41" t="str">
        <f aca="false">IF($A43="","",ROUND(SUMIFS(资金日记账!$H$4:$H$603,资金日记账!$E$4:$E$603,$A43,资金日记账!$V$4:$V$603,L$4),2))</f>
        <v/>
      </c>
      <c r="M43" s="41" t="str">
        <f aca="false">IF($A43="","",ROUND(SUMIFS(资金日记账!$H$4:$H$603,资金日记账!$E$4:$E$603,$A43,资金日记账!$V$4:$V$603,M$4),2))</f>
        <v/>
      </c>
      <c r="N43" s="41" t="str">
        <f aca="false">IF($A43="","",ROUND(SUMIFS(资金日记账!$H$4:$H$603,资金日记账!$E$4:$E$603,$A43,资金日记账!$V$4:$V$603,N$4),2))</f>
        <v/>
      </c>
      <c r="O43" s="41" t="str">
        <f aca="false">IF($A43="","",ROUND(SUMIFS(资金日记账!$H$4:$H$603,资金日记账!$E$4:$E$603,$A43,资金日记账!$V$4:$V$603,O$4),2))</f>
        <v/>
      </c>
      <c r="P43" s="41" t="str">
        <f aca="false">IF($A43="","",ROUND(SUMIFS(资金日记账!$H$4:$H$603,资金日记账!$E$4:$E$603,$A43,资金日记账!$V$4:$V$603,P$4),2))</f>
        <v/>
      </c>
      <c r="Q43" s="41" t="str">
        <f aca="false">IF($A43="","",ROUND(SUMIFS(资金日记账!$H$4:$H$603,资金日记账!$E$4:$E$603,$A43,资金日记账!$V$4:$V$603,Q$4),2))</f>
        <v/>
      </c>
      <c r="R43" s="41" t="str">
        <f aca="false">IF($A43="","",ROUND(SUMIFS(资金日记账!$H$4:$H$603,资金日记账!$E$4:$E$603,$A43,资金日记账!$V$4:$V$603,R$4),2))</f>
        <v/>
      </c>
      <c r="S43" s="41" t="str">
        <f aca="false">IF($A43="","",ROUND(SUMIFS(资金日记账!$H$4:$H$603,资金日记账!$E$4:$E$603,$A43,资金日记账!$V$4:$V$603,S$4),2))</f>
        <v/>
      </c>
      <c r="T43" s="41" t="str">
        <f aca="false">IF($A43="","",ROUND(SUMIFS(资金日记账!$H$4:$H$603,资金日记账!$E$4:$E$603,$A43,资金日记账!$V$4:$V$603,T$4),2))</f>
        <v/>
      </c>
      <c r="U43" s="41" t="str">
        <f aca="false">IF($A43="","",ROUND(SUMIFS(资金日记账!$H$4:$H$603,资金日记账!$E$4:$E$603,$A43,资金日记账!$V$4:$V$603,U$4),2))</f>
        <v/>
      </c>
      <c r="V43" s="41" t="str">
        <f aca="false">IF($A43="","",ROUND(SUMIFS(资金日记账!$H$4:$H$603,资金日记账!$E$4:$E$603,$A43,资金日记账!$V$4:$V$603,V$4),2))</f>
        <v/>
      </c>
      <c r="W43" s="41" t="str">
        <f aca="false">IF($A43="","",ROUND(SUMIFS(资金日记账!$H$4:$H$603,资金日记账!$E$4:$E$603,$A43,资金日记账!$V$4:$V$603,W$4),2))</f>
        <v/>
      </c>
      <c r="X43" s="41" t="str">
        <f aca="false">IF($A43="","",ROUND(SUMIFS(资金日记账!$H$4:$H$603,资金日记账!$E$4:$E$603,$A43,资金日记账!$V$4:$V$603,X$4),2))</f>
        <v/>
      </c>
      <c r="Y43" s="41" t="str">
        <f aca="false">IF($A43="","",ROUND(SUMIFS(资金日记账!$H$4:$H$603,资金日记账!$E$4:$E$603,$A43,资金日记账!$V$4:$V$603,Y$4),2))</f>
        <v/>
      </c>
      <c r="Z43" s="142" t="str">
        <f aca="false">IF($A43="","",ROUND(SUM($B43:$Y43),2))</f>
        <v/>
      </c>
    </row>
    <row r="44" customFormat="false" ht="13.5" hidden="false" customHeight="false" outlineLevel="0" collapsed="false">
      <c r="A44" s="33" t="str">
        <f aca="false">IFERROR(INDEX(_自动清单!$AJ$4:$AJ$63,40),"")</f>
        <v/>
      </c>
      <c r="B44" s="41" t="str">
        <f aca="false">IF($A44="","",ROUND(SUMIFS(资金日记账!$H$4:$H$603,资金日记账!$E$4:$E$603,$A44,资金日记账!$V$4:$V$603,B$4),2))</f>
        <v/>
      </c>
      <c r="C44" s="41" t="str">
        <f aca="false">IF($A44="","",ROUND(SUMIFS(资金日记账!$H$4:$H$603,资金日记账!$E$4:$E$603,$A44,资金日记账!$V$4:$V$603,C$4),2))</f>
        <v/>
      </c>
      <c r="D44" s="41" t="str">
        <f aca="false">IF($A44="","",ROUND(SUMIFS(资金日记账!$H$4:$H$603,资金日记账!$E$4:$E$603,$A44,资金日记账!$V$4:$V$603,D$4),2))</f>
        <v/>
      </c>
      <c r="E44" s="41" t="str">
        <f aca="false">IF($A44="","",ROUND(SUMIFS(资金日记账!$H$4:$H$603,资金日记账!$E$4:$E$603,$A44,资金日记账!$V$4:$V$603,E$4),2))</f>
        <v/>
      </c>
      <c r="F44" s="41" t="str">
        <f aca="false">IF($A44="","",ROUND(SUMIFS(资金日记账!$H$4:$H$603,资金日记账!$E$4:$E$603,$A44,资金日记账!$V$4:$V$603,F$4),2))</f>
        <v/>
      </c>
      <c r="G44" s="41" t="str">
        <f aca="false">IF($A44="","",ROUND(SUMIFS(资金日记账!$H$4:$H$603,资金日记账!$E$4:$E$603,$A44,资金日记账!$V$4:$V$603,G$4),2))</f>
        <v/>
      </c>
      <c r="H44" s="41" t="str">
        <f aca="false">IF($A44="","",ROUND(SUMIFS(资金日记账!$H$4:$H$603,资金日记账!$E$4:$E$603,$A44,资金日记账!$V$4:$V$603,H$4),2))</f>
        <v/>
      </c>
      <c r="I44" s="41" t="str">
        <f aca="false">IF($A44="","",ROUND(SUMIFS(资金日记账!$H$4:$H$603,资金日记账!$E$4:$E$603,$A44,资金日记账!$V$4:$V$603,I$4),2))</f>
        <v/>
      </c>
      <c r="J44" s="41" t="str">
        <f aca="false">IF($A44="","",ROUND(SUMIFS(资金日记账!$H$4:$H$603,资金日记账!$E$4:$E$603,$A44,资金日记账!$V$4:$V$603,J$4),2))</f>
        <v/>
      </c>
      <c r="K44" s="41" t="str">
        <f aca="false">IF($A44="","",ROUND(SUMIFS(资金日记账!$H$4:$H$603,资金日记账!$E$4:$E$603,$A44,资金日记账!$V$4:$V$603,K$4),2))</f>
        <v/>
      </c>
      <c r="L44" s="41" t="str">
        <f aca="false">IF($A44="","",ROUND(SUMIFS(资金日记账!$H$4:$H$603,资金日记账!$E$4:$E$603,$A44,资金日记账!$V$4:$V$603,L$4),2))</f>
        <v/>
      </c>
      <c r="M44" s="41" t="str">
        <f aca="false">IF($A44="","",ROUND(SUMIFS(资金日记账!$H$4:$H$603,资金日记账!$E$4:$E$603,$A44,资金日记账!$V$4:$V$603,M$4),2))</f>
        <v/>
      </c>
      <c r="N44" s="41" t="str">
        <f aca="false">IF($A44="","",ROUND(SUMIFS(资金日记账!$H$4:$H$603,资金日记账!$E$4:$E$603,$A44,资金日记账!$V$4:$V$603,N$4),2))</f>
        <v/>
      </c>
      <c r="O44" s="41" t="str">
        <f aca="false">IF($A44="","",ROUND(SUMIFS(资金日记账!$H$4:$H$603,资金日记账!$E$4:$E$603,$A44,资金日记账!$V$4:$V$603,O$4),2))</f>
        <v/>
      </c>
      <c r="P44" s="41" t="str">
        <f aca="false">IF($A44="","",ROUND(SUMIFS(资金日记账!$H$4:$H$603,资金日记账!$E$4:$E$603,$A44,资金日记账!$V$4:$V$603,P$4),2))</f>
        <v/>
      </c>
      <c r="Q44" s="41" t="str">
        <f aca="false">IF($A44="","",ROUND(SUMIFS(资金日记账!$H$4:$H$603,资金日记账!$E$4:$E$603,$A44,资金日记账!$V$4:$V$603,Q$4),2))</f>
        <v/>
      </c>
      <c r="R44" s="41" t="str">
        <f aca="false">IF($A44="","",ROUND(SUMIFS(资金日记账!$H$4:$H$603,资金日记账!$E$4:$E$603,$A44,资金日记账!$V$4:$V$603,R$4),2))</f>
        <v/>
      </c>
      <c r="S44" s="41" t="str">
        <f aca="false">IF($A44="","",ROUND(SUMIFS(资金日记账!$H$4:$H$603,资金日记账!$E$4:$E$603,$A44,资金日记账!$V$4:$V$603,S$4),2))</f>
        <v/>
      </c>
      <c r="T44" s="41" t="str">
        <f aca="false">IF($A44="","",ROUND(SUMIFS(资金日记账!$H$4:$H$603,资金日记账!$E$4:$E$603,$A44,资金日记账!$V$4:$V$603,T$4),2))</f>
        <v/>
      </c>
      <c r="U44" s="41" t="str">
        <f aca="false">IF($A44="","",ROUND(SUMIFS(资金日记账!$H$4:$H$603,资金日记账!$E$4:$E$603,$A44,资金日记账!$V$4:$V$603,U$4),2))</f>
        <v/>
      </c>
      <c r="V44" s="41" t="str">
        <f aca="false">IF($A44="","",ROUND(SUMIFS(资金日记账!$H$4:$H$603,资金日记账!$E$4:$E$603,$A44,资金日记账!$V$4:$V$603,V$4),2))</f>
        <v/>
      </c>
      <c r="W44" s="41" t="str">
        <f aca="false">IF($A44="","",ROUND(SUMIFS(资金日记账!$H$4:$H$603,资金日记账!$E$4:$E$603,$A44,资金日记账!$V$4:$V$603,W$4),2))</f>
        <v/>
      </c>
      <c r="X44" s="41" t="str">
        <f aca="false">IF($A44="","",ROUND(SUMIFS(资金日记账!$H$4:$H$603,资金日记账!$E$4:$E$603,$A44,资金日记账!$V$4:$V$603,X$4),2))</f>
        <v/>
      </c>
      <c r="Y44" s="41" t="str">
        <f aca="false">IF($A44="","",ROUND(SUMIFS(资金日记账!$H$4:$H$603,资金日记账!$E$4:$E$603,$A44,资金日记账!$V$4:$V$603,Y$4),2))</f>
        <v/>
      </c>
      <c r="Z44" s="142" t="str">
        <f aca="false">IF($A44="","",ROUND(SUM($B44:$Y44),2))</f>
        <v/>
      </c>
    </row>
    <row r="45" customFormat="false" ht="13.5" hidden="false" customHeight="false" outlineLevel="0" collapsed="false">
      <c r="A45" s="33" t="str">
        <f aca="false">IFERROR(INDEX(_自动清单!$AJ$4:$AJ$63,41),"")</f>
        <v/>
      </c>
      <c r="B45" s="41" t="str">
        <f aca="false">IF($A45="","",ROUND(SUMIFS(资金日记账!$H$4:$H$603,资金日记账!$E$4:$E$603,$A45,资金日记账!$V$4:$V$603,B$4),2))</f>
        <v/>
      </c>
      <c r="C45" s="41" t="str">
        <f aca="false">IF($A45="","",ROUND(SUMIFS(资金日记账!$H$4:$H$603,资金日记账!$E$4:$E$603,$A45,资金日记账!$V$4:$V$603,C$4),2))</f>
        <v/>
      </c>
      <c r="D45" s="41" t="str">
        <f aca="false">IF($A45="","",ROUND(SUMIFS(资金日记账!$H$4:$H$603,资金日记账!$E$4:$E$603,$A45,资金日记账!$V$4:$V$603,D$4),2))</f>
        <v/>
      </c>
      <c r="E45" s="41" t="str">
        <f aca="false">IF($A45="","",ROUND(SUMIFS(资金日记账!$H$4:$H$603,资金日记账!$E$4:$E$603,$A45,资金日记账!$V$4:$V$603,E$4),2))</f>
        <v/>
      </c>
      <c r="F45" s="41" t="str">
        <f aca="false">IF($A45="","",ROUND(SUMIFS(资金日记账!$H$4:$H$603,资金日记账!$E$4:$E$603,$A45,资金日记账!$V$4:$V$603,F$4),2))</f>
        <v/>
      </c>
      <c r="G45" s="41" t="str">
        <f aca="false">IF($A45="","",ROUND(SUMIFS(资金日记账!$H$4:$H$603,资金日记账!$E$4:$E$603,$A45,资金日记账!$V$4:$V$603,G$4),2))</f>
        <v/>
      </c>
      <c r="H45" s="41" t="str">
        <f aca="false">IF($A45="","",ROUND(SUMIFS(资金日记账!$H$4:$H$603,资金日记账!$E$4:$E$603,$A45,资金日记账!$V$4:$V$603,H$4),2))</f>
        <v/>
      </c>
      <c r="I45" s="41" t="str">
        <f aca="false">IF($A45="","",ROUND(SUMIFS(资金日记账!$H$4:$H$603,资金日记账!$E$4:$E$603,$A45,资金日记账!$V$4:$V$603,I$4),2))</f>
        <v/>
      </c>
      <c r="J45" s="41" t="str">
        <f aca="false">IF($A45="","",ROUND(SUMIFS(资金日记账!$H$4:$H$603,资金日记账!$E$4:$E$603,$A45,资金日记账!$V$4:$V$603,J$4),2))</f>
        <v/>
      </c>
      <c r="K45" s="41" t="str">
        <f aca="false">IF($A45="","",ROUND(SUMIFS(资金日记账!$H$4:$H$603,资金日记账!$E$4:$E$603,$A45,资金日记账!$V$4:$V$603,K$4),2))</f>
        <v/>
      </c>
      <c r="L45" s="41" t="str">
        <f aca="false">IF($A45="","",ROUND(SUMIFS(资金日记账!$H$4:$H$603,资金日记账!$E$4:$E$603,$A45,资金日记账!$V$4:$V$603,L$4),2))</f>
        <v/>
      </c>
      <c r="M45" s="41" t="str">
        <f aca="false">IF($A45="","",ROUND(SUMIFS(资金日记账!$H$4:$H$603,资金日记账!$E$4:$E$603,$A45,资金日记账!$V$4:$V$603,M$4),2))</f>
        <v/>
      </c>
      <c r="N45" s="41" t="str">
        <f aca="false">IF($A45="","",ROUND(SUMIFS(资金日记账!$H$4:$H$603,资金日记账!$E$4:$E$603,$A45,资金日记账!$V$4:$V$603,N$4),2))</f>
        <v/>
      </c>
      <c r="O45" s="41" t="str">
        <f aca="false">IF($A45="","",ROUND(SUMIFS(资金日记账!$H$4:$H$603,资金日记账!$E$4:$E$603,$A45,资金日记账!$V$4:$V$603,O$4),2))</f>
        <v/>
      </c>
      <c r="P45" s="41" t="str">
        <f aca="false">IF($A45="","",ROUND(SUMIFS(资金日记账!$H$4:$H$603,资金日记账!$E$4:$E$603,$A45,资金日记账!$V$4:$V$603,P$4),2))</f>
        <v/>
      </c>
      <c r="Q45" s="41" t="str">
        <f aca="false">IF($A45="","",ROUND(SUMIFS(资金日记账!$H$4:$H$603,资金日记账!$E$4:$E$603,$A45,资金日记账!$V$4:$V$603,Q$4),2))</f>
        <v/>
      </c>
      <c r="R45" s="41" t="str">
        <f aca="false">IF($A45="","",ROUND(SUMIFS(资金日记账!$H$4:$H$603,资金日记账!$E$4:$E$603,$A45,资金日记账!$V$4:$V$603,R$4),2))</f>
        <v/>
      </c>
      <c r="S45" s="41" t="str">
        <f aca="false">IF($A45="","",ROUND(SUMIFS(资金日记账!$H$4:$H$603,资金日记账!$E$4:$E$603,$A45,资金日记账!$V$4:$V$603,S$4),2))</f>
        <v/>
      </c>
      <c r="T45" s="41" t="str">
        <f aca="false">IF($A45="","",ROUND(SUMIFS(资金日记账!$H$4:$H$603,资金日记账!$E$4:$E$603,$A45,资金日记账!$V$4:$V$603,T$4),2))</f>
        <v/>
      </c>
      <c r="U45" s="41" t="str">
        <f aca="false">IF($A45="","",ROUND(SUMIFS(资金日记账!$H$4:$H$603,资金日记账!$E$4:$E$603,$A45,资金日记账!$V$4:$V$603,U$4),2))</f>
        <v/>
      </c>
      <c r="V45" s="41" t="str">
        <f aca="false">IF($A45="","",ROUND(SUMIFS(资金日记账!$H$4:$H$603,资金日记账!$E$4:$E$603,$A45,资金日记账!$V$4:$V$603,V$4),2))</f>
        <v/>
      </c>
      <c r="W45" s="41" t="str">
        <f aca="false">IF($A45="","",ROUND(SUMIFS(资金日记账!$H$4:$H$603,资金日记账!$E$4:$E$603,$A45,资金日记账!$V$4:$V$603,W$4),2))</f>
        <v/>
      </c>
      <c r="X45" s="41" t="str">
        <f aca="false">IF($A45="","",ROUND(SUMIFS(资金日记账!$H$4:$H$603,资金日记账!$E$4:$E$603,$A45,资金日记账!$V$4:$V$603,X$4),2))</f>
        <v/>
      </c>
      <c r="Y45" s="41" t="str">
        <f aca="false">IF($A45="","",ROUND(SUMIFS(资金日记账!$H$4:$H$603,资金日记账!$E$4:$E$603,$A45,资金日记账!$V$4:$V$603,Y$4),2))</f>
        <v/>
      </c>
      <c r="Z45" s="142" t="str">
        <f aca="false">IF($A45="","",ROUND(SUM($B45:$Y45),2))</f>
        <v/>
      </c>
    </row>
    <row r="46" customFormat="false" ht="13.5" hidden="false" customHeight="false" outlineLevel="0" collapsed="false">
      <c r="A46" s="33" t="str">
        <f aca="false">IFERROR(INDEX(_自动清单!$AJ$4:$AJ$63,42),"")</f>
        <v/>
      </c>
      <c r="B46" s="41" t="str">
        <f aca="false">IF($A46="","",ROUND(SUMIFS(资金日记账!$H$4:$H$603,资金日记账!$E$4:$E$603,$A46,资金日记账!$V$4:$V$603,B$4),2))</f>
        <v/>
      </c>
      <c r="C46" s="41" t="str">
        <f aca="false">IF($A46="","",ROUND(SUMIFS(资金日记账!$H$4:$H$603,资金日记账!$E$4:$E$603,$A46,资金日记账!$V$4:$V$603,C$4),2))</f>
        <v/>
      </c>
      <c r="D46" s="41" t="str">
        <f aca="false">IF($A46="","",ROUND(SUMIFS(资金日记账!$H$4:$H$603,资金日记账!$E$4:$E$603,$A46,资金日记账!$V$4:$V$603,D$4),2))</f>
        <v/>
      </c>
      <c r="E46" s="41" t="str">
        <f aca="false">IF($A46="","",ROUND(SUMIFS(资金日记账!$H$4:$H$603,资金日记账!$E$4:$E$603,$A46,资金日记账!$V$4:$V$603,E$4),2))</f>
        <v/>
      </c>
      <c r="F46" s="41" t="str">
        <f aca="false">IF($A46="","",ROUND(SUMIFS(资金日记账!$H$4:$H$603,资金日记账!$E$4:$E$603,$A46,资金日记账!$V$4:$V$603,F$4),2))</f>
        <v/>
      </c>
      <c r="G46" s="41" t="str">
        <f aca="false">IF($A46="","",ROUND(SUMIFS(资金日记账!$H$4:$H$603,资金日记账!$E$4:$E$603,$A46,资金日记账!$V$4:$V$603,G$4),2))</f>
        <v/>
      </c>
      <c r="H46" s="41" t="str">
        <f aca="false">IF($A46="","",ROUND(SUMIFS(资金日记账!$H$4:$H$603,资金日记账!$E$4:$E$603,$A46,资金日记账!$V$4:$V$603,H$4),2))</f>
        <v/>
      </c>
      <c r="I46" s="41" t="str">
        <f aca="false">IF($A46="","",ROUND(SUMIFS(资金日记账!$H$4:$H$603,资金日记账!$E$4:$E$603,$A46,资金日记账!$V$4:$V$603,I$4),2))</f>
        <v/>
      </c>
      <c r="J46" s="41" t="str">
        <f aca="false">IF($A46="","",ROUND(SUMIFS(资金日记账!$H$4:$H$603,资金日记账!$E$4:$E$603,$A46,资金日记账!$V$4:$V$603,J$4),2))</f>
        <v/>
      </c>
      <c r="K46" s="41" t="str">
        <f aca="false">IF($A46="","",ROUND(SUMIFS(资金日记账!$H$4:$H$603,资金日记账!$E$4:$E$603,$A46,资金日记账!$V$4:$V$603,K$4),2))</f>
        <v/>
      </c>
      <c r="L46" s="41" t="str">
        <f aca="false">IF($A46="","",ROUND(SUMIFS(资金日记账!$H$4:$H$603,资金日记账!$E$4:$E$603,$A46,资金日记账!$V$4:$V$603,L$4),2))</f>
        <v/>
      </c>
      <c r="M46" s="41" t="str">
        <f aca="false">IF($A46="","",ROUND(SUMIFS(资金日记账!$H$4:$H$603,资金日记账!$E$4:$E$603,$A46,资金日记账!$V$4:$V$603,M$4),2))</f>
        <v/>
      </c>
      <c r="N46" s="41" t="str">
        <f aca="false">IF($A46="","",ROUND(SUMIFS(资金日记账!$H$4:$H$603,资金日记账!$E$4:$E$603,$A46,资金日记账!$V$4:$V$603,N$4),2))</f>
        <v/>
      </c>
      <c r="O46" s="41" t="str">
        <f aca="false">IF($A46="","",ROUND(SUMIFS(资金日记账!$H$4:$H$603,资金日记账!$E$4:$E$603,$A46,资金日记账!$V$4:$V$603,O$4),2))</f>
        <v/>
      </c>
      <c r="P46" s="41" t="str">
        <f aca="false">IF($A46="","",ROUND(SUMIFS(资金日记账!$H$4:$H$603,资金日记账!$E$4:$E$603,$A46,资金日记账!$V$4:$V$603,P$4),2))</f>
        <v/>
      </c>
      <c r="Q46" s="41" t="str">
        <f aca="false">IF($A46="","",ROUND(SUMIFS(资金日记账!$H$4:$H$603,资金日记账!$E$4:$E$603,$A46,资金日记账!$V$4:$V$603,Q$4),2))</f>
        <v/>
      </c>
      <c r="R46" s="41" t="str">
        <f aca="false">IF($A46="","",ROUND(SUMIFS(资金日记账!$H$4:$H$603,资金日记账!$E$4:$E$603,$A46,资金日记账!$V$4:$V$603,R$4),2))</f>
        <v/>
      </c>
      <c r="S46" s="41" t="str">
        <f aca="false">IF($A46="","",ROUND(SUMIFS(资金日记账!$H$4:$H$603,资金日记账!$E$4:$E$603,$A46,资金日记账!$V$4:$V$603,S$4),2))</f>
        <v/>
      </c>
      <c r="T46" s="41" t="str">
        <f aca="false">IF($A46="","",ROUND(SUMIFS(资金日记账!$H$4:$H$603,资金日记账!$E$4:$E$603,$A46,资金日记账!$V$4:$V$603,T$4),2))</f>
        <v/>
      </c>
      <c r="U46" s="41" t="str">
        <f aca="false">IF($A46="","",ROUND(SUMIFS(资金日记账!$H$4:$H$603,资金日记账!$E$4:$E$603,$A46,资金日记账!$V$4:$V$603,U$4),2))</f>
        <v/>
      </c>
      <c r="V46" s="41" t="str">
        <f aca="false">IF($A46="","",ROUND(SUMIFS(资金日记账!$H$4:$H$603,资金日记账!$E$4:$E$603,$A46,资金日记账!$V$4:$V$603,V$4),2))</f>
        <v/>
      </c>
      <c r="W46" s="41" t="str">
        <f aca="false">IF($A46="","",ROUND(SUMIFS(资金日记账!$H$4:$H$603,资金日记账!$E$4:$E$603,$A46,资金日记账!$V$4:$V$603,W$4),2))</f>
        <v/>
      </c>
      <c r="X46" s="41" t="str">
        <f aca="false">IF($A46="","",ROUND(SUMIFS(资金日记账!$H$4:$H$603,资金日记账!$E$4:$E$603,$A46,资金日记账!$V$4:$V$603,X$4),2))</f>
        <v/>
      </c>
      <c r="Y46" s="41" t="str">
        <f aca="false">IF($A46="","",ROUND(SUMIFS(资金日记账!$H$4:$H$603,资金日记账!$E$4:$E$603,$A46,资金日记账!$V$4:$V$603,Y$4),2))</f>
        <v/>
      </c>
      <c r="Z46" s="142" t="str">
        <f aca="false">IF($A46="","",ROUND(SUM($B46:$Y46),2))</f>
        <v/>
      </c>
    </row>
    <row r="47" customFormat="false" ht="13.5" hidden="false" customHeight="false" outlineLevel="0" collapsed="false">
      <c r="A47" s="33" t="str">
        <f aca="false">IFERROR(INDEX(_自动清单!$AJ$4:$AJ$63,43),"")</f>
        <v/>
      </c>
      <c r="B47" s="41" t="str">
        <f aca="false">IF($A47="","",ROUND(SUMIFS(资金日记账!$H$4:$H$603,资金日记账!$E$4:$E$603,$A47,资金日记账!$V$4:$V$603,B$4),2))</f>
        <v/>
      </c>
      <c r="C47" s="41" t="str">
        <f aca="false">IF($A47="","",ROUND(SUMIFS(资金日记账!$H$4:$H$603,资金日记账!$E$4:$E$603,$A47,资金日记账!$V$4:$V$603,C$4),2))</f>
        <v/>
      </c>
      <c r="D47" s="41" t="str">
        <f aca="false">IF($A47="","",ROUND(SUMIFS(资金日记账!$H$4:$H$603,资金日记账!$E$4:$E$603,$A47,资金日记账!$V$4:$V$603,D$4),2))</f>
        <v/>
      </c>
      <c r="E47" s="41" t="str">
        <f aca="false">IF($A47="","",ROUND(SUMIFS(资金日记账!$H$4:$H$603,资金日记账!$E$4:$E$603,$A47,资金日记账!$V$4:$V$603,E$4),2))</f>
        <v/>
      </c>
      <c r="F47" s="41" t="str">
        <f aca="false">IF($A47="","",ROUND(SUMIFS(资金日记账!$H$4:$H$603,资金日记账!$E$4:$E$603,$A47,资金日记账!$V$4:$V$603,F$4),2))</f>
        <v/>
      </c>
      <c r="G47" s="41" t="str">
        <f aca="false">IF($A47="","",ROUND(SUMIFS(资金日记账!$H$4:$H$603,资金日记账!$E$4:$E$603,$A47,资金日记账!$V$4:$V$603,G$4),2))</f>
        <v/>
      </c>
      <c r="H47" s="41" t="str">
        <f aca="false">IF($A47="","",ROUND(SUMIFS(资金日记账!$H$4:$H$603,资金日记账!$E$4:$E$603,$A47,资金日记账!$V$4:$V$603,H$4),2))</f>
        <v/>
      </c>
      <c r="I47" s="41" t="str">
        <f aca="false">IF($A47="","",ROUND(SUMIFS(资金日记账!$H$4:$H$603,资金日记账!$E$4:$E$603,$A47,资金日记账!$V$4:$V$603,I$4),2))</f>
        <v/>
      </c>
      <c r="J47" s="41" t="str">
        <f aca="false">IF($A47="","",ROUND(SUMIFS(资金日记账!$H$4:$H$603,资金日记账!$E$4:$E$603,$A47,资金日记账!$V$4:$V$603,J$4),2))</f>
        <v/>
      </c>
      <c r="K47" s="41" t="str">
        <f aca="false">IF($A47="","",ROUND(SUMIFS(资金日记账!$H$4:$H$603,资金日记账!$E$4:$E$603,$A47,资金日记账!$V$4:$V$603,K$4),2))</f>
        <v/>
      </c>
      <c r="L47" s="41" t="str">
        <f aca="false">IF($A47="","",ROUND(SUMIFS(资金日记账!$H$4:$H$603,资金日记账!$E$4:$E$603,$A47,资金日记账!$V$4:$V$603,L$4),2))</f>
        <v/>
      </c>
      <c r="M47" s="41" t="str">
        <f aca="false">IF($A47="","",ROUND(SUMIFS(资金日记账!$H$4:$H$603,资金日记账!$E$4:$E$603,$A47,资金日记账!$V$4:$V$603,M$4),2))</f>
        <v/>
      </c>
      <c r="N47" s="41" t="str">
        <f aca="false">IF($A47="","",ROUND(SUMIFS(资金日记账!$H$4:$H$603,资金日记账!$E$4:$E$603,$A47,资金日记账!$V$4:$V$603,N$4),2))</f>
        <v/>
      </c>
      <c r="O47" s="41" t="str">
        <f aca="false">IF($A47="","",ROUND(SUMIFS(资金日记账!$H$4:$H$603,资金日记账!$E$4:$E$603,$A47,资金日记账!$V$4:$V$603,O$4),2))</f>
        <v/>
      </c>
      <c r="P47" s="41" t="str">
        <f aca="false">IF($A47="","",ROUND(SUMIFS(资金日记账!$H$4:$H$603,资金日记账!$E$4:$E$603,$A47,资金日记账!$V$4:$V$603,P$4),2))</f>
        <v/>
      </c>
      <c r="Q47" s="41" t="str">
        <f aca="false">IF($A47="","",ROUND(SUMIFS(资金日记账!$H$4:$H$603,资金日记账!$E$4:$E$603,$A47,资金日记账!$V$4:$V$603,Q$4),2))</f>
        <v/>
      </c>
      <c r="R47" s="41" t="str">
        <f aca="false">IF($A47="","",ROUND(SUMIFS(资金日记账!$H$4:$H$603,资金日记账!$E$4:$E$603,$A47,资金日记账!$V$4:$V$603,R$4),2))</f>
        <v/>
      </c>
      <c r="S47" s="41" t="str">
        <f aca="false">IF($A47="","",ROUND(SUMIFS(资金日记账!$H$4:$H$603,资金日记账!$E$4:$E$603,$A47,资金日记账!$V$4:$V$603,S$4),2))</f>
        <v/>
      </c>
      <c r="T47" s="41" t="str">
        <f aca="false">IF($A47="","",ROUND(SUMIFS(资金日记账!$H$4:$H$603,资金日记账!$E$4:$E$603,$A47,资金日记账!$V$4:$V$603,T$4),2))</f>
        <v/>
      </c>
      <c r="U47" s="41" t="str">
        <f aca="false">IF($A47="","",ROUND(SUMIFS(资金日记账!$H$4:$H$603,资金日记账!$E$4:$E$603,$A47,资金日记账!$V$4:$V$603,U$4),2))</f>
        <v/>
      </c>
      <c r="V47" s="41" t="str">
        <f aca="false">IF($A47="","",ROUND(SUMIFS(资金日记账!$H$4:$H$603,资金日记账!$E$4:$E$603,$A47,资金日记账!$V$4:$V$603,V$4),2))</f>
        <v/>
      </c>
      <c r="W47" s="41" t="str">
        <f aca="false">IF($A47="","",ROUND(SUMIFS(资金日记账!$H$4:$H$603,资金日记账!$E$4:$E$603,$A47,资金日记账!$V$4:$V$603,W$4),2))</f>
        <v/>
      </c>
      <c r="X47" s="41" t="str">
        <f aca="false">IF($A47="","",ROUND(SUMIFS(资金日记账!$H$4:$H$603,资金日记账!$E$4:$E$603,$A47,资金日记账!$V$4:$V$603,X$4),2))</f>
        <v/>
      </c>
      <c r="Y47" s="41" t="str">
        <f aca="false">IF($A47="","",ROUND(SUMIFS(资金日记账!$H$4:$H$603,资金日记账!$E$4:$E$603,$A47,资金日记账!$V$4:$V$603,Y$4),2))</f>
        <v/>
      </c>
      <c r="Z47" s="142" t="str">
        <f aca="false">IF($A47="","",ROUND(SUM($B47:$Y47),2))</f>
        <v/>
      </c>
    </row>
    <row r="48" customFormat="false" ht="13.5" hidden="false" customHeight="false" outlineLevel="0" collapsed="false">
      <c r="A48" s="33" t="str">
        <f aca="false">IFERROR(INDEX(_自动清单!$AJ$4:$AJ$63,44),"")</f>
        <v/>
      </c>
      <c r="B48" s="41" t="str">
        <f aca="false">IF($A48="","",ROUND(SUMIFS(资金日记账!$H$4:$H$603,资金日记账!$E$4:$E$603,$A48,资金日记账!$V$4:$V$603,B$4),2))</f>
        <v/>
      </c>
      <c r="C48" s="41" t="str">
        <f aca="false">IF($A48="","",ROUND(SUMIFS(资金日记账!$H$4:$H$603,资金日记账!$E$4:$E$603,$A48,资金日记账!$V$4:$V$603,C$4),2))</f>
        <v/>
      </c>
      <c r="D48" s="41" t="str">
        <f aca="false">IF($A48="","",ROUND(SUMIFS(资金日记账!$H$4:$H$603,资金日记账!$E$4:$E$603,$A48,资金日记账!$V$4:$V$603,D$4),2))</f>
        <v/>
      </c>
      <c r="E48" s="41" t="str">
        <f aca="false">IF($A48="","",ROUND(SUMIFS(资金日记账!$H$4:$H$603,资金日记账!$E$4:$E$603,$A48,资金日记账!$V$4:$V$603,E$4),2))</f>
        <v/>
      </c>
      <c r="F48" s="41" t="str">
        <f aca="false">IF($A48="","",ROUND(SUMIFS(资金日记账!$H$4:$H$603,资金日记账!$E$4:$E$603,$A48,资金日记账!$V$4:$V$603,F$4),2))</f>
        <v/>
      </c>
      <c r="G48" s="41" t="str">
        <f aca="false">IF($A48="","",ROUND(SUMIFS(资金日记账!$H$4:$H$603,资金日记账!$E$4:$E$603,$A48,资金日记账!$V$4:$V$603,G$4),2))</f>
        <v/>
      </c>
      <c r="H48" s="41" t="str">
        <f aca="false">IF($A48="","",ROUND(SUMIFS(资金日记账!$H$4:$H$603,资金日记账!$E$4:$E$603,$A48,资金日记账!$V$4:$V$603,H$4),2))</f>
        <v/>
      </c>
      <c r="I48" s="41" t="str">
        <f aca="false">IF($A48="","",ROUND(SUMIFS(资金日记账!$H$4:$H$603,资金日记账!$E$4:$E$603,$A48,资金日记账!$V$4:$V$603,I$4),2))</f>
        <v/>
      </c>
      <c r="J48" s="41" t="str">
        <f aca="false">IF($A48="","",ROUND(SUMIFS(资金日记账!$H$4:$H$603,资金日记账!$E$4:$E$603,$A48,资金日记账!$V$4:$V$603,J$4),2))</f>
        <v/>
      </c>
      <c r="K48" s="41" t="str">
        <f aca="false">IF($A48="","",ROUND(SUMIFS(资金日记账!$H$4:$H$603,资金日记账!$E$4:$E$603,$A48,资金日记账!$V$4:$V$603,K$4),2))</f>
        <v/>
      </c>
      <c r="L48" s="41" t="str">
        <f aca="false">IF($A48="","",ROUND(SUMIFS(资金日记账!$H$4:$H$603,资金日记账!$E$4:$E$603,$A48,资金日记账!$V$4:$V$603,L$4),2))</f>
        <v/>
      </c>
      <c r="M48" s="41" t="str">
        <f aca="false">IF($A48="","",ROUND(SUMIFS(资金日记账!$H$4:$H$603,资金日记账!$E$4:$E$603,$A48,资金日记账!$V$4:$V$603,M$4),2))</f>
        <v/>
      </c>
      <c r="N48" s="41" t="str">
        <f aca="false">IF($A48="","",ROUND(SUMIFS(资金日记账!$H$4:$H$603,资金日记账!$E$4:$E$603,$A48,资金日记账!$V$4:$V$603,N$4),2))</f>
        <v/>
      </c>
      <c r="O48" s="41" t="str">
        <f aca="false">IF($A48="","",ROUND(SUMIFS(资金日记账!$H$4:$H$603,资金日记账!$E$4:$E$603,$A48,资金日记账!$V$4:$V$603,O$4),2))</f>
        <v/>
      </c>
      <c r="P48" s="41" t="str">
        <f aca="false">IF($A48="","",ROUND(SUMIFS(资金日记账!$H$4:$H$603,资金日记账!$E$4:$E$603,$A48,资金日记账!$V$4:$V$603,P$4),2))</f>
        <v/>
      </c>
      <c r="Q48" s="41" t="str">
        <f aca="false">IF($A48="","",ROUND(SUMIFS(资金日记账!$H$4:$H$603,资金日记账!$E$4:$E$603,$A48,资金日记账!$V$4:$V$603,Q$4),2))</f>
        <v/>
      </c>
      <c r="R48" s="41" t="str">
        <f aca="false">IF($A48="","",ROUND(SUMIFS(资金日记账!$H$4:$H$603,资金日记账!$E$4:$E$603,$A48,资金日记账!$V$4:$V$603,R$4),2))</f>
        <v/>
      </c>
      <c r="S48" s="41" t="str">
        <f aca="false">IF($A48="","",ROUND(SUMIFS(资金日记账!$H$4:$H$603,资金日记账!$E$4:$E$603,$A48,资金日记账!$V$4:$V$603,S$4),2))</f>
        <v/>
      </c>
      <c r="T48" s="41" t="str">
        <f aca="false">IF($A48="","",ROUND(SUMIFS(资金日记账!$H$4:$H$603,资金日记账!$E$4:$E$603,$A48,资金日记账!$V$4:$V$603,T$4),2))</f>
        <v/>
      </c>
      <c r="U48" s="41" t="str">
        <f aca="false">IF($A48="","",ROUND(SUMIFS(资金日记账!$H$4:$H$603,资金日记账!$E$4:$E$603,$A48,资金日记账!$V$4:$V$603,U$4),2))</f>
        <v/>
      </c>
      <c r="V48" s="41" t="str">
        <f aca="false">IF($A48="","",ROUND(SUMIFS(资金日记账!$H$4:$H$603,资金日记账!$E$4:$E$603,$A48,资金日记账!$V$4:$V$603,V$4),2))</f>
        <v/>
      </c>
      <c r="W48" s="41" t="str">
        <f aca="false">IF($A48="","",ROUND(SUMIFS(资金日记账!$H$4:$H$603,资金日记账!$E$4:$E$603,$A48,资金日记账!$V$4:$V$603,W$4),2))</f>
        <v/>
      </c>
      <c r="X48" s="41" t="str">
        <f aca="false">IF($A48="","",ROUND(SUMIFS(资金日记账!$H$4:$H$603,资金日记账!$E$4:$E$603,$A48,资金日记账!$V$4:$V$603,X$4),2))</f>
        <v/>
      </c>
      <c r="Y48" s="41" t="str">
        <f aca="false">IF($A48="","",ROUND(SUMIFS(资金日记账!$H$4:$H$603,资金日记账!$E$4:$E$603,$A48,资金日记账!$V$4:$V$603,Y$4),2))</f>
        <v/>
      </c>
      <c r="Z48" s="142" t="str">
        <f aca="false">IF($A48="","",ROUND(SUM($B48:$Y48),2))</f>
        <v/>
      </c>
    </row>
    <row r="49" customFormat="false" ht="13.5" hidden="false" customHeight="false" outlineLevel="0" collapsed="false">
      <c r="A49" s="33" t="str">
        <f aca="false">IFERROR(INDEX(_自动清单!$AJ$4:$AJ$63,45),"")</f>
        <v/>
      </c>
      <c r="B49" s="41" t="str">
        <f aca="false">IF($A49="","",ROUND(SUMIFS(资金日记账!$H$4:$H$603,资金日记账!$E$4:$E$603,$A49,资金日记账!$V$4:$V$603,B$4),2))</f>
        <v/>
      </c>
      <c r="C49" s="41" t="str">
        <f aca="false">IF($A49="","",ROUND(SUMIFS(资金日记账!$H$4:$H$603,资金日记账!$E$4:$E$603,$A49,资金日记账!$V$4:$V$603,C$4),2))</f>
        <v/>
      </c>
      <c r="D49" s="41" t="str">
        <f aca="false">IF($A49="","",ROUND(SUMIFS(资金日记账!$H$4:$H$603,资金日记账!$E$4:$E$603,$A49,资金日记账!$V$4:$V$603,D$4),2))</f>
        <v/>
      </c>
      <c r="E49" s="41" t="str">
        <f aca="false">IF($A49="","",ROUND(SUMIFS(资金日记账!$H$4:$H$603,资金日记账!$E$4:$E$603,$A49,资金日记账!$V$4:$V$603,E$4),2))</f>
        <v/>
      </c>
      <c r="F49" s="41" t="str">
        <f aca="false">IF($A49="","",ROUND(SUMIFS(资金日记账!$H$4:$H$603,资金日记账!$E$4:$E$603,$A49,资金日记账!$V$4:$V$603,F$4),2))</f>
        <v/>
      </c>
      <c r="G49" s="41" t="str">
        <f aca="false">IF($A49="","",ROUND(SUMIFS(资金日记账!$H$4:$H$603,资金日记账!$E$4:$E$603,$A49,资金日记账!$V$4:$V$603,G$4),2))</f>
        <v/>
      </c>
      <c r="H49" s="41" t="str">
        <f aca="false">IF($A49="","",ROUND(SUMIFS(资金日记账!$H$4:$H$603,资金日记账!$E$4:$E$603,$A49,资金日记账!$V$4:$V$603,H$4),2))</f>
        <v/>
      </c>
      <c r="I49" s="41" t="str">
        <f aca="false">IF($A49="","",ROUND(SUMIFS(资金日记账!$H$4:$H$603,资金日记账!$E$4:$E$603,$A49,资金日记账!$V$4:$V$603,I$4),2))</f>
        <v/>
      </c>
      <c r="J49" s="41" t="str">
        <f aca="false">IF($A49="","",ROUND(SUMIFS(资金日记账!$H$4:$H$603,资金日记账!$E$4:$E$603,$A49,资金日记账!$V$4:$V$603,J$4),2))</f>
        <v/>
      </c>
      <c r="K49" s="41" t="str">
        <f aca="false">IF($A49="","",ROUND(SUMIFS(资金日记账!$H$4:$H$603,资金日记账!$E$4:$E$603,$A49,资金日记账!$V$4:$V$603,K$4),2))</f>
        <v/>
      </c>
      <c r="L49" s="41" t="str">
        <f aca="false">IF($A49="","",ROUND(SUMIFS(资金日记账!$H$4:$H$603,资金日记账!$E$4:$E$603,$A49,资金日记账!$V$4:$V$603,L$4),2))</f>
        <v/>
      </c>
      <c r="M49" s="41" t="str">
        <f aca="false">IF($A49="","",ROUND(SUMIFS(资金日记账!$H$4:$H$603,资金日记账!$E$4:$E$603,$A49,资金日记账!$V$4:$V$603,M$4),2))</f>
        <v/>
      </c>
      <c r="N49" s="41" t="str">
        <f aca="false">IF($A49="","",ROUND(SUMIFS(资金日记账!$H$4:$H$603,资金日记账!$E$4:$E$603,$A49,资金日记账!$V$4:$V$603,N$4),2))</f>
        <v/>
      </c>
      <c r="O49" s="41" t="str">
        <f aca="false">IF($A49="","",ROUND(SUMIFS(资金日记账!$H$4:$H$603,资金日记账!$E$4:$E$603,$A49,资金日记账!$V$4:$V$603,O$4),2))</f>
        <v/>
      </c>
      <c r="P49" s="41" t="str">
        <f aca="false">IF($A49="","",ROUND(SUMIFS(资金日记账!$H$4:$H$603,资金日记账!$E$4:$E$603,$A49,资金日记账!$V$4:$V$603,P$4),2))</f>
        <v/>
      </c>
      <c r="Q49" s="41" t="str">
        <f aca="false">IF($A49="","",ROUND(SUMIFS(资金日记账!$H$4:$H$603,资金日记账!$E$4:$E$603,$A49,资金日记账!$V$4:$V$603,Q$4),2))</f>
        <v/>
      </c>
      <c r="R49" s="41" t="str">
        <f aca="false">IF($A49="","",ROUND(SUMIFS(资金日记账!$H$4:$H$603,资金日记账!$E$4:$E$603,$A49,资金日记账!$V$4:$V$603,R$4),2))</f>
        <v/>
      </c>
      <c r="S49" s="41" t="str">
        <f aca="false">IF($A49="","",ROUND(SUMIFS(资金日记账!$H$4:$H$603,资金日记账!$E$4:$E$603,$A49,资金日记账!$V$4:$V$603,S$4),2))</f>
        <v/>
      </c>
      <c r="T49" s="41" t="str">
        <f aca="false">IF($A49="","",ROUND(SUMIFS(资金日记账!$H$4:$H$603,资金日记账!$E$4:$E$603,$A49,资金日记账!$V$4:$V$603,T$4),2))</f>
        <v/>
      </c>
      <c r="U49" s="41" t="str">
        <f aca="false">IF($A49="","",ROUND(SUMIFS(资金日记账!$H$4:$H$603,资金日记账!$E$4:$E$603,$A49,资金日记账!$V$4:$V$603,U$4),2))</f>
        <v/>
      </c>
      <c r="V49" s="41" t="str">
        <f aca="false">IF($A49="","",ROUND(SUMIFS(资金日记账!$H$4:$H$603,资金日记账!$E$4:$E$603,$A49,资金日记账!$V$4:$V$603,V$4),2))</f>
        <v/>
      </c>
      <c r="W49" s="41" t="str">
        <f aca="false">IF($A49="","",ROUND(SUMIFS(资金日记账!$H$4:$H$603,资金日记账!$E$4:$E$603,$A49,资金日记账!$V$4:$V$603,W$4),2))</f>
        <v/>
      </c>
      <c r="X49" s="41" t="str">
        <f aca="false">IF($A49="","",ROUND(SUMIFS(资金日记账!$H$4:$H$603,资金日记账!$E$4:$E$603,$A49,资金日记账!$V$4:$V$603,X$4),2))</f>
        <v/>
      </c>
      <c r="Y49" s="41" t="str">
        <f aca="false">IF($A49="","",ROUND(SUMIFS(资金日记账!$H$4:$H$603,资金日记账!$E$4:$E$603,$A49,资金日记账!$V$4:$V$603,Y$4),2))</f>
        <v/>
      </c>
      <c r="Z49" s="142" t="str">
        <f aca="false">IF($A49="","",ROUND(SUM($B49:$Y49),2))</f>
        <v/>
      </c>
    </row>
    <row r="50" customFormat="false" ht="13.5" hidden="false" customHeight="false" outlineLevel="0" collapsed="false">
      <c r="A50" s="33" t="str">
        <f aca="false">IFERROR(INDEX(_自动清单!$AJ$4:$AJ$63,46),"")</f>
        <v/>
      </c>
      <c r="B50" s="41" t="str">
        <f aca="false">IF($A50="","",ROUND(SUMIFS(资金日记账!$H$4:$H$603,资金日记账!$E$4:$E$603,$A50,资金日记账!$V$4:$V$603,B$4),2))</f>
        <v/>
      </c>
      <c r="C50" s="41" t="str">
        <f aca="false">IF($A50="","",ROUND(SUMIFS(资金日记账!$H$4:$H$603,资金日记账!$E$4:$E$603,$A50,资金日记账!$V$4:$V$603,C$4),2))</f>
        <v/>
      </c>
      <c r="D50" s="41" t="str">
        <f aca="false">IF($A50="","",ROUND(SUMIFS(资金日记账!$H$4:$H$603,资金日记账!$E$4:$E$603,$A50,资金日记账!$V$4:$V$603,D$4),2))</f>
        <v/>
      </c>
      <c r="E50" s="41" t="str">
        <f aca="false">IF($A50="","",ROUND(SUMIFS(资金日记账!$H$4:$H$603,资金日记账!$E$4:$E$603,$A50,资金日记账!$V$4:$V$603,E$4),2))</f>
        <v/>
      </c>
      <c r="F50" s="41" t="str">
        <f aca="false">IF($A50="","",ROUND(SUMIFS(资金日记账!$H$4:$H$603,资金日记账!$E$4:$E$603,$A50,资金日记账!$V$4:$V$603,F$4),2))</f>
        <v/>
      </c>
      <c r="G50" s="41" t="str">
        <f aca="false">IF($A50="","",ROUND(SUMIFS(资金日记账!$H$4:$H$603,资金日记账!$E$4:$E$603,$A50,资金日记账!$V$4:$V$603,G$4),2))</f>
        <v/>
      </c>
      <c r="H50" s="41" t="str">
        <f aca="false">IF($A50="","",ROUND(SUMIFS(资金日记账!$H$4:$H$603,资金日记账!$E$4:$E$603,$A50,资金日记账!$V$4:$V$603,H$4),2))</f>
        <v/>
      </c>
      <c r="I50" s="41" t="str">
        <f aca="false">IF($A50="","",ROUND(SUMIFS(资金日记账!$H$4:$H$603,资金日记账!$E$4:$E$603,$A50,资金日记账!$V$4:$V$603,I$4),2))</f>
        <v/>
      </c>
      <c r="J50" s="41" t="str">
        <f aca="false">IF($A50="","",ROUND(SUMIFS(资金日记账!$H$4:$H$603,资金日记账!$E$4:$E$603,$A50,资金日记账!$V$4:$V$603,J$4),2))</f>
        <v/>
      </c>
      <c r="K50" s="41" t="str">
        <f aca="false">IF($A50="","",ROUND(SUMIFS(资金日记账!$H$4:$H$603,资金日记账!$E$4:$E$603,$A50,资金日记账!$V$4:$V$603,K$4),2))</f>
        <v/>
      </c>
      <c r="L50" s="41" t="str">
        <f aca="false">IF($A50="","",ROUND(SUMIFS(资金日记账!$H$4:$H$603,资金日记账!$E$4:$E$603,$A50,资金日记账!$V$4:$V$603,L$4),2))</f>
        <v/>
      </c>
      <c r="M50" s="41" t="str">
        <f aca="false">IF($A50="","",ROUND(SUMIFS(资金日记账!$H$4:$H$603,资金日记账!$E$4:$E$603,$A50,资金日记账!$V$4:$V$603,M$4),2))</f>
        <v/>
      </c>
      <c r="N50" s="41" t="str">
        <f aca="false">IF($A50="","",ROUND(SUMIFS(资金日记账!$H$4:$H$603,资金日记账!$E$4:$E$603,$A50,资金日记账!$V$4:$V$603,N$4),2))</f>
        <v/>
      </c>
      <c r="O50" s="41" t="str">
        <f aca="false">IF($A50="","",ROUND(SUMIFS(资金日记账!$H$4:$H$603,资金日记账!$E$4:$E$603,$A50,资金日记账!$V$4:$V$603,O$4),2))</f>
        <v/>
      </c>
      <c r="P50" s="41" t="str">
        <f aca="false">IF($A50="","",ROUND(SUMIFS(资金日记账!$H$4:$H$603,资金日记账!$E$4:$E$603,$A50,资金日记账!$V$4:$V$603,P$4),2))</f>
        <v/>
      </c>
      <c r="Q50" s="41" t="str">
        <f aca="false">IF($A50="","",ROUND(SUMIFS(资金日记账!$H$4:$H$603,资金日记账!$E$4:$E$603,$A50,资金日记账!$V$4:$V$603,Q$4),2))</f>
        <v/>
      </c>
      <c r="R50" s="41" t="str">
        <f aca="false">IF($A50="","",ROUND(SUMIFS(资金日记账!$H$4:$H$603,资金日记账!$E$4:$E$603,$A50,资金日记账!$V$4:$V$603,R$4),2))</f>
        <v/>
      </c>
      <c r="S50" s="41" t="str">
        <f aca="false">IF($A50="","",ROUND(SUMIFS(资金日记账!$H$4:$H$603,资金日记账!$E$4:$E$603,$A50,资金日记账!$V$4:$V$603,S$4),2))</f>
        <v/>
      </c>
      <c r="T50" s="41" t="str">
        <f aca="false">IF($A50="","",ROUND(SUMIFS(资金日记账!$H$4:$H$603,资金日记账!$E$4:$E$603,$A50,资金日记账!$V$4:$V$603,T$4),2))</f>
        <v/>
      </c>
      <c r="U50" s="41" t="str">
        <f aca="false">IF($A50="","",ROUND(SUMIFS(资金日记账!$H$4:$H$603,资金日记账!$E$4:$E$603,$A50,资金日记账!$V$4:$V$603,U$4),2))</f>
        <v/>
      </c>
      <c r="V50" s="41" t="str">
        <f aca="false">IF($A50="","",ROUND(SUMIFS(资金日记账!$H$4:$H$603,资金日记账!$E$4:$E$603,$A50,资金日记账!$V$4:$V$603,V$4),2))</f>
        <v/>
      </c>
      <c r="W50" s="41" t="str">
        <f aca="false">IF($A50="","",ROUND(SUMIFS(资金日记账!$H$4:$H$603,资金日记账!$E$4:$E$603,$A50,资金日记账!$V$4:$V$603,W$4),2))</f>
        <v/>
      </c>
      <c r="X50" s="41" t="str">
        <f aca="false">IF($A50="","",ROUND(SUMIFS(资金日记账!$H$4:$H$603,资金日记账!$E$4:$E$603,$A50,资金日记账!$V$4:$V$603,X$4),2))</f>
        <v/>
      </c>
      <c r="Y50" s="41" t="str">
        <f aca="false">IF($A50="","",ROUND(SUMIFS(资金日记账!$H$4:$H$603,资金日记账!$E$4:$E$603,$A50,资金日记账!$V$4:$V$603,Y$4),2))</f>
        <v/>
      </c>
      <c r="Z50" s="142" t="str">
        <f aca="false">IF($A50="","",ROUND(SUM($B50:$Y50),2))</f>
        <v/>
      </c>
    </row>
    <row r="51" customFormat="false" ht="13.5" hidden="false" customHeight="false" outlineLevel="0" collapsed="false">
      <c r="A51" s="33" t="str">
        <f aca="false">IFERROR(INDEX(_自动清单!$AJ$4:$AJ$63,47),"")</f>
        <v/>
      </c>
      <c r="B51" s="41" t="str">
        <f aca="false">IF($A51="","",ROUND(SUMIFS(资金日记账!$H$4:$H$603,资金日记账!$E$4:$E$603,$A51,资金日记账!$V$4:$V$603,B$4),2))</f>
        <v/>
      </c>
      <c r="C51" s="41" t="str">
        <f aca="false">IF($A51="","",ROUND(SUMIFS(资金日记账!$H$4:$H$603,资金日记账!$E$4:$E$603,$A51,资金日记账!$V$4:$V$603,C$4),2))</f>
        <v/>
      </c>
      <c r="D51" s="41" t="str">
        <f aca="false">IF($A51="","",ROUND(SUMIFS(资金日记账!$H$4:$H$603,资金日记账!$E$4:$E$603,$A51,资金日记账!$V$4:$V$603,D$4),2))</f>
        <v/>
      </c>
      <c r="E51" s="41" t="str">
        <f aca="false">IF($A51="","",ROUND(SUMIFS(资金日记账!$H$4:$H$603,资金日记账!$E$4:$E$603,$A51,资金日记账!$V$4:$V$603,E$4),2))</f>
        <v/>
      </c>
      <c r="F51" s="41" t="str">
        <f aca="false">IF($A51="","",ROUND(SUMIFS(资金日记账!$H$4:$H$603,资金日记账!$E$4:$E$603,$A51,资金日记账!$V$4:$V$603,F$4),2))</f>
        <v/>
      </c>
      <c r="G51" s="41" t="str">
        <f aca="false">IF($A51="","",ROUND(SUMIFS(资金日记账!$H$4:$H$603,资金日记账!$E$4:$E$603,$A51,资金日记账!$V$4:$V$603,G$4),2))</f>
        <v/>
      </c>
      <c r="H51" s="41" t="str">
        <f aca="false">IF($A51="","",ROUND(SUMIFS(资金日记账!$H$4:$H$603,资金日记账!$E$4:$E$603,$A51,资金日记账!$V$4:$V$603,H$4),2))</f>
        <v/>
      </c>
      <c r="I51" s="41" t="str">
        <f aca="false">IF($A51="","",ROUND(SUMIFS(资金日记账!$H$4:$H$603,资金日记账!$E$4:$E$603,$A51,资金日记账!$V$4:$V$603,I$4),2))</f>
        <v/>
      </c>
      <c r="J51" s="41" t="str">
        <f aca="false">IF($A51="","",ROUND(SUMIFS(资金日记账!$H$4:$H$603,资金日记账!$E$4:$E$603,$A51,资金日记账!$V$4:$V$603,J$4),2))</f>
        <v/>
      </c>
      <c r="K51" s="41" t="str">
        <f aca="false">IF($A51="","",ROUND(SUMIFS(资金日记账!$H$4:$H$603,资金日记账!$E$4:$E$603,$A51,资金日记账!$V$4:$V$603,K$4),2))</f>
        <v/>
      </c>
      <c r="L51" s="41" t="str">
        <f aca="false">IF($A51="","",ROUND(SUMIFS(资金日记账!$H$4:$H$603,资金日记账!$E$4:$E$603,$A51,资金日记账!$V$4:$V$603,L$4),2))</f>
        <v/>
      </c>
      <c r="M51" s="41" t="str">
        <f aca="false">IF($A51="","",ROUND(SUMIFS(资金日记账!$H$4:$H$603,资金日记账!$E$4:$E$603,$A51,资金日记账!$V$4:$V$603,M$4),2))</f>
        <v/>
      </c>
      <c r="N51" s="41" t="str">
        <f aca="false">IF($A51="","",ROUND(SUMIFS(资金日记账!$H$4:$H$603,资金日记账!$E$4:$E$603,$A51,资金日记账!$V$4:$V$603,N$4),2))</f>
        <v/>
      </c>
      <c r="O51" s="41" t="str">
        <f aca="false">IF($A51="","",ROUND(SUMIFS(资金日记账!$H$4:$H$603,资金日记账!$E$4:$E$603,$A51,资金日记账!$V$4:$V$603,O$4),2))</f>
        <v/>
      </c>
      <c r="P51" s="41" t="str">
        <f aca="false">IF($A51="","",ROUND(SUMIFS(资金日记账!$H$4:$H$603,资金日记账!$E$4:$E$603,$A51,资金日记账!$V$4:$V$603,P$4),2))</f>
        <v/>
      </c>
      <c r="Q51" s="41" t="str">
        <f aca="false">IF($A51="","",ROUND(SUMIFS(资金日记账!$H$4:$H$603,资金日记账!$E$4:$E$603,$A51,资金日记账!$V$4:$V$603,Q$4),2))</f>
        <v/>
      </c>
      <c r="R51" s="41" t="str">
        <f aca="false">IF($A51="","",ROUND(SUMIFS(资金日记账!$H$4:$H$603,资金日记账!$E$4:$E$603,$A51,资金日记账!$V$4:$V$603,R$4),2))</f>
        <v/>
      </c>
      <c r="S51" s="41" t="str">
        <f aca="false">IF($A51="","",ROUND(SUMIFS(资金日记账!$H$4:$H$603,资金日记账!$E$4:$E$603,$A51,资金日记账!$V$4:$V$603,S$4),2))</f>
        <v/>
      </c>
      <c r="T51" s="41" t="str">
        <f aca="false">IF($A51="","",ROUND(SUMIFS(资金日记账!$H$4:$H$603,资金日记账!$E$4:$E$603,$A51,资金日记账!$V$4:$V$603,T$4),2))</f>
        <v/>
      </c>
      <c r="U51" s="41" t="str">
        <f aca="false">IF($A51="","",ROUND(SUMIFS(资金日记账!$H$4:$H$603,资金日记账!$E$4:$E$603,$A51,资金日记账!$V$4:$V$603,U$4),2))</f>
        <v/>
      </c>
      <c r="V51" s="41" t="str">
        <f aca="false">IF($A51="","",ROUND(SUMIFS(资金日记账!$H$4:$H$603,资金日记账!$E$4:$E$603,$A51,资金日记账!$V$4:$V$603,V$4),2))</f>
        <v/>
      </c>
      <c r="W51" s="41" t="str">
        <f aca="false">IF($A51="","",ROUND(SUMIFS(资金日记账!$H$4:$H$603,资金日记账!$E$4:$E$603,$A51,资金日记账!$V$4:$V$603,W$4),2))</f>
        <v/>
      </c>
      <c r="X51" s="41" t="str">
        <f aca="false">IF($A51="","",ROUND(SUMIFS(资金日记账!$H$4:$H$603,资金日记账!$E$4:$E$603,$A51,资金日记账!$V$4:$V$603,X$4),2))</f>
        <v/>
      </c>
      <c r="Y51" s="41" t="str">
        <f aca="false">IF($A51="","",ROUND(SUMIFS(资金日记账!$H$4:$H$603,资金日记账!$E$4:$E$603,$A51,资金日记账!$V$4:$V$603,Y$4),2))</f>
        <v/>
      </c>
      <c r="Z51" s="142" t="str">
        <f aca="false">IF($A51="","",ROUND(SUM($B51:$Y51),2))</f>
        <v/>
      </c>
    </row>
    <row r="52" customFormat="false" ht="13.5" hidden="false" customHeight="false" outlineLevel="0" collapsed="false">
      <c r="A52" s="33" t="str">
        <f aca="false">IFERROR(INDEX(_自动清单!$AJ$4:$AJ$63,48),"")</f>
        <v/>
      </c>
      <c r="B52" s="41" t="str">
        <f aca="false">IF($A52="","",ROUND(SUMIFS(资金日记账!$H$4:$H$603,资金日记账!$E$4:$E$603,$A52,资金日记账!$V$4:$V$603,B$4),2))</f>
        <v/>
      </c>
      <c r="C52" s="41" t="str">
        <f aca="false">IF($A52="","",ROUND(SUMIFS(资金日记账!$H$4:$H$603,资金日记账!$E$4:$E$603,$A52,资金日记账!$V$4:$V$603,C$4),2))</f>
        <v/>
      </c>
      <c r="D52" s="41" t="str">
        <f aca="false">IF($A52="","",ROUND(SUMIFS(资金日记账!$H$4:$H$603,资金日记账!$E$4:$E$603,$A52,资金日记账!$V$4:$V$603,D$4),2))</f>
        <v/>
      </c>
      <c r="E52" s="41" t="str">
        <f aca="false">IF($A52="","",ROUND(SUMIFS(资金日记账!$H$4:$H$603,资金日记账!$E$4:$E$603,$A52,资金日记账!$V$4:$V$603,E$4),2))</f>
        <v/>
      </c>
      <c r="F52" s="41" t="str">
        <f aca="false">IF($A52="","",ROUND(SUMIFS(资金日记账!$H$4:$H$603,资金日记账!$E$4:$E$603,$A52,资金日记账!$V$4:$V$603,F$4),2))</f>
        <v/>
      </c>
      <c r="G52" s="41" t="str">
        <f aca="false">IF($A52="","",ROUND(SUMIFS(资金日记账!$H$4:$H$603,资金日记账!$E$4:$E$603,$A52,资金日记账!$V$4:$V$603,G$4),2))</f>
        <v/>
      </c>
      <c r="H52" s="41" t="str">
        <f aca="false">IF($A52="","",ROUND(SUMIFS(资金日记账!$H$4:$H$603,资金日记账!$E$4:$E$603,$A52,资金日记账!$V$4:$V$603,H$4),2))</f>
        <v/>
      </c>
      <c r="I52" s="41" t="str">
        <f aca="false">IF($A52="","",ROUND(SUMIFS(资金日记账!$H$4:$H$603,资金日记账!$E$4:$E$603,$A52,资金日记账!$V$4:$V$603,I$4),2))</f>
        <v/>
      </c>
      <c r="J52" s="41" t="str">
        <f aca="false">IF($A52="","",ROUND(SUMIFS(资金日记账!$H$4:$H$603,资金日记账!$E$4:$E$603,$A52,资金日记账!$V$4:$V$603,J$4),2))</f>
        <v/>
      </c>
      <c r="K52" s="41" t="str">
        <f aca="false">IF($A52="","",ROUND(SUMIFS(资金日记账!$H$4:$H$603,资金日记账!$E$4:$E$603,$A52,资金日记账!$V$4:$V$603,K$4),2))</f>
        <v/>
      </c>
      <c r="L52" s="41" t="str">
        <f aca="false">IF($A52="","",ROUND(SUMIFS(资金日记账!$H$4:$H$603,资金日记账!$E$4:$E$603,$A52,资金日记账!$V$4:$V$603,L$4),2))</f>
        <v/>
      </c>
      <c r="M52" s="41" t="str">
        <f aca="false">IF($A52="","",ROUND(SUMIFS(资金日记账!$H$4:$H$603,资金日记账!$E$4:$E$603,$A52,资金日记账!$V$4:$V$603,M$4),2))</f>
        <v/>
      </c>
      <c r="N52" s="41" t="str">
        <f aca="false">IF($A52="","",ROUND(SUMIFS(资金日记账!$H$4:$H$603,资金日记账!$E$4:$E$603,$A52,资金日记账!$V$4:$V$603,N$4),2))</f>
        <v/>
      </c>
      <c r="O52" s="41" t="str">
        <f aca="false">IF($A52="","",ROUND(SUMIFS(资金日记账!$H$4:$H$603,资金日记账!$E$4:$E$603,$A52,资金日记账!$V$4:$V$603,O$4),2))</f>
        <v/>
      </c>
      <c r="P52" s="41" t="str">
        <f aca="false">IF($A52="","",ROUND(SUMIFS(资金日记账!$H$4:$H$603,资金日记账!$E$4:$E$603,$A52,资金日记账!$V$4:$V$603,P$4),2))</f>
        <v/>
      </c>
      <c r="Q52" s="41" t="str">
        <f aca="false">IF($A52="","",ROUND(SUMIFS(资金日记账!$H$4:$H$603,资金日记账!$E$4:$E$603,$A52,资金日记账!$V$4:$V$603,Q$4),2))</f>
        <v/>
      </c>
      <c r="R52" s="41" t="str">
        <f aca="false">IF($A52="","",ROUND(SUMIFS(资金日记账!$H$4:$H$603,资金日记账!$E$4:$E$603,$A52,资金日记账!$V$4:$V$603,R$4),2))</f>
        <v/>
      </c>
      <c r="S52" s="41" t="str">
        <f aca="false">IF($A52="","",ROUND(SUMIFS(资金日记账!$H$4:$H$603,资金日记账!$E$4:$E$603,$A52,资金日记账!$V$4:$V$603,S$4),2))</f>
        <v/>
      </c>
      <c r="T52" s="41" t="str">
        <f aca="false">IF($A52="","",ROUND(SUMIFS(资金日记账!$H$4:$H$603,资金日记账!$E$4:$E$603,$A52,资金日记账!$V$4:$V$603,T$4),2))</f>
        <v/>
      </c>
      <c r="U52" s="41" t="str">
        <f aca="false">IF($A52="","",ROUND(SUMIFS(资金日记账!$H$4:$H$603,资金日记账!$E$4:$E$603,$A52,资金日记账!$V$4:$V$603,U$4),2))</f>
        <v/>
      </c>
      <c r="V52" s="41" t="str">
        <f aca="false">IF($A52="","",ROUND(SUMIFS(资金日记账!$H$4:$H$603,资金日记账!$E$4:$E$603,$A52,资金日记账!$V$4:$V$603,V$4),2))</f>
        <v/>
      </c>
      <c r="W52" s="41" t="str">
        <f aca="false">IF($A52="","",ROUND(SUMIFS(资金日记账!$H$4:$H$603,资金日记账!$E$4:$E$603,$A52,资金日记账!$V$4:$V$603,W$4),2))</f>
        <v/>
      </c>
      <c r="X52" s="41" t="str">
        <f aca="false">IF($A52="","",ROUND(SUMIFS(资金日记账!$H$4:$H$603,资金日记账!$E$4:$E$603,$A52,资金日记账!$V$4:$V$603,X$4),2))</f>
        <v/>
      </c>
      <c r="Y52" s="41" t="str">
        <f aca="false">IF($A52="","",ROUND(SUMIFS(资金日记账!$H$4:$H$603,资金日记账!$E$4:$E$603,$A52,资金日记账!$V$4:$V$603,Y$4),2))</f>
        <v/>
      </c>
      <c r="Z52" s="142" t="str">
        <f aca="false">IF($A52="","",ROUND(SUM($B52:$Y52),2))</f>
        <v/>
      </c>
    </row>
    <row r="53" customFormat="false" ht="13.5" hidden="false" customHeight="false" outlineLevel="0" collapsed="false">
      <c r="A53" s="33" t="str">
        <f aca="false">IFERROR(INDEX(_自动清单!$AJ$4:$AJ$63,49),"")</f>
        <v/>
      </c>
      <c r="B53" s="41" t="str">
        <f aca="false">IF($A53="","",ROUND(SUMIFS(资金日记账!$H$4:$H$603,资金日记账!$E$4:$E$603,$A53,资金日记账!$V$4:$V$603,B$4),2))</f>
        <v/>
      </c>
      <c r="C53" s="41" t="str">
        <f aca="false">IF($A53="","",ROUND(SUMIFS(资金日记账!$H$4:$H$603,资金日记账!$E$4:$E$603,$A53,资金日记账!$V$4:$V$603,C$4),2))</f>
        <v/>
      </c>
      <c r="D53" s="41" t="str">
        <f aca="false">IF($A53="","",ROUND(SUMIFS(资金日记账!$H$4:$H$603,资金日记账!$E$4:$E$603,$A53,资金日记账!$V$4:$V$603,D$4),2))</f>
        <v/>
      </c>
      <c r="E53" s="41" t="str">
        <f aca="false">IF($A53="","",ROUND(SUMIFS(资金日记账!$H$4:$H$603,资金日记账!$E$4:$E$603,$A53,资金日记账!$V$4:$V$603,E$4),2))</f>
        <v/>
      </c>
      <c r="F53" s="41" t="str">
        <f aca="false">IF($A53="","",ROUND(SUMIFS(资金日记账!$H$4:$H$603,资金日记账!$E$4:$E$603,$A53,资金日记账!$V$4:$V$603,F$4),2))</f>
        <v/>
      </c>
      <c r="G53" s="41" t="str">
        <f aca="false">IF($A53="","",ROUND(SUMIFS(资金日记账!$H$4:$H$603,资金日记账!$E$4:$E$603,$A53,资金日记账!$V$4:$V$603,G$4),2))</f>
        <v/>
      </c>
      <c r="H53" s="41" t="str">
        <f aca="false">IF($A53="","",ROUND(SUMIFS(资金日记账!$H$4:$H$603,资金日记账!$E$4:$E$603,$A53,资金日记账!$V$4:$V$603,H$4),2))</f>
        <v/>
      </c>
      <c r="I53" s="41" t="str">
        <f aca="false">IF($A53="","",ROUND(SUMIFS(资金日记账!$H$4:$H$603,资金日记账!$E$4:$E$603,$A53,资金日记账!$V$4:$V$603,I$4),2))</f>
        <v/>
      </c>
      <c r="J53" s="41" t="str">
        <f aca="false">IF($A53="","",ROUND(SUMIFS(资金日记账!$H$4:$H$603,资金日记账!$E$4:$E$603,$A53,资金日记账!$V$4:$V$603,J$4),2))</f>
        <v/>
      </c>
      <c r="K53" s="41" t="str">
        <f aca="false">IF($A53="","",ROUND(SUMIFS(资金日记账!$H$4:$H$603,资金日记账!$E$4:$E$603,$A53,资金日记账!$V$4:$V$603,K$4),2))</f>
        <v/>
      </c>
      <c r="L53" s="41" t="str">
        <f aca="false">IF($A53="","",ROUND(SUMIFS(资金日记账!$H$4:$H$603,资金日记账!$E$4:$E$603,$A53,资金日记账!$V$4:$V$603,L$4),2))</f>
        <v/>
      </c>
      <c r="M53" s="41" t="str">
        <f aca="false">IF($A53="","",ROUND(SUMIFS(资金日记账!$H$4:$H$603,资金日记账!$E$4:$E$603,$A53,资金日记账!$V$4:$V$603,M$4),2))</f>
        <v/>
      </c>
      <c r="N53" s="41" t="str">
        <f aca="false">IF($A53="","",ROUND(SUMIFS(资金日记账!$H$4:$H$603,资金日记账!$E$4:$E$603,$A53,资金日记账!$V$4:$V$603,N$4),2))</f>
        <v/>
      </c>
      <c r="O53" s="41" t="str">
        <f aca="false">IF($A53="","",ROUND(SUMIFS(资金日记账!$H$4:$H$603,资金日记账!$E$4:$E$603,$A53,资金日记账!$V$4:$V$603,O$4),2))</f>
        <v/>
      </c>
      <c r="P53" s="41" t="str">
        <f aca="false">IF($A53="","",ROUND(SUMIFS(资金日记账!$H$4:$H$603,资金日记账!$E$4:$E$603,$A53,资金日记账!$V$4:$V$603,P$4),2))</f>
        <v/>
      </c>
      <c r="Q53" s="41" t="str">
        <f aca="false">IF($A53="","",ROUND(SUMIFS(资金日记账!$H$4:$H$603,资金日记账!$E$4:$E$603,$A53,资金日记账!$V$4:$V$603,Q$4),2))</f>
        <v/>
      </c>
      <c r="R53" s="41" t="str">
        <f aca="false">IF($A53="","",ROUND(SUMIFS(资金日记账!$H$4:$H$603,资金日记账!$E$4:$E$603,$A53,资金日记账!$V$4:$V$603,R$4),2))</f>
        <v/>
      </c>
      <c r="S53" s="41" t="str">
        <f aca="false">IF($A53="","",ROUND(SUMIFS(资金日记账!$H$4:$H$603,资金日记账!$E$4:$E$603,$A53,资金日记账!$V$4:$V$603,S$4),2))</f>
        <v/>
      </c>
      <c r="T53" s="41" t="str">
        <f aca="false">IF($A53="","",ROUND(SUMIFS(资金日记账!$H$4:$H$603,资金日记账!$E$4:$E$603,$A53,资金日记账!$V$4:$V$603,T$4),2))</f>
        <v/>
      </c>
      <c r="U53" s="41" t="str">
        <f aca="false">IF($A53="","",ROUND(SUMIFS(资金日记账!$H$4:$H$603,资金日记账!$E$4:$E$603,$A53,资金日记账!$V$4:$V$603,U$4),2))</f>
        <v/>
      </c>
      <c r="V53" s="41" t="str">
        <f aca="false">IF($A53="","",ROUND(SUMIFS(资金日记账!$H$4:$H$603,资金日记账!$E$4:$E$603,$A53,资金日记账!$V$4:$V$603,V$4),2))</f>
        <v/>
      </c>
      <c r="W53" s="41" t="str">
        <f aca="false">IF($A53="","",ROUND(SUMIFS(资金日记账!$H$4:$H$603,资金日记账!$E$4:$E$603,$A53,资金日记账!$V$4:$V$603,W$4),2))</f>
        <v/>
      </c>
      <c r="X53" s="41" t="str">
        <f aca="false">IF($A53="","",ROUND(SUMIFS(资金日记账!$H$4:$H$603,资金日记账!$E$4:$E$603,$A53,资金日记账!$V$4:$V$603,X$4),2))</f>
        <v/>
      </c>
      <c r="Y53" s="41" t="str">
        <f aca="false">IF($A53="","",ROUND(SUMIFS(资金日记账!$H$4:$H$603,资金日记账!$E$4:$E$603,$A53,资金日记账!$V$4:$V$603,Y$4),2))</f>
        <v/>
      </c>
      <c r="Z53" s="142" t="str">
        <f aca="false">IF($A53="","",ROUND(SUM($B53:$Y53),2))</f>
        <v/>
      </c>
    </row>
    <row r="54" customFormat="false" ht="13.5" hidden="false" customHeight="false" outlineLevel="0" collapsed="false">
      <c r="A54" s="33" t="str">
        <f aca="false">IFERROR(INDEX(_自动清单!$AJ$4:$AJ$63,50),"")</f>
        <v/>
      </c>
      <c r="B54" s="41" t="str">
        <f aca="false">IF($A54="","",ROUND(SUMIFS(资金日记账!$H$4:$H$603,资金日记账!$E$4:$E$603,$A54,资金日记账!$V$4:$V$603,B$4),2))</f>
        <v/>
      </c>
      <c r="C54" s="41" t="str">
        <f aca="false">IF($A54="","",ROUND(SUMIFS(资金日记账!$H$4:$H$603,资金日记账!$E$4:$E$603,$A54,资金日记账!$V$4:$V$603,C$4),2))</f>
        <v/>
      </c>
      <c r="D54" s="41" t="str">
        <f aca="false">IF($A54="","",ROUND(SUMIFS(资金日记账!$H$4:$H$603,资金日记账!$E$4:$E$603,$A54,资金日记账!$V$4:$V$603,D$4),2))</f>
        <v/>
      </c>
      <c r="E54" s="41" t="str">
        <f aca="false">IF($A54="","",ROUND(SUMIFS(资金日记账!$H$4:$H$603,资金日记账!$E$4:$E$603,$A54,资金日记账!$V$4:$V$603,E$4),2))</f>
        <v/>
      </c>
      <c r="F54" s="41" t="str">
        <f aca="false">IF($A54="","",ROUND(SUMIFS(资金日记账!$H$4:$H$603,资金日记账!$E$4:$E$603,$A54,资金日记账!$V$4:$V$603,F$4),2))</f>
        <v/>
      </c>
      <c r="G54" s="41" t="str">
        <f aca="false">IF($A54="","",ROUND(SUMIFS(资金日记账!$H$4:$H$603,资金日记账!$E$4:$E$603,$A54,资金日记账!$V$4:$V$603,G$4),2))</f>
        <v/>
      </c>
      <c r="H54" s="41" t="str">
        <f aca="false">IF($A54="","",ROUND(SUMIFS(资金日记账!$H$4:$H$603,资金日记账!$E$4:$E$603,$A54,资金日记账!$V$4:$V$603,H$4),2))</f>
        <v/>
      </c>
      <c r="I54" s="41" t="str">
        <f aca="false">IF($A54="","",ROUND(SUMIFS(资金日记账!$H$4:$H$603,资金日记账!$E$4:$E$603,$A54,资金日记账!$V$4:$V$603,I$4),2))</f>
        <v/>
      </c>
      <c r="J54" s="41" t="str">
        <f aca="false">IF($A54="","",ROUND(SUMIFS(资金日记账!$H$4:$H$603,资金日记账!$E$4:$E$603,$A54,资金日记账!$V$4:$V$603,J$4),2))</f>
        <v/>
      </c>
      <c r="K54" s="41" t="str">
        <f aca="false">IF($A54="","",ROUND(SUMIFS(资金日记账!$H$4:$H$603,资金日记账!$E$4:$E$603,$A54,资金日记账!$V$4:$V$603,K$4),2))</f>
        <v/>
      </c>
      <c r="L54" s="41" t="str">
        <f aca="false">IF($A54="","",ROUND(SUMIFS(资金日记账!$H$4:$H$603,资金日记账!$E$4:$E$603,$A54,资金日记账!$V$4:$V$603,L$4),2))</f>
        <v/>
      </c>
      <c r="M54" s="41" t="str">
        <f aca="false">IF($A54="","",ROUND(SUMIFS(资金日记账!$H$4:$H$603,资金日记账!$E$4:$E$603,$A54,资金日记账!$V$4:$V$603,M$4),2))</f>
        <v/>
      </c>
      <c r="N54" s="41" t="str">
        <f aca="false">IF($A54="","",ROUND(SUMIFS(资金日记账!$H$4:$H$603,资金日记账!$E$4:$E$603,$A54,资金日记账!$V$4:$V$603,N$4),2))</f>
        <v/>
      </c>
      <c r="O54" s="41" t="str">
        <f aca="false">IF($A54="","",ROUND(SUMIFS(资金日记账!$H$4:$H$603,资金日记账!$E$4:$E$603,$A54,资金日记账!$V$4:$V$603,O$4),2))</f>
        <v/>
      </c>
      <c r="P54" s="41" t="str">
        <f aca="false">IF($A54="","",ROUND(SUMIFS(资金日记账!$H$4:$H$603,资金日记账!$E$4:$E$603,$A54,资金日记账!$V$4:$V$603,P$4),2))</f>
        <v/>
      </c>
      <c r="Q54" s="41" t="str">
        <f aca="false">IF($A54="","",ROUND(SUMIFS(资金日记账!$H$4:$H$603,资金日记账!$E$4:$E$603,$A54,资金日记账!$V$4:$V$603,Q$4),2))</f>
        <v/>
      </c>
      <c r="R54" s="41" t="str">
        <f aca="false">IF($A54="","",ROUND(SUMIFS(资金日记账!$H$4:$H$603,资金日记账!$E$4:$E$603,$A54,资金日记账!$V$4:$V$603,R$4),2))</f>
        <v/>
      </c>
      <c r="S54" s="41" t="str">
        <f aca="false">IF($A54="","",ROUND(SUMIFS(资金日记账!$H$4:$H$603,资金日记账!$E$4:$E$603,$A54,资金日记账!$V$4:$V$603,S$4),2))</f>
        <v/>
      </c>
      <c r="T54" s="41" t="str">
        <f aca="false">IF($A54="","",ROUND(SUMIFS(资金日记账!$H$4:$H$603,资金日记账!$E$4:$E$603,$A54,资金日记账!$V$4:$V$603,T$4),2))</f>
        <v/>
      </c>
      <c r="U54" s="41" t="str">
        <f aca="false">IF($A54="","",ROUND(SUMIFS(资金日记账!$H$4:$H$603,资金日记账!$E$4:$E$603,$A54,资金日记账!$V$4:$V$603,U$4),2))</f>
        <v/>
      </c>
      <c r="V54" s="41" t="str">
        <f aca="false">IF($A54="","",ROUND(SUMIFS(资金日记账!$H$4:$H$603,资金日记账!$E$4:$E$603,$A54,资金日记账!$V$4:$V$603,V$4),2))</f>
        <v/>
      </c>
      <c r="W54" s="41" t="str">
        <f aca="false">IF($A54="","",ROUND(SUMIFS(资金日记账!$H$4:$H$603,资金日记账!$E$4:$E$603,$A54,资金日记账!$V$4:$V$603,W$4),2))</f>
        <v/>
      </c>
      <c r="X54" s="41" t="str">
        <f aca="false">IF($A54="","",ROUND(SUMIFS(资金日记账!$H$4:$H$603,资金日记账!$E$4:$E$603,$A54,资金日记账!$V$4:$V$603,X$4),2))</f>
        <v/>
      </c>
      <c r="Y54" s="41" t="str">
        <f aca="false">IF($A54="","",ROUND(SUMIFS(资金日记账!$H$4:$H$603,资金日记账!$E$4:$E$603,$A54,资金日记账!$V$4:$V$603,Y$4),2))</f>
        <v/>
      </c>
      <c r="Z54" s="142" t="str">
        <f aca="false">IF($A54="","",ROUND(SUM($B54:$Y54),2))</f>
        <v/>
      </c>
    </row>
    <row r="55" customFormat="false" ht="13.5" hidden="false" customHeight="false" outlineLevel="0" collapsed="false">
      <c r="A55" s="33" t="str">
        <f aca="false">IFERROR(INDEX(_自动清单!$AJ$4:$AJ$63,51),"")</f>
        <v/>
      </c>
      <c r="B55" s="41" t="str">
        <f aca="false">IF($A55="","",ROUND(SUMIFS(资金日记账!$H$4:$H$603,资金日记账!$E$4:$E$603,$A55,资金日记账!$V$4:$V$603,B$4),2))</f>
        <v/>
      </c>
      <c r="C55" s="41" t="str">
        <f aca="false">IF($A55="","",ROUND(SUMIFS(资金日记账!$H$4:$H$603,资金日记账!$E$4:$E$603,$A55,资金日记账!$V$4:$V$603,C$4),2))</f>
        <v/>
      </c>
      <c r="D55" s="41" t="str">
        <f aca="false">IF($A55="","",ROUND(SUMIFS(资金日记账!$H$4:$H$603,资金日记账!$E$4:$E$603,$A55,资金日记账!$V$4:$V$603,D$4),2))</f>
        <v/>
      </c>
      <c r="E55" s="41" t="str">
        <f aca="false">IF($A55="","",ROUND(SUMIFS(资金日记账!$H$4:$H$603,资金日记账!$E$4:$E$603,$A55,资金日记账!$V$4:$V$603,E$4),2))</f>
        <v/>
      </c>
      <c r="F55" s="41" t="str">
        <f aca="false">IF($A55="","",ROUND(SUMIFS(资金日记账!$H$4:$H$603,资金日记账!$E$4:$E$603,$A55,资金日记账!$V$4:$V$603,F$4),2))</f>
        <v/>
      </c>
      <c r="G55" s="41" t="str">
        <f aca="false">IF($A55="","",ROUND(SUMIFS(资金日记账!$H$4:$H$603,资金日记账!$E$4:$E$603,$A55,资金日记账!$V$4:$V$603,G$4),2))</f>
        <v/>
      </c>
      <c r="H55" s="41" t="str">
        <f aca="false">IF($A55="","",ROUND(SUMIFS(资金日记账!$H$4:$H$603,资金日记账!$E$4:$E$603,$A55,资金日记账!$V$4:$V$603,H$4),2))</f>
        <v/>
      </c>
      <c r="I55" s="41" t="str">
        <f aca="false">IF($A55="","",ROUND(SUMIFS(资金日记账!$H$4:$H$603,资金日记账!$E$4:$E$603,$A55,资金日记账!$V$4:$V$603,I$4),2))</f>
        <v/>
      </c>
      <c r="J55" s="41" t="str">
        <f aca="false">IF($A55="","",ROUND(SUMIFS(资金日记账!$H$4:$H$603,资金日记账!$E$4:$E$603,$A55,资金日记账!$V$4:$V$603,J$4),2))</f>
        <v/>
      </c>
      <c r="K55" s="41" t="str">
        <f aca="false">IF($A55="","",ROUND(SUMIFS(资金日记账!$H$4:$H$603,资金日记账!$E$4:$E$603,$A55,资金日记账!$V$4:$V$603,K$4),2))</f>
        <v/>
      </c>
      <c r="L55" s="41" t="str">
        <f aca="false">IF($A55="","",ROUND(SUMIFS(资金日记账!$H$4:$H$603,资金日记账!$E$4:$E$603,$A55,资金日记账!$V$4:$V$603,L$4),2))</f>
        <v/>
      </c>
      <c r="M55" s="41" t="str">
        <f aca="false">IF($A55="","",ROUND(SUMIFS(资金日记账!$H$4:$H$603,资金日记账!$E$4:$E$603,$A55,资金日记账!$V$4:$V$603,M$4),2))</f>
        <v/>
      </c>
      <c r="N55" s="41" t="str">
        <f aca="false">IF($A55="","",ROUND(SUMIFS(资金日记账!$H$4:$H$603,资金日记账!$E$4:$E$603,$A55,资金日记账!$V$4:$V$603,N$4),2))</f>
        <v/>
      </c>
      <c r="O55" s="41" t="str">
        <f aca="false">IF($A55="","",ROUND(SUMIFS(资金日记账!$H$4:$H$603,资金日记账!$E$4:$E$603,$A55,资金日记账!$V$4:$V$603,O$4),2))</f>
        <v/>
      </c>
      <c r="P55" s="41" t="str">
        <f aca="false">IF($A55="","",ROUND(SUMIFS(资金日记账!$H$4:$H$603,资金日记账!$E$4:$E$603,$A55,资金日记账!$V$4:$V$603,P$4),2))</f>
        <v/>
      </c>
      <c r="Q55" s="41" t="str">
        <f aca="false">IF($A55="","",ROUND(SUMIFS(资金日记账!$H$4:$H$603,资金日记账!$E$4:$E$603,$A55,资金日记账!$V$4:$V$603,Q$4),2))</f>
        <v/>
      </c>
      <c r="R55" s="41" t="str">
        <f aca="false">IF($A55="","",ROUND(SUMIFS(资金日记账!$H$4:$H$603,资金日记账!$E$4:$E$603,$A55,资金日记账!$V$4:$V$603,R$4),2))</f>
        <v/>
      </c>
      <c r="S55" s="41" t="str">
        <f aca="false">IF($A55="","",ROUND(SUMIFS(资金日记账!$H$4:$H$603,资金日记账!$E$4:$E$603,$A55,资金日记账!$V$4:$V$603,S$4),2))</f>
        <v/>
      </c>
      <c r="T55" s="41" t="str">
        <f aca="false">IF($A55="","",ROUND(SUMIFS(资金日记账!$H$4:$H$603,资金日记账!$E$4:$E$603,$A55,资金日记账!$V$4:$V$603,T$4),2))</f>
        <v/>
      </c>
      <c r="U55" s="41" t="str">
        <f aca="false">IF($A55="","",ROUND(SUMIFS(资金日记账!$H$4:$H$603,资金日记账!$E$4:$E$603,$A55,资金日记账!$V$4:$V$603,U$4),2))</f>
        <v/>
      </c>
      <c r="V55" s="41" t="str">
        <f aca="false">IF($A55="","",ROUND(SUMIFS(资金日记账!$H$4:$H$603,资金日记账!$E$4:$E$603,$A55,资金日记账!$V$4:$V$603,V$4),2))</f>
        <v/>
      </c>
      <c r="W55" s="41" t="str">
        <f aca="false">IF($A55="","",ROUND(SUMIFS(资金日记账!$H$4:$H$603,资金日记账!$E$4:$E$603,$A55,资金日记账!$V$4:$V$603,W$4),2))</f>
        <v/>
      </c>
      <c r="X55" s="41" t="str">
        <f aca="false">IF($A55="","",ROUND(SUMIFS(资金日记账!$H$4:$H$603,资金日记账!$E$4:$E$603,$A55,资金日记账!$V$4:$V$603,X$4),2))</f>
        <v/>
      </c>
      <c r="Y55" s="41" t="str">
        <f aca="false">IF($A55="","",ROUND(SUMIFS(资金日记账!$H$4:$H$603,资金日记账!$E$4:$E$603,$A55,资金日记账!$V$4:$V$603,Y$4),2))</f>
        <v/>
      </c>
      <c r="Z55" s="142" t="str">
        <f aca="false">IF($A55="","",ROUND(SUM($B55:$Y55),2))</f>
        <v/>
      </c>
    </row>
    <row r="56" customFormat="false" ht="13.5" hidden="false" customHeight="false" outlineLevel="0" collapsed="false">
      <c r="A56" s="33" t="str">
        <f aca="false">IFERROR(INDEX(_自动清单!$AJ$4:$AJ$63,52),"")</f>
        <v/>
      </c>
      <c r="B56" s="41" t="str">
        <f aca="false">IF($A56="","",ROUND(SUMIFS(资金日记账!$H$4:$H$603,资金日记账!$E$4:$E$603,$A56,资金日记账!$V$4:$V$603,B$4),2))</f>
        <v/>
      </c>
      <c r="C56" s="41" t="str">
        <f aca="false">IF($A56="","",ROUND(SUMIFS(资金日记账!$H$4:$H$603,资金日记账!$E$4:$E$603,$A56,资金日记账!$V$4:$V$603,C$4),2))</f>
        <v/>
      </c>
      <c r="D56" s="41" t="str">
        <f aca="false">IF($A56="","",ROUND(SUMIFS(资金日记账!$H$4:$H$603,资金日记账!$E$4:$E$603,$A56,资金日记账!$V$4:$V$603,D$4),2))</f>
        <v/>
      </c>
      <c r="E56" s="41" t="str">
        <f aca="false">IF($A56="","",ROUND(SUMIFS(资金日记账!$H$4:$H$603,资金日记账!$E$4:$E$603,$A56,资金日记账!$V$4:$V$603,E$4),2))</f>
        <v/>
      </c>
      <c r="F56" s="41" t="str">
        <f aca="false">IF($A56="","",ROUND(SUMIFS(资金日记账!$H$4:$H$603,资金日记账!$E$4:$E$603,$A56,资金日记账!$V$4:$V$603,F$4),2))</f>
        <v/>
      </c>
      <c r="G56" s="41" t="str">
        <f aca="false">IF($A56="","",ROUND(SUMIFS(资金日记账!$H$4:$H$603,资金日记账!$E$4:$E$603,$A56,资金日记账!$V$4:$V$603,G$4),2))</f>
        <v/>
      </c>
      <c r="H56" s="41" t="str">
        <f aca="false">IF($A56="","",ROUND(SUMIFS(资金日记账!$H$4:$H$603,资金日记账!$E$4:$E$603,$A56,资金日记账!$V$4:$V$603,H$4),2))</f>
        <v/>
      </c>
      <c r="I56" s="41" t="str">
        <f aca="false">IF($A56="","",ROUND(SUMIFS(资金日记账!$H$4:$H$603,资金日记账!$E$4:$E$603,$A56,资金日记账!$V$4:$V$603,I$4),2))</f>
        <v/>
      </c>
      <c r="J56" s="41" t="str">
        <f aca="false">IF($A56="","",ROUND(SUMIFS(资金日记账!$H$4:$H$603,资金日记账!$E$4:$E$603,$A56,资金日记账!$V$4:$V$603,J$4),2))</f>
        <v/>
      </c>
      <c r="K56" s="41" t="str">
        <f aca="false">IF($A56="","",ROUND(SUMIFS(资金日记账!$H$4:$H$603,资金日记账!$E$4:$E$603,$A56,资金日记账!$V$4:$V$603,K$4),2))</f>
        <v/>
      </c>
      <c r="L56" s="41" t="str">
        <f aca="false">IF($A56="","",ROUND(SUMIFS(资金日记账!$H$4:$H$603,资金日记账!$E$4:$E$603,$A56,资金日记账!$V$4:$V$603,L$4),2))</f>
        <v/>
      </c>
      <c r="M56" s="41" t="str">
        <f aca="false">IF($A56="","",ROUND(SUMIFS(资金日记账!$H$4:$H$603,资金日记账!$E$4:$E$603,$A56,资金日记账!$V$4:$V$603,M$4),2))</f>
        <v/>
      </c>
      <c r="N56" s="41" t="str">
        <f aca="false">IF($A56="","",ROUND(SUMIFS(资金日记账!$H$4:$H$603,资金日记账!$E$4:$E$603,$A56,资金日记账!$V$4:$V$603,N$4),2))</f>
        <v/>
      </c>
      <c r="O56" s="41" t="str">
        <f aca="false">IF($A56="","",ROUND(SUMIFS(资金日记账!$H$4:$H$603,资金日记账!$E$4:$E$603,$A56,资金日记账!$V$4:$V$603,O$4),2))</f>
        <v/>
      </c>
      <c r="P56" s="41" t="str">
        <f aca="false">IF($A56="","",ROUND(SUMIFS(资金日记账!$H$4:$H$603,资金日记账!$E$4:$E$603,$A56,资金日记账!$V$4:$V$603,P$4),2))</f>
        <v/>
      </c>
      <c r="Q56" s="41" t="str">
        <f aca="false">IF($A56="","",ROUND(SUMIFS(资金日记账!$H$4:$H$603,资金日记账!$E$4:$E$603,$A56,资金日记账!$V$4:$V$603,Q$4),2))</f>
        <v/>
      </c>
      <c r="R56" s="41" t="str">
        <f aca="false">IF($A56="","",ROUND(SUMIFS(资金日记账!$H$4:$H$603,资金日记账!$E$4:$E$603,$A56,资金日记账!$V$4:$V$603,R$4),2))</f>
        <v/>
      </c>
      <c r="S56" s="41" t="str">
        <f aca="false">IF($A56="","",ROUND(SUMIFS(资金日记账!$H$4:$H$603,资金日记账!$E$4:$E$603,$A56,资金日记账!$V$4:$V$603,S$4),2))</f>
        <v/>
      </c>
      <c r="T56" s="41" t="str">
        <f aca="false">IF($A56="","",ROUND(SUMIFS(资金日记账!$H$4:$H$603,资金日记账!$E$4:$E$603,$A56,资金日记账!$V$4:$V$603,T$4),2))</f>
        <v/>
      </c>
      <c r="U56" s="41" t="str">
        <f aca="false">IF($A56="","",ROUND(SUMIFS(资金日记账!$H$4:$H$603,资金日记账!$E$4:$E$603,$A56,资金日记账!$V$4:$V$603,U$4),2))</f>
        <v/>
      </c>
      <c r="V56" s="41" t="str">
        <f aca="false">IF($A56="","",ROUND(SUMIFS(资金日记账!$H$4:$H$603,资金日记账!$E$4:$E$603,$A56,资金日记账!$V$4:$V$603,V$4),2))</f>
        <v/>
      </c>
      <c r="W56" s="41" t="str">
        <f aca="false">IF($A56="","",ROUND(SUMIFS(资金日记账!$H$4:$H$603,资金日记账!$E$4:$E$603,$A56,资金日记账!$V$4:$V$603,W$4),2))</f>
        <v/>
      </c>
      <c r="X56" s="41" t="str">
        <f aca="false">IF($A56="","",ROUND(SUMIFS(资金日记账!$H$4:$H$603,资金日记账!$E$4:$E$603,$A56,资金日记账!$V$4:$V$603,X$4),2))</f>
        <v/>
      </c>
      <c r="Y56" s="41" t="str">
        <f aca="false">IF($A56="","",ROUND(SUMIFS(资金日记账!$H$4:$H$603,资金日记账!$E$4:$E$603,$A56,资金日记账!$V$4:$V$603,Y$4),2))</f>
        <v/>
      </c>
      <c r="Z56" s="142" t="str">
        <f aca="false">IF($A56="","",ROUND(SUM($B56:$Y56),2))</f>
        <v/>
      </c>
    </row>
    <row r="57" customFormat="false" ht="13.5" hidden="false" customHeight="false" outlineLevel="0" collapsed="false">
      <c r="A57" s="33" t="str">
        <f aca="false">IFERROR(INDEX(_自动清单!$AJ$4:$AJ$63,53),"")</f>
        <v/>
      </c>
      <c r="B57" s="41" t="str">
        <f aca="false">IF($A57="","",ROUND(SUMIFS(资金日记账!$H$4:$H$603,资金日记账!$E$4:$E$603,$A57,资金日记账!$V$4:$V$603,B$4),2))</f>
        <v/>
      </c>
      <c r="C57" s="41" t="str">
        <f aca="false">IF($A57="","",ROUND(SUMIFS(资金日记账!$H$4:$H$603,资金日记账!$E$4:$E$603,$A57,资金日记账!$V$4:$V$603,C$4),2))</f>
        <v/>
      </c>
      <c r="D57" s="41" t="str">
        <f aca="false">IF($A57="","",ROUND(SUMIFS(资金日记账!$H$4:$H$603,资金日记账!$E$4:$E$603,$A57,资金日记账!$V$4:$V$603,D$4),2))</f>
        <v/>
      </c>
      <c r="E57" s="41" t="str">
        <f aca="false">IF($A57="","",ROUND(SUMIFS(资金日记账!$H$4:$H$603,资金日记账!$E$4:$E$603,$A57,资金日记账!$V$4:$V$603,E$4),2))</f>
        <v/>
      </c>
      <c r="F57" s="41" t="str">
        <f aca="false">IF($A57="","",ROUND(SUMIFS(资金日记账!$H$4:$H$603,资金日记账!$E$4:$E$603,$A57,资金日记账!$V$4:$V$603,F$4),2))</f>
        <v/>
      </c>
      <c r="G57" s="41" t="str">
        <f aca="false">IF($A57="","",ROUND(SUMIFS(资金日记账!$H$4:$H$603,资金日记账!$E$4:$E$603,$A57,资金日记账!$V$4:$V$603,G$4),2))</f>
        <v/>
      </c>
      <c r="H57" s="41" t="str">
        <f aca="false">IF($A57="","",ROUND(SUMIFS(资金日记账!$H$4:$H$603,资金日记账!$E$4:$E$603,$A57,资金日记账!$V$4:$V$603,H$4),2))</f>
        <v/>
      </c>
      <c r="I57" s="41" t="str">
        <f aca="false">IF($A57="","",ROUND(SUMIFS(资金日记账!$H$4:$H$603,资金日记账!$E$4:$E$603,$A57,资金日记账!$V$4:$V$603,I$4),2))</f>
        <v/>
      </c>
      <c r="J57" s="41" t="str">
        <f aca="false">IF($A57="","",ROUND(SUMIFS(资金日记账!$H$4:$H$603,资金日记账!$E$4:$E$603,$A57,资金日记账!$V$4:$V$603,J$4),2))</f>
        <v/>
      </c>
      <c r="K57" s="41" t="str">
        <f aca="false">IF($A57="","",ROUND(SUMIFS(资金日记账!$H$4:$H$603,资金日记账!$E$4:$E$603,$A57,资金日记账!$V$4:$V$603,K$4),2))</f>
        <v/>
      </c>
      <c r="L57" s="41" t="str">
        <f aca="false">IF($A57="","",ROUND(SUMIFS(资金日记账!$H$4:$H$603,资金日记账!$E$4:$E$603,$A57,资金日记账!$V$4:$V$603,L$4),2))</f>
        <v/>
      </c>
      <c r="M57" s="41" t="str">
        <f aca="false">IF($A57="","",ROUND(SUMIFS(资金日记账!$H$4:$H$603,资金日记账!$E$4:$E$603,$A57,资金日记账!$V$4:$V$603,M$4),2))</f>
        <v/>
      </c>
      <c r="N57" s="41" t="str">
        <f aca="false">IF($A57="","",ROUND(SUMIFS(资金日记账!$H$4:$H$603,资金日记账!$E$4:$E$603,$A57,资金日记账!$V$4:$V$603,N$4),2))</f>
        <v/>
      </c>
      <c r="O57" s="41" t="str">
        <f aca="false">IF($A57="","",ROUND(SUMIFS(资金日记账!$H$4:$H$603,资金日记账!$E$4:$E$603,$A57,资金日记账!$V$4:$V$603,O$4),2))</f>
        <v/>
      </c>
      <c r="P57" s="41" t="str">
        <f aca="false">IF($A57="","",ROUND(SUMIFS(资金日记账!$H$4:$H$603,资金日记账!$E$4:$E$603,$A57,资金日记账!$V$4:$V$603,P$4),2))</f>
        <v/>
      </c>
      <c r="Q57" s="41" t="str">
        <f aca="false">IF($A57="","",ROUND(SUMIFS(资金日记账!$H$4:$H$603,资金日记账!$E$4:$E$603,$A57,资金日记账!$V$4:$V$603,Q$4),2))</f>
        <v/>
      </c>
      <c r="R57" s="41" t="str">
        <f aca="false">IF($A57="","",ROUND(SUMIFS(资金日记账!$H$4:$H$603,资金日记账!$E$4:$E$603,$A57,资金日记账!$V$4:$V$603,R$4),2))</f>
        <v/>
      </c>
      <c r="S57" s="41" t="str">
        <f aca="false">IF($A57="","",ROUND(SUMIFS(资金日记账!$H$4:$H$603,资金日记账!$E$4:$E$603,$A57,资金日记账!$V$4:$V$603,S$4),2))</f>
        <v/>
      </c>
      <c r="T57" s="41" t="str">
        <f aca="false">IF($A57="","",ROUND(SUMIFS(资金日记账!$H$4:$H$603,资金日记账!$E$4:$E$603,$A57,资金日记账!$V$4:$V$603,T$4),2))</f>
        <v/>
      </c>
      <c r="U57" s="41" t="str">
        <f aca="false">IF($A57="","",ROUND(SUMIFS(资金日记账!$H$4:$H$603,资金日记账!$E$4:$E$603,$A57,资金日记账!$V$4:$V$603,U$4),2))</f>
        <v/>
      </c>
      <c r="V57" s="41" t="str">
        <f aca="false">IF($A57="","",ROUND(SUMIFS(资金日记账!$H$4:$H$603,资金日记账!$E$4:$E$603,$A57,资金日记账!$V$4:$V$603,V$4),2))</f>
        <v/>
      </c>
      <c r="W57" s="41" t="str">
        <f aca="false">IF($A57="","",ROUND(SUMIFS(资金日记账!$H$4:$H$603,资金日记账!$E$4:$E$603,$A57,资金日记账!$V$4:$V$603,W$4),2))</f>
        <v/>
      </c>
      <c r="X57" s="41" t="str">
        <f aca="false">IF($A57="","",ROUND(SUMIFS(资金日记账!$H$4:$H$603,资金日记账!$E$4:$E$603,$A57,资金日记账!$V$4:$V$603,X$4),2))</f>
        <v/>
      </c>
      <c r="Y57" s="41" t="str">
        <f aca="false">IF($A57="","",ROUND(SUMIFS(资金日记账!$H$4:$H$603,资金日记账!$E$4:$E$603,$A57,资金日记账!$V$4:$V$603,Y$4),2))</f>
        <v/>
      </c>
      <c r="Z57" s="142" t="str">
        <f aca="false">IF($A57="","",ROUND(SUM($B57:$Y57),2))</f>
        <v/>
      </c>
    </row>
    <row r="58" customFormat="false" ht="13.5" hidden="false" customHeight="false" outlineLevel="0" collapsed="false">
      <c r="A58" s="33" t="str">
        <f aca="false">IFERROR(INDEX(_自动清单!$AJ$4:$AJ$63,54),"")</f>
        <v/>
      </c>
      <c r="B58" s="41" t="str">
        <f aca="false">IF($A58="","",ROUND(SUMIFS(资金日记账!$H$4:$H$603,资金日记账!$E$4:$E$603,$A58,资金日记账!$V$4:$V$603,B$4),2))</f>
        <v/>
      </c>
      <c r="C58" s="41" t="str">
        <f aca="false">IF($A58="","",ROUND(SUMIFS(资金日记账!$H$4:$H$603,资金日记账!$E$4:$E$603,$A58,资金日记账!$V$4:$V$603,C$4),2))</f>
        <v/>
      </c>
      <c r="D58" s="41" t="str">
        <f aca="false">IF($A58="","",ROUND(SUMIFS(资金日记账!$H$4:$H$603,资金日记账!$E$4:$E$603,$A58,资金日记账!$V$4:$V$603,D$4),2))</f>
        <v/>
      </c>
      <c r="E58" s="41" t="str">
        <f aca="false">IF($A58="","",ROUND(SUMIFS(资金日记账!$H$4:$H$603,资金日记账!$E$4:$E$603,$A58,资金日记账!$V$4:$V$603,E$4),2))</f>
        <v/>
      </c>
      <c r="F58" s="41" t="str">
        <f aca="false">IF($A58="","",ROUND(SUMIFS(资金日记账!$H$4:$H$603,资金日记账!$E$4:$E$603,$A58,资金日记账!$V$4:$V$603,F$4),2))</f>
        <v/>
      </c>
      <c r="G58" s="41" t="str">
        <f aca="false">IF($A58="","",ROUND(SUMIFS(资金日记账!$H$4:$H$603,资金日记账!$E$4:$E$603,$A58,资金日记账!$V$4:$V$603,G$4),2))</f>
        <v/>
      </c>
      <c r="H58" s="41" t="str">
        <f aca="false">IF($A58="","",ROUND(SUMIFS(资金日记账!$H$4:$H$603,资金日记账!$E$4:$E$603,$A58,资金日记账!$V$4:$V$603,H$4),2))</f>
        <v/>
      </c>
      <c r="I58" s="41" t="str">
        <f aca="false">IF($A58="","",ROUND(SUMIFS(资金日记账!$H$4:$H$603,资金日记账!$E$4:$E$603,$A58,资金日记账!$V$4:$V$603,I$4),2))</f>
        <v/>
      </c>
      <c r="J58" s="41" t="str">
        <f aca="false">IF($A58="","",ROUND(SUMIFS(资金日记账!$H$4:$H$603,资金日记账!$E$4:$E$603,$A58,资金日记账!$V$4:$V$603,J$4),2))</f>
        <v/>
      </c>
      <c r="K58" s="41" t="str">
        <f aca="false">IF($A58="","",ROUND(SUMIFS(资金日记账!$H$4:$H$603,资金日记账!$E$4:$E$603,$A58,资金日记账!$V$4:$V$603,K$4),2))</f>
        <v/>
      </c>
      <c r="L58" s="41" t="str">
        <f aca="false">IF($A58="","",ROUND(SUMIFS(资金日记账!$H$4:$H$603,资金日记账!$E$4:$E$603,$A58,资金日记账!$V$4:$V$603,L$4),2))</f>
        <v/>
      </c>
      <c r="M58" s="41" t="str">
        <f aca="false">IF($A58="","",ROUND(SUMIFS(资金日记账!$H$4:$H$603,资金日记账!$E$4:$E$603,$A58,资金日记账!$V$4:$V$603,M$4),2))</f>
        <v/>
      </c>
      <c r="N58" s="41" t="str">
        <f aca="false">IF($A58="","",ROUND(SUMIFS(资金日记账!$H$4:$H$603,资金日记账!$E$4:$E$603,$A58,资金日记账!$V$4:$V$603,N$4),2))</f>
        <v/>
      </c>
      <c r="O58" s="41" t="str">
        <f aca="false">IF($A58="","",ROUND(SUMIFS(资金日记账!$H$4:$H$603,资金日记账!$E$4:$E$603,$A58,资金日记账!$V$4:$V$603,O$4),2))</f>
        <v/>
      </c>
      <c r="P58" s="41" t="str">
        <f aca="false">IF($A58="","",ROUND(SUMIFS(资金日记账!$H$4:$H$603,资金日记账!$E$4:$E$603,$A58,资金日记账!$V$4:$V$603,P$4),2))</f>
        <v/>
      </c>
      <c r="Q58" s="41" t="str">
        <f aca="false">IF($A58="","",ROUND(SUMIFS(资金日记账!$H$4:$H$603,资金日记账!$E$4:$E$603,$A58,资金日记账!$V$4:$V$603,Q$4),2))</f>
        <v/>
      </c>
      <c r="R58" s="41" t="str">
        <f aca="false">IF($A58="","",ROUND(SUMIFS(资金日记账!$H$4:$H$603,资金日记账!$E$4:$E$603,$A58,资金日记账!$V$4:$V$603,R$4),2))</f>
        <v/>
      </c>
      <c r="S58" s="41" t="str">
        <f aca="false">IF($A58="","",ROUND(SUMIFS(资金日记账!$H$4:$H$603,资金日记账!$E$4:$E$603,$A58,资金日记账!$V$4:$V$603,S$4),2))</f>
        <v/>
      </c>
      <c r="T58" s="41" t="str">
        <f aca="false">IF($A58="","",ROUND(SUMIFS(资金日记账!$H$4:$H$603,资金日记账!$E$4:$E$603,$A58,资金日记账!$V$4:$V$603,T$4),2))</f>
        <v/>
      </c>
      <c r="U58" s="41" t="str">
        <f aca="false">IF($A58="","",ROUND(SUMIFS(资金日记账!$H$4:$H$603,资金日记账!$E$4:$E$603,$A58,资金日记账!$V$4:$V$603,U$4),2))</f>
        <v/>
      </c>
      <c r="V58" s="41" t="str">
        <f aca="false">IF($A58="","",ROUND(SUMIFS(资金日记账!$H$4:$H$603,资金日记账!$E$4:$E$603,$A58,资金日记账!$V$4:$V$603,V$4),2))</f>
        <v/>
      </c>
      <c r="W58" s="41" t="str">
        <f aca="false">IF($A58="","",ROUND(SUMIFS(资金日记账!$H$4:$H$603,资金日记账!$E$4:$E$603,$A58,资金日记账!$V$4:$V$603,W$4),2))</f>
        <v/>
      </c>
      <c r="X58" s="41" t="str">
        <f aca="false">IF($A58="","",ROUND(SUMIFS(资金日记账!$H$4:$H$603,资金日记账!$E$4:$E$603,$A58,资金日记账!$V$4:$V$603,X$4),2))</f>
        <v/>
      </c>
      <c r="Y58" s="41" t="str">
        <f aca="false">IF($A58="","",ROUND(SUMIFS(资金日记账!$H$4:$H$603,资金日记账!$E$4:$E$603,$A58,资金日记账!$V$4:$V$603,Y$4),2))</f>
        <v/>
      </c>
      <c r="Z58" s="142" t="str">
        <f aca="false">IF($A58="","",ROUND(SUM($B58:$Y58),2))</f>
        <v/>
      </c>
    </row>
    <row r="59" customFormat="false" ht="13.5" hidden="false" customHeight="false" outlineLevel="0" collapsed="false">
      <c r="A59" s="33" t="str">
        <f aca="false">IFERROR(INDEX(_自动清单!$AJ$4:$AJ$63,55),"")</f>
        <v/>
      </c>
      <c r="B59" s="41" t="str">
        <f aca="false">IF($A59="","",ROUND(SUMIFS(资金日记账!$H$4:$H$603,资金日记账!$E$4:$E$603,$A59,资金日记账!$V$4:$V$603,B$4),2))</f>
        <v/>
      </c>
      <c r="C59" s="41" t="str">
        <f aca="false">IF($A59="","",ROUND(SUMIFS(资金日记账!$H$4:$H$603,资金日记账!$E$4:$E$603,$A59,资金日记账!$V$4:$V$603,C$4),2))</f>
        <v/>
      </c>
      <c r="D59" s="41" t="str">
        <f aca="false">IF($A59="","",ROUND(SUMIFS(资金日记账!$H$4:$H$603,资金日记账!$E$4:$E$603,$A59,资金日记账!$V$4:$V$603,D$4),2))</f>
        <v/>
      </c>
      <c r="E59" s="41" t="str">
        <f aca="false">IF($A59="","",ROUND(SUMIFS(资金日记账!$H$4:$H$603,资金日记账!$E$4:$E$603,$A59,资金日记账!$V$4:$V$603,E$4),2))</f>
        <v/>
      </c>
      <c r="F59" s="41" t="str">
        <f aca="false">IF($A59="","",ROUND(SUMIFS(资金日记账!$H$4:$H$603,资金日记账!$E$4:$E$603,$A59,资金日记账!$V$4:$V$603,F$4),2))</f>
        <v/>
      </c>
      <c r="G59" s="41" t="str">
        <f aca="false">IF($A59="","",ROUND(SUMIFS(资金日记账!$H$4:$H$603,资金日记账!$E$4:$E$603,$A59,资金日记账!$V$4:$V$603,G$4),2))</f>
        <v/>
      </c>
      <c r="H59" s="41" t="str">
        <f aca="false">IF($A59="","",ROUND(SUMIFS(资金日记账!$H$4:$H$603,资金日记账!$E$4:$E$603,$A59,资金日记账!$V$4:$V$603,H$4),2))</f>
        <v/>
      </c>
      <c r="I59" s="41" t="str">
        <f aca="false">IF($A59="","",ROUND(SUMIFS(资金日记账!$H$4:$H$603,资金日记账!$E$4:$E$603,$A59,资金日记账!$V$4:$V$603,I$4),2))</f>
        <v/>
      </c>
      <c r="J59" s="41" t="str">
        <f aca="false">IF($A59="","",ROUND(SUMIFS(资金日记账!$H$4:$H$603,资金日记账!$E$4:$E$603,$A59,资金日记账!$V$4:$V$603,J$4),2))</f>
        <v/>
      </c>
      <c r="K59" s="41" t="str">
        <f aca="false">IF($A59="","",ROUND(SUMIFS(资金日记账!$H$4:$H$603,资金日记账!$E$4:$E$603,$A59,资金日记账!$V$4:$V$603,K$4),2))</f>
        <v/>
      </c>
      <c r="L59" s="41" t="str">
        <f aca="false">IF($A59="","",ROUND(SUMIFS(资金日记账!$H$4:$H$603,资金日记账!$E$4:$E$603,$A59,资金日记账!$V$4:$V$603,L$4),2))</f>
        <v/>
      </c>
      <c r="M59" s="41" t="str">
        <f aca="false">IF($A59="","",ROUND(SUMIFS(资金日记账!$H$4:$H$603,资金日记账!$E$4:$E$603,$A59,资金日记账!$V$4:$V$603,M$4),2))</f>
        <v/>
      </c>
      <c r="N59" s="41" t="str">
        <f aca="false">IF($A59="","",ROUND(SUMIFS(资金日记账!$H$4:$H$603,资金日记账!$E$4:$E$603,$A59,资金日记账!$V$4:$V$603,N$4),2))</f>
        <v/>
      </c>
      <c r="O59" s="41" t="str">
        <f aca="false">IF($A59="","",ROUND(SUMIFS(资金日记账!$H$4:$H$603,资金日记账!$E$4:$E$603,$A59,资金日记账!$V$4:$V$603,O$4),2))</f>
        <v/>
      </c>
      <c r="P59" s="41" t="str">
        <f aca="false">IF($A59="","",ROUND(SUMIFS(资金日记账!$H$4:$H$603,资金日记账!$E$4:$E$603,$A59,资金日记账!$V$4:$V$603,P$4),2))</f>
        <v/>
      </c>
      <c r="Q59" s="41" t="str">
        <f aca="false">IF($A59="","",ROUND(SUMIFS(资金日记账!$H$4:$H$603,资金日记账!$E$4:$E$603,$A59,资金日记账!$V$4:$V$603,Q$4),2))</f>
        <v/>
      </c>
      <c r="R59" s="41" t="str">
        <f aca="false">IF($A59="","",ROUND(SUMIFS(资金日记账!$H$4:$H$603,资金日记账!$E$4:$E$603,$A59,资金日记账!$V$4:$V$603,R$4),2))</f>
        <v/>
      </c>
      <c r="S59" s="41" t="str">
        <f aca="false">IF($A59="","",ROUND(SUMIFS(资金日记账!$H$4:$H$603,资金日记账!$E$4:$E$603,$A59,资金日记账!$V$4:$V$603,S$4),2))</f>
        <v/>
      </c>
      <c r="T59" s="41" t="str">
        <f aca="false">IF($A59="","",ROUND(SUMIFS(资金日记账!$H$4:$H$603,资金日记账!$E$4:$E$603,$A59,资金日记账!$V$4:$V$603,T$4),2))</f>
        <v/>
      </c>
      <c r="U59" s="41" t="str">
        <f aca="false">IF($A59="","",ROUND(SUMIFS(资金日记账!$H$4:$H$603,资金日记账!$E$4:$E$603,$A59,资金日记账!$V$4:$V$603,U$4),2))</f>
        <v/>
      </c>
      <c r="V59" s="41" t="str">
        <f aca="false">IF($A59="","",ROUND(SUMIFS(资金日记账!$H$4:$H$603,资金日记账!$E$4:$E$603,$A59,资金日记账!$V$4:$V$603,V$4),2))</f>
        <v/>
      </c>
      <c r="W59" s="41" t="str">
        <f aca="false">IF($A59="","",ROUND(SUMIFS(资金日记账!$H$4:$H$603,资金日记账!$E$4:$E$603,$A59,资金日记账!$V$4:$V$603,W$4),2))</f>
        <v/>
      </c>
      <c r="X59" s="41" t="str">
        <f aca="false">IF($A59="","",ROUND(SUMIFS(资金日记账!$H$4:$H$603,资金日记账!$E$4:$E$603,$A59,资金日记账!$V$4:$V$603,X$4),2))</f>
        <v/>
      </c>
      <c r="Y59" s="41" t="str">
        <f aca="false">IF($A59="","",ROUND(SUMIFS(资金日记账!$H$4:$H$603,资金日记账!$E$4:$E$603,$A59,资金日记账!$V$4:$V$603,Y$4),2))</f>
        <v/>
      </c>
      <c r="Z59" s="142" t="str">
        <f aca="false">IF($A59="","",ROUND(SUM($B59:$Y59),2))</f>
        <v/>
      </c>
    </row>
    <row r="60" customFormat="false" ht="13.5" hidden="false" customHeight="false" outlineLevel="0" collapsed="false">
      <c r="A60" s="33" t="str">
        <f aca="false">IFERROR(INDEX(_自动清单!$AJ$4:$AJ$63,56),"")</f>
        <v/>
      </c>
      <c r="B60" s="41" t="str">
        <f aca="false">IF($A60="","",ROUND(SUMIFS(资金日记账!$H$4:$H$603,资金日记账!$E$4:$E$603,$A60,资金日记账!$V$4:$V$603,B$4),2))</f>
        <v/>
      </c>
      <c r="C60" s="41" t="str">
        <f aca="false">IF($A60="","",ROUND(SUMIFS(资金日记账!$H$4:$H$603,资金日记账!$E$4:$E$603,$A60,资金日记账!$V$4:$V$603,C$4),2))</f>
        <v/>
      </c>
      <c r="D60" s="41" t="str">
        <f aca="false">IF($A60="","",ROUND(SUMIFS(资金日记账!$H$4:$H$603,资金日记账!$E$4:$E$603,$A60,资金日记账!$V$4:$V$603,D$4),2))</f>
        <v/>
      </c>
      <c r="E60" s="41" t="str">
        <f aca="false">IF($A60="","",ROUND(SUMIFS(资金日记账!$H$4:$H$603,资金日记账!$E$4:$E$603,$A60,资金日记账!$V$4:$V$603,E$4),2))</f>
        <v/>
      </c>
      <c r="F60" s="41" t="str">
        <f aca="false">IF($A60="","",ROUND(SUMIFS(资金日记账!$H$4:$H$603,资金日记账!$E$4:$E$603,$A60,资金日记账!$V$4:$V$603,F$4),2))</f>
        <v/>
      </c>
      <c r="G60" s="41" t="str">
        <f aca="false">IF($A60="","",ROUND(SUMIFS(资金日记账!$H$4:$H$603,资金日记账!$E$4:$E$603,$A60,资金日记账!$V$4:$V$603,G$4),2))</f>
        <v/>
      </c>
      <c r="H60" s="41" t="str">
        <f aca="false">IF($A60="","",ROUND(SUMIFS(资金日记账!$H$4:$H$603,资金日记账!$E$4:$E$603,$A60,资金日记账!$V$4:$V$603,H$4),2))</f>
        <v/>
      </c>
      <c r="I60" s="41" t="str">
        <f aca="false">IF($A60="","",ROUND(SUMIFS(资金日记账!$H$4:$H$603,资金日记账!$E$4:$E$603,$A60,资金日记账!$V$4:$V$603,I$4),2))</f>
        <v/>
      </c>
      <c r="J60" s="41" t="str">
        <f aca="false">IF($A60="","",ROUND(SUMIFS(资金日记账!$H$4:$H$603,资金日记账!$E$4:$E$603,$A60,资金日记账!$V$4:$V$603,J$4),2))</f>
        <v/>
      </c>
      <c r="K60" s="41" t="str">
        <f aca="false">IF($A60="","",ROUND(SUMIFS(资金日记账!$H$4:$H$603,资金日记账!$E$4:$E$603,$A60,资金日记账!$V$4:$V$603,K$4),2))</f>
        <v/>
      </c>
      <c r="L60" s="41" t="str">
        <f aca="false">IF($A60="","",ROUND(SUMIFS(资金日记账!$H$4:$H$603,资金日记账!$E$4:$E$603,$A60,资金日记账!$V$4:$V$603,L$4),2))</f>
        <v/>
      </c>
      <c r="M60" s="41" t="str">
        <f aca="false">IF($A60="","",ROUND(SUMIFS(资金日记账!$H$4:$H$603,资金日记账!$E$4:$E$603,$A60,资金日记账!$V$4:$V$603,M$4),2))</f>
        <v/>
      </c>
      <c r="N60" s="41" t="str">
        <f aca="false">IF($A60="","",ROUND(SUMIFS(资金日记账!$H$4:$H$603,资金日记账!$E$4:$E$603,$A60,资金日记账!$V$4:$V$603,N$4),2))</f>
        <v/>
      </c>
      <c r="O60" s="41" t="str">
        <f aca="false">IF($A60="","",ROUND(SUMIFS(资金日记账!$H$4:$H$603,资金日记账!$E$4:$E$603,$A60,资金日记账!$V$4:$V$603,O$4),2))</f>
        <v/>
      </c>
      <c r="P60" s="41" t="str">
        <f aca="false">IF($A60="","",ROUND(SUMIFS(资金日记账!$H$4:$H$603,资金日记账!$E$4:$E$603,$A60,资金日记账!$V$4:$V$603,P$4),2))</f>
        <v/>
      </c>
      <c r="Q60" s="41" t="str">
        <f aca="false">IF($A60="","",ROUND(SUMIFS(资金日记账!$H$4:$H$603,资金日记账!$E$4:$E$603,$A60,资金日记账!$V$4:$V$603,Q$4),2))</f>
        <v/>
      </c>
      <c r="R60" s="41" t="str">
        <f aca="false">IF($A60="","",ROUND(SUMIFS(资金日记账!$H$4:$H$603,资金日记账!$E$4:$E$603,$A60,资金日记账!$V$4:$V$603,R$4),2))</f>
        <v/>
      </c>
      <c r="S60" s="41" t="str">
        <f aca="false">IF($A60="","",ROUND(SUMIFS(资金日记账!$H$4:$H$603,资金日记账!$E$4:$E$603,$A60,资金日记账!$V$4:$V$603,S$4),2))</f>
        <v/>
      </c>
      <c r="T60" s="41" t="str">
        <f aca="false">IF($A60="","",ROUND(SUMIFS(资金日记账!$H$4:$H$603,资金日记账!$E$4:$E$603,$A60,资金日记账!$V$4:$V$603,T$4),2))</f>
        <v/>
      </c>
      <c r="U60" s="41" t="str">
        <f aca="false">IF($A60="","",ROUND(SUMIFS(资金日记账!$H$4:$H$603,资金日记账!$E$4:$E$603,$A60,资金日记账!$V$4:$V$603,U$4),2))</f>
        <v/>
      </c>
      <c r="V60" s="41" t="str">
        <f aca="false">IF($A60="","",ROUND(SUMIFS(资金日记账!$H$4:$H$603,资金日记账!$E$4:$E$603,$A60,资金日记账!$V$4:$V$603,V$4),2))</f>
        <v/>
      </c>
      <c r="W60" s="41" t="str">
        <f aca="false">IF($A60="","",ROUND(SUMIFS(资金日记账!$H$4:$H$603,资金日记账!$E$4:$E$603,$A60,资金日记账!$V$4:$V$603,W$4),2))</f>
        <v/>
      </c>
      <c r="X60" s="41" t="str">
        <f aca="false">IF($A60="","",ROUND(SUMIFS(资金日记账!$H$4:$H$603,资金日记账!$E$4:$E$603,$A60,资金日记账!$V$4:$V$603,X$4),2))</f>
        <v/>
      </c>
      <c r="Y60" s="41" t="str">
        <f aca="false">IF($A60="","",ROUND(SUMIFS(资金日记账!$H$4:$H$603,资金日记账!$E$4:$E$603,$A60,资金日记账!$V$4:$V$603,Y$4),2))</f>
        <v/>
      </c>
      <c r="Z60" s="142" t="str">
        <f aca="false">IF($A60="","",ROUND(SUM($B60:$Y60),2))</f>
        <v/>
      </c>
    </row>
    <row r="61" customFormat="false" ht="13.5" hidden="false" customHeight="false" outlineLevel="0" collapsed="false">
      <c r="A61" s="33" t="str">
        <f aca="false">IFERROR(INDEX(_自动清单!$AJ$4:$AJ$63,57),"")</f>
        <v/>
      </c>
      <c r="B61" s="41" t="str">
        <f aca="false">IF($A61="","",ROUND(SUMIFS(资金日记账!$H$4:$H$603,资金日记账!$E$4:$E$603,$A61,资金日记账!$V$4:$V$603,B$4),2))</f>
        <v/>
      </c>
      <c r="C61" s="41" t="str">
        <f aca="false">IF($A61="","",ROUND(SUMIFS(资金日记账!$H$4:$H$603,资金日记账!$E$4:$E$603,$A61,资金日记账!$V$4:$V$603,C$4),2))</f>
        <v/>
      </c>
      <c r="D61" s="41" t="str">
        <f aca="false">IF($A61="","",ROUND(SUMIFS(资金日记账!$H$4:$H$603,资金日记账!$E$4:$E$603,$A61,资金日记账!$V$4:$V$603,D$4),2))</f>
        <v/>
      </c>
      <c r="E61" s="41" t="str">
        <f aca="false">IF($A61="","",ROUND(SUMIFS(资金日记账!$H$4:$H$603,资金日记账!$E$4:$E$603,$A61,资金日记账!$V$4:$V$603,E$4),2))</f>
        <v/>
      </c>
      <c r="F61" s="41" t="str">
        <f aca="false">IF($A61="","",ROUND(SUMIFS(资金日记账!$H$4:$H$603,资金日记账!$E$4:$E$603,$A61,资金日记账!$V$4:$V$603,F$4),2))</f>
        <v/>
      </c>
      <c r="G61" s="41" t="str">
        <f aca="false">IF($A61="","",ROUND(SUMIFS(资金日记账!$H$4:$H$603,资金日记账!$E$4:$E$603,$A61,资金日记账!$V$4:$V$603,G$4),2))</f>
        <v/>
      </c>
      <c r="H61" s="41" t="str">
        <f aca="false">IF($A61="","",ROUND(SUMIFS(资金日记账!$H$4:$H$603,资金日记账!$E$4:$E$603,$A61,资金日记账!$V$4:$V$603,H$4),2))</f>
        <v/>
      </c>
      <c r="I61" s="41" t="str">
        <f aca="false">IF($A61="","",ROUND(SUMIFS(资金日记账!$H$4:$H$603,资金日记账!$E$4:$E$603,$A61,资金日记账!$V$4:$V$603,I$4),2))</f>
        <v/>
      </c>
      <c r="J61" s="41" t="str">
        <f aca="false">IF($A61="","",ROUND(SUMIFS(资金日记账!$H$4:$H$603,资金日记账!$E$4:$E$603,$A61,资金日记账!$V$4:$V$603,J$4),2))</f>
        <v/>
      </c>
      <c r="K61" s="41" t="str">
        <f aca="false">IF($A61="","",ROUND(SUMIFS(资金日记账!$H$4:$H$603,资金日记账!$E$4:$E$603,$A61,资金日记账!$V$4:$V$603,K$4),2))</f>
        <v/>
      </c>
      <c r="L61" s="41" t="str">
        <f aca="false">IF($A61="","",ROUND(SUMIFS(资金日记账!$H$4:$H$603,资金日记账!$E$4:$E$603,$A61,资金日记账!$V$4:$V$603,L$4),2))</f>
        <v/>
      </c>
      <c r="M61" s="41" t="str">
        <f aca="false">IF($A61="","",ROUND(SUMIFS(资金日记账!$H$4:$H$603,资金日记账!$E$4:$E$603,$A61,资金日记账!$V$4:$V$603,M$4),2))</f>
        <v/>
      </c>
      <c r="N61" s="41" t="str">
        <f aca="false">IF($A61="","",ROUND(SUMIFS(资金日记账!$H$4:$H$603,资金日记账!$E$4:$E$603,$A61,资金日记账!$V$4:$V$603,N$4),2))</f>
        <v/>
      </c>
      <c r="O61" s="41" t="str">
        <f aca="false">IF($A61="","",ROUND(SUMIFS(资金日记账!$H$4:$H$603,资金日记账!$E$4:$E$603,$A61,资金日记账!$V$4:$V$603,O$4),2))</f>
        <v/>
      </c>
      <c r="P61" s="41" t="str">
        <f aca="false">IF($A61="","",ROUND(SUMIFS(资金日记账!$H$4:$H$603,资金日记账!$E$4:$E$603,$A61,资金日记账!$V$4:$V$603,P$4),2))</f>
        <v/>
      </c>
      <c r="Q61" s="41" t="str">
        <f aca="false">IF($A61="","",ROUND(SUMIFS(资金日记账!$H$4:$H$603,资金日记账!$E$4:$E$603,$A61,资金日记账!$V$4:$V$603,Q$4),2))</f>
        <v/>
      </c>
      <c r="R61" s="41" t="str">
        <f aca="false">IF($A61="","",ROUND(SUMIFS(资金日记账!$H$4:$H$603,资金日记账!$E$4:$E$603,$A61,资金日记账!$V$4:$V$603,R$4),2))</f>
        <v/>
      </c>
      <c r="S61" s="41" t="str">
        <f aca="false">IF($A61="","",ROUND(SUMIFS(资金日记账!$H$4:$H$603,资金日记账!$E$4:$E$603,$A61,资金日记账!$V$4:$V$603,S$4),2))</f>
        <v/>
      </c>
      <c r="T61" s="41" t="str">
        <f aca="false">IF($A61="","",ROUND(SUMIFS(资金日记账!$H$4:$H$603,资金日记账!$E$4:$E$603,$A61,资金日记账!$V$4:$V$603,T$4),2))</f>
        <v/>
      </c>
      <c r="U61" s="41" t="str">
        <f aca="false">IF($A61="","",ROUND(SUMIFS(资金日记账!$H$4:$H$603,资金日记账!$E$4:$E$603,$A61,资金日记账!$V$4:$V$603,U$4),2))</f>
        <v/>
      </c>
      <c r="V61" s="41" t="str">
        <f aca="false">IF($A61="","",ROUND(SUMIFS(资金日记账!$H$4:$H$603,资金日记账!$E$4:$E$603,$A61,资金日记账!$V$4:$V$603,V$4),2))</f>
        <v/>
      </c>
      <c r="W61" s="41" t="str">
        <f aca="false">IF($A61="","",ROUND(SUMIFS(资金日记账!$H$4:$H$603,资金日记账!$E$4:$E$603,$A61,资金日记账!$V$4:$V$603,W$4),2))</f>
        <v/>
      </c>
      <c r="X61" s="41" t="str">
        <f aca="false">IF($A61="","",ROUND(SUMIFS(资金日记账!$H$4:$H$603,资金日记账!$E$4:$E$603,$A61,资金日记账!$V$4:$V$603,X$4),2))</f>
        <v/>
      </c>
      <c r="Y61" s="41" t="str">
        <f aca="false">IF($A61="","",ROUND(SUMIFS(资金日记账!$H$4:$H$603,资金日记账!$E$4:$E$603,$A61,资金日记账!$V$4:$V$603,Y$4),2))</f>
        <v/>
      </c>
      <c r="Z61" s="142" t="str">
        <f aca="false">IF($A61="","",ROUND(SUM($B61:$Y61),2))</f>
        <v/>
      </c>
    </row>
    <row r="62" customFormat="false" ht="13.5" hidden="false" customHeight="false" outlineLevel="0" collapsed="false">
      <c r="A62" s="33" t="str">
        <f aca="false">IFERROR(INDEX(_自动清单!$AJ$4:$AJ$63,58),"")</f>
        <v/>
      </c>
      <c r="B62" s="41" t="str">
        <f aca="false">IF($A62="","",ROUND(SUMIFS(资金日记账!$H$4:$H$603,资金日记账!$E$4:$E$603,$A62,资金日记账!$V$4:$V$603,B$4),2))</f>
        <v/>
      </c>
      <c r="C62" s="41" t="str">
        <f aca="false">IF($A62="","",ROUND(SUMIFS(资金日记账!$H$4:$H$603,资金日记账!$E$4:$E$603,$A62,资金日记账!$V$4:$V$603,C$4),2))</f>
        <v/>
      </c>
      <c r="D62" s="41" t="str">
        <f aca="false">IF($A62="","",ROUND(SUMIFS(资金日记账!$H$4:$H$603,资金日记账!$E$4:$E$603,$A62,资金日记账!$V$4:$V$603,D$4),2))</f>
        <v/>
      </c>
      <c r="E62" s="41" t="str">
        <f aca="false">IF($A62="","",ROUND(SUMIFS(资金日记账!$H$4:$H$603,资金日记账!$E$4:$E$603,$A62,资金日记账!$V$4:$V$603,E$4),2))</f>
        <v/>
      </c>
      <c r="F62" s="41" t="str">
        <f aca="false">IF($A62="","",ROUND(SUMIFS(资金日记账!$H$4:$H$603,资金日记账!$E$4:$E$603,$A62,资金日记账!$V$4:$V$603,F$4),2))</f>
        <v/>
      </c>
      <c r="G62" s="41" t="str">
        <f aca="false">IF($A62="","",ROUND(SUMIFS(资金日记账!$H$4:$H$603,资金日记账!$E$4:$E$603,$A62,资金日记账!$V$4:$V$603,G$4),2))</f>
        <v/>
      </c>
      <c r="H62" s="41" t="str">
        <f aca="false">IF($A62="","",ROUND(SUMIFS(资金日记账!$H$4:$H$603,资金日记账!$E$4:$E$603,$A62,资金日记账!$V$4:$V$603,H$4),2))</f>
        <v/>
      </c>
      <c r="I62" s="41" t="str">
        <f aca="false">IF($A62="","",ROUND(SUMIFS(资金日记账!$H$4:$H$603,资金日记账!$E$4:$E$603,$A62,资金日记账!$V$4:$V$603,I$4),2))</f>
        <v/>
      </c>
      <c r="J62" s="41" t="str">
        <f aca="false">IF($A62="","",ROUND(SUMIFS(资金日记账!$H$4:$H$603,资金日记账!$E$4:$E$603,$A62,资金日记账!$V$4:$V$603,J$4),2))</f>
        <v/>
      </c>
      <c r="K62" s="41" t="str">
        <f aca="false">IF($A62="","",ROUND(SUMIFS(资金日记账!$H$4:$H$603,资金日记账!$E$4:$E$603,$A62,资金日记账!$V$4:$V$603,K$4),2))</f>
        <v/>
      </c>
      <c r="L62" s="41" t="str">
        <f aca="false">IF($A62="","",ROUND(SUMIFS(资金日记账!$H$4:$H$603,资金日记账!$E$4:$E$603,$A62,资金日记账!$V$4:$V$603,L$4),2))</f>
        <v/>
      </c>
      <c r="M62" s="41" t="str">
        <f aca="false">IF($A62="","",ROUND(SUMIFS(资金日记账!$H$4:$H$603,资金日记账!$E$4:$E$603,$A62,资金日记账!$V$4:$V$603,M$4),2))</f>
        <v/>
      </c>
      <c r="N62" s="41" t="str">
        <f aca="false">IF($A62="","",ROUND(SUMIFS(资金日记账!$H$4:$H$603,资金日记账!$E$4:$E$603,$A62,资金日记账!$V$4:$V$603,N$4),2))</f>
        <v/>
      </c>
      <c r="O62" s="41" t="str">
        <f aca="false">IF($A62="","",ROUND(SUMIFS(资金日记账!$H$4:$H$603,资金日记账!$E$4:$E$603,$A62,资金日记账!$V$4:$V$603,O$4),2))</f>
        <v/>
      </c>
      <c r="P62" s="41" t="str">
        <f aca="false">IF($A62="","",ROUND(SUMIFS(资金日记账!$H$4:$H$603,资金日记账!$E$4:$E$603,$A62,资金日记账!$V$4:$V$603,P$4),2))</f>
        <v/>
      </c>
      <c r="Q62" s="41" t="str">
        <f aca="false">IF($A62="","",ROUND(SUMIFS(资金日记账!$H$4:$H$603,资金日记账!$E$4:$E$603,$A62,资金日记账!$V$4:$V$603,Q$4),2))</f>
        <v/>
      </c>
      <c r="R62" s="41" t="str">
        <f aca="false">IF($A62="","",ROUND(SUMIFS(资金日记账!$H$4:$H$603,资金日记账!$E$4:$E$603,$A62,资金日记账!$V$4:$V$603,R$4),2))</f>
        <v/>
      </c>
      <c r="S62" s="41" t="str">
        <f aca="false">IF($A62="","",ROUND(SUMIFS(资金日记账!$H$4:$H$603,资金日记账!$E$4:$E$603,$A62,资金日记账!$V$4:$V$603,S$4),2))</f>
        <v/>
      </c>
      <c r="T62" s="41" t="str">
        <f aca="false">IF($A62="","",ROUND(SUMIFS(资金日记账!$H$4:$H$603,资金日记账!$E$4:$E$603,$A62,资金日记账!$V$4:$V$603,T$4),2))</f>
        <v/>
      </c>
      <c r="U62" s="41" t="str">
        <f aca="false">IF($A62="","",ROUND(SUMIFS(资金日记账!$H$4:$H$603,资金日记账!$E$4:$E$603,$A62,资金日记账!$V$4:$V$603,U$4),2))</f>
        <v/>
      </c>
      <c r="V62" s="41" t="str">
        <f aca="false">IF($A62="","",ROUND(SUMIFS(资金日记账!$H$4:$H$603,资金日记账!$E$4:$E$603,$A62,资金日记账!$V$4:$V$603,V$4),2))</f>
        <v/>
      </c>
      <c r="W62" s="41" t="str">
        <f aca="false">IF($A62="","",ROUND(SUMIFS(资金日记账!$H$4:$H$603,资金日记账!$E$4:$E$603,$A62,资金日记账!$V$4:$V$603,W$4),2))</f>
        <v/>
      </c>
      <c r="X62" s="41" t="str">
        <f aca="false">IF($A62="","",ROUND(SUMIFS(资金日记账!$H$4:$H$603,资金日记账!$E$4:$E$603,$A62,资金日记账!$V$4:$V$603,X$4),2))</f>
        <v/>
      </c>
      <c r="Y62" s="41" t="str">
        <f aca="false">IF($A62="","",ROUND(SUMIFS(资金日记账!$H$4:$H$603,资金日记账!$E$4:$E$603,$A62,资金日记账!$V$4:$V$603,Y$4),2))</f>
        <v/>
      </c>
      <c r="Z62" s="142" t="str">
        <f aca="false">IF($A62="","",ROUND(SUM($B62:$Y62),2))</f>
        <v/>
      </c>
    </row>
    <row r="63" customFormat="false" ht="13.5" hidden="false" customHeight="false" outlineLevel="0" collapsed="false">
      <c r="A63" s="33" t="str">
        <f aca="false">IFERROR(INDEX(_自动清单!$AJ$4:$AJ$63,59),"")</f>
        <v/>
      </c>
      <c r="B63" s="41" t="str">
        <f aca="false">IF($A63="","",ROUND(SUMIFS(资金日记账!$H$4:$H$603,资金日记账!$E$4:$E$603,$A63,资金日记账!$V$4:$V$603,B$4),2))</f>
        <v/>
      </c>
      <c r="C63" s="41" t="str">
        <f aca="false">IF($A63="","",ROUND(SUMIFS(资金日记账!$H$4:$H$603,资金日记账!$E$4:$E$603,$A63,资金日记账!$V$4:$V$603,C$4),2))</f>
        <v/>
      </c>
      <c r="D63" s="41" t="str">
        <f aca="false">IF($A63="","",ROUND(SUMIFS(资金日记账!$H$4:$H$603,资金日记账!$E$4:$E$603,$A63,资金日记账!$V$4:$V$603,D$4),2))</f>
        <v/>
      </c>
      <c r="E63" s="41" t="str">
        <f aca="false">IF($A63="","",ROUND(SUMIFS(资金日记账!$H$4:$H$603,资金日记账!$E$4:$E$603,$A63,资金日记账!$V$4:$V$603,E$4),2))</f>
        <v/>
      </c>
      <c r="F63" s="41" t="str">
        <f aca="false">IF($A63="","",ROUND(SUMIFS(资金日记账!$H$4:$H$603,资金日记账!$E$4:$E$603,$A63,资金日记账!$V$4:$V$603,F$4),2))</f>
        <v/>
      </c>
      <c r="G63" s="41" t="str">
        <f aca="false">IF($A63="","",ROUND(SUMIFS(资金日记账!$H$4:$H$603,资金日记账!$E$4:$E$603,$A63,资金日记账!$V$4:$V$603,G$4),2))</f>
        <v/>
      </c>
      <c r="H63" s="41" t="str">
        <f aca="false">IF($A63="","",ROUND(SUMIFS(资金日记账!$H$4:$H$603,资金日记账!$E$4:$E$603,$A63,资金日记账!$V$4:$V$603,H$4),2))</f>
        <v/>
      </c>
      <c r="I63" s="41" t="str">
        <f aca="false">IF($A63="","",ROUND(SUMIFS(资金日记账!$H$4:$H$603,资金日记账!$E$4:$E$603,$A63,资金日记账!$V$4:$V$603,I$4),2))</f>
        <v/>
      </c>
      <c r="J63" s="41" t="str">
        <f aca="false">IF($A63="","",ROUND(SUMIFS(资金日记账!$H$4:$H$603,资金日记账!$E$4:$E$603,$A63,资金日记账!$V$4:$V$603,J$4),2))</f>
        <v/>
      </c>
      <c r="K63" s="41" t="str">
        <f aca="false">IF($A63="","",ROUND(SUMIFS(资金日记账!$H$4:$H$603,资金日记账!$E$4:$E$603,$A63,资金日记账!$V$4:$V$603,K$4),2))</f>
        <v/>
      </c>
      <c r="L63" s="41" t="str">
        <f aca="false">IF($A63="","",ROUND(SUMIFS(资金日记账!$H$4:$H$603,资金日记账!$E$4:$E$603,$A63,资金日记账!$V$4:$V$603,L$4),2))</f>
        <v/>
      </c>
      <c r="M63" s="41" t="str">
        <f aca="false">IF($A63="","",ROUND(SUMIFS(资金日记账!$H$4:$H$603,资金日记账!$E$4:$E$603,$A63,资金日记账!$V$4:$V$603,M$4),2))</f>
        <v/>
      </c>
      <c r="N63" s="41" t="str">
        <f aca="false">IF($A63="","",ROUND(SUMIFS(资金日记账!$H$4:$H$603,资金日记账!$E$4:$E$603,$A63,资金日记账!$V$4:$V$603,N$4),2))</f>
        <v/>
      </c>
      <c r="O63" s="41" t="str">
        <f aca="false">IF($A63="","",ROUND(SUMIFS(资金日记账!$H$4:$H$603,资金日记账!$E$4:$E$603,$A63,资金日记账!$V$4:$V$603,O$4),2))</f>
        <v/>
      </c>
      <c r="P63" s="41" t="str">
        <f aca="false">IF($A63="","",ROUND(SUMIFS(资金日记账!$H$4:$H$603,资金日记账!$E$4:$E$603,$A63,资金日记账!$V$4:$V$603,P$4),2))</f>
        <v/>
      </c>
      <c r="Q63" s="41" t="str">
        <f aca="false">IF($A63="","",ROUND(SUMIFS(资金日记账!$H$4:$H$603,资金日记账!$E$4:$E$603,$A63,资金日记账!$V$4:$V$603,Q$4),2))</f>
        <v/>
      </c>
      <c r="R63" s="41" t="str">
        <f aca="false">IF($A63="","",ROUND(SUMIFS(资金日记账!$H$4:$H$603,资金日记账!$E$4:$E$603,$A63,资金日记账!$V$4:$V$603,R$4),2))</f>
        <v/>
      </c>
      <c r="S63" s="41" t="str">
        <f aca="false">IF($A63="","",ROUND(SUMIFS(资金日记账!$H$4:$H$603,资金日记账!$E$4:$E$603,$A63,资金日记账!$V$4:$V$603,S$4),2))</f>
        <v/>
      </c>
      <c r="T63" s="41" t="str">
        <f aca="false">IF($A63="","",ROUND(SUMIFS(资金日记账!$H$4:$H$603,资金日记账!$E$4:$E$603,$A63,资金日记账!$V$4:$V$603,T$4),2))</f>
        <v/>
      </c>
      <c r="U63" s="41" t="str">
        <f aca="false">IF($A63="","",ROUND(SUMIFS(资金日记账!$H$4:$H$603,资金日记账!$E$4:$E$603,$A63,资金日记账!$V$4:$V$603,U$4),2))</f>
        <v/>
      </c>
      <c r="V63" s="41" t="str">
        <f aca="false">IF($A63="","",ROUND(SUMIFS(资金日记账!$H$4:$H$603,资金日记账!$E$4:$E$603,$A63,资金日记账!$V$4:$V$603,V$4),2))</f>
        <v/>
      </c>
      <c r="W63" s="41" t="str">
        <f aca="false">IF($A63="","",ROUND(SUMIFS(资金日记账!$H$4:$H$603,资金日记账!$E$4:$E$603,$A63,资金日记账!$V$4:$V$603,W$4),2))</f>
        <v/>
      </c>
      <c r="X63" s="41" t="str">
        <f aca="false">IF($A63="","",ROUND(SUMIFS(资金日记账!$H$4:$H$603,资金日记账!$E$4:$E$603,$A63,资金日记账!$V$4:$V$603,X$4),2))</f>
        <v/>
      </c>
      <c r="Y63" s="41" t="str">
        <f aca="false">IF($A63="","",ROUND(SUMIFS(资金日记账!$H$4:$H$603,资金日记账!$E$4:$E$603,$A63,资金日记账!$V$4:$V$603,Y$4),2))</f>
        <v/>
      </c>
      <c r="Z63" s="142" t="str">
        <f aca="false">IF($A63="","",ROUND(SUM($B63:$Y63),2))</f>
        <v/>
      </c>
    </row>
    <row r="64" customFormat="false" ht="13.5" hidden="false" customHeight="false" outlineLevel="0" collapsed="false">
      <c r="A64" s="33" t="str">
        <f aca="false">IFERROR(INDEX(_自动清单!$AJ$4:$AJ$63,60),"")</f>
        <v/>
      </c>
      <c r="B64" s="41" t="str">
        <f aca="false">IF($A64="","",ROUND(SUMIFS(资金日记账!$H$4:$H$603,资金日记账!$E$4:$E$603,$A64,资金日记账!$V$4:$V$603,B$4),2))</f>
        <v/>
      </c>
      <c r="C64" s="41" t="str">
        <f aca="false">IF($A64="","",ROUND(SUMIFS(资金日记账!$H$4:$H$603,资金日记账!$E$4:$E$603,$A64,资金日记账!$V$4:$V$603,C$4),2))</f>
        <v/>
      </c>
      <c r="D64" s="41" t="str">
        <f aca="false">IF($A64="","",ROUND(SUMIFS(资金日记账!$H$4:$H$603,资金日记账!$E$4:$E$603,$A64,资金日记账!$V$4:$V$603,D$4),2))</f>
        <v/>
      </c>
      <c r="E64" s="41" t="str">
        <f aca="false">IF($A64="","",ROUND(SUMIFS(资金日记账!$H$4:$H$603,资金日记账!$E$4:$E$603,$A64,资金日记账!$V$4:$V$603,E$4),2))</f>
        <v/>
      </c>
      <c r="F64" s="41" t="str">
        <f aca="false">IF($A64="","",ROUND(SUMIFS(资金日记账!$H$4:$H$603,资金日记账!$E$4:$E$603,$A64,资金日记账!$V$4:$V$603,F$4),2))</f>
        <v/>
      </c>
      <c r="G64" s="41" t="str">
        <f aca="false">IF($A64="","",ROUND(SUMIFS(资金日记账!$H$4:$H$603,资金日记账!$E$4:$E$603,$A64,资金日记账!$V$4:$V$603,G$4),2))</f>
        <v/>
      </c>
      <c r="H64" s="41" t="str">
        <f aca="false">IF($A64="","",ROUND(SUMIFS(资金日记账!$H$4:$H$603,资金日记账!$E$4:$E$603,$A64,资金日记账!$V$4:$V$603,H$4),2))</f>
        <v/>
      </c>
      <c r="I64" s="41" t="str">
        <f aca="false">IF($A64="","",ROUND(SUMIFS(资金日记账!$H$4:$H$603,资金日记账!$E$4:$E$603,$A64,资金日记账!$V$4:$V$603,I$4),2))</f>
        <v/>
      </c>
      <c r="J64" s="41" t="str">
        <f aca="false">IF($A64="","",ROUND(SUMIFS(资金日记账!$H$4:$H$603,资金日记账!$E$4:$E$603,$A64,资金日记账!$V$4:$V$603,J$4),2))</f>
        <v/>
      </c>
      <c r="K64" s="41" t="str">
        <f aca="false">IF($A64="","",ROUND(SUMIFS(资金日记账!$H$4:$H$603,资金日记账!$E$4:$E$603,$A64,资金日记账!$V$4:$V$603,K$4),2))</f>
        <v/>
      </c>
      <c r="L64" s="41" t="str">
        <f aca="false">IF($A64="","",ROUND(SUMIFS(资金日记账!$H$4:$H$603,资金日记账!$E$4:$E$603,$A64,资金日记账!$V$4:$V$603,L$4),2))</f>
        <v/>
      </c>
      <c r="M64" s="41" t="str">
        <f aca="false">IF($A64="","",ROUND(SUMIFS(资金日记账!$H$4:$H$603,资金日记账!$E$4:$E$603,$A64,资金日记账!$V$4:$V$603,M$4),2))</f>
        <v/>
      </c>
      <c r="N64" s="41" t="str">
        <f aca="false">IF($A64="","",ROUND(SUMIFS(资金日记账!$H$4:$H$603,资金日记账!$E$4:$E$603,$A64,资金日记账!$V$4:$V$603,N$4),2))</f>
        <v/>
      </c>
      <c r="O64" s="41" t="str">
        <f aca="false">IF($A64="","",ROUND(SUMIFS(资金日记账!$H$4:$H$603,资金日记账!$E$4:$E$603,$A64,资金日记账!$V$4:$V$603,O$4),2))</f>
        <v/>
      </c>
      <c r="P64" s="41" t="str">
        <f aca="false">IF($A64="","",ROUND(SUMIFS(资金日记账!$H$4:$H$603,资金日记账!$E$4:$E$603,$A64,资金日记账!$V$4:$V$603,P$4),2))</f>
        <v/>
      </c>
      <c r="Q64" s="41" t="str">
        <f aca="false">IF($A64="","",ROUND(SUMIFS(资金日记账!$H$4:$H$603,资金日记账!$E$4:$E$603,$A64,资金日记账!$V$4:$V$603,Q$4),2))</f>
        <v/>
      </c>
      <c r="R64" s="41" t="str">
        <f aca="false">IF($A64="","",ROUND(SUMIFS(资金日记账!$H$4:$H$603,资金日记账!$E$4:$E$603,$A64,资金日记账!$V$4:$V$603,R$4),2))</f>
        <v/>
      </c>
      <c r="S64" s="41" t="str">
        <f aca="false">IF($A64="","",ROUND(SUMIFS(资金日记账!$H$4:$H$603,资金日记账!$E$4:$E$603,$A64,资金日记账!$V$4:$V$603,S$4),2))</f>
        <v/>
      </c>
      <c r="T64" s="41" t="str">
        <f aca="false">IF($A64="","",ROUND(SUMIFS(资金日记账!$H$4:$H$603,资金日记账!$E$4:$E$603,$A64,资金日记账!$V$4:$V$603,T$4),2))</f>
        <v/>
      </c>
      <c r="U64" s="41" t="str">
        <f aca="false">IF($A64="","",ROUND(SUMIFS(资金日记账!$H$4:$H$603,资金日记账!$E$4:$E$603,$A64,资金日记账!$V$4:$V$603,U$4),2))</f>
        <v/>
      </c>
      <c r="V64" s="41" t="str">
        <f aca="false">IF($A64="","",ROUND(SUMIFS(资金日记账!$H$4:$H$603,资金日记账!$E$4:$E$603,$A64,资金日记账!$V$4:$V$603,V$4),2))</f>
        <v/>
      </c>
      <c r="W64" s="41" t="str">
        <f aca="false">IF($A64="","",ROUND(SUMIFS(资金日记账!$H$4:$H$603,资金日记账!$E$4:$E$603,$A64,资金日记账!$V$4:$V$603,W$4),2))</f>
        <v/>
      </c>
      <c r="X64" s="41" t="str">
        <f aca="false">IF($A64="","",ROUND(SUMIFS(资金日记账!$H$4:$H$603,资金日记账!$E$4:$E$603,$A64,资金日记账!$V$4:$V$603,X$4),2))</f>
        <v/>
      </c>
      <c r="Y64" s="41" t="str">
        <f aca="false">IF($A64="","",ROUND(SUMIFS(资金日记账!$H$4:$H$603,资金日记账!$E$4:$E$603,$A64,资金日记账!$V$4:$V$603,Y$4),2))</f>
        <v/>
      </c>
      <c r="Z64" s="142" t="str">
        <f aca="false">IF($A64="","",ROUND(SUM($B64:$Y64),2))</f>
        <v/>
      </c>
    </row>
    <row r="65" customFormat="false" ht="13.5" hidden="false" customHeight="false" outlineLevel="0" collapsed="false">
      <c r="A65" s="79" t="s">
        <v>820</v>
      </c>
      <c r="B65" s="81" t="n">
        <f aca="false">ROUND(SUM(B$5:B$64),2)</f>
        <v>0</v>
      </c>
      <c r="C65" s="81" t="n">
        <f aca="false">ROUND(SUM(C$5:C$64),2)</f>
        <v>19836</v>
      </c>
      <c r="D65" s="81" t="n">
        <f aca="false">ROUND(SUM(D$5:D$64),2)</f>
        <v>0</v>
      </c>
      <c r="E65" s="81" t="n">
        <f aca="false">ROUND(SUM(E$5:E$64),2)</f>
        <v>0</v>
      </c>
      <c r="F65" s="81" t="n">
        <f aca="false">ROUND(SUM(F$5:F$64),2)</f>
        <v>0</v>
      </c>
      <c r="G65" s="81" t="n">
        <f aca="false">ROUND(SUM(G$5:G$64),2)</f>
        <v>0</v>
      </c>
      <c r="H65" s="81" t="n">
        <f aca="false">ROUND(SUM(H$5:H$64),2)</f>
        <v>0</v>
      </c>
      <c r="I65" s="81" t="n">
        <f aca="false">ROUND(SUM(I$5:I$64),2)</f>
        <v>0</v>
      </c>
      <c r="J65" s="81" t="n">
        <f aca="false">ROUND(SUM(J$5:J$64),2)</f>
        <v>0</v>
      </c>
      <c r="K65" s="81" t="n">
        <f aca="false">ROUND(SUM(K$5:K$64),2)</f>
        <v>0</v>
      </c>
      <c r="L65" s="81" t="n">
        <f aca="false">ROUND(SUM(L$5:L$64),2)</f>
        <v>0</v>
      </c>
      <c r="M65" s="81" t="n">
        <f aca="false">ROUND(SUM(M$5:M$64),2)</f>
        <v>0</v>
      </c>
      <c r="N65" s="81" t="n">
        <f aca="false">ROUND(SUM(N$5:N$64),2)</f>
        <v>0</v>
      </c>
      <c r="O65" s="81" t="n">
        <f aca="false">ROUND(SUM(O$5:O$64),2)</f>
        <v>0</v>
      </c>
      <c r="P65" s="81" t="n">
        <f aca="false">ROUND(SUM(P$5:P$64),2)</f>
        <v>0</v>
      </c>
      <c r="Q65" s="81" t="n">
        <f aca="false">ROUND(SUM(Q$5:Q$64),2)</f>
        <v>0</v>
      </c>
      <c r="R65" s="81" t="n">
        <f aca="false">ROUND(SUM(R$5:R$64),2)</f>
        <v>0</v>
      </c>
      <c r="S65" s="81" t="n">
        <f aca="false">ROUND(SUM(S$5:S$64),2)</f>
        <v>0</v>
      </c>
      <c r="T65" s="81" t="n">
        <f aca="false">ROUND(SUM(T$5:T$64),2)</f>
        <v>0</v>
      </c>
      <c r="U65" s="81" t="n">
        <f aca="false">ROUND(SUM(U$5:U$64),2)</f>
        <v>0</v>
      </c>
      <c r="V65" s="81" t="n">
        <f aca="false">ROUND(SUM(V$5:V$64),2)</f>
        <v>0</v>
      </c>
      <c r="W65" s="81" t="n">
        <f aca="false">ROUND(SUM(W$5:W$64),2)</f>
        <v>0</v>
      </c>
      <c r="X65" s="81" t="n">
        <f aca="false">ROUND(SUM(X$5:X$64),2)</f>
        <v>0</v>
      </c>
      <c r="Y65" s="81" t="n">
        <f aca="false">ROUND(SUM(Y$5:Y$64),2)</f>
        <v>0</v>
      </c>
      <c r="Z65" s="81" t="n">
        <f aca="false">ROUND(SUM(Z$5:Z$64),2)</f>
        <v>19836</v>
      </c>
      <c r="AA65" s="81" t="n">
        <f aca="false">ROUND(SUM(AA$5:AA$64),2)</f>
        <v>0</v>
      </c>
    </row>
  </sheetData>
  <mergeCells count="3">
    <mergeCell ref="A1:AA1"/>
    <mergeCell ref="A2:D2"/>
    <mergeCell ref="G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C68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1" ySplit="4" topLeftCell="B73" activePane="bottomRight" state="frozen"/>
      <selection pane="topLeft" activeCell="A1" activeCellId="0" sqref="A1"/>
      <selection pane="topRight" activeCell="B1" activeCellId="0" sqref="B1"/>
      <selection pane="bottomLeft" activeCell="A73" activeCellId="0" sqref="A73"/>
      <selection pane="bottomRight" activeCell="G23" activeCellId="0" sqref="G23"/>
    </sheetView>
  </sheetViews>
  <sheetFormatPr defaultColWidth="9" defaultRowHeight="13.5" zeroHeight="false" outlineLevelRow="0" outlineLevelCol="0"/>
  <cols>
    <col collapsed="false" customWidth="true" hidden="false" outlineLevel="0" max="1" min="1" style="0" width="20"/>
    <col collapsed="false" customWidth="true" hidden="false" outlineLevel="0" max="25" min="2" style="0" width="12"/>
    <col collapsed="false" customWidth="true" hidden="false" outlineLevel="0" max="26" min="26" style="0" width="14"/>
    <col collapsed="false" customWidth="true" hidden="false" outlineLevel="0" max="28" min="27" style="0" width="13"/>
  </cols>
  <sheetData>
    <row r="1" customFormat="false" ht="30" hidden="false" customHeight="true" outlineLevel="0" collapsed="false">
      <c r="A1" s="31" t="s">
        <v>821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 customFormat="false" ht="13.5" hidden="false" customHeight="false" outlineLevel="0" collapsed="false">
      <c r="A2" s="2" t="s">
        <v>822</v>
      </c>
      <c r="B2" s="2"/>
      <c r="C2" s="2"/>
      <c r="D2" s="2"/>
      <c r="E2" s="137" t="s">
        <v>816</v>
      </c>
      <c r="F2" s="138" t="n">
        <v>46235</v>
      </c>
      <c r="G2" s="139" t="str">
        <f aca="false">IF($F$2="","（请填 F2，例如 2026-8-1）",TEXT($F$2,"yyyy年m月")&amp;"　—　"&amp;TEXT(DATE(YEAR($F$2),MONTH($F$2)+23,1),"yyyy年m月"))</f>
        <v>2026年8月　—　2028年7月</v>
      </c>
      <c r="H2" s="139"/>
      <c r="I2" s="139"/>
      <c r="J2" s="139"/>
      <c r="K2" s="139"/>
      <c r="L2" s="139"/>
    </row>
    <row r="3" customFormat="false" ht="13.5" hidden="false" customHeight="false" outlineLevel="0" collapsed="false">
      <c r="A3" s="140" t="s">
        <v>817</v>
      </c>
      <c r="B3" s="141" t="n">
        <f aca="false">ROUND(SUM(B$5:B$64),2)</f>
        <v>0</v>
      </c>
      <c r="C3" s="141" t="n">
        <f aca="false">ROUND(SUM(C$5:C$64),2)</f>
        <v>249896.51</v>
      </c>
      <c r="D3" s="141" t="n">
        <f aca="false">ROUND(SUM(D$5:D$64),2)</f>
        <v>0</v>
      </c>
      <c r="E3" s="141" t="n">
        <f aca="false">ROUND(SUM(E$5:E$64),2)</f>
        <v>0</v>
      </c>
      <c r="F3" s="141" t="n">
        <f aca="false">ROUND(SUM(F$5:F$64),2)</f>
        <v>0</v>
      </c>
      <c r="G3" s="141" t="n">
        <f aca="false">ROUND(SUM(G$5:G$64),2)</f>
        <v>0</v>
      </c>
      <c r="H3" s="141" t="n">
        <f aca="false">ROUND(SUM(H$5:H$64),2)</f>
        <v>0</v>
      </c>
      <c r="I3" s="141" t="n">
        <f aca="false">ROUND(SUM(I$5:I$64),2)</f>
        <v>0</v>
      </c>
      <c r="J3" s="141" t="n">
        <f aca="false">ROUND(SUM(J$5:J$64),2)</f>
        <v>0</v>
      </c>
      <c r="K3" s="141" t="n">
        <f aca="false">ROUND(SUM(K$5:K$64),2)</f>
        <v>0</v>
      </c>
      <c r="L3" s="141" t="n">
        <f aca="false">ROUND(SUM(L$5:L$64),2)</f>
        <v>0</v>
      </c>
      <c r="M3" s="141" t="n">
        <f aca="false">ROUND(SUM(M$5:M$64),2)</f>
        <v>0</v>
      </c>
      <c r="N3" s="141" t="n">
        <f aca="false">ROUND(SUM(N$5:N$64),2)</f>
        <v>0</v>
      </c>
      <c r="O3" s="141" t="n">
        <f aca="false">ROUND(SUM(O$5:O$64),2)</f>
        <v>0</v>
      </c>
      <c r="P3" s="141" t="n">
        <f aca="false">ROUND(SUM(P$5:P$64),2)</f>
        <v>0</v>
      </c>
      <c r="Q3" s="141" t="n">
        <f aca="false">ROUND(SUM(Q$5:Q$64),2)</f>
        <v>0</v>
      </c>
      <c r="R3" s="141" t="n">
        <f aca="false">ROUND(SUM(R$5:R$64),2)</f>
        <v>0</v>
      </c>
      <c r="S3" s="141" t="n">
        <f aca="false">ROUND(SUM(S$5:S$64),2)</f>
        <v>0</v>
      </c>
      <c r="T3" s="141" t="n">
        <f aca="false">ROUND(SUM(T$5:T$64),2)</f>
        <v>0</v>
      </c>
      <c r="U3" s="141" t="n">
        <f aca="false">ROUND(SUM(U$5:U$64),2)</f>
        <v>0</v>
      </c>
      <c r="V3" s="141" t="n">
        <f aca="false">ROUND(SUM(V$5:V$64),2)</f>
        <v>0</v>
      </c>
      <c r="W3" s="141" t="n">
        <f aca="false">ROUND(SUM(W$5:W$64),2)</f>
        <v>0</v>
      </c>
      <c r="X3" s="141" t="n">
        <f aca="false">ROUND(SUM(X$5:X$64),2)</f>
        <v>0</v>
      </c>
      <c r="Y3" s="141" t="n">
        <f aca="false">ROUND(SUM(Y$5:Y$64),2)</f>
        <v>0</v>
      </c>
      <c r="Z3" s="141" t="n">
        <f aca="false">ROUND(SUM(Z$5:Z$64),2)</f>
        <v>249896.51</v>
      </c>
      <c r="AA3" s="141" t="n">
        <f aca="false">ROUND(SUM(AA$5:AA$64),2)</f>
        <v>249896.51</v>
      </c>
      <c r="AB3" s="141" t="n">
        <f aca="false">ROUND(SUM(AB$5:AB$64),2)</f>
        <v>0</v>
      </c>
      <c r="AC3" s="141" t="n">
        <f aca="false">ROUND(SUM(AC$5:AC$64),2)</f>
        <v>0</v>
      </c>
    </row>
    <row r="4" customFormat="false" ht="30" hidden="false" customHeight="true" outlineLevel="0" collapsed="false">
      <c r="A4" s="37" t="s">
        <v>823</v>
      </c>
      <c r="B4" s="37" t="str">
        <f aca="true">IF($F$2="",TEXT(DATE(YEAR(TODAY()),MONTH(TODAY())+0,1),"yyyy年m月"),TEXT(DATE(YEAR($F$2),MONTH($F$2)+0,1),"yyyy年m月"))</f>
        <v>2026年8月</v>
      </c>
      <c r="C4" s="37" t="str">
        <f aca="true">IF($F$2="",TEXT(DATE(YEAR(TODAY()),MONTH(TODAY())+1,1),"yyyy年m月"),TEXT(DATE(YEAR($F$2),MONTH($F$2)+1,1),"yyyy年m月"))</f>
        <v>2026年9月</v>
      </c>
      <c r="D4" s="37" t="str">
        <f aca="true">IF($F$2="",TEXT(DATE(YEAR(TODAY()),MONTH(TODAY())+2,1),"yyyy年m月"),TEXT(DATE(YEAR($F$2),MONTH($F$2)+2,1),"yyyy年m月"))</f>
        <v>2026年10月</v>
      </c>
      <c r="E4" s="37" t="str">
        <f aca="true">IF($F$2="",TEXT(DATE(YEAR(TODAY()),MONTH(TODAY())+3,1),"yyyy年m月"),TEXT(DATE(YEAR($F$2),MONTH($F$2)+3,1),"yyyy年m月"))</f>
        <v>2026年11月</v>
      </c>
      <c r="F4" s="37" t="str">
        <f aca="true">IF($F$2="",TEXT(DATE(YEAR(TODAY()),MONTH(TODAY())+4,1),"yyyy年m月"),TEXT(DATE(YEAR($F$2),MONTH($F$2)+4,1),"yyyy年m月"))</f>
        <v>2026年12月</v>
      </c>
      <c r="G4" s="37" t="str">
        <f aca="true">IF($F$2="",TEXT(DATE(YEAR(TODAY()),MONTH(TODAY())+5,1),"yyyy年m月"),TEXT(DATE(YEAR($F$2),MONTH($F$2)+5,1),"yyyy年m月"))</f>
        <v>2027年1月</v>
      </c>
      <c r="H4" s="37" t="str">
        <f aca="true">IF($F$2="",TEXT(DATE(YEAR(TODAY()),MONTH(TODAY())+6,1),"yyyy年m月"),TEXT(DATE(YEAR($F$2),MONTH($F$2)+6,1),"yyyy年m月"))</f>
        <v>2027年2月</v>
      </c>
      <c r="I4" s="37" t="str">
        <f aca="true">IF($F$2="",TEXT(DATE(YEAR(TODAY()),MONTH(TODAY())+7,1),"yyyy年m月"),TEXT(DATE(YEAR($F$2),MONTH($F$2)+7,1),"yyyy年m月"))</f>
        <v>2027年3月</v>
      </c>
      <c r="J4" s="37" t="str">
        <f aca="true">IF($F$2="",TEXT(DATE(YEAR(TODAY()),MONTH(TODAY())+8,1),"yyyy年m月"),TEXT(DATE(YEAR($F$2),MONTH($F$2)+8,1),"yyyy年m月"))</f>
        <v>2027年4月</v>
      </c>
      <c r="K4" s="37" t="str">
        <f aca="true">IF($F$2="",TEXT(DATE(YEAR(TODAY()),MONTH(TODAY())+9,1),"yyyy年m月"),TEXT(DATE(YEAR($F$2),MONTH($F$2)+9,1),"yyyy年m月"))</f>
        <v>2027年5月</v>
      </c>
      <c r="L4" s="37" t="str">
        <f aca="true">IF($F$2="",TEXT(DATE(YEAR(TODAY()),MONTH(TODAY())+10,1),"yyyy年m月"),TEXT(DATE(YEAR($F$2),MONTH($F$2)+10,1),"yyyy年m月"))</f>
        <v>2027年6月</v>
      </c>
      <c r="M4" s="37" t="str">
        <f aca="true">IF($F$2="",TEXT(DATE(YEAR(TODAY()),MONTH(TODAY())+11,1),"yyyy年m月"),TEXT(DATE(YEAR($F$2),MONTH($F$2)+11,1),"yyyy年m月"))</f>
        <v>2027年7月</v>
      </c>
      <c r="N4" s="37" t="str">
        <f aca="true">IF($F$2="",TEXT(DATE(YEAR(TODAY()),MONTH(TODAY())+12,1),"yyyy年m月"),TEXT(DATE(YEAR($F$2),MONTH($F$2)+12,1),"yyyy年m月"))</f>
        <v>2027年8月</v>
      </c>
      <c r="O4" s="37" t="str">
        <f aca="true">IF($F$2="",TEXT(DATE(YEAR(TODAY()),MONTH(TODAY())+13,1),"yyyy年m月"),TEXT(DATE(YEAR($F$2),MONTH($F$2)+13,1),"yyyy年m月"))</f>
        <v>2027年9月</v>
      </c>
      <c r="P4" s="37" t="str">
        <f aca="true">IF($F$2="",TEXT(DATE(YEAR(TODAY()),MONTH(TODAY())+14,1),"yyyy年m月"),TEXT(DATE(YEAR($F$2),MONTH($F$2)+14,1),"yyyy年m月"))</f>
        <v>2027年10月</v>
      </c>
      <c r="Q4" s="37" t="str">
        <f aca="true">IF($F$2="",TEXT(DATE(YEAR(TODAY()),MONTH(TODAY())+15,1),"yyyy年m月"),TEXT(DATE(YEAR($F$2),MONTH($F$2)+15,1),"yyyy年m月"))</f>
        <v>2027年11月</v>
      </c>
      <c r="R4" s="37" t="str">
        <f aca="true">IF($F$2="",TEXT(DATE(YEAR(TODAY()),MONTH(TODAY())+16,1),"yyyy年m月"),TEXT(DATE(YEAR($F$2),MONTH($F$2)+16,1),"yyyy年m月"))</f>
        <v>2027年12月</v>
      </c>
      <c r="S4" s="37" t="str">
        <f aca="true">IF($F$2="",TEXT(DATE(YEAR(TODAY()),MONTH(TODAY())+17,1),"yyyy年m月"),TEXT(DATE(YEAR($F$2),MONTH($F$2)+17,1),"yyyy年m月"))</f>
        <v>2028年1月</v>
      </c>
      <c r="T4" s="37" t="str">
        <f aca="true">IF($F$2="",TEXT(DATE(YEAR(TODAY()),MONTH(TODAY())+18,1),"yyyy年m月"),TEXT(DATE(YEAR($F$2),MONTH($F$2)+18,1),"yyyy年m月"))</f>
        <v>2028年2月</v>
      </c>
      <c r="U4" s="37" t="str">
        <f aca="true">IF($F$2="",TEXT(DATE(YEAR(TODAY()),MONTH(TODAY())+19,1),"yyyy年m月"),TEXT(DATE(YEAR($F$2),MONTH($F$2)+19,1),"yyyy年m月"))</f>
        <v>2028年3月</v>
      </c>
      <c r="V4" s="37" t="str">
        <f aca="true">IF($F$2="",TEXT(DATE(YEAR(TODAY()),MONTH(TODAY())+20,1),"yyyy年m月"),TEXT(DATE(YEAR($F$2),MONTH($F$2)+20,1),"yyyy年m月"))</f>
        <v>2028年4月</v>
      </c>
      <c r="W4" s="37" t="str">
        <f aca="true">IF($F$2="",TEXT(DATE(YEAR(TODAY()),MONTH(TODAY())+21,1),"yyyy年m月"),TEXT(DATE(YEAR($F$2),MONTH($F$2)+21,1),"yyyy年m月"))</f>
        <v>2028年5月</v>
      </c>
      <c r="X4" s="37" t="str">
        <f aca="true">IF($F$2="",TEXT(DATE(YEAR(TODAY()),MONTH(TODAY())+22,1),"yyyy年m月"),TEXT(DATE(YEAR($F$2),MONTH($F$2)+22,1),"yyyy年m月"))</f>
        <v>2028年6月</v>
      </c>
      <c r="Y4" s="37" t="str">
        <f aca="true">IF($F$2="",TEXT(DATE(YEAR(TODAY()),MONTH(TODAY())+23,1),"yyyy年m月"),TEXT(DATE(YEAR($F$2),MONTH($F$2)+23,1),"yyyy年m月"))</f>
        <v>2028年7月</v>
      </c>
      <c r="Z4" s="37" t="s">
        <v>824</v>
      </c>
      <c r="AA4" s="37" t="s">
        <v>825</v>
      </c>
      <c r="AB4" s="37" t="s">
        <v>771</v>
      </c>
    </row>
    <row r="5" customFormat="false" ht="13.5" hidden="false" customHeight="false" outlineLevel="0" collapsed="false">
      <c r="A5" s="33" t="str">
        <f aca="false">IFERROR(INDEX(_自动清单!$X$4:$X$63,1),"")</f>
        <v>财务</v>
      </c>
      <c r="B5" s="41" t="n">
        <f aca="false">IF($A5="","",ROUND(SUMIFS(成本费用登记表!$H$4:$H$303,成本费用登记表!$D$4:$D$303,$A5,成本费用登记表!$AC$4:$AC$303,B$4)+SUMIFS(资金日记账!$I$4:$I$603,资金日记账!$G$4:$G$603,$A5,资金日记账!$U$4:$U$603,"&lt;&gt;是",资金日记账!$V$4:$V$603,B$4),2))</f>
        <v>0</v>
      </c>
      <c r="C5" s="41" t="n">
        <f aca="false">IF($A5="","",ROUND(SUMIFS(成本费用登记表!$H$4:$H$303,成本费用登记表!$D$4:$D$303,$A5,成本费用登记表!$AC$4:$AC$303,C$4)+SUMIFS(资金日记账!$I$4:$I$603,资金日记账!$G$4:$G$603,$A5,资金日记账!$U$4:$U$603,"&lt;&gt;是",资金日记账!$V$4:$V$603,C$4),2))</f>
        <v>290</v>
      </c>
      <c r="D5" s="41" t="n">
        <f aca="false">IF($A5="","",ROUND(SUMIFS(成本费用登记表!$H$4:$H$303,成本费用登记表!$D$4:$D$303,$A5,成本费用登记表!$AC$4:$AC$303,D$4)+SUMIFS(资金日记账!$I$4:$I$603,资金日记账!$G$4:$G$603,$A5,资金日记账!$U$4:$U$603,"&lt;&gt;是",资金日记账!$V$4:$V$603,D$4),2))</f>
        <v>0</v>
      </c>
      <c r="E5" s="41" t="n">
        <f aca="false">IF($A5="","",ROUND(SUMIFS(成本费用登记表!$H$4:$H$303,成本费用登记表!$D$4:$D$303,$A5,成本费用登记表!$AC$4:$AC$303,E$4)+SUMIFS(资金日记账!$I$4:$I$603,资金日记账!$G$4:$G$603,$A5,资金日记账!$U$4:$U$603,"&lt;&gt;是",资金日记账!$V$4:$V$603,E$4),2))</f>
        <v>0</v>
      </c>
      <c r="F5" s="41" t="n">
        <f aca="false">IF($A5="","",ROUND(SUMIFS(成本费用登记表!$H$4:$H$303,成本费用登记表!$D$4:$D$303,$A5,成本费用登记表!$AC$4:$AC$303,F$4)+SUMIFS(资金日记账!$I$4:$I$603,资金日记账!$G$4:$G$603,$A5,资金日记账!$U$4:$U$603,"&lt;&gt;是",资金日记账!$V$4:$V$603,F$4),2))</f>
        <v>0</v>
      </c>
      <c r="G5" s="41" t="n">
        <f aca="false">IF($A5="","",ROUND(SUMIFS(成本费用登记表!$H$4:$H$303,成本费用登记表!$D$4:$D$303,$A5,成本费用登记表!$AC$4:$AC$303,G$4)+SUMIFS(资金日记账!$I$4:$I$603,资金日记账!$G$4:$G$603,$A5,资金日记账!$U$4:$U$603,"&lt;&gt;是",资金日记账!$V$4:$V$603,G$4),2))</f>
        <v>0</v>
      </c>
      <c r="H5" s="41" t="n">
        <f aca="false">IF($A5="","",ROUND(SUMIFS(成本费用登记表!$H$4:$H$303,成本费用登记表!$D$4:$D$303,$A5,成本费用登记表!$AC$4:$AC$303,H$4)+SUMIFS(资金日记账!$I$4:$I$603,资金日记账!$G$4:$G$603,$A5,资金日记账!$U$4:$U$603,"&lt;&gt;是",资金日记账!$V$4:$V$603,H$4),2))</f>
        <v>0</v>
      </c>
      <c r="I5" s="41" t="n">
        <f aca="false">IF($A5="","",ROUND(SUMIFS(成本费用登记表!$H$4:$H$303,成本费用登记表!$D$4:$D$303,$A5,成本费用登记表!$AC$4:$AC$303,I$4)+SUMIFS(资金日记账!$I$4:$I$603,资金日记账!$G$4:$G$603,$A5,资金日记账!$U$4:$U$603,"&lt;&gt;是",资金日记账!$V$4:$V$603,I$4),2))</f>
        <v>0</v>
      </c>
      <c r="J5" s="41" t="n">
        <f aca="false">IF($A5="","",ROUND(SUMIFS(成本费用登记表!$H$4:$H$303,成本费用登记表!$D$4:$D$303,$A5,成本费用登记表!$AC$4:$AC$303,J$4)+SUMIFS(资金日记账!$I$4:$I$603,资金日记账!$G$4:$G$603,$A5,资金日记账!$U$4:$U$603,"&lt;&gt;是",资金日记账!$V$4:$V$603,J$4),2))</f>
        <v>0</v>
      </c>
      <c r="K5" s="41" t="n">
        <f aca="false">IF($A5="","",ROUND(SUMIFS(成本费用登记表!$H$4:$H$303,成本费用登记表!$D$4:$D$303,$A5,成本费用登记表!$AC$4:$AC$303,K$4)+SUMIFS(资金日记账!$I$4:$I$603,资金日记账!$G$4:$G$603,$A5,资金日记账!$U$4:$U$603,"&lt;&gt;是",资金日记账!$V$4:$V$603,K$4),2))</f>
        <v>0</v>
      </c>
      <c r="L5" s="41" t="n">
        <f aca="false">IF($A5="","",ROUND(SUMIFS(成本费用登记表!$H$4:$H$303,成本费用登记表!$D$4:$D$303,$A5,成本费用登记表!$AC$4:$AC$303,L$4)+SUMIFS(资金日记账!$I$4:$I$603,资金日记账!$G$4:$G$603,$A5,资金日记账!$U$4:$U$603,"&lt;&gt;是",资金日记账!$V$4:$V$603,L$4),2))</f>
        <v>0</v>
      </c>
      <c r="M5" s="41" t="n">
        <f aca="false">IF($A5="","",ROUND(SUMIFS(成本费用登记表!$H$4:$H$303,成本费用登记表!$D$4:$D$303,$A5,成本费用登记表!$AC$4:$AC$303,M$4)+SUMIFS(资金日记账!$I$4:$I$603,资金日记账!$G$4:$G$603,$A5,资金日记账!$U$4:$U$603,"&lt;&gt;是",资金日记账!$V$4:$V$603,M$4),2))</f>
        <v>0</v>
      </c>
      <c r="N5" s="41" t="n">
        <f aca="false">IF($A5="","",ROUND(SUMIFS(成本费用登记表!$H$4:$H$303,成本费用登记表!$D$4:$D$303,$A5,成本费用登记表!$AC$4:$AC$303,N$4)+SUMIFS(资金日记账!$I$4:$I$603,资金日记账!$G$4:$G$603,$A5,资金日记账!$U$4:$U$603,"&lt;&gt;是",资金日记账!$V$4:$V$603,N$4),2))</f>
        <v>0</v>
      </c>
      <c r="O5" s="41" t="n">
        <f aca="false">IF($A5="","",ROUND(SUMIFS(成本费用登记表!$H$4:$H$303,成本费用登记表!$D$4:$D$303,$A5,成本费用登记表!$AC$4:$AC$303,O$4)+SUMIFS(资金日记账!$I$4:$I$603,资金日记账!$G$4:$G$603,$A5,资金日记账!$U$4:$U$603,"&lt;&gt;是",资金日记账!$V$4:$V$603,O$4),2))</f>
        <v>0</v>
      </c>
      <c r="P5" s="41" t="n">
        <f aca="false">IF($A5="","",ROUND(SUMIFS(成本费用登记表!$H$4:$H$303,成本费用登记表!$D$4:$D$303,$A5,成本费用登记表!$AC$4:$AC$303,P$4)+SUMIFS(资金日记账!$I$4:$I$603,资金日记账!$G$4:$G$603,$A5,资金日记账!$U$4:$U$603,"&lt;&gt;是",资金日记账!$V$4:$V$603,P$4),2))</f>
        <v>0</v>
      </c>
      <c r="Q5" s="41" t="n">
        <f aca="false">IF($A5="","",ROUND(SUMIFS(成本费用登记表!$H$4:$H$303,成本费用登记表!$D$4:$D$303,$A5,成本费用登记表!$AC$4:$AC$303,Q$4)+SUMIFS(资金日记账!$I$4:$I$603,资金日记账!$G$4:$G$603,$A5,资金日记账!$U$4:$U$603,"&lt;&gt;是",资金日记账!$V$4:$V$603,Q$4),2))</f>
        <v>0</v>
      </c>
      <c r="R5" s="41" t="n">
        <f aca="false">IF($A5="","",ROUND(SUMIFS(成本费用登记表!$H$4:$H$303,成本费用登记表!$D$4:$D$303,$A5,成本费用登记表!$AC$4:$AC$303,R$4)+SUMIFS(资金日记账!$I$4:$I$603,资金日记账!$G$4:$G$603,$A5,资金日记账!$U$4:$U$603,"&lt;&gt;是",资金日记账!$V$4:$V$603,R$4),2))</f>
        <v>0</v>
      </c>
      <c r="S5" s="41" t="n">
        <f aca="false">IF($A5="","",ROUND(SUMIFS(成本费用登记表!$H$4:$H$303,成本费用登记表!$D$4:$D$303,$A5,成本费用登记表!$AC$4:$AC$303,S$4)+SUMIFS(资金日记账!$I$4:$I$603,资金日记账!$G$4:$G$603,$A5,资金日记账!$U$4:$U$603,"&lt;&gt;是",资金日记账!$V$4:$V$603,S$4),2))</f>
        <v>0</v>
      </c>
      <c r="T5" s="41" t="n">
        <f aca="false">IF($A5="","",ROUND(SUMIFS(成本费用登记表!$H$4:$H$303,成本费用登记表!$D$4:$D$303,$A5,成本费用登记表!$AC$4:$AC$303,T$4)+SUMIFS(资金日记账!$I$4:$I$603,资金日记账!$G$4:$G$603,$A5,资金日记账!$U$4:$U$603,"&lt;&gt;是",资金日记账!$V$4:$V$603,T$4),2))</f>
        <v>0</v>
      </c>
      <c r="U5" s="41" t="n">
        <f aca="false">IF($A5="","",ROUND(SUMIFS(成本费用登记表!$H$4:$H$303,成本费用登记表!$D$4:$D$303,$A5,成本费用登记表!$AC$4:$AC$303,U$4)+SUMIFS(资金日记账!$I$4:$I$603,资金日记账!$G$4:$G$603,$A5,资金日记账!$U$4:$U$603,"&lt;&gt;是",资金日记账!$V$4:$V$603,U$4),2))</f>
        <v>0</v>
      </c>
      <c r="V5" s="41" t="n">
        <f aca="false">IF($A5="","",ROUND(SUMIFS(成本费用登记表!$H$4:$H$303,成本费用登记表!$D$4:$D$303,$A5,成本费用登记表!$AC$4:$AC$303,V$4)+SUMIFS(资金日记账!$I$4:$I$603,资金日记账!$G$4:$G$603,$A5,资金日记账!$U$4:$U$603,"&lt;&gt;是",资金日记账!$V$4:$V$603,V$4),2))</f>
        <v>0</v>
      </c>
      <c r="W5" s="41" t="n">
        <f aca="false">IF($A5="","",ROUND(SUMIFS(成本费用登记表!$H$4:$H$303,成本费用登记表!$D$4:$D$303,$A5,成本费用登记表!$AC$4:$AC$303,W$4)+SUMIFS(资金日记账!$I$4:$I$603,资金日记账!$G$4:$G$603,$A5,资金日记账!$U$4:$U$603,"&lt;&gt;是",资金日记账!$V$4:$V$603,W$4),2))</f>
        <v>0</v>
      </c>
      <c r="X5" s="41" t="n">
        <f aca="false">IF($A5="","",ROUND(SUMIFS(成本费用登记表!$H$4:$H$303,成本费用登记表!$D$4:$D$303,$A5,成本费用登记表!$AC$4:$AC$303,X$4)+SUMIFS(资金日记账!$I$4:$I$603,资金日记账!$G$4:$G$603,$A5,资金日记账!$U$4:$U$603,"&lt;&gt;是",资金日记账!$V$4:$V$603,X$4),2))</f>
        <v>0</v>
      </c>
      <c r="Y5" s="41" t="n">
        <f aca="false">IF($A5="","",ROUND(SUMIFS(成本费用登记表!$H$4:$H$303,成本费用登记表!$D$4:$D$303,$A5,成本费用登记表!$AC$4:$AC$303,Y$4)+SUMIFS(资金日记账!$I$4:$I$603,资金日记账!$G$4:$G$603,$A5,资金日记账!$U$4:$U$603,"&lt;&gt;是",资金日记账!$V$4:$V$603,Y$4),2))</f>
        <v>0</v>
      </c>
      <c r="Z5" s="142" t="n">
        <f aca="false">IF($A5="","",ROUND(SUM($B5:$Y5),2))</f>
        <v>290</v>
      </c>
      <c r="AA5" s="41" t="n">
        <f aca="false">IF($A5="","",ROUND(SUMIF(成本费用登记表!$D$4:$D$303,$A5,成本费用登记表!$AA$4:$AA$303)+SUMIFS(资金日记账!$I$4:$I$603,资金日记账!$G$4:$G$603,$A5,资金日记账!$U$4:$U$603,"&lt;&gt;是"),2))</f>
        <v>290</v>
      </c>
      <c r="AB5" s="41" t="n">
        <f aca="false">IF($A5="","",ROUND(N($Z5)-N($AA5),2))</f>
        <v>0</v>
      </c>
    </row>
    <row r="6" customFormat="false" ht="13.5" hidden="false" customHeight="false" outlineLevel="0" collapsed="false">
      <c r="A6" s="33" t="str">
        <f aca="false">IFERROR(INDEX(_自动清单!$X$4:$X$63,2),"")</f>
        <v>人工工资</v>
      </c>
      <c r="B6" s="41" t="n">
        <f aca="false">IF($A6="","",ROUND(SUMIFS(成本费用登记表!$H$4:$H$303,成本费用登记表!$D$4:$D$303,$A6,成本费用登记表!$AC$4:$AC$303,B$4)+SUMIFS(资金日记账!$I$4:$I$603,资金日记账!$G$4:$G$603,$A6,资金日记账!$U$4:$U$603,"&lt;&gt;是",资金日记账!$V$4:$V$603,B$4),2))</f>
        <v>0</v>
      </c>
      <c r="C6" s="41" t="n">
        <f aca="false">IF($A6="","",ROUND(SUMIFS(成本费用登记表!$H$4:$H$303,成本费用登记表!$D$4:$D$303,$A6,成本费用登记表!$AC$4:$AC$303,C$4)+SUMIFS(资金日记账!$I$4:$I$603,资金日记账!$G$4:$G$603,$A6,资金日记账!$U$4:$U$603,"&lt;&gt;是",资金日记账!$V$4:$V$603,C$4),2))</f>
        <v>20000</v>
      </c>
      <c r="D6" s="41" t="n">
        <f aca="false">IF($A6="","",ROUND(SUMIFS(成本费用登记表!$H$4:$H$303,成本费用登记表!$D$4:$D$303,$A6,成本费用登记表!$AC$4:$AC$303,D$4)+SUMIFS(资金日记账!$I$4:$I$603,资金日记账!$G$4:$G$603,$A6,资金日记账!$U$4:$U$603,"&lt;&gt;是",资金日记账!$V$4:$V$603,D$4),2))</f>
        <v>0</v>
      </c>
      <c r="E6" s="41" t="n">
        <f aca="false">IF($A6="","",ROUND(SUMIFS(成本费用登记表!$H$4:$H$303,成本费用登记表!$D$4:$D$303,$A6,成本费用登记表!$AC$4:$AC$303,E$4)+SUMIFS(资金日记账!$I$4:$I$603,资金日记账!$G$4:$G$603,$A6,资金日记账!$U$4:$U$603,"&lt;&gt;是",资金日记账!$V$4:$V$603,E$4),2))</f>
        <v>0</v>
      </c>
      <c r="F6" s="41" t="n">
        <f aca="false">IF($A6="","",ROUND(SUMIFS(成本费用登记表!$H$4:$H$303,成本费用登记表!$D$4:$D$303,$A6,成本费用登记表!$AC$4:$AC$303,F$4)+SUMIFS(资金日记账!$I$4:$I$603,资金日记账!$G$4:$G$603,$A6,资金日记账!$U$4:$U$603,"&lt;&gt;是",资金日记账!$V$4:$V$603,F$4),2))</f>
        <v>0</v>
      </c>
      <c r="G6" s="41" t="n">
        <f aca="false">IF($A6="","",ROUND(SUMIFS(成本费用登记表!$H$4:$H$303,成本费用登记表!$D$4:$D$303,$A6,成本费用登记表!$AC$4:$AC$303,G$4)+SUMIFS(资金日记账!$I$4:$I$603,资金日记账!$G$4:$G$603,$A6,资金日记账!$U$4:$U$603,"&lt;&gt;是",资金日记账!$V$4:$V$603,G$4),2))</f>
        <v>0</v>
      </c>
      <c r="H6" s="41" t="n">
        <f aca="false">IF($A6="","",ROUND(SUMIFS(成本费用登记表!$H$4:$H$303,成本费用登记表!$D$4:$D$303,$A6,成本费用登记表!$AC$4:$AC$303,H$4)+SUMIFS(资金日记账!$I$4:$I$603,资金日记账!$G$4:$G$603,$A6,资金日记账!$U$4:$U$603,"&lt;&gt;是",资金日记账!$V$4:$V$603,H$4),2))</f>
        <v>0</v>
      </c>
      <c r="I6" s="41" t="n">
        <f aca="false">IF($A6="","",ROUND(SUMIFS(成本费用登记表!$H$4:$H$303,成本费用登记表!$D$4:$D$303,$A6,成本费用登记表!$AC$4:$AC$303,I$4)+SUMIFS(资金日记账!$I$4:$I$603,资金日记账!$G$4:$G$603,$A6,资金日记账!$U$4:$U$603,"&lt;&gt;是",资金日记账!$V$4:$V$603,I$4),2))</f>
        <v>0</v>
      </c>
      <c r="J6" s="41" t="n">
        <f aca="false">IF($A6="","",ROUND(SUMIFS(成本费用登记表!$H$4:$H$303,成本费用登记表!$D$4:$D$303,$A6,成本费用登记表!$AC$4:$AC$303,J$4)+SUMIFS(资金日记账!$I$4:$I$603,资金日记账!$G$4:$G$603,$A6,资金日记账!$U$4:$U$603,"&lt;&gt;是",资金日记账!$V$4:$V$603,J$4),2))</f>
        <v>0</v>
      </c>
      <c r="K6" s="41" t="n">
        <f aca="false">IF($A6="","",ROUND(SUMIFS(成本费用登记表!$H$4:$H$303,成本费用登记表!$D$4:$D$303,$A6,成本费用登记表!$AC$4:$AC$303,K$4)+SUMIFS(资金日记账!$I$4:$I$603,资金日记账!$G$4:$G$603,$A6,资金日记账!$U$4:$U$603,"&lt;&gt;是",资金日记账!$V$4:$V$603,K$4),2))</f>
        <v>0</v>
      </c>
      <c r="L6" s="41" t="n">
        <f aca="false">IF($A6="","",ROUND(SUMIFS(成本费用登记表!$H$4:$H$303,成本费用登记表!$D$4:$D$303,$A6,成本费用登记表!$AC$4:$AC$303,L$4)+SUMIFS(资金日记账!$I$4:$I$603,资金日记账!$G$4:$G$603,$A6,资金日记账!$U$4:$U$603,"&lt;&gt;是",资金日记账!$V$4:$V$603,L$4),2))</f>
        <v>0</v>
      </c>
      <c r="M6" s="41" t="n">
        <f aca="false">IF($A6="","",ROUND(SUMIFS(成本费用登记表!$H$4:$H$303,成本费用登记表!$D$4:$D$303,$A6,成本费用登记表!$AC$4:$AC$303,M$4)+SUMIFS(资金日记账!$I$4:$I$603,资金日记账!$G$4:$G$603,$A6,资金日记账!$U$4:$U$603,"&lt;&gt;是",资金日记账!$V$4:$V$603,M$4),2))</f>
        <v>0</v>
      </c>
      <c r="N6" s="41" t="n">
        <f aca="false">IF($A6="","",ROUND(SUMIFS(成本费用登记表!$H$4:$H$303,成本费用登记表!$D$4:$D$303,$A6,成本费用登记表!$AC$4:$AC$303,N$4)+SUMIFS(资金日记账!$I$4:$I$603,资金日记账!$G$4:$G$603,$A6,资金日记账!$U$4:$U$603,"&lt;&gt;是",资金日记账!$V$4:$V$603,N$4),2))</f>
        <v>0</v>
      </c>
      <c r="O6" s="41" t="n">
        <f aca="false">IF($A6="","",ROUND(SUMIFS(成本费用登记表!$H$4:$H$303,成本费用登记表!$D$4:$D$303,$A6,成本费用登记表!$AC$4:$AC$303,O$4)+SUMIFS(资金日记账!$I$4:$I$603,资金日记账!$G$4:$G$603,$A6,资金日记账!$U$4:$U$603,"&lt;&gt;是",资金日记账!$V$4:$V$603,O$4),2))</f>
        <v>0</v>
      </c>
      <c r="P6" s="41" t="n">
        <f aca="false">IF($A6="","",ROUND(SUMIFS(成本费用登记表!$H$4:$H$303,成本费用登记表!$D$4:$D$303,$A6,成本费用登记表!$AC$4:$AC$303,P$4)+SUMIFS(资金日记账!$I$4:$I$603,资金日记账!$G$4:$G$603,$A6,资金日记账!$U$4:$U$603,"&lt;&gt;是",资金日记账!$V$4:$V$603,P$4),2))</f>
        <v>0</v>
      </c>
      <c r="Q6" s="41" t="n">
        <f aca="false">IF($A6="","",ROUND(SUMIFS(成本费用登记表!$H$4:$H$303,成本费用登记表!$D$4:$D$303,$A6,成本费用登记表!$AC$4:$AC$303,Q$4)+SUMIFS(资金日记账!$I$4:$I$603,资金日记账!$G$4:$G$603,$A6,资金日记账!$U$4:$U$603,"&lt;&gt;是",资金日记账!$V$4:$V$603,Q$4),2))</f>
        <v>0</v>
      </c>
      <c r="R6" s="41" t="n">
        <f aca="false">IF($A6="","",ROUND(SUMIFS(成本费用登记表!$H$4:$H$303,成本费用登记表!$D$4:$D$303,$A6,成本费用登记表!$AC$4:$AC$303,R$4)+SUMIFS(资金日记账!$I$4:$I$603,资金日记账!$G$4:$G$603,$A6,资金日记账!$U$4:$U$603,"&lt;&gt;是",资金日记账!$V$4:$V$603,R$4),2))</f>
        <v>0</v>
      </c>
      <c r="S6" s="41" t="n">
        <f aca="false">IF($A6="","",ROUND(SUMIFS(成本费用登记表!$H$4:$H$303,成本费用登记表!$D$4:$D$303,$A6,成本费用登记表!$AC$4:$AC$303,S$4)+SUMIFS(资金日记账!$I$4:$I$603,资金日记账!$G$4:$G$603,$A6,资金日记账!$U$4:$U$603,"&lt;&gt;是",资金日记账!$V$4:$V$603,S$4),2))</f>
        <v>0</v>
      </c>
      <c r="T6" s="41" t="n">
        <f aca="false">IF($A6="","",ROUND(SUMIFS(成本费用登记表!$H$4:$H$303,成本费用登记表!$D$4:$D$303,$A6,成本费用登记表!$AC$4:$AC$303,T$4)+SUMIFS(资金日记账!$I$4:$I$603,资金日记账!$G$4:$G$603,$A6,资金日记账!$U$4:$U$603,"&lt;&gt;是",资金日记账!$V$4:$V$603,T$4),2))</f>
        <v>0</v>
      </c>
      <c r="U6" s="41" t="n">
        <f aca="false">IF($A6="","",ROUND(SUMIFS(成本费用登记表!$H$4:$H$303,成本费用登记表!$D$4:$D$303,$A6,成本费用登记表!$AC$4:$AC$303,U$4)+SUMIFS(资金日记账!$I$4:$I$603,资金日记账!$G$4:$G$603,$A6,资金日记账!$U$4:$U$603,"&lt;&gt;是",资金日记账!$V$4:$V$603,U$4),2))</f>
        <v>0</v>
      </c>
      <c r="V6" s="41" t="n">
        <f aca="false">IF($A6="","",ROUND(SUMIFS(成本费用登记表!$H$4:$H$303,成本费用登记表!$D$4:$D$303,$A6,成本费用登记表!$AC$4:$AC$303,V$4)+SUMIFS(资金日记账!$I$4:$I$603,资金日记账!$G$4:$G$603,$A6,资金日记账!$U$4:$U$603,"&lt;&gt;是",资金日记账!$V$4:$V$603,V$4),2))</f>
        <v>0</v>
      </c>
      <c r="W6" s="41" t="n">
        <f aca="false">IF($A6="","",ROUND(SUMIFS(成本费用登记表!$H$4:$H$303,成本费用登记表!$D$4:$D$303,$A6,成本费用登记表!$AC$4:$AC$303,W$4)+SUMIFS(资金日记账!$I$4:$I$603,资金日记账!$G$4:$G$603,$A6,资金日记账!$U$4:$U$603,"&lt;&gt;是",资金日记账!$V$4:$V$603,W$4),2))</f>
        <v>0</v>
      </c>
      <c r="X6" s="41" t="n">
        <f aca="false">IF($A6="","",ROUND(SUMIFS(成本费用登记表!$H$4:$H$303,成本费用登记表!$D$4:$D$303,$A6,成本费用登记表!$AC$4:$AC$303,X$4)+SUMIFS(资金日记账!$I$4:$I$603,资金日记账!$G$4:$G$603,$A6,资金日记账!$U$4:$U$603,"&lt;&gt;是",资金日记账!$V$4:$V$603,X$4),2))</f>
        <v>0</v>
      </c>
      <c r="Y6" s="41" t="n">
        <f aca="false">IF($A6="","",ROUND(SUMIFS(成本费用登记表!$H$4:$H$303,成本费用登记表!$D$4:$D$303,$A6,成本费用登记表!$AC$4:$AC$303,Y$4)+SUMIFS(资金日记账!$I$4:$I$603,资金日记账!$G$4:$G$603,$A6,资金日记账!$U$4:$U$603,"&lt;&gt;是",资金日记账!$V$4:$V$603,Y$4),2))</f>
        <v>0</v>
      </c>
      <c r="Z6" s="142" t="n">
        <f aca="false">IF($A6="","",ROUND(SUM($B6:$Y6),2))</f>
        <v>20000</v>
      </c>
      <c r="AA6" s="41" t="n">
        <f aca="false">IF($A6="","",ROUND(SUMIF(成本费用登记表!$D$4:$D$303,$A6,成本费用登记表!$AA$4:$AA$303)+SUMIFS(资金日记账!$I$4:$I$603,资金日记账!$G$4:$G$603,$A6,资金日记账!$U$4:$U$603,"&lt;&gt;是"),2))</f>
        <v>20000</v>
      </c>
      <c r="AB6" s="41" t="n">
        <f aca="false">IF($A6="","",ROUND(N($Z6)-N($AA6),2))</f>
        <v>0</v>
      </c>
    </row>
    <row r="7" customFormat="false" ht="13.5" hidden="false" customHeight="false" outlineLevel="0" collapsed="false">
      <c r="A7" s="33" t="str">
        <f aca="false">IFERROR(INDEX(_自动清单!$X$4:$X$63,3),"")</f>
        <v>借款</v>
      </c>
      <c r="B7" s="41" t="n">
        <f aca="false">IF($A7="","",ROUND(SUMIFS(成本费用登记表!$H$4:$H$303,成本费用登记表!$D$4:$D$303,$A7,成本费用登记表!$AC$4:$AC$303,B$4)+SUMIFS(资金日记账!$I$4:$I$603,资金日记账!$G$4:$G$603,$A7,资金日记账!$U$4:$U$603,"&lt;&gt;是",资金日记账!$V$4:$V$603,B$4),2))</f>
        <v>0</v>
      </c>
      <c r="C7" s="41" t="n">
        <f aca="false">IF($A7="","",ROUND(SUMIFS(成本费用登记表!$H$4:$H$303,成本费用登记表!$D$4:$D$303,$A7,成本费用登记表!$AC$4:$AC$303,C$4)+SUMIFS(资金日记账!$I$4:$I$603,资金日记账!$G$4:$G$603,$A7,资金日记账!$U$4:$U$603,"&lt;&gt;是",资金日记账!$V$4:$V$603,C$4),2))</f>
        <v>0</v>
      </c>
      <c r="D7" s="41" t="n">
        <f aca="false">IF($A7="","",ROUND(SUMIFS(成本费用登记表!$H$4:$H$303,成本费用登记表!$D$4:$D$303,$A7,成本费用登记表!$AC$4:$AC$303,D$4)+SUMIFS(资金日记账!$I$4:$I$603,资金日记账!$G$4:$G$603,$A7,资金日记账!$U$4:$U$603,"&lt;&gt;是",资金日记账!$V$4:$V$603,D$4),2))</f>
        <v>0</v>
      </c>
      <c r="E7" s="41" t="n">
        <f aca="false">IF($A7="","",ROUND(SUMIFS(成本费用登记表!$H$4:$H$303,成本费用登记表!$D$4:$D$303,$A7,成本费用登记表!$AC$4:$AC$303,E$4)+SUMIFS(资金日记账!$I$4:$I$603,资金日记账!$G$4:$G$603,$A7,资金日记账!$U$4:$U$603,"&lt;&gt;是",资金日记账!$V$4:$V$603,E$4),2))</f>
        <v>0</v>
      </c>
      <c r="F7" s="41" t="n">
        <f aca="false">IF($A7="","",ROUND(SUMIFS(成本费用登记表!$H$4:$H$303,成本费用登记表!$D$4:$D$303,$A7,成本费用登记表!$AC$4:$AC$303,F$4)+SUMIFS(资金日记账!$I$4:$I$603,资金日记账!$G$4:$G$603,$A7,资金日记账!$U$4:$U$603,"&lt;&gt;是",资金日记账!$V$4:$V$603,F$4),2))</f>
        <v>0</v>
      </c>
      <c r="G7" s="41" t="n">
        <f aca="false">IF($A7="","",ROUND(SUMIFS(成本费用登记表!$H$4:$H$303,成本费用登记表!$D$4:$D$303,$A7,成本费用登记表!$AC$4:$AC$303,G$4)+SUMIFS(资金日记账!$I$4:$I$603,资金日记账!$G$4:$G$603,$A7,资金日记账!$U$4:$U$603,"&lt;&gt;是",资金日记账!$V$4:$V$603,G$4),2))</f>
        <v>0</v>
      </c>
      <c r="H7" s="41" t="n">
        <f aca="false">IF($A7="","",ROUND(SUMIFS(成本费用登记表!$H$4:$H$303,成本费用登记表!$D$4:$D$303,$A7,成本费用登记表!$AC$4:$AC$303,H$4)+SUMIFS(资金日记账!$I$4:$I$603,资金日记账!$G$4:$G$603,$A7,资金日记账!$U$4:$U$603,"&lt;&gt;是",资金日记账!$V$4:$V$603,H$4),2))</f>
        <v>0</v>
      </c>
      <c r="I7" s="41" t="n">
        <f aca="false">IF($A7="","",ROUND(SUMIFS(成本费用登记表!$H$4:$H$303,成本费用登记表!$D$4:$D$303,$A7,成本费用登记表!$AC$4:$AC$303,I$4)+SUMIFS(资金日记账!$I$4:$I$603,资金日记账!$G$4:$G$603,$A7,资金日记账!$U$4:$U$603,"&lt;&gt;是",资金日记账!$V$4:$V$603,I$4),2))</f>
        <v>0</v>
      </c>
      <c r="J7" s="41" t="n">
        <f aca="false">IF($A7="","",ROUND(SUMIFS(成本费用登记表!$H$4:$H$303,成本费用登记表!$D$4:$D$303,$A7,成本费用登记表!$AC$4:$AC$303,J$4)+SUMIFS(资金日记账!$I$4:$I$603,资金日记账!$G$4:$G$603,$A7,资金日记账!$U$4:$U$603,"&lt;&gt;是",资金日记账!$V$4:$V$603,J$4),2))</f>
        <v>0</v>
      </c>
      <c r="K7" s="41" t="n">
        <f aca="false">IF($A7="","",ROUND(SUMIFS(成本费用登记表!$H$4:$H$303,成本费用登记表!$D$4:$D$303,$A7,成本费用登记表!$AC$4:$AC$303,K$4)+SUMIFS(资金日记账!$I$4:$I$603,资金日记账!$G$4:$G$603,$A7,资金日记账!$U$4:$U$603,"&lt;&gt;是",资金日记账!$V$4:$V$603,K$4),2))</f>
        <v>0</v>
      </c>
      <c r="L7" s="41" t="n">
        <f aca="false">IF($A7="","",ROUND(SUMIFS(成本费用登记表!$H$4:$H$303,成本费用登记表!$D$4:$D$303,$A7,成本费用登记表!$AC$4:$AC$303,L$4)+SUMIFS(资金日记账!$I$4:$I$603,资金日记账!$G$4:$G$603,$A7,资金日记账!$U$4:$U$603,"&lt;&gt;是",资金日记账!$V$4:$V$603,L$4),2))</f>
        <v>0</v>
      </c>
      <c r="M7" s="41" t="n">
        <f aca="false">IF($A7="","",ROUND(SUMIFS(成本费用登记表!$H$4:$H$303,成本费用登记表!$D$4:$D$303,$A7,成本费用登记表!$AC$4:$AC$303,M$4)+SUMIFS(资金日记账!$I$4:$I$603,资金日记账!$G$4:$G$603,$A7,资金日记账!$U$4:$U$603,"&lt;&gt;是",资金日记账!$V$4:$V$603,M$4),2))</f>
        <v>0</v>
      </c>
      <c r="N7" s="41" t="n">
        <f aca="false">IF($A7="","",ROUND(SUMIFS(成本费用登记表!$H$4:$H$303,成本费用登记表!$D$4:$D$303,$A7,成本费用登记表!$AC$4:$AC$303,N$4)+SUMIFS(资金日记账!$I$4:$I$603,资金日记账!$G$4:$G$603,$A7,资金日记账!$U$4:$U$603,"&lt;&gt;是",资金日记账!$V$4:$V$603,N$4),2))</f>
        <v>0</v>
      </c>
      <c r="O7" s="41" t="n">
        <f aca="false">IF($A7="","",ROUND(SUMIFS(成本费用登记表!$H$4:$H$303,成本费用登记表!$D$4:$D$303,$A7,成本费用登记表!$AC$4:$AC$303,O$4)+SUMIFS(资金日记账!$I$4:$I$603,资金日记账!$G$4:$G$603,$A7,资金日记账!$U$4:$U$603,"&lt;&gt;是",资金日记账!$V$4:$V$603,O$4),2))</f>
        <v>0</v>
      </c>
      <c r="P7" s="41" t="n">
        <f aca="false">IF($A7="","",ROUND(SUMIFS(成本费用登记表!$H$4:$H$303,成本费用登记表!$D$4:$D$303,$A7,成本费用登记表!$AC$4:$AC$303,P$4)+SUMIFS(资金日记账!$I$4:$I$603,资金日记账!$G$4:$G$603,$A7,资金日记账!$U$4:$U$603,"&lt;&gt;是",资金日记账!$V$4:$V$603,P$4),2))</f>
        <v>0</v>
      </c>
      <c r="Q7" s="41" t="n">
        <f aca="false">IF($A7="","",ROUND(SUMIFS(成本费用登记表!$H$4:$H$303,成本费用登记表!$D$4:$D$303,$A7,成本费用登记表!$AC$4:$AC$303,Q$4)+SUMIFS(资金日记账!$I$4:$I$603,资金日记账!$G$4:$G$603,$A7,资金日记账!$U$4:$U$603,"&lt;&gt;是",资金日记账!$V$4:$V$603,Q$4),2))</f>
        <v>0</v>
      </c>
      <c r="R7" s="41" t="n">
        <f aca="false">IF($A7="","",ROUND(SUMIFS(成本费用登记表!$H$4:$H$303,成本费用登记表!$D$4:$D$303,$A7,成本费用登记表!$AC$4:$AC$303,R$4)+SUMIFS(资金日记账!$I$4:$I$603,资金日记账!$G$4:$G$603,$A7,资金日记账!$U$4:$U$603,"&lt;&gt;是",资金日记账!$V$4:$V$603,R$4),2))</f>
        <v>0</v>
      </c>
      <c r="S7" s="41" t="n">
        <f aca="false">IF($A7="","",ROUND(SUMIFS(成本费用登记表!$H$4:$H$303,成本费用登记表!$D$4:$D$303,$A7,成本费用登记表!$AC$4:$AC$303,S$4)+SUMIFS(资金日记账!$I$4:$I$603,资金日记账!$G$4:$G$603,$A7,资金日记账!$U$4:$U$603,"&lt;&gt;是",资金日记账!$V$4:$V$603,S$4),2))</f>
        <v>0</v>
      </c>
      <c r="T7" s="41" t="n">
        <f aca="false">IF($A7="","",ROUND(SUMIFS(成本费用登记表!$H$4:$H$303,成本费用登记表!$D$4:$D$303,$A7,成本费用登记表!$AC$4:$AC$303,T$4)+SUMIFS(资金日记账!$I$4:$I$603,资金日记账!$G$4:$G$603,$A7,资金日记账!$U$4:$U$603,"&lt;&gt;是",资金日记账!$V$4:$V$603,T$4),2))</f>
        <v>0</v>
      </c>
      <c r="U7" s="41" t="n">
        <f aca="false">IF($A7="","",ROUND(SUMIFS(成本费用登记表!$H$4:$H$303,成本费用登记表!$D$4:$D$303,$A7,成本费用登记表!$AC$4:$AC$303,U$4)+SUMIFS(资金日记账!$I$4:$I$603,资金日记账!$G$4:$G$603,$A7,资金日记账!$U$4:$U$603,"&lt;&gt;是",资金日记账!$V$4:$V$603,U$4),2))</f>
        <v>0</v>
      </c>
      <c r="V7" s="41" t="n">
        <f aca="false">IF($A7="","",ROUND(SUMIFS(成本费用登记表!$H$4:$H$303,成本费用登记表!$D$4:$D$303,$A7,成本费用登记表!$AC$4:$AC$303,V$4)+SUMIFS(资金日记账!$I$4:$I$603,资金日记账!$G$4:$G$603,$A7,资金日记账!$U$4:$U$603,"&lt;&gt;是",资金日记账!$V$4:$V$603,V$4),2))</f>
        <v>0</v>
      </c>
      <c r="W7" s="41" t="n">
        <f aca="false">IF($A7="","",ROUND(SUMIFS(成本费用登记表!$H$4:$H$303,成本费用登记表!$D$4:$D$303,$A7,成本费用登记表!$AC$4:$AC$303,W$4)+SUMIFS(资金日记账!$I$4:$I$603,资金日记账!$G$4:$G$603,$A7,资金日记账!$U$4:$U$603,"&lt;&gt;是",资金日记账!$V$4:$V$603,W$4),2))</f>
        <v>0</v>
      </c>
      <c r="X7" s="41" t="n">
        <f aca="false">IF($A7="","",ROUND(SUMIFS(成本费用登记表!$H$4:$H$303,成本费用登记表!$D$4:$D$303,$A7,成本费用登记表!$AC$4:$AC$303,X$4)+SUMIFS(资金日记账!$I$4:$I$603,资金日记账!$G$4:$G$603,$A7,资金日记账!$U$4:$U$603,"&lt;&gt;是",资金日记账!$V$4:$V$603,X$4),2))</f>
        <v>0</v>
      </c>
      <c r="Y7" s="41" t="n">
        <f aca="false">IF($A7="","",ROUND(SUMIFS(成本费用登记表!$H$4:$H$303,成本费用登记表!$D$4:$D$303,$A7,成本费用登记表!$AC$4:$AC$303,Y$4)+SUMIFS(资金日记账!$I$4:$I$603,资金日记账!$G$4:$G$603,$A7,资金日记账!$U$4:$U$603,"&lt;&gt;是",资金日记账!$V$4:$V$603,Y$4),2))</f>
        <v>0</v>
      </c>
      <c r="Z7" s="142" t="n">
        <f aca="false">IF($A7="","",ROUND(SUM($B7:$Y7),2))</f>
        <v>0</v>
      </c>
      <c r="AA7" s="41" t="n">
        <f aca="false">IF($A7="","",ROUND(SUMIF(成本费用登记表!$D$4:$D$303,$A7,成本费用登记表!$AA$4:$AA$303)+SUMIFS(资金日记账!$I$4:$I$603,资金日记账!$G$4:$G$603,$A7,资金日记账!$U$4:$U$603,"&lt;&gt;是"),2))</f>
        <v>0</v>
      </c>
      <c r="AB7" s="41" t="n">
        <f aca="false">IF($A7="","",ROUND(N($Z7)-N($AA7),2))</f>
        <v>0</v>
      </c>
    </row>
    <row r="8" customFormat="false" ht="13.5" hidden="false" customHeight="false" outlineLevel="0" collapsed="false">
      <c r="A8" s="33" t="str">
        <f aca="false">IFERROR(INDEX(_自动清单!$X$4:$X$63,4),"")</f>
        <v>转入微信</v>
      </c>
      <c r="B8" s="41" t="n">
        <f aca="false">IF($A8="","",ROUND(SUMIFS(成本费用登记表!$H$4:$H$303,成本费用登记表!$D$4:$D$303,$A8,成本费用登记表!$AC$4:$AC$303,B$4)+SUMIFS(资金日记账!$I$4:$I$603,资金日记账!$G$4:$G$603,$A8,资金日记账!$U$4:$U$603,"&lt;&gt;是",资金日记账!$V$4:$V$603,B$4),2))</f>
        <v>0</v>
      </c>
      <c r="C8" s="41" t="n">
        <f aca="false">IF($A8="","",ROUND(SUMIFS(成本费用登记表!$H$4:$H$303,成本费用登记表!$D$4:$D$303,$A8,成本费用登记表!$AC$4:$AC$303,C$4)+SUMIFS(资金日记账!$I$4:$I$603,资金日记账!$G$4:$G$603,$A8,资金日记账!$U$4:$U$603,"&lt;&gt;是",资金日记账!$V$4:$V$603,C$4),2))</f>
        <v>60000</v>
      </c>
      <c r="D8" s="41" t="n">
        <f aca="false">IF($A8="","",ROUND(SUMIFS(成本费用登记表!$H$4:$H$303,成本费用登记表!$D$4:$D$303,$A8,成本费用登记表!$AC$4:$AC$303,D$4)+SUMIFS(资金日记账!$I$4:$I$603,资金日记账!$G$4:$G$603,$A8,资金日记账!$U$4:$U$603,"&lt;&gt;是",资金日记账!$V$4:$V$603,D$4),2))</f>
        <v>0</v>
      </c>
      <c r="E8" s="41" t="n">
        <f aca="false">IF($A8="","",ROUND(SUMIFS(成本费用登记表!$H$4:$H$303,成本费用登记表!$D$4:$D$303,$A8,成本费用登记表!$AC$4:$AC$303,E$4)+SUMIFS(资金日记账!$I$4:$I$603,资金日记账!$G$4:$G$603,$A8,资金日记账!$U$4:$U$603,"&lt;&gt;是",资金日记账!$V$4:$V$603,E$4),2))</f>
        <v>0</v>
      </c>
      <c r="F8" s="41" t="n">
        <f aca="false">IF($A8="","",ROUND(SUMIFS(成本费用登记表!$H$4:$H$303,成本费用登记表!$D$4:$D$303,$A8,成本费用登记表!$AC$4:$AC$303,F$4)+SUMIFS(资金日记账!$I$4:$I$603,资金日记账!$G$4:$G$603,$A8,资金日记账!$U$4:$U$603,"&lt;&gt;是",资金日记账!$V$4:$V$603,F$4),2))</f>
        <v>0</v>
      </c>
      <c r="G8" s="41" t="n">
        <f aca="false">IF($A8="","",ROUND(SUMIFS(成本费用登记表!$H$4:$H$303,成本费用登记表!$D$4:$D$303,$A8,成本费用登记表!$AC$4:$AC$303,G$4)+SUMIFS(资金日记账!$I$4:$I$603,资金日记账!$G$4:$G$603,$A8,资金日记账!$U$4:$U$603,"&lt;&gt;是",资金日记账!$V$4:$V$603,G$4),2))</f>
        <v>0</v>
      </c>
      <c r="H8" s="41" t="n">
        <f aca="false">IF($A8="","",ROUND(SUMIFS(成本费用登记表!$H$4:$H$303,成本费用登记表!$D$4:$D$303,$A8,成本费用登记表!$AC$4:$AC$303,H$4)+SUMIFS(资金日记账!$I$4:$I$603,资金日记账!$G$4:$G$603,$A8,资金日记账!$U$4:$U$603,"&lt;&gt;是",资金日记账!$V$4:$V$603,H$4),2))</f>
        <v>0</v>
      </c>
      <c r="I8" s="41" t="n">
        <f aca="false">IF($A8="","",ROUND(SUMIFS(成本费用登记表!$H$4:$H$303,成本费用登记表!$D$4:$D$303,$A8,成本费用登记表!$AC$4:$AC$303,I$4)+SUMIFS(资金日记账!$I$4:$I$603,资金日记账!$G$4:$G$603,$A8,资金日记账!$U$4:$U$603,"&lt;&gt;是",资金日记账!$V$4:$V$603,I$4),2))</f>
        <v>0</v>
      </c>
      <c r="J8" s="41" t="n">
        <f aca="false">IF($A8="","",ROUND(SUMIFS(成本费用登记表!$H$4:$H$303,成本费用登记表!$D$4:$D$303,$A8,成本费用登记表!$AC$4:$AC$303,J$4)+SUMIFS(资金日记账!$I$4:$I$603,资金日记账!$G$4:$G$603,$A8,资金日记账!$U$4:$U$603,"&lt;&gt;是",资金日记账!$V$4:$V$603,J$4),2))</f>
        <v>0</v>
      </c>
      <c r="K8" s="41" t="n">
        <f aca="false">IF($A8="","",ROUND(SUMIFS(成本费用登记表!$H$4:$H$303,成本费用登记表!$D$4:$D$303,$A8,成本费用登记表!$AC$4:$AC$303,K$4)+SUMIFS(资金日记账!$I$4:$I$603,资金日记账!$G$4:$G$603,$A8,资金日记账!$U$4:$U$603,"&lt;&gt;是",资金日记账!$V$4:$V$603,K$4),2))</f>
        <v>0</v>
      </c>
      <c r="L8" s="41" t="n">
        <f aca="false">IF($A8="","",ROUND(SUMIFS(成本费用登记表!$H$4:$H$303,成本费用登记表!$D$4:$D$303,$A8,成本费用登记表!$AC$4:$AC$303,L$4)+SUMIFS(资金日记账!$I$4:$I$603,资金日记账!$G$4:$G$603,$A8,资金日记账!$U$4:$U$603,"&lt;&gt;是",资金日记账!$V$4:$V$603,L$4),2))</f>
        <v>0</v>
      </c>
      <c r="M8" s="41" t="n">
        <f aca="false">IF($A8="","",ROUND(SUMIFS(成本费用登记表!$H$4:$H$303,成本费用登记表!$D$4:$D$303,$A8,成本费用登记表!$AC$4:$AC$303,M$4)+SUMIFS(资金日记账!$I$4:$I$603,资金日记账!$G$4:$G$603,$A8,资金日记账!$U$4:$U$603,"&lt;&gt;是",资金日记账!$V$4:$V$603,M$4),2))</f>
        <v>0</v>
      </c>
      <c r="N8" s="41" t="n">
        <f aca="false">IF($A8="","",ROUND(SUMIFS(成本费用登记表!$H$4:$H$303,成本费用登记表!$D$4:$D$303,$A8,成本费用登记表!$AC$4:$AC$303,N$4)+SUMIFS(资金日记账!$I$4:$I$603,资金日记账!$G$4:$G$603,$A8,资金日记账!$U$4:$U$603,"&lt;&gt;是",资金日记账!$V$4:$V$603,N$4),2))</f>
        <v>0</v>
      </c>
      <c r="O8" s="41" t="n">
        <f aca="false">IF($A8="","",ROUND(SUMIFS(成本费用登记表!$H$4:$H$303,成本费用登记表!$D$4:$D$303,$A8,成本费用登记表!$AC$4:$AC$303,O$4)+SUMIFS(资金日记账!$I$4:$I$603,资金日记账!$G$4:$G$603,$A8,资金日记账!$U$4:$U$603,"&lt;&gt;是",资金日记账!$V$4:$V$603,O$4),2))</f>
        <v>0</v>
      </c>
      <c r="P8" s="41" t="n">
        <f aca="false">IF($A8="","",ROUND(SUMIFS(成本费用登记表!$H$4:$H$303,成本费用登记表!$D$4:$D$303,$A8,成本费用登记表!$AC$4:$AC$303,P$4)+SUMIFS(资金日记账!$I$4:$I$603,资金日记账!$G$4:$G$603,$A8,资金日记账!$U$4:$U$603,"&lt;&gt;是",资金日记账!$V$4:$V$603,P$4),2))</f>
        <v>0</v>
      </c>
      <c r="Q8" s="41" t="n">
        <f aca="false">IF($A8="","",ROUND(SUMIFS(成本费用登记表!$H$4:$H$303,成本费用登记表!$D$4:$D$303,$A8,成本费用登记表!$AC$4:$AC$303,Q$4)+SUMIFS(资金日记账!$I$4:$I$603,资金日记账!$G$4:$G$603,$A8,资金日记账!$U$4:$U$603,"&lt;&gt;是",资金日记账!$V$4:$V$603,Q$4),2))</f>
        <v>0</v>
      </c>
      <c r="R8" s="41" t="n">
        <f aca="false">IF($A8="","",ROUND(SUMIFS(成本费用登记表!$H$4:$H$303,成本费用登记表!$D$4:$D$303,$A8,成本费用登记表!$AC$4:$AC$303,R$4)+SUMIFS(资金日记账!$I$4:$I$603,资金日记账!$G$4:$G$603,$A8,资金日记账!$U$4:$U$603,"&lt;&gt;是",资金日记账!$V$4:$V$603,R$4),2))</f>
        <v>0</v>
      </c>
      <c r="S8" s="41" t="n">
        <f aca="false">IF($A8="","",ROUND(SUMIFS(成本费用登记表!$H$4:$H$303,成本费用登记表!$D$4:$D$303,$A8,成本费用登记表!$AC$4:$AC$303,S$4)+SUMIFS(资金日记账!$I$4:$I$603,资金日记账!$G$4:$G$603,$A8,资金日记账!$U$4:$U$603,"&lt;&gt;是",资金日记账!$V$4:$V$603,S$4),2))</f>
        <v>0</v>
      </c>
      <c r="T8" s="41" t="n">
        <f aca="false">IF($A8="","",ROUND(SUMIFS(成本费用登记表!$H$4:$H$303,成本费用登记表!$D$4:$D$303,$A8,成本费用登记表!$AC$4:$AC$303,T$4)+SUMIFS(资金日记账!$I$4:$I$603,资金日记账!$G$4:$G$603,$A8,资金日记账!$U$4:$U$603,"&lt;&gt;是",资金日记账!$V$4:$V$603,T$4),2))</f>
        <v>0</v>
      </c>
      <c r="U8" s="41" t="n">
        <f aca="false">IF($A8="","",ROUND(SUMIFS(成本费用登记表!$H$4:$H$303,成本费用登记表!$D$4:$D$303,$A8,成本费用登记表!$AC$4:$AC$303,U$4)+SUMIFS(资金日记账!$I$4:$I$603,资金日记账!$G$4:$G$603,$A8,资金日记账!$U$4:$U$603,"&lt;&gt;是",资金日记账!$V$4:$V$603,U$4),2))</f>
        <v>0</v>
      </c>
      <c r="V8" s="41" t="n">
        <f aca="false">IF($A8="","",ROUND(SUMIFS(成本费用登记表!$H$4:$H$303,成本费用登记表!$D$4:$D$303,$A8,成本费用登记表!$AC$4:$AC$303,V$4)+SUMIFS(资金日记账!$I$4:$I$603,资金日记账!$G$4:$G$603,$A8,资金日记账!$U$4:$U$603,"&lt;&gt;是",资金日记账!$V$4:$V$603,V$4),2))</f>
        <v>0</v>
      </c>
      <c r="W8" s="41" t="n">
        <f aca="false">IF($A8="","",ROUND(SUMIFS(成本费用登记表!$H$4:$H$303,成本费用登记表!$D$4:$D$303,$A8,成本费用登记表!$AC$4:$AC$303,W$4)+SUMIFS(资金日记账!$I$4:$I$603,资金日记账!$G$4:$G$603,$A8,资金日记账!$U$4:$U$603,"&lt;&gt;是",资金日记账!$V$4:$V$603,W$4),2))</f>
        <v>0</v>
      </c>
      <c r="X8" s="41" t="n">
        <f aca="false">IF($A8="","",ROUND(SUMIFS(成本费用登记表!$H$4:$H$303,成本费用登记表!$D$4:$D$303,$A8,成本费用登记表!$AC$4:$AC$303,X$4)+SUMIFS(资金日记账!$I$4:$I$603,资金日记账!$G$4:$G$603,$A8,资金日记账!$U$4:$U$603,"&lt;&gt;是",资金日记账!$V$4:$V$603,X$4),2))</f>
        <v>0</v>
      </c>
      <c r="Y8" s="41" t="n">
        <f aca="false">IF($A8="","",ROUND(SUMIFS(成本费用登记表!$H$4:$H$303,成本费用登记表!$D$4:$D$303,$A8,成本费用登记表!$AC$4:$AC$303,Y$4)+SUMIFS(资金日记账!$I$4:$I$603,资金日记账!$G$4:$G$603,$A8,资金日记账!$U$4:$U$603,"&lt;&gt;是",资金日记账!$V$4:$V$603,Y$4),2))</f>
        <v>0</v>
      </c>
      <c r="Z8" s="142" t="n">
        <f aca="false">IF($A8="","",ROUND(SUM($B8:$Y8),2))</f>
        <v>60000</v>
      </c>
      <c r="AA8" s="41" t="n">
        <f aca="false">IF($A8="","",ROUND(SUMIF(成本费用登记表!$D$4:$D$303,$A8,成本费用登记表!$AA$4:$AA$303)+SUMIFS(资金日记账!$I$4:$I$603,资金日记账!$G$4:$G$603,$A8,资金日记账!$U$4:$U$603,"&lt;&gt;是"),2))</f>
        <v>60000</v>
      </c>
      <c r="AB8" s="41" t="n">
        <f aca="false">IF($A8="","",ROUND(N($Z8)-N($AA8),2))</f>
        <v>0</v>
      </c>
    </row>
    <row r="9" customFormat="false" ht="13.5" hidden="false" customHeight="false" outlineLevel="0" collapsed="false">
      <c r="A9" s="33" t="str">
        <f aca="false">IFERROR(INDEX(_自动清单!$X$4:$X$63,5),"")</f>
        <v>水果销售</v>
      </c>
      <c r="B9" s="41" t="n">
        <f aca="false">IF($A9="","",ROUND(SUMIFS(成本费用登记表!$H$4:$H$303,成本费用登记表!$D$4:$D$303,$A9,成本费用登记表!$AC$4:$AC$303,B$4)+SUMIFS(资金日记账!$I$4:$I$603,资金日记账!$G$4:$G$603,$A9,资金日记账!$U$4:$U$603,"&lt;&gt;是",资金日记账!$V$4:$V$603,B$4),2))</f>
        <v>0</v>
      </c>
      <c r="C9" s="41" t="n">
        <f aca="false">IF($A9="","",ROUND(SUMIFS(成本费用登记表!$H$4:$H$303,成本费用登记表!$D$4:$D$303,$A9,成本费用登记表!$AC$4:$AC$303,C$4)+SUMIFS(资金日记账!$I$4:$I$603,资金日记账!$G$4:$G$603,$A9,资金日记账!$U$4:$U$603,"&lt;&gt;是",资金日记账!$V$4:$V$603,C$4),2))</f>
        <v>0</v>
      </c>
      <c r="D9" s="41" t="n">
        <f aca="false">IF($A9="","",ROUND(SUMIFS(成本费用登记表!$H$4:$H$303,成本费用登记表!$D$4:$D$303,$A9,成本费用登记表!$AC$4:$AC$303,D$4)+SUMIFS(资金日记账!$I$4:$I$603,资金日记账!$G$4:$G$603,$A9,资金日记账!$U$4:$U$603,"&lt;&gt;是",资金日记账!$V$4:$V$603,D$4),2))</f>
        <v>0</v>
      </c>
      <c r="E9" s="41" t="n">
        <f aca="false">IF($A9="","",ROUND(SUMIFS(成本费用登记表!$H$4:$H$303,成本费用登记表!$D$4:$D$303,$A9,成本费用登记表!$AC$4:$AC$303,E$4)+SUMIFS(资金日记账!$I$4:$I$603,资金日记账!$G$4:$G$603,$A9,资金日记账!$U$4:$U$603,"&lt;&gt;是",资金日记账!$V$4:$V$603,E$4),2))</f>
        <v>0</v>
      </c>
      <c r="F9" s="41" t="n">
        <f aca="false">IF($A9="","",ROUND(SUMIFS(成本费用登记表!$H$4:$H$303,成本费用登记表!$D$4:$D$303,$A9,成本费用登记表!$AC$4:$AC$303,F$4)+SUMIFS(资金日记账!$I$4:$I$603,资金日记账!$G$4:$G$603,$A9,资金日记账!$U$4:$U$603,"&lt;&gt;是",资金日记账!$V$4:$V$603,F$4),2))</f>
        <v>0</v>
      </c>
      <c r="G9" s="41" t="n">
        <f aca="false">IF($A9="","",ROUND(SUMIFS(成本费用登记表!$H$4:$H$303,成本费用登记表!$D$4:$D$303,$A9,成本费用登记表!$AC$4:$AC$303,G$4)+SUMIFS(资金日记账!$I$4:$I$603,资金日记账!$G$4:$G$603,$A9,资金日记账!$U$4:$U$603,"&lt;&gt;是",资金日记账!$V$4:$V$603,G$4),2))</f>
        <v>0</v>
      </c>
      <c r="H9" s="41" t="n">
        <f aca="false">IF($A9="","",ROUND(SUMIFS(成本费用登记表!$H$4:$H$303,成本费用登记表!$D$4:$D$303,$A9,成本费用登记表!$AC$4:$AC$303,H$4)+SUMIFS(资金日记账!$I$4:$I$603,资金日记账!$G$4:$G$603,$A9,资金日记账!$U$4:$U$603,"&lt;&gt;是",资金日记账!$V$4:$V$603,H$4),2))</f>
        <v>0</v>
      </c>
      <c r="I9" s="41" t="n">
        <f aca="false">IF($A9="","",ROUND(SUMIFS(成本费用登记表!$H$4:$H$303,成本费用登记表!$D$4:$D$303,$A9,成本费用登记表!$AC$4:$AC$303,I$4)+SUMIFS(资金日记账!$I$4:$I$603,资金日记账!$G$4:$G$603,$A9,资金日记账!$U$4:$U$603,"&lt;&gt;是",资金日记账!$V$4:$V$603,I$4),2))</f>
        <v>0</v>
      </c>
      <c r="J9" s="41" t="n">
        <f aca="false">IF($A9="","",ROUND(SUMIFS(成本费用登记表!$H$4:$H$303,成本费用登记表!$D$4:$D$303,$A9,成本费用登记表!$AC$4:$AC$303,J$4)+SUMIFS(资金日记账!$I$4:$I$603,资金日记账!$G$4:$G$603,$A9,资金日记账!$U$4:$U$603,"&lt;&gt;是",资金日记账!$V$4:$V$603,J$4),2))</f>
        <v>0</v>
      </c>
      <c r="K9" s="41" t="n">
        <f aca="false">IF($A9="","",ROUND(SUMIFS(成本费用登记表!$H$4:$H$303,成本费用登记表!$D$4:$D$303,$A9,成本费用登记表!$AC$4:$AC$303,K$4)+SUMIFS(资金日记账!$I$4:$I$603,资金日记账!$G$4:$G$603,$A9,资金日记账!$U$4:$U$603,"&lt;&gt;是",资金日记账!$V$4:$V$603,K$4),2))</f>
        <v>0</v>
      </c>
      <c r="L9" s="41" t="n">
        <f aca="false">IF($A9="","",ROUND(SUMIFS(成本费用登记表!$H$4:$H$303,成本费用登记表!$D$4:$D$303,$A9,成本费用登记表!$AC$4:$AC$303,L$4)+SUMIFS(资金日记账!$I$4:$I$603,资金日记账!$G$4:$G$603,$A9,资金日记账!$U$4:$U$603,"&lt;&gt;是",资金日记账!$V$4:$V$603,L$4),2))</f>
        <v>0</v>
      </c>
      <c r="M9" s="41" t="n">
        <f aca="false">IF($A9="","",ROUND(SUMIFS(成本费用登记表!$H$4:$H$303,成本费用登记表!$D$4:$D$303,$A9,成本费用登记表!$AC$4:$AC$303,M$4)+SUMIFS(资金日记账!$I$4:$I$603,资金日记账!$G$4:$G$603,$A9,资金日记账!$U$4:$U$603,"&lt;&gt;是",资金日记账!$V$4:$V$603,M$4),2))</f>
        <v>0</v>
      </c>
      <c r="N9" s="41" t="n">
        <f aca="false">IF($A9="","",ROUND(SUMIFS(成本费用登记表!$H$4:$H$303,成本费用登记表!$D$4:$D$303,$A9,成本费用登记表!$AC$4:$AC$303,N$4)+SUMIFS(资金日记账!$I$4:$I$603,资金日记账!$G$4:$G$603,$A9,资金日记账!$U$4:$U$603,"&lt;&gt;是",资金日记账!$V$4:$V$603,N$4),2))</f>
        <v>0</v>
      </c>
      <c r="O9" s="41" t="n">
        <f aca="false">IF($A9="","",ROUND(SUMIFS(成本费用登记表!$H$4:$H$303,成本费用登记表!$D$4:$D$303,$A9,成本费用登记表!$AC$4:$AC$303,O$4)+SUMIFS(资金日记账!$I$4:$I$603,资金日记账!$G$4:$G$603,$A9,资金日记账!$U$4:$U$603,"&lt;&gt;是",资金日记账!$V$4:$V$603,O$4),2))</f>
        <v>0</v>
      </c>
      <c r="P9" s="41" t="n">
        <f aca="false">IF($A9="","",ROUND(SUMIFS(成本费用登记表!$H$4:$H$303,成本费用登记表!$D$4:$D$303,$A9,成本费用登记表!$AC$4:$AC$303,P$4)+SUMIFS(资金日记账!$I$4:$I$603,资金日记账!$G$4:$G$603,$A9,资金日记账!$U$4:$U$603,"&lt;&gt;是",资金日记账!$V$4:$V$603,P$4),2))</f>
        <v>0</v>
      </c>
      <c r="Q9" s="41" t="n">
        <f aca="false">IF($A9="","",ROUND(SUMIFS(成本费用登记表!$H$4:$H$303,成本费用登记表!$D$4:$D$303,$A9,成本费用登记表!$AC$4:$AC$303,Q$4)+SUMIFS(资金日记账!$I$4:$I$603,资金日记账!$G$4:$G$603,$A9,资金日记账!$U$4:$U$603,"&lt;&gt;是",资金日记账!$V$4:$V$603,Q$4),2))</f>
        <v>0</v>
      </c>
      <c r="R9" s="41" t="n">
        <f aca="false">IF($A9="","",ROUND(SUMIFS(成本费用登记表!$H$4:$H$303,成本费用登记表!$D$4:$D$303,$A9,成本费用登记表!$AC$4:$AC$303,R$4)+SUMIFS(资金日记账!$I$4:$I$603,资金日记账!$G$4:$G$603,$A9,资金日记账!$U$4:$U$603,"&lt;&gt;是",资金日记账!$V$4:$V$603,R$4),2))</f>
        <v>0</v>
      </c>
      <c r="S9" s="41" t="n">
        <f aca="false">IF($A9="","",ROUND(SUMIFS(成本费用登记表!$H$4:$H$303,成本费用登记表!$D$4:$D$303,$A9,成本费用登记表!$AC$4:$AC$303,S$4)+SUMIFS(资金日记账!$I$4:$I$603,资金日记账!$G$4:$G$603,$A9,资金日记账!$U$4:$U$603,"&lt;&gt;是",资金日记账!$V$4:$V$603,S$4),2))</f>
        <v>0</v>
      </c>
      <c r="T9" s="41" t="n">
        <f aca="false">IF($A9="","",ROUND(SUMIFS(成本费用登记表!$H$4:$H$303,成本费用登记表!$D$4:$D$303,$A9,成本费用登记表!$AC$4:$AC$303,T$4)+SUMIFS(资金日记账!$I$4:$I$603,资金日记账!$G$4:$G$603,$A9,资金日记账!$U$4:$U$603,"&lt;&gt;是",资金日记账!$V$4:$V$603,T$4),2))</f>
        <v>0</v>
      </c>
      <c r="U9" s="41" t="n">
        <f aca="false">IF($A9="","",ROUND(SUMIFS(成本费用登记表!$H$4:$H$303,成本费用登记表!$D$4:$D$303,$A9,成本费用登记表!$AC$4:$AC$303,U$4)+SUMIFS(资金日记账!$I$4:$I$603,资金日记账!$G$4:$G$603,$A9,资金日记账!$U$4:$U$603,"&lt;&gt;是",资金日记账!$V$4:$V$603,U$4),2))</f>
        <v>0</v>
      </c>
      <c r="V9" s="41" t="n">
        <f aca="false">IF($A9="","",ROUND(SUMIFS(成本费用登记表!$H$4:$H$303,成本费用登记表!$D$4:$D$303,$A9,成本费用登记表!$AC$4:$AC$303,V$4)+SUMIFS(资金日记账!$I$4:$I$603,资金日记账!$G$4:$G$603,$A9,资金日记账!$U$4:$U$603,"&lt;&gt;是",资金日记账!$V$4:$V$603,V$4),2))</f>
        <v>0</v>
      </c>
      <c r="W9" s="41" t="n">
        <f aca="false">IF($A9="","",ROUND(SUMIFS(成本费用登记表!$H$4:$H$303,成本费用登记表!$D$4:$D$303,$A9,成本费用登记表!$AC$4:$AC$303,W$4)+SUMIFS(资金日记账!$I$4:$I$603,资金日记账!$G$4:$G$603,$A9,资金日记账!$U$4:$U$603,"&lt;&gt;是",资金日记账!$V$4:$V$603,W$4),2))</f>
        <v>0</v>
      </c>
      <c r="X9" s="41" t="n">
        <f aca="false">IF($A9="","",ROUND(SUMIFS(成本费用登记表!$H$4:$H$303,成本费用登记表!$D$4:$D$303,$A9,成本费用登记表!$AC$4:$AC$303,X$4)+SUMIFS(资金日记账!$I$4:$I$603,资金日记账!$G$4:$G$603,$A9,资金日记账!$U$4:$U$603,"&lt;&gt;是",资金日记账!$V$4:$V$603,X$4),2))</f>
        <v>0</v>
      </c>
      <c r="Y9" s="41" t="n">
        <f aca="false">IF($A9="","",ROUND(SUMIFS(成本费用登记表!$H$4:$H$303,成本费用登记表!$D$4:$D$303,$A9,成本费用登记表!$AC$4:$AC$303,Y$4)+SUMIFS(资金日记账!$I$4:$I$603,资金日记账!$G$4:$G$603,$A9,资金日记账!$U$4:$U$603,"&lt;&gt;是",资金日记账!$V$4:$V$603,Y$4),2))</f>
        <v>0</v>
      </c>
      <c r="Z9" s="142" t="n">
        <f aca="false">IF($A9="","",ROUND(SUM($B9:$Y9),2))</f>
        <v>0</v>
      </c>
      <c r="AA9" s="41" t="n">
        <f aca="false">IF($A9="","",ROUND(SUMIF(成本费用登记表!$D$4:$D$303,$A9,成本费用登记表!$AA$4:$AA$303)+SUMIFS(资金日记账!$I$4:$I$603,资金日记账!$G$4:$G$603,$A9,资金日记账!$U$4:$U$603,"&lt;&gt;是"),2))</f>
        <v>0</v>
      </c>
      <c r="AB9" s="41" t="n">
        <f aca="false">IF($A9="","",ROUND(N($Z9)-N($AA9),2))</f>
        <v>0</v>
      </c>
    </row>
    <row r="10" customFormat="false" ht="13.5" hidden="false" customHeight="false" outlineLevel="0" collapsed="false">
      <c r="A10" s="33" t="str">
        <f aca="false">IFERROR(INDEX(_自动清单!$X$4:$X$63,6),"")</f>
        <v>代办费</v>
      </c>
      <c r="B10" s="41" t="n">
        <f aca="false">IF($A10="","",ROUND(SUMIFS(成本费用登记表!$H$4:$H$303,成本费用登记表!$D$4:$D$303,$A10,成本费用登记表!$AC$4:$AC$303,B$4)+SUMIFS(资金日记账!$I$4:$I$603,资金日记账!$G$4:$G$603,$A10,资金日记账!$U$4:$U$603,"&lt;&gt;是",资金日记账!$V$4:$V$603,B$4),2))</f>
        <v>0</v>
      </c>
      <c r="C10" s="41" t="n">
        <f aca="false">IF($A10="","",ROUND(SUMIFS(成本费用登记表!$H$4:$H$303,成本费用登记表!$D$4:$D$303,$A10,成本费用登记表!$AC$4:$AC$303,C$4)+SUMIFS(资金日记账!$I$4:$I$603,资金日记账!$G$4:$G$603,$A10,资金日记账!$U$4:$U$603,"&lt;&gt;是",资金日记账!$V$4:$V$603,C$4),2))</f>
        <v>3000</v>
      </c>
      <c r="D10" s="41" t="n">
        <f aca="false">IF($A10="","",ROUND(SUMIFS(成本费用登记表!$H$4:$H$303,成本费用登记表!$D$4:$D$303,$A10,成本费用登记表!$AC$4:$AC$303,D$4)+SUMIFS(资金日记账!$I$4:$I$603,资金日记账!$G$4:$G$603,$A10,资金日记账!$U$4:$U$603,"&lt;&gt;是",资金日记账!$V$4:$V$603,D$4),2))</f>
        <v>0</v>
      </c>
      <c r="E10" s="41" t="n">
        <f aca="false">IF($A10="","",ROUND(SUMIFS(成本费用登记表!$H$4:$H$303,成本费用登记表!$D$4:$D$303,$A10,成本费用登记表!$AC$4:$AC$303,E$4)+SUMIFS(资金日记账!$I$4:$I$603,资金日记账!$G$4:$G$603,$A10,资金日记账!$U$4:$U$603,"&lt;&gt;是",资金日记账!$V$4:$V$603,E$4),2))</f>
        <v>0</v>
      </c>
      <c r="F10" s="41" t="n">
        <f aca="false">IF($A10="","",ROUND(SUMIFS(成本费用登记表!$H$4:$H$303,成本费用登记表!$D$4:$D$303,$A10,成本费用登记表!$AC$4:$AC$303,F$4)+SUMIFS(资金日记账!$I$4:$I$603,资金日记账!$G$4:$G$603,$A10,资金日记账!$U$4:$U$603,"&lt;&gt;是",资金日记账!$V$4:$V$603,F$4),2))</f>
        <v>0</v>
      </c>
      <c r="G10" s="41" t="n">
        <f aca="false">IF($A10="","",ROUND(SUMIFS(成本费用登记表!$H$4:$H$303,成本费用登记表!$D$4:$D$303,$A10,成本费用登记表!$AC$4:$AC$303,G$4)+SUMIFS(资金日记账!$I$4:$I$603,资金日记账!$G$4:$G$603,$A10,资金日记账!$U$4:$U$603,"&lt;&gt;是",资金日记账!$V$4:$V$603,G$4),2))</f>
        <v>0</v>
      </c>
      <c r="H10" s="41" t="n">
        <f aca="false">IF($A10="","",ROUND(SUMIFS(成本费用登记表!$H$4:$H$303,成本费用登记表!$D$4:$D$303,$A10,成本费用登记表!$AC$4:$AC$303,H$4)+SUMIFS(资金日记账!$I$4:$I$603,资金日记账!$G$4:$G$603,$A10,资金日记账!$U$4:$U$603,"&lt;&gt;是",资金日记账!$V$4:$V$603,H$4),2))</f>
        <v>0</v>
      </c>
      <c r="I10" s="41" t="n">
        <f aca="false">IF($A10="","",ROUND(SUMIFS(成本费用登记表!$H$4:$H$303,成本费用登记表!$D$4:$D$303,$A10,成本费用登记表!$AC$4:$AC$303,I$4)+SUMIFS(资金日记账!$I$4:$I$603,资金日记账!$G$4:$G$603,$A10,资金日记账!$U$4:$U$603,"&lt;&gt;是",资金日记账!$V$4:$V$603,I$4),2))</f>
        <v>0</v>
      </c>
      <c r="J10" s="41" t="n">
        <f aca="false">IF($A10="","",ROUND(SUMIFS(成本费用登记表!$H$4:$H$303,成本费用登记表!$D$4:$D$303,$A10,成本费用登记表!$AC$4:$AC$303,J$4)+SUMIFS(资金日记账!$I$4:$I$603,资金日记账!$G$4:$G$603,$A10,资金日记账!$U$4:$U$603,"&lt;&gt;是",资金日记账!$V$4:$V$603,J$4),2))</f>
        <v>0</v>
      </c>
      <c r="K10" s="41" t="n">
        <f aca="false">IF($A10="","",ROUND(SUMIFS(成本费用登记表!$H$4:$H$303,成本费用登记表!$D$4:$D$303,$A10,成本费用登记表!$AC$4:$AC$303,K$4)+SUMIFS(资金日记账!$I$4:$I$603,资金日记账!$G$4:$G$603,$A10,资金日记账!$U$4:$U$603,"&lt;&gt;是",资金日记账!$V$4:$V$603,K$4),2))</f>
        <v>0</v>
      </c>
      <c r="L10" s="41" t="n">
        <f aca="false">IF($A10="","",ROUND(SUMIFS(成本费用登记表!$H$4:$H$303,成本费用登记表!$D$4:$D$303,$A10,成本费用登记表!$AC$4:$AC$303,L$4)+SUMIFS(资金日记账!$I$4:$I$603,资金日记账!$G$4:$G$603,$A10,资金日记账!$U$4:$U$603,"&lt;&gt;是",资金日记账!$V$4:$V$603,L$4),2))</f>
        <v>0</v>
      </c>
      <c r="M10" s="41" t="n">
        <f aca="false">IF($A10="","",ROUND(SUMIFS(成本费用登记表!$H$4:$H$303,成本费用登记表!$D$4:$D$303,$A10,成本费用登记表!$AC$4:$AC$303,M$4)+SUMIFS(资金日记账!$I$4:$I$603,资金日记账!$G$4:$G$603,$A10,资金日记账!$U$4:$U$603,"&lt;&gt;是",资金日记账!$V$4:$V$603,M$4),2))</f>
        <v>0</v>
      </c>
      <c r="N10" s="41" t="n">
        <f aca="false">IF($A10="","",ROUND(SUMIFS(成本费用登记表!$H$4:$H$303,成本费用登记表!$D$4:$D$303,$A10,成本费用登记表!$AC$4:$AC$303,N$4)+SUMIFS(资金日记账!$I$4:$I$603,资金日记账!$G$4:$G$603,$A10,资金日记账!$U$4:$U$603,"&lt;&gt;是",资金日记账!$V$4:$V$603,N$4),2))</f>
        <v>0</v>
      </c>
      <c r="O10" s="41" t="n">
        <f aca="false">IF($A10="","",ROUND(SUMIFS(成本费用登记表!$H$4:$H$303,成本费用登记表!$D$4:$D$303,$A10,成本费用登记表!$AC$4:$AC$303,O$4)+SUMIFS(资金日记账!$I$4:$I$603,资金日记账!$G$4:$G$603,$A10,资金日记账!$U$4:$U$603,"&lt;&gt;是",资金日记账!$V$4:$V$603,O$4),2))</f>
        <v>0</v>
      </c>
      <c r="P10" s="41" t="n">
        <f aca="false">IF($A10="","",ROUND(SUMIFS(成本费用登记表!$H$4:$H$303,成本费用登记表!$D$4:$D$303,$A10,成本费用登记表!$AC$4:$AC$303,P$4)+SUMIFS(资金日记账!$I$4:$I$603,资金日记账!$G$4:$G$603,$A10,资金日记账!$U$4:$U$603,"&lt;&gt;是",资金日记账!$V$4:$V$603,P$4),2))</f>
        <v>0</v>
      </c>
      <c r="Q10" s="41" t="n">
        <f aca="false">IF($A10="","",ROUND(SUMIFS(成本费用登记表!$H$4:$H$303,成本费用登记表!$D$4:$D$303,$A10,成本费用登记表!$AC$4:$AC$303,Q$4)+SUMIFS(资金日记账!$I$4:$I$603,资金日记账!$G$4:$G$603,$A10,资金日记账!$U$4:$U$603,"&lt;&gt;是",资金日记账!$V$4:$V$603,Q$4),2))</f>
        <v>0</v>
      </c>
      <c r="R10" s="41" t="n">
        <f aca="false">IF($A10="","",ROUND(SUMIFS(成本费用登记表!$H$4:$H$303,成本费用登记表!$D$4:$D$303,$A10,成本费用登记表!$AC$4:$AC$303,R$4)+SUMIFS(资金日记账!$I$4:$I$603,资金日记账!$G$4:$G$603,$A10,资金日记账!$U$4:$U$603,"&lt;&gt;是",资金日记账!$V$4:$V$603,R$4),2))</f>
        <v>0</v>
      </c>
      <c r="S10" s="41" t="n">
        <f aca="false">IF($A10="","",ROUND(SUMIFS(成本费用登记表!$H$4:$H$303,成本费用登记表!$D$4:$D$303,$A10,成本费用登记表!$AC$4:$AC$303,S$4)+SUMIFS(资金日记账!$I$4:$I$603,资金日记账!$G$4:$G$603,$A10,资金日记账!$U$4:$U$603,"&lt;&gt;是",资金日记账!$V$4:$V$603,S$4),2))</f>
        <v>0</v>
      </c>
      <c r="T10" s="41" t="n">
        <f aca="false">IF($A10="","",ROUND(SUMIFS(成本费用登记表!$H$4:$H$303,成本费用登记表!$D$4:$D$303,$A10,成本费用登记表!$AC$4:$AC$303,T$4)+SUMIFS(资金日记账!$I$4:$I$603,资金日记账!$G$4:$G$603,$A10,资金日记账!$U$4:$U$603,"&lt;&gt;是",资金日记账!$V$4:$V$603,T$4),2))</f>
        <v>0</v>
      </c>
      <c r="U10" s="41" t="n">
        <f aca="false">IF($A10="","",ROUND(SUMIFS(成本费用登记表!$H$4:$H$303,成本费用登记表!$D$4:$D$303,$A10,成本费用登记表!$AC$4:$AC$303,U$4)+SUMIFS(资金日记账!$I$4:$I$603,资金日记账!$G$4:$G$603,$A10,资金日记账!$U$4:$U$603,"&lt;&gt;是",资金日记账!$V$4:$V$603,U$4),2))</f>
        <v>0</v>
      </c>
      <c r="V10" s="41" t="n">
        <f aca="false">IF($A10="","",ROUND(SUMIFS(成本费用登记表!$H$4:$H$303,成本费用登记表!$D$4:$D$303,$A10,成本费用登记表!$AC$4:$AC$303,V$4)+SUMIFS(资金日记账!$I$4:$I$603,资金日记账!$G$4:$G$603,$A10,资金日记账!$U$4:$U$603,"&lt;&gt;是",资金日记账!$V$4:$V$603,V$4),2))</f>
        <v>0</v>
      </c>
      <c r="W10" s="41" t="n">
        <f aca="false">IF($A10="","",ROUND(SUMIFS(成本费用登记表!$H$4:$H$303,成本费用登记表!$D$4:$D$303,$A10,成本费用登记表!$AC$4:$AC$303,W$4)+SUMIFS(资金日记账!$I$4:$I$603,资金日记账!$G$4:$G$603,$A10,资金日记账!$U$4:$U$603,"&lt;&gt;是",资金日记账!$V$4:$V$603,W$4),2))</f>
        <v>0</v>
      </c>
      <c r="X10" s="41" t="n">
        <f aca="false">IF($A10="","",ROUND(SUMIFS(成本费用登记表!$H$4:$H$303,成本费用登记表!$D$4:$D$303,$A10,成本费用登记表!$AC$4:$AC$303,X$4)+SUMIFS(资金日记账!$I$4:$I$603,资金日记账!$G$4:$G$603,$A10,资金日记账!$U$4:$U$603,"&lt;&gt;是",资金日记账!$V$4:$V$603,X$4),2))</f>
        <v>0</v>
      </c>
      <c r="Y10" s="41" t="n">
        <f aca="false">IF($A10="","",ROUND(SUMIFS(成本费用登记表!$H$4:$H$303,成本费用登记表!$D$4:$D$303,$A10,成本费用登记表!$AC$4:$AC$303,Y$4)+SUMIFS(资金日记账!$I$4:$I$603,资金日记账!$G$4:$G$603,$A10,资金日记账!$U$4:$U$603,"&lt;&gt;是",资金日记账!$V$4:$V$603,Y$4),2))</f>
        <v>0</v>
      </c>
      <c r="Z10" s="142" t="n">
        <f aca="false">IF($A10="","",ROUND(SUM($B10:$Y10),2))</f>
        <v>3000</v>
      </c>
      <c r="AA10" s="41" t="n">
        <f aca="false">IF($A10="","",ROUND(SUMIF(成本费用登记表!$D$4:$D$303,$A10,成本费用登记表!$AA$4:$AA$303)+SUMIFS(资金日记账!$I$4:$I$603,资金日记账!$G$4:$G$603,$A10,资金日记账!$U$4:$U$603,"&lt;&gt;是"),2))</f>
        <v>3000</v>
      </c>
      <c r="AB10" s="41" t="n">
        <f aca="false">IF($A10="","",ROUND(N($Z10)-N($AA10),2))</f>
        <v>0</v>
      </c>
    </row>
    <row r="11" customFormat="false" ht="13.5" hidden="false" customHeight="false" outlineLevel="0" collapsed="false">
      <c r="A11" s="33" t="str">
        <f aca="false">IFERROR(INDEX(_自动清单!$X$4:$X$63,7),"")</f>
        <v>送礼</v>
      </c>
      <c r="B11" s="41" t="n">
        <f aca="false">IF($A11="","",ROUND(SUMIFS(成本费用登记表!$H$4:$H$303,成本费用登记表!$D$4:$D$303,$A11,成本费用登记表!$AC$4:$AC$303,B$4)+SUMIFS(资金日记账!$I$4:$I$603,资金日记账!$G$4:$G$603,$A11,资金日记账!$U$4:$U$603,"&lt;&gt;是",资金日记账!$V$4:$V$603,B$4),2))</f>
        <v>0</v>
      </c>
      <c r="C11" s="41" t="n">
        <f aca="false">IF($A11="","",ROUND(SUMIFS(成本费用登记表!$H$4:$H$303,成本费用登记表!$D$4:$D$303,$A11,成本费用登记表!$AC$4:$AC$303,C$4)+SUMIFS(资金日记账!$I$4:$I$603,资金日记账!$G$4:$G$603,$A11,资金日记账!$U$4:$U$603,"&lt;&gt;是",资金日记账!$V$4:$V$603,C$4),2))</f>
        <v>10120</v>
      </c>
      <c r="D11" s="41" t="n">
        <f aca="false">IF($A11="","",ROUND(SUMIFS(成本费用登记表!$H$4:$H$303,成本费用登记表!$D$4:$D$303,$A11,成本费用登记表!$AC$4:$AC$303,D$4)+SUMIFS(资金日记账!$I$4:$I$603,资金日记账!$G$4:$G$603,$A11,资金日记账!$U$4:$U$603,"&lt;&gt;是",资金日记账!$V$4:$V$603,D$4),2))</f>
        <v>0</v>
      </c>
      <c r="E11" s="41" t="n">
        <f aca="false">IF($A11="","",ROUND(SUMIFS(成本费用登记表!$H$4:$H$303,成本费用登记表!$D$4:$D$303,$A11,成本费用登记表!$AC$4:$AC$303,E$4)+SUMIFS(资金日记账!$I$4:$I$603,资金日记账!$G$4:$G$603,$A11,资金日记账!$U$4:$U$603,"&lt;&gt;是",资金日记账!$V$4:$V$603,E$4),2))</f>
        <v>0</v>
      </c>
      <c r="F11" s="41" t="n">
        <f aca="false">IF($A11="","",ROUND(SUMIFS(成本费用登记表!$H$4:$H$303,成本费用登记表!$D$4:$D$303,$A11,成本费用登记表!$AC$4:$AC$303,F$4)+SUMIFS(资金日记账!$I$4:$I$603,资金日记账!$G$4:$G$603,$A11,资金日记账!$U$4:$U$603,"&lt;&gt;是",资金日记账!$V$4:$V$603,F$4),2))</f>
        <v>0</v>
      </c>
      <c r="G11" s="41" t="n">
        <f aca="false">IF($A11="","",ROUND(SUMIFS(成本费用登记表!$H$4:$H$303,成本费用登记表!$D$4:$D$303,$A11,成本费用登记表!$AC$4:$AC$303,G$4)+SUMIFS(资金日记账!$I$4:$I$603,资金日记账!$G$4:$G$603,$A11,资金日记账!$U$4:$U$603,"&lt;&gt;是",资金日记账!$V$4:$V$603,G$4),2))</f>
        <v>0</v>
      </c>
      <c r="H11" s="41" t="n">
        <f aca="false">IF($A11="","",ROUND(SUMIFS(成本费用登记表!$H$4:$H$303,成本费用登记表!$D$4:$D$303,$A11,成本费用登记表!$AC$4:$AC$303,H$4)+SUMIFS(资金日记账!$I$4:$I$603,资金日记账!$G$4:$G$603,$A11,资金日记账!$U$4:$U$603,"&lt;&gt;是",资金日记账!$V$4:$V$603,H$4),2))</f>
        <v>0</v>
      </c>
      <c r="I11" s="41" t="n">
        <f aca="false">IF($A11="","",ROUND(SUMIFS(成本费用登记表!$H$4:$H$303,成本费用登记表!$D$4:$D$303,$A11,成本费用登记表!$AC$4:$AC$303,I$4)+SUMIFS(资金日记账!$I$4:$I$603,资金日记账!$G$4:$G$603,$A11,资金日记账!$U$4:$U$603,"&lt;&gt;是",资金日记账!$V$4:$V$603,I$4),2))</f>
        <v>0</v>
      </c>
      <c r="J11" s="41" t="n">
        <f aca="false">IF($A11="","",ROUND(SUMIFS(成本费用登记表!$H$4:$H$303,成本费用登记表!$D$4:$D$303,$A11,成本费用登记表!$AC$4:$AC$303,J$4)+SUMIFS(资金日记账!$I$4:$I$603,资金日记账!$G$4:$G$603,$A11,资金日记账!$U$4:$U$603,"&lt;&gt;是",资金日记账!$V$4:$V$603,J$4),2))</f>
        <v>0</v>
      </c>
      <c r="K11" s="41" t="n">
        <f aca="false">IF($A11="","",ROUND(SUMIFS(成本费用登记表!$H$4:$H$303,成本费用登记表!$D$4:$D$303,$A11,成本费用登记表!$AC$4:$AC$303,K$4)+SUMIFS(资金日记账!$I$4:$I$603,资金日记账!$G$4:$G$603,$A11,资金日记账!$U$4:$U$603,"&lt;&gt;是",资金日记账!$V$4:$V$603,K$4),2))</f>
        <v>0</v>
      </c>
      <c r="L11" s="41" t="n">
        <f aca="false">IF($A11="","",ROUND(SUMIFS(成本费用登记表!$H$4:$H$303,成本费用登记表!$D$4:$D$303,$A11,成本费用登记表!$AC$4:$AC$303,L$4)+SUMIFS(资金日记账!$I$4:$I$603,资金日记账!$G$4:$G$603,$A11,资金日记账!$U$4:$U$603,"&lt;&gt;是",资金日记账!$V$4:$V$603,L$4),2))</f>
        <v>0</v>
      </c>
      <c r="M11" s="41" t="n">
        <f aca="false">IF($A11="","",ROUND(SUMIFS(成本费用登记表!$H$4:$H$303,成本费用登记表!$D$4:$D$303,$A11,成本费用登记表!$AC$4:$AC$303,M$4)+SUMIFS(资金日记账!$I$4:$I$603,资金日记账!$G$4:$G$603,$A11,资金日记账!$U$4:$U$603,"&lt;&gt;是",资金日记账!$V$4:$V$603,M$4),2))</f>
        <v>0</v>
      </c>
      <c r="N11" s="41" t="n">
        <f aca="false">IF($A11="","",ROUND(SUMIFS(成本费用登记表!$H$4:$H$303,成本费用登记表!$D$4:$D$303,$A11,成本费用登记表!$AC$4:$AC$303,N$4)+SUMIFS(资金日记账!$I$4:$I$603,资金日记账!$G$4:$G$603,$A11,资金日记账!$U$4:$U$603,"&lt;&gt;是",资金日记账!$V$4:$V$603,N$4),2))</f>
        <v>0</v>
      </c>
      <c r="O11" s="41" t="n">
        <f aca="false">IF($A11="","",ROUND(SUMIFS(成本费用登记表!$H$4:$H$303,成本费用登记表!$D$4:$D$303,$A11,成本费用登记表!$AC$4:$AC$303,O$4)+SUMIFS(资金日记账!$I$4:$I$603,资金日记账!$G$4:$G$603,$A11,资金日记账!$U$4:$U$603,"&lt;&gt;是",资金日记账!$V$4:$V$603,O$4),2))</f>
        <v>0</v>
      </c>
      <c r="P11" s="41" t="n">
        <f aca="false">IF($A11="","",ROUND(SUMIFS(成本费用登记表!$H$4:$H$303,成本费用登记表!$D$4:$D$303,$A11,成本费用登记表!$AC$4:$AC$303,P$4)+SUMIFS(资金日记账!$I$4:$I$603,资金日记账!$G$4:$G$603,$A11,资金日记账!$U$4:$U$603,"&lt;&gt;是",资金日记账!$V$4:$V$603,P$4),2))</f>
        <v>0</v>
      </c>
      <c r="Q11" s="41" t="n">
        <f aca="false">IF($A11="","",ROUND(SUMIFS(成本费用登记表!$H$4:$H$303,成本费用登记表!$D$4:$D$303,$A11,成本费用登记表!$AC$4:$AC$303,Q$4)+SUMIFS(资金日记账!$I$4:$I$603,资金日记账!$G$4:$G$603,$A11,资金日记账!$U$4:$U$603,"&lt;&gt;是",资金日记账!$V$4:$V$603,Q$4),2))</f>
        <v>0</v>
      </c>
      <c r="R11" s="41" t="n">
        <f aca="false">IF($A11="","",ROUND(SUMIFS(成本费用登记表!$H$4:$H$303,成本费用登记表!$D$4:$D$303,$A11,成本费用登记表!$AC$4:$AC$303,R$4)+SUMIFS(资金日记账!$I$4:$I$603,资金日记账!$G$4:$G$603,$A11,资金日记账!$U$4:$U$603,"&lt;&gt;是",资金日记账!$V$4:$V$603,R$4),2))</f>
        <v>0</v>
      </c>
      <c r="S11" s="41" t="n">
        <f aca="false">IF($A11="","",ROUND(SUMIFS(成本费用登记表!$H$4:$H$303,成本费用登记表!$D$4:$D$303,$A11,成本费用登记表!$AC$4:$AC$303,S$4)+SUMIFS(资金日记账!$I$4:$I$603,资金日记账!$G$4:$G$603,$A11,资金日记账!$U$4:$U$603,"&lt;&gt;是",资金日记账!$V$4:$V$603,S$4),2))</f>
        <v>0</v>
      </c>
      <c r="T11" s="41" t="n">
        <f aca="false">IF($A11="","",ROUND(SUMIFS(成本费用登记表!$H$4:$H$303,成本费用登记表!$D$4:$D$303,$A11,成本费用登记表!$AC$4:$AC$303,T$4)+SUMIFS(资金日记账!$I$4:$I$603,资金日记账!$G$4:$G$603,$A11,资金日记账!$U$4:$U$603,"&lt;&gt;是",资金日记账!$V$4:$V$603,T$4),2))</f>
        <v>0</v>
      </c>
      <c r="U11" s="41" t="n">
        <f aca="false">IF($A11="","",ROUND(SUMIFS(成本费用登记表!$H$4:$H$303,成本费用登记表!$D$4:$D$303,$A11,成本费用登记表!$AC$4:$AC$303,U$4)+SUMIFS(资金日记账!$I$4:$I$603,资金日记账!$G$4:$G$603,$A11,资金日记账!$U$4:$U$603,"&lt;&gt;是",资金日记账!$V$4:$V$603,U$4),2))</f>
        <v>0</v>
      </c>
      <c r="V11" s="41" t="n">
        <f aca="false">IF($A11="","",ROUND(SUMIFS(成本费用登记表!$H$4:$H$303,成本费用登记表!$D$4:$D$303,$A11,成本费用登记表!$AC$4:$AC$303,V$4)+SUMIFS(资金日记账!$I$4:$I$603,资金日记账!$G$4:$G$603,$A11,资金日记账!$U$4:$U$603,"&lt;&gt;是",资金日记账!$V$4:$V$603,V$4),2))</f>
        <v>0</v>
      </c>
      <c r="W11" s="41" t="n">
        <f aca="false">IF($A11="","",ROUND(SUMIFS(成本费用登记表!$H$4:$H$303,成本费用登记表!$D$4:$D$303,$A11,成本费用登记表!$AC$4:$AC$303,W$4)+SUMIFS(资金日记账!$I$4:$I$603,资金日记账!$G$4:$G$603,$A11,资金日记账!$U$4:$U$603,"&lt;&gt;是",资金日记账!$V$4:$V$603,W$4),2))</f>
        <v>0</v>
      </c>
      <c r="X11" s="41" t="n">
        <f aca="false">IF($A11="","",ROUND(SUMIFS(成本费用登记表!$H$4:$H$303,成本费用登记表!$D$4:$D$303,$A11,成本费用登记表!$AC$4:$AC$303,X$4)+SUMIFS(资金日记账!$I$4:$I$603,资金日记账!$G$4:$G$603,$A11,资金日记账!$U$4:$U$603,"&lt;&gt;是",资金日记账!$V$4:$V$603,X$4),2))</f>
        <v>0</v>
      </c>
      <c r="Y11" s="41" t="n">
        <f aca="false">IF($A11="","",ROUND(SUMIFS(成本费用登记表!$H$4:$H$303,成本费用登记表!$D$4:$D$303,$A11,成本费用登记表!$AC$4:$AC$303,Y$4)+SUMIFS(资金日记账!$I$4:$I$603,资金日记账!$G$4:$G$603,$A11,资金日记账!$U$4:$U$603,"&lt;&gt;是",资金日记账!$V$4:$V$603,Y$4),2))</f>
        <v>0</v>
      </c>
      <c r="Z11" s="142" t="n">
        <f aca="false">IF($A11="","",ROUND(SUM($B11:$Y11),2))</f>
        <v>10120</v>
      </c>
      <c r="AA11" s="41" t="n">
        <f aca="false">IF($A11="","",ROUND(SUMIF(成本费用登记表!$D$4:$D$303,$A11,成本费用登记表!$AA$4:$AA$303)+SUMIFS(资金日记账!$I$4:$I$603,资金日记账!$G$4:$G$603,$A11,资金日记账!$U$4:$U$603,"&lt;&gt;是"),2))</f>
        <v>10120</v>
      </c>
      <c r="AB11" s="41" t="n">
        <f aca="false">IF($A11="","",ROUND(N($Z11)-N($AA11),2))</f>
        <v>0</v>
      </c>
    </row>
    <row r="12" customFormat="false" ht="13.5" hidden="false" customHeight="false" outlineLevel="0" collapsed="false">
      <c r="A12" s="33" t="str">
        <f aca="false">IFERROR(INDEX(_自动清单!$X$4:$X$63,8),"")</f>
        <v>停车费</v>
      </c>
      <c r="B12" s="41" t="n">
        <f aca="false">IF($A12="","",ROUND(SUMIFS(成本费用登记表!$H$4:$H$303,成本费用登记表!$D$4:$D$303,$A12,成本费用登记表!$AC$4:$AC$303,B$4)+SUMIFS(资金日记账!$I$4:$I$603,资金日记账!$G$4:$G$603,$A12,资金日记账!$U$4:$U$603,"&lt;&gt;是",资金日记账!$V$4:$V$603,B$4),2))</f>
        <v>0</v>
      </c>
      <c r="C12" s="41" t="n">
        <f aca="false">IF($A12="","",ROUND(SUMIFS(成本费用登记表!$H$4:$H$303,成本费用登记表!$D$4:$D$303,$A12,成本费用登记表!$AC$4:$AC$303,C$4)+SUMIFS(资金日记账!$I$4:$I$603,资金日记账!$G$4:$G$603,$A12,资金日记账!$U$4:$U$603,"&lt;&gt;是",资金日记账!$V$4:$V$603,C$4),2))</f>
        <v>166</v>
      </c>
      <c r="D12" s="41" t="n">
        <f aca="false">IF($A12="","",ROUND(SUMIFS(成本费用登记表!$H$4:$H$303,成本费用登记表!$D$4:$D$303,$A12,成本费用登记表!$AC$4:$AC$303,D$4)+SUMIFS(资金日记账!$I$4:$I$603,资金日记账!$G$4:$G$603,$A12,资金日记账!$U$4:$U$603,"&lt;&gt;是",资金日记账!$V$4:$V$603,D$4),2))</f>
        <v>0</v>
      </c>
      <c r="E12" s="41" t="n">
        <f aca="false">IF($A12="","",ROUND(SUMIFS(成本费用登记表!$H$4:$H$303,成本费用登记表!$D$4:$D$303,$A12,成本费用登记表!$AC$4:$AC$303,E$4)+SUMIFS(资金日记账!$I$4:$I$603,资金日记账!$G$4:$G$603,$A12,资金日记账!$U$4:$U$603,"&lt;&gt;是",资金日记账!$V$4:$V$603,E$4),2))</f>
        <v>0</v>
      </c>
      <c r="F12" s="41" t="n">
        <f aca="false">IF($A12="","",ROUND(SUMIFS(成本费用登记表!$H$4:$H$303,成本费用登记表!$D$4:$D$303,$A12,成本费用登记表!$AC$4:$AC$303,F$4)+SUMIFS(资金日记账!$I$4:$I$603,资金日记账!$G$4:$G$603,$A12,资金日记账!$U$4:$U$603,"&lt;&gt;是",资金日记账!$V$4:$V$603,F$4),2))</f>
        <v>0</v>
      </c>
      <c r="G12" s="41" t="n">
        <f aca="false">IF($A12="","",ROUND(SUMIFS(成本费用登记表!$H$4:$H$303,成本费用登记表!$D$4:$D$303,$A12,成本费用登记表!$AC$4:$AC$303,G$4)+SUMIFS(资金日记账!$I$4:$I$603,资金日记账!$G$4:$G$603,$A12,资金日记账!$U$4:$U$603,"&lt;&gt;是",资金日记账!$V$4:$V$603,G$4),2))</f>
        <v>0</v>
      </c>
      <c r="H12" s="41" t="n">
        <f aca="false">IF($A12="","",ROUND(SUMIFS(成本费用登记表!$H$4:$H$303,成本费用登记表!$D$4:$D$303,$A12,成本费用登记表!$AC$4:$AC$303,H$4)+SUMIFS(资金日记账!$I$4:$I$603,资金日记账!$G$4:$G$603,$A12,资金日记账!$U$4:$U$603,"&lt;&gt;是",资金日记账!$V$4:$V$603,H$4),2))</f>
        <v>0</v>
      </c>
      <c r="I12" s="41" t="n">
        <f aca="false">IF($A12="","",ROUND(SUMIFS(成本费用登记表!$H$4:$H$303,成本费用登记表!$D$4:$D$303,$A12,成本费用登记表!$AC$4:$AC$303,I$4)+SUMIFS(资金日记账!$I$4:$I$603,资金日记账!$G$4:$G$603,$A12,资金日记账!$U$4:$U$603,"&lt;&gt;是",资金日记账!$V$4:$V$603,I$4),2))</f>
        <v>0</v>
      </c>
      <c r="J12" s="41" t="n">
        <f aca="false">IF($A12="","",ROUND(SUMIFS(成本费用登记表!$H$4:$H$303,成本费用登记表!$D$4:$D$303,$A12,成本费用登记表!$AC$4:$AC$303,J$4)+SUMIFS(资金日记账!$I$4:$I$603,资金日记账!$G$4:$G$603,$A12,资金日记账!$U$4:$U$603,"&lt;&gt;是",资金日记账!$V$4:$V$603,J$4),2))</f>
        <v>0</v>
      </c>
      <c r="K12" s="41" t="n">
        <f aca="false">IF($A12="","",ROUND(SUMIFS(成本费用登记表!$H$4:$H$303,成本费用登记表!$D$4:$D$303,$A12,成本费用登记表!$AC$4:$AC$303,K$4)+SUMIFS(资金日记账!$I$4:$I$603,资金日记账!$G$4:$G$603,$A12,资金日记账!$U$4:$U$603,"&lt;&gt;是",资金日记账!$V$4:$V$603,K$4),2))</f>
        <v>0</v>
      </c>
      <c r="L12" s="41" t="n">
        <f aca="false">IF($A12="","",ROUND(SUMIFS(成本费用登记表!$H$4:$H$303,成本费用登记表!$D$4:$D$303,$A12,成本费用登记表!$AC$4:$AC$303,L$4)+SUMIFS(资金日记账!$I$4:$I$603,资金日记账!$G$4:$G$603,$A12,资金日记账!$U$4:$U$603,"&lt;&gt;是",资金日记账!$V$4:$V$603,L$4),2))</f>
        <v>0</v>
      </c>
      <c r="M12" s="41" t="n">
        <f aca="false">IF($A12="","",ROUND(SUMIFS(成本费用登记表!$H$4:$H$303,成本费用登记表!$D$4:$D$303,$A12,成本费用登记表!$AC$4:$AC$303,M$4)+SUMIFS(资金日记账!$I$4:$I$603,资金日记账!$G$4:$G$603,$A12,资金日记账!$U$4:$U$603,"&lt;&gt;是",资金日记账!$V$4:$V$603,M$4),2))</f>
        <v>0</v>
      </c>
      <c r="N12" s="41" t="n">
        <f aca="false">IF($A12="","",ROUND(SUMIFS(成本费用登记表!$H$4:$H$303,成本费用登记表!$D$4:$D$303,$A12,成本费用登记表!$AC$4:$AC$303,N$4)+SUMIFS(资金日记账!$I$4:$I$603,资金日记账!$G$4:$G$603,$A12,资金日记账!$U$4:$U$603,"&lt;&gt;是",资金日记账!$V$4:$V$603,N$4),2))</f>
        <v>0</v>
      </c>
      <c r="O12" s="41" t="n">
        <f aca="false">IF($A12="","",ROUND(SUMIFS(成本费用登记表!$H$4:$H$303,成本费用登记表!$D$4:$D$303,$A12,成本费用登记表!$AC$4:$AC$303,O$4)+SUMIFS(资金日记账!$I$4:$I$603,资金日记账!$G$4:$G$603,$A12,资金日记账!$U$4:$U$603,"&lt;&gt;是",资金日记账!$V$4:$V$603,O$4),2))</f>
        <v>0</v>
      </c>
      <c r="P12" s="41" t="n">
        <f aca="false">IF($A12="","",ROUND(SUMIFS(成本费用登记表!$H$4:$H$303,成本费用登记表!$D$4:$D$303,$A12,成本费用登记表!$AC$4:$AC$303,P$4)+SUMIFS(资金日记账!$I$4:$I$603,资金日记账!$G$4:$G$603,$A12,资金日记账!$U$4:$U$603,"&lt;&gt;是",资金日记账!$V$4:$V$603,P$4),2))</f>
        <v>0</v>
      </c>
      <c r="Q12" s="41" t="n">
        <f aca="false">IF($A12="","",ROUND(SUMIFS(成本费用登记表!$H$4:$H$303,成本费用登记表!$D$4:$D$303,$A12,成本费用登记表!$AC$4:$AC$303,Q$4)+SUMIFS(资金日记账!$I$4:$I$603,资金日记账!$G$4:$G$603,$A12,资金日记账!$U$4:$U$603,"&lt;&gt;是",资金日记账!$V$4:$V$603,Q$4),2))</f>
        <v>0</v>
      </c>
      <c r="R12" s="41" t="n">
        <f aca="false">IF($A12="","",ROUND(SUMIFS(成本费用登记表!$H$4:$H$303,成本费用登记表!$D$4:$D$303,$A12,成本费用登记表!$AC$4:$AC$303,R$4)+SUMIFS(资金日记账!$I$4:$I$603,资金日记账!$G$4:$G$603,$A12,资金日记账!$U$4:$U$603,"&lt;&gt;是",资金日记账!$V$4:$V$603,R$4),2))</f>
        <v>0</v>
      </c>
      <c r="S12" s="41" t="n">
        <f aca="false">IF($A12="","",ROUND(SUMIFS(成本费用登记表!$H$4:$H$303,成本费用登记表!$D$4:$D$303,$A12,成本费用登记表!$AC$4:$AC$303,S$4)+SUMIFS(资金日记账!$I$4:$I$603,资金日记账!$G$4:$G$603,$A12,资金日记账!$U$4:$U$603,"&lt;&gt;是",资金日记账!$V$4:$V$603,S$4),2))</f>
        <v>0</v>
      </c>
      <c r="T12" s="41" t="n">
        <f aca="false">IF($A12="","",ROUND(SUMIFS(成本费用登记表!$H$4:$H$303,成本费用登记表!$D$4:$D$303,$A12,成本费用登记表!$AC$4:$AC$303,T$4)+SUMIFS(资金日记账!$I$4:$I$603,资金日记账!$G$4:$G$603,$A12,资金日记账!$U$4:$U$603,"&lt;&gt;是",资金日记账!$V$4:$V$603,T$4),2))</f>
        <v>0</v>
      </c>
      <c r="U12" s="41" t="n">
        <f aca="false">IF($A12="","",ROUND(SUMIFS(成本费用登记表!$H$4:$H$303,成本费用登记表!$D$4:$D$303,$A12,成本费用登记表!$AC$4:$AC$303,U$4)+SUMIFS(资金日记账!$I$4:$I$603,资金日记账!$G$4:$G$603,$A12,资金日记账!$U$4:$U$603,"&lt;&gt;是",资金日记账!$V$4:$V$603,U$4),2))</f>
        <v>0</v>
      </c>
      <c r="V12" s="41" t="n">
        <f aca="false">IF($A12="","",ROUND(SUMIFS(成本费用登记表!$H$4:$H$303,成本费用登记表!$D$4:$D$303,$A12,成本费用登记表!$AC$4:$AC$303,V$4)+SUMIFS(资金日记账!$I$4:$I$603,资金日记账!$G$4:$G$603,$A12,资金日记账!$U$4:$U$603,"&lt;&gt;是",资金日记账!$V$4:$V$603,V$4),2))</f>
        <v>0</v>
      </c>
      <c r="W12" s="41" t="n">
        <f aca="false">IF($A12="","",ROUND(SUMIFS(成本费用登记表!$H$4:$H$303,成本费用登记表!$D$4:$D$303,$A12,成本费用登记表!$AC$4:$AC$303,W$4)+SUMIFS(资金日记账!$I$4:$I$603,资金日记账!$G$4:$G$603,$A12,资金日记账!$U$4:$U$603,"&lt;&gt;是",资金日记账!$V$4:$V$603,W$4),2))</f>
        <v>0</v>
      </c>
      <c r="X12" s="41" t="n">
        <f aca="false">IF($A12="","",ROUND(SUMIFS(成本费用登记表!$H$4:$H$303,成本费用登记表!$D$4:$D$303,$A12,成本费用登记表!$AC$4:$AC$303,X$4)+SUMIFS(资金日记账!$I$4:$I$603,资金日记账!$G$4:$G$603,$A12,资金日记账!$U$4:$U$603,"&lt;&gt;是",资金日记账!$V$4:$V$603,X$4),2))</f>
        <v>0</v>
      </c>
      <c r="Y12" s="41" t="n">
        <f aca="false">IF($A12="","",ROUND(SUMIFS(成本费用登记表!$H$4:$H$303,成本费用登记表!$D$4:$D$303,$A12,成本费用登记表!$AC$4:$AC$303,Y$4)+SUMIFS(资金日记账!$I$4:$I$603,资金日记账!$G$4:$G$603,$A12,资金日记账!$U$4:$U$603,"&lt;&gt;是",资金日记账!$V$4:$V$603,Y$4),2))</f>
        <v>0</v>
      </c>
      <c r="Z12" s="142" t="n">
        <f aca="false">IF($A12="","",ROUND(SUM($B12:$Y12),2))</f>
        <v>166</v>
      </c>
      <c r="AA12" s="41" t="n">
        <f aca="false">IF($A12="","",ROUND(SUMIF(成本费用登记表!$D$4:$D$303,$A12,成本费用登记表!$AA$4:$AA$303)+SUMIFS(资金日记账!$I$4:$I$603,资金日记账!$G$4:$G$603,$A12,资金日记账!$U$4:$U$603,"&lt;&gt;是"),2))</f>
        <v>166</v>
      </c>
      <c r="AB12" s="41" t="n">
        <f aca="false">IF($A12="","",ROUND(N($Z12)-N($AA12),2))</f>
        <v>0</v>
      </c>
    </row>
    <row r="13" customFormat="false" ht="13.5" hidden="false" customHeight="false" outlineLevel="0" collapsed="false">
      <c r="A13" s="33" t="str">
        <f aca="false">IFERROR(INDEX(_自动清单!$X$4:$X$63,9),"")</f>
        <v>家用</v>
      </c>
      <c r="B13" s="41" t="n">
        <f aca="false">IF($A13="","",ROUND(SUMIFS(成本费用登记表!$H$4:$H$303,成本费用登记表!$D$4:$D$303,$A13,成本费用登记表!$AC$4:$AC$303,B$4)+SUMIFS(资金日记账!$I$4:$I$603,资金日记账!$G$4:$G$603,$A13,资金日记账!$U$4:$U$603,"&lt;&gt;是",资金日记账!$V$4:$V$603,B$4),2))</f>
        <v>0</v>
      </c>
      <c r="C13" s="41" t="n">
        <f aca="false">IF($A13="","",ROUND(SUMIFS(成本费用登记表!$H$4:$H$303,成本费用登记表!$D$4:$D$303,$A13,成本费用登记表!$AC$4:$AC$303,C$4)+SUMIFS(资金日记账!$I$4:$I$603,资金日记账!$G$4:$G$603,$A13,资金日记账!$U$4:$U$603,"&lt;&gt;是",资金日记账!$V$4:$V$603,C$4),2))</f>
        <v>30</v>
      </c>
      <c r="D13" s="41" t="n">
        <f aca="false">IF($A13="","",ROUND(SUMIFS(成本费用登记表!$H$4:$H$303,成本费用登记表!$D$4:$D$303,$A13,成本费用登记表!$AC$4:$AC$303,D$4)+SUMIFS(资金日记账!$I$4:$I$603,资金日记账!$G$4:$G$603,$A13,资金日记账!$U$4:$U$603,"&lt;&gt;是",资金日记账!$V$4:$V$603,D$4),2))</f>
        <v>0</v>
      </c>
      <c r="E13" s="41" t="n">
        <f aca="false">IF($A13="","",ROUND(SUMIFS(成本费用登记表!$H$4:$H$303,成本费用登记表!$D$4:$D$303,$A13,成本费用登记表!$AC$4:$AC$303,E$4)+SUMIFS(资金日记账!$I$4:$I$603,资金日记账!$G$4:$G$603,$A13,资金日记账!$U$4:$U$603,"&lt;&gt;是",资金日记账!$V$4:$V$603,E$4),2))</f>
        <v>0</v>
      </c>
      <c r="F13" s="41" t="n">
        <f aca="false">IF($A13="","",ROUND(SUMIFS(成本费用登记表!$H$4:$H$303,成本费用登记表!$D$4:$D$303,$A13,成本费用登记表!$AC$4:$AC$303,F$4)+SUMIFS(资金日记账!$I$4:$I$603,资金日记账!$G$4:$G$603,$A13,资金日记账!$U$4:$U$603,"&lt;&gt;是",资金日记账!$V$4:$V$603,F$4),2))</f>
        <v>0</v>
      </c>
      <c r="G13" s="41" t="n">
        <f aca="false">IF($A13="","",ROUND(SUMIFS(成本费用登记表!$H$4:$H$303,成本费用登记表!$D$4:$D$303,$A13,成本费用登记表!$AC$4:$AC$303,G$4)+SUMIFS(资金日记账!$I$4:$I$603,资金日记账!$G$4:$G$603,$A13,资金日记账!$U$4:$U$603,"&lt;&gt;是",资金日记账!$V$4:$V$603,G$4),2))</f>
        <v>0</v>
      </c>
      <c r="H13" s="41" t="n">
        <f aca="false">IF($A13="","",ROUND(SUMIFS(成本费用登记表!$H$4:$H$303,成本费用登记表!$D$4:$D$303,$A13,成本费用登记表!$AC$4:$AC$303,H$4)+SUMIFS(资金日记账!$I$4:$I$603,资金日记账!$G$4:$G$603,$A13,资金日记账!$U$4:$U$603,"&lt;&gt;是",资金日记账!$V$4:$V$603,H$4),2))</f>
        <v>0</v>
      </c>
      <c r="I13" s="41" t="n">
        <f aca="false">IF($A13="","",ROUND(SUMIFS(成本费用登记表!$H$4:$H$303,成本费用登记表!$D$4:$D$303,$A13,成本费用登记表!$AC$4:$AC$303,I$4)+SUMIFS(资金日记账!$I$4:$I$603,资金日记账!$G$4:$G$603,$A13,资金日记账!$U$4:$U$603,"&lt;&gt;是",资金日记账!$V$4:$V$603,I$4),2))</f>
        <v>0</v>
      </c>
      <c r="J13" s="41" t="n">
        <f aca="false">IF($A13="","",ROUND(SUMIFS(成本费用登记表!$H$4:$H$303,成本费用登记表!$D$4:$D$303,$A13,成本费用登记表!$AC$4:$AC$303,J$4)+SUMIFS(资金日记账!$I$4:$I$603,资金日记账!$G$4:$G$603,$A13,资金日记账!$U$4:$U$603,"&lt;&gt;是",资金日记账!$V$4:$V$603,J$4),2))</f>
        <v>0</v>
      </c>
      <c r="K13" s="41" t="n">
        <f aca="false">IF($A13="","",ROUND(SUMIFS(成本费用登记表!$H$4:$H$303,成本费用登记表!$D$4:$D$303,$A13,成本费用登记表!$AC$4:$AC$303,K$4)+SUMIFS(资金日记账!$I$4:$I$603,资金日记账!$G$4:$G$603,$A13,资金日记账!$U$4:$U$603,"&lt;&gt;是",资金日记账!$V$4:$V$603,K$4),2))</f>
        <v>0</v>
      </c>
      <c r="L13" s="41" t="n">
        <f aca="false">IF($A13="","",ROUND(SUMIFS(成本费用登记表!$H$4:$H$303,成本费用登记表!$D$4:$D$303,$A13,成本费用登记表!$AC$4:$AC$303,L$4)+SUMIFS(资金日记账!$I$4:$I$603,资金日记账!$G$4:$G$603,$A13,资金日记账!$U$4:$U$603,"&lt;&gt;是",资金日记账!$V$4:$V$603,L$4),2))</f>
        <v>0</v>
      </c>
      <c r="M13" s="41" t="n">
        <f aca="false">IF($A13="","",ROUND(SUMIFS(成本费用登记表!$H$4:$H$303,成本费用登记表!$D$4:$D$303,$A13,成本费用登记表!$AC$4:$AC$303,M$4)+SUMIFS(资金日记账!$I$4:$I$603,资金日记账!$G$4:$G$603,$A13,资金日记账!$U$4:$U$603,"&lt;&gt;是",资金日记账!$V$4:$V$603,M$4),2))</f>
        <v>0</v>
      </c>
      <c r="N13" s="41" t="n">
        <f aca="false">IF($A13="","",ROUND(SUMIFS(成本费用登记表!$H$4:$H$303,成本费用登记表!$D$4:$D$303,$A13,成本费用登记表!$AC$4:$AC$303,N$4)+SUMIFS(资金日记账!$I$4:$I$603,资金日记账!$G$4:$G$603,$A13,资金日记账!$U$4:$U$603,"&lt;&gt;是",资金日记账!$V$4:$V$603,N$4),2))</f>
        <v>0</v>
      </c>
      <c r="O13" s="41" t="n">
        <f aca="false">IF($A13="","",ROUND(SUMIFS(成本费用登记表!$H$4:$H$303,成本费用登记表!$D$4:$D$303,$A13,成本费用登记表!$AC$4:$AC$303,O$4)+SUMIFS(资金日记账!$I$4:$I$603,资金日记账!$G$4:$G$603,$A13,资金日记账!$U$4:$U$603,"&lt;&gt;是",资金日记账!$V$4:$V$603,O$4),2))</f>
        <v>0</v>
      </c>
      <c r="P13" s="41" t="n">
        <f aca="false">IF($A13="","",ROUND(SUMIFS(成本费用登记表!$H$4:$H$303,成本费用登记表!$D$4:$D$303,$A13,成本费用登记表!$AC$4:$AC$303,P$4)+SUMIFS(资金日记账!$I$4:$I$603,资金日记账!$G$4:$G$603,$A13,资金日记账!$U$4:$U$603,"&lt;&gt;是",资金日记账!$V$4:$V$603,P$4),2))</f>
        <v>0</v>
      </c>
      <c r="Q13" s="41" t="n">
        <f aca="false">IF($A13="","",ROUND(SUMIFS(成本费用登记表!$H$4:$H$303,成本费用登记表!$D$4:$D$303,$A13,成本费用登记表!$AC$4:$AC$303,Q$4)+SUMIFS(资金日记账!$I$4:$I$603,资金日记账!$G$4:$G$603,$A13,资金日记账!$U$4:$U$603,"&lt;&gt;是",资金日记账!$V$4:$V$603,Q$4),2))</f>
        <v>0</v>
      </c>
      <c r="R13" s="41" t="n">
        <f aca="false">IF($A13="","",ROUND(SUMIFS(成本费用登记表!$H$4:$H$303,成本费用登记表!$D$4:$D$303,$A13,成本费用登记表!$AC$4:$AC$303,R$4)+SUMIFS(资金日记账!$I$4:$I$603,资金日记账!$G$4:$G$603,$A13,资金日记账!$U$4:$U$603,"&lt;&gt;是",资金日记账!$V$4:$V$603,R$4),2))</f>
        <v>0</v>
      </c>
      <c r="S13" s="41" t="n">
        <f aca="false">IF($A13="","",ROUND(SUMIFS(成本费用登记表!$H$4:$H$303,成本费用登记表!$D$4:$D$303,$A13,成本费用登记表!$AC$4:$AC$303,S$4)+SUMIFS(资金日记账!$I$4:$I$603,资金日记账!$G$4:$G$603,$A13,资金日记账!$U$4:$U$603,"&lt;&gt;是",资金日记账!$V$4:$V$603,S$4),2))</f>
        <v>0</v>
      </c>
      <c r="T13" s="41" t="n">
        <f aca="false">IF($A13="","",ROUND(SUMIFS(成本费用登记表!$H$4:$H$303,成本费用登记表!$D$4:$D$303,$A13,成本费用登记表!$AC$4:$AC$303,T$4)+SUMIFS(资金日记账!$I$4:$I$603,资金日记账!$G$4:$G$603,$A13,资金日记账!$U$4:$U$603,"&lt;&gt;是",资金日记账!$V$4:$V$603,T$4),2))</f>
        <v>0</v>
      </c>
      <c r="U13" s="41" t="n">
        <f aca="false">IF($A13="","",ROUND(SUMIFS(成本费用登记表!$H$4:$H$303,成本费用登记表!$D$4:$D$303,$A13,成本费用登记表!$AC$4:$AC$303,U$4)+SUMIFS(资金日记账!$I$4:$I$603,资金日记账!$G$4:$G$603,$A13,资金日记账!$U$4:$U$603,"&lt;&gt;是",资金日记账!$V$4:$V$603,U$4),2))</f>
        <v>0</v>
      </c>
      <c r="V13" s="41" t="n">
        <f aca="false">IF($A13="","",ROUND(SUMIFS(成本费用登记表!$H$4:$H$303,成本费用登记表!$D$4:$D$303,$A13,成本费用登记表!$AC$4:$AC$303,V$4)+SUMIFS(资金日记账!$I$4:$I$603,资金日记账!$G$4:$G$603,$A13,资金日记账!$U$4:$U$603,"&lt;&gt;是",资金日记账!$V$4:$V$603,V$4),2))</f>
        <v>0</v>
      </c>
      <c r="W13" s="41" t="n">
        <f aca="false">IF($A13="","",ROUND(SUMIFS(成本费用登记表!$H$4:$H$303,成本费用登记表!$D$4:$D$303,$A13,成本费用登记表!$AC$4:$AC$303,W$4)+SUMIFS(资金日记账!$I$4:$I$603,资金日记账!$G$4:$G$603,$A13,资金日记账!$U$4:$U$603,"&lt;&gt;是",资金日记账!$V$4:$V$603,W$4),2))</f>
        <v>0</v>
      </c>
      <c r="X13" s="41" t="n">
        <f aca="false">IF($A13="","",ROUND(SUMIFS(成本费用登记表!$H$4:$H$303,成本费用登记表!$D$4:$D$303,$A13,成本费用登记表!$AC$4:$AC$303,X$4)+SUMIFS(资金日记账!$I$4:$I$603,资金日记账!$G$4:$G$603,$A13,资金日记账!$U$4:$U$603,"&lt;&gt;是",资金日记账!$V$4:$V$603,X$4),2))</f>
        <v>0</v>
      </c>
      <c r="Y13" s="41" t="n">
        <f aca="false">IF($A13="","",ROUND(SUMIFS(成本费用登记表!$H$4:$H$303,成本费用登记表!$D$4:$D$303,$A13,成本费用登记表!$AC$4:$AC$303,Y$4)+SUMIFS(资金日记账!$I$4:$I$603,资金日记账!$G$4:$G$603,$A13,资金日记账!$U$4:$U$603,"&lt;&gt;是",资金日记账!$V$4:$V$603,Y$4),2))</f>
        <v>0</v>
      </c>
      <c r="Z13" s="142" t="n">
        <f aca="false">IF($A13="","",ROUND(SUM($B13:$Y13),2))</f>
        <v>30</v>
      </c>
      <c r="AA13" s="41" t="n">
        <f aca="false">IF($A13="","",ROUND(SUMIF(成本费用登记表!$D$4:$D$303,$A13,成本费用登记表!$AA$4:$AA$303)+SUMIFS(资金日记账!$I$4:$I$603,资金日记账!$G$4:$G$603,$A13,资金日记账!$U$4:$U$603,"&lt;&gt;是"),2))</f>
        <v>30</v>
      </c>
      <c r="AB13" s="41" t="n">
        <f aca="false">IF($A13="","",ROUND(N($Z13)-N($AA13),2))</f>
        <v>0</v>
      </c>
    </row>
    <row r="14" customFormat="false" ht="13.5" hidden="false" customHeight="false" outlineLevel="0" collapsed="false">
      <c r="A14" s="33" t="str">
        <f aca="false">IFERROR(INDEX(_自动清单!$X$4:$X$63,10),"")</f>
        <v>车充电</v>
      </c>
      <c r="B14" s="41" t="n">
        <f aca="false">IF($A14="","",ROUND(SUMIFS(成本费用登记表!$H$4:$H$303,成本费用登记表!$D$4:$D$303,$A14,成本费用登记表!$AC$4:$AC$303,B$4)+SUMIFS(资金日记账!$I$4:$I$603,资金日记账!$G$4:$G$603,$A14,资金日记账!$U$4:$U$603,"&lt;&gt;是",资金日记账!$V$4:$V$603,B$4),2))</f>
        <v>0</v>
      </c>
      <c r="C14" s="41" t="n">
        <f aca="false">IF($A14="","",ROUND(SUMIFS(成本费用登记表!$H$4:$H$303,成本费用登记表!$D$4:$D$303,$A14,成本费用登记表!$AC$4:$AC$303,C$4)+SUMIFS(资金日记账!$I$4:$I$603,资金日记账!$G$4:$G$603,$A14,资金日记账!$U$4:$U$603,"&lt;&gt;是",资金日记账!$V$4:$V$603,C$4),2))</f>
        <v>136.39</v>
      </c>
      <c r="D14" s="41" t="n">
        <f aca="false">IF($A14="","",ROUND(SUMIFS(成本费用登记表!$H$4:$H$303,成本费用登记表!$D$4:$D$303,$A14,成本费用登记表!$AC$4:$AC$303,D$4)+SUMIFS(资金日记账!$I$4:$I$603,资金日记账!$G$4:$G$603,$A14,资金日记账!$U$4:$U$603,"&lt;&gt;是",资金日记账!$V$4:$V$603,D$4),2))</f>
        <v>0</v>
      </c>
      <c r="E14" s="41" t="n">
        <f aca="false">IF($A14="","",ROUND(SUMIFS(成本费用登记表!$H$4:$H$303,成本费用登记表!$D$4:$D$303,$A14,成本费用登记表!$AC$4:$AC$303,E$4)+SUMIFS(资金日记账!$I$4:$I$603,资金日记账!$G$4:$G$603,$A14,资金日记账!$U$4:$U$603,"&lt;&gt;是",资金日记账!$V$4:$V$603,E$4),2))</f>
        <v>0</v>
      </c>
      <c r="F14" s="41" t="n">
        <f aca="false">IF($A14="","",ROUND(SUMIFS(成本费用登记表!$H$4:$H$303,成本费用登记表!$D$4:$D$303,$A14,成本费用登记表!$AC$4:$AC$303,F$4)+SUMIFS(资金日记账!$I$4:$I$603,资金日记账!$G$4:$G$603,$A14,资金日记账!$U$4:$U$603,"&lt;&gt;是",资金日记账!$V$4:$V$603,F$4),2))</f>
        <v>0</v>
      </c>
      <c r="G14" s="41" t="n">
        <f aca="false">IF($A14="","",ROUND(SUMIFS(成本费用登记表!$H$4:$H$303,成本费用登记表!$D$4:$D$303,$A14,成本费用登记表!$AC$4:$AC$303,G$4)+SUMIFS(资金日记账!$I$4:$I$603,资金日记账!$G$4:$G$603,$A14,资金日记账!$U$4:$U$603,"&lt;&gt;是",资金日记账!$V$4:$V$603,G$4),2))</f>
        <v>0</v>
      </c>
      <c r="H14" s="41" t="n">
        <f aca="false">IF($A14="","",ROUND(SUMIFS(成本费用登记表!$H$4:$H$303,成本费用登记表!$D$4:$D$303,$A14,成本费用登记表!$AC$4:$AC$303,H$4)+SUMIFS(资金日记账!$I$4:$I$603,资金日记账!$G$4:$G$603,$A14,资金日记账!$U$4:$U$603,"&lt;&gt;是",资金日记账!$V$4:$V$603,H$4),2))</f>
        <v>0</v>
      </c>
      <c r="I14" s="41" t="n">
        <f aca="false">IF($A14="","",ROUND(SUMIFS(成本费用登记表!$H$4:$H$303,成本费用登记表!$D$4:$D$303,$A14,成本费用登记表!$AC$4:$AC$303,I$4)+SUMIFS(资金日记账!$I$4:$I$603,资金日记账!$G$4:$G$603,$A14,资金日记账!$U$4:$U$603,"&lt;&gt;是",资金日记账!$V$4:$V$603,I$4),2))</f>
        <v>0</v>
      </c>
      <c r="J14" s="41" t="n">
        <f aca="false">IF($A14="","",ROUND(SUMIFS(成本费用登记表!$H$4:$H$303,成本费用登记表!$D$4:$D$303,$A14,成本费用登记表!$AC$4:$AC$303,J$4)+SUMIFS(资金日记账!$I$4:$I$603,资金日记账!$G$4:$G$603,$A14,资金日记账!$U$4:$U$603,"&lt;&gt;是",资金日记账!$V$4:$V$603,J$4),2))</f>
        <v>0</v>
      </c>
      <c r="K14" s="41" t="n">
        <f aca="false">IF($A14="","",ROUND(SUMIFS(成本费用登记表!$H$4:$H$303,成本费用登记表!$D$4:$D$303,$A14,成本费用登记表!$AC$4:$AC$303,K$4)+SUMIFS(资金日记账!$I$4:$I$603,资金日记账!$G$4:$G$603,$A14,资金日记账!$U$4:$U$603,"&lt;&gt;是",资金日记账!$V$4:$V$603,K$4),2))</f>
        <v>0</v>
      </c>
      <c r="L14" s="41" t="n">
        <f aca="false">IF($A14="","",ROUND(SUMIFS(成本费用登记表!$H$4:$H$303,成本费用登记表!$D$4:$D$303,$A14,成本费用登记表!$AC$4:$AC$303,L$4)+SUMIFS(资金日记账!$I$4:$I$603,资金日记账!$G$4:$G$603,$A14,资金日记账!$U$4:$U$603,"&lt;&gt;是",资金日记账!$V$4:$V$603,L$4),2))</f>
        <v>0</v>
      </c>
      <c r="M14" s="41" t="n">
        <f aca="false">IF($A14="","",ROUND(SUMIFS(成本费用登记表!$H$4:$H$303,成本费用登记表!$D$4:$D$303,$A14,成本费用登记表!$AC$4:$AC$303,M$4)+SUMIFS(资金日记账!$I$4:$I$603,资金日记账!$G$4:$G$603,$A14,资金日记账!$U$4:$U$603,"&lt;&gt;是",资金日记账!$V$4:$V$603,M$4),2))</f>
        <v>0</v>
      </c>
      <c r="N14" s="41" t="n">
        <f aca="false">IF($A14="","",ROUND(SUMIFS(成本费用登记表!$H$4:$H$303,成本费用登记表!$D$4:$D$303,$A14,成本费用登记表!$AC$4:$AC$303,N$4)+SUMIFS(资金日记账!$I$4:$I$603,资金日记账!$G$4:$G$603,$A14,资金日记账!$U$4:$U$603,"&lt;&gt;是",资金日记账!$V$4:$V$603,N$4),2))</f>
        <v>0</v>
      </c>
      <c r="O14" s="41" t="n">
        <f aca="false">IF($A14="","",ROUND(SUMIFS(成本费用登记表!$H$4:$H$303,成本费用登记表!$D$4:$D$303,$A14,成本费用登记表!$AC$4:$AC$303,O$4)+SUMIFS(资金日记账!$I$4:$I$603,资金日记账!$G$4:$G$603,$A14,资金日记账!$U$4:$U$603,"&lt;&gt;是",资金日记账!$V$4:$V$603,O$4),2))</f>
        <v>0</v>
      </c>
      <c r="P14" s="41" t="n">
        <f aca="false">IF($A14="","",ROUND(SUMIFS(成本费用登记表!$H$4:$H$303,成本费用登记表!$D$4:$D$303,$A14,成本费用登记表!$AC$4:$AC$303,P$4)+SUMIFS(资金日记账!$I$4:$I$603,资金日记账!$G$4:$G$603,$A14,资金日记账!$U$4:$U$603,"&lt;&gt;是",资金日记账!$V$4:$V$603,P$4),2))</f>
        <v>0</v>
      </c>
      <c r="Q14" s="41" t="n">
        <f aca="false">IF($A14="","",ROUND(SUMIFS(成本费用登记表!$H$4:$H$303,成本费用登记表!$D$4:$D$303,$A14,成本费用登记表!$AC$4:$AC$303,Q$4)+SUMIFS(资金日记账!$I$4:$I$603,资金日记账!$G$4:$G$603,$A14,资金日记账!$U$4:$U$603,"&lt;&gt;是",资金日记账!$V$4:$V$603,Q$4),2))</f>
        <v>0</v>
      </c>
      <c r="R14" s="41" t="n">
        <f aca="false">IF($A14="","",ROUND(SUMIFS(成本费用登记表!$H$4:$H$303,成本费用登记表!$D$4:$D$303,$A14,成本费用登记表!$AC$4:$AC$303,R$4)+SUMIFS(资金日记账!$I$4:$I$603,资金日记账!$G$4:$G$603,$A14,资金日记账!$U$4:$U$603,"&lt;&gt;是",资金日记账!$V$4:$V$603,R$4),2))</f>
        <v>0</v>
      </c>
      <c r="S14" s="41" t="n">
        <f aca="false">IF($A14="","",ROUND(SUMIFS(成本费用登记表!$H$4:$H$303,成本费用登记表!$D$4:$D$303,$A14,成本费用登记表!$AC$4:$AC$303,S$4)+SUMIFS(资金日记账!$I$4:$I$603,资金日记账!$G$4:$G$603,$A14,资金日记账!$U$4:$U$603,"&lt;&gt;是",资金日记账!$V$4:$V$603,S$4),2))</f>
        <v>0</v>
      </c>
      <c r="T14" s="41" t="n">
        <f aca="false">IF($A14="","",ROUND(SUMIFS(成本费用登记表!$H$4:$H$303,成本费用登记表!$D$4:$D$303,$A14,成本费用登记表!$AC$4:$AC$303,T$4)+SUMIFS(资金日记账!$I$4:$I$603,资金日记账!$G$4:$G$603,$A14,资金日记账!$U$4:$U$603,"&lt;&gt;是",资金日记账!$V$4:$V$603,T$4),2))</f>
        <v>0</v>
      </c>
      <c r="U14" s="41" t="n">
        <f aca="false">IF($A14="","",ROUND(SUMIFS(成本费用登记表!$H$4:$H$303,成本费用登记表!$D$4:$D$303,$A14,成本费用登记表!$AC$4:$AC$303,U$4)+SUMIFS(资金日记账!$I$4:$I$603,资金日记账!$G$4:$G$603,$A14,资金日记账!$U$4:$U$603,"&lt;&gt;是",资金日记账!$V$4:$V$603,U$4),2))</f>
        <v>0</v>
      </c>
      <c r="V14" s="41" t="n">
        <f aca="false">IF($A14="","",ROUND(SUMIFS(成本费用登记表!$H$4:$H$303,成本费用登记表!$D$4:$D$303,$A14,成本费用登记表!$AC$4:$AC$303,V$4)+SUMIFS(资金日记账!$I$4:$I$603,资金日记账!$G$4:$G$603,$A14,资金日记账!$U$4:$U$603,"&lt;&gt;是",资金日记账!$V$4:$V$603,V$4),2))</f>
        <v>0</v>
      </c>
      <c r="W14" s="41" t="n">
        <f aca="false">IF($A14="","",ROUND(SUMIFS(成本费用登记表!$H$4:$H$303,成本费用登记表!$D$4:$D$303,$A14,成本费用登记表!$AC$4:$AC$303,W$4)+SUMIFS(资金日记账!$I$4:$I$603,资金日记账!$G$4:$G$603,$A14,资金日记账!$U$4:$U$603,"&lt;&gt;是",资金日记账!$V$4:$V$603,W$4),2))</f>
        <v>0</v>
      </c>
      <c r="X14" s="41" t="n">
        <f aca="false">IF($A14="","",ROUND(SUMIFS(成本费用登记表!$H$4:$H$303,成本费用登记表!$D$4:$D$303,$A14,成本费用登记表!$AC$4:$AC$303,X$4)+SUMIFS(资金日记账!$I$4:$I$603,资金日记账!$G$4:$G$603,$A14,资金日记账!$U$4:$U$603,"&lt;&gt;是",资金日记账!$V$4:$V$603,X$4),2))</f>
        <v>0</v>
      </c>
      <c r="Y14" s="41" t="n">
        <f aca="false">IF($A14="","",ROUND(SUMIFS(成本费用登记表!$H$4:$H$303,成本费用登记表!$D$4:$D$303,$A14,成本费用登记表!$AC$4:$AC$303,Y$4)+SUMIFS(资金日记账!$I$4:$I$603,资金日记账!$G$4:$G$603,$A14,资金日记账!$U$4:$U$603,"&lt;&gt;是",资金日记账!$V$4:$V$603,Y$4),2))</f>
        <v>0</v>
      </c>
      <c r="Z14" s="142" t="n">
        <f aca="false">IF($A14="","",ROUND(SUM($B14:$Y14),2))</f>
        <v>136.39</v>
      </c>
      <c r="AA14" s="41" t="n">
        <f aca="false">IF($A14="","",ROUND(SUMIF(成本费用登记表!$D$4:$D$303,$A14,成本费用登记表!$AA$4:$AA$303)+SUMIFS(资金日记账!$I$4:$I$603,资金日记账!$G$4:$G$603,$A14,资金日记账!$U$4:$U$603,"&lt;&gt;是"),2))</f>
        <v>136.39</v>
      </c>
      <c r="AB14" s="41" t="n">
        <f aca="false">IF($A14="","",ROUND(N($Z14)-N($AA14),2))</f>
        <v>0</v>
      </c>
    </row>
    <row r="15" customFormat="false" ht="13.5" hidden="false" customHeight="false" outlineLevel="0" collapsed="false">
      <c r="A15" s="33" t="str">
        <f aca="false">IFERROR(INDEX(_自动清单!$X$4:$X$63,11),"")</f>
        <v>个人消费</v>
      </c>
      <c r="B15" s="41" t="n">
        <f aca="false">IF($A15="","",ROUND(SUMIFS(成本费用登记表!$H$4:$H$303,成本费用登记表!$D$4:$D$303,$A15,成本费用登记表!$AC$4:$AC$303,B$4)+SUMIFS(资金日记账!$I$4:$I$603,资金日记账!$G$4:$G$603,$A15,资金日记账!$U$4:$U$603,"&lt;&gt;是",资金日记账!$V$4:$V$603,B$4),2))</f>
        <v>0</v>
      </c>
      <c r="C15" s="41" t="n">
        <f aca="false">IF($A15="","",ROUND(SUMIFS(成本费用登记表!$H$4:$H$303,成本费用登记表!$D$4:$D$303,$A15,成本费用登记表!$AC$4:$AC$303,C$4)+SUMIFS(资金日记账!$I$4:$I$603,资金日记账!$G$4:$G$603,$A15,资金日记账!$U$4:$U$603,"&lt;&gt;是",资金日记账!$V$4:$V$603,C$4),2))</f>
        <v>910</v>
      </c>
      <c r="D15" s="41" t="n">
        <f aca="false">IF($A15="","",ROUND(SUMIFS(成本费用登记表!$H$4:$H$303,成本费用登记表!$D$4:$D$303,$A15,成本费用登记表!$AC$4:$AC$303,D$4)+SUMIFS(资金日记账!$I$4:$I$603,资金日记账!$G$4:$G$603,$A15,资金日记账!$U$4:$U$603,"&lt;&gt;是",资金日记账!$V$4:$V$603,D$4),2))</f>
        <v>0</v>
      </c>
      <c r="E15" s="41" t="n">
        <f aca="false">IF($A15="","",ROUND(SUMIFS(成本费用登记表!$H$4:$H$303,成本费用登记表!$D$4:$D$303,$A15,成本费用登记表!$AC$4:$AC$303,E$4)+SUMIFS(资金日记账!$I$4:$I$603,资金日记账!$G$4:$G$603,$A15,资金日记账!$U$4:$U$603,"&lt;&gt;是",资金日记账!$V$4:$V$603,E$4),2))</f>
        <v>0</v>
      </c>
      <c r="F15" s="41" t="n">
        <f aca="false">IF($A15="","",ROUND(SUMIFS(成本费用登记表!$H$4:$H$303,成本费用登记表!$D$4:$D$303,$A15,成本费用登记表!$AC$4:$AC$303,F$4)+SUMIFS(资金日记账!$I$4:$I$603,资金日记账!$G$4:$G$603,$A15,资金日记账!$U$4:$U$603,"&lt;&gt;是",资金日记账!$V$4:$V$603,F$4),2))</f>
        <v>0</v>
      </c>
      <c r="G15" s="41" t="n">
        <f aca="false">IF($A15="","",ROUND(SUMIFS(成本费用登记表!$H$4:$H$303,成本费用登记表!$D$4:$D$303,$A15,成本费用登记表!$AC$4:$AC$303,G$4)+SUMIFS(资金日记账!$I$4:$I$603,资金日记账!$G$4:$G$603,$A15,资金日记账!$U$4:$U$603,"&lt;&gt;是",资金日记账!$V$4:$V$603,G$4),2))</f>
        <v>0</v>
      </c>
      <c r="H15" s="41" t="n">
        <f aca="false">IF($A15="","",ROUND(SUMIFS(成本费用登记表!$H$4:$H$303,成本费用登记表!$D$4:$D$303,$A15,成本费用登记表!$AC$4:$AC$303,H$4)+SUMIFS(资金日记账!$I$4:$I$603,资金日记账!$G$4:$G$603,$A15,资金日记账!$U$4:$U$603,"&lt;&gt;是",资金日记账!$V$4:$V$603,H$4),2))</f>
        <v>0</v>
      </c>
      <c r="I15" s="41" t="n">
        <f aca="false">IF($A15="","",ROUND(SUMIFS(成本费用登记表!$H$4:$H$303,成本费用登记表!$D$4:$D$303,$A15,成本费用登记表!$AC$4:$AC$303,I$4)+SUMIFS(资金日记账!$I$4:$I$603,资金日记账!$G$4:$G$603,$A15,资金日记账!$U$4:$U$603,"&lt;&gt;是",资金日记账!$V$4:$V$603,I$4),2))</f>
        <v>0</v>
      </c>
      <c r="J15" s="41" t="n">
        <f aca="false">IF($A15="","",ROUND(SUMIFS(成本费用登记表!$H$4:$H$303,成本费用登记表!$D$4:$D$303,$A15,成本费用登记表!$AC$4:$AC$303,J$4)+SUMIFS(资金日记账!$I$4:$I$603,资金日记账!$G$4:$G$603,$A15,资金日记账!$U$4:$U$603,"&lt;&gt;是",资金日记账!$V$4:$V$603,J$4),2))</f>
        <v>0</v>
      </c>
      <c r="K15" s="41" t="n">
        <f aca="false">IF($A15="","",ROUND(SUMIFS(成本费用登记表!$H$4:$H$303,成本费用登记表!$D$4:$D$303,$A15,成本费用登记表!$AC$4:$AC$303,K$4)+SUMIFS(资金日记账!$I$4:$I$603,资金日记账!$G$4:$G$603,$A15,资金日记账!$U$4:$U$603,"&lt;&gt;是",资金日记账!$V$4:$V$603,K$4),2))</f>
        <v>0</v>
      </c>
      <c r="L15" s="41" t="n">
        <f aca="false">IF($A15="","",ROUND(SUMIFS(成本费用登记表!$H$4:$H$303,成本费用登记表!$D$4:$D$303,$A15,成本费用登记表!$AC$4:$AC$303,L$4)+SUMIFS(资金日记账!$I$4:$I$603,资金日记账!$G$4:$G$603,$A15,资金日记账!$U$4:$U$603,"&lt;&gt;是",资金日记账!$V$4:$V$603,L$4),2))</f>
        <v>0</v>
      </c>
      <c r="M15" s="41" t="n">
        <f aca="false">IF($A15="","",ROUND(SUMIFS(成本费用登记表!$H$4:$H$303,成本费用登记表!$D$4:$D$303,$A15,成本费用登记表!$AC$4:$AC$303,M$4)+SUMIFS(资金日记账!$I$4:$I$603,资金日记账!$G$4:$G$603,$A15,资金日记账!$U$4:$U$603,"&lt;&gt;是",资金日记账!$V$4:$V$603,M$4),2))</f>
        <v>0</v>
      </c>
      <c r="N15" s="41" t="n">
        <f aca="false">IF($A15="","",ROUND(SUMIFS(成本费用登记表!$H$4:$H$303,成本费用登记表!$D$4:$D$303,$A15,成本费用登记表!$AC$4:$AC$303,N$4)+SUMIFS(资金日记账!$I$4:$I$603,资金日记账!$G$4:$G$603,$A15,资金日记账!$U$4:$U$603,"&lt;&gt;是",资金日记账!$V$4:$V$603,N$4),2))</f>
        <v>0</v>
      </c>
      <c r="O15" s="41" t="n">
        <f aca="false">IF($A15="","",ROUND(SUMIFS(成本费用登记表!$H$4:$H$303,成本费用登记表!$D$4:$D$303,$A15,成本费用登记表!$AC$4:$AC$303,O$4)+SUMIFS(资金日记账!$I$4:$I$603,资金日记账!$G$4:$G$603,$A15,资金日记账!$U$4:$U$603,"&lt;&gt;是",资金日记账!$V$4:$V$603,O$4),2))</f>
        <v>0</v>
      </c>
      <c r="P15" s="41" t="n">
        <f aca="false">IF($A15="","",ROUND(SUMIFS(成本费用登记表!$H$4:$H$303,成本费用登记表!$D$4:$D$303,$A15,成本费用登记表!$AC$4:$AC$303,P$4)+SUMIFS(资金日记账!$I$4:$I$603,资金日记账!$G$4:$G$603,$A15,资金日记账!$U$4:$U$603,"&lt;&gt;是",资金日记账!$V$4:$V$603,P$4),2))</f>
        <v>0</v>
      </c>
      <c r="Q15" s="41" t="n">
        <f aca="false">IF($A15="","",ROUND(SUMIFS(成本费用登记表!$H$4:$H$303,成本费用登记表!$D$4:$D$303,$A15,成本费用登记表!$AC$4:$AC$303,Q$4)+SUMIFS(资金日记账!$I$4:$I$603,资金日记账!$G$4:$G$603,$A15,资金日记账!$U$4:$U$603,"&lt;&gt;是",资金日记账!$V$4:$V$603,Q$4),2))</f>
        <v>0</v>
      </c>
      <c r="R15" s="41" t="n">
        <f aca="false">IF($A15="","",ROUND(SUMIFS(成本费用登记表!$H$4:$H$303,成本费用登记表!$D$4:$D$303,$A15,成本费用登记表!$AC$4:$AC$303,R$4)+SUMIFS(资金日记账!$I$4:$I$603,资金日记账!$G$4:$G$603,$A15,资金日记账!$U$4:$U$603,"&lt;&gt;是",资金日记账!$V$4:$V$603,R$4),2))</f>
        <v>0</v>
      </c>
      <c r="S15" s="41" t="n">
        <f aca="false">IF($A15="","",ROUND(SUMIFS(成本费用登记表!$H$4:$H$303,成本费用登记表!$D$4:$D$303,$A15,成本费用登记表!$AC$4:$AC$303,S$4)+SUMIFS(资金日记账!$I$4:$I$603,资金日记账!$G$4:$G$603,$A15,资金日记账!$U$4:$U$603,"&lt;&gt;是",资金日记账!$V$4:$V$603,S$4),2))</f>
        <v>0</v>
      </c>
      <c r="T15" s="41" t="n">
        <f aca="false">IF($A15="","",ROUND(SUMIFS(成本费用登记表!$H$4:$H$303,成本费用登记表!$D$4:$D$303,$A15,成本费用登记表!$AC$4:$AC$303,T$4)+SUMIFS(资金日记账!$I$4:$I$603,资金日记账!$G$4:$G$603,$A15,资金日记账!$U$4:$U$603,"&lt;&gt;是",资金日记账!$V$4:$V$603,T$4),2))</f>
        <v>0</v>
      </c>
      <c r="U15" s="41" t="n">
        <f aca="false">IF($A15="","",ROUND(SUMIFS(成本费用登记表!$H$4:$H$303,成本费用登记表!$D$4:$D$303,$A15,成本费用登记表!$AC$4:$AC$303,U$4)+SUMIFS(资金日记账!$I$4:$I$603,资金日记账!$G$4:$G$603,$A15,资金日记账!$U$4:$U$603,"&lt;&gt;是",资金日记账!$V$4:$V$603,U$4),2))</f>
        <v>0</v>
      </c>
      <c r="V15" s="41" t="n">
        <f aca="false">IF($A15="","",ROUND(SUMIFS(成本费用登记表!$H$4:$H$303,成本费用登记表!$D$4:$D$303,$A15,成本费用登记表!$AC$4:$AC$303,V$4)+SUMIFS(资金日记账!$I$4:$I$603,资金日记账!$G$4:$G$603,$A15,资金日记账!$U$4:$U$603,"&lt;&gt;是",资金日记账!$V$4:$V$603,V$4),2))</f>
        <v>0</v>
      </c>
      <c r="W15" s="41" t="n">
        <f aca="false">IF($A15="","",ROUND(SUMIFS(成本费用登记表!$H$4:$H$303,成本费用登记表!$D$4:$D$303,$A15,成本费用登记表!$AC$4:$AC$303,W$4)+SUMIFS(资金日记账!$I$4:$I$603,资金日记账!$G$4:$G$603,$A15,资金日记账!$U$4:$U$603,"&lt;&gt;是",资金日记账!$V$4:$V$603,W$4),2))</f>
        <v>0</v>
      </c>
      <c r="X15" s="41" t="n">
        <f aca="false">IF($A15="","",ROUND(SUMIFS(成本费用登记表!$H$4:$H$303,成本费用登记表!$D$4:$D$303,$A15,成本费用登记表!$AC$4:$AC$303,X$4)+SUMIFS(资金日记账!$I$4:$I$603,资金日记账!$G$4:$G$603,$A15,资金日记账!$U$4:$U$603,"&lt;&gt;是",资金日记账!$V$4:$V$603,X$4),2))</f>
        <v>0</v>
      </c>
      <c r="Y15" s="41" t="n">
        <f aca="false">IF($A15="","",ROUND(SUMIFS(成本费用登记表!$H$4:$H$303,成本费用登记表!$D$4:$D$303,$A15,成本费用登记表!$AC$4:$AC$303,Y$4)+SUMIFS(资金日记账!$I$4:$I$603,资金日记账!$G$4:$G$603,$A15,资金日记账!$U$4:$U$603,"&lt;&gt;是",资金日记账!$V$4:$V$603,Y$4),2))</f>
        <v>0</v>
      </c>
      <c r="Z15" s="142" t="n">
        <f aca="false">IF($A15="","",ROUND(SUM($B15:$Y15),2))</f>
        <v>910</v>
      </c>
      <c r="AA15" s="41" t="n">
        <f aca="false">IF($A15="","",ROUND(SUMIF(成本费用登记表!$D$4:$D$303,$A15,成本费用登记表!$AA$4:$AA$303)+SUMIFS(资金日记账!$I$4:$I$603,资金日记账!$G$4:$G$603,$A15,资金日记账!$U$4:$U$603,"&lt;&gt;是"),2))</f>
        <v>910</v>
      </c>
      <c r="AB15" s="41" t="n">
        <f aca="false">IF($A15="","",ROUND(N($Z15)-N($AA15),2))</f>
        <v>0</v>
      </c>
    </row>
    <row r="16" customFormat="false" ht="13.5" hidden="false" customHeight="false" outlineLevel="0" collapsed="false">
      <c r="A16" s="33" t="str">
        <f aca="false">IFERROR(INDEX(_自动清单!$X$4:$X$63,12),"")</f>
        <v>儿子消费</v>
      </c>
      <c r="B16" s="41" t="n">
        <f aca="false">IF($A16="","",ROUND(SUMIFS(成本费用登记表!$H$4:$H$303,成本费用登记表!$D$4:$D$303,$A16,成本费用登记表!$AC$4:$AC$303,B$4)+SUMIFS(资金日记账!$I$4:$I$603,资金日记账!$G$4:$G$603,$A16,资金日记账!$U$4:$U$603,"&lt;&gt;是",资金日记账!$V$4:$V$603,B$4),2))</f>
        <v>0</v>
      </c>
      <c r="C16" s="41" t="n">
        <f aca="false">IF($A16="","",ROUND(SUMIFS(成本费用登记表!$H$4:$H$303,成本费用登记表!$D$4:$D$303,$A16,成本费用登记表!$AC$4:$AC$303,C$4)+SUMIFS(资金日记账!$I$4:$I$603,资金日记账!$G$4:$G$603,$A16,资金日记账!$U$4:$U$603,"&lt;&gt;是",资金日记账!$V$4:$V$603,C$4),2))</f>
        <v>18425.5</v>
      </c>
      <c r="D16" s="41" t="n">
        <f aca="false">IF($A16="","",ROUND(SUMIFS(成本费用登记表!$H$4:$H$303,成本费用登记表!$D$4:$D$303,$A16,成本费用登记表!$AC$4:$AC$303,D$4)+SUMIFS(资金日记账!$I$4:$I$603,资金日记账!$G$4:$G$603,$A16,资金日记账!$U$4:$U$603,"&lt;&gt;是",资金日记账!$V$4:$V$603,D$4),2))</f>
        <v>0</v>
      </c>
      <c r="E16" s="41" t="n">
        <f aca="false">IF($A16="","",ROUND(SUMIFS(成本费用登记表!$H$4:$H$303,成本费用登记表!$D$4:$D$303,$A16,成本费用登记表!$AC$4:$AC$303,E$4)+SUMIFS(资金日记账!$I$4:$I$603,资金日记账!$G$4:$G$603,$A16,资金日记账!$U$4:$U$603,"&lt;&gt;是",资金日记账!$V$4:$V$603,E$4),2))</f>
        <v>0</v>
      </c>
      <c r="F16" s="41" t="n">
        <f aca="false">IF($A16="","",ROUND(SUMIFS(成本费用登记表!$H$4:$H$303,成本费用登记表!$D$4:$D$303,$A16,成本费用登记表!$AC$4:$AC$303,F$4)+SUMIFS(资金日记账!$I$4:$I$603,资金日记账!$G$4:$G$603,$A16,资金日记账!$U$4:$U$603,"&lt;&gt;是",资金日记账!$V$4:$V$603,F$4),2))</f>
        <v>0</v>
      </c>
      <c r="G16" s="41" t="n">
        <f aca="false">IF($A16="","",ROUND(SUMIFS(成本费用登记表!$H$4:$H$303,成本费用登记表!$D$4:$D$303,$A16,成本费用登记表!$AC$4:$AC$303,G$4)+SUMIFS(资金日记账!$I$4:$I$603,资金日记账!$G$4:$G$603,$A16,资金日记账!$U$4:$U$603,"&lt;&gt;是",资金日记账!$V$4:$V$603,G$4),2))</f>
        <v>0</v>
      </c>
      <c r="H16" s="41" t="n">
        <f aca="false">IF($A16="","",ROUND(SUMIFS(成本费用登记表!$H$4:$H$303,成本费用登记表!$D$4:$D$303,$A16,成本费用登记表!$AC$4:$AC$303,H$4)+SUMIFS(资金日记账!$I$4:$I$603,资金日记账!$G$4:$G$603,$A16,资金日记账!$U$4:$U$603,"&lt;&gt;是",资金日记账!$V$4:$V$603,H$4),2))</f>
        <v>0</v>
      </c>
      <c r="I16" s="41" t="n">
        <f aca="false">IF($A16="","",ROUND(SUMIFS(成本费用登记表!$H$4:$H$303,成本费用登记表!$D$4:$D$303,$A16,成本费用登记表!$AC$4:$AC$303,I$4)+SUMIFS(资金日记账!$I$4:$I$603,资金日记账!$G$4:$G$603,$A16,资金日记账!$U$4:$U$603,"&lt;&gt;是",资金日记账!$V$4:$V$603,I$4),2))</f>
        <v>0</v>
      </c>
      <c r="J16" s="41" t="n">
        <f aca="false">IF($A16="","",ROUND(SUMIFS(成本费用登记表!$H$4:$H$303,成本费用登记表!$D$4:$D$303,$A16,成本费用登记表!$AC$4:$AC$303,J$4)+SUMIFS(资金日记账!$I$4:$I$603,资金日记账!$G$4:$G$603,$A16,资金日记账!$U$4:$U$603,"&lt;&gt;是",资金日记账!$V$4:$V$603,J$4),2))</f>
        <v>0</v>
      </c>
      <c r="K16" s="41" t="n">
        <f aca="false">IF($A16="","",ROUND(SUMIFS(成本费用登记表!$H$4:$H$303,成本费用登记表!$D$4:$D$303,$A16,成本费用登记表!$AC$4:$AC$303,K$4)+SUMIFS(资金日记账!$I$4:$I$603,资金日记账!$G$4:$G$603,$A16,资金日记账!$U$4:$U$603,"&lt;&gt;是",资金日记账!$V$4:$V$603,K$4),2))</f>
        <v>0</v>
      </c>
      <c r="L16" s="41" t="n">
        <f aca="false">IF($A16="","",ROUND(SUMIFS(成本费用登记表!$H$4:$H$303,成本费用登记表!$D$4:$D$303,$A16,成本费用登记表!$AC$4:$AC$303,L$4)+SUMIFS(资金日记账!$I$4:$I$603,资金日记账!$G$4:$G$603,$A16,资金日记账!$U$4:$U$603,"&lt;&gt;是",资金日记账!$V$4:$V$603,L$4),2))</f>
        <v>0</v>
      </c>
      <c r="M16" s="41" t="n">
        <f aca="false">IF($A16="","",ROUND(SUMIFS(成本费用登记表!$H$4:$H$303,成本费用登记表!$D$4:$D$303,$A16,成本费用登记表!$AC$4:$AC$303,M$4)+SUMIFS(资金日记账!$I$4:$I$603,资金日记账!$G$4:$G$603,$A16,资金日记账!$U$4:$U$603,"&lt;&gt;是",资金日记账!$V$4:$V$603,M$4),2))</f>
        <v>0</v>
      </c>
      <c r="N16" s="41" t="n">
        <f aca="false">IF($A16="","",ROUND(SUMIFS(成本费用登记表!$H$4:$H$303,成本费用登记表!$D$4:$D$303,$A16,成本费用登记表!$AC$4:$AC$303,N$4)+SUMIFS(资金日记账!$I$4:$I$603,资金日记账!$G$4:$G$603,$A16,资金日记账!$U$4:$U$603,"&lt;&gt;是",资金日记账!$V$4:$V$603,N$4),2))</f>
        <v>0</v>
      </c>
      <c r="O16" s="41" t="n">
        <f aca="false">IF($A16="","",ROUND(SUMIFS(成本费用登记表!$H$4:$H$303,成本费用登记表!$D$4:$D$303,$A16,成本费用登记表!$AC$4:$AC$303,O$4)+SUMIFS(资金日记账!$I$4:$I$603,资金日记账!$G$4:$G$603,$A16,资金日记账!$U$4:$U$603,"&lt;&gt;是",资金日记账!$V$4:$V$603,O$4),2))</f>
        <v>0</v>
      </c>
      <c r="P16" s="41" t="n">
        <f aca="false">IF($A16="","",ROUND(SUMIFS(成本费用登记表!$H$4:$H$303,成本费用登记表!$D$4:$D$303,$A16,成本费用登记表!$AC$4:$AC$303,P$4)+SUMIFS(资金日记账!$I$4:$I$603,资金日记账!$G$4:$G$603,$A16,资金日记账!$U$4:$U$603,"&lt;&gt;是",资金日记账!$V$4:$V$603,P$4),2))</f>
        <v>0</v>
      </c>
      <c r="Q16" s="41" t="n">
        <f aca="false">IF($A16="","",ROUND(SUMIFS(成本费用登记表!$H$4:$H$303,成本费用登记表!$D$4:$D$303,$A16,成本费用登记表!$AC$4:$AC$303,Q$4)+SUMIFS(资金日记账!$I$4:$I$603,资金日记账!$G$4:$G$603,$A16,资金日记账!$U$4:$U$603,"&lt;&gt;是",资金日记账!$V$4:$V$603,Q$4),2))</f>
        <v>0</v>
      </c>
      <c r="R16" s="41" t="n">
        <f aca="false">IF($A16="","",ROUND(SUMIFS(成本费用登记表!$H$4:$H$303,成本费用登记表!$D$4:$D$303,$A16,成本费用登记表!$AC$4:$AC$303,R$4)+SUMIFS(资金日记账!$I$4:$I$603,资金日记账!$G$4:$G$603,$A16,资金日记账!$U$4:$U$603,"&lt;&gt;是",资金日记账!$V$4:$V$603,R$4),2))</f>
        <v>0</v>
      </c>
      <c r="S16" s="41" t="n">
        <f aca="false">IF($A16="","",ROUND(SUMIFS(成本费用登记表!$H$4:$H$303,成本费用登记表!$D$4:$D$303,$A16,成本费用登记表!$AC$4:$AC$303,S$4)+SUMIFS(资金日记账!$I$4:$I$603,资金日记账!$G$4:$G$603,$A16,资金日记账!$U$4:$U$603,"&lt;&gt;是",资金日记账!$V$4:$V$603,S$4),2))</f>
        <v>0</v>
      </c>
      <c r="T16" s="41" t="n">
        <f aca="false">IF($A16="","",ROUND(SUMIFS(成本费用登记表!$H$4:$H$303,成本费用登记表!$D$4:$D$303,$A16,成本费用登记表!$AC$4:$AC$303,T$4)+SUMIFS(资金日记账!$I$4:$I$603,资金日记账!$G$4:$G$603,$A16,资金日记账!$U$4:$U$603,"&lt;&gt;是",资金日记账!$V$4:$V$603,T$4),2))</f>
        <v>0</v>
      </c>
      <c r="U16" s="41" t="n">
        <f aca="false">IF($A16="","",ROUND(SUMIFS(成本费用登记表!$H$4:$H$303,成本费用登记表!$D$4:$D$303,$A16,成本费用登记表!$AC$4:$AC$303,U$4)+SUMIFS(资金日记账!$I$4:$I$603,资金日记账!$G$4:$G$603,$A16,资金日记账!$U$4:$U$603,"&lt;&gt;是",资金日记账!$V$4:$V$603,U$4),2))</f>
        <v>0</v>
      </c>
      <c r="V16" s="41" t="n">
        <f aca="false">IF($A16="","",ROUND(SUMIFS(成本费用登记表!$H$4:$H$303,成本费用登记表!$D$4:$D$303,$A16,成本费用登记表!$AC$4:$AC$303,V$4)+SUMIFS(资金日记账!$I$4:$I$603,资金日记账!$G$4:$G$603,$A16,资金日记账!$U$4:$U$603,"&lt;&gt;是",资金日记账!$V$4:$V$603,V$4),2))</f>
        <v>0</v>
      </c>
      <c r="W16" s="41" t="n">
        <f aca="false">IF($A16="","",ROUND(SUMIFS(成本费用登记表!$H$4:$H$303,成本费用登记表!$D$4:$D$303,$A16,成本费用登记表!$AC$4:$AC$303,W$4)+SUMIFS(资金日记账!$I$4:$I$603,资金日记账!$G$4:$G$603,$A16,资金日记账!$U$4:$U$603,"&lt;&gt;是",资金日记账!$V$4:$V$603,W$4),2))</f>
        <v>0</v>
      </c>
      <c r="X16" s="41" t="n">
        <f aca="false">IF($A16="","",ROUND(SUMIFS(成本费用登记表!$H$4:$H$303,成本费用登记表!$D$4:$D$303,$A16,成本费用登记表!$AC$4:$AC$303,X$4)+SUMIFS(资金日记账!$I$4:$I$603,资金日记账!$G$4:$G$603,$A16,资金日记账!$U$4:$U$603,"&lt;&gt;是",资金日记账!$V$4:$V$603,X$4),2))</f>
        <v>0</v>
      </c>
      <c r="Y16" s="41" t="n">
        <f aca="false">IF($A16="","",ROUND(SUMIFS(成本费用登记表!$H$4:$H$303,成本费用登记表!$D$4:$D$303,$A16,成本费用登记表!$AC$4:$AC$303,Y$4)+SUMIFS(资金日记账!$I$4:$I$603,资金日记账!$G$4:$G$603,$A16,资金日记账!$U$4:$U$603,"&lt;&gt;是",资金日记账!$V$4:$V$603,Y$4),2))</f>
        <v>0</v>
      </c>
      <c r="Z16" s="142" t="n">
        <f aca="false">IF($A16="","",ROUND(SUM($B16:$Y16),2))</f>
        <v>18425.5</v>
      </c>
      <c r="AA16" s="41" t="n">
        <f aca="false">IF($A16="","",ROUND(SUMIF(成本费用登记表!$D$4:$D$303,$A16,成本费用登记表!$AA$4:$AA$303)+SUMIFS(资金日记账!$I$4:$I$603,资金日记账!$G$4:$G$603,$A16,资金日记账!$U$4:$U$603,"&lt;&gt;是"),2))</f>
        <v>18425.5</v>
      </c>
      <c r="AB16" s="41" t="n">
        <f aca="false">IF($A16="","",ROUND(N($Z16)-N($AA16),2))</f>
        <v>0</v>
      </c>
    </row>
    <row r="17" customFormat="false" ht="13.5" hidden="false" customHeight="false" outlineLevel="0" collapsed="false">
      <c r="A17" s="33" t="str">
        <f aca="false">IFERROR(INDEX(_自动清单!$X$4:$X$63,13),"")</f>
        <v>吃饭</v>
      </c>
      <c r="B17" s="41" t="n">
        <f aca="false">IF($A17="","",ROUND(SUMIFS(成本费用登记表!$H$4:$H$303,成本费用登记表!$D$4:$D$303,$A17,成本费用登记表!$AC$4:$AC$303,B$4)+SUMIFS(资金日记账!$I$4:$I$603,资金日记账!$G$4:$G$603,$A17,资金日记账!$U$4:$U$603,"&lt;&gt;是",资金日记账!$V$4:$V$603,B$4),2))</f>
        <v>0</v>
      </c>
      <c r="C17" s="41" t="n">
        <f aca="false">IF($A17="","",ROUND(SUMIFS(成本费用登记表!$H$4:$H$303,成本费用登记表!$D$4:$D$303,$A17,成本费用登记表!$AC$4:$AC$303,C$4)+SUMIFS(资金日记账!$I$4:$I$603,资金日记账!$G$4:$G$603,$A17,资金日记账!$U$4:$U$603,"&lt;&gt;是",资金日记账!$V$4:$V$603,C$4),2))</f>
        <v>2054.2</v>
      </c>
      <c r="D17" s="41" t="n">
        <f aca="false">IF($A17="","",ROUND(SUMIFS(成本费用登记表!$H$4:$H$303,成本费用登记表!$D$4:$D$303,$A17,成本费用登记表!$AC$4:$AC$303,D$4)+SUMIFS(资金日记账!$I$4:$I$603,资金日记账!$G$4:$G$603,$A17,资金日记账!$U$4:$U$603,"&lt;&gt;是",资金日记账!$V$4:$V$603,D$4),2))</f>
        <v>0</v>
      </c>
      <c r="E17" s="41" t="n">
        <f aca="false">IF($A17="","",ROUND(SUMIFS(成本费用登记表!$H$4:$H$303,成本费用登记表!$D$4:$D$303,$A17,成本费用登记表!$AC$4:$AC$303,E$4)+SUMIFS(资金日记账!$I$4:$I$603,资金日记账!$G$4:$G$603,$A17,资金日记账!$U$4:$U$603,"&lt;&gt;是",资金日记账!$V$4:$V$603,E$4),2))</f>
        <v>0</v>
      </c>
      <c r="F17" s="41" t="n">
        <f aca="false">IF($A17="","",ROUND(SUMIFS(成本费用登记表!$H$4:$H$303,成本费用登记表!$D$4:$D$303,$A17,成本费用登记表!$AC$4:$AC$303,F$4)+SUMIFS(资金日记账!$I$4:$I$603,资金日记账!$G$4:$G$603,$A17,资金日记账!$U$4:$U$603,"&lt;&gt;是",资金日记账!$V$4:$V$603,F$4),2))</f>
        <v>0</v>
      </c>
      <c r="G17" s="41" t="n">
        <f aca="false">IF($A17="","",ROUND(SUMIFS(成本费用登记表!$H$4:$H$303,成本费用登记表!$D$4:$D$303,$A17,成本费用登记表!$AC$4:$AC$303,G$4)+SUMIFS(资金日记账!$I$4:$I$603,资金日记账!$G$4:$G$603,$A17,资金日记账!$U$4:$U$603,"&lt;&gt;是",资金日记账!$V$4:$V$603,G$4),2))</f>
        <v>0</v>
      </c>
      <c r="H17" s="41" t="n">
        <f aca="false">IF($A17="","",ROUND(SUMIFS(成本费用登记表!$H$4:$H$303,成本费用登记表!$D$4:$D$303,$A17,成本费用登记表!$AC$4:$AC$303,H$4)+SUMIFS(资金日记账!$I$4:$I$603,资金日记账!$G$4:$G$603,$A17,资金日记账!$U$4:$U$603,"&lt;&gt;是",资金日记账!$V$4:$V$603,H$4),2))</f>
        <v>0</v>
      </c>
      <c r="I17" s="41" t="n">
        <f aca="false">IF($A17="","",ROUND(SUMIFS(成本费用登记表!$H$4:$H$303,成本费用登记表!$D$4:$D$303,$A17,成本费用登记表!$AC$4:$AC$303,I$4)+SUMIFS(资金日记账!$I$4:$I$603,资金日记账!$G$4:$G$603,$A17,资金日记账!$U$4:$U$603,"&lt;&gt;是",资金日记账!$V$4:$V$603,I$4),2))</f>
        <v>0</v>
      </c>
      <c r="J17" s="41" t="n">
        <f aca="false">IF($A17="","",ROUND(SUMIFS(成本费用登记表!$H$4:$H$303,成本费用登记表!$D$4:$D$303,$A17,成本费用登记表!$AC$4:$AC$303,J$4)+SUMIFS(资金日记账!$I$4:$I$603,资金日记账!$G$4:$G$603,$A17,资金日记账!$U$4:$U$603,"&lt;&gt;是",资金日记账!$V$4:$V$603,J$4),2))</f>
        <v>0</v>
      </c>
      <c r="K17" s="41" t="n">
        <f aca="false">IF($A17="","",ROUND(SUMIFS(成本费用登记表!$H$4:$H$303,成本费用登记表!$D$4:$D$303,$A17,成本费用登记表!$AC$4:$AC$303,K$4)+SUMIFS(资金日记账!$I$4:$I$603,资金日记账!$G$4:$G$603,$A17,资金日记账!$U$4:$U$603,"&lt;&gt;是",资金日记账!$V$4:$V$603,K$4),2))</f>
        <v>0</v>
      </c>
      <c r="L17" s="41" t="n">
        <f aca="false">IF($A17="","",ROUND(SUMIFS(成本费用登记表!$H$4:$H$303,成本费用登记表!$D$4:$D$303,$A17,成本费用登记表!$AC$4:$AC$303,L$4)+SUMIFS(资金日记账!$I$4:$I$603,资金日记账!$G$4:$G$603,$A17,资金日记账!$U$4:$U$603,"&lt;&gt;是",资金日记账!$V$4:$V$603,L$4),2))</f>
        <v>0</v>
      </c>
      <c r="M17" s="41" t="n">
        <f aca="false">IF($A17="","",ROUND(SUMIFS(成本费用登记表!$H$4:$H$303,成本费用登记表!$D$4:$D$303,$A17,成本费用登记表!$AC$4:$AC$303,M$4)+SUMIFS(资金日记账!$I$4:$I$603,资金日记账!$G$4:$G$603,$A17,资金日记账!$U$4:$U$603,"&lt;&gt;是",资金日记账!$V$4:$V$603,M$4),2))</f>
        <v>0</v>
      </c>
      <c r="N17" s="41" t="n">
        <f aca="false">IF($A17="","",ROUND(SUMIFS(成本费用登记表!$H$4:$H$303,成本费用登记表!$D$4:$D$303,$A17,成本费用登记表!$AC$4:$AC$303,N$4)+SUMIFS(资金日记账!$I$4:$I$603,资金日记账!$G$4:$G$603,$A17,资金日记账!$U$4:$U$603,"&lt;&gt;是",资金日记账!$V$4:$V$603,N$4),2))</f>
        <v>0</v>
      </c>
      <c r="O17" s="41" t="n">
        <f aca="false">IF($A17="","",ROUND(SUMIFS(成本费用登记表!$H$4:$H$303,成本费用登记表!$D$4:$D$303,$A17,成本费用登记表!$AC$4:$AC$303,O$4)+SUMIFS(资金日记账!$I$4:$I$603,资金日记账!$G$4:$G$603,$A17,资金日记账!$U$4:$U$603,"&lt;&gt;是",资金日记账!$V$4:$V$603,O$4),2))</f>
        <v>0</v>
      </c>
      <c r="P17" s="41" t="n">
        <f aca="false">IF($A17="","",ROUND(SUMIFS(成本费用登记表!$H$4:$H$303,成本费用登记表!$D$4:$D$303,$A17,成本费用登记表!$AC$4:$AC$303,P$4)+SUMIFS(资金日记账!$I$4:$I$603,资金日记账!$G$4:$G$603,$A17,资金日记账!$U$4:$U$603,"&lt;&gt;是",资金日记账!$V$4:$V$603,P$4),2))</f>
        <v>0</v>
      </c>
      <c r="Q17" s="41" t="n">
        <f aca="false">IF($A17="","",ROUND(SUMIFS(成本费用登记表!$H$4:$H$303,成本费用登记表!$D$4:$D$303,$A17,成本费用登记表!$AC$4:$AC$303,Q$4)+SUMIFS(资金日记账!$I$4:$I$603,资金日记账!$G$4:$G$603,$A17,资金日记账!$U$4:$U$603,"&lt;&gt;是",资金日记账!$V$4:$V$603,Q$4),2))</f>
        <v>0</v>
      </c>
      <c r="R17" s="41" t="n">
        <f aca="false">IF($A17="","",ROUND(SUMIFS(成本费用登记表!$H$4:$H$303,成本费用登记表!$D$4:$D$303,$A17,成本费用登记表!$AC$4:$AC$303,R$4)+SUMIFS(资金日记账!$I$4:$I$603,资金日记账!$G$4:$G$603,$A17,资金日记账!$U$4:$U$603,"&lt;&gt;是",资金日记账!$V$4:$V$603,R$4),2))</f>
        <v>0</v>
      </c>
      <c r="S17" s="41" t="n">
        <f aca="false">IF($A17="","",ROUND(SUMIFS(成本费用登记表!$H$4:$H$303,成本费用登记表!$D$4:$D$303,$A17,成本费用登记表!$AC$4:$AC$303,S$4)+SUMIFS(资金日记账!$I$4:$I$603,资金日记账!$G$4:$G$603,$A17,资金日记账!$U$4:$U$603,"&lt;&gt;是",资金日记账!$V$4:$V$603,S$4),2))</f>
        <v>0</v>
      </c>
      <c r="T17" s="41" t="n">
        <f aca="false">IF($A17="","",ROUND(SUMIFS(成本费用登记表!$H$4:$H$303,成本费用登记表!$D$4:$D$303,$A17,成本费用登记表!$AC$4:$AC$303,T$4)+SUMIFS(资金日记账!$I$4:$I$603,资金日记账!$G$4:$G$603,$A17,资金日记账!$U$4:$U$603,"&lt;&gt;是",资金日记账!$V$4:$V$603,T$4),2))</f>
        <v>0</v>
      </c>
      <c r="U17" s="41" t="n">
        <f aca="false">IF($A17="","",ROUND(SUMIFS(成本费用登记表!$H$4:$H$303,成本费用登记表!$D$4:$D$303,$A17,成本费用登记表!$AC$4:$AC$303,U$4)+SUMIFS(资金日记账!$I$4:$I$603,资金日记账!$G$4:$G$603,$A17,资金日记账!$U$4:$U$603,"&lt;&gt;是",资金日记账!$V$4:$V$603,U$4),2))</f>
        <v>0</v>
      </c>
      <c r="V17" s="41" t="n">
        <f aca="false">IF($A17="","",ROUND(SUMIFS(成本费用登记表!$H$4:$H$303,成本费用登记表!$D$4:$D$303,$A17,成本费用登记表!$AC$4:$AC$303,V$4)+SUMIFS(资金日记账!$I$4:$I$603,资金日记账!$G$4:$G$603,$A17,资金日记账!$U$4:$U$603,"&lt;&gt;是",资金日记账!$V$4:$V$603,V$4),2))</f>
        <v>0</v>
      </c>
      <c r="W17" s="41" t="n">
        <f aca="false">IF($A17="","",ROUND(SUMIFS(成本费用登记表!$H$4:$H$303,成本费用登记表!$D$4:$D$303,$A17,成本费用登记表!$AC$4:$AC$303,W$4)+SUMIFS(资金日记账!$I$4:$I$603,资金日记账!$G$4:$G$603,$A17,资金日记账!$U$4:$U$603,"&lt;&gt;是",资金日记账!$V$4:$V$603,W$4),2))</f>
        <v>0</v>
      </c>
      <c r="X17" s="41" t="n">
        <f aca="false">IF($A17="","",ROUND(SUMIFS(成本费用登记表!$H$4:$H$303,成本费用登记表!$D$4:$D$303,$A17,成本费用登记表!$AC$4:$AC$303,X$4)+SUMIFS(资金日记账!$I$4:$I$603,资金日记账!$G$4:$G$603,$A17,资金日记账!$U$4:$U$603,"&lt;&gt;是",资金日记账!$V$4:$V$603,X$4),2))</f>
        <v>0</v>
      </c>
      <c r="Y17" s="41" t="n">
        <f aca="false">IF($A17="","",ROUND(SUMIFS(成本费用登记表!$H$4:$H$303,成本费用登记表!$D$4:$D$303,$A17,成本费用登记表!$AC$4:$AC$303,Y$4)+SUMIFS(资金日记账!$I$4:$I$603,资金日记账!$G$4:$G$603,$A17,资金日记账!$U$4:$U$603,"&lt;&gt;是",资金日记账!$V$4:$V$603,Y$4),2))</f>
        <v>0</v>
      </c>
      <c r="Z17" s="142" t="n">
        <f aca="false">IF($A17="","",ROUND(SUM($B17:$Y17),2))</f>
        <v>2054.2</v>
      </c>
      <c r="AA17" s="41" t="n">
        <f aca="false">IF($A17="","",ROUND(SUMIF(成本费用登记表!$D$4:$D$303,$A17,成本费用登记表!$AA$4:$AA$303)+SUMIFS(资金日记账!$I$4:$I$603,资金日记账!$G$4:$G$603,$A17,资金日记账!$U$4:$U$603,"&lt;&gt;是"),2))</f>
        <v>2054.2</v>
      </c>
      <c r="AB17" s="41" t="n">
        <f aca="false">IF($A17="","",ROUND(N($Z17)-N($AA17),2))</f>
        <v>0</v>
      </c>
    </row>
    <row r="18" customFormat="false" ht="13.5" hidden="false" customHeight="false" outlineLevel="0" collapsed="false">
      <c r="A18" s="33" t="str">
        <f aca="false">IFERROR(INDEX(_自动清单!$X$4:$X$63,14),"")</f>
        <v>商店</v>
      </c>
      <c r="B18" s="41" t="n">
        <f aca="false">IF($A18="","",ROUND(SUMIFS(成本费用登记表!$H$4:$H$303,成本费用登记表!$D$4:$D$303,$A18,成本费用登记表!$AC$4:$AC$303,B$4)+SUMIFS(资金日记账!$I$4:$I$603,资金日记账!$G$4:$G$603,$A18,资金日记账!$U$4:$U$603,"&lt;&gt;是",资金日记账!$V$4:$V$603,B$4),2))</f>
        <v>0</v>
      </c>
      <c r="C18" s="41" t="n">
        <f aca="false">IF($A18="","",ROUND(SUMIFS(成本费用登记表!$H$4:$H$303,成本费用登记表!$D$4:$D$303,$A18,成本费用登记表!$AC$4:$AC$303,C$4)+SUMIFS(资金日记账!$I$4:$I$603,资金日记账!$G$4:$G$603,$A18,资金日记账!$U$4:$U$603,"&lt;&gt;是",资金日记账!$V$4:$V$603,C$4),2))</f>
        <v>73.6</v>
      </c>
      <c r="D18" s="41" t="n">
        <f aca="false">IF($A18="","",ROUND(SUMIFS(成本费用登记表!$H$4:$H$303,成本费用登记表!$D$4:$D$303,$A18,成本费用登记表!$AC$4:$AC$303,D$4)+SUMIFS(资金日记账!$I$4:$I$603,资金日记账!$G$4:$G$603,$A18,资金日记账!$U$4:$U$603,"&lt;&gt;是",资金日记账!$V$4:$V$603,D$4),2))</f>
        <v>0</v>
      </c>
      <c r="E18" s="41" t="n">
        <f aca="false">IF($A18="","",ROUND(SUMIFS(成本费用登记表!$H$4:$H$303,成本费用登记表!$D$4:$D$303,$A18,成本费用登记表!$AC$4:$AC$303,E$4)+SUMIFS(资金日记账!$I$4:$I$603,资金日记账!$G$4:$G$603,$A18,资金日记账!$U$4:$U$603,"&lt;&gt;是",资金日记账!$V$4:$V$603,E$4),2))</f>
        <v>0</v>
      </c>
      <c r="F18" s="41" t="n">
        <f aca="false">IF($A18="","",ROUND(SUMIFS(成本费用登记表!$H$4:$H$303,成本费用登记表!$D$4:$D$303,$A18,成本费用登记表!$AC$4:$AC$303,F$4)+SUMIFS(资金日记账!$I$4:$I$603,资金日记账!$G$4:$G$603,$A18,资金日记账!$U$4:$U$603,"&lt;&gt;是",资金日记账!$V$4:$V$603,F$4),2))</f>
        <v>0</v>
      </c>
      <c r="G18" s="41" t="n">
        <f aca="false">IF($A18="","",ROUND(SUMIFS(成本费用登记表!$H$4:$H$303,成本费用登记表!$D$4:$D$303,$A18,成本费用登记表!$AC$4:$AC$303,G$4)+SUMIFS(资金日记账!$I$4:$I$603,资金日记账!$G$4:$G$603,$A18,资金日记账!$U$4:$U$603,"&lt;&gt;是",资金日记账!$V$4:$V$603,G$4),2))</f>
        <v>0</v>
      </c>
      <c r="H18" s="41" t="n">
        <f aca="false">IF($A18="","",ROUND(SUMIFS(成本费用登记表!$H$4:$H$303,成本费用登记表!$D$4:$D$303,$A18,成本费用登记表!$AC$4:$AC$303,H$4)+SUMIFS(资金日记账!$I$4:$I$603,资金日记账!$G$4:$G$603,$A18,资金日记账!$U$4:$U$603,"&lt;&gt;是",资金日记账!$V$4:$V$603,H$4),2))</f>
        <v>0</v>
      </c>
      <c r="I18" s="41" t="n">
        <f aca="false">IF($A18="","",ROUND(SUMIFS(成本费用登记表!$H$4:$H$303,成本费用登记表!$D$4:$D$303,$A18,成本费用登记表!$AC$4:$AC$303,I$4)+SUMIFS(资金日记账!$I$4:$I$603,资金日记账!$G$4:$G$603,$A18,资金日记账!$U$4:$U$603,"&lt;&gt;是",资金日记账!$V$4:$V$603,I$4),2))</f>
        <v>0</v>
      </c>
      <c r="J18" s="41" t="n">
        <f aca="false">IF($A18="","",ROUND(SUMIFS(成本费用登记表!$H$4:$H$303,成本费用登记表!$D$4:$D$303,$A18,成本费用登记表!$AC$4:$AC$303,J$4)+SUMIFS(资金日记账!$I$4:$I$603,资金日记账!$G$4:$G$603,$A18,资金日记账!$U$4:$U$603,"&lt;&gt;是",资金日记账!$V$4:$V$603,J$4),2))</f>
        <v>0</v>
      </c>
      <c r="K18" s="41" t="n">
        <f aca="false">IF($A18="","",ROUND(SUMIFS(成本费用登记表!$H$4:$H$303,成本费用登记表!$D$4:$D$303,$A18,成本费用登记表!$AC$4:$AC$303,K$4)+SUMIFS(资金日记账!$I$4:$I$603,资金日记账!$G$4:$G$603,$A18,资金日记账!$U$4:$U$603,"&lt;&gt;是",资金日记账!$V$4:$V$603,K$4),2))</f>
        <v>0</v>
      </c>
      <c r="L18" s="41" t="n">
        <f aca="false">IF($A18="","",ROUND(SUMIFS(成本费用登记表!$H$4:$H$303,成本费用登记表!$D$4:$D$303,$A18,成本费用登记表!$AC$4:$AC$303,L$4)+SUMIFS(资金日记账!$I$4:$I$603,资金日记账!$G$4:$G$603,$A18,资金日记账!$U$4:$U$603,"&lt;&gt;是",资金日记账!$V$4:$V$603,L$4),2))</f>
        <v>0</v>
      </c>
      <c r="M18" s="41" t="n">
        <f aca="false">IF($A18="","",ROUND(SUMIFS(成本费用登记表!$H$4:$H$303,成本费用登记表!$D$4:$D$303,$A18,成本费用登记表!$AC$4:$AC$303,M$4)+SUMIFS(资金日记账!$I$4:$I$603,资金日记账!$G$4:$G$603,$A18,资金日记账!$U$4:$U$603,"&lt;&gt;是",资金日记账!$V$4:$V$603,M$4),2))</f>
        <v>0</v>
      </c>
      <c r="N18" s="41" t="n">
        <f aca="false">IF($A18="","",ROUND(SUMIFS(成本费用登记表!$H$4:$H$303,成本费用登记表!$D$4:$D$303,$A18,成本费用登记表!$AC$4:$AC$303,N$4)+SUMIFS(资金日记账!$I$4:$I$603,资金日记账!$G$4:$G$603,$A18,资金日记账!$U$4:$U$603,"&lt;&gt;是",资金日记账!$V$4:$V$603,N$4),2))</f>
        <v>0</v>
      </c>
      <c r="O18" s="41" t="n">
        <f aca="false">IF($A18="","",ROUND(SUMIFS(成本费用登记表!$H$4:$H$303,成本费用登记表!$D$4:$D$303,$A18,成本费用登记表!$AC$4:$AC$303,O$4)+SUMIFS(资金日记账!$I$4:$I$603,资金日记账!$G$4:$G$603,$A18,资金日记账!$U$4:$U$603,"&lt;&gt;是",资金日记账!$V$4:$V$603,O$4),2))</f>
        <v>0</v>
      </c>
      <c r="P18" s="41" t="n">
        <f aca="false">IF($A18="","",ROUND(SUMIFS(成本费用登记表!$H$4:$H$303,成本费用登记表!$D$4:$D$303,$A18,成本费用登记表!$AC$4:$AC$303,P$4)+SUMIFS(资金日记账!$I$4:$I$603,资金日记账!$G$4:$G$603,$A18,资金日记账!$U$4:$U$603,"&lt;&gt;是",资金日记账!$V$4:$V$603,P$4),2))</f>
        <v>0</v>
      </c>
      <c r="Q18" s="41" t="n">
        <f aca="false">IF($A18="","",ROUND(SUMIFS(成本费用登记表!$H$4:$H$303,成本费用登记表!$D$4:$D$303,$A18,成本费用登记表!$AC$4:$AC$303,Q$4)+SUMIFS(资金日记账!$I$4:$I$603,资金日记账!$G$4:$G$603,$A18,资金日记账!$U$4:$U$603,"&lt;&gt;是",资金日记账!$V$4:$V$603,Q$4),2))</f>
        <v>0</v>
      </c>
      <c r="R18" s="41" t="n">
        <f aca="false">IF($A18="","",ROUND(SUMIFS(成本费用登记表!$H$4:$H$303,成本费用登记表!$D$4:$D$303,$A18,成本费用登记表!$AC$4:$AC$303,R$4)+SUMIFS(资金日记账!$I$4:$I$603,资金日记账!$G$4:$G$603,$A18,资金日记账!$U$4:$U$603,"&lt;&gt;是",资金日记账!$V$4:$V$603,R$4),2))</f>
        <v>0</v>
      </c>
      <c r="S18" s="41" t="n">
        <f aca="false">IF($A18="","",ROUND(SUMIFS(成本费用登记表!$H$4:$H$303,成本费用登记表!$D$4:$D$303,$A18,成本费用登记表!$AC$4:$AC$303,S$4)+SUMIFS(资金日记账!$I$4:$I$603,资金日记账!$G$4:$G$603,$A18,资金日记账!$U$4:$U$603,"&lt;&gt;是",资金日记账!$V$4:$V$603,S$4),2))</f>
        <v>0</v>
      </c>
      <c r="T18" s="41" t="n">
        <f aca="false">IF($A18="","",ROUND(SUMIFS(成本费用登记表!$H$4:$H$303,成本费用登记表!$D$4:$D$303,$A18,成本费用登记表!$AC$4:$AC$303,T$4)+SUMIFS(资金日记账!$I$4:$I$603,资金日记账!$G$4:$G$603,$A18,资金日记账!$U$4:$U$603,"&lt;&gt;是",资金日记账!$V$4:$V$603,T$4),2))</f>
        <v>0</v>
      </c>
      <c r="U18" s="41" t="n">
        <f aca="false">IF($A18="","",ROUND(SUMIFS(成本费用登记表!$H$4:$H$303,成本费用登记表!$D$4:$D$303,$A18,成本费用登记表!$AC$4:$AC$303,U$4)+SUMIFS(资金日记账!$I$4:$I$603,资金日记账!$G$4:$G$603,$A18,资金日记账!$U$4:$U$603,"&lt;&gt;是",资金日记账!$V$4:$V$603,U$4),2))</f>
        <v>0</v>
      </c>
      <c r="V18" s="41" t="n">
        <f aca="false">IF($A18="","",ROUND(SUMIFS(成本费用登记表!$H$4:$H$303,成本费用登记表!$D$4:$D$303,$A18,成本费用登记表!$AC$4:$AC$303,V$4)+SUMIFS(资金日记账!$I$4:$I$603,资金日记账!$G$4:$G$603,$A18,资金日记账!$U$4:$U$603,"&lt;&gt;是",资金日记账!$V$4:$V$603,V$4),2))</f>
        <v>0</v>
      </c>
      <c r="W18" s="41" t="n">
        <f aca="false">IF($A18="","",ROUND(SUMIFS(成本费用登记表!$H$4:$H$303,成本费用登记表!$D$4:$D$303,$A18,成本费用登记表!$AC$4:$AC$303,W$4)+SUMIFS(资金日记账!$I$4:$I$603,资金日记账!$G$4:$G$603,$A18,资金日记账!$U$4:$U$603,"&lt;&gt;是",资金日记账!$V$4:$V$603,W$4),2))</f>
        <v>0</v>
      </c>
      <c r="X18" s="41" t="n">
        <f aca="false">IF($A18="","",ROUND(SUMIFS(成本费用登记表!$H$4:$H$303,成本费用登记表!$D$4:$D$303,$A18,成本费用登记表!$AC$4:$AC$303,X$4)+SUMIFS(资金日记账!$I$4:$I$603,资金日记账!$G$4:$G$603,$A18,资金日记账!$U$4:$U$603,"&lt;&gt;是",资金日记账!$V$4:$V$603,X$4),2))</f>
        <v>0</v>
      </c>
      <c r="Y18" s="41" t="n">
        <f aca="false">IF($A18="","",ROUND(SUMIFS(成本费用登记表!$H$4:$H$303,成本费用登记表!$D$4:$D$303,$A18,成本费用登记表!$AC$4:$AC$303,Y$4)+SUMIFS(资金日记账!$I$4:$I$603,资金日记账!$G$4:$G$603,$A18,资金日记账!$U$4:$U$603,"&lt;&gt;是",资金日记账!$V$4:$V$603,Y$4),2))</f>
        <v>0</v>
      </c>
      <c r="Z18" s="142" t="n">
        <f aca="false">IF($A18="","",ROUND(SUM($B18:$Y18),2))</f>
        <v>73.6</v>
      </c>
      <c r="AA18" s="41" t="n">
        <f aca="false">IF($A18="","",ROUND(SUMIF(成本费用登记表!$D$4:$D$303,$A18,成本费用登记表!$AA$4:$AA$303)+SUMIFS(资金日记账!$I$4:$I$603,资金日记账!$G$4:$G$603,$A18,资金日记账!$U$4:$U$603,"&lt;&gt;是"),2))</f>
        <v>73.6</v>
      </c>
      <c r="AB18" s="41" t="n">
        <f aca="false">IF($A18="","",ROUND(N($Z18)-N($AA18),2))</f>
        <v>0</v>
      </c>
    </row>
    <row r="19" customFormat="false" ht="13.5" hidden="false" customHeight="false" outlineLevel="0" collapsed="false">
      <c r="A19" s="33" t="str">
        <f aca="false">IFERROR(INDEX(_自动清单!$X$4:$X$63,15),"")</f>
        <v>包装物料款</v>
      </c>
      <c r="B19" s="41" t="n">
        <f aca="false">IF($A19="","",ROUND(SUMIFS(成本费用登记表!$H$4:$H$303,成本费用登记表!$D$4:$D$303,$A19,成本费用登记表!$AC$4:$AC$303,B$4)+SUMIFS(资金日记账!$I$4:$I$603,资金日记账!$G$4:$G$603,$A19,资金日记账!$U$4:$U$603,"&lt;&gt;是",资金日记账!$V$4:$V$603,B$4),2))</f>
        <v>0</v>
      </c>
      <c r="C19" s="41" t="n">
        <f aca="false">IF($A19="","",ROUND(SUMIFS(成本费用登记表!$H$4:$H$303,成本费用登记表!$D$4:$D$303,$A19,成本费用登记表!$AC$4:$AC$303,C$4)+SUMIFS(资金日记账!$I$4:$I$603,资金日记账!$G$4:$G$603,$A19,资金日记账!$U$4:$U$603,"&lt;&gt;是",资金日记账!$V$4:$V$603,C$4),2))</f>
        <v>0</v>
      </c>
      <c r="D19" s="41" t="n">
        <f aca="false">IF($A19="","",ROUND(SUMIFS(成本费用登记表!$H$4:$H$303,成本费用登记表!$D$4:$D$303,$A19,成本费用登记表!$AC$4:$AC$303,D$4)+SUMIFS(资金日记账!$I$4:$I$603,资金日记账!$G$4:$G$603,$A19,资金日记账!$U$4:$U$603,"&lt;&gt;是",资金日记账!$V$4:$V$603,D$4),2))</f>
        <v>0</v>
      </c>
      <c r="E19" s="41" t="n">
        <f aca="false">IF($A19="","",ROUND(SUMIFS(成本费用登记表!$H$4:$H$303,成本费用登记表!$D$4:$D$303,$A19,成本费用登记表!$AC$4:$AC$303,E$4)+SUMIFS(资金日记账!$I$4:$I$603,资金日记账!$G$4:$G$603,$A19,资金日记账!$U$4:$U$603,"&lt;&gt;是",资金日记账!$V$4:$V$603,E$4),2))</f>
        <v>0</v>
      </c>
      <c r="F19" s="41" t="n">
        <f aca="false">IF($A19="","",ROUND(SUMIFS(成本费用登记表!$H$4:$H$303,成本费用登记表!$D$4:$D$303,$A19,成本费用登记表!$AC$4:$AC$303,F$4)+SUMIFS(资金日记账!$I$4:$I$603,资金日记账!$G$4:$G$603,$A19,资金日记账!$U$4:$U$603,"&lt;&gt;是",资金日记账!$V$4:$V$603,F$4),2))</f>
        <v>0</v>
      </c>
      <c r="G19" s="41" t="n">
        <f aca="false">IF($A19="","",ROUND(SUMIFS(成本费用登记表!$H$4:$H$303,成本费用登记表!$D$4:$D$303,$A19,成本费用登记表!$AC$4:$AC$303,G$4)+SUMIFS(资金日记账!$I$4:$I$603,资金日记账!$G$4:$G$603,$A19,资金日记账!$U$4:$U$603,"&lt;&gt;是",资金日记账!$V$4:$V$603,G$4),2))</f>
        <v>0</v>
      </c>
      <c r="H19" s="41" t="n">
        <f aca="false">IF($A19="","",ROUND(SUMIFS(成本费用登记表!$H$4:$H$303,成本费用登记表!$D$4:$D$303,$A19,成本费用登记表!$AC$4:$AC$303,H$4)+SUMIFS(资金日记账!$I$4:$I$603,资金日记账!$G$4:$G$603,$A19,资金日记账!$U$4:$U$603,"&lt;&gt;是",资金日记账!$V$4:$V$603,H$4),2))</f>
        <v>0</v>
      </c>
      <c r="I19" s="41" t="n">
        <f aca="false">IF($A19="","",ROUND(SUMIFS(成本费用登记表!$H$4:$H$303,成本费用登记表!$D$4:$D$303,$A19,成本费用登记表!$AC$4:$AC$303,I$4)+SUMIFS(资金日记账!$I$4:$I$603,资金日记账!$G$4:$G$603,$A19,资金日记账!$U$4:$U$603,"&lt;&gt;是",资金日记账!$V$4:$V$603,I$4),2))</f>
        <v>0</v>
      </c>
      <c r="J19" s="41" t="n">
        <f aca="false">IF($A19="","",ROUND(SUMIFS(成本费用登记表!$H$4:$H$303,成本费用登记表!$D$4:$D$303,$A19,成本费用登记表!$AC$4:$AC$303,J$4)+SUMIFS(资金日记账!$I$4:$I$603,资金日记账!$G$4:$G$603,$A19,资金日记账!$U$4:$U$603,"&lt;&gt;是",资金日记账!$V$4:$V$603,J$4),2))</f>
        <v>0</v>
      </c>
      <c r="K19" s="41" t="n">
        <f aca="false">IF($A19="","",ROUND(SUMIFS(成本费用登记表!$H$4:$H$303,成本费用登记表!$D$4:$D$303,$A19,成本费用登记表!$AC$4:$AC$303,K$4)+SUMIFS(资金日记账!$I$4:$I$603,资金日记账!$G$4:$G$603,$A19,资金日记账!$U$4:$U$603,"&lt;&gt;是",资金日记账!$V$4:$V$603,K$4),2))</f>
        <v>0</v>
      </c>
      <c r="L19" s="41" t="n">
        <f aca="false">IF($A19="","",ROUND(SUMIFS(成本费用登记表!$H$4:$H$303,成本费用登记表!$D$4:$D$303,$A19,成本费用登记表!$AC$4:$AC$303,L$4)+SUMIFS(资金日记账!$I$4:$I$603,资金日记账!$G$4:$G$603,$A19,资金日记账!$U$4:$U$603,"&lt;&gt;是",资金日记账!$V$4:$V$603,L$4),2))</f>
        <v>0</v>
      </c>
      <c r="M19" s="41" t="n">
        <f aca="false">IF($A19="","",ROUND(SUMIFS(成本费用登记表!$H$4:$H$303,成本费用登记表!$D$4:$D$303,$A19,成本费用登记表!$AC$4:$AC$303,M$4)+SUMIFS(资金日记账!$I$4:$I$603,资金日记账!$G$4:$G$603,$A19,资金日记账!$U$4:$U$603,"&lt;&gt;是",资金日记账!$V$4:$V$603,M$4),2))</f>
        <v>0</v>
      </c>
      <c r="N19" s="41" t="n">
        <f aca="false">IF($A19="","",ROUND(SUMIFS(成本费用登记表!$H$4:$H$303,成本费用登记表!$D$4:$D$303,$A19,成本费用登记表!$AC$4:$AC$303,N$4)+SUMIFS(资金日记账!$I$4:$I$603,资金日记账!$G$4:$G$603,$A19,资金日记账!$U$4:$U$603,"&lt;&gt;是",资金日记账!$V$4:$V$603,N$4),2))</f>
        <v>0</v>
      </c>
      <c r="O19" s="41" t="n">
        <f aca="false">IF($A19="","",ROUND(SUMIFS(成本费用登记表!$H$4:$H$303,成本费用登记表!$D$4:$D$303,$A19,成本费用登记表!$AC$4:$AC$303,O$4)+SUMIFS(资金日记账!$I$4:$I$603,资金日记账!$G$4:$G$603,$A19,资金日记账!$U$4:$U$603,"&lt;&gt;是",资金日记账!$V$4:$V$603,O$4),2))</f>
        <v>0</v>
      </c>
      <c r="P19" s="41" t="n">
        <f aca="false">IF($A19="","",ROUND(SUMIFS(成本费用登记表!$H$4:$H$303,成本费用登记表!$D$4:$D$303,$A19,成本费用登记表!$AC$4:$AC$303,P$4)+SUMIFS(资金日记账!$I$4:$I$603,资金日记账!$G$4:$G$603,$A19,资金日记账!$U$4:$U$603,"&lt;&gt;是",资金日记账!$V$4:$V$603,P$4),2))</f>
        <v>0</v>
      </c>
      <c r="Q19" s="41" t="n">
        <f aca="false">IF($A19="","",ROUND(SUMIFS(成本费用登记表!$H$4:$H$303,成本费用登记表!$D$4:$D$303,$A19,成本费用登记表!$AC$4:$AC$303,Q$4)+SUMIFS(资金日记账!$I$4:$I$603,资金日记账!$G$4:$G$603,$A19,资金日记账!$U$4:$U$603,"&lt;&gt;是",资金日记账!$V$4:$V$603,Q$4),2))</f>
        <v>0</v>
      </c>
      <c r="R19" s="41" t="n">
        <f aca="false">IF($A19="","",ROUND(SUMIFS(成本费用登记表!$H$4:$H$303,成本费用登记表!$D$4:$D$303,$A19,成本费用登记表!$AC$4:$AC$303,R$4)+SUMIFS(资金日记账!$I$4:$I$603,资金日记账!$G$4:$G$603,$A19,资金日记账!$U$4:$U$603,"&lt;&gt;是",资金日记账!$V$4:$V$603,R$4),2))</f>
        <v>0</v>
      </c>
      <c r="S19" s="41" t="n">
        <f aca="false">IF($A19="","",ROUND(SUMIFS(成本费用登记表!$H$4:$H$303,成本费用登记表!$D$4:$D$303,$A19,成本费用登记表!$AC$4:$AC$303,S$4)+SUMIFS(资金日记账!$I$4:$I$603,资金日记账!$G$4:$G$603,$A19,资金日记账!$U$4:$U$603,"&lt;&gt;是",资金日记账!$V$4:$V$603,S$4),2))</f>
        <v>0</v>
      </c>
      <c r="T19" s="41" t="n">
        <f aca="false">IF($A19="","",ROUND(SUMIFS(成本费用登记表!$H$4:$H$303,成本费用登记表!$D$4:$D$303,$A19,成本费用登记表!$AC$4:$AC$303,T$4)+SUMIFS(资金日记账!$I$4:$I$603,资金日记账!$G$4:$G$603,$A19,资金日记账!$U$4:$U$603,"&lt;&gt;是",资金日记账!$V$4:$V$603,T$4),2))</f>
        <v>0</v>
      </c>
      <c r="U19" s="41" t="n">
        <f aca="false">IF($A19="","",ROUND(SUMIFS(成本费用登记表!$H$4:$H$303,成本费用登记表!$D$4:$D$303,$A19,成本费用登记表!$AC$4:$AC$303,U$4)+SUMIFS(资金日记账!$I$4:$I$603,资金日记账!$G$4:$G$603,$A19,资金日记账!$U$4:$U$603,"&lt;&gt;是",资金日记账!$V$4:$V$603,U$4),2))</f>
        <v>0</v>
      </c>
      <c r="V19" s="41" t="n">
        <f aca="false">IF($A19="","",ROUND(SUMIFS(成本费用登记表!$H$4:$H$303,成本费用登记表!$D$4:$D$303,$A19,成本费用登记表!$AC$4:$AC$303,V$4)+SUMIFS(资金日记账!$I$4:$I$603,资金日记账!$G$4:$G$603,$A19,资金日记账!$U$4:$U$603,"&lt;&gt;是",资金日记账!$V$4:$V$603,V$4),2))</f>
        <v>0</v>
      </c>
      <c r="W19" s="41" t="n">
        <f aca="false">IF($A19="","",ROUND(SUMIFS(成本费用登记表!$H$4:$H$303,成本费用登记表!$D$4:$D$303,$A19,成本费用登记表!$AC$4:$AC$303,W$4)+SUMIFS(资金日记账!$I$4:$I$603,资金日记账!$G$4:$G$603,$A19,资金日记账!$U$4:$U$603,"&lt;&gt;是",资金日记账!$V$4:$V$603,W$4),2))</f>
        <v>0</v>
      </c>
      <c r="X19" s="41" t="n">
        <f aca="false">IF($A19="","",ROUND(SUMIFS(成本费用登记表!$H$4:$H$303,成本费用登记表!$D$4:$D$303,$A19,成本费用登记表!$AC$4:$AC$303,X$4)+SUMIFS(资金日记账!$I$4:$I$603,资金日记账!$G$4:$G$603,$A19,资金日记账!$U$4:$U$603,"&lt;&gt;是",资金日记账!$V$4:$V$603,X$4),2))</f>
        <v>0</v>
      </c>
      <c r="Y19" s="41" t="n">
        <f aca="false">IF($A19="","",ROUND(SUMIFS(成本费用登记表!$H$4:$H$303,成本费用登记表!$D$4:$D$303,$A19,成本费用登记表!$AC$4:$AC$303,Y$4)+SUMIFS(资金日记账!$I$4:$I$603,资金日记账!$G$4:$G$603,$A19,资金日记账!$U$4:$U$603,"&lt;&gt;是",资金日记账!$V$4:$V$603,Y$4),2))</f>
        <v>0</v>
      </c>
      <c r="Z19" s="142" t="n">
        <f aca="false">IF($A19="","",ROUND(SUM($B19:$Y19),2))</f>
        <v>0</v>
      </c>
      <c r="AA19" s="41" t="n">
        <f aca="false">IF($A19="","",ROUND(SUMIF(成本费用登记表!$D$4:$D$303,$A19,成本费用登记表!$AA$4:$AA$303)+SUMIFS(资金日记账!$I$4:$I$603,资金日记账!$G$4:$G$603,$A19,资金日记账!$U$4:$U$603,"&lt;&gt;是"),2))</f>
        <v>0</v>
      </c>
      <c r="AB19" s="41" t="n">
        <f aca="false">IF($A19="","",ROUND(N($Z19)-N($AA19),2))</f>
        <v>0</v>
      </c>
    </row>
    <row r="20" customFormat="false" ht="13.5" hidden="false" customHeight="false" outlineLevel="0" collapsed="false">
      <c r="A20" s="33" t="str">
        <f aca="false">IFERROR(INDEX(_自动清单!$X$4:$X$63,16),"")</f>
        <v>快递费</v>
      </c>
      <c r="B20" s="41" t="n">
        <f aca="false">IF($A20="","",ROUND(SUMIFS(成本费用登记表!$H$4:$H$303,成本费用登记表!$D$4:$D$303,$A20,成本费用登记表!$AC$4:$AC$303,B$4)+SUMIFS(资金日记账!$I$4:$I$603,资金日记账!$G$4:$G$603,$A20,资金日记账!$U$4:$U$603,"&lt;&gt;是",资金日记账!$V$4:$V$603,B$4),2))</f>
        <v>0</v>
      </c>
      <c r="C20" s="41" t="n">
        <f aca="false">IF($A20="","",ROUND(SUMIFS(成本费用登记表!$H$4:$H$303,成本费用登记表!$D$4:$D$303,$A20,成本费用登记表!$AC$4:$AC$303,C$4)+SUMIFS(资金日记账!$I$4:$I$603,资金日记账!$G$4:$G$603,$A20,资金日记账!$U$4:$U$603,"&lt;&gt;是",资金日记账!$V$4:$V$603,C$4),2))</f>
        <v>14</v>
      </c>
      <c r="D20" s="41" t="n">
        <f aca="false">IF($A20="","",ROUND(SUMIFS(成本费用登记表!$H$4:$H$303,成本费用登记表!$D$4:$D$303,$A20,成本费用登记表!$AC$4:$AC$303,D$4)+SUMIFS(资金日记账!$I$4:$I$603,资金日记账!$G$4:$G$603,$A20,资金日记账!$U$4:$U$603,"&lt;&gt;是",资金日记账!$V$4:$V$603,D$4),2))</f>
        <v>0</v>
      </c>
      <c r="E20" s="41" t="n">
        <f aca="false">IF($A20="","",ROUND(SUMIFS(成本费用登记表!$H$4:$H$303,成本费用登记表!$D$4:$D$303,$A20,成本费用登记表!$AC$4:$AC$303,E$4)+SUMIFS(资金日记账!$I$4:$I$603,资金日记账!$G$4:$G$603,$A20,资金日记账!$U$4:$U$603,"&lt;&gt;是",资金日记账!$V$4:$V$603,E$4),2))</f>
        <v>0</v>
      </c>
      <c r="F20" s="41" t="n">
        <f aca="false">IF($A20="","",ROUND(SUMIFS(成本费用登记表!$H$4:$H$303,成本费用登记表!$D$4:$D$303,$A20,成本费用登记表!$AC$4:$AC$303,F$4)+SUMIFS(资金日记账!$I$4:$I$603,资金日记账!$G$4:$G$603,$A20,资金日记账!$U$4:$U$603,"&lt;&gt;是",资金日记账!$V$4:$V$603,F$4),2))</f>
        <v>0</v>
      </c>
      <c r="G20" s="41" t="n">
        <f aca="false">IF($A20="","",ROUND(SUMIFS(成本费用登记表!$H$4:$H$303,成本费用登记表!$D$4:$D$303,$A20,成本费用登记表!$AC$4:$AC$303,G$4)+SUMIFS(资金日记账!$I$4:$I$603,资金日记账!$G$4:$G$603,$A20,资金日记账!$U$4:$U$603,"&lt;&gt;是",资金日记账!$V$4:$V$603,G$4),2))</f>
        <v>0</v>
      </c>
      <c r="H20" s="41" t="n">
        <f aca="false">IF($A20="","",ROUND(SUMIFS(成本费用登记表!$H$4:$H$303,成本费用登记表!$D$4:$D$303,$A20,成本费用登记表!$AC$4:$AC$303,H$4)+SUMIFS(资金日记账!$I$4:$I$603,资金日记账!$G$4:$G$603,$A20,资金日记账!$U$4:$U$603,"&lt;&gt;是",资金日记账!$V$4:$V$603,H$4),2))</f>
        <v>0</v>
      </c>
      <c r="I20" s="41" t="n">
        <f aca="false">IF($A20="","",ROUND(SUMIFS(成本费用登记表!$H$4:$H$303,成本费用登记表!$D$4:$D$303,$A20,成本费用登记表!$AC$4:$AC$303,I$4)+SUMIFS(资金日记账!$I$4:$I$603,资金日记账!$G$4:$G$603,$A20,资金日记账!$U$4:$U$603,"&lt;&gt;是",资金日记账!$V$4:$V$603,I$4),2))</f>
        <v>0</v>
      </c>
      <c r="J20" s="41" t="n">
        <f aca="false">IF($A20="","",ROUND(SUMIFS(成本费用登记表!$H$4:$H$303,成本费用登记表!$D$4:$D$303,$A20,成本费用登记表!$AC$4:$AC$303,J$4)+SUMIFS(资金日记账!$I$4:$I$603,资金日记账!$G$4:$G$603,$A20,资金日记账!$U$4:$U$603,"&lt;&gt;是",资金日记账!$V$4:$V$603,J$4),2))</f>
        <v>0</v>
      </c>
      <c r="K20" s="41" t="n">
        <f aca="false">IF($A20="","",ROUND(SUMIFS(成本费用登记表!$H$4:$H$303,成本费用登记表!$D$4:$D$303,$A20,成本费用登记表!$AC$4:$AC$303,K$4)+SUMIFS(资金日记账!$I$4:$I$603,资金日记账!$G$4:$G$603,$A20,资金日记账!$U$4:$U$603,"&lt;&gt;是",资金日记账!$V$4:$V$603,K$4),2))</f>
        <v>0</v>
      </c>
      <c r="L20" s="41" t="n">
        <f aca="false">IF($A20="","",ROUND(SUMIFS(成本费用登记表!$H$4:$H$303,成本费用登记表!$D$4:$D$303,$A20,成本费用登记表!$AC$4:$AC$303,L$4)+SUMIFS(资金日记账!$I$4:$I$603,资金日记账!$G$4:$G$603,$A20,资金日记账!$U$4:$U$603,"&lt;&gt;是",资金日记账!$V$4:$V$603,L$4),2))</f>
        <v>0</v>
      </c>
      <c r="M20" s="41" t="n">
        <f aca="false">IF($A20="","",ROUND(SUMIFS(成本费用登记表!$H$4:$H$303,成本费用登记表!$D$4:$D$303,$A20,成本费用登记表!$AC$4:$AC$303,M$4)+SUMIFS(资金日记账!$I$4:$I$603,资金日记账!$G$4:$G$603,$A20,资金日记账!$U$4:$U$603,"&lt;&gt;是",资金日记账!$V$4:$V$603,M$4),2))</f>
        <v>0</v>
      </c>
      <c r="N20" s="41" t="n">
        <f aca="false">IF($A20="","",ROUND(SUMIFS(成本费用登记表!$H$4:$H$303,成本费用登记表!$D$4:$D$303,$A20,成本费用登记表!$AC$4:$AC$303,N$4)+SUMIFS(资金日记账!$I$4:$I$603,资金日记账!$G$4:$G$603,$A20,资金日记账!$U$4:$U$603,"&lt;&gt;是",资金日记账!$V$4:$V$603,N$4),2))</f>
        <v>0</v>
      </c>
      <c r="O20" s="41" t="n">
        <f aca="false">IF($A20="","",ROUND(SUMIFS(成本费用登记表!$H$4:$H$303,成本费用登记表!$D$4:$D$303,$A20,成本费用登记表!$AC$4:$AC$303,O$4)+SUMIFS(资金日记账!$I$4:$I$603,资金日记账!$G$4:$G$603,$A20,资金日记账!$U$4:$U$603,"&lt;&gt;是",资金日记账!$V$4:$V$603,O$4),2))</f>
        <v>0</v>
      </c>
      <c r="P20" s="41" t="n">
        <f aca="false">IF($A20="","",ROUND(SUMIFS(成本费用登记表!$H$4:$H$303,成本费用登记表!$D$4:$D$303,$A20,成本费用登记表!$AC$4:$AC$303,P$4)+SUMIFS(资金日记账!$I$4:$I$603,资金日记账!$G$4:$G$603,$A20,资金日记账!$U$4:$U$603,"&lt;&gt;是",资金日记账!$V$4:$V$603,P$4),2))</f>
        <v>0</v>
      </c>
      <c r="Q20" s="41" t="n">
        <f aca="false">IF($A20="","",ROUND(SUMIFS(成本费用登记表!$H$4:$H$303,成本费用登记表!$D$4:$D$303,$A20,成本费用登记表!$AC$4:$AC$303,Q$4)+SUMIFS(资金日记账!$I$4:$I$603,资金日记账!$G$4:$G$603,$A20,资金日记账!$U$4:$U$603,"&lt;&gt;是",资金日记账!$V$4:$V$603,Q$4),2))</f>
        <v>0</v>
      </c>
      <c r="R20" s="41" t="n">
        <f aca="false">IF($A20="","",ROUND(SUMIFS(成本费用登记表!$H$4:$H$303,成本费用登记表!$D$4:$D$303,$A20,成本费用登记表!$AC$4:$AC$303,R$4)+SUMIFS(资金日记账!$I$4:$I$603,资金日记账!$G$4:$G$603,$A20,资金日记账!$U$4:$U$603,"&lt;&gt;是",资金日记账!$V$4:$V$603,R$4),2))</f>
        <v>0</v>
      </c>
      <c r="S20" s="41" t="n">
        <f aca="false">IF($A20="","",ROUND(SUMIFS(成本费用登记表!$H$4:$H$303,成本费用登记表!$D$4:$D$303,$A20,成本费用登记表!$AC$4:$AC$303,S$4)+SUMIFS(资金日记账!$I$4:$I$603,资金日记账!$G$4:$G$603,$A20,资金日记账!$U$4:$U$603,"&lt;&gt;是",资金日记账!$V$4:$V$603,S$4),2))</f>
        <v>0</v>
      </c>
      <c r="T20" s="41" t="n">
        <f aca="false">IF($A20="","",ROUND(SUMIFS(成本费用登记表!$H$4:$H$303,成本费用登记表!$D$4:$D$303,$A20,成本费用登记表!$AC$4:$AC$303,T$4)+SUMIFS(资金日记账!$I$4:$I$603,资金日记账!$G$4:$G$603,$A20,资金日记账!$U$4:$U$603,"&lt;&gt;是",资金日记账!$V$4:$V$603,T$4),2))</f>
        <v>0</v>
      </c>
      <c r="U20" s="41" t="n">
        <f aca="false">IF($A20="","",ROUND(SUMIFS(成本费用登记表!$H$4:$H$303,成本费用登记表!$D$4:$D$303,$A20,成本费用登记表!$AC$4:$AC$303,U$4)+SUMIFS(资金日记账!$I$4:$I$603,资金日记账!$G$4:$G$603,$A20,资金日记账!$U$4:$U$603,"&lt;&gt;是",资金日记账!$V$4:$V$603,U$4),2))</f>
        <v>0</v>
      </c>
      <c r="V20" s="41" t="n">
        <f aca="false">IF($A20="","",ROUND(SUMIFS(成本费用登记表!$H$4:$H$303,成本费用登记表!$D$4:$D$303,$A20,成本费用登记表!$AC$4:$AC$303,V$4)+SUMIFS(资金日记账!$I$4:$I$603,资金日记账!$G$4:$G$603,$A20,资金日记账!$U$4:$U$603,"&lt;&gt;是",资金日记账!$V$4:$V$603,V$4),2))</f>
        <v>0</v>
      </c>
      <c r="W20" s="41" t="n">
        <f aca="false">IF($A20="","",ROUND(SUMIFS(成本费用登记表!$H$4:$H$303,成本费用登记表!$D$4:$D$303,$A20,成本费用登记表!$AC$4:$AC$303,W$4)+SUMIFS(资金日记账!$I$4:$I$603,资金日记账!$G$4:$G$603,$A20,资金日记账!$U$4:$U$603,"&lt;&gt;是",资金日记账!$V$4:$V$603,W$4),2))</f>
        <v>0</v>
      </c>
      <c r="X20" s="41" t="n">
        <f aca="false">IF($A20="","",ROUND(SUMIFS(成本费用登记表!$H$4:$H$303,成本费用登记表!$D$4:$D$303,$A20,成本费用登记表!$AC$4:$AC$303,X$4)+SUMIFS(资金日记账!$I$4:$I$603,资金日记账!$G$4:$G$603,$A20,资金日记账!$U$4:$U$603,"&lt;&gt;是",资金日记账!$V$4:$V$603,X$4),2))</f>
        <v>0</v>
      </c>
      <c r="Y20" s="41" t="n">
        <f aca="false">IF($A20="","",ROUND(SUMIFS(成本费用登记表!$H$4:$H$303,成本费用登记表!$D$4:$D$303,$A20,成本费用登记表!$AC$4:$AC$303,Y$4)+SUMIFS(资金日记账!$I$4:$I$603,资金日记账!$G$4:$G$603,$A20,资金日记账!$U$4:$U$603,"&lt;&gt;是",资金日记账!$V$4:$V$603,Y$4),2))</f>
        <v>0</v>
      </c>
      <c r="Z20" s="142" t="n">
        <f aca="false">IF($A20="","",ROUND(SUM($B20:$Y20),2))</f>
        <v>14</v>
      </c>
      <c r="AA20" s="41" t="n">
        <f aca="false">IF($A20="","",ROUND(SUMIF(成本费用登记表!$D$4:$D$303,$A20,成本费用登记表!$AA$4:$AA$303)+SUMIFS(资金日记账!$I$4:$I$603,资金日记账!$G$4:$G$603,$A20,资金日记账!$U$4:$U$603,"&lt;&gt;是"),2))</f>
        <v>14</v>
      </c>
      <c r="AB20" s="41" t="n">
        <f aca="false">IF($A20="","",ROUND(N($Z20)-N($AA20),2))</f>
        <v>0</v>
      </c>
    </row>
    <row r="21" customFormat="false" ht="13.5" hidden="false" customHeight="false" outlineLevel="0" collapsed="false">
      <c r="A21" s="33" t="str">
        <f aca="false">IFERROR(INDEX(_自动清单!$X$4:$X$63,17),"")</f>
        <v>还款</v>
      </c>
      <c r="B21" s="41" t="n">
        <f aca="false">IF($A21="","",ROUND(SUMIFS(成本费用登记表!$H$4:$H$303,成本费用登记表!$D$4:$D$303,$A21,成本费用登记表!$AC$4:$AC$303,B$4)+SUMIFS(资金日记账!$I$4:$I$603,资金日记账!$G$4:$G$603,$A21,资金日记账!$U$4:$U$603,"&lt;&gt;是",资金日记账!$V$4:$V$603,B$4),2))</f>
        <v>0</v>
      </c>
      <c r="C21" s="41" t="n">
        <f aca="false">IF($A21="","",ROUND(SUMIFS(成本费用登记表!$H$4:$H$303,成本费用登记表!$D$4:$D$303,$A21,成本费用登记表!$AC$4:$AC$303,C$4)+SUMIFS(资金日记账!$I$4:$I$603,资金日记账!$G$4:$G$603,$A21,资金日记账!$U$4:$U$603,"&lt;&gt;是",资金日记账!$V$4:$V$603,C$4),2))</f>
        <v>100000</v>
      </c>
      <c r="D21" s="41" t="n">
        <f aca="false">IF($A21="","",ROUND(SUMIFS(成本费用登记表!$H$4:$H$303,成本费用登记表!$D$4:$D$303,$A21,成本费用登记表!$AC$4:$AC$303,D$4)+SUMIFS(资金日记账!$I$4:$I$603,资金日记账!$G$4:$G$603,$A21,资金日记账!$U$4:$U$603,"&lt;&gt;是",资金日记账!$V$4:$V$603,D$4),2))</f>
        <v>0</v>
      </c>
      <c r="E21" s="41" t="n">
        <f aca="false">IF($A21="","",ROUND(SUMIFS(成本费用登记表!$H$4:$H$303,成本费用登记表!$D$4:$D$303,$A21,成本费用登记表!$AC$4:$AC$303,E$4)+SUMIFS(资金日记账!$I$4:$I$603,资金日记账!$G$4:$G$603,$A21,资金日记账!$U$4:$U$603,"&lt;&gt;是",资金日记账!$V$4:$V$603,E$4),2))</f>
        <v>0</v>
      </c>
      <c r="F21" s="41" t="n">
        <f aca="false">IF($A21="","",ROUND(SUMIFS(成本费用登记表!$H$4:$H$303,成本费用登记表!$D$4:$D$303,$A21,成本费用登记表!$AC$4:$AC$303,F$4)+SUMIFS(资金日记账!$I$4:$I$603,资金日记账!$G$4:$G$603,$A21,资金日记账!$U$4:$U$603,"&lt;&gt;是",资金日记账!$V$4:$V$603,F$4),2))</f>
        <v>0</v>
      </c>
      <c r="G21" s="41" t="n">
        <f aca="false">IF($A21="","",ROUND(SUMIFS(成本费用登记表!$H$4:$H$303,成本费用登记表!$D$4:$D$303,$A21,成本费用登记表!$AC$4:$AC$303,G$4)+SUMIFS(资金日记账!$I$4:$I$603,资金日记账!$G$4:$G$603,$A21,资金日记账!$U$4:$U$603,"&lt;&gt;是",资金日记账!$V$4:$V$603,G$4),2))</f>
        <v>0</v>
      </c>
      <c r="H21" s="41" t="n">
        <f aca="false">IF($A21="","",ROUND(SUMIFS(成本费用登记表!$H$4:$H$303,成本费用登记表!$D$4:$D$303,$A21,成本费用登记表!$AC$4:$AC$303,H$4)+SUMIFS(资金日记账!$I$4:$I$603,资金日记账!$G$4:$G$603,$A21,资金日记账!$U$4:$U$603,"&lt;&gt;是",资金日记账!$V$4:$V$603,H$4),2))</f>
        <v>0</v>
      </c>
      <c r="I21" s="41" t="n">
        <f aca="false">IF($A21="","",ROUND(SUMIFS(成本费用登记表!$H$4:$H$303,成本费用登记表!$D$4:$D$303,$A21,成本费用登记表!$AC$4:$AC$303,I$4)+SUMIFS(资金日记账!$I$4:$I$603,资金日记账!$G$4:$G$603,$A21,资金日记账!$U$4:$U$603,"&lt;&gt;是",资金日记账!$V$4:$V$603,I$4),2))</f>
        <v>0</v>
      </c>
      <c r="J21" s="41" t="n">
        <f aca="false">IF($A21="","",ROUND(SUMIFS(成本费用登记表!$H$4:$H$303,成本费用登记表!$D$4:$D$303,$A21,成本费用登记表!$AC$4:$AC$303,J$4)+SUMIFS(资金日记账!$I$4:$I$603,资金日记账!$G$4:$G$603,$A21,资金日记账!$U$4:$U$603,"&lt;&gt;是",资金日记账!$V$4:$V$603,J$4),2))</f>
        <v>0</v>
      </c>
      <c r="K21" s="41" t="n">
        <f aca="false">IF($A21="","",ROUND(SUMIFS(成本费用登记表!$H$4:$H$303,成本费用登记表!$D$4:$D$303,$A21,成本费用登记表!$AC$4:$AC$303,K$4)+SUMIFS(资金日记账!$I$4:$I$603,资金日记账!$G$4:$G$603,$A21,资金日记账!$U$4:$U$603,"&lt;&gt;是",资金日记账!$V$4:$V$603,K$4),2))</f>
        <v>0</v>
      </c>
      <c r="L21" s="41" t="n">
        <f aca="false">IF($A21="","",ROUND(SUMIFS(成本费用登记表!$H$4:$H$303,成本费用登记表!$D$4:$D$303,$A21,成本费用登记表!$AC$4:$AC$303,L$4)+SUMIFS(资金日记账!$I$4:$I$603,资金日记账!$G$4:$G$603,$A21,资金日记账!$U$4:$U$603,"&lt;&gt;是",资金日记账!$V$4:$V$603,L$4),2))</f>
        <v>0</v>
      </c>
      <c r="M21" s="41" t="n">
        <f aca="false">IF($A21="","",ROUND(SUMIFS(成本费用登记表!$H$4:$H$303,成本费用登记表!$D$4:$D$303,$A21,成本费用登记表!$AC$4:$AC$303,M$4)+SUMIFS(资金日记账!$I$4:$I$603,资金日记账!$G$4:$G$603,$A21,资金日记账!$U$4:$U$603,"&lt;&gt;是",资金日记账!$V$4:$V$603,M$4),2))</f>
        <v>0</v>
      </c>
      <c r="N21" s="41" t="n">
        <f aca="false">IF($A21="","",ROUND(SUMIFS(成本费用登记表!$H$4:$H$303,成本费用登记表!$D$4:$D$303,$A21,成本费用登记表!$AC$4:$AC$303,N$4)+SUMIFS(资金日记账!$I$4:$I$603,资金日记账!$G$4:$G$603,$A21,资金日记账!$U$4:$U$603,"&lt;&gt;是",资金日记账!$V$4:$V$603,N$4),2))</f>
        <v>0</v>
      </c>
      <c r="O21" s="41" t="n">
        <f aca="false">IF($A21="","",ROUND(SUMIFS(成本费用登记表!$H$4:$H$303,成本费用登记表!$D$4:$D$303,$A21,成本费用登记表!$AC$4:$AC$303,O$4)+SUMIFS(资金日记账!$I$4:$I$603,资金日记账!$G$4:$G$603,$A21,资金日记账!$U$4:$U$603,"&lt;&gt;是",资金日记账!$V$4:$V$603,O$4),2))</f>
        <v>0</v>
      </c>
      <c r="P21" s="41" t="n">
        <f aca="false">IF($A21="","",ROUND(SUMIFS(成本费用登记表!$H$4:$H$303,成本费用登记表!$D$4:$D$303,$A21,成本费用登记表!$AC$4:$AC$303,P$4)+SUMIFS(资金日记账!$I$4:$I$603,资金日记账!$G$4:$G$603,$A21,资金日记账!$U$4:$U$603,"&lt;&gt;是",资金日记账!$V$4:$V$603,P$4),2))</f>
        <v>0</v>
      </c>
      <c r="Q21" s="41" t="n">
        <f aca="false">IF($A21="","",ROUND(SUMIFS(成本费用登记表!$H$4:$H$303,成本费用登记表!$D$4:$D$303,$A21,成本费用登记表!$AC$4:$AC$303,Q$4)+SUMIFS(资金日记账!$I$4:$I$603,资金日记账!$G$4:$G$603,$A21,资金日记账!$U$4:$U$603,"&lt;&gt;是",资金日记账!$V$4:$V$603,Q$4),2))</f>
        <v>0</v>
      </c>
      <c r="R21" s="41" t="n">
        <f aca="false">IF($A21="","",ROUND(SUMIFS(成本费用登记表!$H$4:$H$303,成本费用登记表!$D$4:$D$303,$A21,成本费用登记表!$AC$4:$AC$303,R$4)+SUMIFS(资金日记账!$I$4:$I$603,资金日记账!$G$4:$G$603,$A21,资金日记账!$U$4:$U$603,"&lt;&gt;是",资金日记账!$V$4:$V$603,R$4),2))</f>
        <v>0</v>
      </c>
      <c r="S21" s="41" t="n">
        <f aca="false">IF($A21="","",ROUND(SUMIFS(成本费用登记表!$H$4:$H$303,成本费用登记表!$D$4:$D$303,$A21,成本费用登记表!$AC$4:$AC$303,S$4)+SUMIFS(资金日记账!$I$4:$I$603,资金日记账!$G$4:$G$603,$A21,资金日记账!$U$4:$U$603,"&lt;&gt;是",资金日记账!$V$4:$V$603,S$4),2))</f>
        <v>0</v>
      </c>
      <c r="T21" s="41" t="n">
        <f aca="false">IF($A21="","",ROUND(SUMIFS(成本费用登记表!$H$4:$H$303,成本费用登记表!$D$4:$D$303,$A21,成本费用登记表!$AC$4:$AC$303,T$4)+SUMIFS(资金日记账!$I$4:$I$603,资金日记账!$G$4:$G$603,$A21,资金日记账!$U$4:$U$603,"&lt;&gt;是",资金日记账!$V$4:$V$603,T$4),2))</f>
        <v>0</v>
      </c>
      <c r="U21" s="41" t="n">
        <f aca="false">IF($A21="","",ROUND(SUMIFS(成本费用登记表!$H$4:$H$303,成本费用登记表!$D$4:$D$303,$A21,成本费用登记表!$AC$4:$AC$303,U$4)+SUMIFS(资金日记账!$I$4:$I$603,资金日记账!$G$4:$G$603,$A21,资金日记账!$U$4:$U$603,"&lt;&gt;是",资金日记账!$V$4:$V$603,U$4),2))</f>
        <v>0</v>
      </c>
      <c r="V21" s="41" t="n">
        <f aca="false">IF($A21="","",ROUND(SUMIFS(成本费用登记表!$H$4:$H$303,成本费用登记表!$D$4:$D$303,$A21,成本费用登记表!$AC$4:$AC$303,V$4)+SUMIFS(资金日记账!$I$4:$I$603,资金日记账!$G$4:$G$603,$A21,资金日记账!$U$4:$U$603,"&lt;&gt;是",资金日记账!$V$4:$V$603,V$4),2))</f>
        <v>0</v>
      </c>
      <c r="W21" s="41" t="n">
        <f aca="false">IF($A21="","",ROUND(SUMIFS(成本费用登记表!$H$4:$H$303,成本费用登记表!$D$4:$D$303,$A21,成本费用登记表!$AC$4:$AC$303,W$4)+SUMIFS(资金日记账!$I$4:$I$603,资金日记账!$G$4:$G$603,$A21,资金日记账!$U$4:$U$603,"&lt;&gt;是",资金日记账!$V$4:$V$603,W$4),2))</f>
        <v>0</v>
      </c>
      <c r="X21" s="41" t="n">
        <f aca="false">IF($A21="","",ROUND(SUMIFS(成本费用登记表!$H$4:$H$303,成本费用登记表!$D$4:$D$303,$A21,成本费用登记表!$AC$4:$AC$303,X$4)+SUMIFS(资金日记账!$I$4:$I$603,资金日记账!$G$4:$G$603,$A21,资金日记账!$U$4:$U$603,"&lt;&gt;是",资金日记账!$V$4:$V$603,X$4),2))</f>
        <v>0</v>
      </c>
      <c r="Y21" s="41" t="n">
        <f aca="false">IF($A21="","",ROUND(SUMIFS(成本费用登记表!$H$4:$H$303,成本费用登记表!$D$4:$D$303,$A21,成本费用登记表!$AC$4:$AC$303,Y$4)+SUMIFS(资金日记账!$I$4:$I$603,资金日记账!$G$4:$G$603,$A21,资金日记账!$U$4:$U$603,"&lt;&gt;是",资金日记账!$V$4:$V$603,Y$4),2))</f>
        <v>0</v>
      </c>
      <c r="Z21" s="142" t="n">
        <f aca="false">IF($A21="","",ROUND(SUM($B21:$Y21),2))</f>
        <v>100000</v>
      </c>
      <c r="AA21" s="41" t="n">
        <f aca="false">IF($A21="","",ROUND(SUMIF(成本费用登记表!$D$4:$D$303,$A21,成本费用登记表!$AA$4:$AA$303)+SUMIFS(资金日记账!$I$4:$I$603,资金日记账!$G$4:$G$603,$A21,资金日记账!$U$4:$U$603,"&lt;&gt;是"),2))</f>
        <v>100000</v>
      </c>
      <c r="AB21" s="41" t="n">
        <f aca="false">IF($A21="","",ROUND(N($Z21)-N($AA21),2))</f>
        <v>0</v>
      </c>
    </row>
    <row r="22" customFormat="false" ht="13.5" hidden="false" customHeight="false" outlineLevel="0" collapsed="false">
      <c r="A22" s="33" t="str">
        <f aca="false">IFERROR(INDEX(_自动清单!$X$4:$X$63,18),"")</f>
        <v>还信用卡</v>
      </c>
      <c r="B22" s="41" t="n">
        <f aca="false">IF($A22="","",ROUND(SUMIFS(成本费用登记表!$H$4:$H$303,成本费用登记表!$D$4:$D$303,$A22,成本费用登记表!$AC$4:$AC$303,B$4)+SUMIFS(资金日记账!$I$4:$I$603,资金日记账!$G$4:$G$603,$A22,资金日记账!$U$4:$U$603,"&lt;&gt;是",资金日记账!$V$4:$V$603,B$4),2))</f>
        <v>0</v>
      </c>
      <c r="C22" s="41" t="n">
        <f aca="false">IF($A22="","",ROUND(SUMIFS(成本费用登记表!$H$4:$H$303,成本费用登记表!$D$4:$D$303,$A22,成本费用登记表!$AC$4:$AC$303,C$4)+SUMIFS(资金日记账!$I$4:$I$603,资金日记账!$G$4:$G$603,$A22,资金日记账!$U$4:$U$603,"&lt;&gt;是",资金日记账!$V$4:$V$603,C$4),2))</f>
        <v>29120</v>
      </c>
      <c r="D22" s="41" t="n">
        <f aca="false">IF($A22="","",ROUND(SUMIFS(成本费用登记表!$H$4:$H$303,成本费用登记表!$D$4:$D$303,$A22,成本费用登记表!$AC$4:$AC$303,D$4)+SUMIFS(资金日记账!$I$4:$I$603,资金日记账!$G$4:$G$603,$A22,资金日记账!$U$4:$U$603,"&lt;&gt;是",资金日记账!$V$4:$V$603,D$4),2))</f>
        <v>0</v>
      </c>
      <c r="E22" s="41" t="n">
        <f aca="false">IF($A22="","",ROUND(SUMIFS(成本费用登记表!$H$4:$H$303,成本费用登记表!$D$4:$D$303,$A22,成本费用登记表!$AC$4:$AC$303,E$4)+SUMIFS(资金日记账!$I$4:$I$603,资金日记账!$G$4:$G$603,$A22,资金日记账!$U$4:$U$603,"&lt;&gt;是",资金日记账!$V$4:$V$603,E$4),2))</f>
        <v>0</v>
      </c>
      <c r="F22" s="41" t="n">
        <f aca="false">IF($A22="","",ROUND(SUMIFS(成本费用登记表!$H$4:$H$303,成本费用登记表!$D$4:$D$303,$A22,成本费用登记表!$AC$4:$AC$303,F$4)+SUMIFS(资金日记账!$I$4:$I$603,资金日记账!$G$4:$G$603,$A22,资金日记账!$U$4:$U$603,"&lt;&gt;是",资金日记账!$V$4:$V$603,F$4),2))</f>
        <v>0</v>
      </c>
      <c r="G22" s="41" t="n">
        <f aca="false">IF($A22="","",ROUND(SUMIFS(成本费用登记表!$H$4:$H$303,成本费用登记表!$D$4:$D$303,$A22,成本费用登记表!$AC$4:$AC$303,G$4)+SUMIFS(资金日记账!$I$4:$I$603,资金日记账!$G$4:$G$603,$A22,资金日记账!$U$4:$U$603,"&lt;&gt;是",资金日记账!$V$4:$V$603,G$4),2))</f>
        <v>0</v>
      </c>
      <c r="H22" s="41" t="n">
        <f aca="false">IF($A22="","",ROUND(SUMIFS(成本费用登记表!$H$4:$H$303,成本费用登记表!$D$4:$D$303,$A22,成本费用登记表!$AC$4:$AC$303,H$4)+SUMIFS(资金日记账!$I$4:$I$603,资金日记账!$G$4:$G$603,$A22,资金日记账!$U$4:$U$603,"&lt;&gt;是",资金日记账!$V$4:$V$603,H$4),2))</f>
        <v>0</v>
      </c>
      <c r="I22" s="41" t="n">
        <f aca="false">IF($A22="","",ROUND(SUMIFS(成本费用登记表!$H$4:$H$303,成本费用登记表!$D$4:$D$303,$A22,成本费用登记表!$AC$4:$AC$303,I$4)+SUMIFS(资金日记账!$I$4:$I$603,资金日记账!$G$4:$G$603,$A22,资金日记账!$U$4:$U$603,"&lt;&gt;是",资金日记账!$V$4:$V$603,I$4),2))</f>
        <v>0</v>
      </c>
      <c r="J22" s="41" t="n">
        <f aca="false">IF($A22="","",ROUND(SUMIFS(成本费用登记表!$H$4:$H$303,成本费用登记表!$D$4:$D$303,$A22,成本费用登记表!$AC$4:$AC$303,J$4)+SUMIFS(资金日记账!$I$4:$I$603,资金日记账!$G$4:$G$603,$A22,资金日记账!$U$4:$U$603,"&lt;&gt;是",资金日记账!$V$4:$V$603,J$4),2))</f>
        <v>0</v>
      </c>
      <c r="K22" s="41" t="n">
        <f aca="false">IF($A22="","",ROUND(SUMIFS(成本费用登记表!$H$4:$H$303,成本费用登记表!$D$4:$D$303,$A22,成本费用登记表!$AC$4:$AC$303,K$4)+SUMIFS(资金日记账!$I$4:$I$603,资金日记账!$G$4:$G$603,$A22,资金日记账!$U$4:$U$603,"&lt;&gt;是",资金日记账!$V$4:$V$603,K$4),2))</f>
        <v>0</v>
      </c>
      <c r="L22" s="41" t="n">
        <f aca="false">IF($A22="","",ROUND(SUMIFS(成本费用登记表!$H$4:$H$303,成本费用登记表!$D$4:$D$303,$A22,成本费用登记表!$AC$4:$AC$303,L$4)+SUMIFS(资金日记账!$I$4:$I$603,资金日记账!$G$4:$G$603,$A22,资金日记账!$U$4:$U$603,"&lt;&gt;是",资金日记账!$V$4:$V$603,L$4),2))</f>
        <v>0</v>
      </c>
      <c r="M22" s="41" t="n">
        <f aca="false">IF($A22="","",ROUND(SUMIFS(成本费用登记表!$H$4:$H$303,成本费用登记表!$D$4:$D$303,$A22,成本费用登记表!$AC$4:$AC$303,M$4)+SUMIFS(资金日记账!$I$4:$I$603,资金日记账!$G$4:$G$603,$A22,资金日记账!$U$4:$U$603,"&lt;&gt;是",资金日记账!$V$4:$V$603,M$4),2))</f>
        <v>0</v>
      </c>
      <c r="N22" s="41" t="n">
        <f aca="false">IF($A22="","",ROUND(SUMIFS(成本费用登记表!$H$4:$H$303,成本费用登记表!$D$4:$D$303,$A22,成本费用登记表!$AC$4:$AC$303,N$4)+SUMIFS(资金日记账!$I$4:$I$603,资金日记账!$G$4:$G$603,$A22,资金日记账!$U$4:$U$603,"&lt;&gt;是",资金日记账!$V$4:$V$603,N$4),2))</f>
        <v>0</v>
      </c>
      <c r="O22" s="41" t="n">
        <f aca="false">IF($A22="","",ROUND(SUMIFS(成本费用登记表!$H$4:$H$303,成本费用登记表!$D$4:$D$303,$A22,成本费用登记表!$AC$4:$AC$303,O$4)+SUMIFS(资金日记账!$I$4:$I$603,资金日记账!$G$4:$G$603,$A22,资金日记账!$U$4:$U$603,"&lt;&gt;是",资金日记账!$V$4:$V$603,O$4),2))</f>
        <v>0</v>
      </c>
      <c r="P22" s="41" t="n">
        <f aca="false">IF($A22="","",ROUND(SUMIFS(成本费用登记表!$H$4:$H$303,成本费用登记表!$D$4:$D$303,$A22,成本费用登记表!$AC$4:$AC$303,P$4)+SUMIFS(资金日记账!$I$4:$I$603,资金日记账!$G$4:$G$603,$A22,资金日记账!$U$4:$U$603,"&lt;&gt;是",资金日记账!$V$4:$V$603,P$4),2))</f>
        <v>0</v>
      </c>
      <c r="Q22" s="41" t="n">
        <f aca="false">IF($A22="","",ROUND(SUMIFS(成本费用登记表!$H$4:$H$303,成本费用登记表!$D$4:$D$303,$A22,成本费用登记表!$AC$4:$AC$303,Q$4)+SUMIFS(资金日记账!$I$4:$I$603,资金日记账!$G$4:$G$603,$A22,资金日记账!$U$4:$U$603,"&lt;&gt;是",资金日记账!$V$4:$V$603,Q$4),2))</f>
        <v>0</v>
      </c>
      <c r="R22" s="41" t="n">
        <f aca="false">IF($A22="","",ROUND(SUMIFS(成本费用登记表!$H$4:$H$303,成本费用登记表!$D$4:$D$303,$A22,成本费用登记表!$AC$4:$AC$303,R$4)+SUMIFS(资金日记账!$I$4:$I$603,资金日记账!$G$4:$G$603,$A22,资金日记账!$U$4:$U$603,"&lt;&gt;是",资金日记账!$V$4:$V$603,R$4),2))</f>
        <v>0</v>
      </c>
      <c r="S22" s="41" t="n">
        <f aca="false">IF($A22="","",ROUND(SUMIFS(成本费用登记表!$H$4:$H$303,成本费用登记表!$D$4:$D$303,$A22,成本费用登记表!$AC$4:$AC$303,S$4)+SUMIFS(资金日记账!$I$4:$I$603,资金日记账!$G$4:$G$603,$A22,资金日记账!$U$4:$U$603,"&lt;&gt;是",资金日记账!$V$4:$V$603,S$4),2))</f>
        <v>0</v>
      </c>
      <c r="T22" s="41" t="n">
        <f aca="false">IF($A22="","",ROUND(SUMIFS(成本费用登记表!$H$4:$H$303,成本费用登记表!$D$4:$D$303,$A22,成本费用登记表!$AC$4:$AC$303,T$4)+SUMIFS(资金日记账!$I$4:$I$603,资金日记账!$G$4:$G$603,$A22,资金日记账!$U$4:$U$603,"&lt;&gt;是",资金日记账!$V$4:$V$603,T$4),2))</f>
        <v>0</v>
      </c>
      <c r="U22" s="41" t="n">
        <f aca="false">IF($A22="","",ROUND(SUMIFS(成本费用登记表!$H$4:$H$303,成本费用登记表!$D$4:$D$303,$A22,成本费用登记表!$AC$4:$AC$303,U$4)+SUMIFS(资金日记账!$I$4:$I$603,资金日记账!$G$4:$G$603,$A22,资金日记账!$U$4:$U$603,"&lt;&gt;是",资金日记账!$V$4:$V$603,U$4),2))</f>
        <v>0</v>
      </c>
      <c r="V22" s="41" t="n">
        <f aca="false">IF($A22="","",ROUND(SUMIFS(成本费用登记表!$H$4:$H$303,成本费用登记表!$D$4:$D$303,$A22,成本费用登记表!$AC$4:$AC$303,V$4)+SUMIFS(资金日记账!$I$4:$I$603,资金日记账!$G$4:$G$603,$A22,资金日记账!$U$4:$U$603,"&lt;&gt;是",资金日记账!$V$4:$V$603,V$4),2))</f>
        <v>0</v>
      </c>
      <c r="W22" s="41" t="n">
        <f aca="false">IF($A22="","",ROUND(SUMIFS(成本费用登记表!$H$4:$H$303,成本费用登记表!$D$4:$D$303,$A22,成本费用登记表!$AC$4:$AC$303,W$4)+SUMIFS(资金日记账!$I$4:$I$603,资金日记账!$G$4:$G$603,$A22,资金日记账!$U$4:$U$603,"&lt;&gt;是",资金日记账!$V$4:$V$603,W$4),2))</f>
        <v>0</v>
      </c>
      <c r="X22" s="41" t="n">
        <f aca="false">IF($A22="","",ROUND(SUMIFS(成本费用登记表!$H$4:$H$303,成本费用登记表!$D$4:$D$303,$A22,成本费用登记表!$AC$4:$AC$303,X$4)+SUMIFS(资金日记账!$I$4:$I$603,资金日记账!$G$4:$G$603,$A22,资金日记账!$U$4:$U$603,"&lt;&gt;是",资金日记账!$V$4:$V$603,X$4),2))</f>
        <v>0</v>
      </c>
      <c r="Y22" s="41" t="n">
        <f aca="false">IF($A22="","",ROUND(SUMIFS(成本费用登记表!$H$4:$H$303,成本费用登记表!$D$4:$D$303,$A22,成本费用登记表!$AC$4:$AC$303,Y$4)+SUMIFS(资金日记账!$I$4:$I$603,资金日记账!$G$4:$G$603,$A22,资金日记账!$U$4:$U$603,"&lt;&gt;是",资金日记账!$V$4:$V$603,Y$4),2))</f>
        <v>0</v>
      </c>
      <c r="Z22" s="142" t="n">
        <f aca="false">IF($A22="","",ROUND(SUM($B22:$Y22),2))</f>
        <v>29120</v>
      </c>
      <c r="AA22" s="41" t="n">
        <f aca="false">IF($A22="","",ROUND(SUMIF(成本费用登记表!$D$4:$D$303,$A22,成本费用登记表!$AA$4:$AA$303)+SUMIFS(资金日记账!$I$4:$I$603,资金日记账!$G$4:$G$603,$A22,资金日记账!$U$4:$U$603,"&lt;&gt;是"),2))</f>
        <v>29120</v>
      </c>
      <c r="AB22" s="41" t="n">
        <f aca="false">IF($A22="","",ROUND(N($Z22)-N($AA22),2))</f>
        <v>0</v>
      </c>
    </row>
    <row r="23" customFormat="false" ht="13.5" hidden="false" customHeight="false" outlineLevel="0" collapsed="false">
      <c r="A23" s="33" t="str">
        <f aca="false">IFERROR(INDEX(_自动清单!$X$4:$X$63,19),"")</f>
        <v>滴滴打车</v>
      </c>
      <c r="B23" s="41" t="n">
        <f aca="false">IF($A23="","",ROUND(SUMIFS(成本费用登记表!$H$4:$H$303,成本费用登记表!$D$4:$D$303,$A23,成本费用登记表!$AC$4:$AC$303,B$4)+SUMIFS(资金日记账!$I$4:$I$603,资金日记账!$G$4:$G$603,$A23,资金日记账!$U$4:$U$603,"&lt;&gt;是",资金日记账!$V$4:$V$603,B$4),2))</f>
        <v>0</v>
      </c>
      <c r="C23" s="41" t="n">
        <f aca="false">IF($A23="","",ROUND(SUMIFS(成本费用登记表!$H$4:$H$303,成本费用登记表!$D$4:$D$303,$A23,成本费用登记表!$AC$4:$AC$303,C$4)+SUMIFS(资金日记账!$I$4:$I$603,资金日记账!$G$4:$G$603,$A23,资金日记账!$U$4:$U$603,"&lt;&gt;是",资金日记账!$V$4:$V$603,C$4),2))</f>
        <v>51.82</v>
      </c>
      <c r="D23" s="41" t="n">
        <f aca="false">IF($A23="","",ROUND(SUMIFS(成本费用登记表!$H$4:$H$303,成本费用登记表!$D$4:$D$303,$A23,成本费用登记表!$AC$4:$AC$303,D$4)+SUMIFS(资金日记账!$I$4:$I$603,资金日记账!$G$4:$G$603,$A23,资金日记账!$U$4:$U$603,"&lt;&gt;是",资金日记账!$V$4:$V$603,D$4),2))</f>
        <v>0</v>
      </c>
      <c r="E23" s="41" t="n">
        <f aca="false">IF($A23="","",ROUND(SUMIFS(成本费用登记表!$H$4:$H$303,成本费用登记表!$D$4:$D$303,$A23,成本费用登记表!$AC$4:$AC$303,E$4)+SUMIFS(资金日记账!$I$4:$I$603,资金日记账!$G$4:$G$603,$A23,资金日记账!$U$4:$U$603,"&lt;&gt;是",资金日记账!$V$4:$V$603,E$4),2))</f>
        <v>0</v>
      </c>
      <c r="F23" s="41" t="n">
        <f aca="false">IF($A23="","",ROUND(SUMIFS(成本费用登记表!$H$4:$H$303,成本费用登记表!$D$4:$D$303,$A23,成本费用登记表!$AC$4:$AC$303,F$4)+SUMIFS(资金日记账!$I$4:$I$603,资金日记账!$G$4:$G$603,$A23,资金日记账!$U$4:$U$603,"&lt;&gt;是",资金日记账!$V$4:$V$603,F$4),2))</f>
        <v>0</v>
      </c>
      <c r="G23" s="41" t="n">
        <f aca="false">IF($A23="","",ROUND(SUMIFS(成本费用登记表!$H$4:$H$303,成本费用登记表!$D$4:$D$303,$A23,成本费用登记表!$AC$4:$AC$303,G$4)+SUMIFS(资金日记账!$I$4:$I$603,资金日记账!$G$4:$G$603,$A23,资金日记账!$U$4:$U$603,"&lt;&gt;是",资金日记账!$V$4:$V$603,G$4),2))</f>
        <v>0</v>
      </c>
      <c r="H23" s="41" t="n">
        <f aca="false">IF($A23="","",ROUND(SUMIFS(成本费用登记表!$H$4:$H$303,成本费用登记表!$D$4:$D$303,$A23,成本费用登记表!$AC$4:$AC$303,H$4)+SUMIFS(资金日记账!$I$4:$I$603,资金日记账!$G$4:$G$603,$A23,资金日记账!$U$4:$U$603,"&lt;&gt;是",资金日记账!$V$4:$V$603,H$4),2))</f>
        <v>0</v>
      </c>
      <c r="I23" s="41" t="n">
        <f aca="false">IF($A23="","",ROUND(SUMIFS(成本费用登记表!$H$4:$H$303,成本费用登记表!$D$4:$D$303,$A23,成本费用登记表!$AC$4:$AC$303,I$4)+SUMIFS(资金日记账!$I$4:$I$603,资金日记账!$G$4:$G$603,$A23,资金日记账!$U$4:$U$603,"&lt;&gt;是",资金日记账!$V$4:$V$603,I$4),2))</f>
        <v>0</v>
      </c>
      <c r="J23" s="41" t="n">
        <f aca="false">IF($A23="","",ROUND(SUMIFS(成本费用登记表!$H$4:$H$303,成本费用登记表!$D$4:$D$303,$A23,成本费用登记表!$AC$4:$AC$303,J$4)+SUMIFS(资金日记账!$I$4:$I$603,资金日记账!$G$4:$G$603,$A23,资金日记账!$U$4:$U$603,"&lt;&gt;是",资金日记账!$V$4:$V$603,J$4),2))</f>
        <v>0</v>
      </c>
      <c r="K23" s="41" t="n">
        <f aca="false">IF($A23="","",ROUND(SUMIFS(成本费用登记表!$H$4:$H$303,成本费用登记表!$D$4:$D$303,$A23,成本费用登记表!$AC$4:$AC$303,K$4)+SUMIFS(资金日记账!$I$4:$I$603,资金日记账!$G$4:$G$603,$A23,资金日记账!$U$4:$U$603,"&lt;&gt;是",资金日记账!$V$4:$V$603,K$4),2))</f>
        <v>0</v>
      </c>
      <c r="L23" s="41" t="n">
        <f aca="false">IF($A23="","",ROUND(SUMIFS(成本费用登记表!$H$4:$H$303,成本费用登记表!$D$4:$D$303,$A23,成本费用登记表!$AC$4:$AC$303,L$4)+SUMIFS(资金日记账!$I$4:$I$603,资金日记账!$G$4:$G$603,$A23,资金日记账!$U$4:$U$603,"&lt;&gt;是",资金日记账!$V$4:$V$603,L$4),2))</f>
        <v>0</v>
      </c>
      <c r="M23" s="41" t="n">
        <f aca="false">IF($A23="","",ROUND(SUMIFS(成本费用登记表!$H$4:$H$303,成本费用登记表!$D$4:$D$303,$A23,成本费用登记表!$AC$4:$AC$303,M$4)+SUMIFS(资金日记账!$I$4:$I$603,资金日记账!$G$4:$G$603,$A23,资金日记账!$U$4:$U$603,"&lt;&gt;是",资金日记账!$V$4:$V$603,M$4),2))</f>
        <v>0</v>
      </c>
      <c r="N23" s="41" t="n">
        <f aca="false">IF($A23="","",ROUND(SUMIFS(成本费用登记表!$H$4:$H$303,成本费用登记表!$D$4:$D$303,$A23,成本费用登记表!$AC$4:$AC$303,N$4)+SUMIFS(资金日记账!$I$4:$I$603,资金日记账!$G$4:$G$603,$A23,资金日记账!$U$4:$U$603,"&lt;&gt;是",资金日记账!$V$4:$V$603,N$4),2))</f>
        <v>0</v>
      </c>
      <c r="O23" s="41" t="n">
        <f aca="false">IF($A23="","",ROUND(SUMIFS(成本费用登记表!$H$4:$H$303,成本费用登记表!$D$4:$D$303,$A23,成本费用登记表!$AC$4:$AC$303,O$4)+SUMIFS(资金日记账!$I$4:$I$603,资金日记账!$G$4:$G$603,$A23,资金日记账!$U$4:$U$603,"&lt;&gt;是",资金日记账!$V$4:$V$603,O$4),2))</f>
        <v>0</v>
      </c>
      <c r="P23" s="41" t="n">
        <f aca="false">IF($A23="","",ROUND(SUMIFS(成本费用登记表!$H$4:$H$303,成本费用登记表!$D$4:$D$303,$A23,成本费用登记表!$AC$4:$AC$303,P$4)+SUMIFS(资金日记账!$I$4:$I$603,资金日记账!$G$4:$G$603,$A23,资金日记账!$U$4:$U$603,"&lt;&gt;是",资金日记账!$V$4:$V$603,P$4),2))</f>
        <v>0</v>
      </c>
      <c r="Q23" s="41" t="n">
        <f aca="false">IF($A23="","",ROUND(SUMIFS(成本费用登记表!$H$4:$H$303,成本费用登记表!$D$4:$D$303,$A23,成本费用登记表!$AC$4:$AC$303,Q$4)+SUMIFS(资金日记账!$I$4:$I$603,资金日记账!$G$4:$G$603,$A23,资金日记账!$U$4:$U$603,"&lt;&gt;是",资金日记账!$V$4:$V$603,Q$4),2))</f>
        <v>0</v>
      </c>
      <c r="R23" s="41" t="n">
        <f aca="false">IF($A23="","",ROUND(SUMIFS(成本费用登记表!$H$4:$H$303,成本费用登记表!$D$4:$D$303,$A23,成本费用登记表!$AC$4:$AC$303,R$4)+SUMIFS(资金日记账!$I$4:$I$603,资金日记账!$G$4:$G$603,$A23,资金日记账!$U$4:$U$603,"&lt;&gt;是",资金日记账!$V$4:$V$603,R$4),2))</f>
        <v>0</v>
      </c>
      <c r="S23" s="41" t="n">
        <f aca="false">IF($A23="","",ROUND(SUMIFS(成本费用登记表!$H$4:$H$303,成本费用登记表!$D$4:$D$303,$A23,成本费用登记表!$AC$4:$AC$303,S$4)+SUMIFS(资金日记账!$I$4:$I$603,资金日记账!$G$4:$G$603,$A23,资金日记账!$U$4:$U$603,"&lt;&gt;是",资金日记账!$V$4:$V$603,S$4),2))</f>
        <v>0</v>
      </c>
      <c r="T23" s="41" t="n">
        <f aca="false">IF($A23="","",ROUND(SUMIFS(成本费用登记表!$H$4:$H$303,成本费用登记表!$D$4:$D$303,$A23,成本费用登记表!$AC$4:$AC$303,T$4)+SUMIFS(资金日记账!$I$4:$I$603,资金日记账!$G$4:$G$603,$A23,资金日记账!$U$4:$U$603,"&lt;&gt;是",资金日记账!$V$4:$V$603,T$4),2))</f>
        <v>0</v>
      </c>
      <c r="U23" s="41" t="n">
        <f aca="false">IF($A23="","",ROUND(SUMIFS(成本费用登记表!$H$4:$H$303,成本费用登记表!$D$4:$D$303,$A23,成本费用登记表!$AC$4:$AC$303,U$4)+SUMIFS(资金日记账!$I$4:$I$603,资金日记账!$G$4:$G$603,$A23,资金日记账!$U$4:$U$603,"&lt;&gt;是",资金日记账!$V$4:$V$603,U$4),2))</f>
        <v>0</v>
      </c>
      <c r="V23" s="41" t="n">
        <f aca="false">IF($A23="","",ROUND(SUMIFS(成本费用登记表!$H$4:$H$303,成本费用登记表!$D$4:$D$303,$A23,成本费用登记表!$AC$4:$AC$303,V$4)+SUMIFS(资金日记账!$I$4:$I$603,资金日记账!$G$4:$G$603,$A23,资金日记账!$U$4:$U$603,"&lt;&gt;是",资金日记账!$V$4:$V$603,V$4),2))</f>
        <v>0</v>
      </c>
      <c r="W23" s="41" t="n">
        <f aca="false">IF($A23="","",ROUND(SUMIFS(成本费用登记表!$H$4:$H$303,成本费用登记表!$D$4:$D$303,$A23,成本费用登记表!$AC$4:$AC$303,W$4)+SUMIFS(资金日记账!$I$4:$I$603,资金日记账!$G$4:$G$603,$A23,资金日记账!$U$4:$U$603,"&lt;&gt;是",资金日记账!$V$4:$V$603,W$4),2))</f>
        <v>0</v>
      </c>
      <c r="X23" s="41" t="n">
        <f aca="false">IF($A23="","",ROUND(SUMIFS(成本费用登记表!$H$4:$H$303,成本费用登记表!$D$4:$D$303,$A23,成本费用登记表!$AC$4:$AC$303,X$4)+SUMIFS(资金日记账!$I$4:$I$603,资金日记账!$G$4:$G$603,$A23,资金日记账!$U$4:$U$603,"&lt;&gt;是",资金日记账!$V$4:$V$603,X$4),2))</f>
        <v>0</v>
      </c>
      <c r="Y23" s="41" t="n">
        <f aca="false">IF($A23="","",ROUND(SUMIFS(成本费用登记表!$H$4:$H$303,成本费用登记表!$D$4:$D$303,$A23,成本费用登记表!$AC$4:$AC$303,Y$4)+SUMIFS(资金日记账!$I$4:$I$603,资金日记账!$G$4:$G$603,$A23,资金日记账!$U$4:$U$603,"&lt;&gt;是",资金日记账!$V$4:$V$603,Y$4),2))</f>
        <v>0</v>
      </c>
      <c r="Z23" s="142" t="n">
        <f aca="false">IF($A23="","",ROUND(SUM($B23:$Y23),2))</f>
        <v>51.82</v>
      </c>
      <c r="AA23" s="41" t="n">
        <f aca="false">IF($A23="","",ROUND(SUMIF(成本费用登记表!$D$4:$D$303,$A23,成本费用登记表!$AA$4:$AA$303)+SUMIFS(资金日记账!$I$4:$I$603,资金日记账!$G$4:$G$603,$A23,资金日记账!$U$4:$U$603,"&lt;&gt;是"),2))</f>
        <v>51.82</v>
      </c>
      <c r="AB23" s="41" t="n">
        <f aca="false">IF($A23="","",ROUND(N($Z23)-N($AA23),2))</f>
        <v>0</v>
      </c>
    </row>
    <row r="24" customFormat="false" ht="13.5" hidden="false" customHeight="false" outlineLevel="0" collapsed="false">
      <c r="A24" s="33" t="str">
        <f aca="false">IFERROR(INDEX(_自动清单!$X$4:$X$63,20),"")</f>
        <v>蛋糕</v>
      </c>
      <c r="B24" s="41" t="n">
        <f aca="false">IF($A24="","",ROUND(SUMIFS(成本费用登记表!$H$4:$H$303,成本费用登记表!$D$4:$D$303,$A24,成本费用登记表!$AC$4:$AC$303,B$4)+SUMIFS(资金日记账!$I$4:$I$603,资金日记账!$G$4:$G$603,$A24,资金日记账!$U$4:$U$603,"&lt;&gt;是",资金日记账!$V$4:$V$603,B$4),2))</f>
        <v>0</v>
      </c>
      <c r="C24" s="41" t="n">
        <f aca="false">IF($A24="","",ROUND(SUMIFS(成本费用登记表!$H$4:$H$303,成本费用登记表!$D$4:$D$303,$A24,成本费用登记表!$AC$4:$AC$303,C$4)+SUMIFS(资金日记账!$I$4:$I$603,资金日记账!$G$4:$G$603,$A24,资金日记账!$U$4:$U$603,"&lt;&gt;是",资金日记账!$V$4:$V$603,C$4),2))</f>
        <v>300</v>
      </c>
      <c r="D24" s="41" t="n">
        <f aca="false">IF($A24="","",ROUND(SUMIFS(成本费用登记表!$H$4:$H$303,成本费用登记表!$D$4:$D$303,$A24,成本费用登记表!$AC$4:$AC$303,D$4)+SUMIFS(资金日记账!$I$4:$I$603,资金日记账!$G$4:$G$603,$A24,资金日记账!$U$4:$U$603,"&lt;&gt;是",资金日记账!$V$4:$V$603,D$4),2))</f>
        <v>0</v>
      </c>
      <c r="E24" s="41" t="n">
        <f aca="false">IF($A24="","",ROUND(SUMIFS(成本费用登记表!$H$4:$H$303,成本费用登记表!$D$4:$D$303,$A24,成本费用登记表!$AC$4:$AC$303,E$4)+SUMIFS(资金日记账!$I$4:$I$603,资金日记账!$G$4:$G$603,$A24,资金日记账!$U$4:$U$603,"&lt;&gt;是",资金日记账!$V$4:$V$603,E$4),2))</f>
        <v>0</v>
      </c>
      <c r="F24" s="41" t="n">
        <f aca="false">IF($A24="","",ROUND(SUMIFS(成本费用登记表!$H$4:$H$303,成本费用登记表!$D$4:$D$303,$A24,成本费用登记表!$AC$4:$AC$303,F$4)+SUMIFS(资金日记账!$I$4:$I$603,资金日记账!$G$4:$G$603,$A24,资金日记账!$U$4:$U$603,"&lt;&gt;是",资金日记账!$V$4:$V$603,F$4),2))</f>
        <v>0</v>
      </c>
      <c r="G24" s="41" t="n">
        <f aca="false">IF($A24="","",ROUND(SUMIFS(成本费用登记表!$H$4:$H$303,成本费用登记表!$D$4:$D$303,$A24,成本费用登记表!$AC$4:$AC$303,G$4)+SUMIFS(资金日记账!$I$4:$I$603,资金日记账!$G$4:$G$603,$A24,资金日记账!$U$4:$U$603,"&lt;&gt;是",资金日记账!$V$4:$V$603,G$4),2))</f>
        <v>0</v>
      </c>
      <c r="H24" s="41" t="n">
        <f aca="false">IF($A24="","",ROUND(SUMIFS(成本费用登记表!$H$4:$H$303,成本费用登记表!$D$4:$D$303,$A24,成本费用登记表!$AC$4:$AC$303,H$4)+SUMIFS(资金日记账!$I$4:$I$603,资金日记账!$G$4:$G$603,$A24,资金日记账!$U$4:$U$603,"&lt;&gt;是",资金日记账!$V$4:$V$603,H$4),2))</f>
        <v>0</v>
      </c>
      <c r="I24" s="41" t="n">
        <f aca="false">IF($A24="","",ROUND(SUMIFS(成本费用登记表!$H$4:$H$303,成本费用登记表!$D$4:$D$303,$A24,成本费用登记表!$AC$4:$AC$303,I$4)+SUMIFS(资金日记账!$I$4:$I$603,资金日记账!$G$4:$G$603,$A24,资金日记账!$U$4:$U$603,"&lt;&gt;是",资金日记账!$V$4:$V$603,I$4),2))</f>
        <v>0</v>
      </c>
      <c r="J24" s="41" t="n">
        <f aca="false">IF($A24="","",ROUND(SUMIFS(成本费用登记表!$H$4:$H$303,成本费用登记表!$D$4:$D$303,$A24,成本费用登记表!$AC$4:$AC$303,J$4)+SUMIFS(资金日记账!$I$4:$I$603,资金日记账!$G$4:$G$603,$A24,资金日记账!$U$4:$U$603,"&lt;&gt;是",资金日记账!$V$4:$V$603,J$4),2))</f>
        <v>0</v>
      </c>
      <c r="K24" s="41" t="n">
        <f aca="false">IF($A24="","",ROUND(SUMIFS(成本费用登记表!$H$4:$H$303,成本费用登记表!$D$4:$D$303,$A24,成本费用登记表!$AC$4:$AC$303,K$4)+SUMIFS(资金日记账!$I$4:$I$603,资金日记账!$G$4:$G$603,$A24,资金日记账!$U$4:$U$603,"&lt;&gt;是",资金日记账!$V$4:$V$603,K$4),2))</f>
        <v>0</v>
      </c>
      <c r="L24" s="41" t="n">
        <f aca="false">IF($A24="","",ROUND(SUMIFS(成本费用登记表!$H$4:$H$303,成本费用登记表!$D$4:$D$303,$A24,成本费用登记表!$AC$4:$AC$303,L$4)+SUMIFS(资金日记账!$I$4:$I$603,资金日记账!$G$4:$G$603,$A24,资金日记账!$U$4:$U$603,"&lt;&gt;是",资金日记账!$V$4:$V$603,L$4),2))</f>
        <v>0</v>
      </c>
      <c r="M24" s="41" t="n">
        <f aca="false">IF($A24="","",ROUND(SUMIFS(成本费用登记表!$H$4:$H$303,成本费用登记表!$D$4:$D$303,$A24,成本费用登记表!$AC$4:$AC$303,M$4)+SUMIFS(资金日记账!$I$4:$I$603,资金日记账!$G$4:$G$603,$A24,资金日记账!$U$4:$U$603,"&lt;&gt;是",资金日记账!$V$4:$V$603,M$4),2))</f>
        <v>0</v>
      </c>
      <c r="N24" s="41" t="n">
        <f aca="false">IF($A24="","",ROUND(SUMIFS(成本费用登记表!$H$4:$H$303,成本费用登记表!$D$4:$D$303,$A24,成本费用登记表!$AC$4:$AC$303,N$4)+SUMIFS(资金日记账!$I$4:$I$603,资金日记账!$G$4:$G$603,$A24,资金日记账!$U$4:$U$603,"&lt;&gt;是",资金日记账!$V$4:$V$603,N$4),2))</f>
        <v>0</v>
      </c>
      <c r="O24" s="41" t="n">
        <f aca="false">IF($A24="","",ROUND(SUMIFS(成本费用登记表!$H$4:$H$303,成本费用登记表!$D$4:$D$303,$A24,成本费用登记表!$AC$4:$AC$303,O$4)+SUMIFS(资金日记账!$I$4:$I$603,资金日记账!$G$4:$G$603,$A24,资金日记账!$U$4:$U$603,"&lt;&gt;是",资金日记账!$V$4:$V$603,O$4),2))</f>
        <v>0</v>
      </c>
      <c r="P24" s="41" t="n">
        <f aca="false">IF($A24="","",ROUND(SUMIFS(成本费用登记表!$H$4:$H$303,成本费用登记表!$D$4:$D$303,$A24,成本费用登记表!$AC$4:$AC$303,P$4)+SUMIFS(资金日记账!$I$4:$I$603,资金日记账!$G$4:$G$603,$A24,资金日记账!$U$4:$U$603,"&lt;&gt;是",资金日记账!$V$4:$V$603,P$4),2))</f>
        <v>0</v>
      </c>
      <c r="Q24" s="41" t="n">
        <f aca="false">IF($A24="","",ROUND(SUMIFS(成本费用登记表!$H$4:$H$303,成本费用登记表!$D$4:$D$303,$A24,成本费用登记表!$AC$4:$AC$303,Q$4)+SUMIFS(资金日记账!$I$4:$I$603,资金日记账!$G$4:$G$603,$A24,资金日记账!$U$4:$U$603,"&lt;&gt;是",资金日记账!$V$4:$V$603,Q$4),2))</f>
        <v>0</v>
      </c>
      <c r="R24" s="41" t="n">
        <f aca="false">IF($A24="","",ROUND(SUMIFS(成本费用登记表!$H$4:$H$303,成本费用登记表!$D$4:$D$303,$A24,成本费用登记表!$AC$4:$AC$303,R$4)+SUMIFS(资金日记账!$I$4:$I$603,资金日记账!$G$4:$G$603,$A24,资金日记账!$U$4:$U$603,"&lt;&gt;是",资金日记账!$V$4:$V$603,R$4),2))</f>
        <v>0</v>
      </c>
      <c r="S24" s="41" t="n">
        <f aca="false">IF($A24="","",ROUND(SUMIFS(成本费用登记表!$H$4:$H$303,成本费用登记表!$D$4:$D$303,$A24,成本费用登记表!$AC$4:$AC$303,S$4)+SUMIFS(资金日记账!$I$4:$I$603,资金日记账!$G$4:$G$603,$A24,资金日记账!$U$4:$U$603,"&lt;&gt;是",资金日记账!$V$4:$V$603,S$4),2))</f>
        <v>0</v>
      </c>
      <c r="T24" s="41" t="n">
        <f aca="false">IF($A24="","",ROUND(SUMIFS(成本费用登记表!$H$4:$H$303,成本费用登记表!$D$4:$D$303,$A24,成本费用登记表!$AC$4:$AC$303,T$4)+SUMIFS(资金日记账!$I$4:$I$603,资金日记账!$G$4:$G$603,$A24,资金日记账!$U$4:$U$603,"&lt;&gt;是",资金日记账!$V$4:$V$603,T$4),2))</f>
        <v>0</v>
      </c>
      <c r="U24" s="41" t="n">
        <f aca="false">IF($A24="","",ROUND(SUMIFS(成本费用登记表!$H$4:$H$303,成本费用登记表!$D$4:$D$303,$A24,成本费用登记表!$AC$4:$AC$303,U$4)+SUMIFS(资金日记账!$I$4:$I$603,资金日记账!$G$4:$G$603,$A24,资金日记账!$U$4:$U$603,"&lt;&gt;是",资金日记账!$V$4:$V$603,U$4),2))</f>
        <v>0</v>
      </c>
      <c r="V24" s="41" t="n">
        <f aca="false">IF($A24="","",ROUND(SUMIFS(成本费用登记表!$H$4:$H$303,成本费用登记表!$D$4:$D$303,$A24,成本费用登记表!$AC$4:$AC$303,V$4)+SUMIFS(资金日记账!$I$4:$I$603,资金日记账!$G$4:$G$603,$A24,资金日记账!$U$4:$U$603,"&lt;&gt;是",资金日记账!$V$4:$V$603,V$4),2))</f>
        <v>0</v>
      </c>
      <c r="W24" s="41" t="n">
        <f aca="false">IF($A24="","",ROUND(SUMIFS(成本费用登记表!$H$4:$H$303,成本费用登记表!$D$4:$D$303,$A24,成本费用登记表!$AC$4:$AC$303,W$4)+SUMIFS(资金日记账!$I$4:$I$603,资金日记账!$G$4:$G$603,$A24,资金日记账!$U$4:$U$603,"&lt;&gt;是",资金日记账!$V$4:$V$603,W$4),2))</f>
        <v>0</v>
      </c>
      <c r="X24" s="41" t="n">
        <f aca="false">IF($A24="","",ROUND(SUMIFS(成本费用登记表!$H$4:$H$303,成本费用登记表!$D$4:$D$303,$A24,成本费用登记表!$AC$4:$AC$303,X$4)+SUMIFS(资金日记账!$I$4:$I$603,资金日记账!$G$4:$G$603,$A24,资金日记账!$U$4:$U$603,"&lt;&gt;是",资金日记账!$V$4:$V$603,X$4),2))</f>
        <v>0</v>
      </c>
      <c r="Y24" s="41" t="n">
        <f aca="false">IF($A24="","",ROUND(SUMIFS(成本费用登记表!$H$4:$H$303,成本费用登记表!$D$4:$D$303,$A24,成本费用登记表!$AC$4:$AC$303,Y$4)+SUMIFS(资金日记账!$I$4:$I$603,资金日记账!$G$4:$G$603,$A24,资金日记账!$U$4:$U$603,"&lt;&gt;是",资金日记账!$V$4:$V$603,Y$4),2))</f>
        <v>0</v>
      </c>
      <c r="Z24" s="142" t="n">
        <f aca="false">IF($A24="","",ROUND(SUM($B24:$Y24),2))</f>
        <v>300</v>
      </c>
      <c r="AA24" s="41" t="n">
        <f aca="false">IF($A24="","",ROUND(SUMIF(成本费用登记表!$D$4:$D$303,$A24,成本费用登记表!$AA$4:$AA$303)+SUMIFS(资金日记账!$I$4:$I$603,资金日记账!$G$4:$G$603,$A24,资金日记账!$U$4:$U$603,"&lt;&gt;是"),2))</f>
        <v>300</v>
      </c>
      <c r="AB24" s="41" t="n">
        <f aca="false">IF($A24="","",ROUND(N($Z24)-N($AA24),2))</f>
        <v>0</v>
      </c>
    </row>
    <row r="25" customFormat="false" ht="13.5" hidden="false" customHeight="false" outlineLevel="0" collapsed="false">
      <c r="A25" s="33" t="str">
        <f aca="false">IFERROR(INDEX(_自动清单!$X$4:$X$63,21),"")</f>
        <v>装卸费</v>
      </c>
      <c r="B25" s="41" t="n">
        <f aca="false">IF($A25="","",ROUND(SUMIFS(成本费用登记表!$H$4:$H$303,成本费用登记表!$D$4:$D$303,$A25,成本费用登记表!$AC$4:$AC$303,B$4)+SUMIFS(资金日记账!$I$4:$I$603,资金日记账!$G$4:$G$603,$A25,资金日记账!$U$4:$U$603,"&lt;&gt;是",资金日记账!$V$4:$V$603,B$4),2))</f>
        <v>0</v>
      </c>
      <c r="C25" s="41" t="n">
        <f aca="false">IF($A25="","",ROUND(SUMIFS(成本费用登记表!$H$4:$H$303,成本费用登记表!$D$4:$D$303,$A25,成本费用登记表!$AC$4:$AC$303,C$4)+SUMIFS(资金日记账!$I$4:$I$603,资金日记账!$G$4:$G$603,$A25,资金日记账!$U$4:$U$603,"&lt;&gt;是",资金日记账!$V$4:$V$603,C$4),2))</f>
        <v>0</v>
      </c>
      <c r="D25" s="41" t="n">
        <f aca="false">IF($A25="","",ROUND(SUMIFS(成本费用登记表!$H$4:$H$303,成本费用登记表!$D$4:$D$303,$A25,成本费用登记表!$AC$4:$AC$303,D$4)+SUMIFS(资金日记账!$I$4:$I$603,资金日记账!$G$4:$G$603,$A25,资金日记账!$U$4:$U$603,"&lt;&gt;是",资金日记账!$V$4:$V$603,D$4),2))</f>
        <v>0</v>
      </c>
      <c r="E25" s="41" t="n">
        <f aca="false">IF($A25="","",ROUND(SUMIFS(成本费用登记表!$H$4:$H$303,成本费用登记表!$D$4:$D$303,$A25,成本费用登记表!$AC$4:$AC$303,E$4)+SUMIFS(资金日记账!$I$4:$I$603,资金日记账!$G$4:$G$603,$A25,资金日记账!$U$4:$U$603,"&lt;&gt;是",资金日记账!$V$4:$V$603,E$4),2))</f>
        <v>0</v>
      </c>
      <c r="F25" s="41" t="n">
        <f aca="false">IF($A25="","",ROUND(SUMIFS(成本费用登记表!$H$4:$H$303,成本费用登记表!$D$4:$D$303,$A25,成本费用登记表!$AC$4:$AC$303,F$4)+SUMIFS(资金日记账!$I$4:$I$603,资金日记账!$G$4:$G$603,$A25,资金日记账!$U$4:$U$603,"&lt;&gt;是",资金日记账!$V$4:$V$603,F$4),2))</f>
        <v>0</v>
      </c>
      <c r="G25" s="41" t="n">
        <f aca="false">IF($A25="","",ROUND(SUMIFS(成本费用登记表!$H$4:$H$303,成本费用登记表!$D$4:$D$303,$A25,成本费用登记表!$AC$4:$AC$303,G$4)+SUMIFS(资金日记账!$I$4:$I$603,资金日记账!$G$4:$G$603,$A25,资金日记账!$U$4:$U$603,"&lt;&gt;是",资金日记账!$V$4:$V$603,G$4),2))</f>
        <v>0</v>
      </c>
      <c r="H25" s="41" t="n">
        <f aca="false">IF($A25="","",ROUND(SUMIFS(成本费用登记表!$H$4:$H$303,成本费用登记表!$D$4:$D$303,$A25,成本费用登记表!$AC$4:$AC$303,H$4)+SUMIFS(资金日记账!$I$4:$I$603,资金日记账!$G$4:$G$603,$A25,资金日记账!$U$4:$U$603,"&lt;&gt;是",资金日记账!$V$4:$V$603,H$4),2))</f>
        <v>0</v>
      </c>
      <c r="I25" s="41" t="n">
        <f aca="false">IF($A25="","",ROUND(SUMIFS(成本费用登记表!$H$4:$H$303,成本费用登记表!$D$4:$D$303,$A25,成本费用登记表!$AC$4:$AC$303,I$4)+SUMIFS(资金日记账!$I$4:$I$603,资金日记账!$G$4:$G$603,$A25,资金日记账!$U$4:$U$603,"&lt;&gt;是",资金日记账!$V$4:$V$603,I$4),2))</f>
        <v>0</v>
      </c>
      <c r="J25" s="41" t="n">
        <f aca="false">IF($A25="","",ROUND(SUMIFS(成本费用登记表!$H$4:$H$303,成本费用登记表!$D$4:$D$303,$A25,成本费用登记表!$AC$4:$AC$303,J$4)+SUMIFS(资金日记账!$I$4:$I$603,资金日记账!$G$4:$G$603,$A25,资金日记账!$U$4:$U$603,"&lt;&gt;是",资金日记账!$V$4:$V$603,J$4),2))</f>
        <v>0</v>
      </c>
      <c r="K25" s="41" t="n">
        <f aca="false">IF($A25="","",ROUND(SUMIFS(成本费用登记表!$H$4:$H$303,成本费用登记表!$D$4:$D$303,$A25,成本费用登记表!$AC$4:$AC$303,K$4)+SUMIFS(资金日记账!$I$4:$I$603,资金日记账!$G$4:$G$603,$A25,资金日记账!$U$4:$U$603,"&lt;&gt;是",资金日记账!$V$4:$V$603,K$4),2))</f>
        <v>0</v>
      </c>
      <c r="L25" s="41" t="n">
        <f aca="false">IF($A25="","",ROUND(SUMIFS(成本费用登记表!$H$4:$H$303,成本费用登记表!$D$4:$D$303,$A25,成本费用登记表!$AC$4:$AC$303,L$4)+SUMIFS(资金日记账!$I$4:$I$603,资金日记账!$G$4:$G$603,$A25,资金日记账!$U$4:$U$603,"&lt;&gt;是",资金日记账!$V$4:$V$603,L$4),2))</f>
        <v>0</v>
      </c>
      <c r="M25" s="41" t="n">
        <f aca="false">IF($A25="","",ROUND(SUMIFS(成本费用登记表!$H$4:$H$303,成本费用登记表!$D$4:$D$303,$A25,成本费用登记表!$AC$4:$AC$303,M$4)+SUMIFS(资金日记账!$I$4:$I$603,资金日记账!$G$4:$G$603,$A25,资金日记账!$U$4:$U$603,"&lt;&gt;是",资金日记账!$V$4:$V$603,M$4),2))</f>
        <v>0</v>
      </c>
      <c r="N25" s="41" t="n">
        <f aca="false">IF($A25="","",ROUND(SUMIFS(成本费用登记表!$H$4:$H$303,成本费用登记表!$D$4:$D$303,$A25,成本费用登记表!$AC$4:$AC$303,N$4)+SUMIFS(资金日记账!$I$4:$I$603,资金日记账!$G$4:$G$603,$A25,资金日记账!$U$4:$U$603,"&lt;&gt;是",资金日记账!$V$4:$V$603,N$4),2))</f>
        <v>0</v>
      </c>
      <c r="O25" s="41" t="n">
        <f aca="false">IF($A25="","",ROUND(SUMIFS(成本费用登记表!$H$4:$H$303,成本费用登记表!$D$4:$D$303,$A25,成本费用登记表!$AC$4:$AC$303,O$4)+SUMIFS(资金日记账!$I$4:$I$603,资金日记账!$G$4:$G$603,$A25,资金日记账!$U$4:$U$603,"&lt;&gt;是",资金日记账!$V$4:$V$603,O$4),2))</f>
        <v>0</v>
      </c>
      <c r="P25" s="41" t="n">
        <f aca="false">IF($A25="","",ROUND(SUMIFS(成本费用登记表!$H$4:$H$303,成本费用登记表!$D$4:$D$303,$A25,成本费用登记表!$AC$4:$AC$303,P$4)+SUMIFS(资金日记账!$I$4:$I$603,资金日记账!$G$4:$G$603,$A25,资金日记账!$U$4:$U$603,"&lt;&gt;是",资金日记账!$V$4:$V$603,P$4),2))</f>
        <v>0</v>
      </c>
      <c r="Q25" s="41" t="n">
        <f aca="false">IF($A25="","",ROUND(SUMIFS(成本费用登记表!$H$4:$H$303,成本费用登记表!$D$4:$D$303,$A25,成本费用登记表!$AC$4:$AC$303,Q$4)+SUMIFS(资金日记账!$I$4:$I$603,资金日记账!$G$4:$G$603,$A25,资金日记账!$U$4:$U$603,"&lt;&gt;是",资金日记账!$V$4:$V$603,Q$4),2))</f>
        <v>0</v>
      </c>
      <c r="R25" s="41" t="n">
        <f aca="false">IF($A25="","",ROUND(SUMIFS(成本费用登记表!$H$4:$H$303,成本费用登记表!$D$4:$D$303,$A25,成本费用登记表!$AC$4:$AC$303,R$4)+SUMIFS(资金日记账!$I$4:$I$603,资金日记账!$G$4:$G$603,$A25,资金日记账!$U$4:$U$603,"&lt;&gt;是",资金日记账!$V$4:$V$603,R$4),2))</f>
        <v>0</v>
      </c>
      <c r="S25" s="41" t="n">
        <f aca="false">IF($A25="","",ROUND(SUMIFS(成本费用登记表!$H$4:$H$303,成本费用登记表!$D$4:$D$303,$A25,成本费用登记表!$AC$4:$AC$303,S$4)+SUMIFS(资金日记账!$I$4:$I$603,资金日记账!$G$4:$G$603,$A25,资金日记账!$U$4:$U$603,"&lt;&gt;是",资金日记账!$V$4:$V$603,S$4),2))</f>
        <v>0</v>
      </c>
      <c r="T25" s="41" t="n">
        <f aca="false">IF($A25="","",ROUND(SUMIFS(成本费用登记表!$H$4:$H$303,成本费用登记表!$D$4:$D$303,$A25,成本费用登记表!$AC$4:$AC$303,T$4)+SUMIFS(资金日记账!$I$4:$I$603,资金日记账!$G$4:$G$603,$A25,资金日记账!$U$4:$U$603,"&lt;&gt;是",资金日记账!$V$4:$V$603,T$4),2))</f>
        <v>0</v>
      </c>
      <c r="U25" s="41" t="n">
        <f aca="false">IF($A25="","",ROUND(SUMIFS(成本费用登记表!$H$4:$H$303,成本费用登记表!$D$4:$D$303,$A25,成本费用登记表!$AC$4:$AC$303,U$4)+SUMIFS(资金日记账!$I$4:$I$603,资金日记账!$G$4:$G$603,$A25,资金日记账!$U$4:$U$603,"&lt;&gt;是",资金日记账!$V$4:$V$603,U$4),2))</f>
        <v>0</v>
      </c>
      <c r="V25" s="41" t="n">
        <f aca="false">IF($A25="","",ROUND(SUMIFS(成本费用登记表!$H$4:$H$303,成本费用登记表!$D$4:$D$303,$A25,成本费用登记表!$AC$4:$AC$303,V$4)+SUMIFS(资金日记账!$I$4:$I$603,资金日记账!$G$4:$G$603,$A25,资金日记账!$U$4:$U$603,"&lt;&gt;是",资金日记账!$V$4:$V$603,V$4),2))</f>
        <v>0</v>
      </c>
      <c r="W25" s="41" t="n">
        <f aca="false">IF($A25="","",ROUND(SUMIFS(成本费用登记表!$H$4:$H$303,成本费用登记表!$D$4:$D$303,$A25,成本费用登记表!$AC$4:$AC$303,W$4)+SUMIFS(资金日记账!$I$4:$I$603,资金日记账!$G$4:$G$603,$A25,资金日记账!$U$4:$U$603,"&lt;&gt;是",资金日记账!$V$4:$V$603,W$4),2))</f>
        <v>0</v>
      </c>
      <c r="X25" s="41" t="n">
        <f aca="false">IF($A25="","",ROUND(SUMIFS(成本费用登记表!$H$4:$H$303,成本费用登记表!$D$4:$D$303,$A25,成本费用登记表!$AC$4:$AC$303,X$4)+SUMIFS(资金日记账!$I$4:$I$603,资金日记账!$G$4:$G$603,$A25,资金日记账!$U$4:$U$603,"&lt;&gt;是",资金日记账!$V$4:$V$603,X$4),2))</f>
        <v>0</v>
      </c>
      <c r="Y25" s="41" t="n">
        <f aca="false">IF($A25="","",ROUND(SUMIFS(成本费用登记表!$H$4:$H$303,成本费用登记表!$D$4:$D$303,$A25,成本费用登记表!$AC$4:$AC$303,Y$4)+SUMIFS(资金日记账!$I$4:$I$603,资金日记账!$G$4:$G$603,$A25,资金日记账!$U$4:$U$603,"&lt;&gt;是",资金日记账!$V$4:$V$603,Y$4),2))</f>
        <v>0</v>
      </c>
      <c r="Z25" s="142" t="n">
        <f aca="false">IF($A25="","",ROUND(SUM($B25:$Y25),2))</f>
        <v>0</v>
      </c>
      <c r="AA25" s="41" t="n">
        <f aca="false">IF($A25="","",ROUND(SUMIF(成本费用登记表!$D$4:$D$303,$A25,成本费用登记表!$AA$4:$AA$303)+SUMIFS(资金日记账!$I$4:$I$603,资金日记账!$G$4:$G$603,$A25,资金日记账!$U$4:$U$603,"&lt;&gt;是"),2))</f>
        <v>0</v>
      </c>
      <c r="AB25" s="41" t="n">
        <f aca="false">IF($A25="","",ROUND(N($Z25)-N($AA25),2))</f>
        <v>0</v>
      </c>
    </row>
    <row r="26" customFormat="false" ht="13.5" hidden="false" customHeight="false" outlineLevel="0" collapsed="false">
      <c r="A26" s="33" t="str">
        <f aca="false">IFERROR(INDEX(_自动清单!$X$4:$X$63,22),"")</f>
        <v>办公设备用品</v>
      </c>
      <c r="B26" s="41" t="n">
        <f aca="false">IF($A26="","",ROUND(SUMIFS(成本费用登记表!$H$4:$H$303,成本费用登记表!$D$4:$D$303,$A26,成本费用登记表!$AC$4:$AC$303,B$4)+SUMIFS(资金日记账!$I$4:$I$603,资金日记账!$G$4:$G$603,$A26,资金日记账!$U$4:$U$603,"&lt;&gt;是",资金日记账!$V$4:$V$603,B$4),2))</f>
        <v>0</v>
      </c>
      <c r="C26" s="41" t="n">
        <f aca="false">IF($A26="","",ROUND(SUMIFS(成本费用登记表!$H$4:$H$303,成本费用登记表!$D$4:$D$303,$A26,成本费用登记表!$AC$4:$AC$303,C$4)+SUMIFS(资金日记账!$I$4:$I$603,资金日记账!$G$4:$G$603,$A26,资金日记账!$U$4:$U$603,"&lt;&gt;是",资金日记账!$V$4:$V$603,C$4),2))</f>
        <v>32</v>
      </c>
      <c r="D26" s="41" t="n">
        <f aca="false">IF($A26="","",ROUND(SUMIFS(成本费用登记表!$H$4:$H$303,成本费用登记表!$D$4:$D$303,$A26,成本费用登记表!$AC$4:$AC$303,D$4)+SUMIFS(资金日记账!$I$4:$I$603,资金日记账!$G$4:$G$603,$A26,资金日记账!$U$4:$U$603,"&lt;&gt;是",资金日记账!$V$4:$V$603,D$4),2))</f>
        <v>0</v>
      </c>
      <c r="E26" s="41" t="n">
        <f aca="false">IF($A26="","",ROUND(SUMIFS(成本费用登记表!$H$4:$H$303,成本费用登记表!$D$4:$D$303,$A26,成本费用登记表!$AC$4:$AC$303,E$4)+SUMIFS(资金日记账!$I$4:$I$603,资金日记账!$G$4:$G$603,$A26,资金日记账!$U$4:$U$603,"&lt;&gt;是",资金日记账!$V$4:$V$603,E$4),2))</f>
        <v>0</v>
      </c>
      <c r="F26" s="41" t="n">
        <f aca="false">IF($A26="","",ROUND(SUMIFS(成本费用登记表!$H$4:$H$303,成本费用登记表!$D$4:$D$303,$A26,成本费用登记表!$AC$4:$AC$303,F$4)+SUMIFS(资金日记账!$I$4:$I$603,资金日记账!$G$4:$G$603,$A26,资金日记账!$U$4:$U$603,"&lt;&gt;是",资金日记账!$V$4:$V$603,F$4),2))</f>
        <v>0</v>
      </c>
      <c r="G26" s="41" t="n">
        <f aca="false">IF($A26="","",ROUND(SUMIFS(成本费用登记表!$H$4:$H$303,成本费用登记表!$D$4:$D$303,$A26,成本费用登记表!$AC$4:$AC$303,G$4)+SUMIFS(资金日记账!$I$4:$I$603,资金日记账!$G$4:$G$603,$A26,资金日记账!$U$4:$U$603,"&lt;&gt;是",资金日记账!$V$4:$V$603,G$4),2))</f>
        <v>0</v>
      </c>
      <c r="H26" s="41" t="n">
        <f aca="false">IF($A26="","",ROUND(SUMIFS(成本费用登记表!$H$4:$H$303,成本费用登记表!$D$4:$D$303,$A26,成本费用登记表!$AC$4:$AC$303,H$4)+SUMIFS(资金日记账!$I$4:$I$603,资金日记账!$G$4:$G$603,$A26,资金日记账!$U$4:$U$603,"&lt;&gt;是",资金日记账!$V$4:$V$603,H$4),2))</f>
        <v>0</v>
      </c>
      <c r="I26" s="41" t="n">
        <f aca="false">IF($A26="","",ROUND(SUMIFS(成本费用登记表!$H$4:$H$303,成本费用登记表!$D$4:$D$303,$A26,成本费用登记表!$AC$4:$AC$303,I$4)+SUMIFS(资金日记账!$I$4:$I$603,资金日记账!$G$4:$G$603,$A26,资金日记账!$U$4:$U$603,"&lt;&gt;是",资金日记账!$V$4:$V$603,I$4),2))</f>
        <v>0</v>
      </c>
      <c r="J26" s="41" t="n">
        <f aca="false">IF($A26="","",ROUND(SUMIFS(成本费用登记表!$H$4:$H$303,成本费用登记表!$D$4:$D$303,$A26,成本费用登记表!$AC$4:$AC$303,J$4)+SUMIFS(资金日记账!$I$4:$I$603,资金日记账!$G$4:$G$603,$A26,资金日记账!$U$4:$U$603,"&lt;&gt;是",资金日记账!$V$4:$V$603,J$4),2))</f>
        <v>0</v>
      </c>
      <c r="K26" s="41" t="n">
        <f aca="false">IF($A26="","",ROUND(SUMIFS(成本费用登记表!$H$4:$H$303,成本费用登记表!$D$4:$D$303,$A26,成本费用登记表!$AC$4:$AC$303,K$4)+SUMIFS(资金日记账!$I$4:$I$603,资金日记账!$G$4:$G$603,$A26,资金日记账!$U$4:$U$603,"&lt;&gt;是",资金日记账!$V$4:$V$603,K$4),2))</f>
        <v>0</v>
      </c>
      <c r="L26" s="41" t="n">
        <f aca="false">IF($A26="","",ROUND(SUMIFS(成本费用登记表!$H$4:$H$303,成本费用登记表!$D$4:$D$303,$A26,成本费用登记表!$AC$4:$AC$303,L$4)+SUMIFS(资金日记账!$I$4:$I$603,资金日记账!$G$4:$G$603,$A26,资金日记账!$U$4:$U$603,"&lt;&gt;是",资金日记账!$V$4:$V$603,L$4),2))</f>
        <v>0</v>
      </c>
      <c r="M26" s="41" t="n">
        <f aca="false">IF($A26="","",ROUND(SUMIFS(成本费用登记表!$H$4:$H$303,成本费用登记表!$D$4:$D$303,$A26,成本费用登记表!$AC$4:$AC$303,M$4)+SUMIFS(资金日记账!$I$4:$I$603,资金日记账!$G$4:$G$603,$A26,资金日记账!$U$4:$U$603,"&lt;&gt;是",资金日记账!$V$4:$V$603,M$4),2))</f>
        <v>0</v>
      </c>
      <c r="N26" s="41" t="n">
        <f aca="false">IF($A26="","",ROUND(SUMIFS(成本费用登记表!$H$4:$H$303,成本费用登记表!$D$4:$D$303,$A26,成本费用登记表!$AC$4:$AC$303,N$4)+SUMIFS(资金日记账!$I$4:$I$603,资金日记账!$G$4:$G$603,$A26,资金日记账!$U$4:$U$603,"&lt;&gt;是",资金日记账!$V$4:$V$603,N$4),2))</f>
        <v>0</v>
      </c>
      <c r="O26" s="41" t="n">
        <f aca="false">IF($A26="","",ROUND(SUMIFS(成本费用登记表!$H$4:$H$303,成本费用登记表!$D$4:$D$303,$A26,成本费用登记表!$AC$4:$AC$303,O$4)+SUMIFS(资金日记账!$I$4:$I$603,资金日记账!$G$4:$G$603,$A26,资金日记账!$U$4:$U$603,"&lt;&gt;是",资金日记账!$V$4:$V$603,O$4),2))</f>
        <v>0</v>
      </c>
      <c r="P26" s="41" t="n">
        <f aca="false">IF($A26="","",ROUND(SUMIFS(成本费用登记表!$H$4:$H$303,成本费用登记表!$D$4:$D$303,$A26,成本费用登记表!$AC$4:$AC$303,P$4)+SUMIFS(资金日记账!$I$4:$I$603,资金日记账!$G$4:$G$603,$A26,资金日记账!$U$4:$U$603,"&lt;&gt;是",资金日记账!$V$4:$V$603,P$4),2))</f>
        <v>0</v>
      </c>
      <c r="Q26" s="41" t="n">
        <f aca="false">IF($A26="","",ROUND(SUMIFS(成本费用登记表!$H$4:$H$303,成本费用登记表!$D$4:$D$303,$A26,成本费用登记表!$AC$4:$AC$303,Q$4)+SUMIFS(资金日记账!$I$4:$I$603,资金日记账!$G$4:$G$603,$A26,资金日记账!$U$4:$U$603,"&lt;&gt;是",资金日记账!$V$4:$V$603,Q$4),2))</f>
        <v>0</v>
      </c>
      <c r="R26" s="41" t="n">
        <f aca="false">IF($A26="","",ROUND(SUMIFS(成本费用登记表!$H$4:$H$303,成本费用登记表!$D$4:$D$303,$A26,成本费用登记表!$AC$4:$AC$303,R$4)+SUMIFS(资金日记账!$I$4:$I$603,资金日记账!$G$4:$G$603,$A26,资金日记账!$U$4:$U$603,"&lt;&gt;是",资金日记账!$V$4:$V$603,R$4),2))</f>
        <v>0</v>
      </c>
      <c r="S26" s="41" t="n">
        <f aca="false">IF($A26="","",ROUND(SUMIFS(成本费用登记表!$H$4:$H$303,成本费用登记表!$D$4:$D$303,$A26,成本费用登记表!$AC$4:$AC$303,S$4)+SUMIFS(资金日记账!$I$4:$I$603,资金日记账!$G$4:$G$603,$A26,资金日记账!$U$4:$U$603,"&lt;&gt;是",资金日记账!$V$4:$V$603,S$4),2))</f>
        <v>0</v>
      </c>
      <c r="T26" s="41" t="n">
        <f aca="false">IF($A26="","",ROUND(SUMIFS(成本费用登记表!$H$4:$H$303,成本费用登记表!$D$4:$D$303,$A26,成本费用登记表!$AC$4:$AC$303,T$4)+SUMIFS(资金日记账!$I$4:$I$603,资金日记账!$G$4:$G$603,$A26,资金日记账!$U$4:$U$603,"&lt;&gt;是",资金日记账!$V$4:$V$603,T$4),2))</f>
        <v>0</v>
      </c>
      <c r="U26" s="41" t="n">
        <f aca="false">IF($A26="","",ROUND(SUMIFS(成本费用登记表!$H$4:$H$303,成本费用登记表!$D$4:$D$303,$A26,成本费用登记表!$AC$4:$AC$303,U$4)+SUMIFS(资金日记账!$I$4:$I$603,资金日记账!$G$4:$G$603,$A26,资金日记账!$U$4:$U$603,"&lt;&gt;是",资金日记账!$V$4:$V$603,U$4),2))</f>
        <v>0</v>
      </c>
      <c r="V26" s="41" t="n">
        <f aca="false">IF($A26="","",ROUND(SUMIFS(成本费用登记表!$H$4:$H$303,成本费用登记表!$D$4:$D$303,$A26,成本费用登记表!$AC$4:$AC$303,V$4)+SUMIFS(资金日记账!$I$4:$I$603,资金日记账!$G$4:$G$603,$A26,资金日记账!$U$4:$U$603,"&lt;&gt;是",资金日记账!$V$4:$V$603,V$4),2))</f>
        <v>0</v>
      </c>
      <c r="W26" s="41" t="n">
        <f aca="false">IF($A26="","",ROUND(SUMIFS(成本费用登记表!$H$4:$H$303,成本费用登记表!$D$4:$D$303,$A26,成本费用登记表!$AC$4:$AC$303,W$4)+SUMIFS(资金日记账!$I$4:$I$603,资金日记账!$G$4:$G$603,$A26,资金日记账!$U$4:$U$603,"&lt;&gt;是",资金日记账!$V$4:$V$603,W$4),2))</f>
        <v>0</v>
      </c>
      <c r="X26" s="41" t="n">
        <f aca="false">IF($A26="","",ROUND(SUMIFS(成本费用登记表!$H$4:$H$303,成本费用登记表!$D$4:$D$303,$A26,成本费用登记表!$AC$4:$AC$303,X$4)+SUMIFS(资金日记账!$I$4:$I$603,资金日记账!$G$4:$G$603,$A26,资金日记账!$U$4:$U$603,"&lt;&gt;是",资金日记账!$V$4:$V$603,X$4),2))</f>
        <v>0</v>
      </c>
      <c r="Y26" s="41" t="n">
        <f aca="false">IF($A26="","",ROUND(SUMIFS(成本费用登记表!$H$4:$H$303,成本费用登记表!$D$4:$D$303,$A26,成本费用登记表!$AC$4:$AC$303,Y$4)+SUMIFS(资金日记账!$I$4:$I$603,资金日记账!$G$4:$G$603,$A26,资金日记账!$U$4:$U$603,"&lt;&gt;是",资金日记账!$V$4:$V$603,Y$4),2))</f>
        <v>0</v>
      </c>
      <c r="Z26" s="142" t="n">
        <f aca="false">IF($A26="","",ROUND(SUM($B26:$Y26),2))</f>
        <v>32</v>
      </c>
      <c r="AA26" s="41" t="n">
        <f aca="false">IF($A26="","",ROUND(SUMIF(成本费用登记表!$D$4:$D$303,$A26,成本费用登记表!$AA$4:$AA$303)+SUMIFS(资金日记账!$I$4:$I$603,资金日记账!$G$4:$G$603,$A26,资金日记账!$U$4:$U$603,"&lt;&gt;是"),2))</f>
        <v>32</v>
      </c>
      <c r="AB26" s="41" t="n">
        <f aca="false">IF($A26="","",ROUND(N($Z26)-N($AA26),2))</f>
        <v>0</v>
      </c>
    </row>
    <row r="27" customFormat="false" ht="13.5" hidden="false" customHeight="false" outlineLevel="0" collapsed="false">
      <c r="A27" s="33" t="str">
        <f aca="false">IFERROR(INDEX(_自动清单!$X$4:$X$63,23),"")</f>
        <v>打印及广告</v>
      </c>
      <c r="B27" s="41" t="n">
        <f aca="false">IF($A27="","",ROUND(SUMIFS(成本费用登记表!$H$4:$H$303,成本费用登记表!$D$4:$D$303,$A27,成本费用登记表!$AC$4:$AC$303,B$4)+SUMIFS(资金日记账!$I$4:$I$603,资金日记账!$G$4:$G$603,$A27,资金日记账!$U$4:$U$603,"&lt;&gt;是",资金日记账!$V$4:$V$603,B$4),2))</f>
        <v>0</v>
      </c>
      <c r="C27" s="41" t="n">
        <f aca="false">IF($A27="","",ROUND(SUMIFS(成本费用登记表!$H$4:$H$303,成本费用登记表!$D$4:$D$303,$A27,成本费用登记表!$AC$4:$AC$303,C$4)+SUMIFS(资金日记账!$I$4:$I$603,资金日记账!$G$4:$G$603,$A27,资金日记账!$U$4:$U$603,"&lt;&gt;是",资金日记账!$V$4:$V$603,C$4),2))</f>
        <v>160</v>
      </c>
      <c r="D27" s="41" t="n">
        <f aca="false">IF($A27="","",ROUND(SUMIFS(成本费用登记表!$H$4:$H$303,成本费用登记表!$D$4:$D$303,$A27,成本费用登记表!$AC$4:$AC$303,D$4)+SUMIFS(资金日记账!$I$4:$I$603,资金日记账!$G$4:$G$603,$A27,资金日记账!$U$4:$U$603,"&lt;&gt;是",资金日记账!$V$4:$V$603,D$4),2))</f>
        <v>0</v>
      </c>
      <c r="E27" s="41" t="n">
        <f aca="false">IF($A27="","",ROUND(SUMIFS(成本费用登记表!$H$4:$H$303,成本费用登记表!$D$4:$D$303,$A27,成本费用登记表!$AC$4:$AC$303,E$4)+SUMIFS(资金日记账!$I$4:$I$603,资金日记账!$G$4:$G$603,$A27,资金日记账!$U$4:$U$603,"&lt;&gt;是",资金日记账!$V$4:$V$603,E$4),2))</f>
        <v>0</v>
      </c>
      <c r="F27" s="41" t="n">
        <f aca="false">IF($A27="","",ROUND(SUMIFS(成本费用登记表!$H$4:$H$303,成本费用登记表!$D$4:$D$303,$A27,成本费用登记表!$AC$4:$AC$303,F$4)+SUMIFS(资金日记账!$I$4:$I$603,资金日记账!$G$4:$G$603,$A27,资金日记账!$U$4:$U$603,"&lt;&gt;是",资金日记账!$V$4:$V$603,F$4),2))</f>
        <v>0</v>
      </c>
      <c r="G27" s="41" t="n">
        <f aca="false">IF($A27="","",ROUND(SUMIFS(成本费用登记表!$H$4:$H$303,成本费用登记表!$D$4:$D$303,$A27,成本费用登记表!$AC$4:$AC$303,G$4)+SUMIFS(资金日记账!$I$4:$I$603,资金日记账!$G$4:$G$603,$A27,资金日记账!$U$4:$U$603,"&lt;&gt;是",资金日记账!$V$4:$V$603,G$4),2))</f>
        <v>0</v>
      </c>
      <c r="H27" s="41" t="n">
        <f aca="false">IF($A27="","",ROUND(SUMIFS(成本费用登记表!$H$4:$H$303,成本费用登记表!$D$4:$D$303,$A27,成本费用登记表!$AC$4:$AC$303,H$4)+SUMIFS(资金日记账!$I$4:$I$603,资金日记账!$G$4:$G$603,$A27,资金日记账!$U$4:$U$603,"&lt;&gt;是",资金日记账!$V$4:$V$603,H$4),2))</f>
        <v>0</v>
      </c>
      <c r="I27" s="41" t="n">
        <f aca="false">IF($A27="","",ROUND(SUMIFS(成本费用登记表!$H$4:$H$303,成本费用登记表!$D$4:$D$303,$A27,成本费用登记表!$AC$4:$AC$303,I$4)+SUMIFS(资金日记账!$I$4:$I$603,资金日记账!$G$4:$G$603,$A27,资金日记账!$U$4:$U$603,"&lt;&gt;是",资金日记账!$V$4:$V$603,I$4),2))</f>
        <v>0</v>
      </c>
      <c r="J27" s="41" t="n">
        <f aca="false">IF($A27="","",ROUND(SUMIFS(成本费用登记表!$H$4:$H$303,成本费用登记表!$D$4:$D$303,$A27,成本费用登记表!$AC$4:$AC$303,J$4)+SUMIFS(资金日记账!$I$4:$I$603,资金日记账!$G$4:$G$603,$A27,资金日记账!$U$4:$U$603,"&lt;&gt;是",资金日记账!$V$4:$V$603,J$4),2))</f>
        <v>0</v>
      </c>
      <c r="K27" s="41" t="n">
        <f aca="false">IF($A27="","",ROUND(SUMIFS(成本费用登记表!$H$4:$H$303,成本费用登记表!$D$4:$D$303,$A27,成本费用登记表!$AC$4:$AC$303,K$4)+SUMIFS(资金日记账!$I$4:$I$603,资金日记账!$G$4:$G$603,$A27,资金日记账!$U$4:$U$603,"&lt;&gt;是",资金日记账!$V$4:$V$603,K$4),2))</f>
        <v>0</v>
      </c>
      <c r="L27" s="41" t="n">
        <f aca="false">IF($A27="","",ROUND(SUMIFS(成本费用登记表!$H$4:$H$303,成本费用登记表!$D$4:$D$303,$A27,成本费用登记表!$AC$4:$AC$303,L$4)+SUMIFS(资金日记账!$I$4:$I$603,资金日记账!$G$4:$G$603,$A27,资金日记账!$U$4:$U$603,"&lt;&gt;是",资金日记账!$V$4:$V$603,L$4),2))</f>
        <v>0</v>
      </c>
      <c r="M27" s="41" t="n">
        <f aca="false">IF($A27="","",ROUND(SUMIFS(成本费用登记表!$H$4:$H$303,成本费用登记表!$D$4:$D$303,$A27,成本费用登记表!$AC$4:$AC$303,M$4)+SUMIFS(资金日记账!$I$4:$I$603,资金日记账!$G$4:$G$603,$A27,资金日记账!$U$4:$U$603,"&lt;&gt;是",资金日记账!$V$4:$V$603,M$4),2))</f>
        <v>0</v>
      </c>
      <c r="N27" s="41" t="n">
        <f aca="false">IF($A27="","",ROUND(SUMIFS(成本费用登记表!$H$4:$H$303,成本费用登记表!$D$4:$D$303,$A27,成本费用登记表!$AC$4:$AC$303,N$4)+SUMIFS(资金日记账!$I$4:$I$603,资金日记账!$G$4:$G$603,$A27,资金日记账!$U$4:$U$603,"&lt;&gt;是",资金日记账!$V$4:$V$603,N$4),2))</f>
        <v>0</v>
      </c>
      <c r="O27" s="41" t="n">
        <f aca="false">IF($A27="","",ROUND(SUMIFS(成本费用登记表!$H$4:$H$303,成本费用登记表!$D$4:$D$303,$A27,成本费用登记表!$AC$4:$AC$303,O$4)+SUMIFS(资金日记账!$I$4:$I$603,资金日记账!$G$4:$G$603,$A27,资金日记账!$U$4:$U$603,"&lt;&gt;是",资金日记账!$V$4:$V$603,O$4),2))</f>
        <v>0</v>
      </c>
      <c r="P27" s="41" t="n">
        <f aca="false">IF($A27="","",ROUND(SUMIFS(成本费用登记表!$H$4:$H$303,成本费用登记表!$D$4:$D$303,$A27,成本费用登记表!$AC$4:$AC$303,P$4)+SUMIFS(资金日记账!$I$4:$I$603,资金日记账!$G$4:$G$603,$A27,资金日记账!$U$4:$U$603,"&lt;&gt;是",资金日记账!$V$4:$V$603,P$4),2))</f>
        <v>0</v>
      </c>
      <c r="Q27" s="41" t="n">
        <f aca="false">IF($A27="","",ROUND(SUMIFS(成本费用登记表!$H$4:$H$303,成本费用登记表!$D$4:$D$303,$A27,成本费用登记表!$AC$4:$AC$303,Q$4)+SUMIFS(资金日记账!$I$4:$I$603,资金日记账!$G$4:$G$603,$A27,资金日记账!$U$4:$U$603,"&lt;&gt;是",资金日记账!$V$4:$V$603,Q$4),2))</f>
        <v>0</v>
      </c>
      <c r="R27" s="41" t="n">
        <f aca="false">IF($A27="","",ROUND(SUMIFS(成本费用登记表!$H$4:$H$303,成本费用登记表!$D$4:$D$303,$A27,成本费用登记表!$AC$4:$AC$303,R$4)+SUMIFS(资金日记账!$I$4:$I$603,资金日记账!$G$4:$G$603,$A27,资金日记账!$U$4:$U$603,"&lt;&gt;是",资金日记账!$V$4:$V$603,R$4),2))</f>
        <v>0</v>
      </c>
      <c r="S27" s="41" t="n">
        <f aca="false">IF($A27="","",ROUND(SUMIFS(成本费用登记表!$H$4:$H$303,成本费用登记表!$D$4:$D$303,$A27,成本费用登记表!$AC$4:$AC$303,S$4)+SUMIFS(资金日记账!$I$4:$I$603,资金日记账!$G$4:$G$603,$A27,资金日记账!$U$4:$U$603,"&lt;&gt;是",资金日记账!$V$4:$V$603,S$4),2))</f>
        <v>0</v>
      </c>
      <c r="T27" s="41" t="n">
        <f aca="false">IF($A27="","",ROUND(SUMIFS(成本费用登记表!$H$4:$H$303,成本费用登记表!$D$4:$D$303,$A27,成本费用登记表!$AC$4:$AC$303,T$4)+SUMIFS(资金日记账!$I$4:$I$603,资金日记账!$G$4:$G$603,$A27,资金日记账!$U$4:$U$603,"&lt;&gt;是",资金日记账!$V$4:$V$603,T$4),2))</f>
        <v>0</v>
      </c>
      <c r="U27" s="41" t="n">
        <f aca="false">IF($A27="","",ROUND(SUMIFS(成本费用登记表!$H$4:$H$303,成本费用登记表!$D$4:$D$303,$A27,成本费用登记表!$AC$4:$AC$303,U$4)+SUMIFS(资金日记账!$I$4:$I$603,资金日记账!$G$4:$G$603,$A27,资金日记账!$U$4:$U$603,"&lt;&gt;是",资金日记账!$V$4:$V$603,U$4),2))</f>
        <v>0</v>
      </c>
      <c r="V27" s="41" t="n">
        <f aca="false">IF($A27="","",ROUND(SUMIFS(成本费用登记表!$H$4:$H$303,成本费用登记表!$D$4:$D$303,$A27,成本费用登记表!$AC$4:$AC$303,V$4)+SUMIFS(资金日记账!$I$4:$I$603,资金日记账!$G$4:$G$603,$A27,资金日记账!$U$4:$U$603,"&lt;&gt;是",资金日记账!$V$4:$V$603,V$4),2))</f>
        <v>0</v>
      </c>
      <c r="W27" s="41" t="n">
        <f aca="false">IF($A27="","",ROUND(SUMIFS(成本费用登记表!$H$4:$H$303,成本费用登记表!$D$4:$D$303,$A27,成本费用登记表!$AC$4:$AC$303,W$4)+SUMIFS(资金日记账!$I$4:$I$603,资金日记账!$G$4:$G$603,$A27,资金日记账!$U$4:$U$603,"&lt;&gt;是",资金日记账!$V$4:$V$603,W$4),2))</f>
        <v>0</v>
      </c>
      <c r="X27" s="41" t="n">
        <f aca="false">IF($A27="","",ROUND(SUMIFS(成本费用登记表!$H$4:$H$303,成本费用登记表!$D$4:$D$303,$A27,成本费用登记表!$AC$4:$AC$303,X$4)+SUMIFS(资金日记账!$I$4:$I$603,资金日记账!$G$4:$G$603,$A27,资金日记账!$U$4:$U$603,"&lt;&gt;是",资金日记账!$V$4:$V$603,X$4),2))</f>
        <v>0</v>
      </c>
      <c r="Y27" s="41" t="n">
        <f aca="false">IF($A27="","",ROUND(SUMIFS(成本费用登记表!$H$4:$H$303,成本费用登记表!$D$4:$D$303,$A27,成本费用登记表!$AC$4:$AC$303,Y$4)+SUMIFS(资金日记账!$I$4:$I$603,资金日记账!$G$4:$G$603,$A27,资金日记账!$U$4:$U$603,"&lt;&gt;是",资金日记账!$V$4:$V$603,Y$4),2))</f>
        <v>0</v>
      </c>
      <c r="Z27" s="142" t="n">
        <f aca="false">IF($A27="","",ROUND(SUM($B27:$Y27),2))</f>
        <v>160</v>
      </c>
      <c r="AA27" s="41" t="n">
        <f aca="false">IF($A27="","",ROUND(SUMIF(成本费用登记表!$D$4:$D$303,$A27,成本费用登记表!$AA$4:$AA$303)+SUMIFS(资金日记账!$I$4:$I$603,资金日记账!$G$4:$G$603,$A27,资金日记账!$U$4:$U$603,"&lt;&gt;是"),2))</f>
        <v>160</v>
      </c>
      <c r="AB27" s="41" t="n">
        <f aca="false">IF($A27="","",ROUND(N($Z27)-N($AA27),2))</f>
        <v>0</v>
      </c>
    </row>
    <row r="28" customFormat="false" ht="13.5" hidden="false" customHeight="false" outlineLevel="0" collapsed="false">
      <c r="A28" s="33" t="str">
        <f aca="false">IFERROR(INDEX(_自动清单!$X$4:$X$63,24),"")</f>
        <v>厨房吃</v>
      </c>
      <c r="B28" s="41" t="n">
        <f aca="false">IF($A28="","",ROUND(SUMIFS(成本费用登记表!$H$4:$H$303,成本费用登记表!$D$4:$D$303,$A28,成本费用登记表!$AC$4:$AC$303,B$4)+SUMIFS(资金日记账!$I$4:$I$603,资金日记账!$G$4:$G$603,$A28,资金日记账!$U$4:$U$603,"&lt;&gt;是",资金日记账!$V$4:$V$603,B$4),2))</f>
        <v>0</v>
      </c>
      <c r="C28" s="41" t="n">
        <f aca="false">IF($A28="","",ROUND(SUMIFS(成本费用登记表!$H$4:$H$303,成本费用登记表!$D$4:$D$303,$A28,成本费用登记表!$AC$4:$AC$303,C$4)+SUMIFS(资金日记账!$I$4:$I$603,资金日记账!$G$4:$G$603,$A28,资金日记账!$U$4:$U$603,"&lt;&gt;是",资金日记账!$V$4:$V$603,C$4),2))</f>
        <v>1023</v>
      </c>
      <c r="D28" s="41" t="n">
        <f aca="false">IF($A28="","",ROUND(SUMIFS(成本费用登记表!$H$4:$H$303,成本费用登记表!$D$4:$D$303,$A28,成本费用登记表!$AC$4:$AC$303,D$4)+SUMIFS(资金日记账!$I$4:$I$603,资金日记账!$G$4:$G$603,$A28,资金日记账!$U$4:$U$603,"&lt;&gt;是",资金日记账!$V$4:$V$603,D$4),2))</f>
        <v>0</v>
      </c>
      <c r="E28" s="41" t="n">
        <f aca="false">IF($A28="","",ROUND(SUMIFS(成本费用登记表!$H$4:$H$303,成本费用登记表!$D$4:$D$303,$A28,成本费用登记表!$AC$4:$AC$303,E$4)+SUMIFS(资金日记账!$I$4:$I$603,资金日记账!$G$4:$G$603,$A28,资金日记账!$U$4:$U$603,"&lt;&gt;是",资金日记账!$V$4:$V$603,E$4),2))</f>
        <v>0</v>
      </c>
      <c r="F28" s="41" t="n">
        <f aca="false">IF($A28="","",ROUND(SUMIFS(成本费用登记表!$H$4:$H$303,成本费用登记表!$D$4:$D$303,$A28,成本费用登记表!$AC$4:$AC$303,F$4)+SUMIFS(资金日记账!$I$4:$I$603,资金日记账!$G$4:$G$603,$A28,资金日记账!$U$4:$U$603,"&lt;&gt;是",资金日记账!$V$4:$V$603,F$4),2))</f>
        <v>0</v>
      </c>
      <c r="G28" s="41" t="n">
        <f aca="false">IF($A28="","",ROUND(SUMIFS(成本费用登记表!$H$4:$H$303,成本费用登记表!$D$4:$D$303,$A28,成本费用登记表!$AC$4:$AC$303,G$4)+SUMIFS(资金日记账!$I$4:$I$603,资金日记账!$G$4:$G$603,$A28,资金日记账!$U$4:$U$603,"&lt;&gt;是",资金日记账!$V$4:$V$603,G$4),2))</f>
        <v>0</v>
      </c>
      <c r="H28" s="41" t="n">
        <f aca="false">IF($A28="","",ROUND(SUMIFS(成本费用登记表!$H$4:$H$303,成本费用登记表!$D$4:$D$303,$A28,成本费用登记表!$AC$4:$AC$303,H$4)+SUMIFS(资金日记账!$I$4:$I$603,资金日记账!$G$4:$G$603,$A28,资金日记账!$U$4:$U$603,"&lt;&gt;是",资金日记账!$V$4:$V$603,H$4),2))</f>
        <v>0</v>
      </c>
      <c r="I28" s="41" t="n">
        <f aca="false">IF($A28="","",ROUND(SUMIFS(成本费用登记表!$H$4:$H$303,成本费用登记表!$D$4:$D$303,$A28,成本费用登记表!$AC$4:$AC$303,I$4)+SUMIFS(资金日记账!$I$4:$I$603,资金日记账!$G$4:$G$603,$A28,资金日记账!$U$4:$U$603,"&lt;&gt;是",资金日记账!$V$4:$V$603,I$4),2))</f>
        <v>0</v>
      </c>
      <c r="J28" s="41" t="n">
        <f aca="false">IF($A28="","",ROUND(SUMIFS(成本费用登记表!$H$4:$H$303,成本费用登记表!$D$4:$D$303,$A28,成本费用登记表!$AC$4:$AC$303,J$4)+SUMIFS(资金日记账!$I$4:$I$603,资金日记账!$G$4:$G$603,$A28,资金日记账!$U$4:$U$603,"&lt;&gt;是",资金日记账!$V$4:$V$603,J$4),2))</f>
        <v>0</v>
      </c>
      <c r="K28" s="41" t="n">
        <f aca="false">IF($A28="","",ROUND(SUMIFS(成本费用登记表!$H$4:$H$303,成本费用登记表!$D$4:$D$303,$A28,成本费用登记表!$AC$4:$AC$303,K$4)+SUMIFS(资金日记账!$I$4:$I$603,资金日记账!$G$4:$G$603,$A28,资金日记账!$U$4:$U$603,"&lt;&gt;是",资金日记账!$V$4:$V$603,K$4),2))</f>
        <v>0</v>
      </c>
      <c r="L28" s="41" t="n">
        <f aca="false">IF($A28="","",ROUND(SUMIFS(成本费用登记表!$H$4:$H$303,成本费用登记表!$D$4:$D$303,$A28,成本费用登记表!$AC$4:$AC$303,L$4)+SUMIFS(资金日记账!$I$4:$I$603,资金日记账!$G$4:$G$603,$A28,资金日记账!$U$4:$U$603,"&lt;&gt;是",资金日记账!$V$4:$V$603,L$4),2))</f>
        <v>0</v>
      </c>
      <c r="M28" s="41" t="n">
        <f aca="false">IF($A28="","",ROUND(SUMIFS(成本费用登记表!$H$4:$H$303,成本费用登记表!$D$4:$D$303,$A28,成本费用登记表!$AC$4:$AC$303,M$4)+SUMIFS(资金日记账!$I$4:$I$603,资金日记账!$G$4:$G$603,$A28,资金日记账!$U$4:$U$603,"&lt;&gt;是",资金日记账!$V$4:$V$603,M$4),2))</f>
        <v>0</v>
      </c>
      <c r="N28" s="41" t="n">
        <f aca="false">IF($A28="","",ROUND(SUMIFS(成本费用登记表!$H$4:$H$303,成本费用登记表!$D$4:$D$303,$A28,成本费用登记表!$AC$4:$AC$303,N$4)+SUMIFS(资金日记账!$I$4:$I$603,资金日记账!$G$4:$G$603,$A28,资金日记账!$U$4:$U$603,"&lt;&gt;是",资金日记账!$V$4:$V$603,N$4),2))</f>
        <v>0</v>
      </c>
      <c r="O28" s="41" t="n">
        <f aca="false">IF($A28="","",ROUND(SUMIFS(成本费用登记表!$H$4:$H$303,成本费用登记表!$D$4:$D$303,$A28,成本费用登记表!$AC$4:$AC$303,O$4)+SUMIFS(资金日记账!$I$4:$I$603,资金日记账!$G$4:$G$603,$A28,资金日记账!$U$4:$U$603,"&lt;&gt;是",资金日记账!$V$4:$V$603,O$4),2))</f>
        <v>0</v>
      </c>
      <c r="P28" s="41" t="n">
        <f aca="false">IF($A28="","",ROUND(SUMIFS(成本费用登记表!$H$4:$H$303,成本费用登记表!$D$4:$D$303,$A28,成本费用登记表!$AC$4:$AC$303,P$4)+SUMIFS(资金日记账!$I$4:$I$603,资金日记账!$G$4:$G$603,$A28,资金日记账!$U$4:$U$603,"&lt;&gt;是",资金日记账!$V$4:$V$603,P$4),2))</f>
        <v>0</v>
      </c>
      <c r="Q28" s="41" t="n">
        <f aca="false">IF($A28="","",ROUND(SUMIFS(成本费用登记表!$H$4:$H$303,成本费用登记表!$D$4:$D$303,$A28,成本费用登记表!$AC$4:$AC$303,Q$4)+SUMIFS(资金日记账!$I$4:$I$603,资金日记账!$G$4:$G$603,$A28,资金日记账!$U$4:$U$603,"&lt;&gt;是",资金日记账!$V$4:$V$603,Q$4),2))</f>
        <v>0</v>
      </c>
      <c r="R28" s="41" t="n">
        <f aca="false">IF($A28="","",ROUND(SUMIFS(成本费用登记表!$H$4:$H$303,成本费用登记表!$D$4:$D$303,$A28,成本费用登记表!$AC$4:$AC$303,R$4)+SUMIFS(资金日记账!$I$4:$I$603,资金日记账!$G$4:$G$603,$A28,资金日记账!$U$4:$U$603,"&lt;&gt;是",资金日记账!$V$4:$V$603,R$4),2))</f>
        <v>0</v>
      </c>
      <c r="S28" s="41" t="n">
        <f aca="false">IF($A28="","",ROUND(SUMIFS(成本费用登记表!$H$4:$H$303,成本费用登记表!$D$4:$D$303,$A28,成本费用登记表!$AC$4:$AC$303,S$4)+SUMIFS(资金日记账!$I$4:$I$603,资金日记账!$G$4:$G$603,$A28,资金日记账!$U$4:$U$603,"&lt;&gt;是",资金日记账!$V$4:$V$603,S$4),2))</f>
        <v>0</v>
      </c>
      <c r="T28" s="41" t="n">
        <f aca="false">IF($A28="","",ROUND(SUMIFS(成本费用登记表!$H$4:$H$303,成本费用登记表!$D$4:$D$303,$A28,成本费用登记表!$AC$4:$AC$303,T$4)+SUMIFS(资金日记账!$I$4:$I$603,资金日记账!$G$4:$G$603,$A28,资金日记账!$U$4:$U$603,"&lt;&gt;是",资金日记账!$V$4:$V$603,T$4),2))</f>
        <v>0</v>
      </c>
      <c r="U28" s="41" t="n">
        <f aca="false">IF($A28="","",ROUND(SUMIFS(成本费用登记表!$H$4:$H$303,成本费用登记表!$D$4:$D$303,$A28,成本费用登记表!$AC$4:$AC$303,U$4)+SUMIFS(资金日记账!$I$4:$I$603,资金日记账!$G$4:$G$603,$A28,资金日记账!$U$4:$U$603,"&lt;&gt;是",资金日记账!$V$4:$V$603,U$4),2))</f>
        <v>0</v>
      </c>
      <c r="V28" s="41" t="n">
        <f aca="false">IF($A28="","",ROUND(SUMIFS(成本费用登记表!$H$4:$H$303,成本费用登记表!$D$4:$D$303,$A28,成本费用登记表!$AC$4:$AC$303,V$4)+SUMIFS(资金日记账!$I$4:$I$603,资金日记账!$G$4:$G$603,$A28,资金日记账!$U$4:$U$603,"&lt;&gt;是",资金日记账!$V$4:$V$603,V$4),2))</f>
        <v>0</v>
      </c>
      <c r="W28" s="41" t="n">
        <f aca="false">IF($A28="","",ROUND(SUMIFS(成本费用登记表!$H$4:$H$303,成本费用登记表!$D$4:$D$303,$A28,成本费用登记表!$AC$4:$AC$303,W$4)+SUMIFS(资金日记账!$I$4:$I$603,资金日记账!$G$4:$G$603,$A28,资金日记账!$U$4:$U$603,"&lt;&gt;是",资金日记账!$V$4:$V$603,W$4),2))</f>
        <v>0</v>
      </c>
      <c r="X28" s="41" t="n">
        <f aca="false">IF($A28="","",ROUND(SUMIFS(成本费用登记表!$H$4:$H$303,成本费用登记表!$D$4:$D$303,$A28,成本费用登记表!$AC$4:$AC$303,X$4)+SUMIFS(资金日记账!$I$4:$I$603,资金日记账!$G$4:$G$603,$A28,资金日记账!$U$4:$U$603,"&lt;&gt;是",资金日记账!$V$4:$V$603,X$4),2))</f>
        <v>0</v>
      </c>
      <c r="Y28" s="41" t="n">
        <f aca="false">IF($A28="","",ROUND(SUMIFS(成本费用登记表!$H$4:$H$303,成本费用登记表!$D$4:$D$303,$A28,成本费用登记表!$AC$4:$AC$303,Y$4)+SUMIFS(资金日记账!$I$4:$I$603,资金日记账!$G$4:$G$603,$A28,资金日记账!$U$4:$U$603,"&lt;&gt;是",资金日记账!$V$4:$V$603,Y$4),2))</f>
        <v>0</v>
      </c>
      <c r="Z28" s="142" t="n">
        <f aca="false">IF($A28="","",ROUND(SUM($B28:$Y28),2))</f>
        <v>1023</v>
      </c>
      <c r="AA28" s="41" t="n">
        <f aca="false">IF($A28="","",ROUND(SUMIF(成本费用登记表!$D$4:$D$303,$A28,成本费用登记表!$AA$4:$AA$303)+SUMIFS(资金日记账!$I$4:$I$603,资金日记账!$G$4:$G$603,$A28,资金日记账!$U$4:$U$603,"&lt;&gt;是"),2))</f>
        <v>1023</v>
      </c>
      <c r="AB28" s="41" t="n">
        <f aca="false">IF($A28="","",ROUND(N($Z28)-N($AA28),2))</f>
        <v>0</v>
      </c>
    </row>
    <row r="29" customFormat="false" ht="13.5" hidden="false" customHeight="false" outlineLevel="0" collapsed="false">
      <c r="A29" s="33" t="str">
        <f aca="false">IFERROR(INDEX(_自动清单!$X$4:$X$63,25),"")</f>
        <v>五金店</v>
      </c>
      <c r="B29" s="41" t="n">
        <f aca="false">IF($A29="","",ROUND(SUMIFS(成本费用登记表!$H$4:$H$303,成本费用登记表!$D$4:$D$303,$A29,成本费用登记表!$AC$4:$AC$303,B$4)+SUMIFS(资金日记账!$I$4:$I$603,资金日记账!$G$4:$G$603,$A29,资金日记账!$U$4:$U$603,"&lt;&gt;是",资金日记账!$V$4:$V$603,B$4),2))</f>
        <v>0</v>
      </c>
      <c r="C29" s="41" t="n">
        <f aca="false">IF($A29="","",ROUND(SUMIFS(成本费用登记表!$H$4:$H$303,成本费用登记表!$D$4:$D$303,$A29,成本费用登记表!$AC$4:$AC$303,C$4)+SUMIFS(资金日记账!$I$4:$I$603,资金日记账!$G$4:$G$603,$A29,资金日记账!$U$4:$U$603,"&lt;&gt;是",资金日记账!$V$4:$V$603,C$4),2))</f>
        <v>180</v>
      </c>
      <c r="D29" s="41" t="n">
        <f aca="false">IF($A29="","",ROUND(SUMIFS(成本费用登记表!$H$4:$H$303,成本费用登记表!$D$4:$D$303,$A29,成本费用登记表!$AC$4:$AC$303,D$4)+SUMIFS(资金日记账!$I$4:$I$603,资金日记账!$G$4:$G$603,$A29,资金日记账!$U$4:$U$603,"&lt;&gt;是",资金日记账!$V$4:$V$603,D$4),2))</f>
        <v>0</v>
      </c>
      <c r="E29" s="41" t="n">
        <f aca="false">IF($A29="","",ROUND(SUMIFS(成本费用登记表!$H$4:$H$303,成本费用登记表!$D$4:$D$303,$A29,成本费用登记表!$AC$4:$AC$303,E$4)+SUMIFS(资金日记账!$I$4:$I$603,资金日记账!$G$4:$G$603,$A29,资金日记账!$U$4:$U$603,"&lt;&gt;是",资金日记账!$V$4:$V$603,E$4),2))</f>
        <v>0</v>
      </c>
      <c r="F29" s="41" t="n">
        <f aca="false">IF($A29="","",ROUND(SUMIFS(成本费用登记表!$H$4:$H$303,成本费用登记表!$D$4:$D$303,$A29,成本费用登记表!$AC$4:$AC$303,F$4)+SUMIFS(资金日记账!$I$4:$I$603,资金日记账!$G$4:$G$603,$A29,资金日记账!$U$4:$U$603,"&lt;&gt;是",资金日记账!$V$4:$V$603,F$4),2))</f>
        <v>0</v>
      </c>
      <c r="G29" s="41" t="n">
        <f aca="false">IF($A29="","",ROUND(SUMIFS(成本费用登记表!$H$4:$H$303,成本费用登记表!$D$4:$D$303,$A29,成本费用登记表!$AC$4:$AC$303,G$4)+SUMIFS(资金日记账!$I$4:$I$603,资金日记账!$G$4:$G$603,$A29,资金日记账!$U$4:$U$603,"&lt;&gt;是",资金日记账!$V$4:$V$603,G$4),2))</f>
        <v>0</v>
      </c>
      <c r="H29" s="41" t="n">
        <f aca="false">IF($A29="","",ROUND(SUMIFS(成本费用登记表!$H$4:$H$303,成本费用登记表!$D$4:$D$303,$A29,成本费用登记表!$AC$4:$AC$303,H$4)+SUMIFS(资金日记账!$I$4:$I$603,资金日记账!$G$4:$G$603,$A29,资金日记账!$U$4:$U$603,"&lt;&gt;是",资金日记账!$V$4:$V$603,H$4),2))</f>
        <v>0</v>
      </c>
      <c r="I29" s="41" t="n">
        <f aca="false">IF($A29="","",ROUND(SUMIFS(成本费用登记表!$H$4:$H$303,成本费用登记表!$D$4:$D$303,$A29,成本费用登记表!$AC$4:$AC$303,I$4)+SUMIFS(资金日记账!$I$4:$I$603,资金日记账!$G$4:$G$603,$A29,资金日记账!$U$4:$U$603,"&lt;&gt;是",资金日记账!$V$4:$V$603,I$4),2))</f>
        <v>0</v>
      </c>
      <c r="J29" s="41" t="n">
        <f aca="false">IF($A29="","",ROUND(SUMIFS(成本费用登记表!$H$4:$H$303,成本费用登记表!$D$4:$D$303,$A29,成本费用登记表!$AC$4:$AC$303,J$4)+SUMIFS(资金日记账!$I$4:$I$603,资金日记账!$G$4:$G$603,$A29,资金日记账!$U$4:$U$603,"&lt;&gt;是",资金日记账!$V$4:$V$603,J$4),2))</f>
        <v>0</v>
      </c>
      <c r="K29" s="41" t="n">
        <f aca="false">IF($A29="","",ROUND(SUMIFS(成本费用登记表!$H$4:$H$303,成本费用登记表!$D$4:$D$303,$A29,成本费用登记表!$AC$4:$AC$303,K$4)+SUMIFS(资金日记账!$I$4:$I$603,资金日记账!$G$4:$G$603,$A29,资金日记账!$U$4:$U$603,"&lt;&gt;是",资金日记账!$V$4:$V$603,K$4),2))</f>
        <v>0</v>
      </c>
      <c r="L29" s="41" t="n">
        <f aca="false">IF($A29="","",ROUND(SUMIFS(成本费用登记表!$H$4:$H$303,成本费用登记表!$D$4:$D$303,$A29,成本费用登记表!$AC$4:$AC$303,L$4)+SUMIFS(资金日记账!$I$4:$I$603,资金日记账!$G$4:$G$603,$A29,资金日记账!$U$4:$U$603,"&lt;&gt;是",资金日记账!$V$4:$V$603,L$4),2))</f>
        <v>0</v>
      </c>
      <c r="M29" s="41" t="n">
        <f aca="false">IF($A29="","",ROUND(SUMIFS(成本费用登记表!$H$4:$H$303,成本费用登记表!$D$4:$D$303,$A29,成本费用登记表!$AC$4:$AC$303,M$4)+SUMIFS(资金日记账!$I$4:$I$603,资金日记账!$G$4:$G$603,$A29,资金日记账!$U$4:$U$603,"&lt;&gt;是",资金日记账!$V$4:$V$603,M$4),2))</f>
        <v>0</v>
      </c>
      <c r="N29" s="41" t="n">
        <f aca="false">IF($A29="","",ROUND(SUMIFS(成本费用登记表!$H$4:$H$303,成本费用登记表!$D$4:$D$303,$A29,成本费用登记表!$AC$4:$AC$303,N$4)+SUMIFS(资金日记账!$I$4:$I$603,资金日记账!$G$4:$G$603,$A29,资金日记账!$U$4:$U$603,"&lt;&gt;是",资金日记账!$V$4:$V$603,N$4),2))</f>
        <v>0</v>
      </c>
      <c r="O29" s="41" t="n">
        <f aca="false">IF($A29="","",ROUND(SUMIFS(成本费用登记表!$H$4:$H$303,成本费用登记表!$D$4:$D$303,$A29,成本费用登记表!$AC$4:$AC$303,O$4)+SUMIFS(资金日记账!$I$4:$I$603,资金日记账!$G$4:$G$603,$A29,资金日记账!$U$4:$U$603,"&lt;&gt;是",资金日记账!$V$4:$V$603,O$4),2))</f>
        <v>0</v>
      </c>
      <c r="P29" s="41" t="n">
        <f aca="false">IF($A29="","",ROUND(SUMIFS(成本费用登记表!$H$4:$H$303,成本费用登记表!$D$4:$D$303,$A29,成本费用登记表!$AC$4:$AC$303,P$4)+SUMIFS(资金日记账!$I$4:$I$603,资金日记账!$G$4:$G$603,$A29,资金日记账!$U$4:$U$603,"&lt;&gt;是",资金日记账!$V$4:$V$603,P$4),2))</f>
        <v>0</v>
      </c>
      <c r="Q29" s="41" t="n">
        <f aca="false">IF($A29="","",ROUND(SUMIFS(成本费用登记表!$H$4:$H$303,成本费用登记表!$D$4:$D$303,$A29,成本费用登记表!$AC$4:$AC$303,Q$4)+SUMIFS(资金日记账!$I$4:$I$603,资金日记账!$G$4:$G$603,$A29,资金日记账!$U$4:$U$603,"&lt;&gt;是",资金日记账!$V$4:$V$603,Q$4),2))</f>
        <v>0</v>
      </c>
      <c r="R29" s="41" t="n">
        <f aca="false">IF($A29="","",ROUND(SUMIFS(成本费用登记表!$H$4:$H$303,成本费用登记表!$D$4:$D$303,$A29,成本费用登记表!$AC$4:$AC$303,R$4)+SUMIFS(资金日记账!$I$4:$I$603,资金日记账!$G$4:$G$603,$A29,资金日记账!$U$4:$U$603,"&lt;&gt;是",资金日记账!$V$4:$V$603,R$4),2))</f>
        <v>0</v>
      </c>
      <c r="S29" s="41" t="n">
        <f aca="false">IF($A29="","",ROUND(SUMIFS(成本费用登记表!$H$4:$H$303,成本费用登记表!$D$4:$D$303,$A29,成本费用登记表!$AC$4:$AC$303,S$4)+SUMIFS(资金日记账!$I$4:$I$603,资金日记账!$G$4:$G$603,$A29,资金日记账!$U$4:$U$603,"&lt;&gt;是",资金日记账!$V$4:$V$603,S$4),2))</f>
        <v>0</v>
      </c>
      <c r="T29" s="41" t="n">
        <f aca="false">IF($A29="","",ROUND(SUMIFS(成本费用登记表!$H$4:$H$303,成本费用登记表!$D$4:$D$303,$A29,成本费用登记表!$AC$4:$AC$303,T$4)+SUMIFS(资金日记账!$I$4:$I$603,资金日记账!$G$4:$G$603,$A29,资金日记账!$U$4:$U$603,"&lt;&gt;是",资金日记账!$V$4:$V$603,T$4),2))</f>
        <v>0</v>
      </c>
      <c r="U29" s="41" t="n">
        <f aca="false">IF($A29="","",ROUND(SUMIFS(成本费用登记表!$H$4:$H$303,成本费用登记表!$D$4:$D$303,$A29,成本费用登记表!$AC$4:$AC$303,U$4)+SUMIFS(资金日记账!$I$4:$I$603,资金日记账!$G$4:$G$603,$A29,资金日记账!$U$4:$U$603,"&lt;&gt;是",资金日记账!$V$4:$V$603,U$4),2))</f>
        <v>0</v>
      </c>
      <c r="V29" s="41" t="n">
        <f aca="false">IF($A29="","",ROUND(SUMIFS(成本费用登记表!$H$4:$H$303,成本费用登记表!$D$4:$D$303,$A29,成本费用登记表!$AC$4:$AC$303,V$4)+SUMIFS(资金日记账!$I$4:$I$603,资金日记账!$G$4:$G$603,$A29,资金日记账!$U$4:$U$603,"&lt;&gt;是",资金日记账!$V$4:$V$603,V$4),2))</f>
        <v>0</v>
      </c>
      <c r="W29" s="41" t="n">
        <f aca="false">IF($A29="","",ROUND(SUMIFS(成本费用登记表!$H$4:$H$303,成本费用登记表!$D$4:$D$303,$A29,成本费用登记表!$AC$4:$AC$303,W$4)+SUMIFS(资金日记账!$I$4:$I$603,资金日记账!$G$4:$G$603,$A29,资金日记账!$U$4:$U$603,"&lt;&gt;是",资金日记账!$V$4:$V$603,W$4),2))</f>
        <v>0</v>
      </c>
      <c r="X29" s="41" t="n">
        <f aca="false">IF($A29="","",ROUND(SUMIFS(成本费用登记表!$H$4:$H$303,成本费用登记表!$D$4:$D$303,$A29,成本费用登记表!$AC$4:$AC$303,X$4)+SUMIFS(资金日记账!$I$4:$I$603,资金日记账!$G$4:$G$603,$A29,资金日记账!$U$4:$U$603,"&lt;&gt;是",资金日记账!$V$4:$V$603,X$4),2))</f>
        <v>0</v>
      </c>
      <c r="Y29" s="41" t="n">
        <f aca="false">IF($A29="","",ROUND(SUMIFS(成本费用登记表!$H$4:$H$303,成本费用登记表!$D$4:$D$303,$A29,成本费用登记表!$AC$4:$AC$303,Y$4)+SUMIFS(资金日记账!$I$4:$I$603,资金日记账!$G$4:$G$603,$A29,资金日记账!$U$4:$U$603,"&lt;&gt;是",资金日记账!$V$4:$V$603,Y$4),2))</f>
        <v>0</v>
      </c>
      <c r="Z29" s="142" t="n">
        <f aca="false">IF($A29="","",ROUND(SUM($B29:$Y29),2))</f>
        <v>180</v>
      </c>
      <c r="AA29" s="41" t="n">
        <f aca="false">IF($A29="","",ROUND(SUMIF(成本费用登记表!$D$4:$D$303,$A29,成本费用登记表!$AA$4:$AA$303)+SUMIFS(资金日记账!$I$4:$I$603,资金日记账!$G$4:$G$603,$A29,资金日记账!$U$4:$U$603,"&lt;&gt;是"),2))</f>
        <v>180</v>
      </c>
      <c r="AB29" s="41" t="n">
        <f aca="false">IF($A29="","",ROUND(N($Z29)-N($AA29),2))</f>
        <v>0</v>
      </c>
    </row>
    <row r="30" customFormat="false" ht="13.5" hidden="false" customHeight="false" outlineLevel="0" collapsed="false">
      <c r="A30" s="33" t="str">
        <f aca="false">IFERROR(INDEX(_自动清单!$X$4:$X$63,26),"")</f>
        <v>水费</v>
      </c>
      <c r="B30" s="41" t="n">
        <f aca="false">IF($A30="","",ROUND(SUMIFS(成本费用登记表!$H$4:$H$303,成本费用登记表!$D$4:$D$303,$A30,成本费用登记表!$AC$4:$AC$303,B$4)+SUMIFS(资金日记账!$I$4:$I$603,资金日记账!$G$4:$G$603,$A30,资金日记账!$U$4:$U$603,"&lt;&gt;是",资金日记账!$V$4:$V$603,B$4),2))</f>
        <v>0</v>
      </c>
      <c r="C30" s="41" t="n">
        <f aca="false">IF($A30="","",ROUND(SUMIFS(成本费用登记表!$H$4:$H$303,成本费用登记表!$D$4:$D$303,$A30,成本费用登记表!$AC$4:$AC$303,C$4)+SUMIFS(资金日记账!$I$4:$I$603,资金日记账!$G$4:$G$603,$A30,资金日记账!$U$4:$U$603,"&lt;&gt;是",资金日记账!$V$4:$V$603,C$4),2))</f>
        <v>600</v>
      </c>
      <c r="D30" s="41" t="n">
        <f aca="false">IF($A30="","",ROUND(SUMIFS(成本费用登记表!$H$4:$H$303,成本费用登记表!$D$4:$D$303,$A30,成本费用登记表!$AC$4:$AC$303,D$4)+SUMIFS(资金日记账!$I$4:$I$603,资金日记账!$G$4:$G$603,$A30,资金日记账!$U$4:$U$603,"&lt;&gt;是",资金日记账!$V$4:$V$603,D$4),2))</f>
        <v>0</v>
      </c>
      <c r="E30" s="41" t="n">
        <f aca="false">IF($A30="","",ROUND(SUMIFS(成本费用登记表!$H$4:$H$303,成本费用登记表!$D$4:$D$303,$A30,成本费用登记表!$AC$4:$AC$303,E$4)+SUMIFS(资金日记账!$I$4:$I$603,资金日记账!$G$4:$G$603,$A30,资金日记账!$U$4:$U$603,"&lt;&gt;是",资金日记账!$V$4:$V$603,E$4),2))</f>
        <v>0</v>
      </c>
      <c r="F30" s="41" t="n">
        <f aca="false">IF($A30="","",ROUND(SUMIFS(成本费用登记表!$H$4:$H$303,成本费用登记表!$D$4:$D$303,$A30,成本费用登记表!$AC$4:$AC$303,F$4)+SUMIFS(资金日记账!$I$4:$I$603,资金日记账!$G$4:$G$603,$A30,资金日记账!$U$4:$U$603,"&lt;&gt;是",资金日记账!$V$4:$V$603,F$4),2))</f>
        <v>0</v>
      </c>
      <c r="G30" s="41" t="n">
        <f aca="false">IF($A30="","",ROUND(SUMIFS(成本费用登记表!$H$4:$H$303,成本费用登记表!$D$4:$D$303,$A30,成本费用登记表!$AC$4:$AC$303,G$4)+SUMIFS(资金日记账!$I$4:$I$603,资金日记账!$G$4:$G$603,$A30,资金日记账!$U$4:$U$603,"&lt;&gt;是",资金日记账!$V$4:$V$603,G$4),2))</f>
        <v>0</v>
      </c>
      <c r="H30" s="41" t="n">
        <f aca="false">IF($A30="","",ROUND(SUMIFS(成本费用登记表!$H$4:$H$303,成本费用登记表!$D$4:$D$303,$A30,成本费用登记表!$AC$4:$AC$303,H$4)+SUMIFS(资金日记账!$I$4:$I$603,资金日记账!$G$4:$G$603,$A30,资金日记账!$U$4:$U$603,"&lt;&gt;是",资金日记账!$V$4:$V$603,H$4),2))</f>
        <v>0</v>
      </c>
      <c r="I30" s="41" t="n">
        <f aca="false">IF($A30="","",ROUND(SUMIFS(成本费用登记表!$H$4:$H$303,成本费用登记表!$D$4:$D$303,$A30,成本费用登记表!$AC$4:$AC$303,I$4)+SUMIFS(资金日记账!$I$4:$I$603,资金日记账!$G$4:$G$603,$A30,资金日记账!$U$4:$U$603,"&lt;&gt;是",资金日记账!$V$4:$V$603,I$4),2))</f>
        <v>0</v>
      </c>
      <c r="J30" s="41" t="n">
        <f aca="false">IF($A30="","",ROUND(SUMIFS(成本费用登记表!$H$4:$H$303,成本费用登记表!$D$4:$D$303,$A30,成本费用登记表!$AC$4:$AC$303,J$4)+SUMIFS(资金日记账!$I$4:$I$603,资金日记账!$G$4:$G$603,$A30,资金日记账!$U$4:$U$603,"&lt;&gt;是",资金日记账!$V$4:$V$603,J$4),2))</f>
        <v>0</v>
      </c>
      <c r="K30" s="41" t="n">
        <f aca="false">IF($A30="","",ROUND(SUMIFS(成本费用登记表!$H$4:$H$303,成本费用登记表!$D$4:$D$303,$A30,成本费用登记表!$AC$4:$AC$303,K$4)+SUMIFS(资金日记账!$I$4:$I$603,资金日记账!$G$4:$G$603,$A30,资金日记账!$U$4:$U$603,"&lt;&gt;是",资金日记账!$V$4:$V$603,K$4),2))</f>
        <v>0</v>
      </c>
      <c r="L30" s="41" t="n">
        <f aca="false">IF($A30="","",ROUND(SUMIFS(成本费用登记表!$H$4:$H$303,成本费用登记表!$D$4:$D$303,$A30,成本费用登记表!$AC$4:$AC$303,L$4)+SUMIFS(资金日记账!$I$4:$I$603,资金日记账!$G$4:$G$603,$A30,资金日记账!$U$4:$U$603,"&lt;&gt;是",资金日记账!$V$4:$V$603,L$4),2))</f>
        <v>0</v>
      </c>
      <c r="M30" s="41" t="n">
        <f aca="false">IF($A30="","",ROUND(SUMIFS(成本费用登记表!$H$4:$H$303,成本费用登记表!$D$4:$D$303,$A30,成本费用登记表!$AC$4:$AC$303,M$4)+SUMIFS(资金日记账!$I$4:$I$603,资金日记账!$G$4:$G$603,$A30,资金日记账!$U$4:$U$603,"&lt;&gt;是",资金日记账!$V$4:$V$603,M$4),2))</f>
        <v>0</v>
      </c>
      <c r="N30" s="41" t="n">
        <f aca="false">IF($A30="","",ROUND(SUMIFS(成本费用登记表!$H$4:$H$303,成本费用登记表!$D$4:$D$303,$A30,成本费用登记表!$AC$4:$AC$303,N$4)+SUMIFS(资金日记账!$I$4:$I$603,资金日记账!$G$4:$G$603,$A30,资金日记账!$U$4:$U$603,"&lt;&gt;是",资金日记账!$V$4:$V$603,N$4),2))</f>
        <v>0</v>
      </c>
      <c r="O30" s="41" t="n">
        <f aca="false">IF($A30="","",ROUND(SUMIFS(成本费用登记表!$H$4:$H$303,成本费用登记表!$D$4:$D$303,$A30,成本费用登记表!$AC$4:$AC$303,O$4)+SUMIFS(资金日记账!$I$4:$I$603,资金日记账!$G$4:$G$603,$A30,资金日记账!$U$4:$U$603,"&lt;&gt;是",资金日记账!$V$4:$V$603,O$4),2))</f>
        <v>0</v>
      </c>
      <c r="P30" s="41" t="n">
        <f aca="false">IF($A30="","",ROUND(SUMIFS(成本费用登记表!$H$4:$H$303,成本费用登记表!$D$4:$D$303,$A30,成本费用登记表!$AC$4:$AC$303,P$4)+SUMIFS(资金日记账!$I$4:$I$603,资金日记账!$G$4:$G$603,$A30,资金日记账!$U$4:$U$603,"&lt;&gt;是",资金日记账!$V$4:$V$603,P$4),2))</f>
        <v>0</v>
      </c>
      <c r="Q30" s="41" t="n">
        <f aca="false">IF($A30="","",ROUND(SUMIFS(成本费用登记表!$H$4:$H$303,成本费用登记表!$D$4:$D$303,$A30,成本费用登记表!$AC$4:$AC$303,Q$4)+SUMIFS(资金日记账!$I$4:$I$603,资金日记账!$G$4:$G$603,$A30,资金日记账!$U$4:$U$603,"&lt;&gt;是",资金日记账!$V$4:$V$603,Q$4),2))</f>
        <v>0</v>
      </c>
      <c r="R30" s="41" t="n">
        <f aca="false">IF($A30="","",ROUND(SUMIFS(成本费用登记表!$H$4:$H$303,成本费用登记表!$D$4:$D$303,$A30,成本费用登记表!$AC$4:$AC$303,R$4)+SUMIFS(资金日记账!$I$4:$I$603,资金日记账!$G$4:$G$603,$A30,资金日记账!$U$4:$U$603,"&lt;&gt;是",资金日记账!$V$4:$V$603,R$4),2))</f>
        <v>0</v>
      </c>
      <c r="S30" s="41" t="n">
        <f aca="false">IF($A30="","",ROUND(SUMIFS(成本费用登记表!$H$4:$H$303,成本费用登记表!$D$4:$D$303,$A30,成本费用登记表!$AC$4:$AC$303,S$4)+SUMIFS(资金日记账!$I$4:$I$603,资金日记账!$G$4:$G$603,$A30,资金日记账!$U$4:$U$603,"&lt;&gt;是",资金日记账!$V$4:$V$603,S$4),2))</f>
        <v>0</v>
      </c>
      <c r="T30" s="41" t="n">
        <f aca="false">IF($A30="","",ROUND(SUMIFS(成本费用登记表!$H$4:$H$303,成本费用登记表!$D$4:$D$303,$A30,成本费用登记表!$AC$4:$AC$303,T$4)+SUMIFS(资金日记账!$I$4:$I$603,资金日记账!$G$4:$G$603,$A30,资金日记账!$U$4:$U$603,"&lt;&gt;是",资金日记账!$V$4:$V$603,T$4),2))</f>
        <v>0</v>
      </c>
      <c r="U30" s="41" t="n">
        <f aca="false">IF($A30="","",ROUND(SUMIFS(成本费用登记表!$H$4:$H$303,成本费用登记表!$D$4:$D$303,$A30,成本费用登记表!$AC$4:$AC$303,U$4)+SUMIFS(资金日记账!$I$4:$I$603,资金日记账!$G$4:$G$603,$A30,资金日记账!$U$4:$U$603,"&lt;&gt;是",资金日记账!$V$4:$V$603,U$4),2))</f>
        <v>0</v>
      </c>
      <c r="V30" s="41" t="n">
        <f aca="false">IF($A30="","",ROUND(SUMIFS(成本费用登记表!$H$4:$H$303,成本费用登记表!$D$4:$D$303,$A30,成本费用登记表!$AC$4:$AC$303,V$4)+SUMIFS(资金日记账!$I$4:$I$603,资金日记账!$G$4:$G$603,$A30,资金日记账!$U$4:$U$603,"&lt;&gt;是",资金日记账!$V$4:$V$603,V$4),2))</f>
        <v>0</v>
      </c>
      <c r="W30" s="41" t="n">
        <f aca="false">IF($A30="","",ROUND(SUMIFS(成本费用登记表!$H$4:$H$303,成本费用登记表!$D$4:$D$303,$A30,成本费用登记表!$AC$4:$AC$303,W$4)+SUMIFS(资金日记账!$I$4:$I$603,资金日记账!$G$4:$G$603,$A30,资金日记账!$U$4:$U$603,"&lt;&gt;是",资金日记账!$V$4:$V$603,W$4),2))</f>
        <v>0</v>
      </c>
      <c r="X30" s="41" t="n">
        <f aca="false">IF($A30="","",ROUND(SUMIFS(成本费用登记表!$H$4:$H$303,成本费用登记表!$D$4:$D$303,$A30,成本费用登记表!$AC$4:$AC$303,X$4)+SUMIFS(资金日记账!$I$4:$I$603,资金日记账!$G$4:$G$603,$A30,资金日记账!$U$4:$U$603,"&lt;&gt;是",资金日记账!$V$4:$V$603,X$4),2))</f>
        <v>0</v>
      </c>
      <c r="Y30" s="41" t="n">
        <f aca="false">IF($A30="","",ROUND(SUMIFS(成本费用登记表!$H$4:$H$303,成本费用登记表!$D$4:$D$303,$A30,成本费用登记表!$AC$4:$AC$303,Y$4)+SUMIFS(资金日记账!$I$4:$I$603,资金日记账!$G$4:$G$603,$A30,资金日记账!$U$4:$U$603,"&lt;&gt;是",资金日记账!$V$4:$V$603,Y$4),2))</f>
        <v>0</v>
      </c>
      <c r="Z30" s="142" t="n">
        <f aca="false">IF($A30="","",ROUND(SUM($B30:$Y30),2))</f>
        <v>600</v>
      </c>
      <c r="AA30" s="41" t="n">
        <f aca="false">IF($A30="","",ROUND(SUMIF(成本费用登记表!$D$4:$D$303,$A30,成本费用登记表!$AA$4:$AA$303)+SUMIFS(资金日记账!$I$4:$I$603,资金日记账!$G$4:$G$603,$A30,资金日记账!$U$4:$U$603,"&lt;&gt;是"),2))</f>
        <v>600</v>
      </c>
      <c r="AB30" s="41" t="n">
        <f aca="false">IF($A30="","",ROUND(N($Z30)-N($AA30),2))</f>
        <v>0</v>
      </c>
    </row>
    <row r="31" customFormat="false" ht="13.5" hidden="false" customHeight="false" outlineLevel="0" collapsed="false">
      <c r="A31" s="33" t="str">
        <f aca="false">IFERROR(INDEX(_自动清单!$X$4:$X$63,27),"")</f>
        <v>住宿费</v>
      </c>
      <c r="B31" s="41" t="n">
        <f aca="false">IF($A31="","",ROUND(SUMIFS(成本费用登记表!$H$4:$H$303,成本费用登记表!$D$4:$D$303,$A31,成本费用登记表!$AC$4:$AC$303,B$4)+SUMIFS(资金日记账!$I$4:$I$603,资金日记账!$G$4:$G$603,$A31,资金日记账!$U$4:$U$603,"&lt;&gt;是",资金日记账!$V$4:$V$603,B$4),2))</f>
        <v>0</v>
      </c>
      <c r="C31" s="41" t="n">
        <f aca="false">IF($A31="","",ROUND(SUMIFS(成本费用登记表!$H$4:$H$303,成本费用登记表!$D$4:$D$303,$A31,成本费用登记表!$AC$4:$AC$303,C$4)+SUMIFS(资金日记账!$I$4:$I$603,资金日记账!$G$4:$G$603,$A31,资金日记账!$U$4:$U$603,"&lt;&gt;是",资金日记账!$V$4:$V$603,C$4),2))</f>
        <v>130</v>
      </c>
      <c r="D31" s="41" t="n">
        <f aca="false">IF($A31="","",ROUND(SUMIFS(成本费用登记表!$H$4:$H$303,成本费用登记表!$D$4:$D$303,$A31,成本费用登记表!$AC$4:$AC$303,D$4)+SUMIFS(资金日记账!$I$4:$I$603,资金日记账!$G$4:$G$603,$A31,资金日记账!$U$4:$U$603,"&lt;&gt;是",资金日记账!$V$4:$V$603,D$4),2))</f>
        <v>0</v>
      </c>
      <c r="E31" s="41" t="n">
        <f aca="false">IF($A31="","",ROUND(SUMIFS(成本费用登记表!$H$4:$H$303,成本费用登记表!$D$4:$D$303,$A31,成本费用登记表!$AC$4:$AC$303,E$4)+SUMIFS(资金日记账!$I$4:$I$603,资金日记账!$G$4:$G$603,$A31,资金日记账!$U$4:$U$603,"&lt;&gt;是",资金日记账!$V$4:$V$603,E$4),2))</f>
        <v>0</v>
      </c>
      <c r="F31" s="41" t="n">
        <f aca="false">IF($A31="","",ROUND(SUMIFS(成本费用登记表!$H$4:$H$303,成本费用登记表!$D$4:$D$303,$A31,成本费用登记表!$AC$4:$AC$303,F$4)+SUMIFS(资金日记账!$I$4:$I$603,资金日记账!$G$4:$G$603,$A31,资金日记账!$U$4:$U$603,"&lt;&gt;是",资金日记账!$V$4:$V$603,F$4),2))</f>
        <v>0</v>
      </c>
      <c r="G31" s="41" t="n">
        <f aca="false">IF($A31="","",ROUND(SUMIFS(成本费用登记表!$H$4:$H$303,成本费用登记表!$D$4:$D$303,$A31,成本费用登记表!$AC$4:$AC$303,G$4)+SUMIFS(资金日记账!$I$4:$I$603,资金日记账!$G$4:$G$603,$A31,资金日记账!$U$4:$U$603,"&lt;&gt;是",资金日记账!$V$4:$V$603,G$4),2))</f>
        <v>0</v>
      </c>
      <c r="H31" s="41" t="n">
        <f aca="false">IF($A31="","",ROUND(SUMIFS(成本费用登记表!$H$4:$H$303,成本费用登记表!$D$4:$D$303,$A31,成本费用登记表!$AC$4:$AC$303,H$4)+SUMIFS(资金日记账!$I$4:$I$603,资金日记账!$G$4:$G$603,$A31,资金日记账!$U$4:$U$603,"&lt;&gt;是",资金日记账!$V$4:$V$603,H$4),2))</f>
        <v>0</v>
      </c>
      <c r="I31" s="41" t="n">
        <f aca="false">IF($A31="","",ROUND(SUMIFS(成本费用登记表!$H$4:$H$303,成本费用登记表!$D$4:$D$303,$A31,成本费用登记表!$AC$4:$AC$303,I$4)+SUMIFS(资金日记账!$I$4:$I$603,资金日记账!$G$4:$G$603,$A31,资金日记账!$U$4:$U$603,"&lt;&gt;是",资金日记账!$V$4:$V$603,I$4),2))</f>
        <v>0</v>
      </c>
      <c r="J31" s="41" t="n">
        <f aca="false">IF($A31="","",ROUND(SUMIFS(成本费用登记表!$H$4:$H$303,成本费用登记表!$D$4:$D$303,$A31,成本费用登记表!$AC$4:$AC$303,J$4)+SUMIFS(资金日记账!$I$4:$I$603,资金日记账!$G$4:$G$603,$A31,资金日记账!$U$4:$U$603,"&lt;&gt;是",资金日记账!$V$4:$V$603,J$4),2))</f>
        <v>0</v>
      </c>
      <c r="K31" s="41" t="n">
        <f aca="false">IF($A31="","",ROUND(SUMIFS(成本费用登记表!$H$4:$H$303,成本费用登记表!$D$4:$D$303,$A31,成本费用登记表!$AC$4:$AC$303,K$4)+SUMIFS(资金日记账!$I$4:$I$603,资金日记账!$G$4:$G$603,$A31,资金日记账!$U$4:$U$603,"&lt;&gt;是",资金日记账!$V$4:$V$603,K$4),2))</f>
        <v>0</v>
      </c>
      <c r="L31" s="41" t="n">
        <f aca="false">IF($A31="","",ROUND(SUMIFS(成本费用登记表!$H$4:$H$303,成本费用登记表!$D$4:$D$303,$A31,成本费用登记表!$AC$4:$AC$303,L$4)+SUMIFS(资金日记账!$I$4:$I$603,资金日记账!$G$4:$G$603,$A31,资金日记账!$U$4:$U$603,"&lt;&gt;是",资金日记账!$V$4:$V$603,L$4),2))</f>
        <v>0</v>
      </c>
      <c r="M31" s="41" t="n">
        <f aca="false">IF($A31="","",ROUND(SUMIFS(成本费用登记表!$H$4:$H$303,成本费用登记表!$D$4:$D$303,$A31,成本费用登记表!$AC$4:$AC$303,M$4)+SUMIFS(资金日记账!$I$4:$I$603,资金日记账!$G$4:$G$603,$A31,资金日记账!$U$4:$U$603,"&lt;&gt;是",资金日记账!$V$4:$V$603,M$4),2))</f>
        <v>0</v>
      </c>
      <c r="N31" s="41" t="n">
        <f aca="false">IF($A31="","",ROUND(SUMIFS(成本费用登记表!$H$4:$H$303,成本费用登记表!$D$4:$D$303,$A31,成本费用登记表!$AC$4:$AC$303,N$4)+SUMIFS(资金日记账!$I$4:$I$603,资金日记账!$G$4:$G$603,$A31,资金日记账!$U$4:$U$603,"&lt;&gt;是",资金日记账!$V$4:$V$603,N$4),2))</f>
        <v>0</v>
      </c>
      <c r="O31" s="41" t="n">
        <f aca="false">IF($A31="","",ROUND(SUMIFS(成本费用登记表!$H$4:$H$303,成本费用登记表!$D$4:$D$303,$A31,成本费用登记表!$AC$4:$AC$303,O$4)+SUMIFS(资金日记账!$I$4:$I$603,资金日记账!$G$4:$G$603,$A31,资金日记账!$U$4:$U$603,"&lt;&gt;是",资金日记账!$V$4:$V$603,O$4),2))</f>
        <v>0</v>
      </c>
      <c r="P31" s="41" t="n">
        <f aca="false">IF($A31="","",ROUND(SUMIFS(成本费用登记表!$H$4:$H$303,成本费用登记表!$D$4:$D$303,$A31,成本费用登记表!$AC$4:$AC$303,P$4)+SUMIFS(资金日记账!$I$4:$I$603,资金日记账!$G$4:$G$603,$A31,资金日记账!$U$4:$U$603,"&lt;&gt;是",资金日记账!$V$4:$V$603,P$4),2))</f>
        <v>0</v>
      </c>
      <c r="Q31" s="41" t="n">
        <f aca="false">IF($A31="","",ROUND(SUMIFS(成本费用登记表!$H$4:$H$303,成本费用登记表!$D$4:$D$303,$A31,成本费用登记表!$AC$4:$AC$303,Q$4)+SUMIFS(资金日记账!$I$4:$I$603,资金日记账!$G$4:$G$603,$A31,资金日记账!$U$4:$U$603,"&lt;&gt;是",资金日记账!$V$4:$V$603,Q$4),2))</f>
        <v>0</v>
      </c>
      <c r="R31" s="41" t="n">
        <f aca="false">IF($A31="","",ROUND(SUMIFS(成本费用登记表!$H$4:$H$303,成本费用登记表!$D$4:$D$303,$A31,成本费用登记表!$AC$4:$AC$303,R$4)+SUMIFS(资金日记账!$I$4:$I$603,资金日记账!$G$4:$G$603,$A31,资金日记账!$U$4:$U$603,"&lt;&gt;是",资金日记账!$V$4:$V$603,R$4),2))</f>
        <v>0</v>
      </c>
      <c r="S31" s="41" t="n">
        <f aca="false">IF($A31="","",ROUND(SUMIFS(成本费用登记表!$H$4:$H$303,成本费用登记表!$D$4:$D$303,$A31,成本费用登记表!$AC$4:$AC$303,S$4)+SUMIFS(资金日记账!$I$4:$I$603,资金日记账!$G$4:$G$603,$A31,资金日记账!$U$4:$U$603,"&lt;&gt;是",资金日记账!$V$4:$V$603,S$4),2))</f>
        <v>0</v>
      </c>
      <c r="T31" s="41" t="n">
        <f aca="false">IF($A31="","",ROUND(SUMIFS(成本费用登记表!$H$4:$H$303,成本费用登记表!$D$4:$D$303,$A31,成本费用登记表!$AC$4:$AC$303,T$4)+SUMIFS(资金日记账!$I$4:$I$603,资金日记账!$G$4:$G$603,$A31,资金日记账!$U$4:$U$603,"&lt;&gt;是",资金日记账!$V$4:$V$603,T$4),2))</f>
        <v>0</v>
      </c>
      <c r="U31" s="41" t="n">
        <f aca="false">IF($A31="","",ROUND(SUMIFS(成本费用登记表!$H$4:$H$303,成本费用登记表!$D$4:$D$303,$A31,成本费用登记表!$AC$4:$AC$303,U$4)+SUMIFS(资金日记账!$I$4:$I$603,资金日记账!$G$4:$G$603,$A31,资金日记账!$U$4:$U$603,"&lt;&gt;是",资金日记账!$V$4:$V$603,U$4),2))</f>
        <v>0</v>
      </c>
      <c r="V31" s="41" t="n">
        <f aca="false">IF($A31="","",ROUND(SUMIFS(成本费用登记表!$H$4:$H$303,成本费用登记表!$D$4:$D$303,$A31,成本费用登记表!$AC$4:$AC$303,V$4)+SUMIFS(资金日记账!$I$4:$I$603,资金日记账!$G$4:$G$603,$A31,资金日记账!$U$4:$U$603,"&lt;&gt;是",资金日记账!$V$4:$V$603,V$4),2))</f>
        <v>0</v>
      </c>
      <c r="W31" s="41" t="n">
        <f aca="false">IF($A31="","",ROUND(SUMIFS(成本费用登记表!$H$4:$H$303,成本费用登记表!$D$4:$D$303,$A31,成本费用登记表!$AC$4:$AC$303,W$4)+SUMIFS(资金日记账!$I$4:$I$603,资金日记账!$G$4:$G$603,$A31,资金日记账!$U$4:$U$603,"&lt;&gt;是",资金日记账!$V$4:$V$603,W$4),2))</f>
        <v>0</v>
      </c>
      <c r="X31" s="41" t="n">
        <f aca="false">IF($A31="","",ROUND(SUMIFS(成本费用登记表!$H$4:$H$303,成本费用登记表!$D$4:$D$303,$A31,成本费用登记表!$AC$4:$AC$303,X$4)+SUMIFS(资金日记账!$I$4:$I$603,资金日记账!$G$4:$G$603,$A31,资金日记账!$U$4:$U$603,"&lt;&gt;是",资金日记账!$V$4:$V$603,X$4),2))</f>
        <v>0</v>
      </c>
      <c r="Y31" s="41" t="n">
        <f aca="false">IF($A31="","",ROUND(SUMIFS(成本费用登记表!$H$4:$H$303,成本费用登记表!$D$4:$D$303,$A31,成本费用登记表!$AC$4:$AC$303,Y$4)+SUMIFS(资金日记账!$I$4:$I$603,资金日记账!$G$4:$G$603,$A31,资金日记账!$U$4:$U$603,"&lt;&gt;是",资金日记账!$V$4:$V$603,Y$4),2))</f>
        <v>0</v>
      </c>
      <c r="Z31" s="142" t="n">
        <f aca="false">IF($A31="","",ROUND(SUM($B31:$Y31),2))</f>
        <v>130</v>
      </c>
      <c r="AA31" s="41" t="n">
        <f aca="false">IF($A31="","",ROUND(SUMIF(成本费用登记表!$D$4:$D$303,$A31,成本费用登记表!$AA$4:$AA$303)+SUMIFS(资金日记账!$I$4:$I$603,资金日记账!$G$4:$G$603,$A31,资金日记账!$U$4:$U$603,"&lt;&gt;是"),2))</f>
        <v>130</v>
      </c>
      <c r="AB31" s="41" t="n">
        <f aca="false">IF($A31="","",ROUND(N($Z31)-N($AA31),2))</f>
        <v>0</v>
      </c>
    </row>
    <row r="32" customFormat="false" ht="13.5" hidden="false" customHeight="false" outlineLevel="0" collapsed="false">
      <c r="A32" s="33" t="str">
        <f aca="false">IFERROR(INDEX(_自动清单!$X$4:$X$63,28),"")</f>
        <v>劳保</v>
      </c>
      <c r="B32" s="41" t="n">
        <f aca="false">IF($A32="","",ROUND(SUMIFS(成本费用登记表!$H$4:$H$303,成本费用登记表!$D$4:$D$303,$A32,成本费用登记表!$AC$4:$AC$303,B$4)+SUMIFS(资金日记账!$I$4:$I$603,资金日记账!$G$4:$G$603,$A32,资金日记账!$U$4:$U$603,"&lt;&gt;是",资金日记账!$V$4:$V$603,B$4),2))</f>
        <v>0</v>
      </c>
      <c r="C32" s="41" t="n">
        <f aca="false">IF($A32="","",ROUND(SUMIFS(成本费用登记表!$H$4:$H$303,成本费用登记表!$D$4:$D$303,$A32,成本费用登记表!$AC$4:$AC$303,C$4)+SUMIFS(资金日记账!$I$4:$I$603,资金日记账!$G$4:$G$603,$A32,资金日记账!$U$4:$U$603,"&lt;&gt;是",资金日记账!$V$4:$V$603,C$4),2))</f>
        <v>800</v>
      </c>
      <c r="D32" s="41" t="n">
        <f aca="false">IF($A32="","",ROUND(SUMIFS(成本费用登记表!$H$4:$H$303,成本费用登记表!$D$4:$D$303,$A32,成本费用登记表!$AC$4:$AC$303,D$4)+SUMIFS(资金日记账!$I$4:$I$603,资金日记账!$G$4:$G$603,$A32,资金日记账!$U$4:$U$603,"&lt;&gt;是",资金日记账!$V$4:$V$603,D$4),2))</f>
        <v>0</v>
      </c>
      <c r="E32" s="41" t="n">
        <f aca="false">IF($A32="","",ROUND(SUMIFS(成本费用登记表!$H$4:$H$303,成本费用登记表!$D$4:$D$303,$A32,成本费用登记表!$AC$4:$AC$303,E$4)+SUMIFS(资金日记账!$I$4:$I$603,资金日记账!$G$4:$G$603,$A32,资金日记账!$U$4:$U$603,"&lt;&gt;是",资金日记账!$V$4:$V$603,E$4),2))</f>
        <v>0</v>
      </c>
      <c r="F32" s="41" t="n">
        <f aca="false">IF($A32="","",ROUND(SUMIFS(成本费用登记表!$H$4:$H$303,成本费用登记表!$D$4:$D$303,$A32,成本费用登记表!$AC$4:$AC$303,F$4)+SUMIFS(资金日记账!$I$4:$I$603,资金日记账!$G$4:$G$603,$A32,资金日记账!$U$4:$U$603,"&lt;&gt;是",资金日记账!$V$4:$V$603,F$4),2))</f>
        <v>0</v>
      </c>
      <c r="G32" s="41" t="n">
        <f aca="false">IF($A32="","",ROUND(SUMIFS(成本费用登记表!$H$4:$H$303,成本费用登记表!$D$4:$D$303,$A32,成本费用登记表!$AC$4:$AC$303,G$4)+SUMIFS(资金日记账!$I$4:$I$603,资金日记账!$G$4:$G$603,$A32,资金日记账!$U$4:$U$603,"&lt;&gt;是",资金日记账!$V$4:$V$603,G$4),2))</f>
        <v>0</v>
      </c>
      <c r="H32" s="41" t="n">
        <f aca="false">IF($A32="","",ROUND(SUMIFS(成本费用登记表!$H$4:$H$303,成本费用登记表!$D$4:$D$303,$A32,成本费用登记表!$AC$4:$AC$303,H$4)+SUMIFS(资金日记账!$I$4:$I$603,资金日记账!$G$4:$G$603,$A32,资金日记账!$U$4:$U$603,"&lt;&gt;是",资金日记账!$V$4:$V$603,H$4),2))</f>
        <v>0</v>
      </c>
      <c r="I32" s="41" t="n">
        <f aca="false">IF($A32="","",ROUND(SUMIFS(成本费用登记表!$H$4:$H$303,成本费用登记表!$D$4:$D$303,$A32,成本费用登记表!$AC$4:$AC$303,I$4)+SUMIFS(资金日记账!$I$4:$I$603,资金日记账!$G$4:$G$603,$A32,资金日记账!$U$4:$U$603,"&lt;&gt;是",资金日记账!$V$4:$V$603,I$4),2))</f>
        <v>0</v>
      </c>
      <c r="J32" s="41" t="n">
        <f aca="false">IF($A32="","",ROUND(SUMIFS(成本费用登记表!$H$4:$H$303,成本费用登记表!$D$4:$D$303,$A32,成本费用登记表!$AC$4:$AC$303,J$4)+SUMIFS(资金日记账!$I$4:$I$603,资金日记账!$G$4:$G$603,$A32,资金日记账!$U$4:$U$603,"&lt;&gt;是",资金日记账!$V$4:$V$603,J$4),2))</f>
        <v>0</v>
      </c>
      <c r="K32" s="41" t="n">
        <f aca="false">IF($A32="","",ROUND(SUMIFS(成本费用登记表!$H$4:$H$303,成本费用登记表!$D$4:$D$303,$A32,成本费用登记表!$AC$4:$AC$303,K$4)+SUMIFS(资金日记账!$I$4:$I$603,资金日记账!$G$4:$G$603,$A32,资金日记账!$U$4:$U$603,"&lt;&gt;是",资金日记账!$V$4:$V$603,K$4),2))</f>
        <v>0</v>
      </c>
      <c r="L32" s="41" t="n">
        <f aca="false">IF($A32="","",ROUND(SUMIFS(成本费用登记表!$H$4:$H$303,成本费用登记表!$D$4:$D$303,$A32,成本费用登记表!$AC$4:$AC$303,L$4)+SUMIFS(资金日记账!$I$4:$I$603,资金日记账!$G$4:$G$603,$A32,资金日记账!$U$4:$U$603,"&lt;&gt;是",资金日记账!$V$4:$V$603,L$4),2))</f>
        <v>0</v>
      </c>
      <c r="M32" s="41" t="n">
        <f aca="false">IF($A32="","",ROUND(SUMIFS(成本费用登记表!$H$4:$H$303,成本费用登记表!$D$4:$D$303,$A32,成本费用登记表!$AC$4:$AC$303,M$4)+SUMIFS(资金日记账!$I$4:$I$603,资金日记账!$G$4:$G$603,$A32,资金日记账!$U$4:$U$603,"&lt;&gt;是",资金日记账!$V$4:$V$603,M$4),2))</f>
        <v>0</v>
      </c>
      <c r="N32" s="41" t="n">
        <f aca="false">IF($A32="","",ROUND(SUMIFS(成本费用登记表!$H$4:$H$303,成本费用登记表!$D$4:$D$303,$A32,成本费用登记表!$AC$4:$AC$303,N$4)+SUMIFS(资金日记账!$I$4:$I$603,资金日记账!$G$4:$G$603,$A32,资金日记账!$U$4:$U$603,"&lt;&gt;是",资金日记账!$V$4:$V$603,N$4),2))</f>
        <v>0</v>
      </c>
      <c r="O32" s="41" t="n">
        <f aca="false">IF($A32="","",ROUND(SUMIFS(成本费用登记表!$H$4:$H$303,成本费用登记表!$D$4:$D$303,$A32,成本费用登记表!$AC$4:$AC$303,O$4)+SUMIFS(资金日记账!$I$4:$I$603,资金日记账!$G$4:$G$603,$A32,资金日记账!$U$4:$U$603,"&lt;&gt;是",资金日记账!$V$4:$V$603,O$4),2))</f>
        <v>0</v>
      </c>
      <c r="P32" s="41" t="n">
        <f aca="false">IF($A32="","",ROUND(SUMIFS(成本费用登记表!$H$4:$H$303,成本费用登记表!$D$4:$D$303,$A32,成本费用登记表!$AC$4:$AC$303,P$4)+SUMIFS(资金日记账!$I$4:$I$603,资金日记账!$G$4:$G$603,$A32,资金日记账!$U$4:$U$603,"&lt;&gt;是",资金日记账!$V$4:$V$603,P$4),2))</f>
        <v>0</v>
      </c>
      <c r="Q32" s="41" t="n">
        <f aca="false">IF($A32="","",ROUND(SUMIFS(成本费用登记表!$H$4:$H$303,成本费用登记表!$D$4:$D$303,$A32,成本费用登记表!$AC$4:$AC$303,Q$4)+SUMIFS(资金日记账!$I$4:$I$603,资金日记账!$G$4:$G$603,$A32,资金日记账!$U$4:$U$603,"&lt;&gt;是",资金日记账!$V$4:$V$603,Q$4),2))</f>
        <v>0</v>
      </c>
      <c r="R32" s="41" t="n">
        <f aca="false">IF($A32="","",ROUND(SUMIFS(成本费用登记表!$H$4:$H$303,成本费用登记表!$D$4:$D$303,$A32,成本费用登记表!$AC$4:$AC$303,R$4)+SUMIFS(资金日记账!$I$4:$I$603,资金日记账!$G$4:$G$603,$A32,资金日记账!$U$4:$U$603,"&lt;&gt;是",资金日记账!$V$4:$V$603,R$4),2))</f>
        <v>0</v>
      </c>
      <c r="S32" s="41" t="n">
        <f aca="false">IF($A32="","",ROUND(SUMIFS(成本费用登记表!$H$4:$H$303,成本费用登记表!$D$4:$D$303,$A32,成本费用登记表!$AC$4:$AC$303,S$4)+SUMIFS(资金日记账!$I$4:$I$603,资金日记账!$G$4:$G$603,$A32,资金日记账!$U$4:$U$603,"&lt;&gt;是",资金日记账!$V$4:$V$603,S$4),2))</f>
        <v>0</v>
      </c>
      <c r="T32" s="41" t="n">
        <f aca="false">IF($A32="","",ROUND(SUMIFS(成本费用登记表!$H$4:$H$303,成本费用登记表!$D$4:$D$303,$A32,成本费用登记表!$AC$4:$AC$303,T$4)+SUMIFS(资金日记账!$I$4:$I$603,资金日记账!$G$4:$G$603,$A32,资金日记账!$U$4:$U$603,"&lt;&gt;是",资金日记账!$V$4:$V$603,T$4),2))</f>
        <v>0</v>
      </c>
      <c r="U32" s="41" t="n">
        <f aca="false">IF($A32="","",ROUND(SUMIFS(成本费用登记表!$H$4:$H$303,成本费用登记表!$D$4:$D$303,$A32,成本费用登记表!$AC$4:$AC$303,U$4)+SUMIFS(资金日记账!$I$4:$I$603,资金日记账!$G$4:$G$603,$A32,资金日记账!$U$4:$U$603,"&lt;&gt;是",资金日记账!$V$4:$V$603,U$4),2))</f>
        <v>0</v>
      </c>
      <c r="V32" s="41" t="n">
        <f aca="false">IF($A32="","",ROUND(SUMIFS(成本费用登记表!$H$4:$H$303,成本费用登记表!$D$4:$D$303,$A32,成本费用登记表!$AC$4:$AC$303,V$4)+SUMIFS(资金日记账!$I$4:$I$603,资金日记账!$G$4:$G$603,$A32,资金日记账!$U$4:$U$603,"&lt;&gt;是",资金日记账!$V$4:$V$603,V$4),2))</f>
        <v>0</v>
      </c>
      <c r="W32" s="41" t="n">
        <f aca="false">IF($A32="","",ROUND(SUMIFS(成本费用登记表!$H$4:$H$303,成本费用登记表!$D$4:$D$303,$A32,成本费用登记表!$AC$4:$AC$303,W$4)+SUMIFS(资金日记账!$I$4:$I$603,资金日记账!$G$4:$G$603,$A32,资金日记账!$U$4:$U$603,"&lt;&gt;是",资金日记账!$V$4:$V$603,W$4),2))</f>
        <v>0</v>
      </c>
      <c r="X32" s="41" t="n">
        <f aca="false">IF($A32="","",ROUND(SUMIFS(成本费用登记表!$H$4:$H$303,成本费用登记表!$D$4:$D$303,$A32,成本费用登记表!$AC$4:$AC$303,X$4)+SUMIFS(资金日记账!$I$4:$I$603,资金日记账!$G$4:$G$603,$A32,资金日记账!$U$4:$U$603,"&lt;&gt;是",资金日记账!$V$4:$V$603,X$4),2))</f>
        <v>0</v>
      </c>
      <c r="Y32" s="41" t="n">
        <f aca="false">IF($A32="","",ROUND(SUMIFS(成本费用登记表!$H$4:$H$303,成本费用登记表!$D$4:$D$303,$A32,成本费用登记表!$AC$4:$AC$303,Y$4)+SUMIFS(资金日记账!$I$4:$I$603,资金日记账!$G$4:$G$603,$A32,资金日记账!$U$4:$U$603,"&lt;&gt;是",资金日记账!$V$4:$V$603,Y$4),2))</f>
        <v>0</v>
      </c>
      <c r="Z32" s="142" t="n">
        <f aca="false">IF($A32="","",ROUND(SUM($B32:$Y32),2))</f>
        <v>800</v>
      </c>
      <c r="AA32" s="41" t="n">
        <f aca="false">IF($A32="","",ROUND(SUMIF(成本费用登记表!$D$4:$D$303,$A32,成本费用登记表!$AA$4:$AA$303)+SUMIFS(资金日记账!$I$4:$I$603,资金日记账!$G$4:$G$603,$A32,资金日记账!$U$4:$U$603,"&lt;&gt;是"),2))</f>
        <v>800</v>
      </c>
      <c r="AB32" s="41" t="n">
        <f aca="false">IF($A32="","",ROUND(N($Z32)-N($AA32),2))</f>
        <v>0</v>
      </c>
    </row>
    <row r="33" customFormat="false" ht="13.5" hidden="false" customHeight="false" outlineLevel="0" collapsed="false">
      <c r="A33" s="33" t="str">
        <f aca="false">IFERROR(INDEX(_自动清单!$X$4:$X$63,29),"")</f>
        <v>消防</v>
      </c>
      <c r="B33" s="41" t="n">
        <f aca="false">IF($A33="","",ROUND(SUMIFS(成本费用登记表!$H$4:$H$303,成本费用登记表!$D$4:$D$303,$A33,成本费用登记表!$AC$4:$AC$303,B$4)+SUMIFS(资金日记账!$I$4:$I$603,资金日记账!$G$4:$G$603,$A33,资金日记账!$U$4:$U$603,"&lt;&gt;是",资金日记账!$V$4:$V$603,B$4),2))</f>
        <v>0</v>
      </c>
      <c r="C33" s="41" t="n">
        <f aca="false">IF($A33="","",ROUND(SUMIFS(成本费用登记表!$H$4:$H$303,成本费用登记表!$D$4:$D$303,$A33,成本费用登记表!$AC$4:$AC$303,C$4)+SUMIFS(资金日记账!$I$4:$I$603,资金日记账!$G$4:$G$603,$A33,资金日记账!$U$4:$U$603,"&lt;&gt;是",资金日记账!$V$4:$V$603,C$4),2))</f>
        <v>480</v>
      </c>
      <c r="D33" s="41" t="n">
        <f aca="false">IF($A33="","",ROUND(SUMIFS(成本费用登记表!$H$4:$H$303,成本费用登记表!$D$4:$D$303,$A33,成本费用登记表!$AC$4:$AC$303,D$4)+SUMIFS(资金日记账!$I$4:$I$603,资金日记账!$G$4:$G$603,$A33,资金日记账!$U$4:$U$603,"&lt;&gt;是",资金日记账!$V$4:$V$603,D$4),2))</f>
        <v>0</v>
      </c>
      <c r="E33" s="41" t="n">
        <f aca="false">IF($A33="","",ROUND(SUMIFS(成本费用登记表!$H$4:$H$303,成本费用登记表!$D$4:$D$303,$A33,成本费用登记表!$AC$4:$AC$303,E$4)+SUMIFS(资金日记账!$I$4:$I$603,资金日记账!$G$4:$G$603,$A33,资金日记账!$U$4:$U$603,"&lt;&gt;是",资金日记账!$V$4:$V$603,E$4),2))</f>
        <v>0</v>
      </c>
      <c r="F33" s="41" t="n">
        <f aca="false">IF($A33="","",ROUND(SUMIFS(成本费用登记表!$H$4:$H$303,成本费用登记表!$D$4:$D$303,$A33,成本费用登记表!$AC$4:$AC$303,F$4)+SUMIFS(资金日记账!$I$4:$I$603,资金日记账!$G$4:$G$603,$A33,资金日记账!$U$4:$U$603,"&lt;&gt;是",资金日记账!$V$4:$V$603,F$4),2))</f>
        <v>0</v>
      </c>
      <c r="G33" s="41" t="n">
        <f aca="false">IF($A33="","",ROUND(SUMIFS(成本费用登记表!$H$4:$H$303,成本费用登记表!$D$4:$D$303,$A33,成本费用登记表!$AC$4:$AC$303,G$4)+SUMIFS(资金日记账!$I$4:$I$603,资金日记账!$G$4:$G$603,$A33,资金日记账!$U$4:$U$603,"&lt;&gt;是",资金日记账!$V$4:$V$603,G$4),2))</f>
        <v>0</v>
      </c>
      <c r="H33" s="41" t="n">
        <f aca="false">IF($A33="","",ROUND(SUMIFS(成本费用登记表!$H$4:$H$303,成本费用登记表!$D$4:$D$303,$A33,成本费用登记表!$AC$4:$AC$303,H$4)+SUMIFS(资金日记账!$I$4:$I$603,资金日记账!$G$4:$G$603,$A33,资金日记账!$U$4:$U$603,"&lt;&gt;是",资金日记账!$V$4:$V$603,H$4),2))</f>
        <v>0</v>
      </c>
      <c r="I33" s="41" t="n">
        <f aca="false">IF($A33="","",ROUND(SUMIFS(成本费用登记表!$H$4:$H$303,成本费用登记表!$D$4:$D$303,$A33,成本费用登记表!$AC$4:$AC$303,I$4)+SUMIFS(资金日记账!$I$4:$I$603,资金日记账!$G$4:$G$603,$A33,资金日记账!$U$4:$U$603,"&lt;&gt;是",资金日记账!$V$4:$V$603,I$4),2))</f>
        <v>0</v>
      </c>
      <c r="J33" s="41" t="n">
        <f aca="false">IF($A33="","",ROUND(SUMIFS(成本费用登记表!$H$4:$H$303,成本费用登记表!$D$4:$D$303,$A33,成本费用登记表!$AC$4:$AC$303,J$4)+SUMIFS(资金日记账!$I$4:$I$603,资金日记账!$G$4:$G$603,$A33,资金日记账!$U$4:$U$603,"&lt;&gt;是",资金日记账!$V$4:$V$603,J$4),2))</f>
        <v>0</v>
      </c>
      <c r="K33" s="41" t="n">
        <f aca="false">IF($A33="","",ROUND(SUMIFS(成本费用登记表!$H$4:$H$303,成本费用登记表!$D$4:$D$303,$A33,成本费用登记表!$AC$4:$AC$303,K$4)+SUMIFS(资金日记账!$I$4:$I$603,资金日记账!$G$4:$G$603,$A33,资金日记账!$U$4:$U$603,"&lt;&gt;是",资金日记账!$V$4:$V$603,K$4),2))</f>
        <v>0</v>
      </c>
      <c r="L33" s="41" t="n">
        <f aca="false">IF($A33="","",ROUND(SUMIFS(成本费用登记表!$H$4:$H$303,成本费用登记表!$D$4:$D$303,$A33,成本费用登记表!$AC$4:$AC$303,L$4)+SUMIFS(资金日记账!$I$4:$I$603,资金日记账!$G$4:$G$603,$A33,资金日记账!$U$4:$U$603,"&lt;&gt;是",资金日记账!$V$4:$V$603,L$4),2))</f>
        <v>0</v>
      </c>
      <c r="M33" s="41" t="n">
        <f aca="false">IF($A33="","",ROUND(SUMIFS(成本费用登记表!$H$4:$H$303,成本费用登记表!$D$4:$D$303,$A33,成本费用登记表!$AC$4:$AC$303,M$4)+SUMIFS(资金日记账!$I$4:$I$603,资金日记账!$G$4:$G$603,$A33,资金日记账!$U$4:$U$603,"&lt;&gt;是",资金日记账!$V$4:$V$603,M$4),2))</f>
        <v>0</v>
      </c>
      <c r="N33" s="41" t="n">
        <f aca="false">IF($A33="","",ROUND(SUMIFS(成本费用登记表!$H$4:$H$303,成本费用登记表!$D$4:$D$303,$A33,成本费用登记表!$AC$4:$AC$303,N$4)+SUMIFS(资金日记账!$I$4:$I$603,资金日记账!$G$4:$G$603,$A33,资金日记账!$U$4:$U$603,"&lt;&gt;是",资金日记账!$V$4:$V$603,N$4),2))</f>
        <v>0</v>
      </c>
      <c r="O33" s="41" t="n">
        <f aca="false">IF($A33="","",ROUND(SUMIFS(成本费用登记表!$H$4:$H$303,成本费用登记表!$D$4:$D$303,$A33,成本费用登记表!$AC$4:$AC$303,O$4)+SUMIFS(资金日记账!$I$4:$I$603,资金日记账!$G$4:$G$603,$A33,资金日记账!$U$4:$U$603,"&lt;&gt;是",资金日记账!$V$4:$V$603,O$4),2))</f>
        <v>0</v>
      </c>
      <c r="P33" s="41" t="n">
        <f aca="false">IF($A33="","",ROUND(SUMIFS(成本费用登记表!$H$4:$H$303,成本费用登记表!$D$4:$D$303,$A33,成本费用登记表!$AC$4:$AC$303,P$4)+SUMIFS(资金日记账!$I$4:$I$603,资金日记账!$G$4:$G$603,$A33,资金日记账!$U$4:$U$603,"&lt;&gt;是",资金日记账!$V$4:$V$603,P$4),2))</f>
        <v>0</v>
      </c>
      <c r="Q33" s="41" t="n">
        <f aca="false">IF($A33="","",ROUND(SUMIFS(成本费用登记表!$H$4:$H$303,成本费用登记表!$D$4:$D$303,$A33,成本费用登记表!$AC$4:$AC$303,Q$4)+SUMIFS(资金日记账!$I$4:$I$603,资金日记账!$G$4:$G$603,$A33,资金日记账!$U$4:$U$603,"&lt;&gt;是",资金日记账!$V$4:$V$603,Q$4),2))</f>
        <v>0</v>
      </c>
      <c r="R33" s="41" t="n">
        <f aca="false">IF($A33="","",ROUND(SUMIFS(成本费用登记表!$H$4:$H$303,成本费用登记表!$D$4:$D$303,$A33,成本费用登记表!$AC$4:$AC$303,R$4)+SUMIFS(资金日记账!$I$4:$I$603,资金日记账!$G$4:$G$603,$A33,资金日记账!$U$4:$U$603,"&lt;&gt;是",资金日记账!$V$4:$V$603,R$4),2))</f>
        <v>0</v>
      </c>
      <c r="S33" s="41" t="n">
        <f aca="false">IF($A33="","",ROUND(SUMIFS(成本费用登记表!$H$4:$H$303,成本费用登记表!$D$4:$D$303,$A33,成本费用登记表!$AC$4:$AC$303,S$4)+SUMIFS(资金日记账!$I$4:$I$603,资金日记账!$G$4:$G$603,$A33,资金日记账!$U$4:$U$603,"&lt;&gt;是",资金日记账!$V$4:$V$603,S$4),2))</f>
        <v>0</v>
      </c>
      <c r="T33" s="41" t="n">
        <f aca="false">IF($A33="","",ROUND(SUMIFS(成本费用登记表!$H$4:$H$303,成本费用登记表!$D$4:$D$303,$A33,成本费用登记表!$AC$4:$AC$303,T$4)+SUMIFS(资金日记账!$I$4:$I$603,资金日记账!$G$4:$G$603,$A33,资金日记账!$U$4:$U$603,"&lt;&gt;是",资金日记账!$V$4:$V$603,T$4),2))</f>
        <v>0</v>
      </c>
      <c r="U33" s="41" t="n">
        <f aca="false">IF($A33="","",ROUND(SUMIFS(成本费用登记表!$H$4:$H$303,成本费用登记表!$D$4:$D$303,$A33,成本费用登记表!$AC$4:$AC$303,U$4)+SUMIFS(资金日记账!$I$4:$I$603,资金日记账!$G$4:$G$603,$A33,资金日记账!$U$4:$U$603,"&lt;&gt;是",资金日记账!$V$4:$V$603,U$4),2))</f>
        <v>0</v>
      </c>
      <c r="V33" s="41" t="n">
        <f aca="false">IF($A33="","",ROUND(SUMIFS(成本费用登记表!$H$4:$H$303,成本费用登记表!$D$4:$D$303,$A33,成本费用登记表!$AC$4:$AC$303,V$4)+SUMIFS(资金日记账!$I$4:$I$603,资金日记账!$G$4:$G$603,$A33,资金日记账!$U$4:$U$603,"&lt;&gt;是",资金日记账!$V$4:$V$603,V$4),2))</f>
        <v>0</v>
      </c>
      <c r="W33" s="41" t="n">
        <f aca="false">IF($A33="","",ROUND(SUMIFS(成本费用登记表!$H$4:$H$303,成本费用登记表!$D$4:$D$303,$A33,成本费用登记表!$AC$4:$AC$303,W$4)+SUMIFS(资金日记账!$I$4:$I$603,资金日记账!$G$4:$G$603,$A33,资金日记账!$U$4:$U$603,"&lt;&gt;是",资金日记账!$V$4:$V$603,W$4),2))</f>
        <v>0</v>
      </c>
      <c r="X33" s="41" t="n">
        <f aca="false">IF($A33="","",ROUND(SUMIFS(成本费用登记表!$H$4:$H$303,成本费用登记表!$D$4:$D$303,$A33,成本费用登记表!$AC$4:$AC$303,X$4)+SUMIFS(资金日记账!$I$4:$I$603,资金日记账!$G$4:$G$603,$A33,资金日记账!$U$4:$U$603,"&lt;&gt;是",资金日记账!$V$4:$V$603,X$4),2))</f>
        <v>0</v>
      </c>
      <c r="Y33" s="41" t="n">
        <f aca="false">IF($A33="","",ROUND(SUMIFS(成本费用登记表!$H$4:$H$303,成本费用登记表!$D$4:$D$303,$A33,成本费用登记表!$AC$4:$AC$303,Y$4)+SUMIFS(资金日记账!$I$4:$I$603,资金日记账!$G$4:$G$603,$A33,资金日记账!$U$4:$U$603,"&lt;&gt;是",资金日记账!$V$4:$V$603,Y$4),2))</f>
        <v>0</v>
      </c>
      <c r="Z33" s="142" t="n">
        <f aca="false">IF($A33="","",ROUND(SUM($B33:$Y33),2))</f>
        <v>480</v>
      </c>
      <c r="AA33" s="41" t="n">
        <f aca="false">IF($A33="","",ROUND(SUMIF(成本费用登记表!$D$4:$D$303,$A33,成本费用登记表!$AA$4:$AA$303)+SUMIFS(资金日记账!$I$4:$I$603,资金日记账!$G$4:$G$603,$A33,资金日记账!$U$4:$U$603,"&lt;&gt;是"),2))</f>
        <v>480</v>
      </c>
      <c r="AB33" s="41" t="n">
        <f aca="false">IF($A33="","",ROUND(N($Z33)-N($AA33),2))</f>
        <v>0</v>
      </c>
    </row>
    <row r="34" customFormat="false" ht="13.5" hidden="false" customHeight="false" outlineLevel="0" collapsed="false">
      <c r="A34" s="33" t="str">
        <f aca="false">IFERROR(INDEX(_自动清单!$X$4:$X$63,30),"")</f>
        <v>水泵</v>
      </c>
      <c r="B34" s="41" t="n">
        <f aca="false">IF($A34="","",ROUND(SUMIFS(成本费用登记表!$H$4:$H$303,成本费用登记表!$D$4:$D$303,$A34,成本费用登记表!$AC$4:$AC$303,B$4)+SUMIFS(资金日记账!$I$4:$I$603,资金日记账!$G$4:$G$603,$A34,资金日记账!$U$4:$U$603,"&lt;&gt;是",资金日记账!$V$4:$V$603,B$4),2))</f>
        <v>0</v>
      </c>
      <c r="C34" s="41" t="n">
        <f aca="false">IF($A34="","",ROUND(SUMIFS(成本费用登记表!$H$4:$H$303,成本费用登记表!$D$4:$D$303,$A34,成本费用登记表!$AC$4:$AC$303,C$4)+SUMIFS(资金日记账!$I$4:$I$603,资金日记账!$G$4:$G$603,$A34,资金日记账!$U$4:$U$603,"&lt;&gt;是",资金日记账!$V$4:$V$603,C$4),2))</f>
        <v>1800</v>
      </c>
      <c r="D34" s="41" t="n">
        <f aca="false">IF($A34="","",ROUND(SUMIFS(成本费用登记表!$H$4:$H$303,成本费用登记表!$D$4:$D$303,$A34,成本费用登记表!$AC$4:$AC$303,D$4)+SUMIFS(资金日记账!$I$4:$I$603,资金日记账!$G$4:$G$603,$A34,资金日记账!$U$4:$U$603,"&lt;&gt;是",资金日记账!$V$4:$V$603,D$4),2))</f>
        <v>0</v>
      </c>
      <c r="E34" s="41" t="n">
        <f aca="false">IF($A34="","",ROUND(SUMIFS(成本费用登记表!$H$4:$H$303,成本费用登记表!$D$4:$D$303,$A34,成本费用登记表!$AC$4:$AC$303,E$4)+SUMIFS(资金日记账!$I$4:$I$603,资金日记账!$G$4:$G$603,$A34,资金日记账!$U$4:$U$603,"&lt;&gt;是",资金日记账!$V$4:$V$603,E$4),2))</f>
        <v>0</v>
      </c>
      <c r="F34" s="41" t="n">
        <f aca="false">IF($A34="","",ROUND(SUMIFS(成本费用登记表!$H$4:$H$303,成本费用登记表!$D$4:$D$303,$A34,成本费用登记表!$AC$4:$AC$303,F$4)+SUMIFS(资金日记账!$I$4:$I$603,资金日记账!$G$4:$G$603,$A34,资金日记账!$U$4:$U$603,"&lt;&gt;是",资金日记账!$V$4:$V$603,F$4),2))</f>
        <v>0</v>
      </c>
      <c r="G34" s="41" t="n">
        <f aca="false">IF($A34="","",ROUND(SUMIFS(成本费用登记表!$H$4:$H$303,成本费用登记表!$D$4:$D$303,$A34,成本费用登记表!$AC$4:$AC$303,G$4)+SUMIFS(资金日记账!$I$4:$I$603,资金日记账!$G$4:$G$603,$A34,资金日记账!$U$4:$U$603,"&lt;&gt;是",资金日记账!$V$4:$V$603,G$4),2))</f>
        <v>0</v>
      </c>
      <c r="H34" s="41" t="n">
        <f aca="false">IF($A34="","",ROUND(SUMIFS(成本费用登记表!$H$4:$H$303,成本费用登记表!$D$4:$D$303,$A34,成本费用登记表!$AC$4:$AC$303,H$4)+SUMIFS(资金日记账!$I$4:$I$603,资金日记账!$G$4:$G$603,$A34,资金日记账!$U$4:$U$603,"&lt;&gt;是",资金日记账!$V$4:$V$603,H$4),2))</f>
        <v>0</v>
      </c>
      <c r="I34" s="41" t="n">
        <f aca="false">IF($A34="","",ROUND(SUMIFS(成本费用登记表!$H$4:$H$303,成本费用登记表!$D$4:$D$303,$A34,成本费用登记表!$AC$4:$AC$303,I$4)+SUMIFS(资金日记账!$I$4:$I$603,资金日记账!$G$4:$G$603,$A34,资金日记账!$U$4:$U$603,"&lt;&gt;是",资金日记账!$V$4:$V$603,I$4),2))</f>
        <v>0</v>
      </c>
      <c r="J34" s="41" t="n">
        <f aca="false">IF($A34="","",ROUND(SUMIFS(成本费用登记表!$H$4:$H$303,成本费用登记表!$D$4:$D$303,$A34,成本费用登记表!$AC$4:$AC$303,J$4)+SUMIFS(资金日记账!$I$4:$I$603,资金日记账!$G$4:$G$603,$A34,资金日记账!$U$4:$U$603,"&lt;&gt;是",资金日记账!$V$4:$V$603,J$4),2))</f>
        <v>0</v>
      </c>
      <c r="K34" s="41" t="n">
        <f aca="false">IF($A34="","",ROUND(SUMIFS(成本费用登记表!$H$4:$H$303,成本费用登记表!$D$4:$D$303,$A34,成本费用登记表!$AC$4:$AC$303,K$4)+SUMIFS(资金日记账!$I$4:$I$603,资金日记账!$G$4:$G$603,$A34,资金日记账!$U$4:$U$603,"&lt;&gt;是",资金日记账!$V$4:$V$603,K$4),2))</f>
        <v>0</v>
      </c>
      <c r="L34" s="41" t="n">
        <f aca="false">IF($A34="","",ROUND(SUMIFS(成本费用登记表!$H$4:$H$303,成本费用登记表!$D$4:$D$303,$A34,成本费用登记表!$AC$4:$AC$303,L$4)+SUMIFS(资金日记账!$I$4:$I$603,资金日记账!$G$4:$G$603,$A34,资金日记账!$U$4:$U$603,"&lt;&gt;是",资金日记账!$V$4:$V$603,L$4),2))</f>
        <v>0</v>
      </c>
      <c r="M34" s="41" t="n">
        <f aca="false">IF($A34="","",ROUND(SUMIFS(成本费用登记表!$H$4:$H$303,成本费用登记表!$D$4:$D$303,$A34,成本费用登记表!$AC$4:$AC$303,M$4)+SUMIFS(资金日记账!$I$4:$I$603,资金日记账!$G$4:$G$603,$A34,资金日记账!$U$4:$U$603,"&lt;&gt;是",资金日记账!$V$4:$V$603,M$4),2))</f>
        <v>0</v>
      </c>
      <c r="N34" s="41" t="n">
        <f aca="false">IF($A34="","",ROUND(SUMIFS(成本费用登记表!$H$4:$H$303,成本费用登记表!$D$4:$D$303,$A34,成本费用登记表!$AC$4:$AC$303,N$4)+SUMIFS(资金日记账!$I$4:$I$603,资金日记账!$G$4:$G$603,$A34,资金日记账!$U$4:$U$603,"&lt;&gt;是",资金日记账!$V$4:$V$603,N$4),2))</f>
        <v>0</v>
      </c>
      <c r="O34" s="41" t="n">
        <f aca="false">IF($A34="","",ROUND(SUMIFS(成本费用登记表!$H$4:$H$303,成本费用登记表!$D$4:$D$303,$A34,成本费用登记表!$AC$4:$AC$303,O$4)+SUMIFS(资金日记账!$I$4:$I$603,资金日记账!$G$4:$G$603,$A34,资金日记账!$U$4:$U$603,"&lt;&gt;是",资金日记账!$V$4:$V$603,O$4),2))</f>
        <v>0</v>
      </c>
      <c r="P34" s="41" t="n">
        <f aca="false">IF($A34="","",ROUND(SUMIFS(成本费用登记表!$H$4:$H$303,成本费用登记表!$D$4:$D$303,$A34,成本费用登记表!$AC$4:$AC$303,P$4)+SUMIFS(资金日记账!$I$4:$I$603,资金日记账!$G$4:$G$603,$A34,资金日记账!$U$4:$U$603,"&lt;&gt;是",资金日记账!$V$4:$V$603,P$4),2))</f>
        <v>0</v>
      </c>
      <c r="Q34" s="41" t="n">
        <f aca="false">IF($A34="","",ROUND(SUMIFS(成本费用登记表!$H$4:$H$303,成本费用登记表!$D$4:$D$303,$A34,成本费用登记表!$AC$4:$AC$303,Q$4)+SUMIFS(资金日记账!$I$4:$I$603,资金日记账!$G$4:$G$603,$A34,资金日记账!$U$4:$U$603,"&lt;&gt;是",资金日记账!$V$4:$V$603,Q$4),2))</f>
        <v>0</v>
      </c>
      <c r="R34" s="41" t="n">
        <f aca="false">IF($A34="","",ROUND(SUMIFS(成本费用登记表!$H$4:$H$303,成本费用登记表!$D$4:$D$303,$A34,成本费用登记表!$AC$4:$AC$303,R$4)+SUMIFS(资金日记账!$I$4:$I$603,资金日记账!$G$4:$G$603,$A34,资金日记账!$U$4:$U$603,"&lt;&gt;是",资金日记账!$V$4:$V$603,R$4),2))</f>
        <v>0</v>
      </c>
      <c r="S34" s="41" t="n">
        <f aca="false">IF($A34="","",ROUND(SUMIFS(成本费用登记表!$H$4:$H$303,成本费用登记表!$D$4:$D$303,$A34,成本费用登记表!$AC$4:$AC$303,S$4)+SUMIFS(资金日记账!$I$4:$I$603,资金日记账!$G$4:$G$603,$A34,资金日记账!$U$4:$U$603,"&lt;&gt;是",资金日记账!$V$4:$V$603,S$4),2))</f>
        <v>0</v>
      </c>
      <c r="T34" s="41" t="n">
        <f aca="false">IF($A34="","",ROUND(SUMIFS(成本费用登记表!$H$4:$H$303,成本费用登记表!$D$4:$D$303,$A34,成本费用登记表!$AC$4:$AC$303,T$4)+SUMIFS(资金日记账!$I$4:$I$603,资金日记账!$G$4:$G$603,$A34,资金日记账!$U$4:$U$603,"&lt;&gt;是",资金日记账!$V$4:$V$603,T$4),2))</f>
        <v>0</v>
      </c>
      <c r="U34" s="41" t="n">
        <f aca="false">IF($A34="","",ROUND(SUMIFS(成本费用登记表!$H$4:$H$303,成本费用登记表!$D$4:$D$303,$A34,成本费用登记表!$AC$4:$AC$303,U$4)+SUMIFS(资金日记账!$I$4:$I$603,资金日记账!$G$4:$G$603,$A34,资金日记账!$U$4:$U$603,"&lt;&gt;是",资金日记账!$V$4:$V$603,U$4),2))</f>
        <v>0</v>
      </c>
      <c r="V34" s="41" t="n">
        <f aca="false">IF($A34="","",ROUND(SUMIFS(成本费用登记表!$H$4:$H$303,成本费用登记表!$D$4:$D$303,$A34,成本费用登记表!$AC$4:$AC$303,V$4)+SUMIFS(资金日记账!$I$4:$I$603,资金日记账!$G$4:$G$603,$A34,资金日记账!$U$4:$U$603,"&lt;&gt;是",资金日记账!$V$4:$V$603,V$4),2))</f>
        <v>0</v>
      </c>
      <c r="W34" s="41" t="n">
        <f aca="false">IF($A34="","",ROUND(SUMIFS(成本费用登记表!$H$4:$H$303,成本费用登记表!$D$4:$D$303,$A34,成本费用登记表!$AC$4:$AC$303,W$4)+SUMIFS(资金日记账!$I$4:$I$603,资金日记账!$G$4:$G$603,$A34,资金日记账!$U$4:$U$603,"&lt;&gt;是",资金日记账!$V$4:$V$603,W$4),2))</f>
        <v>0</v>
      </c>
      <c r="X34" s="41" t="n">
        <f aca="false">IF($A34="","",ROUND(SUMIFS(成本费用登记表!$H$4:$H$303,成本费用登记表!$D$4:$D$303,$A34,成本费用登记表!$AC$4:$AC$303,X$4)+SUMIFS(资金日记账!$I$4:$I$603,资金日记账!$G$4:$G$603,$A34,资金日记账!$U$4:$U$603,"&lt;&gt;是",资金日记账!$V$4:$V$603,X$4),2))</f>
        <v>0</v>
      </c>
      <c r="Y34" s="41" t="n">
        <f aca="false">IF($A34="","",ROUND(SUMIFS(成本费用登记表!$H$4:$H$303,成本费用登记表!$D$4:$D$303,$A34,成本费用登记表!$AC$4:$AC$303,Y$4)+SUMIFS(资金日记账!$I$4:$I$603,资金日记账!$G$4:$G$603,$A34,资金日记账!$U$4:$U$603,"&lt;&gt;是",资金日记账!$V$4:$V$603,Y$4),2))</f>
        <v>0</v>
      </c>
      <c r="Z34" s="142" t="n">
        <f aca="false">IF($A34="","",ROUND(SUM($B34:$Y34),2))</f>
        <v>1800</v>
      </c>
      <c r="AA34" s="41" t="n">
        <f aca="false">IF($A34="","",ROUND(SUMIF(成本费用登记表!$D$4:$D$303,$A34,成本费用登记表!$AA$4:$AA$303)+SUMIFS(资金日记账!$I$4:$I$603,资金日记账!$G$4:$G$603,$A34,资金日记账!$U$4:$U$603,"&lt;&gt;是"),2))</f>
        <v>1800</v>
      </c>
      <c r="AB34" s="41" t="n">
        <f aca="false">IF($A34="","",ROUND(N($Z34)-N($AA34),2))</f>
        <v>0</v>
      </c>
    </row>
    <row r="35" customFormat="false" ht="13.5" hidden="false" customHeight="false" outlineLevel="0" collapsed="false">
      <c r="A35" s="33" t="str">
        <f aca="false">IFERROR(INDEX(_自动清单!$X$4:$X$63,31),"")</f>
        <v/>
      </c>
      <c r="B35" s="41" t="str">
        <f aca="false">IF($A35="","",ROUND(SUMIFS(成本费用登记表!$H$4:$H$303,成本费用登记表!$D$4:$D$303,$A35,成本费用登记表!$AC$4:$AC$303,B$4)+SUMIFS(资金日记账!$I$4:$I$603,资金日记账!$G$4:$G$603,$A35,资金日记账!$U$4:$U$603,"&lt;&gt;是",资金日记账!$V$4:$V$603,B$4),2))</f>
        <v/>
      </c>
      <c r="C35" s="41" t="str">
        <f aca="false">IF($A35="","",ROUND(SUMIFS(成本费用登记表!$H$4:$H$303,成本费用登记表!$D$4:$D$303,$A35,成本费用登记表!$AC$4:$AC$303,C$4)+SUMIFS(资金日记账!$I$4:$I$603,资金日记账!$G$4:$G$603,$A35,资金日记账!$U$4:$U$603,"&lt;&gt;是",资金日记账!$V$4:$V$603,C$4),2))</f>
        <v/>
      </c>
      <c r="D35" s="41" t="str">
        <f aca="false">IF($A35="","",ROUND(SUMIFS(成本费用登记表!$H$4:$H$303,成本费用登记表!$D$4:$D$303,$A35,成本费用登记表!$AC$4:$AC$303,D$4)+SUMIFS(资金日记账!$I$4:$I$603,资金日记账!$G$4:$G$603,$A35,资金日记账!$U$4:$U$603,"&lt;&gt;是",资金日记账!$V$4:$V$603,D$4),2))</f>
        <v/>
      </c>
      <c r="E35" s="41" t="str">
        <f aca="false">IF($A35="","",ROUND(SUMIFS(成本费用登记表!$H$4:$H$303,成本费用登记表!$D$4:$D$303,$A35,成本费用登记表!$AC$4:$AC$303,E$4)+SUMIFS(资金日记账!$I$4:$I$603,资金日记账!$G$4:$G$603,$A35,资金日记账!$U$4:$U$603,"&lt;&gt;是",资金日记账!$V$4:$V$603,E$4),2))</f>
        <v/>
      </c>
      <c r="F35" s="41" t="str">
        <f aca="false">IF($A35="","",ROUND(SUMIFS(成本费用登记表!$H$4:$H$303,成本费用登记表!$D$4:$D$303,$A35,成本费用登记表!$AC$4:$AC$303,F$4)+SUMIFS(资金日记账!$I$4:$I$603,资金日记账!$G$4:$G$603,$A35,资金日记账!$U$4:$U$603,"&lt;&gt;是",资金日记账!$V$4:$V$603,F$4),2))</f>
        <v/>
      </c>
      <c r="G35" s="41" t="str">
        <f aca="false">IF($A35="","",ROUND(SUMIFS(成本费用登记表!$H$4:$H$303,成本费用登记表!$D$4:$D$303,$A35,成本费用登记表!$AC$4:$AC$303,G$4)+SUMIFS(资金日记账!$I$4:$I$603,资金日记账!$G$4:$G$603,$A35,资金日记账!$U$4:$U$603,"&lt;&gt;是",资金日记账!$V$4:$V$603,G$4),2))</f>
        <v/>
      </c>
      <c r="H35" s="41" t="str">
        <f aca="false">IF($A35="","",ROUND(SUMIFS(成本费用登记表!$H$4:$H$303,成本费用登记表!$D$4:$D$303,$A35,成本费用登记表!$AC$4:$AC$303,H$4)+SUMIFS(资金日记账!$I$4:$I$603,资金日记账!$G$4:$G$603,$A35,资金日记账!$U$4:$U$603,"&lt;&gt;是",资金日记账!$V$4:$V$603,H$4),2))</f>
        <v/>
      </c>
      <c r="I35" s="41" t="str">
        <f aca="false">IF($A35="","",ROUND(SUMIFS(成本费用登记表!$H$4:$H$303,成本费用登记表!$D$4:$D$303,$A35,成本费用登记表!$AC$4:$AC$303,I$4)+SUMIFS(资金日记账!$I$4:$I$603,资金日记账!$G$4:$G$603,$A35,资金日记账!$U$4:$U$603,"&lt;&gt;是",资金日记账!$V$4:$V$603,I$4),2))</f>
        <v/>
      </c>
      <c r="J35" s="41" t="str">
        <f aca="false">IF($A35="","",ROUND(SUMIFS(成本费用登记表!$H$4:$H$303,成本费用登记表!$D$4:$D$303,$A35,成本费用登记表!$AC$4:$AC$303,J$4)+SUMIFS(资金日记账!$I$4:$I$603,资金日记账!$G$4:$G$603,$A35,资金日记账!$U$4:$U$603,"&lt;&gt;是",资金日记账!$V$4:$V$603,J$4),2))</f>
        <v/>
      </c>
      <c r="K35" s="41" t="str">
        <f aca="false">IF($A35="","",ROUND(SUMIFS(成本费用登记表!$H$4:$H$303,成本费用登记表!$D$4:$D$303,$A35,成本费用登记表!$AC$4:$AC$303,K$4)+SUMIFS(资金日记账!$I$4:$I$603,资金日记账!$G$4:$G$603,$A35,资金日记账!$U$4:$U$603,"&lt;&gt;是",资金日记账!$V$4:$V$603,K$4),2))</f>
        <v/>
      </c>
      <c r="L35" s="41" t="str">
        <f aca="false">IF($A35="","",ROUND(SUMIFS(成本费用登记表!$H$4:$H$303,成本费用登记表!$D$4:$D$303,$A35,成本费用登记表!$AC$4:$AC$303,L$4)+SUMIFS(资金日记账!$I$4:$I$603,资金日记账!$G$4:$G$603,$A35,资金日记账!$U$4:$U$603,"&lt;&gt;是",资金日记账!$V$4:$V$603,L$4),2))</f>
        <v/>
      </c>
      <c r="M35" s="41" t="str">
        <f aca="false">IF($A35="","",ROUND(SUMIFS(成本费用登记表!$H$4:$H$303,成本费用登记表!$D$4:$D$303,$A35,成本费用登记表!$AC$4:$AC$303,M$4)+SUMIFS(资金日记账!$I$4:$I$603,资金日记账!$G$4:$G$603,$A35,资金日记账!$U$4:$U$603,"&lt;&gt;是",资金日记账!$V$4:$V$603,M$4),2))</f>
        <v/>
      </c>
      <c r="N35" s="41" t="str">
        <f aca="false">IF($A35="","",ROUND(SUMIFS(成本费用登记表!$H$4:$H$303,成本费用登记表!$D$4:$D$303,$A35,成本费用登记表!$AC$4:$AC$303,N$4)+SUMIFS(资金日记账!$I$4:$I$603,资金日记账!$G$4:$G$603,$A35,资金日记账!$U$4:$U$603,"&lt;&gt;是",资金日记账!$V$4:$V$603,N$4),2))</f>
        <v/>
      </c>
      <c r="O35" s="41" t="str">
        <f aca="false">IF($A35="","",ROUND(SUMIFS(成本费用登记表!$H$4:$H$303,成本费用登记表!$D$4:$D$303,$A35,成本费用登记表!$AC$4:$AC$303,O$4)+SUMIFS(资金日记账!$I$4:$I$603,资金日记账!$G$4:$G$603,$A35,资金日记账!$U$4:$U$603,"&lt;&gt;是",资金日记账!$V$4:$V$603,O$4),2))</f>
        <v/>
      </c>
      <c r="P35" s="41" t="str">
        <f aca="false">IF($A35="","",ROUND(SUMIFS(成本费用登记表!$H$4:$H$303,成本费用登记表!$D$4:$D$303,$A35,成本费用登记表!$AC$4:$AC$303,P$4)+SUMIFS(资金日记账!$I$4:$I$603,资金日记账!$G$4:$G$603,$A35,资金日记账!$U$4:$U$603,"&lt;&gt;是",资金日记账!$V$4:$V$603,P$4),2))</f>
        <v/>
      </c>
      <c r="Q35" s="41" t="str">
        <f aca="false">IF($A35="","",ROUND(SUMIFS(成本费用登记表!$H$4:$H$303,成本费用登记表!$D$4:$D$303,$A35,成本费用登记表!$AC$4:$AC$303,Q$4)+SUMIFS(资金日记账!$I$4:$I$603,资金日记账!$G$4:$G$603,$A35,资金日记账!$U$4:$U$603,"&lt;&gt;是",资金日记账!$V$4:$V$603,Q$4),2))</f>
        <v/>
      </c>
      <c r="R35" s="41" t="str">
        <f aca="false">IF($A35="","",ROUND(SUMIFS(成本费用登记表!$H$4:$H$303,成本费用登记表!$D$4:$D$303,$A35,成本费用登记表!$AC$4:$AC$303,R$4)+SUMIFS(资金日记账!$I$4:$I$603,资金日记账!$G$4:$G$603,$A35,资金日记账!$U$4:$U$603,"&lt;&gt;是",资金日记账!$V$4:$V$603,R$4),2))</f>
        <v/>
      </c>
      <c r="S35" s="41" t="str">
        <f aca="false">IF($A35="","",ROUND(SUMIFS(成本费用登记表!$H$4:$H$303,成本费用登记表!$D$4:$D$303,$A35,成本费用登记表!$AC$4:$AC$303,S$4)+SUMIFS(资金日记账!$I$4:$I$603,资金日记账!$G$4:$G$603,$A35,资金日记账!$U$4:$U$603,"&lt;&gt;是",资金日记账!$V$4:$V$603,S$4),2))</f>
        <v/>
      </c>
      <c r="T35" s="41" t="str">
        <f aca="false">IF($A35="","",ROUND(SUMIFS(成本费用登记表!$H$4:$H$303,成本费用登记表!$D$4:$D$303,$A35,成本费用登记表!$AC$4:$AC$303,T$4)+SUMIFS(资金日记账!$I$4:$I$603,资金日记账!$G$4:$G$603,$A35,资金日记账!$U$4:$U$603,"&lt;&gt;是",资金日记账!$V$4:$V$603,T$4),2))</f>
        <v/>
      </c>
      <c r="U35" s="41" t="str">
        <f aca="false">IF($A35="","",ROUND(SUMIFS(成本费用登记表!$H$4:$H$303,成本费用登记表!$D$4:$D$303,$A35,成本费用登记表!$AC$4:$AC$303,U$4)+SUMIFS(资金日记账!$I$4:$I$603,资金日记账!$G$4:$G$603,$A35,资金日记账!$U$4:$U$603,"&lt;&gt;是",资金日记账!$V$4:$V$603,U$4),2))</f>
        <v/>
      </c>
      <c r="V35" s="41" t="str">
        <f aca="false">IF($A35="","",ROUND(SUMIFS(成本费用登记表!$H$4:$H$303,成本费用登记表!$D$4:$D$303,$A35,成本费用登记表!$AC$4:$AC$303,V$4)+SUMIFS(资金日记账!$I$4:$I$603,资金日记账!$G$4:$G$603,$A35,资金日记账!$U$4:$U$603,"&lt;&gt;是",资金日记账!$V$4:$V$603,V$4),2))</f>
        <v/>
      </c>
      <c r="W35" s="41" t="str">
        <f aca="false">IF($A35="","",ROUND(SUMIFS(成本费用登记表!$H$4:$H$303,成本费用登记表!$D$4:$D$303,$A35,成本费用登记表!$AC$4:$AC$303,W$4)+SUMIFS(资金日记账!$I$4:$I$603,资金日记账!$G$4:$G$603,$A35,资金日记账!$U$4:$U$603,"&lt;&gt;是",资金日记账!$V$4:$V$603,W$4),2))</f>
        <v/>
      </c>
      <c r="X35" s="41" t="str">
        <f aca="false">IF($A35="","",ROUND(SUMIFS(成本费用登记表!$H$4:$H$303,成本费用登记表!$D$4:$D$303,$A35,成本费用登记表!$AC$4:$AC$303,X$4)+SUMIFS(资金日记账!$I$4:$I$603,资金日记账!$G$4:$G$603,$A35,资金日记账!$U$4:$U$603,"&lt;&gt;是",资金日记账!$V$4:$V$603,X$4),2))</f>
        <v/>
      </c>
      <c r="Y35" s="41" t="str">
        <f aca="false">IF($A35="","",ROUND(SUMIFS(成本费用登记表!$H$4:$H$303,成本费用登记表!$D$4:$D$303,$A35,成本费用登记表!$AC$4:$AC$303,Y$4)+SUMIFS(资金日记账!$I$4:$I$603,资金日记账!$G$4:$G$603,$A35,资金日记账!$U$4:$U$603,"&lt;&gt;是",资金日记账!$V$4:$V$603,Y$4),2))</f>
        <v/>
      </c>
      <c r="Z35" s="142" t="str">
        <f aca="false">IF($A35="","",ROUND(SUM($B35:$Y35),2))</f>
        <v/>
      </c>
      <c r="AA35" s="41" t="str">
        <f aca="false">IF($A35="","",ROUND(SUMIF(成本费用登记表!$D$4:$D$303,$A35,成本费用登记表!$AA$4:$AA$303)+SUMIFS(资金日记账!$I$4:$I$603,资金日记账!$G$4:$G$603,$A35,资金日记账!$U$4:$U$603,"&lt;&gt;是"),2))</f>
        <v/>
      </c>
      <c r="AB35" s="41" t="str">
        <f aca="false">IF($A35="","",ROUND(N($Z35)-N($AA35),2))</f>
        <v/>
      </c>
    </row>
    <row r="36" customFormat="false" ht="13.5" hidden="false" customHeight="false" outlineLevel="0" collapsed="false">
      <c r="A36" s="33" t="str">
        <f aca="false">IFERROR(INDEX(_自动清单!$X$4:$X$63,32),"")</f>
        <v/>
      </c>
      <c r="B36" s="41" t="str">
        <f aca="false">IF($A36="","",ROUND(SUMIFS(成本费用登记表!$H$4:$H$303,成本费用登记表!$D$4:$D$303,$A36,成本费用登记表!$AC$4:$AC$303,B$4)+SUMIFS(资金日记账!$I$4:$I$603,资金日记账!$G$4:$G$603,$A36,资金日记账!$U$4:$U$603,"&lt;&gt;是",资金日记账!$V$4:$V$603,B$4),2))</f>
        <v/>
      </c>
      <c r="C36" s="41" t="str">
        <f aca="false">IF($A36="","",ROUND(SUMIFS(成本费用登记表!$H$4:$H$303,成本费用登记表!$D$4:$D$303,$A36,成本费用登记表!$AC$4:$AC$303,C$4)+SUMIFS(资金日记账!$I$4:$I$603,资金日记账!$G$4:$G$603,$A36,资金日记账!$U$4:$U$603,"&lt;&gt;是",资金日记账!$V$4:$V$603,C$4),2))</f>
        <v/>
      </c>
      <c r="D36" s="41" t="str">
        <f aca="false">IF($A36="","",ROUND(SUMIFS(成本费用登记表!$H$4:$H$303,成本费用登记表!$D$4:$D$303,$A36,成本费用登记表!$AC$4:$AC$303,D$4)+SUMIFS(资金日记账!$I$4:$I$603,资金日记账!$G$4:$G$603,$A36,资金日记账!$U$4:$U$603,"&lt;&gt;是",资金日记账!$V$4:$V$603,D$4),2))</f>
        <v/>
      </c>
      <c r="E36" s="41" t="str">
        <f aca="false">IF($A36="","",ROUND(SUMIFS(成本费用登记表!$H$4:$H$303,成本费用登记表!$D$4:$D$303,$A36,成本费用登记表!$AC$4:$AC$303,E$4)+SUMIFS(资金日记账!$I$4:$I$603,资金日记账!$G$4:$G$603,$A36,资金日记账!$U$4:$U$603,"&lt;&gt;是",资金日记账!$V$4:$V$603,E$4),2))</f>
        <v/>
      </c>
      <c r="F36" s="41" t="str">
        <f aca="false">IF($A36="","",ROUND(SUMIFS(成本费用登记表!$H$4:$H$303,成本费用登记表!$D$4:$D$303,$A36,成本费用登记表!$AC$4:$AC$303,F$4)+SUMIFS(资金日记账!$I$4:$I$603,资金日记账!$G$4:$G$603,$A36,资金日记账!$U$4:$U$603,"&lt;&gt;是",资金日记账!$V$4:$V$603,F$4),2))</f>
        <v/>
      </c>
      <c r="G36" s="41" t="str">
        <f aca="false">IF($A36="","",ROUND(SUMIFS(成本费用登记表!$H$4:$H$303,成本费用登记表!$D$4:$D$303,$A36,成本费用登记表!$AC$4:$AC$303,G$4)+SUMIFS(资金日记账!$I$4:$I$603,资金日记账!$G$4:$G$603,$A36,资金日记账!$U$4:$U$603,"&lt;&gt;是",资金日记账!$V$4:$V$603,G$4),2))</f>
        <v/>
      </c>
      <c r="H36" s="41" t="str">
        <f aca="false">IF($A36="","",ROUND(SUMIFS(成本费用登记表!$H$4:$H$303,成本费用登记表!$D$4:$D$303,$A36,成本费用登记表!$AC$4:$AC$303,H$4)+SUMIFS(资金日记账!$I$4:$I$603,资金日记账!$G$4:$G$603,$A36,资金日记账!$U$4:$U$603,"&lt;&gt;是",资金日记账!$V$4:$V$603,H$4),2))</f>
        <v/>
      </c>
      <c r="I36" s="41" t="str">
        <f aca="false">IF($A36="","",ROUND(SUMIFS(成本费用登记表!$H$4:$H$303,成本费用登记表!$D$4:$D$303,$A36,成本费用登记表!$AC$4:$AC$303,I$4)+SUMIFS(资金日记账!$I$4:$I$603,资金日记账!$G$4:$G$603,$A36,资金日记账!$U$4:$U$603,"&lt;&gt;是",资金日记账!$V$4:$V$603,I$4),2))</f>
        <v/>
      </c>
      <c r="J36" s="41" t="str">
        <f aca="false">IF($A36="","",ROUND(SUMIFS(成本费用登记表!$H$4:$H$303,成本费用登记表!$D$4:$D$303,$A36,成本费用登记表!$AC$4:$AC$303,J$4)+SUMIFS(资金日记账!$I$4:$I$603,资金日记账!$G$4:$G$603,$A36,资金日记账!$U$4:$U$603,"&lt;&gt;是",资金日记账!$V$4:$V$603,J$4),2))</f>
        <v/>
      </c>
      <c r="K36" s="41" t="str">
        <f aca="false">IF($A36="","",ROUND(SUMIFS(成本费用登记表!$H$4:$H$303,成本费用登记表!$D$4:$D$303,$A36,成本费用登记表!$AC$4:$AC$303,K$4)+SUMIFS(资金日记账!$I$4:$I$603,资金日记账!$G$4:$G$603,$A36,资金日记账!$U$4:$U$603,"&lt;&gt;是",资金日记账!$V$4:$V$603,K$4),2))</f>
        <v/>
      </c>
      <c r="L36" s="41" t="str">
        <f aca="false">IF($A36="","",ROUND(SUMIFS(成本费用登记表!$H$4:$H$303,成本费用登记表!$D$4:$D$303,$A36,成本费用登记表!$AC$4:$AC$303,L$4)+SUMIFS(资金日记账!$I$4:$I$603,资金日记账!$G$4:$G$603,$A36,资金日记账!$U$4:$U$603,"&lt;&gt;是",资金日记账!$V$4:$V$603,L$4),2))</f>
        <v/>
      </c>
      <c r="M36" s="41" t="str">
        <f aca="false">IF($A36="","",ROUND(SUMIFS(成本费用登记表!$H$4:$H$303,成本费用登记表!$D$4:$D$303,$A36,成本费用登记表!$AC$4:$AC$303,M$4)+SUMIFS(资金日记账!$I$4:$I$603,资金日记账!$G$4:$G$603,$A36,资金日记账!$U$4:$U$603,"&lt;&gt;是",资金日记账!$V$4:$V$603,M$4),2))</f>
        <v/>
      </c>
      <c r="N36" s="41" t="str">
        <f aca="false">IF($A36="","",ROUND(SUMIFS(成本费用登记表!$H$4:$H$303,成本费用登记表!$D$4:$D$303,$A36,成本费用登记表!$AC$4:$AC$303,N$4)+SUMIFS(资金日记账!$I$4:$I$603,资金日记账!$G$4:$G$603,$A36,资金日记账!$U$4:$U$603,"&lt;&gt;是",资金日记账!$V$4:$V$603,N$4),2))</f>
        <v/>
      </c>
      <c r="O36" s="41" t="str">
        <f aca="false">IF($A36="","",ROUND(SUMIFS(成本费用登记表!$H$4:$H$303,成本费用登记表!$D$4:$D$303,$A36,成本费用登记表!$AC$4:$AC$303,O$4)+SUMIFS(资金日记账!$I$4:$I$603,资金日记账!$G$4:$G$603,$A36,资金日记账!$U$4:$U$603,"&lt;&gt;是",资金日记账!$V$4:$V$603,O$4),2))</f>
        <v/>
      </c>
      <c r="P36" s="41" t="str">
        <f aca="false">IF($A36="","",ROUND(SUMIFS(成本费用登记表!$H$4:$H$303,成本费用登记表!$D$4:$D$303,$A36,成本费用登记表!$AC$4:$AC$303,P$4)+SUMIFS(资金日记账!$I$4:$I$603,资金日记账!$G$4:$G$603,$A36,资金日记账!$U$4:$U$603,"&lt;&gt;是",资金日记账!$V$4:$V$603,P$4),2))</f>
        <v/>
      </c>
      <c r="Q36" s="41" t="str">
        <f aca="false">IF($A36="","",ROUND(SUMIFS(成本费用登记表!$H$4:$H$303,成本费用登记表!$D$4:$D$303,$A36,成本费用登记表!$AC$4:$AC$303,Q$4)+SUMIFS(资金日记账!$I$4:$I$603,资金日记账!$G$4:$G$603,$A36,资金日记账!$U$4:$U$603,"&lt;&gt;是",资金日记账!$V$4:$V$603,Q$4),2))</f>
        <v/>
      </c>
      <c r="R36" s="41" t="str">
        <f aca="false">IF($A36="","",ROUND(SUMIFS(成本费用登记表!$H$4:$H$303,成本费用登记表!$D$4:$D$303,$A36,成本费用登记表!$AC$4:$AC$303,R$4)+SUMIFS(资金日记账!$I$4:$I$603,资金日记账!$G$4:$G$603,$A36,资金日记账!$U$4:$U$603,"&lt;&gt;是",资金日记账!$V$4:$V$603,R$4),2))</f>
        <v/>
      </c>
      <c r="S36" s="41" t="str">
        <f aca="false">IF($A36="","",ROUND(SUMIFS(成本费用登记表!$H$4:$H$303,成本费用登记表!$D$4:$D$303,$A36,成本费用登记表!$AC$4:$AC$303,S$4)+SUMIFS(资金日记账!$I$4:$I$603,资金日记账!$G$4:$G$603,$A36,资金日记账!$U$4:$U$603,"&lt;&gt;是",资金日记账!$V$4:$V$603,S$4),2))</f>
        <v/>
      </c>
      <c r="T36" s="41" t="str">
        <f aca="false">IF($A36="","",ROUND(SUMIFS(成本费用登记表!$H$4:$H$303,成本费用登记表!$D$4:$D$303,$A36,成本费用登记表!$AC$4:$AC$303,T$4)+SUMIFS(资金日记账!$I$4:$I$603,资金日记账!$G$4:$G$603,$A36,资金日记账!$U$4:$U$603,"&lt;&gt;是",资金日记账!$V$4:$V$603,T$4),2))</f>
        <v/>
      </c>
      <c r="U36" s="41" t="str">
        <f aca="false">IF($A36="","",ROUND(SUMIFS(成本费用登记表!$H$4:$H$303,成本费用登记表!$D$4:$D$303,$A36,成本费用登记表!$AC$4:$AC$303,U$4)+SUMIFS(资金日记账!$I$4:$I$603,资金日记账!$G$4:$G$603,$A36,资金日记账!$U$4:$U$603,"&lt;&gt;是",资金日记账!$V$4:$V$603,U$4),2))</f>
        <v/>
      </c>
      <c r="V36" s="41" t="str">
        <f aca="false">IF($A36="","",ROUND(SUMIFS(成本费用登记表!$H$4:$H$303,成本费用登记表!$D$4:$D$303,$A36,成本费用登记表!$AC$4:$AC$303,V$4)+SUMIFS(资金日记账!$I$4:$I$603,资金日记账!$G$4:$G$603,$A36,资金日记账!$U$4:$U$603,"&lt;&gt;是",资金日记账!$V$4:$V$603,V$4),2))</f>
        <v/>
      </c>
      <c r="W36" s="41" t="str">
        <f aca="false">IF($A36="","",ROUND(SUMIFS(成本费用登记表!$H$4:$H$303,成本费用登记表!$D$4:$D$303,$A36,成本费用登记表!$AC$4:$AC$303,W$4)+SUMIFS(资金日记账!$I$4:$I$603,资金日记账!$G$4:$G$603,$A36,资金日记账!$U$4:$U$603,"&lt;&gt;是",资金日记账!$V$4:$V$603,W$4),2))</f>
        <v/>
      </c>
      <c r="X36" s="41" t="str">
        <f aca="false">IF($A36="","",ROUND(SUMIFS(成本费用登记表!$H$4:$H$303,成本费用登记表!$D$4:$D$303,$A36,成本费用登记表!$AC$4:$AC$303,X$4)+SUMIFS(资金日记账!$I$4:$I$603,资金日记账!$G$4:$G$603,$A36,资金日记账!$U$4:$U$603,"&lt;&gt;是",资金日记账!$V$4:$V$603,X$4),2))</f>
        <v/>
      </c>
      <c r="Y36" s="41" t="str">
        <f aca="false">IF($A36="","",ROUND(SUMIFS(成本费用登记表!$H$4:$H$303,成本费用登记表!$D$4:$D$303,$A36,成本费用登记表!$AC$4:$AC$303,Y$4)+SUMIFS(资金日记账!$I$4:$I$603,资金日记账!$G$4:$G$603,$A36,资金日记账!$U$4:$U$603,"&lt;&gt;是",资金日记账!$V$4:$V$603,Y$4),2))</f>
        <v/>
      </c>
      <c r="Z36" s="142" t="str">
        <f aca="false">IF($A36="","",ROUND(SUM($B36:$Y36),2))</f>
        <v/>
      </c>
      <c r="AA36" s="41" t="str">
        <f aca="false">IF($A36="","",ROUND(SUMIF(成本费用登记表!$D$4:$D$303,$A36,成本费用登记表!$AA$4:$AA$303)+SUMIFS(资金日记账!$I$4:$I$603,资金日记账!$G$4:$G$603,$A36,资金日记账!$U$4:$U$603,"&lt;&gt;是"),2))</f>
        <v/>
      </c>
      <c r="AB36" s="41" t="str">
        <f aca="false">IF($A36="","",ROUND(N($Z36)-N($AA36),2))</f>
        <v/>
      </c>
    </row>
    <row r="37" customFormat="false" ht="13.5" hidden="false" customHeight="false" outlineLevel="0" collapsed="false">
      <c r="A37" s="33" t="str">
        <f aca="false">IFERROR(INDEX(_自动清单!$X$4:$X$63,33),"")</f>
        <v/>
      </c>
      <c r="B37" s="41" t="str">
        <f aca="false">IF($A37="","",ROUND(SUMIFS(成本费用登记表!$H$4:$H$303,成本费用登记表!$D$4:$D$303,$A37,成本费用登记表!$AC$4:$AC$303,B$4)+SUMIFS(资金日记账!$I$4:$I$603,资金日记账!$G$4:$G$603,$A37,资金日记账!$U$4:$U$603,"&lt;&gt;是",资金日记账!$V$4:$V$603,B$4),2))</f>
        <v/>
      </c>
      <c r="C37" s="41" t="str">
        <f aca="false">IF($A37="","",ROUND(SUMIFS(成本费用登记表!$H$4:$H$303,成本费用登记表!$D$4:$D$303,$A37,成本费用登记表!$AC$4:$AC$303,C$4)+SUMIFS(资金日记账!$I$4:$I$603,资金日记账!$G$4:$G$603,$A37,资金日记账!$U$4:$U$603,"&lt;&gt;是",资金日记账!$V$4:$V$603,C$4),2))</f>
        <v/>
      </c>
      <c r="D37" s="41" t="str">
        <f aca="false">IF($A37="","",ROUND(SUMIFS(成本费用登记表!$H$4:$H$303,成本费用登记表!$D$4:$D$303,$A37,成本费用登记表!$AC$4:$AC$303,D$4)+SUMIFS(资金日记账!$I$4:$I$603,资金日记账!$G$4:$G$603,$A37,资金日记账!$U$4:$U$603,"&lt;&gt;是",资金日记账!$V$4:$V$603,D$4),2))</f>
        <v/>
      </c>
      <c r="E37" s="41" t="str">
        <f aca="false">IF($A37="","",ROUND(SUMIFS(成本费用登记表!$H$4:$H$303,成本费用登记表!$D$4:$D$303,$A37,成本费用登记表!$AC$4:$AC$303,E$4)+SUMIFS(资金日记账!$I$4:$I$603,资金日记账!$G$4:$G$603,$A37,资金日记账!$U$4:$U$603,"&lt;&gt;是",资金日记账!$V$4:$V$603,E$4),2))</f>
        <v/>
      </c>
      <c r="F37" s="41" t="str">
        <f aca="false">IF($A37="","",ROUND(SUMIFS(成本费用登记表!$H$4:$H$303,成本费用登记表!$D$4:$D$303,$A37,成本费用登记表!$AC$4:$AC$303,F$4)+SUMIFS(资金日记账!$I$4:$I$603,资金日记账!$G$4:$G$603,$A37,资金日记账!$U$4:$U$603,"&lt;&gt;是",资金日记账!$V$4:$V$603,F$4),2))</f>
        <v/>
      </c>
      <c r="G37" s="41" t="str">
        <f aca="false">IF($A37="","",ROUND(SUMIFS(成本费用登记表!$H$4:$H$303,成本费用登记表!$D$4:$D$303,$A37,成本费用登记表!$AC$4:$AC$303,G$4)+SUMIFS(资金日记账!$I$4:$I$603,资金日记账!$G$4:$G$603,$A37,资金日记账!$U$4:$U$603,"&lt;&gt;是",资金日记账!$V$4:$V$603,G$4),2))</f>
        <v/>
      </c>
      <c r="H37" s="41" t="str">
        <f aca="false">IF($A37="","",ROUND(SUMIFS(成本费用登记表!$H$4:$H$303,成本费用登记表!$D$4:$D$303,$A37,成本费用登记表!$AC$4:$AC$303,H$4)+SUMIFS(资金日记账!$I$4:$I$603,资金日记账!$G$4:$G$603,$A37,资金日记账!$U$4:$U$603,"&lt;&gt;是",资金日记账!$V$4:$V$603,H$4),2))</f>
        <v/>
      </c>
      <c r="I37" s="41" t="str">
        <f aca="false">IF($A37="","",ROUND(SUMIFS(成本费用登记表!$H$4:$H$303,成本费用登记表!$D$4:$D$303,$A37,成本费用登记表!$AC$4:$AC$303,I$4)+SUMIFS(资金日记账!$I$4:$I$603,资金日记账!$G$4:$G$603,$A37,资金日记账!$U$4:$U$603,"&lt;&gt;是",资金日记账!$V$4:$V$603,I$4),2))</f>
        <v/>
      </c>
      <c r="J37" s="41" t="str">
        <f aca="false">IF($A37="","",ROUND(SUMIFS(成本费用登记表!$H$4:$H$303,成本费用登记表!$D$4:$D$303,$A37,成本费用登记表!$AC$4:$AC$303,J$4)+SUMIFS(资金日记账!$I$4:$I$603,资金日记账!$G$4:$G$603,$A37,资金日记账!$U$4:$U$603,"&lt;&gt;是",资金日记账!$V$4:$V$603,J$4),2))</f>
        <v/>
      </c>
      <c r="K37" s="41" t="str">
        <f aca="false">IF($A37="","",ROUND(SUMIFS(成本费用登记表!$H$4:$H$303,成本费用登记表!$D$4:$D$303,$A37,成本费用登记表!$AC$4:$AC$303,K$4)+SUMIFS(资金日记账!$I$4:$I$603,资金日记账!$G$4:$G$603,$A37,资金日记账!$U$4:$U$603,"&lt;&gt;是",资金日记账!$V$4:$V$603,K$4),2))</f>
        <v/>
      </c>
      <c r="L37" s="41" t="str">
        <f aca="false">IF($A37="","",ROUND(SUMIFS(成本费用登记表!$H$4:$H$303,成本费用登记表!$D$4:$D$303,$A37,成本费用登记表!$AC$4:$AC$303,L$4)+SUMIFS(资金日记账!$I$4:$I$603,资金日记账!$G$4:$G$603,$A37,资金日记账!$U$4:$U$603,"&lt;&gt;是",资金日记账!$V$4:$V$603,L$4),2))</f>
        <v/>
      </c>
      <c r="M37" s="41" t="str">
        <f aca="false">IF($A37="","",ROUND(SUMIFS(成本费用登记表!$H$4:$H$303,成本费用登记表!$D$4:$D$303,$A37,成本费用登记表!$AC$4:$AC$303,M$4)+SUMIFS(资金日记账!$I$4:$I$603,资金日记账!$G$4:$G$603,$A37,资金日记账!$U$4:$U$603,"&lt;&gt;是",资金日记账!$V$4:$V$603,M$4),2))</f>
        <v/>
      </c>
      <c r="N37" s="41" t="str">
        <f aca="false">IF($A37="","",ROUND(SUMIFS(成本费用登记表!$H$4:$H$303,成本费用登记表!$D$4:$D$303,$A37,成本费用登记表!$AC$4:$AC$303,N$4)+SUMIFS(资金日记账!$I$4:$I$603,资金日记账!$G$4:$G$603,$A37,资金日记账!$U$4:$U$603,"&lt;&gt;是",资金日记账!$V$4:$V$603,N$4),2))</f>
        <v/>
      </c>
      <c r="O37" s="41" t="str">
        <f aca="false">IF($A37="","",ROUND(SUMIFS(成本费用登记表!$H$4:$H$303,成本费用登记表!$D$4:$D$303,$A37,成本费用登记表!$AC$4:$AC$303,O$4)+SUMIFS(资金日记账!$I$4:$I$603,资金日记账!$G$4:$G$603,$A37,资金日记账!$U$4:$U$603,"&lt;&gt;是",资金日记账!$V$4:$V$603,O$4),2))</f>
        <v/>
      </c>
      <c r="P37" s="41" t="str">
        <f aca="false">IF($A37="","",ROUND(SUMIFS(成本费用登记表!$H$4:$H$303,成本费用登记表!$D$4:$D$303,$A37,成本费用登记表!$AC$4:$AC$303,P$4)+SUMIFS(资金日记账!$I$4:$I$603,资金日记账!$G$4:$G$603,$A37,资金日记账!$U$4:$U$603,"&lt;&gt;是",资金日记账!$V$4:$V$603,P$4),2))</f>
        <v/>
      </c>
      <c r="Q37" s="41" t="str">
        <f aca="false">IF($A37="","",ROUND(SUMIFS(成本费用登记表!$H$4:$H$303,成本费用登记表!$D$4:$D$303,$A37,成本费用登记表!$AC$4:$AC$303,Q$4)+SUMIFS(资金日记账!$I$4:$I$603,资金日记账!$G$4:$G$603,$A37,资金日记账!$U$4:$U$603,"&lt;&gt;是",资金日记账!$V$4:$V$603,Q$4),2))</f>
        <v/>
      </c>
      <c r="R37" s="41" t="str">
        <f aca="false">IF($A37="","",ROUND(SUMIFS(成本费用登记表!$H$4:$H$303,成本费用登记表!$D$4:$D$303,$A37,成本费用登记表!$AC$4:$AC$303,R$4)+SUMIFS(资金日记账!$I$4:$I$603,资金日记账!$G$4:$G$603,$A37,资金日记账!$U$4:$U$603,"&lt;&gt;是",资金日记账!$V$4:$V$603,R$4),2))</f>
        <v/>
      </c>
      <c r="S37" s="41" t="str">
        <f aca="false">IF($A37="","",ROUND(SUMIFS(成本费用登记表!$H$4:$H$303,成本费用登记表!$D$4:$D$303,$A37,成本费用登记表!$AC$4:$AC$303,S$4)+SUMIFS(资金日记账!$I$4:$I$603,资金日记账!$G$4:$G$603,$A37,资金日记账!$U$4:$U$603,"&lt;&gt;是",资金日记账!$V$4:$V$603,S$4),2))</f>
        <v/>
      </c>
      <c r="T37" s="41" t="str">
        <f aca="false">IF($A37="","",ROUND(SUMIFS(成本费用登记表!$H$4:$H$303,成本费用登记表!$D$4:$D$303,$A37,成本费用登记表!$AC$4:$AC$303,T$4)+SUMIFS(资金日记账!$I$4:$I$603,资金日记账!$G$4:$G$603,$A37,资金日记账!$U$4:$U$603,"&lt;&gt;是",资金日记账!$V$4:$V$603,T$4),2))</f>
        <v/>
      </c>
      <c r="U37" s="41" t="str">
        <f aca="false">IF($A37="","",ROUND(SUMIFS(成本费用登记表!$H$4:$H$303,成本费用登记表!$D$4:$D$303,$A37,成本费用登记表!$AC$4:$AC$303,U$4)+SUMIFS(资金日记账!$I$4:$I$603,资金日记账!$G$4:$G$603,$A37,资金日记账!$U$4:$U$603,"&lt;&gt;是",资金日记账!$V$4:$V$603,U$4),2))</f>
        <v/>
      </c>
      <c r="V37" s="41" t="str">
        <f aca="false">IF($A37="","",ROUND(SUMIFS(成本费用登记表!$H$4:$H$303,成本费用登记表!$D$4:$D$303,$A37,成本费用登记表!$AC$4:$AC$303,V$4)+SUMIFS(资金日记账!$I$4:$I$603,资金日记账!$G$4:$G$603,$A37,资金日记账!$U$4:$U$603,"&lt;&gt;是",资金日记账!$V$4:$V$603,V$4),2))</f>
        <v/>
      </c>
      <c r="W37" s="41" t="str">
        <f aca="false">IF($A37="","",ROUND(SUMIFS(成本费用登记表!$H$4:$H$303,成本费用登记表!$D$4:$D$303,$A37,成本费用登记表!$AC$4:$AC$303,W$4)+SUMIFS(资金日记账!$I$4:$I$603,资金日记账!$G$4:$G$603,$A37,资金日记账!$U$4:$U$603,"&lt;&gt;是",资金日记账!$V$4:$V$603,W$4),2))</f>
        <v/>
      </c>
      <c r="X37" s="41" t="str">
        <f aca="false">IF($A37="","",ROUND(SUMIFS(成本费用登记表!$H$4:$H$303,成本费用登记表!$D$4:$D$303,$A37,成本费用登记表!$AC$4:$AC$303,X$4)+SUMIFS(资金日记账!$I$4:$I$603,资金日记账!$G$4:$G$603,$A37,资金日记账!$U$4:$U$603,"&lt;&gt;是",资金日记账!$V$4:$V$603,X$4),2))</f>
        <v/>
      </c>
      <c r="Y37" s="41" t="str">
        <f aca="false">IF($A37="","",ROUND(SUMIFS(成本费用登记表!$H$4:$H$303,成本费用登记表!$D$4:$D$303,$A37,成本费用登记表!$AC$4:$AC$303,Y$4)+SUMIFS(资金日记账!$I$4:$I$603,资金日记账!$G$4:$G$603,$A37,资金日记账!$U$4:$U$603,"&lt;&gt;是",资金日记账!$V$4:$V$603,Y$4),2))</f>
        <v/>
      </c>
      <c r="Z37" s="142" t="str">
        <f aca="false">IF($A37="","",ROUND(SUM($B37:$Y37),2))</f>
        <v/>
      </c>
      <c r="AA37" s="41" t="str">
        <f aca="false">IF($A37="","",ROUND(SUMIF(成本费用登记表!$D$4:$D$303,$A37,成本费用登记表!$AA$4:$AA$303)+SUMIFS(资金日记账!$I$4:$I$603,资金日记账!$G$4:$G$603,$A37,资金日记账!$U$4:$U$603,"&lt;&gt;是"),2))</f>
        <v/>
      </c>
      <c r="AB37" s="41" t="str">
        <f aca="false">IF($A37="","",ROUND(N($Z37)-N($AA37),2))</f>
        <v/>
      </c>
    </row>
    <row r="38" customFormat="false" ht="13.5" hidden="false" customHeight="false" outlineLevel="0" collapsed="false">
      <c r="A38" s="33" t="str">
        <f aca="false">IFERROR(INDEX(_自动清单!$X$4:$X$63,34),"")</f>
        <v/>
      </c>
      <c r="B38" s="41" t="str">
        <f aca="false">IF($A38="","",ROUND(SUMIFS(成本费用登记表!$H$4:$H$303,成本费用登记表!$D$4:$D$303,$A38,成本费用登记表!$AC$4:$AC$303,B$4)+SUMIFS(资金日记账!$I$4:$I$603,资金日记账!$G$4:$G$603,$A38,资金日记账!$U$4:$U$603,"&lt;&gt;是",资金日记账!$V$4:$V$603,B$4),2))</f>
        <v/>
      </c>
      <c r="C38" s="41" t="str">
        <f aca="false">IF($A38="","",ROUND(SUMIFS(成本费用登记表!$H$4:$H$303,成本费用登记表!$D$4:$D$303,$A38,成本费用登记表!$AC$4:$AC$303,C$4)+SUMIFS(资金日记账!$I$4:$I$603,资金日记账!$G$4:$G$603,$A38,资金日记账!$U$4:$U$603,"&lt;&gt;是",资金日记账!$V$4:$V$603,C$4),2))</f>
        <v/>
      </c>
      <c r="D38" s="41" t="str">
        <f aca="false">IF($A38="","",ROUND(SUMIFS(成本费用登记表!$H$4:$H$303,成本费用登记表!$D$4:$D$303,$A38,成本费用登记表!$AC$4:$AC$303,D$4)+SUMIFS(资金日记账!$I$4:$I$603,资金日记账!$G$4:$G$603,$A38,资金日记账!$U$4:$U$603,"&lt;&gt;是",资金日记账!$V$4:$V$603,D$4),2))</f>
        <v/>
      </c>
      <c r="E38" s="41" t="str">
        <f aca="false">IF($A38="","",ROUND(SUMIFS(成本费用登记表!$H$4:$H$303,成本费用登记表!$D$4:$D$303,$A38,成本费用登记表!$AC$4:$AC$303,E$4)+SUMIFS(资金日记账!$I$4:$I$603,资金日记账!$G$4:$G$603,$A38,资金日记账!$U$4:$U$603,"&lt;&gt;是",资金日记账!$V$4:$V$603,E$4),2))</f>
        <v/>
      </c>
      <c r="F38" s="41" t="str">
        <f aca="false">IF($A38="","",ROUND(SUMIFS(成本费用登记表!$H$4:$H$303,成本费用登记表!$D$4:$D$303,$A38,成本费用登记表!$AC$4:$AC$303,F$4)+SUMIFS(资金日记账!$I$4:$I$603,资金日记账!$G$4:$G$603,$A38,资金日记账!$U$4:$U$603,"&lt;&gt;是",资金日记账!$V$4:$V$603,F$4),2))</f>
        <v/>
      </c>
      <c r="G38" s="41" t="str">
        <f aca="false">IF($A38="","",ROUND(SUMIFS(成本费用登记表!$H$4:$H$303,成本费用登记表!$D$4:$D$303,$A38,成本费用登记表!$AC$4:$AC$303,G$4)+SUMIFS(资金日记账!$I$4:$I$603,资金日记账!$G$4:$G$603,$A38,资金日记账!$U$4:$U$603,"&lt;&gt;是",资金日记账!$V$4:$V$603,G$4),2))</f>
        <v/>
      </c>
      <c r="H38" s="41" t="str">
        <f aca="false">IF($A38="","",ROUND(SUMIFS(成本费用登记表!$H$4:$H$303,成本费用登记表!$D$4:$D$303,$A38,成本费用登记表!$AC$4:$AC$303,H$4)+SUMIFS(资金日记账!$I$4:$I$603,资金日记账!$G$4:$G$603,$A38,资金日记账!$U$4:$U$603,"&lt;&gt;是",资金日记账!$V$4:$V$603,H$4),2))</f>
        <v/>
      </c>
      <c r="I38" s="41" t="str">
        <f aca="false">IF($A38="","",ROUND(SUMIFS(成本费用登记表!$H$4:$H$303,成本费用登记表!$D$4:$D$303,$A38,成本费用登记表!$AC$4:$AC$303,I$4)+SUMIFS(资金日记账!$I$4:$I$603,资金日记账!$G$4:$G$603,$A38,资金日记账!$U$4:$U$603,"&lt;&gt;是",资金日记账!$V$4:$V$603,I$4),2))</f>
        <v/>
      </c>
      <c r="J38" s="41" t="str">
        <f aca="false">IF($A38="","",ROUND(SUMIFS(成本费用登记表!$H$4:$H$303,成本费用登记表!$D$4:$D$303,$A38,成本费用登记表!$AC$4:$AC$303,J$4)+SUMIFS(资金日记账!$I$4:$I$603,资金日记账!$G$4:$G$603,$A38,资金日记账!$U$4:$U$603,"&lt;&gt;是",资金日记账!$V$4:$V$603,J$4),2))</f>
        <v/>
      </c>
      <c r="K38" s="41" t="str">
        <f aca="false">IF($A38="","",ROUND(SUMIFS(成本费用登记表!$H$4:$H$303,成本费用登记表!$D$4:$D$303,$A38,成本费用登记表!$AC$4:$AC$303,K$4)+SUMIFS(资金日记账!$I$4:$I$603,资金日记账!$G$4:$G$603,$A38,资金日记账!$U$4:$U$603,"&lt;&gt;是",资金日记账!$V$4:$V$603,K$4),2))</f>
        <v/>
      </c>
      <c r="L38" s="41" t="str">
        <f aca="false">IF($A38="","",ROUND(SUMIFS(成本费用登记表!$H$4:$H$303,成本费用登记表!$D$4:$D$303,$A38,成本费用登记表!$AC$4:$AC$303,L$4)+SUMIFS(资金日记账!$I$4:$I$603,资金日记账!$G$4:$G$603,$A38,资金日记账!$U$4:$U$603,"&lt;&gt;是",资金日记账!$V$4:$V$603,L$4),2))</f>
        <v/>
      </c>
      <c r="M38" s="41" t="str">
        <f aca="false">IF($A38="","",ROUND(SUMIFS(成本费用登记表!$H$4:$H$303,成本费用登记表!$D$4:$D$303,$A38,成本费用登记表!$AC$4:$AC$303,M$4)+SUMIFS(资金日记账!$I$4:$I$603,资金日记账!$G$4:$G$603,$A38,资金日记账!$U$4:$U$603,"&lt;&gt;是",资金日记账!$V$4:$V$603,M$4),2))</f>
        <v/>
      </c>
      <c r="N38" s="41" t="str">
        <f aca="false">IF($A38="","",ROUND(SUMIFS(成本费用登记表!$H$4:$H$303,成本费用登记表!$D$4:$D$303,$A38,成本费用登记表!$AC$4:$AC$303,N$4)+SUMIFS(资金日记账!$I$4:$I$603,资金日记账!$G$4:$G$603,$A38,资金日记账!$U$4:$U$603,"&lt;&gt;是",资金日记账!$V$4:$V$603,N$4),2))</f>
        <v/>
      </c>
      <c r="O38" s="41" t="str">
        <f aca="false">IF($A38="","",ROUND(SUMIFS(成本费用登记表!$H$4:$H$303,成本费用登记表!$D$4:$D$303,$A38,成本费用登记表!$AC$4:$AC$303,O$4)+SUMIFS(资金日记账!$I$4:$I$603,资金日记账!$G$4:$G$603,$A38,资金日记账!$U$4:$U$603,"&lt;&gt;是",资金日记账!$V$4:$V$603,O$4),2))</f>
        <v/>
      </c>
      <c r="P38" s="41" t="str">
        <f aca="false">IF($A38="","",ROUND(SUMIFS(成本费用登记表!$H$4:$H$303,成本费用登记表!$D$4:$D$303,$A38,成本费用登记表!$AC$4:$AC$303,P$4)+SUMIFS(资金日记账!$I$4:$I$603,资金日记账!$G$4:$G$603,$A38,资金日记账!$U$4:$U$603,"&lt;&gt;是",资金日记账!$V$4:$V$603,P$4),2))</f>
        <v/>
      </c>
      <c r="Q38" s="41" t="str">
        <f aca="false">IF($A38="","",ROUND(SUMIFS(成本费用登记表!$H$4:$H$303,成本费用登记表!$D$4:$D$303,$A38,成本费用登记表!$AC$4:$AC$303,Q$4)+SUMIFS(资金日记账!$I$4:$I$603,资金日记账!$G$4:$G$603,$A38,资金日记账!$U$4:$U$603,"&lt;&gt;是",资金日记账!$V$4:$V$603,Q$4),2))</f>
        <v/>
      </c>
      <c r="R38" s="41" t="str">
        <f aca="false">IF($A38="","",ROUND(SUMIFS(成本费用登记表!$H$4:$H$303,成本费用登记表!$D$4:$D$303,$A38,成本费用登记表!$AC$4:$AC$303,R$4)+SUMIFS(资金日记账!$I$4:$I$603,资金日记账!$G$4:$G$603,$A38,资金日记账!$U$4:$U$603,"&lt;&gt;是",资金日记账!$V$4:$V$603,R$4),2))</f>
        <v/>
      </c>
      <c r="S38" s="41" t="str">
        <f aca="false">IF($A38="","",ROUND(SUMIFS(成本费用登记表!$H$4:$H$303,成本费用登记表!$D$4:$D$303,$A38,成本费用登记表!$AC$4:$AC$303,S$4)+SUMIFS(资金日记账!$I$4:$I$603,资金日记账!$G$4:$G$603,$A38,资金日记账!$U$4:$U$603,"&lt;&gt;是",资金日记账!$V$4:$V$603,S$4),2))</f>
        <v/>
      </c>
      <c r="T38" s="41" t="str">
        <f aca="false">IF($A38="","",ROUND(SUMIFS(成本费用登记表!$H$4:$H$303,成本费用登记表!$D$4:$D$303,$A38,成本费用登记表!$AC$4:$AC$303,T$4)+SUMIFS(资金日记账!$I$4:$I$603,资金日记账!$G$4:$G$603,$A38,资金日记账!$U$4:$U$603,"&lt;&gt;是",资金日记账!$V$4:$V$603,T$4),2))</f>
        <v/>
      </c>
      <c r="U38" s="41" t="str">
        <f aca="false">IF($A38="","",ROUND(SUMIFS(成本费用登记表!$H$4:$H$303,成本费用登记表!$D$4:$D$303,$A38,成本费用登记表!$AC$4:$AC$303,U$4)+SUMIFS(资金日记账!$I$4:$I$603,资金日记账!$G$4:$G$603,$A38,资金日记账!$U$4:$U$603,"&lt;&gt;是",资金日记账!$V$4:$V$603,U$4),2))</f>
        <v/>
      </c>
      <c r="V38" s="41" t="str">
        <f aca="false">IF($A38="","",ROUND(SUMIFS(成本费用登记表!$H$4:$H$303,成本费用登记表!$D$4:$D$303,$A38,成本费用登记表!$AC$4:$AC$303,V$4)+SUMIFS(资金日记账!$I$4:$I$603,资金日记账!$G$4:$G$603,$A38,资金日记账!$U$4:$U$603,"&lt;&gt;是",资金日记账!$V$4:$V$603,V$4),2))</f>
        <v/>
      </c>
      <c r="W38" s="41" t="str">
        <f aca="false">IF($A38="","",ROUND(SUMIFS(成本费用登记表!$H$4:$H$303,成本费用登记表!$D$4:$D$303,$A38,成本费用登记表!$AC$4:$AC$303,W$4)+SUMIFS(资金日记账!$I$4:$I$603,资金日记账!$G$4:$G$603,$A38,资金日记账!$U$4:$U$603,"&lt;&gt;是",资金日记账!$V$4:$V$603,W$4),2))</f>
        <v/>
      </c>
      <c r="X38" s="41" t="str">
        <f aca="false">IF($A38="","",ROUND(SUMIFS(成本费用登记表!$H$4:$H$303,成本费用登记表!$D$4:$D$303,$A38,成本费用登记表!$AC$4:$AC$303,X$4)+SUMIFS(资金日记账!$I$4:$I$603,资金日记账!$G$4:$G$603,$A38,资金日记账!$U$4:$U$603,"&lt;&gt;是",资金日记账!$V$4:$V$603,X$4),2))</f>
        <v/>
      </c>
      <c r="Y38" s="41" t="str">
        <f aca="false">IF($A38="","",ROUND(SUMIFS(成本费用登记表!$H$4:$H$303,成本费用登记表!$D$4:$D$303,$A38,成本费用登记表!$AC$4:$AC$303,Y$4)+SUMIFS(资金日记账!$I$4:$I$603,资金日记账!$G$4:$G$603,$A38,资金日记账!$U$4:$U$603,"&lt;&gt;是",资金日记账!$V$4:$V$603,Y$4),2))</f>
        <v/>
      </c>
      <c r="Z38" s="142" t="str">
        <f aca="false">IF($A38="","",ROUND(SUM($B38:$Y38),2))</f>
        <v/>
      </c>
      <c r="AA38" s="41" t="str">
        <f aca="false">IF($A38="","",ROUND(SUMIF(成本费用登记表!$D$4:$D$303,$A38,成本费用登记表!$AA$4:$AA$303)+SUMIFS(资金日记账!$I$4:$I$603,资金日记账!$G$4:$G$603,$A38,资金日记账!$U$4:$U$603,"&lt;&gt;是"),2))</f>
        <v/>
      </c>
      <c r="AB38" s="41" t="str">
        <f aca="false">IF($A38="","",ROUND(N($Z38)-N($AA38),2))</f>
        <v/>
      </c>
    </row>
    <row r="39" customFormat="false" ht="13.5" hidden="false" customHeight="false" outlineLevel="0" collapsed="false">
      <c r="A39" s="33" t="str">
        <f aca="false">IFERROR(INDEX(_自动清单!$X$4:$X$63,35),"")</f>
        <v/>
      </c>
      <c r="B39" s="41" t="str">
        <f aca="false">IF($A39="","",ROUND(SUMIFS(成本费用登记表!$H$4:$H$303,成本费用登记表!$D$4:$D$303,$A39,成本费用登记表!$AC$4:$AC$303,B$4)+SUMIFS(资金日记账!$I$4:$I$603,资金日记账!$G$4:$G$603,$A39,资金日记账!$U$4:$U$603,"&lt;&gt;是",资金日记账!$V$4:$V$603,B$4),2))</f>
        <v/>
      </c>
      <c r="C39" s="41" t="str">
        <f aca="false">IF($A39="","",ROUND(SUMIFS(成本费用登记表!$H$4:$H$303,成本费用登记表!$D$4:$D$303,$A39,成本费用登记表!$AC$4:$AC$303,C$4)+SUMIFS(资金日记账!$I$4:$I$603,资金日记账!$G$4:$G$603,$A39,资金日记账!$U$4:$U$603,"&lt;&gt;是",资金日记账!$V$4:$V$603,C$4),2))</f>
        <v/>
      </c>
      <c r="D39" s="41" t="str">
        <f aca="false">IF($A39="","",ROUND(SUMIFS(成本费用登记表!$H$4:$H$303,成本费用登记表!$D$4:$D$303,$A39,成本费用登记表!$AC$4:$AC$303,D$4)+SUMIFS(资金日记账!$I$4:$I$603,资金日记账!$G$4:$G$603,$A39,资金日记账!$U$4:$U$603,"&lt;&gt;是",资金日记账!$V$4:$V$603,D$4),2))</f>
        <v/>
      </c>
      <c r="E39" s="41" t="str">
        <f aca="false">IF($A39="","",ROUND(SUMIFS(成本费用登记表!$H$4:$H$303,成本费用登记表!$D$4:$D$303,$A39,成本费用登记表!$AC$4:$AC$303,E$4)+SUMIFS(资金日记账!$I$4:$I$603,资金日记账!$G$4:$G$603,$A39,资金日记账!$U$4:$U$603,"&lt;&gt;是",资金日记账!$V$4:$V$603,E$4),2))</f>
        <v/>
      </c>
      <c r="F39" s="41" t="str">
        <f aca="false">IF($A39="","",ROUND(SUMIFS(成本费用登记表!$H$4:$H$303,成本费用登记表!$D$4:$D$303,$A39,成本费用登记表!$AC$4:$AC$303,F$4)+SUMIFS(资金日记账!$I$4:$I$603,资金日记账!$G$4:$G$603,$A39,资金日记账!$U$4:$U$603,"&lt;&gt;是",资金日记账!$V$4:$V$603,F$4),2))</f>
        <v/>
      </c>
      <c r="G39" s="41" t="str">
        <f aca="false">IF($A39="","",ROUND(SUMIFS(成本费用登记表!$H$4:$H$303,成本费用登记表!$D$4:$D$303,$A39,成本费用登记表!$AC$4:$AC$303,G$4)+SUMIFS(资金日记账!$I$4:$I$603,资金日记账!$G$4:$G$603,$A39,资金日记账!$U$4:$U$603,"&lt;&gt;是",资金日记账!$V$4:$V$603,G$4),2))</f>
        <v/>
      </c>
      <c r="H39" s="41" t="str">
        <f aca="false">IF($A39="","",ROUND(SUMIFS(成本费用登记表!$H$4:$H$303,成本费用登记表!$D$4:$D$303,$A39,成本费用登记表!$AC$4:$AC$303,H$4)+SUMIFS(资金日记账!$I$4:$I$603,资金日记账!$G$4:$G$603,$A39,资金日记账!$U$4:$U$603,"&lt;&gt;是",资金日记账!$V$4:$V$603,H$4),2))</f>
        <v/>
      </c>
      <c r="I39" s="41" t="str">
        <f aca="false">IF($A39="","",ROUND(SUMIFS(成本费用登记表!$H$4:$H$303,成本费用登记表!$D$4:$D$303,$A39,成本费用登记表!$AC$4:$AC$303,I$4)+SUMIFS(资金日记账!$I$4:$I$603,资金日记账!$G$4:$G$603,$A39,资金日记账!$U$4:$U$603,"&lt;&gt;是",资金日记账!$V$4:$V$603,I$4),2))</f>
        <v/>
      </c>
      <c r="J39" s="41" t="str">
        <f aca="false">IF($A39="","",ROUND(SUMIFS(成本费用登记表!$H$4:$H$303,成本费用登记表!$D$4:$D$303,$A39,成本费用登记表!$AC$4:$AC$303,J$4)+SUMIFS(资金日记账!$I$4:$I$603,资金日记账!$G$4:$G$603,$A39,资金日记账!$U$4:$U$603,"&lt;&gt;是",资金日记账!$V$4:$V$603,J$4),2))</f>
        <v/>
      </c>
      <c r="K39" s="41" t="str">
        <f aca="false">IF($A39="","",ROUND(SUMIFS(成本费用登记表!$H$4:$H$303,成本费用登记表!$D$4:$D$303,$A39,成本费用登记表!$AC$4:$AC$303,K$4)+SUMIFS(资金日记账!$I$4:$I$603,资金日记账!$G$4:$G$603,$A39,资金日记账!$U$4:$U$603,"&lt;&gt;是",资金日记账!$V$4:$V$603,K$4),2))</f>
        <v/>
      </c>
      <c r="L39" s="41" t="str">
        <f aca="false">IF($A39="","",ROUND(SUMIFS(成本费用登记表!$H$4:$H$303,成本费用登记表!$D$4:$D$303,$A39,成本费用登记表!$AC$4:$AC$303,L$4)+SUMIFS(资金日记账!$I$4:$I$603,资金日记账!$G$4:$G$603,$A39,资金日记账!$U$4:$U$603,"&lt;&gt;是",资金日记账!$V$4:$V$603,L$4),2))</f>
        <v/>
      </c>
      <c r="M39" s="41" t="str">
        <f aca="false">IF($A39="","",ROUND(SUMIFS(成本费用登记表!$H$4:$H$303,成本费用登记表!$D$4:$D$303,$A39,成本费用登记表!$AC$4:$AC$303,M$4)+SUMIFS(资金日记账!$I$4:$I$603,资金日记账!$G$4:$G$603,$A39,资金日记账!$U$4:$U$603,"&lt;&gt;是",资金日记账!$V$4:$V$603,M$4),2))</f>
        <v/>
      </c>
      <c r="N39" s="41" t="str">
        <f aca="false">IF($A39="","",ROUND(SUMIFS(成本费用登记表!$H$4:$H$303,成本费用登记表!$D$4:$D$303,$A39,成本费用登记表!$AC$4:$AC$303,N$4)+SUMIFS(资金日记账!$I$4:$I$603,资金日记账!$G$4:$G$603,$A39,资金日记账!$U$4:$U$603,"&lt;&gt;是",资金日记账!$V$4:$V$603,N$4),2))</f>
        <v/>
      </c>
      <c r="O39" s="41" t="str">
        <f aca="false">IF($A39="","",ROUND(SUMIFS(成本费用登记表!$H$4:$H$303,成本费用登记表!$D$4:$D$303,$A39,成本费用登记表!$AC$4:$AC$303,O$4)+SUMIFS(资金日记账!$I$4:$I$603,资金日记账!$G$4:$G$603,$A39,资金日记账!$U$4:$U$603,"&lt;&gt;是",资金日记账!$V$4:$V$603,O$4),2))</f>
        <v/>
      </c>
      <c r="P39" s="41" t="str">
        <f aca="false">IF($A39="","",ROUND(SUMIFS(成本费用登记表!$H$4:$H$303,成本费用登记表!$D$4:$D$303,$A39,成本费用登记表!$AC$4:$AC$303,P$4)+SUMIFS(资金日记账!$I$4:$I$603,资金日记账!$G$4:$G$603,$A39,资金日记账!$U$4:$U$603,"&lt;&gt;是",资金日记账!$V$4:$V$603,P$4),2))</f>
        <v/>
      </c>
      <c r="Q39" s="41" t="str">
        <f aca="false">IF($A39="","",ROUND(SUMIFS(成本费用登记表!$H$4:$H$303,成本费用登记表!$D$4:$D$303,$A39,成本费用登记表!$AC$4:$AC$303,Q$4)+SUMIFS(资金日记账!$I$4:$I$603,资金日记账!$G$4:$G$603,$A39,资金日记账!$U$4:$U$603,"&lt;&gt;是",资金日记账!$V$4:$V$603,Q$4),2))</f>
        <v/>
      </c>
      <c r="R39" s="41" t="str">
        <f aca="false">IF($A39="","",ROUND(SUMIFS(成本费用登记表!$H$4:$H$303,成本费用登记表!$D$4:$D$303,$A39,成本费用登记表!$AC$4:$AC$303,R$4)+SUMIFS(资金日记账!$I$4:$I$603,资金日记账!$G$4:$G$603,$A39,资金日记账!$U$4:$U$603,"&lt;&gt;是",资金日记账!$V$4:$V$603,R$4),2))</f>
        <v/>
      </c>
      <c r="S39" s="41" t="str">
        <f aca="false">IF($A39="","",ROUND(SUMIFS(成本费用登记表!$H$4:$H$303,成本费用登记表!$D$4:$D$303,$A39,成本费用登记表!$AC$4:$AC$303,S$4)+SUMIFS(资金日记账!$I$4:$I$603,资金日记账!$G$4:$G$603,$A39,资金日记账!$U$4:$U$603,"&lt;&gt;是",资金日记账!$V$4:$V$603,S$4),2))</f>
        <v/>
      </c>
      <c r="T39" s="41" t="str">
        <f aca="false">IF($A39="","",ROUND(SUMIFS(成本费用登记表!$H$4:$H$303,成本费用登记表!$D$4:$D$303,$A39,成本费用登记表!$AC$4:$AC$303,T$4)+SUMIFS(资金日记账!$I$4:$I$603,资金日记账!$G$4:$G$603,$A39,资金日记账!$U$4:$U$603,"&lt;&gt;是",资金日记账!$V$4:$V$603,T$4),2))</f>
        <v/>
      </c>
      <c r="U39" s="41" t="str">
        <f aca="false">IF($A39="","",ROUND(SUMIFS(成本费用登记表!$H$4:$H$303,成本费用登记表!$D$4:$D$303,$A39,成本费用登记表!$AC$4:$AC$303,U$4)+SUMIFS(资金日记账!$I$4:$I$603,资金日记账!$G$4:$G$603,$A39,资金日记账!$U$4:$U$603,"&lt;&gt;是",资金日记账!$V$4:$V$603,U$4),2))</f>
        <v/>
      </c>
      <c r="V39" s="41" t="str">
        <f aca="false">IF($A39="","",ROUND(SUMIFS(成本费用登记表!$H$4:$H$303,成本费用登记表!$D$4:$D$303,$A39,成本费用登记表!$AC$4:$AC$303,V$4)+SUMIFS(资金日记账!$I$4:$I$603,资金日记账!$G$4:$G$603,$A39,资金日记账!$U$4:$U$603,"&lt;&gt;是",资金日记账!$V$4:$V$603,V$4),2))</f>
        <v/>
      </c>
      <c r="W39" s="41" t="str">
        <f aca="false">IF($A39="","",ROUND(SUMIFS(成本费用登记表!$H$4:$H$303,成本费用登记表!$D$4:$D$303,$A39,成本费用登记表!$AC$4:$AC$303,W$4)+SUMIFS(资金日记账!$I$4:$I$603,资金日记账!$G$4:$G$603,$A39,资金日记账!$U$4:$U$603,"&lt;&gt;是",资金日记账!$V$4:$V$603,W$4),2))</f>
        <v/>
      </c>
      <c r="X39" s="41" t="str">
        <f aca="false">IF($A39="","",ROUND(SUMIFS(成本费用登记表!$H$4:$H$303,成本费用登记表!$D$4:$D$303,$A39,成本费用登记表!$AC$4:$AC$303,X$4)+SUMIFS(资金日记账!$I$4:$I$603,资金日记账!$G$4:$G$603,$A39,资金日记账!$U$4:$U$603,"&lt;&gt;是",资金日记账!$V$4:$V$603,X$4),2))</f>
        <v/>
      </c>
      <c r="Y39" s="41" t="str">
        <f aca="false">IF($A39="","",ROUND(SUMIFS(成本费用登记表!$H$4:$H$303,成本费用登记表!$D$4:$D$303,$A39,成本费用登记表!$AC$4:$AC$303,Y$4)+SUMIFS(资金日记账!$I$4:$I$603,资金日记账!$G$4:$G$603,$A39,资金日记账!$U$4:$U$603,"&lt;&gt;是",资金日记账!$V$4:$V$603,Y$4),2))</f>
        <v/>
      </c>
      <c r="Z39" s="142" t="str">
        <f aca="false">IF($A39="","",ROUND(SUM($B39:$Y39),2))</f>
        <v/>
      </c>
      <c r="AA39" s="41" t="str">
        <f aca="false">IF($A39="","",ROUND(SUMIF(成本费用登记表!$D$4:$D$303,$A39,成本费用登记表!$AA$4:$AA$303)+SUMIFS(资金日记账!$I$4:$I$603,资金日记账!$G$4:$G$603,$A39,资金日记账!$U$4:$U$603,"&lt;&gt;是"),2))</f>
        <v/>
      </c>
      <c r="AB39" s="41" t="str">
        <f aca="false">IF($A39="","",ROUND(N($Z39)-N($AA39),2))</f>
        <v/>
      </c>
    </row>
    <row r="40" customFormat="false" ht="13.5" hidden="false" customHeight="false" outlineLevel="0" collapsed="false">
      <c r="A40" s="33" t="str">
        <f aca="false">IFERROR(INDEX(_自动清单!$X$4:$X$63,36),"")</f>
        <v/>
      </c>
      <c r="B40" s="41" t="str">
        <f aca="false">IF($A40="","",ROUND(SUMIFS(成本费用登记表!$H$4:$H$303,成本费用登记表!$D$4:$D$303,$A40,成本费用登记表!$AC$4:$AC$303,B$4)+SUMIFS(资金日记账!$I$4:$I$603,资金日记账!$G$4:$G$603,$A40,资金日记账!$U$4:$U$603,"&lt;&gt;是",资金日记账!$V$4:$V$603,B$4),2))</f>
        <v/>
      </c>
      <c r="C40" s="41" t="str">
        <f aca="false">IF($A40="","",ROUND(SUMIFS(成本费用登记表!$H$4:$H$303,成本费用登记表!$D$4:$D$303,$A40,成本费用登记表!$AC$4:$AC$303,C$4)+SUMIFS(资金日记账!$I$4:$I$603,资金日记账!$G$4:$G$603,$A40,资金日记账!$U$4:$U$603,"&lt;&gt;是",资金日记账!$V$4:$V$603,C$4),2))</f>
        <v/>
      </c>
      <c r="D40" s="41" t="str">
        <f aca="false">IF($A40="","",ROUND(SUMIFS(成本费用登记表!$H$4:$H$303,成本费用登记表!$D$4:$D$303,$A40,成本费用登记表!$AC$4:$AC$303,D$4)+SUMIFS(资金日记账!$I$4:$I$603,资金日记账!$G$4:$G$603,$A40,资金日记账!$U$4:$U$603,"&lt;&gt;是",资金日记账!$V$4:$V$603,D$4),2))</f>
        <v/>
      </c>
      <c r="E40" s="41" t="str">
        <f aca="false">IF($A40="","",ROUND(SUMIFS(成本费用登记表!$H$4:$H$303,成本费用登记表!$D$4:$D$303,$A40,成本费用登记表!$AC$4:$AC$303,E$4)+SUMIFS(资金日记账!$I$4:$I$603,资金日记账!$G$4:$G$603,$A40,资金日记账!$U$4:$U$603,"&lt;&gt;是",资金日记账!$V$4:$V$603,E$4),2))</f>
        <v/>
      </c>
      <c r="F40" s="41" t="str">
        <f aca="false">IF($A40="","",ROUND(SUMIFS(成本费用登记表!$H$4:$H$303,成本费用登记表!$D$4:$D$303,$A40,成本费用登记表!$AC$4:$AC$303,F$4)+SUMIFS(资金日记账!$I$4:$I$603,资金日记账!$G$4:$G$603,$A40,资金日记账!$U$4:$U$603,"&lt;&gt;是",资金日记账!$V$4:$V$603,F$4),2))</f>
        <v/>
      </c>
      <c r="G40" s="41" t="str">
        <f aca="false">IF($A40="","",ROUND(SUMIFS(成本费用登记表!$H$4:$H$303,成本费用登记表!$D$4:$D$303,$A40,成本费用登记表!$AC$4:$AC$303,G$4)+SUMIFS(资金日记账!$I$4:$I$603,资金日记账!$G$4:$G$603,$A40,资金日记账!$U$4:$U$603,"&lt;&gt;是",资金日记账!$V$4:$V$603,G$4),2))</f>
        <v/>
      </c>
      <c r="H40" s="41" t="str">
        <f aca="false">IF($A40="","",ROUND(SUMIFS(成本费用登记表!$H$4:$H$303,成本费用登记表!$D$4:$D$303,$A40,成本费用登记表!$AC$4:$AC$303,H$4)+SUMIFS(资金日记账!$I$4:$I$603,资金日记账!$G$4:$G$603,$A40,资金日记账!$U$4:$U$603,"&lt;&gt;是",资金日记账!$V$4:$V$603,H$4),2))</f>
        <v/>
      </c>
      <c r="I40" s="41" t="str">
        <f aca="false">IF($A40="","",ROUND(SUMIFS(成本费用登记表!$H$4:$H$303,成本费用登记表!$D$4:$D$303,$A40,成本费用登记表!$AC$4:$AC$303,I$4)+SUMIFS(资金日记账!$I$4:$I$603,资金日记账!$G$4:$G$603,$A40,资金日记账!$U$4:$U$603,"&lt;&gt;是",资金日记账!$V$4:$V$603,I$4),2))</f>
        <v/>
      </c>
      <c r="J40" s="41" t="str">
        <f aca="false">IF($A40="","",ROUND(SUMIFS(成本费用登记表!$H$4:$H$303,成本费用登记表!$D$4:$D$303,$A40,成本费用登记表!$AC$4:$AC$303,J$4)+SUMIFS(资金日记账!$I$4:$I$603,资金日记账!$G$4:$G$603,$A40,资金日记账!$U$4:$U$603,"&lt;&gt;是",资金日记账!$V$4:$V$603,J$4),2))</f>
        <v/>
      </c>
      <c r="K40" s="41" t="str">
        <f aca="false">IF($A40="","",ROUND(SUMIFS(成本费用登记表!$H$4:$H$303,成本费用登记表!$D$4:$D$303,$A40,成本费用登记表!$AC$4:$AC$303,K$4)+SUMIFS(资金日记账!$I$4:$I$603,资金日记账!$G$4:$G$603,$A40,资金日记账!$U$4:$U$603,"&lt;&gt;是",资金日记账!$V$4:$V$603,K$4),2))</f>
        <v/>
      </c>
      <c r="L40" s="41" t="str">
        <f aca="false">IF($A40="","",ROUND(SUMIFS(成本费用登记表!$H$4:$H$303,成本费用登记表!$D$4:$D$303,$A40,成本费用登记表!$AC$4:$AC$303,L$4)+SUMIFS(资金日记账!$I$4:$I$603,资金日记账!$G$4:$G$603,$A40,资金日记账!$U$4:$U$603,"&lt;&gt;是",资金日记账!$V$4:$V$603,L$4),2))</f>
        <v/>
      </c>
      <c r="M40" s="41" t="str">
        <f aca="false">IF($A40="","",ROUND(SUMIFS(成本费用登记表!$H$4:$H$303,成本费用登记表!$D$4:$D$303,$A40,成本费用登记表!$AC$4:$AC$303,M$4)+SUMIFS(资金日记账!$I$4:$I$603,资金日记账!$G$4:$G$603,$A40,资金日记账!$U$4:$U$603,"&lt;&gt;是",资金日记账!$V$4:$V$603,M$4),2))</f>
        <v/>
      </c>
      <c r="N40" s="41" t="str">
        <f aca="false">IF($A40="","",ROUND(SUMIFS(成本费用登记表!$H$4:$H$303,成本费用登记表!$D$4:$D$303,$A40,成本费用登记表!$AC$4:$AC$303,N$4)+SUMIFS(资金日记账!$I$4:$I$603,资金日记账!$G$4:$G$603,$A40,资金日记账!$U$4:$U$603,"&lt;&gt;是",资金日记账!$V$4:$V$603,N$4),2))</f>
        <v/>
      </c>
      <c r="O40" s="41" t="str">
        <f aca="false">IF($A40="","",ROUND(SUMIFS(成本费用登记表!$H$4:$H$303,成本费用登记表!$D$4:$D$303,$A40,成本费用登记表!$AC$4:$AC$303,O$4)+SUMIFS(资金日记账!$I$4:$I$603,资金日记账!$G$4:$G$603,$A40,资金日记账!$U$4:$U$603,"&lt;&gt;是",资金日记账!$V$4:$V$603,O$4),2))</f>
        <v/>
      </c>
      <c r="P40" s="41" t="str">
        <f aca="false">IF($A40="","",ROUND(SUMIFS(成本费用登记表!$H$4:$H$303,成本费用登记表!$D$4:$D$303,$A40,成本费用登记表!$AC$4:$AC$303,P$4)+SUMIFS(资金日记账!$I$4:$I$603,资金日记账!$G$4:$G$603,$A40,资金日记账!$U$4:$U$603,"&lt;&gt;是",资金日记账!$V$4:$V$603,P$4),2))</f>
        <v/>
      </c>
      <c r="Q40" s="41" t="str">
        <f aca="false">IF($A40="","",ROUND(SUMIFS(成本费用登记表!$H$4:$H$303,成本费用登记表!$D$4:$D$303,$A40,成本费用登记表!$AC$4:$AC$303,Q$4)+SUMIFS(资金日记账!$I$4:$I$603,资金日记账!$G$4:$G$603,$A40,资金日记账!$U$4:$U$603,"&lt;&gt;是",资金日记账!$V$4:$V$603,Q$4),2))</f>
        <v/>
      </c>
      <c r="R40" s="41" t="str">
        <f aca="false">IF($A40="","",ROUND(SUMIFS(成本费用登记表!$H$4:$H$303,成本费用登记表!$D$4:$D$303,$A40,成本费用登记表!$AC$4:$AC$303,R$4)+SUMIFS(资金日记账!$I$4:$I$603,资金日记账!$G$4:$G$603,$A40,资金日记账!$U$4:$U$603,"&lt;&gt;是",资金日记账!$V$4:$V$603,R$4),2))</f>
        <v/>
      </c>
      <c r="S40" s="41" t="str">
        <f aca="false">IF($A40="","",ROUND(SUMIFS(成本费用登记表!$H$4:$H$303,成本费用登记表!$D$4:$D$303,$A40,成本费用登记表!$AC$4:$AC$303,S$4)+SUMIFS(资金日记账!$I$4:$I$603,资金日记账!$G$4:$G$603,$A40,资金日记账!$U$4:$U$603,"&lt;&gt;是",资金日记账!$V$4:$V$603,S$4),2))</f>
        <v/>
      </c>
      <c r="T40" s="41" t="str">
        <f aca="false">IF($A40="","",ROUND(SUMIFS(成本费用登记表!$H$4:$H$303,成本费用登记表!$D$4:$D$303,$A40,成本费用登记表!$AC$4:$AC$303,T$4)+SUMIFS(资金日记账!$I$4:$I$603,资金日记账!$G$4:$G$603,$A40,资金日记账!$U$4:$U$603,"&lt;&gt;是",资金日记账!$V$4:$V$603,T$4),2))</f>
        <v/>
      </c>
      <c r="U40" s="41" t="str">
        <f aca="false">IF($A40="","",ROUND(SUMIFS(成本费用登记表!$H$4:$H$303,成本费用登记表!$D$4:$D$303,$A40,成本费用登记表!$AC$4:$AC$303,U$4)+SUMIFS(资金日记账!$I$4:$I$603,资金日记账!$G$4:$G$603,$A40,资金日记账!$U$4:$U$603,"&lt;&gt;是",资金日记账!$V$4:$V$603,U$4),2))</f>
        <v/>
      </c>
      <c r="V40" s="41" t="str">
        <f aca="false">IF($A40="","",ROUND(SUMIFS(成本费用登记表!$H$4:$H$303,成本费用登记表!$D$4:$D$303,$A40,成本费用登记表!$AC$4:$AC$303,V$4)+SUMIFS(资金日记账!$I$4:$I$603,资金日记账!$G$4:$G$603,$A40,资金日记账!$U$4:$U$603,"&lt;&gt;是",资金日记账!$V$4:$V$603,V$4),2))</f>
        <v/>
      </c>
      <c r="W40" s="41" t="str">
        <f aca="false">IF($A40="","",ROUND(SUMIFS(成本费用登记表!$H$4:$H$303,成本费用登记表!$D$4:$D$303,$A40,成本费用登记表!$AC$4:$AC$303,W$4)+SUMIFS(资金日记账!$I$4:$I$603,资金日记账!$G$4:$G$603,$A40,资金日记账!$U$4:$U$603,"&lt;&gt;是",资金日记账!$V$4:$V$603,W$4),2))</f>
        <v/>
      </c>
      <c r="X40" s="41" t="str">
        <f aca="false">IF($A40="","",ROUND(SUMIFS(成本费用登记表!$H$4:$H$303,成本费用登记表!$D$4:$D$303,$A40,成本费用登记表!$AC$4:$AC$303,X$4)+SUMIFS(资金日记账!$I$4:$I$603,资金日记账!$G$4:$G$603,$A40,资金日记账!$U$4:$U$603,"&lt;&gt;是",资金日记账!$V$4:$V$603,X$4),2))</f>
        <v/>
      </c>
      <c r="Y40" s="41" t="str">
        <f aca="false">IF($A40="","",ROUND(SUMIFS(成本费用登记表!$H$4:$H$303,成本费用登记表!$D$4:$D$303,$A40,成本费用登记表!$AC$4:$AC$303,Y$4)+SUMIFS(资金日记账!$I$4:$I$603,资金日记账!$G$4:$G$603,$A40,资金日记账!$U$4:$U$603,"&lt;&gt;是",资金日记账!$V$4:$V$603,Y$4),2))</f>
        <v/>
      </c>
      <c r="Z40" s="142" t="str">
        <f aca="false">IF($A40="","",ROUND(SUM($B40:$Y40),2))</f>
        <v/>
      </c>
      <c r="AA40" s="41" t="str">
        <f aca="false">IF($A40="","",ROUND(SUMIF(成本费用登记表!$D$4:$D$303,$A40,成本费用登记表!$AA$4:$AA$303)+SUMIFS(资金日记账!$I$4:$I$603,资金日记账!$G$4:$G$603,$A40,资金日记账!$U$4:$U$603,"&lt;&gt;是"),2))</f>
        <v/>
      </c>
      <c r="AB40" s="41" t="str">
        <f aca="false">IF($A40="","",ROUND(N($Z40)-N($AA40),2))</f>
        <v/>
      </c>
    </row>
    <row r="41" customFormat="false" ht="13.5" hidden="false" customHeight="false" outlineLevel="0" collapsed="false">
      <c r="A41" s="33" t="str">
        <f aca="false">IFERROR(INDEX(_自动清单!$X$4:$X$63,37),"")</f>
        <v/>
      </c>
      <c r="B41" s="41" t="str">
        <f aca="false">IF($A41="","",ROUND(SUMIFS(成本费用登记表!$H$4:$H$303,成本费用登记表!$D$4:$D$303,$A41,成本费用登记表!$AC$4:$AC$303,B$4)+SUMIFS(资金日记账!$I$4:$I$603,资金日记账!$G$4:$G$603,$A41,资金日记账!$U$4:$U$603,"&lt;&gt;是",资金日记账!$V$4:$V$603,B$4),2))</f>
        <v/>
      </c>
      <c r="C41" s="41" t="str">
        <f aca="false">IF($A41="","",ROUND(SUMIFS(成本费用登记表!$H$4:$H$303,成本费用登记表!$D$4:$D$303,$A41,成本费用登记表!$AC$4:$AC$303,C$4)+SUMIFS(资金日记账!$I$4:$I$603,资金日记账!$G$4:$G$603,$A41,资金日记账!$U$4:$U$603,"&lt;&gt;是",资金日记账!$V$4:$V$603,C$4),2))</f>
        <v/>
      </c>
      <c r="D41" s="41" t="str">
        <f aca="false">IF($A41="","",ROUND(SUMIFS(成本费用登记表!$H$4:$H$303,成本费用登记表!$D$4:$D$303,$A41,成本费用登记表!$AC$4:$AC$303,D$4)+SUMIFS(资金日记账!$I$4:$I$603,资金日记账!$G$4:$G$603,$A41,资金日记账!$U$4:$U$603,"&lt;&gt;是",资金日记账!$V$4:$V$603,D$4),2))</f>
        <v/>
      </c>
      <c r="E41" s="41" t="str">
        <f aca="false">IF($A41="","",ROUND(SUMIFS(成本费用登记表!$H$4:$H$303,成本费用登记表!$D$4:$D$303,$A41,成本费用登记表!$AC$4:$AC$303,E$4)+SUMIFS(资金日记账!$I$4:$I$603,资金日记账!$G$4:$G$603,$A41,资金日记账!$U$4:$U$603,"&lt;&gt;是",资金日记账!$V$4:$V$603,E$4),2))</f>
        <v/>
      </c>
      <c r="F41" s="41" t="str">
        <f aca="false">IF($A41="","",ROUND(SUMIFS(成本费用登记表!$H$4:$H$303,成本费用登记表!$D$4:$D$303,$A41,成本费用登记表!$AC$4:$AC$303,F$4)+SUMIFS(资金日记账!$I$4:$I$603,资金日记账!$G$4:$G$603,$A41,资金日记账!$U$4:$U$603,"&lt;&gt;是",资金日记账!$V$4:$V$603,F$4),2))</f>
        <v/>
      </c>
      <c r="G41" s="41" t="str">
        <f aca="false">IF($A41="","",ROUND(SUMIFS(成本费用登记表!$H$4:$H$303,成本费用登记表!$D$4:$D$303,$A41,成本费用登记表!$AC$4:$AC$303,G$4)+SUMIFS(资金日记账!$I$4:$I$603,资金日记账!$G$4:$G$603,$A41,资金日记账!$U$4:$U$603,"&lt;&gt;是",资金日记账!$V$4:$V$603,G$4),2))</f>
        <v/>
      </c>
      <c r="H41" s="41" t="str">
        <f aca="false">IF($A41="","",ROUND(SUMIFS(成本费用登记表!$H$4:$H$303,成本费用登记表!$D$4:$D$303,$A41,成本费用登记表!$AC$4:$AC$303,H$4)+SUMIFS(资金日记账!$I$4:$I$603,资金日记账!$G$4:$G$603,$A41,资金日记账!$U$4:$U$603,"&lt;&gt;是",资金日记账!$V$4:$V$603,H$4),2))</f>
        <v/>
      </c>
      <c r="I41" s="41" t="str">
        <f aca="false">IF($A41="","",ROUND(SUMIFS(成本费用登记表!$H$4:$H$303,成本费用登记表!$D$4:$D$303,$A41,成本费用登记表!$AC$4:$AC$303,I$4)+SUMIFS(资金日记账!$I$4:$I$603,资金日记账!$G$4:$G$603,$A41,资金日记账!$U$4:$U$603,"&lt;&gt;是",资金日记账!$V$4:$V$603,I$4),2))</f>
        <v/>
      </c>
      <c r="J41" s="41" t="str">
        <f aca="false">IF($A41="","",ROUND(SUMIFS(成本费用登记表!$H$4:$H$303,成本费用登记表!$D$4:$D$303,$A41,成本费用登记表!$AC$4:$AC$303,J$4)+SUMIFS(资金日记账!$I$4:$I$603,资金日记账!$G$4:$G$603,$A41,资金日记账!$U$4:$U$603,"&lt;&gt;是",资金日记账!$V$4:$V$603,J$4),2))</f>
        <v/>
      </c>
      <c r="K41" s="41" t="str">
        <f aca="false">IF($A41="","",ROUND(SUMIFS(成本费用登记表!$H$4:$H$303,成本费用登记表!$D$4:$D$303,$A41,成本费用登记表!$AC$4:$AC$303,K$4)+SUMIFS(资金日记账!$I$4:$I$603,资金日记账!$G$4:$G$603,$A41,资金日记账!$U$4:$U$603,"&lt;&gt;是",资金日记账!$V$4:$V$603,K$4),2))</f>
        <v/>
      </c>
      <c r="L41" s="41" t="str">
        <f aca="false">IF($A41="","",ROUND(SUMIFS(成本费用登记表!$H$4:$H$303,成本费用登记表!$D$4:$D$303,$A41,成本费用登记表!$AC$4:$AC$303,L$4)+SUMIFS(资金日记账!$I$4:$I$603,资金日记账!$G$4:$G$603,$A41,资金日记账!$U$4:$U$603,"&lt;&gt;是",资金日记账!$V$4:$V$603,L$4),2))</f>
        <v/>
      </c>
      <c r="M41" s="41" t="str">
        <f aca="false">IF($A41="","",ROUND(SUMIFS(成本费用登记表!$H$4:$H$303,成本费用登记表!$D$4:$D$303,$A41,成本费用登记表!$AC$4:$AC$303,M$4)+SUMIFS(资金日记账!$I$4:$I$603,资金日记账!$G$4:$G$603,$A41,资金日记账!$U$4:$U$603,"&lt;&gt;是",资金日记账!$V$4:$V$603,M$4),2))</f>
        <v/>
      </c>
      <c r="N41" s="41" t="str">
        <f aca="false">IF($A41="","",ROUND(SUMIFS(成本费用登记表!$H$4:$H$303,成本费用登记表!$D$4:$D$303,$A41,成本费用登记表!$AC$4:$AC$303,N$4)+SUMIFS(资金日记账!$I$4:$I$603,资金日记账!$G$4:$G$603,$A41,资金日记账!$U$4:$U$603,"&lt;&gt;是",资金日记账!$V$4:$V$603,N$4),2))</f>
        <v/>
      </c>
      <c r="O41" s="41" t="str">
        <f aca="false">IF($A41="","",ROUND(SUMIFS(成本费用登记表!$H$4:$H$303,成本费用登记表!$D$4:$D$303,$A41,成本费用登记表!$AC$4:$AC$303,O$4)+SUMIFS(资金日记账!$I$4:$I$603,资金日记账!$G$4:$G$603,$A41,资金日记账!$U$4:$U$603,"&lt;&gt;是",资金日记账!$V$4:$V$603,O$4),2))</f>
        <v/>
      </c>
      <c r="P41" s="41" t="str">
        <f aca="false">IF($A41="","",ROUND(SUMIFS(成本费用登记表!$H$4:$H$303,成本费用登记表!$D$4:$D$303,$A41,成本费用登记表!$AC$4:$AC$303,P$4)+SUMIFS(资金日记账!$I$4:$I$603,资金日记账!$G$4:$G$603,$A41,资金日记账!$U$4:$U$603,"&lt;&gt;是",资金日记账!$V$4:$V$603,P$4),2))</f>
        <v/>
      </c>
      <c r="Q41" s="41" t="str">
        <f aca="false">IF($A41="","",ROUND(SUMIFS(成本费用登记表!$H$4:$H$303,成本费用登记表!$D$4:$D$303,$A41,成本费用登记表!$AC$4:$AC$303,Q$4)+SUMIFS(资金日记账!$I$4:$I$603,资金日记账!$G$4:$G$603,$A41,资金日记账!$U$4:$U$603,"&lt;&gt;是",资金日记账!$V$4:$V$603,Q$4),2))</f>
        <v/>
      </c>
      <c r="R41" s="41" t="str">
        <f aca="false">IF($A41="","",ROUND(SUMIFS(成本费用登记表!$H$4:$H$303,成本费用登记表!$D$4:$D$303,$A41,成本费用登记表!$AC$4:$AC$303,R$4)+SUMIFS(资金日记账!$I$4:$I$603,资金日记账!$G$4:$G$603,$A41,资金日记账!$U$4:$U$603,"&lt;&gt;是",资金日记账!$V$4:$V$603,R$4),2))</f>
        <v/>
      </c>
      <c r="S41" s="41" t="str">
        <f aca="false">IF($A41="","",ROUND(SUMIFS(成本费用登记表!$H$4:$H$303,成本费用登记表!$D$4:$D$303,$A41,成本费用登记表!$AC$4:$AC$303,S$4)+SUMIFS(资金日记账!$I$4:$I$603,资金日记账!$G$4:$G$603,$A41,资金日记账!$U$4:$U$603,"&lt;&gt;是",资金日记账!$V$4:$V$603,S$4),2))</f>
        <v/>
      </c>
      <c r="T41" s="41" t="str">
        <f aca="false">IF($A41="","",ROUND(SUMIFS(成本费用登记表!$H$4:$H$303,成本费用登记表!$D$4:$D$303,$A41,成本费用登记表!$AC$4:$AC$303,T$4)+SUMIFS(资金日记账!$I$4:$I$603,资金日记账!$G$4:$G$603,$A41,资金日记账!$U$4:$U$603,"&lt;&gt;是",资金日记账!$V$4:$V$603,T$4),2))</f>
        <v/>
      </c>
      <c r="U41" s="41" t="str">
        <f aca="false">IF($A41="","",ROUND(SUMIFS(成本费用登记表!$H$4:$H$303,成本费用登记表!$D$4:$D$303,$A41,成本费用登记表!$AC$4:$AC$303,U$4)+SUMIFS(资金日记账!$I$4:$I$603,资金日记账!$G$4:$G$603,$A41,资金日记账!$U$4:$U$603,"&lt;&gt;是",资金日记账!$V$4:$V$603,U$4),2))</f>
        <v/>
      </c>
      <c r="V41" s="41" t="str">
        <f aca="false">IF($A41="","",ROUND(SUMIFS(成本费用登记表!$H$4:$H$303,成本费用登记表!$D$4:$D$303,$A41,成本费用登记表!$AC$4:$AC$303,V$4)+SUMIFS(资金日记账!$I$4:$I$603,资金日记账!$G$4:$G$603,$A41,资金日记账!$U$4:$U$603,"&lt;&gt;是",资金日记账!$V$4:$V$603,V$4),2))</f>
        <v/>
      </c>
      <c r="W41" s="41" t="str">
        <f aca="false">IF($A41="","",ROUND(SUMIFS(成本费用登记表!$H$4:$H$303,成本费用登记表!$D$4:$D$303,$A41,成本费用登记表!$AC$4:$AC$303,W$4)+SUMIFS(资金日记账!$I$4:$I$603,资金日记账!$G$4:$G$603,$A41,资金日记账!$U$4:$U$603,"&lt;&gt;是",资金日记账!$V$4:$V$603,W$4),2))</f>
        <v/>
      </c>
      <c r="X41" s="41" t="str">
        <f aca="false">IF($A41="","",ROUND(SUMIFS(成本费用登记表!$H$4:$H$303,成本费用登记表!$D$4:$D$303,$A41,成本费用登记表!$AC$4:$AC$303,X$4)+SUMIFS(资金日记账!$I$4:$I$603,资金日记账!$G$4:$G$603,$A41,资金日记账!$U$4:$U$603,"&lt;&gt;是",资金日记账!$V$4:$V$603,X$4),2))</f>
        <v/>
      </c>
      <c r="Y41" s="41" t="str">
        <f aca="false">IF($A41="","",ROUND(SUMIFS(成本费用登记表!$H$4:$H$303,成本费用登记表!$D$4:$D$303,$A41,成本费用登记表!$AC$4:$AC$303,Y$4)+SUMIFS(资金日记账!$I$4:$I$603,资金日记账!$G$4:$G$603,$A41,资金日记账!$U$4:$U$603,"&lt;&gt;是",资金日记账!$V$4:$V$603,Y$4),2))</f>
        <v/>
      </c>
      <c r="Z41" s="142" t="str">
        <f aca="false">IF($A41="","",ROUND(SUM($B41:$Y41),2))</f>
        <v/>
      </c>
      <c r="AA41" s="41" t="str">
        <f aca="false">IF($A41="","",ROUND(SUMIF(成本费用登记表!$D$4:$D$303,$A41,成本费用登记表!$AA$4:$AA$303)+SUMIFS(资金日记账!$I$4:$I$603,资金日记账!$G$4:$G$603,$A41,资金日记账!$U$4:$U$603,"&lt;&gt;是"),2))</f>
        <v/>
      </c>
      <c r="AB41" s="41" t="str">
        <f aca="false">IF($A41="","",ROUND(N($Z41)-N($AA41),2))</f>
        <v/>
      </c>
    </row>
    <row r="42" customFormat="false" ht="13.5" hidden="false" customHeight="false" outlineLevel="0" collapsed="false">
      <c r="A42" s="33" t="str">
        <f aca="false">IFERROR(INDEX(_自动清单!$X$4:$X$63,38),"")</f>
        <v/>
      </c>
      <c r="B42" s="41" t="str">
        <f aca="false">IF($A42="","",ROUND(SUMIFS(成本费用登记表!$H$4:$H$303,成本费用登记表!$D$4:$D$303,$A42,成本费用登记表!$AC$4:$AC$303,B$4)+SUMIFS(资金日记账!$I$4:$I$603,资金日记账!$G$4:$G$603,$A42,资金日记账!$U$4:$U$603,"&lt;&gt;是",资金日记账!$V$4:$V$603,B$4),2))</f>
        <v/>
      </c>
      <c r="C42" s="41" t="str">
        <f aca="false">IF($A42="","",ROUND(SUMIFS(成本费用登记表!$H$4:$H$303,成本费用登记表!$D$4:$D$303,$A42,成本费用登记表!$AC$4:$AC$303,C$4)+SUMIFS(资金日记账!$I$4:$I$603,资金日记账!$G$4:$G$603,$A42,资金日记账!$U$4:$U$603,"&lt;&gt;是",资金日记账!$V$4:$V$603,C$4),2))</f>
        <v/>
      </c>
      <c r="D42" s="41" t="str">
        <f aca="false">IF($A42="","",ROUND(SUMIFS(成本费用登记表!$H$4:$H$303,成本费用登记表!$D$4:$D$303,$A42,成本费用登记表!$AC$4:$AC$303,D$4)+SUMIFS(资金日记账!$I$4:$I$603,资金日记账!$G$4:$G$603,$A42,资金日记账!$U$4:$U$603,"&lt;&gt;是",资金日记账!$V$4:$V$603,D$4),2))</f>
        <v/>
      </c>
      <c r="E42" s="41" t="str">
        <f aca="false">IF($A42="","",ROUND(SUMIFS(成本费用登记表!$H$4:$H$303,成本费用登记表!$D$4:$D$303,$A42,成本费用登记表!$AC$4:$AC$303,E$4)+SUMIFS(资金日记账!$I$4:$I$603,资金日记账!$G$4:$G$603,$A42,资金日记账!$U$4:$U$603,"&lt;&gt;是",资金日记账!$V$4:$V$603,E$4),2))</f>
        <v/>
      </c>
      <c r="F42" s="41" t="str">
        <f aca="false">IF($A42="","",ROUND(SUMIFS(成本费用登记表!$H$4:$H$303,成本费用登记表!$D$4:$D$303,$A42,成本费用登记表!$AC$4:$AC$303,F$4)+SUMIFS(资金日记账!$I$4:$I$603,资金日记账!$G$4:$G$603,$A42,资金日记账!$U$4:$U$603,"&lt;&gt;是",资金日记账!$V$4:$V$603,F$4),2))</f>
        <v/>
      </c>
      <c r="G42" s="41" t="str">
        <f aca="false">IF($A42="","",ROUND(SUMIFS(成本费用登记表!$H$4:$H$303,成本费用登记表!$D$4:$D$303,$A42,成本费用登记表!$AC$4:$AC$303,G$4)+SUMIFS(资金日记账!$I$4:$I$603,资金日记账!$G$4:$G$603,$A42,资金日记账!$U$4:$U$603,"&lt;&gt;是",资金日记账!$V$4:$V$603,G$4),2))</f>
        <v/>
      </c>
      <c r="H42" s="41" t="str">
        <f aca="false">IF($A42="","",ROUND(SUMIFS(成本费用登记表!$H$4:$H$303,成本费用登记表!$D$4:$D$303,$A42,成本费用登记表!$AC$4:$AC$303,H$4)+SUMIFS(资金日记账!$I$4:$I$603,资金日记账!$G$4:$G$603,$A42,资金日记账!$U$4:$U$603,"&lt;&gt;是",资金日记账!$V$4:$V$603,H$4),2))</f>
        <v/>
      </c>
      <c r="I42" s="41" t="str">
        <f aca="false">IF($A42="","",ROUND(SUMIFS(成本费用登记表!$H$4:$H$303,成本费用登记表!$D$4:$D$303,$A42,成本费用登记表!$AC$4:$AC$303,I$4)+SUMIFS(资金日记账!$I$4:$I$603,资金日记账!$G$4:$G$603,$A42,资金日记账!$U$4:$U$603,"&lt;&gt;是",资金日记账!$V$4:$V$603,I$4),2))</f>
        <v/>
      </c>
      <c r="J42" s="41" t="str">
        <f aca="false">IF($A42="","",ROUND(SUMIFS(成本费用登记表!$H$4:$H$303,成本费用登记表!$D$4:$D$303,$A42,成本费用登记表!$AC$4:$AC$303,J$4)+SUMIFS(资金日记账!$I$4:$I$603,资金日记账!$G$4:$G$603,$A42,资金日记账!$U$4:$U$603,"&lt;&gt;是",资金日记账!$V$4:$V$603,J$4),2))</f>
        <v/>
      </c>
      <c r="K42" s="41" t="str">
        <f aca="false">IF($A42="","",ROUND(SUMIFS(成本费用登记表!$H$4:$H$303,成本费用登记表!$D$4:$D$303,$A42,成本费用登记表!$AC$4:$AC$303,K$4)+SUMIFS(资金日记账!$I$4:$I$603,资金日记账!$G$4:$G$603,$A42,资金日记账!$U$4:$U$603,"&lt;&gt;是",资金日记账!$V$4:$V$603,K$4),2))</f>
        <v/>
      </c>
      <c r="L42" s="41" t="str">
        <f aca="false">IF($A42="","",ROUND(SUMIFS(成本费用登记表!$H$4:$H$303,成本费用登记表!$D$4:$D$303,$A42,成本费用登记表!$AC$4:$AC$303,L$4)+SUMIFS(资金日记账!$I$4:$I$603,资金日记账!$G$4:$G$603,$A42,资金日记账!$U$4:$U$603,"&lt;&gt;是",资金日记账!$V$4:$V$603,L$4),2))</f>
        <v/>
      </c>
      <c r="M42" s="41" t="str">
        <f aca="false">IF($A42="","",ROUND(SUMIFS(成本费用登记表!$H$4:$H$303,成本费用登记表!$D$4:$D$303,$A42,成本费用登记表!$AC$4:$AC$303,M$4)+SUMIFS(资金日记账!$I$4:$I$603,资金日记账!$G$4:$G$603,$A42,资金日记账!$U$4:$U$603,"&lt;&gt;是",资金日记账!$V$4:$V$603,M$4),2))</f>
        <v/>
      </c>
      <c r="N42" s="41" t="str">
        <f aca="false">IF($A42="","",ROUND(SUMIFS(成本费用登记表!$H$4:$H$303,成本费用登记表!$D$4:$D$303,$A42,成本费用登记表!$AC$4:$AC$303,N$4)+SUMIFS(资金日记账!$I$4:$I$603,资金日记账!$G$4:$G$603,$A42,资金日记账!$U$4:$U$603,"&lt;&gt;是",资金日记账!$V$4:$V$603,N$4),2))</f>
        <v/>
      </c>
      <c r="O42" s="41" t="str">
        <f aca="false">IF($A42="","",ROUND(SUMIFS(成本费用登记表!$H$4:$H$303,成本费用登记表!$D$4:$D$303,$A42,成本费用登记表!$AC$4:$AC$303,O$4)+SUMIFS(资金日记账!$I$4:$I$603,资金日记账!$G$4:$G$603,$A42,资金日记账!$U$4:$U$603,"&lt;&gt;是",资金日记账!$V$4:$V$603,O$4),2))</f>
        <v/>
      </c>
      <c r="P42" s="41" t="str">
        <f aca="false">IF($A42="","",ROUND(SUMIFS(成本费用登记表!$H$4:$H$303,成本费用登记表!$D$4:$D$303,$A42,成本费用登记表!$AC$4:$AC$303,P$4)+SUMIFS(资金日记账!$I$4:$I$603,资金日记账!$G$4:$G$603,$A42,资金日记账!$U$4:$U$603,"&lt;&gt;是",资金日记账!$V$4:$V$603,P$4),2))</f>
        <v/>
      </c>
      <c r="Q42" s="41" t="str">
        <f aca="false">IF($A42="","",ROUND(SUMIFS(成本费用登记表!$H$4:$H$303,成本费用登记表!$D$4:$D$303,$A42,成本费用登记表!$AC$4:$AC$303,Q$4)+SUMIFS(资金日记账!$I$4:$I$603,资金日记账!$G$4:$G$603,$A42,资金日记账!$U$4:$U$603,"&lt;&gt;是",资金日记账!$V$4:$V$603,Q$4),2))</f>
        <v/>
      </c>
      <c r="R42" s="41" t="str">
        <f aca="false">IF($A42="","",ROUND(SUMIFS(成本费用登记表!$H$4:$H$303,成本费用登记表!$D$4:$D$303,$A42,成本费用登记表!$AC$4:$AC$303,R$4)+SUMIFS(资金日记账!$I$4:$I$603,资金日记账!$G$4:$G$603,$A42,资金日记账!$U$4:$U$603,"&lt;&gt;是",资金日记账!$V$4:$V$603,R$4),2))</f>
        <v/>
      </c>
      <c r="S42" s="41" t="str">
        <f aca="false">IF($A42="","",ROUND(SUMIFS(成本费用登记表!$H$4:$H$303,成本费用登记表!$D$4:$D$303,$A42,成本费用登记表!$AC$4:$AC$303,S$4)+SUMIFS(资金日记账!$I$4:$I$603,资金日记账!$G$4:$G$603,$A42,资金日记账!$U$4:$U$603,"&lt;&gt;是",资金日记账!$V$4:$V$603,S$4),2))</f>
        <v/>
      </c>
      <c r="T42" s="41" t="str">
        <f aca="false">IF($A42="","",ROUND(SUMIFS(成本费用登记表!$H$4:$H$303,成本费用登记表!$D$4:$D$303,$A42,成本费用登记表!$AC$4:$AC$303,T$4)+SUMIFS(资金日记账!$I$4:$I$603,资金日记账!$G$4:$G$603,$A42,资金日记账!$U$4:$U$603,"&lt;&gt;是",资金日记账!$V$4:$V$603,T$4),2))</f>
        <v/>
      </c>
      <c r="U42" s="41" t="str">
        <f aca="false">IF($A42="","",ROUND(SUMIFS(成本费用登记表!$H$4:$H$303,成本费用登记表!$D$4:$D$303,$A42,成本费用登记表!$AC$4:$AC$303,U$4)+SUMIFS(资金日记账!$I$4:$I$603,资金日记账!$G$4:$G$603,$A42,资金日记账!$U$4:$U$603,"&lt;&gt;是",资金日记账!$V$4:$V$603,U$4),2))</f>
        <v/>
      </c>
      <c r="V42" s="41" t="str">
        <f aca="false">IF($A42="","",ROUND(SUMIFS(成本费用登记表!$H$4:$H$303,成本费用登记表!$D$4:$D$303,$A42,成本费用登记表!$AC$4:$AC$303,V$4)+SUMIFS(资金日记账!$I$4:$I$603,资金日记账!$G$4:$G$603,$A42,资金日记账!$U$4:$U$603,"&lt;&gt;是",资金日记账!$V$4:$V$603,V$4),2))</f>
        <v/>
      </c>
      <c r="W42" s="41" t="str">
        <f aca="false">IF($A42="","",ROUND(SUMIFS(成本费用登记表!$H$4:$H$303,成本费用登记表!$D$4:$D$303,$A42,成本费用登记表!$AC$4:$AC$303,W$4)+SUMIFS(资金日记账!$I$4:$I$603,资金日记账!$G$4:$G$603,$A42,资金日记账!$U$4:$U$603,"&lt;&gt;是",资金日记账!$V$4:$V$603,W$4),2))</f>
        <v/>
      </c>
      <c r="X42" s="41" t="str">
        <f aca="false">IF($A42="","",ROUND(SUMIFS(成本费用登记表!$H$4:$H$303,成本费用登记表!$D$4:$D$303,$A42,成本费用登记表!$AC$4:$AC$303,X$4)+SUMIFS(资金日记账!$I$4:$I$603,资金日记账!$G$4:$G$603,$A42,资金日记账!$U$4:$U$603,"&lt;&gt;是",资金日记账!$V$4:$V$603,X$4),2))</f>
        <v/>
      </c>
      <c r="Y42" s="41" t="str">
        <f aca="false">IF($A42="","",ROUND(SUMIFS(成本费用登记表!$H$4:$H$303,成本费用登记表!$D$4:$D$303,$A42,成本费用登记表!$AC$4:$AC$303,Y$4)+SUMIFS(资金日记账!$I$4:$I$603,资金日记账!$G$4:$G$603,$A42,资金日记账!$U$4:$U$603,"&lt;&gt;是",资金日记账!$V$4:$V$603,Y$4),2))</f>
        <v/>
      </c>
      <c r="Z42" s="142" t="str">
        <f aca="false">IF($A42="","",ROUND(SUM($B42:$Y42),2))</f>
        <v/>
      </c>
      <c r="AA42" s="41" t="str">
        <f aca="false">IF($A42="","",ROUND(SUMIF(成本费用登记表!$D$4:$D$303,$A42,成本费用登记表!$AA$4:$AA$303)+SUMIFS(资金日记账!$I$4:$I$603,资金日记账!$G$4:$G$603,$A42,资金日记账!$U$4:$U$603,"&lt;&gt;是"),2))</f>
        <v/>
      </c>
      <c r="AB42" s="41" t="str">
        <f aca="false">IF($A42="","",ROUND(N($Z42)-N($AA42),2))</f>
        <v/>
      </c>
    </row>
    <row r="43" customFormat="false" ht="13.5" hidden="false" customHeight="false" outlineLevel="0" collapsed="false">
      <c r="A43" s="33" t="str">
        <f aca="false">IFERROR(INDEX(_自动清单!$X$4:$X$63,39),"")</f>
        <v/>
      </c>
      <c r="B43" s="41" t="str">
        <f aca="false">IF($A43="","",ROUND(SUMIFS(成本费用登记表!$H$4:$H$303,成本费用登记表!$D$4:$D$303,$A43,成本费用登记表!$AC$4:$AC$303,B$4)+SUMIFS(资金日记账!$I$4:$I$603,资金日记账!$G$4:$G$603,$A43,资金日记账!$U$4:$U$603,"&lt;&gt;是",资金日记账!$V$4:$V$603,B$4),2))</f>
        <v/>
      </c>
      <c r="C43" s="41" t="str">
        <f aca="false">IF($A43="","",ROUND(SUMIFS(成本费用登记表!$H$4:$H$303,成本费用登记表!$D$4:$D$303,$A43,成本费用登记表!$AC$4:$AC$303,C$4)+SUMIFS(资金日记账!$I$4:$I$603,资金日记账!$G$4:$G$603,$A43,资金日记账!$U$4:$U$603,"&lt;&gt;是",资金日记账!$V$4:$V$603,C$4),2))</f>
        <v/>
      </c>
      <c r="D43" s="41" t="str">
        <f aca="false">IF($A43="","",ROUND(SUMIFS(成本费用登记表!$H$4:$H$303,成本费用登记表!$D$4:$D$303,$A43,成本费用登记表!$AC$4:$AC$303,D$4)+SUMIFS(资金日记账!$I$4:$I$603,资金日记账!$G$4:$G$603,$A43,资金日记账!$U$4:$U$603,"&lt;&gt;是",资金日记账!$V$4:$V$603,D$4),2))</f>
        <v/>
      </c>
      <c r="E43" s="41" t="str">
        <f aca="false">IF($A43="","",ROUND(SUMIFS(成本费用登记表!$H$4:$H$303,成本费用登记表!$D$4:$D$303,$A43,成本费用登记表!$AC$4:$AC$303,E$4)+SUMIFS(资金日记账!$I$4:$I$603,资金日记账!$G$4:$G$603,$A43,资金日记账!$U$4:$U$603,"&lt;&gt;是",资金日记账!$V$4:$V$603,E$4),2))</f>
        <v/>
      </c>
      <c r="F43" s="41" t="str">
        <f aca="false">IF($A43="","",ROUND(SUMIFS(成本费用登记表!$H$4:$H$303,成本费用登记表!$D$4:$D$303,$A43,成本费用登记表!$AC$4:$AC$303,F$4)+SUMIFS(资金日记账!$I$4:$I$603,资金日记账!$G$4:$G$603,$A43,资金日记账!$U$4:$U$603,"&lt;&gt;是",资金日记账!$V$4:$V$603,F$4),2))</f>
        <v/>
      </c>
      <c r="G43" s="41" t="str">
        <f aca="false">IF($A43="","",ROUND(SUMIFS(成本费用登记表!$H$4:$H$303,成本费用登记表!$D$4:$D$303,$A43,成本费用登记表!$AC$4:$AC$303,G$4)+SUMIFS(资金日记账!$I$4:$I$603,资金日记账!$G$4:$G$603,$A43,资金日记账!$U$4:$U$603,"&lt;&gt;是",资金日记账!$V$4:$V$603,G$4),2))</f>
        <v/>
      </c>
      <c r="H43" s="41" t="str">
        <f aca="false">IF($A43="","",ROUND(SUMIFS(成本费用登记表!$H$4:$H$303,成本费用登记表!$D$4:$D$303,$A43,成本费用登记表!$AC$4:$AC$303,H$4)+SUMIFS(资金日记账!$I$4:$I$603,资金日记账!$G$4:$G$603,$A43,资金日记账!$U$4:$U$603,"&lt;&gt;是",资金日记账!$V$4:$V$603,H$4),2))</f>
        <v/>
      </c>
      <c r="I43" s="41" t="str">
        <f aca="false">IF($A43="","",ROUND(SUMIFS(成本费用登记表!$H$4:$H$303,成本费用登记表!$D$4:$D$303,$A43,成本费用登记表!$AC$4:$AC$303,I$4)+SUMIFS(资金日记账!$I$4:$I$603,资金日记账!$G$4:$G$603,$A43,资金日记账!$U$4:$U$603,"&lt;&gt;是",资金日记账!$V$4:$V$603,I$4),2))</f>
        <v/>
      </c>
      <c r="J43" s="41" t="str">
        <f aca="false">IF($A43="","",ROUND(SUMIFS(成本费用登记表!$H$4:$H$303,成本费用登记表!$D$4:$D$303,$A43,成本费用登记表!$AC$4:$AC$303,J$4)+SUMIFS(资金日记账!$I$4:$I$603,资金日记账!$G$4:$G$603,$A43,资金日记账!$U$4:$U$603,"&lt;&gt;是",资金日记账!$V$4:$V$603,J$4),2))</f>
        <v/>
      </c>
      <c r="K43" s="41" t="str">
        <f aca="false">IF($A43="","",ROUND(SUMIFS(成本费用登记表!$H$4:$H$303,成本费用登记表!$D$4:$D$303,$A43,成本费用登记表!$AC$4:$AC$303,K$4)+SUMIFS(资金日记账!$I$4:$I$603,资金日记账!$G$4:$G$603,$A43,资金日记账!$U$4:$U$603,"&lt;&gt;是",资金日记账!$V$4:$V$603,K$4),2))</f>
        <v/>
      </c>
      <c r="L43" s="41" t="str">
        <f aca="false">IF($A43="","",ROUND(SUMIFS(成本费用登记表!$H$4:$H$303,成本费用登记表!$D$4:$D$303,$A43,成本费用登记表!$AC$4:$AC$303,L$4)+SUMIFS(资金日记账!$I$4:$I$603,资金日记账!$G$4:$G$603,$A43,资金日记账!$U$4:$U$603,"&lt;&gt;是",资金日记账!$V$4:$V$603,L$4),2))</f>
        <v/>
      </c>
      <c r="M43" s="41" t="str">
        <f aca="false">IF($A43="","",ROUND(SUMIFS(成本费用登记表!$H$4:$H$303,成本费用登记表!$D$4:$D$303,$A43,成本费用登记表!$AC$4:$AC$303,M$4)+SUMIFS(资金日记账!$I$4:$I$603,资金日记账!$G$4:$G$603,$A43,资金日记账!$U$4:$U$603,"&lt;&gt;是",资金日记账!$V$4:$V$603,M$4),2))</f>
        <v/>
      </c>
      <c r="N43" s="41" t="str">
        <f aca="false">IF($A43="","",ROUND(SUMIFS(成本费用登记表!$H$4:$H$303,成本费用登记表!$D$4:$D$303,$A43,成本费用登记表!$AC$4:$AC$303,N$4)+SUMIFS(资金日记账!$I$4:$I$603,资金日记账!$G$4:$G$603,$A43,资金日记账!$U$4:$U$603,"&lt;&gt;是",资金日记账!$V$4:$V$603,N$4),2))</f>
        <v/>
      </c>
      <c r="O43" s="41" t="str">
        <f aca="false">IF($A43="","",ROUND(SUMIFS(成本费用登记表!$H$4:$H$303,成本费用登记表!$D$4:$D$303,$A43,成本费用登记表!$AC$4:$AC$303,O$4)+SUMIFS(资金日记账!$I$4:$I$603,资金日记账!$G$4:$G$603,$A43,资金日记账!$U$4:$U$603,"&lt;&gt;是",资金日记账!$V$4:$V$603,O$4),2))</f>
        <v/>
      </c>
      <c r="P43" s="41" t="str">
        <f aca="false">IF($A43="","",ROUND(SUMIFS(成本费用登记表!$H$4:$H$303,成本费用登记表!$D$4:$D$303,$A43,成本费用登记表!$AC$4:$AC$303,P$4)+SUMIFS(资金日记账!$I$4:$I$603,资金日记账!$G$4:$G$603,$A43,资金日记账!$U$4:$U$603,"&lt;&gt;是",资金日记账!$V$4:$V$603,P$4),2))</f>
        <v/>
      </c>
      <c r="Q43" s="41" t="str">
        <f aca="false">IF($A43="","",ROUND(SUMIFS(成本费用登记表!$H$4:$H$303,成本费用登记表!$D$4:$D$303,$A43,成本费用登记表!$AC$4:$AC$303,Q$4)+SUMIFS(资金日记账!$I$4:$I$603,资金日记账!$G$4:$G$603,$A43,资金日记账!$U$4:$U$603,"&lt;&gt;是",资金日记账!$V$4:$V$603,Q$4),2))</f>
        <v/>
      </c>
      <c r="R43" s="41" t="str">
        <f aca="false">IF($A43="","",ROUND(SUMIFS(成本费用登记表!$H$4:$H$303,成本费用登记表!$D$4:$D$303,$A43,成本费用登记表!$AC$4:$AC$303,R$4)+SUMIFS(资金日记账!$I$4:$I$603,资金日记账!$G$4:$G$603,$A43,资金日记账!$U$4:$U$603,"&lt;&gt;是",资金日记账!$V$4:$V$603,R$4),2))</f>
        <v/>
      </c>
      <c r="S43" s="41" t="str">
        <f aca="false">IF($A43="","",ROUND(SUMIFS(成本费用登记表!$H$4:$H$303,成本费用登记表!$D$4:$D$303,$A43,成本费用登记表!$AC$4:$AC$303,S$4)+SUMIFS(资金日记账!$I$4:$I$603,资金日记账!$G$4:$G$603,$A43,资金日记账!$U$4:$U$603,"&lt;&gt;是",资金日记账!$V$4:$V$603,S$4),2))</f>
        <v/>
      </c>
      <c r="T43" s="41" t="str">
        <f aca="false">IF($A43="","",ROUND(SUMIFS(成本费用登记表!$H$4:$H$303,成本费用登记表!$D$4:$D$303,$A43,成本费用登记表!$AC$4:$AC$303,T$4)+SUMIFS(资金日记账!$I$4:$I$603,资金日记账!$G$4:$G$603,$A43,资金日记账!$U$4:$U$603,"&lt;&gt;是",资金日记账!$V$4:$V$603,T$4),2))</f>
        <v/>
      </c>
      <c r="U43" s="41" t="str">
        <f aca="false">IF($A43="","",ROUND(SUMIFS(成本费用登记表!$H$4:$H$303,成本费用登记表!$D$4:$D$303,$A43,成本费用登记表!$AC$4:$AC$303,U$4)+SUMIFS(资金日记账!$I$4:$I$603,资金日记账!$G$4:$G$603,$A43,资金日记账!$U$4:$U$603,"&lt;&gt;是",资金日记账!$V$4:$V$603,U$4),2))</f>
        <v/>
      </c>
      <c r="V43" s="41" t="str">
        <f aca="false">IF($A43="","",ROUND(SUMIFS(成本费用登记表!$H$4:$H$303,成本费用登记表!$D$4:$D$303,$A43,成本费用登记表!$AC$4:$AC$303,V$4)+SUMIFS(资金日记账!$I$4:$I$603,资金日记账!$G$4:$G$603,$A43,资金日记账!$U$4:$U$603,"&lt;&gt;是",资金日记账!$V$4:$V$603,V$4),2))</f>
        <v/>
      </c>
      <c r="W43" s="41" t="str">
        <f aca="false">IF($A43="","",ROUND(SUMIFS(成本费用登记表!$H$4:$H$303,成本费用登记表!$D$4:$D$303,$A43,成本费用登记表!$AC$4:$AC$303,W$4)+SUMIFS(资金日记账!$I$4:$I$603,资金日记账!$G$4:$G$603,$A43,资金日记账!$U$4:$U$603,"&lt;&gt;是",资金日记账!$V$4:$V$603,W$4),2))</f>
        <v/>
      </c>
      <c r="X43" s="41" t="str">
        <f aca="false">IF($A43="","",ROUND(SUMIFS(成本费用登记表!$H$4:$H$303,成本费用登记表!$D$4:$D$303,$A43,成本费用登记表!$AC$4:$AC$303,X$4)+SUMIFS(资金日记账!$I$4:$I$603,资金日记账!$G$4:$G$603,$A43,资金日记账!$U$4:$U$603,"&lt;&gt;是",资金日记账!$V$4:$V$603,X$4),2))</f>
        <v/>
      </c>
      <c r="Y43" s="41" t="str">
        <f aca="false">IF($A43="","",ROUND(SUMIFS(成本费用登记表!$H$4:$H$303,成本费用登记表!$D$4:$D$303,$A43,成本费用登记表!$AC$4:$AC$303,Y$4)+SUMIFS(资金日记账!$I$4:$I$603,资金日记账!$G$4:$G$603,$A43,资金日记账!$U$4:$U$603,"&lt;&gt;是",资金日记账!$V$4:$V$603,Y$4),2))</f>
        <v/>
      </c>
      <c r="Z43" s="142" t="str">
        <f aca="false">IF($A43="","",ROUND(SUM($B43:$Y43),2))</f>
        <v/>
      </c>
      <c r="AA43" s="41" t="str">
        <f aca="false">IF($A43="","",ROUND(SUMIF(成本费用登记表!$D$4:$D$303,$A43,成本费用登记表!$AA$4:$AA$303)+SUMIFS(资金日记账!$I$4:$I$603,资金日记账!$G$4:$G$603,$A43,资金日记账!$U$4:$U$603,"&lt;&gt;是"),2))</f>
        <v/>
      </c>
      <c r="AB43" s="41" t="str">
        <f aca="false">IF($A43="","",ROUND(N($Z43)-N($AA43),2))</f>
        <v/>
      </c>
    </row>
    <row r="44" customFormat="false" ht="13.5" hidden="false" customHeight="false" outlineLevel="0" collapsed="false">
      <c r="A44" s="33" t="str">
        <f aca="false">IFERROR(INDEX(_自动清单!$X$4:$X$63,40),"")</f>
        <v/>
      </c>
      <c r="B44" s="41" t="str">
        <f aca="false">IF($A44="","",ROUND(SUMIFS(成本费用登记表!$H$4:$H$303,成本费用登记表!$D$4:$D$303,$A44,成本费用登记表!$AC$4:$AC$303,B$4)+SUMIFS(资金日记账!$I$4:$I$603,资金日记账!$G$4:$G$603,$A44,资金日记账!$U$4:$U$603,"&lt;&gt;是",资金日记账!$V$4:$V$603,B$4),2))</f>
        <v/>
      </c>
      <c r="C44" s="41" t="str">
        <f aca="false">IF($A44="","",ROUND(SUMIFS(成本费用登记表!$H$4:$H$303,成本费用登记表!$D$4:$D$303,$A44,成本费用登记表!$AC$4:$AC$303,C$4)+SUMIFS(资金日记账!$I$4:$I$603,资金日记账!$G$4:$G$603,$A44,资金日记账!$U$4:$U$603,"&lt;&gt;是",资金日记账!$V$4:$V$603,C$4),2))</f>
        <v/>
      </c>
      <c r="D44" s="41" t="str">
        <f aca="false">IF($A44="","",ROUND(SUMIFS(成本费用登记表!$H$4:$H$303,成本费用登记表!$D$4:$D$303,$A44,成本费用登记表!$AC$4:$AC$303,D$4)+SUMIFS(资金日记账!$I$4:$I$603,资金日记账!$G$4:$G$603,$A44,资金日记账!$U$4:$U$603,"&lt;&gt;是",资金日记账!$V$4:$V$603,D$4),2))</f>
        <v/>
      </c>
      <c r="E44" s="41" t="str">
        <f aca="false">IF($A44="","",ROUND(SUMIFS(成本费用登记表!$H$4:$H$303,成本费用登记表!$D$4:$D$303,$A44,成本费用登记表!$AC$4:$AC$303,E$4)+SUMIFS(资金日记账!$I$4:$I$603,资金日记账!$G$4:$G$603,$A44,资金日记账!$U$4:$U$603,"&lt;&gt;是",资金日记账!$V$4:$V$603,E$4),2))</f>
        <v/>
      </c>
      <c r="F44" s="41" t="str">
        <f aca="false">IF($A44="","",ROUND(SUMIFS(成本费用登记表!$H$4:$H$303,成本费用登记表!$D$4:$D$303,$A44,成本费用登记表!$AC$4:$AC$303,F$4)+SUMIFS(资金日记账!$I$4:$I$603,资金日记账!$G$4:$G$603,$A44,资金日记账!$U$4:$U$603,"&lt;&gt;是",资金日记账!$V$4:$V$603,F$4),2))</f>
        <v/>
      </c>
      <c r="G44" s="41" t="str">
        <f aca="false">IF($A44="","",ROUND(SUMIFS(成本费用登记表!$H$4:$H$303,成本费用登记表!$D$4:$D$303,$A44,成本费用登记表!$AC$4:$AC$303,G$4)+SUMIFS(资金日记账!$I$4:$I$603,资金日记账!$G$4:$G$603,$A44,资金日记账!$U$4:$U$603,"&lt;&gt;是",资金日记账!$V$4:$V$603,G$4),2))</f>
        <v/>
      </c>
      <c r="H44" s="41" t="str">
        <f aca="false">IF($A44="","",ROUND(SUMIFS(成本费用登记表!$H$4:$H$303,成本费用登记表!$D$4:$D$303,$A44,成本费用登记表!$AC$4:$AC$303,H$4)+SUMIFS(资金日记账!$I$4:$I$603,资金日记账!$G$4:$G$603,$A44,资金日记账!$U$4:$U$603,"&lt;&gt;是",资金日记账!$V$4:$V$603,H$4),2))</f>
        <v/>
      </c>
      <c r="I44" s="41" t="str">
        <f aca="false">IF($A44="","",ROUND(SUMIFS(成本费用登记表!$H$4:$H$303,成本费用登记表!$D$4:$D$303,$A44,成本费用登记表!$AC$4:$AC$303,I$4)+SUMIFS(资金日记账!$I$4:$I$603,资金日记账!$G$4:$G$603,$A44,资金日记账!$U$4:$U$603,"&lt;&gt;是",资金日记账!$V$4:$V$603,I$4),2))</f>
        <v/>
      </c>
      <c r="J44" s="41" t="str">
        <f aca="false">IF($A44="","",ROUND(SUMIFS(成本费用登记表!$H$4:$H$303,成本费用登记表!$D$4:$D$303,$A44,成本费用登记表!$AC$4:$AC$303,J$4)+SUMIFS(资金日记账!$I$4:$I$603,资金日记账!$G$4:$G$603,$A44,资金日记账!$U$4:$U$603,"&lt;&gt;是",资金日记账!$V$4:$V$603,J$4),2))</f>
        <v/>
      </c>
      <c r="K44" s="41" t="str">
        <f aca="false">IF($A44="","",ROUND(SUMIFS(成本费用登记表!$H$4:$H$303,成本费用登记表!$D$4:$D$303,$A44,成本费用登记表!$AC$4:$AC$303,K$4)+SUMIFS(资金日记账!$I$4:$I$603,资金日记账!$G$4:$G$603,$A44,资金日记账!$U$4:$U$603,"&lt;&gt;是",资金日记账!$V$4:$V$603,K$4),2))</f>
        <v/>
      </c>
      <c r="L44" s="41" t="str">
        <f aca="false">IF($A44="","",ROUND(SUMIFS(成本费用登记表!$H$4:$H$303,成本费用登记表!$D$4:$D$303,$A44,成本费用登记表!$AC$4:$AC$303,L$4)+SUMIFS(资金日记账!$I$4:$I$603,资金日记账!$G$4:$G$603,$A44,资金日记账!$U$4:$U$603,"&lt;&gt;是",资金日记账!$V$4:$V$603,L$4),2))</f>
        <v/>
      </c>
      <c r="M44" s="41" t="str">
        <f aca="false">IF($A44="","",ROUND(SUMIFS(成本费用登记表!$H$4:$H$303,成本费用登记表!$D$4:$D$303,$A44,成本费用登记表!$AC$4:$AC$303,M$4)+SUMIFS(资金日记账!$I$4:$I$603,资金日记账!$G$4:$G$603,$A44,资金日记账!$U$4:$U$603,"&lt;&gt;是",资金日记账!$V$4:$V$603,M$4),2))</f>
        <v/>
      </c>
      <c r="N44" s="41" t="str">
        <f aca="false">IF($A44="","",ROUND(SUMIFS(成本费用登记表!$H$4:$H$303,成本费用登记表!$D$4:$D$303,$A44,成本费用登记表!$AC$4:$AC$303,N$4)+SUMIFS(资金日记账!$I$4:$I$603,资金日记账!$G$4:$G$603,$A44,资金日记账!$U$4:$U$603,"&lt;&gt;是",资金日记账!$V$4:$V$603,N$4),2))</f>
        <v/>
      </c>
      <c r="O44" s="41" t="str">
        <f aca="false">IF($A44="","",ROUND(SUMIFS(成本费用登记表!$H$4:$H$303,成本费用登记表!$D$4:$D$303,$A44,成本费用登记表!$AC$4:$AC$303,O$4)+SUMIFS(资金日记账!$I$4:$I$603,资金日记账!$G$4:$G$603,$A44,资金日记账!$U$4:$U$603,"&lt;&gt;是",资金日记账!$V$4:$V$603,O$4),2))</f>
        <v/>
      </c>
      <c r="P44" s="41" t="str">
        <f aca="false">IF($A44="","",ROUND(SUMIFS(成本费用登记表!$H$4:$H$303,成本费用登记表!$D$4:$D$303,$A44,成本费用登记表!$AC$4:$AC$303,P$4)+SUMIFS(资金日记账!$I$4:$I$603,资金日记账!$G$4:$G$603,$A44,资金日记账!$U$4:$U$603,"&lt;&gt;是",资金日记账!$V$4:$V$603,P$4),2))</f>
        <v/>
      </c>
      <c r="Q44" s="41" t="str">
        <f aca="false">IF($A44="","",ROUND(SUMIFS(成本费用登记表!$H$4:$H$303,成本费用登记表!$D$4:$D$303,$A44,成本费用登记表!$AC$4:$AC$303,Q$4)+SUMIFS(资金日记账!$I$4:$I$603,资金日记账!$G$4:$G$603,$A44,资金日记账!$U$4:$U$603,"&lt;&gt;是",资金日记账!$V$4:$V$603,Q$4),2))</f>
        <v/>
      </c>
      <c r="R44" s="41" t="str">
        <f aca="false">IF($A44="","",ROUND(SUMIFS(成本费用登记表!$H$4:$H$303,成本费用登记表!$D$4:$D$303,$A44,成本费用登记表!$AC$4:$AC$303,R$4)+SUMIFS(资金日记账!$I$4:$I$603,资金日记账!$G$4:$G$603,$A44,资金日记账!$U$4:$U$603,"&lt;&gt;是",资金日记账!$V$4:$V$603,R$4),2))</f>
        <v/>
      </c>
      <c r="S44" s="41" t="str">
        <f aca="false">IF($A44="","",ROUND(SUMIFS(成本费用登记表!$H$4:$H$303,成本费用登记表!$D$4:$D$303,$A44,成本费用登记表!$AC$4:$AC$303,S$4)+SUMIFS(资金日记账!$I$4:$I$603,资金日记账!$G$4:$G$603,$A44,资金日记账!$U$4:$U$603,"&lt;&gt;是",资金日记账!$V$4:$V$603,S$4),2))</f>
        <v/>
      </c>
      <c r="T44" s="41" t="str">
        <f aca="false">IF($A44="","",ROUND(SUMIFS(成本费用登记表!$H$4:$H$303,成本费用登记表!$D$4:$D$303,$A44,成本费用登记表!$AC$4:$AC$303,T$4)+SUMIFS(资金日记账!$I$4:$I$603,资金日记账!$G$4:$G$603,$A44,资金日记账!$U$4:$U$603,"&lt;&gt;是",资金日记账!$V$4:$V$603,T$4),2))</f>
        <v/>
      </c>
      <c r="U44" s="41" t="str">
        <f aca="false">IF($A44="","",ROUND(SUMIFS(成本费用登记表!$H$4:$H$303,成本费用登记表!$D$4:$D$303,$A44,成本费用登记表!$AC$4:$AC$303,U$4)+SUMIFS(资金日记账!$I$4:$I$603,资金日记账!$G$4:$G$603,$A44,资金日记账!$U$4:$U$603,"&lt;&gt;是",资金日记账!$V$4:$V$603,U$4),2))</f>
        <v/>
      </c>
      <c r="V44" s="41" t="str">
        <f aca="false">IF($A44="","",ROUND(SUMIFS(成本费用登记表!$H$4:$H$303,成本费用登记表!$D$4:$D$303,$A44,成本费用登记表!$AC$4:$AC$303,V$4)+SUMIFS(资金日记账!$I$4:$I$603,资金日记账!$G$4:$G$603,$A44,资金日记账!$U$4:$U$603,"&lt;&gt;是",资金日记账!$V$4:$V$603,V$4),2))</f>
        <v/>
      </c>
      <c r="W44" s="41" t="str">
        <f aca="false">IF($A44="","",ROUND(SUMIFS(成本费用登记表!$H$4:$H$303,成本费用登记表!$D$4:$D$303,$A44,成本费用登记表!$AC$4:$AC$303,W$4)+SUMIFS(资金日记账!$I$4:$I$603,资金日记账!$G$4:$G$603,$A44,资金日记账!$U$4:$U$603,"&lt;&gt;是",资金日记账!$V$4:$V$603,W$4),2))</f>
        <v/>
      </c>
      <c r="X44" s="41" t="str">
        <f aca="false">IF($A44="","",ROUND(SUMIFS(成本费用登记表!$H$4:$H$303,成本费用登记表!$D$4:$D$303,$A44,成本费用登记表!$AC$4:$AC$303,X$4)+SUMIFS(资金日记账!$I$4:$I$603,资金日记账!$G$4:$G$603,$A44,资金日记账!$U$4:$U$603,"&lt;&gt;是",资金日记账!$V$4:$V$603,X$4),2))</f>
        <v/>
      </c>
      <c r="Y44" s="41" t="str">
        <f aca="false">IF($A44="","",ROUND(SUMIFS(成本费用登记表!$H$4:$H$303,成本费用登记表!$D$4:$D$303,$A44,成本费用登记表!$AC$4:$AC$303,Y$4)+SUMIFS(资金日记账!$I$4:$I$603,资金日记账!$G$4:$G$603,$A44,资金日记账!$U$4:$U$603,"&lt;&gt;是",资金日记账!$V$4:$V$603,Y$4),2))</f>
        <v/>
      </c>
      <c r="Z44" s="142" t="str">
        <f aca="false">IF($A44="","",ROUND(SUM($B44:$Y44),2))</f>
        <v/>
      </c>
      <c r="AA44" s="41" t="str">
        <f aca="false">IF($A44="","",ROUND(SUMIF(成本费用登记表!$D$4:$D$303,$A44,成本费用登记表!$AA$4:$AA$303)+SUMIFS(资金日记账!$I$4:$I$603,资金日记账!$G$4:$G$603,$A44,资金日记账!$U$4:$U$603,"&lt;&gt;是"),2))</f>
        <v/>
      </c>
      <c r="AB44" s="41" t="str">
        <f aca="false">IF($A44="","",ROUND(N($Z44)-N($AA44),2))</f>
        <v/>
      </c>
    </row>
    <row r="45" customFormat="false" ht="13.5" hidden="false" customHeight="false" outlineLevel="0" collapsed="false">
      <c r="A45" s="33" t="str">
        <f aca="false">IFERROR(INDEX(_自动清单!$X$4:$X$63,41),"")</f>
        <v/>
      </c>
      <c r="B45" s="41" t="str">
        <f aca="false">IF($A45="","",ROUND(SUMIFS(成本费用登记表!$H$4:$H$303,成本费用登记表!$D$4:$D$303,$A45,成本费用登记表!$AC$4:$AC$303,B$4)+SUMIFS(资金日记账!$I$4:$I$603,资金日记账!$G$4:$G$603,$A45,资金日记账!$U$4:$U$603,"&lt;&gt;是",资金日记账!$V$4:$V$603,B$4),2))</f>
        <v/>
      </c>
      <c r="C45" s="41" t="str">
        <f aca="false">IF($A45="","",ROUND(SUMIFS(成本费用登记表!$H$4:$H$303,成本费用登记表!$D$4:$D$303,$A45,成本费用登记表!$AC$4:$AC$303,C$4)+SUMIFS(资金日记账!$I$4:$I$603,资金日记账!$G$4:$G$603,$A45,资金日记账!$U$4:$U$603,"&lt;&gt;是",资金日记账!$V$4:$V$603,C$4),2))</f>
        <v/>
      </c>
      <c r="D45" s="41" t="str">
        <f aca="false">IF($A45="","",ROUND(SUMIFS(成本费用登记表!$H$4:$H$303,成本费用登记表!$D$4:$D$303,$A45,成本费用登记表!$AC$4:$AC$303,D$4)+SUMIFS(资金日记账!$I$4:$I$603,资金日记账!$G$4:$G$603,$A45,资金日记账!$U$4:$U$603,"&lt;&gt;是",资金日记账!$V$4:$V$603,D$4),2))</f>
        <v/>
      </c>
      <c r="E45" s="41" t="str">
        <f aca="false">IF($A45="","",ROUND(SUMIFS(成本费用登记表!$H$4:$H$303,成本费用登记表!$D$4:$D$303,$A45,成本费用登记表!$AC$4:$AC$303,E$4)+SUMIFS(资金日记账!$I$4:$I$603,资金日记账!$G$4:$G$603,$A45,资金日记账!$U$4:$U$603,"&lt;&gt;是",资金日记账!$V$4:$V$603,E$4),2))</f>
        <v/>
      </c>
      <c r="F45" s="41" t="str">
        <f aca="false">IF($A45="","",ROUND(SUMIFS(成本费用登记表!$H$4:$H$303,成本费用登记表!$D$4:$D$303,$A45,成本费用登记表!$AC$4:$AC$303,F$4)+SUMIFS(资金日记账!$I$4:$I$603,资金日记账!$G$4:$G$603,$A45,资金日记账!$U$4:$U$603,"&lt;&gt;是",资金日记账!$V$4:$V$603,F$4),2))</f>
        <v/>
      </c>
      <c r="G45" s="41" t="str">
        <f aca="false">IF($A45="","",ROUND(SUMIFS(成本费用登记表!$H$4:$H$303,成本费用登记表!$D$4:$D$303,$A45,成本费用登记表!$AC$4:$AC$303,G$4)+SUMIFS(资金日记账!$I$4:$I$603,资金日记账!$G$4:$G$603,$A45,资金日记账!$U$4:$U$603,"&lt;&gt;是",资金日记账!$V$4:$V$603,G$4),2))</f>
        <v/>
      </c>
      <c r="H45" s="41" t="str">
        <f aca="false">IF($A45="","",ROUND(SUMIFS(成本费用登记表!$H$4:$H$303,成本费用登记表!$D$4:$D$303,$A45,成本费用登记表!$AC$4:$AC$303,H$4)+SUMIFS(资金日记账!$I$4:$I$603,资金日记账!$G$4:$G$603,$A45,资金日记账!$U$4:$U$603,"&lt;&gt;是",资金日记账!$V$4:$V$603,H$4),2))</f>
        <v/>
      </c>
      <c r="I45" s="41" t="str">
        <f aca="false">IF($A45="","",ROUND(SUMIFS(成本费用登记表!$H$4:$H$303,成本费用登记表!$D$4:$D$303,$A45,成本费用登记表!$AC$4:$AC$303,I$4)+SUMIFS(资金日记账!$I$4:$I$603,资金日记账!$G$4:$G$603,$A45,资金日记账!$U$4:$U$603,"&lt;&gt;是",资金日记账!$V$4:$V$603,I$4),2))</f>
        <v/>
      </c>
      <c r="J45" s="41" t="str">
        <f aca="false">IF($A45="","",ROUND(SUMIFS(成本费用登记表!$H$4:$H$303,成本费用登记表!$D$4:$D$303,$A45,成本费用登记表!$AC$4:$AC$303,J$4)+SUMIFS(资金日记账!$I$4:$I$603,资金日记账!$G$4:$G$603,$A45,资金日记账!$U$4:$U$603,"&lt;&gt;是",资金日记账!$V$4:$V$603,J$4),2))</f>
        <v/>
      </c>
      <c r="K45" s="41" t="str">
        <f aca="false">IF($A45="","",ROUND(SUMIFS(成本费用登记表!$H$4:$H$303,成本费用登记表!$D$4:$D$303,$A45,成本费用登记表!$AC$4:$AC$303,K$4)+SUMIFS(资金日记账!$I$4:$I$603,资金日记账!$G$4:$G$603,$A45,资金日记账!$U$4:$U$603,"&lt;&gt;是",资金日记账!$V$4:$V$603,K$4),2))</f>
        <v/>
      </c>
      <c r="L45" s="41" t="str">
        <f aca="false">IF($A45="","",ROUND(SUMIFS(成本费用登记表!$H$4:$H$303,成本费用登记表!$D$4:$D$303,$A45,成本费用登记表!$AC$4:$AC$303,L$4)+SUMIFS(资金日记账!$I$4:$I$603,资金日记账!$G$4:$G$603,$A45,资金日记账!$U$4:$U$603,"&lt;&gt;是",资金日记账!$V$4:$V$603,L$4),2))</f>
        <v/>
      </c>
      <c r="M45" s="41" t="str">
        <f aca="false">IF($A45="","",ROUND(SUMIFS(成本费用登记表!$H$4:$H$303,成本费用登记表!$D$4:$D$303,$A45,成本费用登记表!$AC$4:$AC$303,M$4)+SUMIFS(资金日记账!$I$4:$I$603,资金日记账!$G$4:$G$603,$A45,资金日记账!$U$4:$U$603,"&lt;&gt;是",资金日记账!$V$4:$V$603,M$4),2))</f>
        <v/>
      </c>
      <c r="N45" s="41" t="str">
        <f aca="false">IF($A45="","",ROUND(SUMIFS(成本费用登记表!$H$4:$H$303,成本费用登记表!$D$4:$D$303,$A45,成本费用登记表!$AC$4:$AC$303,N$4)+SUMIFS(资金日记账!$I$4:$I$603,资金日记账!$G$4:$G$603,$A45,资金日记账!$U$4:$U$603,"&lt;&gt;是",资金日记账!$V$4:$V$603,N$4),2))</f>
        <v/>
      </c>
      <c r="O45" s="41" t="str">
        <f aca="false">IF($A45="","",ROUND(SUMIFS(成本费用登记表!$H$4:$H$303,成本费用登记表!$D$4:$D$303,$A45,成本费用登记表!$AC$4:$AC$303,O$4)+SUMIFS(资金日记账!$I$4:$I$603,资金日记账!$G$4:$G$603,$A45,资金日记账!$U$4:$U$603,"&lt;&gt;是",资金日记账!$V$4:$V$603,O$4),2))</f>
        <v/>
      </c>
      <c r="P45" s="41" t="str">
        <f aca="false">IF($A45="","",ROUND(SUMIFS(成本费用登记表!$H$4:$H$303,成本费用登记表!$D$4:$D$303,$A45,成本费用登记表!$AC$4:$AC$303,P$4)+SUMIFS(资金日记账!$I$4:$I$603,资金日记账!$G$4:$G$603,$A45,资金日记账!$U$4:$U$603,"&lt;&gt;是",资金日记账!$V$4:$V$603,P$4),2))</f>
        <v/>
      </c>
      <c r="Q45" s="41" t="str">
        <f aca="false">IF($A45="","",ROUND(SUMIFS(成本费用登记表!$H$4:$H$303,成本费用登记表!$D$4:$D$303,$A45,成本费用登记表!$AC$4:$AC$303,Q$4)+SUMIFS(资金日记账!$I$4:$I$603,资金日记账!$G$4:$G$603,$A45,资金日记账!$U$4:$U$603,"&lt;&gt;是",资金日记账!$V$4:$V$603,Q$4),2))</f>
        <v/>
      </c>
      <c r="R45" s="41" t="str">
        <f aca="false">IF($A45="","",ROUND(SUMIFS(成本费用登记表!$H$4:$H$303,成本费用登记表!$D$4:$D$303,$A45,成本费用登记表!$AC$4:$AC$303,R$4)+SUMIFS(资金日记账!$I$4:$I$603,资金日记账!$G$4:$G$603,$A45,资金日记账!$U$4:$U$603,"&lt;&gt;是",资金日记账!$V$4:$V$603,R$4),2))</f>
        <v/>
      </c>
      <c r="S45" s="41" t="str">
        <f aca="false">IF($A45="","",ROUND(SUMIFS(成本费用登记表!$H$4:$H$303,成本费用登记表!$D$4:$D$303,$A45,成本费用登记表!$AC$4:$AC$303,S$4)+SUMIFS(资金日记账!$I$4:$I$603,资金日记账!$G$4:$G$603,$A45,资金日记账!$U$4:$U$603,"&lt;&gt;是",资金日记账!$V$4:$V$603,S$4),2))</f>
        <v/>
      </c>
      <c r="T45" s="41" t="str">
        <f aca="false">IF($A45="","",ROUND(SUMIFS(成本费用登记表!$H$4:$H$303,成本费用登记表!$D$4:$D$303,$A45,成本费用登记表!$AC$4:$AC$303,T$4)+SUMIFS(资金日记账!$I$4:$I$603,资金日记账!$G$4:$G$603,$A45,资金日记账!$U$4:$U$603,"&lt;&gt;是",资金日记账!$V$4:$V$603,T$4),2))</f>
        <v/>
      </c>
      <c r="U45" s="41" t="str">
        <f aca="false">IF($A45="","",ROUND(SUMIFS(成本费用登记表!$H$4:$H$303,成本费用登记表!$D$4:$D$303,$A45,成本费用登记表!$AC$4:$AC$303,U$4)+SUMIFS(资金日记账!$I$4:$I$603,资金日记账!$G$4:$G$603,$A45,资金日记账!$U$4:$U$603,"&lt;&gt;是",资金日记账!$V$4:$V$603,U$4),2))</f>
        <v/>
      </c>
      <c r="V45" s="41" t="str">
        <f aca="false">IF($A45="","",ROUND(SUMIFS(成本费用登记表!$H$4:$H$303,成本费用登记表!$D$4:$D$303,$A45,成本费用登记表!$AC$4:$AC$303,V$4)+SUMIFS(资金日记账!$I$4:$I$603,资金日记账!$G$4:$G$603,$A45,资金日记账!$U$4:$U$603,"&lt;&gt;是",资金日记账!$V$4:$V$603,V$4),2))</f>
        <v/>
      </c>
      <c r="W45" s="41" t="str">
        <f aca="false">IF($A45="","",ROUND(SUMIFS(成本费用登记表!$H$4:$H$303,成本费用登记表!$D$4:$D$303,$A45,成本费用登记表!$AC$4:$AC$303,W$4)+SUMIFS(资金日记账!$I$4:$I$603,资金日记账!$G$4:$G$603,$A45,资金日记账!$U$4:$U$603,"&lt;&gt;是",资金日记账!$V$4:$V$603,W$4),2))</f>
        <v/>
      </c>
      <c r="X45" s="41" t="str">
        <f aca="false">IF($A45="","",ROUND(SUMIFS(成本费用登记表!$H$4:$H$303,成本费用登记表!$D$4:$D$303,$A45,成本费用登记表!$AC$4:$AC$303,X$4)+SUMIFS(资金日记账!$I$4:$I$603,资金日记账!$G$4:$G$603,$A45,资金日记账!$U$4:$U$603,"&lt;&gt;是",资金日记账!$V$4:$V$603,X$4),2))</f>
        <v/>
      </c>
      <c r="Y45" s="41" t="str">
        <f aca="false">IF($A45="","",ROUND(SUMIFS(成本费用登记表!$H$4:$H$303,成本费用登记表!$D$4:$D$303,$A45,成本费用登记表!$AC$4:$AC$303,Y$4)+SUMIFS(资金日记账!$I$4:$I$603,资金日记账!$G$4:$G$603,$A45,资金日记账!$U$4:$U$603,"&lt;&gt;是",资金日记账!$V$4:$V$603,Y$4),2))</f>
        <v/>
      </c>
      <c r="Z45" s="142" t="str">
        <f aca="false">IF($A45="","",ROUND(SUM($B45:$Y45),2))</f>
        <v/>
      </c>
      <c r="AA45" s="41" t="str">
        <f aca="false">IF($A45="","",ROUND(SUMIF(成本费用登记表!$D$4:$D$303,$A45,成本费用登记表!$AA$4:$AA$303)+SUMIFS(资金日记账!$I$4:$I$603,资金日记账!$G$4:$G$603,$A45,资金日记账!$U$4:$U$603,"&lt;&gt;是"),2))</f>
        <v/>
      </c>
      <c r="AB45" s="41" t="str">
        <f aca="false">IF($A45="","",ROUND(N($Z45)-N($AA45),2))</f>
        <v/>
      </c>
    </row>
    <row r="46" customFormat="false" ht="13.5" hidden="false" customHeight="false" outlineLevel="0" collapsed="false">
      <c r="A46" s="33" t="str">
        <f aca="false">IFERROR(INDEX(_自动清单!$X$4:$X$63,42),"")</f>
        <v/>
      </c>
      <c r="B46" s="41" t="str">
        <f aca="false">IF($A46="","",ROUND(SUMIFS(成本费用登记表!$H$4:$H$303,成本费用登记表!$D$4:$D$303,$A46,成本费用登记表!$AC$4:$AC$303,B$4)+SUMIFS(资金日记账!$I$4:$I$603,资金日记账!$G$4:$G$603,$A46,资金日记账!$U$4:$U$603,"&lt;&gt;是",资金日记账!$V$4:$V$603,B$4),2))</f>
        <v/>
      </c>
      <c r="C46" s="41" t="str">
        <f aca="false">IF($A46="","",ROUND(SUMIFS(成本费用登记表!$H$4:$H$303,成本费用登记表!$D$4:$D$303,$A46,成本费用登记表!$AC$4:$AC$303,C$4)+SUMIFS(资金日记账!$I$4:$I$603,资金日记账!$G$4:$G$603,$A46,资金日记账!$U$4:$U$603,"&lt;&gt;是",资金日记账!$V$4:$V$603,C$4),2))</f>
        <v/>
      </c>
      <c r="D46" s="41" t="str">
        <f aca="false">IF($A46="","",ROUND(SUMIFS(成本费用登记表!$H$4:$H$303,成本费用登记表!$D$4:$D$303,$A46,成本费用登记表!$AC$4:$AC$303,D$4)+SUMIFS(资金日记账!$I$4:$I$603,资金日记账!$G$4:$G$603,$A46,资金日记账!$U$4:$U$603,"&lt;&gt;是",资金日记账!$V$4:$V$603,D$4),2))</f>
        <v/>
      </c>
      <c r="E46" s="41" t="str">
        <f aca="false">IF($A46="","",ROUND(SUMIFS(成本费用登记表!$H$4:$H$303,成本费用登记表!$D$4:$D$303,$A46,成本费用登记表!$AC$4:$AC$303,E$4)+SUMIFS(资金日记账!$I$4:$I$603,资金日记账!$G$4:$G$603,$A46,资金日记账!$U$4:$U$603,"&lt;&gt;是",资金日记账!$V$4:$V$603,E$4),2))</f>
        <v/>
      </c>
      <c r="F46" s="41" t="str">
        <f aca="false">IF($A46="","",ROUND(SUMIFS(成本费用登记表!$H$4:$H$303,成本费用登记表!$D$4:$D$303,$A46,成本费用登记表!$AC$4:$AC$303,F$4)+SUMIFS(资金日记账!$I$4:$I$603,资金日记账!$G$4:$G$603,$A46,资金日记账!$U$4:$U$603,"&lt;&gt;是",资金日记账!$V$4:$V$603,F$4),2))</f>
        <v/>
      </c>
      <c r="G46" s="41" t="str">
        <f aca="false">IF($A46="","",ROUND(SUMIFS(成本费用登记表!$H$4:$H$303,成本费用登记表!$D$4:$D$303,$A46,成本费用登记表!$AC$4:$AC$303,G$4)+SUMIFS(资金日记账!$I$4:$I$603,资金日记账!$G$4:$G$603,$A46,资金日记账!$U$4:$U$603,"&lt;&gt;是",资金日记账!$V$4:$V$603,G$4),2))</f>
        <v/>
      </c>
      <c r="H46" s="41" t="str">
        <f aca="false">IF($A46="","",ROUND(SUMIFS(成本费用登记表!$H$4:$H$303,成本费用登记表!$D$4:$D$303,$A46,成本费用登记表!$AC$4:$AC$303,H$4)+SUMIFS(资金日记账!$I$4:$I$603,资金日记账!$G$4:$G$603,$A46,资金日记账!$U$4:$U$603,"&lt;&gt;是",资金日记账!$V$4:$V$603,H$4),2))</f>
        <v/>
      </c>
      <c r="I46" s="41" t="str">
        <f aca="false">IF($A46="","",ROUND(SUMIFS(成本费用登记表!$H$4:$H$303,成本费用登记表!$D$4:$D$303,$A46,成本费用登记表!$AC$4:$AC$303,I$4)+SUMIFS(资金日记账!$I$4:$I$603,资金日记账!$G$4:$G$603,$A46,资金日记账!$U$4:$U$603,"&lt;&gt;是",资金日记账!$V$4:$V$603,I$4),2))</f>
        <v/>
      </c>
      <c r="J46" s="41" t="str">
        <f aca="false">IF($A46="","",ROUND(SUMIFS(成本费用登记表!$H$4:$H$303,成本费用登记表!$D$4:$D$303,$A46,成本费用登记表!$AC$4:$AC$303,J$4)+SUMIFS(资金日记账!$I$4:$I$603,资金日记账!$G$4:$G$603,$A46,资金日记账!$U$4:$U$603,"&lt;&gt;是",资金日记账!$V$4:$V$603,J$4),2))</f>
        <v/>
      </c>
      <c r="K46" s="41" t="str">
        <f aca="false">IF($A46="","",ROUND(SUMIFS(成本费用登记表!$H$4:$H$303,成本费用登记表!$D$4:$D$303,$A46,成本费用登记表!$AC$4:$AC$303,K$4)+SUMIFS(资金日记账!$I$4:$I$603,资金日记账!$G$4:$G$603,$A46,资金日记账!$U$4:$U$603,"&lt;&gt;是",资金日记账!$V$4:$V$603,K$4),2))</f>
        <v/>
      </c>
      <c r="L46" s="41" t="str">
        <f aca="false">IF($A46="","",ROUND(SUMIFS(成本费用登记表!$H$4:$H$303,成本费用登记表!$D$4:$D$303,$A46,成本费用登记表!$AC$4:$AC$303,L$4)+SUMIFS(资金日记账!$I$4:$I$603,资金日记账!$G$4:$G$603,$A46,资金日记账!$U$4:$U$603,"&lt;&gt;是",资金日记账!$V$4:$V$603,L$4),2))</f>
        <v/>
      </c>
      <c r="M46" s="41" t="str">
        <f aca="false">IF($A46="","",ROUND(SUMIFS(成本费用登记表!$H$4:$H$303,成本费用登记表!$D$4:$D$303,$A46,成本费用登记表!$AC$4:$AC$303,M$4)+SUMIFS(资金日记账!$I$4:$I$603,资金日记账!$G$4:$G$603,$A46,资金日记账!$U$4:$U$603,"&lt;&gt;是",资金日记账!$V$4:$V$603,M$4),2))</f>
        <v/>
      </c>
      <c r="N46" s="41" t="str">
        <f aca="false">IF($A46="","",ROUND(SUMIFS(成本费用登记表!$H$4:$H$303,成本费用登记表!$D$4:$D$303,$A46,成本费用登记表!$AC$4:$AC$303,N$4)+SUMIFS(资金日记账!$I$4:$I$603,资金日记账!$G$4:$G$603,$A46,资金日记账!$U$4:$U$603,"&lt;&gt;是",资金日记账!$V$4:$V$603,N$4),2))</f>
        <v/>
      </c>
      <c r="O46" s="41" t="str">
        <f aca="false">IF($A46="","",ROUND(SUMIFS(成本费用登记表!$H$4:$H$303,成本费用登记表!$D$4:$D$303,$A46,成本费用登记表!$AC$4:$AC$303,O$4)+SUMIFS(资金日记账!$I$4:$I$603,资金日记账!$G$4:$G$603,$A46,资金日记账!$U$4:$U$603,"&lt;&gt;是",资金日记账!$V$4:$V$603,O$4),2))</f>
        <v/>
      </c>
      <c r="P46" s="41" t="str">
        <f aca="false">IF($A46="","",ROUND(SUMIFS(成本费用登记表!$H$4:$H$303,成本费用登记表!$D$4:$D$303,$A46,成本费用登记表!$AC$4:$AC$303,P$4)+SUMIFS(资金日记账!$I$4:$I$603,资金日记账!$G$4:$G$603,$A46,资金日记账!$U$4:$U$603,"&lt;&gt;是",资金日记账!$V$4:$V$603,P$4),2))</f>
        <v/>
      </c>
      <c r="Q46" s="41" t="str">
        <f aca="false">IF($A46="","",ROUND(SUMIFS(成本费用登记表!$H$4:$H$303,成本费用登记表!$D$4:$D$303,$A46,成本费用登记表!$AC$4:$AC$303,Q$4)+SUMIFS(资金日记账!$I$4:$I$603,资金日记账!$G$4:$G$603,$A46,资金日记账!$U$4:$U$603,"&lt;&gt;是",资金日记账!$V$4:$V$603,Q$4),2))</f>
        <v/>
      </c>
      <c r="R46" s="41" t="str">
        <f aca="false">IF($A46="","",ROUND(SUMIFS(成本费用登记表!$H$4:$H$303,成本费用登记表!$D$4:$D$303,$A46,成本费用登记表!$AC$4:$AC$303,R$4)+SUMIFS(资金日记账!$I$4:$I$603,资金日记账!$G$4:$G$603,$A46,资金日记账!$U$4:$U$603,"&lt;&gt;是",资金日记账!$V$4:$V$603,R$4),2))</f>
        <v/>
      </c>
      <c r="S46" s="41" t="str">
        <f aca="false">IF($A46="","",ROUND(SUMIFS(成本费用登记表!$H$4:$H$303,成本费用登记表!$D$4:$D$303,$A46,成本费用登记表!$AC$4:$AC$303,S$4)+SUMIFS(资金日记账!$I$4:$I$603,资金日记账!$G$4:$G$603,$A46,资金日记账!$U$4:$U$603,"&lt;&gt;是",资金日记账!$V$4:$V$603,S$4),2))</f>
        <v/>
      </c>
      <c r="T46" s="41" t="str">
        <f aca="false">IF($A46="","",ROUND(SUMIFS(成本费用登记表!$H$4:$H$303,成本费用登记表!$D$4:$D$303,$A46,成本费用登记表!$AC$4:$AC$303,T$4)+SUMIFS(资金日记账!$I$4:$I$603,资金日记账!$G$4:$G$603,$A46,资金日记账!$U$4:$U$603,"&lt;&gt;是",资金日记账!$V$4:$V$603,T$4),2))</f>
        <v/>
      </c>
      <c r="U46" s="41" t="str">
        <f aca="false">IF($A46="","",ROUND(SUMIFS(成本费用登记表!$H$4:$H$303,成本费用登记表!$D$4:$D$303,$A46,成本费用登记表!$AC$4:$AC$303,U$4)+SUMIFS(资金日记账!$I$4:$I$603,资金日记账!$G$4:$G$603,$A46,资金日记账!$U$4:$U$603,"&lt;&gt;是",资金日记账!$V$4:$V$603,U$4),2))</f>
        <v/>
      </c>
      <c r="V46" s="41" t="str">
        <f aca="false">IF($A46="","",ROUND(SUMIFS(成本费用登记表!$H$4:$H$303,成本费用登记表!$D$4:$D$303,$A46,成本费用登记表!$AC$4:$AC$303,V$4)+SUMIFS(资金日记账!$I$4:$I$603,资金日记账!$G$4:$G$603,$A46,资金日记账!$U$4:$U$603,"&lt;&gt;是",资金日记账!$V$4:$V$603,V$4),2))</f>
        <v/>
      </c>
      <c r="W46" s="41" t="str">
        <f aca="false">IF($A46="","",ROUND(SUMIFS(成本费用登记表!$H$4:$H$303,成本费用登记表!$D$4:$D$303,$A46,成本费用登记表!$AC$4:$AC$303,W$4)+SUMIFS(资金日记账!$I$4:$I$603,资金日记账!$G$4:$G$603,$A46,资金日记账!$U$4:$U$603,"&lt;&gt;是",资金日记账!$V$4:$V$603,W$4),2))</f>
        <v/>
      </c>
      <c r="X46" s="41" t="str">
        <f aca="false">IF($A46="","",ROUND(SUMIFS(成本费用登记表!$H$4:$H$303,成本费用登记表!$D$4:$D$303,$A46,成本费用登记表!$AC$4:$AC$303,X$4)+SUMIFS(资金日记账!$I$4:$I$603,资金日记账!$G$4:$G$603,$A46,资金日记账!$U$4:$U$603,"&lt;&gt;是",资金日记账!$V$4:$V$603,X$4),2))</f>
        <v/>
      </c>
      <c r="Y46" s="41" t="str">
        <f aca="false">IF($A46="","",ROUND(SUMIFS(成本费用登记表!$H$4:$H$303,成本费用登记表!$D$4:$D$303,$A46,成本费用登记表!$AC$4:$AC$303,Y$4)+SUMIFS(资金日记账!$I$4:$I$603,资金日记账!$G$4:$G$603,$A46,资金日记账!$U$4:$U$603,"&lt;&gt;是",资金日记账!$V$4:$V$603,Y$4),2))</f>
        <v/>
      </c>
      <c r="Z46" s="142" t="str">
        <f aca="false">IF($A46="","",ROUND(SUM($B46:$Y46),2))</f>
        <v/>
      </c>
      <c r="AA46" s="41" t="str">
        <f aca="false">IF($A46="","",ROUND(SUMIF(成本费用登记表!$D$4:$D$303,$A46,成本费用登记表!$AA$4:$AA$303)+SUMIFS(资金日记账!$I$4:$I$603,资金日记账!$G$4:$G$603,$A46,资金日记账!$U$4:$U$603,"&lt;&gt;是"),2))</f>
        <v/>
      </c>
      <c r="AB46" s="41" t="str">
        <f aca="false">IF($A46="","",ROUND(N($Z46)-N($AA46),2))</f>
        <v/>
      </c>
    </row>
    <row r="47" customFormat="false" ht="13.5" hidden="false" customHeight="false" outlineLevel="0" collapsed="false">
      <c r="A47" s="33" t="str">
        <f aca="false">IFERROR(INDEX(_自动清单!$X$4:$X$63,43),"")</f>
        <v/>
      </c>
      <c r="B47" s="41" t="str">
        <f aca="false">IF($A47="","",ROUND(SUMIFS(成本费用登记表!$H$4:$H$303,成本费用登记表!$D$4:$D$303,$A47,成本费用登记表!$AC$4:$AC$303,B$4)+SUMIFS(资金日记账!$I$4:$I$603,资金日记账!$G$4:$G$603,$A47,资金日记账!$U$4:$U$603,"&lt;&gt;是",资金日记账!$V$4:$V$603,B$4),2))</f>
        <v/>
      </c>
      <c r="C47" s="41" t="str">
        <f aca="false">IF($A47="","",ROUND(SUMIFS(成本费用登记表!$H$4:$H$303,成本费用登记表!$D$4:$D$303,$A47,成本费用登记表!$AC$4:$AC$303,C$4)+SUMIFS(资金日记账!$I$4:$I$603,资金日记账!$G$4:$G$603,$A47,资金日记账!$U$4:$U$603,"&lt;&gt;是",资金日记账!$V$4:$V$603,C$4),2))</f>
        <v/>
      </c>
      <c r="D47" s="41" t="str">
        <f aca="false">IF($A47="","",ROUND(SUMIFS(成本费用登记表!$H$4:$H$303,成本费用登记表!$D$4:$D$303,$A47,成本费用登记表!$AC$4:$AC$303,D$4)+SUMIFS(资金日记账!$I$4:$I$603,资金日记账!$G$4:$G$603,$A47,资金日记账!$U$4:$U$603,"&lt;&gt;是",资金日记账!$V$4:$V$603,D$4),2))</f>
        <v/>
      </c>
      <c r="E47" s="41" t="str">
        <f aca="false">IF($A47="","",ROUND(SUMIFS(成本费用登记表!$H$4:$H$303,成本费用登记表!$D$4:$D$303,$A47,成本费用登记表!$AC$4:$AC$303,E$4)+SUMIFS(资金日记账!$I$4:$I$603,资金日记账!$G$4:$G$603,$A47,资金日记账!$U$4:$U$603,"&lt;&gt;是",资金日记账!$V$4:$V$603,E$4),2))</f>
        <v/>
      </c>
      <c r="F47" s="41" t="str">
        <f aca="false">IF($A47="","",ROUND(SUMIFS(成本费用登记表!$H$4:$H$303,成本费用登记表!$D$4:$D$303,$A47,成本费用登记表!$AC$4:$AC$303,F$4)+SUMIFS(资金日记账!$I$4:$I$603,资金日记账!$G$4:$G$603,$A47,资金日记账!$U$4:$U$603,"&lt;&gt;是",资金日记账!$V$4:$V$603,F$4),2))</f>
        <v/>
      </c>
      <c r="G47" s="41" t="str">
        <f aca="false">IF($A47="","",ROUND(SUMIFS(成本费用登记表!$H$4:$H$303,成本费用登记表!$D$4:$D$303,$A47,成本费用登记表!$AC$4:$AC$303,G$4)+SUMIFS(资金日记账!$I$4:$I$603,资金日记账!$G$4:$G$603,$A47,资金日记账!$U$4:$U$603,"&lt;&gt;是",资金日记账!$V$4:$V$603,G$4),2))</f>
        <v/>
      </c>
      <c r="H47" s="41" t="str">
        <f aca="false">IF($A47="","",ROUND(SUMIFS(成本费用登记表!$H$4:$H$303,成本费用登记表!$D$4:$D$303,$A47,成本费用登记表!$AC$4:$AC$303,H$4)+SUMIFS(资金日记账!$I$4:$I$603,资金日记账!$G$4:$G$603,$A47,资金日记账!$U$4:$U$603,"&lt;&gt;是",资金日记账!$V$4:$V$603,H$4),2))</f>
        <v/>
      </c>
      <c r="I47" s="41" t="str">
        <f aca="false">IF($A47="","",ROUND(SUMIFS(成本费用登记表!$H$4:$H$303,成本费用登记表!$D$4:$D$303,$A47,成本费用登记表!$AC$4:$AC$303,I$4)+SUMIFS(资金日记账!$I$4:$I$603,资金日记账!$G$4:$G$603,$A47,资金日记账!$U$4:$U$603,"&lt;&gt;是",资金日记账!$V$4:$V$603,I$4),2))</f>
        <v/>
      </c>
      <c r="J47" s="41" t="str">
        <f aca="false">IF($A47="","",ROUND(SUMIFS(成本费用登记表!$H$4:$H$303,成本费用登记表!$D$4:$D$303,$A47,成本费用登记表!$AC$4:$AC$303,J$4)+SUMIFS(资金日记账!$I$4:$I$603,资金日记账!$G$4:$G$603,$A47,资金日记账!$U$4:$U$603,"&lt;&gt;是",资金日记账!$V$4:$V$603,J$4),2))</f>
        <v/>
      </c>
      <c r="K47" s="41" t="str">
        <f aca="false">IF($A47="","",ROUND(SUMIFS(成本费用登记表!$H$4:$H$303,成本费用登记表!$D$4:$D$303,$A47,成本费用登记表!$AC$4:$AC$303,K$4)+SUMIFS(资金日记账!$I$4:$I$603,资金日记账!$G$4:$G$603,$A47,资金日记账!$U$4:$U$603,"&lt;&gt;是",资金日记账!$V$4:$V$603,K$4),2))</f>
        <v/>
      </c>
      <c r="L47" s="41" t="str">
        <f aca="false">IF($A47="","",ROUND(SUMIFS(成本费用登记表!$H$4:$H$303,成本费用登记表!$D$4:$D$303,$A47,成本费用登记表!$AC$4:$AC$303,L$4)+SUMIFS(资金日记账!$I$4:$I$603,资金日记账!$G$4:$G$603,$A47,资金日记账!$U$4:$U$603,"&lt;&gt;是",资金日记账!$V$4:$V$603,L$4),2))</f>
        <v/>
      </c>
      <c r="M47" s="41" t="str">
        <f aca="false">IF($A47="","",ROUND(SUMIFS(成本费用登记表!$H$4:$H$303,成本费用登记表!$D$4:$D$303,$A47,成本费用登记表!$AC$4:$AC$303,M$4)+SUMIFS(资金日记账!$I$4:$I$603,资金日记账!$G$4:$G$603,$A47,资金日记账!$U$4:$U$603,"&lt;&gt;是",资金日记账!$V$4:$V$603,M$4),2))</f>
        <v/>
      </c>
      <c r="N47" s="41" t="str">
        <f aca="false">IF($A47="","",ROUND(SUMIFS(成本费用登记表!$H$4:$H$303,成本费用登记表!$D$4:$D$303,$A47,成本费用登记表!$AC$4:$AC$303,N$4)+SUMIFS(资金日记账!$I$4:$I$603,资金日记账!$G$4:$G$603,$A47,资金日记账!$U$4:$U$603,"&lt;&gt;是",资金日记账!$V$4:$V$603,N$4),2))</f>
        <v/>
      </c>
      <c r="O47" s="41" t="str">
        <f aca="false">IF($A47="","",ROUND(SUMIFS(成本费用登记表!$H$4:$H$303,成本费用登记表!$D$4:$D$303,$A47,成本费用登记表!$AC$4:$AC$303,O$4)+SUMIFS(资金日记账!$I$4:$I$603,资金日记账!$G$4:$G$603,$A47,资金日记账!$U$4:$U$603,"&lt;&gt;是",资金日记账!$V$4:$V$603,O$4),2))</f>
        <v/>
      </c>
      <c r="P47" s="41" t="str">
        <f aca="false">IF($A47="","",ROUND(SUMIFS(成本费用登记表!$H$4:$H$303,成本费用登记表!$D$4:$D$303,$A47,成本费用登记表!$AC$4:$AC$303,P$4)+SUMIFS(资金日记账!$I$4:$I$603,资金日记账!$G$4:$G$603,$A47,资金日记账!$U$4:$U$603,"&lt;&gt;是",资金日记账!$V$4:$V$603,P$4),2))</f>
        <v/>
      </c>
      <c r="Q47" s="41" t="str">
        <f aca="false">IF($A47="","",ROUND(SUMIFS(成本费用登记表!$H$4:$H$303,成本费用登记表!$D$4:$D$303,$A47,成本费用登记表!$AC$4:$AC$303,Q$4)+SUMIFS(资金日记账!$I$4:$I$603,资金日记账!$G$4:$G$603,$A47,资金日记账!$U$4:$U$603,"&lt;&gt;是",资金日记账!$V$4:$V$603,Q$4),2))</f>
        <v/>
      </c>
      <c r="R47" s="41" t="str">
        <f aca="false">IF($A47="","",ROUND(SUMIFS(成本费用登记表!$H$4:$H$303,成本费用登记表!$D$4:$D$303,$A47,成本费用登记表!$AC$4:$AC$303,R$4)+SUMIFS(资金日记账!$I$4:$I$603,资金日记账!$G$4:$G$603,$A47,资金日记账!$U$4:$U$603,"&lt;&gt;是",资金日记账!$V$4:$V$603,R$4),2))</f>
        <v/>
      </c>
      <c r="S47" s="41" t="str">
        <f aca="false">IF($A47="","",ROUND(SUMIFS(成本费用登记表!$H$4:$H$303,成本费用登记表!$D$4:$D$303,$A47,成本费用登记表!$AC$4:$AC$303,S$4)+SUMIFS(资金日记账!$I$4:$I$603,资金日记账!$G$4:$G$603,$A47,资金日记账!$U$4:$U$603,"&lt;&gt;是",资金日记账!$V$4:$V$603,S$4),2))</f>
        <v/>
      </c>
      <c r="T47" s="41" t="str">
        <f aca="false">IF($A47="","",ROUND(SUMIFS(成本费用登记表!$H$4:$H$303,成本费用登记表!$D$4:$D$303,$A47,成本费用登记表!$AC$4:$AC$303,T$4)+SUMIFS(资金日记账!$I$4:$I$603,资金日记账!$G$4:$G$603,$A47,资金日记账!$U$4:$U$603,"&lt;&gt;是",资金日记账!$V$4:$V$603,T$4),2))</f>
        <v/>
      </c>
      <c r="U47" s="41" t="str">
        <f aca="false">IF($A47="","",ROUND(SUMIFS(成本费用登记表!$H$4:$H$303,成本费用登记表!$D$4:$D$303,$A47,成本费用登记表!$AC$4:$AC$303,U$4)+SUMIFS(资金日记账!$I$4:$I$603,资金日记账!$G$4:$G$603,$A47,资金日记账!$U$4:$U$603,"&lt;&gt;是",资金日记账!$V$4:$V$603,U$4),2))</f>
        <v/>
      </c>
      <c r="V47" s="41" t="str">
        <f aca="false">IF($A47="","",ROUND(SUMIFS(成本费用登记表!$H$4:$H$303,成本费用登记表!$D$4:$D$303,$A47,成本费用登记表!$AC$4:$AC$303,V$4)+SUMIFS(资金日记账!$I$4:$I$603,资金日记账!$G$4:$G$603,$A47,资金日记账!$U$4:$U$603,"&lt;&gt;是",资金日记账!$V$4:$V$603,V$4),2))</f>
        <v/>
      </c>
      <c r="W47" s="41" t="str">
        <f aca="false">IF($A47="","",ROUND(SUMIFS(成本费用登记表!$H$4:$H$303,成本费用登记表!$D$4:$D$303,$A47,成本费用登记表!$AC$4:$AC$303,W$4)+SUMIFS(资金日记账!$I$4:$I$603,资金日记账!$G$4:$G$603,$A47,资金日记账!$U$4:$U$603,"&lt;&gt;是",资金日记账!$V$4:$V$603,W$4),2))</f>
        <v/>
      </c>
      <c r="X47" s="41" t="str">
        <f aca="false">IF($A47="","",ROUND(SUMIFS(成本费用登记表!$H$4:$H$303,成本费用登记表!$D$4:$D$303,$A47,成本费用登记表!$AC$4:$AC$303,X$4)+SUMIFS(资金日记账!$I$4:$I$603,资金日记账!$G$4:$G$603,$A47,资金日记账!$U$4:$U$603,"&lt;&gt;是",资金日记账!$V$4:$V$603,X$4),2))</f>
        <v/>
      </c>
      <c r="Y47" s="41" t="str">
        <f aca="false">IF($A47="","",ROUND(SUMIFS(成本费用登记表!$H$4:$H$303,成本费用登记表!$D$4:$D$303,$A47,成本费用登记表!$AC$4:$AC$303,Y$4)+SUMIFS(资金日记账!$I$4:$I$603,资金日记账!$G$4:$G$603,$A47,资金日记账!$U$4:$U$603,"&lt;&gt;是",资金日记账!$V$4:$V$603,Y$4),2))</f>
        <v/>
      </c>
      <c r="Z47" s="142" t="str">
        <f aca="false">IF($A47="","",ROUND(SUM($B47:$Y47),2))</f>
        <v/>
      </c>
      <c r="AA47" s="41" t="str">
        <f aca="false">IF($A47="","",ROUND(SUMIF(成本费用登记表!$D$4:$D$303,$A47,成本费用登记表!$AA$4:$AA$303)+SUMIFS(资金日记账!$I$4:$I$603,资金日记账!$G$4:$G$603,$A47,资金日记账!$U$4:$U$603,"&lt;&gt;是"),2))</f>
        <v/>
      </c>
      <c r="AB47" s="41" t="str">
        <f aca="false">IF($A47="","",ROUND(N($Z47)-N($AA47),2))</f>
        <v/>
      </c>
    </row>
    <row r="48" customFormat="false" ht="13.5" hidden="false" customHeight="false" outlineLevel="0" collapsed="false">
      <c r="A48" s="33" t="str">
        <f aca="false">IFERROR(INDEX(_自动清单!$X$4:$X$63,44),"")</f>
        <v/>
      </c>
      <c r="B48" s="41" t="str">
        <f aca="false">IF($A48="","",ROUND(SUMIFS(成本费用登记表!$H$4:$H$303,成本费用登记表!$D$4:$D$303,$A48,成本费用登记表!$AC$4:$AC$303,B$4)+SUMIFS(资金日记账!$I$4:$I$603,资金日记账!$G$4:$G$603,$A48,资金日记账!$U$4:$U$603,"&lt;&gt;是",资金日记账!$V$4:$V$603,B$4),2))</f>
        <v/>
      </c>
      <c r="C48" s="41" t="str">
        <f aca="false">IF($A48="","",ROUND(SUMIFS(成本费用登记表!$H$4:$H$303,成本费用登记表!$D$4:$D$303,$A48,成本费用登记表!$AC$4:$AC$303,C$4)+SUMIFS(资金日记账!$I$4:$I$603,资金日记账!$G$4:$G$603,$A48,资金日记账!$U$4:$U$603,"&lt;&gt;是",资金日记账!$V$4:$V$603,C$4),2))</f>
        <v/>
      </c>
      <c r="D48" s="41" t="str">
        <f aca="false">IF($A48="","",ROUND(SUMIFS(成本费用登记表!$H$4:$H$303,成本费用登记表!$D$4:$D$303,$A48,成本费用登记表!$AC$4:$AC$303,D$4)+SUMIFS(资金日记账!$I$4:$I$603,资金日记账!$G$4:$G$603,$A48,资金日记账!$U$4:$U$603,"&lt;&gt;是",资金日记账!$V$4:$V$603,D$4),2))</f>
        <v/>
      </c>
      <c r="E48" s="41" t="str">
        <f aca="false">IF($A48="","",ROUND(SUMIFS(成本费用登记表!$H$4:$H$303,成本费用登记表!$D$4:$D$303,$A48,成本费用登记表!$AC$4:$AC$303,E$4)+SUMIFS(资金日记账!$I$4:$I$603,资金日记账!$G$4:$G$603,$A48,资金日记账!$U$4:$U$603,"&lt;&gt;是",资金日记账!$V$4:$V$603,E$4),2))</f>
        <v/>
      </c>
      <c r="F48" s="41" t="str">
        <f aca="false">IF($A48="","",ROUND(SUMIFS(成本费用登记表!$H$4:$H$303,成本费用登记表!$D$4:$D$303,$A48,成本费用登记表!$AC$4:$AC$303,F$4)+SUMIFS(资金日记账!$I$4:$I$603,资金日记账!$G$4:$G$603,$A48,资金日记账!$U$4:$U$603,"&lt;&gt;是",资金日记账!$V$4:$V$603,F$4),2))</f>
        <v/>
      </c>
      <c r="G48" s="41" t="str">
        <f aca="false">IF($A48="","",ROUND(SUMIFS(成本费用登记表!$H$4:$H$303,成本费用登记表!$D$4:$D$303,$A48,成本费用登记表!$AC$4:$AC$303,G$4)+SUMIFS(资金日记账!$I$4:$I$603,资金日记账!$G$4:$G$603,$A48,资金日记账!$U$4:$U$603,"&lt;&gt;是",资金日记账!$V$4:$V$603,G$4),2))</f>
        <v/>
      </c>
      <c r="H48" s="41" t="str">
        <f aca="false">IF($A48="","",ROUND(SUMIFS(成本费用登记表!$H$4:$H$303,成本费用登记表!$D$4:$D$303,$A48,成本费用登记表!$AC$4:$AC$303,H$4)+SUMIFS(资金日记账!$I$4:$I$603,资金日记账!$G$4:$G$603,$A48,资金日记账!$U$4:$U$603,"&lt;&gt;是",资金日记账!$V$4:$V$603,H$4),2))</f>
        <v/>
      </c>
      <c r="I48" s="41" t="str">
        <f aca="false">IF($A48="","",ROUND(SUMIFS(成本费用登记表!$H$4:$H$303,成本费用登记表!$D$4:$D$303,$A48,成本费用登记表!$AC$4:$AC$303,I$4)+SUMIFS(资金日记账!$I$4:$I$603,资金日记账!$G$4:$G$603,$A48,资金日记账!$U$4:$U$603,"&lt;&gt;是",资金日记账!$V$4:$V$603,I$4),2))</f>
        <v/>
      </c>
      <c r="J48" s="41" t="str">
        <f aca="false">IF($A48="","",ROUND(SUMIFS(成本费用登记表!$H$4:$H$303,成本费用登记表!$D$4:$D$303,$A48,成本费用登记表!$AC$4:$AC$303,J$4)+SUMIFS(资金日记账!$I$4:$I$603,资金日记账!$G$4:$G$603,$A48,资金日记账!$U$4:$U$603,"&lt;&gt;是",资金日记账!$V$4:$V$603,J$4),2))</f>
        <v/>
      </c>
      <c r="K48" s="41" t="str">
        <f aca="false">IF($A48="","",ROUND(SUMIFS(成本费用登记表!$H$4:$H$303,成本费用登记表!$D$4:$D$303,$A48,成本费用登记表!$AC$4:$AC$303,K$4)+SUMIFS(资金日记账!$I$4:$I$603,资金日记账!$G$4:$G$603,$A48,资金日记账!$U$4:$U$603,"&lt;&gt;是",资金日记账!$V$4:$V$603,K$4),2))</f>
        <v/>
      </c>
      <c r="L48" s="41" t="str">
        <f aca="false">IF($A48="","",ROUND(SUMIFS(成本费用登记表!$H$4:$H$303,成本费用登记表!$D$4:$D$303,$A48,成本费用登记表!$AC$4:$AC$303,L$4)+SUMIFS(资金日记账!$I$4:$I$603,资金日记账!$G$4:$G$603,$A48,资金日记账!$U$4:$U$603,"&lt;&gt;是",资金日记账!$V$4:$V$603,L$4),2))</f>
        <v/>
      </c>
      <c r="M48" s="41" t="str">
        <f aca="false">IF($A48="","",ROUND(SUMIFS(成本费用登记表!$H$4:$H$303,成本费用登记表!$D$4:$D$303,$A48,成本费用登记表!$AC$4:$AC$303,M$4)+SUMIFS(资金日记账!$I$4:$I$603,资金日记账!$G$4:$G$603,$A48,资金日记账!$U$4:$U$603,"&lt;&gt;是",资金日记账!$V$4:$V$603,M$4),2))</f>
        <v/>
      </c>
      <c r="N48" s="41" t="str">
        <f aca="false">IF($A48="","",ROUND(SUMIFS(成本费用登记表!$H$4:$H$303,成本费用登记表!$D$4:$D$303,$A48,成本费用登记表!$AC$4:$AC$303,N$4)+SUMIFS(资金日记账!$I$4:$I$603,资金日记账!$G$4:$G$603,$A48,资金日记账!$U$4:$U$603,"&lt;&gt;是",资金日记账!$V$4:$V$603,N$4),2))</f>
        <v/>
      </c>
      <c r="O48" s="41" t="str">
        <f aca="false">IF($A48="","",ROUND(SUMIFS(成本费用登记表!$H$4:$H$303,成本费用登记表!$D$4:$D$303,$A48,成本费用登记表!$AC$4:$AC$303,O$4)+SUMIFS(资金日记账!$I$4:$I$603,资金日记账!$G$4:$G$603,$A48,资金日记账!$U$4:$U$603,"&lt;&gt;是",资金日记账!$V$4:$V$603,O$4),2))</f>
        <v/>
      </c>
      <c r="P48" s="41" t="str">
        <f aca="false">IF($A48="","",ROUND(SUMIFS(成本费用登记表!$H$4:$H$303,成本费用登记表!$D$4:$D$303,$A48,成本费用登记表!$AC$4:$AC$303,P$4)+SUMIFS(资金日记账!$I$4:$I$603,资金日记账!$G$4:$G$603,$A48,资金日记账!$U$4:$U$603,"&lt;&gt;是",资金日记账!$V$4:$V$603,P$4),2))</f>
        <v/>
      </c>
      <c r="Q48" s="41" t="str">
        <f aca="false">IF($A48="","",ROUND(SUMIFS(成本费用登记表!$H$4:$H$303,成本费用登记表!$D$4:$D$303,$A48,成本费用登记表!$AC$4:$AC$303,Q$4)+SUMIFS(资金日记账!$I$4:$I$603,资金日记账!$G$4:$G$603,$A48,资金日记账!$U$4:$U$603,"&lt;&gt;是",资金日记账!$V$4:$V$603,Q$4),2))</f>
        <v/>
      </c>
      <c r="R48" s="41" t="str">
        <f aca="false">IF($A48="","",ROUND(SUMIFS(成本费用登记表!$H$4:$H$303,成本费用登记表!$D$4:$D$303,$A48,成本费用登记表!$AC$4:$AC$303,R$4)+SUMIFS(资金日记账!$I$4:$I$603,资金日记账!$G$4:$G$603,$A48,资金日记账!$U$4:$U$603,"&lt;&gt;是",资金日记账!$V$4:$V$603,R$4),2))</f>
        <v/>
      </c>
      <c r="S48" s="41" t="str">
        <f aca="false">IF($A48="","",ROUND(SUMIFS(成本费用登记表!$H$4:$H$303,成本费用登记表!$D$4:$D$303,$A48,成本费用登记表!$AC$4:$AC$303,S$4)+SUMIFS(资金日记账!$I$4:$I$603,资金日记账!$G$4:$G$603,$A48,资金日记账!$U$4:$U$603,"&lt;&gt;是",资金日记账!$V$4:$V$603,S$4),2))</f>
        <v/>
      </c>
      <c r="T48" s="41" t="str">
        <f aca="false">IF($A48="","",ROUND(SUMIFS(成本费用登记表!$H$4:$H$303,成本费用登记表!$D$4:$D$303,$A48,成本费用登记表!$AC$4:$AC$303,T$4)+SUMIFS(资金日记账!$I$4:$I$603,资金日记账!$G$4:$G$603,$A48,资金日记账!$U$4:$U$603,"&lt;&gt;是",资金日记账!$V$4:$V$603,T$4),2))</f>
        <v/>
      </c>
      <c r="U48" s="41" t="str">
        <f aca="false">IF($A48="","",ROUND(SUMIFS(成本费用登记表!$H$4:$H$303,成本费用登记表!$D$4:$D$303,$A48,成本费用登记表!$AC$4:$AC$303,U$4)+SUMIFS(资金日记账!$I$4:$I$603,资金日记账!$G$4:$G$603,$A48,资金日记账!$U$4:$U$603,"&lt;&gt;是",资金日记账!$V$4:$V$603,U$4),2))</f>
        <v/>
      </c>
      <c r="V48" s="41" t="str">
        <f aca="false">IF($A48="","",ROUND(SUMIFS(成本费用登记表!$H$4:$H$303,成本费用登记表!$D$4:$D$303,$A48,成本费用登记表!$AC$4:$AC$303,V$4)+SUMIFS(资金日记账!$I$4:$I$603,资金日记账!$G$4:$G$603,$A48,资金日记账!$U$4:$U$603,"&lt;&gt;是",资金日记账!$V$4:$V$603,V$4),2))</f>
        <v/>
      </c>
      <c r="W48" s="41" t="str">
        <f aca="false">IF($A48="","",ROUND(SUMIFS(成本费用登记表!$H$4:$H$303,成本费用登记表!$D$4:$D$303,$A48,成本费用登记表!$AC$4:$AC$303,W$4)+SUMIFS(资金日记账!$I$4:$I$603,资金日记账!$G$4:$G$603,$A48,资金日记账!$U$4:$U$603,"&lt;&gt;是",资金日记账!$V$4:$V$603,W$4),2))</f>
        <v/>
      </c>
      <c r="X48" s="41" t="str">
        <f aca="false">IF($A48="","",ROUND(SUMIFS(成本费用登记表!$H$4:$H$303,成本费用登记表!$D$4:$D$303,$A48,成本费用登记表!$AC$4:$AC$303,X$4)+SUMIFS(资金日记账!$I$4:$I$603,资金日记账!$G$4:$G$603,$A48,资金日记账!$U$4:$U$603,"&lt;&gt;是",资金日记账!$V$4:$V$603,X$4),2))</f>
        <v/>
      </c>
      <c r="Y48" s="41" t="str">
        <f aca="false">IF($A48="","",ROUND(SUMIFS(成本费用登记表!$H$4:$H$303,成本费用登记表!$D$4:$D$303,$A48,成本费用登记表!$AC$4:$AC$303,Y$4)+SUMIFS(资金日记账!$I$4:$I$603,资金日记账!$G$4:$G$603,$A48,资金日记账!$U$4:$U$603,"&lt;&gt;是",资金日记账!$V$4:$V$603,Y$4),2))</f>
        <v/>
      </c>
      <c r="Z48" s="142" t="str">
        <f aca="false">IF($A48="","",ROUND(SUM($B48:$Y48),2))</f>
        <v/>
      </c>
      <c r="AA48" s="41" t="str">
        <f aca="false">IF($A48="","",ROUND(SUMIF(成本费用登记表!$D$4:$D$303,$A48,成本费用登记表!$AA$4:$AA$303)+SUMIFS(资金日记账!$I$4:$I$603,资金日记账!$G$4:$G$603,$A48,资金日记账!$U$4:$U$603,"&lt;&gt;是"),2))</f>
        <v/>
      </c>
      <c r="AB48" s="41" t="str">
        <f aca="false">IF($A48="","",ROUND(N($Z48)-N($AA48),2))</f>
        <v/>
      </c>
    </row>
    <row r="49" customFormat="false" ht="13.5" hidden="false" customHeight="false" outlineLevel="0" collapsed="false">
      <c r="A49" s="33" t="str">
        <f aca="false">IFERROR(INDEX(_自动清单!$X$4:$X$63,45),"")</f>
        <v/>
      </c>
      <c r="B49" s="41" t="str">
        <f aca="false">IF($A49="","",ROUND(SUMIFS(成本费用登记表!$H$4:$H$303,成本费用登记表!$D$4:$D$303,$A49,成本费用登记表!$AC$4:$AC$303,B$4)+SUMIFS(资金日记账!$I$4:$I$603,资金日记账!$G$4:$G$603,$A49,资金日记账!$U$4:$U$603,"&lt;&gt;是",资金日记账!$V$4:$V$603,B$4),2))</f>
        <v/>
      </c>
      <c r="C49" s="41" t="str">
        <f aca="false">IF($A49="","",ROUND(SUMIFS(成本费用登记表!$H$4:$H$303,成本费用登记表!$D$4:$D$303,$A49,成本费用登记表!$AC$4:$AC$303,C$4)+SUMIFS(资金日记账!$I$4:$I$603,资金日记账!$G$4:$G$603,$A49,资金日记账!$U$4:$U$603,"&lt;&gt;是",资金日记账!$V$4:$V$603,C$4),2))</f>
        <v/>
      </c>
      <c r="D49" s="41" t="str">
        <f aca="false">IF($A49="","",ROUND(SUMIFS(成本费用登记表!$H$4:$H$303,成本费用登记表!$D$4:$D$303,$A49,成本费用登记表!$AC$4:$AC$303,D$4)+SUMIFS(资金日记账!$I$4:$I$603,资金日记账!$G$4:$G$603,$A49,资金日记账!$U$4:$U$603,"&lt;&gt;是",资金日记账!$V$4:$V$603,D$4),2))</f>
        <v/>
      </c>
      <c r="E49" s="41" t="str">
        <f aca="false">IF($A49="","",ROUND(SUMIFS(成本费用登记表!$H$4:$H$303,成本费用登记表!$D$4:$D$303,$A49,成本费用登记表!$AC$4:$AC$303,E$4)+SUMIFS(资金日记账!$I$4:$I$603,资金日记账!$G$4:$G$603,$A49,资金日记账!$U$4:$U$603,"&lt;&gt;是",资金日记账!$V$4:$V$603,E$4),2))</f>
        <v/>
      </c>
      <c r="F49" s="41" t="str">
        <f aca="false">IF($A49="","",ROUND(SUMIFS(成本费用登记表!$H$4:$H$303,成本费用登记表!$D$4:$D$303,$A49,成本费用登记表!$AC$4:$AC$303,F$4)+SUMIFS(资金日记账!$I$4:$I$603,资金日记账!$G$4:$G$603,$A49,资金日记账!$U$4:$U$603,"&lt;&gt;是",资金日记账!$V$4:$V$603,F$4),2))</f>
        <v/>
      </c>
      <c r="G49" s="41" t="str">
        <f aca="false">IF($A49="","",ROUND(SUMIFS(成本费用登记表!$H$4:$H$303,成本费用登记表!$D$4:$D$303,$A49,成本费用登记表!$AC$4:$AC$303,G$4)+SUMIFS(资金日记账!$I$4:$I$603,资金日记账!$G$4:$G$603,$A49,资金日记账!$U$4:$U$603,"&lt;&gt;是",资金日记账!$V$4:$V$603,G$4),2))</f>
        <v/>
      </c>
      <c r="H49" s="41" t="str">
        <f aca="false">IF($A49="","",ROUND(SUMIFS(成本费用登记表!$H$4:$H$303,成本费用登记表!$D$4:$D$303,$A49,成本费用登记表!$AC$4:$AC$303,H$4)+SUMIFS(资金日记账!$I$4:$I$603,资金日记账!$G$4:$G$603,$A49,资金日记账!$U$4:$U$603,"&lt;&gt;是",资金日记账!$V$4:$V$603,H$4),2))</f>
        <v/>
      </c>
      <c r="I49" s="41" t="str">
        <f aca="false">IF($A49="","",ROUND(SUMIFS(成本费用登记表!$H$4:$H$303,成本费用登记表!$D$4:$D$303,$A49,成本费用登记表!$AC$4:$AC$303,I$4)+SUMIFS(资金日记账!$I$4:$I$603,资金日记账!$G$4:$G$603,$A49,资金日记账!$U$4:$U$603,"&lt;&gt;是",资金日记账!$V$4:$V$603,I$4),2))</f>
        <v/>
      </c>
      <c r="J49" s="41" t="str">
        <f aca="false">IF($A49="","",ROUND(SUMIFS(成本费用登记表!$H$4:$H$303,成本费用登记表!$D$4:$D$303,$A49,成本费用登记表!$AC$4:$AC$303,J$4)+SUMIFS(资金日记账!$I$4:$I$603,资金日记账!$G$4:$G$603,$A49,资金日记账!$U$4:$U$603,"&lt;&gt;是",资金日记账!$V$4:$V$603,J$4),2))</f>
        <v/>
      </c>
      <c r="K49" s="41" t="str">
        <f aca="false">IF($A49="","",ROUND(SUMIFS(成本费用登记表!$H$4:$H$303,成本费用登记表!$D$4:$D$303,$A49,成本费用登记表!$AC$4:$AC$303,K$4)+SUMIFS(资金日记账!$I$4:$I$603,资金日记账!$G$4:$G$603,$A49,资金日记账!$U$4:$U$603,"&lt;&gt;是",资金日记账!$V$4:$V$603,K$4),2))</f>
        <v/>
      </c>
      <c r="L49" s="41" t="str">
        <f aca="false">IF($A49="","",ROUND(SUMIFS(成本费用登记表!$H$4:$H$303,成本费用登记表!$D$4:$D$303,$A49,成本费用登记表!$AC$4:$AC$303,L$4)+SUMIFS(资金日记账!$I$4:$I$603,资金日记账!$G$4:$G$603,$A49,资金日记账!$U$4:$U$603,"&lt;&gt;是",资金日记账!$V$4:$V$603,L$4),2))</f>
        <v/>
      </c>
      <c r="M49" s="41" t="str">
        <f aca="false">IF($A49="","",ROUND(SUMIFS(成本费用登记表!$H$4:$H$303,成本费用登记表!$D$4:$D$303,$A49,成本费用登记表!$AC$4:$AC$303,M$4)+SUMIFS(资金日记账!$I$4:$I$603,资金日记账!$G$4:$G$603,$A49,资金日记账!$U$4:$U$603,"&lt;&gt;是",资金日记账!$V$4:$V$603,M$4),2))</f>
        <v/>
      </c>
      <c r="N49" s="41" t="str">
        <f aca="false">IF($A49="","",ROUND(SUMIFS(成本费用登记表!$H$4:$H$303,成本费用登记表!$D$4:$D$303,$A49,成本费用登记表!$AC$4:$AC$303,N$4)+SUMIFS(资金日记账!$I$4:$I$603,资金日记账!$G$4:$G$603,$A49,资金日记账!$U$4:$U$603,"&lt;&gt;是",资金日记账!$V$4:$V$603,N$4),2))</f>
        <v/>
      </c>
      <c r="O49" s="41" t="str">
        <f aca="false">IF($A49="","",ROUND(SUMIFS(成本费用登记表!$H$4:$H$303,成本费用登记表!$D$4:$D$303,$A49,成本费用登记表!$AC$4:$AC$303,O$4)+SUMIFS(资金日记账!$I$4:$I$603,资金日记账!$G$4:$G$603,$A49,资金日记账!$U$4:$U$603,"&lt;&gt;是",资金日记账!$V$4:$V$603,O$4),2))</f>
        <v/>
      </c>
      <c r="P49" s="41" t="str">
        <f aca="false">IF($A49="","",ROUND(SUMIFS(成本费用登记表!$H$4:$H$303,成本费用登记表!$D$4:$D$303,$A49,成本费用登记表!$AC$4:$AC$303,P$4)+SUMIFS(资金日记账!$I$4:$I$603,资金日记账!$G$4:$G$603,$A49,资金日记账!$U$4:$U$603,"&lt;&gt;是",资金日记账!$V$4:$V$603,P$4),2))</f>
        <v/>
      </c>
      <c r="Q49" s="41" t="str">
        <f aca="false">IF($A49="","",ROUND(SUMIFS(成本费用登记表!$H$4:$H$303,成本费用登记表!$D$4:$D$303,$A49,成本费用登记表!$AC$4:$AC$303,Q$4)+SUMIFS(资金日记账!$I$4:$I$603,资金日记账!$G$4:$G$603,$A49,资金日记账!$U$4:$U$603,"&lt;&gt;是",资金日记账!$V$4:$V$603,Q$4),2))</f>
        <v/>
      </c>
      <c r="R49" s="41" t="str">
        <f aca="false">IF($A49="","",ROUND(SUMIFS(成本费用登记表!$H$4:$H$303,成本费用登记表!$D$4:$D$303,$A49,成本费用登记表!$AC$4:$AC$303,R$4)+SUMIFS(资金日记账!$I$4:$I$603,资金日记账!$G$4:$G$603,$A49,资金日记账!$U$4:$U$603,"&lt;&gt;是",资金日记账!$V$4:$V$603,R$4),2))</f>
        <v/>
      </c>
      <c r="S49" s="41" t="str">
        <f aca="false">IF($A49="","",ROUND(SUMIFS(成本费用登记表!$H$4:$H$303,成本费用登记表!$D$4:$D$303,$A49,成本费用登记表!$AC$4:$AC$303,S$4)+SUMIFS(资金日记账!$I$4:$I$603,资金日记账!$G$4:$G$603,$A49,资金日记账!$U$4:$U$603,"&lt;&gt;是",资金日记账!$V$4:$V$603,S$4),2))</f>
        <v/>
      </c>
      <c r="T49" s="41" t="str">
        <f aca="false">IF($A49="","",ROUND(SUMIFS(成本费用登记表!$H$4:$H$303,成本费用登记表!$D$4:$D$303,$A49,成本费用登记表!$AC$4:$AC$303,T$4)+SUMIFS(资金日记账!$I$4:$I$603,资金日记账!$G$4:$G$603,$A49,资金日记账!$U$4:$U$603,"&lt;&gt;是",资金日记账!$V$4:$V$603,T$4),2))</f>
        <v/>
      </c>
      <c r="U49" s="41" t="str">
        <f aca="false">IF($A49="","",ROUND(SUMIFS(成本费用登记表!$H$4:$H$303,成本费用登记表!$D$4:$D$303,$A49,成本费用登记表!$AC$4:$AC$303,U$4)+SUMIFS(资金日记账!$I$4:$I$603,资金日记账!$G$4:$G$603,$A49,资金日记账!$U$4:$U$603,"&lt;&gt;是",资金日记账!$V$4:$V$603,U$4),2))</f>
        <v/>
      </c>
      <c r="V49" s="41" t="str">
        <f aca="false">IF($A49="","",ROUND(SUMIFS(成本费用登记表!$H$4:$H$303,成本费用登记表!$D$4:$D$303,$A49,成本费用登记表!$AC$4:$AC$303,V$4)+SUMIFS(资金日记账!$I$4:$I$603,资金日记账!$G$4:$G$603,$A49,资金日记账!$U$4:$U$603,"&lt;&gt;是",资金日记账!$V$4:$V$603,V$4),2))</f>
        <v/>
      </c>
      <c r="W49" s="41" t="str">
        <f aca="false">IF($A49="","",ROUND(SUMIFS(成本费用登记表!$H$4:$H$303,成本费用登记表!$D$4:$D$303,$A49,成本费用登记表!$AC$4:$AC$303,W$4)+SUMIFS(资金日记账!$I$4:$I$603,资金日记账!$G$4:$G$603,$A49,资金日记账!$U$4:$U$603,"&lt;&gt;是",资金日记账!$V$4:$V$603,W$4),2))</f>
        <v/>
      </c>
      <c r="X49" s="41" t="str">
        <f aca="false">IF($A49="","",ROUND(SUMIFS(成本费用登记表!$H$4:$H$303,成本费用登记表!$D$4:$D$303,$A49,成本费用登记表!$AC$4:$AC$303,X$4)+SUMIFS(资金日记账!$I$4:$I$603,资金日记账!$G$4:$G$603,$A49,资金日记账!$U$4:$U$603,"&lt;&gt;是",资金日记账!$V$4:$V$603,X$4),2))</f>
        <v/>
      </c>
      <c r="Y49" s="41" t="str">
        <f aca="false">IF($A49="","",ROUND(SUMIFS(成本费用登记表!$H$4:$H$303,成本费用登记表!$D$4:$D$303,$A49,成本费用登记表!$AC$4:$AC$303,Y$4)+SUMIFS(资金日记账!$I$4:$I$603,资金日记账!$G$4:$G$603,$A49,资金日记账!$U$4:$U$603,"&lt;&gt;是",资金日记账!$V$4:$V$603,Y$4),2))</f>
        <v/>
      </c>
      <c r="Z49" s="142" t="str">
        <f aca="false">IF($A49="","",ROUND(SUM($B49:$Y49),2))</f>
        <v/>
      </c>
      <c r="AA49" s="41" t="str">
        <f aca="false">IF($A49="","",ROUND(SUMIF(成本费用登记表!$D$4:$D$303,$A49,成本费用登记表!$AA$4:$AA$303)+SUMIFS(资金日记账!$I$4:$I$603,资金日记账!$G$4:$G$603,$A49,资金日记账!$U$4:$U$603,"&lt;&gt;是"),2))</f>
        <v/>
      </c>
      <c r="AB49" s="41" t="str">
        <f aca="false">IF($A49="","",ROUND(N($Z49)-N($AA49),2))</f>
        <v/>
      </c>
    </row>
    <row r="50" customFormat="false" ht="13.5" hidden="false" customHeight="false" outlineLevel="0" collapsed="false">
      <c r="A50" s="33" t="str">
        <f aca="false">IFERROR(INDEX(_自动清单!$X$4:$X$63,46),"")</f>
        <v/>
      </c>
      <c r="B50" s="41" t="str">
        <f aca="false">IF($A50="","",ROUND(SUMIFS(成本费用登记表!$H$4:$H$303,成本费用登记表!$D$4:$D$303,$A50,成本费用登记表!$AC$4:$AC$303,B$4)+SUMIFS(资金日记账!$I$4:$I$603,资金日记账!$G$4:$G$603,$A50,资金日记账!$U$4:$U$603,"&lt;&gt;是",资金日记账!$V$4:$V$603,B$4),2))</f>
        <v/>
      </c>
      <c r="C50" s="41" t="str">
        <f aca="false">IF($A50="","",ROUND(SUMIFS(成本费用登记表!$H$4:$H$303,成本费用登记表!$D$4:$D$303,$A50,成本费用登记表!$AC$4:$AC$303,C$4)+SUMIFS(资金日记账!$I$4:$I$603,资金日记账!$G$4:$G$603,$A50,资金日记账!$U$4:$U$603,"&lt;&gt;是",资金日记账!$V$4:$V$603,C$4),2))</f>
        <v/>
      </c>
      <c r="D50" s="41" t="str">
        <f aca="false">IF($A50="","",ROUND(SUMIFS(成本费用登记表!$H$4:$H$303,成本费用登记表!$D$4:$D$303,$A50,成本费用登记表!$AC$4:$AC$303,D$4)+SUMIFS(资金日记账!$I$4:$I$603,资金日记账!$G$4:$G$603,$A50,资金日记账!$U$4:$U$603,"&lt;&gt;是",资金日记账!$V$4:$V$603,D$4),2))</f>
        <v/>
      </c>
      <c r="E50" s="41" t="str">
        <f aca="false">IF($A50="","",ROUND(SUMIFS(成本费用登记表!$H$4:$H$303,成本费用登记表!$D$4:$D$303,$A50,成本费用登记表!$AC$4:$AC$303,E$4)+SUMIFS(资金日记账!$I$4:$I$603,资金日记账!$G$4:$G$603,$A50,资金日记账!$U$4:$U$603,"&lt;&gt;是",资金日记账!$V$4:$V$603,E$4),2))</f>
        <v/>
      </c>
      <c r="F50" s="41" t="str">
        <f aca="false">IF($A50="","",ROUND(SUMIFS(成本费用登记表!$H$4:$H$303,成本费用登记表!$D$4:$D$303,$A50,成本费用登记表!$AC$4:$AC$303,F$4)+SUMIFS(资金日记账!$I$4:$I$603,资金日记账!$G$4:$G$603,$A50,资金日记账!$U$4:$U$603,"&lt;&gt;是",资金日记账!$V$4:$V$603,F$4),2))</f>
        <v/>
      </c>
      <c r="G50" s="41" t="str">
        <f aca="false">IF($A50="","",ROUND(SUMIFS(成本费用登记表!$H$4:$H$303,成本费用登记表!$D$4:$D$303,$A50,成本费用登记表!$AC$4:$AC$303,G$4)+SUMIFS(资金日记账!$I$4:$I$603,资金日记账!$G$4:$G$603,$A50,资金日记账!$U$4:$U$603,"&lt;&gt;是",资金日记账!$V$4:$V$603,G$4),2))</f>
        <v/>
      </c>
      <c r="H50" s="41" t="str">
        <f aca="false">IF($A50="","",ROUND(SUMIFS(成本费用登记表!$H$4:$H$303,成本费用登记表!$D$4:$D$303,$A50,成本费用登记表!$AC$4:$AC$303,H$4)+SUMIFS(资金日记账!$I$4:$I$603,资金日记账!$G$4:$G$603,$A50,资金日记账!$U$4:$U$603,"&lt;&gt;是",资金日记账!$V$4:$V$603,H$4),2))</f>
        <v/>
      </c>
      <c r="I50" s="41" t="str">
        <f aca="false">IF($A50="","",ROUND(SUMIFS(成本费用登记表!$H$4:$H$303,成本费用登记表!$D$4:$D$303,$A50,成本费用登记表!$AC$4:$AC$303,I$4)+SUMIFS(资金日记账!$I$4:$I$603,资金日记账!$G$4:$G$603,$A50,资金日记账!$U$4:$U$603,"&lt;&gt;是",资金日记账!$V$4:$V$603,I$4),2))</f>
        <v/>
      </c>
      <c r="J50" s="41" t="str">
        <f aca="false">IF($A50="","",ROUND(SUMIFS(成本费用登记表!$H$4:$H$303,成本费用登记表!$D$4:$D$303,$A50,成本费用登记表!$AC$4:$AC$303,J$4)+SUMIFS(资金日记账!$I$4:$I$603,资金日记账!$G$4:$G$603,$A50,资金日记账!$U$4:$U$603,"&lt;&gt;是",资金日记账!$V$4:$V$603,J$4),2))</f>
        <v/>
      </c>
      <c r="K50" s="41" t="str">
        <f aca="false">IF($A50="","",ROUND(SUMIFS(成本费用登记表!$H$4:$H$303,成本费用登记表!$D$4:$D$303,$A50,成本费用登记表!$AC$4:$AC$303,K$4)+SUMIFS(资金日记账!$I$4:$I$603,资金日记账!$G$4:$G$603,$A50,资金日记账!$U$4:$U$603,"&lt;&gt;是",资金日记账!$V$4:$V$603,K$4),2))</f>
        <v/>
      </c>
      <c r="L50" s="41" t="str">
        <f aca="false">IF($A50="","",ROUND(SUMIFS(成本费用登记表!$H$4:$H$303,成本费用登记表!$D$4:$D$303,$A50,成本费用登记表!$AC$4:$AC$303,L$4)+SUMIFS(资金日记账!$I$4:$I$603,资金日记账!$G$4:$G$603,$A50,资金日记账!$U$4:$U$603,"&lt;&gt;是",资金日记账!$V$4:$V$603,L$4),2))</f>
        <v/>
      </c>
      <c r="M50" s="41" t="str">
        <f aca="false">IF($A50="","",ROUND(SUMIFS(成本费用登记表!$H$4:$H$303,成本费用登记表!$D$4:$D$303,$A50,成本费用登记表!$AC$4:$AC$303,M$4)+SUMIFS(资金日记账!$I$4:$I$603,资金日记账!$G$4:$G$603,$A50,资金日记账!$U$4:$U$603,"&lt;&gt;是",资金日记账!$V$4:$V$603,M$4),2))</f>
        <v/>
      </c>
      <c r="N50" s="41" t="str">
        <f aca="false">IF($A50="","",ROUND(SUMIFS(成本费用登记表!$H$4:$H$303,成本费用登记表!$D$4:$D$303,$A50,成本费用登记表!$AC$4:$AC$303,N$4)+SUMIFS(资金日记账!$I$4:$I$603,资金日记账!$G$4:$G$603,$A50,资金日记账!$U$4:$U$603,"&lt;&gt;是",资金日记账!$V$4:$V$603,N$4),2))</f>
        <v/>
      </c>
      <c r="O50" s="41" t="str">
        <f aca="false">IF($A50="","",ROUND(SUMIFS(成本费用登记表!$H$4:$H$303,成本费用登记表!$D$4:$D$303,$A50,成本费用登记表!$AC$4:$AC$303,O$4)+SUMIFS(资金日记账!$I$4:$I$603,资金日记账!$G$4:$G$603,$A50,资金日记账!$U$4:$U$603,"&lt;&gt;是",资金日记账!$V$4:$V$603,O$4),2))</f>
        <v/>
      </c>
      <c r="P50" s="41" t="str">
        <f aca="false">IF($A50="","",ROUND(SUMIFS(成本费用登记表!$H$4:$H$303,成本费用登记表!$D$4:$D$303,$A50,成本费用登记表!$AC$4:$AC$303,P$4)+SUMIFS(资金日记账!$I$4:$I$603,资金日记账!$G$4:$G$603,$A50,资金日记账!$U$4:$U$603,"&lt;&gt;是",资金日记账!$V$4:$V$603,P$4),2))</f>
        <v/>
      </c>
      <c r="Q50" s="41" t="str">
        <f aca="false">IF($A50="","",ROUND(SUMIFS(成本费用登记表!$H$4:$H$303,成本费用登记表!$D$4:$D$303,$A50,成本费用登记表!$AC$4:$AC$303,Q$4)+SUMIFS(资金日记账!$I$4:$I$603,资金日记账!$G$4:$G$603,$A50,资金日记账!$U$4:$U$603,"&lt;&gt;是",资金日记账!$V$4:$V$603,Q$4),2))</f>
        <v/>
      </c>
      <c r="R50" s="41" t="str">
        <f aca="false">IF($A50="","",ROUND(SUMIFS(成本费用登记表!$H$4:$H$303,成本费用登记表!$D$4:$D$303,$A50,成本费用登记表!$AC$4:$AC$303,R$4)+SUMIFS(资金日记账!$I$4:$I$603,资金日记账!$G$4:$G$603,$A50,资金日记账!$U$4:$U$603,"&lt;&gt;是",资金日记账!$V$4:$V$603,R$4),2))</f>
        <v/>
      </c>
      <c r="S50" s="41" t="str">
        <f aca="false">IF($A50="","",ROUND(SUMIFS(成本费用登记表!$H$4:$H$303,成本费用登记表!$D$4:$D$303,$A50,成本费用登记表!$AC$4:$AC$303,S$4)+SUMIFS(资金日记账!$I$4:$I$603,资金日记账!$G$4:$G$603,$A50,资金日记账!$U$4:$U$603,"&lt;&gt;是",资金日记账!$V$4:$V$603,S$4),2))</f>
        <v/>
      </c>
      <c r="T50" s="41" t="str">
        <f aca="false">IF($A50="","",ROUND(SUMIFS(成本费用登记表!$H$4:$H$303,成本费用登记表!$D$4:$D$303,$A50,成本费用登记表!$AC$4:$AC$303,T$4)+SUMIFS(资金日记账!$I$4:$I$603,资金日记账!$G$4:$G$603,$A50,资金日记账!$U$4:$U$603,"&lt;&gt;是",资金日记账!$V$4:$V$603,T$4),2))</f>
        <v/>
      </c>
      <c r="U50" s="41" t="str">
        <f aca="false">IF($A50="","",ROUND(SUMIFS(成本费用登记表!$H$4:$H$303,成本费用登记表!$D$4:$D$303,$A50,成本费用登记表!$AC$4:$AC$303,U$4)+SUMIFS(资金日记账!$I$4:$I$603,资金日记账!$G$4:$G$603,$A50,资金日记账!$U$4:$U$603,"&lt;&gt;是",资金日记账!$V$4:$V$603,U$4),2))</f>
        <v/>
      </c>
      <c r="V50" s="41" t="str">
        <f aca="false">IF($A50="","",ROUND(SUMIFS(成本费用登记表!$H$4:$H$303,成本费用登记表!$D$4:$D$303,$A50,成本费用登记表!$AC$4:$AC$303,V$4)+SUMIFS(资金日记账!$I$4:$I$603,资金日记账!$G$4:$G$603,$A50,资金日记账!$U$4:$U$603,"&lt;&gt;是",资金日记账!$V$4:$V$603,V$4),2))</f>
        <v/>
      </c>
      <c r="W50" s="41" t="str">
        <f aca="false">IF($A50="","",ROUND(SUMIFS(成本费用登记表!$H$4:$H$303,成本费用登记表!$D$4:$D$303,$A50,成本费用登记表!$AC$4:$AC$303,W$4)+SUMIFS(资金日记账!$I$4:$I$603,资金日记账!$G$4:$G$603,$A50,资金日记账!$U$4:$U$603,"&lt;&gt;是",资金日记账!$V$4:$V$603,W$4),2))</f>
        <v/>
      </c>
      <c r="X50" s="41" t="str">
        <f aca="false">IF($A50="","",ROUND(SUMIFS(成本费用登记表!$H$4:$H$303,成本费用登记表!$D$4:$D$303,$A50,成本费用登记表!$AC$4:$AC$303,X$4)+SUMIFS(资金日记账!$I$4:$I$603,资金日记账!$G$4:$G$603,$A50,资金日记账!$U$4:$U$603,"&lt;&gt;是",资金日记账!$V$4:$V$603,X$4),2))</f>
        <v/>
      </c>
      <c r="Y50" s="41" t="str">
        <f aca="false">IF($A50="","",ROUND(SUMIFS(成本费用登记表!$H$4:$H$303,成本费用登记表!$D$4:$D$303,$A50,成本费用登记表!$AC$4:$AC$303,Y$4)+SUMIFS(资金日记账!$I$4:$I$603,资金日记账!$G$4:$G$603,$A50,资金日记账!$U$4:$U$603,"&lt;&gt;是",资金日记账!$V$4:$V$603,Y$4),2))</f>
        <v/>
      </c>
      <c r="Z50" s="142" t="str">
        <f aca="false">IF($A50="","",ROUND(SUM($B50:$Y50),2))</f>
        <v/>
      </c>
      <c r="AA50" s="41" t="str">
        <f aca="false">IF($A50="","",ROUND(SUMIF(成本费用登记表!$D$4:$D$303,$A50,成本费用登记表!$AA$4:$AA$303)+SUMIFS(资金日记账!$I$4:$I$603,资金日记账!$G$4:$G$603,$A50,资金日记账!$U$4:$U$603,"&lt;&gt;是"),2))</f>
        <v/>
      </c>
      <c r="AB50" s="41" t="str">
        <f aca="false">IF($A50="","",ROUND(N($Z50)-N($AA50),2))</f>
        <v/>
      </c>
    </row>
    <row r="51" customFormat="false" ht="13.5" hidden="false" customHeight="false" outlineLevel="0" collapsed="false">
      <c r="A51" s="33" t="str">
        <f aca="false">IFERROR(INDEX(_自动清单!$X$4:$X$63,47),"")</f>
        <v/>
      </c>
      <c r="B51" s="41" t="str">
        <f aca="false">IF($A51="","",ROUND(SUMIFS(成本费用登记表!$H$4:$H$303,成本费用登记表!$D$4:$D$303,$A51,成本费用登记表!$AC$4:$AC$303,B$4)+SUMIFS(资金日记账!$I$4:$I$603,资金日记账!$G$4:$G$603,$A51,资金日记账!$U$4:$U$603,"&lt;&gt;是",资金日记账!$V$4:$V$603,B$4),2))</f>
        <v/>
      </c>
      <c r="C51" s="41" t="str">
        <f aca="false">IF($A51="","",ROUND(SUMIFS(成本费用登记表!$H$4:$H$303,成本费用登记表!$D$4:$D$303,$A51,成本费用登记表!$AC$4:$AC$303,C$4)+SUMIFS(资金日记账!$I$4:$I$603,资金日记账!$G$4:$G$603,$A51,资金日记账!$U$4:$U$603,"&lt;&gt;是",资金日记账!$V$4:$V$603,C$4),2))</f>
        <v/>
      </c>
      <c r="D51" s="41" t="str">
        <f aca="false">IF($A51="","",ROUND(SUMIFS(成本费用登记表!$H$4:$H$303,成本费用登记表!$D$4:$D$303,$A51,成本费用登记表!$AC$4:$AC$303,D$4)+SUMIFS(资金日记账!$I$4:$I$603,资金日记账!$G$4:$G$603,$A51,资金日记账!$U$4:$U$603,"&lt;&gt;是",资金日记账!$V$4:$V$603,D$4),2))</f>
        <v/>
      </c>
      <c r="E51" s="41" t="str">
        <f aca="false">IF($A51="","",ROUND(SUMIFS(成本费用登记表!$H$4:$H$303,成本费用登记表!$D$4:$D$303,$A51,成本费用登记表!$AC$4:$AC$303,E$4)+SUMIFS(资金日记账!$I$4:$I$603,资金日记账!$G$4:$G$603,$A51,资金日记账!$U$4:$U$603,"&lt;&gt;是",资金日记账!$V$4:$V$603,E$4),2))</f>
        <v/>
      </c>
      <c r="F51" s="41" t="str">
        <f aca="false">IF($A51="","",ROUND(SUMIFS(成本费用登记表!$H$4:$H$303,成本费用登记表!$D$4:$D$303,$A51,成本费用登记表!$AC$4:$AC$303,F$4)+SUMIFS(资金日记账!$I$4:$I$603,资金日记账!$G$4:$G$603,$A51,资金日记账!$U$4:$U$603,"&lt;&gt;是",资金日记账!$V$4:$V$603,F$4),2))</f>
        <v/>
      </c>
      <c r="G51" s="41" t="str">
        <f aca="false">IF($A51="","",ROUND(SUMIFS(成本费用登记表!$H$4:$H$303,成本费用登记表!$D$4:$D$303,$A51,成本费用登记表!$AC$4:$AC$303,G$4)+SUMIFS(资金日记账!$I$4:$I$603,资金日记账!$G$4:$G$603,$A51,资金日记账!$U$4:$U$603,"&lt;&gt;是",资金日记账!$V$4:$V$603,G$4),2))</f>
        <v/>
      </c>
      <c r="H51" s="41" t="str">
        <f aca="false">IF($A51="","",ROUND(SUMIFS(成本费用登记表!$H$4:$H$303,成本费用登记表!$D$4:$D$303,$A51,成本费用登记表!$AC$4:$AC$303,H$4)+SUMIFS(资金日记账!$I$4:$I$603,资金日记账!$G$4:$G$603,$A51,资金日记账!$U$4:$U$603,"&lt;&gt;是",资金日记账!$V$4:$V$603,H$4),2))</f>
        <v/>
      </c>
      <c r="I51" s="41" t="str">
        <f aca="false">IF($A51="","",ROUND(SUMIFS(成本费用登记表!$H$4:$H$303,成本费用登记表!$D$4:$D$303,$A51,成本费用登记表!$AC$4:$AC$303,I$4)+SUMIFS(资金日记账!$I$4:$I$603,资金日记账!$G$4:$G$603,$A51,资金日记账!$U$4:$U$603,"&lt;&gt;是",资金日记账!$V$4:$V$603,I$4),2))</f>
        <v/>
      </c>
      <c r="J51" s="41" t="str">
        <f aca="false">IF($A51="","",ROUND(SUMIFS(成本费用登记表!$H$4:$H$303,成本费用登记表!$D$4:$D$303,$A51,成本费用登记表!$AC$4:$AC$303,J$4)+SUMIFS(资金日记账!$I$4:$I$603,资金日记账!$G$4:$G$603,$A51,资金日记账!$U$4:$U$603,"&lt;&gt;是",资金日记账!$V$4:$V$603,J$4),2))</f>
        <v/>
      </c>
      <c r="K51" s="41" t="str">
        <f aca="false">IF($A51="","",ROUND(SUMIFS(成本费用登记表!$H$4:$H$303,成本费用登记表!$D$4:$D$303,$A51,成本费用登记表!$AC$4:$AC$303,K$4)+SUMIFS(资金日记账!$I$4:$I$603,资金日记账!$G$4:$G$603,$A51,资金日记账!$U$4:$U$603,"&lt;&gt;是",资金日记账!$V$4:$V$603,K$4),2))</f>
        <v/>
      </c>
      <c r="L51" s="41" t="str">
        <f aca="false">IF($A51="","",ROUND(SUMIFS(成本费用登记表!$H$4:$H$303,成本费用登记表!$D$4:$D$303,$A51,成本费用登记表!$AC$4:$AC$303,L$4)+SUMIFS(资金日记账!$I$4:$I$603,资金日记账!$G$4:$G$603,$A51,资金日记账!$U$4:$U$603,"&lt;&gt;是",资金日记账!$V$4:$V$603,L$4),2))</f>
        <v/>
      </c>
      <c r="M51" s="41" t="str">
        <f aca="false">IF($A51="","",ROUND(SUMIFS(成本费用登记表!$H$4:$H$303,成本费用登记表!$D$4:$D$303,$A51,成本费用登记表!$AC$4:$AC$303,M$4)+SUMIFS(资金日记账!$I$4:$I$603,资金日记账!$G$4:$G$603,$A51,资金日记账!$U$4:$U$603,"&lt;&gt;是",资金日记账!$V$4:$V$603,M$4),2))</f>
        <v/>
      </c>
      <c r="N51" s="41" t="str">
        <f aca="false">IF($A51="","",ROUND(SUMIFS(成本费用登记表!$H$4:$H$303,成本费用登记表!$D$4:$D$303,$A51,成本费用登记表!$AC$4:$AC$303,N$4)+SUMIFS(资金日记账!$I$4:$I$603,资金日记账!$G$4:$G$603,$A51,资金日记账!$U$4:$U$603,"&lt;&gt;是",资金日记账!$V$4:$V$603,N$4),2))</f>
        <v/>
      </c>
      <c r="O51" s="41" t="str">
        <f aca="false">IF($A51="","",ROUND(SUMIFS(成本费用登记表!$H$4:$H$303,成本费用登记表!$D$4:$D$303,$A51,成本费用登记表!$AC$4:$AC$303,O$4)+SUMIFS(资金日记账!$I$4:$I$603,资金日记账!$G$4:$G$603,$A51,资金日记账!$U$4:$U$603,"&lt;&gt;是",资金日记账!$V$4:$V$603,O$4),2))</f>
        <v/>
      </c>
      <c r="P51" s="41" t="str">
        <f aca="false">IF($A51="","",ROUND(SUMIFS(成本费用登记表!$H$4:$H$303,成本费用登记表!$D$4:$D$303,$A51,成本费用登记表!$AC$4:$AC$303,P$4)+SUMIFS(资金日记账!$I$4:$I$603,资金日记账!$G$4:$G$603,$A51,资金日记账!$U$4:$U$603,"&lt;&gt;是",资金日记账!$V$4:$V$603,P$4),2))</f>
        <v/>
      </c>
      <c r="Q51" s="41" t="str">
        <f aca="false">IF($A51="","",ROUND(SUMIFS(成本费用登记表!$H$4:$H$303,成本费用登记表!$D$4:$D$303,$A51,成本费用登记表!$AC$4:$AC$303,Q$4)+SUMIFS(资金日记账!$I$4:$I$603,资金日记账!$G$4:$G$603,$A51,资金日记账!$U$4:$U$603,"&lt;&gt;是",资金日记账!$V$4:$V$603,Q$4),2))</f>
        <v/>
      </c>
      <c r="R51" s="41" t="str">
        <f aca="false">IF($A51="","",ROUND(SUMIFS(成本费用登记表!$H$4:$H$303,成本费用登记表!$D$4:$D$303,$A51,成本费用登记表!$AC$4:$AC$303,R$4)+SUMIFS(资金日记账!$I$4:$I$603,资金日记账!$G$4:$G$603,$A51,资金日记账!$U$4:$U$603,"&lt;&gt;是",资金日记账!$V$4:$V$603,R$4),2))</f>
        <v/>
      </c>
      <c r="S51" s="41" t="str">
        <f aca="false">IF($A51="","",ROUND(SUMIFS(成本费用登记表!$H$4:$H$303,成本费用登记表!$D$4:$D$303,$A51,成本费用登记表!$AC$4:$AC$303,S$4)+SUMIFS(资金日记账!$I$4:$I$603,资金日记账!$G$4:$G$603,$A51,资金日记账!$U$4:$U$603,"&lt;&gt;是",资金日记账!$V$4:$V$603,S$4),2))</f>
        <v/>
      </c>
      <c r="T51" s="41" t="str">
        <f aca="false">IF($A51="","",ROUND(SUMIFS(成本费用登记表!$H$4:$H$303,成本费用登记表!$D$4:$D$303,$A51,成本费用登记表!$AC$4:$AC$303,T$4)+SUMIFS(资金日记账!$I$4:$I$603,资金日记账!$G$4:$G$603,$A51,资金日记账!$U$4:$U$603,"&lt;&gt;是",资金日记账!$V$4:$V$603,T$4),2))</f>
        <v/>
      </c>
      <c r="U51" s="41" t="str">
        <f aca="false">IF($A51="","",ROUND(SUMIFS(成本费用登记表!$H$4:$H$303,成本费用登记表!$D$4:$D$303,$A51,成本费用登记表!$AC$4:$AC$303,U$4)+SUMIFS(资金日记账!$I$4:$I$603,资金日记账!$G$4:$G$603,$A51,资金日记账!$U$4:$U$603,"&lt;&gt;是",资金日记账!$V$4:$V$603,U$4),2))</f>
        <v/>
      </c>
      <c r="V51" s="41" t="str">
        <f aca="false">IF($A51="","",ROUND(SUMIFS(成本费用登记表!$H$4:$H$303,成本费用登记表!$D$4:$D$303,$A51,成本费用登记表!$AC$4:$AC$303,V$4)+SUMIFS(资金日记账!$I$4:$I$603,资金日记账!$G$4:$G$603,$A51,资金日记账!$U$4:$U$603,"&lt;&gt;是",资金日记账!$V$4:$V$603,V$4),2))</f>
        <v/>
      </c>
      <c r="W51" s="41" t="str">
        <f aca="false">IF($A51="","",ROUND(SUMIFS(成本费用登记表!$H$4:$H$303,成本费用登记表!$D$4:$D$303,$A51,成本费用登记表!$AC$4:$AC$303,W$4)+SUMIFS(资金日记账!$I$4:$I$603,资金日记账!$G$4:$G$603,$A51,资金日记账!$U$4:$U$603,"&lt;&gt;是",资金日记账!$V$4:$V$603,W$4),2))</f>
        <v/>
      </c>
      <c r="X51" s="41" t="str">
        <f aca="false">IF($A51="","",ROUND(SUMIFS(成本费用登记表!$H$4:$H$303,成本费用登记表!$D$4:$D$303,$A51,成本费用登记表!$AC$4:$AC$303,X$4)+SUMIFS(资金日记账!$I$4:$I$603,资金日记账!$G$4:$G$603,$A51,资金日记账!$U$4:$U$603,"&lt;&gt;是",资金日记账!$V$4:$V$603,X$4),2))</f>
        <v/>
      </c>
      <c r="Y51" s="41" t="str">
        <f aca="false">IF($A51="","",ROUND(SUMIFS(成本费用登记表!$H$4:$H$303,成本费用登记表!$D$4:$D$303,$A51,成本费用登记表!$AC$4:$AC$303,Y$4)+SUMIFS(资金日记账!$I$4:$I$603,资金日记账!$G$4:$G$603,$A51,资金日记账!$U$4:$U$603,"&lt;&gt;是",资金日记账!$V$4:$V$603,Y$4),2))</f>
        <v/>
      </c>
      <c r="Z51" s="142" t="str">
        <f aca="false">IF($A51="","",ROUND(SUM($B51:$Y51),2))</f>
        <v/>
      </c>
      <c r="AA51" s="41" t="str">
        <f aca="false">IF($A51="","",ROUND(SUMIF(成本费用登记表!$D$4:$D$303,$A51,成本费用登记表!$AA$4:$AA$303)+SUMIFS(资金日记账!$I$4:$I$603,资金日记账!$G$4:$G$603,$A51,资金日记账!$U$4:$U$603,"&lt;&gt;是"),2))</f>
        <v/>
      </c>
      <c r="AB51" s="41" t="str">
        <f aca="false">IF($A51="","",ROUND(N($Z51)-N($AA51),2))</f>
        <v/>
      </c>
    </row>
    <row r="52" customFormat="false" ht="13.5" hidden="false" customHeight="false" outlineLevel="0" collapsed="false">
      <c r="A52" s="33" t="str">
        <f aca="false">IFERROR(INDEX(_自动清单!$X$4:$X$63,48),"")</f>
        <v/>
      </c>
      <c r="B52" s="41" t="str">
        <f aca="false">IF($A52="","",ROUND(SUMIFS(成本费用登记表!$H$4:$H$303,成本费用登记表!$D$4:$D$303,$A52,成本费用登记表!$AC$4:$AC$303,B$4)+SUMIFS(资金日记账!$I$4:$I$603,资金日记账!$G$4:$G$603,$A52,资金日记账!$U$4:$U$603,"&lt;&gt;是",资金日记账!$V$4:$V$603,B$4),2))</f>
        <v/>
      </c>
      <c r="C52" s="41" t="str">
        <f aca="false">IF($A52="","",ROUND(SUMIFS(成本费用登记表!$H$4:$H$303,成本费用登记表!$D$4:$D$303,$A52,成本费用登记表!$AC$4:$AC$303,C$4)+SUMIFS(资金日记账!$I$4:$I$603,资金日记账!$G$4:$G$603,$A52,资金日记账!$U$4:$U$603,"&lt;&gt;是",资金日记账!$V$4:$V$603,C$4),2))</f>
        <v/>
      </c>
      <c r="D52" s="41" t="str">
        <f aca="false">IF($A52="","",ROUND(SUMIFS(成本费用登记表!$H$4:$H$303,成本费用登记表!$D$4:$D$303,$A52,成本费用登记表!$AC$4:$AC$303,D$4)+SUMIFS(资金日记账!$I$4:$I$603,资金日记账!$G$4:$G$603,$A52,资金日记账!$U$4:$U$603,"&lt;&gt;是",资金日记账!$V$4:$V$603,D$4),2))</f>
        <v/>
      </c>
      <c r="E52" s="41" t="str">
        <f aca="false">IF($A52="","",ROUND(SUMIFS(成本费用登记表!$H$4:$H$303,成本费用登记表!$D$4:$D$303,$A52,成本费用登记表!$AC$4:$AC$303,E$4)+SUMIFS(资金日记账!$I$4:$I$603,资金日记账!$G$4:$G$603,$A52,资金日记账!$U$4:$U$603,"&lt;&gt;是",资金日记账!$V$4:$V$603,E$4),2))</f>
        <v/>
      </c>
      <c r="F52" s="41" t="str">
        <f aca="false">IF($A52="","",ROUND(SUMIFS(成本费用登记表!$H$4:$H$303,成本费用登记表!$D$4:$D$303,$A52,成本费用登记表!$AC$4:$AC$303,F$4)+SUMIFS(资金日记账!$I$4:$I$603,资金日记账!$G$4:$G$603,$A52,资金日记账!$U$4:$U$603,"&lt;&gt;是",资金日记账!$V$4:$V$603,F$4),2))</f>
        <v/>
      </c>
      <c r="G52" s="41" t="str">
        <f aca="false">IF($A52="","",ROUND(SUMIFS(成本费用登记表!$H$4:$H$303,成本费用登记表!$D$4:$D$303,$A52,成本费用登记表!$AC$4:$AC$303,G$4)+SUMIFS(资金日记账!$I$4:$I$603,资金日记账!$G$4:$G$603,$A52,资金日记账!$U$4:$U$603,"&lt;&gt;是",资金日记账!$V$4:$V$603,G$4),2))</f>
        <v/>
      </c>
      <c r="H52" s="41" t="str">
        <f aca="false">IF($A52="","",ROUND(SUMIFS(成本费用登记表!$H$4:$H$303,成本费用登记表!$D$4:$D$303,$A52,成本费用登记表!$AC$4:$AC$303,H$4)+SUMIFS(资金日记账!$I$4:$I$603,资金日记账!$G$4:$G$603,$A52,资金日记账!$U$4:$U$603,"&lt;&gt;是",资金日记账!$V$4:$V$603,H$4),2))</f>
        <v/>
      </c>
      <c r="I52" s="41" t="str">
        <f aca="false">IF($A52="","",ROUND(SUMIFS(成本费用登记表!$H$4:$H$303,成本费用登记表!$D$4:$D$303,$A52,成本费用登记表!$AC$4:$AC$303,I$4)+SUMIFS(资金日记账!$I$4:$I$603,资金日记账!$G$4:$G$603,$A52,资金日记账!$U$4:$U$603,"&lt;&gt;是",资金日记账!$V$4:$V$603,I$4),2))</f>
        <v/>
      </c>
      <c r="J52" s="41" t="str">
        <f aca="false">IF($A52="","",ROUND(SUMIFS(成本费用登记表!$H$4:$H$303,成本费用登记表!$D$4:$D$303,$A52,成本费用登记表!$AC$4:$AC$303,J$4)+SUMIFS(资金日记账!$I$4:$I$603,资金日记账!$G$4:$G$603,$A52,资金日记账!$U$4:$U$603,"&lt;&gt;是",资金日记账!$V$4:$V$603,J$4),2))</f>
        <v/>
      </c>
      <c r="K52" s="41" t="str">
        <f aca="false">IF($A52="","",ROUND(SUMIFS(成本费用登记表!$H$4:$H$303,成本费用登记表!$D$4:$D$303,$A52,成本费用登记表!$AC$4:$AC$303,K$4)+SUMIFS(资金日记账!$I$4:$I$603,资金日记账!$G$4:$G$603,$A52,资金日记账!$U$4:$U$603,"&lt;&gt;是",资金日记账!$V$4:$V$603,K$4),2))</f>
        <v/>
      </c>
      <c r="L52" s="41" t="str">
        <f aca="false">IF($A52="","",ROUND(SUMIFS(成本费用登记表!$H$4:$H$303,成本费用登记表!$D$4:$D$303,$A52,成本费用登记表!$AC$4:$AC$303,L$4)+SUMIFS(资金日记账!$I$4:$I$603,资金日记账!$G$4:$G$603,$A52,资金日记账!$U$4:$U$603,"&lt;&gt;是",资金日记账!$V$4:$V$603,L$4),2))</f>
        <v/>
      </c>
      <c r="M52" s="41" t="str">
        <f aca="false">IF($A52="","",ROUND(SUMIFS(成本费用登记表!$H$4:$H$303,成本费用登记表!$D$4:$D$303,$A52,成本费用登记表!$AC$4:$AC$303,M$4)+SUMIFS(资金日记账!$I$4:$I$603,资金日记账!$G$4:$G$603,$A52,资金日记账!$U$4:$U$603,"&lt;&gt;是",资金日记账!$V$4:$V$603,M$4),2))</f>
        <v/>
      </c>
      <c r="N52" s="41" t="str">
        <f aca="false">IF($A52="","",ROUND(SUMIFS(成本费用登记表!$H$4:$H$303,成本费用登记表!$D$4:$D$303,$A52,成本费用登记表!$AC$4:$AC$303,N$4)+SUMIFS(资金日记账!$I$4:$I$603,资金日记账!$G$4:$G$603,$A52,资金日记账!$U$4:$U$603,"&lt;&gt;是",资金日记账!$V$4:$V$603,N$4),2))</f>
        <v/>
      </c>
      <c r="O52" s="41" t="str">
        <f aca="false">IF($A52="","",ROUND(SUMIFS(成本费用登记表!$H$4:$H$303,成本费用登记表!$D$4:$D$303,$A52,成本费用登记表!$AC$4:$AC$303,O$4)+SUMIFS(资金日记账!$I$4:$I$603,资金日记账!$G$4:$G$603,$A52,资金日记账!$U$4:$U$603,"&lt;&gt;是",资金日记账!$V$4:$V$603,O$4),2))</f>
        <v/>
      </c>
      <c r="P52" s="41" t="str">
        <f aca="false">IF($A52="","",ROUND(SUMIFS(成本费用登记表!$H$4:$H$303,成本费用登记表!$D$4:$D$303,$A52,成本费用登记表!$AC$4:$AC$303,P$4)+SUMIFS(资金日记账!$I$4:$I$603,资金日记账!$G$4:$G$603,$A52,资金日记账!$U$4:$U$603,"&lt;&gt;是",资金日记账!$V$4:$V$603,P$4),2))</f>
        <v/>
      </c>
      <c r="Q52" s="41" t="str">
        <f aca="false">IF($A52="","",ROUND(SUMIFS(成本费用登记表!$H$4:$H$303,成本费用登记表!$D$4:$D$303,$A52,成本费用登记表!$AC$4:$AC$303,Q$4)+SUMIFS(资金日记账!$I$4:$I$603,资金日记账!$G$4:$G$603,$A52,资金日记账!$U$4:$U$603,"&lt;&gt;是",资金日记账!$V$4:$V$603,Q$4),2))</f>
        <v/>
      </c>
      <c r="R52" s="41" t="str">
        <f aca="false">IF($A52="","",ROUND(SUMIFS(成本费用登记表!$H$4:$H$303,成本费用登记表!$D$4:$D$303,$A52,成本费用登记表!$AC$4:$AC$303,R$4)+SUMIFS(资金日记账!$I$4:$I$603,资金日记账!$G$4:$G$603,$A52,资金日记账!$U$4:$U$603,"&lt;&gt;是",资金日记账!$V$4:$V$603,R$4),2))</f>
        <v/>
      </c>
      <c r="S52" s="41" t="str">
        <f aca="false">IF($A52="","",ROUND(SUMIFS(成本费用登记表!$H$4:$H$303,成本费用登记表!$D$4:$D$303,$A52,成本费用登记表!$AC$4:$AC$303,S$4)+SUMIFS(资金日记账!$I$4:$I$603,资金日记账!$G$4:$G$603,$A52,资金日记账!$U$4:$U$603,"&lt;&gt;是",资金日记账!$V$4:$V$603,S$4),2))</f>
        <v/>
      </c>
      <c r="T52" s="41" t="str">
        <f aca="false">IF($A52="","",ROUND(SUMIFS(成本费用登记表!$H$4:$H$303,成本费用登记表!$D$4:$D$303,$A52,成本费用登记表!$AC$4:$AC$303,T$4)+SUMIFS(资金日记账!$I$4:$I$603,资金日记账!$G$4:$G$603,$A52,资金日记账!$U$4:$U$603,"&lt;&gt;是",资金日记账!$V$4:$V$603,T$4),2))</f>
        <v/>
      </c>
      <c r="U52" s="41" t="str">
        <f aca="false">IF($A52="","",ROUND(SUMIFS(成本费用登记表!$H$4:$H$303,成本费用登记表!$D$4:$D$303,$A52,成本费用登记表!$AC$4:$AC$303,U$4)+SUMIFS(资金日记账!$I$4:$I$603,资金日记账!$G$4:$G$603,$A52,资金日记账!$U$4:$U$603,"&lt;&gt;是",资金日记账!$V$4:$V$603,U$4),2))</f>
        <v/>
      </c>
      <c r="V52" s="41" t="str">
        <f aca="false">IF($A52="","",ROUND(SUMIFS(成本费用登记表!$H$4:$H$303,成本费用登记表!$D$4:$D$303,$A52,成本费用登记表!$AC$4:$AC$303,V$4)+SUMIFS(资金日记账!$I$4:$I$603,资金日记账!$G$4:$G$603,$A52,资金日记账!$U$4:$U$603,"&lt;&gt;是",资金日记账!$V$4:$V$603,V$4),2))</f>
        <v/>
      </c>
      <c r="W52" s="41" t="str">
        <f aca="false">IF($A52="","",ROUND(SUMIFS(成本费用登记表!$H$4:$H$303,成本费用登记表!$D$4:$D$303,$A52,成本费用登记表!$AC$4:$AC$303,W$4)+SUMIFS(资金日记账!$I$4:$I$603,资金日记账!$G$4:$G$603,$A52,资金日记账!$U$4:$U$603,"&lt;&gt;是",资金日记账!$V$4:$V$603,W$4),2))</f>
        <v/>
      </c>
      <c r="X52" s="41" t="str">
        <f aca="false">IF($A52="","",ROUND(SUMIFS(成本费用登记表!$H$4:$H$303,成本费用登记表!$D$4:$D$303,$A52,成本费用登记表!$AC$4:$AC$303,X$4)+SUMIFS(资金日记账!$I$4:$I$603,资金日记账!$G$4:$G$603,$A52,资金日记账!$U$4:$U$603,"&lt;&gt;是",资金日记账!$V$4:$V$603,X$4),2))</f>
        <v/>
      </c>
      <c r="Y52" s="41" t="str">
        <f aca="false">IF($A52="","",ROUND(SUMIFS(成本费用登记表!$H$4:$H$303,成本费用登记表!$D$4:$D$303,$A52,成本费用登记表!$AC$4:$AC$303,Y$4)+SUMIFS(资金日记账!$I$4:$I$603,资金日记账!$G$4:$G$603,$A52,资金日记账!$U$4:$U$603,"&lt;&gt;是",资金日记账!$V$4:$V$603,Y$4),2))</f>
        <v/>
      </c>
      <c r="Z52" s="142" t="str">
        <f aca="false">IF($A52="","",ROUND(SUM($B52:$Y52),2))</f>
        <v/>
      </c>
      <c r="AA52" s="41" t="str">
        <f aca="false">IF($A52="","",ROUND(SUMIF(成本费用登记表!$D$4:$D$303,$A52,成本费用登记表!$AA$4:$AA$303)+SUMIFS(资金日记账!$I$4:$I$603,资金日记账!$G$4:$G$603,$A52,资金日记账!$U$4:$U$603,"&lt;&gt;是"),2))</f>
        <v/>
      </c>
      <c r="AB52" s="41" t="str">
        <f aca="false">IF($A52="","",ROUND(N($Z52)-N($AA52),2))</f>
        <v/>
      </c>
    </row>
    <row r="53" customFormat="false" ht="13.5" hidden="false" customHeight="false" outlineLevel="0" collapsed="false">
      <c r="A53" s="33" t="str">
        <f aca="false">IFERROR(INDEX(_自动清单!$X$4:$X$63,49),"")</f>
        <v/>
      </c>
      <c r="B53" s="41" t="str">
        <f aca="false">IF($A53="","",ROUND(SUMIFS(成本费用登记表!$H$4:$H$303,成本费用登记表!$D$4:$D$303,$A53,成本费用登记表!$AC$4:$AC$303,B$4)+SUMIFS(资金日记账!$I$4:$I$603,资金日记账!$G$4:$G$603,$A53,资金日记账!$U$4:$U$603,"&lt;&gt;是",资金日记账!$V$4:$V$603,B$4),2))</f>
        <v/>
      </c>
      <c r="C53" s="41" t="str">
        <f aca="false">IF($A53="","",ROUND(SUMIFS(成本费用登记表!$H$4:$H$303,成本费用登记表!$D$4:$D$303,$A53,成本费用登记表!$AC$4:$AC$303,C$4)+SUMIFS(资金日记账!$I$4:$I$603,资金日记账!$G$4:$G$603,$A53,资金日记账!$U$4:$U$603,"&lt;&gt;是",资金日记账!$V$4:$V$603,C$4),2))</f>
        <v/>
      </c>
      <c r="D53" s="41" t="str">
        <f aca="false">IF($A53="","",ROUND(SUMIFS(成本费用登记表!$H$4:$H$303,成本费用登记表!$D$4:$D$303,$A53,成本费用登记表!$AC$4:$AC$303,D$4)+SUMIFS(资金日记账!$I$4:$I$603,资金日记账!$G$4:$G$603,$A53,资金日记账!$U$4:$U$603,"&lt;&gt;是",资金日记账!$V$4:$V$603,D$4),2))</f>
        <v/>
      </c>
      <c r="E53" s="41" t="str">
        <f aca="false">IF($A53="","",ROUND(SUMIFS(成本费用登记表!$H$4:$H$303,成本费用登记表!$D$4:$D$303,$A53,成本费用登记表!$AC$4:$AC$303,E$4)+SUMIFS(资金日记账!$I$4:$I$603,资金日记账!$G$4:$G$603,$A53,资金日记账!$U$4:$U$603,"&lt;&gt;是",资金日记账!$V$4:$V$603,E$4),2))</f>
        <v/>
      </c>
      <c r="F53" s="41" t="str">
        <f aca="false">IF($A53="","",ROUND(SUMIFS(成本费用登记表!$H$4:$H$303,成本费用登记表!$D$4:$D$303,$A53,成本费用登记表!$AC$4:$AC$303,F$4)+SUMIFS(资金日记账!$I$4:$I$603,资金日记账!$G$4:$G$603,$A53,资金日记账!$U$4:$U$603,"&lt;&gt;是",资金日记账!$V$4:$V$603,F$4),2))</f>
        <v/>
      </c>
      <c r="G53" s="41" t="str">
        <f aca="false">IF($A53="","",ROUND(SUMIFS(成本费用登记表!$H$4:$H$303,成本费用登记表!$D$4:$D$303,$A53,成本费用登记表!$AC$4:$AC$303,G$4)+SUMIFS(资金日记账!$I$4:$I$603,资金日记账!$G$4:$G$603,$A53,资金日记账!$U$4:$U$603,"&lt;&gt;是",资金日记账!$V$4:$V$603,G$4),2))</f>
        <v/>
      </c>
      <c r="H53" s="41" t="str">
        <f aca="false">IF($A53="","",ROUND(SUMIFS(成本费用登记表!$H$4:$H$303,成本费用登记表!$D$4:$D$303,$A53,成本费用登记表!$AC$4:$AC$303,H$4)+SUMIFS(资金日记账!$I$4:$I$603,资金日记账!$G$4:$G$603,$A53,资金日记账!$U$4:$U$603,"&lt;&gt;是",资金日记账!$V$4:$V$603,H$4),2))</f>
        <v/>
      </c>
      <c r="I53" s="41" t="str">
        <f aca="false">IF($A53="","",ROUND(SUMIFS(成本费用登记表!$H$4:$H$303,成本费用登记表!$D$4:$D$303,$A53,成本费用登记表!$AC$4:$AC$303,I$4)+SUMIFS(资金日记账!$I$4:$I$603,资金日记账!$G$4:$G$603,$A53,资金日记账!$U$4:$U$603,"&lt;&gt;是",资金日记账!$V$4:$V$603,I$4),2))</f>
        <v/>
      </c>
      <c r="J53" s="41" t="str">
        <f aca="false">IF($A53="","",ROUND(SUMIFS(成本费用登记表!$H$4:$H$303,成本费用登记表!$D$4:$D$303,$A53,成本费用登记表!$AC$4:$AC$303,J$4)+SUMIFS(资金日记账!$I$4:$I$603,资金日记账!$G$4:$G$603,$A53,资金日记账!$U$4:$U$603,"&lt;&gt;是",资金日记账!$V$4:$V$603,J$4),2))</f>
        <v/>
      </c>
      <c r="K53" s="41" t="str">
        <f aca="false">IF($A53="","",ROUND(SUMIFS(成本费用登记表!$H$4:$H$303,成本费用登记表!$D$4:$D$303,$A53,成本费用登记表!$AC$4:$AC$303,K$4)+SUMIFS(资金日记账!$I$4:$I$603,资金日记账!$G$4:$G$603,$A53,资金日记账!$U$4:$U$603,"&lt;&gt;是",资金日记账!$V$4:$V$603,K$4),2))</f>
        <v/>
      </c>
      <c r="L53" s="41" t="str">
        <f aca="false">IF($A53="","",ROUND(SUMIFS(成本费用登记表!$H$4:$H$303,成本费用登记表!$D$4:$D$303,$A53,成本费用登记表!$AC$4:$AC$303,L$4)+SUMIFS(资金日记账!$I$4:$I$603,资金日记账!$G$4:$G$603,$A53,资金日记账!$U$4:$U$603,"&lt;&gt;是",资金日记账!$V$4:$V$603,L$4),2))</f>
        <v/>
      </c>
      <c r="M53" s="41" t="str">
        <f aca="false">IF($A53="","",ROUND(SUMIFS(成本费用登记表!$H$4:$H$303,成本费用登记表!$D$4:$D$303,$A53,成本费用登记表!$AC$4:$AC$303,M$4)+SUMIFS(资金日记账!$I$4:$I$603,资金日记账!$G$4:$G$603,$A53,资金日记账!$U$4:$U$603,"&lt;&gt;是",资金日记账!$V$4:$V$603,M$4),2))</f>
        <v/>
      </c>
      <c r="N53" s="41" t="str">
        <f aca="false">IF($A53="","",ROUND(SUMIFS(成本费用登记表!$H$4:$H$303,成本费用登记表!$D$4:$D$303,$A53,成本费用登记表!$AC$4:$AC$303,N$4)+SUMIFS(资金日记账!$I$4:$I$603,资金日记账!$G$4:$G$603,$A53,资金日记账!$U$4:$U$603,"&lt;&gt;是",资金日记账!$V$4:$V$603,N$4),2))</f>
        <v/>
      </c>
      <c r="O53" s="41" t="str">
        <f aca="false">IF($A53="","",ROUND(SUMIFS(成本费用登记表!$H$4:$H$303,成本费用登记表!$D$4:$D$303,$A53,成本费用登记表!$AC$4:$AC$303,O$4)+SUMIFS(资金日记账!$I$4:$I$603,资金日记账!$G$4:$G$603,$A53,资金日记账!$U$4:$U$603,"&lt;&gt;是",资金日记账!$V$4:$V$603,O$4),2))</f>
        <v/>
      </c>
      <c r="P53" s="41" t="str">
        <f aca="false">IF($A53="","",ROUND(SUMIFS(成本费用登记表!$H$4:$H$303,成本费用登记表!$D$4:$D$303,$A53,成本费用登记表!$AC$4:$AC$303,P$4)+SUMIFS(资金日记账!$I$4:$I$603,资金日记账!$G$4:$G$603,$A53,资金日记账!$U$4:$U$603,"&lt;&gt;是",资金日记账!$V$4:$V$603,P$4),2))</f>
        <v/>
      </c>
      <c r="Q53" s="41" t="str">
        <f aca="false">IF($A53="","",ROUND(SUMIFS(成本费用登记表!$H$4:$H$303,成本费用登记表!$D$4:$D$303,$A53,成本费用登记表!$AC$4:$AC$303,Q$4)+SUMIFS(资金日记账!$I$4:$I$603,资金日记账!$G$4:$G$603,$A53,资金日记账!$U$4:$U$603,"&lt;&gt;是",资金日记账!$V$4:$V$603,Q$4),2))</f>
        <v/>
      </c>
      <c r="R53" s="41" t="str">
        <f aca="false">IF($A53="","",ROUND(SUMIFS(成本费用登记表!$H$4:$H$303,成本费用登记表!$D$4:$D$303,$A53,成本费用登记表!$AC$4:$AC$303,R$4)+SUMIFS(资金日记账!$I$4:$I$603,资金日记账!$G$4:$G$603,$A53,资金日记账!$U$4:$U$603,"&lt;&gt;是",资金日记账!$V$4:$V$603,R$4),2))</f>
        <v/>
      </c>
      <c r="S53" s="41" t="str">
        <f aca="false">IF($A53="","",ROUND(SUMIFS(成本费用登记表!$H$4:$H$303,成本费用登记表!$D$4:$D$303,$A53,成本费用登记表!$AC$4:$AC$303,S$4)+SUMIFS(资金日记账!$I$4:$I$603,资金日记账!$G$4:$G$603,$A53,资金日记账!$U$4:$U$603,"&lt;&gt;是",资金日记账!$V$4:$V$603,S$4),2))</f>
        <v/>
      </c>
      <c r="T53" s="41" t="str">
        <f aca="false">IF($A53="","",ROUND(SUMIFS(成本费用登记表!$H$4:$H$303,成本费用登记表!$D$4:$D$303,$A53,成本费用登记表!$AC$4:$AC$303,T$4)+SUMIFS(资金日记账!$I$4:$I$603,资金日记账!$G$4:$G$603,$A53,资金日记账!$U$4:$U$603,"&lt;&gt;是",资金日记账!$V$4:$V$603,T$4),2))</f>
        <v/>
      </c>
      <c r="U53" s="41" t="str">
        <f aca="false">IF($A53="","",ROUND(SUMIFS(成本费用登记表!$H$4:$H$303,成本费用登记表!$D$4:$D$303,$A53,成本费用登记表!$AC$4:$AC$303,U$4)+SUMIFS(资金日记账!$I$4:$I$603,资金日记账!$G$4:$G$603,$A53,资金日记账!$U$4:$U$603,"&lt;&gt;是",资金日记账!$V$4:$V$603,U$4),2))</f>
        <v/>
      </c>
      <c r="V53" s="41" t="str">
        <f aca="false">IF($A53="","",ROUND(SUMIFS(成本费用登记表!$H$4:$H$303,成本费用登记表!$D$4:$D$303,$A53,成本费用登记表!$AC$4:$AC$303,V$4)+SUMIFS(资金日记账!$I$4:$I$603,资金日记账!$G$4:$G$603,$A53,资金日记账!$U$4:$U$603,"&lt;&gt;是",资金日记账!$V$4:$V$603,V$4),2))</f>
        <v/>
      </c>
      <c r="W53" s="41" t="str">
        <f aca="false">IF($A53="","",ROUND(SUMIFS(成本费用登记表!$H$4:$H$303,成本费用登记表!$D$4:$D$303,$A53,成本费用登记表!$AC$4:$AC$303,W$4)+SUMIFS(资金日记账!$I$4:$I$603,资金日记账!$G$4:$G$603,$A53,资金日记账!$U$4:$U$603,"&lt;&gt;是",资金日记账!$V$4:$V$603,W$4),2))</f>
        <v/>
      </c>
      <c r="X53" s="41" t="str">
        <f aca="false">IF($A53="","",ROUND(SUMIFS(成本费用登记表!$H$4:$H$303,成本费用登记表!$D$4:$D$303,$A53,成本费用登记表!$AC$4:$AC$303,X$4)+SUMIFS(资金日记账!$I$4:$I$603,资金日记账!$G$4:$G$603,$A53,资金日记账!$U$4:$U$603,"&lt;&gt;是",资金日记账!$V$4:$V$603,X$4),2))</f>
        <v/>
      </c>
      <c r="Y53" s="41" t="str">
        <f aca="false">IF($A53="","",ROUND(SUMIFS(成本费用登记表!$H$4:$H$303,成本费用登记表!$D$4:$D$303,$A53,成本费用登记表!$AC$4:$AC$303,Y$4)+SUMIFS(资金日记账!$I$4:$I$603,资金日记账!$G$4:$G$603,$A53,资金日记账!$U$4:$U$603,"&lt;&gt;是",资金日记账!$V$4:$V$603,Y$4),2))</f>
        <v/>
      </c>
      <c r="Z53" s="142" t="str">
        <f aca="false">IF($A53="","",ROUND(SUM($B53:$Y53),2))</f>
        <v/>
      </c>
      <c r="AA53" s="41" t="str">
        <f aca="false">IF($A53="","",ROUND(SUMIF(成本费用登记表!$D$4:$D$303,$A53,成本费用登记表!$AA$4:$AA$303)+SUMIFS(资金日记账!$I$4:$I$603,资金日记账!$G$4:$G$603,$A53,资金日记账!$U$4:$U$603,"&lt;&gt;是"),2))</f>
        <v/>
      </c>
      <c r="AB53" s="41" t="str">
        <f aca="false">IF($A53="","",ROUND(N($Z53)-N($AA53),2))</f>
        <v/>
      </c>
    </row>
    <row r="54" customFormat="false" ht="13.5" hidden="false" customHeight="false" outlineLevel="0" collapsed="false">
      <c r="A54" s="33" t="str">
        <f aca="false">IFERROR(INDEX(_自动清单!$X$4:$X$63,50),"")</f>
        <v/>
      </c>
      <c r="B54" s="41" t="str">
        <f aca="false">IF($A54="","",ROUND(SUMIFS(成本费用登记表!$H$4:$H$303,成本费用登记表!$D$4:$D$303,$A54,成本费用登记表!$AC$4:$AC$303,B$4)+SUMIFS(资金日记账!$I$4:$I$603,资金日记账!$G$4:$G$603,$A54,资金日记账!$U$4:$U$603,"&lt;&gt;是",资金日记账!$V$4:$V$603,B$4),2))</f>
        <v/>
      </c>
      <c r="C54" s="41" t="str">
        <f aca="false">IF($A54="","",ROUND(SUMIFS(成本费用登记表!$H$4:$H$303,成本费用登记表!$D$4:$D$303,$A54,成本费用登记表!$AC$4:$AC$303,C$4)+SUMIFS(资金日记账!$I$4:$I$603,资金日记账!$G$4:$G$603,$A54,资金日记账!$U$4:$U$603,"&lt;&gt;是",资金日记账!$V$4:$V$603,C$4),2))</f>
        <v/>
      </c>
      <c r="D54" s="41" t="str">
        <f aca="false">IF($A54="","",ROUND(SUMIFS(成本费用登记表!$H$4:$H$303,成本费用登记表!$D$4:$D$303,$A54,成本费用登记表!$AC$4:$AC$303,D$4)+SUMIFS(资金日记账!$I$4:$I$603,资金日记账!$G$4:$G$603,$A54,资金日记账!$U$4:$U$603,"&lt;&gt;是",资金日记账!$V$4:$V$603,D$4),2))</f>
        <v/>
      </c>
      <c r="E54" s="41" t="str">
        <f aca="false">IF($A54="","",ROUND(SUMIFS(成本费用登记表!$H$4:$H$303,成本费用登记表!$D$4:$D$303,$A54,成本费用登记表!$AC$4:$AC$303,E$4)+SUMIFS(资金日记账!$I$4:$I$603,资金日记账!$G$4:$G$603,$A54,资金日记账!$U$4:$U$603,"&lt;&gt;是",资金日记账!$V$4:$V$603,E$4),2))</f>
        <v/>
      </c>
      <c r="F54" s="41" t="str">
        <f aca="false">IF($A54="","",ROUND(SUMIFS(成本费用登记表!$H$4:$H$303,成本费用登记表!$D$4:$D$303,$A54,成本费用登记表!$AC$4:$AC$303,F$4)+SUMIFS(资金日记账!$I$4:$I$603,资金日记账!$G$4:$G$603,$A54,资金日记账!$U$4:$U$603,"&lt;&gt;是",资金日记账!$V$4:$V$603,F$4),2))</f>
        <v/>
      </c>
      <c r="G54" s="41" t="str">
        <f aca="false">IF($A54="","",ROUND(SUMIFS(成本费用登记表!$H$4:$H$303,成本费用登记表!$D$4:$D$303,$A54,成本费用登记表!$AC$4:$AC$303,G$4)+SUMIFS(资金日记账!$I$4:$I$603,资金日记账!$G$4:$G$603,$A54,资金日记账!$U$4:$U$603,"&lt;&gt;是",资金日记账!$V$4:$V$603,G$4),2))</f>
        <v/>
      </c>
      <c r="H54" s="41" t="str">
        <f aca="false">IF($A54="","",ROUND(SUMIFS(成本费用登记表!$H$4:$H$303,成本费用登记表!$D$4:$D$303,$A54,成本费用登记表!$AC$4:$AC$303,H$4)+SUMIFS(资金日记账!$I$4:$I$603,资金日记账!$G$4:$G$603,$A54,资金日记账!$U$4:$U$603,"&lt;&gt;是",资金日记账!$V$4:$V$603,H$4),2))</f>
        <v/>
      </c>
      <c r="I54" s="41" t="str">
        <f aca="false">IF($A54="","",ROUND(SUMIFS(成本费用登记表!$H$4:$H$303,成本费用登记表!$D$4:$D$303,$A54,成本费用登记表!$AC$4:$AC$303,I$4)+SUMIFS(资金日记账!$I$4:$I$603,资金日记账!$G$4:$G$603,$A54,资金日记账!$U$4:$U$603,"&lt;&gt;是",资金日记账!$V$4:$V$603,I$4),2))</f>
        <v/>
      </c>
      <c r="J54" s="41" t="str">
        <f aca="false">IF($A54="","",ROUND(SUMIFS(成本费用登记表!$H$4:$H$303,成本费用登记表!$D$4:$D$303,$A54,成本费用登记表!$AC$4:$AC$303,J$4)+SUMIFS(资金日记账!$I$4:$I$603,资金日记账!$G$4:$G$603,$A54,资金日记账!$U$4:$U$603,"&lt;&gt;是",资金日记账!$V$4:$V$603,J$4),2))</f>
        <v/>
      </c>
      <c r="K54" s="41" t="str">
        <f aca="false">IF($A54="","",ROUND(SUMIFS(成本费用登记表!$H$4:$H$303,成本费用登记表!$D$4:$D$303,$A54,成本费用登记表!$AC$4:$AC$303,K$4)+SUMIFS(资金日记账!$I$4:$I$603,资金日记账!$G$4:$G$603,$A54,资金日记账!$U$4:$U$603,"&lt;&gt;是",资金日记账!$V$4:$V$603,K$4),2))</f>
        <v/>
      </c>
      <c r="L54" s="41" t="str">
        <f aca="false">IF($A54="","",ROUND(SUMIFS(成本费用登记表!$H$4:$H$303,成本费用登记表!$D$4:$D$303,$A54,成本费用登记表!$AC$4:$AC$303,L$4)+SUMIFS(资金日记账!$I$4:$I$603,资金日记账!$G$4:$G$603,$A54,资金日记账!$U$4:$U$603,"&lt;&gt;是",资金日记账!$V$4:$V$603,L$4),2))</f>
        <v/>
      </c>
      <c r="M54" s="41" t="str">
        <f aca="false">IF($A54="","",ROUND(SUMIFS(成本费用登记表!$H$4:$H$303,成本费用登记表!$D$4:$D$303,$A54,成本费用登记表!$AC$4:$AC$303,M$4)+SUMIFS(资金日记账!$I$4:$I$603,资金日记账!$G$4:$G$603,$A54,资金日记账!$U$4:$U$603,"&lt;&gt;是",资金日记账!$V$4:$V$603,M$4),2))</f>
        <v/>
      </c>
      <c r="N54" s="41" t="str">
        <f aca="false">IF($A54="","",ROUND(SUMIFS(成本费用登记表!$H$4:$H$303,成本费用登记表!$D$4:$D$303,$A54,成本费用登记表!$AC$4:$AC$303,N$4)+SUMIFS(资金日记账!$I$4:$I$603,资金日记账!$G$4:$G$603,$A54,资金日记账!$U$4:$U$603,"&lt;&gt;是",资金日记账!$V$4:$V$603,N$4),2))</f>
        <v/>
      </c>
      <c r="O54" s="41" t="str">
        <f aca="false">IF($A54="","",ROUND(SUMIFS(成本费用登记表!$H$4:$H$303,成本费用登记表!$D$4:$D$303,$A54,成本费用登记表!$AC$4:$AC$303,O$4)+SUMIFS(资金日记账!$I$4:$I$603,资金日记账!$G$4:$G$603,$A54,资金日记账!$U$4:$U$603,"&lt;&gt;是",资金日记账!$V$4:$V$603,O$4),2))</f>
        <v/>
      </c>
      <c r="P54" s="41" t="str">
        <f aca="false">IF($A54="","",ROUND(SUMIFS(成本费用登记表!$H$4:$H$303,成本费用登记表!$D$4:$D$303,$A54,成本费用登记表!$AC$4:$AC$303,P$4)+SUMIFS(资金日记账!$I$4:$I$603,资金日记账!$G$4:$G$603,$A54,资金日记账!$U$4:$U$603,"&lt;&gt;是",资金日记账!$V$4:$V$603,P$4),2))</f>
        <v/>
      </c>
      <c r="Q54" s="41" t="str">
        <f aca="false">IF($A54="","",ROUND(SUMIFS(成本费用登记表!$H$4:$H$303,成本费用登记表!$D$4:$D$303,$A54,成本费用登记表!$AC$4:$AC$303,Q$4)+SUMIFS(资金日记账!$I$4:$I$603,资金日记账!$G$4:$G$603,$A54,资金日记账!$U$4:$U$603,"&lt;&gt;是",资金日记账!$V$4:$V$603,Q$4),2))</f>
        <v/>
      </c>
      <c r="R54" s="41" t="str">
        <f aca="false">IF($A54="","",ROUND(SUMIFS(成本费用登记表!$H$4:$H$303,成本费用登记表!$D$4:$D$303,$A54,成本费用登记表!$AC$4:$AC$303,R$4)+SUMIFS(资金日记账!$I$4:$I$603,资金日记账!$G$4:$G$603,$A54,资金日记账!$U$4:$U$603,"&lt;&gt;是",资金日记账!$V$4:$V$603,R$4),2))</f>
        <v/>
      </c>
      <c r="S54" s="41" t="str">
        <f aca="false">IF($A54="","",ROUND(SUMIFS(成本费用登记表!$H$4:$H$303,成本费用登记表!$D$4:$D$303,$A54,成本费用登记表!$AC$4:$AC$303,S$4)+SUMIFS(资金日记账!$I$4:$I$603,资金日记账!$G$4:$G$603,$A54,资金日记账!$U$4:$U$603,"&lt;&gt;是",资金日记账!$V$4:$V$603,S$4),2))</f>
        <v/>
      </c>
      <c r="T54" s="41" t="str">
        <f aca="false">IF($A54="","",ROUND(SUMIFS(成本费用登记表!$H$4:$H$303,成本费用登记表!$D$4:$D$303,$A54,成本费用登记表!$AC$4:$AC$303,T$4)+SUMIFS(资金日记账!$I$4:$I$603,资金日记账!$G$4:$G$603,$A54,资金日记账!$U$4:$U$603,"&lt;&gt;是",资金日记账!$V$4:$V$603,T$4),2))</f>
        <v/>
      </c>
      <c r="U54" s="41" t="str">
        <f aca="false">IF($A54="","",ROUND(SUMIFS(成本费用登记表!$H$4:$H$303,成本费用登记表!$D$4:$D$303,$A54,成本费用登记表!$AC$4:$AC$303,U$4)+SUMIFS(资金日记账!$I$4:$I$603,资金日记账!$G$4:$G$603,$A54,资金日记账!$U$4:$U$603,"&lt;&gt;是",资金日记账!$V$4:$V$603,U$4),2))</f>
        <v/>
      </c>
      <c r="V54" s="41" t="str">
        <f aca="false">IF($A54="","",ROUND(SUMIFS(成本费用登记表!$H$4:$H$303,成本费用登记表!$D$4:$D$303,$A54,成本费用登记表!$AC$4:$AC$303,V$4)+SUMIFS(资金日记账!$I$4:$I$603,资金日记账!$G$4:$G$603,$A54,资金日记账!$U$4:$U$603,"&lt;&gt;是",资金日记账!$V$4:$V$603,V$4),2))</f>
        <v/>
      </c>
      <c r="W54" s="41" t="str">
        <f aca="false">IF($A54="","",ROUND(SUMIFS(成本费用登记表!$H$4:$H$303,成本费用登记表!$D$4:$D$303,$A54,成本费用登记表!$AC$4:$AC$303,W$4)+SUMIFS(资金日记账!$I$4:$I$603,资金日记账!$G$4:$G$603,$A54,资金日记账!$U$4:$U$603,"&lt;&gt;是",资金日记账!$V$4:$V$603,W$4),2))</f>
        <v/>
      </c>
      <c r="X54" s="41" t="str">
        <f aca="false">IF($A54="","",ROUND(SUMIFS(成本费用登记表!$H$4:$H$303,成本费用登记表!$D$4:$D$303,$A54,成本费用登记表!$AC$4:$AC$303,X$4)+SUMIFS(资金日记账!$I$4:$I$603,资金日记账!$G$4:$G$603,$A54,资金日记账!$U$4:$U$603,"&lt;&gt;是",资金日记账!$V$4:$V$603,X$4),2))</f>
        <v/>
      </c>
      <c r="Y54" s="41" t="str">
        <f aca="false">IF($A54="","",ROUND(SUMIFS(成本费用登记表!$H$4:$H$303,成本费用登记表!$D$4:$D$303,$A54,成本费用登记表!$AC$4:$AC$303,Y$4)+SUMIFS(资金日记账!$I$4:$I$603,资金日记账!$G$4:$G$603,$A54,资金日记账!$U$4:$U$603,"&lt;&gt;是",资金日记账!$V$4:$V$603,Y$4),2))</f>
        <v/>
      </c>
      <c r="Z54" s="142" t="str">
        <f aca="false">IF($A54="","",ROUND(SUM($B54:$Y54),2))</f>
        <v/>
      </c>
      <c r="AA54" s="41" t="str">
        <f aca="false">IF($A54="","",ROUND(SUMIF(成本费用登记表!$D$4:$D$303,$A54,成本费用登记表!$AA$4:$AA$303)+SUMIFS(资金日记账!$I$4:$I$603,资金日记账!$G$4:$G$603,$A54,资金日记账!$U$4:$U$603,"&lt;&gt;是"),2))</f>
        <v/>
      </c>
      <c r="AB54" s="41" t="str">
        <f aca="false">IF($A54="","",ROUND(N($Z54)-N($AA54),2))</f>
        <v/>
      </c>
    </row>
    <row r="55" customFormat="false" ht="13.5" hidden="false" customHeight="false" outlineLevel="0" collapsed="false">
      <c r="A55" s="33" t="str">
        <f aca="false">IFERROR(INDEX(_自动清单!$X$4:$X$63,51),"")</f>
        <v/>
      </c>
      <c r="B55" s="41" t="str">
        <f aca="false">IF($A55="","",ROUND(SUMIFS(成本费用登记表!$H$4:$H$303,成本费用登记表!$D$4:$D$303,$A55,成本费用登记表!$AC$4:$AC$303,B$4)+SUMIFS(资金日记账!$I$4:$I$603,资金日记账!$G$4:$G$603,$A55,资金日记账!$U$4:$U$603,"&lt;&gt;是",资金日记账!$V$4:$V$603,B$4),2))</f>
        <v/>
      </c>
      <c r="C55" s="41" t="str">
        <f aca="false">IF($A55="","",ROUND(SUMIFS(成本费用登记表!$H$4:$H$303,成本费用登记表!$D$4:$D$303,$A55,成本费用登记表!$AC$4:$AC$303,C$4)+SUMIFS(资金日记账!$I$4:$I$603,资金日记账!$G$4:$G$603,$A55,资金日记账!$U$4:$U$603,"&lt;&gt;是",资金日记账!$V$4:$V$603,C$4),2))</f>
        <v/>
      </c>
      <c r="D55" s="41" t="str">
        <f aca="false">IF($A55="","",ROUND(SUMIFS(成本费用登记表!$H$4:$H$303,成本费用登记表!$D$4:$D$303,$A55,成本费用登记表!$AC$4:$AC$303,D$4)+SUMIFS(资金日记账!$I$4:$I$603,资金日记账!$G$4:$G$603,$A55,资金日记账!$U$4:$U$603,"&lt;&gt;是",资金日记账!$V$4:$V$603,D$4),2))</f>
        <v/>
      </c>
      <c r="E55" s="41" t="str">
        <f aca="false">IF($A55="","",ROUND(SUMIFS(成本费用登记表!$H$4:$H$303,成本费用登记表!$D$4:$D$303,$A55,成本费用登记表!$AC$4:$AC$303,E$4)+SUMIFS(资金日记账!$I$4:$I$603,资金日记账!$G$4:$G$603,$A55,资金日记账!$U$4:$U$603,"&lt;&gt;是",资金日记账!$V$4:$V$603,E$4),2))</f>
        <v/>
      </c>
      <c r="F55" s="41" t="str">
        <f aca="false">IF($A55="","",ROUND(SUMIFS(成本费用登记表!$H$4:$H$303,成本费用登记表!$D$4:$D$303,$A55,成本费用登记表!$AC$4:$AC$303,F$4)+SUMIFS(资金日记账!$I$4:$I$603,资金日记账!$G$4:$G$603,$A55,资金日记账!$U$4:$U$603,"&lt;&gt;是",资金日记账!$V$4:$V$603,F$4),2))</f>
        <v/>
      </c>
      <c r="G55" s="41" t="str">
        <f aca="false">IF($A55="","",ROUND(SUMIFS(成本费用登记表!$H$4:$H$303,成本费用登记表!$D$4:$D$303,$A55,成本费用登记表!$AC$4:$AC$303,G$4)+SUMIFS(资金日记账!$I$4:$I$603,资金日记账!$G$4:$G$603,$A55,资金日记账!$U$4:$U$603,"&lt;&gt;是",资金日记账!$V$4:$V$603,G$4),2))</f>
        <v/>
      </c>
      <c r="H55" s="41" t="str">
        <f aca="false">IF($A55="","",ROUND(SUMIFS(成本费用登记表!$H$4:$H$303,成本费用登记表!$D$4:$D$303,$A55,成本费用登记表!$AC$4:$AC$303,H$4)+SUMIFS(资金日记账!$I$4:$I$603,资金日记账!$G$4:$G$603,$A55,资金日记账!$U$4:$U$603,"&lt;&gt;是",资金日记账!$V$4:$V$603,H$4),2))</f>
        <v/>
      </c>
      <c r="I55" s="41" t="str">
        <f aca="false">IF($A55="","",ROUND(SUMIFS(成本费用登记表!$H$4:$H$303,成本费用登记表!$D$4:$D$303,$A55,成本费用登记表!$AC$4:$AC$303,I$4)+SUMIFS(资金日记账!$I$4:$I$603,资金日记账!$G$4:$G$603,$A55,资金日记账!$U$4:$U$603,"&lt;&gt;是",资金日记账!$V$4:$V$603,I$4),2))</f>
        <v/>
      </c>
      <c r="J55" s="41" t="str">
        <f aca="false">IF($A55="","",ROUND(SUMIFS(成本费用登记表!$H$4:$H$303,成本费用登记表!$D$4:$D$303,$A55,成本费用登记表!$AC$4:$AC$303,J$4)+SUMIFS(资金日记账!$I$4:$I$603,资金日记账!$G$4:$G$603,$A55,资金日记账!$U$4:$U$603,"&lt;&gt;是",资金日记账!$V$4:$V$603,J$4),2))</f>
        <v/>
      </c>
      <c r="K55" s="41" t="str">
        <f aca="false">IF($A55="","",ROUND(SUMIFS(成本费用登记表!$H$4:$H$303,成本费用登记表!$D$4:$D$303,$A55,成本费用登记表!$AC$4:$AC$303,K$4)+SUMIFS(资金日记账!$I$4:$I$603,资金日记账!$G$4:$G$603,$A55,资金日记账!$U$4:$U$603,"&lt;&gt;是",资金日记账!$V$4:$V$603,K$4),2))</f>
        <v/>
      </c>
      <c r="L55" s="41" t="str">
        <f aca="false">IF($A55="","",ROUND(SUMIFS(成本费用登记表!$H$4:$H$303,成本费用登记表!$D$4:$D$303,$A55,成本费用登记表!$AC$4:$AC$303,L$4)+SUMIFS(资金日记账!$I$4:$I$603,资金日记账!$G$4:$G$603,$A55,资金日记账!$U$4:$U$603,"&lt;&gt;是",资金日记账!$V$4:$V$603,L$4),2))</f>
        <v/>
      </c>
      <c r="M55" s="41" t="str">
        <f aca="false">IF($A55="","",ROUND(SUMIFS(成本费用登记表!$H$4:$H$303,成本费用登记表!$D$4:$D$303,$A55,成本费用登记表!$AC$4:$AC$303,M$4)+SUMIFS(资金日记账!$I$4:$I$603,资金日记账!$G$4:$G$603,$A55,资金日记账!$U$4:$U$603,"&lt;&gt;是",资金日记账!$V$4:$V$603,M$4),2))</f>
        <v/>
      </c>
      <c r="N55" s="41" t="str">
        <f aca="false">IF($A55="","",ROUND(SUMIFS(成本费用登记表!$H$4:$H$303,成本费用登记表!$D$4:$D$303,$A55,成本费用登记表!$AC$4:$AC$303,N$4)+SUMIFS(资金日记账!$I$4:$I$603,资金日记账!$G$4:$G$603,$A55,资金日记账!$U$4:$U$603,"&lt;&gt;是",资金日记账!$V$4:$V$603,N$4),2))</f>
        <v/>
      </c>
      <c r="O55" s="41" t="str">
        <f aca="false">IF($A55="","",ROUND(SUMIFS(成本费用登记表!$H$4:$H$303,成本费用登记表!$D$4:$D$303,$A55,成本费用登记表!$AC$4:$AC$303,O$4)+SUMIFS(资金日记账!$I$4:$I$603,资金日记账!$G$4:$G$603,$A55,资金日记账!$U$4:$U$603,"&lt;&gt;是",资金日记账!$V$4:$V$603,O$4),2))</f>
        <v/>
      </c>
      <c r="P55" s="41" t="str">
        <f aca="false">IF($A55="","",ROUND(SUMIFS(成本费用登记表!$H$4:$H$303,成本费用登记表!$D$4:$D$303,$A55,成本费用登记表!$AC$4:$AC$303,P$4)+SUMIFS(资金日记账!$I$4:$I$603,资金日记账!$G$4:$G$603,$A55,资金日记账!$U$4:$U$603,"&lt;&gt;是",资金日记账!$V$4:$V$603,P$4),2))</f>
        <v/>
      </c>
      <c r="Q55" s="41" t="str">
        <f aca="false">IF($A55="","",ROUND(SUMIFS(成本费用登记表!$H$4:$H$303,成本费用登记表!$D$4:$D$303,$A55,成本费用登记表!$AC$4:$AC$303,Q$4)+SUMIFS(资金日记账!$I$4:$I$603,资金日记账!$G$4:$G$603,$A55,资金日记账!$U$4:$U$603,"&lt;&gt;是",资金日记账!$V$4:$V$603,Q$4),2))</f>
        <v/>
      </c>
      <c r="R55" s="41" t="str">
        <f aca="false">IF($A55="","",ROUND(SUMIFS(成本费用登记表!$H$4:$H$303,成本费用登记表!$D$4:$D$303,$A55,成本费用登记表!$AC$4:$AC$303,R$4)+SUMIFS(资金日记账!$I$4:$I$603,资金日记账!$G$4:$G$603,$A55,资金日记账!$U$4:$U$603,"&lt;&gt;是",资金日记账!$V$4:$V$603,R$4),2))</f>
        <v/>
      </c>
      <c r="S55" s="41" t="str">
        <f aca="false">IF($A55="","",ROUND(SUMIFS(成本费用登记表!$H$4:$H$303,成本费用登记表!$D$4:$D$303,$A55,成本费用登记表!$AC$4:$AC$303,S$4)+SUMIFS(资金日记账!$I$4:$I$603,资金日记账!$G$4:$G$603,$A55,资金日记账!$U$4:$U$603,"&lt;&gt;是",资金日记账!$V$4:$V$603,S$4),2))</f>
        <v/>
      </c>
      <c r="T55" s="41" t="str">
        <f aca="false">IF($A55="","",ROUND(SUMIFS(成本费用登记表!$H$4:$H$303,成本费用登记表!$D$4:$D$303,$A55,成本费用登记表!$AC$4:$AC$303,T$4)+SUMIFS(资金日记账!$I$4:$I$603,资金日记账!$G$4:$G$603,$A55,资金日记账!$U$4:$U$603,"&lt;&gt;是",资金日记账!$V$4:$V$603,T$4),2))</f>
        <v/>
      </c>
      <c r="U55" s="41" t="str">
        <f aca="false">IF($A55="","",ROUND(SUMIFS(成本费用登记表!$H$4:$H$303,成本费用登记表!$D$4:$D$303,$A55,成本费用登记表!$AC$4:$AC$303,U$4)+SUMIFS(资金日记账!$I$4:$I$603,资金日记账!$G$4:$G$603,$A55,资金日记账!$U$4:$U$603,"&lt;&gt;是",资金日记账!$V$4:$V$603,U$4),2))</f>
        <v/>
      </c>
      <c r="V55" s="41" t="str">
        <f aca="false">IF($A55="","",ROUND(SUMIFS(成本费用登记表!$H$4:$H$303,成本费用登记表!$D$4:$D$303,$A55,成本费用登记表!$AC$4:$AC$303,V$4)+SUMIFS(资金日记账!$I$4:$I$603,资金日记账!$G$4:$G$603,$A55,资金日记账!$U$4:$U$603,"&lt;&gt;是",资金日记账!$V$4:$V$603,V$4),2))</f>
        <v/>
      </c>
      <c r="W55" s="41" t="str">
        <f aca="false">IF($A55="","",ROUND(SUMIFS(成本费用登记表!$H$4:$H$303,成本费用登记表!$D$4:$D$303,$A55,成本费用登记表!$AC$4:$AC$303,W$4)+SUMIFS(资金日记账!$I$4:$I$603,资金日记账!$G$4:$G$603,$A55,资金日记账!$U$4:$U$603,"&lt;&gt;是",资金日记账!$V$4:$V$603,W$4),2))</f>
        <v/>
      </c>
      <c r="X55" s="41" t="str">
        <f aca="false">IF($A55="","",ROUND(SUMIFS(成本费用登记表!$H$4:$H$303,成本费用登记表!$D$4:$D$303,$A55,成本费用登记表!$AC$4:$AC$303,X$4)+SUMIFS(资金日记账!$I$4:$I$603,资金日记账!$G$4:$G$603,$A55,资金日记账!$U$4:$U$603,"&lt;&gt;是",资金日记账!$V$4:$V$603,X$4),2))</f>
        <v/>
      </c>
      <c r="Y55" s="41" t="str">
        <f aca="false">IF($A55="","",ROUND(SUMIFS(成本费用登记表!$H$4:$H$303,成本费用登记表!$D$4:$D$303,$A55,成本费用登记表!$AC$4:$AC$303,Y$4)+SUMIFS(资金日记账!$I$4:$I$603,资金日记账!$G$4:$G$603,$A55,资金日记账!$U$4:$U$603,"&lt;&gt;是",资金日记账!$V$4:$V$603,Y$4),2))</f>
        <v/>
      </c>
      <c r="Z55" s="142" t="str">
        <f aca="false">IF($A55="","",ROUND(SUM($B55:$Y55),2))</f>
        <v/>
      </c>
      <c r="AA55" s="41" t="str">
        <f aca="false">IF($A55="","",ROUND(SUMIF(成本费用登记表!$D$4:$D$303,$A55,成本费用登记表!$AA$4:$AA$303)+SUMIFS(资金日记账!$I$4:$I$603,资金日记账!$G$4:$G$603,$A55,资金日记账!$U$4:$U$603,"&lt;&gt;是"),2))</f>
        <v/>
      </c>
      <c r="AB55" s="41" t="str">
        <f aca="false">IF($A55="","",ROUND(N($Z55)-N($AA55),2))</f>
        <v/>
      </c>
    </row>
    <row r="56" customFormat="false" ht="13.5" hidden="false" customHeight="false" outlineLevel="0" collapsed="false">
      <c r="A56" s="33" t="str">
        <f aca="false">IFERROR(INDEX(_自动清单!$X$4:$X$63,52),"")</f>
        <v/>
      </c>
      <c r="B56" s="41" t="str">
        <f aca="false">IF($A56="","",ROUND(SUMIFS(成本费用登记表!$H$4:$H$303,成本费用登记表!$D$4:$D$303,$A56,成本费用登记表!$AC$4:$AC$303,B$4)+SUMIFS(资金日记账!$I$4:$I$603,资金日记账!$G$4:$G$603,$A56,资金日记账!$U$4:$U$603,"&lt;&gt;是",资金日记账!$V$4:$V$603,B$4),2))</f>
        <v/>
      </c>
      <c r="C56" s="41" t="str">
        <f aca="false">IF($A56="","",ROUND(SUMIFS(成本费用登记表!$H$4:$H$303,成本费用登记表!$D$4:$D$303,$A56,成本费用登记表!$AC$4:$AC$303,C$4)+SUMIFS(资金日记账!$I$4:$I$603,资金日记账!$G$4:$G$603,$A56,资金日记账!$U$4:$U$603,"&lt;&gt;是",资金日记账!$V$4:$V$603,C$4),2))</f>
        <v/>
      </c>
      <c r="D56" s="41" t="str">
        <f aca="false">IF($A56="","",ROUND(SUMIFS(成本费用登记表!$H$4:$H$303,成本费用登记表!$D$4:$D$303,$A56,成本费用登记表!$AC$4:$AC$303,D$4)+SUMIFS(资金日记账!$I$4:$I$603,资金日记账!$G$4:$G$603,$A56,资金日记账!$U$4:$U$603,"&lt;&gt;是",资金日记账!$V$4:$V$603,D$4),2))</f>
        <v/>
      </c>
      <c r="E56" s="41" t="str">
        <f aca="false">IF($A56="","",ROUND(SUMIFS(成本费用登记表!$H$4:$H$303,成本费用登记表!$D$4:$D$303,$A56,成本费用登记表!$AC$4:$AC$303,E$4)+SUMIFS(资金日记账!$I$4:$I$603,资金日记账!$G$4:$G$603,$A56,资金日记账!$U$4:$U$603,"&lt;&gt;是",资金日记账!$V$4:$V$603,E$4),2))</f>
        <v/>
      </c>
      <c r="F56" s="41" t="str">
        <f aca="false">IF($A56="","",ROUND(SUMIFS(成本费用登记表!$H$4:$H$303,成本费用登记表!$D$4:$D$303,$A56,成本费用登记表!$AC$4:$AC$303,F$4)+SUMIFS(资金日记账!$I$4:$I$603,资金日记账!$G$4:$G$603,$A56,资金日记账!$U$4:$U$603,"&lt;&gt;是",资金日记账!$V$4:$V$603,F$4),2))</f>
        <v/>
      </c>
      <c r="G56" s="41" t="str">
        <f aca="false">IF($A56="","",ROUND(SUMIFS(成本费用登记表!$H$4:$H$303,成本费用登记表!$D$4:$D$303,$A56,成本费用登记表!$AC$4:$AC$303,G$4)+SUMIFS(资金日记账!$I$4:$I$603,资金日记账!$G$4:$G$603,$A56,资金日记账!$U$4:$U$603,"&lt;&gt;是",资金日记账!$V$4:$V$603,G$4),2))</f>
        <v/>
      </c>
      <c r="H56" s="41" t="str">
        <f aca="false">IF($A56="","",ROUND(SUMIFS(成本费用登记表!$H$4:$H$303,成本费用登记表!$D$4:$D$303,$A56,成本费用登记表!$AC$4:$AC$303,H$4)+SUMIFS(资金日记账!$I$4:$I$603,资金日记账!$G$4:$G$603,$A56,资金日记账!$U$4:$U$603,"&lt;&gt;是",资金日记账!$V$4:$V$603,H$4),2))</f>
        <v/>
      </c>
      <c r="I56" s="41" t="str">
        <f aca="false">IF($A56="","",ROUND(SUMIFS(成本费用登记表!$H$4:$H$303,成本费用登记表!$D$4:$D$303,$A56,成本费用登记表!$AC$4:$AC$303,I$4)+SUMIFS(资金日记账!$I$4:$I$603,资金日记账!$G$4:$G$603,$A56,资金日记账!$U$4:$U$603,"&lt;&gt;是",资金日记账!$V$4:$V$603,I$4),2))</f>
        <v/>
      </c>
      <c r="J56" s="41" t="str">
        <f aca="false">IF($A56="","",ROUND(SUMIFS(成本费用登记表!$H$4:$H$303,成本费用登记表!$D$4:$D$303,$A56,成本费用登记表!$AC$4:$AC$303,J$4)+SUMIFS(资金日记账!$I$4:$I$603,资金日记账!$G$4:$G$603,$A56,资金日记账!$U$4:$U$603,"&lt;&gt;是",资金日记账!$V$4:$V$603,J$4),2))</f>
        <v/>
      </c>
      <c r="K56" s="41" t="str">
        <f aca="false">IF($A56="","",ROUND(SUMIFS(成本费用登记表!$H$4:$H$303,成本费用登记表!$D$4:$D$303,$A56,成本费用登记表!$AC$4:$AC$303,K$4)+SUMIFS(资金日记账!$I$4:$I$603,资金日记账!$G$4:$G$603,$A56,资金日记账!$U$4:$U$603,"&lt;&gt;是",资金日记账!$V$4:$V$603,K$4),2))</f>
        <v/>
      </c>
      <c r="L56" s="41" t="str">
        <f aca="false">IF($A56="","",ROUND(SUMIFS(成本费用登记表!$H$4:$H$303,成本费用登记表!$D$4:$D$303,$A56,成本费用登记表!$AC$4:$AC$303,L$4)+SUMIFS(资金日记账!$I$4:$I$603,资金日记账!$G$4:$G$603,$A56,资金日记账!$U$4:$U$603,"&lt;&gt;是",资金日记账!$V$4:$V$603,L$4),2))</f>
        <v/>
      </c>
      <c r="M56" s="41" t="str">
        <f aca="false">IF($A56="","",ROUND(SUMIFS(成本费用登记表!$H$4:$H$303,成本费用登记表!$D$4:$D$303,$A56,成本费用登记表!$AC$4:$AC$303,M$4)+SUMIFS(资金日记账!$I$4:$I$603,资金日记账!$G$4:$G$603,$A56,资金日记账!$U$4:$U$603,"&lt;&gt;是",资金日记账!$V$4:$V$603,M$4),2))</f>
        <v/>
      </c>
      <c r="N56" s="41" t="str">
        <f aca="false">IF($A56="","",ROUND(SUMIFS(成本费用登记表!$H$4:$H$303,成本费用登记表!$D$4:$D$303,$A56,成本费用登记表!$AC$4:$AC$303,N$4)+SUMIFS(资金日记账!$I$4:$I$603,资金日记账!$G$4:$G$603,$A56,资金日记账!$U$4:$U$603,"&lt;&gt;是",资金日记账!$V$4:$V$603,N$4),2))</f>
        <v/>
      </c>
      <c r="O56" s="41" t="str">
        <f aca="false">IF($A56="","",ROUND(SUMIFS(成本费用登记表!$H$4:$H$303,成本费用登记表!$D$4:$D$303,$A56,成本费用登记表!$AC$4:$AC$303,O$4)+SUMIFS(资金日记账!$I$4:$I$603,资金日记账!$G$4:$G$603,$A56,资金日记账!$U$4:$U$603,"&lt;&gt;是",资金日记账!$V$4:$V$603,O$4),2))</f>
        <v/>
      </c>
      <c r="P56" s="41" t="str">
        <f aca="false">IF($A56="","",ROUND(SUMIFS(成本费用登记表!$H$4:$H$303,成本费用登记表!$D$4:$D$303,$A56,成本费用登记表!$AC$4:$AC$303,P$4)+SUMIFS(资金日记账!$I$4:$I$603,资金日记账!$G$4:$G$603,$A56,资金日记账!$U$4:$U$603,"&lt;&gt;是",资金日记账!$V$4:$V$603,P$4),2))</f>
        <v/>
      </c>
      <c r="Q56" s="41" t="str">
        <f aca="false">IF($A56="","",ROUND(SUMIFS(成本费用登记表!$H$4:$H$303,成本费用登记表!$D$4:$D$303,$A56,成本费用登记表!$AC$4:$AC$303,Q$4)+SUMIFS(资金日记账!$I$4:$I$603,资金日记账!$G$4:$G$603,$A56,资金日记账!$U$4:$U$603,"&lt;&gt;是",资金日记账!$V$4:$V$603,Q$4),2))</f>
        <v/>
      </c>
      <c r="R56" s="41" t="str">
        <f aca="false">IF($A56="","",ROUND(SUMIFS(成本费用登记表!$H$4:$H$303,成本费用登记表!$D$4:$D$303,$A56,成本费用登记表!$AC$4:$AC$303,R$4)+SUMIFS(资金日记账!$I$4:$I$603,资金日记账!$G$4:$G$603,$A56,资金日记账!$U$4:$U$603,"&lt;&gt;是",资金日记账!$V$4:$V$603,R$4),2))</f>
        <v/>
      </c>
      <c r="S56" s="41" t="str">
        <f aca="false">IF($A56="","",ROUND(SUMIFS(成本费用登记表!$H$4:$H$303,成本费用登记表!$D$4:$D$303,$A56,成本费用登记表!$AC$4:$AC$303,S$4)+SUMIFS(资金日记账!$I$4:$I$603,资金日记账!$G$4:$G$603,$A56,资金日记账!$U$4:$U$603,"&lt;&gt;是",资金日记账!$V$4:$V$603,S$4),2))</f>
        <v/>
      </c>
      <c r="T56" s="41" t="str">
        <f aca="false">IF($A56="","",ROUND(SUMIFS(成本费用登记表!$H$4:$H$303,成本费用登记表!$D$4:$D$303,$A56,成本费用登记表!$AC$4:$AC$303,T$4)+SUMIFS(资金日记账!$I$4:$I$603,资金日记账!$G$4:$G$603,$A56,资金日记账!$U$4:$U$603,"&lt;&gt;是",资金日记账!$V$4:$V$603,T$4),2))</f>
        <v/>
      </c>
      <c r="U56" s="41" t="str">
        <f aca="false">IF($A56="","",ROUND(SUMIFS(成本费用登记表!$H$4:$H$303,成本费用登记表!$D$4:$D$303,$A56,成本费用登记表!$AC$4:$AC$303,U$4)+SUMIFS(资金日记账!$I$4:$I$603,资金日记账!$G$4:$G$603,$A56,资金日记账!$U$4:$U$603,"&lt;&gt;是",资金日记账!$V$4:$V$603,U$4),2))</f>
        <v/>
      </c>
      <c r="V56" s="41" t="str">
        <f aca="false">IF($A56="","",ROUND(SUMIFS(成本费用登记表!$H$4:$H$303,成本费用登记表!$D$4:$D$303,$A56,成本费用登记表!$AC$4:$AC$303,V$4)+SUMIFS(资金日记账!$I$4:$I$603,资金日记账!$G$4:$G$603,$A56,资金日记账!$U$4:$U$603,"&lt;&gt;是",资金日记账!$V$4:$V$603,V$4),2))</f>
        <v/>
      </c>
      <c r="W56" s="41" t="str">
        <f aca="false">IF($A56="","",ROUND(SUMIFS(成本费用登记表!$H$4:$H$303,成本费用登记表!$D$4:$D$303,$A56,成本费用登记表!$AC$4:$AC$303,W$4)+SUMIFS(资金日记账!$I$4:$I$603,资金日记账!$G$4:$G$603,$A56,资金日记账!$U$4:$U$603,"&lt;&gt;是",资金日记账!$V$4:$V$603,W$4),2))</f>
        <v/>
      </c>
      <c r="X56" s="41" t="str">
        <f aca="false">IF($A56="","",ROUND(SUMIFS(成本费用登记表!$H$4:$H$303,成本费用登记表!$D$4:$D$303,$A56,成本费用登记表!$AC$4:$AC$303,X$4)+SUMIFS(资金日记账!$I$4:$I$603,资金日记账!$G$4:$G$603,$A56,资金日记账!$U$4:$U$603,"&lt;&gt;是",资金日记账!$V$4:$V$603,X$4),2))</f>
        <v/>
      </c>
      <c r="Y56" s="41" t="str">
        <f aca="false">IF($A56="","",ROUND(SUMIFS(成本费用登记表!$H$4:$H$303,成本费用登记表!$D$4:$D$303,$A56,成本费用登记表!$AC$4:$AC$303,Y$4)+SUMIFS(资金日记账!$I$4:$I$603,资金日记账!$G$4:$G$603,$A56,资金日记账!$U$4:$U$603,"&lt;&gt;是",资金日记账!$V$4:$V$603,Y$4),2))</f>
        <v/>
      </c>
      <c r="Z56" s="142" t="str">
        <f aca="false">IF($A56="","",ROUND(SUM($B56:$Y56),2))</f>
        <v/>
      </c>
      <c r="AA56" s="41" t="str">
        <f aca="false">IF($A56="","",ROUND(SUMIF(成本费用登记表!$D$4:$D$303,$A56,成本费用登记表!$AA$4:$AA$303)+SUMIFS(资金日记账!$I$4:$I$603,资金日记账!$G$4:$G$603,$A56,资金日记账!$U$4:$U$603,"&lt;&gt;是"),2))</f>
        <v/>
      </c>
      <c r="AB56" s="41" t="str">
        <f aca="false">IF($A56="","",ROUND(N($Z56)-N($AA56),2))</f>
        <v/>
      </c>
    </row>
    <row r="57" customFormat="false" ht="13.5" hidden="false" customHeight="false" outlineLevel="0" collapsed="false">
      <c r="A57" s="33" t="str">
        <f aca="false">IFERROR(INDEX(_自动清单!$X$4:$X$63,53),"")</f>
        <v/>
      </c>
      <c r="B57" s="41" t="str">
        <f aca="false">IF($A57="","",ROUND(SUMIFS(成本费用登记表!$H$4:$H$303,成本费用登记表!$D$4:$D$303,$A57,成本费用登记表!$AC$4:$AC$303,B$4)+SUMIFS(资金日记账!$I$4:$I$603,资金日记账!$G$4:$G$603,$A57,资金日记账!$U$4:$U$603,"&lt;&gt;是",资金日记账!$V$4:$V$603,B$4),2))</f>
        <v/>
      </c>
      <c r="C57" s="41" t="str">
        <f aca="false">IF($A57="","",ROUND(SUMIFS(成本费用登记表!$H$4:$H$303,成本费用登记表!$D$4:$D$303,$A57,成本费用登记表!$AC$4:$AC$303,C$4)+SUMIFS(资金日记账!$I$4:$I$603,资金日记账!$G$4:$G$603,$A57,资金日记账!$U$4:$U$603,"&lt;&gt;是",资金日记账!$V$4:$V$603,C$4),2))</f>
        <v/>
      </c>
      <c r="D57" s="41" t="str">
        <f aca="false">IF($A57="","",ROUND(SUMIFS(成本费用登记表!$H$4:$H$303,成本费用登记表!$D$4:$D$303,$A57,成本费用登记表!$AC$4:$AC$303,D$4)+SUMIFS(资金日记账!$I$4:$I$603,资金日记账!$G$4:$G$603,$A57,资金日记账!$U$4:$U$603,"&lt;&gt;是",资金日记账!$V$4:$V$603,D$4),2))</f>
        <v/>
      </c>
      <c r="E57" s="41" t="str">
        <f aca="false">IF($A57="","",ROUND(SUMIFS(成本费用登记表!$H$4:$H$303,成本费用登记表!$D$4:$D$303,$A57,成本费用登记表!$AC$4:$AC$303,E$4)+SUMIFS(资金日记账!$I$4:$I$603,资金日记账!$G$4:$G$603,$A57,资金日记账!$U$4:$U$603,"&lt;&gt;是",资金日记账!$V$4:$V$603,E$4),2))</f>
        <v/>
      </c>
      <c r="F57" s="41" t="str">
        <f aca="false">IF($A57="","",ROUND(SUMIFS(成本费用登记表!$H$4:$H$303,成本费用登记表!$D$4:$D$303,$A57,成本费用登记表!$AC$4:$AC$303,F$4)+SUMIFS(资金日记账!$I$4:$I$603,资金日记账!$G$4:$G$603,$A57,资金日记账!$U$4:$U$603,"&lt;&gt;是",资金日记账!$V$4:$V$603,F$4),2))</f>
        <v/>
      </c>
      <c r="G57" s="41" t="str">
        <f aca="false">IF($A57="","",ROUND(SUMIFS(成本费用登记表!$H$4:$H$303,成本费用登记表!$D$4:$D$303,$A57,成本费用登记表!$AC$4:$AC$303,G$4)+SUMIFS(资金日记账!$I$4:$I$603,资金日记账!$G$4:$G$603,$A57,资金日记账!$U$4:$U$603,"&lt;&gt;是",资金日记账!$V$4:$V$603,G$4),2))</f>
        <v/>
      </c>
      <c r="H57" s="41" t="str">
        <f aca="false">IF($A57="","",ROUND(SUMIFS(成本费用登记表!$H$4:$H$303,成本费用登记表!$D$4:$D$303,$A57,成本费用登记表!$AC$4:$AC$303,H$4)+SUMIFS(资金日记账!$I$4:$I$603,资金日记账!$G$4:$G$603,$A57,资金日记账!$U$4:$U$603,"&lt;&gt;是",资金日记账!$V$4:$V$603,H$4),2))</f>
        <v/>
      </c>
      <c r="I57" s="41" t="str">
        <f aca="false">IF($A57="","",ROUND(SUMIFS(成本费用登记表!$H$4:$H$303,成本费用登记表!$D$4:$D$303,$A57,成本费用登记表!$AC$4:$AC$303,I$4)+SUMIFS(资金日记账!$I$4:$I$603,资金日记账!$G$4:$G$603,$A57,资金日记账!$U$4:$U$603,"&lt;&gt;是",资金日记账!$V$4:$V$603,I$4),2))</f>
        <v/>
      </c>
      <c r="J57" s="41" t="str">
        <f aca="false">IF($A57="","",ROUND(SUMIFS(成本费用登记表!$H$4:$H$303,成本费用登记表!$D$4:$D$303,$A57,成本费用登记表!$AC$4:$AC$303,J$4)+SUMIFS(资金日记账!$I$4:$I$603,资金日记账!$G$4:$G$603,$A57,资金日记账!$U$4:$U$603,"&lt;&gt;是",资金日记账!$V$4:$V$603,J$4),2))</f>
        <v/>
      </c>
      <c r="K57" s="41" t="str">
        <f aca="false">IF($A57="","",ROUND(SUMIFS(成本费用登记表!$H$4:$H$303,成本费用登记表!$D$4:$D$303,$A57,成本费用登记表!$AC$4:$AC$303,K$4)+SUMIFS(资金日记账!$I$4:$I$603,资金日记账!$G$4:$G$603,$A57,资金日记账!$U$4:$U$603,"&lt;&gt;是",资金日记账!$V$4:$V$603,K$4),2))</f>
        <v/>
      </c>
      <c r="L57" s="41" t="str">
        <f aca="false">IF($A57="","",ROUND(SUMIFS(成本费用登记表!$H$4:$H$303,成本费用登记表!$D$4:$D$303,$A57,成本费用登记表!$AC$4:$AC$303,L$4)+SUMIFS(资金日记账!$I$4:$I$603,资金日记账!$G$4:$G$603,$A57,资金日记账!$U$4:$U$603,"&lt;&gt;是",资金日记账!$V$4:$V$603,L$4),2))</f>
        <v/>
      </c>
      <c r="M57" s="41" t="str">
        <f aca="false">IF($A57="","",ROUND(SUMIFS(成本费用登记表!$H$4:$H$303,成本费用登记表!$D$4:$D$303,$A57,成本费用登记表!$AC$4:$AC$303,M$4)+SUMIFS(资金日记账!$I$4:$I$603,资金日记账!$G$4:$G$603,$A57,资金日记账!$U$4:$U$603,"&lt;&gt;是",资金日记账!$V$4:$V$603,M$4),2))</f>
        <v/>
      </c>
      <c r="N57" s="41" t="str">
        <f aca="false">IF($A57="","",ROUND(SUMIFS(成本费用登记表!$H$4:$H$303,成本费用登记表!$D$4:$D$303,$A57,成本费用登记表!$AC$4:$AC$303,N$4)+SUMIFS(资金日记账!$I$4:$I$603,资金日记账!$G$4:$G$603,$A57,资金日记账!$U$4:$U$603,"&lt;&gt;是",资金日记账!$V$4:$V$603,N$4),2))</f>
        <v/>
      </c>
      <c r="O57" s="41" t="str">
        <f aca="false">IF($A57="","",ROUND(SUMIFS(成本费用登记表!$H$4:$H$303,成本费用登记表!$D$4:$D$303,$A57,成本费用登记表!$AC$4:$AC$303,O$4)+SUMIFS(资金日记账!$I$4:$I$603,资金日记账!$G$4:$G$603,$A57,资金日记账!$U$4:$U$603,"&lt;&gt;是",资金日记账!$V$4:$V$603,O$4),2))</f>
        <v/>
      </c>
      <c r="P57" s="41" t="str">
        <f aca="false">IF($A57="","",ROUND(SUMIFS(成本费用登记表!$H$4:$H$303,成本费用登记表!$D$4:$D$303,$A57,成本费用登记表!$AC$4:$AC$303,P$4)+SUMIFS(资金日记账!$I$4:$I$603,资金日记账!$G$4:$G$603,$A57,资金日记账!$U$4:$U$603,"&lt;&gt;是",资金日记账!$V$4:$V$603,P$4),2))</f>
        <v/>
      </c>
      <c r="Q57" s="41" t="str">
        <f aca="false">IF($A57="","",ROUND(SUMIFS(成本费用登记表!$H$4:$H$303,成本费用登记表!$D$4:$D$303,$A57,成本费用登记表!$AC$4:$AC$303,Q$4)+SUMIFS(资金日记账!$I$4:$I$603,资金日记账!$G$4:$G$603,$A57,资金日记账!$U$4:$U$603,"&lt;&gt;是",资金日记账!$V$4:$V$603,Q$4),2))</f>
        <v/>
      </c>
      <c r="R57" s="41" t="str">
        <f aca="false">IF($A57="","",ROUND(SUMIFS(成本费用登记表!$H$4:$H$303,成本费用登记表!$D$4:$D$303,$A57,成本费用登记表!$AC$4:$AC$303,R$4)+SUMIFS(资金日记账!$I$4:$I$603,资金日记账!$G$4:$G$603,$A57,资金日记账!$U$4:$U$603,"&lt;&gt;是",资金日记账!$V$4:$V$603,R$4),2))</f>
        <v/>
      </c>
      <c r="S57" s="41" t="str">
        <f aca="false">IF($A57="","",ROUND(SUMIFS(成本费用登记表!$H$4:$H$303,成本费用登记表!$D$4:$D$303,$A57,成本费用登记表!$AC$4:$AC$303,S$4)+SUMIFS(资金日记账!$I$4:$I$603,资金日记账!$G$4:$G$603,$A57,资金日记账!$U$4:$U$603,"&lt;&gt;是",资金日记账!$V$4:$V$603,S$4),2))</f>
        <v/>
      </c>
      <c r="T57" s="41" t="str">
        <f aca="false">IF($A57="","",ROUND(SUMIFS(成本费用登记表!$H$4:$H$303,成本费用登记表!$D$4:$D$303,$A57,成本费用登记表!$AC$4:$AC$303,T$4)+SUMIFS(资金日记账!$I$4:$I$603,资金日记账!$G$4:$G$603,$A57,资金日记账!$U$4:$U$603,"&lt;&gt;是",资金日记账!$V$4:$V$603,T$4),2))</f>
        <v/>
      </c>
      <c r="U57" s="41" t="str">
        <f aca="false">IF($A57="","",ROUND(SUMIFS(成本费用登记表!$H$4:$H$303,成本费用登记表!$D$4:$D$303,$A57,成本费用登记表!$AC$4:$AC$303,U$4)+SUMIFS(资金日记账!$I$4:$I$603,资金日记账!$G$4:$G$603,$A57,资金日记账!$U$4:$U$603,"&lt;&gt;是",资金日记账!$V$4:$V$603,U$4),2))</f>
        <v/>
      </c>
      <c r="V57" s="41" t="str">
        <f aca="false">IF($A57="","",ROUND(SUMIFS(成本费用登记表!$H$4:$H$303,成本费用登记表!$D$4:$D$303,$A57,成本费用登记表!$AC$4:$AC$303,V$4)+SUMIFS(资金日记账!$I$4:$I$603,资金日记账!$G$4:$G$603,$A57,资金日记账!$U$4:$U$603,"&lt;&gt;是",资金日记账!$V$4:$V$603,V$4),2))</f>
        <v/>
      </c>
      <c r="W57" s="41" t="str">
        <f aca="false">IF($A57="","",ROUND(SUMIFS(成本费用登记表!$H$4:$H$303,成本费用登记表!$D$4:$D$303,$A57,成本费用登记表!$AC$4:$AC$303,W$4)+SUMIFS(资金日记账!$I$4:$I$603,资金日记账!$G$4:$G$603,$A57,资金日记账!$U$4:$U$603,"&lt;&gt;是",资金日记账!$V$4:$V$603,W$4),2))</f>
        <v/>
      </c>
      <c r="X57" s="41" t="str">
        <f aca="false">IF($A57="","",ROUND(SUMIFS(成本费用登记表!$H$4:$H$303,成本费用登记表!$D$4:$D$303,$A57,成本费用登记表!$AC$4:$AC$303,X$4)+SUMIFS(资金日记账!$I$4:$I$603,资金日记账!$G$4:$G$603,$A57,资金日记账!$U$4:$U$603,"&lt;&gt;是",资金日记账!$V$4:$V$603,X$4),2))</f>
        <v/>
      </c>
      <c r="Y57" s="41" t="str">
        <f aca="false">IF($A57="","",ROUND(SUMIFS(成本费用登记表!$H$4:$H$303,成本费用登记表!$D$4:$D$303,$A57,成本费用登记表!$AC$4:$AC$303,Y$4)+SUMIFS(资金日记账!$I$4:$I$603,资金日记账!$G$4:$G$603,$A57,资金日记账!$U$4:$U$603,"&lt;&gt;是",资金日记账!$V$4:$V$603,Y$4),2))</f>
        <v/>
      </c>
      <c r="Z57" s="142" t="str">
        <f aca="false">IF($A57="","",ROUND(SUM($B57:$Y57),2))</f>
        <v/>
      </c>
      <c r="AA57" s="41" t="str">
        <f aca="false">IF($A57="","",ROUND(SUMIF(成本费用登记表!$D$4:$D$303,$A57,成本费用登记表!$AA$4:$AA$303)+SUMIFS(资金日记账!$I$4:$I$603,资金日记账!$G$4:$G$603,$A57,资金日记账!$U$4:$U$603,"&lt;&gt;是"),2))</f>
        <v/>
      </c>
      <c r="AB57" s="41" t="str">
        <f aca="false">IF($A57="","",ROUND(N($Z57)-N($AA57),2))</f>
        <v/>
      </c>
    </row>
    <row r="58" customFormat="false" ht="13.5" hidden="false" customHeight="false" outlineLevel="0" collapsed="false">
      <c r="A58" s="33" t="str">
        <f aca="false">IFERROR(INDEX(_自动清单!$X$4:$X$63,54),"")</f>
        <v/>
      </c>
      <c r="B58" s="41" t="str">
        <f aca="false">IF($A58="","",ROUND(SUMIFS(成本费用登记表!$H$4:$H$303,成本费用登记表!$D$4:$D$303,$A58,成本费用登记表!$AC$4:$AC$303,B$4)+SUMIFS(资金日记账!$I$4:$I$603,资金日记账!$G$4:$G$603,$A58,资金日记账!$U$4:$U$603,"&lt;&gt;是",资金日记账!$V$4:$V$603,B$4),2))</f>
        <v/>
      </c>
      <c r="C58" s="41" t="str">
        <f aca="false">IF($A58="","",ROUND(SUMIFS(成本费用登记表!$H$4:$H$303,成本费用登记表!$D$4:$D$303,$A58,成本费用登记表!$AC$4:$AC$303,C$4)+SUMIFS(资金日记账!$I$4:$I$603,资金日记账!$G$4:$G$603,$A58,资金日记账!$U$4:$U$603,"&lt;&gt;是",资金日记账!$V$4:$V$603,C$4),2))</f>
        <v/>
      </c>
      <c r="D58" s="41" t="str">
        <f aca="false">IF($A58="","",ROUND(SUMIFS(成本费用登记表!$H$4:$H$303,成本费用登记表!$D$4:$D$303,$A58,成本费用登记表!$AC$4:$AC$303,D$4)+SUMIFS(资金日记账!$I$4:$I$603,资金日记账!$G$4:$G$603,$A58,资金日记账!$U$4:$U$603,"&lt;&gt;是",资金日记账!$V$4:$V$603,D$4),2))</f>
        <v/>
      </c>
      <c r="E58" s="41" t="str">
        <f aca="false">IF($A58="","",ROUND(SUMIFS(成本费用登记表!$H$4:$H$303,成本费用登记表!$D$4:$D$303,$A58,成本费用登记表!$AC$4:$AC$303,E$4)+SUMIFS(资金日记账!$I$4:$I$603,资金日记账!$G$4:$G$603,$A58,资金日记账!$U$4:$U$603,"&lt;&gt;是",资金日记账!$V$4:$V$603,E$4),2))</f>
        <v/>
      </c>
      <c r="F58" s="41" t="str">
        <f aca="false">IF($A58="","",ROUND(SUMIFS(成本费用登记表!$H$4:$H$303,成本费用登记表!$D$4:$D$303,$A58,成本费用登记表!$AC$4:$AC$303,F$4)+SUMIFS(资金日记账!$I$4:$I$603,资金日记账!$G$4:$G$603,$A58,资金日记账!$U$4:$U$603,"&lt;&gt;是",资金日记账!$V$4:$V$603,F$4),2))</f>
        <v/>
      </c>
      <c r="G58" s="41" t="str">
        <f aca="false">IF($A58="","",ROUND(SUMIFS(成本费用登记表!$H$4:$H$303,成本费用登记表!$D$4:$D$303,$A58,成本费用登记表!$AC$4:$AC$303,G$4)+SUMIFS(资金日记账!$I$4:$I$603,资金日记账!$G$4:$G$603,$A58,资金日记账!$U$4:$U$603,"&lt;&gt;是",资金日记账!$V$4:$V$603,G$4),2))</f>
        <v/>
      </c>
      <c r="H58" s="41" t="str">
        <f aca="false">IF($A58="","",ROUND(SUMIFS(成本费用登记表!$H$4:$H$303,成本费用登记表!$D$4:$D$303,$A58,成本费用登记表!$AC$4:$AC$303,H$4)+SUMIFS(资金日记账!$I$4:$I$603,资金日记账!$G$4:$G$603,$A58,资金日记账!$U$4:$U$603,"&lt;&gt;是",资金日记账!$V$4:$V$603,H$4),2))</f>
        <v/>
      </c>
      <c r="I58" s="41" t="str">
        <f aca="false">IF($A58="","",ROUND(SUMIFS(成本费用登记表!$H$4:$H$303,成本费用登记表!$D$4:$D$303,$A58,成本费用登记表!$AC$4:$AC$303,I$4)+SUMIFS(资金日记账!$I$4:$I$603,资金日记账!$G$4:$G$603,$A58,资金日记账!$U$4:$U$603,"&lt;&gt;是",资金日记账!$V$4:$V$603,I$4),2))</f>
        <v/>
      </c>
      <c r="J58" s="41" t="str">
        <f aca="false">IF($A58="","",ROUND(SUMIFS(成本费用登记表!$H$4:$H$303,成本费用登记表!$D$4:$D$303,$A58,成本费用登记表!$AC$4:$AC$303,J$4)+SUMIFS(资金日记账!$I$4:$I$603,资金日记账!$G$4:$G$603,$A58,资金日记账!$U$4:$U$603,"&lt;&gt;是",资金日记账!$V$4:$V$603,J$4),2))</f>
        <v/>
      </c>
      <c r="K58" s="41" t="str">
        <f aca="false">IF($A58="","",ROUND(SUMIFS(成本费用登记表!$H$4:$H$303,成本费用登记表!$D$4:$D$303,$A58,成本费用登记表!$AC$4:$AC$303,K$4)+SUMIFS(资金日记账!$I$4:$I$603,资金日记账!$G$4:$G$603,$A58,资金日记账!$U$4:$U$603,"&lt;&gt;是",资金日记账!$V$4:$V$603,K$4),2))</f>
        <v/>
      </c>
      <c r="L58" s="41" t="str">
        <f aca="false">IF($A58="","",ROUND(SUMIFS(成本费用登记表!$H$4:$H$303,成本费用登记表!$D$4:$D$303,$A58,成本费用登记表!$AC$4:$AC$303,L$4)+SUMIFS(资金日记账!$I$4:$I$603,资金日记账!$G$4:$G$603,$A58,资金日记账!$U$4:$U$603,"&lt;&gt;是",资金日记账!$V$4:$V$603,L$4),2))</f>
        <v/>
      </c>
      <c r="M58" s="41" t="str">
        <f aca="false">IF($A58="","",ROUND(SUMIFS(成本费用登记表!$H$4:$H$303,成本费用登记表!$D$4:$D$303,$A58,成本费用登记表!$AC$4:$AC$303,M$4)+SUMIFS(资金日记账!$I$4:$I$603,资金日记账!$G$4:$G$603,$A58,资金日记账!$U$4:$U$603,"&lt;&gt;是",资金日记账!$V$4:$V$603,M$4),2))</f>
        <v/>
      </c>
      <c r="N58" s="41" t="str">
        <f aca="false">IF($A58="","",ROUND(SUMIFS(成本费用登记表!$H$4:$H$303,成本费用登记表!$D$4:$D$303,$A58,成本费用登记表!$AC$4:$AC$303,N$4)+SUMIFS(资金日记账!$I$4:$I$603,资金日记账!$G$4:$G$603,$A58,资金日记账!$U$4:$U$603,"&lt;&gt;是",资金日记账!$V$4:$V$603,N$4),2))</f>
        <v/>
      </c>
      <c r="O58" s="41" t="str">
        <f aca="false">IF($A58="","",ROUND(SUMIFS(成本费用登记表!$H$4:$H$303,成本费用登记表!$D$4:$D$303,$A58,成本费用登记表!$AC$4:$AC$303,O$4)+SUMIFS(资金日记账!$I$4:$I$603,资金日记账!$G$4:$G$603,$A58,资金日记账!$U$4:$U$603,"&lt;&gt;是",资金日记账!$V$4:$V$603,O$4),2))</f>
        <v/>
      </c>
      <c r="P58" s="41" t="str">
        <f aca="false">IF($A58="","",ROUND(SUMIFS(成本费用登记表!$H$4:$H$303,成本费用登记表!$D$4:$D$303,$A58,成本费用登记表!$AC$4:$AC$303,P$4)+SUMIFS(资金日记账!$I$4:$I$603,资金日记账!$G$4:$G$603,$A58,资金日记账!$U$4:$U$603,"&lt;&gt;是",资金日记账!$V$4:$V$603,P$4),2))</f>
        <v/>
      </c>
      <c r="Q58" s="41" t="str">
        <f aca="false">IF($A58="","",ROUND(SUMIFS(成本费用登记表!$H$4:$H$303,成本费用登记表!$D$4:$D$303,$A58,成本费用登记表!$AC$4:$AC$303,Q$4)+SUMIFS(资金日记账!$I$4:$I$603,资金日记账!$G$4:$G$603,$A58,资金日记账!$U$4:$U$603,"&lt;&gt;是",资金日记账!$V$4:$V$603,Q$4),2))</f>
        <v/>
      </c>
      <c r="R58" s="41" t="str">
        <f aca="false">IF($A58="","",ROUND(SUMIFS(成本费用登记表!$H$4:$H$303,成本费用登记表!$D$4:$D$303,$A58,成本费用登记表!$AC$4:$AC$303,R$4)+SUMIFS(资金日记账!$I$4:$I$603,资金日记账!$G$4:$G$603,$A58,资金日记账!$U$4:$U$603,"&lt;&gt;是",资金日记账!$V$4:$V$603,R$4),2))</f>
        <v/>
      </c>
      <c r="S58" s="41" t="str">
        <f aca="false">IF($A58="","",ROUND(SUMIFS(成本费用登记表!$H$4:$H$303,成本费用登记表!$D$4:$D$303,$A58,成本费用登记表!$AC$4:$AC$303,S$4)+SUMIFS(资金日记账!$I$4:$I$603,资金日记账!$G$4:$G$603,$A58,资金日记账!$U$4:$U$603,"&lt;&gt;是",资金日记账!$V$4:$V$603,S$4),2))</f>
        <v/>
      </c>
      <c r="T58" s="41" t="str">
        <f aca="false">IF($A58="","",ROUND(SUMIFS(成本费用登记表!$H$4:$H$303,成本费用登记表!$D$4:$D$303,$A58,成本费用登记表!$AC$4:$AC$303,T$4)+SUMIFS(资金日记账!$I$4:$I$603,资金日记账!$G$4:$G$603,$A58,资金日记账!$U$4:$U$603,"&lt;&gt;是",资金日记账!$V$4:$V$603,T$4),2))</f>
        <v/>
      </c>
      <c r="U58" s="41" t="str">
        <f aca="false">IF($A58="","",ROUND(SUMIFS(成本费用登记表!$H$4:$H$303,成本费用登记表!$D$4:$D$303,$A58,成本费用登记表!$AC$4:$AC$303,U$4)+SUMIFS(资金日记账!$I$4:$I$603,资金日记账!$G$4:$G$603,$A58,资金日记账!$U$4:$U$603,"&lt;&gt;是",资金日记账!$V$4:$V$603,U$4),2))</f>
        <v/>
      </c>
      <c r="V58" s="41" t="str">
        <f aca="false">IF($A58="","",ROUND(SUMIFS(成本费用登记表!$H$4:$H$303,成本费用登记表!$D$4:$D$303,$A58,成本费用登记表!$AC$4:$AC$303,V$4)+SUMIFS(资金日记账!$I$4:$I$603,资金日记账!$G$4:$G$603,$A58,资金日记账!$U$4:$U$603,"&lt;&gt;是",资金日记账!$V$4:$V$603,V$4),2))</f>
        <v/>
      </c>
      <c r="W58" s="41" t="str">
        <f aca="false">IF($A58="","",ROUND(SUMIFS(成本费用登记表!$H$4:$H$303,成本费用登记表!$D$4:$D$303,$A58,成本费用登记表!$AC$4:$AC$303,W$4)+SUMIFS(资金日记账!$I$4:$I$603,资金日记账!$G$4:$G$603,$A58,资金日记账!$U$4:$U$603,"&lt;&gt;是",资金日记账!$V$4:$V$603,W$4),2))</f>
        <v/>
      </c>
      <c r="X58" s="41" t="str">
        <f aca="false">IF($A58="","",ROUND(SUMIFS(成本费用登记表!$H$4:$H$303,成本费用登记表!$D$4:$D$303,$A58,成本费用登记表!$AC$4:$AC$303,X$4)+SUMIFS(资金日记账!$I$4:$I$603,资金日记账!$G$4:$G$603,$A58,资金日记账!$U$4:$U$603,"&lt;&gt;是",资金日记账!$V$4:$V$603,X$4),2))</f>
        <v/>
      </c>
      <c r="Y58" s="41" t="str">
        <f aca="false">IF($A58="","",ROUND(SUMIFS(成本费用登记表!$H$4:$H$303,成本费用登记表!$D$4:$D$303,$A58,成本费用登记表!$AC$4:$AC$303,Y$4)+SUMIFS(资金日记账!$I$4:$I$603,资金日记账!$G$4:$G$603,$A58,资金日记账!$U$4:$U$603,"&lt;&gt;是",资金日记账!$V$4:$V$603,Y$4),2))</f>
        <v/>
      </c>
      <c r="Z58" s="142" t="str">
        <f aca="false">IF($A58="","",ROUND(SUM($B58:$Y58),2))</f>
        <v/>
      </c>
      <c r="AA58" s="41" t="str">
        <f aca="false">IF($A58="","",ROUND(SUMIF(成本费用登记表!$D$4:$D$303,$A58,成本费用登记表!$AA$4:$AA$303)+SUMIFS(资金日记账!$I$4:$I$603,资金日记账!$G$4:$G$603,$A58,资金日记账!$U$4:$U$603,"&lt;&gt;是"),2))</f>
        <v/>
      </c>
      <c r="AB58" s="41" t="str">
        <f aca="false">IF($A58="","",ROUND(N($Z58)-N($AA58),2))</f>
        <v/>
      </c>
    </row>
    <row r="59" customFormat="false" ht="13.5" hidden="false" customHeight="false" outlineLevel="0" collapsed="false">
      <c r="A59" s="33" t="str">
        <f aca="false">IFERROR(INDEX(_自动清单!$X$4:$X$63,55),"")</f>
        <v/>
      </c>
      <c r="B59" s="41" t="str">
        <f aca="false">IF($A59="","",ROUND(SUMIFS(成本费用登记表!$H$4:$H$303,成本费用登记表!$D$4:$D$303,$A59,成本费用登记表!$AC$4:$AC$303,B$4)+SUMIFS(资金日记账!$I$4:$I$603,资金日记账!$G$4:$G$603,$A59,资金日记账!$U$4:$U$603,"&lt;&gt;是",资金日记账!$V$4:$V$603,B$4),2))</f>
        <v/>
      </c>
      <c r="C59" s="41" t="str">
        <f aca="false">IF($A59="","",ROUND(SUMIFS(成本费用登记表!$H$4:$H$303,成本费用登记表!$D$4:$D$303,$A59,成本费用登记表!$AC$4:$AC$303,C$4)+SUMIFS(资金日记账!$I$4:$I$603,资金日记账!$G$4:$G$603,$A59,资金日记账!$U$4:$U$603,"&lt;&gt;是",资金日记账!$V$4:$V$603,C$4),2))</f>
        <v/>
      </c>
      <c r="D59" s="41" t="str">
        <f aca="false">IF($A59="","",ROUND(SUMIFS(成本费用登记表!$H$4:$H$303,成本费用登记表!$D$4:$D$303,$A59,成本费用登记表!$AC$4:$AC$303,D$4)+SUMIFS(资金日记账!$I$4:$I$603,资金日记账!$G$4:$G$603,$A59,资金日记账!$U$4:$U$603,"&lt;&gt;是",资金日记账!$V$4:$V$603,D$4),2))</f>
        <v/>
      </c>
      <c r="E59" s="41" t="str">
        <f aca="false">IF($A59="","",ROUND(SUMIFS(成本费用登记表!$H$4:$H$303,成本费用登记表!$D$4:$D$303,$A59,成本费用登记表!$AC$4:$AC$303,E$4)+SUMIFS(资金日记账!$I$4:$I$603,资金日记账!$G$4:$G$603,$A59,资金日记账!$U$4:$U$603,"&lt;&gt;是",资金日记账!$V$4:$V$603,E$4),2))</f>
        <v/>
      </c>
      <c r="F59" s="41" t="str">
        <f aca="false">IF($A59="","",ROUND(SUMIFS(成本费用登记表!$H$4:$H$303,成本费用登记表!$D$4:$D$303,$A59,成本费用登记表!$AC$4:$AC$303,F$4)+SUMIFS(资金日记账!$I$4:$I$603,资金日记账!$G$4:$G$603,$A59,资金日记账!$U$4:$U$603,"&lt;&gt;是",资金日记账!$V$4:$V$603,F$4),2))</f>
        <v/>
      </c>
      <c r="G59" s="41" t="str">
        <f aca="false">IF($A59="","",ROUND(SUMIFS(成本费用登记表!$H$4:$H$303,成本费用登记表!$D$4:$D$303,$A59,成本费用登记表!$AC$4:$AC$303,G$4)+SUMIFS(资金日记账!$I$4:$I$603,资金日记账!$G$4:$G$603,$A59,资金日记账!$U$4:$U$603,"&lt;&gt;是",资金日记账!$V$4:$V$603,G$4),2))</f>
        <v/>
      </c>
      <c r="H59" s="41" t="str">
        <f aca="false">IF($A59="","",ROUND(SUMIFS(成本费用登记表!$H$4:$H$303,成本费用登记表!$D$4:$D$303,$A59,成本费用登记表!$AC$4:$AC$303,H$4)+SUMIFS(资金日记账!$I$4:$I$603,资金日记账!$G$4:$G$603,$A59,资金日记账!$U$4:$U$603,"&lt;&gt;是",资金日记账!$V$4:$V$603,H$4),2))</f>
        <v/>
      </c>
      <c r="I59" s="41" t="str">
        <f aca="false">IF($A59="","",ROUND(SUMIFS(成本费用登记表!$H$4:$H$303,成本费用登记表!$D$4:$D$303,$A59,成本费用登记表!$AC$4:$AC$303,I$4)+SUMIFS(资金日记账!$I$4:$I$603,资金日记账!$G$4:$G$603,$A59,资金日记账!$U$4:$U$603,"&lt;&gt;是",资金日记账!$V$4:$V$603,I$4),2))</f>
        <v/>
      </c>
      <c r="J59" s="41" t="str">
        <f aca="false">IF($A59="","",ROUND(SUMIFS(成本费用登记表!$H$4:$H$303,成本费用登记表!$D$4:$D$303,$A59,成本费用登记表!$AC$4:$AC$303,J$4)+SUMIFS(资金日记账!$I$4:$I$603,资金日记账!$G$4:$G$603,$A59,资金日记账!$U$4:$U$603,"&lt;&gt;是",资金日记账!$V$4:$V$603,J$4),2))</f>
        <v/>
      </c>
      <c r="K59" s="41" t="str">
        <f aca="false">IF($A59="","",ROUND(SUMIFS(成本费用登记表!$H$4:$H$303,成本费用登记表!$D$4:$D$303,$A59,成本费用登记表!$AC$4:$AC$303,K$4)+SUMIFS(资金日记账!$I$4:$I$603,资金日记账!$G$4:$G$603,$A59,资金日记账!$U$4:$U$603,"&lt;&gt;是",资金日记账!$V$4:$V$603,K$4),2))</f>
        <v/>
      </c>
      <c r="L59" s="41" t="str">
        <f aca="false">IF($A59="","",ROUND(SUMIFS(成本费用登记表!$H$4:$H$303,成本费用登记表!$D$4:$D$303,$A59,成本费用登记表!$AC$4:$AC$303,L$4)+SUMIFS(资金日记账!$I$4:$I$603,资金日记账!$G$4:$G$603,$A59,资金日记账!$U$4:$U$603,"&lt;&gt;是",资金日记账!$V$4:$V$603,L$4),2))</f>
        <v/>
      </c>
      <c r="M59" s="41" t="str">
        <f aca="false">IF($A59="","",ROUND(SUMIFS(成本费用登记表!$H$4:$H$303,成本费用登记表!$D$4:$D$303,$A59,成本费用登记表!$AC$4:$AC$303,M$4)+SUMIFS(资金日记账!$I$4:$I$603,资金日记账!$G$4:$G$603,$A59,资金日记账!$U$4:$U$603,"&lt;&gt;是",资金日记账!$V$4:$V$603,M$4),2))</f>
        <v/>
      </c>
      <c r="N59" s="41" t="str">
        <f aca="false">IF($A59="","",ROUND(SUMIFS(成本费用登记表!$H$4:$H$303,成本费用登记表!$D$4:$D$303,$A59,成本费用登记表!$AC$4:$AC$303,N$4)+SUMIFS(资金日记账!$I$4:$I$603,资金日记账!$G$4:$G$603,$A59,资金日记账!$U$4:$U$603,"&lt;&gt;是",资金日记账!$V$4:$V$603,N$4),2))</f>
        <v/>
      </c>
      <c r="O59" s="41" t="str">
        <f aca="false">IF($A59="","",ROUND(SUMIFS(成本费用登记表!$H$4:$H$303,成本费用登记表!$D$4:$D$303,$A59,成本费用登记表!$AC$4:$AC$303,O$4)+SUMIFS(资金日记账!$I$4:$I$603,资金日记账!$G$4:$G$603,$A59,资金日记账!$U$4:$U$603,"&lt;&gt;是",资金日记账!$V$4:$V$603,O$4),2))</f>
        <v/>
      </c>
      <c r="P59" s="41" t="str">
        <f aca="false">IF($A59="","",ROUND(SUMIFS(成本费用登记表!$H$4:$H$303,成本费用登记表!$D$4:$D$303,$A59,成本费用登记表!$AC$4:$AC$303,P$4)+SUMIFS(资金日记账!$I$4:$I$603,资金日记账!$G$4:$G$603,$A59,资金日记账!$U$4:$U$603,"&lt;&gt;是",资金日记账!$V$4:$V$603,P$4),2))</f>
        <v/>
      </c>
      <c r="Q59" s="41" t="str">
        <f aca="false">IF($A59="","",ROUND(SUMIFS(成本费用登记表!$H$4:$H$303,成本费用登记表!$D$4:$D$303,$A59,成本费用登记表!$AC$4:$AC$303,Q$4)+SUMIFS(资金日记账!$I$4:$I$603,资金日记账!$G$4:$G$603,$A59,资金日记账!$U$4:$U$603,"&lt;&gt;是",资金日记账!$V$4:$V$603,Q$4),2))</f>
        <v/>
      </c>
      <c r="R59" s="41" t="str">
        <f aca="false">IF($A59="","",ROUND(SUMIFS(成本费用登记表!$H$4:$H$303,成本费用登记表!$D$4:$D$303,$A59,成本费用登记表!$AC$4:$AC$303,R$4)+SUMIFS(资金日记账!$I$4:$I$603,资金日记账!$G$4:$G$603,$A59,资金日记账!$U$4:$U$603,"&lt;&gt;是",资金日记账!$V$4:$V$603,R$4),2))</f>
        <v/>
      </c>
      <c r="S59" s="41" t="str">
        <f aca="false">IF($A59="","",ROUND(SUMIFS(成本费用登记表!$H$4:$H$303,成本费用登记表!$D$4:$D$303,$A59,成本费用登记表!$AC$4:$AC$303,S$4)+SUMIFS(资金日记账!$I$4:$I$603,资金日记账!$G$4:$G$603,$A59,资金日记账!$U$4:$U$603,"&lt;&gt;是",资金日记账!$V$4:$V$603,S$4),2))</f>
        <v/>
      </c>
      <c r="T59" s="41" t="str">
        <f aca="false">IF($A59="","",ROUND(SUMIFS(成本费用登记表!$H$4:$H$303,成本费用登记表!$D$4:$D$303,$A59,成本费用登记表!$AC$4:$AC$303,T$4)+SUMIFS(资金日记账!$I$4:$I$603,资金日记账!$G$4:$G$603,$A59,资金日记账!$U$4:$U$603,"&lt;&gt;是",资金日记账!$V$4:$V$603,T$4),2))</f>
        <v/>
      </c>
      <c r="U59" s="41" t="str">
        <f aca="false">IF($A59="","",ROUND(SUMIFS(成本费用登记表!$H$4:$H$303,成本费用登记表!$D$4:$D$303,$A59,成本费用登记表!$AC$4:$AC$303,U$4)+SUMIFS(资金日记账!$I$4:$I$603,资金日记账!$G$4:$G$603,$A59,资金日记账!$U$4:$U$603,"&lt;&gt;是",资金日记账!$V$4:$V$603,U$4),2))</f>
        <v/>
      </c>
      <c r="V59" s="41" t="str">
        <f aca="false">IF($A59="","",ROUND(SUMIFS(成本费用登记表!$H$4:$H$303,成本费用登记表!$D$4:$D$303,$A59,成本费用登记表!$AC$4:$AC$303,V$4)+SUMIFS(资金日记账!$I$4:$I$603,资金日记账!$G$4:$G$603,$A59,资金日记账!$U$4:$U$603,"&lt;&gt;是",资金日记账!$V$4:$V$603,V$4),2))</f>
        <v/>
      </c>
      <c r="W59" s="41" t="str">
        <f aca="false">IF($A59="","",ROUND(SUMIFS(成本费用登记表!$H$4:$H$303,成本费用登记表!$D$4:$D$303,$A59,成本费用登记表!$AC$4:$AC$303,W$4)+SUMIFS(资金日记账!$I$4:$I$603,资金日记账!$G$4:$G$603,$A59,资金日记账!$U$4:$U$603,"&lt;&gt;是",资金日记账!$V$4:$V$603,W$4),2))</f>
        <v/>
      </c>
      <c r="X59" s="41" t="str">
        <f aca="false">IF($A59="","",ROUND(SUMIFS(成本费用登记表!$H$4:$H$303,成本费用登记表!$D$4:$D$303,$A59,成本费用登记表!$AC$4:$AC$303,X$4)+SUMIFS(资金日记账!$I$4:$I$603,资金日记账!$G$4:$G$603,$A59,资金日记账!$U$4:$U$603,"&lt;&gt;是",资金日记账!$V$4:$V$603,X$4),2))</f>
        <v/>
      </c>
      <c r="Y59" s="41" t="str">
        <f aca="false">IF($A59="","",ROUND(SUMIFS(成本费用登记表!$H$4:$H$303,成本费用登记表!$D$4:$D$303,$A59,成本费用登记表!$AC$4:$AC$303,Y$4)+SUMIFS(资金日记账!$I$4:$I$603,资金日记账!$G$4:$G$603,$A59,资金日记账!$U$4:$U$603,"&lt;&gt;是",资金日记账!$V$4:$V$603,Y$4),2))</f>
        <v/>
      </c>
      <c r="Z59" s="142" t="str">
        <f aca="false">IF($A59="","",ROUND(SUM($B59:$Y59),2))</f>
        <v/>
      </c>
      <c r="AA59" s="41" t="str">
        <f aca="false">IF($A59="","",ROUND(SUMIF(成本费用登记表!$D$4:$D$303,$A59,成本费用登记表!$AA$4:$AA$303)+SUMIFS(资金日记账!$I$4:$I$603,资金日记账!$G$4:$G$603,$A59,资金日记账!$U$4:$U$603,"&lt;&gt;是"),2))</f>
        <v/>
      </c>
      <c r="AB59" s="41" t="str">
        <f aca="false">IF($A59="","",ROUND(N($Z59)-N($AA59),2))</f>
        <v/>
      </c>
    </row>
    <row r="60" customFormat="false" ht="13.5" hidden="false" customHeight="false" outlineLevel="0" collapsed="false">
      <c r="A60" s="33" t="str">
        <f aca="false">IFERROR(INDEX(_自动清单!$X$4:$X$63,56),"")</f>
        <v/>
      </c>
      <c r="B60" s="41" t="str">
        <f aca="false">IF($A60="","",ROUND(SUMIFS(成本费用登记表!$H$4:$H$303,成本费用登记表!$D$4:$D$303,$A60,成本费用登记表!$AC$4:$AC$303,B$4)+SUMIFS(资金日记账!$I$4:$I$603,资金日记账!$G$4:$G$603,$A60,资金日记账!$U$4:$U$603,"&lt;&gt;是",资金日记账!$V$4:$V$603,B$4),2))</f>
        <v/>
      </c>
      <c r="C60" s="41" t="str">
        <f aca="false">IF($A60="","",ROUND(SUMIFS(成本费用登记表!$H$4:$H$303,成本费用登记表!$D$4:$D$303,$A60,成本费用登记表!$AC$4:$AC$303,C$4)+SUMIFS(资金日记账!$I$4:$I$603,资金日记账!$G$4:$G$603,$A60,资金日记账!$U$4:$U$603,"&lt;&gt;是",资金日记账!$V$4:$V$603,C$4),2))</f>
        <v/>
      </c>
      <c r="D60" s="41" t="str">
        <f aca="false">IF($A60="","",ROUND(SUMIFS(成本费用登记表!$H$4:$H$303,成本费用登记表!$D$4:$D$303,$A60,成本费用登记表!$AC$4:$AC$303,D$4)+SUMIFS(资金日记账!$I$4:$I$603,资金日记账!$G$4:$G$603,$A60,资金日记账!$U$4:$U$603,"&lt;&gt;是",资金日记账!$V$4:$V$603,D$4),2))</f>
        <v/>
      </c>
      <c r="E60" s="41" t="str">
        <f aca="false">IF($A60="","",ROUND(SUMIFS(成本费用登记表!$H$4:$H$303,成本费用登记表!$D$4:$D$303,$A60,成本费用登记表!$AC$4:$AC$303,E$4)+SUMIFS(资金日记账!$I$4:$I$603,资金日记账!$G$4:$G$603,$A60,资金日记账!$U$4:$U$603,"&lt;&gt;是",资金日记账!$V$4:$V$603,E$4),2))</f>
        <v/>
      </c>
      <c r="F60" s="41" t="str">
        <f aca="false">IF($A60="","",ROUND(SUMIFS(成本费用登记表!$H$4:$H$303,成本费用登记表!$D$4:$D$303,$A60,成本费用登记表!$AC$4:$AC$303,F$4)+SUMIFS(资金日记账!$I$4:$I$603,资金日记账!$G$4:$G$603,$A60,资金日记账!$U$4:$U$603,"&lt;&gt;是",资金日记账!$V$4:$V$603,F$4),2))</f>
        <v/>
      </c>
      <c r="G60" s="41" t="str">
        <f aca="false">IF($A60="","",ROUND(SUMIFS(成本费用登记表!$H$4:$H$303,成本费用登记表!$D$4:$D$303,$A60,成本费用登记表!$AC$4:$AC$303,G$4)+SUMIFS(资金日记账!$I$4:$I$603,资金日记账!$G$4:$G$603,$A60,资金日记账!$U$4:$U$603,"&lt;&gt;是",资金日记账!$V$4:$V$603,G$4),2))</f>
        <v/>
      </c>
      <c r="H60" s="41" t="str">
        <f aca="false">IF($A60="","",ROUND(SUMIFS(成本费用登记表!$H$4:$H$303,成本费用登记表!$D$4:$D$303,$A60,成本费用登记表!$AC$4:$AC$303,H$4)+SUMIFS(资金日记账!$I$4:$I$603,资金日记账!$G$4:$G$603,$A60,资金日记账!$U$4:$U$603,"&lt;&gt;是",资金日记账!$V$4:$V$603,H$4),2))</f>
        <v/>
      </c>
      <c r="I60" s="41" t="str">
        <f aca="false">IF($A60="","",ROUND(SUMIFS(成本费用登记表!$H$4:$H$303,成本费用登记表!$D$4:$D$303,$A60,成本费用登记表!$AC$4:$AC$303,I$4)+SUMIFS(资金日记账!$I$4:$I$603,资金日记账!$G$4:$G$603,$A60,资金日记账!$U$4:$U$603,"&lt;&gt;是",资金日记账!$V$4:$V$603,I$4),2))</f>
        <v/>
      </c>
      <c r="J60" s="41" t="str">
        <f aca="false">IF($A60="","",ROUND(SUMIFS(成本费用登记表!$H$4:$H$303,成本费用登记表!$D$4:$D$303,$A60,成本费用登记表!$AC$4:$AC$303,J$4)+SUMIFS(资金日记账!$I$4:$I$603,资金日记账!$G$4:$G$603,$A60,资金日记账!$U$4:$U$603,"&lt;&gt;是",资金日记账!$V$4:$V$603,J$4),2))</f>
        <v/>
      </c>
      <c r="K60" s="41" t="str">
        <f aca="false">IF($A60="","",ROUND(SUMIFS(成本费用登记表!$H$4:$H$303,成本费用登记表!$D$4:$D$303,$A60,成本费用登记表!$AC$4:$AC$303,K$4)+SUMIFS(资金日记账!$I$4:$I$603,资金日记账!$G$4:$G$603,$A60,资金日记账!$U$4:$U$603,"&lt;&gt;是",资金日记账!$V$4:$V$603,K$4),2))</f>
        <v/>
      </c>
      <c r="L60" s="41" t="str">
        <f aca="false">IF($A60="","",ROUND(SUMIFS(成本费用登记表!$H$4:$H$303,成本费用登记表!$D$4:$D$303,$A60,成本费用登记表!$AC$4:$AC$303,L$4)+SUMIFS(资金日记账!$I$4:$I$603,资金日记账!$G$4:$G$603,$A60,资金日记账!$U$4:$U$603,"&lt;&gt;是",资金日记账!$V$4:$V$603,L$4),2))</f>
        <v/>
      </c>
      <c r="M60" s="41" t="str">
        <f aca="false">IF($A60="","",ROUND(SUMIFS(成本费用登记表!$H$4:$H$303,成本费用登记表!$D$4:$D$303,$A60,成本费用登记表!$AC$4:$AC$303,M$4)+SUMIFS(资金日记账!$I$4:$I$603,资金日记账!$G$4:$G$603,$A60,资金日记账!$U$4:$U$603,"&lt;&gt;是",资金日记账!$V$4:$V$603,M$4),2))</f>
        <v/>
      </c>
      <c r="N60" s="41" t="str">
        <f aca="false">IF($A60="","",ROUND(SUMIFS(成本费用登记表!$H$4:$H$303,成本费用登记表!$D$4:$D$303,$A60,成本费用登记表!$AC$4:$AC$303,N$4)+SUMIFS(资金日记账!$I$4:$I$603,资金日记账!$G$4:$G$603,$A60,资金日记账!$U$4:$U$603,"&lt;&gt;是",资金日记账!$V$4:$V$603,N$4),2))</f>
        <v/>
      </c>
      <c r="O60" s="41" t="str">
        <f aca="false">IF($A60="","",ROUND(SUMIFS(成本费用登记表!$H$4:$H$303,成本费用登记表!$D$4:$D$303,$A60,成本费用登记表!$AC$4:$AC$303,O$4)+SUMIFS(资金日记账!$I$4:$I$603,资金日记账!$G$4:$G$603,$A60,资金日记账!$U$4:$U$603,"&lt;&gt;是",资金日记账!$V$4:$V$603,O$4),2))</f>
        <v/>
      </c>
      <c r="P60" s="41" t="str">
        <f aca="false">IF($A60="","",ROUND(SUMIFS(成本费用登记表!$H$4:$H$303,成本费用登记表!$D$4:$D$303,$A60,成本费用登记表!$AC$4:$AC$303,P$4)+SUMIFS(资金日记账!$I$4:$I$603,资金日记账!$G$4:$G$603,$A60,资金日记账!$U$4:$U$603,"&lt;&gt;是",资金日记账!$V$4:$V$603,P$4),2))</f>
        <v/>
      </c>
      <c r="Q60" s="41" t="str">
        <f aca="false">IF($A60="","",ROUND(SUMIFS(成本费用登记表!$H$4:$H$303,成本费用登记表!$D$4:$D$303,$A60,成本费用登记表!$AC$4:$AC$303,Q$4)+SUMIFS(资金日记账!$I$4:$I$603,资金日记账!$G$4:$G$603,$A60,资金日记账!$U$4:$U$603,"&lt;&gt;是",资金日记账!$V$4:$V$603,Q$4),2))</f>
        <v/>
      </c>
      <c r="R60" s="41" t="str">
        <f aca="false">IF($A60="","",ROUND(SUMIFS(成本费用登记表!$H$4:$H$303,成本费用登记表!$D$4:$D$303,$A60,成本费用登记表!$AC$4:$AC$303,R$4)+SUMIFS(资金日记账!$I$4:$I$603,资金日记账!$G$4:$G$603,$A60,资金日记账!$U$4:$U$603,"&lt;&gt;是",资金日记账!$V$4:$V$603,R$4),2))</f>
        <v/>
      </c>
      <c r="S60" s="41" t="str">
        <f aca="false">IF($A60="","",ROUND(SUMIFS(成本费用登记表!$H$4:$H$303,成本费用登记表!$D$4:$D$303,$A60,成本费用登记表!$AC$4:$AC$303,S$4)+SUMIFS(资金日记账!$I$4:$I$603,资金日记账!$G$4:$G$603,$A60,资金日记账!$U$4:$U$603,"&lt;&gt;是",资金日记账!$V$4:$V$603,S$4),2))</f>
        <v/>
      </c>
      <c r="T60" s="41" t="str">
        <f aca="false">IF($A60="","",ROUND(SUMIFS(成本费用登记表!$H$4:$H$303,成本费用登记表!$D$4:$D$303,$A60,成本费用登记表!$AC$4:$AC$303,T$4)+SUMIFS(资金日记账!$I$4:$I$603,资金日记账!$G$4:$G$603,$A60,资金日记账!$U$4:$U$603,"&lt;&gt;是",资金日记账!$V$4:$V$603,T$4),2))</f>
        <v/>
      </c>
      <c r="U60" s="41" t="str">
        <f aca="false">IF($A60="","",ROUND(SUMIFS(成本费用登记表!$H$4:$H$303,成本费用登记表!$D$4:$D$303,$A60,成本费用登记表!$AC$4:$AC$303,U$4)+SUMIFS(资金日记账!$I$4:$I$603,资金日记账!$G$4:$G$603,$A60,资金日记账!$U$4:$U$603,"&lt;&gt;是",资金日记账!$V$4:$V$603,U$4),2))</f>
        <v/>
      </c>
      <c r="V60" s="41" t="str">
        <f aca="false">IF($A60="","",ROUND(SUMIFS(成本费用登记表!$H$4:$H$303,成本费用登记表!$D$4:$D$303,$A60,成本费用登记表!$AC$4:$AC$303,V$4)+SUMIFS(资金日记账!$I$4:$I$603,资金日记账!$G$4:$G$603,$A60,资金日记账!$U$4:$U$603,"&lt;&gt;是",资金日记账!$V$4:$V$603,V$4),2))</f>
        <v/>
      </c>
      <c r="W60" s="41" t="str">
        <f aca="false">IF($A60="","",ROUND(SUMIFS(成本费用登记表!$H$4:$H$303,成本费用登记表!$D$4:$D$303,$A60,成本费用登记表!$AC$4:$AC$303,W$4)+SUMIFS(资金日记账!$I$4:$I$603,资金日记账!$G$4:$G$603,$A60,资金日记账!$U$4:$U$603,"&lt;&gt;是",资金日记账!$V$4:$V$603,W$4),2))</f>
        <v/>
      </c>
      <c r="X60" s="41" t="str">
        <f aca="false">IF($A60="","",ROUND(SUMIFS(成本费用登记表!$H$4:$H$303,成本费用登记表!$D$4:$D$303,$A60,成本费用登记表!$AC$4:$AC$303,X$4)+SUMIFS(资金日记账!$I$4:$I$603,资金日记账!$G$4:$G$603,$A60,资金日记账!$U$4:$U$603,"&lt;&gt;是",资金日记账!$V$4:$V$603,X$4),2))</f>
        <v/>
      </c>
      <c r="Y60" s="41" t="str">
        <f aca="false">IF($A60="","",ROUND(SUMIFS(成本费用登记表!$H$4:$H$303,成本费用登记表!$D$4:$D$303,$A60,成本费用登记表!$AC$4:$AC$303,Y$4)+SUMIFS(资金日记账!$I$4:$I$603,资金日记账!$G$4:$G$603,$A60,资金日记账!$U$4:$U$603,"&lt;&gt;是",资金日记账!$V$4:$V$603,Y$4),2))</f>
        <v/>
      </c>
      <c r="Z60" s="142" t="str">
        <f aca="false">IF($A60="","",ROUND(SUM($B60:$Y60),2))</f>
        <v/>
      </c>
      <c r="AA60" s="41" t="str">
        <f aca="false">IF($A60="","",ROUND(SUMIF(成本费用登记表!$D$4:$D$303,$A60,成本费用登记表!$AA$4:$AA$303)+SUMIFS(资金日记账!$I$4:$I$603,资金日记账!$G$4:$G$603,$A60,资金日记账!$U$4:$U$603,"&lt;&gt;是"),2))</f>
        <v/>
      </c>
      <c r="AB60" s="41" t="str">
        <f aca="false">IF($A60="","",ROUND(N($Z60)-N($AA60),2))</f>
        <v/>
      </c>
    </row>
    <row r="61" customFormat="false" ht="13.5" hidden="false" customHeight="false" outlineLevel="0" collapsed="false">
      <c r="A61" s="33" t="str">
        <f aca="false">IFERROR(INDEX(_自动清单!$X$4:$X$63,57),"")</f>
        <v/>
      </c>
      <c r="B61" s="41" t="str">
        <f aca="false">IF($A61="","",ROUND(SUMIFS(成本费用登记表!$H$4:$H$303,成本费用登记表!$D$4:$D$303,$A61,成本费用登记表!$AC$4:$AC$303,B$4)+SUMIFS(资金日记账!$I$4:$I$603,资金日记账!$G$4:$G$603,$A61,资金日记账!$U$4:$U$603,"&lt;&gt;是",资金日记账!$V$4:$V$603,B$4),2))</f>
        <v/>
      </c>
      <c r="C61" s="41" t="str">
        <f aca="false">IF($A61="","",ROUND(SUMIFS(成本费用登记表!$H$4:$H$303,成本费用登记表!$D$4:$D$303,$A61,成本费用登记表!$AC$4:$AC$303,C$4)+SUMIFS(资金日记账!$I$4:$I$603,资金日记账!$G$4:$G$603,$A61,资金日记账!$U$4:$U$603,"&lt;&gt;是",资金日记账!$V$4:$V$603,C$4),2))</f>
        <v/>
      </c>
      <c r="D61" s="41" t="str">
        <f aca="false">IF($A61="","",ROUND(SUMIFS(成本费用登记表!$H$4:$H$303,成本费用登记表!$D$4:$D$303,$A61,成本费用登记表!$AC$4:$AC$303,D$4)+SUMIFS(资金日记账!$I$4:$I$603,资金日记账!$G$4:$G$603,$A61,资金日记账!$U$4:$U$603,"&lt;&gt;是",资金日记账!$V$4:$V$603,D$4),2))</f>
        <v/>
      </c>
      <c r="E61" s="41" t="str">
        <f aca="false">IF($A61="","",ROUND(SUMIFS(成本费用登记表!$H$4:$H$303,成本费用登记表!$D$4:$D$303,$A61,成本费用登记表!$AC$4:$AC$303,E$4)+SUMIFS(资金日记账!$I$4:$I$603,资金日记账!$G$4:$G$603,$A61,资金日记账!$U$4:$U$603,"&lt;&gt;是",资金日记账!$V$4:$V$603,E$4),2))</f>
        <v/>
      </c>
      <c r="F61" s="41" t="str">
        <f aca="false">IF($A61="","",ROUND(SUMIFS(成本费用登记表!$H$4:$H$303,成本费用登记表!$D$4:$D$303,$A61,成本费用登记表!$AC$4:$AC$303,F$4)+SUMIFS(资金日记账!$I$4:$I$603,资金日记账!$G$4:$G$603,$A61,资金日记账!$U$4:$U$603,"&lt;&gt;是",资金日记账!$V$4:$V$603,F$4),2))</f>
        <v/>
      </c>
      <c r="G61" s="41" t="str">
        <f aca="false">IF($A61="","",ROUND(SUMIFS(成本费用登记表!$H$4:$H$303,成本费用登记表!$D$4:$D$303,$A61,成本费用登记表!$AC$4:$AC$303,G$4)+SUMIFS(资金日记账!$I$4:$I$603,资金日记账!$G$4:$G$603,$A61,资金日记账!$U$4:$U$603,"&lt;&gt;是",资金日记账!$V$4:$V$603,G$4),2))</f>
        <v/>
      </c>
      <c r="H61" s="41" t="str">
        <f aca="false">IF($A61="","",ROUND(SUMIFS(成本费用登记表!$H$4:$H$303,成本费用登记表!$D$4:$D$303,$A61,成本费用登记表!$AC$4:$AC$303,H$4)+SUMIFS(资金日记账!$I$4:$I$603,资金日记账!$G$4:$G$603,$A61,资金日记账!$U$4:$U$603,"&lt;&gt;是",资金日记账!$V$4:$V$603,H$4),2))</f>
        <v/>
      </c>
      <c r="I61" s="41" t="str">
        <f aca="false">IF($A61="","",ROUND(SUMIFS(成本费用登记表!$H$4:$H$303,成本费用登记表!$D$4:$D$303,$A61,成本费用登记表!$AC$4:$AC$303,I$4)+SUMIFS(资金日记账!$I$4:$I$603,资金日记账!$G$4:$G$603,$A61,资金日记账!$U$4:$U$603,"&lt;&gt;是",资金日记账!$V$4:$V$603,I$4),2))</f>
        <v/>
      </c>
      <c r="J61" s="41" t="str">
        <f aca="false">IF($A61="","",ROUND(SUMIFS(成本费用登记表!$H$4:$H$303,成本费用登记表!$D$4:$D$303,$A61,成本费用登记表!$AC$4:$AC$303,J$4)+SUMIFS(资金日记账!$I$4:$I$603,资金日记账!$G$4:$G$603,$A61,资金日记账!$U$4:$U$603,"&lt;&gt;是",资金日记账!$V$4:$V$603,J$4),2))</f>
        <v/>
      </c>
      <c r="K61" s="41" t="str">
        <f aca="false">IF($A61="","",ROUND(SUMIFS(成本费用登记表!$H$4:$H$303,成本费用登记表!$D$4:$D$303,$A61,成本费用登记表!$AC$4:$AC$303,K$4)+SUMIFS(资金日记账!$I$4:$I$603,资金日记账!$G$4:$G$603,$A61,资金日记账!$U$4:$U$603,"&lt;&gt;是",资金日记账!$V$4:$V$603,K$4),2))</f>
        <v/>
      </c>
      <c r="L61" s="41" t="str">
        <f aca="false">IF($A61="","",ROUND(SUMIFS(成本费用登记表!$H$4:$H$303,成本费用登记表!$D$4:$D$303,$A61,成本费用登记表!$AC$4:$AC$303,L$4)+SUMIFS(资金日记账!$I$4:$I$603,资金日记账!$G$4:$G$603,$A61,资金日记账!$U$4:$U$603,"&lt;&gt;是",资金日记账!$V$4:$V$603,L$4),2))</f>
        <v/>
      </c>
      <c r="M61" s="41" t="str">
        <f aca="false">IF($A61="","",ROUND(SUMIFS(成本费用登记表!$H$4:$H$303,成本费用登记表!$D$4:$D$303,$A61,成本费用登记表!$AC$4:$AC$303,M$4)+SUMIFS(资金日记账!$I$4:$I$603,资金日记账!$G$4:$G$603,$A61,资金日记账!$U$4:$U$603,"&lt;&gt;是",资金日记账!$V$4:$V$603,M$4),2))</f>
        <v/>
      </c>
      <c r="N61" s="41" t="str">
        <f aca="false">IF($A61="","",ROUND(SUMIFS(成本费用登记表!$H$4:$H$303,成本费用登记表!$D$4:$D$303,$A61,成本费用登记表!$AC$4:$AC$303,N$4)+SUMIFS(资金日记账!$I$4:$I$603,资金日记账!$G$4:$G$603,$A61,资金日记账!$U$4:$U$603,"&lt;&gt;是",资金日记账!$V$4:$V$603,N$4),2))</f>
        <v/>
      </c>
      <c r="O61" s="41" t="str">
        <f aca="false">IF($A61="","",ROUND(SUMIFS(成本费用登记表!$H$4:$H$303,成本费用登记表!$D$4:$D$303,$A61,成本费用登记表!$AC$4:$AC$303,O$4)+SUMIFS(资金日记账!$I$4:$I$603,资金日记账!$G$4:$G$603,$A61,资金日记账!$U$4:$U$603,"&lt;&gt;是",资金日记账!$V$4:$V$603,O$4),2))</f>
        <v/>
      </c>
      <c r="P61" s="41" t="str">
        <f aca="false">IF($A61="","",ROUND(SUMIFS(成本费用登记表!$H$4:$H$303,成本费用登记表!$D$4:$D$303,$A61,成本费用登记表!$AC$4:$AC$303,P$4)+SUMIFS(资金日记账!$I$4:$I$603,资金日记账!$G$4:$G$603,$A61,资金日记账!$U$4:$U$603,"&lt;&gt;是",资金日记账!$V$4:$V$603,P$4),2))</f>
        <v/>
      </c>
      <c r="Q61" s="41" t="str">
        <f aca="false">IF($A61="","",ROUND(SUMIFS(成本费用登记表!$H$4:$H$303,成本费用登记表!$D$4:$D$303,$A61,成本费用登记表!$AC$4:$AC$303,Q$4)+SUMIFS(资金日记账!$I$4:$I$603,资金日记账!$G$4:$G$603,$A61,资金日记账!$U$4:$U$603,"&lt;&gt;是",资金日记账!$V$4:$V$603,Q$4),2))</f>
        <v/>
      </c>
      <c r="R61" s="41" t="str">
        <f aca="false">IF($A61="","",ROUND(SUMIFS(成本费用登记表!$H$4:$H$303,成本费用登记表!$D$4:$D$303,$A61,成本费用登记表!$AC$4:$AC$303,R$4)+SUMIFS(资金日记账!$I$4:$I$603,资金日记账!$G$4:$G$603,$A61,资金日记账!$U$4:$U$603,"&lt;&gt;是",资金日记账!$V$4:$V$603,R$4),2))</f>
        <v/>
      </c>
      <c r="S61" s="41" t="str">
        <f aca="false">IF($A61="","",ROUND(SUMIFS(成本费用登记表!$H$4:$H$303,成本费用登记表!$D$4:$D$303,$A61,成本费用登记表!$AC$4:$AC$303,S$4)+SUMIFS(资金日记账!$I$4:$I$603,资金日记账!$G$4:$G$603,$A61,资金日记账!$U$4:$U$603,"&lt;&gt;是",资金日记账!$V$4:$V$603,S$4),2))</f>
        <v/>
      </c>
      <c r="T61" s="41" t="str">
        <f aca="false">IF($A61="","",ROUND(SUMIFS(成本费用登记表!$H$4:$H$303,成本费用登记表!$D$4:$D$303,$A61,成本费用登记表!$AC$4:$AC$303,T$4)+SUMIFS(资金日记账!$I$4:$I$603,资金日记账!$G$4:$G$603,$A61,资金日记账!$U$4:$U$603,"&lt;&gt;是",资金日记账!$V$4:$V$603,T$4),2))</f>
        <v/>
      </c>
      <c r="U61" s="41" t="str">
        <f aca="false">IF($A61="","",ROUND(SUMIFS(成本费用登记表!$H$4:$H$303,成本费用登记表!$D$4:$D$303,$A61,成本费用登记表!$AC$4:$AC$303,U$4)+SUMIFS(资金日记账!$I$4:$I$603,资金日记账!$G$4:$G$603,$A61,资金日记账!$U$4:$U$603,"&lt;&gt;是",资金日记账!$V$4:$V$603,U$4),2))</f>
        <v/>
      </c>
      <c r="V61" s="41" t="str">
        <f aca="false">IF($A61="","",ROUND(SUMIFS(成本费用登记表!$H$4:$H$303,成本费用登记表!$D$4:$D$303,$A61,成本费用登记表!$AC$4:$AC$303,V$4)+SUMIFS(资金日记账!$I$4:$I$603,资金日记账!$G$4:$G$603,$A61,资金日记账!$U$4:$U$603,"&lt;&gt;是",资金日记账!$V$4:$V$603,V$4),2))</f>
        <v/>
      </c>
      <c r="W61" s="41" t="str">
        <f aca="false">IF($A61="","",ROUND(SUMIFS(成本费用登记表!$H$4:$H$303,成本费用登记表!$D$4:$D$303,$A61,成本费用登记表!$AC$4:$AC$303,W$4)+SUMIFS(资金日记账!$I$4:$I$603,资金日记账!$G$4:$G$603,$A61,资金日记账!$U$4:$U$603,"&lt;&gt;是",资金日记账!$V$4:$V$603,W$4),2))</f>
        <v/>
      </c>
      <c r="X61" s="41" t="str">
        <f aca="false">IF($A61="","",ROUND(SUMIFS(成本费用登记表!$H$4:$H$303,成本费用登记表!$D$4:$D$303,$A61,成本费用登记表!$AC$4:$AC$303,X$4)+SUMIFS(资金日记账!$I$4:$I$603,资金日记账!$G$4:$G$603,$A61,资金日记账!$U$4:$U$603,"&lt;&gt;是",资金日记账!$V$4:$V$603,X$4),2))</f>
        <v/>
      </c>
      <c r="Y61" s="41" t="str">
        <f aca="false">IF($A61="","",ROUND(SUMIFS(成本费用登记表!$H$4:$H$303,成本费用登记表!$D$4:$D$303,$A61,成本费用登记表!$AC$4:$AC$303,Y$4)+SUMIFS(资金日记账!$I$4:$I$603,资金日记账!$G$4:$G$603,$A61,资金日记账!$U$4:$U$603,"&lt;&gt;是",资金日记账!$V$4:$V$603,Y$4),2))</f>
        <v/>
      </c>
      <c r="Z61" s="142" t="str">
        <f aca="false">IF($A61="","",ROUND(SUM($B61:$Y61),2))</f>
        <v/>
      </c>
      <c r="AA61" s="41" t="str">
        <f aca="false">IF($A61="","",ROUND(SUMIF(成本费用登记表!$D$4:$D$303,$A61,成本费用登记表!$AA$4:$AA$303)+SUMIFS(资金日记账!$I$4:$I$603,资金日记账!$G$4:$G$603,$A61,资金日记账!$U$4:$U$603,"&lt;&gt;是"),2))</f>
        <v/>
      </c>
      <c r="AB61" s="41" t="str">
        <f aca="false">IF($A61="","",ROUND(N($Z61)-N($AA61),2))</f>
        <v/>
      </c>
    </row>
    <row r="62" customFormat="false" ht="13.5" hidden="false" customHeight="false" outlineLevel="0" collapsed="false">
      <c r="A62" s="33" t="str">
        <f aca="false">IFERROR(INDEX(_自动清单!$X$4:$X$63,58),"")</f>
        <v/>
      </c>
      <c r="B62" s="41" t="str">
        <f aca="false">IF($A62="","",ROUND(SUMIFS(成本费用登记表!$H$4:$H$303,成本费用登记表!$D$4:$D$303,$A62,成本费用登记表!$AC$4:$AC$303,B$4)+SUMIFS(资金日记账!$I$4:$I$603,资金日记账!$G$4:$G$603,$A62,资金日记账!$U$4:$U$603,"&lt;&gt;是",资金日记账!$V$4:$V$603,B$4),2))</f>
        <v/>
      </c>
      <c r="C62" s="41" t="str">
        <f aca="false">IF($A62="","",ROUND(SUMIFS(成本费用登记表!$H$4:$H$303,成本费用登记表!$D$4:$D$303,$A62,成本费用登记表!$AC$4:$AC$303,C$4)+SUMIFS(资金日记账!$I$4:$I$603,资金日记账!$G$4:$G$603,$A62,资金日记账!$U$4:$U$603,"&lt;&gt;是",资金日记账!$V$4:$V$603,C$4),2))</f>
        <v/>
      </c>
      <c r="D62" s="41" t="str">
        <f aca="false">IF($A62="","",ROUND(SUMIFS(成本费用登记表!$H$4:$H$303,成本费用登记表!$D$4:$D$303,$A62,成本费用登记表!$AC$4:$AC$303,D$4)+SUMIFS(资金日记账!$I$4:$I$603,资金日记账!$G$4:$G$603,$A62,资金日记账!$U$4:$U$603,"&lt;&gt;是",资金日记账!$V$4:$V$603,D$4),2))</f>
        <v/>
      </c>
      <c r="E62" s="41" t="str">
        <f aca="false">IF($A62="","",ROUND(SUMIFS(成本费用登记表!$H$4:$H$303,成本费用登记表!$D$4:$D$303,$A62,成本费用登记表!$AC$4:$AC$303,E$4)+SUMIFS(资金日记账!$I$4:$I$603,资金日记账!$G$4:$G$603,$A62,资金日记账!$U$4:$U$603,"&lt;&gt;是",资金日记账!$V$4:$V$603,E$4),2))</f>
        <v/>
      </c>
      <c r="F62" s="41" t="str">
        <f aca="false">IF($A62="","",ROUND(SUMIFS(成本费用登记表!$H$4:$H$303,成本费用登记表!$D$4:$D$303,$A62,成本费用登记表!$AC$4:$AC$303,F$4)+SUMIFS(资金日记账!$I$4:$I$603,资金日记账!$G$4:$G$603,$A62,资金日记账!$U$4:$U$603,"&lt;&gt;是",资金日记账!$V$4:$V$603,F$4),2))</f>
        <v/>
      </c>
      <c r="G62" s="41" t="str">
        <f aca="false">IF($A62="","",ROUND(SUMIFS(成本费用登记表!$H$4:$H$303,成本费用登记表!$D$4:$D$303,$A62,成本费用登记表!$AC$4:$AC$303,G$4)+SUMIFS(资金日记账!$I$4:$I$603,资金日记账!$G$4:$G$603,$A62,资金日记账!$U$4:$U$603,"&lt;&gt;是",资金日记账!$V$4:$V$603,G$4),2))</f>
        <v/>
      </c>
      <c r="H62" s="41" t="str">
        <f aca="false">IF($A62="","",ROUND(SUMIFS(成本费用登记表!$H$4:$H$303,成本费用登记表!$D$4:$D$303,$A62,成本费用登记表!$AC$4:$AC$303,H$4)+SUMIFS(资金日记账!$I$4:$I$603,资金日记账!$G$4:$G$603,$A62,资金日记账!$U$4:$U$603,"&lt;&gt;是",资金日记账!$V$4:$V$603,H$4),2))</f>
        <v/>
      </c>
      <c r="I62" s="41" t="str">
        <f aca="false">IF($A62="","",ROUND(SUMIFS(成本费用登记表!$H$4:$H$303,成本费用登记表!$D$4:$D$303,$A62,成本费用登记表!$AC$4:$AC$303,I$4)+SUMIFS(资金日记账!$I$4:$I$603,资金日记账!$G$4:$G$603,$A62,资金日记账!$U$4:$U$603,"&lt;&gt;是",资金日记账!$V$4:$V$603,I$4),2))</f>
        <v/>
      </c>
      <c r="J62" s="41" t="str">
        <f aca="false">IF($A62="","",ROUND(SUMIFS(成本费用登记表!$H$4:$H$303,成本费用登记表!$D$4:$D$303,$A62,成本费用登记表!$AC$4:$AC$303,J$4)+SUMIFS(资金日记账!$I$4:$I$603,资金日记账!$G$4:$G$603,$A62,资金日记账!$U$4:$U$603,"&lt;&gt;是",资金日记账!$V$4:$V$603,J$4),2))</f>
        <v/>
      </c>
      <c r="K62" s="41" t="str">
        <f aca="false">IF($A62="","",ROUND(SUMIFS(成本费用登记表!$H$4:$H$303,成本费用登记表!$D$4:$D$303,$A62,成本费用登记表!$AC$4:$AC$303,K$4)+SUMIFS(资金日记账!$I$4:$I$603,资金日记账!$G$4:$G$603,$A62,资金日记账!$U$4:$U$603,"&lt;&gt;是",资金日记账!$V$4:$V$603,K$4),2))</f>
        <v/>
      </c>
      <c r="L62" s="41" t="str">
        <f aca="false">IF($A62="","",ROUND(SUMIFS(成本费用登记表!$H$4:$H$303,成本费用登记表!$D$4:$D$303,$A62,成本费用登记表!$AC$4:$AC$303,L$4)+SUMIFS(资金日记账!$I$4:$I$603,资金日记账!$G$4:$G$603,$A62,资金日记账!$U$4:$U$603,"&lt;&gt;是",资金日记账!$V$4:$V$603,L$4),2))</f>
        <v/>
      </c>
      <c r="M62" s="41" t="str">
        <f aca="false">IF($A62="","",ROUND(SUMIFS(成本费用登记表!$H$4:$H$303,成本费用登记表!$D$4:$D$303,$A62,成本费用登记表!$AC$4:$AC$303,M$4)+SUMIFS(资金日记账!$I$4:$I$603,资金日记账!$G$4:$G$603,$A62,资金日记账!$U$4:$U$603,"&lt;&gt;是",资金日记账!$V$4:$V$603,M$4),2))</f>
        <v/>
      </c>
      <c r="N62" s="41" t="str">
        <f aca="false">IF($A62="","",ROUND(SUMIFS(成本费用登记表!$H$4:$H$303,成本费用登记表!$D$4:$D$303,$A62,成本费用登记表!$AC$4:$AC$303,N$4)+SUMIFS(资金日记账!$I$4:$I$603,资金日记账!$G$4:$G$603,$A62,资金日记账!$U$4:$U$603,"&lt;&gt;是",资金日记账!$V$4:$V$603,N$4),2))</f>
        <v/>
      </c>
      <c r="O62" s="41" t="str">
        <f aca="false">IF($A62="","",ROUND(SUMIFS(成本费用登记表!$H$4:$H$303,成本费用登记表!$D$4:$D$303,$A62,成本费用登记表!$AC$4:$AC$303,O$4)+SUMIFS(资金日记账!$I$4:$I$603,资金日记账!$G$4:$G$603,$A62,资金日记账!$U$4:$U$603,"&lt;&gt;是",资金日记账!$V$4:$V$603,O$4),2))</f>
        <v/>
      </c>
      <c r="P62" s="41" t="str">
        <f aca="false">IF($A62="","",ROUND(SUMIFS(成本费用登记表!$H$4:$H$303,成本费用登记表!$D$4:$D$303,$A62,成本费用登记表!$AC$4:$AC$303,P$4)+SUMIFS(资金日记账!$I$4:$I$603,资金日记账!$G$4:$G$603,$A62,资金日记账!$U$4:$U$603,"&lt;&gt;是",资金日记账!$V$4:$V$603,P$4),2))</f>
        <v/>
      </c>
      <c r="Q62" s="41" t="str">
        <f aca="false">IF($A62="","",ROUND(SUMIFS(成本费用登记表!$H$4:$H$303,成本费用登记表!$D$4:$D$303,$A62,成本费用登记表!$AC$4:$AC$303,Q$4)+SUMIFS(资金日记账!$I$4:$I$603,资金日记账!$G$4:$G$603,$A62,资金日记账!$U$4:$U$603,"&lt;&gt;是",资金日记账!$V$4:$V$603,Q$4),2))</f>
        <v/>
      </c>
      <c r="R62" s="41" t="str">
        <f aca="false">IF($A62="","",ROUND(SUMIFS(成本费用登记表!$H$4:$H$303,成本费用登记表!$D$4:$D$303,$A62,成本费用登记表!$AC$4:$AC$303,R$4)+SUMIFS(资金日记账!$I$4:$I$603,资金日记账!$G$4:$G$603,$A62,资金日记账!$U$4:$U$603,"&lt;&gt;是",资金日记账!$V$4:$V$603,R$4),2))</f>
        <v/>
      </c>
      <c r="S62" s="41" t="str">
        <f aca="false">IF($A62="","",ROUND(SUMIFS(成本费用登记表!$H$4:$H$303,成本费用登记表!$D$4:$D$303,$A62,成本费用登记表!$AC$4:$AC$303,S$4)+SUMIFS(资金日记账!$I$4:$I$603,资金日记账!$G$4:$G$603,$A62,资金日记账!$U$4:$U$603,"&lt;&gt;是",资金日记账!$V$4:$V$603,S$4),2))</f>
        <v/>
      </c>
      <c r="T62" s="41" t="str">
        <f aca="false">IF($A62="","",ROUND(SUMIFS(成本费用登记表!$H$4:$H$303,成本费用登记表!$D$4:$D$303,$A62,成本费用登记表!$AC$4:$AC$303,T$4)+SUMIFS(资金日记账!$I$4:$I$603,资金日记账!$G$4:$G$603,$A62,资金日记账!$U$4:$U$603,"&lt;&gt;是",资金日记账!$V$4:$V$603,T$4),2))</f>
        <v/>
      </c>
      <c r="U62" s="41" t="str">
        <f aca="false">IF($A62="","",ROUND(SUMIFS(成本费用登记表!$H$4:$H$303,成本费用登记表!$D$4:$D$303,$A62,成本费用登记表!$AC$4:$AC$303,U$4)+SUMIFS(资金日记账!$I$4:$I$603,资金日记账!$G$4:$G$603,$A62,资金日记账!$U$4:$U$603,"&lt;&gt;是",资金日记账!$V$4:$V$603,U$4),2))</f>
        <v/>
      </c>
      <c r="V62" s="41" t="str">
        <f aca="false">IF($A62="","",ROUND(SUMIFS(成本费用登记表!$H$4:$H$303,成本费用登记表!$D$4:$D$303,$A62,成本费用登记表!$AC$4:$AC$303,V$4)+SUMIFS(资金日记账!$I$4:$I$603,资金日记账!$G$4:$G$603,$A62,资金日记账!$U$4:$U$603,"&lt;&gt;是",资金日记账!$V$4:$V$603,V$4),2))</f>
        <v/>
      </c>
      <c r="W62" s="41" t="str">
        <f aca="false">IF($A62="","",ROUND(SUMIFS(成本费用登记表!$H$4:$H$303,成本费用登记表!$D$4:$D$303,$A62,成本费用登记表!$AC$4:$AC$303,W$4)+SUMIFS(资金日记账!$I$4:$I$603,资金日记账!$G$4:$G$603,$A62,资金日记账!$U$4:$U$603,"&lt;&gt;是",资金日记账!$V$4:$V$603,W$4),2))</f>
        <v/>
      </c>
      <c r="X62" s="41" t="str">
        <f aca="false">IF($A62="","",ROUND(SUMIFS(成本费用登记表!$H$4:$H$303,成本费用登记表!$D$4:$D$303,$A62,成本费用登记表!$AC$4:$AC$303,X$4)+SUMIFS(资金日记账!$I$4:$I$603,资金日记账!$G$4:$G$603,$A62,资金日记账!$U$4:$U$603,"&lt;&gt;是",资金日记账!$V$4:$V$603,X$4),2))</f>
        <v/>
      </c>
      <c r="Y62" s="41" t="str">
        <f aca="false">IF($A62="","",ROUND(SUMIFS(成本费用登记表!$H$4:$H$303,成本费用登记表!$D$4:$D$303,$A62,成本费用登记表!$AC$4:$AC$303,Y$4)+SUMIFS(资金日记账!$I$4:$I$603,资金日记账!$G$4:$G$603,$A62,资金日记账!$U$4:$U$603,"&lt;&gt;是",资金日记账!$V$4:$V$603,Y$4),2))</f>
        <v/>
      </c>
      <c r="Z62" s="142" t="str">
        <f aca="false">IF($A62="","",ROUND(SUM($B62:$Y62),2))</f>
        <v/>
      </c>
      <c r="AA62" s="41" t="str">
        <f aca="false">IF($A62="","",ROUND(SUMIF(成本费用登记表!$D$4:$D$303,$A62,成本费用登记表!$AA$4:$AA$303)+SUMIFS(资金日记账!$I$4:$I$603,资金日记账!$G$4:$G$603,$A62,资金日记账!$U$4:$U$603,"&lt;&gt;是"),2))</f>
        <v/>
      </c>
      <c r="AB62" s="41" t="str">
        <f aca="false">IF($A62="","",ROUND(N($Z62)-N($AA62),2))</f>
        <v/>
      </c>
    </row>
    <row r="63" customFormat="false" ht="13.5" hidden="false" customHeight="false" outlineLevel="0" collapsed="false">
      <c r="A63" s="33" t="str">
        <f aca="false">IFERROR(INDEX(_自动清单!$X$4:$X$63,59),"")</f>
        <v/>
      </c>
      <c r="B63" s="41" t="str">
        <f aca="false">IF($A63="","",ROUND(SUMIFS(成本费用登记表!$H$4:$H$303,成本费用登记表!$D$4:$D$303,$A63,成本费用登记表!$AC$4:$AC$303,B$4)+SUMIFS(资金日记账!$I$4:$I$603,资金日记账!$G$4:$G$603,$A63,资金日记账!$U$4:$U$603,"&lt;&gt;是",资金日记账!$V$4:$V$603,B$4),2))</f>
        <v/>
      </c>
      <c r="C63" s="41" t="str">
        <f aca="false">IF($A63="","",ROUND(SUMIFS(成本费用登记表!$H$4:$H$303,成本费用登记表!$D$4:$D$303,$A63,成本费用登记表!$AC$4:$AC$303,C$4)+SUMIFS(资金日记账!$I$4:$I$603,资金日记账!$G$4:$G$603,$A63,资金日记账!$U$4:$U$603,"&lt;&gt;是",资金日记账!$V$4:$V$603,C$4),2))</f>
        <v/>
      </c>
      <c r="D63" s="41" t="str">
        <f aca="false">IF($A63="","",ROUND(SUMIFS(成本费用登记表!$H$4:$H$303,成本费用登记表!$D$4:$D$303,$A63,成本费用登记表!$AC$4:$AC$303,D$4)+SUMIFS(资金日记账!$I$4:$I$603,资金日记账!$G$4:$G$603,$A63,资金日记账!$U$4:$U$603,"&lt;&gt;是",资金日记账!$V$4:$V$603,D$4),2))</f>
        <v/>
      </c>
      <c r="E63" s="41" t="str">
        <f aca="false">IF($A63="","",ROUND(SUMIFS(成本费用登记表!$H$4:$H$303,成本费用登记表!$D$4:$D$303,$A63,成本费用登记表!$AC$4:$AC$303,E$4)+SUMIFS(资金日记账!$I$4:$I$603,资金日记账!$G$4:$G$603,$A63,资金日记账!$U$4:$U$603,"&lt;&gt;是",资金日记账!$V$4:$V$603,E$4),2))</f>
        <v/>
      </c>
      <c r="F63" s="41" t="str">
        <f aca="false">IF($A63="","",ROUND(SUMIFS(成本费用登记表!$H$4:$H$303,成本费用登记表!$D$4:$D$303,$A63,成本费用登记表!$AC$4:$AC$303,F$4)+SUMIFS(资金日记账!$I$4:$I$603,资金日记账!$G$4:$G$603,$A63,资金日记账!$U$4:$U$603,"&lt;&gt;是",资金日记账!$V$4:$V$603,F$4),2))</f>
        <v/>
      </c>
      <c r="G63" s="41" t="str">
        <f aca="false">IF($A63="","",ROUND(SUMIFS(成本费用登记表!$H$4:$H$303,成本费用登记表!$D$4:$D$303,$A63,成本费用登记表!$AC$4:$AC$303,G$4)+SUMIFS(资金日记账!$I$4:$I$603,资金日记账!$G$4:$G$603,$A63,资金日记账!$U$4:$U$603,"&lt;&gt;是",资金日记账!$V$4:$V$603,G$4),2))</f>
        <v/>
      </c>
      <c r="H63" s="41" t="str">
        <f aca="false">IF($A63="","",ROUND(SUMIFS(成本费用登记表!$H$4:$H$303,成本费用登记表!$D$4:$D$303,$A63,成本费用登记表!$AC$4:$AC$303,H$4)+SUMIFS(资金日记账!$I$4:$I$603,资金日记账!$G$4:$G$603,$A63,资金日记账!$U$4:$U$603,"&lt;&gt;是",资金日记账!$V$4:$V$603,H$4),2))</f>
        <v/>
      </c>
      <c r="I63" s="41" t="str">
        <f aca="false">IF($A63="","",ROUND(SUMIFS(成本费用登记表!$H$4:$H$303,成本费用登记表!$D$4:$D$303,$A63,成本费用登记表!$AC$4:$AC$303,I$4)+SUMIFS(资金日记账!$I$4:$I$603,资金日记账!$G$4:$G$603,$A63,资金日记账!$U$4:$U$603,"&lt;&gt;是",资金日记账!$V$4:$V$603,I$4),2))</f>
        <v/>
      </c>
      <c r="J63" s="41" t="str">
        <f aca="false">IF($A63="","",ROUND(SUMIFS(成本费用登记表!$H$4:$H$303,成本费用登记表!$D$4:$D$303,$A63,成本费用登记表!$AC$4:$AC$303,J$4)+SUMIFS(资金日记账!$I$4:$I$603,资金日记账!$G$4:$G$603,$A63,资金日记账!$U$4:$U$603,"&lt;&gt;是",资金日记账!$V$4:$V$603,J$4),2))</f>
        <v/>
      </c>
      <c r="K63" s="41" t="str">
        <f aca="false">IF($A63="","",ROUND(SUMIFS(成本费用登记表!$H$4:$H$303,成本费用登记表!$D$4:$D$303,$A63,成本费用登记表!$AC$4:$AC$303,K$4)+SUMIFS(资金日记账!$I$4:$I$603,资金日记账!$G$4:$G$603,$A63,资金日记账!$U$4:$U$603,"&lt;&gt;是",资金日记账!$V$4:$V$603,K$4),2))</f>
        <v/>
      </c>
      <c r="L63" s="41" t="str">
        <f aca="false">IF($A63="","",ROUND(SUMIFS(成本费用登记表!$H$4:$H$303,成本费用登记表!$D$4:$D$303,$A63,成本费用登记表!$AC$4:$AC$303,L$4)+SUMIFS(资金日记账!$I$4:$I$603,资金日记账!$G$4:$G$603,$A63,资金日记账!$U$4:$U$603,"&lt;&gt;是",资金日记账!$V$4:$V$603,L$4),2))</f>
        <v/>
      </c>
      <c r="M63" s="41" t="str">
        <f aca="false">IF($A63="","",ROUND(SUMIFS(成本费用登记表!$H$4:$H$303,成本费用登记表!$D$4:$D$303,$A63,成本费用登记表!$AC$4:$AC$303,M$4)+SUMIFS(资金日记账!$I$4:$I$603,资金日记账!$G$4:$G$603,$A63,资金日记账!$U$4:$U$603,"&lt;&gt;是",资金日记账!$V$4:$V$603,M$4),2))</f>
        <v/>
      </c>
      <c r="N63" s="41" t="str">
        <f aca="false">IF($A63="","",ROUND(SUMIFS(成本费用登记表!$H$4:$H$303,成本费用登记表!$D$4:$D$303,$A63,成本费用登记表!$AC$4:$AC$303,N$4)+SUMIFS(资金日记账!$I$4:$I$603,资金日记账!$G$4:$G$603,$A63,资金日记账!$U$4:$U$603,"&lt;&gt;是",资金日记账!$V$4:$V$603,N$4),2))</f>
        <v/>
      </c>
      <c r="O63" s="41" t="str">
        <f aca="false">IF($A63="","",ROUND(SUMIFS(成本费用登记表!$H$4:$H$303,成本费用登记表!$D$4:$D$303,$A63,成本费用登记表!$AC$4:$AC$303,O$4)+SUMIFS(资金日记账!$I$4:$I$603,资金日记账!$G$4:$G$603,$A63,资金日记账!$U$4:$U$603,"&lt;&gt;是",资金日记账!$V$4:$V$603,O$4),2))</f>
        <v/>
      </c>
      <c r="P63" s="41" t="str">
        <f aca="false">IF($A63="","",ROUND(SUMIFS(成本费用登记表!$H$4:$H$303,成本费用登记表!$D$4:$D$303,$A63,成本费用登记表!$AC$4:$AC$303,P$4)+SUMIFS(资金日记账!$I$4:$I$603,资金日记账!$G$4:$G$603,$A63,资金日记账!$U$4:$U$603,"&lt;&gt;是",资金日记账!$V$4:$V$603,P$4),2))</f>
        <v/>
      </c>
      <c r="Q63" s="41" t="str">
        <f aca="false">IF($A63="","",ROUND(SUMIFS(成本费用登记表!$H$4:$H$303,成本费用登记表!$D$4:$D$303,$A63,成本费用登记表!$AC$4:$AC$303,Q$4)+SUMIFS(资金日记账!$I$4:$I$603,资金日记账!$G$4:$G$603,$A63,资金日记账!$U$4:$U$603,"&lt;&gt;是",资金日记账!$V$4:$V$603,Q$4),2))</f>
        <v/>
      </c>
      <c r="R63" s="41" t="str">
        <f aca="false">IF($A63="","",ROUND(SUMIFS(成本费用登记表!$H$4:$H$303,成本费用登记表!$D$4:$D$303,$A63,成本费用登记表!$AC$4:$AC$303,R$4)+SUMIFS(资金日记账!$I$4:$I$603,资金日记账!$G$4:$G$603,$A63,资金日记账!$U$4:$U$603,"&lt;&gt;是",资金日记账!$V$4:$V$603,R$4),2))</f>
        <v/>
      </c>
      <c r="S63" s="41" t="str">
        <f aca="false">IF($A63="","",ROUND(SUMIFS(成本费用登记表!$H$4:$H$303,成本费用登记表!$D$4:$D$303,$A63,成本费用登记表!$AC$4:$AC$303,S$4)+SUMIFS(资金日记账!$I$4:$I$603,资金日记账!$G$4:$G$603,$A63,资金日记账!$U$4:$U$603,"&lt;&gt;是",资金日记账!$V$4:$V$603,S$4),2))</f>
        <v/>
      </c>
      <c r="T63" s="41" t="str">
        <f aca="false">IF($A63="","",ROUND(SUMIFS(成本费用登记表!$H$4:$H$303,成本费用登记表!$D$4:$D$303,$A63,成本费用登记表!$AC$4:$AC$303,T$4)+SUMIFS(资金日记账!$I$4:$I$603,资金日记账!$G$4:$G$603,$A63,资金日记账!$U$4:$U$603,"&lt;&gt;是",资金日记账!$V$4:$V$603,T$4),2))</f>
        <v/>
      </c>
      <c r="U63" s="41" t="str">
        <f aca="false">IF($A63="","",ROUND(SUMIFS(成本费用登记表!$H$4:$H$303,成本费用登记表!$D$4:$D$303,$A63,成本费用登记表!$AC$4:$AC$303,U$4)+SUMIFS(资金日记账!$I$4:$I$603,资金日记账!$G$4:$G$603,$A63,资金日记账!$U$4:$U$603,"&lt;&gt;是",资金日记账!$V$4:$V$603,U$4),2))</f>
        <v/>
      </c>
      <c r="V63" s="41" t="str">
        <f aca="false">IF($A63="","",ROUND(SUMIFS(成本费用登记表!$H$4:$H$303,成本费用登记表!$D$4:$D$303,$A63,成本费用登记表!$AC$4:$AC$303,V$4)+SUMIFS(资金日记账!$I$4:$I$603,资金日记账!$G$4:$G$603,$A63,资金日记账!$U$4:$U$603,"&lt;&gt;是",资金日记账!$V$4:$V$603,V$4),2))</f>
        <v/>
      </c>
      <c r="W63" s="41" t="str">
        <f aca="false">IF($A63="","",ROUND(SUMIFS(成本费用登记表!$H$4:$H$303,成本费用登记表!$D$4:$D$303,$A63,成本费用登记表!$AC$4:$AC$303,W$4)+SUMIFS(资金日记账!$I$4:$I$603,资金日记账!$G$4:$G$603,$A63,资金日记账!$U$4:$U$603,"&lt;&gt;是",资金日记账!$V$4:$V$603,W$4),2))</f>
        <v/>
      </c>
      <c r="X63" s="41" t="str">
        <f aca="false">IF($A63="","",ROUND(SUMIFS(成本费用登记表!$H$4:$H$303,成本费用登记表!$D$4:$D$303,$A63,成本费用登记表!$AC$4:$AC$303,X$4)+SUMIFS(资金日记账!$I$4:$I$603,资金日记账!$G$4:$G$603,$A63,资金日记账!$U$4:$U$603,"&lt;&gt;是",资金日记账!$V$4:$V$603,X$4),2))</f>
        <v/>
      </c>
      <c r="Y63" s="41" t="str">
        <f aca="false">IF($A63="","",ROUND(SUMIFS(成本费用登记表!$H$4:$H$303,成本费用登记表!$D$4:$D$303,$A63,成本费用登记表!$AC$4:$AC$303,Y$4)+SUMIFS(资金日记账!$I$4:$I$603,资金日记账!$G$4:$G$603,$A63,资金日记账!$U$4:$U$603,"&lt;&gt;是",资金日记账!$V$4:$V$603,Y$4),2))</f>
        <v/>
      </c>
      <c r="Z63" s="142" t="str">
        <f aca="false">IF($A63="","",ROUND(SUM($B63:$Y63),2))</f>
        <v/>
      </c>
      <c r="AA63" s="41" t="str">
        <f aca="false">IF($A63="","",ROUND(SUMIF(成本费用登记表!$D$4:$D$303,$A63,成本费用登记表!$AA$4:$AA$303)+SUMIFS(资金日记账!$I$4:$I$603,资金日记账!$G$4:$G$603,$A63,资金日记账!$U$4:$U$603,"&lt;&gt;是"),2))</f>
        <v/>
      </c>
      <c r="AB63" s="41" t="str">
        <f aca="false">IF($A63="","",ROUND(N($Z63)-N($AA63),2))</f>
        <v/>
      </c>
    </row>
    <row r="64" customFormat="false" ht="13.5" hidden="false" customHeight="false" outlineLevel="0" collapsed="false">
      <c r="A64" s="33" t="str">
        <f aca="false">IFERROR(INDEX(_自动清单!$X$4:$X$63,60),"")</f>
        <v/>
      </c>
      <c r="B64" s="41" t="str">
        <f aca="false">IF($A64="","",ROUND(SUMIFS(成本费用登记表!$H$4:$H$303,成本费用登记表!$D$4:$D$303,$A64,成本费用登记表!$AC$4:$AC$303,B$4)+SUMIFS(资金日记账!$I$4:$I$603,资金日记账!$G$4:$G$603,$A64,资金日记账!$U$4:$U$603,"&lt;&gt;是",资金日记账!$V$4:$V$603,B$4),2))</f>
        <v/>
      </c>
      <c r="C64" s="41" t="str">
        <f aca="false">IF($A64="","",ROUND(SUMIFS(成本费用登记表!$H$4:$H$303,成本费用登记表!$D$4:$D$303,$A64,成本费用登记表!$AC$4:$AC$303,C$4)+SUMIFS(资金日记账!$I$4:$I$603,资金日记账!$G$4:$G$603,$A64,资金日记账!$U$4:$U$603,"&lt;&gt;是",资金日记账!$V$4:$V$603,C$4),2))</f>
        <v/>
      </c>
      <c r="D64" s="41" t="str">
        <f aca="false">IF($A64="","",ROUND(SUMIFS(成本费用登记表!$H$4:$H$303,成本费用登记表!$D$4:$D$303,$A64,成本费用登记表!$AC$4:$AC$303,D$4)+SUMIFS(资金日记账!$I$4:$I$603,资金日记账!$G$4:$G$603,$A64,资金日记账!$U$4:$U$603,"&lt;&gt;是",资金日记账!$V$4:$V$603,D$4),2))</f>
        <v/>
      </c>
      <c r="E64" s="41" t="str">
        <f aca="false">IF($A64="","",ROUND(SUMIFS(成本费用登记表!$H$4:$H$303,成本费用登记表!$D$4:$D$303,$A64,成本费用登记表!$AC$4:$AC$303,E$4)+SUMIFS(资金日记账!$I$4:$I$603,资金日记账!$G$4:$G$603,$A64,资金日记账!$U$4:$U$603,"&lt;&gt;是",资金日记账!$V$4:$V$603,E$4),2))</f>
        <v/>
      </c>
      <c r="F64" s="41" t="str">
        <f aca="false">IF($A64="","",ROUND(SUMIFS(成本费用登记表!$H$4:$H$303,成本费用登记表!$D$4:$D$303,$A64,成本费用登记表!$AC$4:$AC$303,F$4)+SUMIFS(资金日记账!$I$4:$I$603,资金日记账!$G$4:$G$603,$A64,资金日记账!$U$4:$U$603,"&lt;&gt;是",资金日记账!$V$4:$V$603,F$4),2))</f>
        <v/>
      </c>
      <c r="G64" s="41" t="str">
        <f aca="false">IF($A64="","",ROUND(SUMIFS(成本费用登记表!$H$4:$H$303,成本费用登记表!$D$4:$D$303,$A64,成本费用登记表!$AC$4:$AC$303,G$4)+SUMIFS(资金日记账!$I$4:$I$603,资金日记账!$G$4:$G$603,$A64,资金日记账!$U$4:$U$603,"&lt;&gt;是",资金日记账!$V$4:$V$603,G$4),2))</f>
        <v/>
      </c>
      <c r="H64" s="41" t="str">
        <f aca="false">IF($A64="","",ROUND(SUMIFS(成本费用登记表!$H$4:$H$303,成本费用登记表!$D$4:$D$303,$A64,成本费用登记表!$AC$4:$AC$303,H$4)+SUMIFS(资金日记账!$I$4:$I$603,资金日记账!$G$4:$G$603,$A64,资金日记账!$U$4:$U$603,"&lt;&gt;是",资金日记账!$V$4:$V$603,H$4),2))</f>
        <v/>
      </c>
      <c r="I64" s="41" t="str">
        <f aca="false">IF($A64="","",ROUND(SUMIFS(成本费用登记表!$H$4:$H$303,成本费用登记表!$D$4:$D$303,$A64,成本费用登记表!$AC$4:$AC$303,I$4)+SUMIFS(资金日记账!$I$4:$I$603,资金日记账!$G$4:$G$603,$A64,资金日记账!$U$4:$U$603,"&lt;&gt;是",资金日记账!$V$4:$V$603,I$4),2))</f>
        <v/>
      </c>
      <c r="J64" s="41" t="str">
        <f aca="false">IF($A64="","",ROUND(SUMIFS(成本费用登记表!$H$4:$H$303,成本费用登记表!$D$4:$D$303,$A64,成本费用登记表!$AC$4:$AC$303,J$4)+SUMIFS(资金日记账!$I$4:$I$603,资金日记账!$G$4:$G$603,$A64,资金日记账!$U$4:$U$603,"&lt;&gt;是",资金日记账!$V$4:$V$603,J$4),2))</f>
        <v/>
      </c>
      <c r="K64" s="41" t="str">
        <f aca="false">IF($A64="","",ROUND(SUMIFS(成本费用登记表!$H$4:$H$303,成本费用登记表!$D$4:$D$303,$A64,成本费用登记表!$AC$4:$AC$303,K$4)+SUMIFS(资金日记账!$I$4:$I$603,资金日记账!$G$4:$G$603,$A64,资金日记账!$U$4:$U$603,"&lt;&gt;是",资金日记账!$V$4:$V$603,K$4),2))</f>
        <v/>
      </c>
      <c r="L64" s="41" t="str">
        <f aca="false">IF($A64="","",ROUND(SUMIFS(成本费用登记表!$H$4:$H$303,成本费用登记表!$D$4:$D$303,$A64,成本费用登记表!$AC$4:$AC$303,L$4)+SUMIFS(资金日记账!$I$4:$I$603,资金日记账!$G$4:$G$603,$A64,资金日记账!$U$4:$U$603,"&lt;&gt;是",资金日记账!$V$4:$V$603,L$4),2))</f>
        <v/>
      </c>
      <c r="M64" s="41" t="str">
        <f aca="false">IF($A64="","",ROUND(SUMIFS(成本费用登记表!$H$4:$H$303,成本费用登记表!$D$4:$D$303,$A64,成本费用登记表!$AC$4:$AC$303,M$4)+SUMIFS(资金日记账!$I$4:$I$603,资金日记账!$G$4:$G$603,$A64,资金日记账!$U$4:$U$603,"&lt;&gt;是",资金日记账!$V$4:$V$603,M$4),2))</f>
        <v/>
      </c>
      <c r="N64" s="41" t="str">
        <f aca="false">IF($A64="","",ROUND(SUMIFS(成本费用登记表!$H$4:$H$303,成本费用登记表!$D$4:$D$303,$A64,成本费用登记表!$AC$4:$AC$303,N$4)+SUMIFS(资金日记账!$I$4:$I$603,资金日记账!$G$4:$G$603,$A64,资金日记账!$U$4:$U$603,"&lt;&gt;是",资金日记账!$V$4:$V$603,N$4),2))</f>
        <v/>
      </c>
      <c r="O64" s="41" t="str">
        <f aca="false">IF($A64="","",ROUND(SUMIFS(成本费用登记表!$H$4:$H$303,成本费用登记表!$D$4:$D$303,$A64,成本费用登记表!$AC$4:$AC$303,O$4)+SUMIFS(资金日记账!$I$4:$I$603,资金日记账!$G$4:$G$603,$A64,资金日记账!$U$4:$U$603,"&lt;&gt;是",资金日记账!$V$4:$V$603,O$4),2))</f>
        <v/>
      </c>
      <c r="P64" s="41" t="str">
        <f aca="false">IF($A64="","",ROUND(SUMIFS(成本费用登记表!$H$4:$H$303,成本费用登记表!$D$4:$D$303,$A64,成本费用登记表!$AC$4:$AC$303,P$4)+SUMIFS(资金日记账!$I$4:$I$603,资金日记账!$G$4:$G$603,$A64,资金日记账!$U$4:$U$603,"&lt;&gt;是",资金日记账!$V$4:$V$603,P$4),2))</f>
        <v/>
      </c>
      <c r="Q64" s="41" t="str">
        <f aca="false">IF($A64="","",ROUND(SUMIFS(成本费用登记表!$H$4:$H$303,成本费用登记表!$D$4:$D$303,$A64,成本费用登记表!$AC$4:$AC$303,Q$4)+SUMIFS(资金日记账!$I$4:$I$603,资金日记账!$G$4:$G$603,$A64,资金日记账!$U$4:$U$603,"&lt;&gt;是",资金日记账!$V$4:$V$603,Q$4),2))</f>
        <v/>
      </c>
      <c r="R64" s="41" t="str">
        <f aca="false">IF($A64="","",ROUND(SUMIFS(成本费用登记表!$H$4:$H$303,成本费用登记表!$D$4:$D$303,$A64,成本费用登记表!$AC$4:$AC$303,R$4)+SUMIFS(资金日记账!$I$4:$I$603,资金日记账!$G$4:$G$603,$A64,资金日记账!$U$4:$U$603,"&lt;&gt;是",资金日记账!$V$4:$V$603,R$4),2))</f>
        <v/>
      </c>
      <c r="S64" s="41" t="str">
        <f aca="false">IF($A64="","",ROUND(SUMIFS(成本费用登记表!$H$4:$H$303,成本费用登记表!$D$4:$D$303,$A64,成本费用登记表!$AC$4:$AC$303,S$4)+SUMIFS(资金日记账!$I$4:$I$603,资金日记账!$G$4:$G$603,$A64,资金日记账!$U$4:$U$603,"&lt;&gt;是",资金日记账!$V$4:$V$603,S$4),2))</f>
        <v/>
      </c>
      <c r="T64" s="41" t="str">
        <f aca="false">IF($A64="","",ROUND(SUMIFS(成本费用登记表!$H$4:$H$303,成本费用登记表!$D$4:$D$303,$A64,成本费用登记表!$AC$4:$AC$303,T$4)+SUMIFS(资金日记账!$I$4:$I$603,资金日记账!$G$4:$G$603,$A64,资金日记账!$U$4:$U$603,"&lt;&gt;是",资金日记账!$V$4:$V$603,T$4),2))</f>
        <v/>
      </c>
      <c r="U64" s="41" t="str">
        <f aca="false">IF($A64="","",ROUND(SUMIFS(成本费用登记表!$H$4:$H$303,成本费用登记表!$D$4:$D$303,$A64,成本费用登记表!$AC$4:$AC$303,U$4)+SUMIFS(资金日记账!$I$4:$I$603,资金日记账!$G$4:$G$603,$A64,资金日记账!$U$4:$U$603,"&lt;&gt;是",资金日记账!$V$4:$V$603,U$4),2))</f>
        <v/>
      </c>
      <c r="V64" s="41" t="str">
        <f aca="false">IF($A64="","",ROUND(SUMIFS(成本费用登记表!$H$4:$H$303,成本费用登记表!$D$4:$D$303,$A64,成本费用登记表!$AC$4:$AC$303,V$4)+SUMIFS(资金日记账!$I$4:$I$603,资金日记账!$G$4:$G$603,$A64,资金日记账!$U$4:$U$603,"&lt;&gt;是",资金日记账!$V$4:$V$603,V$4),2))</f>
        <v/>
      </c>
      <c r="W64" s="41" t="str">
        <f aca="false">IF($A64="","",ROUND(SUMIFS(成本费用登记表!$H$4:$H$303,成本费用登记表!$D$4:$D$303,$A64,成本费用登记表!$AC$4:$AC$303,W$4)+SUMIFS(资金日记账!$I$4:$I$603,资金日记账!$G$4:$G$603,$A64,资金日记账!$U$4:$U$603,"&lt;&gt;是",资金日记账!$V$4:$V$603,W$4),2))</f>
        <v/>
      </c>
      <c r="X64" s="41" t="str">
        <f aca="false">IF($A64="","",ROUND(SUMIFS(成本费用登记表!$H$4:$H$303,成本费用登记表!$D$4:$D$303,$A64,成本费用登记表!$AC$4:$AC$303,X$4)+SUMIFS(资金日记账!$I$4:$I$603,资金日记账!$G$4:$G$603,$A64,资金日记账!$U$4:$U$603,"&lt;&gt;是",资金日记账!$V$4:$V$603,X$4),2))</f>
        <v/>
      </c>
      <c r="Y64" s="41" t="str">
        <f aca="false">IF($A64="","",ROUND(SUMIFS(成本费用登记表!$H$4:$H$303,成本费用登记表!$D$4:$D$303,$A64,成本费用登记表!$AC$4:$AC$303,Y$4)+SUMIFS(资金日记账!$I$4:$I$603,资金日记账!$G$4:$G$603,$A64,资金日记账!$U$4:$U$603,"&lt;&gt;是",资金日记账!$V$4:$V$603,Y$4),2))</f>
        <v/>
      </c>
      <c r="Z64" s="142" t="str">
        <f aca="false">IF($A64="","",ROUND(SUM($B64:$Y64),2))</f>
        <v/>
      </c>
      <c r="AA64" s="41" t="str">
        <f aca="false">IF($A64="","",ROUND(SUMIF(成本费用登记表!$D$4:$D$303,$A64,成本费用登记表!$AA$4:$AA$303)+SUMIFS(资金日记账!$I$4:$I$603,资金日记账!$G$4:$G$603,$A64,资金日记账!$U$4:$U$603,"&lt;&gt;是"),2))</f>
        <v/>
      </c>
      <c r="AB64" s="41" t="str">
        <f aca="false">IF($A64="","",ROUND(N($Z64)-N($AA64),2))</f>
        <v/>
      </c>
    </row>
    <row r="65" customFormat="false" ht="13.5" hidden="false" customHeight="false" outlineLevel="0" collapsed="false">
      <c r="A65" s="79" t="s">
        <v>820</v>
      </c>
      <c r="B65" s="81" t="n">
        <f aca="false">ROUND(SUM(B$5:B$64),2)</f>
        <v>0</v>
      </c>
      <c r="C65" s="81" t="n">
        <f aca="false">ROUND(SUM(C$5:C$64),2)</f>
        <v>249896.51</v>
      </c>
      <c r="D65" s="81" t="n">
        <f aca="false">ROUND(SUM(D$5:D$64),2)</f>
        <v>0</v>
      </c>
      <c r="E65" s="81" t="n">
        <f aca="false">ROUND(SUM(E$5:E$64),2)</f>
        <v>0</v>
      </c>
      <c r="F65" s="81" t="n">
        <f aca="false">ROUND(SUM(F$5:F$64),2)</f>
        <v>0</v>
      </c>
      <c r="G65" s="81" t="n">
        <f aca="false">ROUND(SUM(G$5:G$64),2)</f>
        <v>0</v>
      </c>
      <c r="H65" s="81" t="n">
        <f aca="false">ROUND(SUM(H$5:H$64),2)</f>
        <v>0</v>
      </c>
      <c r="I65" s="81" t="n">
        <f aca="false">ROUND(SUM(I$5:I$64),2)</f>
        <v>0</v>
      </c>
      <c r="J65" s="81" t="n">
        <f aca="false">ROUND(SUM(J$5:J$64),2)</f>
        <v>0</v>
      </c>
      <c r="K65" s="81" t="n">
        <f aca="false">ROUND(SUM(K$5:K$64),2)</f>
        <v>0</v>
      </c>
      <c r="L65" s="81" t="n">
        <f aca="false">ROUND(SUM(L$5:L$64),2)</f>
        <v>0</v>
      </c>
      <c r="M65" s="81" t="n">
        <f aca="false">ROUND(SUM(M$5:M$64),2)</f>
        <v>0</v>
      </c>
      <c r="N65" s="81" t="n">
        <f aca="false">ROUND(SUM(N$5:N$64),2)</f>
        <v>0</v>
      </c>
      <c r="O65" s="81" t="n">
        <f aca="false">ROUND(SUM(O$5:O$64),2)</f>
        <v>0</v>
      </c>
      <c r="P65" s="81" t="n">
        <f aca="false">ROUND(SUM(P$5:P$64),2)</f>
        <v>0</v>
      </c>
      <c r="Q65" s="81" t="n">
        <f aca="false">ROUND(SUM(Q$5:Q$64),2)</f>
        <v>0</v>
      </c>
      <c r="R65" s="81" t="n">
        <f aca="false">ROUND(SUM(R$5:R$64),2)</f>
        <v>0</v>
      </c>
      <c r="S65" s="81" t="n">
        <f aca="false">ROUND(SUM(S$5:S$64),2)</f>
        <v>0</v>
      </c>
      <c r="T65" s="81" t="n">
        <f aca="false">ROUND(SUM(T$5:T$64),2)</f>
        <v>0</v>
      </c>
      <c r="U65" s="81" t="n">
        <f aca="false">ROUND(SUM(U$5:U$64),2)</f>
        <v>0</v>
      </c>
      <c r="V65" s="81" t="n">
        <f aca="false">ROUND(SUM(V$5:V$64),2)</f>
        <v>0</v>
      </c>
      <c r="W65" s="81" t="n">
        <f aca="false">ROUND(SUM(W$5:W$64),2)</f>
        <v>0</v>
      </c>
      <c r="X65" s="81" t="n">
        <f aca="false">ROUND(SUM(X$5:X$64),2)</f>
        <v>0</v>
      </c>
      <c r="Y65" s="81" t="n">
        <f aca="false">ROUND(SUM(Y$5:Y$64),2)</f>
        <v>0</v>
      </c>
      <c r="Z65" s="81" t="n">
        <f aca="false">ROUND(SUM(Z$5:Z$64),2)</f>
        <v>249896.51</v>
      </c>
      <c r="AA65" s="81" t="n">
        <f aca="false">ROUND(SUM(AA$5:AA$64),2)</f>
        <v>249896.51</v>
      </c>
      <c r="AB65" s="81" t="n">
        <f aca="false">ROUND(SUM(AB$5:AB$64),2)</f>
        <v>0</v>
      </c>
      <c r="AC65" s="81" t="n">
        <f aca="false">ROUND(SUM(AC$5:AC$64),2)</f>
        <v>0</v>
      </c>
    </row>
    <row r="67" customFormat="false" ht="13.5" hidden="true" customHeight="false" outlineLevel="0" collapsed="false"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</row>
    <row r="68" customFormat="false" ht="13.5" hidden="true" customHeight="false" outlineLevel="0" collapsed="false"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</row>
  </sheetData>
  <mergeCells count="3">
    <mergeCell ref="A1:AC1"/>
    <mergeCell ref="A2:D2"/>
    <mergeCell ref="G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154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N35" activeCellId="0" sqref="N35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30" hidden="false" customHeight="true" outlineLevel="0" collapsed="false">
      <c r="A1" s="31" t="s">
        <v>826</v>
      </c>
      <c r="B1" s="31"/>
      <c r="C1" s="31"/>
      <c r="D1" s="31"/>
      <c r="E1" s="31"/>
      <c r="F1" s="31"/>
      <c r="G1" s="31"/>
      <c r="H1" s="31"/>
      <c r="I1" s="31"/>
    </row>
    <row r="2" customFormat="false" ht="18" hidden="false" customHeight="true" outlineLevel="0" collapsed="false">
      <c r="A2" s="2" t="s">
        <v>827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7" t="s">
        <v>3</v>
      </c>
      <c r="B3" s="37" t="s">
        <v>828</v>
      </c>
      <c r="C3" s="37" t="s">
        <v>829</v>
      </c>
      <c r="D3" s="37" t="s">
        <v>830</v>
      </c>
      <c r="E3" s="37" t="s">
        <v>831</v>
      </c>
      <c r="F3" s="37" t="s">
        <v>771</v>
      </c>
      <c r="G3" s="37" t="s">
        <v>832</v>
      </c>
      <c r="H3" s="37" t="s">
        <v>833</v>
      </c>
      <c r="I3" s="37" t="s">
        <v>174</v>
      </c>
    </row>
    <row r="4" customFormat="false" ht="13.5" hidden="false" customHeight="false" outlineLevel="0" collapsed="false">
      <c r="A4" s="9" t="str">
        <f aca="false">IF($B4="","",ROW()-3)</f>
        <v/>
      </c>
      <c r="B4" s="39" t="str">
        <f aca="false">IFERROR(INDEX(_自动清单!$AD$4:$AD$153,ROW()-3),"")</f>
        <v/>
      </c>
      <c r="C4" s="51" t="str">
        <f aca="false">IF($B4="","",COUNTIF(成本费用登记表!$C$4:$C$303,$B4))</f>
        <v/>
      </c>
      <c r="D4" s="41" t="str">
        <f aca="false">IF($B4="","",ROUND(SUMIF(成本费用登记表!$C$4:$C$303,$B4,成本费用登记表!$H$4:$H$303),2))</f>
        <v/>
      </c>
      <c r="E4" s="41" t="str">
        <f aca="false">IF($B4="","",ROUND(SUMIF(成本费用登记表!$C$4:$C$303,$B4,成本费用登记表!$AA$4:$AA$303),2))</f>
        <v/>
      </c>
      <c r="F4" s="41" t="str">
        <f aca="false">IF($B4="","",ROUND(N($D4)-N($E4),2))</f>
        <v/>
      </c>
      <c r="G4" s="144" t="str">
        <f aca="false">IF(OR($B4="",N($C4)=0),"",IFERROR(INDEX(成本费用登记表!$B$4:$B$303,MATCH($B4,成本费用登记表!$C$4:$C$303,0)),""))</f>
        <v/>
      </c>
      <c r="H4" s="39" t="str">
        <f aca="false">IF(OR($B4="",N($C4)=0),"",IFERROR(INDEX(成本费用登记表!$D$4:$D$303,MATCH($B4,成本费用登记表!$C$4:$C$303,0)),""))</f>
        <v/>
      </c>
      <c r="I4" s="39" t="str">
        <f aca="false">IF($B4="","",IF(N($F4)&gt;0,"⚠ 尚欠 "&amp;TEXT(N($F4),"#,##0.00")&amp;" 元","✔ 已结清"))</f>
        <v/>
      </c>
    </row>
    <row r="5" customFormat="false" ht="13.5" hidden="false" customHeight="false" outlineLevel="0" collapsed="false">
      <c r="A5" s="9" t="str">
        <f aca="false">IF($B5="","",ROW()-3)</f>
        <v/>
      </c>
      <c r="B5" s="39" t="str">
        <f aca="false">IFERROR(INDEX(_自动清单!$AD$4:$AD$153,ROW()-3),"")</f>
        <v/>
      </c>
      <c r="C5" s="51" t="str">
        <f aca="false">IF($B5="","",COUNTIF(成本费用登记表!$C$4:$C$303,$B5))</f>
        <v/>
      </c>
      <c r="D5" s="41" t="str">
        <f aca="false">IF($B5="","",ROUND(SUMIF(成本费用登记表!$C$4:$C$303,$B5,成本费用登记表!$H$4:$H$303),2))</f>
        <v/>
      </c>
      <c r="E5" s="41" t="str">
        <f aca="false">IF($B5="","",ROUND(SUMIF(成本费用登记表!$C$4:$C$303,$B5,成本费用登记表!$AA$4:$AA$303),2))</f>
        <v/>
      </c>
      <c r="F5" s="41" t="str">
        <f aca="false">IF($B5="","",ROUND(N($D5)-N($E5),2))</f>
        <v/>
      </c>
      <c r="G5" s="144" t="str">
        <f aca="false">IF(OR($B5="",N($C5)=0),"",IFERROR(INDEX(成本费用登记表!$B$4:$B$303,MATCH($B5,成本费用登记表!$C$4:$C$303,0)),""))</f>
        <v/>
      </c>
      <c r="H5" s="39" t="str">
        <f aca="false">IF(OR($B5="",N($C5)=0),"",IFERROR(INDEX(成本费用登记表!$D$4:$D$303,MATCH($B5,成本费用登记表!$C$4:$C$303,0)),""))</f>
        <v/>
      </c>
      <c r="I5" s="39" t="str">
        <f aca="false">IF($B5="","",IF(N($F5)&gt;0,"⚠ 尚欠 "&amp;TEXT(N($F5),"#,##0.00")&amp;" 元","✔ 已结清"))</f>
        <v/>
      </c>
    </row>
    <row r="6" customFormat="false" ht="13.5" hidden="false" customHeight="false" outlineLevel="0" collapsed="false">
      <c r="A6" s="9" t="str">
        <f aca="false">IF($B6="","",ROW()-3)</f>
        <v/>
      </c>
      <c r="B6" s="39" t="str">
        <f aca="false">IFERROR(INDEX(_自动清单!$AD$4:$AD$153,ROW()-3),"")</f>
        <v/>
      </c>
      <c r="C6" s="51" t="str">
        <f aca="false">IF($B6="","",COUNTIF(成本费用登记表!$C$4:$C$303,$B6))</f>
        <v/>
      </c>
      <c r="D6" s="41" t="str">
        <f aca="false">IF($B6="","",ROUND(SUMIF(成本费用登记表!$C$4:$C$303,$B6,成本费用登记表!$H$4:$H$303),2))</f>
        <v/>
      </c>
      <c r="E6" s="41" t="str">
        <f aca="false">IF($B6="","",ROUND(SUMIF(成本费用登记表!$C$4:$C$303,$B6,成本费用登记表!$AA$4:$AA$303),2))</f>
        <v/>
      </c>
      <c r="F6" s="41" t="str">
        <f aca="false">IF($B6="","",ROUND(N($D6)-N($E6),2))</f>
        <v/>
      </c>
      <c r="G6" s="144" t="str">
        <f aca="false">IF(OR($B6="",N($C6)=0),"",IFERROR(INDEX(成本费用登记表!$B$4:$B$303,MATCH($B6,成本费用登记表!$C$4:$C$303,0)),""))</f>
        <v/>
      </c>
      <c r="H6" s="39" t="str">
        <f aca="false">IF(OR($B6="",N($C6)=0),"",IFERROR(INDEX(成本费用登记表!$D$4:$D$303,MATCH($B6,成本费用登记表!$C$4:$C$303,0)),""))</f>
        <v/>
      </c>
      <c r="I6" s="39" t="str">
        <f aca="false">IF($B6="","",IF(N($F6)&gt;0,"⚠ 尚欠 "&amp;TEXT(N($F6),"#,##0.00")&amp;" 元","✔ 已结清"))</f>
        <v/>
      </c>
    </row>
    <row r="7" customFormat="false" ht="13.5" hidden="false" customHeight="false" outlineLevel="0" collapsed="false">
      <c r="A7" s="9" t="str">
        <f aca="false">IF($B7="","",ROW()-3)</f>
        <v/>
      </c>
      <c r="B7" s="39" t="str">
        <f aca="false">IFERROR(INDEX(_自动清单!$AD$4:$AD$153,ROW()-3),"")</f>
        <v/>
      </c>
      <c r="C7" s="51" t="str">
        <f aca="false">IF($B7="","",COUNTIF(成本费用登记表!$C$4:$C$303,$B7))</f>
        <v/>
      </c>
      <c r="D7" s="41" t="str">
        <f aca="false">IF($B7="","",ROUND(SUMIF(成本费用登记表!$C$4:$C$303,$B7,成本费用登记表!$H$4:$H$303),2))</f>
        <v/>
      </c>
      <c r="E7" s="41" t="str">
        <f aca="false">IF($B7="","",ROUND(SUMIF(成本费用登记表!$C$4:$C$303,$B7,成本费用登记表!$AA$4:$AA$303),2))</f>
        <v/>
      </c>
      <c r="F7" s="41" t="str">
        <f aca="false">IF($B7="","",ROUND(N($D7)-N($E7),2))</f>
        <v/>
      </c>
      <c r="G7" s="144" t="str">
        <f aca="false">IF(OR($B7="",N($C7)=0),"",IFERROR(INDEX(成本费用登记表!$B$4:$B$303,MATCH($B7,成本费用登记表!$C$4:$C$303,0)),""))</f>
        <v/>
      </c>
      <c r="H7" s="39" t="str">
        <f aca="false">IF(OR($B7="",N($C7)=0),"",IFERROR(INDEX(成本费用登记表!$D$4:$D$303,MATCH($B7,成本费用登记表!$C$4:$C$303,0)),""))</f>
        <v/>
      </c>
      <c r="I7" s="39" t="str">
        <f aca="false">IF($B7="","",IF(N($F7)&gt;0,"⚠ 尚欠 "&amp;TEXT(N($F7),"#,##0.00")&amp;" 元","✔ 已结清"))</f>
        <v/>
      </c>
    </row>
    <row r="8" customFormat="false" ht="13.5" hidden="false" customHeight="false" outlineLevel="0" collapsed="false">
      <c r="A8" s="9" t="str">
        <f aca="false">IF($B8="","",ROW()-3)</f>
        <v/>
      </c>
      <c r="B8" s="39" t="str">
        <f aca="false">IFERROR(INDEX(_自动清单!$AD$4:$AD$153,ROW()-3),"")</f>
        <v/>
      </c>
      <c r="C8" s="51" t="str">
        <f aca="false">IF($B8="","",COUNTIF(成本费用登记表!$C$4:$C$303,$B8))</f>
        <v/>
      </c>
      <c r="D8" s="41" t="str">
        <f aca="false">IF($B8="","",ROUND(SUMIF(成本费用登记表!$C$4:$C$303,$B8,成本费用登记表!$H$4:$H$303),2))</f>
        <v/>
      </c>
      <c r="E8" s="41" t="str">
        <f aca="false">IF($B8="","",ROUND(SUMIF(成本费用登记表!$C$4:$C$303,$B8,成本费用登记表!$AA$4:$AA$303),2))</f>
        <v/>
      </c>
      <c r="F8" s="41" t="str">
        <f aca="false">IF($B8="","",ROUND(N($D8)-N($E8),2))</f>
        <v/>
      </c>
      <c r="G8" s="144" t="str">
        <f aca="false">IF(OR($B8="",N($C8)=0),"",IFERROR(INDEX(成本费用登记表!$B$4:$B$303,MATCH($B8,成本费用登记表!$C$4:$C$303,0)),""))</f>
        <v/>
      </c>
      <c r="H8" s="39" t="str">
        <f aca="false">IF(OR($B8="",N($C8)=0),"",IFERROR(INDEX(成本费用登记表!$D$4:$D$303,MATCH($B8,成本费用登记表!$C$4:$C$303,0)),""))</f>
        <v/>
      </c>
      <c r="I8" s="39" t="str">
        <f aca="false">IF($B8="","",IF(N($F8)&gt;0,"⚠ 尚欠 "&amp;TEXT(N($F8),"#,##0.00")&amp;" 元","✔ 已结清"))</f>
        <v/>
      </c>
    </row>
    <row r="9" customFormat="false" ht="13.5" hidden="false" customHeight="false" outlineLevel="0" collapsed="false">
      <c r="A9" s="9" t="str">
        <f aca="false">IF($B9="","",ROW()-3)</f>
        <v/>
      </c>
      <c r="B9" s="39" t="str">
        <f aca="false">IFERROR(INDEX(_自动清单!$AD$4:$AD$153,ROW()-3),"")</f>
        <v/>
      </c>
      <c r="C9" s="51" t="str">
        <f aca="false">IF($B9="","",COUNTIF(成本费用登记表!$C$4:$C$303,$B9))</f>
        <v/>
      </c>
      <c r="D9" s="41" t="str">
        <f aca="false">IF($B9="","",ROUND(SUMIF(成本费用登记表!$C$4:$C$303,$B9,成本费用登记表!$H$4:$H$303),2))</f>
        <v/>
      </c>
      <c r="E9" s="41" t="str">
        <f aca="false">IF($B9="","",ROUND(SUMIF(成本费用登记表!$C$4:$C$303,$B9,成本费用登记表!$AA$4:$AA$303),2))</f>
        <v/>
      </c>
      <c r="F9" s="41" t="str">
        <f aca="false">IF($B9="","",ROUND(N($D9)-N($E9),2))</f>
        <v/>
      </c>
      <c r="G9" s="144" t="str">
        <f aca="false">IF(OR($B9="",N($C9)=0),"",IFERROR(INDEX(成本费用登记表!$B$4:$B$303,MATCH($B9,成本费用登记表!$C$4:$C$303,0)),""))</f>
        <v/>
      </c>
      <c r="H9" s="39" t="str">
        <f aca="false">IF(OR($B9="",N($C9)=0),"",IFERROR(INDEX(成本费用登记表!$D$4:$D$303,MATCH($B9,成本费用登记表!$C$4:$C$303,0)),""))</f>
        <v/>
      </c>
      <c r="I9" s="39" t="str">
        <f aca="false">IF($B9="","",IF(N($F9)&gt;0,"⚠ 尚欠 "&amp;TEXT(N($F9),"#,##0.00")&amp;" 元","✔ 已结清"))</f>
        <v/>
      </c>
    </row>
    <row r="10" customFormat="false" ht="13.5" hidden="false" customHeight="false" outlineLevel="0" collapsed="false">
      <c r="A10" s="9" t="str">
        <f aca="false">IF($B10="","",ROW()-3)</f>
        <v/>
      </c>
      <c r="B10" s="39" t="str">
        <f aca="false">IFERROR(INDEX(_自动清单!$AD$4:$AD$153,ROW()-3),"")</f>
        <v/>
      </c>
      <c r="C10" s="51" t="str">
        <f aca="false">IF($B10="","",COUNTIF(成本费用登记表!$C$4:$C$303,$B10))</f>
        <v/>
      </c>
      <c r="D10" s="41" t="str">
        <f aca="false">IF($B10="","",ROUND(SUMIF(成本费用登记表!$C$4:$C$303,$B10,成本费用登记表!$H$4:$H$303),2))</f>
        <v/>
      </c>
      <c r="E10" s="41" t="str">
        <f aca="false">IF($B10="","",ROUND(SUMIF(成本费用登记表!$C$4:$C$303,$B10,成本费用登记表!$AA$4:$AA$303),2))</f>
        <v/>
      </c>
      <c r="F10" s="41" t="str">
        <f aca="false">IF($B10="","",ROUND(N($D10)-N($E10),2))</f>
        <v/>
      </c>
      <c r="G10" s="144" t="str">
        <f aca="false">IF(OR($B10="",N($C10)=0),"",IFERROR(INDEX(成本费用登记表!$B$4:$B$303,MATCH($B10,成本费用登记表!$C$4:$C$303,0)),""))</f>
        <v/>
      </c>
      <c r="H10" s="39" t="str">
        <f aca="false">IF(OR($B10="",N($C10)=0),"",IFERROR(INDEX(成本费用登记表!$D$4:$D$303,MATCH($B10,成本费用登记表!$C$4:$C$303,0)),""))</f>
        <v/>
      </c>
      <c r="I10" s="39" t="str">
        <f aca="false">IF($B10="","",IF(N($F10)&gt;0,"⚠ 尚欠 "&amp;TEXT(N($F10),"#,##0.00")&amp;" 元","✔ 已结清"))</f>
        <v/>
      </c>
    </row>
    <row r="11" customFormat="false" ht="13.5" hidden="false" customHeight="false" outlineLevel="0" collapsed="false">
      <c r="A11" s="9" t="str">
        <f aca="false">IF($B11="","",ROW()-3)</f>
        <v/>
      </c>
      <c r="B11" s="39" t="str">
        <f aca="false">IFERROR(INDEX(_自动清单!$AD$4:$AD$153,ROW()-3),"")</f>
        <v/>
      </c>
      <c r="C11" s="51" t="str">
        <f aca="false">IF($B11="","",COUNTIF(成本费用登记表!$C$4:$C$303,$B11))</f>
        <v/>
      </c>
      <c r="D11" s="41" t="str">
        <f aca="false">IF($B11="","",ROUND(SUMIF(成本费用登记表!$C$4:$C$303,$B11,成本费用登记表!$H$4:$H$303),2))</f>
        <v/>
      </c>
      <c r="E11" s="41" t="str">
        <f aca="false">IF($B11="","",ROUND(SUMIF(成本费用登记表!$C$4:$C$303,$B11,成本费用登记表!$AA$4:$AA$303),2))</f>
        <v/>
      </c>
      <c r="F11" s="41" t="str">
        <f aca="false">IF($B11="","",ROUND(N($D11)-N($E11),2))</f>
        <v/>
      </c>
      <c r="G11" s="144" t="str">
        <f aca="false">IF(OR($B11="",N($C11)=0),"",IFERROR(INDEX(成本费用登记表!$B$4:$B$303,MATCH($B11,成本费用登记表!$C$4:$C$303,0)),""))</f>
        <v/>
      </c>
      <c r="H11" s="39" t="str">
        <f aca="false">IF(OR($B11="",N($C11)=0),"",IFERROR(INDEX(成本费用登记表!$D$4:$D$303,MATCH($B11,成本费用登记表!$C$4:$C$303,0)),""))</f>
        <v/>
      </c>
      <c r="I11" s="39" t="str">
        <f aca="false">IF($B11="","",IF(N($F11)&gt;0,"⚠ 尚欠 "&amp;TEXT(N($F11),"#,##0.00")&amp;" 元","✔ 已结清"))</f>
        <v/>
      </c>
    </row>
    <row r="12" customFormat="false" ht="13.5" hidden="false" customHeight="false" outlineLevel="0" collapsed="false">
      <c r="A12" s="9" t="str">
        <f aca="false">IF($B12="","",ROW()-3)</f>
        <v/>
      </c>
      <c r="B12" s="39" t="str">
        <f aca="false">IFERROR(INDEX(_自动清单!$AD$4:$AD$153,ROW()-3),"")</f>
        <v/>
      </c>
      <c r="C12" s="51" t="str">
        <f aca="false">IF($B12="","",COUNTIF(成本费用登记表!$C$4:$C$303,$B12))</f>
        <v/>
      </c>
      <c r="D12" s="41" t="str">
        <f aca="false">IF($B12="","",ROUND(SUMIF(成本费用登记表!$C$4:$C$303,$B12,成本费用登记表!$H$4:$H$303),2))</f>
        <v/>
      </c>
      <c r="E12" s="41" t="str">
        <f aca="false">IF($B12="","",ROUND(SUMIF(成本费用登记表!$C$4:$C$303,$B12,成本费用登记表!$AA$4:$AA$303),2))</f>
        <v/>
      </c>
      <c r="F12" s="41" t="str">
        <f aca="false">IF($B12="","",ROUND(N($D12)-N($E12),2))</f>
        <v/>
      </c>
      <c r="G12" s="144" t="str">
        <f aca="false">IF(OR($B12="",N($C12)=0),"",IFERROR(INDEX(成本费用登记表!$B$4:$B$303,MATCH($B12,成本费用登记表!$C$4:$C$303,0)),""))</f>
        <v/>
      </c>
      <c r="H12" s="39" t="str">
        <f aca="false">IF(OR($B12="",N($C12)=0),"",IFERROR(INDEX(成本费用登记表!$D$4:$D$303,MATCH($B12,成本费用登记表!$C$4:$C$303,0)),""))</f>
        <v/>
      </c>
      <c r="I12" s="39" t="str">
        <f aca="false">IF($B12="","",IF(N($F12)&gt;0,"⚠ 尚欠 "&amp;TEXT(N($F12),"#,##0.00")&amp;" 元","✔ 已结清"))</f>
        <v/>
      </c>
    </row>
    <row r="13" customFormat="false" ht="13.5" hidden="false" customHeight="false" outlineLevel="0" collapsed="false">
      <c r="A13" s="9" t="str">
        <f aca="false">IF($B13="","",ROW()-3)</f>
        <v/>
      </c>
      <c r="B13" s="39" t="str">
        <f aca="false">IFERROR(INDEX(_自动清单!$AD$4:$AD$153,ROW()-3),"")</f>
        <v/>
      </c>
      <c r="C13" s="51" t="str">
        <f aca="false">IF($B13="","",COUNTIF(成本费用登记表!$C$4:$C$303,$B13))</f>
        <v/>
      </c>
      <c r="D13" s="41" t="str">
        <f aca="false">IF($B13="","",ROUND(SUMIF(成本费用登记表!$C$4:$C$303,$B13,成本费用登记表!$H$4:$H$303),2))</f>
        <v/>
      </c>
      <c r="E13" s="41" t="str">
        <f aca="false">IF($B13="","",ROUND(SUMIF(成本费用登记表!$C$4:$C$303,$B13,成本费用登记表!$AA$4:$AA$303),2))</f>
        <v/>
      </c>
      <c r="F13" s="41" t="str">
        <f aca="false">IF($B13="","",ROUND(N($D13)-N($E13),2))</f>
        <v/>
      </c>
      <c r="G13" s="144" t="str">
        <f aca="false">IF(OR($B13="",N($C13)=0),"",IFERROR(INDEX(成本费用登记表!$B$4:$B$303,MATCH($B13,成本费用登记表!$C$4:$C$303,0)),""))</f>
        <v/>
      </c>
      <c r="H13" s="39" t="str">
        <f aca="false">IF(OR($B13="",N($C13)=0),"",IFERROR(INDEX(成本费用登记表!$D$4:$D$303,MATCH($B13,成本费用登记表!$C$4:$C$303,0)),""))</f>
        <v/>
      </c>
      <c r="I13" s="39" t="str">
        <f aca="false">IF($B13="","",IF(N($F13)&gt;0,"⚠ 尚欠 "&amp;TEXT(N($F13),"#,##0.00")&amp;" 元","✔ 已结清"))</f>
        <v/>
      </c>
    </row>
    <row r="14" customFormat="false" ht="13.5" hidden="false" customHeight="false" outlineLevel="0" collapsed="false">
      <c r="A14" s="9" t="str">
        <f aca="false">IF($B14="","",ROW()-3)</f>
        <v/>
      </c>
      <c r="B14" s="39" t="str">
        <f aca="false">IFERROR(INDEX(_自动清单!$AD$4:$AD$153,ROW()-3),"")</f>
        <v/>
      </c>
      <c r="C14" s="51" t="str">
        <f aca="false">IF($B14="","",COUNTIF(成本费用登记表!$C$4:$C$303,$B14))</f>
        <v/>
      </c>
      <c r="D14" s="41" t="str">
        <f aca="false">IF($B14="","",ROUND(SUMIF(成本费用登记表!$C$4:$C$303,$B14,成本费用登记表!$H$4:$H$303),2))</f>
        <v/>
      </c>
      <c r="E14" s="41" t="str">
        <f aca="false">IF($B14="","",ROUND(SUMIF(成本费用登记表!$C$4:$C$303,$B14,成本费用登记表!$AA$4:$AA$303),2))</f>
        <v/>
      </c>
      <c r="F14" s="41" t="str">
        <f aca="false">IF($B14="","",ROUND(N($D14)-N($E14),2))</f>
        <v/>
      </c>
      <c r="G14" s="144" t="str">
        <f aca="false">IF(OR($B14="",N($C14)=0),"",IFERROR(INDEX(成本费用登记表!$B$4:$B$303,MATCH($B14,成本费用登记表!$C$4:$C$303,0)),""))</f>
        <v/>
      </c>
      <c r="H14" s="39" t="str">
        <f aca="false">IF(OR($B14="",N($C14)=0),"",IFERROR(INDEX(成本费用登记表!$D$4:$D$303,MATCH($B14,成本费用登记表!$C$4:$C$303,0)),""))</f>
        <v/>
      </c>
      <c r="I14" s="39" t="str">
        <f aca="false">IF($B14="","",IF(N($F14)&gt;0,"⚠ 尚欠 "&amp;TEXT(N($F14),"#,##0.00")&amp;" 元","✔ 已结清"))</f>
        <v/>
      </c>
    </row>
    <row r="15" customFormat="false" ht="13.5" hidden="false" customHeight="false" outlineLevel="0" collapsed="false">
      <c r="A15" s="9" t="str">
        <f aca="false">IF($B15="","",ROW()-3)</f>
        <v/>
      </c>
      <c r="B15" s="39" t="str">
        <f aca="false">IFERROR(INDEX(_自动清单!$AD$4:$AD$153,ROW()-3),"")</f>
        <v/>
      </c>
      <c r="C15" s="51" t="str">
        <f aca="false">IF($B15="","",COUNTIF(成本费用登记表!$C$4:$C$303,$B15))</f>
        <v/>
      </c>
      <c r="D15" s="41" t="str">
        <f aca="false">IF($B15="","",ROUND(SUMIF(成本费用登记表!$C$4:$C$303,$B15,成本费用登记表!$H$4:$H$303),2))</f>
        <v/>
      </c>
      <c r="E15" s="41" t="str">
        <f aca="false">IF($B15="","",ROUND(SUMIF(成本费用登记表!$C$4:$C$303,$B15,成本费用登记表!$AA$4:$AA$303),2))</f>
        <v/>
      </c>
      <c r="F15" s="41" t="str">
        <f aca="false">IF($B15="","",ROUND(N($D15)-N($E15),2))</f>
        <v/>
      </c>
      <c r="G15" s="144" t="str">
        <f aca="false">IF(OR($B15="",N($C15)=0),"",IFERROR(INDEX(成本费用登记表!$B$4:$B$303,MATCH($B15,成本费用登记表!$C$4:$C$303,0)),""))</f>
        <v/>
      </c>
      <c r="H15" s="39" t="str">
        <f aca="false">IF(OR($B15="",N($C15)=0),"",IFERROR(INDEX(成本费用登记表!$D$4:$D$303,MATCH($B15,成本费用登记表!$C$4:$C$303,0)),""))</f>
        <v/>
      </c>
      <c r="I15" s="39" t="str">
        <f aca="false">IF($B15="","",IF(N($F15)&gt;0,"⚠ 尚欠 "&amp;TEXT(N($F15),"#,##0.00")&amp;" 元","✔ 已结清"))</f>
        <v/>
      </c>
    </row>
    <row r="16" customFormat="false" ht="13.5" hidden="false" customHeight="false" outlineLevel="0" collapsed="false">
      <c r="A16" s="9" t="str">
        <f aca="false">IF($B16="","",ROW()-3)</f>
        <v/>
      </c>
      <c r="B16" s="39" t="str">
        <f aca="false">IFERROR(INDEX(_自动清单!$AD$4:$AD$153,ROW()-3),"")</f>
        <v/>
      </c>
      <c r="C16" s="51" t="str">
        <f aca="false">IF($B16="","",COUNTIF(成本费用登记表!$C$4:$C$303,$B16))</f>
        <v/>
      </c>
      <c r="D16" s="41" t="str">
        <f aca="false">IF($B16="","",ROUND(SUMIF(成本费用登记表!$C$4:$C$303,$B16,成本费用登记表!$H$4:$H$303),2))</f>
        <v/>
      </c>
      <c r="E16" s="41" t="str">
        <f aca="false">IF($B16="","",ROUND(SUMIF(成本费用登记表!$C$4:$C$303,$B16,成本费用登记表!$AA$4:$AA$303),2))</f>
        <v/>
      </c>
      <c r="F16" s="41" t="str">
        <f aca="false">IF($B16="","",ROUND(N($D16)-N($E16),2))</f>
        <v/>
      </c>
      <c r="G16" s="144" t="str">
        <f aca="false">IF(OR($B16="",N($C16)=0),"",IFERROR(INDEX(成本费用登记表!$B$4:$B$303,MATCH($B16,成本费用登记表!$C$4:$C$303,0)),""))</f>
        <v/>
      </c>
      <c r="H16" s="39" t="str">
        <f aca="false">IF(OR($B16="",N($C16)=0),"",IFERROR(INDEX(成本费用登记表!$D$4:$D$303,MATCH($B16,成本费用登记表!$C$4:$C$303,0)),""))</f>
        <v/>
      </c>
      <c r="I16" s="39" t="str">
        <f aca="false">IF($B16="","",IF(N($F16)&gt;0,"⚠ 尚欠 "&amp;TEXT(N($F16),"#,##0.00")&amp;" 元","✔ 已结清"))</f>
        <v/>
      </c>
    </row>
    <row r="17" customFormat="false" ht="13.5" hidden="false" customHeight="false" outlineLevel="0" collapsed="false">
      <c r="A17" s="9" t="str">
        <f aca="false">IF($B17="","",ROW()-3)</f>
        <v/>
      </c>
      <c r="B17" s="39" t="str">
        <f aca="false">IFERROR(INDEX(_自动清单!$AD$4:$AD$153,ROW()-3),"")</f>
        <v/>
      </c>
      <c r="C17" s="51" t="str">
        <f aca="false">IF($B17="","",COUNTIF(成本费用登记表!$C$4:$C$303,$B17))</f>
        <v/>
      </c>
      <c r="D17" s="41" t="str">
        <f aca="false">IF($B17="","",ROUND(SUMIF(成本费用登记表!$C$4:$C$303,$B17,成本费用登记表!$H$4:$H$303),2))</f>
        <v/>
      </c>
      <c r="E17" s="41" t="str">
        <f aca="false">IF($B17="","",ROUND(SUMIF(成本费用登记表!$C$4:$C$303,$B17,成本费用登记表!$AA$4:$AA$303),2))</f>
        <v/>
      </c>
      <c r="F17" s="41" t="str">
        <f aca="false">IF($B17="","",ROUND(N($D17)-N($E17),2))</f>
        <v/>
      </c>
      <c r="G17" s="144" t="str">
        <f aca="false">IF(OR($B17="",N($C17)=0),"",IFERROR(INDEX(成本费用登记表!$B$4:$B$303,MATCH($B17,成本费用登记表!$C$4:$C$303,0)),""))</f>
        <v/>
      </c>
      <c r="H17" s="39" t="str">
        <f aca="false">IF(OR($B17="",N($C17)=0),"",IFERROR(INDEX(成本费用登记表!$D$4:$D$303,MATCH($B17,成本费用登记表!$C$4:$C$303,0)),""))</f>
        <v/>
      </c>
      <c r="I17" s="39" t="str">
        <f aca="false">IF($B17="","",IF(N($F17)&gt;0,"⚠ 尚欠 "&amp;TEXT(N($F17),"#,##0.00")&amp;" 元","✔ 已结清"))</f>
        <v/>
      </c>
    </row>
    <row r="18" customFormat="false" ht="13.5" hidden="false" customHeight="false" outlineLevel="0" collapsed="false">
      <c r="A18" s="9" t="str">
        <f aca="false">IF($B18="","",ROW()-3)</f>
        <v/>
      </c>
      <c r="B18" s="39" t="str">
        <f aca="false">IFERROR(INDEX(_自动清单!$AD$4:$AD$153,ROW()-3),"")</f>
        <v/>
      </c>
      <c r="C18" s="51" t="str">
        <f aca="false">IF($B18="","",COUNTIF(成本费用登记表!$C$4:$C$303,$B18))</f>
        <v/>
      </c>
      <c r="D18" s="41" t="str">
        <f aca="false">IF($B18="","",ROUND(SUMIF(成本费用登记表!$C$4:$C$303,$B18,成本费用登记表!$H$4:$H$303),2))</f>
        <v/>
      </c>
      <c r="E18" s="41" t="str">
        <f aca="false">IF($B18="","",ROUND(SUMIF(成本费用登记表!$C$4:$C$303,$B18,成本费用登记表!$AA$4:$AA$303),2))</f>
        <v/>
      </c>
      <c r="F18" s="41" t="str">
        <f aca="false">IF($B18="","",ROUND(N($D18)-N($E18),2))</f>
        <v/>
      </c>
      <c r="G18" s="144" t="str">
        <f aca="false">IF(OR($B18="",N($C18)=0),"",IFERROR(INDEX(成本费用登记表!$B$4:$B$303,MATCH($B18,成本费用登记表!$C$4:$C$303,0)),""))</f>
        <v/>
      </c>
      <c r="H18" s="39" t="str">
        <f aca="false">IF(OR($B18="",N($C18)=0),"",IFERROR(INDEX(成本费用登记表!$D$4:$D$303,MATCH($B18,成本费用登记表!$C$4:$C$303,0)),""))</f>
        <v/>
      </c>
      <c r="I18" s="39" t="str">
        <f aca="false">IF($B18="","",IF(N($F18)&gt;0,"⚠ 尚欠 "&amp;TEXT(N($F18),"#,##0.00")&amp;" 元","✔ 已结清"))</f>
        <v/>
      </c>
    </row>
    <row r="19" customFormat="false" ht="13.5" hidden="false" customHeight="false" outlineLevel="0" collapsed="false">
      <c r="A19" s="9" t="str">
        <f aca="false">IF($B19="","",ROW()-3)</f>
        <v/>
      </c>
      <c r="B19" s="39" t="str">
        <f aca="false">IFERROR(INDEX(_自动清单!$AD$4:$AD$153,ROW()-3),"")</f>
        <v/>
      </c>
      <c r="C19" s="51" t="str">
        <f aca="false">IF($B19="","",COUNTIF(成本费用登记表!$C$4:$C$303,$B19))</f>
        <v/>
      </c>
      <c r="D19" s="41" t="str">
        <f aca="false">IF($B19="","",ROUND(SUMIF(成本费用登记表!$C$4:$C$303,$B19,成本费用登记表!$H$4:$H$303),2))</f>
        <v/>
      </c>
      <c r="E19" s="41" t="str">
        <f aca="false">IF($B19="","",ROUND(SUMIF(成本费用登记表!$C$4:$C$303,$B19,成本费用登记表!$AA$4:$AA$303),2))</f>
        <v/>
      </c>
      <c r="F19" s="41" t="str">
        <f aca="false">IF($B19="","",ROUND(N($D19)-N($E19),2))</f>
        <v/>
      </c>
      <c r="G19" s="144" t="str">
        <f aca="false">IF(OR($B19="",N($C19)=0),"",IFERROR(INDEX(成本费用登记表!$B$4:$B$303,MATCH($B19,成本费用登记表!$C$4:$C$303,0)),""))</f>
        <v/>
      </c>
      <c r="H19" s="39" t="str">
        <f aca="false">IF(OR($B19="",N($C19)=0),"",IFERROR(INDEX(成本费用登记表!$D$4:$D$303,MATCH($B19,成本费用登记表!$C$4:$C$303,0)),""))</f>
        <v/>
      </c>
      <c r="I19" s="39" t="str">
        <f aca="false">IF($B19="","",IF(N($F19)&gt;0,"⚠ 尚欠 "&amp;TEXT(N($F19),"#,##0.00")&amp;" 元","✔ 已结清"))</f>
        <v/>
      </c>
    </row>
    <row r="20" customFormat="false" ht="13.5" hidden="false" customHeight="false" outlineLevel="0" collapsed="false">
      <c r="A20" s="9" t="str">
        <f aca="false">IF($B20="","",ROW()-3)</f>
        <v/>
      </c>
      <c r="B20" s="39" t="str">
        <f aca="false">IFERROR(INDEX(_自动清单!$AD$4:$AD$153,ROW()-3),"")</f>
        <v/>
      </c>
      <c r="C20" s="51" t="str">
        <f aca="false">IF($B20="","",COUNTIF(成本费用登记表!$C$4:$C$303,$B20))</f>
        <v/>
      </c>
      <c r="D20" s="41" t="str">
        <f aca="false">IF($B20="","",ROUND(SUMIF(成本费用登记表!$C$4:$C$303,$B20,成本费用登记表!$H$4:$H$303),2))</f>
        <v/>
      </c>
      <c r="E20" s="41" t="str">
        <f aca="false">IF($B20="","",ROUND(SUMIF(成本费用登记表!$C$4:$C$303,$B20,成本费用登记表!$AA$4:$AA$303),2))</f>
        <v/>
      </c>
      <c r="F20" s="41" t="str">
        <f aca="false">IF($B20="","",ROUND(N($D20)-N($E20),2))</f>
        <v/>
      </c>
      <c r="G20" s="144" t="str">
        <f aca="false">IF(OR($B20="",N($C20)=0),"",IFERROR(INDEX(成本费用登记表!$B$4:$B$303,MATCH($B20,成本费用登记表!$C$4:$C$303,0)),""))</f>
        <v/>
      </c>
      <c r="H20" s="39" t="str">
        <f aca="false">IF(OR($B20="",N($C20)=0),"",IFERROR(INDEX(成本费用登记表!$D$4:$D$303,MATCH($B20,成本费用登记表!$C$4:$C$303,0)),""))</f>
        <v/>
      </c>
      <c r="I20" s="39" t="str">
        <f aca="false">IF($B20="","",IF(N($F20)&gt;0,"⚠ 尚欠 "&amp;TEXT(N($F20),"#,##0.00")&amp;" 元","✔ 已结清"))</f>
        <v/>
      </c>
    </row>
    <row r="21" customFormat="false" ht="13.5" hidden="false" customHeight="false" outlineLevel="0" collapsed="false">
      <c r="A21" s="9" t="str">
        <f aca="false">IF($B21="","",ROW()-3)</f>
        <v/>
      </c>
      <c r="B21" s="39" t="str">
        <f aca="false">IFERROR(INDEX(_自动清单!$AD$4:$AD$153,ROW()-3),"")</f>
        <v/>
      </c>
      <c r="C21" s="51" t="str">
        <f aca="false">IF($B21="","",COUNTIF(成本费用登记表!$C$4:$C$303,$B21))</f>
        <v/>
      </c>
      <c r="D21" s="41" t="str">
        <f aca="false">IF($B21="","",ROUND(SUMIF(成本费用登记表!$C$4:$C$303,$B21,成本费用登记表!$H$4:$H$303),2))</f>
        <v/>
      </c>
      <c r="E21" s="41" t="str">
        <f aca="false">IF($B21="","",ROUND(SUMIF(成本费用登记表!$C$4:$C$303,$B21,成本费用登记表!$AA$4:$AA$303),2))</f>
        <v/>
      </c>
      <c r="F21" s="41" t="str">
        <f aca="false">IF($B21="","",ROUND(N($D21)-N($E21),2))</f>
        <v/>
      </c>
      <c r="G21" s="144" t="str">
        <f aca="false">IF(OR($B21="",N($C21)=0),"",IFERROR(INDEX(成本费用登记表!$B$4:$B$303,MATCH($B21,成本费用登记表!$C$4:$C$303,0)),""))</f>
        <v/>
      </c>
      <c r="H21" s="39" t="str">
        <f aca="false">IF(OR($B21="",N($C21)=0),"",IFERROR(INDEX(成本费用登记表!$D$4:$D$303,MATCH($B21,成本费用登记表!$C$4:$C$303,0)),""))</f>
        <v/>
      </c>
      <c r="I21" s="39" t="str">
        <f aca="false">IF($B21="","",IF(N($F21)&gt;0,"⚠ 尚欠 "&amp;TEXT(N($F21),"#,##0.00")&amp;" 元","✔ 已结清"))</f>
        <v/>
      </c>
    </row>
    <row r="22" customFormat="false" ht="13.5" hidden="false" customHeight="false" outlineLevel="0" collapsed="false">
      <c r="A22" s="9" t="str">
        <f aca="false">IF($B22="","",ROW()-3)</f>
        <v/>
      </c>
      <c r="B22" s="39" t="str">
        <f aca="false">IFERROR(INDEX(_自动清单!$AD$4:$AD$153,ROW()-3),"")</f>
        <v/>
      </c>
      <c r="C22" s="51" t="str">
        <f aca="false">IF($B22="","",COUNTIF(成本费用登记表!$C$4:$C$303,$B22))</f>
        <v/>
      </c>
      <c r="D22" s="41" t="str">
        <f aca="false">IF($B22="","",ROUND(SUMIF(成本费用登记表!$C$4:$C$303,$B22,成本费用登记表!$H$4:$H$303),2))</f>
        <v/>
      </c>
      <c r="E22" s="41" t="str">
        <f aca="false">IF($B22="","",ROUND(SUMIF(成本费用登记表!$C$4:$C$303,$B22,成本费用登记表!$AA$4:$AA$303),2))</f>
        <v/>
      </c>
      <c r="F22" s="41" t="str">
        <f aca="false">IF($B22="","",ROUND(N($D22)-N($E22),2))</f>
        <v/>
      </c>
      <c r="G22" s="144" t="str">
        <f aca="false">IF(OR($B22="",N($C22)=0),"",IFERROR(INDEX(成本费用登记表!$B$4:$B$303,MATCH($B22,成本费用登记表!$C$4:$C$303,0)),""))</f>
        <v/>
      </c>
      <c r="H22" s="39" t="str">
        <f aca="false">IF(OR($B22="",N($C22)=0),"",IFERROR(INDEX(成本费用登记表!$D$4:$D$303,MATCH($B22,成本费用登记表!$C$4:$C$303,0)),""))</f>
        <v/>
      </c>
      <c r="I22" s="39" t="str">
        <f aca="false">IF($B22="","",IF(N($F22)&gt;0,"⚠ 尚欠 "&amp;TEXT(N($F22),"#,##0.00")&amp;" 元","✔ 已结清"))</f>
        <v/>
      </c>
    </row>
    <row r="23" customFormat="false" ht="13.5" hidden="false" customHeight="false" outlineLevel="0" collapsed="false">
      <c r="A23" s="9" t="str">
        <f aca="false">IF($B23="","",ROW()-3)</f>
        <v/>
      </c>
      <c r="B23" s="39" t="str">
        <f aca="false">IFERROR(INDEX(_自动清单!$AD$4:$AD$153,ROW()-3),"")</f>
        <v/>
      </c>
      <c r="C23" s="51" t="str">
        <f aca="false">IF($B23="","",COUNTIF(成本费用登记表!$C$4:$C$303,$B23))</f>
        <v/>
      </c>
      <c r="D23" s="41" t="str">
        <f aca="false">IF($B23="","",ROUND(SUMIF(成本费用登记表!$C$4:$C$303,$B23,成本费用登记表!$H$4:$H$303),2))</f>
        <v/>
      </c>
      <c r="E23" s="41" t="str">
        <f aca="false">IF($B23="","",ROUND(SUMIF(成本费用登记表!$C$4:$C$303,$B23,成本费用登记表!$AA$4:$AA$303),2))</f>
        <v/>
      </c>
      <c r="F23" s="41" t="str">
        <f aca="false">IF($B23="","",ROUND(N($D23)-N($E23),2))</f>
        <v/>
      </c>
      <c r="G23" s="144" t="str">
        <f aca="false">IF(OR($B23="",N($C23)=0),"",IFERROR(INDEX(成本费用登记表!$B$4:$B$303,MATCH($B23,成本费用登记表!$C$4:$C$303,0)),""))</f>
        <v/>
      </c>
      <c r="H23" s="39" t="str">
        <f aca="false">IF(OR($B23="",N($C23)=0),"",IFERROR(INDEX(成本费用登记表!$D$4:$D$303,MATCH($B23,成本费用登记表!$C$4:$C$303,0)),""))</f>
        <v/>
      </c>
      <c r="I23" s="39" t="str">
        <f aca="false">IF($B23="","",IF(N($F23)&gt;0,"⚠ 尚欠 "&amp;TEXT(N($F23),"#,##0.00")&amp;" 元","✔ 已结清"))</f>
        <v/>
      </c>
    </row>
    <row r="24" customFormat="false" ht="13.5" hidden="false" customHeight="false" outlineLevel="0" collapsed="false">
      <c r="A24" s="9" t="str">
        <f aca="false">IF($B24="","",ROW()-3)</f>
        <v/>
      </c>
      <c r="B24" s="39" t="str">
        <f aca="false">IFERROR(INDEX(_自动清单!$AD$4:$AD$153,ROW()-3),"")</f>
        <v/>
      </c>
      <c r="C24" s="51" t="str">
        <f aca="false">IF($B24="","",COUNTIF(成本费用登记表!$C$4:$C$303,$B24))</f>
        <v/>
      </c>
      <c r="D24" s="41" t="str">
        <f aca="false">IF($B24="","",ROUND(SUMIF(成本费用登记表!$C$4:$C$303,$B24,成本费用登记表!$H$4:$H$303),2))</f>
        <v/>
      </c>
      <c r="E24" s="41" t="str">
        <f aca="false">IF($B24="","",ROUND(SUMIF(成本费用登记表!$C$4:$C$303,$B24,成本费用登记表!$AA$4:$AA$303),2))</f>
        <v/>
      </c>
      <c r="F24" s="41" t="str">
        <f aca="false">IF($B24="","",ROUND(N($D24)-N($E24),2))</f>
        <v/>
      </c>
      <c r="G24" s="144" t="str">
        <f aca="false">IF(OR($B24="",N($C24)=0),"",IFERROR(INDEX(成本费用登记表!$B$4:$B$303,MATCH($B24,成本费用登记表!$C$4:$C$303,0)),""))</f>
        <v/>
      </c>
      <c r="H24" s="39" t="str">
        <f aca="false">IF(OR($B24="",N($C24)=0),"",IFERROR(INDEX(成本费用登记表!$D$4:$D$303,MATCH($B24,成本费用登记表!$C$4:$C$303,0)),""))</f>
        <v/>
      </c>
      <c r="I24" s="39" t="str">
        <f aca="false">IF($B24="","",IF(N($F24)&gt;0,"⚠ 尚欠 "&amp;TEXT(N($F24),"#,##0.00")&amp;" 元","✔ 已结清"))</f>
        <v/>
      </c>
    </row>
    <row r="25" customFormat="false" ht="13.5" hidden="false" customHeight="false" outlineLevel="0" collapsed="false">
      <c r="A25" s="9" t="str">
        <f aca="false">IF($B25="","",ROW()-3)</f>
        <v/>
      </c>
      <c r="B25" s="39" t="str">
        <f aca="false">IFERROR(INDEX(_自动清单!$AD$4:$AD$153,ROW()-3),"")</f>
        <v/>
      </c>
      <c r="C25" s="51" t="str">
        <f aca="false">IF($B25="","",COUNTIF(成本费用登记表!$C$4:$C$303,$B25))</f>
        <v/>
      </c>
      <c r="D25" s="41" t="str">
        <f aca="false">IF($B25="","",ROUND(SUMIF(成本费用登记表!$C$4:$C$303,$B25,成本费用登记表!$H$4:$H$303),2))</f>
        <v/>
      </c>
      <c r="E25" s="41" t="str">
        <f aca="false">IF($B25="","",ROUND(SUMIF(成本费用登记表!$C$4:$C$303,$B25,成本费用登记表!$AA$4:$AA$303),2))</f>
        <v/>
      </c>
      <c r="F25" s="41" t="str">
        <f aca="false">IF($B25="","",ROUND(N($D25)-N($E25),2))</f>
        <v/>
      </c>
      <c r="G25" s="144" t="str">
        <f aca="false">IF(OR($B25="",N($C25)=0),"",IFERROR(INDEX(成本费用登记表!$B$4:$B$303,MATCH($B25,成本费用登记表!$C$4:$C$303,0)),""))</f>
        <v/>
      </c>
      <c r="H25" s="39" t="str">
        <f aca="false">IF(OR($B25="",N($C25)=0),"",IFERROR(INDEX(成本费用登记表!$D$4:$D$303,MATCH($B25,成本费用登记表!$C$4:$C$303,0)),""))</f>
        <v/>
      </c>
      <c r="I25" s="39" t="str">
        <f aca="false">IF($B25="","",IF(N($F25)&gt;0,"⚠ 尚欠 "&amp;TEXT(N($F25),"#,##0.00")&amp;" 元","✔ 已结清"))</f>
        <v/>
      </c>
    </row>
    <row r="26" customFormat="false" ht="13.5" hidden="false" customHeight="false" outlineLevel="0" collapsed="false">
      <c r="A26" s="9" t="str">
        <f aca="false">IF($B26="","",ROW()-3)</f>
        <v/>
      </c>
      <c r="B26" s="39" t="str">
        <f aca="false">IFERROR(INDEX(_自动清单!$AD$4:$AD$153,ROW()-3),"")</f>
        <v/>
      </c>
      <c r="C26" s="51" t="str">
        <f aca="false">IF($B26="","",COUNTIF(成本费用登记表!$C$4:$C$303,$B26))</f>
        <v/>
      </c>
      <c r="D26" s="41" t="str">
        <f aca="false">IF($B26="","",ROUND(SUMIF(成本费用登记表!$C$4:$C$303,$B26,成本费用登记表!$H$4:$H$303),2))</f>
        <v/>
      </c>
      <c r="E26" s="41" t="str">
        <f aca="false">IF($B26="","",ROUND(SUMIF(成本费用登记表!$C$4:$C$303,$B26,成本费用登记表!$AA$4:$AA$303),2))</f>
        <v/>
      </c>
      <c r="F26" s="41" t="str">
        <f aca="false">IF($B26="","",ROUND(N($D26)-N($E26),2))</f>
        <v/>
      </c>
      <c r="G26" s="144" t="str">
        <f aca="false">IF(OR($B26="",N($C26)=0),"",IFERROR(INDEX(成本费用登记表!$B$4:$B$303,MATCH($B26,成本费用登记表!$C$4:$C$303,0)),""))</f>
        <v/>
      </c>
      <c r="H26" s="39" t="str">
        <f aca="false">IF(OR($B26="",N($C26)=0),"",IFERROR(INDEX(成本费用登记表!$D$4:$D$303,MATCH($B26,成本费用登记表!$C$4:$C$303,0)),""))</f>
        <v/>
      </c>
      <c r="I26" s="39" t="str">
        <f aca="false">IF($B26="","",IF(N($F26)&gt;0,"⚠ 尚欠 "&amp;TEXT(N($F26),"#,##0.00")&amp;" 元","✔ 已结清"))</f>
        <v/>
      </c>
    </row>
    <row r="27" customFormat="false" ht="13.5" hidden="false" customHeight="false" outlineLevel="0" collapsed="false">
      <c r="A27" s="9" t="str">
        <f aca="false">IF($B27="","",ROW()-3)</f>
        <v/>
      </c>
      <c r="B27" s="39" t="str">
        <f aca="false">IFERROR(INDEX(_自动清单!$AD$4:$AD$153,ROW()-3),"")</f>
        <v/>
      </c>
      <c r="C27" s="51" t="str">
        <f aca="false">IF($B27="","",COUNTIF(成本费用登记表!$C$4:$C$303,$B27))</f>
        <v/>
      </c>
      <c r="D27" s="41" t="str">
        <f aca="false">IF($B27="","",ROUND(SUMIF(成本费用登记表!$C$4:$C$303,$B27,成本费用登记表!$H$4:$H$303),2))</f>
        <v/>
      </c>
      <c r="E27" s="41" t="str">
        <f aca="false">IF($B27="","",ROUND(SUMIF(成本费用登记表!$C$4:$C$303,$B27,成本费用登记表!$AA$4:$AA$303),2))</f>
        <v/>
      </c>
      <c r="F27" s="41" t="str">
        <f aca="false">IF($B27="","",ROUND(N($D27)-N($E27),2))</f>
        <v/>
      </c>
      <c r="G27" s="144" t="str">
        <f aca="false">IF(OR($B27="",N($C27)=0),"",IFERROR(INDEX(成本费用登记表!$B$4:$B$303,MATCH($B27,成本费用登记表!$C$4:$C$303,0)),""))</f>
        <v/>
      </c>
      <c r="H27" s="39" t="str">
        <f aca="false">IF(OR($B27="",N($C27)=0),"",IFERROR(INDEX(成本费用登记表!$D$4:$D$303,MATCH($B27,成本费用登记表!$C$4:$C$303,0)),""))</f>
        <v/>
      </c>
      <c r="I27" s="39" t="str">
        <f aca="false">IF($B27="","",IF(N($F27)&gt;0,"⚠ 尚欠 "&amp;TEXT(N($F27),"#,##0.00")&amp;" 元","✔ 已结清"))</f>
        <v/>
      </c>
    </row>
    <row r="28" customFormat="false" ht="13.5" hidden="false" customHeight="false" outlineLevel="0" collapsed="false">
      <c r="A28" s="9" t="str">
        <f aca="false">IF($B28="","",ROW()-3)</f>
        <v/>
      </c>
      <c r="B28" s="39" t="str">
        <f aca="false">IFERROR(INDEX(_自动清单!$AD$4:$AD$153,ROW()-3),"")</f>
        <v/>
      </c>
      <c r="C28" s="51" t="str">
        <f aca="false">IF($B28="","",COUNTIF(成本费用登记表!$C$4:$C$303,$B28))</f>
        <v/>
      </c>
      <c r="D28" s="41" t="str">
        <f aca="false">IF($B28="","",ROUND(SUMIF(成本费用登记表!$C$4:$C$303,$B28,成本费用登记表!$H$4:$H$303),2))</f>
        <v/>
      </c>
      <c r="E28" s="41" t="str">
        <f aca="false">IF($B28="","",ROUND(SUMIF(成本费用登记表!$C$4:$C$303,$B28,成本费用登记表!$AA$4:$AA$303),2))</f>
        <v/>
      </c>
      <c r="F28" s="41" t="str">
        <f aca="false">IF($B28="","",ROUND(N($D28)-N($E28),2))</f>
        <v/>
      </c>
      <c r="G28" s="144" t="str">
        <f aca="false">IF(OR($B28="",N($C28)=0),"",IFERROR(INDEX(成本费用登记表!$B$4:$B$303,MATCH($B28,成本费用登记表!$C$4:$C$303,0)),""))</f>
        <v/>
      </c>
      <c r="H28" s="39" t="str">
        <f aca="false">IF(OR($B28="",N($C28)=0),"",IFERROR(INDEX(成本费用登记表!$D$4:$D$303,MATCH($B28,成本费用登记表!$C$4:$C$303,0)),""))</f>
        <v/>
      </c>
      <c r="I28" s="39" t="str">
        <f aca="false">IF($B28="","",IF(N($F28)&gt;0,"⚠ 尚欠 "&amp;TEXT(N($F28),"#,##0.00")&amp;" 元","✔ 已结清"))</f>
        <v/>
      </c>
    </row>
    <row r="29" customFormat="false" ht="13.5" hidden="false" customHeight="false" outlineLevel="0" collapsed="false">
      <c r="A29" s="9" t="str">
        <f aca="false">IF($B29="","",ROW()-3)</f>
        <v/>
      </c>
      <c r="B29" s="39" t="str">
        <f aca="false">IFERROR(INDEX(_自动清单!$AD$4:$AD$153,ROW()-3),"")</f>
        <v/>
      </c>
      <c r="C29" s="51" t="str">
        <f aca="false">IF($B29="","",COUNTIF(成本费用登记表!$C$4:$C$303,$B29))</f>
        <v/>
      </c>
      <c r="D29" s="41" t="str">
        <f aca="false">IF($B29="","",ROUND(SUMIF(成本费用登记表!$C$4:$C$303,$B29,成本费用登记表!$H$4:$H$303),2))</f>
        <v/>
      </c>
      <c r="E29" s="41" t="str">
        <f aca="false">IF($B29="","",ROUND(SUMIF(成本费用登记表!$C$4:$C$303,$B29,成本费用登记表!$AA$4:$AA$303),2))</f>
        <v/>
      </c>
      <c r="F29" s="41" t="str">
        <f aca="false">IF($B29="","",ROUND(N($D29)-N($E29),2))</f>
        <v/>
      </c>
      <c r="G29" s="144" t="str">
        <f aca="false">IF(OR($B29="",N($C29)=0),"",IFERROR(INDEX(成本费用登记表!$B$4:$B$303,MATCH($B29,成本费用登记表!$C$4:$C$303,0)),""))</f>
        <v/>
      </c>
      <c r="H29" s="39" t="str">
        <f aca="false">IF(OR($B29="",N($C29)=0),"",IFERROR(INDEX(成本费用登记表!$D$4:$D$303,MATCH($B29,成本费用登记表!$C$4:$C$303,0)),""))</f>
        <v/>
      </c>
      <c r="I29" s="39" t="str">
        <f aca="false">IF($B29="","",IF(N($F29)&gt;0,"⚠ 尚欠 "&amp;TEXT(N($F29),"#,##0.00")&amp;" 元","✔ 已结清"))</f>
        <v/>
      </c>
    </row>
    <row r="30" customFormat="false" ht="13.5" hidden="false" customHeight="false" outlineLevel="0" collapsed="false">
      <c r="A30" s="9" t="str">
        <f aca="false">IF($B30="","",ROW()-3)</f>
        <v/>
      </c>
      <c r="B30" s="39" t="str">
        <f aca="false">IFERROR(INDEX(_自动清单!$AD$4:$AD$153,ROW()-3),"")</f>
        <v/>
      </c>
      <c r="C30" s="51" t="str">
        <f aca="false">IF($B30="","",COUNTIF(成本费用登记表!$C$4:$C$303,$B30))</f>
        <v/>
      </c>
      <c r="D30" s="41" t="str">
        <f aca="false">IF($B30="","",ROUND(SUMIF(成本费用登记表!$C$4:$C$303,$B30,成本费用登记表!$H$4:$H$303),2))</f>
        <v/>
      </c>
      <c r="E30" s="41" t="str">
        <f aca="false">IF($B30="","",ROUND(SUMIF(成本费用登记表!$C$4:$C$303,$B30,成本费用登记表!$AA$4:$AA$303),2))</f>
        <v/>
      </c>
      <c r="F30" s="41" t="str">
        <f aca="false">IF($B30="","",ROUND(N($D30)-N($E30),2))</f>
        <v/>
      </c>
      <c r="G30" s="144" t="str">
        <f aca="false">IF(OR($B30="",N($C30)=0),"",IFERROR(INDEX(成本费用登记表!$B$4:$B$303,MATCH($B30,成本费用登记表!$C$4:$C$303,0)),""))</f>
        <v/>
      </c>
      <c r="H30" s="39" t="str">
        <f aca="false">IF(OR($B30="",N($C30)=0),"",IFERROR(INDEX(成本费用登记表!$D$4:$D$303,MATCH($B30,成本费用登记表!$C$4:$C$303,0)),""))</f>
        <v/>
      </c>
      <c r="I30" s="39" t="str">
        <f aca="false">IF($B30="","",IF(N($F30)&gt;0,"⚠ 尚欠 "&amp;TEXT(N($F30),"#,##0.00")&amp;" 元","✔ 已结清"))</f>
        <v/>
      </c>
    </row>
    <row r="31" customFormat="false" ht="13.5" hidden="false" customHeight="false" outlineLevel="0" collapsed="false">
      <c r="A31" s="9" t="str">
        <f aca="false">IF($B31="","",ROW()-3)</f>
        <v/>
      </c>
      <c r="B31" s="39" t="str">
        <f aca="false">IFERROR(INDEX(_自动清单!$AD$4:$AD$153,ROW()-3),"")</f>
        <v/>
      </c>
      <c r="C31" s="51" t="str">
        <f aca="false">IF($B31="","",COUNTIF(成本费用登记表!$C$4:$C$303,$B31))</f>
        <v/>
      </c>
      <c r="D31" s="41" t="str">
        <f aca="false">IF($B31="","",ROUND(SUMIF(成本费用登记表!$C$4:$C$303,$B31,成本费用登记表!$H$4:$H$303),2))</f>
        <v/>
      </c>
      <c r="E31" s="41" t="str">
        <f aca="false">IF($B31="","",ROUND(SUMIF(成本费用登记表!$C$4:$C$303,$B31,成本费用登记表!$AA$4:$AA$303),2))</f>
        <v/>
      </c>
      <c r="F31" s="41" t="str">
        <f aca="false">IF($B31="","",ROUND(N($D31)-N($E31),2))</f>
        <v/>
      </c>
      <c r="G31" s="144" t="str">
        <f aca="false">IF(OR($B31="",N($C31)=0),"",IFERROR(INDEX(成本费用登记表!$B$4:$B$303,MATCH($B31,成本费用登记表!$C$4:$C$303,0)),""))</f>
        <v/>
      </c>
      <c r="H31" s="39" t="str">
        <f aca="false">IF(OR($B31="",N($C31)=0),"",IFERROR(INDEX(成本费用登记表!$D$4:$D$303,MATCH($B31,成本费用登记表!$C$4:$C$303,0)),""))</f>
        <v/>
      </c>
      <c r="I31" s="39" t="str">
        <f aca="false">IF($B31="","",IF(N($F31)&gt;0,"⚠ 尚欠 "&amp;TEXT(N($F31),"#,##0.00")&amp;" 元","✔ 已结清"))</f>
        <v/>
      </c>
    </row>
    <row r="32" customFormat="false" ht="13.5" hidden="false" customHeight="false" outlineLevel="0" collapsed="false">
      <c r="A32" s="9" t="str">
        <f aca="false">IF($B32="","",ROW()-3)</f>
        <v/>
      </c>
      <c r="B32" s="39" t="str">
        <f aca="false">IFERROR(INDEX(_自动清单!$AD$4:$AD$153,ROW()-3),"")</f>
        <v/>
      </c>
      <c r="C32" s="51" t="str">
        <f aca="false">IF($B32="","",COUNTIF(成本费用登记表!$C$4:$C$303,$B32))</f>
        <v/>
      </c>
      <c r="D32" s="41" t="str">
        <f aca="false">IF($B32="","",ROUND(SUMIF(成本费用登记表!$C$4:$C$303,$B32,成本费用登记表!$H$4:$H$303),2))</f>
        <v/>
      </c>
      <c r="E32" s="41" t="str">
        <f aca="false">IF($B32="","",ROUND(SUMIF(成本费用登记表!$C$4:$C$303,$B32,成本费用登记表!$AA$4:$AA$303),2))</f>
        <v/>
      </c>
      <c r="F32" s="41" t="str">
        <f aca="false">IF($B32="","",ROUND(N($D32)-N($E32),2))</f>
        <v/>
      </c>
      <c r="G32" s="144" t="str">
        <f aca="false">IF(OR($B32="",N($C32)=0),"",IFERROR(INDEX(成本费用登记表!$B$4:$B$303,MATCH($B32,成本费用登记表!$C$4:$C$303,0)),""))</f>
        <v/>
      </c>
      <c r="H32" s="39" t="str">
        <f aca="false">IF(OR($B32="",N($C32)=0),"",IFERROR(INDEX(成本费用登记表!$D$4:$D$303,MATCH($B32,成本费用登记表!$C$4:$C$303,0)),""))</f>
        <v/>
      </c>
      <c r="I32" s="39" t="str">
        <f aca="false">IF($B32="","",IF(N($F32)&gt;0,"⚠ 尚欠 "&amp;TEXT(N($F32),"#,##0.00")&amp;" 元","✔ 已结清"))</f>
        <v/>
      </c>
    </row>
    <row r="33" customFormat="false" ht="13.5" hidden="false" customHeight="false" outlineLevel="0" collapsed="false">
      <c r="A33" s="9" t="str">
        <f aca="false">IF($B33="","",ROW()-3)</f>
        <v/>
      </c>
      <c r="B33" s="39" t="str">
        <f aca="false">IFERROR(INDEX(_自动清单!$AD$4:$AD$153,ROW()-3),"")</f>
        <v/>
      </c>
      <c r="C33" s="51" t="str">
        <f aca="false">IF($B33="","",COUNTIF(成本费用登记表!$C$4:$C$303,$B33))</f>
        <v/>
      </c>
      <c r="D33" s="41" t="str">
        <f aca="false">IF($B33="","",ROUND(SUMIF(成本费用登记表!$C$4:$C$303,$B33,成本费用登记表!$H$4:$H$303),2))</f>
        <v/>
      </c>
      <c r="E33" s="41" t="str">
        <f aca="false">IF($B33="","",ROUND(SUMIF(成本费用登记表!$C$4:$C$303,$B33,成本费用登记表!$AA$4:$AA$303),2))</f>
        <v/>
      </c>
      <c r="F33" s="41" t="str">
        <f aca="false">IF($B33="","",ROUND(N($D33)-N($E33),2))</f>
        <v/>
      </c>
      <c r="G33" s="144" t="str">
        <f aca="false">IF(OR($B33="",N($C33)=0),"",IFERROR(INDEX(成本费用登记表!$B$4:$B$303,MATCH($B33,成本费用登记表!$C$4:$C$303,0)),""))</f>
        <v/>
      </c>
      <c r="H33" s="39" t="str">
        <f aca="false">IF(OR($B33="",N($C33)=0),"",IFERROR(INDEX(成本费用登记表!$D$4:$D$303,MATCH($B33,成本费用登记表!$C$4:$C$303,0)),""))</f>
        <v/>
      </c>
      <c r="I33" s="39" t="str">
        <f aca="false">IF($B33="","",IF(N($F33)&gt;0,"⚠ 尚欠 "&amp;TEXT(N($F33),"#,##0.00")&amp;" 元","✔ 已结清"))</f>
        <v/>
      </c>
    </row>
    <row r="34" customFormat="false" ht="13.5" hidden="false" customHeight="false" outlineLevel="0" collapsed="false">
      <c r="A34" s="9" t="str">
        <f aca="false">IF($B34="","",ROW()-3)</f>
        <v/>
      </c>
      <c r="B34" s="39" t="str">
        <f aca="false">IFERROR(INDEX(_自动清单!$AD$4:$AD$153,ROW()-3),"")</f>
        <v/>
      </c>
      <c r="C34" s="51" t="str">
        <f aca="false">IF($B34="","",COUNTIF(成本费用登记表!$C$4:$C$303,$B34))</f>
        <v/>
      </c>
      <c r="D34" s="41" t="str">
        <f aca="false">IF($B34="","",ROUND(SUMIF(成本费用登记表!$C$4:$C$303,$B34,成本费用登记表!$H$4:$H$303),2))</f>
        <v/>
      </c>
      <c r="E34" s="41" t="str">
        <f aca="false">IF($B34="","",ROUND(SUMIF(成本费用登记表!$C$4:$C$303,$B34,成本费用登记表!$AA$4:$AA$303),2))</f>
        <v/>
      </c>
      <c r="F34" s="41" t="str">
        <f aca="false">IF($B34="","",ROUND(N($D34)-N($E34),2))</f>
        <v/>
      </c>
      <c r="G34" s="144" t="str">
        <f aca="false">IF(OR($B34="",N($C34)=0),"",IFERROR(INDEX(成本费用登记表!$B$4:$B$303,MATCH($B34,成本费用登记表!$C$4:$C$303,0)),""))</f>
        <v/>
      </c>
      <c r="H34" s="39" t="str">
        <f aca="false">IF(OR($B34="",N($C34)=0),"",IFERROR(INDEX(成本费用登记表!$D$4:$D$303,MATCH($B34,成本费用登记表!$C$4:$C$303,0)),""))</f>
        <v/>
      </c>
      <c r="I34" s="39" t="str">
        <f aca="false">IF($B34="","",IF(N($F34)&gt;0,"⚠ 尚欠 "&amp;TEXT(N($F34),"#,##0.00")&amp;" 元","✔ 已结清"))</f>
        <v/>
      </c>
    </row>
    <row r="35" customFormat="false" ht="13.5" hidden="false" customHeight="false" outlineLevel="0" collapsed="false">
      <c r="A35" s="9" t="str">
        <f aca="false">IF($B35="","",ROW()-3)</f>
        <v/>
      </c>
      <c r="B35" s="39" t="str">
        <f aca="false">IFERROR(INDEX(_自动清单!$AD$4:$AD$153,ROW()-3),"")</f>
        <v/>
      </c>
      <c r="C35" s="51" t="str">
        <f aca="false">IF($B35="","",COUNTIF(成本费用登记表!$C$4:$C$303,$B35))</f>
        <v/>
      </c>
      <c r="D35" s="41" t="str">
        <f aca="false">IF($B35="","",ROUND(SUMIF(成本费用登记表!$C$4:$C$303,$B35,成本费用登记表!$H$4:$H$303),2))</f>
        <v/>
      </c>
      <c r="E35" s="41" t="str">
        <f aca="false">IF($B35="","",ROUND(SUMIF(成本费用登记表!$C$4:$C$303,$B35,成本费用登记表!$AA$4:$AA$303),2))</f>
        <v/>
      </c>
      <c r="F35" s="41" t="str">
        <f aca="false">IF($B35="","",ROUND(N($D35)-N($E35),2))</f>
        <v/>
      </c>
      <c r="G35" s="144" t="str">
        <f aca="false">IF(OR($B35="",N($C35)=0),"",IFERROR(INDEX(成本费用登记表!$B$4:$B$303,MATCH($B35,成本费用登记表!$C$4:$C$303,0)),""))</f>
        <v/>
      </c>
      <c r="H35" s="39" t="str">
        <f aca="false">IF(OR($B35="",N($C35)=0),"",IFERROR(INDEX(成本费用登记表!$D$4:$D$303,MATCH($B35,成本费用登记表!$C$4:$C$303,0)),""))</f>
        <v/>
      </c>
      <c r="I35" s="39" t="str">
        <f aca="false">IF($B35="","",IF(N($F35)&gt;0,"⚠ 尚欠 "&amp;TEXT(N($F35),"#,##0.00")&amp;" 元","✔ 已结清"))</f>
        <v/>
      </c>
    </row>
    <row r="36" customFormat="false" ht="13.5" hidden="false" customHeight="false" outlineLevel="0" collapsed="false">
      <c r="A36" s="9" t="str">
        <f aca="false">IF($B36="","",ROW()-3)</f>
        <v/>
      </c>
      <c r="B36" s="39" t="str">
        <f aca="false">IFERROR(INDEX(_自动清单!$AD$4:$AD$153,ROW()-3),"")</f>
        <v/>
      </c>
      <c r="C36" s="51" t="str">
        <f aca="false">IF($B36="","",COUNTIF(成本费用登记表!$C$4:$C$303,$B36))</f>
        <v/>
      </c>
      <c r="D36" s="41" t="str">
        <f aca="false">IF($B36="","",ROUND(SUMIF(成本费用登记表!$C$4:$C$303,$B36,成本费用登记表!$H$4:$H$303),2))</f>
        <v/>
      </c>
      <c r="E36" s="41" t="str">
        <f aca="false">IF($B36="","",ROUND(SUMIF(成本费用登记表!$C$4:$C$303,$B36,成本费用登记表!$AA$4:$AA$303),2))</f>
        <v/>
      </c>
      <c r="F36" s="41" t="str">
        <f aca="false">IF($B36="","",ROUND(N($D36)-N($E36),2))</f>
        <v/>
      </c>
      <c r="G36" s="144" t="str">
        <f aca="false">IF(OR($B36="",N($C36)=0),"",IFERROR(INDEX(成本费用登记表!$B$4:$B$303,MATCH($B36,成本费用登记表!$C$4:$C$303,0)),""))</f>
        <v/>
      </c>
      <c r="H36" s="39" t="str">
        <f aca="false">IF(OR($B36="",N($C36)=0),"",IFERROR(INDEX(成本费用登记表!$D$4:$D$303,MATCH($B36,成本费用登记表!$C$4:$C$303,0)),""))</f>
        <v/>
      </c>
      <c r="I36" s="39" t="str">
        <f aca="false">IF($B36="","",IF(N($F36)&gt;0,"⚠ 尚欠 "&amp;TEXT(N($F36),"#,##0.00")&amp;" 元","✔ 已结清"))</f>
        <v/>
      </c>
    </row>
    <row r="37" customFormat="false" ht="13.5" hidden="false" customHeight="false" outlineLevel="0" collapsed="false">
      <c r="A37" s="9" t="str">
        <f aca="false">IF($B37="","",ROW()-3)</f>
        <v/>
      </c>
      <c r="B37" s="39" t="str">
        <f aca="false">IFERROR(INDEX(_自动清单!$AD$4:$AD$153,ROW()-3),"")</f>
        <v/>
      </c>
      <c r="C37" s="51" t="str">
        <f aca="false">IF($B37="","",COUNTIF(成本费用登记表!$C$4:$C$303,$B37))</f>
        <v/>
      </c>
      <c r="D37" s="41" t="str">
        <f aca="false">IF($B37="","",ROUND(SUMIF(成本费用登记表!$C$4:$C$303,$B37,成本费用登记表!$H$4:$H$303),2))</f>
        <v/>
      </c>
      <c r="E37" s="41" t="str">
        <f aca="false">IF($B37="","",ROUND(SUMIF(成本费用登记表!$C$4:$C$303,$B37,成本费用登记表!$AA$4:$AA$303),2))</f>
        <v/>
      </c>
      <c r="F37" s="41" t="str">
        <f aca="false">IF($B37="","",ROUND(N($D37)-N($E37),2))</f>
        <v/>
      </c>
      <c r="G37" s="144" t="str">
        <f aca="false">IF(OR($B37="",N($C37)=0),"",IFERROR(INDEX(成本费用登记表!$B$4:$B$303,MATCH($B37,成本费用登记表!$C$4:$C$303,0)),""))</f>
        <v/>
      </c>
      <c r="H37" s="39" t="str">
        <f aca="false">IF(OR($B37="",N($C37)=0),"",IFERROR(INDEX(成本费用登记表!$D$4:$D$303,MATCH($B37,成本费用登记表!$C$4:$C$303,0)),""))</f>
        <v/>
      </c>
      <c r="I37" s="39" t="str">
        <f aca="false">IF($B37="","",IF(N($F37)&gt;0,"⚠ 尚欠 "&amp;TEXT(N($F37),"#,##0.00")&amp;" 元","✔ 已结清"))</f>
        <v/>
      </c>
    </row>
    <row r="38" customFormat="false" ht="13.5" hidden="false" customHeight="false" outlineLevel="0" collapsed="false">
      <c r="A38" s="9" t="str">
        <f aca="false">IF($B38="","",ROW()-3)</f>
        <v/>
      </c>
      <c r="B38" s="39" t="str">
        <f aca="false">IFERROR(INDEX(_自动清单!$AD$4:$AD$153,ROW()-3),"")</f>
        <v/>
      </c>
      <c r="C38" s="51" t="str">
        <f aca="false">IF($B38="","",COUNTIF(成本费用登记表!$C$4:$C$303,$B38))</f>
        <v/>
      </c>
      <c r="D38" s="41" t="str">
        <f aca="false">IF($B38="","",ROUND(SUMIF(成本费用登记表!$C$4:$C$303,$B38,成本费用登记表!$H$4:$H$303),2))</f>
        <v/>
      </c>
      <c r="E38" s="41" t="str">
        <f aca="false">IF($B38="","",ROUND(SUMIF(成本费用登记表!$C$4:$C$303,$B38,成本费用登记表!$AA$4:$AA$303),2))</f>
        <v/>
      </c>
      <c r="F38" s="41" t="str">
        <f aca="false">IF($B38="","",ROUND(N($D38)-N($E38),2))</f>
        <v/>
      </c>
      <c r="G38" s="144" t="str">
        <f aca="false">IF(OR($B38="",N($C38)=0),"",IFERROR(INDEX(成本费用登记表!$B$4:$B$303,MATCH($B38,成本费用登记表!$C$4:$C$303,0)),""))</f>
        <v/>
      </c>
      <c r="H38" s="39" t="str">
        <f aca="false">IF(OR($B38="",N($C38)=0),"",IFERROR(INDEX(成本费用登记表!$D$4:$D$303,MATCH($B38,成本费用登记表!$C$4:$C$303,0)),""))</f>
        <v/>
      </c>
      <c r="I38" s="39" t="str">
        <f aca="false">IF($B38="","",IF(N($F38)&gt;0,"⚠ 尚欠 "&amp;TEXT(N($F38),"#,##0.00")&amp;" 元","✔ 已结清"))</f>
        <v/>
      </c>
    </row>
    <row r="39" customFormat="false" ht="13.5" hidden="false" customHeight="false" outlineLevel="0" collapsed="false">
      <c r="A39" s="9" t="str">
        <f aca="false">IF($B39="","",ROW()-3)</f>
        <v/>
      </c>
      <c r="B39" s="39" t="str">
        <f aca="false">IFERROR(INDEX(_自动清单!$AD$4:$AD$153,ROW()-3),"")</f>
        <v/>
      </c>
      <c r="C39" s="51" t="str">
        <f aca="false">IF($B39="","",COUNTIF(成本费用登记表!$C$4:$C$303,$B39))</f>
        <v/>
      </c>
      <c r="D39" s="41" t="str">
        <f aca="false">IF($B39="","",ROUND(SUMIF(成本费用登记表!$C$4:$C$303,$B39,成本费用登记表!$H$4:$H$303),2))</f>
        <v/>
      </c>
      <c r="E39" s="41" t="str">
        <f aca="false">IF($B39="","",ROUND(SUMIF(成本费用登记表!$C$4:$C$303,$B39,成本费用登记表!$AA$4:$AA$303),2))</f>
        <v/>
      </c>
      <c r="F39" s="41" t="str">
        <f aca="false">IF($B39="","",ROUND(N($D39)-N($E39),2))</f>
        <v/>
      </c>
      <c r="G39" s="144" t="str">
        <f aca="false">IF(OR($B39="",N($C39)=0),"",IFERROR(INDEX(成本费用登记表!$B$4:$B$303,MATCH($B39,成本费用登记表!$C$4:$C$303,0)),""))</f>
        <v/>
      </c>
      <c r="H39" s="39" t="str">
        <f aca="false">IF(OR($B39="",N($C39)=0),"",IFERROR(INDEX(成本费用登记表!$D$4:$D$303,MATCH($B39,成本费用登记表!$C$4:$C$303,0)),""))</f>
        <v/>
      </c>
      <c r="I39" s="39" t="str">
        <f aca="false">IF($B39="","",IF(N($F39)&gt;0,"⚠ 尚欠 "&amp;TEXT(N($F39),"#,##0.00")&amp;" 元","✔ 已结清"))</f>
        <v/>
      </c>
    </row>
    <row r="40" customFormat="false" ht="13.5" hidden="false" customHeight="false" outlineLevel="0" collapsed="false">
      <c r="A40" s="9" t="str">
        <f aca="false">IF($B40="","",ROW()-3)</f>
        <v/>
      </c>
      <c r="B40" s="39" t="str">
        <f aca="false">IFERROR(INDEX(_自动清单!$AD$4:$AD$153,ROW()-3),"")</f>
        <v/>
      </c>
      <c r="C40" s="51" t="str">
        <f aca="false">IF($B40="","",COUNTIF(成本费用登记表!$C$4:$C$303,$B40))</f>
        <v/>
      </c>
      <c r="D40" s="41" t="str">
        <f aca="false">IF($B40="","",ROUND(SUMIF(成本费用登记表!$C$4:$C$303,$B40,成本费用登记表!$H$4:$H$303),2))</f>
        <v/>
      </c>
      <c r="E40" s="41" t="str">
        <f aca="false">IF($B40="","",ROUND(SUMIF(成本费用登记表!$C$4:$C$303,$B40,成本费用登记表!$AA$4:$AA$303),2))</f>
        <v/>
      </c>
      <c r="F40" s="41" t="str">
        <f aca="false">IF($B40="","",ROUND(N($D40)-N($E40),2))</f>
        <v/>
      </c>
      <c r="G40" s="144" t="str">
        <f aca="false">IF(OR($B40="",N($C40)=0),"",IFERROR(INDEX(成本费用登记表!$B$4:$B$303,MATCH($B40,成本费用登记表!$C$4:$C$303,0)),""))</f>
        <v/>
      </c>
      <c r="H40" s="39" t="str">
        <f aca="false">IF(OR($B40="",N($C40)=0),"",IFERROR(INDEX(成本费用登记表!$D$4:$D$303,MATCH($B40,成本费用登记表!$C$4:$C$303,0)),""))</f>
        <v/>
      </c>
      <c r="I40" s="39" t="str">
        <f aca="false">IF($B40="","",IF(N($F40)&gt;0,"⚠ 尚欠 "&amp;TEXT(N($F40),"#,##0.00")&amp;" 元","✔ 已结清"))</f>
        <v/>
      </c>
    </row>
    <row r="41" customFormat="false" ht="13.5" hidden="false" customHeight="false" outlineLevel="0" collapsed="false">
      <c r="A41" s="9" t="str">
        <f aca="false">IF($B41="","",ROW()-3)</f>
        <v/>
      </c>
      <c r="B41" s="39" t="str">
        <f aca="false">IFERROR(INDEX(_自动清单!$AD$4:$AD$153,ROW()-3),"")</f>
        <v/>
      </c>
      <c r="C41" s="51" t="str">
        <f aca="false">IF($B41="","",COUNTIF(成本费用登记表!$C$4:$C$303,$B41))</f>
        <v/>
      </c>
      <c r="D41" s="41" t="str">
        <f aca="false">IF($B41="","",ROUND(SUMIF(成本费用登记表!$C$4:$C$303,$B41,成本费用登记表!$H$4:$H$303),2))</f>
        <v/>
      </c>
      <c r="E41" s="41" t="str">
        <f aca="false">IF($B41="","",ROUND(SUMIF(成本费用登记表!$C$4:$C$303,$B41,成本费用登记表!$AA$4:$AA$303),2))</f>
        <v/>
      </c>
      <c r="F41" s="41" t="str">
        <f aca="false">IF($B41="","",ROUND(N($D41)-N($E41),2))</f>
        <v/>
      </c>
      <c r="G41" s="144" t="str">
        <f aca="false">IF(OR($B41="",N($C41)=0),"",IFERROR(INDEX(成本费用登记表!$B$4:$B$303,MATCH($B41,成本费用登记表!$C$4:$C$303,0)),""))</f>
        <v/>
      </c>
      <c r="H41" s="39" t="str">
        <f aca="false">IF(OR($B41="",N($C41)=0),"",IFERROR(INDEX(成本费用登记表!$D$4:$D$303,MATCH($B41,成本费用登记表!$C$4:$C$303,0)),""))</f>
        <v/>
      </c>
      <c r="I41" s="39" t="str">
        <f aca="false">IF($B41="","",IF(N($F41)&gt;0,"⚠ 尚欠 "&amp;TEXT(N($F41),"#,##0.00")&amp;" 元","✔ 已结清"))</f>
        <v/>
      </c>
    </row>
    <row r="42" customFormat="false" ht="13.5" hidden="false" customHeight="false" outlineLevel="0" collapsed="false">
      <c r="A42" s="9" t="str">
        <f aca="false">IF($B42="","",ROW()-3)</f>
        <v/>
      </c>
      <c r="B42" s="39" t="str">
        <f aca="false">IFERROR(INDEX(_自动清单!$AD$4:$AD$153,ROW()-3),"")</f>
        <v/>
      </c>
      <c r="C42" s="51" t="str">
        <f aca="false">IF($B42="","",COUNTIF(成本费用登记表!$C$4:$C$303,$B42))</f>
        <v/>
      </c>
      <c r="D42" s="41" t="str">
        <f aca="false">IF($B42="","",ROUND(SUMIF(成本费用登记表!$C$4:$C$303,$B42,成本费用登记表!$H$4:$H$303),2))</f>
        <v/>
      </c>
      <c r="E42" s="41" t="str">
        <f aca="false">IF($B42="","",ROUND(SUMIF(成本费用登记表!$C$4:$C$303,$B42,成本费用登记表!$AA$4:$AA$303),2))</f>
        <v/>
      </c>
      <c r="F42" s="41" t="str">
        <f aca="false">IF($B42="","",ROUND(N($D42)-N($E42),2))</f>
        <v/>
      </c>
      <c r="G42" s="144" t="str">
        <f aca="false">IF(OR($B42="",N($C42)=0),"",IFERROR(INDEX(成本费用登记表!$B$4:$B$303,MATCH($B42,成本费用登记表!$C$4:$C$303,0)),""))</f>
        <v/>
      </c>
      <c r="H42" s="39" t="str">
        <f aca="false">IF(OR($B42="",N($C42)=0),"",IFERROR(INDEX(成本费用登记表!$D$4:$D$303,MATCH($B42,成本费用登记表!$C$4:$C$303,0)),""))</f>
        <v/>
      </c>
      <c r="I42" s="39" t="str">
        <f aca="false">IF($B42="","",IF(N($F42)&gt;0,"⚠ 尚欠 "&amp;TEXT(N($F42),"#,##0.00")&amp;" 元","✔ 已结清"))</f>
        <v/>
      </c>
    </row>
    <row r="43" customFormat="false" ht="13.5" hidden="false" customHeight="false" outlineLevel="0" collapsed="false">
      <c r="A43" s="9" t="str">
        <f aca="false">IF($B43="","",ROW()-3)</f>
        <v/>
      </c>
      <c r="B43" s="39" t="str">
        <f aca="false">IFERROR(INDEX(_自动清单!$AD$4:$AD$153,ROW()-3),"")</f>
        <v/>
      </c>
      <c r="C43" s="51" t="str">
        <f aca="false">IF($B43="","",COUNTIF(成本费用登记表!$C$4:$C$303,$B43))</f>
        <v/>
      </c>
      <c r="D43" s="41" t="str">
        <f aca="false">IF($B43="","",ROUND(SUMIF(成本费用登记表!$C$4:$C$303,$B43,成本费用登记表!$H$4:$H$303),2))</f>
        <v/>
      </c>
      <c r="E43" s="41" t="str">
        <f aca="false">IF($B43="","",ROUND(SUMIF(成本费用登记表!$C$4:$C$303,$B43,成本费用登记表!$AA$4:$AA$303),2))</f>
        <v/>
      </c>
      <c r="F43" s="41" t="str">
        <f aca="false">IF($B43="","",ROUND(N($D43)-N($E43),2))</f>
        <v/>
      </c>
      <c r="G43" s="144" t="str">
        <f aca="false">IF(OR($B43="",N($C43)=0),"",IFERROR(INDEX(成本费用登记表!$B$4:$B$303,MATCH($B43,成本费用登记表!$C$4:$C$303,0)),""))</f>
        <v/>
      </c>
      <c r="H43" s="39" t="str">
        <f aca="false">IF(OR($B43="",N($C43)=0),"",IFERROR(INDEX(成本费用登记表!$D$4:$D$303,MATCH($B43,成本费用登记表!$C$4:$C$303,0)),""))</f>
        <v/>
      </c>
      <c r="I43" s="39" t="str">
        <f aca="false">IF($B43="","",IF(N($F43)&gt;0,"⚠ 尚欠 "&amp;TEXT(N($F43),"#,##0.00")&amp;" 元","✔ 已结清"))</f>
        <v/>
      </c>
    </row>
    <row r="44" customFormat="false" ht="13.5" hidden="false" customHeight="false" outlineLevel="0" collapsed="false">
      <c r="A44" s="9" t="str">
        <f aca="false">IF($B44="","",ROW()-3)</f>
        <v/>
      </c>
      <c r="B44" s="39" t="str">
        <f aca="false">IFERROR(INDEX(_自动清单!$AD$4:$AD$153,ROW()-3),"")</f>
        <v/>
      </c>
      <c r="C44" s="51" t="str">
        <f aca="false">IF($B44="","",COUNTIF(成本费用登记表!$C$4:$C$303,$B44))</f>
        <v/>
      </c>
      <c r="D44" s="41" t="str">
        <f aca="false">IF($B44="","",ROUND(SUMIF(成本费用登记表!$C$4:$C$303,$B44,成本费用登记表!$H$4:$H$303),2))</f>
        <v/>
      </c>
      <c r="E44" s="41" t="str">
        <f aca="false">IF($B44="","",ROUND(SUMIF(成本费用登记表!$C$4:$C$303,$B44,成本费用登记表!$AA$4:$AA$303),2))</f>
        <v/>
      </c>
      <c r="F44" s="41" t="str">
        <f aca="false">IF($B44="","",ROUND(N($D44)-N($E44),2))</f>
        <v/>
      </c>
      <c r="G44" s="144" t="str">
        <f aca="false">IF(OR($B44="",N($C44)=0),"",IFERROR(INDEX(成本费用登记表!$B$4:$B$303,MATCH($B44,成本费用登记表!$C$4:$C$303,0)),""))</f>
        <v/>
      </c>
      <c r="H44" s="39" t="str">
        <f aca="false">IF(OR($B44="",N($C44)=0),"",IFERROR(INDEX(成本费用登记表!$D$4:$D$303,MATCH($B44,成本费用登记表!$C$4:$C$303,0)),""))</f>
        <v/>
      </c>
      <c r="I44" s="39" t="str">
        <f aca="false">IF($B44="","",IF(N($F44)&gt;0,"⚠ 尚欠 "&amp;TEXT(N($F44),"#,##0.00")&amp;" 元","✔ 已结清"))</f>
        <v/>
      </c>
    </row>
    <row r="45" customFormat="false" ht="13.5" hidden="false" customHeight="false" outlineLevel="0" collapsed="false">
      <c r="A45" s="9" t="str">
        <f aca="false">IF($B45="","",ROW()-3)</f>
        <v/>
      </c>
      <c r="B45" s="39" t="str">
        <f aca="false">IFERROR(INDEX(_自动清单!$AD$4:$AD$153,ROW()-3),"")</f>
        <v/>
      </c>
      <c r="C45" s="51" t="str">
        <f aca="false">IF($B45="","",COUNTIF(成本费用登记表!$C$4:$C$303,$B45))</f>
        <v/>
      </c>
      <c r="D45" s="41" t="str">
        <f aca="false">IF($B45="","",ROUND(SUMIF(成本费用登记表!$C$4:$C$303,$B45,成本费用登记表!$H$4:$H$303),2))</f>
        <v/>
      </c>
      <c r="E45" s="41" t="str">
        <f aca="false">IF($B45="","",ROUND(SUMIF(成本费用登记表!$C$4:$C$303,$B45,成本费用登记表!$AA$4:$AA$303),2))</f>
        <v/>
      </c>
      <c r="F45" s="41" t="str">
        <f aca="false">IF($B45="","",ROUND(N($D45)-N($E45),2))</f>
        <v/>
      </c>
      <c r="G45" s="144" t="str">
        <f aca="false">IF(OR($B45="",N($C45)=0),"",IFERROR(INDEX(成本费用登记表!$B$4:$B$303,MATCH($B45,成本费用登记表!$C$4:$C$303,0)),""))</f>
        <v/>
      </c>
      <c r="H45" s="39" t="str">
        <f aca="false">IF(OR($B45="",N($C45)=0),"",IFERROR(INDEX(成本费用登记表!$D$4:$D$303,MATCH($B45,成本费用登记表!$C$4:$C$303,0)),""))</f>
        <v/>
      </c>
      <c r="I45" s="39" t="str">
        <f aca="false">IF($B45="","",IF(N($F45)&gt;0,"⚠ 尚欠 "&amp;TEXT(N($F45),"#,##0.00")&amp;" 元","✔ 已结清"))</f>
        <v/>
      </c>
    </row>
    <row r="46" customFormat="false" ht="13.5" hidden="false" customHeight="false" outlineLevel="0" collapsed="false">
      <c r="A46" s="9" t="str">
        <f aca="false">IF($B46="","",ROW()-3)</f>
        <v/>
      </c>
      <c r="B46" s="39" t="str">
        <f aca="false">IFERROR(INDEX(_自动清单!$AD$4:$AD$153,ROW()-3),"")</f>
        <v/>
      </c>
      <c r="C46" s="51" t="str">
        <f aca="false">IF($B46="","",COUNTIF(成本费用登记表!$C$4:$C$303,$B46))</f>
        <v/>
      </c>
      <c r="D46" s="41" t="str">
        <f aca="false">IF($B46="","",ROUND(SUMIF(成本费用登记表!$C$4:$C$303,$B46,成本费用登记表!$H$4:$H$303),2))</f>
        <v/>
      </c>
      <c r="E46" s="41" t="str">
        <f aca="false">IF($B46="","",ROUND(SUMIF(成本费用登记表!$C$4:$C$303,$B46,成本费用登记表!$AA$4:$AA$303),2))</f>
        <v/>
      </c>
      <c r="F46" s="41" t="str">
        <f aca="false">IF($B46="","",ROUND(N($D46)-N($E46),2))</f>
        <v/>
      </c>
      <c r="G46" s="144" t="str">
        <f aca="false">IF(OR($B46="",N($C46)=0),"",IFERROR(INDEX(成本费用登记表!$B$4:$B$303,MATCH($B46,成本费用登记表!$C$4:$C$303,0)),""))</f>
        <v/>
      </c>
      <c r="H46" s="39" t="str">
        <f aca="false">IF(OR($B46="",N($C46)=0),"",IFERROR(INDEX(成本费用登记表!$D$4:$D$303,MATCH($B46,成本费用登记表!$C$4:$C$303,0)),""))</f>
        <v/>
      </c>
      <c r="I46" s="39" t="str">
        <f aca="false">IF($B46="","",IF(N($F46)&gt;0,"⚠ 尚欠 "&amp;TEXT(N($F46),"#,##0.00")&amp;" 元","✔ 已结清"))</f>
        <v/>
      </c>
    </row>
    <row r="47" customFormat="false" ht="13.5" hidden="false" customHeight="false" outlineLevel="0" collapsed="false">
      <c r="A47" s="9" t="str">
        <f aca="false">IF($B47="","",ROW()-3)</f>
        <v/>
      </c>
      <c r="B47" s="39" t="str">
        <f aca="false">IFERROR(INDEX(_自动清单!$AD$4:$AD$153,ROW()-3),"")</f>
        <v/>
      </c>
      <c r="C47" s="51" t="str">
        <f aca="false">IF($B47="","",COUNTIF(成本费用登记表!$C$4:$C$303,$B47))</f>
        <v/>
      </c>
      <c r="D47" s="41" t="str">
        <f aca="false">IF($B47="","",ROUND(SUMIF(成本费用登记表!$C$4:$C$303,$B47,成本费用登记表!$H$4:$H$303),2))</f>
        <v/>
      </c>
      <c r="E47" s="41" t="str">
        <f aca="false">IF($B47="","",ROUND(SUMIF(成本费用登记表!$C$4:$C$303,$B47,成本费用登记表!$AA$4:$AA$303),2))</f>
        <v/>
      </c>
      <c r="F47" s="41" t="str">
        <f aca="false">IF($B47="","",ROUND(N($D47)-N($E47),2))</f>
        <v/>
      </c>
      <c r="G47" s="144" t="str">
        <f aca="false">IF(OR($B47="",N($C47)=0),"",IFERROR(INDEX(成本费用登记表!$B$4:$B$303,MATCH($B47,成本费用登记表!$C$4:$C$303,0)),""))</f>
        <v/>
      </c>
      <c r="H47" s="39" t="str">
        <f aca="false">IF(OR($B47="",N($C47)=0),"",IFERROR(INDEX(成本费用登记表!$D$4:$D$303,MATCH($B47,成本费用登记表!$C$4:$C$303,0)),""))</f>
        <v/>
      </c>
      <c r="I47" s="39" t="str">
        <f aca="false">IF($B47="","",IF(N($F47)&gt;0,"⚠ 尚欠 "&amp;TEXT(N($F47),"#,##0.00")&amp;" 元","✔ 已结清"))</f>
        <v/>
      </c>
    </row>
    <row r="48" customFormat="false" ht="13.5" hidden="false" customHeight="false" outlineLevel="0" collapsed="false">
      <c r="A48" s="9" t="str">
        <f aca="false">IF($B48="","",ROW()-3)</f>
        <v/>
      </c>
      <c r="B48" s="39" t="str">
        <f aca="false">IFERROR(INDEX(_自动清单!$AD$4:$AD$153,ROW()-3),"")</f>
        <v/>
      </c>
      <c r="C48" s="51" t="str">
        <f aca="false">IF($B48="","",COUNTIF(成本费用登记表!$C$4:$C$303,$B48))</f>
        <v/>
      </c>
      <c r="D48" s="41" t="str">
        <f aca="false">IF($B48="","",ROUND(SUMIF(成本费用登记表!$C$4:$C$303,$B48,成本费用登记表!$H$4:$H$303),2))</f>
        <v/>
      </c>
      <c r="E48" s="41" t="str">
        <f aca="false">IF($B48="","",ROUND(SUMIF(成本费用登记表!$C$4:$C$303,$B48,成本费用登记表!$AA$4:$AA$303),2))</f>
        <v/>
      </c>
      <c r="F48" s="41" t="str">
        <f aca="false">IF($B48="","",ROUND(N($D48)-N($E48),2))</f>
        <v/>
      </c>
      <c r="G48" s="144" t="str">
        <f aca="false">IF(OR($B48="",N($C48)=0),"",IFERROR(INDEX(成本费用登记表!$B$4:$B$303,MATCH($B48,成本费用登记表!$C$4:$C$303,0)),""))</f>
        <v/>
      </c>
      <c r="H48" s="39" t="str">
        <f aca="false">IF(OR($B48="",N($C48)=0),"",IFERROR(INDEX(成本费用登记表!$D$4:$D$303,MATCH($B48,成本费用登记表!$C$4:$C$303,0)),""))</f>
        <v/>
      </c>
      <c r="I48" s="39" t="str">
        <f aca="false">IF($B48="","",IF(N($F48)&gt;0,"⚠ 尚欠 "&amp;TEXT(N($F48),"#,##0.00")&amp;" 元","✔ 已结清"))</f>
        <v/>
      </c>
    </row>
    <row r="49" customFormat="false" ht="13.5" hidden="false" customHeight="false" outlineLevel="0" collapsed="false">
      <c r="A49" s="9" t="str">
        <f aca="false">IF($B49="","",ROW()-3)</f>
        <v/>
      </c>
      <c r="B49" s="39" t="str">
        <f aca="false">IFERROR(INDEX(_自动清单!$AD$4:$AD$153,ROW()-3),"")</f>
        <v/>
      </c>
      <c r="C49" s="51" t="str">
        <f aca="false">IF($B49="","",COUNTIF(成本费用登记表!$C$4:$C$303,$B49))</f>
        <v/>
      </c>
      <c r="D49" s="41" t="str">
        <f aca="false">IF($B49="","",ROUND(SUMIF(成本费用登记表!$C$4:$C$303,$B49,成本费用登记表!$H$4:$H$303),2))</f>
        <v/>
      </c>
      <c r="E49" s="41" t="str">
        <f aca="false">IF($B49="","",ROUND(SUMIF(成本费用登记表!$C$4:$C$303,$B49,成本费用登记表!$AA$4:$AA$303),2))</f>
        <v/>
      </c>
      <c r="F49" s="41" t="str">
        <f aca="false">IF($B49="","",ROUND(N($D49)-N($E49),2))</f>
        <v/>
      </c>
      <c r="G49" s="144" t="str">
        <f aca="false">IF(OR($B49="",N($C49)=0),"",IFERROR(INDEX(成本费用登记表!$B$4:$B$303,MATCH($B49,成本费用登记表!$C$4:$C$303,0)),""))</f>
        <v/>
      </c>
      <c r="H49" s="39" t="str">
        <f aca="false">IF(OR($B49="",N($C49)=0),"",IFERROR(INDEX(成本费用登记表!$D$4:$D$303,MATCH($B49,成本费用登记表!$C$4:$C$303,0)),""))</f>
        <v/>
      </c>
      <c r="I49" s="39" t="str">
        <f aca="false">IF($B49="","",IF(N($F49)&gt;0,"⚠ 尚欠 "&amp;TEXT(N($F49),"#,##0.00")&amp;" 元","✔ 已结清"))</f>
        <v/>
      </c>
    </row>
    <row r="50" customFormat="false" ht="13.5" hidden="false" customHeight="false" outlineLevel="0" collapsed="false">
      <c r="A50" s="9" t="str">
        <f aca="false">IF($B50="","",ROW()-3)</f>
        <v/>
      </c>
      <c r="B50" s="39" t="str">
        <f aca="false">IFERROR(INDEX(_自动清单!$AD$4:$AD$153,ROW()-3),"")</f>
        <v/>
      </c>
      <c r="C50" s="51" t="str">
        <f aca="false">IF($B50="","",COUNTIF(成本费用登记表!$C$4:$C$303,$B50))</f>
        <v/>
      </c>
      <c r="D50" s="41" t="str">
        <f aca="false">IF($B50="","",ROUND(SUMIF(成本费用登记表!$C$4:$C$303,$B50,成本费用登记表!$H$4:$H$303),2))</f>
        <v/>
      </c>
      <c r="E50" s="41" t="str">
        <f aca="false">IF($B50="","",ROUND(SUMIF(成本费用登记表!$C$4:$C$303,$B50,成本费用登记表!$AA$4:$AA$303),2))</f>
        <v/>
      </c>
      <c r="F50" s="41" t="str">
        <f aca="false">IF($B50="","",ROUND(N($D50)-N($E50),2))</f>
        <v/>
      </c>
      <c r="G50" s="144" t="str">
        <f aca="false">IF(OR($B50="",N($C50)=0),"",IFERROR(INDEX(成本费用登记表!$B$4:$B$303,MATCH($B50,成本费用登记表!$C$4:$C$303,0)),""))</f>
        <v/>
      </c>
      <c r="H50" s="39" t="str">
        <f aca="false">IF(OR($B50="",N($C50)=0),"",IFERROR(INDEX(成本费用登记表!$D$4:$D$303,MATCH($B50,成本费用登记表!$C$4:$C$303,0)),""))</f>
        <v/>
      </c>
      <c r="I50" s="39" t="str">
        <f aca="false">IF($B50="","",IF(N($F50)&gt;0,"⚠ 尚欠 "&amp;TEXT(N($F50),"#,##0.00")&amp;" 元","✔ 已结清"))</f>
        <v/>
      </c>
    </row>
    <row r="51" customFormat="false" ht="13.5" hidden="false" customHeight="false" outlineLevel="0" collapsed="false">
      <c r="A51" s="9" t="str">
        <f aca="false">IF($B51="","",ROW()-3)</f>
        <v/>
      </c>
      <c r="B51" s="39" t="str">
        <f aca="false">IFERROR(INDEX(_自动清单!$AD$4:$AD$153,ROW()-3),"")</f>
        <v/>
      </c>
      <c r="C51" s="51" t="str">
        <f aca="false">IF($B51="","",COUNTIF(成本费用登记表!$C$4:$C$303,$B51))</f>
        <v/>
      </c>
      <c r="D51" s="41" t="str">
        <f aca="false">IF($B51="","",ROUND(SUMIF(成本费用登记表!$C$4:$C$303,$B51,成本费用登记表!$H$4:$H$303),2))</f>
        <v/>
      </c>
      <c r="E51" s="41" t="str">
        <f aca="false">IF($B51="","",ROUND(SUMIF(成本费用登记表!$C$4:$C$303,$B51,成本费用登记表!$AA$4:$AA$303),2))</f>
        <v/>
      </c>
      <c r="F51" s="41" t="str">
        <f aca="false">IF($B51="","",ROUND(N($D51)-N($E51),2))</f>
        <v/>
      </c>
      <c r="G51" s="144" t="str">
        <f aca="false">IF(OR($B51="",N($C51)=0),"",IFERROR(INDEX(成本费用登记表!$B$4:$B$303,MATCH($B51,成本费用登记表!$C$4:$C$303,0)),""))</f>
        <v/>
      </c>
      <c r="H51" s="39" t="str">
        <f aca="false">IF(OR($B51="",N($C51)=0),"",IFERROR(INDEX(成本费用登记表!$D$4:$D$303,MATCH($B51,成本费用登记表!$C$4:$C$303,0)),""))</f>
        <v/>
      </c>
      <c r="I51" s="39" t="str">
        <f aca="false">IF($B51="","",IF(N($F51)&gt;0,"⚠ 尚欠 "&amp;TEXT(N($F51),"#,##0.00")&amp;" 元","✔ 已结清"))</f>
        <v/>
      </c>
    </row>
    <row r="52" customFormat="false" ht="13.5" hidden="false" customHeight="false" outlineLevel="0" collapsed="false">
      <c r="A52" s="9" t="str">
        <f aca="false">IF($B52="","",ROW()-3)</f>
        <v/>
      </c>
      <c r="B52" s="39" t="str">
        <f aca="false">IFERROR(INDEX(_自动清单!$AD$4:$AD$153,ROW()-3),"")</f>
        <v/>
      </c>
      <c r="C52" s="51" t="str">
        <f aca="false">IF($B52="","",COUNTIF(成本费用登记表!$C$4:$C$303,$B52))</f>
        <v/>
      </c>
      <c r="D52" s="41" t="str">
        <f aca="false">IF($B52="","",ROUND(SUMIF(成本费用登记表!$C$4:$C$303,$B52,成本费用登记表!$H$4:$H$303),2))</f>
        <v/>
      </c>
      <c r="E52" s="41" t="str">
        <f aca="false">IF($B52="","",ROUND(SUMIF(成本费用登记表!$C$4:$C$303,$B52,成本费用登记表!$AA$4:$AA$303),2))</f>
        <v/>
      </c>
      <c r="F52" s="41" t="str">
        <f aca="false">IF($B52="","",ROUND(N($D52)-N($E52),2))</f>
        <v/>
      </c>
      <c r="G52" s="144" t="str">
        <f aca="false">IF(OR($B52="",N($C52)=0),"",IFERROR(INDEX(成本费用登记表!$B$4:$B$303,MATCH($B52,成本费用登记表!$C$4:$C$303,0)),""))</f>
        <v/>
      </c>
      <c r="H52" s="39" t="str">
        <f aca="false">IF(OR($B52="",N($C52)=0),"",IFERROR(INDEX(成本费用登记表!$D$4:$D$303,MATCH($B52,成本费用登记表!$C$4:$C$303,0)),""))</f>
        <v/>
      </c>
      <c r="I52" s="39" t="str">
        <f aca="false">IF($B52="","",IF(N($F52)&gt;0,"⚠ 尚欠 "&amp;TEXT(N($F52),"#,##0.00")&amp;" 元","✔ 已结清"))</f>
        <v/>
      </c>
    </row>
    <row r="53" customFormat="false" ht="13.5" hidden="false" customHeight="false" outlineLevel="0" collapsed="false">
      <c r="A53" s="9" t="str">
        <f aca="false">IF($B53="","",ROW()-3)</f>
        <v/>
      </c>
      <c r="B53" s="39" t="str">
        <f aca="false">IFERROR(INDEX(_自动清单!$AD$4:$AD$153,ROW()-3),"")</f>
        <v/>
      </c>
      <c r="C53" s="51" t="str">
        <f aca="false">IF($B53="","",COUNTIF(成本费用登记表!$C$4:$C$303,$B53))</f>
        <v/>
      </c>
      <c r="D53" s="41" t="str">
        <f aca="false">IF($B53="","",ROUND(SUMIF(成本费用登记表!$C$4:$C$303,$B53,成本费用登记表!$H$4:$H$303),2))</f>
        <v/>
      </c>
      <c r="E53" s="41" t="str">
        <f aca="false">IF($B53="","",ROUND(SUMIF(成本费用登记表!$C$4:$C$303,$B53,成本费用登记表!$AA$4:$AA$303),2))</f>
        <v/>
      </c>
      <c r="F53" s="41" t="str">
        <f aca="false">IF($B53="","",ROUND(N($D53)-N($E53),2))</f>
        <v/>
      </c>
      <c r="G53" s="144" t="str">
        <f aca="false">IF(OR($B53="",N($C53)=0),"",IFERROR(INDEX(成本费用登记表!$B$4:$B$303,MATCH($B53,成本费用登记表!$C$4:$C$303,0)),""))</f>
        <v/>
      </c>
      <c r="H53" s="39" t="str">
        <f aca="false">IF(OR($B53="",N($C53)=0),"",IFERROR(INDEX(成本费用登记表!$D$4:$D$303,MATCH($B53,成本费用登记表!$C$4:$C$303,0)),""))</f>
        <v/>
      </c>
      <c r="I53" s="39" t="str">
        <f aca="false">IF($B53="","",IF(N($F53)&gt;0,"⚠ 尚欠 "&amp;TEXT(N($F53),"#,##0.00")&amp;" 元","✔ 已结清"))</f>
        <v/>
      </c>
    </row>
    <row r="54" customFormat="false" ht="13.5" hidden="false" customHeight="false" outlineLevel="0" collapsed="false">
      <c r="A54" s="9" t="str">
        <f aca="false">IF($B54="","",ROW()-3)</f>
        <v/>
      </c>
      <c r="B54" s="39" t="str">
        <f aca="false">IFERROR(INDEX(_自动清单!$AD$4:$AD$153,ROW()-3),"")</f>
        <v/>
      </c>
      <c r="C54" s="51" t="str">
        <f aca="false">IF($B54="","",COUNTIF(成本费用登记表!$C$4:$C$303,$B54))</f>
        <v/>
      </c>
      <c r="D54" s="41" t="str">
        <f aca="false">IF($B54="","",ROUND(SUMIF(成本费用登记表!$C$4:$C$303,$B54,成本费用登记表!$H$4:$H$303),2))</f>
        <v/>
      </c>
      <c r="E54" s="41" t="str">
        <f aca="false">IF($B54="","",ROUND(SUMIF(成本费用登记表!$C$4:$C$303,$B54,成本费用登记表!$AA$4:$AA$303),2))</f>
        <v/>
      </c>
      <c r="F54" s="41" t="str">
        <f aca="false">IF($B54="","",ROUND(N($D54)-N($E54),2))</f>
        <v/>
      </c>
      <c r="G54" s="144" t="str">
        <f aca="false">IF(OR($B54="",N($C54)=0),"",IFERROR(INDEX(成本费用登记表!$B$4:$B$303,MATCH($B54,成本费用登记表!$C$4:$C$303,0)),""))</f>
        <v/>
      </c>
      <c r="H54" s="39" t="str">
        <f aca="false">IF(OR($B54="",N($C54)=0),"",IFERROR(INDEX(成本费用登记表!$D$4:$D$303,MATCH($B54,成本费用登记表!$C$4:$C$303,0)),""))</f>
        <v/>
      </c>
      <c r="I54" s="39" t="str">
        <f aca="false">IF($B54="","",IF(N($F54)&gt;0,"⚠ 尚欠 "&amp;TEXT(N($F54),"#,##0.00")&amp;" 元","✔ 已结清"))</f>
        <v/>
      </c>
    </row>
    <row r="55" customFormat="false" ht="13.5" hidden="false" customHeight="false" outlineLevel="0" collapsed="false">
      <c r="A55" s="9" t="str">
        <f aca="false">IF($B55="","",ROW()-3)</f>
        <v/>
      </c>
      <c r="B55" s="39" t="str">
        <f aca="false">IFERROR(INDEX(_自动清单!$AD$4:$AD$153,ROW()-3),"")</f>
        <v/>
      </c>
      <c r="C55" s="51" t="str">
        <f aca="false">IF($B55="","",COUNTIF(成本费用登记表!$C$4:$C$303,$B55))</f>
        <v/>
      </c>
      <c r="D55" s="41" t="str">
        <f aca="false">IF($B55="","",ROUND(SUMIF(成本费用登记表!$C$4:$C$303,$B55,成本费用登记表!$H$4:$H$303),2))</f>
        <v/>
      </c>
      <c r="E55" s="41" t="str">
        <f aca="false">IF($B55="","",ROUND(SUMIF(成本费用登记表!$C$4:$C$303,$B55,成本费用登记表!$AA$4:$AA$303),2))</f>
        <v/>
      </c>
      <c r="F55" s="41" t="str">
        <f aca="false">IF($B55="","",ROUND(N($D55)-N($E55),2))</f>
        <v/>
      </c>
      <c r="G55" s="144" t="str">
        <f aca="false">IF(OR($B55="",N($C55)=0),"",IFERROR(INDEX(成本费用登记表!$B$4:$B$303,MATCH($B55,成本费用登记表!$C$4:$C$303,0)),""))</f>
        <v/>
      </c>
      <c r="H55" s="39" t="str">
        <f aca="false">IF(OR($B55="",N($C55)=0),"",IFERROR(INDEX(成本费用登记表!$D$4:$D$303,MATCH($B55,成本费用登记表!$C$4:$C$303,0)),""))</f>
        <v/>
      </c>
      <c r="I55" s="39" t="str">
        <f aca="false">IF($B55="","",IF(N($F55)&gt;0,"⚠ 尚欠 "&amp;TEXT(N($F55),"#,##0.00")&amp;" 元","✔ 已结清"))</f>
        <v/>
      </c>
    </row>
    <row r="56" customFormat="false" ht="13.5" hidden="false" customHeight="false" outlineLevel="0" collapsed="false">
      <c r="A56" s="9" t="str">
        <f aca="false">IF($B56="","",ROW()-3)</f>
        <v/>
      </c>
      <c r="B56" s="39" t="str">
        <f aca="false">IFERROR(INDEX(_自动清单!$AD$4:$AD$153,ROW()-3),"")</f>
        <v/>
      </c>
      <c r="C56" s="51" t="str">
        <f aca="false">IF($B56="","",COUNTIF(成本费用登记表!$C$4:$C$303,$B56))</f>
        <v/>
      </c>
      <c r="D56" s="41" t="str">
        <f aca="false">IF($B56="","",ROUND(SUMIF(成本费用登记表!$C$4:$C$303,$B56,成本费用登记表!$H$4:$H$303),2))</f>
        <v/>
      </c>
      <c r="E56" s="41" t="str">
        <f aca="false">IF($B56="","",ROUND(SUMIF(成本费用登记表!$C$4:$C$303,$B56,成本费用登记表!$AA$4:$AA$303),2))</f>
        <v/>
      </c>
      <c r="F56" s="41" t="str">
        <f aca="false">IF($B56="","",ROUND(N($D56)-N($E56),2))</f>
        <v/>
      </c>
      <c r="G56" s="144" t="str">
        <f aca="false">IF(OR($B56="",N($C56)=0),"",IFERROR(INDEX(成本费用登记表!$B$4:$B$303,MATCH($B56,成本费用登记表!$C$4:$C$303,0)),""))</f>
        <v/>
      </c>
      <c r="H56" s="39" t="str">
        <f aca="false">IF(OR($B56="",N($C56)=0),"",IFERROR(INDEX(成本费用登记表!$D$4:$D$303,MATCH($B56,成本费用登记表!$C$4:$C$303,0)),""))</f>
        <v/>
      </c>
      <c r="I56" s="39" t="str">
        <f aca="false">IF($B56="","",IF(N($F56)&gt;0,"⚠ 尚欠 "&amp;TEXT(N($F56),"#,##0.00")&amp;" 元","✔ 已结清"))</f>
        <v/>
      </c>
    </row>
    <row r="57" customFormat="false" ht="13.5" hidden="false" customHeight="false" outlineLevel="0" collapsed="false">
      <c r="A57" s="9" t="str">
        <f aca="false">IF($B57="","",ROW()-3)</f>
        <v/>
      </c>
      <c r="B57" s="39" t="str">
        <f aca="false">IFERROR(INDEX(_自动清单!$AD$4:$AD$153,ROW()-3),"")</f>
        <v/>
      </c>
      <c r="C57" s="51" t="str">
        <f aca="false">IF($B57="","",COUNTIF(成本费用登记表!$C$4:$C$303,$B57))</f>
        <v/>
      </c>
      <c r="D57" s="41" t="str">
        <f aca="false">IF($B57="","",ROUND(SUMIF(成本费用登记表!$C$4:$C$303,$B57,成本费用登记表!$H$4:$H$303),2))</f>
        <v/>
      </c>
      <c r="E57" s="41" t="str">
        <f aca="false">IF($B57="","",ROUND(SUMIF(成本费用登记表!$C$4:$C$303,$B57,成本费用登记表!$AA$4:$AA$303),2))</f>
        <v/>
      </c>
      <c r="F57" s="41" t="str">
        <f aca="false">IF($B57="","",ROUND(N($D57)-N($E57),2))</f>
        <v/>
      </c>
      <c r="G57" s="144" t="str">
        <f aca="false">IF(OR($B57="",N($C57)=0),"",IFERROR(INDEX(成本费用登记表!$B$4:$B$303,MATCH($B57,成本费用登记表!$C$4:$C$303,0)),""))</f>
        <v/>
      </c>
      <c r="H57" s="39" t="str">
        <f aca="false">IF(OR($B57="",N($C57)=0),"",IFERROR(INDEX(成本费用登记表!$D$4:$D$303,MATCH($B57,成本费用登记表!$C$4:$C$303,0)),""))</f>
        <v/>
      </c>
      <c r="I57" s="39" t="str">
        <f aca="false">IF($B57="","",IF(N($F57)&gt;0,"⚠ 尚欠 "&amp;TEXT(N($F57),"#,##0.00")&amp;" 元","✔ 已结清"))</f>
        <v/>
      </c>
    </row>
    <row r="58" customFormat="false" ht="13.5" hidden="false" customHeight="false" outlineLevel="0" collapsed="false">
      <c r="A58" s="9" t="str">
        <f aca="false">IF($B58="","",ROW()-3)</f>
        <v/>
      </c>
      <c r="B58" s="39" t="str">
        <f aca="false">IFERROR(INDEX(_自动清单!$AD$4:$AD$153,ROW()-3),"")</f>
        <v/>
      </c>
      <c r="C58" s="51" t="str">
        <f aca="false">IF($B58="","",COUNTIF(成本费用登记表!$C$4:$C$303,$B58))</f>
        <v/>
      </c>
      <c r="D58" s="41" t="str">
        <f aca="false">IF($B58="","",ROUND(SUMIF(成本费用登记表!$C$4:$C$303,$B58,成本费用登记表!$H$4:$H$303),2))</f>
        <v/>
      </c>
      <c r="E58" s="41" t="str">
        <f aca="false">IF($B58="","",ROUND(SUMIF(成本费用登记表!$C$4:$C$303,$B58,成本费用登记表!$AA$4:$AA$303),2))</f>
        <v/>
      </c>
      <c r="F58" s="41" t="str">
        <f aca="false">IF($B58="","",ROUND(N($D58)-N($E58),2))</f>
        <v/>
      </c>
      <c r="G58" s="144" t="str">
        <f aca="false">IF(OR($B58="",N($C58)=0),"",IFERROR(INDEX(成本费用登记表!$B$4:$B$303,MATCH($B58,成本费用登记表!$C$4:$C$303,0)),""))</f>
        <v/>
      </c>
      <c r="H58" s="39" t="str">
        <f aca="false">IF(OR($B58="",N($C58)=0),"",IFERROR(INDEX(成本费用登记表!$D$4:$D$303,MATCH($B58,成本费用登记表!$C$4:$C$303,0)),""))</f>
        <v/>
      </c>
      <c r="I58" s="39" t="str">
        <f aca="false">IF($B58="","",IF(N($F58)&gt;0,"⚠ 尚欠 "&amp;TEXT(N($F58),"#,##0.00")&amp;" 元","✔ 已结清"))</f>
        <v/>
      </c>
    </row>
    <row r="59" customFormat="false" ht="13.5" hidden="false" customHeight="false" outlineLevel="0" collapsed="false">
      <c r="A59" s="9" t="str">
        <f aca="false">IF($B59="","",ROW()-3)</f>
        <v/>
      </c>
      <c r="B59" s="39" t="str">
        <f aca="false">IFERROR(INDEX(_自动清单!$AD$4:$AD$153,ROW()-3),"")</f>
        <v/>
      </c>
      <c r="C59" s="51" t="str">
        <f aca="false">IF($B59="","",COUNTIF(成本费用登记表!$C$4:$C$303,$B59))</f>
        <v/>
      </c>
      <c r="D59" s="41" t="str">
        <f aca="false">IF($B59="","",ROUND(SUMIF(成本费用登记表!$C$4:$C$303,$B59,成本费用登记表!$H$4:$H$303),2))</f>
        <v/>
      </c>
      <c r="E59" s="41" t="str">
        <f aca="false">IF($B59="","",ROUND(SUMIF(成本费用登记表!$C$4:$C$303,$B59,成本费用登记表!$AA$4:$AA$303),2))</f>
        <v/>
      </c>
      <c r="F59" s="41" t="str">
        <f aca="false">IF($B59="","",ROUND(N($D59)-N($E59),2))</f>
        <v/>
      </c>
      <c r="G59" s="144" t="str">
        <f aca="false">IF(OR($B59="",N($C59)=0),"",IFERROR(INDEX(成本费用登记表!$B$4:$B$303,MATCH($B59,成本费用登记表!$C$4:$C$303,0)),""))</f>
        <v/>
      </c>
      <c r="H59" s="39" t="str">
        <f aca="false">IF(OR($B59="",N($C59)=0),"",IFERROR(INDEX(成本费用登记表!$D$4:$D$303,MATCH($B59,成本费用登记表!$C$4:$C$303,0)),""))</f>
        <v/>
      </c>
      <c r="I59" s="39" t="str">
        <f aca="false">IF($B59="","",IF(N($F59)&gt;0,"⚠ 尚欠 "&amp;TEXT(N($F59),"#,##0.00")&amp;" 元","✔ 已结清"))</f>
        <v/>
      </c>
    </row>
    <row r="60" customFormat="false" ht="13.5" hidden="false" customHeight="false" outlineLevel="0" collapsed="false">
      <c r="A60" s="9" t="str">
        <f aca="false">IF($B60="","",ROW()-3)</f>
        <v/>
      </c>
      <c r="B60" s="39" t="str">
        <f aca="false">IFERROR(INDEX(_自动清单!$AD$4:$AD$153,ROW()-3),"")</f>
        <v/>
      </c>
      <c r="C60" s="51" t="str">
        <f aca="false">IF($B60="","",COUNTIF(成本费用登记表!$C$4:$C$303,$B60))</f>
        <v/>
      </c>
      <c r="D60" s="41" t="str">
        <f aca="false">IF($B60="","",ROUND(SUMIF(成本费用登记表!$C$4:$C$303,$B60,成本费用登记表!$H$4:$H$303),2))</f>
        <v/>
      </c>
      <c r="E60" s="41" t="str">
        <f aca="false">IF($B60="","",ROUND(SUMIF(成本费用登记表!$C$4:$C$303,$B60,成本费用登记表!$AA$4:$AA$303),2))</f>
        <v/>
      </c>
      <c r="F60" s="41" t="str">
        <f aca="false">IF($B60="","",ROUND(N($D60)-N($E60),2))</f>
        <v/>
      </c>
      <c r="G60" s="144" t="str">
        <f aca="false">IF(OR($B60="",N($C60)=0),"",IFERROR(INDEX(成本费用登记表!$B$4:$B$303,MATCH($B60,成本费用登记表!$C$4:$C$303,0)),""))</f>
        <v/>
      </c>
      <c r="H60" s="39" t="str">
        <f aca="false">IF(OR($B60="",N($C60)=0),"",IFERROR(INDEX(成本费用登记表!$D$4:$D$303,MATCH($B60,成本费用登记表!$C$4:$C$303,0)),""))</f>
        <v/>
      </c>
      <c r="I60" s="39" t="str">
        <f aca="false">IF($B60="","",IF(N($F60)&gt;0,"⚠ 尚欠 "&amp;TEXT(N($F60),"#,##0.00")&amp;" 元","✔ 已结清"))</f>
        <v/>
      </c>
    </row>
    <row r="61" customFormat="false" ht="13.5" hidden="false" customHeight="false" outlineLevel="0" collapsed="false">
      <c r="A61" s="9" t="str">
        <f aca="false">IF($B61="","",ROW()-3)</f>
        <v/>
      </c>
      <c r="B61" s="39" t="str">
        <f aca="false">IFERROR(INDEX(_自动清单!$AD$4:$AD$153,ROW()-3),"")</f>
        <v/>
      </c>
      <c r="C61" s="51" t="str">
        <f aca="false">IF($B61="","",COUNTIF(成本费用登记表!$C$4:$C$303,$B61))</f>
        <v/>
      </c>
      <c r="D61" s="41" t="str">
        <f aca="false">IF($B61="","",ROUND(SUMIF(成本费用登记表!$C$4:$C$303,$B61,成本费用登记表!$H$4:$H$303),2))</f>
        <v/>
      </c>
      <c r="E61" s="41" t="str">
        <f aca="false">IF($B61="","",ROUND(SUMIF(成本费用登记表!$C$4:$C$303,$B61,成本费用登记表!$AA$4:$AA$303),2))</f>
        <v/>
      </c>
      <c r="F61" s="41" t="str">
        <f aca="false">IF($B61="","",ROUND(N($D61)-N($E61),2))</f>
        <v/>
      </c>
      <c r="G61" s="144" t="str">
        <f aca="false">IF(OR($B61="",N($C61)=0),"",IFERROR(INDEX(成本费用登记表!$B$4:$B$303,MATCH($B61,成本费用登记表!$C$4:$C$303,0)),""))</f>
        <v/>
      </c>
      <c r="H61" s="39" t="str">
        <f aca="false">IF(OR($B61="",N($C61)=0),"",IFERROR(INDEX(成本费用登记表!$D$4:$D$303,MATCH($B61,成本费用登记表!$C$4:$C$303,0)),""))</f>
        <v/>
      </c>
      <c r="I61" s="39" t="str">
        <f aca="false">IF($B61="","",IF(N($F61)&gt;0,"⚠ 尚欠 "&amp;TEXT(N($F61),"#,##0.00")&amp;" 元","✔ 已结清"))</f>
        <v/>
      </c>
    </row>
    <row r="62" customFormat="false" ht="13.5" hidden="false" customHeight="false" outlineLevel="0" collapsed="false">
      <c r="A62" s="9" t="str">
        <f aca="false">IF($B62="","",ROW()-3)</f>
        <v/>
      </c>
      <c r="B62" s="39" t="str">
        <f aca="false">IFERROR(INDEX(_自动清单!$AD$4:$AD$153,ROW()-3),"")</f>
        <v/>
      </c>
      <c r="C62" s="51" t="str">
        <f aca="false">IF($B62="","",COUNTIF(成本费用登记表!$C$4:$C$303,$B62))</f>
        <v/>
      </c>
      <c r="D62" s="41" t="str">
        <f aca="false">IF($B62="","",ROUND(SUMIF(成本费用登记表!$C$4:$C$303,$B62,成本费用登记表!$H$4:$H$303),2))</f>
        <v/>
      </c>
      <c r="E62" s="41" t="str">
        <f aca="false">IF($B62="","",ROUND(SUMIF(成本费用登记表!$C$4:$C$303,$B62,成本费用登记表!$AA$4:$AA$303),2))</f>
        <v/>
      </c>
      <c r="F62" s="41" t="str">
        <f aca="false">IF($B62="","",ROUND(N($D62)-N($E62),2))</f>
        <v/>
      </c>
      <c r="G62" s="144" t="str">
        <f aca="false">IF(OR($B62="",N($C62)=0),"",IFERROR(INDEX(成本费用登记表!$B$4:$B$303,MATCH($B62,成本费用登记表!$C$4:$C$303,0)),""))</f>
        <v/>
      </c>
      <c r="H62" s="39" t="str">
        <f aca="false">IF(OR($B62="",N($C62)=0),"",IFERROR(INDEX(成本费用登记表!$D$4:$D$303,MATCH($B62,成本费用登记表!$C$4:$C$303,0)),""))</f>
        <v/>
      </c>
      <c r="I62" s="39" t="str">
        <f aca="false">IF($B62="","",IF(N($F62)&gt;0,"⚠ 尚欠 "&amp;TEXT(N($F62),"#,##0.00")&amp;" 元","✔ 已结清"))</f>
        <v/>
      </c>
    </row>
    <row r="63" customFormat="false" ht="13.5" hidden="false" customHeight="false" outlineLevel="0" collapsed="false">
      <c r="A63" s="9" t="str">
        <f aca="false">IF($B63="","",ROW()-3)</f>
        <v/>
      </c>
      <c r="B63" s="39" t="str">
        <f aca="false">IFERROR(INDEX(_自动清单!$AD$4:$AD$153,ROW()-3),"")</f>
        <v/>
      </c>
      <c r="C63" s="51" t="str">
        <f aca="false">IF($B63="","",COUNTIF(成本费用登记表!$C$4:$C$303,$B63))</f>
        <v/>
      </c>
      <c r="D63" s="41" t="str">
        <f aca="false">IF($B63="","",ROUND(SUMIF(成本费用登记表!$C$4:$C$303,$B63,成本费用登记表!$H$4:$H$303),2))</f>
        <v/>
      </c>
      <c r="E63" s="41" t="str">
        <f aca="false">IF($B63="","",ROUND(SUMIF(成本费用登记表!$C$4:$C$303,$B63,成本费用登记表!$AA$4:$AA$303),2))</f>
        <v/>
      </c>
      <c r="F63" s="41" t="str">
        <f aca="false">IF($B63="","",ROUND(N($D63)-N($E63),2))</f>
        <v/>
      </c>
      <c r="G63" s="144" t="str">
        <f aca="false">IF(OR($B63="",N($C63)=0),"",IFERROR(INDEX(成本费用登记表!$B$4:$B$303,MATCH($B63,成本费用登记表!$C$4:$C$303,0)),""))</f>
        <v/>
      </c>
      <c r="H63" s="39" t="str">
        <f aca="false">IF(OR($B63="",N($C63)=0),"",IFERROR(INDEX(成本费用登记表!$D$4:$D$303,MATCH($B63,成本费用登记表!$C$4:$C$303,0)),""))</f>
        <v/>
      </c>
      <c r="I63" s="39" t="str">
        <f aca="false">IF($B63="","",IF(N($F63)&gt;0,"⚠ 尚欠 "&amp;TEXT(N($F63),"#,##0.00")&amp;" 元","✔ 已结清"))</f>
        <v/>
      </c>
    </row>
    <row r="64" customFormat="false" ht="13.5" hidden="false" customHeight="false" outlineLevel="0" collapsed="false">
      <c r="A64" s="9" t="str">
        <f aca="false">IF($B64="","",ROW()-3)</f>
        <v/>
      </c>
      <c r="B64" s="39" t="str">
        <f aca="false">IFERROR(INDEX(_自动清单!$AD$4:$AD$153,ROW()-3),"")</f>
        <v/>
      </c>
      <c r="C64" s="51" t="str">
        <f aca="false">IF($B64="","",COUNTIF(成本费用登记表!$C$4:$C$303,$B64))</f>
        <v/>
      </c>
      <c r="D64" s="41" t="str">
        <f aca="false">IF($B64="","",ROUND(SUMIF(成本费用登记表!$C$4:$C$303,$B64,成本费用登记表!$H$4:$H$303),2))</f>
        <v/>
      </c>
      <c r="E64" s="41" t="str">
        <f aca="false">IF($B64="","",ROUND(SUMIF(成本费用登记表!$C$4:$C$303,$B64,成本费用登记表!$AA$4:$AA$303),2))</f>
        <v/>
      </c>
      <c r="F64" s="41" t="str">
        <f aca="false">IF($B64="","",ROUND(N($D64)-N($E64),2))</f>
        <v/>
      </c>
      <c r="G64" s="144" t="str">
        <f aca="false">IF(OR($B64="",N($C64)=0),"",IFERROR(INDEX(成本费用登记表!$B$4:$B$303,MATCH($B64,成本费用登记表!$C$4:$C$303,0)),""))</f>
        <v/>
      </c>
      <c r="H64" s="39" t="str">
        <f aca="false">IF(OR($B64="",N($C64)=0),"",IFERROR(INDEX(成本费用登记表!$D$4:$D$303,MATCH($B64,成本费用登记表!$C$4:$C$303,0)),""))</f>
        <v/>
      </c>
      <c r="I64" s="39" t="str">
        <f aca="false">IF($B64="","",IF(N($F64)&gt;0,"⚠ 尚欠 "&amp;TEXT(N($F64),"#,##0.00")&amp;" 元","✔ 已结清"))</f>
        <v/>
      </c>
    </row>
    <row r="65" customFormat="false" ht="13.5" hidden="false" customHeight="false" outlineLevel="0" collapsed="false">
      <c r="A65" s="9" t="str">
        <f aca="false">IF($B65="","",ROW()-3)</f>
        <v/>
      </c>
      <c r="B65" s="39" t="str">
        <f aca="false">IFERROR(INDEX(_自动清单!$AD$4:$AD$153,ROW()-3),"")</f>
        <v/>
      </c>
      <c r="C65" s="51" t="str">
        <f aca="false">IF($B65="","",COUNTIF(成本费用登记表!$C$4:$C$303,$B65))</f>
        <v/>
      </c>
      <c r="D65" s="41" t="str">
        <f aca="false">IF($B65="","",ROUND(SUMIF(成本费用登记表!$C$4:$C$303,$B65,成本费用登记表!$H$4:$H$303),2))</f>
        <v/>
      </c>
      <c r="E65" s="41" t="str">
        <f aca="false">IF($B65="","",ROUND(SUMIF(成本费用登记表!$C$4:$C$303,$B65,成本费用登记表!$AA$4:$AA$303),2))</f>
        <v/>
      </c>
      <c r="F65" s="41" t="str">
        <f aca="false">IF($B65="","",ROUND(N($D65)-N($E65),2))</f>
        <v/>
      </c>
      <c r="G65" s="144" t="str">
        <f aca="false">IF(OR($B65="",N($C65)=0),"",IFERROR(INDEX(成本费用登记表!$B$4:$B$303,MATCH($B65,成本费用登记表!$C$4:$C$303,0)),""))</f>
        <v/>
      </c>
      <c r="H65" s="39" t="str">
        <f aca="false">IF(OR($B65="",N($C65)=0),"",IFERROR(INDEX(成本费用登记表!$D$4:$D$303,MATCH($B65,成本费用登记表!$C$4:$C$303,0)),""))</f>
        <v/>
      </c>
      <c r="I65" s="39" t="str">
        <f aca="false">IF($B65="","",IF(N($F65)&gt;0,"⚠ 尚欠 "&amp;TEXT(N($F65),"#,##0.00")&amp;" 元","✔ 已结清"))</f>
        <v/>
      </c>
    </row>
    <row r="66" customFormat="false" ht="13.5" hidden="false" customHeight="false" outlineLevel="0" collapsed="false">
      <c r="A66" s="9" t="str">
        <f aca="false">IF($B66="","",ROW()-3)</f>
        <v/>
      </c>
      <c r="B66" s="39" t="str">
        <f aca="false">IFERROR(INDEX(_自动清单!$AD$4:$AD$153,ROW()-3),"")</f>
        <v/>
      </c>
      <c r="C66" s="51" t="str">
        <f aca="false">IF($B66="","",COUNTIF(成本费用登记表!$C$4:$C$303,$B66))</f>
        <v/>
      </c>
      <c r="D66" s="41" t="str">
        <f aca="false">IF($B66="","",ROUND(SUMIF(成本费用登记表!$C$4:$C$303,$B66,成本费用登记表!$H$4:$H$303),2))</f>
        <v/>
      </c>
      <c r="E66" s="41" t="str">
        <f aca="false">IF($B66="","",ROUND(SUMIF(成本费用登记表!$C$4:$C$303,$B66,成本费用登记表!$AA$4:$AA$303),2))</f>
        <v/>
      </c>
      <c r="F66" s="41" t="str">
        <f aca="false">IF($B66="","",ROUND(N($D66)-N($E66),2))</f>
        <v/>
      </c>
      <c r="G66" s="144" t="str">
        <f aca="false">IF(OR($B66="",N($C66)=0),"",IFERROR(INDEX(成本费用登记表!$B$4:$B$303,MATCH($B66,成本费用登记表!$C$4:$C$303,0)),""))</f>
        <v/>
      </c>
      <c r="H66" s="39" t="str">
        <f aca="false">IF(OR($B66="",N($C66)=0),"",IFERROR(INDEX(成本费用登记表!$D$4:$D$303,MATCH($B66,成本费用登记表!$C$4:$C$303,0)),""))</f>
        <v/>
      </c>
      <c r="I66" s="39" t="str">
        <f aca="false">IF($B66="","",IF(N($F66)&gt;0,"⚠ 尚欠 "&amp;TEXT(N($F66),"#,##0.00")&amp;" 元","✔ 已结清"))</f>
        <v/>
      </c>
    </row>
    <row r="67" customFormat="false" ht="13.5" hidden="false" customHeight="false" outlineLevel="0" collapsed="false">
      <c r="A67" s="9" t="str">
        <f aca="false">IF($B67="","",ROW()-3)</f>
        <v/>
      </c>
      <c r="B67" s="39" t="str">
        <f aca="false">IFERROR(INDEX(_自动清单!$AD$4:$AD$153,ROW()-3),"")</f>
        <v/>
      </c>
      <c r="C67" s="51" t="str">
        <f aca="false">IF($B67="","",COUNTIF(成本费用登记表!$C$4:$C$303,$B67))</f>
        <v/>
      </c>
      <c r="D67" s="41" t="str">
        <f aca="false">IF($B67="","",ROUND(SUMIF(成本费用登记表!$C$4:$C$303,$B67,成本费用登记表!$H$4:$H$303),2))</f>
        <v/>
      </c>
      <c r="E67" s="41" t="str">
        <f aca="false">IF($B67="","",ROUND(SUMIF(成本费用登记表!$C$4:$C$303,$B67,成本费用登记表!$AA$4:$AA$303),2))</f>
        <v/>
      </c>
      <c r="F67" s="41" t="str">
        <f aca="false">IF($B67="","",ROUND(N($D67)-N($E67),2))</f>
        <v/>
      </c>
      <c r="G67" s="144" t="str">
        <f aca="false">IF(OR($B67="",N($C67)=0),"",IFERROR(INDEX(成本费用登记表!$B$4:$B$303,MATCH($B67,成本费用登记表!$C$4:$C$303,0)),""))</f>
        <v/>
      </c>
      <c r="H67" s="39" t="str">
        <f aca="false">IF(OR($B67="",N($C67)=0),"",IFERROR(INDEX(成本费用登记表!$D$4:$D$303,MATCH($B67,成本费用登记表!$C$4:$C$303,0)),""))</f>
        <v/>
      </c>
      <c r="I67" s="39" t="str">
        <f aca="false">IF($B67="","",IF(N($F67)&gt;0,"⚠ 尚欠 "&amp;TEXT(N($F67),"#,##0.00")&amp;" 元","✔ 已结清"))</f>
        <v/>
      </c>
    </row>
    <row r="68" customFormat="false" ht="13.5" hidden="false" customHeight="false" outlineLevel="0" collapsed="false">
      <c r="A68" s="9" t="str">
        <f aca="false">IF($B68="","",ROW()-3)</f>
        <v/>
      </c>
      <c r="B68" s="39" t="str">
        <f aca="false">IFERROR(INDEX(_自动清单!$AD$4:$AD$153,ROW()-3),"")</f>
        <v/>
      </c>
      <c r="C68" s="51" t="str">
        <f aca="false">IF($B68="","",COUNTIF(成本费用登记表!$C$4:$C$303,$B68))</f>
        <v/>
      </c>
      <c r="D68" s="41" t="str">
        <f aca="false">IF($B68="","",ROUND(SUMIF(成本费用登记表!$C$4:$C$303,$B68,成本费用登记表!$H$4:$H$303),2))</f>
        <v/>
      </c>
      <c r="E68" s="41" t="str">
        <f aca="false">IF($B68="","",ROUND(SUMIF(成本费用登记表!$C$4:$C$303,$B68,成本费用登记表!$AA$4:$AA$303),2))</f>
        <v/>
      </c>
      <c r="F68" s="41" t="str">
        <f aca="false">IF($B68="","",ROUND(N($D68)-N($E68),2))</f>
        <v/>
      </c>
      <c r="G68" s="144" t="str">
        <f aca="false">IF(OR($B68="",N($C68)=0),"",IFERROR(INDEX(成本费用登记表!$B$4:$B$303,MATCH($B68,成本费用登记表!$C$4:$C$303,0)),""))</f>
        <v/>
      </c>
      <c r="H68" s="39" t="str">
        <f aca="false">IF(OR($B68="",N($C68)=0),"",IFERROR(INDEX(成本费用登记表!$D$4:$D$303,MATCH($B68,成本费用登记表!$C$4:$C$303,0)),""))</f>
        <v/>
      </c>
      <c r="I68" s="39" t="str">
        <f aca="false">IF($B68="","",IF(N($F68)&gt;0,"⚠ 尚欠 "&amp;TEXT(N($F68),"#,##0.00")&amp;" 元","✔ 已结清"))</f>
        <v/>
      </c>
    </row>
    <row r="69" customFormat="false" ht="13.5" hidden="false" customHeight="false" outlineLevel="0" collapsed="false">
      <c r="A69" s="9" t="str">
        <f aca="false">IF($B69="","",ROW()-3)</f>
        <v/>
      </c>
      <c r="B69" s="39" t="str">
        <f aca="false">IFERROR(INDEX(_自动清单!$AD$4:$AD$153,ROW()-3),"")</f>
        <v/>
      </c>
      <c r="C69" s="51" t="str">
        <f aca="false">IF($B69="","",COUNTIF(成本费用登记表!$C$4:$C$303,$B69))</f>
        <v/>
      </c>
      <c r="D69" s="41" t="str">
        <f aca="false">IF($B69="","",ROUND(SUMIF(成本费用登记表!$C$4:$C$303,$B69,成本费用登记表!$H$4:$H$303),2))</f>
        <v/>
      </c>
      <c r="E69" s="41" t="str">
        <f aca="false">IF($B69="","",ROUND(SUMIF(成本费用登记表!$C$4:$C$303,$B69,成本费用登记表!$AA$4:$AA$303),2))</f>
        <v/>
      </c>
      <c r="F69" s="41" t="str">
        <f aca="false">IF($B69="","",ROUND(N($D69)-N($E69),2))</f>
        <v/>
      </c>
      <c r="G69" s="144" t="str">
        <f aca="false">IF(OR($B69="",N($C69)=0),"",IFERROR(INDEX(成本费用登记表!$B$4:$B$303,MATCH($B69,成本费用登记表!$C$4:$C$303,0)),""))</f>
        <v/>
      </c>
      <c r="H69" s="39" t="str">
        <f aca="false">IF(OR($B69="",N($C69)=0),"",IFERROR(INDEX(成本费用登记表!$D$4:$D$303,MATCH($B69,成本费用登记表!$C$4:$C$303,0)),""))</f>
        <v/>
      </c>
      <c r="I69" s="39" t="str">
        <f aca="false">IF($B69="","",IF(N($F69)&gt;0,"⚠ 尚欠 "&amp;TEXT(N($F69),"#,##0.00")&amp;" 元","✔ 已结清"))</f>
        <v/>
      </c>
    </row>
    <row r="70" customFormat="false" ht="13.5" hidden="false" customHeight="false" outlineLevel="0" collapsed="false">
      <c r="A70" s="9" t="str">
        <f aca="false">IF($B70="","",ROW()-3)</f>
        <v/>
      </c>
      <c r="B70" s="39" t="str">
        <f aca="false">IFERROR(INDEX(_自动清单!$AD$4:$AD$153,ROW()-3),"")</f>
        <v/>
      </c>
      <c r="C70" s="51" t="str">
        <f aca="false">IF($B70="","",COUNTIF(成本费用登记表!$C$4:$C$303,$B70))</f>
        <v/>
      </c>
      <c r="D70" s="41" t="str">
        <f aca="false">IF($B70="","",ROUND(SUMIF(成本费用登记表!$C$4:$C$303,$B70,成本费用登记表!$H$4:$H$303),2))</f>
        <v/>
      </c>
      <c r="E70" s="41" t="str">
        <f aca="false">IF($B70="","",ROUND(SUMIF(成本费用登记表!$C$4:$C$303,$B70,成本费用登记表!$AA$4:$AA$303),2))</f>
        <v/>
      </c>
      <c r="F70" s="41" t="str">
        <f aca="false">IF($B70="","",ROUND(N($D70)-N($E70),2))</f>
        <v/>
      </c>
      <c r="G70" s="144" t="str">
        <f aca="false">IF(OR($B70="",N($C70)=0),"",IFERROR(INDEX(成本费用登记表!$B$4:$B$303,MATCH($B70,成本费用登记表!$C$4:$C$303,0)),""))</f>
        <v/>
      </c>
      <c r="H70" s="39" t="str">
        <f aca="false">IF(OR($B70="",N($C70)=0),"",IFERROR(INDEX(成本费用登记表!$D$4:$D$303,MATCH($B70,成本费用登记表!$C$4:$C$303,0)),""))</f>
        <v/>
      </c>
      <c r="I70" s="39" t="str">
        <f aca="false">IF($B70="","",IF(N($F70)&gt;0,"⚠ 尚欠 "&amp;TEXT(N($F70),"#,##0.00")&amp;" 元","✔ 已结清"))</f>
        <v/>
      </c>
    </row>
    <row r="71" customFormat="false" ht="13.5" hidden="false" customHeight="false" outlineLevel="0" collapsed="false">
      <c r="A71" s="9" t="str">
        <f aca="false">IF($B71="","",ROW()-3)</f>
        <v/>
      </c>
      <c r="B71" s="39" t="str">
        <f aca="false">IFERROR(INDEX(_自动清单!$AD$4:$AD$153,ROW()-3),"")</f>
        <v/>
      </c>
      <c r="C71" s="51" t="str">
        <f aca="false">IF($B71="","",COUNTIF(成本费用登记表!$C$4:$C$303,$B71))</f>
        <v/>
      </c>
      <c r="D71" s="41" t="str">
        <f aca="false">IF($B71="","",ROUND(SUMIF(成本费用登记表!$C$4:$C$303,$B71,成本费用登记表!$H$4:$H$303),2))</f>
        <v/>
      </c>
      <c r="E71" s="41" t="str">
        <f aca="false">IF($B71="","",ROUND(SUMIF(成本费用登记表!$C$4:$C$303,$B71,成本费用登记表!$AA$4:$AA$303),2))</f>
        <v/>
      </c>
      <c r="F71" s="41" t="str">
        <f aca="false">IF($B71="","",ROUND(N($D71)-N($E71),2))</f>
        <v/>
      </c>
      <c r="G71" s="144" t="str">
        <f aca="false">IF(OR($B71="",N($C71)=0),"",IFERROR(INDEX(成本费用登记表!$B$4:$B$303,MATCH($B71,成本费用登记表!$C$4:$C$303,0)),""))</f>
        <v/>
      </c>
      <c r="H71" s="39" t="str">
        <f aca="false">IF(OR($B71="",N($C71)=0),"",IFERROR(INDEX(成本费用登记表!$D$4:$D$303,MATCH($B71,成本费用登记表!$C$4:$C$303,0)),""))</f>
        <v/>
      </c>
      <c r="I71" s="39" t="str">
        <f aca="false">IF($B71="","",IF(N($F71)&gt;0,"⚠ 尚欠 "&amp;TEXT(N($F71),"#,##0.00")&amp;" 元","✔ 已结清"))</f>
        <v/>
      </c>
    </row>
    <row r="72" customFormat="false" ht="13.5" hidden="false" customHeight="false" outlineLevel="0" collapsed="false">
      <c r="A72" s="9" t="str">
        <f aca="false">IF($B72="","",ROW()-3)</f>
        <v/>
      </c>
      <c r="B72" s="39" t="str">
        <f aca="false">IFERROR(INDEX(_自动清单!$AD$4:$AD$153,ROW()-3),"")</f>
        <v/>
      </c>
      <c r="C72" s="51" t="str">
        <f aca="false">IF($B72="","",COUNTIF(成本费用登记表!$C$4:$C$303,$B72))</f>
        <v/>
      </c>
      <c r="D72" s="41" t="str">
        <f aca="false">IF($B72="","",ROUND(SUMIF(成本费用登记表!$C$4:$C$303,$B72,成本费用登记表!$H$4:$H$303),2))</f>
        <v/>
      </c>
      <c r="E72" s="41" t="str">
        <f aca="false">IF($B72="","",ROUND(SUMIF(成本费用登记表!$C$4:$C$303,$B72,成本费用登记表!$AA$4:$AA$303),2))</f>
        <v/>
      </c>
      <c r="F72" s="41" t="str">
        <f aca="false">IF($B72="","",ROUND(N($D72)-N($E72),2))</f>
        <v/>
      </c>
      <c r="G72" s="144" t="str">
        <f aca="false">IF(OR($B72="",N($C72)=0),"",IFERROR(INDEX(成本费用登记表!$B$4:$B$303,MATCH($B72,成本费用登记表!$C$4:$C$303,0)),""))</f>
        <v/>
      </c>
      <c r="H72" s="39" t="str">
        <f aca="false">IF(OR($B72="",N($C72)=0),"",IFERROR(INDEX(成本费用登记表!$D$4:$D$303,MATCH($B72,成本费用登记表!$C$4:$C$303,0)),""))</f>
        <v/>
      </c>
      <c r="I72" s="39" t="str">
        <f aca="false">IF($B72="","",IF(N($F72)&gt;0,"⚠ 尚欠 "&amp;TEXT(N($F72),"#,##0.00")&amp;" 元","✔ 已结清"))</f>
        <v/>
      </c>
    </row>
    <row r="73" customFormat="false" ht="13.5" hidden="false" customHeight="false" outlineLevel="0" collapsed="false">
      <c r="A73" s="9" t="str">
        <f aca="false">IF($B73="","",ROW()-3)</f>
        <v/>
      </c>
      <c r="B73" s="39" t="str">
        <f aca="false">IFERROR(INDEX(_自动清单!$AD$4:$AD$153,ROW()-3),"")</f>
        <v/>
      </c>
      <c r="C73" s="51" t="str">
        <f aca="false">IF($B73="","",COUNTIF(成本费用登记表!$C$4:$C$303,$B73))</f>
        <v/>
      </c>
      <c r="D73" s="41" t="str">
        <f aca="false">IF($B73="","",ROUND(SUMIF(成本费用登记表!$C$4:$C$303,$B73,成本费用登记表!$H$4:$H$303),2))</f>
        <v/>
      </c>
      <c r="E73" s="41" t="str">
        <f aca="false">IF($B73="","",ROUND(SUMIF(成本费用登记表!$C$4:$C$303,$B73,成本费用登记表!$AA$4:$AA$303),2))</f>
        <v/>
      </c>
      <c r="F73" s="41" t="str">
        <f aca="false">IF($B73="","",ROUND(N($D73)-N($E73),2))</f>
        <v/>
      </c>
      <c r="G73" s="144" t="str">
        <f aca="false">IF(OR($B73="",N($C73)=0),"",IFERROR(INDEX(成本费用登记表!$B$4:$B$303,MATCH($B73,成本费用登记表!$C$4:$C$303,0)),""))</f>
        <v/>
      </c>
      <c r="H73" s="39" t="str">
        <f aca="false">IF(OR($B73="",N($C73)=0),"",IFERROR(INDEX(成本费用登记表!$D$4:$D$303,MATCH($B73,成本费用登记表!$C$4:$C$303,0)),""))</f>
        <v/>
      </c>
      <c r="I73" s="39" t="str">
        <f aca="false">IF($B73="","",IF(N($F73)&gt;0,"⚠ 尚欠 "&amp;TEXT(N($F73),"#,##0.00")&amp;" 元","✔ 已结清"))</f>
        <v/>
      </c>
    </row>
    <row r="74" customFormat="false" ht="13.5" hidden="false" customHeight="false" outlineLevel="0" collapsed="false">
      <c r="A74" s="9" t="str">
        <f aca="false">IF($B74="","",ROW()-3)</f>
        <v/>
      </c>
      <c r="B74" s="39" t="str">
        <f aca="false">IFERROR(INDEX(_自动清单!$AD$4:$AD$153,ROW()-3),"")</f>
        <v/>
      </c>
      <c r="C74" s="51" t="str">
        <f aca="false">IF($B74="","",COUNTIF(成本费用登记表!$C$4:$C$303,$B74))</f>
        <v/>
      </c>
      <c r="D74" s="41" t="str">
        <f aca="false">IF($B74="","",ROUND(SUMIF(成本费用登记表!$C$4:$C$303,$B74,成本费用登记表!$H$4:$H$303),2))</f>
        <v/>
      </c>
      <c r="E74" s="41" t="str">
        <f aca="false">IF($B74="","",ROUND(SUMIF(成本费用登记表!$C$4:$C$303,$B74,成本费用登记表!$AA$4:$AA$303),2))</f>
        <v/>
      </c>
      <c r="F74" s="41" t="str">
        <f aca="false">IF($B74="","",ROUND(N($D74)-N($E74),2))</f>
        <v/>
      </c>
      <c r="G74" s="144" t="str">
        <f aca="false">IF(OR($B74="",N($C74)=0),"",IFERROR(INDEX(成本费用登记表!$B$4:$B$303,MATCH($B74,成本费用登记表!$C$4:$C$303,0)),""))</f>
        <v/>
      </c>
      <c r="H74" s="39" t="str">
        <f aca="false">IF(OR($B74="",N($C74)=0),"",IFERROR(INDEX(成本费用登记表!$D$4:$D$303,MATCH($B74,成本费用登记表!$C$4:$C$303,0)),""))</f>
        <v/>
      </c>
      <c r="I74" s="39" t="str">
        <f aca="false">IF($B74="","",IF(N($F74)&gt;0,"⚠ 尚欠 "&amp;TEXT(N($F74),"#,##0.00")&amp;" 元","✔ 已结清"))</f>
        <v/>
      </c>
    </row>
    <row r="75" customFormat="false" ht="13.5" hidden="false" customHeight="false" outlineLevel="0" collapsed="false">
      <c r="A75" s="9" t="str">
        <f aca="false">IF($B75="","",ROW()-3)</f>
        <v/>
      </c>
      <c r="B75" s="39" t="str">
        <f aca="false">IFERROR(INDEX(_自动清单!$AD$4:$AD$153,ROW()-3),"")</f>
        <v/>
      </c>
      <c r="C75" s="51" t="str">
        <f aca="false">IF($B75="","",COUNTIF(成本费用登记表!$C$4:$C$303,$B75))</f>
        <v/>
      </c>
      <c r="D75" s="41" t="str">
        <f aca="false">IF($B75="","",ROUND(SUMIF(成本费用登记表!$C$4:$C$303,$B75,成本费用登记表!$H$4:$H$303),2))</f>
        <v/>
      </c>
      <c r="E75" s="41" t="str">
        <f aca="false">IF($B75="","",ROUND(SUMIF(成本费用登记表!$C$4:$C$303,$B75,成本费用登记表!$AA$4:$AA$303),2))</f>
        <v/>
      </c>
      <c r="F75" s="41" t="str">
        <f aca="false">IF($B75="","",ROUND(N($D75)-N($E75),2))</f>
        <v/>
      </c>
      <c r="G75" s="144" t="str">
        <f aca="false">IF(OR($B75="",N($C75)=0),"",IFERROR(INDEX(成本费用登记表!$B$4:$B$303,MATCH($B75,成本费用登记表!$C$4:$C$303,0)),""))</f>
        <v/>
      </c>
      <c r="H75" s="39" t="str">
        <f aca="false">IF(OR($B75="",N($C75)=0),"",IFERROR(INDEX(成本费用登记表!$D$4:$D$303,MATCH($B75,成本费用登记表!$C$4:$C$303,0)),""))</f>
        <v/>
      </c>
      <c r="I75" s="39" t="str">
        <f aca="false">IF($B75="","",IF(N($F75)&gt;0,"⚠ 尚欠 "&amp;TEXT(N($F75),"#,##0.00")&amp;" 元","✔ 已结清"))</f>
        <v/>
      </c>
    </row>
    <row r="76" customFormat="false" ht="13.5" hidden="false" customHeight="false" outlineLevel="0" collapsed="false">
      <c r="A76" s="9" t="str">
        <f aca="false">IF($B76="","",ROW()-3)</f>
        <v/>
      </c>
      <c r="B76" s="39" t="str">
        <f aca="false">IFERROR(INDEX(_自动清单!$AD$4:$AD$153,ROW()-3),"")</f>
        <v/>
      </c>
      <c r="C76" s="51" t="str">
        <f aca="false">IF($B76="","",COUNTIF(成本费用登记表!$C$4:$C$303,$B76))</f>
        <v/>
      </c>
      <c r="D76" s="41" t="str">
        <f aca="false">IF($B76="","",ROUND(SUMIF(成本费用登记表!$C$4:$C$303,$B76,成本费用登记表!$H$4:$H$303),2))</f>
        <v/>
      </c>
      <c r="E76" s="41" t="str">
        <f aca="false">IF($B76="","",ROUND(SUMIF(成本费用登记表!$C$4:$C$303,$B76,成本费用登记表!$AA$4:$AA$303),2))</f>
        <v/>
      </c>
      <c r="F76" s="41" t="str">
        <f aca="false">IF($B76="","",ROUND(N($D76)-N($E76),2))</f>
        <v/>
      </c>
      <c r="G76" s="144" t="str">
        <f aca="false">IF(OR($B76="",N($C76)=0),"",IFERROR(INDEX(成本费用登记表!$B$4:$B$303,MATCH($B76,成本费用登记表!$C$4:$C$303,0)),""))</f>
        <v/>
      </c>
      <c r="H76" s="39" t="str">
        <f aca="false">IF(OR($B76="",N($C76)=0),"",IFERROR(INDEX(成本费用登记表!$D$4:$D$303,MATCH($B76,成本费用登记表!$C$4:$C$303,0)),""))</f>
        <v/>
      </c>
      <c r="I76" s="39" t="str">
        <f aca="false">IF($B76="","",IF(N($F76)&gt;0,"⚠ 尚欠 "&amp;TEXT(N($F76),"#,##0.00")&amp;" 元","✔ 已结清"))</f>
        <v/>
      </c>
    </row>
    <row r="77" customFormat="false" ht="13.5" hidden="false" customHeight="false" outlineLevel="0" collapsed="false">
      <c r="A77" s="9" t="str">
        <f aca="false">IF($B77="","",ROW()-3)</f>
        <v/>
      </c>
      <c r="B77" s="39" t="str">
        <f aca="false">IFERROR(INDEX(_自动清单!$AD$4:$AD$153,ROW()-3),"")</f>
        <v/>
      </c>
      <c r="C77" s="51" t="str">
        <f aca="false">IF($B77="","",COUNTIF(成本费用登记表!$C$4:$C$303,$B77))</f>
        <v/>
      </c>
      <c r="D77" s="41" t="str">
        <f aca="false">IF($B77="","",ROUND(SUMIF(成本费用登记表!$C$4:$C$303,$B77,成本费用登记表!$H$4:$H$303),2))</f>
        <v/>
      </c>
      <c r="E77" s="41" t="str">
        <f aca="false">IF($B77="","",ROUND(SUMIF(成本费用登记表!$C$4:$C$303,$B77,成本费用登记表!$AA$4:$AA$303),2))</f>
        <v/>
      </c>
      <c r="F77" s="41" t="str">
        <f aca="false">IF($B77="","",ROUND(N($D77)-N($E77),2))</f>
        <v/>
      </c>
      <c r="G77" s="144" t="str">
        <f aca="false">IF(OR($B77="",N($C77)=0),"",IFERROR(INDEX(成本费用登记表!$B$4:$B$303,MATCH($B77,成本费用登记表!$C$4:$C$303,0)),""))</f>
        <v/>
      </c>
      <c r="H77" s="39" t="str">
        <f aca="false">IF(OR($B77="",N($C77)=0),"",IFERROR(INDEX(成本费用登记表!$D$4:$D$303,MATCH($B77,成本费用登记表!$C$4:$C$303,0)),""))</f>
        <v/>
      </c>
      <c r="I77" s="39" t="str">
        <f aca="false">IF($B77="","",IF(N($F77)&gt;0,"⚠ 尚欠 "&amp;TEXT(N($F77),"#,##0.00")&amp;" 元","✔ 已结清"))</f>
        <v/>
      </c>
    </row>
    <row r="78" customFormat="false" ht="13.5" hidden="false" customHeight="false" outlineLevel="0" collapsed="false">
      <c r="A78" s="9" t="str">
        <f aca="false">IF($B78="","",ROW()-3)</f>
        <v/>
      </c>
      <c r="B78" s="39" t="str">
        <f aca="false">IFERROR(INDEX(_自动清单!$AD$4:$AD$153,ROW()-3),"")</f>
        <v/>
      </c>
      <c r="C78" s="51" t="str">
        <f aca="false">IF($B78="","",COUNTIF(成本费用登记表!$C$4:$C$303,$B78))</f>
        <v/>
      </c>
      <c r="D78" s="41" t="str">
        <f aca="false">IF($B78="","",ROUND(SUMIF(成本费用登记表!$C$4:$C$303,$B78,成本费用登记表!$H$4:$H$303),2))</f>
        <v/>
      </c>
      <c r="E78" s="41" t="str">
        <f aca="false">IF($B78="","",ROUND(SUMIF(成本费用登记表!$C$4:$C$303,$B78,成本费用登记表!$AA$4:$AA$303),2))</f>
        <v/>
      </c>
      <c r="F78" s="41" t="str">
        <f aca="false">IF($B78="","",ROUND(N($D78)-N($E78),2))</f>
        <v/>
      </c>
      <c r="G78" s="144" t="str">
        <f aca="false">IF(OR($B78="",N($C78)=0),"",IFERROR(INDEX(成本费用登记表!$B$4:$B$303,MATCH($B78,成本费用登记表!$C$4:$C$303,0)),""))</f>
        <v/>
      </c>
      <c r="H78" s="39" t="str">
        <f aca="false">IF(OR($B78="",N($C78)=0),"",IFERROR(INDEX(成本费用登记表!$D$4:$D$303,MATCH($B78,成本费用登记表!$C$4:$C$303,0)),""))</f>
        <v/>
      </c>
      <c r="I78" s="39" t="str">
        <f aca="false">IF($B78="","",IF(N($F78)&gt;0,"⚠ 尚欠 "&amp;TEXT(N($F78),"#,##0.00")&amp;" 元","✔ 已结清"))</f>
        <v/>
      </c>
    </row>
    <row r="79" customFormat="false" ht="13.5" hidden="false" customHeight="false" outlineLevel="0" collapsed="false">
      <c r="A79" s="9" t="str">
        <f aca="false">IF($B79="","",ROW()-3)</f>
        <v/>
      </c>
      <c r="B79" s="39" t="str">
        <f aca="false">IFERROR(INDEX(_自动清单!$AD$4:$AD$153,ROW()-3),"")</f>
        <v/>
      </c>
      <c r="C79" s="51" t="str">
        <f aca="false">IF($B79="","",COUNTIF(成本费用登记表!$C$4:$C$303,$B79))</f>
        <v/>
      </c>
      <c r="D79" s="41" t="str">
        <f aca="false">IF($B79="","",ROUND(SUMIF(成本费用登记表!$C$4:$C$303,$B79,成本费用登记表!$H$4:$H$303),2))</f>
        <v/>
      </c>
      <c r="E79" s="41" t="str">
        <f aca="false">IF($B79="","",ROUND(SUMIF(成本费用登记表!$C$4:$C$303,$B79,成本费用登记表!$AA$4:$AA$303),2))</f>
        <v/>
      </c>
      <c r="F79" s="41" t="str">
        <f aca="false">IF($B79="","",ROUND(N($D79)-N($E79),2))</f>
        <v/>
      </c>
      <c r="G79" s="144" t="str">
        <f aca="false">IF(OR($B79="",N($C79)=0),"",IFERROR(INDEX(成本费用登记表!$B$4:$B$303,MATCH($B79,成本费用登记表!$C$4:$C$303,0)),""))</f>
        <v/>
      </c>
      <c r="H79" s="39" t="str">
        <f aca="false">IF(OR($B79="",N($C79)=0),"",IFERROR(INDEX(成本费用登记表!$D$4:$D$303,MATCH($B79,成本费用登记表!$C$4:$C$303,0)),""))</f>
        <v/>
      </c>
      <c r="I79" s="39" t="str">
        <f aca="false">IF($B79="","",IF(N($F79)&gt;0,"⚠ 尚欠 "&amp;TEXT(N($F79),"#,##0.00")&amp;" 元","✔ 已结清"))</f>
        <v/>
      </c>
    </row>
    <row r="80" customFormat="false" ht="13.5" hidden="false" customHeight="false" outlineLevel="0" collapsed="false">
      <c r="A80" s="9" t="str">
        <f aca="false">IF($B80="","",ROW()-3)</f>
        <v/>
      </c>
      <c r="B80" s="39" t="str">
        <f aca="false">IFERROR(INDEX(_自动清单!$AD$4:$AD$153,ROW()-3),"")</f>
        <v/>
      </c>
      <c r="C80" s="51" t="str">
        <f aca="false">IF($B80="","",COUNTIF(成本费用登记表!$C$4:$C$303,$B80))</f>
        <v/>
      </c>
      <c r="D80" s="41" t="str">
        <f aca="false">IF($B80="","",ROUND(SUMIF(成本费用登记表!$C$4:$C$303,$B80,成本费用登记表!$H$4:$H$303),2))</f>
        <v/>
      </c>
      <c r="E80" s="41" t="str">
        <f aca="false">IF($B80="","",ROUND(SUMIF(成本费用登记表!$C$4:$C$303,$B80,成本费用登记表!$AA$4:$AA$303),2))</f>
        <v/>
      </c>
      <c r="F80" s="41" t="str">
        <f aca="false">IF($B80="","",ROUND(N($D80)-N($E80),2))</f>
        <v/>
      </c>
      <c r="G80" s="144" t="str">
        <f aca="false">IF(OR($B80="",N($C80)=0),"",IFERROR(INDEX(成本费用登记表!$B$4:$B$303,MATCH($B80,成本费用登记表!$C$4:$C$303,0)),""))</f>
        <v/>
      </c>
      <c r="H80" s="39" t="str">
        <f aca="false">IF(OR($B80="",N($C80)=0),"",IFERROR(INDEX(成本费用登记表!$D$4:$D$303,MATCH($B80,成本费用登记表!$C$4:$C$303,0)),""))</f>
        <v/>
      </c>
      <c r="I80" s="39" t="str">
        <f aca="false">IF($B80="","",IF(N($F80)&gt;0,"⚠ 尚欠 "&amp;TEXT(N($F80),"#,##0.00")&amp;" 元","✔ 已结清"))</f>
        <v/>
      </c>
    </row>
    <row r="81" customFormat="false" ht="13.5" hidden="false" customHeight="false" outlineLevel="0" collapsed="false">
      <c r="A81" s="9" t="str">
        <f aca="false">IF($B81="","",ROW()-3)</f>
        <v/>
      </c>
      <c r="B81" s="39" t="str">
        <f aca="false">IFERROR(INDEX(_自动清单!$AD$4:$AD$153,ROW()-3),"")</f>
        <v/>
      </c>
      <c r="C81" s="51" t="str">
        <f aca="false">IF($B81="","",COUNTIF(成本费用登记表!$C$4:$C$303,$B81))</f>
        <v/>
      </c>
      <c r="D81" s="41" t="str">
        <f aca="false">IF($B81="","",ROUND(SUMIF(成本费用登记表!$C$4:$C$303,$B81,成本费用登记表!$H$4:$H$303),2))</f>
        <v/>
      </c>
      <c r="E81" s="41" t="str">
        <f aca="false">IF($B81="","",ROUND(SUMIF(成本费用登记表!$C$4:$C$303,$B81,成本费用登记表!$AA$4:$AA$303),2))</f>
        <v/>
      </c>
      <c r="F81" s="41" t="str">
        <f aca="false">IF($B81="","",ROUND(N($D81)-N($E81),2))</f>
        <v/>
      </c>
      <c r="G81" s="144" t="str">
        <f aca="false">IF(OR($B81="",N($C81)=0),"",IFERROR(INDEX(成本费用登记表!$B$4:$B$303,MATCH($B81,成本费用登记表!$C$4:$C$303,0)),""))</f>
        <v/>
      </c>
      <c r="H81" s="39" t="str">
        <f aca="false">IF(OR($B81="",N($C81)=0),"",IFERROR(INDEX(成本费用登记表!$D$4:$D$303,MATCH($B81,成本费用登记表!$C$4:$C$303,0)),""))</f>
        <v/>
      </c>
      <c r="I81" s="39" t="str">
        <f aca="false">IF($B81="","",IF(N($F81)&gt;0,"⚠ 尚欠 "&amp;TEXT(N($F81),"#,##0.00")&amp;" 元","✔ 已结清"))</f>
        <v/>
      </c>
    </row>
    <row r="82" customFormat="false" ht="13.5" hidden="false" customHeight="false" outlineLevel="0" collapsed="false">
      <c r="A82" s="9" t="str">
        <f aca="false">IF($B82="","",ROW()-3)</f>
        <v/>
      </c>
      <c r="B82" s="39" t="str">
        <f aca="false">IFERROR(INDEX(_自动清单!$AD$4:$AD$153,ROW()-3),"")</f>
        <v/>
      </c>
      <c r="C82" s="51" t="str">
        <f aca="false">IF($B82="","",COUNTIF(成本费用登记表!$C$4:$C$303,$B82))</f>
        <v/>
      </c>
      <c r="D82" s="41" t="str">
        <f aca="false">IF($B82="","",ROUND(SUMIF(成本费用登记表!$C$4:$C$303,$B82,成本费用登记表!$H$4:$H$303),2))</f>
        <v/>
      </c>
      <c r="E82" s="41" t="str">
        <f aca="false">IF($B82="","",ROUND(SUMIF(成本费用登记表!$C$4:$C$303,$B82,成本费用登记表!$AA$4:$AA$303),2))</f>
        <v/>
      </c>
      <c r="F82" s="41" t="str">
        <f aca="false">IF($B82="","",ROUND(N($D82)-N($E82),2))</f>
        <v/>
      </c>
      <c r="G82" s="144" t="str">
        <f aca="false">IF(OR($B82="",N($C82)=0),"",IFERROR(INDEX(成本费用登记表!$B$4:$B$303,MATCH($B82,成本费用登记表!$C$4:$C$303,0)),""))</f>
        <v/>
      </c>
      <c r="H82" s="39" t="str">
        <f aca="false">IF(OR($B82="",N($C82)=0),"",IFERROR(INDEX(成本费用登记表!$D$4:$D$303,MATCH($B82,成本费用登记表!$C$4:$C$303,0)),""))</f>
        <v/>
      </c>
      <c r="I82" s="39" t="str">
        <f aca="false">IF($B82="","",IF(N($F82)&gt;0,"⚠ 尚欠 "&amp;TEXT(N($F82),"#,##0.00")&amp;" 元","✔ 已结清"))</f>
        <v/>
      </c>
    </row>
    <row r="83" customFormat="false" ht="13.5" hidden="false" customHeight="false" outlineLevel="0" collapsed="false">
      <c r="A83" s="9" t="str">
        <f aca="false">IF($B83="","",ROW()-3)</f>
        <v/>
      </c>
      <c r="B83" s="39" t="str">
        <f aca="false">IFERROR(INDEX(_自动清单!$AD$4:$AD$153,ROW()-3),"")</f>
        <v/>
      </c>
      <c r="C83" s="51" t="str">
        <f aca="false">IF($B83="","",COUNTIF(成本费用登记表!$C$4:$C$303,$B83))</f>
        <v/>
      </c>
      <c r="D83" s="41" t="str">
        <f aca="false">IF($B83="","",ROUND(SUMIF(成本费用登记表!$C$4:$C$303,$B83,成本费用登记表!$H$4:$H$303),2))</f>
        <v/>
      </c>
      <c r="E83" s="41" t="str">
        <f aca="false">IF($B83="","",ROUND(SUMIF(成本费用登记表!$C$4:$C$303,$B83,成本费用登记表!$AA$4:$AA$303),2))</f>
        <v/>
      </c>
      <c r="F83" s="41" t="str">
        <f aca="false">IF($B83="","",ROUND(N($D83)-N($E83),2))</f>
        <v/>
      </c>
      <c r="G83" s="144" t="str">
        <f aca="false">IF(OR($B83="",N($C83)=0),"",IFERROR(INDEX(成本费用登记表!$B$4:$B$303,MATCH($B83,成本费用登记表!$C$4:$C$303,0)),""))</f>
        <v/>
      </c>
      <c r="H83" s="39" t="str">
        <f aca="false">IF(OR($B83="",N($C83)=0),"",IFERROR(INDEX(成本费用登记表!$D$4:$D$303,MATCH($B83,成本费用登记表!$C$4:$C$303,0)),""))</f>
        <v/>
      </c>
      <c r="I83" s="39" t="str">
        <f aca="false">IF($B83="","",IF(N($F83)&gt;0,"⚠ 尚欠 "&amp;TEXT(N($F83),"#,##0.00")&amp;" 元","✔ 已结清"))</f>
        <v/>
      </c>
    </row>
    <row r="84" customFormat="false" ht="13.5" hidden="false" customHeight="false" outlineLevel="0" collapsed="false">
      <c r="A84" s="9" t="str">
        <f aca="false">IF($B84="","",ROW()-3)</f>
        <v/>
      </c>
      <c r="B84" s="39" t="str">
        <f aca="false">IFERROR(INDEX(_自动清单!$AD$4:$AD$153,ROW()-3),"")</f>
        <v/>
      </c>
      <c r="C84" s="51" t="str">
        <f aca="false">IF($B84="","",COUNTIF(成本费用登记表!$C$4:$C$303,$B84))</f>
        <v/>
      </c>
      <c r="D84" s="41" t="str">
        <f aca="false">IF($B84="","",ROUND(SUMIF(成本费用登记表!$C$4:$C$303,$B84,成本费用登记表!$H$4:$H$303),2))</f>
        <v/>
      </c>
      <c r="E84" s="41" t="str">
        <f aca="false">IF($B84="","",ROUND(SUMIF(成本费用登记表!$C$4:$C$303,$B84,成本费用登记表!$AA$4:$AA$303),2))</f>
        <v/>
      </c>
      <c r="F84" s="41" t="str">
        <f aca="false">IF($B84="","",ROUND(N($D84)-N($E84),2))</f>
        <v/>
      </c>
      <c r="G84" s="144" t="str">
        <f aca="false">IF(OR($B84="",N($C84)=0),"",IFERROR(INDEX(成本费用登记表!$B$4:$B$303,MATCH($B84,成本费用登记表!$C$4:$C$303,0)),""))</f>
        <v/>
      </c>
      <c r="H84" s="39" t="str">
        <f aca="false">IF(OR($B84="",N($C84)=0),"",IFERROR(INDEX(成本费用登记表!$D$4:$D$303,MATCH($B84,成本费用登记表!$C$4:$C$303,0)),""))</f>
        <v/>
      </c>
      <c r="I84" s="39" t="str">
        <f aca="false">IF($B84="","",IF(N($F84)&gt;0,"⚠ 尚欠 "&amp;TEXT(N($F84),"#,##0.00")&amp;" 元","✔ 已结清"))</f>
        <v/>
      </c>
    </row>
    <row r="85" customFormat="false" ht="13.5" hidden="false" customHeight="false" outlineLevel="0" collapsed="false">
      <c r="A85" s="9" t="str">
        <f aca="false">IF($B85="","",ROW()-3)</f>
        <v/>
      </c>
      <c r="B85" s="39" t="str">
        <f aca="false">IFERROR(INDEX(_自动清单!$AD$4:$AD$153,ROW()-3),"")</f>
        <v/>
      </c>
      <c r="C85" s="51" t="str">
        <f aca="false">IF($B85="","",COUNTIF(成本费用登记表!$C$4:$C$303,$B85))</f>
        <v/>
      </c>
      <c r="D85" s="41" t="str">
        <f aca="false">IF($B85="","",ROUND(SUMIF(成本费用登记表!$C$4:$C$303,$B85,成本费用登记表!$H$4:$H$303),2))</f>
        <v/>
      </c>
      <c r="E85" s="41" t="str">
        <f aca="false">IF($B85="","",ROUND(SUMIF(成本费用登记表!$C$4:$C$303,$B85,成本费用登记表!$AA$4:$AA$303),2))</f>
        <v/>
      </c>
      <c r="F85" s="41" t="str">
        <f aca="false">IF($B85="","",ROUND(N($D85)-N($E85),2))</f>
        <v/>
      </c>
      <c r="G85" s="144" t="str">
        <f aca="false">IF(OR($B85="",N($C85)=0),"",IFERROR(INDEX(成本费用登记表!$B$4:$B$303,MATCH($B85,成本费用登记表!$C$4:$C$303,0)),""))</f>
        <v/>
      </c>
      <c r="H85" s="39" t="str">
        <f aca="false">IF(OR($B85="",N($C85)=0),"",IFERROR(INDEX(成本费用登记表!$D$4:$D$303,MATCH($B85,成本费用登记表!$C$4:$C$303,0)),""))</f>
        <v/>
      </c>
      <c r="I85" s="39" t="str">
        <f aca="false">IF($B85="","",IF(N($F85)&gt;0,"⚠ 尚欠 "&amp;TEXT(N($F85),"#,##0.00")&amp;" 元","✔ 已结清"))</f>
        <v/>
      </c>
    </row>
    <row r="86" customFormat="false" ht="13.5" hidden="false" customHeight="false" outlineLevel="0" collapsed="false">
      <c r="A86" s="9" t="str">
        <f aca="false">IF($B86="","",ROW()-3)</f>
        <v/>
      </c>
      <c r="B86" s="39" t="str">
        <f aca="false">IFERROR(INDEX(_自动清单!$AD$4:$AD$153,ROW()-3),"")</f>
        <v/>
      </c>
      <c r="C86" s="51" t="str">
        <f aca="false">IF($B86="","",COUNTIF(成本费用登记表!$C$4:$C$303,$B86))</f>
        <v/>
      </c>
      <c r="D86" s="41" t="str">
        <f aca="false">IF($B86="","",ROUND(SUMIF(成本费用登记表!$C$4:$C$303,$B86,成本费用登记表!$H$4:$H$303),2))</f>
        <v/>
      </c>
      <c r="E86" s="41" t="str">
        <f aca="false">IF($B86="","",ROUND(SUMIF(成本费用登记表!$C$4:$C$303,$B86,成本费用登记表!$AA$4:$AA$303),2))</f>
        <v/>
      </c>
      <c r="F86" s="41" t="str">
        <f aca="false">IF($B86="","",ROUND(N($D86)-N($E86),2))</f>
        <v/>
      </c>
      <c r="G86" s="144" t="str">
        <f aca="false">IF(OR($B86="",N($C86)=0),"",IFERROR(INDEX(成本费用登记表!$B$4:$B$303,MATCH($B86,成本费用登记表!$C$4:$C$303,0)),""))</f>
        <v/>
      </c>
      <c r="H86" s="39" t="str">
        <f aca="false">IF(OR($B86="",N($C86)=0),"",IFERROR(INDEX(成本费用登记表!$D$4:$D$303,MATCH($B86,成本费用登记表!$C$4:$C$303,0)),""))</f>
        <v/>
      </c>
      <c r="I86" s="39" t="str">
        <f aca="false">IF($B86="","",IF(N($F86)&gt;0,"⚠ 尚欠 "&amp;TEXT(N($F86),"#,##0.00")&amp;" 元","✔ 已结清"))</f>
        <v/>
      </c>
    </row>
    <row r="87" customFormat="false" ht="13.5" hidden="false" customHeight="false" outlineLevel="0" collapsed="false">
      <c r="A87" s="9" t="str">
        <f aca="false">IF($B87="","",ROW()-3)</f>
        <v/>
      </c>
      <c r="B87" s="39" t="str">
        <f aca="false">IFERROR(INDEX(_自动清单!$AD$4:$AD$153,ROW()-3),"")</f>
        <v/>
      </c>
      <c r="C87" s="51" t="str">
        <f aca="false">IF($B87="","",COUNTIF(成本费用登记表!$C$4:$C$303,$B87))</f>
        <v/>
      </c>
      <c r="D87" s="41" t="str">
        <f aca="false">IF($B87="","",ROUND(SUMIF(成本费用登记表!$C$4:$C$303,$B87,成本费用登记表!$H$4:$H$303),2))</f>
        <v/>
      </c>
      <c r="E87" s="41" t="str">
        <f aca="false">IF($B87="","",ROUND(SUMIF(成本费用登记表!$C$4:$C$303,$B87,成本费用登记表!$AA$4:$AA$303),2))</f>
        <v/>
      </c>
      <c r="F87" s="41" t="str">
        <f aca="false">IF($B87="","",ROUND(N($D87)-N($E87),2))</f>
        <v/>
      </c>
      <c r="G87" s="144" t="str">
        <f aca="false">IF(OR($B87="",N($C87)=0),"",IFERROR(INDEX(成本费用登记表!$B$4:$B$303,MATCH($B87,成本费用登记表!$C$4:$C$303,0)),""))</f>
        <v/>
      </c>
      <c r="H87" s="39" t="str">
        <f aca="false">IF(OR($B87="",N($C87)=0),"",IFERROR(INDEX(成本费用登记表!$D$4:$D$303,MATCH($B87,成本费用登记表!$C$4:$C$303,0)),""))</f>
        <v/>
      </c>
      <c r="I87" s="39" t="str">
        <f aca="false">IF($B87="","",IF(N($F87)&gt;0,"⚠ 尚欠 "&amp;TEXT(N($F87),"#,##0.00")&amp;" 元","✔ 已结清"))</f>
        <v/>
      </c>
    </row>
    <row r="88" customFormat="false" ht="13.5" hidden="false" customHeight="false" outlineLevel="0" collapsed="false">
      <c r="A88" s="9" t="str">
        <f aca="false">IF($B88="","",ROW()-3)</f>
        <v/>
      </c>
      <c r="B88" s="39" t="str">
        <f aca="false">IFERROR(INDEX(_自动清单!$AD$4:$AD$153,ROW()-3),"")</f>
        <v/>
      </c>
      <c r="C88" s="51" t="str">
        <f aca="false">IF($B88="","",COUNTIF(成本费用登记表!$C$4:$C$303,$B88))</f>
        <v/>
      </c>
      <c r="D88" s="41" t="str">
        <f aca="false">IF($B88="","",ROUND(SUMIF(成本费用登记表!$C$4:$C$303,$B88,成本费用登记表!$H$4:$H$303),2))</f>
        <v/>
      </c>
      <c r="E88" s="41" t="str">
        <f aca="false">IF($B88="","",ROUND(SUMIF(成本费用登记表!$C$4:$C$303,$B88,成本费用登记表!$AA$4:$AA$303),2))</f>
        <v/>
      </c>
      <c r="F88" s="41" t="str">
        <f aca="false">IF($B88="","",ROUND(N($D88)-N($E88),2))</f>
        <v/>
      </c>
      <c r="G88" s="144" t="str">
        <f aca="false">IF(OR($B88="",N($C88)=0),"",IFERROR(INDEX(成本费用登记表!$B$4:$B$303,MATCH($B88,成本费用登记表!$C$4:$C$303,0)),""))</f>
        <v/>
      </c>
      <c r="H88" s="39" t="str">
        <f aca="false">IF(OR($B88="",N($C88)=0),"",IFERROR(INDEX(成本费用登记表!$D$4:$D$303,MATCH($B88,成本费用登记表!$C$4:$C$303,0)),""))</f>
        <v/>
      </c>
      <c r="I88" s="39" t="str">
        <f aca="false">IF($B88="","",IF(N($F88)&gt;0,"⚠ 尚欠 "&amp;TEXT(N($F88),"#,##0.00")&amp;" 元","✔ 已结清"))</f>
        <v/>
      </c>
    </row>
    <row r="89" customFormat="false" ht="13.5" hidden="false" customHeight="false" outlineLevel="0" collapsed="false">
      <c r="A89" s="9" t="str">
        <f aca="false">IF($B89="","",ROW()-3)</f>
        <v/>
      </c>
      <c r="B89" s="39" t="str">
        <f aca="false">IFERROR(INDEX(_自动清单!$AD$4:$AD$153,ROW()-3),"")</f>
        <v/>
      </c>
      <c r="C89" s="51" t="str">
        <f aca="false">IF($B89="","",COUNTIF(成本费用登记表!$C$4:$C$303,$B89))</f>
        <v/>
      </c>
      <c r="D89" s="41" t="str">
        <f aca="false">IF($B89="","",ROUND(SUMIF(成本费用登记表!$C$4:$C$303,$B89,成本费用登记表!$H$4:$H$303),2))</f>
        <v/>
      </c>
      <c r="E89" s="41" t="str">
        <f aca="false">IF($B89="","",ROUND(SUMIF(成本费用登记表!$C$4:$C$303,$B89,成本费用登记表!$AA$4:$AA$303),2))</f>
        <v/>
      </c>
      <c r="F89" s="41" t="str">
        <f aca="false">IF($B89="","",ROUND(N($D89)-N($E89),2))</f>
        <v/>
      </c>
      <c r="G89" s="144" t="str">
        <f aca="false">IF(OR($B89="",N($C89)=0),"",IFERROR(INDEX(成本费用登记表!$B$4:$B$303,MATCH($B89,成本费用登记表!$C$4:$C$303,0)),""))</f>
        <v/>
      </c>
      <c r="H89" s="39" t="str">
        <f aca="false">IF(OR($B89="",N($C89)=0),"",IFERROR(INDEX(成本费用登记表!$D$4:$D$303,MATCH($B89,成本费用登记表!$C$4:$C$303,0)),""))</f>
        <v/>
      </c>
      <c r="I89" s="39" t="str">
        <f aca="false">IF($B89="","",IF(N($F89)&gt;0,"⚠ 尚欠 "&amp;TEXT(N($F89),"#,##0.00")&amp;" 元","✔ 已结清"))</f>
        <v/>
      </c>
    </row>
    <row r="90" customFormat="false" ht="13.5" hidden="false" customHeight="false" outlineLevel="0" collapsed="false">
      <c r="A90" s="9" t="str">
        <f aca="false">IF($B90="","",ROW()-3)</f>
        <v/>
      </c>
      <c r="B90" s="39" t="str">
        <f aca="false">IFERROR(INDEX(_自动清单!$AD$4:$AD$153,ROW()-3),"")</f>
        <v/>
      </c>
      <c r="C90" s="51" t="str">
        <f aca="false">IF($B90="","",COUNTIF(成本费用登记表!$C$4:$C$303,$B90))</f>
        <v/>
      </c>
      <c r="D90" s="41" t="str">
        <f aca="false">IF($B90="","",ROUND(SUMIF(成本费用登记表!$C$4:$C$303,$B90,成本费用登记表!$H$4:$H$303),2))</f>
        <v/>
      </c>
      <c r="E90" s="41" t="str">
        <f aca="false">IF($B90="","",ROUND(SUMIF(成本费用登记表!$C$4:$C$303,$B90,成本费用登记表!$AA$4:$AA$303),2))</f>
        <v/>
      </c>
      <c r="F90" s="41" t="str">
        <f aca="false">IF($B90="","",ROUND(N($D90)-N($E90),2))</f>
        <v/>
      </c>
      <c r="G90" s="144" t="str">
        <f aca="false">IF(OR($B90="",N($C90)=0),"",IFERROR(INDEX(成本费用登记表!$B$4:$B$303,MATCH($B90,成本费用登记表!$C$4:$C$303,0)),""))</f>
        <v/>
      </c>
      <c r="H90" s="39" t="str">
        <f aca="false">IF(OR($B90="",N($C90)=0),"",IFERROR(INDEX(成本费用登记表!$D$4:$D$303,MATCH($B90,成本费用登记表!$C$4:$C$303,0)),""))</f>
        <v/>
      </c>
      <c r="I90" s="39" t="str">
        <f aca="false">IF($B90="","",IF(N($F90)&gt;0,"⚠ 尚欠 "&amp;TEXT(N($F90),"#,##0.00")&amp;" 元","✔ 已结清"))</f>
        <v/>
      </c>
    </row>
    <row r="91" customFormat="false" ht="13.5" hidden="false" customHeight="false" outlineLevel="0" collapsed="false">
      <c r="A91" s="9" t="str">
        <f aca="false">IF($B91="","",ROW()-3)</f>
        <v/>
      </c>
      <c r="B91" s="39" t="str">
        <f aca="false">IFERROR(INDEX(_自动清单!$AD$4:$AD$153,ROW()-3),"")</f>
        <v/>
      </c>
      <c r="C91" s="51" t="str">
        <f aca="false">IF($B91="","",COUNTIF(成本费用登记表!$C$4:$C$303,$B91))</f>
        <v/>
      </c>
      <c r="D91" s="41" t="str">
        <f aca="false">IF($B91="","",ROUND(SUMIF(成本费用登记表!$C$4:$C$303,$B91,成本费用登记表!$H$4:$H$303),2))</f>
        <v/>
      </c>
      <c r="E91" s="41" t="str">
        <f aca="false">IF($B91="","",ROUND(SUMIF(成本费用登记表!$C$4:$C$303,$B91,成本费用登记表!$AA$4:$AA$303),2))</f>
        <v/>
      </c>
      <c r="F91" s="41" t="str">
        <f aca="false">IF($B91="","",ROUND(N($D91)-N($E91),2))</f>
        <v/>
      </c>
      <c r="G91" s="144" t="str">
        <f aca="false">IF(OR($B91="",N($C91)=0),"",IFERROR(INDEX(成本费用登记表!$B$4:$B$303,MATCH($B91,成本费用登记表!$C$4:$C$303,0)),""))</f>
        <v/>
      </c>
      <c r="H91" s="39" t="str">
        <f aca="false">IF(OR($B91="",N($C91)=0),"",IFERROR(INDEX(成本费用登记表!$D$4:$D$303,MATCH($B91,成本费用登记表!$C$4:$C$303,0)),""))</f>
        <v/>
      </c>
      <c r="I91" s="39" t="str">
        <f aca="false">IF($B91="","",IF(N($F91)&gt;0,"⚠ 尚欠 "&amp;TEXT(N($F91),"#,##0.00")&amp;" 元","✔ 已结清"))</f>
        <v/>
      </c>
    </row>
    <row r="92" customFormat="false" ht="13.5" hidden="false" customHeight="false" outlineLevel="0" collapsed="false">
      <c r="A92" s="9" t="str">
        <f aca="false">IF($B92="","",ROW()-3)</f>
        <v/>
      </c>
      <c r="B92" s="39" t="str">
        <f aca="false">IFERROR(INDEX(_自动清单!$AD$4:$AD$153,ROW()-3),"")</f>
        <v/>
      </c>
      <c r="C92" s="51" t="str">
        <f aca="false">IF($B92="","",COUNTIF(成本费用登记表!$C$4:$C$303,$B92))</f>
        <v/>
      </c>
      <c r="D92" s="41" t="str">
        <f aca="false">IF($B92="","",ROUND(SUMIF(成本费用登记表!$C$4:$C$303,$B92,成本费用登记表!$H$4:$H$303),2))</f>
        <v/>
      </c>
      <c r="E92" s="41" t="str">
        <f aca="false">IF($B92="","",ROUND(SUMIF(成本费用登记表!$C$4:$C$303,$B92,成本费用登记表!$AA$4:$AA$303),2))</f>
        <v/>
      </c>
      <c r="F92" s="41" t="str">
        <f aca="false">IF($B92="","",ROUND(N($D92)-N($E92),2))</f>
        <v/>
      </c>
      <c r="G92" s="144" t="str">
        <f aca="false">IF(OR($B92="",N($C92)=0),"",IFERROR(INDEX(成本费用登记表!$B$4:$B$303,MATCH($B92,成本费用登记表!$C$4:$C$303,0)),""))</f>
        <v/>
      </c>
      <c r="H92" s="39" t="str">
        <f aca="false">IF(OR($B92="",N($C92)=0),"",IFERROR(INDEX(成本费用登记表!$D$4:$D$303,MATCH($B92,成本费用登记表!$C$4:$C$303,0)),""))</f>
        <v/>
      </c>
      <c r="I92" s="39" t="str">
        <f aca="false">IF($B92="","",IF(N($F92)&gt;0,"⚠ 尚欠 "&amp;TEXT(N($F92),"#,##0.00")&amp;" 元","✔ 已结清"))</f>
        <v/>
      </c>
    </row>
    <row r="93" customFormat="false" ht="13.5" hidden="false" customHeight="false" outlineLevel="0" collapsed="false">
      <c r="A93" s="9" t="str">
        <f aca="false">IF($B93="","",ROW()-3)</f>
        <v/>
      </c>
      <c r="B93" s="39" t="str">
        <f aca="false">IFERROR(INDEX(_自动清单!$AD$4:$AD$153,ROW()-3),"")</f>
        <v/>
      </c>
      <c r="C93" s="51" t="str">
        <f aca="false">IF($B93="","",COUNTIF(成本费用登记表!$C$4:$C$303,$B93))</f>
        <v/>
      </c>
      <c r="D93" s="41" t="str">
        <f aca="false">IF($B93="","",ROUND(SUMIF(成本费用登记表!$C$4:$C$303,$B93,成本费用登记表!$H$4:$H$303),2))</f>
        <v/>
      </c>
      <c r="E93" s="41" t="str">
        <f aca="false">IF($B93="","",ROUND(SUMIF(成本费用登记表!$C$4:$C$303,$B93,成本费用登记表!$AA$4:$AA$303),2))</f>
        <v/>
      </c>
      <c r="F93" s="41" t="str">
        <f aca="false">IF($B93="","",ROUND(N($D93)-N($E93),2))</f>
        <v/>
      </c>
      <c r="G93" s="144" t="str">
        <f aca="false">IF(OR($B93="",N($C93)=0),"",IFERROR(INDEX(成本费用登记表!$B$4:$B$303,MATCH($B93,成本费用登记表!$C$4:$C$303,0)),""))</f>
        <v/>
      </c>
      <c r="H93" s="39" t="str">
        <f aca="false">IF(OR($B93="",N($C93)=0),"",IFERROR(INDEX(成本费用登记表!$D$4:$D$303,MATCH($B93,成本费用登记表!$C$4:$C$303,0)),""))</f>
        <v/>
      </c>
      <c r="I93" s="39" t="str">
        <f aca="false">IF($B93="","",IF(N($F93)&gt;0,"⚠ 尚欠 "&amp;TEXT(N($F93),"#,##0.00")&amp;" 元","✔ 已结清"))</f>
        <v/>
      </c>
    </row>
    <row r="94" customFormat="false" ht="13.5" hidden="false" customHeight="false" outlineLevel="0" collapsed="false">
      <c r="A94" s="9" t="str">
        <f aca="false">IF($B94="","",ROW()-3)</f>
        <v/>
      </c>
      <c r="B94" s="39" t="str">
        <f aca="false">IFERROR(INDEX(_自动清单!$AD$4:$AD$153,ROW()-3),"")</f>
        <v/>
      </c>
      <c r="C94" s="51" t="str">
        <f aca="false">IF($B94="","",COUNTIF(成本费用登记表!$C$4:$C$303,$B94))</f>
        <v/>
      </c>
      <c r="D94" s="41" t="str">
        <f aca="false">IF($B94="","",ROUND(SUMIF(成本费用登记表!$C$4:$C$303,$B94,成本费用登记表!$H$4:$H$303),2))</f>
        <v/>
      </c>
      <c r="E94" s="41" t="str">
        <f aca="false">IF($B94="","",ROUND(SUMIF(成本费用登记表!$C$4:$C$303,$B94,成本费用登记表!$AA$4:$AA$303),2))</f>
        <v/>
      </c>
      <c r="F94" s="41" t="str">
        <f aca="false">IF($B94="","",ROUND(N($D94)-N($E94),2))</f>
        <v/>
      </c>
      <c r="G94" s="144" t="str">
        <f aca="false">IF(OR($B94="",N($C94)=0),"",IFERROR(INDEX(成本费用登记表!$B$4:$B$303,MATCH($B94,成本费用登记表!$C$4:$C$303,0)),""))</f>
        <v/>
      </c>
      <c r="H94" s="39" t="str">
        <f aca="false">IF(OR($B94="",N($C94)=0),"",IFERROR(INDEX(成本费用登记表!$D$4:$D$303,MATCH($B94,成本费用登记表!$C$4:$C$303,0)),""))</f>
        <v/>
      </c>
      <c r="I94" s="39" t="str">
        <f aca="false">IF($B94="","",IF(N($F94)&gt;0,"⚠ 尚欠 "&amp;TEXT(N($F94),"#,##0.00")&amp;" 元","✔ 已结清"))</f>
        <v/>
      </c>
    </row>
    <row r="95" customFormat="false" ht="13.5" hidden="false" customHeight="false" outlineLevel="0" collapsed="false">
      <c r="A95" s="9" t="str">
        <f aca="false">IF($B95="","",ROW()-3)</f>
        <v/>
      </c>
      <c r="B95" s="39" t="str">
        <f aca="false">IFERROR(INDEX(_自动清单!$AD$4:$AD$153,ROW()-3),"")</f>
        <v/>
      </c>
      <c r="C95" s="51" t="str">
        <f aca="false">IF($B95="","",COUNTIF(成本费用登记表!$C$4:$C$303,$B95))</f>
        <v/>
      </c>
      <c r="D95" s="41" t="str">
        <f aca="false">IF($B95="","",ROUND(SUMIF(成本费用登记表!$C$4:$C$303,$B95,成本费用登记表!$H$4:$H$303),2))</f>
        <v/>
      </c>
      <c r="E95" s="41" t="str">
        <f aca="false">IF($B95="","",ROUND(SUMIF(成本费用登记表!$C$4:$C$303,$B95,成本费用登记表!$AA$4:$AA$303),2))</f>
        <v/>
      </c>
      <c r="F95" s="41" t="str">
        <f aca="false">IF($B95="","",ROUND(N($D95)-N($E95),2))</f>
        <v/>
      </c>
      <c r="G95" s="144" t="str">
        <f aca="false">IF(OR($B95="",N($C95)=0),"",IFERROR(INDEX(成本费用登记表!$B$4:$B$303,MATCH($B95,成本费用登记表!$C$4:$C$303,0)),""))</f>
        <v/>
      </c>
      <c r="H95" s="39" t="str">
        <f aca="false">IF(OR($B95="",N($C95)=0),"",IFERROR(INDEX(成本费用登记表!$D$4:$D$303,MATCH($B95,成本费用登记表!$C$4:$C$303,0)),""))</f>
        <v/>
      </c>
      <c r="I95" s="39" t="str">
        <f aca="false">IF($B95="","",IF(N($F95)&gt;0,"⚠ 尚欠 "&amp;TEXT(N($F95),"#,##0.00")&amp;" 元","✔ 已结清"))</f>
        <v/>
      </c>
    </row>
    <row r="96" customFormat="false" ht="13.5" hidden="false" customHeight="false" outlineLevel="0" collapsed="false">
      <c r="A96" s="9" t="str">
        <f aca="false">IF($B96="","",ROW()-3)</f>
        <v/>
      </c>
      <c r="B96" s="39" t="str">
        <f aca="false">IFERROR(INDEX(_自动清单!$AD$4:$AD$153,ROW()-3),"")</f>
        <v/>
      </c>
      <c r="C96" s="51" t="str">
        <f aca="false">IF($B96="","",COUNTIF(成本费用登记表!$C$4:$C$303,$B96))</f>
        <v/>
      </c>
      <c r="D96" s="41" t="str">
        <f aca="false">IF($B96="","",ROUND(SUMIF(成本费用登记表!$C$4:$C$303,$B96,成本费用登记表!$H$4:$H$303),2))</f>
        <v/>
      </c>
      <c r="E96" s="41" t="str">
        <f aca="false">IF($B96="","",ROUND(SUMIF(成本费用登记表!$C$4:$C$303,$B96,成本费用登记表!$AA$4:$AA$303),2))</f>
        <v/>
      </c>
      <c r="F96" s="41" t="str">
        <f aca="false">IF($B96="","",ROUND(N($D96)-N($E96),2))</f>
        <v/>
      </c>
      <c r="G96" s="144" t="str">
        <f aca="false">IF(OR($B96="",N($C96)=0),"",IFERROR(INDEX(成本费用登记表!$B$4:$B$303,MATCH($B96,成本费用登记表!$C$4:$C$303,0)),""))</f>
        <v/>
      </c>
      <c r="H96" s="39" t="str">
        <f aca="false">IF(OR($B96="",N($C96)=0),"",IFERROR(INDEX(成本费用登记表!$D$4:$D$303,MATCH($B96,成本费用登记表!$C$4:$C$303,0)),""))</f>
        <v/>
      </c>
      <c r="I96" s="39" t="str">
        <f aca="false">IF($B96="","",IF(N($F96)&gt;0,"⚠ 尚欠 "&amp;TEXT(N($F96),"#,##0.00")&amp;" 元","✔ 已结清"))</f>
        <v/>
      </c>
    </row>
    <row r="97" customFormat="false" ht="13.5" hidden="false" customHeight="false" outlineLevel="0" collapsed="false">
      <c r="A97" s="9" t="str">
        <f aca="false">IF($B97="","",ROW()-3)</f>
        <v/>
      </c>
      <c r="B97" s="39" t="str">
        <f aca="false">IFERROR(INDEX(_自动清单!$AD$4:$AD$153,ROW()-3),"")</f>
        <v/>
      </c>
      <c r="C97" s="51" t="str">
        <f aca="false">IF($B97="","",COUNTIF(成本费用登记表!$C$4:$C$303,$B97))</f>
        <v/>
      </c>
      <c r="D97" s="41" t="str">
        <f aca="false">IF($B97="","",ROUND(SUMIF(成本费用登记表!$C$4:$C$303,$B97,成本费用登记表!$H$4:$H$303),2))</f>
        <v/>
      </c>
      <c r="E97" s="41" t="str">
        <f aca="false">IF($B97="","",ROUND(SUMIF(成本费用登记表!$C$4:$C$303,$B97,成本费用登记表!$AA$4:$AA$303),2))</f>
        <v/>
      </c>
      <c r="F97" s="41" t="str">
        <f aca="false">IF($B97="","",ROUND(N($D97)-N($E97),2))</f>
        <v/>
      </c>
      <c r="G97" s="144" t="str">
        <f aca="false">IF(OR($B97="",N($C97)=0),"",IFERROR(INDEX(成本费用登记表!$B$4:$B$303,MATCH($B97,成本费用登记表!$C$4:$C$303,0)),""))</f>
        <v/>
      </c>
      <c r="H97" s="39" t="str">
        <f aca="false">IF(OR($B97="",N($C97)=0),"",IFERROR(INDEX(成本费用登记表!$D$4:$D$303,MATCH($B97,成本费用登记表!$C$4:$C$303,0)),""))</f>
        <v/>
      </c>
      <c r="I97" s="39" t="str">
        <f aca="false">IF($B97="","",IF(N($F97)&gt;0,"⚠ 尚欠 "&amp;TEXT(N($F97),"#,##0.00")&amp;" 元","✔ 已结清"))</f>
        <v/>
      </c>
    </row>
    <row r="98" customFormat="false" ht="13.5" hidden="false" customHeight="false" outlineLevel="0" collapsed="false">
      <c r="A98" s="9" t="str">
        <f aca="false">IF($B98="","",ROW()-3)</f>
        <v/>
      </c>
      <c r="B98" s="39" t="str">
        <f aca="false">IFERROR(INDEX(_自动清单!$AD$4:$AD$153,ROW()-3),"")</f>
        <v/>
      </c>
      <c r="C98" s="51" t="str">
        <f aca="false">IF($B98="","",COUNTIF(成本费用登记表!$C$4:$C$303,$B98))</f>
        <v/>
      </c>
      <c r="D98" s="41" t="str">
        <f aca="false">IF($B98="","",ROUND(SUMIF(成本费用登记表!$C$4:$C$303,$B98,成本费用登记表!$H$4:$H$303),2))</f>
        <v/>
      </c>
      <c r="E98" s="41" t="str">
        <f aca="false">IF($B98="","",ROUND(SUMIF(成本费用登记表!$C$4:$C$303,$B98,成本费用登记表!$AA$4:$AA$303),2))</f>
        <v/>
      </c>
      <c r="F98" s="41" t="str">
        <f aca="false">IF($B98="","",ROUND(N($D98)-N($E98),2))</f>
        <v/>
      </c>
      <c r="G98" s="144" t="str">
        <f aca="false">IF(OR($B98="",N($C98)=0),"",IFERROR(INDEX(成本费用登记表!$B$4:$B$303,MATCH($B98,成本费用登记表!$C$4:$C$303,0)),""))</f>
        <v/>
      </c>
      <c r="H98" s="39" t="str">
        <f aca="false">IF(OR($B98="",N($C98)=0),"",IFERROR(INDEX(成本费用登记表!$D$4:$D$303,MATCH($B98,成本费用登记表!$C$4:$C$303,0)),""))</f>
        <v/>
      </c>
      <c r="I98" s="39" t="str">
        <f aca="false">IF($B98="","",IF(N($F98)&gt;0,"⚠ 尚欠 "&amp;TEXT(N($F98),"#,##0.00")&amp;" 元","✔ 已结清"))</f>
        <v/>
      </c>
    </row>
    <row r="99" customFormat="false" ht="13.5" hidden="false" customHeight="false" outlineLevel="0" collapsed="false">
      <c r="A99" s="9" t="str">
        <f aca="false">IF($B99="","",ROW()-3)</f>
        <v/>
      </c>
      <c r="B99" s="39" t="str">
        <f aca="false">IFERROR(INDEX(_自动清单!$AD$4:$AD$153,ROW()-3),"")</f>
        <v/>
      </c>
      <c r="C99" s="51" t="str">
        <f aca="false">IF($B99="","",COUNTIF(成本费用登记表!$C$4:$C$303,$B99))</f>
        <v/>
      </c>
      <c r="D99" s="41" t="str">
        <f aca="false">IF($B99="","",ROUND(SUMIF(成本费用登记表!$C$4:$C$303,$B99,成本费用登记表!$H$4:$H$303),2))</f>
        <v/>
      </c>
      <c r="E99" s="41" t="str">
        <f aca="false">IF($B99="","",ROUND(SUMIF(成本费用登记表!$C$4:$C$303,$B99,成本费用登记表!$AA$4:$AA$303),2))</f>
        <v/>
      </c>
      <c r="F99" s="41" t="str">
        <f aca="false">IF($B99="","",ROUND(N($D99)-N($E99),2))</f>
        <v/>
      </c>
      <c r="G99" s="144" t="str">
        <f aca="false">IF(OR($B99="",N($C99)=0),"",IFERROR(INDEX(成本费用登记表!$B$4:$B$303,MATCH($B99,成本费用登记表!$C$4:$C$303,0)),""))</f>
        <v/>
      </c>
      <c r="H99" s="39" t="str">
        <f aca="false">IF(OR($B99="",N($C99)=0),"",IFERROR(INDEX(成本费用登记表!$D$4:$D$303,MATCH($B99,成本费用登记表!$C$4:$C$303,0)),""))</f>
        <v/>
      </c>
      <c r="I99" s="39" t="str">
        <f aca="false">IF($B99="","",IF(N($F99)&gt;0,"⚠ 尚欠 "&amp;TEXT(N($F99),"#,##0.00")&amp;" 元","✔ 已结清"))</f>
        <v/>
      </c>
    </row>
    <row r="100" customFormat="false" ht="13.5" hidden="false" customHeight="false" outlineLevel="0" collapsed="false">
      <c r="A100" s="9" t="str">
        <f aca="false">IF($B100="","",ROW()-3)</f>
        <v/>
      </c>
      <c r="B100" s="39" t="str">
        <f aca="false">IFERROR(INDEX(_自动清单!$AD$4:$AD$153,ROW()-3),"")</f>
        <v/>
      </c>
      <c r="C100" s="51" t="str">
        <f aca="false">IF($B100="","",COUNTIF(成本费用登记表!$C$4:$C$303,$B100))</f>
        <v/>
      </c>
      <c r="D100" s="41" t="str">
        <f aca="false">IF($B100="","",ROUND(SUMIF(成本费用登记表!$C$4:$C$303,$B100,成本费用登记表!$H$4:$H$303),2))</f>
        <v/>
      </c>
      <c r="E100" s="41" t="str">
        <f aca="false">IF($B100="","",ROUND(SUMIF(成本费用登记表!$C$4:$C$303,$B100,成本费用登记表!$AA$4:$AA$303),2))</f>
        <v/>
      </c>
      <c r="F100" s="41" t="str">
        <f aca="false">IF($B100="","",ROUND(N($D100)-N($E100),2))</f>
        <v/>
      </c>
      <c r="G100" s="144" t="str">
        <f aca="false">IF(OR($B100="",N($C100)=0),"",IFERROR(INDEX(成本费用登记表!$B$4:$B$303,MATCH($B100,成本费用登记表!$C$4:$C$303,0)),""))</f>
        <v/>
      </c>
      <c r="H100" s="39" t="str">
        <f aca="false">IF(OR($B100="",N($C100)=0),"",IFERROR(INDEX(成本费用登记表!$D$4:$D$303,MATCH($B100,成本费用登记表!$C$4:$C$303,0)),""))</f>
        <v/>
      </c>
      <c r="I100" s="39" t="str">
        <f aca="false">IF($B100="","",IF(N($F100)&gt;0,"⚠ 尚欠 "&amp;TEXT(N($F100),"#,##0.00")&amp;" 元","✔ 已结清"))</f>
        <v/>
      </c>
    </row>
    <row r="101" customFormat="false" ht="13.5" hidden="false" customHeight="false" outlineLevel="0" collapsed="false">
      <c r="A101" s="9" t="str">
        <f aca="false">IF($B101="","",ROW()-3)</f>
        <v/>
      </c>
      <c r="B101" s="39" t="str">
        <f aca="false">IFERROR(INDEX(_自动清单!$AD$4:$AD$153,ROW()-3),"")</f>
        <v/>
      </c>
      <c r="C101" s="51" t="str">
        <f aca="false">IF($B101="","",COUNTIF(成本费用登记表!$C$4:$C$303,$B101))</f>
        <v/>
      </c>
      <c r="D101" s="41" t="str">
        <f aca="false">IF($B101="","",ROUND(SUMIF(成本费用登记表!$C$4:$C$303,$B101,成本费用登记表!$H$4:$H$303),2))</f>
        <v/>
      </c>
      <c r="E101" s="41" t="str">
        <f aca="false">IF($B101="","",ROUND(SUMIF(成本费用登记表!$C$4:$C$303,$B101,成本费用登记表!$AA$4:$AA$303),2))</f>
        <v/>
      </c>
      <c r="F101" s="41" t="str">
        <f aca="false">IF($B101="","",ROUND(N($D101)-N($E101),2))</f>
        <v/>
      </c>
      <c r="G101" s="144" t="str">
        <f aca="false">IF(OR($B101="",N($C101)=0),"",IFERROR(INDEX(成本费用登记表!$B$4:$B$303,MATCH($B101,成本费用登记表!$C$4:$C$303,0)),""))</f>
        <v/>
      </c>
      <c r="H101" s="39" t="str">
        <f aca="false">IF(OR($B101="",N($C101)=0),"",IFERROR(INDEX(成本费用登记表!$D$4:$D$303,MATCH($B101,成本费用登记表!$C$4:$C$303,0)),""))</f>
        <v/>
      </c>
      <c r="I101" s="39" t="str">
        <f aca="false">IF($B101="","",IF(N($F101)&gt;0,"⚠ 尚欠 "&amp;TEXT(N($F101),"#,##0.00")&amp;" 元","✔ 已结清"))</f>
        <v/>
      </c>
    </row>
    <row r="102" customFormat="false" ht="13.5" hidden="false" customHeight="false" outlineLevel="0" collapsed="false">
      <c r="A102" s="9" t="str">
        <f aca="false">IF($B102="","",ROW()-3)</f>
        <v/>
      </c>
      <c r="B102" s="39" t="str">
        <f aca="false">IFERROR(INDEX(_自动清单!$AD$4:$AD$153,ROW()-3),"")</f>
        <v/>
      </c>
      <c r="C102" s="51" t="str">
        <f aca="false">IF($B102="","",COUNTIF(成本费用登记表!$C$4:$C$303,$B102))</f>
        <v/>
      </c>
      <c r="D102" s="41" t="str">
        <f aca="false">IF($B102="","",ROUND(SUMIF(成本费用登记表!$C$4:$C$303,$B102,成本费用登记表!$H$4:$H$303),2))</f>
        <v/>
      </c>
      <c r="E102" s="41" t="str">
        <f aca="false">IF($B102="","",ROUND(SUMIF(成本费用登记表!$C$4:$C$303,$B102,成本费用登记表!$AA$4:$AA$303),2))</f>
        <v/>
      </c>
      <c r="F102" s="41" t="str">
        <f aca="false">IF($B102="","",ROUND(N($D102)-N($E102),2))</f>
        <v/>
      </c>
      <c r="G102" s="144" t="str">
        <f aca="false">IF(OR($B102="",N($C102)=0),"",IFERROR(INDEX(成本费用登记表!$B$4:$B$303,MATCH($B102,成本费用登记表!$C$4:$C$303,0)),""))</f>
        <v/>
      </c>
      <c r="H102" s="39" t="str">
        <f aca="false">IF(OR($B102="",N($C102)=0),"",IFERROR(INDEX(成本费用登记表!$D$4:$D$303,MATCH($B102,成本费用登记表!$C$4:$C$303,0)),""))</f>
        <v/>
      </c>
      <c r="I102" s="39" t="str">
        <f aca="false">IF($B102="","",IF(N($F102)&gt;0,"⚠ 尚欠 "&amp;TEXT(N($F102),"#,##0.00")&amp;" 元","✔ 已结清"))</f>
        <v/>
      </c>
    </row>
    <row r="103" customFormat="false" ht="13.5" hidden="false" customHeight="false" outlineLevel="0" collapsed="false">
      <c r="A103" s="9" t="str">
        <f aca="false">IF($B103="","",ROW()-3)</f>
        <v/>
      </c>
      <c r="B103" s="39" t="str">
        <f aca="false">IFERROR(INDEX(_自动清单!$AD$4:$AD$153,ROW()-3),"")</f>
        <v/>
      </c>
      <c r="C103" s="51" t="str">
        <f aca="false">IF($B103="","",COUNTIF(成本费用登记表!$C$4:$C$303,$B103))</f>
        <v/>
      </c>
      <c r="D103" s="41" t="str">
        <f aca="false">IF($B103="","",ROUND(SUMIF(成本费用登记表!$C$4:$C$303,$B103,成本费用登记表!$H$4:$H$303),2))</f>
        <v/>
      </c>
      <c r="E103" s="41" t="str">
        <f aca="false">IF($B103="","",ROUND(SUMIF(成本费用登记表!$C$4:$C$303,$B103,成本费用登记表!$AA$4:$AA$303),2))</f>
        <v/>
      </c>
      <c r="F103" s="41" t="str">
        <f aca="false">IF($B103="","",ROUND(N($D103)-N($E103),2))</f>
        <v/>
      </c>
      <c r="G103" s="144" t="str">
        <f aca="false">IF(OR($B103="",N($C103)=0),"",IFERROR(INDEX(成本费用登记表!$B$4:$B$303,MATCH($B103,成本费用登记表!$C$4:$C$303,0)),""))</f>
        <v/>
      </c>
      <c r="H103" s="39" t="str">
        <f aca="false">IF(OR($B103="",N($C103)=0),"",IFERROR(INDEX(成本费用登记表!$D$4:$D$303,MATCH($B103,成本费用登记表!$C$4:$C$303,0)),""))</f>
        <v/>
      </c>
      <c r="I103" s="39" t="str">
        <f aca="false">IF($B103="","",IF(N($F103)&gt;0,"⚠ 尚欠 "&amp;TEXT(N($F103),"#,##0.00")&amp;" 元","✔ 已结清"))</f>
        <v/>
      </c>
    </row>
    <row r="104" customFormat="false" ht="13.5" hidden="false" customHeight="false" outlineLevel="0" collapsed="false">
      <c r="A104" s="9" t="str">
        <f aca="false">IF($B104="","",ROW()-3)</f>
        <v/>
      </c>
      <c r="B104" s="39" t="str">
        <f aca="false">IFERROR(INDEX(_自动清单!$AD$4:$AD$153,ROW()-3),"")</f>
        <v/>
      </c>
      <c r="C104" s="51" t="str">
        <f aca="false">IF($B104="","",COUNTIF(成本费用登记表!$C$4:$C$303,$B104))</f>
        <v/>
      </c>
      <c r="D104" s="41" t="str">
        <f aca="false">IF($B104="","",ROUND(SUMIF(成本费用登记表!$C$4:$C$303,$B104,成本费用登记表!$H$4:$H$303),2))</f>
        <v/>
      </c>
      <c r="E104" s="41" t="str">
        <f aca="false">IF($B104="","",ROUND(SUMIF(成本费用登记表!$C$4:$C$303,$B104,成本费用登记表!$AA$4:$AA$303),2))</f>
        <v/>
      </c>
      <c r="F104" s="41" t="str">
        <f aca="false">IF($B104="","",ROUND(N($D104)-N($E104),2))</f>
        <v/>
      </c>
      <c r="G104" s="144" t="str">
        <f aca="false">IF(OR($B104="",N($C104)=0),"",IFERROR(INDEX(成本费用登记表!$B$4:$B$303,MATCH($B104,成本费用登记表!$C$4:$C$303,0)),""))</f>
        <v/>
      </c>
      <c r="H104" s="39" t="str">
        <f aca="false">IF(OR($B104="",N($C104)=0),"",IFERROR(INDEX(成本费用登记表!$D$4:$D$303,MATCH($B104,成本费用登记表!$C$4:$C$303,0)),""))</f>
        <v/>
      </c>
      <c r="I104" s="39" t="str">
        <f aca="false">IF($B104="","",IF(N($F104)&gt;0,"⚠ 尚欠 "&amp;TEXT(N($F104),"#,##0.00")&amp;" 元","✔ 已结清"))</f>
        <v/>
      </c>
    </row>
    <row r="105" customFormat="false" ht="13.5" hidden="false" customHeight="false" outlineLevel="0" collapsed="false">
      <c r="A105" s="9" t="str">
        <f aca="false">IF($B105="","",ROW()-3)</f>
        <v/>
      </c>
      <c r="B105" s="39" t="str">
        <f aca="false">IFERROR(INDEX(_自动清单!$AD$4:$AD$153,ROW()-3),"")</f>
        <v/>
      </c>
      <c r="C105" s="51" t="str">
        <f aca="false">IF($B105="","",COUNTIF(成本费用登记表!$C$4:$C$303,$B105))</f>
        <v/>
      </c>
      <c r="D105" s="41" t="str">
        <f aca="false">IF($B105="","",ROUND(SUMIF(成本费用登记表!$C$4:$C$303,$B105,成本费用登记表!$H$4:$H$303),2))</f>
        <v/>
      </c>
      <c r="E105" s="41" t="str">
        <f aca="false">IF($B105="","",ROUND(SUMIF(成本费用登记表!$C$4:$C$303,$B105,成本费用登记表!$AA$4:$AA$303),2))</f>
        <v/>
      </c>
      <c r="F105" s="41" t="str">
        <f aca="false">IF($B105="","",ROUND(N($D105)-N($E105),2))</f>
        <v/>
      </c>
      <c r="G105" s="144" t="str">
        <f aca="false">IF(OR($B105="",N($C105)=0),"",IFERROR(INDEX(成本费用登记表!$B$4:$B$303,MATCH($B105,成本费用登记表!$C$4:$C$303,0)),""))</f>
        <v/>
      </c>
      <c r="H105" s="39" t="str">
        <f aca="false">IF(OR($B105="",N($C105)=0),"",IFERROR(INDEX(成本费用登记表!$D$4:$D$303,MATCH($B105,成本费用登记表!$C$4:$C$303,0)),""))</f>
        <v/>
      </c>
      <c r="I105" s="39" t="str">
        <f aca="false">IF($B105="","",IF(N($F105)&gt;0,"⚠ 尚欠 "&amp;TEXT(N($F105),"#,##0.00")&amp;" 元","✔ 已结清"))</f>
        <v/>
      </c>
    </row>
    <row r="106" customFormat="false" ht="13.5" hidden="false" customHeight="false" outlineLevel="0" collapsed="false">
      <c r="A106" s="9" t="str">
        <f aca="false">IF($B106="","",ROW()-3)</f>
        <v/>
      </c>
      <c r="B106" s="39" t="str">
        <f aca="false">IFERROR(INDEX(_自动清单!$AD$4:$AD$153,ROW()-3),"")</f>
        <v/>
      </c>
      <c r="C106" s="51" t="str">
        <f aca="false">IF($B106="","",COUNTIF(成本费用登记表!$C$4:$C$303,$B106))</f>
        <v/>
      </c>
      <c r="D106" s="41" t="str">
        <f aca="false">IF($B106="","",ROUND(SUMIF(成本费用登记表!$C$4:$C$303,$B106,成本费用登记表!$H$4:$H$303),2))</f>
        <v/>
      </c>
      <c r="E106" s="41" t="str">
        <f aca="false">IF($B106="","",ROUND(SUMIF(成本费用登记表!$C$4:$C$303,$B106,成本费用登记表!$AA$4:$AA$303),2))</f>
        <v/>
      </c>
      <c r="F106" s="41" t="str">
        <f aca="false">IF($B106="","",ROUND(N($D106)-N($E106),2))</f>
        <v/>
      </c>
      <c r="G106" s="144" t="str">
        <f aca="false">IF(OR($B106="",N($C106)=0),"",IFERROR(INDEX(成本费用登记表!$B$4:$B$303,MATCH($B106,成本费用登记表!$C$4:$C$303,0)),""))</f>
        <v/>
      </c>
      <c r="H106" s="39" t="str">
        <f aca="false">IF(OR($B106="",N($C106)=0),"",IFERROR(INDEX(成本费用登记表!$D$4:$D$303,MATCH($B106,成本费用登记表!$C$4:$C$303,0)),""))</f>
        <v/>
      </c>
      <c r="I106" s="39" t="str">
        <f aca="false">IF($B106="","",IF(N($F106)&gt;0,"⚠ 尚欠 "&amp;TEXT(N($F106),"#,##0.00")&amp;" 元","✔ 已结清"))</f>
        <v/>
      </c>
    </row>
    <row r="107" customFormat="false" ht="13.5" hidden="false" customHeight="false" outlineLevel="0" collapsed="false">
      <c r="A107" s="9" t="str">
        <f aca="false">IF($B107="","",ROW()-3)</f>
        <v/>
      </c>
      <c r="B107" s="39" t="str">
        <f aca="false">IFERROR(INDEX(_自动清单!$AD$4:$AD$153,ROW()-3),"")</f>
        <v/>
      </c>
      <c r="C107" s="51" t="str">
        <f aca="false">IF($B107="","",COUNTIF(成本费用登记表!$C$4:$C$303,$B107))</f>
        <v/>
      </c>
      <c r="D107" s="41" t="str">
        <f aca="false">IF($B107="","",ROUND(SUMIF(成本费用登记表!$C$4:$C$303,$B107,成本费用登记表!$H$4:$H$303),2))</f>
        <v/>
      </c>
      <c r="E107" s="41" t="str">
        <f aca="false">IF($B107="","",ROUND(SUMIF(成本费用登记表!$C$4:$C$303,$B107,成本费用登记表!$AA$4:$AA$303),2))</f>
        <v/>
      </c>
      <c r="F107" s="41" t="str">
        <f aca="false">IF($B107="","",ROUND(N($D107)-N($E107),2))</f>
        <v/>
      </c>
      <c r="G107" s="144" t="str">
        <f aca="false">IF(OR($B107="",N($C107)=0),"",IFERROR(INDEX(成本费用登记表!$B$4:$B$303,MATCH($B107,成本费用登记表!$C$4:$C$303,0)),""))</f>
        <v/>
      </c>
      <c r="H107" s="39" t="str">
        <f aca="false">IF(OR($B107="",N($C107)=0),"",IFERROR(INDEX(成本费用登记表!$D$4:$D$303,MATCH($B107,成本费用登记表!$C$4:$C$303,0)),""))</f>
        <v/>
      </c>
      <c r="I107" s="39" t="str">
        <f aca="false">IF($B107="","",IF(N($F107)&gt;0,"⚠ 尚欠 "&amp;TEXT(N($F107),"#,##0.00")&amp;" 元","✔ 已结清"))</f>
        <v/>
      </c>
    </row>
    <row r="108" customFormat="false" ht="13.5" hidden="false" customHeight="false" outlineLevel="0" collapsed="false">
      <c r="A108" s="9" t="str">
        <f aca="false">IF($B108="","",ROW()-3)</f>
        <v/>
      </c>
      <c r="B108" s="39" t="str">
        <f aca="false">IFERROR(INDEX(_自动清单!$AD$4:$AD$153,ROW()-3),"")</f>
        <v/>
      </c>
      <c r="C108" s="51" t="str">
        <f aca="false">IF($B108="","",COUNTIF(成本费用登记表!$C$4:$C$303,$B108))</f>
        <v/>
      </c>
      <c r="D108" s="41" t="str">
        <f aca="false">IF($B108="","",ROUND(SUMIF(成本费用登记表!$C$4:$C$303,$B108,成本费用登记表!$H$4:$H$303),2))</f>
        <v/>
      </c>
      <c r="E108" s="41" t="str">
        <f aca="false">IF($B108="","",ROUND(SUMIF(成本费用登记表!$C$4:$C$303,$B108,成本费用登记表!$AA$4:$AA$303),2))</f>
        <v/>
      </c>
      <c r="F108" s="41" t="str">
        <f aca="false">IF($B108="","",ROUND(N($D108)-N($E108),2))</f>
        <v/>
      </c>
      <c r="G108" s="144" t="str">
        <f aca="false">IF(OR($B108="",N($C108)=0),"",IFERROR(INDEX(成本费用登记表!$B$4:$B$303,MATCH($B108,成本费用登记表!$C$4:$C$303,0)),""))</f>
        <v/>
      </c>
      <c r="H108" s="39" t="str">
        <f aca="false">IF(OR($B108="",N($C108)=0),"",IFERROR(INDEX(成本费用登记表!$D$4:$D$303,MATCH($B108,成本费用登记表!$C$4:$C$303,0)),""))</f>
        <v/>
      </c>
      <c r="I108" s="39" t="str">
        <f aca="false">IF($B108="","",IF(N($F108)&gt;0,"⚠ 尚欠 "&amp;TEXT(N($F108),"#,##0.00")&amp;" 元","✔ 已结清"))</f>
        <v/>
      </c>
    </row>
    <row r="109" customFormat="false" ht="13.5" hidden="false" customHeight="false" outlineLevel="0" collapsed="false">
      <c r="A109" s="9" t="str">
        <f aca="false">IF($B109="","",ROW()-3)</f>
        <v/>
      </c>
      <c r="B109" s="39" t="str">
        <f aca="false">IFERROR(INDEX(_自动清单!$AD$4:$AD$153,ROW()-3),"")</f>
        <v/>
      </c>
      <c r="C109" s="51" t="str">
        <f aca="false">IF($B109="","",COUNTIF(成本费用登记表!$C$4:$C$303,$B109))</f>
        <v/>
      </c>
      <c r="D109" s="41" t="str">
        <f aca="false">IF($B109="","",ROUND(SUMIF(成本费用登记表!$C$4:$C$303,$B109,成本费用登记表!$H$4:$H$303),2))</f>
        <v/>
      </c>
      <c r="E109" s="41" t="str">
        <f aca="false">IF($B109="","",ROUND(SUMIF(成本费用登记表!$C$4:$C$303,$B109,成本费用登记表!$AA$4:$AA$303),2))</f>
        <v/>
      </c>
      <c r="F109" s="41" t="str">
        <f aca="false">IF($B109="","",ROUND(N($D109)-N($E109),2))</f>
        <v/>
      </c>
      <c r="G109" s="144" t="str">
        <f aca="false">IF(OR($B109="",N($C109)=0),"",IFERROR(INDEX(成本费用登记表!$B$4:$B$303,MATCH($B109,成本费用登记表!$C$4:$C$303,0)),""))</f>
        <v/>
      </c>
      <c r="H109" s="39" t="str">
        <f aca="false">IF(OR($B109="",N($C109)=0),"",IFERROR(INDEX(成本费用登记表!$D$4:$D$303,MATCH($B109,成本费用登记表!$C$4:$C$303,0)),""))</f>
        <v/>
      </c>
      <c r="I109" s="39" t="str">
        <f aca="false">IF($B109="","",IF(N($F109)&gt;0,"⚠ 尚欠 "&amp;TEXT(N($F109),"#,##0.00")&amp;" 元","✔ 已结清"))</f>
        <v/>
      </c>
    </row>
    <row r="110" customFormat="false" ht="13.5" hidden="false" customHeight="false" outlineLevel="0" collapsed="false">
      <c r="A110" s="9" t="str">
        <f aca="false">IF($B110="","",ROW()-3)</f>
        <v/>
      </c>
      <c r="B110" s="39" t="str">
        <f aca="false">IFERROR(INDEX(_自动清单!$AD$4:$AD$153,ROW()-3),"")</f>
        <v/>
      </c>
      <c r="C110" s="51" t="str">
        <f aca="false">IF($B110="","",COUNTIF(成本费用登记表!$C$4:$C$303,$B110))</f>
        <v/>
      </c>
      <c r="D110" s="41" t="str">
        <f aca="false">IF($B110="","",ROUND(SUMIF(成本费用登记表!$C$4:$C$303,$B110,成本费用登记表!$H$4:$H$303),2))</f>
        <v/>
      </c>
      <c r="E110" s="41" t="str">
        <f aca="false">IF($B110="","",ROUND(SUMIF(成本费用登记表!$C$4:$C$303,$B110,成本费用登记表!$AA$4:$AA$303),2))</f>
        <v/>
      </c>
      <c r="F110" s="41" t="str">
        <f aca="false">IF($B110="","",ROUND(N($D110)-N($E110),2))</f>
        <v/>
      </c>
      <c r="G110" s="144" t="str">
        <f aca="false">IF(OR($B110="",N($C110)=0),"",IFERROR(INDEX(成本费用登记表!$B$4:$B$303,MATCH($B110,成本费用登记表!$C$4:$C$303,0)),""))</f>
        <v/>
      </c>
      <c r="H110" s="39" t="str">
        <f aca="false">IF(OR($B110="",N($C110)=0),"",IFERROR(INDEX(成本费用登记表!$D$4:$D$303,MATCH($B110,成本费用登记表!$C$4:$C$303,0)),""))</f>
        <v/>
      </c>
      <c r="I110" s="39" t="str">
        <f aca="false">IF($B110="","",IF(N($F110)&gt;0,"⚠ 尚欠 "&amp;TEXT(N($F110),"#,##0.00")&amp;" 元","✔ 已结清"))</f>
        <v/>
      </c>
    </row>
    <row r="111" customFormat="false" ht="13.5" hidden="false" customHeight="false" outlineLevel="0" collapsed="false">
      <c r="A111" s="9" t="str">
        <f aca="false">IF($B111="","",ROW()-3)</f>
        <v/>
      </c>
      <c r="B111" s="39" t="str">
        <f aca="false">IFERROR(INDEX(_自动清单!$AD$4:$AD$153,ROW()-3),"")</f>
        <v/>
      </c>
      <c r="C111" s="51" t="str">
        <f aca="false">IF($B111="","",COUNTIF(成本费用登记表!$C$4:$C$303,$B111))</f>
        <v/>
      </c>
      <c r="D111" s="41" t="str">
        <f aca="false">IF($B111="","",ROUND(SUMIF(成本费用登记表!$C$4:$C$303,$B111,成本费用登记表!$H$4:$H$303),2))</f>
        <v/>
      </c>
      <c r="E111" s="41" t="str">
        <f aca="false">IF($B111="","",ROUND(SUMIF(成本费用登记表!$C$4:$C$303,$B111,成本费用登记表!$AA$4:$AA$303),2))</f>
        <v/>
      </c>
      <c r="F111" s="41" t="str">
        <f aca="false">IF($B111="","",ROUND(N($D111)-N($E111),2))</f>
        <v/>
      </c>
      <c r="G111" s="144" t="str">
        <f aca="false">IF(OR($B111="",N($C111)=0),"",IFERROR(INDEX(成本费用登记表!$B$4:$B$303,MATCH($B111,成本费用登记表!$C$4:$C$303,0)),""))</f>
        <v/>
      </c>
      <c r="H111" s="39" t="str">
        <f aca="false">IF(OR($B111="",N($C111)=0),"",IFERROR(INDEX(成本费用登记表!$D$4:$D$303,MATCH($B111,成本费用登记表!$C$4:$C$303,0)),""))</f>
        <v/>
      </c>
      <c r="I111" s="39" t="str">
        <f aca="false">IF($B111="","",IF(N($F111)&gt;0,"⚠ 尚欠 "&amp;TEXT(N($F111),"#,##0.00")&amp;" 元","✔ 已结清"))</f>
        <v/>
      </c>
    </row>
    <row r="112" customFormat="false" ht="13.5" hidden="false" customHeight="false" outlineLevel="0" collapsed="false">
      <c r="A112" s="9" t="str">
        <f aca="false">IF($B112="","",ROW()-3)</f>
        <v/>
      </c>
      <c r="B112" s="39" t="str">
        <f aca="false">IFERROR(INDEX(_自动清单!$AD$4:$AD$153,ROW()-3),"")</f>
        <v/>
      </c>
      <c r="C112" s="51" t="str">
        <f aca="false">IF($B112="","",COUNTIF(成本费用登记表!$C$4:$C$303,$B112))</f>
        <v/>
      </c>
      <c r="D112" s="41" t="str">
        <f aca="false">IF($B112="","",ROUND(SUMIF(成本费用登记表!$C$4:$C$303,$B112,成本费用登记表!$H$4:$H$303),2))</f>
        <v/>
      </c>
      <c r="E112" s="41" t="str">
        <f aca="false">IF($B112="","",ROUND(SUMIF(成本费用登记表!$C$4:$C$303,$B112,成本费用登记表!$AA$4:$AA$303),2))</f>
        <v/>
      </c>
      <c r="F112" s="41" t="str">
        <f aca="false">IF($B112="","",ROUND(N($D112)-N($E112),2))</f>
        <v/>
      </c>
      <c r="G112" s="144" t="str">
        <f aca="false">IF(OR($B112="",N($C112)=0),"",IFERROR(INDEX(成本费用登记表!$B$4:$B$303,MATCH($B112,成本费用登记表!$C$4:$C$303,0)),""))</f>
        <v/>
      </c>
      <c r="H112" s="39" t="str">
        <f aca="false">IF(OR($B112="",N($C112)=0),"",IFERROR(INDEX(成本费用登记表!$D$4:$D$303,MATCH($B112,成本费用登记表!$C$4:$C$303,0)),""))</f>
        <v/>
      </c>
      <c r="I112" s="39" t="str">
        <f aca="false">IF($B112="","",IF(N($F112)&gt;0,"⚠ 尚欠 "&amp;TEXT(N($F112),"#,##0.00")&amp;" 元","✔ 已结清"))</f>
        <v/>
      </c>
    </row>
    <row r="113" customFormat="false" ht="13.5" hidden="false" customHeight="false" outlineLevel="0" collapsed="false">
      <c r="A113" s="9" t="str">
        <f aca="false">IF($B113="","",ROW()-3)</f>
        <v/>
      </c>
      <c r="B113" s="39" t="str">
        <f aca="false">IFERROR(INDEX(_自动清单!$AD$4:$AD$153,ROW()-3),"")</f>
        <v/>
      </c>
      <c r="C113" s="51" t="str">
        <f aca="false">IF($B113="","",COUNTIF(成本费用登记表!$C$4:$C$303,$B113))</f>
        <v/>
      </c>
      <c r="D113" s="41" t="str">
        <f aca="false">IF($B113="","",ROUND(SUMIF(成本费用登记表!$C$4:$C$303,$B113,成本费用登记表!$H$4:$H$303),2))</f>
        <v/>
      </c>
      <c r="E113" s="41" t="str">
        <f aca="false">IF($B113="","",ROUND(SUMIF(成本费用登记表!$C$4:$C$303,$B113,成本费用登记表!$AA$4:$AA$303),2))</f>
        <v/>
      </c>
      <c r="F113" s="41" t="str">
        <f aca="false">IF($B113="","",ROUND(N($D113)-N($E113),2))</f>
        <v/>
      </c>
      <c r="G113" s="144" t="str">
        <f aca="false">IF(OR($B113="",N($C113)=0),"",IFERROR(INDEX(成本费用登记表!$B$4:$B$303,MATCH($B113,成本费用登记表!$C$4:$C$303,0)),""))</f>
        <v/>
      </c>
      <c r="H113" s="39" t="str">
        <f aca="false">IF(OR($B113="",N($C113)=0),"",IFERROR(INDEX(成本费用登记表!$D$4:$D$303,MATCH($B113,成本费用登记表!$C$4:$C$303,0)),""))</f>
        <v/>
      </c>
      <c r="I113" s="39" t="str">
        <f aca="false">IF($B113="","",IF(N($F113)&gt;0,"⚠ 尚欠 "&amp;TEXT(N($F113),"#,##0.00")&amp;" 元","✔ 已结清"))</f>
        <v/>
      </c>
    </row>
    <row r="114" customFormat="false" ht="13.5" hidden="false" customHeight="false" outlineLevel="0" collapsed="false">
      <c r="A114" s="9" t="str">
        <f aca="false">IF($B114="","",ROW()-3)</f>
        <v/>
      </c>
      <c r="B114" s="39" t="str">
        <f aca="false">IFERROR(INDEX(_自动清单!$AD$4:$AD$153,ROW()-3),"")</f>
        <v/>
      </c>
      <c r="C114" s="51" t="str">
        <f aca="false">IF($B114="","",COUNTIF(成本费用登记表!$C$4:$C$303,$B114))</f>
        <v/>
      </c>
      <c r="D114" s="41" t="str">
        <f aca="false">IF($B114="","",ROUND(SUMIF(成本费用登记表!$C$4:$C$303,$B114,成本费用登记表!$H$4:$H$303),2))</f>
        <v/>
      </c>
      <c r="E114" s="41" t="str">
        <f aca="false">IF($B114="","",ROUND(SUMIF(成本费用登记表!$C$4:$C$303,$B114,成本费用登记表!$AA$4:$AA$303),2))</f>
        <v/>
      </c>
      <c r="F114" s="41" t="str">
        <f aca="false">IF($B114="","",ROUND(N($D114)-N($E114),2))</f>
        <v/>
      </c>
      <c r="G114" s="144" t="str">
        <f aca="false">IF(OR($B114="",N($C114)=0),"",IFERROR(INDEX(成本费用登记表!$B$4:$B$303,MATCH($B114,成本费用登记表!$C$4:$C$303,0)),""))</f>
        <v/>
      </c>
      <c r="H114" s="39" t="str">
        <f aca="false">IF(OR($B114="",N($C114)=0),"",IFERROR(INDEX(成本费用登记表!$D$4:$D$303,MATCH($B114,成本费用登记表!$C$4:$C$303,0)),""))</f>
        <v/>
      </c>
      <c r="I114" s="39" t="str">
        <f aca="false">IF($B114="","",IF(N($F114)&gt;0,"⚠ 尚欠 "&amp;TEXT(N($F114),"#,##0.00")&amp;" 元","✔ 已结清"))</f>
        <v/>
      </c>
    </row>
    <row r="115" customFormat="false" ht="13.5" hidden="false" customHeight="false" outlineLevel="0" collapsed="false">
      <c r="A115" s="9" t="str">
        <f aca="false">IF($B115="","",ROW()-3)</f>
        <v/>
      </c>
      <c r="B115" s="39" t="str">
        <f aca="false">IFERROR(INDEX(_自动清单!$AD$4:$AD$153,ROW()-3),"")</f>
        <v/>
      </c>
      <c r="C115" s="51" t="str">
        <f aca="false">IF($B115="","",COUNTIF(成本费用登记表!$C$4:$C$303,$B115))</f>
        <v/>
      </c>
      <c r="D115" s="41" t="str">
        <f aca="false">IF($B115="","",ROUND(SUMIF(成本费用登记表!$C$4:$C$303,$B115,成本费用登记表!$H$4:$H$303),2))</f>
        <v/>
      </c>
      <c r="E115" s="41" t="str">
        <f aca="false">IF($B115="","",ROUND(SUMIF(成本费用登记表!$C$4:$C$303,$B115,成本费用登记表!$AA$4:$AA$303),2))</f>
        <v/>
      </c>
      <c r="F115" s="41" t="str">
        <f aca="false">IF($B115="","",ROUND(N($D115)-N($E115),2))</f>
        <v/>
      </c>
      <c r="G115" s="144" t="str">
        <f aca="false">IF(OR($B115="",N($C115)=0),"",IFERROR(INDEX(成本费用登记表!$B$4:$B$303,MATCH($B115,成本费用登记表!$C$4:$C$303,0)),""))</f>
        <v/>
      </c>
      <c r="H115" s="39" t="str">
        <f aca="false">IF(OR($B115="",N($C115)=0),"",IFERROR(INDEX(成本费用登记表!$D$4:$D$303,MATCH($B115,成本费用登记表!$C$4:$C$303,0)),""))</f>
        <v/>
      </c>
      <c r="I115" s="39" t="str">
        <f aca="false">IF($B115="","",IF(N($F115)&gt;0,"⚠ 尚欠 "&amp;TEXT(N($F115),"#,##0.00")&amp;" 元","✔ 已结清"))</f>
        <v/>
      </c>
    </row>
    <row r="116" customFormat="false" ht="13.5" hidden="false" customHeight="false" outlineLevel="0" collapsed="false">
      <c r="A116" s="9" t="str">
        <f aca="false">IF($B116="","",ROW()-3)</f>
        <v/>
      </c>
      <c r="B116" s="39" t="str">
        <f aca="false">IFERROR(INDEX(_自动清单!$AD$4:$AD$153,ROW()-3),"")</f>
        <v/>
      </c>
      <c r="C116" s="51" t="str">
        <f aca="false">IF($B116="","",COUNTIF(成本费用登记表!$C$4:$C$303,$B116))</f>
        <v/>
      </c>
      <c r="D116" s="41" t="str">
        <f aca="false">IF($B116="","",ROUND(SUMIF(成本费用登记表!$C$4:$C$303,$B116,成本费用登记表!$H$4:$H$303),2))</f>
        <v/>
      </c>
      <c r="E116" s="41" t="str">
        <f aca="false">IF($B116="","",ROUND(SUMIF(成本费用登记表!$C$4:$C$303,$B116,成本费用登记表!$AA$4:$AA$303),2))</f>
        <v/>
      </c>
      <c r="F116" s="41" t="str">
        <f aca="false">IF($B116="","",ROUND(N($D116)-N($E116),2))</f>
        <v/>
      </c>
      <c r="G116" s="144" t="str">
        <f aca="false">IF(OR($B116="",N($C116)=0),"",IFERROR(INDEX(成本费用登记表!$B$4:$B$303,MATCH($B116,成本费用登记表!$C$4:$C$303,0)),""))</f>
        <v/>
      </c>
      <c r="H116" s="39" t="str">
        <f aca="false">IF(OR($B116="",N($C116)=0),"",IFERROR(INDEX(成本费用登记表!$D$4:$D$303,MATCH($B116,成本费用登记表!$C$4:$C$303,0)),""))</f>
        <v/>
      </c>
      <c r="I116" s="39" t="str">
        <f aca="false">IF($B116="","",IF(N($F116)&gt;0,"⚠ 尚欠 "&amp;TEXT(N($F116),"#,##0.00")&amp;" 元","✔ 已结清"))</f>
        <v/>
      </c>
    </row>
    <row r="117" customFormat="false" ht="13.5" hidden="false" customHeight="false" outlineLevel="0" collapsed="false">
      <c r="A117" s="9" t="str">
        <f aca="false">IF($B117="","",ROW()-3)</f>
        <v/>
      </c>
      <c r="B117" s="39" t="str">
        <f aca="false">IFERROR(INDEX(_自动清单!$AD$4:$AD$153,ROW()-3),"")</f>
        <v/>
      </c>
      <c r="C117" s="51" t="str">
        <f aca="false">IF($B117="","",COUNTIF(成本费用登记表!$C$4:$C$303,$B117))</f>
        <v/>
      </c>
      <c r="D117" s="41" t="str">
        <f aca="false">IF($B117="","",ROUND(SUMIF(成本费用登记表!$C$4:$C$303,$B117,成本费用登记表!$H$4:$H$303),2))</f>
        <v/>
      </c>
      <c r="E117" s="41" t="str">
        <f aca="false">IF($B117="","",ROUND(SUMIF(成本费用登记表!$C$4:$C$303,$B117,成本费用登记表!$AA$4:$AA$303),2))</f>
        <v/>
      </c>
      <c r="F117" s="41" t="str">
        <f aca="false">IF($B117="","",ROUND(N($D117)-N($E117),2))</f>
        <v/>
      </c>
      <c r="G117" s="144" t="str">
        <f aca="false">IF(OR($B117="",N($C117)=0),"",IFERROR(INDEX(成本费用登记表!$B$4:$B$303,MATCH($B117,成本费用登记表!$C$4:$C$303,0)),""))</f>
        <v/>
      </c>
      <c r="H117" s="39" t="str">
        <f aca="false">IF(OR($B117="",N($C117)=0),"",IFERROR(INDEX(成本费用登记表!$D$4:$D$303,MATCH($B117,成本费用登记表!$C$4:$C$303,0)),""))</f>
        <v/>
      </c>
      <c r="I117" s="39" t="str">
        <f aca="false">IF($B117="","",IF(N($F117)&gt;0,"⚠ 尚欠 "&amp;TEXT(N($F117),"#,##0.00")&amp;" 元","✔ 已结清"))</f>
        <v/>
      </c>
    </row>
    <row r="118" customFormat="false" ht="13.5" hidden="false" customHeight="false" outlineLevel="0" collapsed="false">
      <c r="A118" s="9" t="str">
        <f aca="false">IF($B118="","",ROW()-3)</f>
        <v/>
      </c>
      <c r="B118" s="39" t="str">
        <f aca="false">IFERROR(INDEX(_自动清单!$AD$4:$AD$153,ROW()-3),"")</f>
        <v/>
      </c>
      <c r="C118" s="51" t="str">
        <f aca="false">IF($B118="","",COUNTIF(成本费用登记表!$C$4:$C$303,$B118))</f>
        <v/>
      </c>
      <c r="D118" s="41" t="str">
        <f aca="false">IF($B118="","",ROUND(SUMIF(成本费用登记表!$C$4:$C$303,$B118,成本费用登记表!$H$4:$H$303),2))</f>
        <v/>
      </c>
      <c r="E118" s="41" t="str">
        <f aca="false">IF($B118="","",ROUND(SUMIF(成本费用登记表!$C$4:$C$303,$B118,成本费用登记表!$AA$4:$AA$303),2))</f>
        <v/>
      </c>
      <c r="F118" s="41" t="str">
        <f aca="false">IF($B118="","",ROUND(N($D118)-N($E118),2))</f>
        <v/>
      </c>
      <c r="G118" s="144" t="str">
        <f aca="false">IF(OR($B118="",N($C118)=0),"",IFERROR(INDEX(成本费用登记表!$B$4:$B$303,MATCH($B118,成本费用登记表!$C$4:$C$303,0)),""))</f>
        <v/>
      </c>
      <c r="H118" s="39" t="str">
        <f aca="false">IF(OR($B118="",N($C118)=0),"",IFERROR(INDEX(成本费用登记表!$D$4:$D$303,MATCH($B118,成本费用登记表!$C$4:$C$303,0)),""))</f>
        <v/>
      </c>
      <c r="I118" s="39" t="str">
        <f aca="false">IF($B118="","",IF(N($F118)&gt;0,"⚠ 尚欠 "&amp;TEXT(N($F118),"#,##0.00")&amp;" 元","✔ 已结清"))</f>
        <v/>
      </c>
    </row>
    <row r="119" customFormat="false" ht="13.5" hidden="false" customHeight="false" outlineLevel="0" collapsed="false">
      <c r="A119" s="9" t="str">
        <f aca="false">IF($B119="","",ROW()-3)</f>
        <v/>
      </c>
      <c r="B119" s="39" t="str">
        <f aca="false">IFERROR(INDEX(_自动清单!$AD$4:$AD$153,ROW()-3),"")</f>
        <v/>
      </c>
      <c r="C119" s="51" t="str">
        <f aca="false">IF($B119="","",COUNTIF(成本费用登记表!$C$4:$C$303,$B119))</f>
        <v/>
      </c>
      <c r="D119" s="41" t="str">
        <f aca="false">IF($B119="","",ROUND(SUMIF(成本费用登记表!$C$4:$C$303,$B119,成本费用登记表!$H$4:$H$303),2))</f>
        <v/>
      </c>
      <c r="E119" s="41" t="str">
        <f aca="false">IF($B119="","",ROUND(SUMIF(成本费用登记表!$C$4:$C$303,$B119,成本费用登记表!$AA$4:$AA$303),2))</f>
        <v/>
      </c>
      <c r="F119" s="41" t="str">
        <f aca="false">IF($B119="","",ROUND(N($D119)-N($E119),2))</f>
        <v/>
      </c>
      <c r="G119" s="144" t="str">
        <f aca="false">IF(OR($B119="",N($C119)=0),"",IFERROR(INDEX(成本费用登记表!$B$4:$B$303,MATCH($B119,成本费用登记表!$C$4:$C$303,0)),""))</f>
        <v/>
      </c>
      <c r="H119" s="39" t="str">
        <f aca="false">IF(OR($B119="",N($C119)=0),"",IFERROR(INDEX(成本费用登记表!$D$4:$D$303,MATCH($B119,成本费用登记表!$C$4:$C$303,0)),""))</f>
        <v/>
      </c>
      <c r="I119" s="39" t="str">
        <f aca="false">IF($B119="","",IF(N($F119)&gt;0,"⚠ 尚欠 "&amp;TEXT(N($F119),"#,##0.00")&amp;" 元","✔ 已结清"))</f>
        <v/>
      </c>
    </row>
    <row r="120" customFormat="false" ht="13.5" hidden="false" customHeight="false" outlineLevel="0" collapsed="false">
      <c r="A120" s="9" t="str">
        <f aca="false">IF($B120="","",ROW()-3)</f>
        <v/>
      </c>
      <c r="B120" s="39" t="str">
        <f aca="false">IFERROR(INDEX(_自动清单!$AD$4:$AD$153,ROW()-3),"")</f>
        <v/>
      </c>
      <c r="C120" s="51" t="str">
        <f aca="false">IF($B120="","",COUNTIF(成本费用登记表!$C$4:$C$303,$B120))</f>
        <v/>
      </c>
      <c r="D120" s="41" t="str">
        <f aca="false">IF($B120="","",ROUND(SUMIF(成本费用登记表!$C$4:$C$303,$B120,成本费用登记表!$H$4:$H$303),2))</f>
        <v/>
      </c>
      <c r="E120" s="41" t="str">
        <f aca="false">IF($B120="","",ROUND(SUMIF(成本费用登记表!$C$4:$C$303,$B120,成本费用登记表!$AA$4:$AA$303),2))</f>
        <v/>
      </c>
      <c r="F120" s="41" t="str">
        <f aca="false">IF($B120="","",ROUND(N($D120)-N($E120),2))</f>
        <v/>
      </c>
      <c r="G120" s="144" t="str">
        <f aca="false">IF(OR($B120="",N($C120)=0),"",IFERROR(INDEX(成本费用登记表!$B$4:$B$303,MATCH($B120,成本费用登记表!$C$4:$C$303,0)),""))</f>
        <v/>
      </c>
      <c r="H120" s="39" t="str">
        <f aca="false">IF(OR($B120="",N($C120)=0),"",IFERROR(INDEX(成本费用登记表!$D$4:$D$303,MATCH($B120,成本费用登记表!$C$4:$C$303,0)),""))</f>
        <v/>
      </c>
      <c r="I120" s="39" t="str">
        <f aca="false">IF($B120="","",IF(N($F120)&gt;0,"⚠ 尚欠 "&amp;TEXT(N($F120),"#,##0.00")&amp;" 元","✔ 已结清"))</f>
        <v/>
      </c>
    </row>
    <row r="121" customFormat="false" ht="13.5" hidden="false" customHeight="false" outlineLevel="0" collapsed="false">
      <c r="A121" s="9" t="str">
        <f aca="false">IF($B121="","",ROW()-3)</f>
        <v/>
      </c>
      <c r="B121" s="39" t="str">
        <f aca="false">IFERROR(INDEX(_自动清单!$AD$4:$AD$153,ROW()-3),"")</f>
        <v/>
      </c>
      <c r="C121" s="51" t="str">
        <f aca="false">IF($B121="","",COUNTIF(成本费用登记表!$C$4:$C$303,$B121))</f>
        <v/>
      </c>
      <c r="D121" s="41" t="str">
        <f aca="false">IF($B121="","",ROUND(SUMIF(成本费用登记表!$C$4:$C$303,$B121,成本费用登记表!$H$4:$H$303),2))</f>
        <v/>
      </c>
      <c r="E121" s="41" t="str">
        <f aca="false">IF($B121="","",ROUND(SUMIF(成本费用登记表!$C$4:$C$303,$B121,成本费用登记表!$AA$4:$AA$303),2))</f>
        <v/>
      </c>
      <c r="F121" s="41" t="str">
        <f aca="false">IF($B121="","",ROUND(N($D121)-N($E121),2))</f>
        <v/>
      </c>
      <c r="G121" s="144" t="str">
        <f aca="false">IF(OR($B121="",N($C121)=0),"",IFERROR(INDEX(成本费用登记表!$B$4:$B$303,MATCH($B121,成本费用登记表!$C$4:$C$303,0)),""))</f>
        <v/>
      </c>
      <c r="H121" s="39" t="str">
        <f aca="false">IF(OR($B121="",N($C121)=0),"",IFERROR(INDEX(成本费用登记表!$D$4:$D$303,MATCH($B121,成本费用登记表!$C$4:$C$303,0)),""))</f>
        <v/>
      </c>
      <c r="I121" s="39" t="str">
        <f aca="false">IF($B121="","",IF(N($F121)&gt;0,"⚠ 尚欠 "&amp;TEXT(N($F121),"#,##0.00")&amp;" 元","✔ 已结清"))</f>
        <v/>
      </c>
    </row>
    <row r="122" customFormat="false" ht="13.5" hidden="false" customHeight="false" outlineLevel="0" collapsed="false">
      <c r="A122" s="9" t="str">
        <f aca="false">IF($B122="","",ROW()-3)</f>
        <v/>
      </c>
      <c r="B122" s="39" t="str">
        <f aca="false">IFERROR(INDEX(_自动清单!$AD$4:$AD$153,ROW()-3),"")</f>
        <v/>
      </c>
      <c r="C122" s="51" t="str">
        <f aca="false">IF($B122="","",COUNTIF(成本费用登记表!$C$4:$C$303,$B122))</f>
        <v/>
      </c>
      <c r="D122" s="41" t="str">
        <f aca="false">IF($B122="","",ROUND(SUMIF(成本费用登记表!$C$4:$C$303,$B122,成本费用登记表!$H$4:$H$303),2))</f>
        <v/>
      </c>
      <c r="E122" s="41" t="str">
        <f aca="false">IF($B122="","",ROUND(SUMIF(成本费用登记表!$C$4:$C$303,$B122,成本费用登记表!$AA$4:$AA$303),2))</f>
        <v/>
      </c>
      <c r="F122" s="41" t="str">
        <f aca="false">IF($B122="","",ROUND(N($D122)-N($E122),2))</f>
        <v/>
      </c>
      <c r="G122" s="144" t="str">
        <f aca="false">IF(OR($B122="",N($C122)=0),"",IFERROR(INDEX(成本费用登记表!$B$4:$B$303,MATCH($B122,成本费用登记表!$C$4:$C$303,0)),""))</f>
        <v/>
      </c>
      <c r="H122" s="39" t="str">
        <f aca="false">IF(OR($B122="",N($C122)=0),"",IFERROR(INDEX(成本费用登记表!$D$4:$D$303,MATCH($B122,成本费用登记表!$C$4:$C$303,0)),""))</f>
        <v/>
      </c>
      <c r="I122" s="39" t="str">
        <f aca="false">IF($B122="","",IF(N($F122)&gt;0,"⚠ 尚欠 "&amp;TEXT(N($F122),"#,##0.00")&amp;" 元","✔ 已结清"))</f>
        <v/>
      </c>
    </row>
    <row r="123" customFormat="false" ht="13.5" hidden="false" customHeight="false" outlineLevel="0" collapsed="false">
      <c r="A123" s="9" t="str">
        <f aca="false">IF($B123="","",ROW()-3)</f>
        <v/>
      </c>
      <c r="B123" s="39" t="str">
        <f aca="false">IFERROR(INDEX(_自动清单!$AD$4:$AD$153,ROW()-3),"")</f>
        <v/>
      </c>
      <c r="C123" s="51" t="str">
        <f aca="false">IF($B123="","",COUNTIF(成本费用登记表!$C$4:$C$303,$B123))</f>
        <v/>
      </c>
      <c r="D123" s="41" t="str">
        <f aca="false">IF($B123="","",ROUND(SUMIF(成本费用登记表!$C$4:$C$303,$B123,成本费用登记表!$H$4:$H$303),2))</f>
        <v/>
      </c>
      <c r="E123" s="41" t="str">
        <f aca="false">IF($B123="","",ROUND(SUMIF(成本费用登记表!$C$4:$C$303,$B123,成本费用登记表!$AA$4:$AA$303),2))</f>
        <v/>
      </c>
      <c r="F123" s="41" t="str">
        <f aca="false">IF($B123="","",ROUND(N($D123)-N($E123),2))</f>
        <v/>
      </c>
      <c r="G123" s="144" t="str">
        <f aca="false">IF(OR($B123="",N($C123)=0),"",IFERROR(INDEX(成本费用登记表!$B$4:$B$303,MATCH($B123,成本费用登记表!$C$4:$C$303,0)),""))</f>
        <v/>
      </c>
      <c r="H123" s="39" t="str">
        <f aca="false">IF(OR($B123="",N($C123)=0),"",IFERROR(INDEX(成本费用登记表!$D$4:$D$303,MATCH($B123,成本费用登记表!$C$4:$C$303,0)),""))</f>
        <v/>
      </c>
      <c r="I123" s="39" t="str">
        <f aca="false">IF($B123="","",IF(N($F123)&gt;0,"⚠ 尚欠 "&amp;TEXT(N($F123),"#,##0.00")&amp;" 元","✔ 已结清"))</f>
        <v/>
      </c>
    </row>
    <row r="124" customFormat="false" ht="13.5" hidden="false" customHeight="false" outlineLevel="0" collapsed="false">
      <c r="A124" s="9" t="str">
        <f aca="false">IF($B124="","",ROW()-3)</f>
        <v/>
      </c>
      <c r="B124" s="39" t="str">
        <f aca="false">IFERROR(INDEX(_自动清单!$AD$4:$AD$153,ROW()-3),"")</f>
        <v/>
      </c>
      <c r="C124" s="51" t="str">
        <f aca="false">IF($B124="","",COUNTIF(成本费用登记表!$C$4:$C$303,$B124))</f>
        <v/>
      </c>
      <c r="D124" s="41" t="str">
        <f aca="false">IF($B124="","",ROUND(SUMIF(成本费用登记表!$C$4:$C$303,$B124,成本费用登记表!$H$4:$H$303),2))</f>
        <v/>
      </c>
      <c r="E124" s="41" t="str">
        <f aca="false">IF($B124="","",ROUND(SUMIF(成本费用登记表!$C$4:$C$303,$B124,成本费用登记表!$AA$4:$AA$303),2))</f>
        <v/>
      </c>
      <c r="F124" s="41" t="str">
        <f aca="false">IF($B124="","",ROUND(N($D124)-N($E124),2))</f>
        <v/>
      </c>
      <c r="G124" s="144" t="str">
        <f aca="false">IF(OR($B124="",N($C124)=0),"",IFERROR(INDEX(成本费用登记表!$B$4:$B$303,MATCH($B124,成本费用登记表!$C$4:$C$303,0)),""))</f>
        <v/>
      </c>
      <c r="H124" s="39" t="str">
        <f aca="false">IF(OR($B124="",N($C124)=0),"",IFERROR(INDEX(成本费用登记表!$D$4:$D$303,MATCH($B124,成本费用登记表!$C$4:$C$303,0)),""))</f>
        <v/>
      </c>
      <c r="I124" s="39" t="str">
        <f aca="false">IF($B124="","",IF(N($F124)&gt;0,"⚠ 尚欠 "&amp;TEXT(N($F124),"#,##0.00")&amp;" 元","✔ 已结清"))</f>
        <v/>
      </c>
    </row>
    <row r="125" customFormat="false" ht="13.5" hidden="false" customHeight="false" outlineLevel="0" collapsed="false">
      <c r="A125" s="9" t="str">
        <f aca="false">IF($B125="","",ROW()-3)</f>
        <v/>
      </c>
      <c r="B125" s="39" t="str">
        <f aca="false">IFERROR(INDEX(_自动清单!$AD$4:$AD$153,ROW()-3),"")</f>
        <v/>
      </c>
      <c r="C125" s="51" t="str">
        <f aca="false">IF($B125="","",COUNTIF(成本费用登记表!$C$4:$C$303,$B125))</f>
        <v/>
      </c>
      <c r="D125" s="41" t="str">
        <f aca="false">IF($B125="","",ROUND(SUMIF(成本费用登记表!$C$4:$C$303,$B125,成本费用登记表!$H$4:$H$303),2))</f>
        <v/>
      </c>
      <c r="E125" s="41" t="str">
        <f aca="false">IF($B125="","",ROUND(SUMIF(成本费用登记表!$C$4:$C$303,$B125,成本费用登记表!$AA$4:$AA$303),2))</f>
        <v/>
      </c>
      <c r="F125" s="41" t="str">
        <f aca="false">IF($B125="","",ROUND(N($D125)-N($E125),2))</f>
        <v/>
      </c>
      <c r="G125" s="144" t="str">
        <f aca="false">IF(OR($B125="",N($C125)=0),"",IFERROR(INDEX(成本费用登记表!$B$4:$B$303,MATCH($B125,成本费用登记表!$C$4:$C$303,0)),""))</f>
        <v/>
      </c>
      <c r="H125" s="39" t="str">
        <f aca="false">IF(OR($B125="",N($C125)=0),"",IFERROR(INDEX(成本费用登记表!$D$4:$D$303,MATCH($B125,成本费用登记表!$C$4:$C$303,0)),""))</f>
        <v/>
      </c>
      <c r="I125" s="39" t="str">
        <f aca="false">IF($B125="","",IF(N($F125)&gt;0,"⚠ 尚欠 "&amp;TEXT(N($F125),"#,##0.00")&amp;" 元","✔ 已结清"))</f>
        <v/>
      </c>
    </row>
    <row r="126" customFormat="false" ht="13.5" hidden="false" customHeight="false" outlineLevel="0" collapsed="false">
      <c r="A126" s="9" t="str">
        <f aca="false">IF($B126="","",ROW()-3)</f>
        <v/>
      </c>
      <c r="B126" s="39" t="str">
        <f aca="false">IFERROR(INDEX(_自动清单!$AD$4:$AD$153,ROW()-3),"")</f>
        <v/>
      </c>
      <c r="C126" s="51" t="str">
        <f aca="false">IF($B126="","",COUNTIF(成本费用登记表!$C$4:$C$303,$B126))</f>
        <v/>
      </c>
      <c r="D126" s="41" t="str">
        <f aca="false">IF($B126="","",ROUND(SUMIF(成本费用登记表!$C$4:$C$303,$B126,成本费用登记表!$H$4:$H$303),2))</f>
        <v/>
      </c>
      <c r="E126" s="41" t="str">
        <f aca="false">IF($B126="","",ROUND(SUMIF(成本费用登记表!$C$4:$C$303,$B126,成本费用登记表!$AA$4:$AA$303),2))</f>
        <v/>
      </c>
      <c r="F126" s="41" t="str">
        <f aca="false">IF($B126="","",ROUND(N($D126)-N($E126),2))</f>
        <v/>
      </c>
      <c r="G126" s="144" t="str">
        <f aca="false">IF(OR($B126="",N($C126)=0),"",IFERROR(INDEX(成本费用登记表!$B$4:$B$303,MATCH($B126,成本费用登记表!$C$4:$C$303,0)),""))</f>
        <v/>
      </c>
      <c r="H126" s="39" t="str">
        <f aca="false">IF(OR($B126="",N($C126)=0),"",IFERROR(INDEX(成本费用登记表!$D$4:$D$303,MATCH($B126,成本费用登记表!$C$4:$C$303,0)),""))</f>
        <v/>
      </c>
      <c r="I126" s="39" t="str">
        <f aca="false">IF($B126="","",IF(N($F126)&gt;0,"⚠ 尚欠 "&amp;TEXT(N($F126),"#,##0.00")&amp;" 元","✔ 已结清"))</f>
        <v/>
      </c>
    </row>
    <row r="127" customFormat="false" ht="13.5" hidden="false" customHeight="false" outlineLevel="0" collapsed="false">
      <c r="A127" s="9" t="str">
        <f aca="false">IF($B127="","",ROW()-3)</f>
        <v/>
      </c>
      <c r="B127" s="39" t="str">
        <f aca="false">IFERROR(INDEX(_自动清单!$AD$4:$AD$153,ROW()-3),"")</f>
        <v/>
      </c>
      <c r="C127" s="51" t="str">
        <f aca="false">IF($B127="","",COUNTIF(成本费用登记表!$C$4:$C$303,$B127))</f>
        <v/>
      </c>
      <c r="D127" s="41" t="str">
        <f aca="false">IF($B127="","",ROUND(SUMIF(成本费用登记表!$C$4:$C$303,$B127,成本费用登记表!$H$4:$H$303),2))</f>
        <v/>
      </c>
      <c r="E127" s="41" t="str">
        <f aca="false">IF($B127="","",ROUND(SUMIF(成本费用登记表!$C$4:$C$303,$B127,成本费用登记表!$AA$4:$AA$303),2))</f>
        <v/>
      </c>
      <c r="F127" s="41" t="str">
        <f aca="false">IF($B127="","",ROUND(N($D127)-N($E127),2))</f>
        <v/>
      </c>
      <c r="G127" s="144" t="str">
        <f aca="false">IF(OR($B127="",N($C127)=0),"",IFERROR(INDEX(成本费用登记表!$B$4:$B$303,MATCH($B127,成本费用登记表!$C$4:$C$303,0)),""))</f>
        <v/>
      </c>
      <c r="H127" s="39" t="str">
        <f aca="false">IF(OR($B127="",N($C127)=0),"",IFERROR(INDEX(成本费用登记表!$D$4:$D$303,MATCH($B127,成本费用登记表!$C$4:$C$303,0)),""))</f>
        <v/>
      </c>
      <c r="I127" s="39" t="str">
        <f aca="false">IF($B127="","",IF(N($F127)&gt;0,"⚠ 尚欠 "&amp;TEXT(N($F127),"#,##0.00")&amp;" 元","✔ 已结清"))</f>
        <v/>
      </c>
    </row>
    <row r="128" customFormat="false" ht="13.5" hidden="false" customHeight="false" outlineLevel="0" collapsed="false">
      <c r="A128" s="9" t="str">
        <f aca="false">IF($B128="","",ROW()-3)</f>
        <v/>
      </c>
      <c r="B128" s="39" t="str">
        <f aca="false">IFERROR(INDEX(_自动清单!$AD$4:$AD$153,ROW()-3),"")</f>
        <v/>
      </c>
      <c r="C128" s="51" t="str">
        <f aca="false">IF($B128="","",COUNTIF(成本费用登记表!$C$4:$C$303,$B128))</f>
        <v/>
      </c>
      <c r="D128" s="41" t="str">
        <f aca="false">IF($B128="","",ROUND(SUMIF(成本费用登记表!$C$4:$C$303,$B128,成本费用登记表!$H$4:$H$303),2))</f>
        <v/>
      </c>
      <c r="E128" s="41" t="str">
        <f aca="false">IF($B128="","",ROUND(SUMIF(成本费用登记表!$C$4:$C$303,$B128,成本费用登记表!$AA$4:$AA$303),2))</f>
        <v/>
      </c>
      <c r="F128" s="41" t="str">
        <f aca="false">IF($B128="","",ROUND(N($D128)-N($E128),2))</f>
        <v/>
      </c>
      <c r="G128" s="144" t="str">
        <f aca="false">IF(OR($B128="",N($C128)=0),"",IFERROR(INDEX(成本费用登记表!$B$4:$B$303,MATCH($B128,成本费用登记表!$C$4:$C$303,0)),""))</f>
        <v/>
      </c>
      <c r="H128" s="39" t="str">
        <f aca="false">IF(OR($B128="",N($C128)=0),"",IFERROR(INDEX(成本费用登记表!$D$4:$D$303,MATCH($B128,成本费用登记表!$C$4:$C$303,0)),""))</f>
        <v/>
      </c>
      <c r="I128" s="39" t="str">
        <f aca="false">IF($B128="","",IF(N($F128)&gt;0,"⚠ 尚欠 "&amp;TEXT(N($F128),"#,##0.00")&amp;" 元","✔ 已结清"))</f>
        <v/>
      </c>
    </row>
    <row r="129" customFormat="false" ht="13.5" hidden="false" customHeight="false" outlineLevel="0" collapsed="false">
      <c r="A129" s="9" t="str">
        <f aca="false">IF($B129="","",ROW()-3)</f>
        <v/>
      </c>
      <c r="B129" s="39" t="str">
        <f aca="false">IFERROR(INDEX(_自动清单!$AD$4:$AD$153,ROW()-3),"")</f>
        <v/>
      </c>
      <c r="C129" s="51" t="str">
        <f aca="false">IF($B129="","",COUNTIF(成本费用登记表!$C$4:$C$303,$B129))</f>
        <v/>
      </c>
      <c r="D129" s="41" t="str">
        <f aca="false">IF($B129="","",ROUND(SUMIF(成本费用登记表!$C$4:$C$303,$B129,成本费用登记表!$H$4:$H$303),2))</f>
        <v/>
      </c>
      <c r="E129" s="41" t="str">
        <f aca="false">IF($B129="","",ROUND(SUMIF(成本费用登记表!$C$4:$C$303,$B129,成本费用登记表!$AA$4:$AA$303),2))</f>
        <v/>
      </c>
      <c r="F129" s="41" t="str">
        <f aca="false">IF($B129="","",ROUND(N($D129)-N($E129),2))</f>
        <v/>
      </c>
      <c r="G129" s="144" t="str">
        <f aca="false">IF(OR($B129="",N($C129)=0),"",IFERROR(INDEX(成本费用登记表!$B$4:$B$303,MATCH($B129,成本费用登记表!$C$4:$C$303,0)),""))</f>
        <v/>
      </c>
      <c r="H129" s="39" t="str">
        <f aca="false">IF(OR($B129="",N($C129)=0),"",IFERROR(INDEX(成本费用登记表!$D$4:$D$303,MATCH($B129,成本费用登记表!$C$4:$C$303,0)),""))</f>
        <v/>
      </c>
      <c r="I129" s="39" t="str">
        <f aca="false">IF($B129="","",IF(N($F129)&gt;0,"⚠ 尚欠 "&amp;TEXT(N($F129),"#,##0.00")&amp;" 元","✔ 已结清"))</f>
        <v/>
      </c>
    </row>
    <row r="130" customFormat="false" ht="13.5" hidden="false" customHeight="false" outlineLevel="0" collapsed="false">
      <c r="A130" s="9" t="str">
        <f aca="false">IF($B130="","",ROW()-3)</f>
        <v/>
      </c>
      <c r="B130" s="39" t="str">
        <f aca="false">IFERROR(INDEX(_自动清单!$AD$4:$AD$153,ROW()-3),"")</f>
        <v/>
      </c>
      <c r="C130" s="51" t="str">
        <f aca="false">IF($B130="","",COUNTIF(成本费用登记表!$C$4:$C$303,$B130))</f>
        <v/>
      </c>
      <c r="D130" s="41" t="str">
        <f aca="false">IF($B130="","",ROUND(SUMIF(成本费用登记表!$C$4:$C$303,$B130,成本费用登记表!$H$4:$H$303),2))</f>
        <v/>
      </c>
      <c r="E130" s="41" t="str">
        <f aca="false">IF($B130="","",ROUND(SUMIF(成本费用登记表!$C$4:$C$303,$B130,成本费用登记表!$AA$4:$AA$303),2))</f>
        <v/>
      </c>
      <c r="F130" s="41" t="str">
        <f aca="false">IF($B130="","",ROUND(N($D130)-N($E130),2))</f>
        <v/>
      </c>
      <c r="G130" s="144" t="str">
        <f aca="false">IF(OR($B130="",N($C130)=0),"",IFERROR(INDEX(成本费用登记表!$B$4:$B$303,MATCH($B130,成本费用登记表!$C$4:$C$303,0)),""))</f>
        <v/>
      </c>
      <c r="H130" s="39" t="str">
        <f aca="false">IF(OR($B130="",N($C130)=0),"",IFERROR(INDEX(成本费用登记表!$D$4:$D$303,MATCH($B130,成本费用登记表!$C$4:$C$303,0)),""))</f>
        <v/>
      </c>
      <c r="I130" s="39" t="str">
        <f aca="false">IF($B130="","",IF(N($F130)&gt;0,"⚠ 尚欠 "&amp;TEXT(N($F130),"#,##0.00")&amp;" 元","✔ 已结清"))</f>
        <v/>
      </c>
    </row>
    <row r="131" customFormat="false" ht="13.5" hidden="false" customHeight="false" outlineLevel="0" collapsed="false">
      <c r="A131" s="9" t="str">
        <f aca="false">IF($B131="","",ROW()-3)</f>
        <v/>
      </c>
      <c r="B131" s="39" t="str">
        <f aca="false">IFERROR(INDEX(_自动清单!$AD$4:$AD$153,ROW()-3),"")</f>
        <v/>
      </c>
      <c r="C131" s="51" t="str">
        <f aca="false">IF($B131="","",COUNTIF(成本费用登记表!$C$4:$C$303,$B131))</f>
        <v/>
      </c>
      <c r="D131" s="41" t="str">
        <f aca="false">IF($B131="","",ROUND(SUMIF(成本费用登记表!$C$4:$C$303,$B131,成本费用登记表!$H$4:$H$303),2))</f>
        <v/>
      </c>
      <c r="E131" s="41" t="str">
        <f aca="false">IF($B131="","",ROUND(SUMIF(成本费用登记表!$C$4:$C$303,$B131,成本费用登记表!$AA$4:$AA$303),2))</f>
        <v/>
      </c>
      <c r="F131" s="41" t="str">
        <f aca="false">IF($B131="","",ROUND(N($D131)-N($E131),2))</f>
        <v/>
      </c>
      <c r="G131" s="144" t="str">
        <f aca="false">IF(OR($B131="",N($C131)=0),"",IFERROR(INDEX(成本费用登记表!$B$4:$B$303,MATCH($B131,成本费用登记表!$C$4:$C$303,0)),""))</f>
        <v/>
      </c>
      <c r="H131" s="39" t="str">
        <f aca="false">IF(OR($B131="",N($C131)=0),"",IFERROR(INDEX(成本费用登记表!$D$4:$D$303,MATCH($B131,成本费用登记表!$C$4:$C$303,0)),""))</f>
        <v/>
      </c>
      <c r="I131" s="39" t="str">
        <f aca="false">IF($B131="","",IF(N($F131)&gt;0,"⚠ 尚欠 "&amp;TEXT(N($F131),"#,##0.00")&amp;" 元","✔ 已结清"))</f>
        <v/>
      </c>
    </row>
    <row r="132" customFormat="false" ht="13.5" hidden="false" customHeight="false" outlineLevel="0" collapsed="false">
      <c r="A132" s="9" t="str">
        <f aca="false">IF($B132="","",ROW()-3)</f>
        <v/>
      </c>
      <c r="B132" s="39" t="str">
        <f aca="false">IFERROR(INDEX(_自动清单!$AD$4:$AD$153,ROW()-3),"")</f>
        <v/>
      </c>
      <c r="C132" s="51" t="str">
        <f aca="false">IF($B132="","",COUNTIF(成本费用登记表!$C$4:$C$303,$B132))</f>
        <v/>
      </c>
      <c r="D132" s="41" t="str">
        <f aca="false">IF($B132="","",ROUND(SUMIF(成本费用登记表!$C$4:$C$303,$B132,成本费用登记表!$H$4:$H$303),2))</f>
        <v/>
      </c>
      <c r="E132" s="41" t="str">
        <f aca="false">IF($B132="","",ROUND(SUMIF(成本费用登记表!$C$4:$C$303,$B132,成本费用登记表!$AA$4:$AA$303),2))</f>
        <v/>
      </c>
      <c r="F132" s="41" t="str">
        <f aca="false">IF($B132="","",ROUND(N($D132)-N($E132),2))</f>
        <v/>
      </c>
      <c r="G132" s="144" t="str">
        <f aca="false">IF(OR($B132="",N($C132)=0),"",IFERROR(INDEX(成本费用登记表!$B$4:$B$303,MATCH($B132,成本费用登记表!$C$4:$C$303,0)),""))</f>
        <v/>
      </c>
      <c r="H132" s="39" t="str">
        <f aca="false">IF(OR($B132="",N($C132)=0),"",IFERROR(INDEX(成本费用登记表!$D$4:$D$303,MATCH($B132,成本费用登记表!$C$4:$C$303,0)),""))</f>
        <v/>
      </c>
      <c r="I132" s="39" t="str">
        <f aca="false">IF($B132="","",IF(N($F132)&gt;0,"⚠ 尚欠 "&amp;TEXT(N($F132),"#,##0.00")&amp;" 元","✔ 已结清"))</f>
        <v/>
      </c>
    </row>
    <row r="133" customFormat="false" ht="13.5" hidden="false" customHeight="false" outlineLevel="0" collapsed="false">
      <c r="A133" s="9" t="str">
        <f aca="false">IF($B133="","",ROW()-3)</f>
        <v/>
      </c>
      <c r="B133" s="39" t="str">
        <f aca="false">IFERROR(INDEX(_自动清单!$AD$4:$AD$153,ROW()-3),"")</f>
        <v/>
      </c>
      <c r="C133" s="51" t="str">
        <f aca="false">IF($B133="","",COUNTIF(成本费用登记表!$C$4:$C$303,$B133))</f>
        <v/>
      </c>
      <c r="D133" s="41" t="str">
        <f aca="false">IF($B133="","",ROUND(SUMIF(成本费用登记表!$C$4:$C$303,$B133,成本费用登记表!$H$4:$H$303),2))</f>
        <v/>
      </c>
      <c r="E133" s="41" t="str">
        <f aca="false">IF($B133="","",ROUND(SUMIF(成本费用登记表!$C$4:$C$303,$B133,成本费用登记表!$AA$4:$AA$303),2))</f>
        <v/>
      </c>
      <c r="F133" s="41" t="str">
        <f aca="false">IF($B133="","",ROUND(N($D133)-N($E133),2))</f>
        <v/>
      </c>
      <c r="G133" s="144" t="str">
        <f aca="false">IF(OR($B133="",N($C133)=0),"",IFERROR(INDEX(成本费用登记表!$B$4:$B$303,MATCH($B133,成本费用登记表!$C$4:$C$303,0)),""))</f>
        <v/>
      </c>
      <c r="H133" s="39" t="str">
        <f aca="false">IF(OR($B133="",N($C133)=0),"",IFERROR(INDEX(成本费用登记表!$D$4:$D$303,MATCH($B133,成本费用登记表!$C$4:$C$303,0)),""))</f>
        <v/>
      </c>
      <c r="I133" s="39" t="str">
        <f aca="false">IF($B133="","",IF(N($F133)&gt;0,"⚠ 尚欠 "&amp;TEXT(N($F133),"#,##0.00")&amp;" 元","✔ 已结清"))</f>
        <v/>
      </c>
    </row>
    <row r="134" customFormat="false" ht="13.5" hidden="false" customHeight="false" outlineLevel="0" collapsed="false">
      <c r="A134" s="9" t="str">
        <f aca="false">IF($B134="","",ROW()-3)</f>
        <v/>
      </c>
      <c r="B134" s="39" t="str">
        <f aca="false">IFERROR(INDEX(_自动清单!$AD$4:$AD$153,ROW()-3),"")</f>
        <v/>
      </c>
      <c r="C134" s="51" t="str">
        <f aca="false">IF($B134="","",COUNTIF(成本费用登记表!$C$4:$C$303,$B134))</f>
        <v/>
      </c>
      <c r="D134" s="41" t="str">
        <f aca="false">IF($B134="","",ROUND(SUMIF(成本费用登记表!$C$4:$C$303,$B134,成本费用登记表!$H$4:$H$303),2))</f>
        <v/>
      </c>
      <c r="E134" s="41" t="str">
        <f aca="false">IF($B134="","",ROUND(SUMIF(成本费用登记表!$C$4:$C$303,$B134,成本费用登记表!$AA$4:$AA$303),2))</f>
        <v/>
      </c>
      <c r="F134" s="41" t="str">
        <f aca="false">IF($B134="","",ROUND(N($D134)-N($E134),2))</f>
        <v/>
      </c>
      <c r="G134" s="144" t="str">
        <f aca="false">IF(OR($B134="",N($C134)=0),"",IFERROR(INDEX(成本费用登记表!$B$4:$B$303,MATCH($B134,成本费用登记表!$C$4:$C$303,0)),""))</f>
        <v/>
      </c>
      <c r="H134" s="39" t="str">
        <f aca="false">IF(OR($B134="",N($C134)=0),"",IFERROR(INDEX(成本费用登记表!$D$4:$D$303,MATCH($B134,成本费用登记表!$C$4:$C$303,0)),""))</f>
        <v/>
      </c>
      <c r="I134" s="39" t="str">
        <f aca="false">IF($B134="","",IF(N($F134)&gt;0,"⚠ 尚欠 "&amp;TEXT(N($F134),"#,##0.00")&amp;" 元","✔ 已结清"))</f>
        <v/>
      </c>
    </row>
    <row r="135" customFormat="false" ht="13.5" hidden="false" customHeight="false" outlineLevel="0" collapsed="false">
      <c r="A135" s="9" t="str">
        <f aca="false">IF($B135="","",ROW()-3)</f>
        <v/>
      </c>
      <c r="B135" s="39" t="str">
        <f aca="false">IFERROR(INDEX(_自动清单!$AD$4:$AD$153,ROW()-3),"")</f>
        <v/>
      </c>
      <c r="C135" s="51" t="str">
        <f aca="false">IF($B135="","",COUNTIF(成本费用登记表!$C$4:$C$303,$B135))</f>
        <v/>
      </c>
      <c r="D135" s="41" t="str">
        <f aca="false">IF($B135="","",ROUND(SUMIF(成本费用登记表!$C$4:$C$303,$B135,成本费用登记表!$H$4:$H$303),2))</f>
        <v/>
      </c>
      <c r="E135" s="41" t="str">
        <f aca="false">IF($B135="","",ROUND(SUMIF(成本费用登记表!$C$4:$C$303,$B135,成本费用登记表!$AA$4:$AA$303),2))</f>
        <v/>
      </c>
      <c r="F135" s="41" t="str">
        <f aca="false">IF($B135="","",ROUND(N($D135)-N($E135),2))</f>
        <v/>
      </c>
      <c r="G135" s="144" t="str">
        <f aca="false">IF(OR($B135="",N($C135)=0),"",IFERROR(INDEX(成本费用登记表!$B$4:$B$303,MATCH($B135,成本费用登记表!$C$4:$C$303,0)),""))</f>
        <v/>
      </c>
      <c r="H135" s="39" t="str">
        <f aca="false">IF(OR($B135="",N($C135)=0),"",IFERROR(INDEX(成本费用登记表!$D$4:$D$303,MATCH($B135,成本费用登记表!$C$4:$C$303,0)),""))</f>
        <v/>
      </c>
      <c r="I135" s="39" t="str">
        <f aca="false">IF($B135="","",IF(N($F135)&gt;0,"⚠ 尚欠 "&amp;TEXT(N($F135),"#,##0.00")&amp;" 元","✔ 已结清"))</f>
        <v/>
      </c>
    </row>
    <row r="136" customFormat="false" ht="13.5" hidden="false" customHeight="false" outlineLevel="0" collapsed="false">
      <c r="A136" s="9" t="str">
        <f aca="false">IF($B136="","",ROW()-3)</f>
        <v/>
      </c>
      <c r="B136" s="39" t="str">
        <f aca="false">IFERROR(INDEX(_自动清单!$AD$4:$AD$153,ROW()-3),"")</f>
        <v/>
      </c>
      <c r="C136" s="51" t="str">
        <f aca="false">IF($B136="","",COUNTIF(成本费用登记表!$C$4:$C$303,$B136))</f>
        <v/>
      </c>
      <c r="D136" s="41" t="str">
        <f aca="false">IF($B136="","",ROUND(SUMIF(成本费用登记表!$C$4:$C$303,$B136,成本费用登记表!$H$4:$H$303),2))</f>
        <v/>
      </c>
      <c r="E136" s="41" t="str">
        <f aca="false">IF($B136="","",ROUND(SUMIF(成本费用登记表!$C$4:$C$303,$B136,成本费用登记表!$AA$4:$AA$303),2))</f>
        <v/>
      </c>
      <c r="F136" s="41" t="str">
        <f aca="false">IF($B136="","",ROUND(N($D136)-N($E136),2))</f>
        <v/>
      </c>
      <c r="G136" s="144" t="str">
        <f aca="false">IF(OR($B136="",N($C136)=0),"",IFERROR(INDEX(成本费用登记表!$B$4:$B$303,MATCH($B136,成本费用登记表!$C$4:$C$303,0)),""))</f>
        <v/>
      </c>
      <c r="H136" s="39" t="str">
        <f aca="false">IF(OR($B136="",N($C136)=0),"",IFERROR(INDEX(成本费用登记表!$D$4:$D$303,MATCH($B136,成本费用登记表!$C$4:$C$303,0)),""))</f>
        <v/>
      </c>
      <c r="I136" s="39" t="str">
        <f aca="false">IF($B136="","",IF(N($F136)&gt;0,"⚠ 尚欠 "&amp;TEXT(N($F136),"#,##0.00")&amp;" 元","✔ 已结清"))</f>
        <v/>
      </c>
    </row>
    <row r="137" customFormat="false" ht="13.5" hidden="false" customHeight="false" outlineLevel="0" collapsed="false">
      <c r="A137" s="9" t="str">
        <f aca="false">IF($B137="","",ROW()-3)</f>
        <v/>
      </c>
      <c r="B137" s="39" t="str">
        <f aca="false">IFERROR(INDEX(_自动清单!$AD$4:$AD$153,ROW()-3),"")</f>
        <v/>
      </c>
      <c r="C137" s="51" t="str">
        <f aca="false">IF($B137="","",COUNTIF(成本费用登记表!$C$4:$C$303,$B137))</f>
        <v/>
      </c>
      <c r="D137" s="41" t="str">
        <f aca="false">IF($B137="","",ROUND(SUMIF(成本费用登记表!$C$4:$C$303,$B137,成本费用登记表!$H$4:$H$303),2))</f>
        <v/>
      </c>
      <c r="E137" s="41" t="str">
        <f aca="false">IF($B137="","",ROUND(SUMIF(成本费用登记表!$C$4:$C$303,$B137,成本费用登记表!$AA$4:$AA$303),2))</f>
        <v/>
      </c>
      <c r="F137" s="41" t="str">
        <f aca="false">IF($B137="","",ROUND(N($D137)-N($E137),2))</f>
        <v/>
      </c>
      <c r="G137" s="144" t="str">
        <f aca="false">IF(OR($B137="",N($C137)=0),"",IFERROR(INDEX(成本费用登记表!$B$4:$B$303,MATCH($B137,成本费用登记表!$C$4:$C$303,0)),""))</f>
        <v/>
      </c>
      <c r="H137" s="39" t="str">
        <f aca="false">IF(OR($B137="",N($C137)=0),"",IFERROR(INDEX(成本费用登记表!$D$4:$D$303,MATCH($B137,成本费用登记表!$C$4:$C$303,0)),""))</f>
        <v/>
      </c>
      <c r="I137" s="39" t="str">
        <f aca="false">IF($B137="","",IF(N($F137)&gt;0,"⚠ 尚欠 "&amp;TEXT(N($F137),"#,##0.00")&amp;" 元","✔ 已结清"))</f>
        <v/>
      </c>
    </row>
    <row r="138" customFormat="false" ht="13.5" hidden="false" customHeight="false" outlineLevel="0" collapsed="false">
      <c r="A138" s="9" t="str">
        <f aca="false">IF($B138="","",ROW()-3)</f>
        <v/>
      </c>
      <c r="B138" s="39" t="str">
        <f aca="false">IFERROR(INDEX(_自动清单!$AD$4:$AD$153,ROW()-3),"")</f>
        <v/>
      </c>
      <c r="C138" s="51" t="str">
        <f aca="false">IF($B138="","",COUNTIF(成本费用登记表!$C$4:$C$303,$B138))</f>
        <v/>
      </c>
      <c r="D138" s="41" t="str">
        <f aca="false">IF($B138="","",ROUND(SUMIF(成本费用登记表!$C$4:$C$303,$B138,成本费用登记表!$H$4:$H$303),2))</f>
        <v/>
      </c>
      <c r="E138" s="41" t="str">
        <f aca="false">IF($B138="","",ROUND(SUMIF(成本费用登记表!$C$4:$C$303,$B138,成本费用登记表!$AA$4:$AA$303),2))</f>
        <v/>
      </c>
      <c r="F138" s="41" t="str">
        <f aca="false">IF($B138="","",ROUND(N($D138)-N($E138),2))</f>
        <v/>
      </c>
      <c r="G138" s="144" t="str">
        <f aca="false">IF(OR($B138="",N($C138)=0),"",IFERROR(INDEX(成本费用登记表!$B$4:$B$303,MATCH($B138,成本费用登记表!$C$4:$C$303,0)),""))</f>
        <v/>
      </c>
      <c r="H138" s="39" t="str">
        <f aca="false">IF(OR($B138="",N($C138)=0),"",IFERROR(INDEX(成本费用登记表!$D$4:$D$303,MATCH($B138,成本费用登记表!$C$4:$C$303,0)),""))</f>
        <v/>
      </c>
      <c r="I138" s="39" t="str">
        <f aca="false">IF($B138="","",IF(N($F138)&gt;0,"⚠ 尚欠 "&amp;TEXT(N($F138),"#,##0.00")&amp;" 元","✔ 已结清"))</f>
        <v/>
      </c>
    </row>
    <row r="139" customFormat="false" ht="13.5" hidden="false" customHeight="false" outlineLevel="0" collapsed="false">
      <c r="A139" s="9" t="str">
        <f aca="false">IF($B139="","",ROW()-3)</f>
        <v/>
      </c>
      <c r="B139" s="39" t="str">
        <f aca="false">IFERROR(INDEX(_自动清单!$AD$4:$AD$153,ROW()-3),"")</f>
        <v/>
      </c>
      <c r="C139" s="51" t="str">
        <f aca="false">IF($B139="","",COUNTIF(成本费用登记表!$C$4:$C$303,$B139))</f>
        <v/>
      </c>
      <c r="D139" s="41" t="str">
        <f aca="false">IF($B139="","",ROUND(SUMIF(成本费用登记表!$C$4:$C$303,$B139,成本费用登记表!$H$4:$H$303),2))</f>
        <v/>
      </c>
      <c r="E139" s="41" t="str">
        <f aca="false">IF($B139="","",ROUND(SUMIF(成本费用登记表!$C$4:$C$303,$B139,成本费用登记表!$AA$4:$AA$303),2))</f>
        <v/>
      </c>
      <c r="F139" s="41" t="str">
        <f aca="false">IF($B139="","",ROUND(N($D139)-N($E139),2))</f>
        <v/>
      </c>
      <c r="G139" s="144" t="str">
        <f aca="false">IF(OR($B139="",N($C139)=0),"",IFERROR(INDEX(成本费用登记表!$B$4:$B$303,MATCH($B139,成本费用登记表!$C$4:$C$303,0)),""))</f>
        <v/>
      </c>
      <c r="H139" s="39" t="str">
        <f aca="false">IF(OR($B139="",N($C139)=0),"",IFERROR(INDEX(成本费用登记表!$D$4:$D$303,MATCH($B139,成本费用登记表!$C$4:$C$303,0)),""))</f>
        <v/>
      </c>
      <c r="I139" s="39" t="str">
        <f aca="false">IF($B139="","",IF(N($F139)&gt;0,"⚠ 尚欠 "&amp;TEXT(N($F139),"#,##0.00")&amp;" 元","✔ 已结清"))</f>
        <v/>
      </c>
    </row>
    <row r="140" customFormat="false" ht="13.5" hidden="false" customHeight="false" outlineLevel="0" collapsed="false">
      <c r="A140" s="9" t="str">
        <f aca="false">IF($B140="","",ROW()-3)</f>
        <v/>
      </c>
      <c r="B140" s="39" t="str">
        <f aca="false">IFERROR(INDEX(_自动清单!$AD$4:$AD$153,ROW()-3),"")</f>
        <v/>
      </c>
      <c r="C140" s="51" t="str">
        <f aca="false">IF($B140="","",COUNTIF(成本费用登记表!$C$4:$C$303,$B140))</f>
        <v/>
      </c>
      <c r="D140" s="41" t="str">
        <f aca="false">IF($B140="","",ROUND(SUMIF(成本费用登记表!$C$4:$C$303,$B140,成本费用登记表!$H$4:$H$303),2))</f>
        <v/>
      </c>
      <c r="E140" s="41" t="str">
        <f aca="false">IF($B140="","",ROUND(SUMIF(成本费用登记表!$C$4:$C$303,$B140,成本费用登记表!$AA$4:$AA$303),2))</f>
        <v/>
      </c>
      <c r="F140" s="41" t="str">
        <f aca="false">IF($B140="","",ROUND(N($D140)-N($E140),2))</f>
        <v/>
      </c>
      <c r="G140" s="144" t="str">
        <f aca="false">IF(OR($B140="",N($C140)=0),"",IFERROR(INDEX(成本费用登记表!$B$4:$B$303,MATCH($B140,成本费用登记表!$C$4:$C$303,0)),""))</f>
        <v/>
      </c>
      <c r="H140" s="39" t="str">
        <f aca="false">IF(OR($B140="",N($C140)=0),"",IFERROR(INDEX(成本费用登记表!$D$4:$D$303,MATCH($B140,成本费用登记表!$C$4:$C$303,0)),""))</f>
        <v/>
      </c>
      <c r="I140" s="39" t="str">
        <f aca="false">IF($B140="","",IF(N($F140)&gt;0,"⚠ 尚欠 "&amp;TEXT(N($F140),"#,##0.00")&amp;" 元","✔ 已结清"))</f>
        <v/>
      </c>
    </row>
    <row r="141" customFormat="false" ht="13.5" hidden="false" customHeight="false" outlineLevel="0" collapsed="false">
      <c r="A141" s="9" t="str">
        <f aca="false">IF($B141="","",ROW()-3)</f>
        <v/>
      </c>
      <c r="B141" s="39" t="str">
        <f aca="false">IFERROR(INDEX(_自动清单!$AD$4:$AD$153,ROW()-3),"")</f>
        <v/>
      </c>
      <c r="C141" s="51" t="str">
        <f aca="false">IF($B141="","",COUNTIF(成本费用登记表!$C$4:$C$303,$B141))</f>
        <v/>
      </c>
      <c r="D141" s="41" t="str">
        <f aca="false">IF($B141="","",ROUND(SUMIF(成本费用登记表!$C$4:$C$303,$B141,成本费用登记表!$H$4:$H$303),2))</f>
        <v/>
      </c>
      <c r="E141" s="41" t="str">
        <f aca="false">IF($B141="","",ROUND(SUMIF(成本费用登记表!$C$4:$C$303,$B141,成本费用登记表!$AA$4:$AA$303),2))</f>
        <v/>
      </c>
      <c r="F141" s="41" t="str">
        <f aca="false">IF($B141="","",ROUND(N($D141)-N($E141),2))</f>
        <v/>
      </c>
      <c r="G141" s="144" t="str">
        <f aca="false">IF(OR($B141="",N($C141)=0),"",IFERROR(INDEX(成本费用登记表!$B$4:$B$303,MATCH($B141,成本费用登记表!$C$4:$C$303,0)),""))</f>
        <v/>
      </c>
      <c r="H141" s="39" t="str">
        <f aca="false">IF(OR($B141="",N($C141)=0),"",IFERROR(INDEX(成本费用登记表!$D$4:$D$303,MATCH($B141,成本费用登记表!$C$4:$C$303,0)),""))</f>
        <v/>
      </c>
      <c r="I141" s="39" t="str">
        <f aca="false">IF($B141="","",IF(N($F141)&gt;0,"⚠ 尚欠 "&amp;TEXT(N($F141),"#,##0.00")&amp;" 元","✔ 已结清"))</f>
        <v/>
      </c>
    </row>
    <row r="142" customFormat="false" ht="13.5" hidden="false" customHeight="false" outlineLevel="0" collapsed="false">
      <c r="A142" s="9" t="str">
        <f aca="false">IF($B142="","",ROW()-3)</f>
        <v/>
      </c>
      <c r="B142" s="39" t="str">
        <f aca="false">IFERROR(INDEX(_自动清单!$AD$4:$AD$153,ROW()-3),"")</f>
        <v/>
      </c>
      <c r="C142" s="51" t="str">
        <f aca="false">IF($B142="","",COUNTIF(成本费用登记表!$C$4:$C$303,$B142))</f>
        <v/>
      </c>
      <c r="D142" s="41" t="str">
        <f aca="false">IF($B142="","",ROUND(SUMIF(成本费用登记表!$C$4:$C$303,$B142,成本费用登记表!$H$4:$H$303),2))</f>
        <v/>
      </c>
      <c r="E142" s="41" t="str">
        <f aca="false">IF($B142="","",ROUND(SUMIF(成本费用登记表!$C$4:$C$303,$B142,成本费用登记表!$AA$4:$AA$303),2))</f>
        <v/>
      </c>
      <c r="F142" s="41" t="str">
        <f aca="false">IF($B142="","",ROUND(N($D142)-N($E142),2))</f>
        <v/>
      </c>
      <c r="G142" s="144" t="str">
        <f aca="false">IF(OR($B142="",N($C142)=0),"",IFERROR(INDEX(成本费用登记表!$B$4:$B$303,MATCH($B142,成本费用登记表!$C$4:$C$303,0)),""))</f>
        <v/>
      </c>
      <c r="H142" s="39" t="str">
        <f aca="false">IF(OR($B142="",N($C142)=0),"",IFERROR(INDEX(成本费用登记表!$D$4:$D$303,MATCH($B142,成本费用登记表!$C$4:$C$303,0)),""))</f>
        <v/>
      </c>
      <c r="I142" s="39" t="str">
        <f aca="false">IF($B142="","",IF(N($F142)&gt;0,"⚠ 尚欠 "&amp;TEXT(N($F142),"#,##0.00")&amp;" 元","✔ 已结清"))</f>
        <v/>
      </c>
    </row>
    <row r="143" customFormat="false" ht="13.5" hidden="false" customHeight="false" outlineLevel="0" collapsed="false">
      <c r="A143" s="9" t="str">
        <f aca="false">IF($B143="","",ROW()-3)</f>
        <v/>
      </c>
      <c r="B143" s="39" t="str">
        <f aca="false">IFERROR(INDEX(_自动清单!$AD$4:$AD$153,ROW()-3),"")</f>
        <v/>
      </c>
      <c r="C143" s="51" t="str">
        <f aca="false">IF($B143="","",COUNTIF(成本费用登记表!$C$4:$C$303,$B143))</f>
        <v/>
      </c>
      <c r="D143" s="41" t="str">
        <f aca="false">IF($B143="","",ROUND(SUMIF(成本费用登记表!$C$4:$C$303,$B143,成本费用登记表!$H$4:$H$303),2))</f>
        <v/>
      </c>
      <c r="E143" s="41" t="str">
        <f aca="false">IF($B143="","",ROUND(SUMIF(成本费用登记表!$C$4:$C$303,$B143,成本费用登记表!$AA$4:$AA$303),2))</f>
        <v/>
      </c>
      <c r="F143" s="41" t="str">
        <f aca="false">IF($B143="","",ROUND(N($D143)-N($E143),2))</f>
        <v/>
      </c>
      <c r="G143" s="144" t="str">
        <f aca="false">IF(OR($B143="",N($C143)=0),"",IFERROR(INDEX(成本费用登记表!$B$4:$B$303,MATCH($B143,成本费用登记表!$C$4:$C$303,0)),""))</f>
        <v/>
      </c>
      <c r="H143" s="39" t="str">
        <f aca="false">IF(OR($B143="",N($C143)=0),"",IFERROR(INDEX(成本费用登记表!$D$4:$D$303,MATCH($B143,成本费用登记表!$C$4:$C$303,0)),""))</f>
        <v/>
      </c>
      <c r="I143" s="39" t="str">
        <f aca="false">IF($B143="","",IF(N($F143)&gt;0,"⚠ 尚欠 "&amp;TEXT(N($F143),"#,##0.00")&amp;" 元","✔ 已结清"))</f>
        <v/>
      </c>
    </row>
    <row r="144" customFormat="false" ht="13.5" hidden="false" customHeight="false" outlineLevel="0" collapsed="false">
      <c r="A144" s="9" t="str">
        <f aca="false">IF($B144="","",ROW()-3)</f>
        <v/>
      </c>
      <c r="B144" s="39" t="str">
        <f aca="false">IFERROR(INDEX(_自动清单!$AD$4:$AD$153,ROW()-3),"")</f>
        <v/>
      </c>
      <c r="C144" s="51" t="str">
        <f aca="false">IF($B144="","",COUNTIF(成本费用登记表!$C$4:$C$303,$B144))</f>
        <v/>
      </c>
      <c r="D144" s="41" t="str">
        <f aca="false">IF($B144="","",ROUND(SUMIF(成本费用登记表!$C$4:$C$303,$B144,成本费用登记表!$H$4:$H$303),2))</f>
        <v/>
      </c>
      <c r="E144" s="41" t="str">
        <f aca="false">IF($B144="","",ROUND(SUMIF(成本费用登记表!$C$4:$C$303,$B144,成本费用登记表!$AA$4:$AA$303),2))</f>
        <v/>
      </c>
      <c r="F144" s="41" t="str">
        <f aca="false">IF($B144="","",ROUND(N($D144)-N($E144),2))</f>
        <v/>
      </c>
      <c r="G144" s="144" t="str">
        <f aca="false">IF(OR($B144="",N($C144)=0),"",IFERROR(INDEX(成本费用登记表!$B$4:$B$303,MATCH($B144,成本费用登记表!$C$4:$C$303,0)),""))</f>
        <v/>
      </c>
      <c r="H144" s="39" t="str">
        <f aca="false">IF(OR($B144="",N($C144)=0),"",IFERROR(INDEX(成本费用登记表!$D$4:$D$303,MATCH($B144,成本费用登记表!$C$4:$C$303,0)),""))</f>
        <v/>
      </c>
      <c r="I144" s="39" t="str">
        <f aca="false">IF($B144="","",IF(N($F144)&gt;0,"⚠ 尚欠 "&amp;TEXT(N($F144),"#,##0.00")&amp;" 元","✔ 已结清"))</f>
        <v/>
      </c>
    </row>
    <row r="145" customFormat="false" ht="13.5" hidden="false" customHeight="false" outlineLevel="0" collapsed="false">
      <c r="A145" s="9" t="str">
        <f aca="false">IF($B145="","",ROW()-3)</f>
        <v/>
      </c>
      <c r="B145" s="39" t="str">
        <f aca="false">IFERROR(INDEX(_自动清单!$AD$4:$AD$153,ROW()-3),"")</f>
        <v/>
      </c>
      <c r="C145" s="51" t="str">
        <f aca="false">IF($B145="","",COUNTIF(成本费用登记表!$C$4:$C$303,$B145))</f>
        <v/>
      </c>
      <c r="D145" s="41" t="str">
        <f aca="false">IF($B145="","",ROUND(SUMIF(成本费用登记表!$C$4:$C$303,$B145,成本费用登记表!$H$4:$H$303),2))</f>
        <v/>
      </c>
      <c r="E145" s="41" t="str">
        <f aca="false">IF($B145="","",ROUND(SUMIF(成本费用登记表!$C$4:$C$303,$B145,成本费用登记表!$AA$4:$AA$303),2))</f>
        <v/>
      </c>
      <c r="F145" s="41" t="str">
        <f aca="false">IF($B145="","",ROUND(N($D145)-N($E145),2))</f>
        <v/>
      </c>
      <c r="G145" s="144" t="str">
        <f aca="false">IF(OR($B145="",N($C145)=0),"",IFERROR(INDEX(成本费用登记表!$B$4:$B$303,MATCH($B145,成本费用登记表!$C$4:$C$303,0)),""))</f>
        <v/>
      </c>
      <c r="H145" s="39" t="str">
        <f aca="false">IF(OR($B145="",N($C145)=0),"",IFERROR(INDEX(成本费用登记表!$D$4:$D$303,MATCH($B145,成本费用登记表!$C$4:$C$303,0)),""))</f>
        <v/>
      </c>
      <c r="I145" s="39" t="str">
        <f aca="false">IF($B145="","",IF(N($F145)&gt;0,"⚠ 尚欠 "&amp;TEXT(N($F145),"#,##0.00")&amp;" 元","✔ 已结清"))</f>
        <v/>
      </c>
    </row>
    <row r="146" customFormat="false" ht="13.5" hidden="false" customHeight="false" outlineLevel="0" collapsed="false">
      <c r="A146" s="9" t="str">
        <f aca="false">IF($B146="","",ROW()-3)</f>
        <v/>
      </c>
      <c r="B146" s="39" t="str">
        <f aca="false">IFERROR(INDEX(_自动清单!$AD$4:$AD$153,ROW()-3),"")</f>
        <v/>
      </c>
      <c r="C146" s="51" t="str">
        <f aca="false">IF($B146="","",COUNTIF(成本费用登记表!$C$4:$C$303,$B146))</f>
        <v/>
      </c>
      <c r="D146" s="41" t="str">
        <f aca="false">IF($B146="","",ROUND(SUMIF(成本费用登记表!$C$4:$C$303,$B146,成本费用登记表!$H$4:$H$303),2))</f>
        <v/>
      </c>
      <c r="E146" s="41" t="str">
        <f aca="false">IF($B146="","",ROUND(SUMIF(成本费用登记表!$C$4:$C$303,$B146,成本费用登记表!$AA$4:$AA$303),2))</f>
        <v/>
      </c>
      <c r="F146" s="41" t="str">
        <f aca="false">IF($B146="","",ROUND(N($D146)-N($E146),2))</f>
        <v/>
      </c>
      <c r="G146" s="144" t="str">
        <f aca="false">IF(OR($B146="",N($C146)=0),"",IFERROR(INDEX(成本费用登记表!$B$4:$B$303,MATCH($B146,成本费用登记表!$C$4:$C$303,0)),""))</f>
        <v/>
      </c>
      <c r="H146" s="39" t="str">
        <f aca="false">IF(OR($B146="",N($C146)=0),"",IFERROR(INDEX(成本费用登记表!$D$4:$D$303,MATCH($B146,成本费用登记表!$C$4:$C$303,0)),""))</f>
        <v/>
      </c>
      <c r="I146" s="39" t="str">
        <f aca="false">IF($B146="","",IF(N($F146)&gt;0,"⚠ 尚欠 "&amp;TEXT(N($F146),"#,##0.00")&amp;" 元","✔ 已结清"))</f>
        <v/>
      </c>
    </row>
    <row r="147" customFormat="false" ht="13.5" hidden="false" customHeight="false" outlineLevel="0" collapsed="false">
      <c r="A147" s="9" t="str">
        <f aca="false">IF($B147="","",ROW()-3)</f>
        <v/>
      </c>
      <c r="B147" s="39" t="str">
        <f aca="false">IFERROR(INDEX(_自动清单!$AD$4:$AD$153,ROW()-3),"")</f>
        <v/>
      </c>
      <c r="C147" s="51" t="str">
        <f aca="false">IF($B147="","",COUNTIF(成本费用登记表!$C$4:$C$303,$B147))</f>
        <v/>
      </c>
      <c r="D147" s="41" t="str">
        <f aca="false">IF($B147="","",ROUND(SUMIF(成本费用登记表!$C$4:$C$303,$B147,成本费用登记表!$H$4:$H$303),2))</f>
        <v/>
      </c>
      <c r="E147" s="41" t="str">
        <f aca="false">IF($B147="","",ROUND(SUMIF(成本费用登记表!$C$4:$C$303,$B147,成本费用登记表!$AA$4:$AA$303),2))</f>
        <v/>
      </c>
      <c r="F147" s="41" t="str">
        <f aca="false">IF($B147="","",ROUND(N($D147)-N($E147),2))</f>
        <v/>
      </c>
      <c r="G147" s="144" t="str">
        <f aca="false">IF(OR($B147="",N($C147)=0),"",IFERROR(INDEX(成本费用登记表!$B$4:$B$303,MATCH($B147,成本费用登记表!$C$4:$C$303,0)),""))</f>
        <v/>
      </c>
      <c r="H147" s="39" t="str">
        <f aca="false">IF(OR($B147="",N($C147)=0),"",IFERROR(INDEX(成本费用登记表!$D$4:$D$303,MATCH($B147,成本费用登记表!$C$4:$C$303,0)),""))</f>
        <v/>
      </c>
      <c r="I147" s="39" t="str">
        <f aca="false">IF($B147="","",IF(N($F147)&gt;0,"⚠ 尚欠 "&amp;TEXT(N($F147),"#,##0.00")&amp;" 元","✔ 已结清"))</f>
        <v/>
      </c>
    </row>
    <row r="148" customFormat="false" ht="13.5" hidden="false" customHeight="false" outlineLevel="0" collapsed="false">
      <c r="A148" s="9" t="str">
        <f aca="false">IF($B148="","",ROW()-3)</f>
        <v/>
      </c>
      <c r="B148" s="39" t="str">
        <f aca="false">IFERROR(INDEX(_自动清单!$AD$4:$AD$153,ROW()-3),"")</f>
        <v/>
      </c>
      <c r="C148" s="51" t="str">
        <f aca="false">IF($B148="","",COUNTIF(成本费用登记表!$C$4:$C$303,$B148))</f>
        <v/>
      </c>
      <c r="D148" s="41" t="str">
        <f aca="false">IF($B148="","",ROUND(SUMIF(成本费用登记表!$C$4:$C$303,$B148,成本费用登记表!$H$4:$H$303),2))</f>
        <v/>
      </c>
      <c r="E148" s="41" t="str">
        <f aca="false">IF($B148="","",ROUND(SUMIF(成本费用登记表!$C$4:$C$303,$B148,成本费用登记表!$AA$4:$AA$303),2))</f>
        <v/>
      </c>
      <c r="F148" s="41" t="str">
        <f aca="false">IF($B148="","",ROUND(N($D148)-N($E148),2))</f>
        <v/>
      </c>
      <c r="G148" s="144" t="str">
        <f aca="false">IF(OR($B148="",N($C148)=0),"",IFERROR(INDEX(成本费用登记表!$B$4:$B$303,MATCH($B148,成本费用登记表!$C$4:$C$303,0)),""))</f>
        <v/>
      </c>
      <c r="H148" s="39" t="str">
        <f aca="false">IF(OR($B148="",N($C148)=0),"",IFERROR(INDEX(成本费用登记表!$D$4:$D$303,MATCH($B148,成本费用登记表!$C$4:$C$303,0)),""))</f>
        <v/>
      </c>
      <c r="I148" s="39" t="str">
        <f aca="false">IF($B148="","",IF(N($F148)&gt;0,"⚠ 尚欠 "&amp;TEXT(N($F148),"#,##0.00")&amp;" 元","✔ 已结清"))</f>
        <v/>
      </c>
    </row>
    <row r="149" customFormat="false" ht="13.5" hidden="false" customHeight="false" outlineLevel="0" collapsed="false">
      <c r="A149" s="9" t="str">
        <f aca="false">IF($B149="","",ROW()-3)</f>
        <v/>
      </c>
      <c r="B149" s="39" t="str">
        <f aca="false">IFERROR(INDEX(_自动清单!$AD$4:$AD$153,ROW()-3),"")</f>
        <v/>
      </c>
      <c r="C149" s="51" t="str">
        <f aca="false">IF($B149="","",COUNTIF(成本费用登记表!$C$4:$C$303,$B149))</f>
        <v/>
      </c>
      <c r="D149" s="41" t="str">
        <f aca="false">IF($B149="","",ROUND(SUMIF(成本费用登记表!$C$4:$C$303,$B149,成本费用登记表!$H$4:$H$303),2))</f>
        <v/>
      </c>
      <c r="E149" s="41" t="str">
        <f aca="false">IF($B149="","",ROUND(SUMIF(成本费用登记表!$C$4:$C$303,$B149,成本费用登记表!$AA$4:$AA$303),2))</f>
        <v/>
      </c>
      <c r="F149" s="41" t="str">
        <f aca="false">IF($B149="","",ROUND(N($D149)-N($E149),2))</f>
        <v/>
      </c>
      <c r="G149" s="144" t="str">
        <f aca="false">IF(OR($B149="",N($C149)=0),"",IFERROR(INDEX(成本费用登记表!$B$4:$B$303,MATCH($B149,成本费用登记表!$C$4:$C$303,0)),""))</f>
        <v/>
      </c>
      <c r="H149" s="39" t="str">
        <f aca="false">IF(OR($B149="",N($C149)=0),"",IFERROR(INDEX(成本费用登记表!$D$4:$D$303,MATCH($B149,成本费用登记表!$C$4:$C$303,0)),""))</f>
        <v/>
      </c>
      <c r="I149" s="39" t="str">
        <f aca="false">IF($B149="","",IF(N($F149)&gt;0,"⚠ 尚欠 "&amp;TEXT(N($F149),"#,##0.00")&amp;" 元","✔ 已结清"))</f>
        <v/>
      </c>
    </row>
    <row r="150" customFormat="false" ht="13.5" hidden="false" customHeight="false" outlineLevel="0" collapsed="false">
      <c r="A150" s="9" t="str">
        <f aca="false">IF($B150="","",ROW()-3)</f>
        <v/>
      </c>
      <c r="B150" s="39" t="str">
        <f aca="false">IFERROR(INDEX(_自动清单!$AD$4:$AD$153,ROW()-3),"")</f>
        <v/>
      </c>
      <c r="C150" s="51" t="str">
        <f aca="false">IF($B150="","",COUNTIF(成本费用登记表!$C$4:$C$303,$B150))</f>
        <v/>
      </c>
      <c r="D150" s="41" t="str">
        <f aca="false">IF($B150="","",ROUND(SUMIF(成本费用登记表!$C$4:$C$303,$B150,成本费用登记表!$H$4:$H$303),2))</f>
        <v/>
      </c>
      <c r="E150" s="41" t="str">
        <f aca="false">IF($B150="","",ROUND(SUMIF(成本费用登记表!$C$4:$C$303,$B150,成本费用登记表!$AA$4:$AA$303),2))</f>
        <v/>
      </c>
      <c r="F150" s="41" t="str">
        <f aca="false">IF($B150="","",ROUND(N($D150)-N($E150),2))</f>
        <v/>
      </c>
      <c r="G150" s="144" t="str">
        <f aca="false">IF(OR($B150="",N($C150)=0),"",IFERROR(INDEX(成本费用登记表!$B$4:$B$303,MATCH($B150,成本费用登记表!$C$4:$C$303,0)),""))</f>
        <v/>
      </c>
      <c r="H150" s="39" t="str">
        <f aca="false">IF(OR($B150="",N($C150)=0),"",IFERROR(INDEX(成本费用登记表!$D$4:$D$303,MATCH($B150,成本费用登记表!$C$4:$C$303,0)),""))</f>
        <v/>
      </c>
      <c r="I150" s="39" t="str">
        <f aca="false">IF($B150="","",IF(N($F150)&gt;0,"⚠ 尚欠 "&amp;TEXT(N($F150),"#,##0.00")&amp;" 元","✔ 已结清"))</f>
        <v/>
      </c>
    </row>
    <row r="151" customFormat="false" ht="13.5" hidden="false" customHeight="false" outlineLevel="0" collapsed="false">
      <c r="A151" s="9" t="str">
        <f aca="false">IF($B151="","",ROW()-3)</f>
        <v/>
      </c>
      <c r="B151" s="39" t="str">
        <f aca="false">IFERROR(INDEX(_自动清单!$AD$4:$AD$153,ROW()-3),"")</f>
        <v/>
      </c>
      <c r="C151" s="51" t="str">
        <f aca="false">IF($B151="","",COUNTIF(成本费用登记表!$C$4:$C$303,$B151))</f>
        <v/>
      </c>
      <c r="D151" s="41" t="str">
        <f aca="false">IF($B151="","",ROUND(SUMIF(成本费用登记表!$C$4:$C$303,$B151,成本费用登记表!$H$4:$H$303),2))</f>
        <v/>
      </c>
      <c r="E151" s="41" t="str">
        <f aca="false">IF($B151="","",ROUND(SUMIF(成本费用登记表!$C$4:$C$303,$B151,成本费用登记表!$AA$4:$AA$303),2))</f>
        <v/>
      </c>
      <c r="F151" s="41" t="str">
        <f aca="false">IF($B151="","",ROUND(N($D151)-N($E151),2))</f>
        <v/>
      </c>
      <c r="G151" s="144" t="str">
        <f aca="false">IF(OR($B151="",N($C151)=0),"",IFERROR(INDEX(成本费用登记表!$B$4:$B$303,MATCH($B151,成本费用登记表!$C$4:$C$303,0)),""))</f>
        <v/>
      </c>
      <c r="H151" s="39" t="str">
        <f aca="false">IF(OR($B151="",N($C151)=0),"",IFERROR(INDEX(成本费用登记表!$D$4:$D$303,MATCH($B151,成本费用登记表!$C$4:$C$303,0)),""))</f>
        <v/>
      </c>
      <c r="I151" s="39" t="str">
        <f aca="false">IF($B151="","",IF(N($F151)&gt;0,"⚠ 尚欠 "&amp;TEXT(N($F151),"#,##0.00")&amp;" 元","✔ 已结清"))</f>
        <v/>
      </c>
    </row>
    <row r="152" customFormat="false" ht="13.5" hidden="false" customHeight="false" outlineLevel="0" collapsed="false">
      <c r="A152" s="9" t="str">
        <f aca="false">IF($B152="","",ROW()-3)</f>
        <v/>
      </c>
      <c r="B152" s="39" t="str">
        <f aca="false">IFERROR(INDEX(_自动清单!$AD$4:$AD$153,ROW()-3),"")</f>
        <v/>
      </c>
      <c r="C152" s="51" t="str">
        <f aca="false">IF($B152="","",COUNTIF(成本费用登记表!$C$4:$C$303,$B152))</f>
        <v/>
      </c>
      <c r="D152" s="41" t="str">
        <f aca="false">IF($B152="","",ROUND(SUMIF(成本费用登记表!$C$4:$C$303,$B152,成本费用登记表!$H$4:$H$303),2))</f>
        <v/>
      </c>
      <c r="E152" s="41" t="str">
        <f aca="false">IF($B152="","",ROUND(SUMIF(成本费用登记表!$C$4:$C$303,$B152,成本费用登记表!$AA$4:$AA$303),2))</f>
        <v/>
      </c>
      <c r="F152" s="41" t="str">
        <f aca="false">IF($B152="","",ROUND(N($D152)-N($E152),2))</f>
        <v/>
      </c>
      <c r="G152" s="144" t="str">
        <f aca="false">IF(OR($B152="",N($C152)=0),"",IFERROR(INDEX(成本费用登记表!$B$4:$B$303,MATCH($B152,成本费用登记表!$C$4:$C$303,0)),""))</f>
        <v/>
      </c>
      <c r="H152" s="39" t="str">
        <f aca="false">IF(OR($B152="",N($C152)=0),"",IFERROR(INDEX(成本费用登记表!$D$4:$D$303,MATCH($B152,成本费用登记表!$C$4:$C$303,0)),""))</f>
        <v/>
      </c>
      <c r="I152" s="39" t="str">
        <f aca="false">IF($B152="","",IF(N($F152)&gt;0,"⚠ 尚欠 "&amp;TEXT(N($F152),"#,##0.00")&amp;" 元","✔ 已结清"))</f>
        <v/>
      </c>
    </row>
    <row r="153" customFormat="false" ht="13.5" hidden="false" customHeight="false" outlineLevel="0" collapsed="false">
      <c r="A153" s="9" t="str">
        <f aca="false">IF($B153="","",ROW()-3)</f>
        <v/>
      </c>
      <c r="B153" s="39" t="str">
        <f aca="false">IFERROR(INDEX(_自动清单!$AD$4:$AD$153,ROW()-3),"")</f>
        <v/>
      </c>
      <c r="C153" s="51" t="str">
        <f aca="false">IF($B153="","",COUNTIF(成本费用登记表!$C$4:$C$303,$B153))</f>
        <v/>
      </c>
      <c r="D153" s="41" t="str">
        <f aca="false">IF($B153="","",ROUND(SUMIF(成本费用登记表!$C$4:$C$303,$B153,成本费用登记表!$H$4:$H$303),2))</f>
        <v/>
      </c>
      <c r="E153" s="41" t="str">
        <f aca="false">IF($B153="","",ROUND(SUMIF(成本费用登记表!$C$4:$C$303,$B153,成本费用登记表!$AA$4:$AA$303),2))</f>
        <v/>
      </c>
      <c r="F153" s="41" t="str">
        <f aca="false">IF($B153="","",ROUND(N($D153)-N($E153),2))</f>
        <v/>
      </c>
      <c r="G153" s="144" t="str">
        <f aca="false">IF(OR($B153="",N($C153)=0),"",IFERROR(INDEX(成本费用登记表!$B$4:$B$303,MATCH($B153,成本费用登记表!$C$4:$C$303,0)),""))</f>
        <v/>
      </c>
      <c r="H153" s="39" t="str">
        <f aca="false">IF(OR($B153="",N($C153)=0),"",IFERROR(INDEX(成本费用登记表!$D$4:$D$303,MATCH($B153,成本费用登记表!$C$4:$C$303,0)),""))</f>
        <v/>
      </c>
      <c r="I153" s="39" t="str">
        <f aca="false">IF($B153="","",IF(N($F153)&gt;0,"⚠ 尚欠 "&amp;TEXT(N($F153),"#,##0.00")&amp;" 元","✔ 已结清"))</f>
        <v/>
      </c>
    </row>
    <row r="154" customFormat="false" ht="13.5" hidden="false" customHeight="false" outlineLevel="0" collapsed="false">
      <c r="A154" s="83"/>
      <c r="B154" s="79" t="s">
        <v>229</v>
      </c>
      <c r="C154" s="80" t="n">
        <f aca="false">ROUND(SUM(C4:C153),2)</f>
        <v>0</v>
      </c>
      <c r="D154" s="81" t="n">
        <f aca="false">ROUND(SUM(D4:D153),2)</f>
        <v>0</v>
      </c>
      <c r="E154" s="81" t="n">
        <f aca="false">ROUND(SUM(E4:E153),2)</f>
        <v>0</v>
      </c>
      <c r="F154" s="81" t="n">
        <f aca="false">ROUND(SUM(F4:F153),2)</f>
        <v>0</v>
      </c>
      <c r="G154" s="83"/>
      <c r="H154" s="83"/>
      <c r="I154" s="83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5C70"/>
    <pageSetUpPr fitToPage="true"/>
  </sheetPr>
  <dimension ref="A1:R309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H17" activeCellId="0" sqref="H17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5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3"/>
  </cols>
  <sheetData>
    <row r="1" customFormat="false" ht="54" hidden="false" customHeight="true" outlineLevel="0" collapsed="false">
      <c r="A1" s="145" t="s">
        <v>834</v>
      </c>
      <c r="B1" s="145"/>
      <c r="C1" s="145"/>
      <c r="D1" s="145"/>
      <c r="E1" s="145"/>
      <c r="F1" s="145"/>
      <c r="G1" s="146" t="s">
        <v>835</v>
      </c>
      <c r="H1" s="147"/>
      <c r="R1" s="77" t="str">
        <f aca="false">IF(ROUND(N($F$58),2)=0,"零元整",IF(ROUND(N($F$58),2)&lt;0,"负","")&amp;SUBSTITUTE(SUBSTITUTE(TEXT(INT(ABS(ROUND(N($F$58),2))),"[DBNum2]G/通用格式")&amp;"元"&amp;TEXT(RIGHT(TEXT(ABS(ROUND(N($F$58),2)),"0.00"),2),"[DBNum2]0角0分"),"零角",IF(ABS(ROUND(N($F$58),2))&lt;1,"","零")),"零分","整"))</f>
        <v>CE/通用格式元2角0分</v>
      </c>
    </row>
    <row r="2" customFormat="false" ht="24" hidden="false" customHeight="true" outlineLevel="0" collapsed="false">
      <c r="A2" s="148" t="s">
        <v>836</v>
      </c>
      <c r="B2" s="149" t="s">
        <v>450</v>
      </c>
      <c r="C2" s="149"/>
      <c r="D2" s="150"/>
      <c r="E2" s="151" t="s">
        <v>837</v>
      </c>
      <c r="F2" s="76"/>
      <c r="G2" s="151" t="s">
        <v>838</v>
      </c>
      <c r="H2" s="76"/>
    </row>
    <row r="3" customFormat="false" ht="24" hidden="false" customHeight="true" outlineLevel="0" collapsed="false">
      <c r="A3" s="148" t="s">
        <v>839</v>
      </c>
      <c r="B3" s="152" t="str">
        <f aca="false">IF($B$2="","","按项目汇总，共 "&amp;N(_自动清单!$J$1)&amp;" 行")</f>
        <v>按项目汇总，共 3 行</v>
      </c>
      <c r="C3" s="152"/>
      <c r="D3" s="150"/>
      <c r="E3" s="151" t="s">
        <v>840</v>
      </c>
      <c r="F3" s="51" t="n">
        <f aca="false">N(_自动清单!$J$1)</f>
        <v>3</v>
      </c>
      <c r="G3" s="151" t="s">
        <v>841</v>
      </c>
      <c r="H3" s="153" t="s">
        <v>842</v>
      </c>
    </row>
    <row r="4" customFormat="false" ht="24" hidden="false" customHeight="true" outlineLevel="0" collapsed="false">
      <c r="A4" s="148" t="s">
        <v>843</v>
      </c>
      <c r="B4" s="154"/>
      <c r="C4" s="154"/>
      <c r="D4" s="150"/>
      <c r="E4" s="151" t="s">
        <v>844</v>
      </c>
      <c r="F4" s="155" t="s">
        <v>845</v>
      </c>
      <c r="G4" s="155"/>
      <c r="H4" s="155"/>
    </row>
    <row r="5" customFormat="false" ht="25.5" hidden="false" customHeight="true" outlineLevel="0" collapsed="false">
      <c r="A5" s="156" t="s">
        <v>846</v>
      </c>
      <c r="B5" s="156" t="s">
        <v>847</v>
      </c>
      <c r="C5" s="156" t="s">
        <v>848</v>
      </c>
      <c r="D5" s="156" t="s">
        <v>849</v>
      </c>
      <c r="E5" s="156" t="s">
        <v>850</v>
      </c>
      <c r="F5" s="156" t="s">
        <v>240</v>
      </c>
      <c r="G5" s="156" t="s">
        <v>774</v>
      </c>
      <c r="H5" s="156" t="s">
        <v>851</v>
      </c>
    </row>
    <row r="6" customFormat="false" ht="18.75" hidden="false" customHeight="true" outlineLevel="0" collapsed="false">
      <c r="A6" s="157" t="str">
        <f aca="false">IFERROR(INDEX(_自动清单!$I$4:$I$910,MATCH(ROW()-5,_自动清单!$H$4:$H$910,0)),"")</f>
        <v/>
      </c>
      <c r="B6" s="158" t="str">
        <f aca="false">IFERROR(INDEX(_自动清单!$J$4:$J$910,MATCH(ROW()-5,_自动清单!$H$4:$H$910,0)),"")</f>
        <v>周转费</v>
      </c>
      <c r="C6" s="159" t="str">
        <f aca="false">IFERROR(INDEX(_自动清单!$K$4:$K$910,MATCH(ROW()-5,_自动清单!$H$4:$H$910,0)),"")</f>
        <v>筐</v>
      </c>
      <c r="D6" s="160" t="n">
        <f aca="false">IFERROR(INDEX(_自动清单!$L$4:$L$910,MATCH(ROW()-5,_自动清单!$H$4:$H$910,0)),"")</f>
        <v>2807</v>
      </c>
      <c r="E6" s="161" t="str">
        <f aca="false">IFERROR(INDEX(_自动清单!$M$4:$M$910,MATCH(ROW()-5,_自动清单!$H$4:$H$910,0)),"")</f>
        <v/>
      </c>
      <c r="F6" s="161" t="n">
        <f aca="false">IFERROR(INDEX(_自动清单!$N$4:$N$910,MATCH(ROW()-5,_自动清单!$H$4:$H$910,0)),"")</f>
        <v>4183637.9</v>
      </c>
      <c r="G6" s="161" t="str">
        <f aca="false">IFERROR(INDEX(_自动清单!$O$4:$O$910,MATCH(ROW()-5,_自动清单!$H$4:$H$910,0)),"")</f>
        <v/>
      </c>
      <c r="H6" s="158" t="str">
        <f aca="false">IFERROR(INDEX(_自动清单!$P$4:$P$910,MATCH(ROW()-5,_自动清单!$H$4:$H$910,0)),"")</f>
        <v/>
      </c>
    </row>
    <row r="7" customFormat="false" ht="18.75" hidden="false" customHeight="true" outlineLevel="0" collapsed="false">
      <c r="A7" s="157" t="str">
        <f aca="false">IFERROR(INDEX(_自动清单!$I$4:$I$910,MATCH(ROW()-5,_自动清单!$H$4:$H$910,0)),"")</f>
        <v/>
      </c>
      <c r="B7" s="158" t="str">
        <f aca="false">IFERROR(INDEX(_自动清单!$J$4:$J$910,MATCH(ROW()-5,_自动清单!$H$4:$H$910,0)),"")</f>
        <v>装卸费</v>
      </c>
      <c r="C7" s="159" t="str">
        <f aca="false">IFERROR(INDEX(_自动清单!$K$4:$K$910,MATCH(ROW()-5,_自动清单!$H$4:$H$910,0)),"")</f>
        <v>筐</v>
      </c>
      <c r="D7" s="160" t="n">
        <f aca="false">IFERROR(INDEX(_自动清单!$L$4:$L$910,MATCH(ROW()-5,_自动清单!$H$4:$H$910,0)),"")</f>
        <v>3659</v>
      </c>
      <c r="E7" s="161" t="str">
        <f aca="false">IFERROR(INDEX(_自动清单!$M$4:$M$910,MATCH(ROW()-5,_自动清单!$H$4:$H$910,0)),"")</f>
        <v/>
      </c>
      <c r="F7" s="161" t="n">
        <f aca="false">IFERROR(INDEX(_自动清单!$N$4:$N$910,MATCH(ROW()-5,_自动清单!$H$4:$H$910,0)),"")</f>
        <v>2092631.3</v>
      </c>
      <c r="G7" s="161" t="str">
        <f aca="false">IFERROR(INDEX(_自动清单!$O$4:$O$910,MATCH(ROW()-5,_自动清单!$H$4:$H$910,0)),"")</f>
        <v/>
      </c>
      <c r="H7" s="158" t="str">
        <f aca="false">IFERROR(INDEX(_自动清单!$P$4:$P$910,MATCH(ROW()-5,_自动清单!$H$4:$H$910,0)),"")</f>
        <v/>
      </c>
    </row>
    <row r="8" customFormat="false" ht="18.75" hidden="false" customHeight="true" outlineLevel="0" collapsed="false">
      <c r="A8" s="157" t="str">
        <f aca="false">IFERROR(INDEX(_自动清单!$I$4:$I$910,MATCH(ROW()-5,_自动清单!$H$4:$H$910,0)),"")</f>
        <v/>
      </c>
      <c r="B8" s="158" t="str">
        <f aca="false">IFERROR(INDEX(_自动清单!$J$4:$J$910,MATCH(ROW()-5,_自动清单!$H$4:$H$910,0)),"")</f>
        <v>公司购买客户果品款（应付抵扣）</v>
      </c>
      <c r="C8" s="159" t="str">
        <f aca="false">IFERROR(INDEX(_自动清单!$K$4:$K$910,MATCH(ROW()-5,_自动清单!$H$4:$H$910,0)),"")</f>
        <v/>
      </c>
      <c r="D8" s="160" t="str">
        <f aca="false">IFERROR(INDEX(_自动清单!$L$4:$L$910,MATCH(ROW()-5,_自动清单!$H$4:$H$910,0)),"")</f>
        <v/>
      </c>
      <c r="E8" s="161" t="str">
        <f aca="false">IFERROR(INDEX(_自动清单!$M$4:$M$910,MATCH(ROW()-5,_自动清单!$H$4:$H$910,0)),"")</f>
        <v/>
      </c>
      <c r="F8" s="161" t="n">
        <f aca="false">IFERROR(INDEX(_自动清单!$N$4:$N$910,MATCH(ROW()-5,_自动清单!$H$4:$H$910,0)),"")</f>
        <v>-40</v>
      </c>
      <c r="G8" s="161" t="str">
        <f aca="false">IFERROR(INDEX(_自动清单!$O$4:$O$910,MATCH(ROW()-5,_自动清单!$H$4:$H$910,0)),"")</f>
        <v/>
      </c>
      <c r="H8" s="158" t="str">
        <f aca="false">IFERROR(INDEX(_自动清单!$P$4:$P$910,MATCH(ROW()-5,_自动清单!$H$4:$H$910,0)),"")</f>
        <v/>
      </c>
    </row>
    <row r="9" customFormat="false" ht="18.75" hidden="false" customHeight="true" outlineLevel="0" collapsed="false">
      <c r="A9" s="157" t="str">
        <f aca="false">IFERROR(INDEX(_自动清单!$I$4:$I$910,MATCH(ROW()-5,_自动清单!$H$4:$H$910,0)),"")</f>
        <v/>
      </c>
      <c r="B9" s="158" t="str">
        <f aca="false">IFERROR(INDEX(_自动清单!$J$4:$J$910,MATCH(ROW()-5,_自动清单!$H$4:$H$910,0)),"")</f>
        <v/>
      </c>
      <c r="C9" s="159" t="str">
        <f aca="false">IFERROR(INDEX(_自动清单!$K$4:$K$910,MATCH(ROW()-5,_自动清单!$H$4:$H$910,0)),"")</f>
        <v/>
      </c>
      <c r="D9" s="160" t="str">
        <f aca="false">IFERROR(INDEX(_自动清单!$L$4:$L$910,MATCH(ROW()-5,_自动清单!$H$4:$H$910,0)),"")</f>
        <v/>
      </c>
      <c r="E9" s="161" t="str">
        <f aca="false">IFERROR(INDEX(_自动清单!$M$4:$M$910,MATCH(ROW()-5,_自动清单!$H$4:$H$910,0)),"")</f>
        <v/>
      </c>
      <c r="F9" s="161" t="str">
        <f aca="false">IFERROR(INDEX(_自动清单!$N$4:$N$910,MATCH(ROW()-5,_自动清单!$H$4:$H$910,0)),"")</f>
        <v/>
      </c>
      <c r="G9" s="161" t="str">
        <f aca="false">IFERROR(INDEX(_自动清单!$O$4:$O$910,MATCH(ROW()-5,_自动清单!$H$4:$H$910,0)),"")</f>
        <v/>
      </c>
      <c r="H9" s="158" t="str">
        <f aca="false">IFERROR(INDEX(_自动清单!$P$4:$P$910,MATCH(ROW()-5,_自动清单!$H$4:$H$910,0)),"")</f>
        <v/>
      </c>
    </row>
    <row r="10" customFormat="false" ht="18.75" hidden="false" customHeight="true" outlineLevel="0" collapsed="false">
      <c r="A10" s="157" t="str">
        <f aca="false">IFERROR(INDEX(_自动清单!$I$4:$I$910,MATCH(ROW()-5,_自动清单!$H$4:$H$910,0)),"")</f>
        <v/>
      </c>
      <c r="B10" s="158" t="str">
        <f aca="false">IFERROR(INDEX(_自动清单!$J$4:$J$910,MATCH(ROW()-5,_自动清单!$H$4:$H$910,0)),"")</f>
        <v/>
      </c>
      <c r="C10" s="159" t="str">
        <f aca="false">IFERROR(INDEX(_自动清单!$K$4:$K$910,MATCH(ROW()-5,_自动清单!$H$4:$H$910,0)),"")</f>
        <v/>
      </c>
      <c r="D10" s="160" t="str">
        <f aca="false">IFERROR(INDEX(_自动清单!$L$4:$L$910,MATCH(ROW()-5,_自动清单!$H$4:$H$910,0)),"")</f>
        <v/>
      </c>
      <c r="E10" s="161" t="str">
        <f aca="false">IFERROR(INDEX(_自动清单!$M$4:$M$910,MATCH(ROW()-5,_自动清单!$H$4:$H$910,0)),"")</f>
        <v/>
      </c>
      <c r="F10" s="161" t="str">
        <f aca="false">IFERROR(INDEX(_自动清单!$N$4:$N$910,MATCH(ROW()-5,_自动清单!$H$4:$H$910,0)),"")</f>
        <v/>
      </c>
      <c r="G10" s="161" t="str">
        <f aca="false">IFERROR(INDEX(_自动清单!$O$4:$O$910,MATCH(ROW()-5,_自动清单!$H$4:$H$910,0)),"")</f>
        <v/>
      </c>
      <c r="H10" s="158" t="str">
        <f aca="false">IFERROR(INDEX(_自动清单!$P$4:$P$910,MATCH(ROW()-5,_自动清单!$H$4:$H$910,0)),"")</f>
        <v/>
      </c>
    </row>
    <row r="11" customFormat="false" ht="18.75" hidden="false" customHeight="true" outlineLevel="0" collapsed="false">
      <c r="A11" s="157" t="str">
        <f aca="false">IFERROR(INDEX(_自动清单!$I$4:$I$910,MATCH(ROW()-5,_自动清单!$H$4:$H$910,0)),"")</f>
        <v/>
      </c>
      <c r="B11" s="158" t="str">
        <f aca="false">IFERROR(INDEX(_自动清单!$J$4:$J$910,MATCH(ROW()-5,_自动清单!$H$4:$H$910,0)),"")</f>
        <v/>
      </c>
      <c r="C11" s="159" t="str">
        <f aca="false">IFERROR(INDEX(_自动清单!$K$4:$K$910,MATCH(ROW()-5,_自动清单!$H$4:$H$910,0)),"")</f>
        <v/>
      </c>
      <c r="D11" s="160" t="str">
        <f aca="false">IFERROR(INDEX(_自动清单!$L$4:$L$910,MATCH(ROW()-5,_自动清单!$H$4:$H$910,0)),"")</f>
        <v/>
      </c>
      <c r="E11" s="161" t="str">
        <f aca="false">IFERROR(INDEX(_自动清单!$M$4:$M$910,MATCH(ROW()-5,_自动清单!$H$4:$H$910,0)),"")</f>
        <v/>
      </c>
      <c r="F11" s="161" t="str">
        <f aca="false">IFERROR(INDEX(_自动清单!$N$4:$N$910,MATCH(ROW()-5,_自动清单!$H$4:$H$910,0)),"")</f>
        <v/>
      </c>
      <c r="G11" s="161" t="str">
        <f aca="false">IFERROR(INDEX(_自动清单!$O$4:$O$910,MATCH(ROW()-5,_自动清单!$H$4:$H$910,0)),"")</f>
        <v/>
      </c>
      <c r="H11" s="158" t="str">
        <f aca="false">IFERROR(INDEX(_自动清单!$P$4:$P$910,MATCH(ROW()-5,_自动清单!$H$4:$H$910,0)),"")</f>
        <v/>
      </c>
    </row>
    <row r="12" customFormat="false" ht="18.75" hidden="false" customHeight="true" outlineLevel="0" collapsed="false">
      <c r="A12" s="157" t="str">
        <f aca="false">IFERROR(INDEX(_自动清单!$I$4:$I$910,MATCH(ROW()-5,_自动清单!$H$4:$H$910,0)),"")</f>
        <v/>
      </c>
      <c r="B12" s="158" t="str">
        <f aca="false">IFERROR(INDEX(_自动清单!$J$4:$J$910,MATCH(ROW()-5,_自动清单!$H$4:$H$910,0)),"")</f>
        <v/>
      </c>
      <c r="C12" s="159" t="str">
        <f aca="false">IFERROR(INDEX(_自动清单!$K$4:$K$910,MATCH(ROW()-5,_自动清单!$H$4:$H$910,0)),"")</f>
        <v/>
      </c>
      <c r="D12" s="160" t="str">
        <f aca="false">IFERROR(INDEX(_自动清单!$L$4:$L$910,MATCH(ROW()-5,_自动清单!$H$4:$H$910,0)),"")</f>
        <v/>
      </c>
      <c r="E12" s="161" t="str">
        <f aca="false">IFERROR(INDEX(_自动清单!$M$4:$M$910,MATCH(ROW()-5,_自动清单!$H$4:$H$910,0)),"")</f>
        <v/>
      </c>
      <c r="F12" s="161" t="str">
        <f aca="false">IFERROR(INDEX(_自动清单!$N$4:$N$910,MATCH(ROW()-5,_自动清单!$H$4:$H$910,0)),"")</f>
        <v/>
      </c>
      <c r="G12" s="161" t="str">
        <f aca="false">IFERROR(INDEX(_自动清单!$O$4:$O$910,MATCH(ROW()-5,_自动清单!$H$4:$H$910,0)),"")</f>
        <v/>
      </c>
      <c r="H12" s="158" t="str">
        <f aca="false">IFERROR(INDEX(_自动清单!$P$4:$P$910,MATCH(ROW()-5,_自动清单!$H$4:$H$910,0)),"")</f>
        <v/>
      </c>
    </row>
    <row r="13" customFormat="false" ht="18.75" hidden="false" customHeight="true" outlineLevel="0" collapsed="false">
      <c r="A13" s="157" t="str">
        <f aca="false">IFERROR(INDEX(_自动清单!$I$4:$I$910,MATCH(ROW()-5,_自动清单!$H$4:$H$910,0)),"")</f>
        <v/>
      </c>
      <c r="B13" s="158" t="str">
        <f aca="false">IFERROR(INDEX(_自动清单!$J$4:$J$910,MATCH(ROW()-5,_自动清单!$H$4:$H$910,0)),"")</f>
        <v/>
      </c>
      <c r="C13" s="159" t="str">
        <f aca="false">IFERROR(INDEX(_自动清单!$K$4:$K$910,MATCH(ROW()-5,_自动清单!$H$4:$H$910,0)),"")</f>
        <v/>
      </c>
      <c r="D13" s="160" t="str">
        <f aca="false">IFERROR(INDEX(_自动清单!$L$4:$L$910,MATCH(ROW()-5,_自动清单!$H$4:$H$910,0)),"")</f>
        <v/>
      </c>
      <c r="E13" s="161" t="str">
        <f aca="false">IFERROR(INDEX(_自动清单!$M$4:$M$910,MATCH(ROW()-5,_自动清单!$H$4:$H$910,0)),"")</f>
        <v/>
      </c>
      <c r="F13" s="161" t="str">
        <f aca="false">IFERROR(INDEX(_自动清单!$N$4:$N$910,MATCH(ROW()-5,_自动清单!$H$4:$H$910,0)),"")</f>
        <v/>
      </c>
      <c r="G13" s="161" t="str">
        <f aca="false">IFERROR(INDEX(_自动清单!$O$4:$O$910,MATCH(ROW()-5,_自动清单!$H$4:$H$910,0)),"")</f>
        <v/>
      </c>
      <c r="H13" s="158" t="str">
        <f aca="false">IFERROR(INDEX(_自动清单!$P$4:$P$910,MATCH(ROW()-5,_自动清单!$H$4:$H$910,0)),"")</f>
        <v/>
      </c>
    </row>
    <row r="14" customFormat="false" ht="18.75" hidden="false" customHeight="true" outlineLevel="0" collapsed="false">
      <c r="A14" s="157" t="str">
        <f aca="false">IFERROR(INDEX(_自动清单!$I$4:$I$910,MATCH(ROW()-5,_自动清单!$H$4:$H$910,0)),"")</f>
        <v/>
      </c>
      <c r="B14" s="158" t="str">
        <f aca="false">IFERROR(INDEX(_自动清单!$J$4:$J$910,MATCH(ROW()-5,_自动清单!$H$4:$H$910,0)),"")</f>
        <v/>
      </c>
      <c r="C14" s="159" t="str">
        <f aca="false">IFERROR(INDEX(_自动清单!$K$4:$K$910,MATCH(ROW()-5,_自动清单!$H$4:$H$910,0)),"")</f>
        <v/>
      </c>
      <c r="D14" s="160" t="str">
        <f aca="false">IFERROR(INDEX(_自动清单!$L$4:$L$910,MATCH(ROW()-5,_自动清单!$H$4:$H$910,0)),"")</f>
        <v/>
      </c>
      <c r="E14" s="161" t="str">
        <f aca="false">IFERROR(INDEX(_自动清单!$M$4:$M$910,MATCH(ROW()-5,_自动清单!$H$4:$H$910,0)),"")</f>
        <v/>
      </c>
      <c r="F14" s="161" t="str">
        <f aca="false">IFERROR(INDEX(_自动清单!$N$4:$N$910,MATCH(ROW()-5,_自动清单!$H$4:$H$910,0)),"")</f>
        <v/>
      </c>
      <c r="G14" s="161" t="str">
        <f aca="false">IFERROR(INDEX(_自动清单!$O$4:$O$910,MATCH(ROW()-5,_自动清单!$H$4:$H$910,0)),"")</f>
        <v/>
      </c>
      <c r="H14" s="158" t="str">
        <f aca="false">IFERROR(INDEX(_自动清单!$P$4:$P$910,MATCH(ROW()-5,_自动清单!$H$4:$H$910,0)),"")</f>
        <v/>
      </c>
    </row>
    <row r="15" customFormat="false" ht="18.75" hidden="false" customHeight="true" outlineLevel="0" collapsed="false">
      <c r="A15" s="157" t="str">
        <f aca="false">IFERROR(INDEX(_自动清单!$I$4:$I$910,MATCH(ROW()-5,_自动清单!$H$4:$H$910,0)),"")</f>
        <v/>
      </c>
      <c r="B15" s="158" t="str">
        <f aca="false">IFERROR(INDEX(_自动清单!$J$4:$J$910,MATCH(ROW()-5,_自动清单!$H$4:$H$910,0)),"")</f>
        <v/>
      </c>
      <c r="C15" s="159" t="str">
        <f aca="false">IFERROR(INDEX(_自动清单!$K$4:$K$910,MATCH(ROW()-5,_自动清单!$H$4:$H$910,0)),"")</f>
        <v/>
      </c>
      <c r="D15" s="160" t="str">
        <f aca="false">IFERROR(INDEX(_自动清单!$L$4:$L$910,MATCH(ROW()-5,_自动清单!$H$4:$H$910,0)),"")</f>
        <v/>
      </c>
      <c r="E15" s="161" t="str">
        <f aca="false">IFERROR(INDEX(_自动清单!$M$4:$M$910,MATCH(ROW()-5,_自动清单!$H$4:$H$910,0)),"")</f>
        <v/>
      </c>
      <c r="F15" s="161" t="str">
        <f aca="false">IFERROR(INDEX(_自动清单!$N$4:$N$910,MATCH(ROW()-5,_自动清单!$H$4:$H$910,0)),"")</f>
        <v/>
      </c>
      <c r="G15" s="161" t="str">
        <f aca="false">IFERROR(INDEX(_自动清单!$O$4:$O$910,MATCH(ROW()-5,_自动清单!$H$4:$H$910,0)),"")</f>
        <v/>
      </c>
      <c r="H15" s="158" t="str">
        <f aca="false">IFERROR(INDEX(_自动清单!$P$4:$P$910,MATCH(ROW()-5,_自动清单!$H$4:$H$910,0)),"")</f>
        <v/>
      </c>
    </row>
    <row r="16" customFormat="false" ht="18.75" hidden="false" customHeight="true" outlineLevel="0" collapsed="false">
      <c r="A16" s="157" t="str">
        <f aca="false">IFERROR(INDEX(_自动清单!$I$4:$I$910,MATCH(ROW()-5,_自动清单!$H$4:$H$910,0)),"")</f>
        <v/>
      </c>
      <c r="B16" s="158" t="str">
        <f aca="false">IFERROR(INDEX(_自动清单!$J$4:$J$910,MATCH(ROW()-5,_自动清单!$H$4:$H$910,0)),"")</f>
        <v/>
      </c>
      <c r="C16" s="159" t="str">
        <f aca="false">IFERROR(INDEX(_自动清单!$K$4:$K$910,MATCH(ROW()-5,_自动清单!$H$4:$H$910,0)),"")</f>
        <v/>
      </c>
      <c r="D16" s="160" t="str">
        <f aca="false">IFERROR(INDEX(_自动清单!$L$4:$L$910,MATCH(ROW()-5,_自动清单!$H$4:$H$910,0)),"")</f>
        <v/>
      </c>
      <c r="E16" s="161" t="str">
        <f aca="false">IFERROR(INDEX(_自动清单!$M$4:$M$910,MATCH(ROW()-5,_自动清单!$H$4:$H$910,0)),"")</f>
        <v/>
      </c>
      <c r="F16" s="161" t="str">
        <f aca="false">IFERROR(INDEX(_自动清单!$N$4:$N$910,MATCH(ROW()-5,_自动清单!$H$4:$H$910,0)),"")</f>
        <v/>
      </c>
      <c r="G16" s="161" t="str">
        <f aca="false">IFERROR(INDEX(_自动清单!$O$4:$O$910,MATCH(ROW()-5,_自动清单!$H$4:$H$910,0)),"")</f>
        <v/>
      </c>
      <c r="H16" s="158" t="str">
        <f aca="false">IFERROR(INDEX(_自动清单!$P$4:$P$910,MATCH(ROW()-5,_自动清单!$H$4:$H$910,0)),"")</f>
        <v/>
      </c>
    </row>
    <row r="17" customFormat="false" ht="18.75" hidden="false" customHeight="true" outlineLevel="0" collapsed="false">
      <c r="A17" s="157" t="str">
        <f aca="false">IFERROR(INDEX(_自动清单!$I$4:$I$910,MATCH(ROW()-5,_自动清单!$H$4:$H$910,0)),"")</f>
        <v/>
      </c>
      <c r="B17" s="158" t="str">
        <f aca="false">IFERROR(INDEX(_自动清单!$J$4:$J$910,MATCH(ROW()-5,_自动清单!$H$4:$H$910,0)),"")</f>
        <v/>
      </c>
      <c r="C17" s="159" t="str">
        <f aca="false">IFERROR(INDEX(_自动清单!$K$4:$K$910,MATCH(ROW()-5,_自动清单!$H$4:$H$910,0)),"")</f>
        <v/>
      </c>
      <c r="D17" s="160" t="str">
        <f aca="false">IFERROR(INDEX(_自动清单!$L$4:$L$910,MATCH(ROW()-5,_自动清单!$H$4:$H$910,0)),"")</f>
        <v/>
      </c>
      <c r="E17" s="161" t="str">
        <f aca="false">IFERROR(INDEX(_自动清单!$M$4:$M$910,MATCH(ROW()-5,_自动清单!$H$4:$H$910,0)),"")</f>
        <v/>
      </c>
      <c r="F17" s="161" t="str">
        <f aca="false">IFERROR(INDEX(_自动清单!$N$4:$N$910,MATCH(ROW()-5,_自动清单!$H$4:$H$910,0)),"")</f>
        <v/>
      </c>
      <c r="G17" s="161" t="str">
        <f aca="false">IFERROR(INDEX(_自动清单!$O$4:$O$910,MATCH(ROW()-5,_自动清单!$H$4:$H$910,0)),"")</f>
        <v/>
      </c>
      <c r="H17" s="158" t="str">
        <f aca="false">IFERROR(INDEX(_自动清单!$P$4:$P$910,MATCH(ROW()-5,_自动清单!$H$4:$H$910,0)),"")</f>
        <v/>
      </c>
    </row>
    <row r="18" customFormat="false" ht="18.75" hidden="false" customHeight="true" outlineLevel="0" collapsed="false">
      <c r="A18" s="157" t="str">
        <f aca="false">IFERROR(INDEX(_自动清单!$I$4:$I$910,MATCH(ROW()-5,_自动清单!$H$4:$H$910,0)),"")</f>
        <v/>
      </c>
      <c r="B18" s="158" t="str">
        <f aca="false">IFERROR(INDEX(_自动清单!$J$4:$J$910,MATCH(ROW()-5,_自动清单!$H$4:$H$910,0)),"")</f>
        <v/>
      </c>
      <c r="C18" s="159" t="str">
        <f aca="false">IFERROR(INDEX(_自动清单!$K$4:$K$910,MATCH(ROW()-5,_自动清单!$H$4:$H$910,0)),"")</f>
        <v/>
      </c>
      <c r="D18" s="160" t="str">
        <f aca="false">IFERROR(INDEX(_自动清单!$L$4:$L$910,MATCH(ROW()-5,_自动清单!$H$4:$H$910,0)),"")</f>
        <v/>
      </c>
      <c r="E18" s="161" t="str">
        <f aca="false">IFERROR(INDEX(_自动清单!$M$4:$M$910,MATCH(ROW()-5,_自动清单!$H$4:$H$910,0)),"")</f>
        <v/>
      </c>
      <c r="F18" s="161" t="str">
        <f aca="false">IFERROR(INDEX(_自动清单!$N$4:$N$910,MATCH(ROW()-5,_自动清单!$H$4:$H$910,0)),"")</f>
        <v/>
      </c>
      <c r="G18" s="161" t="str">
        <f aca="false">IFERROR(INDEX(_自动清单!$O$4:$O$910,MATCH(ROW()-5,_自动清单!$H$4:$H$910,0)),"")</f>
        <v/>
      </c>
      <c r="H18" s="158" t="str">
        <f aca="false">IFERROR(INDEX(_自动清单!$P$4:$P$910,MATCH(ROW()-5,_自动清单!$H$4:$H$910,0)),"")</f>
        <v/>
      </c>
    </row>
    <row r="19" customFormat="false" ht="18.75" hidden="false" customHeight="true" outlineLevel="0" collapsed="false">
      <c r="A19" s="157" t="str">
        <f aca="false">IFERROR(INDEX(_自动清单!$I$4:$I$910,MATCH(ROW()-5,_自动清单!$H$4:$H$910,0)),"")</f>
        <v/>
      </c>
      <c r="B19" s="158" t="str">
        <f aca="false">IFERROR(INDEX(_自动清单!$J$4:$J$910,MATCH(ROW()-5,_自动清单!$H$4:$H$910,0)),"")</f>
        <v/>
      </c>
      <c r="C19" s="159" t="str">
        <f aca="false">IFERROR(INDEX(_自动清单!$K$4:$K$910,MATCH(ROW()-5,_自动清单!$H$4:$H$910,0)),"")</f>
        <v/>
      </c>
      <c r="D19" s="160" t="str">
        <f aca="false">IFERROR(INDEX(_自动清单!$L$4:$L$910,MATCH(ROW()-5,_自动清单!$H$4:$H$910,0)),"")</f>
        <v/>
      </c>
      <c r="E19" s="161" t="str">
        <f aca="false">IFERROR(INDEX(_自动清单!$M$4:$M$910,MATCH(ROW()-5,_自动清单!$H$4:$H$910,0)),"")</f>
        <v/>
      </c>
      <c r="F19" s="161" t="str">
        <f aca="false">IFERROR(INDEX(_自动清单!$N$4:$N$910,MATCH(ROW()-5,_自动清单!$H$4:$H$910,0)),"")</f>
        <v/>
      </c>
      <c r="G19" s="161" t="str">
        <f aca="false">IFERROR(INDEX(_自动清单!$O$4:$O$910,MATCH(ROW()-5,_自动清单!$H$4:$H$910,0)),"")</f>
        <v/>
      </c>
      <c r="H19" s="158" t="str">
        <f aca="false">IFERROR(INDEX(_自动清单!$P$4:$P$910,MATCH(ROW()-5,_自动清单!$H$4:$H$910,0)),"")</f>
        <v/>
      </c>
    </row>
    <row r="20" customFormat="false" ht="18.75" hidden="false" customHeight="true" outlineLevel="0" collapsed="false">
      <c r="A20" s="157" t="str">
        <f aca="false">IFERROR(INDEX(_自动清单!$I$4:$I$910,MATCH(ROW()-5,_自动清单!$H$4:$H$910,0)),"")</f>
        <v/>
      </c>
      <c r="B20" s="158" t="str">
        <f aca="false">IFERROR(INDEX(_自动清单!$J$4:$J$910,MATCH(ROW()-5,_自动清单!$H$4:$H$910,0)),"")</f>
        <v/>
      </c>
      <c r="C20" s="159" t="str">
        <f aca="false">IFERROR(INDEX(_自动清单!$K$4:$K$910,MATCH(ROW()-5,_自动清单!$H$4:$H$910,0)),"")</f>
        <v/>
      </c>
      <c r="D20" s="160" t="str">
        <f aca="false">IFERROR(INDEX(_自动清单!$L$4:$L$910,MATCH(ROW()-5,_自动清单!$H$4:$H$910,0)),"")</f>
        <v/>
      </c>
      <c r="E20" s="161" t="str">
        <f aca="false">IFERROR(INDEX(_自动清单!$M$4:$M$910,MATCH(ROW()-5,_自动清单!$H$4:$H$910,0)),"")</f>
        <v/>
      </c>
      <c r="F20" s="161" t="str">
        <f aca="false">IFERROR(INDEX(_自动清单!$N$4:$N$910,MATCH(ROW()-5,_自动清单!$H$4:$H$910,0)),"")</f>
        <v/>
      </c>
      <c r="G20" s="161" t="str">
        <f aca="false">IFERROR(INDEX(_自动清单!$O$4:$O$910,MATCH(ROW()-5,_自动清单!$H$4:$H$910,0)),"")</f>
        <v/>
      </c>
      <c r="H20" s="158" t="str">
        <f aca="false">IFERROR(INDEX(_自动清单!$P$4:$P$910,MATCH(ROW()-5,_自动清单!$H$4:$H$910,0)),"")</f>
        <v/>
      </c>
    </row>
    <row r="21" customFormat="false" ht="18.75" hidden="false" customHeight="true" outlineLevel="0" collapsed="false">
      <c r="A21" s="157" t="str">
        <f aca="false">IFERROR(INDEX(_自动清单!$I$4:$I$910,MATCH(ROW()-5,_自动清单!$H$4:$H$910,0)),"")</f>
        <v/>
      </c>
      <c r="B21" s="158" t="str">
        <f aca="false">IFERROR(INDEX(_自动清单!$J$4:$J$910,MATCH(ROW()-5,_自动清单!$H$4:$H$910,0)),"")</f>
        <v/>
      </c>
      <c r="C21" s="159" t="str">
        <f aca="false">IFERROR(INDEX(_自动清单!$K$4:$K$910,MATCH(ROW()-5,_自动清单!$H$4:$H$910,0)),"")</f>
        <v/>
      </c>
      <c r="D21" s="160" t="str">
        <f aca="false">IFERROR(INDEX(_自动清单!$L$4:$L$910,MATCH(ROW()-5,_自动清单!$H$4:$H$910,0)),"")</f>
        <v/>
      </c>
      <c r="E21" s="161" t="str">
        <f aca="false">IFERROR(INDEX(_自动清单!$M$4:$M$910,MATCH(ROW()-5,_自动清单!$H$4:$H$910,0)),"")</f>
        <v/>
      </c>
      <c r="F21" s="161" t="str">
        <f aca="false">IFERROR(INDEX(_自动清单!$N$4:$N$910,MATCH(ROW()-5,_自动清单!$H$4:$H$910,0)),"")</f>
        <v/>
      </c>
      <c r="G21" s="161" t="str">
        <f aca="false">IFERROR(INDEX(_自动清单!$O$4:$O$910,MATCH(ROW()-5,_自动清单!$H$4:$H$910,0)),"")</f>
        <v/>
      </c>
      <c r="H21" s="158" t="str">
        <f aca="false">IFERROR(INDEX(_自动清单!$P$4:$P$910,MATCH(ROW()-5,_自动清单!$H$4:$H$910,0)),"")</f>
        <v/>
      </c>
    </row>
    <row r="22" customFormat="false" ht="18.75" hidden="false" customHeight="true" outlineLevel="0" collapsed="false">
      <c r="A22" s="157" t="str">
        <f aca="false">IFERROR(INDEX(_自动清单!$I$4:$I$910,MATCH(ROW()-5,_自动清单!$H$4:$H$910,0)),"")</f>
        <v/>
      </c>
      <c r="B22" s="158" t="str">
        <f aca="false">IFERROR(INDEX(_自动清单!$J$4:$J$910,MATCH(ROW()-5,_自动清单!$H$4:$H$910,0)),"")</f>
        <v/>
      </c>
      <c r="C22" s="159" t="str">
        <f aca="false">IFERROR(INDEX(_自动清单!$K$4:$K$910,MATCH(ROW()-5,_自动清单!$H$4:$H$910,0)),"")</f>
        <v/>
      </c>
      <c r="D22" s="160" t="str">
        <f aca="false">IFERROR(INDEX(_自动清单!$L$4:$L$910,MATCH(ROW()-5,_自动清单!$H$4:$H$910,0)),"")</f>
        <v/>
      </c>
      <c r="E22" s="161" t="str">
        <f aca="false">IFERROR(INDEX(_自动清单!$M$4:$M$910,MATCH(ROW()-5,_自动清单!$H$4:$H$910,0)),"")</f>
        <v/>
      </c>
      <c r="F22" s="161" t="str">
        <f aca="false">IFERROR(INDEX(_自动清单!$N$4:$N$910,MATCH(ROW()-5,_自动清单!$H$4:$H$910,0)),"")</f>
        <v/>
      </c>
      <c r="G22" s="161" t="str">
        <f aca="false">IFERROR(INDEX(_自动清单!$O$4:$O$910,MATCH(ROW()-5,_自动清单!$H$4:$H$910,0)),"")</f>
        <v/>
      </c>
      <c r="H22" s="158" t="str">
        <f aca="false">IFERROR(INDEX(_自动清单!$P$4:$P$910,MATCH(ROW()-5,_自动清单!$H$4:$H$910,0)),"")</f>
        <v/>
      </c>
    </row>
    <row r="23" customFormat="false" ht="18.75" hidden="false" customHeight="true" outlineLevel="0" collapsed="false">
      <c r="A23" s="157" t="str">
        <f aca="false">IFERROR(INDEX(_自动清单!$I$4:$I$910,MATCH(ROW()-5,_自动清单!$H$4:$H$910,0)),"")</f>
        <v/>
      </c>
      <c r="B23" s="158" t="str">
        <f aca="false">IFERROR(INDEX(_自动清单!$J$4:$J$910,MATCH(ROW()-5,_自动清单!$H$4:$H$910,0)),"")</f>
        <v/>
      </c>
      <c r="C23" s="159" t="str">
        <f aca="false">IFERROR(INDEX(_自动清单!$K$4:$K$910,MATCH(ROW()-5,_自动清单!$H$4:$H$910,0)),"")</f>
        <v/>
      </c>
      <c r="D23" s="160" t="str">
        <f aca="false">IFERROR(INDEX(_自动清单!$L$4:$L$910,MATCH(ROW()-5,_自动清单!$H$4:$H$910,0)),"")</f>
        <v/>
      </c>
      <c r="E23" s="161" t="str">
        <f aca="false">IFERROR(INDEX(_自动清单!$M$4:$M$910,MATCH(ROW()-5,_自动清单!$H$4:$H$910,0)),"")</f>
        <v/>
      </c>
      <c r="F23" s="161" t="str">
        <f aca="false">IFERROR(INDEX(_自动清单!$N$4:$N$910,MATCH(ROW()-5,_自动清单!$H$4:$H$910,0)),"")</f>
        <v/>
      </c>
      <c r="G23" s="161" t="str">
        <f aca="false">IFERROR(INDEX(_自动清单!$O$4:$O$910,MATCH(ROW()-5,_自动清单!$H$4:$H$910,0)),"")</f>
        <v/>
      </c>
      <c r="H23" s="158" t="str">
        <f aca="false">IFERROR(INDEX(_自动清单!$P$4:$P$910,MATCH(ROW()-5,_自动清单!$H$4:$H$910,0)),"")</f>
        <v/>
      </c>
    </row>
    <row r="24" customFormat="false" ht="18.75" hidden="false" customHeight="true" outlineLevel="0" collapsed="false">
      <c r="A24" s="157" t="str">
        <f aca="false">IFERROR(INDEX(_自动清单!$I$4:$I$910,MATCH(ROW()-5,_自动清单!$H$4:$H$910,0)),"")</f>
        <v/>
      </c>
      <c r="B24" s="158" t="str">
        <f aca="false">IFERROR(INDEX(_自动清单!$J$4:$J$910,MATCH(ROW()-5,_自动清单!$H$4:$H$910,0)),"")</f>
        <v/>
      </c>
      <c r="C24" s="159" t="str">
        <f aca="false">IFERROR(INDEX(_自动清单!$K$4:$K$910,MATCH(ROW()-5,_自动清单!$H$4:$H$910,0)),"")</f>
        <v/>
      </c>
      <c r="D24" s="160" t="str">
        <f aca="false">IFERROR(INDEX(_自动清单!$L$4:$L$910,MATCH(ROW()-5,_自动清单!$H$4:$H$910,0)),"")</f>
        <v/>
      </c>
      <c r="E24" s="161" t="str">
        <f aca="false">IFERROR(INDEX(_自动清单!$M$4:$M$910,MATCH(ROW()-5,_自动清单!$H$4:$H$910,0)),"")</f>
        <v/>
      </c>
      <c r="F24" s="161" t="str">
        <f aca="false">IFERROR(INDEX(_自动清单!$N$4:$N$910,MATCH(ROW()-5,_自动清单!$H$4:$H$910,0)),"")</f>
        <v/>
      </c>
      <c r="G24" s="161" t="str">
        <f aca="false">IFERROR(INDEX(_自动清单!$O$4:$O$910,MATCH(ROW()-5,_自动清单!$H$4:$H$910,0)),"")</f>
        <v/>
      </c>
      <c r="H24" s="158" t="str">
        <f aca="false">IFERROR(INDEX(_自动清单!$P$4:$P$910,MATCH(ROW()-5,_自动清单!$H$4:$H$910,0)),"")</f>
        <v/>
      </c>
    </row>
    <row r="25" customFormat="false" ht="18.75" hidden="false" customHeight="true" outlineLevel="0" collapsed="false">
      <c r="A25" s="157" t="str">
        <f aca="false">IFERROR(INDEX(_自动清单!$I$4:$I$910,MATCH(ROW()-5,_自动清单!$H$4:$H$910,0)),"")</f>
        <v/>
      </c>
      <c r="B25" s="158" t="str">
        <f aca="false">IFERROR(INDEX(_自动清单!$J$4:$J$910,MATCH(ROW()-5,_自动清单!$H$4:$H$910,0)),"")</f>
        <v/>
      </c>
      <c r="C25" s="159" t="str">
        <f aca="false">IFERROR(INDEX(_自动清单!$K$4:$K$910,MATCH(ROW()-5,_自动清单!$H$4:$H$910,0)),"")</f>
        <v/>
      </c>
      <c r="D25" s="160" t="str">
        <f aca="false">IFERROR(INDEX(_自动清单!$L$4:$L$910,MATCH(ROW()-5,_自动清单!$H$4:$H$910,0)),"")</f>
        <v/>
      </c>
      <c r="E25" s="161" t="str">
        <f aca="false">IFERROR(INDEX(_自动清单!$M$4:$M$910,MATCH(ROW()-5,_自动清单!$H$4:$H$910,0)),"")</f>
        <v/>
      </c>
      <c r="F25" s="161" t="str">
        <f aca="false">IFERROR(INDEX(_自动清单!$N$4:$N$910,MATCH(ROW()-5,_自动清单!$H$4:$H$910,0)),"")</f>
        <v/>
      </c>
      <c r="G25" s="161" t="str">
        <f aca="false">IFERROR(INDEX(_自动清单!$O$4:$O$910,MATCH(ROW()-5,_自动清单!$H$4:$H$910,0)),"")</f>
        <v/>
      </c>
      <c r="H25" s="158" t="str">
        <f aca="false">IFERROR(INDEX(_自动清单!$P$4:$P$910,MATCH(ROW()-5,_自动清单!$H$4:$H$910,0)),"")</f>
        <v/>
      </c>
    </row>
    <row r="26" customFormat="false" ht="18.75" hidden="false" customHeight="true" outlineLevel="0" collapsed="false">
      <c r="A26" s="157" t="str">
        <f aca="false">IFERROR(INDEX(_自动清单!$I$4:$I$910,MATCH(ROW()-5,_自动清单!$H$4:$H$910,0)),"")</f>
        <v/>
      </c>
      <c r="B26" s="158" t="str">
        <f aca="false">IFERROR(INDEX(_自动清单!$J$4:$J$910,MATCH(ROW()-5,_自动清单!$H$4:$H$910,0)),"")</f>
        <v/>
      </c>
      <c r="C26" s="159" t="str">
        <f aca="false">IFERROR(INDEX(_自动清单!$K$4:$K$910,MATCH(ROW()-5,_自动清单!$H$4:$H$910,0)),"")</f>
        <v/>
      </c>
      <c r="D26" s="160" t="str">
        <f aca="false">IFERROR(INDEX(_自动清单!$L$4:$L$910,MATCH(ROW()-5,_自动清单!$H$4:$H$910,0)),"")</f>
        <v/>
      </c>
      <c r="E26" s="161" t="str">
        <f aca="false">IFERROR(INDEX(_自动清单!$M$4:$M$910,MATCH(ROW()-5,_自动清单!$H$4:$H$910,0)),"")</f>
        <v/>
      </c>
      <c r="F26" s="161" t="str">
        <f aca="false">IFERROR(INDEX(_自动清单!$N$4:$N$910,MATCH(ROW()-5,_自动清单!$H$4:$H$910,0)),"")</f>
        <v/>
      </c>
      <c r="G26" s="161" t="str">
        <f aca="false">IFERROR(INDEX(_自动清单!$O$4:$O$910,MATCH(ROW()-5,_自动清单!$H$4:$H$910,0)),"")</f>
        <v/>
      </c>
      <c r="H26" s="158" t="str">
        <f aca="false">IFERROR(INDEX(_自动清单!$P$4:$P$910,MATCH(ROW()-5,_自动清单!$H$4:$H$910,0)),"")</f>
        <v/>
      </c>
    </row>
    <row r="27" customFormat="false" ht="18.75" hidden="false" customHeight="true" outlineLevel="0" collapsed="false">
      <c r="A27" s="157" t="str">
        <f aca="false">IFERROR(INDEX(_自动清单!$I$4:$I$910,MATCH(ROW()-5,_自动清单!$H$4:$H$910,0)),"")</f>
        <v/>
      </c>
      <c r="B27" s="158" t="str">
        <f aca="false">IFERROR(INDEX(_自动清单!$J$4:$J$910,MATCH(ROW()-5,_自动清单!$H$4:$H$910,0)),"")</f>
        <v/>
      </c>
      <c r="C27" s="159" t="str">
        <f aca="false">IFERROR(INDEX(_自动清单!$K$4:$K$910,MATCH(ROW()-5,_自动清单!$H$4:$H$910,0)),"")</f>
        <v/>
      </c>
      <c r="D27" s="160" t="str">
        <f aca="false">IFERROR(INDEX(_自动清单!$L$4:$L$910,MATCH(ROW()-5,_自动清单!$H$4:$H$910,0)),"")</f>
        <v/>
      </c>
      <c r="E27" s="161" t="str">
        <f aca="false">IFERROR(INDEX(_自动清单!$M$4:$M$910,MATCH(ROW()-5,_自动清单!$H$4:$H$910,0)),"")</f>
        <v/>
      </c>
      <c r="F27" s="161" t="str">
        <f aca="false">IFERROR(INDEX(_自动清单!$N$4:$N$910,MATCH(ROW()-5,_自动清单!$H$4:$H$910,0)),"")</f>
        <v/>
      </c>
      <c r="G27" s="161" t="str">
        <f aca="false">IFERROR(INDEX(_自动清单!$O$4:$O$910,MATCH(ROW()-5,_自动清单!$H$4:$H$910,0)),"")</f>
        <v/>
      </c>
      <c r="H27" s="158" t="str">
        <f aca="false">IFERROR(INDEX(_自动清单!$P$4:$P$910,MATCH(ROW()-5,_自动清单!$H$4:$H$910,0)),"")</f>
        <v/>
      </c>
    </row>
    <row r="28" customFormat="false" ht="18.75" hidden="false" customHeight="true" outlineLevel="0" collapsed="false">
      <c r="A28" s="157" t="str">
        <f aca="false">IFERROR(INDEX(_自动清单!$I$4:$I$910,MATCH(ROW()-5,_自动清单!$H$4:$H$910,0)),"")</f>
        <v/>
      </c>
      <c r="B28" s="158" t="str">
        <f aca="false">IFERROR(INDEX(_自动清单!$J$4:$J$910,MATCH(ROW()-5,_自动清单!$H$4:$H$910,0)),"")</f>
        <v/>
      </c>
      <c r="C28" s="159" t="str">
        <f aca="false">IFERROR(INDEX(_自动清单!$K$4:$K$910,MATCH(ROW()-5,_自动清单!$H$4:$H$910,0)),"")</f>
        <v/>
      </c>
      <c r="D28" s="160" t="str">
        <f aca="false">IFERROR(INDEX(_自动清单!$L$4:$L$910,MATCH(ROW()-5,_自动清单!$H$4:$H$910,0)),"")</f>
        <v/>
      </c>
      <c r="E28" s="161" t="str">
        <f aca="false">IFERROR(INDEX(_自动清单!$M$4:$M$910,MATCH(ROW()-5,_自动清单!$H$4:$H$910,0)),"")</f>
        <v/>
      </c>
      <c r="F28" s="161" t="str">
        <f aca="false">IFERROR(INDEX(_自动清单!$N$4:$N$910,MATCH(ROW()-5,_自动清单!$H$4:$H$910,0)),"")</f>
        <v/>
      </c>
      <c r="G28" s="161" t="str">
        <f aca="false">IFERROR(INDEX(_自动清单!$O$4:$O$910,MATCH(ROW()-5,_自动清单!$H$4:$H$910,0)),"")</f>
        <v/>
      </c>
      <c r="H28" s="158" t="str">
        <f aca="false">IFERROR(INDEX(_自动清单!$P$4:$P$910,MATCH(ROW()-5,_自动清单!$H$4:$H$910,0)),"")</f>
        <v/>
      </c>
    </row>
    <row r="29" customFormat="false" ht="18.75" hidden="false" customHeight="true" outlineLevel="0" collapsed="false">
      <c r="A29" s="157" t="str">
        <f aca="false">IFERROR(INDEX(_自动清单!$I$4:$I$910,MATCH(ROW()-5,_自动清单!$H$4:$H$910,0)),"")</f>
        <v/>
      </c>
      <c r="B29" s="158" t="str">
        <f aca="false">IFERROR(INDEX(_自动清单!$J$4:$J$910,MATCH(ROW()-5,_自动清单!$H$4:$H$910,0)),"")</f>
        <v/>
      </c>
      <c r="C29" s="159" t="str">
        <f aca="false">IFERROR(INDEX(_自动清单!$K$4:$K$910,MATCH(ROW()-5,_自动清单!$H$4:$H$910,0)),"")</f>
        <v/>
      </c>
      <c r="D29" s="160" t="str">
        <f aca="false">IFERROR(INDEX(_自动清单!$L$4:$L$910,MATCH(ROW()-5,_自动清单!$H$4:$H$910,0)),"")</f>
        <v/>
      </c>
      <c r="E29" s="161" t="str">
        <f aca="false">IFERROR(INDEX(_自动清单!$M$4:$M$910,MATCH(ROW()-5,_自动清单!$H$4:$H$910,0)),"")</f>
        <v/>
      </c>
      <c r="F29" s="161" t="str">
        <f aca="false">IFERROR(INDEX(_自动清单!$N$4:$N$910,MATCH(ROW()-5,_自动清单!$H$4:$H$910,0)),"")</f>
        <v/>
      </c>
      <c r="G29" s="161" t="str">
        <f aca="false">IFERROR(INDEX(_自动清单!$O$4:$O$910,MATCH(ROW()-5,_自动清单!$H$4:$H$910,0)),"")</f>
        <v/>
      </c>
      <c r="H29" s="158" t="str">
        <f aca="false">IFERROR(INDEX(_自动清单!$P$4:$P$910,MATCH(ROW()-5,_自动清单!$H$4:$H$910,0)),"")</f>
        <v/>
      </c>
    </row>
    <row r="30" customFormat="false" ht="18.75" hidden="false" customHeight="true" outlineLevel="0" collapsed="false">
      <c r="A30" s="157" t="str">
        <f aca="false">IFERROR(INDEX(_自动清单!$I$4:$I$910,MATCH(ROW()-5,_自动清单!$H$4:$H$910,0)),"")</f>
        <v/>
      </c>
      <c r="B30" s="158" t="str">
        <f aca="false">IFERROR(INDEX(_自动清单!$J$4:$J$910,MATCH(ROW()-5,_自动清单!$H$4:$H$910,0)),"")</f>
        <v/>
      </c>
      <c r="C30" s="159" t="str">
        <f aca="false">IFERROR(INDEX(_自动清单!$K$4:$K$910,MATCH(ROW()-5,_自动清单!$H$4:$H$910,0)),"")</f>
        <v/>
      </c>
      <c r="D30" s="160" t="str">
        <f aca="false">IFERROR(INDEX(_自动清单!$L$4:$L$910,MATCH(ROW()-5,_自动清单!$H$4:$H$910,0)),"")</f>
        <v/>
      </c>
      <c r="E30" s="161" t="str">
        <f aca="false">IFERROR(INDEX(_自动清单!$M$4:$M$910,MATCH(ROW()-5,_自动清单!$H$4:$H$910,0)),"")</f>
        <v/>
      </c>
      <c r="F30" s="161" t="str">
        <f aca="false">IFERROR(INDEX(_自动清单!$N$4:$N$910,MATCH(ROW()-5,_自动清单!$H$4:$H$910,0)),"")</f>
        <v/>
      </c>
      <c r="G30" s="161" t="str">
        <f aca="false">IFERROR(INDEX(_自动清单!$O$4:$O$910,MATCH(ROW()-5,_自动清单!$H$4:$H$910,0)),"")</f>
        <v/>
      </c>
      <c r="H30" s="158" t="str">
        <f aca="false">IFERROR(INDEX(_自动清单!$P$4:$P$910,MATCH(ROW()-5,_自动清单!$H$4:$H$910,0)),"")</f>
        <v/>
      </c>
    </row>
    <row r="31" customFormat="false" ht="18.75" hidden="false" customHeight="true" outlineLevel="0" collapsed="false">
      <c r="A31" s="157" t="str">
        <f aca="false">IFERROR(INDEX(_自动清单!$I$4:$I$910,MATCH(ROW()-5,_自动清单!$H$4:$H$910,0)),"")</f>
        <v/>
      </c>
      <c r="B31" s="158" t="str">
        <f aca="false">IFERROR(INDEX(_自动清单!$J$4:$J$910,MATCH(ROW()-5,_自动清单!$H$4:$H$910,0)),"")</f>
        <v/>
      </c>
      <c r="C31" s="159" t="str">
        <f aca="false">IFERROR(INDEX(_自动清单!$K$4:$K$910,MATCH(ROW()-5,_自动清单!$H$4:$H$910,0)),"")</f>
        <v/>
      </c>
      <c r="D31" s="160" t="str">
        <f aca="false">IFERROR(INDEX(_自动清单!$L$4:$L$910,MATCH(ROW()-5,_自动清单!$H$4:$H$910,0)),"")</f>
        <v/>
      </c>
      <c r="E31" s="161" t="str">
        <f aca="false">IFERROR(INDEX(_自动清单!$M$4:$M$910,MATCH(ROW()-5,_自动清单!$H$4:$H$910,0)),"")</f>
        <v/>
      </c>
      <c r="F31" s="161" t="str">
        <f aca="false">IFERROR(INDEX(_自动清单!$N$4:$N$910,MATCH(ROW()-5,_自动清单!$H$4:$H$910,0)),"")</f>
        <v/>
      </c>
      <c r="G31" s="161" t="str">
        <f aca="false">IFERROR(INDEX(_自动清单!$O$4:$O$910,MATCH(ROW()-5,_自动清单!$H$4:$H$910,0)),"")</f>
        <v/>
      </c>
      <c r="H31" s="158" t="str">
        <f aca="false">IFERROR(INDEX(_自动清单!$P$4:$P$910,MATCH(ROW()-5,_自动清单!$H$4:$H$910,0)),"")</f>
        <v/>
      </c>
    </row>
    <row r="32" customFormat="false" ht="18.75" hidden="false" customHeight="true" outlineLevel="0" collapsed="false">
      <c r="A32" s="157" t="str">
        <f aca="false">IFERROR(INDEX(_自动清单!$I$4:$I$910,MATCH(ROW()-5,_自动清单!$H$4:$H$910,0)),"")</f>
        <v/>
      </c>
      <c r="B32" s="158" t="str">
        <f aca="false">IFERROR(INDEX(_自动清单!$J$4:$J$910,MATCH(ROW()-5,_自动清单!$H$4:$H$910,0)),"")</f>
        <v/>
      </c>
      <c r="C32" s="159" t="str">
        <f aca="false">IFERROR(INDEX(_自动清单!$K$4:$K$910,MATCH(ROW()-5,_自动清单!$H$4:$H$910,0)),"")</f>
        <v/>
      </c>
      <c r="D32" s="160" t="str">
        <f aca="false">IFERROR(INDEX(_自动清单!$L$4:$L$910,MATCH(ROW()-5,_自动清单!$H$4:$H$910,0)),"")</f>
        <v/>
      </c>
      <c r="E32" s="161" t="str">
        <f aca="false">IFERROR(INDEX(_自动清单!$M$4:$M$910,MATCH(ROW()-5,_自动清单!$H$4:$H$910,0)),"")</f>
        <v/>
      </c>
      <c r="F32" s="161" t="str">
        <f aca="false">IFERROR(INDEX(_自动清单!$N$4:$N$910,MATCH(ROW()-5,_自动清单!$H$4:$H$910,0)),"")</f>
        <v/>
      </c>
      <c r="G32" s="161" t="str">
        <f aca="false">IFERROR(INDEX(_自动清单!$O$4:$O$910,MATCH(ROW()-5,_自动清单!$H$4:$H$910,0)),"")</f>
        <v/>
      </c>
      <c r="H32" s="158" t="str">
        <f aca="false">IFERROR(INDEX(_自动清单!$P$4:$P$910,MATCH(ROW()-5,_自动清单!$H$4:$H$910,0)),"")</f>
        <v/>
      </c>
    </row>
    <row r="33" customFormat="false" ht="18.75" hidden="false" customHeight="true" outlineLevel="0" collapsed="false">
      <c r="A33" s="157" t="str">
        <f aca="false">IFERROR(INDEX(_自动清单!$I$4:$I$910,MATCH(ROW()-5,_自动清单!$H$4:$H$910,0)),"")</f>
        <v/>
      </c>
      <c r="B33" s="158" t="str">
        <f aca="false">IFERROR(INDEX(_自动清单!$J$4:$J$910,MATCH(ROW()-5,_自动清单!$H$4:$H$910,0)),"")</f>
        <v/>
      </c>
      <c r="C33" s="159" t="str">
        <f aca="false">IFERROR(INDEX(_自动清单!$K$4:$K$910,MATCH(ROW()-5,_自动清单!$H$4:$H$910,0)),"")</f>
        <v/>
      </c>
      <c r="D33" s="160" t="str">
        <f aca="false">IFERROR(INDEX(_自动清单!$L$4:$L$910,MATCH(ROW()-5,_自动清单!$H$4:$H$910,0)),"")</f>
        <v/>
      </c>
      <c r="E33" s="161" t="str">
        <f aca="false">IFERROR(INDEX(_自动清单!$M$4:$M$910,MATCH(ROW()-5,_自动清单!$H$4:$H$910,0)),"")</f>
        <v/>
      </c>
      <c r="F33" s="161" t="str">
        <f aca="false">IFERROR(INDEX(_自动清单!$N$4:$N$910,MATCH(ROW()-5,_自动清单!$H$4:$H$910,0)),"")</f>
        <v/>
      </c>
      <c r="G33" s="161" t="str">
        <f aca="false">IFERROR(INDEX(_自动清单!$O$4:$O$910,MATCH(ROW()-5,_自动清单!$H$4:$H$910,0)),"")</f>
        <v/>
      </c>
      <c r="H33" s="158" t="str">
        <f aca="false">IFERROR(INDEX(_自动清单!$P$4:$P$910,MATCH(ROW()-5,_自动清单!$H$4:$H$910,0)),"")</f>
        <v/>
      </c>
    </row>
    <row r="34" customFormat="false" ht="18.75" hidden="false" customHeight="true" outlineLevel="0" collapsed="false">
      <c r="A34" s="157" t="str">
        <f aca="false">IFERROR(INDEX(_自动清单!$I$4:$I$910,MATCH(ROW()-5,_自动清单!$H$4:$H$910,0)),"")</f>
        <v/>
      </c>
      <c r="B34" s="158" t="str">
        <f aca="false">IFERROR(INDEX(_自动清单!$J$4:$J$910,MATCH(ROW()-5,_自动清单!$H$4:$H$910,0)),"")</f>
        <v/>
      </c>
      <c r="C34" s="159" t="str">
        <f aca="false">IFERROR(INDEX(_自动清单!$K$4:$K$910,MATCH(ROW()-5,_自动清单!$H$4:$H$910,0)),"")</f>
        <v/>
      </c>
      <c r="D34" s="160" t="str">
        <f aca="false">IFERROR(INDEX(_自动清单!$L$4:$L$910,MATCH(ROW()-5,_自动清单!$H$4:$H$910,0)),"")</f>
        <v/>
      </c>
      <c r="E34" s="161" t="str">
        <f aca="false">IFERROR(INDEX(_自动清单!$M$4:$M$910,MATCH(ROW()-5,_自动清单!$H$4:$H$910,0)),"")</f>
        <v/>
      </c>
      <c r="F34" s="161" t="str">
        <f aca="false">IFERROR(INDEX(_自动清单!$N$4:$N$910,MATCH(ROW()-5,_自动清单!$H$4:$H$910,0)),"")</f>
        <v/>
      </c>
      <c r="G34" s="161" t="str">
        <f aca="false">IFERROR(INDEX(_自动清单!$O$4:$O$910,MATCH(ROW()-5,_自动清单!$H$4:$H$910,0)),"")</f>
        <v/>
      </c>
      <c r="H34" s="158" t="str">
        <f aca="false">IFERROR(INDEX(_自动清单!$P$4:$P$910,MATCH(ROW()-5,_自动清单!$H$4:$H$910,0)),"")</f>
        <v/>
      </c>
    </row>
    <row r="35" customFormat="false" ht="18.75" hidden="false" customHeight="true" outlineLevel="0" collapsed="false">
      <c r="A35" s="157" t="str">
        <f aca="false">IFERROR(INDEX(_自动清单!$I$4:$I$910,MATCH(ROW()-5,_自动清单!$H$4:$H$910,0)),"")</f>
        <v/>
      </c>
      <c r="B35" s="158" t="str">
        <f aca="false">IFERROR(INDEX(_自动清单!$J$4:$J$910,MATCH(ROW()-5,_自动清单!$H$4:$H$910,0)),"")</f>
        <v/>
      </c>
      <c r="C35" s="159" t="str">
        <f aca="false">IFERROR(INDEX(_自动清单!$K$4:$K$910,MATCH(ROW()-5,_自动清单!$H$4:$H$910,0)),"")</f>
        <v/>
      </c>
      <c r="D35" s="160" t="str">
        <f aca="false">IFERROR(INDEX(_自动清单!$L$4:$L$910,MATCH(ROW()-5,_自动清单!$H$4:$H$910,0)),"")</f>
        <v/>
      </c>
      <c r="E35" s="161" t="str">
        <f aca="false">IFERROR(INDEX(_自动清单!$M$4:$M$910,MATCH(ROW()-5,_自动清单!$H$4:$H$910,0)),"")</f>
        <v/>
      </c>
      <c r="F35" s="161" t="str">
        <f aca="false">IFERROR(INDEX(_自动清单!$N$4:$N$910,MATCH(ROW()-5,_自动清单!$H$4:$H$910,0)),"")</f>
        <v/>
      </c>
      <c r="G35" s="161" t="str">
        <f aca="false">IFERROR(INDEX(_自动清单!$O$4:$O$910,MATCH(ROW()-5,_自动清单!$H$4:$H$910,0)),"")</f>
        <v/>
      </c>
      <c r="H35" s="158" t="str">
        <f aca="false">IFERROR(INDEX(_自动清单!$P$4:$P$910,MATCH(ROW()-5,_自动清单!$H$4:$H$910,0)),"")</f>
        <v/>
      </c>
    </row>
    <row r="36" customFormat="false" ht="18.75" hidden="false" customHeight="true" outlineLevel="0" collapsed="false">
      <c r="A36" s="157" t="str">
        <f aca="false">IFERROR(INDEX(_自动清单!$I$4:$I$910,MATCH(ROW()-5,_自动清单!$H$4:$H$910,0)),"")</f>
        <v/>
      </c>
      <c r="B36" s="158" t="str">
        <f aca="false">IFERROR(INDEX(_自动清单!$J$4:$J$910,MATCH(ROW()-5,_自动清单!$H$4:$H$910,0)),"")</f>
        <v/>
      </c>
      <c r="C36" s="159" t="str">
        <f aca="false">IFERROR(INDEX(_自动清单!$K$4:$K$910,MATCH(ROW()-5,_自动清单!$H$4:$H$910,0)),"")</f>
        <v/>
      </c>
      <c r="D36" s="160" t="str">
        <f aca="false">IFERROR(INDEX(_自动清单!$L$4:$L$910,MATCH(ROW()-5,_自动清单!$H$4:$H$910,0)),"")</f>
        <v/>
      </c>
      <c r="E36" s="161" t="str">
        <f aca="false">IFERROR(INDEX(_自动清单!$M$4:$M$910,MATCH(ROW()-5,_自动清单!$H$4:$H$910,0)),"")</f>
        <v/>
      </c>
      <c r="F36" s="161" t="str">
        <f aca="false">IFERROR(INDEX(_自动清单!$N$4:$N$910,MATCH(ROW()-5,_自动清单!$H$4:$H$910,0)),"")</f>
        <v/>
      </c>
      <c r="G36" s="161" t="str">
        <f aca="false">IFERROR(INDEX(_自动清单!$O$4:$O$910,MATCH(ROW()-5,_自动清单!$H$4:$H$910,0)),"")</f>
        <v/>
      </c>
      <c r="H36" s="158" t="str">
        <f aca="false">IFERROR(INDEX(_自动清单!$P$4:$P$910,MATCH(ROW()-5,_自动清单!$H$4:$H$910,0)),"")</f>
        <v/>
      </c>
    </row>
    <row r="37" customFormat="false" ht="18.75" hidden="false" customHeight="true" outlineLevel="0" collapsed="false">
      <c r="A37" s="157" t="str">
        <f aca="false">IFERROR(INDEX(_自动清单!$I$4:$I$910,MATCH(ROW()-5,_自动清单!$H$4:$H$910,0)),"")</f>
        <v/>
      </c>
      <c r="B37" s="158" t="str">
        <f aca="false">IFERROR(INDEX(_自动清单!$J$4:$J$910,MATCH(ROW()-5,_自动清单!$H$4:$H$910,0)),"")</f>
        <v/>
      </c>
      <c r="C37" s="159" t="str">
        <f aca="false">IFERROR(INDEX(_自动清单!$K$4:$K$910,MATCH(ROW()-5,_自动清单!$H$4:$H$910,0)),"")</f>
        <v/>
      </c>
      <c r="D37" s="160" t="str">
        <f aca="false">IFERROR(INDEX(_自动清单!$L$4:$L$910,MATCH(ROW()-5,_自动清单!$H$4:$H$910,0)),"")</f>
        <v/>
      </c>
      <c r="E37" s="161" t="str">
        <f aca="false">IFERROR(INDEX(_自动清单!$M$4:$M$910,MATCH(ROW()-5,_自动清单!$H$4:$H$910,0)),"")</f>
        <v/>
      </c>
      <c r="F37" s="161" t="str">
        <f aca="false">IFERROR(INDEX(_自动清单!$N$4:$N$910,MATCH(ROW()-5,_自动清单!$H$4:$H$910,0)),"")</f>
        <v/>
      </c>
      <c r="G37" s="161" t="str">
        <f aca="false">IFERROR(INDEX(_自动清单!$O$4:$O$910,MATCH(ROW()-5,_自动清单!$H$4:$H$910,0)),"")</f>
        <v/>
      </c>
      <c r="H37" s="158" t="str">
        <f aca="false">IFERROR(INDEX(_自动清单!$P$4:$P$910,MATCH(ROW()-5,_自动清单!$H$4:$H$910,0)),"")</f>
        <v/>
      </c>
    </row>
    <row r="38" customFormat="false" ht="18.75" hidden="false" customHeight="true" outlineLevel="0" collapsed="false">
      <c r="A38" s="157" t="str">
        <f aca="false">IFERROR(INDEX(_自动清单!$I$4:$I$910,MATCH(ROW()-5,_自动清单!$H$4:$H$910,0)),"")</f>
        <v/>
      </c>
      <c r="B38" s="158" t="str">
        <f aca="false">IFERROR(INDEX(_自动清单!$J$4:$J$910,MATCH(ROW()-5,_自动清单!$H$4:$H$910,0)),"")</f>
        <v/>
      </c>
      <c r="C38" s="159" t="str">
        <f aca="false">IFERROR(INDEX(_自动清单!$K$4:$K$910,MATCH(ROW()-5,_自动清单!$H$4:$H$910,0)),"")</f>
        <v/>
      </c>
      <c r="D38" s="160" t="str">
        <f aca="false">IFERROR(INDEX(_自动清单!$L$4:$L$910,MATCH(ROW()-5,_自动清单!$H$4:$H$910,0)),"")</f>
        <v/>
      </c>
      <c r="E38" s="161" t="str">
        <f aca="false">IFERROR(INDEX(_自动清单!$M$4:$M$910,MATCH(ROW()-5,_自动清单!$H$4:$H$910,0)),"")</f>
        <v/>
      </c>
      <c r="F38" s="161" t="str">
        <f aca="false">IFERROR(INDEX(_自动清单!$N$4:$N$910,MATCH(ROW()-5,_自动清单!$H$4:$H$910,0)),"")</f>
        <v/>
      </c>
      <c r="G38" s="161" t="str">
        <f aca="false">IFERROR(INDEX(_自动清单!$O$4:$O$910,MATCH(ROW()-5,_自动清单!$H$4:$H$910,0)),"")</f>
        <v/>
      </c>
      <c r="H38" s="158" t="str">
        <f aca="false">IFERROR(INDEX(_自动清单!$P$4:$P$910,MATCH(ROW()-5,_自动清单!$H$4:$H$910,0)),"")</f>
        <v/>
      </c>
    </row>
    <row r="39" customFormat="false" ht="18.75" hidden="false" customHeight="true" outlineLevel="0" collapsed="false">
      <c r="A39" s="157" t="str">
        <f aca="false">IFERROR(INDEX(_自动清单!$I$4:$I$910,MATCH(ROW()-5,_自动清单!$H$4:$H$910,0)),"")</f>
        <v/>
      </c>
      <c r="B39" s="158" t="str">
        <f aca="false">IFERROR(INDEX(_自动清单!$J$4:$J$910,MATCH(ROW()-5,_自动清单!$H$4:$H$910,0)),"")</f>
        <v/>
      </c>
      <c r="C39" s="159" t="str">
        <f aca="false">IFERROR(INDEX(_自动清单!$K$4:$K$910,MATCH(ROW()-5,_自动清单!$H$4:$H$910,0)),"")</f>
        <v/>
      </c>
      <c r="D39" s="160" t="str">
        <f aca="false">IFERROR(INDEX(_自动清单!$L$4:$L$910,MATCH(ROW()-5,_自动清单!$H$4:$H$910,0)),"")</f>
        <v/>
      </c>
      <c r="E39" s="161" t="str">
        <f aca="false">IFERROR(INDEX(_自动清单!$M$4:$M$910,MATCH(ROW()-5,_自动清单!$H$4:$H$910,0)),"")</f>
        <v/>
      </c>
      <c r="F39" s="161" t="str">
        <f aca="false">IFERROR(INDEX(_自动清单!$N$4:$N$910,MATCH(ROW()-5,_自动清单!$H$4:$H$910,0)),"")</f>
        <v/>
      </c>
      <c r="G39" s="161" t="str">
        <f aca="false">IFERROR(INDEX(_自动清单!$O$4:$O$910,MATCH(ROW()-5,_自动清单!$H$4:$H$910,0)),"")</f>
        <v/>
      </c>
      <c r="H39" s="158" t="str">
        <f aca="false">IFERROR(INDEX(_自动清单!$P$4:$P$910,MATCH(ROW()-5,_自动清单!$H$4:$H$910,0)),"")</f>
        <v/>
      </c>
    </row>
    <row r="40" customFormat="false" ht="18.75" hidden="false" customHeight="true" outlineLevel="0" collapsed="false">
      <c r="A40" s="157" t="str">
        <f aca="false">IFERROR(INDEX(_自动清单!$I$4:$I$910,MATCH(ROW()-5,_自动清单!$H$4:$H$910,0)),"")</f>
        <v/>
      </c>
      <c r="B40" s="158" t="str">
        <f aca="false">IFERROR(INDEX(_自动清单!$J$4:$J$910,MATCH(ROW()-5,_自动清单!$H$4:$H$910,0)),"")</f>
        <v/>
      </c>
      <c r="C40" s="159" t="str">
        <f aca="false">IFERROR(INDEX(_自动清单!$K$4:$K$910,MATCH(ROW()-5,_自动清单!$H$4:$H$910,0)),"")</f>
        <v/>
      </c>
      <c r="D40" s="160" t="str">
        <f aca="false">IFERROR(INDEX(_自动清单!$L$4:$L$910,MATCH(ROW()-5,_自动清单!$H$4:$H$910,0)),"")</f>
        <v/>
      </c>
      <c r="E40" s="161" t="str">
        <f aca="false">IFERROR(INDEX(_自动清单!$M$4:$M$910,MATCH(ROW()-5,_自动清单!$H$4:$H$910,0)),"")</f>
        <v/>
      </c>
      <c r="F40" s="161" t="str">
        <f aca="false">IFERROR(INDEX(_自动清单!$N$4:$N$910,MATCH(ROW()-5,_自动清单!$H$4:$H$910,0)),"")</f>
        <v/>
      </c>
      <c r="G40" s="161" t="str">
        <f aca="false">IFERROR(INDEX(_自动清单!$O$4:$O$910,MATCH(ROW()-5,_自动清单!$H$4:$H$910,0)),"")</f>
        <v/>
      </c>
      <c r="H40" s="158" t="str">
        <f aca="false">IFERROR(INDEX(_自动清单!$P$4:$P$910,MATCH(ROW()-5,_自动清单!$H$4:$H$910,0)),"")</f>
        <v/>
      </c>
    </row>
    <row r="41" customFormat="false" ht="18.75" hidden="false" customHeight="true" outlineLevel="0" collapsed="false">
      <c r="A41" s="157" t="str">
        <f aca="false">IFERROR(INDEX(_自动清单!$I$4:$I$910,MATCH(ROW()-5,_自动清单!$H$4:$H$910,0)),"")</f>
        <v/>
      </c>
      <c r="B41" s="158" t="str">
        <f aca="false">IFERROR(INDEX(_自动清单!$J$4:$J$910,MATCH(ROW()-5,_自动清单!$H$4:$H$910,0)),"")</f>
        <v/>
      </c>
      <c r="C41" s="159" t="str">
        <f aca="false">IFERROR(INDEX(_自动清单!$K$4:$K$910,MATCH(ROW()-5,_自动清单!$H$4:$H$910,0)),"")</f>
        <v/>
      </c>
      <c r="D41" s="160" t="str">
        <f aca="false">IFERROR(INDEX(_自动清单!$L$4:$L$910,MATCH(ROW()-5,_自动清单!$H$4:$H$910,0)),"")</f>
        <v/>
      </c>
      <c r="E41" s="161" t="str">
        <f aca="false">IFERROR(INDEX(_自动清单!$M$4:$M$910,MATCH(ROW()-5,_自动清单!$H$4:$H$910,0)),"")</f>
        <v/>
      </c>
      <c r="F41" s="161" t="str">
        <f aca="false">IFERROR(INDEX(_自动清单!$N$4:$N$910,MATCH(ROW()-5,_自动清单!$H$4:$H$910,0)),"")</f>
        <v/>
      </c>
      <c r="G41" s="161" t="str">
        <f aca="false">IFERROR(INDEX(_自动清单!$O$4:$O$910,MATCH(ROW()-5,_自动清单!$H$4:$H$910,0)),"")</f>
        <v/>
      </c>
      <c r="H41" s="158" t="str">
        <f aca="false">IFERROR(INDEX(_自动清单!$P$4:$P$910,MATCH(ROW()-5,_自动清单!$H$4:$H$910,0)),"")</f>
        <v/>
      </c>
    </row>
    <row r="42" customFormat="false" ht="18.75" hidden="false" customHeight="true" outlineLevel="0" collapsed="false">
      <c r="A42" s="157" t="str">
        <f aca="false">IFERROR(INDEX(_自动清单!$I$4:$I$910,MATCH(ROW()-5,_自动清单!$H$4:$H$910,0)),"")</f>
        <v/>
      </c>
      <c r="B42" s="158" t="str">
        <f aca="false">IFERROR(INDEX(_自动清单!$J$4:$J$910,MATCH(ROW()-5,_自动清单!$H$4:$H$910,0)),"")</f>
        <v/>
      </c>
      <c r="C42" s="159" t="str">
        <f aca="false">IFERROR(INDEX(_自动清单!$K$4:$K$910,MATCH(ROW()-5,_自动清单!$H$4:$H$910,0)),"")</f>
        <v/>
      </c>
      <c r="D42" s="160" t="str">
        <f aca="false">IFERROR(INDEX(_自动清单!$L$4:$L$910,MATCH(ROW()-5,_自动清单!$H$4:$H$910,0)),"")</f>
        <v/>
      </c>
      <c r="E42" s="161" t="str">
        <f aca="false">IFERROR(INDEX(_自动清单!$M$4:$M$910,MATCH(ROW()-5,_自动清单!$H$4:$H$910,0)),"")</f>
        <v/>
      </c>
      <c r="F42" s="161" t="str">
        <f aca="false">IFERROR(INDEX(_自动清单!$N$4:$N$910,MATCH(ROW()-5,_自动清单!$H$4:$H$910,0)),"")</f>
        <v/>
      </c>
      <c r="G42" s="161" t="str">
        <f aca="false">IFERROR(INDEX(_自动清单!$O$4:$O$910,MATCH(ROW()-5,_自动清单!$H$4:$H$910,0)),"")</f>
        <v/>
      </c>
      <c r="H42" s="158" t="str">
        <f aca="false">IFERROR(INDEX(_自动清单!$P$4:$P$910,MATCH(ROW()-5,_自动清单!$H$4:$H$910,0)),"")</f>
        <v/>
      </c>
    </row>
    <row r="43" customFormat="false" ht="18.75" hidden="false" customHeight="true" outlineLevel="0" collapsed="false">
      <c r="A43" s="157" t="str">
        <f aca="false">IFERROR(INDEX(_自动清单!$I$4:$I$910,MATCH(ROW()-5,_自动清单!$H$4:$H$910,0)),"")</f>
        <v/>
      </c>
      <c r="B43" s="158" t="str">
        <f aca="false">IFERROR(INDEX(_自动清单!$J$4:$J$910,MATCH(ROW()-5,_自动清单!$H$4:$H$910,0)),"")</f>
        <v/>
      </c>
      <c r="C43" s="159" t="str">
        <f aca="false">IFERROR(INDEX(_自动清单!$K$4:$K$910,MATCH(ROW()-5,_自动清单!$H$4:$H$910,0)),"")</f>
        <v/>
      </c>
      <c r="D43" s="160" t="str">
        <f aca="false">IFERROR(INDEX(_自动清单!$L$4:$L$910,MATCH(ROW()-5,_自动清单!$H$4:$H$910,0)),"")</f>
        <v/>
      </c>
      <c r="E43" s="161" t="str">
        <f aca="false">IFERROR(INDEX(_自动清单!$M$4:$M$910,MATCH(ROW()-5,_自动清单!$H$4:$H$910,0)),"")</f>
        <v/>
      </c>
      <c r="F43" s="161" t="str">
        <f aca="false">IFERROR(INDEX(_自动清单!$N$4:$N$910,MATCH(ROW()-5,_自动清单!$H$4:$H$910,0)),"")</f>
        <v/>
      </c>
      <c r="G43" s="161" t="str">
        <f aca="false">IFERROR(INDEX(_自动清单!$O$4:$O$910,MATCH(ROW()-5,_自动清单!$H$4:$H$910,0)),"")</f>
        <v/>
      </c>
      <c r="H43" s="158" t="str">
        <f aca="false">IFERROR(INDEX(_自动清单!$P$4:$P$910,MATCH(ROW()-5,_自动清单!$H$4:$H$910,0)),"")</f>
        <v/>
      </c>
    </row>
    <row r="44" customFormat="false" ht="18.75" hidden="false" customHeight="true" outlineLevel="0" collapsed="false">
      <c r="A44" s="157" t="str">
        <f aca="false">IFERROR(INDEX(_自动清单!$I$4:$I$910,MATCH(ROW()-5,_自动清单!$H$4:$H$910,0)),"")</f>
        <v/>
      </c>
      <c r="B44" s="158" t="str">
        <f aca="false">IFERROR(INDEX(_自动清单!$J$4:$J$910,MATCH(ROW()-5,_自动清单!$H$4:$H$910,0)),"")</f>
        <v/>
      </c>
      <c r="C44" s="159" t="str">
        <f aca="false">IFERROR(INDEX(_自动清单!$K$4:$K$910,MATCH(ROW()-5,_自动清单!$H$4:$H$910,0)),"")</f>
        <v/>
      </c>
      <c r="D44" s="160" t="str">
        <f aca="false">IFERROR(INDEX(_自动清单!$L$4:$L$910,MATCH(ROW()-5,_自动清单!$H$4:$H$910,0)),"")</f>
        <v/>
      </c>
      <c r="E44" s="161" t="str">
        <f aca="false">IFERROR(INDEX(_自动清单!$M$4:$M$910,MATCH(ROW()-5,_自动清单!$H$4:$H$910,0)),"")</f>
        <v/>
      </c>
      <c r="F44" s="161" t="str">
        <f aca="false">IFERROR(INDEX(_自动清单!$N$4:$N$910,MATCH(ROW()-5,_自动清单!$H$4:$H$910,0)),"")</f>
        <v/>
      </c>
      <c r="G44" s="161" t="str">
        <f aca="false">IFERROR(INDEX(_自动清单!$O$4:$O$910,MATCH(ROW()-5,_自动清单!$H$4:$H$910,0)),"")</f>
        <v/>
      </c>
      <c r="H44" s="158" t="str">
        <f aca="false">IFERROR(INDEX(_自动清单!$P$4:$P$910,MATCH(ROW()-5,_自动清单!$H$4:$H$910,0)),"")</f>
        <v/>
      </c>
    </row>
    <row r="45" customFormat="false" ht="18.75" hidden="false" customHeight="true" outlineLevel="0" collapsed="false">
      <c r="A45" s="157" t="str">
        <f aca="false">IFERROR(INDEX(_自动清单!$I$4:$I$910,MATCH(ROW()-5,_自动清单!$H$4:$H$910,0)),"")</f>
        <v/>
      </c>
      <c r="B45" s="158" t="str">
        <f aca="false">IFERROR(INDEX(_自动清单!$J$4:$J$910,MATCH(ROW()-5,_自动清单!$H$4:$H$910,0)),"")</f>
        <v/>
      </c>
      <c r="C45" s="159" t="str">
        <f aca="false">IFERROR(INDEX(_自动清单!$K$4:$K$910,MATCH(ROW()-5,_自动清单!$H$4:$H$910,0)),"")</f>
        <v/>
      </c>
      <c r="D45" s="160" t="str">
        <f aca="false">IFERROR(INDEX(_自动清单!$L$4:$L$910,MATCH(ROW()-5,_自动清单!$H$4:$H$910,0)),"")</f>
        <v/>
      </c>
      <c r="E45" s="161" t="str">
        <f aca="false">IFERROR(INDEX(_自动清单!$M$4:$M$910,MATCH(ROW()-5,_自动清单!$H$4:$H$910,0)),"")</f>
        <v/>
      </c>
      <c r="F45" s="161" t="str">
        <f aca="false">IFERROR(INDEX(_自动清单!$N$4:$N$910,MATCH(ROW()-5,_自动清单!$H$4:$H$910,0)),"")</f>
        <v/>
      </c>
      <c r="G45" s="161" t="str">
        <f aca="false">IFERROR(INDEX(_自动清单!$O$4:$O$910,MATCH(ROW()-5,_自动清单!$H$4:$H$910,0)),"")</f>
        <v/>
      </c>
      <c r="H45" s="158" t="str">
        <f aca="false">IFERROR(INDEX(_自动清单!$P$4:$P$910,MATCH(ROW()-5,_自动清单!$H$4:$H$910,0)),"")</f>
        <v/>
      </c>
    </row>
    <row r="46" customFormat="false" ht="18.75" hidden="false" customHeight="true" outlineLevel="0" collapsed="false">
      <c r="A46" s="157" t="str">
        <f aca="false">IFERROR(INDEX(_自动清单!$I$4:$I$910,MATCH(ROW()-5,_自动清单!$H$4:$H$910,0)),"")</f>
        <v/>
      </c>
      <c r="B46" s="158" t="str">
        <f aca="false">IFERROR(INDEX(_自动清单!$J$4:$J$910,MATCH(ROW()-5,_自动清单!$H$4:$H$910,0)),"")</f>
        <v/>
      </c>
      <c r="C46" s="159" t="str">
        <f aca="false">IFERROR(INDEX(_自动清单!$K$4:$K$910,MATCH(ROW()-5,_自动清单!$H$4:$H$910,0)),"")</f>
        <v/>
      </c>
      <c r="D46" s="160" t="str">
        <f aca="false">IFERROR(INDEX(_自动清单!$L$4:$L$910,MATCH(ROW()-5,_自动清单!$H$4:$H$910,0)),"")</f>
        <v/>
      </c>
      <c r="E46" s="161" t="str">
        <f aca="false">IFERROR(INDEX(_自动清单!$M$4:$M$910,MATCH(ROW()-5,_自动清单!$H$4:$H$910,0)),"")</f>
        <v/>
      </c>
      <c r="F46" s="161" t="str">
        <f aca="false">IFERROR(INDEX(_自动清单!$N$4:$N$910,MATCH(ROW()-5,_自动清单!$H$4:$H$910,0)),"")</f>
        <v/>
      </c>
      <c r="G46" s="161" t="str">
        <f aca="false">IFERROR(INDEX(_自动清单!$O$4:$O$910,MATCH(ROW()-5,_自动清单!$H$4:$H$910,0)),"")</f>
        <v/>
      </c>
      <c r="H46" s="158" t="str">
        <f aca="false">IFERROR(INDEX(_自动清单!$P$4:$P$910,MATCH(ROW()-5,_自动清单!$H$4:$H$910,0)),"")</f>
        <v/>
      </c>
    </row>
    <row r="47" customFormat="false" ht="18.75" hidden="false" customHeight="true" outlineLevel="0" collapsed="false">
      <c r="A47" s="157" t="str">
        <f aca="false">IFERROR(INDEX(_自动清单!$I$4:$I$910,MATCH(ROW()-5,_自动清单!$H$4:$H$910,0)),"")</f>
        <v/>
      </c>
      <c r="B47" s="158" t="str">
        <f aca="false">IFERROR(INDEX(_自动清单!$J$4:$J$910,MATCH(ROW()-5,_自动清单!$H$4:$H$910,0)),"")</f>
        <v/>
      </c>
      <c r="C47" s="159" t="str">
        <f aca="false">IFERROR(INDEX(_自动清单!$K$4:$K$910,MATCH(ROW()-5,_自动清单!$H$4:$H$910,0)),"")</f>
        <v/>
      </c>
      <c r="D47" s="160" t="str">
        <f aca="false">IFERROR(INDEX(_自动清单!$L$4:$L$910,MATCH(ROW()-5,_自动清单!$H$4:$H$910,0)),"")</f>
        <v/>
      </c>
      <c r="E47" s="161" t="str">
        <f aca="false">IFERROR(INDEX(_自动清单!$M$4:$M$910,MATCH(ROW()-5,_自动清单!$H$4:$H$910,0)),"")</f>
        <v/>
      </c>
      <c r="F47" s="161" t="str">
        <f aca="false">IFERROR(INDEX(_自动清单!$N$4:$N$910,MATCH(ROW()-5,_自动清单!$H$4:$H$910,0)),"")</f>
        <v/>
      </c>
      <c r="G47" s="161" t="str">
        <f aca="false">IFERROR(INDEX(_自动清单!$O$4:$O$910,MATCH(ROW()-5,_自动清单!$H$4:$H$910,0)),"")</f>
        <v/>
      </c>
      <c r="H47" s="158" t="str">
        <f aca="false">IFERROR(INDEX(_自动清单!$P$4:$P$910,MATCH(ROW()-5,_自动清单!$H$4:$H$910,0)),"")</f>
        <v/>
      </c>
    </row>
    <row r="48" customFormat="false" ht="18.75" hidden="false" customHeight="true" outlineLevel="0" collapsed="false">
      <c r="A48" s="157" t="str">
        <f aca="false">IFERROR(INDEX(_自动清单!$I$4:$I$910,MATCH(ROW()-5,_自动清单!$H$4:$H$910,0)),"")</f>
        <v/>
      </c>
      <c r="B48" s="158" t="str">
        <f aca="false">IFERROR(INDEX(_自动清单!$J$4:$J$910,MATCH(ROW()-5,_自动清单!$H$4:$H$910,0)),"")</f>
        <v/>
      </c>
      <c r="C48" s="159" t="str">
        <f aca="false">IFERROR(INDEX(_自动清单!$K$4:$K$910,MATCH(ROW()-5,_自动清单!$H$4:$H$910,0)),"")</f>
        <v/>
      </c>
      <c r="D48" s="160" t="str">
        <f aca="false">IFERROR(INDEX(_自动清单!$L$4:$L$910,MATCH(ROW()-5,_自动清单!$H$4:$H$910,0)),"")</f>
        <v/>
      </c>
      <c r="E48" s="161" t="str">
        <f aca="false">IFERROR(INDEX(_自动清单!$M$4:$M$910,MATCH(ROW()-5,_自动清单!$H$4:$H$910,0)),"")</f>
        <v/>
      </c>
      <c r="F48" s="161" t="str">
        <f aca="false">IFERROR(INDEX(_自动清单!$N$4:$N$910,MATCH(ROW()-5,_自动清单!$H$4:$H$910,0)),"")</f>
        <v/>
      </c>
      <c r="G48" s="161" t="str">
        <f aca="false">IFERROR(INDEX(_自动清单!$O$4:$O$910,MATCH(ROW()-5,_自动清单!$H$4:$H$910,0)),"")</f>
        <v/>
      </c>
      <c r="H48" s="158" t="str">
        <f aca="false">IFERROR(INDEX(_自动清单!$P$4:$P$910,MATCH(ROW()-5,_自动清单!$H$4:$H$910,0)),"")</f>
        <v/>
      </c>
    </row>
    <row r="49" customFormat="false" ht="18.75" hidden="false" customHeight="true" outlineLevel="0" collapsed="false">
      <c r="A49" s="157" t="str">
        <f aca="false">IFERROR(INDEX(_自动清单!$I$4:$I$910,MATCH(ROW()-5,_自动清单!$H$4:$H$910,0)),"")</f>
        <v/>
      </c>
      <c r="B49" s="158" t="str">
        <f aca="false">IFERROR(INDEX(_自动清单!$J$4:$J$910,MATCH(ROW()-5,_自动清单!$H$4:$H$910,0)),"")</f>
        <v/>
      </c>
      <c r="C49" s="159" t="str">
        <f aca="false">IFERROR(INDEX(_自动清单!$K$4:$K$910,MATCH(ROW()-5,_自动清单!$H$4:$H$910,0)),"")</f>
        <v/>
      </c>
      <c r="D49" s="160" t="str">
        <f aca="false">IFERROR(INDEX(_自动清单!$L$4:$L$910,MATCH(ROW()-5,_自动清单!$H$4:$H$910,0)),"")</f>
        <v/>
      </c>
      <c r="E49" s="161" t="str">
        <f aca="false">IFERROR(INDEX(_自动清单!$M$4:$M$910,MATCH(ROW()-5,_自动清单!$H$4:$H$910,0)),"")</f>
        <v/>
      </c>
      <c r="F49" s="161" t="str">
        <f aca="false">IFERROR(INDEX(_自动清单!$N$4:$N$910,MATCH(ROW()-5,_自动清单!$H$4:$H$910,0)),"")</f>
        <v/>
      </c>
      <c r="G49" s="161" t="str">
        <f aca="false">IFERROR(INDEX(_自动清单!$O$4:$O$910,MATCH(ROW()-5,_自动清单!$H$4:$H$910,0)),"")</f>
        <v/>
      </c>
      <c r="H49" s="158" t="str">
        <f aca="false">IFERROR(INDEX(_自动清单!$P$4:$P$910,MATCH(ROW()-5,_自动清单!$H$4:$H$910,0)),"")</f>
        <v/>
      </c>
    </row>
    <row r="50" customFormat="false" ht="18.75" hidden="false" customHeight="true" outlineLevel="0" collapsed="false">
      <c r="A50" s="157" t="str">
        <f aca="false">IFERROR(INDEX(_自动清单!$I$4:$I$910,MATCH(ROW()-5,_自动清单!$H$4:$H$910,0)),"")</f>
        <v/>
      </c>
      <c r="B50" s="158" t="str">
        <f aca="false">IFERROR(INDEX(_自动清单!$J$4:$J$910,MATCH(ROW()-5,_自动清单!$H$4:$H$910,0)),"")</f>
        <v/>
      </c>
      <c r="C50" s="159" t="str">
        <f aca="false">IFERROR(INDEX(_自动清单!$K$4:$K$910,MATCH(ROW()-5,_自动清单!$H$4:$H$910,0)),"")</f>
        <v/>
      </c>
      <c r="D50" s="160" t="str">
        <f aca="false">IFERROR(INDEX(_自动清单!$L$4:$L$910,MATCH(ROW()-5,_自动清单!$H$4:$H$910,0)),"")</f>
        <v/>
      </c>
      <c r="E50" s="161" t="str">
        <f aca="false">IFERROR(INDEX(_自动清单!$M$4:$M$910,MATCH(ROW()-5,_自动清单!$H$4:$H$910,0)),"")</f>
        <v/>
      </c>
      <c r="F50" s="161" t="str">
        <f aca="false">IFERROR(INDEX(_自动清单!$N$4:$N$910,MATCH(ROW()-5,_自动清单!$H$4:$H$910,0)),"")</f>
        <v/>
      </c>
      <c r="G50" s="161" t="str">
        <f aca="false">IFERROR(INDEX(_自动清单!$O$4:$O$910,MATCH(ROW()-5,_自动清单!$H$4:$H$910,0)),"")</f>
        <v/>
      </c>
      <c r="H50" s="158" t="str">
        <f aca="false">IFERROR(INDEX(_自动清单!$P$4:$P$910,MATCH(ROW()-5,_自动清单!$H$4:$H$910,0)),"")</f>
        <v/>
      </c>
    </row>
    <row r="51" customFormat="false" ht="18.75" hidden="false" customHeight="true" outlineLevel="0" collapsed="false">
      <c r="A51" s="157" t="str">
        <f aca="false">IFERROR(INDEX(_自动清单!$I$4:$I$910,MATCH(ROW()-5,_自动清单!$H$4:$H$910,0)),"")</f>
        <v/>
      </c>
      <c r="B51" s="158" t="str">
        <f aca="false">IFERROR(INDEX(_自动清单!$J$4:$J$910,MATCH(ROW()-5,_自动清单!$H$4:$H$910,0)),"")</f>
        <v/>
      </c>
      <c r="C51" s="159" t="str">
        <f aca="false">IFERROR(INDEX(_自动清单!$K$4:$K$910,MATCH(ROW()-5,_自动清单!$H$4:$H$910,0)),"")</f>
        <v/>
      </c>
      <c r="D51" s="160" t="str">
        <f aca="false">IFERROR(INDEX(_自动清单!$L$4:$L$910,MATCH(ROW()-5,_自动清单!$H$4:$H$910,0)),"")</f>
        <v/>
      </c>
      <c r="E51" s="161" t="str">
        <f aca="false">IFERROR(INDEX(_自动清单!$M$4:$M$910,MATCH(ROW()-5,_自动清单!$H$4:$H$910,0)),"")</f>
        <v/>
      </c>
      <c r="F51" s="161" t="str">
        <f aca="false">IFERROR(INDEX(_自动清单!$N$4:$N$910,MATCH(ROW()-5,_自动清单!$H$4:$H$910,0)),"")</f>
        <v/>
      </c>
      <c r="G51" s="161" t="str">
        <f aca="false">IFERROR(INDEX(_自动清单!$O$4:$O$910,MATCH(ROW()-5,_自动清单!$H$4:$H$910,0)),"")</f>
        <v/>
      </c>
      <c r="H51" s="158" t="str">
        <f aca="false">IFERROR(INDEX(_自动清单!$P$4:$P$910,MATCH(ROW()-5,_自动清单!$H$4:$H$910,0)),"")</f>
        <v/>
      </c>
    </row>
    <row r="52" customFormat="false" ht="18.75" hidden="false" customHeight="true" outlineLevel="0" collapsed="false">
      <c r="A52" s="157" t="str">
        <f aca="false">IFERROR(INDEX(_自动清单!$I$4:$I$910,MATCH(ROW()-5,_自动清单!$H$4:$H$910,0)),"")</f>
        <v/>
      </c>
      <c r="B52" s="158" t="str">
        <f aca="false">IFERROR(INDEX(_自动清单!$J$4:$J$910,MATCH(ROW()-5,_自动清单!$H$4:$H$910,0)),"")</f>
        <v/>
      </c>
      <c r="C52" s="159" t="str">
        <f aca="false">IFERROR(INDEX(_自动清单!$K$4:$K$910,MATCH(ROW()-5,_自动清单!$H$4:$H$910,0)),"")</f>
        <v/>
      </c>
      <c r="D52" s="160" t="str">
        <f aca="false">IFERROR(INDEX(_自动清单!$L$4:$L$910,MATCH(ROW()-5,_自动清单!$H$4:$H$910,0)),"")</f>
        <v/>
      </c>
      <c r="E52" s="161" t="str">
        <f aca="false">IFERROR(INDEX(_自动清单!$M$4:$M$910,MATCH(ROW()-5,_自动清单!$H$4:$H$910,0)),"")</f>
        <v/>
      </c>
      <c r="F52" s="161" t="str">
        <f aca="false">IFERROR(INDEX(_自动清单!$N$4:$N$910,MATCH(ROW()-5,_自动清单!$H$4:$H$910,0)),"")</f>
        <v/>
      </c>
      <c r="G52" s="161" t="str">
        <f aca="false">IFERROR(INDEX(_自动清单!$O$4:$O$910,MATCH(ROW()-5,_自动清单!$H$4:$H$910,0)),"")</f>
        <v/>
      </c>
      <c r="H52" s="158" t="str">
        <f aca="false">IFERROR(INDEX(_自动清单!$P$4:$P$910,MATCH(ROW()-5,_自动清单!$H$4:$H$910,0)),"")</f>
        <v/>
      </c>
    </row>
    <row r="53" customFormat="false" ht="18.75" hidden="false" customHeight="true" outlineLevel="0" collapsed="false">
      <c r="A53" s="157" t="str">
        <f aca="false">IFERROR(INDEX(_自动清单!$I$4:$I$910,MATCH(ROW()-5,_自动清单!$H$4:$H$910,0)),"")</f>
        <v/>
      </c>
      <c r="B53" s="158" t="str">
        <f aca="false">IFERROR(INDEX(_自动清单!$J$4:$J$910,MATCH(ROW()-5,_自动清单!$H$4:$H$910,0)),"")</f>
        <v/>
      </c>
      <c r="C53" s="159" t="str">
        <f aca="false">IFERROR(INDEX(_自动清单!$K$4:$K$910,MATCH(ROW()-5,_自动清单!$H$4:$H$910,0)),"")</f>
        <v/>
      </c>
      <c r="D53" s="160" t="str">
        <f aca="false">IFERROR(INDEX(_自动清单!$L$4:$L$910,MATCH(ROW()-5,_自动清单!$H$4:$H$910,0)),"")</f>
        <v/>
      </c>
      <c r="E53" s="161" t="str">
        <f aca="false">IFERROR(INDEX(_自动清单!$M$4:$M$910,MATCH(ROW()-5,_自动清单!$H$4:$H$910,0)),"")</f>
        <v/>
      </c>
      <c r="F53" s="161" t="str">
        <f aca="false">IFERROR(INDEX(_自动清单!$N$4:$N$910,MATCH(ROW()-5,_自动清单!$H$4:$H$910,0)),"")</f>
        <v/>
      </c>
      <c r="G53" s="161" t="str">
        <f aca="false">IFERROR(INDEX(_自动清单!$O$4:$O$910,MATCH(ROW()-5,_自动清单!$H$4:$H$910,0)),"")</f>
        <v/>
      </c>
      <c r="H53" s="158" t="str">
        <f aca="false">IFERROR(INDEX(_自动清单!$P$4:$P$910,MATCH(ROW()-5,_自动清单!$H$4:$H$910,0)),"")</f>
        <v/>
      </c>
    </row>
    <row r="54" customFormat="false" ht="18.75" hidden="false" customHeight="true" outlineLevel="0" collapsed="false">
      <c r="A54" s="157" t="str">
        <f aca="false">IFERROR(INDEX(_自动清单!$I$4:$I$910,MATCH(ROW()-5,_自动清单!$H$4:$H$910,0)),"")</f>
        <v/>
      </c>
      <c r="B54" s="158" t="str">
        <f aca="false">IFERROR(INDEX(_自动清单!$J$4:$J$910,MATCH(ROW()-5,_自动清单!$H$4:$H$910,0)),"")</f>
        <v/>
      </c>
      <c r="C54" s="159" t="str">
        <f aca="false">IFERROR(INDEX(_自动清单!$K$4:$K$910,MATCH(ROW()-5,_自动清单!$H$4:$H$910,0)),"")</f>
        <v/>
      </c>
      <c r="D54" s="160" t="str">
        <f aca="false">IFERROR(INDEX(_自动清单!$L$4:$L$910,MATCH(ROW()-5,_自动清单!$H$4:$H$910,0)),"")</f>
        <v/>
      </c>
      <c r="E54" s="161" t="str">
        <f aca="false">IFERROR(INDEX(_自动清单!$M$4:$M$910,MATCH(ROW()-5,_自动清单!$H$4:$H$910,0)),"")</f>
        <v/>
      </c>
      <c r="F54" s="161" t="str">
        <f aca="false">IFERROR(INDEX(_自动清单!$N$4:$N$910,MATCH(ROW()-5,_自动清单!$H$4:$H$910,0)),"")</f>
        <v/>
      </c>
      <c r="G54" s="161" t="str">
        <f aca="false">IFERROR(INDEX(_自动清单!$O$4:$O$910,MATCH(ROW()-5,_自动清单!$H$4:$H$910,0)),"")</f>
        <v/>
      </c>
      <c r="H54" s="158" t="str">
        <f aca="false">IFERROR(INDEX(_自动清单!$P$4:$P$910,MATCH(ROW()-5,_自动清单!$H$4:$H$910,0)),"")</f>
        <v/>
      </c>
    </row>
    <row r="55" customFormat="false" ht="18.75" hidden="false" customHeight="true" outlineLevel="0" collapsed="false">
      <c r="A55" s="157" t="str">
        <f aca="false">IFERROR(INDEX(_自动清单!$I$4:$I$910,MATCH(ROW()-5,_自动清单!$H$4:$H$910,0)),"")</f>
        <v/>
      </c>
      <c r="B55" s="158" t="str">
        <f aca="false">IFERROR(INDEX(_自动清单!$J$4:$J$910,MATCH(ROW()-5,_自动清单!$H$4:$H$910,0)),"")</f>
        <v/>
      </c>
      <c r="C55" s="159" t="str">
        <f aca="false">IFERROR(INDEX(_自动清单!$K$4:$K$910,MATCH(ROW()-5,_自动清单!$H$4:$H$910,0)),"")</f>
        <v/>
      </c>
      <c r="D55" s="160" t="str">
        <f aca="false">IFERROR(INDEX(_自动清单!$L$4:$L$910,MATCH(ROW()-5,_自动清单!$H$4:$H$910,0)),"")</f>
        <v/>
      </c>
      <c r="E55" s="161" t="str">
        <f aca="false">IFERROR(INDEX(_自动清单!$M$4:$M$910,MATCH(ROW()-5,_自动清单!$H$4:$H$910,0)),"")</f>
        <v/>
      </c>
      <c r="F55" s="161" t="str">
        <f aca="false">IFERROR(INDEX(_自动清单!$N$4:$N$910,MATCH(ROW()-5,_自动清单!$H$4:$H$910,0)),"")</f>
        <v/>
      </c>
      <c r="G55" s="161" t="str">
        <f aca="false">IFERROR(INDEX(_自动清单!$O$4:$O$910,MATCH(ROW()-5,_自动清单!$H$4:$H$910,0)),"")</f>
        <v/>
      </c>
      <c r="H55" s="158" t="str">
        <f aca="false">IFERROR(INDEX(_自动清单!$P$4:$P$910,MATCH(ROW()-5,_自动清单!$H$4:$H$910,0)),"")</f>
        <v/>
      </c>
    </row>
    <row r="56" customFormat="false" ht="24" hidden="false" customHeight="true" outlineLevel="0" collapsed="false">
      <c r="A56" s="162" t="str">
        <f aca="true">IF($H$2="","对账日期：　"&amp;TEXT(TODAY(),"yyyy 年 m 月 d 日"),"对账日期：　"&amp;TEXT($H$2,"yyyy 年 m 月 d 日"))</f>
        <v>对账日期：　2026 年 9 月 18 日</v>
      </c>
      <c r="B56" s="162"/>
      <c r="C56" s="162"/>
      <c r="D56" s="162"/>
      <c r="E56" s="163" t="s">
        <v>852</v>
      </c>
      <c r="F56" s="164" t="n">
        <f aca="false">ROUND(SUM($F$6:$F$55),2)</f>
        <v>6276229.2</v>
      </c>
      <c r="G56" s="161"/>
      <c r="H56" s="158"/>
    </row>
    <row r="57" customFormat="false" ht="24" hidden="false" customHeight="true" outlineLevel="0" collapsed="false">
      <c r="A57" s="162" t="str">
        <f aca="false">"对账时段：　"&amp;IF($F$2="","不限",TEXT($F$2,"yyyy/ m/ d"))&amp;"　--　"&amp;IF($H$2="","不限",TEXT($H$2,"yyyy/ m/ d"))</f>
        <v>对账时段：　不限　--　不限</v>
      </c>
      <c r="B57" s="162"/>
      <c r="C57" s="162"/>
      <c r="D57" s="162"/>
      <c r="E57" s="163" t="s">
        <v>853</v>
      </c>
      <c r="F57" s="164" t="n">
        <f aca="false">ROUND(SUM($G$6:$G$55),2)</f>
        <v>0</v>
      </c>
      <c r="G57" s="161"/>
      <c r="H57" s="158"/>
    </row>
    <row r="58" customFormat="false" ht="24" hidden="false" customHeight="true" outlineLevel="0" collapsed="false">
      <c r="A58" s="165" t="str">
        <f aca="false">"是否含税：　"&amp;IF($H$3="","（请在 H3 选择）",$H$3)</f>
        <v>是否含税：　不含税</v>
      </c>
      <c r="B58" s="165"/>
      <c r="C58" s="165"/>
      <c r="D58" s="165"/>
      <c r="E58" s="166" t="s">
        <v>854</v>
      </c>
      <c r="F58" s="164" t="n">
        <f aca="false">ROUND(N($F$56)-N($F$57),2)</f>
        <v>6276229.2</v>
      </c>
      <c r="G58" s="161"/>
      <c r="H58" s="158"/>
    </row>
    <row r="59" customFormat="false" ht="25.5" hidden="false" customHeight="true" outlineLevel="0" collapsed="false">
      <c r="A59" s="167" t="s">
        <v>855</v>
      </c>
      <c r="B59" s="167"/>
      <c r="C59" s="167"/>
      <c r="D59" s="167"/>
      <c r="E59" s="167"/>
      <c r="F59" s="168" t="str">
        <f aca="false">IF(OR(ISNUMBER(SEARCH("通用格式",$R$1)),ISNUMBER(SEARCH("G/",$R$1)),ISERROR($R$1)),"人民币 "&amp;TEXT(ROUND(N($F$58),2),"¥#,##0.00"),$R$1)</f>
        <v>人民币 ¥6,276,229.20</v>
      </c>
      <c r="G59" s="168"/>
      <c r="H59" s="168"/>
    </row>
    <row r="60" customFormat="false" ht="18.75" hidden="false" customHeight="true" outlineLevel="0" collapsed="false">
      <c r="A60" s="169"/>
      <c r="B60" s="170"/>
      <c r="C60" s="171"/>
      <c r="D60" s="172"/>
      <c r="E60" s="173"/>
      <c r="F60" s="173"/>
      <c r="G60" s="173"/>
      <c r="H60" s="170"/>
    </row>
    <row r="61" customFormat="false" ht="18.75" hidden="false" customHeight="true" outlineLevel="0" collapsed="false">
      <c r="A61" s="169"/>
      <c r="B61" s="170"/>
      <c r="C61" s="171"/>
      <c r="D61" s="172"/>
      <c r="E61" s="173"/>
      <c r="F61" s="173"/>
      <c r="G61" s="173"/>
      <c r="H61" s="170"/>
    </row>
    <row r="62" customFormat="false" ht="18.75" hidden="false" customHeight="true" outlineLevel="0" collapsed="false">
      <c r="A62" s="169"/>
      <c r="B62" s="170"/>
      <c r="C62" s="171"/>
      <c r="D62" s="172"/>
      <c r="E62" s="173"/>
      <c r="F62" s="173"/>
      <c r="G62" s="173"/>
      <c r="H62" s="170"/>
    </row>
    <row r="63" customFormat="false" ht="18.75" hidden="false" customHeight="true" outlineLevel="0" collapsed="false">
      <c r="A63" s="169"/>
      <c r="B63" s="170"/>
      <c r="C63" s="171"/>
      <c r="D63" s="172"/>
      <c r="E63" s="173"/>
      <c r="F63" s="173"/>
      <c r="G63" s="173"/>
      <c r="H63" s="170"/>
    </row>
    <row r="64" customFormat="false" ht="18.75" hidden="false" customHeight="true" outlineLevel="0" collapsed="false">
      <c r="A64" s="169"/>
      <c r="B64" s="170"/>
      <c r="C64" s="171"/>
      <c r="D64" s="172"/>
      <c r="E64" s="173"/>
      <c r="F64" s="173"/>
      <c r="G64" s="173"/>
      <c r="H64" s="170"/>
    </row>
    <row r="65" customFormat="false" ht="18.75" hidden="false" customHeight="true" outlineLevel="0" collapsed="false">
      <c r="A65" s="169"/>
      <c r="B65" s="170"/>
      <c r="C65" s="171"/>
      <c r="D65" s="172"/>
      <c r="E65" s="173"/>
      <c r="F65" s="173"/>
      <c r="G65" s="173"/>
      <c r="H65" s="170"/>
    </row>
    <row r="66" customFormat="false" ht="18.75" hidden="false" customHeight="true" outlineLevel="0" collapsed="false">
      <c r="A66" s="169"/>
      <c r="B66" s="170"/>
      <c r="C66" s="171"/>
      <c r="D66" s="172"/>
      <c r="E66" s="173"/>
      <c r="F66" s="173"/>
      <c r="G66" s="173"/>
      <c r="H66" s="170"/>
    </row>
    <row r="67" customFormat="false" ht="18.75" hidden="false" customHeight="true" outlineLevel="0" collapsed="false">
      <c r="A67" s="169"/>
      <c r="B67" s="170"/>
      <c r="C67" s="171"/>
      <c r="D67" s="172"/>
      <c r="E67" s="173"/>
      <c r="F67" s="173"/>
      <c r="G67" s="173"/>
      <c r="H67" s="170"/>
    </row>
    <row r="68" customFormat="false" ht="18.75" hidden="false" customHeight="true" outlineLevel="0" collapsed="false">
      <c r="A68" s="169"/>
      <c r="B68" s="170"/>
      <c r="C68" s="171"/>
      <c r="D68" s="172"/>
      <c r="E68" s="173"/>
      <c r="F68" s="173"/>
      <c r="G68" s="173"/>
      <c r="H68" s="170"/>
    </row>
    <row r="69" customFormat="false" ht="18.75" hidden="false" customHeight="true" outlineLevel="0" collapsed="false">
      <c r="A69" s="169"/>
      <c r="B69" s="170"/>
      <c r="C69" s="171"/>
      <c r="D69" s="172"/>
      <c r="E69" s="173"/>
      <c r="F69" s="173"/>
      <c r="G69" s="173"/>
      <c r="H69" s="170"/>
    </row>
    <row r="70" customFormat="false" ht="18.75" hidden="false" customHeight="true" outlineLevel="0" collapsed="false">
      <c r="A70" s="169"/>
      <c r="B70" s="170"/>
      <c r="C70" s="171"/>
      <c r="D70" s="172"/>
      <c r="E70" s="173"/>
      <c r="F70" s="173"/>
      <c r="G70" s="173"/>
      <c r="H70" s="170"/>
    </row>
    <row r="71" customFormat="false" ht="18.75" hidden="false" customHeight="true" outlineLevel="0" collapsed="false">
      <c r="A71" s="169"/>
      <c r="B71" s="170"/>
      <c r="C71" s="171"/>
      <c r="D71" s="172"/>
      <c r="E71" s="173"/>
      <c r="F71" s="173"/>
      <c r="G71" s="173"/>
      <c r="H71" s="170"/>
    </row>
    <row r="72" customFormat="false" ht="18.75" hidden="false" customHeight="true" outlineLevel="0" collapsed="false">
      <c r="A72" s="169"/>
      <c r="B72" s="170"/>
      <c r="C72" s="171"/>
      <c r="D72" s="172"/>
      <c r="E72" s="173"/>
      <c r="F72" s="173"/>
      <c r="G72" s="173"/>
      <c r="H72" s="170"/>
    </row>
    <row r="73" customFormat="false" ht="18.75" hidden="false" customHeight="true" outlineLevel="0" collapsed="false">
      <c r="A73" s="169"/>
      <c r="B73" s="170"/>
      <c r="C73" s="171"/>
      <c r="D73" s="172"/>
      <c r="E73" s="173"/>
      <c r="F73" s="173"/>
      <c r="G73" s="173"/>
      <c r="H73" s="170"/>
    </row>
    <row r="74" customFormat="false" ht="18.75" hidden="false" customHeight="true" outlineLevel="0" collapsed="false">
      <c r="A74" s="169"/>
      <c r="B74" s="170"/>
      <c r="C74" s="171"/>
      <c r="D74" s="172"/>
      <c r="E74" s="173"/>
      <c r="F74" s="173"/>
      <c r="G74" s="173"/>
      <c r="H74" s="170"/>
    </row>
    <row r="75" customFormat="false" ht="18.75" hidden="false" customHeight="true" outlineLevel="0" collapsed="false">
      <c r="A75" s="169"/>
      <c r="B75" s="170"/>
      <c r="C75" s="171"/>
      <c r="D75" s="172"/>
      <c r="E75" s="173"/>
      <c r="F75" s="173"/>
      <c r="G75" s="173"/>
      <c r="H75" s="170"/>
    </row>
    <row r="76" customFormat="false" ht="18.75" hidden="false" customHeight="true" outlineLevel="0" collapsed="false">
      <c r="A76" s="169"/>
      <c r="B76" s="170"/>
      <c r="C76" s="171"/>
      <c r="D76" s="172"/>
      <c r="E76" s="173"/>
      <c r="F76" s="173"/>
      <c r="G76" s="173"/>
      <c r="H76" s="170"/>
    </row>
    <row r="77" customFormat="false" ht="18.75" hidden="false" customHeight="true" outlineLevel="0" collapsed="false">
      <c r="A77" s="169"/>
      <c r="B77" s="170"/>
      <c r="C77" s="171"/>
      <c r="D77" s="172"/>
      <c r="E77" s="173"/>
      <c r="F77" s="173"/>
      <c r="G77" s="173"/>
      <c r="H77" s="170"/>
    </row>
    <row r="78" customFormat="false" ht="18.75" hidden="false" customHeight="true" outlineLevel="0" collapsed="false">
      <c r="A78" s="169"/>
      <c r="B78" s="170"/>
      <c r="C78" s="171"/>
      <c r="D78" s="172"/>
      <c r="E78" s="173"/>
      <c r="F78" s="173"/>
      <c r="G78" s="173"/>
      <c r="H78" s="170"/>
    </row>
    <row r="79" customFormat="false" ht="18.75" hidden="false" customHeight="true" outlineLevel="0" collapsed="false">
      <c r="A79" s="169"/>
      <c r="B79" s="170"/>
      <c r="C79" s="171"/>
      <c r="D79" s="172"/>
      <c r="E79" s="173"/>
      <c r="F79" s="173"/>
      <c r="G79" s="173"/>
      <c r="H79" s="170"/>
    </row>
    <row r="80" customFormat="false" ht="18.75" hidden="false" customHeight="true" outlineLevel="0" collapsed="false">
      <c r="A80" s="169"/>
      <c r="B80" s="170"/>
      <c r="C80" s="171"/>
      <c r="D80" s="172"/>
      <c r="E80" s="173"/>
      <c r="F80" s="173"/>
      <c r="G80" s="173"/>
      <c r="H80" s="170"/>
    </row>
    <row r="81" customFormat="false" ht="18.75" hidden="false" customHeight="true" outlineLevel="0" collapsed="false">
      <c r="A81" s="169"/>
      <c r="B81" s="170"/>
      <c r="C81" s="171"/>
      <c r="D81" s="172"/>
      <c r="E81" s="173"/>
      <c r="F81" s="173"/>
      <c r="G81" s="173"/>
      <c r="H81" s="170"/>
    </row>
    <row r="82" customFormat="false" ht="18.75" hidden="false" customHeight="true" outlineLevel="0" collapsed="false">
      <c r="A82" s="169"/>
      <c r="B82" s="170"/>
      <c r="C82" s="171"/>
      <c r="D82" s="172"/>
      <c r="E82" s="173"/>
      <c r="F82" s="173"/>
      <c r="G82" s="173"/>
      <c r="H82" s="170"/>
    </row>
    <row r="83" customFormat="false" ht="18.75" hidden="false" customHeight="true" outlineLevel="0" collapsed="false">
      <c r="A83" s="169"/>
      <c r="B83" s="170"/>
      <c r="C83" s="171"/>
      <c r="D83" s="172"/>
      <c r="E83" s="173"/>
      <c r="F83" s="173"/>
      <c r="G83" s="173"/>
      <c r="H83" s="170"/>
    </row>
    <row r="84" customFormat="false" ht="18.75" hidden="false" customHeight="true" outlineLevel="0" collapsed="false">
      <c r="A84" s="169"/>
      <c r="B84" s="170"/>
      <c r="C84" s="171"/>
      <c r="D84" s="172"/>
      <c r="E84" s="173"/>
      <c r="F84" s="173"/>
      <c r="G84" s="173"/>
      <c r="H84" s="170"/>
    </row>
    <row r="85" customFormat="false" ht="18.75" hidden="false" customHeight="true" outlineLevel="0" collapsed="false">
      <c r="A85" s="169"/>
      <c r="B85" s="170"/>
      <c r="C85" s="171"/>
      <c r="D85" s="172"/>
      <c r="E85" s="173"/>
      <c r="F85" s="173"/>
      <c r="G85" s="173"/>
      <c r="H85" s="170"/>
    </row>
    <row r="86" customFormat="false" ht="18.75" hidden="false" customHeight="true" outlineLevel="0" collapsed="false">
      <c r="A86" s="169"/>
      <c r="B86" s="170"/>
      <c r="C86" s="171"/>
      <c r="D86" s="172"/>
      <c r="E86" s="173"/>
      <c r="F86" s="173"/>
      <c r="G86" s="173"/>
      <c r="H86" s="170"/>
    </row>
    <row r="87" customFormat="false" ht="18.75" hidden="false" customHeight="true" outlineLevel="0" collapsed="false">
      <c r="A87" s="169"/>
      <c r="B87" s="170"/>
      <c r="C87" s="171"/>
      <c r="D87" s="172"/>
      <c r="E87" s="173"/>
      <c r="F87" s="173"/>
      <c r="G87" s="173"/>
      <c r="H87" s="170"/>
    </row>
    <row r="88" customFormat="false" ht="18.75" hidden="false" customHeight="true" outlineLevel="0" collapsed="false">
      <c r="A88" s="169"/>
      <c r="B88" s="170"/>
      <c r="C88" s="171"/>
      <c r="D88" s="172"/>
      <c r="E88" s="173"/>
      <c r="F88" s="173"/>
      <c r="G88" s="173"/>
      <c r="H88" s="170"/>
    </row>
    <row r="89" customFormat="false" ht="18.75" hidden="false" customHeight="true" outlineLevel="0" collapsed="false">
      <c r="A89" s="169"/>
      <c r="B89" s="170"/>
      <c r="C89" s="171"/>
      <c r="D89" s="172"/>
      <c r="E89" s="173"/>
      <c r="F89" s="173"/>
      <c r="G89" s="173"/>
      <c r="H89" s="170"/>
    </row>
    <row r="90" customFormat="false" ht="18.75" hidden="false" customHeight="true" outlineLevel="0" collapsed="false">
      <c r="A90" s="169"/>
      <c r="B90" s="170"/>
      <c r="C90" s="171"/>
      <c r="D90" s="172"/>
      <c r="E90" s="173"/>
      <c r="F90" s="173"/>
      <c r="G90" s="173"/>
      <c r="H90" s="170"/>
    </row>
    <row r="91" customFormat="false" ht="18.75" hidden="false" customHeight="true" outlineLevel="0" collapsed="false">
      <c r="A91" s="169"/>
      <c r="B91" s="170"/>
      <c r="C91" s="171"/>
      <c r="D91" s="172"/>
      <c r="E91" s="173"/>
      <c r="F91" s="173"/>
      <c r="G91" s="173"/>
      <c r="H91" s="170"/>
    </row>
    <row r="92" customFormat="false" ht="18.75" hidden="false" customHeight="true" outlineLevel="0" collapsed="false">
      <c r="A92" s="169"/>
      <c r="B92" s="170"/>
      <c r="C92" s="171"/>
      <c r="D92" s="172"/>
      <c r="E92" s="173"/>
      <c r="F92" s="173"/>
      <c r="G92" s="173"/>
      <c r="H92" s="170"/>
    </row>
    <row r="93" customFormat="false" ht="18.75" hidden="false" customHeight="true" outlineLevel="0" collapsed="false">
      <c r="A93" s="169"/>
      <c r="B93" s="170"/>
      <c r="C93" s="171"/>
      <c r="D93" s="172"/>
      <c r="E93" s="173"/>
      <c r="F93" s="173"/>
      <c r="G93" s="173"/>
      <c r="H93" s="170"/>
    </row>
    <row r="94" customFormat="false" ht="18.75" hidden="false" customHeight="true" outlineLevel="0" collapsed="false">
      <c r="A94" s="169"/>
      <c r="B94" s="170"/>
      <c r="C94" s="171"/>
      <c r="D94" s="172"/>
      <c r="E94" s="173"/>
      <c r="F94" s="173"/>
      <c r="G94" s="173"/>
      <c r="H94" s="170"/>
    </row>
    <row r="95" customFormat="false" ht="18.75" hidden="false" customHeight="true" outlineLevel="0" collapsed="false">
      <c r="A95" s="169"/>
      <c r="B95" s="170"/>
      <c r="C95" s="171"/>
      <c r="D95" s="172"/>
      <c r="E95" s="173"/>
      <c r="F95" s="173"/>
      <c r="G95" s="173"/>
      <c r="H95" s="170"/>
    </row>
    <row r="96" customFormat="false" ht="18.75" hidden="false" customHeight="true" outlineLevel="0" collapsed="false">
      <c r="A96" s="169"/>
      <c r="B96" s="170"/>
      <c r="C96" s="171"/>
      <c r="D96" s="172"/>
      <c r="E96" s="173"/>
      <c r="F96" s="173"/>
      <c r="G96" s="173"/>
      <c r="H96" s="170"/>
    </row>
    <row r="97" customFormat="false" ht="18.75" hidden="false" customHeight="true" outlineLevel="0" collapsed="false">
      <c r="A97" s="169"/>
      <c r="B97" s="170"/>
      <c r="C97" s="171"/>
      <c r="D97" s="172"/>
      <c r="E97" s="173"/>
      <c r="F97" s="173"/>
      <c r="G97" s="173"/>
      <c r="H97" s="170"/>
    </row>
    <row r="98" customFormat="false" ht="18.75" hidden="false" customHeight="true" outlineLevel="0" collapsed="false">
      <c r="A98" s="169"/>
      <c r="B98" s="170"/>
      <c r="C98" s="171"/>
      <c r="D98" s="172"/>
      <c r="E98" s="173"/>
      <c r="F98" s="173"/>
      <c r="G98" s="173"/>
      <c r="H98" s="170"/>
    </row>
    <row r="99" customFormat="false" ht="18.75" hidden="false" customHeight="true" outlineLevel="0" collapsed="false">
      <c r="A99" s="169"/>
      <c r="B99" s="170"/>
      <c r="C99" s="171"/>
      <c r="D99" s="172"/>
      <c r="E99" s="173"/>
      <c r="F99" s="173"/>
      <c r="G99" s="173"/>
      <c r="H99" s="170"/>
    </row>
    <row r="100" customFormat="false" ht="18.75" hidden="false" customHeight="true" outlineLevel="0" collapsed="false">
      <c r="A100" s="169"/>
      <c r="B100" s="170"/>
      <c r="C100" s="171"/>
      <c r="D100" s="172"/>
      <c r="E100" s="173"/>
      <c r="F100" s="173"/>
      <c r="G100" s="173"/>
      <c r="H100" s="170"/>
    </row>
    <row r="101" customFormat="false" ht="18.75" hidden="false" customHeight="true" outlineLevel="0" collapsed="false">
      <c r="A101" s="169"/>
      <c r="B101" s="170"/>
      <c r="C101" s="171"/>
      <c r="D101" s="172"/>
      <c r="E101" s="173"/>
      <c r="F101" s="173"/>
      <c r="G101" s="173"/>
      <c r="H101" s="170"/>
    </row>
    <row r="102" customFormat="false" ht="18.75" hidden="false" customHeight="true" outlineLevel="0" collapsed="false">
      <c r="A102" s="169"/>
      <c r="B102" s="170"/>
      <c r="C102" s="171"/>
      <c r="D102" s="172"/>
      <c r="E102" s="173"/>
      <c r="F102" s="173"/>
      <c r="G102" s="173"/>
      <c r="H102" s="170"/>
    </row>
    <row r="103" customFormat="false" ht="18.75" hidden="false" customHeight="true" outlineLevel="0" collapsed="false">
      <c r="A103" s="169"/>
      <c r="B103" s="170"/>
      <c r="C103" s="171"/>
      <c r="D103" s="172"/>
      <c r="E103" s="173"/>
      <c r="F103" s="173"/>
      <c r="G103" s="173"/>
      <c r="H103" s="170"/>
    </row>
    <row r="104" customFormat="false" ht="18.75" hidden="false" customHeight="true" outlineLevel="0" collapsed="false">
      <c r="A104" s="169"/>
      <c r="B104" s="170"/>
      <c r="C104" s="171"/>
      <c r="D104" s="172"/>
      <c r="E104" s="173"/>
      <c r="F104" s="173"/>
      <c r="G104" s="173"/>
      <c r="H104" s="170"/>
    </row>
    <row r="105" customFormat="false" ht="18.75" hidden="false" customHeight="true" outlineLevel="0" collapsed="false">
      <c r="A105" s="169"/>
      <c r="B105" s="170"/>
      <c r="C105" s="171"/>
      <c r="D105" s="172"/>
      <c r="E105" s="173"/>
      <c r="F105" s="173"/>
      <c r="G105" s="173"/>
      <c r="H105" s="170"/>
    </row>
    <row r="106" customFormat="false" ht="18.75" hidden="false" customHeight="true" outlineLevel="0" collapsed="false">
      <c r="A106" s="169"/>
      <c r="B106" s="170"/>
      <c r="C106" s="171"/>
      <c r="D106" s="172"/>
      <c r="E106" s="173"/>
      <c r="F106" s="173"/>
      <c r="G106" s="173"/>
      <c r="H106" s="170"/>
    </row>
    <row r="107" customFormat="false" ht="18.75" hidden="false" customHeight="true" outlineLevel="0" collapsed="false">
      <c r="A107" s="169"/>
      <c r="B107" s="170"/>
      <c r="C107" s="171"/>
      <c r="D107" s="172"/>
      <c r="E107" s="173"/>
      <c r="F107" s="173"/>
      <c r="G107" s="173"/>
      <c r="H107" s="170"/>
    </row>
    <row r="108" customFormat="false" ht="18.75" hidden="false" customHeight="true" outlineLevel="0" collapsed="false">
      <c r="A108" s="169"/>
      <c r="B108" s="170"/>
      <c r="C108" s="171"/>
      <c r="D108" s="172"/>
      <c r="E108" s="173"/>
      <c r="F108" s="173"/>
      <c r="G108" s="173"/>
      <c r="H108" s="170"/>
    </row>
    <row r="109" customFormat="false" ht="18.75" hidden="false" customHeight="true" outlineLevel="0" collapsed="false">
      <c r="A109" s="169"/>
      <c r="B109" s="170"/>
      <c r="C109" s="171"/>
      <c r="D109" s="172"/>
      <c r="E109" s="173"/>
      <c r="F109" s="173"/>
      <c r="G109" s="173"/>
      <c r="H109" s="170"/>
    </row>
    <row r="110" customFormat="false" ht="18.75" hidden="false" customHeight="true" outlineLevel="0" collapsed="false">
      <c r="A110" s="169"/>
      <c r="B110" s="170"/>
      <c r="C110" s="171"/>
      <c r="D110" s="172"/>
      <c r="E110" s="173"/>
      <c r="F110" s="173"/>
      <c r="G110" s="173"/>
      <c r="H110" s="170"/>
    </row>
    <row r="111" customFormat="false" ht="18.75" hidden="false" customHeight="true" outlineLevel="0" collapsed="false">
      <c r="A111" s="169"/>
      <c r="B111" s="170"/>
      <c r="C111" s="171"/>
      <c r="D111" s="172"/>
      <c r="E111" s="173"/>
      <c r="F111" s="173"/>
      <c r="G111" s="173"/>
      <c r="H111" s="170"/>
    </row>
    <row r="112" customFormat="false" ht="18.75" hidden="false" customHeight="true" outlineLevel="0" collapsed="false">
      <c r="A112" s="169"/>
      <c r="B112" s="170"/>
      <c r="C112" s="171"/>
      <c r="D112" s="172"/>
      <c r="E112" s="173"/>
      <c r="F112" s="173"/>
      <c r="G112" s="173"/>
      <c r="H112" s="170"/>
    </row>
    <row r="113" customFormat="false" ht="18.75" hidden="false" customHeight="true" outlineLevel="0" collapsed="false">
      <c r="A113" s="169"/>
      <c r="B113" s="170"/>
      <c r="C113" s="171"/>
      <c r="D113" s="172"/>
      <c r="E113" s="173"/>
      <c r="F113" s="173"/>
      <c r="G113" s="173"/>
      <c r="H113" s="170"/>
    </row>
    <row r="114" customFormat="false" ht="18.75" hidden="false" customHeight="true" outlineLevel="0" collapsed="false">
      <c r="A114" s="169"/>
      <c r="B114" s="170"/>
      <c r="C114" s="171"/>
      <c r="D114" s="172"/>
      <c r="E114" s="173"/>
      <c r="F114" s="173"/>
      <c r="G114" s="173"/>
      <c r="H114" s="170"/>
    </row>
    <row r="115" customFormat="false" ht="18.75" hidden="false" customHeight="true" outlineLevel="0" collapsed="false">
      <c r="A115" s="169"/>
      <c r="B115" s="170"/>
      <c r="C115" s="171"/>
      <c r="D115" s="172"/>
      <c r="E115" s="173"/>
      <c r="F115" s="173"/>
      <c r="G115" s="173"/>
      <c r="H115" s="170"/>
    </row>
    <row r="116" customFormat="false" ht="18.75" hidden="false" customHeight="true" outlineLevel="0" collapsed="false">
      <c r="A116" s="169"/>
      <c r="B116" s="170"/>
      <c r="C116" s="171"/>
      <c r="D116" s="172"/>
      <c r="E116" s="173"/>
      <c r="F116" s="173"/>
      <c r="G116" s="173"/>
      <c r="H116" s="170"/>
    </row>
    <row r="117" customFormat="false" ht="18.75" hidden="false" customHeight="true" outlineLevel="0" collapsed="false">
      <c r="A117" s="169"/>
      <c r="B117" s="170"/>
      <c r="C117" s="171"/>
      <c r="D117" s="172"/>
      <c r="E117" s="173"/>
      <c r="F117" s="173"/>
      <c r="G117" s="173"/>
      <c r="H117" s="170"/>
    </row>
    <row r="118" customFormat="false" ht="18.75" hidden="false" customHeight="true" outlineLevel="0" collapsed="false">
      <c r="A118" s="169"/>
      <c r="B118" s="170"/>
      <c r="C118" s="171"/>
      <c r="D118" s="172"/>
      <c r="E118" s="173"/>
      <c r="F118" s="173"/>
      <c r="G118" s="173"/>
      <c r="H118" s="170"/>
    </row>
    <row r="119" customFormat="false" ht="18.75" hidden="false" customHeight="true" outlineLevel="0" collapsed="false">
      <c r="A119" s="169"/>
      <c r="B119" s="170"/>
      <c r="C119" s="171"/>
      <c r="D119" s="172"/>
      <c r="E119" s="173"/>
      <c r="F119" s="173"/>
      <c r="G119" s="173"/>
      <c r="H119" s="170"/>
    </row>
    <row r="120" customFormat="false" ht="18.75" hidden="false" customHeight="true" outlineLevel="0" collapsed="false">
      <c r="A120" s="169"/>
      <c r="B120" s="170"/>
      <c r="C120" s="171"/>
      <c r="D120" s="172"/>
      <c r="E120" s="173"/>
      <c r="F120" s="173"/>
      <c r="G120" s="173"/>
      <c r="H120" s="170"/>
    </row>
    <row r="121" customFormat="false" ht="18.75" hidden="false" customHeight="true" outlineLevel="0" collapsed="false">
      <c r="A121" s="169"/>
      <c r="B121" s="170"/>
      <c r="C121" s="171"/>
      <c r="D121" s="172"/>
      <c r="E121" s="173"/>
      <c r="F121" s="173"/>
      <c r="G121" s="173"/>
      <c r="H121" s="170"/>
    </row>
    <row r="122" customFormat="false" ht="18.75" hidden="false" customHeight="true" outlineLevel="0" collapsed="false">
      <c r="A122" s="169"/>
      <c r="B122" s="170"/>
      <c r="C122" s="171"/>
      <c r="D122" s="172"/>
      <c r="E122" s="173"/>
      <c r="F122" s="173"/>
      <c r="G122" s="173"/>
      <c r="H122" s="170"/>
    </row>
    <row r="123" customFormat="false" ht="18.75" hidden="false" customHeight="true" outlineLevel="0" collapsed="false">
      <c r="A123" s="169"/>
      <c r="B123" s="170"/>
      <c r="C123" s="171"/>
      <c r="D123" s="172"/>
      <c r="E123" s="173"/>
      <c r="F123" s="173"/>
      <c r="G123" s="173"/>
      <c r="H123" s="170"/>
    </row>
    <row r="124" customFormat="false" ht="18.75" hidden="false" customHeight="true" outlineLevel="0" collapsed="false">
      <c r="A124" s="169"/>
      <c r="B124" s="170"/>
      <c r="C124" s="171"/>
      <c r="D124" s="172"/>
      <c r="E124" s="173"/>
      <c r="F124" s="173"/>
      <c r="G124" s="173"/>
      <c r="H124" s="170"/>
    </row>
    <row r="125" customFormat="false" ht="18.75" hidden="false" customHeight="true" outlineLevel="0" collapsed="false">
      <c r="A125" s="169"/>
      <c r="B125" s="170"/>
      <c r="C125" s="171"/>
      <c r="D125" s="172"/>
      <c r="E125" s="173"/>
      <c r="F125" s="173"/>
      <c r="G125" s="173"/>
      <c r="H125" s="170"/>
    </row>
    <row r="126" customFormat="false" ht="18.75" hidden="false" customHeight="true" outlineLevel="0" collapsed="false">
      <c r="A126" s="169"/>
      <c r="B126" s="170"/>
      <c r="C126" s="171"/>
      <c r="D126" s="172"/>
      <c r="E126" s="173"/>
      <c r="F126" s="173"/>
      <c r="G126" s="173"/>
      <c r="H126" s="170"/>
    </row>
    <row r="127" customFormat="false" ht="18.75" hidden="false" customHeight="true" outlineLevel="0" collapsed="false">
      <c r="A127" s="169"/>
      <c r="B127" s="170"/>
      <c r="C127" s="171"/>
      <c r="D127" s="172"/>
      <c r="E127" s="173"/>
      <c r="F127" s="173"/>
      <c r="G127" s="173"/>
      <c r="H127" s="170"/>
    </row>
    <row r="128" customFormat="false" ht="18.75" hidden="false" customHeight="true" outlineLevel="0" collapsed="false">
      <c r="A128" s="169"/>
      <c r="B128" s="170"/>
      <c r="C128" s="171"/>
      <c r="D128" s="172"/>
      <c r="E128" s="173"/>
      <c r="F128" s="173"/>
      <c r="G128" s="173"/>
      <c r="H128" s="170"/>
    </row>
    <row r="129" customFormat="false" ht="18.75" hidden="false" customHeight="true" outlineLevel="0" collapsed="false">
      <c r="A129" s="169"/>
      <c r="B129" s="170"/>
      <c r="C129" s="171"/>
      <c r="D129" s="172"/>
      <c r="E129" s="173"/>
      <c r="F129" s="173"/>
      <c r="G129" s="173"/>
      <c r="H129" s="170"/>
    </row>
    <row r="130" customFormat="false" ht="18.75" hidden="false" customHeight="true" outlineLevel="0" collapsed="false">
      <c r="A130" s="169"/>
      <c r="B130" s="170"/>
      <c r="C130" s="171"/>
      <c r="D130" s="172"/>
      <c r="E130" s="173"/>
      <c r="F130" s="173"/>
      <c r="G130" s="173"/>
      <c r="H130" s="170"/>
    </row>
    <row r="131" customFormat="false" ht="18.75" hidden="false" customHeight="true" outlineLevel="0" collapsed="false">
      <c r="A131" s="169"/>
      <c r="B131" s="170"/>
      <c r="C131" s="171"/>
      <c r="D131" s="172"/>
      <c r="E131" s="173"/>
      <c r="F131" s="173"/>
      <c r="G131" s="173"/>
      <c r="H131" s="170"/>
    </row>
    <row r="132" customFormat="false" ht="18.75" hidden="false" customHeight="true" outlineLevel="0" collapsed="false">
      <c r="A132" s="169"/>
      <c r="B132" s="170"/>
      <c r="C132" s="171"/>
      <c r="D132" s="172"/>
      <c r="E132" s="173"/>
      <c r="F132" s="173"/>
      <c r="G132" s="173"/>
      <c r="H132" s="170"/>
    </row>
    <row r="133" customFormat="false" ht="18.75" hidden="false" customHeight="true" outlineLevel="0" collapsed="false">
      <c r="A133" s="169"/>
      <c r="B133" s="170"/>
      <c r="C133" s="171"/>
      <c r="D133" s="172"/>
      <c r="E133" s="173"/>
      <c r="F133" s="173"/>
      <c r="G133" s="173"/>
      <c r="H133" s="170"/>
    </row>
    <row r="134" customFormat="false" ht="18.75" hidden="false" customHeight="true" outlineLevel="0" collapsed="false">
      <c r="A134" s="169"/>
      <c r="B134" s="170"/>
      <c r="C134" s="171"/>
      <c r="D134" s="172"/>
      <c r="E134" s="173"/>
      <c r="F134" s="173"/>
      <c r="G134" s="173"/>
      <c r="H134" s="170"/>
    </row>
    <row r="135" customFormat="false" ht="18.75" hidden="false" customHeight="true" outlineLevel="0" collapsed="false">
      <c r="A135" s="169"/>
      <c r="B135" s="170"/>
      <c r="C135" s="171"/>
      <c r="D135" s="172"/>
      <c r="E135" s="173"/>
      <c r="F135" s="173"/>
      <c r="G135" s="173"/>
      <c r="H135" s="170"/>
    </row>
    <row r="136" customFormat="false" ht="18.75" hidden="false" customHeight="true" outlineLevel="0" collapsed="false">
      <c r="A136" s="169"/>
      <c r="B136" s="170"/>
      <c r="C136" s="171"/>
      <c r="D136" s="172"/>
      <c r="E136" s="173"/>
      <c r="F136" s="173"/>
      <c r="G136" s="173"/>
      <c r="H136" s="170"/>
    </row>
    <row r="137" customFormat="false" ht="18.75" hidden="false" customHeight="true" outlineLevel="0" collapsed="false">
      <c r="A137" s="169"/>
      <c r="B137" s="170"/>
      <c r="C137" s="171"/>
      <c r="D137" s="172"/>
      <c r="E137" s="173"/>
      <c r="F137" s="173"/>
      <c r="G137" s="173"/>
      <c r="H137" s="170"/>
    </row>
    <row r="138" customFormat="false" ht="18.75" hidden="false" customHeight="true" outlineLevel="0" collapsed="false">
      <c r="A138" s="169"/>
      <c r="B138" s="170"/>
      <c r="C138" s="171"/>
      <c r="D138" s="172"/>
      <c r="E138" s="173"/>
      <c r="F138" s="173"/>
      <c r="G138" s="173"/>
      <c r="H138" s="170"/>
    </row>
    <row r="139" customFormat="false" ht="18.75" hidden="false" customHeight="true" outlineLevel="0" collapsed="false">
      <c r="A139" s="169"/>
      <c r="B139" s="170"/>
      <c r="C139" s="171"/>
      <c r="D139" s="172"/>
      <c r="E139" s="173"/>
      <c r="F139" s="173"/>
      <c r="G139" s="173"/>
      <c r="H139" s="170"/>
    </row>
    <row r="140" customFormat="false" ht="18.75" hidden="false" customHeight="true" outlineLevel="0" collapsed="false">
      <c r="A140" s="169"/>
      <c r="B140" s="170"/>
      <c r="C140" s="171"/>
      <c r="D140" s="172"/>
      <c r="E140" s="173"/>
      <c r="F140" s="173"/>
      <c r="G140" s="173"/>
      <c r="H140" s="170"/>
    </row>
    <row r="141" customFormat="false" ht="18.75" hidden="false" customHeight="true" outlineLevel="0" collapsed="false">
      <c r="A141" s="169"/>
      <c r="B141" s="170"/>
      <c r="C141" s="171"/>
      <c r="D141" s="172"/>
      <c r="E141" s="173"/>
      <c r="F141" s="173"/>
      <c r="G141" s="173"/>
      <c r="H141" s="170"/>
    </row>
    <row r="142" customFormat="false" ht="18.75" hidden="false" customHeight="true" outlineLevel="0" collapsed="false">
      <c r="A142" s="169"/>
      <c r="B142" s="170"/>
      <c r="C142" s="171"/>
      <c r="D142" s="172"/>
      <c r="E142" s="173"/>
      <c r="F142" s="173"/>
      <c r="G142" s="173"/>
      <c r="H142" s="170"/>
    </row>
    <row r="143" customFormat="false" ht="18.75" hidden="false" customHeight="true" outlineLevel="0" collapsed="false">
      <c r="A143" s="169"/>
      <c r="B143" s="170"/>
      <c r="C143" s="171"/>
      <c r="D143" s="172"/>
      <c r="E143" s="173"/>
      <c r="F143" s="173"/>
      <c r="G143" s="173"/>
      <c r="H143" s="170"/>
    </row>
    <row r="144" customFormat="false" ht="18.75" hidden="false" customHeight="true" outlineLevel="0" collapsed="false">
      <c r="A144" s="169"/>
      <c r="B144" s="170"/>
      <c r="C144" s="171"/>
      <c r="D144" s="172"/>
      <c r="E144" s="173"/>
      <c r="F144" s="173"/>
      <c r="G144" s="173"/>
      <c r="H144" s="170"/>
    </row>
    <row r="145" customFormat="false" ht="18.75" hidden="false" customHeight="true" outlineLevel="0" collapsed="false">
      <c r="A145" s="169"/>
      <c r="B145" s="170"/>
      <c r="C145" s="171"/>
      <c r="D145" s="172"/>
      <c r="E145" s="173"/>
      <c r="F145" s="173"/>
      <c r="G145" s="173"/>
      <c r="H145" s="170"/>
    </row>
    <row r="146" customFormat="false" ht="18.75" hidden="false" customHeight="true" outlineLevel="0" collapsed="false">
      <c r="A146" s="169"/>
      <c r="B146" s="170"/>
      <c r="C146" s="171"/>
      <c r="D146" s="172"/>
      <c r="E146" s="173"/>
      <c r="F146" s="173"/>
      <c r="G146" s="173"/>
      <c r="H146" s="170"/>
    </row>
    <row r="147" customFormat="false" ht="18.75" hidden="false" customHeight="true" outlineLevel="0" collapsed="false">
      <c r="A147" s="169"/>
      <c r="B147" s="170"/>
      <c r="C147" s="171"/>
      <c r="D147" s="172"/>
      <c r="E147" s="173"/>
      <c r="F147" s="173"/>
      <c r="G147" s="173"/>
      <c r="H147" s="170"/>
    </row>
    <row r="148" customFormat="false" ht="18.75" hidden="false" customHeight="true" outlineLevel="0" collapsed="false">
      <c r="A148" s="169"/>
      <c r="B148" s="170"/>
      <c r="C148" s="171"/>
      <c r="D148" s="172"/>
      <c r="E148" s="173"/>
      <c r="F148" s="173"/>
      <c r="G148" s="173"/>
      <c r="H148" s="170"/>
    </row>
    <row r="149" customFormat="false" ht="18.75" hidden="false" customHeight="true" outlineLevel="0" collapsed="false">
      <c r="A149" s="169"/>
      <c r="B149" s="170"/>
      <c r="C149" s="171"/>
      <c r="D149" s="172"/>
      <c r="E149" s="173"/>
      <c r="F149" s="173"/>
      <c r="G149" s="173"/>
      <c r="H149" s="170"/>
    </row>
    <row r="150" customFormat="false" ht="18.75" hidden="false" customHeight="true" outlineLevel="0" collapsed="false">
      <c r="A150" s="169"/>
      <c r="B150" s="170"/>
      <c r="C150" s="171"/>
      <c r="D150" s="172"/>
      <c r="E150" s="173"/>
      <c r="F150" s="173"/>
      <c r="G150" s="173"/>
      <c r="H150" s="170"/>
    </row>
    <row r="151" customFormat="false" ht="18.75" hidden="false" customHeight="true" outlineLevel="0" collapsed="false">
      <c r="A151" s="169"/>
      <c r="B151" s="170"/>
      <c r="C151" s="171"/>
      <c r="D151" s="172"/>
      <c r="E151" s="173"/>
      <c r="F151" s="173"/>
      <c r="G151" s="173"/>
      <c r="H151" s="170"/>
    </row>
    <row r="152" customFormat="false" ht="18.75" hidden="false" customHeight="true" outlineLevel="0" collapsed="false">
      <c r="A152" s="169"/>
      <c r="B152" s="170"/>
      <c r="C152" s="171"/>
      <c r="D152" s="172"/>
      <c r="E152" s="173"/>
      <c r="F152" s="173"/>
      <c r="G152" s="173"/>
      <c r="H152" s="170"/>
    </row>
    <row r="153" customFormat="false" ht="18.75" hidden="false" customHeight="true" outlineLevel="0" collapsed="false">
      <c r="A153" s="169"/>
      <c r="B153" s="170"/>
      <c r="C153" s="171"/>
      <c r="D153" s="172"/>
      <c r="E153" s="173"/>
      <c r="F153" s="173"/>
      <c r="G153" s="173"/>
      <c r="H153" s="170"/>
    </row>
    <row r="154" customFormat="false" ht="18.75" hidden="false" customHeight="true" outlineLevel="0" collapsed="false">
      <c r="A154" s="169"/>
      <c r="B154" s="170"/>
      <c r="C154" s="171"/>
      <c r="D154" s="172"/>
      <c r="E154" s="173"/>
      <c r="F154" s="173"/>
      <c r="G154" s="173"/>
      <c r="H154" s="170"/>
    </row>
    <row r="155" customFormat="false" ht="18.75" hidden="false" customHeight="true" outlineLevel="0" collapsed="false">
      <c r="A155" s="169"/>
      <c r="B155" s="170"/>
      <c r="C155" s="171"/>
      <c r="D155" s="172"/>
      <c r="E155" s="173"/>
      <c r="F155" s="173"/>
      <c r="G155" s="173"/>
      <c r="H155" s="170"/>
    </row>
    <row r="156" customFormat="false" ht="18.75" hidden="false" customHeight="true" outlineLevel="0" collapsed="false">
      <c r="A156" s="169"/>
      <c r="B156" s="170"/>
      <c r="C156" s="171"/>
      <c r="D156" s="172"/>
      <c r="E156" s="173"/>
      <c r="F156" s="173"/>
      <c r="G156" s="173"/>
      <c r="H156" s="170"/>
    </row>
    <row r="157" customFormat="false" ht="18.75" hidden="false" customHeight="true" outlineLevel="0" collapsed="false">
      <c r="A157" s="169"/>
      <c r="B157" s="170"/>
      <c r="C157" s="171"/>
      <c r="D157" s="172"/>
      <c r="E157" s="173"/>
      <c r="F157" s="173"/>
      <c r="G157" s="173"/>
      <c r="H157" s="170"/>
    </row>
    <row r="158" customFormat="false" ht="18.75" hidden="false" customHeight="true" outlineLevel="0" collapsed="false">
      <c r="A158" s="169"/>
      <c r="B158" s="170"/>
      <c r="C158" s="171"/>
      <c r="D158" s="172"/>
      <c r="E158" s="173"/>
      <c r="F158" s="173"/>
      <c r="G158" s="173"/>
      <c r="H158" s="170"/>
    </row>
    <row r="159" customFormat="false" ht="18.75" hidden="false" customHeight="true" outlineLevel="0" collapsed="false">
      <c r="A159" s="169"/>
      <c r="B159" s="170"/>
      <c r="C159" s="171"/>
      <c r="D159" s="172"/>
      <c r="E159" s="173"/>
      <c r="F159" s="173"/>
      <c r="G159" s="173"/>
      <c r="H159" s="170"/>
    </row>
    <row r="160" customFormat="false" ht="18.75" hidden="false" customHeight="true" outlineLevel="0" collapsed="false">
      <c r="A160" s="169"/>
      <c r="B160" s="170"/>
      <c r="C160" s="171"/>
      <c r="D160" s="172"/>
      <c r="E160" s="173"/>
      <c r="F160" s="173"/>
      <c r="G160" s="173"/>
      <c r="H160" s="170"/>
    </row>
    <row r="161" customFormat="false" ht="18.75" hidden="false" customHeight="true" outlineLevel="0" collapsed="false">
      <c r="A161" s="169"/>
      <c r="B161" s="170"/>
      <c r="C161" s="171"/>
      <c r="D161" s="172"/>
      <c r="E161" s="173"/>
      <c r="F161" s="173"/>
      <c r="G161" s="173"/>
      <c r="H161" s="170"/>
    </row>
    <row r="162" customFormat="false" ht="18.75" hidden="false" customHeight="true" outlineLevel="0" collapsed="false">
      <c r="A162" s="169"/>
      <c r="B162" s="170"/>
      <c r="C162" s="171"/>
      <c r="D162" s="172"/>
      <c r="E162" s="173"/>
      <c r="F162" s="173"/>
      <c r="G162" s="173"/>
      <c r="H162" s="170"/>
    </row>
    <row r="163" customFormat="false" ht="18.75" hidden="false" customHeight="true" outlineLevel="0" collapsed="false">
      <c r="A163" s="169"/>
      <c r="B163" s="170"/>
      <c r="C163" s="171"/>
      <c r="D163" s="172"/>
      <c r="E163" s="173"/>
      <c r="F163" s="173"/>
      <c r="G163" s="173"/>
      <c r="H163" s="170"/>
    </row>
    <row r="164" customFormat="false" ht="18.75" hidden="false" customHeight="true" outlineLevel="0" collapsed="false">
      <c r="A164" s="169"/>
      <c r="B164" s="170"/>
      <c r="C164" s="171"/>
      <c r="D164" s="172"/>
      <c r="E164" s="173"/>
      <c r="F164" s="173"/>
      <c r="G164" s="173"/>
      <c r="H164" s="170"/>
    </row>
    <row r="165" customFormat="false" ht="18.75" hidden="false" customHeight="true" outlineLevel="0" collapsed="false">
      <c r="A165" s="169"/>
      <c r="B165" s="170"/>
      <c r="C165" s="171"/>
      <c r="D165" s="172"/>
      <c r="E165" s="173"/>
      <c r="F165" s="173"/>
      <c r="G165" s="173"/>
      <c r="H165" s="170"/>
    </row>
    <row r="166" customFormat="false" ht="18.75" hidden="false" customHeight="true" outlineLevel="0" collapsed="false">
      <c r="A166" s="169"/>
      <c r="B166" s="170"/>
      <c r="C166" s="171"/>
      <c r="D166" s="172"/>
      <c r="E166" s="173"/>
      <c r="F166" s="173"/>
      <c r="G166" s="173"/>
      <c r="H166" s="170"/>
    </row>
    <row r="167" customFormat="false" ht="18.75" hidden="false" customHeight="true" outlineLevel="0" collapsed="false">
      <c r="A167" s="169"/>
      <c r="B167" s="170"/>
      <c r="C167" s="171"/>
      <c r="D167" s="172"/>
      <c r="E167" s="173"/>
      <c r="F167" s="173"/>
      <c r="G167" s="173"/>
      <c r="H167" s="170"/>
    </row>
    <row r="168" customFormat="false" ht="18.75" hidden="false" customHeight="true" outlineLevel="0" collapsed="false">
      <c r="A168" s="169"/>
      <c r="B168" s="170"/>
      <c r="C168" s="171"/>
      <c r="D168" s="172"/>
      <c r="E168" s="173"/>
      <c r="F168" s="173"/>
      <c r="G168" s="173"/>
      <c r="H168" s="170"/>
    </row>
    <row r="169" customFormat="false" ht="18.75" hidden="false" customHeight="true" outlineLevel="0" collapsed="false">
      <c r="A169" s="169"/>
      <c r="B169" s="170"/>
      <c r="C169" s="171"/>
      <c r="D169" s="172"/>
      <c r="E169" s="173"/>
      <c r="F169" s="173"/>
      <c r="G169" s="173"/>
      <c r="H169" s="170"/>
    </row>
    <row r="170" customFormat="false" ht="18.75" hidden="false" customHeight="true" outlineLevel="0" collapsed="false">
      <c r="A170" s="169"/>
      <c r="B170" s="170"/>
      <c r="C170" s="171"/>
      <c r="D170" s="172"/>
      <c r="E170" s="173"/>
      <c r="F170" s="173"/>
      <c r="G170" s="173"/>
      <c r="H170" s="170"/>
    </row>
    <row r="171" customFormat="false" ht="18.75" hidden="false" customHeight="true" outlineLevel="0" collapsed="false">
      <c r="A171" s="169"/>
      <c r="B171" s="170"/>
      <c r="C171" s="171"/>
      <c r="D171" s="172"/>
      <c r="E171" s="173"/>
      <c r="F171" s="173"/>
      <c r="G171" s="173"/>
      <c r="H171" s="170"/>
    </row>
    <row r="172" customFormat="false" ht="18.75" hidden="false" customHeight="true" outlineLevel="0" collapsed="false">
      <c r="A172" s="169"/>
      <c r="B172" s="170"/>
      <c r="C172" s="171"/>
      <c r="D172" s="172"/>
      <c r="E172" s="173"/>
      <c r="F172" s="173"/>
      <c r="G172" s="173"/>
      <c r="H172" s="170"/>
    </row>
    <row r="173" customFormat="false" ht="18.75" hidden="false" customHeight="true" outlineLevel="0" collapsed="false">
      <c r="A173" s="169"/>
      <c r="B173" s="170"/>
      <c r="C173" s="171"/>
      <c r="D173" s="172"/>
      <c r="E173" s="173"/>
      <c r="F173" s="173"/>
      <c r="G173" s="173"/>
      <c r="H173" s="170"/>
    </row>
    <row r="174" customFormat="false" ht="18.75" hidden="false" customHeight="true" outlineLevel="0" collapsed="false">
      <c r="A174" s="169"/>
      <c r="B174" s="170"/>
      <c r="C174" s="171"/>
      <c r="D174" s="172"/>
      <c r="E174" s="173"/>
      <c r="F174" s="173"/>
      <c r="G174" s="173"/>
      <c r="H174" s="170"/>
    </row>
    <row r="175" customFormat="false" ht="18.75" hidden="false" customHeight="true" outlineLevel="0" collapsed="false">
      <c r="A175" s="169"/>
      <c r="B175" s="170"/>
      <c r="C175" s="171"/>
      <c r="D175" s="172"/>
      <c r="E175" s="173"/>
      <c r="F175" s="173"/>
      <c r="G175" s="173"/>
      <c r="H175" s="170"/>
    </row>
    <row r="176" customFormat="false" ht="18.75" hidden="false" customHeight="true" outlineLevel="0" collapsed="false">
      <c r="A176" s="169"/>
      <c r="B176" s="170"/>
      <c r="C176" s="171"/>
      <c r="D176" s="172"/>
      <c r="E176" s="173"/>
      <c r="F176" s="173"/>
      <c r="G176" s="173"/>
      <c r="H176" s="170"/>
    </row>
    <row r="177" customFormat="false" ht="18.75" hidden="false" customHeight="true" outlineLevel="0" collapsed="false">
      <c r="A177" s="169"/>
      <c r="B177" s="170"/>
      <c r="C177" s="171"/>
      <c r="D177" s="172"/>
      <c r="E177" s="173"/>
      <c r="F177" s="173"/>
      <c r="G177" s="173"/>
      <c r="H177" s="170"/>
    </row>
    <row r="178" customFormat="false" ht="18.75" hidden="false" customHeight="true" outlineLevel="0" collapsed="false">
      <c r="A178" s="169"/>
      <c r="B178" s="170"/>
      <c r="C178" s="171"/>
      <c r="D178" s="172"/>
      <c r="E178" s="173"/>
      <c r="F178" s="173"/>
      <c r="G178" s="173"/>
      <c r="H178" s="170"/>
    </row>
    <row r="179" customFormat="false" ht="18.75" hidden="false" customHeight="true" outlineLevel="0" collapsed="false">
      <c r="A179" s="169"/>
      <c r="B179" s="170"/>
      <c r="C179" s="171"/>
      <c r="D179" s="172"/>
      <c r="E179" s="173"/>
      <c r="F179" s="173"/>
      <c r="G179" s="173"/>
      <c r="H179" s="170"/>
    </row>
    <row r="180" customFormat="false" ht="18.75" hidden="false" customHeight="true" outlineLevel="0" collapsed="false">
      <c r="A180" s="169"/>
      <c r="B180" s="170"/>
      <c r="C180" s="171"/>
      <c r="D180" s="172"/>
      <c r="E180" s="173"/>
      <c r="F180" s="173"/>
      <c r="G180" s="173"/>
      <c r="H180" s="170"/>
    </row>
    <row r="181" customFormat="false" ht="18.75" hidden="false" customHeight="true" outlineLevel="0" collapsed="false">
      <c r="A181" s="169"/>
      <c r="B181" s="170"/>
      <c r="C181" s="171"/>
      <c r="D181" s="172"/>
      <c r="E181" s="173"/>
      <c r="F181" s="173"/>
      <c r="G181" s="173"/>
      <c r="H181" s="170"/>
    </row>
    <row r="182" customFormat="false" ht="18.75" hidden="false" customHeight="true" outlineLevel="0" collapsed="false">
      <c r="A182" s="169"/>
      <c r="B182" s="170"/>
      <c r="C182" s="171"/>
      <c r="D182" s="172"/>
      <c r="E182" s="173"/>
      <c r="F182" s="173"/>
      <c r="G182" s="173"/>
      <c r="H182" s="170"/>
    </row>
    <row r="183" customFormat="false" ht="18.75" hidden="false" customHeight="true" outlineLevel="0" collapsed="false">
      <c r="A183" s="169"/>
      <c r="B183" s="170"/>
      <c r="C183" s="171"/>
      <c r="D183" s="172"/>
      <c r="E183" s="173"/>
      <c r="F183" s="173"/>
      <c r="G183" s="173"/>
      <c r="H183" s="170"/>
    </row>
    <row r="184" customFormat="false" ht="18.75" hidden="false" customHeight="true" outlineLevel="0" collapsed="false">
      <c r="A184" s="169"/>
      <c r="B184" s="170"/>
      <c r="C184" s="171"/>
      <c r="D184" s="172"/>
      <c r="E184" s="173"/>
      <c r="F184" s="173"/>
      <c r="G184" s="173"/>
      <c r="H184" s="170"/>
    </row>
    <row r="185" customFormat="false" ht="18.75" hidden="false" customHeight="true" outlineLevel="0" collapsed="false">
      <c r="A185" s="169"/>
      <c r="B185" s="170"/>
      <c r="C185" s="171"/>
      <c r="D185" s="172"/>
      <c r="E185" s="173"/>
      <c r="F185" s="173"/>
      <c r="G185" s="173"/>
      <c r="H185" s="170"/>
    </row>
    <row r="186" customFormat="false" ht="18.75" hidden="false" customHeight="true" outlineLevel="0" collapsed="false">
      <c r="A186" s="169"/>
      <c r="B186" s="170"/>
      <c r="C186" s="171"/>
      <c r="D186" s="172"/>
      <c r="E186" s="173"/>
      <c r="F186" s="173"/>
      <c r="G186" s="173"/>
      <c r="H186" s="170"/>
    </row>
    <row r="187" customFormat="false" ht="18.75" hidden="false" customHeight="true" outlineLevel="0" collapsed="false">
      <c r="A187" s="169"/>
      <c r="B187" s="170"/>
      <c r="C187" s="171"/>
      <c r="D187" s="172"/>
      <c r="E187" s="173"/>
      <c r="F187" s="173"/>
      <c r="G187" s="173"/>
      <c r="H187" s="170"/>
    </row>
    <row r="188" customFormat="false" ht="18.75" hidden="false" customHeight="true" outlineLevel="0" collapsed="false">
      <c r="A188" s="169"/>
      <c r="B188" s="170"/>
      <c r="C188" s="171"/>
      <c r="D188" s="172"/>
      <c r="E188" s="173"/>
      <c r="F188" s="173"/>
      <c r="G188" s="173"/>
      <c r="H188" s="170"/>
    </row>
    <row r="189" customFormat="false" ht="18.75" hidden="false" customHeight="true" outlineLevel="0" collapsed="false">
      <c r="A189" s="169"/>
      <c r="B189" s="170"/>
      <c r="C189" s="171"/>
      <c r="D189" s="172"/>
      <c r="E189" s="173"/>
      <c r="F189" s="173"/>
      <c r="G189" s="173"/>
      <c r="H189" s="170"/>
    </row>
    <row r="190" customFormat="false" ht="18.75" hidden="false" customHeight="true" outlineLevel="0" collapsed="false">
      <c r="A190" s="169"/>
      <c r="B190" s="170"/>
      <c r="C190" s="171"/>
      <c r="D190" s="172"/>
      <c r="E190" s="173"/>
      <c r="F190" s="173"/>
      <c r="G190" s="173"/>
      <c r="H190" s="170"/>
    </row>
    <row r="191" customFormat="false" ht="18.75" hidden="false" customHeight="true" outlineLevel="0" collapsed="false">
      <c r="A191" s="169"/>
      <c r="B191" s="170"/>
      <c r="C191" s="171"/>
      <c r="D191" s="172"/>
      <c r="E191" s="173"/>
      <c r="F191" s="173"/>
      <c r="G191" s="173"/>
      <c r="H191" s="170"/>
    </row>
    <row r="192" customFormat="false" ht="18.75" hidden="false" customHeight="true" outlineLevel="0" collapsed="false">
      <c r="A192" s="169"/>
      <c r="B192" s="170"/>
      <c r="C192" s="171"/>
      <c r="D192" s="172"/>
      <c r="E192" s="173"/>
      <c r="F192" s="173"/>
      <c r="G192" s="173"/>
      <c r="H192" s="170"/>
    </row>
    <row r="193" customFormat="false" ht="18.75" hidden="false" customHeight="true" outlineLevel="0" collapsed="false">
      <c r="A193" s="169"/>
      <c r="B193" s="170"/>
      <c r="C193" s="171"/>
      <c r="D193" s="172"/>
      <c r="E193" s="173"/>
      <c r="F193" s="173"/>
      <c r="G193" s="173"/>
      <c r="H193" s="170"/>
    </row>
    <row r="194" customFormat="false" ht="18.75" hidden="false" customHeight="true" outlineLevel="0" collapsed="false">
      <c r="A194" s="169"/>
      <c r="B194" s="170"/>
      <c r="C194" s="171"/>
      <c r="D194" s="172"/>
      <c r="E194" s="173"/>
      <c r="F194" s="173"/>
      <c r="G194" s="173"/>
      <c r="H194" s="170"/>
    </row>
    <row r="195" customFormat="false" ht="18.75" hidden="false" customHeight="true" outlineLevel="0" collapsed="false">
      <c r="A195" s="169"/>
      <c r="B195" s="170"/>
      <c r="C195" s="171"/>
      <c r="D195" s="172"/>
      <c r="E195" s="173"/>
      <c r="F195" s="173"/>
      <c r="G195" s="173"/>
      <c r="H195" s="170"/>
    </row>
    <row r="196" customFormat="false" ht="18.75" hidden="false" customHeight="true" outlineLevel="0" collapsed="false">
      <c r="A196" s="169"/>
      <c r="B196" s="170"/>
      <c r="C196" s="171"/>
      <c r="D196" s="172"/>
      <c r="E196" s="173"/>
      <c r="F196" s="173"/>
      <c r="G196" s="173"/>
      <c r="H196" s="170"/>
    </row>
    <row r="197" customFormat="false" ht="18.75" hidden="false" customHeight="true" outlineLevel="0" collapsed="false">
      <c r="A197" s="169"/>
      <c r="B197" s="170"/>
      <c r="C197" s="171"/>
      <c r="D197" s="172"/>
      <c r="E197" s="173"/>
      <c r="F197" s="173"/>
      <c r="G197" s="173"/>
      <c r="H197" s="170"/>
    </row>
    <row r="198" customFormat="false" ht="18.75" hidden="false" customHeight="true" outlineLevel="0" collapsed="false">
      <c r="A198" s="169"/>
      <c r="B198" s="170"/>
      <c r="C198" s="171"/>
      <c r="D198" s="172"/>
      <c r="E198" s="173"/>
      <c r="F198" s="173"/>
      <c r="G198" s="173"/>
      <c r="H198" s="170"/>
    </row>
    <row r="199" customFormat="false" ht="18.75" hidden="false" customHeight="true" outlineLevel="0" collapsed="false">
      <c r="A199" s="169"/>
      <c r="B199" s="170"/>
      <c r="C199" s="171"/>
      <c r="D199" s="172"/>
      <c r="E199" s="173"/>
      <c r="F199" s="173"/>
      <c r="G199" s="173"/>
      <c r="H199" s="170"/>
    </row>
    <row r="200" customFormat="false" ht="18.75" hidden="false" customHeight="true" outlineLevel="0" collapsed="false">
      <c r="A200" s="169"/>
      <c r="B200" s="170"/>
      <c r="C200" s="171"/>
      <c r="D200" s="172"/>
      <c r="E200" s="173"/>
      <c r="F200" s="173"/>
      <c r="G200" s="173"/>
      <c r="H200" s="170"/>
    </row>
    <row r="201" customFormat="false" ht="18.75" hidden="false" customHeight="true" outlineLevel="0" collapsed="false">
      <c r="A201" s="169"/>
      <c r="B201" s="170"/>
      <c r="C201" s="171"/>
      <c r="D201" s="172"/>
      <c r="E201" s="173"/>
      <c r="F201" s="173"/>
      <c r="G201" s="173"/>
      <c r="H201" s="170"/>
    </row>
    <row r="202" customFormat="false" ht="18.75" hidden="false" customHeight="true" outlineLevel="0" collapsed="false">
      <c r="A202" s="169"/>
      <c r="B202" s="170"/>
      <c r="C202" s="171"/>
      <c r="D202" s="172"/>
      <c r="E202" s="173"/>
      <c r="F202" s="173"/>
      <c r="G202" s="173"/>
      <c r="H202" s="170"/>
    </row>
    <row r="203" customFormat="false" ht="18.75" hidden="false" customHeight="true" outlineLevel="0" collapsed="false">
      <c r="A203" s="169"/>
      <c r="B203" s="170"/>
      <c r="C203" s="171"/>
      <c r="D203" s="172"/>
      <c r="E203" s="173"/>
      <c r="F203" s="173"/>
      <c r="G203" s="173"/>
      <c r="H203" s="170"/>
    </row>
    <row r="204" customFormat="false" ht="18.75" hidden="false" customHeight="true" outlineLevel="0" collapsed="false">
      <c r="A204" s="169"/>
      <c r="B204" s="170"/>
      <c r="C204" s="171"/>
      <c r="D204" s="172"/>
      <c r="E204" s="173"/>
      <c r="F204" s="173"/>
      <c r="G204" s="173"/>
      <c r="H204" s="170"/>
    </row>
    <row r="205" customFormat="false" ht="18.75" hidden="false" customHeight="true" outlineLevel="0" collapsed="false">
      <c r="A205" s="169"/>
      <c r="B205" s="170"/>
      <c r="C205" s="171"/>
      <c r="D205" s="172"/>
      <c r="E205" s="173"/>
      <c r="F205" s="173"/>
      <c r="G205" s="173"/>
      <c r="H205" s="170"/>
    </row>
    <row r="206" customFormat="false" ht="18.75" hidden="false" customHeight="true" outlineLevel="0" collapsed="false">
      <c r="A206" s="169"/>
      <c r="B206" s="170"/>
      <c r="C206" s="171"/>
      <c r="D206" s="172"/>
      <c r="E206" s="173"/>
      <c r="F206" s="173"/>
      <c r="G206" s="173"/>
      <c r="H206" s="170"/>
    </row>
    <row r="207" customFormat="false" ht="18.75" hidden="false" customHeight="true" outlineLevel="0" collapsed="false">
      <c r="A207" s="169"/>
      <c r="B207" s="170"/>
      <c r="C207" s="171"/>
      <c r="D207" s="172"/>
      <c r="E207" s="173"/>
      <c r="F207" s="173"/>
      <c r="G207" s="173"/>
      <c r="H207" s="170"/>
    </row>
    <row r="208" customFormat="false" ht="18.75" hidden="false" customHeight="true" outlineLevel="0" collapsed="false">
      <c r="A208" s="169"/>
      <c r="B208" s="170"/>
      <c r="C208" s="171"/>
      <c r="D208" s="172"/>
      <c r="E208" s="173"/>
      <c r="F208" s="173"/>
      <c r="G208" s="173"/>
      <c r="H208" s="170"/>
    </row>
    <row r="209" customFormat="false" ht="18.75" hidden="false" customHeight="true" outlineLevel="0" collapsed="false">
      <c r="A209" s="169"/>
      <c r="B209" s="170"/>
      <c r="C209" s="171"/>
      <c r="D209" s="172"/>
      <c r="E209" s="173"/>
      <c r="F209" s="173"/>
      <c r="G209" s="173"/>
      <c r="H209" s="170"/>
    </row>
    <row r="210" customFormat="false" ht="18.75" hidden="false" customHeight="true" outlineLevel="0" collapsed="false">
      <c r="A210" s="169"/>
      <c r="B210" s="170"/>
      <c r="C210" s="171"/>
      <c r="D210" s="172"/>
      <c r="E210" s="173"/>
      <c r="F210" s="173"/>
      <c r="G210" s="173"/>
      <c r="H210" s="170"/>
    </row>
    <row r="211" customFormat="false" ht="18.75" hidden="false" customHeight="true" outlineLevel="0" collapsed="false">
      <c r="A211" s="169"/>
      <c r="B211" s="170"/>
      <c r="C211" s="171"/>
      <c r="D211" s="172"/>
      <c r="E211" s="173"/>
      <c r="F211" s="173"/>
      <c r="G211" s="173"/>
      <c r="H211" s="170"/>
    </row>
    <row r="212" customFormat="false" ht="18.75" hidden="false" customHeight="true" outlineLevel="0" collapsed="false">
      <c r="A212" s="169"/>
      <c r="B212" s="170"/>
      <c r="C212" s="171"/>
      <c r="D212" s="172"/>
      <c r="E212" s="173"/>
      <c r="F212" s="173"/>
      <c r="G212" s="173"/>
      <c r="H212" s="170"/>
    </row>
    <row r="213" customFormat="false" ht="18.75" hidden="false" customHeight="true" outlineLevel="0" collapsed="false">
      <c r="A213" s="169"/>
      <c r="B213" s="170"/>
      <c r="C213" s="171"/>
      <c r="D213" s="172"/>
      <c r="E213" s="173"/>
      <c r="F213" s="173"/>
      <c r="G213" s="173"/>
      <c r="H213" s="170"/>
    </row>
    <row r="214" customFormat="false" ht="18.75" hidden="false" customHeight="true" outlineLevel="0" collapsed="false">
      <c r="A214" s="169"/>
      <c r="B214" s="170"/>
      <c r="C214" s="171"/>
      <c r="D214" s="172"/>
      <c r="E214" s="173"/>
      <c r="F214" s="173"/>
      <c r="G214" s="173"/>
      <c r="H214" s="170"/>
    </row>
    <row r="215" customFormat="false" ht="18.75" hidden="false" customHeight="true" outlineLevel="0" collapsed="false">
      <c r="A215" s="169"/>
      <c r="B215" s="170"/>
      <c r="C215" s="171"/>
      <c r="D215" s="172"/>
      <c r="E215" s="173"/>
      <c r="F215" s="173"/>
      <c r="G215" s="173"/>
      <c r="H215" s="170"/>
    </row>
    <row r="216" customFormat="false" ht="18.75" hidden="false" customHeight="true" outlineLevel="0" collapsed="false">
      <c r="A216" s="169"/>
      <c r="B216" s="170"/>
      <c r="C216" s="171"/>
      <c r="D216" s="172"/>
      <c r="E216" s="173"/>
      <c r="F216" s="173"/>
      <c r="G216" s="173"/>
      <c r="H216" s="170"/>
    </row>
    <row r="217" customFormat="false" ht="18.75" hidden="false" customHeight="true" outlineLevel="0" collapsed="false">
      <c r="A217" s="169"/>
      <c r="B217" s="170"/>
      <c r="C217" s="171"/>
      <c r="D217" s="172"/>
      <c r="E217" s="173"/>
      <c r="F217" s="173"/>
      <c r="G217" s="173"/>
      <c r="H217" s="170"/>
    </row>
    <row r="218" customFormat="false" ht="18.75" hidden="false" customHeight="true" outlineLevel="0" collapsed="false">
      <c r="A218" s="169"/>
      <c r="B218" s="170"/>
      <c r="C218" s="171"/>
      <c r="D218" s="172"/>
      <c r="E218" s="173"/>
      <c r="F218" s="173"/>
      <c r="G218" s="173"/>
      <c r="H218" s="170"/>
    </row>
    <row r="219" customFormat="false" ht="18.75" hidden="false" customHeight="true" outlineLevel="0" collapsed="false">
      <c r="A219" s="169"/>
      <c r="B219" s="170"/>
      <c r="C219" s="171"/>
      <c r="D219" s="172"/>
      <c r="E219" s="173"/>
      <c r="F219" s="173"/>
      <c r="G219" s="173"/>
      <c r="H219" s="170"/>
    </row>
    <row r="220" customFormat="false" ht="18.75" hidden="false" customHeight="true" outlineLevel="0" collapsed="false">
      <c r="A220" s="169"/>
      <c r="B220" s="170"/>
      <c r="C220" s="171"/>
      <c r="D220" s="172"/>
      <c r="E220" s="173"/>
      <c r="F220" s="173"/>
      <c r="G220" s="173"/>
      <c r="H220" s="170"/>
    </row>
    <row r="221" customFormat="false" ht="18.75" hidden="false" customHeight="true" outlineLevel="0" collapsed="false">
      <c r="A221" s="169"/>
      <c r="B221" s="170"/>
      <c r="C221" s="171"/>
      <c r="D221" s="172"/>
      <c r="E221" s="173"/>
      <c r="F221" s="173"/>
      <c r="G221" s="173"/>
      <c r="H221" s="170"/>
    </row>
    <row r="222" customFormat="false" ht="18.75" hidden="false" customHeight="true" outlineLevel="0" collapsed="false">
      <c r="A222" s="169"/>
      <c r="B222" s="170"/>
      <c r="C222" s="171"/>
      <c r="D222" s="172"/>
      <c r="E222" s="173"/>
      <c r="F222" s="173"/>
      <c r="G222" s="173"/>
      <c r="H222" s="170"/>
    </row>
    <row r="223" customFormat="false" ht="18.75" hidden="false" customHeight="true" outlineLevel="0" collapsed="false">
      <c r="A223" s="169"/>
      <c r="B223" s="170"/>
      <c r="C223" s="171"/>
      <c r="D223" s="172"/>
      <c r="E223" s="173"/>
      <c r="F223" s="173"/>
      <c r="G223" s="173"/>
      <c r="H223" s="170"/>
    </row>
    <row r="224" customFormat="false" ht="18.75" hidden="false" customHeight="true" outlineLevel="0" collapsed="false">
      <c r="A224" s="169"/>
      <c r="B224" s="170"/>
      <c r="C224" s="171"/>
      <c r="D224" s="172"/>
      <c r="E224" s="173"/>
      <c r="F224" s="173"/>
      <c r="G224" s="173"/>
      <c r="H224" s="170"/>
    </row>
    <row r="225" customFormat="false" ht="18.75" hidden="false" customHeight="true" outlineLevel="0" collapsed="false">
      <c r="A225" s="169"/>
      <c r="B225" s="170"/>
      <c r="C225" s="171"/>
      <c r="D225" s="172"/>
      <c r="E225" s="173"/>
      <c r="F225" s="173"/>
      <c r="G225" s="173"/>
      <c r="H225" s="170"/>
    </row>
    <row r="226" customFormat="false" ht="18.75" hidden="false" customHeight="true" outlineLevel="0" collapsed="false">
      <c r="A226" s="169"/>
      <c r="B226" s="170"/>
      <c r="C226" s="171"/>
      <c r="D226" s="172"/>
      <c r="E226" s="173"/>
      <c r="F226" s="173"/>
      <c r="G226" s="173"/>
      <c r="H226" s="170"/>
    </row>
    <row r="227" customFormat="false" ht="18.75" hidden="false" customHeight="true" outlineLevel="0" collapsed="false">
      <c r="A227" s="169"/>
      <c r="B227" s="170"/>
      <c r="C227" s="171"/>
      <c r="D227" s="172"/>
      <c r="E227" s="173"/>
      <c r="F227" s="173"/>
      <c r="G227" s="173"/>
      <c r="H227" s="170"/>
    </row>
    <row r="228" customFormat="false" ht="18.75" hidden="false" customHeight="true" outlineLevel="0" collapsed="false">
      <c r="A228" s="169"/>
      <c r="B228" s="170"/>
      <c r="C228" s="171"/>
      <c r="D228" s="172"/>
      <c r="E228" s="173"/>
      <c r="F228" s="173"/>
      <c r="G228" s="173"/>
      <c r="H228" s="170"/>
    </row>
    <row r="229" customFormat="false" ht="18.75" hidden="false" customHeight="true" outlineLevel="0" collapsed="false">
      <c r="A229" s="169"/>
      <c r="B229" s="170"/>
      <c r="C229" s="171"/>
      <c r="D229" s="172"/>
      <c r="E229" s="173"/>
      <c r="F229" s="173"/>
      <c r="G229" s="173"/>
      <c r="H229" s="170"/>
    </row>
    <row r="230" customFormat="false" ht="18.75" hidden="false" customHeight="true" outlineLevel="0" collapsed="false">
      <c r="A230" s="169"/>
      <c r="B230" s="170"/>
      <c r="C230" s="171"/>
      <c r="D230" s="172"/>
      <c r="E230" s="173"/>
      <c r="F230" s="173"/>
      <c r="G230" s="173"/>
      <c r="H230" s="170"/>
    </row>
    <row r="231" customFormat="false" ht="18.75" hidden="false" customHeight="true" outlineLevel="0" collapsed="false">
      <c r="A231" s="169"/>
      <c r="B231" s="170"/>
      <c r="C231" s="171"/>
      <c r="D231" s="172"/>
      <c r="E231" s="173"/>
      <c r="F231" s="173"/>
      <c r="G231" s="173"/>
      <c r="H231" s="170"/>
    </row>
    <row r="232" customFormat="false" ht="18.75" hidden="false" customHeight="true" outlineLevel="0" collapsed="false">
      <c r="A232" s="169"/>
      <c r="B232" s="170"/>
      <c r="C232" s="171"/>
      <c r="D232" s="172"/>
      <c r="E232" s="173"/>
      <c r="F232" s="173"/>
      <c r="G232" s="173"/>
      <c r="H232" s="170"/>
    </row>
    <row r="233" customFormat="false" ht="18.75" hidden="false" customHeight="true" outlineLevel="0" collapsed="false">
      <c r="A233" s="169"/>
      <c r="B233" s="170"/>
      <c r="C233" s="171"/>
      <c r="D233" s="172"/>
      <c r="E233" s="173"/>
      <c r="F233" s="173"/>
      <c r="G233" s="173"/>
      <c r="H233" s="170"/>
    </row>
    <row r="234" customFormat="false" ht="18.75" hidden="false" customHeight="true" outlineLevel="0" collapsed="false">
      <c r="A234" s="169"/>
      <c r="B234" s="170"/>
      <c r="C234" s="171"/>
      <c r="D234" s="172"/>
      <c r="E234" s="173"/>
      <c r="F234" s="173"/>
      <c r="G234" s="173"/>
      <c r="H234" s="170"/>
    </row>
    <row r="235" customFormat="false" ht="18.75" hidden="false" customHeight="true" outlineLevel="0" collapsed="false">
      <c r="A235" s="169"/>
      <c r="B235" s="170"/>
      <c r="C235" s="171"/>
      <c r="D235" s="172"/>
      <c r="E235" s="173"/>
      <c r="F235" s="173"/>
      <c r="G235" s="173"/>
      <c r="H235" s="170"/>
    </row>
    <row r="236" customFormat="false" ht="18.75" hidden="false" customHeight="true" outlineLevel="0" collapsed="false">
      <c r="A236" s="169"/>
      <c r="B236" s="170"/>
      <c r="C236" s="171"/>
      <c r="D236" s="172"/>
      <c r="E236" s="173"/>
      <c r="F236" s="173"/>
      <c r="G236" s="173"/>
      <c r="H236" s="170"/>
    </row>
    <row r="237" customFormat="false" ht="18.75" hidden="false" customHeight="true" outlineLevel="0" collapsed="false">
      <c r="A237" s="169"/>
      <c r="B237" s="170"/>
      <c r="C237" s="171"/>
      <c r="D237" s="172"/>
      <c r="E237" s="173"/>
      <c r="F237" s="173"/>
      <c r="G237" s="173"/>
      <c r="H237" s="170"/>
    </row>
    <row r="238" customFormat="false" ht="18.75" hidden="false" customHeight="true" outlineLevel="0" collapsed="false">
      <c r="A238" s="169"/>
      <c r="B238" s="170"/>
      <c r="C238" s="171"/>
      <c r="D238" s="172"/>
      <c r="E238" s="173"/>
      <c r="F238" s="173"/>
      <c r="G238" s="173"/>
      <c r="H238" s="170"/>
    </row>
    <row r="239" customFormat="false" ht="18.75" hidden="false" customHeight="true" outlineLevel="0" collapsed="false">
      <c r="A239" s="169"/>
      <c r="B239" s="170"/>
      <c r="C239" s="171"/>
      <c r="D239" s="172"/>
      <c r="E239" s="173"/>
      <c r="F239" s="173"/>
      <c r="G239" s="173"/>
      <c r="H239" s="170"/>
    </row>
    <row r="240" customFormat="false" ht="18.75" hidden="false" customHeight="true" outlineLevel="0" collapsed="false">
      <c r="A240" s="169"/>
      <c r="B240" s="170"/>
      <c r="C240" s="171"/>
      <c r="D240" s="172"/>
      <c r="E240" s="173"/>
      <c r="F240" s="173"/>
      <c r="G240" s="173"/>
      <c r="H240" s="170"/>
    </row>
    <row r="241" customFormat="false" ht="18.75" hidden="false" customHeight="true" outlineLevel="0" collapsed="false">
      <c r="A241" s="169"/>
      <c r="B241" s="170"/>
      <c r="C241" s="171"/>
      <c r="D241" s="172"/>
      <c r="E241" s="173"/>
      <c r="F241" s="173"/>
      <c r="G241" s="173"/>
      <c r="H241" s="170"/>
    </row>
    <row r="242" customFormat="false" ht="18.75" hidden="false" customHeight="true" outlineLevel="0" collapsed="false">
      <c r="A242" s="169"/>
      <c r="B242" s="170"/>
      <c r="C242" s="171"/>
      <c r="D242" s="172"/>
      <c r="E242" s="173"/>
      <c r="F242" s="173"/>
      <c r="G242" s="173"/>
      <c r="H242" s="170"/>
    </row>
    <row r="243" customFormat="false" ht="18.75" hidden="false" customHeight="true" outlineLevel="0" collapsed="false">
      <c r="A243" s="169"/>
      <c r="B243" s="170"/>
      <c r="C243" s="171"/>
      <c r="D243" s="172"/>
      <c r="E243" s="173"/>
      <c r="F243" s="173"/>
      <c r="G243" s="173"/>
      <c r="H243" s="170"/>
    </row>
    <row r="244" customFormat="false" ht="18.75" hidden="false" customHeight="true" outlineLevel="0" collapsed="false">
      <c r="A244" s="169"/>
      <c r="B244" s="170"/>
      <c r="C244" s="171"/>
      <c r="D244" s="172"/>
      <c r="E244" s="173"/>
      <c r="F244" s="173"/>
      <c r="G244" s="173"/>
      <c r="H244" s="170"/>
    </row>
    <row r="245" customFormat="false" ht="18.75" hidden="false" customHeight="true" outlineLevel="0" collapsed="false">
      <c r="A245" s="169"/>
      <c r="B245" s="170"/>
      <c r="C245" s="171"/>
      <c r="D245" s="172"/>
      <c r="E245" s="173"/>
      <c r="F245" s="173"/>
      <c r="G245" s="173"/>
      <c r="H245" s="170"/>
    </row>
    <row r="246" customFormat="false" ht="18.75" hidden="false" customHeight="true" outlineLevel="0" collapsed="false">
      <c r="A246" s="169"/>
      <c r="B246" s="170"/>
      <c r="C246" s="171"/>
      <c r="D246" s="172"/>
      <c r="E246" s="173"/>
      <c r="F246" s="173"/>
      <c r="G246" s="173"/>
      <c r="H246" s="170"/>
    </row>
    <row r="247" customFormat="false" ht="18.75" hidden="false" customHeight="true" outlineLevel="0" collapsed="false">
      <c r="A247" s="169"/>
      <c r="B247" s="170"/>
      <c r="C247" s="171"/>
      <c r="D247" s="172"/>
      <c r="E247" s="173"/>
      <c r="F247" s="173"/>
      <c r="G247" s="173"/>
      <c r="H247" s="170"/>
    </row>
    <row r="248" customFormat="false" ht="18.75" hidden="false" customHeight="true" outlineLevel="0" collapsed="false">
      <c r="A248" s="169"/>
      <c r="B248" s="170"/>
      <c r="C248" s="171"/>
      <c r="D248" s="172"/>
      <c r="E248" s="173"/>
      <c r="F248" s="173"/>
      <c r="G248" s="173"/>
      <c r="H248" s="170"/>
    </row>
    <row r="249" customFormat="false" ht="18.75" hidden="false" customHeight="true" outlineLevel="0" collapsed="false">
      <c r="A249" s="169"/>
      <c r="B249" s="170"/>
      <c r="C249" s="171"/>
      <c r="D249" s="172"/>
      <c r="E249" s="173"/>
      <c r="F249" s="173"/>
      <c r="G249" s="173"/>
      <c r="H249" s="170"/>
    </row>
    <row r="250" customFormat="false" ht="18.75" hidden="false" customHeight="true" outlineLevel="0" collapsed="false">
      <c r="A250" s="169"/>
      <c r="B250" s="170"/>
      <c r="C250" s="171"/>
      <c r="D250" s="172"/>
      <c r="E250" s="173"/>
      <c r="F250" s="173"/>
      <c r="G250" s="173"/>
      <c r="H250" s="170"/>
    </row>
    <row r="251" customFormat="false" ht="18.75" hidden="false" customHeight="true" outlineLevel="0" collapsed="false">
      <c r="A251" s="169"/>
      <c r="B251" s="170"/>
      <c r="C251" s="171"/>
      <c r="D251" s="172"/>
      <c r="E251" s="173"/>
      <c r="F251" s="173"/>
      <c r="G251" s="173"/>
      <c r="H251" s="170"/>
    </row>
    <row r="252" customFormat="false" ht="18.75" hidden="false" customHeight="true" outlineLevel="0" collapsed="false">
      <c r="A252" s="169"/>
      <c r="B252" s="170"/>
      <c r="C252" s="171"/>
      <c r="D252" s="172"/>
      <c r="E252" s="173"/>
      <c r="F252" s="173"/>
      <c r="G252" s="173"/>
      <c r="H252" s="170"/>
    </row>
    <row r="253" customFormat="false" ht="18.75" hidden="false" customHeight="true" outlineLevel="0" collapsed="false">
      <c r="A253" s="169"/>
      <c r="B253" s="170"/>
      <c r="C253" s="171"/>
      <c r="D253" s="172"/>
      <c r="E253" s="173"/>
      <c r="F253" s="173"/>
      <c r="G253" s="173"/>
      <c r="H253" s="170"/>
    </row>
    <row r="254" customFormat="false" ht="18.75" hidden="false" customHeight="true" outlineLevel="0" collapsed="false">
      <c r="A254" s="169"/>
      <c r="B254" s="170"/>
      <c r="C254" s="171"/>
      <c r="D254" s="172"/>
      <c r="E254" s="173"/>
      <c r="F254" s="173"/>
      <c r="G254" s="173"/>
      <c r="H254" s="170"/>
    </row>
    <row r="255" customFormat="false" ht="18.75" hidden="false" customHeight="true" outlineLevel="0" collapsed="false">
      <c r="A255" s="169"/>
      <c r="B255" s="170"/>
      <c r="C255" s="171"/>
      <c r="D255" s="172"/>
      <c r="E255" s="173"/>
      <c r="F255" s="173"/>
      <c r="G255" s="173"/>
      <c r="H255" s="170"/>
    </row>
    <row r="256" customFormat="false" ht="18.75" hidden="false" customHeight="true" outlineLevel="0" collapsed="false">
      <c r="A256" s="169"/>
      <c r="B256" s="170"/>
      <c r="C256" s="171"/>
      <c r="D256" s="172"/>
      <c r="E256" s="173"/>
      <c r="F256" s="173"/>
      <c r="G256" s="173"/>
      <c r="H256" s="170"/>
    </row>
    <row r="257" customFormat="false" ht="18.75" hidden="false" customHeight="true" outlineLevel="0" collapsed="false">
      <c r="A257" s="169"/>
      <c r="B257" s="170"/>
      <c r="C257" s="171"/>
      <c r="D257" s="172"/>
      <c r="E257" s="173"/>
      <c r="F257" s="173"/>
      <c r="G257" s="173"/>
      <c r="H257" s="170"/>
    </row>
    <row r="258" customFormat="false" ht="18.75" hidden="false" customHeight="true" outlineLevel="0" collapsed="false">
      <c r="A258" s="169"/>
      <c r="B258" s="170"/>
      <c r="C258" s="171"/>
      <c r="D258" s="172"/>
      <c r="E258" s="173"/>
      <c r="F258" s="173"/>
      <c r="G258" s="173"/>
      <c r="H258" s="170"/>
    </row>
    <row r="259" customFormat="false" ht="18.75" hidden="false" customHeight="true" outlineLevel="0" collapsed="false">
      <c r="A259" s="169"/>
      <c r="B259" s="170"/>
      <c r="C259" s="171"/>
      <c r="D259" s="172"/>
      <c r="E259" s="173"/>
      <c r="F259" s="173"/>
      <c r="G259" s="173"/>
      <c r="H259" s="170"/>
    </row>
    <row r="260" customFormat="false" ht="18.75" hidden="false" customHeight="true" outlineLevel="0" collapsed="false">
      <c r="A260" s="169"/>
      <c r="B260" s="170"/>
      <c r="C260" s="171"/>
      <c r="D260" s="172"/>
      <c r="E260" s="173"/>
      <c r="F260" s="173"/>
      <c r="G260" s="173"/>
      <c r="H260" s="170"/>
    </row>
    <row r="261" customFormat="false" ht="18.75" hidden="false" customHeight="true" outlineLevel="0" collapsed="false">
      <c r="A261" s="169"/>
      <c r="B261" s="170"/>
      <c r="C261" s="171"/>
      <c r="D261" s="172"/>
      <c r="E261" s="173"/>
      <c r="F261" s="173"/>
      <c r="G261" s="173"/>
      <c r="H261" s="170"/>
    </row>
    <row r="262" customFormat="false" ht="18.75" hidden="false" customHeight="true" outlineLevel="0" collapsed="false">
      <c r="A262" s="169"/>
      <c r="B262" s="170"/>
      <c r="C262" s="171"/>
      <c r="D262" s="172"/>
      <c r="E262" s="173"/>
      <c r="F262" s="173"/>
      <c r="G262" s="173"/>
      <c r="H262" s="170"/>
    </row>
    <row r="263" customFormat="false" ht="18.75" hidden="false" customHeight="true" outlineLevel="0" collapsed="false">
      <c r="A263" s="169"/>
      <c r="B263" s="170"/>
      <c r="C263" s="171"/>
      <c r="D263" s="172"/>
      <c r="E263" s="173"/>
      <c r="F263" s="173"/>
      <c r="G263" s="173"/>
      <c r="H263" s="170"/>
    </row>
    <row r="264" customFormat="false" ht="18.75" hidden="false" customHeight="true" outlineLevel="0" collapsed="false">
      <c r="A264" s="169"/>
      <c r="B264" s="170"/>
      <c r="C264" s="171"/>
      <c r="D264" s="172"/>
      <c r="E264" s="173"/>
      <c r="F264" s="173"/>
      <c r="G264" s="173"/>
      <c r="H264" s="170"/>
    </row>
    <row r="265" customFormat="false" ht="18.75" hidden="false" customHeight="true" outlineLevel="0" collapsed="false">
      <c r="A265" s="169"/>
      <c r="B265" s="170"/>
      <c r="C265" s="171"/>
      <c r="D265" s="172"/>
      <c r="E265" s="173"/>
      <c r="F265" s="173"/>
      <c r="G265" s="173"/>
      <c r="H265" s="170"/>
    </row>
    <row r="266" customFormat="false" ht="18.75" hidden="false" customHeight="true" outlineLevel="0" collapsed="false">
      <c r="A266" s="169"/>
      <c r="B266" s="170"/>
      <c r="C266" s="171"/>
      <c r="D266" s="172"/>
      <c r="E266" s="173"/>
      <c r="F266" s="173"/>
      <c r="G266" s="173"/>
      <c r="H266" s="170"/>
    </row>
    <row r="267" customFormat="false" ht="18.75" hidden="false" customHeight="true" outlineLevel="0" collapsed="false">
      <c r="A267" s="169"/>
      <c r="B267" s="170"/>
      <c r="C267" s="171"/>
      <c r="D267" s="172"/>
      <c r="E267" s="173"/>
      <c r="F267" s="173"/>
      <c r="G267" s="173"/>
      <c r="H267" s="170"/>
    </row>
    <row r="268" customFormat="false" ht="18.75" hidden="false" customHeight="true" outlineLevel="0" collapsed="false">
      <c r="A268" s="169"/>
      <c r="B268" s="170"/>
      <c r="C268" s="171"/>
      <c r="D268" s="172"/>
      <c r="E268" s="173"/>
      <c r="F268" s="173"/>
      <c r="G268" s="173"/>
      <c r="H268" s="170"/>
    </row>
    <row r="269" customFormat="false" ht="18.75" hidden="false" customHeight="true" outlineLevel="0" collapsed="false">
      <c r="A269" s="169"/>
      <c r="B269" s="170"/>
      <c r="C269" s="171"/>
      <c r="D269" s="172"/>
      <c r="E269" s="173"/>
      <c r="F269" s="173"/>
      <c r="G269" s="173"/>
      <c r="H269" s="170"/>
    </row>
    <row r="270" customFormat="false" ht="18.75" hidden="false" customHeight="true" outlineLevel="0" collapsed="false">
      <c r="A270" s="169"/>
      <c r="B270" s="170"/>
      <c r="C270" s="171"/>
      <c r="D270" s="172"/>
      <c r="E270" s="173"/>
      <c r="F270" s="173"/>
      <c r="G270" s="173"/>
      <c r="H270" s="170"/>
    </row>
    <row r="271" customFormat="false" ht="18.75" hidden="false" customHeight="true" outlineLevel="0" collapsed="false">
      <c r="A271" s="169"/>
      <c r="B271" s="170"/>
      <c r="C271" s="171"/>
      <c r="D271" s="172"/>
      <c r="E271" s="173"/>
      <c r="F271" s="173"/>
      <c r="G271" s="173"/>
      <c r="H271" s="170"/>
    </row>
    <row r="272" customFormat="false" ht="18.75" hidden="false" customHeight="true" outlineLevel="0" collapsed="false">
      <c r="A272" s="169"/>
      <c r="B272" s="170"/>
      <c r="C272" s="171"/>
      <c r="D272" s="172"/>
      <c r="E272" s="173"/>
      <c r="F272" s="173"/>
      <c r="G272" s="173"/>
      <c r="H272" s="170"/>
    </row>
    <row r="273" customFormat="false" ht="18.75" hidden="false" customHeight="true" outlineLevel="0" collapsed="false">
      <c r="A273" s="169"/>
      <c r="B273" s="170"/>
      <c r="C273" s="171"/>
      <c r="D273" s="172"/>
      <c r="E273" s="173"/>
      <c r="F273" s="173"/>
      <c r="G273" s="173"/>
      <c r="H273" s="170"/>
    </row>
    <row r="274" customFormat="false" ht="18.75" hidden="false" customHeight="true" outlineLevel="0" collapsed="false">
      <c r="A274" s="169"/>
      <c r="B274" s="170"/>
      <c r="C274" s="171"/>
      <c r="D274" s="172"/>
      <c r="E274" s="173"/>
      <c r="F274" s="173"/>
      <c r="G274" s="173"/>
      <c r="H274" s="170"/>
    </row>
    <row r="275" customFormat="false" ht="18.75" hidden="false" customHeight="true" outlineLevel="0" collapsed="false">
      <c r="A275" s="169"/>
      <c r="B275" s="170"/>
      <c r="C275" s="171"/>
      <c r="D275" s="172"/>
      <c r="E275" s="173"/>
      <c r="F275" s="173"/>
      <c r="G275" s="173"/>
      <c r="H275" s="170"/>
    </row>
    <row r="276" customFormat="false" ht="18.75" hidden="false" customHeight="true" outlineLevel="0" collapsed="false">
      <c r="A276" s="169"/>
      <c r="B276" s="170"/>
      <c r="C276" s="171"/>
      <c r="D276" s="172"/>
      <c r="E276" s="173"/>
      <c r="F276" s="173"/>
      <c r="G276" s="173"/>
      <c r="H276" s="170"/>
    </row>
    <row r="277" customFormat="false" ht="18.75" hidden="false" customHeight="true" outlineLevel="0" collapsed="false">
      <c r="A277" s="169"/>
      <c r="B277" s="170"/>
      <c r="C277" s="171"/>
      <c r="D277" s="172"/>
      <c r="E277" s="173"/>
      <c r="F277" s="173"/>
      <c r="G277" s="173"/>
      <c r="H277" s="170"/>
    </row>
    <row r="278" customFormat="false" ht="18.75" hidden="false" customHeight="true" outlineLevel="0" collapsed="false">
      <c r="A278" s="169"/>
      <c r="B278" s="170"/>
      <c r="C278" s="171"/>
      <c r="D278" s="172"/>
      <c r="E278" s="173"/>
      <c r="F278" s="173"/>
      <c r="G278" s="173"/>
      <c r="H278" s="170"/>
    </row>
    <row r="279" customFormat="false" ht="18.75" hidden="false" customHeight="true" outlineLevel="0" collapsed="false">
      <c r="A279" s="169"/>
      <c r="B279" s="170"/>
      <c r="C279" s="171"/>
      <c r="D279" s="172"/>
      <c r="E279" s="173"/>
      <c r="F279" s="173"/>
      <c r="G279" s="173"/>
      <c r="H279" s="170"/>
    </row>
    <row r="280" customFormat="false" ht="18.75" hidden="false" customHeight="true" outlineLevel="0" collapsed="false">
      <c r="A280" s="169"/>
      <c r="B280" s="170"/>
      <c r="C280" s="171"/>
      <c r="D280" s="172"/>
      <c r="E280" s="173"/>
      <c r="F280" s="173"/>
      <c r="G280" s="173"/>
      <c r="H280" s="170"/>
    </row>
    <row r="281" customFormat="false" ht="18.75" hidden="false" customHeight="true" outlineLevel="0" collapsed="false">
      <c r="A281" s="169"/>
      <c r="B281" s="170"/>
      <c r="C281" s="171"/>
      <c r="D281" s="172"/>
      <c r="E281" s="173"/>
      <c r="F281" s="173"/>
      <c r="G281" s="173"/>
      <c r="H281" s="170"/>
    </row>
    <row r="282" customFormat="false" ht="18.75" hidden="false" customHeight="true" outlineLevel="0" collapsed="false">
      <c r="A282" s="169"/>
      <c r="B282" s="170"/>
      <c r="C282" s="171"/>
      <c r="D282" s="172"/>
      <c r="E282" s="173"/>
      <c r="F282" s="173"/>
      <c r="G282" s="173"/>
      <c r="H282" s="170"/>
    </row>
    <row r="283" customFormat="false" ht="18.75" hidden="false" customHeight="true" outlineLevel="0" collapsed="false">
      <c r="A283" s="169"/>
      <c r="B283" s="170"/>
      <c r="C283" s="171"/>
      <c r="D283" s="172"/>
      <c r="E283" s="173"/>
      <c r="F283" s="173"/>
      <c r="G283" s="173"/>
      <c r="H283" s="170"/>
    </row>
    <row r="284" customFormat="false" ht="18.75" hidden="false" customHeight="true" outlineLevel="0" collapsed="false">
      <c r="A284" s="169"/>
      <c r="B284" s="170"/>
      <c r="C284" s="171"/>
      <c r="D284" s="172"/>
      <c r="E284" s="173"/>
      <c r="F284" s="173"/>
      <c r="G284" s="173"/>
      <c r="H284" s="170"/>
    </row>
    <row r="285" customFormat="false" ht="18.75" hidden="false" customHeight="true" outlineLevel="0" collapsed="false">
      <c r="A285" s="169"/>
      <c r="B285" s="170"/>
      <c r="C285" s="171"/>
      <c r="D285" s="172"/>
      <c r="E285" s="173"/>
      <c r="F285" s="173"/>
      <c r="G285" s="173"/>
      <c r="H285" s="170"/>
    </row>
    <row r="286" customFormat="false" ht="18.75" hidden="false" customHeight="true" outlineLevel="0" collapsed="false">
      <c r="A286" s="169"/>
      <c r="B286" s="170"/>
      <c r="C286" s="171"/>
      <c r="D286" s="172"/>
      <c r="E286" s="173"/>
      <c r="F286" s="173"/>
      <c r="G286" s="173"/>
      <c r="H286" s="170"/>
    </row>
    <row r="287" customFormat="false" ht="18.75" hidden="false" customHeight="true" outlineLevel="0" collapsed="false">
      <c r="A287" s="169"/>
      <c r="B287" s="170"/>
      <c r="C287" s="171"/>
      <c r="D287" s="172"/>
      <c r="E287" s="173"/>
      <c r="F287" s="173"/>
      <c r="G287" s="173"/>
      <c r="H287" s="170"/>
    </row>
    <row r="288" customFormat="false" ht="18.75" hidden="false" customHeight="true" outlineLevel="0" collapsed="false">
      <c r="A288" s="169"/>
      <c r="B288" s="170"/>
      <c r="C288" s="171"/>
      <c r="D288" s="172"/>
      <c r="E288" s="173"/>
      <c r="F288" s="173"/>
      <c r="G288" s="173"/>
      <c r="H288" s="170"/>
    </row>
    <row r="289" customFormat="false" ht="18.75" hidden="false" customHeight="true" outlineLevel="0" collapsed="false">
      <c r="A289" s="169"/>
      <c r="B289" s="170"/>
      <c r="C289" s="171"/>
      <c r="D289" s="172"/>
      <c r="E289" s="173"/>
      <c r="F289" s="173"/>
      <c r="G289" s="173"/>
      <c r="H289" s="170"/>
    </row>
    <row r="290" customFormat="false" ht="18.75" hidden="false" customHeight="true" outlineLevel="0" collapsed="false">
      <c r="A290" s="169"/>
      <c r="B290" s="170"/>
      <c r="C290" s="171"/>
      <c r="D290" s="172"/>
      <c r="E290" s="173"/>
      <c r="F290" s="173"/>
      <c r="G290" s="173"/>
      <c r="H290" s="170"/>
    </row>
    <row r="291" customFormat="false" ht="18.75" hidden="false" customHeight="true" outlineLevel="0" collapsed="false">
      <c r="A291" s="169"/>
      <c r="B291" s="170"/>
      <c r="C291" s="171"/>
      <c r="D291" s="172"/>
      <c r="E291" s="173"/>
      <c r="F291" s="173"/>
      <c r="G291" s="173"/>
      <c r="H291" s="170"/>
    </row>
    <row r="292" customFormat="false" ht="18.75" hidden="false" customHeight="true" outlineLevel="0" collapsed="false">
      <c r="A292" s="169"/>
      <c r="B292" s="170"/>
      <c r="C292" s="171"/>
      <c r="D292" s="172"/>
      <c r="E292" s="173"/>
      <c r="F292" s="173"/>
      <c r="G292" s="173"/>
      <c r="H292" s="170"/>
    </row>
    <row r="293" customFormat="false" ht="18.75" hidden="false" customHeight="true" outlineLevel="0" collapsed="false">
      <c r="A293" s="169"/>
      <c r="B293" s="170"/>
      <c r="C293" s="171"/>
      <c r="D293" s="172"/>
      <c r="E293" s="173"/>
      <c r="F293" s="173"/>
      <c r="G293" s="173"/>
      <c r="H293" s="170"/>
    </row>
    <row r="294" customFormat="false" ht="18.75" hidden="false" customHeight="true" outlineLevel="0" collapsed="false">
      <c r="A294" s="169"/>
      <c r="B294" s="170"/>
      <c r="C294" s="171"/>
      <c r="D294" s="172"/>
      <c r="E294" s="173"/>
      <c r="F294" s="173"/>
      <c r="G294" s="173"/>
      <c r="H294" s="170"/>
    </row>
    <row r="295" customFormat="false" ht="18.75" hidden="false" customHeight="true" outlineLevel="0" collapsed="false">
      <c r="A295" s="169"/>
      <c r="B295" s="170"/>
      <c r="C295" s="171"/>
      <c r="D295" s="172"/>
      <c r="E295" s="173"/>
      <c r="F295" s="173"/>
      <c r="G295" s="173"/>
      <c r="H295" s="170"/>
    </row>
    <row r="296" customFormat="false" ht="18.75" hidden="false" customHeight="true" outlineLevel="0" collapsed="false">
      <c r="A296" s="169"/>
      <c r="B296" s="170"/>
      <c r="C296" s="171"/>
      <c r="D296" s="172"/>
      <c r="E296" s="173"/>
      <c r="F296" s="173"/>
      <c r="G296" s="173"/>
      <c r="H296" s="170"/>
    </row>
    <row r="297" customFormat="false" ht="18.75" hidden="false" customHeight="true" outlineLevel="0" collapsed="false">
      <c r="A297" s="169"/>
      <c r="B297" s="170"/>
      <c r="C297" s="171"/>
      <c r="D297" s="172"/>
      <c r="E297" s="173"/>
      <c r="F297" s="173"/>
      <c r="G297" s="173"/>
      <c r="H297" s="170"/>
    </row>
    <row r="298" customFormat="false" ht="18.75" hidden="false" customHeight="true" outlineLevel="0" collapsed="false">
      <c r="A298" s="169"/>
      <c r="B298" s="170"/>
      <c r="C298" s="171"/>
      <c r="D298" s="172"/>
      <c r="E298" s="173"/>
      <c r="F298" s="173"/>
      <c r="G298" s="173"/>
      <c r="H298" s="170"/>
    </row>
    <row r="299" customFormat="false" ht="18.75" hidden="false" customHeight="true" outlineLevel="0" collapsed="false">
      <c r="A299" s="169"/>
      <c r="B299" s="170"/>
      <c r="C299" s="171"/>
      <c r="D299" s="172"/>
      <c r="E299" s="173"/>
      <c r="F299" s="173"/>
      <c r="G299" s="173"/>
      <c r="H299" s="170"/>
    </row>
    <row r="300" customFormat="false" ht="18.75" hidden="false" customHeight="true" outlineLevel="0" collapsed="false">
      <c r="A300" s="169"/>
      <c r="B300" s="170"/>
      <c r="C300" s="171"/>
      <c r="D300" s="172"/>
      <c r="E300" s="173"/>
      <c r="F300" s="173"/>
      <c r="G300" s="173"/>
      <c r="H300" s="170"/>
    </row>
    <row r="301" customFormat="false" ht="18.75" hidden="false" customHeight="true" outlineLevel="0" collapsed="false">
      <c r="A301" s="169"/>
      <c r="B301" s="170"/>
      <c r="C301" s="171"/>
      <c r="D301" s="172"/>
      <c r="E301" s="173"/>
      <c r="F301" s="173"/>
      <c r="G301" s="173"/>
      <c r="H301" s="170"/>
    </row>
    <row r="302" customFormat="false" ht="18.75" hidden="false" customHeight="true" outlineLevel="0" collapsed="false">
      <c r="A302" s="169"/>
      <c r="B302" s="170"/>
      <c r="C302" s="171"/>
      <c r="D302" s="172"/>
      <c r="E302" s="173"/>
      <c r="F302" s="173"/>
      <c r="G302" s="173"/>
      <c r="H302" s="170"/>
    </row>
    <row r="303" customFormat="false" ht="18.75" hidden="false" customHeight="true" outlineLevel="0" collapsed="false">
      <c r="A303" s="169"/>
      <c r="B303" s="170"/>
      <c r="C303" s="171"/>
      <c r="D303" s="172"/>
      <c r="E303" s="173"/>
      <c r="F303" s="173"/>
      <c r="G303" s="173"/>
      <c r="H303" s="170"/>
    </row>
    <row r="304" customFormat="false" ht="18.75" hidden="false" customHeight="true" outlineLevel="0" collapsed="false">
      <c r="A304" s="169"/>
      <c r="B304" s="170"/>
      <c r="C304" s="171"/>
      <c r="D304" s="172"/>
      <c r="E304" s="173"/>
      <c r="F304" s="173"/>
      <c r="G304" s="173"/>
      <c r="H304" s="170"/>
    </row>
    <row r="305" customFormat="false" ht="18.75" hidden="false" customHeight="true" outlineLevel="0" collapsed="false">
      <c r="A305" s="169"/>
      <c r="B305" s="170"/>
      <c r="C305" s="171"/>
      <c r="D305" s="172"/>
      <c r="E305" s="173"/>
      <c r="F305" s="173"/>
      <c r="G305" s="173"/>
      <c r="H305" s="170"/>
    </row>
    <row r="306" customFormat="false" ht="24" hidden="false" customHeight="true" outlineLevel="0" collapsed="false">
      <c r="A306" s="174"/>
      <c r="E306" s="174"/>
      <c r="F306" s="175"/>
    </row>
    <row r="307" customFormat="false" ht="24" hidden="false" customHeight="true" outlineLevel="0" collapsed="false">
      <c r="A307" s="174"/>
      <c r="E307" s="174"/>
      <c r="F307" s="175"/>
    </row>
    <row r="308" customFormat="false" ht="24" hidden="false" customHeight="true" outlineLevel="0" collapsed="false">
      <c r="A308" s="174"/>
      <c r="E308" s="174"/>
      <c r="F308" s="175"/>
    </row>
    <row r="309" customFormat="false" ht="25.5" hidden="false" customHeight="true" outlineLevel="0" collapsed="false">
      <c r="A309" s="176"/>
      <c r="F309" s="177"/>
    </row>
  </sheetData>
  <mergeCells count="10">
    <mergeCell ref="A1:F1"/>
    <mergeCell ref="B2:C2"/>
    <mergeCell ref="B3:C3"/>
    <mergeCell ref="B4:C4"/>
    <mergeCell ref="F4:H4"/>
    <mergeCell ref="A56:D56"/>
    <mergeCell ref="A57:D57"/>
    <mergeCell ref="A58:D58"/>
    <mergeCell ref="A59:E59"/>
    <mergeCell ref="F59:H59"/>
  </mergeCells>
  <conditionalFormatting sqref="F6:G305">
    <cfRule type="expression" priority="2" aboveAverage="0" equalAverage="0" bottom="0" percent="0" rank="0" text="" dxfId="15">
      <formula>N($F6)&lt;0</formula>
    </cfRule>
  </conditionalFormatting>
  <conditionalFormatting sqref="F6:G55">
    <cfRule type="expression" priority="3" aboveAverage="0" equalAverage="0" bottom="0" percent="0" rank="0" text="" dxfId="15">
      <formula>N($F6)&lt;0</formula>
    </cfRule>
  </conditionalFormatting>
  <dataValidations count="2">
    <dataValidation allowBlank="true" errorStyle="stop" operator="between" showDropDown="false" showErrorMessage="false" showInputMessage="false" sqref="B2" type="list">
      <formula1>_自动清单!$E$4:$E$203</formula1>
      <formula2>0</formula2>
    </dataValidation>
    <dataValidation allowBlank="true" errorStyle="stop" operator="between" showDropDown="false" showErrorMessage="false" showInputMessage="false" sqref="H3" type="list">
      <formula1>"含税,不含税"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3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5" min="3" style="0" width="30"/>
  </cols>
  <sheetData>
    <row r="1" customFormat="false" ht="30" hidden="false" customHeight="true" outlineLevel="0" collapsed="false">
      <c r="A1" s="20" t="s">
        <v>856</v>
      </c>
      <c r="B1" s="20"/>
      <c r="C1" s="20"/>
      <c r="D1" s="20"/>
      <c r="E1" s="20"/>
    </row>
    <row r="2" customFormat="false" ht="18" hidden="false" customHeight="true" outlineLevel="0" collapsed="false">
      <c r="A2" s="21" t="s">
        <v>857</v>
      </c>
      <c r="B2" s="21"/>
      <c r="C2" s="21"/>
      <c r="D2" s="21"/>
      <c r="E2" s="21"/>
    </row>
    <row r="3" customFormat="false" ht="33.75" hidden="false" customHeight="true" outlineLevel="0" collapsed="false">
      <c r="A3" s="37" t="s">
        <v>3</v>
      </c>
      <c r="B3" s="37" t="s">
        <v>858</v>
      </c>
      <c r="C3" s="37" t="s">
        <v>859</v>
      </c>
      <c r="D3" s="37" t="s">
        <v>860</v>
      </c>
      <c r="E3" s="37" t="s">
        <v>861</v>
      </c>
    </row>
    <row r="4" customFormat="false" ht="31.5" hidden="false" customHeight="true" outlineLevel="0" collapsed="false">
      <c r="A4" s="19" t="n">
        <v>1</v>
      </c>
      <c r="B4" s="18" t="s">
        <v>862</v>
      </c>
      <c r="C4" s="66" t="s">
        <v>863</v>
      </c>
      <c r="D4" s="66" t="s">
        <v>864</v>
      </c>
      <c r="E4" s="178" t="s">
        <v>865</v>
      </c>
    </row>
    <row r="5" customFormat="false" ht="31.5" hidden="false" customHeight="true" outlineLevel="0" collapsed="false">
      <c r="A5" s="19" t="n">
        <v>2</v>
      </c>
      <c r="B5" s="18" t="s">
        <v>866</v>
      </c>
      <c r="C5" s="66" t="s">
        <v>863</v>
      </c>
      <c r="D5" s="66" t="s">
        <v>867</v>
      </c>
      <c r="E5" s="178" t="s">
        <v>865</v>
      </c>
    </row>
    <row r="6" customFormat="false" ht="31.5" hidden="false" customHeight="true" outlineLevel="0" collapsed="false">
      <c r="A6" s="19" t="n">
        <v>3</v>
      </c>
      <c r="B6" s="18" t="s">
        <v>868</v>
      </c>
      <c r="C6" s="66" t="s">
        <v>863</v>
      </c>
      <c r="D6" s="66" t="s">
        <v>869</v>
      </c>
      <c r="E6" s="178" t="s">
        <v>865</v>
      </c>
    </row>
    <row r="7" customFormat="false" ht="31.5" hidden="false" customHeight="true" outlineLevel="0" collapsed="false">
      <c r="A7" s="19" t="n">
        <v>4</v>
      </c>
      <c r="B7" s="18" t="s">
        <v>870</v>
      </c>
      <c r="C7" s="66" t="s">
        <v>863</v>
      </c>
      <c r="D7" s="66" t="s">
        <v>871</v>
      </c>
      <c r="E7" s="178" t="s">
        <v>865</v>
      </c>
    </row>
    <row r="8" customFormat="false" ht="31.5" hidden="false" customHeight="true" outlineLevel="0" collapsed="false">
      <c r="A8" s="19" t="n">
        <v>5</v>
      </c>
      <c r="B8" s="18" t="s">
        <v>872</v>
      </c>
      <c r="C8" s="66" t="s">
        <v>863</v>
      </c>
      <c r="D8" s="66" t="s">
        <v>873</v>
      </c>
      <c r="E8" s="178" t="s">
        <v>865</v>
      </c>
    </row>
    <row r="9" customFormat="false" ht="31.5" hidden="false" customHeight="true" outlineLevel="0" collapsed="false">
      <c r="A9" s="19" t="n">
        <v>6</v>
      </c>
      <c r="B9" s="18" t="s">
        <v>300</v>
      </c>
      <c r="C9" s="66" t="s">
        <v>874</v>
      </c>
      <c r="D9" s="66" t="s">
        <v>875</v>
      </c>
      <c r="E9" s="178" t="s">
        <v>865</v>
      </c>
    </row>
    <row r="10" customFormat="false" ht="31.5" hidden="false" customHeight="true" outlineLevel="0" collapsed="false">
      <c r="A10" s="19" t="n">
        <v>7</v>
      </c>
      <c r="B10" s="18" t="s">
        <v>305</v>
      </c>
      <c r="C10" s="66" t="s">
        <v>876</v>
      </c>
      <c r="D10" s="66" t="s">
        <v>875</v>
      </c>
      <c r="E10" s="178" t="s">
        <v>865</v>
      </c>
    </row>
    <row r="11" customFormat="false" ht="31.5" hidden="false" customHeight="true" outlineLevel="0" collapsed="false">
      <c r="A11" s="19" t="n">
        <v>8</v>
      </c>
      <c r="B11" s="18" t="s">
        <v>877</v>
      </c>
      <c r="C11" s="66" t="s">
        <v>878</v>
      </c>
      <c r="D11" s="66" t="s">
        <v>875</v>
      </c>
      <c r="E11" s="178" t="s">
        <v>865</v>
      </c>
    </row>
    <row r="12" customFormat="false" ht="31.5" hidden="false" customHeight="true" outlineLevel="0" collapsed="false">
      <c r="A12" s="19" t="n">
        <v>9</v>
      </c>
      <c r="B12" s="18" t="s">
        <v>879</v>
      </c>
      <c r="C12" s="66" t="s">
        <v>880</v>
      </c>
      <c r="D12" s="66" t="s">
        <v>881</v>
      </c>
      <c r="E12" s="178" t="s">
        <v>865</v>
      </c>
    </row>
    <row r="13" customFormat="false" ht="31.5" hidden="false" customHeight="true" outlineLevel="0" collapsed="false">
      <c r="A13" s="19" t="n">
        <v>10</v>
      </c>
      <c r="B13" s="18" t="s">
        <v>882</v>
      </c>
      <c r="C13" s="66" t="s">
        <v>883</v>
      </c>
      <c r="D13" s="66" t="s">
        <v>863</v>
      </c>
      <c r="E13" s="178" t="s">
        <v>884</v>
      </c>
    </row>
    <row r="14" customFormat="false" ht="31.5" hidden="false" customHeight="true" outlineLevel="0" collapsed="false">
      <c r="A14" s="19" t="n">
        <v>11</v>
      </c>
      <c r="B14" s="18" t="s">
        <v>885</v>
      </c>
      <c r="C14" s="66" t="s">
        <v>875</v>
      </c>
      <c r="D14" s="66" t="s">
        <v>886</v>
      </c>
      <c r="E14" s="178" t="s">
        <v>884</v>
      </c>
    </row>
    <row r="15" customFormat="false" ht="31.5" hidden="false" customHeight="true" outlineLevel="0" collapsed="false">
      <c r="A15" s="19" t="n">
        <v>12</v>
      </c>
      <c r="B15" s="18" t="s">
        <v>887</v>
      </c>
      <c r="C15" s="66" t="s">
        <v>888</v>
      </c>
      <c r="D15" s="66" t="s">
        <v>886</v>
      </c>
      <c r="E15" s="178" t="s">
        <v>884</v>
      </c>
    </row>
    <row r="16" customFormat="false" ht="31.5" hidden="false" customHeight="true" outlineLevel="0" collapsed="false">
      <c r="A16" s="19" t="n">
        <v>13</v>
      </c>
      <c r="B16" s="18" t="s">
        <v>889</v>
      </c>
      <c r="C16" s="66" t="s">
        <v>890</v>
      </c>
      <c r="D16" s="66" t="s">
        <v>875</v>
      </c>
      <c r="E16" s="178" t="s">
        <v>891</v>
      </c>
    </row>
    <row r="17" customFormat="false" ht="31.5" hidden="false" customHeight="true" outlineLevel="0" collapsed="false">
      <c r="A17" s="19" t="n">
        <v>14</v>
      </c>
      <c r="B17" s="18" t="s">
        <v>892</v>
      </c>
      <c r="C17" s="66" t="s">
        <v>893</v>
      </c>
      <c r="D17" s="66" t="s">
        <v>886</v>
      </c>
      <c r="E17" s="178" t="s">
        <v>894</v>
      </c>
    </row>
    <row r="18" customFormat="false" ht="31.5" hidden="false" customHeight="true" outlineLevel="0" collapsed="false">
      <c r="A18" s="19" t="n">
        <v>15</v>
      </c>
      <c r="B18" s="18" t="s">
        <v>895</v>
      </c>
      <c r="C18" s="66" t="s">
        <v>896</v>
      </c>
      <c r="D18" s="66" t="s">
        <v>897</v>
      </c>
      <c r="E18" s="18" t="s">
        <v>898</v>
      </c>
    </row>
    <row r="19" customFormat="false" ht="31.5" hidden="false" customHeight="true" outlineLevel="0" collapsed="false">
      <c r="A19" s="19" t="n">
        <v>16</v>
      </c>
      <c r="B19" s="18" t="s">
        <v>899</v>
      </c>
      <c r="C19" s="66" t="s">
        <v>900</v>
      </c>
      <c r="D19" s="66" t="s">
        <v>901</v>
      </c>
      <c r="E19" s="18" t="s">
        <v>898</v>
      </c>
    </row>
    <row r="20" customFormat="false" ht="31.5" hidden="false" customHeight="true" outlineLevel="0" collapsed="false">
      <c r="A20" s="19" t="n">
        <v>17</v>
      </c>
      <c r="B20" s="18" t="s">
        <v>902</v>
      </c>
      <c r="C20" s="66" t="s">
        <v>903</v>
      </c>
      <c r="D20" s="66" t="s">
        <v>904</v>
      </c>
      <c r="E20" s="18" t="s">
        <v>905</v>
      </c>
    </row>
    <row r="21" customFormat="false" ht="31.5" hidden="false" customHeight="true" outlineLevel="0" collapsed="false">
      <c r="A21" s="19" t="n">
        <v>18</v>
      </c>
      <c r="B21" s="18" t="s">
        <v>906</v>
      </c>
      <c r="C21" s="66" t="s">
        <v>907</v>
      </c>
      <c r="D21" s="66" t="s">
        <v>908</v>
      </c>
      <c r="E21" s="18" t="s">
        <v>909</v>
      </c>
    </row>
    <row r="22" customFormat="false" ht="31.5" hidden="false" customHeight="true" outlineLevel="0" collapsed="false">
      <c r="A22" s="19" t="n">
        <v>19</v>
      </c>
      <c r="B22" s="18" t="s">
        <v>910</v>
      </c>
      <c r="C22" s="18" t="s">
        <v>911</v>
      </c>
      <c r="D22" s="18" t="s">
        <v>911</v>
      </c>
      <c r="E22" s="18" t="s">
        <v>912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2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2" activeCellId="0" sqref="A2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10" min="5" style="0" width="15"/>
    <col collapsed="false" customWidth="true" hidden="false" outlineLevel="0" max="12" min="12" style="0" width="11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20" t="s">
        <v>913</v>
      </c>
      <c r="B1" s="20"/>
      <c r="C1" s="20"/>
      <c r="D1" s="20"/>
      <c r="E1" s="20"/>
      <c r="F1" s="20"/>
      <c r="G1" s="20"/>
      <c r="H1" s="20"/>
      <c r="I1" s="20"/>
      <c r="J1" s="20"/>
      <c r="L1" s="77" t="s">
        <v>914</v>
      </c>
      <c r="M1" s="143" t="n">
        <f aca="false">IF($H$2="",DATE(1900,1,1),$H$2)</f>
        <v>46266</v>
      </c>
    </row>
    <row r="2" customFormat="false" ht="21.75" hidden="false" customHeight="true" outlineLevel="0" collapsed="false">
      <c r="A2" s="179" t="s">
        <v>915</v>
      </c>
      <c r="B2" s="179"/>
      <c r="C2" s="179"/>
      <c r="D2" s="179"/>
      <c r="E2" s="179"/>
      <c r="F2" s="179"/>
      <c r="G2" s="137" t="s">
        <v>916</v>
      </c>
      <c r="H2" s="76" t="n">
        <v>46266</v>
      </c>
      <c r="I2" s="137" t="s">
        <v>917</v>
      </c>
      <c r="J2" s="76" t="n">
        <v>46295</v>
      </c>
      <c r="L2" s="77" t="s">
        <v>918</v>
      </c>
      <c r="M2" s="143" t="n">
        <f aca="false">IF($J$2="",DATE(2999,12,31),$J$2)</f>
        <v>46295</v>
      </c>
    </row>
    <row r="3" customFormat="false" ht="33.75" hidden="false" customHeight="true" outlineLevel="0" collapsed="false">
      <c r="A3" s="37" t="s">
        <v>425</v>
      </c>
      <c r="B3" s="37" t="s">
        <v>426</v>
      </c>
      <c r="C3" s="37" t="s">
        <v>427</v>
      </c>
      <c r="D3" s="37" t="s">
        <v>429</v>
      </c>
      <c r="E3" s="37" t="s">
        <v>919</v>
      </c>
      <c r="F3" s="37" t="s">
        <v>920</v>
      </c>
      <c r="G3" s="37" t="s">
        <v>921</v>
      </c>
      <c r="H3" s="37" t="s">
        <v>922</v>
      </c>
      <c r="I3" s="37" t="s">
        <v>923</v>
      </c>
      <c r="J3" s="37" t="s">
        <v>924</v>
      </c>
    </row>
    <row r="4" customFormat="false" ht="18" hidden="false" customHeight="true" outlineLevel="0" collapsed="false">
      <c r="A4" s="99" t="str">
        <f aca="false">IF($B4="","",IFERROR(INDEX(科目表!$A$4:$A$81,MATCH($B4,科目表!$B$4:$B$81,0)),""))</f>
        <v>1001</v>
      </c>
      <c r="B4" s="18" t="s">
        <v>441</v>
      </c>
      <c r="C4" s="67" t="str">
        <f aca="false">IF($B4="","",IFERROR(INDEX(科目表!$C$4:$C$81,MATCH($B4,科目表!$B$4:$B$81,0)),""))</f>
        <v>资产</v>
      </c>
      <c r="D4" s="67" t="str">
        <f aca="false">IF($B4="","",IFERROR(INDEX(科目表!$E$4:$E$81,MATCH($B4,科目表!$B$4:$B$81,0)),""))</f>
        <v>货币资金</v>
      </c>
      <c r="E4" s="70" t="n">
        <f aca="false">IF($B4="","",MAX(0,ROUND(SUMIFS(期初余额!$D$4:$D$81,期初余额!$B$4:$B$81,$B4)-SUMIFS(期初余额!$E$4:$E$81,期初余额!$B$4:$B$81,$B4)+SUMIFS(记账凭证!$H$4:$H$3609,记账凭证!$E$4:$E$3609,$B4,记账凭证!$B$4:$B$3609,"&lt;"&amp;$M$1)-SUMIFS(记账凭证!$I$4:$I$3609,记账凭证!$E$4:$E$3609,$B4,记账凭证!$B$4:$B$3609,"&lt;"&amp;$M$1),2)))</f>
        <v>0</v>
      </c>
      <c r="F4" s="70" t="n">
        <f aca="false">IF($B4="","",MAX(0,ROUND(-(SUMIFS(期初余额!$D$4:$D$81,期初余额!$B$4:$B$81,$B4)-SUMIFS(期初余额!$E$4:$E$81,期初余额!$B$4:$B$81,$B4)+SUMIFS(记账凭证!$H$4:$H$3609,记账凭证!$E$4:$E$3609,$B4,记账凭证!$B$4:$B$3609,"&lt;"&amp;$M$1)-SUMIFS(记账凭证!$I$4:$I$3609,记账凭证!$E$4:$E$3609,$B4,记账凭证!$B$4:$B$3609,"&lt;"&amp;$M$1)),2)))</f>
        <v>-0</v>
      </c>
      <c r="G4" s="70" t="n">
        <f aca="false">IF($B4="","",ROUND(SUMIFS(记账凭证!$H$4:$H$3609,记账凭证!$E$4:$E$3609,$B4,记账凭证!$B$4:$B$3609,"&gt;="&amp;$M$1,记账凭证!$B$4:$B$3609,"&lt;="&amp;$M$2),2))</f>
        <v>0</v>
      </c>
      <c r="H4" s="70" t="n">
        <f aca="false">IF($B4="","",ROUND(SUMIFS(记账凭证!$I$4:$I$3609,记账凭证!$E$4:$E$3609,$B4,记账凭证!$B$4:$B$3609,"&gt;="&amp;$M$1,记账凭证!$B$4:$B$3609,"&lt;="&amp;$M$2),2))</f>
        <v>0</v>
      </c>
      <c r="I4" s="70" t="n">
        <f aca="false">IF($B4="","",MAX(0,ROUND($E4-$F4+$G4-$H4,2)))</f>
        <v>0</v>
      </c>
      <c r="J4" s="70" t="n">
        <f aca="false">IF($B4="","",MAX(0,ROUND($F4-$E4-$G4+$H4,2)))</f>
        <v>0</v>
      </c>
    </row>
    <row r="5" customFormat="false" ht="18" hidden="false" customHeight="true" outlineLevel="0" collapsed="false">
      <c r="A5" s="99" t="str">
        <f aca="false">IF($B5="","",IFERROR(INDEX(科目表!$A$4:$A$81,MATCH($B5,科目表!$B$4:$B$81,0)),""))</f>
        <v>1002</v>
      </c>
      <c r="B5" s="18" t="s">
        <v>449</v>
      </c>
      <c r="C5" s="67" t="str">
        <f aca="false">IF($B5="","",IFERROR(INDEX(科目表!$C$4:$C$81,MATCH($B5,科目表!$B$4:$B$81,0)),""))</f>
        <v>资产</v>
      </c>
      <c r="D5" s="67" t="str">
        <f aca="false">IF($B5="","",IFERROR(INDEX(科目表!$E$4:$E$81,MATCH($B5,科目表!$B$4:$B$81,0)),""))</f>
        <v>货币资金</v>
      </c>
      <c r="E5" s="70" t="n">
        <f aca="false">IF($B5="","",MAX(0,ROUND(SUMIFS(期初余额!$D$4:$D$81,期初余额!$B$4:$B$81,$B5)-SUMIFS(期初余额!$E$4:$E$81,期初余额!$B$4:$B$81,$B5)+SUMIFS(记账凭证!$H$4:$H$3609,记账凭证!$E$4:$E$3609,$B5,记账凭证!$B$4:$B$3609,"&lt;"&amp;$M$1)-SUMIFS(记账凭证!$I$4:$I$3609,记账凭证!$E$4:$E$3609,$B5,记账凭证!$B$4:$B$3609,"&lt;"&amp;$M$1),2)))</f>
        <v>0</v>
      </c>
      <c r="F5" s="70" t="n">
        <f aca="false">IF($B5="","",MAX(0,ROUND(-(SUMIFS(期初余额!$D$4:$D$81,期初余额!$B$4:$B$81,$B5)-SUMIFS(期初余额!$E$4:$E$81,期初余额!$B$4:$B$81,$B5)+SUMIFS(记账凭证!$H$4:$H$3609,记账凭证!$E$4:$E$3609,$B5,记账凭证!$B$4:$B$3609,"&lt;"&amp;$M$1)-SUMIFS(记账凭证!$I$4:$I$3609,记账凭证!$E$4:$E$3609,$B5,记账凭证!$B$4:$B$3609,"&lt;"&amp;$M$1)),2)))</f>
        <v>-0</v>
      </c>
      <c r="G5" s="70" t="n">
        <f aca="false">IF($B5="","",ROUND(SUMIFS(记账凭证!$H$4:$H$3609,记账凭证!$E$4:$E$3609,$B5,记账凭证!$B$4:$B$3609,"&gt;="&amp;$M$1,记账凭证!$B$4:$B$3609,"&lt;="&amp;$M$2),2))</f>
        <v>320800</v>
      </c>
      <c r="H5" s="70" t="n">
        <f aca="false">IF($B5="","",ROUND(SUMIFS(记账凭证!$I$4:$I$3609,记账凭证!$E$4:$E$3609,$B5,记账凭证!$B$4:$B$3609,"&gt;="&amp;$M$1,记账凭证!$B$4:$B$3609,"&lt;="&amp;$M$2),2))</f>
        <v>67400</v>
      </c>
      <c r="I5" s="70" t="n">
        <f aca="false">IF($B5="","",MAX(0,ROUND($E5-$F5+$G5-$H5,2)))</f>
        <v>253400</v>
      </c>
      <c r="J5" s="70" t="n">
        <f aca="false">IF($B5="","",MAX(0,ROUND($F5-$E5-$G5+$H5,2)))</f>
        <v>0</v>
      </c>
    </row>
    <row r="6" customFormat="false" ht="18" hidden="false" customHeight="true" outlineLevel="0" collapsed="false">
      <c r="A6" s="99" t="str">
        <f aca="false">IF($B6="","",IFERROR(INDEX(科目表!$A$4:$A$81,MATCH($B6,科目表!$B$4:$B$81,0)),""))</f>
        <v>1012</v>
      </c>
      <c r="B6" s="18" t="s">
        <v>398</v>
      </c>
      <c r="C6" s="67" t="str">
        <f aca="false">IF($B6="","",IFERROR(INDEX(科目表!$C$4:$C$81,MATCH($B6,科目表!$B$4:$B$81,0)),""))</f>
        <v>资产</v>
      </c>
      <c r="D6" s="67" t="str">
        <f aca="false">IF($B6="","",IFERROR(INDEX(科目表!$E$4:$E$81,MATCH($B6,科目表!$B$4:$B$81,0)),""))</f>
        <v>货币资金</v>
      </c>
      <c r="E6" s="70" t="n">
        <f aca="false">IF($B6="","",MAX(0,ROUND(SUMIFS(期初余额!$D$4:$D$81,期初余额!$B$4:$B$81,$B6)-SUMIFS(期初余额!$E$4:$E$81,期初余额!$B$4:$B$81,$B6)+SUMIFS(记账凭证!$H$4:$H$3609,记账凭证!$E$4:$E$3609,$B6,记账凭证!$B$4:$B$3609,"&lt;"&amp;$M$1)-SUMIFS(记账凭证!$I$4:$I$3609,记账凭证!$E$4:$E$3609,$B6,记账凭证!$B$4:$B$3609,"&lt;"&amp;$M$1),2)))</f>
        <v>0</v>
      </c>
      <c r="F6" s="70" t="n">
        <f aca="false">IF($B6="","",MAX(0,ROUND(-(SUMIFS(期初余额!$D$4:$D$81,期初余额!$B$4:$B$81,$B6)-SUMIFS(期初余额!$E$4:$E$81,期初余额!$B$4:$B$81,$B6)+SUMIFS(记账凭证!$H$4:$H$3609,记账凭证!$E$4:$E$3609,$B6,记账凭证!$B$4:$B$3609,"&lt;"&amp;$M$1)-SUMIFS(记账凭证!$I$4:$I$3609,记账凭证!$E$4:$E$3609,$B6,记账凭证!$B$4:$B$3609,"&lt;"&amp;$M$1)),2)))</f>
        <v>-0</v>
      </c>
      <c r="G6" s="70" t="n">
        <f aca="false">IF($B6="","",ROUND(SUMIFS(记账凭证!$H$4:$H$3609,记账凭证!$E$4:$E$3609,$B6,记账凭证!$B$4:$B$3609,"&gt;="&amp;$M$1,记账凭证!$B$4:$B$3609,"&lt;="&amp;$M$2),2))</f>
        <v>196680</v>
      </c>
      <c r="H6" s="70" t="n">
        <f aca="false">IF($B6="","",ROUND(SUMIFS(记账凭证!$I$4:$I$3609,记账凭证!$E$4:$E$3609,$B6,记账凭证!$B$4:$B$3609,"&gt;="&amp;$M$1,记账凭证!$B$4:$B$3609,"&lt;="&amp;$M$2),2))</f>
        <v>269644.51</v>
      </c>
      <c r="I6" s="70" t="n">
        <f aca="false">IF($B6="","",MAX(0,ROUND($E6-$F6+$G6-$H6,2)))</f>
        <v>0</v>
      </c>
      <c r="J6" s="70" t="n">
        <f aca="false">IF($B6="","",MAX(0,ROUND($F6-$E6-$G6+$H6,2)))</f>
        <v>72964.51</v>
      </c>
    </row>
    <row r="7" customFormat="false" ht="18" hidden="false" customHeight="true" outlineLevel="0" collapsed="false">
      <c r="A7" s="99" t="str">
        <f aca="false">IF($B7="","",IFERROR(INDEX(科目表!$A$4:$A$81,MATCH($B7,科目表!$B$4:$B$81,0)),""))</f>
        <v>1121</v>
      </c>
      <c r="B7" s="18" t="s">
        <v>462</v>
      </c>
      <c r="C7" s="67" t="str">
        <f aca="false">IF($B7="","",IFERROR(INDEX(科目表!$C$4:$C$81,MATCH($B7,科目表!$B$4:$B$81,0)),""))</f>
        <v>资产</v>
      </c>
      <c r="D7" s="67" t="str">
        <f aca="false">IF($B7="","",IFERROR(INDEX(科目表!$E$4:$E$81,MATCH($B7,科目表!$B$4:$B$81,0)),""))</f>
        <v>应收票据</v>
      </c>
      <c r="E7" s="70" t="n">
        <f aca="false">IF($B7="","",MAX(0,ROUND(SUMIFS(期初余额!$D$4:$D$81,期初余额!$B$4:$B$81,$B7)-SUMIFS(期初余额!$E$4:$E$81,期初余额!$B$4:$B$81,$B7)+SUMIFS(记账凭证!$H$4:$H$3609,记账凭证!$E$4:$E$3609,$B7,记账凭证!$B$4:$B$3609,"&lt;"&amp;$M$1)-SUMIFS(记账凭证!$I$4:$I$3609,记账凭证!$E$4:$E$3609,$B7,记账凭证!$B$4:$B$3609,"&lt;"&amp;$M$1),2)))</f>
        <v>0</v>
      </c>
      <c r="F7" s="70" t="n">
        <f aca="false">IF($B7="","",MAX(0,ROUND(-(SUMIFS(期初余额!$D$4:$D$81,期初余额!$B$4:$B$81,$B7)-SUMIFS(期初余额!$E$4:$E$81,期初余额!$B$4:$B$81,$B7)+SUMIFS(记账凭证!$H$4:$H$3609,记账凭证!$E$4:$E$3609,$B7,记账凭证!$B$4:$B$3609,"&lt;"&amp;$M$1)-SUMIFS(记账凭证!$I$4:$I$3609,记账凭证!$E$4:$E$3609,$B7,记账凭证!$B$4:$B$3609,"&lt;"&amp;$M$1)),2)))</f>
        <v>-0</v>
      </c>
      <c r="G7" s="70" t="n">
        <f aca="false">IF($B7="","",ROUND(SUMIFS(记账凭证!$H$4:$H$3609,记账凭证!$E$4:$E$3609,$B7,记账凭证!$B$4:$B$3609,"&gt;="&amp;$M$1,记账凭证!$B$4:$B$3609,"&lt;="&amp;$M$2),2))</f>
        <v>0</v>
      </c>
      <c r="H7" s="70" t="n">
        <f aca="false">IF($B7="","",ROUND(SUMIFS(记账凭证!$I$4:$I$3609,记账凭证!$E$4:$E$3609,$B7,记账凭证!$B$4:$B$3609,"&gt;="&amp;$M$1,记账凭证!$B$4:$B$3609,"&lt;="&amp;$M$2),2))</f>
        <v>0</v>
      </c>
      <c r="I7" s="70" t="n">
        <f aca="false">IF($B7="","",MAX(0,ROUND($E7-$F7+$G7-$H7,2)))</f>
        <v>0</v>
      </c>
      <c r="J7" s="70" t="n">
        <f aca="false">IF($B7="","",MAX(0,ROUND($F7-$E7-$G7+$H7,2)))</f>
        <v>0</v>
      </c>
    </row>
    <row r="8" customFormat="false" ht="18" hidden="false" customHeight="true" outlineLevel="0" collapsed="false">
      <c r="A8" s="99" t="str">
        <f aca="false">IF($B8="","",IFERROR(INDEX(科目表!$A$4:$A$81,MATCH($B8,科目表!$B$4:$B$81,0)),""))</f>
        <v>1122</v>
      </c>
      <c r="B8" s="18" t="s">
        <v>267</v>
      </c>
      <c r="C8" s="67" t="str">
        <f aca="false">IF($B8="","",IFERROR(INDEX(科目表!$C$4:$C$81,MATCH($B8,科目表!$B$4:$B$81,0)),""))</f>
        <v>资产</v>
      </c>
      <c r="D8" s="67" t="str">
        <f aca="false">IF($B8="","",IFERROR(INDEX(科目表!$E$4:$E$81,MATCH($B8,科目表!$B$4:$B$81,0)),""))</f>
        <v>应收账款</v>
      </c>
      <c r="E8" s="70" t="n">
        <f aca="false">IF($B8="","",MAX(0,ROUND(SUMIFS(期初余额!$D$4:$D$81,期初余额!$B$4:$B$81,$B8)-SUMIFS(期初余额!$E$4:$E$81,期初余额!$B$4:$B$81,$B8)+SUMIFS(记账凭证!$H$4:$H$3609,记账凭证!$E$4:$E$3609,$B8,记账凭证!$B$4:$B$3609,"&lt;"&amp;$M$1)-SUMIFS(记账凭证!$I$4:$I$3609,记账凭证!$E$4:$E$3609,$B8,记账凭证!$B$4:$B$3609,"&lt;"&amp;$M$1),2)))</f>
        <v>0</v>
      </c>
      <c r="F8" s="70" t="n">
        <f aca="false">IF($B8="","",MAX(0,ROUND(-(SUMIFS(期初余额!$D$4:$D$81,期初余额!$B$4:$B$81,$B8)-SUMIFS(期初余额!$E$4:$E$81,期初余额!$B$4:$B$81,$B8)+SUMIFS(记账凭证!$H$4:$H$3609,记账凭证!$E$4:$E$3609,$B8,记账凭证!$B$4:$B$3609,"&lt;"&amp;$M$1)-SUMIFS(记账凭证!$I$4:$I$3609,记账凭证!$E$4:$E$3609,$B8,记账凭证!$B$4:$B$3609,"&lt;"&amp;$M$1)),2)))</f>
        <v>-0</v>
      </c>
      <c r="G8" s="70" t="n">
        <f aca="false">IF($B8="","",ROUND(SUMIFS(记账凭证!$H$4:$H$3609,记账凭证!$E$4:$E$3609,$B8,记账凭证!$B$4:$B$3609,"&gt;="&amp;$M$1,记账凭证!$B$4:$B$3609,"&lt;="&amp;$M$2),2))</f>
        <v>392</v>
      </c>
      <c r="H8" s="70" t="n">
        <f aca="false">IF($B8="","",ROUND(SUMIFS(记账凭证!$I$4:$I$3609,记账凭证!$E$4:$E$3609,$B8,记账凭证!$B$4:$B$3609,"&gt;="&amp;$M$1,记账凭证!$B$4:$B$3609,"&lt;="&amp;$M$2),2))</f>
        <v>37328</v>
      </c>
      <c r="I8" s="70" t="n">
        <f aca="false">IF($B8="","",MAX(0,ROUND($E8-$F8+$G8-$H8,2)))</f>
        <v>0</v>
      </c>
      <c r="J8" s="70" t="n">
        <f aca="false">IF($B8="","",MAX(0,ROUND($F8-$E8-$G8+$H8,2)))</f>
        <v>36936</v>
      </c>
    </row>
    <row r="9" customFormat="false" ht="18" hidden="false" customHeight="true" outlineLevel="0" collapsed="false">
      <c r="A9" s="99" t="str">
        <f aca="false">IF($B9="","",IFERROR(INDEX(科目表!$A$4:$A$81,MATCH($B9,科目表!$B$4:$B$81,0)),""))</f>
        <v>1123</v>
      </c>
      <c r="B9" s="18" t="s">
        <v>416</v>
      </c>
      <c r="C9" s="67" t="str">
        <f aca="false">IF($B9="","",IFERROR(INDEX(科目表!$C$4:$C$81,MATCH($B9,科目表!$B$4:$B$81,0)),""))</f>
        <v>资产</v>
      </c>
      <c r="D9" s="67" t="str">
        <f aca="false">IF($B9="","",IFERROR(INDEX(科目表!$E$4:$E$81,MATCH($B9,科目表!$B$4:$B$81,0)),""))</f>
        <v>预付款项</v>
      </c>
      <c r="E9" s="70" t="n">
        <f aca="false">IF($B9="","",MAX(0,ROUND(SUMIFS(期初余额!$D$4:$D$81,期初余额!$B$4:$B$81,$B9)-SUMIFS(期初余额!$E$4:$E$81,期初余额!$B$4:$B$81,$B9)+SUMIFS(记账凭证!$H$4:$H$3609,记账凭证!$E$4:$E$3609,$B9,记账凭证!$B$4:$B$3609,"&lt;"&amp;$M$1)-SUMIFS(记账凭证!$I$4:$I$3609,记账凭证!$E$4:$E$3609,$B9,记账凭证!$B$4:$B$3609,"&lt;"&amp;$M$1),2)))</f>
        <v>0</v>
      </c>
      <c r="F9" s="70" t="n">
        <f aca="false">IF($B9="","",MAX(0,ROUND(-(SUMIFS(期初余额!$D$4:$D$81,期初余额!$B$4:$B$81,$B9)-SUMIFS(期初余额!$E$4:$E$81,期初余额!$B$4:$B$81,$B9)+SUMIFS(记账凭证!$H$4:$H$3609,记账凭证!$E$4:$E$3609,$B9,记账凭证!$B$4:$B$3609,"&lt;"&amp;$M$1)-SUMIFS(记账凭证!$I$4:$I$3609,记账凭证!$E$4:$E$3609,$B9,记账凭证!$B$4:$B$3609,"&lt;"&amp;$M$1)),2)))</f>
        <v>-0</v>
      </c>
      <c r="G9" s="70" t="n">
        <f aca="false">IF($B9="","",ROUND(SUMIFS(记账凭证!$H$4:$H$3609,记账凭证!$E$4:$E$3609,$B9,记账凭证!$B$4:$B$3609,"&gt;="&amp;$M$1,记账凭证!$B$4:$B$3609,"&lt;="&amp;$M$2),2))</f>
        <v>0</v>
      </c>
      <c r="H9" s="70" t="n">
        <f aca="false">IF($B9="","",ROUND(SUMIFS(记账凭证!$I$4:$I$3609,记账凭证!$E$4:$E$3609,$B9,记账凭证!$B$4:$B$3609,"&gt;="&amp;$M$1,记账凭证!$B$4:$B$3609,"&lt;="&amp;$M$2),2))</f>
        <v>4000</v>
      </c>
      <c r="I9" s="70" t="n">
        <f aca="false">IF($B9="","",MAX(0,ROUND($E9-$F9+$G9-$H9,2)))</f>
        <v>0</v>
      </c>
      <c r="J9" s="70" t="n">
        <f aca="false">IF($B9="","",MAX(0,ROUND($F9-$E9-$G9+$H9,2)))</f>
        <v>4000</v>
      </c>
    </row>
    <row r="10" customFormat="false" ht="18" hidden="false" customHeight="true" outlineLevel="0" collapsed="false">
      <c r="A10" s="99" t="str">
        <f aca="false">IF($B10="","",IFERROR(INDEX(科目表!$A$4:$A$81,MATCH($B10,科目表!$B$4:$B$81,0)),""))</f>
        <v>1131</v>
      </c>
      <c r="B10" s="18" t="s">
        <v>477</v>
      </c>
      <c r="C10" s="67" t="str">
        <f aca="false">IF($B10="","",IFERROR(INDEX(科目表!$C$4:$C$81,MATCH($B10,科目表!$B$4:$B$81,0)),""))</f>
        <v>资产</v>
      </c>
      <c r="D10" s="67" t="str">
        <f aca="false">IF($B10="","",IFERROR(INDEX(科目表!$E$4:$E$81,MATCH($B10,科目表!$B$4:$B$81,0)),""))</f>
        <v>应收股利</v>
      </c>
      <c r="E10" s="70" t="n">
        <f aca="false">IF($B10="","",MAX(0,ROUND(SUMIFS(期初余额!$D$4:$D$81,期初余额!$B$4:$B$81,$B10)-SUMIFS(期初余额!$E$4:$E$81,期初余额!$B$4:$B$81,$B10)+SUMIFS(记账凭证!$H$4:$H$3609,记账凭证!$E$4:$E$3609,$B10,记账凭证!$B$4:$B$3609,"&lt;"&amp;$M$1)-SUMIFS(记账凭证!$I$4:$I$3609,记账凭证!$E$4:$E$3609,$B10,记账凭证!$B$4:$B$3609,"&lt;"&amp;$M$1),2)))</f>
        <v>0</v>
      </c>
      <c r="F10" s="70" t="n">
        <f aca="false">IF($B10="","",MAX(0,ROUND(-(SUMIFS(期初余额!$D$4:$D$81,期初余额!$B$4:$B$81,$B10)-SUMIFS(期初余额!$E$4:$E$81,期初余额!$B$4:$B$81,$B10)+SUMIFS(记账凭证!$H$4:$H$3609,记账凭证!$E$4:$E$3609,$B10,记账凭证!$B$4:$B$3609,"&lt;"&amp;$M$1)-SUMIFS(记账凭证!$I$4:$I$3609,记账凭证!$E$4:$E$3609,$B10,记账凭证!$B$4:$B$3609,"&lt;"&amp;$M$1)),2)))</f>
        <v>-0</v>
      </c>
      <c r="G10" s="70" t="n">
        <f aca="false">IF($B10="","",ROUND(SUMIFS(记账凭证!$H$4:$H$3609,记账凭证!$E$4:$E$3609,$B10,记账凭证!$B$4:$B$3609,"&gt;="&amp;$M$1,记账凭证!$B$4:$B$3609,"&lt;="&amp;$M$2),2))</f>
        <v>0</v>
      </c>
      <c r="H10" s="70" t="n">
        <f aca="false">IF($B10="","",ROUND(SUMIFS(记账凭证!$I$4:$I$3609,记账凭证!$E$4:$E$3609,$B10,记账凭证!$B$4:$B$3609,"&gt;="&amp;$M$1,记账凭证!$B$4:$B$3609,"&lt;="&amp;$M$2),2))</f>
        <v>0</v>
      </c>
      <c r="I10" s="70" t="n">
        <f aca="false">IF($B10="","",MAX(0,ROUND($E10-$F10+$G10-$H10,2)))</f>
        <v>0</v>
      </c>
      <c r="J10" s="70" t="n">
        <f aca="false">IF($B10="","",MAX(0,ROUND($F10-$E10-$G10+$H10,2)))</f>
        <v>0</v>
      </c>
    </row>
    <row r="11" customFormat="false" ht="18" hidden="false" customHeight="true" outlineLevel="0" collapsed="false">
      <c r="A11" s="99" t="str">
        <f aca="false">IF($B11="","",IFERROR(INDEX(科目表!$A$4:$A$81,MATCH($B11,科目表!$B$4:$B$81,0)),""))</f>
        <v>1132</v>
      </c>
      <c r="B11" s="18" t="s">
        <v>484</v>
      </c>
      <c r="C11" s="67" t="str">
        <f aca="false">IF($B11="","",IFERROR(INDEX(科目表!$C$4:$C$81,MATCH($B11,科目表!$B$4:$B$81,0)),""))</f>
        <v>资产</v>
      </c>
      <c r="D11" s="67" t="str">
        <f aca="false">IF($B11="","",IFERROR(INDEX(科目表!$E$4:$E$81,MATCH($B11,科目表!$B$4:$B$81,0)),""))</f>
        <v>应收利息</v>
      </c>
      <c r="E11" s="70" t="n">
        <f aca="false">IF($B11="","",MAX(0,ROUND(SUMIFS(期初余额!$D$4:$D$81,期初余额!$B$4:$B$81,$B11)-SUMIFS(期初余额!$E$4:$E$81,期初余额!$B$4:$B$81,$B11)+SUMIFS(记账凭证!$H$4:$H$3609,记账凭证!$E$4:$E$3609,$B11,记账凭证!$B$4:$B$3609,"&lt;"&amp;$M$1)-SUMIFS(记账凭证!$I$4:$I$3609,记账凭证!$E$4:$E$3609,$B11,记账凭证!$B$4:$B$3609,"&lt;"&amp;$M$1),2)))</f>
        <v>0</v>
      </c>
      <c r="F11" s="70" t="n">
        <f aca="false">IF($B11="","",MAX(0,ROUND(-(SUMIFS(期初余额!$D$4:$D$81,期初余额!$B$4:$B$81,$B11)-SUMIFS(期初余额!$E$4:$E$81,期初余额!$B$4:$B$81,$B11)+SUMIFS(记账凭证!$H$4:$H$3609,记账凭证!$E$4:$E$3609,$B11,记账凭证!$B$4:$B$3609,"&lt;"&amp;$M$1)-SUMIFS(记账凭证!$I$4:$I$3609,记账凭证!$E$4:$E$3609,$B11,记账凭证!$B$4:$B$3609,"&lt;"&amp;$M$1)),2)))</f>
        <v>-0</v>
      </c>
      <c r="G11" s="70" t="n">
        <f aca="false">IF($B11="","",ROUND(SUMIFS(记账凭证!$H$4:$H$3609,记账凭证!$E$4:$E$3609,$B11,记账凭证!$B$4:$B$3609,"&gt;="&amp;$M$1,记账凭证!$B$4:$B$3609,"&lt;="&amp;$M$2),2))</f>
        <v>0</v>
      </c>
      <c r="H11" s="70" t="n">
        <f aca="false">IF($B11="","",ROUND(SUMIFS(记账凭证!$I$4:$I$3609,记账凭证!$E$4:$E$3609,$B11,记账凭证!$B$4:$B$3609,"&gt;="&amp;$M$1,记账凭证!$B$4:$B$3609,"&lt;="&amp;$M$2),2))</f>
        <v>0</v>
      </c>
      <c r="I11" s="70" t="n">
        <f aca="false">IF($B11="","",MAX(0,ROUND($E11-$F11+$G11-$H11,2)))</f>
        <v>0</v>
      </c>
      <c r="J11" s="70" t="n">
        <f aca="false">IF($B11="","",MAX(0,ROUND($F11-$E11-$G11+$H11,2)))</f>
        <v>0</v>
      </c>
    </row>
    <row r="12" customFormat="false" ht="18" hidden="false" customHeight="true" outlineLevel="0" collapsed="false">
      <c r="A12" s="99" t="str">
        <f aca="false">IF($B12="","",IFERROR(INDEX(科目表!$A$4:$A$81,MATCH($B12,科目表!$B$4:$B$81,0)),""))</f>
        <v>1221</v>
      </c>
      <c r="B12" s="18" t="s">
        <v>370</v>
      </c>
      <c r="C12" s="67" t="str">
        <f aca="false">IF($B12="","",IFERROR(INDEX(科目表!$C$4:$C$81,MATCH($B12,科目表!$B$4:$B$81,0)),""))</f>
        <v>资产</v>
      </c>
      <c r="D12" s="67" t="str">
        <f aca="false">IF($B12="","",IFERROR(INDEX(科目表!$E$4:$E$81,MATCH($B12,科目表!$B$4:$B$81,0)),""))</f>
        <v>其他应收款</v>
      </c>
      <c r="E12" s="70" t="n">
        <f aca="false">IF($B12="","",MAX(0,ROUND(SUMIFS(期初余额!$D$4:$D$81,期初余额!$B$4:$B$81,$B12)-SUMIFS(期初余额!$E$4:$E$81,期初余额!$B$4:$B$81,$B12)+SUMIFS(记账凭证!$H$4:$H$3609,记账凭证!$E$4:$E$3609,$B12,记账凭证!$B$4:$B$3609,"&lt;"&amp;$M$1)-SUMIFS(记账凭证!$I$4:$I$3609,记账凭证!$E$4:$E$3609,$B12,记账凭证!$B$4:$B$3609,"&lt;"&amp;$M$1),2)))</f>
        <v>0</v>
      </c>
      <c r="F12" s="70" t="n">
        <f aca="false">IF($B12="","",MAX(0,ROUND(-(SUMIFS(期初余额!$D$4:$D$81,期初余额!$B$4:$B$81,$B12)-SUMIFS(期初余额!$E$4:$E$81,期初余额!$B$4:$B$81,$B12)+SUMIFS(记账凭证!$H$4:$H$3609,记账凭证!$E$4:$E$3609,$B12,记账凭证!$B$4:$B$3609,"&lt;"&amp;$M$1)-SUMIFS(记账凭证!$I$4:$I$3609,记账凭证!$E$4:$E$3609,$B12,记账凭证!$B$4:$B$3609,"&lt;"&amp;$M$1)),2)))</f>
        <v>-0</v>
      </c>
      <c r="G12" s="70" t="n">
        <f aca="false">IF($B12="","",ROUND(SUMIFS(记账凭证!$H$4:$H$3609,记账凭证!$E$4:$E$3609,$B12,记账凭证!$B$4:$B$3609,"&gt;="&amp;$M$1,记账凭证!$B$4:$B$3609,"&lt;="&amp;$M$2),2))</f>
        <v>19383.5</v>
      </c>
      <c r="H12" s="70" t="n">
        <f aca="false">IF($B12="","",ROUND(SUMIFS(记账凭证!$I$4:$I$3609,记账凭证!$E$4:$E$3609,$B12,记账凭证!$B$4:$B$3609,"&gt;="&amp;$M$1,记账凭证!$B$4:$B$3609,"&lt;="&amp;$M$2),2))</f>
        <v>5111</v>
      </c>
      <c r="I12" s="70" t="n">
        <f aca="false">IF($B12="","",MAX(0,ROUND($E12-$F12+$G12-$H12,2)))</f>
        <v>14272.5</v>
      </c>
      <c r="J12" s="70" t="n">
        <f aca="false">IF($B12="","",MAX(0,ROUND($F12-$E12-$G12+$H12,2)))</f>
        <v>0</v>
      </c>
    </row>
    <row r="13" customFormat="false" ht="18" hidden="false" customHeight="true" outlineLevel="0" collapsed="false">
      <c r="A13" s="99" t="str">
        <f aca="false">IF($B13="","",IFERROR(INDEX(科目表!$A$4:$A$81,MATCH($B13,科目表!$B$4:$B$81,0)),""))</f>
        <v>1231</v>
      </c>
      <c r="B13" s="18" t="s">
        <v>493</v>
      </c>
      <c r="C13" s="67" t="str">
        <f aca="false">IF($B13="","",IFERROR(INDEX(科目表!$C$4:$C$81,MATCH($B13,科目表!$B$4:$B$81,0)),""))</f>
        <v>资产</v>
      </c>
      <c r="D13" s="67" t="str">
        <f aca="false">IF($B13="","",IFERROR(INDEX(科目表!$E$4:$E$81,MATCH($B13,科目表!$B$4:$B$81,0)),""))</f>
        <v>应收账款</v>
      </c>
      <c r="E13" s="70" t="n">
        <f aca="false">IF($B13="","",MAX(0,ROUND(SUMIFS(期初余额!$D$4:$D$81,期初余额!$B$4:$B$81,$B13)-SUMIFS(期初余额!$E$4:$E$81,期初余额!$B$4:$B$81,$B13)+SUMIFS(记账凭证!$H$4:$H$3609,记账凭证!$E$4:$E$3609,$B13,记账凭证!$B$4:$B$3609,"&lt;"&amp;$M$1)-SUMIFS(记账凭证!$I$4:$I$3609,记账凭证!$E$4:$E$3609,$B13,记账凭证!$B$4:$B$3609,"&lt;"&amp;$M$1),2)))</f>
        <v>0</v>
      </c>
      <c r="F13" s="70" t="n">
        <f aca="false">IF($B13="","",MAX(0,ROUND(-(SUMIFS(期初余额!$D$4:$D$81,期初余额!$B$4:$B$81,$B13)-SUMIFS(期初余额!$E$4:$E$81,期初余额!$B$4:$B$81,$B13)+SUMIFS(记账凭证!$H$4:$H$3609,记账凭证!$E$4:$E$3609,$B13,记账凭证!$B$4:$B$3609,"&lt;"&amp;$M$1)-SUMIFS(记账凭证!$I$4:$I$3609,记账凭证!$E$4:$E$3609,$B13,记账凭证!$B$4:$B$3609,"&lt;"&amp;$M$1)),2)))</f>
        <v>-0</v>
      </c>
      <c r="G13" s="70" t="n">
        <f aca="false">IF($B13="","",ROUND(SUMIFS(记账凭证!$H$4:$H$3609,记账凭证!$E$4:$E$3609,$B13,记账凭证!$B$4:$B$3609,"&gt;="&amp;$M$1,记账凭证!$B$4:$B$3609,"&lt;="&amp;$M$2),2))</f>
        <v>0</v>
      </c>
      <c r="H13" s="70" t="n">
        <f aca="false">IF($B13="","",ROUND(SUMIFS(记账凭证!$I$4:$I$3609,记账凭证!$E$4:$E$3609,$B13,记账凭证!$B$4:$B$3609,"&gt;="&amp;$M$1,记账凭证!$B$4:$B$3609,"&lt;="&amp;$M$2),2))</f>
        <v>0</v>
      </c>
      <c r="I13" s="70" t="n">
        <f aca="false">IF($B13="","",MAX(0,ROUND($E13-$F13+$G13-$H13,2)))</f>
        <v>0</v>
      </c>
      <c r="J13" s="70" t="n">
        <f aca="false">IF($B13="","",MAX(0,ROUND($F13-$E13-$G13+$H13,2)))</f>
        <v>0</v>
      </c>
    </row>
    <row r="14" customFormat="false" ht="18" hidden="false" customHeight="true" outlineLevel="0" collapsed="false">
      <c r="A14" s="99" t="str">
        <f aca="false">IF($B14="","",IFERROR(INDEX(科目表!$A$4:$A$81,MATCH($B14,科目表!$B$4:$B$81,0)),""))</f>
        <v>1401</v>
      </c>
      <c r="B14" s="18" t="s">
        <v>499</v>
      </c>
      <c r="C14" s="67" t="str">
        <f aca="false">IF($B14="","",IFERROR(INDEX(科目表!$C$4:$C$81,MATCH($B14,科目表!$B$4:$B$81,0)),""))</f>
        <v>资产</v>
      </c>
      <c r="D14" s="67" t="str">
        <f aca="false">IF($B14="","",IFERROR(INDEX(科目表!$E$4:$E$81,MATCH($B14,科目表!$B$4:$B$81,0)),""))</f>
        <v>存货</v>
      </c>
      <c r="E14" s="70" t="n">
        <f aca="false">IF($B14="","",MAX(0,ROUND(SUMIFS(期初余额!$D$4:$D$81,期初余额!$B$4:$B$81,$B14)-SUMIFS(期初余额!$E$4:$E$81,期初余额!$B$4:$B$81,$B14)+SUMIFS(记账凭证!$H$4:$H$3609,记账凭证!$E$4:$E$3609,$B14,记账凭证!$B$4:$B$3609,"&lt;"&amp;$M$1)-SUMIFS(记账凭证!$I$4:$I$3609,记账凭证!$E$4:$E$3609,$B14,记账凭证!$B$4:$B$3609,"&lt;"&amp;$M$1),2)))</f>
        <v>0</v>
      </c>
      <c r="F14" s="70" t="n">
        <f aca="false">IF($B14="","",MAX(0,ROUND(-(SUMIFS(期初余额!$D$4:$D$81,期初余额!$B$4:$B$81,$B14)-SUMIFS(期初余额!$E$4:$E$81,期初余额!$B$4:$B$81,$B14)+SUMIFS(记账凭证!$H$4:$H$3609,记账凭证!$E$4:$E$3609,$B14,记账凭证!$B$4:$B$3609,"&lt;"&amp;$M$1)-SUMIFS(记账凭证!$I$4:$I$3609,记账凭证!$E$4:$E$3609,$B14,记账凭证!$B$4:$B$3609,"&lt;"&amp;$M$1)),2)))</f>
        <v>-0</v>
      </c>
      <c r="G14" s="70" t="n">
        <f aca="false">IF($B14="","",ROUND(SUMIFS(记账凭证!$H$4:$H$3609,记账凭证!$E$4:$E$3609,$B14,记账凭证!$B$4:$B$3609,"&gt;="&amp;$M$1,记账凭证!$B$4:$B$3609,"&lt;="&amp;$M$2),2))</f>
        <v>0</v>
      </c>
      <c r="H14" s="70" t="n">
        <f aca="false">IF($B14="","",ROUND(SUMIFS(记账凭证!$I$4:$I$3609,记账凭证!$E$4:$E$3609,$B14,记账凭证!$B$4:$B$3609,"&gt;="&amp;$M$1,记账凭证!$B$4:$B$3609,"&lt;="&amp;$M$2),2))</f>
        <v>0</v>
      </c>
      <c r="I14" s="70" t="n">
        <f aca="false">IF($B14="","",MAX(0,ROUND($E14-$F14+$G14-$H14,2)))</f>
        <v>0</v>
      </c>
      <c r="J14" s="70" t="n">
        <f aca="false">IF($B14="","",MAX(0,ROUND($F14-$E14-$G14+$H14,2)))</f>
        <v>0</v>
      </c>
    </row>
    <row r="15" customFormat="false" ht="18" hidden="false" customHeight="true" outlineLevel="0" collapsed="false">
      <c r="A15" s="99" t="str">
        <f aca="false">IF($B15="","",IFERROR(INDEX(科目表!$A$4:$A$81,MATCH($B15,科目表!$B$4:$B$81,0)),""))</f>
        <v>1403</v>
      </c>
      <c r="B15" s="18" t="s">
        <v>306</v>
      </c>
      <c r="C15" s="67" t="str">
        <f aca="false">IF($B15="","",IFERROR(INDEX(科目表!$C$4:$C$81,MATCH($B15,科目表!$B$4:$B$81,0)),""))</f>
        <v>资产</v>
      </c>
      <c r="D15" s="67" t="str">
        <f aca="false">IF($B15="","",IFERROR(INDEX(科目表!$E$4:$E$81,MATCH($B15,科目表!$B$4:$B$81,0)),""))</f>
        <v>存货</v>
      </c>
      <c r="E15" s="70" t="n">
        <f aca="false">IF($B15="","",MAX(0,ROUND(SUMIFS(期初余额!$D$4:$D$81,期初余额!$B$4:$B$81,$B15)-SUMIFS(期初余额!$E$4:$E$81,期初余额!$B$4:$B$81,$B15)+SUMIFS(记账凭证!$H$4:$H$3609,记账凭证!$E$4:$E$3609,$B15,记账凭证!$B$4:$B$3609,"&lt;"&amp;$M$1)-SUMIFS(记账凭证!$I$4:$I$3609,记账凭证!$E$4:$E$3609,$B15,记账凭证!$B$4:$B$3609,"&lt;"&amp;$M$1),2)))</f>
        <v>0</v>
      </c>
      <c r="F15" s="70" t="n">
        <f aca="false">IF($B15="","",MAX(0,ROUND(-(SUMIFS(期初余额!$D$4:$D$81,期初余额!$B$4:$B$81,$B15)-SUMIFS(期初余额!$E$4:$E$81,期初余额!$B$4:$B$81,$B15)+SUMIFS(记账凭证!$H$4:$H$3609,记账凭证!$E$4:$E$3609,$B15,记账凭证!$B$4:$B$3609,"&lt;"&amp;$M$1)-SUMIFS(记账凭证!$I$4:$I$3609,记账凭证!$E$4:$E$3609,$B15,记账凭证!$B$4:$B$3609,"&lt;"&amp;$M$1)),2)))</f>
        <v>-0</v>
      </c>
      <c r="G15" s="70" t="n">
        <f aca="false">IF($B15="","",ROUND(SUMIFS(记账凭证!$H$4:$H$3609,记账凭证!$E$4:$E$3609,$B15,记账凭证!$B$4:$B$3609,"&gt;="&amp;$M$1,记账凭证!$B$4:$B$3609,"&lt;="&amp;$M$2),2))</f>
        <v>0</v>
      </c>
      <c r="H15" s="70" t="n">
        <f aca="false">IF($B15="","",ROUND(SUMIFS(记账凭证!$I$4:$I$3609,记账凭证!$E$4:$E$3609,$B15,记账凭证!$B$4:$B$3609,"&gt;="&amp;$M$1,记账凭证!$B$4:$B$3609,"&lt;="&amp;$M$2),2))</f>
        <v>0</v>
      </c>
      <c r="I15" s="70" t="n">
        <f aca="false">IF($B15="","",MAX(0,ROUND($E15-$F15+$G15-$H15,2)))</f>
        <v>0</v>
      </c>
      <c r="J15" s="70" t="n">
        <f aca="false">IF($B15="","",MAX(0,ROUND($F15-$E15-$G15+$H15,2)))</f>
        <v>0</v>
      </c>
    </row>
    <row r="16" customFormat="false" ht="18" hidden="false" customHeight="true" outlineLevel="0" collapsed="false">
      <c r="A16" s="99" t="str">
        <f aca="false">IF($B16="","",IFERROR(INDEX(科目表!$A$4:$A$81,MATCH($B16,科目表!$B$4:$B$81,0)),""))</f>
        <v>1405</v>
      </c>
      <c r="B16" s="18" t="s">
        <v>302</v>
      </c>
      <c r="C16" s="67" t="str">
        <f aca="false">IF($B16="","",IFERROR(INDEX(科目表!$C$4:$C$81,MATCH($B16,科目表!$B$4:$B$81,0)),""))</f>
        <v>资产</v>
      </c>
      <c r="D16" s="67" t="str">
        <f aca="false">IF($B16="","",IFERROR(INDEX(科目表!$E$4:$E$81,MATCH($B16,科目表!$B$4:$B$81,0)),""))</f>
        <v>存货</v>
      </c>
      <c r="E16" s="70" t="n">
        <f aca="false">IF($B16="","",MAX(0,ROUND(SUMIFS(期初余额!$D$4:$D$81,期初余额!$B$4:$B$81,$B16)-SUMIFS(期初余额!$E$4:$E$81,期初余额!$B$4:$B$81,$B16)+SUMIFS(记账凭证!$H$4:$H$3609,记账凭证!$E$4:$E$3609,$B16,记账凭证!$B$4:$B$3609,"&lt;"&amp;$M$1)-SUMIFS(记账凭证!$I$4:$I$3609,记账凭证!$E$4:$E$3609,$B16,记账凭证!$B$4:$B$3609,"&lt;"&amp;$M$1),2)))</f>
        <v>0</v>
      </c>
      <c r="F16" s="70" t="n">
        <f aca="false">IF($B16="","",MAX(0,ROUND(-(SUMIFS(期初余额!$D$4:$D$81,期初余额!$B$4:$B$81,$B16)-SUMIFS(期初余额!$E$4:$E$81,期初余额!$B$4:$B$81,$B16)+SUMIFS(记账凭证!$H$4:$H$3609,记账凭证!$E$4:$E$3609,$B16,记账凭证!$B$4:$B$3609,"&lt;"&amp;$M$1)-SUMIFS(记账凭证!$I$4:$I$3609,记账凭证!$E$4:$E$3609,$B16,记账凭证!$B$4:$B$3609,"&lt;"&amp;$M$1)),2)))</f>
        <v>-0</v>
      </c>
      <c r="G16" s="70" t="n">
        <f aca="false">IF($B16="","",ROUND(SUMIFS(记账凭证!$H$4:$H$3609,记账凭证!$E$4:$E$3609,$B16,记账凭证!$B$4:$B$3609,"&gt;="&amp;$M$1,记账凭证!$B$4:$B$3609,"&lt;="&amp;$M$2),2))</f>
        <v>0</v>
      </c>
      <c r="H16" s="70" t="n">
        <f aca="false">IF($B16="","",ROUND(SUMIFS(记账凭证!$I$4:$I$3609,记账凭证!$E$4:$E$3609,$B16,记账凭证!$B$4:$B$3609,"&gt;="&amp;$M$1,记账凭证!$B$4:$B$3609,"&lt;="&amp;$M$2),2))</f>
        <v>0</v>
      </c>
      <c r="I16" s="70" t="n">
        <f aca="false">IF($B16="","",MAX(0,ROUND($E16-$F16+$G16-$H16,2)))</f>
        <v>0</v>
      </c>
      <c r="J16" s="70" t="n">
        <f aca="false">IF($B16="","",MAX(0,ROUND($F16-$E16-$G16+$H16,2)))</f>
        <v>0</v>
      </c>
    </row>
    <row r="17" customFormat="false" ht="18" hidden="false" customHeight="true" outlineLevel="0" collapsed="false">
      <c r="A17" s="99" t="str">
        <f aca="false">IF($B17="","",IFERROR(INDEX(科目表!$A$4:$A$81,MATCH($B17,科目表!$B$4:$B$81,0)),""))</f>
        <v>1406</v>
      </c>
      <c r="B17" s="18" t="s">
        <v>512</v>
      </c>
      <c r="C17" s="67" t="str">
        <f aca="false">IF($B17="","",IFERROR(INDEX(科目表!$C$4:$C$81,MATCH($B17,科目表!$B$4:$B$81,0)),""))</f>
        <v>资产</v>
      </c>
      <c r="D17" s="67" t="str">
        <f aca="false">IF($B17="","",IFERROR(INDEX(科目表!$E$4:$E$81,MATCH($B17,科目表!$B$4:$B$81,0)),""))</f>
        <v>存货</v>
      </c>
      <c r="E17" s="70" t="n">
        <f aca="false">IF($B17="","",MAX(0,ROUND(SUMIFS(期初余额!$D$4:$D$81,期初余额!$B$4:$B$81,$B17)-SUMIFS(期初余额!$E$4:$E$81,期初余额!$B$4:$B$81,$B17)+SUMIFS(记账凭证!$H$4:$H$3609,记账凭证!$E$4:$E$3609,$B17,记账凭证!$B$4:$B$3609,"&lt;"&amp;$M$1)-SUMIFS(记账凭证!$I$4:$I$3609,记账凭证!$E$4:$E$3609,$B17,记账凭证!$B$4:$B$3609,"&lt;"&amp;$M$1),2)))</f>
        <v>0</v>
      </c>
      <c r="F17" s="70" t="n">
        <f aca="false">IF($B17="","",MAX(0,ROUND(-(SUMIFS(期初余额!$D$4:$D$81,期初余额!$B$4:$B$81,$B17)-SUMIFS(期初余额!$E$4:$E$81,期初余额!$B$4:$B$81,$B17)+SUMIFS(记账凭证!$H$4:$H$3609,记账凭证!$E$4:$E$3609,$B17,记账凭证!$B$4:$B$3609,"&lt;"&amp;$M$1)-SUMIFS(记账凭证!$I$4:$I$3609,记账凭证!$E$4:$E$3609,$B17,记账凭证!$B$4:$B$3609,"&lt;"&amp;$M$1)),2)))</f>
        <v>-0</v>
      </c>
      <c r="G17" s="70" t="n">
        <f aca="false">IF($B17="","",ROUND(SUMIFS(记账凭证!$H$4:$H$3609,记账凭证!$E$4:$E$3609,$B17,记账凭证!$B$4:$B$3609,"&gt;="&amp;$M$1,记账凭证!$B$4:$B$3609,"&lt;="&amp;$M$2),2))</f>
        <v>0</v>
      </c>
      <c r="H17" s="70" t="n">
        <f aca="false">IF($B17="","",ROUND(SUMIFS(记账凭证!$I$4:$I$3609,记账凭证!$E$4:$E$3609,$B17,记账凭证!$B$4:$B$3609,"&gt;="&amp;$M$1,记账凭证!$B$4:$B$3609,"&lt;="&amp;$M$2),2))</f>
        <v>0</v>
      </c>
      <c r="I17" s="70" t="n">
        <f aca="false">IF($B17="","",MAX(0,ROUND($E17-$F17+$G17-$H17,2)))</f>
        <v>0</v>
      </c>
      <c r="J17" s="70" t="n">
        <f aca="false">IF($B17="","",MAX(0,ROUND($F17-$E17-$G17+$H17,2)))</f>
        <v>0</v>
      </c>
    </row>
    <row r="18" customFormat="false" ht="18" hidden="false" customHeight="true" outlineLevel="0" collapsed="false">
      <c r="A18" s="99" t="str">
        <f aca="false">IF($B18="","",IFERROR(INDEX(科目表!$A$4:$A$81,MATCH($B18,科目表!$B$4:$B$81,0)),""))</f>
        <v>1407</v>
      </c>
      <c r="B18" s="18" t="s">
        <v>308</v>
      </c>
      <c r="C18" s="67" t="str">
        <f aca="false">IF($B18="","",IFERROR(INDEX(科目表!$C$4:$C$81,MATCH($B18,科目表!$B$4:$B$81,0)),""))</f>
        <v>资产</v>
      </c>
      <c r="D18" s="67" t="str">
        <f aca="false">IF($B18="","",IFERROR(INDEX(科目表!$E$4:$E$81,MATCH($B18,科目表!$B$4:$B$81,0)),""))</f>
        <v>存货</v>
      </c>
      <c r="E18" s="70" t="n">
        <f aca="false">IF($B18="","",MAX(0,ROUND(SUMIFS(期初余额!$D$4:$D$81,期初余额!$B$4:$B$81,$B18)-SUMIFS(期初余额!$E$4:$E$81,期初余额!$B$4:$B$81,$B18)+SUMIFS(记账凭证!$H$4:$H$3609,记账凭证!$E$4:$E$3609,$B18,记账凭证!$B$4:$B$3609,"&lt;"&amp;$M$1)-SUMIFS(记账凭证!$I$4:$I$3609,记账凭证!$E$4:$E$3609,$B18,记账凭证!$B$4:$B$3609,"&lt;"&amp;$M$1),2)))</f>
        <v>0</v>
      </c>
      <c r="F18" s="70" t="n">
        <f aca="false">IF($B18="","",MAX(0,ROUND(-(SUMIFS(期初余额!$D$4:$D$81,期初余额!$B$4:$B$81,$B18)-SUMIFS(期初余额!$E$4:$E$81,期初余额!$B$4:$B$81,$B18)+SUMIFS(记账凭证!$H$4:$H$3609,记账凭证!$E$4:$E$3609,$B18,记账凭证!$B$4:$B$3609,"&lt;"&amp;$M$1)-SUMIFS(记账凭证!$I$4:$I$3609,记账凭证!$E$4:$E$3609,$B18,记账凭证!$B$4:$B$3609,"&lt;"&amp;$M$1)),2)))</f>
        <v>-0</v>
      </c>
      <c r="G18" s="70" t="n">
        <f aca="false">IF($B18="","",ROUND(SUMIFS(记账凭证!$H$4:$H$3609,记账凭证!$E$4:$E$3609,$B18,记账凭证!$B$4:$B$3609,"&gt;="&amp;$M$1,记账凭证!$B$4:$B$3609,"&lt;="&amp;$M$2),2))</f>
        <v>0</v>
      </c>
      <c r="H18" s="70" t="n">
        <f aca="false">IF($B18="","",ROUND(SUMIFS(记账凭证!$I$4:$I$3609,记账凭证!$E$4:$E$3609,$B18,记账凭证!$B$4:$B$3609,"&gt;="&amp;$M$1,记账凭证!$B$4:$B$3609,"&lt;="&amp;$M$2),2))</f>
        <v>0</v>
      </c>
      <c r="I18" s="70" t="n">
        <f aca="false">IF($B18="","",MAX(0,ROUND($E18-$F18+$G18-$H18,2)))</f>
        <v>0</v>
      </c>
      <c r="J18" s="70" t="n">
        <f aca="false">IF($B18="","",MAX(0,ROUND($F18-$E18-$G18+$H18,2)))</f>
        <v>0</v>
      </c>
    </row>
    <row r="19" customFormat="false" ht="18" hidden="false" customHeight="true" outlineLevel="0" collapsed="false">
      <c r="A19" s="99" t="str">
        <f aca="false">IF($B19="","",IFERROR(INDEX(科目表!$A$4:$A$81,MATCH($B19,科目表!$B$4:$B$81,0)),""))</f>
        <v>1471</v>
      </c>
      <c r="B19" s="18" t="s">
        <v>519</v>
      </c>
      <c r="C19" s="67" t="str">
        <f aca="false">IF($B19="","",IFERROR(INDEX(科目表!$C$4:$C$81,MATCH($B19,科目表!$B$4:$B$81,0)),""))</f>
        <v>资产</v>
      </c>
      <c r="D19" s="67" t="str">
        <f aca="false">IF($B19="","",IFERROR(INDEX(科目表!$E$4:$E$81,MATCH($B19,科目表!$B$4:$B$81,0)),""))</f>
        <v>存货</v>
      </c>
      <c r="E19" s="70" t="n">
        <f aca="false">IF($B19="","",MAX(0,ROUND(SUMIFS(期初余额!$D$4:$D$81,期初余额!$B$4:$B$81,$B19)-SUMIFS(期初余额!$E$4:$E$81,期初余额!$B$4:$B$81,$B19)+SUMIFS(记账凭证!$H$4:$H$3609,记账凭证!$E$4:$E$3609,$B19,记账凭证!$B$4:$B$3609,"&lt;"&amp;$M$1)-SUMIFS(记账凭证!$I$4:$I$3609,记账凭证!$E$4:$E$3609,$B19,记账凭证!$B$4:$B$3609,"&lt;"&amp;$M$1),2)))</f>
        <v>0</v>
      </c>
      <c r="F19" s="70" t="n">
        <f aca="false">IF($B19="","",MAX(0,ROUND(-(SUMIFS(期初余额!$D$4:$D$81,期初余额!$B$4:$B$81,$B19)-SUMIFS(期初余额!$E$4:$E$81,期初余额!$B$4:$B$81,$B19)+SUMIFS(记账凭证!$H$4:$H$3609,记账凭证!$E$4:$E$3609,$B19,记账凭证!$B$4:$B$3609,"&lt;"&amp;$M$1)-SUMIFS(记账凭证!$I$4:$I$3609,记账凭证!$E$4:$E$3609,$B19,记账凭证!$B$4:$B$3609,"&lt;"&amp;$M$1)),2)))</f>
        <v>-0</v>
      </c>
      <c r="G19" s="70" t="n">
        <f aca="false">IF($B19="","",ROUND(SUMIFS(记账凭证!$H$4:$H$3609,记账凭证!$E$4:$E$3609,$B19,记账凭证!$B$4:$B$3609,"&gt;="&amp;$M$1,记账凭证!$B$4:$B$3609,"&lt;="&amp;$M$2),2))</f>
        <v>0</v>
      </c>
      <c r="H19" s="70" t="n">
        <f aca="false">IF($B19="","",ROUND(SUMIFS(记账凭证!$I$4:$I$3609,记账凭证!$E$4:$E$3609,$B19,记账凭证!$B$4:$B$3609,"&gt;="&amp;$M$1,记账凭证!$B$4:$B$3609,"&lt;="&amp;$M$2),2))</f>
        <v>0</v>
      </c>
      <c r="I19" s="70" t="n">
        <f aca="false">IF($B19="","",MAX(0,ROUND($E19-$F19+$G19-$H19,2)))</f>
        <v>0</v>
      </c>
      <c r="J19" s="70" t="n">
        <f aca="false">IF($B19="","",MAX(0,ROUND($F19-$E19-$G19+$H19,2)))</f>
        <v>0</v>
      </c>
    </row>
    <row r="20" customFormat="false" ht="18" hidden="false" customHeight="true" outlineLevel="0" collapsed="false">
      <c r="A20" s="99" t="str">
        <f aca="false">IF($B20="","",IFERROR(INDEX(科目表!$A$4:$A$81,MATCH($B20,科目表!$B$4:$B$81,0)),""))</f>
        <v>1601</v>
      </c>
      <c r="B20" s="18" t="s">
        <v>523</v>
      </c>
      <c r="C20" s="67" t="str">
        <f aca="false">IF($B20="","",IFERROR(INDEX(科目表!$C$4:$C$81,MATCH($B20,科目表!$B$4:$B$81,0)),""))</f>
        <v>资产</v>
      </c>
      <c r="D20" s="67" t="str">
        <f aca="false">IF($B20="","",IFERROR(INDEX(科目表!$E$4:$E$81,MATCH($B20,科目表!$B$4:$B$81,0)),""))</f>
        <v>固定资产原价</v>
      </c>
      <c r="E20" s="70" t="n">
        <f aca="false">IF($B20="","",MAX(0,ROUND(SUMIFS(期初余额!$D$4:$D$81,期初余额!$B$4:$B$81,$B20)-SUMIFS(期初余额!$E$4:$E$81,期初余额!$B$4:$B$81,$B20)+SUMIFS(记账凭证!$H$4:$H$3609,记账凭证!$E$4:$E$3609,$B20,记账凭证!$B$4:$B$3609,"&lt;"&amp;$M$1)-SUMIFS(记账凭证!$I$4:$I$3609,记账凭证!$E$4:$E$3609,$B20,记账凭证!$B$4:$B$3609,"&lt;"&amp;$M$1),2)))</f>
        <v>0</v>
      </c>
      <c r="F20" s="70" t="n">
        <f aca="false">IF($B20="","",MAX(0,ROUND(-(SUMIFS(期初余额!$D$4:$D$81,期初余额!$B$4:$B$81,$B20)-SUMIFS(期初余额!$E$4:$E$81,期初余额!$B$4:$B$81,$B20)+SUMIFS(记账凭证!$H$4:$H$3609,记账凭证!$E$4:$E$3609,$B20,记账凭证!$B$4:$B$3609,"&lt;"&amp;$M$1)-SUMIFS(记账凭证!$I$4:$I$3609,记账凭证!$E$4:$E$3609,$B20,记账凭证!$B$4:$B$3609,"&lt;"&amp;$M$1)),2)))</f>
        <v>-0</v>
      </c>
      <c r="G20" s="70" t="n">
        <f aca="false">IF($B20="","",ROUND(SUMIFS(记账凭证!$H$4:$H$3609,记账凭证!$E$4:$E$3609,$B20,记账凭证!$B$4:$B$3609,"&gt;="&amp;$M$1,记账凭证!$B$4:$B$3609,"&lt;="&amp;$M$2),2))</f>
        <v>0</v>
      </c>
      <c r="H20" s="70" t="n">
        <f aca="false">IF($B20="","",ROUND(SUMIFS(记账凭证!$I$4:$I$3609,记账凭证!$E$4:$E$3609,$B20,记账凭证!$B$4:$B$3609,"&gt;="&amp;$M$1,记账凭证!$B$4:$B$3609,"&lt;="&amp;$M$2),2))</f>
        <v>0</v>
      </c>
      <c r="I20" s="70" t="n">
        <f aca="false">IF($B20="","",MAX(0,ROUND($E20-$F20+$G20-$H20,2)))</f>
        <v>0</v>
      </c>
      <c r="J20" s="70" t="n">
        <f aca="false">IF($B20="","",MAX(0,ROUND($F20-$E20-$G20+$H20,2)))</f>
        <v>0</v>
      </c>
    </row>
    <row r="21" customFormat="false" ht="18" hidden="false" customHeight="true" outlineLevel="0" collapsed="false">
      <c r="A21" s="99" t="str">
        <f aca="false">IF($B21="","",IFERROR(INDEX(科目表!$A$4:$A$81,MATCH($B21,科目表!$B$4:$B$81,0)),""))</f>
        <v>1602</v>
      </c>
      <c r="B21" s="18" t="s">
        <v>356</v>
      </c>
      <c r="C21" s="67" t="str">
        <f aca="false">IF($B21="","",IFERROR(INDEX(科目表!$C$4:$C$81,MATCH($B21,科目表!$B$4:$B$81,0)),""))</f>
        <v>资产</v>
      </c>
      <c r="D21" s="67" t="str">
        <f aca="false">IF($B21="","",IFERROR(INDEX(科目表!$E$4:$E$81,MATCH($B21,科目表!$B$4:$B$81,0)),""))</f>
        <v>累计折旧</v>
      </c>
      <c r="E21" s="70" t="n">
        <f aca="false">IF($B21="","",MAX(0,ROUND(SUMIFS(期初余额!$D$4:$D$81,期初余额!$B$4:$B$81,$B21)-SUMIFS(期初余额!$E$4:$E$81,期初余额!$B$4:$B$81,$B21)+SUMIFS(记账凭证!$H$4:$H$3609,记账凭证!$E$4:$E$3609,$B21,记账凭证!$B$4:$B$3609,"&lt;"&amp;$M$1)-SUMIFS(记账凭证!$I$4:$I$3609,记账凭证!$E$4:$E$3609,$B21,记账凭证!$B$4:$B$3609,"&lt;"&amp;$M$1),2)))</f>
        <v>0</v>
      </c>
      <c r="F21" s="70" t="n">
        <f aca="false">IF($B21="","",MAX(0,ROUND(-(SUMIFS(期初余额!$D$4:$D$81,期初余额!$B$4:$B$81,$B21)-SUMIFS(期初余额!$E$4:$E$81,期初余额!$B$4:$B$81,$B21)+SUMIFS(记账凭证!$H$4:$H$3609,记账凭证!$E$4:$E$3609,$B21,记账凭证!$B$4:$B$3609,"&lt;"&amp;$M$1)-SUMIFS(记账凭证!$I$4:$I$3609,记账凭证!$E$4:$E$3609,$B21,记账凭证!$B$4:$B$3609,"&lt;"&amp;$M$1)),2)))</f>
        <v>-0</v>
      </c>
      <c r="G21" s="70" t="n">
        <f aca="false">IF($B21="","",ROUND(SUMIFS(记账凭证!$H$4:$H$3609,记账凭证!$E$4:$E$3609,$B21,记账凭证!$B$4:$B$3609,"&gt;="&amp;$M$1,记账凭证!$B$4:$B$3609,"&lt;="&amp;$M$2),2))</f>
        <v>0</v>
      </c>
      <c r="H21" s="70" t="n">
        <f aca="false">IF($B21="","",ROUND(SUMIFS(记账凭证!$I$4:$I$3609,记账凭证!$E$4:$E$3609,$B21,记账凭证!$B$4:$B$3609,"&gt;="&amp;$M$1,记账凭证!$B$4:$B$3609,"&lt;="&amp;$M$2),2))</f>
        <v>0</v>
      </c>
      <c r="I21" s="70" t="n">
        <f aca="false">IF($B21="","",MAX(0,ROUND($E21-$F21+$G21-$H21,2)))</f>
        <v>0</v>
      </c>
      <c r="J21" s="70" t="n">
        <f aca="false">IF($B21="","",MAX(0,ROUND($F21-$E21-$G21+$H21,2)))</f>
        <v>0</v>
      </c>
    </row>
    <row r="22" customFormat="false" ht="18" hidden="false" customHeight="true" outlineLevel="0" collapsed="false">
      <c r="A22" s="99" t="str">
        <f aca="false">IF($B22="","",IFERROR(INDEX(科目表!$A$4:$A$81,MATCH($B22,科目表!$B$4:$B$81,0)),""))</f>
        <v>1604</v>
      </c>
      <c r="B22" s="18" t="s">
        <v>531</v>
      </c>
      <c r="C22" s="67" t="str">
        <f aca="false">IF($B22="","",IFERROR(INDEX(科目表!$C$4:$C$81,MATCH($B22,科目表!$B$4:$B$81,0)),""))</f>
        <v>资产</v>
      </c>
      <c r="D22" s="67" t="str">
        <f aca="false">IF($B22="","",IFERROR(INDEX(科目表!$E$4:$E$81,MATCH($B22,科目表!$B$4:$B$81,0)),""))</f>
        <v>在建工程</v>
      </c>
      <c r="E22" s="70" t="n">
        <f aca="false">IF($B22="","",MAX(0,ROUND(SUMIFS(期初余额!$D$4:$D$81,期初余额!$B$4:$B$81,$B22)-SUMIFS(期初余额!$E$4:$E$81,期初余额!$B$4:$B$81,$B22)+SUMIFS(记账凭证!$H$4:$H$3609,记账凭证!$E$4:$E$3609,$B22,记账凭证!$B$4:$B$3609,"&lt;"&amp;$M$1)-SUMIFS(记账凭证!$I$4:$I$3609,记账凭证!$E$4:$E$3609,$B22,记账凭证!$B$4:$B$3609,"&lt;"&amp;$M$1),2)))</f>
        <v>0</v>
      </c>
      <c r="F22" s="70" t="n">
        <f aca="false">IF($B22="","",MAX(0,ROUND(-(SUMIFS(期初余额!$D$4:$D$81,期初余额!$B$4:$B$81,$B22)-SUMIFS(期初余额!$E$4:$E$81,期初余额!$B$4:$B$81,$B22)+SUMIFS(记账凭证!$H$4:$H$3609,记账凭证!$E$4:$E$3609,$B22,记账凭证!$B$4:$B$3609,"&lt;"&amp;$M$1)-SUMIFS(记账凭证!$I$4:$I$3609,记账凭证!$E$4:$E$3609,$B22,记账凭证!$B$4:$B$3609,"&lt;"&amp;$M$1)),2)))</f>
        <v>-0</v>
      </c>
      <c r="G22" s="70" t="n">
        <f aca="false">IF($B22="","",ROUND(SUMIFS(记账凭证!$H$4:$H$3609,记账凭证!$E$4:$E$3609,$B22,记账凭证!$B$4:$B$3609,"&gt;="&amp;$M$1,记账凭证!$B$4:$B$3609,"&lt;="&amp;$M$2),2))</f>
        <v>0</v>
      </c>
      <c r="H22" s="70" t="n">
        <f aca="false">IF($B22="","",ROUND(SUMIFS(记账凭证!$I$4:$I$3609,记账凭证!$E$4:$E$3609,$B22,记账凭证!$B$4:$B$3609,"&gt;="&amp;$M$1,记账凭证!$B$4:$B$3609,"&lt;="&amp;$M$2),2))</f>
        <v>0</v>
      </c>
      <c r="I22" s="70" t="n">
        <f aca="false">IF($B22="","",MAX(0,ROUND($E22-$F22+$G22-$H22,2)))</f>
        <v>0</v>
      </c>
      <c r="J22" s="70" t="n">
        <f aca="false">IF($B22="","",MAX(0,ROUND($F22-$E22-$G22+$H22,2)))</f>
        <v>0</v>
      </c>
    </row>
    <row r="23" customFormat="false" ht="18" hidden="false" customHeight="true" outlineLevel="0" collapsed="false">
      <c r="A23" s="99" t="str">
        <f aca="false">IF($B23="","",IFERROR(INDEX(科目表!$A$4:$A$81,MATCH($B23,科目表!$B$4:$B$81,0)),""))</f>
        <v>1701</v>
      </c>
      <c r="B23" s="18" t="s">
        <v>535</v>
      </c>
      <c r="C23" s="67" t="str">
        <f aca="false">IF($B23="","",IFERROR(INDEX(科目表!$C$4:$C$81,MATCH($B23,科目表!$B$4:$B$81,0)),""))</f>
        <v>资产</v>
      </c>
      <c r="D23" s="67" t="str">
        <f aca="false">IF($B23="","",IFERROR(INDEX(科目表!$E$4:$E$81,MATCH($B23,科目表!$B$4:$B$81,0)),""))</f>
        <v>无形资产</v>
      </c>
      <c r="E23" s="70" t="n">
        <f aca="false">IF($B23="","",MAX(0,ROUND(SUMIFS(期初余额!$D$4:$D$81,期初余额!$B$4:$B$81,$B23)-SUMIFS(期初余额!$E$4:$E$81,期初余额!$B$4:$B$81,$B23)+SUMIFS(记账凭证!$H$4:$H$3609,记账凭证!$E$4:$E$3609,$B23,记账凭证!$B$4:$B$3609,"&lt;"&amp;$M$1)-SUMIFS(记账凭证!$I$4:$I$3609,记账凭证!$E$4:$E$3609,$B23,记账凭证!$B$4:$B$3609,"&lt;"&amp;$M$1),2)))</f>
        <v>0</v>
      </c>
      <c r="F23" s="70" t="n">
        <f aca="false">IF($B23="","",MAX(0,ROUND(-(SUMIFS(期初余额!$D$4:$D$81,期初余额!$B$4:$B$81,$B23)-SUMIFS(期初余额!$E$4:$E$81,期初余额!$B$4:$B$81,$B23)+SUMIFS(记账凭证!$H$4:$H$3609,记账凭证!$E$4:$E$3609,$B23,记账凭证!$B$4:$B$3609,"&lt;"&amp;$M$1)-SUMIFS(记账凭证!$I$4:$I$3609,记账凭证!$E$4:$E$3609,$B23,记账凭证!$B$4:$B$3609,"&lt;"&amp;$M$1)),2)))</f>
        <v>-0</v>
      </c>
      <c r="G23" s="70" t="n">
        <f aca="false">IF($B23="","",ROUND(SUMIFS(记账凭证!$H$4:$H$3609,记账凭证!$E$4:$E$3609,$B23,记账凭证!$B$4:$B$3609,"&gt;="&amp;$M$1,记账凭证!$B$4:$B$3609,"&lt;="&amp;$M$2),2))</f>
        <v>0</v>
      </c>
      <c r="H23" s="70" t="n">
        <f aca="false">IF($B23="","",ROUND(SUMIFS(记账凭证!$I$4:$I$3609,记账凭证!$E$4:$E$3609,$B23,记账凭证!$B$4:$B$3609,"&gt;="&amp;$M$1,记账凭证!$B$4:$B$3609,"&lt;="&amp;$M$2),2))</f>
        <v>0</v>
      </c>
      <c r="I23" s="70" t="n">
        <f aca="false">IF($B23="","",MAX(0,ROUND($E23-$F23+$G23-$H23,2)))</f>
        <v>0</v>
      </c>
      <c r="J23" s="70" t="n">
        <f aca="false">IF($B23="","",MAX(0,ROUND($F23-$E23-$G23+$H23,2)))</f>
        <v>0</v>
      </c>
    </row>
    <row r="24" customFormat="false" ht="18" hidden="false" customHeight="true" outlineLevel="0" collapsed="false">
      <c r="A24" s="99" t="str">
        <f aca="false">IF($B24="","",IFERROR(INDEX(科目表!$A$4:$A$81,MATCH($B24,科目表!$B$4:$B$81,0)),""))</f>
        <v>1702</v>
      </c>
      <c r="B24" s="18" t="s">
        <v>539</v>
      </c>
      <c r="C24" s="67" t="str">
        <f aca="false">IF($B24="","",IFERROR(INDEX(科目表!$C$4:$C$81,MATCH($B24,科目表!$B$4:$B$81,0)),""))</f>
        <v>资产</v>
      </c>
      <c r="D24" s="67" t="str">
        <f aca="false">IF($B24="","",IFERROR(INDEX(科目表!$E$4:$E$81,MATCH($B24,科目表!$B$4:$B$81,0)),""))</f>
        <v>无形资产</v>
      </c>
      <c r="E24" s="70" t="n">
        <f aca="false">IF($B24="","",MAX(0,ROUND(SUMIFS(期初余额!$D$4:$D$81,期初余额!$B$4:$B$81,$B24)-SUMIFS(期初余额!$E$4:$E$81,期初余额!$B$4:$B$81,$B24)+SUMIFS(记账凭证!$H$4:$H$3609,记账凭证!$E$4:$E$3609,$B24,记账凭证!$B$4:$B$3609,"&lt;"&amp;$M$1)-SUMIFS(记账凭证!$I$4:$I$3609,记账凭证!$E$4:$E$3609,$B24,记账凭证!$B$4:$B$3609,"&lt;"&amp;$M$1),2)))</f>
        <v>0</v>
      </c>
      <c r="F24" s="70" t="n">
        <f aca="false">IF($B24="","",MAX(0,ROUND(-(SUMIFS(期初余额!$D$4:$D$81,期初余额!$B$4:$B$81,$B24)-SUMIFS(期初余额!$E$4:$E$81,期初余额!$B$4:$B$81,$B24)+SUMIFS(记账凭证!$H$4:$H$3609,记账凭证!$E$4:$E$3609,$B24,记账凭证!$B$4:$B$3609,"&lt;"&amp;$M$1)-SUMIFS(记账凭证!$I$4:$I$3609,记账凭证!$E$4:$E$3609,$B24,记账凭证!$B$4:$B$3609,"&lt;"&amp;$M$1)),2)))</f>
        <v>-0</v>
      </c>
      <c r="G24" s="70" t="n">
        <f aca="false">IF($B24="","",ROUND(SUMIFS(记账凭证!$H$4:$H$3609,记账凭证!$E$4:$E$3609,$B24,记账凭证!$B$4:$B$3609,"&gt;="&amp;$M$1,记账凭证!$B$4:$B$3609,"&lt;="&amp;$M$2),2))</f>
        <v>0</v>
      </c>
      <c r="H24" s="70" t="n">
        <f aca="false">IF($B24="","",ROUND(SUMIFS(记账凭证!$I$4:$I$3609,记账凭证!$E$4:$E$3609,$B24,记账凭证!$B$4:$B$3609,"&gt;="&amp;$M$1,记账凭证!$B$4:$B$3609,"&lt;="&amp;$M$2),2))</f>
        <v>0</v>
      </c>
      <c r="I24" s="70" t="n">
        <f aca="false">IF($B24="","",MAX(0,ROUND($E24-$F24+$G24-$H24,2)))</f>
        <v>0</v>
      </c>
      <c r="J24" s="70" t="n">
        <f aca="false">IF($B24="","",MAX(0,ROUND($F24-$E24-$G24+$H24,2)))</f>
        <v>0</v>
      </c>
    </row>
    <row r="25" customFormat="false" ht="18" hidden="false" customHeight="true" outlineLevel="0" collapsed="false">
      <c r="A25" s="99" t="str">
        <f aca="false">IF($B25="","",IFERROR(INDEX(科目表!$A$4:$A$81,MATCH($B25,科目表!$B$4:$B$81,0)),""))</f>
        <v>1801</v>
      </c>
      <c r="B25" s="18" t="s">
        <v>543</v>
      </c>
      <c r="C25" s="67" t="str">
        <f aca="false">IF($B25="","",IFERROR(INDEX(科目表!$C$4:$C$81,MATCH($B25,科目表!$B$4:$B$81,0)),""))</f>
        <v>资产</v>
      </c>
      <c r="D25" s="67" t="str">
        <f aca="false">IF($B25="","",IFERROR(INDEX(科目表!$E$4:$E$81,MATCH($B25,科目表!$B$4:$B$81,0)),""))</f>
        <v>长期待摊费用</v>
      </c>
      <c r="E25" s="70" t="n">
        <f aca="false">IF($B25="","",MAX(0,ROUND(SUMIFS(期初余额!$D$4:$D$81,期初余额!$B$4:$B$81,$B25)-SUMIFS(期初余额!$E$4:$E$81,期初余额!$B$4:$B$81,$B25)+SUMIFS(记账凭证!$H$4:$H$3609,记账凭证!$E$4:$E$3609,$B25,记账凭证!$B$4:$B$3609,"&lt;"&amp;$M$1)-SUMIFS(记账凭证!$I$4:$I$3609,记账凭证!$E$4:$E$3609,$B25,记账凭证!$B$4:$B$3609,"&lt;"&amp;$M$1),2)))</f>
        <v>0</v>
      </c>
      <c r="F25" s="70" t="n">
        <f aca="false">IF($B25="","",MAX(0,ROUND(-(SUMIFS(期初余额!$D$4:$D$81,期初余额!$B$4:$B$81,$B25)-SUMIFS(期初余额!$E$4:$E$81,期初余额!$B$4:$B$81,$B25)+SUMIFS(记账凭证!$H$4:$H$3609,记账凭证!$E$4:$E$3609,$B25,记账凭证!$B$4:$B$3609,"&lt;"&amp;$M$1)-SUMIFS(记账凭证!$I$4:$I$3609,记账凭证!$E$4:$E$3609,$B25,记账凭证!$B$4:$B$3609,"&lt;"&amp;$M$1)),2)))</f>
        <v>-0</v>
      </c>
      <c r="G25" s="70" t="n">
        <f aca="false">IF($B25="","",ROUND(SUMIFS(记账凭证!$H$4:$H$3609,记账凭证!$E$4:$E$3609,$B25,记账凭证!$B$4:$B$3609,"&gt;="&amp;$M$1,记账凭证!$B$4:$B$3609,"&lt;="&amp;$M$2),2))</f>
        <v>0</v>
      </c>
      <c r="H25" s="70" t="n">
        <f aca="false">IF($B25="","",ROUND(SUMIFS(记账凭证!$I$4:$I$3609,记账凭证!$E$4:$E$3609,$B25,记账凭证!$B$4:$B$3609,"&gt;="&amp;$M$1,记账凭证!$B$4:$B$3609,"&lt;="&amp;$M$2),2))</f>
        <v>0</v>
      </c>
      <c r="I25" s="70" t="n">
        <f aca="false">IF($B25="","",MAX(0,ROUND($E25-$F25+$G25-$H25,2)))</f>
        <v>0</v>
      </c>
      <c r="J25" s="70" t="n">
        <f aca="false">IF($B25="","",MAX(0,ROUND($F25-$E25-$G25+$H25,2)))</f>
        <v>0</v>
      </c>
    </row>
    <row r="26" customFormat="false" ht="18" hidden="false" customHeight="true" outlineLevel="0" collapsed="false">
      <c r="A26" s="99" t="str">
        <f aca="false">IF($B26="","",IFERROR(INDEX(科目表!$A$4:$A$81,MATCH($B26,科目表!$B$4:$B$81,0)),""))</f>
        <v>2001</v>
      </c>
      <c r="B26" s="18" t="s">
        <v>362</v>
      </c>
      <c r="C26" s="67" t="str">
        <f aca="false">IF($B26="","",IFERROR(INDEX(科目表!$C$4:$C$81,MATCH($B26,科目表!$B$4:$B$81,0)),""))</f>
        <v>负债</v>
      </c>
      <c r="D26" s="67" t="str">
        <f aca="false">IF($B26="","",IFERROR(INDEX(科目表!$E$4:$E$81,MATCH($B26,科目表!$B$4:$B$81,0)),""))</f>
        <v>短期借款</v>
      </c>
      <c r="E26" s="70" t="n">
        <f aca="false">IF($B26="","",MAX(0,ROUND(SUMIFS(期初余额!$D$4:$D$81,期初余额!$B$4:$B$81,$B26)-SUMIFS(期初余额!$E$4:$E$81,期初余额!$B$4:$B$81,$B26)+SUMIFS(记账凭证!$H$4:$H$3609,记账凭证!$E$4:$E$3609,$B26,记账凭证!$B$4:$B$3609,"&lt;"&amp;$M$1)-SUMIFS(记账凭证!$I$4:$I$3609,记账凭证!$E$4:$E$3609,$B26,记账凭证!$B$4:$B$3609,"&lt;"&amp;$M$1),2)))</f>
        <v>0</v>
      </c>
      <c r="F26" s="70" t="n">
        <f aca="false">IF($B26="","",MAX(0,ROUND(-(SUMIFS(期初余额!$D$4:$D$81,期初余额!$B$4:$B$81,$B26)-SUMIFS(期初余额!$E$4:$E$81,期初余额!$B$4:$B$81,$B26)+SUMIFS(记账凭证!$H$4:$H$3609,记账凭证!$E$4:$E$3609,$B26,记账凭证!$B$4:$B$3609,"&lt;"&amp;$M$1)-SUMIFS(记账凭证!$I$4:$I$3609,记账凭证!$E$4:$E$3609,$B26,记账凭证!$B$4:$B$3609,"&lt;"&amp;$M$1)),2)))</f>
        <v>-0</v>
      </c>
      <c r="G26" s="70" t="n">
        <f aca="false">IF($B26="","",ROUND(SUMIFS(记账凭证!$H$4:$H$3609,记账凭证!$E$4:$E$3609,$B26,记账凭证!$B$4:$B$3609,"&gt;="&amp;$M$1,记账凭证!$B$4:$B$3609,"&lt;="&amp;$M$2),2))</f>
        <v>0</v>
      </c>
      <c r="H26" s="70" t="n">
        <f aca="false">IF($B26="","",ROUND(SUMIFS(记账凭证!$I$4:$I$3609,记账凭证!$E$4:$E$3609,$B26,记账凭证!$B$4:$B$3609,"&gt;="&amp;$M$1,记账凭证!$B$4:$B$3609,"&lt;="&amp;$M$2),2))</f>
        <v>330000</v>
      </c>
      <c r="I26" s="70" t="n">
        <f aca="false">IF($B26="","",MAX(0,ROUND($E26-$F26+$G26-$H26,2)))</f>
        <v>0</v>
      </c>
      <c r="J26" s="70" t="n">
        <f aca="false">IF($B26="","",MAX(0,ROUND($F26-$E26-$G26+$H26,2)))</f>
        <v>330000</v>
      </c>
    </row>
    <row r="27" customFormat="false" ht="18" hidden="false" customHeight="true" outlineLevel="0" collapsed="false">
      <c r="A27" s="99" t="str">
        <f aca="false">IF($B27="","",IFERROR(INDEX(科目表!$A$4:$A$81,MATCH($B27,科目表!$B$4:$B$81,0)),""))</f>
        <v>2201</v>
      </c>
      <c r="B27" s="18" t="s">
        <v>551</v>
      </c>
      <c r="C27" s="67" t="str">
        <f aca="false">IF($B27="","",IFERROR(INDEX(科目表!$C$4:$C$81,MATCH($B27,科目表!$B$4:$B$81,0)),""))</f>
        <v>负债</v>
      </c>
      <c r="D27" s="67" t="str">
        <f aca="false">IF($B27="","",IFERROR(INDEX(科目表!$E$4:$E$81,MATCH($B27,科目表!$B$4:$B$81,0)),""))</f>
        <v>应付票据</v>
      </c>
      <c r="E27" s="70" t="n">
        <f aca="false">IF($B27="","",MAX(0,ROUND(SUMIFS(期初余额!$D$4:$D$81,期初余额!$B$4:$B$81,$B27)-SUMIFS(期初余额!$E$4:$E$81,期初余额!$B$4:$B$81,$B27)+SUMIFS(记账凭证!$H$4:$H$3609,记账凭证!$E$4:$E$3609,$B27,记账凭证!$B$4:$B$3609,"&lt;"&amp;$M$1)-SUMIFS(记账凭证!$I$4:$I$3609,记账凭证!$E$4:$E$3609,$B27,记账凭证!$B$4:$B$3609,"&lt;"&amp;$M$1),2)))</f>
        <v>0</v>
      </c>
      <c r="F27" s="70" t="n">
        <f aca="false">IF($B27="","",MAX(0,ROUND(-(SUMIFS(期初余额!$D$4:$D$81,期初余额!$B$4:$B$81,$B27)-SUMIFS(期初余额!$E$4:$E$81,期初余额!$B$4:$B$81,$B27)+SUMIFS(记账凭证!$H$4:$H$3609,记账凭证!$E$4:$E$3609,$B27,记账凭证!$B$4:$B$3609,"&lt;"&amp;$M$1)-SUMIFS(记账凭证!$I$4:$I$3609,记账凭证!$E$4:$E$3609,$B27,记账凭证!$B$4:$B$3609,"&lt;"&amp;$M$1)),2)))</f>
        <v>-0</v>
      </c>
      <c r="G27" s="70" t="n">
        <f aca="false">IF($B27="","",ROUND(SUMIFS(记账凭证!$H$4:$H$3609,记账凭证!$E$4:$E$3609,$B27,记账凭证!$B$4:$B$3609,"&gt;="&amp;$M$1,记账凭证!$B$4:$B$3609,"&lt;="&amp;$M$2),2))</f>
        <v>0</v>
      </c>
      <c r="H27" s="70" t="n">
        <f aca="false">IF($B27="","",ROUND(SUMIFS(记账凭证!$I$4:$I$3609,记账凭证!$E$4:$E$3609,$B27,记账凭证!$B$4:$B$3609,"&gt;="&amp;$M$1,记账凭证!$B$4:$B$3609,"&lt;="&amp;$M$2),2))</f>
        <v>0</v>
      </c>
      <c r="I27" s="70" t="n">
        <f aca="false">IF($B27="","",MAX(0,ROUND($E27-$F27+$G27-$H27,2)))</f>
        <v>0</v>
      </c>
      <c r="J27" s="70" t="n">
        <f aca="false">IF($B27="","",MAX(0,ROUND($F27-$E27-$G27+$H27,2)))</f>
        <v>0</v>
      </c>
    </row>
    <row r="28" customFormat="false" ht="18" hidden="false" customHeight="true" outlineLevel="0" collapsed="false">
      <c r="A28" s="99" t="str">
        <f aca="false">IF($B28="","",IFERROR(INDEX(科目表!$A$4:$A$81,MATCH($B28,科目表!$B$4:$B$81,0)),""))</f>
        <v>2202</v>
      </c>
      <c r="B28" s="18" t="s">
        <v>303</v>
      </c>
      <c r="C28" s="67" t="str">
        <f aca="false">IF($B28="","",IFERROR(INDEX(科目表!$C$4:$C$81,MATCH($B28,科目表!$B$4:$B$81,0)),""))</f>
        <v>负债</v>
      </c>
      <c r="D28" s="67" t="str">
        <f aca="false">IF($B28="","",IFERROR(INDEX(科目表!$E$4:$E$81,MATCH($B28,科目表!$B$4:$B$81,0)),""))</f>
        <v>应付账款</v>
      </c>
      <c r="E28" s="70" t="n">
        <f aca="false">IF($B28="","",MAX(0,ROUND(SUMIFS(期初余额!$D$4:$D$81,期初余额!$B$4:$B$81,$B28)-SUMIFS(期初余额!$E$4:$E$81,期初余额!$B$4:$B$81,$B28)+SUMIFS(记账凭证!$H$4:$H$3609,记账凭证!$E$4:$E$3609,$B28,记账凭证!$B$4:$B$3609,"&lt;"&amp;$M$1)-SUMIFS(记账凭证!$I$4:$I$3609,记账凭证!$E$4:$E$3609,$B28,记账凭证!$B$4:$B$3609,"&lt;"&amp;$M$1),2)))</f>
        <v>0</v>
      </c>
      <c r="F28" s="70" t="n">
        <f aca="false">IF($B28="","",MAX(0,ROUND(-(SUMIFS(期初余额!$D$4:$D$81,期初余额!$B$4:$B$81,$B28)-SUMIFS(期初余额!$E$4:$E$81,期初余额!$B$4:$B$81,$B28)+SUMIFS(记账凭证!$H$4:$H$3609,记账凭证!$E$4:$E$3609,$B28,记账凭证!$B$4:$B$3609,"&lt;"&amp;$M$1)-SUMIFS(记账凭证!$I$4:$I$3609,记账凭证!$E$4:$E$3609,$B28,记账凭证!$B$4:$B$3609,"&lt;"&amp;$M$1)),2)))</f>
        <v>-0</v>
      </c>
      <c r="G28" s="70" t="n">
        <f aca="false">IF($B28="","",ROUND(SUMIFS(记账凭证!$H$4:$H$3609,记账凭证!$E$4:$E$3609,$B28,记账凭证!$B$4:$B$3609,"&gt;="&amp;$M$1,记账凭证!$B$4:$B$3609,"&lt;="&amp;$M$2),2))</f>
        <v>113000</v>
      </c>
      <c r="H28" s="70" t="n">
        <f aca="false">IF($B28="","",ROUND(SUMIFS(记账凭证!$I$4:$I$3609,记账凭证!$E$4:$E$3609,$B28,记账凭证!$B$4:$B$3609,"&gt;="&amp;$M$1,记账凭证!$B$4:$B$3609,"&lt;="&amp;$M$2),2))</f>
        <v>0</v>
      </c>
      <c r="I28" s="70" t="n">
        <f aca="false">IF($B28="","",MAX(0,ROUND($E28-$F28+$G28-$H28,2)))</f>
        <v>113000</v>
      </c>
      <c r="J28" s="70" t="n">
        <f aca="false">IF($B28="","",MAX(0,ROUND($F28-$E28-$G28+$H28,2)))</f>
        <v>0</v>
      </c>
    </row>
    <row r="29" customFormat="false" ht="18" hidden="false" customHeight="true" outlineLevel="0" collapsed="false">
      <c r="A29" s="99" t="str">
        <f aca="false">IF($B29="","",IFERROR(INDEX(科目表!$A$4:$A$81,MATCH($B29,科目表!$B$4:$B$81,0)),""))</f>
        <v>2203</v>
      </c>
      <c r="B29" s="18" t="s">
        <v>559</v>
      </c>
      <c r="C29" s="67" t="str">
        <f aca="false">IF($B29="","",IFERROR(INDEX(科目表!$C$4:$C$81,MATCH($B29,科目表!$B$4:$B$81,0)),""))</f>
        <v>负债</v>
      </c>
      <c r="D29" s="67" t="str">
        <f aca="false">IF($B29="","",IFERROR(INDEX(科目表!$E$4:$E$81,MATCH($B29,科目表!$B$4:$B$81,0)),""))</f>
        <v>预收款项</v>
      </c>
      <c r="E29" s="70" t="n">
        <f aca="false">IF($B29="","",MAX(0,ROUND(SUMIFS(期初余额!$D$4:$D$81,期初余额!$B$4:$B$81,$B29)-SUMIFS(期初余额!$E$4:$E$81,期初余额!$B$4:$B$81,$B29)+SUMIFS(记账凭证!$H$4:$H$3609,记账凭证!$E$4:$E$3609,$B29,记账凭证!$B$4:$B$3609,"&lt;"&amp;$M$1)-SUMIFS(记账凭证!$I$4:$I$3609,记账凭证!$E$4:$E$3609,$B29,记账凭证!$B$4:$B$3609,"&lt;"&amp;$M$1),2)))</f>
        <v>0</v>
      </c>
      <c r="F29" s="70" t="n">
        <f aca="false">IF($B29="","",MAX(0,ROUND(-(SUMIFS(期初余额!$D$4:$D$81,期初余额!$B$4:$B$81,$B29)-SUMIFS(期初余额!$E$4:$E$81,期初余额!$B$4:$B$81,$B29)+SUMIFS(记账凭证!$H$4:$H$3609,记账凭证!$E$4:$E$3609,$B29,记账凭证!$B$4:$B$3609,"&lt;"&amp;$M$1)-SUMIFS(记账凭证!$I$4:$I$3609,记账凭证!$E$4:$E$3609,$B29,记账凭证!$B$4:$B$3609,"&lt;"&amp;$M$1)),2)))</f>
        <v>-0</v>
      </c>
      <c r="G29" s="70" t="n">
        <f aca="false">IF($B29="","",ROUND(SUMIFS(记账凭证!$H$4:$H$3609,记账凭证!$E$4:$E$3609,$B29,记账凭证!$B$4:$B$3609,"&gt;="&amp;$M$1,记账凭证!$B$4:$B$3609,"&lt;="&amp;$M$2),2))</f>
        <v>0</v>
      </c>
      <c r="H29" s="70" t="n">
        <f aca="false">IF($B29="","",ROUND(SUMIFS(记账凭证!$I$4:$I$3609,记账凭证!$E$4:$E$3609,$B29,记账凭证!$B$4:$B$3609,"&gt;="&amp;$M$1,记账凭证!$B$4:$B$3609,"&lt;="&amp;$M$2),2))</f>
        <v>0</v>
      </c>
      <c r="I29" s="70" t="n">
        <f aca="false">IF($B29="","",MAX(0,ROUND($E29-$F29+$G29-$H29,2)))</f>
        <v>0</v>
      </c>
      <c r="J29" s="70" t="n">
        <f aca="false">IF($B29="","",MAX(0,ROUND($F29-$E29-$G29+$H29,2)))</f>
        <v>0</v>
      </c>
    </row>
    <row r="30" customFormat="false" ht="18" hidden="false" customHeight="true" outlineLevel="0" collapsed="false">
      <c r="A30" s="99" t="str">
        <f aca="false">IF($B30="","",IFERROR(INDEX(科目表!$A$4:$A$81,MATCH($B30,科目表!$B$4:$B$81,0)),""))</f>
        <v>2211</v>
      </c>
      <c r="B30" s="18" t="s">
        <v>564</v>
      </c>
      <c r="C30" s="67" t="str">
        <f aca="false">IF($B30="","",IFERROR(INDEX(科目表!$C$4:$C$81,MATCH($B30,科目表!$B$4:$B$81,0)),""))</f>
        <v>负债</v>
      </c>
      <c r="D30" s="67" t="str">
        <f aca="false">IF($B30="","",IFERROR(INDEX(科目表!$E$4:$E$81,MATCH($B30,科目表!$B$4:$B$81,0)),""))</f>
        <v>应付职工薪酬</v>
      </c>
      <c r="E30" s="70" t="n">
        <f aca="false">IF($B30="","",MAX(0,ROUND(SUMIFS(期初余额!$D$4:$D$81,期初余额!$B$4:$B$81,$B30)-SUMIFS(期初余额!$E$4:$E$81,期初余额!$B$4:$B$81,$B30)+SUMIFS(记账凭证!$H$4:$H$3609,记账凭证!$E$4:$E$3609,$B30,记账凭证!$B$4:$B$3609,"&lt;"&amp;$M$1)-SUMIFS(记账凭证!$I$4:$I$3609,记账凭证!$E$4:$E$3609,$B30,记账凭证!$B$4:$B$3609,"&lt;"&amp;$M$1),2)))</f>
        <v>0</v>
      </c>
      <c r="F30" s="70" t="n">
        <f aca="false">IF($B30="","",MAX(0,ROUND(-(SUMIFS(期初余额!$D$4:$D$81,期初余额!$B$4:$B$81,$B30)-SUMIFS(期初余额!$E$4:$E$81,期初余额!$B$4:$B$81,$B30)+SUMIFS(记账凭证!$H$4:$H$3609,记账凭证!$E$4:$E$3609,$B30,记账凭证!$B$4:$B$3609,"&lt;"&amp;$M$1)-SUMIFS(记账凭证!$I$4:$I$3609,记账凭证!$E$4:$E$3609,$B30,记账凭证!$B$4:$B$3609,"&lt;"&amp;$M$1)),2)))</f>
        <v>-0</v>
      </c>
      <c r="G30" s="70" t="n">
        <f aca="false">IF($B30="","",ROUND(SUMIFS(记账凭证!$H$4:$H$3609,记账凭证!$E$4:$E$3609,$B30,记账凭证!$B$4:$B$3609,"&gt;="&amp;$M$1,记账凭证!$B$4:$B$3609,"&lt;="&amp;$M$2),2))</f>
        <v>0</v>
      </c>
      <c r="H30" s="70" t="n">
        <f aca="false">IF($B30="","",ROUND(SUMIFS(记账凭证!$I$4:$I$3609,记账凭证!$E$4:$E$3609,$B30,记账凭证!$B$4:$B$3609,"&gt;="&amp;$M$1,记账凭证!$B$4:$B$3609,"&lt;="&amp;$M$2),2))</f>
        <v>0</v>
      </c>
      <c r="I30" s="70" t="n">
        <f aca="false">IF($B30="","",MAX(0,ROUND($E30-$F30+$G30-$H30,2)))</f>
        <v>0</v>
      </c>
      <c r="J30" s="70" t="n">
        <f aca="false">IF($B30="","",MAX(0,ROUND($F30-$E30-$G30+$H30,2)))</f>
        <v>0</v>
      </c>
    </row>
    <row r="31" customFormat="false" ht="18" hidden="false" customHeight="true" outlineLevel="0" collapsed="false">
      <c r="A31" s="99" t="str">
        <f aca="false">IF($B31="","",IFERROR(INDEX(科目表!$A$4:$A$81,MATCH($B31,科目表!$B$4:$B$81,0)),""))</f>
        <v>222101</v>
      </c>
      <c r="B31" s="18" t="s">
        <v>568</v>
      </c>
      <c r="C31" s="67" t="str">
        <f aca="false">IF($B31="","",IFERROR(INDEX(科目表!$C$4:$C$81,MATCH($B31,科目表!$B$4:$B$81,0)),""))</f>
        <v>负债</v>
      </c>
      <c r="D31" s="67" t="str">
        <f aca="false">IF($B31="","",IFERROR(INDEX(科目表!$E$4:$E$81,MATCH($B31,科目表!$B$4:$B$81,0)),""))</f>
        <v>应交税费</v>
      </c>
      <c r="E31" s="70" t="n">
        <f aca="false">IF($B31="","",MAX(0,ROUND(SUMIFS(期初余额!$D$4:$D$81,期初余额!$B$4:$B$81,$B31)-SUMIFS(期初余额!$E$4:$E$81,期初余额!$B$4:$B$81,$B31)+SUMIFS(记账凭证!$H$4:$H$3609,记账凭证!$E$4:$E$3609,$B31,记账凭证!$B$4:$B$3609,"&lt;"&amp;$M$1)-SUMIFS(记账凭证!$I$4:$I$3609,记账凭证!$E$4:$E$3609,$B31,记账凭证!$B$4:$B$3609,"&lt;"&amp;$M$1),2)))</f>
        <v>0</v>
      </c>
      <c r="F31" s="70" t="n">
        <f aca="false">IF($B31="","",MAX(0,ROUND(-(SUMIFS(期初余额!$D$4:$D$81,期初余额!$B$4:$B$81,$B31)-SUMIFS(期初余额!$E$4:$E$81,期初余额!$B$4:$B$81,$B31)+SUMIFS(记账凭证!$H$4:$H$3609,记账凭证!$E$4:$E$3609,$B31,记账凭证!$B$4:$B$3609,"&lt;"&amp;$M$1)-SUMIFS(记账凭证!$I$4:$I$3609,记账凭证!$E$4:$E$3609,$B31,记账凭证!$B$4:$B$3609,"&lt;"&amp;$M$1)),2)))</f>
        <v>-0</v>
      </c>
      <c r="G31" s="70" t="n">
        <f aca="false">IF($B31="","",ROUND(SUMIFS(记账凭证!$H$4:$H$3609,记账凭证!$E$4:$E$3609,$B31,记账凭证!$B$4:$B$3609,"&gt;="&amp;$M$1,记账凭证!$B$4:$B$3609,"&lt;="&amp;$M$2),2))</f>
        <v>0</v>
      </c>
      <c r="H31" s="70" t="n">
        <f aca="false">IF($B31="","",ROUND(SUMIFS(记账凭证!$I$4:$I$3609,记账凭证!$E$4:$E$3609,$B31,记账凭证!$B$4:$B$3609,"&gt;="&amp;$M$1,记账凭证!$B$4:$B$3609,"&lt;="&amp;$M$2),2))</f>
        <v>0</v>
      </c>
      <c r="I31" s="70" t="n">
        <f aca="false">IF($B31="","",MAX(0,ROUND($E31-$F31+$G31-$H31,2)))</f>
        <v>0</v>
      </c>
      <c r="J31" s="70" t="n">
        <f aca="false">IF($B31="","",MAX(0,ROUND($F31-$E31-$G31+$H31,2)))</f>
        <v>0</v>
      </c>
    </row>
    <row r="32" customFormat="false" ht="18" hidden="false" customHeight="true" outlineLevel="0" collapsed="false">
      <c r="A32" s="99" t="str">
        <f aca="false">IF($B32="","",IFERROR(INDEX(科目表!$A$4:$A$81,MATCH($B32,科目表!$B$4:$B$81,0)),""))</f>
        <v>222102</v>
      </c>
      <c r="B32" s="18" t="s">
        <v>573</v>
      </c>
      <c r="C32" s="67" t="str">
        <f aca="false">IF($B32="","",IFERROR(INDEX(科目表!$C$4:$C$81,MATCH($B32,科目表!$B$4:$B$81,0)),""))</f>
        <v>负债</v>
      </c>
      <c r="D32" s="67" t="str">
        <f aca="false">IF($B32="","",IFERROR(INDEX(科目表!$E$4:$E$81,MATCH($B32,科目表!$B$4:$B$81,0)),""))</f>
        <v>应交税费</v>
      </c>
      <c r="E32" s="70" t="n">
        <f aca="false">IF($B32="","",MAX(0,ROUND(SUMIFS(期初余额!$D$4:$D$81,期初余额!$B$4:$B$81,$B32)-SUMIFS(期初余额!$E$4:$E$81,期初余额!$B$4:$B$81,$B32)+SUMIFS(记账凭证!$H$4:$H$3609,记账凭证!$E$4:$E$3609,$B32,记账凭证!$B$4:$B$3609,"&lt;"&amp;$M$1)-SUMIFS(记账凭证!$I$4:$I$3609,记账凭证!$E$4:$E$3609,$B32,记账凭证!$B$4:$B$3609,"&lt;"&amp;$M$1),2)))</f>
        <v>0</v>
      </c>
      <c r="F32" s="70" t="n">
        <f aca="false">IF($B32="","",MAX(0,ROUND(-(SUMIFS(期初余额!$D$4:$D$81,期初余额!$B$4:$B$81,$B32)-SUMIFS(期初余额!$E$4:$E$81,期初余额!$B$4:$B$81,$B32)+SUMIFS(记账凭证!$H$4:$H$3609,记账凭证!$E$4:$E$3609,$B32,记账凭证!$B$4:$B$3609,"&lt;"&amp;$M$1)-SUMIFS(记账凭证!$I$4:$I$3609,记账凭证!$E$4:$E$3609,$B32,记账凭证!$B$4:$B$3609,"&lt;"&amp;$M$1)),2)))</f>
        <v>-0</v>
      </c>
      <c r="G32" s="70" t="n">
        <f aca="false">IF($B32="","",ROUND(SUMIFS(记账凭证!$H$4:$H$3609,记账凭证!$E$4:$E$3609,$B32,记账凭证!$B$4:$B$3609,"&gt;="&amp;$M$1,记账凭证!$B$4:$B$3609,"&lt;="&amp;$M$2),2))</f>
        <v>0</v>
      </c>
      <c r="H32" s="70" t="n">
        <f aca="false">IF($B32="","",ROUND(SUMIFS(记账凭证!$I$4:$I$3609,记账凭证!$E$4:$E$3609,$B32,记账凭证!$B$4:$B$3609,"&gt;="&amp;$M$1,记账凭证!$B$4:$B$3609,"&lt;="&amp;$M$2),2))</f>
        <v>0</v>
      </c>
      <c r="I32" s="70" t="n">
        <f aca="false">IF($B32="","",MAX(0,ROUND($E32-$F32+$G32-$H32,2)))</f>
        <v>0</v>
      </c>
      <c r="J32" s="70" t="n">
        <f aca="false">IF($B32="","",MAX(0,ROUND($F32-$E32-$G32+$H32,2)))</f>
        <v>0</v>
      </c>
    </row>
    <row r="33" customFormat="false" ht="18" hidden="false" customHeight="true" outlineLevel="0" collapsed="false">
      <c r="A33" s="99" t="str">
        <f aca="false">IF($B33="","",IFERROR(INDEX(科目表!$A$4:$A$81,MATCH($B33,科目表!$B$4:$B$81,0)),""))</f>
        <v>222103</v>
      </c>
      <c r="B33" s="18" t="s">
        <v>359</v>
      </c>
      <c r="C33" s="67" t="str">
        <f aca="false">IF($B33="","",IFERROR(INDEX(科目表!$C$4:$C$81,MATCH($B33,科目表!$B$4:$B$81,0)),""))</f>
        <v>负债</v>
      </c>
      <c r="D33" s="67" t="str">
        <f aca="false">IF($B33="","",IFERROR(INDEX(科目表!$E$4:$E$81,MATCH($B33,科目表!$B$4:$B$81,0)),""))</f>
        <v>应交税费</v>
      </c>
      <c r="E33" s="70" t="n">
        <f aca="false">IF($B33="","",MAX(0,ROUND(SUMIFS(期初余额!$D$4:$D$81,期初余额!$B$4:$B$81,$B33)-SUMIFS(期初余额!$E$4:$E$81,期初余额!$B$4:$B$81,$B33)+SUMIFS(记账凭证!$H$4:$H$3609,记账凭证!$E$4:$E$3609,$B33,记账凭证!$B$4:$B$3609,"&lt;"&amp;$M$1)-SUMIFS(记账凭证!$I$4:$I$3609,记账凭证!$E$4:$E$3609,$B33,记账凭证!$B$4:$B$3609,"&lt;"&amp;$M$1),2)))</f>
        <v>0</v>
      </c>
      <c r="F33" s="70" t="n">
        <f aca="false">IF($B33="","",MAX(0,ROUND(-(SUMIFS(期初余额!$D$4:$D$81,期初余额!$B$4:$B$81,$B33)-SUMIFS(期初余额!$E$4:$E$81,期初余额!$B$4:$B$81,$B33)+SUMIFS(记账凭证!$H$4:$H$3609,记账凭证!$E$4:$E$3609,$B33,记账凭证!$B$4:$B$3609,"&lt;"&amp;$M$1)-SUMIFS(记账凭证!$I$4:$I$3609,记账凭证!$E$4:$E$3609,$B33,记账凭证!$B$4:$B$3609,"&lt;"&amp;$M$1)),2)))</f>
        <v>-0</v>
      </c>
      <c r="G33" s="70" t="n">
        <f aca="false">IF($B33="","",ROUND(SUMIFS(记账凭证!$H$4:$H$3609,记账凭证!$E$4:$E$3609,$B33,记账凭证!$B$4:$B$3609,"&gt;="&amp;$M$1,记账凭证!$B$4:$B$3609,"&lt;="&amp;$M$2),2))</f>
        <v>0</v>
      </c>
      <c r="H33" s="70" t="n">
        <f aca="false">IF($B33="","",ROUND(SUMIFS(记账凭证!$I$4:$I$3609,记账凭证!$E$4:$E$3609,$B33,记账凭证!$B$4:$B$3609,"&gt;="&amp;$M$1,记账凭证!$B$4:$B$3609,"&lt;="&amp;$M$2),2))</f>
        <v>0</v>
      </c>
      <c r="I33" s="70" t="n">
        <f aca="false">IF($B33="","",MAX(0,ROUND($E33-$F33+$G33-$H33,2)))</f>
        <v>0</v>
      </c>
      <c r="J33" s="70" t="n">
        <f aca="false">IF($B33="","",MAX(0,ROUND($F33-$E33-$G33+$H33,2)))</f>
        <v>0</v>
      </c>
    </row>
    <row r="34" customFormat="false" ht="18" hidden="false" customHeight="true" outlineLevel="0" collapsed="false">
      <c r="A34" s="99" t="str">
        <f aca="false">IF($B34="","",IFERROR(INDEX(科目表!$A$4:$A$81,MATCH($B34,科目表!$B$4:$B$81,0)),""))</f>
        <v>222104</v>
      </c>
      <c r="B34" s="18" t="s">
        <v>580</v>
      </c>
      <c r="C34" s="67" t="str">
        <f aca="false">IF($B34="","",IFERROR(INDEX(科目表!$C$4:$C$81,MATCH($B34,科目表!$B$4:$B$81,0)),""))</f>
        <v>负债</v>
      </c>
      <c r="D34" s="67" t="str">
        <f aca="false">IF($B34="","",IFERROR(INDEX(科目表!$E$4:$E$81,MATCH($B34,科目表!$B$4:$B$81,0)),""))</f>
        <v>应交税费</v>
      </c>
      <c r="E34" s="70" t="n">
        <f aca="false">IF($B34="","",MAX(0,ROUND(SUMIFS(期初余额!$D$4:$D$81,期初余额!$B$4:$B$81,$B34)-SUMIFS(期初余额!$E$4:$E$81,期初余额!$B$4:$B$81,$B34)+SUMIFS(记账凭证!$H$4:$H$3609,记账凭证!$E$4:$E$3609,$B34,记账凭证!$B$4:$B$3609,"&lt;"&amp;$M$1)-SUMIFS(记账凭证!$I$4:$I$3609,记账凭证!$E$4:$E$3609,$B34,记账凭证!$B$4:$B$3609,"&lt;"&amp;$M$1),2)))</f>
        <v>0</v>
      </c>
      <c r="F34" s="70" t="n">
        <f aca="false">IF($B34="","",MAX(0,ROUND(-(SUMIFS(期初余额!$D$4:$D$81,期初余额!$B$4:$B$81,$B34)-SUMIFS(期初余额!$E$4:$E$81,期初余额!$B$4:$B$81,$B34)+SUMIFS(记账凭证!$H$4:$H$3609,记账凭证!$E$4:$E$3609,$B34,记账凭证!$B$4:$B$3609,"&lt;"&amp;$M$1)-SUMIFS(记账凭证!$I$4:$I$3609,记账凭证!$E$4:$E$3609,$B34,记账凭证!$B$4:$B$3609,"&lt;"&amp;$M$1)),2)))</f>
        <v>-0</v>
      </c>
      <c r="G34" s="70" t="n">
        <f aca="false">IF($B34="","",ROUND(SUMIFS(记账凭证!$H$4:$H$3609,记账凭证!$E$4:$E$3609,$B34,记账凭证!$B$4:$B$3609,"&gt;="&amp;$M$1,记账凭证!$B$4:$B$3609,"&lt;="&amp;$M$2),2))</f>
        <v>0</v>
      </c>
      <c r="H34" s="70" t="n">
        <f aca="false">IF($B34="","",ROUND(SUMIFS(记账凭证!$I$4:$I$3609,记账凭证!$E$4:$E$3609,$B34,记账凭证!$B$4:$B$3609,"&gt;="&amp;$M$1,记账凭证!$B$4:$B$3609,"&lt;="&amp;$M$2),2))</f>
        <v>0</v>
      </c>
      <c r="I34" s="70" t="n">
        <f aca="false">IF($B34="","",MAX(0,ROUND($E34-$F34+$G34-$H34,2)))</f>
        <v>0</v>
      </c>
      <c r="J34" s="70" t="n">
        <f aca="false">IF($B34="","",MAX(0,ROUND($F34-$E34-$G34+$H34,2)))</f>
        <v>0</v>
      </c>
    </row>
    <row r="35" customFormat="false" ht="18" hidden="false" customHeight="true" outlineLevel="0" collapsed="false">
      <c r="A35" s="99" t="str">
        <f aca="false">IF($B35="","",IFERROR(INDEX(科目表!$A$4:$A$81,MATCH($B35,科目表!$B$4:$B$81,0)),""))</f>
        <v>222105</v>
      </c>
      <c r="B35" s="18" t="s">
        <v>583</v>
      </c>
      <c r="C35" s="67" t="str">
        <f aca="false">IF($B35="","",IFERROR(INDEX(科目表!$C$4:$C$81,MATCH($B35,科目表!$B$4:$B$81,0)),""))</f>
        <v>负债</v>
      </c>
      <c r="D35" s="67" t="str">
        <f aca="false">IF($B35="","",IFERROR(INDEX(科目表!$E$4:$E$81,MATCH($B35,科目表!$B$4:$B$81,0)),""))</f>
        <v>应交税费</v>
      </c>
      <c r="E35" s="70" t="n">
        <f aca="false">IF($B35="","",MAX(0,ROUND(SUMIFS(期初余额!$D$4:$D$81,期初余额!$B$4:$B$81,$B35)-SUMIFS(期初余额!$E$4:$E$81,期初余额!$B$4:$B$81,$B35)+SUMIFS(记账凭证!$H$4:$H$3609,记账凭证!$E$4:$E$3609,$B35,记账凭证!$B$4:$B$3609,"&lt;"&amp;$M$1)-SUMIFS(记账凭证!$I$4:$I$3609,记账凭证!$E$4:$E$3609,$B35,记账凭证!$B$4:$B$3609,"&lt;"&amp;$M$1),2)))</f>
        <v>0</v>
      </c>
      <c r="F35" s="70" t="n">
        <f aca="false">IF($B35="","",MAX(0,ROUND(-(SUMIFS(期初余额!$D$4:$D$81,期初余额!$B$4:$B$81,$B35)-SUMIFS(期初余额!$E$4:$E$81,期初余额!$B$4:$B$81,$B35)+SUMIFS(记账凭证!$H$4:$H$3609,记账凭证!$E$4:$E$3609,$B35,记账凭证!$B$4:$B$3609,"&lt;"&amp;$M$1)-SUMIFS(记账凭证!$I$4:$I$3609,记账凭证!$E$4:$E$3609,$B35,记账凭证!$B$4:$B$3609,"&lt;"&amp;$M$1)),2)))</f>
        <v>-0</v>
      </c>
      <c r="G35" s="70" t="n">
        <f aca="false">IF($B35="","",ROUND(SUMIFS(记账凭证!$H$4:$H$3609,记账凭证!$E$4:$E$3609,$B35,记账凭证!$B$4:$B$3609,"&gt;="&amp;$M$1,记账凭证!$B$4:$B$3609,"&lt;="&amp;$M$2),2))</f>
        <v>0</v>
      </c>
      <c r="H35" s="70" t="n">
        <f aca="false">IF($B35="","",ROUND(SUMIFS(记账凭证!$I$4:$I$3609,记账凭证!$E$4:$E$3609,$B35,记账凭证!$B$4:$B$3609,"&gt;="&amp;$M$1,记账凭证!$B$4:$B$3609,"&lt;="&amp;$M$2),2))</f>
        <v>0</v>
      </c>
      <c r="I35" s="70" t="n">
        <f aca="false">IF($B35="","",MAX(0,ROUND($E35-$F35+$G35-$H35,2)))</f>
        <v>0</v>
      </c>
      <c r="J35" s="70" t="n">
        <f aca="false">IF($B35="","",MAX(0,ROUND($F35-$E35-$G35+$H35,2)))</f>
        <v>0</v>
      </c>
    </row>
    <row r="36" customFormat="false" ht="18" hidden="false" customHeight="true" outlineLevel="0" collapsed="false">
      <c r="A36" s="99" t="str">
        <f aca="false">IF($B36="","",IFERROR(INDEX(科目表!$A$4:$A$81,MATCH($B36,科目表!$B$4:$B$81,0)),""))</f>
        <v>222106</v>
      </c>
      <c r="B36" s="18" t="s">
        <v>587</v>
      </c>
      <c r="C36" s="67" t="str">
        <f aca="false">IF($B36="","",IFERROR(INDEX(科目表!$C$4:$C$81,MATCH($B36,科目表!$B$4:$B$81,0)),""))</f>
        <v>负债</v>
      </c>
      <c r="D36" s="67" t="str">
        <f aca="false">IF($B36="","",IFERROR(INDEX(科目表!$E$4:$E$81,MATCH($B36,科目表!$B$4:$B$81,0)),""))</f>
        <v>应交税费</v>
      </c>
      <c r="E36" s="70" t="n">
        <f aca="false">IF($B36="","",MAX(0,ROUND(SUMIFS(期初余额!$D$4:$D$81,期初余额!$B$4:$B$81,$B36)-SUMIFS(期初余额!$E$4:$E$81,期初余额!$B$4:$B$81,$B36)+SUMIFS(记账凭证!$H$4:$H$3609,记账凭证!$E$4:$E$3609,$B36,记账凭证!$B$4:$B$3609,"&lt;"&amp;$M$1)-SUMIFS(记账凭证!$I$4:$I$3609,记账凭证!$E$4:$E$3609,$B36,记账凭证!$B$4:$B$3609,"&lt;"&amp;$M$1),2)))</f>
        <v>0</v>
      </c>
      <c r="F36" s="70" t="n">
        <f aca="false">IF($B36="","",MAX(0,ROUND(-(SUMIFS(期初余额!$D$4:$D$81,期初余额!$B$4:$B$81,$B36)-SUMIFS(期初余额!$E$4:$E$81,期初余额!$B$4:$B$81,$B36)+SUMIFS(记账凭证!$H$4:$H$3609,记账凭证!$E$4:$E$3609,$B36,记账凭证!$B$4:$B$3609,"&lt;"&amp;$M$1)-SUMIFS(记账凭证!$I$4:$I$3609,记账凭证!$E$4:$E$3609,$B36,记账凭证!$B$4:$B$3609,"&lt;"&amp;$M$1)),2)))</f>
        <v>-0</v>
      </c>
      <c r="G36" s="70" t="n">
        <f aca="false">IF($B36="","",ROUND(SUMIFS(记账凭证!$H$4:$H$3609,记账凭证!$E$4:$E$3609,$B36,记账凭证!$B$4:$B$3609,"&gt;="&amp;$M$1,记账凭证!$B$4:$B$3609,"&lt;="&amp;$M$2),2))</f>
        <v>0</v>
      </c>
      <c r="H36" s="70" t="n">
        <f aca="false">IF($B36="","",ROUND(SUMIFS(记账凭证!$I$4:$I$3609,记账凭证!$E$4:$E$3609,$B36,记账凭证!$B$4:$B$3609,"&gt;="&amp;$M$1,记账凭证!$B$4:$B$3609,"&lt;="&amp;$M$2),2))</f>
        <v>0</v>
      </c>
      <c r="I36" s="70" t="n">
        <f aca="false">IF($B36="","",MAX(0,ROUND($E36-$F36+$G36-$H36,2)))</f>
        <v>0</v>
      </c>
      <c r="J36" s="70" t="n">
        <f aca="false">IF($B36="","",MAX(0,ROUND($F36-$E36-$G36+$H36,2)))</f>
        <v>0</v>
      </c>
    </row>
    <row r="37" customFormat="false" ht="18" hidden="false" customHeight="true" outlineLevel="0" collapsed="false">
      <c r="A37" s="99" t="str">
        <f aca="false">IF($B37="","",IFERROR(INDEX(科目表!$A$4:$A$81,MATCH($B37,科目表!$B$4:$B$81,0)),""))</f>
        <v>222107</v>
      </c>
      <c r="B37" s="18" t="s">
        <v>591</v>
      </c>
      <c r="C37" s="67" t="str">
        <f aca="false">IF($B37="","",IFERROR(INDEX(科目表!$C$4:$C$81,MATCH($B37,科目表!$B$4:$B$81,0)),""))</f>
        <v>负债</v>
      </c>
      <c r="D37" s="67" t="str">
        <f aca="false">IF($B37="","",IFERROR(INDEX(科目表!$E$4:$E$81,MATCH($B37,科目表!$B$4:$B$81,0)),""))</f>
        <v>应交税费</v>
      </c>
      <c r="E37" s="70" t="n">
        <f aca="false">IF($B37="","",MAX(0,ROUND(SUMIFS(期初余额!$D$4:$D$81,期初余额!$B$4:$B$81,$B37)-SUMIFS(期初余额!$E$4:$E$81,期初余额!$B$4:$B$81,$B37)+SUMIFS(记账凭证!$H$4:$H$3609,记账凭证!$E$4:$E$3609,$B37,记账凭证!$B$4:$B$3609,"&lt;"&amp;$M$1)-SUMIFS(记账凭证!$I$4:$I$3609,记账凭证!$E$4:$E$3609,$B37,记账凭证!$B$4:$B$3609,"&lt;"&amp;$M$1),2)))</f>
        <v>0</v>
      </c>
      <c r="F37" s="70" t="n">
        <f aca="false">IF($B37="","",MAX(0,ROUND(-(SUMIFS(期初余额!$D$4:$D$81,期初余额!$B$4:$B$81,$B37)-SUMIFS(期初余额!$E$4:$E$81,期初余额!$B$4:$B$81,$B37)+SUMIFS(记账凭证!$H$4:$H$3609,记账凭证!$E$4:$E$3609,$B37,记账凭证!$B$4:$B$3609,"&lt;"&amp;$M$1)-SUMIFS(记账凭证!$I$4:$I$3609,记账凭证!$E$4:$E$3609,$B37,记账凭证!$B$4:$B$3609,"&lt;"&amp;$M$1)),2)))</f>
        <v>-0</v>
      </c>
      <c r="G37" s="70" t="n">
        <f aca="false">IF($B37="","",ROUND(SUMIFS(记账凭证!$H$4:$H$3609,记账凭证!$E$4:$E$3609,$B37,记账凭证!$B$4:$B$3609,"&gt;="&amp;$M$1,记账凭证!$B$4:$B$3609,"&lt;="&amp;$M$2),2))</f>
        <v>0</v>
      </c>
      <c r="H37" s="70" t="n">
        <f aca="false">IF($B37="","",ROUND(SUMIFS(记账凭证!$I$4:$I$3609,记账凭证!$E$4:$E$3609,$B37,记账凭证!$B$4:$B$3609,"&gt;="&amp;$M$1,记账凭证!$B$4:$B$3609,"&lt;="&amp;$M$2),2))</f>
        <v>0</v>
      </c>
      <c r="I37" s="70" t="n">
        <f aca="false">IF($B37="","",MAX(0,ROUND($E37-$F37+$G37-$H37,2)))</f>
        <v>0</v>
      </c>
      <c r="J37" s="70" t="n">
        <f aca="false">IF($B37="","",MAX(0,ROUND($F37-$E37-$G37+$H37,2)))</f>
        <v>0</v>
      </c>
    </row>
    <row r="38" customFormat="false" ht="18" hidden="false" customHeight="true" outlineLevel="0" collapsed="false">
      <c r="A38" s="99" t="str">
        <f aca="false">IF($B38="","",IFERROR(INDEX(科目表!$A$4:$A$81,MATCH($B38,科目表!$B$4:$B$81,0)),""))</f>
        <v>222108</v>
      </c>
      <c r="B38" s="18" t="s">
        <v>595</v>
      </c>
      <c r="C38" s="67" t="str">
        <f aca="false">IF($B38="","",IFERROR(INDEX(科目表!$C$4:$C$81,MATCH($B38,科目表!$B$4:$B$81,0)),""))</f>
        <v>负债</v>
      </c>
      <c r="D38" s="67" t="str">
        <f aca="false">IF($B38="","",IFERROR(INDEX(科目表!$E$4:$E$81,MATCH($B38,科目表!$B$4:$B$81,0)),""))</f>
        <v>应交税费</v>
      </c>
      <c r="E38" s="70" t="n">
        <f aca="false">IF($B38="","",MAX(0,ROUND(SUMIFS(期初余额!$D$4:$D$81,期初余额!$B$4:$B$81,$B38)-SUMIFS(期初余额!$E$4:$E$81,期初余额!$B$4:$B$81,$B38)+SUMIFS(记账凭证!$H$4:$H$3609,记账凭证!$E$4:$E$3609,$B38,记账凭证!$B$4:$B$3609,"&lt;"&amp;$M$1)-SUMIFS(记账凭证!$I$4:$I$3609,记账凭证!$E$4:$E$3609,$B38,记账凭证!$B$4:$B$3609,"&lt;"&amp;$M$1),2)))</f>
        <v>0</v>
      </c>
      <c r="F38" s="70" t="n">
        <f aca="false">IF($B38="","",MAX(0,ROUND(-(SUMIFS(期初余额!$D$4:$D$81,期初余额!$B$4:$B$81,$B38)-SUMIFS(期初余额!$E$4:$E$81,期初余额!$B$4:$B$81,$B38)+SUMIFS(记账凭证!$H$4:$H$3609,记账凭证!$E$4:$E$3609,$B38,记账凭证!$B$4:$B$3609,"&lt;"&amp;$M$1)-SUMIFS(记账凭证!$I$4:$I$3609,记账凭证!$E$4:$E$3609,$B38,记账凭证!$B$4:$B$3609,"&lt;"&amp;$M$1)),2)))</f>
        <v>-0</v>
      </c>
      <c r="G38" s="70" t="n">
        <f aca="false">IF($B38="","",ROUND(SUMIFS(记账凭证!$H$4:$H$3609,记账凭证!$E$4:$E$3609,$B38,记账凭证!$B$4:$B$3609,"&gt;="&amp;$M$1,记账凭证!$B$4:$B$3609,"&lt;="&amp;$M$2),2))</f>
        <v>0</v>
      </c>
      <c r="H38" s="70" t="n">
        <f aca="false">IF($B38="","",ROUND(SUMIFS(记账凭证!$I$4:$I$3609,记账凭证!$E$4:$E$3609,$B38,记账凭证!$B$4:$B$3609,"&gt;="&amp;$M$1,记账凭证!$B$4:$B$3609,"&lt;="&amp;$M$2),2))</f>
        <v>0</v>
      </c>
      <c r="I38" s="70" t="n">
        <f aca="false">IF($B38="","",MAX(0,ROUND($E38-$F38+$G38-$H38,2)))</f>
        <v>0</v>
      </c>
      <c r="J38" s="70" t="n">
        <f aca="false">IF($B38="","",MAX(0,ROUND($F38-$E38-$G38+$H38,2)))</f>
        <v>0</v>
      </c>
    </row>
    <row r="39" customFormat="false" ht="18" hidden="false" customHeight="true" outlineLevel="0" collapsed="false">
      <c r="A39" s="99" t="str">
        <f aca="false">IF($B39="","",IFERROR(INDEX(科目表!$A$4:$A$81,MATCH($B39,科目表!$B$4:$B$81,0)),""))</f>
        <v>222109</v>
      </c>
      <c r="B39" s="18" t="s">
        <v>599</v>
      </c>
      <c r="C39" s="67" t="str">
        <f aca="false">IF($B39="","",IFERROR(INDEX(科目表!$C$4:$C$81,MATCH($B39,科目表!$B$4:$B$81,0)),""))</f>
        <v>负债</v>
      </c>
      <c r="D39" s="67" t="str">
        <f aca="false">IF($B39="","",IFERROR(INDEX(科目表!$E$4:$E$81,MATCH($B39,科目表!$B$4:$B$81,0)),""))</f>
        <v>应交税费</v>
      </c>
      <c r="E39" s="70" t="n">
        <f aca="false">IF($B39="","",MAX(0,ROUND(SUMIFS(期初余额!$D$4:$D$81,期初余额!$B$4:$B$81,$B39)-SUMIFS(期初余额!$E$4:$E$81,期初余额!$B$4:$B$81,$B39)+SUMIFS(记账凭证!$H$4:$H$3609,记账凭证!$E$4:$E$3609,$B39,记账凭证!$B$4:$B$3609,"&lt;"&amp;$M$1)-SUMIFS(记账凭证!$I$4:$I$3609,记账凭证!$E$4:$E$3609,$B39,记账凭证!$B$4:$B$3609,"&lt;"&amp;$M$1),2)))</f>
        <v>0</v>
      </c>
      <c r="F39" s="70" t="n">
        <f aca="false">IF($B39="","",MAX(0,ROUND(-(SUMIFS(期初余额!$D$4:$D$81,期初余额!$B$4:$B$81,$B39)-SUMIFS(期初余额!$E$4:$E$81,期初余额!$B$4:$B$81,$B39)+SUMIFS(记账凭证!$H$4:$H$3609,记账凭证!$E$4:$E$3609,$B39,记账凭证!$B$4:$B$3609,"&lt;"&amp;$M$1)-SUMIFS(记账凭证!$I$4:$I$3609,记账凭证!$E$4:$E$3609,$B39,记账凭证!$B$4:$B$3609,"&lt;"&amp;$M$1)),2)))</f>
        <v>-0</v>
      </c>
      <c r="G39" s="70" t="n">
        <f aca="false">IF($B39="","",ROUND(SUMIFS(记账凭证!$H$4:$H$3609,记账凭证!$E$4:$E$3609,$B39,记账凭证!$B$4:$B$3609,"&gt;="&amp;$M$1,记账凭证!$B$4:$B$3609,"&lt;="&amp;$M$2),2))</f>
        <v>0</v>
      </c>
      <c r="H39" s="70" t="n">
        <f aca="false">IF($B39="","",ROUND(SUMIFS(记账凭证!$I$4:$I$3609,记账凭证!$E$4:$E$3609,$B39,记账凭证!$B$4:$B$3609,"&gt;="&amp;$M$1,记账凭证!$B$4:$B$3609,"&lt;="&amp;$M$2),2))</f>
        <v>0</v>
      </c>
      <c r="I39" s="70" t="n">
        <f aca="false">IF($B39="","",MAX(0,ROUND($E39-$F39+$G39-$H39,2)))</f>
        <v>0</v>
      </c>
      <c r="J39" s="70" t="n">
        <f aca="false">IF($B39="","",MAX(0,ROUND($F39-$E39-$G39+$H39,2)))</f>
        <v>0</v>
      </c>
    </row>
    <row r="40" customFormat="false" ht="18" hidden="false" customHeight="true" outlineLevel="0" collapsed="false">
      <c r="A40" s="99" t="str">
        <f aca="false">IF($B40="","",IFERROR(INDEX(科目表!$A$4:$A$81,MATCH($B40,科目表!$B$4:$B$81,0)),""))</f>
        <v>222110</v>
      </c>
      <c r="B40" s="18" t="s">
        <v>602</v>
      </c>
      <c r="C40" s="67" t="str">
        <f aca="false">IF($B40="","",IFERROR(INDEX(科目表!$C$4:$C$81,MATCH($B40,科目表!$B$4:$B$81,0)),""))</f>
        <v>负债</v>
      </c>
      <c r="D40" s="67" t="str">
        <f aca="false">IF($B40="","",IFERROR(INDEX(科目表!$E$4:$E$81,MATCH($B40,科目表!$B$4:$B$81,0)),""))</f>
        <v>应交税费</v>
      </c>
      <c r="E40" s="70" t="n">
        <f aca="false">IF($B40="","",MAX(0,ROUND(SUMIFS(期初余额!$D$4:$D$81,期初余额!$B$4:$B$81,$B40)-SUMIFS(期初余额!$E$4:$E$81,期初余额!$B$4:$B$81,$B40)+SUMIFS(记账凭证!$H$4:$H$3609,记账凭证!$E$4:$E$3609,$B40,记账凭证!$B$4:$B$3609,"&lt;"&amp;$M$1)-SUMIFS(记账凭证!$I$4:$I$3609,记账凭证!$E$4:$E$3609,$B40,记账凭证!$B$4:$B$3609,"&lt;"&amp;$M$1),2)))</f>
        <v>0</v>
      </c>
      <c r="F40" s="70" t="n">
        <f aca="false">IF($B40="","",MAX(0,ROUND(-(SUMIFS(期初余额!$D$4:$D$81,期初余额!$B$4:$B$81,$B40)-SUMIFS(期初余额!$E$4:$E$81,期初余额!$B$4:$B$81,$B40)+SUMIFS(记账凭证!$H$4:$H$3609,记账凭证!$E$4:$E$3609,$B40,记账凭证!$B$4:$B$3609,"&lt;"&amp;$M$1)-SUMIFS(记账凭证!$I$4:$I$3609,记账凭证!$E$4:$E$3609,$B40,记账凭证!$B$4:$B$3609,"&lt;"&amp;$M$1)),2)))</f>
        <v>-0</v>
      </c>
      <c r="G40" s="70" t="n">
        <f aca="false">IF($B40="","",ROUND(SUMIFS(记账凭证!$H$4:$H$3609,记账凭证!$E$4:$E$3609,$B40,记账凭证!$B$4:$B$3609,"&gt;="&amp;$M$1,记账凭证!$B$4:$B$3609,"&lt;="&amp;$M$2),2))</f>
        <v>0</v>
      </c>
      <c r="H40" s="70" t="n">
        <f aca="false">IF($B40="","",ROUND(SUMIFS(记账凭证!$I$4:$I$3609,记账凭证!$E$4:$E$3609,$B40,记账凭证!$B$4:$B$3609,"&gt;="&amp;$M$1,记账凭证!$B$4:$B$3609,"&lt;="&amp;$M$2),2))</f>
        <v>0</v>
      </c>
      <c r="I40" s="70" t="n">
        <f aca="false">IF($B40="","",MAX(0,ROUND($E40-$F40+$G40-$H40,2)))</f>
        <v>0</v>
      </c>
      <c r="J40" s="70" t="n">
        <f aca="false">IF($B40="","",MAX(0,ROUND($F40-$E40-$G40+$H40,2)))</f>
        <v>0</v>
      </c>
    </row>
    <row r="41" customFormat="false" ht="18" hidden="false" customHeight="true" outlineLevel="0" collapsed="false">
      <c r="A41" s="99" t="str">
        <f aca="false">IF($B41="","",IFERROR(INDEX(科目表!$A$4:$A$81,MATCH($B41,科目表!$B$4:$B$81,0)),""))</f>
        <v>2231</v>
      </c>
      <c r="B41" s="18" t="s">
        <v>605</v>
      </c>
      <c r="C41" s="67" t="str">
        <f aca="false">IF($B41="","",IFERROR(INDEX(科目表!$C$4:$C$81,MATCH($B41,科目表!$B$4:$B$81,0)),""))</f>
        <v>负债</v>
      </c>
      <c r="D41" s="67" t="str">
        <f aca="false">IF($B41="","",IFERROR(INDEX(科目表!$E$4:$E$81,MATCH($B41,科目表!$B$4:$B$81,0)),""))</f>
        <v>应付利息</v>
      </c>
      <c r="E41" s="70" t="n">
        <f aca="false">IF($B41="","",MAX(0,ROUND(SUMIFS(期初余额!$D$4:$D$81,期初余额!$B$4:$B$81,$B41)-SUMIFS(期初余额!$E$4:$E$81,期初余额!$B$4:$B$81,$B41)+SUMIFS(记账凭证!$H$4:$H$3609,记账凭证!$E$4:$E$3609,$B41,记账凭证!$B$4:$B$3609,"&lt;"&amp;$M$1)-SUMIFS(记账凭证!$I$4:$I$3609,记账凭证!$E$4:$E$3609,$B41,记账凭证!$B$4:$B$3609,"&lt;"&amp;$M$1),2)))</f>
        <v>0</v>
      </c>
      <c r="F41" s="70" t="n">
        <f aca="false">IF($B41="","",MAX(0,ROUND(-(SUMIFS(期初余额!$D$4:$D$81,期初余额!$B$4:$B$81,$B41)-SUMIFS(期初余额!$E$4:$E$81,期初余额!$B$4:$B$81,$B41)+SUMIFS(记账凭证!$H$4:$H$3609,记账凭证!$E$4:$E$3609,$B41,记账凭证!$B$4:$B$3609,"&lt;"&amp;$M$1)-SUMIFS(记账凭证!$I$4:$I$3609,记账凭证!$E$4:$E$3609,$B41,记账凭证!$B$4:$B$3609,"&lt;"&amp;$M$1)),2)))</f>
        <v>-0</v>
      </c>
      <c r="G41" s="70" t="n">
        <f aca="false">IF($B41="","",ROUND(SUMIFS(记账凭证!$H$4:$H$3609,记账凭证!$E$4:$E$3609,$B41,记账凭证!$B$4:$B$3609,"&gt;="&amp;$M$1,记账凭证!$B$4:$B$3609,"&lt;="&amp;$M$2),2))</f>
        <v>0</v>
      </c>
      <c r="H41" s="70" t="n">
        <f aca="false">IF($B41="","",ROUND(SUMIFS(记账凭证!$I$4:$I$3609,记账凭证!$E$4:$E$3609,$B41,记账凭证!$B$4:$B$3609,"&gt;="&amp;$M$1,记账凭证!$B$4:$B$3609,"&lt;="&amp;$M$2),2))</f>
        <v>0</v>
      </c>
      <c r="I41" s="70" t="n">
        <f aca="false">IF($B41="","",MAX(0,ROUND($E41-$F41+$G41-$H41,2)))</f>
        <v>0</v>
      </c>
      <c r="J41" s="70" t="n">
        <f aca="false">IF($B41="","",MAX(0,ROUND($F41-$E41-$G41+$H41,2)))</f>
        <v>0</v>
      </c>
    </row>
    <row r="42" customFormat="false" ht="18" hidden="false" customHeight="true" outlineLevel="0" collapsed="false">
      <c r="A42" s="99" t="str">
        <f aca="false">IF($B42="","",IFERROR(INDEX(科目表!$A$4:$A$81,MATCH($B42,科目表!$B$4:$B$81,0)),""))</f>
        <v>2232</v>
      </c>
      <c r="B42" s="18" t="s">
        <v>608</v>
      </c>
      <c r="C42" s="67" t="str">
        <f aca="false">IF($B42="","",IFERROR(INDEX(科目表!$C$4:$C$81,MATCH($B42,科目表!$B$4:$B$81,0)),""))</f>
        <v>负债</v>
      </c>
      <c r="D42" s="67" t="str">
        <f aca="false">IF($B42="","",IFERROR(INDEX(科目表!$E$4:$E$81,MATCH($B42,科目表!$B$4:$B$81,0)),""))</f>
        <v>应付利润</v>
      </c>
      <c r="E42" s="70" t="n">
        <f aca="false">IF($B42="","",MAX(0,ROUND(SUMIFS(期初余额!$D$4:$D$81,期初余额!$B$4:$B$81,$B42)-SUMIFS(期初余额!$E$4:$E$81,期初余额!$B$4:$B$81,$B42)+SUMIFS(记账凭证!$H$4:$H$3609,记账凭证!$E$4:$E$3609,$B42,记账凭证!$B$4:$B$3609,"&lt;"&amp;$M$1)-SUMIFS(记账凭证!$I$4:$I$3609,记账凭证!$E$4:$E$3609,$B42,记账凭证!$B$4:$B$3609,"&lt;"&amp;$M$1),2)))</f>
        <v>0</v>
      </c>
      <c r="F42" s="70" t="n">
        <f aca="false">IF($B42="","",MAX(0,ROUND(-(SUMIFS(期初余额!$D$4:$D$81,期初余额!$B$4:$B$81,$B42)-SUMIFS(期初余额!$E$4:$E$81,期初余额!$B$4:$B$81,$B42)+SUMIFS(记账凭证!$H$4:$H$3609,记账凭证!$E$4:$E$3609,$B42,记账凭证!$B$4:$B$3609,"&lt;"&amp;$M$1)-SUMIFS(记账凭证!$I$4:$I$3609,记账凭证!$E$4:$E$3609,$B42,记账凭证!$B$4:$B$3609,"&lt;"&amp;$M$1)),2)))</f>
        <v>-0</v>
      </c>
      <c r="G42" s="70" t="n">
        <f aca="false">IF($B42="","",ROUND(SUMIFS(记账凭证!$H$4:$H$3609,记账凭证!$E$4:$E$3609,$B42,记账凭证!$B$4:$B$3609,"&gt;="&amp;$M$1,记账凭证!$B$4:$B$3609,"&lt;="&amp;$M$2),2))</f>
        <v>0</v>
      </c>
      <c r="H42" s="70" t="n">
        <f aca="false">IF($B42="","",ROUND(SUMIFS(记账凭证!$I$4:$I$3609,记账凭证!$E$4:$E$3609,$B42,记账凭证!$B$4:$B$3609,"&gt;="&amp;$M$1,记账凭证!$B$4:$B$3609,"&lt;="&amp;$M$2),2))</f>
        <v>0</v>
      </c>
      <c r="I42" s="70" t="n">
        <f aca="false">IF($B42="","",MAX(0,ROUND($E42-$F42+$G42-$H42,2)))</f>
        <v>0</v>
      </c>
      <c r="J42" s="70" t="n">
        <f aca="false">IF($B42="","",MAX(0,ROUND($F42-$E42-$G42+$H42,2)))</f>
        <v>0</v>
      </c>
    </row>
    <row r="43" customFormat="false" ht="18" hidden="false" customHeight="true" outlineLevel="0" collapsed="false">
      <c r="A43" s="99" t="str">
        <f aca="false">IF($B43="","",IFERROR(INDEX(科目表!$A$4:$A$81,MATCH($B43,科目表!$B$4:$B$81,0)),""))</f>
        <v>2241</v>
      </c>
      <c r="B43" s="18" t="s">
        <v>371</v>
      </c>
      <c r="C43" s="67" t="str">
        <f aca="false">IF($B43="","",IFERROR(INDEX(科目表!$C$4:$C$81,MATCH($B43,科目表!$B$4:$B$81,0)),""))</f>
        <v>负债</v>
      </c>
      <c r="D43" s="67" t="str">
        <f aca="false">IF($B43="","",IFERROR(INDEX(科目表!$E$4:$E$81,MATCH($B43,科目表!$B$4:$B$81,0)),""))</f>
        <v>其他应付款</v>
      </c>
      <c r="E43" s="70" t="n">
        <f aca="false">IF($B43="","",MAX(0,ROUND(SUMIFS(期初余额!$D$4:$D$81,期初余额!$B$4:$B$81,$B43)-SUMIFS(期初余额!$E$4:$E$81,期初余额!$B$4:$B$81,$B43)+SUMIFS(记账凭证!$H$4:$H$3609,记账凭证!$E$4:$E$3609,$B43,记账凭证!$B$4:$B$3609,"&lt;"&amp;$M$1)-SUMIFS(记账凭证!$I$4:$I$3609,记账凭证!$E$4:$E$3609,$B43,记账凭证!$B$4:$B$3609,"&lt;"&amp;$M$1),2)))</f>
        <v>0</v>
      </c>
      <c r="F43" s="70" t="n">
        <f aca="false">IF($B43="","",MAX(0,ROUND(-(SUMIFS(期初余额!$D$4:$D$81,期初余额!$B$4:$B$81,$B43)-SUMIFS(期初余额!$E$4:$E$81,期初余额!$B$4:$B$81,$B43)+SUMIFS(记账凭证!$H$4:$H$3609,记账凭证!$E$4:$E$3609,$B43,记账凭证!$B$4:$B$3609,"&lt;"&amp;$M$1)-SUMIFS(记账凭证!$I$4:$I$3609,记账凭证!$E$4:$E$3609,$B43,记账凭证!$B$4:$B$3609,"&lt;"&amp;$M$1)),2)))</f>
        <v>-0</v>
      </c>
      <c r="G43" s="70" t="n">
        <f aca="false">IF($B43="","",ROUND(SUMIFS(记账凭证!$H$4:$H$3609,记账凭证!$E$4:$E$3609,$B43,记账凭证!$B$4:$B$3609,"&gt;="&amp;$M$1,记账凭证!$B$4:$B$3609,"&lt;="&amp;$M$2),2))</f>
        <v>43220</v>
      </c>
      <c r="H43" s="70" t="n">
        <f aca="false">IF($B43="","",ROUND(SUMIFS(记账凭证!$I$4:$I$3609,记账凭证!$E$4:$E$3609,$B43,记账凭证!$B$4:$B$3609,"&gt;="&amp;$M$1,记账凭证!$B$4:$B$3609,"&lt;="&amp;$M$2),2))</f>
        <v>8975</v>
      </c>
      <c r="I43" s="70" t="n">
        <f aca="false">IF($B43="","",MAX(0,ROUND($E43-$F43+$G43-$H43,2)))</f>
        <v>34245</v>
      </c>
      <c r="J43" s="70" t="n">
        <f aca="false">IF($B43="","",MAX(0,ROUND($F43-$E43-$G43+$H43,2)))</f>
        <v>0</v>
      </c>
    </row>
    <row r="44" customFormat="false" ht="18" hidden="false" customHeight="true" outlineLevel="0" collapsed="false">
      <c r="A44" s="99" t="str">
        <f aca="false">IF($B44="","",IFERROR(INDEX(科目表!$A$4:$A$81,MATCH($B44,科目表!$B$4:$B$81,0)),""))</f>
        <v>2401</v>
      </c>
      <c r="B44" s="18" t="s">
        <v>613</v>
      </c>
      <c r="C44" s="67" t="str">
        <f aca="false">IF($B44="","",IFERROR(INDEX(科目表!$C$4:$C$81,MATCH($B44,科目表!$B$4:$B$81,0)),""))</f>
        <v>负债</v>
      </c>
      <c r="D44" s="67" t="str">
        <f aca="false">IF($B44="","",IFERROR(INDEX(科目表!$E$4:$E$81,MATCH($B44,科目表!$B$4:$B$81,0)),""))</f>
        <v>递延收益</v>
      </c>
      <c r="E44" s="70" t="n">
        <f aca="false">IF($B44="","",MAX(0,ROUND(SUMIFS(期初余额!$D$4:$D$81,期初余额!$B$4:$B$81,$B44)-SUMIFS(期初余额!$E$4:$E$81,期初余额!$B$4:$B$81,$B44)+SUMIFS(记账凭证!$H$4:$H$3609,记账凭证!$E$4:$E$3609,$B44,记账凭证!$B$4:$B$3609,"&lt;"&amp;$M$1)-SUMIFS(记账凭证!$I$4:$I$3609,记账凭证!$E$4:$E$3609,$B44,记账凭证!$B$4:$B$3609,"&lt;"&amp;$M$1),2)))</f>
        <v>0</v>
      </c>
      <c r="F44" s="70" t="n">
        <f aca="false">IF($B44="","",MAX(0,ROUND(-(SUMIFS(期初余额!$D$4:$D$81,期初余额!$B$4:$B$81,$B44)-SUMIFS(期初余额!$E$4:$E$81,期初余额!$B$4:$B$81,$B44)+SUMIFS(记账凭证!$H$4:$H$3609,记账凭证!$E$4:$E$3609,$B44,记账凭证!$B$4:$B$3609,"&lt;"&amp;$M$1)-SUMIFS(记账凭证!$I$4:$I$3609,记账凭证!$E$4:$E$3609,$B44,记账凭证!$B$4:$B$3609,"&lt;"&amp;$M$1)),2)))</f>
        <v>-0</v>
      </c>
      <c r="G44" s="70" t="n">
        <f aca="false">IF($B44="","",ROUND(SUMIFS(记账凭证!$H$4:$H$3609,记账凭证!$E$4:$E$3609,$B44,记账凭证!$B$4:$B$3609,"&gt;="&amp;$M$1,记账凭证!$B$4:$B$3609,"&lt;="&amp;$M$2),2))</f>
        <v>0</v>
      </c>
      <c r="H44" s="70" t="n">
        <f aca="false">IF($B44="","",ROUND(SUMIFS(记账凭证!$I$4:$I$3609,记账凭证!$E$4:$E$3609,$B44,记账凭证!$B$4:$B$3609,"&gt;="&amp;$M$1,记账凭证!$B$4:$B$3609,"&lt;="&amp;$M$2),2))</f>
        <v>0</v>
      </c>
      <c r="I44" s="70" t="n">
        <f aca="false">IF($B44="","",MAX(0,ROUND($E44-$F44+$G44-$H44,2)))</f>
        <v>0</v>
      </c>
      <c r="J44" s="70" t="n">
        <f aca="false">IF($B44="","",MAX(0,ROUND($F44-$E44-$G44+$H44,2)))</f>
        <v>0</v>
      </c>
    </row>
    <row r="45" customFormat="false" ht="18" hidden="false" customHeight="true" outlineLevel="0" collapsed="false">
      <c r="A45" s="99" t="str">
        <f aca="false">IF($B45="","",IFERROR(INDEX(科目表!$A$4:$A$81,MATCH($B45,科目表!$B$4:$B$81,0)),""))</f>
        <v>2501</v>
      </c>
      <c r="B45" s="18" t="s">
        <v>616</v>
      </c>
      <c r="C45" s="67" t="str">
        <f aca="false">IF($B45="","",IFERROR(INDEX(科目表!$C$4:$C$81,MATCH($B45,科目表!$B$4:$B$81,0)),""))</f>
        <v>负债</v>
      </c>
      <c r="D45" s="67" t="str">
        <f aca="false">IF($B45="","",IFERROR(INDEX(科目表!$E$4:$E$81,MATCH($B45,科目表!$B$4:$B$81,0)),""))</f>
        <v>长期借款</v>
      </c>
      <c r="E45" s="70" t="n">
        <f aca="false">IF($B45="","",MAX(0,ROUND(SUMIFS(期初余额!$D$4:$D$81,期初余额!$B$4:$B$81,$B45)-SUMIFS(期初余额!$E$4:$E$81,期初余额!$B$4:$B$81,$B45)+SUMIFS(记账凭证!$H$4:$H$3609,记账凭证!$E$4:$E$3609,$B45,记账凭证!$B$4:$B$3609,"&lt;"&amp;$M$1)-SUMIFS(记账凭证!$I$4:$I$3609,记账凭证!$E$4:$E$3609,$B45,记账凭证!$B$4:$B$3609,"&lt;"&amp;$M$1),2)))</f>
        <v>0</v>
      </c>
      <c r="F45" s="70" t="n">
        <f aca="false">IF($B45="","",MAX(0,ROUND(-(SUMIFS(期初余额!$D$4:$D$81,期初余额!$B$4:$B$81,$B45)-SUMIFS(期初余额!$E$4:$E$81,期初余额!$B$4:$B$81,$B45)+SUMIFS(记账凭证!$H$4:$H$3609,记账凭证!$E$4:$E$3609,$B45,记账凭证!$B$4:$B$3609,"&lt;"&amp;$M$1)-SUMIFS(记账凭证!$I$4:$I$3609,记账凭证!$E$4:$E$3609,$B45,记账凭证!$B$4:$B$3609,"&lt;"&amp;$M$1)),2)))</f>
        <v>-0</v>
      </c>
      <c r="G45" s="70" t="n">
        <f aca="false">IF($B45="","",ROUND(SUMIFS(记账凭证!$H$4:$H$3609,记账凭证!$E$4:$E$3609,$B45,记账凭证!$B$4:$B$3609,"&gt;="&amp;$M$1,记账凭证!$B$4:$B$3609,"&lt;="&amp;$M$2),2))</f>
        <v>0</v>
      </c>
      <c r="H45" s="70" t="n">
        <f aca="false">IF($B45="","",ROUND(SUMIFS(记账凭证!$I$4:$I$3609,记账凭证!$E$4:$E$3609,$B45,记账凭证!$B$4:$B$3609,"&gt;="&amp;$M$1,记账凭证!$B$4:$B$3609,"&lt;="&amp;$M$2),2))</f>
        <v>0</v>
      </c>
      <c r="I45" s="70" t="n">
        <f aca="false">IF($B45="","",MAX(0,ROUND($E45-$F45+$G45-$H45,2)))</f>
        <v>0</v>
      </c>
      <c r="J45" s="70" t="n">
        <f aca="false">IF($B45="","",MAX(0,ROUND($F45-$E45-$G45+$H45,2)))</f>
        <v>0</v>
      </c>
    </row>
    <row r="46" customFormat="false" ht="18" hidden="false" customHeight="true" outlineLevel="0" collapsed="false">
      <c r="A46" s="99" t="str">
        <f aca="false">IF($B46="","",IFERROR(INDEX(科目表!$A$4:$A$81,MATCH($B46,科目表!$B$4:$B$81,0)),""))</f>
        <v>2701</v>
      </c>
      <c r="B46" s="18" t="s">
        <v>618</v>
      </c>
      <c r="C46" s="67" t="str">
        <f aca="false">IF($B46="","",IFERROR(INDEX(科目表!$C$4:$C$81,MATCH($B46,科目表!$B$4:$B$81,0)),""))</f>
        <v>负债</v>
      </c>
      <c r="D46" s="67" t="str">
        <f aca="false">IF($B46="","",IFERROR(INDEX(科目表!$E$4:$E$81,MATCH($B46,科目表!$B$4:$B$81,0)),""))</f>
        <v>长期应付款</v>
      </c>
      <c r="E46" s="70" t="n">
        <f aca="false">IF($B46="","",MAX(0,ROUND(SUMIFS(期初余额!$D$4:$D$81,期初余额!$B$4:$B$81,$B46)-SUMIFS(期初余额!$E$4:$E$81,期初余额!$B$4:$B$81,$B46)+SUMIFS(记账凭证!$H$4:$H$3609,记账凭证!$E$4:$E$3609,$B46,记账凭证!$B$4:$B$3609,"&lt;"&amp;$M$1)-SUMIFS(记账凭证!$I$4:$I$3609,记账凭证!$E$4:$E$3609,$B46,记账凭证!$B$4:$B$3609,"&lt;"&amp;$M$1),2)))</f>
        <v>0</v>
      </c>
      <c r="F46" s="70" t="n">
        <f aca="false">IF($B46="","",MAX(0,ROUND(-(SUMIFS(期初余额!$D$4:$D$81,期初余额!$B$4:$B$81,$B46)-SUMIFS(期初余额!$E$4:$E$81,期初余额!$B$4:$B$81,$B46)+SUMIFS(记账凭证!$H$4:$H$3609,记账凭证!$E$4:$E$3609,$B46,记账凭证!$B$4:$B$3609,"&lt;"&amp;$M$1)-SUMIFS(记账凭证!$I$4:$I$3609,记账凭证!$E$4:$E$3609,$B46,记账凭证!$B$4:$B$3609,"&lt;"&amp;$M$1)),2)))</f>
        <v>-0</v>
      </c>
      <c r="G46" s="70" t="n">
        <f aca="false">IF($B46="","",ROUND(SUMIFS(记账凭证!$H$4:$H$3609,记账凭证!$E$4:$E$3609,$B46,记账凭证!$B$4:$B$3609,"&gt;="&amp;$M$1,记账凭证!$B$4:$B$3609,"&lt;="&amp;$M$2),2))</f>
        <v>0</v>
      </c>
      <c r="H46" s="70" t="n">
        <f aca="false">IF($B46="","",ROUND(SUMIFS(记账凭证!$I$4:$I$3609,记账凭证!$E$4:$E$3609,$B46,记账凭证!$B$4:$B$3609,"&gt;="&amp;$M$1,记账凭证!$B$4:$B$3609,"&lt;="&amp;$M$2),2))</f>
        <v>0</v>
      </c>
      <c r="I46" s="70" t="n">
        <f aca="false">IF($B46="","",MAX(0,ROUND($E46-$F46+$G46-$H46,2)))</f>
        <v>0</v>
      </c>
      <c r="J46" s="70" t="n">
        <f aca="false">IF($B46="","",MAX(0,ROUND($F46-$E46-$G46+$H46,2)))</f>
        <v>0</v>
      </c>
    </row>
    <row r="47" customFormat="false" ht="18" hidden="false" customHeight="true" outlineLevel="0" collapsed="false">
      <c r="A47" s="99" t="str">
        <f aca="false">IF($B47="","",IFERROR(INDEX(科目表!$A$4:$A$81,MATCH($B47,科目表!$B$4:$B$81,0)),""))</f>
        <v>3001</v>
      </c>
      <c r="B47" s="18" t="s">
        <v>367</v>
      </c>
      <c r="C47" s="67" t="str">
        <f aca="false">IF($B47="","",IFERROR(INDEX(科目表!$C$4:$C$81,MATCH($B47,科目表!$B$4:$B$81,0)),""))</f>
        <v>权益</v>
      </c>
      <c r="D47" s="67" t="str">
        <f aca="false">IF($B47="","",IFERROR(INDEX(科目表!$E$4:$E$81,MATCH($B47,科目表!$B$4:$B$81,0)),""))</f>
        <v>实收资本</v>
      </c>
      <c r="E47" s="70" t="n">
        <f aca="false">IF($B47="","",MAX(0,ROUND(SUMIFS(期初余额!$D$4:$D$81,期初余额!$B$4:$B$81,$B47)-SUMIFS(期初余额!$E$4:$E$81,期初余额!$B$4:$B$81,$B47)+SUMIFS(记账凭证!$H$4:$H$3609,记账凭证!$E$4:$E$3609,$B47,记账凭证!$B$4:$B$3609,"&lt;"&amp;$M$1)-SUMIFS(记账凭证!$I$4:$I$3609,记账凭证!$E$4:$E$3609,$B47,记账凭证!$B$4:$B$3609,"&lt;"&amp;$M$1),2)))</f>
        <v>0</v>
      </c>
      <c r="F47" s="70" t="n">
        <f aca="false">IF($B47="","",MAX(0,ROUND(-(SUMIFS(期初余额!$D$4:$D$81,期初余额!$B$4:$B$81,$B47)-SUMIFS(期初余额!$E$4:$E$81,期初余额!$B$4:$B$81,$B47)+SUMIFS(记账凭证!$H$4:$H$3609,记账凭证!$E$4:$E$3609,$B47,记账凭证!$B$4:$B$3609,"&lt;"&amp;$M$1)-SUMIFS(记账凭证!$I$4:$I$3609,记账凭证!$E$4:$E$3609,$B47,记账凭证!$B$4:$B$3609,"&lt;"&amp;$M$1)),2)))</f>
        <v>-0</v>
      </c>
      <c r="G47" s="70" t="n">
        <f aca="false">IF($B47="","",ROUND(SUMIFS(记账凭证!$H$4:$H$3609,记账凭证!$E$4:$E$3609,$B47,记账凭证!$B$4:$B$3609,"&gt;="&amp;$M$1,记账凭证!$B$4:$B$3609,"&lt;="&amp;$M$2),2))</f>
        <v>0</v>
      </c>
      <c r="H47" s="70" t="n">
        <f aca="false">IF($B47="","",ROUND(SUMIFS(记账凭证!$I$4:$I$3609,记账凭证!$E$4:$E$3609,$B47,记账凭证!$B$4:$B$3609,"&gt;="&amp;$M$1,记账凭证!$B$4:$B$3609,"&lt;="&amp;$M$2),2))</f>
        <v>0</v>
      </c>
      <c r="I47" s="70" t="n">
        <f aca="false">IF($B47="","",MAX(0,ROUND($E47-$F47+$G47-$H47,2)))</f>
        <v>0</v>
      </c>
      <c r="J47" s="70" t="n">
        <f aca="false">IF($B47="","",MAX(0,ROUND($F47-$E47-$G47+$H47,2)))</f>
        <v>0</v>
      </c>
    </row>
    <row r="48" customFormat="false" ht="18" hidden="false" customHeight="true" outlineLevel="0" collapsed="false">
      <c r="A48" s="99" t="str">
        <f aca="false">IF($B48="","",IFERROR(INDEX(科目表!$A$4:$A$81,MATCH($B48,科目表!$B$4:$B$81,0)),""))</f>
        <v>3002</v>
      </c>
      <c r="B48" s="18" t="s">
        <v>623</v>
      </c>
      <c r="C48" s="67" t="str">
        <f aca="false">IF($B48="","",IFERROR(INDEX(科目表!$C$4:$C$81,MATCH($B48,科目表!$B$4:$B$81,0)),""))</f>
        <v>权益</v>
      </c>
      <c r="D48" s="67" t="str">
        <f aca="false">IF($B48="","",IFERROR(INDEX(科目表!$E$4:$E$81,MATCH($B48,科目表!$B$4:$B$81,0)),""))</f>
        <v>资本公积</v>
      </c>
      <c r="E48" s="70" t="n">
        <f aca="false">IF($B48="","",MAX(0,ROUND(SUMIFS(期初余额!$D$4:$D$81,期初余额!$B$4:$B$81,$B48)-SUMIFS(期初余额!$E$4:$E$81,期初余额!$B$4:$B$81,$B48)+SUMIFS(记账凭证!$H$4:$H$3609,记账凭证!$E$4:$E$3609,$B48,记账凭证!$B$4:$B$3609,"&lt;"&amp;$M$1)-SUMIFS(记账凭证!$I$4:$I$3609,记账凭证!$E$4:$E$3609,$B48,记账凭证!$B$4:$B$3609,"&lt;"&amp;$M$1),2)))</f>
        <v>0</v>
      </c>
      <c r="F48" s="70" t="n">
        <f aca="false">IF($B48="","",MAX(0,ROUND(-(SUMIFS(期初余额!$D$4:$D$81,期初余额!$B$4:$B$81,$B48)-SUMIFS(期初余额!$E$4:$E$81,期初余额!$B$4:$B$81,$B48)+SUMIFS(记账凭证!$H$4:$H$3609,记账凭证!$E$4:$E$3609,$B48,记账凭证!$B$4:$B$3609,"&lt;"&amp;$M$1)-SUMIFS(记账凭证!$I$4:$I$3609,记账凭证!$E$4:$E$3609,$B48,记账凭证!$B$4:$B$3609,"&lt;"&amp;$M$1)),2)))</f>
        <v>-0</v>
      </c>
      <c r="G48" s="70" t="n">
        <f aca="false">IF($B48="","",ROUND(SUMIFS(记账凭证!$H$4:$H$3609,记账凭证!$E$4:$E$3609,$B48,记账凭证!$B$4:$B$3609,"&gt;="&amp;$M$1,记账凭证!$B$4:$B$3609,"&lt;="&amp;$M$2),2))</f>
        <v>0</v>
      </c>
      <c r="H48" s="70" t="n">
        <f aca="false">IF($B48="","",ROUND(SUMIFS(记账凭证!$I$4:$I$3609,记账凭证!$E$4:$E$3609,$B48,记账凭证!$B$4:$B$3609,"&gt;="&amp;$M$1,记账凭证!$B$4:$B$3609,"&lt;="&amp;$M$2),2))</f>
        <v>0</v>
      </c>
      <c r="I48" s="70" t="n">
        <f aca="false">IF($B48="","",MAX(0,ROUND($E48-$F48+$G48-$H48,2)))</f>
        <v>0</v>
      </c>
      <c r="J48" s="70" t="n">
        <f aca="false">IF($B48="","",MAX(0,ROUND($F48-$E48-$G48+$H48,2)))</f>
        <v>0</v>
      </c>
    </row>
    <row r="49" customFormat="false" ht="18" hidden="false" customHeight="true" outlineLevel="0" collapsed="false">
      <c r="A49" s="99" t="str">
        <f aca="false">IF($B49="","",IFERROR(INDEX(科目表!$A$4:$A$81,MATCH($B49,科目表!$B$4:$B$81,0)),""))</f>
        <v>3101</v>
      </c>
      <c r="B49" s="18" t="s">
        <v>626</v>
      </c>
      <c r="C49" s="67" t="str">
        <f aca="false">IF($B49="","",IFERROR(INDEX(科目表!$C$4:$C$81,MATCH($B49,科目表!$B$4:$B$81,0)),""))</f>
        <v>权益</v>
      </c>
      <c r="D49" s="67" t="str">
        <f aca="false">IF($B49="","",IFERROR(INDEX(科目表!$E$4:$E$81,MATCH($B49,科目表!$B$4:$B$81,0)),""))</f>
        <v>盈余公积</v>
      </c>
      <c r="E49" s="70" t="n">
        <f aca="false">IF($B49="","",MAX(0,ROUND(SUMIFS(期初余额!$D$4:$D$81,期初余额!$B$4:$B$81,$B49)-SUMIFS(期初余额!$E$4:$E$81,期初余额!$B$4:$B$81,$B49)+SUMIFS(记账凭证!$H$4:$H$3609,记账凭证!$E$4:$E$3609,$B49,记账凭证!$B$4:$B$3609,"&lt;"&amp;$M$1)-SUMIFS(记账凭证!$I$4:$I$3609,记账凭证!$E$4:$E$3609,$B49,记账凭证!$B$4:$B$3609,"&lt;"&amp;$M$1),2)))</f>
        <v>0</v>
      </c>
      <c r="F49" s="70" t="n">
        <f aca="false">IF($B49="","",MAX(0,ROUND(-(SUMIFS(期初余额!$D$4:$D$81,期初余额!$B$4:$B$81,$B49)-SUMIFS(期初余额!$E$4:$E$81,期初余额!$B$4:$B$81,$B49)+SUMIFS(记账凭证!$H$4:$H$3609,记账凭证!$E$4:$E$3609,$B49,记账凭证!$B$4:$B$3609,"&lt;"&amp;$M$1)-SUMIFS(记账凭证!$I$4:$I$3609,记账凭证!$E$4:$E$3609,$B49,记账凭证!$B$4:$B$3609,"&lt;"&amp;$M$1)),2)))</f>
        <v>-0</v>
      </c>
      <c r="G49" s="70" t="n">
        <f aca="false">IF($B49="","",ROUND(SUMIFS(记账凭证!$H$4:$H$3609,记账凭证!$E$4:$E$3609,$B49,记账凭证!$B$4:$B$3609,"&gt;="&amp;$M$1,记账凭证!$B$4:$B$3609,"&lt;="&amp;$M$2),2))</f>
        <v>0</v>
      </c>
      <c r="H49" s="70" t="n">
        <f aca="false">IF($B49="","",ROUND(SUMIFS(记账凭证!$I$4:$I$3609,记账凭证!$E$4:$E$3609,$B49,记账凭证!$B$4:$B$3609,"&gt;="&amp;$M$1,记账凭证!$B$4:$B$3609,"&lt;="&amp;$M$2),2))</f>
        <v>0</v>
      </c>
      <c r="I49" s="70" t="n">
        <f aca="false">IF($B49="","",MAX(0,ROUND($E49-$F49+$G49-$H49,2)))</f>
        <v>0</v>
      </c>
      <c r="J49" s="70" t="n">
        <f aca="false">IF($B49="","",MAX(0,ROUND($F49-$E49-$G49+$H49,2)))</f>
        <v>0</v>
      </c>
    </row>
    <row r="50" customFormat="false" ht="18" hidden="false" customHeight="true" outlineLevel="0" collapsed="false">
      <c r="A50" s="99" t="str">
        <f aca="false">IF($B50="","",IFERROR(INDEX(科目表!$A$4:$A$81,MATCH($B50,科目表!$B$4:$B$81,0)),""))</f>
        <v>3103</v>
      </c>
      <c r="B50" s="18" t="s">
        <v>629</v>
      </c>
      <c r="C50" s="67" t="str">
        <f aca="false">IF($B50="","",IFERROR(INDEX(科目表!$C$4:$C$81,MATCH($B50,科目表!$B$4:$B$81,0)),""))</f>
        <v>权益</v>
      </c>
      <c r="D50" s="67" t="str">
        <f aca="false">IF($B50="","",IFERROR(INDEX(科目表!$E$4:$E$81,MATCH($B50,科目表!$B$4:$B$81,0)),""))</f>
        <v>未分配利润</v>
      </c>
      <c r="E50" s="70" t="n">
        <f aca="false">IF($B50="","",MAX(0,ROUND(SUMIFS(期初余额!$D$4:$D$81,期初余额!$B$4:$B$81,$B50)-SUMIFS(期初余额!$E$4:$E$81,期初余额!$B$4:$B$81,$B50)+SUMIFS(记账凭证!$H$4:$H$3609,记账凭证!$E$4:$E$3609,$B50,记账凭证!$B$4:$B$3609,"&lt;"&amp;$M$1)-SUMIFS(记账凭证!$I$4:$I$3609,记账凭证!$E$4:$E$3609,$B50,记账凭证!$B$4:$B$3609,"&lt;"&amp;$M$1),2)))</f>
        <v>0</v>
      </c>
      <c r="F50" s="70" t="n">
        <f aca="false">IF($B50="","",MAX(0,ROUND(-(SUMIFS(期初余额!$D$4:$D$81,期初余额!$B$4:$B$81,$B50)-SUMIFS(期初余额!$E$4:$E$81,期初余额!$B$4:$B$81,$B50)+SUMIFS(记账凭证!$H$4:$H$3609,记账凭证!$E$4:$E$3609,$B50,记账凭证!$B$4:$B$3609,"&lt;"&amp;$M$1)-SUMIFS(记账凭证!$I$4:$I$3609,记账凭证!$E$4:$E$3609,$B50,记账凭证!$B$4:$B$3609,"&lt;"&amp;$M$1)),2)))</f>
        <v>-0</v>
      </c>
      <c r="G50" s="70" t="n">
        <f aca="false">IF($B50="","",ROUND(SUMIFS(记账凭证!$H$4:$H$3609,记账凭证!$E$4:$E$3609,$B50,记账凭证!$B$4:$B$3609,"&gt;="&amp;$M$1,记账凭证!$B$4:$B$3609,"&lt;="&amp;$M$2),2))</f>
        <v>0</v>
      </c>
      <c r="H50" s="70" t="n">
        <f aca="false">IF($B50="","",ROUND(SUMIFS(记账凭证!$I$4:$I$3609,记账凭证!$E$4:$E$3609,$B50,记账凭证!$B$4:$B$3609,"&gt;="&amp;$M$1,记账凭证!$B$4:$B$3609,"&lt;="&amp;$M$2),2))</f>
        <v>0</v>
      </c>
      <c r="I50" s="70" t="n">
        <f aca="false">IF($B50="","",MAX(0,ROUND($E50-$F50+$G50-$H50,2)))</f>
        <v>0</v>
      </c>
      <c r="J50" s="70" t="n">
        <f aca="false">IF($B50="","",MAX(0,ROUND($F50-$E50-$G50+$H50,2)))</f>
        <v>0</v>
      </c>
    </row>
    <row r="51" customFormat="false" ht="18" hidden="false" customHeight="true" outlineLevel="0" collapsed="false">
      <c r="A51" s="99" t="str">
        <f aca="false">IF($B51="","",IFERROR(INDEX(科目表!$A$4:$A$81,MATCH($B51,科目表!$B$4:$B$81,0)),""))</f>
        <v>3104</v>
      </c>
      <c r="B51" s="18" t="s">
        <v>633</v>
      </c>
      <c r="C51" s="67" t="str">
        <f aca="false">IF($B51="","",IFERROR(INDEX(科目表!$C$4:$C$81,MATCH($B51,科目表!$B$4:$B$81,0)),""))</f>
        <v>权益</v>
      </c>
      <c r="D51" s="67" t="str">
        <f aca="false">IF($B51="","",IFERROR(INDEX(科目表!$E$4:$E$81,MATCH($B51,科目表!$B$4:$B$81,0)),""))</f>
        <v>未分配利润</v>
      </c>
      <c r="E51" s="70" t="n">
        <f aca="false">IF($B51="","",MAX(0,ROUND(SUMIFS(期初余额!$D$4:$D$81,期初余额!$B$4:$B$81,$B51)-SUMIFS(期初余额!$E$4:$E$81,期初余额!$B$4:$B$81,$B51)+SUMIFS(记账凭证!$H$4:$H$3609,记账凭证!$E$4:$E$3609,$B51,记账凭证!$B$4:$B$3609,"&lt;"&amp;$M$1)-SUMIFS(记账凭证!$I$4:$I$3609,记账凭证!$E$4:$E$3609,$B51,记账凭证!$B$4:$B$3609,"&lt;"&amp;$M$1),2)))</f>
        <v>0</v>
      </c>
      <c r="F51" s="70" t="n">
        <f aca="false">IF($B51="","",MAX(0,ROUND(-(SUMIFS(期初余额!$D$4:$D$81,期初余额!$B$4:$B$81,$B51)-SUMIFS(期初余额!$E$4:$E$81,期初余额!$B$4:$B$81,$B51)+SUMIFS(记账凭证!$H$4:$H$3609,记账凭证!$E$4:$E$3609,$B51,记账凭证!$B$4:$B$3609,"&lt;"&amp;$M$1)-SUMIFS(记账凭证!$I$4:$I$3609,记账凭证!$E$4:$E$3609,$B51,记账凭证!$B$4:$B$3609,"&lt;"&amp;$M$1)),2)))</f>
        <v>-0</v>
      </c>
      <c r="G51" s="70" t="n">
        <f aca="false">IF($B51="","",ROUND(SUMIFS(记账凭证!$H$4:$H$3609,记账凭证!$E$4:$E$3609,$B51,记账凭证!$B$4:$B$3609,"&gt;="&amp;$M$1,记账凭证!$B$4:$B$3609,"&lt;="&amp;$M$2),2))</f>
        <v>0</v>
      </c>
      <c r="H51" s="70" t="n">
        <f aca="false">IF($B51="","",ROUND(SUMIFS(记账凭证!$I$4:$I$3609,记账凭证!$E$4:$E$3609,$B51,记账凭证!$B$4:$B$3609,"&gt;="&amp;$M$1,记账凭证!$B$4:$B$3609,"&lt;="&amp;$M$2),2))</f>
        <v>0</v>
      </c>
      <c r="I51" s="70" t="n">
        <f aca="false">IF($B51="","",MAX(0,ROUND($E51-$F51+$G51-$H51,2)))</f>
        <v>0</v>
      </c>
      <c r="J51" s="70" t="n">
        <f aca="false">IF($B51="","",MAX(0,ROUND($F51-$E51-$G51+$H51,2)))</f>
        <v>0</v>
      </c>
    </row>
    <row r="52" customFormat="false" ht="18" hidden="false" customHeight="true" outlineLevel="0" collapsed="false">
      <c r="A52" s="99" t="str">
        <f aca="false">IF($B52="","",IFERROR(INDEX(科目表!$A$4:$A$81,MATCH($B52,科目表!$B$4:$B$81,0)),""))</f>
        <v>5001</v>
      </c>
      <c r="B52" s="18" t="s">
        <v>635</v>
      </c>
      <c r="C52" s="67" t="str">
        <f aca="false">IF($B52="","",IFERROR(INDEX(科目表!$C$4:$C$81,MATCH($B52,科目表!$B$4:$B$81,0)),""))</f>
        <v>损益</v>
      </c>
      <c r="D52" s="67" t="str">
        <f aca="false">IF($B52="","",IFERROR(INDEX(科目表!$E$4:$E$81,MATCH($B52,科目表!$B$4:$B$81,0)),""))</f>
        <v>营业收入</v>
      </c>
      <c r="E52" s="70" t="n">
        <f aca="false">IF($B52="","",MAX(0,ROUND(SUMIFS(期初余额!$D$4:$D$81,期初余额!$B$4:$B$81,$B52)-SUMIFS(期初余额!$E$4:$E$81,期初余额!$B$4:$B$81,$B52)+SUMIFS(记账凭证!$H$4:$H$3609,记账凭证!$E$4:$E$3609,$B52,记账凭证!$B$4:$B$3609,"&lt;"&amp;$M$1)-SUMIFS(记账凭证!$I$4:$I$3609,记账凭证!$E$4:$E$3609,$B52,记账凭证!$B$4:$B$3609,"&lt;"&amp;$M$1),2)))</f>
        <v>0</v>
      </c>
      <c r="F52" s="70" t="n">
        <f aca="false">IF($B52="","",MAX(0,ROUND(-(SUMIFS(期初余额!$D$4:$D$81,期初余额!$B$4:$B$81,$B52)-SUMIFS(期初余额!$E$4:$E$81,期初余额!$B$4:$B$81,$B52)+SUMIFS(记账凭证!$H$4:$H$3609,记账凭证!$E$4:$E$3609,$B52,记账凭证!$B$4:$B$3609,"&lt;"&amp;$M$1)-SUMIFS(记账凭证!$I$4:$I$3609,记账凭证!$E$4:$E$3609,$B52,记账凭证!$B$4:$B$3609,"&lt;"&amp;$M$1)),2)))</f>
        <v>-0</v>
      </c>
      <c r="G52" s="70" t="n">
        <f aca="false">IF($B52="","",ROUND(SUMIFS(记账凭证!$H$4:$H$3609,记账凭证!$E$4:$E$3609,$B52,记账凭证!$B$4:$B$3609,"&gt;="&amp;$M$1,记账凭证!$B$4:$B$3609,"&lt;="&amp;$M$2),2))</f>
        <v>0</v>
      </c>
      <c r="H52" s="70" t="n">
        <f aca="false">IF($B52="","",ROUND(SUMIFS(记账凭证!$I$4:$I$3609,记账凭证!$E$4:$E$3609,$B52,记账凭证!$B$4:$B$3609,"&gt;="&amp;$M$1,记账凭证!$B$4:$B$3609,"&lt;="&amp;$M$2),2))</f>
        <v>0</v>
      </c>
      <c r="I52" s="70" t="n">
        <f aca="false">IF($B52="","",MAX(0,ROUND($E52-$F52+$G52-$H52,2)))</f>
        <v>0</v>
      </c>
      <c r="J52" s="70" t="n">
        <f aca="false">IF($B52="","",MAX(0,ROUND($F52-$E52-$G52+$H52,2)))</f>
        <v>0</v>
      </c>
    </row>
    <row r="53" customFormat="false" ht="18" hidden="false" customHeight="true" outlineLevel="0" collapsed="false">
      <c r="A53" s="99" t="str">
        <f aca="false">IF($B53="","",IFERROR(INDEX(科目表!$A$4:$A$81,MATCH($B53,科目表!$B$4:$B$81,0)),""))</f>
        <v>5002</v>
      </c>
      <c r="B53" s="18" t="s">
        <v>268</v>
      </c>
      <c r="C53" s="67" t="str">
        <f aca="false">IF($B53="","",IFERROR(INDEX(科目表!$C$4:$C$81,MATCH($B53,科目表!$B$4:$B$81,0)),""))</f>
        <v>损益</v>
      </c>
      <c r="D53" s="67" t="str">
        <f aca="false">IF($B53="","",IFERROR(INDEX(科目表!$E$4:$E$81,MATCH($B53,科目表!$B$4:$B$81,0)),""))</f>
        <v>营业收入</v>
      </c>
      <c r="E53" s="70" t="n">
        <f aca="false">IF($B53="","",MAX(0,ROUND(SUMIFS(期初余额!$D$4:$D$81,期初余额!$B$4:$B$81,$B53)-SUMIFS(期初余额!$E$4:$E$81,期初余额!$B$4:$B$81,$B53)+SUMIFS(记账凭证!$H$4:$H$3609,记账凭证!$E$4:$E$3609,$B53,记账凭证!$B$4:$B$3609,"&lt;"&amp;$M$1)-SUMIFS(记账凭证!$I$4:$I$3609,记账凭证!$E$4:$E$3609,$B53,记账凭证!$B$4:$B$3609,"&lt;"&amp;$M$1),2)))</f>
        <v>0</v>
      </c>
      <c r="F53" s="70" t="n">
        <f aca="false">IF($B53="","",MAX(0,ROUND(-(SUMIFS(期初余额!$D$4:$D$81,期初余额!$B$4:$B$81,$B53)-SUMIFS(期初余额!$E$4:$E$81,期初余额!$B$4:$B$81,$B53)+SUMIFS(记账凭证!$H$4:$H$3609,记账凭证!$E$4:$E$3609,$B53,记账凭证!$B$4:$B$3609,"&lt;"&amp;$M$1)-SUMIFS(记账凭证!$I$4:$I$3609,记账凭证!$E$4:$E$3609,$B53,记账凭证!$B$4:$B$3609,"&lt;"&amp;$M$1)),2)))</f>
        <v>-0</v>
      </c>
      <c r="G53" s="70" t="n">
        <f aca="false">IF($B53="","",ROUND(SUMIFS(记账凭证!$H$4:$H$3609,记账凭证!$E$4:$E$3609,$B53,记账凭证!$B$4:$B$3609,"&gt;="&amp;$M$1,记账凭证!$B$4:$B$3609,"&lt;="&amp;$M$2),2))</f>
        <v>0</v>
      </c>
      <c r="H53" s="70" t="n">
        <f aca="false">IF($B53="","",ROUND(SUMIFS(记账凭证!$I$4:$I$3609,记账凭证!$E$4:$E$3609,$B53,记账凭证!$B$4:$B$3609,"&gt;="&amp;$M$1,记账凭证!$B$4:$B$3609,"&lt;="&amp;$M$2),2))</f>
        <v>0</v>
      </c>
      <c r="I53" s="70" t="n">
        <f aca="false">IF($B53="","",MAX(0,ROUND($E53-$F53+$G53-$H53,2)))</f>
        <v>0</v>
      </c>
      <c r="J53" s="70" t="n">
        <f aca="false">IF($B53="","",MAX(0,ROUND($F53-$E53-$G53+$H53,2)))</f>
        <v>0</v>
      </c>
    </row>
    <row r="54" customFormat="false" ht="18" hidden="false" customHeight="true" outlineLevel="0" collapsed="false">
      <c r="A54" s="99" t="str">
        <f aca="false">IF($B54="","",IFERROR(INDEX(科目表!$A$4:$A$81,MATCH($B54,科目表!$B$4:$B$81,0)),""))</f>
        <v>5003</v>
      </c>
      <c r="B54" s="18" t="s">
        <v>274</v>
      </c>
      <c r="C54" s="67" t="str">
        <f aca="false">IF($B54="","",IFERROR(INDEX(科目表!$C$4:$C$81,MATCH($B54,科目表!$B$4:$B$81,0)),""))</f>
        <v>损益</v>
      </c>
      <c r="D54" s="67" t="str">
        <f aca="false">IF($B54="","",IFERROR(INDEX(科目表!$E$4:$E$81,MATCH($B54,科目表!$B$4:$B$81,0)),""))</f>
        <v>营业收入</v>
      </c>
      <c r="E54" s="70" t="n">
        <f aca="false">IF($B54="","",MAX(0,ROUND(SUMIFS(期初余额!$D$4:$D$81,期初余额!$B$4:$B$81,$B54)-SUMIFS(期初余额!$E$4:$E$81,期初余额!$B$4:$B$81,$B54)+SUMIFS(记账凭证!$H$4:$H$3609,记账凭证!$E$4:$E$3609,$B54,记账凭证!$B$4:$B$3609,"&lt;"&amp;$M$1)-SUMIFS(记账凭证!$I$4:$I$3609,记账凭证!$E$4:$E$3609,$B54,记账凭证!$B$4:$B$3609,"&lt;"&amp;$M$1),2)))</f>
        <v>0</v>
      </c>
      <c r="F54" s="70" t="n">
        <f aca="false">IF($B54="","",MAX(0,ROUND(-(SUMIFS(期初余额!$D$4:$D$81,期初余额!$B$4:$B$81,$B54)-SUMIFS(期初余额!$E$4:$E$81,期初余额!$B$4:$B$81,$B54)+SUMIFS(记账凭证!$H$4:$H$3609,记账凭证!$E$4:$E$3609,$B54,记账凭证!$B$4:$B$3609,"&lt;"&amp;$M$1)-SUMIFS(记账凭证!$I$4:$I$3609,记账凭证!$E$4:$E$3609,$B54,记账凭证!$B$4:$B$3609,"&lt;"&amp;$M$1)),2)))</f>
        <v>-0</v>
      </c>
      <c r="G54" s="70" t="n">
        <f aca="false">IF($B54="","",ROUND(SUMIFS(记账凭证!$H$4:$H$3609,记账凭证!$E$4:$E$3609,$B54,记账凭证!$B$4:$B$3609,"&gt;="&amp;$M$1,记账凭证!$B$4:$B$3609,"&lt;="&amp;$M$2),2))</f>
        <v>0</v>
      </c>
      <c r="H54" s="70" t="n">
        <f aca="false">IF($B54="","",ROUND(SUMIFS(记账凭证!$I$4:$I$3609,记账凭证!$E$4:$E$3609,$B54,记账凭证!$B$4:$B$3609,"&gt;="&amp;$M$1,记账凭证!$B$4:$B$3609,"&lt;="&amp;$M$2),2))</f>
        <v>0</v>
      </c>
      <c r="I54" s="70" t="n">
        <f aca="false">IF($B54="","",MAX(0,ROUND($E54-$F54+$G54-$H54,2)))</f>
        <v>0</v>
      </c>
      <c r="J54" s="70" t="n">
        <f aca="false">IF($B54="","",MAX(0,ROUND($F54-$E54-$G54+$H54,2)))</f>
        <v>0</v>
      </c>
    </row>
    <row r="55" customFormat="false" ht="18" hidden="false" customHeight="true" outlineLevel="0" collapsed="false">
      <c r="A55" s="99" t="str">
        <f aca="false">IF($B55="","",IFERROR(INDEX(科目表!$A$4:$A$81,MATCH($B55,科目表!$B$4:$B$81,0)),""))</f>
        <v>5004</v>
      </c>
      <c r="B55" s="18" t="s">
        <v>277</v>
      </c>
      <c r="C55" s="67" t="str">
        <f aca="false">IF($B55="","",IFERROR(INDEX(科目表!$C$4:$C$81,MATCH($B55,科目表!$B$4:$B$81,0)),""))</f>
        <v>损益</v>
      </c>
      <c r="D55" s="67" t="str">
        <f aca="false">IF($B55="","",IFERROR(INDEX(科目表!$E$4:$E$81,MATCH($B55,科目表!$B$4:$B$81,0)),""))</f>
        <v>营业收入</v>
      </c>
      <c r="E55" s="70" t="n">
        <f aca="false">IF($B55="","",MAX(0,ROUND(SUMIFS(期初余额!$D$4:$D$81,期初余额!$B$4:$B$81,$B55)-SUMIFS(期初余额!$E$4:$E$81,期初余额!$B$4:$B$81,$B55)+SUMIFS(记账凭证!$H$4:$H$3609,记账凭证!$E$4:$E$3609,$B55,记账凭证!$B$4:$B$3609,"&lt;"&amp;$M$1)-SUMIFS(记账凭证!$I$4:$I$3609,记账凭证!$E$4:$E$3609,$B55,记账凭证!$B$4:$B$3609,"&lt;"&amp;$M$1),2)))</f>
        <v>0</v>
      </c>
      <c r="F55" s="70" t="n">
        <f aca="false">IF($B55="","",MAX(0,ROUND(-(SUMIFS(期初余额!$D$4:$D$81,期初余额!$B$4:$B$81,$B55)-SUMIFS(期初余额!$E$4:$E$81,期初余额!$B$4:$B$81,$B55)+SUMIFS(记账凭证!$H$4:$H$3609,记账凭证!$E$4:$E$3609,$B55,记账凭证!$B$4:$B$3609,"&lt;"&amp;$M$1)-SUMIFS(记账凭证!$I$4:$I$3609,记账凭证!$E$4:$E$3609,$B55,记账凭证!$B$4:$B$3609,"&lt;"&amp;$M$1)),2)))</f>
        <v>-0</v>
      </c>
      <c r="G55" s="70" t="n">
        <f aca="false">IF($B55="","",ROUND(SUMIFS(记账凭证!$H$4:$H$3609,记账凭证!$E$4:$E$3609,$B55,记账凭证!$B$4:$B$3609,"&gt;="&amp;$M$1,记账凭证!$B$4:$B$3609,"&lt;="&amp;$M$2),2))</f>
        <v>0</v>
      </c>
      <c r="H55" s="70" t="n">
        <f aca="false">IF($B55="","",ROUND(SUMIFS(记账凭证!$I$4:$I$3609,记账凭证!$E$4:$E$3609,$B55,记账凭证!$B$4:$B$3609,"&gt;="&amp;$M$1,记账凭证!$B$4:$B$3609,"&lt;="&amp;$M$2),2))</f>
        <v>40</v>
      </c>
      <c r="I55" s="70" t="n">
        <f aca="false">IF($B55="","",MAX(0,ROUND($E55-$F55+$G55-$H55,2)))</f>
        <v>0</v>
      </c>
      <c r="J55" s="70" t="n">
        <f aca="false">IF($B55="","",MAX(0,ROUND($F55-$E55-$G55+$H55,2)))</f>
        <v>40</v>
      </c>
    </row>
    <row r="56" customFormat="false" ht="18" hidden="false" customHeight="true" outlineLevel="0" collapsed="false">
      <c r="A56" s="99" t="str">
        <f aca="false">IF($B56="","",IFERROR(INDEX(科目表!$A$4:$A$81,MATCH($B56,科目表!$B$4:$B$81,0)),""))</f>
        <v>5051</v>
      </c>
      <c r="B56" s="18" t="s">
        <v>646</v>
      </c>
      <c r="C56" s="67" t="str">
        <f aca="false">IF($B56="","",IFERROR(INDEX(科目表!$C$4:$C$81,MATCH($B56,科目表!$B$4:$B$81,0)),""))</f>
        <v>损益</v>
      </c>
      <c r="D56" s="67" t="str">
        <f aca="false">IF($B56="","",IFERROR(INDEX(科目表!$E$4:$E$81,MATCH($B56,科目表!$B$4:$B$81,0)),""))</f>
        <v>营业收入</v>
      </c>
      <c r="E56" s="70" t="n">
        <f aca="false">IF($B56="","",MAX(0,ROUND(SUMIFS(期初余额!$D$4:$D$81,期初余额!$B$4:$B$81,$B56)-SUMIFS(期初余额!$E$4:$E$81,期初余额!$B$4:$B$81,$B56)+SUMIFS(记账凭证!$H$4:$H$3609,记账凭证!$E$4:$E$3609,$B56,记账凭证!$B$4:$B$3609,"&lt;"&amp;$M$1)-SUMIFS(记账凭证!$I$4:$I$3609,记账凭证!$E$4:$E$3609,$B56,记账凭证!$B$4:$B$3609,"&lt;"&amp;$M$1),2)))</f>
        <v>0</v>
      </c>
      <c r="F56" s="70" t="n">
        <f aca="false">IF($B56="","",MAX(0,ROUND(-(SUMIFS(期初余额!$D$4:$D$81,期初余额!$B$4:$B$81,$B56)-SUMIFS(期初余额!$E$4:$E$81,期初余额!$B$4:$B$81,$B56)+SUMIFS(记账凭证!$H$4:$H$3609,记账凭证!$E$4:$E$3609,$B56,记账凭证!$B$4:$B$3609,"&lt;"&amp;$M$1)-SUMIFS(记账凭证!$I$4:$I$3609,记账凭证!$E$4:$E$3609,$B56,记账凭证!$B$4:$B$3609,"&lt;"&amp;$M$1)),2)))</f>
        <v>-0</v>
      </c>
      <c r="G56" s="70" t="n">
        <f aca="false">IF($B56="","",ROUND(SUMIFS(记账凭证!$H$4:$H$3609,记账凭证!$E$4:$E$3609,$B56,记账凭证!$B$4:$B$3609,"&gt;="&amp;$M$1,记账凭证!$B$4:$B$3609,"&lt;="&amp;$M$2),2))</f>
        <v>0</v>
      </c>
      <c r="H56" s="70" t="n">
        <f aca="false">IF($B56="","",ROUND(SUMIFS(记账凭证!$I$4:$I$3609,记账凭证!$E$4:$E$3609,$B56,记账凭证!$B$4:$B$3609,"&gt;="&amp;$M$1,记账凭证!$B$4:$B$3609,"&lt;="&amp;$M$2),2))</f>
        <v>0</v>
      </c>
      <c r="I56" s="70" t="n">
        <f aca="false">IF($B56="","",MAX(0,ROUND($E56-$F56+$G56-$H56,2)))</f>
        <v>0</v>
      </c>
      <c r="J56" s="70" t="n">
        <f aca="false">IF($B56="","",MAX(0,ROUND($F56-$E56-$G56+$H56,2)))</f>
        <v>0</v>
      </c>
    </row>
    <row r="57" customFormat="false" ht="18" hidden="false" customHeight="true" outlineLevel="0" collapsed="false">
      <c r="A57" s="99" t="str">
        <f aca="false">IF($B57="","",IFERROR(INDEX(科目表!$A$4:$A$81,MATCH($B57,科目表!$B$4:$B$81,0)),""))</f>
        <v>5052</v>
      </c>
      <c r="B57" s="18" t="s">
        <v>289</v>
      </c>
      <c r="C57" s="67" t="str">
        <f aca="false">IF($B57="","",IFERROR(INDEX(科目表!$C$4:$C$81,MATCH($B57,科目表!$B$4:$B$81,0)),""))</f>
        <v>损益</v>
      </c>
      <c r="D57" s="67" t="str">
        <f aca="false">IF($B57="","",IFERROR(INDEX(科目表!$E$4:$E$81,MATCH($B57,科目表!$B$4:$B$81,0)),""))</f>
        <v>营业收入</v>
      </c>
      <c r="E57" s="70" t="n">
        <f aca="false">IF($B57="","",MAX(0,ROUND(SUMIFS(期初余额!$D$4:$D$81,期初余额!$B$4:$B$81,$B57)-SUMIFS(期初余额!$E$4:$E$81,期初余额!$B$4:$B$81,$B57)+SUMIFS(记账凭证!$H$4:$H$3609,记账凭证!$E$4:$E$3609,$B57,记账凭证!$B$4:$B$3609,"&lt;"&amp;$M$1)-SUMIFS(记账凭证!$I$4:$I$3609,记账凭证!$E$4:$E$3609,$B57,记账凭证!$B$4:$B$3609,"&lt;"&amp;$M$1),2)))</f>
        <v>0</v>
      </c>
      <c r="F57" s="70" t="n">
        <f aca="false">IF($B57="","",MAX(0,ROUND(-(SUMIFS(期初余额!$D$4:$D$81,期初余额!$B$4:$B$81,$B57)-SUMIFS(期初余额!$E$4:$E$81,期初余额!$B$4:$B$81,$B57)+SUMIFS(记账凭证!$H$4:$H$3609,记账凭证!$E$4:$E$3609,$B57,记账凭证!$B$4:$B$3609,"&lt;"&amp;$M$1)-SUMIFS(记账凭证!$I$4:$I$3609,记账凭证!$E$4:$E$3609,$B57,记账凭证!$B$4:$B$3609,"&lt;"&amp;$M$1)),2)))</f>
        <v>-0</v>
      </c>
      <c r="G57" s="70" t="n">
        <f aca="false">IF($B57="","",ROUND(SUMIFS(记账凭证!$H$4:$H$3609,记账凭证!$E$4:$E$3609,$B57,记账凭证!$B$4:$B$3609,"&gt;="&amp;$M$1,记账凭证!$B$4:$B$3609,"&lt;="&amp;$M$2),2))</f>
        <v>0</v>
      </c>
      <c r="H57" s="70" t="n">
        <f aca="false">IF($B57="","",ROUND(SUMIFS(记账凭证!$I$4:$I$3609,记账凭证!$E$4:$E$3609,$B57,记账凭证!$B$4:$B$3609,"&gt;="&amp;$M$1,记账凭证!$B$4:$B$3609,"&lt;="&amp;$M$2),2))</f>
        <v>0</v>
      </c>
      <c r="I57" s="70" t="n">
        <f aca="false">IF($B57="","",MAX(0,ROUND($E57-$F57+$G57-$H57,2)))</f>
        <v>0</v>
      </c>
      <c r="J57" s="70" t="n">
        <f aca="false">IF($B57="","",MAX(0,ROUND($F57-$E57-$G57+$H57,2)))</f>
        <v>0</v>
      </c>
    </row>
    <row r="58" customFormat="false" ht="18" hidden="false" customHeight="true" outlineLevel="0" collapsed="false">
      <c r="A58" s="99" t="str">
        <f aca="false">IF($B58="","",IFERROR(INDEX(科目表!$A$4:$A$81,MATCH($B58,科目表!$B$4:$B$81,0)),""))</f>
        <v>5053</v>
      </c>
      <c r="B58" s="18" t="s">
        <v>649</v>
      </c>
      <c r="C58" s="67" t="str">
        <f aca="false">IF($B58="","",IFERROR(INDEX(科目表!$C$4:$C$81,MATCH($B58,科目表!$B$4:$B$81,0)),""))</f>
        <v>损益</v>
      </c>
      <c r="D58" s="67" t="str">
        <f aca="false">IF($B58="","",IFERROR(INDEX(科目表!$E$4:$E$81,MATCH($B58,科目表!$B$4:$B$81,0)),""))</f>
        <v>营业收入</v>
      </c>
      <c r="E58" s="70" t="n">
        <f aca="false">IF($B58="","",MAX(0,ROUND(SUMIFS(期初余额!$D$4:$D$81,期初余额!$B$4:$B$81,$B58)-SUMIFS(期初余额!$E$4:$E$81,期初余额!$B$4:$B$81,$B58)+SUMIFS(记账凭证!$H$4:$H$3609,记账凭证!$E$4:$E$3609,$B58,记账凭证!$B$4:$B$3609,"&lt;"&amp;$M$1)-SUMIFS(记账凭证!$I$4:$I$3609,记账凭证!$E$4:$E$3609,$B58,记账凭证!$B$4:$B$3609,"&lt;"&amp;$M$1),2)))</f>
        <v>0</v>
      </c>
      <c r="F58" s="70" t="n">
        <f aca="false">IF($B58="","",MAX(0,ROUND(-(SUMIFS(期初余额!$D$4:$D$81,期初余额!$B$4:$B$81,$B58)-SUMIFS(期初余额!$E$4:$E$81,期初余额!$B$4:$B$81,$B58)+SUMIFS(记账凭证!$H$4:$H$3609,记账凭证!$E$4:$E$3609,$B58,记账凭证!$B$4:$B$3609,"&lt;"&amp;$M$1)-SUMIFS(记账凭证!$I$4:$I$3609,记账凭证!$E$4:$E$3609,$B58,记账凭证!$B$4:$B$3609,"&lt;"&amp;$M$1)),2)))</f>
        <v>-0</v>
      </c>
      <c r="G58" s="70" t="n">
        <f aca="false">IF($B58="","",ROUND(SUMIFS(记账凭证!$H$4:$H$3609,记账凭证!$E$4:$E$3609,$B58,记账凭证!$B$4:$B$3609,"&gt;="&amp;$M$1,记账凭证!$B$4:$B$3609,"&lt;="&amp;$M$2),2))</f>
        <v>0</v>
      </c>
      <c r="H58" s="70" t="n">
        <f aca="false">IF($B58="","",ROUND(SUMIFS(记账凭证!$I$4:$I$3609,记账凭证!$E$4:$E$3609,$B58,记账凭证!$B$4:$B$3609,"&gt;="&amp;$M$1,记账凭证!$B$4:$B$3609,"&lt;="&amp;$M$2),2))</f>
        <v>0</v>
      </c>
      <c r="I58" s="70" t="n">
        <f aca="false">IF($B58="","",MAX(0,ROUND($E58-$F58+$G58-$H58,2)))</f>
        <v>0</v>
      </c>
      <c r="J58" s="70" t="n">
        <f aca="false">IF($B58="","",MAX(0,ROUND($F58-$E58-$G58+$H58,2)))</f>
        <v>0</v>
      </c>
    </row>
    <row r="59" customFormat="false" ht="18" hidden="false" customHeight="true" outlineLevel="0" collapsed="false">
      <c r="A59" s="99" t="str">
        <f aca="false">IF($B59="","",IFERROR(INDEX(科目表!$A$4:$A$81,MATCH($B59,科目表!$B$4:$B$81,0)),""))</f>
        <v>5111</v>
      </c>
      <c r="B59" s="18" t="s">
        <v>652</v>
      </c>
      <c r="C59" s="67" t="str">
        <f aca="false">IF($B59="","",IFERROR(INDEX(科目表!$C$4:$C$81,MATCH($B59,科目表!$B$4:$B$81,0)),""))</f>
        <v>损益</v>
      </c>
      <c r="D59" s="67" t="str">
        <f aca="false">IF($B59="","",IFERROR(INDEX(科目表!$E$4:$E$81,MATCH($B59,科目表!$B$4:$B$81,0)),""))</f>
        <v>投资收益</v>
      </c>
      <c r="E59" s="70" t="n">
        <f aca="false">IF($B59="","",MAX(0,ROUND(SUMIFS(期初余额!$D$4:$D$81,期初余额!$B$4:$B$81,$B59)-SUMIFS(期初余额!$E$4:$E$81,期初余额!$B$4:$B$81,$B59)+SUMIFS(记账凭证!$H$4:$H$3609,记账凭证!$E$4:$E$3609,$B59,记账凭证!$B$4:$B$3609,"&lt;"&amp;$M$1)-SUMIFS(记账凭证!$I$4:$I$3609,记账凭证!$E$4:$E$3609,$B59,记账凭证!$B$4:$B$3609,"&lt;"&amp;$M$1),2)))</f>
        <v>0</v>
      </c>
      <c r="F59" s="70" t="n">
        <f aca="false">IF($B59="","",MAX(0,ROUND(-(SUMIFS(期初余额!$D$4:$D$81,期初余额!$B$4:$B$81,$B59)-SUMIFS(期初余额!$E$4:$E$81,期初余额!$B$4:$B$81,$B59)+SUMIFS(记账凭证!$H$4:$H$3609,记账凭证!$E$4:$E$3609,$B59,记账凭证!$B$4:$B$3609,"&lt;"&amp;$M$1)-SUMIFS(记账凭证!$I$4:$I$3609,记账凭证!$E$4:$E$3609,$B59,记账凭证!$B$4:$B$3609,"&lt;"&amp;$M$1)),2)))</f>
        <v>-0</v>
      </c>
      <c r="G59" s="70" t="n">
        <f aca="false">IF($B59="","",ROUND(SUMIFS(记账凭证!$H$4:$H$3609,记账凭证!$E$4:$E$3609,$B59,记账凭证!$B$4:$B$3609,"&gt;="&amp;$M$1,记账凭证!$B$4:$B$3609,"&lt;="&amp;$M$2),2))</f>
        <v>0</v>
      </c>
      <c r="H59" s="70" t="n">
        <f aca="false">IF($B59="","",ROUND(SUMIFS(记账凭证!$I$4:$I$3609,记账凭证!$E$4:$E$3609,$B59,记账凭证!$B$4:$B$3609,"&gt;="&amp;$M$1,记账凭证!$B$4:$B$3609,"&lt;="&amp;$M$2),2))</f>
        <v>0</v>
      </c>
      <c r="I59" s="70" t="n">
        <f aca="false">IF($B59="","",MAX(0,ROUND($E59-$F59+$G59-$H59,2)))</f>
        <v>0</v>
      </c>
      <c r="J59" s="70" t="n">
        <f aca="false">IF($B59="","",MAX(0,ROUND($F59-$E59-$G59+$H59,2)))</f>
        <v>0</v>
      </c>
    </row>
    <row r="60" customFormat="false" ht="18" hidden="false" customHeight="true" outlineLevel="0" collapsed="false">
      <c r="A60" s="99" t="str">
        <f aca="false">IF($B60="","",IFERROR(INDEX(科目表!$A$4:$A$81,MATCH($B60,科目表!$B$4:$B$81,0)),""))</f>
        <v>5301</v>
      </c>
      <c r="B60" s="18" t="s">
        <v>655</v>
      </c>
      <c r="C60" s="67" t="str">
        <f aca="false">IF($B60="","",IFERROR(INDEX(科目表!$C$4:$C$81,MATCH($B60,科目表!$B$4:$B$81,0)),""))</f>
        <v>损益</v>
      </c>
      <c r="D60" s="67" t="str">
        <f aca="false">IF($B60="","",IFERROR(INDEX(科目表!$E$4:$E$81,MATCH($B60,科目表!$B$4:$B$81,0)),""))</f>
        <v>营业外收入</v>
      </c>
      <c r="E60" s="70" t="n">
        <f aca="false">IF($B60="","",MAX(0,ROUND(SUMIFS(期初余额!$D$4:$D$81,期初余额!$B$4:$B$81,$B60)-SUMIFS(期初余额!$E$4:$E$81,期初余额!$B$4:$B$81,$B60)+SUMIFS(记账凭证!$H$4:$H$3609,记账凭证!$E$4:$E$3609,$B60,记账凭证!$B$4:$B$3609,"&lt;"&amp;$M$1)-SUMIFS(记账凭证!$I$4:$I$3609,记账凭证!$E$4:$E$3609,$B60,记账凭证!$B$4:$B$3609,"&lt;"&amp;$M$1),2)))</f>
        <v>0</v>
      </c>
      <c r="F60" s="70" t="n">
        <f aca="false">IF($B60="","",MAX(0,ROUND(-(SUMIFS(期初余额!$D$4:$D$81,期初余额!$B$4:$B$81,$B60)-SUMIFS(期初余额!$E$4:$E$81,期初余额!$B$4:$B$81,$B60)+SUMIFS(记账凭证!$H$4:$H$3609,记账凭证!$E$4:$E$3609,$B60,记账凭证!$B$4:$B$3609,"&lt;"&amp;$M$1)-SUMIFS(记账凭证!$I$4:$I$3609,记账凭证!$E$4:$E$3609,$B60,记账凭证!$B$4:$B$3609,"&lt;"&amp;$M$1)),2)))</f>
        <v>-0</v>
      </c>
      <c r="G60" s="70" t="n">
        <f aca="false">IF($B60="","",ROUND(SUMIFS(记账凭证!$H$4:$H$3609,记账凭证!$E$4:$E$3609,$B60,记账凭证!$B$4:$B$3609,"&gt;="&amp;$M$1,记账凭证!$B$4:$B$3609,"&lt;="&amp;$M$2),2))</f>
        <v>0</v>
      </c>
      <c r="H60" s="70" t="n">
        <f aca="false">IF($B60="","",ROUND(SUMIFS(记账凭证!$I$4:$I$3609,记账凭证!$E$4:$E$3609,$B60,记账凭证!$B$4:$B$3609,"&gt;="&amp;$M$1,记账凭证!$B$4:$B$3609,"&lt;="&amp;$M$2),2))</f>
        <v>0</v>
      </c>
      <c r="I60" s="70" t="n">
        <f aca="false">IF($B60="","",MAX(0,ROUND($E60-$F60+$G60-$H60,2)))</f>
        <v>0</v>
      </c>
      <c r="J60" s="70" t="n">
        <f aca="false">IF($B60="","",MAX(0,ROUND($F60-$E60-$G60+$H60,2)))</f>
        <v>0</v>
      </c>
    </row>
    <row r="61" customFormat="false" ht="18" hidden="false" customHeight="true" outlineLevel="0" collapsed="false">
      <c r="A61" s="99" t="str">
        <f aca="false">IF($B61="","",IFERROR(INDEX(科目表!$A$4:$A$81,MATCH($B61,科目表!$B$4:$B$81,0)),""))</f>
        <v>5401</v>
      </c>
      <c r="B61" s="18" t="s">
        <v>312</v>
      </c>
      <c r="C61" s="67" t="str">
        <f aca="false">IF($B61="","",IFERROR(INDEX(科目表!$C$4:$C$81,MATCH($B61,科目表!$B$4:$B$81,0)),""))</f>
        <v>损益</v>
      </c>
      <c r="D61" s="67" t="str">
        <f aca="false">IF($B61="","",IFERROR(INDEX(科目表!$E$4:$E$81,MATCH($B61,科目表!$B$4:$B$81,0)),""))</f>
        <v>营业成本</v>
      </c>
      <c r="E61" s="70" t="n">
        <f aca="false">IF($B61="","",MAX(0,ROUND(SUMIFS(期初余额!$D$4:$D$81,期初余额!$B$4:$B$81,$B61)-SUMIFS(期初余额!$E$4:$E$81,期初余额!$B$4:$B$81,$B61)+SUMIFS(记账凭证!$H$4:$H$3609,记账凭证!$E$4:$E$3609,$B61,记账凭证!$B$4:$B$3609,"&lt;"&amp;$M$1)-SUMIFS(记账凭证!$I$4:$I$3609,记账凭证!$E$4:$E$3609,$B61,记账凭证!$B$4:$B$3609,"&lt;"&amp;$M$1),2)))</f>
        <v>0</v>
      </c>
      <c r="F61" s="70" t="n">
        <f aca="false">IF($B61="","",MAX(0,ROUND(-(SUMIFS(期初余额!$D$4:$D$81,期初余额!$B$4:$B$81,$B61)-SUMIFS(期初余额!$E$4:$E$81,期初余额!$B$4:$B$81,$B61)+SUMIFS(记账凭证!$H$4:$H$3609,记账凭证!$E$4:$E$3609,$B61,记账凭证!$B$4:$B$3609,"&lt;"&amp;$M$1)-SUMIFS(记账凭证!$I$4:$I$3609,记账凭证!$E$4:$E$3609,$B61,记账凭证!$B$4:$B$3609,"&lt;"&amp;$M$1)),2)))</f>
        <v>-0</v>
      </c>
      <c r="G61" s="70" t="n">
        <f aca="false">IF($B61="","",ROUND(SUMIFS(记账凭证!$H$4:$H$3609,记账凭证!$E$4:$E$3609,$B61,记账凭证!$B$4:$B$3609,"&gt;="&amp;$M$1,记账凭证!$B$4:$B$3609,"&lt;="&amp;$M$2),2))</f>
        <v>22580</v>
      </c>
      <c r="H61" s="70" t="n">
        <f aca="false">IF($B61="","",ROUND(SUMIFS(记账凭证!$I$4:$I$3609,记账凭证!$E$4:$E$3609,$B61,记账凭证!$B$4:$B$3609,"&gt;="&amp;$M$1,记账凭证!$B$4:$B$3609,"&lt;="&amp;$M$2),2))</f>
        <v>0</v>
      </c>
      <c r="I61" s="70" t="n">
        <f aca="false">IF($B61="","",MAX(0,ROUND($E61-$F61+$G61-$H61,2)))</f>
        <v>22580</v>
      </c>
      <c r="J61" s="70" t="n">
        <f aca="false">IF($B61="","",MAX(0,ROUND($F61-$E61-$G61+$H61,2)))</f>
        <v>0</v>
      </c>
    </row>
    <row r="62" customFormat="false" ht="18" hidden="false" customHeight="true" outlineLevel="0" collapsed="false">
      <c r="A62" s="99" t="str">
        <f aca="false">IF($B62="","",IFERROR(INDEX(科目表!$A$4:$A$81,MATCH($B62,科目表!$B$4:$B$81,0)),""))</f>
        <v>5402</v>
      </c>
      <c r="B62" s="18" t="s">
        <v>661</v>
      </c>
      <c r="C62" s="67" t="str">
        <f aca="false">IF($B62="","",IFERROR(INDEX(科目表!$C$4:$C$81,MATCH($B62,科目表!$B$4:$B$81,0)),""))</f>
        <v>损益</v>
      </c>
      <c r="D62" s="67" t="str">
        <f aca="false">IF($B62="","",IFERROR(INDEX(科目表!$E$4:$E$81,MATCH($B62,科目表!$B$4:$B$81,0)),""))</f>
        <v>营业成本</v>
      </c>
      <c r="E62" s="70" t="n">
        <f aca="false">IF($B62="","",MAX(0,ROUND(SUMIFS(期初余额!$D$4:$D$81,期初余额!$B$4:$B$81,$B62)-SUMIFS(期初余额!$E$4:$E$81,期初余额!$B$4:$B$81,$B62)+SUMIFS(记账凭证!$H$4:$H$3609,记账凭证!$E$4:$E$3609,$B62,记账凭证!$B$4:$B$3609,"&lt;"&amp;$M$1)-SUMIFS(记账凭证!$I$4:$I$3609,记账凭证!$E$4:$E$3609,$B62,记账凭证!$B$4:$B$3609,"&lt;"&amp;$M$1),2)))</f>
        <v>0</v>
      </c>
      <c r="F62" s="70" t="n">
        <f aca="false">IF($B62="","",MAX(0,ROUND(-(SUMIFS(期初余额!$D$4:$D$81,期初余额!$B$4:$B$81,$B62)-SUMIFS(期初余额!$E$4:$E$81,期初余额!$B$4:$B$81,$B62)+SUMIFS(记账凭证!$H$4:$H$3609,记账凭证!$E$4:$E$3609,$B62,记账凭证!$B$4:$B$3609,"&lt;"&amp;$M$1)-SUMIFS(记账凭证!$I$4:$I$3609,记账凭证!$E$4:$E$3609,$B62,记账凭证!$B$4:$B$3609,"&lt;"&amp;$M$1)),2)))</f>
        <v>-0</v>
      </c>
      <c r="G62" s="70" t="n">
        <f aca="false">IF($B62="","",ROUND(SUMIFS(记账凭证!$H$4:$H$3609,记账凭证!$E$4:$E$3609,$B62,记账凭证!$B$4:$B$3609,"&gt;="&amp;$M$1,记账凭证!$B$4:$B$3609,"&lt;="&amp;$M$2),2))</f>
        <v>0</v>
      </c>
      <c r="H62" s="70" t="n">
        <f aca="false">IF($B62="","",ROUND(SUMIFS(记账凭证!$I$4:$I$3609,记账凭证!$E$4:$E$3609,$B62,记账凭证!$B$4:$B$3609,"&gt;="&amp;$M$1,记账凭证!$B$4:$B$3609,"&lt;="&amp;$M$2),2))</f>
        <v>0</v>
      </c>
      <c r="I62" s="70" t="n">
        <f aca="false">IF($B62="","",MAX(0,ROUND($E62-$F62+$G62-$H62,2)))</f>
        <v>0</v>
      </c>
      <c r="J62" s="70" t="n">
        <f aca="false">IF($B62="","",MAX(0,ROUND($F62-$E62-$G62+$H62,2)))</f>
        <v>0</v>
      </c>
    </row>
    <row r="63" customFormat="false" ht="18" hidden="false" customHeight="true" outlineLevel="0" collapsed="false">
      <c r="A63" s="99" t="str">
        <f aca="false">IF($B63="","",IFERROR(INDEX(科目表!$A$4:$A$81,MATCH($B63,科目表!$B$4:$B$81,0)),""))</f>
        <v>5403</v>
      </c>
      <c r="B63" s="18" t="s">
        <v>627</v>
      </c>
      <c r="C63" s="67" t="str">
        <f aca="false">IF($B63="","",IFERROR(INDEX(科目表!$C$4:$C$81,MATCH($B63,科目表!$B$4:$B$81,0)),""))</f>
        <v>损益</v>
      </c>
      <c r="D63" s="67" t="str">
        <f aca="false">IF($B63="","",IFERROR(INDEX(科目表!$E$4:$E$81,MATCH($B63,科目表!$B$4:$B$81,0)),""))</f>
        <v>税金及附加</v>
      </c>
      <c r="E63" s="70" t="n">
        <f aca="false">IF($B63="","",MAX(0,ROUND(SUMIFS(期初余额!$D$4:$D$81,期初余额!$B$4:$B$81,$B63)-SUMIFS(期初余额!$E$4:$E$81,期初余额!$B$4:$B$81,$B63)+SUMIFS(记账凭证!$H$4:$H$3609,记账凭证!$E$4:$E$3609,$B63,记账凭证!$B$4:$B$3609,"&lt;"&amp;$M$1)-SUMIFS(记账凭证!$I$4:$I$3609,记账凭证!$E$4:$E$3609,$B63,记账凭证!$B$4:$B$3609,"&lt;"&amp;$M$1),2)))</f>
        <v>0</v>
      </c>
      <c r="F63" s="70" t="n">
        <f aca="false">IF($B63="","",MAX(0,ROUND(-(SUMIFS(期初余额!$D$4:$D$81,期初余额!$B$4:$B$81,$B63)-SUMIFS(期初余额!$E$4:$E$81,期初余额!$B$4:$B$81,$B63)+SUMIFS(记账凭证!$H$4:$H$3609,记账凭证!$E$4:$E$3609,$B63,记账凭证!$B$4:$B$3609,"&lt;"&amp;$M$1)-SUMIFS(记账凭证!$I$4:$I$3609,记账凭证!$E$4:$E$3609,$B63,记账凭证!$B$4:$B$3609,"&lt;"&amp;$M$1)),2)))</f>
        <v>-0</v>
      </c>
      <c r="G63" s="70" t="n">
        <f aca="false">IF($B63="","",ROUND(SUMIFS(记账凭证!$H$4:$H$3609,记账凭证!$E$4:$E$3609,$B63,记账凭证!$B$4:$B$3609,"&gt;="&amp;$M$1,记账凭证!$B$4:$B$3609,"&lt;="&amp;$M$2),2))</f>
        <v>0</v>
      </c>
      <c r="H63" s="70" t="n">
        <f aca="false">IF($B63="","",ROUND(SUMIFS(记账凭证!$I$4:$I$3609,记账凭证!$E$4:$E$3609,$B63,记账凭证!$B$4:$B$3609,"&gt;="&amp;$M$1,记账凭证!$B$4:$B$3609,"&lt;="&amp;$M$2),2))</f>
        <v>0</v>
      </c>
      <c r="I63" s="70" t="n">
        <f aca="false">IF($B63="","",MAX(0,ROUND($E63-$F63+$G63-$H63,2)))</f>
        <v>0</v>
      </c>
      <c r="J63" s="70" t="n">
        <f aca="false">IF($B63="","",MAX(0,ROUND($F63-$E63-$G63+$H63,2)))</f>
        <v>0</v>
      </c>
    </row>
    <row r="64" customFormat="false" ht="18" hidden="false" customHeight="true" outlineLevel="0" collapsed="false">
      <c r="A64" s="99" t="str">
        <f aca="false">IF($B64="","",IFERROR(INDEX(科目表!$A$4:$A$81,MATCH($B64,科目表!$B$4:$B$81,0)),""))</f>
        <v>5601</v>
      </c>
      <c r="B64" s="18" t="s">
        <v>554</v>
      </c>
      <c r="C64" s="67" t="str">
        <f aca="false">IF($B64="","",IFERROR(INDEX(科目表!$C$4:$C$81,MATCH($B64,科目表!$B$4:$B$81,0)),""))</f>
        <v>损益</v>
      </c>
      <c r="D64" s="67" t="str">
        <f aca="false">IF($B64="","",IFERROR(INDEX(科目表!$E$4:$E$81,MATCH($B64,科目表!$B$4:$B$81,0)),""))</f>
        <v>销售费用</v>
      </c>
      <c r="E64" s="70" t="n">
        <f aca="false">IF($B64="","",MAX(0,ROUND(SUMIFS(期初余额!$D$4:$D$81,期初余额!$B$4:$B$81,$B64)-SUMIFS(期初余额!$E$4:$E$81,期初余额!$B$4:$B$81,$B64)+SUMIFS(记账凭证!$H$4:$H$3609,记账凭证!$E$4:$E$3609,$B64,记账凭证!$B$4:$B$3609,"&lt;"&amp;$M$1)-SUMIFS(记账凭证!$I$4:$I$3609,记账凭证!$E$4:$E$3609,$B64,记账凭证!$B$4:$B$3609,"&lt;"&amp;$M$1),2)))</f>
        <v>0</v>
      </c>
      <c r="F64" s="70" t="n">
        <f aca="false">IF($B64="","",MAX(0,ROUND(-(SUMIFS(期初余额!$D$4:$D$81,期初余额!$B$4:$B$81,$B64)-SUMIFS(期初余额!$E$4:$E$81,期初余额!$B$4:$B$81,$B64)+SUMIFS(记账凭证!$H$4:$H$3609,记账凭证!$E$4:$E$3609,$B64,记账凭证!$B$4:$B$3609,"&lt;"&amp;$M$1)-SUMIFS(记账凭证!$I$4:$I$3609,记账凭证!$E$4:$E$3609,$B64,记账凭证!$B$4:$B$3609,"&lt;"&amp;$M$1)),2)))</f>
        <v>-0</v>
      </c>
      <c r="G64" s="70" t="n">
        <f aca="false">IF($B64="","",ROUND(SUMIFS(记账凭证!$H$4:$H$3609,记账凭证!$E$4:$E$3609,$B64,记账凭证!$B$4:$B$3609,"&gt;="&amp;$M$1,记账凭证!$B$4:$B$3609,"&lt;="&amp;$M$2),2))</f>
        <v>174</v>
      </c>
      <c r="H64" s="70" t="n">
        <f aca="false">IF($B64="","",ROUND(SUMIFS(记账凭证!$I$4:$I$3609,记账凭证!$E$4:$E$3609,$B64,记账凭证!$B$4:$B$3609,"&gt;="&amp;$M$1,记账凭证!$B$4:$B$3609,"&lt;="&amp;$M$2),2))</f>
        <v>0</v>
      </c>
      <c r="I64" s="70" t="n">
        <f aca="false">IF($B64="","",MAX(0,ROUND($E64-$F64+$G64-$H64,2)))</f>
        <v>174</v>
      </c>
      <c r="J64" s="70" t="n">
        <f aca="false">IF($B64="","",MAX(0,ROUND($F64-$E64-$G64+$H64,2)))</f>
        <v>0</v>
      </c>
    </row>
    <row r="65" customFormat="false" ht="18" hidden="false" customHeight="true" outlineLevel="0" collapsed="false">
      <c r="A65" s="99" t="str">
        <f aca="false">IF($B65="","",IFERROR(INDEX(科目表!$A$4:$A$81,MATCH($B65,科目表!$B$4:$B$81,0)),""))</f>
        <v>5602</v>
      </c>
      <c r="B65" s="18" t="s">
        <v>391</v>
      </c>
      <c r="C65" s="67" t="str">
        <f aca="false">IF($B65="","",IFERROR(INDEX(科目表!$C$4:$C$81,MATCH($B65,科目表!$B$4:$B$81,0)),""))</f>
        <v>损益</v>
      </c>
      <c r="D65" s="67" t="str">
        <f aca="false">IF($B65="","",IFERROR(INDEX(科目表!$E$4:$E$81,MATCH($B65,科目表!$B$4:$B$81,0)),""))</f>
        <v>管理费用</v>
      </c>
      <c r="E65" s="70" t="n">
        <f aca="false">IF($B65="","",MAX(0,ROUND(SUMIFS(期初余额!$D$4:$D$81,期初余额!$B$4:$B$81,$B65)-SUMIFS(期初余额!$E$4:$E$81,期初余额!$B$4:$B$81,$B65)+SUMIFS(记账凭证!$H$4:$H$3609,记账凭证!$E$4:$E$3609,$B65,记账凭证!$B$4:$B$3609,"&lt;"&amp;$M$1)-SUMIFS(记账凭证!$I$4:$I$3609,记账凭证!$E$4:$E$3609,$B65,记账凭证!$B$4:$B$3609,"&lt;"&amp;$M$1),2)))</f>
        <v>0</v>
      </c>
      <c r="F65" s="70" t="n">
        <f aca="false">IF($B65="","",MAX(0,ROUND(-(SUMIFS(期初余额!$D$4:$D$81,期初余额!$B$4:$B$81,$B65)-SUMIFS(期初余额!$E$4:$E$81,期初余额!$B$4:$B$81,$B65)+SUMIFS(记账凭证!$H$4:$H$3609,记账凭证!$E$4:$E$3609,$B65,记账凭证!$B$4:$B$3609,"&lt;"&amp;$M$1)-SUMIFS(记账凭证!$I$4:$I$3609,记账凭证!$E$4:$E$3609,$B65,记账凭证!$B$4:$B$3609,"&lt;"&amp;$M$1)),2)))</f>
        <v>-0</v>
      </c>
      <c r="G65" s="70" t="n">
        <f aca="false">IF($B65="","",ROUND(SUMIFS(记账凭证!$H$4:$H$3609,记账凭证!$E$4:$E$3609,$B65,记账凭证!$B$4:$B$3609,"&gt;="&amp;$M$1,记账凭证!$B$4:$B$3609,"&lt;="&amp;$M$2),2))</f>
        <v>18397.01</v>
      </c>
      <c r="H65" s="70" t="n">
        <f aca="false">IF($B65="","",ROUND(SUMIFS(记账凭证!$I$4:$I$3609,记账凭证!$E$4:$E$3609,$B65,记账凭证!$B$4:$B$3609,"&gt;="&amp;$M$1,记账凭证!$B$4:$B$3609,"&lt;="&amp;$M$2),2))</f>
        <v>0</v>
      </c>
      <c r="I65" s="70" t="n">
        <f aca="false">IF($B65="","",MAX(0,ROUND($E65-$F65+$G65-$H65,2)))</f>
        <v>18397.01</v>
      </c>
      <c r="J65" s="70" t="n">
        <f aca="false">IF($B65="","",MAX(0,ROUND($F65-$E65-$G65+$H65,2)))</f>
        <v>0</v>
      </c>
    </row>
    <row r="66" customFormat="false" ht="18" hidden="false" customHeight="true" outlineLevel="0" collapsed="false">
      <c r="A66" s="99" t="str">
        <f aca="false">IF($B66="","",IFERROR(INDEX(科目表!$A$4:$A$81,MATCH($B66,科目表!$B$4:$B$81,0)),""))</f>
        <v>5603</v>
      </c>
      <c r="B66" s="18" t="s">
        <v>413</v>
      </c>
      <c r="C66" s="67" t="str">
        <f aca="false">IF($B66="","",IFERROR(INDEX(科目表!$C$4:$C$81,MATCH($B66,科目表!$B$4:$B$81,0)),""))</f>
        <v>损益</v>
      </c>
      <c r="D66" s="67" t="str">
        <f aca="false">IF($B66="","",IFERROR(INDEX(科目表!$E$4:$E$81,MATCH($B66,科目表!$B$4:$B$81,0)),""))</f>
        <v>财务费用</v>
      </c>
      <c r="E66" s="70" t="n">
        <f aca="false">IF($B66="","",MAX(0,ROUND(SUMIFS(期初余额!$D$4:$D$81,期初余额!$B$4:$B$81,$B66)-SUMIFS(期初余额!$E$4:$E$81,期初余额!$B$4:$B$81,$B66)+SUMIFS(记账凭证!$H$4:$H$3609,记账凭证!$E$4:$E$3609,$B66,记账凭证!$B$4:$B$3609,"&lt;"&amp;$M$1)-SUMIFS(记账凭证!$I$4:$I$3609,记账凭证!$E$4:$E$3609,$B66,记账凭证!$B$4:$B$3609,"&lt;"&amp;$M$1),2)))</f>
        <v>0</v>
      </c>
      <c r="F66" s="70" t="n">
        <f aca="false">IF($B66="","",MAX(0,ROUND(-(SUMIFS(期初余额!$D$4:$D$81,期初余额!$B$4:$B$81,$B66)-SUMIFS(期初余额!$E$4:$E$81,期初余额!$B$4:$B$81,$B66)+SUMIFS(记账凭证!$H$4:$H$3609,记账凭证!$E$4:$E$3609,$B66,记账凭证!$B$4:$B$3609,"&lt;"&amp;$M$1)-SUMIFS(记账凭证!$I$4:$I$3609,记账凭证!$E$4:$E$3609,$B66,记账凭证!$B$4:$B$3609,"&lt;"&amp;$M$1)),2)))</f>
        <v>-0</v>
      </c>
      <c r="G66" s="70" t="n">
        <f aca="false">IF($B66="","",ROUND(SUMIFS(记账凭证!$H$4:$H$3609,记账凭证!$E$4:$E$3609,$B66,记账凭证!$B$4:$B$3609,"&gt;="&amp;$M$1,记账凭证!$B$4:$B$3609,"&lt;="&amp;$M$2),2))</f>
        <v>290</v>
      </c>
      <c r="H66" s="70" t="n">
        <f aca="false">IF($B66="","",ROUND(SUMIFS(记账凭证!$I$4:$I$3609,记账凭证!$E$4:$E$3609,$B66,记账凭证!$B$4:$B$3609,"&gt;="&amp;$M$1,记账凭证!$B$4:$B$3609,"&lt;="&amp;$M$2),2))</f>
        <v>12066</v>
      </c>
      <c r="I66" s="70" t="n">
        <f aca="false">IF($B66="","",MAX(0,ROUND($E66-$F66+$G66-$H66,2)))</f>
        <v>0</v>
      </c>
      <c r="J66" s="70" t="n">
        <f aca="false">IF($B66="","",MAX(0,ROUND($F66-$E66-$G66+$H66,2)))</f>
        <v>11776</v>
      </c>
    </row>
    <row r="67" customFormat="false" ht="18" hidden="false" customHeight="true" outlineLevel="0" collapsed="false">
      <c r="A67" s="99" t="str">
        <f aca="false">IF($B67="","",IFERROR(INDEX(科目表!$A$4:$A$81,MATCH($B67,科目表!$B$4:$B$81,0)),""))</f>
        <v>5711</v>
      </c>
      <c r="B67" s="18" t="s">
        <v>671</v>
      </c>
      <c r="C67" s="67" t="str">
        <f aca="false">IF($B67="","",IFERROR(INDEX(科目表!$C$4:$C$81,MATCH($B67,科目表!$B$4:$B$81,0)),""))</f>
        <v>损益</v>
      </c>
      <c r="D67" s="67" t="str">
        <f aca="false">IF($B67="","",IFERROR(INDEX(科目表!$E$4:$E$81,MATCH($B67,科目表!$B$4:$B$81,0)),""))</f>
        <v>营业外支出</v>
      </c>
      <c r="E67" s="70" t="n">
        <f aca="false">IF($B67="","",MAX(0,ROUND(SUMIFS(期初余额!$D$4:$D$81,期初余额!$B$4:$B$81,$B67)-SUMIFS(期初余额!$E$4:$E$81,期初余额!$B$4:$B$81,$B67)+SUMIFS(记账凭证!$H$4:$H$3609,记账凭证!$E$4:$E$3609,$B67,记账凭证!$B$4:$B$3609,"&lt;"&amp;$M$1)-SUMIFS(记账凭证!$I$4:$I$3609,记账凭证!$E$4:$E$3609,$B67,记账凭证!$B$4:$B$3609,"&lt;"&amp;$M$1),2)))</f>
        <v>0</v>
      </c>
      <c r="F67" s="70" t="n">
        <f aca="false">IF($B67="","",MAX(0,ROUND(-(SUMIFS(期初余额!$D$4:$D$81,期初余额!$B$4:$B$81,$B67)-SUMIFS(期初余额!$E$4:$E$81,期初余额!$B$4:$B$81,$B67)+SUMIFS(记账凭证!$H$4:$H$3609,记账凭证!$E$4:$E$3609,$B67,记账凭证!$B$4:$B$3609,"&lt;"&amp;$M$1)-SUMIFS(记账凭证!$I$4:$I$3609,记账凭证!$E$4:$E$3609,$B67,记账凭证!$B$4:$B$3609,"&lt;"&amp;$M$1)),2)))</f>
        <v>-0</v>
      </c>
      <c r="G67" s="70" t="n">
        <f aca="false">IF($B67="","",ROUND(SUMIFS(记账凭证!$H$4:$H$3609,记账凭证!$E$4:$E$3609,$B67,记账凭证!$B$4:$B$3609,"&gt;="&amp;$M$1,记账凭证!$B$4:$B$3609,"&lt;="&amp;$M$2),2))</f>
        <v>0</v>
      </c>
      <c r="H67" s="70" t="n">
        <f aca="false">IF($B67="","",ROUND(SUMIFS(记账凭证!$I$4:$I$3609,记账凭证!$E$4:$E$3609,$B67,记账凭证!$B$4:$B$3609,"&gt;="&amp;$M$1,记账凭证!$B$4:$B$3609,"&lt;="&amp;$M$2),2))</f>
        <v>0</v>
      </c>
      <c r="I67" s="70" t="n">
        <f aca="false">IF($B67="","",MAX(0,ROUND($E67-$F67+$G67-$H67,2)))</f>
        <v>0</v>
      </c>
      <c r="J67" s="70" t="n">
        <f aca="false">IF($B67="","",MAX(0,ROUND($F67-$E67-$G67+$H67,2)))</f>
        <v>0</v>
      </c>
    </row>
    <row r="68" customFormat="false" ht="18" hidden="false" customHeight="true" outlineLevel="0" collapsed="false">
      <c r="A68" s="99" t="str">
        <f aca="false">IF($B68="","",IFERROR(INDEX(科目表!$A$4:$A$81,MATCH($B68,科目表!$B$4:$B$81,0)),""))</f>
        <v>5801</v>
      </c>
      <c r="B68" s="18" t="s">
        <v>674</v>
      </c>
      <c r="C68" s="67" t="str">
        <f aca="false">IF($B68="","",IFERROR(INDEX(科目表!$C$4:$C$81,MATCH($B68,科目表!$B$4:$B$81,0)),""))</f>
        <v>损益</v>
      </c>
      <c r="D68" s="67" t="str">
        <f aca="false">IF($B68="","",IFERROR(INDEX(科目表!$E$4:$E$81,MATCH($B68,科目表!$B$4:$B$81,0)),""))</f>
        <v>所得税费用</v>
      </c>
      <c r="E68" s="70" t="n">
        <f aca="false">IF($B68="","",MAX(0,ROUND(SUMIFS(期初余额!$D$4:$D$81,期初余额!$B$4:$B$81,$B68)-SUMIFS(期初余额!$E$4:$E$81,期初余额!$B$4:$B$81,$B68)+SUMIFS(记账凭证!$H$4:$H$3609,记账凭证!$E$4:$E$3609,$B68,记账凭证!$B$4:$B$3609,"&lt;"&amp;$M$1)-SUMIFS(记账凭证!$I$4:$I$3609,记账凭证!$E$4:$E$3609,$B68,记账凭证!$B$4:$B$3609,"&lt;"&amp;$M$1),2)))</f>
        <v>0</v>
      </c>
      <c r="F68" s="70" t="n">
        <f aca="false">IF($B68="","",MAX(0,ROUND(-(SUMIFS(期初余额!$D$4:$D$81,期初余额!$B$4:$B$81,$B68)-SUMIFS(期初余额!$E$4:$E$81,期初余额!$B$4:$B$81,$B68)+SUMIFS(记账凭证!$H$4:$H$3609,记账凭证!$E$4:$E$3609,$B68,记账凭证!$B$4:$B$3609,"&lt;"&amp;$M$1)-SUMIFS(记账凭证!$I$4:$I$3609,记账凭证!$E$4:$E$3609,$B68,记账凭证!$B$4:$B$3609,"&lt;"&amp;$M$1)),2)))</f>
        <v>-0</v>
      </c>
      <c r="G68" s="70" t="n">
        <f aca="false">IF($B68="","",ROUND(SUMIFS(记账凭证!$H$4:$H$3609,记账凭证!$E$4:$E$3609,$B68,记账凭证!$B$4:$B$3609,"&gt;="&amp;$M$1,记账凭证!$B$4:$B$3609,"&lt;="&amp;$M$2),2))</f>
        <v>0</v>
      </c>
      <c r="H68" s="70" t="n">
        <f aca="false">IF($B68="","",ROUND(SUMIFS(记账凭证!$I$4:$I$3609,记账凭证!$E$4:$E$3609,$B68,记账凭证!$B$4:$B$3609,"&gt;="&amp;$M$1,记账凭证!$B$4:$B$3609,"&lt;="&amp;$M$2),2))</f>
        <v>0</v>
      </c>
      <c r="I68" s="70" t="n">
        <f aca="false">IF($B68="","",MAX(0,ROUND($E68-$F68+$G68-$H68,2)))</f>
        <v>0</v>
      </c>
      <c r="J68" s="70" t="n">
        <f aca="false">IF($B68="","",MAX(0,ROUND($F68-$E68-$G68+$H68,2)))</f>
        <v>0</v>
      </c>
    </row>
    <row r="69" customFormat="false" ht="18" hidden="false" customHeight="true" outlineLevel="0" collapsed="false">
      <c r="A69" s="99" t="str">
        <f aca="false">IF($B69="","",IFERROR(INDEX(科目表!$A$4:$A$81,MATCH($B69,科目表!$B$4:$B$81,0)),""))</f>
        <v/>
      </c>
      <c r="B69" s="18"/>
      <c r="C69" s="67" t="str">
        <f aca="false">IF($B69="","",IFERROR(INDEX(科目表!$C$4:$C$81,MATCH($B69,科目表!$B$4:$B$81,0)),""))</f>
        <v/>
      </c>
      <c r="D69" s="67" t="str">
        <f aca="false">IF($B69="","",IFERROR(INDEX(科目表!$E$4:$E$81,MATCH($B69,科目表!$B$4:$B$81,0)),""))</f>
        <v/>
      </c>
      <c r="E69" s="70" t="str">
        <f aca="false">IF($B69="","",ROUND(SUMIFS(期初余额!$D$4:$D$81,期初余额!$B$4:$B$81,$B69),2))</f>
        <v/>
      </c>
      <c r="F69" s="70" t="str">
        <f aca="false">IF($B69="","",ROUND(SUMIFS(期初余额!$E$4:$E$81,期初余额!$B$4:$B$81,$B69),2))</f>
        <v/>
      </c>
      <c r="G69" s="70" t="str">
        <f aca="false">IF($B69="","",ROUND(SUMIFS(记账凭证!$H$4:$H$3609,记账凭证!$E$4:$E$3609,$B69),2))</f>
        <v/>
      </c>
      <c r="H69" s="70" t="str">
        <f aca="false">IF($B69="","",ROUND(SUMIFS(记账凭证!$I$4:$I$3609,记账凭证!$E$4:$E$3609,$B69),2))</f>
        <v/>
      </c>
      <c r="I69" s="70" t="str">
        <f aca="false">IF($B69="","",MAX(0,ROUND($E69-$F69+$G69-$H69,2)))</f>
        <v/>
      </c>
      <c r="J69" s="70" t="str">
        <f aca="false">IF($B69="","",MAX(0,ROUND($F69-$E69-$G69+$H69,2)))</f>
        <v/>
      </c>
    </row>
    <row r="70" customFormat="false" ht="18" hidden="false" customHeight="true" outlineLevel="0" collapsed="false">
      <c r="A70" s="99" t="str">
        <f aca="false">IF($B70="","",IFERROR(INDEX(科目表!$A$4:$A$81,MATCH($B70,科目表!$B$4:$B$81,0)),""))</f>
        <v/>
      </c>
      <c r="B70" s="18"/>
      <c r="C70" s="67" t="str">
        <f aca="false">IF($B70="","",IFERROR(INDEX(科目表!$C$4:$C$81,MATCH($B70,科目表!$B$4:$B$81,0)),""))</f>
        <v/>
      </c>
      <c r="D70" s="67" t="str">
        <f aca="false">IF($B70="","",IFERROR(INDEX(科目表!$E$4:$E$81,MATCH($B70,科目表!$B$4:$B$81,0)),""))</f>
        <v/>
      </c>
      <c r="E70" s="70" t="str">
        <f aca="false">IF($B70="","",ROUND(SUMIFS(期初余额!$D$4:$D$81,期初余额!$B$4:$B$81,$B70),2))</f>
        <v/>
      </c>
      <c r="F70" s="70" t="str">
        <f aca="false">IF($B70="","",ROUND(SUMIFS(期初余额!$E$4:$E$81,期初余额!$B$4:$B$81,$B70),2))</f>
        <v/>
      </c>
      <c r="G70" s="70" t="str">
        <f aca="false">IF($B70="","",ROUND(SUMIFS(记账凭证!$H$4:$H$3609,记账凭证!$E$4:$E$3609,$B70),2))</f>
        <v/>
      </c>
      <c r="H70" s="70" t="str">
        <f aca="false">IF($B70="","",ROUND(SUMIFS(记账凭证!$I$4:$I$3609,记账凭证!$E$4:$E$3609,$B70),2))</f>
        <v/>
      </c>
      <c r="I70" s="70" t="str">
        <f aca="false">IF($B70="","",MAX(0,ROUND($E70-$F70+$G70-$H70,2)))</f>
        <v/>
      </c>
      <c r="J70" s="70" t="str">
        <f aca="false">IF($B70="","",MAX(0,ROUND($F70-$E70-$G70+$H70,2)))</f>
        <v/>
      </c>
    </row>
    <row r="71" customFormat="false" ht="18" hidden="false" customHeight="true" outlineLevel="0" collapsed="false">
      <c r="A71" s="99" t="str">
        <f aca="false">IF($B71="","",IFERROR(INDEX(科目表!$A$4:$A$81,MATCH($B71,科目表!$B$4:$B$81,0)),""))</f>
        <v/>
      </c>
      <c r="B71" s="18"/>
      <c r="C71" s="67" t="str">
        <f aca="false">IF($B71="","",IFERROR(INDEX(科目表!$C$4:$C$81,MATCH($B71,科目表!$B$4:$B$81,0)),""))</f>
        <v/>
      </c>
      <c r="D71" s="67" t="str">
        <f aca="false">IF($B71="","",IFERROR(INDEX(科目表!$E$4:$E$81,MATCH($B71,科目表!$B$4:$B$81,0)),""))</f>
        <v/>
      </c>
      <c r="E71" s="70" t="str">
        <f aca="false">IF($B71="","",ROUND(SUMIFS(期初余额!$D$4:$D$81,期初余额!$B$4:$B$81,$B71),2))</f>
        <v/>
      </c>
      <c r="F71" s="70" t="str">
        <f aca="false">IF($B71="","",ROUND(SUMIFS(期初余额!$E$4:$E$81,期初余额!$B$4:$B$81,$B71),2))</f>
        <v/>
      </c>
      <c r="G71" s="70" t="str">
        <f aca="false">IF($B71="","",ROUND(SUMIFS(记账凭证!$H$4:$H$3609,记账凭证!$E$4:$E$3609,$B71),2))</f>
        <v/>
      </c>
      <c r="H71" s="70" t="str">
        <f aca="false">IF($B71="","",ROUND(SUMIFS(记账凭证!$I$4:$I$3609,记账凭证!$E$4:$E$3609,$B71),2))</f>
        <v/>
      </c>
      <c r="I71" s="70" t="str">
        <f aca="false">IF($B71="","",MAX(0,ROUND($E71-$F71+$G71-$H71,2)))</f>
        <v/>
      </c>
      <c r="J71" s="70" t="str">
        <f aca="false">IF($B71="","",MAX(0,ROUND($F71-$E71-$G71+$H71,2)))</f>
        <v/>
      </c>
    </row>
    <row r="72" customFormat="false" ht="18" hidden="false" customHeight="true" outlineLevel="0" collapsed="false">
      <c r="A72" s="99" t="str">
        <f aca="false">IF($B72="","",IFERROR(INDEX(科目表!$A$4:$A$81,MATCH($B72,科目表!$B$4:$B$81,0)),""))</f>
        <v/>
      </c>
      <c r="B72" s="18"/>
      <c r="C72" s="67" t="str">
        <f aca="false">IF($B72="","",IFERROR(INDEX(科目表!$C$4:$C$81,MATCH($B72,科目表!$B$4:$B$81,0)),""))</f>
        <v/>
      </c>
      <c r="D72" s="67" t="str">
        <f aca="false">IF($B72="","",IFERROR(INDEX(科目表!$E$4:$E$81,MATCH($B72,科目表!$B$4:$B$81,0)),""))</f>
        <v/>
      </c>
      <c r="E72" s="70" t="str">
        <f aca="false">IF($B72="","",ROUND(SUMIFS(期初余额!$D$4:$D$81,期初余额!$B$4:$B$81,$B72),2))</f>
        <v/>
      </c>
      <c r="F72" s="70" t="str">
        <f aca="false">IF($B72="","",ROUND(SUMIFS(期初余额!$E$4:$E$81,期初余额!$B$4:$B$81,$B72),2))</f>
        <v/>
      </c>
      <c r="G72" s="70" t="str">
        <f aca="false">IF($B72="","",ROUND(SUMIFS(记账凭证!$H$4:$H$3609,记账凭证!$E$4:$E$3609,$B72),2))</f>
        <v/>
      </c>
      <c r="H72" s="70" t="str">
        <f aca="false">IF($B72="","",ROUND(SUMIFS(记账凭证!$I$4:$I$3609,记账凭证!$E$4:$E$3609,$B72),2))</f>
        <v/>
      </c>
      <c r="I72" s="70" t="str">
        <f aca="false">IF($B72="","",MAX(0,ROUND($E72-$F72+$G72-$H72,2)))</f>
        <v/>
      </c>
      <c r="J72" s="70" t="str">
        <f aca="false">IF($B72="","",MAX(0,ROUND($F72-$E72-$G72+$H72,2)))</f>
        <v/>
      </c>
    </row>
    <row r="73" customFormat="false" ht="18" hidden="false" customHeight="true" outlineLevel="0" collapsed="false">
      <c r="A73" s="99" t="str">
        <f aca="false">IF($B73="","",IFERROR(INDEX(科目表!$A$4:$A$81,MATCH($B73,科目表!$B$4:$B$81,0)),""))</f>
        <v/>
      </c>
      <c r="B73" s="18"/>
      <c r="C73" s="67" t="str">
        <f aca="false">IF($B73="","",IFERROR(INDEX(科目表!$C$4:$C$81,MATCH($B73,科目表!$B$4:$B$81,0)),""))</f>
        <v/>
      </c>
      <c r="D73" s="67" t="str">
        <f aca="false">IF($B73="","",IFERROR(INDEX(科目表!$E$4:$E$81,MATCH($B73,科目表!$B$4:$B$81,0)),""))</f>
        <v/>
      </c>
      <c r="E73" s="70" t="str">
        <f aca="false">IF($B73="","",ROUND(SUMIFS(期初余额!$D$4:$D$81,期初余额!$B$4:$B$81,$B73),2))</f>
        <v/>
      </c>
      <c r="F73" s="70" t="str">
        <f aca="false">IF($B73="","",ROUND(SUMIFS(期初余额!$E$4:$E$81,期初余额!$B$4:$B$81,$B73),2))</f>
        <v/>
      </c>
      <c r="G73" s="70" t="str">
        <f aca="false">IF($B73="","",ROUND(SUMIFS(记账凭证!$H$4:$H$3609,记账凭证!$E$4:$E$3609,$B73),2))</f>
        <v/>
      </c>
      <c r="H73" s="70" t="str">
        <f aca="false">IF($B73="","",ROUND(SUMIFS(记账凭证!$I$4:$I$3609,记账凭证!$E$4:$E$3609,$B73),2))</f>
        <v/>
      </c>
      <c r="I73" s="70" t="str">
        <f aca="false">IF($B73="","",MAX(0,ROUND($E73-$F73+$G73-$H73,2)))</f>
        <v/>
      </c>
      <c r="J73" s="70" t="str">
        <f aca="false">IF($B73="","",MAX(0,ROUND($F73-$E73-$G73+$H73,2)))</f>
        <v/>
      </c>
    </row>
    <row r="74" customFormat="false" ht="18" hidden="false" customHeight="true" outlineLevel="0" collapsed="false">
      <c r="A74" s="99" t="str">
        <f aca="false">IF($B74="","",IFERROR(INDEX(科目表!$A$4:$A$81,MATCH($B74,科目表!$B$4:$B$81,0)),""))</f>
        <v/>
      </c>
      <c r="B74" s="18"/>
      <c r="C74" s="67" t="str">
        <f aca="false">IF($B74="","",IFERROR(INDEX(科目表!$C$4:$C$81,MATCH($B74,科目表!$B$4:$B$81,0)),""))</f>
        <v/>
      </c>
      <c r="D74" s="67" t="str">
        <f aca="false">IF($B74="","",IFERROR(INDEX(科目表!$E$4:$E$81,MATCH($B74,科目表!$B$4:$B$81,0)),""))</f>
        <v/>
      </c>
      <c r="E74" s="70" t="str">
        <f aca="false">IF($B74="","",ROUND(SUMIFS(期初余额!$D$4:$D$81,期初余额!$B$4:$B$81,$B74),2))</f>
        <v/>
      </c>
      <c r="F74" s="70" t="str">
        <f aca="false">IF($B74="","",ROUND(SUMIFS(期初余额!$E$4:$E$81,期初余额!$B$4:$B$81,$B74),2))</f>
        <v/>
      </c>
      <c r="G74" s="70" t="str">
        <f aca="false">IF($B74="","",ROUND(SUMIFS(记账凭证!$H$4:$H$3609,记账凭证!$E$4:$E$3609,$B74),2))</f>
        <v/>
      </c>
      <c r="H74" s="70" t="str">
        <f aca="false">IF($B74="","",ROUND(SUMIFS(记账凭证!$I$4:$I$3609,记账凭证!$E$4:$E$3609,$B74),2))</f>
        <v/>
      </c>
      <c r="I74" s="70" t="str">
        <f aca="false">IF($B74="","",MAX(0,ROUND($E74-$F74+$G74-$H74,2)))</f>
        <v/>
      </c>
      <c r="J74" s="70" t="str">
        <f aca="false">IF($B74="","",MAX(0,ROUND($F74-$E74-$G74+$H74,2)))</f>
        <v/>
      </c>
    </row>
    <row r="75" customFormat="false" ht="18" hidden="false" customHeight="true" outlineLevel="0" collapsed="false">
      <c r="A75" s="99" t="str">
        <f aca="false">IF($B75="","",IFERROR(INDEX(科目表!$A$4:$A$81,MATCH($B75,科目表!$B$4:$B$81,0)),""))</f>
        <v/>
      </c>
      <c r="B75" s="18"/>
      <c r="C75" s="67" t="str">
        <f aca="false">IF($B75="","",IFERROR(INDEX(科目表!$C$4:$C$81,MATCH($B75,科目表!$B$4:$B$81,0)),""))</f>
        <v/>
      </c>
      <c r="D75" s="67" t="str">
        <f aca="false">IF($B75="","",IFERROR(INDEX(科目表!$E$4:$E$81,MATCH($B75,科目表!$B$4:$B$81,0)),""))</f>
        <v/>
      </c>
      <c r="E75" s="70" t="str">
        <f aca="false">IF($B75="","",ROUND(SUMIFS(期初余额!$D$4:$D$81,期初余额!$B$4:$B$81,$B75),2))</f>
        <v/>
      </c>
      <c r="F75" s="70" t="str">
        <f aca="false">IF($B75="","",ROUND(SUMIFS(期初余额!$E$4:$E$81,期初余额!$B$4:$B$81,$B75),2))</f>
        <v/>
      </c>
      <c r="G75" s="70" t="str">
        <f aca="false">IF($B75="","",ROUND(SUMIFS(记账凭证!$H$4:$H$3609,记账凭证!$E$4:$E$3609,$B75),2))</f>
        <v/>
      </c>
      <c r="H75" s="70" t="str">
        <f aca="false">IF($B75="","",ROUND(SUMIFS(记账凭证!$I$4:$I$3609,记账凭证!$E$4:$E$3609,$B75),2))</f>
        <v/>
      </c>
      <c r="I75" s="70" t="str">
        <f aca="false">IF($B75="","",MAX(0,ROUND($E75-$F75+$G75-$H75,2)))</f>
        <v/>
      </c>
      <c r="J75" s="70" t="str">
        <f aca="false">IF($B75="","",MAX(0,ROUND($F75-$E75-$G75+$H75,2)))</f>
        <v/>
      </c>
    </row>
    <row r="76" customFormat="false" ht="18" hidden="false" customHeight="true" outlineLevel="0" collapsed="false">
      <c r="A76" s="99" t="str">
        <f aca="false">IF($B76="","",IFERROR(INDEX(科目表!$A$4:$A$81,MATCH($B76,科目表!$B$4:$B$81,0)),""))</f>
        <v/>
      </c>
      <c r="B76" s="18"/>
      <c r="C76" s="67" t="str">
        <f aca="false">IF($B76="","",IFERROR(INDEX(科目表!$C$4:$C$81,MATCH($B76,科目表!$B$4:$B$81,0)),""))</f>
        <v/>
      </c>
      <c r="D76" s="67" t="str">
        <f aca="false">IF($B76="","",IFERROR(INDEX(科目表!$E$4:$E$81,MATCH($B76,科目表!$B$4:$B$81,0)),""))</f>
        <v/>
      </c>
      <c r="E76" s="70" t="str">
        <f aca="false">IF($B76="","",ROUND(SUMIFS(期初余额!$D$4:$D$81,期初余额!$B$4:$B$81,$B76),2))</f>
        <v/>
      </c>
      <c r="F76" s="70" t="str">
        <f aca="false">IF($B76="","",ROUND(SUMIFS(期初余额!$E$4:$E$81,期初余额!$B$4:$B$81,$B76),2))</f>
        <v/>
      </c>
      <c r="G76" s="70" t="str">
        <f aca="false">IF($B76="","",ROUND(SUMIFS(记账凭证!$H$4:$H$3609,记账凭证!$E$4:$E$3609,$B76),2))</f>
        <v/>
      </c>
      <c r="H76" s="70" t="str">
        <f aca="false">IF($B76="","",ROUND(SUMIFS(记账凭证!$I$4:$I$3609,记账凭证!$E$4:$E$3609,$B76),2))</f>
        <v/>
      </c>
      <c r="I76" s="70" t="str">
        <f aca="false">IF($B76="","",MAX(0,ROUND($E76-$F76+$G76-$H76,2)))</f>
        <v/>
      </c>
      <c r="J76" s="70" t="str">
        <f aca="false">IF($B76="","",MAX(0,ROUND($F76-$E76-$G76+$H76,2)))</f>
        <v/>
      </c>
    </row>
    <row r="77" customFormat="false" ht="18" hidden="false" customHeight="true" outlineLevel="0" collapsed="false">
      <c r="A77" s="99" t="str">
        <f aca="false">IF($B77="","",IFERROR(INDEX(科目表!$A$4:$A$81,MATCH($B77,科目表!$B$4:$B$81,0)),""))</f>
        <v/>
      </c>
      <c r="B77" s="18"/>
      <c r="C77" s="67" t="str">
        <f aca="false">IF($B77="","",IFERROR(INDEX(科目表!$C$4:$C$81,MATCH($B77,科目表!$B$4:$B$81,0)),""))</f>
        <v/>
      </c>
      <c r="D77" s="67" t="str">
        <f aca="false">IF($B77="","",IFERROR(INDEX(科目表!$E$4:$E$81,MATCH($B77,科目表!$B$4:$B$81,0)),""))</f>
        <v/>
      </c>
      <c r="E77" s="70" t="str">
        <f aca="false">IF($B77="","",ROUND(SUMIFS(期初余额!$D$4:$D$81,期初余额!$B$4:$B$81,$B77),2))</f>
        <v/>
      </c>
      <c r="F77" s="70" t="str">
        <f aca="false">IF($B77="","",ROUND(SUMIFS(期初余额!$E$4:$E$81,期初余额!$B$4:$B$81,$B77),2))</f>
        <v/>
      </c>
      <c r="G77" s="70" t="str">
        <f aca="false">IF($B77="","",ROUND(SUMIFS(记账凭证!$H$4:$H$3609,记账凭证!$E$4:$E$3609,$B77),2))</f>
        <v/>
      </c>
      <c r="H77" s="70" t="str">
        <f aca="false">IF($B77="","",ROUND(SUMIFS(记账凭证!$I$4:$I$3609,记账凭证!$E$4:$E$3609,$B77),2))</f>
        <v/>
      </c>
      <c r="I77" s="70" t="str">
        <f aca="false">IF($B77="","",MAX(0,ROUND($E77-$F77+$G77-$H77,2)))</f>
        <v/>
      </c>
      <c r="J77" s="70" t="str">
        <f aca="false">IF($B77="","",MAX(0,ROUND($F77-$E77-$G77+$H77,2)))</f>
        <v/>
      </c>
    </row>
    <row r="78" customFormat="false" ht="18" hidden="false" customHeight="true" outlineLevel="0" collapsed="false">
      <c r="A78" s="99" t="str">
        <f aca="false">IF($B78="","",IFERROR(INDEX(科目表!$A$4:$A$81,MATCH($B78,科目表!$B$4:$B$81,0)),""))</f>
        <v/>
      </c>
      <c r="B78" s="18"/>
      <c r="C78" s="67" t="str">
        <f aca="false">IF($B78="","",IFERROR(INDEX(科目表!$C$4:$C$81,MATCH($B78,科目表!$B$4:$B$81,0)),""))</f>
        <v/>
      </c>
      <c r="D78" s="67" t="str">
        <f aca="false">IF($B78="","",IFERROR(INDEX(科目表!$E$4:$E$81,MATCH($B78,科目表!$B$4:$B$81,0)),""))</f>
        <v/>
      </c>
      <c r="E78" s="70" t="str">
        <f aca="false">IF($B78="","",ROUND(SUMIFS(期初余额!$D$4:$D$81,期初余额!$B$4:$B$81,$B78),2))</f>
        <v/>
      </c>
      <c r="F78" s="70" t="str">
        <f aca="false">IF($B78="","",ROUND(SUMIFS(期初余额!$E$4:$E$81,期初余额!$B$4:$B$81,$B78),2))</f>
        <v/>
      </c>
      <c r="G78" s="70" t="str">
        <f aca="false">IF($B78="","",ROUND(SUMIFS(记账凭证!$H$4:$H$3609,记账凭证!$E$4:$E$3609,$B78),2))</f>
        <v/>
      </c>
      <c r="H78" s="70" t="str">
        <f aca="false">IF($B78="","",ROUND(SUMIFS(记账凭证!$I$4:$I$3609,记账凭证!$E$4:$E$3609,$B78),2))</f>
        <v/>
      </c>
      <c r="I78" s="70" t="str">
        <f aca="false">IF($B78="","",MAX(0,ROUND($E78-$F78+$G78-$H78,2)))</f>
        <v/>
      </c>
      <c r="J78" s="70" t="str">
        <f aca="false">IF($B78="","",MAX(0,ROUND($F78-$E78-$G78+$H78,2)))</f>
        <v/>
      </c>
    </row>
    <row r="79" customFormat="false" ht="18" hidden="false" customHeight="true" outlineLevel="0" collapsed="false">
      <c r="A79" s="99" t="str">
        <f aca="false">IF($B79="","",IFERROR(INDEX(科目表!$A$4:$A$81,MATCH($B79,科目表!$B$4:$B$81,0)),""))</f>
        <v/>
      </c>
      <c r="B79" s="18"/>
      <c r="C79" s="67" t="str">
        <f aca="false">IF($B79="","",IFERROR(INDEX(科目表!$C$4:$C$81,MATCH($B79,科目表!$B$4:$B$81,0)),""))</f>
        <v/>
      </c>
      <c r="D79" s="67" t="str">
        <f aca="false">IF($B79="","",IFERROR(INDEX(科目表!$E$4:$E$81,MATCH($B79,科目表!$B$4:$B$81,0)),""))</f>
        <v/>
      </c>
      <c r="E79" s="70" t="str">
        <f aca="false">IF($B79="","",ROUND(SUMIFS(期初余额!$D$4:$D$81,期初余额!$B$4:$B$81,$B79),2))</f>
        <v/>
      </c>
      <c r="F79" s="70" t="str">
        <f aca="false">IF($B79="","",ROUND(SUMIFS(期初余额!$E$4:$E$81,期初余额!$B$4:$B$81,$B79),2))</f>
        <v/>
      </c>
      <c r="G79" s="70" t="str">
        <f aca="false">IF($B79="","",ROUND(SUMIFS(记账凭证!$H$4:$H$3609,记账凭证!$E$4:$E$3609,$B79),2))</f>
        <v/>
      </c>
      <c r="H79" s="70" t="str">
        <f aca="false">IF($B79="","",ROUND(SUMIFS(记账凭证!$I$4:$I$3609,记账凭证!$E$4:$E$3609,$B79),2))</f>
        <v/>
      </c>
      <c r="I79" s="70" t="str">
        <f aca="false">IF($B79="","",MAX(0,ROUND($E79-$F79+$G79-$H79,2)))</f>
        <v/>
      </c>
      <c r="J79" s="70" t="str">
        <f aca="false">IF($B79="","",MAX(0,ROUND($F79-$E79-$G79+$H79,2)))</f>
        <v/>
      </c>
    </row>
    <row r="80" customFormat="false" ht="18" hidden="false" customHeight="true" outlineLevel="0" collapsed="false">
      <c r="A80" s="99" t="str">
        <f aca="false">IF($B80="","",IFERROR(INDEX(科目表!$A$4:$A$81,MATCH($B80,科目表!$B$4:$B$81,0)),""))</f>
        <v/>
      </c>
      <c r="B80" s="18"/>
      <c r="C80" s="67" t="str">
        <f aca="false">IF($B80="","",IFERROR(INDEX(科目表!$C$4:$C$81,MATCH($B80,科目表!$B$4:$B$81,0)),""))</f>
        <v/>
      </c>
      <c r="D80" s="67" t="str">
        <f aca="false">IF($B80="","",IFERROR(INDEX(科目表!$E$4:$E$81,MATCH($B80,科目表!$B$4:$B$81,0)),""))</f>
        <v/>
      </c>
      <c r="E80" s="70" t="str">
        <f aca="false">IF($B80="","",ROUND(SUMIFS(期初余额!$D$4:$D$81,期初余额!$B$4:$B$81,$B80),2))</f>
        <v/>
      </c>
      <c r="F80" s="70" t="str">
        <f aca="false">IF($B80="","",ROUND(SUMIFS(期初余额!$E$4:$E$81,期初余额!$B$4:$B$81,$B80),2))</f>
        <v/>
      </c>
      <c r="G80" s="70" t="str">
        <f aca="false">IF($B80="","",ROUND(SUMIFS(记账凭证!$H$4:$H$3609,记账凭证!$E$4:$E$3609,$B80),2))</f>
        <v/>
      </c>
      <c r="H80" s="70" t="str">
        <f aca="false">IF($B80="","",ROUND(SUMIFS(记账凭证!$I$4:$I$3609,记账凭证!$E$4:$E$3609,$B80),2))</f>
        <v/>
      </c>
      <c r="I80" s="70" t="str">
        <f aca="false">IF($B80="","",MAX(0,ROUND($E80-$F80+$G80-$H80,2)))</f>
        <v/>
      </c>
      <c r="J80" s="70" t="str">
        <f aca="false">IF($B80="","",MAX(0,ROUND($F80-$E80-$G80+$H80,2)))</f>
        <v/>
      </c>
    </row>
    <row r="81" customFormat="false" ht="18" hidden="false" customHeight="true" outlineLevel="0" collapsed="false">
      <c r="A81" s="99" t="str">
        <f aca="false">IF($B81="","",IFERROR(INDEX(科目表!$A$4:$A$81,MATCH($B81,科目表!$B$4:$B$81,0)),""))</f>
        <v/>
      </c>
      <c r="B81" s="18"/>
      <c r="C81" s="67" t="str">
        <f aca="false">IF($B81="","",IFERROR(INDEX(科目表!$C$4:$C$81,MATCH($B81,科目表!$B$4:$B$81,0)),""))</f>
        <v/>
      </c>
      <c r="D81" s="67" t="str">
        <f aca="false">IF($B81="","",IFERROR(INDEX(科目表!$E$4:$E$81,MATCH($B81,科目表!$B$4:$B$81,0)),""))</f>
        <v/>
      </c>
      <c r="E81" s="70" t="str">
        <f aca="false">IF($B81="","",ROUND(SUMIFS(期初余额!$D$4:$D$81,期初余额!$B$4:$B$81,$B81),2))</f>
        <v/>
      </c>
      <c r="F81" s="70" t="str">
        <f aca="false">IF($B81="","",ROUND(SUMIFS(期初余额!$E$4:$E$81,期初余额!$B$4:$B$81,$B81),2))</f>
        <v/>
      </c>
      <c r="G81" s="70" t="str">
        <f aca="false">IF($B81="","",ROUND(SUMIFS(记账凭证!$H$4:$H$3609,记账凭证!$E$4:$E$3609,$B81),2))</f>
        <v/>
      </c>
      <c r="H81" s="70" t="str">
        <f aca="false">IF($B81="","",ROUND(SUMIFS(记账凭证!$I$4:$I$3609,记账凭证!$E$4:$E$3609,$B81),2))</f>
        <v/>
      </c>
      <c r="I81" s="70" t="str">
        <f aca="false">IF($B81="","",MAX(0,ROUND($E81-$F81+$G81-$H81,2)))</f>
        <v/>
      </c>
      <c r="J81" s="70" t="str">
        <f aca="false">IF($B81="","",MAX(0,ROUND($F81-$E81-$G81+$H81,2)))</f>
        <v/>
      </c>
    </row>
    <row r="82" customFormat="false" ht="16.5" hidden="false" customHeight="true" outlineLevel="0" collapsed="false">
      <c r="A82" s="71"/>
      <c r="B82" s="72" t="s">
        <v>229</v>
      </c>
      <c r="C82" s="71"/>
      <c r="D82" s="71"/>
      <c r="E82" s="73" t="n">
        <f aca="false">IF($B82="","",MAX(0,ROUND(SUMIFS(期初余额!$D$4:$D$81,期初余额!$B$4:$B$81,$B82)-SUMIFS(期初余额!$E$4:$E$81,期初余额!$B$4:$B$81,$B82)+SUMIFS(记账凭证!$H$4:$H$3609,记账凭证!$E$4:$E$3609,$B82,记账凭证!$B$4:$B$3609,"&lt;"&amp;$M$1)-SUMIFS(记账凭证!$I$4:$I$3609,记账凭证!$E$4:$E$3609,$B82,记账凭证!$B$4:$B$3609,"&lt;"&amp;$M$1),2)))</f>
        <v>0</v>
      </c>
      <c r="F82" s="73" t="n">
        <f aca="false">IF($B82="","",MAX(0,ROUND(-(SUMIFS(期初余额!$D$4:$D$81,期初余额!$B$4:$B$81,$B82)-SUMIFS(期初余额!$E$4:$E$81,期初余额!$B$4:$B$81,$B82)+SUMIFS(记账凭证!$H$4:$H$3609,记账凭证!$E$4:$E$3609,$B82,记账凭证!$B$4:$B$3609,"&lt;"&amp;$M$1)-SUMIFS(记账凭证!$I$4:$I$3609,记账凭证!$E$4:$E$3609,$B82,记账凭证!$B$4:$B$3609,"&lt;"&amp;$M$1)),2)))</f>
        <v>-0</v>
      </c>
      <c r="G82" s="73" t="n">
        <f aca="false">IF($B82="","",ROUND(SUMIFS(记账凭证!$H$4:$H$3609,记账凭证!$E$4:$E$3609,$B82,记账凭证!$B$4:$B$3609,"&gt;="&amp;$M$1,记账凭证!$B$4:$B$3609,"&lt;="&amp;$M$2),2))</f>
        <v>0</v>
      </c>
      <c r="H82" s="73" t="n">
        <f aca="false">IF($B82="","",ROUND(SUMIFS(记账凭证!$I$4:$I$3609,记账凭证!$E$4:$E$3609,$B82,记账凭证!$B$4:$B$3609,"&gt;="&amp;$M$1,记账凭证!$B$4:$B$3609,"&lt;="&amp;$M$2),2))</f>
        <v>0</v>
      </c>
      <c r="I82" s="73" t="n">
        <f aca="false">ROUND(SUM(I4:I81),2)</f>
        <v>456068.51</v>
      </c>
      <c r="J82" s="73" t="n">
        <f aca="false">ROUND(SUM(J4:J81),2)</f>
        <v>455716.51</v>
      </c>
    </row>
  </sheetData>
  <autoFilter ref="A3:J82"/>
  <mergeCells count="2">
    <mergeCell ref="A1:J1"/>
    <mergeCell ref="A2:F2"/>
  </mergeCells>
  <conditionalFormatting sqref="A2">
    <cfRule type="expression" priority="2" aboveAverage="0" equalAverage="0" bottom="0" percent="0" rank="0" text="" dxfId="0">
      <formula>OR(N(对接源_01水果!$T$1)+N(对接源_02物料!$T$1)=0,N(对接源_01水果!$T$4)*N(对接源_02物料!$T$4)=0)</formula>
    </cfRule>
  </conditionalFormatting>
  <dataValidations count="1">
    <dataValidation allowBlank="true" errorStyle="stop" operator="between" showDropDown="false" showErrorMessage="false" showInputMessage="false" sqref="B4:B81" type="list">
      <formula1>科目表!$B$4:$B$81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false" showRowColHeaders="true" showZeros="true" rightToLeft="false" showOutlineSymbols="true" defaultGridColor="true" view="normal" topLeftCell="A7" colorId="64" zoomScale="100" zoomScaleNormal="100" zoomScalePageLayoutView="100" workbookViewId="0">
      <selection pane="topLeft" activeCell="H3" activeCellId="0" sqref="H3"/>
    </sheetView>
  </sheetViews>
  <sheetFormatPr defaultColWidth="9" defaultRowHeight="13.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4" min="3" style="0" width="24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8" min="7" style="0" width="24"/>
  </cols>
  <sheetData>
    <row r="1" customFormat="false" ht="30" hidden="false" customHeight="true" outlineLevel="0" collapsed="false">
      <c r="A1" s="20" t="s">
        <v>925</v>
      </c>
      <c r="B1" s="20"/>
      <c r="C1" s="20"/>
      <c r="D1" s="20"/>
      <c r="E1" s="20"/>
      <c r="F1" s="20"/>
      <c r="G1" s="20"/>
      <c r="H1" s="20"/>
    </row>
    <row r="2" customFormat="false" ht="18" hidden="false" customHeight="true" outlineLevel="0" collapsed="false">
      <c r="A2" s="180" t="s">
        <v>926</v>
      </c>
      <c r="B2" s="180"/>
      <c r="C2" s="180"/>
      <c r="D2" s="180"/>
      <c r="E2" s="180"/>
      <c r="F2" s="180"/>
      <c r="G2" s="180"/>
      <c r="H2" s="180"/>
    </row>
    <row r="3" customFormat="false" ht="16.5" hidden="false" customHeight="true" outlineLevel="0" collapsed="false">
      <c r="A3" s="181" t="s">
        <v>927</v>
      </c>
      <c r="B3" s="182" t="s">
        <v>454</v>
      </c>
      <c r="C3" s="183" t="s">
        <v>928</v>
      </c>
      <c r="E3" s="181" t="s">
        <v>929</v>
      </c>
      <c r="F3" s="184"/>
      <c r="G3" s="181" t="s">
        <v>930</v>
      </c>
      <c r="H3" s="185" t="str">
        <f aca="false">IF(科目余额表!$J$2="","（未设，取全部）",TEXT(科目余额表!$J$2,"yyyy年m月d日"))</f>
        <v>2026年9月30日</v>
      </c>
    </row>
    <row r="4" customFormat="false" ht="25.5" hidden="false" customHeight="true" outlineLevel="0" collapsed="false">
      <c r="A4" s="37" t="s">
        <v>931</v>
      </c>
      <c r="B4" s="37" t="s">
        <v>932</v>
      </c>
      <c r="C4" s="37" t="s">
        <v>933</v>
      </c>
      <c r="D4" s="37" t="s">
        <v>934</v>
      </c>
      <c r="E4" s="37" t="s">
        <v>935</v>
      </c>
      <c r="F4" s="37" t="s">
        <v>932</v>
      </c>
      <c r="G4" s="37" t="s">
        <v>933</v>
      </c>
      <c r="H4" s="37" t="s">
        <v>934</v>
      </c>
    </row>
    <row r="5" customFormat="false" ht="18" hidden="false" customHeight="true" outlineLevel="0" collapsed="false">
      <c r="A5" s="186" t="s">
        <v>936</v>
      </c>
      <c r="B5" s="187"/>
      <c r="C5" s="188"/>
      <c r="D5" s="188"/>
      <c r="E5" s="186" t="s">
        <v>937</v>
      </c>
      <c r="F5" s="187"/>
      <c r="G5" s="188"/>
      <c r="H5" s="188"/>
    </row>
    <row r="6" customFormat="false" ht="18" hidden="false" customHeight="true" outlineLevel="0" collapsed="false">
      <c r="A6" s="18" t="s">
        <v>938</v>
      </c>
      <c r="B6" s="19" t="n">
        <v>1</v>
      </c>
      <c r="C6" s="189" t="n">
        <f aca="false">ROUND(SUMIFS(科目余额表!$I$4:$I$81,科目余额表!$D$4:$D$81,"货币资金")-SUMIFS(科目余额表!$J$4:$J$81,科目余额表!$D$4:$D$81,"货币资金"),2)</f>
        <v>180435.49</v>
      </c>
      <c r="D6" s="189" t="n">
        <f aca="false">ROUND(SUMIFS(科目余额表!$E$4:$E$81,科目余额表!$D$4:$D$81,"货币资金")-SUMIFS(科目余额表!$F$4:$F$81,科目余额表!$D$4:$D$81,"货币资金"),2)</f>
        <v>0</v>
      </c>
      <c r="E6" s="18" t="s">
        <v>939</v>
      </c>
      <c r="F6" s="19" t="n">
        <v>31</v>
      </c>
      <c r="G6" s="189" t="n">
        <f aca="false">ROUND(SUMIFS(科目余额表!$J$4:$J$81,科目余额表!$D$4:$D$81,"短期借款")-SUMIFS(科目余额表!$I$4:$I$81,科目余额表!$D$4:$D$81,"短期借款"),2)</f>
        <v>330000</v>
      </c>
      <c r="H6" s="189" t="n">
        <f aca="false">ROUND(SUMIFS(科目余额表!$F$4:$F$81,科目余额表!$D$4:$D$81,"短期借款")-SUMIFS(科目余额表!$E$4:$E$81,科目余额表!$D$4:$D$81,"短期借款"),2)</f>
        <v>0</v>
      </c>
    </row>
    <row r="7" customFormat="false" ht="18" hidden="false" customHeight="true" outlineLevel="0" collapsed="false">
      <c r="A7" s="18" t="s">
        <v>940</v>
      </c>
      <c r="B7" s="19" t="n">
        <v>2</v>
      </c>
      <c r="C7" s="189" t="n">
        <v>0</v>
      </c>
      <c r="D7" s="189" t="n">
        <v>0</v>
      </c>
      <c r="E7" s="18" t="s">
        <v>941</v>
      </c>
      <c r="F7" s="19" t="n">
        <v>32</v>
      </c>
      <c r="G7" s="189" t="n">
        <f aca="false">ROUND(SUMIFS(科目余额表!$J$4:$J$81,科目余额表!$D$4:$D$81,"应付票据")-SUMIFS(科目余额表!$I$4:$I$81,科目余额表!$D$4:$D$81,"应付票据"),2)</f>
        <v>0</v>
      </c>
      <c r="H7" s="189" t="n">
        <f aca="false">ROUND(SUMIFS(科目余额表!$F$4:$F$81,科目余额表!$D$4:$D$81,"应付票据")-SUMIFS(科目余额表!$E$4:$E$81,科目余额表!$D$4:$D$81,"应付票据"),2)</f>
        <v>0</v>
      </c>
    </row>
    <row r="8" customFormat="false" ht="18" hidden="false" customHeight="true" outlineLevel="0" collapsed="false">
      <c r="A8" s="18" t="s">
        <v>942</v>
      </c>
      <c r="B8" s="19" t="n">
        <v>3</v>
      </c>
      <c r="C8" s="189" t="n">
        <f aca="false">ROUND(SUMIFS(科目余额表!$I$4:$I$81,科目余额表!$D$4:$D$81,"应收票据")-SUMIFS(科目余额表!$J$4:$J$81,科目余额表!$D$4:$D$81,"应收票据"),2)</f>
        <v>0</v>
      </c>
      <c r="D8" s="189" t="n">
        <f aca="false">ROUND(SUMIFS(科目余额表!$E$4:$E$81,科目余额表!$D$4:$D$81,"应收票据")-SUMIFS(科目余额表!$F$4:$F$81,科目余额表!$D$4:$D$81,"应收票据"),2)</f>
        <v>0</v>
      </c>
      <c r="E8" s="18" t="s">
        <v>943</v>
      </c>
      <c r="F8" s="19" t="n">
        <v>33</v>
      </c>
      <c r="G8" s="189" t="n">
        <f aca="false">ROUND(SUMIFS(科目余额表!$J$4:$J$81,科目余额表!$D$4:$D$81,"应付账款")-SUMIFS(科目余额表!$I$4:$I$81,科目余额表!$D$4:$D$81,"应付账款"),2)</f>
        <v>-113000</v>
      </c>
      <c r="H8" s="189" t="n">
        <f aca="false">ROUND(SUMIFS(科目余额表!$F$4:$F$81,科目余额表!$D$4:$D$81,"应付账款")-SUMIFS(科目余额表!$E$4:$E$81,科目余额表!$D$4:$D$81,"应付账款"),2)</f>
        <v>0</v>
      </c>
    </row>
    <row r="9" customFormat="false" ht="18" hidden="false" customHeight="true" outlineLevel="0" collapsed="false">
      <c r="A9" s="18" t="s">
        <v>944</v>
      </c>
      <c r="B9" s="19" t="n">
        <v>4</v>
      </c>
      <c r="C9" s="189" t="n">
        <f aca="false">ROUND(SUMIFS(科目余额表!$I$4:$I$81,科目余额表!$D$4:$D$81,"应收账款")-SUMIFS(科目余额表!$J$4:$J$81,科目余额表!$D$4:$D$81,"应收账款"),2)</f>
        <v>-36936</v>
      </c>
      <c r="D9" s="189" t="n">
        <f aca="false">ROUND(SUMIFS(科目余额表!$E$4:$E$81,科目余额表!$D$4:$D$81,"应收账款")-SUMIFS(科目余额表!$F$4:$F$81,科目余额表!$D$4:$D$81,"应收账款"),2)</f>
        <v>0</v>
      </c>
      <c r="E9" s="18" t="s">
        <v>945</v>
      </c>
      <c r="F9" s="19" t="n">
        <v>34</v>
      </c>
      <c r="G9" s="189" t="n">
        <f aca="false">ROUND(SUMIFS(科目余额表!$J$4:$J$81,科目余额表!$D$4:$D$81,"预收款项")-SUMIFS(科目余额表!$I$4:$I$81,科目余额表!$D$4:$D$81,"预收款项"),2)</f>
        <v>0</v>
      </c>
      <c r="H9" s="189" t="n">
        <f aca="false">ROUND(SUMIFS(科目余额表!$F$4:$F$81,科目余额表!$D$4:$D$81,"预收款项")-SUMIFS(科目余额表!$E$4:$E$81,科目余额表!$D$4:$D$81,"预收款项"),2)</f>
        <v>0</v>
      </c>
    </row>
    <row r="10" customFormat="false" ht="18" hidden="false" customHeight="true" outlineLevel="0" collapsed="false">
      <c r="A10" s="18" t="s">
        <v>946</v>
      </c>
      <c r="B10" s="19" t="n">
        <v>5</v>
      </c>
      <c r="C10" s="189" t="n">
        <f aca="false">ROUND(SUMIFS(科目余额表!$I$4:$I$81,科目余额表!$D$4:$D$81,"预付款项")-SUMIFS(科目余额表!$J$4:$J$81,科目余额表!$D$4:$D$81,"预付款项"),2)</f>
        <v>-4000</v>
      </c>
      <c r="D10" s="189" t="n">
        <f aca="false">ROUND(SUMIFS(科目余额表!$E$4:$E$81,科目余额表!$D$4:$D$81,"预付款项")-SUMIFS(科目余额表!$F$4:$F$81,科目余额表!$D$4:$D$81,"预付款项"),2)</f>
        <v>0</v>
      </c>
      <c r="E10" s="18" t="s">
        <v>947</v>
      </c>
      <c r="F10" s="19" t="n">
        <v>35</v>
      </c>
      <c r="G10" s="189" t="n">
        <f aca="false">ROUND(SUMIFS(科目余额表!$J$4:$J$81,科目余额表!$D$4:$D$81,"应付职工薪酬")-SUMIFS(科目余额表!$I$4:$I$81,科目余额表!$D$4:$D$81,"应付职工薪酬"),2)</f>
        <v>0</v>
      </c>
      <c r="H10" s="189" t="n">
        <f aca="false">ROUND(SUMIFS(科目余额表!$F$4:$F$81,科目余额表!$D$4:$D$81,"应付职工薪酬")-SUMIFS(科目余额表!$E$4:$E$81,科目余额表!$D$4:$D$81,"应付职工薪酬"),2)</f>
        <v>0</v>
      </c>
    </row>
    <row r="11" customFormat="false" ht="18" hidden="false" customHeight="true" outlineLevel="0" collapsed="false">
      <c r="A11" s="18" t="s">
        <v>948</v>
      </c>
      <c r="B11" s="19" t="n">
        <v>6</v>
      </c>
      <c r="C11" s="189" t="n">
        <f aca="false">ROUND(SUMIFS(科目余额表!$I$4:$I$81,科目余额表!$D$4:$D$81,"应收股利")-SUMIFS(科目余额表!$J$4:$J$81,科目余额表!$D$4:$D$81,"应收股利"),2)</f>
        <v>0</v>
      </c>
      <c r="D11" s="189" t="n">
        <f aca="false">ROUND(SUMIFS(科目余额表!$E$4:$E$81,科目余额表!$D$4:$D$81,"应收股利")-SUMIFS(科目余额表!$F$4:$F$81,科目余额表!$D$4:$D$81,"应收股利"),2)</f>
        <v>0</v>
      </c>
      <c r="E11" s="18" t="s">
        <v>949</v>
      </c>
      <c r="F11" s="19" t="n">
        <v>36</v>
      </c>
      <c r="G11" s="189" t="n">
        <f aca="false">ROUND(SUMIFS(科目余额表!$J$4:$J$81,科目余额表!$D$4:$D$81,"应交税费")-SUMIFS(科目余额表!$I$4:$I$81,科目余额表!$D$4:$D$81,"应交税费"),2)</f>
        <v>0</v>
      </c>
      <c r="H11" s="189" t="n">
        <f aca="false">ROUND(SUMIFS(科目余额表!$F$4:$F$81,科目余额表!$D$4:$D$81,"应交税费")-SUMIFS(科目余额表!$E$4:$E$81,科目余额表!$D$4:$D$81,"应交税费"),2)</f>
        <v>0</v>
      </c>
    </row>
    <row r="12" customFormat="false" ht="18" hidden="false" customHeight="true" outlineLevel="0" collapsed="false">
      <c r="A12" s="18" t="s">
        <v>950</v>
      </c>
      <c r="B12" s="19" t="n">
        <v>7</v>
      </c>
      <c r="C12" s="189" t="n">
        <f aca="false">ROUND(SUMIFS(科目余额表!$I$4:$I$81,科目余额表!$D$4:$D$81,"应收利息")-SUMIFS(科目余额表!$J$4:$J$81,科目余额表!$D$4:$D$81,"应收利息"),2)</f>
        <v>0</v>
      </c>
      <c r="D12" s="189" t="n">
        <f aca="false">ROUND(SUMIFS(科目余额表!$E$4:$E$81,科目余额表!$D$4:$D$81,"应收利息")-SUMIFS(科目余额表!$F$4:$F$81,科目余额表!$D$4:$D$81,"应收利息"),2)</f>
        <v>0</v>
      </c>
      <c r="E12" s="18" t="s">
        <v>951</v>
      </c>
      <c r="F12" s="19" t="n">
        <v>37</v>
      </c>
      <c r="G12" s="189" t="n">
        <f aca="false">ROUND(SUMIFS(科目余额表!$J$4:$J$81,科目余额表!$D$4:$D$81,"应付利息")-SUMIFS(科目余额表!$I$4:$I$81,科目余额表!$D$4:$D$81,"应付利息"),2)</f>
        <v>0</v>
      </c>
      <c r="H12" s="189" t="n">
        <f aca="false">ROUND(SUMIFS(科目余额表!$F$4:$F$81,科目余额表!$D$4:$D$81,"应付利息")-SUMIFS(科目余额表!$E$4:$E$81,科目余额表!$D$4:$D$81,"应付利息"),2)</f>
        <v>0</v>
      </c>
    </row>
    <row r="13" customFormat="false" ht="18" hidden="false" customHeight="true" outlineLevel="0" collapsed="false">
      <c r="A13" s="18" t="s">
        <v>952</v>
      </c>
      <c r="B13" s="19" t="n">
        <v>8</v>
      </c>
      <c r="C13" s="189" t="n">
        <f aca="false">ROUND(SUMIFS(科目余额表!$I$4:$I$81,科目余额表!$D$4:$D$81,"其他应收款")-SUMIFS(科目余额表!$J$4:$J$81,科目余额表!$D$4:$D$81,"其他应收款"),2)</f>
        <v>14272.5</v>
      </c>
      <c r="D13" s="189" t="n">
        <f aca="false">ROUND(SUMIFS(科目余额表!$E$4:$E$81,科目余额表!$D$4:$D$81,"其他应收款")-SUMIFS(科目余额表!$F$4:$F$81,科目余额表!$D$4:$D$81,"其他应收款"),2)</f>
        <v>0</v>
      </c>
      <c r="E13" s="18" t="s">
        <v>953</v>
      </c>
      <c r="F13" s="19" t="n">
        <v>38</v>
      </c>
      <c r="G13" s="189" t="n">
        <f aca="false">ROUND(SUMIFS(科目余额表!$J$4:$J$81,科目余额表!$D$4:$D$81,"应付利润")-SUMIFS(科目余额表!$I$4:$I$81,科目余额表!$D$4:$D$81,"应付利润"),2)</f>
        <v>0</v>
      </c>
      <c r="H13" s="189" t="n">
        <f aca="false">ROUND(SUMIFS(科目余额表!$F$4:$F$81,科目余额表!$D$4:$D$81,"应付利润")-SUMIFS(科目余额表!$E$4:$E$81,科目余额表!$D$4:$D$81,"应付利润"),2)</f>
        <v>0</v>
      </c>
    </row>
    <row r="14" customFormat="false" ht="18" hidden="false" customHeight="true" outlineLevel="0" collapsed="false">
      <c r="A14" s="18" t="s">
        <v>954</v>
      </c>
      <c r="B14" s="19" t="n">
        <v>9</v>
      </c>
      <c r="C14" s="189" t="n">
        <f aca="false">ROUND(SUMIFS(科目余额表!$I$4:$I$81,科目余额表!$D$4:$D$81,"存货")-SUMIFS(科目余额表!$J$4:$J$81,科目余额表!$D$4:$D$81,"存货"),2)</f>
        <v>0</v>
      </c>
      <c r="D14" s="189" t="n">
        <f aca="false">ROUND(SUMIFS(科目余额表!$E$4:$E$81,科目余额表!$D$4:$D$81,"存货")-SUMIFS(科目余额表!$F$4:$F$81,科目余额表!$D$4:$D$81,"存货"),2)</f>
        <v>0</v>
      </c>
      <c r="E14" s="18" t="s">
        <v>955</v>
      </c>
      <c r="F14" s="19" t="n">
        <v>39</v>
      </c>
      <c r="G14" s="189" t="n">
        <f aca="false">ROUND(SUMIFS(科目余额表!$J$4:$J$81,科目余额表!$D$4:$D$81,"其他应付款")-SUMIFS(科目余额表!$I$4:$I$81,科目余额表!$D$4:$D$81,"其他应付款"),2)</f>
        <v>-34245</v>
      </c>
      <c r="H14" s="189" t="n">
        <f aca="false">ROUND(SUMIFS(科目余额表!$F$4:$F$81,科目余额表!$D$4:$D$81,"其他应付款")-SUMIFS(科目余额表!$E$4:$E$81,科目余额表!$D$4:$D$81,"其他应付款"),2)</f>
        <v>0</v>
      </c>
    </row>
    <row r="15" customFormat="false" ht="18" hidden="false" customHeight="true" outlineLevel="0" collapsed="false">
      <c r="A15" s="18" t="s">
        <v>956</v>
      </c>
      <c r="B15" s="19" t="n">
        <v>10</v>
      </c>
      <c r="C15" s="189" t="n">
        <f aca="false">ROUND(SUMIFS(科目余额表!$I$4:$I$81,科目余额表!$B$4:$B$81,"原材料—包装物料")-SUMIFS(科目余额表!$J$4:$J$81,科目余额表!$B$4:$B$81,"原材料—包装物料"),2)</f>
        <v>0</v>
      </c>
      <c r="D15" s="189" t="n">
        <f aca="false">ROUND(SUMIFS(科目余额表!$E$4:$E$81,科目余额表!$B$4:$B$81,"原材料—包装物料")-SUMIFS(科目余额表!$F$4:$F$81,科目余额表!$B$4:$B$81,"原材料—包装物料"),2)</f>
        <v>0</v>
      </c>
      <c r="E15" s="18" t="s">
        <v>957</v>
      </c>
      <c r="F15" s="19" t="n">
        <v>40</v>
      </c>
      <c r="G15" s="189" t="n">
        <v>0</v>
      </c>
      <c r="H15" s="189" t="n">
        <v>0</v>
      </c>
    </row>
    <row r="16" customFormat="false" ht="18" hidden="false" customHeight="true" outlineLevel="0" collapsed="false">
      <c r="A16" s="18" t="s">
        <v>958</v>
      </c>
      <c r="B16" s="19" t="n">
        <v>11</v>
      </c>
      <c r="C16" s="189" t="n">
        <f aca="false">ROUND(SUMIFS(科目余额表!$I$4:$I$81,科目余额表!$B$4:$B$81,"库存商品—自购水果")-SUMIFS(科目余额表!$J$4:$J$81,科目余额表!$B$4:$B$81,"库存商品—自购水果"),2)</f>
        <v>0</v>
      </c>
      <c r="D16" s="189" t="n">
        <f aca="false">ROUND(SUMIFS(科目余额表!$E$4:$E$81,科目余额表!$B$4:$B$81,"库存商品—自购水果")-SUMIFS(科目余额表!$F$4:$F$81,科目余额表!$B$4:$B$81,"库存商品—自购水果"),2)</f>
        <v>0</v>
      </c>
      <c r="E16" s="190" t="s">
        <v>959</v>
      </c>
      <c r="F16" s="191" t="n">
        <v>41</v>
      </c>
      <c r="G16" s="192" t="n">
        <f aca="false">ROUND(G6+G7+G8+G9+G10+G11+G12+G13+G14+G15,2)</f>
        <v>182755</v>
      </c>
      <c r="H16" s="192" t="n">
        <f aca="false">ROUND(H6+H7+H8+H9+H10+H11+H12+H13+H14+H15,2)</f>
        <v>0</v>
      </c>
    </row>
    <row r="17" customFormat="false" ht="18" hidden="false" customHeight="true" outlineLevel="0" collapsed="false">
      <c r="A17" s="18" t="s">
        <v>960</v>
      </c>
      <c r="B17" s="19" t="n">
        <v>12</v>
      </c>
      <c r="C17" s="189" t="n">
        <f aca="false">ROUND(SUMIFS(科目余额表!$I$4:$I$81,科目余额表!$B$4:$B$81,"库存商品—加工成品")-SUMIFS(科目余额表!$J$4:$J$81,科目余额表!$B$4:$B$81,"库存商品—加工成品"),2)</f>
        <v>0</v>
      </c>
      <c r="D17" s="189" t="n">
        <f aca="false">ROUND(SUMIFS(科目余额表!$E$4:$E$81,科目余额表!$B$4:$B$81,"库存商品—加工成品")-SUMIFS(科目余额表!$F$4:$F$81,科目余额表!$B$4:$B$81,"库存商品—加工成品"),2)</f>
        <v>0</v>
      </c>
      <c r="E17" s="186" t="s">
        <v>961</v>
      </c>
      <c r="F17" s="187"/>
      <c r="G17" s="188"/>
      <c r="H17" s="188"/>
    </row>
    <row r="18" customFormat="false" ht="18" hidden="false" customHeight="true" outlineLevel="0" collapsed="false">
      <c r="A18" s="18" t="s">
        <v>962</v>
      </c>
      <c r="B18" s="19" t="n">
        <v>13</v>
      </c>
      <c r="C18" s="189" t="n">
        <f aca="false">ROUND(SUMIFS(科目余额表!$I$4:$I$81,科目余额表!$B$4:$B$81,"周转材料—周转筐托盘")-SUMIFS(科目余额表!$J$4:$J$81,科目余额表!$B$4:$B$81,"周转材料—周转筐托盘"),2)</f>
        <v>0</v>
      </c>
      <c r="D18" s="189" t="n">
        <f aca="false">ROUND(SUMIFS(科目余额表!$E$4:$E$81,科目余额表!$B$4:$B$81,"周转材料—周转筐托盘")-SUMIFS(科目余额表!$F$4:$F$81,科目余额表!$B$4:$B$81,"周转材料—周转筐托盘"),2)</f>
        <v>0</v>
      </c>
      <c r="E18" s="18" t="s">
        <v>963</v>
      </c>
      <c r="F18" s="19" t="n">
        <v>42</v>
      </c>
      <c r="G18" s="189" t="n">
        <f aca="false">ROUND(SUMIFS(科目余额表!$J$4:$J$81,科目余额表!$D$4:$D$81,"长期借款")-SUMIFS(科目余额表!$I$4:$I$81,科目余额表!$D$4:$D$81,"长期借款"),2)</f>
        <v>0</v>
      </c>
      <c r="H18" s="189" t="n">
        <f aca="false">ROUND(SUMIFS(科目余额表!$F$4:$F$81,科目余额表!$D$4:$D$81,"长期借款")-SUMIFS(科目余额表!$E$4:$E$81,科目余额表!$D$4:$D$81,"长期借款"),2)</f>
        <v>0</v>
      </c>
    </row>
    <row r="19" customFormat="false" ht="18" hidden="false" customHeight="true" outlineLevel="0" collapsed="false">
      <c r="A19" s="18" t="s">
        <v>964</v>
      </c>
      <c r="B19" s="19" t="n">
        <v>14</v>
      </c>
      <c r="C19" s="189" t="n">
        <v>0</v>
      </c>
      <c r="D19" s="189" t="n">
        <v>0</v>
      </c>
      <c r="E19" s="18" t="s">
        <v>965</v>
      </c>
      <c r="F19" s="19" t="n">
        <v>43</v>
      </c>
      <c r="G19" s="189" t="n">
        <f aca="false">ROUND(SUMIFS(科目余额表!$J$4:$J$81,科目余额表!$D$4:$D$81,"长期应付款")-SUMIFS(科目余额表!$I$4:$I$81,科目余额表!$D$4:$D$81,"长期应付款"),2)</f>
        <v>0</v>
      </c>
      <c r="H19" s="189" t="n">
        <f aca="false">ROUND(SUMIFS(科目余额表!$F$4:$F$81,科目余额表!$D$4:$D$81,"长期应付款")-SUMIFS(科目余额表!$E$4:$E$81,科目余额表!$D$4:$D$81,"长期应付款"),2)</f>
        <v>0</v>
      </c>
    </row>
    <row r="20" customFormat="false" ht="18" hidden="false" customHeight="true" outlineLevel="0" collapsed="false">
      <c r="A20" s="190" t="s">
        <v>966</v>
      </c>
      <c r="B20" s="191" t="n">
        <v>15</v>
      </c>
      <c r="C20" s="192" t="n">
        <f aca="false">ROUND(C6+C7+C8+C9+C10+C11+C12+C13+C14+C19,2)</f>
        <v>153771.99</v>
      </c>
      <c r="D20" s="192" t="n">
        <f aca="false">ROUND(D6+D7+D8+D9+D10+D11+D12+D13+D14+D19,2)</f>
        <v>0</v>
      </c>
      <c r="E20" s="18" t="s">
        <v>967</v>
      </c>
      <c r="F20" s="19" t="n">
        <v>44</v>
      </c>
      <c r="G20" s="189" t="n">
        <f aca="false">ROUND(SUMIFS(科目余额表!$J$4:$J$81,科目余额表!$D$4:$D$81,"递延收益")-SUMIFS(科目余额表!$I$4:$I$81,科目余额表!$D$4:$D$81,"递延收益"),2)</f>
        <v>0</v>
      </c>
      <c r="H20" s="189" t="n">
        <f aca="false">ROUND(SUMIFS(科目余额表!$F$4:$F$81,科目余额表!$D$4:$D$81,"递延收益")-SUMIFS(科目余额表!$E$4:$E$81,科目余额表!$D$4:$D$81,"递延收益"),2)</f>
        <v>0</v>
      </c>
    </row>
    <row r="21" customFormat="false" ht="18" hidden="false" customHeight="true" outlineLevel="0" collapsed="false">
      <c r="A21" s="186" t="s">
        <v>968</v>
      </c>
      <c r="B21" s="187"/>
      <c r="C21" s="188"/>
      <c r="D21" s="188"/>
      <c r="E21" s="18" t="s">
        <v>969</v>
      </c>
      <c r="F21" s="19" t="n">
        <v>45</v>
      </c>
      <c r="G21" s="189" t="n">
        <v>0</v>
      </c>
      <c r="H21" s="189" t="n">
        <v>0</v>
      </c>
    </row>
    <row r="22" customFormat="false" ht="18" hidden="false" customHeight="true" outlineLevel="0" collapsed="false">
      <c r="A22" s="18" t="s">
        <v>970</v>
      </c>
      <c r="B22" s="19" t="n">
        <v>16</v>
      </c>
      <c r="C22" s="189" t="n">
        <v>0</v>
      </c>
      <c r="D22" s="189" t="n">
        <v>0</v>
      </c>
      <c r="E22" s="190" t="s">
        <v>971</v>
      </c>
      <c r="F22" s="191" t="n">
        <v>46</v>
      </c>
      <c r="G22" s="192" t="n">
        <f aca="false">ROUND(G18+G19+G20+G21,2)</f>
        <v>0</v>
      </c>
      <c r="H22" s="192" t="n">
        <f aca="false">ROUND(H18+H19+H20+H21,2)</f>
        <v>0</v>
      </c>
    </row>
    <row r="23" customFormat="false" ht="18" hidden="false" customHeight="true" outlineLevel="0" collapsed="false">
      <c r="A23" s="18" t="s">
        <v>972</v>
      </c>
      <c r="B23" s="19" t="n">
        <v>17</v>
      </c>
      <c r="C23" s="189" t="n">
        <v>0</v>
      </c>
      <c r="D23" s="189" t="n">
        <v>0</v>
      </c>
      <c r="E23" s="190" t="s">
        <v>973</v>
      </c>
      <c r="F23" s="191" t="n">
        <v>47</v>
      </c>
      <c r="G23" s="192" t="n">
        <f aca="false">ROUND(G16+G22,2)</f>
        <v>182755</v>
      </c>
      <c r="H23" s="192" t="n">
        <f aca="false">ROUND(H16+H22,2)</f>
        <v>0</v>
      </c>
    </row>
    <row r="24" customFormat="false" ht="18" hidden="false" customHeight="true" outlineLevel="0" collapsed="false">
      <c r="A24" s="18" t="s">
        <v>974</v>
      </c>
      <c r="B24" s="19" t="n">
        <v>18</v>
      </c>
      <c r="C24" s="189" t="n">
        <f aca="false">ROUND(SUMIFS(科目余额表!$I$4:$I$81,科目余额表!$D$4:$D$81,"固定资产原价")-SUMIFS(科目余额表!$J$4:$J$81,科目余额表!$D$4:$D$81,"固定资产原价"),2)</f>
        <v>0</v>
      </c>
      <c r="D24" s="189" t="n">
        <f aca="false">ROUND(SUMIFS(科目余额表!$E$4:$E$81,科目余额表!$D$4:$D$81,"固定资产原价")-SUMIFS(科目余额表!$F$4:$F$81,科目余额表!$D$4:$D$81,"固定资产原价"),2)</f>
        <v>0</v>
      </c>
      <c r="E24" s="186" t="s">
        <v>975</v>
      </c>
      <c r="F24" s="187"/>
      <c r="G24" s="188"/>
      <c r="H24" s="188"/>
    </row>
    <row r="25" customFormat="false" ht="18" hidden="false" customHeight="true" outlineLevel="0" collapsed="false">
      <c r="A25" s="18" t="s">
        <v>976</v>
      </c>
      <c r="B25" s="19" t="n">
        <v>19</v>
      </c>
      <c r="C25" s="189" t="n">
        <f aca="false">ROUND(SUMIFS(科目余额表!$J$4:$J$81,科目余额表!$D$4:$D$81,"累计折旧")-SUMIFS(科目余额表!$I$4:$I$81,科目余额表!$D$4:$D$81,"累计折旧"),2)</f>
        <v>0</v>
      </c>
      <c r="D25" s="189" t="n">
        <f aca="false">ROUND(SUMIFS(科目余额表!$F$4:$F$81,科目余额表!$D$4:$D$81,"累计折旧")-SUMIFS(科目余额表!$E$4:$E$81,科目余额表!$D$4:$D$81,"累计折旧"),2)</f>
        <v>0</v>
      </c>
      <c r="E25" s="18" t="s">
        <v>977</v>
      </c>
      <c r="F25" s="19" t="n">
        <v>48</v>
      </c>
      <c r="G25" s="189" t="n">
        <f aca="false">ROUND(SUMIFS(科目余额表!$J$4:$J$81,科目余额表!$D$4:$D$81,"实收资本")-SUMIFS(科目余额表!$I$4:$I$81,科目余额表!$D$4:$D$81,"实收资本"),2)</f>
        <v>0</v>
      </c>
      <c r="H25" s="189" t="n">
        <f aca="false">ROUND(SUMIFS(科目余额表!$F$4:$F$81,科目余额表!$D$4:$D$81,"实收资本")-SUMIFS(科目余额表!$E$4:$E$81,科目余额表!$D$4:$D$81,"实收资本"),2)</f>
        <v>0</v>
      </c>
    </row>
    <row r="26" customFormat="false" ht="18" hidden="false" customHeight="true" outlineLevel="0" collapsed="false">
      <c r="A26" s="18" t="s">
        <v>978</v>
      </c>
      <c r="B26" s="19" t="n">
        <v>20</v>
      </c>
      <c r="C26" s="189" t="n">
        <f aca="false">C24-C25</f>
        <v>0</v>
      </c>
      <c r="D26" s="189" t="n">
        <f aca="false">D24-D25</f>
        <v>0</v>
      </c>
      <c r="E26" s="18" t="s">
        <v>979</v>
      </c>
      <c r="F26" s="19" t="n">
        <v>49</v>
      </c>
      <c r="G26" s="189" t="n">
        <f aca="false">ROUND(SUMIFS(科目余额表!$J$4:$J$81,科目余额表!$D$4:$D$81,"资本公积")-SUMIFS(科目余额表!$I$4:$I$81,科目余额表!$D$4:$D$81,"资本公积"),2)</f>
        <v>0</v>
      </c>
      <c r="H26" s="189" t="n">
        <f aca="false">ROUND(SUMIFS(科目余额表!$F$4:$F$81,科目余额表!$D$4:$D$81,"资本公积")-SUMIFS(科目余额表!$E$4:$E$81,科目余额表!$D$4:$D$81,"资本公积"),2)</f>
        <v>0</v>
      </c>
    </row>
    <row r="27" customFormat="false" ht="18" hidden="false" customHeight="true" outlineLevel="0" collapsed="false">
      <c r="A27" s="18" t="s">
        <v>980</v>
      </c>
      <c r="B27" s="19" t="n">
        <v>21</v>
      </c>
      <c r="C27" s="189" t="n">
        <f aca="false">ROUND(SUMIFS(科目余额表!$I$4:$I$81,科目余额表!$D$4:$D$81,"在建工程")-SUMIFS(科目余额表!$J$4:$J$81,科目余额表!$D$4:$D$81,"在建工程"),2)</f>
        <v>0</v>
      </c>
      <c r="D27" s="189" t="n">
        <f aca="false">ROUND(SUMIFS(科目余额表!$E$4:$E$81,科目余额表!$D$4:$D$81,"在建工程")-SUMIFS(科目余额表!$F$4:$F$81,科目余额表!$D$4:$D$81,"在建工程"),2)</f>
        <v>0</v>
      </c>
      <c r="E27" s="18" t="s">
        <v>981</v>
      </c>
      <c r="F27" s="19" t="n">
        <v>50</v>
      </c>
      <c r="G27" s="189" t="n">
        <f aca="false">ROUND(SUMIFS(科目余额表!$J$4:$J$81,科目余额表!$D$4:$D$81,"盈余公积")-SUMIFS(科目余额表!$I$4:$I$81,科目余额表!$D$4:$D$81,"盈余公积"),2)</f>
        <v>0</v>
      </c>
      <c r="H27" s="189" t="n">
        <f aca="false">ROUND(SUMIFS(科目余额表!$F$4:$F$81,科目余额表!$D$4:$D$81,"盈余公积")-SUMIFS(科目余额表!$E$4:$E$81,科目余额表!$D$4:$D$81,"盈余公积"),2)</f>
        <v>0</v>
      </c>
    </row>
    <row r="28" customFormat="false" ht="18" hidden="false" customHeight="true" outlineLevel="0" collapsed="false">
      <c r="A28" s="18" t="s">
        <v>982</v>
      </c>
      <c r="B28" s="19" t="n">
        <v>22</v>
      </c>
      <c r="C28" s="189" t="n">
        <v>0</v>
      </c>
      <c r="D28" s="189" t="n">
        <v>0</v>
      </c>
      <c r="E28" s="18" t="s">
        <v>983</v>
      </c>
      <c r="F28" s="19" t="n">
        <v>51</v>
      </c>
      <c r="G28" s="189" t="n">
        <f aca="false">ROUND(SUMIFS(科目余额表!$J$4:$J$81,科目余额表!$D$4:$D$81,"未分配利润")-SUMIFS(科目余额表!$I$4:$I$81,科目余额表!$D$4:$D$81,"未分配利润")+IF($B$3="否",SUMIFS(科目余额表!$J$4:$J$81,科目余额表!$C$4:$C$81,"损益")-SUMIFS(科目余额表!$I$4:$I$81,科目余额表!$C$4:$C$81,"损益"),0),2)</f>
        <v>-29335.01</v>
      </c>
      <c r="H28" s="189" t="n">
        <f aca="false">ROUND(SUMIFS(科目余额表!$F$4:$F$81,科目余额表!$D$4:$D$81,"未分配利润")-SUMIFS(科目余额表!$E$4:$E$81,科目余额表!$D$4:$D$81,"未分配利润")+IF($B$3="否",SUMIFS(科目余额表!$F$4:$F$81,科目余额表!$C$4:$C$81,"损益")-SUMIFS(科目余额表!$E$4:$E$81,科目余额表!$C$4:$C$81,"损益"),0),2)</f>
        <v>0</v>
      </c>
    </row>
    <row r="29" customFormat="false" ht="18" hidden="false" customHeight="true" outlineLevel="0" collapsed="false">
      <c r="A29" s="18" t="s">
        <v>984</v>
      </c>
      <c r="B29" s="19" t="n">
        <v>23</v>
      </c>
      <c r="C29" s="189" t="n">
        <v>0</v>
      </c>
      <c r="D29" s="189" t="n">
        <v>0</v>
      </c>
      <c r="E29" s="190" t="s">
        <v>985</v>
      </c>
      <c r="F29" s="191" t="n">
        <v>52</v>
      </c>
      <c r="G29" s="192" t="n">
        <f aca="false">ROUND(G25+G26+G27+G28,2)</f>
        <v>-29335.01</v>
      </c>
      <c r="H29" s="192" t="n">
        <f aca="false">ROUND(H25+H26+H27+H28,2)</f>
        <v>0</v>
      </c>
    </row>
    <row r="30" customFormat="false" ht="18" hidden="false" customHeight="true" outlineLevel="0" collapsed="false">
      <c r="A30" s="18" t="s">
        <v>986</v>
      </c>
      <c r="B30" s="19" t="n">
        <v>24</v>
      </c>
      <c r="C30" s="189" t="n">
        <v>0</v>
      </c>
      <c r="D30" s="189" t="n">
        <v>0</v>
      </c>
      <c r="E30" s="190" t="s">
        <v>987</v>
      </c>
      <c r="F30" s="191" t="n">
        <v>53</v>
      </c>
      <c r="G30" s="192" t="n">
        <f aca="false">ROUND(G23+G29,2)</f>
        <v>153419.99</v>
      </c>
      <c r="H30" s="192" t="n">
        <f aca="false">ROUND(H23+H29,2)</f>
        <v>0</v>
      </c>
    </row>
    <row r="31" customFormat="false" ht="18" hidden="false" customHeight="true" outlineLevel="0" collapsed="false">
      <c r="A31" s="18" t="s">
        <v>988</v>
      </c>
      <c r="B31" s="19" t="n">
        <v>25</v>
      </c>
      <c r="C31" s="189" t="n">
        <f aca="false">ROUND(SUMIFS(科目余额表!$I$4:$I$81,科目余额表!$D$4:$D$81,"无形资产")-SUMIFS(科目余额表!$J$4:$J$81,科目余额表!$D$4:$D$81,"无形资产"),2)</f>
        <v>0</v>
      </c>
      <c r="D31" s="189" t="n">
        <f aca="false">ROUND(SUMIFS(科目余额表!$E$4:$E$81,科目余额表!$D$4:$D$81,"无形资产")-SUMIFS(科目余额表!$F$4:$F$81,科目余额表!$D$4:$D$81,"无形资产"),2)</f>
        <v>0</v>
      </c>
    </row>
    <row r="32" customFormat="false" ht="18" hidden="false" customHeight="true" outlineLevel="0" collapsed="false">
      <c r="A32" s="18" t="s">
        <v>989</v>
      </c>
      <c r="B32" s="19" t="n">
        <v>26</v>
      </c>
      <c r="C32" s="189" t="n">
        <v>0</v>
      </c>
      <c r="D32" s="189" t="n">
        <v>0</v>
      </c>
    </row>
    <row r="33" customFormat="false" ht="18" hidden="false" customHeight="true" outlineLevel="0" collapsed="false">
      <c r="A33" s="18" t="s">
        <v>990</v>
      </c>
      <c r="B33" s="19" t="n">
        <v>27</v>
      </c>
      <c r="C33" s="189" t="n">
        <f aca="false">ROUND(SUMIFS(科目余额表!$I$4:$I$81,科目余额表!$D$4:$D$81,"长期待摊费用")-SUMIFS(科目余额表!$J$4:$J$81,科目余额表!$D$4:$D$81,"长期待摊费用"),2)</f>
        <v>0</v>
      </c>
      <c r="D33" s="189" t="n">
        <f aca="false">ROUND(SUMIFS(科目余额表!$E$4:$E$81,科目余额表!$D$4:$D$81,"长期待摊费用")-SUMIFS(科目余额表!$F$4:$F$81,科目余额表!$D$4:$D$81,"长期待摊费用"),2)</f>
        <v>0</v>
      </c>
    </row>
    <row r="34" customFormat="false" ht="18" hidden="false" customHeight="true" outlineLevel="0" collapsed="false">
      <c r="A34" s="18" t="s">
        <v>991</v>
      </c>
      <c r="B34" s="19" t="n">
        <v>28</v>
      </c>
      <c r="C34" s="189" t="n">
        <v>0</v>
      </c>
      <c r="D34" s="189" t="n">
        <v>0</v>
      </c>
    </row>
    <row r="35" customFormat="false" ht="18" hidden="false" customHeight="true" outlineLevel="0" collapsed="false">
      <c r="A35" s="190" t="s">
        <v>992</v>
      </c>
      <c r="B35" s="191" t="n">
        <v>29</v>
      </c>
      <c r="C35" s="192" t="n">
        <f aca="false">ROUND(C22+C23+C26+C27+C28+C29+C30+C31+C32+C33+C34,2)</f>
        <v>0</v>
      </c>
      <c r="D35" s="192" t="n">
        <f aca="false">ROUND(D22+D23+D26+D27+D28+D29+D30+D31+D32+D33+D34,2)</f>
        <v>0</v>
      </c>
    </row>
    <row r="36" customFormat="false" ht="18" hidden="false" customHeight="true" outlineLevel="0" collapsed="false">
      <c r="A36" s="190" t="s">
        <v>993</v>
      </c>
      <c r="B36" s="191" t="n">
        <v>30</v>
      </c>
      <c r="C36" s="192" t="n">
        <f aca="false">ROUND(C20+C35,2)</f>
        <v>153771.99</v>
      </c>
      <c r="D36" s="192" t="n">
        <f aca="false">ROUND(D20+D35,2)</f>
        <v>0</v>
      </c>
    </row>
    <row r="37" customFormat="false" ht="24" hidden="false" customHeight="true" outlineLevel="0" collapsed="false">
      <c r="A37" s="193" t="str">
        <f aca="false">IF(ROUND(C36-G30,2)=0,"✔ 平衡校验通过：资产总计 ＝ 负债和所有者权益总计","✘ 不平衡，差额 "&amp;TEXT(C36-G30,"#,##0.00")&amp;" 元，请检查记账凭证与期初余额")</f>
        <v>✘ 不平衡，差额 352.00 元，请检查记账凭证与期初余额</v>
      </c>
      <c r="B37" s="193"/>
      <c r="C37" s="193"/>
      <c r="D37" s="193"/>
      <c r="E37" s="193"/>
      <c r="F37" s="193"/>
      <c r="G37" s="193"/>
      <c r="H37" s="193"/>
    </row>
  </sheetData>
  <mergeCells count="3">
    <mergeCell ref="A1:H1"/>
    <mergeCell ref="A2:H2"/>
    <mergeCell ref="A37:H37"/>
  </mergeCells>
  <conditionalFormatting sqref="A2">
    <cfRule type="expression" priority="2" aboveAverage="0" equalAverage="0" bottom="0" percent="0" rank="0" text="" dxfId="0">
      <formula>OR(N(对接源_01水果!$T$1)+N(对接源_02物料!$T$1)=0,N(对接源_01水果!$T$4)*N(对接源_02物料!$T$4)=0)</formula>
    </cfRule>
  </conditionalFormatting>
  <dataValidations count="1">
    <dataValidation allowBlank="true" errorStyle="stop" operator="between" showDropDown="false" showErrorMessage="false" showInputMessage="false" sqref="B3" type="list">
      <formula1>科目表!$P$4:$P$140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9" defaultRowHeight="13.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8" style="0" width="12"/>
  </cols>
  <sheetData>
    <row r="1" customFormat="false" ht="30" hidden="false" customHeight="true" outlineLevel="0" collapsed="false">
      <c r="A1" s="20" t="s">
        <v>994</v>
      </c>
      <c r="B1" s="20"/>
      <c r="C1" s="20"/>
      <c r="D1" s="20"/>
      <c r="G1" s="77" t="s">
        <v>995</v>
      </c>
      <c r="H1" s="143" t="n">
        <f aca="false">IF($B$3="",科目余额表!$M$1,$B$3)</f>
        <v>46235</v>
      </c>
    </row>
    <row r="2" customFormat="false" ht="30" hidden="false" customHeight="true" outlineLevel="0" collapsed="false">
      <c r="A2" s="180" t="s">
        <v>996</v>
      </c>
      <c r="B2" s="180"/>
      <c r="C2" s="180"/>
      <c r="D2" s="180"/>
      <c r="G2" s="77" t="s">
        <v>997</v>
      </c>
      <c r="H2" s="143" t="n">
        <f aca="false">IF($D$3="",科目余额表!$M$2,$D$3)</f>
        <v>46599</v>
      </c>
    </row>
    <row r="3" customFormat="false" ht="16.5" hidden="false" customHeight="true" outlineLevel="0" collapsed="false">
      <c r="A3" s="181" t="s">
        <v>998</v>
      </c>
      <c r="B3" s="76" t="n">
        <v>46235</v>
      </c>
      <c r="C3" s="181" t="s">
        <v>999</v>
      </c>
      <c r="D3" s="76" t="n">
        <v>46599</v>
      </c>
      <c r="E3" s="137" t="s">
        <v>1000</v>
      </c>
      <c r="F3" s="76"/>
      <c r="G3" s="77" t="s">
        <v>1001</v>
      </c>
      <c r="H3" s="143" t="n">
        <f aca="false">IF($F$3="",$H$1,$F$3)</f>
        <v>46235</v>
      </c>
    </row>
    <row r="4" customFormat="false" ht="25.5" hidden="false" customHeight="true" outlineLevel="0" collapsed="false">
      <c r="A4" s="37" t="s">
        <v>1002</v>
      </c>
      <c r="B4" s="37" t="s">
        <v>932</v>
      </c>
      <c r="C4" s="37" t="s">
        <v>1003</v>
      </c>
      <c r="D4" s="37" t="s">
        <v>1004</v>
      </c>
    </row>
    <row r="5" customFormat="false" ht="19.5" hidden="false" customHeight="true" outlineLevel="0" collapsed="false">
      <c r="A5" s="18" t="s">
        <v>1005</v>
      </c>
      <c r="B5" s="19" t="n">
        <v>1</v>
      </c>
      <c r="C5" s="189" t="n">
        <f aca="false">ROUND(SUMIFS(记账凭证!$I$4:$I$3609,记账凭证!$G$4:$G$3609,"营业收入",记账凭证!$B$4:$B$3609,"&gt;="&amp;$H$1,记账凭证!$B$4:$B$3609,"&lt;="&amp;$H$2),2)</f>
        <v>40</v>
      </c>
      <c r="D5" s="189" t="n">
        <f aca="false">ROUND(SUMIFS(记账凭证!$I$4:$I$3609,记账凭证!$G$4:$G$3609,"营业收入",记账凭证!$B$4:$B$3609,"&gt;="&amp;$H$3,记账凭证!$B$4:$B$3609,"&lt;="&amp;$H$2),2)</f>
        <v>40</v>
      </c>
    </row>
    <row r="6" customFormat="false" ht="19.5" hidden="false" customHeight="true" outlineLevel="0" collapsed="false">
      <c r="A6" s="18" t="s">
        <v>1006</v>
      </c>
      <c r="B6" s="19" t="n">
        <v>2</v>
      </c>
      <c r="C6" s="189" t="n">
        <f aca="false">ROUND(SUMIFS(记账凭证!$H$4:$H$3609,记账凭证!$G$4:$G$3609,"营业成本",记账凭证!$B$4:$B$3609,"&gt;="&amp;$H$1,记账凭证!$B$4:$B$3609,"&lt;="&amp;$H$2),2)</f>
        <v>22580</v>
      </c>
      <c r="D6" s="189" t="n">
        <f aca="false">ROUND(SUMIFS(记账凭证!$H$4:$H$3609,记账凭证!$G$4:$G$3609,"营业成本",记账凭证!$B$4:$B$3609,"&gt;="&amp;$H$3,记账凭证!$B$4:$B$3609,"&lt;="&amp;$H$2),2)</f>
        <v>22580</v>
      </c>
    </row>
    <row r="7" customFormat="false" ht="19.5" hidden="false" customHeight="true" outlineLevel="0" collapsed="false">
      <c r="A7" s="18" t="s">
        <v>1007</v>
      </c>
      <c r="B7" s="19" t="n">
        <v>3</v>
      </c>
      <c r="C7" s="189" t="n">
        <f aca="false">ROUND(SUMIFS(记账凭证!$H$4:$H$3609,记账凭证!$G$4:$G$3609,"税金及附加",记账凭证!$B$4:$B$3609,"&gt;="&amp;$H$1,记账凭证!$B$4:$B$3609,"&lt;="&amp;$H$2),2)</f>
        <v>0</v>
      </c>
      <c r="D7" s="189" t="n">
        <f aca="false">ROUND(SUMIFS(记账凭证!$H$4:$H$3609,记账凭证!$G$4:$G$3609,"税金及附加",记账凭证!$B$4:$B$3609,"&gt;="&amp;$H$3,记账凭证!$B$4:$B$3609,"&lt;="&amp;$H$2),2)</f>
        <v>0</v>
      </c>
    </row>
    <row r="8" customFormat="false" ht="19.5" hidden="false" customHeight="true" outlineLevel="0" collapsed="false">
      <c r="A8" s="18" t="s">
        <v>1008</v>
      </c>
      <c r="B8" s="19" t="n">
        <v>4</v>
      </c>
      <c r="C8" s="189" t="n">
        <f aca="false">ROUND(SUMIFS(记账凭证!$H$4:$H$3609,记账凭证!$G$4:$G$3609,"销售费用",记账凭证!$B$4:$B$3609,"&gt;="&amp;$H$1,记账凭证!$B$4:$B$3609,"&lt;="&amp;$H$2),2)</f>
        <v>174</v>
      </c>
      <c r="D8" s="189" t="n">
        <f aca="false">ROUND(SUMIFS(记账凭证!$H$4:$H$3609,记账凭证!$G$4:$G$3609,"销售费用",记账凭证!$B$4:$B$3609,"&gt;="&amp;$H$3,记账凭证!$B$4:$B$3609,"&lt;="&amp;$H$2),2)</f>
        <v>174</v>
      </c>
    </row>
    <row r="9" customFormat="false" ht="19.5" hidden="false" customHeight="true" outlineLevel="0" collapsed="false">
      <c r="A9" s="18" t="s">
        <v>1009</v>
      </c>
      <c r="B9" s="19" t="n">
        <v>5</v>
      </c>
      <c r="C9" s="189" t="n">
        <f aca="false">ROUND(SUMIFS(记账凭证!$H$4:$H$3609,记账凭证!$G$4:$G$3609,"管理费用",记账凭证!$B$4:$B$3609,"&gt;="&amp;$H$1,记账凭证!$B$4:$B$3609,"&lt;="&amp;$H$2),2)</f>
        <v>18397.01</v>
      </c>
      <c r="D9" s="189" t="n">
        <f aca="false">ROUND(SUMIFS(记账凭证!$H$4:$H$3609,记账凭证!$G$4:$G$3609,"管理费用",记账凭证!$B$4:$B$3609,"&gt;="&amp;$H$3,记账凭证!$B$4:$B$3609,"&lt;="&amp;$H$2),2)</f>
        <v>18397.01</v>
      </c>
    </row>
    <row r="10" customFormat="false" ht="19.5" hidden="false" customHeight="true" outlineLevel="0" collapsed="false">
      <c r="A10" s="18" t="s">
        <v>1010</v>
      </c>
      <c r="B10" s="19" t="n">
        <v>6</v>
      </c>
      <c r="C10" s="189" t="n">
        <f aca="false">ROUND(SUMIFS(记账凭证!$H$4:$H$3609,记账凭证!$G$4:$G$3609,"财务费用",记账凭证!$B$4:$B$3609,"&gt;="&amp;$H$1,记账凭证!$B$4:$B$3609,"&lt;="&amp;$H$2),2)</f>
        <v>290</v>
      </c>
      <c r="D10" s="189" t="n">
        <f aca="false">ROUND(SUMIFS(记账凭证!$H$4:$H$3609,记账凭证!$G$4:$G$3609,"财务费用",记账凭证!$B$4:$B$3609,"&gt;="&amp;$H$3,记账凭证!$B$4:$B$3609,"&lt;="&amp;$H$2),2)</f>
        <v>290</v>
      </c>
    </row>
    <row r="11" customFormat="false" ht="19.5" hidden="false" customHeight="true" outlineLevel="0" collapsed="false">
      <c r="A11" s="18" t="s">
        <v>1011</v>
      </c>
      <c r="B11" s="19" t="n">
        <v>7</v>
      </c>
      <c r="C11" s="189" t="n">
        <f aca="false">ROUND(SUMIFS(记账凭证!$I$4:$I$3609,记账凭证!$G$4:$G$3609,"投资收益",记账凭证!$B$4:$B$3609,"&gt;="&amp;$H$1,记账凭证!$B$4:$B$3609,"&lt;="&amp;$H$2),2)</f>
        <v>0</v>
      </c>
      <c r="D11" s="189" t="n">
        <f aca="false">ROUND(SUMIFS(记账凭证!$I$4:$I$3609,记账凭证!$G$4:$G$3609,"投资收益",记账凭证!$B$4:$B$3609,"&gt;="&amp;$H$3,记账凭证!$B$4:$B$3609,"&lt;="&amp;$H$2),2)</f>
        <v>0</v>
      </c>
    </row>
    <row r="12" customFormat="false" ht="19.5" hidden="false" customHeight="true" outlineLevel="0" collapsed="false">
      <c r="A12" s="190" t="s">
        <v>1012</v>
      </c>
      <c r="B12" s="191" t="n">
        <v>8</v>
      </c>
      <c r="C12" s="192" t="n">
        <f aca="false">ROUND(C5-C6-C7-C8-C9-C10+C11,2)</f>
        <v>-41401.01</v>
      </c>
      <c r="D12" s="192" t="n">
        <f aca="false">ROUND(D5-D6-D7-D8-D9-D10+D11,2)</f>
        <v>-41401.01</v>
      </c>
    </row>
    <row r="13" customFormat="false" ht="19.5" hidden="false" customHeight="true" outlineLevel="0" collapsed="false">
      <c r="A13" s="18" t="s">
        <v>1013</v>
      </c>
      <c r="B13" s="19" t="n">
        <v>9</v>
      </c>
      <c r="C13" s="189" t="n">
        <f aca="false">ROUND(SUMIFS(记账凭证!$I$4:$I$3609,记账凭证!$G$4:$G$3609,"营业外收入",记账凭证!$B$4:$B$3609,"&gt;="&amp;$H$1,记账凭证!$B$4:$B$3609,"&lt;="&amp;$H$2),2)</f>
        <v>0</v>
      </c>
      <c r="D13" s="189" t="n">
        <f aca="false">ROUND(SUMIFS(记账凭证!$I$4:$I$3609,记账凭证!$G$4:$G$3609,"营业外收入",记账凭证!$B$4:$B$3609,"&gt;="&amp;$H$3,记账凭证!$B$4:$B$3609,"&lt;="&amp;$H$2),2)</f>
        <v>0</v>
      </c>
    </row>
    <row r="14" customFormat="false" ht="19.5" hidden="false" customHeight="true" outlineLevel="0" collapsed="false">
      <c r="A14" s="18" t="s">
        <v>1014</v>
      </c>
      <c r="B14" s="19" t="n">
        <v>10</v>
      </c>
      <c r="C14" s="189" t="n">
        <f aca="false">ROUND(SUMIFS(记账凭证!$H$4:$H$3609,记账凭证!$G$4:$G$3609,"营业外支出",记账凭证!$B$4:$B$3609,"&gt;="&amp;$H$1,记账凭证!$B$4:$B$3609,"&lt;="&amp;$H$2),2)</f>
        <v>0</v>
      </c>
      <c r="D14" s="189" t="n">
        <f aca="false">ROUND(SUMIFS(记账凭证!$H$4:$H$3609,记账凭证!$G$4:$G$3609,"营业外支出",记账凭证!$B$4:$B$3609,"&gt;="&amp;$H$3,记账凭证!$B$4:$B$3609,"&lt;="&amp;$H$2),2)</f>
        <v>0</v>
      </c>
    </row>
    <row r="15" customFormat="false" ht="19.5" hidden="false" customHeight="true" outlineLevel="0" collapsed="false">
      <c r="A15" s="190" t="s">
        <v>1015</v>
      </c>
      <c r="B15" s="191" t="n">
        <v>11</v>
      </c>
      <c r="C15" s="192" t="n">
        <f aca="false">ROUND(C12+C13-C14,2)</f>
        <v>-41401.01</v>
      </c>
      <c r="D15" s="192" t="n">
        <f aca="false">ROUND(D12+D13-D14,2)</f>
        <v>-41401.01</v>
      </c>
    </row>
    <row r="16" customFormat="false" ht="19.5" hidden="false" customHeight="true" outlineLevel="0" collapsed="false">
      <c r="A16" s="18" t="s">
        <v>1016</v>
      </c>
      <c r="B16" s="19" t="n">
        <v>12</v>
      </c>
      <c r="C16" s="189" t="n">
        <f aca="false">ROUND(SUMIFS(记账凭证!$H$4:$H$3609,记账凭证!$G$4:$G$3609,"所得税费用",记账凭证!$B$4:$B$3609,"&gt;="&amp;$H$1,记账凭证!$B$4:$B$3609,"&lt;="&amp;$H$2),2)</f>
        <v>0</v>
      </c>
      <c r="D16" s="189" t="n">
        <f aca="false">ROUND(SUMIFS(记账凭证!$H$4:$H$3609,记账凭证!$G$4:$G$3609,"所得税费用",记账凭证!$B$4:$B$3609,"&gt;="&amp;$H$3,记账凭证!$B$4:$B$3609,"&lt;="&amp;$H$2),2)</f>
        <v>0</v>
      </c>
    </row>
    <row r="17" customFormat="false" ht="19.5" hidden="false" customHeight="true" outlineLevel="0" collapsed="false">
      <c r="A17" s="190" t="s">
        <v>1017</v>
      </c>
      <c r="B17" s="191" t="n">
        <v>13</v>
      </c>
      <c r="C17" s="192" t="n">
        <f aca="false">ROUND(C15-C16,2)</f>
        <v>-41401.01</v>
      </c>
      <c r="D17" s="192" t="n">
        <f aca="false">ROUND(D15-D16,2)</f>
        <v>-41401.01</v>
      </c>
    </row>
    <row r="19" customFormat="false" ht="13.5" hidden="false" customHeight="false" outlineLevel="0" collapsed="false">
      <c r="A19" s="194" t="s">
        <v>1018</v>
      </c>
      <c r="B19" s="194"/>
      <c r="C19" s="194"/>
      <c r="D19" s="194"/>
    </row>
  </sheetData>
  <mergeCells count="3">
    <mergeCell ref="A1:D1"/>
    <mergeCell ref="A2:D2"/>
    <mergeCell ref="A19:D19"/>
  </mergeCells>
  <conditionalFormatting sqref="A2">
    <cfRule type="expression" priority="2" aboveAverage="0" equalAverage="0" bottom="0" percent="0" rank="0" text="" dxfId="0">
      <formula>OR(N(对接源_01水果!$T$1)+N(对接源_02物料!$T$1)=0,N(对接源_01水果!$T$4)*N(对接源_02物料!$T$4)=0)</formula>
    </cfRule>
  </conditionalFormatting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&amp;L&amp;A&amp;R第 &amp;P 页 / 共 &amp;N 页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925"/>
  <sheetViews>
    <sheetView showFormulas="false" showGridLines="true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9" defaultRowHeight="13.5" zeroHeight="false" outlineLevelRow="0" outlineLevelCol="0"/>
  <sheetData>
    <row r="1" customFormat="false" ht="13.5" hidden="false" customHeight="false" outlineLevel="0" collapsed="false">
      <c r="A1" s="0" t="n">
        <f aca="false">MAX($C$4:$C$1805)</f>
        <v>11</v>
      </c>
      <c r="G1" s="0" t="str">
        <f aca="false">往来对账单!$B$2</f>
        <v>王照雪</v>
      </c>
      <c r="H1" s="0" t="n">
        <f aca="false">IF(往来对账单!$F$2="",0,N(往来对账单!$F$2))</f>
        <v>0</v>
      </c>
      <c r="I1" s="0" t="n">
        <f aca="false">IF(往来对账单!$H$2="",99999999,N(往来对账单!$H$2))</f>
        <v>99999999</v>
      </c>
      <c r="J1" s="0" t="n">
        <f aca="false">MAX($H$4:$H$910)</f>
        <v>3</v>
      </c>
      <c r="T1" s="0" t="n">
        <f aca="false">MAX($V$4:$V$903)</f>
        <v>30</v>
      </c>
      <c r="Z1" s="0" t="n">
        <f aca="false">MAX($AB$4:$AB$303)</f>
        <v>0</v>
      </c>
      <c r="AF1" s="0" t="n">
        <f aca="false">MAX($AH$4:$AH$603)</f>
        <v>5</v>
      </c>
    </row>
    <row r="2" customFormat="false" ht="14.25" hidden="false" customHeight="true" outlineLevel="0" collapsed="false">
      <c r="A2" s="106" t="s">
        <v>1019</v>
      </c>
      <c r="G2" s="0" t="str">
        <f aca="false">IF(往来对账单!$G$3="",2958465,往来对账单!$G$3)</f>
        <v>是否含税:</v>
      </c>
    </row>
    <row r="3" customFormat="false" ht="13.5" hidden="false" customHeight="false" outlineLevel="0" collapsed="false">
      <c r="A3" s="195" t="s">
        <v>431</v>
      </c>
      <c r="B3" s="195" t="s">
        <v>1020</v>
      </c>
      <c r="C3" s="195" t="s">
        <v>183</v>
      </c>
      <c r="E3" s="195" t="s">
        <v>1021</v>
      </c>
      <c r="G3" s="195" t="s">
        <v>1022</v>
      </c>
      <c r="H3" s="195" t="s">
        <v>183</v>
      </c>
      <c r="I3" s="195" t="s">
        <v>689</v>
      </c>
      <c r="J3" s="195" t="s">
        <v>690</v>
      </c>
      <c r="K3" s="195" t="s">
        <v>210</v>
      </c>
      <c r="L3" s="195" t="s">
        <v>763</v>
      </c>
      <c r="M3" s="195" t="s">
        <v>764</v>
      </c>
      <c r="N3" s="195" t="s">
        <v>1023</v>
      </c>
      <c r="O3" s="195" t="s">
        <v>774</v>
      </c>
      <c r="P3" s="195" t="s">
        <v>174</v>
      </c>
      <c r="Q3" s="195"/>
      <c r="T3" s="195" t="s">
        <v>762</v>
      </c>
      <c r="U3" s="195" t="s">
        <v>1020</v>
      </c>
      <c r="V3" s="195" t="s">
        <v>183</v>
      </c>
      <c r="X3" s="195" t="s">
        <v>1024</v>
      </c>
      <c r="Z3" s="195" t="s">
        <v>1025</v>
      </c>
      <c r="AA3" s="195" t="s">
        <v>1020</v>
      </c>
      <c r="AB3" s="195" t="s">
        <v>183</v>
      </c>
      <c r="AD3" s="195" t="s">
        <v>1026</v>
      </c>
      <c r="AF3" s="195" t="s">
        <v>1027</v>
      </c>
      <c r="AG3" s="195" t="s">
        <v>1020</v>
      </c>
      <c r="AH3" s="195" t="s">
        <v>183</v>
      </c>
      <c r="AJ3" s="195" t="s">
        <v>1028</v>
      </c>
    </row>
    <row r="4" customFormat="false" ht="13.5" hidden="false" customHeight="false" outlineLevel="0" collapsed="false">
      <c r="A4" s="0" t="str">
        <f aca="false">IF(((进销存对接!$D4="客户应收")+(进销存对接!$D4="成品销售款")+(进销存对接!$D4="公司购买果品款")+(进销存对接!$D4="筐子销售款")+(进销存对接!$D4="物料销售款"))&gt;0,进销存对接!$C4,"")</f>
        <v/>
      </c>
      <c r="B4" s="0" t="n">
        <f aca="false">IF(A4="",0,IF(MATCH(A4,$A$4:$A$1925,0)=ROW()-3,1,0))</f>
        <v>0</v>
      </c>
      <c r="C4" s="0" t="n">
        <f aca="false">N(C3)+B4</f>
        <v>0</v>
      </c>
      <c r="E4" s="0" t="str">
        <f aca="false">IFERROR(INDEX($A$4:$A$1925,MATCH(ROW()-3,$C$4:$C$1925,0)),"")</f>
        <v>王照雪</v>
      </c>
      <c r="G4" s="0" t="n">
        <f aca="false">IF($G$1="",0,IF(ROUND(SUMIF(原料入库计价!$B$909:$B$1028,$G$1,原料入库计价!$D$909:$D$1028),2)&lt;&gt;0,1,0))</f>
        <v>0</v>
      </c>
      <c r="H4" s="0" t="n">
        <f aca="false">N(H3)+$G4</f>
        <v>0</v>
      </c>
      <c r="I4" s="0" t="str">
        <f aca="false">IF($G4=0,"",IF(""=0,"",""))</f>
        <v/>
      </c>
      <c r="J4" s="0" t="str">
        <f aca="false">IF($G4=0,"",IF("仓储费"=0,"","仓储费"))</f>
        <v/>
      </c>
      <c r="K4" s="0" t="str">
        <f aca="false">IF($G4=0,"",IF("筐"=0,"","筐"))</f>
        <v/>
      </c>
      <c r="L4" s="0" t="str">
        <f aca="false">IF($G4=0,"",IF(SUMIF(原料入库计价!$B$909:$B$1028,$G$1,原料入库计价!$H$909:$H$1028)=0,"",SUMIF(原料入库计价!$B$909:$B$1028,$G$1,原料入库计价!$H$909:$H$1028)))</f>
        <v/>
      </c>
      <c r="M4" s="0" t="str">
        <f aca="false">IF($G4=0,"",IF(""=0,"",""))</f>
        <v/>
      </c>
      <c r="N4" s="0" t="str">
        <f aca="false">IF($G4=0,"",IF(SUMIF(原料入库计价!$B$909:$B$1028,$G$1,原料入库计价!$D$909:$D$1028)=0,"",SUMIF(原料入库计价!$B$909:$B$1028,$G$1,原料入库计价!$D$909:$D$1028)))</f>
        <v/>
      </c>
      <c r="O4" s="0" t="str">
        <f aca="false">IF($G4=0,"",IF(""=0,"",""))</f>
        <v/>
      </c>
      <c r="P4" s="0" t="str">
        <f aca="false">IF($G4=0,"",IF(""=0,"",""))</f>
        <v/>
      </c>
      <c r="Q4" s="0" t="str">
        <f aca="false">IF($G$1="","",IF(OR(原料入库计价!$B108&lt;&gt;$G$1,原料入库计价!$C108=""),Q3&amp;"",IF(ISNUMBER(SEARCH(原料入库计价!$C108,Q3&amp;"")),Q3&amp;"",Q3&amp;原料入库计价!$C108)))</f>
        <v/>
      </c>
      <c r="T4" s="0" t="str">
        <f aca="false">IF(资金日记账!$G4="","",资金日记账!$G4)</f>
        <v>财务</v>
      </c>
      <c r="U4" s="0" t="n">
        <f aca="false">IF(T4="",0,IF(MATCH(T4,$T$4:$T$903,0)=ROW()-3,1,0))</f>
        <v>1</v>
      </c>
      <c r="V4" s="0" t="n">
        <f aca="false">N(V3)+U4</f>
        <v>1</v>
      </c>
      <c r="X4" s="0" t="str">
        <f aca="false">IFERROR(INDEX($T$4:$T$903,MATCH(1,$V$4:$V$903,0)),"")</f>
        <v>财务</v>
      </c>
      <c r="Z4" s="0" t="str">
        <f aca="false">IF(成本费用登记表!$C4="","",成本费用登记表!$C4)</f>
        <v/>
      </c>
      <c r="AA4" s="0" t="n">
        <f aca="false">IF(Z4="",0,IF(MATCH(Z4,$Z$4:$Z$303,0)=ROW()-3,1,0))</f>
        <v>0</v>
      </c>
      <c r="AB4" s="0" t="n">
        <f aca="false">N(AB3)+AA4</f>
        <v>0</v>
      </c>
      <c r="AD4" s="0" t="str">
        <f aca="false">IFERROR(INDEX($Z$4:$Z$303,MATCH(1,$AB$4:$AB$303,0)),"")</f>
        <v/>
      </c>
      <c r="AF4" s="0" t="str">
        <f aca="false">IF(OR(资金日记账!$E4="",N(资金日记账!$H4)=0),"",资金日记账!$E4)</f>
        <v/>
      </c>
      <c r="AG4" s="0" t="n">
        <f aca="false">IF(AF4="",0,IF(MATCH(AF4,$AF$4:$AF$603,0)=ROW()-3,1,0))</f>
        <v>0</v>
      </c>
      <c r="AH4" s="0" t="n">
        <f aca="false">N(AH3)+AG4</f>
        <v>0</v>
      </c>
      <c r="AJ4" s="0" t="str">
        <f aca="false">IFERROR(INDEX($AF$4:$AF$603,MATCH(1,$AH$4:$AH$603,0)),"")</f>
        <v>伍元虎</v>
      </c>
    </row>
    <row r="5" customFormat="false" ht="13.5" hidden="false" customHeight="false" outlineLevel="0" collapsed="false">
      <c r="A5" s="0" t="str">
        <f aca="false">IF(((进销存对接!$D5="客户应收")+(进销存对接!$D5="成品销售款")+(进销存对接!$D5="公司购买果品款")+(进销存对接!$D5="筐子销售款")+(进销存对接!$D5="物料销售款"))&gt;0,进销存对接!$C5,"")</f>
        <v/>
      </c>
      <c r="B5" s="0" t="n">
        <f aca="false">IF(A5="",0,IF(MATCH(A5,$A$4:$A$1925,0)=ROW()-3,1,0))</f>
        <v>0</v>
      </c>
      <c r="C5" s="0" t="n">
        <f aca="false">N(C4)+B5</f>
        <v>0</v>
      </c>
      <c r="E5" s="0" t="str">
        <f aca="false">IFERROR(INDEX($A$4:$A$1925,MATCH(ROW()-3,$C$4:$C$1925,0)),"")</f>
        <v>麦麦提</v>
      </c>
      <c r="G5" s="0" t="n">
        <f aca="false">IF($G$1="",0,IF(ROUND(SUMIF(原料入库计价!$B$909:$B$1028,$G$1,原料入库计价!$C$909:$C$1028),2)&lt;&gt;0,1,0))</f>
        <v>1</v>
      </c>
      <c r="H5" s="0" t="n">
        <f aca="false">N(H4)+$G5</f>
        <v>1</v>
      </c>
      <c r="I5" s="0" t="str">
        <f aca="false">IF($G5=0,"",IF(""=0,"",""))</f>
        <v/>
      </c>
      <c r="J5" s="0" t="str">
        <f aca="false">IF($G5=0,"",IF("周转费"=0,"","周转费"))</f>
        <v>周转费</v>
      </c>
      <c r="K5" s="0" t="str">
        <f aca="false">IF($G5=0,"",IF("筐"=0,"","筐"))</f>
        <v>筐</v>
      </c>
      <c r="L5" s="0" t="n">
        <f aca="false">IF($G5=0,"",IF(SUMIF(原料入库计价!$B$909:$B$1028,$G$1,原料入库计价!$G$909:$G$1028)=0,"",SUMIF(原料入库计价!$B$909:$B$1028,$G$1,原料入库计价!$G$909:$G$1028)))</f>
        <v>2807</v>
      </c>
      <c r="M5" s="0" t="str">
        <f aca="false">IF($G5=0,"",IF(""=0,"",""))</f>
        <v/>
      </c>
      <c r="N5" s="0" t="n">
        <f aca="false">IF($G5=0,"",IF(SUMIF(原料入库计价!$B$909:$B$1028,$G$1,原料入库计价!$C$909:$C$1028)=0,"",SUMIF(原料入库计价!$B$909:$B$1028,$G$1,原料入库计价!$C$909:$C$1028)))</f>
        <v>4183637.9</v>
      </c>
      <c r="O5" s="0" t="str">
        <f aca="false">IF($G5=0,"",IF(""=0,"",""))</f>
        <v/>
      </c>
      <c r="P5" s="0" t="str">
        <f aca="false">IF($G5=0,"",IF(""=0,"",""))</f>
        <v/>
      </c>
      <c r="Q5" s="0" t="str">
        <f aca="false">IF($G$1="","",IF(OR(原料入库计价!$B109&lt;&gt;$G$1,原料入库计价!$C109=""),Q4&amp;"",IF(ISNUMBER(SEARCH(原料入库计价!$C109,Q4&amp;"")),Q4&amp;"",Q4&amp;原料入库计价!$C109)))</f>
        <v/>
      </c>
      <c r="T5" s="0" t="str">
        <f aca="false">IF(资金日记账!$G5="","",资金日记账!$G5)</f>
        <v>人工工资</v>
      </c>
      <c r="U5" s="0" t="n">
        <f aca="false">IF(T5="",0,IF(MATCH(T5,$T$4:$T$903,0)=ROW()-3,1,0))</f>
        <v>1</v>
      </c>
      <c r="V5" s="0" t="n">
        <f aca="false">N(V4)+U5</f>
        <v>2</v>
      </c>
      <c r="X5" s="0" t="str">
        <f aca="false">IFERROR(INDEX($T$4:$T$903,MATCH(2,$V$4:$V$903,0)),"")</f>
        <v>人工工资</v>
      </c>
      <c r="Z5" s="0" t="str">
        <f aca="false">IF(成本费用登记表!$C5="","",成本费用登记表!$C5)</f>
        <v/>
      </c>
      <c r="AA5" s="0" t="n">
        <f aca="false">IF(Z5="",0,IF(MATCH(Z5,$Z$4:$Z$303,0)=ROW()-3,1,0))</f>
        <v>0</v>
      </c>
      <c r="AB5" s="0" t="n">
        <f aca="false">N(AB4)+AA5</f>
        <v>0</v>
      </c>
      <c r="AD5" s="0" t="str">
        <f aca="false">IFERROR(INDEX($Z$4:$Z$303,MATCH(2,$AB$4:$AB$303,0)),"")</f>
        <v/>
      </c>
      <c r="AF5" s="0" t="str">
        <f aca="false">IF(OR(资金日记账!$E5="",N(资金日记账!$H5)=0),"",资金日记账!$E5)</f>
        <v/>
      </c>
      <c r="AG5" s="0" t="n">
        <f aca="false">IF(AF5="",0,IF(MATCH(AF5,$AF$4:$AF$603,0)=ROW()-3,1,0))</f>
        <v>0</v>
      </c>
      <c r="AH5" s="0" t="n">
        <f aca="false">N(AH4)+AG5</f>
        <v>0</v>
      </c>
      <c r="AJ5" s="0" t="str">
        <f aca="false">IFERROR(INDEX($AF$4:$AF$603,MATCH(2,$AH$4:$AH$603,0)),"")</f>
        <v>吐尔逊</v>
      </c>
    </row>
    <row r="6" customFormat="false" ht="13.5" hidden="false" customHeight="false" outlineLevel="0" collapsed="false">
      <c r="A6" s="0" t="str">
        <f aca="false">IF(((进销存对接!$D6="客户应收")+(进销存对接!$D6="成品销售款")+(进销存对接!$D6="公司购买果品款")+(进销存对接!$D6="筐子销售款")+(进销存对接!$D6="物料销售款"))&gt;0,进销存对接!$C6,"")</f>
        <v/>
      </c>
      <c r="B6" s="0" t="n">
        <f aca="false">IF(A6="",0,IF(MATCH(A6,$A$4:$A$1925,0)=ROW()-3,1,0))</f>
        <v>0</v>
      </c>
      <c r="C6" s="0" t="n">
        <f aca="false">N(C5)+B6</f>
        <v>0</v>
      </c>
      <c r="E6" s="0" t="str">
        <f aca="false">IFERROR(INDEX($A$4:$A$1925,MATCH(ROW()-3,$C$4:$C$1925,0)),"")</f>
        <v>热合曼</v>
      </c>
      <c r="G6" s="0" t="n">
        <f aca="false">IF($G$1="",0,IF(ROUND(SUMIF(原料入库计价!$B$909:$B$1028,$G$1,原料入库计价!$E$909:$E$1028),2)&lt;&gt;0,1,0))</f>
        <v>1</v>
      </c>
      <c r="H6" s="0" t="n">
        <f aca="false">N(H5)+$G6</f>
        <v>2</v>
      </c>
      <c r="I6" s="0" t="str">
        <f aca="false">IF($G6=0,"",IF(""=0,"",""))</f>
        <v/>
      </c>
      <c r="J6" s="0" t="str">
        <f aca="false">IF($G6=0,"",IF("装卸费"=0,"","装卸费"))</f>
        <v>装卸费</v>
      </c>
      <c r="K6" s="0" t="str">
        <f aca="false">IF($G6=0,"",IF("筐"=0,"","筐"))</f>
        <v>筐</v>
      </c>
      <c r="L6" s="0" t="n">
        <f aca="false">IF($G6=0,"",IF(SUMIF(原料入库计价!$B$909:$B$1028,$G$1,原料入库计价!$I$909:$I$1028)=0,"",SUMIF(原料入库计价!$B$909:$B$1028,$G$1,原料入库计价!$I$909:$I$1028)))</f>
        <v>3659</v>
      </c>
      <c r="M6" s="0" t="str">
        <f aca="false">IF($G6=0,"",IF(""=0,"",""))</f>
        <v/>
      </c>
      <c r="N6" s="0" t="n">
        <f aca="false">IF($G6=0,"",IF(SUMIF(原料入库计价!$B$909:$B$1028,$G$1,原料入库计价!$E$909:$E$1028)=0,"",SUMIF(原料入库计价!$B$909:$B$1028,$G$1,原料入库计价!$E$909:$E$1028)))</f>
        <v>2092631.3</v>
      </c>
      <c r="O6" s="0" t="str">
        <f aca="false">IF($G6=0,"",IF(""=0,"",""))</f>
        <v/>
      </c>
      <c r="P6" s="0" t="str">
        <f aca="false">IF($G6=0,"",IF(""=0,"",""))</f>
        <v/>
      </c>
      <c r="Q6" s="0" t="str">
        <f aca="false">IF($G$1="","",IF(OR(原料入库计价!$B110&lt;&gt;$G$1,原料入库计价!$C110=""),Q5&amp;"",IF(ISNUMBER(SEARCH(原料入库计价!$C110,Q5&amp;"")),Q5&amp;"",Q5&amp;原料入库计价!$C110)))</f>
        <v/>
      </c>
      <c r="T6" s="0" t="str">
        <f aca="false">IF(资金日记账!$G6="","",资金日记账!$G6)</f>
        <v>借款</v>
      </c>
      <c r="U6" s="0" t="n">
        <f aca="false">IF(T6="",0,IF(MATCH(T6,$T$4:$T$903,0)=ROW()-3,1,0))</f>
        <v>1</v>
      </c>
      <c r="V6" s="0" t="n">
        <f aca="false">N(V5)+U6</f>
        <v>3</v>
      </c>
      <c r="X6" s="0" t="str">
        <f aca="false">IFERROR(INDEX($T$4:$T$903,MATCH(3,$V$4:$V$903,0)),"")</f>
        <v>借款</v>
      </c>
      <c r="Z6" s="0" t="str">
        <f aca="false">IF(成本费用登记表!$C6="","",成本费用登记表!$C6)</f>
        <v/>
      </c>
      <c r="AA6" s="0" t="n">
        <f aca="false">IF(Z6="",0,IF(MATCH(Z6,$Z$4:$Z$303,0)=ROW()-3,1,0))</f>
        <v>0</v>
      </c>
      <c r="AB6" s="0" t="n">
        <f aca="false">N(AB5)+AA6</f>
        <v>0</v>
      </c>
      <c r="AD6" s="0" t="str">
        <f aca="false">IFERROR(INDEX($Z$4:$Z$303,MATCH(3,$AB$4:$AB$303,0)),"")</f>
        <v/>
      </c>
      <c r="AF6" s="0" t="str">
        <f aca="false">IF(OR(资金日记账!$E6="",N(资金日记账!$H6)=0),"",资金日记账!$E6)</f>
        <v/>
      </c>
      <c r="AG6" s="0" t="n">
        <f aca="false">IF(AF6="",0,IF(MATCH(AF6,$AF$4:$AF$603,0)=ROW()-3,1,0))</f>
        <v>0</v>
      </c>
      <c r="AH6" s="0" t="n">
        <f aca="false">N(AH5)+AG6</f>
        <v>0</v>
      </c>
      <c r="AJ6" s="0" t="str">
        <f aca="false">IFERROR(INDEX($AF$4:$AF$603,MATCH(3,$AH$4:$AH$603,0)),"")</f>
        <v>贾建国</v>
      </c>
    </row>
    <row r="7" customFormat="false" ht="13.5" hidden="false" customHeight="false" outlineLevel="0" collapsed="false">
      <c r="A7" s="0" t="str">
        <f aca="false">IF(((进销存对接!$D7="客户应收")+(进销存对接!$D7="成品销售款")+(进销存对接!$D7="公司购买果品款")+(进销存对接!$D7="筐子销售款")+(进销存对接!$D7="物料销售款"))&gt;0,进销存对接!$C7,"")</f>
        <v/>
      </c>
      <c r="B7" s="0" t="n">
        <f aca="false">IF(A7="",0,IF(MATCH(A7,$A$4:$A$1925,0)=ROW()-3,1,0))</f>
        <v>0</v>
      </c>
      <c r="C7" s="0" t="n">
        <f aca="false">N(C6)+B7</f>
        <v>0</v>
      </c>
      <c r="E7" s="0" t="str">
        <f aca="false">IFERROR(INDEX($A$4:$A$1925,MATCH(ROW()-3,$C$4:$C$1925,0)),"")</f>
        <v>王灵云</v>
      </c>
      <c r="G7" s="0" t="n">
        <f aca="false">IF($G$1="",0,IF(ROUND(SUMIFS(进销存对接!$G$4:$G$305,进销存对接!$C$4:$C$305,$G$1,进销存对接!$D$4:$D$305,"成品销售款"),2)&lt;&gt;0,1,0))</f>
        <v>0</v>
      </c>
      <c r="H7" s="0" t="n">
        <f aca="false">N(H6)+$G7</f>
        <v>2</v>
      </c>
      <c r="I7" s="0" t="str">
        <f aca="false">IF($G7=0,"",IF(""=0,"",""))</f>
        <v/>
      </c>
      <c r="J7" s="0" t="str">
        <f aca="false">IF($G7=0,"",IF("成品销售款"=0,"","成品销售款"))</f>
        <v/>
      </c>
      <c r="K7" s="0" t="str">
        <f aca="false">IF($G7=0,"",IF(""=0,"",""))</f>
        <v/>
      </c>
      <c r="L7" s="0" t="str">
        <f aca="false">IF($G7=0,"",IF(""=0,"",""))</f>
        <v/>
      </c>
      <c r="M7" s="0" t="str">
        <f aca="false">IF($G7=0,"",IF(""=0,"",""))</f>
        <v/>
      </c>
      <c r="N7" s="0" t="str">
        <f aca="false">IF($G7=0,"",IF(SUMIFS(进销存对接!$G$4:$G$305,进销存对接!$C$4:$C$305,$G$1,进销存对接!$D$4:$D$305,"成品销售款")=0,"",SUMIFS(进销存对接!$G$4:$G$305,进销存对接!$C$4:$C$305,$G$1,进销存对接!$D$4:$D$305,"成品销售款")))</f>
        <v/>
      </c>
      <c r="O7" s="0" t="str">
        <f aca="false">IF($G7=0,"",IF(""=0,"",""))</f>
        <v/>
      </c>
      <c r="P7" s="0" t="str">
        <f aca="false">IF($G7=0,"",IF(""=0,"",""))</f>
        <v/>
      </c>
      <c r="Q7" s="0" t="str">
        <f aca="false">IF($G$1="","",IF(OR(原料入库计价!$B111&lt;&gt;$G$1,原料入库计价!$C111=""),Q6&amp;"",IF(ISNUMBER(SEARCH(原料入库计价!$C111,Q6&amp;"")),Q6&amp;"",Q6&amp;原料入库计价!$C111)))</f>
        <v/>
      </c>
      <c r="T7" s="0" t="str">
        <f aca="false">IF(资金日记账!$G7="","",资金日记账!$G7)</f>
        <v>借款</v>
      </c>
      <c r="U7" s="0" t="n">
        <f aca="false">IF(T7="",0,IF(MATCH(T7,$T$4:$T$903,0)=ROW()-3,1,0))</f>
        <v>0</v>
      </c>
      <c r="V7" s="0" t="n">
        <f aca="false">N(V6)+U7</f>
        <v>3</v>
      </c>
      <c r="X7" s="0" t="str">
        <f aca="false">IFERROR(INDEX($T$4:$T$903,MATCH(4,$V$4:$V$903,0)),"")</f>
        <v>转入微信</v>
      </c>
      <c r="Z7" s="0" t="str">
        <f aca="false">IF(成本费用登记表!$C7="","",成本费用登记表!$C7)</f>
        <v/>
      </c>
      <c r="AA7" s="0" t="n">
        <f aca="false">IF(Z7="",0,IF(MATCH(Z7,$Z$4:$Z$303,0)=ROW()-3,1,0))</f>
        <v>0</v>
      </c>
      <c r="AB7" s="0" t="n">
        <f aca="false">N(AB6)+AA7</f>
        <v>0</v>
      </c>
      <c r="AD7" s="0" t="str">
        <f aca="false">IFERROR(INDEX($Z$4:$Z$303,MATCH(4,$AB$4:$AB$303,0)),"")</f>
        <v/>
      </c>
      <c r="AF7" s="0" t="str">
        <f aca="false">IF(OR(资金日记账!$E7="",N(资金日记账!$H7)=0),"",资金日记账!$E7)</f>
        <v/>
      </c>
      <c r="AG7" s="0" t="n">
        <f aca="false">IF(AF7="",0,IF(MATCH(AF7,$AF$4:$AF$603,0)=ROW()-3,1,0))</f>
        <v>0</v>
      </c>
      <c r="AH7" s="0" t="n">
        <f aca="false">N(AH6)+AG7</f>
        <v>0</v>
      </c>
      <c r="AJ7" s="0" t="str">
        <f aca="false">IFERROR(INDEX($AF$4:$AF$603,MATCH(4,$AH$4:$AH$603,0)),"")</f>
        <v>王灵云</v>
      </c>
    </row>
    <row r="8" customFormat="false" ht="13.5" hidden="false" customHeight="false" outlineLevel="0" collapsed="false">
      <c r="A8" s="0" t="str">
        <f aca="false">IF(((进销存对接!$D8="客户应收")+(进销存对接!$D8="成品销售款")+(进销存对接!$D8="公司购买果品款")+(进销存对接!$D8="筐子销售款")+(进销存对接!$D8="物料销售款"))&gt;0,进销存对接!$C8,"")</f>
        <v/>
      </c>
      <c r="B8" s="0" t="n">
        <f aca="false">IF(A8="",0,IF(MATCH(A8,$A$4:$A$1925,0)=ROW()-3,1,0))</f>
        <v>0</v>
      </c>
      <c r="C8" s="0" t="n">
        <f aca="false">N(C7)+B8</f>
        <v>0</v>
      </c>
      <c r="E8" s="0" t="str">
        <f aca="false">IFERROR(INDEX($A$4:$A$1925,MATCH(ROW()-3,$C$4:$C$1925,0)),"")</f>
        <v>全修塑业</v>
      </c>
      <c r="G8" s="0" t="n">
        <f aca="false">IF($G$1="",0,IF(ROUND(SUMIFS(进销存对接!$G$4:$G$305,进销存对接!$C$4:$C$305,$G$1,进销存对接!$D$4:$D$305,"筐子销售款"),2)&lt;&gt;0,1,0))</f>
        <v>0</v>
      </c>
      <c r="H8" s="0" t="n">
        <f aca="false">N(H7)+$G8</f>
        <v>2</v>
      </c>
      <c r="I8" s="0" t="str">
        <f aca="false">IF($G8=0,"",IF(""=0,"",""))</f>
        <v/>
      </c>
      <c r="J8" s="0" t="str">
        <f aca="false">IF($G8=0,"",IF("客户购买筐子款"=0,"","客户购买筐子款"))</f>
        <v/>
      </c>
      <c r="K8" s="0" t="str">
        <f aca="false">IF($G8=0,"",IF(""=0,"",""))</f>
        <v/>
      </c>
      <c r="L8" s="0" t="str">
        <f aca="false">IF($G8=0,"",IF(""=0,"",""))</f>
        <v/>
      </c>
      <c r="M8" s="0" t="str">
        <f aca="false">IF($G8=0,"",IF(""=0,"",""))</f>
        <v/>
      </c>
      <c r="N8" s="0" t="str">
        <f aca="false">IF($G8=0,"",IF(SUMIFS(进销存对接!$G$4:$G$305,进销存对接!$C$4:$C$305,$G$1,进销存对接!$D$4:$D$305,"筐子销售款")=0,"",SUMIFS(进销存对接!$G$4:$G$305,进销存对接!$C$4:$C$305,$G$1,进销存对接!$D$4:$D$305,"筐子销售款")))</f>
        <v/>
      </c>
      <c r="O8" s="0" t="str">
        <f aca="false">IF($G8=0,"",IF(""=0,"",""))</f>
        <v/>
      </c>
      <c r="P8" s="0" t="str">
        <f aca="false">IF($G8=0,"",IF(""=0,"",""))</f>
        <v/>
      </c>
      <c r="Q8" s="0" t="str">
        <f aca="false">IF($G$1="","",IF(OR(原料入库计价!$B112&lt;&gt;$G$1,原料入库计价!$C112=""),Q7&amp;"",IF(ISNUMBER(SEARCH(原料入库计价!$C112,Q7&amp;"")),Q7&amp;"",Q7&amp;原料入库计价!$C112)))</f>
        <v/>
      </c>
      <c r="T8" s="0" t="str">
        <f aca="false">IF(资金日记账!$G8="","",资金日记账!$G8)</f>
        <v>转入微信</v>
      </c>
      <c r="U8" s="0" t="n">
        <f aca="false">IF(T8="",0,IF(MATCH(T8,$T$4:$T$903,0)=ROW()-3,1,0))</f>
        <v>1</v>
      </c>
      <c r="V8" s="0" t="n">
        <f aca="false">N(V7)+U8</f>
        <v>4</v>
      </c>
      <c r="X8" s="0" t="str">
        <f aca="false">IFERROR(INDEX($T$4:$T$903,MATCH(5,$V$4:$V$903,0)),"")</f>
        <v>水果销售</v>
      </c>
      <c r="Z8" s="0" t="str">
        <f aca="false">IF(成本费用登记表!$C8="","",成本费用登记表!$C8)</f>
        <v/>
      </c>
      <c r="AA8" s="0" t="n">
        <f aca="false">IF(Z8="",0,IF(MATCH(Z8,$Z$4:$Z$303,0)=ROW()-3,1,0))</f>
        <v>0</v>
      </c>
      <c r="AB8" s="0" t="n">
        <f aca="false">N(AB7)+AA8</f>
        <v>0</v>
      </c>
      <c r="AD8" s="0" t="str">
        <f aca="false">IFERROR(INDEX($Z$4:$Z$303,MATCH(5,$AB$4:$AB$303,0)),"")</f>
        <v/>
      </c>
      <c r="AF8" s="0" t="str">
        <f aca="false">IF(OR(资金日记账!$E8="",N(资金日记账!$H8)=0),"",资金日记账!$E8)</f>
        <v/>
      </c>
      <c r="AG8" s="0" t="n">
        <f aca="false">IF(AF8="",0,IF(MATCH(AF8,$AF$4:$AF$603,0)=ROW()-3,1,0))</f>
        <v>0</v>
      </c>
      <c r="AH8" s="0" t="n">
        <f aca="false">N(AH7)+AG8</f>
        <v>0</v>
      </c>
      <c r="AJ8" s="0" t="str">
        <f aca="false">IFERROR(INDEX($AF$4:$AF$603,MATCH(5,$AH$4:$AH$603,0)),"")</f>
        <v>聂新平</v>
      </c>
    </row>
    <row r="9" customFormat="false" ht="13.5" hidden="false" customHeight="false" outlineLevel="0" collapsed="false">
      <c r="A9" s="0" t="str">
        <f aca="false">IF(((进销存对接!$D9="客户应收")+(进销存对接!$D9="成品销售款")+(进销存对接!$D9="公司购买果品款")+(进销存对接!$D9="筐子销售款")+(进销存对接!$D9="物料销售款"))&gt;0,进销存对接!$C9,"")</f>
        <v/>
      </c>
      <c r="B9" s="0" t="n">
        <f aca="false">IF(A9="",0,IF(MATCH(A9,$A$4:$A$1925,0)=ROW()-3,1,0))</f>
        <v>0</v>
      </c>
      <c r="C9" s="0" t="n">
        <f aca="false">N(C8)+B9</f>
        <v>0</v>
      </c>
      <c r="E9" s="0" t="str">
        <f aca="false">IFERROR(INDEX($A$4:$A$1925,MATCH(ROW()-3,$C$4:$C$1925,0)),"")</f>
        <v>新顺发泡网</v>
      </c>
      <c r="G9" s="0" t="n">
        <f aca="false">IF($G$1="",0,IF(ROUND(SUMIFS(进销存对接!$G$4:$G$305,进销存对接!$C$4:$C$305,$G$1,进销存对接!$D$4:$D$305,"物料销售款"),2)&lt;&gt;0,1,0))</f>
        <v>0</v>
      </c>
      <c r="H9" s="0" t="n">
        <f aca="false">N(H8)+$G9</f>
        <v>2</v>
      </c>
      <c r="I9" s="0" t="str">
        <f aca="false">IF($G9=0,"",IF(""=0,"",""))</f>
        <v/>
      </c>
      <c r="J9" s="0" t="str">
        <f aca="false">IF($G9=0,"",IF("客户购买物料款"=0,"","客户购买物料款"))</f>
        <v/>
      </c>
      <c r="K9" s="0" t="str">
        <f aca="false">IF($G9=0,"",IF(""=0,"",""))</f>
        <v/>
      </c>
      <c r="L9" s="0" t="str">
        <f aca="false">IF($G9=0,"",IF(""=0,"",""))</f>
        <v/>
      </c>
      <c r="M9" s="0" t="str">
        <f aca="false">IF($G9=0,"",IF(""=0,"",""))</f>
        <v/>
      </c>
      <c r="N9" s="0" t="str">
        <f aca="false">IF($G9=0,"",IF(SUMIFS(进销存对接!$G$4:$G$305,进销存对接!$C$4:$C$305,$G$1,进销存对接!$D$4:$D$305,"物料销售款")=0,"",SUMIFS(进销存对接!$G$4:$G$305,进销存对接!$C$4:$C$305,$G$1,进销存对接!$D$4:$D$305,"物料销售款")))</f>
        <v/>
      </c>
      <c r="O9" s="0" t="str">
        <f aca="false">IF($G9=0,"",IF(""=0,"",""))</f>
        <v/>
      </c>
      <c r="P9" s="0" t="str">
        <f aca="false">IF($G9=0,"",IF(""=0,"",""))</f>
        <v/>
      </c>
      <c r="Q9" s="0" t="str">
        <f aca="false">IF($G$1="","",IF(OR(原料入库计价!$B113&lt;&gt;$G$1,原料入库计价!$C113=""),Q8&amp;"",IF(ISNUMBER(SEARCH(原料入库计价!$C113,Q8&amp;"")),Q8&amp;"",Q8&amp;原料入库计价!$C113)))</f>
        <v/>
      </c>
      <c r="T9" s="0" t="str">
        <f aca="false">IF(资金日记账!$G9="","",资金日记账!$G9)</f>
        <v>水果销售</v>
      </c>
      <c r="U9" s="0" t="n">
        <f aca="false">IF(T9="",0,IF(MATCH(T9,$T$4:$T$903,0)=ROW()-3,1,0))</f>
        <v>1</v>
      </c>
      <c r="V9" s="0" t="n">
        <f aca="false">N(V8)+U9</f>
        <v>5</v>
      </c>
      <c r="X9" s="0" t="str">
        <f aca="false">IFERROR(INDEX($T$4:$T$903,MATCH(6,$V$4:$V$903,0)),"")</f>
        <v>代办费</v>
      </c>
      <c r="Z9" s="0" t="str">
        <f aca="false">IF(成本费用登记表!$C9="","",成本费用登记表!$C9)</f>
        <v/>
      </c>
      <c r="AA9" s="0" t="n">
        <f aca="false">IF(Z9="",0,IF(MATCH(Z9,$Z$4:$Z$303,0)=ROW()-3,1,0))</f>
        <v>0</v>
      </c>
      <c r="AB9" s="0" t="n">
        <f aca="false">N(AB8)+AA9</f>
        <v>0</v>
      </c>
      <c r="AD9" s="0" t="str">
        <f aca="false">IFERROR(INDEX($Z$4:$Z$303,MATCH(6,$AB$4:$AB$303,0)),"")</f>
        <v/>
      </c>
      <c r="AF9" s="0" t="str">
        <f aca="false">IF(OR(资金日记账!$E9="",N(资金日记账!$H9)=0),"",资金日记账!$E9)</f>
        <v/>
      </c>
      <c r="AG9" s="0" t="n">
        <f aca="false">IF(AF9="",0,IF(MATCH(AF9,$AF$4:$AF$603,0)=ROW()-3,1,0))</f>
        <v>0</v>
      </c>
      <c r="AH9" s="0" t="n">
        <f aca="false">N(AH8)+AG9</f>
        <v>0</v>
      </c>
      <c r="AJ9" s="0" t="str">
        <f aca="false">IFERROR(INDEX($AF$4:$AF$603,MATCH(6,$AH$4:$AH$603,0)),"")</f>
        <v/>
      </c>
    </row>
    <row r="10" customFormat="false" ht="13.5" hidden="false" customHeight="false" outlineLevel="0" collapsed="false">
      <c r="A10" s="0" t="str">
        <f aca="false">IF(((进销存对接!$D10="客户应收")+(进销存对接!$D10="成品销售款")+(进销存对接!$D10="公司购买果品款")+(进销存对接!$D10="筐子销售款")+(进销存对接!$D10="物料销售款"))&gt;0,进销存对接!$C10,"")</f>
        <v/>
      </c>
      <c r="B10" s="0" t="n">
        <f aca="false">IF(A10="",0,IF(MATCH(A10,$A$4:$A$1925,0)=ROW()-3,1,0))</f>
        <v>0</v>
      </c>
      <c r="C10" s="0" t="n">
        <f aca="false">N(C9)+B10</f>
        <v>0</v>
      </c>
      <c r="E10" s="0" t="str">
        <f aca="false">IFERROR(INDEX($A$4:$A$1925,MATCH(ROW()-3,$C$4:$C$1925,0)),"")</f>
        <v>伍元虎</v>
      </c>
      <c r="G10" s="0" t="n">
        <f aca="false">IF($G$1="",0,IF(ROUND(-SUMIFS(进销存对接!$F$4:$F$305,进销存对接!$C$4:$C$305,$G$1,进销存对接!$D$4:$D$305,"公司购买果品款"),2)&lt;&gt;0,1,0))</f>
        <v>1</v>
      </c>
      <c r="H10" s="0" t="n">
        <f aca="false">N(H9)+$G10</f>
        <v>3</v>
      </c>
      <c r="I10" s="0" t="str">
        <f aca="false">IF($G10=0,"",IF(""=0,"",""))</f>
        <v/>
      </c>
      <c r="J10" s="0" t="str">
        <f aca="false">IF($G10=0,"",IF("公司购买客户果品款（应付抵扣）"=0,"","公司购买客户果品款（应付抵扣）"))</f>
        <v>公司购买客户果品款（应付抵扣）</v>
      </c>
      <c r="K10" s="0" t="str">
        <f aca="false">IF($G10=0,"",IF(""=0,"",""))</f>
        <v/>
      </c>
      <c r="L10" s="0" t="str">
        <f aca="false">IF($G10=0,"",IF(""=0,"",""))</f>
        <v/>
      </c>
      <c r="M10" s="0" t="str">
        <f aca="false">IF($G10=0,"",IF(""=0,"",""))</f>
        <v/>
      </c>
      <c r="N10" s="0" t="n">
        <f aca="false">IF($G10=0,"",IF(-SUMIFS(进销存对接!$F$4:$F$305,进销存对接!$C$4:$C$305,$G$1,进销存对接!$D$4:$D$305,"公司购买果品款")=0,"",-SUMIFS(进销存对接!$F$4:$F$305,进销存对接!$C$4:$C$305,$G$1,进销存对接!$D$4:$D$305,"公司购买果品款")))</f>
        <v>-40</v>
      </c>
      <c r="O10" s="0" t="str">
        <f aca="false">IF($G10=0,"",IF(""=0,"",""))</f>
        <v/>
      </c>
      <c r="P10" s="0" t="str">
        <f aca="false">IF($G10=0,"",IF(""=0,"",""))</f>
        <v/>
      </c>
      <c r="Q10" s="0" t="str">
        <f aca="false">IF($G$1="","",IF(OR(原料入库计价!$B114&lt;&gt;$G$1,原料入库计价!$C114=""),Q9&amp;"",IF(ISNUMBER(SEARCH(原料入库计价!$C114,Q9&amp;"")),Q9&amp;"",Q9&amp;原料入库计价!$C114)))</f>
        <v/>
      </c>
      <c r="T10" s="0" t="str">
        <f aca="false">IF(资金日记账!$G10="","",资金日记账!$G10)</f>
        <v>水果销售</v>
      </c>
      <c r="U10" s="0" t="n">
        <f aca="false">IF(T10="",0,IF(MATCH(T10,$T$4:$T$903,0)=ROW()-3,1,0))</f>
        <v>0</v>
      </c>
      <c r="V10" s="0" t="n">
        <f aca="false">N(V9)+U10</f>
        <v>5</v>
      </c>
      <c r="X10" s="0" t="str">
        <f aca="false">IFERROR(INDEX($T$4:$T$903,MATCH(7,$V$4:$V$903,0)),"")</f>
        <v>送礼</v>
      </c>
      <c r="Z10" s="0" t="str">
        <f aca="false">IF(成本费用登记表!$C10="","",成本费用登记表!$C10)</f>
        <v/>
      </c>
      <c r="AA10" s="0" t="n">
        <f aca="false">IF(Z10="",0,IF(MATCH(Z10,$Z$4:$Z$303,0)=ROW()-3,1,0))</f>
        <v>0</v>
      </c>
      <c r="AB10" s="0" t="n">
        <f aca="false">N(AB9)+AA10</f>
        <v>0</v>
      </c>
      <c r="AD10" s="0" t="str">
        <f aca="false">IFERROR(INDEX($Z$4:$Z$303,MATCH(7,$AB$4:$AB$303,0)),"")</f>
        <v/>
      </c>
      <c r="AF10" s="0" t="str">
        <f aca="false">IF(OR(资金日记账!$E10="",N(资金日记账!$H10)=0),"",资金日记账!$E10)</f>
        <v/>
      </c>
      <c r="AG10" s="0" t="n">
        <f aca="false">IF(AF10="",0,IF(MATCH(AF10,$AF$4:$AF$603,0)=ROW()-3,1,0))</f>
        <v>0</v>
      </c>
      <c r="AH10" s="0" t="n">
        <f aca="false">N(AH9)+AG10</f>
        <v>0</v>
      </c>
      <c r="AJ10" s="0" t="str">
        <f aca="false">IFERROR(INDEX($AF$4:$AF$603,MATCH(7,$AH$4:$AH$603,0)),"")</f>
        <v/>
      </c>
    </row>
    <row r="11" customFormat="false" ht="13.5" hidden="false" customHeight="false" outlineLevel="0" collapsed="false">
      <c r="A11" s="0" t="str">
        <f aca="false">IF(((进销存对接!$D11="客户应收")+(进销存对接!$D11="成品销售款")+(进销存对接!$D11="公司购买果品款")+(进销存对接!$D11="筐子销售款")+(进销存对接!$D11="物料销售款"))&gt;0,进销存对接!$C11,"")</f>
        <v>王照雪</v>
      </c>
      <c r="B11" s="0" t="n">
        <f aca="false">IF(A11="",0,IF(MATCH(A11,$A$4:$A$1925,0)=ROW()-3,1,0))</f>
        <v>1</v>
      </c>
      <c r="C11" s="0" t="n">
        <f aca="false">N(C10)+B11</f>
        <v>1</v>
      </c>
      <c r="E11" s="0" t="str">
        <f aca="false">IFERROR(INDEX($A$4:$A$1925,MATCH(ROW()-3,$C$4:$C$1925,0)),"")</f>
        <v>吐尔逊</v>
      </c>
      <c r="G11" s="0" t="n">
        <f aca="false">IF(OR($G$1="",资金日记账!$E4="",资金日记账!$E4&lt;&gt;$G$1),0,IF(NOT(OR(N(资金日记账!$H4)&lt;&gt;0,N(资金日记账!$I4)&lt;&gt;0)),0,IF(资金日记账!$B4="",1,IF(OR(N(资金日记账!$B4)&lt;$H$1,N(资金日记账!$B4)&gt;$I$1),0,1))))</f>
        <v>0</v>
      </c>
      <c r="H11" s="0" t="n">
        <f aca="false">N(H10)+$G11</f>
        <v>3</v>
      </c>
      <c r="I11" s="0" t="str">
        <f aca="false">IF($G11=0,"",IF(资金日记账!$B4=0,"",资金日记账!$B4))</f>
        <v/>
      </c>
      <c r="J11" s="0" t="str">
        <f aca="false">IF($G11=0,"",IF(资金日记账!$D4=0,"",资金日记账!$D4))</f>
        <v/>
      </c>
      <c r="K11" s="0" t="str">
        <f aca="false">IF($G11=0,"",IF(""=0,"",""))</f>
        <v/>
      </c>
      <c r="L11" s="0" t="str">
        <f aca="false">IF($G11=0,"",IF(""=0,"",""))</f>
        <v/>
      </c>
      <c r="M11" s="0" t="str">
        <f aca="false">IF($G11=0,"",IF(""=0,"",""))</f>
        <v/>
      </c>
      <c r="N11" s="0" t="str">
        <f aca="false">IF($G11=0,"",IF(IF(N(资金日记账!$I4)=0,"",-ROUND(N(资金日记账!$I4),2))=0,"",IF(N(资金日记账!$I4)=0,"",-ROUND(N(资金日记账!$I4),2))))</f>
        <v/>
      </c>
      <c r="O11" s="0" t="str">
        <f aca="false">IF($G11=0,"",IF(IF(N(资金日记账!$H4)=0,"",ROUND(N(资金日记账!$H4),2))=0,"",IF(N(资金日记账!$H4)=0,"",ROUND(N(资金日记账!$H4),2))))</f>
        <v/>
      </c>
      <c r="P11" s="0" t="str">
        <f aca="false">IF($G11=0,"",IF(资金日记账!$L4=0,"",资金日记账!$L4))</f>
        <v/>
      </c>
      <c r="T11" s="0" t="str">
        <f aca="false">IF(资金日记账!$G11="","",资金日记账!$G11)</f>
        <v>代办费</v>
      </c>
      <c r="U11" s="0" t="n">
        <f aca="false">IF(T11="",0,IF(MATCH(T11,$T$4:$T$903,0)=ROW()-3,1,0))</f>
        <v>1</v>
      </c>
      <c r="V11" s="0" t="n">
        <f aca="false">N(V10)+U11</f>
        <v>6</v>
      </c>
      <c r="X11" s="0" t="str">
        <f aca="false">IFERROR(INDEX($T$4:$T$903,MATCH(8,$V$4:$V$903,0)),"")</f>
        <v>停车费</v>
      </c>
      <c r="Z11" s="0" t="str">
        <f aca="false">IF(成本费用登记表!$C11="","",成本费用登记表!$C11)</f>
        <v/>
      </c>
      <c r="AA11" s="0" t="n">
        <f aca="false">IF(Z11="",0,IF(MATCH(Z11,$Z$4:$Z$303,0)=ROW()-3,1,0))</f>
        <v>0</v>
      </c>
      <c r="AB11" s="0" t="n">
        <f aca="false">N(AB10)+AA11</f>
        <v>0</v>
      </c>
      <c r="AD11" s="0" t="str">
        <f aca="false">IFERROR(INDEX($Z$4:$Z$303,MATCH(8,$AB$4:$AB$303,0)),"")</f>
        <v/>
      </c>
      <c r="AF11" s="0" t="str">
        <f aca="false">IF(OR(资金日记账!$E11="",N(资金日记账!$H11)=0),"",资金日记账!$E11)</f>
        <v/>
      </c>
      <c r="AG11" s="0" t="n">
        <f aca="false">IF(AF11="",0,IF(MATCH(AF11,$AF$4:$AF$603,0)=ROW()-3,1,0))</f>
        <v>0</v>
      </c>
      <c r="AH11" s="0" t="n">
        <f aca="false">N(AH10)+AG11</f>
        <v>0</v>
      </c>
      <c r="AJ11" s="0" t="str">
        <f aca="false">IFERROR(INDEX($AF$4:$AF$603,MATCH(8,$AH$4:$AH$603,0)),"")</f>
        <v/>
      </c>
    </row>
    <row r="12" customFormat="false" ht="13.5" hidden="false" customHeight="false" outlineLevel="0" collapsed="false">
      <c r="A12" s="0" t="str">
        <f aca="false">IF(((进销存对接!$D12="客户应收")+(进销存对接!$D12="成品销售款")+(进销存对接!$D12="公司购买果品款")+(进销存对接!$D12="筐子销售款")+(进销存对接!$D12="物料销售款"))&gt;0,进销存对接!$C12,"")</f>
        <v>麦麦提</v>
      </c>
      <c r="B12" s="0" t="n">
        <f aca="false">IF(A12="",0,IF(MATCH(A12,$A$4:$A$1925,0)=ROW()-3,1,0))</f>
        <v>1</v>
      </c>
      <c r="C12" s="0" t="n">
        <f aca="false">N(C11)+B12</f>
        <v>2</v>
      </c>
      <c r="E12" s="0" t="str">
        <f aca="false">IFERROR(INDEX($A$4:$A$1925,MATCH(ROW()-3,$C$4:$C$1925,0)),"")</f>
        <v>贾建国</v>
      </c>
      <c r="G12" s="0" t="n">
        <f aca="false">IF(OR($G$1="",资金日记账!$E5="",资金日记账!$E5&lt;&gt;$G$1),0,IF(NOT(OR(N(资金日记账!$H5)&lt;&gt;0,N(资金日记账!$I5)&lt;&gt;0)),0,IF(资金日记账!$B5="",1,IF(OR(N(资金日记账!$B5)&lt;$H$1,N(资金日记账!$B5)&gt;$I$1),0,1))))</f>
        <v>0</v>
      </c>
      <c r="H12" s="0" t="n">
        <f aca="false">N(H11)+$G12</f>
        <v>3</v>
      </c>
      <c r="I12" s="0" t="str">
        <f aca="false">IF($G12=0,"",IF(资金日记账!$B5=0,"",资金日记账!$B5))</f>
        <v/>
      </c>
      <c r="J12" s="0" t="str">
        <f aca="false">IF($G12=0,"",IF(资金日记账!$D5=0,"",资金日记账!$D5))</f>
        <v/>
      </c>
      <c r="K12" s="0" t="str">
        <f aca="false">IF($G12=0,"",IF(""=0,"",""))</f>
        <v/>
      </c>
      <c r="L12" s="0" t="str">
        <f aca="false">IF($G12=0,"",IF(""=0,"",""))</f>
        <v/>
      </c>
      <c r="M12" s="0" t="str">
        <f aca="false">IF($G12=0,"",IF(""=0,"",""))</f>
        <v/>
      </c>
      <c r="N12" s="0" t="str">
        <f aca="false">IF($G12=0,"",IF(IF(N(资金日记账!$I5)=0,"",-ROUND(N(资金日记账!$I5),2))=0,"",IF(N(资金日记账!$I5)=0,"",-ROUND(N(资金日记账!$I5),2))))</f>
        <v/>
      </c>
      <c r="O12" s="0" t="str">
        <f aca="false">IF($G12=0,"",IF(IF(N(资金日记账!$H5)=0,"",ROUND(N(资金日记账!$H5),2))=0,"",IF(N(资金日记账!$H5)=0,"",ROUND(N(资金日记账!$H5),2))))</f>
        <v/>
      </c>
      <c r="P12" s="0" t="str">
        <f aca="false">IF($G12=0,"",IF(资金日记账!$L5=0,"",资金日记账!$L5))</f>
        <v/>
      </c>
      <c r="T12" s="0" t="str">
        <f aca="false">IF(资金日记账!$G12="","",资金日记账!$G12)</f>
        <v>送礼</v>
      </c>
      <c r="U12" s="0" t="n">
        <f aca="false">IF(T12="",0,IF(MATCH(T12,$T$4:$T$903,0)=ROW()-3,1,0))</f>
        <v>1</v>
      </c>
      <c r="V12" s="0" t="n">
        <f aca="false">N(V11)+U12</f>
        <v>7</v>
      </c>
      <c r="X12" s="0" t="str">
        <f aca="false">IFERROR(INDEX($T$4:$T$903,MATCH(9,$V$4:$V$903,0)),"")</f>
        <v>家用</v>
      </c>
      <c r="Z12" s="0" t="str">
        <f aca="false">IF(成本费用登记表!$C12="","",成本费用登记表!$C12)</f>
        <v/>
      </c>
      <c r="AA12" s="0" t="n">
        <f aca="false">IF(Z12="",0,IF(MATCH(Z12,$Z$4:$Z$303,0)=ROW()-3,1,0))</f>
        <v>0</v>
      </c>
      <c r="AB12" s="0" t="n">
        <f aca="false">N(AB11)+AA12</f>
        <v>0</v>
      </c>
      <c r="AD12" s="0" t="str">
        <f aca="false">IFERROR(INDEX($Z$4:$Z$303,MATCH(9,$AB$4:$AB$303,0)),"")</f>
        <v/>
      </c>
      <c r="AF12" s="0" t="str">
        <f aca="false">IF(OR(资金日记账!$E12="",N(资金日记账!$H12)=0),"",资金日记账!$E12)</f>
        <v/>
      </c>
      <c r="AG12" s="0" t="n">
        <f aca="false">IF(AF12="",0,IF(MATCH(AF12,$AF$4:$AF$603,0)=ROW()-3,1,0))</f>
        <v>0</v>
      </c>
      <c r="AH12" s="0" t="n">
        <f aca="false">N(AH11)+AG12</f>
        <v>0</v>
      </c>
      <c r="AJ12" s="0" t="str">
        <f aca="false">IFERROR(INDEX($AF$4:$AF$603,MATCH(9,$AH$4:$AH$603,0)),"")</f>
        <v/>
      </c>
    </row>
    <row r="13" customFormat="false" ht="13.5" hidden="false" customHeight="false" outlineLevel="0" collapsed="false">
      <c r="A13" s="0" t="str">
        <f aca="false">IF(((进销存对接!$D13="客户应收")+(进销存对接!$D13="成品销售款")+(进销存对接!$D13="公司购买果品款")+(进销存对接!$D13="筐子销售款")+(进销存对接!$D13="物料销售款"))&gt;0,进销存对接!$C13,"")</f>
        <v>热合曼</v>
      </c>
      <c r="B13" s="0" t="n">
        <f aca="false">IF(A13="",0,IF(MATCH(A13,$A$4:$A$1925,0)=ROW()-3,1,0))</f>
        <v>1</v>
      </c>
      <c r="C13" s="0" t="n">
        <f aca="false">N(C12)+B13</f>
        <v>3</v>
      </c>
      <c r="E13" s="0" t="str">
        <f aca="false">IFERROR(INDEX($A$4:$A$1925,MATCH(ROW()-3,$C$4:$C$1925,0)),"")</f>
        <v>聂新平</v>
      </c>
      <c r="G13" s="0" t="n">
        <f aca="false">IF(OR($G$1="",资金日记账!$E6="",资金日记账!$E6&lt;&gt;$G$1),0,IF(NOT(OR(N(资金日记账!$H6)&lt;&gt;0,N(资金日记账!$I6)&lt;&gt;0)),0,IF(资金日记账!$B6="",1,IF(OR(N(资金日记账!$B6)&lt;$H$1,N(资金日记账!$B6)&gt;$I$1),0,1))))</f>
        <v>0</v>
      </c>
      <c r="H13" s="0" t="n">
        <f aca="false">N(H12)+$G13</f>
        <v>3</v>
      </c>
      <c r="I13" s="0" t="str">
        <f aca="false">IF($G13=0,"",IF(资金日记账!$B6=0,"",资金日记账!$B6))</f>
        <v/>
      </c>
      <c r="J13" s="0" t="str">
        <f aca="false">IF($G13=0,"",IF(资金日记账!$D6=0,"",资金日记账!$D6))</f>
        <v/>
      </c>
      <c r="K13" s="0" t="str">
        <f aca="false">IF($G13=0,"",IF(""=0,"",""))</f>
        <v/>
      </c>
      <c r="L13" s="0" t="str">
        <f aca="false">IF($G13=0,"",IF(""=0,"",""))</f>
        <v/>
      </c>
      <c r="M13" s="0" t="str">
        <f aca="false">IF($G13=0,"",IF(""=0,"",""))</f>
        <v/>
      </c>
      <c r="N13" s="0" t="str">
        <f aca="false">IF($G13=0,"",IF(IF(N(资金日记账!$I6)=0,"",-ROUND(N(资金日记账!$I6),2))=0,"",IF(N(资金日记账!$I6)=0,"",-ROUND(N(资金日记账!$I6),2))))</f>
        <v/>
      </c>
      <c r="O13" s="0" t="str">
        <f aca="false">IF($G13=0,"",IF(IF(N(资金日记账!$H6)=0,"",ROUND(N(资金日记账!$H6),2))=0,"",IF(N(资金日记账!$H6)=0,"",ROUND(N(资金日记账!$H6),2))))</f>
        <v/>
      </c>
      <c r="P13" s="0" t="str">
        <f aca="false">IF($G13=0,"",IF(资金日记账!$L6=0,"",资金日记账!$L6))</f>
        <v/>
      </c>
      <c r="T13" s="0" t="str">
        <f aca="false">IF(资金日记账!$G13="","",资金日记账!$G13)</f>
        <v>停车费</v>
      </c>
      <c r="U13" s="0" t="n">
        <f aca="false">IF(T13="",0,IF(MATCH(T13,$T$4:$T$903,0)=ROW()-3,1,0))</f>
        <v>1</v>
      </c>
      <c r="V13" s="0" t="n">
        <f aca="false">N(V12)+U13</f>
        <v>8</v>
      </c>
      <c r="X13" s="0" t="str">
        <f aca="false">IFERROR(INDEX($T$4:$T$903,MATCH(10,$V$4:$V$903,0)),"")</f>
        <v>车充电</v>
      </c>
      <c r="Z13" s="0" t="str">
        <f aca="false">IF(成本费用登记表!$C13="","",成本费用登记表!$C13)</f>
        <v/>
      </c>
      <c r="AA13" s="0" t="n">
        <f aca="false">IF(Z13="",0,IF(MATCH(Z13,$Z$4:$Z$303,0)=ROW()-3,1,0))</f>
        <v>0</v>
      </c>
      <c r="AB13" s="0" t="n">
        <f aca="false">N(AB12)+AA13</f>
        <v>0</v>
      </c>
      <c r="AD13" s="0" t="str">
        <f aca="false">IFERROR(INDEX($Z$4:$Z$303,MATCH(10,$AB$4:$AB$303,0)),"")</f>
        <v/>
      </c>
      <c r="AF13" s="0" t="str">
        <f aca="false">IF(OR(资金日记账!$E13="",N(资金日记账!$H13)=0),"",资金日记账!$E13)</f>
        <v/>
      </c>
      <c r="AG13" s="0" t="n">
        <f aca="false">IF(AF13="",0,IF(MATCH(AF13,$AF$4:$AF$603,0)=ROW()-3,1,0))</f>
        <v>0</v>
      </c>
      <c r="AH13" s="0" t="n">
        <f aca="false">N(AH12)+AG13</f>
        <v>0</v>
      </c>
      <c r="AJ13" s="0" t="str">
        <f aca="false">IFERROR(INDEX($AF$4:$AF$603,MATCH(10,$AH$4:$AH$603,0)),"")</f>
        <v/>
      </c>
    </row>
    <row r="14" customFormat="false" ht="13.5" hidden="false" customHeight="false" outlineLevel="0" collapsed="false">
      <c r="A14" s="0" t="str">
        <f aca="false">IF(((进销存对接!$D14="客户应收")+(进销存对接!$D14="成品销售款")+(进销存对接!$D14="公司购买果品款")+(进销存对接!$D14="筐子销售款")+(进销存对接!$D14="物料销售款"))&gt;0,进销存对接!$C14,"")</f>
        <v>王灵云</v>
      </c>
      <c r="B14" s="0" t="n">
        <f aca="false">IF(A14="",0,IF(MATCH(A14,$A$4:$A$1925,0)=ROW()-3,1,0))</f>
        <v>1</v>
      </c>
      <c r="C14" s="0" t="n">
        <f aca="false">N(C13)+B14</f>
        <v>4</v>
      </c>
      <c r="E14" s="0" t="str">
        <f aca="false">IFERROR(INDEX($A$4:$A$1925,MATCH(ROW()-3,$C$4:$C$1925,0)),"")</f>
        <v>荆建君</v>
      </c>
      <c r="G14" s="0" t="n">
        <f aca="false">IF(OR($G$1="",资金日记账!$E7="",资金日记账!$E7&lt;&gt;$G$1),0,IF(NOT(OR(N(资金日记账!$H7)&lt;&gt;0,N(资金日记账!$I7)&lt;&gt;0)),0,IF(资金日记账!$B7="",1,IF(OR(N(资金日记账!$B7)&lt;$H$1,N(资金日记账!$B7)&gt;$I$1),0,1))))</f>
        <v>0</v>
      </c>
      <c r="H14" s="0" t="n">
        <f aca="false">N(H13)+$G14</f>
        <v>3</v>
      </c>
      <c r="I14" s="0" t="str">
        <f aca="false">IF($G14=0,"",IF(资金日记账!$B7=0,"",资金日记账!$B7))</f>
        <v/>
      </c>
      <c r="J14" s="0" t="str">
        <f aca="false">IF($G14=0,"",IF(资金日记账!$D7=0,"",资金日记账!$D7))</f>
        <v/>
      </c>
      <c r="K14" s="0" t="str">
        <f aca="false">IF($G14=0,"",IF(""=0,"",""))</f>
        <v/>
      </c>
      <c r="L14" s="0" t="str">
        <f aca="false">IF($G14=0,"",IF(""=0,"",""))</f>
        <v/>
      </c>
      <c r="M14" s="0" t="str">
        <f aca="false">IF($G14=0,"",IF(""=0,"",""))</f>
        <v/>
      </c>
      <c r="N14" s="0" t="str">
        <f aca="false">IF($G14=0,"",IF(IF(N(资金日记账!$I7)=0,"",-ROUND(N(资金日记账!$I7),2))=0,"",IF(N(资金日记账!$I7)=0,"",-ROUND(N(资金日记账!$I7),2))))</f>
        <v/>
      </c>
      <c r="O14" s="0" t="str">
        <f aca="false">IF($G14=0,"",IF(IF(N(资金日记账!$H7)=0,"",ROUND(N(资金日记账!$H7),2))=0,"",IF(N(资金日记账!$H7)=0,"",ROUND(N(资金日记账!$H7),2))))</f>
        <v/>
      </c>
      <c r="P14" s="0" t="str">
        <f aca="false">IF($G14=0,"",IF(资金日记账!$L7=0,"",资金日记账!$L7))</f>
        <v/>
      </c>
      <c r="T14" s="0" t="str">
        <f aca="false">IF(资金日记账!$G14="","",资金日记账!$G14)</f>
        <v>家用</v>
      </c>
      <c r="U14" s="0" t="n">
        <f aca="false">IF(T14="",0,IF(MATCH(T14,$T$4:$T$903,0)=ROW()-3,1,0))</f>
        <v>1</v>
      </c>
      <c r="V14" s="0" t="n">
        <f aca="false">N(V13)+U14</f>
        <v>9</v>
      </c>
      <c r="X14" s="0" t="str">
        <f aca="false">IFERROR(INDEX($T$4:$T$903,MATCH(11,$V$4:$V$903,0)),"")</f>
        <v>个人消费</v>
      </c>
      <c r="Z14" s="0" t="str">
        <f aca="false">IF(成本费用登记表!$C14="","",成本费用登记表!$C14)</f>
        <v/>
      </c>
      <c r="AA14" s="0" t="n">
        <f aca="false">IF(Z14="",0,IF(MATCH(Z14,$Z$4:$Z$303,0)=ROW()-3,1,0))</f>
        <v>0</v>
      </c>
      <c r="AB14" s="0" t="n">
        <f aca="false">N(AB13)+AA14</f>
        <v>0</v>
      </c>
      <c r="AD14" s="0" t="str">
        <f aca="false">IFERROR(INDEX($Z$4:$Z$303,MATCH(11,$AB$4:$AB$303,0)),"")</f>
        <v/>
      </c>
      <c r="AF14" s="0" t="str">
        <f aca="false">IF(OR(资金日记账!$E14="",N(资金日记账!$H14)=0),"",资金日记账!$E14)</f>
        <v/>
      </c>
      <c r="AG14" s="0" t="n">
        <f aca="false">IF(AF14="",0,IF(MATCH(AF14,$AF$4:$AF$603,0)=ROW()-3,1,0))</f>
        <v>0</v>
      </c>
      <c r="AH14" s="0" t="n">
        <f aca="false">N(AH13)+AG14</f>
        <v>0</v>
      </c>
      <c r="AJ14" s="0" t="str">
        <f aca="false">IFERROR(INDEX($AF$4:$AF$603,MATCH(11,$AH$4:$AH$603,0)),"")</f>
        <v/>
      </c>
    </row>
    <row r="15" customFormat="false" ht="13.5" hidden="false" customHeight="false" outlineLevel="0" collapsed="false">
      <c r="A15" s="0" t="str">
        <f aca="false">IF(((进销存对接!$D15="客户应收")+(进销存对接!$D15="成品销售款")+(进销存对接!$D15="公司购买果品款")+(进销存对接!$D15="筐子销售款")+(进销存对接!$D15="物料销售款"))&gt;0,进销存对接!$C15,"")</f>
        <v/>
      </c>
      <c r="B15" s="0" t="n">
        <f aca="false">IF(A15="",0,IF(MATCH(A15,$A$4:$A$1925,0)=ROW()-3,1,0))</f>
        <v>0</v>
      </c>
      <c r="C15" s="0" t="n">
        <f aca="false">N(C14)+B15</f>
        <v>4</v>
      </c>
      <c r="E15" s="0" t="str">
        <f aca="false">IFERROR(INDEX($A$4:$A$1925,MATCH(ROW()-3,$C$4:$C$1925,0)),"")</f>
        <v>马锦祥</v>
      </c>
      <c r="G15" s="0" t="n">
        <f aca="false">IF(OR($G$1="",资金日记账!$E8="",资金日记账!$E8&lt;&gt;$G$1),0,IF(NOT(OR(N(资金日记账!$H8)&lt;&gt;0,N(资金日记账!$I8)&lt;&gt;0)),0,IF(资金日记账!$B8="",1,IF(OR(N(资金日记账!$B8)&lt;$H$1,N(资金日记账!$B8)&gt;$I$1),0,1))))</f>
        <v>0</v>
      </c>
      <c r="H15" s="0" t="n">
        <f aca="false">N(H14)+$G15</f>
        <v>3</v>
      </c>
      <c r="I15" s="0" t="str">
        <f aca="false">IF($G15=0,"",IF(资金日记账!$B8=0,"",资金日记账!$B8))</f>
        <v/>
      </c>
      <c r="J15" s="0" t="str">
        <f aca="false">IF($G15=0,"",IF(资金日记账!$D8=0,"",资金日记账!$D8))</f>
        <v/>
      </c>
      <c r="K15" s="0" t="str">
        <f aca="false">IF($G15=0,"",IF(""=0,"",""))</f>
        <v/>
      </c>
      <c r="L15" s="0" t="str">
        <f aca="false">IF($G15=0,"",IF(""=0,"",""))</f>
        <v/>
      </c>
      <c r="M15" s="0" t="str">
        <f aca="false">IF($G15=0,"",IF(""=0,"",""))</f>
        <v/>
      </c>
      <c r="N15" s="0" t="str">
        <f aca="false">IF($G15=0,"",IF(IF(N(资金日记账!$I8)=0,"",-ROUND(N(资金日记账!$I8),2))=0,"",IF(N(资金日记账!$I8)=0,"",-ROUND(N(资金日记账!$I8),2))))</f>
        <v/>
      </c>
      <c r="O15" s="0" t="str">
        <f aca="false">IF($G15=0,"",IF(IF(N(资金日记账!$H8)=0,"",ROUND(N(资金日记账!$H8),2))=0,"",IF(N(资金日记账!$H8)=0,"",ROUND(N(资金日记账!$H8),2))))</f>
        <v/>
      </c>
      <c r="P15" s="0" t="str">
        <f aca="false">IF($G15=0,"",IF(资金日记账!$L8=0,"",资金日记账!$L8))</f>
        <v/>
      </c>
      <c r="T15" s="0" t="str">
        <f aca="false">IF(资金日记账!$G15="","",资金日记账!$G15)</f>
        <v>车充电</v>
      </c>
      <c r="U15" s="0" t="n">
        <f aca="false">IF(T15="",0,IF(MATCH(T15,$T$4:$T$903,0)=ROW()-3,1,0))</f>
        <v>1</v>
      </c>
      <c r="V15" s="0" t="n">
        <f aca="false">N(V14)+U15</f>
        <v>10</v>
      </c>
      <c r="X15" s="0" t="str">
        <f aca="false">IFERROR(INDEX($T$4:$T$903,MATCH(12,$V$4:$V$903,0)),"")</f>
        <v>儿子消费</v>
      </c>
      <c r="Z15" s="0" t="str">
        <f aca="false">IF(成本费用登记表!$C15="","",成本费用登记表!$C15)</f>
        <v/>
      </c>
      <c r="AA15" s="0" t="n">
        <f aca="false">IF(Z15="",0,IF(MATCH(Z15,$Z$4:$Z$303,0)=ROW()-3,1,0))</f>
        <v>0</v>
      </c>
      <c r="AB15" s="0" t="n">
        <f aca="false">N(AB14)+AA15</f>
        <v>0</v>
      </c>
      <c r="AD15" s="0" t="str">
        <f aca="false">IFERROR(INDEX($Z$4:$Z$303,MATCH(12,$AB$4:$AB$303,0)),"")</f>
        <v/>
      </c>
      <c r="AF15" s="0" t="str">
        <f aca="false">IF(OR(资金日记账!$E15="",N(资金日记账!$H15)=0),"",资金日记账!$E15)</f>
        <v/>
      </c>
      <c r="AG15" s="0" t="n">
        <f aca="false">IF(AF15="",0,IF(MATCH(AF15,$AF$4:$AF$603,0)=ROW()-3,1,0))</f>
        <v>0</v>
      </c>
      <c r="AH15" s="0" t="n">
        <f aca="false">N(AH14)+AG15</f>
        <v>0</v>
      </c>
      <c r="AJ15" s="0" t="str">
        <f aca="false">IFERROR(INDEX($AF$4:$AF$603,MATCH(12,$AH$4:$AH$603,0)),"")</f>
        <v/>
      </c>
    </row>
    <row r="16" customFormat="false" ht="13.5" hidden="false" customHeight="false" outlineLevel="0" collapsed="false">
      <c r="A16" s="0" t="str">
        <f aca="false">IF(((进销存对接!$D16="客户应收")+(进销存对接!$D16="成品销售款")+(进销存对接!$D16="公司购买果品款")+(进销存对接!$D16="筐子销售款")+(进销存对接!$D16="物料销售款"))&gt;0,进销存对接!$C16,"")</f>
        <v/>
      </c>
      <c r="B16" s="0" t="n">
        <f aca="false">IF(A16="",0,IF(MATCH(A16,$A$4:$A$1925,0)=ROW()-3,1,0))</f>
        <v>0</v>
      </c>
      <c r="C16" s="0" t="n">
        <f aca="false">N(C15)+B16</f>
        <v>4</v>
      </c>
      <c r="E16" s="0" t="str">
        <f aca="false">IFERROR(INDEX($A$4:$A$1925,MATCH(ROW()-3,$C$4:$C$1925,0)),"")</f>
        <v>吐尔洪</v>
      </c>
      <c r="G16" s="0" t="n">
        <f aca="false">IF(OR($G$1="",资金日记账!$E9="",资金日记账!$E9&lt;&gt;$G$1),0,IF(NOT(OR(N(资金日记账!$H9)&lt;&gt;0,N(资金日记账!$I9)&lt;&gt;0)),0,IF(资金日记账!$B9="",1,IF(OR(N(资金日记账!$B9)&lt;$H$1,N(资金日记账!$B9)&gt;$I$1),0,1))))</f>
        <v>0</v>
      </c>
      <c r="H16" s="0" t="n">
        <f aca="false">N(H15)+$G16</f>
        <v>3</v>
      </c>
      <c r="I16" s="0" t="str">
        <f aca="false">IF($G16=0,"",IF(资金日记账!$B9=0,"",资金日记账!$B9))</f>
        <v/>
      </c>
      <c r="J16" s="0" t="str">
        <f aca="false">IF($G16=0,"",IF(资金日记账!$D9=0,"",资金日记账!$D9))</f>
        <v/>
      </c>
      <c r="K16" s="0" t="str">
        <f aca="false">IF($G16=0,"",IF(""=0,"",""))</f>
        <v/>
      </c>
      <c r="L16" s="0" t="str">
        <f aca="false">IF($G16=0,"",IF(""=0,"",""))</f>
        <v/>
      </c>
      <c r="M16" s="0" t="str">
        <f aca="false">IF($G16=0,"",IF(""=0,"",""))</f>
        <v/>
      </c>
      <c r="N16" s="0" t="str">
        <f aca="false">IF($G16=0,"",IF(IF(N(资金日记账!$I9)=0,"",-ROUND(N(资金日记账!$I9),2))=0,"",IF(N(资金日记账!$I9)=0,"",-ROUND(N(资金日记账!$I9),2))))</f>
        <v/>
      </c>
      <c r="O16" s="0" t="str">
        <f aca="false">IF($G16=0,"",IF(IF(N(资金日记账!$H9)=0,"",ROUND(N(资金日记账!$H9),2))=0,"",IF(N(资金日记账!$H9)=0,"",ROUND(N(资金日记账!$H9),2))))</f>
        <v/>
      </c>
      <c r="P16" s="0" t="str">
        <f aca="false">IF($G16=0,"",IF(资金日记账!$L9=0,"",资金日记账!$L9))</f>
        <v/>
      </c>
      <c r="T16" s="0" t="str">
        <f aca="false">IF(资金日记账!$G16="","",资金日记账!$G16)</f>
        <v>个人消费</v>
      </c>
      <c r="U16" s="0" t="n">
        <f aca="false">IF(T16="",0,IF(MATCH(T16,$T$4:$T$903,0)=ROW()-3,1,0))</f>
        <v>1</v>
      </c>
      <c r="V16" s="0" t="n">
        <f aca="false">N(V15)+U16</f>
        <v>11</v>
      </c>
      <c r="X16" s="0" t="str">
        <f aca="false">IFERROR(INDEX($T$4:$T$903,MATCH(13,$V$4:$V$903,0)),"")</f>
        <v>吃饭</v>
      </c>
      <c r="Z16" s="0" t="str">
        <f aca="false">IF(成本费用登记表!$C16="","",成本费用登记表!$C16)</f>
        <v/>
      </c>
      <c r="AA16" s="0" t="n">
        <f aca="false">IF(Z16="",0,IF(MATCH(Z16,$Z$4:$Z$303,0)=ROW()-3,1,0))</f>
        <v>0</v>
      </c>
      <c r="AB16" s="0" t="n">
        <f aca="false">N(AB15)+AA16</f>
        <v>0</v>
      </c>
      <c r="AD16" s="0" t="str">
        <f aca="false">IFERROR(INDEX($Z$4:$Z$303,MATCH(13,$AB$4:$AB$303,0)),"")</f>
        <v/>
      </c>
      <c r="AF16" s="0" t="str">
        <f aca="false">IF(OR(资金日记账!$E16="",N(资金日记账!$H16)=0),"",资金日记账!$E16)</f>
        <v/>
      </c>
      <c r="AG16" s="0" t="n">
        <f aca="false">IF(AF16="",0,IF(MATCH(AF16,$AF$4:$AF$603,0)=ROW()-3,1,0))</f>
        <v>0</v>
      </c>
      <c r="AH16" s="0" t="n">
        <f aca="false">N(AH15)+AG16</f>
        <v>0</v>
      </c>
      <c r="AJ16" s="0" t="str">
        <f aca="false">IFERROR(INDEX($AF$4:$AF$603,MATCH(13,$AH$4:$AH$603,0)),"")</f>
        <v/>
      </c>
    </row>
    <row r="17" customFormat="false" ht="13.5" hidden="false" customHeight="false" outlineLevel="0" collapsed="false">
      <c r="A17" s="0" t="str">
        <f aca="false">IF(((进销存对接!$D17="客户应收")+(进销存对接!$D17="成品销售款")+(进销存对接!$D17="公司购买果品款")+(进销存对接!$D17="筐子销售款")+(进销存对接!$D17="物料销售款"))&gt;0,进销存对接!$C17,"")</f>
        <v/>
      </c>
      <c r="B17" s="0" t="n">
        <f aca="false">IF(A17="",0,IF(MATCH(A17,$A$4:$A$1925,0)=ROW()-3,1,0))</f>
        <v>0</v>
      </c>
      <c r="C17" s="0" t="n">
        <f aca="false">N(C16)+B17</f>
        <v>4</v>
      </c>
      <c r="E17" s="0" t="str">
        <f aca="false">IFERROR(INDEX($A$4:$A$1925,MATCH(ROW()-3,$C$4:$C$1925,0)),"")</f>
        <v>杨艳玲</v>
      </c>
      <c r="G17" s="0" t="n">
        <f aca="false">IF(OR($G$1="",资金日记账!$E10="",资金日记账!$E10&lt;&gt;$G$1),0,IF(NOT(OR(N(资金日记账!$H10)&lt;&gt;0,N(资金日记账!$I10)&lt;&gt;0)),0,IF(资金日记账!$B10="",1,IF(OR(N(资金日记账!$B10)&lt;$H$1,N(资金日记账!$B10)&gt;$I$1),0,1))))</f>
        <v>0</v>
      </c>
      <c r="H17" s="0" t="n">
        <f aca="false">N(H16)+$G17</f>
        <v>3</v>
      </c>
      <c r="I17" s="0" t="str">
        <f aca="false">IF($G17=0,"",IF(资金日记账!$B10=0,"",资金日记账!$B10))</f>
        <v/>
      </c>
      <c r="J17" s="0" t="str">
        <f aca="false">IF($G17=0,"",IF(资金日记账!$D10=0,"",资金日记账!$D10))</f>
        <v/>
      </c>
      <c r="K17" s="0" t="str">
        <f aca="false">IF($G17=0,"",IF(""=0,"",""))</f>
        <v/>
      </c>
      <c r="L17" s="0" t="str">
        <f aca="false">IF($G17=0,"",IF(""=0,"",""))</f>
        <v/>
      </c>
      <c r="M17" s="0" t="str">
        <f aca="false">IF($G17=0,"",IF(""=0,"",""))</f>
        <v/>
      </c>
      <c r="N17" s="0" t="str">
        <f aca="false">IF($G17=0,"",IF(IF(N(资金日记账!$I10)=0,"",-ROUND(N(资金日记账!$I10),2))=0,"",IF(N(资金日记账!$I10)=0,"",-ROUND(N(资金日记账!$I10),2))))</f>
        <v/>
      </c>
      <c r="O17" s="0" t="str">
        <f aca="false">IF($G17=0,"",IF(IF(N(资金日记账!$H10)=0,"",ROUND(N(资金日记账!$H10),2))=0,"",IF(N(资金日记账!$H10)=0,"",ROUND(N(资金日记账!$H10),2))))</f>
        <v/>
      </c>
      <c r="P17" s="0" t="str">
        <f aca="false">IF($G17=0,"",IF(资金日记账!$L10=0,"",资金日记账!$L10))</f>
        <v/>
      </c>
      <c r="T17" s="0" t="str">
        <f aca="false">IF(资金日记账!$G17="","",资金日记账!$G17)</f>
        <v>儿子消费</v>
      </c>
      <c r="U17" s="0" t="n">
        <f aca="false">IF(T17="",0,IF(MATCH(T17,$T$4:$T$903,0)=ROW()-3,1,0))</f>
        <v>1</v>
      </c>
      <c r="V17" s="0" t="n">
        <f aca="false">N(V16)+U17</f>
        <v>12</v>
      </c>
      <c r="X17" s="0" t="str">
        <f aca="false">IFERROR(INDEX($T$4:$T$903,MATCH(14,$V$4:$V$903,0)),"")</f>
        <v>商店</v>
      </c>
      <c r="Z17" s="0" t="str">
        <f aca="false">IF(成本费用登记表!$C17="","",成本费用登记表!$C17)</f>
        <v/>
      </c>
      <c r="AA17" s="0" t="n">
        <f aca="false">IF(Z17="",0,IF(MATCH(Z17,$Z$4:$Z$303,0)=ROW()-3,1,0))</f>
        <v>0</v>
      </c>
      <c r="AB17" s="0" t="n">
        <f aca="false">N(AB16)+AA17</f>
        <v>0</v>
      </c>
      <c r="AD17" s="0" t="str">
        <f aca="false">IFERROR(INDEX($Z$4:$Z$303,MATCH(14,$AB$4:$AB$303,0)),"")</f>
        <v/>
      </c>
      <c r="AF17" s="0" t="str">
        <f aca="false">IF(OR(资金日记账!$E17="",N(资金日记账!$H17)=0),"",资金日记账!$E17)</f>
        <v/>
      </c>
      <c r="AG17" s="0" t="n">
        <f aca="false">IF(AF17="",0,IF(MATCH(AF17,$AF$4:$AF$603,0)=ROW()-3,1,0))</f>
        <v>0</v>
      </c>
      <c r="AH17" s="0" t="n">
        <f aca="false">N(AH16)+AG17</f>
        <v>0</v>
      </c>
      <c r="AJ17" s="0" t="str">
        <f aca="false">IFERROR(INDEX($AF$4:$AF$603,MATCH(14,$AH$4:$AH$603,0)),"")</f>
        <v/>
      </c>
    </row>
    <row r="18" customFormat="false" ht="13.5" hidden="false" customHeight="false" outlineLevel="0" collapsed="false">
      <c r="A18" s="0" t="str">
        <f aca="false">IF(((进销存对接!$D18="客户应收")+(进销存对接!$D18="成品销售款")+(进销存对接!$D18="公司购买果品款")+(进销存对接!$D18="筐子销售款")+(进销存对接!$D18="物料销售款"))&gt;0,进销存对接!$C18,"")</f>
        <v>全修塑业</v>
      </c>
      <c r="B18" s="0" t="n">
        <f aca="false">IF(A18="",0,IF(MATCH(A18,$A$4:$A$1925,0)=ROW()-3,1,0))</f>
        <v>1</v>
      </c>
      <c r="C18" s="0" t="n">
        <f aca="false">N(C17)+B18</f>
        <v>5</v>
      </c>
      <c r="E18" s="0" t="str">
        <f aca="false">IFERROR(INDEX($A$4:$A$1925,MATCH(ROW()-3,$C$4:$C$1925,0)),"")</f>
        <v>努尔敦</v>
      </c>
      <c r="G18" s="0" t="n">
        <f aca="false">IF(OR($G$1="",资金日记账!$E11="",资金日记账!$E11&lt;&gt;$G$1),0,IF(NOT(OR(N(资金日记账!$H11)&lt;&gt;0,N(资金日记账!$I11)&lt;&gt;0)),0,IF(资金日记账!$B11="",1,IF(OR(N(资金日记账!$B11)&lt;$H$1,N(资金日记账!$B11)&gt;$I$1),0,1))))</f>
        <v>0</v>
      </c>
      <c r="H18" s="0" t="n">
        <f aca="false">N(H17)+$G18</f>
        <v>3</v>
      </c>
      <c r="I18" s="0" t="str">
        <f aca="false">IF($G18=0,"",IF(资金日记账!$B11=0,"",资金日记账!$B11))</f>
        <v/>
      </c>
      <c r="J18" s="0" t="str">
        <f aca="false">IF($G18=0,"",IF(资金日记账!$D11=0,"",资金日记账!$D11))</f>
        <v/>
      </c>
      <c r="K18" s="0" t="str">
        <f aca="false">IF($G18=0,"",IF(""=0,"",""))</f>
        <v/>
      </c>
      <c r="L18" s="0" t="str">
        <f aca="false">IF($G18=0,"",IF(""=0,"",""))</f>
        <v/>
      </c>
      <c r="M18" s="0" t="str">
        <f aca="false">IF($G18=0,"",IF(""=0,"",""))</f>
        <v/>
      </c>
      <c r="N18" s="0" t="str">
        <f aca="false">IF($G18=0,"",IF(IF(N(资金日记账!$I11)=0,"",-ROUND(N(资金日记账!$I11),2))=0,"",IF(N(资金日记账!$I11)=0,"",-ROUND(N(资金日记账!$I11),2))))</f>
        <v/>
      </c>
      <c r="O18" s="0" t="str">
        <f aca="false">IF($G18=0,"",IF(IF(N(资金日记账!$H11)=0,"",ROUND(N(资金日记账!$H11),2))=0,"",IF(N(资金日记账!$H11)=0,"",ROUND(N(资金日记账!$H11),2))))</f>
        <v/>
      </c>
      <c r="P18" s="0" t="str">
        <f aca="false">IF($G18=0,"",IF(资金日记账!$L11=0,"",资金日记账!$L11))</f>
        <v/>
      </c>
      <c r="T18" s="0" t="str">
        <f aca="false">IF(资金日记账!$G18="","",资金日记账!$G18)</f>
        <v>吃饭</v>
      </c>
      <c r="U18" s="0" t="n">
        <f aca="false">IF(T18="",0,IF(MATCH(T18,$T$4:$T$903,0)=ROW()-3,1,0))</f>
        <v>1</v>
      </c>
      <c r="V18" s="0" t="n">
        <f aca="false">N(V17)+U18</f>
        <v>13</v>
      </c>
      <c r="X18" s="0" t="str">
        <f aca="false">IFERROR(INDEX($T$4:$T$903,MATCH(15,$V$4:$V$903,0)),"")</f>
        <v>包装物料款</v>
      </c>
      <c r="Z18" s="0" t="str">
        <f aca="false">IF(成本费用登记表!$C18="","",成本费用登记表!$C18)</f>
        <v/>
      </c>
      <c r="AA18" s="0" t="n">
        <f aca="false">IF(Z18="",0,IF(MATCH(Z18,$Z$4:$Z$303,0)=ROW()-3,1,0))</f>
        <v>0</v>
      </c>
      <c r="AB18" s="0" t="n">
        <f aca="false">N(AB17)+AA18</f>
        <v>0</v>
      </c>
      <c r="AD18" s="0" t="str">
        <f aca="false">IFERROR(INDEX($Z$4:$Z$303,MATCH(15,$AB$4:$AB$303,0)),"")</f>
        <v/>
      </c>
      <c r="AF18" s="0" t="str">
        <f aca="false">IF(OR(资金日记账!$E18="",N(资金日记账!$H18)=0),"",资金日记账!$E18)</f>
        <v/>
      </c>
      <c r="AG18" s="0" t="n">
        <f aca="false">IF(AF18="",0,IF(MATCH(AF18,$AF$4:$AF$603,0)=ROW()-3,1,0))</f>
        <v>0</v>
      </c>
      <c r="AH18" s="0" t="n">
        <f aca="false">N(AH17)+AG18</f>
        <v>0</v>
      </c>
      <c r="AJ18" s="0" t="str">
        <f aca="false">IFERROR(INDEX($AF$4:$AF$603,MATCH(15,$AH$4:$AH$603,0)),"")</f>
        <v/>
      </c>
    </row>
    <row r="19" customFormat="false" ht="13.5" hidden="false" customHeight="false" outlineLevel="0" collapsed="false">
      <c r="A19" s="0" t="str">
        <f aca="false">IF(((进销存对接!$D19="客户应收")+(进销存对接!$D19="成品销售款")+(进销存对接!$D19="公司购买果品款")+(进销存对接!$D19="筐子销售款")+(进销存对接!$D19="物料销售款"))&gt;0,进销存对接!$C19,"")</f>
        <v>新顺发泡网</v>
      </c>
      <c r="B19" s="0" t="n">
        <f aca="false">IF(A19="",0,IF(MATCH(A19,$A$4:$A$1925,0)=ROW()-3,1,0))</f>
        <v>1</v>
      </c>
      <c r="C19" s="0" t="n">
        <f aca="false">N(C18)+B19</f>
        <v>6</v>
      </c>
      <c r="E19" s="0" t="str">
        <f aca="false">IFERROR(INDEX($A$4:$A$1925,MATCH(ROW()-3,$C$4:$C$1925,0)),"")</f>
        <v>王浩</v>
      </c>
      <c r="G19" s="0" t="n">
        <f aca="false">IF(OR($G$1="",资金日记账!$E12="",资金日记账!$E12&lt;&gt;$G$1),0,IF(NOT(OR(N(资金日记账!$H12)&lt;&gt;0,N(资金日记账!$I12)&lt;&gt;0)),0,IF(资金日记账!$B12="",1,IF(OR(N(资金日记账!$B12)&lt;$H$1,N(资金日记账!$B12)&gt;$I$1),0,1))))</f>
        <v>0</v>
      </c>
      <c r="H19" s="0" t="n">
        <f aca="false">N(H18)+$G19</f>
        <v>3</v>
      </c>
      <c r="I19" s="0" t="str">
        <f aca="false">IF($G19=0,"",IF(资金日记账!$B12=0,"",资金日记账!$B12))</f>
        <v/>
      </c>
      <c r="J19" s="0" t="str">
        <f aca="false">IF($G19=0,"",IF(资金日记账!$D12=0,"",资金日记账!$D12))</f>
        <v/>
      </c>
      <c r="K19" s="0" t="str">
        <f aca="false">IF($G19=0,"",IF(""=0,"",""))</f>
        <v/>
      </c>
      <c r="L19" s="0" t="str">
        <f aca="false">IF($G19=0,"",IF(""=0,"",""))</f>
        <v/>
      </c>
      <c r="M19" s="0" t="str">
        <f aca="false">IF($G19=0,"",IF(""=0,"",""))</f>
        <v/>
      </c>
      <c r="N19" s="0" t="str">
        <f aca="false">IF($G19=0,"",IF(IF(N(资金日记账!$I12)=0,"",-ROUND(N(资金日记账!$I12),2))=0,"",IF(N(资金日记账!$I12)=0,"",-ROUND(N(资金日记账!$I12),2))))</f>
        <v/>
      </c>
      <c r="O19" s="0" t="str">
        <f aca="false">IF($G19=0,"",IF(IF(N(资金日记账!$H12)=0,"",ROUND(N(资金日记账!$H12),2))=0,"",IF(N(资金日记账!$H12)=0,"",ROUND(N(资金日记账!$H12),2))))</f>
        <v/>
      </c>
      <c r="P19" s="0" t="str">
        <f aca="false">IF($G19=0,"",IF(资金日记账!$L12=0,"",资金日记账!$L12))</f>
        <v/>
      </c>
      <c r="T19" s="0" t="str">
        <f aca="false">IF(资金日记账!$G19="","",资金日记账!$G19)</f>
        <v>商店</v>
      </c>
      <c r="U19" s="0" t="n">
        <f aca="false">IF(T19="",0,IF(MATCH(T19,$T$4:$T$903,0)=ROW()-3,1,0))</f>
        <v>1</v>
      </c>
      <c r="V19" s="0" t="n">
        <f aca="false">N(V18)+U19</f>
        <v>14</v>
      </c>
      <c r="X19" s="0" t="str">
        <f aca="false">IFERROR(INDEX($T$4:$T$903,MATCH(16,$V$4:$V$903,0)),"")</f>
        <v>快递费</v>
      </c>
      <c r="Z19" s="0" t="str">
        <f aca="false">IF(成本费用登记表!$C19="","",成本费用登记表!$C19)</f>
        <v/>
      </c>
      <c r="AA19" s="0" t="n">
        <f aca="false">IF(Z19="",0,IF(MATCH(Z19,$Z$4:$Z$303,0)=ROW()-3,1,0))</f>
        <v>0</v>
      </c>
      <c r="AB19" s="0" t="n">
        <f aca="false">N(AB18)+AA19</f>
        <v>0</v>
      </c>
      <c r="AD19" s="0" t="str">
        <f aca="false">IFERROR(INDEX($Z$4:$Z$303,MATCH(16,$AB$4:$AB$303,0)),"")</f>
        <v/>
      </c>
      <c r="AF19" s="0" t="str">
        <f aca="false">IF(OR(资金日记账!$E19="",N(资金日记账!$H19)=0),"",资金日记账!$E19)</f>
        <v/>
      </c>
      <c r="AG19" s="0" t="n">
        <f aca="false">IF(AF19="",0,IF(MATCH(AF19,$AF$4:$AF$603,0)=ROW()-3,1,0))</f>
        <v>0</v>
      </c>
      <c r="AH19" s="0" t="n">
        <f aca="false">N(AH18)+AG19</f>
        <v>0</v>
      </c>
      <c r="AJ19" s="0" t="str">
        <f aca="false">IFERROR(INDEX($AF$4:$AF$603,MATCH(16,$AH$4:$AH$603,0)),"")</f>
        <v/>
      </c>
    </row>
    <row r="20" customFormat="false" ht="14.9" hidden="false" customHeight="false" outlineLevel="0" collapsed="false">
      <c r="A20" s="0" t="str">
        <f aca="false">IF(((进销存对接!$D20="客户应收")+(进销存对接!$D20="成品销售款")+(进销存对接!$D20="公司购买果品款")+(进销存对接!$D20="筐子销售款")+(进销存对接!$D20="物料销售款"))&gt;0,进销存对接!$C20,"")</f>
        <v/>
      </c>
      <c r="B20" s="0" t="n">
        <f aca="false">IF(A20="",0,IF(MATCH(A20,$A$4:$A$1925,0)=ROW()-3,1,0))</f>
        <v>0</v>
      </c>
      <c r="C20" s="0" t="n">
        <f aca="false">N(C19)+B20</f>
        <v>6</v>
      </c>
      <c r="E20" s="0" t="str">
        <f aca="false">IFERROR(INDEX($A$4:$A$1925,MATCH(ROW()-3,$C$4:$C$1925,0)),"")</f>
        <v>热合曼+艾则孜</v>
      </c>
      <c r="G20" s="0" t="n">
        <f aca="false">IF(OR($G$1="",资金日记账!$E13="",资金日记账!$E13&lt;&gt;$G$1),0,IF(NOT(OR(N(资金日记账!$H13)&lt;&gt;0,N(资金日记账!$I13)&lt;&gt;0)),0,IF(资金日记账!$B13="",1,IF(OR(N(资金日记账!$B13)&lt;$H$1,N(资金日记账!$B13)&gt;$I$1),0,1))))</f>
        <v>0</v>
      </c>
      <c r="H20" s="0" t="n">
        <f aca="false">N(H19)+$G20</f>
        <v>3</v>
      </c>
      <c r="I20" s="0" t="str">
        <f aca="false">IF($G20=0,"",IF(资金日记账!$B13=0,"",资金日记账!$B13))</f>
        <v/>
      </c>
      <c r="J20" s="0" t="str">
        <f aca="false">IF($G20=0,"",IF(资金日记账!$D13=0,"",资金日记账!$D13))</f>
        <v/>
      </c>
      <c r="K20" s="0" t="str">
        <f aca="false">IF($G20=0,"",IF(""=0,"",""))</f>
        <v/>
      </c>
      <c r="L20" s="0" t="str">
        <f aca="false">IF($G20=0,"",IF(""=0,"",""))</f>
        <v/>
      </c>
      <c r="M20" s="0" t="str">
        <f aca="false">IF($G20=0,"",IF(""=0,"",""))</f>
        <v/>
      </c>
      <c r="N20" s="0" t="str">
        <f aca="false">IF($G20=0,"",IF(IF(N(资金日记账!$I13)=0,"",-ROUND(N(资金日记账!$I13),2))=0,"",IF(N(资金日记账!$I13)=0,"",-ROUND(N(资金日记账!$I13),2))))</f>
        <v/>
      </c>
      <c r="O20" s="0" t="str">
        <f aca="false">IF($G20=0,"",IF(IF(N(资金日记账!$H13)=0,"",ROUND(N(资金日记账!$H13),2))=0,"",IF(N(资金日记账!$H13)=0,"",ROUND(N(资金日记账!$H13),2))))</f>
        <v/>
      </c>
      <c r="P20" s="0" t="str">
        <f aca="false">IF($G20=0,"",IF(资金日记账!$L13=0,"",资金日记账!$L13))</f>
        <v/>
      </c>
      <c r="T20" s="0" t="str">
        <f aca="false">IF(资金日记账!$G20="","",资金日记账!$G20)</f>
        <v>商店</v>
      </c>
      <c r="U20" s="0" t="n">
        <f aca="false">IF(T20="",0,IF(MATCH(T20,$T$4:$T$903,0)=ROW()-3,1,0))</f>
        <v>0</v>
      </c>
      <c r="V20" s="0" t="n">
        <f aca="false">N(V19)+U20</f>
        <v>14</v>
      </c>
      <c r="X20" s="0" t="str">
        <f aca="false">IFERROR(INDEX($T$4:$T$903,MATCH(17,$V$4:$V$903,0)),"")</f>
        <v>还款</v>
      </c>
      <c r="Z20" s="0" t="str">
        <f aca="false">IF(成本费用登记表!$C20="","",成本费用登记表!$C20)</f>
        <v/>
      </c>
      <c r="AA20" s="0" t="n">
        <f aca="false">IF(Z20="",0,IF(MATCH(Z20,$Z$4:$Z$303,0)=ROW()-3,1,0))</f>
        <v>0</v>
      </c>
      <c r="AB20" s="0" t="n">
        <f aca="false">N(AB19)+AA20</f>
        <v>0</v>
      </c>
      <c r="AD20" s="0" t="str">
        <f aca="false">IFERROR(INDEX($Z$4:$Z$303,MATCH(17,$AB$4:$AB$303,0)),"")</f>
        <v/>
      </c>
      <c r="AF20" s="0" t="str">
        <f aca="false">IF(OR(资金日记账!$E20="",N(资金日记账!$H20)=0),"",资金日记账!$E20)</f>
        <v/>
      </c>
      <c r="AG20" s="0" t="n">
        <f aca="false">IF(AF20="",0,IF(MATCH(AF20,$AF$4:$AF$603,0)=ROW()-3,1,0))</f>
        <v>0</v>
      </c>
      <c r="AH20" s="0" t="n">
        <f aca="false">N(AH19)+AG20</f>
        <v>0</v>
      </c>
      <c r="AJ20" s="0" t="str">
        <f aca="false">IFERROR(INDEX($AF$4:$AF$603,MATCH(17,$AH$4:$AH$603,0)),"")</f>
        <v/>
      </c>
    </row>
    <row r="21" customFormat="false" ht="13.5" hidden="false" customHeight="false" outlineLevel="0" collapsed="false">
      <c r="A21" s="0" t="str">
        <f aca="false">IF(((进销存对接!$D21="客户应收")+(进销存对接!$D21="成品销售款")+(进销存对接!$D21="公司购买果品款")+(进销存对接!$D21="筐子销售款")+(进销存对接!$D21="物料销售款"))&gt;0,进销存对接!$C21,"")</f>
        <v/>
      </c>
      <c r="B21" s="0" t="n">
        <f aca="false">IF(A21="",0,IF(MATCH(A21,$A$4:$A$1925,0)=ROW()-3,1,0))</f>
        <v>0</v>
      </c>
      <c r="C21" s="0" t="n">
        <f aca="false">N(C20)+B21</f>
        <v>6</v>
      </c>
      <c r="E21" s="0" t="str">
        <f aca="false">IFERROR(INDEX($A$4:$A$1925,MATCH(ROW()-3,$C$4:$C$1925,0)),"")</f>
        <v>李现东</v>
      </c>
      <c r="G21" s="0" t="n">
        <f aca="false">IF(OR($G$1="",资金日记账!$E14="",资金日记账!$E14&lt;&gt;$G$1),0,IF(NOT(OR(N(资金日记账!$H14)&lt;&gt;0,N(资金日记账!$I14)&lt;&gt;0)),0,IF(资金日记账!$B14="",1,IF(OR(N(资金日记账!$B14)&lt;$H$1,N(资金日记账!$B14)&gt;$I$1),0,1))))</f>
        <v>0</v>
      </c>
      <c r="H21" s="0" t="n">
        <f aca="false">N(H20)+$G21</f>
        <v>3</v>
      </c>
      <c r="I21" s="0" t="str">
        <f aca="false">IF($G21=0,"",IF(资金日记账!$B14=0,"",资金日记账!$B14))</f>
        <v/>
      </c>
      <c r="J21" s="0" t="str">
        <f aca="false">IF($G21=0,"",IF(资金日记账!$D14=0,"",资金日记账!$D14))</f>
        <v/>
      </c>
      <c r="K21" s="0" t="str">
        <f aca="false">IF($G21=0,"",IF(""=0,"",""))</f>
        <v/>
      </c>
      <c r="L21" s="0" t="str">
        <f aca="false">IF($G21=0,"",IF(""=0,"",""))</f>
        <v/>
      </c>
      <c r="M21" s="0" t="str">
        <f aca="false">IF($G21=0,"",IF(""=0,"",""))</f>
        <v/>
      </c>
      <c r="N21" s="0" t="str">
        <f aca="false">IF($G21=0,"",IF(IF(N(资金日记账!$I14)=0,"",-ROUND(N(资金日记账!$I14),2))=0,"",IF(N(资金日记账!$I14)=0,"",-ROUND(N(资金日记账!$I14),2))))</f>
        <v/>
      </c>
      <c r="O21" s="0" t="str">
        <f aca="false">IF($G21=0,"",IF(IF(N(资金日记账!$H14)=0,"",ROUND(N(资金日记账!$H14),2))=0,"",IF(N(资金日记账!$H14)=0,"",ROUND(N(资金日记账!$H14),2))))</f>
        <v/>
      </c>
      <c r="P21" s="0" t="str">
        <f aca="false">IF($G21=0,"",IF(资金日记账!$L14=0,"",资金日记账!$L14))</f>
        <v/>
      </c>
      <c r="T21" s="0" t="str">
        <f aca="false">IF(资金日记账!$G21="","",资金日记账!$G21)</f>
        <v/>
      </c>
      <c r="U21" s="0" t="n">
        <f aca="false">IF(T21="",0,IF(MATCH(T21,$T$4:$T$903,0)=ROW()-3,1,0))</f>
        <v>0</v>
      </c>
      <c r="V21" s="0" t="n">
        <f aca="false">N(V20)+U21</f>
        <v>14</v>
      </c>
      <c r="X21" s="0" t="str">
        <f aca="false">IFERROR(INDEX($T$4:$T$903,MATCH(18,$V$4:$V$903,0)),"")</f>
        <v>还信用卡</v>
      </c>
      <c r="Z21" s="0" t="str">
        <f aca="false">IF(成本费用登记表!$C21="","",成本费用登记表!$C21)</f>
        <v/>
      </c>
      <c r="AA21" s="0" t="n">
        <f aca="false">IF(Z21="",0,IF(MATCH(Z21,$Z$4:$Z$303,0)=ROW()-3,1,0))</f>
        <v>0</v>
      </c>
      <c r="AB21" s="0" t="n">
        <f aca="false">N(AB20)+AA21</f>
        <v>0</v>
      </c>
      <c r="AD21" s="0" t="str">
        <f aca="false">IFERROR(INDEX($Z$4:$Z$303,MATCH(18,$AB$4:$AB$303,0)),"")</f>
        <v/>
      </c>
      <c r="AF21" s="0" t="str">
        <f aca="false">IF(OR(资金日记账!$E21="",N(资金日记账!$H21)=0),"",资金日记账!$E21)</f>
        <v/>
      </c>
      <c r="AG21" s="0" t="n">
        <f aca="false">IF(AF21="",0,IF(MATCH(AF21,$AF$4:$AF$603,0)=ROW()-3,1,0))</f>
        <v>0</v>
      </c>
      <c r="AH21" s="0" t="n">
        <f aca="false">N(AH20)+AG21</f>
        <v>0</v>
      </c>
      <c r="AJ21" s="0" t="str">
        <f aca="false">IFERROR(INDEX($AF$4:$AF$603,MATCH(18,$AH$4:$AH$603,0)),"")</f>
        <v/>
      </c>
    </row>
    <row r="22" customFormat="false" ht="13.5" hidden="false" customHeight="false" outlineLevel="0" collapsed="false">
      <c r="A22" s="0" t="str">
        <f aca="false">IF(((进销存对接!$D22="客户应收")+(进销存对接!$D22="成品销售款")+(进销存对接!$D22="公司购买果品款")+(进销存对接!$D22="筐子销售款")+(进销存对接!$D22="物料销售款"))&gt;0,进销存对接!$C22,"")</f>
        <v/>
      </c>
      <c r="B22" s="0" t="n">
        <f aca="false">IF(A22="",0,IF(MATCH(A22,$A$4:$A$1925,0)=ROW()-3,1,0))</f>
        <v>0</v>
      </c>
      <c r="C22" s="0" t="n">
        <f aca="false">N(C21)+B22</f>
        <v>6</v>
      </c>
      <c r="E22" s="0" t="str">
        <f aca="false">IFERROR(INDEX($A$4:$A$1925,MATCH(ROW()-3,$C$4:$C$1925,0)),"")</f>
        <v>阿布都</v>
      </c>
      <c r="G22" s="0" t="n">
        <f aca="false">IF(OR($G$1="",资金日记账!$E15="",资金日记账!$E15&lt;&gt;$G$1),0,IF(NOT(OR(N(资金日记账!$H15)&lt;&gt;0,N(资金日记账!$I15)&lt;&gt;0)),0,IF(资金日记账!$B15="",1,IF(OR(N(资金日记账!$B15)&lt;$H$1,N(资金日记账!$B15)&gt;$I$1),0,1))))</f>
        <v>0</v>
      </c>
      <c r="H22" s="0" t="n">
        <f aca="false">N(H21)+$G22</f>
        <v>3</v>
      </c>
      <c r="I22" s="0" t="str">
        <f aca="false">IF($G22=0,"",IF(资金日记账!$B15=0,"",资金日记账!$B15))</f>
        <v/>
      </c>
      <c r="J22" s="0" t="str">
        <f aca="false">IF($G22=0,"",IF(资金日记账!$D15=0,"",资金日记账!$D15))</f>
        <v/>
      </c>
      <c r="K22" s="0" t="str">
        <f aca="false">IF($G22=0,"",IF(""=0,"",""))</f>
        <v/>
      </c>
      <c r="L22" s="0" t="str">
        <f aca="false">IF($G22=0,"",IF(""=0,"",""))</f>
        <v/>
      </c>
      <c r="M22" s="0" t="str">
        <f aca="false">IF($G22=0,"",IF(""=0,"",""))</f>
        <v/>
      </c>
      <c r="N22" s="0" t="str">
        <f aca="false">IF($G22=0,"",IF(IF(N(资金日记账!$I15)=0,"",-ROUND(N(资金日记账!$I15),2))=0,"",IF(N(资金日记账!$I15)=0,"",-ROUND(N(资金日记账!$I15),2))))</f>
        <v/>
      </c>
      <c r="O22" s="0" t="str">
        <f aca="false">IF($G22=0,"",IF(IF(N(资金日记账!$H15)=0,"",ROUND(N(资金日记账!$H15),2))=0,"",IF(N(资金日记账!$H15)=0,"",ROUND(N(资金日记账!$H15),2))))</f>
        <v/>
      </c>
      <c r="P22" s="0" t="str">
        <f aca="false">IF($G22=0,"",IF(资金日记账!$L15=0,"",资金日记账!$L15))</f>
        <v/>
      </c>
      <c r="T22" s="0" t="str">
        <f aca="false">IF(资金日记账!$G22="","",资金日记账!$G22)</f>
        <v>包装物料款</v>
      </c>
      <c r="U22" s="0" t="n">
        <f aca="false">IF(T22="",0,IF(MATCH(T22,$T$4:$T$903,0)=ROW()-3,1,0))</f>
        <v>1</v>
      </c>
      <c r="V22" s="0" t="n">
        <f aca="false">N(V21)+U22</f>
        <v>15</v>
      </c>
      <c r="X22" s="0" t="str">
        <f aca="false">IFERROR(INDEX($T$4:$T$903,MATCH(19,$V$4:$V$903,0)),"")</f>
        <v>滴滴打车</v>
      </c>
      <c r="Z22" s="0" t="str">
        <f aca="false">IF(成本费用登记表!$C22="","",成本费用登记表!$C22)</f>
        <v/>
      </c>
      <c r="AA22" s="0" t="n">
        <f aca="false">IF(Z22="",0,IF(MATCH(Z22,$Z$4:$Z$303,0)=ROW()-3,1,0))</f>
        <v>0</v>
      </c>
      <c r="AB22" s="0" t="n">
        <f aca="false">N(AB21)+AA22</f>
        <v>0</v>
      </c>
      <c r="AD22" s="0" t="str">
        <f aca="false">IFERROR(INDEX($Z$4:$Z$303,MATCH(19,$AB$4:$AB$303,0)),"")</f>
        <v/>
      </c>
      <c r="AF22" s="0" t="str">
        <f aca="false">IF(OR(资金日记账!$E22="",N(资金日记账!$H22)=0),"",资金日记账!$E22)</f>
        <v/>
      </c>
      <c r="AG22" s="0" t="n">
        <f aca="false">IF(AF22="",0,IF(MATCH(AF22,$AF$4:$AF$603,0)=ROW()-3,1,0))</f>
        <v>0</v>
      </c>
      <c r="AH22" s="0" t="n">
        <f aca="false">N(AH21)+AG22</f>
        <v>0</v>
      </c>
      <c r="AJ22" s="0" t="str">
        <f aca="false">IFERROR(INDEX($AF$4:$AF$603,MATCH(19,$AH$4:$AH$603,0)),"")</f>
        <v/>
      </c>
    </row>
    <row r="23" customFormat="false" ht="13.5" hidden="false" customHeight="false" outlineLevel="0" collapsed="false">
      <c r="A23" s="0" t="str">
        <f aca="false">IF(((进销存对接!$D23="客户应收")+(进销存对接!$D23="成品销售款")+(进销存对接!$D23="公司购买果品款")+(进销存对接!$D23="筐子销售款")+(进销存对接!$D23="物料销售款"))&gt;0,进销存对接!$C23,"")</f>
        <v/>
      </c>
      <c r="B23" s="0" t="n">
        <f aca="false">IF(A23="",0,IF(MATCH(A23,$A$4:$A$1925,0)=ROW()-3,1,0))</f>
        <v>0</v>
      </c>
      <c r="C23" s="0" t="n">
        <f aca="false">N(C22)+B23</f>
        <v>6</v>
      </c>
      <c r="E23" s="0" t="str">
        <f aca="false">IFERROR(INDEX($A$4:$A$1925,MATCH(ROW()-3,$C$4:$C$1925,0)),"")</f>
        <v>艾则孜</v>
      </c>
      <c r="G23" s="0" t="n">
        <f aca="false">IF(OR($G$1="",资金日记账!$E16="",资金日记账!$E16&lt;&gt;$G$1),0,IF(NOT(OR(N(资金日记账!$H16)&lt;&gt;0,N(资金日记账!$I16)&lt;&gt;0)),0,IF(资金日记账!$B16="",1,IF(OR(N(资金日记账!$B16)&lt;$H$1,N(资金日记账!$B16)&gt;$I$1),0,1))))</f>
        <v>0</v>
      </c>
      <c r="H23" s="0" t="n">
        <f aca="false">N(H22)+$G23</f>
        <v>3</v>
      </c>
      <c r="I23" s="0" t="str">
        <f aca="false">IF($G23=0,"",IF(资金日记账!$B16=0,"",资金日记账!$B16))</f>
        <v/>
      </c>
      <c r="J23" s="0" t="str">
        <f aca="false">IF($G23=0,"",IF(资金日记账!$D16=0,"",资金日记账!$D16))</f>
        <v/>
      </c>
      <c r="K23" s="0" t="str">
        <f aca="false">IF($G23=0,"",IF(""=0,"",""))</f>
        <v/>
      </c>
      <c r="L23" s="0" t="str">
        <f aca="false">IF($G23=0,"",IF(""=0,"",""))</f>
        <v/>
      </c>
      <c r="M23" s="0" t="str">
        <f aca="false">IF($G23=0,"",IF(""=0,"",""))</f>
        <v/>
      </c>
      <c r="N23" s="0" t="str">
        <f aca="false">IF($G23=0,"",IF(IF(N(资金日记账!$I16)=0,"",-ROUND(N(资金日记账!$I16),2))=0,"",IF(N(资金日记账!$I16)=0,"",-ROUND(N(资金日记账!$I16),2))))</f>
        <v/>
      </c>
      <c r="O23" s="0" t="str">
        <f aca="false">IF($G23=0,"",IF(IF(N(资金日记账!$H16)=0,"",ROUND(N(资金日记账!$H16),2))=0,"",IF(N(资金日记账!$H16)=0,"",ROUND(N(资金日记账!$H16),2))))</f>
        <v/>
      </c>
      <c r="P23" s="0" t="str">
        <f aca="false">IF($G23=0,"",IF(资金日记账!$L16=0,"",资金日记账!$L16))</f>
        <v/>
      </c>
      <c r="T23" s="0" t="str">
        <f aca="false">IF(资金日记账!$G23="","",资金日记账!$G23)</f>
        <v>包装物料款</v>
      </c>
      <c r="U23" s="0" t="n">
        <f aca="false">IF(T23="",0,IF(MATCH(T23,$T$4:$T$903,0)=ROW()-3,1,0))</f>
        <v>0</v>
      </c>
      <c r="V23" s="0" t="n">
        <f aca="false">N(V22)+U23</f>
        <v>15</v>
      </c>
      <c r="X23" s="0" t="str">
        <f aca="false">IFERROR(INDEX($T$4:$T$903,MATCH(20,$V$4:$V$903,0)),"")</f>
        <v>蛋糕</v>
      </c>
      <c r="Z23" s="0" t="str">
        <f aca="false">IF(成本费用登记表!$C23="","",成本费用登记表!$C23)</f>
        <v/>
      </c>
      <c r="AA23" s="0" t="n">
        <f aca="false">IF(Z23="",0,IF(MATCH(Z23,$Z$4:$Z$303,0)=ROW()-3,1,0))</f>
        <v>0</v>
      </c>
      <c r="AB23" s="0" t="n">
        <f aca="false">N(AB22)+AA23</f>
        <v>0</v>
      </c>
      <c r="AD23" s="0" t="str">
        <f aca="false">IFERROR(INDEX($Z$4:$Z$303,MATCH(20,$AB$4:$AB$303,0)),"")</f>
        <v/>
      </c>
      <c r="AF23" s="0" t="str">
        <f aca="false">IF(OR(资金日记账!$E23="",N(资金日记账!$H23)=0),"",资金日记账!$E23)</f>
        <v/>
      </c>
      <c r="AG23" s="0" t="n">
        <f aca="false">IF(AF23="",0,IF(MATCH(AF23,$AF$4:$AF$603,0)=ROW()-3,1,0))</f>
        <v>0</v>
      </c>
      <c r="AH23" s="0" t="n">
        <f aca="false">N(AH22)+AG23</f>
        <v>0</v>
      </c>
      <c r="AJ23" s="0" t="str">
        <f aca="false">IFERROR(INDEX($AF$4:$AF$603,MATCH(20,$AH$4:$AH$603,0)),"")</f>
        <v/>
      </c>
    </row>
    <row r="24" customFormat="false" ht="13.5" hidden="false" customHeight="false" outlineLevel="0" collapsed="false">
      <c r="A24" s="0" t="str">
        <f aca="false">IF(((进销存对接!$D24="客户应收")+(进销存对接!$D24="成品销售款")+(进销存对接!$D24="公司购买果品款")+(进销存对接!$D24="筐子销售款")+(进销存对接!$D24="物料销售款"))&gt;0,进销存对接!$C24,"")</f>
        <v/>
      </c>
      <c r="B24" s="0" t="n">
        <f aca="false">IF(A24="",0,IF(MATCH(A24,$A$4:$A$1925,0)=ROW()-3,1,0))</f>
        <v>0</v>
      </c>
      <c r="C24" s="0" t="n">
        <f aca="false">N(C23)+B24</f>
        <v>6</v>
      </c>
      <c r="E24" s="0" t="str">
        <f aca="false">IFERROR(INDEX($A$4:$A$1925,MATCH(ROW()-3,$C$4:$C$1925,0)),"")</f>
        <v/>
      </c>
      <c r="G24" s="0" t="n">
        <f aca="false">IF(OR($G$1="",资金日记账!$E17="",资金日记账!$E17&lt;&gt;$G$1),0,IF(NOT(OR(N(资金日记账!$H17)&lt;&gt;0,N(资金日记账!$I17)&lt;&gt;0)),0,IF(资金日记账!$B17="",1,IF(OR(N(资金日记账!$B17)&lt;$H$1,N(资金日记账!$B17)&gt;$I$1),0,1))))</f>
        <v>0</v>
      </c>
      <c r="H24" s="0" t="n">
        <f aca="false">N(H23)+$G24</f>
        <v>3</v>
      </c>
      <c r="I24" s="0" t="str">
        <f aca="false">IF($G24=0,"",IF(资金日记账!$B17=0,"",资金日记账!$B17))</f>
        <v/>
      </c>
      <c r="J24" s="0" t="str">
        <f aca="false">IF($G24=0,"",IF(资金日记账!$D17=0,"",资金日记账!$D17))</f>
        <v/>
      </c>
      <c r="K24" s="0" t="str">
        <f aca="false">IF($G24=0,"",IF(""=0,"",""))</f>
        <v/>
      </c>
      <c r="L24" s="0" t="str">
        <f aca="false">IF($G24=0,"",IF(""=0,"",""))</f>
        <v/>
      </c>
      <c r="M24" s="0" t="str">
        <f aca="false">IF($G24=0,"",IF(""=0,"",""))</f>
        <v/>
      </c>
      <c r="N24" s="0" t="str">
        <f aca="false">IF($G24=0,"",IF(IF(N(资金日记账!$I17)=0,"",-ROUND(N(资金日记账!$I17),2))=0,"",IF(N(资金日记账!$I17)=0,"",-ROUND(N(资金日记账!$I17),2))))</f>
        <v/>
      </c>
      <c r="O24" s="0" t="str">
        <f aca="false">IF($G24=0,"",IF(IF(N(资金日记账!$H17)=0,"",ROUND(N(资金日记账!$H17),2))=0,"",IF(N(资金日记账!$H17)=0,"",ROUND(N(资金日记账!$H17),2))))</f>
        <v/>
      </c>
      <c r="P24" s="0" t="str">
        <f aca="false">IF($G24=0,"",IF(资金日记账!$L17=0,"",资金日记账!$L17))</f>
        <v/>
      </c>
      <c r="T24" s="0" t="str">
        <f aca="false">IF(资金日记账!$G24="","",资金日记账!$G24)</f>
        <v>快递费</v>
      </c>
      <c r="U24" s="0" t="n">
        <f aca="false">IF(T24="",0,IF(MATCH(T24,$T$4:$T$903,0)=ROW()-3,1,0))</f>
        <v>1</v>
      </c>
      <c r="V24" s="0" t="n">
        <f aca="false">N(V23)+U24</f>
        <v>16</v>
      </c>
      <c r="X24" s="0" t="str">
        <f aca="false">IFERROR(INDEX($T$4:$T$903,MATCH(21,$V$4:$V$903,0)),"")</f>
        <v>装卸费</v>
      </c>
      <c r="Z24" s="0" t="str">
        <f aca="false">IF(成本费用登记表!$C24="","",成本费用登记表!$C24)</f>
        <v/>
      </c>
      <c r="AA24" s="0" t="n">
        <f aca="false">IF(Z24="",0,IF(MATCH(Z24,$Z$4:$Z$303,0)=ROW()-3,1,0))</f>
        <v>0</v>
      </c>
      <c r="AB24" s="0" t="n">
        <f aca="false">N(AB23)+AA24</f>
        <v>0</v>
      </c>
      <c r="AD24" s="0" t="str">
        <f aca="false">IFERROR(INDEX($Z$4:$Z$303,MATCH(21,$AB$4:$AB$303,0)),"")</f>
        <v/>
      </c>
      <c r="AF24" s="0" t="str">
        <f aca="false">IF(OR(资金日记账!$E24="",N(资金日记账!$H24)=0),"",资金日记账!$E24)</f>
        <v/>
      </c>
      <c r="AG24" s="0" t="n">
        <f aca="false">IF(AF24="",0,IF(MATCH(AF24,$AF$4:$AF$603,0)=ROW()-3,1,0))</f>
        <v>0</v>
      </c>
      <c r="AH24" s="0" t="n">
        <f aca="false">N(AH23)+AG24</f>
        <v>0</v>
      </c>
      <c r="AJ24" s="0" t="str">
        <f aca="false">IFERROR(INDEX($AF$4:$AF$603,MATCH(21,$AH$4:$AH$603,0)),"")</f>
        <v/>
      </c>
    </row>
    <row r="25" customFormat="false" ht="13.5" hidden="false" customHeight="false" outlineLevel="0" collapsed="false">
      <c r="A25" s="0" t="str">
        <f aca="false">IF(((进销存对接!$D25="客户应收")+(进销存对接!$D25="成品销售款")+(进销存对接!$D25="公司购买果品款")+(进销存对接!$D25="筐子销售款")+(进销存对接!$D25="物料销售款"))&gt;0,进销存对接!$C25,"")</f>
        <v/>
      </c>
      <c r="B25" s="0" t="n">
        <f aca="false">IF(A25="",0,IF(MATCH(A25,$A$4:$A$1925,0)=ROW()-3,1,0))</f>
        <v>0</v>
      </c>
      <c r="C25" s="0" t="n">
        <f aca="false">N(C24)+B25</f>
        <v>6</v>
      </c>
      <c r="E25" s="0" t="str">
        <f aca="false">IFERROR(INDEX($A$4:$A$1925,MATCH(ROW()-3,$C$4:$C$1925,0)),"")</f>
        <v/>
      </c>
      <c r="G25" s="0" t="n">
        <f aca="false">IF(OR($G$1="",资金日记账!$E18="",资金日记账!$E18&lt;&gt;$G$1),0,IF(NOT(OR(N(资金日记账!$H18)&lt;&gt;0,N(资金日记账!$I18)&lt;&gt;0)),0,IF(资金日记账!$B18="",1,IF(OR(N(资金日记账!$B18)&lt;$H$1,N(资金日记账!$B18)&gt;$I$1),0,1))))</f>
        <v>0</v>
      </c>
      <c r="H25" s="0" t="n">
        <f aca="false">N(H24)+$G25</f>
        <v>3</v>
      </c>
      <c r="I25" s="0" t="str">
        <f aca="false">IF($G25=0,"",IF(资金日记账!$B18=0,"",资金日记账!$B18))</f>
        <v/>
      </c>
      <c r="J25" s="0" t="str">
        <f aca="false">IF($G25=0,"",IF(资金日记账!$D18=0,"",资金日记账!$D18))</f>
        <v/>
      </c>
      <c r="K25" s="0" t="str">
        <f aca="false">IF($G25=0,"",IF(""=0,"",""))</f>
        <v/>
      </c>
      <c r="L25" s="0" t="str">
        <f aca="false">IF($G25=0,"",IF(""=0,"",""))</f>
        <v/>
      </c>
      <c r="M25" s="0" t="str">
        <f aca="false">IF($G25=0,"",IF(""=0,"",""))</f>
        <v/>
      </c>
      <c r="N25" s="0" t="str">
        <f aca="false">IF($G25=0,"",IF(IF(N(资金日记账!$I18)=0,"",-ROUND(N(资金日记账!$I18),2))=0,"",IF(N(资金日记账!$I18)=0,"",-ROUND(N(资金日记账!$I18),2))))</f>
        <v/>
      </c>
      <c r="O25" s="0" t="str">
        <f aca="false">IF($G25=0,"",IF(IF(N(资金日记账!$H18)=0,"",ROUND(N(资金日记账!$H18),2))=0,"",IF(N(资金日记账!$H18)=0,"",ROUND(N(资金日记账!$H18),2))))</f>
        <v/>
      </c>
      <c r="P25" s="0" t="str">
        <f aca="false">IF($G25=0,"",IF(资金日记账!$L18=0,"",资金日记账!$L18))</f>
        <v/>
      </c>
      <c r="T25" s="0" t="str">
        <f aca="false">IF(资金日记账!$G25="","",资金日记账!$G25)</f>
        <v>财务</v>
      </c>
      <c r="U25" s="0" t="n">
        <f aca="false">IF(T25="",0,IF(MATCH(T25,$T$4:$T$903,0)=ROW()-3,1,0))</f>
        <v>0</v>
      </c>
      <c r="V25" s="0" t="n">
        <f aca="false">N(V24)+U25</f>
        <v>16</v>
      </c>
      <c r="X25" s="0" t="str">
        <f aca="false">IFERROR(INDEX($T$4:$T$903,MATCH(22,$V$4:$V$903,0)),"")</f>
        <v>办公设备用品</v>
      </c>
      <c r="Z25" s="0" t="str">
        <f aca="false">IF(成本费用登记表!$C25="","",成本费用登记表!$C25)</f>
        <v/>
      </c>
      <c r="AA25" s="0" t="n">
        <f aca="false">IF(Z25="",0,IF(MATCH(Z25,$Z$4:$Z$303,0)=ROW()-3,1,0))</f>
        <v>0</v>
      </c>
      <c r="AB25" s="0" t="n">
        <f aca="false">N(AB24)+AA25</f>
        <v>0</v>
      </c>
      <c r="AD25" s="0" t="str">
        <f aca="false">IFERROR(INDEX($Z$4:$Z$303,MATCH(22,$AB$4:$AB$303,0)),"")</f>
        <v/>
      </c>
      <c r="AF25" s="0" t="str">
        <f aca="false">IF(OR(资金日记账!$E25="",N(资金日记账!$H25)=0),"",资金日记账!$E25)</f>
        <v/>
      </c>
      <c r="AG25" s="0" t="n">
        <f aca="false">IF(AF25="",0,IF(MATCH(AF25,$AF$4:$AF$603,0)=ROW()-3,1,0))</f>
        <v>0</v>
      </c>
      <c r="AH25" s="0" t="n">
        <f aca="false">N(AH24)+AG25</f>
        <v>0</v>
      </c>
      <c r="AJ25" s="0" t="str">
        <f aca="false">IFERROR(INDEX($AF$4:$AF$603,MATCH(22,$AH$4:$AH$603,0)),"")</f>
        <v/>
      </c>
    </row>
    <row r="26" customFormat="false" ht="13.5" hidden="false" customHeight="false" outlineLevel="0" collapsed="false">
      <c r="A26" s="0" t="str">
        <f aca="false">IF(((进销存对接!$D26="客户应收")+(进销存对接!$D26="成品销售款")+(进销存对接!$D26="公司购买果品款")+(进销存对接!$D26="筐子销售款")+(进销存对接!$D26="物料销售款"))&gt;0,进销存对接!$C26,"")</f>
        <v/>
      </c>
      <c r="B26" s="0" t="n">
        <f aca="false">IF(A26="",0,IF(MATCH(A26,$A$4:$A$1925,0)=ROW()-3,1,0))</f>
        <v>0</v>
      </c>
      <c r="C26" s="0" t="n">
        <f aca="false">N(C25)+B26</f>
        <v>6</v>
      </c>
      <c r="E26" s="0" t="str">
        <f aca="false">IFERROR(INDEX($A$4:$A$1925,MATCH(ROW()-3,$C$4:$C$1925,0)),"")</f>
        <v/>
      </c>
      <c r="G26" s="0" t="n">
        <f aca="false">IF(OR($G$1="",资金日记账!$E19="",资金日记账!$E19&lt;&gt;$G$1),0,IF(NOT(OR(N(资金日记账!$H19)&lt;&gt;0,N(资金日记账!$I19)&lt;&gt;0)),0,IF(资金日记账!$B19="",1,IF(OR(N(资金日记账!$B19)&lt;$H$1,N(资金日记账!$B19)&gt;$I$1),0,1))))</f>
        <v>0</v>
      </c>
      <c r="H26" s="0" t="n">
        <f aca="false">N(H25)+$G26</f>
        <v>3</v>
      </c>
      <c r="I26" s="0" t="str">
        <f aca="false">IF($G26=0,"",IF(资金日记账!$B19=0,"",资金日记账!$B19))</f>
        <v/>
      </c>
      <c r="J26" s="0" t="str">
        <f aca="false">IF($G26=0,"",IF(资金日记账!$D19=0,"",资金日记账!$D19))</f>
        <v/>
      </c>
      <c r="K26" s="0" t="str">
        <f aca="false">IF($G26=0,"",IF(""=0,"",""))</f>
        <v/>
      </c>
      <c r="L26" s="0" t="str">
        <f aca="false">IF($G26=0,"",IF(""=0,"",""))</f>
        <v/>
      </c>
      <c r="M26" s="0" t="str">
        <f aca="false">IF($G26=0,"",IF(""=0,"",""))</f>
        <v/>
      </c>
      <c r="N26" s="0" t="str">
        <f aca="false">IF($G26=0,"",IF(IF(N(资金日记账!$I19)=0,"",-ROUND(N(资金日记账!$I19),2))=0,"",IF(N(资金日记账!$I19)=0,"",-ROUND(N(资金日记账!$I19),2))))</f>
        <v/>
      </c>
      <c r="O26" s="0" t="str">
        <f aca="false">IF($G26=0,"",IF(IF(N(资金日记账!$H19)=0,"",ROUND(N(资金日记账!$H19),2))=0,"",IF(N(资金日记账!$H19)=0,"",ROUND(N(资金日记账!$H19),2))))</f>
        <v/>
      </c>
      <c r="P26" s="0" t="str">
        <f aca="false">IF($G26=0,"",IF(资金日记账!$L19=0,"",资金日记账!$L19))</f>
        <v/>
      </c>
      <c r="T26" s="0" t="str">
        <f aca="false">IF(资金日记账!$G26="","",资金日记账!$G26)</f>
        <v>转入微信</v>
      </c>
      <c r="U26" s="0" t="n">
        <f aca="false">IF(T26="",0,IF(MATCH(T26,$T$4:$T$903,0)=ROW()-3,1,0))</f>
        <v>0</v>
      </c>
      <c r="V26" s="0" t="n">
        <f aca="false">N(V25)+U26</f>
        <v>16</v>
      </c>
      <c r="X26" s="0" t="str">
        <f aca="false">IFERROR(INDEX($T$4:$T$903,MATCH(23,$V$4:$V$903,0)),"")</f>
        <v>打印及广告</v>
      </c>
      <c r="Z26" s="0" t="str">
        <f aca="false">IF(成本费用登记表!$C26="","",成本费用登记表!$C26)</f>
        <v/>
      </c>
      <c r="AA26" s="0" t="n">
        <f aca="false">IF(Z26="",0,IF(MATCH(Z26,$Z$4:$Z$303,0)=ROW()-3,1,0))</f>
        <v>0</v>
      </c>
      <c r="AB26" s="0" t="n">
        <f aca="false">N(AB25)+AA26</f>
        <v>0</v>
      </c>
      <c r="AD26" s="0" t="str">
        <f aca="false">IFERROR(INDEX($Z$4:$Z$303,MATCH(23,$AB$4:$AB$303,0)),"")</f>
        <v/>
      </c>
      <c r="AF26" s="0" t="str">
        <f aca="false">IF(OR(资金日记账!$E26="",N(资金日记账!$H26)=0),"",资金日记账!$E26)</f>
        <v/>
      </c>
      <c r="AG26" s="0" t="n">
        <f aca="false">IF(AF26="",0,IF(MATCH(AF26,$AF$4:$AF$603,0)=ROW()-3,1,0))</f>
        <v>0</v>
      </c>
      <c r="AH26" s="0" t="n">
        <f aca="false">N(AH25)+AG26</f>
        <v>0</v>
      </c>
      <c r="AJ26" s="0" t="str">
        <f aca="false">IFERROR(INDEX($AF$4:$AF$603,MATCH(23,$AH$4:$AH$603,0)),"")</f>
        <v/>
      </c>
    </row>
    <row r="27" customFormat="false" ht="13.5" hidden="false" customHeight="false" outlineLevel="0" collapsed="false">
      <c r="A27" s="0" t="str">
        <f aca="false">IF(((进销存对接!$D27="客户应收")+(进销存对接!$D27="成品销售款")+(进销存对接!$D27="公司购买果品款")+(进销存对接!$D27="筐子销售款")+(进销存对接!$D27="物料销售款"))&gt;0,进销存对接!$C27,"")</f>
        <v/>
      </c>
      <c r="B27" s="0" t="n">
        <f aca="false">IF(A27="",0,IF(MATCH(A27,$A$4:$A$1925,0)=ROW()-3,1,0))</f>
        <v>0</v>
      </c>
      <c r="C27" s="0" t="n">
        <f aca="false">N(C26)+B27</f>
        <v>6</v>
      </c>
      <c r="E27" s="0" t="str">
        <f aca="false">IFERROR(INDEX($A$4:$A$1925,MATCH(ROW()-3,$C$4:$C$1925,0)),"")</f>
        <v/>
      </c>
      <c r="G27" s="0" t="n">
        <f aca="false">IF(OR($G$1="",资金日记账!$E20="",资金日记账!$E20&lt;&gt;$G$1),0,IF(NOT(OR(N(资金日记账!$H20)&lt;&gt;0,N(资金日记账!$I20)&lt;&gt;0)),0,IF(资金日记账!$B20="",1,IF(OR(N(资金日记账!$B20)&lt;$H$1,N(资金日记账!$B20)&gt;$I$1),0,1))))</f>
        <v>0</v>
      </c>
      <c r="H27" s="0" t="n">
        <f aca="false">N(H26)+$G27</f>
        <v>3</v>
      </c>
      <c r="I27" s="0" t="str">
        <f aca="false">IF($G27=0,"",IF(资金日记账!$B20=0,"",资金日记账!$B20))</f>
        <v/>
      </c>
      <c r="J27" s="0" t="str">
        <f aca="false">IF($G27=0,"",IF(资金日记账!$D20=0,"",资金日记账!$D20))</f>
        <v/>
      </c>
      <c r="K27" s="0" t="str">
        <f aca="false">IF($G27=0,"",IF(""=0,"",""))</f>
        <v/>
      </c>
      <c r="L27" s="0" t="str">
        <f aca="false">IF($G27=0,"",IF(""=0,"",""))</f>
        <v/>
      </c>
      <c r="M27" s="0" t="str">
        <f aca="false">IF($G27=0,"",IF(""=0,"",""))</f>
        <v/>
      </c>
      <c r="N27" s="0" t="str">
        <f aca="false">IF($G27=0,"",IF(IF(N(资金日记账!$I20)=0,"",-ROUND(N(资金日记账!$I20),2))=0,"",IF(N(资金日记账!$I20)=0,"",-ROUND(N(资金日记账!$I20),2))))</f>
        <v/>
      </c>
      <c r="O27" s="0" t="str">
        <f aca="false">IF($G27=0,"",IF(IF(N(资金日记账!$H20)=0,"",ROUND(N(资金日记账!$H20),2))=0,"",IF(N(资金日记账!$H20)=0,"",ROUND(N(资金日记账!$H20),2))))</f>
        <v/>
      </c>
      <c r="P27" s="0" t="str">
        <f aca="false">IF($G27=0,"",IF(资金日记账!$L20=0,"",资金日记账!$L20))</f>
        <v/>
      </c>
      <c r="T27" s="0" t="str">
        <f aca="false">IF(资金日记账!$G27="","",资金日记账!$G27)</f>
        <v>还款</v>
      </c>
      <c r="U27" s="0" t="n">
        <f aca="false">IF(T27="",0,IF(MATCH(T27,$T$4:$T$903,0)=ROW()-3,1,0))</f>
        <v>1</v>
      </c>
      <c r="V27" s="0" t="n">
        <f aca="false">N(V26)+U27</f>
        <v>17</v>
      </c>
      <c r="X27" s="0" t="str">
        <f aca="false">IFERROR(INDEX($T$4:$T$903,MATCH(24,$V$4:$V$903,0)),"")</f>
        <v>厨房吃</v>
      </c>
      <c r="Z27" s="0" t="str">
        <f aca="false">IF(成本费用登记表!$C27="","",成本费用登记表!$C27)</f>
        <v/>
      </c>
      <c r="AA27" s="0" t="n">
        <f aca="false">IF(Z27="",0,IF(MATCH(Z27,$Z$4:$Z$303,0)=ROW()-3,1,0))</f>
        <v>0</v>
      </c>
      <c r="AB27" s="0" t="n">
        <f aca="false">N(AB26)+AA27</f>
        <v>0</v>
      </c>
      <c r="AD27" s="0" t="str">
        <f aca="false">IFERROR(INDEX($Z$4:$Z$303,MATCH(24,$AB$4:$AB$303,0)),"")</f>
        <v/>
      </c>
      <c r="AF27" s="0" t="str">
        <f aca="false">IF(OR(资金日记账!$E27="",N(资金日记账!$H27)=0),"",资金日记账!$E27)</f>
        <v/>
      </c>
      <c r="AG27" s="0" t="n">
        <f aca="false">IF(AF27="",0,IF(MATCH(AF27,$AF$4:$AF$603,0)=ROW()-3,1,0))</f>
        <v>0</v>
      </c>
      <c r="AH27" s="0" t="n">
        <f aca="false">N(AH26)+AG27</f>
        <v>0</v>
      </c>
      <c r="AJ27" s="0" t="str">
        <f aca="false">IFERROR(INDEX($AF$4:$AF$603,MATCH(24,$AH$4:$AH$603,0)),"")</f>
        <v/>
      </c>
    </row>
    <row r="28" customFormat="false" ht="13.5" hidden="false" customHeight="false" outlineLevel="0" collapsed="false">
      <c r="A28" s="0" t="str">
        <f aca="false">IF(((进销存对接!$D28="客户应收")+(进销存对接!$D28="成品销售款")+(进销存对接!$D28="公司购买果品款")+(进销存对接!$D28="筐子销售款")+(进销存对接!$D28="物料销售款"))&gt;0,进销存对接!$C28,"")</f>
        <v/>
      </c>
      <c r="B28" s="0" t="n">
        <f aca="false">IF(A28="",0,IF(MATCH(A28,$A$4:$A$1925,0)=ROW()-3,1,0))</f>
        <v>0</v>
      </c>
      <c r="C28" s="0" t="n">
        <f aca="false">N(C27)+B28</f>
        <v>6</v>
      </c>
      <c r="E28" s="0" t="str">
        <f aca="false">IFERROR(INDEX($A$4:$A$1925,MATCH(ROW()-3,$C$4:$C$1925,0)),"")</f>
        <v/>
      </c>
      <c r="G28" s="0" t="n">
        <f aca="false">IF(OR($G$1="",资金日记账!$E21="",资金日记账!$E21&lt;&gt;$G$1),0,IF(NOT(OR(N(资金日记账!$H21)&lt;&gt;0,N(资金日记账!$I21)&lt;&gt;0)),0,IF(资金日记账!$B21="",1,IF(OR(N(资金日记账!$B21)&lt;$H$1,N(资金日记账!$B21)&gt;$I$1),0,1))))</f>
        <v>0</v>
      </c>
      <c r="H28" s="0" t="n">
        <f aca="false">N(H27)+$G28</f>
        <v>3</v>
      </c>
      <c r="I28" s="0" t="str">
        <f aca="false">IF($G28=0,"",IF(资金日记账!$B21=0,"",资金日记账!$B21))</f>
        <v/>
      </c>
      <c r="J28" s="0" t="str">
        <f aca="false">IF($G28=0,"",IF(资金日记账!$D21=0,"",资金日记账!$D21))</f>
        <v/>
      </c>
      <c r="K28" s="0" t="str">
        <f aca="false">IF($G28=0,"",IF(""=0,"",""))</f>
        <v/>
      </c>
      <c r="L28" s="0" t="str">
        <f aca="false">IF($G28=0,"",IF(""=0,"",""))</f>
        <v/>
      </c>
      <c r="M28" s="0" t="str">
        <f aca="false">IF($G28=0,"",IF(""=0,"",""))</f>
        <v/>
      </c>
      <c r="N28" s="0" t="str">
        <f aca="false">IF($G28=0,"",IF(IF(N(资金日记账!$I21)=0,"",-ROUND(N(资金日记账!$I21),2))=0,"",IF(N(资金日记账!$I21)=0,"",-ROUND(N(资金日记账!$I21),2))))</f>
        <v/>
      </c>
      <c r="O28" s="0" t="str">
        <f aca="false">IF($G28=0,"",IF(IF(N(资金日记账!$H21)=0,"",ROUND(N(资金日记账!$H21),2))=0,"",IF(N(资金日记账!$H21)=0,"",ROUND(N(资金日记账!$H21),2))))</f>
        <v/>
      </c>
      <c r="P28" s="0" t="str">
        <f aca="false">IF($G28=0,"",IF(资金日记账!$L21=0,"",资金日记账!$L21))</f>
        <v/>
      </c>
      <c r="T28" s="0" t="str">
        <f aca="false">IF(资金日记账!$G28="","",资金日记账!$G28)</f>
        <v>个人消费</v>
      </c>
      <c r="U28" s="0" t="n">
        <f aca="false">IF(T28="",0,IF(MATCH(T28,$T$4:$T$903,0)=ROW()-3,1,0))</f>
        <v>0</v>
      </c>
      <c r="V28" s="0" t="n">
        <f aca="false">N(V27)+U28</f>
        <v>17</v>
      </c>
      <c r="X28" s="0" t="str">
        <f aca="false">IFERROR(INDEX($T$4:$T$903,MATCH(25,$V$4:$V$903,0)),"")</f>
        <v>五金店</v>
      </c>
      <c r="Z28" s="0" t="str">
        <f aca="false">IF(成本费用登记表!$C28="","",成本费用登记表!$C28)</f>
        <v/>
      </c>
      <c r="AA28" s="0" t="n">
        <f aca="false">IF(Z28="",0,IF(MATCH(Z28,$Z$4:$Z$303,0)=ROW()-3,1,0))</f>
        <v>0</v>
      </c>
      <c r="AB28" s="0" t="n">
        <f aca="false">N(AB27)+AA28</f>
        <v>0</v>
      </c>
      <c r="AD28" s="0" t="str">
        <f aca="false">IFERROR(INDEX($Z$4:$Z$303,MATCH(25,$AB$4:$AB$303,0)),"")</f>
        <v/>
      </c>
      <c r="AF28" s="0" t="str">
        <f aca="false">IF(OR(资金日记账!$E28="",N(资金日记账!$H28)=0),"",资金日记账!$E28)</f>
        <v/>
      </c>
      <c r="AG28" s="0" t="n">
        <f aca="false">IF(AF28="",0,IF(MATCH(AF28,$AF$4:$AF$603,0)=ROW()-3,1,0))</f>
        <v>0</v>
      </c>
      <c r="AH28" s="0" t="n">
        <f aca="false">N(AH27)+AG28</f>
        <v>0</v>
      </c>
      <c r="AJ28" s="0" t="str">
        <f aca="false">IFERROR(INDEX($AF$4:$AF$603,MATCH(25,$AH$4:$AH$603,0)),"")</f>
        <v/>
      </c>
    </row>
    <row r="29" customFormat="false" ht="13.5" hidden="false" customHeight="false" outlineLevel="0" collapsed="false">
      <c r="A29" s="0" t="str">
        <f aca="false">IF(((进销存对接!$D29="客户应收")+(进销存对接!$D29="成品销售款")+(进销存对接!$D29="公司购买果品款")+(进销存对接!$D29="筐子销售款")+(进销存对接!$D29="物料销售款"))&gt;0,进销存对接!$C29,"")</f>
        <v/>
      </c>
      <c r="B29" s="0" t="n">
        <f aca="false">IF(A29="",0,IF(MATCH(A29,$A$4:$A$1925,0)=ROW()-3,1,0))</f>
        <v>0</v>
      </c>
      <c r="C29" s="0" t="n">
        <f aca="false">N(C28)+B29</f>
        <v>6</v>
      </c>
      <c r="E29" s="0" t="str">
        <f aca="false">IFERROR(INDEX($A$4:$A$1925,MATCH(ROW()-3,$C$4:$C$1925,0)),"")</f>
        <v/>
      </c>
      <c r="G29" s="0" t="n">
        <f aca="false">IF(OR($G$1="",资金日记账!$E22="",资金日记账!$E22&lt;&gt;$G$1),0,IF(NOT(OR(N(资金日记账!$H22)&lt;&gt;0,N(资金日记账!$I22)&lt;&gt;0)),0,IF(资金日记账!$B22="",1,IF(OR(N(资金日记账!$B22)&lt;$H$1,N(资金日记账!$B22)&gt;$I$1),0,1))))</f>
        <v>0</v>
      </c>
      <c r="H29" s="0" t="n">
        <f aca="false">N(H28)+$G29</f>
        <v>3</v>
      </c>
      <c r="I29" s="0" t="str">
        <f aca="false">IF($G29=0,"",IF(资金日记账!$B22=0,"",资金日记账!$B22))</f>
        <v/>
      </c>
      <c r="J29" s="0" t="str">
        <f aca="false">IF($G29=0,"",IF(资金日记账!$D22=0,"",资金日记账!$D22))</f>
        <v/>
      </c>
      <c r="K29" s="0" t="str">
        <f aca="false">IF($G29=0,"",IF(""=0,"",""))</f>
        <v/>
      </c>
      <c r="L29" s="0" t="str">
        <f aca="false">IF($G29=0,"",IF(""=0,"",""))</f>
        <v/>
      </c>
      <c r="M29" s="0" t="str">
        <f aca="false">IF($G29=0,"",IF(""=0,"",""))</f>
        <v/>
      </c>
      <c r="N29" s="0" t="str">
        <f aca="false">IF($G29=0,"",IF(IF(N(资金日记账!$I22)=0,"",-ROUND(N(资金日记账!$I22),2))=0,"",IF(N(资金日记账!$I22)=0,"",-ROUND(N(资金日记账!$I22),2))))</f>
        <v/>
      </c>
      <c r="O29" s="0" t="str">
        <f aca="false">IF($G29=0,"",IF(IF(N(资金日记账!$H22)=0,"",ROUND(N(资金日记账!$H22),2))=0,"",IF(N(资金日记账!$H22)=0,"",ROUND(N(资金日记账!$H22),2))))</f>
        <v/>
      </c>
      <c r="P29" s="0" t="str">
        <f aca="false">IF($G29=0,"",IF(资金日记账!$L22=0,"",资金日记账!$L22))</f>
        <v/>
      </c>
      <c r="T29" s="0" t="str">
        <f aca="false">IF(资金日记账!$G29="","",资金日记账!$G29)</f>
        <v>还信用卡</v>
      </c>
      <c r="U29" s="0" t="n">
        <f aca="false">IF(T29="",0,IF(MATCH(T29,$T$4:$T$903,0)=ROW()-3,1,0))</f>
        <v>1</v>
      </c>
      <c r="V29" s="0" t="n">
        <f aca="false">N(V28)+U29</f>
        <v>18</v>
      </c>
      <c r="X29" s="0" t="str">
        <f aca="false">IFERROR(INDEX($T$4:$T$903,MATCH(26,$V$4:$V$903,0)),"")</f>
        <v>水费</v>
      </c>
      <c r="Z29" s="0" t="str">
        <f aca="false">IF(成本费用登记表!$C29="","",成本费用登记表!$C29)</f>
        <v/>
      </c>
      <c r="AA29" s="0" t="n">
        <f aca="false">IF(Z29="",0,IF(MATCH(Z29,$Z$4:$Z$303,0)=ROW()-3,1,0))</f>
        <v>0</v>
      </c>
      <c r="AB29" s="0" t="n">
        <f aca="false">N(AB28)+AA29</f>
        <v>0</v>
      </c>
      <c r="AD29" s="0" t="str">
        <f aca="false">IFERROR(INDEX($Z$4:$Z$303,MATCH(26,$AB$4:$AB$303,0)),"")</f>
        <v/>
      </c>
      <c r="AF29" s="0" t="str">
        <f aca="false">IF(OR(资金日记账!$E29="",N(资金日记账!$H29)=0),"",资金日记账!$E29)</f>
        <v/>
      </c>
      <c r="AG29" s="0" t="n">
        <f aca="false">IF(AF29="",0,IF(MATCH(AF29,$AF$4:$AF$603,0)=ROW()-3,1,0))</f>
        <v>0</v>
      </c>
      <c r="AH29" s="0" t="n">
        <f aca="false">N(AH28)+AG29</f>
        <v>0</v>
      </c>
      <c r="AJ29" s="0" t="str">
        <f aca="false">IFERROR(INDEX($AF$4:$AF$603,MATCH(26,$AH$4:$AH$603,0)),"")</f>
        <v/>
      </c>
    </row>
    <row r="30" customFormat="false" ht="13.5" hidden="false" customHeight="false" outlineLevel="0" collapsed="false">
      <c r="A30" s="0" t="str">
        <f aca="false">IF(((进销存对接!$D30="客户应收")+(进销存对接!$D30="成品销售款")+(进销存对接!$D30="公司购买果品款")+(进销存对接!$D30="筐子销售款")+(进销存对接!$D30="物料销售款"))&gt;0,进销存对接!$C30,"")</f>
        <v/>
      </c>
      <c r="B30" s="0" t="n">
        <f aca="false">IF(A30="",0,IF(MATCH(A30,$A$4:$A$1925,0)=ROW()-3,1,0))</f>
        <v>0</v>
      </c>
      <c r="C30" s="0" t="n">
        <f aca="false">N(C29)+B30</f>
        <v>6</v>
      </c>
      <c r="E30" s="0" t="str">
        <f aca="false">IFERROR(INDEX($A$4:$A$1925,MATCH(ROW()-3,$C$4:$C$1925,0)),"")</f>
        <v/>
      </c>
      <c r="G30" s="0" t="n">
        <f aca="false">IF(OR($G$1="",资金日记账!$E23="",资金日记账!$E23&lt;&gt;$G$1),0,IF(NOT(OR(N(资金日记账!$H23)&lt;&gt;0,N(资金日记账!$I23)&lt;&gt;0)),0,IF(资金日记账!$B23="",1,IF(OR(N(资金日记账!$B23)&lt;$H$1,N(资金日记账!$B23)&gt;$I$1),0,1))))</f>
        <v>0</v>
      </c>
      <c r="H30" s="0" t="n">
        <f aca="false">N(H29)+$G30</f>
        <v>3</v>
      </c>
      <c r="I30" s="0" t="str">
        <f aca="false">IF($G30=0,"",IF(资金日记账!$B23=0,"",资金日记账!$B23))</f>
        <v/>
      </c>
      <c r="J30" s="0" t="str">
        <f aca="false">IF($G30=0,"",IF(资金日记账!$D23=0,"",资金日记账!$D23))</f>
        <v/>
      </c>
      <c r="K30" s="0" t="str">
        <f aca="false">IF($G30=0,"",IF(""=0,"",""))</f>
        <v/>
      </c>
      <c r="L30" s="0" t="str">
        <f aca="false">IF($G30=0,"",IF(""=0,"",""))</f>
        <v/>
      </c>
      <c r="M30" s="0" t="str">
        <f aca="false">IF($G30=0,"",IF(""=0,"",""))</f>
        <v/>
      </c>
      <c r="N30" s="0" t="str">
        <f aca="false">IF($G30=0,"",IF(IF(N(资金日记账!$I23)=0,"",-ROUND(N(资金日记账!$I23),2))=0,"",IF(N(资金日记账!$I23)=0,"",-ROUND(N(资金日记账!$I23),2))))</f>
        <v/>
      </c>
      <c r="O30" s="0" t="str">
        <f aca="false">IF($G30=0,"",IF(IF(N(资金日记账!$H23)=0,"",ROUND(N(资金日记账!$H23),2))=0,"",IF(N(资金日记账!$H23)=0,"",ROUND(N(资金日记账!$H23),2))))</f>
        <v/>
      </c>
      <c r="P30" s="0" t="str">
        <f aca="false">IF($G30=0,"",IF(资金日记账!$L23=0,"",资金日记账!$L23))</f>
        <v/>
      </c>
      <c r="T30" s="0" t="str">
        <f aca="false">IF(资金日记账!$G30="","",资金日记账!$G30)</f>
        <v>滴滴打车</v>
      </c>
      <c r="U30" s="0" t="n">
        <f aca="false">IF(T30="",0,IF(MATCH(T30,$T$4:$T$903,0)=ROW()-3,1,0))</f>
        <v>1</v>
      </c>
      <c r="V30" s="0" t="n">
        <f aca="false">N(V29)+U30</f>
        <v>19</v>
      </c>
      <c r="X30" s="0" t="str">
        <f aca="false">IFERROR(INDEX($T$4:$T$903,MATCH(27,$V$4:$V$903,0)),"")</f>
        <v>住宿费</v>
      </c>
      <c r="Z30" s="0" t="str">
        <f aca="false">IF(成本费用登记表!$C30="","",成本费用登记表!$C30)</f>
        <v/>
      </c>
      <c r="AA30" s="0" t="n">
        <f aca="false">IF(Z30="",0,IF(MATCH(Z30,$Z$4:$Z$303,0)=ROW()-3,1,0))</f>
        <v>0</v>
      </c>
      <c r="AB30" s="0" t="n">
        <f aca="false">N(AB29)+AA30</f>
        <v>0</v>
      </c>
      <c r="AD30" s="0" t="str">
        <f aca="false">IFERROR(INDEX($Z$4:$Z$303,MATCH(27,$AB$4:$AB$303,0)),"")</f>
        <v/>
      </c>
      <c r="AF30" s="0" t="str">
        <f aca="false">IF(OR(资金日记账!$E30="",N(资金日记账!$H30)=0),"",资金日记账!$E30)</f>
        <v/>
      </c>
      <c r="AG30" s="0" t="n">
        <f aca="false">IF(AF30="",0,IF(MATCH(AF30,$AF$4:$AF$603,0)=ROW()-3,1,0))</f>
        <v>0</v>
      </c>
      <c r="AH30" s="0" t="n">
        <f aca="false">N(AH29)+AG30</f>
        <v>0</v>
      </c>
      <c r="AJ30" s="0" t="str">
        <f aca="false">IFERROR(INDEX($AF$4:$AF$603,MATCH(27,$AH$4:$AH$603,0)),"")</f>
        <v/>
      </c>
    </row>
    <row r="31" customFormat="false" ht="13.5" hidden="false" customHeight="false" outlineLevel="0" collapsed="false">
      <c r="A31" s="0" t="str">
        <f aca="false">IF(((进销存对接!$D31="客户应收")+(进销存对接!$D31="成品销售款")+(进销存对接!$D31="公司购买果品款")+(进销存对接!$D31="筐子销售款")+(进销存对接!$D31="物料销售款"))&gt;0,进销存对接!$C31,"")</f>
        <v/>
      </c>
      <c r="B31" s="0" t="n">
        <f aca="false">IF(A31="",0,IF(MATCH(A31,$A$4:$A$1925,0)=ROW()-3,1,0))</f>
        <v>0</v>
      </c>
      <c r="C31" s="0" t="n">
        <f aca="false">N(C30)+B31</f>
        <v>6</v>
      </c>
      <c r="E31" s="0" t="str">
        <f aca="false">IFERROR(INDEX($A$4:$A$1925,MATCH(ROW()-3,$C$4:$C$1925,0)),"")</f>
        <v/>
      </c>
      <c r="G31" s="0" t="n">
        <f aca="false">IF(OR($G$1="",资金日记账!$E24="",资金日记账!$E24&lt;&gt;$G$1),0,IF(NOT(OR(N(资金日记账!$H24)&lt;&gt;0,N(资金日记账!$I24)&lt;&gt;0)),0,IF(资金日记账!$B24="",1,IF(OR(N(资金日记账!$B24)&lt;$H$1,N(资金日记账!$B24)&gt;$I$1),0,1))))</f>
        <v>0</v>
      </c>
      <c r="H31" s="0" t="n">
        <f aca="false">N(H30)+$G31</f>
        <v>3</v>
      </c>
      <c r="I31" s="0" t="str">
        <f aca="false">IF($G31=0,"",IF(资金日记账!$B24=0,"",资金日记账!$B24))</f>
        <v/>
      </c>
      <c r="J31" s="0" t="str">
        <f aca="false">IF($G31=0,"",IF(资金日记账!$D24=0,"",资金日记账!$D24))</f>
        <v/>
      </c>
      <c r="K31" s="0" t="str">
        <f aca="false">IF($G31=0,"",IF(""=0,"",""))</f>
        <v/>
      </c>
      <c r="L31" s="0" t="str">
        <f aca="false">IF($G31=0,"",IF(""=0,"",""))</f>
        <v/>
      </c>
      <c r="M31" s="0" t="str">
        <f aca="false">IF($G31=0,"",IF(""=0,"",""))</f>
        <v/>
      </c>
      <c r="N31" s="0" t="str">
        <f aca="false">IF($G31=0,"",IF(IF(N(资金日记账!$I24)=0,"",-ROUND(N(资金日记账!$I24),2))=0,"",IF(N(资金日记账!$I24)=0,"",-ROUND(N(资金日记账!$I24),2))))</f>
        <v/>
      </c>
      <c r="O31" s="0" t="str">
        <f aca="false">IF($G31=0,"",IF(IF(N(资金日记账!$H24)=0,"",ROUND(N(资金日记账!$H24),2))=0,"",IF(N(资金日记账!$H24)=0,"",ROUND(N(资金日记账!$H24),2))))</f>
        <v/>
      </c>
      <c r="P31" s="0" t="str">
        <f aca="false">IF($G31=0,"",IF(资金日记账!$L24=0,"",资金日记账!$L24))</f>
        <v/>
      </c>
      <c r="T31" s="0" t="str">
        <f aca="false">IF(资金日记账!$G31="","",资金日记账!$G31)</f>
        <v>滴滴打车</v>
      </c>
      <c r="U31" s="0" t="n">
        <f aca="false">IF(T31="",0,IF(MATCH(T31,$T$4:$T$903,0)=ROW()-3,1,0))</f>
        <v>0</v>
      </c>
      <c r="V31" s="0" t="n">
        <f aca="false">N(V30)+U31</f>
        <v>19</v>
      </c>
      <c r="X31" s="0" t="str">
        <f aca="false">IFERROR(INDEX($T$4:$T$903,MATCH(28,$V$4:$V$903,0)),"")</f>
        <v>劳保</v>
      </c>
      <c r="Z31" s="0" t="str">
        <f aca="false">IF(成本费用登记表!$C31="","",成本费用登记表!$C31)</f>
        <v/>
      </c>
      <c r="AA31" s="0" t="n">
        <f aca="false">IF(Z31="",0,IF(MATCH(Z31,$Z$4:$Z$303,0)=ROW()-3,1,0))</f>
        <v>0</v>
      </c>
      <c r="AB31" s="0" t="n">
        <f aca="false">N(AB30)+AA31</f>
        <v>0</v>
      </c>
      <c r="AD31" s="0" t="str">
        <f aca="false">IFERROR(INDEX($Z$4:$Z$303,MATCH(28,$AB$4:$AB$303,0)),"")</f>
        <v/>
      </c>
      <c r="AF31" s="0" t="str">
        <f aca="false">IF(OR(资金日记账!$E31="",N(资金日记账!$H31)=0),"",资金日记账!$E31)</f>
        <v/>
      </c>
      <c r="AG31" s="0" t="n">
        <f aca="false">IF(AF31="",0,IF(MATCH(AF31,$AF$4:$AF$603,0)=ROW()-3,1,0))</f>
        <v>0</v>
      </c>
      <c r="AH31" s="0" t="n">
        <f aca="false">N(AH30)+AG31</f>
        <v>0</v>
      </c>
      <c r="AJ31" s="0" t="str">
        <f aca="false">IFERROR(INDEX($AF$4:$AF$603,MATCH(28,$AH$4:$AH$603,0)),"")</f>
        <v/>
      </c>
    </row>
    <row r="32" customFormat="false" ht="13.5" hidden="false" customHeight="false" outlineLevel="0" collapsed="false">
      <c r="A32" s="0" t="str">
        <f aca="false">IF(((进销存对接!$D32="客户应收")+(进销存对接!$D32="成品销售款")+(进销存对接!$D32="公司购买果品款")+(进销存对接!$D32="筐子销售款")+(进销存对接!$D32="物料销售款"))&gt;0,进销存对接!$C32,"")</f>
        <v/>
      </c>
      <c r="B32" s="0" t="n">
        <f aca="false">IF(A32="",0,IF(MATCH(A32,$A$4:$A$1925,0)=ROW()-3,1,0))</f>
        <v>0</v>
      </c>
      <c r="C32" s="0" t="n">
        <f aca="false">N(C31)+B32</f>
        <v>6</v>
      </c>
      <c r="E32" s="0" t="str">
        <f aca="false">IFERROR(INDEX($A$4:$A$1925,MATCH(ROW()-3,$C$4:$C$1925,0)),"")</f>
        <v/>
      </c>
      <c r="G32" s="0" t="n">
        <f aca="false">IF(OR($G$1="",资金日记账!$E25="",资金日记账!$E25&lt;&gt;$G$1),0,IF(NOT(OR(N(资金日记账!$H25)&lt;&gt;0,N(资金日记账!$I25)&lt;&gt;0)),0,IF(资金日记账!$B25="",1,IF(OR(N(资金日记账!$B25)&lt;$H$1,N(资金日记账!$B25)&gt;$I$1),0,1))))</f>
        <v>0</v>
      </c>
      <c r="H32" s="0" t="n">
        <f aca="false">N(H31)+$G32</f>
        <v>3</v>
      </c>
      <c r="I32" s="0" t="str">
        <f aca="false">IF($G32=0,"",IF(资金日记账!$B25=0,"",资金日记账!$B25))</f>
        <v/>
      </c>
      <c r="J32" s="0" t="str">
        <f aca="false">IF($G32=0,"",IF(资金日记账!$D25=0,"",资金日记账!$D25))</f>
        <v/>
      </c>
      <c r="K32" s="0" t="str">
        <f aca="false">IF($G32=0,"",IF(""=0,"",""))</f>
        <v/>
      </c>
      <c r="L32" s="0" t="str">
        <f aca="false">IF($G32=0,"",IF(""=0,"",""))</f>
        <v/>
      </c>
      <c r="M32" s="0" t="str">
        <f aca="false">IF($G32=0,"",IF(""=0,"",""))</f>
        <v/>
      </c>
      <c r="N32" s="0" t="str">
        <f aca="false">IF($G32=0,"",IF(IF(N(资金日记账!$I25)=0,"",-ROUND(N(资金日记账!$I25),2))=0,"",IF(N(资金日记账!$I25)=0,"",-ROUND(N(资金日记账!$I25),2))))</f>
        <v/>
      </c>
      <c r="O32" s="0" t="str">
        <f aca="false">IF($G32=0,"",IF(IF(N(资金日记账!$H25)=0,"",ROUND(N(资金日记账!$H25),2))=0,"",IF(N(资金日记账!$H25)=0,"",ROUND(N(资金日记账!$H25),2))))</f>
        <v/>
      </c>
      <c r="P32" s="0" t="str">
        <f aca="false">IF($G32=0,"",IF(资金日记账!$L25=0,"",资金日记账!$L25))</f>
        <v/>
      </c>
      <c r="T32" s="0" t="str">
        <f aca="false">IF(资金日记账!$G32="","",资金日记账!$G32)</f>
        <v>滴滴打车</v>
      </c>
      <c r="U32" s="0" t="n">
        <f aca="false">IF(T32="",0,IF(MATCH(T32,$T$4:$T$903,0)=ROW()-3,1,0))</f>
        <v>0</v>
      </c>
      <c r="V32" s="0" t="n">
        <f aca="false">N(V31)+U32</f>
        <v>19</v>
      </c>
      <c r="X32" s="0" t="str">
        <f aca="false">IFERROR(INDEX($T$4:$T$903,MATCH(29,$V$4:$V$903,0)),"")</f>
        <v>消防</v>
      </c>
      <c r="Z32" s="0" t="str">
        <f aca="false">IF(成本费用登记表!$C32="","",成本费用登记表!$C32)</f>
        <v/>
      </c>
      <c r="AA32" s="0" t="n">
        <f aca="false">IF(Z32="",0,IF(MATCH(Z32,$Z$4:$Z$303,0)=ROW()-3,1,0))</f>
        <v>0</v>
      </c>
      <c r="AB32" s="0" t="n">
        <f aca="false">N(AB31)+AA32</f>
        <v>0</v>
      </c>
      <c r="AD32" s="0" t="str">
        <f aca="false">IFERROR(INDEX($Z$4:$Z$303,MATCH(29,$AB$4:$AB$303,0)),"")</f>
        <v/>
      </c>
      <c r="AF32" s="0" t="str">
        <f aca="false">IF(OR(资金日记账!$E32="",N(资金日记账!$H32)=0),"",资金日记账!$E32)</f>
        <v/>
      </c>
      <c r="AG32" s="0" t="n">
        <f aca="false">IF(AF32="",0,IF(MATCH(AF32,$AF$4:$AF$603,0)=ROW()-3,1,0))</f>
        <v>0</v>
      </c>
      <c r="AH32" s="0" t="n">
        <f aca="false">N(AH31)+AG32</f>
        <v>0</v>
      </c>
      <c r="AJ32" s="0" t="str">
        <f aca="false">IFERROR(INDEX($AF$4:$AF$603,MATCH(29,$AH$4:$AH$603,0)),"")</f>
        <v/>
      </c>
    </row>
    <row r="33" customFormat="false" ht="13.5" hidden="false" customHeight="false" outlineLevel="0" collapsed="false">
      <c r="A33" s="0" t="str">
        <f aca="false">IF(((进销存对接!$D33="客户应收")+(进销存对接!$D33="成品销售款")+(进销存对接!$D33="公司购买果品款")+(进销存对接!$D33="筐子销售款")+(进销存对接!$D33="物料销售款"))&gt;0,进销存对接!$C33,"")</f>
        <v/>
      </c>
      <c r="B33" s="0" t="n">
        <f aca="false">IF(A33="",0,IF(MATCH(A33,$A$4:$A$1925,0)=ROW()-3,1,0))</f>
        <v>0</v>
      </c>
      <c r="C33" s="0" t="n">
        <f aca="false">N(C32)+B33</f>
        <v>6</v>
      </c>
      <c r="E33" s="0" t="str">
        <f aca="false">IFERROR(INDEX($A$4:$A$1925,MATCH(ROW()-3,$C$4:$C$1925,0)),"")</f>
        <v/>
      </c>
      <c r="G33" s="0" t="n">
        <f aca="false">IF(OR($G$1="",资金日记账!$E26="",资金日记账!$E26&lt;&gt;$G$1),0,IF(NOT(OR(N(资金日记账!$H26)&lt;&gt;0,N(资金日记账!$I26)&lt;&gt;0)),0,IF(资金日记账!$B26="",1,IF(OR(N(资金日记账!$B26)&lt;$H$1,N(资金日记账!$B26)&gt;$I$1),0,1))))</f>
        <v>0</v>
      </c>
      <c r="H33" s="0" t="n">
        <f aca="false">N(H32)+$G33</f>
        <v>3</v>
      </c>
      <c r="I33" s="0" t="str">
        <f aca="false">IF($G33=0,"",IF(资金日记账!$B26=0,"",资金日记账!$B26))</f>
        <v/>
      </c>
      <c r="J33" s="0" t="str">
        <f aca="false">IF($G33=0,"",IF(资金日记账!$D26=0,"",资金日记账!$D26))</f>
        <v/>
      </c>
      <c r="K33" s="0" t="str">
        <f aca="false">IF($G33=0,"",IF(""=0,"",""))</f>
        <v/>
      </c>
      <c r="L33" s="0" t="str">
        <f aca="false">IF($G33=0,"",IF(""=0,"",""))</f>
        <v/>
      </c>
      <c r="M33" s="0" t="str">
        <f aca="false">IF($G33=0,"",IF(""=0,"",""))</f>
        <v/>
      </c>
      <c r="N33" s="0" t="str">
        <f aca="false">IF($G33=0,"",IF(IF(N(资金日记账!$I26)=0,"",-ROUND(N(资金日记账!$I26),2))=0,"",IF(N(资金日记账!$I26)=0,"",-ROUND(N(资金日记账!$I26),2))))</f>
        <v/>
      </c>
      <c r="O33" s="0" t="str">
        <f aca="false">IF($G33=0,"",IF(IF(N(资金日记账!$H26)=0,"",ROUND(N(资金日记账!$H26),2))=0,"",IF(N(资金日记账!$H26)=0,"",ROUND(N(资金日记账!$H26),2))))</f>
        <v/>
      </c>
      <c r="P33" s="0" t="str">
        <f aca="false">IF($G33=0,"",IF(资金日记账!$L26=0,"",资金日记账!$L26))</f>
        <v/>
      </c>
      <c r="T33" s="0" t="str">
        <f aca="false">IF(资金日记账!$G33="","",资金日记账!$G33)</f>
        <v>吃饭</v>
      </c>
      <c r="U33" s="0" t="n">
        <f aca="false">IF(T33="",0,IF(MATCH(T33,$T$4:$T$903,0)=ROW()-3,1,0))</f>
        <v>0</v>
      </c>
      <c r="V33" s="0" t="n">
        <f aca="false">N(V32)+U33</f>
        <v>19</v>
      </c>
      <c r="X33" s="0" t="str">
        <f aca="false">IFERROR(INDEX($T$4:$T$903,MATCH(30,$V$4:$V$903,0)),"")</f>
        <v>水泵</v>
      </c>
      <c r="Z33" s="0" t="str">
        <f aca="false">IF(成本费用登记表!$C33="","",成本费用登记表!$C33)</f>
        <v/>
      </c>
      <c r="AA33" s="0" t="n">
        <f aca="false">IF(Z33="",0,IF(MATCH(Z33,$Z$4:$Z$303,0)=ROW()-3,1,0))</f>
        <v>0</v>
      </c>
      <c r="AB33" s="0" t="n">
        <f aca="false">N(AB32)+AA33</f>
        <v>0</v>
      </c>
      <c r="AD33" s="0" t="str">
        <f aca="false">IFERROR(INDEX($Z$4:$Z$303,MATCH(30,$AB$4:$AB$303,0)),"")</f>
        <v/>
      </c>
      <c r="AF33" s="0" t="str">
        <f aca="false">IF(OR(资金日记账!$E33="",N(资金日记账!$H33)=0),"",资金日记账!$E33)</f>
        <v/>
      </c>
      <c r="AG33" s="0" t="n">
        <f aca="false">IF(AF33="",0,IF(MATCH(AF33,$AF$4:$AF$603,0)=ROW()-3,1,0))</f>
        <v>0</v>
      </c>
      <c r="AH33" s="0" t="n">
        <f aca="false">N(AH32)+AG33</f>
        <v>0</v>
      </c>
      <c r="AJ33" s="0" t="str">
        <f aca="false">IFERROR(INDEX($AF$4:$AF$603,MATCH(30,$AH$4:$AH$603,0)),"")</f>
        <v/>
      </c>
    </row>
    <row r="34" customFormat="false" ht="13.5" hidden="false" customHeight="false" outlineLevel="0" collapsed="false">
      <c r="A34" s="0" t="str">
        <f aca="false">IF(((进销存对接!$D34="客户应收")+(进销存对接!$D34="成品销售款")+(进销存对接!$D34="公司购买果品款")+(进销存对接!$D34="筐子销售款")+(进销存对接!$D34="物料销售款"))&gt;0,进销存对接!$C34,"")</f>
        <v/>
      </c>
      <c r="B34" s="0" t="n">
        <f aca="false">IF(A34="",0,IF(MATCH(A34,$A$4:$A$1925,0)=ROW()-3,1,0))</f>
        <v>0</v>
      </c>
      <c r="C34" s="0" t="n">
        <f aca="false">N(C33)+B34</f>
        <v>6</v>
      </c>
      <c r="E34" s="0" t="str">
        <f aca="false">IFERROR(INDEX($A$4:$A$1925,MATCH(ROW()-3,$C$4:$C$1925,0)),"")</f>
        <v/>
      </c>
      <c r="G34" s="0" t="n">
        <f aca="false">IF(OR($G$1="",资金日记账!$E27="",资金日记账!$E27&lt;&gt;$G$1),0,IF(NOT(OR(N(资金日记账!$H27)&lt;&gt;0,N(资金日记账!$I27)&lt;&gt;0)),0,IF(资金日记账!$B27="",1,IF(OR(N(资金日记账!$B27)&lt;$H$1,N(资金日记账!$B27)&gt;$I$1),0,1))))</f>
        <v>0</v>
      </c>
      <c r="H34" s="0" t="n">
        <f aca="false">N(H33)+$G34</f>
        <v>3</v>
      </c>
      <c r="I34" s="0" t="str">
        <f aca="false">IF($G34=0,"",IF(资金日记账!$B27=0,"",资金日记账!$B27))</f>
        <v/>
      </c>
      <c r="J34" s="0" t="str">
        <f aca="false">IF($G34=0,"",IF(资金日记账!$D27=0,"",资金日记账!$D27))</f>
        <v/>
      </c>
      <c r="K34" s="0" t="str">
        <f aca="false">IF($G34=0,"",IF(""=0,"",""))</f>
        <v/>
      </c>
      <c r="L34" s="0" t="str">
        <f aca="false">IF($G34=0,"",IF(""=0,"",""))</f>
        <v/>
      </c>
      <c r="M34" s="0" t="str">
        <f aca="false">IF($G34=0,"",IF(""=0,"",""))</f>
        <v/>
      </c>
      <c r="N34" s="0" t="str">
        <f aca="false">IF($G34=0,"",IF(IF(N(资金日记账!$I27)=0,"",-ROUND(N(资金日记账!$I27),2))=0,"",IF(N(资金日记账!$I27)=0,"",-ROUND(N(资金日记账!$I27),2))))</f>
        <v/>
      </c>
      <c r="O34" s="0" t="str">
        <f aca="false">IF($G34=0,"",IF(IF(N(资金日记账!$H27)=0,"",ROUND(N(资金日记账!$H27),2))=0,"",IF(N(资金日记账!$H27)=0,"",ROUND(N(资金日记账!$H27),2))))</f>
        <v/>
      </c>
      <c r="P34" s="0" t="str">
        <f aca="false">IF($G34=0,"",IF(资金日记账!$L27=0,"",资金日记账!$L27))</f>
        <v/>
      </c>
      <c r="T34" s="0" t="str">
        <f aca="false">IF(资金日记账!$G34="","",资金日记账!$G34)</f>
        <v>儿子消费</v>
      </c>
      <c r="U34" s="0" t="n">
        <f aca="false">IF(T34="",0,IF(MATCH(T34,$T$4:$T$903,0)=ROW()-3,1,0))</f>
        <v>0</v>
      </c>
      <c r="V34" s="0" t="n">
        <f aca="false">N(V33)+U34</f>
        <v>19</v>
      </c>
      <c r="X34" s="0" t="str">
        <f aca="false">IFERROR(INDEX($T$4:$T$903,MATCH(31,$V$4:$V$903,0)),"")</f>
        <v/>
      </c>
      <c r="Z34" s="0" t="str">
        <f aca="false">IF(成本费用登记表!$C34="","",成本费用登记表!$C34)</f>
        <v/>
      </c>
      <c r="AA34" s="0" t="n">
        <f aca="false">IF(Z34="",0,IF(MATCH(Z34,$Z$4:$Z$303,0)=ROW()-3,1,0))</f>
        <v>0</v>
      </c>
      <c r="AB34" s="0" t="n">
        <f aca="false">N(AB33)+AA34</f>
        <v>0</v>
      </c>
      <c r="AD34" s="0" t="str">
        <f aca="false">IFERROR(INDEX($Z$4:$Z$303,MATCH(31,$AB$4:$AB$303,0)),"")</f>
        <v/>
      </c>
      <c r="AF34" s="0" t="str">
        <f aca="false">IF(OR(资金日记账!$E34="",N(资金日记账!$H34)=0),"",资金日记账!$E34)</f>
        <v/>
      </c>
      <c r="AG34" s="0" t="n">
        <f aca="false">IF(AF34="",0,IF(MATCH(AF34,$AF$4:$AF$603,0)=ROW()-3,1,0))</f>
        <v>0</v>
      </c>
      <c r="AH34" s="0" t="n">
        <f aca="false">N(AH33)+AG34</f>
        <v>0</v>
      </c>
      <c r="AJ34" s="0" t="str">
        <f aca="false">IFERROR(INDEX($AF$4:$AF$603,MATCH(31,$AH$4:$AH$603,0)),"")</f>
        <v/>
      </c>
    </row>
    <row r="35" customFormat="false" ht="13.5" hidden="false" customHeight="false" outlineLevel="0" collapsed="false">
      <c r="A35" s="0" t="str">
        <f aca="false">IF(((进销存对接!$D35="客户应收")+(进销存对接!$D35="成品销售款")+(进销存对接!$D35="公司购买果品款")+(进销存对接!$D35="筐子销售款")+(进销存对接!$D35="物料销售款"))&gt;0,进销存对接!$C35,"")</f>
        <v/>
      </c>
      <c r="B35" s="0" t="n">
        <f aca="false">IF(A35="",0,IF(MATCH(A35,$A$4:$A$1925,0)=ROW()-3,1,0))</f>
        <v>0</v>
      </c>
      <c r="C35" s="0" t="n">
        <f aca="false">N(C34)+B35</f>
        <v>6</v>
      </c>
      <c r="E35" s="0" t="str">
        <f aca="false">IFERROR(INDEX($A$4:$A$1925,MATCH(ROW()-3,$C$4:$C$1925,0)),"")</f>
        <v/>
      </c>
      <c r="G35" s="0" t="n">
        <f aca="false">IF(OR($G$1="",资金日记账!$E28="",资金日记账!$E28&lt;&gt;$G$1),0,IF(NOT(OR(N(资金日记账!$H28)&lt;&gt;0,N(资金日记账!$I28)&lt;&gt;0)),0,IF(资金日记账!$B28="",1,IF(OR(N(资金日记账!$B28)&lt;$H$1,N(资金日记账!$B28)&gt;$I$1),0,1))))</f>
        <v>0</v>
      </c>
      <c r="H35" s="0" t="n">
        <f aca="false">N(H34)+$G35</f>
        <v>3</v>
      </c>
      <c r="I35" s="0" t="str">
        <f aca="false">IF($G35=0,"",IF(资金日记账!$B28=0,"",资金日记账!$B28))</f>
        <v/>
      </c>
      <c r="J35" s="0" t="str">
        <f aca="false">IF($G35=0,"",IF(资金日记账!$D28=0,"",资金日记账!$D28))</f>
        <v/>
      </c>
      <c r="K35" s="0" t="str">
        <f aca="false">IF($G35=0,"",IF(""=0,"",""))</f>
        <v/>
      </c>
      <c r="L35" s="0" t="str">
        <f aca="false">IF($G35=0,"",IF(""=0,"",""))</f>
        <v/>
      </c>
      <c r="M35" s="0" t="str">
        <f aca="false">IF($G35=0,"",IF(""=0,"",""))</f>
        <v/>
      </c>
      <c r="N35" s="0" t="str">
        <f aca="false">IF($G35=0,"",IF(IF(N(资金日记账!$I28)=0,"",-ROUND(N(资金日记账!$I28),2))=0,"",IF(N(资金日记账!$I28)=0,"",-ROUND(N(资金日记账!$I28),2))))</f>
        <v/>
      </c>
      <c r="O35" s="0" t="str">
        <f aca="false">IF($G35=0,"",IF(IF(N(资金日记账!$H28)=0,"",ROUND(N(资金日记账!$H28),2))=0,"",IF(N(资金日记账!$H28)=0,"",ROUND(N(资金日记账!$H28),2))))</f>
        <v/>
      </c>
      <c r="P35" s="0" t="str">
        <f aca="false">IF($G35=0,"",IF(资金日记账!$L28=0,"",资金日记账!$L28))</f>
        <v/>
      </c>
      <c r="T35" s="0" t="str">
        <f aca="false">IF(资金日记账!$G35="","",资金日记账!$G35)</f>
        <v>儿子消费</v>
      </c>
      <c r="U35" s="0" t="n">
        <f aca="false">IF(T35="",0,IF(MATCH(T35,$T$4:$T$903,0)=ROW()-3,1,0))</f>
        <v>0</v>
      </c>
      <c r="V35" s="0" t="n">
        <f aca="false">N(V34)+U35</f>
        <v>19</v>
      </c>
      <c r="X35" s="0" t="str">
        <f aca="false">IFERROR(INDEX($T$4:$T$903,MATCH(32,$V$4:$V$903,0)),"")</f>
        <v/>
      </c>
      <c r="Z35" s="0" t="str">
        <f aca="false">IF(成本费用登记表!$C35="","",成本费用登记表!$C35)</f>
        <v/>
      </c>
      <c r="AA35" s="0" t="n">
        <f aca="false">IF(Z35="",0,IF(MATCH(Z35,$Z$4:$Z$303,0)=ROW()-3,1,0))</f>
        <v>0</v>
      </c>
      <c r="AB35" s="0" t="n">
        <f aca="false">N(AB34)+AA35</f>
        <v>0</v>
      </c>
      <c r="AD35" s="0" t="str">
        <f aca="false">IFERROR(INDEX($Z$4:$Z$303,MATCH(32,$AB$4:$AB$303,0)),"")</f>
        <v/>
      </c>
      <c r="AF35" s="0" t="str">
        <f aca="false">IF(OR(资金日记账!$E35="",N(资金日记账!$H35)=0),"",资金日记账!$E35)</f>
        <v/>
      </c>
      <c r="AG35" s="0" t="n">
        <f aca="false">IF(AF35="",0,IF(MATCH(AF35,$AF$4:$AF$603,0)=ROW()-3,1,0))</f>
        <v>0</v>
      </c>
      <c r="AH35" s="0" t="n">
        <f aca="false">N(AH34)+AG35</f>
        <v>0</v>
      </c>
      <c r="AJ35" s="0" t="str">
        <f aca="false">IFERROR(INDEX($AF$4:$AF$603,MATCH(32,$AH$4:$AH$603,0)),"")</f>
        <v/>
      </c>
    </row>
    <row r="36" customFormat="false" ht="13.5" hidden="false" customHeight="false" outlineLevel="0" collapsed="false">
      <c r="A36" s="0" t="str">
        <f aca="false">IF(((进销存对接!$D36="客户应收")+(进销存对接!$D36="成品销售款")+(进销存对接!$D36="公司购买果品款")+(进销存对接!$D36="筐子销售款")+(进销存对接!$D36="物料销售款"))&gt;0,进销存对接!$C36,"")</f>
        <v/>
      </c>
      <c r="B36" s="0" t="n">
        <f aca="false">IF(A36="",0,IF(MATCH(A36,$A$4:$A$1925,0)=ROW()-3,1,0))</f>
        <v>0</v>
      </c>
      <c r="C36" s="0" t="n">
        <f aca="false">N(C35)+B36</f>
        <v>6</v>
      </c>
      <c r="E36" s="0" t="str">
        <f aca="false">IFERROR(INDEX($A$4:$A$1925,MATCH(ROW()-3,$C$4:$C$1925,0)),"")</f>
        <v/>
      </c>
      <c r="G36" s="0" t="n">
        <f aca="false">IF(OR($G$1="",资金日记账!$E29="",资金日记账!$E29&lt;&gt;$G$1),0,IF(NOT(OR(N(资金日记账!$H29)&lt;&gt;0,N(资金日记账!$I29)&lt;&gt;0)),0,IF(资金日记账!$B29="",1,IF(OR(N(资金日记账!$B29)&lt;$H$1,N(资金日记账!$B29)&gt;$I$1),0,1))))</f>
        <v>0</v>
      </c>
      <c r="H36" s="0" t="n">
        <f aca="false">N(H35)+$G36</f>
        <v>3</v>
      </c>
      <c r="I36" s="0" t="str">
        <f aca="false">IF($G36=0,"",IF(资金日记账!$B29=0,"",资金日记账!$B29))</f>
        <v/>
      </c>
      <c r="J36" s="0" t="str">
        <f aca="false">IF($G36=0,"",IF(资金日记账!$D29=0,"",资金日记账!$D29))</f>
        <v/>
      </c>
      <c r="K36" s="0" t="str">
        <f aca="false">IF($G36=0,"",IF(""=0,"",""))</f>
        <v/>
      </c>
      <c r="L36" s="0" t="str">
        <f aca="false">IF($G36=0,"",IF(""=0,"",""))</f>
        <v/>
      </c>
      <c r="M36" s="0" t="str">
        <f aca="false">IF($G36=0,"",IF(""=0,"",""))</f>
        <v/>
      </c>
      <c r="N36" s="0" t="str">
        <f aca="false">IF($G36=0,"",IF(IF(N(资金日记账!$I29)=0,"",-ROUND(N(资金日记账!$I29),2))=0,"",IF(N(资金日记账!$I29)=0,"",-ROUND(N(资金日记账!$I29),2))))</f>
        <v/>
      </c>
      <c r="O36" s="0" t="str">
        <f aca="false">IF($G36=0,"",IF(IF(N(资金日记账!$H29)=0,"",ROUND(N(资金日记账!$H29),2))=0,"",IF(N(资金日记账!$H29)=0,"",ROUND(N(资金日记账!$H29),2))))</f>
        <v/>
      </c>
      <c r="P36" s="0" t="str">
        <f aca="false">IF($G36=0,"",IF(资金日记账!$L29=0,"",资金日记账!$L29))</f>
        <v/>
      </c>
      <c r="T36" s="0" t="str">
        <f aca="false">IF(资金日记账!$G36="","",资金日记账!$G36)</f>
        <v>儿子消费</v>
      </c>
      <c r="U36" s="0" t="n">
        <f aca="false">IF(T36="",0,IF(MATCH(T36,$T$4:$T$903,0)=ROW()-3,1,0))</f>
        <v>0</v>
      </c>
      <c r="V36" s="0" t="n">
        <f aca="false">N(V35)+U36</f>
        <v>19</v>
      </c>
      <c r="X36" s="0" t="str">
        <f aca="false">IFERROR(INDEX($T$4:$T$903,MATCH(33,$V$4:$V$903,0)),"")</f>
        <v/>
      </c>
      <c r="Z36" s="0" t="str">
        <f aca="false">IF(成本费用登记表!$C36="","",成本费用登记表!$C36)</f>
        <v/>
      </c>
      <c r="AA36" s="0" t="n">
        <f aca="false">IF(Z36="",0,IF(MATCH(Z36,$Z$4:$Z$303,0)=ROW()-3,1,0))</f>
        <v>0</v>
      </c>
      <c r="AB36" s="0" t="n">
        <f aca="false">N(AB35)+AA36</f>
        <v>0</v>
      </c>
      <c r="AD36" s="0" t="str">
        <f aca="false">IFERROR(INDEX($Z$4:$Z$303,MATCH(33,$AB$4:$AB$303,0)),"")</f>
        <v/>
      </c>
      <c r="AF36" s="0" t="str">
        <f aca="false">IF(OR(资金日记账!$E36="",N(资金日记账!$H36)=0),"",资金日记账!$E36)</f>
        <v/>
      </c>
      <c r="AG36" s="0" t="n">
        <f aca="false">IF(AF36="",0,IF(MATCH(AF36,$AF$4:$AF$603,0)=ROW()-3,1,0))</f>
        <v>0</v>
      </c>
      <c r="AH36" s="0" t="n">
        <f aca="false">N(AH35)+AG36</f>
        <v>0</v>
      </c>
      <c r="AJ36" s="0" t="str">
        <f aca="false">IFERROR(INDEX($AF$4:$AF$603,MATCH(33,$AH$4:$AH$603,0)),"")</f>
        <v/>
      </c>
    </row>
    <row r="37" customFormat="false" ht="13.5" hidden="false" customHeight="false" outlineLevel="0" collapsed="false">
      <c r="A37" s="0" t="str">
        <f aca="false">IF(((进销存对接!$D37="客户应收")+(进销存对接!$D37="成品销售款")+(进销存对接!$D37="公司购买果品款")+(进销存对接!$D37="筐子销售款")+(进销存对接!$D37="物料销售款"))&gt;0,进销存对接!$C37,"")</f>
        <v/>
      </c>
      <c r="B37" s="0" t="n">
        <f aca="false">IF(A37="",0,IF(MATCH(A37,$A$4:$A$1925,0)=ROW()-3,1,0))</f>
        <v>0</v>
      </c>
      <c r="C37" s="0" t="n">
        <f aca="false">N(C36)+B37</f>
        <v>6</v>
      </c>
      <c r="E37" s="0" t="str">
        <f aca="false">IFERROR(INDEX($A$4:$A$1925,MATCH(ROW()-3,$C$4:$C$1925,0)),"")</f>
        <v/>
      </c>
      <c r="G37" s="0" t="n">
        <f aca="false">IF(OR($G$1="",资金日记账!$E30="",资金日记账!$E30&lt;&gt;$G$1),0,IF(NOT(OR(N(资金日记账!$H30)&lt;&gt;0,N(资金日记账!$I30)&lt;&gt;0)),0,IF(资金日记账!$B30="",1,IF(OR(N(资金日记账!$B30)&lt;$H$1,N(资金日记账!$B30)&gt;$I$1),0,1))))</f>
        <v>0</v>
      </c>
      <c r="H37" s="0" t="n">
        <f aca="false">N(H36)+$G37</f>
        <v>3</v>
      </c>
      <c r="I37" s="0" t="str">
        <f aca="false">IF($G37=0,"",IF(资金日记账!$B30=0,"",资金日记账!$B30))</f>
        <v/>
      </c>
      <c r="J37" s="0" t="str">
        <f aca="false">IF($G37=0,"",IF(资金日记账!$D30=0,"",资金日记账!$D30))</f>
        <v/>
      </c>
      <c r="K37" s="0" t="str">
        <f aca="false">IF($G37=0,"",IF(""=0,"",""))</f>
        <v/>
      </c>
      <c r="L37" s="0" t="str">
        <f aca="false">IF($G37=0,"",IF(""=0,"",""))</f>
        <v/>
      </c>
      <c r="M37" s="0" t="str">
        <f aca="false">IF($G37=0,"",IF(""=0,"",""))</f>
        <v/>
      </c>
      <c r="N37" s="0" t="str">
        <f aca="false">IF($G37=0,"",IF(IF(N(资金日记账!$I30)=0,"",-ROUND(N(资金日记账!$I30),2))=0,"",IF(N(资金日记账!$I30)=0,"",-ROUND(N(资金日记账!$I30),2))))</f>
        <v/>
      </c>
      <c r="O37" s="0" t="str">
        <f aca="false">IF($G37=0,"",IF(IF(N(资金日记账!$H30)=0,"",ROUND(N(资金日记账!$H30),2))=0,"",IF(N(资金日记账!$H30)=0,"",ROUND(N(资金日记账!$H30),2))))</f>
        <v/>
      </c>
      <c r="P37" s="0" t="str">
        <f aca="false">IF($G37=0,"",IF(资金日记账!$L30=0,"",资金日记账!$L30))</f>
        <v/>
      </c>
      <c r="T37" s="0" t="str">
        <f aca="false">IF(资金日记账!$G37="","",资金日记账!$G37)</f>
        <v>停车费</v>
      </c>
      <c r="U37" s="0" t="n">
        <f aca="false">IF(T37="",0,IF(MATCH(T37,$T$4:$T$903,0)=ROW()-3,1,0))</f>
        <v>0</v>
      </c>
      <c r="V37" s="0" t="n">
        <f aca="false">N(V36)+U37</f>
        <v>19</v>
      </c>
      <c r="X37" s="0" t="str">
        <f aca="false">IFERROR(INDEX($T$4:$T$903,MATCH(34,$V$4:$V$903,0)),"")</f>
        <v/>
      </c>
      <c r="Z37" s="0" t="str">
        <f aca="false">IF(成本费用登记表!$C37="","",成本费用登记表!$C37)</f>
        <v/>
      </c>
      <c r="AA37" s="0" t="n">
        <f aca="false">IF(Z37="",0,IF(MATCH(Z37,$Z$4:$Z$303,0)=ROW()-3,1,0))</f>
        <v>0</v>
      </c>
      <c r="AB37" s="0" t="n">
        <f aca="false">N(AB36)+AA37</f>
        <v>0</v>
      </c>
      <c r="AD37" s="0" t="str">
        <f aca="false">IFERROR(INDEX($Z$4:$Z$303,MATCH(34,$AB$4:$AB$303,0)),"")</f>
        <v/>
      </c>
      <c r="AF37" s="0" t="str">
        <f aca="false">IF(OR(资金日记账!$E37="",N(资金日记账!$H37)=0),"",资金日记账!$E37)</f>
        <v/>
      </c>
      <c r="AG37" s="0" t="n">
        <f aca="false">IF(AF37="",0,IF(MATCH(AF37,$AF$4:$AF$603,0)=ROW()-3,1,0))</f>
        <v>0</v>
      </c>
      <c r="AH37" s="0" t="n">
        <f aca="false">N(AH36)+AG37</f>
        <v>0</v>
      </c>
      <c r="AJ37" s="0" t="str">
        <f aca="false">IFERROR(INDEX($AF$4:$AF$603,MATCH(34,$AH$4:$AH$603,0)),"")</f>
        <v/>
      </c>
    </row>
    <row r="38" customFormat="false" ht="13.5" hidden="false" customHeight="false" outlineLevel="0" collapsed="false">
      <c r="A38" s="0" t="str">
        <f aca="false">IF(((进销存对接!$D38="客户应收")+(进销存对接!$D38="成品销售款")+(进销存对接!$D38="公司购买果品款")+(进销存对接!$D38="筐子销售款")+(进销存对接!$D38="物料销售款"))&gt;0,进销存对接!$C38,"")</f>
        <v/>
      </c>
      <c r="B38" s="0" t="n">
        <f aca="false">IF(A38="",0,IF(MATCH(A38,$A$4:$A$1925,0)=ROW()-3,1,0))</f>
        <v>0</v>
      </c>
      <c r="C38" s="0" t="n">
        <f aca="false">N(C37)+B38</f>
        <v>6</v>
      </c>
      <c r="E38" s="0" t="str">
        <f aca="false">IFERROR(INDEX($A$4:$A$1925,MATCH(ROW()-3,$C$4:$C$1925,0)),"")</f>
        <v/>
      </c>
      <c r="G38" s="0" t="n">
        <f aca="false">IF(OR($G$1="",资金日记账!$E31="",资金日记账!$E31&lt;&gt;$G$1),0,IF(NOT(OR(N(资金日记账!$H31)&lt;&gt;0,N(资金日记账!$I31)&lt;&gt;0)),0,IF(资金日记账!$B31="",1,IF(OR(N(资金日记账!$B31)&lt;$H$1,N(资金日记账!$B31)&gt;$I$1),0,1))))</f>
        <v>0</v>
      </c>
      <c r="H38" s="0" t="n">
        <f aca="false">N(H37)+$G38</f>
        <v>3</v>
      </c>
      <c r="I38" s="0" t="str">
        <f aca="false">IF($G38=0,"",IF(资金日记账!$B31=0,"",资金日记账!$B31))</f>
        <v/>
      </c>
      <c r="J38" s="0" t="str">
        <f aca="false">IF($G38=0,"",IF(资金日记账!$D31=0,"",资金日记账!$D31))</f>
        <v/>
      </c>
      <c r="K38" s="0" t="str">
        <f aca="false">IF($G38=0,"",IF(""=0,"",""))</f>
        <v/>
      </c>
      <c r="L38" s="0" t="str">
        <f aca="false">IF($G38=0,"",IF(""=0,"",""))</f>
        <v/>
      </c>
      <c r="M38" s="0" t="str">
        <f aca="false">IF($G38=0,"",IF(""=0,"",""))</f>
        <v/>
      </c>
      <c r="N38" s="0" t="str">
        <f aca="false">IF($G38=0,"",IF(IF(N(资金日记账!$I31)=0,"",-ROUND(N(资金日记账!$I31),2))=0,"",IF(N(资金日记账!$I31)=0,"",-ROUND(N(资金日记账!$I31),2))))</f>
        <v/>
      </c>
      <c r="O38" s="0" t="str">
        <f aca="false">IF($G38=0,"",IF(IF(N(资金日记账!$H31)=0,"",ROUND(N(资金日记账!$H31),2))=0,"",IF(N(资金日记账!$H31)=0,"",ROUND(N(资金日记账!$H31),2))))</f>
        <v/>
      </c>
      <c r="P38" s="0" t="str">
        <f aca="false">IF($G38=0,"",IF(资金日记账!$L31=0,"",资金日记账!$L31))</f>
        <v/>
      </c>
      <c r="T38" s="0" t="str">
        <f aca="false">IF(资金日记账!$G38="","",资金日记账!$G38)</f>
        <v>儿子消费</v>
      </c>
      <c r="U38" s="0" t="n">
        <f aca="false">IF(T38="",0,IF(MATCH(T38,$T$4:$T$903,0)=ROW()-3,1,0))</f>
        <v>0</v>
      </c>
      <c r="V38" s="0" t="n">
        <f aca="false">N(V37)+U38</f>
        <v>19</v>
      </c>
      <c r="X38" s="0" t="str">
        <f aca="false">IFERROR(INDEX($T$4:$T$903,MATCH(35,$V$4:$V$903,0)),"")</f>
        <v/>
      </c>
      <c r="Z38" s="0" t="str">
        <f aca="false">IF(成本费用登记表!$C38="","",成本费用登记表!$C38)</f>
        <v/>
      </c>
      <c r="AA38" s="0" t="n">
        <f aca="false">IF(Z38="",0,IF(MATCH(Z38,$Z$4:$Z$303,0)=ROW()-3,1,0))</f>
        <v>0</v>
      </c>
      <c r="AB38" s="0" t="n">
        <f aca="false">N(AB37)+AA38</f>
        <v>0</v>
      </c>
      <c r="AD38" s="0" t="str">
        <f aca="false">IFERROR(INDEX($Z$4:$Z$303,MATCH(35,$AB$4:$AB$303,0)),"")</f>
        <v/>
      </c>
      <c r="AF38" s="0" t="str">
        <f aca="false">IF(OR(资金日记账!$E38="",N(资金日记账!$H38)=0),"",资金日记账!$E38)</f>
        <v/>
      </c>
      <c r="AG38" s="0" t="n">
        <f aca="false">IF(AF38="",0,IF(MATCH(AF38,$AF$4:$AF$603,0)=ROW()-3,1,0))</f>
        <v>0</v>
      </c>
      <c r="AH38" s="0" t="n">
        <f aca="false">N(AH37)+AG38</f>
        <v>0</v>
      </c>
      <c r="AJ38" s="0" t="str">
        <f aca="false">IFERROR(INDEX($AF$4:$AF$603,MATCH(35,$AH$4:$AH$603,0)),"")</f>
        <v/>
      </c>
    </row>
    <row r="39" customFormat="false" ht="13.5" hidden="false" customHeight="false" outlineLevel="0" collapsed="false">
      <c r="A39" s="0" t="str">
        <f aca="false">IF(((进销存对接!$D39="客户应收")+(进销存对接!$D39="成品销售款")+(进销存对接!$D39="公司购买果品款")+(进销存对接!$D39="筐子销售款")+(进销存对接!$D39="物料销售款"))&gt;0,进销存对接!$C39,"")</f>
        <v/>
      </c>
      <c r="B39" s="0" t="n">
        <f aca="false">IF(A39="",0,IF(MATCH(A39,$A$4:$A$1925,0)=ROW()-3,1,0))</f>
        <v>0</v>
      </c>
      <c r="C39" s="0" t="n">
        <f aca="false">N(C38)+B39</f>
        <v>6</v>
      </c>
      <c r="E39" s="0" t="str">
        <f aca="false">IFERROR(INDEX($A$4:$A$1925,MATCH(ROW()-3,$C$4:$C$1925,0)),"")</f>
        <v/>
      </c>
      <c r="G39" s="0" t="n">
        <f aca="false">IF(OR($G$1="",资金日记账!$E32="",资金日记账!$E32&lt;&gt;$G$1),0,IF(NOT(OR(N(资金日记账!$H32)&lt;&gt;0,N(资金日记账!$I32)&lt;&gt;0)),0,IF(资金日记账!$B32="",1,IF(OR(N(资金日记账!$B32)&lt;$H$1,N(资金日记账!$B32)&gt;$I$1),0,1))))</f>
        <v>0</v>
      </c>
      <c r="H39" s="0" t="n">
        <f aca="false">N(H38)+$G39</f>
        <v>3</v>
      </c>
      <c r="I39" s="0" t="str">
        <f aca="false">IF($G39=0,"",IF(资金日记账!$B32=0,"",资金日记账!$B32))</f>
        <v/>
      </c>
      <c r="J39" s="0" t="str">
        <f aca="false">IF($G39=0,"",IF(资金日记账!$D32=0,"",资金日记账!$D32))</f>
        <v/>
      </c>
      <c r="K39" s="0" t="str">
        <f aca="false">IF($G39=0,"",IF(""=0,"",""))</f>
        <v/>
      </c>
      <c r="L39" s="0" t="str">
        <f aca="false">IF($G39=0,"",IF(""=0,"",""))</f>
        <v/>
      </c>
      <c r="M39" s="0" t="str">
        <f aca="false">IF($G39=0,"",IF(""=0,"",""))</f>
        <v/>
      </c>
      <c r="N39" s="0" t="str">
        <f aca="false">IF($G39=0,"",IF(IF(N(资金日记账!$I32)=0,"",-ROUND(N(资金日记账!$I32),2))=0,"",IF(N(资金日记账!$I32)=0,"",-ROUND(N(资金日记账!$I32),2))))</f>
        <v/>
      </c>
      <c r="O39" s="0" t="str">
        <f aca="false">IF($G39=0,"",IF(IF(N(资金日记账!$H32)=0,"",ROUND(N(资金日记账!$H32),2))=0,"",IF(N(资金日记账!$H32)=0,"",ROUND(N(资金日记账!$H32),2))))</f>
        <v/>
      </c>
      <c r="P39" s="0" t="str">
        <f aca="false">IF($G39=0,"",IF(资金日记账!$L32=0,"",资金日记账!$L32))</f>
        <v/>
      </c>
      <c r="T39" s="0" t="str">
        <f aca="false">IF(资金日记账!$G39="","",资金日记账!$G39)</f>
        <v>儿子消费</v>
      </c>
      <c r="U39" s="0" t="n">
        <f aca="false">IF(T39="",0,IF(MATCH(T39,$T$4:$T$903,0)=ROW()-3,1,0))</f>
        <v>0</v>
      </c>
      <c r="V39" s="0" t="n">
        <f aca="false">N(V38)+U39</f>
        <v>19</v>
      </c>
      <c r="X39" s="0" t="str">
        <f aca="false">IFERROR(INDEX($T$4:$T$903,MATCH(36,$V$4:$V$903,0)),"")</f>
        <v/>
      </c>
      <c r="Z39" s="0" t="str">
        <f aca="false">IF(成本费用登记表!$C39="","",成本费用登记表!$C39)</f>
        <v/>
      </c>
      <c r="AA39" s="0" t="n">
        <f aca="false">IF(Z39="",0,IF(MATCH(Z39,$Z$4:$Z$303,0)=ROW()-3,1,0))</f>
        <v>0</v>
      </c>
      <c r="AB39" s="0" t="n">
        <f aca="false">N(AB38)+AA39</f>
        <v>0</v>
      </c>
      <c r="AD39" s="0" t="str">
        <f aca="false">IFERROR(INDEX($Z$4:$Z$303,MATCH(36,$AB$4:$AB$303,0)),"")</f>
        <v/>
      </c>
      <c r="AF39" s="0" t="str">
        <f aca="false">IF(OR(资金日记账!$E39="",N(资金日记账!$H39)=0),"",资金日记账!$E39)</f>
        <v/>
      </c>
      <c r="AG39" s="0" t="n">
        <f aca="false">IF(AF39="",0,IF(MATCH(AF39,$AF$4:$AF$603,0)=ROW()-3,1,0))</f>
        <v>0</v>
      </c>
      <c r="AH39" s="0" t="n">
        <f aca="false">N(AH38)+AG39</f>
        <v>0</v>
      </c>
      <c r="AJ39" s="0" t="str">
        <f aca="false">IFERROR(INDEX($AF$4:$AF$603,MATCH(36,$AH$4:$AH$603,0)),"")</f>
        <v/>
      </c>
    </row>
    <row r="40" customFormat="false" ht="13.5" hidden="false" customHeight="false" outlineLevel="0" collapsed="false">
      <c r="A40" s="0" t="str">
        <f aca="false">IF(((进销存对接!$D40="客户应收")+(进销存对接!$D40="成品销售款")+(进销存对接!$D40="公司购买果品款")+(进销存对接!$D40="筐子销售款")+(进销存对接!$D40="物料销售款"))&gt;0,进销存对接!$C40,"")</f>
        <v/>
      </c>
      <c r="B40" s="0" t="n">
        <f aca="false">IF(A40="",0,IF(MATCH(A40,$A$4:$A$1925,0)=ROW()-3,1,0))</f>
        <v>0</v>
      </c>
      <c r="C40" s="0" t="n">
        <f aca="false">N(C39)+B40</f>
        <v>6</v>
      </c>
      <c r="E40" s="0" t="str">
        <f aca="false">IFERROR(INDEX($A$4:$A$1925,MATCH(ROW()-3,$C$4:$C$1925,0)),"")</f>
        <v/>
      </c>
      <c r="G40" s="0" t="n">
        <f aca="false">IF(OR($G$1="",资金日记账!$E33="",资金日记账!$E33&lt;&gt;$G$1),0,IF(NOT(OR(N(资金日记账!$H33)&lt;&gt;0,N(资金日记账!$I33)&lt;&gt;0)),0,IF(资金日记账!$B33="",1,IF(OR(N(资金日记账!$B33)&lt;$H$1,N(资金日记账!$B33)&gt;$I$1),0,1))))</f>
        <v>0</v>
      </c>
      <c r="H40" s="0" t="n">
        <f aca="false">N(H39)+$G40</f>
        <v>3</v>
      </c>
      <c r="I40" s="0" t="str">
        <f aca="false">IF($G40=0,"",IF(资金日记账!$B33=0,"",资金日记账!$B33))</f>
        <v/>
      </c>
      <c r="J40" s="0" t="str">
        <f aca="false">IF($G40=0,"",IF(资金日记账!$D33=0,"",资金日记账!$D33))</f>
        <v/>
      </c>
      <c r="K40" s="0" t="str">
        <f aca="false">IF($G40=0,"",IF(""=0,"",""))</f>
        <v/>
      </c>
      <c r="L40" s="0" t="str">
        <f aca="false">IF($G40=0,"",IF(""=0,"",""))</f>
        <v/>
      </c>
      <c r="M40" s="0" t="str">
        <f aca="false">IF($G40=0,"",IF(""=0,"",""))</f>
        <v/>
      </c>
      <c r="N40" s="0" t="str">
        <f aca="false">IF($G40=0,"",IF(IF(N(资金日记账!$I33)=0,"",-ROUND(N(资金日记账!$I33),2))=0,"",IF(N(资金日记账!$I33)=0,"",-ROUND(N(资金日记账!$I33),2))))</f>
        <v/>
      </c>
      <c r="O40" s="0" t="str">
        <f aca="false">IF($G40=0,"",IF(IF(N(资金日记账!$H33)=0,"",ROUND(N(资金日记账!$H33),2))=0,"",IF(N(资金日记账!$H33)=0,"",ROUND(N(资金日记账!$H33),2))))</f>
        <v/>
      </c>
      <c r="P40" s="0" t="str">
        <f aca="false">IF($G40=0,"",IF(资金日记账!$L33=0,"",资金日记账!$L33))</f>
        <v/>
      </c>
      <c r="T40" s="0" t="str">
        <f aca="false">IF(资金日记账!$G40="","",资金日记账!$G40)</f>
        <v>吃饭</v>
      </c>
      <c r="U40" s="0" t="n">
        <f aca="false">IF(T40="",0,IF(MATCH(T40,$T$4:$T$903,0)=ROW()-3,1,0))</f>
        <v>0</v>
      </c>
      <c r="V40" s="0" t="n">
        <f aca="false">N(V39)+U40</f>
        <v>19</v>
      </c>
      <c r="X40" s="0" t="str">
        <f aca="false">IFERROR(INDEX($T$4:$T$903,MATCH(37,$V$4:$V$903,0)),"")</f>
        <v/>
      </c>
      <c r="Z40" s="0" t="str">
        <f aca="false">IF(成本费用登记表!$C40="","",成本费用登记表!$C40)</f>
        <v/>
      </c>
      <c r="AA40" s="0" t="n">
        <f aca="false">IF(Z40="",0,IF(MATCH(Z40,$Z$4:$Z$303,0)=ROW()-3,1,0))</f>
        <v>0</v>
      </c>
      <c r="AB40" s="0" t="n">
        <f aca="false">N(AB39)+AA40</f>
        <v>0</v>
      </c>
      <c r="AD40" s="0" t="str">
        <f aca="false">IFERROR(INDEX($Z$4:$Z$303,MATCH(37,$AB$4:$AB$303,0)),"")</f>
        <v/>
      </c>
      <c r="AF40" s="0" t="str">
        <f aca="false">IF(OR(资金日记账!$E40="",N(资金日记账!$H40)=0),"",资金日记账!$E40)</f>
        <v/>
      </c>
      <c r="AG40" s="0" t="n">
        <f aca="false">IF(AF40="",0,IF(MATCH(AF40,$AF$4:$AF$603,0)=ROW()-3,1,0))</f>
        <v>0</v>
      </c>
      <c r="AH40" s="0" t="n">
        <f aca="false">N(AH39)+AG40</f>
        <v>0</v>
      </c>
      <c r="AJ40" s="0" t="str">
        <f aca="false">IFERROR(INDEX($AF$4:$AF$603,MATCH(37,$AH$4:$AH$603,0)),"")</f>
        <v/>
      </c>
    </row>
    <row r="41" customFormat="false" ht="13.5" hidden="false" customHeight="false" outlineLevel="0" collapsed="false">
      <c r="A41" s="0" t="str">
        <f aca="false">IF(((进销存对接!$D41="客户应收")+(进销存对接!$D41="成品销售款")+(进销存对接!$D41="公司购买果品款")+(进销存对接!$D41="筐子销售款")+(进销存对接!$D41="物料销售款"))&gt;0,进销存对接!$C41,"")</f>
        <v/>
      </c>
      <c r="B41" s="0" t="n">
        <f aca="false">IF(A41="",0,IF(MATCH(A41,$A$4:$A$1925,0)=ROW()-3,1,0))</f>
        <v>0</v>
      </c>
      <c r="C41" s="0" t="n">
        <f aca="false">N(C40)+B41</f>
        <v>6</v>
      </c>
      <c r="E41" s="0" t="str">
        <f aca="false">IFERROR(INDEX($A$4:$A$1925,MATCH(ROW()-3,$C$4:$C$1925,0)),"")</f>
        <v/>
      </c>
      <c r="G41" s="0" t="n">
        <f aca="false">IF(OR($G$1="",资金日记账!$E34="",资金日记账!$E34&lt;&gt;$G$1),0,IF(NOT(OR(N(资金日记账!$H34)&lt;&gt;0,N(资金日记账!$I34)&lt;&gt;0)),0,IF(资金日记账!$B34="",1,IF(OR(N(资金日记账!$B34)&lt;$H$1,N(资金日记账!$B34)&gt;$I$1),0,1))))</f>
        <v>0</v>
      </c>
      <c r="H41" s="0" t="n">
        <f aca="false">N(H40)+$G41</f>
        <v>3</v>
      </c>
      <c r="I41" s="0" t="str">
        <f aca="false">IF($G41=0,"",IF(资金日记账!$B34=0,"",资金日记账!$B34))</f>
        <v/>
      </c>
      <c r="J41" s="0" t="str">
        <f aca="false">IF($G41=0,"",IF(资金日记账!$D34=0,"",资金日记账!$D34))</f>
        <v/>
      </c>
      <c r="K41" s="0" t="str">
        <f aca="false">IF($G41=0,"",IF(""=0,"",""))</f>
        <v/>
      </c>
      <c r="L41" s="0" t="str">
        <f aca="false">IF($G41=0,"",IF(""=0,"",""))</f>
        <v/>
      </c>
      <c r="M41" s="0" t="str">
        <f aca="false">IF($G41=0,"",IF(""=0,"",""))</f>
        <v/>
      </c>
      <c r="N41" s="0" t="str">
        <f aca="false">IF($G41=0,"",IF(IF(N(资金日记账!$I34)=0,"",-ROUND(N(资金日记账!$I34),2))=0,"",IF(N(资金日记账!$I34)=0,"",-ROUND(N(资金日记账!$I34),2))))</f>
        <v/>
      </c>
      <c r="O41" s="0" t="str">
        <f aca="false">IF($G41=0,"",IF(IF(N(资金日记账!$H34)=0,"",ROUND(N(资金日记账!$H34),2))=0,"",IF(N(资金日记账!$H34)=0,"",ROUND(N(资金日记账!$H34),2))))</f>
        <v/>
      </c>
      <c r="P41" s="0" t="str">
        <f aca="false">IF($G41=0,"",IF(资金日记账!$L34=0,"",资金日记账!$L34))</f>
        <v/>
      </c>
      <c r="T41" s="0" t="str">
        <f aca="false">IF(资金日记账!$G41="","",资金日记账!$G41)</f>
        <v>吃饭</v>
      </c>
      <c r="U41" s="0" t="n">
        <f aca="false">IF(T41="",0,IF(MATCH(T41,$T$4:$T$903,0)=ROW()-3,1,0))</f>
        <v>0</v>
      </c>
      <c r="V41" s="0" t="n">
        <f aca="false">N(V40)+U41</f>
        <v>19</v>
      </c>
      <c r="X41" s="0" t="str">
        <f aca="false">IFERROR(INDEX($T$4:$T$903,MATCH(38,$V$4:$V$903,0)),"")</f>
        <v/>
      </c>
      <c r="Z41" s="0" t="str">
        <f aca="false">IF(成本费用登记表!$C41="","",成本费用登记表!$C41)</f>
        <v/>
      </c>
      <c r="AA41" s="0" t="n">
        <f aca="false">IF(Z41="",0,IF(MATCH(Z41,$Z$4:$Z$303,0)=ROW()-3,1,0))</f>
        <v>0</v>
      </c>
      <c r="AB41" s="0" t="n">
        <f aca="false">N(AB40)+AA41</f>
        <v>0</v>
      </c>
      <c r="AD41" s="0" t="str">
        <f aca="false">IFERROR(INDEX($Z$4:$Z$303,MATCH(38,$AB$4:$AB$303,0)),"")</f>
        <v/>
      </c>
      <c r="AF41" s="0" t="str">
        <f aca="false">IF(OR(资金日记账!$E41="",N(资金日记账!$H41)=0),"",资金日记账!$E41)</f>
        <v/>
      </c>
      <c r="AG41" s="0" t="n">
        <f aca="false">IF(AF41="",0,IF(MATCH(AF41,$AF$4:$AF$603,0)=ROW()-3,1,0))</f>
        <v>0</v>
      </c>
      <c r="AH41" s="0" t="n">
        <f aca="false">N(AH40)+AG41</f>
        <v>0</v>
      </c>
      <c r="AJ41" s="0" t="str">
        <f aca="false">IFERROR(INDEX($AF$4:$AF$603,MATCH(38,$AH$4:$AH$603,0)),"")</f>
        <v/>
      </c>
    </row>
    <row r="42" customFormat="false" ht="13.5" hidden="false" customHeight="false" outlineLevel="0" collapsed="false">
      <c r="A42" s="0" t="str">
        <f aca="false">IF(((进销存对接!$D42="客户应收")+(进销存对接!$D42="成品销售款")+(进销存对接!$D42="公司购买果品款")+(进销存对接!$D42="筐子销售款")+(进销存对接!$D42="物料销售款"))&gt;0,进销存对接!$C42,"")</f>
        <v/>
      </c>
      <c r="B42" s="0" t="n">
        <f aca="false">IF(A42="",0,IF(MATCH(A42,$A$4:$A$1925,0)=ROW()-3,1,0))</f>
        <v>0</v>
      </c>
      <c r="C42" s="0" t="n">
        <f aca="false">N(C41)+B42</f>
        <v>6</v>
      </c>
      <c r="E42" s="0" t="str">
        <f aca="false">IFERROR(INDEX($A$4:$A$1925,MATCH(ROW()-3,$C$4:$C$1925,0)),"")</f>
        <v/>
      </c>
      <c r="G42" s="0" t="n">
        <f aca="false">IF(OR($G$1="",资金日记账!$E35="",资金日记账!$E35&lt;&gt;$G$1),0,IF(NOT(OR(N(资金日记账!$H35)&lt;&gt;0,N(资金日记账!$I35)&lt;&gt;0)),0,IF(资金日记账!$B35="",1,IF(OR(N(资金日记账!$B35)&lt;$H$1,N(资金日记账!$B35)&gt;$I$1),0,1))))</f>
        <v>0</v>
      </c>
      <c r="H42" s="0" t="n">
        <f aca="false">N(H41)+$G42</f>
        <v>3</v>
      </c>
      <c r="I42" s="0" t="str">
        <f aca="false">IF($G42=0,"",IF(资金日记账!$B35=0,"",资金日记账!$B35))</f>
        <v/>
      </c>
      <c r="J42" s="0" t="str">
        <f aca="false">IF($G42=0,"",IF(资金日记账!$D35=0,"",资金日记账!$D35))</f>
        <v/>
      </c>
      <c r="K42" s="0" t="str">
        <f aca="false">IF($G42=0,"",IF(""=0,"",""))</f>
        <v/>
      </c>
      <c r="L42" s="0" t="str">
        <f aca="false">IF($G42=0,"",IF(""=0,"",""))</f>
        <v/>
      </c>
      <c r="M42" s="0" t="str">
        <f aca="false">IF($G42=0,"",IF(""=0,"",""))</f>
        <v/>
      </c>
      <c r="N42" s="0" t="str">
        <f aca="false">IF($G42=0,"",IF(IF(N(资金日记账!$I35)=0,"",-ROUND(N(资金日记账!$I35),2))=0,"",IF(N(资金日记账!$I35)=0,"",-ROUND(N(资金日记账!$I35),2))))</f>
        <v/>
      </c>
      <c r="O42" s="0" t="str">
        <f aca="false">IF($G42=0,"",IF(IF(N(资金日记账!$H35)=0,"",ROUND(N(资金日记账!$H35),2))=0,"",IF(N(资金日记账!$H35)=0,"",ROUND(N(资金日记账!$H35),2))))</f>
        <v/>
      </c>
      <c r="P42" s="0" t="str">
        <f aca="false">IF($G42=0,"",IF(资金日记账!$L35=0,"",资金日记账!$L35))</f>
        <v/>
      </c>
      <c r="T42" s="0" t="str">
        <f aca="false">IF(资金日记账!$G42="","",资金日记账!$G42)</f>
        <v>吃饭</v>
      </c>
      <c r="U42" s="0" t="n">
        <f aca="false">IF(T42="",0,IF(MATCH(T42,$T$4:$T$903,0)=ROW()-3,1,0))</f>
        <v>0</v>
      </c>
      <c r="V42" s="0" t="n">
        <f aca="false">N(V41)+U42</f>
        <v>19</v>
      </c>
      <c r="X42" s="0" t="str">
        <f aca="false">IFERROR(INDEX($T$4:$T$903,MATCH(39,$V$4:$V$903,0)),"")</f>
        <v/>
      </c>
      <c r="Z42" s="0" t="str">
        <f aca="false">IF(成本费用登记表!$C42="","",成本费用登记表!$C42)</f>
        <v/>
      </c>
      <c r="AA42" s="0" t="n">
        <f aca="false">IF(Z42="",0,IF(MATCH(Z42,$Z$4:$Z$303,0)=ROW()-3,1,0))</f>
        <v>0</v>
      </c>
      <c r="AB42" s="0" t="n">
        <f aca="false">N(AB41)+AA42</f>
        <v>0</v>
      </c>
      <c r="AD42" s="0" t="str">
        <f aca="false">IFERROR(INDEX($Z$4:$Z$303,MATCH(39,$AB$4:$AB$303,0)),"")</f>
        <v/>
      </c>
      <c r="AF42" s="0" t="str">
        <f aca="false">IF(OR(资金日记账!$E42="",N(资金日记账!$H42)=0),"",资金日记账!$E42)</f>
        <v/>
      </c>
      <c r="AG42" s="0" t="n">
        <f aca="false">IF(AF42="",0,IF(MATCH(AF42,$AF$4:$AF$603,0)=ROW()-3,1,0))</f>
        <v>0</v>
      </c>
      <c r="AH42" s="0" t="n">
        <f aca="false">N(AH41)+AG42</f>
        <v>0</v>
      </c>
      <c r="AJ42" s="0" t="str">
        <f aca="false">IFERROR(INDEX($AF$4:$AF$603,MATCH(39,$AH$4:$AH$603,0)),"")</f>
        <v/>
      </c>
    </row>
    <row r="43" customFormat="false" ht="13.5" hidden="false" customHeight="false" outlineLevel="0" collapsed="false">
      <c r="A43" s="0" t="str">
        <f aca="false">IF(((进销存对接!$D43="客户应收")+(进销存对接!$D43="成品销售款")+(进销存对接!$D43="公司购买果品款")+(进销存对接!$D43="筐子销售款")+(进销存对接!$D43="物料销售款"))&gt;0,进销存对接!$C43,"")</f>
        <v/>
      </c>
      <c r="B43" s="0" t="n">
        <f aca="false">IF(A43="",0,IF(MATCH(A43,$A$4:$A$1925,0)=ROW()-3,1,0))</f>
        <v>0</v>
      </c>
      <c r="C43" s="0" t="n">
        <f aca="false">N(C42)+B43</f>
        <v>6</v>
      </c>
      <c r="E43" s="0" t="str">
        <f aca="false">IFERROR(INDEX($A$4:$A$1925,MATCH(ROW()-3,$C$4:$C$1925,0)),"")</f>
        <v/>
      </c>
      <c r="G43" s="0" t="n">
        <f aca="false">IF(OR($G$1="",资金日记账!$E36="",资金日记账!$E36&lt;&gt;$G$1),0,IF(NOT(OR(N(资金日记账!$H36)&lt;&gt;0,N(资金日记账!$I36)&lt;&gt;0)),0,IF(资金日记账!$B36="",1,IF(OR(N(资金日记账!$B36)&lt;$H$1,N(资金日记账!$B36)&gt;$I$1),0,1))))</f>
        <v>0</v>
      </c>
      <c r="H43" s="0" t="n">
        <f aca="false">N(H42)+$G43</f>
        <v>3</v>
      </c>
      <c r="I43" s="0" t="str">
        <f aca="false">IF($G43=0,"",IF(资金日记账!$B36=0,"",资金日记账!$B36))</f>
        <v/>
      </c>
      <c r="J43" s="0" t="str">
        <f aca="false">IF($G43=0,"",IF(资金日记账!$D36=0,"",资金日记账!$D36))</f>
        <v/>
      </c>
      <c r="K43" s="0" t="str">
        <f aca="false">IF($G43=0,"",IF(""=0,"",""))</f>
        <v/>
      </c>
      <c r="L43" s="0" t="str">
        <f aca="false">IF($G43=0,"",IF(""=0,"",""))</f>
        <v/>
      </c>
      <c r="M43" s="0" t="str">
        <f aca="false">IF($G43=0,"",IF(""=0,"",""))</f>
        <v/>
      </c>
      <c r="N43" s="0" t="str">
        <f aca="false">IF($G43=0,"",IF(IF(N(资金日记账!$I36)=0,"",-ROUND(N(资金日记账!$I36),2))=0,"",IF(N(资金日记账!$I36)=0,"",-ROUND(N(资金日记账!$I36),2))))</f>
        <v/>
      </c>
      <c r="O43" s="0" t="str">
        <f aca="false">IF($G43=0,"",IF(IF(N(资金日记账!$H36)=0,"",ROUND(N(资金日记账!$H36),2))=0,"",IF(N(资金日记账!$H36)=0,"",ROUND(N(资金日记账!$H36),2))))</f>
        <v/>
      </c>
      <c r="P43" s="0" t="str">
        <f aca="false">IF($G43=0,"",IF(资金日记账!$L36=0,"",资金日记账!$L36))</f>
        <v/>
      </c>
      <c r="T43" s="0" t="str">
        <f aca="false">IF(资金日记账!$G43="","",资金日记账!$G43)</f>
        <v>还信用卡</v>
      </c>
      <c r="U43" s="0" t="n">
        <f aca="false">IF(T43="",0,IF(MATCH(T43,$T$4:$T$903,0)=ROW()-3,1,0))</f>
        <v>0</v>
      </c>
      <c r="V43" s="0" t="n">
        <f aca="false">N(V42)+U43</f>
        <v>19</v>
      </c>
      <c r="X43" s="0" t="str">
        <f aca="false">IFERROR(INDEX($T$4:$T$903,MATCH(40,$V$4:$V$903,0)),"")</f>
        <v/>
      </c>
      <c r="Z43" s="0" t="str">
        <f aca="false">IF(成本费用登记表!$C43="","",成本费用登记表!$C43)</f>
        <v/>
      </c>
      <c r="AA43" s="0" t="n">
        <f aca="false">IF(Z43="",0,IF(MATCH(Z43,$Z$4:$Z$303,0)=ROW()-3,1,0))</f>
        <v>0</v>
      </c>
      <c r="AB43" s="0" t="n">
        <f aca="false">N(AB42)+AA43</f>
        <v>0</v>
      </c>
      <c r="AD43" s="0" t="str">
        <f aca="false">IFERROR(INDEX($Z$4:$Z$303,MATCH(40,$AB$4:$AB$303,0)),"")</f>
        <v/>
      </c>
      <c r="AF43" s="0" t="str">
        <f aca="false">IF(OR(资金日记账!$E43="",N(资金日记账!$H43)=0),"",资金日记账!$E43)</f>
        <v/>
      </c>
      <c r="AG43" s="0" t="n">
        <f aca="false">IF(AF43="",0,IF(MATCH(AF43,$AF$4:$AF$603,0)=ROW()-3,1,0))</f>
        <v>0</v>
      </c>
      <c r="AH43" s="0" t="n">
        <f aca="false">N(AH42)+AG43</f>
        <v>0</v>
      </c>
      <c r="AJ43" s="0" t="str">
        <f aca="false">IFERROR(INDEX($AF$4:$AF$603,MATCH(40,$AH$4:$AH$603,0)),"")</f>
        <v/>
      </c>
    </row>
    <row r="44" customFormat="false" ht="13.5" hidden="false" customHeight="false" outlineLevel="0" collapsed="false">
      <c r="A44" s="0" t="str">
        <f aca="false">IF(((进销存对接!$D44="客户应收")+(进销存对接!$D44="成品销售款")+(进销存对接!$D44="公司购买果品款")+(进销存对接!$D44="筐子销售款")+(进销存对接!$D44="物料销售款"))&gt;0,进销存对接!$C44,"")</f>
        <v/>
      </c>
      <c r="B44" s="0" t="n">
        <f aca="false">IF(A44="",0,IF(MATCH(A44,$A$4:$A$1925,0)=ROW()-3,1,0))</f>
        <v>0</v>
      </c>
      <c r="C44" s="0" t="n">
        <f aca="false">N(C43)+B44</f>
        <v>6</v>
      </c>
      <c r="E44" s="0" t="str">
        <f aca="false">IFERROR(INDEX($A$4:$A$1925,MATCH(ROW()-3,$C$4:$C$1925,0)),"")</f>
        <v/>
      </c>
      <c r="G44" s="0" t="n">
        <f aca="false">IF(OR($G$1="",资金日记账!$E37="",资金日记账!$E37&lt;&gt;$G$1),0,IF(NOT(OR(N(资金日记账!$H37)&lt;&gt;0,N(资金日记账!$I37)&lt;&gt;0)),0,IF(资金日记账!$B37="",1,IF(OR(N(资金日记账!$B37)&lt;$H$1,N(资金日记账!$B37)&gt;$I$1),0,1))))</f>
        <v>0</v>
      </c>
      <c r="H44" s="0" t="n">
        <f aca="false">N(H43)+$G44</f>
        <v>3</v>
      </c>
      <c r="I44" s="0" t="str">
        <f aca="false">IF($G44=0,"",IF(资金日记账!$B37=0,"",资金日记账!$B37))</f>
        <v/>
      </c>
      <c r="J44" s="0" t="str">
        <f aca="false">IF($G44=0,"",IF(资金日记账!$D37=0,"",资金日记账!$D37))</f>
        <v/>
      </c>
      <c r="K44" s="0" t="str">
        <f aca="false">IF($G44=0,"",IF(""=0,"",""))</f>
        <v/>
      </c>
      <c r="L44" s="0" t="str">
        <f aca="false">IF($G44=0,"",IF(""=0,"",""))</f>
        <v/>
      </c>
      <c r="M44" s="0" t="str">
        <f aca="false">IF($G44=0,"",IF(""=0,"",""))</f>
        <v/>
      </c>
      <c r="N44" s="0" t="str">
        <f aca="false">IF($G44=0,"",IF(IF(N(资金日记账!$I37)=0,"",-ROUND(N(资金日记账!$I37),2))=0,"",IF(N(资金日记账!$I37)=0,"",-ROUND(N(资金日记账!$I37),2))))</f>
        <v/>
      </c>
      <c r="O44" s="0" t="str">
        <f aca="false">IF($G44=0,"",IF(IF(N(资金日记账!$H37)=0,"",ROUND(N(资金日记账!$H37),2))=0,"",IF(N(资金日记账!$H37)=0,"",ROUND(N(资金日记账!$H37),2))))</f>
        <v/>
      </c>
      <c r="P44" s="0" t="str">
        <f aca="false">IF($G44=0,"",IF(资金日记账!$L37=0,"",资金日记账!$L37))</f>
        <v/>
      </c>
      <c r="T44" s="0" t="str">
        <f aca="false">IF(资金日记账!$G44="","",资金日记账!$G44)</f>
        <v>滴滴打车</v>
      </c>
      <c r="U44" s="0" t="n">
        <f aca="false">IF(T44="",0,IF(MATCH(T44,$T$4:$T$903,0)=ROW()-3,1,0))</f>
        <v>0</v>
      </c>
      <c r="V44" s="0" t="n">
        <f aca="false">N(V43)+U44</f>
        <v>19</v>
      </c>
      <c r="X44" s="0" t="str">
        <f aca="false">IFERROR(INDEX($T$4:$T$903,MATCH(41,$V$4:$V$903,0)),"")</f>
        <v/>
      </c>
      <c r="Z44" s="0" t="str">
        <f aca="false">IF(成本费用登记表!$C44="","",成本费用登记表!$C44)</f>
        <v/>
      </c>
      <c r="AA44" s="0" t="n">
        <f aca="false">IF(Z44="",0,IF(MATCH(Z44,$Z$4:$Z$303,0)=ROW()-3,1,0))</f>
        <v>0</v>
      </c>
      <c r="AB44" s="0" t="n">
        <f aca="false">N(AB43)+AA44</f>
        <v>0</v>
      </c>
      <c r="AD44" s="0" t="str">
        <f aca="false">IFERROR(INDEX($Z$4:$Z$303,MATCH(41,$AB$4:$AB$303,0)),"")</f>
        <v/>
      </c>
      <c r="AF44" s="0" t="str">
        <f aca="false">IF(OR(资金日记账!$E44="",N(资金日记账!$H44)=0),"",资金日记账!$E44)</f>
        <v/>
      </c>
      <c r="AG44" s="0" t="n">
        <f aca="false">IF(AF44="",0,IF(MATCH(AF44,$AF$4:$AF$603,0)=ROW()-3,1,0))</f>
        <v>0</v>
      </c>
      <c r="AH44" s="0" t="n">
        <f aca="false">N(AH43)+AG44</f>
        <v>0</v>
      </c>
      <c r="AJ44" s="0" t="str">
        <f aca="false">IFERROR(INDEX($AF$4:$AF$603,MATCH(41,$AH$4:$AH$603,0)),"")</f>
        <v/>
      </c>
    </row>
    <row r="45" customFormat="false" ht="13.5" hidden="false" customHeight="false" outlineLevel="0" collapsed="false">
      <c r="A45" s="0" t="str">
        <f aca="false">IF(((进销存对接!$D45="客户应收")+(进销存对接!$D45="成品销售款")+(进销存对接!$D45="公司购买果品款")+(进销存对接!$D45="筐子销售款")+(进销存对接!$D45="物料销售款"))&gt;0,进销存对接!$C45,"")</f>
        <v/>
      </c>
      <c r="B45" s="0" t="n">
        <f aca="false">IF(A45="",0,IF(MATCH(A45,$A$4:$A$1925,0)=ROW()-3,1,0))</f>
        <v>0</v>
      </c>
      <c r="C45" s="0" t="n">
        <f aca="false">N(C44)+B45</f>
        <v>6</v>
      </c>
      <c r="E45" s="0" t="str">
        <f aca="false">IFERROR(INDEX($A$4:$A$1925,MATCH(ROW()-3,$C$4:$C$1925,0)),"")</f>
        <v/>
      </c>
      <c r="G45" s="0" t="n">
        <f aca="false">IF(OR($G$1="",资金日记账!$E38="",资金日记账!$E38&lt;&gt;$G$1),0,IF(NOT(OR(N(资金日记账!$H38)&lt;&gt;0,N(资金日记账!$I38)&lt;&gt;0)),0,IF(资金日记账!$B38="",1,IF(OR(N(资金日记账!$B38)&lt;$H$1,N(资金日记账!$B38)&gt;$I$1),0,1))))</f>
        <v>0</v>
      </c>
      <c r="H45" s="0" t="n">
        <f aca="false">N(H44)+$G45</f>
        <v>3</v>
      </c>
      <c r="I45" s="0" t="str">
        <f aca="false">IF($G45=0,"",IF(资金日记账!$B38=0,"",资金日记账!$B38))</f>
        <v/>
      </c>
      <c r="J45" s="0" t="str">
        <f aca="false">IF($G45=0,"",IF(资金日记账!$D38=0,"",资金日记账!$D38))</f>
        <v/>
      </c>
      <c r="K45" s="0" t="str">
        <f aca="false">IF($G45=0,"",IF(""=0,"",""))</f>
        <v/>
      </c>
      <c r="L45" s="0" t="str">
        <f aca="false">IF($G45=0,"",IF(""=0,"",""))</f>
        <v/>
      </c>
      <c r="M45" s="0" t="str">
        <f aca="false">IF($G45=0,"",IF(""=0,"",""))</f>
        <v/>
      </c>
      <c r="N45" s="0" t="str">
        <f aca="false">IF($G45=0,"",IF(IF(N(资金日记账!$I38)=0,"",-ROUND(N(资金日记账!$I38),2))=0,"",IF(N(资金日记账!$I38)=0,"",-ROUND(N(资金日记账!$I38),2))))</f>
        <v/>
      </c>
      <c r="O45" s="0" t="str">
        <f aca="false">IF($G45=0,"",IF(IF(N(资金日记账!$H38)=0,"",ROUND(N(资金日记账!$H38),2))=0,"",IF(N(资金日记账!$H38)=0,"",ROUND(N(资金日记账!$H38),2))))</f>
        <v/>
      </c>
      <c r="P45" s="0" t="str">
        <f aca="false">IF($G45=0,"",IF(资金日记账!$L38=0,"",资金日记账!$L38))</f>
        <v/>
      </c>
      <c r="T45" s="0" t="str">
        <f aca="false">IF(资金日记账!$G45="","",资金日记账!$G45)</f>
        <v/>
      </c>
      <c r="U45" s="0" t="n">
        <f aca="false">IF(T45="",0,IF(MATCH(T45,$T$4:$T$903,0)=ROW()-3,1,0))</f>
        <v>0</v>
      </c>
      <c r="V45" s="0" t="n">
        <f aca="false">N(V44)+U45</f>
        <v>19</v>
      </c>
      <c r="X45" s="0" t="str">
        <f aca="false">IFERROR(INDEX($T$4:$T$903,MATCH(42,$V$4:$V$903,0)),"")</f>
        <v/>
      </c>
      <c r="Z45" s="0" t="str">
        <f aca="false">IF(成本费用登记表!$C45="","",成本费用登记表!$C45)</f>
        <v/>
      </c>
      <c r="AA45" s="0" t="n">
        <f aca="false">IF(Z45="",0,IF(MATCH(Z45,$Z$4:$Z$303,0)=ROW()-3,1,0))</f>
        <v>0</v>
      </c>
      <c r="AB45" s="0" t="n">
        <f aca="false">N(AB44)+AA45</f>
        <v>0</v>
      </c>
      <c r="AD45" s="0" t="str">
        <f aca="false">IFERROR(INDEX($Z$4:$Z$303,MATCH(42,$AB$4:$AB$303,0)),"")</f>
        <v/>
      </c>
      <c r="AF45" s="0" t="str">
        <f aca="false">IF(OR(资金日记账!$E45="",N(资金日记账!$H45)=0),"",资金日记账!$E45)</f>
        <v/>
      </c>
      <c r="AG45" s="0" t="n">
        <f aca="false">IF(AF45="",0,IF(MATCH(AF45,$AF$4:$AF$603,0)=ROW()-3,1,0))</f>
        <v>0</v>
      </c>
      <c r="AH45" s="0" t="n">
        <f aca="false">N(AH44)+AG45</f>
        <v>0</v>
      </c>
      <c r="AJ45" s="0" t="str">
        <f aca="false">IFERROR(INDEX($AF$4:$AF$603,MATCH(42,$AH$4:$AH$603,0)),"")</f>
        <v/>
      </c>
    </row>
    <row r="46" customFormat="false" ht="13.5" hidden="false" customHeight="false" outlineLevel="0" collapsed="false">
      <c r="A46" s="0" t="str">
        <f aca="false">IF(((进销存对接!$D46="客户应收")+(进销存对接!$D46="成品销售款")+(进销存对接!$D46="公司购买果品款")+(进销存对接!$D46="筐子销售款")+(进销存对接!$D46="物料销售款"))&gt;0,进销存对接!$C46,"")</f>
        <v/>
      </c>
      <c r="B46" s="0" t="n">
        <f aca="false">IF(A46="",0,IF(MATCH(A46,$A$4:$A$1925,0)=ROW()-3,1,0))</f>
        <v>0</v>
      </c>
      <c r="C46" s="0" t="n">
        <f aca="false">N(C45)+B46</f>
        <v>6</v>
      </c>
      <c r="E46" s="0" t="str">
        <f aca="false">IFERROR(INDEX($A$4:$A$1925,MATCH(ROW()-3,$C$4:$C$1925,0)),"")</f>
        <v/>
      </c>
      <c r="G46" s="0" t="n">
        <f aca="false">IF(OR($G$1="",资金日记账!$E39="",资金日记账!$E39&lt;&gt;$G$1),0,IF(NOT(OR(N(资金日记账!$H39)&lt;&gt;0,N(资金日记账!$I39)&lt;&gt;0)),0,IF(资金日记账!$B39="",1,IF(OR(N(资金日记账!$B39)&lt;$H$1,N(资金日记账!$B39)&gt;$I$1),0,1))))</f>
        <v>0</v>
      </c>
      <c r="H46" s="0" t="n">
        <f aca="false">N(H45)+$G46</f>
        <v>3</v>
      </c>
      <c r="I46" s="0" t="str">
        <f aca="false">IF($G46=0,"",IF(资金日记账!$B39=0,"",资金日记账!$B39))</f>
        <v/>
      </c>
      <c r="J46" s="0" t="str">
        <f aca="false">IF($G46=0,"",IF(资金日记账!$D39=0,"",资金日记账!$D39))</f>
        <v/>
      </c>
      <c r="K46" s="0" t="str">
        <f aca="false">IF($G46=0,"",IF(""=0,"",""))</f>
        <v/>
      </c>
      <c r="L46" s="0" t="str">
        <f aca="false">IF($G46=0,"",IF(""=0,"",""))</f>
        <v/>
      </c>
      <c r="M46" s="0" t="str">
        <f aca="false">IF($G46=0,"",IF(""=0,"",""))</f>
        <v/>
      </c>
      <c r="N46" s="0" t="str">
        <f aca="false">IF($G46=0,"",IF(IF(N(资金日记账!$I39)=0,"",-ROUND(N(资金日记账!$I39),2))=0,"",IF(N(资金日记账!$I39)=0,"",-ROUND(N(资金日记账!$I39),2))))</f>
        <v/>
      </c>
      <c r="O46" s="0" t="str">
        <f aca="false">IF($G46=0,"",IF(IF(N(资金日记账!$H39)=0,"",ROUND(N(资金日记账!$H39),2))=0,"",IF(N(资金日记账!$H39)=0,"",ROUND(N(资金日记账!$H39),2))))</f>
        <v/>
      </c>
      <c r="P46" s="0" t="str">
        <f aca="false">IF($G46=0,"",IF(资金日记账!$L39=0,"",资金日记账!$L39))</f>
        <v/>
      </c>
      <c r="T46" s="0" t="str">
        <f aca="false">IF(资金日记账!$G46="","",资金日记账!$G46)</f>
        <v/>
      </c>
      <c r="U46" s="0" t="n">
        <f aca="false">IF(T46="",0,IF(MATCH(T46,$T$4:$T$903,0)=ROW()-3,1,0))</f>
        <v>0</v>
      </c>
      <c r="V46" s="0" t="n">
        <f aca="false">N(V45)+U46</f>
        <v>19</v>
      </c>
      <c r="X46" s="0" t="str">
        <f aca="false">IFERROR(INDEX($T$4:$T$903,MATCH(43,$V$4:$V$903,0)),"")</f>
        <v/>
      </c>
      <c r="Z46" s="0" t="str">
        <f aca="false">IF(成本费用登记表!$C46="","",成本费用登记表!$C46)</f>
        <v/>
      </c>
      <c r="AA46" s="0" t="n">
        <f aca="false">IF(Z46="",0,IF(MATCH(Z46,$Z$4:$Z$303,0)=ROW()-3,1,0))</f>
        <v>0</v>
      </c>
      <c r="AB46" s="0" t="n">
        <f aca="false">N(AB45)+AA46</f>
        <v>0</v>
      </c>
      <c r="AD46" s="0" t="str">
        <f aca="false">IFERROR(INDEX($Z$4:$Z$303,MATCH(43,$AB$4:$AB$303,0)),"")</f>
        <v/>
      </c>
      <c r="AF46" s="0" t="str">
        <f aca="false">IF(OR(资金日记账!$E46="",N(资金日记账!$H46)=0),"",资金日记账!$E46)</f>
        <v/>
      </c>
      <c r="AG46" s="0" t="n">
        <f aca="false">IF(AF46="",0,IF(MATCH(AF46,$AF$4:$AF$603,0)=ROW()-3,1,0))</f>
        <v>0</v>
      </c>
      <c r="AH46" s="0" t="n">
        <f aca="false">N(AH45)+AG46</f>
        <v>0</v>
      </c>
      <c r="AJ46" s="0" t="str">
        <f aca="false">IFERROR(INDEX($AF$4:$AF$603,MATCH(43,$AH$4:$AH$603,0)),"")</f>
        <v/>
      </c>
    </row>
    <row r="47" customFormat="false" ht="13.5" hidden="false" customHeight="false" outlineLevel="0" collapsed="false">
      <c r="A47" s="0" t="str">
        <f aca="false">IF(((进销存对接!$D47="客户应收")+(进销存对接!$D47="成品销售款")+(进销存对接!$D47="公司购买果品款")+(进销存对接!$D47="筐子销售款")+(进销存对接!$D47="物料销售款"))&gt;0,进销存对接!$C47,"")</f>
        <v/>
      </c>
      <c r="B47" s="0" t="n">
        <f aca="false">IF(A47="",0,IF(MATCH(A47,$A$4:$A$1925,0)=ROW()-3,1,0))</f>
        <v>0</v>
      </c>
      <c r="C47" s="0" t="n">
        <f aca="false">N(C46)+B47</f>
        <v>6</v>
      </c>
      <c r="E47" s="0" t="str">
        <f aca="false">IFERROR(INDEX($A$4:$A$1925,MATCH(ROW()-3,$C$4:$C$1925,0)),"")</f>
        <v/>
      </c>
      <c r="G47" s="0" t="n">
        <f aca="false">IF(OR($G$1="",资金日记账!$E40="",资金日记账!$E40&lt;&gt;$G$1),0,IF(NOT(OR(N(资金日记账!$H40)&lt;&gt;0,N(资金日记账!$I40)&lt;&gt;0)),0,IF(资金日记账!$B40="",1,IF(OR(N(资金日记账!$B40)&lt;$H$1,N(资金日记账!$B40)&gt;$I$1),0,1))))</f>
        <v>0</v>
      </c>
      <c r="H47" s="0" t="n">
        <f aca="false">N(H46)+$G47</f>
        <v>3</v>
      </c>
      <c r="I47" s="0" t="str">
        <f aca="false">IF($G47=0,"",IF(资金日记账!$B40=0,"",资金日记账!$B40))</f>
        <v/>
      </c>
      <c r="J47" s="0" t="str">
        <f aca="false">IF($G47=0,"",IF(资金日记账!$D40=0,"",资金日记账!$D40))</f>
        <v/>
      </c>
      <c r="K47" s="0" t="str">
        <f aca="false">IF($G47=0,"",IF(""=0,"",""))</f>
        <v/>
      </c>
      <c r="L47" s="0" t="str">
        <f aca="false">IF($G47=0,"",IF(""=0,"",""))</f>
        <v/>
      </c>
      <c r="M47" s="0" t="str">
        <f aca="false">IF($G47=0,"",IF(""=0,"",""))</f>
        <v/>
      </c>
      <c r="N47" s="0" t="str">
        <f aca="false">IF($G47=0,"",IF(IF(N(资金日记账!$I40)=0,"",-ROUND(N(资金日记账!$I40),2))=0,"",IF(N(资金日记账!$I40)=0,"",-ROUND(N(资金日记账!$I40),2))))</f>
        <v/>
      </c>
      <c r="O47" s="0" t="str">
        <f aca="false">IF($G47=0,"",IF(IF(N(资金日记账!$H40)=0,"",ROUND(N(资金日记账!$H40),2))=0,"",IF(N(资金日记账!$H40)=0,"",ROUND(N(资金日记账!$H40),2))))</f>
        <v/>
      </c>
      <c r="P47" s="0" t="str">
        <f aca="false">IF($G47=0,"",IF(资金日记账!$L40=0,"",资金日记账!$L40))</f>
        <v/>
      </c>
      <c r="T47" s="0" t="str">
        <f aca="false">IF(资金日记账!$G47="","",资金日记账!$G47)</f>
        <v>滴滴打车</v>
      </c>
      <c r="U47" s="0" t="n">
        <f aca="false">IF(T47="",0,IF(MATCH(T47,$T$4:$T$903,0)=ROW()-3,1,0))</f>
        <v>0</v>
      </c>
      <c r="V47" s="0" t="n">
        <f aca="false">N(V46)+U47</f>
        <v>19</v>
      </c>
      <c r="X47" s="0" t="str">
        <f aca="false">IFERROR(INDEX($T$4:$T$903,MATCH(44,$V$4:$V$903,0)),"")</f>
        <v/>
      </c>
      <c r="Z47" s="0" t="str">
        <f aca="false">IF(成本费用登记表!$C47="","",成本费用登记表!$C47)</f>
        <v/>
      </c>
      <c r="AA47" s="0" t="n">
        <f aca="false">IF(Z47="",0,IF(MATCH(Z47,$Z$4:$Z$303,0)=ROW()-3,1,0))</f>
        <v>0</v>
      </c>
      <c r="AB47" s="0" t="n">
        <f aca="false">N(AB46)+AA47</f>
        <v>0</v>
      </c>
      <c r="AD47" s="0" t="str">
        <f aca="false">IFERROR(INDEX($Z$4:$Z$303,MATCH(44,$AB$4:$AB$303,0)),"")</f>
        <v/>
      </c>
      <c r="AF47" s="0" t="str">
        <f aca="false">IF(OR(资金日记账!$E47="",N(资金日记账!$H47)=0),"",资金日记账!$E47)</f>
        <v/>
      </c>
      <c r="AG47" s="0" t="n">
        <f aca="false">IF(AF47="",0,IF(MATCH(AF47,$AF$4:$AF$603,0)=ROW()-3,1,0))</f>
        <v>0</v>
      </c>
      <c r="AH47" s="0" t="n">
        <f aca="false">N(AH46)+AG47</f>
        <v>0</v>
      </c>
      <c r="AJ47" s="0" t="str">
        <f aca="false">IFERROR(INDEX($AF$4:$AF$603,MATCH(44,$AH$4:$AH$603,0)),"")</f>
        <v/>
      </c>
    </row>
    <row r="48" customFormat="false" ht="13.5" hidden="false" customHeight="false" outlineLevel="0" collapsed="false">
      <c r="A48" s="0" t="str">
        <f aca="false">IF(((进销存对接!$D48="客户应收")+(进销存对接!$D48="成品销售款")+(进销存对接!$D48="公司购买果品款")+(进销存对接!$D48="筐子销售款")+(进销存对接!$D48="物料销售款"))&gt;0,进销存对接!$C48,"")</f>
        <v/>
      </c>
      <c r="B48" s="0" t="n">
        <f aca="false">IF(A48="",0,IF(MATCH(A48,$A$4:$A$1925,0)=ROW()-3,1,0))</f>
        <v>0</v>
      </c>
      <c r="C48" s="0" t="n">
        <f aca="false">N(C47)+B48</f>
        <v>6</v>
      </c>
      <c r="E48" s="0" t="str">
        <f aca="false">IFERROR(INDEX($A$4:$A$1925,MATCH(ROW()-3,$C$4:$C$1925,0)),"")</f>
        <v/>
      </c>
      <c r="G48" s="0" t="n">
        <f aca="false">IF(OR($G$1="",资金日记账!$E41="",资金日记账!$E41&lt;&gt;$G$1),0,IF(NOT(OR(N(资金日记账!$H41)&lt;&gt;0,N(资金日记账!$I41)&lt;&gt;0)),0,IF(资金日记账!$B41="",1,IF(OR(N(资金日记账!$B41)&lt;$H$1,N(资金日记账!$B41)&gt;$I$1),0,1))))</f>
        <v>0</v>
      </c>
      <c r="H48" s="0" t="n">
        <f aca="false">N(H47)+$G48</f>
        <v>3</v>
      </c>
      <c r="I48" s="0" t="str">
        <f aca="false">IF($G48=0,"",IF(资金日记账!$B41=0,"",资金日记账!$B41))</f>
        <v/>
      </c>
      <c r="J48" s="0" t="str">
        <f aca="false">IF($G48=0,"",IF(资金日记账!$D41=0,"",资金日记账!$D41))</f>
        <v/>
      </c>
      <c r="K48" s="0" t="str">
        <f aca="false">IF($G48=0,"",IF(""=0,"",""))</f>
        <v/>
      </c>
      <c r="L48" s="0" t="str">
        <f aca="false">IF($G48=0,"",IF(""=0,"",""))</f>
        <v/>
      </c>
      <c r="M48" s="0" t="str">
        <f aca="false">IF($G48=0,"",IF(""=0,"",""))</f>
        <v/>
      </c>
      <c r="N48" s="0" t="str">
        <f aca="false">IF($G48=0,"",IF(IF(N(资金日记账!$I41)=0,"",-ROUND(N(资金日记账!$I41),2))=0,"",IF(N(资金日记账!$I41)=0,"",-ROUND(N(资金日记账!$I41),2))))</f>
        <v/>
      </c>
      <c r="O48" s="0" t="str">
        <f aca="false">IF($G48=0,"",IF(IF(N(资金日记账!$H41)=0,"",ROUND(N(资金日记账!$H41),2))=0,"",IF(N(资金日记账!$H41)=0,"",ROUND(N(资金日记账!$H41),2))))</f>
        <v/>
      </c>
      <c r="P48" s="0" t="str">
        <f aca="false">IF($G48=0,"",IF(资金日记账!$L41=0,"",资金日记账!$L41))</f>
        <v/>
      </c>
      <c r="T48" s="0" t="str">
        <f aca="false">IF(资金日记账!$G48="","",资金日记账!$G48)</f>
        <v>蛋糕</v>
      </c>
      <c r="U48" s="0" t="n">
        <f aca="false">IF(T48="",0,IF(MATCH(T48,$T$4:$T$903,0)=ROW()-3,1,0))</f>
        <v>1</v>
      </c>
      <c r="V48" s="0" t="n">
        <f aca="false">N(V47)+U48</f>
        <v>20</v>
      </c>
      <c r="X48" s="0" t="str">
        <f aca="false">IFERROR(INDEX($T$4:$T$903,MATCH(45,$V$4:$V$903,0)),"")</f>
        <v/>
      </c>
      <c r="Z48" s="0" t="str">
        <f aca="false">IF(成本费用登记表!$C48="","",成本费用登记表!$C48)</f>
        <v/>
      </c>
      <c r="AA48" s="0" t="n">
        <f aca="false">IF(Z48="",0,IF(MATCH(Z48,$Z$4:$Z$303,0)=ROW()-3,1,0))</f>
        <v>0</v>
      </c>
      <c r="AB48" s="0" t="n">
        <f aca="false">N(AB47)+AA48</f>
        <v>0</v>
      </c>
      <c r="AD48" s="0" t="str">
        <f aca="false">IFERROR(INDEX($Z$4:$Z$303,MATCH(45,$AB$4:$AB$303,0)),"")</f>
        <v/>
      </c>
      <c r="AF48" s="0" t="str">
        <f aca="false">IF(OR(资金日记账!$E48="",N(资金日记账!$H48)=0),"",资金日记账!$E48)</f>
        <v/>
      </c>
      <c r="AG48" s="0" t="n">
        <f aca="false">IF(AF48="",0,IF(MATCH(AF48,$AF$4:$AF$603,0)=ROW()-3,1,0))</f>
        <v>0</v>
      </c>
      <c r="AH48" s="0" t="n">
        <f aca="false">N(AH47)+AG48</f>
        <v>0</v>
      </c>
      <c r="AJ48" s="0" t="str">
        <f aca="false">IFERROR(INDEX($AF$4:$AF$603,MATCH(45,$AH$4:$AH$603,0)),"")</f>
        <v/>
      </c>
    </row>
    <row r="49" customFormat="false" ht="13.5" hidden="false" customHeight="false" outlineLevel="0" collapsed="false">
      <c r="A49" s="0" t="str">
        <f aca="false">IF(((进销存对接!$D49="客户应收")+(进销存对接!$D49="成品销售款")+(进销存对接!$D49="公司购买果品款")+(进销存对接!$D49="筐子销售款")+(进销存对接!$D49="物料销售款"))&gt;0,进销存对接!$C49,"")</f>
        <v/>
      </c>
      <c r="B49" s="0" t="n">
        <f aca="false">IF(A49="",0,IF(MATCH(A49,$A$4:$A$1925,0)=ROW()-3,1,0))</f>
        <v>0</v>
      </c>
      <c r="C49" s="0" t="n">
        <f aca="false">N(C48)+B49</f>
        <v>6</v>
      </c>
      <c r="E49" s="0" t="str">
        <f aca="false">IFERROR(INDEX($A$4:$A$1925,MATCH(ROW()-3,$C$4:$C$1925,0)),"")</f>
        <v/>
      </c>
      <c r="G49" s="0" t="n">
        <f aca="false">IF(OR($G$1="",资金日记账!$E42="",资金日记账!$E42&lt;&gt;$G$1),0,IF(NOT(OR(N(资金日记账!$H42)&lt;&gt;0,N(资金日记账!$I42)&lt;&gt;0)),0,IF(资金日记账!$B42="",1,IF(OR(N(资金日记账!$B42)&lt;$H$1,N(资金日记账!$B42)&gt;$I$1),0,1))))</f>
        <v>0</v>
      </c>
      <c r="H49" s="0" t="n">
        <f aca="false">N(H48)+$G49</f>
        <v>3</v>
      </c>
      <c r="I49" s="0" t="str">
        <f aca="false">IF($G49=0,"",IF(资金日记账!$B42=0,"",资金日记账!$B42))</f>
        <v/>
      </c>
      <c r="J49" s="0" t="str">
        <f aca="false">IF($G49=0,"",IF(资金日记账!$D42=0,"",资金日记账!$D42))</f>
        <v/>
      </c>
      <c r="K49" s="0" t="str">
        <f aca="false">IF($G49=0,"",IF(""=0,"",""))</f>
        <v/>
      </c>
      <c r="L49" s="0" t="str">
        <f aca="false">IF($G49=0,"",IF(""=0,"",""))</f>
        <v/>
      </c>
      <c r="M49" s="0" t="str">
        <f aca="false">IF($G49=0,"",IF(""=0,"",""))</f>
        <v/>
      </c>
      <c r="N49" s="0" t="str">
        <f aca="false">IF($G49=0,"",IF(IF(N(资金日记账!$I42)=0,"",-ROUND(N(资金日记账!$I42),2))=0,"",IF(N(资金日记账!$I42)=0,"",-ROUND(N(资金日记账!$I42),2))))</f>
        <v/>
      </c>
      <c r="O49" s="0" t="str">
        <f aca="false">IF($G49=0,"",IF(IF(N(资金日记账!$H42)=0,"",ROUND(N(资金日记账!$H42),2))=0,"",IF(N(资金日记账!$H42)=0,"",ROUND(N(资金日记账!$H42),2))))</f>
        <v/>
      </c>
      <c r="P49" s="0" t="str">
        <f aca="false">IF($G49=0,"",IF(资金日记账!$L42=0,"",资金日记账!$L42))</f>
        <v/>
      </c>
      <c r="T49" s="0" t="str">
        <f aca="false">IF(资金日记账!$G49="","",资金日记账!$G49)</f>
        <v>儿子消费</v>
      </c>
      <c r="U49" s="0" t="n">
        <f aca="false">IF(T49="",0,IF(MATCH(T49,$T$4:$T$903,0)=ROW()-3,1,0))</f>
        <v>0</v>
      </c>
      <c r="V49" s="0" t="n">
        <f aca="false">N(V48)+U49</f>
        <v>20</v>
      </c>
      <c r="X49" s="0" t="str">
        <f aca="false">IFERROR(INDEX($T$4:$T$903,MATCH(46,$V$4:$V$903,0)),"")</f>
        <v/>
      </c>
      <c r="Z49" s="0" t="str">
        <f aca="false">IF(成本费用登记表!$C49="","",成本费用登记表!$C49)</f>
        <v/>
      </c>
      <c r="AA49" s="0" t="n">
        <f aca="false">IF(Z49="",0,IF(MATCH(Z49,$Z$4:$Z$303,0)=ROW()-3,1,0))</f>
        <v>0</v>
      </c>
      <c r="AB49" s="0" t="n">
        <f aca="false">N(AB48)+AA49</f>
        <v>0</v>
      </c>
      <c r="AD49" s="0" t="str">
        <f aca="false">IFERROR(INDEX($Z$4:$Z$303,MATCH(46,$AB$4:$AB$303,0)),"")</f>
        <v/>
      </c>
      <c r="AF49" s="0" t="str">
        <f aca="false">IF(OR(资金日记账!$E49="",N(资金日记账!$H49)=0),"",资金日记账!$E49)</f>
        <v/>
      </c>
      <c r="AG49" s="0" t="n">
        <f aca="false">IF(AF49="",0,IF(MATCH(AF49,$AF$4:$AF$603,0)=ROW()-3,1,0))</f>
        <v>0</v>
      </c>
      <c r="AH49" s="0" t="n">
        <f aca="false">N(AH48)+AG49</f>
        <v>0</v>
      </c>
      <c r="AJ49" s="0" t="str">
        <f aca="false">IFERROR(INDEX($AF$4:$AF$603,MATCH(46,$AH$4:$AH$603,0)),"")</f>
        <v/>
      </c>
    </row>
    <row r="50" customFormat="false" ht="13.5" hidden="false" customHeight="false" outlineLevel="0" collapsed="false">
      <c r="A50" s="0" t="str">
        <f aca="false">IF(((进销存对接!$D50="客户应收")+(进销存对接!$D50="成品销售款")+(进销存对接!$D50="公司购买果品款")+(进销存对接!$D50="筐子销售款")+(进销存对接!$D50="物料销售款"))&gt;0,进销存对接!$C50,"")</f>
        <v/>
      </c>
      <c r="B50" s="0" t="n">
        <f aca="false">IF(A50="",0,IF(MATCH(A50,$A$4:$A$1925,0)=ROW()-3,1,0))</f>
        <v>0</v>
      </c>
      <c r="C50" s="0" t="n">
        <f aca="false">N(C49)+B50</f>
        <v>6</v>
      </c>
      <c r="E50" s="0" t="str">
        <f aca="false">IFERROR(INDEX($A$4:$A$1925,MATCH(ROW()-3,$C$4:$C$1925,0)),"")</f>
        <v/>
      </c>
      <c r="G50" s="0" t="n">
        <f aca="false">IF(OR($G$1="",资金日记账!$E43="",资金日记账!$E43&lt;&gt;$G$1),0,IF(NOT(OR(N(资金日记账!$H43)&lt;&gt;0,N(资金日记账!$I43)&lt;&gt;0)),0,IF(资金日记账!$B43="",1,IF(OR(N(资金日记账!$B43)&lt;$H$1,N(资金日记账!$B43)&gt;$I$1),0,1))))</f>
        <v>0</v>
      </c>
      <c r="H50" s="0" t="n">
        <f aca="false">N(H49)+$G50</f>
        <v>3</v>
      </c>
      <c r="I50" s="0" t="str">
        <f aca="false">IF($G50=0,"",IF(资金日记账!$B43=0,"",资金日记账!$B43))</f>
        <v/>
      </c>
      <c r="J50" s="0" t="str">
        <f aca="false">IF($G50=0,"",IF(资金日记账!$D43=0,"",资金日记账!$D43))</f>
        <v/>
      </c>
      <c r="K50" s="0" t="str">
        <f aca="false">IF($G50=0,"",IF(""=0,"",""))</f>
        <v/>
      </c>
      <c r="L50" s="0" t="str">
        <f aca="false">IF($G50=0,"",IF(""=0,"",""))</f>
        <v/>
      </c>
      <c r="M50" s="0" t="str">
        <f aca="false">IF($G50=0,"",IF(""=0,"",""))</f>
        <v/>
      </c>
      <c r="N50" s="0" t="str">
        <f aca="false">IF($G50=0,"",IF(IF(N(资金日记账!$I43)=0,"",-ROUND(N(资金日记账!$I43),2))=0,"",IF(N(资金日记账!$I43)=0,"",-ROUND(N(资金日记账!$I43),2))))</f>
        <v/>
      </c>
      <c r="O50" s="0" t="str">
        <f aca="false">IF($G50=0,"",IF(IF(N(资金日记账!$H43)=0,"",ROUND(N(资金日记账!$H43),2))=0,"",IF(N(资金日记账!$H43)=0,"",ROUND(N(资金日记账!$H43),2))))</f>
        <v/>
      </c>
      <c r="P50" s="0" t="str">
        <f aca="false">IF($G50=0,"",IF(资金日记账!$L43=0,"",资金日记账!$L43))</f>
        <v/>
      </c>
      <c r="T50" s="0" t="str">
        <f aca="false">IF(资金日记账!$G50="","",资金日记账!$G50)</f>
        <v/>
      </c>
      <c r="U50" s="0" t="n">
        <f aca="false">IF(T50="",0,IF(MATCH(T50,$T$4:$T$903,0)=ROW()-3,1,0))</f>
        <v>0</v>
      </c>
      <c r="V50" s="0" t="n">
        <f aca="false">N(V49)+U50</f>
        <v>20</v>
      </c>
      <c r="X50" s="0" t="str">
        <f aca="false">IFERROR(INDEX($T$4:$T$903,MATCH(47,$V$4:$V$903,0)),"")</f>
        <v/>
      </c>
      <c r="Z50" s="0" t="str">
        <f aca="false">IF(成本费用登记表!$C50="","",成本费用登记表!$C50)</f>
        <v/>
      </c>
      <c r="AA50" s="0" t="n">
        <f aca="false">IF(Z50="",0,IF(MATCH(Z50,$Z$4:$Z$303,0)=ROW()-3,1,0))</f>
        <v>0</v>
      </c>
      <c r="AB50" s="0" t="n">
        <f aca="false">N(AB49)+AA50</f>
        <v>0</v>
      </c>
      <c r="AD50" s="0" t="str">
        <f aca="false">IFERROR(INDEX($Z$4:$Z$303,MATCH(47,$AB$4:$AB$303,0)),"")</f>
        <v/>
      </c>
      <c r="AF50" s="0" t="str">
        <f aca="false">IF(OR(资金日记账!$E50="",N(资金日记账!$H50)=0),"",资金日记账!$E50)</f>
        <v/>
      </c>
      <c r="AG50" s="0" t="n">
        <f aca="false">IF(AF50="",0,IF(MATCH(AF50,$AF$4:$AF$603,0)=ROW()-3,1,0))</f>
        <v>0</v>
      </c>
      <c r="AH50" s="0" t="n">
        <f aca="false">N(AH49)+AG50</f>
        <v>0</v>
      </c>
      <c r="AJ50" s="0" t="str">
        <f aca="false">IFERROR(INDEX($AF$4:$AF$603,MATCH(47,$AH$4:$AH$603,0)),"")</f>
        <v/>
      </c>
    </row>
    <row r="51" customFormat="false" ht="13.5" hidden="false" customHeight="false" outlineLevel="0" collapsed="false">
      <c r="A51" s="0" t="str">
        <f aca="false">IF(((进销存对接!$D51="客户应收")+(进销存对接!$D51="成品销售款")+(进销存对接!$D51="公司购买果品款")+(进销存对接!$D51="筐子销售款")+(进销存对接!$D51="物料销售款"))&gt;0,进销存对接!$C51,"")</f>
        <v/>
      </c>
      <c r="B51" s="0" t="n">
        <f aca="false">IF(A51="",0,IF(MATCH(A51,$A$4:$A$1925,0)=ROW()-3,1,0))</f>
        <v>0</v>
      </c>
      <c r="C51" s="0" t="n">
        <f aca="false">N(C50)+B51</f>
        <v>6</v>
      </c>
      <c r="E51" s="0" t="str">
        <f aca="false">IFERROR(INDEX($A$4:$A$1925,MATCH(ROW()-3,$C$4:$C$1925,0)),"")</f>
        <v/>
      </c>
      <c r="G51" s="0" t="n">
        <f aca="false">IF(OR($G$1="",资金日记账!$E44="",资金日记账!$E44&lt;&gt;$G$1),0,IF(NOT(OR(N(资金日记账!$H44)&lt;&gt;0,N(资金日记账!$I44)&lt;&gt;0)),0,IF(资金日记账!$B44="",1,IF(OR(N(资金日记账!$B44)&lt;$H$1,N(资金日记账!$B44)&gt;$I$1),0,1))))</f>
        <v>0</v>
      </c>
      <c r="H51" s="0" t="n">
        <f aca="false">N(H50)+$G51</f>
        <v>3</v>
      </c>
      <c r="I51" s="0" t="str">
        <f aca="false">IF($G51=0,"",IF(资金日记账!$B44=0,"",资金日记账!$B44))</f>
        <v/>
      </c>
      <c r="J51" s="0" t="str">
        <f aca="false">IF($G51=0,"",IF(资金日记账!$D44=0,"",资金日记账!$D44))</f>
        <v/>
      </c>
      <c r="K51" s="0" t="str">
        <f aca="false">IF($G51=0,"",IF(""=0,"",""))</f>
        <v/>
      </c>
      <c r="L51" s="0" t="str">
        <f aca="false">IF($G51=0,"",IF(""=0,"",""))</f>
        <v/>
      </c>
      <c r="M51" s="0" t="str">
        <f aca="false">IF($G51=0,"",IF(""=0,"",""))</f>
        <v/>
      </c>
      <c r="N51" s="0" t="str">
        <f aca="false">IF($G51=0,"",IF(IF(N(资金日记账!$I44)=0,"",-ROUND(N(资金日记账!$I44),2))=0,"",IF(N(资金日记账!$I44)=0,"",-ROUND(N(资金日记账!$I44),2))))</f>
        <v/>
      </c>
      <c r="O51" s="0" t="str">
        <f aca="false">IF($G51=0,"",IF(IF(N(资金日记账!$H44)=0,"",ROUND(N(资金日记账!$H44),2))=0,"",IF(N(资金日记账!$H44)=0,"",ROUND(N(资金日记账!$H44),2))))</f>
        <v/>
      </c>
      <c r="P51" s="0" t="str">
        <f aca="false">IF($G51=0,"",IF(资金日记账!$L44=0,"",资金日记账!$L44))</f>
        <v/>
      </c>
      <c r="T51" s="0" t="str">
        <f aca="false">IF(资金日记账!$G51="","",资金日记账!$G51)</f>
        <v>停车费</v>
      </c>
      <c r="U51" s="0" t="n">
        <f aca="false">IF(T51="",0,IF(MATCH(T51,$T$4:$T$903,0)=ROW()-3,1,0))</f>
        <v>0</v>
      </c>
      <c r="V51" s="0" t="n">
        <f aca="false">N(V50)+U51</f>
        <v>20</v>
      </c>
      <c r="X51" s="0" t="str">
        <f aca="false">IFERROR(INDEX($T$4:$T$903,MATCH(48,$V$4:$V$903,0)),"")</f>
        <v/>
      </c>
      <c r="Z51" s="0" t="str">
        <f aca="false">IF(成本费用登记表!$C51="","",成本费用登记表!$C51)</f>
        <v/>
      </c>
      <c r="AA51" s="0" t="n">
        <f aca="false">IF(Z51="",0,IF(MATCH(Z51,$Z$4:$Z$303,0)=ROW()-3,1,0))</f>
        <v>0</v>
      </c>
      <c r="AB51" s="0" t="n">
        <f aca="false">N(AB50)+AA51</f>
        <v>0</v>
      </c>
      <c r="AD51" s="0" t="str">
        <f aca="false">IFERROR(INDEX($Z$4:$Z$303,MATCH(48,$AB$4:$AB$303,0)),"")</f>
        <v/>
      </c>
      <c r="AF51" s="0" t="str">
        <f aca="false">IF(OR(资金日记账!$E51="",N(资金日记账!$H51)=0),"",资金日记账!$E51)</f>
        <v/>
      </c>
      <c r="AG51" s="0" t="n">
        <f aca="false">IF(AF51="",0,IF(MATCH(AF51,$AF$4:$AF$603,0)=ROW()-3,1,0))</f>
        <v>0</v>
      </c>
      <c r="AH51" s="0" t="n">
        <f aca="false">N(AH50)+AG51</f>
        <v>0</v>
      </c>
      <c r="AJ51" s="0" t="str">
        <f aca="false">IFERROR(INDEX($AF$4:$AF$603,MATCH(48,$AH$4:$AH$603,0)),"")</f>
        <v/>
      </c>
    </row>
    <row r="52" customFormat="false" ht="13.5" hidden="false" customHeight="false" outlineLevel="0" collapsed="false">
      <c r="A52" s="0" t="str">
        <f aca="false">IF(((进销存对接!$D52="客户应收")+(进销存对接!$D52="成品销售款")+(进销存对接!$D52="公司购买果品款")+(进销存对接!$D52="筐子销售款")+(进销存对接!$D52="物料销售款"))&gt;0,进销存对接!$C52,"")</f>
        <v/>
      </c>
      <c r="B52" s="0" t="n">
        <f aca="false">IF(A52="",0,IF(MATCH(A52,$A$4:$A$1925,0)=ROW()-3,1,0))</f>
        <v>0</v>
      </c>
      <c r="C52" s="0" t="n">
        <f aca="false">N(C51)+B52</f>
        <v>6</v>
      </c>
      <c r="E52" s="0" t="str">
        <f aca="false">IFERROR(INDEX($A$4:$A$1925,MATCH(ROW()-3,$C$4:$C$1925,0)),"")</f>
        <v/>
      </c>
      <c r="G52" s="0" t="n">
        <f aca="false">IF(OR($G$1="",资金日记账!$E45="",资金日记账!$E45&lt;&gt;$G$1),0,IF(NOT(OR(N(资金日记账!$H45)&lt;&gt;0,N(资金日记账!$I45)&lt;&gt;0)),0,IF(资金日记账!$B45="",1,IF(OR(N(资金日记账!$B45)&lt;$H$1,N(资金日记账!$B45)&gt;$I$1),0,1))))</f>
        <v>0</v>
      </c>
      <c r="H52" s="0" t="n">
        <f aca="false">N(H51)+$G52</f>
        <v>3</v>
      </c>
      <c r="I52" s="0" t="str">
        <f aca="false">IF($G52=0,"",IF(资金日记账!$B45=0,"",资金日记账!$B45))</f>
        <v/>
      </c>
      <c r="J52" s="0" t="str">
        <f aca="false">IF($G52=0,"",IF(资金日记账!$D45=0,"",资金日记账!$D45))</f>
        <v/>
      </c>
      <c r="K52" s="0" t="str">
        <f aca="false">IF($G52=0,"",IF(""=0,"",""))</f>
        <v/>
      </c>
      <c r="L52" s="0" t="str">
        <f aca="false">IF($G52=0,"",IF(""=0,"",""))</f>
        <v/>
      </c>
      <c r="M52" s="0" t="str">
        <f aca="false">IF($G52=0,"",IF(""=0,"",""))</f>
        <v/>
      </c>
      <c r="N52" s="0" t="str">
        <f aca="false">IF($G52=0,"",IF(IF(N(资金日记账!$I45)=0,"",-ROUND(N(资金日记账!$I45),2))=0,"",IF(N(资金日记账!$I45)=0,"",-ROUND(N(资金日记账!$I45),2))))</f>
        <v/>
      </c>
      <c r="O52" s="0" t="str">
        <f aca="false">IF($G52=0,"",IF(IF(N(资金日记账!$H45)=0,"",ROUND(N(资金日记账!$H45),2))=0,"",IF(N(资金日记账!$H45)=0,"",ROUND(N(资金日记账!$H45),2))))</f>
        <v/>
      </c>
      <c r="P52" s="0" t="str">
        <f aca="false">IF($G52=0,"",IF(资金日记账!$L45=0,"",资金日记账!$L45))</f>
        <v/>
      </c>
      <c r="T52" s="0" t="str">
        <f aca="false">IF(资金日记账!$G52="","",资金日记账!$G52)</f>
        <v>吃饭</v>
      </c>
      <c r="U52" s="0" t="n">
        <f aca="false">IF(T52="",0,IF(MATCH(T52,$T$4:$T$903,0)=ROW()-3,1,0))</f>
        <v>0</v>
      </c>
      <c r="V52" s="0" t="n">
        <f aca="false">N(V51)+U52</f>
        <v>20</v>
      </c>
      <c r="X52" s="0" t="str">
        <f aca="false">IFERROR(INDEX($T$4:$T$903,MATCH(49,$V$4:$V$903,0)),"")</f>
        <v/>
      </c>
      <c r="Z52" s="0" t="str">
        <f aca="false">IF(成本费用登记表!$C52="","",成本费用登记表!$C52)</f>
        <v/>
      </c>
      <c r="AA52" s="0" t="n">
        <f aca="false">IF(Z52="",0,IF(MATCH(Z52,$Z$4:$Z$303,0)=ROW()-3,1,0))</f>
        <v>0</v>
      </c>
      <c r="AB52" s="0" t="n">
        <f aca="false">N(AB51)+AA52</f>
        <v>0</v>
      </c>
      <c r="AD52" s="0" t="str">
        <f aca="false">IFERROR(INDEX($Z$4:$Z$303,MATCH(49,$AB$4:$AB$303,0)),"")</f>
        <v/>
      </c>
      <c r="AF52" s="0" t="str">
        <f aca="false">IF(OR(资金日记账!$E52="",N(资金日记账!$H52)=0),"",资金日记账!$E52)</f>
        <v/>
      </c>
      <c r="AG52" s="0" t="n">
        <f aca="false">IF(AF52="",0,IF(MATCH(AF52,$AF$4:$AF$603,0)=ROW()-3,1,0))</f>
        <v>0</v>
      </c>
      <c r="AH52" s="0" t="n">
        <f aca="false">N(AH51)+AG52</f>
        <v>0</v>
      </c>
      <c r="AJ52" s="0" t="str">
        <f aca="false">IFERROR(INDEX($AF$4:$AF$603,MATCH(49,$AH$4:$AH$603,0)),"")</f>
        <v/>
      </c>
    </row>
    <row r="53" customFormat="false" ht="13.5" hidden="false" customHeight="false" outlineLevel="0" collapsed="false">
      <c r="A53" s="0" t="str">
        <f aca="false">IF(((进销存对接!$D53="客户应收")+(进销存对接!$D53="成品销售款")+(进销存对接!$D53="公司购买果品款")+(进销存对接!$D53="筐子销售款")+(进销存对接!$D53="物料销售款"))&gt;0,进销存对接!$C53,"")</f>
        <v/>
      </c>
      <c r="B53" s="0" t="n">
        <f aca="false">IF(A53="",0,IF(MATCH(A53,$A$4:$A$1925,0)=ROW()-3,1,0))</f>
        <v>0</v>
      </c>
      <c r="C53" s="0" t="n">
        <f aca="false">N(C52)+B53</f>
        <v>6</v>
      </c>
      <c r="E53" s="0" t="str">
        <f aca="false">IFERROR(INDEX($A$4:$A$1925,MATCH(ROW()-3,$C$4:$C$1925,0)),"")</f>
        <v/>
      </c>
      <c r="G53" s="0" t="n">
        <f aca="false">IF(OR($G$1="",资金日记账!$E46="",资金日记账!$E46&lt;&gt;$G$1),0,IF(NOT(OR(N(资金日记账!$H46)&lt;&gt;0,N(资金日记账!$I46)&lt;&gt;0)),0,IF(资金日记账!$B46="",1,IF(OR(N(资金日记账!$B46)&lt;$H$1,N(资金日记账!$B46)&gt;$I$1),0,1))))</f>
        <v>0</v>
      </c>
      <c r="H53" s="0" t="n">
        <f aca="false">N(H52)+$G53</f>
        <v>3</v>
      </c>
      <c r="I53" s="0" t="str">
        <f aca="false">IF($G53=0,"",IF(资金日记账!$B46=0,"",资金日记账!$B46))</f>
        <v/>
      </c>
      <c r="J53" s="0" t="str">
        <f aca="false">IF($G53=0,"",IF(资金日记账!$D46=0,"",资金日记账!$D46))</f>
        <v/>
      </c>
      <c r="K53" s="0" t="str">
        <f aca="false">IF($G53=0,"",IF(""=0,"",""))</f>
        <v/>
      </c>
      <c r="L53" s="0" t="str">
        <f aca="false">IF($G53=0,"",IF(""=0,"",""))</f>
        <v/>
      </c>
      <c r="M53" s="0" t="str">
        <f aca="false">IF($G53=0,"",IF(""=0,"",""))</f>
        <v/>
      </c>
      <c r="N53" s="0" t="str">
        <f aca="false">IF($G53=0,"",IF(IF(N(资金日记账!$I46)=0,"",-ROUND(N(资金日记账!$I46),2))=0,"",IF(N(资金日记账!$I46)=0,"",-ROUND(N(资金日记账!$I46),2))))</f>
        <v/>
      </c>
      <c r="O53" s="0" t="str">
        <f aca="false">IF($G53=0,"",IF(IF(N(资金日记账!$H46)=0,"",ROUND(N(资金日记账!$H46),2))=0,"",IF(N(资金日记账!$H46)=0,"",ROUND(N(资金日记账!$H46),2))))</f>
        <v/>
      </c>
      <c r="P53" s="0" t="str">
        <f aca="false">IF($G53=0,"",IF(资金日记账!$L46=0,"",资金日记账!$L46))</f>
        <v/>
      </c>
      <c r="T53" s="0" t="str">
        <f aca="false">IF(资金日记账!$G53="","",资金日记账!$G53)</f>
        <v>吃饭</v>
      </c>
      <c r="U53" s="0" t="n">
        <f aca="false">IF(T53="",0,IF(MATCH(T53,$T$4:$T$903,0)=ROW()-3,1,0))</f>
        <v>0</v>
      </c>
      <c r="V53" s="0" t="n">
        <f aca="false">N(V52)+U53</f>
        <v>20</v>
      </c>
      <c r="X53" s="0" t="str">
        <f aca="false">IFERROR(INDEX($T$4:$T$903,MATCH(50,$V$4:$V$903,0)),"")</f>
        <v/>
      </c>
      <c r="Z53" s="0" t="str">
        <f aca="false">IF(成本费用登记表!$C53="","",成本费用登记表!$C53)</f>
        <v/>
      </c>
      <c r="AA53" s="0" t="n">
        <f aca="false">IF(Z53="",0,IF(MATCH(Z53,$Z$4:$Z$303,0)=ROW()-3,1,0))</f>
        <v>0</v>
      </c>
      <c r="AB53" s="0" t="n">
        <f aca="false">N(AB52)+AA53</f>
        <v>0</v>
      </c>
      <c r="AD53" s="0" t="str">
        <f aca="false">IFERROR(INDEX($Z$4:$Z$303,MATCH(50,$AB$4:$AB$303,0)),"")</f>
        <v/>
      </c>
      <c r="AF53" s="0" t="str">
        <f aca="false">IF(OR(资金日记账!$E53="",N(资金日记账!$H53)=0),"",资金日记账!$E53)</f>
        <v/>
      </c>
      <c r="AG53" s="0" t="n">
        <f aca="false">IF(AF53="",0,IF(MATCH(AF53,$AF$4:$AF$603,0)=ROW()-3,1,0))</f>
        <v>0</v>
      </c>
      <c r="AH53" s="0" t="n">
        <f aca="false">N(AH52)+AG53</f>
        <v>0</v>
      </c>
      <c r="AJ53" s="0" t="str">
        <f aca="false">IFERROR(INDEX($AF$4:$AF$603,MATCH(50,$AH$4:$AH$603,0)),"")</f>
        <v/>
      </c>
    </row>
    <row r="54" customFormat="false" ht="13.5" hidden="false" customHeight="false" outlineLevel="0" collapsed="false">
      <c r="A54" s="0" t="str">
        <f aca="false">IF(((进销存对接!$D54="客户应收")+(进销存对接!$D54="成品销售款")+(进销存对接!$D54="公司购买果品款")+(进销存对接!$D54="筐子销售款")+(进销存对接!$D54="物料销售款"))&gt;0,进销存对接!$C54,"")</f>
        <v/>
      </c>
      <c r="B54" s="0" t="n">
        <f aca="false">IF(A54="",0,IF(MATCH(A54,$A$4:$A$1925,0)=ROW()-3,1,0))</f>
        <v>0</v>
      </c>
      <c r="C54" s="0" t="n">
        <f aca="false">N(C53)+B54</f>
        <v>6</v>
      </c>
      <c r="E54" s="0" t="str">
        <f aca="false">IFERROR(INDEX($A$4:$A$1925,MATCH(ROW()-3,$C$4:$C$1925,0)),"")</f>
        <v/>
      </c>
      <c r="G54" s="0" t="n">
        <f aca="false">IF(OR($G$1="",资金日记账!$E47="",资金日记账!$E47&lt;&gt;$G$1),0,IF(NOT(OR(N(资金日记账!$H47)&lt;&gt;0,N(资金日记账!$I47)&lt;&gt;0)),0,IF(资金日记账!$B47="",1,IF(OR(N(资金日记账!$B47)&lt;$H$1,N(资金日记账!$B47)&gt;$I$1),0,1))))</f>
        <v>0</v>
      </c>
      <c r="H54" s="0" t="n">
        <f aca="false">N(H53)+$G54</f>
        <v>3</v>
      </c>
      <c r="I54" s="0" t="str">
        <f aca="false">IF($G54=0,"",IF(资金日记账!$B47=0,"",资金日记账!$B47))</f>
        <v/>
      </c>
      <c r="J54" s="0" t="str">
        <f aca="false">IF($G54=0,"",IF(资金日记账!$D47=0,"",资金日记账!$D47))</f>
        <v/>
      </c>
      <c r="K54" s="0" t="str">
        <f aca="false">IF($G54=0,"",IF(""=0,"",""))</f>
        <v/>
      </c>
      <c r="L54" s="0" t="str">
        <f aca="false">IF($G54=0,"",IF(""=0,"",""))</f>
        <v/>
      </c>
      <c r="M54" s="0" t="str">
        <f aca="false">IF($G54=0,"",IF(""=0,"",""))</f>
        <v/>
      </c>
      <c r="N54" s="0" t="str">
        <f aca="false">IF($G54=0,"",IF(IF(N(资金日记账!$I47)=0,"",-ROUND(N(资金日记账!$I47),2))=0,"",IF(N(资金日记账!$I47)=0,"",-ROUND(N(资金日记账!$I47),2))))</f>
        <v/>
      </c>
      <c r="O54" s="0" t="str">
        <f aca="false">IF($G54=0,"",IF(IF(N(资金日记账!$H47)=0,"",ROUND(N(资金日记账!$H47),2))=0,"",IF(N(资金日记账!$H47)=0,"",ROUND(N(资金日记账!$H47),2))))</f>
        <v/>
      </c>
      <c r="P54" s="0" t="str">
        <f aca="false">IF($G54=0,"",IF(资金日记账!$L47=0,"",资金日记账!$L47))</f>
        <v/>
      </c>
      <c r="T54" s="0" t="str">
        <f aca="false">IF(资金日记账!$G54="","",资金日记账!$G54)</f>
        <v>停车费</v>
      </c>
      <c r="U54" s="0" t="n">
        <f aca="false">IF(T54="",0,IF(MATCH(T54,$T$4:$T$903,0)=ROW()-3,1,0))</f>
        <v>0</v>
      </c>
      <c r="V54" s="0" t="n">
        <f aca="false">N(V53)+U54</f>
        <v>20</v>
      </c>
      <c r="X54" s="0" t="str">
        <f aca="false">IFERROR(INDEX($T$4:$T$903,MATCH(51,$V$4:$V$903,0)),"")</f>
        <v/>
      </c>
      <c r="Z54" s="0" t="str">
        <f aca="false">IF(成本费用登记表!$C54="","",成本费用登记表!$C54)</f>
        <v/>
      </c>
      <c r="AA54" s="0" t="n">
        <f aca="false">IF(Z54="",0,IF(MATCH(Z54,$Z$4:$Z$303,0)=ROW()-3,1,0))</f>
        <v>0</v>
      </c>
      <c r="AB54" s="0" t="n">
        <f aca="false">N(AB53)+AA54</f>
        <v>0</v>
      </c>
      <c r="AD54" s="0" t="str">
        <f aca="false">IFERROR(INDEX($Z$4:$Z$303,MATCH(51,$AB$4:$AB$303,0)),"")</f>
        <v/>
      </c>
      <c r="AF54" s="0" t="str">
        <f aca="false">IF(OR(资金日记账!$E54="",N(资金日记账!$H54)=0),"",资金日记账!$E54)</f>
        <v/>
      </c>
      <c r="AG54" s="0" t="n">
        <f aca="false">IF(AF54="",0,IF(MATCH(AF54,$AF$4:$AF$603,0)=ROW()-3,1,0))</f>
        <v>0</v>
      </c>
      <c r="AH54" s="0" t="n">
        <f aca="false">N(AH53)+AG54</f>
        <v>0</v>
      </c>
      <c r="AJ54" s="0" t="str">
        <f aca="false">IFERROR(INDEX($AF$4:$AF$603,MATCH(51,$AH$4:$AH$603,0)),"")</f>
        <v/>
      </c>
    </row>
    <row r="55" customFormat="false" ht="13.5" hidden="false" customHeight="false" outlineLevel="0" collapsed="false">
      <c r="A55" s="0" t="str">
        <f aca="false">IF(((进销存对接!$D55="客户应收")+(进销存对接!$D55="成品销售款")+(进销存对接!$D55="公司购买果品款")+(进销存对接!$D55="筐子销售款")+(进销存对接!$D55="物料销售款"))&gt;0,进销存对接!$C55,"")</f>
        <v/>
      </c>
      <c r="B55" s="0" t="n">
        <f aca="false">IF(A55="",0,IF(MATCH(A55,$A$4:$A$1925,0)=ROW()-3,1,0))</f>
        <v>0</v>
      </c>
      <c r="C55" s="0" t="n">
        <f aca="false">N(C54)+B55</f>
        <v>6</v>
      </c>
      <c r="E55" s="0" t="str">
        <f aca="false">IFERROR(INDEX($A$4:$A$1925,MATCH(ROW()-3,$C$4:$C$1925,0)),"")</f>
        <v/>
      </c>
      <c r="G55" s="0" t="n">
        <f aca="false">IF(OR($G$1="",资金日记账!$E48="",资金日记账!$E48&lt;&gt;$G$1),0,IF(NOT(OR(N(资金日记账!$H48)&lt;&gt;0,N(资金日记账!$I48)&lt;&gt;0)),0,IF(资金日记账!$B48="",1,IF(OR(N(资金日记账!$B48)&lt;$H$1,N(资金日记账!$B48)&gt;$I$1),0,1))))</f>
        <v>0</v>
      </c>
      <c r="H55" s="0" t="n">
        <f aca="false">N(H54)+$G55</f>
        <v>3</v>
      </c>
      <c r="I55" s="0" t="str">
        <f aca="false">IF($G55=0,"",IF(资金日记账!$B48=0,"",资金日记账!$B48))</f>
        <v/>
      </c>
      <c r="J55" s="0" t="str">
        <f aca="false">IF($G55=0,"",IF(资金日记账!$D48=0,"",资金日记账!$D48))</f>
        <v/>
      </c>
      <c r="K55" s="0" t="str">
        <f aca="false">IF($G55=0,"",IF(""=0,"",""))</f>
        <v/>
      </c>
      <c r="L55" s="0" t="str">
        <f aca="false">IF($G55=0,"",IF(""=0,"",""))</f>
        <v/>
      </c>
      <c r="M55" s="0" t="str">
        <f aca="false">IF($G55=0,"",IF(""=0,"",""))</f>
        <v/>
      </c>
      <c r="N55" s="0" t="str">
        <f aca="false">IF($G55=0,"",IF(IF(N(资金日记账!$I48)=0,"",-ROUND(N(资金日记账!$I48),2))=0,"",IF(N(资金日记账!$I48)=0,"",-ROUND(N(资金日记账!$I48),2))))</f>
        <v/>
      </c>
      <c r="O55" s="0" t="str">
        <f aca="false">IF($G55=0,"",IF(IF(N(资金日记账!$H48)=0,"",ROUND(N(资金日记账!$H48),2))=0,"",IF(N(资金日记账!$H48)=0,"",ROUND(N(资金日记账!$H48),2))))</f>
        <v/>
      </c>
      <c r="P55" s="0" t="str">
        <f aca="false">IF($G55=0,"",IF(资金日记账!$L48=0,"",资金日记账!$L48))</f>
        <v/>
      </c>
      <c r="T55" s="0" t="str">
        <f aca="false">IF(资金日记账!$G55="","",资金日记账!$G55)</f>
        <v>装卸费</v>
      </c>
      <c r="U55" s="0" t="n">
        <f aca="false">IF(T55="",0,IF(MATCH(T55,$T$4:$T$903,0)=ROW()-3,1,0))</f>
        <v>1</v>
      </c>
      <c r="V55" s="0" t="n">
        <f aca="false">N(V54)+U55</f>
        <v>21</v>
      </c>
      <c r="X55" s="0" t="str">
        <f aca="false">IFERROR(INDEX($T$4:$T$903,MATCH(52,$V$4:$V$903,0)),"")</f>
        <v/>
      </c>
      <c r="Z55" s="0" t="str">
        <f aca="false">IF(成本费用登记表!$C55="","",成本费用登记表!$C55)</f>
        <v/>
      </c>
      <c r="AA55" s="0" t="n">
        <f aca="false">IF(Z55="",0,IF(MATCH(Z55,$Z$4:$Z$303,0)=ROW()-3,1,0))</f>
        <v>0</v>
      </c>
      <c r="AB55" s="0" t="n">
        <f aca="false">N(AB54)+AA55</f>
        <v>0</v>
      </c>
      <c r="AD55" s="0" t="str">
        <f aca="false">IFERROR(INDEX($Z$4:$Z$303,MATCH(52,$AB$4:$AB$303,0)),"")</f>
        <v/>
      </c>
      <c r="AF55" s="0" t="str">
        <f aca="false">IF(OR(资金日记账!$E55="",N(资金日记账!$H55)=0),"",资金日记账!$E55)</f>
        <v>伍元虎</v>
      </c>
      <c r="AG55" s="0" t="n">
        <f aca="false">IF(AF55="",0,IF(MATCH(AF55,$AF$4:$AF$603,0)=ROW()-3,1,0))</f>
        <v>1</v>
      </c>
      <c r="AH55" s="0" t="n">
        <f aca="false">N(AH54)+AG55</f>
        <v>1</v>
      </c>
      <c r="AJ55" s="0" t="str">
        <f aca="false">IFERROR(INDEX($AF$4:$AF$603,MATCH(52,$AH$4:$AH$603,0)),"")</f>
        <v/>
      </c>
    </row>
    <row r="56" customFormat="false" ht="13.5" hidden="false" customHeight="false" outlineLevel="0" collapsed="false">
      <c r="A56" s="0" t="str">
        <f aca="false">IF(((进销存对接!$D56="客户应收")+(进销存对接!$D56="成品销售款")+(进销存对接!$D56="公司购买果品款")+(进销存对接!$D56="筐子销售款")+(进销存对接!$D56="物料销售款"))&gt;0,进销存对接!$C56,"")</f>
        <v/>
      </c>
      <c r="B56" s="0" t="n">
        <f aca="false">IF(A56="",0,IF(MATCH(A56,$A$4:$A$1925,0)=ROW()-3,1,0))</f>
        <v>0</v>
      </c>
      <c r="C56" s="0" t="n">
        <f aca="false">N(C55)+B56</f>
        <v>6</v>
      </c>
      <c r="E56" s="0" t="str">
        <f aca="false">IFERROR(INDEX($A$4:$A$1925,MATCH(ROW()-3,$C$4:$C$1925,0)),"")</f>
        <v/>
      </c>
      <c r="G56" s="0" t="n">
        <f aca="false">IF(OR($G$1="",资金日记账!$E49="",资金日记账!$E49&lt;&gt;$G$1),0,IF(NOT(OR(N(资金日记账!$H49)&lt;&gt;0,N(资金日记账!$I49)&lt;&gt;0)),0,IF(资金日记账!$B49="",1,IF(OR(N(资金日记账!$B49)&lt;$H$1,N(资金日记账!$B49)&gt;$I$1),0,1))))</f>
        <v>0</v>
      </c>
      <c r="H56" s="0" t="n">
        <f aca="false">N(H55)+$G56</f>
        <v>3</v>
      </c>
      <c r="I56" s="0" t="str">
        <f aca="false">IF($G56=0,"",IF(资金日记账!$B49=0,"",资金日记账!$B49))</f>
        <v/>
      </c>
      <c r="J56" s="0" t="str">
        <f aca="false">IF($G56=0,"",IF(资金日记账!$D49=0,"",资金日记账!$D49))</f>
        <v/>
      </c>
      <c r="K56" s="0" t="str">
        <f aca="false">IF($G56=0,"",IF(""=0,"",""))</f>
        <v/>
      </c>
      <c r="L56" s="0" t="str">
        <f aca="false">IF($G56=0,"",IF(""=0,"",""))</f>
        <v/>
      </c>
      <c r="M56" s="0" t="str">
        <f aca="false">IF($G56=0,"",IF(""=0,"",""))</f>
        <v/>
      </c>
      <c r="N56" s="0" t="str">
        <f aca="false">IF($G56=0,"",IF(IF(N(资金日记账!$I49)=0,"",-ROUND(N(资金日记账!$I49),2))=0,"",IF(N(资金日记账!$I49)=0,"",-ROUND(N(资金日记账!$I49),2))))</f>
        <v/>
      </c>
      <c r="O56" s="0" t="str">
        <f aca="false">IF($G56=0,"",IF(IF(N(资金日记账!$H49)=0,"",ROUND(N(资金日记账!$H49),2))=0,"",IF(N(资金日记账!$H49)=0,"",ROUND(N(资金日记账!$H49),2))))</f>
        <v/>
      </c>
      <c r="P56" s="0" t="str">
        <f aca="false">IF($G56=0,"",IF(资金日记账!$L49=0,"",资金日记账!$L49))</f>
        <v/>
      </c>
      <c r="T56" s="0" t="str">
        <f aca="false">IF(资金日记账!$G56="","",资金日记账!$G56)</f>
        <v>吃饭</v>
      </c>
      <c r="U56" s="0" t="n">
        <f aca="false">IF(T56="",0,IF(MATCH(T56,$T$4:$T$903,0)=ROW()-3,1,0))</f>
        <v>0</v>
      </c>
      <c r="V56" s="0" t="n">
        <f aca="false">N(V55)+U56</f>
        <v>21</v>
      </c>
      <c r="X56" s="0" t="str">
        <f aca="false">IFERROR(INDEX($T$4:$T$903,MATCH(53,$V$4:$V$903,0)),"")</f>
        <v/>
      </c>
      <c r="Z56" s="0" t="str">
        <f aca="false">IF(成本费用登记表!$C56="","",成本费用登记表!$C56)</f>
        <v/>
      </c>
      <c r="AA56" s="0" t="n">
        <f aca="false">IF(Z56="",0,IF(MATCH(Z56,$Z$4:$Z$303,0)=ROW()-3,1,0))</f>
        <v>0</v>
      </c>
      <c r="AB56" s="0" t="n">
        <f aca="false">N(AB55)+AA56</f>
        <v>0</v>
      </c>
      <c r="AD56" s="0" t="str">
        <f aca="false">IFERROR(INDEX($Z$4:$Z$303,MATCH(53,$AB$4:$AB$303,0)),"")</f>
        <v/>
      </c>
      <c r="AF56" s="0" t="str">
        <f aca="false">IF(OR(资金日记账!$E56="",N(资金日记账!$H56)=0),"",资金日记账!$E56)</f>
        <v/>
      </c>
      <c r="AG56" s="0" t="n">
        <f aca="false">IF(AF56="",0,IF(MATCH(AF56,$AF$4:$AF$603,0)=ROW()-3,1,0))</f>
        <v>0</v>
      </c>
      <c r="AH56" s="0" t="n">
        <f aca="false">N(AH55)+AG56</f>
        <v>1</v>
      </c>
      <c r="AJ56" s="0" t="str">
        <f aca="false">IFERROR(INDEX($AF$4:$AF$603,MATCH(53,$AH$4:$AH$603,0)),"")</f>
        <v/>
      </c>
    </row>
    <row r="57" customFormat="false" ht="13.5" hidden="false" customHeight="false" outlineLevel="0" collapsed="false">
      <c r="A57" s="0" t="str">
        <f aca="false">IF(((进销存对接!$D57="客户应收")+(进销存对接!$D57="成品销售款")+(进销存对接!$D57="公司购买果品款")+(进销存对接!$D57="筐子销售款")+(进销存对接!$D57="物料销售款"))&gt;0,进销存对接!$C57,"")</f>
        <v/>
      </c>
      <c r="B57" s="0" t="n">
        <f aca="false">IF(A57="",0,IF(MATCH(A57,$A$4:$A$1925,0)=ROW()-3,1,0))</f>
        <v>0</v>
      </c>
      <c r="C57" s="0" t="n">
        <f aca="false">N(C56)+B57</f>
        <v>6</v>
      </c>
      <c r="E57" s="0" t="str">
        <f aca="false">IFERROR(INDEX($A$4:$A$1925,MATCH(ROW()-3,$C$4:$C$1925,0)),"")</f>
        <v/>
      </c>
      <c r="G57" s="0" t="n">
        <f aca="false">IF(OR($G$1="",资金日记账!$E50="",资金日记账!$E50&lt;&gt;$G$1),0,IF(NOT(OR(N(资金日记账!$H50)&lt;&gt;0,N(资金日记账!$I50)&lt;&gt;0)),0,IF(资金日记账!$B50="",1,IF(OR(N(资金日记账!$B50)&lt;$H$1,N(资金日记账!$B50)&gt;$I$1),0,1))))</f>
        <v>0</v>
      </c>
      <c r="H57" s="0" t="n">
        <f aca="false">N(H56)+$G57</f>
        <v>3</v>
      </c>
      <c r="I57" s="0" t="str">
        <f aca="false">IF($G57=0,"",IF(资金日记账!$B50=0,"",资金日记账!$B50))</f>
        <v/>
      </c>
      <c r="J57" s="0" t="str">
        <f aca="false">IF($G57=0,"",IF(资金日记账!$D50=0,"",资金日记账!$D50))</f>
        <v/>
      </c>
      <c r="K57" s="0" t="str">
        <f aca="false">IF($G57=0,"",IF(""=0,"",""))</f>
        <v/>
      </c>
      <c r="L57" s="0" t="str">
        <f aca="false">IF($G57=0,"",IF(""=0,"",""))</f>
        <v/>
      </c>
      <c r="M57" s="0" t="str">
        <f aca="false">IF($G57=0,"",IF(""=0,"",""))</f>
        <v/>
      </c>
      <c r="N57" s="0" t="str">
        <f aca="false">IF($G57=0,"",IF(IF(N(资金日记账!$I50)=0,"",-ROUND(N(资金日记账!$I50),2))=0,"",IF(N(资金日记账!$I50)=0,"",-ROUND(N(资金日记账!$I50),2))))</f>
        <v/>
      </c>
      <c r="O57" s="0" t="str">
        <f aca="false">IF($G57=0,"",IF(IF(N(资金日记账!$H50)=0,"",ROUND(N(资金日记账!$H50),2))=0,"",IF(N(资金日记账!$H50)=0,"",ROUND(N(资金日记账!$H50),2))))</f>
        <v/>
      </c>
      <c r="P57" s="0" t="str">
        <f aca="false">IF($G57=0,"",IF(资金日记账!$L50=0,"",资金日记账!$L50))</f>
        <v/>
      </c>
      <c r="T57" s="0" t="str">
        <f aca="false">IF(资金日记账!$G57="","",资金日记账!$G57)</f>
        <v/>
      </c>
      <c r="U57" s="0" t="n">
        <f aca="false">IF(T57="",0,IF(MATCH(T57,$T$4:$T$903,0)=ROW()-3,1,0))</f>
        <v>0</v>
      </c>
      <c r="V57" s="0" t="n">
        <f aca="false">N(V56)+U57</f>
        <v>21</v>
      </c>
      <c r="X57" s="0" t="str">
        <f aca="false">IFERROR(INDEX($T$4:$T$903,MATCH(54,$V$4:$V$903,0)),"")</f>
        <v/>
      </c>
      <c r="Z57" s="0" t="str">
        <f aca="false">IF(成本费用登记表!$C57="","",成本费用登记表!$C57)</f>
        <v/>
      </c>
      <c r="AA57" s="0" t="n">
        <f aca="false">IF(Z57="",0,IF(MATCH(Z57,$Z$4:$Z$303,0)=ROW()-3,1,0))</f>
        <v>0</v>
      </c>
      <c r="AB57" s="0" t="n">
        <f aca="false">N(AB56)+AA57</f>
        <v>0</v>
      </c>
      <c r="AD57" s="0" t="str">
        <f aca="false">IFERROR(INDEX($Z$4:$Z$303,MATCH(54,$AB$4:$AB$303,0)),"")</f>
        <v/>
      </c>
      <c r="AF57" s="0" t="str">
        <f aca="false">IF(OR(资金日记账!$E57="",N(资金日记账!$H57)=0),"",资金日记账!$E57)</f>
        <v>吐尔逊</v>
      </c>
      <c r="AG57" s="0" t="n">
        <f aca="false">IF(AF57="",0,IF(MATCH(AF57,$AF$4:$AF$603,0)=ROW()-3,1,0))</f>
        <v>1</v>
      </c>
      <c r="AH57" s="0" t="n">
        <f aca="false">N(AH56)+AG57</f>
        <v>2</v>
      </c>
      <c r="AJ57" s="0" t="str">
        <f aca="false">IFERROR(INDEX($AF$4:$AF$603,MATCH(54,$AH$4:$AH$603,0)),"")</f>
        <v/>
      </c>
    </row>
    <row r="58" customFormat="false" ht="13.5" hidden="false" customHeight="false" outlineLevel="0" collapsed="false">
      <c r="A58" s="0" t="str">
        <f aca="false">IF(((进销存对接!$D58="客户应收")+(进销存对接!$D58="成品销售款")+(进销存对接!$D58="公司购买果品款")+(进销存对接!$D58="筐子销售款")+(进销存对接!$D58="物料销售款"))&gt;0,进销存对接!$C58,"")</f>
        <v/>
      </c>
      <c r="B58" s="0" t="n">
        <f aca="false">IF(A58="",0,IF(MATCH(A58,$A$4:$A$1925,0)=ROW()-3,1,0))</f>
        <v>0</v>
      </c>
      <c r="C58" s="0" t="n">
        <f aca="false">N(C57)+B58</f>
        <v>6</v>
      </c>
      <c r="E58" s="0" t="str">
        <f aca="false">IFERROR(INDEX($A$4:$A$1925,MATCH(ROW()-3,$C$4:$C$1925,0)),"")</f>
        <v/>
      </c>
      <c r="G58" s="0" t="n">
        <f aca="false">IF(OR($G$1="",资金日记账!$E51="",资金日记账!$E51&lt;&gt;$G$1),0,IF(NOT(OR(N(资金日记账!$H51)&lt;&gt;0,N(资金日记账!$I51)&lt;&gt;0)),0,IF(资金日记账!$B51="",1,IF(OR(N(资金日记账!$B51)&lt;$H$1,N(资金日记账!$B51)&gt;$I$1),0,1))))</f>
        <v>0</v>
      </c>
      <c r="H58" s="0" t="n">
        <f aca="false">N(H57)+$G58</f>
        <v>3</v>
      </c>
      <c r="I58" s="0" t="str">
        <f aca="false">IF($G58=0,"",IF(资金日记账!$B51=0,"",资金日记账!$B51))</f>
        <v/>
      </c>
      <c r="J58" s="0" t="str">
        <f aca="false">IF($G58=0,"",IF(资金日记账!$D51=0,"",资金日记账!$D51))</f>
        <v/>
      </c>
      <c r="K58" s="0" t="str">
        <f aca="false">IF($G58=0,"",IF(""=0,"",""))</f>
        <v/>
      </c>
      <c r="L58" s="0" t="str">
        <f aca="false">IF($G58=0,"",IF(""=0,"",""))</f>
        <v/>
      </c>
      <c r="M58" s="0" t="str">
        <f aca="false">IF($G58=0,"",IF(""=0,"",""))</f>
        <v/>
      </c>
      <c r="N58" s="0" t="str">
        <f aca="false">IF($G58=0,"",IF(IF(N(资金日记账!$I51)=0,"",-ROUND(N(资金日记账!$I51),2))=0,"",IF(N(资金日记账!$I51)=0,"",-ROUND(N(资金日记账!$I51),2))))</f>
        <v/>
      </c>
      <c r="O58" s="0" t="str">
        <f aca="false">IF($G58=0,"",IF(IF(N(资金日记账!$H51)=0,"",ROUND(N(资金日记账!$H51),2))=0,"",IF(N(资金日记账!$H51)=0,"",ROUND(N(资金日记账!$H51),2))))</f>
        <v/>
      </c>
      <c r="P58" s="0" t="str">
        <f aca="false">IF($G58=0,"",IF(资金日记账!$L51=0,"",资金日记账!$L51))</f>
        <v/>
      </c>
      <c r="T58" s="0" t="str">
        <f aca="false">IF(资金日记账!$G58="","",资金日记账!$G58)</f>
        <v>吃饭</v>
      </c>
      <c r="U58" s="0" t="n">
        <f aca="false">IF(T58="",0,IF(MATCH(T58,$T$4:$T$903,0)=ROW()-3,1,0))</f>
        <v>0</v>
      </c>
      <c r="V58" s="0" t="n">
        <f aca="false">N(V57)+U58</f>
        <v>21</v>
      </c>
      <c r="X58" s="0" t="str">
        <f aca="false">IFERROR(INDEX($T$4:$T$903,MATCH(55,$V$4:$V$903,0)),"")</f>
        <v/>
      </c>
      <c r="Z58" s="0" t="str">
        <f aca="false">IF(成本费用登记表!$C58="","",成本费用登记表!$C58)</f>
        <v/>
      </c>
      <c r="AA58" s="0" t="n">
        <f aca="false">IF(Z58="",0,IF(MATCH(Z58,$Z$4:$Z$303,0)=ROW()-3,1,0))</f>
        <v>0</v>
      </c>
      <c r="AB58" s="0" t="n">
        <f aca="false">N(AB57)+AA58</f>
        <v>0</v>
      </c>
      <c r="AD58" s="0" t="str">
        <f aca="false">IFERROR(INDEX($Z$4:$Z$303,MATCH(55,$AB$4:$AB$303,0)),"")</f>
        <v/>
      </c>
      <c r="AF58" s="0" t="str">
        <f aca="false">IF(OR(资金日记账!$E58="",N(资金日记账!$H58)=0),"",资金日记账!$E58)</f>
        <v/>
      </c>
      <c r="AG58" s="0" t="n">
        <f aca="false">IF(AF58="",0,IF(MATCH(AF58,$AF$4:$AF$603,0)=ROW()-3,1,0))</f>
        <v>0</v>
      </c>
      <c r="AH58" s="0" t="n">
        <f aca="false">N(AH57)+AG58</f>
        <v>2</v>
      </c>
      <c r="AJ58" s="0" t="str">
        <f aca="false">IFERROR(INDEX($AF$4:$AF$603,MATCH(55,$AH$4:$AH$603,0)),"")</f>
        <v/>
      </c>
    </row>
    <row r="59" customFormat="false" ht="13.5" hidden="false" customHeight="false" outlineLevel="0" collapsed="false">
      <c r="A59" s="0" t="str">
        <f aca="false">IF(((进销存对接!$D59="客户应收")+(进销存对接!$D59="成品销售款")+(进销存对接!$D59="公司购买果品款")+(进销存对接!$D59="筐子销售款")+(进销存对接!$D59="物料销售款"))&gt;0,进销存对接!$C59,"")</f>
        <v/>
      </c>
      <c r="B59" s="0" t="n">
        <f aca="false">IF(A59="",0,IF(MATCH(A59,$A$4:$A$1925,0)=ROW()-3,1,0))</f>
        <v>0</v>
      </c>
      <c r="C59" s="0" t="n">
        <f aca="false">N(C58)+B59</f>
        <v>6</v>
      </c>
      <c r="E59" s="0" t="str">
        <f aca="false">IFERROR(INDEX($A$4:$A$1925,MATCH(ROW()-3,$C$4:$C$1925,0)),"")</f>
        <v/>
      </c>
      <c r="G59" s="0" t="n">
        <f aca="false">IF(OR($G$1="",资金日记账!$E52="",资金日记账!$E52&lt;&gt;$G$1),0,IF(NOT(OR(N(资金日记账!$H52)&lt;&gt;0,N(资金日记账!$I52)&lt;&gt;0)),0,IF(资金日记账!$B52="",1,IF(OR(N(资金日记账!$B52)&lt;$H$1,N(资金日记账!$B52)&gt;$I$1),0,1))))</f>
        <v>0</v>
      </c>
      <c r="H59" s="0" t="n">
        <f aca="false">N(H58)+$G59</f>
        <v>3</v>
      </c>
      <c r="I59" s="0" t="str">
        <f aca="false">IF($G59=0,"",IF(资金日记账!$B52=0,"",资金日记账!$B52))</f>
        <v/>
      </c>
      <c r="J59" s="0" t="str">
        <f aca="false">IF($G59=0,"",IF(资金日记账!$D52=0,"",资金日记账!$D52))</f>
        <v/>
      </c>
      <c r="K59" s="0" t="str">
        <f aca="false">IF($G59=0,"",IF(""=0,"",""))</f>
        <v/>
      </c>
      <c r="L59" s="0" t="str">
        <f aca="false">IF($G59=0,"",IF(""=0,"",""))</f>
        <v/>
      </c>
      <c r="M59" s="0" t="str">
        <f aca="false">IF($G59=0,"",IF(""=0,"",""))</f>
        <v/>
      </c>
      <c r="N59" s="0" t="str">
        <f aca="false">IF($G59=0,"",IF(IF(N(资金日记账!$I52)=0,"",-ROUND(N(资金日记账!$I52),2))=0,"",IF(N(资金日记账!$I52)=0,"",-ROUND(N(资金日记账!$I52),2))))</f>
        <v/>
      </c>
      <c r="O59" s="0" t="str">
        <f aca="false">IF($G59=0,"",IF(IF(N(资金日记账!$H52)=0,"",ROUND(N(资金日记账!$H52),2))=0,"",IF(N(资金日记账!$H52)=0,"",ROUND(N(资金日记账!$H52),2))))</f>
        <v/>
      </c>
      <c r="P59" s="0" t="str">
        <f aca="false">IF($G59=0,"",IF(资金日记账!$L52=0,"",资金日记账!$L52))</f>
        <v/>
      </c>
      <c r="T59" s="0" t="str">
        <f aca="false">IF(资金日记账!$G59="","",资金日记账!$G59)</f>
        <v>停车费</v>
      </c>
      <c r="U59" s="0" t="n">
        <f aca="false">IF(T59="",0,IF(MATCH(T59,$T$4:$T$903,0)=ROW()-3,1,0))</f>
        <v>0</v>
      </c>
      <c r="V59" s="0" t="n">
        <f aca="false">N(V58)+U59</f>
        <v>21</v>
      </c>
      <c r="X59" s="0" t="str">
        <f aca="false">IFERROR(INDEX($T$4:$T$903,MATCH(56,$V$4:$V$903,0)),"")</f>
        <v/>
      </c>
      <c r="Z59" s="0" t="str">
        <f aca="false">IF(成本费用登记表!$C59="","",成本费用登记表!$C59)</f>
        <v/>
      </c>
      <c r="AA59" s="0" t="n">
        <f aca="false">IF(Z59="",0,IF(MATCH(Z59,$Z$4:$Z$303,0)=ROW()-3,1,0))</f>
        <v>0</v>
      </c>
      <c r="AB59" s="0" t="n">
        <f aca="false">N(AB58)+AA59</f>
        <v>0</v>
      </c>
      <c r="AD59" s="0" t="str">
        <f aca="false">IFERROR(INDEX($Z$4:$Z$303,MATCH(56,$AB$4:$AB$303,0)),"")</f>
        <v/>
      </c>
      <c r="AF59" s="0" t="str">
        <f aca="false">IF(OR(资金日记账!$E59="",N(资金日记账!$H59)=0),"",资金日记账!$E59)</f>
        <v/>
      </c>
      <c r="AG59" s="0" t="n">
        <f aca="false">IF(AF59="",0,IF(MATCH(AF59,$AF$4:$AF$603,0)=ROW()-3,1,0))</f>
        <v>0</v>
      </c>
      <c r="AH59" s="0" t="n">
        <f aca="false">N(AH58)+AG59</f>
        <v>2</v>
      </c>
      <c r="AJ59" s="0" t="str">
        <f aca="false">IFERROR(INDEX($AF$4:$AF$603,MATCH(56,$AH$4:$AH$603,0)),"")</f>
        <v/>
      </c>
    </row>
    <row r="60" customFormat="false" ht="13.5" hidden="false" customHeight="false" outlineLevel="0" collapsed="false">
      <c r="A60" s="0" t="str">
        <f aca="false">IF(((进销存对接!$D60="客户应收")+(进销存对接!$D60="成品销售款")+(进销存对接!$D60="公司购买果品款")+(进销存对接!$D60="筐子销售款")+(进销存对接!$D60="物料销售款"))&gt;0,进销存对接!$C60,"")</f>
        <v/>
      </c>
      <c r="B60" s="0" t="n">
        <f aca="false">IF(A60="",0,IF(MATCH(A60,$A$4:$A$1925,0)=ROW()-3,1,0))</f>
        <v>0</v>
      </c>
      <c r="C60" s="0" t="n">
        <f aca="false">N(C59)+B60</f>
        <v>6</v>
      </c>
      <c r="E60" s="0" t="str">
        <f aca="false">IFERROR(INDEX($A$4:$A$1925,MATCH(ROW()-3,$C$4:$C$1925,0)),"")</f>
        <v/>
      </c>
      <c r="G60" s="0" t="n">
        <f aca="false">IF(OR($G$1="",资金日记账!$E53="",资金日记账!$E53&lt;&gt;$G$1),0,IF(NOT(OR(N(资金日记账!$H53)&lt;&gt;0,N(资金日记账!$I53)&lt;&gt;0)),0,IF(资金日记账!$B53="",1,IF(OR(N(资金日记账!$B53)&lt;$H$1,N(资金日记账!$B53)&gt;$I$1),0,1))))</f>
        <v>0</v>
      </c>
      <c r="H60" s="0" t="n">
        <f aca="false">N(H59)+$G60</f>
        <v>3</v>
      </c>
      <c r="I60" s="0" t="str">
        <f aca="false">IF($G60=0,"",IF(资金日记账!$B53=0,"",资金日记账!$B53))</f>
        <v/>
      </c>
      <c r="J60" s="0" t="str">
        <f aca="false">IF($G60=0,"",IF(资金日记账!$D53=0,"",资金日记账!$D53))</f>
        <v/>
      </c>
      <c r="K60" s="0" t="str">
        <f aca="false">IF($G60=0,"",IF(""=0,"",""))</f>
        <v/>
      </c>
      <c r="L60" s="0" t="str">
        <f aca="false">IF($G60=0,"",IF(""=0,"",""))</f>
        <v/>
      </c>
      <c r="M60" s="0" t="str">
        <f aca="false">IF($G60=0,"",IF(""=0,"",""))</f>
        <v/>
      </c>
      <c r="N60" s="0" t="str">
        <f aca="false">IF($G60=0,"",IF(IF(N(资金日记账!$I53)=0,"",-ROUND(N(资金日记账!$I53),2))=0,"",IF(N(资金日记账!$I53)=0,"",-ROUND(N(资金日记账!$I53),2))))</f>
        <v/>
      </c>
      <c r="O60" s="0" t="str">
        <f aca="false">IF($G60=0,"",IF(IF(N(资金日记账!$H53)=0,"",ROUND(N(资金日记账!$H53),2))=0,"",IF(N(资金日记账!$H53)=0,"",ROUND(N(资金日记账!$H53),2))))</f>
        <v/>
      </c>
      <c r="P60" s="0" t="str">
        <f aca="false">IF($G60=0,"",IF(资金日记账!$L53=0,"",资金日记账!$L53))</f>
        <v/>
      </c>
      <c r="T60" s="0" t="str">
        <f aca="false">IF(资金日记账!$G60="","",资金日记账!$G60)</f>
        <v>送礼</v>
      </c>
      <c r="U60" s="0" t="n">
        <f aca="false">IF(T60="",0,IF(MATCH(T60,$T$4:$T$903,0)=ROW()-3,1,0))</f>
        <v>0</v>
      </c>
      <c r="V60" s="0" t="n">
        <f aca="false">N(V59)+U60</f>
        <v>21</v>
      </c>
      <c r="X60" s="0" t="str">
        <f aca="false">IFERROR(INDEX($T$4:$T$903,MATCH(57,$V$4:$V$903,0)),"")</f>
        <v/>
      </c>
      <c r="Z60" s="0" t="str">
        <f aca="false">IF(成本费用登记表!$C60="","",成本费用登记表!$C60)</f>
        <v/>
      </c>
      <c r="AA60" s="0" t="n">
        <f aca="false">IF(Z60="",0,IF(MATCH(Z60,$Z$4:$Z$303,0)=ROW()-3,1,0))</f>
        <v>0</v>
      </c>
      <c r="AB60" s="0" t="n">
        <f aca="false">N(AB59)+AA60</f>
        <v>0</v>
      </c>
      <c r="AD60" s="0" t="str">
        <f aca="false">IFERROR(INDEX($Z$4:$Z$303,MATCH(57,$AB$4:$AB$303,0)),"")</f>
        <v/>
      </c>
      <c r="AF60" s="0" t="str">
        <f aca="false">IF(OR(资金日记账!$E60="",N(资金日记账!$H60)=0),"",资金日记账!$E60)</f>
        <v/>
      </c>
      <c r="AG60" s="0" t="n">
        <f aca="false">IF(AF60="",0,IF(MATCH(AF60,$AF$4:$AF$603,0)=ROW()-3,1,0))</f>
        <v>0</v>
      </c>
      <c r="AH60" s="0" t="n">
        <f aca="false">N(AH59)+AG60</f>
        <v>2</v>
      </c>
      <c r="AJ60" s="0" t="str">
        <f aca="false">IFERROR(INDEX($AF$4:$AF$603,MATCH(57,$AH$4:$AH$603,0)),"")</f>
        <v/>
      </c>
    </row>
    <row r="61" customFormat="false" ht="13.5" hidden="false" customHeight="false" outlineLevel="0" collapsed="false">
      <c r="A61" s="0" t="str">
        <f aca="false">IF(((进销存对接!$D61="客户应收")+(进销存对接!$D61="成品销售款")+(进销存对接!$D61="公司购买果品款")+(进销存对接!$D61="筐子销售款")+(进销存对接!$D61="物料销售款"))&gt;0,进销存对接!$C61,"")</f>
        <v/>
      </c>
      <c r="B61" s="0" t="n">
        <f aca="false">IF(A61="",0,IF(MATCH(A61,$A$4:$A$1925,0)=ROW()-3,1,0))</f>
        <v>0</v>
      </c>
      <c r="C61" s="0" t="n">
        <f aca="false">N(C60)+B61</f>
        <v>6</v>
      </c>
      <c r="E61" s="0" t="str">
        <f aca="false">IFERROR(INDEX($A$4:$A$1925,MATCH(ROW()-3,$C$4:$C$1925,0)),"")</f>
        <v/>
      </c>
      <c r="G61" s="0" t="n">
        <f aca="false">IF(OR($G$1="",资金日记账!$E54="",资金日记账!$E54&lt;&gt;$G$1),0,IF(NOT(OR(N(资金日记账!$H54)&lt;&gt;0,N(资金日记账!$I54)&lt;&gt;0)),0,IF(资金日记账!$B54="",1,IF(OR(N(资金日记账!$B54)&lt;$H$1,N(资金日记账!$B54)&gt;$I$1),0,1))))</f>
        <v>0</v>
      </c>
      <c r="H61" s="0" t="n">
        <f aca="false">N(H60)+$G61</f>
        <v>3</v>
      </c>
      <c r="I61" s="0" t="str">
        <f aca="false">IF($G61=0,"",IF(资金日记账!$B54=0,"",资金日记账!$B54))</f>
        <v/>
      </c>
      <c r="J61" s="0" t="str">
        <f aca="false">IF($G61=0,"",IF(资金日记账!$D54=0,"",资金日记账!$D54))</f>
        <v/>
      </c>
      <c r="K61" s="0" t="str">
        <f aca="false">IF($G61=0,"",IF(""=0,"",""))</f>
        <v/>
      </c>
      <c r="L61" s="0" t="str">
        <f aca="false">IF($G61=0,"",IF(""=0,"",""))</f>
        <v/>
      </c>
      <c r="M61" s="0" t="str">
        <f aca="false">IF($G61=0,"",IF(""=0,"",""))</f>
        <v/>
      </c>
      <c r="N61" s="0" t="str">
        <f aca="false">IF($G61=0,"",IF(IF(N(资金日记账!$I54)=0,"",-ROUND(N(资金日记账!$I54),2))=0,"",IF(N(资金日记账!$I54)=0,"",-ROUND(N(资金日记账!$I54),2))))</f>
        <v/>
      </c>
      <c r="O61" s="0" t="str">
        <f aca="false">IF($G61=0,"",IF(IF(N(资金日记账!$H54)=0,"",ROUND(N(资金日记账!$H54),2))=0,"",IF(N(资金日记账!$H54)=0,"",ROUND(N(资金日记账!$H54),2))))</f>
        <v/>
      </c>
      <c r="P61" s="0" t="str">
        <f aca="false">IF($G61=0,"",IF(资金日记账!$L54=0,"",资金日记账!$L54))</f>
        <v/>
      </c>
      <c r="T61" s="0" t="str">
        <f aca="false">IF(资金日记账!$G61="","",资金日记账!$G61)</f>
        <v>办公设备用品</v>
      </c>
      <c r="U61" s="0" t="n">
        <f aca="false">IF(T61="",0,IF(MATCH(T61,$T$4:$T$903,0)=ROW()-3,1,0))</f>
        <v>1</v>
      </c>
      <c r="V61" s="0" t="n">
        <f aca="false">N(V60)+U61</f>
        <v>22</v>
      </c>
      <c r="X61" s="0" t="str">
        <f aca="false">IFERROR(INDEX($T$4:$T$903,MATCH(58,$V$4:$V$903,0)),"")</f>
        <v/>
      </c>
      <c r="Z61" s="0" t="str">
        <f aca="false">IF(成本费用登记表!$C61="","",成本费用登记表!$C61)</f>
        <v/>
      </c>
      <c r="AA61" s="0" t="n">
        <f aca="false">IF(Z61="",0,IF(MATCH(Z61,$Z$4:$Z$303,0)=ROW()-3,1,0))</f>
        <v>0</v>
      </c>
      <c r="AB61" s="0" t="n">
        <f aca="false">N(AB60)+AA61</f>
        <v>0</v>
      </c>
      <c r="AD61" s="0" t="str">
        <f aca="false">IFERROR(INDEX($Z$4:$Z$303,MATCH(58,$AB$4:$AB$303,0)),"")</f>
        <v/>
      </c>
      <c r="AF61" s="0" t="str">
        <f aca="false">IF(OR(资金日记账!$E61="",N(资金日记账!$H61)=0),"",资金日记账!$E61)</f>
        <v/>
      </c>
      <c r="AG61" s="0" t="n">
        <f aca="false">IF(AF61="",0,IF(MATCH(AF61,$AF$4:$AF$603,0)=ROW()-3,1,0))</f>
        <v>0</v>
      </c>
      <c r="AH61" s="0" t="n">
        <f aca="false">N(AH60)+AG61</f>
        <v>2</v>
      </c>
      <c r="AJ61" s="0" t="str">
        <f aca="false">IFERROR(INDEX($AF$4:$AF$603,MATCH(58,$AH$4:$AH$603,0)),"")</f>
        <v/>
      </c>
    </row>
    <row r="62" customFormat="false" ht="13.5" hidden="false" customHeight="false" outlineLevel="0" collapsed="false">
      <c r="A62" s="0" t="str">
        <f aca="false">IF(((进销存对接!$D62="客户应收")+(进销存对接!$D62="成品销售款")+(进销存对接!$D62="公司购买果品款")+(进销存对接!$D62="筐子销售款")+(进销存对接!$D62="物料销售款"))&gt;0,进销存对接!$C62,"")</f>
        <v/>
      </c>
      <c r="B62" s="0" t="n">
        <f aca="false">IF(A62="",0,IF(MATCH(A62,$A$4:$A$1925,0)=ROW()-3,1,0))</f>
        <v>0</v>
      </c>
      <c r="C62" s="0" t="n">
        <f aca="false">N(C61)+B62</f>
        <v>6</v>
      </c>
      <c r="E62" s="0" t="str">
        <f aca="false">IFERROR(INDEX($A$4:$A$1925,MATCH(ROW()-3,$C$4:$C$1925,0)),"")</f>
        <v/>
      </c>
      <c r="G62" s="0" t="n">
        <f aca="false">IF(OR($G$1="",资金日记账!$E55="",资金日记账!$E55&lt;&gt;$G$1),0,IF(NOT(OR(N(资金日记账!$H55)&lt;&gt;0,N(资金日记账!$I55)&lt;&gt;0)),0,IF(资金日记账!$B55="",1,IF(OR(N(资金日记账!$B55)&lt;$H$1,N(资金日记账!$B55)&gt;$I$1),0,1))))</f>
        <v>0</v>
      </c>
      <c r="H62" s="0" t="n">
        <f aca="false">N(H61)+$G62</f>
        <v>3</v>
      </c>
      <c r="I62" s="0" t="str">
        <f aca="false">IF($G62=0,"",IF(资金日记账!$B55=0,"",资金日记账!$B55))</f>
        <v/>
      </c>
      <c r="J62" s="0" t="str">
        <f aca="false">IF($G62=0,"",IF(资金日记账!$D55=0,"",资金日记账!$D55))</f>
        <v/>
      </c>
      <c r="K62" s="0" t="str">
        <f aca="false">IF($G62=0,"",IF(""=0,"",""))</f>
        <v/>
      </c>
      <c r="L62" s="0" t="str">
        <f aca="false">IF($G62=0,"",IF(""=0,"",""))</f>
        <v/>
      </c>
      <c r="M62" s="0" t="str">
        <f aca="false">IF($G62=0,"",IF(""=0,"",""))</f>
        <v/>
      </c>
      <c r="N62" s="0" t="str">
        <f aca="false">IF($G62=0,"",IF(IF(N(资金日记账!$I55)=0,"",-ROUND(N(资金日记账!$I55),2))=0,"",IF(N(资金日记账!$I55)=0,"",-ROUND(N(资金日记账!$I55),2))))</f>
        <v/>
      </c>
      <c r="O62" s="0" t="str">
        <f aca="false">IF($G62=0,"",IF(IF(N(资金日记账!$H55)=0,"",ROUND(N(资金日记账!$H55),2))=0,"",IF(N(资金日记账!$H55)=0,"",ROUND(N(资金日记账!$H55),2))))</f>
        <v/>
      </c>
      <c r="P62" s="0" t="str">
        <f aca="false">IF($G62=0,"",IF(资金日记账!$L55=0,"",资金日记账!$L55))</f>
        <v/>
      </c>
      <c r="T62" s="0" t="str">
        <f aca="false">IF(资金日记账!$G62="","",资金日记账!$G62)</f>
        <v>还信用卡</v>
      </c>
      <c r="U62" s="0" t="n">
        <f aca="false">IF(T62="",0,IF(MATCH(T62,$T$4:$T$903,0)=ROW()-3,1,0))</f>
        <v>0</v>
      </c>
      <c r="V62" s="0" t="n">
        <f aca="false">N(V61)+U62</f>
        <v>22</v>
      </c>
      <c r="X62" s="0" t="str">
        <f aca="false">IFERROR(INDEX($T$4:$T$903,MATCH(59,$V$4:$V$903,0)),"")</f>
        <v/>
      </c>
      <c r="Z62" s="0" t="str">
        <f aca="false">IF(成本费用登记表!$C62="","",成本费用登记表!$C62)</f>
        <v/>
      </c>
      <c r="AA62" s="0" t="n">
        <f aca="false">IF(Z62="",0,IF(MATCH(Z62,$Z$4:$Z$303,0)=ROW()-3,1,0))</f>
        <v>0</v>
      </c>
      <c r="AB62" s="0" t="n">
        <f aca="false">N(AB61)+AA62</f>
        <v>0</v>
      </c>
      <c r="AD62" s="0" t="str">
        <f aca="false">IFERROR(INDEX($Z$4:$Z$303,MATCH(59,$AB$4:$AB$303,0)),"")</f>
        <v/>
      </c>
      <c r="AF62" s="0" t="str">
        <f aca="false">IF(OR(资金日记账!$E62="",N(资金日记账!$H62)=0),"",资金日记账!$E62)</f>
        <v/>
      </c>
      <c r="AG62" s="0" t="n">
        <f aca="false">IF(AF62="",0,IF(MATCH(AF62,$AF$4:$AF$603,0)=ROW()-3,1,0))</f>
        <v>0</v>
      </c>
      <c r="AH62" s="0" t="n">
        <f aca="false">N(AH61)+AG62</f>
        <v>2</v>
      </c>
      <c r="AJ62" s="0" t="str">
        <f aca="false">IFERROR(INDEX($AF$4:$AF$603,MATCH(59,$AH$4:$AH$603,0)),"")</f>
        <v/>
      </c>
    </row>
    <row r="63" customFormat="false" ht="13.5" hidden="false" customHeight="false" outlineLevel="0" collapsed="false">
      <c r="A63" s="0" t="str">
        <f aca="false">IF(((进销存对接!$D63="客户应收")+(进销存对接!$D63="成品销售款")+(进销存对接!$D63="公司购买果品款")+(进销存对接!$D63="筐子销售款")+(进销存对接!$D63="物料销售款"))&gt;0,进销存对接!$C63,"")</f>
        <v/>
      </c>
      <c r="B63" s="0" t="n">
        <f aca="false">IF(A63="",0,IF(MATCH(A63,$A$4:$A$1925,0)=ROW()-3,1,0))</f>
        <v>0</v>
      </c>
      <c r="C63" s="0" t="n">
        <f aca="false">N(C62)+B63</f>
        <v>6</v>
      </c>
      <c r="E63" s="0" t="str">
        <f aca="false">IFERROR(INDEX($A$4:$A$1925,MATCH(ROW()-3,$C$4:$C$1925,0)),"")</f>
        <v/>
      </c>
      <c r="G63" s="0" t="n">
        <f aca="false">IF(OR($G$1="",资金日记账!$E56="",资金日记账!$E56&lt;&gt;$G$1),0,IF(NOT(OR(N(资金日记账!$H56)&lt;&gt;0,N(资金日记账!$I56)&lt;&gt;0)),0,IF(资金日记账!$B56="",1,IF(OR(N(资金日记账!$B56)&lt;$H$1,N(资金日记账!$B56)&gt;$I$1),0,1))))</f>
        <v>0</v>
      </c>
      <c r="H63" s="0" t="n">
        <f aca="false">N(H62)+$G63</f>
        <v>3</v>
      </c>
      <c r="I63" s="0" t="str">
        <f aca="false">IF($G63=0,"",IF(资金日记账!$B56=0,"",资金日记账!$B56))</f>
        <v/>
      </c>
      <c r="J63" s="0" t="str">
        <f aca="false">IF($G63=0,"",IF(资金日记账!$D56=0,"",资金日记账!$D56))</f>
        <v/>
      </c>
      <c r="K63" s="0" t="str">
        <f aca="false">IF($G63=0,"",IF(""=0,"",""))</f>
        <v/>
      </c>
      <c r="L63" s="0" t="str">
        <f aca="false">IF($G63=0,"",IF(""=0,"",""))</f>
        <v/>
      </c>
      <c r="M63" s="0" t="str">
        <f aca="false">IF($G63=0,"",IF(""=0,"",""))</f>
        <v/>
      </c>
      <c r="N63" s="0" t="str">
        <f aca="false">IF($G63=0,"",IF(IF(N(资金日记账!$I56)=0,"",-ROUND(N(资金日记账!$I56),2))=0,"",IF(N(资金日记账!$I56)=0,"",-ROUND(N(资金日记账!$I56),2))))</f>
        <v/>
      </c>
      <c r="O63" s="0" t="str">
        <f aca="false">IF($G63=0,"",IF(IF(N(资金日记账!$H56)=0,"",ROUND(N(资金日记账!$H56),2))=0,"",IF(N(资金日记账!$H56)=0,"",ROUND(N(资金日记账!$H56),2))))</f>
        <v/>
      </c>
      <c r="P63" s="0" t="str">
        <f aca="false">IF($G63=0,"",IF(资金日记账!$L56=0,"",资金日记账!$L56))</f>
        <v/>
      </c>
      <c r="T63" s="0" t="str">
        <f aca="false">IF(资金日记账!$G63="","",资金日记账!$G63)</f>
        <v>还信用卡</v>
      </c>
      <c r="U63" s="0" t="n">
        <f aca="false">IF(T63="",0,IF(MATCH(T63,$T$4:$T$903,0)=ROW()-3,1,0))</f>
        <v>0</v>
      </c>
      <c r="V63" s="0" t="n">
        <f aca="false">N(V62)+U63</f>
        <v>22</v>
      </c>
      <c r="X63" s="0" t="str">
        <f aca="false">IFERROR(INDEX($T$4:$T$903,MATCH(60,$V$4:$V$903,0)),"")</f>
        <v/>
      </c>
      <c r="Z63" s="0" t="str">
        <f aca="false">IF(成本费用登记表!$C63="","",成本费用登记表!$C63)</f>
        <v/>
      </c>
      <c r="AA63" s="0" t="n">
        <f aca="false">IF(Z63="",0,IF(MATCH(Z63,$Z$4:$Z$303,0)=ROW()-3,1,0))</f>
        <v>0</v>
      </c>
      <c r="AB63" s="0" t="n">
        <f aca="false">N(AB62)+AA63</f>
        <v>0</v>
      </c>
      <c r="AD63" s="0" t="str">
        <f aca="false">IFERROR(INDEX($Z$4:$Z$303,MATCH(60,$AB$4:$AB$303,0)),"")</f>
        <v/>
      </c>
      <c r="AF63" s="0" t="str">
        <f aca="false">IF(OR(资金日记账!$E63="",N(资金日记账!$H63)=0),"",资金日记账!$E63)</f>
        <v/>
      </c>
      <c r="AG63" s="0" t="n">
        <f aca="false">IF(AF63="",0,IF(MATCH(AF63,$AF$4:$AF$603,0)=ROW()-3,1,0))</f>
        <v>0</v>
      </c>
      <c r="AH63" s="0" t="n">
        <f aca="false">N(AH62)+AG63</f>
        <v>2</v>
      </c>
      <c r="AJ63" s="0" t="str">
        <f aca="false">IFERROR(INDEX($AF$4:$AF$603,MATCH(60,$AH$4:$AH$603,0)),"")</f>
        <v/>
      </c>
    </row>
    <row r="64" customFormat="false" ht="13.5" hidden="false" customHeight="false" outlineLevel="0" collapsed="false">
      <c r="A64" s="0" t="str">
        <f aca="false">IF(((进销存对接!$D64="客户应收")+(进销存对接!$D64="成品销售款")+(进销存对接!$D64="公司购买果品款")+(进销存对接!$D64="筐子销售款")+(进销存对接!$D64="物料销售款"))&gt;0,进销存对接!$C64,"")</f>
        <v/>
      </c>
      <c r="B64" s="0" t="n">
        <f aca="false">IF(A64="",0,IF(MATCH(A64,$A$4:$A$1925,0)=ROW()-3,1,0))</f>
        <v>0</v>
      </c>
      <c r="C64" s="0" t="n">
        <f aca="false">N(C63)+B64</f>
        <v>6</v>
      </c>
      <c r="E64" s="0" t="str">
        <f aca="false">IFERROR(INDEX($A$4:$A$1925,MATCH(ROW()-3,$C$4:$C$1925,0)),"")</f>
        <v/>
      </c>
      <c r="G64" s="0" t="n">
        <f aca="false">IF(OR($G$1="",资金日记账!$E57="",资金日记账!$E57&lt;&gt;$G$1),0,IF(NOT(OR(N(资金日记账!$H57)&lt;&gt;0,N(资金日记账!$I57)&lt;&gt;0)),0,IF(资金日记账!$B57="",1,IF(OR(N(资金日记账!$B57)&lt;$H$1,N(资金日记账!$B57)&gt;$I$1),0,1))))</f>
        <v>0</v>
      </c>
      <c r="H64" s="0" t="n">
        <f aca="false">N(H63)+$G64</f>
        <v>3</v>
      </c>
      <c r="I64" s="0" t="str">
        <f aca="false">IF($G64=0,"",IF(资金日记账!$B57=0,"",资金日记账!$B57))</f>
        <v/>
      </c>
      <c r="J64" s="0" t="str">
        <f aca="false">IF($G64=0,"",IF(资金日记账!$D57=0,"",资金日记账!$D57))</f>
        <v/>
      </c>
      <c r="K64" s="0" t="str">
        <f aca="false">IF($G64=0,"",IF(""=0,"",""))</f>
        <v/>
      </c>
      <c r="L64" s="0" t="str">
        <f aca="false">IF($G64=0,"",IF(""=0,"",""))</f>
        <v/>
      </c>
      <c r="M64" s="0" t="str">
        <f aca="false">IF($G64=0,"",IF(""=0,"",""))</f>
        <v/>
      </c>
      <c r="N64" s="0" t="str">
        <f aca="false">IF($G64=0,"",IF(IF(N(资金日记账!$I57)=0,"",-ROUND(N(资金日记账!$I57),2))=0,"",IF(N(资金日记账!$I57)=0,"",-ROUND(N(资金日记账!$I57),2))))</f>
        <v/>
      </c>
      <c r="O64" s="0" t="str">
        <f aca="false">IF($G64=0,"",IF(IF(N(资金日记账!$H57)=0,"",ROUND(N(资金日记账!$H57),2))=0,"",IF(N(资金日记账!$H57)=0,"",ROUND(N(资金日记账!$H57),2))))</f>
        <v/>
      </c>
      <c r="P64" s="0" t="str">
        <f aca="false">IF($G64=0,"",IF(资金日记账!$L57=0,"",资金日记账!$L57))</f>
        <v/>
      </c>
      <c r="T64" s="0" t="str">
        <f aca="false">IF(资金日记账!$G64="","",资金日记账!$G64)</f>
        <v/>
      </c>
      <c r="U64" s="0" t="n">
        <f aca="false">IF(T64="",0,IF(MATCH(T64,$T$4:$T$903,0)=ROW()-3,1,0))</f>
        <v>0</v>
      </c>
      <c r="V64" s="0" t="n">
        <f aca="false">N(V63)+U64</f>
        <v>22</v>
      </c>
      <c r="Z64" s="0" t="str">
        <f aca="false">IF(成本费用登记表!$C64="","",成本费用登记表!$C64)</f>
        <v/>
      </c>
      <c r="AA64" s="0" t="n">
        <f aca="false">IF(Z64="",0,IF(MATCH(Z64,$Z$4:$Z$303,0)=ROW()-3,1,0))</f>
        <v>0</v>
      </c>
      <c r="AB64" s="0" t="n">
        <f aca="false">N(AB63)+AA64</f>
        <v>0</v>
      </c>
      <c r="AD64" s="0" t="str">
        <f aca="false">IFERROR(INDEX($Z$4:$Z$303,MATCH(61,$AB$4:$AB$303,0)),"")</f>
        <v/>
      </c>
      <c r="AF64" s="0" t="str">
        <f aca="false">IF(OR(资金日记账!$E64="",N(资金日记账!$H64)=0),"",资金日记账!$E64)</f>
        <v/>
      </c>
      <c r="AG64" s="0" t="n">
        <f aca="false">IF(AF64="",0,IF(MATCH(AF64,$AF$4:$AF$603,0)=ROW()-3,1,0))</f>
        <v>0</v>
      </c>
      <c r="AH64" s="0" t="n">
        <f aca="false">N(AH63)+AG64</f>
        <v>2</v>
      </c>
    </row>
    <row r="65" customFormat="false" ht="13.5" hidden="false" customHeight="false" outlineLevel="0" collapsed="false">
      <c r="A65" s="0" t="str">
        <f aca="false">IF(((进销存对接!$D65="客户应收")+(进销存对接!$D65="成品销售款")+(进销存对接!$D65="公司购买果品款")+(进销存对接!$D65="筐子销售款")+(进销存对接!$D65="物料销售款"))&gt;0,进销存对接!$C65,"")</f>
        <v/>
      </c>
      <c r="B65" s="0" t="n">
        <f aca="false">IF(A65="",0,IF(MATCH(A65,$A$4:$A$1925,0)=ROW()-3,1,0))</f>
        <v>0</v>
      </c>
      <c r="C65" s="0" t="n">
        <f aca="false">N(C64)+B65</f>
        <v>6</v>
      </c>
      <c r="E65" s="0" t="str">
        <f aca="false">IFERROR(INDEX($A$4:$A$1925,MATCH(ROW()-3,$C$4:$C$1925,0)),"")</f>
        <v/>
      </c>
      <c r="G65" s="0" t="n">
        <f aca="false">IF(OR($G$1="",资金日记账!$E58="",资金日记账!$E58&lt;&gt;$G$1),0,IF(NOT(OR(N(资金日记账!$H58)&lt;&gt;0,N(资金日记账!$I58)&lt;&gt;0)),0,IF(资金日记账!$B58="",1,IF(OR(N(资金日记账!$B58)&lt;$H$1,N(资金日记账!$B58)&gt;$I$1),0,1))))</f>
        <v>0</v>
      </c>
      <c r="H65" s="0" t="n">
        <f aca="false">N(H64)+$G65</f>
        <v>3</v>
      </c>
      <c r="I65" s="0" t="str">
        <f aca="false">IF($G65=0,"",IF(资金日记账!$B58=0,"",资金日记账!$B58))</f>
        <v/>
      </c>
      <c r="J65" s="0" t="str">
        <f aca="false">IF($G65=0,"",IF(资金日记账!$D58=0,"",资金日记账!$D58))</f>
        <v/>
      </c>
      <c r="K65" s="0" t="str">
        <f aca="false">IF($G65=0,"",IF(""=0,"",""))</f>
        <v/>
      </c>
      <c r="L65" s="0" t="str">
        <f aca="false">IF($G65=0,"",IF(""=0,"",""))</f>
        <v/>
      </c>
      <c r="M65" s="0" t="str">
        <f aca="false">IF($G65=0,"",IF(""=0,"",""))</f>
        <v/>
      </c>
      <c r="N65" s="0" t="str">
        <f aca="false">IF($G65=0,"",IF(IF(N(资金日记账!$I58)=0,"",-ROUND(N(资金日记账!$I58),2))=0,"",IF(N(资金日记账!$I58)=0,"",-ROUND(N(资金日记账!$I58),2))))</f>
        <v/>
      </c>
      <c r="O65" s="0" t="str">
        <f aca="false">IF($G65=0,"",IF(IF(N(资金日记账!$H58)=0,"",ROUND(N(资金日记账!$H58),2))=0,"",IF(N(资金日记账!$H58)=0,"",ROUND(N(资金日记账!$H58),2))))</f>
        <v/>
      </c>
      <c r="P65" s="0" t="str">
        <f aca="false">IF($G65=0,"",IF(资金日记账!$L58=0,"",资金日记账!$L58))</f>
        <v/>
      </c>
      <c r="T65" s="0" t="str">
        <f aca="false">IF(资金日记账!$G65="","",资金日记账!$G65)</f>
        <v>打印及广告</v>
      </c>
      <c r="U65" s="0" t="n">
        <f aca="false">IF(T65="",0,IF(MATCH(T65,$T$4:$T$903,0)=ROW()-3,1,0))</f>
        <v>1</v>
      </c>
      <c r="V65" s="0" t="n">
        <f aca="false">N(V64)+U65</f>
        <v>23</v>
      </c>
      <c r="Z65" s="0" t="str">
        <f aca="false">IF(成本费用登记表!$C65="","",成本费用登记表!$C65)</f>
        <v/>
      </c>
      <c r="AA65" s="0" t="n">
        <f aca="false">IF(Z65="",0,IF(MATCH(Z65,$Z$4:$Z$303,0)=ROW()-3,1,0))</f>
        <v>0</v>
      </c>
      <c r="AB65" s="0" t="n">
        <f aca="false">N(AB64)+AA65</f>
        <v>0</v>
      </c>
      <c r="AD65" s="0" t="str">
        <f aca="false">IFERROR(INDEX($Z$4:$Z$303,MATCH(62,$AB$4:$AB$303,0)),"")</f>
        <v/>
      </c>
      <c r="AF65" s="0" t="str">
        <f aca="false">IF(OR(资金日记账!$E65="",N(资金日记账!$H65)=0),"",资金日记账!$E65)</f>
        <v/>
      </c>
      <c r="AG65" s="0" t="n">
        <f aca="false">IF(AF65="",0,IF(MATCH(AF65,$AF$4:$AF$603,0)=ROW()-3,1,0))</f>
        <v>0</v>
      </c>
      <c r="AH65" s="0" t="n">
        <f aca="false">N(AH64)+AG65</f>
        <v>2</v>
      </c>
    </row>
    <row r="66" customFormat="false" ht="13.5" hidden="false" customHeight="false" outlineLevel="0" collapsed="false">
      <c r="A66" s="0" t="str">
        <f aca="false">IF(((进销存对接!$D66="客户应收")+(进销存对接!$D66="成品销售款")+(进销存对接!$D66="公司购买果品款")+(进销存对接!$D66="筐子销售款")+(进销存对接!$D66="物料销售款"))&gt;0,进销存对接!$C66,"")</f>
        <v/>
      </c>
      <c r="B66" s="0" t="n">
        <f aca="false">IF(A66="",0,IF(MATCH(A66,$A$4:$A$1925,0)=ROW()-3,1,0))</f>
        <v>0</v>
      </c>
      <c r="C66" s="0" t="n">
        <f aca="false">N(C65)+B66</f>
        <v>6</v>
      </c>
      <c r="E66" s="0" t="str">
        <f aca="false">IFERROR(INDEX($A$4:$A$1925,MATCH(ROW()-3,$C$4:$C$1925,0)),"")</f>
        <v/>
      </c>
      <c r="G66" s="0" t="n">
        <f aca="false">IF(OR($G$1="",资金日记账!$E59="",资金日记账!$E59&lt;&gt;$G$1),0,IF(NOT(OR(N(资金日记账!$H59)&lt;&gt;0,N(资金日记账!$I59)&lt;&gt;0)),0,IF(资金日记账!$B59="",1,IF(OR(N(资金日记账!$B59)&lt;$H$1,N(资金日记账!$B59)&gt;$I$1),0,1))))</f>
        <v>0</v>
      </c>
      <c r="H66" s="0" t="n">
        <f aca="false">N(H65)+$G66</f>
        <v>3</v>
      </c>
      <c r="I66" s="0" t="str">
        <f aca="false">IF($G66=0,"",IF(资金日记账!$B59=0,"",资金日记账!$B59))</f>
        <v/>
      </c>
      <c r="J66" s="0" t="str">
        <f aca="false">IF($G66=0,"",IF(资金日记账!$D59=0,"",资金日记账!$D59))</f>
        <v/>
      </c>
      <c r="K66" s="0" t="str">
        <f aca="false">IF($G66=0,"",IF(""=0,"",""))</f>
        <v/>
      </c>
      <c r="L66" s="0" t="str">
        <f aca="false">IF($G66=0,"",IF(""=0,"",""))</f>
        <v/>
      </c>
      <c r="M66" s="0" t="str">
        <f aca="false">IF($G66=0,"",IF(""=0,"",""))</f>
        <v/>
      </c>
      <c r="N66" s="0" t="str">
        <f aca="false">IF($G66=0,"",IF(IF(N(资金日记账!$I59)=0,"",-ROUND(N(资金日记账!$I59),2))=0,"",IF(N(资金日记账!$I59)=0,"",-ROUND(N(资金日记账!$I59),2))))</f>
        <v/>
      </c>
      <c r="O66" s="0" t="str">
        <f aca="false">IF($G66=0,"",IF(IF(N(资金日记账!$H59)=0,"",ROUND(N(资金日记账!$H59),2))=0,"",IF(N(资金日记账!$H59)=0,"",ROUND(N(资金日记账!$H59),2))))</f>
        <v/>
      </c>
      <c r="P66" s="0" t="str">
        <f aca="false">IF($G66=0,"",IF(资金日记账!$L59=0,"",资金日记账!$L59))</f>
        <v/>
      </c>
      <c r="T66" s="0" t="str">
        <f aca="false">IF(资金日记账!$G66="","",资金日记账!$G66)</f>
        <v>吃饭</v>
      </c>
      <c r="U66" s="0" t="n">
        <f aca="false">IF(T66="",0,IF(MATCH(T66,$T$4:$T$903,0)=ROW()-3,1,0))</f>
        <v>0</v>
      </c>
      <c r="V66" s="0" t="n">
        <f aca="false">N(V65)+U66</f>
        <v>23</v>
      </c>
      <c r="Z66" s="0" t="str">
        <f aca="false">IF(成本费用登记表!$C66="","",成本费用登记表!$C66)</f>
        <v/>
      </c>
      <c r="AA66" s="0" t="n">
        <f aca="false">IF(Z66="",0,IF(MATCH(Z66,$Z$4:$Z$303,0)=ROW()-3,1,0))</f>
        <v>0</v>
      </c>
      <c r="AB66" s="0" t="n">
        <f aca="false">N(AB65)+AA66</f>
        <v>0</v>
      </c>
      <c r="AD66" s="0" t="str">
        <f aca="false">IFERROR(INDEX($Z$4:$Z$303,MATCH(63,$AB$4:$AB$303,0)),"")</f>
        <v/>
      </c>
      <c r="AF66" s="0" t="str">
        <f aca="false">IF(OR(资金日记账!$E66="",N(资金日记账!$H66)=0),"",资金日记账!$E66)</f>
        <v/>
      </c>
      <c r="AG66" s="0" t="n">
        <f aca="false">IF(AF66="",0,IF(MATCH(AF66,$AF$4:$AF$603,0)=ROW()-3,1,0))</f>
        <v>0</v>
      </c>
      <c r="AH66" s="0" t="n">
        <f aca="false">N(AH65)+AG66</f>
        <v>2</v>
      </c>
    </row>
    <row r="67" customFormat="false" ht="13.5" hidden="false" customHeight="false" outlineLevel="0" collapsed="false">
      <c r="A67" s="0" t="str">
        <f aca="false">IF(((进销存对接!$D67="客户应收")+(进销存对接!$D67="成品销售款")+(进销存对接!$D67="公司购买果品款")+(进销存对接!$D67="筐子销售款")+(进销存对接!$D67="物料销售款"))&gt;0,进销存对接!$C67,"")</f>
        <v/>
      </c>
      <c r="B67" s="0" t="n">
        <f aca="false">IF(A67="",0,IF(MATCH(A67,$A$4:$A$1925,0)=ROW()-3,1,0))</f>
        <v>0</v>
      </c>
      <c r="C67" s="0" t="n">
        <f aca="false">N(C66)+B67</f>
        <v>6</v>
      </c>
      <c r="E67" s="0" t="str">
        <f aca="false">IFERROR(INDEX($A$4:$A$1925,MATCH(ROW()-3,$C$4:$C$1925,0)),"")</f>
        <v/>
      </c>
      <c r="G67" s="0" t="n">
        <f aca="false">IF(OR($G$1="",资金日记账!$E60="",资金日记账!$E60&lt;&gt;$G$1),0,IF(NOT(OR(N(资金日记账!$H60)&lt;&gt;0,N(资金日记账!$I60)&lt;&gt;0)),0,IF(资金日记账!$B60="",1,IF(OR(N(资金日记账!$B60)&lt;$H$1,N(资金日记账!$B60)&gt;$I$1),0,1))))</f>
        <v>0</v>
      </c>
      <c r="H67" s="0" t="n">
        <f aca="false">N(H66)+$G67</f>
        <v>3</v>
      </c>
      <c r="I67" s="0" t="str">
        <f aca="false">IF($G67=0,"",IF(资金日记账!$B60=0,"",资金日记账!$B60))</f>
        <v/>
      </c>
      <c r="J67" s="0" t="str">
        <f aca="false">IF($G67=0,"",IF(资金日记账!$D60=0,"",资金日记账!$D60))</f>
        <v/>
      </c>
      <c r="K67" s="0" t="str">
        <f aca="false">IF($G67=0,"",IF(""=0,"",""))</f>
        <v/>
      </c>
      <c r="L67" s="0" t="str">
        <f aca="false">IF($G67=0,"",IF(""=0,"",""))</f>
        <v/>
      </c>
      <c r="M67" s="0" t="str">
        <f aca="false">IF($G67=0,"",IF(""=0,"",""))</f>
        <v/>
      </c>
      <c r="N67" s="0" t="str">
        <f aca="false">IF($G67=0,"",IF(IF(N(资金日记账!$I60)=0,"",-ROUND(N(资金日记账!$I60),2))=0,"",IF(N(资金日记账!$I60)=0,"",-ROUND(N(资金日记账!$I60),2))))</f>
        <v/>
      </c>
      <c r="O67" s="0" t="str">
        <f aca="false">IF($G67=0,"",IF(IF(N(资金日记账!$H60)=0,"",ROUND(N(资金日记账!$H60),2))=0,"",IF(N(资金日记账!$H60)=0,"",ROUND(N(资金日记账!$H60),2))))</f>
        <v/>
      </c>
      <c r="P67" s="0" t="str">
        <f aca="false">IF($G67=0,"",IF(资金日记账!$L60=0,"",资金日记账!$L60))</f>
        <v/>
      </c>
      <c r="T67" s="0" t="str">
        <f aca="false">IF(资金日记账!$G67="","",资金日记账!$G67)</f>
        <v>吃饭</v>
      </c>
      <c r="U67" s="0" t="n">
        <f aca="false">IF(T67="",0,IF(MATCH(T67,$T$4:$T$903,0)=ROW()-3,1,0))</f>
        <v>0</v>
      </c>
      <c r="V67" s="0" t="n">
        <f aca="false">N(V66)+U67</f>
        <v>23</v>
      </c>
      <c r="Z67" s="0" t="str">
        <f aca="false">IF(成本费用登记表!$C67="","",成本费用登记表!$C67)</f>
        <v/>
      </c>
      <c r="AA67" s="0" t="n">
        <f aca="false">IF(Z67="",0,IF(MATCH(Z67,$Z$4:$Z$303,0)=ROW()-3,1,0))</f>
        <v>0</v>
      </c>
      <c r="AB67" s="0" t="n">
        <f aca="false">N(AB66)+AA67</f>
        <v>0</v>
      </c>
      <c r="AD67" s="0" t="str">
        <f aca="false">IFERROR(INDEX($Z$4:$Z$303,MATCH(64,$AB$4:$AB$303,0)),"")</f>
        <v/>
      </c>
      <c r="AF67" s="0" t="str">
        <f aca="false">IF(OR(资金日记账!$E67="",N(资金日记账!$H67)=0),"",资金日记账!$E67)</f>
        <v/>
      </c>
      <c r="AG67" s="0" t="n">
        <f aca="false">IF(AF67="",0,IF(MATCH(AF67,$AF$4:$AF$603,0)=ROW()-3,1,0))</f>
        <v>0</v>
      </c>
      <c r="AH67" s="0" t="n">
        <f aca="false">N(AH66)+AG67</f>
        <v>2</v>
      </c>
    </row>
    <row r="68" customFormat="false" ht="13.5" hidden="false" customHeight="false" outlineLevel="0" collapsed="false">
      <c r="A68" s="0" t="str">
        <f aca="false">IF(((进销存对接!$D68="客户应收")+(进销存对接!$D68="成品销售款")+(进销存对接!$D68="公司购买果品款")+(进销存对接!$D68="筐子销售款")+(进销存对接!$D68="物料销售款"))&gt;0,进销存对接!$C68,"")</f>
        <v/>
      </c>
      <c r="B68" s="0" t="n">
        <f aca="false">IF(A68="",0,IF(MATCH(A68,$A$4:$A$1925,0)=ROW()-3,1,0))</f>
        <v>0</v>
      </c>
      <c r="C68" s="0" t="n">
        <f aca="false">N(C67)+B68</f>
        <v>6</v>
      </c>
      <c r="E68" s="0" t="str">
        <f aca="false">IFERROR(INDEX($A$4:$A$1925,MATCH(ROW()-3,$C$4:$C$1925,0)),"")</f>
        <v/>
      </c>
      <c r="G68" s="0" t="n">
        <f aca="false">IF(OR($G$1="",资金日记账!$E61="",资金日记账!$E61&lt;&gt;$G$1),0,IF(NOT(OR(N(资金日记账!$H61)&lt;&gt;0,N(资金日记账!$I61)&lt;&gt;0)),0,IF(资金日记账!$B61="",1,IF(OR(N(资金日记账!$B61)&lt;$H$1,N(资金日记账!$B61)&gt;$I$1),0,1))))</f>
        <v>0</v>
      </c>
      <c r="H68" s="0" t="n">
        <f aca="false">N(H67)+$G68</f>
        <v>3</v>
      </c>
      <c r="I68" s="0" t="str">
        <f aca="false">IF($G68=0,"",IF(资金日记账!$B61=0,"",资金日记账!$B61))</f>
        <v/>
      </c>
      <c r="J68" s="0" t="str">
        <f aca="false">IF($G68=0,"",IF(资金日记账!$D61=0,"",资金日记账!$D61))</f>
        <v/>
      </c>
      <c r="K68" s="0" t="str">
        <f aca="false">IF($G68=0,"",IF(""=0,"",""))</f>
        <v/>
      </c>
      <c r="L68" s="0" t="str">
        <f aca="false">IF($G68=0,"",IF(""=0,"",""))</f>
        <v/>
      </c>
      <c r="M68" s="0" t="str">
        <f aca="false">IF($G68=0,"",IF(""=0,"",""))</f>
        <v/>
      </c>
      <c r="N68" s="0" t="str">
        <f aca="false">IF($G68=0,"",IF(IF(N(资金日记账!$I61)=0,"",-ROUND(N(资金日记账!$I61),2))=0,"",IF(N(资金日记账!$I61)=0,"",-ROUND(N(资金日记账!$I61),2))))</f>
        <v/>
      </c>
      <c r="O68" s="0" t="str">
        <f aca="false">IF($G68=0,"",IF(IF(N(资金日记账!$H61)=0,"",ROUND(N(资金日记账!$H61),2))=0,"",IF(N(资金日记账!$H61)=0,"",ROUND(N(资金日记账!$H61),2))))</f>
        <v/>
      </c>
      <c r="P68" s="0" t="str">
        <f aca="false">IF($G68=0,"",IF(资金日记账!$L61=0,"",资金日记账!$L61))</f>
        <v/>
      </c>
      <c r="T68" s="0" t="str">
        <f aca="false">IF(资金日记账!$G68="","",资金日记账!$G68)</f>
        <v>车充电</v>
      </c>
      <c r="U68" s="0" t="n">
        <f aca="false">IF(T68="",0,IF(MATCH(T68,$T$4:$T$903,0)=ROW()-3,1,0))</f>
        <v>0</v>
      </c>
      <c r="V68" s="0" t="n">
        <f aca="false">N(V67)+U68</f>
        <v>23</v>
      </c>
      <c r="Z68" s="0" t="str">
        <f aca="false">IF(成本费用登记表!$C68="","",成本费用登记表!$C68)</f>
        <v/>
      </c>
      <c r="AA68" s="0" t="n">
        <f aca="false">IF(Z68="",0,IF(MATCH(Z68,$Z$4:$Z$303,0)=ROW()-3,1,0))</f>
        <v>0</v>
      </c>
      <c r="AB68" s="0" t="n">
        <f aca="false">N(AB67)+AA68</f>
        <v>0</v>
      </c>
      <c r="AD68" s="0" t="str">
        <f aca="false">IFERROR(INDEX($Z$4:$Z$303,MATCH(65,$AB$4:$AB$303,0)),"")</f>
        <v/>
      </c>
      <c r="AF68" s="0" t="str">
        <f aca="false">IF(OR(资金日记账!$E68="",N(资金日记账!$H68)=0),"",资金日记账!$E68)</f>
        <v/>
      </c>
      <c r="AG68" s="0" t="n">
        <f aca="false">IF(AF68="",0,IF(MATCH(AF68,$AF$4:$AF$603,0)=ROW()-3,1,0))</f>
        <v>0</v>
      </c>
      <c r="AH68" s="0" t="n">
        <f aca="false">N(AH67)+AG68</f>
        <v>2</v>
      </c>
    </row>
    <row r="69" customFormat="false" ht="13.5" hidden="false" customHeight="false" outlineLevel="0" collapsed="false">
      <c r="A69" s="0" t="str">
        <f aca="false">IF(((进销存对接!$D69="客户应收")+(进销存对接!$D69="成品销售款")+(进销存对接!$D69="公司购买果品款")+(进销存对接!$D69="筐子销售款")+(进销存对接!$D69="物料销售款"))&gt;0,进销存对接!$C69,"")</f>
        <v/>
      </c>
      <c r="B69" s="0" t="n">
        <f aca="false">IF(A69="",0,IF(MATCH(A69,$A$4:$A$1925,0)=ROW()-3,1,0))</f>
        <v>0</v>
      </c>
      <c r="C69" s="0" t="n">
        <f aca="false">N(C68)+B69</f>
        <v>6</v>
      </c>
      <c r="E69" s="0" t="str">
        <f aca="false">IFERROR(INDEX($A$4:$A$1925,MATCH(ROW()-3,$C$4:$C$1925,0)),"")</f>
        <v/>
      </c>
      <c r="G69" s="0" t="n">
        <f aca="false">IF(OR($G$1="",资金日记账!$E62="",资金日记账!$E62&lt;&gt;$G$1),0,IF(NOT(OR(N(资金日记账!$H62)&lt;&gt;0,N(资金日记账!$I62)&lt;&gt;0)),0,IF(资金日记账!$B62="",1,IF(OR(N(资金日记账!$B62)&lt;$H$1,N(资金日记账!$B62)&gt;$I$1),0,1))))</f>
        <v>0</v>
      </c>
      <c r="H69" s="0" t="n">
        <f aca="false">N(H68)+$G69</f>
        <v>3</v>
      </c>
      <c r="I69" s="0" t="str">
        <f aca="false">IF($G69=0,"",IF(资金日记账!$B62=0,"",资金日记账!$B62))</f>
        <v/>
      </c>
      <c r="J69" s="0" t="str">
        <f aca="false">IF($G69=0,"",IF(资金日记账!$D62=0,"",资金日记账!$D62))</f>
        <v/>
      </c>
      <c r="K69" s="0" t="str">
        <f aca="false">IF($G69=0,"",IF(""=0,"",""))</f>
        <v/>
      </c>
      <c r="L69" s="0" t="str">
        <f aca="false">IF($G69=0,"",IF(""=0,"",""))</f>
        <v/>
      </c>
      <c r="M69" s="0" t="str">
        <f aca="false">IF($G69=0,"",IF(""=0,"",""))</f>
        <v/>
      </c>
      <c r="N69" s="0" t="str">
        <f aca="false">IF($G69=0,"",IF(IF(N(资金日记账!$I62)=0,"",-ROUND(N(资金日记账!$I62),2))=0,"",IF(N(资金日记账!$I62)=0,"",-ROUND(N(资金日记账!$I62),2))))</f>
        <v/>
      </c>
      <c r="O69" s="0" t="str">
        <f aca="false">IF($G69=0,"",IF(IF(N(资金日记账!$H62)=0,"",ROUND(N(资金日记账!$H62),2))=0,"",IF(N(资金日记账!$H62)=0,"",ROUND(N(资金日记账!$H62),2))))</f>
        <v/>
      </c>
      <c r="P69" s="0" t="str">
        <f aca="false">IF($G69=0,"",IF(资金日记账!$L62=0,"",资金日记账!$L62))</f>
        <v/>
      </c>
      <c r="T69" s="0" t="str">
        <f aca="false">IF(资金日记账!$G69="","",资金日记账!$G69)</f>
        <v>厨房吃</v>
      </c>
      <c r="U69" s="0" t="n">
        <f aca="false">IF(T69="",0,IF(MATCH(T69,$T$4:$T$903,0)=ROW()-3,1,0))</f>
        <v>1</v>
      </c>
      <c r="V69" s="0" t="n">
        <f aca="false">N(V68)+U69</f>
        <v>24</v>
      </c>
      <c r="Z69" s="0" t="str">
        <f aca="false">IF(成本费用登记表!$C69="","",成本费用登记表!$C69)</f>
        <v/>
      </c>
      <c r="AA69" s="0" t="n">
        <f aca="false">IF(Z69="",0,IF(MATCH(Z69,$Z$4:$Z$303,0)=ROW()-3,1,0))</f>
        <v>0</v>
      </c>
      <c r="AB69" s="0" t="n">
        <f aca="false">N(AB68)+AA69</f>
        <v>0</v>
      </c>
      <c r="AD69" s="0" t="str">
        <f aca="false">IFERROR(INDEX($Z$4:$Z$303,MATCH(66,$AB$4:$AB$303,0)),"")</f>
        <v/>
      </c>
      <c r="AF69" s="0" t="str">
        <f aca="false">IF(OR(资金日记账!$E69="",N(资金日记账!$H69)=0),"",资金日记账!$E69)</f>
        <v/>
      </c>
      <c r="AG69" s="0" t="n">
        <f aca="false">IF(AF69="",0,IF(MATCH(AF69,$AF$4:$AF$603,0)=ROW()-3,1,0))</f>
        <v>0</v>
      </c>
      <c r="AH69" s="0" t="n">
        <f aca="false">N(AH68)+AG69</f>
        <v>2</v>
      </c>
    </row>
    <row r="70" customFormat="false" ht="13.5" hidden="false" customHeight="false" outlineLevel="0" collapsed="false">
      <c r="A70" s="0" t="str">
        <f aca="false">IF(((进销存对接!$D70="客户应收")+(进销存对接!$D70="成品销售款")+(进销存对接!$D70="公司购买果品款")+(进销存对接!$D70="筐子销售款")+(进销存对接!$D70="物料销售款"))&gt;0,进销存对接!$C70,"")</f>
        <v/>
      </c>
      <c r="B70" s="0" t="n">
        <f aca="false">IF(A70="",0,IF(MATCH(A70,$A$4:$A$1925,0)=ROW()-3,1,0))</f>
        <v>0</v>
      </c>
      <c r="C70" s="0" t="n">
        <f aca="false">N(C69)+B70</f>
        <v>6</v>
      </c>
      <c r="E70" s="0" t="str">
        <f aca="false">IFERROR(INDEX($A$4:$A$1925,MATCH(ROW()-3,$C$4:$C$1925,0)),"")</f>
        <v/>
      </c>
      <c r="G70" s="0" t="n">
        <f aca="false">IF(OR($G$1="",资金日记账!$E63="",资金日记账!$E63&lt;&gt;$G$1),0,IF(NOT(OR(N(资金日记账!$H63)&lt;&gt;0,N(资金日记账!$I63)&lt;&gt;0)),0,IF(资金日记账!$B63="",1,IF(OR(N(资金日记账!$B63)&lt;$H$1,N(资金日记账!$B63)&gt;$I$1),0,1))))</f>
        <v>0</v>
      </c>
      <c r="H70" s="0" t="n">
        <f aca="false">N(H69)+$G70</f>
        <v>3</v>
      </c>
      <c r="I70" s="0" t="str">
        <f aca="false">IF($G70=0,"",IF(资金日记账!$B63=0,"",资金日记账!$B63))</f>
        <v/>
      </c>
      <c r="J70" s="0" t="str">
        <f aca="false">IF($G70=0,"",IF(资金日记账!$D63=0,"",资金日记账!$D63))</f>
        <v/>
      </c>
      <c r="K70" s="0" t="str">
        <f aca="false">IF($G70=0,"",IF(""=0,"",""))</f>
        <v/>
      </c>
      <c r="L70" s="0" t="str">
        <f aca="false">IF($G70=0,"",IF(""=0,"",""))</f>
        <v/>
      </c>
      <c r="M70" s="0" t="str">
        <f aca="false">IF($G70=0,"",IF(""=0,"",""))</f>
        <v/>
      </c>
      <c r="N70" s="0" t="str">
        <f aca="false">IF($G70=0,"",IF(IF(N(资金日记账!$I63)=0,"",-ROUND(N(资金日记账!$I63),2))=0,"",IF(N(资金日记账!$I63)=0,"",-ROUND(N(资金日记账!$I63),2))))</f>
        <v/>
      </c>
      <c r="O70" s="0" t="str">
        <f aca="false">IF($G70=0,"",IF(IF(N(资金日记账!$H63)=0,"",ROUND(N(资金日记账!$H63),2))=0,"",IF(N(资金日记账!$H63)=0,"",ROUND(N(资金日记账!$H63),2))))</f>
        <v/>
      </c>
      <c r="P70" s="0" t="str">
        <f aca="false">IF($G70=0,"",IF(资金日记账!$L63=0,"",资金日记账!$L63))</f>
        <v/>
      </c>
      <c r="T70" s="0" t="str">
        <f aca="false">IF(资金日记账!$G70="","",资金日记账!$G70)</f>
        <v>厨房吃</v>
      </c>
      <c r="U70" s="0" t="n">
        <f aca="false">IF(T70="",0,IF(MATCH(T70,$T$4:$T$903,0)=ROW()-3,1,0))</f>
        <v>0</v>
      </c>
      <c r="V70" s="0" t="n">
        <f aca="false">N(V69)+U70</f>
        <v>24</v>
      </c>
      <c r="Z70" s="0" t="str">
        <f aca="false">IF(成本费用登记表!$C70="","",成本费用登记表!$C70)</f>
        <v/>
      </c>
      <c r="AA70" s="0" t="n">
        <f aca="false">IF(Z70="",0,IF(MATCH(Z70,$Z$4:$Z$303,0)=ROW()-3,1,0))</f>
        <v>0</v>
      </c>
      <c r="AB70" s="0" t="n">
        <f aca="false">N(AB69)+AA70</f>
        <v>0</v>
      </c>
      <c r="AD70" s="0" t="str">
        <f aca="false">IFERROR(INDEX($Z$4:$Z$303,MATCH(67,$AB$4:$AB$303,0)),"")</f>
        <v/>
      </c>
      <c r="AF70" s="0" t="str">
        <f aca="false">IF(OR(资金日记账!$E70="",N(资金日记账!$H70)=0),"",资金日记账!$E70)</f>
        <v/>
      </c>
      <c r="AG70" s="0" t="n">
        <f aca="false">IF(AF70="",0,IF(MATCH(AF70,$AF$4:$AF$603,0)=ROW()-3,1,0))</f>
        <v>0</v>
      </c>
      <c r="AH70" s="0" t="n">
        <f aca="false">N(AH69)+AG70</f>
        <v>2</v>
      </c>
    </row>
    <row r="71" customFormat="false" ht="13.5" hidden="false" customHeight="false" outlineLevel="0" collapsed="false">
      <c r="A71" s="0" t="str">
        <f aca="false">IF(((进销存对接!$D71="客户应收")+(进销存对接!$D71="成品销售款")+(进销存对接!$D71="公司购买果品款")+(进销存对接!$D71="筐子销售款")+(进销存对接!$D71="物料销售款"))&gt;0,进销存对接!$C71,"")</f>
        <v/>
      </c>
      <c r="B71" s="0" t="n">
        <f aca="false">IF(A71="",0,IF(MATCH(A71,$A$4:$A$1925,0)=ROW()-3,1,0))</f>
        <v>0</v>
      </c>
      <c r="C71" s="0" t="n">
        <f aca="false">N(C70)+B71</f>
        <v>6</v>
      </c>
      <c r="E71" s="0" t="str">
        <f aca="false">IFERROR(INDEX($A$4:$A$1925,MATCH(ROW()-3,$C$4:$C$1925,0)),"")</f>
        <v/>
      </c>
      <c r="G71" s="0" t="n">
        <f aca="false">IF(OR($G$1="",资金日记账!$E64="",资金日记账!$E64&lt;&gt;$G$1),0,IF(NOT(OR(N(资金日记账!$H64)&lt;&gt;0,N(资金日记账!$I64)&lt;&gt;0)),0,IF(资金日记账!$B64="",1,IF(OR(N(资金日记账!$B64)&lt;$H$1,N(资金日记账!$B64)&gt;$I$1),0,1))))</f>
        <v>0</v>
      </c>
      <c r="H71" s="0" t="n">
        <f aca="false">N(H70)+$G71</f>
        <v>3</v>
      </c>
      <c r="I71" s="0" t="str">
        <f aca="false">IF($G71=0,"",IF(资金日记账!$B64=0,"",资金日记账!$B64))</f>
        <v/>
      </c>
      <c r="J71" s="0" t="str">
        <f aca="false">IF($G71=0,"",IF(资金日记账!$D64=0,"",资金日记账!$D64))</f>
        <v/>
      </c>
      <c r="K71" s="0" t="str">
        <f aca="false">IF($G71=0,"",IF(""=0,"",""))</f>
        <v/>
      </c>
      <c r="L71" s="0" t="str">
        <f aca="false">IF($G71=0,"",IF(""=0,"",""))</f>
        <v/>
      </c>
      <c r="M71" s="0" t="str">
        <f aca="false">IF($G71=0,"",IF(""=0,"",""))</f>
        <v/>
      </c>
      <c r="N71" s="0" t="str">
        <f aca="false">IF($G71=0,"",IF(IF(N(资金日记账!$I64)=0,"",-ROUND(N(资金日记账!$I64),2))=0,"",IF(N(资金日记账!$I64)=0,"",-ROUND(N(资金日记账!$I64),2))))</f>
        <v/>
      </c>
      <c r="O71" s="0" t="str">
        <f aca="false">IF($G71=0,"",IF(IF(N(资金日记账!$H64)=0,"",ROUND(N(资金日记账!$H64),2))=0,"",IF(N(资金日记账!$H64)=0,"",ROUND(N(资金日记账!$H64),2))))</f>
        <v/>
      </c>
      <c r="P71" s="0" t="str">
        <f aca="false">IF($G71=0,"",IF(资金日记账!$L64=0,"",资金日记账!$L64))</f>
        <v/>
      </c>
      <c r="T71" s="0" t="str">
        <f aca="false">IF(资金日记账!$G71="","",资金日记账!$G71)</f>
        <v>吃饭</v>
      </c>
      <c r="U71" s="0" t="n">
        <f aca="false">IF(T71="",0,IF(MATCH(T71,$T$4:$T$903,0)=ROW()-3,1,0))</f>
        <v>0</v>
      </c>
      <c r="V71" s="0" t="n">
        <f aca="false">N(V70)+U71</f>
        <v>24</v>
      </c>
      <c r="Z71" s="0" t="str">
        <f aca="false">IF(成本费用登记表!$C71="","",成本费用登记表!$C71)</f>
        <v/>
      </c>
      <c r="AA71" s="0" t="n">
        <f aca="false">IF(Z71="",0,IF(MATCH(Z71,$Z$4:$Z$303,0)=ROW()-3,1,0))</f>
        <v>0</v>
      </c>
      <c r="AB71" s="0" t="n">
        <f aca="false">N(AB70)+AA71</f>
        <v>0</v>
      </c>
      <c r="AD71" s="0" t="str">
        <f aca="false">IFERROR(INDEX($Z$4:$Z$303,MATCH(68,$AB$4:$AB$303,0)),"")</f>
        <v/>
      </c>
      <c r="AF71" s="0" t="str">
        <f aca="false">IF(OR(资金日记账!$E71="",N(资金日记账!$H71)=0),"",资金日记账!$E71)</f>
        <v/>
      </c>
      <c r="AG71" s="0" t="n">
        <f aca="false">IF(AF71="",0,IF(MATCH(AF71,$AF$4:$AF$603,0)=ROW()-3,1,0))</f>
        <v>0</v>
      </c>
      <c r="AH71" s="0" t="n">
        <f aca="false">N(AH70)+AG71</f>
        <v>2</v>
      </c>
    </row>
    <row r="72" customFormat="false" ht="13.5" hidden="false" customHeight="false" outlineLevel="0" collapsed="false">
      <c r="A72" s="0" t="str">
        <f aca="false">IF(((进销存对接!$D72="客户应收")+(进销存对接!$D72="成品销售款")+(进销存对接!$D72="公司购买果品款")+(进销存对接!$D72="筐子销售款")+(进销存对接!$D72="物料销售款"))&gt;0,进销存对接!$C72,"")</f>
        <v/>
      </c>
      <c r="B72" s="0" t="n">
        <f aca="false">IF(A72="",0,IF(MATCH(A72,$A$4:$A$1925,0)=ROW()-3,1,0))</f>
        <v>0</v>
      </c>
      <c r="C72" s="0" t="n">
        <f aca="false">N(C71)+B72</f>
        <v>6</v>
      </c>
      <c r="E72" s="0" t="str">
        <f aca="false">IFERROR(INDEX($A$4:$A$1925,MATCH(ROW()-3,$C$4:$C$1925,0)),"")</f>
        <v/>
      </c>
      <c r="G72" s="0" t="n">
        <f aca="false">IF(OR($G$1="",资金日记账!$E65="",资金日记账!$E65&lt;&gt;$G$1),0,IF(NOT(OR(N(资金日记账!$H65)&lt;&gt;0,N(资金日记账!$I65)&lt;&gt;0)),0,IF(资金日记账!$B65="",1,IF(OR(N(资金日记账!$B65)&lt;$H$1,N(资金日记账!$B65)&gt;$I$1),0,1))))</f>
        <v>0</v>
      </c>
      <c r="H72" s="0" t="n">
        <f aca="false">N(H71)+$G72</f>
        <v>3</v>
      </c>
      <c r="I72" s="0" t="str">
        <f aca="false">IF($G72=0,"",IF(资金日记账!$B65=0,"",资金日记账!$B65))</f>
        <v/>
      </c>
      <c r="J72" s="0" t="str">
        <f aca="false">IF($G72=0,"",IF(资金日记账!$D65=0,"",资金日记账!$D65))</f>
        <v/>
      </c>
      <c r="K72" s="0" t="str">
        <f aca="false">IF($G72=0,"",IF(""=0,"",""))</f>
        <v/>
      </c>
      <c r="L72" s="0" t="str">
        <f aca="false">IF($G72=0,"",IF(""=0,"",""))</f>
        <v/>
      </c>
      <c r="M72" s="0" t="str">
        <f aca="false">IF($G72=0,"",IF(""=0,"",""))</f>
        <v/>
      </c>
      <c r="N72" s="0" t="str">
        <f aca="false">IF($G72=0,"",IF(IF(N(资金日记账!$I65)=0,"",-ROUND(N(资金日记账!$I65),2))=0,"",IF(N(资金日记账!$I65)=0,"",-ROUND(N(资金日记账!$I65),2))))</f>
        <v/>
      </c>
      <c r="O72" s="0" t="str">
        <f aca="false">IF($G72=0,"",IF(IF(N(资金日记账!$H65)=0,"",ROUND(N(资金日记账!$H65),2))=0,"",IF(N(资金日记账!$H65)=0,"",ROUND(N(资金日记账!$H65),2))))</f>
        <v/>
      </c>
      <c r="P72" s="0" t="str">
        <f aca="false">IF($G72=0,"",IF(资金日记账!$L65=0,"",资金日记账!$L65))</f>
        <v/>
      </c>
      <c r="T72" s="0" t="str">
        <f aca="false">IF(资金日记账!$G72="","",资金日记账!$G72)</f>
        <v>吃饭</v>
      </c>
      <c r="U72" s="0" t="n">
        <f aca="false">IF(T72="",0,IF(MATCH(T72,$T$4:$T$903,0)=ROW()-3,1,0))</f>
        <v>0</v>
      </c>
      <c r="V72" s="0" t="n">
        <f aca="false">N(V71)+U72</f>
        <v>24</v>
      </c>
      <c r="Z72" s="0" t="str">
        <f aca="false">IF(成本费用登记表!$C72="","",成本费用登记表!$C72)</f>
        <v/>
      </c>
      <c r="AA72" s="0" t="n">
        <f aca="false">IF(Z72="",0,IF(MATCH(Z72,$Z$4:$Z$303,0)=ROW()-3,1,0))</f>
        <v>0</v>
      </c>
      <c r="AB72" s="0" t="n">
        <f aca="false">N(AB71)+AA72</f>
        <v>0</v>
      </c>
      <c r="AD72" s="0" t="str">
        <f aca="false">IFERROR(INDEX($Z$4:$Z$303,MATCH(69,$AB$4:$AB$303,0)),"")</f>
        <v/>
      </c>
      <c r="AF72" s="0" t="str">
        <f aca="false">IF(OR(资金日记账!$E72="",N(资金日记账!$H72)=0),"",资金日记账!$E72)</f>
        <v/>
      </c>
      <c r="AG72" s="0" t="n">
        <f aca="false">IF(AF72="",0,IF(MATCH(AF72,$AF$4:$AF$603,0)=ROW()-3,1,0))</f>
        <v>0</v>
      </c>
      <c r="AH72" s="0" t="n">
        <f aca="false">N(AH71)+AG72</f>
        <v>2</v>
      </c>
    </row>
    <row r="73" customFormat="false" ht="13.5" hidden="false" customHeight="false" outlineLevel="0" collapsed="false">
      <c r="A73" s="0" t="str">
        <f aca="false">IF(((进销存对接!$D73="客户应收")+(进销存对接!$D73="成品销售款")+(进销存对接!$D73="公司购买果品款")+(进销存对接!$D73="筐子销售款")+(进销存对接!$D73="物料销售款"))&gt;0,进销存对接!$C73,"")</f>
        <v/>
      </c>
      <c r="B73" s="0" t="n">
        <f aca="false">IF(A73="",0,IF(MATCH(A73,$A$4:$A$1925,0)=ROW()-3,1,0))</f>
        <v>0</v>
      </c>
      <c r="C73" s="0" t="n">
        <f aca="false">N(C72)+B73</f>
        <v>6</v>
      </c>
      <c r="E73" s="0" t="str">
        <f aca="false">IFERROR(INDEX($A$4:$A$1925,MATCH(ROW()-3,$C$4:$C$1925,0)),"")</f>
        <v/>
      </c>
      <c r="G73" s="0" t="n">
        <f aca="false">IF(OR($G$1="",资金日记账!$E66="",资金日记账!$E66&lt;&gt;$G$1),0,IF(NOT(OR(N(资金日记账!$H66)&lt;&gt;0,N(资金日记账!$I66)&lt;&gt;0)),0,IF(资金日记账!$B66="",1,IF(OR(N(资金日记账!$B66)&lt;$H$1,N(资金日记账!$B66)&gt;$I$1),0,1))))</f>
        <v>0</v>
      </c>
      <c r="H73" s="0" t="n">
        <f aca="false">N(H72)+$G73</f>
        <v>3</v>
      </c>
      <c r="I73" s="0" t="str">
        <f aca="false">IF($G73=0,"",IF(资金日记账!$B66=0,"",资金日记账!$B66))</f>
        <v/>
      </c>
      <c r="J73" s="0" t="str">
        <f aca="false">IF($G73=0,"",IF(资金日记账!$D66=0,"",资金日记账!$D66))</f>
        <v/>
      </c>
      <c r="K73" s="0" t="str">
        <f aca="false">IF($G73=0,"",IF(""=0,"",""))</f>
        <v/>
      </c>
      <c r="L73" s="0" t="str">
        <f aca="false">IF($G73=0,"",IF(""=0,"",""))</f>
        <v/>
      </c>
      <c r="M73" s="0" t="str">
        <f aca="false">IF($G73=0,"",IF(""=0,"",""))</f>
        <v/>
      </c>
      <c r="N73" s="0" t="str">
        <f aca="false">IF($G73=0,"",IF(IF(N(资金日记账!$I66)=0,"",-ROUND(N(资金日记账!$I66),2))=0,"",IF(N(资金日记账!$I66)=0,"",-ROUND(N(资金日记账!$I66),2))))</f>
        <v/>
      </c>
      <c r="O73" s="0" t="str">
        <f aca="false">IF($G73=0,"",IF(IF(N(资金日记账!$H66)=0,"",ROUND(N(资金日记账!$H66),2))=0,"",IF(N(资金日记账!$H66)=0,"",ROUND(N(资金日记账!$H66),2))))</f>
        <v/>
      </c>
      <c r="P73" s="0" t="str">
        <f aca="false">IF($G73=0,"",IF(资金日记账!$L66=0,"",资金日记账!$L66))</f>
        <v/>
      </c>
      <c r="T73" s="0" t="str">
        <f aca="false">IF(资金日记账!$G73="","",资金日记账!$G73)</f>
        <v>五金店</v>
      </c>
      <c r="U73" s="0" t="n">
        <f aca="false">IF(T73="",0,IF(MATCH(T73,$T$4:$T$903,0)=ROW()-3,1,0))</f>
        <v>1</v>
      </c>
      <c r="V73" s="0" t="n">
        <f aca="false">N(V72)+U73</f>
        <v>25</v>
      </c>
      <c r="Z73" s="0" t="str">
        <f aca="false">IF(成本费用登记表!$C73="","",成本费用登记表!$C73)</f>
        <v/>
      </c>
      <c r="AA73" s="0" t="n">
        <f aca="false">IF(Z73="",0,IF(MATCH(Z73,$Z$4:$Z$303,0)=ROW()-3,1,0))</f>
        <v>0</v>
      </c>
      <c r="AB73" s="0" t="n">
        <f aca="false">N(AB72)+AA73</f>
        <v>0</v>
      </c>
      <c r="AD73" s="0" t="str">
        <f aca="false">IFERROR(INDEX($Z$4:$Z$303,MATCH(70,$AB$4:$AB$303,0)),"")</f>
        <v/>
      </c>
      <c r="AF73" s="0" t="str">
        <f aca="false">IF(OR(资金日记账!$E73="",N(资金日记账!$H73)=0),"",资金日记账!$E73)</f>
        <v/>
      </c>
      <c r="AG73" s="0" t="n">
        <f aca="false">IF(AF73="",0,IF(MATCH(AF73,$AF$4:$AF$603,0)=ROW()-3,1,0))</f>
        <v>0</v>
      </c>
      <c r="AH73" s="0" t="n">
        <f aca="false">N(AH72)+AG73</f>
        <v>2</v>
      </c>
    </row>
    <row r="74" customFormat="false" ht="13.5" hidden="false" customHeight="false" outlineLevel="0" collapsed="false">
      <c r="A74" s="0" t="str">
        <f aca="false">IF(((进销存对接!$D74="客户应收")+(进销存对接!$D74="成品销售款")+(进销存对接!$D74="公司购买果品款")+(进销存对接!$D74="筐子销售款")+(进销存对接!$D74="物料销售款"))&gt;0,进销存对接!$C74,"")</f>
        <v/>
      </c>
      <c r="B74" s="0" t="n">
        <f aca="false">IF(A74="",0,IF(MATCH(A74,$A$4:$A$1925,0)=ROW()-3,1,0))</f>
        <v>0</v>
      </c>
      <c r="C74" s="0" t="n">
        <f aca="false">N(C73)+B74</f>
        <v>6</v>
      </c>
      <c r="E74" s="0" t="str">
        <f aca="false">IFERROR(INDEX($A$4:$A$1925,MATCH(ROW()-3,$C$4:$C$1925,0)),"")</f>
        <v/>
      </c>
      <c r="G74" s="0" t="n">
        <f aca="false">IF(OR($G$1="",资金日记账!$E67="",资金日记账!$E67&lt;&gt;$G$1),0,IF(NOT(OR(N(资金日记账!$H67)&lt;&gt;0,N(资金日记账!$I67)&lt;&gt;0)),0,IF(资金日记账!$B67="",1,IF(OR(N(资金日记账!$B67)&lt;$H$1,N(资金日记账!$B67)&gt;$I$1),0,1))))</f>
        <v>0</v>
      </c>
      <c r="H74" s="0" t="n">
        <f aca="false">N(H73)+$G74</f>
        <v>3</v>
      </c>
      <c r="I74" s="0" t="str">
        <f aca="false">IF($G74=0,"",IF(资金日记账!$B67=0,"",资金日记账!$B67))</f>
        <v/>
      </c>
      <c r="J74" s="0" t="str">
        <f aca="false">IF($G74=0,"",IF(资金日记账!$D67=0,"",资金日记账!$D67))</f>
        <v/>
      </c>
      <c r="K74" s="0" t="str">
        <f aca="false">IF($G74=0,"",IF(""=0,"",""))</f>
        <v/>
      </c>
      <c r="L74" s="0" t="str">
        <f aca="false">IF($G74=0,"",IF(""=0,"",""))</f>
        <v/>
      </c>
      <c r="M74" s="0" t="str">
        <f aca="false">IF($G74=0,"",IF(""=0,"",""))</f>
        <v/>
      </c>
      <c r="N74" s="0" t="str">
        <f aca="false">IF($G74=0,"",IF(IF(N(资金日记账!$I67)=0,"",-ROUND(N(资金日记账!$I67),2))=0,"",IF(N(资金日记账!$I67)=0,"",-ROUND(N(资金日记账!$I67),2))))</f>
        <v/>
      </c>
      <c r="O74" s="0" t="str">
        <f aca="false">IF($G74=0,"",IF(IF(N(资金日记账!$H67)=0,"",ROUND(N(资金日记账!$H67),2))=0,"",IF(N(资金日记账!$H67)=0,"",ROUND(N(资金日记账!$H67),2))))</f>
        <v/>
      </c>
      <c r="P74" s="0" t="str">
        <f aca="false">IF($G74=0,"",IF(资金日记账!$L67=0,"",资金日记账!$L67))</f>
        <v/>
      </c>
      <c r="T74" s="0" t="str">
        <f aca="false">IF(资金日记账!$G74="","",资金日记账!$G74)</f>
        <v>吃饭</v>
      </c>
      <c r="U74" s="0" t="n">
        <f aca="false">IF(T74="",0,IF(MATCH(T74,$T$4:$T$903,0)=ROW()-3,1,0))</f>
        <v>0</v>
      </c>
      <c r="V74" s="0" t="n">
        <f aca="false">N(V73)+U74</f>
        <v>25</v>
      </c>
      <c r="Z74" s="0" t="str">
        <f aca="false">IF(成本费用登记表!$C74="","",成本费用登记表!$C74)</f>
        <v/>
      </c>
      <c r="AA74" s="0" t="n">
        <f aca="false">IF(Z74="",0,IF(MATCH(Z74,$Z$4:$Z$303,0)=ROW()-3,1,0))</f>
        <v>0</v>
      </c>
      <c r="AB74" s="0" t="n">
        <f aca="false">N(AB73)+AA74</f>
        <v>0</v>
      </c>
      <c r="AD74" s="0" t="str">
        <f aca="false">IFERROR(INDEX($Z$4:$Z$303,MATCH(71,$AB$4:$AB$303,0)),"")</f>
        <v/>
      </c>
      <c r="AF74" s="0" t="str">
        <f aca="false">IF(OR(资金日记账!$E74="",N(资金日记账!$H74)=0),"",资金日记账!$E74)</f>
        <v/>
      </c>
      <c r="AG74" s="0" t="n">
        <f aca="false">IF(AF74="",0,IF(MATCH(AF74,$AF$4:$AF$603,0)=ROW()-3,1,0))</f>
        <v>0</v>
      </c>
      <c r="AH74" s="0" t="n">
        <f aca="false">N(AH73)+AG74</f>
        <v>2</v>
      </c>
    </row>
    <row r="75" customFormat="false" ht="13.5" hidden="false" customHeight="false" outlineLevel="0" collapsed="false">
      <c r="A75" s="0" t="str">
        <f aca="false">IF(((进销存对接!$D75="客户应收")+(进销存对接!$D75="成品销售款")+(进销存对接!$D75="公司购买果品款")+(进销存对接!$D75="筐子销售款")+(进销存对接!$D75="物料销售款"))&gt;0,进销存对接!$C75,"")</f>
        <v/>
      </c>
      <c r="B75" s="0" t="n">
        <f aca="false">IF(A75="",0,IF(MATCH(A75,$A$4:$A$1925,0)=ROW()-3,1,0))</f>
        <v>0</v>
      </c>
      <c r="C75" s="0" t="n">
        <f aca="false">N(C74)+B75</f>
        <v>6</v>
      </c>
      <c r="E75" s="0" t="str">
        <f aca="false">IFERROR(INDEX($A$4:$A$1925,MATCH(ROW()-3,$C$4:$C$1925,0)),"")</f>
        <v/>
      </c>
      <c r="G75" s="0" t="n">
        <f aca="false">IF(OR($G$1="",资金日记账!$E68="",资金日记账!$E68&lt;&gt;$G$1),0,IF(NOT(OR(N(资金日记账!$H68)&lt;&gt;0,N(资金日记账!$I68)&lt;&gt;0)),0,IF(资金日记账!$B68="",1,IF(OR(N(资金日记账!$B68)&lt;$H$1,N(资金日记账!$B68)&gt;$I$1),0,1))))</f>
        <v>0</v>
      </c>
      <c r="H75" s="0" t="n">
        <f aca="false">N(H74)+$G75</f>
        <v>3</v>
      </c>
      <c r="I75" s="0" t="str">
        <f aca="false">IF($G75=0,"",IF(资金日记账!$B68=0,"",资金日记账!$B68))</f>
        <v/>
      </c>
      <c r="J75" s="0" t="str">
        <f aca="false">IF($G75=0,"",IF(资金日记账!$D68=0,"",资金日记账!$D68))</f>
        <v/>
      </c>
      <c r="K75" s="0" t="str">
        <f aca="false">IF($G75=0,"",IF(""=0,"",""))</f>
        <v/>
      </c>
      <c r="L75" s="0" t="str">
        <f aca="false">IF($G75=0,"",IF(""=0,"",""))</f>
        <v/>
      </c>
      <c r="M75" s="0" t="str">
        <f aca="false">IF($G75=0,"",IF(""=0,"",""))</f>
        <v/>
      </c>
      <c r="N75" s="0" t="str">
        <f aca="false">IF($G75=0,"",IF(IF(N(资金日记账!$I68)=0,"",-ROUND(N(资金日记账!$I68),2))=0,"",IF(N(资金日记账!$I68)=0,"",-ROUND(N(资金日记账!$I68),2))))</f>
        <v/>
      </c>
      <c r="O75" s="0" t="str">
        <f aca="false">IF($G75=0,"",IF(IF(N(资金日记账!$H68)=0,"",ROUND(N(资金日记账!$H68),2))=0,"",IF(N(资金日记账!$H68)=0,"",ROUND(N(资金日记账!$H68),2))))</f>
        <v/>
      </c>
      <c r="P75" s="0" t="str">
        <f aca="false">IF($G75=0,"",IF(资金日记账!$L68=0,"",资金日记账!$L68))</f>
        <v/>
      </c>
      <c r="T75" s="0" t="str">
        <f aca="false">IF(资金日记账!$G75="","",资金日记账!$G75)</f>
        <v>水费</v>
      </c>
      <c r="U75" s="0" t="n">
        <f aca="false">IF(T75="",0,IF(MATCH(T75,$T$4:$T$903,0)=ROW()-3,1,0))</f>
        <v>1</v>
      </c>
      <c r="V75" s="0" t="n">
        <f aca="false">N(V74)+U75</f>
        <v>26</v>
      </c>
      <c r="Z75" s="0" t="str">
        <f aca="false">IF(成本费用登记表!$C75="","",成本费用登记表!$C75)</f>
        <v/>
      </c>
      <c r="AA75" s="0" t="n">
        <f aca="false">IF(Z75="",0,IF(MATCH(Z75,$Z$4:$Z$303,0)=ROW()-3,1,0))</f>
        <v>0</v>
      </c>
      <c r="AB75" s="0" t="n">
        <f aca="false">N(AB74)+AA75</f>
        <v>0</v>
      </c>
      <c r="AD75" s="0" t="str">
        <f aca="false">IFERROR(INDEX($Z$4:$Z$303,MATCH(72,$AB$4:$AB$303,0)),"")</f>
        <v/>
      </c>
      <c r="AF75" s="0" t="str">
        <f aca="false">IF(OR(资金日记账!$E75="",N(资金日记账!$H75)=0),"",资金日记账!$E75)</f>
        <v/>
      </c>
      <c r="AG75" s="0" t="n">
        <f aca="false">IF(AF75="",0,IF(MATCH(AF75,$AF$4:$AF$603,0)=ROW()-3,1,0))</f>
        <v>0</v>
      </c>
      <c r="AH75" s="0" t="n">
        <f aca="false">N(AH74)+AG75</f>
        <v>2</v>
      </c>
    </row>
    <row r="76" customFormat="false" ht="13.5" hidden="false" customHeight="false" outlineLevel="0" collapsed="false">
      <c r="A76" s="0" t="str">
        <f aca="false">IF(((进销存对接!$D76="客户应收")+(进销存对接!$D76="成品销售款")+(进销存对接!$D76="公司购买果品款")+(进销存对接!$D76="筐子销售款")+(进销存对接!$D76="物料销售款"))&gt;0,进销存对接!$C76,"")</f>
        <v/>
      </c>
      <c r="B76" s="0" t="n">
        <f aca="false">IF(A76="",0,IF(MATCH(A76,$A$4:$A$1925,0)=ROW()-3,1,0))</f>
        <v>0</v>
      </c>
      <c r="C76" s="0" t="n">
        <f aca="false">N(C75)+B76</f>
        <v>6</v>
      </c>
      <c r="E76" s="0" t="str">
        <f aca="false">IFERROR(INDEX($A$4:$A$1925,MATCH(ROW()-3,$C$4:$C$1925,0)),"")</f>
        <v/>
      </c>
      <c r="G76" s="0" t="n">
        <f aca="false">IF(OR($G$1="",资金日记账!$E69="",资金日记账!$E69&lt;&gt;$G$1),0,IF(NOT(OR(N(资金日记账!$H69)&lt;&gt;0,N(资金日记账!$I69)&lt;&gt;0)),0,IF(资金日记账!$B69="",1,IF(OR(N(资金日记账!$B69)&lt;$H$1,N(资金日记账!$B69)&gt;$I$1),0,1))))</f>
        <v>0</v>
      </c>
      <c r="H76" s="0" t="n">
        <f aca="false">N(H75)+$G76</f>
        <v>3</v>
      </c>
      <c r="I76" s="0" t="str">
        <f aca="false">IF($G76=0,"",IF(资金日记账!$B69=0,"",资金日记账!$B69))</f>
        <v/>
      </c>
      <c r="J76" s="0" t="str">
        <f aca="false">IF($G76=0,"",IF(资金日记账!$D69=0,"",资金日记账!$D69))</f>
        <v/>
      </c>
      <c r="K76" s="0" t="str">
        <f aca="false">IF($G76=0,"",IF(""=0,"",""))</f>
        <v/>
      </c>
      <c r="L76" s="0" t="str">
        <f aca="false">IF($G76=0,"",IF(""=0,"",""))</f>
        <v/>
      </c>
      <c r="M76" s="0" t="str">
        <f aca="false">IF($G76=0,"",IF(""=0,"",""))</f>
        <v/>
      </c>
      <c r="N76" s="0" t="str">
        <f aca="false">IF($G76=0,"",IF(IF(N(资金日记账!$I69)=0,"",-ROUND(N(资金日记账!$I69),2))=0,"",IF(N(资金日记账!$I69)=0,"",-ROUND(N(资金日记账!$I69),2))))</f>
        <v/>
      </c>
      <c r="O76" s="0" t="str">
        <f aca="false">IF($G76=0,"",IF(IF(N(资金日记账!$H69)=0,"",ROUND(N(资金日记账!$H69),2))=0,"",IF(N(资金日记账!$H69)=0,"",ROUND(N(资金日记账!$H69),2))))</f>
        <v/>
      </c>
      <c r="P76" s="0" t="str">
        <f aca="false">IF($G76=0,"",IF(资金日记账!$L69=0,"",资金日记账!$L69))</f>
        <v/>
      </c>
      <c r="T76" s="0" t="str">
        <f aca="false">IF(资金日记账!$G76="","",资金日记账!$G76)</f>
        <v>儿子消费</v>
      </c>
      <c r="U76" s="0" t="n">
        <f aca="false">IF(T76="",0,IF(MATCH(T76,$T$4:$T$903,0)=ROW()-3,1,0))</f>
        <v>0</v>
      </c>
      <c r="V76" s="0" t="n">
        <f aca="false">N(V75)+U76</f>
        <v>26</v>
      </c>
      <c r="Z76" s="0" t="str">
        <f aca="false">IF(成本费用登记表!$C76="","",成本费用登记表!$C76)</f>
        <v/>
      </c>
      <c r="AA76" s="0" t="n">
        <f aca="false">IF(Z76="",0,IF(MATCH(Z76,$Z$4:$Z$303,0)=ROW()-3,1,0))</f>
        <v>0</v>
      </c>
      <c r="AB76" s="0" t="n">
        <f aca="false">N(AB75)+AA76</f>
        <v>0</v>
      </c>
      <c r="AD76" s="0" t="str">
        <f aca="false">IFERROR(INDEX($Z$4:$Z$303,MATCH(73,$AB$4:$AB$303,0)),"")</f>
        <v/>
      </c>
      <c r="AF76" s="0" t="str">
        <f aca="false">IF(OR(资金日记账!$E76="",N(资金日记账!$H76)=0),"",资金日记账!$E76)</f>
        <v/>
      </c>
      <c r="AG76" s="0" t="n">
        <f aca="false">IF(AF76="",0,IF(MATCH(AF76,$AF$4:$AF$603,0)=ROW()-3,1,0))</f>
        <v>0</v>
      </c>
      <c r="AH76" s="0" t="n">
        <f aca="false">N(AH75)+AG76</f>
        <v>2</v>
      </c>
    </row>
    <row r="77" customFormat="false" ht="13.5" hidden="false" customHeight="false" outlineLevel="0" collapsed="false">
      <c r="A77" s="0" t="str">
        <f aca="false">IF(((进销存对接!$D77="客户应收")+(进销存对接!$D77="成品销售款")+(进销存对接!$D77="公司购买果品款")+(进销存对接!$D77="筐子销售款")+(进销存对接!$D77="物料销售款"))&gt;0,进销存对接!$C77,"")</f>
        <v/>
      </c>
      <c r="B77" s="0" t="n">
        <f aca="false">IF(A77="",0,IF(MATCH(A77,$A$4:$A$1925,0)=ROW()-3,1,0))</f>
        <v>0</v>
      </c>
      <c r="C77" s="0" t="n">
        <f aca="false">N(C76)+B77</f>
        <v>6</v>
      </c>
      <c r="E77" s="0" t="str">
        <f aca="false">IFERROR(INDEX($A$4:$A$1925,MATCH(ROW()-3,$C$4:$C$1925,0)),"")</f>
        <v/>
      </c>
      <c r="G77" s="0" t="n">
        <f aca="false">IF(OR($G$1="",资金日记账!$E70="",资金日记账!$E70&lt;&gt;$G$1),0,IF(NOT(OR(N(资金日记账!$H70)&lt;&gt;0,N(资金日记账!$I70)&lt;&gt;0)),0,IF(资金日记账!$B70="",1,IF(OR(N(资金日记账!$B70)&lt;$H$1,N(资金日记账!$B70)&gt;$I$1),0,1))))</f>
        <v>0</v>
      </c>
      <c r="H77" s="0" t="n">
        <f aca="false">N(H76)+$G77</f>
        <v>3</v>
      </c>
      <c r="I77" s="0" t="str">
        <f aca="false">IF($G77=0,"",IF(资金日记账!$B70=0,"",资金日记账!$B70))</f>
        <v/>
      </c>
      <c r="J77" s="0" t="str">
        <f aca="false">IF($G77=0,"",IF(资金日记账!$D70=0,"",资金日记账!$D70))</f>
        <v/>
      </c>
      <c r="K77" s="0" t="str">
        <f aca="false">IF($G77=0,"",IF(""=0,"",""))</f>
        <v/>
      </c>
      <c r="L77" s="0" t="str">
        <f aca="false">IF($G77=0,"",IF(""=0,"",""))</f>
        <v/>
      </c>
      <c r="M77" s="0" t="str">
        <f aca="false">IF($G77=0,"",IF(""=0,"",""))</f>
        <v/>
      </c>
      <c r="N77" s="0" t="str">
        <f aca="false">IF($G77=0,"",IF(IF(N(资金日记账!$I70)=0,"",-ROUND(N(资金日记账!$I70),2))=0,"",IF(N(资金日记账!$I70)=0,"",-ROUND(N(资金日记账!$I70),2))))</f>
        <v/>
      </c>
      <c r="O77" s="0" t="str">
        <f aca="false">IF($G77=0,"",IF(IF(N(资金日记账!$H70)=0,"",ROUND(N(资金日记账!$H70),2))=0,"",IF(N(资金日记账!$H70)=0,"",ROUND(N(资金日记账!$H70),2))))</f>
        <v/>
      </c>
      <c r="P77" s="0" t="str">
        <f aca="false">IF($G77=0,"",IF(资金日记账!$L70=0,"",资金日记账!$L70))</f>
        <v/>
      </c>
      <c r="T77" s="0" t="str">
        <f aca="false">IF(资金日记账!$G77="","",资金日记账!$G77)</f>
        <v/>
      </c>
      <c r="U77" s="0" t="n">
        <f aca="false">IF(T77="",0,IF(MATCH(T77,$T$4:$T$903,0)=ROW()-3,1,0))</f>
        <v>0</v>
      </c>
      <c r="V77" s="0" t="n">
        <f aca="false">N(V76)+U77</f>
        <v>26</v>
      </c>
      <c r="Z77" s="0" t="str">
        <f aca="false">IF(成本费用登记表!$C77="","",成本费用登记表!$C77)</f>
        <v/>
      </c>
      <c r="AA77" s="0" t="n">
        <f aca="false">IF(Z77="",0,IF(MATCH(Z77,$Z$4:$Z$303,0)=ROW()-3,1,0))</f>
        <v>0</v>
      </c>
      <c r="AB77" s="0" t="n">
        <f aca="false">N(AB76)+AA77</f>
        <v>0</v>
      </c>
      <c r="AD77" s="0" t="str">
        <f aca="false">IFERROR(INDEX($Z$4:$Z$303,MATCH(74,$AB$4:$AB$303,0)),"")</f>
        <v/>
      </c>
      <c r="AF77" s="0" t="str">
        <f aca="false">IF(OR(资金日记账!$E77="",N(资金日记账!$H77)=0),"",资金日记账!$E77)</f>
        <v/>
      </c>
      <c r="AG77" s="0" t="n">
        <f aca="false">IF(AF77="",0,IF(MATCH(AF77,$AF$4:$AF$603,0)=ROW()-3,1,0))</f>
        <v>0</v>
      </c>
      <c r="AH77" s="0" t="n">
        <f aca="false">N(AH76)+AG77</f>
        <v>2</v>
      </c>
    </row>
    <row r="78" customFormat="false" ht="13.5" hidden="false" customHeight="false" outlineLevel="0" collapsed="false">
      <c r="A78" s="0" t="str">
        <f aca="false">IF(((进销存对接!$D78="客户应收")+(进销存对接!$D78="成品销售款")+(进销存对接!$D78="公司购买果品款")+(进销存对接!$D78="筐子销售款")+(进销存对接!$D78="物料销售款"))&gt;0,进销存对接!$C78,"")</f>
        <v/>
      </c>
      <c r="B78" s="0" t="n">
        <f aca="false">IF(A78="",0,IF(MATCH(A78,$A$4:$A$1925,0)=ROW()-3,1,0))</f>
        <v>0</v>
      </c>
      <c r="C78" s="0" t="n">
        <f aca="false">N(C77)+B78</f>
        <v>6</v>
      </c>
      <c r="E78" s="0" t="str">
        <f aca="false">IFERROR(INDEX($A$4:$A$1925,MATCH(ROW()-3,$C$4:$C$1925,0)),"")</f>
        <v/>
      </c>
      <c r="G78" s="0" t="n">
        <f aca="false">IF(OR($G$1="",资金日记账!$E71="",资金日记账!$E71&lt;&gt;$G$1),0,IF(NOT(OR(N(资金日记账!$H71)&lt;&gt;0,N(资金日记账!$I71)&lt;&gt;0)),0,IF(资金日记账!$B71="",1,IF(OR(N(资金日记账!$B71)&lt;$H$1,N(资金日记账!$B71)&gt;$I$1),0,1))))</f>
        <v>0</v>
      </c>
      <c r="H78" s="0" t="n">
        <f aca="false">N(H77)+$G78</f>
        <v>3</v>
      </c>
      <c r="I78" s="0" t="str">
        <f aca="false">IF($G78=0,"",IF(资金日记账!$B71=0,"",资金日记账!$B71))</f>
        <v/>
      </c>
      <c r="J78" s="0" t="str">
        <f aca="false">IF($G78=0,"",IF(资金日记账!$D71=0,"",资金日记账!$D71))</f>
        <v/>
      </c>
      <c r="K78" s="0" t="str">
        <f aca="false">IF($G78=0,"",IF(""=0,"",""))</f>
        <v/>
      </c>
      <c r="L78" s="0" t="str">
        <f aca="false">IF($G78=0,"",IF(""=0,"",""))</f>
        <v/>
      </c>
      <c r="M78" s="0" t="str">
        <f aca="false">IF($G78=0,"",IF(""=0,"",""))</f>
        <v/>
      </c>
      <c r="N78" s="0" t="str">
        <f aca="false">IF($G78=0,"",IF(IF(N(资金日记账!$I71)=0,"",-ROUND(N(资金日记账!$I71),2))=0,"",IF(N(资金日记账!$I71)=0,"",-ROUND(N(资金日记账!$I71),2))))</f>
        <v/>
      </c>
      <c r="O78" s="0" t="str">
        <f aca="false">IF($G78=0,"",IF(IF(N(资金日记账!$H71)=0,"",ROUND(N(资金日记账!$H71),2))=0,"",IF(N(资金日记账!$H71)=0,"",ROUND(N(资金日记账!$H71),2))))</f>
        <v/>
      </c>
      <c r="P78" s="0" t="str">
        <f aca="false">IF($G78=0,"",IF(资金日记账!$L71=0,"",资金日记账!$L71))</f>
        <v/>
      </c>
      <c r="T78" s="0" t="str">
        <f aca="false">IF(资金日记账!$G78="","",资金日记账!$G78)</f>
        <v>转入微信</v>
      </c>
      <c r="U78" s="0" t="n">
        <f aca="false">IF(T78="",0,IF(MATCH(T78,$T$4:$T$903,0)=ROW()-3,1,0))</f>
        <v>0</v>
      </c>
      <c r="V78" s="0" t="n">
        <f aca="false">N(V77)+U78</f>
        <v>26</v>
      </c>
      <c r="Z78" s="0" t="str">
        <f aca="false">IF(成本费用登记表!$C78="","",成本费用登记表!$C78)</f>
        <v/>
      </c>
      <c r="AA78" s="0" t="n">
        <f aca="false">IF(Z78="",0,IF(MATCH(Z78,$Z$4:$Z$303,0)=ROW()-3,1,0))</f>
        <v>0</v>
      </c>
      <c r="AB78" s="0" t="n">
        <f aca="false">N(AB77)+AA78</f>
        <v>0</v>
      </c>
      <c r="AD78" s="0" t="str">
        <f aca="false">IFERROR(INDEX($Z$4:$Z$303,MATCH(75,$AB$4:$AB$303,0)),"")</f>
        <v/>
      </c>
      <c r="AF78" s="0" t="str">
        <f aca="false">IF(OR(资金日记账!$E78="",N(资金日记账!$H78)=0),"",资金日记账!$E78)</f>
        <v/>
      </c>
      <c r="AG78" s="0" t="n">
        <f aca="false">IF(AF78="",0,IF(MATCH(AF78,$AF$4:$AF$603,0)=ROW()-3,1,0))</f>
        <v>0</v>
      </c>
      <c r="AH78" s="0" t="n">
        <f aca="false">N(AH77)+AG78</f>
        <v>2</v>
      </c>
    </row>
    <row r="79" customFormat="false" ht="13.5" hidden="false" customHeight="false" outlineLevel="0" collapsed="false">
      <c r="A79" s="0" t="str">
        <f aca="false">IF(((进销存对接!$D79="客户应收")+(进销存对接!$D79="成品销售款")+(进销存对接!$D79="公司购买果品款")+(进销存对接!$D79="筐子销售款")+(进销存对接!$D79="物料销售款"))&gt;0,进销存对接!$C79,"")</f>
        <v/>
      </c>
      <c r="B79" s="0" t="n">
        <f aca="false">IF(A79="",0,IF(MATCH(A79,$A$4:$A$1925,0)=ROW()-3,1,0))</f>
        <v>0</v>
      </c>
      <c r="C79" s="0" t="n">
        <f aca="false">N(C78)+B79</f>
        <v>6</v>
      </c>
      <c r="E79" s="0" t="str">
        <f aca="false">IFERROR(INDEX($A$4:$A$1925,MATCH(ROW()-3,$C$4:$C$1925,0)),"")</f>
        <v/>
      </c>
      <c r="G79" s="0" t="n">
        <f aca="false">IF(OR($G$1="",资金日记账!$E72="",资金日记账!$E72&lt;&gt;$G$1),0,IF(NOT(OR(N(资金日记账!$H72)&lt;&gt;0,N(资金日记账!$I72)&lt;&gt;0)),0,IF(资金日记账!$B72="",1,IF(OR(N(资金日记账!$B72)&lt;$H$1,N(资金日记账!$B72)&gt;$I$1),0,1))))</f>
        <v>0</v>
      </c>
      <c r="H79" s="0" t="n">
        <f aca="false">N(H78)+$G79</f>
        <v>3</v>
      </c>
      <c r="I79" s="0" t="str">
        <f aca="false">IF($G79=0,"",IF(资金日记账!$B72=0,"",资金日记账!$B72))</f>
        <v/>
      </c>
      <c r="J79" s="0" t="str">
        <f aca="false">IF($G79=0,"",IF(资金日记账!$D72=0,"",资金日记账!$D72))</f>
        <v/>
      </c>
      <c r="K79" s="0" t="str">
        <f aca="false">IF($G79=0,"",IF(""=0,"",""))</f>
        <v/>
      </c>
      <c r="L79" s="0" t="str">
        <f aca="false">IF($G79=0,"",IF(""=0,"",""))</f>
        <v/>
      </c>
      <c r="M79" s="0" t="str">
        <f aca="false">IF($G79=0,"",IF(""=0,"",""))</f>
        <v/>
      </c>
      <c r="N79" s="0" t="str">
        <f aca="false">IF($G79=0,"",IF(IF(N(资金日记账!$I72)=0,"",-ROUND(N(资金日记账!$I72),2))=0,"",IF(N(资金日记账!$I72)=0,"",-ROUND(N(资金日记账!$I72),2))))</f>
        <v/>
      </c>
      <c r="O79" s="0" t="str">
        <f aca="false">IF($G79=0,"",IF(IF(N(资金日记账!$H72)=0,"",ROUND(N(资金日记账!$H72),2))=0,"",IF(N(资金日记账!$H72)=0,"",ROUND(N(资金日记账!$H72),2))))</f>
        <v/>
      </c>
      <c r="P79" s="0" t="str">
        <f aca="false">IF($G79=0,"",IF(资金日记账!$L72=0,"",资金日记账!$L72))</f>
        <v/>
      </c>
      <c r="T79" s="0" t="str">
        <f aca="false">IF(资金日记账!$G79="","",资金日记账!$G79)</f>
        <v>吃饭</v>
      </c>
      <c r="U79" s="0" t="n">
        <f aca="false">IF(T79="",0,IF(MATCH(T79,$T$4:$T$903,0)=ROW()-3,1,0))</f>
        <v>0</v>
      </c>
      <c r="V79" s="0" t="n">
        <f aca="false">N(V78)+U79</f>
        <v>26</v>
      </c>
      <c r="Z79" s="0" t="str">
        <f aca="false">IF(成本费用登记表!$C79="","",成本费用登记表!$C79)</f>
        <v/>
      </c>
      <c r="AA79" s="0" t="n">
        <f aca="false">IF(Z79="",0,IF(MATCH(Z79,$Z$4:$Z$303,0)=ROW()-3,1,0))</f>
        <v>0</v>
      </c>
      <c r="AB79" s="0" t="n">
        <f aca="false">N(AB78)+AA79</f>
        <v>0</v>
      </c>
      <c r="AD79" s="0" t="str">
        <f aca="false">IFERROR(INDEX($Z$4:$Z$303,MATCH(76,$AB$4:$AB$303,0)),"")</f>
        <v/>
      </c>
      <c r="AF79" s="0" t="str">
        <f aca="false">IF(OR(资金日记账!$E79="",N(资金日记账!$H79)=0),"",资金日记账!$E79)</f>
        <v/>
      </c>
      <c r="AG79" s="0" t="n">
        <f aca="false">IF(AF79="",0,IF(MATCH(AF79,$AF$4:$AF$603,0)=ROW()-3,1,0))</f>
        <v>0</v>
      </c>
      <c r="AH79" s="0" t="n">
        <f aca="false">N(AH78)+AG79</f>
        <v>2</v>
      </c>
    </row>
    <row r="80" customFormat="false" ht="13.5" hidden="false" customHeight="false" outlineLevel="0" collapsed="false">
      <c r="A80" s="0" t="str">
        <f aca="false">IF(((进销存对接!$D80="客户应收")+(进销存对接!$D80="成品销售款")+(进销存对接!$D80="公司购买果品款")+(进销存对接!$D80="筐子销售款")+(进销存对接!$D80="物料销售款"))&gt;0,进销存对接!$C80,"")</f>
        <v/>
      </c>
      <c r="B80" s="0" t="n">
        <f aca="false">IF(A80="",0,IF(MATCH(A80,$A$4:$A$1925,0)=ROW()-3,1,0))</f>
        <v>0</v>
      </c>
      <c r="C80" s="0" t="n">
        <f aca="false">N(C79)+B80</f>
        <v>6</v>
      </c>
      <c r="E80" s="0" t="str">
        <f aca="false">IFERROR(INDEX($A$4:$A$1925,MATCH(ROW()-3,$C$4:$C$1925,0)),"")</f>
        <v/>
      </c>
      <c r="G80" s="0" t="n">
        <f aca="false">IF(OR($G$1="",资金日记账!$E73="",资金日记账!$E73&lt;&gt;$G$1),0,IF(NOT(OR(N(资金日记账!$H73)&lt;&gt;0,N(资金日记账!$I73)&lt;&gt;0)),0,IF(资金日记账!$B73="",1,IF(OR(N(资金日记账!$B73)&lt;$H$1,N(资金日记账!$B73)&gt;$I$1),0,1))))</f>
        <v>0</v>
      </c>
      <c r="H80" s="0" t="n">
        <f aca="false">N(H79)+$G80</f>
        <v>3</v>
      </c>
      <c r="I80" s="0" t="str">
        <f aca="false">IF($G80=0,"",IF(资金日记账!$B73=0,"",资金日记账!$B73))</f>
        <v/>
      </c>
      <c r="J80" s="0" t="str">
        <f aca="false">IF($G80=0,"",IF(资金日记账!$D73=0,"",资金日记账!$D73))</f>
        <v/>
      </c>
      <c r="K80" s="0" t="str">
        <f aca="false">IF($G80=0,"",IF(""=0,"",""))</f>
        <v/>
      </c>
      <c r="L80" s="0" t="str">
        <f aca="false">IF($G80=0,"",IF(""=0,"",""))</f>
        <v/>
      </c>
      <c r="M80" s="0" t="str">
        <f aca="false">IF($G80=0,"",IF(""=0,"",""))</f>
        <v/>
      </c>
      <c r="N80" s="0" t="str">
        <f aca="false">IF($G80=0,"",IF(IF(N(资金日记账!$I73)=0,"",-ROUND(N(资金日记账!$I73),2))=0,"",IF(N(资金日记账!$I73)=0,"",-ROUND(N(资金日记账!$I73),2))))</f>
        <v/>
      </c>
      <c r="O80" s="0" t="str">
        <f aca="false">IF($G80=0,"",IF(IF(N(资金日记账!$H73)=0,"",ROUND(N(资金日记账!$H73),2))=0,"",IF(N(资金日记账!$H73)=0,"",ROUND(N(资金日记账!$H73),2))))</f>
        <v/>
      </c>
      <c r="P80" s="0" t="str">
        <f aca="false">IF($G80=0,"",IF(资金日记账!$L73=0,"",资金日记账!$L73))</f>
        <v/>
      </c>
      <c r="T80" s="0" t="str">
        <f aca="false">IF(资金日记账!$G80="","",资金日记账!$G80)</f>
        <v>吃饭</v>
      </c>
      <c r="U80" s="0" t="n">
        <f aca="false">IF(T80="",0,IF(MATCH(T80,$T$4:$T$903,0)=ROW()-3,1,0))</f>
        <v>0</v>
      </c>
      <c r="V80" s="0" t="n">
        <f aca="false">N(V79)+U80</f>
        <v>26</v>
      </c>
      <c r="Z80" s="0" t="str">
        <f aca="false">IF(成本费用登记表!$C80="","",成本费用登记表!$C80)</f>
        <v/>
      </c>
      <c r="AA80" s="0" t="n">
        <f aca="false">IF(Z80="",0,IF(MATCH(Z80,$Z$4:$Z$303,0)=ROW()-3,1,0))</f>
        <v>0</v>
      </c>
      <c r="AB80" s="0" t="n">
        <f aca="false">N(AB79)+AA80</f>
        <v>0</v>
      </c>
      <c r="AD80" s="0" t="str">
        <f aca="false">IFERROR(INDEX($Z$4:$Z$303,MATCH(77,$AB$4:$AB$303,0)),"")</f>
        <v/>
      </c>
      <c r="AF80" s="0" t="str">
        <f aca="false">IF(OR(资金日记账!$E80="",N(资金日记账!$H80)=0),"",资金日记账!$E80)</f>
        <v/>
      </c>
      <c r="AG80" s="0" t="n">
        <f aca="false">IF(AF80="",0,IF(MATCH(AF80,$AF$4:$AF$603,0)=ROW()-3,1,0))</f>
        <v>0</v>
      </c>
      <c r="AH80" s="0" t="n">
        <f aca="false">N(AH79)+AG80</f>
        <v>2</v>
      </c>
    </row>
    <row r="81" customFormat="false" ht="13.5" hidden="false" customHeight="false" outlineLevel="0" collapsed="false">
      <c r="A81" s="0" t="str">
        <f aca="false">IF(((进销存对接!$D81="客户应收")+(进销存对接!$D81="成品销售款")+(进销存对接!$D81="公司购买果品款")+(进销存对接!$D81="筐子销售款")+(进销存对接!$D81="物料销售款"))&gt;0,进销存对接!$C81,"")</f>
        <v/>
      </c>
      <c r="B81" s="0" t="n">
        <f aca="false">IF(A81="",0,IF(MATCH(A81,$A$4:$A$1925,0)=ROW()-3,1,0))</f>
        <v>0</v>
      </c>
      <c r="C81" s="0" t="n">
        <f aca="false">N(C80)+B81</f>
        <v>6</v>
      </c>
      <c r="E81" s="0" t="str">
        <f aca="false">IFERROR(INDEX($A$4:$A$1925,MATCH(ROW()-3,$C$4:$C$1925,0)),"")</f>
        <v/>
      </c>
      <c r="G81" s="0" t="n">
        <f aca="false">IF(OR($G$1="",资金日记账!$E74="",资金日记账!$E74&lt;&gt;$G$1),0,IF(NOT(OR(N(资金日记账!$H74)&lt;&gt;0,N(资金日记账!$I74)&lt;&gt;0)),0,IF(资金日记账!$B74="",1,IF(OR(N(资金日记账!$B74)&lt;$H$1,N(资金日记账!$B74)&gt;$I$1),0,1))))</f>
        <v>0</v>
      </c>
      <c r="H81" s="0" t="n">
        <f aca="false">N(H80)+$G81</f>
        <v>3</v>
      </c>
      <c r="I81" s="0" t="str">
        <f aca="false">IF($G81=0,"",IF(资金日记账!$B74=0,"",资金日记账!$B74))</f>
        <v/>
      </c>
      <c r="J81" s="0" t="str">
        <f aca="false">IF($G81=0,"",IF(资金日记账!$D74=0,"",资金日记账!$D74))</f>
        <v/>
      </c>
      <c r="K81" s="0" t="str">
        <f aca="false">IF($G81=0,"",IF(""=0,"",""))</f>
        <v/>
      </c>
      <c r="L81" s="0" t="str">
        <f aca="false">IF($G81=0,"",IF(""=0,"",""))</f>
        <v/>
      </c>
      <c r="M81" s="0" t="str">
        <f aca="false">IF($G81=0,"",IF(""=0,"",""))</f>
        <v/>
      </c>
      <c r="N81" s="0" t="str">
        <f aca="false">IF($G81=0,"",IF(IF(N(资金日记账!$I74)=0,"",-ROUND(N(资金日记账!$I74),2))=0,"",IF(N(资金日记账!$I74)=0,"",-ROUND(N(资金日记账!$I74),2))))</f>
        <v/>
      </c>
      <c r="O81" s="0" t="str">
        <f aca="false">IF($G81=0,"",IF(IF(N(资金日记账!$H74)=0,"",ROUND(N(资金日记账!$H74),2))=0,"",IF(N(资金日记账!$H74)=0,"",ROUND(N(资金日记账!$H74),2))))</f>
        <v/>
      </c>
      <c r="P81" s="0" t="str">
        <f aca="false">IF($G81=0,"",IF(资金日记账!$L74=0,"",资金日记账!$L74))</f>
        <v/>
      </c>
      <c r="T81" s="0" t="str">
        <f aca="false">IF(资金日记账!$G81="","",资金日记账!$G81)</f>
        <v>住宿费</v>
      </c>
      <c r="U81" s="0" t="n">
        <f aca="false">IF(T81="",0,IF(MATCH(T81,$T$4:$T$903,0)=ROW()-3,1,0))</f>
        <v>1</v>
      </c>
      <c r="V81" s="0" t="n">
        <f aca="false">N(V80)+U81</f>
        <v>27</v>
      </c>
      <c r="Z81" s="0" t="str">
        <f aca="false">IF(成本费用登记表!$C81="","",成本费用登记表!$C81)</f>
        <v/>
      </c>
      <c r="AA81" s="0" t="n">
        <f aca="false">IF(Z81="",0,IF(MATCH(Z81,$Z$4:$Z$303,0)=ROW()-3,1,0))</f>
        <v>0</v>
      </c>
      <c r="AB81" s="0" t="n">
        <f aca="false">N(AB80)+AA81</f>
        <v>0</v>
      </c>
      <c r="AD81" s="0" t="str">
        <f aca="false">IFERROR(INDEX($Z$4:$Z$303,MATCH(78,$AB$4:$AB$303,0)),"")</f>
        <v/>
      </c>
      <c r="AF81" s="0" t="str">
        <f aca="false">IF(OR(资金日记账!$E81="",N(资金日记账!$H81)=0),"",资金日记账!$E81)</f>
        <v/>
      </c>
      <c r="AG81" s="0" t="n">
        <f aca="false">IF(AF81="",0,IF(MATCH(AF81,$AF$4:$AF$603,0)=ROW()-3,1,0))</f>
        <v>0</v>
      </c>
      <c r="AH81" s="0" t="n">
        <f aca="false">N(AH80)+AG81</f>
        <v>2</v>
      </c>
    </row>
    <row r="82" customFormat="false" ht="13.5" hidden="false" customHeight="false" outlineLevel="0" collapsed="false">
      <c r="A82" s="0" t="str">
        <f aca="false">IF(((进销存对接!$D82="客户应收")+(进销存对接!$D82="成品销售款")+(进销存对接!$D82="公司购买果品款")+(进销存对接!$D82="筐子销售款")+(进销存对接!$D82="物料销售款"))&gt;0,进销存对接!$C82,"")</f>
        <v/>
      </c>
      <c r="B82" s="0" t="n">
        <f aca="false">IF(A82="",0,IF(MATCH(A82,$A$4:$A$1925,0)=ROW()-3,1,0))</f>
        <v>0</v>
      </c>
      <c r="C82" s="0" t="n">
        <f aca="false">N(C81)+B82</f>
        <v>6</v>
      </c>
      <c r="E82" s="0" t="str">
        <f aca="false">IFERROR(INDEX($A$4:$A$1925,MATCH(ROW()-3,$C$4:$C$1925,0)),"")</f>
        <v/>
      </c>
      <c r="G82" s="0" t="n">
        <f aca="false">IF(OR($G$1="",资金日记账!$E75="",资金日记账!$E75&lt;&gt;$G$1),0,IF(NOT(OR(N(资金日记账!$H75)&lt;&gt;0,N(资金日记账!$I75)&lt;&gt;0)),0,IF(资金日记账!$B75="",1,IF(OR(N(资金日记账!$B75)&lt;$H$1,N(资金日记账!$B75)&gt;$I$1),0,1))))</f>
        <v>0</v>
      </c>
      <c r="H82" s="0" t="n">
        <f aca="false">N(H81)+$G82</f>
        <v>3</v>
      </c>
      <c r="I82" s="0" t="str">
        <f aca="false">IF($G82=0,"",IF(资金日记账!$B75=0,"",资金日记账!$B75))</f>
        <v/>
      </c>
      <c r="J82" s="0" t="str">
        <f aca="false">IF($G82=0,"",IF(资金日记账!$D75=0,"",资金日记账!$D75))</f>
        <v/>
      </c>
      <c r="K82" s="0" t="str">
        <f aca="false">IF($G82=0,"",IF(""=0,"",""))</f>
        <v/>
      </c>
      <c r="L82" s="0" t="str">
        <f aca="false">IF($G82=0,"",IF(""=0,"",""))</f>
        <v/>
      </c>
      <c r="M82" s="0" t="str">
        <f aca="false">IF($G82=0,"",IF(""=0,"",""))</f>
        <v/>
      </c>
      <c r="N82" s="0" t="str">
        <f aca="false">IF($G82=0,"",IF(IF(N(资金日记账!$I75)=0,"",-ROUND(N(资金日记账!$I75),2))=0,"",IF(N(资金日记账!$I75)=0,"",-ROUND(N(资金日记账!$I75),2))))</f>
        <v/>
      </c>
      <c r="O82" s="0" t="str">
        <f aca="false">IF($G82=0,"",IF(IF(N(资金日记账!$H75)=0,"",ROUND(N(资金日记账!$H75),2))=0,"",IF(N(资金日记账!$H75)=0,"",ROUND(N(资金日记账!$H75),2))))</f>
        <v/>
      </c>
      <c r="P82" s="0" t="str">
        <f aca="false">IF($G82=0,"",IF(资金日记账!$L75=0,"",资金日记账!$L75))</f>
        <v/>
      </c>
      <c r="T82" s="0" t="str">
        <f aca="false">IF(资金日记账!$G82="","",资金日记账!$G82)</f>
        <v>车充电</v>
      </c>
      <c r="U82" s="0" t="n">
        <f aca="false">IF(T82="",0,IF(MATCH(T82,$T$4:$T$903,0)=ROW()-3,1,0))</f>
        <v>0</v>
      </c>
      <c r="V82" s="0" t="n">
        <f aca="false">N(V81)+U82</f>
        <v>27</v>
      </c>
      <c r="Z82" s="0" t="str">
        <f aca="false">IF(成本费用登记表!$C82="","",成本费用登记表!$C82)</f>
        <v/>
      </c>
      <c r="AA82" s="0" t="n">
        <f aca="false">IF(Z82="",0,IF(MATCH(Z82,$Z$4:$Z$303,0)=ROW()-3,1,0))</f>
        <v>0</v>
      </c>
      <c r="AB82" s="0" t="n">
        <f aca="false">N(AB81)+AA82</f>
        <v>0</v>
      </c>
      <c r="AD82" s="0" t="str">
        <f aca="false">IFERROR(INDEX($Z$4:$Z$303,MATCH(79,$AB$4:$AB$303,0)),"")</f>
        <v/>
      </c>
      <c r="AF82" s="0" t="str">
        <f aca="false">IF(OR(资金日记账!$E82="",N(资金日记账!$H82)=0),"",资金日记账!$E82)</f>
        <v/>
      </c>
      <c r="AG82" s="0" t="n">
        <f aca="false">IF(AF82="",0,IF(MATCH(AF82,$AF$4:$AF$603,0)=ROW()-3,1,0))</f>
        <v>0</v>
      </c>
      <c r="AH82" s="0" t="n">
        <f aca="false">N(AH81)+AG82</f>
        <v>2</v>
      </c>
    </row>
    <row r="83" customFormat="false" ht="13.5" hidden="false" customHeight="false" outlineLevel="0" collapsed="false">
      <c r="A83" s="0" t="str">
        <f aca="false">IF(((进销存对接!$D83="客户应收")+(进销存对接!$D83="成品销售款")+(进销存对接!$D83="公司购买果品款")+(进销存对接!$D83="筐子销售款")+(进销存对接!$D83="物料销售款"))&gt;0,进销存对接!$C83,"")</f>
        <v/>
      </c>
      <c r="B83" s="0" t="n">
        <f aca="false">IF(A83="",0,IF(MATCH(A83,$A$4:$A$1925,0)=ROW()-3,1,0))</f>
        <v>0</v>
      </c>
      <c r="C83" s="0" t="n">
        <f aca="false">N(C82)+B83</f>
        <v>6</v>
      </c>
      <c r="E83" s="0" t="str">
        <f aca="false">IFERROR(INDEX($A$4:$A$1925,MATCH(ROW()-3,$C$4:$C$1925,0)),"")</f>
        <v/>
      </c>
      <c r="G83" s="0" t="n">
        <f aca="false">IF(OR($G$1="",资金日记账!$E76="",资金日记账!$E76&lt;&gt;$G$1),0,IF(NOT(OR(N(资金日记账!$H76)&lt;&gt;0,N(资金日记账!$I76)&lt;&gt;0)),0,IF(资金日记账!$B76="",1,IF(OR(N(资金日记账!$B76)&lt;$H$1,N(资金日记账!$B76)&gt;$I$1),0,1))))</f>
        <v>0</v>
      </c>
      <c r="H83" s="0" t="n">
        <f aca="false">N(H82)+$G83</f>
        <v>3</v>
      </c>
      <c r="I83" s="0" t="str">
        <f aca="false">IF($G83=0,"",IF(资金日记账!$B76=0,"",资金日记账!$B76))</f>
        <v/>
      </c>
      <c r="J83" s="0" t="str">
        <f aca="false">IF($G83=0,"",IF(资金日记账!$D76=0,"",资金日记账!$D76))</f>
        <v/>
      </c>
      <c r="K83" s="0" t="str">
        <f aca="false">IF($G83=0,"",IF(""=0,"",""))</f>
        <v/>
      </c>
      <c r="L83" s="0" t="str">
        <f aca="false">IF($G83=0,"",IF(""=0,"",""))</f>
        <v/>
      </c>
      <c r="M83" s="0" t="str">
        <f aca="false">IF($G83=0,"",IF(""=0,"",""))</f>
        <v/>
      </c>
      <c r="N83" s="0" t="str">
        <f aca="false">IF($G83=0,"",IF(IF(N(资金日记账!$I76)=0,"",-ROUND(N(资金日记账!$I76),2))=0,"",IF(N(资金日记账!$I76)=0,"",-ROUND(N(资金日记账!$I76),2))))</f>
        <v/>
      </c>
      <c r="O83" s="0" t="str">
        <f aca="false">IF($G83=0,"",IF(IF(N(资金日记账!$H76)=0,"",ROUND(N(资金日记账!$H76),2))=0,"",IF(N(资金日记账!$H76)=0,"",ROUND(N(资金日记账!$H76),2))))</f>
        <v/>
      </c>
      <c r="P83" s="0" t="str">
        <f aca="false">IF($G83=0,"",IF(资金日记账!$L76=0,"",资金日记账!$L76))</f>
        <v/>
      </c>
      <c r="T83" s="0" t="str">
        <f aca="false">IF(资金日记账!$G83="","",资金日记账!$G83)</f>
        <v>商店</v>
      </c>
      <c r="U83" s="0" t="n">
        <f aca="false">IF(T83="",0,IF(MATCH(T83,$T$4:$T$903,0)=ROW()-3,1,0))</f>
        <v>0</v>
      </c>
      <c r="V83" s="0" t="n">
        <f aca="false">N(V82)+U83</f>
        <v>27</v>
      </c>
      <c r="Z83" s="0" t="str">
        <f aca="false">IF(成本费用登记表!$C83="","",成本费用登记表!$C83)</f>
        <v/>
      </c>
      <c r="AA83" s="0" t="n">
        <f aca="false">IF(Z83="",0,IF(MATCH(Z83,$Z$4:$Z$303,0)=ROW()-3,1,0))</f>
        <v>0</v>
      </c>
      <c r="AB83" s="0" t="n">
        <f aca="false">N(AB82)+AA83</f>
        <v>0</v>
      </c>
      <c r="AD83" s="0" t="str">
        <f aca="false">IFERROR(INDEX($Z$4:$Z$303,MATCH(80,$AB$4:$AB$303,0)),"")</f>
        <v/>
      </c>
      <c r="AF83" s="0" t="str">
        <f aca="false">IF(OR(资金日记账!$E83="",N(资金日记账!$H83)=0),"",资金日记账!$E83)</f>
        <v/>
      </c>
      <c r="AG83" s="0" t="n">
        <f aca="false">IF(AF83="",0,IF(MATCH(AF83,$AF$4:$AF$603,0)=ROW()-3,1,0))</f>
        <v>0</v>
      </c>
      <c r="AH83" s="0" t="n">
        <f aca="false">N(AH82)+AG83</f>
        <v>2</v>
      </c>
    </row>
    <row r="84" customFormat="false" ht="13.5" hidden="false" customHeight="false" outlineLevel="0" collapsed="false">
      <c r="A84" s="0" t="str">
        <f aca="false">IF(((进销存对接!$D84="客户应收")+(进销存对接!$D84="成品销售款")+(进销存对接!$D84="公司购买果品款")+(进销存对接!$D84="筐子销售款")+(进销存对接!$D84="物料销售款"))&gt;0,进销存对接!$C84,"")</f>
        <v/>
      </c>
      <c r="B84" s="0" t="n">
        <f aca="false">IF(A84="",0,IF(MATCH(A84,$A$4:$A$1925,0)=ROW()-3,1,0))</f>
        <v>0</v>
      </c>
      <c r="C84" s="0" t="n">
        <f aca="false">N(C83)+B84</f>
        <v>6</v>
      </c>
      <c r="E84" s="0" t="str">
        <f aca="false">IFERROR(INDEX($A$4:$A$1925,MATCH(ROW()-3,$C$4:$C$1925,0)),"")</f>
        <v/>
      </c>
      <c r="G84" s="0" t="n">
        <f aca="false">IF(OR($G$1="",资金日记账!$E77="",资金日记账!$E77&lt;&gt;$G$1),0,IF(NOT(OR(N(资金日记账!$H77)&lt;&gt;0,N(资金日记账!$I77)&lt;&gt;0)),0,IF(资金日记账!$B77="",1,IF(OR(N(资金日记账!$B77)&lt;$H$1,N(资金日记账!$B77)&gt;$I$1),0,1))))</f>
        <v>0</v>
      </c>
      <c r="H84" s="0" t="n">
        <f aca="false">N(H83)+$G84</f>
        <v>3</v>
      </c>
      <c r="I84" s="0" t="str">
        <f aca="false">IF($G84=0,"",IF(资金日记账!$B77=0,"",资金日记账!$B77))</f>
        <v/>
      </c>
      <c r="J84" s="0" t="str">
        <f aca="false">IF($G84=0,"",IF(资金日记账!$D77=0,"",资金日记账!$D77))</f>
        <v/>
      </c>
      <c r="K84" s="0" t="str">
        <f aca="false">IF($G84=0,"",IF(""=0,"",""))</f>
        <v/>
      </c>
      <c r="L84" s="0" t="str">
        <f aca="false">IF($G84=0,"",IF(""=0,"",""))</f>
        <v/>
      </c>
      <c r="M84" s="0" t="str">
        <f aca="false">IF($G84=0,"",IF(""=0,"",""))</f>
        <v/>
      </c>
      <c r="N84" s="0" t="str">
        <f aca="false">IF($G84=0,"",IF(IF(N(资金日记账!$I77)=0,"",-ROUND(N(资金日记账!$I77),2))=0,"",IF(N(资金日记账!$I77)=0,"",-ROUND(N(资金日记账!$I77),2))))</f>
        <v/>
      </c>
      <c r="O84" s="0" t="str">
        <f aca="false">IF($G84=0,"",IF(IF(N(资金日记账!$H77)=0,"",ROUND(N(资金日记账!$H77),2))=0,"",IF(N(资金日记账!$H77)=0,"",ROUND(N(资金日记账!$H77),2))))</f>
        <v/>
      </c>
      <c r="P84" s="0" t="str">
        <f aca="false">IF($G84=0,"",IF(资金日记账!$L77=0,"",资金日记账!$L77))</f>
        <v/>
      </c>
      <c r="T84" s="0" t="str">
        <f aca="false">IF(资金日记账!$G84="","",资金日记账!$G84)</f>
        <v>吃饭</v>
      </c>
      <c r="U84" s="0" t="n">
        <f aca="false">IF(T84="",0,IF(MATCH(T84,$T$4:$T$903,0)=ROW()-3,1,0))</f>
        <v>0</v>
      </c>
      <c r="V84" s="0" t="n">
        <f aca="false">N(V83)+U84</f>
        <v>27</v>
      </c>
      <c r="Z84" s="0" t="str">
        <f aca="false">IF(成本费用登记表!$C84="","",成本费用登记表!$C84)</f>
        <v/>
      </c>
      <c r="AA84" s="0" t="n">
        <f aca="false">IF(Z84="",0,IF(MATCH(Z84,$Z$4:$Z$303,0)=ROW()-3,1,0))</f>
        <v>0</v>
      </c>
      <c r="AB84" s="0" t="n">
        <f aca="false">N(AB83)+AA84</f>
        <v>0</v>
      </c>
      <c r="AD84" s="0" t="str">
        <f aca="false">IFERROR(INDEX($Z$4:$Z$303,MATCH(81,$AB$4:$AB$303,0)),"")</f>
        <v/>
      </c>
      <c r="AF84" s="0" t="str">
        <f aca="false">IF(OR(资金日记账!$E84="",N(资金日记账!$H84)=0),"",资金日记账!$E84)</f>
        <v/>
      </c>
      <c r="AG84" s="0" t="n">
        <f aca="false">IF(AF84="",0,IF(MATCH(AF84,$AF$4:$AF$603,0)=ROW()-3,1,0))</f>
        <v>0</v>
      </c>
      <c r="AH84" s="0" t="n">
        <f aca="false">N(AH83)+AG84</f>
        <v>2</v>
      </c>
    </row>
    <row r="85" customFormat="false" ht="13.5" hidden="false" customHeight="false" outlineLevel="0" collapsed="false">
      <c r="A85" s="0" t="str">
        <f aca="false">IF(((进销存对接!$D85="客户应收")+(进销存对接!$D85="成品销售款")+(进销存对接!$D85="公司购买果品款")+(进销存对接!$D85="筐子销售款")+(进销存对接!$D85="物料销售款"))&gt;0,进销存对接!$C85,"")</f>
        <v/>
      </c>
      <c r="B85" s="0" t="n">
        <f aca="false">IF(A85="",0,IF(MATCH(A85,$A$4:$A$1925,0)=ROW()-3,1,0))</f>
        <v>0</v>
      </c>
      <c r="C85" s="0" t="n">
        <f aca="false">N(C84)+B85</f>
        <v>6</v>
      </c>
      <c r="E85" s="0" t="str">
        <f aca="false">IFERROR(INDEX($A$4:$A$1925,MATCH(ROW()-3,$C$4:$C$1925,0)),"")</f>
        <v/>
      </c>
      <c r="G85" s="0" t="n">
        <f aca="false">IF(OR($G$1="",资金日记账!$E78="",资金日记账!$E78&lt;&gt;$G$1),0,IF(NOT(OR(N(资金日记账!$H78)&lt;&gt;0,N(资金日记账!$I78)&lt;&gt;0)),0,IF(资金日记账!$B78="",1,IF(OR(N(资金日记账!$B78)&lt;$H$1,N(资金日记账!$B78)&gt;$I$1),0,1))))</f>
        <v>0</v>
      </c>
      <c r="H85" s="0" t="n">
        <f aca="false">N(H84)+$G85</f>
        <v>3</v>
      </c>
      <c r="I85" s="0" t="str">
        <f aca="false">IF($G85=0,"",IF(资金日记账!$B78=0,"",资金日记账!$B78))</f>
        <v/>
      </c>
      <c r="J85" s="0" t="str">
        <f aca="false">IF($G85=0,"",IF(资金日记账!$D78=0,"",资金日记账!$D78))</f>
        <v/>
      </c>
      <c r="K85" s="0" t="str">
        <f aca="false">IF($G85=0,"",IF(""=0,"",""))</f>
        <v/>
      </c>
      <c r="L85" s="0" t="str">
        <f aca="false">IF($G85=0,"",IF(""=0,"",""))</f>
        <v/>
      </c>
      <c r="M85" s="0" t="str">
        <f aca="false">IF($G85=0,"",IF(""=0,"",""))</f>
        <v/>
      </c>
      <c r="N85" s="0" t="str">
        <f aca="false">IF($G85=0,"",IF(IF(N(资金日记账!$I78)=0,"",-ROUND(N(资金日记账!$I78),2))=0,"",IF(N(资金日记账!$I78)=0,"",-ROUND(N(资金日记账!$I78),2))))</f>
        <v/>
      </c>
      <c r="O85" s="0" t="str">
        <f aca="false">IF($G85=0,"",IF(IF(N(资金日记账!$H78)=0,"",ROUND(N(资金日记账!$H78),2))=0,"",IF(N(资金日记账!$H78)=0,"",ROUND(N(资金日记账!$H78),2))))</f>
        <v/>
      </c>
      <c r="P85" s="0" t="str">
        <f aca="false">IF($G85=0,"",IF(资金日记账!$L78=0,"",资金日记账!$L78))</f>
        <v/>
      </c>
      <c r="T85" s="0" t="str">
        <f aca="false">IF(资金日记账!$G85="","",资金日记账!$G85)</f>
        <v>吃饭</v>
      </c>
      <c r="U85" s="0" t="n">
        <f aca="false">IF(T85="",0,IF(MATCH(T85,$T$4:$T$903,0)=ROW()-3,1,0))</f>
        <v>0</v>
      </c>
      <c r="V85" s="0" t="n">
        <f aca="false">N(V84)+U85</f>
        <v>27</v>
      </c>
      <c r="Z85" s="0" t="str">
        <f aca="false">IF(成本费用登记表!$C85="","",成本费用登记表!$C85)</f>
        <v/>
      </c>
      <c r="AA85" s="0" t="n">
        <f aca="false">IF(Z85="",0,IF(MATCH(Z85,$Z$4:$Z$303,0)=ROW()-3,1,0))</f>
        <v>0</v>
      </c>
      <c r="AB85" s="0" t="n">
        <f aca="false">N(AB84)+AA85</f>
        <v>0</v>
      </c>
      <c r="AD85" s="0" t="str">
        <f aca="false">IFERROR(INDEX($Z$4:$Z$303,MATCH(82,$AB$4:$AB$303,0)),"")</f>
        <v/>
      </c>
      <c r="AF85" s="0" t="str">
        <f aca="false">IF(OR(资金日记账!$E85="",N(资金日记账!$H85)=0),"",资金日记账!$E85)</f>
        <v/>
      </c>
      <c r="AG85" s="0" t="n">
        <f aca="false">IF(AF85="",0,IF(MATCH(AF85,$AF$4:$AF$603,0)=ROW()-3,1,0))</f>
        <v>0</v>
      </c>
      <c r="AH85" s="0" t="n">
        <f aca="false">N(AH84)+AG85</f>
        <v>2</v>
      </c>
    </row>
    <row r="86" customFormat="false" ht="13.5" hidden="false" customHeight="false" outlineLevel="0" collapsed="false">
      <c r="A86" s="0" t="str">
        <f aca="false">IF(((进销存对接!$D86="客户应收")+(进销存对接!$D86="成品销售款")+(进销存对接!$D86="公司购买果品款")+(进销存对接!$D86="筐子销售款")+(进销存对接!$D86="物料销售款"))&gt;0,进销存对接!$C86,"")</f>
        <v/>
      </c>
      <c r="B86" s="0" t="n">
        <f aca="false">IF(A86="",0,IF(MATCH(A86,$A$4:$A$1925,0)=ROW()-3,1,0))</f>
        <v>0</v>
      </c>
      <c r="C86" s="0" t="n">
        <f aca="false">N(C85)+B86</f>
        <v>6</v>
      </c>
      <c r="E86" s="0" t="str">
        <f aca="false">IFERROR(INDEX($A$4:$A$1925,MATCH(ROW()-3,$C$4:$C$1925,0)),"")</f>
        <v/>
      </c>
      <c r="G86" s="0" t="n">
        <f aca="false">IF(OR($G$1="",资金日记账!$E79="",资金日记账!$E79&lt;&gt;$G$1),0,IF(NOT(OR(N(资金日记账!$H79)&lt;&gt;0,N(资金日记账!$I79)&lt;&gt;0)),0,IF(资金日记账!$B79="",1,IF(OR(N(资金日记账!$B79)&lt;$H$1,N(资金日记账!$B79)&gt;$I$1),0,1))))</f>
        <v>0</v>
      </c>
      <c r="H86" s="0" t="n">
        <f aca="false">N(H85)+$G86</f>
        <v>3</v>
      </c>
      <c r="I86" s="0" t="str">
        <f aca="false">IF($G86=0,"",IF(资金日记账!$B79=0,"",资金日记账!$B79))</f>
        <v/>
      </c>
      <c r="J86" s="0" t="str">
        <f aca="false">IF($G86=0,"",IF(资金日记账!$D79=0,"",资金日记账!$D79))</f>
        <v/>
      </c>
      <c r="K86" s="0" t="str">
        <f aca="false">IF($G86=0,"",IF(""=0,"",""))</f>
        <v/>
      </c>
      <c r="L86" s="0" t="str">
        <f aca="false">IF($G86=0,"",IF(""=0,"",""))</f>
        <v/>
      </c>
      <c r="M86" s="0" t="str">
        <f aca="false">IF($G86=0,"",IF(""=0,"",""))</f>
        <v/>
      </c>
      <c r="N86" s="0" t="str">
        <f aca="false">IF($G86=0,"",IF(IF(N(资金日记账!$I79)=0,"",-ROUND(N(资金日记账!$I79),2))=0,"",IF(N(资金日记账!$I79)=0,"",-ROUND(N(资金日记账!$I79),2))))</f>
        <v/>
      </c>
      <c r="O86" s="0" t="str">
        <f aca="false">IF($G86=0,"",IF(IF(N(资金日记账!$H79)=0,"",ROUND(N(资金日记账!$H79),2))=0,"",IF(N(资金日记账!$H79)=0,"",ROUND(N(资金日记账!$H79),2))))</f>
        <v/>
      </c>
      <c r="P86" s="0" t="str">
        <f aca="false">IF($G86=0,"",IF(资金日记账!$L79=0,"",资金日记账!$L79))</f>
        <v/>
      </c>
      <c r="T86" s="0" t="str">
        <f aca="false">IF(资金日记账!$G86="","",资金日记账!$G86)</f>
        <v>商店</v>
      </c>
      <c r="U86" s="0" t="n">
        <f aca="false">IF(T86="",0,IF(MATCH(T86,$T$4:$T$903,0)=ROW()-3,1,0))</f>
        <v>0</v>
      </c>
      <c r="V86" s="0" t="n">
        <f aca="false">N(V85)+U86</f>
        <v>27</v>
      </c>
      <c r="Z86" s="0" t="str">
        <f aca="false">IF(成本费用登记表!$C86="","",成本费用登记表!$C86)</f>
        <v/>
      </c>
      <c r="AA86" s="0" t="n">
        <f aca="false">IF(Z86="",0,IF(MATCH(Z86,$Z$4:$Z$303,0)=ROW()-3,1,0))</f>
        <v>0</v>
      </c>
      <c r="AB86" s="0" t="n">
        <f aca="false">N(AB85)+AA86</f>
        <v>0</v>
      </c>
      <c r="AD86" s="0" t="str">
        <f aca="false">IFERROR(INDEX($Z$4:$Z$303,MATCH(83,$AB$4:$AB$303,0)),"")</f>
        <v/>
      </c>
      <c r="AF86" s="0" t="str">
        <f aca="false">IF(OR(资金日记账!$E86="",N(资金日记账!$H86)=0),"",资金日记账!$E86)</f>
        <v/>
      </c>
      <c r="AG86" s="0" t="n">
        <f aca="false">IF(AF86="",0,IF(MATCH(AF86,$AF$4:$AF$603,0)=ROW()-3,1,0))</f>
        <v>0</v>
      </c>
      <c r="AH86" s="0" t="n">
        <f aca="false">N(AH85)+AG86</f>
        <v>2</v>
      </c>
    </row>
    <row r="87" customFormat="false" ht="13.5" hidden="false" customHeight="false" outlineLevel="0" collapsed="false">
      <c r="A87" s="0" t="str">
        <f aca="false">IF(((进销存对接!$D87="客户应收")+(进销存对接!$D87="成品销售款")+(进销存对接!$D87="公司购买果品款")+(进销存对接!$D87="筐子销售款")+(进销存对接!$D87="物料销售款"))&gt;0,进销存对接!$C87,"")</f>
        <v/>
      </c>
      <c r="B87" s="0" t="n">
        <f aca="false">IF(A87="",0,IF(MATCH(A87,$A$4:$A$1925,0)=ROW()-3,1,0))</f>
        <v>0</v>
      </c>
      <c r="C87" s="0" t="n">
        <f aca="false">N(C86)+B87</f>
        <v>6</v>
      </c>
      <c r="E87" s="0" t="str">
        <f aca="false">IFERROR(INDEX($A$4:$A$1925,MATCH(ROW()-3,$C$4:$C$1925,0)),"")</f>
        <v/>
      </c>
      <c r="G87" s="0" t="n">
        <f aca="false">IF(OR($G$1="",资金日记账!$E80="",资金日记账!$E80&lt;&gt;$G$1),0,IF(NOT(OR(N(资金日记账!$H80)&lt;&gt;0,N(资金日记账!$I80)&lt;&gt;0)),0,IF(资金日记账!$B80="",1,IF(OR(N(资金日记账!$B80)&lt;$H$1,N(资金日记账!$B80)&gt;$I$1),0,1))))</f>
        <v>0</v>
      </c>
      <c r="H87" s="0" t="n">
        <f aca="false">N(H86)+$G87</f>
        <v>3</v>
      </c>
      <c r="I87" s="0" t="str">
        <f aca="false">IF($G87=0,"",IF(资金日记账!$B80=0,"",资金日记账!$B80))</f>
        <v/>
      </c>
      <c r="J87" s="0" t="str">
        <f aca="false">IF($G87=0,"",IF(资金日记账!$D80=0,"",资金日记账!$D80))</f>
        <v/>
      </c>
      <c r="K87" s="0" t="str">
        <f aca="false">IF($G87=0,"",IF(""=0,"",""))</f>
        <v/>
      </c>
      <c r="L87" s="0" t="str">
        <f aca="false">IF($G87=0,"",IF(""=0,"",""))</f>
        <v/>
      </c>
      <c r="M87" s="0" t="str">
        <f aca="false">IF($G87=0,"",IF(""=0,"",""))</f>
        <v/>
      </c>
      <c r="N87" s="0" t="str">
        <f aca="false">IF($G87=0,"",IF(IF(N(资金日记账!$I80)=0,"",-ROUND(N(资金日记账!$I80),2))=0,"",IF(N(资金日记账!$I80)=0,"",-ROUND(N(资金日记账!$I80),2))))</f>
        <v/>
      </c>
      <c r="O87" s="0" t="str">
        <f aca="false">IF($G87=0,"",IF(IF(N(资金日记账!$H80)=0,"",ROUND(N(资金日记账!$H80),2))=0,"",IF(N(资金日记账!$H80)=0,"",ROUND(N(资金日记账!$H80),2))))</f>
        <v/>
      </c>
      <c r="P87" s="0" t="str">
        <f aca="false">IF($G87=0,"",IF(资金日记账!$L80=0,"",资金日记账!$L80))</f>
        <v/>
      </c>
      <c r="T87" s="0" t="str">
        <f aca="false">IF(资金日记账!$G87="","",资金日记账!$G87)</f>
        <v>停车费</v>
      </c>
      <c r="U87" s="0" t="n">
        <f aca="false">IF(T87="",0,IF(MATCH(T87,$T$4:$T$903,0)=ROW()-3,1,0))</f>
        <v>0</v>
      </c>
      <c r="V87" s="0" t="n">
        <f aca="false">N(V86)+U87</f>
        <v>27</v>
      </c>
      <c r="Z87" s="0" t="str">
        <f aca="false">IF(成本费用登记表!$C87="","",成本费用登记表!$C87)</f>
        <v/>
      </c>
      <c r="AA87" s="0" t="n">
        <f aca="false">IF(Z87="",0,IF(MATCH(Z87,$Z$4:$Z$303,0)=ROW()-3,1,0))</f>
        <v>0</v>
      </c>
      <c r="AB87" s="0" t="n">
        <f aca="false">N(AB86)+AA87</f>
        <v>0</v>
      </c>
      <c r="AD87" s="0" t="str">
        <f aca="false">IFERROR(INDEX($Z$4:$Z$303,MATCH(84,$AB$4:$AB$303,0)),"")</f>
        <v/>
      </c>
      <c r="AF87" s="0" t="str">
        <f aca="false">IF(OR(资金日记账!$E87="",N(资金日记账!$H87)=0),"",资金日记账!$E87)</f>
        <v/>
      </c>
      <c r="AG87" s="0" t="n">
        <f aca="false">IF(AF87="",0,IF(MATCH(AF87,$AF$4:$AF$603,0)=ROW()-3,1,0))</f>
        <v>0</v>
      </c>
      <c r="AH87" s="0" t="n">
        <f aca="false">N(AH86)+AG87</f>
        <v>2</v>
      </c>
    </row>
    <row r="88" customFormat="false" ht="13.5" hidden="false" customHeight="false" outlineLevel="0" collapsed="false">
      <c r="A88" s="0" t="str">
        <f aca="false">IF(((进销存对接!$D88="客户应收")+(进销存对接!$D88="成品销售款")+(进销存对接!$D88="公司购买果品款")+(进销存对接!$D88="筐子销售款")+(进销存对接!$D88="物料销售款"))&gt;0,进销存对接!$C88,"")</f>
        <v/>
      </c>
      <c r="B88" s="0" t="n">
        <f aca="false">IF(A88="",0,IF(MATCH(A88,$A$4:$A$1925,0)=ROW()-3,1,0))</f>
        <v>0</v>
      </c>
      <c r="C88" s="0" t="n">
        <f aca="false">N(C87)+B88</f>
        <v>6</v>
      </c>
      <c r="E88" s="0" t="str">
        <f aca="false">IFERROR(INDEX($A$4:$A$1925,MATCH(ROW()-3,$C$4:$C$1925,0)),"")</f>
        <v/>
      </c>
      <c r="G88" s="0" t="n">
        <f aca="false">IF(OR($G$1="",资金日记账!$E81="",资金日记账!$E81&lt;&gt;$G$1),0,IF(NOT(OR(N(资金日记账!$H81)&lt;&gt;0,N(资金日记账!$I81)&lt;&gt;0)),0,IF(资金日记账!$B81="",1,IF(OR(N(资金日记账!$B81)&lt;$H$1,N(资金日记账!$B81)&gt;$I$1),0,1))))</f>
        <v>0</v>
      </c>
      <c r="H88" s="0" t="n">
        <f aca="false">N(H87)+$G88</f>
        <v>3</v>
      </c>
      <c r="I88" s="0" t="str">
        <f aca="false">IF($G88=0,"",IF(资金日记账!$B81=0,"",资金日记账!$B81))</f>
        <v/>
      </c>
      <c r="J88" s="0" t="str">
        <f aca="false">IF($G88=0,"",IF(资金日记账!$D81=0,"",资金日记账!$D81))</f>
        <v/>
      </c>
      <c r="K88" s="0" t="str">
        <f aca="false">IF($G88=0,"",IF(""=0,"",""))</f>
        <v/>
      </c>
      <c r="L88" s="0" t="str">
        <f aca="false">IF($G88=0,"",IF(""=0,"",""))</f>
        <v/>
      </c>
      <c r="M88" s="0" t="str">
        <f aca="false">IF($G88=0,"",IF(""=0,"",""))</f>
        <v/>
      </c>
      <c r="N88" s="0" t="str">
        <f aca="false">IF($G88=0,"",IF(IF(N(资金日记账!$I81)=0,"",-ROUND(N(资金日记账!$I81),2))=0,"",IF(N(资金日记账!$I81)=0,"",-ROUND(N(资金日记账!$I81),2))))</f>
        <v/>
      </c>
      <c r="O88" s="0" t="str">
        <f aca="false">IF($G88=0,"",IF(IF(N(资金日记账!$H81)=0,"",ROUND(N(资金日记账!$H81),2))=0,"",IF(N(资金日记账!$H81)=0,"",ROUND(N(资金日记账!$H81),2))))</f>
        <v/>
      </c>
      <c r="P88" s="0" t="str">
        <f aca="false">IF($G88=0,"",IF(资金日记账!$L81=0,"",资金日记账!$L81))</f>
        <v/>
      </c>
      <c r="T88" s="0" t="str">
        <f aca="false">IF(资金日记账!$G88="","",资金日记账!$G88)</f>
        <v>商店</v>
      </c>
      <c r="U88" s="0" t="n">
        <f aca="false">IF(T88="",0,IF(MATCH(T88,$T$4:$T$903,0)=ROW()-3,1,0))</f>
        <v>0</v>
      </c>
      <c r="V88" s="0" t="n">
        <f aca="false">N(V87)+U88</f>
        <v>27</v>
      </c>
      <c r="Z88" s="0" t="str">
        <f aca="false">IF(成本费用登记表!$C88="","",成本费用登记表!$C88)</f>
        <v/>
      </c>
      <c r="AA88" s="0" t="n">
        <f aca="false">IF(Z88="",0,IF(MATCH(Z88,$Z$4:$Z$303,0)=ROW()-3,1,0))</f>
        <v>0</v>
      </c>
      <c r="AB88" s="0" t="n">
        <f aca="false">N(AB87)+AA88</f>
        <v>0</v>
      </c>
      <c r="AD88" s="0" t="str">
        <f aca="false">IFERROR(INDEX($Z$4:$Z$303,MATCH(85,$AB$4:$AB$303,0)),"")</f>
        <v/>
      </c>
      <c r="AF88" s="0" t="str">
        <f aca="false">IF(OR(资金日记账!$E88="",N(资金日记账!$H88)=0),"",资金日记账!$E88)</f>
        <v/>
      </c>
      <c r="AG88" s="0" t="n">
        <f aca="false">IF(AF88="",0,IF(MATCH(AF88,$AF$4:$AF$603,0)=ROW()-3,1,0))</f>
        <v>0</v>
      </c>
      <c r="AH88" s="0" t="n">
        <f aca="false">N(AH87)+AG88</f>
        <v>2</v>
      </c>
    </row>
    <row r="89" customFormat="false" ht="13.5" hidden="false" customHeight="false" outlineLevel="0" collapsed="false">
      <c r="A89" s="0" t="str">
        <f aca="false">IF(((进销存对接!$D89="客户应收")+(进销存对接!$D89="成品销售款")+(进销存对接!$D89="公司购买果品款")+(进销存对接!$D89="筐子销售款")+(进销存对接!$D89="物料销售款"))&gt;0,进销存对接!$C89,"")</f>
        <v/>
      </c>
      <c r="B89" s="0" t="n">
        <f aca="false">IF(A89="",0,IF(MATCH(A89,$A$4:$A$1925,0)=ROW()-3,1,0))</f>
        <v>0</v>
      </c>
      <c r="C89" s="0" t="n">
        <f aca="false">N(C88)+B89</f>
        <v>6</v>
      </c>
      <c r="E89" s="0" t="str">
        <f aca="false">IFERROR(INDEX($A$4:$A$1925,MATCH(ROW()-3,$C$4:$C$1925,0)),"")</f>
        <v/>
      </c>
      <c r="G89" s="0" t="n">
        <f aca="false">IF(OR($G$1="",资金日记账!$E82="",资金日记账!$E82&lt;&gt;$G$1),0,IF(NOT(OR(N(资金日记账!$H82)&lt;&gt;0,N(资金日记账!$I82)&lt;&gt;0)),0,IF(资金日记账!$B82="",1,IF(OR(N(资金日记账!$B82)&lt;$H$1,N(资金日记账!$B82)&gt;$I$1),0,1))))</f>
        <v>0</v>
      </c>
      <c r="H89" s="0" t="n">
        <f aca="false">N(H88)+$G89</f>
        <v>3</v>
      </c>
      <c r="I89" s="0" t="str">
        <f aca="false">IF($G89=0,"",IF(资金日记账!$B82=0,"",资金日记账!$B82))</f>
        <v/>
      </c>
      <c r="J89" s="0" t="str">
        <f aca="false">IF($G89=0,"",IF(资金日记账!$D82=0,"",资金日记账!$D82))</f>
        <v/>
      </c>
      <c r="K89" s="0" t="str">
        <f aca="false">IF($G89=0,"",IF(""=0,"",""))</f>
        <v/>
      </c>
      <c r="L89" s="0" t="str">
        <f aca="false">IF($G89=0,"",IF(""=0,"",""))</f>
        <v/>
      </c>
      <c r="M89" s="0" t="str">
        <f aca="false">IF($G89=0,"",IF(""=0,"",""))</f>
        <v/>
      </c>
      <c r="N89" s="0" t="str">
        <f aca="false">IF($G89=0,"",IF(IF(N(资金日记账!$I82)=0,"",-ROUND(N(资金日记账!$I82),2))=0,"",IF(N(资金日记账!$I82)=0,"",-ROUND(N(资金日记账!$I82),2))))</f>
        <v/>
      </c>
      <c r="O89" s="0" t="str">
        <f aca="false">IF($G89=0,"",IF(IF(N(资金日记账!$H82)=0,"",ROUND(N(资金日记账!$H82),2))=0,"",IF(N(资金日记账!$H82)=0,"",ROUND(N(资金日记账!$H82),2))))</f>
        <v/>
      </c>
      <c r="P89" s="0" t="str">
        <f aca="false">IF($G89=0,"",IF(资金日记账!$L82=0,"",资金日记账!$L82))</f>
        <v/>
      </c>
      <c r="T89" s="0" t="str">
        <f aca="false">IF(资金日记账!$G89="","",资金日记账!$G89)</f>
        <v>吃饭</v>
      </c>
      <c r="U89" s="0" t="n">
        <f aca="false">IF(T89="",0,IF(MATCH(T89,$T$4:$T$903,0)=ROW()-3,1,0))</f>
        <v>0</v>
      </c>
      <c r="V89" s="0" t="n">
        <f aca="false">N(V88)+U89</f>
        <v>27</v>
      </c>
      <c r="Z89" s="0" t="str">
        <f aca="false">IF(成本费用登记表!$C89="","",成本费用登记表!$C89)</f>
        <v/>
      </c>
      <c r="AA89" s="0" t="n">
        <f aca="false">IF(Z89="",0,IF(MATCH(Z89,$Z$4:$Z$303,0)=ROW()-3,1,0))</f>
        <v>0</v>
      </c>
      <c r="AB89" s="0" t="n">
        <f aca="false">N(AB88)+AA89</f>
        <v>0</v>
      </c>
      <c r="AD89" s="0" t="str">
        <f aca="false">IFERROR(INDEX($Z$4:$Z$303,MATCH(86,$AB$4:$AB$303,0)),"")</f>
        <v/>
      </c>
      <c r="AF89" s="0" t="str">
        <f aca="false">IF(OR(资金日记账!$E89="",N(资金日记账!$H89)=0),"",资金日记账!$E89)</f>
        <v/>
      </c>
      <c r="AG89" s="0" t="n">
        <f aca="false">IF(AF89="",0,IF(MATCH(AF89,$AF$4:$AF$603,0)=ROW()-3,1,0))</f>
        <v>0</v>
      </c>
      <c r="AH89" s="0" t="n">
        <f aca="false">N(AH88)+AG89</f>
        <v>2</v>
      </c>
    </row>
    <row r="90" customFormat="false" ht="13.5" hidden="false" customHeight="false" outlineLevel="0" collapsed="false">
      <c r="A90" s="0" t="str">
        <f aca="false">IF(((进销存对接!$D90="客户应收")+(进销存对接!$D90="成品销售款")+(进销存对接!$D90="公司购买果品款")+(进销存对接!$D90="筐子销售款")+(进销存对接!$D90="物料销售款"))&gt;0,进销存对接!$C90,"")</f>
        <v/>
      </c>
      <c r="B90" s="0" t="n">
        <f aca="false">IF(A90="",0,IF(MATCH(A90,$A$4:$A$1925,0)=ROW()-3,1,0))</f>
        <v>0</v>
      </c>
      <c r="C90" s="0" t="n">
        <f aca="false">N(C89)+B90</f>
        <v>6</v>
      </c>
      <c r="E90" s="0" t="str">
        <f aca="false">IFERROR(INDEX($A$4:$A$1925,MATCH(ROW()-3,$C$4:$C$1925,0)),"")</f>
        <v/>
      </c>
      <c r="G90" s="0" t="n">
        <f aca="false">IF(OR($G$1="",资金日记账!$E83="",资金日记账!$E83&lt;&gt;$G$1),0,IF(NOT(OR(N(资金日记账!$H83)&lt;&gt;0,N(资金日记账!$I83)&lt;&gt;0)),0,IF(资金日记账!$B83="",1,IF(OR(N(资金日记账!$B83)&lt;$H$1,N(资金日记账!$B83)&gt;$I$1),0,1))))</f>
        <v>0</v>
      </c>
      <c r="H90" s="0" t="n">
        <f aca="false">N(H89)+$G90</f>
        <v>3</v>
      </c>
      <c r="I90" s="0" t="str">
        <f aca="false">IF($G90=0,"",IF(资金日记账!$B83=0,"",资金日记账!$B83))</f>
        <v/>
      </c>
      <c r="J90" s="0" t="str">
        <f aca="false">IF($G90=0,"",IF(资金日记账!$D83=0,"",资金日记账!$D83))</f>
        <v/>
      </c>
      <c r="K90" s="0" t="str">
        <f aca="false">IF($G90=0,"",IF(""=0,"",""))</f>
        <v/>
      </c>
      <c r="L90" s="0" t="str">
        <f aca="false">IF($G90=0,"",IF(""=0,"",""))</f>
        <v/>
      </c>
      <c r="M90" s="0" t="str">
        <f aca="false">IF($G90=0,"",IF(""=0,"",""))</f>
        <v/>
      </c>
      <c r="N90" s="0" t="str">
        <f aca="false">IF($G90=0,"",IF(IF(N(资金日记账!$I83)=0,"",-ROUND(N(资金日记账!$I83),2))=0,"",IF(N(资金日记账!$I83)=0,"",-ROUND(N(资金日记账!$I83),2))))</f>
        <v/>
      </c>
      <c r="O90" s="0" t="str">
        <f aca="false">IF($G90=0,"",IF(IF(N(资金日记账!$H83)=0,"",ROUND(N(资金日记账!$H83),2))=0,"",IF(N(资金日记账!$H83)=0,"",ROUND(N(资金日记账!$H83),2))))</f>
        <v/>
      </c>
      <c r="P90" s="0" t="str">
        <f aca="false">IF($G90=0,"",IF(资金日记账!$L83=0,"",资金日记账!$L83))</f>
        <v/>
      </c>
      <c r="T90" s="0" t="str">
        <f aca="false">IF(资金日记账!$G90="","",资金日记账!$G90)</f>
        <v>吃饭</v>
      </c>
      <c r="U90" s="0" t="n">
        <f aca="false">IF(T90="",0,IF(MATCH(T90,$T$4:$T$903,0)=ROW()-3,1,0))</f>
        <v>0</v>
      </c>
      <c r="V90" s="0" t="n">
        <f aca="false">N(V89)+U90</f>
        <v>27</v>
      </c>
      <c r="Z90" s="0" t="str">
        <f aca="false">IF(成本费用登记表!$C90="","",成本费用登记表!$C90)</f>
        <v/>
      </c>
      <c r="AA90" s="0" t="n">
        <f aca="false">IF(Z90="",0,IF(MATCH(Z90,$Z$4:$Z$303,0)=ROW()-3,1,0))</f>
        <v>0</v>
      </c>
      <c r="AB90" s="0" t="n">
        <f aca="false">N(AB89)+AA90</f>
        <v>0</v>
      </c>
      <c r="AD90" s="0" t="str">
        <f aca="false">IFERROR(INDEX($Z$4:$Z$303,MATCH(87,$AB$4:$AB$303,0)),"")</f>
        <v/>
      </c>
      <c r="AF90" s="0" t="str">
        <f aca="false">IF(OR(资金日记账!$E90="",N(资金日记账!$H90)=0),"",资金日记账!$E90)</f>
        <v/>
      </c>
      <c r="AG90" s="0" t="n">
        <f aca="false">IF(AF90="",0,IF(MATCH(AF90,$AF$4:$AF$603,0)=ROW()-3,1,0))</f>
        <v>0</v>
      </c>
      <c r="AH90" s="0" t="n">
        <f aca="false">N(AH89)+AG90</f>
        <v>2</v>
      </c>
    </row>
    <row r="91" customFormat="false" ht="13.5" hidden="false" customHeight="false" outlineLevel="0" collapsed="false">
      <c r="A91" s="0" t="str">
        <f aca="false">IF(((进销存对接!$D91="客户应收")+(进销存对接!$D91="成品销售款")+(进销存对接!$D91="公司购买果品款")+(进销存对接!$D91="筐子销售款")+(进销存对接!$D91="物料销售款"))&gt;0,进销存对接!$C91,"")</f>
        <v/>
      </c>
      <c r="B91" s="0" t="n">
        <f aca="false">IF(A91="",0,IF(MATCH(A91,$A$4:$A$1925,0)=ROW()-3,1,0))</f>
        <v>0</v>
      </c>
      <c r="C91" s="0" t="n">
        <f aca="false">N(C90)+B91</f>
        <v>6</v>
      </c>
      <c r="E91" s="0" t="str">
        <f aca="false">IFERROR(INDEX($A$4:$A$1925,MATCH(ROW()-3,$C$4:$C$1925,0)),"")</f>
        <v/>
      </c>
      <c r="G91" s="0" t="n">
        <f aca="false">IF(OR($G$1="",资金日记账!$E84="",资金日记账!$E84&lt;&gt;$G$1),0,IF(NOT(OR(N(资金日记账!$H84)&lt;&gt;0,N(资金日记账!$I84)&lt;&gt;0)),0,IF(资金日记账!$B84="",1,IF(OR(N(资金日记账!$B84)&lt;$H$1,N(资金日记账!$B84)&gt;$I$1),0,1))))</f>
        <v>0</v>
      </c>
      <c r="H91" s="0" t="n">
        <f aca="false">N(H90)+$G91</f>
        <v>3</v>
      </c>
      <c r="I91" s="0" t="str">
        <f aca="false">IF($G91=0,"",IF(资金日记账!$B84=0,"",资金日记账!$B84))</f>
        <v/>
      </c>
      <c r="J91" s="0" t="str">
        <f aca="false">IF($G91=0,"",IF(资金日记账!$D84=0,"",资金日记账!$D84))</f>
        <v/>
      </c>
      <c r="K91" s="0" t="str">
        <f aca="false">IF($G91=0,"",IF(""=0,"",""))</f>
        <v/>
      </c>
      <c r="L91" s="0" t="str">
        <f aca="false">IF($G91=0,"",IF(""=0,"",""))</f>
        <v/>
      </c>
      <c r="M91" s="0" t="str">
        <f aca="false">IF($G91=0,"",IF(""=0,"",""))</f>
        <v/>
      </c>
      <c r="N91" s="0" t="str">
        <f aca="false">IF($G91=0,"",IF(IF(N(资金日记账!$I84)=0,"",-ROUND(N(资金日记账!$I84),2))=0,"",IF(N(资金日记账!$I84)=0,"",-ROUND(N(资金日记账!$I84),2))))</f>
        <v/>
      </c>
      <c r="O91" s="0" t="str">
        <f aca="false">IF($G91=0,"",IF(IF(N(资金日记账!$H84)=0,"",ROUND(N(资金日记账!$H84),2))=0,"",IF(N(资金日记账!$H84)=0,"",ROUND(N(资金日记账!$H84),2))))</f>
        <v/>
      </c>
      <c r="P91" s="0" t="str">
        <f aca="false">IF($G91=0,"",IF(资金日记账!$L84=0,"",资金日记账!$L84))</f>
        <v/>
      </c>
      <c r="T91" s="0" t="str">
        <f aca="false">IF(资金日记账!$G91="","",资金日记账!$G91)</f>
        <v>个人消费</v>
      </c>
      <c r="U91" s="0" t="n">
        <f aca="false">IF(T91="",0,IF(MATCH(T91,$T$4:$T$903,0)=ROW()-3,1,0))</f>
        <v>0</v>
      </c>
      <c r="V91" s="0" t="n">
        <f aca="false">N(V90)+U91</f>
        <v>27</v>
      </c>
      <c r="Z91" s="0" t="str">
        <f aca="false">IF(成本费用登记表!$C91="","",成本费用登记表!$C91)</f>
        <v/>
      </c>
      <c r="AA91" s="0" t="n">
        <f aca="false">IF(Z91="",0,IF(MATCH(Z91,$Z$4:$Z$303,0)=ROW()-3,1,0))</f>
        <v>0</v>
      </c>
      <c r="AB91" s="0" t="n">
        <f aca="false">N(AB90)+AA91</f>
        <v>0</v>
      </c>
      <c r="AD91" s="0" t="str">
        <f aca="false">IFERROR(INDEX($Z$4:$Z$303,MATCH(88,$AB$4:$AB$303,0)),"")</f>
        <v/>
      </c>
      <c r="AF91" s="0" t="str">
        <f aca="false">IF(OR(资金日记账!$E91="",N(资金日记账!$H91)=0),"",资金日记账!$E91)</f>
        <v/>
      </c>
      <c r="AG91" s="0" t="n">
        <f aca="false">IF(AF91="",0,IF(MATCH(AF91,$AF$4:$AF$603,0)=ROW()-3,1,0))</f>
        <v>0</v>
      </c>
      <c r="AH91" s="0" t="n">
        <f aca="false">N(AH90)+AG91</f>
        <v>2</v>
      </c>
    </row>
    <row r="92" customFormat="false" ht="13.5" hidden="false" customHeight="false" outlineLevel="0" collapsed="false">
      <c r="A92" s="0" t="str">
        <f aca="false">IF(((进销存对接!$D92="客户应收")+(进销存对接!$D92="成品销售款")+(进销存对接!$D92="公司购买果品款")+(进销存对接!$D92="筐子销售款")+(进销存对接!$D92="物料销售款"))&gt;0,进销存对接!$C92,"")</f>
        <v/>
      </c>
      <c r="B92" s="0" t="n">
        <f aca="false">IF(A92="",0,IF(MATCH(A92,$A$4:$A$1925,0)=ROW()-3,1,0))</f>
        <v>0</v>
      </c>
      <c r="C92" s="0" t="n">
        <f aca="false">N(C91)+B92</f>
        <v>6</v>
      </c>
      <c r="E92" s="0" t="str">
        <f aca="false">IFERROR(INDEX($A$4:$A$1925,MATCH(ROW()-3,$C$4:$C$1925,0)),"")</f>
        <v/>
      </c>
      <c r="G92" s="0" t="n">
        <f aca="false">IF(OR($G$1="",资金日记账!$E85="",资金日记账!$E85&lt;&gt;$G$1),0,IF(NOT(OR(N(资金日记账!$H85)&lt;&gt;0,N(资金日记账!$I85)&lt;&gt;0)),0,IF(资金日记账!$B85="",1,IF(OR(N(资金日记账!$B85)&lt;$H$1,N(资金日记账!$B85)&gt;$I$1),0,1))))</f>
        <v>0</v>
      </c>
      <c r="H92" s="0" t="n">
        <f aca="false">N(H91)+$G92</f>
        <v>3</v>
      </c>
      <c r="I92" s="0" t="str">
        <f aca="false">IF($G92=0,"",IF(资金日记账!$B85=0,"",资金日记账!$B85))</f>
        <v/>
      </c>
      <c r="J92" s="0" t="str">
        <f aca="false">IF($G92=0,"",IF(资金日记账!$D85=0,"",资金日记账!$D85))</f>
        <v/>
      </c>
      <c r="K92" s="0" t="str">
        <f aca="false">IF($G92=0,"",IF(""=0,"",""))</f>
        <v/>
      </c>
      <c r="L92" s="0" t="str">
        <f aca="false">IF($G92=0,"",IF(""=0,"",""))</f>
        <v/>
      </c>
      <c r="M92" s="0" t="str">
        <f aca="false">IF($G92=0,"",IF(""=0,"",""))</f>
        <v/>
      </c>
      <c r="N92" s="0" t="str">
        <f aca="false">IF($G92=0,"",IF(IF(N(资金日记账!$I85)=0,"",-ROUND(N(资金日记账!$I85),2))=0,"",IF(N(资金日记账!$I85)=0,"",-ROUND(N(资金日记账!$I85),2))))</f>
        <v/>
      </c>
      <c r="O92" s="0" t="str">
        <f aca="false">IF($G92=0,"",IF(IF(N(资金日记账!$H85)=0,"",ROUND(N(资金日记账!$H85),2))=0,"",IF(N(资金日记账!$H85)=0,"",ROUND(N(资金日记账!$H85),2))))</f>
        <v/>
      </c>
      <c r="P92" s="0" t="str">
        <f aca="false">IF($G92=0,"",IF(资金日记账!$L85=0,"",资金日记账!$L85))</f>
        <v/>
      </c>
      <c r="T92" s="0" t="str">
        <f aca="false">IF(资金日记账!$G92="","",资金日记账!$G92)</f>
        <v>商店</v>
      </c>
      <c r="U92" s="0" t="n">
        <f aca="false">IF(T92="",0,IF(MATCH(T92,$T$4:$T$903,0)=ROW()-3,1,0))</f>
        <v>0</v>
      </c>
      <c r="V92" s="0" t="n">
        <f aca="false">N(V91)+U92</f>
        <v>27</v>
      </c>
      <c r="Z92" s="0" t="str">
        <f aca="false">IF(成本费用登记表!$C92="","",成本费用登记表!$C92)</f>
        <v/>
      </c>
      <c r="AA92" s="0" t="n">
        <f aca="false">IF(Z92="",0,IF(MATCH(Z92,$Z$4:$Z$303,0)=ROW()-3,1,0))</f>
        <v>0</v>
      </c>
      <c r="AB92" s="0" t="n">
        <f aca="false">N(AB91)+AA92</f>
        <v>0</v>
      </c>
      <c r="AD92" s="0" t="str">
        <f aca="false">IFERROR(INDEX($Z$4:$Z$303,MATCH(89,$AB$4:$AB$303,0)),"")</f>
        <v/>
      </c>
      <c r="AF92" s="0" t="str">
        <f aca="false">IF(OR(资金日记账!$E92="",N(资金日记账!$H92)=0),"",资金日记账!$E92)</f>
        <v/>
      </c>
      <c r="AG92" s="0" t="n">
        <f aca="false">IF(AF92="",0,IF(MATCH(AF92,$AF$4:$AF$603,0)=ROW()-3,1,0))</f>
        <v>0</v>
      </c>
      <c r="AH92" s="0" t="n">
        <f aca="false">N(AH91)+AG92</f>
        <v>2</v>
      </c>
    </row>
    <row r="93" customFormat="false" ht="13.5" hidden="false" customHeight="false" outlineLevel="0" collapsed="false">
      <c r="A93" s="0" t="str">
        <f aca="false">IF(((进销存对接!$D93="客户应收")+(进销存对接!$D93="成品销售款")+(进销存对接!$D93="公司购买果品款")+(进销存对接!$D93="筐子销售款")+(进销存对接!$D93="物料销售款"))&gt;0,进销存对接!$C93,"")</f>
        <v/>
      </c>
      <c r="B93" s="0" t="n">
        <f aca="false">IF(A93="",0,IF(MATCH(A93,$A$4:$A$1925,0)=ROW()-3,1,0))</f>
        <v>0</v>
      </c>
      <c r="C93" s="0" t="n">
        <f aca="false">N(C92)+B93</f>
        <v>6</v>
      </c>
      <c r="E93" s="0" t="str">
        <f aca="false">IFERROR(INDEX($A$4:$A$1925,MATCH(ROW()-3,$C$4:$C$1925,0)),"")</f>
        <v/>
      </c>
      <c r="G93" s="0" t="n">
        <f aca="false">IF(OR($G$1="",资金日记账!$E86="",资金日记账!$E86&lt;&gt;$G$1),0,IF(NOT(OR(N(资金日记账!$H86)&lt;&gt;0,N(资金日记账!$I86)&lt;&gt;0)),0,IF(资金日记账!$B86="",1,IF(OR(N(资金日记账!$B86)&lt;$H$1,N(资金日记账!$B86)&gt;$I$1),0,1))))</f>
        <v>0</v>
      </c>
      <c r="H93" s="0" t="n">
        <f aca="false">N(H92)+$G93</f>
        <v>3</v>
      </c>
      <c r="I93" s="0" t="str">
        <f aca="false">IF($G93=0,"",IF(资金日记账!$B86=0,"",资金日记账!$B86))</f>
        <v/>
      </c>
      <c r="J93" s="0" t="str">
        <f aca="false">IF($G93=0,"",IF(资金日记账!$D86=0,"",资金日记账!$D86))</f>
        <v/>
      </c>
      <c r="K93" s="0" t="str">
        <f aca="false">IF($G93=0,"",IF(""=0,"",""))</f>
        <v/>
      </c>
      <c r="L93" s="0" t="str">
        <f aca="false">IF($G93=0,"",IF(""=0,"",""))</f>
        <v/>
      </c>
      <c r="M93" s="0" t="str">
        <f aca="false">IF($G93=0,"",IF(""=0,"",""))</f>
        <v/>
      </c>
      <c r="N93" s="0" t="str">
        <f aca="false">IF($G93=0,"",IF(IF(N(资金日记账!$I86)=0,"",-ROUND(N(资金日记账!$I86),2))=0,"",IF(N(资金日记账!$I86)=0,"",-ROUND(N(资金日记账!$I86),2))))</f>
        <v/>
      </c>
      <c r="O93" s="0" t="str">
        <f aca="false">IF($G93=0,"",IF(IF(N(资金日记账!$H86)=0,"",ROUND(N(资金日记账!$H86),2))=0,"",IF(N(资金日记账!$H86)=0,"",ROUND(N(资金日记账!$H86),2))))</f>
        <v/>
      </c>
      <c r="P93" s="0" t="str">
        <f aca="false">IF($G93=0,"",IF(资金日记账!$L86=0,"",资金日记账!$L86))</f>
        <v/>
      </c>
      <c r="T93" s="0" t="str">
        <f aca="false">IF(资金日记账!$G93="","",资金日记账!$G93)</f>
        <v>商店</v>
      </c>
      <c r="U93" s="0" t="n">
        <f aca="false">IF(T93="",0,IF(MATCH(T93,$T$4:$T$903,0)=ROW()-3,1,0))</f>
        <v>0</v>
      </c>
      <c r="V93" s="0" t="n">
        <f aca="false">N(V92)+U93</f>
        <v>27</v>
      </c>
      <c r="Z93" s="0" t="str">
        <f aca="false">IF(成本费用登记表!$C93="","",成本费用登记表!$C93)</f>
        <v/>
      </c>
      <c r="AA93" s="0" t="n">
        <f aca="false">IF(Z93="",0,IF(MATCH(Z93,$Z$4:$Z$303,0)=ROW()-3,1,0))</f>
        <v>0</v>
      </c>
      <c r="AB93" s="0" t="n">
        <f aca="false">N(AB92)+AA93</f>
        <v>0</v>
      </c>
      <c r="AD93" s="0" t="str">
        <f aca="false">IFERROR(INDEX($Z$4:$Z$303,MATCH(90,$AB$4:$AB$303,0)),"")</f>
        <v/>
      </c>
      <c r="AF93" s="0" t="str">
        <f aca="false">IF(OR(资金日记账!$E93="",N(资金日记账!$H93)=0),"",资金日记账!$E93)</f>
        <v/>
      </c>
      <c r="AG93" s="0" t="n">
        <f aca="false">IF(AF93="",0,IF(MATCH(AF93,$AF$4:$AF$603,0)=ROW()-3,1,0))</f>
        <v>0</v>
      </c>
      <c r="AH93" s="0" t="n">
        <f aca="false">N(AH92)+AG93</f>
        <v>2</v>
      </c>
    </row>
    <row r="94" customFormat="false" ht="13.5" hidden="false" customHeight="false" outlineLevel="0" collapsed="false">
      <c r="A94" s="0" t="str">
        <f aca="false">IF(((进销存对接!$D94="客户应收")+(进销存对接!$D94="成品销售款")+(进销存对接!$D94="公司购买果品款")+(进销存对接!$D94="筐子销售款")+(进销存对接!$D94="物料销售款"))&gt;0,进销存对接!$C94,"")</f>
        <v/>
      </c>
      <c r="B94" s="0" t="n">
        <f aca="false">IF(A94="",0,IF(MATCH(A94,$A$4:$A$1925,0)=ROW()-3,1,0))</f>
        <v>0</v>
      </c>
      <c r="C94" s="0" t="n">
        <f aca="false">N(C93)+B94</f>
        <v>6</v>
      </c>
      <c r="E94" s="0" t="str">
        <f aca="false">IFERROR(INDEX($A$4:$A$1925,MATCH(ROW()-3,$C$4:$C$1925,0)),"")</f>
        <v/>
      </c>
      <c r="G94" s="0" t="n">
        <f aca="false">IF(OR($G$1="",资金日记账!$E87="",资金日记账!$E87&lt;&gt;$G$1),0,IF(NOT(OR(N(资金日记账!$H87)&lt;&gt;0,N(资金日记账!$I87)&lt;&gt;0)),0,IF(资金日记账!$B87="",1,IF(OR(N(资金日记账!$B87)&lt;$H$1,N(资金日记账!$B87)&gt;$I$1),0,1))))</f>
        <v>0</v>
      </c>
      <c r="H94" s="0" t="n">
        <f aca="false">N(H93)+$G94</f>
        <v>3</v>
      </c>
      <c r="I94" s="0" t="str">
        <f aca="false">IF($G94=0,"",IF(资金日记账!$B87=0,"",资金日记账!$B87))</f>
        <v/>
      </c>
      <c r="J94" s="0" t="str">
        <f aca="false">IF($G94=0,"",IF(资金日记账!$D87=0,"",资金日记账!$D87))</f>
        <v/>
      </c>
      <c r="K94" s="0" t="str">
        <f aca="false">IF($G94=0,"",IF(""=0,"",""))</f>
        <v/>
      </c>
      <c r="L94" s="0" t="str">
        <f aca="false">IF($G94=0,"",IF(""=0,"",""))</f>
        <v/>
      </c>
      <c r="M94" s="0" t="str">
        <f aca="false">IF($G94=0,"",IF(""=0,"",""))</f>
        <v/>
      </c>
      <c r="N94" s="0" t="str">
        <f aca="false">IF($G94=0,"",IF(IF(N(资金日记账!$I87)=0,"",-ROUND(N(资金日记账!$I87),2))=0,"",IF(N(资金日记账!$I87)=0,"",-ROUND(N(资金日记账!$I87),2))))</f>
        <v/>
      </c>
      <c r="O94" s="0" t="str">
        <f aca="false">IF($G94=0,"",IF(IF(N(资金日记账!$H87)=0,"",ROUND(N(资金日记账!$H87),2))=0,"",IF(N(资金日记账!$H87)=0,"",ROUND(N(资金日记账!$H87),2))))</f>
        <v/>
      </c>
      <c r="P94" s="0" t="str">
        <f aca="false">IF($G94=0,"",IF(资金日记账!$L87=0,"",资金日记账!$L87))</f>
        <v/>
      </c>
      <c r="T94" s="0" t="str">
        <f aca="false">IF(资金日记账!$G94="","",资金日记账!$G94)</f>
        <v>车充电</v>
      </c>
      <c r="U94" s="0" t="n">
        <f aca="false">IF(T94="",0,IF(MATCH(T94,$T$4:$T$903,0)=ROW()-3,1,0))</f>
        <v>0</v>
      </c>
      <c r="V94" s="0" t="n">
        <f aca="false">N(V93)+U94</f>
        <v>27</v>
      </c>
      <c r="Z94" s="0" t="str">
        <f aca="false">IF(成本费用登记表!$C94="","",成本费用登记表!$C94)</f>
        <v/>
      </c>
      <c r="AA94" s="0" t="n">
        <f aca="false">IF(Z94="",0,IF(MATCH(Z94,$Z$4:$Z$303,0)=ROW()-3,1,0))</f>
        <v>0</v>
      </c>
      <c r="AB94" s="0" t="n">
        <f aca="false">N(AB93)+AA94</f>
        <v>0</v>
      </c>
      <c r="AD94" s="0" t="str">
        <f aca="false">IFERROR(INDEX($Z$4:$Z$303,MATCH(91,$AB$4:$AB$303,0)),"")</f>
        <v/>
      </c>
      <c r="AF94" s="0" t="str">
        <f aca="false">IF(OR(资金日记账!$E94="",N(资金日记账!$H94)=0),"",资金日记账!$E94)</f>
        <v/>
      </c>
      <c r="AG94" s="0" t="n">
        <f aca="false">IF(AF94="",0,IF(MATCH(AF94,$AF$4:$AF$603,0)=ROW()-3,1,0))</f>
        <v>0</v>
      </c>
      <c r="AH94" s="0" t="n">
        <f aca="false">N(AH93)+AG94</f>
        <v>2</v>
      </c>
    </row>
    <row r="95" customFormat="false" ht="13.5" hidden="false" customHeight="false" outlineLevel="0" collapsed="false">
      <c r="A95" s="0" t="str">
        <f aca="false">IF(((进销存对接!$D95="客户应收")+(进销存对接!$D95="成品销售款")+(进销存对接!$D95="公司购买果品款")+(进销存对接!$D95="筐子销售款")+(进销存对接!$D95="物料销售款"))&gt;0,进销存对接!$C95,"")</f>
        <v/>
      </c>
      <c r="B95" s="0" t="n">
        <f aca="false">IF(A95="",0,IF(MATCH(A95,$A$4:$A$1925,0)=ROW()-3,1,0))</f>
        <v>0</v>
      </c>
      <c r="C95" s="0" t="n">
        <f aca="false">N(C94)+B95</f>
        <v>6</v>
      </c>
      <c r="E95" s="0" t="str">
        <f aca="false">IFERROR(INDEX($A$4:$A$1925,MATCH(ROW()-3,$C$4:$C$1925,0)),"")</f>
        <v/>
      </c>
      <c r="G95" s="0" t="n">
        <f aca="false">IF(OR($G$1="",资金日记账!$E88="",资金日记账!$E88&lt;&gt;$G$1),0,IF(NOT(OR(N(资金日记账!$H88)&lt;&gt;0,N(资金日记账!$I88)&lt;&gt;0)),0,IF(资金日记账!$B88="",1,IF(OR(N(资金日记账!$B88)&lt;$H$1,N(资金日记账!$B88)&gt;$I$1),0,1))))</f>
        <v>0</v>
      </c>
      <c r="H95" s="0" t="n">
        <f aca="false">N(H94)+$G95</f>
        <v>3</v>
      </c>
      <c r="I95" s="0" t="str">
        <f aca="false">IF($G95=0,"",IF(资金日记账!$B88=0,"",资金日记账!$B88))</f>
        <v/>
      </c>
      <c r="J95" s="0" t="str">
        <f aca="false">IF($G95=0,"",IF(资金日记账!$D88=0,"",资金日记账!$D88))</f>
        <v/>
      </c>
      <c r="K95" s="0" t="str">
        <f aca="false">IF($G95=0,"",IF(""=0,"",""))</f>
        <v/>
      </c>
      <c r="L95" s="0" t="str">
        <f aca="false">IF($G95=0,"",IF(""=0,"",""))</f>
        <v/>
      </c>
      <c r="M95" s="0" t="str">
        <f aca="false">IF($G95=0,"",IF(""=0,"",""))</f>
        <v/>
      </c>
      <c r="N95" s="0" t="str">
        <f aca="false">IF($G95=0,"",IF(IF(N(资金日记账!$I88)=0,"",-ROUND(N(资金日记账!$I88),2))=0,"",IF(N(资金日记账!$I88)=0,"",-ROUND(N(资金日记账!$I88),2))))</f>
        <v/>
      </c>
      <c r="O95" s="0" t="str">
        <f aca="false">IF($G95=0,"",IF(IF(N(资金日记账!$H88)=0,"",ROUND(N(资金日记账!$H88),2))=0,"",IF(N(资金日记账!$H88)=0,"",ROUND(N(资金日记账!$H88),2))))</f>
        <v/>
      </c>
      <c r="P95" s="0" t="str">
        <f aca="false">IF($G95=0,"",IF(资金日记账!$L88=0,"",资金日记账!$L88))</f>
        <v/>
      </c>
      <c r="T95" s="0" t="str">
        <f aca="false">IF(资金日记账!$G95="","",资金日记账!$G95)</f>
        <v>劳保</v>
      </c>
      <c r="U95" s="0" t="n">
        <f aca="false">IF(T95="",0,IF(MATCH(T95,$T$4:$T$903,0)=ROW()-3,1,0))</f>
        <v>1</v>
      </c>
      <c r="V95" s="0" t="n">
        <f aca="false">N(V94)+U95</f>
        <v>28</v>
      </c>
      <c r="Z95" s="0" t="str">
        <f aca="false">IF(成本费用登记表!$C95="","",成本费用登记表!$C95)</f>
        <v/>
      </c>
      <c r="AA95" s="0" t="n">
        <f aca="false">IF(Z95="",0,IF(MATCH(Z95,$Z$4:$Z$303,0)=ROW()-3,1,0))</f>
        <v>0</v>
      </c>
      <c r="AB95" s="0" t="n">
        <f aca="false">N(AB94)+AA95</f>
        <v>0</v>
      </c>
      <c r="AD95" s="0" t="str">
        <f aca="false">IFERROR(INDEX($Z$4:$Z$303,MATCH(92,$AB$4:$AB$303,0)),"")</f>
        <v/>
      </c>
      <c r="AF95" s="0" t="str">
        <f aca="false">IF(OR(资金日记账!$E95="",N(资金日记账!$H95)=0),"",资金日记账!$E95)</f>
        <v/>
      </c>
      <c r="AG95" s="0" t="n">
        <f aca="false">IF(AF95="",0,IF(MATCH(AF95,$AF$4:$AF$603,0)=ROW()-3,1,0))</f>
        <v>0</v>
      </c>
      <c r="AH95" s="0" t="n">
        <f aca="false">N(AH94)+AG95</f>
        <v>2</v>
      </c>
    </row>
    <row r="96" customFormat="false" ht="13.5" hidden="false" customHeight="false" outlineLevel="0" collapsed="false">
      <c r="A96" s="0" t="str">
        <f aca="false">IF(((进销存对接!$D96="客户应收")+(进销存对接!$D96="成品销售款")+(进销存对接!$D96="公司购买果品款")+(进销存对接!$D96="筐子销售款")+(进销存对接!$D96="物料销售款"))&gt;0,进销存对接!$C96,"")</f>
        <v/>
      </c>
      <c r="B96" s="0" t="n">
        <f aca="false">IF(A96="",0,IF(MATCH(A96,$A$4:$A$1925,0)=ROW()-3,1,0))</f>
        <v>0</v>
      </c>
      <c r="C96" s="0" t="n">
        <f aca="false">N(C95)+B96</f>
        <v>6</v>
      </c>
      <c r="E96" s="0" t="str">
        <f aca="false">IFERROR(INDEX($A$4:$A$1925,MATCH(ROW()-3,$C$4:$C$1925,0)),"")</f>
        <v/>
      </c>
      <c r="G96" s="0" t="n">
        <f aca="false">IF(OR($G$1="",资金日记账!$E89="",资金日记账!$E89&lt;&gt;$G$1),0,IF(NOT(OR(N(资金日记账!$H89)&lt;&gt;0,N(资金日记账!$I89)&lt;&gt;0)),0,IF(资金日记账!$B89="",1,IF(OR(N(资金日记账!$B89)&lt;$H$1,N(资金日记账!$B89)&gt;$I$1),0,1))))</f>
        <v>0</v>
      </c>
      <c r="H96" s="0" t="n">
        <f aca="false">N(H95)+$G96</f>
        <v>3</v>
      </c>
      <c r="I96" s="0" t="str">
        <f aca="false">IF($G96=0,"",IF(资金日记账!$B89=0,"",资金日记账!$B89))</f>
        <v/>
      </c>
      <c r="J96" s="0" t="str">
        <f aca="false">IF($G96=0,"",IF(资金日记账!$D89=0,"",资金日记账!$D89))</f>
        <v/>
      </c>
      <c r="K96" s="0" t="str">
        <f aca="false">IF($G96=0,"",IF(""=0,"",""))</f>
        <v/>
      </c>
      <c r="L96" s="0" t="str">
        <f aca="false">IF($G96=0,"",IF(""=0,"",""))</f>
        <v/>
      </c>
      <c r="M96" s="0" t="str">
        <f aca="false">IF($G96=0,"",IF(""=0,"",""))</f>
        <v/>
      </c>
      <c r="N96" s="0" t="str">
        <f aca="false">IF($G96=0,"",IF(IF(N(资金日记账!$I89)=0,"",-ROUND(N(资金日记账!$I89),2))=0,"",IF(N(资金日记账!$I89)=0,"",-ROUND(N(资金日记账!$I89),2))))</f>
        <v/>
      </c>
      <c r="O96" s="0" t="str">
        <f aca="false">IF($G96=0,"",IF(IF(N(资金日记账!$H89)=0,"",ROUND(N(资金日记账!$H89),2))=0,"",IF(N(资金日记账!$H89)=0,"",ROUND(N(资金日记账!$H89),2))))</f>
        <v/>
      </c>
      <c r="P96" s="0" t="str">
        <f aca="false">IF($G96=0,"",IF(资金日记账!$L89=0,"",资金日记账!$L89))</f>
        <v/>
      </c>
      <c r="T96" s="0" t="str">
        <f aca="false">IF(资金日记账!$G96="","",资金日记账!$G96)</f>
        <v/>
      </c>
      <c r="U96" s="0" t="n">
        <f aca="false">IF(T96="",0,IF(MATCH(T96,$T$4:$T$903,0)=ROW()-3,1,0))</f>
        <v>0</v>
      </c>
      <c r="V96" s="0" t="n">
        <f aca="false">N(V95)+U96</f>
        <v>28</v>
      </c>
      <c r="Z96" s="0" t="str">
        <f aca="false">IF(成本费用登记表!$C96="","",成本费用登记表!$C96)</f>
        <v/>
      </c>
      <c r="AA96" s="0" t="n">
        <f aca="false">IF(Z96="",0,IF(MATCH(Z96,$Z$4:$Z$303,0)=ROW()-3,1,0))</f>
        <v>0</v>
      </c>
      <c r="AB96" s="0" t="n">
        <f aca="false">N(AB95)+AA96</f>
        <v>0</v>
      </c>
      <c r="AD96" s="0" t="str">
        <f aca="false">IFERROR(INDEX($Z$4:$Z$303,MATCH(93,$AB$4:$AB$303,0)),"")</f>
        <v/>
      </c>
      <c r="AF96" s="0" t="str">
        <f aca="false">IF(OR(资金日记账!$E96="",N(资金日记账!$H96)=0),"",资金日记账!$E96)</f>
        <v>贾建国</v>
      </c>
      <c r="AG96" s="0" t="n">
        <f aca="false">IF(AF96="",0,IF(MATCH(AF96,$AF$4:$AF$603,0)=ROW()-3,1,0))</f>
        <v>1</v>
      </c>
      <c r="AH96" s="0" t="n">
        <f aca="false">N(AH95)+AG96</f>
        <v>3</v>
      </c>
    </row>
    <row r="97" customFormat="false" ht="13.5" hidden="false" customHeight="false" outlineLevel="0" collapsed="false">
      <c r="A97" s="0" t="str">
        <f aca="false">IF(((进销存对接!$D97="客户应收")+(进销存对接!$D97="成品销售款")+(进销存对接!$D97="公司购买果品款")+(进销存对接!$D97="筐子销售款")+(进销存对接!$D97="物料销售款"))&gt;0,进销存对接!$C97,"")</f>
        <v/>
      </c>
      <c r="B97" s="0" t="n">
        <f aca="false">IF(A97="",0,IF(MATCH(A97,$A$4:$A$1925,0)=ROW()-3,1,0))</f>
        <v>0</v>
      </c>
      <c r="C97" s="0" t="n">
        <f aca="false">N(C96)+B97</f>
        <v>6</v>
      </c>
      <c r="E97" s="0" t="str">
        <f aca="false">IFERROR(INDEX($A$4:$A$1925,MATCH(ROW()-3,$C$4:$C$1925,0)),"")</f>
        <v/>
      </c>
      <c r="G97" s="0" t="n">
        <f aca="false">IF(OR($G$1="",资金日记账!$E90="",资金日记账!$E90&lt;&gt;$G$1),0,IF(NOT(OR(N(资金日记账!$H90)&lt;&gt;0,N(资金日记账!$I90)&lt;&gt;0)),0,IF(资金日记账!$B90="",1,IF(OR(N(资金日记账!$B90)&lt;$H$1,N(资金日记账!$B90)&gt;$I$1),0,1))))</f>
        <v>0</v>
      </c>
      <c r="H97" s="0" t="n">
        <f aca="false">N(H96)+$G97</f>
        <v>3</v>
      </c>
      <c r="I97" s="0" t="str">
        <f aca="false">IF($G97=0,"",IF(资金日记账!$B90=0,"",资金日记账!$B90))</f>
        <v/>
      </c>
      <c r="J97" s="0" t="str">
        <f aca="false">IF($G97=0,"",IF(资金日记账!$D90=0,"",资金日记账!$D90))</f>
        <v/>
      </c>
      <c r="K97" s="0" t="str">
        <f aca="false">IF($G97=0,"",IF(""=0,"",""))</f>
        <v/>
      </c>
      <c r="L97" s="0" t="str">
        <f aca="false">IF($G97=0,"",IF(""=0,"",""))</f>
        <v/>
      </c>
      <c r="M97" s="0" t="str">
        <f aca="false">IF($G97=0,"",IF(""=0,"",""))</f>
        <v/>
      </c>
      <c r="N97" s="0" t="str">
        <f aca="false">IF($G97=0,"",IF(IF(N(资金日记账!$I90)=0,"",-ROUND(N(资金日记账!$I90),2))=0,"",IF(N(资金日记账!$I90)=0,"",-ROUND(N(资金日记账!$I90),2))))</f>
        <v/>
      </c>
      <c r="O97" s="0" t="str">
        <f aca="false">IF($G97=0,"",IF(IF(N(资金日记账!$H90)=0,"",ROUND(N(资金日记账!$H90),2))=0,"",IF(N(资金日记账!$H90)=0,"",ROUND(N(资金日记账!$H90),2))))</f>
        <v/>
      </c>
      <c r="P97" s="0" t="str">
        <f aca="false">IF($G97=0,"",IF(资金日记账!$L90=0,"",资金日记账!$L90))</f>
        <v/>
      </c>
      <c r="T97" s="0" t="str">
        <f aca="false">IF(资金日记账!$G97="","",资金日记账!$G97)</f>
        <v/>
      </c>
      <c r="U97" s="0" t="n">
        <f aca="false">IF(T97="",0,IF(MATCH(T97,$T$4:$T$903,0)=ROW()-3,1,0))</f>
        <v>0</v>
      </c>
      <c r="V97" s="0" t="n">
        <f aca="false">N(V96)+U97</f>
        <v>28</v>
      </c>
      <c r="Z97" s="0" t="str">
        <f aca="false">IF(成本费用登记表!$C97="","",成本费用登记表!$C97)</f>
        <v/>
      </c>
      <c r="AA97" s="0" t="n">
        <f aca="false">IF(Z97="",0,IF(MATCH(Z97,$Z$4:$Z$303,0)=ROW()-3,1,0))</f>
        <v>0</v>
      </c>
      <c r="AB97" s="0" t="n">
        <f aca="false">N(AB96)+AA97</f>
        <v>0</v>
      </c>
      <c r="AD97" s="0" t="str">
        <f aca="false">IFERROR(INDEX($Z$4:$Z$303,MATCH(94,$AB$4:$AB$303,0)),"")</f>
        <v/>
      </c>
      <c r="AF97" s="0" t="str">
        <f aca="false">IF(OR(资金日记账!$E97="",N(资金日记账!$H97)=0),"",资金日记账!$E97)</f>
        <v/>
      </c>
      <c r="AG97" s="0" t="n">
        <f aca="false">IF(AF97="",0,IF(MATCH(AF97,$AF$4:$AF$603,0)=ROW()-3,1,0))</f>
        <v>0</v>
      </c>
      <c r="AH97" s="0" t="n">
        <f aca="false">N(AH96)+AG97</f>
        <v>3</v>
      </c>
    </row>
    <row r="98" customFormat="false" ht="13.5" hidden="false" customHeight="false" outlineLevel="0" collapsed="false">
      <c r="A98" s="0" t="str">
        <f aca="false">IF(((进销存对接!$D98="客户应收")+(进销存对接!$D98="成品销售款")+(进销存对接!$D98="公司购买果品款")+(进销存对接!$D98="筐子销售款")+(进销存对接!$D98="物料销售款"))&gt;0,进销存对接!$C98,"")</f>
        <v/>
      </c>
      <c r="B98" s="0" t="n">
        <f aca="false">IF(A98="",0,IF(MATCH(A98,$A$4:$A$1925,0)=ROW()-3,1,0))</f>
        <v>0</v>
      </c>
      <c r="C98" s="0" t="n">
        <f aca="false">N(C97)+B98</f>
        <v>6</v>
      </c>
      <c r="E98" s="0" t="str">
        <f aca="false">IFERROR(INDEX($A$4:$A$1925,MATCH(ROW()-3,$C$4:$C$1925,0)),"")</f>
        <v/>
      </c>
      <c r="G98" s="0" t="n">
        <f aca="false">IF(OR($G$1="",资金日记账!$E91="",资金日记账!$E91&lt;&gt;$G$1),0,IF(NOT(OR(N(资金日记账!$H91)&lt;&gt;0,N(资金日记账!$I91)&lt;&gt;0)),0,IF(资金日记账!$B91="",1,IF(OR(N(资金日记账!$B91)&lt;$H$1,N(资金日记账!$B91)&gt;$I$1),0,1))))</f>
        <v>0</v>
      </c>
      <c r="H98" s="0" t="n">
        <f aca="false">N(H97)+$G98</f>
        <v>3</v>
      </c>
      <c r="I98" s="0" t="str">
        <f aca="false">IF($G98=0,"",IF(资金日记账!$B91=0,"",资金日记账!$B91))</f>
        <v/>
      </c>
      <c r="J98" s="0" t="str">
        <f aca="false">IF($G98=0,"",IF(资金日记账!$D91=0,"",资金日记账!$D91))</f>
        <v/>
      </c>
      <c r="K98" s="0" t="str">
        <f aca="false">IF($G98=0,"",IF(""=0,"",""))</f>
        <v/>
      </c>
      <c r="L98" s="0" t="str">
        <f aca="false">IF($G98=0,"",IF(""=0,"",""))</f>
        <v/>
      </c>
      <c r="M98" s="0" t="str">
        <f aca="false">IF($G98=0,"",IF(""=0,"",""))</f>
        <v/>
      </c>
      <c r="N98" s="0" t="str">
        <f aca="false">IF($G98=0,"",IF(IF(N(资金日记账!$I91)=0,"",-ROUND(N(资金日记账!$I91),2))=0,"",IF(N(资金日记账!$I91)=0,"",-ROUND(N(资金日记账!$I91),2))))</f>
        <v/>
      </c>
      <c r="O98" s="0" t="str">
        <f aca="false">IF($G98=0,"",IF(IF(N(资金日记账!$H91)=0,"",ROUND(N(资金日记账!$H91),2))=0,"",IF(N(资金日记账!$H91)=0,"",ROUND(N(资金日记账!$H91),2))))</f>
        <v/>
      </c>
      <c r="P98" s="0" t="str">
        <f aca="false">IF($G98=0,"",IF(资金日记账!$L91=0,"",资金日记账!$L91))</f>
        <v/>
      </c>
      <c r="T98" s="0" t="str">
        <f aca="false">IF(资金日记账!$G98="","",资金日记账!$G98)</f>
        <v/>
      </c>
      <c r="U98" s="0" t="n">
        <f aca="false">IF(T98="",0,IF(MATCH(T98,$T$4:$T$903,0)=ROW()-3,1,0))</f>
        <v>0</v>
      </c>
      <c r="V98" s="0" t="n">
        <f aca="false">N(V97)+U98</f>
        <v>28</v>
      </c>
      <c r="Z98" s="0" t="str">
        <f aca="false">IF(成本费用登记表!$C98="","",成本费用登记表!$C98)</f>
        <v/>
      </c>
      <c r="AA98" s="0" t="n">
        <f aca="false">IF(Z98="",0,IF(MATCH(Z98,$Z$4:$Z$303,0)=ROW()-3,1,0))</f>
        <v>0</v>
      </c>
      <c r="AB98" s="0" t="n">
        <f aca="false">N(AB97)+AA98</f>
        <v>0</v>
      </c>
      <c r="AD98" s="0" t="str">
        <f aca="false">IFERROR(INDEX($Z$4:$Z$303,MATCH(95,$AB$4:$AB$303,0)),"")</f>
        <v/>
      </c>
      <c r="AF98" s="0" t="str">
        <f aca="false">IF(OR(资金日记账!$E98="",N(资金日记账!$H98)=0),"",资金日记账!$E98)</f>
        <v/>
      </c>
      <c r="AG98" s="0" t="n">
        <f aca="false">IF(AF98="",0,IF(MATCH(AF98,$AF$4:$AF$603,0)=ROW()-3,1,0))</f>
        <v>0</v>
      </c>
      <c r="AH98" s="0" t="n">
        <f aca="false">N(AH97)+AG98</f>
        <v>3</v>
      </c>
    </row>
    <row r="99" customFormat="false" ht="13.5" hidden="false" customHeight="false" outlineLevel="0" collapsed="false">
      <c r="A99" s="0" t="str">
        <f aca="false">IF(((进销存对接!$D99="客户应收")+(进销存对接!$D99="成品销售款")+(进销存对接!$D99="公司购买果品款")+(进销存对接!$D99="筐子销售款")+(进销存对接!$D99="物料销售款"))&gt;0,进销存对接!$C99,"")</f>
        <v/>
      </c>
      <c r="B99" s="0" t="n">
        <f aca="false">IF(A99="",0,IF(MATCH(A99,$A$4:$A$1925,0)=ROW()-3,1,0))</f>
        <v>0</v>
      </c>
      <c r="C99" s="0" t="n">
        <f aca="false">N(C98)+B99</f>
        <v>6</v>
      </c>
      <c r="E99" s="0" t="str">
        <f aca="false">IFERROR(INDEX($A$4:$A$1925,MATCH(ROW()-3,$C$4:$C$1925,0)),"")</f>
        <v/>
      </c>
      <c r="G99" s="0" t="n">
        <f aca="false">IF(OR($G$1="",资金日记账!$E92="",资金日记账!$E92&lt;&gt;$G$1),0,IF(NOT(OR(N(资金日记账!$H92)&lt;&gt;0,N(资金日记账!$I92)&lt;&gt;0)),0,IF(资金日记账!$B92="",1,IF(OR(N(资金日记账!$B92)&lt;$H$1,N(资金日记账!$B92)&gt;$I$1),0,1))))</f>
        <v>0</v>
      </c>
      <c r="H99" s="0" t="n">
        <f aca="false">N(H98)+$G99</f>
        <v>3</v>
      </c>
      <c r="I99" s="0" t="str">
        <f aca="false">IF($G99=0,"",IF(资金日记账!$B92=0,"",资金日记账!$B92))</f>
        <v/>
      </c>
      <c r="J99" s="0" t="str">
        <f aca="false">IF($G99=0,"",IF(资金日记账!$D92=0,"",资金日记账!$D92))</f>
        <v/>
      </c>
      <c r="K99" s="0" t="str">
        <f aca="false">IF($G99=0,"",IF(""=0,"",""))</f>
        <v/>
      </c>
      <c r="L99" s="0" t="str">
        <f aca="false">IF($G99=0,"",IF(""=0,"",""))</f>
        <v/>
      </c>
      <c r="M99" s="0" t="str">
        <f aca="false">IF($G99=0,"",IF(""=0,"",""))</f>
        <v/>
      </c>
      <c r="N99" s="0" t="str">
        <f aca="false">IF($G99=0,"",IF(IF(N(资金日记账!$I92)=0,"",-ROUND(N(资金日记账!$I92),2))=0,"",IF(N(资金日记账!$I92)=0,"",-ROUND(N(资金日记账!$I92),2))))</f>
        <v/>
      </c>
      <c r="O99" s="0" t="str">
        <f aca="false">IF($G99=0,"",IF(IF(N(资金日记账!$H92)=0,"",ROUND(N(资金日记账!$H92),2))=0,"",IF(N(资金日记账!$H92)=0,"",ROUND(N(资金日记账!$H92),2))))</f>
        <v/>
      </c>
      <c r="P99" s="0" t="str">
        <f aca="false">IF($G99=0,"",IF(资金日记账!$L92=0,"",资金日记账!$L92))</f>
        <v/>
      </c>
      <c r="T99" s="0" t="str">
        <f aca="false">IF(资金日记账!$G99="","",资金日记账!$G99)</f>
        <v/>
      </c>
      <c r="U99" s="0" t="n">
        <f aca="false">IF(T99="",0,IF(MATCH(T99,$T$4:$T$903,0)=ROW()-3,1,0))</f>
        <v>0</v>
      </c>
      <c r="V99" s="0" t="n">
        <f aca="false">N(V98)+U99</f>
        <v>28</v>
      </c>
      <c r="Z99" s="0" t="str">
        <f aca="false">IF(成本费用登记表!$C99="","",成本费用登记表!$C99)</f>
        <v/>
      </c>
      <c r="AA99" s="0" t="n">
        <f aca="false">IF(Z99="",0,IF(MATCH(Z99,$Z$4:$Z$303,0)=ROW()-3,1,0))</f>
        <v>0</v>
      </c>
      <c r="AB99" s="0" t="n">
        <f aca="false">N(AB98)+AA99</f>
        <v>0</v>
      </c>
      <c r="AD99" s="0" t="str">
        <f aca="false">IFERROR(INDEX($Z$4:$Z$303,MATCH(96,$AB$4:$AB$303,0)),"")</f>
        <v/>
      </c>
      <c r="AF99" s="0" t="str">
        <f aca="false">IF(OR(资金日记账!$E99="",N(资金日记账!$H99)=0),"",资金日记账!$E99)</f>
        <v>王灵云</v>
      </c>
      <c r="AG99" s="0" t="n">
        <f aca="false">IF(AF99="",0,IF(MATCH(AF99,$AF$4:$AF$603,0)=ROW()-3,1,0))</f>
        <v>1</v>
      </c>
      <c r="AH99" s="0" t="n">
        <f aca="false">N(AH98)+AG99</f>
        <v>4</v>
      </c>
    </row>
    <row r="100" customFormat="false" ht="13.5" hidden="false" customHeight="false" outlineLevel="0" collapsed="false">
      <c r="A100" s="0" t="str">
        <f aca="false">IF(((进销存对接!$D100="客户应收")+(进销存对接!$D100="成品销售款")+(进销存对接!$D100="公司购买果品款")+(进销存对接!$D100="筐子销售款")+(进销存对接!$D100="物料销售款"))&gt;0,进销存对接!$C100,"")</f>
        <v/>
      </c>
      <c r="B100" s="0" t="n">
        <f aca="false">IF(A100="",0,IF(MATCH(A100,$A$4:$A$1925,0)=ROW()-3,1,0))</f>
        <v>0</v>
      </c>
      <c r="C100" s="0" t="n">
        <f aca="false">N(C99)+B100</f>
        <v>6</v>
      </c>
      <c r="E100" s="0" t="str">
        <f aca="false">IFERROR(INDEX($A$4:$A$1925,MATCH(ROW()-3,$C$4:$C$1925,0)),"")</f>
        <v/>
      </c>
      <c r="G100" s="0" t="n">
        <f aca="false">IF(OR($G$1="",资金日记账!$E93="",资金日记账!$E93&lt;&gt;$G$1),0,IF(NOT(OR(N(资金日记账!$H93)&lt;&gt;0,N(资金日记账!$I93)&lt;&gt;0)),0,IF(资金日记账!$B93="",1,IF(OR(N(资金日记账!$B93)&lt;$H$1,N(资金日记账!$B93)&gt;$I$1),0,1))))</f>
        <v>0</v>
      </c>
      <c r="H100" s="0" t="n">
        <f aca="false">N(H99)+$G100</f>
        <v>3</v>
      </c>
      <c r="I100" s="0" t="str">
        <f aca="false">IF($G100=0,"",IF(资金日记账!$B93=0,"",资金日记账!$B93))</f>
        <v/>
      </c>
      <c r="J100" s="0" t="str">
        <f aca="false">IF($G100=0,"",IF(资金日记账!$D93=0,"",资金日记账!$D93))</f>
        <v/>
      </c>
      <c r="K100" s="0" t="str">
        <f aca="false">IF($G100=0,"",IF(""=0,"",""))</f>
        <v/>
      </c>
      <c r="L100" s="0" t="str">
        <f aca="false">IF($G100=0,"",IF(""=0,"",""))</f>
        <v/>
      </c>
      <c r="M100" s="0" t="str">
        <f aca="false">IF($G100=0,"",IF(""=0,"",""))</f>
        <v/>
      </c>
      <c r="N100" s="0" t="str">
        <f aca="false">IF($G100=0,"",IF(IF(N(资金日记账!$I93)=0,"",-ROUND(N(资金日记账!$I93),2))=0,"",IF(N(资金日记账!$I93)=0,"",-ROUND(N(资金日记账!$I93),2))))</f>
        <v/>
      </c>
      <c r="O100" s="0" t="str">
        <f aca="false">IF($G100=0,"",IF(IF(N(资金日记账!$H93)=0,"",ROUND(N(资金日记账!$H93),2))=0,"",IF(N(资金日记账!$H93)=0,"",ROUND(N(资金日记账!$H93),2))))</f>
        <v/>
      </c>
      <c r="P100" s="0" t="str">
        <f aca="false">IF($G100=0,"",IF(资金日记账!$L93=0,"",资金日记账!$L93))</f>
        <v/>
      </c>
      <c r="T100" s="0" t="str">
        <f aca="false">IF(资金日记账!$G100="","",资金日记账!$G100)</f>
        <v/>
      </c>
      <c r="U100" s="0" t="n">
        <f aca="false">IF(T100="",0,IF(MATCH(T100,$T$4:$T$903,0)=ROW()-3,1,0))</f>
        <v>0</v>
      </c>
      <c r="V100" s="0" t="n">
        <f aca="false">N(V99)+U100</f>
        <v>28</v>
      </c>
      <c r="Z100" s="0" t="str">
        <f aca="false">IF(成本费用登记表!$C100="","",成本费用登记表!$C100)</f>
        <v/>
      </c>
      <c r="AA100" s="0" t="n">
        <f aca="false">IF(Z100="",0,IF(MATCH(Z100,$Z$4:$Z$303,0)=ROW()-3,1,0))</f>
        <v>0</v>
      </c>
      <c r="AB100" s="0" t="n">
        <f aca="false">N(AB99)+AA100</f>
        <v>0</v>
      </c>
      <c r="AD100" s="0" t="str">
        <f aca="false">IFERROR(INDEX($Z$4:$Z$303,MATCH(97,$AB$4:$AB$303,0)),"")</f>
        <v/>
      </c>
      <c r="AF100" s="0" t="str">
        <f aca="false">IF(OR(资金日记账!$E100="",N(资金日记账!$H100)=0),"",资金日记账!$E100)</f>
        <v/>
      </c>
      <c r="AG100" s="0" t="n">
        <f aca="false">IF(AF100="",0,IF(MATCH(AF100,$AF$4:$AF$603,0)=ROW()-3,1,0))</f>
        <v>0</v>
      </c>
      <c r="AH100" s="0" t="n">
        <f aca="false">N(AH99)+AG100</f>
        <v>4</v>
      </c>
    </row>
    <row r="101" customFormat="false" ht="13.5" hidden="false" customHeight="false" outlineLevel="0" collapsed="false">
      <c r="A101" s="0" t="str">
        <f aca="false">IF(((进销存对接!$D101="客户应收")+(进销存对接!$D101="成品销售款")+(进销存对接!$D101="公司购买果品款")+(进销存对接!$D101="筐子销售款")+(进销存对接!$D101="物料销售款"))&gt;0,进销存对接!$C101,"")</f>
        <v/>
      </c>
      <c r="B101" s="0" t="n">
        <f aca="false">IF(A101="",0,IF(MATCH(A101,$A$4:$A$1925,0)=ROW()-3,1,0))</f>
        <v>0</v>
      </c>
      <c r="C101" s="0" t="n">
        <f aca="false">N(C100)+B101</f>
        <v>6</v>
      </c>
      <c r="E101" s="0" t="str">
        <f aca="false">IFERROR(INDEX($A$4:$A$1925,MATCH(ROW()-3,$C$4:$C$1925,0)),"")</f>
        <v/>
      </c>
      <c r="G101" s="0" t="n">
        <f aca="false">IF(OR($G$1="",资金日记账!$E94="",资金日记账!$E94&lt;&gt;$G$1),0,IF(NOT(OR(N(资金日记账!$H94)&lt;&gt;0,N(资金日记账!$I94)&lt;&gt;0)),0,IF(资金日记账!$B94="",1,IF(OR(N(资金日记账!$B94)&lt;$H$1,N(资金日记账!$B94)&gt;$I$1),0,1))))</f>
        <v>0</v>
      </c>
      <c r="H101" s="0" t="n">
        <f aca="false">N(H100)+$G101</f>
        <v>3</v>
      </c>
      <c r="I101" s="0" t="str">
        <f aca="false">IF($G101=0,"",IF(资金日记账!$B94=0,"",资金日记账!$B94))</f>
        <v/>
      </c>
      <c r="J101" s="0" t="str">
        <f aca="false">IF($G101=0,"",IF(资金日记账!$D94=0,"",资金日记账!$D94))</f>
        <v/>
      </c>
      <c r="K101" s="0" t="str">
        <f aca="false">IF($G101=0,"",IF(""=0,"",""))</f>
        <v/>
      </c>
      <c r="L101" s="0" t="str">
        <f aca="false">IF($G101=0,"",IF(""=0,"",""))</f>
        <v/>
      </c>
      <c r="M101" s="0" t="str">
        <f aca="false">IF($G101=0,"",IF(""=0,"",""))</f>
        <v/>
      </c>
      <c r="N101" s="0" t="str">
        <f aca="false">IF($G101=0,"",IF(IF(N(资金日记账!$I94)=0,"",-ROUND(N(资金日记账!$I94),2))=0,"",IF(N(资金日记账!$I94)=0,"",-ROUND(N(资金日记账!$I94),2))))</f>
        <v/>
      </c>
      <c r="O101" s="0" t="str">
        <f aca="false">IF($G101=0,"",IF(IF(N(资金日记账!$H94)=0,"",ROUND(N(资金日记账!$H94),2))=0,"",IF(N(资金日记账!$H94)=0,"",ROUND(N(资金日记账!$H94),2))))</f>
        <v/>
      </c>
      <c r="P101" s="0" t="str">
        <f aca="false">IF($G101=0,"",IF(资金日记账!$L94=0,"",资金日记账!$L94))</f>
        <v/>
      </c>
      <c r="T101" s="0" t="str">
        <f aca="false">IF(资金日记账!$G101="","",资金日记账!$G101)</f>
        <v/>
      </c>
      <c r="U101" s="0" t="n">
        <f aca="false">IF(T101="",0,IF(MATCH(T101,$T$4:$T$903,0)=ROW()-3,1,0))</f>
        <v>0</v>
      </c>
      <c r="V101" s="0" t="n">
        <f aca="false">N(V100)+U101</f>
        <v>28</v>
      </c>
      <c r="Z101" s="0" t="str">
        <f aca="false">IF(成本费用登记表!$C101="","",成本费用登记表!$C101)</f>
        <v/>
      </c>
      <c r="AA101" s="0" t="n">
        <f aca="false">IF(Z101="",0,IF(MATCH(Z101,$Z$4:$Z$303,0)=ROW()-3,1,0))</f>
        <v>0</v>
      </c>
      <c r="AB101" s="0" t="n">
        <f aca="false">N(AB100)+AA101</f>
        <v>0</v>
      </c>
      <c r="AD101" s="0" t="str">
        <f aca="false">IFERROR(INDEX($Z$4:$Z$303,MATCH(98,$AB$4:$AB$303,0)),"")</f>
        <v/>
      </c>
      <c r="AF101" s="0" t="str">
        <f aca="false">IF(OR(资金日记账!$E101="",N(资金日记账!$H101)=0),"",资金日记账!$E101)</f>
        <v/>
      </c>
      <c r="AG101" s="0" t="n">
        <f aca="false">IF(AF101="",0,IF(MATCH(AF101,$AF$4:$AF$603,0)=ROW()-3,1,0))</f>
        <v>0</v>
      </c>
      <c r="AH101" s="0" t="n">
        <f aca="false">N(AH100)+AG101</f>
        <v>4</v>
      </c>
    </row>
    <row r="102" customFormat="false" ht="13.5" hidden="false" customHeight="false" outlineLevel="0" collapsed="false">
      <c r="A102" s="0" t="str">
        <f aca="false">IF(((进销存对接!$D102="客户应收")+(进销存对接!$D102="成品销售款")+(进销存对接!$D102="公司购买果品款")+(进销存对接!$D102="筐子销售款")+(进销存对接!$D102="物料销售款"))&gt;0,进销存对接!$C102,"")</f>
        <v/>
      </c>
      <c r="B102" s="0" t="n">
        <f aca="false">IF(A102="",0,IF(MATCH(A102,$A$4:$A$1925,0)=ROW()-3,1,0))</f>
        <v>0</v>
      </c>
      <c r="C102" s="0" t="n">
        <f aca="false">N(C101)+B102</f>
        <v>6</v>
      </c>
      <c r="E102" s="0" t="str">
        <f aca="false">IFERROR(INDEX($A$4:$A$1925,MATCH(ROW()-3,$C$4:$C$1925,0)),"")</f>
        <v/>
      </c>
      <c r="G102" s="0" t="n">
        <f aca="false">IF(OR($G$1="",资金日记账!$E95="",资金日记账!$E95&lt;&gt;$G$1),0,IF(NOT(OR(N(资金日记账!$H95)&lt;&gt;0,N(资金日记账!$I95)&lt;&gt;0)),0,IF(资金日记账!$B95="",1,IF(OR(N(资金日记账!$B95)&lt;$H$1,N(资金日记账!$B95)&gt;$I$1),0,1))))</f>
        <v>0</v>
      </c>
      <c r="H102" s="0" t="n">
        <f aca="false">N(H101)+$G102</f>
        <v>3</v>
      </c>
      <c r="I102" s="0" t="str">
        <f aca="false">IF($G102=0,"",IF(资金日记账!$B95=0,"",资金日记账!$B95))</f>
        <v/>
      </c>
      <c r="J102" s="0" t="str">
        <f aca="false">IF($G102=0,"",IF(资金日记账!$D95=0,"",资金日记账!$D95))</f>
        <v/>
      </c>
      <c r="K102" s="0" t="str">
        <f aca="false">IF($G102=0,"",IF(""=0,"",""))</f>
        <v/>
      </c>
      <c r="L102" s="0" t="str">
        <f aca="false">IF($G102=0,"",IF(""=0,"",""))</f>
        <v/>
      </c>
      <c r="M102" s="0" t="str">
        <f aca="false">IF($G102=0,"",IF(""=0,"",""))</f>
        <v/>
      </c>
      <c r="N102" s="0" t="str">
        <f aca="false">IF($G102=0,"",IF(IF(N(资金日记账!$I95)=0,"",-ROUND(N(资金日记账!$I95),2))=0,"",IF(N(资金日记账!$I95)=0,"",-ROUND(N(资金日记账!$I95),2))))</f>
        <v/>
      </c>
      <c r="O102" s="0" t="str">
        <f aca="false">IF($G102=0,"",IF(IF(N(资金日记账!$H95)=0,"",ROUND(N(资金日记账!$H95),2))=0,"",IF(N(资金日记账!$H95)=0,"",ROUND(N(资金日记账!$H95),2))))</f>
        <v/>
      </c>
      <c r="P102" s="0" t="str">
        <f aca="false">IF($G102=0,"",IF(资金日记账!$L95=0,"",资金日记账!$L95))</f>
        <v/>
      </c>
      <c r="T102" s="0" t="str">
        <f aca="false">IF(资金日记账!$G102="","",资金日记账!$G102)</f>
        <v>厨房吃</v>
      </c>
      <c r="U102" s="0" t="n">
        <f aca="false">IF(T102="",0,IF(MATCH(T102,$T$4:$T$903,0)=ROW()-3,1,0))</f>
        <v>0</v>
      </c>
      <c r="V102" s="0" t="n">
        <f aca="false">N(V101)+U102</f>
        <v>28</v>
      </c>
      <c r="Z102" s="0" t="str">
        <f aca="false">IF(成本费用登记表!$C102="","",成本费用登记表!$C102)</f>
        <v/>
      </c>
      <c r="AA102" s="0" t="n">
        <f aca="false">IF(Z102="",0,IF(MATCH(Z102,$Z$4:$Z$303,0)=ROW()-3,1,0))</f>
        <v>0</v>
      </c>
      <c r="AB102" s="0" t="n">
        <f aca="false">N(AB101)+AA102</f>
        <v>0</v>
      </c>
      <c r="AD102" s="0" t="str">
        <f aca="false">IFERROR(INDEX($Z$4:$Z$303,MATCH(99,$AB$4:$AB$303,0)),"")</f>
        <v/>
      </c>
      <c r="AF102" s="0" t="str">
        <f aca="false">IF(OR(资金日记账!$E102="",N(资金日记账!$H102)=0),"",资金日记账!$E102)</f>
        <v/>
      </c>
      <c r="AG102" s="0" t="n">
        <f aca="false">IF(AF102="",0,IF(MATCH(AF102,$AF$4:$AF$603,0)=ROW()-3,1,0))</f>
        <v>0</v>
      </c>
      <c r="AH102" s="0" t="n">
        <f aca="false">N(AH101)+AG102</f>
        <v>4</v>
      </c>
    </row>
    <row r="103" customFormat="false" ht="13.5" hidden="false" customHeight="false" outlineLevel="0" collapsed="false">
      <c r="A103" s="0" t="str">
        <f aca="false">IF(((进销存对接!$D103="客户应收")+(进销存对接!$D103="成品销售款")+(进销存对接!$D103="公司购买果品款")+(进销存对接!$D103="筐子销售款")+(进销存对接!$D103="物料销售款"))&gt;0,进销存对接!$C103,"")</f>
        <v/>
      </c>
      <c r="B103" s="0" t="n">
        <f aca="false">IF(A103="",0,IF(MATCH(A103,$A$4:$A$1925,0)=ROW()-3,1,0))</f>
        <v>0</v>
      </c>
      <c r="C103" s="0" t="n">
        <f aca="false">N(C102)+B103</f>
        <v>6</v>
      </c>
      <c r="E103" s="0" t="str">
        <f aca="false">IFERROR(INDEX($A$4:$A$1925,MATCH(ROW()-3,$C$4:$C$1925,0)),"")</f>
        <v/>
      </c>
      <c r="G103" s="0" t="n">
        <f aca="false">IF(OR($G$1="",资金日记账!$E96="",资金日记账!$E96&lt;&gt;$G$1),0,IF(NOT(OR(N(资金日记账!$H96)&lt;&gt;0,N(资金日记账!$I96)&lt;&gt;0)),0,IF(资金日记账!$B96="",1,IF(OR(N(资金日记账!$B96)&lt;$H$1,N(资金日记账!$B96)&gt;$I$1),0,1))))</f>
        <v>0</v>
      </c>
      <c r="H103" s="0" t="n">
        <f aca="false">N(H102)+$G103</f>
        <v>3</v>
      </c>
      <c r="I103" s="0" t="str">
        <f aca="false">IF($G103=0,"",IF(资金日记账!$B96=0,"",资金日记账!$B96))</f>
        <v/>
      </c>
      <c r="J103" s="0" t="str">
        <f aca="false">IF($G103=0,"",IF(资金日记账!$D96=0,"",资金日记账!$D96))</f>
        <v/>
      </c>
      <c r="K103" s="0" t="str">
        <f aca="false">IF($G103=0,"",IF(""=0,"",""))</f>
        <v/>
      </c>
      <c r="L103" s="0" t="str">
        <f aca="false">IF($G103=0,"",IF(""=0,"",""))</f>
        <v/>
      </c>
      <c r="M103" s="0" t="str">
        <f aca="false">IF($G103=0,"",IF(""=0,"",""))</f>
        <v/>
      </c>
      <c r="N103" s="0" t="str">
        <f aca="false">IF($G103=0,"",IF(IF(N(资金日记账!$I96)=0,"",-ROUND(N(资金日记账!$I96),2))=0,"",IF(N(资金日记账!$I96)=0,"",-ROUND(N(资金日记账!$I96),2))))</f>
        <v/>
      </c>
      <c r="O103" s="0" t="str">
        <f aca="false">IF($G103=0,"",IF(IF(N(资金日记账!$H96)=0,"",ROUND(N(资金日记账!$H96),2))=0,"",IF(N(资金日记账!$H96)=0,"",ROUND(N(资金日记账!$H96),2))))</f>
        <v/>
      </c>
      <c r="P103" s="0" t="str">
        <f aca="false">IF($G103=0,"",IF(资金日记账!$L96=0,"",资金日记账!$L96))</f>
        <v/>
      </c>
      <c r="T103" s="0" t="str">
        <f aca="false">IF(资金日记账!$G103="","",资金日记账!$G103)</f>
        <v>人工工资</v>
      </c>
      <c r="U103" s="0" t="n">
        <f aca="false">IF(T103="",0,IF(MATCH(T103,$T$4:$T$903,0)=ROW()-3,1,0))</f>
        <v>0</v>
      </c>
      <c r="V103" s="0" t="n">
        <f aca="false">N(V102)+U103</f>
        <v>28</v>
      </c>
      <c r="Z103" s="0" t="str">
        <f aca="false">IF(成本费用登记表!$C103="","",成本费用登记表!$C103)</f>
        <v/>
      </c>
      <c r="AA103" s="0" t="n">
        <f aca="false">IF(Z103="",0,IF(MATCH(Z103,$Z$4:$Z$303,0)=ROW()-3,1,0))</f>
        <v>0</v>
      </c>
      <c r="AB103" s="0" t="n">
        <f aca="false">N(AB102)+AA103</f>
        <v>0</v>
      </c>
      <c r="AD103" s="0" t="str">
        <f aca="false">IFERROR(INDEX($Z$4:$Z$303,MATCH(100,$AB$4:$AB$303,0)),"")</f>
        <v/>
      </c>
      <c r="AF103" s="0" t="str">
        <f aca="false">IF(OR(资金日记账!$E103="",N(资金日记账!$H103)=0),"",资金日记账!$E103)</f>
        <v/>
      </c>
      <c r="AG103" s="0" t="n">
        <f aca="false">IF(AF103="",0,IF(MATCH(AF103,$AF$4:$AF$603,0)=ROW()-3,1,0))</f>
        <v>0</v>
      </c>
      <c r="AH103" s="0" t="n">
        <f aca="false">N(AH102)+AG103</f>
        <v>4</v>
      </c>
    </row>
    <row r="104" customFormat="false" ht="13.5" hidden="false" customHeight="false" outlineLevel="0" collapsed="false">
      <c r="A104" s="0" t="str">
        <f aca="false">IF(((进销存对接!$D104="客户应收")+(进销存对接!$D104="成品销售款")+(进销存对接!$D104="公司购买果品款")+(进销存对接!$D104="筐子销售款")+(进销存对接!$D104="物料销售款"))&gt;0,进销存对接!$C104,"")</f>
        <v/>
      </c>
      <c r="B104" s="0" t="n">
        <f aca="false">IF(A104="",0,IF(MATCH(A104,$A$4:$A$1925,0)=ROW()-3,1,0))</f>
        <v>0</v>
      </c>
      <c r="C104" s="0" t="n">
        <f aca="false">N(C103)+B104</f>
        <v>6</v>
      </c>
      <c r="E104" s="0" t="str">
        <f aca="false">IFERROR(INDEX($A$4:$A$1925,MATCH(ROW()-3,$C$4:$C$1925,0)),"")</f>
        <v/>
      </c>
      <c r="G104" s="0" t="n">
        <f aca="false">IF(OR($G$1="",资金日记账!$E97="",资金日记账!$E97&lt;&gt;$G$1),0,IF(NOT(OR(N(资金日记账!$H97)&lt;&gt;0,N(资金日记账!$I97)&lt;&gt;0)),0,IF(资金日记账!$B97="",1,IF(OR(N(资金日记账!$B97)&lt;$H$1,N(资金日记账!$B97)&gt;$I$1),0,1))))</f>
        <v>0</v>
      </c>
      <c r="H104" s="0" t="n">
        <f aca="false">N(H103)+$G104</f>
        <v>3</v>
      </c>
      <c r="I104" s="0" t="str">
        <f aca="false">IF($G104=0,"",IF(资金日记账!$B97=0,"",资金日记账!$B97))</f>
        <v/>
      </c>
      <c r="J104" s="0" t="str">
        <f aca="false">IF($G104=0,"",IF(资金日记账!$D97=0,"",资金日记账!$D97))</f>
        <v/>
      </c>
      <c r="K104" s="0" t="str">
        <f aca="false">IF($G104=0,"",IF(""=0,"",""))</f>
        <v/>
      </c>
      <c r="L104" s="0" t="str">
        <f aca="false">IF($G104=0,"",IF(""=0,"",""))</f>
        <v/>
      </c>
      <c r="M104" s="0" t="str">
        <f aca="false">IF($G104=0,"",IF(""=0,"",""))</f>
        <v/>
      </c>
      <c r="N104" s="0" t="str">
        <f aca="false">IF($G104=0,"",IF(IF(N(资金日记账!$I97)=0,"",-ROUND(N(资金日记账!$I97),2))=0,"",IF(N(资金日记账!$I97)=0,"",-ROUND(N(资金日记账!$I97),2))))</f>
        <v/>
      </c>
      <c r="O104" s="0" t="str">
        <f aca="false">IF($G104=0,"",IF(IF(N(资金日记账!$H97)=0,"",ROUND(N(资金日记账!$H97),2))=0,"",IF(N(资金日记账!$H97)=0,"",ROUND(N(资金日记账!$H97),2))))</f>
        <v/>
      </c>
      <c r="P104" s="0" t="str">
        <f aca="false">IF($G104=0,"",IF(资金日记账!$L97=0,"",资金日记账!$L97))</f>
        <v/>
      </c>
      <c r="T104" s="0" t="str">
        <f aca="false">IF(资金日记账!$G104="","",资金日记账!$G104)</f>
        <v>人工工资</v>
      </c>
      <c r="U104" s="0" t="n">
        <f aca="false">IF(T104="",0,IF(MATCH(T104,$T$4:$T$903,0)=ROW()-3,1,0))</f>
        <v>0</v>
      </c>
      <c r="V104" s="0" t="n">
        <f aca="false">N(V103)+U104</f>
        <v>28</v>
      </c>
      <c r="Z104" s="0" t="str">
        <f aca="false">IF(成本费用登记表!$C104="","",成本费用登记表!$C104)</f>
        <v/>
      </c>
      <c r="AA104" s="0" t="n">
        <f aca="false">IF(Z104="",0,IF(MATCH(Z104,$Z$4:$Z$303,0)=ROW()-3,1,0))</f>
        <v>0</v>
      </c>
      <c r="AB104" s="0" t="n">
        <f aca="false">N(AB103)+AA104</f>
        <v>0</v>
      </c>
      <c r="AD104" s="0" t="str">
        <f aca="false">IFERROR(INDEX($Z$4:$Z$303,MATCH(101,$AB$4:$AB$303,0)),"")</f>
        <v/>
      </c>
      <c r="AF104" s="0" t="str">
        <f aca="false">IF(OR(资金日记账!$E104="",N(资金日记账!$H104)=0),"",资金日记账!$E104)</f>
        <v/>
      </c>
      <c r="AG104" s="0" t="n">
        <f aca="false">IF(AF104="",0,IF(MATCH(AF104,$AF$4:$AF$603,0)=ROW()-3,1,0))</f>
        <v>0</v>
      </c>
      <c r="AH104" s="0" t="n">
        <f aca="false">N(AH103)+AG104</f>
        <v>4</v>
      </c>
    </row>
    <row r="105" customFormat="false" ht="13.5" hidden="false" customHeight="false" outlineLevel="0" collapsed="false">
      <c r="A105" s="0" t="str">
        <f aca="false">IF(((进销存对接!$D105="客户应收")+(进销存对接!$D105="成品销售款")+(进销存对接!$D105="公司购买果品款")+(进销存对接!$D105="筐子销售款")+(进销存对接!$D105="物料销售款"))&gt;0,进销存对接!$C105,"")</f>
        <v/>
      </c>
      <c r="B105" s="0" t="n">
        <f aca="false">IF(A105="",0,IF(MATCH(A105,$A$4:$A$1925,0)=ROW()-3,1,0))</f>
        <v>0</v>
      </c>
      <c r="C105" s="0" t="n">
        <f aca="false">N(C104)+B105</f>
        <v>6</v>
      </c>
      <c r="E105" s="0" t="str">
        <f aca="false">IFERROR(INDEX($A$4:$A$1925,MATCH(ROW()-3,$C$4:$C$1925,0)),"")</f>
        <v/>
      </c>
      <c r="G105" s="0" t="n">
        <f aca="false">IF(OR($G$1="",资金日记账!$E98="",资金日记账!$E98&lt;&gt;$G$1),0,IF(NOT(OR(N(资金日记账!$H98)&lt;&gt;0,N(资金日记账!$I98)&lt;&gt;0)),0,IF(资金日记账!$B98="",1,IF(OR(N(资金日记账!$B98)&lt;$H$1,N(资金日记账!$B98)&gt;$I$1),0,1))))</f>
        <v>0</v>
      </c>
      <c r="H105" s="0" t="n">
        <f aca="false">N(H104)+$G105</f>
        <v>3</v>
      </c>
      <c r="I105" s="0" t="str">
        <f aca="false">IF($G105=0,"",IF(资金日记账!$B98=0,"",资金日记账!$B98))</f>
        <v/>
      </c>
      <c r="J105" s="0" t="str">
        <f aca="false">IF($G105=0,"",IF(资金日记账!$D98=0,"",资金日记账!$D98))</f>
        <v/>
      </c>
      <c r="K105" s="0" t="str">
        <f aca="false">IF($G105=0,"",IF(""=0,"",""))</f>
        <v/>
      </c>
      <c r="L105" s="0" t="str">
        <f aca="false">IF($G105=0,"",IF(""=0,"",""))</f>
        <v/>
      </c>
      <c r="M105" s="0" t="str">
        <f aca="false">IF($G105=0,"",IF(""=0,"",""))</f>
        <v/>
      </c>
      <c r="N105" s="0" t="str">
        <f aca="false">IF($G105=0,"",IF(IF(N(资金日记账!$I98)=0,"",-ROUND(N(资金日记账!$I98),2))=0,"",IF(N(资金日记账!$I98)=0,"",-ROUND(N(资金日记账!$I98),2))))</f>
        <v/>
      </c>
      <c r="O105" s="0" t="str">
        <f aca="false">IF($G105=0,"",IF(IF(N(资金日记账!$H98)=0,"",ROUND(N(资金日记账!$H98),2))=0,"",IF(N(资金日记账!$H98)=0,"",ROUND(N(资金日记账!$H98),2))))</f>
        <v/>
      </c>
      <c r="P105" s="0" t="str">
        <f aca="false">IF($G105=0,"",IF(资金日记账!$L98=0,"",资金日记账!$L98))</f>
        <v/>
      </c>
      <c r="T105" s="0" t="str">
        <f aca="false">IF(资金日记账!$G105="","",资金日记账!$G105)</f>
        <v>人工工资</v>
      </c>
      <c r="U105" s="0" t="n">
        <f aca="false">IF(T105="",0,IF(MATCH(T105,$T$4:$T$903,0)=ROW()-3,1,0))</f>
        <v>0</v>
      </c>
      <c r="V105" s="0" t="n">
        <f aca="false">N(V104)+U105</f>
        <v>28</v>
      </c>
      <c r="Z105" s="0" t="str">
        <f aca="false">IF(成本费用登记表!$C105="","",成本费用登记表!$C105)</f>
        <v/>
      </c>
      <c r="AA105" s="0" t="n">
        <f aca="false">IF(Z105="",0,IF(MATCH(Z105,$Z$4:$Z$303,0)=ROW()-3,1,0))</f>
        <v>0</v>
      </c>
      <c r="AB105" s="0" t="n">
        <f aca="false">N(AB104)+AA105</f>
        <v>0</v>
      </c>
      <c r="AD105" s="0" t="str">
        <f aca="false">IFERROR(INDEX($Z$4:$Z$303,MATCH(102,$AB$4:$AB$303,0)),"")</f>
        <v/>
      </c>
      <c r="AF105" s="0" t="str">
        <f aca="false">IF(OR(资金日记账!$E105="",N(资金日记账!$H105)=0),"",资金日记账!$E105)</f>
        <v/>
      </c>
      <c r="AG105" s="0" t="n">
        <f aca="false">IF(AF105="",0,IF(MATCH(AF105,$AF$4:$AF$603,0)=ROW()-3,1,0))</f>
        <v>0</v>
      </c>
      <c r="AH105" s="0" t="n">
        <f aca="false">N(AH104)+AG105</f>
        <v>4</v>
      </c>
    </row>
    <row r="106" customFormat="false" ht="13.5" hidden="false" customHeight="false" outlineLevel="0" collapsed="false">
      <c r="A106" s="0" t="str">
        <f aca="false">IF(((进销存对接!$D106="客户应收")+(进销存对接!$D106="成品销售款")+(进销存对接!$D106="公司购买果品款")+(进销存对接!$D106="筐子销售款")+(进销存对接!$D106="物料销售款"))&gt;0,进销存对接!$C106,"")</f>
        <v/>
      </c>
      <c r="B106" s="0" t="n">
        <f aca="false">IF(A106="",0,IF(MATCH(A106,$A$4:$A$1925,0)=ROW()-3,1,0))</f>
        <v>0</v>
      </c>
      <c r="C106" s="0" t="n">
        <f aca="false">N(C105)+B106</f>
        <v>6</v>
      </c>
      <c r="E106" s="0" t="str">
        <f aca="false">IFERROR(INDEX($A$4:$A$1925,MATCH(ROW()-3,$C$4:$C$1925,0)),"")</f>
        <v/>
      </c>
      <c r="G106" s="0" t="n">
        <f aca="false">IF(OR($G$1="",资金日记账!$E99="",资金日记账!$E99&lt;&gt;$G$1),0,IF(NOT(OR(N(资金日记账!$H99)&lt;&gt;0,N(资金日记账!$I99)&lt;&gt;0)),0,IF(资金日记账!$B99="",1,IF(OR(N(资金日记账!$B99)&lt;$H$1,N(资金日记账!$B99)&gt;$I$1),0,1))))</f>
        <v>0</v>
      </c>
      <c r="H106" s="0" t="n">
        <f aca="false">N(H105)+$G106</f>
        <v>3</v>
      </c>
      <c r="I106" s="0" t="str">
        <f aca="false">IF($G106=0,"",IF(资金日记账!$B99=0,"",资金日记账!$B99))</f>
        <v/>
      </c>
      <c r="J106" s="0" t="str">
        <f aca="false">IF($G106=0,"",IF(资金日记账!$D99=0,"",资金日记账!$D99))</f>
        <v/>
      </c>
      <c r="K106" s="0" t="str">
        <f aca="false">IF($G106=0,"",IF(""=0,"",""))</f>
        <v/>
      </c>
      <c r="L106" s="0" t="str">
        <f aca="false">IF($G106=0,"",IF(""=0,"",""))</f>
        <v/>
      </c>
      <c r="M106" s="0" t="str">
        <f aca="false">IF($G106=0,"",IF(""=0,"",""))</f>
        <v/>
      </c>
      <c r="N106" s="0" t="str">
        <f aca="false">IF($G106=0,"",IF(IF(N(资金日记账!$I99)=0,"",-ROUND(N(资金日记账!$I99),2))=0,"",IF(N(资金日记账!$I99)=0,"",-ROUND(N(资金日记账!$I99),2))))</f>
        <v/>
      </c>
      <c r="O106" s="0" t="str">
        <f aca="false">IF($G106=0,"",IF(IF(N(资金日记账!$H99)=0,"",ROUND(N(资金日记账!$H99),2))=0,"",IF(N(资金日记账!$H99)=0,"",ROUND(N(资金日记账!$H99),2))))</f>
        <v/>
      </c>
      <c r="P106" s="0" t="str">
        <f aca="false">IF($G106=0,"",IF(资金日记账!$L99=0,"",资金日记账!$L99))</f>
        <v/>
      </c>
      <c r="T106" s="0" t="str">
        <f aca="false">IF(资金日记账!$G106="","",资金日记账!$G106)</f>
        <v>厨房吃</v>
      </c>
      <c r="U106" s="0" t="n">
        <f aca="false">IF(T106="",0,IF(MATCH(T106,$T$4:$T$903,0)=ROW()-3,1,0))</f>
        <v>0</v>
      </c>
      <c r="V106" s="0" t="n">
        <f aca="false">N(V105)+U106</f>
        <v>28</v>
      </c>
      <c r="Z106" s="0" t="str">
        <f aca="false">IF(成本费用登记表!$C106="","",成本费用登记表!$C106)</f>
        <v/>
      </c>
      <c r="AA106" s="0" t="n">
        <f aca="false">IF(Z106="",0,IF(MATCH(Z106,$Z$4:$Z$303,0)=ROW()-3,1,0))</f>
        <v>0</v>
      </c>
      <c r="AB106" s="0" t="n">
        <f aca="false">N(AB105)+AA106</f>
        <v>0</v>
      </c>
      <c r="AD106" s="0" t="str">
        <f aca="false">IFERROR(INDEX($Z$4:$Z$303,MATCH(103,$AB$4:$AB$303,0)),"")</f>
        <v/>
      </c>
      <c r="AF106" s="0" t="str">
        <f aca="false">IF(OR(资金日记账!$E106="",N(资金日记账!$H106)=0),"",资金日记账!$E106)</f>
        <v/>
      </c>
      <c r="AG106" s="0" t="n">
        <f aca="false">IF(AF106="",0,IF(MATCH(AF106,$AF$4:$AF$603,0)=ROW()-3,1,0))</f>
        <v>0</v>
      </c>
      <c r="AH106" s="0" t="n">
        <f aca="false">N(AH105)+AG106</f>
        <v>4</v>
      </c>
    </row>
    <row r="107" customFormat="false" ht="13.5" hidden="false" customHeight="false" outlineLevel="0" collapsed="false">
      <c r="A107" s="0" t="str">
        <f aca="false">IF(((进销存对接!$D107="客户应收")+(进销存对接!$D107="成品销售款")+(进销存对接!$D107="公司购买果品款")+(进销存对接!$D107="筐子销售款")+(进销存对接!$D107="物料销售款"))&gt;0,进销存对接!$C107,"")</f>
        <v/>
      </c>
      <c r="B107" s="0" t="n">
        <f aca="false">IF(A107="",0,IF(MATCH(A107,$A$4:$A$1925,0)=ROW()-3,1,0))</f>
        <v>0</v>
      </c>
      <c r="C107" s="0" t="n">
        <f aca="false">N(C106)+B107</f>
        <v>6</v>
      </c>
      <c r="E107" s="0" t="str">
        <f aca="false">IFERROR(INDEX($A$4:$A$1925,MATCH(ROW()-3,$C$4:$C$1925,0)),"")</f>
        <v/>
      </c>
      <c r="G107" s="0" t="n">
        <f aca="false">IF(OR($G$1="",资金日记账!$E100="",资金日记账!$E100&lt;&gt;$G$1),0,IF(NOT(OR(N(资金日记账!$H100)&lt;&gt;0,N(资金日记账!$I100)&lt;&gt;0)),0,IF(资金日记账!$B100="",1,IF(OR(N(资金日记账!$B100)&lt;$H$1,N(资金日记账!$B100)&gt;$I$1),0,1))))</f>
        <v>0</v>
      </c>
      <c r="H107" s="0" t="n">
        <f aca="false">N(H106)+$G107</f>
        <v>3</v>
      </c>
      <c r="I107" s="0" t="str">
        <f aca="false">IF($G107=0,"",IF(资金日记账!$B100=0,"",资金日记账!$B100))</f>
        <v/>
      </c>
      <c r="J107" s="0" t="str">
        <f aca="false">IF($G107=0,"",IF(资金日记账!$D100=0,"",资金日记账!$D100))</f>
        <v/>
      </c>
      <c r="K107" s="0" t="str">
        <f aca="false">IF($G107=0,"",IF(""=0,"",""))</f>
        <v/>
      </c>
      <c r="L107" s="0" t="str">
        <f aca="false">IF($G107=0,"",IF(""=0,"",""))</f>
        <v/>
      </c>
      <c r="M107" s="0" t="str">
        <f aca="false">IF($G107=0,"",IF(""=0,"",""))</f>
        <v/>
      </c>
      <c r="N107" s="0" t="str">
        <f aca="false">IF($G107=0,"",IF(IF(N(资金日记账!$I100)=0,"",-ROUND(N(资金日记账!$I100),2))=0,"",IF(N(资金日记账!$I100)=0,"",-ROUND(N(资金日记账!$I100),2))))</f>
        <v/>
      </c>
      <c r="O107" s="0" t="str">
        <f aca="false">IF($G107=0,"",IF(IF(N(资金日记账!$H100)=0,"",ROUND(N(资金日记账!$H100),2))=0,"",IF(N(资金日记账!$H100)=0,"",ROUND(N(资金日记账!$H100),2))))</f>
        <v/>
      </c>
      <c r="P107" s="0" t="str">
        <f aca="false">IF($G107=0,"",IF(资金日记账!$L100=0,"",资金日记账!$L100))</f>
        <v/>
      </c>
      <c r="T107" s="0" t="str">
        <f aca="false">IF(资金日记账!$G107="","",资金日记账!$G107)</f>
        <v>消防</v>
      </c>
      <c r="U107" s="0" t="n">
        <f aca="false">IF(T107="",0,IF(MATCH(T107,$T$4:$T$903,0)=ROW()-3,1,0))</f>
        <v>1</v>
      </c>
      <c r="V107" s="0" t="n">
        <f aca="false">N(V106)+U107</f>
        <v>29</v>
      </c>
      <c r="Z107" s="0" t="str">
        <f aca="false">IF(成本费用登记表!$C107="","",成本费用登记表!$C107)</f>
        <v/>
      </c>
      <c r="AA107" s="0" t="n">
        <f aca="false">IF(Z107="",0,IF(MATCH(Z107,$Z$4:$Z$303,0)=ROW()-3,1,0))</f>
        <v>0</v>
      </c>
      <c r="AB107" s="0" t="n">
        <f aca="false">N(AB106)+AA107</f>
        <v>0</v>
      </c>
      <c r="AD107" s="0" t="str">
        <f aca="false">IFERROR(INDEX($Z$4:$Z$303,MATCH(104,$AB$4:$AB$303,0)),"")</f>
        <v/>
      </c>
      <c r="AF107" s="0" t="str">
        <f aca="false">IF(OR(资金日记账!$E107="",N(资金日记账!$H107)=0),"",资金日记账!$E107)</f>
        <v/>
      </c>
      <c r="AG107" s="0" t="n">
        <f aca="false">IF(AF107="",0,IF(MATCH(AF107,$AF$4:$AF$603,0)=ROW()-3,1,0))</f>
        <v>0</v>
      </c>
      <c r="AH107" s="0" t="n">
        <f aca="false">N(AH106)+AG107</f>
        <v>4</v>
      </c>
    </row>
    <row r="108" customFormat="false" ht="13.5" hidden="false" customHeight="false" outlineLevel="0" collapsed="false">
      <c r="A108" s="0" t="str">
        <f aca="false">IF(((进销存对接!$D108="客户应收")+(进销存对接!$D108="成品销售款")+(进销存对接!$D108="公司购买果品款")+(进销存对接!$D108="筐子销售款")+(进销存对接!$D108="物料销售款"))&gt;0,进销存对接!$C108,"")</f>
        <v/>
      </c>
      <c r="B108" s="0" t="n">
        <f aca="false">IF(A108="",0,IF(MATCH(A108,$A$4:$A$1925,0)=ROW()-3,1,0))</f>
        <v>0</v>
      </c>
      <c r="C108" s="0" t="n">
        <f aca="false">N(C107)+B108</f>
        <v>6</v>
      </c>
      <c r="E108" s="0" t="str">
        <f aca="false">IFERROR(INDEX($A$4:$A$1925,MATCH(ROW()-3,$C$4:$C$1925,0)),"")</f>
        <v/>
      </c>
      <c r="G108" s="0" t="n">
        <f aca="false">IF(OR($G$1="",资金日记账!$E101="",资金日记账!$E101&lt;&gt;$G$1),0,IF(NOT(OR(N(资金日记账!$H101)&lt;&gt;0,N(资金日记账!$I101)&lt;&gt;0)),0,IF(资金日记账!$B101="",1,IF(OR(N(资金日记账!$B101)&lt;$H$1,N(资金日记账!$B101)&gt;$I$1),0,1))))</f>
        <v>0</v>
      </c>
      <c r="H108" s="0" t="n">
        <f aca="false">N(H107)+$G108</f>
        <v>3</v>
      </c>
      <c r="I108" s="0" t="str">
        <f aca="false">IF($G108=0,"",IF(资金日记账!$B101=0,"",资金日记账!$B101))</f>
        <v/>
      </c>
      <c r="J108" s="0" t="str">
        <f aca="false">IF($G108=0,"",IF(资金日记账!$D101=0,"",资金日记账!$D101))</f>
        <v/>
      </c>
      <c r="K108" s="0" t="str">
        <f aca="false">IF($G108=0,"",IF(""=0,"",""))</f>
        <v/>
      </c>
      <c r="L108" s="0" t="str">
        <f aca="false">IF($G108=0,"",IF(""=0,"",""))</f>
        <v/>
      </c>
      <c r="M108" s="0" t="str">
        <f aca="false">IF($G108=0,"",IF(""=0,"",""))</f>
        <v/>
      </c>
      <c r="N108" s="0" t="str">
        <f aca="false">IF($G108=0,"",IF(IF(N(资金日记账!$I101)=0,"",-ROUND(N(资金日记账!$I101),2))=0,"",IF(N(资金日记账!$I101)=0,"",-ROUND(N(资金日记账!$I101),2))))</f>
        <v/>
      </c>
      <c r="O108" s="0" t="str">
        <f aca="false">IF($G108=0,"",IF(IF(N(资金日记账!$H101)=0,"",ROUND(N(资金日记账!$H101),2))=0,"",IF(N(资金日记账!$H101)=0,"",ROUND(N(资金日记账!$H101),2))))</f>
        <v/>
      </c>
      <c r="P108" s="0" t="str">
        <f aca="false">IF($G108=0,"",IF(资金日记账!$L101=0,"",资金日记账!$L101))</f>
        <v/>
      </c>
      <c r="T108" s="0" t="str">
        <f aca="false">IF(资金日记账!$G108="","",资金日记账!$G108)</f>
        <v/>
      </c>
      <c r="U108" s="0" t="n">
        <f aca="false">IF(T108="",0,IF(MATCH(T108,$T$4:$T$903,0)=ROW()-3,1,0))</f>
        <v>0</v>
      </c>
      <c r="V108" s="0" t="n">
        <f aca="false">N(V107)+U108</f>
        <v>29</v>
      </c>
      <c r="Z108" s="0" t="str">
        <f aca="false">IF(成本费用登记表!$C108="","",成本费用登记表!$C108)</f>
        <v/>
      </c>
      <c r="AA108" s="0" t="n">
        <f aca="false">IF(Z108="",0,IF(MATCH(Z108,$Z$4:$Z$303,0)=ROW()-3,1,0))</f>
        <v>0</v>
      </c>
      <c r="AB108" s="0" t="n">
        <f aca="false">N(AB107)+AA108</f>
        <v>0</v>
      </c>
      <c r="AD108" s="0" t="str">
        <f aca="false">IFERROR(INDEX($Z$4:$Z$303,MATCH(105,$AB$4:$AB$303,0)),"")</f>
        <v/>
      </c>
      <c r="AF108" s="0" t="str">
        <f aca="false">IF(OR(资金日记账!$E108="",N(资金日记账!$H108)=0),"",资金日记账!$E108)</f>
        <v/>
      </c>
      <c r="AG108" s="0" t="n">
        <f aca="false">IF(AF108="",0,IF(MATCH(AF108,$AF$4:$AF$603,0)=ROW()-3,1,0))</f>
        <v>0</v>
      </c>
      <c r="AH108" s="0" t="n">
        <f aca="false">N(AH107)+AG108</f>
        <v>4</v>
      </c>
    </row>
    <row r="109" customFormat="false" ht="13.5" hidden="false" customHeight="false" outlineLevel="0" collapsed="false">
      <c r="A109" s="0" t="str">
        <f aca="false">IF(((进销存对接!$D109="客户应收")+(进销存对接!$D109="成品销售款")+(进销存对接!$D109="公司购买果品款")+(进销存对接!$D109="筐子销售款")+(进销存对接!$D109="物料销售款"))&gt;0,进销存对接!$C109,"")</f>
        <v/>
      </c>
      <c r="B109" s="0" t="n">
        <f aca="false">IF(A109="",0,IF(MATCH(A109,$A$4:$A$1925,0)=ROW()-3,1,0))</f>
        <v>0</v>
      </c>
      <c r="C109" s="0" t="n">
        <f aca="false">N(C108)+B109</f>
        <v>6</v>
      </c>
      <c r="E109" s="0" t="str">
        <f aca="false">IFERROR(INDEX($A$4:$A$1925,MATCH(ROW()-3,$C$4:$C$1925,0)),"")</f>
        <v/>
      </c>
      <c r="G109" s="0" t="n">
        <f aca="false">IF(OR($G$1="",资金日记账!$E102="",资金日记账!$E102&lt;&gt;$G$1),0,IF(NOT(OR(N(资金日记账!$H102)&lt;&gt;0,N(资金日记账!$I102)&lt;&gt;0)),0,IF(资金日记账!$B102="",1,IF(OR(N(资金日记账!$B102)&lt;$H$1,N(资金日记账!$B102)&gt;$I$1),0,1))))</f>
        <v>0</v>
      </c>
      <c r="H109" s="0" t="n">
        <f aca="false">N(H108)+$G109</f>
        <v>3</v>
      </c>
      <c r="I109" s="0" t="str">
        <f aca="false">IF($G109=0,"",IF(资金日记账!$B102=0,"",资金日记账!$B102))</f>
        <v/>
      </c>
      <c r="J109" s="0" t="str">
        <f aca="false">IF($G109=0,"",IF(资金日记账!$D102=0,"",资金日记账!$D102))</f>
        <v/>
      </c>
      <c r="K109" s="0" t="str">
        <f aca="false">IF($G109=0,"",IF(""=0,"",""))</f>
        <v/>
      </c>
      <c r="L109" s="0" t="str">
        <f aca="false">IF($G109=0,"",IF(""=0,"",""))</f>
        <v/>
      </c>
      <c r="M109" s="0" t="str">
        <f aca="false">IF($G109=0,"",IF(""=0,"",""))</f>
        <v/>
      </c>
      <c r="N109" s="0" t="str">
        <f aca="false">IF($G109=0,"",IF(IF(N(资金日记账!$I102)=0,"",-ROUND(N(资金日记账!$I102),2))=0,"",IF(N(资金日记账!$I102)=0,"",-ROUND(N(资金日记账!$I102),2))))</f>
        <v/>
      </c>
      <c r="O109" s="0" t="str">
        <f aca="false">IF($G109=0,"",IF(IF(N(资金日记账!$H102)=0,"",ROUND(N(资金日记账!$H102),2))=0,"",IF(N(资金日记账!$H102)=0,"",ROUND(N(资金日记账!$H102),2))))</f>
        <v/>
      </c>
      <c r="P109" s="0" t="str">
        <f aca="false">IF($G109=0,"",IF(资金日记账!$L102=0,"",资金日记账!$L102))</f>
        <v/>
      </c>
      <c r="T109" s="0" t="str">
        <f aca="false">IF(资金日记账!$G109="","",资金日记账!$G109)</f>
        <v/>
      </c>
      <c r="U109" s="0" t="n">
        <f aca="false">IF(T109="",0,IF(MATCH(T109,$T$4:$T$903,0)=ROW()-3,1,0))</f>
        <v>0</v>
      </c>
      <c r="V109" s="0" t="n">
        <f aca="false">N(V108)+U109</f>
        <v>29</v>
      </c>
      <c r="Z109" s="0" t="str">
        <f aca="false">IF(成本费用登记表!$C109="","",成本费用登记表!$C109)</f>
        <v/>
      </c>
      <c r="AA109" s="0" t="n">
        <f aca="false">IF(Z109="",0,IF(MATCH(Z109,$Z$4:$Z$303,0)=ROW()-3,1,0))</f>
        <v>0</v>
      </c>
      <c r="AB109" s="0" t="n">
        <f aca="false">N(AB108)+AA109</f>
        <v>0</v>
      </c>
      <c r="AD109" s="0" t="str">
        <f aca="false">IFERROR(INDEX($Z$4:$Z$303,MATCH(106,$AB$4:$AB$303,0)),"")</f>
        <v/>
      </c>
      <c r="AF109" s="0" t="str">
        <f aca="false">IF(OR(资金日记账!$E109="",N(资金日记账!$H109)=0),"",资金日记账!$E109)</f>
        <v>聂新平</v>
      </c>
      <c r="AG109" s="0" t="n">
        <f aca="false">IF(AF109="",0,IF(MATCH(AF109,$AF$4:$AF$603,0)=ROW()-3,1,0))</f>
        <v>1</v>
      </c>
      <c r="AH109" s="0" t="n">
        <f aca="false">N(AH108)+AG109</f>
        <v>5</v>
      </c>
    </row>
    <row r="110" customFormat="false" ht="13.5" hidden="false" customHeight="false" outlineLevel="0" collapsed="false">
      <c r="A110" s="0" t="str">
        <f aca="false">IF(((进销存对接!$D110="客户应收")+(进销存对接!$D110="成品销售款")+(进销存对接!$D110="公司购买果品款")+(进销存对接!$D110="筐子销售款")+(进销存对接!$D110="物料销售款"))&gt;0,进销存对接!$C110,"")</f>
        <v/>
      </c>
      <c r="B110" s="0" t="n">
        <f aca="false">IF(A110="",0,IF(MATCH(A110,$A$4:$A$1925,0)=ROW()-3,1,0))</f>
        <v>0</v>
      </c>
      <c r="C110" s="0" t="n">
        <f aca="false">N(C109)+B110</f>
        <v>6</v>
      </c>
      <c r="E110" s="0" t="str">
        <f aca="false">IFERROR(INDEX($A$4:$A$1925,MATCH(ROW()-3,$C$4:$C$1925,0)),"")</f>
        <v/>
      </c>
      <c r="G110" s="0" t="n">
        <f aca="false">IF(OR($G$1="",资金日记账!$E103="",资金日记账!$E103&lt;&gt;$G$1),0,IF(NOT(OR(N(资金日记账!$H103)&lt;&gt;0,N(资金日记账!$I103)&lt;&gt;0)),0,IF(资金日记账!$B103="",1,IF(OR(N(资金日记账!$B103)&lt;$H$1,N(资金日记账!$B103)&gt;$I$1),0,1))))</f>
        <v>0</v>
      </c>
      <c r="H110" s="0" t="n">
        <f aca="false">N(H109)+$G110</f>
        <v>3</v>
      </c>
      <c r="I110" s="0" t="str">
        <f aca="false">IF($G110=0,"",IF(资金日记账!$B103=0,"",资金日记账!$B103))</f>
        <v/>
      </c>
      <c r="J110" s="0" t="str">
        <f aca="false">IF($G110=0,"",IF(资金日记账!$D103=0,"",资金日记账!$D103))</f>
        <v/>
      </c>
      <c r="K110" s="0" t="str">
        <f aca="false">IF($G110=0,"",IF(""=0,"",""))</f>
        <v/>
      </c>
      <c r="L110" s="0" t="str">
        <f aca="false">IF($G110=0,"",IF(""=0,"",""))</f>
        <v/>
      </c>
      <c r="M110" s="0" t="str">
        <f aca="false">IF($G110=0,"",IF(""=0,"",""))</f>
        <v/>
      </c>
      <c r="N110" s="0" t="str">
        <f aca="false">IF($G110=0,"",IF(IF(N(资金日记账!$I103)=0,"",-ROUND(N(资金日记账!$I103),2))=0,"",IF(N(资金日记账!$I103)=0,"",-ROUND(N(资金日记账!$I103),2))))</f>
        <v/>
      </c>
      <c r="O110" s="0" t="str">
        <f aca="false">IF($G110=0,"",IF(IF(N(资金日记账!$H103)=0,"",ROUND(N(资金日记账!$H103),2))=0,"",IF(N(资金日记账!$H103)=0,"",ROUND(N(资金日记账!$H103),2))))</f>
        <v/>
      </c>
      <c r="P110" s="0" t="str">
        <f aca="false">IF($G110=0,"",IF(资金日记账!$L103=0,"",资金日记账!$L103))</f>
        <v/>
      </c>
      <c r="T110" s="0" t="str">
        <f aca="false">IF(资金日记账!$G110="","",资金日记账!$G110)</f>
        <v/>
      </c>
      <c r="U110" s="0" t="n">
        <f aca="false">IF(T110="",0,IF(MATCH(T110,$T$4:$T$903,0)=ROW()-3,1,0))</f>
        <v>0</v>
      </c>
      <c r="V110" s="0" t="n">
        <f aca="false">N(V109)+U110</f>
        <v>29</v>
      </c>
      <c r="Z110" s="0" t="str">
        <f aca="false">IF(成本费用登记表!$C110="","",成本费用登记表!$C110)</f>
        <v/>
      </c>
      <c r="AA110" s="0" t="n">
        <f aca="false">IF(Z110="",0,IF(MATCH(Z110,$Z$4:$Z$303,0)=ROW()-3,1,0))</f>
        <v>0</v>
      </c>
      <c r="AB110" s="0" t="n">
        <f aca="false">N(AB109)+AA110</f>
        <v>0</v>
      </c>
      <c r="AD110" s="0" t="str">
        <f aca="false">IFERROR(INDEX($Z$4:$Z$303,MATCH(107,$AB$4:$AB$303,0)),"")</f>
        <v/>
      </c>
      <c r="AF110" s="0" t="str">
        <f aca="false">IF(OR(资金日记账!$E110="",N(资金日记账!$H110)=0),"",资金日记账!$E110)</f>
        <v/>
      </c>
      <c r="AG110" s="0" t="n">
        <f aca="false">IF(AF110="",0,IF(MATCH(AF110,$AF$4:$AF$603,0)=ROW()-3,1,0))</f>
        <v>0</v>
      </c>
      <c r="AH110" s="0" t="n">
        <f aca="false">N(AH109)+AG110</f>
        <v>5</v>
      </c>
    </row>
    <row r="111" customFormat="false" ht="13.5" hidden="false" customHeight="false" outlineLevel="0" collapsed="false">
      <c r="A111" s="0" t="str">
        <f aca="false">IF(((进销存对接!$D111="客户应收")+(进销存对接!$D111="成品销售款")+(进销存对接!$D111="公司购买果品款")+(进销存对接!$D111="筐子销售款")+(进销存对接!$D111="物料销售款"))&gt;0,进销存对接!$C111,"")</f>
        <v/>
      </c>
      <c r="B111" s="0" t="n">
        <f aca="false">IF(A111="",0,IF(MATCH(A111,$A$4:$A$1925,0)=ROW()-3,1,0))</f>
        <v>0</v>
      </c>
      <c r="C111" s="0" t="n">
        <f aca="false">N(C110)+B111</f>
        <v>6</v>
      </c>
      <c r="E111" s="0" t="str">
        <f aca="false">IFERROR(INDEX($A$4:$A$1925,MATCH(ROW()-3,$C$4:$C$1925,0)),"")</f>
        <v/>
      </c>
      <c r="G111" s="0" t="n">
        <f aca="false">IF(OR($G$1="",资金日记账!$E104="",资金日记账!$E104&lt;&gt;$G$1),0,IF(NOT(OR(N(资金日记账!$H104)&lt;&gt;0,N(资金日记账!$I104)&lt;&gt;0)),0,IF(资金日记账!$B104="",1,IF(OR(N(资金日记账!$B104)&lt;$H$1,N(资金日记账!$B104)&gt;$I$1),0,1))))</f>
        <v>0</v>
      </c>
      <c r="H111" s="0" t="n">
        <f aca="false">N(H110)+$G111</f>
        <v>3</v>
      </c>
      <c r="I111" s="0" t="str">
        <f aca="false">IF($G111=0,"",IF(资金日记账!$B104=0,"",资金日记账!$B104))</f>
        <v/>
      </c>
      <c r="J111" s="0" t="str">
        <f aca="false">IF($G111=0,"",IF(资金日记账!$D104=0,"",资金日记账!$D104))</f>
        <v/>
      </c>
      <c r="K111" s="0" t="str">
        <f aca="false">IF($G111=0,"",IF(""=0,"",""))</f>
        <v/>
      </c>
      <c r="L111" s="0" t="str">
        <f aca="false">IF($G111=0,"",IF(""=0,"",""))</f>
        <v/>
      </c>
      <c r="M111" s="0" t="str">
        <f aca="false">IF($G111=0,"",IF(""=0,"",""))</f>
        <v/>
      </c>
      <c r="N111" s="0" t="str">
        <f aca="false">IF($G111=0,"",IF(IF(N(资金日记账!$I104)=0,"",-ROUND(N(资金日记账!$I104),2))=0,"",IF(N(资金日记账!$I104)=0,"",-ROUND(N(资金日记账!$I104),2))))</f>
        <v/>
      </c>
      <c r="O111" s="0" t="str">
        <f aca="false">IF($G111=0,"",IF(IF(N(资金日记账!$H104)=0,"",ROUND(N(资金日记账!$H104),2))=0,"",IF(N(资金日记账!$H104)=0,"",ROUND(N(资金日记账!$H104),2))))</f>
        <v/>
      </c>
      <c r="P111" s="0" t="str">
        <f aca="false">IF($G111=0,"",IF(资金日记账!$L104=0,"",资金日记账!$L104))</f>
        <v/>
      </c>
      <c r="T111" s="0" t="str">
        <f aca="false">IF(资金日记账!$G111="","",资金日记账!$G111)</f>
        <v>送礼</v>
      </c>
      <c r="U111" s="0" t="n">
        <f aca="false">IF(T111="",0,IF(MATCH(T111,$T$4:$T$903,0)=ROW()-3,1,0))</f>
        <v>0</v>
      </c>
      <c r="V111" s="0" t="n">
        <f aca="false">N(V110)+U111</f>
        <v>29</v>
      </c>
      <c r="Z111" s="0" t="str">
        <f aca="false">IF(成本费用登记表!$C111="","",成本费用登记表!$C111)</f>
        <v/>
      </c>
      <c r="AA111" s="0" t="n">
        <f aca="false">IF(Z111="",0,IF(MATCH(Z111,$Z$4:$Z$303,0)=ROW()-3,1,0))</f>
        <v>0</v>
      </c>
      <c r="AB111" s="0" t="n">
        <f aca="false">N(AB110)+AA111</f>
        <v>0</v>
      </c>
      <c r="AD111" s="0" t="str">
        <f aca="false">IFERROR(INDEX($Z$4:$Z$303,MATCH(108,$AB$4:$AB$303,0)),"")</f>
        <v/>
      </c>
      <c r="AF111" s="0" t="str">
        <f aca="false">IF(OR(资金日记账!$E111="",N(资金日记账!$H111)=0),"",资金日记账!$E111)</f>
        <v/>
      </c>
      <c r="AG111" s="0" t="n">
        <f aca="false">IF(AF111="",0,IF(MATCH(AF111,$AF$4:$AF$603,0)=ROW()-3,1,0))</f>
        <v>0</v>
      </c>
      <c r="AH111" s="0" t="n">
        <f aca="false">N(AH110)+AG111</f>
        <v>5</v>
      </c>
    </row>
    <row r="112" customFormat="false" ht="13.5" hidden="false" customHeight="false" outlineLevel="0" collapsed="false">
      <c r="A112" s="0" t="str">
        <f aca="false">IF(((进销存对接!$D112="客户应收")+(进销存对接!$D112="成品销售款")+(进销存对接!$D112="公司购买果品款")+(进销存对接!$D112="筐子销售款")+(进销存对接!$D112="物料销售款"))&gt;0,进销存对接!$C112,"")</f>
        <v/>
      </c>
      <c r="B112" s="0" t="n">
        <f aca="false">IF(A112="",0,IF(MATCH(A112,$A$4:$A$1925,0)=ROW()-3,1,0))</f>
        <v>0</v>
      </c>
      <c r="C112" s="0" t="n">
        <f aca="false">N(C111)+B112</f>
        <v>6</v>
      </c>
      <c r="E112" s="0" t="str">
        <f aca="false">IFERROR(INDEX($A$4:$A$1925,MATCH(ROW()-3,$C$4:$C$1925,0)),"")</f>
        <v/>
      </c>
      <c r="G112" s="0" t="n">
        <f aca="false">IF(OR($G$1="",资金日记账!$E105="",资金日记账!$E105&lt;&gt;$G$1),0,IF(NOT(OR(N(资金日记账!$H105)&lt;&gt;0,N(资金日记账!$I105)&lt;&gt;0)),0,IF(资金日记账!$B105="",1,IF(OR(N(资金日记账!$B105)&lt;$H$1,N(资金日记账!$B105)&gt;$I$1),0,1))))</f>
        <v>0</v>
      </c>
      <c r="H112" s="0" t="n">
        <f aca="false">N(H111)+$G112</f>
        <v>3</v>
      </c>
      <c r="I112" s="0" t="str">
        <f aca="false">IF($G112=0,"",IF(资金日记账!$B105=0,"",资金日记账!$B105))</f>
        <v/>
      </c>
      <c r="J112" s="0" t="str">
        <f aca="false">IF($G112=0,"",IF(资金日记账!$D105=0,"",资金日记账!$D105))</f>
        <v/>
      </c>
      <c r="K112" s="0" t="str">
        <f aca="false">IF($G112=0,"",IF(""=0,"",""))</f>
        <v/>
      </c>
      <c r="L112" s="0" t="str">
        <f aca="false">IF($G112=0,"",IF(""=0,"",""))</f>
        <v/>
      </c>
      <c r="M112" s="0" t="str">
        <f aca="false">IF($G112=0,"",IF(""=0,"",""))</f>
        <v/>
      </c>
      <c r="N112" s="0" t="str">
        <f aca="false">IF($G112=0,"",IF(IF(N(资金日记账!$I105)=0,"",-ROUND(N(资金日记账!$I105),2))=0,"",IF(N(资金日记账!$I105)=0,"",-ROUND(N(资金日记账!$I105),2))))</f>
        <v/>
      </c>
      <c r="O112" s="0" t="str">
        <f aca="false">IF($G112=0,"",IF(IF(N(资金日记账!$H105)=0,"",ROUND(N(资金日记账!$H105),2))=0,"",IF(N(资金日记账!$H105)=0,"",ROUND(N(资金日记账!$H105),2))))</f>
        <v/>
      </c>
      <c r="P112" s="0" t="str">
        <f aca="false">IF($G112=0,"",IF(资金日记账!$L105=0,"",资金日记账!$L105))</f>
        <v/>
      </c>
      <c r="T112" s="0" t="str">
        <f aca="false">IF(资金日记账!$G112="","",资金日记账!$G112)</f>
        <v>厨房吃</v>
      </c>
      <c r="U112" s="0" t="n">
        <f aca="false">IF(T112="",0,IF(MATCH(T112,$T$4:$T$903,0)=ROW()-3,1,0))</f>
        <v>0</v>
      </c>
      <c r="V112" s="0" t="n">
        <f aca="false">N(V111)+U112</f>
        <v>29</v>
      </c>
      <c r="Z112" s="0" t="str">
        <f aca="false">IF(成本费用登记表!$C112="","",成本费用登记表!$C112)</f>
        <v/>
      </c>
      <c r="AA112" s="0" t="n">
        <f aca="false">IF(Z112="",0,IF(MATCH(Z112,$Z$4:$Z$303,0)=ROW()-3,1,0))</f>
        <v>0</v>
      </c>
      <c r="AB112" s="0" t="n">
        <f aca="false">N(AB111)+AA112</f>
        <v>0</v>
      </c>
      <c r="AD112" s="0" t="str">
        <f aca="false">IFERROR(INDEX($Z$4:$Z$303,MATCH(109,$AB$4:$AB$303,0)),"")</f>
        <v/>
      </c>
      <c r="AF112" s="0" t="str">
        <f aca="false">IF(OR(资金日记账!$E112="",N(资金日记账!$H112)=0),"",资金日记账!$E112)</f>
        <v/>
      </c>
      <c r="AG112" s="0" t="n">
        <f aca="false">IF(AF112="",0,IF(MATCH(AF112,$AF$4:$AF$603,0)=ROW()-3,1,0))</f>
        <v>0</v>
      </c>
      <c r="AH112" s="0" t="n">
        <f aca="false">N(AH111)+AG112</f>
        <v>5</v>
      </c>
    </row>
    <row r="113" customFormat="false" ht="13.5" hidden="false" customHeight="false" outlineLevel="0" collapsed="false">
      <c r="A113" s="0" t="str">
        <f aca="false">IF(((进销存对接!$D113="客户应收")+(进销存对接!$D113="成品销售款")+(进销存对接!$D113="公司购买果品款")+(进销存对接!$D113="筐子销售款")+(进销存对接!$D113="物料销售款"))&gt;0,进销存对接!$C113,"")</f>
        <v/>
      </c>
      <c r="B113" s="0" t="n">
        <f aca="false">IF(A113="",0,IF(MATCH(A113,$A$4:$A$1925,0)=ROW()-3,1,0))</f>
        <v>0</v>
      </c>
      <c r="C113" s="0" t="n">
        <f aca="false">N(C112)+B113</f>
        <v>6</v>
      </c>
      <c r="E113" s="0" t="str">
        <f aca="false">IFERROR(INDEX($A$4:$A$1925,MATCH(ROW()-3,$C$4:$C$1925,0)),"")</f>
        <v/>
      </c>
      <c r="G113" s="0" t="n">
        <f aca="false">IF(OR($G$1="",资金日记账!$E106="",资金日记账!$E106&lt;&gt;$G$1),0,IF(NOT(OR(N(资金日记账!$H106)&lt;&gt;0,N(资金日记账!$I106)&lt;&gt;0)),0,IF(资金日记账!$B106="",1,IF(OR(N(资金日记账!$B106)&lt;$H$1,N(资金日记账!$B106)&gt;$I$1),0,1))))</f>
        <v>0</v>
      </c>
      <c r="H113" s="0" t="n">
        <f aca="false">N(H112)+$G113</f>
        <v>3</v>
      </c>
      <c r="I113" s="0" t="str">
        <f aca="false">IF($G113=0,"",IF(资金日记账!$B106=0,"",资金日记账!$B106))</f>
        <v/>
      </c>
      <c r="J113" s="0" t="str">
        <f aca="false">IF($G113=0,"",IF(资金日记账!$D106=0,"",资金日记账!$D106))</f>
        <v/>
      </c>
      <c r="K113" s="0" t="str">
        <f aca="false">IF($G113=0,"",IF(""=0,"",""))</f>
        <v/>
      </c>
      <c r="L113" s="0" t="str">
        <f aca="false">IF($G113=0,"",IF(""=0,"",""))</f>
        <v/>
      </c>
      <c r="M113" s="0" t="str">
        <f aca="false">IF($G113=0,"",IF(""=0,"",""))</f>
        <v/>
      </c>
      <c r="N113" s="0" t="str">
        <f aca="false">IF($G113=0,"",IF(IF(N(资金日记账!$I106)=0,"",-ROUND(N(资金日记账!$I106),2))=0,"",IF(N(资金日记账!$I106)=0,"",-ROUND(N(资金日记账!$I106),2))))</f>
        <v/>
      </c>
      <c r="O113" s="0" t="str">
        <f aca="false">IF($G113=0,"",IF(IF(N(资金日记账!$H106)=0,"",ROUND(N(资金日记账!$H106),2))=0,"",IF(N(资金日记账!$H106)=0,"",ROUND(N(资金日记账!$H106),2))))</f>
        <v/>
      </c>
      <c r="P113" s="0" t="str">
        <f aca="false">IF($G113=0,"",IF(资金日记账!$L106=0,"",资金日记账!$L106))</f>
        <v/>
      </c>
      <c r="T113" s="0" t="str">
        <f aca="false">IF(资金日记账!$G113="","",资金日记账!$G113)</f>
        <v>送礼</v>
      </c>
      <c r="U113" s="0" t="n">
        <f aca="false">IF(T113="",0,IF(MATCH(T113,$T$4:$T$903,0)=ROW()-3,1,0))</f>
        <v>0</v>
      </c>
      <c r="V113" s="0" t="n">
        <f aca="false">N(V112)+U113</f>
        <v>29</v>
      </c>
      <c r="Z113" s="0" t="str">
        <f aca="false">IF(成本费用登记表!$C113="","",成本费用登记表!$C113)</f>
        <v/>
      </c>
      <c r="AA113" s="0" t="n">
        <f aca="false">IF(Z113="",0,IF(MATCH(Z113,$Z$4:$Z$303,0)=ROW()-3,1,0))</f>
        <v>0</v>
      </c>
      <c r="AB113" s="0" t="n">
        <f aca="false">N(AB112)+AA113</f>
        <v>0</v>
      </c>
      <c r="AD113" s="0" t="str">
        <f aca="false">IFERROR(INDEX($Z$4:$Z$303,MATCH(110,$AB$4:$AB$303,0)),"")</f>
        <v/>
      </c>
      <c r="AF113" s="0" t="str">
        <f aca="false">IF(OR(资金日记账!$E113="",N(资金日记账!$H113)=0),"",资金日记账!$E113)</f>
        <v/>
      </c>
      <c r="AG113" s="0" t="n">
        <f aca="false">IF(AF113="",0,IF(MATCH(AF113,$AF$4:$AF$603,0)=ROW()-3,1,0))</f>
        <v>0</v>
      </c>
      <c r="AH113" s="0" t="n">
        <f aca="false">N(AH112)+AG113</f>
        <v>5</v>
      </c>
    </row>
    <row r="114" customFormat="false" ht="13.5" hidden="false" customHeight="false" outlineLevel="0" collapsed="false">
      <c r="A114" s="0" t="str">
        <f aca="false">IF(((进销存对接!$D114="客户应收")+(进销存对接!$D114="成品销售款")+(进销存对接!$D114="公司购买果品款")+(进销存对接!$D114="筐子销售款")+(进销存对接!$D114="物料销售款"))&gt;0,进销存对接!$C114,"")</f>
        <v/>
      </c>
      <c r="B114" s="0" t="n">
        <f aca="false">IF(A114="",0,IF(MATCH(A114,$A$4:$A$1925,0)=ROW()-3,1,0))</f>
        <v>0</v>
      </c>
      <c r="C114" s="0" t="n">
        <f aca="false">N(C113)+B114</f>
        <v>6</v>
      </c>
      <c r="E114" s="0" t="str">
        <f aca="false">IFERROR(INDEX($A$4:$A$1925,MATCH(ROW()-3,$C$4:$C$1925,0)),"")</f>
        <v/>
      </c>
      <c r="G114" s="0" t="n">
        <f aca="false">IF(OR($G$1="",资金日记账!$E107="",资金日记账!$E107&lt;&gt;$G$1),0,IF(NOT(OR(N(资金日记账!$H107)&lt;&gt;0,N(资金日记账!$I107)&lt;&gt;0)),0,IF(资金日记账!$B107="",1,IF(OR(N(资金日记账!$B107)&lt;$H$1,N(资金日记账!$B107)&gt;$I$1),0,1))))</f>
        <v>0</v>
      </c>
      <c r="H114" s="0" t="n">
        <f aca="false">N(H113)+$G114</f>
        <v>3</v>
      </c>
      <c r="I114" s="0" t="str">
        <f aca="false">IF($G114=0,"",IF(资金日记账!$B107=0,"",资金日记账!$B107))</f>
        <v/>
      </c>
      <c r="J114" s="0" t="str">
        <f aca="false">IF($G114=0,"",IF(资金日记账!$D107=0,"",资金日记账!$D107))</f>
        <v/>
      </c>
      <c r="K114" s="0" t="str">
        <f aca="false">IF($G114=0,"",IF(""=0,"",""))</f>
        <v/>
      </c>
      <c r="L114" s="0" t="str">
        <f aca="false">IF($G114=0,"",IF(""=0,"",""))</f>
        <v/>
      </c>
      <c r="M114" s="0" t="str">
        <f aca="false">IF($G114=0,"",IF(""=0,"",""))</f>
        <v/>
      </c>
      <c r="N114" s="0" t="str">
        <f aca="false">IF($G114=0,"",IF(IF(N(资金日记账!$I107)=0,"",-ROUND(N(资金日记账!$I107),2))=0,"",IF(N(资金日记账!$I107)=0,"",-ROUND(N(资金日记账!$I107),2))))</f>
        <v/>
      </c>
      <c r="O114" s="0" t="str">
        <f aca="false">IF($G114=0,"",IF(IF(N(资金日记账!$H107)=0,"",ROUND(N(资金日记账!$H107),2))=0,"",IF(N(资金日记账!$H107)=0,"",ROUND(N(资金日记账!$H107),2))))</f>
        <v/>
      </c>
      <c r="P114" s="0" t="str">
        <f aca="false">IF($G114=0,"",IF(资金日记账!$L107=0,"",资金日记账!$L107))</f>
        <v/>
      </c>
      <c r="T114" s="0" t="str">
        <f aca="false">IF(资金日记账!$G114="","",资金日记账!$G114)</f>
        <v/>
      </c>
      <c r="U114" s="0" t="n">
        <f aca="false">IF(T114="",0,IF(MATCH(T114,$T$4:$T$903,0)=ROW()-3,1,0))</f>
        <v>0</v>
      </c>
      <c r="V114" s="0" t="n">
        <f aca="false">N(V113)+U114</f>
        <v>29</v>
      </c>
      <c r="Z114" s="0" t="str">
        <f aca="false">IF(成本费用登记表!$C114="","",成本费用登记表!$C114)</f>
        <v/>
      </c>
      <c r="AA114" s="0" t="n">
        <f aca="false">IF(Z114="",0,IF(MATCH(Z114,$Z$4:$Z$303,0)=ROW()-3,1,0))</f>
        <v>0</v>
      </c>
      <c r="AB114" s="0" t="n">
        <f aca="false">N(AB113)+AA114</f>
        <v>0</v>
      </c>
      <c r="AD114" s="0" t="str">
        <f aca="false">IFERROR(INDEX($Z$4:$Z$303,MATCH(111,$AB$4:$AB$303,0)),"")</f>
        <v/>
      </c>
      <c r="AF114" s="0" t="str">
        <f aca="false">IF(OR(资金日记账!$E114="",N(资金日记账!$H114)=0),"",资金日记账!$E114)</f>
        <v/>
      </c>
      <c r="AG114" s="0" t="n">
        <f aca="false">IF(AF114="",0,IF(MATCH(AF114,$AF$4:$AF$603,0)=ROW()-3,1,0))</f>
        <v>0</v>
      </c>
      <c r="AH114" s="0" t="n">
        <f aca="false">N(AH113)+AG114</f>
        <v>5</v>
      </c>
    </row>
    <row r="115" customFormat="false" ht="13.5" hidden="false" customHeight="false" outlineLevel="0" collapsed="false">
      <c r="A115" s="0" t="str">
        <f aca="false">IF(((进销存对接!$D115="客户应收")+(进销存对接!$D115="成品销售款")+(进销存对接!$D115="公司购买果品款")+(进销存对接!$D115="筐子销售款")+(进销存对接!$D115="物料销售款"))&gt;0,进销存对接!$C115,"")</f>
        <v/>
      </c>
      <c r="B115" s="0" t="n">
        <f aca="false">IF(A115="",0,IF(MATCH(A115,$A$4:$A$1925,0)=ROW()-3,1,0))</f>
        <v>0</v>
      </c>
      <c r="C115" s="0" t="n">
        <f aca="false">N(C114)+B115</f>
        <v>6</v>
      </c>
      <c r="E115" s="0" t="str">
        <f aca="false">IFERROR(INDEX($A$4:$A$1925,MATCH(ROW()-3,$C$4:$C$1925,0)),"")</f>
        <v/>
      </c>
      <c r="G115" s="0" t="n">
        <f aca="false">IF(OR($G$1="",资金日记账!$E108="",资金日记账!$E108&lt;&gt;$G$1),0,IF(NOT(OR(N(资金日记账!$H108)&lt;&gt;0,N(资金日记账!$I108)&lt;&gt;0)),0,IF(资金日记账!$B108="",1,IF(OR(N(资金日记账!$B108)&lt;$H$1,N(资金日记账!$B108)&gt;$I$1),0,1))))</f>
        <v>0</v>
      </c>
      <c r="H115" s="0" t="n">
        <f aca="false">N(H114)+$G115</f>
        <v>3</v>
      </c>
      <c r="I115" s="0" t="str">
        <f aca="false">IF($G115=0,"",IF(资金日记账!$B108=0,"",资金日记账!$B108))</f>
        <v/>
      </c>
      <c r="J115" s="0" t="str">
        <f aca="false">IF($G115=0,"",IF(资金日记账!$D108=0,"",资金日记账!$D108))</f>
        <v/>
      </c>
      <c r="K115" s="0" t="str">
        <f aca="false">IF($G115=0,"",IF(""=0,"",""))</f>
        <v/>
      </c>
      <c r="L115" s="0" t="str">
        <f aca="false">IF($G115=0,"",IF(""=0,"",""))</f>
        <v/>
      </c>
      <c r="M115" s="0" t="str">
        <f aca="false">IF($G115=0,"",IF(""=0,"",""))</f>
        <v/>
      </c>
      <c r="N115" s="0" t="str">
        <f aca="false">IF($G115=0,"",IF(IF(N(资金日记账!$I108)=0,"",-ROUND(N(资金日记账!$I108),2))=0,"",IF(N(资金日记账!$I108)=0,"",-ROUND(N(资金日记账!$I108),2))))</f>
        <v/>
      </c>
      <c r="O115" s="0" t="str">
        <f aca="false">IF($G115=0,"",IF(IF(N(资金日记账!$H108)=0,"",ROUND(N(资金日记账!$H108),2))=0,"",IF(N(资金日记账!$H108)=0,"",ROUND(N(资金日记账!$H108),2))))</f>
        <v/>
      </c>
      <c r="P115" s="0" t="str">
        <f aca="false">IF($G115=0,"",IF(资金日记账!$L108=0,"",资金日记账!$L108))</f>
        <v/>
      </c>
      <c r="T115" s="0" t="str">
        <f aca="false">IF(资金日记账!$G115="","",资金日记账!$G115)</f>
        <v/>
      </c>
      <c r="U115" s="0" t="n">
        <f aca="false">IF(T115="",0,IF(MATCH(T115,$T$4:$T$903,0)=ROW()-3,1,0))</f>
        <v>0</v>
      </c>
      <c r="V115" s="0" t="n">
        <f aca="false">N(V114)+U115</f>
        <v>29</v>
      </c>
      <c r="Z115" s="0" t="str">
        <f aca="false">IF(成本费用登记表!$C115="","",成本费用登记表!$C115)</f>
        <v/>
      </c>
      <c r="AA115" s="0" t="n">
        <f aca="false">IF(Z115="",0,IF(MATCH(Z115,$Z$4:$Z$303,0)=ROW()-3,1,0))</f>
        <v>0</v>
      </c>
      <c r="AB115" s="0" t="n">
        <f aca="false">N(AB114)+AA115</f>
        <v>0</v>
      </c>
      <c r="AD115" s="0" t="str">
        <f aca="false">IFERROR(INDEX($Z$4:$Z$303,MATCH(112,$AB$4:$AB$303,0)),"")</f>
        <v/>
      </c>
      <c r="AF115" s="0" t="str">
        <f aca="false">IF(OR(资金日记账!$E115="",N(资金日记账!$H115)=0),"",资金日记账!$E115)</f>
        <v/>
      </c>
      <c r="AG115" s="0" t="n">
        <f aca="false">IF(AF115="",0,IF(MATCH(AF115,$AF$4:$AF$603,0)=ROW()-3,1,0))</f>
        <v>0</v>
      </c>
      <c r="AH115" s="0" t="n">
        <f aca="false">N(AH114)+AG115</f>
        <v>5</v>
      </c>
    </row>
    <row r="116" customFormat="false" ht="13.5" hidden="false" customHeight="false" outlineLevel="0" collapsed="false">
      <c r="A116" s="0" t="str">
        <f aca="false">IF(((进销存对接!$D116="客户应收")+(进销存对接!$D116="成品销售款")+(进销存对接!$D116="公司购买果品款")+(进销存对接!$D116="筐子销售款")+(进销存对接!$D116="物料销售款"))&gt;0,进销存对接!$C116,"")</f>
        <v/>
      </c>
      <c r="B116" s="0" t="n">
        <f aca="false">IF(A116="",0,IF(MATCH(A116,$A$4:$A$1925,0)=ROW()-3,1,0))</f>
        <v>0</v>
      </c>
      <c r="C116" s="0" t="n">
        <f aca="false">N(C115)+B116</f>
        <v>6</v>
      </c>
      <c r="E116" s="0" t="str">
        <f aca="false">IFERROR(INDEX($A$4:$A$1925,MATCH(ROW()-3,$C$4:$C$1925,0)),"")</f>
        <v/>
      </c>
      <c r="G116" s="0" t="n">
        <f aca="false">IF(OR($G$1="",资金日记账!$E109="",资金日记账!$E109&lt;&gt;$G$1),0,IF(NOT(OR(N(资金日记账!$H109)&lt;&gt;0,N(资金日记账!$I109)&lt;&gt;0)),0,IF(资金日记账!$B109="",1,IF(OR(N(资金日记账!$B109)&lt;$H$1,N(资金日记账!$B109)&gt;$I$1),0,1))))</f>
        <v>0</v>
      </c>
      <c r="H116" s="0" t="n">
        <f aca="false">N(H115)+$G116</f>
        <v>3</v>
      </c>
      <c r="I116" s="0" t="str">
        <f aca="false">IF($G116=0,"",IF(资金日记账!$B109=0,"",资金日记账!$B109))</f>
        <v/>
      </c>
      <c r="J116" s="0" t="str">
        <f aca="false">IF($G116=0,"",IF(资金日记账!$D109=0,"",资金日记账!$D109))</f>
        <v/>
      </c>
      <c r="K116" s="0" t="str">
        <f aca="false">IF($G116=0,"",IF(""=0,"",""))</f>
        <v/>
      </c>
      <c r="L116" s="0" t="str">
        <f aca="false">IF($G116=0,"",IF(""=0,"",""))</f>
        <v/>
      </c>
      <c r="M116" s="0" t="str">
        <f aca="false">IF($G116=0,"",IF(""=0,"",""))</f>
        <v/>
      </c>
      <c r="N116" s="0" t="str">
        <f aca="false">IF($G116=0,"",IF(IF(N(资金日记账!$I109)=0,"",-ROUND(N(资金日记账!$I109),2))=0,"",IF(N(资金日记账!$I109)=0,"",-ROUND(N(资金日记账!$I109),2))))</f>
        <v/>
      </c>
      <c r="O116" s="0" t="str">
        <f aca="false">IF($G116=0,"",IF(IF(N(资金日记账!$H109)=0,"",ROUND(N(资金日记账!$H109),2))=0,"",IF(N(资金日记账!$H109)=0,"",ROUND(N(资金日记账!$H109),2))))</f>
        <v/>
      </c>
      <c r="P116" s="0" t="str">
        <f aca="false">IF($G116=0,"",IF(资金日记账!$L109=0,"",资金日记账!$L109))</f>
        <v/>
      </c>
      <c r="T116" s="0" t="str">
        <f aca="false">IF(资金日记账!$G116="","",资金日记账!$G116)</f>
        <v/>
      </c>
      <c r="U116" s="0" t="n">
        <f aca="false">IF(T116="",0,IF(MATCH(T116,$T$4:$T$903,0)=ROW()-3,1,0))</f>
        <v>0</v>
      </c>
      <c r="V116" s="0" t="n">
        <f aca="false">N(V115)+U116</f>
        <v>29</v>
      </c>
      <c r="Z116" s="0" t="str">
        <f aca="false">IF(成本费用登记表!$C116="","",成本费用登记表!$C116)</f>
        <v/>
      </c>
      <c r="AA116" s="0" t="n">
        <f aca="false">IF(Z116="",0,IF(MATCH(Z116,$Z$4:$Z$303,0)=ROW()-3,1,0))</f>
        <v>0</v>
      </c>
      <c r="AB116" s="0" t="n">
        <f aca="false">N(AB115)+AA116</f>
        <v>0</v>
      </c>
      <c r="AD116" s="0" t="str">
        <f aca="false">IFERROR(INDEX($Z$4:$Z$303,MATCH(113,$AB$4:$AB$303,0)),"")</f>
        <v/>
      </c>
      <c r="AF116" s="0" t="str">
        <f aca="false">IF(OR(资金日记账!$E116="",N(资金日记账!$H116)=0),"",资金日记账!$E116)</f>
        <v/>
      </c>
      <c r="AG116" s="0" t="n">
        <f aca="false">IF(AF116="",0,IF(MATCH(AF116,$AF$4:$AF$603,0)=ROW()-3,1,0))</f>
        <v>0</v>
      </c>
      <c r="AH116" s="0" t="n">
        <f aca="false">N(AH115)+AG116</f>
        <v>5</v>
      </c>
    </row>
    <row r="117" customFormat="false" ht="13.5" hidden="false" customHeight="false" outlineLevel="0" collapsed="false">
      <c r="A117" s="0" t="str">
        <f aca="false">IF(((进销存对接!$D117="客户应收")+(进销存对接!$D117="成品销售款")+(进销存对接!$D117="公司购买果品款")+(进销存对接!$D117="筐子销售款")+(进销存对接!$D117="物料销售款"))&gt;0,进销存对接!$C117,"")</f>
        <v/>
      </c>
      <c r="B117" s="0" t="n">
        <f aca="false">IF(A117="",0,IF(MATCH(A117,$A$4:$A$1925,0)=ROW()-3,1,0))</f>
        <v>0</v>
      </c>
      <c r="C117" s="0" t="n">
        <f aca="false">N(C116)+B117</f>
        <v>6</v>
      </c>
      <c r="E117" s="0" t="str">
        <f aca="false">IFERROR(INDEX($A$4:$A$1925,MATCH(ROW()-3,$C$4:$C$1925,0)),"")</f>
        <v/>
      </c>
      <c r="G117" s="0" t="n">
        <f aca="false">IF(OR($G$1="",资金日记账!$E110="",资金日记账!$E110&lt;&gt;$G$1),0,IF(NOT(OR(N(资金日记账!$H110)&lt;&gt;0,N(资金日记账!$I110)&lt;&gt;0)),0,IF(资金日记账!$B110="",1,IF(OR(N(资金日记账!$B110)&lt;$H$1,N(资金日记账!$B110)&gt;$I$1),0,1))))</f>
        <v>0</v>
      </c>
      <c r="H117" s="0" t="n">
        <f aca="false">N(H116)+$G117</f>
        <v>3</v>
      </c>
      <c r="I117" s="0" t="str">
        <f aca="false">IF($G117=0,"",IF(资金日记账!$B110=0,"",资金日记账!$B110))</f>
        <v/>
      </c>
      <c r="J117" s="0" t="str">
        <f aca="false">IF($G117=0,"",IF(资金日记账!$D110=0,"",资金日记账!$D110))</f>
        <v/>
      </c>
      <c r="K117" s="0" t="str">
        <f aca="false">IF($G117=0,"",IF(""=0,"",""))</f>
        <v/>
      </c>
      <c r="L117" s="0" t="str">
        <f aca="false">IF($G117=0,"",IF(""=0,"",""))</f>
        <v/>
      </c>
      <c r="M117" s="0" t="str">
        <f aca="false">IF($G117=0,"",IF(""=0,"",""))</f>
        <v/>
      </c>
      <c r="N117" s="0" t="str">
        <f aca="false">IF($G117=0,"",IF(IF(N(资金日记账!$I110)=0,"",-ROUND(N(资金日记账!$I110),2))=0,"",IF(N(资金日记账!$I110)=0,"",-ROUND(N(资金日记账!$I110),2))))</f>
        <v/>
      </c>
      <c r="O117" s="0" t="str">
        <f aca="false">IF($G117=0,"",IF(IF(N(资金日记账!$H110)=0,"",ROUND(N(资金日记账!$H110),2))=0,"",IF(N(资金日记账!$H110)=0,"",ROUND(N(资金日记账!$H110),2))))</f>
        <v/>
      </c>
      <c r="P117" s="0" t="str">
        <f aca="false">IF($G117=0,"",IF(资金日记账!$L110=0,"",资金日记账!$L110))</f>
        <v/>
      </c>
      <c r="T117" s="0" t="str">
        <f aca="false">IF(资金日记账!$G117="","",资金日记账!$G117)</f>
        <v/>
      </c>
      <c r="U117" s="0" t="n">
        <f aca="false">IF(T117="",0,IF(MATCH(T117,$T$4:$T$903,0)=ROW()-3,1,0))</f>
        <v>0</v>
      </c>
      <c r="V117" s="0" t="n">
        <f aca="false">N(V116)+U117</f>
        <v>29</v>
      </c>
      <c r="Z117" s="0" t="str">
        <f aca="false">IF(成本费用登记表!$C117="","",成本费用登记表!$C117)</f>
        <v/>
      </c>
      <c r="AA117" s="0" t="n">
        <f aca="false">IF(Z117="",0,IF(MATCH(Z117,$Z$4:$Z$303,0)=ROW()-3,1,0))</f>
        <v>0</v>
      </c>
      <c r="AB117" s="0" t="n">
        <f aca="false">N(AB116)+AA117</f>
        <v>0</v>
      </c>
      <c r="AD117" s="0" t="str">
        <f aca="false">IFERROR(INDEX($Z$4:$Z$303,MATCH(114,$AB$4:$AB$303,0)),"")</f>
        <v/>
      </c>
      <c r="AF117" s="0" t="str">
        <f aca="false">IF(OR(资金日记账!$E117="",N(资金日记账!$H117)=0),"",资金日记账!$E117)</f>
        <v/>
      </c>
      <c r="AG117" s="0" t="n">
        <f aca="false">IF(AF117="",0,IF(MATCH(AF117,$AF$4:$AF$603,0)=ROW()-3,1,0))</f>
        <v>0</v>
      </c>
      <c r="AH117" s="0" t="n">
        <f aca="false">N(AH116)+AG117</f>
        <v>5</v>
      </c>
    </row>
    <row r="118" customFormat="false" ht="13.5" hidden="false" customHeight="false" outlineLevel="0" collapsed="false">
      <c r="A118" s="0" t="str">
        <f aca="false">IF(((进销存对接!$D118="客户应收")+(进销存对接!$D118="成品销售款")+(进销存对接!$D118="公司购买果品款")+(进销存对接!$D118="筐子销售款")+(进销存对接!$D118="物料销售款"))&gt;0,进销存对接!$C118,"")</f>
        <v/>
      </c>
      <c r="B118" s="0" t="n">
        <f aca="false">IF(A118="",0,IF(MATCH(A118,$A$4:$A$1925,0)=ROW()-3,1,0))</f>
        <v>0</v>
      </c>
      <c r="C118" s="0" t="n">
        <f aca="false">N(C117)+B118</f>
        <v>6</v>
      </c>
      <c r="E118" s="0" t="str">
        <f aca="false">IFERROR(INDEX($A$4:$A$1925,MATCH(ROW()-3,$C$4:$C$1925,0)),"")</f>
        <v/>
      </c>
      <c r="G118" s="0" t="n">
        <f aca="false">IF(OR($G$1="",资金日记账!$E111="",资金日记账!$E111&lt;&gt;$G$1),0,IF(NOT(OR(N(资金日记账!$H111)&lt;&gt;0,N(资金日记账!$I111)&lt;&gt;0)),0,IF(资金日记账!$B111="",1,IF(OR(N(资金日记账!$B111)&lt;$H$1,N(资金日记账!$B111)&gt;$I$1),0,1))))</f>
        <v>0</v>
      </c>
      <c r="H118" s="0" t="n">
        <f aca="false">N(H117)+$G118</f>
        <v>3</v>
      </c>
      <c r="I118" s="0" t="str">
        <f aca="false">IF($G118=0,"",IF(资金日记账!$B111=0,"",资金日记账!$B111))</f>
        <v/>
      </c>
      <c r="J118" s="0" t="str">
        <f aca="false">IF($G118=0,"",IF(资金日记账!$D111=0,"",资金日记账!$D111))</f>
        <v/>
      </c>
      <c r="K118" s="0" t="str">
        <f aca="false">IF($G118=0,"",IF(""=0,"",""))</f>
        <v/>
      </c>
      <c r="L118" s="0" t="str">
        <f aca="false">IF($G118=0,"",IF(""=0,"",""))</f>
        <v/>
      </c>
      <c r="M118" s="0" t="str">
        <f aca="false">IF($G118=0,"",IF(""=0,"",""))</f>
        <v/>
      </c>
      <c r="N118" s="0" t="str">
        <f aca="false">IF($G118=0,"",IF(IF(N(资金日记账!$I111)=0,"",-ROUND(N(资金日记账!$I111),2))=0,"",IF(N(资金日记账!$I111)=0,"",-ROUND(N(资金日记账!$I111),2))))</f>
        <v/>
      </c>
      <c r="O118" s="0" t="str">
        <f aca="false">IF($G118=0,"",IF(IF(N(资金日记账!$H111)=0,"",ROUND(N(资金日记账!$H111),2))=0,"",IF(N(资金日记账!$H111)=0,"",ROUND(N(资金日记账!$H111),2))))</f>
        <v/>
      </c>
      <c r="P118" s="0" t="str">
        <f aca="false">IF($G118=0,"",IF(资金日记账!$L111=0,"",资金日记账!$L111))</f>
        <v/>
      </c>
      <c r="T118" s="0" t="str">
        <f aca="false">IF(资金日记账!$G118="","",资金日记账!$G118)</f>
        <v/>
      </c>
      <c r="U118" s="0" t="n">
        <f aca="false">IF(T118="",0,IF(MATCH(T118,$T$4:$T$903,0)=ROW()-3,1,0))</f>
        <v>0</v>
      </c>
      <c r="V118" s="0" t="n">
        <f aca="false">N(V117)+U118</f>
        <v>29</v>
      </c>
      <c r="Z118" s="0" t="str">
        <f aca="false">IF(成本费用登记表!$C118="","",成本费用登记表!$C118)</f>
        <v/>
      </c>
      <c r="AA118" s="0" t="n">
        <f aca="false">IF(Z118="",0,IF(MATCH(Z118,$Z$4:$Z$303,0)=ROW()-3,1,0))</f>
        <v>0</v>
      </c>
      <c r="AB118" s="0" t="n">
        <f aca="false">N(AB117)+AA118</f>
        <v>0</v>
      </c>
      <c r="AD118" s="0" t="str">
        <f aca="false">IFERROR(INDEX($Z$4:$Z$303,MATCH(115,$AB$4:$AB$303,0)),"")</f>
        <v/>
      </c>
      <c r="AF118" s="0" t="str">
        <f aca="false">IF(OR(资金日记账!$E118="",N(资金日记账!$H118)=0),"",资金日记账!$E118)</f>
        <v/>
      </c>
      <c r="AG118" s="0" t="n">
        <f aca="false">IF(AF118="",0,IF(MATCH(AF118,$AF$4:$AF$603,0)=ROW()-3,1,0))</f>
        <v>0</v>
      </c>
      <c r="AH118" s="0" t="n">
        <f aca="false">N(AH117)+AG118</f>
        <v>5</v>
      </c>
    </row>
    <row r="119" customFormat="false" ht="13.5" hidden="false" customHeight="false" outlineLevel="0" collapsed="false">
      <c r="A119" s="0" t="str">
        <f aca="false">IF(((进销存对接!$D119="客户应收")+(进销存对接!$D119="成品销售款")+(进销存对接!$D119="公司购买果品款")+(进销存对接!$D119="筐子销售款")+(进销存对接!$D119="物料销售款"))&gt;0,进销存对接!$C119,"")</f>
        <v/>
      </c>
      <c r="B119" s="0" t="n">
        <f aca="false">IF(A119="",0,IF(MATCH(A119,$A$4:$A$1925,0)=ROW()-3,1,0))</f>
        <v>0</v>
      </c>
      <c r="C119" s="0" t="n">
        <f aca="false">N(C118)+B119</f>
        <v>6</v>
      </c>
      <c r="E119" s="0" t="str">
        <f aca="false">IFERROR(INDEX($A$4:$A$1925,MATCH(ROW()-3,$C$4:$C$1925,0)),"")</f>
        <v/>
      </c>
      <c r="G119" s="0" t="n">
        <f aca="false">IF(OR($G$1="",资金日记账!$E112="",资金日记账!$E112&lt;&gt;$G$1),0,IF(NOT(OR(N(资金日记账!$H112)&lt;&gt;0,N(资金日记账!$I112)&lt;&gt;0)),0,IF(资金日记账!$B112="",1,IF(OR(N(资金日记账!$B112)&lt;$H$1,N(资金日记账!$B112)&gt;$I$1),0,1))))</f>
        <v>0</v>
      </c>
      <c r="H119" s="0" t="n">
        <f aca="false">N(H118)+$G119</f>
        <v>3</v>
      </c>
      <c r="I119" s="0" t="str">
        <f aca="false">IF($G119=0,"",IF(资金日记账!$B112=0,"",资金日记账!$B112))</f>
        <v/>
      </c>
      <c r="J119" s="0" t="str">
        <f aca="false">IF($G119=0,"",IF(资金日记账!$D112=0,"",资金日记账!$D112))</f>
        <v/>
      </c>
      <c r="K119" s="0" t="str">
        <f aca="false">IF($G119=0,"",IF(""=0,"",""))</f>
        <v/>
      </c>
      <c r="L119" s="0" t="str">
        <f aca="false">IF($G119=0,"",IF(""=0,"",""))</f>
        <v/>
      </c>
      <c r="M119" s="0" t="str">
        <f aca="false">IF($G119=0,"",IF(""=0,"",""))</f>
        <v/>
      </c>
      <c r="N119" s="0" t="str">
        <f aca="false">IF($G119=0,"",IF(IF(N(资金日记账!$I112)=0,"",-ROUND(N(资金日记账!$I112),2))=0,"",IF(N(资金日记账!$I112)=0,"",-ROUND(N(资金日记账!$I112),2))))</f>
        <v/>
      </c>
      <c r="O119" s="0" t="str">
        <f aca="false">IF($G119=0,"",IF(IF(N(资金日记账!$H112)=0,"",ROUND(N(资金日记账!$H112),2))=0,"",IF(N(资金日记账!$H112)=0,"",ROUND(N(资金日记账!$H112),2))))</f>
        <v/>
      </c>
      <c r="P119" s="0" t="str">
        <f aca="false">IF($G119=0,"",IF(资金日记账!$L112=0,"",资金日记账!$L112))</f>
        <v/>
      </c>
      <c r="T119" s="0" t="str">
        <f aca="false">IF(资金日记账!$G119="","",资金日记账!$G119)</f>
        <v>水泵</v>
      </c>
      <c r="U119" s="0" t="n">
        <f aca="false">IF(T119="",0,IF(MATCH(T119,$T$4:$T$903,0)=ROW()-3,1,0))</f>
        <v>1</v>
      </c>
      <c r="V119" s="0" t="n">
        <f aca="false">N(V118)+U119</f>
        <v>30</v>
      </c>
      <c r="Z119" s="0" t="str">
        <f aca="false">IF(成本费用登记表!$C119="","",成本费用登记表!$C119)</f>
        <v/>
      </c>
      <c r="AA119" s="0" t="n">
        <f aca="false">IF(Z119="",0,IF(MATCH(Z119,$Z$4:$Z$303,0)=ROW()-3,1,0))</f>
        <v>0</v>
      </c>
      <c r="AB119" s="0" t="n">
        <f aca="false">N(AB118)+AA119</f>
        <v>0</v>
      </c>
      <c r="AD119" s="0" t="str">
        <f aca="false">IFERROR(INDEX($Z$4:$Z$303,MATCH(116,$AB$4:$AB$303,0)),"")</f>
        <v/>
      </c>
      <c r="AF119" s="0" t="str">
        <f aca="false">IF(OR(资金日记账!$E119="",N(资金日记账!$H119)=0),"",资金日记账!$E119)</f>
        <v/>
      </c>
      <c r="AG119" s="0" t="n">
        <f aca="false">IF(AF119="",0,IF(MATCH(AF119,$AF$4:$AF$603,0)=ROW()-3,1,0))</f>
        <v>0</v>
      </c>
      <c r="AH119" s="0" t="n">
        <f aca="false">N(AH118)+AG119</f>
        <v>5</v>
      </c>
    </row>
    <row r="120" customFormat="false" ht="13.5" hidden="false" customHeight="false" outlineLevel="0" collapsed="false">
      <c r="A120" s="0" t="str">
        <f aca="false">IF(((进销存对接!$D120="客户应收")+(进销存对接!$D120="成品销售款")+(进销存对接!$D120="公司购买果品款")+(进销存对接!$D120="筐子销售款")+(进销存对接!$D120="物料销售款"))&gt;0,进销存对接!$C120,"")</f>
        <v/>
      </c>
      <c r="B120" s="0" t="n">
        <f aca="false">IF(A120="",0,IF(MATCH(A120,$A$4:$A$1925,0)=ROW()-3,1,0))</f>
        <v>0</v>
      </c>
      <c r="C120" s="0" t="n">
        <f aca="false">N(C119)+B120</f>
        <v>6</v>
      </c>
      <c r="E120" s="0" t="str">
        <f aca="false">IFERROR(INDEX($A$4:$A$1925,MATCH(ROW()-3,$C$4:$C$1925,0)),"")</f>
        <v/>
      </c>
      <c r="G120" s="0" t="n">
        <f aca="false">IF(OR($G$1="",资金日记账!$E113="",资金日记账!$E113&lt;&gt;$G$1),0,IF(NOT(OR(N(资金日记账!$H113)&lt;&gt;0,N(资金日记账!$I113)&lt;&gt;0)),0,IF(资金日记账!$B113="",1,IF(OR(N(资金日记账!$B113)&lt;$H$1,N(资金日记账!$B113)&gt;$I$1),0,1))))</f>
        <v>0</v>
      </c>
      <c r="H120" s="0" t="n">
        <f aca="false">N(H119)+$G120</f>
        <v>3</v>
      </c>
      <c r="I120" s="0" t="str">
        <f aca="false">IF($G120=0,"",IF(资金日记账!$B113=0,"",资金日记账!$B113))</f>
        <v/>
      </c>
      <c r="J120" s="0" t="str">
        <f aca="false">IF($G120=0,"",IF(资金日记账!$D113=0,"",资金日记账!$D113))</f>
        <v/>
      </c>
      <c r="K120" s="0" t="str">
        <f aca="false">IF($G120=0,"",IF(""=0,"",""))</f>
        <v/>
      </c>
      <c r="L120" s="0" t="str">
        <f aca="false">IF($G120=0,"",IF(""=0,"",""))</f>
        <v/>
      </c>
      <c r="M120" s="0" t="str">
        <f aca="false">IF($G120=0,"",IF(""=0,"",""))</f>
        <v/>
      </c>
      <c r="N120" s="0" t="str">
        <f aca="false">IF($G120=0,"",IF(IF(N(资金日记账!$I113)=0,"",-ROUND(N(资金日记账!$I113),2))=0,"",IF(N(资金日记账!$I113)=0,"",-ROUND(N(资金日记账!$I113),2))))</f>
        <v/>
      </c>
      <c r="O120" s="0" t="str">
        <f aca="false">IF($G120=0,"",IF(IF(N(资金日记账!$H113)=0,"",ROUND(N(资金日记账!$H113),2))=0,"",IF(N(资金日记账!$H113)=0,"",ROUND(N(资金日记账!$H113),2))))</f>
        <v/>
      </c>
      <c r="P120" s="0" t="str">
        <f aca="false">IF($G120=0,"",IF(资金日记账!$L113=0,"",资金日记账!$L113))</f>
        <v/>
      </c>
      <c r="T120" s="0" t="str">
        <f aca="false">IF(资金日记账!$G120="","",资金日记账!$G120)</f>
        <v/>
      </c>
      <c r="U120" s="0" t="n">
        <f aca="false">IF(T120="",0,IF(MATCH(T120,$T$4:$T$903,0)=ROW()-3,1,0))</f>
        <v>0</v>
      </c>
      <c r="V120" s="0" t="n">
        <f aca="false">N(V119)+U120</f>
        <v>30</v>
      </c>
      <c r="Z120" s="0" t="str">
        <f aca="false">IF(成本费用登记表!$C120="","",成本费用登记表!$C120)</f>
        <v/>
      </c>
      <c r="AA120" s="0" t="n">
        <f aca="false">IF(Z120="",0,IF(MATCH(Z120,$Z$4:$Z$303,0)=ROW()-3,1,0))</f>
        <v>0</v>
      </c>
      <c r="AB120" s="0" t="n">
        <f aca="false">N(AB119)+AA120</f>
        <v>0</v>
      </c>
      <c r="AD120" s="0" t="str">
        <f aca="false">IFERROR(INDEX($Z$4:$Z$303,MATCH(117,$AB$4:$AB$303,0)),"")</f>
        <v/>
      </c>
      <c r="AF120" s="0" t="str">
        <f aca="false">IF(OR(资金日记账!$E120="",N(资金日记账!$H120)=0),"",资金日记账!$E120)</f>
        <v/>
      </c>
      <c r="AG120" s="0" t="n">
        <f aca="false">IF(AF120="",0,IF(MATCH(AF120,$AF$4:$AF$603,0)=ROW()-3,1,0))</f>
        <v>0</v>
      </c>
      <c r="AH120" s="0" t="n">
        <f aca="false">N(AH119)+AG120</f>
        <v>5</v>
      </c>
    </row>
    <row r="121" customFormat="false" ht="13.5" hidden="false" customHeight="false" outlineLevel="0" collapsed="false">
      <c r="A121" s="0" t="str">
        <f aca="false">IF(((进销存对接!$D121="客户应收")+(进销存对接!$D121="成品销售款")+(进销存对接!$D121="公司购买果品款")+(进销存对接!$D121="筐子销售款")+(进销存对接!$D121="物料销售款"))&gt;0,进销存对接!$C121,"")</f>
        <v/>
      </c>
      <c r="B121" s="0" t="n">
        <f aca="false">IF(A121="",0,IF(MATCH(A121,$A$4:$A$1925,0)=ROW()-3,1,0))</f>
        <v>0</v>
      </c>
      <c r="C121" s="0" t="n">
        <f aca="false">N(C120)+B121</f>
        <v>6</v>
      </c>
      <c r="E121" s="0" t="str">
        <f aca="false">IFERROR(INDEX($A$4:$A$1925,MATCH(ROW()-3,$C$4:$C$1925,0)),"")</f>
        <v/>
      </c>
      <c r="G121" s="0" t="n">
        <f aca="false">IF(OR($G$1="",资金日记账!$E114="",资金日记账!$E114&lt;&gt;$G$1),0,IF(NOT(OR(N(资金日记账!$H114)&lt;&gt;0,N(资金日记账!$I114)&lt;&gt;0)),0,IF(资金日记账!$B114="",1,IF(OR(N(资金日记账!$B114)&lt;$H$1,N(资金日记账!$B114)&gt;$I$1),0,1))))</f>
        <v>0</v>
      </c>
      <c r="H121" s="0" t="n">
        <f aca="false">N(H120)+$G121</f>
        <v>3</v>
      </c>
      <c r="I121" s="0" t="str">
        <f aca="false">IF($G121=0,"",IF(资金日记账!$B114=0,"",资金日记账!$B114))</f>
        <v/>
      </c>
      <c r="J121" s="0" t="str">
        <f aca="false">IF($G121=0,"",IF(资金日记账!$D114=0,"",资金日记账!$D114))</f>
        <v/>
      </c>
      <c r="K121" s="0" t="str">
        <f aca="false">IF($G121=0,"",IF(""=0,"",""))</f>
        <v/>
      </c>
      <c r="L121" s="0" t="str">
        <f aca="false">IF($G121=0,"",IF(""=0,"",""))</f>
        <v/>
      </c>
      <c r="M121" s="0" t="str">
        <f aca="false">IF($G121=0,"",IF(""=0,"",""))</f>
        <v/>
      </c>
      <c r="N121" s="0" t="str">
        <f aca="false">IF($G121=0,"",IF(IF(N(资金日记账!$I114)=0,"",-ROUND(N(资金日记账!$I114),2))=0,"",IF(N(资金日记账!$I114)=0,"",-ROUND(N(资金日记账!$I114),2))))</f>
        <v/>
      </c>
      <c r="O121" s="0" t="str">
        <f aca="false">IF($G121=0,"",IF(IF(N(资金日记账!$H114)=0,"",ROUND(N(资金日记账!$H114),2))=0,"",IF(N(资金日记账!$H114)=0,"",ROUND(N(资金日记账!$H114),2))))</f>
        <v/>
      </c>
      <c r="P121" s="0" t="str">
        <f aca="false">IF($G121=0,"",IF(资金日记账!$L114=0,"",资金日记账!$L114))</f>
        <v/>
      </c>
      <c r="T121" s="0" t="str">
        <f aca="false">IF(资金日记账!$G121="","",资金日记账!$G121)</f>
        <v/>
      </c>
      <c r="U121" s="0" t="n">
        <f aca="false">IF(T121="",0,IF(MATCH(T121,$T$4:$T$903,0)=ROW()-3,1,0))</f>
        <v>0</v>
      </c>
      <c r="V121" s="0" t="n">
        <f aca="false">N(V120)+U121</f>
        <v>30</v>
      </c>
      <c r="Z121" s="0" t="str">
        <f aca="false">IF(成本费用登记表!$C121="","",成本费用登记表!$C121)</f>
        <v/>
      </c>
      <c r="AA121" s="0" t="n">
        <f aca="false">IF(Z121="",0,IF(MATCH(Z121,$Z$4:$Z$303,0)=ROW()-3,1,0))</f>
        <v>0</v>
      </c>
      <c r="AB121" s="0" t="n">
        <f aca="false">N(AB120)+AA121</f>
        <v>0</v>
      </c>
      <c r="AD121" s="0" t="str">
        <f aca="false">IFERROR(INDEX($Z$4:$Z$303,MATCH(118,$AB$4:$AB$303,0)),"")</f>
        <v/>
      </c>
      <c r="AF121" s="0" t="str">
        <f aca="false">IF(OR(资金日记账!$E121="",N(资金日记账!$H121)=0),"",资金日记账!$E121)</f>
        <v/>
      </c>
      <c r="AG121" s="0" t="n">
        <f aca="false">IF(AF121="",0,IF(MATCH(AF121,$AF$4:$AF$603,0)=ROW()-3,1,0))</f>
        <v>0</v>
      </c>
      <c r="AH121" s="0" t="n">
        <f aca="false">N(AH120)+AG121</f>
        <v>5</v>
      </c>
    </row>
    <row r="122" customFormat="false" ht="13.5" hidden="false" customHeight="false" outlineLevel="0" collapsed="false">
      <c r="A122" s="0" t="str">
        <f aca="false">IF(((进销存对接!$D122="客户应收")+(进销存对接!$D122="成品销售款")+(进销存对接!$D122="公司购买果品款")+(进销存对接!$D122="筐子销售款")+(进销存对接!$D122="物料销售款"))&gt;0,进销存对接!$C122,"")</f>
        <v/>
      </c>
      <c r="B122" s="0" t="n">
        <f aca="false">IF(A122="",0,IF(MATCH(A122,$A$4:$A$1925,0)=ROW()-3,1,0))</f>
        <v>0</v>
      </c>
      <c r="C122" s="0" t="n">
        <f aca="false">N(C121)+B122</f>
        <v>6</v>
      </c>
      <c r="E122" s="0" t="str">
        <f aca="false">IFERROR(INDEX($A$4:$A$1925,MATCH(ROW()-3,$C$4:$C$1925,0)),"")</f>
        <v/>
      </c>
      <c r="G122" s="0" t="n">
        <f aca="false">IF(OR($G$1="",资金日记账!$E115="",资金日记账!$E115&lt;&gt;$G$1),0,IF(NOT(OR(N(资金日记账!$H115)&lt;&gt;0,N(资金日记账!$I115)&lt;&gt;0)),0,IF(资金日记账!$B115="",1,IF(OR(N(资金日记账!$B115)&lt;$H$1,N(资金日记账!$B115)&gt;$I$1),0,1))))</f>
        <v>0</v>
      </c>
      <c r="H122" s="0" t="n">
        <f aca="false">N(H121)+$G122</f>
        <v>3</v>
      </c>
      <c r="I122" s="0" t="str">
        <f aca="false">IF($G122=0,"",IF(资金日记账!$B115=0,"",资金日记账!$B115))</f>
        <v/>
      </c>
      <c r="J122" s="0" t="str">
        <f aca="false">IF($G122=0,"",IF(资金日记账!$D115=0,"",资金日记账!$D115))</f>
        <v/>
      </c>
      <c r="K122" s="0" t="str">
        <f aca="false">IF($G122=0,"",IF(""=0,"",""))</f>
        <v/>
      </c>
      <c r="L122" s="0" t="str">
        <f aca="false">IF($G122=0,"",IF(""=0,"",""))</f>
        <v/>
      </c>
      <c r="M122" s="0" t="str">
        <f aca="false">IF($G122=0,"",IF(""=0,"",""))</f>
        <v/>
      </c>
      <c r="N122" s="0" t="str">
        <f aca="false">IF($G122=0,"",IF(IF(N(资金日记账!$I115)=0,"",-ROUND(N(资金日记账!$I115),2))=0,"",IF(N(资金日记账!$I115)=0,"",-ROUND(N(资金日记账!$I115),2))))</f>
        <v/>
      </c>
      <c r="O122" s="0" t="str">
        <f aca="false">IF($G122=0,"",IF(IF(N(资金日记账!$H115)=0,"",ROUND(N(资金日记账!$H115),2))=0,"",IF(N(资金日记账!$H115)=0,"",ROUND(N(资金日记账!$H115),2))))</f>
        <v/>
      </c>
      <c r="P122" s="0" t="str">
        <f aca="false">IF($G122=0,"",IF(资金日记账!$L115=0,"",资金日记账!$L115))</f>
        <v/>
      </c>
      <c r="T122" s="0" t="str">
        <f aca="false">IF(资金日记账!$G122="","",资金日记账!$G122)</f>
        <v/>
      </c>
      <c r="U122" s="0" t="n">
        <f aca="false">IF(T122="",0,IF(MATCH(T122,$T$4:$T$903,0)=ROW()-3,1,0))</f>
        <v>0</v>
      </c>
      <c r="V122" s="0" t="n">
        <f aca="false">N(V121)+U122</f>
        <v>30</v>
      </c>
      <c r="Z122" s="0" t="str">
        <f aca="false">IF(成本费用登记表!$C122="","",成本费用登记表!$C122)</f>
        <v/>
      </c>
      <c r="AA122" s="0" t="n">
        <f aca="false">IF(Z122="",0,IF(MATCH(Z122,$Z$4:$Z$303,0)=ROW()-3,1,0))</f>
        <v>0</v>
      </c>
      <c r="AB122" s="0" t="n">
        <f aca="false">N(AB121)+AA122</f>
        <v>0</v>
      </c>
      <c r="AD122" s="0" t="str">
        <f aca="false">IFERROR(INDEX($Z$4:$Z$303,MATCH(119,$AB$4:$AB$303,0)),"")</f>
        <v/>
      </c>
      <c r="AF122" s="0" t="str">
        <f aca="false">IF(OR(资金日记账!$E122="",N(资金日记账!$H122)=0),"",资金日记账!$E122)</f>
        <v/>
      </c>
      <c r="AG122" s="0" t="n">
        <f aca="false">IF(AF122="",0,IF(MATCH(AF122,$AF$4:$AF$603,0)=ROW()-3,1,0))</f>
        <v>0</v>
      </c>
      <c r="AH122" s="0" t="n">
        <f aca="false">N(AH121)+AG122</f>
        <v>5</v>
      </c>
    </row>
    <row r="123" customFormat="false" ht="13.5" hidden="false" customHeight="false" outlineLevel="0" collapsed="false">
      <c r="A123" s="0" t="str">
        <f aca="false">IF(((进销存对接!$D123="客户应收")+(进销存对接!$D123="成品销售款")+(进销存对接!$D123="公司购买果品款")+(进销存对接!$D123="筐子销售款")+(进销存对接!$D123="物料销售款"))&gt;0,进销存对接!$C123,"")</f>
        <v/>
      </c>
      <c r="B123" s="0" t="n">
        <f aca="false">IF(A123="",0,IF(MATCH(A123,$A$4:$A$1925,0)=ROW()-3,1,0))</f>
        <v>0</v>
      </c>
      <c r="C123" s="0" t="n">
        <f aca="false">N(C122)+B123</f>
        <v>6</v>
      </c>
      <c r="E123" s="0" t="str">
        <f aca="false">IFERROR(INDEX($A$4:$A$1925,MATCH(ROW()-3,$C$4:$C$1925,0)),"")</f>
        <v/>
      </c>
      <c r="G123" s="0" t="n">
        <f aca="false">IF(OR($G$1="",资金日记账!$E116="",资金日记账!$E116&lt;&gt;$G$1),0,IF(NOT(OR(N(资金日记账!$H116)&lt;&gt;0,N(资金日记账!$I116)&lt;&gt;0)),0,IF(资金日记账!$B116="",1,IF(OR(N(资金日记账!$B116)&lt;$H$1,N(资金日记账!$B116)&gt;$I$1),0,1))))</f>
        <v>0</v>
      </c>
      <c r="H123" s="0" t="n">
        <f aca="false">N(H122)+$G123</f>
        <v>3</v>
      </c>
      <c r="I123" s="0" t="str">
        <f aca="false">IF($G123=0,"",IF(资金日记账!$B116=0,"",资金日记账!$B116))</f>
        <v/>
      </c>
      <c r="J123" s="0" t="str">
        <f aca="false">IF($G123=0,"",IF(资金日记账!$D116=0,"",资金日记账!$D116))</f>
        <v/>
      </c>
      <c r="K123" s="0" t="str">
        <f aca="false">IF($G123=0,"",IF(""=0,"",""))</f>
        <v/>
      </c>
      <c r="L123" s="0" t="str">
        <f aca="false">IF($G123=0,"",IF(""=0,"",""))</f>
        <v/>
      </c>
      <c r="M123" s="0" t="str">
        <f aca="false">IF($G123=0,"",IF(""=0,"",""))</f>
        <v/>
      </c>
      <c r="N123" s="0" t="str">
        <f aca="false">IF($G123=0,"",IF(IF(N(资金日记账!$I116)=0,"",-ROUND(N(资金日记账!$I116),2))=0,"",IF(N(资金日记账!$I116)=0,"",-ROUND(N(资金日记账!$I116),2))))</f>
        <v/>
      </c>
      <c r="O123" s="0" t="str">
        <f aca="false">IF($G123=0,"",IF(IF(N(资金日记账!$H116)=0,"",ROUND(N(资金日记账!$H116),2))=0,"",IF(N(资金日记账!$H116)=0,"",ROUND(N(资金日记账!$H116),2))))</f>
        <v/>
      </c>
      <c r="P123" s="0" t="str">
        <f aca="false">IF($G123=0,"",IF(资金日记账!$L116=0,"",资金日记账!$L116))</f>
        <v/>
      </c>
      <c r="T123" s="0" t="str">
        <f aca="false">IF(资金日记账!$G123="","",资金日记账!$G123)</f>
        <v>厨房吃</v>
      </c>
      <c r="U123" s="0" t="n">
        <f aca="false">IF(T123="",0,IF(MATCH(T123,$T$4:$T$903,0)=ROW()-3,1,0))</f>
        <v>0</v>
      </c>
      <c r="V123" s="0" t="n">
        <f aca="false">N(V122)+U123</f>
        <v>30</v>
      </c>
      <c r="Z123" s="0" t="str">
        <f aca="false">IF(成本费用登记表!$C123="","",成本费用登记表!$C123)</f>
        <v/>
      </c>
      <c r="AA123" s="0" t="n">
        <f aca="false">IF(Z123="",0,IF(MATCH(Z123,$Z$4:$Z$303,0)=ROW()-3,1,0))</f>
        <v>0</v>
      </c>
      <c r="AB123" s="0" t="n">
        <f aca="false">N(AB122)+AA123</f>
        <v>0</v>
      </c>
      <c r="AD123" s="0" t="str">
        <f aca="false">IFERROR(INDEX($Z$4:$Z$303,MATCH(120,$AB$4:$AB$303,0)),"")</f>
        <v/>
      </c>
      <c r="AF123" s="0" t="str">
        <f aca="false">IF(OR(资金日记账!$E123="",N(资金日记账!$H123)=0),"",资金日记账!$E123)</f>
        <v/>
      </c>
      <c r="AG123" s="0" t="n">
        <f aca="false">IF(AF123="",0,IF(MATCH(AF123,$AF$4:$AF$603,0)=ROW()-3,1,0))</f>
        <v>0</v>
      </c>
      <c r="AH123" s="0" t="n">
        <f aca="false">N(AH122)+AG123</f>
        <v>5</v>
      </c>
    </row>
    <row r="124" customFormat="false" ht="13.5" hidden="false" customHeight="false" outlineLevel="0" collapsed="false">
      <c r="A124" s="0" t="str">
        <f aca="false">IF(((进销存对接!$D124="客户应收")+(进销存对接!$D124="成品销售款")+(进销存对接!$D124="公司购买果品款")+(进销存对接!$D124="筐子销售款")+(进销存对接!$D124="物料销售款"))&gt;0,进销存对接!$C124,"")</f>
        <v/>
      </c>
      <c r="B124" s="0" t="n">
        <f aca="false">IF(A124="",0,IF(MATCH(A124,$A$4:$A$1925,0)=ROW()-3,1,0))</f>
        <v>0</v>
      </c>
      <c r="C124" s="0" t="n">
        <f aca="false">N(C123)+B124</f>
        <v>6</v>
      </c>
      <c r="E124" s="0" t="str">
        <f aca="false">IFERROR(INDEX($A$4:$A$1925,MATCH(ROW()-3,$C$4:$C$1925,0)),"")</f>
        <v/>
      </c>
      <c r="G124" s="0" t="n">
        <f aca="false">IF(OR($G$1="",资金日记账!$E117="",资金日记账!$E117&lt;&gt;$G$1),0,IF(NOT(OR(N(资金日记账!$H117)&lt;&gt;0,N(资金日记账!$I117)&lt;&gt;0)),0,IF(资金日记账!$B117="",1,IF(OR(N(资金日记账!$B117)&lt;$H$1,N(资金日记账!$B117)&gt;$I$1),0,1))))</f>
        <v>0</v>
      </c>
      <c r="H124" s="0" t="n">
        <f aca="false">N(H123)+$G124</f>
        <v>3</v>
      </c>
      <c r="I124" s="0" t="str">
        <f aca="false">IF($G124=0,"",IF(资金日记账!$B117=0,"",资金日记账!$B117))</f>
        <v/>
      </c>
      <c r="J124" s="0" t="str">
        <f aca="false">IF($G124=0,"",IF(资金日记账!$D117=0,"",资金日记账!$D117))</f>
        <v/>
      </c>
      <c r="K124" s="0" t="str">
        <f aca="false">IF($G124=0,"",IF(""=0,"",""))</f>
        <v/>
      </c>
      <c r="L124" s="0" t="str">
        <f aca="false">IF($G124=0,"",IF(""=0,"",""))</f>
        <v/>
      </c>
      <c r="M124" s="0" t="str">
        <f aca="false">IF($G124=0,"",IF(""=0,"",""))</f>
        <v/>
      </c>
      <c r="N124" s="0" t="str">
        <f aca="false">IF($G124=0,"",IF(IF(N(资金日记账!$I117)=0,"",-ROUND(N(资金日记账!$I117),2))=0,"",IF(N(资金日记账!$I117)=0,"",-ROUND(N(资金日记账!$I117),2))))</f>
        <v/>
      </c>
      <c r="O124" s="0" t="str">
        <f aca="false">IF($G124=0,"",IF(IF(N(资金日记账!$H117)=0,"",ROUND(N(资金日记账!$H117),2))=0,"",IF(N(资金日记账!$H117)=0,"",ROUND(N(资金日记账!$H117),2))))</f>
        <v/>
      </c>
      <c r="P124" s="0" t="str">
        <f aca="false">IF($G124=0,"",IF(资金日记账!$L117=0,"",资金日记账!$L117))</f>
        <v/>
      </c>
      <c r="T124" s="0" t="str">
        <f aca="false">IF(资金日记账!$G124="","",资金日记账!$G124)</f>
        <v/>
      </c>
      <c r="U124" s="0" t="n">
        <f aca="false">IF(T124="",0,IF(MATCH(T124,$T$4:$T$903,0)=ROW()-3,1,0))</f>
        <v>0</v>
      </c>
      <c r="V124" s="0" t="n">
        <f aca="false">N(V123)+U124</f>
        <v>30</v>
      </c>
      <c r="Z124" s="0" t="str">
        <f aca="false">IF(成本费用登记表!$C124="","",成本费用登记表!$C124)</f>
        <v/>
      </c>
      <c r="AA124" s="0" t="n">
        <f aca="false">IF(Z124="",0,IF(MATCH(Z124,$Z$4:$Z$303,0)=ROW()-3,1,0))</f>
        <v>0</v>
      </c>
      <c r="AB124" s="0" t="n">
        <f aca="false">N(AB123)+AA124</f>
        <v>0</v>
      </c>
      <c r="AD124" s="0" t="str">
        <f aca="false">IFERROR(INDEX($Z$4:$Z$303,MATCH(121,$AB$4:$AB$303,0)),"")</f>
        <v/>
      </c>
      <c r="AF124" s="0" t="str">
        <f aca="false">IF(OR(资金日记账!$E124="",N(资金日记账!$H124)=0),"",资金日记账!$E124)</f>
        <v/>
      </c>
      <c r="AG124" s="0" t="n">
        <f aca="false">IF(AF124="",0,IF(MATCH(AF124,$AF$4:$AF$603,0)=ROW()-3,1,0))</f>
        <v>0</v>
      </c>
      <c r="AH124" s="0" t="n">
        <f aca="false">N(AH123)+AG124</f>
        <v>5</v>
      </c>
    </row>
    <row r="125" customFormat="false" ht="13.5" hidden="false" customHeight="false" outlineLevel="0" collapsed="false">
      <c r="A125" s="0" t="str">
        <f aca="false">IF(((进销存对接!$D125="客户应收")+(进销存对接!$D125="成品销售款")+(进销存对接!$D125="公司购买果品款")+(进销存对接!$D125="筐子销售款")+(进销存对接!$D125="物料销售款"))&gt;0,进销存对接!$C125,"")</f>
        <v/>
      </c>
      <c r="B125" s="0" t="n">
        <f aca="false">IF(A125="",0,IF(MATCH(A125,$A$4:$A$1925,0)=ROW()-3,1,0))</f>
        <v>0</v>
      </c>
      <c r="C125" s="0" t="n">
        <f aca="false">N(C124)+B125</f>
        <v>6</v>
      </c>
      <c r="E125" s="0" t="str">
        <f aca="false">IFERROR(INDEX($A$4:$A$1925,MATCH(ROW()-3,$C$4:$C$1925,0)),"")</f>
        <v/>
      </c>
      <c r="G125" s="0" t="n">
        <f aca="false">IF(OR($G$1="",资金日记账!$E118="",资金日记账!$E118&lt;&gt;$G$1),0,IF(NOT(OR(N(资金日记账!$H118)&lt;&gt;0,N(资金日记账!$I118)&lt;&gt;0)),0,IF(资金日记账!$B118="",1,IF(OR(N(资金日记账!$B118)&lt;$H$1,N(资金日记账!$B118)&gt;$I$1),0,1))))</f>
        <v>0</v>
      </c>
      <c r="H125" s="0" t="n">
        <f aca="false">N(H124)+$G125</f>
        <v>3</v>
      </c>
      <c r="I125" s="0" t="str">
        <f aca="false">IF($G125=0,"",IF(资金日记账!$B118=0,"",资金日记账!$B118))</f>
        <v/>
      </c>
      <c r="J125" s="0" t="str">
        <f aca="false">IF($G125=0,"",IF(资金日记账!$D118=0,"",资金日记账!$D118))</f>
        <v/>
      </c>
      <c r="K125" s="0" t="str">
        <f aca="false">IF($G125=0,"",IF(""=0,"",""))</f>
        <v/>
      </c>
      <c r="L125" s="0" t="str">
        <f aca="false">IF($G125=0,"",IF(""=0,"",""))</f>
        <v/>
      </c>
      <c r="M125" s="0" t="str">
        <f aca="false">IF($G125=0,"",IF(""=0,"",""))</f>
        <v/>
      </c>
      <c r="N125" s="0" t="str">
        <f aca="false">IF($G125=0,"",IF(IF(N(资金日记账!$I118)=0,"",-ROUND(N(资金日记账!$I118),2))=0,"",IF(N(资金日记账!$I118)=0,"",-ROUND(N(资金日记账!$I118),2))))</f>
        <v/>
      </c>
      <c r="O125" s="0" t="str">
        <f aca="false">IF($G125=0,"",IF(IF(N(资金日记账!$H118)=0,"",ROUND(N(资金日记账!$H118),2))=0,"",IF(N(资金日记账!$H118)=0,"",ROUND(N(资金日记账!$H118),2))))</f>
        <v/>
      </c>
      <c r="P125" s="0" t="str">
        <f aca="false">IF($G125=0,"",IF(资金日记账!$L118=0,"",资金日记账!$L118))</f>
        <v/>
      </c>
      <c r="T125" s="0" t="str">
        <f aca="false">IF(资金日记账!$G125="","",资金日记账!$G125)</f>
        <v>送礼</v>
      </c>
      <c r="U125" s="0" t="n">
        <f aca="false">IF(T125="",0,IF(MATCH(T125,$T$4:$T$903,0)=ROW()-3,1,0))</f>
        <v>0</v>
      </c>
      <c r="V125" s="0" t="n">
        <f aca="false">N(V124)+U125</f>
        <v>30</v>
      </c>
      <c r="Z125" s="0" t="str">
        <f aca="false">IF(成本费用登记表!$C125="","",成本费用登记表!$C125)</f>
        <v/>
      </c>
      <c r="AA125" s="0" t="n">
        <f aca="false">IF(Z125="",0,IF(MATCH(Z125,$Z$4:$Z$303,0)=ROW()-3,1,0))</f>
        <v>0</v>
      </c>
      <c r="AB125" s="0" t="n">
        <f aca="false">N(AB124)+AA125</f>
        <v>0</v>
      </c>
      <c r="AD125" s="0" t="str">
        <f aca="false">IFERROR(INDEX($Z$4:$Z$303,MATCH(122,$AB$4:$AB$303,0)),"")</f>
        <v/>
      </c>
      <c r="AF125" s="0" t="str">
        <f aca="false">IF(OR(资金日记账!$E125="",N(资金日记账!$H125)=0),"",资金日记账!$E125)</f>
        <v/>
      </c>
      <c r="AG125" s="0" t="n">
        <f aca="false">IF(AF125="",0,IF(MATCH(AF125,$AF$4:$AF$603,0)=ROW()-3,1,0))</f>
        <v>0</v>
      </c>
      <c r="AH125" s="0" t="n">
        <f aca="false">N(AH124)+AG125</f>
        <v>5</v>
      </c>
    </row>
    <row r="126" customFormat="false" ht="13.5" hidden="false" customHeight="false" outlineLevel="0" collapsed="false">
      <c r="A126" s="0" t="str">
        <f aca="false">IF(((进销存对接!$D126="客户应收")+(进销存对接!$D126="成品销售款")+(进销存对接!$D126="公司购买果品款")+(进销存对接!$D126="筐子销售款")+(进销存对接!$D126="物料销售款"))&gt;0,进销存对接!$C126,"")</f>
        <v/>
      </c>
      <c r="B126" s="0" t="n">
        <f aca="false">IF(A126="",0,IF(MATCH(A126,$A$4:$A$1925,0)=ROW()-3,1,0))</f>
        <v>0</v>
      </c>
      <c r="C126" s="0" t="n">
        <f aca="false">N(C125)+B126</f>
        <v>6</v>
      </c>
      <c r="E126" s="0" t="str">
        <f aca="false">IFERROR(INDEX($A$4:$A$1925,MATCH(ROW()-3,$C$4:$C$1925,0)),"")</f>
        <v/>
      </c>
      <c r="G126" s="0" t="n">
        <f aca="false">IF(OR($G$1="",资金日记账!$E119="",资金日记账!$E119&lt;&gt;$G$1),0,IF(NOT(OR(N(资金日记账!$H119)&lt;&gt;0,N(资金日记账!$I119)&lt;&gt;0)),0,IF(资金日记账!$B119="",1,IF(OR(N(资金日记账!$B119)&lt;$H$1,N(资金日记账!$B119)&gt;$I$1),0,1))))</f>
        <v>0</v>
      </c>
      <c r="H126" s="0" t="n">
        <f aca="false">N(H125)+$G126</f>
        <v>3</v>
      </c>
      <c r="I126" s="0" t="str">
        <f aca="false">IF($G126=0,"",IF(资金日记账!$B119=0,"",资金日记账!$B119))</f>
        <v/>
      </c>
      <c r="J126" s="0" t="str">
        <f aca="false">IF($G126=0,"",IF(资金日记账!$D119=0,"",资金日记账!$D119))</f>
        <v/>
      </c>
      <c r="K126" s="0" t="str">
        <f aca="false">IF($G126=0,"",IF(""=0,"",""))</f>
        <v/>
      </c>
      <c r="L126" s="0" t="str">
        <f aca="false">IF($G126=0,"",IF(""=0,"",""))</f>
        <v/>
      </c>
      <c r="M126" s="0" t="str">
        <f aca="false">IF($G126=0,"",IF(""=0,"",""))</f>
        <v/>
      </c>
      <c r="N126" s="0" t="str">
        <f aca="false">IF($G126=0,"",IF(IF(N(资金日记账!$I119)=0,"",-ROUND(N(资金日记账!$I119),2))=0,"",IF(N(资金日记账!$I119)=0,"",-ROUND(N(资金日记账!$I119),2))))</f>
        <v/>
      </c>
      <c r="O126" s="0" t="str">
        <f aca="false">IF($G126=0,"",IF(IF(N(资金日记账!$H119)=0,"",ROUND(N(资金日记账!$H119),2))=0,"",IF(N(资金日记账!$H119)=0,"",ROUND(N(资金日记账!$H119),2))))</f>
        <v/>
      </c>
      <c r="P126" s="0" t="str">
        <f aca="false">IF($G126=0,"",IF(资金日记账!$L119=0,"",资金日记账!$L119))</f>
        <v/>
      </c>
      <c r="T126" s="0" t="str">
        <f aca="false">IF(资金日记账!$G126="","",资金日记账!$G126)</f>
        <v>送礼</v>
      </c>
      <c r="U126" s="0" t="n">
        <f aca="false">IF(T126="",0,IF(MATCH(T126,$T$4:$T$903,0)=ROW()-3,1,0))</f>
        <v>0</v>
      </c>
      <c r="V126" s="0" t="n">
        <f aca="false">N(V125)+U126</f>
        <v>30</v>
      </c>
      <c r="Z126" s="0" t="str">
        <f aca="false">IF(成本费用登记表!$C126="","",成本费用登记表!$C126)</f>
        <v/>
      </c>
      <c r="AA126" s="0" t="n">
        <f aca="false">IF(Z126="",0,IF(MATCH(Z126,$Z$4:$Z$303,0)=ROW()-3,1,0))</f>
        <v>0</v>
      </c>
      <c r="AB126" s="0" t="n">
        <f aca="false">N(AB125)+AA126</f>
        <v>0</v>
      </c>
      <c r="AD126" s="0" t="str">
        <f aca="false">IFERROR(INDEX($Z$4:$Z$303,MATCH(123,$AB$4:$AB$303,0)),"")</f>
        <v/>
      </c>
      <c r="AF126" s="0" t="str">
        <f aca="false">IF(OR(资金日记账!$E126="",N(资金日记账!$H126)=0),"",资金日记账!$E126)</f>
        <v/>
      </c>
      <c r="AG126" s="0" t="n">
        <f aca="false">IF(AF126="",0,IF(MATCH(AF126,$AF$4:$AF$603,0)=ROW()-3,1,0))</f>
        <v>0</v>
      </c>
      <c r="AH126" s="0" t="n">
        <f aca="false">N(AH125)+AG126</f>
        <v>5</v>
      </c>
    </row>
    <row r="127" customFormat="false" ht="13.5" hidden="false" customHeight="false" outlineLevel="0" collapsed="false">
      <c r="A127" s="0" t="str">
        <f aca="false">IF(((进销存对接!$D127="客户应收")+(进销存对接!$D127="成品销售款")+(进销存对接!$D127="公司购买果品款")+(进销存对接!$D127="筐子销售款")+(进销存对接!$D127="物料销售款"))&gt;0,进销存对接!$C127,"")</f>
        <v/>
      </c>
      <c r="B127" s="0" t="n">
        <f aca="false">IF(A127="",0,IF(MATCH(A127,$A$4:$A$1925,0)=ROW()-3,1,0))</f>
        <v>0</v>
      </c>
      <c r="C127" s="0" t="n">
        <f aca="false">N(C126)+B127</f>
        <v>6</v>
      </c>
      <c r="E127" s="0" t="str">
        <f aca="false">IFERROR(INDEX($A$4:$A$1925,MATCH(ROW()-3,$C$4:$C$1925,0)),"")</f>
        <v/>
      </c>
      <c r="G127" s="0" t="n">
        <f aca="false">IF(OR($G$1="",资金日记账!$E120="",资金日记账!$E120&lt;&gt;$G$1),0,IF(NOT(OR(N(资金日记账!$H120)&lt;&gt;0,N(资金日记账!$I120)&lt;&gt;0)),0,IF(资金日记账!$B120="",1,IF(OR(N(资金日记账!$B120)&lt;$H$1,N(资金日记账!$B120)&gt;$I$1),0,1))))</f>
        <v>0</v>
      </c>
      <c r="H127" s="0" t="n">
        <f aca="false">N(H126)+$G127</f>
        <v>3</v>
      </c>
      <c r="I127" s="0" t="str">
        <f aca="false">IF($G127=0,"",IF(资金日记账!$B120=0,"",资金日记账!$B120))</f>
        <v/>
      </c>
      <c r="J127" s="0" t="str">
        <f aca="false">IF($G127=0,"",IF(资金日记账!$D120=0,"",资金日记账!$D120))</f>
        <v/>
      </c>
      <c r="K127" s="0" t="str">
        <f aca="false">IF($G127=0,"",IF(""=0,"",""))</f>
        <v/>
      </c>
      <c r="L127" s="0" t="str">
        <f aca="false">IF($G127=0,"",IF(""=0,"",""))</f>
        <v/>
      </c>
      <c r="M127" s="0" t="str">
        <f aca="false">IF($G127=0,"",IF(""=0,"",""))</f>
        <v/>
      </c>
      <c r="N127" s="0" t="str">
        <f aca="false">IF($G127=0,"",IF(IF(N(资金日记账!$I120)=0,"",-ROUND(N(资金日记账!$I120),2))=0,"",IF(N(资金日记账!$I120)=0,"",-ROUND(N(资金日记账!$I120),2))))</f>
        <v/>
      </c>
      <c r="O127" s="0" t="str">
        <f aca="false">IF($G127=0,"",IF(IF(N(资金日记账!$H120)=0,"",ROUND(N(资金日记账!$H120),2))=0,"",IF(N(资金日记账!$H120)=0,"",ROUND(N(资金日记账!$H120),2))))</f>
        <v/>
      </c>
      <c r="P127" s="0" t="str">
        <f aca="false">IF($G127=0,"",IF(资金日记账!$L120=0,"",资金日记账!$L120))</f>
        <v/>
      </c>
      <c r="T127" s="0" t="str">
        <f aca="false">IF(资金日记账!$G127="","",资金日记账!$G127)</f>
        <v>劳保</v>
      </c>
      <c r="U127" s="0" t="n">
        <f aca="false">IF(T127="",0,IF(MATCH(T127,$T$4:$T$903,0)=ROW()-3,1,0))</f>
        <v>0</v>
      </c>
      <c r="V127" s="0" t="n">
        <f aca="false">N(V126)+U127</f>
        <v>30</v>
      </c>
      <c r="Z127" s="0" t="str">
        <f aca="false">IF(成本费用登记表!$C127="","",成本费用登记表!$C127)</f>
        <v/>
      </c>
      <c r="AA127" s="0" t="n">
        <f aca="false">IF(Z127="",0,IF(MATCH(Z127,$Z$4:$Z$303,0)=ROW()-3,1,0))</f>
        <v>0</v>
      </c>
      <c r="AB127" s="0" t="n">
        <f aca="false">N(AB126)+AA127</f>
        <v>0</v>
      </c>
      <c r="AD127" s="0" t="str">
        <f aca="false">IFERROR(INDEX($Z$4:$Z$303,MATCH(124,$AB$4:$AB$303,0)),"")</f>
        <v/>
      </c>
      <c r="AF127" s="0" t="str">
        <f aca="false">IF(OR(资金日记账!$E127="",N(资金日记账!$H127)=0),"",资金日记账!$E127)</f>
        <v/>
      </c>
      <c r="AG127" s="0" t="n">
        <f aca="false">IF(AF127="",0,IF(MATCH(AF127,$AF$4:$AF$603,0)=ROW()-3,1,0))</f>
        <v>0</v>
      </c>
      <c r="AH127" s="0" t="n">
        <f aca="false">N(AH126)+AG127</f>
        <v>5</v>
      </c>
    </row>
    <row r="128" customFormat="false" ht="13.5" hidden="false" customHeight="false" outlineLevel="0" collapsed="false">
      <c r="A128" s="0" t="str">
        <f aca="false">IF(((进销存对接!$D128="客户应收")+(进销存对接!$D128="成品销售款")+(进销存对接!$D128="公司购买果品款")+(进销存对接!$D128="筐子销售款")+(进销存对接!$D128="物料销售款"))&gt;0,进销存对接!$C128,"")</f>
        <v/>
      </c>
      <c r="B128" s="0" t="n">
        <f aca="false">IF(A128="",0,IF(MATCH(A128,$A$4:$A$1925,0)=ROW()-3,1,0))</f>
        <v>0</v>
      </c>
      <c r="C128" s="0" t="n">
        <f aca="false">N(C127)+B128</f>
        <v>6</v>
      </c>
      <c r="E128" s="0" t="str">
        <f aca="false">IFERROR(INDEX($A$4:$A$1925,MATCH(ROW()-3,$C$4:$C$1925,0)),"")</f>
        <v/>
      </c>
      <c r="G128" s="0" t="n">
        <f aca="false">IF(OR($G$1="",资金日记账!$E121="",资金日记账!$E121&lt;&gt;$G$1),0,IF(NOT(OR(N(资金日记账!$H121)&lt;&gt;0,N(资金日记账!$I121)&lt;&gt;0)),0,IF(资金日记账!$B121="",1,IF(OR(N(资金日记账!$B121)&lt;$H$1,N(资金日记账!$B121)&gt;$I$1),0,1))))</f>
        <v>0</v>
      </c>
      <c r="H128" s="0" t="n">
        <f aca="false">N(H127)+$G128</f>
        <v>3</v>
      </c>
      <c r="I128" s="0" t="str">
        <f aca="false">IF($G128=0,"",IF(资金日记账!$B121=0,"",资金日记账!$B121))</f>
        <v/>
      </c>
      <c r="J128" s="0" t="str">
        <f aca="false">IF($G128=0,"",IF(资金日记账!$D121=0,"",资金日记账!$D121))</f>
        <v/>
      </c>
      <c r="K128" s="0" t="str">
        <f aca="false">IF($G128=0,"",IF(""=0,"",""))</f>
        <v/>
      </c>
      <c r="L128" s="0" t="str">
        <f aca="false">IF($G128=0,"",IF(""=0,"",""))</f>
        <v/>
      </c>
      <c r="M128" s="0" t="str">
        <f aca="false">IF($G128=0,"",IF(""=0,"",""))</f>
        <v/>
      </c>
      <c r="N128" s="0" t="str">
        <f aca="false">IF($G128=0,"",IF(IF(N(资金日记账!$I121)=0,"",-ROUND(N(资金日记账!$I121),2))=0,"",IF(N(资金日记账!$I121)=0,"",-ROUND(N(资金日记账!$I121),2))))</f>
        <v/>
      </c>
      <c r="O128" s="0" t="str">
        <f aca="false">IF($G128=0,"",IF(IF(N(资金日记账!$H121)=0,"",ROUND(N(资金日记账!$H121),2))=0,"",IF(N(资金日记账!$H121)=0,"",ROUND(N(资金日记账!$H121),2))))</f>
        <v/>
      </c>
      <c r="P128" s="0" t="str">
        <f aca="false">IF($G128=0,"",IF(资金日记账!$L121=0,"",资金日记账!$L121))</f>
        <v/>
      </c>
      <c r="T128" s="0" t="str">
        <f aca="false">IF(资金日记账!$G128="","",资金日记账!$G128)</f>
        <v/>
      </c>
      <c r="U128" s="0" t="n">
        <f aca="false">IF(T128="",0,IF(MATCH(T128,$T$4:$T$903,0)=ROW()-3,1,0))</f>
        <v>0</v>
      </c>
      <c r="V128" s="0" t="n">
        <f aca="false">N(V127)+U128</f>
        <v>30</v>
      </c>
      <c r="Z128" s="0" t="str">
        <f aca="false">IF(成本费用登记表!$C128="","",成本费用登记表!$C128)</f>
        <v/>
      </c>
      <c r="AA128" s="0" t="n">
        <f aca="false">IF(Z128="",0,IF(MATCH(Z128,$Z$4:$Z$303,0)=ROW()-3,1,0))</f>
        <v>0</v>
      </c>
      <c r="AB128" s="0" t="n">
        <f aca="false">N(AB127)+AA128</f>
        <v>0</v>
      </c>
      <c r="AD128" s="0" t="str">
        <f aca="false">IFERROR(INDEX($Z$4:$Z$303,MATCH(125,$AB$4:$AB$303,0)),"")</f>
        <v/>
      </c>
      <c r="AF128" s="0" t="str">
        <f aca="false">IF(OR(资金日记账!$E128="",N(资金日记账!$H128)=0),"",资金日记账!$E128)</f>
        <v/>
      </c>
      <c r="AG128" s="0" t="n">
        <f aca="false">IF(AF128="",0,IF(MATCH(AF128,$AF$4:$AF$603,0)=ROW()-3,1,0))</f>
        <v>0</v>
      </c>
      <c r="AH128" s="0" t="n">
        <f aca="false">N(AH127)+AG128</f>
        <v>5</v>
      </c>
    </row>
    <row r="129" customFormat="false" ht="13.5" hidden="false" customHeight="false" outlineLevel="0" collapsed="false">
      <c r="A129" s="0" t="str">
        <f aca="false">IF(((进销存对接!$D129="客户应收")+(进销存对接!$D129="成品销售款")+(进销存对接!$D129="公司购买果品款")+(进销存对接!$D129="筐子销售款")+(进销存对接!$D129="物料销售款"))&gt;0,进销存对接!$C129,"")</f>
        <v/>
      </c>
      <c r="B129" s="0" t="n">
        <f aca="false">IF(A129="",0,IF(MATCH(A129,$A$4:$A$1925,0)=ROW()-3,1,0))</f>
        <v>0</v>
      </c>
      <c r="C129" s="0" t="n">
        <f aca="false">N(C128)+B129</f>
        <v>6</v>
      </c>
      <c r="E129" s="0" t="str">
        <f aca="false">IFERROR(INDEX($A$4:$A$1925,MATCH(ROW()-3,$C$4:$C$1925,0)),"")</f>
        <v/>
      </c>
      <c r="G129" s="0" t="n">
        <f aca="false">IF(OR($G$1="",资金日记账!$E122="",资金日记账!$E122&lt;&gt;$G$1),0,IF(NOT(OR(N(资金日记账!$H122)&lt;&gt;0,N(资金日记账!$I122)&lt;&gt;0)),0,IF(资金日记账!$B122="",1,IF(OR(N(资金日记账!$B122)&lt;$H$1,N(资金日记账!$B122)&gt;$I$1),0,1))))</f>
        <v>0</v>
      </c>
      <c r="H129" s="0" t="n">
        <f aca="false">N(H128)+$G129</f>
        <v>3</v>
      </c>
      <c r="I129" s="0" t="str">
        <f aca="false">IF($G129=0,"",IF(资金日记账!$B122=0,"",资金日记账!$B122))</f>
        <v/>
      </c>
      <c r="J129" s="0" t="str">
        <f aca="false">IF($G129=0,"",IF(资金日记账!$D122=0,"",资金日记账!$D122))</f>
        <v/>
      </c>
      <c r="K129" s="0" t="str">
        <f aca="false">IF($G129=0,"",IF(""=0,"",""))</f>
        <v/>
      </c>
      <c r="L129" s="0" t="str">
        <f aca="false">IF($G129=0,"",IF(""=0,"",""))</f>
        <v/>
      </c>
      <c r="M129" s="0" t="str">
        <f aca="false">IF($G129=0,"",IF(""=0,"",""))</f>
        <v/>
      </c>
      <c r="N129" s="0" t="str">
        <f aca="false">IF($G129=0,"",IF(IF(N(资金日记账!$I122)=0,"",-ROUND(N(资金日记账!$I122),2))=0,"",IF(N(资金日记账!$I122)=0,"",-ROUND(N(资金日记账!$I122),2))))</f>
        <v/>
      </c>
      <c r="O129" s="0" t="str">
        <f aca="false">IF($G129=0,"",IF(IF(N(资金日记账!$H122)=0,"",ROUND(N(资金日记账!$H122),2))=0,"",IF(N(资金日记账!$H122)=0,"",ROUND(N(资金日记账!$H122),2))))</f>
        <v/>
      </c>
      <c r="P129" s="0" t="str">
        <f aca="false">IF($G129=0,"",IF(资金日记账!$L122=0,"",资金日记账!$L122))</f>
        <v/>
      </c>
      <c r="T129" s="0" t="str">
        <f aca="false">IF(资金日记账!$G129="","",资金日记账!$G129)</f>
        <v/>
      </c>
      <c r="U129" s="0" t="n">
        <f aca="false">IF(T129="",0,IF(MATCH(T129,$T$4:$T$903,0)=ROW()-3,1,0))</f>
        <v>0</v>
      </c>
      <c r="V129" s="0" t="n">
        <f aca="false">N(V128)+U129</f>
        <v>30</v>
      </c>
      <c r="Z129" s="0" t="str">
        <f aca="false">IF(成本费用登记表!$C129="","",成本费用登记表!$C129)</f>
        <v/>
      </c>
      <c r="AA129" s="0" t="n">
        <f aca="false">IF(Z129="",0,IF(MATCH(Z129,$Z$4:$Z$303,0)=ROW()-3,1,0))</f>
        <v>0</v>
      </c>
      <c r="AB129" s="0" t="n">
        <f aca="false">N(AB128)+AA129</f>
        <v>0</v>
      </c>
      <c r="AD129" s="0" t="str">
        <f aca="false">IFERROR(INDEX($Z$4:$Z$303,MATCH(126,$AB$4:$AB$303,0)),"")</f>
        <v/>
      </c>
      <c r="AF129" s="0" t="str">
        <f aca="false">IF(OR(资金日记账!$E129="",N(资金日记账!$H129)=0),"",资金日记账!$E129)</f>
        <v/>
      </c>
      <c r="AG129" s="0" t="n">
        <f aca="false">IF(AF129="",0,IF(MATCH(AF129,$AF$4:$AF$603,0)=ROW()-3,1,0))</f>
        <v>0</v>
      </c>
      <c r="AH129" s="0" t="n">
        <f aca="false">N(AH128)+AG129</f>
        <v>5</v>
      </c>
    </row>
    <row r="130" customFormat="false" ht="13.5" hidden="false" customHeight="false" outlineLevel="0" collapsed="false">
      <c r="A130" s="0" t="str">
        <f aca="false">IF(((进销存对接!$D130="客户应收")+(进销存对接!$D130="成品销售款")+(进销存对接!$D130="公司购买果品款")+(进销存对接!$D130="筐子销售款")+(进销存对接!$D130="物料销售款"))&gt;0,进销存对接!$C130,"")</f>
        <v/>
      </c>
      <c r="B130" s="0" t="n">
        <f aca="false">IF(A130="",0,IF(MATCH(A130,$A$4:$A$1925,0)=ROW()-3,1,0))</f>
        <v>0</v>
      </c>
      <c r="C130" s="0" t="n">
        <f aca="false">N(C129)+B130</f>
        <v>6</v>
      </c>
      <c r="E130" s="0" t="str">
        <f aca="false">IFERROR(INDEX($A$4:$A$1925,MATCH(ROW()-3,$C$4:$C$1925,0)),"")</f>
        <v/>
      </c>
      <c r="G130" s="0" t="n">
        <f aca="false">IF(OR($G$1="",资金日记账!$E123="",资金日记账!$E123&lt;&gt;$G$1),0,IF(NOT(OR(N(资金日记账!$H123)&lt;&gt;0,N(资金日记账!$I123)&lt;&gt;0)),0,IF(资金日记账!$B123="",1,IF(OR(N(资金日记账!$B123)&lt;$H$1,N(资金日记账!$B123)&gt;$I$1),0,1))))</f>
        <v>0</v>
      </c>
      <c r="H130" s="0" t="n">
        <f aca="false">N(H129)+$G130</f>
        <v>3</v>
      </c>
      <c r="I130" s="0" t="str">
        <f aca="false">IF($G130=0,"",IF(资金日记账!$B123=0,"",资金日记账!$B123))</f>
        <v/>
      </c>
      <c r="J130" s="0" t="str">
        <f aca="false">IF($G130=0,"",IF(资金日记账!$D123=0,"",资金日记账!$D123))</f>
        <v/>
      </c>
      <c r="K130" s="0" t="str">
        <f aca="false">IF($G130=0,"",IF(""=0,"",""))</f>
        <v/>
      </c>
      <c r="L130" s="0" t="str">
        <f aca="false">IF($G130=0,"",IF(""=0,"",""))</f>
        <v/>
      </c>
      <c r="M130" s="0" t="str">
        <f aca="false">IF($G130=0,"",IF(""=0,"",""))</f>
        <v/>
      </c>
      <c r="N130" s="0" t="str">
        <f aca="false">IF($G130=0,"",IF(IF(N(资金日记账!$I123)=0,"",-ROUND(N(资金日记账!$I123),2))=0,"",IF(N(资金日记账!$I123)=0,"",-ROUND(N(资金日记账!$I123),2))))</f>
        <v/>
      </c>
      <c r="O130" s="0" t="str">
        <f aca="false">IF($G130=0,"",IF(IF(N(资金日记账!$H123)=0,"",ROUND(N(资金日记账!$H123),2))=0,"",IF(N(资金日记账!$H123)=0,"",ROUND(N(资金日记账!$H123),2))))</f>
        <v/>
      </c>
      <c r="P130" s="0" t="str">
        <f aca="false">IF($G130=0,"",IF(资金日记账!$L123=0,"",资金日记账!$L123))</f>
        <v/>
      </c>
      <c r="T130" s="0" t="str">
        <f aca="false">IF(资金日记账!$G130="","",资金日记账!$G130)</f>
        <v/>
      </c>
      <c r="U130" s="0" t="n">
        <f aca="false">IF(T130="",0,IF(MATCH(T130,$T$4:$T$903,0)=ROW()-3,1,0))</f>
        <v>0</v>
      </c>
      <c r="V130" s="0" t="n">
        <f aca="false">N(V129)+U130</f>
        <v>30</v>
      </c>
      <c r="Z130" s="0" t="str">
        <f aca="false">IF(成本费用登记表!$C130="","",成本费用登记表!$C130)</f>
        <v/>
      </c>
      <c r="AA130" s="0" t="n">
        <f aca="false">IF(Z130="",0,IF(MATCH(Z130,$Z$4:$Z$303,0)=ROW()-3,1,0))</f>
        <v>0</v>
      </c>
      <c r="AB130" s="0" t="n">
        <f aca="false">N(AB129)+AA130</f>
        <v>0</v>
      </c>
      <c r="AD130" s="0" t="str">
        <f aca="false">IFERROR(INDEX($Z$4:$Z$303,MATCH(127,$AB$4:$AB$303,0)),"")</f>
        <v/>
      </c>
      <c r="AF130" s="0" t="str">
        <f aca="false">IF(OR(资金日记账!$E130="",N(资金日记账!$H130)=0),"",资金日记账!$E130)</f>
        <v/>
      </c>
      <c r="AG130" s="0" t="n">
        <f aca="false">IF(AF130="",0,IF(MATCH(AF130,$AF$4:$AF$603,0)=ROW()-3,1,0))</f>
        <v>0</v>
      </c>
      <c r="AH130" s="0" t="n">
        <f aca="false">N(AH129)+AG130</f>
        <v>5</v>
      </c>
    </row>
    <row r="131" customFormat="false" ht="13.5" hidden="false" customHeight="false" outlineLevel="0" collapsed="false">
      <c r="A131" s="0" t="str">
        <f aca="false">IF(((进销存对接!$D131="客户应收")+(进销存对接!$D131="成品销售款")+(进销存对接!$D131="公司购买果品款")+(进销存对接!$D131="筐子销售款")+(进销存对接!$D131="物料销售款"))&gt;0,进销存对接!$C131,"")</f>
        <v/>
      </c>
      <c r="B131" s="0" t="n">
        <f aca="false">IF(A131="",0,IF(MATCH(A131,$A$4:$A$1925,0)=ROW()-3,1,0))</f>
        <v>0</v>
      </c>
      <c r="C131" s="0" t="n">
        <f aca="false">N(C130)+B131</f>
        <v>6</v>
      </c>
      <c r="E131" s="0" t="str">
        <f aca="false">IFERROR(INDEX($A$4:$A$1925,MATCH(ROW()-3,$C$4:$C$1925,0)),"")</f>
        <v/>
      </c>
      <c r="G131" s="0" t="n">
        <f aca="false">IF(OR($G$1="",资金日记账!$E124="",资金日记账!$E124&lt;&gt;$G$1),0,IF(NOT(OR(N(资金日记账!$H124)&lt;&gt;0,N(资金日记账!$I124)&lt;&gt;0)),0,IF(资金日记账!$B124="",1,IF(OR(N(资金日记账!$B124)&lt;$H$1,N(资金日记账!$B124)&gt;$I$1),0,1))))</f>
        <v>0</v>
      </c>
      <c r="H131" s="0" t="n">
        <f aca="false">N(H130)+$G131</f>
        <v>3</v>
      </c>
      <c r="I131" s="0" t="str">
        <f aca="false">IF($G131=0,"",IF(资金日记账!$B124=0,"",资金日记账!$B124))</f>
        <v/>
      </c>
      <c r="J131" s="0" t="str">
        <f aca="false">IF($G131=0,"",IF(资金日记账!$D124=0,"",资金日记账!$D124))</f>
        <v/>
      </c>
      <c r="K131" s="0" t="str">
        <f aca="false">IF($G131=0,"",IF(""=0,"",""))</f>
        <v/>
      </c>
      <c r="L131" s="0" t="str">
        <f aca="false">IF($G131=0,"",IF(""=0,"",""))</f>
        <v/>
      </c>
      <c r="M131" s="0" t="str">
        <f aca="false">IF($G131=0,"",IF(""=0,"",""))</f>
        <v/>
      </c>
      <c r="N131" s="0" t="str">
        <f aca="false">IF($G131=0,"",IF(IF(N(资金日记账!$I124)=0,"",-ROUND(N(资金日记账!$I124),2))=0,"",IF(N(资金日记账!$I124)=0,"",-ROUND(N(资金日记账!$I124),2))))</f>
        <v/>
      </c>
      <c r="O131" s="0" t="str">
        <f aca="false">IF($G131=0,"",IF(IF(N(资金日记账!$H124)=0,"",ROUND(N(资金日记账!$H124),2))=0,"",IF(N(资金日记账!$H124)=0,"",ROUND(N(资金日记账!$H124),2))))</f>
        <v/>
      </c>
      <c r="P131" s="0" t="str">
        <f aca="false">IF($G131=0,"",IF(资金日记账!$L124=0,"",资金日记账!$L124))</f>
        <v/>
      </c>
      <c r="T131" s="0" t="str">
        <f aca="false">IF(资金日记账!$G131="","",资金日记账!$G131)</f>
        <v/>
      </c>
      <c r="U131" s="0" t="n">
        <f aca="false">IF(T131="",0,IF(MATCH(T131,$T$4:$T$903,0)=ROW()-3,1,0))</f>
        <v>0</v>
      </c>
      <c r="V131" s="0" t="n">
        <f aca="false">N(V130)+U131</f>
        <v>30</v>
      </c>
      <c r="Z131" s="0" t="str">
        <f aca="false">IF(成本费用登记表!$C131="","",成本费用登记表!$C131)</f>
        <v/>
      </c>
      <c r="AA131" s="0" t="n">
        <f aca="false">IF(Z131="",0,IF(MATCH(Z131,$Z$4:$Z$303,0)=ROW()-3,1,0))</f>
        <v>0</v>
      </c>
      <c r="AB131" s="0" t="n">
        <f aca="false">N(AB130)+AA131</f>
        <v>0</v>
      </c>
      <c r="AD131" s="0" t="str">
        <f aca="false">IFERROR(INDEX($Z$4:$Z$303,MATCH(128,$AB$4:$AB$303,0)),"")</f>
        <v/>
      </c>
      <c r="AF131" s="0" t="str">
        <f aca="false">IF(OR(资金日记账!$E131="",N(资金日记账!$H131)=0),"",资金日记账!$E131)</f>
        <v/>
      </c>
      <c r="AG131" s="0" t="n">
        <f aca="false">IF(AF131="",0,IF(MATCH(AF131,$AF$4:$AF$603,0)=ROW()-3,1,0))</f>
        <v>0</v>
      </c>
      <c r="AH131" s="0" t="n">
        <f aca="false">N(AH130)+AG131</f>
        <v>5</v>
      </c>
    </row>
    <row r="132" customFormat="false" ht="13.5" hidden="false" customHeight="false" outlineLevel="0" collapsed="false">
      <c r="A132" s="0" t="str">
        <f aca="false">IF(((进销存对接!$D132="客户应收")+(进销存对接!$D132="成品销售款")+(进销存对接!$D132="公司购买果品款")+(进销存对接!$D132="筐子销售款")+(进销存对接!$D132="物料销售款"))&gt;0,进销存对接!$C132,"")</f>
        <v/>
      </c>
      <c r="B132" s="0" t="n">
        <f aca="false">IF(A132="",0,IF(MATCH(A132,$A$4:$A$1925,0)=ROW()-3,1,0))</f>
        <v>0</v>
      </c>
      <c r="C132" s="0" t="n">
        <f aca="false">N(C131)+B132</f>
        <v>6</v>
      </c>
      <c r="E132" s="0" t="str">
        <f aca="false">IFERROR(INDEX($A$4:$A$1925,MATCH(ROW()-3,$C$4:$C$1925,0)),"")</f>
        <v/>
      </c>
      <c r="G132" s="0" t="n">
        <f aca="false">IF(OR($G$1="",资金日记账!$E125="",资金日记账!$E125&lt;&gt;$G$1),0,IF(NOT(OR(N(资金日记账!$H125)&lt;&gt;0,N(资金日记账!$I125)&lt;&gt;0)),0,IF(资金日记账!$B125="",1,IF(OR(N(资金日记账!$B125)&lt;$H$1,N(资金日记账!$B125)&gt;$I$1),0,1))))</f>
        <v>0</v>
      </c>
      <c r="H132" s="0" t="n">
        <f aca="false">N(H131)+$G132</f>
        <v>3</v>
      </c>
      <c r="I132" s="0" t="str">
        <f aca="false">IF($G132=0,"",IF(资金日记账!$B125=0,"",资金日记账!$B125))</f>
        <v/>
      </c>
      <c r="J132" s="0" t="str">
        <f aca="false">IF($G132=0,"",IF(资金日记账!$D125=0,"",资金日记账!$D125))</f>
        <v/>
      </c>
      <c r="K132" s="0" t="str">
        <f aca="false">IF($G132=0,"",IF(""=0,"",""))</f>
        <v/>
      </c>
      <c r="L132" s="0" t="str">
        <f aca="false">IF($G132=0,"",IF(""=0,"",""))</f>
        <v/>
      </c>
      <c r="M132" s="0" t="str">
        <f aca="false">IF($G132=0,"",IF(""=0,"",""))</f>
        <v/>
      </c>
      <c r="N132" s="0" t="str">
        <f aca="false">IF($G132=0,"",IF(IF(N(资金日记账!$I125)=0,"",-ROUND(N(资金日记账!$I125),2))=0,"",IF(N(资金日记账!$I125)=0,"",-ROUND(N(资金日记账!$I125),2))))</f>
        <v/>
      </c>
      <c r="O132" s="0" t="str">
        <f aca="false">IF($G132=0,"",IF(IF(N(资金日记账!$H125)=0,"",ROUND(N(资金日记账!$H125),2))=0,"",IF(N(资金日记账!$H125)=0,"",ROUND(N(资金日记账!$H125),2))))</f>
        <v/>
      </c>
      <c r="P132" s="0" t="str">
        <f aca="false">IF($G132=0,"",IF(资金日记账!$L125=0,"",资金日记账!$L125))</f>
        <v/>
      </c>
      <c r="T132" s="0" t="str">
        <f aca="false">IF(资金日记账!$G132="","",资金日记账!$G132)</f>
        <v/>
      </c>
      <c r="U132" s="0" t="n">
        <f aca="false">IF(T132="",0,IF(MATCH(T132,$T$4:$T$903,0)=ROW()-3,1,0))</f>
        <v>0</v>
      </c>
      <c r="V132" s="0" t="n">
        <f aca="false">N(V131)+U132</f>
        <v>30</v>
      </c>
      <c r="Z132" s="0" t="str">
        <f aca="false">IF(成本费用登记表!$C132="","",成本费用登记表!$C132)</f>
        <v/>
      </c>
      <c r="AA132" s="0" t="n">
        <f aca="false">IF(Z132="",0,IF(MATCH(Z132,$Z$4:$Z$303,0)=ROW()-3,1,0))</f>
        <v>0</v>
      </c>
      <c r="AB132" s="0" t="n">
        <f aca="false">N(AB131)+AA132</f>
        <v>0</v>
      </c>
      <c r="AD132" s="0" t="str">
        <f aca="false">IFERROR(INDEX($Z$4:$Z$303,MATCH(129,$AB$4:$AB$303,0)),"")</f>
        <v/>
      </c>
      <c r="AF132" s="0" t="str">
        <f aca="false">IF(OR(资金日记账!$E132="",N(资金日记账!$H132)=0),"",资金日记账!$E132)</f>
        <v/>
      </c>
      <c r="AG132" s="0" t="n">
        <f aca="false">IF(AF132="",0,IF(MATCH(AF132,$AF$4:$AF$603,0)=ROW()-3,1,0))</f>
        <v>0</v>
      </c>
      <c r="AH132" s="0" t="n">
        <f aca="false">N(AH131)+AG132</f>
        <v>5</v>
      </c>
    </row>
    <row r="133" customFormat="false" ht="13.5" hidden="false" customHeight="false" outlineLevel="0" collapsed="false">
      <c r="A133" s="0" t="str">
        <f aca="false">IF(((进销存对接!$D133="客户应收")+(进销存对接!$D133="成品销售款")+(进销存对接!$D133="公司购买果品款")+(进销存对接!$D133="筐子销售款")+(进销存对接!$D133="物料销售款"))&gt;0,进销存对接!$C133,"")</f>
        <v/>
      </c>
      <c r="B133" s="0" t="n">
        <f aca="false">IF(A133="",0,IF(MATCH(A133,$A$4:$A$1925,0)=ROW()-3,1,0))</f>
        <v>0</v>
      </c>
      <c r="C133" s="0" t="n">
        <f aca="false">N(C132)+B133</f>
        <v>6</v>
      </c>
      <c r="E133" s="0" t="str">
        <f aca="false">IFERROR(INDEX($A$4:$A$1925,MATCH(ROW()-3,$C$4:$C$1925,0)),"")</f>
        <v/>
      </c>
      <c r="G133" s="0" t="n">
        <f aca="false">IF(OR($G$1="",资金日记账!$E126="",资金日记账!$E126&lt;&gt;$G$1),0,IF(NOT(OR(N(资金日记账!$H126)&lt;&gt;0,N(资金日记账!$I126)&lt;&gt;0)),0,IF(资金日记账!$B126="",1,IF(OR(N(资金日记账!$B126)&lt;$H$1,N(资金日记账!$B126)&gt;$I$1),0,1))))</f>
        <v>0</v>
      </c>
      <c r="H133" s="0" t="n">
        <f aca="false">N(H132)+$G133</f>
        <v>3</v>
      </c>
      <c r="I133" s="0" t="str">
        <f aca="false">IF($G133=0,"",IF(资金日记账!$B126=0,"",资金日记账!$B126))</f>
        <v/>
      </c>
      <c r="J133" s="0" t="str">
        <f aca="false">IF($G133=0,"",IF(资金日记账!$D126=0,"",资金日记账!$D126))</f>
        <v/>
      </c>
      <c r="K133" s="0" t="str">
        <f aca="false">IF($G133=0,"",IF(""=0,"",""))</f>
        <v/>
      </c>
      <c r="L133" s="0" t="str">
        <f aca="false">IF($G133=0,"",IF(""=0,"",""))</f>
        <v/>
      </c>
      <c r="M133" s="0" t="str">
        <f aca="false">IF($G133=0,"",IF(""=0,"",""))</f>
        <v/>
      </c>
      <c r="N133" s="0" t="str">
        <f aca="false">IF($G133=0,"",IF(IF(N(资金日记账!$I126)=0,"",-ROUND(N(资金日记账!$I126),2))=0,"",IF(N(资金日记账!$I126)=0,"",-ROUND(N(资金日记账!$I126),2))))</f>
        <v/>
      </c>
      <c r="O133" s="0" t="str">
        <f aca="false">IF($G133=0,"",IF(IF(N(资金日记账!$H126)=0,"",ROUND(N(资金日记账!$H126),2))=0,"",IF(N(资金日记账!$H126)=0,"",ROUND(N(资金日记账!$H126),2))))</f>
        <v/>
      </c>
      <c r="P133" s="0" t="str">
        <f aca="false">IF($G133=0,"",IF(资金日记账!$L126=0,"",资金日记账!$L126))</f>
        <v/>
      </c>
      <c r="T133" s="0" t="str">
        <f aca="false">IF(资金日记账!$G133="","",资金日记账!$G133)</f>
        <v/>
      </c>
      <c r="U133" s="0" t="n">
        <f aca="false">IF(T133="",0,IF(MATCH(T133,$T$4:$T$903,0)=ROW()-3,1,0))</f>
        <v>0</v>
      </c>
      <c r="V133" s="0" t="n">
        <f aca="false">N(V132)+U133</f>
        <v>30</v>
      </c>
      <c r="Z133" s="0" t="str">
        <f aca="false">IF(成本费用登记表!$C133="","",成本费用登记表!$C133)</f>
        <v/>
      </c>
      <c r="AA133" s="0" t="n">
        <f aca="false">IF(Z133="",0,IF(MATCH(Z133,$Z$4:$Z$303,0)=ROW()-3,1,0))</f>
        <v>0</v>
      </c>
      <c r="AB133" s="0" t="n">
        <f aca="false">N(AB132)+AA133</f>
        <v>0</v>
      </c>
      <c r="AD133" s="0" t="str">
        <f aca="false">IFERROR(INDEX($Z$4:$Z$303,MATCH(130,$AB$4:$AB$303,0)),"")</f>
        <v/>
      </c>
      <c r="AF133" s="0" t="str">
        <f aca="false">IF(OR(资金日记账!$E133="",N(资金日记账!$H133)=0),"",资金日记账!$E133)</f>
        <v/>
      </c>
      <c r="AG133" s="0" t="n">
        <f aca="false">IF(AF133="",0,IF(MATCH(AF133,$AF$4:$AF$603,0)=ROW()-3,1,0))</f>
        <v>0</v>
      </c>
      <c r="AH133" s="0" t="n">
        <f aca="false">N(AH132)+AG133</f>
        <v>5</v>
      </c>
    </row>
    <row r="134" customFormat="false" ht="13.5" hidden="false" customHeight="false" outlineLevel="0" collapsed="false">
      <c r="A134" s="0" t="str">
        <f aca="false">IF(((进销存对接!$D134="客户应收")+(进销存对接!$D134="成品销售款")+(进销存对接!$D134="公司购买果品款")+(进销存对接!$D134="筐子销售款")+(进销存对接!$D134="物料销售款"))&gt;0,进销存对接!$C134,"")</f>
        <v/>
      </c>
      <c r="B134" s="0" t="n">
        <f aca="false">IF(A134="",0,IF(MATCH(A134,$A$4:$A$1925,0)=ROW()-3,1,0))</f>
        <v>0</v>
      </c>
      <c r="C134" s="0" t="n">
        <f aca="false">N(C133)+B134</f>
        <v>6</v>
      </c>
      <c r="E134" s="0" t="str">
        <f aca="false">IFERROR(INDEX($A$4:$A$1925,MATCH(ROW()-3,$C$4:$C$1925,0)),"")</f>
        <v/>
      </c>
      <c r="G134" s="0" t="n">
        <f aca="false">IF(OR($G$1="",资金日记账!$E127="",资金日记账!$E127&lt;&gt;$G$1),0,IF(NOT(OR(N(资金日记账!$H127)&lt;&gt;0,N(资金日记账!$I127)&lt;&gt;0)),0,IF(资金日记账!$B127="",1,IF(OR(N(资金日记账!$B127)&lt;$H$1,N(资金日记账!$B127)&gt;$I$1),0,1))))</f>
        <v>0</v>
      </c>
      <c r="H134" s="0" t="n">
        <f aca="false">N(H133)+$G134</f>
        <v>3</v>
      </c>
      <c r="I134" s="0" t="str">
        <f aca="false">IF($G134=0,"",IF(资金日记账!$B127=0,"",资金日记账!$B127))</f>
        <v/>
      </c>
      <c r="J134" s="0" t="str">
        <f aca="false">IF($G134=0,"",IF(资金日记账!$D127=0,"",资金日记账!$D127))</f>
        <v/>
      </c>
      <c r="K134" s="0" t="str">
        <f aca="false">IF($G134=0,"",IF(""=0,"",""))</f>
        <v/>
      </c>
      <c r="L134" s="0" t="str">
        <f aca="false">IF($G134=0,"",IF(""=0,"",""))</f>
        <v/>
      </c>
      <c r="M134" s="0" t="str">
        <f aca="false">IF($G134=0,"",IF(""=0,"",""))</f>
        <v/>
      </c>
      <c r="N134" s="0" t="str">
        <f aca="false">IF($G134=0,"",IF(IF(N(资金日记账!$I127)=0,"",-ROUND(N(资金日记账!$I127),2))=0,"",IF(N(资金日记账!$I127)=0,"",-ROUND(N(资金日记账!$I127),2))))</f>
        <v/>
      </c>
      <c r="O134" s="0" t="str">
        <f aca="false">IF($G134=0,"",IF(IF(N(资金日记账!$H127)=0,"",ROUND(N(资金日记账!$H127),2))=0,"",IF(N(资金日记账!$H127)=0,"",ROUND(N(资金日记账!$H127),2))))</f>
        <v/>
      </c>
      <c r="P134" s="0" t="str">
        <f aca="false">IF($G134=0,"",IF(资金日记账!$L127=0,"",资金日记账!$L127))</f>
        <v/>
      </c>
      <c r="T134" s="0" t="str">
        <f aca="false">IF(资金日记账!$G134="","",资金日记账!$G134)</f>
        <v/>
      </c>
      <c r="U134" s="0" t="n">
        <f aca="false">IF(T134="",0,IF(MATCH(T134,$T$4:$T$903,0)=ROW()-3,1,0))</f>
        <v>0</v>
      </c>
      <c r="V134" s="0" t="n">
        <f aca="false">N(V133)+U134</f>
        <v>30</v>
      </c>
      <c r="Z134" s="0" t="str">
        <f aca="false">IF(成本费用登记表!$C134="","",成本费用登记表!$C134)</f>
        <v/>
      </c>
      <c r="AA134" s="0" t="n">
        <f aca="false">IF(Z134="",0,IF(MATCH(Z134,$Z$4:$Z$303,0)=ROW()-3,1,0))</f>
        <v>0</v>
      </c>
      <c r="AB134" s="0" t="n">
        <f aca="false">N(AB133)+AA134</f>
        <v>0</v>
      </c>
      <c r="AD134" s="0" t="str">
        <f aca="false">IFERROR(INDEX($Z$4:$Z$303,MATCH(131,$AB$4:$AB$303,0)),"")</f>
        <v/>
      </c>
      <c r="AF134" s="0" t="str">
        <f aca="false">IF(OR(资金日记账!$E134="",N(资金日记账!$H134)=0),"",资金日记账!$E134)</f>
        <v/>
      </c>
      <c r="AG134" s="0" t="n">
        <f aca="false">IF(AF134="",0,IF(MATCH(AF134,$AF$4:$AF$603,0)=ROW()-3,1,0))</f>
        <v>0</v>
      </c>
      <c r="AH134" s="0" t="n">
        <f aca="false">N(AH133)+AG134</f>
        <v>5</v>
      </c>
    </row>
    <row r="135" customFormat="false" ht="13.5" hidden="false" customHeight="false" outlineLevel="0" collapsed="false">
      <c r="A135" s="0" t="str">
        <f aca="false">IF(((进销存对接!$D135="客户应收")+(进销存对接!$D135="成品销售款")+(进销存对接!$D135="公司购买果品款")+(进销存对接!$D135="筐子销售款")+(进销存对接!$D135="物料销售款"))&gt;0,进销存对接!$C135,"")</f>
        <v/>
      </c>
      <c r="B135" s="0" t="n">
        <f aca="false">IF(A135="",0,IF(MATCH(A135,$A$4:$A$1925,0)=ROW()-3,1,0))</f>
        <v>0</v>
      </c>
      <c r="C135" s="0" t="n">
        <f aca="false">N(C134)+B135</f>
        <v>6</v>
      </c>
      <c r="E135" s="0" t="str">
        <f aca="false">IFERROR(INDEX($A$4:$A$1925,MATCH(ROW()-3,$C$4:$C$1925,0)),"")</f>
        <v/>
      </c>
      <c r="G135" s="0" t="n">
        <f aca="false">IF(OR($G$1="",资金日记账!$E128="",资金日记账!$E128&lt;&gt;$G$1),0,IF(NOT(OR(N(资金日记账!$H128)&lt;&gt;0,N(资金日记账!$I128)&lt;&gt;0)),0,IF(资金日记账!$B128="",1,IF(OR(N(资金日记账!$B128)&lt;$H$1,N(资金日记账!$B128)&gt;$I$1),0,1))))</f>
        <v>0</v>
      </c>
      <c r="H135" s="0" t="n">
        <f aca="false">N(H134)+$G135</f>
        <v>3</v>
      </c>
      <c r="I135" s="0" t="str">
        <f aca="false">IF($G135=0,"",IF(资金日记账!$B128=0,"",资金日记账!$B128))</f>
        <v/>
      </c>
      <c r="J135" s="0" t="str">
        <f aca="false">IF($G135=0,"",IF(资金日记账!$D128=0,"",资金日记账!$D128))</f>
        <v/>
      </c>
      <c r="K135" s="0" t="str">
        <f aca="false">IF($G135=0,"",IF(""=0,"",""))</f>
        <v/>
      </c>
      <c r="L135" s="0" t="str">
        <f aca="false">IF($G135=0,"",IF(""=0,"",""))</f>
        <v/>
      </c>
      <c r="M135" s="0" t="str">
        <f aca="false">IF($G135=0,"",IF(""=0,"",""))</f>
        <v/>
      </c>
      <c r="N135" s="0" t="str">
        <f aca="false">IF($G135=0,"",IF(IF(N(资金日记账!$I128)=0,"",-ROUND(N(资金日记账!$I128),2))=0,"",IF(N(资金日记账!$I128)=0,"",-ROUND(N(资金日记账!$I128),2))))</f>
        <v/>
      </c>
      <c r="O135" s="0" t="str">
        <f aca="false">IF($G135=0,"",IF(IF(N(资金日记账!$H128)=0,"",ROUND(N(资金日记账!$H128),2))=0,"",IF(N(资金日记账!$H128)=0,"",ROUND(N(资金日记账!$H128),2))))</f>
        <v/>
      </c>
      <c r="P135" s="0" t="str">
        <f aca="false">IF($G135=0,"",IF(资金日记账!$L128=0,"",资金日记账!$L128))</f>
        <v/>
      </c>
      <c r="T135" s="0" t="str">
        <f aca="false">IF(资金日记账!$G135="","",资金日记账!$G135)</f>
        <v/>
      </c>
      <c r="U135" s="0" t="n">
        <f aca="false">IF(T135="",0,IF(MATCH(T135,$T$4:$T$903,0)=ROW()-3,1,0))</f>
        <v>0</v>
      </c>
      <c r="V135" s="0" t="n">
        <f aca="false">N(V134)+U135</f>
        <v>30</v>
      </c>
      <c r="Z135" s="0" t="str">
        <f aca="false">IF(成本费用登记表!$C135="","",成本费用登记表!$C135)</f>
        <v/>
      </c>
      <c r="AA135" s="0" t="n">
        <f aca="false">IF(Z135="",0,IF(MATCH(Z135,$Z$4:$Z$303,0)=ROW()-3,1,0))</f>
        <v>0</v>
      </c>
      <c r="AB135" s="0" t="n">
        <f aca="false">N(AB134)+AA135</f>
        <v>0</v>
      </c>
      <c r="AD135" s="0" t="str">
        <f aca="false">IFERROR(INDEX($Z$4:$Z$303,MATCH(132,$AB$4:$AB$303,0)),"")</f>
        <v/>
      </c>
      <c r="AF135" s="0" t="str">
        <f aca="false">IF(OR(资金日记账!$E135="",N(资金日记账!$H135)=0),"",资金日记账!$E135)</f>
        <v/>
      </c>
      <c r="AG135" s="0" t="n">
        <f aca="false">IF(AF135="",0,IF(MATCH(AF135,$AF$4:$AF$603,0)=ROW()-3,1,0))</f>
        <v>0</v>
      </c>
      <c r="AH135" s="0" t="n">
        <f aca="false">N(AH134)+AG135</f>
        <v>5</v>
      </c>
    </row>
    <row r="136" customFormat="false" ht="13.5" hidden="false" customHeight="false" outlineLevel="0" collapsed="false">
      <c r="A136" s="0" t="str">
        <f aca="false">IF(((进销存对接!$D136="客户应收")+(进销存对接!$D136="成品销售款")+(进销存对接!$D136="公司购买果品款")+(进销存对接!$D136="筐子销售款")+(进销存对接!$D136="物料销售款"))&gt;0,进销存对接!$C136,"")</f>
        <v/>
      </c>
      <c r="B136" s="0" t="n">
        <f aca="false">IF(A136="",0,IF(MATCH(A136,$A$4:$A$1925,0)=ROW()-3,1,0))</f>
        <v>0</v>
      </c>
      <c r="C136" s="0" t="n">
        <f aca="false">N(C135)+B136</f>
        <v>6</v>
      </c>
      <c r="E136" s="0" t="str">
        <f aca="false">IFERROR(INDEX($A$4:$A$1925,MATCH(ROW()-3,$C$4:$C$1925,0)),"")</f>
        <v/>
      </c>
      <c r="G136" s="0" t="n">
        <f aca="false">IF(OR($G$1="",资金日记账!$E129="",资金日记账!$E129&lt;&gt;$G$1),0,IF(NOT(OR(N(资金日记账!$H129)&lt;&gt;0,N(资金日记账!$I129)&lt;&gt;0)),0,IF(资金日记账!$B129="",1,IF(OR(N(资金日记账!$B129)&lt;$H$1,N(资金日记账!$B129)&gt;$I$1),0,1))))</f>
        <v>0</v>
      </c>
      <c r="H136" s="0" t="n">
        <f aca="false">N(H135)+$G136</f>
        <v>3</v>
      </c>
      <c r="I136" s="0" t="str">
        <f aca="false">IF($G136=0,"",IF(资金日记账!$B129=0,"",资金日记账!$B129))</f>
        <v/>
      </c>
      <c r="J136" s="0" t="str">
        <f aca="false">IF($G136=0,"",IF(资金日记账!$D129=0,"",资金日记账!$D129))</f>
        <v/>
      </c>
      <c r="K136" s="0" t="str">
        <f aca="false">IF($G136=0,"",IF(""=0,"",""))</f>
        <v/>
      </c>
      <c r="L136" s="0" t="str">
        <f aca="false">IF($G136=0,"",IF(""=0,"",""))</f>
        <v/>
      </c>
      <c r="M136" s="0" t="str">
        <f aca="false">IF($G136=0,"",IF(""=0,"",""))</f>
        <v/>
      </c>
      <c r="N136" s="0" t="str">
        <f aca="false">IF($G136=0,"",IF(IF(N(资金日记账!$I129)=0,"",-ROUND(N(资金日记账!$I129),2))=0,"",IF(N(资金日记账!$I129)=0,"",-ROUND(N(资金日记账!$I129),2))))</f>
        <v/>
      </c>
      <c r="O136" s="0" t="str">
        <f aca="false">IF($G136=0,"",IF(IF(N(资金日记账!$H129)=0,"",ROUND(N(资金日记账!$H129),2))=0,"",IF(N(资金日记账!$H129)=0,"",ROUND(N(资金日记账!$H129),2))))</f>
        <v/>
      </c>
      <c r="P136" s="0" t="str">
        <f aca="false">IF($G136=0,"",IF(资金日记账!$L129=0,"",资金日记账!$L129))</f>
        <v/>
      </c>
      <c r="T136" s="0" t="str">
        <f aca="false">IF(资金日记账!$G136="","",资金日记账!$G136)</f>
        <v/>
      </c>
      <c r="U136" s="0" t="n">
        <f aca="false">IF(T136="",0,IF(MATCH(T136,$T$4:$T$903,0)=ROW()-3,1,0))</f>
        <v>0</v>
      </c>
      <c r="V136" s="0" t="n">
        <f aca="false">N(V135)+U136</f>
        <v>30</v>
      </c>
      <c r="Z136" s="0" t="str">
        <f aca="false">IF(成本费用登记表!$C136="","",成本费用登记表!$C136)</f>
        <v/>
      </c>
      <c r="AA136" s="0" t="n">
        <f aca="false">IF(Z136="",0,IF(MATCH(Z136,$Z$4:$Z$303,0)=ROW()-3,1,0))</f>
        <v>0</v>
      </c>
      <c r="AB136" s="0" t="n">
        <f aca="false">N(AB135)+AA136</f>
        <v>0</v>
      </c>
      <c r="AD136" s="0" t="str">
        <f aca="false">IFERROR(INDEX($Z$4:$Z$303,MATCH(133,$AB$4:$AB$303,0)),"")</f>
        <v/>
      </c>
      <c r="AF136" s="0" t="str">
        <f aca="false">IF(OR(资金日记账!$E136="",N(资金日记账!$H136)=0),"",资金日记账!$E136)</f>
        <v/>
      </c>
      <c r="AG136" s="0" t="n">
        <f aca="false">IF(AF136="",0,IF(MATCH(AF136,$AF$4:$AF$603,0)=ROW()-3,1,0))</f>
        <v>0</v>
      </c>
      <c r="AH136" s="0" t="n">
        <f aca="false">N(AH135)+AG136</f>
        <v>5</v>
      </c>
    </row>
    <row r="137" customFormat="false" ht="13.5" hidden="false" customHeight="false" outlineLevel="0" collapsed="false">
      <c r="A137" s="0" t="str">
        <f aca="false">IF(((进销存对接!$D137="客户应收")+(进销存对接!$D137="成品销售款")+(进销存对接!$D137="公司购买果品款")+(进销存对接!$D137="筐子销售款")+(进销存对接!$D137="物料销售款"))&gt;0,进销存对接!$C137,"")</f>
        <v/>
      </c>
      <c r="B137" s="0" t="n">
        <f aca="false">IF(A137="",0,IF(MATCH(A137,$A$4:$A$1925,0)=ROW()-3,1,0))</f>
        <v>0</v>
      </c>
      <c r="C137" s="0" t="n">
        <f aca="false">N(C136)+B137</f>
        <v>6</v>
      </c>
      <c r="E137" s="0" t="str">
        <f aca="false">IFERROR(INDEX($A$4:$A$1925,MATCH(ROW()-3,$C$4:$C$1925,0)),"")</f>
        <v/>
      </c>
      <c r="G137" s="0" t="n">
        <f aca="false">IF(OR($G$1="",资金日记账!$E130="",资金日记账!$E130&lt;&gt;$G$1),0,IF(NOT(OR(N(资金日记账!$H130)&lt;&gt;0,N(资金日记账!$I130)&lt;&gt;0)),0,IF(资金日记账!$B130="",1,IF(OR(N(资金日记账!$B130)&lt;$H$1,N(资金日记账!$B130)&gt;$I$1),0,1))))</f>
        <v>0</v>
      </c>
      <c r="H137" s="0" t="n">
        <f aca="false">N(H136)+$G137</f>
        <v>3</v>
      </c>
      <c r="I137" s="0" t="str">
        <f aca="false">IF($G137=0,"",IF(资金日记账!$B130=0,"",资金日记账!$B130))</f>
        <v/>
      </c>
      <c r="J137" s="0" t="str">
        <f aca="false">IF($G137=0,"",IF(资金日记账!$D130=0,"",资金日记账!$D130))</f>
        <v/>
      </c>
      <c r="K137" s="0" t="str">
        <f aca="false">IF($G137=0,"",IF(""=0,"",""))</f>
        <v/>
      </c>
      <c r="L137" s="0" t="str">
        <f aca="false">IF($G137=0,"",IF(""=0,"",""))</f>
        <v/>
      </c>
      <c r="M137" s="0" t="str">
        <f aca="false">IF($G137=0,"",IF(""=0,"",""))</f>
        <v/>
      </c>
      <c r="N137" s="0" t="str">
        <f aca="false">IF($G137=0,"",IF(IF(N(资金日记账!$I130)=0,"",-ROUND(N(资金日记账!$I130),2))=0,"",IF(N(资金日记账!$I130)=0,"",-ROUND(N(资金日记账!$I130),2))))</f>
        <v/>
      </c>
      <c r="O137" s="0" t="str">
        <f aca="false">IF($G137=0,"",IF(IF(N(资金日记账!$H130)=0,"",ROUND(N(资金日记账!$H130),2))=0,"",IF(N(资金日记账!$H130)=0,"",ROUND(N(资金日记账!$H130),2))))</f>
        <v/>
      </c>
      <c r="P137" s="0" t="str">
        <f aca="false">IF($G137=0,"",IF(资金日记账!$L130=0,"",资金日记账!$L130))</f>
        <v/>
      </c>
      <c r="T137" s="0" t="str">
        <f aca="false">IF(资金日记账!$G137="","",资金日记账!$G137)</f>
        <v/>
      </c>
      <c r="U137" s="0" t="n">
        <f aca="false">IF(T137="",0,IF(MATCH(T137,$T$4:$T$903,0)=ROW()-3,1,0))</f>
        <v>0</v>
      </c>
      <c r="V137" s="0" t="n">
        <f aca="false">N(V136)+U137</f>
        <v>30</v>
      </c>
      <c r="Z137" s="0" t="str">
        <f aca="false">IF(成本费用登记表!$C137="","",成本费用登记表!$C137)</f>
        <v/>
      </c>
      <c r="AA137" s="0" t="n">
        <f aca="false">IF(Z137="",0,IF(MATCH(Z137,$Z$4:$Z$303,0)=ROW()-3,1,0))</f>
        <v>0</v>
      </c>
      <c r="AB137" s="0" t="n">
        <f aca="false">N(AB136)+AA137</f>
        <v>0</v>
      </c>
      <c r="AD137" s="0" t="str">
        <f aca="false">IFERROR(INDEX($Z$4:$Z$303,MATCH(134,$AB$4:$AB$303,0)),"")</f>
        <v/>
      </c>
      <c r="AF137" s="0" t="str">
        <f aca="false">IF(OR(资金日记账!$E137="",N(资金日记账!$H137)=0),"",资金日记账!$E137)</f>
        <v/>
      </c>
      <c r="AG137" s="0" t="n">
        <f aca="false">IF(AF137="",0,IF(MATCH(AF137,$AF$4:$AF$603,0)=ROW()-3,1,0))</f>
        <v>0</v>
      </c>
      <c r="AH137" s="0" t="n">
        <f aca="false">N(AH136)+AG137</f>
        <v>5</v>
      </c>
    </row>
    <row r="138" customFormat="false" ht="13.5" hidden="false" customHeight="false" outlineLevel="0" collapsed="false">
      <c r="A138" s="0" t="str">
        <f aca="false">IF(((进销存对接!$D138="客户应收")+(进销存对接!$D138="成品销售款")+(进销存对接!$D138="公司购买果品款")+(进销存对接!$D138="筐子销售款")+(进销存对接!$D138="物料销售款"))&gt;0,进销存对接!$C138,"")</f>
        <v/>
      </c>
      <c r="B138" s="0" t="n">
        <f aca="false">IF(A138="",0,IF(MATCH(A138,$A$4:$A$1925,0)=ROW()-3,1,0))</f>
        <v>0</v>
      </c>
      <c r="C138" s="0" t="n">
        <f aca="false">N(C137)+B138</f>
        <v>6</v>
      </c>
      <c r="E138" s="0" t="str">
        <f aca="false">IFERROR(INDEX($A$4:$A$1925,MATCH(ROW()-3,$C$4:$C$1925,0)),"")</f>
        <v/>
      </c>
      <c r="G138" s="0" t="n">
        <f aca="false">IF(OR($G$1="",资金日记账!$E131="",资金日记账!$E131&lt;&gt;$G$1),0,IF(NOT(OR(N(资金日记账!$H131)&lt;&gt;0,N(资金日记账!$I131)&lt;&gt;0)),0,IF(资金日记账!$B131="",1,IF(OR(N(资金日记账!$B131)&lt;$H$1,N(资金日记账!$B131)&gt;$I$1),0,1))))</f>
        <v>0</v>
      </c>
      <c r="H138" s="0" t="n">
        <f aca="false">N(H137)+$G138</f>
        <v>3</v>
      </c>
      <c r="I138" s="0" t="str">
        <f aca="false">IF($G138=0,"",IF(资金日记账!$B131=0,"",资金日记账!$B131))</f>
        <v/>
      </c>
      <c r="J138" s="0" t="str">
        <f aca="false">IF($G138=0,"",IF(资金日记账!$D131=0,"",资金日记账!$D131))</f>
        <v/>
      </c>
      <c r="K138" s="0" t="str">
        <f aca="false">IF($G138=0,"",IF(""=0,"",""))</f>
        <v/>
      </c>
      <c r="L138" s="0" t="str">
        <f aca="false">IF($G138=0,"",IF(""=0,"",""))</f>
        <v/>
      </c>
      <c r="M138" s="0" t="str">
        <f aca="false">IF($G138=0,"",IF(""=0,"",""))</f>
        <v/>
      </c>
      <c r="N138" s="0" t="str">
        <f aca="false">IF($G138=0,"",IF(IF(N(资金日记账!$I131)=0,"",-ROUND(N(资金日记账!$I131),2))=0,"",IF(N(资金日记账!$I131)=0,"",-ROUND(N(资金日记账!$I131),2))))</f>
        <v/>
      </c>
      <c r="O138" s="0" t="str">
        <f aca="false">IF($G138=0,"",IF(IF(N(资金日记账!$H131)=0,"",ROUND(N(资金日记账!$H131),2))=0,"",IF(N(资金日记账!$H131)=0,"",ROUND(N(资金日记账!$H131),2))))</f>
        <v/>
      </c>
      <c r="P138" s="0" t="str">
        <f aca="false">IF($G138=0,"",IF(资金日记账!$L131=0,"",资金日记账!$L131))</f>
        <v/>
      </c>
      <c r="T138" s="0" t="str">
        <f aca="false">IF(资金日记账!$G138="","",资金日记账!$G138)</f>
        <v/>
      </c>
      <c r="U138" s="0" t="n">
        <f aca="false">IF(T138="",0,IF(MATCH(T138,$T$4:$T$903,0)=ROW()-3,1,0))</f>
        <v>0</v>
      </c>
      <c r="V138" s="0" t="n">
        <f aca="false">N(V137)+U138</f>
        <v>30</v>
      </c>
      <c r="Z138" s="0" t="str">
        <f aca="false">IF(成本费用登记表!$C138="","",成本费用登记表!$C138)</f>
        <v/>
      </c>
      <c r="AA138" s="0" t="n">
        <f aca="false">IF(Z138="",0,IF(MATCH(Z138,$Z$4:$Z$303,0)=ROW()-3,1,0))</f>
        <v>0</v>
      </c>
      <c r="AB138" s="0" t="n">
        <f aca="false">N(AB137)+AA138</f>
        <v>0</v>
      </c>
      <c r="AD138" s="0" t="str">
        <f aca="false">IFERROR(INDEX($Z$4:$Z$303,MATCH(135,$AB$4:$AB$303,0)),"")</f>
        <v/>
      </c>
      <c r="AF138" s="0" t="str">
        <f aca="false">IF(OR(资金日记账!$E138="",N(资金日记账!$H138)=0),"",资金日记账!$E138)</f>
        <v/>
      </c>
      <c r="AG138" s="0" t="n">
        <f aca="false">IF(AF138="",0,IF(MATCH(AF138,$AF$4:$AF$603,0)=ROW()-3,1,0))</f>
        <v>0</v>
      </c>
      <c r="AH138" s="0" t="n">
        <f aca="false">N(AH137)+AG138</f>
        <v>5</v>
      </c>
    </row>
    <row r="139" customFormat="false" ht="13.5" hidden="false" customHeight="false" outlineLevel="0" collapsed="false">
      <c r="A139" s="0" t="str">
        <f aca="false">IF(((进销存对接!$D139="客户应收")+(进销存对接!$D139="成品销售款")+(进销存对接!$D139="公司购买果品款")+(进销存对接!$D139="筐子销售款")+(进销存对接!$D139="物料销售款"))&gt;0,进销存对接!$C139,"")</f>
        <v/>
      </c>
      <c r="B139" s="0" t="n">
        <f aca="false">IF(A139="",0,IF(MATCH(A139,$A$4:$A$1925,0)=ROW()-3,1,0))</f>
        <v>0</v>
      </c>
      <c r="C139" s="0" t="n">
        <f aca="false">N(C138)+B139</f>
        <v>6</v>
      </c>
      <c r="E139" s="0" t="str">
        <f aca="false">IFERROR(INDEX($A$4:$A$1925,MATCH(ROW()-3,$C$4:$C$1925,0)),"")</f>
        <v/>
      </c>
      <c r="G139" s="0" t="n">
        <f aca="false">IF(OR($G$1="",资金日记账!$E132="",资金日记账!$E132&lt;&gt;$G$1),0,IF(NOT(OR(N(资金日记账!$H132)&lt;&gt;0,N(资金日记账!$I132)&lt;&gt;0)),0,IF(资金日记账!$B132="",1,IF(OR(N(资金日记账!$B132)&lt;$H$1,N(资金日记账!$B132)&gt;$I$1),0,1))))</f>
        <v>0</v>
      </c>
      <c r="H139" s="0" t="n">
        <f aca="false">N(H138)+$G139</f>
        <v>3</v>
      </c>
      <c r="I139" s="0" t="str">
        <f aca="false">IF($G139=0,"",IF(资金日记账!$B132=0,"",资金日记账!$B132))</f>
        <v/>
      </c>
      <c r="J139" s="0" t="str">
        <f aca="false">IF($G139=0,"",IF(资金日记账!$D132=0,"",资金日记账!$D132))</f>
        <v/>
      </c>
      <c r="K139" s="0" t="str">
        <f aca="false">IF($G139=0,"",IF(""=0,"",""))</f>
        <v/>
      </c>
      <c r="L139" s="0" t="str">
        <f aca="false">IF($G139=0,"",IF(""=0,"",""))</f>
        <v/>
      </c>
      <c r="M139" s="0" t="str">
        <f aca="false">IF($G139=0,"",IF(""=0,"",""))</f>
        <v/>
      </c>
      <c r="N139" s="0" t="str">
        <f aca="false">IF($G139=0,"",IF(IF(N(资金日记账!$I132)=0,"",-ROUND(N(资金日记账!$I132),2))=0,"",IF(N(资金日记账!$I132)=0,"",-ROUND(N(资金日记账!$I132),2))))</f>
        <v/>
      </c>
      <c r="O139" s="0" t="str">
        <f aca="false">IF($G139=0,"",IF(IF(N(资金日记账!$H132)=0,"",ROUND(N(资金日记账!$H132),2))=0,"",IF(N(资金日记账!$H132)=0,"",ROUND(N(资金日记账!$H132),2))))</f>
        <v/>
      </c>
      <c r="P139" s="0" t="str">
        <f aca="false">IF($G139=0,"",IF(资金日记账!$L132=0,"",资金日记账!$L132))</f>
        <v/>
      </c>
      <c r="T139" s="0" t="str">
        <f aca="false">IF(资金日记账!$G139="","",资金日记账!$G139)</f>
        <v/>
      </c>
      <c r="U139" s="0" t="n">
        <f aca="false">IF(T139="",0,IF(MATCH(T139,$T$4:$T$903,0)=ROW()-3,1,0))</f>
        <v>0</v>
      </c>
      <c r="V139" s="0" t="n">
        <f aca="false">N(V138)+U139</f>
        <v>30</v>
      </c>
      <c r="Z139" s="0" t="str">
        <f aca="false">IF(成本费用登记表!$C139="","",成本费用登记表!$C139)</f>
        <v/>
      </c>
      <c r="AA139" s="0" t="n">
        <f aca="false">IF(Z139="",0,IF(MATCH(Z139,$Z$4:$Z$303,0)=ROW()-3,1,0))</f>
        <v>0</v>
      </c>
      <c r="AB139" s="0" t="n">
        <f aca="false">N(AB138)+AA139</f>
        <v>0</v>
      </c>
      <c r="AD139" s="0" t="str">
        <f aca="false">IFERROR(INDEX($Z$4:$Z$303,MATCH(136,$AB$4:$AB$303,0)),"")</f>
        <v/>
      </c>
      <c r="AF139" s="0" t="str">
        <f aca="false">IF(OR(资金日记账!$E139="",N(资金日记账!$H139)=0),"",资金日记账!$E139)</f>
        <v/>
      </c>
      <c r="AG139" s="0" t="n">
        <f aca="false">IF(AF139="",0,IF(MATCH(AF139,$AF$4:$AF$603,0)=ROW()-3,1,0))</f>
        <v>0</v>
      </c>
      <c r="AH139" s="0" t="n">
        <f aca="false">N(AH138)+AG139</f>
        <v>5</v>
      </c>
    </row>
    <row r="140" customFormat="false" ht="13.5" hidden="false" customHeight="false" outlineLevel="0" collapsed="false">
      <c r="A140" s="0" t="str">
        <f aca="false">IF(((进销存对接!$D140="客户应收")+(进销存对接!$D140="成品销售款")+(进销存对接!$D140="公司购买果品款")+(进销存对接!$D140="筐子销售款")+(进销存对接!$D140="物料销售款"))&gt;0,进销存对接!$C140,"")</f>
        <v/>
      </c>
      <c r="B140" s="0" t="n">
        <f aca="false">IF(A140="",0,IF(MATCH(A140,$A$4:$A$1925,0)=ROW()-3,1,0))</f>
        <v>0</v>
      </c>
      <c r="C140" s="0" t="n">
        <f aca="false">N(C139)+B140</f>
        <v>6</v>
      </c>
      <c r="E140" s="0" t="str">
        <f aca="false">IFERROR(INDEX($A$4:$A$1925,MATCH(ROW()-3,$C$4:$C$1925,0)),"")</f>
        <v/>
      </c>
      <c r="G140" s="0" t="n">
        <f aca="false">IF(OR($G$1="",资金日记账!$E133="",资金日记账!$E133&lt;&gt;$G$1),0,IF(NOT(OR(N(资金日记账!$H133)&lt;&gt;0,N(资金日记账!$I133)&lt;&gt;0)),0,IF(资金日记账!$B133="",1,IF(OR(N(资金日记账!$B133)&lt;$H$1,N(资金日记账!$B133)&gt;$I$1),0,1))))</f>
        <v>0</v>
      </c>
      <c r="H140" s="0" t="n">
        <f aca="false">N(H139)+$G140</f>
        <v>3</v>
      </c>
      <c r="I140" s="0" t="str">
        <f aca="false">IF($G140=0,"",IF(资金日记账!$B133=0,"",资金日记账!$B133))</f>
        <v/>
      </c>
      <c r="J140" s="0" t="str">
        <f aca="false">IF($G140=0,"",IF(资金日记账!$D133=0,"",资金日记账!$D133))</f>
        <v/>
      </c>
      <c r="K140" s="0" t="str">
        <f aca="false">IF($G140=0,"",IF(""=0,"",""))</f>
        <v/>
      </c>
      <c r="L140" s="0" t="str">
        <f aca="false">IF($G140=0,"",IF(""=0,"",""))</f>
        <v/>
      </c>
      <c r="M140" s="0" t="str">
        <f aca="false">IF($G140=0,"",IF(""=0,"",""))</f>
        <v/>
      </c>
      <c r="N140" s="0" t="str">
        <f aca="false">IF($G140=0,"",IF(IF(N(资金日记账!$I133)=0,"",-ROUND(N(资金日记账!$I133),2))=0,"",IF(N(资金日记账!$I133)=0,"",-ROUND(N(资金日记账!$I133),2))))</f>
        <v/>
      </c>
      <c r="O140" s="0" t="str">
        <f aca="false">IF($G140=0,"",IF(IF(N(资金日记账!$H133)=0,"",ROUND(N(资金日记账!$H133),2))=0,"",IF(N(资金日记账!$H133)=0,"",ROUND(N(资金日记账!$H133),2))))</f>
        <v/>
      </c>
      <c r="P140" s="0" t="str">
        <f aca="false">IF($G140=0,"",IF(资金日记账!$L133=0,"",资金日记账!$L133))</f>
        <v/>
      </c>
      <c r="T140" s="0" t="str">
        <f aca="false">IF(资金日记账!$G140="","",资金日记账!$G140)</f>
        <v/>
      </c>
      <c r="U140" s="0" t="n">
        <f aca="false">IF(T140="",0,IF(MATCH(T140,$T$4:$T$903,0)=ROW()-3,1,0))</f>
        <v>0</v>
      </c>
      <c r="V140" s="0" t="n">
        <f aca="false">N(V139)+U140</f>
        <v>30</v>
      </c>
      <c r="Z140" s="0" t="str">
        <f aca="false">IF(成本费用登记表!$C140="","",成本费用登记表!$C140)</f>
        <v/>
      </c>
      <c r="AA140" s="0" t="n">
        <f aca="false">IF(Z140="",0,IF(MATCH(Z140,$Z$4:$Z$303,0)=ROW()-3,1,0))</f>
        <v>0</v>
      </c>
      <c r="AB140" s="0" t="n">
        <f aca="false">N(AB139)+AA140</f>
        <v>0</v>
      </c>
      <c r="AD140" s="0" t="str">
        <f aca="false">IFERROR(INDEX($Z$4:$Z$303,MATCH(137,$AB$4:$AB$303,0)),"")</f>
        <v/>
      </c>
      <c r="AF140" s="0" t="str">
        <f aca="false">IF(OR(资金日记账!$E140="",N(资金日记账!$H140)=0),"",资金日记账!$E140)</f>
        <v/>
      </c>
      <c r="AG140" s="0" t="n">
        <f aca="false">IF(AF140="",0,IF(MATCH(AF140,$AF$4:$AF$603,0)=ROW()-3,1,0))</f>
        <v>0</v>
      </c>
      <c r="AH140" s="0" t="n">
        <f aca="false">N(AH139)+AG140</f>
        <v>5</v>
      </c>
    </row>
    <row r="141" customFormat="false" ht="13.5" hidden="false" customHeight="false" outlineLevel="0" collapsed="false">
      <c r="A141" s="0" t="str">
        <f aca="false">IF(((进销存对接!$D141="客户应收")+(进销存对接!$D141="成品销售款")+(进销存对接!$D141="公司购买果品款")+(进销存对接!$D141="筐子销售款")+(进销存对接!$D141="物料销售款"))&gt;0,进销存对接!$C141,"")</f>
        <v/>
      </c>
      <c r="B141" s="0" t="n">
        <f aca="false">IF(A141="",0,IF(MATCH(A141,$A$4:$A$1925,0)=ROW()-3,1,0))</f>
        <v>0</v>
      </c>
      <c r="C141" s="0" t="n">
        <f aca="false">N(C140)+B141</f>
        <v>6</v>
      </c>
      <c r="E141" s="0" t="str">
        <f aca="false">IFERROR(INDEX($A$4:$A$1925,MATCH(ROW()-3,$C$4:$C$1925,0)),"")</f>
        <v/>
      </c>
      <c r="G141" s="0" t="n">
        <f aca="false">IF(OR($G$1="",资金日记账!$E134="",资金日记账!$E134&lt;&gt;$G$1),0,IF(NOT(OR(N(资金日记账!$H134)&lt;&gt;0,N(资金日记账!$I134)&lt;&gt;0)),0,IF(资金日记账!$B134="",1,IF(OR(N(资金日记账!$B134)&lt;$H$1,N(资金日记账!$B134)&gt;$I$1),0,1))))</f>
        <v>0</v>
      </c>
      <c r="H141" s="0" t="n">
        <f aca="false">N(H140)+$G141</f>
        <v>3</v>
      </c>
      <c r="I141" s="0" t="str">
        <f aca="false">IF($G141=0,"",IF(资金日记账!$B134=0,"",资金日记账!$B134))</f>
        <v/>
      </c>
      <c r="J141" s="0" t="str">
        <f aca="false">IF($G141=0,"",IF(资金日记账!$D134=0,"",资金日记账!$D134))</f>
        <v/>
      </c>
      <c r="K141" s="0" t="str">
        <f aca="false">IF($G141=0,"",IF(""=0,"",""))</f>
        <v/>
      </c>
      <c r="L141" s="0" t="str">
        <f aca="false">IF($G141=0,"",IF(""=0,"",""))</f>
        <v/>
      </c>
      <c r="M141" s="0" t="str">
        <f aca="false">IF($G141=0,"",IF(""=0,"",""))</f>
        <v/>
      </c>
      <c r="N141" s="0" t="str">
        <f aca="false">IF($G141=0,"",IF(IF(N(资金日记账!$I134)=0,"",-ROUND(N(资金日记账!$I134),2))=0,"",IF(N(资金日记账!$I134)=0,"",-ROUND(N(资金日记账!$I134),2))))</f>
        <v/>
      </c>
      <c r="O141" s="0" t="str">
        <f aca="false">IF($G141=0,"",IF(IF(N(资金日记账!$H134)=0,"",ROUND(N(资金日记账!$H134),2))=0,"",IF(N(资金日记账!$H134)=0,"",ROUND(N(资金日记账!$H134),2))))</f>
        <v/>
      </c>
      <c r="P141" s="0" t="str">
        <f aca="false">IF($G141=0,"",IF(资金日记账!$L134=0,"",资金日记账!$L134))</f>
        <v/>
      </c>
      <c r="T141" s="0" t="str">
        <f aca="false">IF(资金日记账!$G141="","",资金日记账!$G141)</f>
        <v/>
      </c>
      <c r="U141" s="0" t="n">
        <f aca="false">IF(T141="",0,IF(MATCH(T141,$T$4:$T$903,0)=ROW()-3,1,0))</f>
        <v>0</v>
      </c>
      <c r="V141" s="0" t="n">
        <f aca="false">N(V140)+U141</f>
        <v>30</v>
      </c>
      <c r="Z141" s="0" t="str">
        <f aca="false">IF(成本费用登记表!$C141="","",成本费用登记表!$C141)</f>
        <v/>
      </c>
      <c r="AA141" s="0" t="n">
        <f aca="false">IF(Z141="",0,IF(MATCH(Z141,$Z$4:$Z$303,0)=ROW()-3,1,0))</f>
        <v>0</v>
      </c>
      <c r="AB141" s="0" t="n">
        <f aca="false">N(AB140)+AA141</f>
        <v>0</v>
      </c>
      <c r="AD141" s="0" t="str">
        <f aca="false">IFERROR(INDEX($Z$4:$Z$303,MATCH(138,$AB$4:$AB$303,0)),"")</f>
        <v/>
      </c>
      <c r="AF141" s="0" t="str">
        <f aca="false">IF(OR(资金日记账!$E141="",N(资金日记账!$H141)=0),"",资金日记账!$E141)</f>
        <v/>
      </c>
      <c r="AG141" s="0" t="n">
        <f aca="false">IF(AF141="",0,IF(MATCH(AF141,$AF$4:$AF$603,0)=ROW()-3,1,0))</f>
        <v>0</v>
      </c>
      <c r="AH141" s="0" t="n">
        <f aca="false">N(AH140)+AG141</f>
        <v>5</v>
      </c>
    </row>
    <row r="142" customFormat="false" ht="13.5" hidden="false" customHeight="false" outlineLevel="0" collapsed="false">
      <c r="A142" s="0" t="str">
        <f aca="false">IF(((进销存对接!$D142="客户应收")+(进销存对接!$D142="成品销售款")+(进销存对接!$D142="公司购买果品款")+(进销存对接!$D142="筐子销售款")+(进销存对接!$D142="物料销售款"))&gt;0,进销存对接!$C142,"")</f>
        <v/>
      </c>
      <c r="B142" s="0" t="n">
        <f aca="false">IF(A142="",0,IF(MATCH(A142,$A$4:$A$1925,0)=ROW()-3,1,0))</f>
        <v>0</v>
      </c>
      <c r="C142" s="0" t="n">
        <f aca="false">N(C141)+B142</f>
        <v>6</v>
      </c>
      <c r="E142" s="0" t="str">
        <f aca="false">IFERROR(INDEX($A$4:$A$1925,MATCH(ROW()-3,$C$4:$C$1925,0)),"")</f>
        <v/>
      </c>
      <c r="G142" s="0" t="n">
        <f aca="false">IF(OR($G$1="",资金日记账!$E135="",资金日记账!$E135&lt;&gt;$G$1),0,IF(NOT(OR(N(资金日记账!$H135)&lt;&gt;0,N(资金日记账!$I135)&lt;&gt;0)),0,IF(资金日记账!$B135="",1,IF(OR(N(资金日记账!$B135)&lt;$H$1,N(资金日记账!$B135)&gt;$I$1),0,1))))</f>
        <v>0</v>
      </c>
      <c r="H142" s="0" t="n">
        <f aca="false">N(H141)+$G142</f>
        <v>3</v>
      </c>
      <c r="I142" s="0" t="str">
        <f aca="false">IF($G142=0,"",IF(资金日记账!$B135=0,"",资金日记账!$B135))</f>
        <v/>
      </c>
      <c r="J142" s="0" t="str">
        <f aca="false">IF($G142=0,"",IF(资金日记账!$D135=0,"",资金日记账!$D135))</f>
        <v/>
      </c>
      <c r="K142" s="0" t="str">
        <f aca="false">IF($G142=0,"",IF(""=0,"",""))</f>
        <v/>
      </c>
      <c r="L142" s="0" t="str">
        <f aca="false">IF($G142=0,"",IF(""=0,"",""))</f>
        <v/>
      </c>
      <c r="M142" s="0" t="str">
        <f aca="false">IF($G142=0,"",IF(""=0,"",""))</f>
        <v/>
      </c>
      <c r="N142" s="0" t="str">
        <f aca="false">IF($G142=0,"",IF(IF(N(资金日记账!$I135)=0,"",-ROUND(N(资金日记账!$I135),2))=0,"",IF(N(资金日记账!$I135)=0,"",-ROUND(N(资金日记账!$I135),2))))</f>
        <v/>
      </c>
      <c r="O142" s="0" t="str">
        <f aca="false">IF($G142=0,"",IF(IF(N(资金日记账!$H135)=0,"",ROUND(N(资金日记账!$H135),2))=0,"",IF(N(资金日记账!$H135)=0,"",ROUND(N(资金日记账!$H135),2))))</f>
        <v/>
      </c>
      <c r="P142" s="0" t="str">
        <f aca="false">IF($G142=0,"",IF(资金日记账!$L135=0,"",资金日记账!$L135))</f>
        <v/>
      </c>
      <c r="T142" s="0" t="str">
        <f aca="false">IF(资金日记账!$G142="","",资金日记账!$G142)</f>
        <v/>
      </c>
      <c r="U142" s="0" t="n">
        <f aca="false">IF(T142="",0,IF(MATCH(T142,$T$4:$T$903,0)=ROW()-3,1,0))</f>
        <v>0</v>
      </c>
      <c r="V142" s="0" t="n">
        <f aca="false">N(V141)+U142</f>
        <v>30</v>
      </c>
      <c r="Z142" s="0" t="str">
        <f aca="false">IF(成本费用登记表!$C142="","",成本费用登记表!$C142)</f>
        <v/>
      </c>
      <c r="AA142" s="0" t="n">
        <f aca="false">IF(Z142="",0,IF(MATCH(Z142,$Z$4:$Z$303,0)=ROW()-3,1,0))</f>
        <v>0</v>
      </c>
      <c r="AB142" s="0" t="n">
        <f aca="false">N(AB141)+AA142</f>
        <v>0</v>
      </c>
      <c r="AD142" s="0" t="str">
        <f aca="false">IFERROR(INDEX($Z$4:$Z$303,MATCH(139,$AB$4:$AB$303,0)),"")</f>
        <v/>
      </c>
      <c r="AF142" s="0" t="str">
        <f aca="false">IF(OR(资金日记账!$E142="",N(资金日记账!$H142)=0),"",资金日记账!$E142)</f>
        <v/>
      </c>
      <c r="AG142" s="0" t="n">
        <f aca="false">IF(AF142="",0,IF(MATCH(AF142,$AF$4:$AF$603,0)=ROW()-3,1,0))</f>
        <v>0</v>
      </c>
      <c r="AH142" s="0" t="n">
        <f aca="false">N(AH141)+AG142</f>
        <v>5</v>
      </c>
    </row>
    <row r="143" customFormat="false" ht="13.5" hidden="false" customHeight="false" outlineLevel="0" collapsed="false">
      <c r="A143" s="0" t="str">
        <f aca="false">IF(((进销存对接!$D143="客户应收")+(进销存对接!$D143="成品销售款")+(进销存对接!$D143="公司购买果品款")+(进销存对接!$D143="筐子销售款")+(进销存对接!$D143="物料销售款"))&gt;0,进销存对接!$C143,"")</f>
        <v/>
      </c>
      <c r="B143" s="0" t="n">
        <f aca="false">IF(A143="",0,IF(MATCH(A143,$A$4:$A$1925,0)=ROW()-3,1,0))</f>
        <v>0</v>
      </c>
      <c r="C143" s="0" t="n">
        <f aca="false">N(C142)+B143</f>
        <v>6</v>
      </c>
      <c r="E143" s="0" t="str">
        <f aca="false">IFERROR(INDEX($A$4:$A$1925,MATCH(ROW()-3,$C$4:$C$1925,0)),"")</f>
        <v/>
      </c>
      <c r="G143" s="0" t="n">
        <f aca="false">IF(OR($G$1="",资金日记账!$E136="",资金日记账!$E136&lt;&gt;$G$1),0,IF(NOT(OR(N(资金日记账!$H136)&lt;&gt;0,N(资金日记账!$I136)&lt;&gt;0)),0,IF(资金日记账!$B136="",1,IF(OR(N(资金日记账!$B136)&lt;$H$1,N(资金日记账!$B136)&gt;$I$1),0,1))))</f>
        <v>0</v>
      </c>
      <c r="H143" s="0" t="n">
        <f aca="false">N(H142)+$G143</f>
        <v>3</v>
      </c>
      <c r="I143" s="0" t="str">
        <f aca="false">IF($G143=0,"",IF(资金日记账!$B136=0,"",资金日记账!$B136))</f>
        <v/>
      </c>
      <c r="J143" s="0" t="str">
        <f aca="false">IF($G143=0,"",IF(资金日记账!$D136=0,"",资金日记账!$D136))</f>
        <v/>
      </c>
      <c r="K143" s="0" t="str">
        <f aca="false">IF($G143=0,"",IF(""=0,"",""))</f>
        <v/>
      </c>
      <c r="L143" s="0" t="str">
        <f aca="false">IF($G143=0,"",IF(""=0,"",""))</f>
        <v/>
      </c>
      <c r="M143" s="0" t="str">
        <f aca="false">IF($G143=0,"",IF(""=0,"",""))</f>
        <v/>
      </c>
      <c r="N143" s="0" t="str">
        <f aca="false">IF($G143=0,"",IF(IF(N(资金日记账!$I136)=0,"",-ROUND(N(资金日记账!$I136),2))=0,"",IF(N(资金日记账!$I136)=0,"",-ROUND(N(资金日记账!$I136),2))))</f>
        <v/>
      </c>
      <c r="O143" s="0" t="str">
        <f aca="false">IF($G143=0,"",IF(IF(N(资金日记账!$H136)=0,"",ROUND(N(资金日记账!$H136),2))=0,"",IF(N(资金日记账!$H136)=0,"",ROUND(N(资金日记账!$H136),2))))</f>
        <v/>
      </c>
      <c r="P143" s="0" t="str">
        <f aca="false">IF($G143=0,"",IF(资金日记账!$L136=0,"",资金日记账!$L136))</f>
        <v/>
      </c>
      <c r="T143" s="0" t="str">
        <f aca="false">IF(资金日记账!$G143="","",资金日记账!$G143)</f>
        <v/>
      </c>
      <c r="U143" s="0" t="n">
        <f aca="false">IF(T143="",0,IF(MATCH(T143,$T$4:$T$903,0)=ROW()-3,1,0))</f>
        <v>0</v>
      </c>
      <c r="V143" s="0" t="n">
        <f aca="false">N(V142)+U143</f>
        <v>30</v>
      </c>
      <c r="Z143" s="0" t="str">
        <f aca="false">IF(成本费用登记表!$C143="","",成本费用登记表!$C143)</f>
        <v/>
      </c>
      <c r="AA143" s="0" t="n">
        <f aca="false">IF(Z143="",0,IF(MATCH(Z143,$Z$4:$Z$303,0)=ROW()-3,1,0))</f>
        <v>0</v>
      </c>
      <c r="AB143" s="0" t="n">
        <f aca="false">N(AB142)+AA143</f>
        <v>0</v>
      </c>
      <c r="AD143" s="0" t="str">
        <f aca="false">IFERROR(INDEX($Z$4:$Z$303,MATCH(140,$AB$4:$AB$303,0)),"")</f>
        <v/>
      </c>
      <c r="AF143" s="0" t="str">
        <f aca="false">IF(OR(资金日记账!$E143="",N(资金日记账!$H143)=0),"",资金日记账!$E143)</f>
        <v/>
      </c>
      <c r="AG143" s="0" t="n">
        <f aca="false">IF(AF143="",0,IF(MATCH(AF143,$AF$4:$AF$603,0)=ROW()-3,1,0))</f>
        <v>0</v>
      </c>
      <c r="AH143" s="0" t="n">
        <f aca="false">N(AH142)+AG143</f>
        <v>5</v>
      </c>
    </row>
    <row r="144" customFormat="false" ht="13.5" hidden="false" customHeight="false" outlineLevel="0" collapsed="false">
      <c r="A144" s="0" t="str">
        <f aca="false">IF(((进销存对接!$D144="客户应收")+(进销存对接!$D144="成品销售款")+(进销存对接!$D144="公司购买果品款")+(进销存对接!$D144="筐子销售款")+(进销存对接!$D144="物料销售款"))&gt;0,进销存对接!$C144,"")</f>
        <v/>
      </c>
      <c r="B144" s="0" t="n">
        <f aca="false">IF(A144="",0,IF(MATCH(A144,$A$4:$A$1925,0)=ROW()-3,1,0))</f>
        <v>0</v>
      </c>
      <c r="C144" s="0" t="n">
        <f aca="false">N(C143)+B144</f>
        <v>6</v>
      </c>
      <c r="E144" s="0" t="str">
        <f aca="false">IFERROR(INDEX($A$4:$A$1925,MATCH(ROW()-3,$C$4:$C$1925,0)),"")</f>
        <v/>
      </c>
      <c r="G144" s="0" t="n">
        <f aca="false">IF(OR($G$1="",资金日记账!$E137="",资金日记账!$E137&lt;&gt;$G$1),0,IF(NOT(OR(N(资金日记账!$H137)&lt;&gt;0,N(资金日记账!$I137)&lt;&gt;0)),0,IF(资金日记账!$B137="",1,IF(OR(N(资金日记账!$B137)&lt;$H$1,N(资金日记账!$B137)&gt;$I$1),0,1))))</f>
        <v>0</v>
      </c>
      <c r="H144" s="0" t="n">
        <f aca="false">N(H143)+$G144</f>
        <v>3</v>
      </c>
      <c r="I144" s="0" t="str">
        <f aca="false">IF($G144=0,"",IF(资金日记账!$B137=0,"",资金日记账!$B137))</f>
        <v/>
      </c>
      <c r="J144" s="0" t="str">
        <f aca="false">IF($G144=0,"",IF(资金日记账!$D137=0,"",资金日记账!$D137))</f>
        <v/>
      </c>
      <c r="K144" s="0" t="str">
        <f aca="false">IF($G144=0,"",IF(""=0,"",""))</f>
        <v/>
      </c>
      <c r="L144" s="0" t="str">
        <f aca="false">IF($G144=0,"",IF(""=0,"",""))</f>
        <v/>
      </c>
      <c r="M144" s="0" t="str">
        <f aca="false">IF($G144=0,"",IF(""=0,"",""))</f>
        <v/>
      </c>
      <c r="N144" s="0" t="str">
        <f aca="false">IF($G144=0,"",IF(IF(N(资金日记账!$I137)=0,"",-ROUND(N(资金日记账!$I137),2))=0,"",IF(N(资金日记账!$I137)=0,"",-ROUND(N(资金日记账!$I137),2))))</f>
        <v/>
      </c>
      <c r="O144" s="0" t="str">
        <f aca="false">IF($G144=0,"",IF(IF(N(资金日记账!$H137)=0,"",ROUND(N(资金日记账!$H137),2))=0,"",IF(N(资金日记账!$H137)=0,"",ROUND(N(资金日记账!$H137),2))))</f>
        <v/>
      </c>
      <c r="P144" s="0" t="str">
        <f aca="false">IF($G144=0,"",IF(资金日记账!$L137=0,"",资金日记账!$L137))</f>
        <v/>
      </c>
      <c r="T144" s="0" t="str">
        <f aca="false">IF(资金日记账!$G144="","",资金日记账!$G144)</f>
        <v/>
      </c>
      <c r="U144" s="0" t="n">
        <f aca="false">IF(T144="",0,IF(MATCH(T144,$T$4:$T$903,0)=ROW()-3,1,0))</f>
        <v>0</v>
      </c>
      <c r="V144" s="0" t="n">
        <f aca="false">N(V143)+U144</f>
        <v>30</v>
      </c>
      <c r="Z144" s="0" t="str">
        <f aca="false">IF(成本费用登记表!$C144="","",成本费用登记表!$C144)</f>
        <v/>
      </c>
      <c r="AA144" s="0" t="n">
        <f aca="false">IF(Z144="",0,IF(MATCH(Z144,$Z$4:$Z$303,0)=ROW()-3,1,0))</f>
        <v>0</v>
      </c>
      <c r="AB144" s="0" t="n">
        <f aca="false">N(AB143)+AA144</f>
        <v>0</v>
      </c>
      <c r="AD144" s="0" t="str">
        <f aca="false">IFERROR(INDEX($Z$4:$Z$303,MATCH(141,$AB$4:$AB$303,0)),"")</f>
        <v/>
      </c>
      <c r="AF144" s="0" t="str">
        <f aca="false">IF(OR(资金日记账!$E144="",N(资金日记账!$H144)=0),"",资金日记账!$E144)</f>
        <v/>
      </c>
      <c r="AG144" s="0" t="n">
        <f aca="false">IF(AF144="",0,IF(MATCH(AF144,$AF$4:$AF$603,0)=ROW()-3,1,0))</f>
        <v>0</v>
      </c>
      <c r="AH144" s="0" t="n">
        <f aca="false">N(AH143)+AG144</f>
        <v>5</v>
      </c>
    </row>
    <row r="145" customFormat="false" ht="13.5" hidden="false" customHeight="false" outlineLevel="0" collapsed="false">
      <c r="A145" s="0" t="str">
        <f aca="false">IF(((进销存对接!$D145="客户应收")+(进销存对接!$D145="成品销售款")+(进销存对接!$D145="公司购买果品款")+(进销存对接!$D145="筐子销售款")+(进销存对接!$D145="物料销售款"))&gt;0,进销存对接!$C145,"")</f>
        <v/>
      </c>
      <c r="B145" s="0" t="n">
        <f aca="false">IF(A145="",0,IF(MATCH(A145,$A$4:$A$1925,0)=ROW()-3,1,0))</f>
        <v>0</v>
      </c>
      <c r="C145" s="0" t="n">
        <f aca="false">N(C144)+B145</f>
        <v>6</v>
      </c>
      <c r="E145" s="0" t="str">
        <f aca="false">IFERROR(INDEX($A$4:$A$1925,MATCH(ROW()-3,$C$4:$C$1925,0)),"")</f>
        <v/>
      </c>
      <c r="G145" s="0" t="n">
        <f aca="false">IF(OR($G$1="",资金日记账!$E138="",资金日记账!$E138&lt;&gt;$G$1),0,IF(NOT(OR(N(资金日记账!$H138)&lt;&gt;0,N(资金日记账!$I138)&lt;&gt;0)),0,IF(资金日记账!$B138="",1,IF(OR(N(资金日记账!$B138)&lt;$H$1,N(资金日记账!$B138)&gt;$I$1),0,1))))</f>
        <v>0</v>
      </c>
      <c r="H145" s="0" t="n">
        <f aca="false">N(H144)+$G145</f>
        <v>3</v>
      </c>
      <c r="I145" s="0" t="str">
        <f aca="false">IF($G145=0,"",IF(资金日记账!$B138=0,"",资金日记账!$B138))</f>
        <v/>
      </c>
      <c r="J145" s="0" t="str">
        <f aca="false">IF($G145=0,"",IF(资金日记账!$D138=0,"",资金日记账!$D138))</f>
        <v/>
      </c>
      <c r="K145" s="0" t="str">
        <f aca="false">IF($G145=0,"",IF(""=0,"",""))</f>
        <v/>
      </c>
      <c r="L145" s="0" t="str">
        <f aca="false">IF($G145=0,"",IF(""=0,"",""))</f>
        <v/>
      </c>
      <c r="M145" s="0" t="str">
        <f aca="false">IF($G145=0,"",IF(""=0,"",""))</f>
        <v/>
      </c>
      <c r="N145" s="0" t="str">
        <f aca="false">IF($G145=0,"",IF(IF(N(资金日记账!$I138)=0,"",-ROUND(N(资金日记账!$I138),2))=0,"",IF(N(资金日记账!$I138)=0,"",-ROUND(N(资金日记账!$I138),2))))</f>
        <v/>
      </c>
      <c r="O145" s="0" t="str">
        <f aca="false">IF($G145=0,"",IF(IF(N(资金日记账!$H138)=0,"",ROUND(N(资金日记账!$H138),2))=0,"",IF(N(资金日记账!$H138)=0,"",ROUND(N(资金日记账!$H138),2))))</f>
        <v/>
      </c>
      <c r="P145" s="0" t="str">
        <f aca="false">IF($G145=0,"",IF(资金日记账!$L138=0,"",资金日记账!$L138))</f>
        <v/>
      </c>
      <c r="T145" s="0" t="str">
        <f aca="false">IF(资金日记账!$G145="","",资金日记账!$G145)</f>
        <v/>
      </c>
      <c r="U145" s="0" t="n">
        <f aca="false">IF(T145="",0,IF(MATCH(T145,$T$4:$T$903,0)=ROW()-3,1,0))</f>
        <v>0</v>
      </c>
      <c r="V145" s="0" t="n">
        <f aca="false">N(V144)+U145</f>
        <v>30</v>
      </c>
      <c r="Z145" s="0" t="str">
        <f aca="false">IF(成本费用登记表!$C145="","",成本费用登记表!$C145)</f>
        <v/>
      </c>
      <c r="AA145" s="0" t="n">
        <f aca="false">IF(Z145="",0,IF(MATCH(Z145,$Z$4:$Z$303,0)=ROW()-3,1,0))</f>
        <v>0</v>
      </c>
      <c r="AB145" s="0" t="n">
        <f aca="false">N(AB144)+AA145</f>
        <v>0</v>
      </c>
      <c r="AD145" s="0" t="str">
        <f aca="false">IFERROR(INDEX($Z$4:$Z$303,MATCH(142,$AB$4:$AB$303,0)),"")</f>
        <v/>
      </c>
      <c r="AF145" s="0" t="str">
        <f aca="false">IF(OR(资金日记账!$E145="",N(资金日记账!$H145)=0),"",资金日记账!$E145)</f>
        <v/>
      </c>
      <c r="AG145" s="0" t="n">
        <f aca="false">IF(AF145="",0,IF(MATCH(AF145,$AF$4:$AF$603,0)=ROW()-3,1,0))</f>
        <v>0</v>
      </c>
      <c r="AH145" s="0" t="n">
        <f aca="false">N(AH144)+AG145</f>
        <v>5</v>
      </c>
    </row>
    <row r="146" customFormat="false" ht="13.5" hidden="false" customHeight="false" outlineLevel="0" collapsed="false">
      <c r="A146" s="0" t="str">
        <f aca="false">IF(((进销存对接!$D146="客户应收")+(进销存对接!$D146="成品销售款")+(进销存对接!$D146="公司购买果品款")+(进销存对接!$D146="筐子销售款")+(进销存对接!$D146="物料销售款"))&gt;0,进销存对接!$C146,"")</f>
        <v/>
      </c>
      <c r="B146" s="0" t="n">
        <f aca="false">IF(A146="",0,IF(MATCH(A146,$A$4:$A$1925,0)=ROW()-3,1,0))</f>
        <v>0</v>
      </c>
      <c r="C146" s="0" t="n">
        <f aca="false">N(C145)+B146</f>
        <v>6</v>
      </c>
      <c r="E146" s="0" t="str">
        <f aca="false">IFERROR(INDEX($A$4:$A$1925,MATCH(ROW()-3,$C$4:$C$1925,0)),"")</f>
        <v/>
      </c>
      <c r="G146" s="0" t="n">
        <f aca="false">IF(OR($G$1="",资金日记账!$E139="",资金日记账!$E139&lt;&gt;$G$1),0,IF(NOT(OR(N(资金日记账!$H139)&lt;&gt;0,N(资金日记账!$I139)&lt;&gt;0)),0,IF(资金日记账!$B139="",1,IF(OR(N(资金日记账!$B139)&lt;$H$1,N(资金日记账!$B139)&gt;$I$1),0,1))))</f>
        <v>0</v>
      </c>
      <c r="H146" s="0" t="n">
        <f aca="false">N(H145)+$G146</f>
        <v>3</v>
      </c>
      <c r="I146" s="0" t="str">
        <f aca="false">IF($G146=0,"",IF(资金日记账!$B139=0,"",资金日记账!$B139))</f>
        <v/>
      </c>
      <c r="J146" s="0" t="str">
        <f aca="false">IF($G146=0,"",IF(资金日记账!$D139=0,"",资金日记账!$D139))</f>
        <v/>
      </c>
      <c r="K146" s="0" t="str">
        <f aca="false">IF($G146=0,"",IF(""=0,"",""))</f>
        <v/>
      </c>
      <c r="L146" s="0" t="str">
        <f aca="false">IF($G146=0,"",IF(""=0,"",""))</f>
        <v/>
      </c>
      <c r="M146" s="0" t="str">
        <f aca="false">IF($G146=0,"",IF(""=0,"",""))</f>
        <v/>
      </c>
      <c r="N146" s="0" t="str">
        <f aca="false">IF($G146=0,"",IF(IF(N(资金日记账!$I139)=0,"",-ROUND(N(资金日记账!$I139),2))=0,"",IF(N(资金日记账!$I139)=0,"",-ROUND(N(资金日记账!$I139),2))))</f>
        <v/>
      </c>
      <c r="O146" s="0" t="str">
        <f aca="false">IF($G146=0,"",IF(IF(N(资金日记账!$H139)=0,"",ROUND(N(资金日记账!$H139),2))=0,"",IF(N(资金日记账!$H139)=0,"",ROUND(N(资金日记账!$H139),2))))</f>
        <v/>
      </c>
      <c r="P146" s="0" t="str">
        <f aca="false">IF($G146=0,"",IF(资金日记账!$L139=0,"",资金日记账!$L139))</f>
        <v/>
      </c>
      <c r="T146" s="0" t="str">
        <f aca="false">IF(资金日记账!$G146="","",资金日记账!$G146)</f>
        <v/>
      </c>
      <c r="U146" s="0" t="n">
        <f aca="false">IF(T146="",0,IF(MATCH(T146,$T$4:$T$903,0)=ROW()-3,1,0))</f>
        <v>0</v>
      </c>
      <c r="V146" s="0" t="n">
        <f aca="false">N(V145)+U146</f>
        <v>30</v>
      </c>
      <c r="Z146" s="0" t="str">
        <f aca="false">IF(成本费用登记表!$C146="","",成本费用登记表!$C146)</f>
        <v/>
      </c>
      <c r="AA146" s="0" t="n">
        <f aca="false">IF(Z146="",0,IF(MATCH(Z146,$Z$4:$Z$303,0)=ROW()-3,1,0))</f>
        <v>0</v>
      </c>
      <c r="AB146" s="0" t="n">
        <f aca="false">N(AB145)+AA146</f>
        <v>0</v>
      </c>
      <c r="AD146" s="0" t="str">
        <f aca="false">IFERROR(INDEX($Z$4:$Z$303,MATCH(143,$AB$4:$AB$303,0)),"")</f>
        <v/>
      </c>
      <c r="AF146" s="0" t="str">
        <f aca="false">IF(OR(资金日记账!$E146="",N(资金日记账!$H146)=0),"",资金日记账!$E146)</f>
        <v/>
      </c>
      <c r="AG146" s="0" t="n">
        <f aca="false">IF(AF146="",0,IF(MATCH(AF146,$AF$4:$AF$603,0)=ROW()-3,1,0))</f>
        <v>0</v>
      </c>
      <c r="AH146" s="0" t="n">
        <f aca="false">N(AH145)+AG146</f>
        <v>5</v>
      </c>
    </row>
    <row r="147" customFormat="false" ht="13.5" hidden="false" customHeight="false" outlineLevel="0" collapsed="false">
      <c r="A147" s="0" t="str">
        <f aca="false">IF(((进销存对接!$D147="客户应收")+(进销存对接!$D147="成品销售款")+(进销存对接!$D147="公司购买果品款")+(进销存对接!$D147="筐子销售款")+(进销存对接!$D147="物料销售款"))&gt;0,进销存对接!$C147,"")</f>
        <v/>
      </c>
      <c r="B147" s="0" t="n">
        <f aca="false">IF(A147="",0,IF(MATCH(A147,$A$4:$A$1925,0)=ROW()-3,1,0))</f>
        <v>0</v>
      </c>
      <c r="C147" s="0" t="n">
        <f aca="false">N(C146)+B147</f>
        <v>6</v>
      </c>
      <c r="E147" s="0" t="str">
        <f aca="false">IFERROR(INDEX($A$4:$A$1925,MATCH(ROW()-3,$C$4:$C$1925,0)),"")</f>
        <v/>
      </c>
      <c r="G147" s="0" t="n">
        <f aca="false">IF(OR($G$1="",资金日记账!$E140="",资金日记账!$E140&lt;&gt;$G$1),0,IF(NOT(OR(N(资金日记账!$H140)&lt;&gt;0,N(资金日记账!$I140)&lt;&gt;0)),0,IF(资金日记账!$B140="",1,IF(OR(N(资金日记账!$B140)&lt;$H$1,N(资金日记账!$B140)&gt;$I$1),0,1))))</f>
        <v>0</v>
      </c>
      <c r="H147" s="0" t="n">
        <f aca="false">N(H146)+$G147</f>
        <v>3</v>
      </c>
      <c r="I147" s="0" t="str">
        <f aca="false">IF($G147=0,"",IF(资金日记账!$B140=0,"",资金日记账!$B140))</f>
        <v/>
      </c>
      <c r="J147" s="0" t="str">
        <f aca="false">IF($G147=0,"",IF(资金日记账!$D140=0,"",资金日记账!$D140))</f>
        <v/>
      </c>
      <c r="K147" s="0" t="str">
        <f aca="false">IF($G147=0,"",IF(""=0,"",""))</f>
        <v/>
      </c>
      <c r="L147" s="0" t="str">
        <f aca="false">IF($G147=0,"",IF(""=0,"",""))</f>
        <v/>
      </c>
      <c r="M147" s="0" t="str">
        <f aca="false">IF($G147=0,"",IF(""=0,"",""))</f>
        <v/>
      </c>
      <c r="N147" s="0" t="str">
        <f aca="false">IF($G147=0,"",IF(IF(N(资金日记账!$I140)=0,"",-ROUND(N(资金日记账!$I140),2))=0,"",IF(N(资金日记账!$I140)=0,"",-ROUND(N(资金日记账!$I140),2))))</f>
        <v/>
      </c>
      <c r="O147" s="0" t="str">
        <f aca="false">IF($G147=0,"",IF(IF(N(资金日记账!$H140)=0,"",ROUND(N(资金日记账!$H140),2))=0,"",IF(N(资金日记账!$H140)=0,"",ROUND(N(资金日记账!$H140),2))))</f>
        <v/>
      </c>
      <c r="P147" s="0" t="str">
        <f aca="false">IF($G147=0,"",IF(资金日记账!$L140=0,"",资金日记账!$L140))</f>
        <v/>
      </c>
      <c r="T147" s="0" t="str">
        <f aca="false">IF(资金日记账!$G147="","",资金日记账!$G147)</f>
        <v/>
      </c>
      <c r="U147" s="0" t="n">
        <f aca="false">IF(T147="",0,IF(MATCH(T147,$T$4:$T$903,0)=ROW()-3,1,0))</f>
        <v>0</v>
      </c>
      <c r="V147" s="0" t="n">
        <f aca="false">N(V146)+U147</f>
        <v>30</v>
      </c>
      <c r="Z147" s="0" t="str">
        <f aca="false">IF(成本费用登记表!$C147="","",成本费用登记表!$C147)</f>
        <v/>
      </c>
      <c r="AA147" s="0" t="n">
        <f aca="false">IF(Z147="",0,IF(MATCH(Z147,$Z$4:$Z$303,0)=ROW()-3,1,0))</f>
        <v>0</v>
      </c>
      <c r="AB147" s="0" t="n">
        <f aca="false">N(AB146)+AA147</f>
        <v>0</v>
      </c>
      <c r="AD147" s="0" t="str">
        <f aca="false">IFERROR(INDEX($Z$4:$Z$303,MATCH(144,$AB$4:$AB$303,0)),"")</f>
        <v/>
      </c>
      <c r="AF147" s="0" t="str">
        <f aca="false">IF(OR(资金日记账!$E147="",N(资金日记账!$H147)=0),"",资金日记账!$E147)</f>
        <v/>
      </c>
      <c r="AG147" s="0" t="n">
        <f aca="false">IF(AF147="",0,IF(MATCH(AF147,$AF$4:$AF$603,0)=ROW()-3,1,0))</f>
        <v>0</v>
      </c>
      <c r="AH147" s="0" t="n">
        <f aca="false">N(AH146)+AG147</f>
        <v>5</v>
      </c>
    </row>
    <row r="148" customFormat="false" ht="13.5" hidden="false" customHeight="false" outlineLevel="0" collapsed="false">
      <c r="A148" s="0" t="str">
        <f aca="false">IF(((进销存对接!$D148="客户应收")+(进销存对接!$D148="成品销售款")+(进销存对接!$D148="公司购买果品款")+(进销存对接!$D148="筐子销售款")+(进销存对接!$D148="物料销售款"))&gt;0,进销存对接!$C148,"")</f>
        <v/>
      </c>
      <c r="B148" s="0" t="n">
        <f aca="false">IF(A148="",0,IF(MATCH(A148,$A$4:$A$1925,0)=ROW()-3,1,0))</f>
        <v>0</v>
      </c>
      <c r="C148" s="0" t="n">
        <f aca="false">N(C147)+B148</f>
        <v>6</v>
      </c>
      <c r="E148" s="0" t="str">
        <f aca="false">IFERROR(INDEX($A$4:$A$1925,MATCH(ROW()-3,$C$4:$C$1925,0)),"")</f>
        <v/>
      </c>
      <c r="G148" s="0" t="n">
        <f aca="false">IF(OR($G$1="",资金日记账!$E141="",资金日记账!$E141&lt;&gt;$G$1),0,IF(NOT(OR(N(资金日记账!$H141)&lt;&gt;0,N(资金日记账!$I141)&lt;&gt;0)),0,IF(资金日记账!$B141="",1,IF(OR(N(资金日记账!$B141)&lt;$H$1,N(资金日记账!$B141)&gt;$I$1),0,1))))</f>
        <v>0</v>
      </c>
      <c r="H148" s="0" t="n">
        <f aca="false">N(H147)+$G148</f>
        <v>3</v>
      </c>
      <c r="I148" s="0" t="str">
        <f aca="false">IF($G148=0,"",IF(资金日记账!$B141=0,"",资金日记账!$B141))</f>
        <v/>
      </c>
      <c r="J148" s="0" t="str">
        <f aca="false">IF($G148=0,"",IF(资金日记账!$D141=0,"",资金日记账!$D141))</f>
        <v/>
      </c>
      <c r="K148" s="0" t="str">
        <f aca="false">IF($G148=0,"",IF(""=0,"",""))</f>
        <v/>
      </c>
      <c r="L148" s="0" t="str">
        <f aca="false">IF($G148=0,"",IF(""=0,"",""))</f>
        <v/>
      </c>
      <c r="M148" s="0" t="str">
        <f aca="false">IF($G148=0,"",IF(""=0,"",""))</f>
        <v/>
      </c>
      <c r="N148" s="0" t="str">
        <f aca="false">IF($G148=0,"",IF(IF(N(资金日记账!$I141)=0,"",-ROUND(N(资金日记账!$I141),2))=0,"",IF(N(资金日记账!$I141)=0,"",-ROUND(N(资金日记账!$I141),2))))</f>
        <v/>
      </c>
      <c r="O148" s="0" t="str">
        <f aca="false">IF($G148=0,"",IF(IF(N(资金日记账!$H141)=0,"",ROUND(N(资金日记账!$H141),2))=0,"",IF(N(资金日记账!$H141)=0,"",ROUND(N(资金日记账!$H141),2))))</f>
        <v/>
      </c>
      <c r="P148" s="0" t="str">
        <f aca="false">IF($G148=0,"",IF(资金日记账!$L141=0,"",资金日记账!$L141))</f>
        <v/>
      </c>
      <c r="T148" s="0" t="str">
        <f aca="false">IF(资金日记账!$G148="","",资金日记账!$G148)</f>
        <v/>
      </c>
      <c r="U148" s="0" t="n">
        <f aca="false">IF(T148="",0,IF(MATCH(T148,$T$4:$T$903,0)=ROW()-3,1,0))</f>
        <v>0</v>
      </c>
      <c r="V148" s="0" t="n">
        <f aca="false">N(V147)+U148</f>
        <v>30</v>
      </c>
      <c r="Z148" s="0" t="str">
        <f aca="false">IF(成本费用登记表!$C148="","",成本费用登记表!$C148)</f>
        <v/>
      </c>
      <c r="AA148" s="0" t="n">
        <f aca="false">IF(Z148="",0,IF(MATCH(Z148,$Z$4:$Z$303,0)=ROW()-3,1,0))</f>
        <v>0</v>
      </c>
      <c r="AB148" s="0" t="n">
        <f aca="false">N(AB147)+AA148</f>
        <v>0</v>
      </c>
      <c r="AD148" s="0" t="str">
        <f aca="false">IFERROR(INDEX($Z$4:$Z$303,MATCH(145,$AB$4:$AB$303,0)),"")</f>
        <v/>
      </c>
      <c r="AF148" s="0" t="str">
        <f aca="false">IF(OR(资金日记账!$E148="",N(资金日记账!$H148)=0),"",资金日记账!$E148)</f>
        <v/>
      </c>
      <c r="AG148" s="0" t="n">
        <f aca="false">IF(AF148="",0,IF(MATCH(AF148,$AF$4:$AF$603,0)=ROW()-3,1,0))</f>
        <v>0</v>
      </c>
      <c r="AH148" s="0" t="n">
        <f aca="false">N(AH147)+AG148</f>
        <v>5</v>
      </c>
    </row>
    <row r="149" customFormat="false" ht="13.5" hidden="false" customHeight="false" outlineLevel="0" collapsed="false">
      <c r="A149" s="0" t="str">
        <f aca="false">IF(((进销存对接!$D149="客户应收")+(进销存对接!$D149="成品销售款")+(进销存对接!$D149="公司购买果品款")+(进销存对接!$D149="筐子销售款")+(进销存对接!$D149="物料销售款"))&gt;0,进销存对接!$C149,"")</f>
        <v/>
      </c>
      <c r="B149" s="0" t="n">
        <f aca="false">IF(A149="",0,IF(MATCH(A149,$A$4:$A$1925,0)=ROW()-3,1,0))</f>
        <v>0</v>
      </c>
      <c r="C149" s="0" t="n">
        <f aca="false">N(C148)+B149</f>
        <v>6</v>
      </c>
      <c r="E149" s="0" t="str">
        <f aca="false">IFERROR(INDEX($A$4:$A$1925,MATCH(ROW()-3,$C$4:$C$1925,0)),"")</f>
        <v/>
      </c>
      <c r="G149" s="0" t="n">
        <f aca="false">IF(OR($G$1="",资金日记账!$E142="",资金日记账!$E142&lt;&gt;$G$1),0,IF(NOT(OR(N(资金日记账!$H142)&lt;&gt;0,N(资金日记账!$I142)&lt;&gt;0)),0,IF(资金日记账!$B142="",1,IF(OR(N(资金日记账!$B142)&lt;$H$1,N(资金日记账!$B142)&gt;$I$1),0,1))))</f>
        <v>0</v>
      </c>
      <c r="H149" s="0" t="n">
        <f aca="false">N(H148)+$G149</f>
        <v>3</v>
      </c>
      <c r="I149" s="0" t="str">
        <f aca="false">IF($G149=0,"",IF(资金日记账!$B142=0,"",资金日记账!$B142))</f>
        <v/>
      </c>
      <c r="J149" s="0" t="str">
        <f aca="false">IF($G149=0,"",IF(资金日记账!$D142=0,"",资金日记账!$D142))</f>
        <v/>
      </c>
      <c r="K149" s="0" t="str">
        <f aca="false">IF($G149=0,"",IF(""=0,"",""))</f>
        <v/>
      </c>
      <c r="L149" s="0" t="str">
        <f aca="false">IF($G149=0,"",IF(""=0,"",""))</f>
        <v/>
      </c>
      <c r="M149" s="0" t="str">
        <f aca="false">IF($G149=0,"",IF(""=0,"",""))</f>
        <v/>
      </c>
      <c r="N149" s="0" t="str">
        <f aca="false">IF($G149=0,"",IF(IF(N(资金日记账!$I142)=0,"",-ROUND(N(资金日记账!$I142),2))=0,"",IF(N(资金日记账!$I142)=0,"",-ROUND(N(资金日记账!$I142),2))))</f>
        <v/>
      </c>
      <c r="O149" s="0" t="str">
        <f aca="false">IF($G149=0,"",IF(IF(N(资金日记账!$H142)=0,"",ROUND(N(资金日记账!$H142),2))=0,"",IF(N(资金日记账!$H142)=0,"",ROUND(N(资金日记账!$H142),2))))</f>
        <v/>
      </c>
      <c r="P149" s="0" t="str">
        <f aca="false">IF($G149=0,"",IF(资金日记账!$L142=0,"",资金日记账!$L142))</f>
        <v/>
      </c>
      <c r="T149" s="0" t="str">
        <f aca="false">IF(资金日记账!$G149="","",资金日记账!$G149)</f>
        <v/>
      </c>
      <c r="U149" s="0" t="n">
        <f aca="false">IF(T149="",0,IF(MATCH(T149,$T$4:$T$903,0)=ROW()-3,1,0))</f>
        <v>0</v>
      </c>
      <c r="V149" s="0" t="n">
        <f aca="false">N(V148)+U149</f>
        <v>30</v>
      </c>
      <c r="Z149" s="0" t="str">
        <f aca="false">IF(成本费用登记表!$C149="","",成本费用登记表!$C149)</f>
        <v/>
      </c>
      <c r="AA149" s="0" t="n">
        <f aca="false">IF(Z149="",0,IF(MATCH(Z149,$Z$4:$Z$303,0)=ROW()-3,1,0))</f>
        <v>0</v>
      </c>
      <c r="AB149" s="0" t="n">
        <f aca="false">N(AB148)+AA149</f>
        <v>0</v>
      </c>
      <c r="AD149" s="0" t="str">
        <f aca="false">IFERROR(INDEX($Z$4:$Z$303,MATCH(146,$AB$4:$AB$303,0)),"")</f>
        <v/>
      </c>
      <c r="AF149" s="0" t="str">
        <f aca="false">IF(OR(资金日记账!$E149="",N(资金日记账!$H149)=0),"",资金日记账!$E149)</f>
        <v/>
      </c>
      <c r="AG149" s="0" t="n">
        <f aca="false">IF(AF149="",0,IF(MATCH(AF149,$AF$4:$AF$603,0)=ROW()-3,1,0))</f>
        <v>0</v>
      </c>
      <c r="AH149" s="0" t="n">
        <f aca="false">N(AH148)+AG149</f>
        <v>5</v>
      </c>
    </row>
    <row r="150" customFormat="false" ht="13.5" hidden="false" customHeight="false" outlineLevel="0" collapsed="false">
      <c r="A150" s="0" t="str">
        <f aca="false">IF(((进销存对接!$D150="客户应收")+(进销存对接!$D150="成品销售款")+(进销存对接!$D150="公司购买果品款")+(进销存对接!$D150="筐子销售款")+(进销存对接!$D150="物料销售款"))&gt;0,进销存对接!$C150,"")</f>
        <v/>
      </c>
      <c r="B150" s="0" t="n">
        <f aca="false">IF(A150="",0,IF(MATCH(A150,$A$4:$A$1925,0)=ROW()-3,1,0))</f>
        <v>0</v>
      </c>
      <c r="C150" s="0" t="n">
        <f aca="false">N(C149)+B150</f>
        <v>6</v>
      </c>
      <c r="E150" s="0" t="str">
        <f aca="false">IFERROR(INDEX($A$4:$A$1925,MATCH(ROW()-3,$C$4:$C$1925,0)),"")</f>
        <v/>
      </c>
      <c r="G150" s="0" t="n">
        <f aca="false">IF(OR($G$1="",资金日记账!$E143="",资金日记账!$E143&lt;&gt;$G$1),0,IF(NOT(OR(N(资金日记账!$H143)&lt;&gt;0,N(资金日记账!$I143)&lt;&gt;0)),0,IF(资金日记账!$B143="",1,IF(OR(N(资金日记账!$B143)&lt;$H$1,N(资金日记账!$B143)&gt;$I$1),0,1))))</f>
        <v>0</v>
      </c>
      <c r="H150" s="0" t="n">
        <f aca="false">N(H149)+$G150</f>
        <v>3</v>
      </c>
      <c r="I150" s="0" t="str">
        <f aca="false">IF($G150=0,"",IF(资金日记账!$B143=0,"",资金日记账!$B143))</f>
        <v/>
      </c>
      <c r="J150" s="0" t="str">
        <f aca="false">IF($G150=0,"",IF(资金日记账!$D143=0,"",资金日记账!$D143))</f>
        <v/>
      </c>
      <c r="K150" s="0" t="str">
        <f aca="false">IF($G150=0,"",IF(""=0,"",""))</f>
        <v/>
      </c>
      <c r="L150" s="0" t="str">
        <f aca="false">IF($G150=0,"",IF(""=0,"",""))</f>
        <v/>
      </c>
      <c r="M150" s="0" t="str">
        <f aca="false">IF($G150=0,"",IF(""=0,"",""))</f>
        <v/>
      </c>
      <c r="N150" s="0" t="str">
        <f aca="false">IF($G150=0,"",IF(IF(N(资金日记账!$I143)=0,"",-ROUND(N(资金日记账!$I143),2))=0,"",IF(N(资金日记账!$I143)=0,"",-ROUND(N(资金日记账!$I143),2))))</f>
        <v/>
      </c>
      <c r="O150" s="0" t="str">
        <f aca="false">IF($G150=0,"",IF(IF(N(资金日记账!$H143)=0,"",ROUND(N(资金日记账!$H143),2))=0,"",IF(N(资金日记账!$H143)=0,"",ROUND(N(资金日记账!$H143),2))))</f>
        <v/>
      </c>
      <c r="P150" s="0" t="str">
        <f aca="false">IF($G150=0,"",IF(资金日记账!$L143=0,"",资金日记账!$L143))</f>
        <v/>
      </c>
      <c r="T150" s="0" t="str">
        <f aca="false">IF(资金日记账!$G150="","",资金日记账!$G150)</f>
        <v/>
      </c>
      <c r="U150" s="0" t="n">
        <f aca="false">IF(T150="",0,IF(MATCH(T150,$T$4:$T$903,0)=ROW()-3,1,0))</f>
        <v>0</v>
      </c>
      <c r="V150" s="0" t="n">
        <f aca="false">N(V149)+U150</f>
        <v>30</v>
      </c>
      <c r="Z150" s="0" t="str">
        <f aca="false">IF(成本费用登记表!$C150="","",成本费用登记表!$C150)</f>
        <v/>
      </c>
      <c r="AA150" s="0" t="n">
        <f aca="false">IF(Z150="",0,IF(MATCH(Z150,$Z$4:$Z$303,0)=ROW()-3,1,0))</f>
        <v>0</v>
      </c>
      <c r="AB150" s="0" t="n">
        <f aca="false">N(AB149)+AA150</f>
        <v>0</v>
      </c>
      <c r="AD150" s="0" t="str">
        <f aca="false">IFERROR(INDEX($Z$4:$Z$303,MATCH(147,$AB$4:$AB$303,0)),"")</f>
        <v/>
      </c>
      <c r="AF150" s="0" t="str">
        <f aca="false">IF(OR(资金日记账!$E150="",N(资金日记账!$H150)=0),"",资金日记账!$E150)</f>
        <v/>
      </c>
      <c r="AG150" s="0" t="n">
        <f aca="false">IF(AF150="",0,IF(MATCH(AF150,$AF$4:$AF$603,0)=ROW()-3,1,0))</f>
        <v>0</v>
      </c>
      <c r="AH150" s="0" t="n">
        <f aca="false">N(AH149)+AG150</f>
        <v>5</v>
      </c>
    </row>
    <row r="151" customFormat="false" ht="13.5" hidden="false" customHeight="false" outlineLevel="0" collapsed="false">
      <c r="A151" s="0" t="str">
        <f aca="false">IF(((进销存对接!$D151="客户应收")+(进销存对接!$D151="成品销售款")+(进销存对接!$D151="公司购买果品款")+(进销存对接!$D151="筐子销售款")+(进销存对接!$D151="物料销售款"))&gt;0,进销存对接!$C151,"")</f>
        <v/>
      </c>
      <c r="B151" s="0" t="n">
        <f aca="false">IF(A151="",0,IF(MATCH(A151,$A$4:$A$1925,0)=ROW()-3,1,0))</f>
        <v>0</v>
      </c>
      <c r="C151" s="0" t="n">
        <f aca="false">N(C150)+B151</f>
        <v>6</v>
      </c>
      <c r="E151" s="0" t="str">
        <f aca="false">IFERROR(INDEX($A$4:$A$1925,MATCH(ROW()-3,$C$4:$C$1925,0)),"")</f>
        <v/>
      </c>
      <c r="G151" s="0" t="n">
        <f aca="false">IF(OR($G$1="",资金日记账!$E144="",资金日记账!$E144&lt;&gt;$G$1),0,IF(NOT(OR(N(资金日记账!$H144)&lt;&gt;0,N(资金日记账!$I144)&lt;&gt;0)),0,IF(资金日记账!$B144="",1,IF(OR(N(资金日记账!$B144)&lt;$H$1,N(资金日记账!$B144)&gt;$I$1),0,1))))</f>
        <v>0</v>
      </c>
      <c r="H151" s="0" t="n">
        <f aca="false">N(H150)+$G151</f>
        <v>3</v>
      </c>
      <c r="I151" s="0" t="str">
        <f aca="false">IF($G151=0,"",IF(资金日记账!$B144=0,"",资金日记账!$B144))</f>
        <v/>
      </c>
      <c r="J151" s="0" t="str">
        <f aca="false">IF($G151=0,"",IF(资金日记账!$D144=0,"",资金日记账!$D144))</f>
        <v/>
      </c>
      <c r="K151" s="0" t="str">
        <f aca="false">IF($G151=0,"",IF(""=0,"",""))</f>
        <v/>
      </c>
      <c r="L151" s="0" t="str">
        <f aca="false">IF($G151=0,"",IF(""=0,"",""))</f>
        <v/>
      </c>
      <c r="M151" s="0" t="str">
        <f aca="false">IF($G151=0,"",IF(""=0,"",""))</f>
        <v/>
      </c>
      <c r="N151" s="0" t="str">
        <f aca="false">IF($G151=0,"",IF(IF(N(资金日记账!$I144)=0,"",-ROUND(N(资金日记账!$I144),2))=0,"",IF(N(资金日记账!$I144)=0,"",-ROUND(N(资金日记账!$I144),2))))</f>
        <v/>
      </c>
      <c r="O151" s="0" t="str">
        <f aca="false">IF($G151=0,"",IF(IF(N(资金日记账!$H144)=0,"",ROUND(N(资金日记账!$H144),2))=0,"",IF(N(资金日记账!$H144)=0,"",ROUND(N(资金日记账!$H144),2))))</f>
        <v/>
      </c>
      <c r="P151" s="0" t="str">
        <f aca="false">IF($G151=0,"",IF(资金日记账!$L144=0,"",资金日记账!$L144))</f>
        <v/>
      </c>
      <c r="T151" s="0" t="str">
        <f aca="false">IF(资金日记账!$G151="","",资金日记账!$G151)</f>
        <v/>
      </c>
      <c r="U151" s="0" t="n">
        <f aca="false">IF(T151="",0,IF(MATCH(T151,$T$4:$T$903,0)=ROW()-3,1,0))</f>
        <v>0</v>
      </c>
      <c r="V151" s="0" t="n">
        <f aca="false">N(V150)+U151</f>
        <v>30</v>
      </c>
      <c r="Z151" s="0" t="str">
        <f aca="false">IF(成本费用登记表!$C151="","",成本费用登记表!$C151)</f>
        <v/>
      </c>
      <c r="AA151" s="0" t="n">
        <f aca="false">IF(Z151="",0,IF(MATCH(Z151,$Z$4:$Z$303,0)=ROW()-3,1,0))</f>
        <v>0</v>
      </c>
      <c r="AB151" s="0" t="n">
        <f aca="false">N(AB150)+AA151</f>
        <v>0</v>
      </c>
      <c r="AD151" s="0" t="str">
        <f aca="false">IFERROR(INDEX($Z$4:$Z$303,MATCH(148,$AB$4:$AB$303,0)),"")</f>
        <v/>
      </c>
      <c r="AF151" s="0" t="str">
        <f aca="false">IF(OR(资金日记账!$E151="",N(资金日记账!$H151)=0),"",资金日记账!$E151)</f>
        <v/>
      </c>
      <c r="AG151" s="0" t="n">
        <f aca="false">IF(AF151="",0,IF(MATCH(AF151,$AF$4:$AF$603,0)=ROW()-3,1,0))</f>
        <v>0</v>
      </c>
      <c r="AH151" s="0" t="n">
        <f aca="false">N(AH150)+AG151</f>
        <v>5</v>
      </c>
    </row>
    <row r="152" customFormat="false" ht="13.5" hidden="false" customHeight="false" outlineLevel="0" collapsed="false">
      <c r="A152" s="0" t="str">
        <f aca="false">IF(((进销存对接!$D152="客户应收")+(进销存对接!$D152="成品销售款")+(进销存对接!$D152="公司购买果品款")+(进销存对接!$D152="筐子销售款")+(进销存对接!$D152="物料销售款"))&gt;0,进销存对接!$C152,"")</f>
        <v/>
      </c>
      <c r="B152" s="0" t="n">
        <f aca="false">IF(A152="",0,IF(MATCH(A152,$A$4:$A$1925,0)=ROW()-3,1,0))</f>
        <v>0</v>
      </c>
      <c r="C152" s="0" t="n">
        <f aca="false">N(C151)+B152</f>
        <v>6</v>
      </c>
      <c r="E152" s="0" t="str">
        <f aca="false">IFERROR(INDEX($A$4:$A$1925,MATCH(ROW()-3,$C$4:$C$1925,0)),"")</f>
        <v/>
      </c>
      <c r="G152" s="0" t="n">
        <f aca="false">IF(OR($G$1="",资金日记账!$E145="",资金日记账!$E145&lt;&gt;$G$1),0,IF(NOT(OR(N(资金日记账!$H145)&lt;&gt;0,N(资金日记账!$I145)&lt;&gt;0)),0,IF(资金日记账!$B145="",1,IF(OR(N(资金日记账!$B145)&lt;$H$1,N(资金日记账!$B145)&gt;$I$1),0,1))))</f>
        <v>0</v>
      </c>
      <c r="H152" s="0" t="n">
        <f aca="false">N(H151)+$G152</f>
        <v>3</v>
      </c>
      <c r="I152" s="0" t="str">
        <f aca="false">IF($G152=0,"",IF(资金日记账!$B145=0,"",资金日记账!$B145))</f>
        <v/>
      </c>
      <c r="J152" s="0" t="str">
        <f aca="false">IF($G152=0,"",IF(资金日记账!$D145=0,"",资金日记账!$D145))</f>
        <v/>
      </c>
      <c r="K152" s="0" t="str">
        <f aca="false">IF($G152=0,"",IF(""=0,"",""))</f>
        <v/>
      </c>
      <c r="L152" s="0" t="str">
        <f aca="false">IF($G152=0,"",IF(""=0,"",""))</f>
        <v/>
      </c>
      <c r="M152" s="0" t="str">
        <f aca="false">IF($G152=0,"",IF(""=0,"",""))</f>
        <v/>
      </c>
      <c r="N152" s="0" t="str">
        <f aca="false">IF($G152=0,"",IF(IF(N(资金日记账!$I145)=0,"",-ROUND(N(资金日记账!$I145),2))=0,"",IF(N(资金日记账!$I145)=0,"",-ROUND(N(资金日记账!$I145),2))))</f>
        <v/>
      </c>
      <c r="O152" s="0" t="str">
        <f aca="false">IF($G152=0,"",IF(IF(N(资金日记账!$H145)=0,"",ROUND(N(资金日记账!$H145),2))=0,"",IF(N(资金日记账!$H145)=0,"",ROUND(N(资金日记账!$H145),2))))</f>
        <v/>
      </c>
      <c r="P152" s="0" t="str">
        <f aca="false">IF($G152=0,"",IF(资金日记账!$L145=0,"",资金日记账!$L145))</f>
        <v/>
      </c>
      <c r="T152" s="0" t="str">
        <f aca="false">IF(资金日记账!$G152="","",资金日记账!$G152)</f>
        <v/>
      </c>
      <c r="U152" s="0" t="n">
        <f aca="false">IF(T152="",0,IF(MATCH(T152,$T$4:$T$903,0)=ROW()-3,1,0))</f>
        <v>0</v>
      </c>
      <c r="V152" s="0" t="n">
        <f aca="false">N(V151)+U152</f>
        <v>30</v>
      </c>
      <c r="Z152" s="0" t="str">
        <f aca="false">IF(成本费用登记表!$C152="","",成本费用登记表!$C152)</f>
        <v/>
      </c>
      <c r="AA152" s="0" t="n">
        <f aca="false">IF(Z152="",0,IF(MATCH(Z152,$Z$4:$Z$303,0)=ROW()-3,1,0))</f>
        <v>0</v>
      </c>
      <c r="AB152" s="0" t="n">
        <f aca="false">N(AB151)+AA152</f>
        <v>0</v>
      </c>
      <c r="AD152" s="0" t="str">
        <f aca="false">IFERROR(INDEX($Z$4:$Z$303,MATCH(149,$AB$4:$AB$303,0)),"")</f>
        <v/>
      </c>
      <c r="AF152" s="0" t="str">
        <f aca="false">IF(OR(资金日记账!$E152="",N(资金日记账!$H152)=0),"",资金日记账!$E152)</f>
        <v/>
      </c>
      <c r="AG152" s="0" t="n">
        <f aca="false">IF(AF152="",0,IF(MATCH(AF152,$AF$4:$AF$603,0)=ROW()-3,1,0))</f>
        <v>0</v>
      </c>
      <c r="AH152" s="0" t="n">
        <f aca="false">N(AH151)+AG152</f>
        <v>5</v>
      </c>
    </row>
    <row r="153" customFormat="false" ht="13.5" hidden="false" customHeight="false" outlineLevel="0" collapsed="false">
      <c r="A153" s="0" t="str">
        <f aca="false">IF(((进销存对接!$D153="客户应收")+(进销存对接!$D153="成品销售款")+(进销存对接!$D153="公司购买果品款")+(进销存对接!$D153="筐子销售款")+(进销存对接!$D153="物料销售款"))&gt;0,进销存对接!$C153,"")</f>
        <v/>
      </c>
      <c r="B153" s="0" t="n">
        <f aca="false">IF(A153="",0,IF(MATCH(A153,$A$4:$A$1925,0)=ROW()-3,1,0))</f>
        <v>0</v>
      </c>
      <c r="C153" s="0" t="n">
        <f aca="false">N(C152)+B153</f>
        <v>6</v>
      </c>
      <c r="E153" s="0" t="str">
        <f aca="false">IFERROR(INDEX($A$4:$A$1925,MATCH(ROW()-3,$C$4:$C$1925,0)),"")</f>
        <v/>
      </c>
      <c r="G153" s="0" t="n">
        <f aca="false">IF(OR($G$1="",资金日记账!$E146="",资金日记账!$E146&lt;&gt;$G$1),0,IF(NOT(OR(N(资金日记账!$H146)&lt;&gt;0,N(资金日记账!$I146)&lt;&gt;0)),0,IF(资金日记账!$B146="",1,IF(OR(N(资金日记账!$B146)&lt;$H$1,N(资金日记账!$B146)&gt;$I$1),0,1))))</f>
        <v>0</v>
      </c>
      <c r="H153" s="0" t="n">
        <f aca="false">N(H152)+$G153</f>
        <v>3</v>
      </c>
      <c r="I153" s="0" t="str">
        <f aca="false">IF($G153=0,"",IF(资金日记账!$B146=0,"",资金日记账!$B146))</f>
        <v/>
      </c>
      <c r="J153" s="0" t="str">
        <f aca="false">IF($G153=0,"",IF(资金日记账!$D146=0,"",资金日记账!$D146))</f>
        <v/>
      </c>
      <c r="K153" s="0" t="str">
        <f aca="false">IF($G153=0,"",IF(""=0,"",""))</f>
        <v/>
      </c>
      <c r="L153" s="0" t="str">
        <f aca="false">IF($G153=0,"",IF(""=0,"",""))</f>
        <v/>
      </c>
      <c r="M153" s="0" t="str">
        <f aca="false">IF($G153=0,"",IF(""=0,"",""))</f>
        <v/>
      </c>
      <c r="N153" s="0" t="str">
        <f aca="false">IF($G153=0,"",IF(IF(N(资金日记账!$I146)=0,"",-ROUND(N(资金日记账!$I146),2))=0,"",IF(N(资金日记账!$I146)=0,"",-ROUND(N(资金日记账!$I146),2))))</f>
        <v/>
      </c>
      <c r="O153" s="0" t="str">
        <f aca="false">IF($G153=0,"",IF(IF(N(资金日记账!$H146)=0,"",ROUND(N(资金日记账!$H146),2))=0,"",IF(N(资金日记账!$H146)=0,"",ROUND(N(资金日记账!$H146),2))))</f>
        <v/>
      </c>
      <c r="P153" s="0" t="str">
        <f aca="false">IF($G153=0,"",IF(资金日记账!$L146=0,"",资金日记账!$L146))</f>
        <v/>
      </c>
      <c r="T153" s="0" t="str">
        <f aca="false">IF(资金日记账!$G153="","",资金日记账!$G153)</f>
        <v/>
      </c>
      <c r="U153" s="0" t="n">
        <f aca="false">IF(T153="",0,IF(MATCH(T153,$T$4:$T$903,0)=ROW()-3,1,0))</f>
        <v>0</v>
      </c>
      <c r="V153" s="0" t="n">
        <f aca="false">N(V152)+U153</f>
        <v>30</v>
      </c>
      <c r="Z153" s="0" t="str">
        <f aca="false">IF(成本费用登记表!$C153="","",成本费用登记表!$C153)</f>
        <v/>
      </c>
      <c r="AA153" s="0" t="n">
        <f aca="false">IF(Z153="",0,IF(MATCH(Z153,$Z$4:$Z$303,0)=ROW()-3,1,0))</f>
        <v>0</v>
      </c>
      <c r="AB153" s="0" t="n">
        <f aca="false">N(AB152)+AA153</f>
        <v>0</v>
      </c>
      <c r="AD153" s="0" t="str">
        <f aca="false">IFERROR(INDEX($Z$4:$Z$303,MATCH(150,$AB$4:$AB$303,0)),"")</f>
        <v/>
      </c>
      <c r="AF153" s="0" t="str">
        <f aca="false">IF(OR(资金日记账!$E153="",N(资金日记账!$H153)=0),"",资金日记账!$E153)</f>
        <v/>
      </c>
      <c r="AG153" s="0" t="n">
        <f aca="false">IF(AF153="",0,IF(MATCH(AF153,$AF$4:$AF$603,0)=ROW()-3,1,0))</f>
        <v>0</v>
      </c>
      <c r="AH153" s="0" t="n">
        <f aca="false">N(AH152)+AG153</f>
        <v>5</v>
      </c>
    </row>
    <row r="154" customFormat="false" ht="13.5" hidden="false" customHeight="false" outlineLevel="0" collapsed="false">
      <c r="A154" s="0" t="str">
        <f aca="false">IF(((进销存对接!$D154="客户应收")+(进销存对接!$D154="成品销售款")+(进销存对接!$D154="公司购买果品款")+(进销存对接!$D154="筐子销售款")+(进销存对接!$D154="物料销售款"))&gt;0,进销存对接!$C154,"")</f>
        <v/>
      </c>
      <c r="B154" s="0" t="n">
        <f aca="false">IF(A154="",0,IF(MATCH(A154,$A$4:$A$1925,0)=ROW()-3,1,0))</f>
        <v>0</v>
      </c>
      <c r="C154" s="0" t="n">
        <f aca="false">N(C153)+B154</f>
        <v>6</v>
      </c>
      <c r="E154" s="0" t="str">
        <f aca="false">IFERROR(INDEX($A$4:$A$1925,MATCH(ROW()-3,$C$4:$C$1925,0)),"")</f>
        <v/>
      </c>
      <c r="G154" s="0" t="n">
        <f aca="false">IF(OR($G$1="",资金日记账!$E147="",资金日记账!$E147&lt;&gt;$G$1),0,IF(NOT(OR(N(资金日记账!$H147)&lt;&gt;0,N(资金日记账!$I147)&lt;&gt;0)),0,IF(资金日记账!$B147="",1,IF(OR(N(资金日记账!$B147)&lt;$H$1,N(资金日记账!$B147)&gt;$I$1),0,1))))</f>
        <v>0</v>
      </c>
      <c r="H154" s="0" t="n">
        <f aca="false">N(H153)+$G154</f>
        <v>3</v>
      </c>
      <c r="I154" s="0" t="str">
        <f aca="false">IF($G154=0,"",IF(资金日记账!$B147=0,"",资金日记账!$B147))</f>
        <v/>
      </c>
      <c r="J154" s="0" t="str">
        <f aca="false">IF($G154=0,"",IF(资金日记账!$D147=0,"",资金日记账!$D147))</f>
        <v/>
      </c>
      <c r="K154" s="0" t="str">
        <f aca="false">IF($G154=0,"",IF(""=0,"",""))</f>
        <v/>
      </c>
      <c r="L154" s="0" t="str">
        <f aca="false">IF($G154=0,"",IF(""=0,"",""))</f>
        <v/>
      </c>
      <c r="M154" s="0" t="str">
        <f aca="false">IF($G154=0,"",IF(""=0,"",""))</f>
        <v/>
      </c>
      <c r="N154" s="0" t="str">
        <f aca="false">IF($G154=0,"",IF(IF(N(资金日记账!$I147)=0,"",-ROUND(N(资金日记账!$I147),2))=0,"",IF(N(资金日记账!$I147)=0,"",-ROUND(N(资金日记账!$I147),2))))</f>
        <v/>
      </c>
      <c r="O154" s="0" t="str">
        <f aca="false">IF($G154=0,"",IF(IF(N(资金日记账!$H147)=0,"",ROUND(N(资金日记账!$H147),2))=0,"",IF(N(资金日记账!$H147)=0,"",ROUND(N(资金日记账!$H147),2))))</f>
        <v/>
      </c>
      <c r="P154" s="0" t="str">
        <f aca="false">IF($G154=0,"",IF(资金日记账!$L147=0,"",资金日记账!$L147))</f>
        <v/>
      </c>
      <c r="T154" s="0" t="str">
        <f aca="false">IF(资金日记账!$G154="","",资金日记账!$G154)</f>
        <v/>
      </c>
      <c r="U154" s="0" t="n">
        <f aca="false">IF(T154="",0,IF(MATCH(T154,$T$4:$T$903,0)=ROW()-3,1,0))</f>
        <v>0</v>
      </c>
      <c r="V154" s="0" t="n">
        <f aca="false">N(V153)+U154</f>
        <v>30</v>
      </c>
      <c r="Z154" s="0" t="str">
        <f aca="false">IF(成本费用登记表!$C154="","",成本费用登记表!$C154)</f>
        <v/>
      </c>
      <c r="AA154" s="0" t="n">
        <f aca="false">IF(Z154="",0,IF(MATCH(Z154,$Z$4:$Z$303,0)=ROW()-3,1,0))</f>
        <v>0</v>
      </c>
      <c r="AB154" s="0" t="n">
        <f aca="false">N(AB153)+AA154</f>
        <v>0</v>
      </c>
      <c r="AF154" s="0" t="str">
        <f aca="false">IF(OR(资金日记账!$E154="",N(资金日记账!$H154)=0),"",资金日记账!$E154)</f>
        <v/>
      </c>
      <c r="AG154" s="0" t="n">
        <f aca="false">IF(AF154="",0,IF(MATCH(AF154,$AF$4:$AF$603,0)=ROW()-3,1,0))</f>
        <v>0</v>
      </c>
      <c r="AH154" s="0" t="n">
        <f aca="false">N(AH153)+AG154</f>
        <v>5</v>
      </c>
    </row>
    <row r="155" customFormat="false" ht="13.5" hidden="false" customHeight="false" outlineLevel="0" collapsed="false">
      <c r="A155" s="0" t="str">
        <f aca="false">IF(((进销存对接!$D155="客户应收")+(进销存对接!$D155="成品销售款")+(进销存对接!$D155="公司购买果品款")+(进销存对接!$D155="筐子销售款")+(进销存对接!$D155="物料销售款"))&gt;0,进销存对接!$C155,"")</f>
        <v/>
      </c>
      <c r="B155" s="0" t="n">
        <f aca="false">IF(A155="",0,IF(MATCH(A155,$A$4:$A$1925,0)=ROW()-3,1,0))</f>
        <v>0</v>
      </c>
      <c r="C155" s="0" t="n">
        <f aca="false">N(C154)+B155</f>
        <v>6</v>
      </c>
      <c r="E155" s="0" t="str">
        <f aca="false">IFERROR(INDEX($A$4:$A$1925,MATCH(ROW()-3,$C$4:$C$1925,0)),"")</f>
        <v/>
      </c>
      <c r="G155" s="0" t="n">
        <f aca="false">IF(OR($G$1="",资金日记账!$E148="",资金日记账!$E148&lt;&gt;$G$1),0,IF(NOT(OR(N(资金日记账!$H148)&lt;&gt;0,N(资金日记账!$I148)&lt;&gt;0)),0,IF(资金日记账!$B148="",1,IF(OR(N(资金日记账!$B148)&lt;$H$1,N(资金日记账!$B148)&gt;$I$1),0,1))))</f>
        <v>0</v>
      </c>
      <c r="H155" s="0" t="n">
        <f aca="false">N(H154)+$G155</f>
        <v>3</v>
      </c>
      <c r="I155" s="0" t="str">
        <f aca="false">IF($G155=0,"",IF(资金日记账!$B148=0,"",资金日记账!$B148))</f>
        <v/>
      </c>
      <c r="J155" s="0" t="str">
        <f aca="false">IF($G155=0,"",IF(资金日记账!$D148=0,"",资金日记账!$D148))</f>
        <v/>
      </c>
      <c r="K155" s="0" t="str">
        <f aca="false">IF($G155=0,"",IF(""=0,"",""))</f>
        <v/>
      </c>
      <c r="L155" s="0" t="str">
        <f aca="false">IF($G155=0,"",IF(""=0,"",""))</f>
        <v/>
      </c>
      <c r="M155" s="0" t="str">
        <f aca="false">IF($G155=0,"",IF(""=0,"",""))</f>
        <v/>
      </c>
      <c r="N155" s="0" t="str">
        <f aca="false">IF($G155=0,"",IF(IF(N(资金日记账!$I148)=0,"",-ROUND(N(资金日记账!$I148),2))=0,"",IF(N(资金日记账!$I148)=0,"",-ROUND(N(资金日记账!$I148),2))))</f>
        <v/>
      </c>
      <c r="O155" s="0" t="str">
        <f aca="false">IF($G155=0,"",IF(IF(N(资金日记账!$H148)=0,"",ROUND(N(资金日记账!$H148),2))=0,"",IF(N(资金日记账!$H148)=0,"",ROUND(N(资金日记账!$H148),2))))</f>
        <v/>
      </c>
      <c r="P155" s="0" t="str">
        <f aca="false">IF($G155=0,"",IF(资金日记账!$L148=0,"",资金日记账!$L148))</f>
        <v/>
      </c>
      <c r="T155" s="0" t="str">
        <f aca="false">IF(资金日记账!$G155="","",资金日记账!$G155)</f>
        <v/>
      </c>
      <c r="U155" s="0" t="n">
        <f aca="false">IF(T155="",0,IF(MATCH(T155,$T$4:$T$903,0)=ROW()-3,1,0))</f>
        <v>0</v>
      </c>
      <c r="V155" s="0" t="n">
        <f aca="false">N(V154)+U155</f>
        <v>30</v>
      </c>
      <c r="Z155" s="0" t="str">
        <f aca="false">IF(成本费用登记表!$C155="","",成本费用登记表!$C155)</f>
        <v/>
      </c>
      <c r="AA155" s="0" t="n">
        <f aca="false">IF(Z155="",0,IF(MATCH(Z155,$Z$4:$Z$303,0)=ROW()-3,1,0))</f>
        <v>0</v>
      </c>
      <c r="AB155" s="0" t="n">
        <f aca="false">N(AB154)+AA155</f>
        <v>0</v>
      </c>
      <c r="AF155" s="0" t="str">
        <f aca="false">IF(OR(资金日记账!$E155="",N(资金日记账!$H155)=0),"",资金日记账!$E155)</f>
        <v/>
      </c>
      <c r="AG155" s="0" t="n">
        <f aca="false">IF(AF155="",0,IF(MATCH(AF155,$AF$4:$AF$603,0)=ROW()-3,1,0))</f>
        <v>0</v>
      </c>
      <c r="AH155" s="0" t="n">
        <f aca="false">N(AH154)+AG155</f>
        <v>5</v>
      </c>
    </row>
    <row r="156" customFormat="false" ht="13.5" hidden="false" customHeight="false" outlineLevel="0" collapsed="false">
      <c r="A156" s="0" t="str">
        <f aca="false">IF(((进销存对接!$D156="客户应收")+(进销存对接!$D156="成品销售款")+(进销存对接!$D156="公司购买果品款")+(进销存对接!$D156="筐子销售款")+(进销存对接!$D156="物料销售款"))&gt;0,进销存对接!$C156,"")</f>
        <v/>
      </c>
      <c r="B156" s="0" t="n">
        <f aca="false">IF(A156="",0,IF(MATCH(A156,$A$4:$A$1925,0)=ROW()-3,1,0))</f>
        <v>0</v>
      </c>
      <c r="C156" s="0" t="n">
        <f aca="false">N(C155)+B156</f>
        <v>6</v>
      </c>
      <c r="E156" s="0" t="str">
        <f aca="false">IFERROR(INDEX($A$4:$A$1925,MATCH(ROW()-3,$C$4:$C$1925,0)),"")</f>
        <v/>
      </c>
      <c r="G156" s="0" t="n">
        <f aca="false">IF(OR($G$1="",资金日记账!$E149="",资金日记账!$E149&lt;&gt;$G$1),0,IF(NOT(OR(N(资金日记账!$H149)&lt;&gt;0,N(资金日记账!$I149)&lt;&gt;0)),0,IF(资金日记账!$B149="",1,IF(OR(N(资金日记账!$B149)&lt;$H$1,N(资金日记账!$B149)&gt;$I$1),0,1))))</f>
        <v>0</v>
      </c>
      <c r="H156" s="0" t="n">
        <f aca="false">N(H155)+$G156</f>
        <v>3</v>
      </c>
      <c r="I156" s="0" t="str">
        <f aca="false">IF($G156=0,"",IF(资金日记账!$B149=0,"",资金日记账!$B149))</f>
        <v/>
      </c>
      <c r="J156" s="0" t="str">
        <f aca="false">IF($G156=0,"",IF(资金日记账!$D149=0,"",资金日记账!$D149))</f>
        <v/>
      </c>
      <c r="K156" s="0" t="str">
        <f aca="false">IF($G156=0,"",IF(""=0,"",""))</f>
        <v/>
      </c>
      <c r="L156" s="0" t="str">
        <f aca="false">IF($G156=0,"",IF(""=0,"",""))</f>
        <v/>
      </c>
      <c r="M156" s="0" t="str">
        <f aca="false">IF($G156=0,"",IF(""=0,"",""))</f>
        <v/>
      </c>
      <c r="N156" s="0" t="str">
        <f aca="false">IF($G156=0,"",IF(IF(N(资金日记账!$I149)=0,"",-ROUND(N(资金日记账!$I149),2))=0,"",IF(N(资金日记账!$I149)=0,"",-ROUND(N(资金日记账!$I149),2))))</f>
        <v/>
      </c>
      <c r="O156" s="0" t="str">
        <f aca="false">IF($G156=0,"",IF(IF(N(资金日记账!$H149)=0,"",ROUND(N(资金日记账!$H149),2))=0,"",IF(N(资金日记账!$H149)=0,"",ROUND(N(资金日记账!$H149),2))))</f>
        <v/>
      </c>
      <c r="P156" s="0" t="str">
        <f aca="false">IF($G156=0,"",IF(资金日记账!$L149=0,"",资金日记账!$L149))</f>
        <v/>
      </c>
      <c r="T156" s="0" t="str">
        <f aca="false">IF(资金日记账!$G156="","",资金日记账!$G156)</f>
        <v/>
      </c>
      <c r="U156" s="0" t="n">
        <f aca="false">IF(T156="",0,IF(MATCH(T156,$T$4:$T$903,0)=ROW()-3,1,0))</f>
        <v>0</v>
      </c>
      <c r="V156" s="0" t="n">
        <f aca="false">N(V155)+U156</f>
        <v>30</v>
      </c>
      <c r="Z156" s="0" t="str">
        <f aca="false">IF(成本费用登记表!$C156="","",成本费用登记表!$C156)</f>
        <v/>
      </c>
      <c r="AA156" s="0" t="n">
        <f aca="false">IF(Z156="",0,IF(MATCH(Z156,$Z$4:$Z$303,0)=ROW()-3,1,0))</f>
        <v>0</v>
      </c>
      <c r="AB156" s="0" t="n">
        <f aca="false">N(AB155)+AA156</f>
        <v>0</v>
      </c>
      <c r="AF156" s="0" t="str">
        <f aca="false">IF(OR(资金日记账!$E156="",N(资金日记账!$H156)=0),"",资金日记账!$E156)</f>
        <v/>
      </c>
      <c r="AG156" s="0" t="n">
        <f aca="false">IF(AF156="",0,IF(MATCH(AF156,$AF$4:$AF$603,0)=ROW()-3,1,0))</f>
        <v>0</v>
      </c>
      <c r="AH156" s="0" t="n">
        <f aca="false">N(AH155)+AG156</f>
        <v>5</v>
      </c>
    </row>
    <row r="157" customFormat="false" ht="13.5" hidden="false" customHeight="false" outlineLevel="0" collapsed="false">
      <c r="A157" s="0" t="str">
        <f aca="false">IF(((进销存对接!$D157="客户应收")+(进销存对接!$D157="成品销售款")+(进销存对接!$D157="公司购买果品款")+(进销存对接!$D157="筐子销售款")+(进销存对接!$D157="物料销售款"))&gt;0,进销存对接!$C157,"")</f>
        <v/>
      </c>
      <c r="B157" s="0" t="n">
        <f aca="false">IF(A157="",0,IF(MATCH(A157,$A$4:$A$1925,0)=ROW()-3,1,0))</f>
        <v>0</v>
      </c>
      <c r="C157" s="0" t="n">
        <f aca="false">N(C156)+B157</f>
        <v>6</v>
      </c>
      <c r="E157" s="0" t="str">
        <f aca="false">IFERROR(INDEX($A$4:$A$1925,MATCH(ROW()-3,$C$4:$C$1925,0)),"")</f>
        <v/>
      </c>
      <c r="G157" s="0" t="n">
        <f aca="false">IF(OR($G$1="",资金日记账!$E150="",资金日记账!$E150&lt;&gt;$G$1),0,IF(NOT(OR(N(资金日记账!$H150)&lt;&gt;0,N(资金日记账!$I150)&lt;&gt;0)),0,IF(资金日记账!$B150="",1,IF(OR(N(资金日记账!$B150)&lt;$H$1,N(资金日记账!$B150)&gt;$I$1),0,1))))</f>
        <v>0</v>
      </c>
      <c r="H157" s="0" t="n">
        <f aca="false">N(H156)+$G157</f>
        <v>3</v>
      </c>
      <c r="I157" s="0" t="str">
        <f aca="false">IF($G157=0,"",IF(资金日记账!$B150=0,"",资金日记账!$B150))</f>
        <v/>
      </c>
      <c r="J157" s="0" t="str">
        <f aca="false">IF($G157=0,"",IF(资金日记账!$D150=0,"",资金日记账!$D150))</f>
        <v/>
      </c>
      <c r="K157" s="0" t="str">
        <f aca="false">IF($G157=0,"",IF(""=0,"",""))</f>
        <v/>
      </c>
      <c r="L157" s="0" t="str">
        <f aca="false">IF($G157=0,"",IF(""=0,"",""))</f>
        <v/>
      </c>
      <c r="M157" s="0" t="str">
        <f aca="false">IF($G157=0,"",IF(""=0,"",""))</f>
        <v/>
      </c>
      <c r="N157" s="0" t="str">
        <f aca="false">IF($G157=0,"",IF(IF(N(资金日记账!$I150)=0,"",-ROUND(N(资金日记账!$I150),2))=0,"",IF(N(资金日记账!$I150)=0,"",-ROUND(N(资金日记账!$I150),2))))</f>
        <v/>
      </c>
      <c r="O157" s="0" t="str">
        <f aca="false">IF($G157=0,"",IF(IF(N(资金日记账!$H150)=0,"",ROUND(N(资金日记账!$H150),2))=0,"",IF(N(资金日记账!$H150)=0,"",ROUND(N(资金日记账!$H150),2))))</f>
        <v/>
      </c>
      <c r="P157" s="0" t="str">
        <f aca="false">IF($G157=0,"",IF(资金日记账!$L150=0,"",资金日记账!$L150))</f>
        <v/>
      </c>
      <c r="T157" s="0" t="str">
        <f aca="false">IF(资金日记账!$G157="","",资金日记账!$G157)</f>
        <v/>
      </c>
      <c r="U157" s="0" t="n">
        <f aca="false">IF(T157="",0,IF(MATCH(T157,$T$4:$T$903,0)=ROW()-3,1,0))</f>
        <v>0</v>
      </c>
      <c r="V157" s="0" t="n">
        <f aca="false">N(V156)+U157</f>
        <v>30</v>
      </c>
      <c r="Z157" s="0" t="str">
        <f aca="false">IF(成本费用登记表!$C157="","",成本费用登记表!$C157)</f>
        <v/>
      </c>
      <c r="AA157" s="0" t="n">
        <f aca="false">IF(Z157="",0,IF(MATCH(Z157,$Z$4:$Z$303,0)=ROW()-3,1,0))</f>
        <v>0</v>
      </c>
      <c r="AB157" s="0" t="n">
        <f aca="false">N(AB156)+AA157</f>
        <v>0</v>
      </c>
      <c r="AF157" s="0" t="str">
        <f aca="false">IF(OR(资金日记账!$E157="",N(资金日记账!$H157)=0),"",资金日记账!$E157)</f>
        <v/>
      </c>
      <c r="AG157" s="0" t="n">
        <f aca="false">IF(AF157="",0,IF(MATCH(AF157,$AF$4:$AF$603,0)=ROW()-3,1,0))</f>
        <v>0</v>
      </c>
      <c r="AH157" s="0" t="n">
        <f aca="false">N(AH156)+AG157</f>
        <v>5</v>
      </c>
    </row>
    <row r="158" customFormat="false" ht="13.5" hidden="false" customHeight="false" outlineLevel="0" collapsed="false">
      <c r="A158" s="0" t="str">
        <f aca="false">IF(((进销存对接!$D158="客户应收")+(进销存对接!$D158="成品销售款")+(进销存对接!$D158="公司购买果品款")+(进销存对接!$D158="筐子销售款")+(进销存对接!$D158="物料销售款"))&gt;0,进销存对接!$C158,"")</f>
        <v/>
      </c>
      <c r="B158" s="0" t="n">
        <f aca="false">IF(A158="",0,IF(MATCH(A158,$A$4:$A$1925,0)=ROW()-3,1,0))</f>
        <v>0</v>
      </c>
      <c r="C158" s="0" t="n">
        <f aca="false">N(C157)+B158</f>
        <v>6</v>
      </c>
      <c r="E158" s="0" t="str">
        <f aca="false">IFERROR(INDEX($A$4:$A$1925,MATCH(ROW()-3,$C$4:$C$1925,0)),"")</f>
        <v/>
      </c>
      <c r="G158" s="0" t="n">
        <f aca="false">IF(OR($G$1="",资金日记账!$E151="",资金日记账!$E151&lt;&gt;$G$1),0,IF(NOT(OR(N(资金日记账!$H151)&lt;&gt;0,N(资金日记账!$I151)&lt;&gt;0)),0,IF(资金日记账!$B151="",1,IF(OR(N(资金日记账!$B151)&lt;$H$1,N(资金日记账!$B151)&gt;$I$1),0,1))))</f>
        <v>0</v>
      </c>
      <c r="H158" s="0" t="n">
        <f aca="false">N(H157)+$G158</f>
        <v>3</v>
      </c>
      <c r="I158" s="0" t="str">
        <f aca="false">IF($G158=0,"",IF(资金日记账!$B151=0,"",资金日记账!$B151))</f>
        <v/>
      </c>
      <c r="J158" s="0" t="str">
        <f aca="false">IF($G158=0,"",IF(资金日记账!$D151=0,"",资金日记账!$D151))</f>
        <v/>
      </c>
      <c r="K158" s="0" t="str">
        <f aca="false">IF($G158=0,"",IF(""=0,"",""))</f>
        <v/>
      </c>
      <c r="L158" s="0" t="str">
        <f aca="false">IF($G158=0,"",IF(""=0,"",""))</f>
        <v/>
      </c>
      <c r="M158" s="0" t="str">
        <f aca="false">IF($G158=0,"",IF(""=0,"",""))</f>
        <v/>
      </c>
      <c r="N158" s="0" t="str">
        <f aca="false">IF($G158=0,"",IF(IF(N(资金日记账!$I151)=0,"",-ROUND(N(资金日记账!$I151),2))=0,"",IF(N(资金日记账!$I151)=0,"",-ROUND(N(资金日记账!$I151),2))))</f>
        <v/>
      </c>
      <c r="O158" s="0" t="str">
        <f aca="false">IF($G158=0,"",IF(IF(N(资金日记账!$H151)=0,"",ROUND(N(资金日记账!$H151),2))=0,"",IF(N(资金日记账!$H151)=0,"",ROUND(N(资金日记账!$H151),2))))</f>
        <v/>
      </c>
      <c r="P158" s="0" t="str">
        <f aca="false">IF($G158=0,"",IF(资金日记账!$L151=0,"",资金日记账!$L151))</f>
        <v/>
      </c>
      <c r="T158" s="0" t="str">
        <f aca="false">IF(资金日记账!$G158="","",资金日记账!$G158)</f>
        <v/>
      </c>
      <c r="U158" s="0" t="n">
        <f aca="false">IF(T158="",0,IF(MATCH(T158,$T$4:$T$903,0)=ROW()-3,1,0))</f>
        <v>0</v>
      </c>
      <c r="V158" s="0" t="n">
        <f aca="false">N(V157)+U158</f>
        <v>30</v>
      </c>
      <c r="Z158" s="0" t="str">
        <f aca="false">IF(成本费用登记表!$C158="","",成本费用登记表!$C158)</f>
        <v/>
      </c>
      <c r="AA158" s="0" t="n">
        <f aca="false">IF(Z158="",0,IF(MATCH(Z158,$Z$4:$Z$303,0)=ROW()-3,1,0))</f>
        <v>0</v>
      </c>
      <c r="AB158" s="0" t="n">
        <f aca="false">N(AB157)+AA158</f>
        <v>0</v>
      </c>
      <c r="AF158" s="0" t="str">
        <f aca="false">IF(OR(资金日记账!$E158="",N(资金日记账!$H158)=0),"",资金日记账!$E158)</f>
        <v/>
      </c>
      <c r="AG158" s="0" t="n">
        <f aca="false">IF(AF158="",0,IF(MATCH(AF158,$AF$4:$AF$603,0)=ROW()-3,1,0))</f>
        <v>0</v>
      </c>
      <c r="AH158" s="0" t="n">
        <f aca="false">N(AH157)+AG158</f>
        <v>5</v>
      </c>
    </row>
    <row r="159" customFormat="false" ht="13.5" hidden="false" customHeight="false" outlineLevel="0" collapsed="false">
      <c r="A159" s="0" t="str">
        <f aca="false">IF(((进销存对接!$D159="客户应收")+(进销存对接!$D159="成品销售款")+(进销存对接!$D159="公司购买果品款")+(进销存对接!$D159="筐子销售款")+(进销存对接!$D159="物料销售款"))&gt;0,进销存对接!$C159,"")</f>
        <v/>
      </c>
      <c r="B159" s="0" t="n">
        <f aca="false">IF(A159="",0,IF(MATCH(A159,$A$4:$A$1925,0)=ROW()-3,1,0))</f>
        <v>0</v>
      </c>
      <c r="C159" s="0" t="n">
        <f aca="false">N(C158)+B159</f>
        <v>6</v>
      </c>
      <c r="E159" s="0" t="str">
        <f aca="false">IFERROR(INDEX($A$4:$A$1925,MATCH(ROW()-3,$C$4:$C$1925,0)),"")</f>
        <v/>
      </c>
      <c r="G159" s="0" t="n">
        <f aca="false">IF(OR($G$1="",资金日记账!$E152="",资金日记账!$E152&lt;&gt;$G$1),0,IF(NOT(OR(N(资金日记账!$H152)&lt;&gt;0,N(资金日记账!$I152)&lt;&gt;0)),0,IF(资金日记账!$B152="",1,IF(OR(N(资金日记账!$B152)&lt;$H$1,N(资金日记账!$B152)&gt;$I$1),0,1))))</f>
        <v>0</v>
      </c>
      <c r="H159" s="0" t="n">
        <f aca="false">N(H158)+$G159</f>
        <v>3</v>
      </c>
      <c r="I159" s="0" t="str">
        <f aca="false">IF($G159=0,"",IF(资金日记账!$B152=0,"",资金日记账!$B152))</f>
        <v/>
      </c>
      <c r="J159" s="0" t="str">
        <f aca="false">IF($G159=0,"",IF(资金日记账!$D152=0,"",资金日记账!$D152))</f>
        <v/>
      </c>
      <c r="K159" s="0" t="str">
        <f aca="false">IF($G159=0,"",IF(""=0,"",""))</f>
        <v/>
      </c>
      <c r="L159" s="0" t="str">
        <f aca="false">IF($G159=0,"",IF(""=0,"",""))</f>
        <v/>
      </c>
      <c r="M159" s="0" t="str">
        <f aca="false">IF($G159=0,"",IF(""=0,"",""))</f>
        <v/>
      </c>
      <c r="N159" s="0" t="str">
        <f aca="false">IF($G159=0,"",IF(IF(N(资金日记账!$I152)=0,"",-ROUND(N(资金日记账!$I152),2))=0,"",IF(N(资金日记账!$I152)=0,"",-ROUND(N(资金日记账!$I152),2))))</f>
        <v/>
      </c>
      <c r="O159" s="0" t="str">
        <f aca="false">IF($G159=0,"",IF(IF(N(资金日记账!$H152)=0,"",ROUND(N(资金日记账!$H152),2))=0,"",IF(N(资金日记账!$H152)=0,"",ROUND(N(资金日记账!$H152),2))))</f>
        <v/>
      </c>
      <c r="P159" s="0" t="str">
        <f aca="false">IF($G159=0,"",IF(资金日记账!$L152=0,"",资金日记账!$L152))</f>
        <v/>
      </c>
      <c r="T159" s="0" t="str">
        <f aca="false">IF(资金日记账!$G159="","",资金日记账!$G159)</f>
        <v/>
      </c>
      <c r="U159" s="0" t="n">
        <f aca="false">IF(T159="",0,IF(MATCH(T159,$T$4:$T$903,0)=ROW()-3,1,0))</f>
        <v>0</v>
      </c>
      <c r="V159" s="0" t="n">
        <f aca="false">N(V158)+U159</f>
        <v>30</v>
      </c>
      <c r="Z159" s="0" t="str">
        <f aca="false">IF(成本费用登记表!$C159="","",成本费用登记表!$C159)</f>
        <v/>
      </c>
      <c r="AA159" s="0" t="n">
        <f aca="false">IF(Z159="",0,IF(MATCH(Z159,$Z$4:$Z$303,0)=ROW()-3,1,0))</f>
        <v>0</v>
      </c>
      <c r="AB159" s="0" t="n">
        <f aca="false">N(AB158)+AA159</f>
        <v>0</v>
      </c>
      <c r="AF159" s="0" t="str">
        <f aca="false">IF(OR(资金日记账!$E159="",N(资金日记账!$H159)=0),"",资金日记账!$E159)</f>
        <v/>
      </c>
      <c r="AG159" s="0" t="n">
        <f aca="false">IF(AF159="",0,IF(MATCH(AF159,$AF$4:$AF$603,0)=ROW()-3,1,0))</f>
        <v>0</v>
      </c>
      <c r="AH159" s="0" t="n">
        <f aca="false">N(AH158)+AG159</f>
        <v>5</v>
      </c>
    </row>
    <row r="160" customFormat="false" ht="13.5" hidden="false" customHeight="false" outlineLevel="0" collapsed="false">
      <c r="A160" s="0" t="str">
        <f aca="false">IF(((进销存对接!$D160="客户应收")+(进销存对接!$D160="成品销售款")+(进销存对接!$D160="公司购买果品款")+(进销存对接!$D160="筐子销售款")+(进销存对接!$D160="物料销售款"))&gt;0,进销存对接!$C160,"")</f>
        <v/>
      </c>
      <c r="B160" s="0" t="n">
        <f aca="false">IF(A160="",0,IF(MATCH(A160,$A$4:$A$1925,0)=ROW()-3,1,0))</f>
        <v>0</v>
      </c>
      <c r="C160" s="0" t="n">
        <f aca="false">N(C159)+B160</f>
        <v>6</v>
      </c>
      <c r="E160" s="0" t="str">
        <f aca="false">IFERROR(INDEX($A$4:$A$1925,MATCH(ROW()-3,$C$4:$C$1925,0)),"")</f>
        <v/>
      </c>
      <c r="G160" s="0" t="n">
        <f aca="false">IF(OR($G$1="",资金日记账!$E153="",资金日记账!$E153&lt;&gt;$G$1),0,IF(NOT(OR(N(资金日记账!$H153)&lt;&gt;0,N(资金日记账!$I153)&lt;&gt;0)),0,IF(资金日记账!$B153="",1,IF(OR(N(资金日记账!$B153)&lt;$H$1,N(资金日记账!$B153)&gt;$I$1),0,1))))</f>
        <v>0</v>
      </c>
      <c r="H160" s="0" t="n">
        <f aca="false">N(H159)+$G160</f>
        <v>3</v>
      </c>
      <c r="I160" s="0" t="str">
        <f aca="false">IF($G160=0,"",IF(资金日记账!$B153=0,"",资金日记账!$B153))</f>
        <v/>
      </c>
      <c r="J160" s="0" t="str">
        <f aca="false">IF($G160=0,"",IF(资金日记账!$D153=0,"",资金日记账!$D153))</f>
        <v/>
      </c>
      <c r="K160" s="0" t="str">
        <f aca="false">IF($G160=0,"",IF(""=0,"",""))</f>
        <v/>
      </c>
      <c r="L160" s="0" t="str">
        <f aca="false">IF($G160=0,"",IF(""=0,"",""))</f>
        <v/>
      </c>
      <c r="M160" s="0" t="str">
        <f aca="false">IF($G160=0,"",IF(""=0,"",""))</f>
        <v/>
      </c>
      <c r="N160" s="0" t="str">
        <f aca="false">IF($G160=0,"",IF(IF(N(资金日记账!$I153)=0,"",-ROUND(N(资金日记账!$I153),2))=0,"",IF(N(资金日记账!$I153)=0,"",-ROUND(N(资金日记账!$I153),2))))</f>
        <v/>
      </c>
      <c r="O160" s="0" t="str">
        <f aca="false">IF($G160=0,"",IF(IF(N(资金日记账!$H153)=0,"",ROUND(N(资金日记账!$H153),2))=0,"",IF(N(资金日记账!$H153)=0,"",ROUND(N(资金日记账!$H153),2))))</f>
        <v/>
      </c>
      <c r="P160" s="0" t="str">
        <f aca="false">IF($G160=0,"",IF(资金日记账!$L153=0,"",资金日记账!$L153))</f>
        <v/>
      </c>
      <c r="T160" s="0" t="str">
        <f aca="false">IF(资金日记账!$G160="","",资金日记账!$G160)</f>
        <v/>
      </c>
      <c r="U160" s="0" t="n">
        <f aca="false">IF(T160="",0,IF(MATCH(T160,$T$4:$T$903,0)=ROW()-3,1,0))</f>
        <v>0</v>
      </c>
      <c r="V160" s="0" t="n">
        <f aca="false">N(V159)+U160</f>
        <v>30</v>
      </c>
      <c r="Z160" s="0" t="str">
        <f aca="false">IF(成本费用登记表!$C160="","",成本费用登记表!$C160)</f>
        <v/>
      </c>
      <c r="AA160" s="0" t="n">
        <f aca="false">IF(Z160="",0,IF(MATCH(Z160,$Z$4:$Z$303,0)=ROW()-3,1,0))</f>
        <v>0</v>
      </c>
      <c r="AB160" s="0" t="n">
        <f aca="false">N(AB159)+AA160</f>
        <v>0</v>
      </c>
      <c r="AF160" s="0" t="str">
        <f aca="false">IF(OR(资金日记账!$E160="",N(资金日记账!$H160)=0),"",资金日记账!$E160)</f>
        <v/>
      </c>
      <c r="AG160" s="0" t="n">
        <f aca="false">IF(AF160="",0,IF(MATCH(AF160,$AF$4:$AF$603,0)=ROW()-3,1,0))</f>
        <v>0</v>
      </c>
      <c r="AH160" s="0" t="n">
        <f aca="false">N(AH159)+AG160</f>
        <v>5</v>
      </c>
    </row>
    <row r="161" customFormat="false" ht="13.5" hidden="false" customHeight="false" outlineLevel="0" collapsed="false">
      <c r="A161" s="0" t="str">
        <f aca="false">IF(((进销存对接!$D161="客户应收")+(进销存对接!$D161="成品销售款")+(进销存对接!$D161="公司购买果品款")+(进销存对接!$D161="筐子销售款")+(进销存对接!$D161="物料销售款"))&gt;0,进销存对接!$C161,"")</f>
        <v/>
      </c>
      <c r="B161" s="0" t="n">
        <f aca="false">IF(A161="",0,IF(MATCH(A161,$A$4:$A$1925,0)=ROW()-3,1,0))</f>
        <v>0</v>
      </c>
      <c r="C161" s="0" t="n">
        <f aca="false">N(C160)+B161</f>
        <v>6</v>
      </c>
      <c r="E161" s="0" t="str">
        <f aca="false">IFERROR(INDEX($A$4:$A$1925,MATCH(ROW()-3,$C$4:$C$1925,0)),"")</f>
        <v/>
      </c>
      <c r="G161" s="0" t="n">
        <f aca="false">IF(OR($G$1="",资金日记账!$E154="",资金日记账!$E154&lt;&gt;$G$1),0,IF(NOT(OR(N(资金日记账!$H154)&lt;&gt;0,N(资金日记账!$I154)&lt;&gt;0)),0,IF(资金日记账!$B154="",1,IF(OR(N(资金日记账!$B154)&lt;$H$1,N(资金日记账!$B154)&gt;$I$1),0,1))))</f>
        <v>0</v>
      </c>
      <c r="H161" s="0" t="n">
        <f aca="false">N(H160)+$G161</f>
        <v>3</v>
      </c>
      <c r="I161" s="0" t="str">
        <f aca="false">IF($G161=0,"",IF(资金日记账!$B154=0,"",资金日记账!$B154))</f>
        <v/>
      </c>
      <c r="J161" s="0" t="str">
        <f aca="false">IF($G161=0,"",IF(资金日记账!$D154=0,"",资金日记账!$D154))</f>
        <v/>
      </c>
      <c r="K161" s="0" t="str">
        <f aca="false">IF($G161=0,"",IF(""=0,"",""))</f>
        <v/>
      </c>
      <c r="L161" s="0" t="str">
        <f aca="false">IF($G161=0,"",IF(""=0,"",""))</f>
        <v/>
      </c>
      <c r="M161" s="0" t="str">
        <f aca="false">IF($G161=0,"",IF(""=0,"",""))</f>
        <v/>
      </c>
      <c r="N161" s="0" t="str">
        <f aca="false">IF($G161=0,"",IF(IF(N(资金日记账!$I154)=0,"",-ROUND(N(资金日记账!$I154),2))=0,"",IF(N(资金日记账!$I154)=0,"",-ROUND(N(资金日记账!$I154),2))))</f>
        <v/>
      </c>
      <c r="O161" s="0" t="str">
        <f aca="false">IF($G161=0,"",IF(IF(N(资金日记账!$H154)=0,"",ROUND(N(资金日记账!$H154),2))=0,"",IF(N(资金日记账!$H154)=0,"",ROUND(N(资金日记账!$H154),2))))</f>
        <v/>
      </c>
      <c r="P161" s="0" t="str">
        <f aca="false">IF($G161=0,"",IF(资金日记账!$L154=0,"",资金日记账!$L154))</f>
        <v/>
      </c>
      <c r="T161" s="0" t="str">
        <f aca="false">IF(资金日记账!$G161="","",资金日记账!$G161)</f>
        <v/>
      </c>
      <c r="U161" s="0" t="n">
        <f aca="false">IF(T161="",0,IF(MATCH(T161,$T$4:$T$903,0)=ROW()-3,1,0))</f>
        <v>0</v>
      </c>
      <c r="V161" s="0" t="n">
        <f aca="false">N(V160)+U161</f>
        <v>30</v>
      </c>
      <c r="Z161" s="0" t="str">
        <f aca="false">IF(成本费用登记表!$C161="","",成本费用登记表!$C161)</f>
        <v/>
      </c>
      <c r="AA161" s="0" t="n">
        <f aca="false">IF(Z161="",0,IF(MATCH(Z161,$Z$4:$Z$303,0)=ROW()-3,1,0))</f>
        <v>0</v>
      </c>
      <c r="AB161" s="0" t="n">
        <f aca="false">N(AB160)+AA161</f>
        <v>0</v>
      </c>
      <c r="AF161" s="0" t="str">
        <f aca="false">IF(OR(资金日记账!$E161="",N(资金日记账!$H161)=0),"",资金日记账!$E161)</f>
        <v/>
      </c>
      <c r="AG161" s="0" t="n">
        <f aca="false">IF(AF161="",0,IF(MATCH(AF161,$AF$4:$AF$603,0)=ROW()-3,1,0))</f>
        <v>0</v>
      </c>
      <c r="AH161" s="0" t="n">
        <f aca="false">N(AH160)+AG161</f>
        <v>5</v>
      </c>
    </row>
    <row r="162" customFormat="false" ht="13.5" hidden="false" customHeight="false" outlineLevel="0" collapsed="false">
      <c r="A162" s="0" t="str">
        <f aca="false">IF(((进销存对接!$D162="客户应收")+(进销存对接!$D162="成品销售款")+(进销存对接!$D162="公司购买果品款")+(进销存对接!$D162="筐子销售款")+(进销存对接!$D162="物料销售款"))&gt;0,进销存对接!$C162,"")</f>
        <v/>
      </c>
      <c r="B162" s="0" t="n">
        <f aca="false">IF(A162="",0,IF(MATCH(A162,$A$4:$A$1925,0)=ROW()-3,1,0))</f>
        <v>0</v>
      </c>
      <c r="C162" s="0" t="n">
        <f aca="false">N(C161)+B162</f>
        <v>6</v>
      </c>
      <c r="E162" s="0" t="str">
        <f aca="false">IFERROR(INDEX($A$4:$A$1925,MATCH(ROW()-3,$C$4:$C$1925,0)),"")</f>
        <v/>
      </c>
      <c r="G162" s="0" t="n">
        <f aca="false">IF(OR($G$1="",资金日记账!$E155="",资金日记账!$E155&lt;&gt;$G$1),0,IF(NOT(OR(N(资金日记账!$H155)&lt;&gt;0,N(资金日记账!$I155)&lt;&gt;0)),0,IF(资金日记账!$B155="",1,IF(OR(N(资金日记账!$B155)&lt;$H$1,N(资金日记账!$B155)&gt;$I$1),0,1))))</f>
        <v>0</v>
      </c>
      <c r="H162" s="0" t="n">
        <f aca="false">N(H161)+$G162</f>
        <v>3</v>
      </c>
      <c r="I162" s="0" t="str">
        <f aca="false">IF($G162=0,"",IF(资金日记账!$B155=0,"",资金日记账!$B155))</f>
        <v/>
      </c>
      <c r="J162" s="0" t="str">
        <f aca="false">IF($G162=0,"",IF(资金日记账!$D155=0,"",资金日记账!$D155))</f>
        <v/>
      </c>
      <c r="K162" s="0" t="str">
        <f aca="false">IF($G162=0,"",IF(""=0,"",""))</f>
        <v/>
      </c>
      <c r="L162" s="0" t="str">
        <f aca="false">IF($G162=0,"",IF(""=0,"",""))</f>
        <v/>
      </c>
      <c r="M162" s="0" t="str">
        <f aca="false">IF($G162=0,"",IF(""=0,"",""))</f>
        <v/>
      </c>
      <c r="N162" s="0" t="str">
        <f aca="false">IF($G162=0,"",IF(IF(N(资金日记账!$I155)=0,"",-ROUND(N(资金日记账!$I155),2))=0,"",IF(N(资金日记账!$I155)=0,"",-ROUND(N(资金日记账!$I155),2))))</f>
        <v/>
      </c>
      <c r="O162" s="0" t="str">
        <f aca="false">IF($G162=0,"",IF(IF(N(资金日记账!$H155)=0,"",ROUND(N(资金日记账!$H155),2))=0,"",IF(N(资金日记账!$H155)=0,"",ROUND(N(资金日记账!$H155),2))))</f>
        <v/>
      </c>
      <c r="P162" s="0" t="str">
        <f aca="false">IF($G162=0,"",IF(资金日记账!$L155=0,"",资金日记账!$L155))</f>
        <v/>
      </c>
      <c r="T162" s="0" t="str">
        <f aca="false">IF(资金日记账!$G162="","",资金日记账!$G162)</f>
        <v/>
      </c>
      <c r="U162" s="0" t="n">
        <f aca="false">IF(T162="",0,IF(MATCH(T162,$T$4:$T$903,0)=ROW()-3,1,0))</f>
        <v>0</v>
      </c>
      <c r="V162" s="0" t="n">
        <f aca="false">N(V161)+U162</f>
        <v>30</v>
      </c>
      <c r="Z162" s="0" t="str">
        <f aca="false">IF(成本费用登记表!$C162="","",成本费用登记表!$C162)</f>
        <v/>
      </c>
      <c r="AA162" s="0" t="n">
        <f aca="false">IF(Z162="",0,IF(MATCH(Z162,$Z$4:$Z$303,0)=ROW()-3,1,0))</f>
        <v>0</v>
      </c>
      <c r="AB162" s="0" t="n">
        <f aca="false">N(AB161)+AA162</f>
        <v>0</v>
      </c>
      <c r="AF162" s="0" t="str">
        <f aca="false">IF(OR(资金日记账!$E162="",N(资金日记账!$H162)=0),"",资金日记账!$E162)</f>
        <v/>
      </c>
      <c r="AG162" s="0" t="n">
        <f aca="false">IF(AF162="",0,IF(MATCH(AF162,$AF$4:$AF$603,0)=ROW()-3,1,0))</f>
        <v>0</v>
      </c>
      <c r="AH162" s="0" t="n">
        <f aca="false">N(AH161)+AG162</f>
        <v>5</v>
      </c>
    </row>
    <row r="163" customFormat="false" ht="13.5" hidden="false" customHeight="false" outlineLevel="0" collapsed="false">
      <c r="A163" s="0" t="str">
        <f aca="false">IF(((进销存对接!$D163="客户应收")+(进销存对接!$D163="成品销售款")+(进销存对接!$D163="公司购买果品款")+(进销存对接!$D163="筐子销售款")+(进销存对接!$D163="物料销售款"))&gt;0,进销存对接!$C163,"")</f>
        <v/>
      </c>
      <c r="B163" s="0" t="n">
        <f aca="false">IF(A163="",0,IF(MATCH(A163,$A$4:$A$1925,0)=ROW()-3,1,0))</f>
        <v>0</v>
      </c>
      <c r="C163" s="0" t="n">
        <f aca="false">N(C162)+B163</f>
        <v>6</v>
      </c>
      <c r="E163" s="0" t="str">
        <f aca="false">IFERROR(INDEX($A$4:$A$1925,MATCH(ROW()-3,$C$4:$C$1925,0)),"")</f>
        <v/>
      </c>
      <c r="G163" s="0" t="n">
        <f aca="false">IF(OR($G$1="",资金日记账!$E156="",资金日记账!$E156&lt;&gt;$G$1),0,IF(NOT(OR(N(资金日记账!$H156)&lt;&gt;0,N(资金日记账!$I156)&lt;&gt;0)),0,IF(资金日记账!$B156="",1,IF(OR(N(资金日记账!$B156)&lt;$H$1,N(资金日记账!$B156)&gt;$I$1),0,1))))</f>
        <v>0</v>
      </c>
      <c r="H163" s="0" t="n">
        <f aca="false">N(H162)+$G163</f>
        <v>3</v>
      </c>
      <c r="I163" s="0" t="str">
        <f aca="false">IF($G163=0,"",IF(资金日记账!$B156=0,"",资金日记账!$B156))</f>
        <v/>
      </c>
      <c r="J163" s="0" t="str">
        <f aca="false">IF($G163=0,"",IF(资金日记账!$D156=0,"",资金日记账!$D156))</f>
        <v/>
      </c>
      <c r="K163" s="0" t="str">
        <f aca="false">IF($G163=0,"",IF(""=0,"",""))</f>
        <v/>
      </c>
      <c r="L163" s="0" t="str">
        <f aca="false">IF($G163=0,"",IF(""=0,"",""))</f>
        <v/>
      </c>
      <c r="M163" s="0" t="str">
        <f aca="false">IF($G163=0,"",IF(""=0,"",""))</f>
        <v/>
      </c>
      <c r="N163" s="0" t="str">
        <f aca="false">IF($G163=0,"",IF(IF(N(资金日记账!$I156)=0,"",-ROUND(N(资金日记账!$I156),2))=0,"",IF(N(资金日记账!$I156)=0,"",-ROUND(N(资金日记账!$I156),2))))</f>
        <v/>
      </c>
      <c r="O163" s="0" t="str">
        <f aca="false">IF($G163=0,"",IF(IF(N(资金日记账!$H156)=0,"",ROUND(N(资金日记账!$H156),2))=0,"",IF(N(资金日记账!$H156)=0,"",ROUND(N(资金日记账!$H156),2))))</f>
        <v/>
      </c>
      <c r="P163" s="0" t="str">
        <f aca="false">IF($G163=0,"",IF(资金日记账!$L156=0,"",资金日记账!$L156))</f>
        <v/>
      </c>
      <c r="T163" s="0" t="str">
        <f aca="false">IF(资金日记账!$G163="","",资金日记账!$G163)</f>
        <v/>
      </c>
      <c r="U163" s="0" t="n">
        <f aca="false">IF(T163="",0,IF(MATCH(T163,$T$4:$T$903,0)=ROW()-3,1,0))</f>
        <v>0</v>
      </c>
      <c r="V163" s="0" t="n">
        <f aca="false">N(V162)+U163</f>
        <v>30</v>
      </c>
      <c r="Z163" s="0" t="str">
        <f aca="false">IF(成本费用登记表!$C163="","",成本费用登记表!$C163)</f>
        <v/>
      </c>
      <c r="AA163" s="0" t="n">
        <f aca="false">IF(Z163="",0,IF(MATCH(Z163,$Z$4:$Z$303,0)=ROW()-3,1,0))</f>
        <v>0</v>
      </c>
      <c r="AB163" s="0" t="n">
        <f aca="false">N(AB162)+AA163</f>
        <v>0</v>
      </c>
      <c r="AF163" s="0" t="str">
        <f aca="false">IF(OR(资金日记账!$E163="",N(资金日记账!$H163)=0),"",资金日记账!$E163)</f>
        <v/>
      </c>
      <c r="AG163" s="0" t="n">
        <f aca="false">IF(AF163="",0,IF(MATCH(AF163,$AF$4:$AF$603,0)=ROW()-3,1,0))</f>
        <v>0</v>
      </c>
      <c r="AH163" s="0" t="n">
        <f aca="false">N(AH162)+AG163</f>
        <v>5</v>
      </c>
    </row>
    <row r="164" customFormat="false" ht="13.5" hidden="false" customHeight="false" outlineLevel="0" collapsed="false">
      <c r="A164" s="0" t="str">
        <f aca="false">IF(((进销存对接!$D164="客户应收")+(进销存对接!$D164="成品销售款")+(进销存对接!$D164="公司购买果品款")+(进销存对接!$D164="筐子销售款")+(进销存对接!$D164="物料销售款"))&gt;0,进销存对接!$C164,"")</f>
        <v/>
      </c>
      <c r="B164" s="0" t="n">
        <f aca="false">IF(A164="",0,IF(MATCH(A164,$A$4:$A$1925,0)=ROW()-3,1,0))</f>
        <v>0</v>
      </c>
      <c r="C164" s="0" t="n">
        <f aca="false">N(C163)+B164</f>
        <v>6</v>
      </c>
      <c r="E164" s="0" t="str">
        <f aca="false">IFERROR(INDEX($A$4:$A$1925,MATCH(ROW()-3,$C$4:$C$1925,0)),"")</f>
        <v/>
      </c>
      <c r="G164" s="0" t="n">
        <f aca="false">IF(OR($G$1="",资金日记账!$E157="",资金日记账!$E157&lt;&gt;$G$1),0,IF(NOT(OR(N(资金日记账!$H157)&lt;&gt;0,N(资金日记账!$I157)&lt;&gt;0)),0,IF(资金日记账!$B157="",1,IF(OR(N(资金日记账!$B157)&lt;$H$1,N(资金日记账!$B157)&gt;$I$1),0,1))))</f>
        <v>0</v>
      </c>
      <c r="H164" s="0" t="n">
        <f aca="false">N(H163)+$G164</f>
        <v>3</v>
      </c>
      <c r="I164" s="0" t="str">
        <f aca="false">IF($G164=0,"",IF(资金日记账!$B157=0,"",资金日记账!$B157))</f>
        <v/>
      </c>
      <c r="J164" s="0" t="str">
        <f aca="false">IF($G164=0,"",IF(资金日记账!$D157=0,"",资金日记账!$D157))</f>
        <v/>
      </c>
      <c r="K164" s="0" t="str">
        <f aca="false">IF($G164=0,"",IF(""=0,"",""))</f>
        <v/>
      </c>
      <c r="L164" s="0" t="str">
        <f aca="false">IF($G164=0,"",IF(""=0,"",""))</f>
        <v/>
      </c>
      <c r="M164" s="0" t="str">
        <f aca="false">IF($G164=0,"",IF(""=0,"",""))</f>
        <v/>
      </c>
      <c r="N164" s="0" t="str">
        <f aca="false">IF($G164=0,"",IF(IF(N(资金日记账!$I157)=0,"",-ROUND(N(资金日记账!$I157),2))=0,"",IF(N(资金日记账!$I157)=0,"",-ROUND(N(资金日记账!$I157),2))))</f>
        <v/>
      </c>
      <c r="O164" s="0" t="str">
        <f aca="false">IF($G164=0,"",IF(IF(N(资金日记账!$H157)=0,"",ROUND(N(资金日记账!$H157),2))=0,"",IF(N(资金日记账!$H157)=0,"",ROUND(N(资金日记账!$H157),2))))</f>
        <v/>
      </c>
      <c r="P164" s="0" t="str">
        <f aca="false">IF($G164=0,"",IF(资金日记账!$L157=0,"",资金日记账!$L157))</f>
        <v/>
      </c>
      <c r="T164" s="0" t="str">
        <f aca="false">IF(资金日记账!$G164="","",资金日记账!$G164)</f>
        <v/>
      </c>
      <c r="U164" s="0" t="n">
        <f aca="false">IF(T164="",0,IF(MATCH(T164,$T$4:$T$903,0)=ROW()-3,1,0))</f>
        <v>0</v>
      </c>
      <c r="V164" s="0" t="n">
        <f aca="false">N(V163)+U164</f>
        <v>30</v>
      </c>
      <c r="Z164" s="0" t="str">
        <f aca="false">IF(成本费用登记表!$C164="","",成本费用登记表!$C164)</f>
        <v/>
      </c>
      <c r="AA164" s="0" t="n">
        <f aca="false">IF(Z164="",0,IF(MATCH(Z164,$Z$4:$Z$303,0)=ROW()-3,1,0))</f>
        <v>0</v>
      </c>
      <c r="AB164" s="0" t="n">
        <f aca="false">N(AB163)+AA164</f>
        <v>0</v>
      </c>
      <c r="AF164" s="0" t="str">
        <f aca="false">IF(OR(资金日记账!$E164="",N(资金日记账!$H164)=0),"",资金日记账!$E164)</f>
        <v/>
      </c>
      <c r="AG164" s="0" t="n">
        <f aca="false">IF(AF164="",0,IF(MATCH(AF164,$AF$4:$AF$603,0)=ROW()-3,1,0))</f>
        <v>0</v>
      </c>
      <c r="AH164" s="0" t="n">
        <f aca="false">N(AH163)+AG164</f>
        <v>5</v>
      </c>
    </row>
    <row r="165" customFormat="false" ht="13.5" hidden="false" customHeight="false" outlineLevel="0" collapsed="false">
      <c r="A165" s="0" t="str">
        <f aca="false">IF(((进销存对接!$D165="客户应收")+(进销存对接!$D165="成品销售款")+(进销存对接!$D165="公司购买果品款")+(进销存对接!$D165="筐子销售款")+(进销存对接!$D165="物料销售款"))&gt;0,进销存对接!$C165,"")</f>
        <v/>
      </c>
      <c r="B165" s="0" t="n">
        <f aca="false">IF(A165="",0,IF(MATCH(A165,$A$4:$A$1925,0)=ROW()-3,1,0))</f>
        <v>0</v>
      </c>
      <c r="C165" s="0" t="n">
        <f aca="false">N(C164)+B165</f>
        <v>6</v>
      </c>
      <c r="E165" s="0" t="str">
        <f aca="false">IFERROR(INDEX($A$4:$A$1925,MATCH(ROW()-3,$C$4:$C$1925,0)),"")</f>
        <v/>
      </c>
      <c r="G165" s="0" t="n">
        <f aca="false">IF(OR($G$1="",资金日记账!$E158="",资金日记账!$E158&lt;&gt;$G$1),0,IF(NOT(OR(N(资金日记账!$H158)&lt;&gt;0,N(资金日记账!$I158)&lt;&gt;0)),0,IF(资金日记账!$B158="",1,IF(OR(N(资金日记账!$B158)&lt;$H$1,N(资金日记账!$B158)&gt;$I$1),0,1))))</f>
        <v>0</v>
      </c>
      <c r="H165" s="0" t="n">
        <f aca="false">N(H164)+$G165</f>
        <v>3</v>
      </c>
      <c r="I165" s="0" t="str">
        <f aca="false">IF($G165=0,"",IF(资金日记账!$B158=0,"",资金日记账!$B158))</f>
        <v/>
      </c>
      <c r="J165" s="0" t="str">
        <f aca="false">IF($G165=0,"",IF(资金日记账!$D158=0,"",资金日记账!$D158))</f>
        <v/>
      </c>
      <c r="K165" s="0" t="str">
        <f aca="false">IF($G165=0,"",IF(""=0,"",""))</f>
        <v/>
      </c>
      <c r="L165" s="0" t="str">
        <f aca="false">IF($G165=0,"",IF(""=0,"",""))</f>
        <v/>
      </c>
      <c r="M165" s="0" t="str">
        <f aca="false">IF($G165=0,"",IF(""=0,"",""))</f>
        <v/>
      </c>
      <c r="N165" s="0" t="str">
        <f aca="false">IF($G165=0,"",IF(IF(N(资金日记账!$I158)=0,"",-ROUND(N(资金日记账!$I158),2))=0,"",IF(N(资金日记账!$I158)=0,"",-ROUND(N(资金日记账!$I158),2))))</f>
        <v/>
      </c>
      <c r="O165" s="0" t="str">
        <f aca="false">IF($G165=0,"",IF(IF(N(资金日记账!$H158)=0,"",ROUND(N(资金日记账!$H158),2))=0,"",IF(N(资金日记账!$H158)=0,"",ROUND(N(资金日记账!$H158),2))))</f>
        <v/>
      </c>
      <c r="P165" s="0" t="str">
        <f aca="false">IF($G165=0,"",IF(资金日记账!$L158=0,"",资金日记账!$L158))</f>
        <v/>
      </c>
      <c r="T165" s="0" t="str">
        <f aca="false">IF(资金日记账!$G165="","",资金日记账!$G165)</f>
        <v/>
      </c>
      <c r="U165" s="0" t="n">
        <f aca="false">IF(T165="",0,IF(MATCH(T165,$T$4:$T$903,0)=ROW()-3,1,0))</f>
        <v>0</v>
      </c>
      <c r="V165" s="0" t="n">
        <f aca="false">N(V164)+U165</f>
        <v>30</v>
      </c>
      <c r="Z165" s="0" t="str">
        <f aca="false">IF(成本费用登记表!$C165="","",成本费用登记表!$C165)</f>
        <v/>
      </c>
      <c r="AA165" s="0" t="n">
        <f aca="false">IF(Z165="",0,IF(MATCH(Z165,$Z$4:$Z$303,0)=ROW()-3,1,0))</f>
        <v>0</v>
      </c>
      <c r="AB165" s="0" t="n">
        <f aca="false">N(AB164)+AA165</f>
        <v>0</v>
      </c>
      <c r="AF165" s="0" t="str">
        <f aca="false">IF(OR(资金日记账!$E165="",N(资金日记账!$H165)=0),"",资金日记账!$E165)</f>
        <v/>
      </c>
      <c r="AG165" s="0" t="n">
        <f aca="false">IF(AF165="",0,IF(MATCH(AF165,$AF$4:$AF$603,0)=ROW()-3,1,0))</f>
        <v>0</v>
      </c>
      <c r="AH165" s="0" t="n">
        <f aca="false">N(AH164)+AG165</f>
        <v>5</v>
      </c>
    </row>
    <row r="166" customFormat="false" ht="13.5" hidden="false" customHeight="false" outlineLevel="0" collapsed="false">
      <c r="A166" s="0" t="str">
        <f aca="false">IF(((进销存对接!$D166="客户应收")+(进销存对接!$D166="成品销售款")+(进销存对接!$D166="公司购买果品款")+(进销存对接!$D166="筐子销售款")+(进销存对接!$D166="物料销售款"))&gt;0,进销存对接!$C166,"")</f>
        <v/>
      </c>
      <c r="B166" s="0" t="n">
        <f aca="false">IF(A166="",0,IF(MATCH(A166,$A$4:$A$1925,0)=ROW()-3,1,0))</f>
        <v>0</v>
      </c>
      <c r="C166" s="0" t="n">
        <f aca="false">N(C165)+B166</f>
        <v>6</v>
      </c>
      <c r="E166" s="0" t="str">
        <f aca="false">IFERROR(INDEX($A$4:$A$1925,MATCH(ROW()-3,$C$4:$C$1925,0)),"")</f>
        <v/>
      </c>
      <c r="G166" s="0" t="n">
        <f aca="false">IF(OR($G$1="",资金日记账!$E159="",资金日记账!$E159&lt;&gt;$G$1),0,IF(NOT(OR(N(资金日记账!$H159)&lt;&gt;0,N(资金日记账!$I159)&lt;&gt;0)),0,IF(资金日记账!$B159="",1,IF(OR(N(资金日记账!$B159)&lt;$H$1,N(资金日记账!$B159)&gt;$I$1),0,1))))</f>
        <v>0</v>
      </c>
      <c r="H166" s="0" t="n">
        <f aca="false">N(H165)+$G166</f>
        <v>3</v>
      </c>
      <c r="I166" s="0" t="str">
        <f aca="false">IF($G166=0,"",IF(资金日记账!$B159=0,"",资金日记账!$B159))</f>
        <v/>
      </c>
      <c r="J166" s="0" t="str">
        <f aca="false">IF($G166=0,"",IF(资金日记账!$D159=0,"",资金日记账!$D159))</f>
        <v/>
      </c>
      <c r="K166" s="0" t="str">
        <f aca="false">IF($G166=0,"",IF(""=0,"",""))</f>
        <v/>
      </c>
      <c r="L166" s="0" t="str">
        <f aca="false">IF($G166=0,"",IF(""=0,"",""))</f>
        <v/>
      </c>
      <c r="M166" s="0" t="str">
        <f aca="false">IF($G166=0,"",IF(""=0,"",""))</f>
        <v/>
      </c>
      <c r="N166" s="0" t="str">
        <f aca="false">IF($G166=0,"",IF(IF(N(资金日记账!$I159)=0,"",-ROUND(N(资金日记账!$I159),2))=0,"",IF(N(资金日记账!$I159)=0,"",-ROUND(N(资金日记账!$I159),2))))</f>
        <v/>
      </c>
      <c r="O166" s="0" t="str">
        <f aca="false">IF($G166=0,"",IF(IF(N(资金日记账!$H159)=0,"",ROUND(N(资金日记账!$H159),2))=0,"",IF(N(资金日记账!$H159)=0,"",ROUND(N(资金日记账!$H159),2))))</f>
        <v/>
      </c>
      <c r="P166" s="0" t="str">
        <f aca="false">IF($G166=0,"",IF(资金日记账!$L159=0,"",资金日记账!$L159))</f>
        <v/>
      </c>
      <c r="T166" s="0" t="str">
        <f aca="false">IF(资金日记账!$G166="","",资金日记账!$G166)</f>
        <v/>
      </c>
      <c r="U166" s="0" t="n">
        <f aca="false">IF(T166="",0,IF(MATCH(T166,$T$4:$T$903,0)=ROW()-3,1,0))</f>
        <v>0</v>
      </c>
      <c r="V166" s="0" t="n">
        <f aca="false">N(V165)+U166</f>
        <v>30</v>
      </c>
      <c r="Z166" s="0" t="str">
        <f aca="false">IF(成本费用登记表!$C166="","",成本费用登记表!$C166)</f>
        <v/>
      </c>
      <c r="AA166" s="0" t="n">
        <f aca="false">IF(Z166="",0,IF(MATCH(Z166,$Z$4:$Z$303,0)=ROW()-3,1,0))</f>
        <v>0</v>
      </c>
      <c r="AB166" s="0" t="n">
        <f aca="false">N(AB165)+AA166</f>
        <v>0</v>
      </c>
      <c r="AF166" s="0" t="str">
        <f aca="false">IF(OR(资金日记账!$E166="",N(资金日记账!$H166)=0),"",资金日记账!$E166)</f>
        <v/>
      </c>
      <c r="AG166" s="0" t="n">
        <f aca="false">IF(AF166="",0,IF(MATCH(AF166,$AF$4:$AF$603,0)=ROW()-3,1,0))</f>
        <v>0</v>
      </c>
      <c r="AH166" s="0" t="n">
        <f aca="false">N(AH165)+AG166</f>
        <v>5</v>
      </c>
    </row>
    <row r="167" customFormat="false" ht="13.5" hidden="false" customHeight="false" outlineLevel="0" collapsed="false">
      <c r="A167" s="0" t="str">
        <f aca="false">IF(((进销存对接!$D167="客户应收")+(进销存对接!$D167="成品销售款")+(进销存对接!$D167="公司购买果品款")+(进销存对接!$D167="筐子销售款")+(进销存对接!$D167="物料销售款"))&gt;0,进销存对接!$C167,"")</f>
        <v/>
      </c>
      <c r="B167" s="0" t="n">
        <f aca="false">IF(A167="",0,IF(MATCH(A167,$A$4:$A$1925,0)=ROW()-3,1,0))</f>
        <v>0</v>
      </c>
      <c r="C167" s="0" t="n">
        <f aca="false">N(C166)+B167</f>
        <v>6</v>
      </c>
      <c r="E167" s="0" t="str">
        <f aca="false">IFERROR(INDEX($A$4:$A$1925,MATCH(ROW()-3,$C$4:$C$1925,0)),"")</f>
        <v/>
      </c>
      <c r="G167" s="0" t="n">
        <f aca="false">IF(OR($G$1="",资金日记账!$E160="",资金日记账!$E160&lt;&gt;$G$1),0,IF(NOT(OR(N(资金日记账!$H160)&lt;&gt;0,N(资金日记账!$I160)&lt;&gt;0)),0,IF(资金日记账!$B160="",1,IF(OR(N(资金日记账!$B160)&lt;$H$1,N(资金日记账!$B160)&gt;$I$1),0,1))))</f>
        <v>0</v>
      </c>
      <c r="H167" s="0" t="n">
        <f aca="false">N(H166)+$G167</f>
        <v>3</v>
      </c>
      <c r="I167" s="0" t="str">
        <f aca="false">IF($G167=0,"",IF(资金日记账!$B160=0,"",资金日记账!$B160))</f>
        <v/>
      </c>
      <c r="J167" s="0" t="str">
        <f aca="false">IF($G167=0,"",IF(资金日记账!$D160=0,"",资金日记账!$D160))</f>
        <v/>
      </c>
      <c r="K167" s="0" t="str">
        <f aca="false">IF($G167=0,"",IF(""=0,"",""))</f>
        <v/>
      </c>
      <c r="L167" s="0" t="str">
        <f aca="false">IF($G167=0,"",IF(""=0,"",""))</f>
        <v/>
      </c>
      <c r="M167" s="0" t="str">
        <f aca="false">IF($G167=0,"",IF(""=0,"",""))</f>
        <v/>
      </c>
      <c r="N167" s="0" t="str">
        <f aca="false">IF($G167=0,"",IF(IF(N(资金日记账!$I160)=0,"",-ROUND(N(资金日记账!$I160),2))=0,"",IF(N(资金日记账!$I160)=0,"",-ROUND(N(资金日记账!$I160),2))))</f>
        <v/>
      </c>
      <c r="O167" s="0" t="str">
        <f aca="false">IF($G167=0,"",IF(IF(N(资金日记账!$H160)=0,"",ROUND(N(资金日记账!$H160),2))=0,"",IF(N(资金日记账!$H160)=0,"",ROUND(N(资金日记账!$H160),2))))</f>
        <v/>
      </c>
      <c r="P167" s="0" t="str">
        <f aca="false">IF($G167=0,"",IF(资金日记账!$L160=0,"",资金日记账!$L160))</f>
        <v/>
      </c>
      <c r="T167" s="0" t="str">
        <f aca="false">IF(资金日记账!$G167="","",资金日记账!$G167)</f>
        <v/>
      </c>
      <c r="U167" s="0" t="n">
        <f aca="false">IF(T167="",0,IF(MATCH(T167,$T$4:$T$903,0)=ROW()-3,1,0))</f>
        <v>0</v>
      </c>
      <c r="V167" s="0" t="n">
        <f aca="false">N(V166)+U167</f>
        <v>30</v>
      </c>
      <c r="Z167" s="0" t="str">
        <f aca="false">IF(成本费用登记表!$C167="","",成本费用登记表!$C167)</f>
        <v/>
      </c>
      <c r="AA167" s="0" t="n">
        <f aca="false">IF(Z167="",0,IF(MATCH(Z167,$Z$4:$Z$303,0)=ROW()-3,1,0))</f>
        <v>0</v>
      </c>
      <c r="AB167" s="0" t="n">
        <f aca="false">N(AB166)+AA167</f>
        <v>0</v>
      </c>
      <c r="AF167" s="0" t="str">
        <f aca="false">IF(OR(资金日记账!$E167="",N(资金日记账!$H167)=0),"",资金日记账!$E167)</f>
        <v/>
      </c>
      <c r="AG167" s="0" t="n">
        <f aca="false">IF(AF167="",0,IF(MATCH(AF167,$AF$4:$AF$603,0)=ROW()-3,1,0))</f>
        <v>0</v>
      </c>
      <c r="AH167" s="0" t="n">
        <f aca="false">N(AH166)+AG167</f>
        <v>5</v>
      </c>
    </row>
    <row r="168" customFormat="false" ht="13.5" hidden="false" customHeight="false" outlineLevel="0" collapsed="false">
      <c r="A168" s="0" t="str">
        <f aca="false">IF(((进销存对接!$D168="客户应收")+(进销存对接!$D168="成品销售款")+(进销存对接!$D168="公司购买果品款")+(进销存对接!$D168="筐子销售款")+(进销存对接!$D168="物料销售款"))&gt;0,进销存对接!$C168,"")</f>
        <v/>
      </c>
      <c r="B168" s="0" t="n">
        <f aca="false">IF(A168="",0,IF(MATCH(A168,$A$4:$A$1925,0)=ROW()-3,1,0))</f>
        <v>0</v>
      </c>
      <c r="C168" s="0" t="n">
        <f aca="false">N(C167)+B168</f>
        <v>6</v>
      </c>
      <c r="E168" s="0" t="str">
        <f aca="false">IFERROR(INDEX($A$4:$A$1925,MATCH(ROW()-3,$C$4:$C$1925,0)),"")</f>
        <v/>
      </c>
      <c r="G168" s="0" t="n">
        <f aca="false">IF(OR($G$1="",资金日记账!$E161="",资金日记账!$E161&lt;&gt;$G$1),0,IF(NOT(OR(N(资金日记账!$H161)&lt;&gt;0,N(资金日记账!$I161)&lt;&gt;0)),0,IF(资金日记账!$B161="",1,IF(OR(N(资金日记账!$B161)&lt;$H$1,N(资金日记账!$B161)&gt;$I$1),0,1))))</f>
        <v>0</v>
      </c>
      <c r="H168" s="0" t="n">
        <f aca="false">N(H167)+$G168</f>
        <v>3</v>
      </c>
      <c r="I168" s="0" t="str">
        <f aca="false">IF($G168=0,"",IF(资金日记账!$B161=0,"",资金日记账!$B161))</f>
        <v/>
      </c>
      <c r="J168" s="0" t="str">
        <f aca="false">IF($G168=0,"",IF(资金日记账!$D161=0,"",资金日记账!$D161))</f>
        <v/>
      </c>
      <c r="K168" s="0" t="str">
        <f aca="false">IF($G168=0,"",IF(""=0,"",""))</f>
        <v/>
      </c>
      <c r="L168" s="0" t="str">
        <f aca="false">IF($G168=0,"",IF(""=0,"",""))</f>
        <v/>
      </c>
      <c r="M168" s="0" t="str">
        <f aca="false">IF($G168=0,"",IF(""=0,"",""))</f>
        <v/>
      </c>
      <c r="N168" s="0" t="str">
        <f aca="false">IF($G168=0,"",IF(IF(N(资金日记账!$I161)=0,"",-ROUND(N(资金日记账!$I161),2))=0,"",IF(N(资金日记账!$I161)=0,"",-ROUND(N(资金日记账!$I161),2))))</f>
        <v/>
      </c>
      <c r="O168" s="0" t="str">
        <f aca="false">IF($G168=0,"",IF(IF(N(资金日记账!$H161)=0,"",ROUND(N(资金日记账!$H161),2))=0,"",IF(N(资金日记账!$H161)=0,"",ROUND(N(资金日记账!$H161),2))))</f>
        <v/>
      </c>
      <c r="P168" s="0" t="str">
        <f aca="false">IF($G168=0,"",IF(资金日记账!$L161=0,"",资金日记账!$L161))</f>
        <v/>
      </c>
      <c r="T168" s="0" t="str">
        <f aca="false">IF(资金日记账!$G168="","",资金日记账!$G168)</f>
        <v/>
      </c>
      <c r="U168" s="0" t="n">
        <f aca="false">IF(T168="",0,IF(MATCH(T168,$T$4:$T$903,0)=ROW()-3,1,0))</f>
        <v>0</v>
      </c>
      <c r="V168" s="0" t="n">
        <f aca="false">N(V167)+U168</f>
        <v>30</v>
      </c>
      <c r="Z168" s="0" t="str">
        <f aca="false">IF(成本费用登记表!$C168="","",成本费用登记表!$C168)</f>
        <v/>
      </c>
      <c r="AA168" s="0" t="n">
        <f aca="false">IF(Z168="",0,IF(MATCH(Z168,$Z$4:$Z$303,0)=ROW()-3,1,0))</f>
        <v>0</v>
      </c>
      <c r="AB168" s="0" t="n">
        <f aca="false">N(AB167)+AA168</f>
        <v>0</v>
      </c>
      <c r="AF168" s="0" t="str">
        <f aca="false">IF(OR(资金日记账!$E168="",N(资金日记账!$H168)=0),"",资金日记账!$E168)</f>
        <v/>
      </c>
      <c r="AG168" s="0" t="n">
        <f aca="false">IF(AF168="",0,IF(MATCH(AF168,$AF$4:$AF$603,0)=ROW()-3,1,0))</f>
        <v>0</v>
      </c>
      <c r="AH168" s="0" t="n">
        <f aca="false">N(AH167)+AG168</f>
        <v>5</v>
      </c>
    </row>
    <row r="169" customFormat="false" ht="13.5" hidden="false" customHeight="false" outlineLevel="0" collapsed="false">
      <c r="A169" s="0" t="str">
        <f aca="false">IF(((进销存对接!$D169="客户应收")+(进销存对接!$D169="成品销售款")+(进销存对接!$D169="公司购买果品款")+(进销存对接!$D169="筐子销售款")+(进销存对接!$D169="物料销售款"))&gt;0,进销存对接!$C169,"")</f>
        <v/>
      </c>
      <c r="B169" s="0" t="n">
        <f aca="false">IF(A169="",0,IF(MATCH(A169,$A$4:$A$1925,0)=ROW()-3,1,0))</f>
        <v>0</v>
      </c>
      <c r="C169" s="0" t="n">
        <f aca="false">N(C168)+B169</f>
        <v>6</v>
      </c>
      <c r="E169" s="0" t="str">
        <f aca="false">IFERROR(INDEX($A$4:$A$1925,MATCH(ROW()-3,$C$4:$C$1925,0)),"")</f>
        <v/>
      </c>
      <c r="G169" s="0" t="n">
        <f aca="false">IF(OR($G$1="",资金日记账!$E162="",资金日记账!$E162&lt;&gt;$G$1),0,IF(NOT(OR(N(资金日记账!$H162)&lt;&gt;0,N(资金日记账!$I162)&lt;&gt;0)),0,IF(资金日记账!$B162="",1,IF(OR(N(资金日记账!$B162)&lt;$H$1,N(资金日记账!$B162)&gt;$I$1),0,1))))</f>
        <v>0</v>
      </c>
      <c r="H169" s="0" t="n">
        <f aca="false">N(H168)+$G169</f>
        <v>3</v>
      </c>
      <c r="I169" s="0" t="str">
        <f aca="false">IF($G169=0,"",IF(资金日记账!$B162=0,"",资金日记账!$B162))</f>
        <v/>
      </c>
      <c r="J169" s="0" t="str">
        <f aca="false">IF($G169=0,"",IF(资金日记账!$D162=0,"",资金日记账!$D162))</f>
        <v/>
      </c>
      <c r="K169" s="0" t="str">
        <f aca="false">IF($G169=0,"",IF(""=0,"",""))</f>
        <v/>
      </c>
      <c r="L169" s="0" t="str">
        <f aca="false">IF($G169=0,"",IF(""=0,"",""))</f>
        <v/>
      </c>
      <c r="M169" s="0" t="str">
        <f aca="false">IF($G169=0,"",IF(""=0,"",""))</f>
        <v/>
      </c>
      <c r="N169" s="0" t="str">
        <f aca="false">IF($G169=0,"",IF(IF(N(资金日记账!$I162)=0,"",-ROUND(N(资金日记账!$I162),2))=0,"",IF(N(资金日记账!$I162)=0,"",-ROUND(N(资金日记账!$I162),2))))</f>
        <v/>
      </c>
      <c r="O169" s="0" t="str">
        <f aca="false">IF($G169=0,"",IF(IF(N(资金日记账!$H162)=0,"",ROUND(N(资金日记账!$H162),2))=0,"",IF(N(资金日记账!$H162)=0,"",ROUND(N(资金日记账!$H162),2))))</f>
        <v/>
      </c>
      <c r="P169" s="0" t="str">
        <f aca="false">IF($G169=0,"",IF(资金日记账!$L162=0,"",资金日记账!$L162))</f>
        <v/>
      </c>
      <c r="T169" s="0" t="str">
        <f aca="false">IF(资金日记账!$G169="","",资金日记账!$G169)</f>
        <v/>
      </c>
      <c r="U169" s="0" t="n">
        <f aca="false">IF(T169="",0,IF(MATCH(T169,$T$4:$T$903,0)=ROW()-3,1,0))</f>
        <v>0</v>
      </c>
      <c r="V169" s="0" t="n">
        <f aca="false">N(V168)+U169</f>
        <v>30</v>
      </c>
      <c r="Z169" s="0" t="str">
        <f aca="false">IF(成本费用登记表!$C169="","",成本费用登记表!$C169)</f>
        <v/>
      </c>
      <c r="AA169" s="0" t="n">
        <f aca="false">IF(Z169="",0,IF(MATCH(Z169,$Z$4:$Z$303,0)=ROW()-3,1,0))</f>
        <v>0</v>
      </c>
      <c r="AB169" s="0" t="n">
        <f aca="false">N(AB168)+AA169</f>
        <v>0</v>
      </c>
      <c r="AF169" s="0" t="str">
        <f aca="false">IF(OR(资金日记账!$E169="",N(资金日记账!$H169)=0),"",资金日记账!$E169)</f>
        <v/>
      </c>
      <c r="AG169" s="0" t="n">
        <f aca="false">IF(AF169="",0,IF(MATCH(AF169,$AF$4:$AF$603,0)=ROW()-3,1,0))</f>
        <v>0</v>
      </c>
      <c r="AH169" s="0" t="n">
        <f aca="false">N(AH168)+AG169</f>
        <v>5</v>
      </c>
    </row>
    <row r="170" customFormat="false" ht="13.5" hidden="false" customHeight="false" outlineLevel="0" collapsed="false">
      <c r="A170" s="0" t="str">
        <f aca="false">IF(((进销存对接!$D170="客户应收")+(进销存对接!$D170="成品销售款")+(进销存对接!$D170="公司购买果品款")+(进销存对接!$D170="筐子销售款")+(进销存对接!$D170="物料销售款"))&gt;0,进销存对接!$C170,"")</f>
        <v/>
      </c>
      <c r="B170" s="0" t="n">
        <f aca="false">IF(A170="",0,IF(MATCH(A170,$A$4:$A$1925,0)=ROW()-3,1,0))</f>
        <v>0</v>
      </c>
      <c r="C170" s="0" t="n">
        <f aca="false">N(C169)+B170</f>
        <v>6</v>
      </c>
      <c r="E170" s="0" t="str">
        <f aca="false">IFERROR(INDEX($A$4:$A$1925,MATCH(ROW()-3,$C$4:$C$1925,0)),"")</f>
        <v/>
      </c>
      <c r="G170" s="0" t="n">
        <f aca="false">IF(OR($G$1="",资金日记账!$E163="",资金日记账!$E163&lt;&gt;$G$1),0,IF(NOT(OR(N(资金日记账!$H163)&lt;&gt;0,N(资金日记账!$I163)&lt;&gt;0)),0,IF(资金日记账!$B163="",1,IF(OR(N(资金日记账!$B163)&lt;$H$1,N(资金日记账!$B163)&gt;$I$1),0,1))))</f>
        <v>0</v>
      </c>
      <c r="H170" s="0" t="n">
        <f aca="false">N(H169)+$G170</f>
        <v>3</v>
      </c>
      <c r="I170" s="0" t="str">
        <f aca="false">IF($G170=0,"",IF(资金日记账!$B163=0,"",资金日记账!$B163))</f>
        <v/>
      </c>
      <c r="J170" s="0" t="str">
        <f aca="false">IF($G170=0,"",IF(资金日记账!$D163=0,"",资金日记账!$D163))</f>
        <v/>
      </c>
      <c r="K170" s="0" t="str">
        <f aca="false">IF($G170=0,"",IF(""=0,"",""))</f>
        <v/>
      </c>
      <c r="L170" s="0" t="str">
        <f aca="false">IF($G170=0,"",IF(""=0,"",""))</f>
        <v/>
      </c>
      <c r="M170" s="0" t="str">
        <f aca="false">IF($G170=0,"",IF(""=0,"",""))</f>
        <v/>
      </c>
      <c r="N170" s="0" t="str">
        <f aca="false">IF($G170=0,"",IF(IF(N(资金日记账!$I163)=0,"",-ROUND(N(资金日记账!$I163),2))=0,"",IF(N(资金日记账!$I163)=0,"",-ROUND(N(资金日记账!$I163),2))))</f>
        <v/>
      </c>
      <c r="O170" s="0" t="str">
        <f aca="false">IF($G170=0,"",IF(IF(N(资金日记账!$H163)=0,"",ROUND(N(资金日记账!$H163),2))=0,"",IF(N(资金日记账!$H163)=0,"",ROUND(N(资金日记账!$H163),2))))</f>
        <v/>
      </c>
      <c r="P170" s="0" t="str">
        <f aca="false">IF($G170=0,"",IF(资金日记账!$L163=0,"",资金日记账!$L163))</f>
        <v/>
      </c>
      <c r="T170" s="0" t="str">
        <f aca="false">IF(资金日记账!$G170="","",资金日记账!$G170)</f>
        <v/>
      </c>
      <c r="U170" s="0" t="n">
        <f aca="false">IF(T170="",0,IF(MATCH(T170,$T$4:$T$903,0)=ROW()-3,1,0))</f>
        <v>0</v>
      </c>
      <c r="V170" s="0" t="n">
        <f aca="false">N(V169)+U170</f>
        <v>30</v>
      </c>
      <c r="Z170" s="0" t="str">
        <f aca="false">IF(成本费用登记表!$C170="","",成本费用登记表!$C170)</f>
        <v/>
      </c>
      <c r="AA170" s="0" t="n">
        <f aca="false">IF(Z170="",0,IF(MATCH(Z170,$Z$4:$Z$303,0)=ROW()-3,1,0))</f>
        <v>0</v>
      </c>
      <c r="AB170" s="0" t="n">
        <f aca="false">N(AB169)+AA170</f>
        <v>0</v>
      </c>
      <c r="AF170" s="0" t="str">
        <f aca="false">IF(OR(资金日记账!$E170="",N(资金日记账!$H170)=0),"",资金日记账!$E170)</f>
        <v/>
      </c>
      <c r="AG170" s="0" t="n">
        <f aca="false">IF(AF170="",0,IF(MATCH(AF170,$AF$4:$AF$603,0)=ROW()-3,1,0))</f>
        <v>0</v>
      </c>
      <c r="AH170" s="0" t="n">
        <f aca="false">N(AH169)+AG170</f>
        <v>5</v>
      </c>
    </row>
    <row r="171" customFormat="false" ht="13.5" hidden="false" customHeight="false" outlineLevel="0" collapsed="false">
      <c r="A171" s="0" t="str">
        <f aca="false">IF(((进销存对接!$D171="客户应收")+(进销存对接!$D171="成品销售款")+(进销存对接!$D171="公司购买果品款")+(进销存对接!$D171="筐子销售款")+(进销存对接!$D171="物料销售款"))&gt;0,进销存对接!$C171,"")</f>
        <v/>
      </c>
      <c r="B171" s="0" t="n">
        <f aca="false">IF(A171="",0,IF(MATCH(A171,$A$4:$A$1925,0)=ROW()-3,1,0))</f>
        <v>0</v>
      </c>
      <c r="C171" s="0" t="n">
        <f aca="false">N(C170)+B171</f>
        <v>6</v>
      </c>
      <c r="E171" s="0" t="str">
        <f aca="false">IFERROR(INDEX($A$4:$A$1925,MATCH(ROW()-3,$C$4:$C$1925,0)),"")</f>
        <v/>
      </c>
      <c r="G171" s="0" t="n">
        <f aca="false">IF(OR($G$1="",资金日记账!$E164="",资金日记账!$E164&lt;&gt;$G$1),0,IF(NOT(OR(N(资金日记账!$H164)&lt;&gt;0,N(资金日记账!$I164)&lt;&gt;0)),0,IF(资金日记账!$B164="",1,IF(OR(N(资金日记账!$B164)&lt;$H$1,N(资金日记账!$B164)&gt;$I$1),0,1))))</f>
        <v>0</v>
      </c>
      <c r="H171" s="0" t="n">
        <f aca="false">N(H170)+$G171</f>
        <v>3</v>
      </c>
      <c r="I171" s="0" t="str">
        <f aca="false">IF($G171=0,"",IF(资金日记账!$B164=0,"",资金日记账!$B164))</f>
        <v/>
      </c>
      <c r="J171" s="0" t="str">
        <f aca="false">IF($G171=0,"",IF(资金日记账!$D164=0,"",资金日记账!$D164))</f>
        <v/>
      </c>
      <c r="K171" s="0" t="str">
        <f aca="false">IF($G171=0,"",IF(""=0,"",""))</f>
        <v/>
      </c>
      <c r="L171" s="0" t="str">
        <f aca="false">IF($G171=0,"",IF(""=0,"",""))</f>
        <v/>
      </c>
      <c r="M171" s="0" t="str">
        <f aca="false">IF($G171=0,"",IF(""=0,"",""))</f>
        <v/>
      </c>
      <c r="N171" s="0" t="str">
        <f aca="false">IF($G171=0,"",IF(IF(N(资金日记账!$I164)=0,"",-ROUND(N(资金日记账!$I164),2))=0,"",IF(N(资金日记账!$I164)=0,"",-ROUND(N(资金日记账!$I164),2))))</f>
        <v/>
      </c>
      <c r="O171" s="0" t="str">
        <f aca="false">IF($G171=0,"",IF(IF(N(资金日记账!$H164)=0,"",ROUND(N(资金日记账!$H164),2))=0,"",IF(N(资金日记账!$H164)=0,"",ROUND(N(资金日记账!$H164),2))))</f>
        <v/>
      </c>
      <c r="P171" s="0" t="str">
        <f aca="false">IF($G171=0,"",IF(资金日记账!$L164=0,"",资金日记账!$L164))</f>
        <v/>
      </c>
      <c r="T171" s="0" t="str">
        <f aca="false">IF(资金日记账!$G171="","",资金日记账!$G171)</f>
        <v/>
      </c>
      <c r="U171" s="0" t="n">
        <f aca="false">IF(T171="",0,IF(MATCH(T171,$T$4:$T$903,0)=ROW()-3,1,0))</f>
        <v>0</v>
      </c>
      <c r="V171" s="0" t="n">
        <f aca="false">N(V170)+U171</f>
        <v>30</v>
      </c>
      <c r="Z171" s="0" t="str">
        <f aca="false">IF(成本费用登记表!$C171="","",成本费用登记表!$C171)</f>
        <v/>
      </c>
      <c r="AA171" s="0" t="n">
        <f aca="false">IF(Z171="",0,IF(MATCH(Z171,$Z$4:$Z$303,0)=ROW()-3,1,0))</f>
        <v>0</v>
      </c>
      <c r="AB171" s="0" t="n">
        <f aca="false">N(AB170)+AA171</f>
        <v>0</v>
      </c>
      <c r="AF171" s="0" t="str">
        <f aca="false">IF(OR(资金日记账!$E171="",N(资金日记账!$H171)=0),"",资金日记账!$E171)</f>
        <v/>
      </c>
      <c r="AG171" s="0" t="n">
        <f aca="false">IF(AF171="",0,IF(MATCH(AF171,$AF$4:$AF$603,0)=ROW()-3,1,0))</f>
        <v>0</v>
      </c>
      <c r="AH171" s="0" t="n">
        <f aca="false">N(AH170)+AG171</f>
        <v>5</v>
      </c>
    </row>
    <row r="172" customFormat="false" ht="13.5" hidden="false" customHeight="false" outlineLevel="0" collapsed="false">
      <c r="A172" s="0" t="str">
        <f aca="false">IF(((进销存对接!$D172="客户应收")+(进销存对接!$D172="成品销售款")+(进销存对接!$D172="公司购买果品款")+(进销存对接!$D172="筐子销售款")+(进销存对接!$D172="物料销售款"))&gt;0,进销存对接!$C172,"")</f>
        <v/>
      </c>
      <c r="B172" s="0" t="n">
        <f aca="false">IF(A172="",0,IF(MATCH(A172,$A$4:$A$1925,0)=ROW()-3,1,0))</f>
        <v>0</v>
      </c>
      <c r="C172" s="0" t="n">
        <f aca="false">N(C171)+B172</f>
        <v>6</v>
      </c>
      <c r="E172" s="0" t="str">
        <f aca="false">IFERROR(INDEX($A$4:$A$1925,MATCH(ROW()-3,$C$4:$C$1925,0)),"")</f>
        <v/>
      </c>
      <c r="G172" s="0" t="n">
        <f aca="false">IF(OR($G$1="",资金日记账!$E165="",资金日记账!$E165&lt;&gt;$G$1),0,IF(NOT(OR(N(资金日记账!$H165)&lt;&gt;0,N(资金日记账!$I165)&lt;&gt;0)),0,IF(资金日记账!$B165="",1,IF(OR(N(资金日记账!$B165)&lt;$H$1,N(资金日记账!$B165)&gt;$I$1),0,1))))</f>
        <v>0</v>
      </c>
      <c r="H172" s="0" t="n">
        <f aca="false">N(H171)+$G172</f>
        <v>3</v>
      </c>
      <c r="I172" s="0" t="str">
        <f aca="false">IF($G172=0,"",IF(资金日记账!$B165=0,"",资金日记账!$B165))</f>
        <v/>
      </c>
      <c r="J172" s="0" t="str">
        <f aca="false">IF($G172=0,"",IF(资金日记账!$D165=0,"",资金日记账!$D165))</f>
        <v/>
      </c>
      <c r="K172" s="0" t="str">
        <f aca="false">IF($G172=0,"",IF(""=0,"",""))</f>
        <v/>
      </c>
      <c r="L172" s="0" t="str">
        <f aca="false">IF($G172=0,"",IF(""=0,"",""))</f>
        <v/>
      </c>
      <c r="M172" s="0" t="str">
        <f aca="false">IF($G172=0,"",IF(""=0,"",""))</f>
        <v/>
      </c>
      <c r="N172" s="0" t="str">
        <f aca="false">IF($G172=0,"",IF(IF(N(资金日记账!$I165)=0,"",-ROUND(N(资金日记账!$I165),2))=0,"",IF(N(资金日记账!$I165)=0,"",-ROUND(N(资金日记账!$I165),2))))</f>
        <v/>
      </c>
      <c r="O172" s="0" t="str">
        <f aca="false">IF($G172=0,"",IF(IF(N(资金日记账!$H165)=0,"",ROUND(N(资金日记账!$H165),2))=0,"",IF(N(资金日记账!$H165)=0,"",ROUND(N(资金日记账!$H165),2))))</f>
        <v/>
      </c>
      <c r="P172" s="0" t="str">
        <f aca="false">IF($G172=0,"",IF(资金日记账!$L165=0,"",资金日记账!$L165))</f>
        <v/>
      </c>
      <c r="T172" s="0" t="str">
        <f aca="false">IF(资金日记账!$G172="","",资金日记账!$G172)</f>
        <v/>
      </c>
      <c r="U172" s="0" t="n">
        <f aca="false">IF(T172="",0,IF(MATCH(T172,$T$4:$T$903,0)=ROW()-3,1,0))</f>
        <v>0</v>
      </c>
      <c r="V172" s="0" t="n">
        <f aca="false">N(V171)+U172</f>
        <v>30</v>
      </c>
      <c r="Z172" s="0" t="str">
        <f aca="false">IF(成本费用登记表!$C172="","",成本费用登记表!$C172)</f>
        <v/>
      </c>
      <c r="AA172" s="0" t="n">
        <f aca="false">IF(Z172="",0,IF(MATCH(Z172,$Z$4:$Z$303,0)=ROW()-3,1,0))</f>
        <v>0</v>
      </c>
      <c r="AB172" s="0" t="n">
        <f aca="false">N(AB171)+AA172</f>
        <v>0</v>
      </c>
      <c r="AF172" s="0" t="str">
        <f aca="false">IF(OR(资金日记账!$E172="",N(资金日记账!$H172)=0),"",资金日记账!$E172)</f>
        <v/>
      </c>
      <c r="AG172" s="0" t="n">
        <f aca="false">IF(AF172="",0,IF(MATCH(AF172,$AF$4:$AF$603,0)=ROW()-3,1,0))</f>
        <v>0</v>
      </c>
      <c r="AH172" s="0" t="n">
        <f aca="false">N(AH171)+AG172</f>
        <v>5</v>
      </c>
    </row>
    <row r="173" customFormat="false" ht="13.5" hidden="false" customHeight="false" outlineLevel="0" collapsed="false">
      <c r="A173" s="0" t="str">
        <f aca="false">IF(((进销存对接!$D173="客户应收")+(进销存对接!$D173="成品销售款")+(进销存对接!$D173="公司购买果品款")+(进销存对接!$D173="筐子销售款")+(进销存对接!$D173="物料销售款"))&gt;0,进销存对接!$C173,"")</f>
        <v/>
      </c>
      <c r="B173" s="0" t="n">
        <f aca="false">IF(A173="",0,IF(MATCH(A173,$A$4:$A$1925,0)=ROW()-3,1,0))</f>
        <v>0</v>
      </c>
      <c r="C173" s="0" t="n">
        <f aca="false">N(C172)+B173</f>
        <v>6</v>
      </c>
      <c r="E173" s="0" t="str">
        <f aca="false">IFERROR(INDEX($A$4:$A$1925,MATCH(ROW()-3,$C$4:$C$1925,0)),"")</f>
        <v/>
      </c>
      <c r="G173" s="0" t="n">
        <f aca="false">IF(OR($G$1="",资金日记账!$E166="",资金日记账!$E166&lt;&gt;$G$1),0,IF(NOT(OR(N(资金日记账!$H166)&lt;&gt;0,N(资金日记账!$I166)&lt;&gt;0)),0,IF(资金日记账!$B166="",1,IF(OR(N(资金日记账!$B166)&lt;$H$1,N(资金日记账!$B166)&gt;$I$1),0,1))))</f>
        <v>0</v>
      </c>
      <c r="H173" s="0" t="n">
        <f aca="false">N(H172)+$G173</f>
        <v>3</v>
      </c>
      <c r="I173" s="0" t="str">
        <f aca="false">IF($G173=0,"",IF(资金日记账!$B166=0,"",资金日记账!$B166))</f>
        <v/>
      </c>
      <c r="J173" s="0" t="str">
        <f aca="false">IF($G173=0,"",IF(资金日记账!$D166=0,"",资金日记账!$D166))</f>
        <v/>
      </c>
      <c r="K173" s="0" t="str">
        <f aca="false">IF($G173=0,"",IF(""=0,"",""))</f>
        <v/>
      </c>
      <c r="L173" s="0" t="str">
        <f aca="false">IF($G173=0,"",IF(""=0,"",""))</f>
        <v/>
      </c>
      <c r="M173" s="0" t="str">
        <f aca="false">IF($G173=0,"",IF(""=0,"",""))</f>
        <v/>
      </c>
      <c r="N173" s="0" t="str">
        <f aca="false">IF($G173=0,"",IF(IF(N(资金日记账!$I166)=0,"",-ROUND(N(资金日记账!$I166),2))=0,"",IF(N(资金日记账!$I166)=0,"",-ROUND(N(资金日记账!$I166),2))))</f>
        <v/>
      </c>
      <c r="O173" s="0" t="str">
        <f aca="false">IF($G173=0,"",IF(IF(N(资金日记账!$H166)=0,"",ROUND(N(资金日记账!$H166),2))=0,"",IF(N(资金日记账!$H166)=0,"",ROUND(N(资金日记账!$H166),2))))</f>
        <v/>
      </c>
      <c r="P173" s="0" t="str">
        <f aca="false">IF($G173=0,"",IF(资金日记账!$L166=0,"",资金日记账!$L166))</f>
        <v/>
      </c>
      <c r="T173" s="0" t="str">
        <f aca="false">IF(资金日记账!$G173="","",资金日记账!$G173)</f>
        <v/>
      </c>
      <c r="U173" s="0" t="n">
        <f aca="false">IF(T173="",0,IF(MATCH(T173,$T$4:$T$903,0)=ROW()-3,1,0))</f>
        <v>0</v>
      </c>
      <c r="V173" s="0" t="n">
        <f aca="false">N(V172)+U173</f>
        <v>30</v>
      </c>
      <c r="Z173" s="0" t="str">
        <f aca="false">IF(成本费用登记表!$C173="","",成本费用登记表!$C173)</f>
        <v/>
      </c>
      <c r="AA173" s="0" t="n">
        <f aca="false">IF(Z173="",0,IF(MATCH(Z173,$Z$4:$Z$303,0)=ROW()-3,1,0))</f>
        <v>0</v>
      </c>
      <c r="AB173" s="0" t="n">
        <f aca="false">N(AB172)+AA173</f>
        <v>0</v>
      </c>
      <c r="AF173" s="0" t="str">
        <f aca="false">IF(OR(资金日记账!$E173="",N(资金日记账!$H173)=0),"",资金日记账!$E173)</f>
        <v/>
      </c>
      <c r="AG173" s="0" t="n">
        <f aca="false">IF(AF173="",0,IF(MATCH(AF173,$AF$4:$AF$603,0)=ROW()-3,1,0))</f>
        <v>0</v>
      </c>
      <c r="AH173" s="0" t="n">
        <f aca="false">N(AH172)+AG173</f>
        <v>5</v>
      </c>
    </row>
    <row r="174" customFormat="false" ht="13.5" hidden="false" customHeight="false" outlineLevel="0" collapsed="false">
      <c r="A174" s="0" t="str">
        <f aca="false">IF(((进销存对接!$D174="客户应收")+(进销存对接!$D174="成品销售款")+(进销存对接!$D174="公司购买果品款")+(进销存对接!$D174="筐子销售款")+(进销存对接!$D174="物料销售款"))&gt;0,进销存对接!$C174,"")</f>
        <v/>
      </c>
      <c r="B174" s="0" t="n">
        <f aca="false">IF(A174="",0,IF(MATCH(A174,$A$4:$A$1925,0)=ROW()-3,1,0))</f>
        <v>0</v>
      </c>
      <c r="C174" s="0" t="n">
        <f aca="false">N(C173)+B174</f>
        <v>6</v>
      </c>
      <c r="E174" s="0" t="str">
        <f aca="false">IFERROR(INDEX($A$4:$A$1925,MATCH(ROW()-3,$C$4:$C$1925,0)),"")</f>
        <v/>
      </c>
      <c r="G174" s="0" t="n">
        <f aca="false">IF(OR($G$1="",资金日记账!$E167="",资金日记账!$E167&lt;&gt;$G$1),0,IF(NOT(OR(N(资金日记账!$H167)&lt;&gt;0,N(资金日记账!$I167)&lt;&gt;0)),0,IF(资金日记账!$B167="",1,IF(OR(N(资金日记账!$B167)&lt;$H$1,N(资金日记账!$B167)&gt;$I$1),0,1))))</f>
        <v>0</v>
      </c>
      <c r="H174" s="0" t="n">
        <f aca="false">N(H173)+$G174</f>
        <v>3</v>
      </c>
      <c r="I174" s="0" t="str">
        <f aca="false">IF($G174=0,"",IF(资金日记账!$B167=0,"",资金日记账!$B167))</f>
        <v/>
      </c>
      <c r="J174" s="0" t="str">
        <f aca="false">IF($G174=0,"",IF(资金日记账!$D167=0,"",资金日记账!$D167))</f>
        <v/>
      </c>
      <c r="K174" s="0" t="str">
        <f aca="false">IF($G174=0,"",IF(""=0,"",""))</f>
        <v/>
      </c>
      <c r="L174" s="0" t="str">
        <f aca="false">IF($G174=0,"",IF(""=0,"",""))</f>
        <v/>
      </c>
      <c r="M174" s="0" t="str">
        <f aca="false">IF($G174=0,"",IF(""=0,"",""))</f>
        <v/>
      </c>
      <c r="N174" s="0" t="str">
        <f aca="false">IF($G174=0,"",IF(IF(N(资金日记账!$I167)=0,"",-ROUND(N(资金日记账!$I167),2))=0,"",IF(N(资金日记账!$I167)=0,"",-ROUND(N(资金日记账!$I167),2))))</f>
        <v/>
      </c>
      <c r="O174" s="0" t="str">
        <f aca="false">IF($G174=0,"",IF(IF(N(资金日记账!$H167)=0,"",ROUND(N(资金日记账!$H167),2))=0,"",IF(N(资金日记账!$H167)=0,"",ROUND(N(资金日记账!$H167),2))))</f>
        <v/>
      </c>
      <c r="P174" s="0" t="str">
        <f aca="false">IF($G174=0,"",IF(资金日记账!$L167=0,"",资金日记账!$L167))</f>
        <v/>
      </c>
      <c r="T174" s="0" t="str">
        <f aca="false">IF(资金日记账!$G174="","",资金日记账!$G174)</f>
        <v/>
      </c>
      <c r="U174" s="0" t="n">
        <f aca="false">IF(T174="",0,IF(MATCH(T174,$T$4:$T$903,0)=ROW()-3,1,0))</f>
        <v>0</v>
      </c>
      <c r="V174" s="0" t="n">
        <f aca="false">N(V173)+U174</f>
        <v>30</v>
      </c>
      <c r="Z174" s="0" t="str">
        <f aca="false">IF(成本费用登记表!$C174="","",成本费用登记表!$C174)</f>
        <v/>
      </c>
      <c r="AA174" s="0" t="n">
        <f aca="false">IF(Z174="",0,IF(MATCH(Z174,$Z$4:$Z$303,0)=ROW()-3,1,0))</f>
        <v>0</v>
      </c>
      <c r="AB174" s="0" t="n">
        <f aca="false">N(AB173)+AA174</f>
        <v>0</v>
      </c>
      <c r="AF174" s="0" t="str">
        <f aca="false">IF(OR(资金日记账!$E174="",N(资金日记账!$H174)=0),"",资金日记账!$E174)</f>
        <v/>
      </c>
      <c r="AG174" s="0" t="n">
        <f aca="false">IF(AF174="",0,IF(MATCH(AF174,$AF$4:$AF$603,0)=ROW()-3,1,0))</f>
        <v>0</v>
      </c>
      <c r="AH174" s="0" t="n">
        <f aca="false">N(AH173)+AG174</f>
        <v>5</v>
      </c>
    </row>
    <row r="175" customFormat="false" ht="13.5" hidden="false" customHeight="false" outlineLevel="0" collapsed="false">
      <c r="A175" s="0" t="str">
        <f aca="false">IF(((进销存对接!$D175="客户应收")+(进销存对接!$D175="成品销售款")+(进销存对接!$D175="公司购买果品款")+(进销存对接!$D175="筐子销售款")+(进销存对接!$D175="物料销售款"))&gt;0,进销存对接!$C175,"")</f>
        <v/>
      </c>
      <c r="B175" s="0" t="n">
        <f aca="false">IF(A175="",0,IF(MATCH(A175,$A$4:$A$1925,0)=ROW()-3,1,0))</f>
        <v>0</v>
      </c>
      <c r="C175" s="0" t="n">
        <f aca="false">N(C174)+B175</f>
        <v>6</v>
      </c>
      <c r="E175" s="0" t="str">
        <f aca="false">IFERROR(INDEX($A$4:$A$1925,MATCH(ROW()-3,$C$4:$C$1925,0)),"")</f>
        <v/>
      </c>
      <c r="G175" s="0" t="n">
        <f aca="false">IF(OR($G$1="",资金日记账!$E168="",资金日记账!$E168&lt;&gt;$G$1),0,IF(NOT(OR(N(资金日记账!$H168)&lt;&gt;0,N(资金日记账!$I168)&lt;&gt;0)),0,IF(资金日记账!$B168="",1,IF(OR(N(资金日记账!$B168)&lt;$H$1,N(资金日记账!$B168)&gt;$I$1),0,1))))</f>
        <v>0</v>
      </c>
      <c r="H175" s="0" t="n">
        <f aca="false">N(H174)+$G175</f>
        <v>3</v>
      </c>
      <c r="I175" s="0" t="str">
        <f aca="false">IF($G175=0,"",IF(资金日记账!$B168=0,"",资金日记账!$B168))</f>
        <v/>
      </c>
      <c r="J175" s="0" t="str">
        <f aca="false">IF($G175=0,"",IF(资金日记账!$D168=0,"",资金日记账!$D168))</f>
        <v/>
      </c>
      <c r="K175" s="0" t="str">
        <f aca="false">IF($G175=0,"",IF(""=0,"",""))</f>
        <v/>
      </c>
      <c r="L175" s="0" t="str">
        <f aca="false">IF($G175=0,"",IF(""=0,"",""))</f>
        <v/>
      </c>
      <c r="M175" s="0" t="str">
        <f aca="false">IF($G175=0,"",IF(""=0,"",""))</f>
        <v/>
      </c>
      <c r="N175" s="0" t="str">
        <f aca="false">IF($G175=0,"",IF(IF(N(资金日记账!$I168)=0,"",-ROUND(N(资金日记账!$I168),2))=0,"",IF(N(资金日记账!$I168)=0,"",-ROUND(N(资金日记账!$I168),2))))</f>
        <v/>
      </c>
      <c r="O175" s="0" t="str">
        <f aca="false">IF($G175=0,"",IF(IF(N(资金日记账!$H168)=0,"",ROUND(N(资金日记账!$H168),2))=0,"",IF(N(资金日记账!$H168)=0,"",ROUND(N(资金日记账!$H168),2))))</f>
        <v/>
      </c>
      <c r="P175" s="0" t="str">
        <f aca="false">IF($G175=0,"",IF(资金日记账!$L168=0,"",资金日记账!$L168))</f>
        <v/>
      </c>
      <c r="T175" s="0" t="str">
        <f aca="false">IF(资金日记账!$G175="","",资金日记账!$G175)</f>
        <v/>
      </c>
      <c r="U175" s="0" t="n">
        <f aca="false">IF(T175="",0,IF(MATCH(T175,$T$4:$T$903,0)=ROW()-3,1,0))</f>
        <v>0</v>
      </c>
      <c r="V175" s="0" t="n">
        <f aca="false">N(V174)+U175</f>
        <v>30</v>
      </c>
      <c r="Z175" s="0" t="str">
        <f aca="false">IF(成本费用登记表!$C175="","",成本费用登记表!$C175)</f>
        <v/>
      </c>
      <c r="AA175" s="0" t="n">
        <f aca="false">IF(Z175="",0,IF(MATCH(Z175,$Z$4:$Z$303,0)=ROW()-3,1,0))</f>
        <v>0</v>
      </c>
      <c r="AB175" s="0" t="n">
        <f aca="false">N(AB174)+AA175</f>
        <v>0</v>
      </c>
      <c r="AF175" s="0" t="str">
        <f aca="false">IF(OR(资金日记账!$E175="",N(资金日记账!$H175)=0),"",资金日记账!$E175)</f>
        <v/>
      </c>
      <c r="AG175" s="0" t="n">
        <f aca="false">IF(AF175="",0,IF(MATCH(AF175,$AF$4:$AF$603,0)=ROW()-3,1,0))</f>
        <v>0</v>
      </c>
      <c r="AH175" s="0" t="n">
        <f aca="false">N(AH174)+AG175</f>
        <v>5</v>
      </c>
    </row>
    <row r="176" customFormat="false" ht="13.5" hidden="false" customHeight="false" outlineLevel="0" collapsed="false">
      <c r="A176" s="0" t="str">
        <f aca="false">IF(((进销存对接!$D176="客户应收")+(进销存对接!$D176="成品销售款")+(进销存对接!$D176="公司购买果品款")+(进销存对接!$D176="筐子销售款")+(进销存对接!$D176="物料销售款"))&gt;0,进销存对接!$C176,"")</f>
        <v/>
      </c>
      <c r="B176" s="0" t="n">
        <f aca="false">IF(A176="",0,IF(MATCH(A176,$A$4:$A$1925,0)=ROW()-3,1,0))</f>
        <v>0</v>
      </c>
      <c r="C176" s="0" t="n">
        <f aca="false">N(C175)+B176</f>
        <v>6</v>
      </c>
      <c r="E176" s="0" t="str">
        <f aca="false">IFERROR(INDEX($A$4:$A$1925,MATCH(ROW()-3,$C$4:$C$1925,0)),"")</f>
        <v/>
      </c>
      <c r="G176" s="0" t="n">
        <f aca="false">IF(OR($G$1="",资金日记账!$E169="",资金日记账!$E169&lt;&gt;$G$1),0,IF(NOT(OR(N(资金日记账!$H169)&lt;&gt;0,N(资金日记账!$I169)&lt;&gt;0)),0,IF(资金日记账!$B169="",1,IF(OR(N(资金日记账!$B169)&lt;$H$1,N(资金日记账!$B169)&gt;$I$1),0,1))))</f>
        <v>0</v>
      </c>
      <c r="H176" s="0" t="n">
        <f aca="false">N(H175)+$G176</f>
        <v>3</v>
      </c>
      <c r="I176" s="0" t="str">
        <f aca="false">IF($G176=0,"",IF(资金日记账!$B169=0,"",资金日记账!$B169))</f>
        <v/>
      </c>
      <c r="J176" s="0" t="str">
        <f aca="false">IF($G176=0,"",IF(资金日记账!$D169=0,"",资金日记账!$D169))</f>
        <v/>
      </c>
      <c r="K176" s="0" t="str">
        <f aca="false">IF($G176=0,"",IF(""=0,"",""))</f>
        <v/>
      </c>
      <c r="L176" s="0" t="str">
        <f aca="false">IF($G176=0,"",IF(""=0,"",""))</f>
        <v/>
      </c>
      <c r="M176" s="0" t="str">
        <f aca="false">IF($G176=0,"",IF(""=0,"",""))</f>
        <v/>
      </c>
      <c r="N176" s="0" t="str">
        <f aca="false">IF($G176=0,"",IF(IF(N(资金日记账!$I169)=0,"",-ROUND(N(资金日记账!$I169),2))=0,"",IF(N(资金日记账!$I169)=0,"",-ROUND(N(资金日记账!$I169),2))))</f>
        <v/>
      </c>
      <c r="O176" s="0" t="str">
        <f aca="false">IF($G176=0,"",IF(IF(N(资金日记账!$H169)=0,"",ROUND(N(资金日记账!$H169),2))=0,"",IF(N(资金日记账!$H169)=0,"",ROUND(N(资金日记账!$H169),2))))</f>
        <v/>
      </c>
      <c r="P176" s="0" t="str">
        <f aca="false">IF($G176=0,"",IF(资金日记账!$L169=0,"",资金日记账!$L169))</f>
        <v/>
      </c>
      <c r="T176" s="0" t="str">
        <f aca="false">IF(资金日记账!$G176="","",资金日记账!$G176)</f>
        <v/>
      </c>
      <c r="U176" s="0" t="n">
        <f aca="false">IF(T176="",0,IF(MATCH(T176,$T$4:$T$903,0)=ROW()-3,1,0))</f>
        <v>0</v>
      </c>
      <c r="V176" s="0" t="n">
        <f aca="false">N(V175)+U176</f>
        <v>30</v>
      </c>
      <c r="Z176" s="0" t="str">
        <f aca="false">IF(成本费用登记表!$C176="","",成本费用登记表!$C176)</f>
        <v/>
      </c>
      <c r="AA176" s="0" t="n">
        <f aca="false">IF(Z176="",0,IF(MATCH(Z176,$Z$4:$Z$303,0)=ROW()-3,1,0))</f>
        <v>0</v>
      </c>
      <c r="AB176" s="0" t="n">
        <f aca="false">N(AB175)+AA176</f>
        <v>0</v>
      </c>
      <c r="AF176" s="0" t="str">
        <f aca="false">IF(OR(资金日记账!$E176="",N(资金日记账!$H176)=0),"",资金日记账!$E176)</f>
        <v/>
      </c>
      <c r="AG176" s="0" t="n">
        <f aca="false">IF(AF176="",0,IF(MATCH(AF176,$AF$4:$AF$603,0)=ROW()-3,1,0))</f>
        <v>0</v>
      </c>
      <c r="AH176" s="0" t="n">
        <f aca="false">N(AH175)+AG176</f>
        <v>5</v>
      </c>
    </row>
    <row r="177" customFormat="false" ht="13.5" hidden="false" customHeight="false" outlineLevel="0" collapsed="false">
      <c r="A177" s="0" t="str">
        <f aca="false">IF(((进销存对接!$D177="客户应收")+(进销存对接!$D177="成品销售款")+(进销存对接!$D177="公司购买果品款")+(进销存对接!$D177="筐子销售款")+(进销存对接!$D177="物料销售款"))&gt;0,进销存对接!$C177,"")</f>
        <v/>
      </c>
      <c r="B177" s="0" t="n">
        <f aca="false">IF(A177="",0,IF(MATCH(A177,$A$4:$A$1925,0)=ROW()-3,1,0))</f>
        <v>0</v>
      </c>
      <c r="C177" s="0" t="n">
        <f aca="false">N(C176)+B177</f>
        <v>6</v>
      </c>
      <c r="E177" s="0" t="str">
        <f aca="false">IFERROR(INDEX($A$4:$A$1925,MATCH(ROW()-3,$C$4:$C$1925,0)),"")</f>
        <v/>
      </c>
      <c r="G177" s="0" t="n">
        <f aca="false">IF(OR($G$1="",资金日记账!$E170="",资金日记账!$E170&lt;&gt;$G$1),0,IF(NOT(OR(N(资金日记账!$H170)&lt;&gt;0,N(资金日记账!$I170)&lt;&gt;0)),0,IF(资金日记账!$B170="",1,IF(OR(N(资金日记账!$B170)&lt;$H$1,N(资金日记账!$B170)&gt;$I$1),0,1))))</f>
        <v>0</v>
      </c>
      <c r="H177" s="0" t="n">
        <f aca="false">N(H176)+$G177</f>
        <v>3</v>
      </c>
      <c r="I177" s="0" t="str">
        <f aca="false">IF($G177=0,"",IF(资金日记账!$B170=0,"",资金日记账!$B170))</f>
        <v/>
      </c>
      <c r="J177" s="0" t="str">
        <f aca="false">IF($G177=0,"",IF(资金日记账!$D170=0,"",资金日记账!$D170))</f>
        <v/>
      </c>
      <c r="K177" s="0" t="str">
        <f aca="false">IF($G177=0,"",IF(""=0,"",""))</f>
        <v/>
      </c>
      <c r="L177" s="0" t="str">
        <f aca="false">IF($G177=0,"",IF(""=0,"",""))</f>
        <v/>
      </c>
      <c r="M177" s="0" t="str">
        <f aca="false">IF($G177=0,"",IF(""=0,"",""))</f>
        <v/>
      </c>
      <c r="N177" s="0" t="str">
        <f aca="false">IF($G177=0,"",IF(IF(N(资金日记账!$I170)=0,"",-ROUND(N(资金日记账!$I170),2))=0,"",IF(N(资金日记账!$I170)=0,"",-ROUND(N(资金日记账!$I170),2))))</f>
        <v/>
      </c>
      <c r="O177" s="0" t="str">
        <f aca="false">IF($G177=0,"",IF(IF(N(资金日记账!$H170)=0,"",ROUND(N(资金日记账!$H170),2))=0,"",IF(N(资金日记账!$H170)=0,"",ROUND(N(资金日记账!$H170),2))))</f>
        <v/>
      </c>
      <c r="P177" s="0" t="str">
        <f aca="false">IF($G177=0,"",IF(资金日记账!$L170=0,"",资金日记账!$L170))</f>
        <v/>
      </c>
      <c r="T177" s="0" t="str">
        <f aca="false">IF(资金日记账!$G177="","",资金日记账!$G177)</f>
        <v/>
      </c>
      <c r="U177" s="0" t="n">
        <f aca="false">IF(T177="",0,IF(MATCH(T177,$T$4:$T$903,0)=ROW()-3,1,0))</f>
        <v>0</v>
      </c>
      <c r="V177" s="0" t="n">
        <f aca="false">N(V176)+U177</f>
        <v>30</v>
      </c>
      <c r="Z177" s="0" t="str">
        <f aca="false">IF(成本费用登记表!$C177="","",成本费用登记表!$C177)</f>
        <v/>
      </c>
      <c r="AA177" s="0" t="n">
        <f aca="false">IF(Z177="",0,IF(MATCH(Z177,$Z$4:$Z$303,0)=ROW()-3,1,0))</f>
        <v>0</v>
      </c>
      <c r="AB177" s="0" t="n">
        <f aca="false">N(AB176)+AA177</f>
        <v>0</v>
      </c>
      <c r="AF177" s="0" t="str">
        <f aca="false">IF(OR(资金日记账!$E177="",N(资金日记账!$H177)=0),"",资金日记账!$E177)</f>
        <v/>
      </c>
      <c r="AG177" s="0" t="n">
        <f aca="false">IF(AF177="",0,IF(MATCH(AF177,$AF$4:$AF$603,0)=ROW()-3,1,0))</f>
        <v>0</v>
      </c>
      <c r="AH177" s="0" t="n">
        <f aca="false">N(AH176)+AG177</f>
        <v>5</v>
      </c>
    </row>
    <row r="178" customFormat="false" ht="13.5" hidden="false" customHeight="false" outlineLevel="0" collapsed="false">
      <c r="A178" s="0" t="str">
        <f aca="false">IF(((进销存对接!$D178="客户应收")+(进销存对接!$D178="成品销售款")+(进销存对接!$D178="公司购买果品款")+(进销存对接!$D178="筐子销售款")+(进销存对接!$D178="物料销售款"))&gt;0,进销存对接!$C178,"")</f>
        <v/>
      </c>
      <c r="B178" s="0" t="n">
        <f aca="false">IF(A178="",0,IF(MATCH(A178,$A$4:$A$1925,0)=ROW()-3,1,0))</f>
        <v>0</v>
      </c>
      <c r="C178" s="0" t="n">
        <f aca="false">N(C177)+B178</f>
        <v>6</v>
      </c>
      <c r="E178" s="0" t="str">
        <f aca="false">IFERROR(INDEX($A$4:$A$1925,MATCH(ROW()-3,$C$4:$C$1925,0)),"")</f>
        <v/>
      </c>
      <c r="G178" s="0" t="n">
        <f aca="false">IF(OR($G$1="",资金日记账!$E171="",资金日记账!$E171&lt;&gt;$G$1),0,IF(NOT(OR(N(资金日记账!$H171)&lt;&gt;0,N(资金日记账!$I171)&lt;&gt;0)),0,IF(资金日记账!$B171="",1,IF(OR(N(资金日记账!$B171)&lt;$H$1,N(资金日记账!$B171)&gt;$I$1),0,1))))</f>
        <v>0</v>
      </c>
      <c r="H178" s="0" t="n">
        <f aca="false">N(H177)+$G178</f>
        <v>3</v>
      </c>
      <c r="I178" s="0" t="str">
        <f aca="false">IF($G178=0,"",IF(资金日记账!$B171=0,"",资金日记账!$B171))</f>
        <v/>
      </c>
      <c r="J178" s="0" t="str">
        <f aca="false">IF($G178=0,"",IF(资金日记账!$D171=0,"",资金日记账!$D171))</f>
        <v/>
      </c>
      <c r="K178" s="0" t="str">
        <f aca="false">IF($G178=0,"",IF(""=0,"",""))</f>
        <v/>
      </c>
      <c r="L178" s="0" t="str">
        <f aca="false">IF($G178=0,"",IF(""=0,"",""))</f>
        <v/>
      </c>
      <c r="M178" s="0" t="str">
        <f aca="false">IF($G178=0,"",IF(""=0,"",""))</f>
        <v/>
      </c>
      <c r="N178" s="0" t="str">
        <f aca="false">IF($G178=0,"",IF(IF(N(资金日记账!$I171)=0,"",-ROUND(N(资金日记账!$I171),2))=0,"",IF(N(资金日记账!$I171)=0,"",-ROUND(N(资金日记账!$I171),2))))</f>
        <v/>
      </c>
      <c r="O178" s="0" t="str">
        <f aca="false">IF($G178=0,"",IF(IF(N(资金日记账!$H171)=0,"",ROUND(N(资金日记账!$H171),2))=0,"",IF(N(资金日记账!$H171)=0,"",ROUND(N(资金日记账!$H171),2))))</f>
        <v/>
      </c>
      <c r="P178" s="0" t="str">
        <f aca="false">IF($G178=0,"",IF(资金日记账!$L171=0,"",资金日记账!$L171))</f>
        <v/>
      </c>
      <c r="T178" s="0" t="str">
        <f aca="false">IF(资金日记账!$G178="","",资金日记账!$G178)</f>
        <v/>
      </c>
      <c r="U178" s="0" t="n">
        <f aca="false">IF(T178="",0,IF(MATCH(T178,$T$4:$T$903,0)=ROW()-3,1,0))</f>
        <v>0</v>
      </c>
      <c r="V178" s="0" t="n">
        <f aca="false">N(V177)+U178</f>
        <v>30</v>
      </c>
      <c r="Z178" s="0" t="str">
        <f aca="false">IF(成本费用登记表!$C178="","",成本费用登记表!$C178)</f>
        <v/>
      </c>
      <c r="AA178" s="0" t="n">
        <f aca="false">IF(Z178="",0,IF(MATCH(Z178,$Z$4:$Z$303,0)=ROW()-3,1,0))</f>
        <v>0</v>
      </c>
      <c r="AB178" s="0" t="n">
        <f aca="false">N(AB177)+AA178</f>
        <v>0</v>
      </c>
      <c r="AF178" s="0" t="str">
        <f aca="false">IF(OR(资金日记账!$E178="",N(资金日记账!$H178)=0),"",资金日记账!$E178)</f>
        <v/>
      </c>
      <c r="AG178" s="0" t="n">
        <f aca="false">IF(AF178="",0,IF(MATCH(AF178,$AF$4:$AF$603,0)=ROW()-3,1,0))</f>
        <v>0</v>
      </c>
      <c r="AH178" s="0" t="n">
        <f aca="false">N(AH177)+AG178</f>
        <v>5</v>
      </c>
    </row>
    <row r="179" customFormat="false" ht="13.5" hidden="false" customHeight="false" outlineLevel="0" collapsed="false">
      <c r="A179" s="0" t="str">
        <f aca="false">IF(((进销存对接!$D179="客户应收")+(进销存对接!$D179="成品销售款")+(进销存对接!$D179="公司购买果品款")+(进销存对接!$D179="筐子销售款")+(进销存对接!$D179="物料销售款"))&gt;0,进销存对接!$C179,"")</f>
        <v/>
      </c>
      <c r="B179" s="0" t="n">
        <f aca="false">IF(A179="",0,IF(MATCH(A179,$A$4:$A$1925,0)=ROW()-3,1,0))</f>
        <v>0</v>
      </c>
      <c r="C179" s="0" t="n">
        <f aca="false">N(C178)+B179</f>
        <v>6</v>
      </c>
      <c r="E179" s="0" t="str">
        <f aca="false">IFERROR(INDEX($A$4:$A$1925,MATCH(ROW()-3,$C$4:$C$1925,0)),"")</f>
        <v/>
      </c>
      <c r="G179" s="0" t="n">
        <f aca="false">IF(OR($G$1="",资金日记账!$E172="",资金日记账!$E172&lt;&gt;$G$1),0,IF(NOT(OR(N(资金日记账!$H172)&lt;&gt;0,N(资金日记账!$I172)&lt;&gt;0)),0,IF(资金日记账!$B172="",1,IF(OR(N(资金日记账!$B172)&lt;$H$1,N(资金日记账!$B172)&gt;$I$1),0,1))))</f>
        <v>0</v>
      </c>
      <c r="H179" s="0" t="n">
        <f aca="false">N(H178)+$G179</f>
        <v>3</v>
      </c>
      <c r="I179" s="0" t="str">
        <f aca="false">IF($G179=0,"",IF(资金日记账!$B172=0,"",资金日记账!$B172))</f>
        <v/>
      </c>
      <c r="J179" s="0" t="str">
        <f aca="false">IF($G179=0,"",IF(资金日记账!$D172=0,"",资金日记账!$D172))</f>
        <v/>
      </c>
      <c r="K179" s="0" t="str">
        <f aca="false">IF($G179=0,"",IF(""=0,"",""))</f>
        <v/>
      </c>
      <c r="L179" s="0" t="str">
        <f aca="false">IF($G179=0,"",IF(""=0,"",""))</f>
        <v/>
      </c>
      <c r="M179" s="0" t="str">
        <f aca="false">IF($G179=0,"",IF(""=0,"",""))</f>
        <v/>
      </c>
      <c r="N179" s="0" t="str">
        <f aca="false">IF($G179=0,"",IF(IF(N(资金日记账!$I172)=0,"",-ROUND(N(资金日记账!$I172),2))=0,"",IF(N(资金日记账!$I172)=0,"",-ROUND(N(资金日记账!$I172),2))))</f>
        <v/>
      </c>
      <c r="O179" s="0" t="str">
        <f aca="false">IF($G179=0,"",IF(IF(N(资金日记账!$H172)=0,"",ROUND(N(资金日记账!$H172),2))=0,"",IF(N(资金日记账!$H172)=0,"",ROUND(N(资金日记账!$H172),2))))</f>
        <v/>
      </c>
      <c r="P179" s="0" t="str">
        <f aca="false">IF($G179=0,"",IF(资金日记账!$L172=0,"",资金日记账!$L172))</f>
        <v/>
      </c>
      <c r="T179" s="0" t="str">
        <f aca="false">IF(资金日记账!$G179="","",资金日记账!$G179)</f>
        <v/>
      </c>
      <c r="U179" s="0" t="n">
        <f aca="false">IF(T179="",0,IF(MATCH(T179,$T$4:$T$903,0)=ROW()-3,1,0))</f>
        <v>0</v>
      </c>
      <c r="V179" s="0" t="n">
        <f aca="false">N(V178)+U179</f>
        <v>30</v>
      </c>
      <c r="Z179" s="0" t="str">
        <f aca="false">IF(成本费用登记表!$C179="","",成本费用登记表!$C179)</f>
        <v/>
      </c>
      <c r="AA179" s="0" t="n">
        <f aca="false">IF(Z179="",0,IF(MATCH(Z179,$Z$4:$Z$303,0)=ROW()-3,1,0))</f>
        <v>0</v>
      </c>
      <c r="AB179" s="0" t="n">
        <f aca="false">N(AB178)+AA179</f>
        <v>0</v>
      </c>
      <c r="AF179" s="0" t="str">
        <f aca="false">IF(OR(资金日记账!$E179="",N(资金日记账!$H179)=0),"",资金日记账!$E179)</f>
        <v/>
      </c>
      <c r="AG179" s="0" t="n">
        <f aca="false">IF(AF179="",0,IF(MATCH(AF179,$AF$4:$AF$603,0)=ROW()-3,1,0))</f>
        <v>0</v>
      </c>
      <c r="AH179" s="0" t="n">
        <f aca="false">N(AH178)+AG179</f>
        <v>5</v>
      </c>
    </row>
    <row r="180" customFormat="false" ht="13.5" hidden="false" customHeight="false" outlineLevel="0" collapsed="false">
      <c r="A180" s="0" t="str">
        <f aca="false">IF(((进销存对接!$D180="客户应收")+(进销存对接!$D180="成品销售款")+(进销存对接!$D180="公司购买果品款")+(进销存对接!$D180="筐子销售款")+(进销存对接!$D180="物料销售款"))&gt;0,进销存对接!$C180,"")</f>
        <v/>
      </c>
      <c r="B180" s="0" t="n">
        <f aca="false">IF(A180="",0,IF(MATCH(A180,$A$4:$A$1925,0)=ROW()-3,1,0))</f>
        <v>0</v>
      </c>
      <c r="C180" s="0" t="n">
        <f aca="false">N(C179)+B180</f>
        <v>6</v>
      </c>
      <c r="E180" s="0" t="str">
        <f aca="false">IFERROR(INDEX($A$4:$A$1925,MATCH(ROW()-3,$C$4:$C$1925,0)),"")</f>
        <v/>
      </c>
      <c r="G180" s="0" t="n">
        <f aca="false">IF(OR($G$1="",资金日记账!$E173="",资金日记账!$E173&lt;&gt;$G$1),0,IF(NOT(OR(N(资金日记账!$H173)&lt;&gt;0,N(资金日记账!$I173)&lt;&gt;0)),0,IF(资金日记账!$B173="",1,IF(OR(N(资金日记账!$B173)&lt;$H$1,N(资金日记账!$B173)&gt;$I$1),0,1))))</f>
        <v>0</v>
      </c>
      <c r="H180" s="0" t="n">
        <f aca="false">N(H179)+$G180</f>
        <v>3</v>
      </c>
      <c r="I180" s="0" t="str">
        <f aca="false">IF($G180=0,"",IF(资金日记账!$B173=0,"",资金日记账!$B173))</f>
        <v/>
      </c>
      <c r="J180" s="0" t="str">
        <f aca="false">IF($G180=0,"",IF(资金日记账!$D173=0,"",资金日记账!$D173))</f>
        <v/>
      </c>
      <c r="K180" s="0" t="str">
        <f aca="false">IF($G180=0,"",IF(""=0,"",""))</f>
        <v/>
      </c>
      <c r="L180" s="0" t="str">
        <f aca="false">IF($G180=0,"",IF(""=0,"",""))</f>
        <v/>
      </c>
      <c r="M180" s="0" t="str">
        <f aca="false">IF($G180=0,"",IF(""=0,"",""))</f>
        <v/>
      </c>
      <c r="N180" s="0" t="str">
        <f aca="false">IF($G180=0,"",IF(IF(N(资金日记账!$I173)=0,"",-ROUND(N(资金日记账!$I173),2))=0,"",IF(N(资金日记账!$I173)=0,"",-ROUND(N(资金日记账!$I173),2))))</f>
        <v/>
      </c>
      <c r="O180" s="0" t="str">
        <f aca="false">IF($G180=0,"",IF(IF(N(资金日记账!$H173)=0,"",ROUND(N(资金日记账!$H173),2))=0,"",IF(N(资金日记账!$H173)=0,"",ROUND(N(资金日记账!$H173),2))))</f>
        <v/>
      </c>
      <c r="P180" s="0" t="str">
        <f aca="false">IF($G180=0,"",IF(资金日记账!$L173=0,"",资金日记账!$L173))</f>
        <v/>
      </c>
      <c r="T180" s="0" t="str">
        <f aca="false">IF(资金日记账!$G180="","",资金日记账!$G180)</f>
        <v/>
      </c>
      <c r="U180" s="0" t="n">
        <f aca="false">IF(T180="",0,IF(MATCH(T180,$T$4:$T$903,0)=ROW()-3,1,0))</f>
        <v>0</v>
      </c>
      <c r="V180" s="0" t="n">
        <f aca="false">N(V179)+U180</f>
        <v>30</v>
      </c>
      <c r="Z180" s="0" t="str">
        <f aca="false">IF(成本费用登记表!$C180="","",成本费用登记表!$C180)</f>
        <v/>
      </c>
      <c r="AA180" s="0" t="n">
        <f aca="false">IF(Z180="",0,IF(MATCH(Z180,$Z$4:$Z$303,0)=ROW()-3,1,0))</f>
        <v>0</v>
      </c>
      <c r="AB180" s="0" t="n">
        <f aca="false">N(AB179)+AA180</f>
        <v>0</v>
      </c>
      <c r="AF180" s="0" t="str">
        <f aca="false">IF(OR(资金日记账!$E180="",N(资金日记账!$H180)=0),"",资金日记账!$E180)</f>
        <v/>
      </c>
      <c r="AG180" s="0" t="n">
        <f aca="false">IF(AF180="",0,IF(MATCH(AF180,$AF$4:$AF$603,0)=ROW()-3,1,0))</f>
        <v>0</v>
      </c>
      <c r="AH180" s="0" t="n">
        <f aca="false">N(AH179)+AG180</f>
        <v>5</v>
      </c>
    </row>
    <row r="181" customFormat="false" ht="13.5" hidden="false" customHeight="false" outlineLevel="0" collapsed="false">
      <c r="A181" s="0" t="str">
        <f aca="false">IF(((进销存对接!$D181="客户应收")+(进销存对接!$D181="成品销售款")+(进销存对接!$D181="公司购买果品款")+(进销存对接!$D181="筐子销售款")+(进销存对接!$D181="物料销售款"))&gt;0,进销存对接!$C181,"")</f>
        <v/>
      </c>
      <c r="B181" s="0" t="n">
        <f aca="false">IF(A181="",0,IF(MATCH(A181,$A$4:$A$1925,0)=ROW()-3,1,0))</f>
        <v>0</v>
      </c>
      <c r="C181" s="0" t="n">
        <f aca="false">N(C180)+B181</f>
        <v>6</v>
      </c>
      <c r="E181" s="0" t="str">
        <f aca="false">IFERROR(INDEX($A$4:$A$1925,MATCH(ROW()-3,$C$4:$C$1925,0)),"")</f>
        <v/>
      </c>
      <c r="G181" s="0" t="n">
        <f aca="false">IF(OR($G$1="",资金日记账!$E174="",资金日记账!$E174&lt;&gt;$G$1),0,IF(NOT(OR(N(资金日记账!$H174)&lt;&gt;0,N(资金日记账!$I174)&lt;&gt;0)),0,IF(资金日记账!$B174="",1,IF(OR(N(资金日记账!$B174)&lt;$H$1,N(资金日记账!$B174)&gt;$I$1),0,1))))</f>
        <v>0</v>
      </c>
      <c r="H181" s="0" t="n">
        <f aca="false">N(H180)+$G181</f>
        <v>3</v>
      </c>
      <c r="I181" s="0" t="str">
        <f aca="false">IF($G181=0,"",IF(资金日记账!$B174=0,"",资金日记账!$B174))</f>
        <v/>
      </c>
      <c r="J181" s="0" t="str">
        <f aca="false">IF($G181=0,"",IF(资金日记账!$D174=0,"",资金日记账!$D174))</f>
        <v/>
      </c>
      <c r="K181" s="0" t="str">
        <f aca="false">IF($G181=0,"",IF(""=0,"",""))</f>
        <v/>
      </c>
      <c r="L181" s="0" t="str">
        <f aca="false">IF($G181=0,"",IF(""=0,"",""))</f>
        <v/>
      </c>
      <c r="M181" s="0" t="str">
        <f aca="false">IF($G181=0,"",IF(""=0,"",""))</f>
        <v/>
      </c>
      <c r="N181" s="0" t="str">
        <f aca="false">IF($G181=0,"",IF(IF(N(资金日记账!$I174)=0,"",-ROUND(N(资金日记账!$I174),2))=0,"",IF(N(资金日记账!$I174)=0,"",-ROUND(N(资金日记账!$I174),2))))</f>
        <v/>
      </c>
      <c r="O181" s="0" t="str">
        <f aca="false">IF($G181=0,"",IF(IF(N(资金日记账!$H174)=0,"",ROUND(N(资金日记账!$H174),2))=0,"",IF(N(资金日记账!$H174)=0,"",ROUND(N(资金日记账!$H174),2))))</f>
        <v/>
      </c>
      <c r="P181" s="0" t="str">
        <f aca="false">IF($G181=0,"",IF(资金日记账!$L174=0,"",资金日记账!$L174))</f>
        <v/>
      </c>
      <c r="T181" s="0" t="str">
        <f aca="false">IF(资金日记账!$G181="","",资金日记账!$G181)</f>
        <v/>
      </c>
      <c r="U181" s="0" t="n">
        <f aca="false">IF(T181="",0,IF(MATCH(T181,$T$4:$T$903,0)=ROW()-3,1,0))</f>
        <v>0</v>
      </c>
      <c r="V181" s="0" t="n">
        <f aca="false">N(V180)+U181</f>
        <v>30</v>
      </c>
      <c r="Z181" s="0" t="str">
        <f aca="false">IF(成本费用登记表!$C181="","",成本费用登记表!$C181)</f>
        <v/>
      </c>
      <c r="AA181" s="0" t="n">
        <f aca="false">IF(Z181="",0,IF(MATCH(Z181,$Z$4:$Z$303,0)=ROW()-3,1,0))</f>
        <v>0</v>
      </c>
      <c r="AB181" s="0" t="n">
        <f aca="false">N(AB180)+AA181</f>
        <v>0</v>
      </c>
      <c r="AF181" s="0" t="str">
        <f aca="false">IF(OR(资金日记账!$E181="",N(资金日记账!$H181)=0),"",资金日记账!$E181)</f>
        <v/>
      </c>
      <c r="AG181" s="0" t="n">
        <f aca="false">IF(AF181="",0,IF(MATCH(AF181,$AF$4:$AF$603,0)=ROW()-3,1,0))</f>
        <v>0</v>
      </c>
      <c r="AH181" s="0" t="n">
        <f aca="false">N(AH180)+AG181</f>
        <v>5</v>
      </c>
    </row>
    <row r="182" customFormat="false" ht="13.5" hidden="false" customHeight="false" outlineLevel="0" collapsed="false">
      <c r="A182" s="0" t="str">
        <f aca="false">IF(((进销存对接!$D182="客户应收")+(进销存对接!$D182="成品销售款")+(进销存对接!$D182="公司购买果品款")+(进销存对接!$D182="筐子销售款")+(进销存对接!$D182="物料销售款"))&gt;0,进销存对接!$C182,"")</f>
        <v/>
      </c>
      <c r="B182" s="0" t="n">
        <f aca="false">IF(A182="",0,IF(MATCH(A182,$A$4:$A$1925,0)=ROW()-3,1,0))</f>
        <v>0</v>
      </c>
      <c r="C182" s="0" t="n">
        <f aca="false">N(C181)+B182</f>
        <v>6</v>
      </c>
      <c r="E182" s="0" t="str">
        <f aca="false">IFERROR(INDEX($A$4:$A$1925,MATCH(ROW()-3,$C$4:$C$1925,0)),"")</f>
        <v/>
      </c>
      <c r="G182" s="0" t="n">
        <f aca="false">IF(OR($G$1="",资金日记账!$E175="",资金日记账!$E175&lt;&gt;$G$1),0,IF(NOT(OR(N(资金日记账!$H175)&lt;&gt;0,N(资金日记账!$I175)&lt;&gt;0)),0,IF(资金日记账!$B175="",1,IF(OR(N(资金日记账!$B175)&lt;$H$1,N(资金日记账!$B175)&gt;$I$1),0,1))))</f>
        <v>0</v>
      </c>
      <c r="H182" s="0" t="n">
        <f aca="false">N(H181)+$G182</f>
        <v>3</v>
      </c>
      <c r="I182" s="0" t="str">
        <f aca="false">IF($G182=0,"",IF(资金日记账!$B175=0,"",资金日记账!$B175))</f>
        <v/>
      </c>
      <c r="J182" s="0" t="str">
        <f aca="false">IF($G182=0,"",IF(资金日记账!$D175=0,"",资金日记账!$D175))</f>
        <v/>
      </c>
      <c r="K182" s="0" t="str">
        <f aca="false">IF($G182=0,"",IF(""=0,"",""))</f>
        <v/>
      </c>
      <c r="L182" s="0" t="str">
        <f aca="false">IF($G182=0,"",IF(""=0,"",""))</f>
        <v/>
      </c>
      <c r="M182" s="0" t="str">
        <f aca="false">IF($G182=0,"",IF(""=0,"",""))</f>
        <v/>
      </c>
      <c r="N182" s="0" t="str">
        <f aca="false">IF($G182=0,"",IF(IF(N(资金日记账!$I175)=0,"",-ROUND(N(资金日记账!$I175),2))=0,"",IF(N(资金日记账!$I175)=0,"",-ROUND(N(资金日记账!$I175),2))))</f>
        <v/>
      </c>
      <c r="O182" s="0" t="str">
        <f aca="false">IF($G182=0,"",IF(IF(N(资金日记账!$H175)=0,"",ROUND(N(资金日记账!$H175),2))=0,"",IF(N(资金日记账!$H175)=0,"",ROUND(N(资金日记账!$H175),2))))</f>
        <v/>
      </c>
      <c r="P182" s="0" t="str">
        <f aca="false">IF($G182=0,"",IF(资金日记账!$L175=0,"",资金日记账!$L175))</f>
        <v/>
      </c>
      <c r="T182" s="0" t="str">
        <f aca="false">IF(资金日记账!$G182="","",资金日记账!$G182)</f>
        <v/>
      </c>
      <c r="U182" s="0" t="n">
        <f aca="false">IF(T182="",0,IF(MATCH(T182,$T$4:$T$903,0)=ROW()-3,1,0))</f>
        <v>0</v>
      </c>
      <c r="V182" s="0" t="n">
        <f aca="false">N(V181)+U182</f>
        <v>30</v>
      </c>
      <c r="Z182" s="0" t="str">
        <f aca="false">IF(成本费用登记表!$C182="","",成本费用登记表!$C182)</f>
        <v/>
      </c>
      <c r="AA182" s="0" t="n">
        <f aca="false">IF(Z182="",0,IF(MATCH(Z182,$Z$4:$Z$303,0)=ROW()-3,1,0))</f>
        <v>0</v>
      </c>
      <c r="AB182" s="0" t="n">
        <f aca="false">N(AB181)+AA182</f>
        <v>0</v>
      </c>
      <c r="AF182" s="0" t="str">
        <f aca="false">IF(OR(资金日记账!$E182="",N(资金日记账!$H182)=0),"",资金日记账!$E182)</f>
        <v/>
      </c>
      <c r="AG182" s="0" t="n">
        <f aca="false">IF(AF182="",0,IF(MATCH(AF182,$AF$4:$AF$603,0)=ROW()-3,1,0))</f>
        <v>0</v>
      </c>
      <c r="AH182" s="0" t="n">
        <f aca="false">N(AH181)+AG182</f>
        <v>5</v>
      </c>
    </row>
    <row r="183" customFormat="false" ht="13.5" hidden="false" customHeight="false" outlineLevel="0" collapsed="false">
      <c r="A183" s="0" t="str">
        <f aca="false">IF(((进销存对接!$D183="客户应收")+(进销存对接!$D183="成品销售款")+(进销存对接!$D183="公司购买果品款")+(进销存对接!$D183="筐子销售款")+(进销存对接!$D183="物料销售款"))&gt;0,进销存对接!$C183,"")</f>
        <v/>
      </c>
      <c r="B183" s="0" t="n">
        <f aca="false">IF(A183="",0,IF(MATCH(A183,$A$4:$A$1925,0)=ROW()-3,1,0))</f>
        <v>0</v>
      </c>
      <c r="C183" s="0" t="n">
        <f aca="false">N(C182)+B183</f>
        <v>6</v>
      </c>
      <c r="E183" s="0" t="str">
        <f aca="false">IFERROR(INDEX($A$4:$A$1925,MATCH(ROW()-3,$C$4:$C$1925,0)),"")</f>
        <v/>
      </c>
      <c r="G183" s="0" t="n">
        <f aca="false">IF(OR($G$1="",资金日记账!$E176="",资金日记账!$E176&lt;&gt;$G$1),0,IF(NOT(OR(N(资金日记账!$H176)&lt;&gt;0,N(资金日记账!$I176)&lt;&gt;0)),0,IF(资金日记账!$B176="",1,IF(OR(N(资金日记账!$B176)&lt;$H$1,N(资金日记账!$B176)&gt;$I$1),0,1))))</f>
        <v>0</v>
      </c>
      <c r="H183" s="0" t="n">
        <f aca="false">N(H182)+$G183</f>
        <v>3</v>
      </c>
      <c r="I183" s="0" t="str">
        <f aca="false">IF($G183=0,"",IF(资金日记账!$B176=0,"",资金日记账!$B176))</f>
        <v/>
      </c>
      <c r="J183" s="0" t="str">
        <f aca="false">IF($G183=0,"",IF(资金日记账!$D176=0,"",资金日记账!$D176))</f>
        <v/>
      </c>
      <c r="K183" s="0" t="str">
        <f aca="false">IF($G183=0,"",IF(""=0,"",""))</f>
        <v/>
      </c>
      <c r="L183" s="0" t="str">
        <f aca="false">IF($G183=0,"",IF(""=0,"",""))</f>
        <v/>
      </c>
      <c r="M183" s="0" t="str">
        <f aca="false">IF($G183=0,"",IF(""=0,"",""))</f>
        <v/>
      </c>
      <c r="N183" s="0" t="str">
        <f aca="false">IF($G183=0,"",IF(IF(N(资金日记账!$I176)=0,"",-ROUND(N(资金日记账!$I176),2))=0,"",IF(N(资金日记账!$I176)=0,"",-ROUND(N(资金日记账!$I176),2))))</f>
        <v/>
      </c>
      <c r="O183" s="0" t="str">
        <f aca="false">IF($G183=0,"",IF(IF(N(资金日记账!$H176)=0,"",ROUND(N(资金日记账!$H176),2))=0,"",IF(N(资金日记账!$H176)=0,"",ROUND(N(资金日记账!$H176),2))))</f>
        <v/>
      </c>
      <c r="P183" s="0" t="str">
        <f aca="false">IF($G183=0,"",IF(资金日记账!$L176=0,"",资金日记账!$L176))</f>
        <v/>
      </c>
      <c r="T183" s="0" t="str">
        <f aca="false">IF(资金日记账!$G183="","",资金日记账!$G183)</f>
        <v/>
      </c>
      <c r="U183" s="0" t="n">
        <f aca="false">IF(T183="",0,IF(MATCH(T183,$T$4:$T$903,0)=ROW()-3,1,0))</f>
        <v>0</v>
      </c>
      <c r="V183" s="0" t="n">
        <f aca="false">N(V182)+U183</f>
        <v>30</v>
      </c>
      <c r="Z183" s="0" t="str">
        <f aca="false">IF(成本费用登记表!$C183="","",成本费用登记表!$C183)</f>
        <v/>
      </c>
      <c r="AA183" s="0" t="n">
        <f aca="false">IF(Z183="",0,IF(MATCH(Z183,$Z$4:$Z$303,0)=ROW()-3,1,0))</f>
        <v>0</v>
      </c>
      <c r="AB183" s="0" t="n">
        <f aca="false">N(AB182)+AA183</f>
        <v>0</v>
      </c>
      <c r="AF183" s="0" t="str">
        <f aca="false">IF(OR(资金日记账!$E183="",N(资金日记账!$H183)=0),"",资金日记账!$E183)</f>
        <v/>
      </c>
      <c r="AG183" s="0" t="n">
        <f aca="false">IF(AF183="",0,IF(MATCH(AF183,$AF$4:$AF$603,0)=ROW()-3,1,0))</f>
        <v>0</v>
      </c>
      <c r="AH183" s="0" t="n">
        <f aca="false">N(AH182)+AG183</f>
        <v>5</v>
      </c>
    </row>
    <row r="184" customFormat="false" ht="13.5" hidden="false" customHeight="false" outlineLevel="0" collapsed="false">
      <c r="A184" s="0" t="str">
        <f aca="false">IF(((进销存对接!$D184="客户应收")+(进销存对接!$D184="成品销售款")+(进销存对接!$D184="公司购买果品款")+(进销存对接!$D184="筐子销售款")+(进销存对接!$D184="物料销售款"))&gt;0,进销存对接!$C184,"")</f>
        <v/>
      </c>
      <c r="B184" s="0" t="n">
        <f aca="false">IF(A184="",0,IF(MATCH(A184,$A$4:$A$1925,0)=ROW()-3,1,0))</f>
        <v>0</v>
      </c>
      <c r="C184" s="0" t="n">
        <f aca="false">N(C183)+B184</f>
        <v>6</v>
      </c>
      <c r="E184" s="0" t="str">
        <f aca="false">IFERROR(INDEX($A$4:$A$1925,MATCH(ROW()-3,$C$4:$C$1925,0)),"")</f>
        <v/>
      </c>
      <c r="G184" s="0" t="n">
        <f aca="false">IF(OR($G$1="",资金日记账!$E177="",资金日记账!$E177&lt;&gt;$G$1),0,IF(NOT(OR(N(资金日记账!$H177)&lt;&gt;0,N(资金日记账!$I177)&lt;&gt;0)),0,IF(资金日记账!$B177="",1,IF(OR(N(资金日记账!$B177)&lt;$H$1,N(资金日记账!$B177)&gt;$I$1),0,1))))</f>
        <v>0</v>
      </c>
      <c r="H184" s="0" t="n">
        <f aca="false">N(H183)+$G184</f>
        <v>3</v>
      </c>
      <c r="I184" s="0" t="str">
        <f aca="false">IF($G184=0,"",IF(资金日记账!$B177=0,"",资金日记账!$B177))</f>
        <v/>
      </c>
      <c r="J184" s="0" t="str">
        <f aca="false">IF($G184=0,"",IF(资金日记账!$D177=0,"",资金日记账!$D177))</f>
        <v/>
      </c>
      <c r="K184" s="0" t="str">
        <f aca="false">IF($G184=0,"",IF(""=0,"",""))</f>
        <v/>
      </c>
      <c r="L184" s="0" t="str">
        <f aca="false">IF($G184=0,"",IF(""=0,"",""))</f>
        <v/>
      </c>
      <c r="M184" s="0" t="str">
        <f aca="false">IF($G184=0,"",IF(""=0,"",""))</f>
        <v/>
      </c>
      <c r="N184" s="0" t="str">
        <f aca="false">IF($G184=0,"",IF(IF(N(资金日记账!$I177)=0,"",-ROUND(N(资金日记账!$I177),2))=0,"",IF(N(资金日记账!$I177)=0,"",-ROUND(N(资金日记账!$I177),2))))</f>
        <v/>
      </c>
      <c r="O184" s="0" t="str">
        <f aca="false">IF($G184=0,"",IF(IF(N(资金日记账!$H177)=0,"",ROUND(N(资金日记账!$H177),2))=0,"",IF(N(资金日记账!$H177)=0,"",ROUND(N(资金日记账!$H177),2))))</f>
        <v/>
      </c>
      <c r="P184" s="0" t="str">
        <f aca="false">IF($G184=0,"",IF(资金日记账!$L177=0,"",资金日记账!$L177))</f>
        <v/>
      </c>
      <c r="T184" s="0" t="str">
        <f aca="false">IF(资金日记账!$G184="","",资金日记账!$G184)</f>
        <v/>
      </c>
      <c r="U184" s="0" t="n">
        <f aca="false">IF(T184="",0,IF(MATCH(T184,$T$4:$T$903,0)=ROW()-3,1,0))</f>
        <v>0</v>
      </c>
      <c r="V184" s="0" t="n">
        <f aca="false">N(V183)+U184</f>
        <v>30</v>
      </c>
      <c r="Z184" s="0" t="str">
        <f aca="false">IF(成本费用登记表!$C184="","",成本费用登记表!$C184)</f>
        <v/>
      </c>
      <c r="AA184" s="0" t="n">
        <f aca="false">IF(Z184="",0,IF(MATCH(Z184,$Z$4:$Z$303,0)=ROW()-3,1,0))</f>
        <v>0</v>
      </c>
      <c r="AB184" s="0" t="n">
        <f aca="false">N(AB183)+AA184</f>
        <v>0</v>
      </c>
      <c r="AF184" s="0" t="str">
        <f aca="false">IF(OR(资金日记账!$E184="",N(资金日记账!$H184)=0),"",资金日记账!$E184)</f>
        <v/>
      </c>
      <c r="AG184" s="0" t="n">
        <f aca="false">IF(AF184="",0,IF(MATCH(AF184,$AF$4:$AF$603,0)=ROW()-3,1,0))</f>
        <v>0</v>
      </c>
      <c r="AH184" s="0" t="n">
        <f aca="false">N(AH183)+AG184</f>
        <v>5</v>
      </c>
    </row>
    <row r="185" customFormat="false" ht="13.5" hidden="false" customHeight="false" outlineLevel="0" collapsed="false">
      <c r="A185" s="0" t="str">
        <f aca="false">IF(((进销存对接!$D185="客户应收")+(进销存对接!$D185="成品销售款")+(进销存对接!$D185="公司购买果品款")+(进销存对接!$D185="筐子销售款")+(进销存对接!$D185="物料销售款"))&gt;0,进销存对接!$C185,"")</f>
        <v/>
      </c>
      <c r="B185" s="0" t="n">
        <f aca="false">IF(A185="",0,IF(MATCH(A185,$A$4:$A$1925,0)=ROW()-3,1,0))</f>
        <v>0</v>
      </c>
      <c r="C185" s="0" t="n">
        <f aca="false">N(C184)+B185</f>
        <v>6</v>
      </c>
      <c r="E185" s="0" t="str">
        <f aca="false">IFERROR(INDEX($A$4:$A$1925,MATCH(ROW()-3,$C$4:$C$1925,0)),"")</f>
        <v/>
      </c>
      <c r="G185" s="0" t="n">
        <f aca="false">IF(OR($G$1="",资金日记账!$E178="",资金日记账!$E178&lt;&gt;$G$1),0,IF(NOT(OR(N(资金日记账!$H178)&lt;&gt;0,N(资金日记账!$I178)&lt;&gt;0)),0,IF(资金日记账!$B178="",1,IF(OR(N(资金日记账!$B178)&lt;$H$1,N(资金日记账!$B178)&gt;$I$1),0,1))))</f>
        <v>0</v>
      </c>
      <c r="H185" s="0" t="n">
        <f aca="false">N(H184)+$G185</f>
        <v>3</v>
      </c>
      <c r="I185" s="0" t="str">
        <f aca="false">IF($G185=0,"",IF(资金日记账!$B178=0,"",资金日记账!$B178))</f>
        <v/>
      </c>
      <c r="J185" s="0" t="str">
        <f aca="false">IF($G185=0,"",IF(资金日记账!$D178=0,"",资金日记账!$D178))</f>
        <v/>
      </c>
      <c r="K185" s="0" t="str">
        <f aca="false">IF($G185=0,"",IF(""=0,"",""))</f>
        <v/>
      </c>
      <c r="L185" s="0" t="str">
        <f aca="false">IF($G185=0,"",IF(""=0,"",""))</f>
        <v/>
      </c>
      <c r="M185" s="0" t="str">
        <f aca="false">IF($G185=0,"",IF(""=0,"",""))</f>
        <v/>
      </c>
      <c r="N185" s="0" t="str">
        <f aca="false">IF($G185=0,"",IF(IF(N(资金日记账!$I178)=0,"",-ROUND(N(资金日记账!$I178),2))=0,"",IF(N(资金日记账!$I178)=0,"",-ROUND(N(资金日记账!$I178),2))))</f>
        <v/>
      </c>
      <c r="O185" s="0" t="str">
        <f aca="false">IF($G185=0,"",IF(IF(N(资金日记账!$H178)=0,"",ROUND(N(资金日记账!$H178),2))=0,"",IF(N(资金日记账!$H178)=0,"",ROUND(N(资金日记账!$H178),2))))</f>
        <v/>
      </c>
      <c r="P185" s="0" t="str">
        <f aca="false">IF($G185=0,"",IF(资金日记账!$L178=0,"",资金日记账!$L178))</f>
        <v/>
      </c>
      <c r="T185" s="0" t="str">
        <f aca="false">IF(资金日记账!$G185="","",资金日记账!$G185)</f>
        <v/>
      </c>
      <c r="U185" s="0" t="n">
        <f aca="false">IF(T185="",0,IF(MATCH(T185,$T$4:$T$903,0)=ROW()-3,1,0))</f>
        <v>0</v>
      </c>
      <c r="V185" s="0" t="n">
        <f aca="false">N(V184)+U185</f>
        <v>30</v>
      </c>
      <c r="Z185" s="0" t="str">
        <f aca="false">IF(成本费用登记表!$C185="","",成本费用登记表!$C185)</f>
        <v/>
      </c>
      <c r="AA185" s="0" t="n">
        <f aca="false">IF(Z185="",0,IF(MATCH(Z185,$Z$4:$Z$303,0)=ROW()-3,1,0))</f>
        <v>0</v>
      </c>
      <c r="AB185" s="0" t="n">
        <f aca="false">N(AB184)+AA185</f>
        <v>0</v>
      </c>
      <c r="AF185" s="0" t="str">
        <f aca="false">IF(OR(资金日记账!$E185="",N(资金日记账!$H185)=0),"",资金日记账!$E185)</f>
        <v/>
      </c>
      <c r="AG185" s="0" t="n">
        <f aca="false">IF(AF185="",0,IF(MATCH(AF185,$AF$4:$AF$603,0)=ROW()-3,1,0))</f>
        <v>0</v>
      </c>
      <c r="AH185" s="0" t="n">
        <f aca="false">N(AH184)+AG185</f>
        <v>5</v>
      </c>
    </row>
    <row r="186" customFormat="false" ht="13.5" hidden="false" customHeight="false" outlineLevel="0" collapsed="false">
      <c r="A186" s="0" t="str">
        <f aca="false">IF(((进销存对接!$D186="客户应收")+(进销存对接!$D186="成品销售款")+(进销存对接!$D186="公司购买果品款")+(进销存对接!$D186="筐子销售款")+(进销存对接!$D186="物料销售款"))&gt;0,进销存对接!$C186,"")</f>
        <v/>
      </c>
      <c r="B186" s="0" t="n">
        <f aca="false">IF(A186="",0,IF(MATCH(A186,$A$4:$A$1925,0)=ROW()-3,1,0))</f>
        <v>0</v>
      </c>
      <c r="C186" s="0" t="n">
        <f aca="false">N(C185)+B186</f>
        <v>6</v>
      </c>
      <c r="E186" s="0" t="str">
        <f aca="false">IFERROR(INDEX($A$4:$A$1925,MATCH(ROW()-3,$C$4:$C$1925,0)),"")</f>
        <v/>
      </c>
      <c r="G186" s="0" t="n">
        <f aca="false">IF(OR($G$1="",资金日记账!$E179="",资金日记账!$E179&lt;&gt;$G$1),0,IF(NOT(OR(N(资金日记账!$H179)&lt;&gt;0,N(资金日记账!$I179)&lt;&gt;0)),0,IF(资金日记账!$B179="",1,IF(OR(N(资金日记账!$B179)&lt;$H$1,N(资金日记账!$B179)&gt;$I$1),0,1))))</f>
        <v>0</v>
      </c>
      <c r="H186" s="0" t="n">
        <f aca="false">N(H185)+$G186</f>
        <v>3</v>
      </c>
      <c r="I186" s="0" t="str">
        <f aca="false">IF($G186=0,"",IF(资金日记账!$B179=0,"",资金日记账!$B179))</f>
        <v/>
      </c>
      <c r="J186" s="0" t="str">
        <f aca="false">IF($G186=0,"",IF(资金日记账!$D179=0,"",资金日记账!$D179))</f>
        <v/>
      </c>
      <c r="K186" s="0" t="str">
        <f aca="false">IF($G186=0,"",IF(""=0,"",""))</f>
        <v/>
      </c>
      <c r="L186" s="0" t="str">
        <f aca="false">IF($G186=0,"",IF(""=0,"",""))</f>
        <v/>
      </c>
      <c r="M186" s="0" t="str">
        <f aca="false">IF($G186=0,"",IF(""=0,"",""))</f>
        <v/>
      </c>
      <c r="N186" s="0" t="str">
        <f aca="false">IF($G186=0,"",IF(IF(N(资金日记账!$I179)=0,"",-ROUND(N(资金日记账!$I179),2))=0,"",IF(N(资金日记账!$I179)=0,"",-ROUND(N(资金日记账!$I179),2))))</f>
        <v/>
      </c>
      <c r="O186" s="0" t="str">
        <f aca="false">IF($G186=0,"",IF(IF(N(资金日记账!$H179)=0,"",ROUND(N(资金日记账!$H179),2))=0,"",IF(N(资金日记账!$H179)=0,"",ROUND(N(资金日记账!$H179),2))))</f>
        <v/>
      </c>
      <c r="P186" s="0" t="str">
        <f aca="false">IF($G186=0,"",IF(资金日记账!$L179=0,"",资金日记账!$L179))</f>
        <v/>
      </c>
      <c r="T186" s="0" t="str">
        <f aca="false">IF(资金日记账!$G186="","",资金日记账!$G186)</f>
        <v/>
      </c>
      <c r="U186" s="0" t="n">
        <f aca="false">IF(T186="",0,IF(MATCH(T186,$T$4:$T$903,0)=ROW()-3,1,0))</f>
        <v>0</v>
      </c>
      <c r="V186" s="0" t="n">
        <f aca="false">N(V185)+U186</f>
        <v>30</v>
      </c>
      <c r="Z186" s="0" t="str">
        <f aca="false">IF(成本费用登记表!$C186="","",成本费用登记表!$C186)</f>
        <v/>
      </c>
      <c r="AA186" s="0" t="n">
        <f aca="false">IF(Z186="",0,IF(MATCH(Z186,$Z$4:$Z$303,0)=ROW()-3,1,0))</f>
        <v>0</v>
      </c>
      <c r="AB186" s="0" t="n">
        <f aca="false">N(AB185)+AA186</f>
        <v>0</v>
      </c>
      <c r="AF186" s="0" t="str">
        <f aca="false">IF(OR(资金日记账!$E186="",N(资金日记账!$H186)=0),"",资金日记账!$E186)</f>
        <v/>
      </c>
      <c r="AG186" s="0" t="n">
        <f aca="false">IF(AF186="",0,IF(MATCH(AF186,$AF$4:$AF$603,0)=ROW()-3,1,0))</f>
        <v>0</v>
      </c>
      <c r="AH186" s="0" t="n">
        <f aca="false">N(AH185)+AG186</f>
        <v>5</v>
      </c>
    </row>
    <row r="187" customFormat="false" ht="13.5" hidden="false" customHeight="false" outlineLevel="0" collapsed="false">
      <c r="A187" s="0" t="str">
        <f aca="false">IF(((进销存对接!$D187="客户应收")+(进销存对接!$D187="成品销售款")+(进销存对接!$D187="公司购买果品款")+(进销存对接!$D187="筐子销售款")+(进销存对接!$D187="物料销售款"))&gt;0,进销存对接!$C187,"")</f>
        <v/>
      </c>
      <c r="B187" s="0" t="n">
        <f aca="false">IF(A187="",0,IF(MATCH(A187,$A$4:$A$1925,0)=ROW()-3,1,0))</f>
        <v>0</v>
      </c>
      <c r="C187" s="0" t="n">
        <f aca="false">N(C186)+B187</f>
        <v>6</v>
      </c>
      <c r="E187" s="0" t="str">
        <f aca="false">IFERROR(INDEX($A$4:$A$1925,MATCH(ROW()-3,$C$4:$C$1925,0)),"")</f>
        <v/>
      </c>
      <c r="G187" s="0" t="n">
        <f aca="false">IF(OR($G$1="",资金日记账!$E180="",资金日记账!$E180&lt;&gt;$G$1),0,IF(NOT(OR(N(资金日记账!$H180)&lt;&gt;0,N(资金日记账!$I180)&lt;&gt;0)),0,IF(资金日记账!$B180="",1,IF(OR(N(资金日记账!$B180)&lt;$H$1,N(资金日记账!$B180)&gt;$I$1),0,1))))</f>
        <v>0</v>
      </c>
      <c r="H187" s="0" t="n">
        <f aca="false">N(H186)+$G187</f>
        <v>3</v>
      </c>
      <c r="I187" s="0" t="str">
        <f aca="false">IF($G187=0,"",IF(资金日记账!$B180=0,"",资金日记账!$B180))</f>
        <v/>
      </c>
      <c r="J187" s="0" t="str">
        <f aca="false">IF($G187=0,"",IF(资金日记账!$D180=0,"",资金日记账!$D180))</f>
        <v/>
      </c>
      <c r="K187" s="0" t="str">
        <f aca="false">IF($G187=0,"",IF(""=0,"",""))</f>
        <v/>
      </c>
      <c r="L187" s="0" t="str">
        <f aca="false">IF($G187=0,"",IF(""=0,"",""))</f>
        <v/>
      </c>
      <c r="M187" s="0" t="str">
        <f aca="false">IF($G187=0,"",IF(""=0,"",""))</f>
        <v/>
      </c>
      <c r="N187" s="0" t="str">
        <f aca="false">IF($G187=0,"",IF(IF(N(资金日记账!$I180)=0,"",-ROUND(N(资金日记账!$I180),2))=0,"",IF(N(资金日记账!$I180)=0,"",-ROUND(N(资金日记账!$I180),2))))</f>
        <v/>
      </c>
      <c r="O187" s="0" t="str">
        <f aca="false">IF($G187=0,"",IF(IF(N(资金日记账!$H180)=0,"",ROUND(N(资金日记账!$H180),2))=0,"",IF(N(资金日记账!$H180)=0,"",ROUND(N(资金日记账!$H180),2))))</f>
        <v/>
      </c>
      <c r="P187" s="0" t="str">
        <f aca="false">IF($G187=0,"",IF(资金日记账!$L180=0,"",资金日记账!$L180))</f>
        <v/>
      </c>
      <c r="T187" s="0" t="str">
        <f aca="false">IF(资金日记账!$G187="","",资金日记账!$G187)</f>
        <v/>
      </c>
      <c r="U187" s="0" t="n">
        <f aca="false">IF(T187="",0,IF(MATCH(T187,$T$4:$T$903,0)=ROW()-3,1,0))</f>
        <v>0</v>
      </c>
      <c r="V187" s="0" t="n">
        <f aca="false">N(V186)+U187</f>
        <v>30</v>
      </c>
      <c r="Z187" s="0" t="str">
        <f aca="false">IF(成本费用登记表!$C187="","",成本费用登记表!$C187)</f>
        <v/>
      </c>
      <c r="AA187" s="0" t="n">
        <f aca="false">IF(Z187="",0,IF(MATCH(Z187,$Z$4:$Z$303,0)=ROW()-3,1,0))</f>
        <v>0</v>
      </c>
      <c r="AB187" s="0" t="n">
        <f aca="false">N(AB186)+AA187</f>
        <v>0</v>
      </c>
      <c r="AF187" s="0" t="str">
        <f aca="false">IF(OR(资金日记账!$E187="",N(资金日记账!$H187)=0),"",资金日记账!$E187)</f>
        <v/>
      </c>
      <c r="AG187" s="0" t="n">
        <f aca="false">IF(AF187="",0,IF(MATCH(AF187,$AF$4:$AF$603,0)=ROW()-3,1,0))</f>
        <v>0</v>
      </c>
      <c r="AH187" s="0" t="n">
        <f aca="false">N(AH186)+AG187</f>
        <v>5</v>
      </c>
    </row>
    <row r="188" customFormat="false" ht="13.5" hidden="false" customHeight="false" outlineLevel="0" collapsed="false">
      <c r="A188" s="0" t="str">
        <f aca="false">IF(((进销存对接!$D188="客户应收")+(进销存对接!$D188="成品销售款")+(进销存对接!$D188="公司购买果品款")+(进销存对接!$D188="筐子销售款")+(进销存对接!$D188="物料销售款"))&gt;0,进销存对接!$C188,"")</f>
        <v/>
      </c>
      <c r="B188" s="0" t="n">
        <f aca="false">IF(A188="",0,IF(MATCH(A188,$A$4:$A$1925,0)=ROW()-3,1,0))</f>
        <v>0</v>
      </c>
      <c r="C188" s="0" t="n">
        <f aca="false">N(C187)+B188</f>
        <v>6</v>
      </c>
      <c r="E188" s="0" t="str">
        <f aca="false">IFERROR(INDEX($A$4:$A$1925,MATCH(ROW()-3,$C$4:$C$1925,0)),"")</f>
        <v/>
      </c>
      <c r="G188" s="0" t="n">
        <f aca="false">IF(OR($G$1="",资金日记账!$E181="",资金日记账!$E181&lt;&gt;$G$1),0,IF(NOT(OR(N(资金日记账!$H181)&lt;&gt;0,N(资金日记账!$I181)&lt;&gt;0)),0,IF(资金日记账!$B181="",1,IF(OR(N(资金日记账!$B181)&lt;$H$1,N(资金日记账!$B181)&gt;$I$1),0,1))))</f>
        <v>0</v>
      </c>
      <c r="H188" s="0" t="n">
        <f aca="false">N(H187)+$G188</f>
        <v>3</v>
      </c>
      <c r="I188" s="0" t="str">
        <f aca="false">IF($G188=0,"",IF(资金日记账!$B181=0,"",资金日记账!$B181))</f>
        <v/>
      </c>
      <c r="J188" s="0" t="str">
        <f aca="false">IF($G188=0,"",IF(资金日记账!$D181=0,"",资金日记账!$D181))</f>
        <v/>
      </c>
      <c r="K188" s="0" t="str">
        <f aca="false">IF($G188=0,"",IF(""=0,"",""))</f>
        <v/>
      </c>
      <c r="L188" s="0" t="str">
        <f aca="false">IF($G188=0,"",IF(""=0,"",""))</f>
        <v/>
      </c>
      <c r="M188" s="0" t="str">
        <f aca="false">IF($G188=0,"",IF(""=0,"",""))</f>
        <v/>
      </c>
      <c r="N188" s="0" t="str">
        <f aca="false">IF($G188=0,"",IF(IF(N(资金日记账!$I181)=0,"",-ROUND(N(资金日记账!$I181),2))=0,"",IF(N(资金日记账!$I181)=0,"",-ROUND(N(资金日记账!$I181),2))))</f>
        <v/>
      </c>
      <c r="O188" s="0" t="str">
        <f aca="false">IF($G188=0,"",IF(IF(N(资金日记账!$H181)=0,"",ROUND(N(资金日记账!$H181),2))=0,"",IF(N(资金日记账!$H181)=0,"",ROUND(N(资金日记账!$H181),2))))</f>
        <v/>
      </c>
      <c r="P188" s="0" t="str">
        <f aca="false">IF($G188=0,"",IF(资金日记账!$L181=0,"",资金日记账!$L181))</f>
        <v/>
      </c>
      <c r="T188" s="0" t="str">
        <f aca="false">IF(资金日记账!$G188="","",资金日记账!$G188)</f>
        <v/>
      </c>
      <c r="U188" s="0" t="n">
        <f aca="false">IF(T188="",0,IF(MATCH(T188,$T$4:$T$903,0)=ROW()-3,1,0))</f>
        <v>0</v>
      </c>
      <c r="V188" s="0" t="n">
        <f aca="false">N(V187)+U188</f>
        <v>30</v>
      </c>
      <c r="Z188" s="0" t="str">
        <f aca="false">IF(成本费用登记表!$C188="","",成本费用登记表!$C188)</f>
        <v/>
      </c>
      <c r="AA188" s="0" t="n">
        <f aca="false">IF(Z188="",0,IF(MATCH(Z188,$Z$4:$Z$303,0)=ROW()-3,1,0))</f>
        <v>0</v>
      </c>
      <c r="AB188" s="0" t="n">
        <f aca="false">N(AB187)+AA188</f>
        <v>0</v>
      </c>
      <c r="AF188" s="0" t="str">
        <f aca="false">IF(OR(资金日记账!$E188="",N(资金日记账!$H188)=0),"",资金日记账!$E188)</f>
        <v/>
      </c>
      <c r="AG188" s="0" t="n">
        <f aca="false">IF(AF188="",0,IF(MATCH(AF188,$AF$4:$AF$603,0)=ROW()-3,1,0))</f>
        <v>0</v>
      </c>
      <c r="AH188" s="0" t="n">
        <f aca="false">N(AH187)+AG188</f>
        <v>5</v>
      </c>
    </row>
    <row r="189" customFormat="false" ht="13.5" hidden="false" customHeight="false" outlineLevel="0" collapsed="false">
      <c r="A189" s="0" t="str">
        <f aca="false">IF(((进销存对接!$D189="客户应收")+(进销存对接!$D189="成品销售款")+(进销存对接!$D189="公司购买果品款")+(进销存对接!$D189="筐子销售款")+(进销存对接!$D189="物料销售款"))&gt;0,进销存对接!$C189,"")</f>
        <v/>
      </c>
      <c r="B189" s="0" t="n">
        <f aca="false">IF(A189="",0,IF(MATCH(A189,$A$4:$A$1925,0)=ROW()-3,1,0))</f>
        <v>0</v>
      </c>
      <c r="C189" s="0" t="n">
        <f aca="false">N(C188)+B189</f>
        <v>6</v>
      </c>
      <c r="E189" s="0" t="str">
        <f aca="false">IFERROR(INDEX($A$4:$A$1925,MATCH(ROW()-3,$C$4:$C$1925,0)),"")</f>
        <v/>
      </c>
      <c r="G189" s="0" t="n">
        <f aca="false">IF(OR($G$1="",资金日记账!$E182="",资金日记账!$E182&lt;&gt;$G$1),0,IF(NOT(OR(N(资金日记账!$H182)&lt;&gt;0,N(资金日记账!$I182)&lt;&gt;0)),0,IF(资金日记账!$B182="",1,IF(OR(N(资金日记账!$B182)&lt;$H$1,N(资金日记账!$B182)&gt;$I$1),0,1))))</f>
        <v>0</v>
      </c>
      <c r="H189" s="0" t="n">
        <f aca="false">N(H188)+$G189</f>
        <v>3</v>
      </c>
      <c r="I189" s="0" t="str">
        <f aca="false">IF($G189=0,"",IF(资金日记账!$B182=0,"",资金日记账!$B182))</f>
        <v/>
      </c>
      <c r="J189" s="0" t="str">
        <f aca="false">IF($G189=0,"",IF(资金日记账!$D182=0,"",资金日记账!$D182))</f>
        <v/>
      </c>
      <c r="K189" s="0" t="str">
        <f aca="false">IF($G189=0,"",IF(""=0,"",""))</f>
        <v/>
      </c>
      <c r="L189" s="0" t="str">
        <f aca="false">IF($G189=0,"",IF(""=0,"",""))</f>
        <v/>
      </c>
      <c r="M189" s="0" t="str">
        <f aca="false">IF($G189=0,"",IF(""=0,"",""))</f>
        <v/>
      </c>
      <c r="N189" s="0" t="str">
        <f aca="false">IF($G189=0,"",IF(IF(N(资金日记账!$I182)=0,"",-ROUND(N(资金日记账!$I182),2))=0,"",IF(N(资金日记账!$I182)=0,"",-ROUND(N(资金日记账!$I182),2))))</f>
        <v/>
      </c>
      <c r="O189" s="0" t="str">
        <f aca="false">IF($G189=0,"",IF(IF(N(资金日记账!$H182)=0,"",ROUND(N(资金日记账!$H182),2))=0,"",IF(N(资金日记账!$H182)=0,"",ROUND(N(资金日记账!$H182),2))))</f>
        <v/>
      </c>
      <c r="P189" s="0" t="str">
        <f aca="false">IF($G189=0,"",IF(资金日记账!$L182=0,"",资金日记账!$L182))</f>
        <v/>
      </c>
      <c r="T189" s="0" t="str">
        <f aca="false">IF(资金日记账!$G189="","",资金日记账!$G189)</f>
        <v/>
      </c>
      <c r="U189" s="0" t="n">
        <f aca="false">IF(T189="",0,IF(MATCH(T189,$T$4:$T$903,0)=ROW()-3,1,0))</f>
        <v>0</v>
      </c>
      <c r="V189" s="0" t="n">
        <f aca="false">N(V188)+U189</f>
        <v>30</v>
      </c>
      <c r="Z189" s="0" t="str">
        <f aca="false">IF(成本费用登记表!$C189="","",成本费用登记表!$C189)</f>
        <v/>
      </c>
      <c r="AA189" s="0" t="n">
        <f aca="false">IF(Z189="",0,IF(MATCH(Z189,$Z$4:$Z$303,0)=ROW()-3,1,0))</f>
        <v>0</v>
      </c>
      <c r="AB189" s="0" t="n">
        <f aca="false">N(AB188)+AA189</f>
        <v>0</v>
      </c>
      <c r="AF189" s="0" t="str">
        <f aca="false">IF(OR(资金日记账!$E189="",N(资金日记账!$H189)=0),"",资金日记账!$E189)</f>
        <v/>
      </c>
      <c r="AG189" s="0" t="n">
        <f aca="false">IF(AF189="",0,IF(MATCH(AF189,$AF$4:$AF$603,0)=ROW()-3,1,0))</f>
        <v>0</v>
      </c>
      <c r="AH189" s="0" t="n">
        <f aca="false">N(AH188)+AG189</f>
        <v>5</v>
      </c>
    </row>
    <row r="190" customFormat="false" ht="13.5" hidden="false" customHeight="false" outlineLevel="0" collapsed="false">
      <c r="A190" s="0" t="str">
        <f aca="false">IF(((进销存对接!$D190="客户应收")+(进销存对接!$D190="成品销售款")+(进销存对接!$D190="公司购买果品款")+(进销存对接!$D190="筐子销售款")+(进销存对接!$D190="物料销售款"))&gt;0,进销存对接!$C190,"")</f>
        <v/>
      </c>
      <c r="B190" s="0" t="n">
        <f aca="false">IF(A190="",0,IF(MATCH(A190,$A$4:$A$1925,0)=ROW()-3,1,0))</f>
        <v>0</v>
      </c>
      <c r="C190" s="0" t="n">
        <f aca="false">N(C189)+B190</f>
        <v>6</v>
      </c>
      <c r="E190" s="0" t="str">
        <f aca="false">IFERROR(INDEX($A$4:$A$1925,MATCH(ROW()-3,$C$4:$C$1925,0)),"")</f>
        <v/>
      </c>
      <c r="G190" s="0" t="n">
        <f aca="false">IF(OR($G$1="",资金日记账!$E183="",资金日记账!$E183&lt;&gt;$G$1),0,IF(NOT(OR(N(资金日记账!$H183)&lt;&gt;0,N(资金日记账!$I183)&lt;&gt;0)),0,IF(资金日记账!$B183="",1,IF(OR(N(资金日记账!$B183)&lt;$H$1,N(资金日记账!$B183)&gt;$I$1),0,1))))</f>
        <v>0</v>
      </c>
      <c r="H190" s="0" t="n">
        <f aca="false">N(H189)+$G190</f>
        <v>3</v>
      </c>
      <c r="I190" s="0" t="str">
        <f aca="false">IF($G190=0,"",IF(资金日记账!$B183=0,"",资金日记账!$B183))</f>
        <v/>
      </c>
      <c r="J190" s="0" t="str">
        <f aca="false">IF($G190=0,"",IF(资金日记账!$D183=0,"",资金日记账!$D183))</f>
        <v/>
      </c>
      <c r="K190" s="0" t="str">
        <f aca="false">IF($G190=0,"",IF(""=0,"",""))</f>
        <v/>
      </c>
      <c r="L190" s="0" t="str">
        <f aca="false">IF($G190=0,"",IF(""=0,"",""))</f>
        <v/>
      </c>
      <c r="M190" s="0" t="str">
        <f aca="false">IF($G190=0,"",IF(""=0,"",""))</f>
        <v/>
      </c>
      <c r="N190" s="0" t="str">
        <f aca="false">IF($G190=0,"",IF(IF(N(资金日记账!$I183)=0,"",-ROUND(N(资金日记账!$I183),2))=0,"",IF(N(资金日记账!$I183)=0,"",-ROUND(N(资金日记账!$I183),2))))</f>
        <v/>
      </c>
      <c r="O190" s="0" t="str">
        <f aca="false">IF($G190=0,"",IF(IF(N(资金日记账!$H183)=0,"",ROUND(N(资金日记账!$H183),2))=0,"",IF(N(资金日记账!$H183)=0,"",ROUND(N(资金日记账!$H183),2))))</f>
        <v/>
      </c>
      <c r="P190" s="0" t="str">
        <f aca="false">IF($G190=0,"",IF(资金日记账!$L183=0,"",资金日记账!$L183))</f>
        <v/>
      </c>
      <c r="T190" s="0" t="str">
        <f aca="false">IF(资金日记账!$G190="","",资金日记账!$G190)</f>
        <v/>
      </c>
      <c r="U190" s="0" t="n">
        <f aca="false">IF(T190="",0,IF(MATCH(T190,$T$4:$T$903,0)=ROW()-3,1,0))</f>
        <v>0</v>
      </c>
      <c r="V190" s="0" t="n">
        <f aca="false">N(V189)+U190</f>
        <v>30</v>
      </c>
      <c r="Z190" s="0" t="str">
        <f aca="false">IF(成本费用登记表!$C190="","",成本费用登记表!$C190)</f>
        <v/>
      </c>
      <c r="AA190" s="0" t="n">
        <f aca="false">IF(Z190="",0,IF(MATCH(Z190,$Z$4:$Z$303,0)=ROW()-3,1,0))</f>
        <v>0</v>
      </c>
      <c r="AB190" s="0" t="n">
        <f aca="false">N(AB189)+AA190</f>
        <v>0</v>
      </c>
      <c r="AF190" s="0" t="str">
        <f aca="false">IF(OR(资金日记账!$E190="",N(资金日记账!$H190)=0),"",资金日记账!$E190)</f>
        <v/>
      </c>
      <c r="AG190" s="0" t="n">
        <f aca="false">IF(AF190="",0,IF(MATCH(AF190,$AF$4:$AF$603,0)=ROW()-3,1,0))</f>
        <v>0</v>
      </c>
      <c r="AH190" s="0" t="n">
        <f aca="false">N(AH189)+AG190</f>
        <v>5</v>
      </c>
    </row>
    <row r="191" customFormat="false" ht="13.5" hidden="false" customHeight="false" outlineLevel="0" collapsed="false">
      <c r="A191" s="0" t="str">
        <f aca="false">IF(((进销存对接!$D191="客户应收")+(进销存对接!$D191="成品销售款")+(进销存对接!$D191="公司购买果品款")+(进销存对接!$D191="筐子销售款")+(进销存对接!$D191="物料销售款"))&gt;0,进销存对接!$C191,"")</f>
        <v/>
      </c>
      <c r="B191" s="0" t="n">
        <f aca="false">IF(A191="",0,IF(MATCH(A191,$A$4:$A$1925,0)=ROW()-3,1,0))</f>
        <v>0</v>
      </c>
      <c r="C191" s="0" t="n">
        <f aca="false">N(C190)+B191</f>
        <v>6</v>
      </c>
      <c r="E191" s="0" t="str">
        <f aca="false">IFERROR(INDEX($A$4:$A$1925,MATCH(ROW()-3,$C$4:$C$1925,0)),"")</f>
        <v/>
      </c>
      <c r="G191" s="0" t="n">
        <f aca="false">IF(OR($G$1="",资金日记账!$E184="",资金日记账!$E184&lt;&gt;$G$1),0,IF(NOT(OR(N(资金日记账!$H184)&lt;&gt;0,N(资金日记账!$I184)&lt;&gt;0)),0,IF(资金日记账!$B184="",1,IF(OR(N(资金日记账!$B184)&lt;$H$1,N(资金日记账!$B184)&gt;$I$1),0,1))))</f>
        <v>0</v>
      </c>
      <c r="H191" s="0" t="n">
        <f aca="false">N(H190)+$G191</f>
        <v>3</v>
      </c>
      <c r="I191" s="0" t="str">
        <f aca="false">IF($G191=0,"",IF(资金日记账!$B184=0,"",资金日记账!$B184))</f>
        <v/>
      </c>
      <c r="J191" s="0" t="str">
        <f aca="false">IF($G191=0,"",IF(资金日记账!$D184=0,"",资金日记账!$D184))</f>
        <v/>
      </c>
      <c r="K191" s="0" t="str">
        <f aca="false">IF($G191=0,"",IF(""=0,"",""))</f>
        <v/>
      </c>
      <c r="L191" s="0" t="str">
        <f aca="false">IF($G191=0,"",IF(""=0,"",""))</f>
        <v/>
      </c>
      <c r="M191" s="0" t="str">
        <f aca="false">IF($G191=0,"",IF(""=0,"",""))</f>
        <v/>
      </c>
      <c r="N191" s="0" t="str">
        <f aca="false">IF($G191=0,"",IF(IF(N(资金日记账!$I184)=0,"",-ROUND(N(资金日记账!$I184),2))=0,"",IF(N(资金日记账!$I184)=0,"",-ROUND(N(资金日记账!$I184),2))))</f>
        <v/>
      </c>
      <c r="O191" s="0" t="str">
        <f aca="false">IF($G191=0,"",IF(IF(N(资金日记账!$H184)=0,"",ROUND(N(资金日记账!$H184),2))=0,"",IF(N(资金日记账!$H184)=0,"",ROUND(N(资金日记账!$H184),2))))</f>
        <v/>
      </c>
      <c r="P191" s="0" t="str">
        <f aca="false">IF($G191=0,"",IF(资金日记账!$L184=0,"",资金日记账!$L184))</f>
        <v/>
      </c>
      <c r="T191" s="0" t="str">
        <f aca="false">IF(资金日记账!$G191="","",资金日记账!$G191)</f>
        <v/>
      </c>
      <c r="U191" s="0" t="n">
        <f aca="false">IF(T191="",0,IF(MATCH(T191,$T$4:$T$903,0)=ROW()-3,1,0))</f>
        <v>0</v>
      </c>
      <c r="V191" s="0" t="n">
        <f aca="false">N(V190)+U191</f>
        <v>30</v>
      </c>
      <c r="Z191" s="0" t="str">
        <f aca="false">IF(成本费用登记表!$C191="","",成本费用登记表!$C191)</f>
        <v/>
      </c>
      <c r="AA191" s="0" t="n">
        <f aca="false">IF(Z191="",0,IF(MATCH(Z191,$Z$4:$Z$303,0)=ROW()-3,1,0))</f>
        <v>0</v>
      </c>
      <c r="AB191" s="0" t="n">
        <f aca="false">N(AB190)+AA191</f>
        <v>0</v>
      </c>
      <c r="AF191" s="0" t="str">
        <f aca="false">IF(OR(资金日记账!$E191="",N(资金日记账!$H191)=0),"",资金日记账!$E191)</f>
        <v/>
      </c>
      <c r="AG191" s="0" t="n">
        <f aca="false">IF(AF191="",0,IF(MATCH(AF191,$AF$4:$AF$603,0)=ROW()-3,1,0))</f>
        <v>0</v>
      </c>
      <c r="AH191" s="0" t="n">
        <f aca="false">N(AH190)+AG191</f>
        <v>5</v>
      </c>
    </row>
    <row r="192" customFormat="false" ht="13.5" hidden="false" customHeight="false" outlineLevel="0" collapsed="false">
      <c r="A192" s="0" t="str">
        <f aca="false">IF(((进销存对接!$D192="客户应收")+(进销存对接!$D192="成品销售款")+(进销存对接!$D192="公司购买果品款")+(进销存对接!$D192="筐子销售款")+(进销存对接!$D192="物料销售款"))&gt;0,进销存对接!$C192,"")</f>
        <v/>
      </c>
      <c r="B192" s="0" t="n">
        <f aca="false">IF(A192="",0,IF(MATCH(A192,$A$4:$A$1925,0)=ROW()-3,1,0))</f>
        <v>0</v>
      </c>
      <c r="C192" s="0" t="n">
        <f aca="false">N(C191)+B192</f>
        <v>6</v>
      </c>
      <c r="E192" s="0" t="str">
        <f aca="false">IFERROR(INDEX($A$4:$A$1925,MATCH(ROW()-3,$C$4:$C$1925,0)),"")</f>
        <v/>
      </c>
      <c r="G192" s="0" t="n">
        <f aca="false">IF(OR($G$1="",资金日记账!$E185="",资金日记账!$E185&lt;&gt;$G$1),0,IF(NOT(OR(N(资金日记账!$H185)&lt;&gt;0,N(资金日记账!$I185)&lt;&gt;0)),0,IF(资金日记账!$B185="",1,IF(OR(N(资金日记账!$B185)&lt;$H$1,N(资金日记账!$B185)&gt;$I$1),0,1))))</f>
        <v>0</v>
      </c>
      <c r="H192" s="0" t="n">
        <f aca="false">N(H191)+$G192</f>
        <v>3</v>
      </c>
      <c r="I192" s="0" t="str">
        <f aca="false">IF($G192=0,"",IF(资金日记账!$B185=0,"",资金日记账!$B185))</f>
        <v/>
      </c>
      <c r="J192" s="0" t="str">
        <f aca="false">IF($G192=0,"",IF(资金日记账!$D185=0,"",资金日记账!$D185))</f>
        <v/>
      </c>
      <c r="K192" s="0" t="str">
        <f aca="false">IF($G192=0,"",IF(""=0,"",""))</f>
        <v/>
      </c>
      <c r="L192" s="0" t="str">
        <f aca="false">IF($G192=0,"",IF(""=0,"",""))</f>
        <v/>
      </c>
      <c r="M192" s="0" t="str">
        <f aca="false">IF($G192=0,"",IF(""=0,"",""))</f>
        <v/>
      </c>
      <c r="N192" s="0" t="str">
        <f aca="false">IF($G192=0,"",IF(IF(N(资金日记账!$I185)=0,"",-ROUND(N(资金日记账!$I185),2))=0,"",IF(N(资金日记账!$I185)=0,"",-ROUND(N(资金日记账!$I185),2))))</f>
        <v/>
      </c>
      <c r="O192" s="0" t="str">
        <f aca="false">IF($G192=0,"",IF(IF(N(资金日记账!$H185)=0,"",ROUND(N(资金日记账!$H185),2))=0,"",IF(N(资金日记账!$H185)=0,"",ROUND(N(资金日记账!$H185),2))))</f>
        <v/>
      </c>
      <c r="P192" s="0" t="str">
        <f aca="false">IF($G192=0,"",IF(资金日记账!$L185=0,"",资金日记账!$L185))</f>
        <v/>
      </c>
      <c r="T192" s="0" t="str">
        <f aca="false">IF(资金日记账!$G192="","",资金日记账!$G192)</f>
        <v/>
      </c>
      <c r="U192" s="0" t="n">
        <f aca="false">IF(T192="",0,IF(MATCH(T192,$T$4:$T$903,0)=ROW()-3,1,0))</f>
        <v>0</v>
      </c>
      <c r="V192" s="0" t="n">
        <f aca="false">N(V191)+U192</f>
        <v>30</v>
      </c>
      <c r="Z192" s="0" t="str">
        <f aca="false">IF(成本费用登记表!$C192="","",成本费用登记表!$C192)</f>
        <v/>
      </c>
      <c r="AA192" s="0" t="n">
        <f aca="false">IF(Z192="",0,IF(MATCH(Z192,$Z$4:$Z$303,0)=ROW()-3,1,0))</f>
        <v>0</v>
      </c>
      <c r="AB192" s="0" t="n">
        <f aca="false">N(AB191)+AA192</f>
        <v>0</v>
      </c>
      <c r="AF192" s="0" t="str">
        <f aca="false">IF(OR(资金日记账!$E192="",N(资金日记账!$H192)=0),"",资金日记账!$E192)</f>
        <v/>
      </c>
      <c r="AG192" s="0" t="n">
        <f aca="false">IF(AF192="",0,IF(MATCH(AF192,$AF$4:$AF$603,0)=ROW()-3,1,0))</f>
        <v>0</v>
      </c>
      <c r="AH192" s="0" t="n">
        <f aca="false">N(AH191)+AG192</f>
        <v>5</v>
      </c>
    </row>
    <row r="193" customFormat="false" ht="13.5" hidden="false" customHeight="false" outlineLevel="0" collapsed="false">
      <c r="A193" s="0" t="str">
        <f aca="false">IF(((进销存对接!$D193="客户应收")+(进销存对接!$D193="成品销售款")+(进销存对接!$D193="公司购买果品款")+(进销存对接!$D193="筐子销售款")+(进销存对接!$D193="物料销售款"))&gt;0,进销存对接!$C193,"")</f>
        <v/>
      </c>
      <c r="B193" s="0" t="n">
        <f aca="false">IF(A193="",0,IF(MATCH(A193,$A$4:$A$1925,0)=ROW()-3,1,0))</f>
        <v>0</v>
      </c>
      <c r="C193" s="0" t="n">
        <f aca="false">N(C192)+B193</f>
        <v>6</v>
      </c>
      <c r="E193" s="0" t="str">
        <f aca="false">IFERROR(INDEX($A$4:$A$1925,MATCH(ROW()-3,$C$4:$C$1925,0)),"")</f>
        <v/>
      </c>
      <c r="G193" s="0" t="n">
        <f aca="false">IF(OR($G$1="",资金日记账!$E186="",资金日记账!$E186&lt;&gt;$G$1),0,IF(NOT(OR(N(资金日记账!$H186)&lt;&gt;0,N(资金日记账!$I186)&lt;&gt;0)),0,IF(资金日记账!$B186="",1,IF(OR(N(资金日记账!$B186)&lt;$H$1,N(资金日记账!$B186)&gt;$I$1),0,1))))</f>
        <v>0</v>
      </c>
      <c r="H193" s="0" t="n">
        <f aca="false">N(H192)+$G193</f>
        <v>3</v>
      </c>
      <c r="I193" s="0" t="str">
        <f aca="false">IF($G193=0,"",IF(资金日记账!$B186=0,"",资金日记账!$B186))</f>
        <v/>
      </c>
      <c r="J193" s="0" t="str">
        <f aca="false">IF($G193=0,"",IF(资金日记账!$D186=0,"",资金日记账!$D186))</f>
        <v/>
      </c>
      <c r="K193" s="0" t="str">
        <f aca="false">IF($G193=0,"",IF(""=0,"",""))</f>
        <v/>
      </c>
      <c r="L193" s="0" t="str">
        <f aca="false">IF($G193=0,"",IF(""=0,"",""))</f>
        <v/>
      </c>
      <c r="M193" s="0" t="str">
        <f aca="false">IF($G193=0,"",IF(""=0,"",""))</f>
        <v/>
      </c>
      <c r="N193" s="0" t="str">
        <f aca="false">IF($G193=0,"",IF(IF(N(资金日记账!$I186)=0,"",-ROUND(N(资金日记账!$I186),2))=0,"",IF(N(资金日记账!$I186)=0,"",-ROUND(N(资金日记账!$I186),2))))</f>
        <v/>
      </c>
      <c r="O193" s="0" t="str">
        <f aca="false">IF($G193=0,"",IF(IF(N(资金日记账!$H186)=0,"",ROUND(N(资金日记账!$H186),2))=0,"",IF(N(资金日记账!$H186)=0,"",ROUND(N(资金日记账!$H186),2))))</f>
        <v/>
      </c>
      <c r="P193" s="0" t="str">
        <f aca="false">IF($G193=0,"",IF(资金日记账!$L186=0,"",资金日记账!$L186))</f>
        <v/>
      </c>
      <c r="T193" s="0" t="str">
        <f aca="false">IF(资金日记账!$G193="","",资金日记账!$G193)</f>
        <v/>
      </c>
      <c r="U193" s="0" t="n">
        <f aca="false">IF(T193="",0,IF(MATCH(T193,$T$4:$T$903,0)=ROW()-3,1,0))</f>
        <v>0</v>
      </c>
      <c r="V193" s="0" t="n">
        <f aca="false">N(V192)+U193</f>
        <v>30</v>
      </c>
      <c r="Z193" s="0" t="str">
        <f aca="false">IF(成本费用登记表!$C193="","",成本费用登记表!$C193)</f>
        <v/>
      </c>
      <c r="AA193" s="0" t="n">
        <f aca="false">IF(Z193="",0,IF(MATCH(Z193,$Z$4:$Z$303,0)=ROW()-3,1,0))</f>
        <v>0</v>
      </c>
      <c r="AB193" s="0" t="n">
        <f aca="false">N(AB192)+AA193</f>
        <v>0</v>
      </c>
      <c r="AF193" s="0" t="str">
        <f aca="false">IF(OR(资金日记账!$E193="",N(资金日记账!$H193)=0),"",资金日记账!$E193)</f>
        <v/>
      </c>
      <c r="AG193" s="0" t="n">
        <f aca="false">IF(AF193="",0,IF(MATCH(AF193,$AF$4:$AF$603,0)=ROW()-3,1,0))</f>
        <v>0</v>
      </c>
      <c r="AH193" s="0" t="n">
        <f aca="false">N(AH192)+AG193</f>
        <v>5</v>
      </c>
    </row>
    <row r="194" customFormat="false" ht="13.5" hidden="false" customHeight="false" outlineLevel="0" collapsed="false">
      <c r="A194" s="0" t="str">
        <f aca="false">IF(((进销存对接!$D194="客户应收")+(进销存对接!$D194="成品销售款")+(进销存对接!$D194="公司购买果品款")+(进销存对接!$D194="筐子销售款")+(进销存对接!$D194="物料销售款"))&gt;0,进销存对接!$C194,"")</f>
        <v/>
      </c>
      <c r="B194" s="0" t="n">
        <f aca="false">IF(A194="",0,IF(MATCH(A194,$A$4:$A$1925,0)=ROW()-3,1,0))</f>
        <v>0</v>
      </c>
      <c r="C194" s="0" t="n">
        <f aca="false">N(C193)+B194</f>
        <v>6</v>
      </c>
      <c r="E194" s="0" t="str">
        <f aca="false">IFERROR(INDEX($A$4:$A$1925,MATCH(ROW()-3,$C$4:$C$1925,0)),"")</f>
        <v/>
      </c>
      <c r="G194" s="0" t="n">
        <f aca="false">IF(OR($G$1="",资金日记账!$E187="",资金日记账!$E187&lt;&gt;$G$1),0,IF(NOT(OR(N(资金日记账!$H187)&lt;&gt;0,N(资金日记账!$I187)&lt;&gt;0)),0,IF(资金日记账!$B187="",1,IF(OR(N(资金日记账!$B187)&lt;$H$1,N(资金日记账!$B187)&gt;$I$1),0,1))))</f>
        <v>0</v>
      </c>
      <c r="H194" s="0" t="n">
        <f aca="false">N(H193)+$G194</f>
        <v>3</v>
      </c>
      <c r="I194" s="0" t="str">
        <f aca="false">IF($G194=0,"",IF(资金日记账!$B187=0,"",资金日记账!$B187))</f>
        <v/>
      </c>
      <c r="J194" s="0" t="str">
        <f aca="false">IF($G194=0,"",IF(资金日记账!$D187=0,"",资金日记账!$D187))</f>
        <v/>
      </c>
      <c r="K194" s="0" t="str">
        <f aca="false">IF($G194=0,"",IF(""=0,"",""))</f>
        <v/>
      </c>
      <c r="L194" s="0" t="str">
        <f aca="false">IF($G194=0,"",IF(""=0,"",""))</f>
        <v/>
      </c>
      <c r="M194" s="0" t="str">
        <f aca="false">IF($G194=0,"",IF(""=0,"",""))</f>
        <v/>
      </c>
      <c r="N194" s="0" t="str">
        <f aca="false">IF($G194=0,"",IF(IF(N(资金日记账!$I187)=0,"",-ROUND(N(资金日记账!$I187),2))=0,"",IF(N(资金日记账!$I187)=0,"",-ROUND(N(资金日记账!$I187),2))))</f>
        <v/>
      </c>
      <c r="O194" s="0" t="str">
        <f aca="false">IF($G194=0,"",IF(IF(N(资金日记账!$H187)=0,"",ROUND(N(资金日记账!$H187),2))=0,"",IF(N(资金日记账!$H187)=0,"",ROUND(N(资金日记账!$H187),2))))</f>
        <v/>
      </c>
      <c r="P194" s="0" t="str">
        <f aca="false">IF($G194=0,"",IF(资金日记账!$L187=0,"",资金日记账!$L187))</f>
        <v/>
      </c>
      <c r="T194" s="0" t="str">
        <f aca="false">IF(资金日记账!$G194="","",资金日记账!$G194)</f>
        <v/>
      </c>
      <c r="U194" s="0" t="n">
        <f aca="false">IF(T194="",0,IF(MATCH(T194,$T$4:$T$903,0)=ROW()-3,1,0))</f>
        <v>0</v>
      </c>
      <c r="V194" s="0" t="n">
        <f aca="false">N(V193)+U194</f>
        <v>30</v>
      </c>
      <c r="Z194" s="0" t="str">
        <f aca="false">IF(成本费用登记表!$C194="","",成本费用登记表!$C194)</f>
        <v/>
      </c>
      <c r="AA194" s="0" t="n">
        <f aca="false">IF(Z194="",0,IF(MATCH(Z194,$Z$4:$Z$303,0)=ROW()-3,1,0))</f>
        <v>0</v>
      </c>
      <c r="AB194" s="0" t="n">
        <f aca="false">N(AB193)+AA194</f>
        <v>0</v>
      </c>
      <c r="AF194" s="0" t="str">
        <f aca="false">IF(OR(资金日记账!$E194="",N(资金日记账!$H194)=0),"",资金日记账!$E194)</f>
        <v/>
      </c>
      <c r="AG194" s="0" t="n">
        <f aca="false">IF(AF194="",0,IF(MATCH(AF194,$AF$4:$AF$603,0)=ROW()-3,1,0))</f>
        <v>0</v>
      </c>
      <c r="AH194" s="0" t="n">
        <f aca="false">N(AH193)+AG194</f>
        <v>5</v>
      </c>
    </row>
    <row r="195" customFormat="false" ht="13.5" hidden="false" customHeight="false" outlineLevel="0" collapsed="false">
      <c r="A195" s="0" t="str">
        <f aca="false">IF(((进销存对接!$D195="客户应收")+(进销存对接!$D195="成品销售款")+(进销存对接!$D195="公司购买果品款")+(进销存对接!$D195="筐子销售款")+(进销存对接!$D195="物料销售款"))&gt;0,进销存对接!$C195,"")</f>
        <v/>
      </c>
      <c r="B195" s="0" t="n">
        <f aca="false">IF(A195="",0,IF(MATCH(A195,$A$4:$A$1925,0)=ROW()-3,1,0))</f>
        <v>0</v>
      </c>
      <c r="C195" s="0" t="n">
        <f aca="false">N(C194)+B195</f>
        <v>6</v>
      </c>
      <c r="E195" s="0" t="str">
        <f aca="false">IFERROR(INDEX($A$4:$A$1925,MATCH(ROW()-3,$C$4:$C$1925,0)),"")</f>
        <v/>
      </c>
      <c r="G195" s="0" t="n">
        <f aca="false">IF(OR($G$1="",资金日记账!$E188="",资金日记账!$E188&lt;&gt;$G$1),0,IF(NOT(OR(N(资金日记账!$H188)&lt;&gt;0,N(资金日记账!$I188)&lt;&gt;0)),0,IF(资金日记账!$B188="",1,IF(OR(N(资金日记账!$B188)&lt;$H$1,N(资金日记账!$B188)&gt;$I$1),0,1))))</f>
        <v>0</v>
      </c>
      <c r="H195" s="0" t="n">
        <f aca="false">N(H194)+$G195</f>
        <v>3</v>
      </c>
      <c r="I195" s="0" t="str">
        <f aca="false">IF($G195=0,"",IF(资金日记账!$B188=0,"",资金日记账!$B188))</f>
        <v/>
      </c>
      <c r="J195" s="0" t="str">
        <f aca="false">IF($G195=0,"",IF(资金日记账!$D188=0,"",资金日记账!$D188))</f>
        <v/>
      </c>
      <c r="K195" s="0" t="str">
        <f aca="false">IF($G195=0,"",IF(""=0,"",""))</f>
        <v/>
      </c>
      <c r="L195" s="0" t="str">
        <f aca="false">IF($G195=0,"",IF(""=0,"",""))</f>
        <v/>
      </c>
      <c r="M195" s="0" t="str">
        <f aca="false">IF($G195=0,"",IF(""=0,"",""))</f>
        <v/>
      </c>
      <c r="N195" s="0" t="str">
        <f aca="false">IF($G195=0,"",IF(IF(N(资金日记账!$I188)=0,"",-ROUND(N(资金日记账!$I188),2))=0,"",IF(N(资金日记账!$I188)=0,"",-ROUND(N(资金日记账!$I188),2))))</f>
        <v/>
      </c>
      <c r="O195" s="0" t="str">
        <f aca="false">IF($G195=0,"",IF(IF(N(资金日记账!$H188)=0,"",ROUND(N(资金日记账!$H188),2))=0,"",IF(N(资金日记账!$H188)=0,"",ROUND(N(资金日记账!$H188),2))))</f>
        <v/>
      </c>
      <c r="P195" s="0" t="str">
        <f aca="false">IF($G195=0,"",IF(资金日记账!$L188=0,"",资金日记账!$L188))</f>
        <v/>
      </c>
      <c r="T195" s="0" t="str">
        <f aca="false">IF(资金日记账!$G195="","",资金日记账!$G195)</f>
        <v/>
      </c>
      <c r="U195" s="0" t="n">
        <f aca="false">IF(T195="",0,IF(MATCH(T195,$T$4:$T$903,0)=ROW()-3,1,0))</f>
        <v>0</v>
      </c>
      <c r="V195" s="0" t="n">
        <f aca="false">N(V194)+U195</f>
        <v>30</v>
      </c>
      <c r="Z195" s="0" t="str">
        <f aca="false">IF(成本费用登记表!$C195="","",成本费用登记表!$C195)</f>
        <v/>
      </c>
      <c r="AA195" s="0" t="n">
        <f aca="false">IF(Z195="",0,IF(MATCH(Z195,$Z$4:$Z$303,0)=ROW()-3,1,0))</f>
        <v>0</v>
      </c>
      <c r="AB195" s="0" t="n">
        <f aca="false">N(AB194)+AA195</f>
        <v>0</v>
      </c>
      <c r="AF195" s="0" t="str">
        <f aca="false">IF(OR(资金日记账!$E195="",N(资金日记账!$H195)=0),"",资金日记账!$E195)</f>
        <v/>
      </c>
      <c r="AG195" s="0" t="n">
        <f aca="false">IF(AF195="",0,IF(MATCH(AF195,$AF$4:$AF$603,0)=ROW()-3,1,0))</f>
        <v>0</v>
      </c>
      <c r="AH195" s="0" t="n">
        <f aca="false">N(AH194)+AG195</f>
        <v>5</v>
      </c>
    </row>
    <row r="196" customFormat="false" ht="13.5" hidden="false" customHeight="false" outlineLevel="0" collapsed="false">
      <c r="A196" s="0" t="str">
        <f aca="false">IF(((进销存对接!$D196="客户应收")+(进销存对接!$D196="成品销售款")+(进销存对接!$D196="公司购买果品款")+(进销存对接!$D196="筐子销售款")+(进销存对接!$D196="物料销售款"))&gt;0,进销存对接!$C196,"")</f>
        <v/>
      </c>
      <c r="B196" s="0" t="n">
        <f aca="false">IF(A196="",0,IF(MATCH(A196,$A$4:$A$1925,0)=ROW()-3,1,0))</f>
        <v>0</v>
      </c>
      <c r="C196" s="0" t="n">
        <f aca="false">N(C195)+B196</f>
        <v>6</v>
      </c>
      <c r="E196" s="0" t="str">
        <f aca="false">IFERROR(INDEX($A$4:$A$1925,MATCH(ROW()-3,$C$4:$C$1925,0)),"")</f>
        <v/>
      </c>
      <c r="G196" s="0" t="n">
        <f aca="false">IF(OR($G$1="",资金日记账!$E189="",资金日记账!$E189&lt;&gt;$G$1),0,IF(NOT(OR(N(资金日记账!$H189)&lt;&gt;0,N(资金日记账!$I189)&lt;&gt;0)),0,IF(资金日记账!$B189="",1,IF(OR(N(资金日记账!$B189)&lt;$H$1,N(资金日记账!$B189)&gt;$I$1),0,1))))</f>
        <v>0</v>
      </c>
      <c r="H196" s="0" t="n">
        <f aca="false">N(H195)+$G196</f>
        <v>3</v>
      </c>
      <c r="I196" s="0" t="str">
        <f aca="false">IF($G196=0,"",IF(资金日记账!$B189=0,"",资金日记账!$B189))</f>
        <v/>
      </c>
      <c r="J196" s="0" t="str">
        <f aca="false">IF($G196=0,"",IF(资金日记账!$D189=0,"",资金日记账!$D189))</f>
        <v/>
      </c>
      <c r="K196" s="0" t="str">
        <f aca="false">IF($G196=0,"",IF(""=0,"",""))</f>
        <v/>
      </c>
      <c r="L196" s="0" t="str">
        <f aca="false">IF($G196=0,"",IF(""=0,"",""))</f>
        <v/>
      </c>
      <c r="M196" s="0" t="str">
        <f aca="false">IF($G196=0,"",IF(""=0,"",""))</f>
        <v/>
      </c>
      <c r="N196" s="0" t="str">
        <f aca="false">IF($G196=0,"",IF(IF(N(资金日记账!$I189)=0,"",-ROUND(N(资金日记账!$I189),2))=0,"",IF(N(资金日记账!$I189)=0,"",-ROUND(N(资金日记账!$I189),2))))</f>
        <v/>
      </c>
      <c r="O196" s="0" t="str">
        <f aca="false">IF($G196=0,"",IF(IF(N(资金日记账!$H189)=0,"",ROUND(N(资金日记账!$H189),2))=0,"",IF(N(资金日记账!$H189)=0,"",ROUND(N(资金日记账!$H189),2))))</f>
        <v/>
      </c>
      <c r="P196" s="0" t="str">
        <f aca="false">IF($G196=0,"",IF(资金日记账!$L189=0,"",资金日记账!$L189))</f>
        <v/>
      </c>
      <c r="T196" s="0" t="str">
        <f aca="false">IF(资金日记账!$G196="","",资金日记账!$G196)</f>
        <v/>
      </c>
      <c r="U196" s="0" t="n">
        <f aca="false">IF(T196="",0,IF(MATCH(T196,$T$4:$T$903,0)=ROW()-3,1,0))</f>
        <v>0</v>
      </c>
      <c r="V196" s="0" t="n">
        <f aca="false">N(V195)+U196</f>
        <v>30</v>
      </c>
      <c r="Z196" s="0" t="str">
        <f aca="false">IF(成本费用登记表!$C196="","",成本费用登记表!$C196)</f>
        <v/>
      </c>
      <c r="AA196" s="0" t="n">
        <f aca="false">IF(Z196="",0,IF(MATCH(Z196,$Z$4:$Z$303,0)=ROW()-3,1,0))</f>
        <v>0</v>
      </c>
      <c r="AB196" s="0" t="n">
        <f aca="false">N(AB195)+AA196</f>
        <v>0</v>
      </c>
      <c r="AF196" s="0" t="str">
        <f aca="false">IF(OR(资金日记账!$E196="",N(资金日记账!$H196)=0),"",资金日记账!$E196)</f>
        <v/>
      </c>
      <c r="AG196" s="0" t="n">
        <f aca="false">IF(AF196="",0,IF(MATCH(AF196,$AF$4:$AF$603,0)=ROW()-3,1,0))</f>
        <v>0</v>
      </c>
      <c r="AH196" s="0" t="n">
        <f aca="false">N(AH195)+AG196</f>
        <v>5</v>
      </c>
    </row>
    <row r="197" customFormat="false" ht="13.5" hidden="false" customHeight="false" outlineLevel="0" collapsed="false">
      <c r="A197" s="0" t="str">
        <f aca="false">IF(((进销存对接!$D197="客户应收")+(进销存对接!$D197="成品销售款")+(进销存对接!$D197="公司购买果品款")+(进销存对接!$D197="筐子销售款")+(进销存对接!$D197="物料销售款"))&gt;0,进销存对接!$C197,"")</f>
        <v/>
      </c>
      <c r="B197" s="0" t="n">
        <f aca="false">IF(A197="",0,IF(MATCH(A197,$A$4:$A$1925,0)=ROW()-3,1,0))</f>
        <v>0</v>
      </c>
      <c r="C197" s="0" t="n">
        <f aca="false">N(C196)+B197</f>
        <v>6</v>
      </c>
      <c r="E197" s="0" t="str">
        <f aca="false">IFERROR(INDEX($A$4:$A$1925,MATCH(ROW()-3,$C$4:$C$1925,0)),"")</f>
        <v/>
      </c>
      <c r="G197" s="0" t="n">
        <f aca="false">IF(OR($G$1="",资金日记账!$E190="",资金日记账!$E190&lt;&gt;$G$1),0,IF(NOT(OR(N(资金日记账!$H190)&lt;&gt;0,N(资金日记账!$I190)&lt;&gt;0)),0,IF(资金日记账!$B190="",1,IF(OR(N(资金日记账!$B190)&lt;$H$1,N(资金日记账!$B190)&gt;$I$1),0,1))))</f>
        <v>0</v>
      </c>
      <c r="H197" s="0" t="n">
        <f aca="false">N(H196)+$G197</f>
        <v>3</v>
      </c>
      <c r="I197" s="0" t="str">
        <f aca="false">IF($G197=0,"",IF(资金日记账!$B190=0,"",资金日记账!$B190))</f>
        <v/>
      </c>
      <c r="J197" s="0" t="str">
        <f aca="false">IF($G197=0,"",IF(资金日记账!$D190=0,"",资金日记账!$D190))</f>
        <v/>
      </c>
      <c r="K197" s="0" t="str">
        <f aca="false">IF($G197=0,"",IF(""=0,"",""))</f>
        <v/>
      </c>
      <c r="L197" s="0" t="str">
        <f aca="false">IF($G197=0,"",IF(""=0,"",""))</f>
        <v/>
      </c>
      <c r="M197" s="0" t="str">
        <f aca="false">IF($G197=0,"",IF(""=0,"",""))</f>
        <v/>
      </c>
      <c r="N197" s="0" t="str">
        <f aca="false">IF($G197=0,"",IF(IF(N(资金日记账!$I190)=0,"",-ROUND(N(资金日记账!$I190),2))=0,"",IF(N(资金日记账!$I190)=0,"",-ROUND(N(资金日记账!$I190),2))))</f>
        <v/>
      </c>
      <c r="O197" s="0" t="str">
        <f aca="false">IF($G197=0,"",IF(IF(N(资金日记账!$H190)=0,"",ROUND(N(资金日记账!$H190),2))=0,"",IF(N(资金日记账!$H190)=0,"",ROUND(N(资金日记账!$H190),2))))</f>
        <v/>
      </c>
      <c r="P197" s="0" t="str">
        <f aca="false">IF($G197=0,"",IF(资金日记账!$L190=0,"",资金日记账!$L190))</f>
        <v/>
      </c>
      <c r="T197" s="0" t="str">
        <f aca="false">IF(资金日记账!$G197="","",资金日记账!$G197)</f>
        <v/>
      </c>
      <c r="U197" s="0" t="n">
        <f aca="false">IF(T197="",0,IF(MATCH(T197,$T$4:$T$903,0)=ROW()-3,1,0))</f>
        <v>0</v>
      </c>
      <c r="V197" s="0" t="n">
        <f aca="false">N(V196)+U197</f>
        <v>30</v>
      </c>
      <c r="Z197" s="0" t="str">
        <f aca="false">IF(成本费用登记表!$C197="","",成本费用登记表!$C197)</f>
        <v/>
      </c>
      <c r="AA197" s="0" t="n">
        <f aca="false">IF(Z197="",0,IF(MATCH(Z197,$Z$4:$Z$303,0)=ROW()-3,1,0))</f>
        <v>0</v>
      </c>
      <c r="AB197" s="0" t="n">
        <f aca="false">N(AB196)+AA197</f>
        <v>0</v>
      </c>
      <c r="AF197" s="0" t="str">
        <f aca="false">IF(OR(资金日记账!$E197="",N(资金日记账!$H197)=0),"",资金日记账!$E197)</f>
        <v/>
      </c>
      <c r="AG197" s="0" t="n">
        <f aca="false">IF(AF197="",0,IF(MATCH(AF197,$AF$4:$AF$603,0)=ROW()-3,1,0))</f>
        <v>0</v>
      </c>
      <c r="AH197" s="0" t="n">
        <f aca="false">N(AH196)+AG197</f>
        <v>5</v>
      </c>
    </row>
    <row r="198" customFormat="false" ht="13.5" hidden="false" customHeight="false" outlineLevel="0" collapsed="false">
      <c r="A198" s="0" t="str">
        <f aca="false">IF(((进销存对接!$D198="客户应收")+(进销存对接!$D198="成品销售款")+(进销存对接!$D198="公司购买果品款")+(进销存对接!$D198="筐子销售款")+(进销存对接!$D198="物料销售款"))&gt;0,进销存对接!$C198,"")</f>
        <v/>
      </c>
      <c r="B198" s="0" t="n">
        <f aca="false">IF(A198="",0,IF(MATCH(A198,$A$4:$A$1925,0)=ROW()-3,1,0))</f>
        <v>0</v>
      </c>
      <c r="C198" s="0" t="n">
        <f aca="false">N(C197)+B198</f>
        <v>6</v>
      </c>
      <c r="E198" s="0" t="str">
        <f aca="false">IFERROR(INDEX($A$4:$A$1925,MATCH(ROW()-3,$C$4:$C$1925,0)),"")</f>
        <v/>
      </c>
      <c r="G198" s="0" t="n">
        <f aca="false">IF(OR($G$1="",资金日记账!$E191="",资金日记账!$E191&lt;&gt;$G$1),0,IF(NOT(OR(N(资金日记账!$H191)&lt;&gt;0,N(资金日记账!$I191)&lt;&gt;0)),0,IF(资金日记账!$B191="",1,IF(OR(N(资金日记账!$B191)&lt;$H$1,N(资金日记账!$B191)&gt;$I$1),0,1))))</f>
        <v>0</v>
      </c>
      <c r="H198" s="0" t="n">
        <f aca="false">N(H197)+$G198</f>
        <v>3</v>
      </c>
      <c r="I198" s="0" t="str">
        <f aca="false">IF($G198=0,"",IF(资金日记账!$B191=0,"",资金日记账!$B191))</f>
        <v/>
      </c>
      <c r="J198" s="0" t="str">
        <f aca="false">IF($G198=0,"",IF(资金日记账!$D191=0,"",资金日记账!$D191))</f>
        <v/>
      </c>
      <c r="K198" s="0" t="str">
        <f aca="false">IF($G198=0,"",IF(""=0,"",""))</f>
        <v/>
      </c>
      <c r="L198" s="0" t="str">
        <f aca="false">IF($G198=0,"",IF(""=0,"",""))</f>
        <v/>
      </c>
      <c r="M198" s="0" t="str">
        <f aca="false">IF($G198=0,"",IF(""=0,"",""))</f>
        <v/>
      </c>
      <c r="N198" s="0" t="str">
        <f aca="false">IF($G198=0,"",IF(IF(N(资金日记账!$I191)=0,"",-ROUND(N(资金日记账!$I191),2))=0,"",IF(N(资金日记账!$I191)=0,"",-ROUND(N(资金日记账!$I191),2))))</f>
        <v/>
      </c>
      <c r="O198" s="0" t="str">
        <f aca="false">IF($G198=0,"",IF(IF(N(资金日记账!$H191)=0,"",ROUND(N(资金日记账!$H191),2))=0,"",IF(N(资金日记账!$H191)=0,"",ROUND(N(资金日记账!$H191),2))))</f>
        <v/>
      </c>
      <c r="P198" s="0" t="str">
        <f aca="false">IF($G198=0,"",IF(资金日记账!$L191=0,"",资金日记账!$L191))</f>
        <v/>
      </c>
      <c r="T198" s="0" t="str">
        <f aca="false">IF(资金日记账!$G198="","",资金日记账!$G198)</f>
        <v/>
      </c>
      <c r="U198" s="0" t="n">
        <f aca="false">IF(T198="",0,IF(MATCH(T198,$T$4:$T$903,0)=ROW()-3,1,0))</f>
        <v>0</v>
      </c>
      <c r="V198" s="0" t="n">
        <f aca="false">N(V197)+U198</f>
        <v>30</v>
      </c>
      <c r="Z198" s="0" t="str">
        <f aca="false">IF(成本费用登记表!$C198="","",成本费用登记表!$C198)</f>
        <v/>
      </c>
      <c r="AA198" s="0" t="n">
        <f aca="false">IF(Z198="",0,IF(MATCH(Z198,$Z$4:$Z$303,0)=ROW()-3,1,0))</f>
        <v>0</v>
      </c>
      <c r="AB198" s="0" t="n">
        <f aca="false">N(AB197)+AA198</f>
        <v>0</v>
      </c>
      <c r="AF198" s="0" t="str">
        <f aca="false">IF(OR(资金日记账!$E198="",N(资金日记账!$H198)=0),"",资金日记账!$E198)</f>
        <v/>
      </c>
      <c r="AG198" s="0" t="n">
        <f aca="false">IF(AF198="",0,IF(MATCH(AF198,$AF$4:$AF$603,0)=ROW()-3,1,0))</f>
        <v>0</v>
      </c>
      <c r="AH198" s="0" t="n">
        <f aca="false">N(AH197)+AG198</f>
        <v>5</v>
      </c>
    </row>
    <row r="199" customFormat="false" ht="13.5" hidden="false" customHeight="false" outlineLevel="0" collapsed="false">
      <c r="A199" s="0" t="str">
        <f aca="false">IF(((进销存对接!$D199="客户应收")+(进销存对接!$D199="成品销售款")+(进销存对接!$D199="公司购买果品款")+(进销存对接!$D199="筐子销售款")+(进销存对接!$D199="物料销售款"))&gt;0,进销存对接!$C199,"")</f>
        <v/>
      </c>
      <c r="B199" s="0" t="n">
        <f aca="false">IF(A199="",0,IF(MATCH(A199,$A$4:$A$1925,0)=ROW()-3,1,0))</f>
        <v>0</v>
      </c>
      <c r="C199" s="0" t="n">
        <f aca="false">N(C198)+B199</f>
        <v>6</v>
      </c>
      <c r="E199" s="0" t="str">
        <f aca="false">IFERROR(INDEX($A$4:$A$1925,MATCH(ROW()-3,$C$4:$C$1925,0)),"")</f>
        <v/>
      </c>
      <c r="G199" s="0" t="n">
        <f aca="false">IF(OR($G$1="",资金日记账!$E192="",资金日记账!$E192&lt;&gt;$G$1),0,IF(NOT(OR(N(资金日记账!$H192)&lt;&gt;0,N(资金日记账!$I192)&lt;&gt;0)),0,IF(资金日记账!$B192="",1,IF(OR(N(资金日记账!$B192)&lt;$H$1,N(资金日记账!$B192)&gt;$I$1),0,1))))</f>
        <v>0</v>
      </c>
      <c r="H199" s="0" t="n">
        <f aca="false">N(H198)+$G199</f>
        <v>3</v>
      </c>
      <c r="I199" s="0" t="str">
        <f aca="false">IF($G199=0,"",IF(资金日记账!$B192=0,"",资金日记账!$B192))</f>
        <v/>
      </c>
      <c r="J199" s="0" t="str">
        <f aca="false">IF($G199=0,"",IF(资金日记账!$D192=0,"",资金日记账!$D192))</f>
        <v/>
      </c>
      <c r="K199" s="0" t="str">
        <f aca="false">IF($G199=0,"",IF(""=0,"",""))</f>
        <v/>
      </c>
      <c r="L199" s="0" t="str">
        <f aca="false">IF($G199=0,"",IF(""=0,"",""))</f>
        <v/>
      </c>
      <c r="M199" s="0" t="str">
        <f aca="false">IF($G199=0,"",IF(""=0,"",""))</f>
        <v/>
      </c>
      <c r="N199" s="0" t="str">
        <f aca="false">IF($G199=0,"",IF(IF(N(资金日记账!$I192)=0,"",-ROUND(N(资金日记账!$I192),2))=0,"",IF(N(资金日记账!$I192)=0,"",-ROUND(N(资金日记账!$I192),2))))</f>
        <v/>
      </c>
      <c r="O199" s="0" t="str">
        <f aca="false">IF($G199=0,"",IF(IF(N(资金日记账!$H192)=0,"",ROUND(N(资金日记账!$H192),2))=0,"",IF(N(资金日记账!$H192)=0,"",ROUND(N(资金日记账!$H192),2))))</f>
        <v/>
      </c>
      <c r="P199" s="0" t="str">
        <f aca="false">IF($G199=0,"",IF(资金日记账!$L192=0,"",资金日记账!$L192))</f>
        <v/>
      </c>
      <c r="T199" s="0" t="str">
        <f aca="false">IF(资金日记账!$G199="","",资金日记账!$G199)</f>
        <v/>
      </c>
      <c r="U199" s="0" t="n">
        <f aca="false">IF(T199="",0,IF(MATCH(T199,$T$4:$T$903,0)=ROW()-3,1,0))</f>
        <v>0</v>
      </c>
      <c r="V199" s="0" t="n">
        <f aca="false">N(V198)+U199</f>
        <v>30</v>
      </c>
      <c r="Z199" s="0" t="str">
        <f aca="false">IF(成本费用登记表!$C199="","",成本费用登记表!$C199)</f>
        <v/>
      </c>
      <c r="AA199" s="0" t="n">
        <f aca="false">IF(Z199="",0,IF(MATCH(Z199,$Z$4:$Z$303,0)=ROW()-3,1,0))</f>
        <v>0</v>
      </c>
      <c r="AB199" s="0" t="n">
        <f aca="false">N(AB198)+AA199</f>
        <v>0</v>
      </c>
      <c r="AF199" s="0" t="str">
        <f aca="false">IF(OR(资金日记账!$E199="",N(资金日记账!$H199)=0),"",资金日记账!$E199)</f>
        <v/>
      </c>
      <c r="AG199" s="0" t="n">
        <f aca="false">IF(AF199="",0,IF(MATCH(AF199,$AF$4:$AF$603,0)=ROW()-3,1,0))</f>
        <v>0</v>
      </c>
      <c r="AH199" s="0" t="n">
        <f aca="false">N(AH198)+AG199</f>
        <v>5</v>
      </c>
    </row>
    <row r="200" customFormat="false" ht="13.5" hidden="false" customHeight="false" outlineLevel="0" collapsed="false">
      <c r="A200" s="0" t="str">
        <f aca="false">IF(((进销存对接!$D200="客户应收")+(进销存对接!$D200="成品销售款")+(进销存对接!$D200="公司购买果品款")+(进销存对接!$D200="筐子销售款")+(进销存对接!$D200="物料销售款"))&gt;0,进销存对接!$C200,"")</f>
        <v/>
      </c>
      <c r="B200" s="0" t="n">
        <f aca="false">IF(A200="",0,IF(MATCH(A200,$A$4:$A$1925,0)=ROW()-3,1,0))</f>
        <v>0</v>
      </c>
      <c r="C200" s="0" t="n">
        <f aca="false">N(C199)+B200</f>
        <v>6</v>
      </c>
      <c r="E200" s="0" t="str">
        <f aca="false">IFERROR(INDEX($A$4:$A$1925,MATCH(ROW()-3,$C$4:$C$1925,0)),"")</f>
        <v/>
      </c>
      <c r="G200" s="0" t="n">
        <f aca="false">IF(OR($G$1="",资金日记账!$E193="",资金日记账!$E193&lt;&gt;$G$1),0,IF(NOT(OR(N(资金日记账!$H193)&lt;&gt;0,N(资金日记账!$I193)&lt;&gt;0)),0,IF(资金日记账!$B193="",1,IF(OR(N(资金日记账!$B193)&lt;$H$1,N(资金日记账!$B193)&gt;$I$1),0,1))))</f>
        <v>0</v>
      </c>
      <c r="H200" s="0" t="n">
        <f aca="false">N(H199)+$G200</f>
        <v>3</v>
      </c>
      <c r="I200" s="0" t="str">
        <f aca="false">IF($G200=0,"",IF(资金日记账!$B193=0,"",资金日记账!$B193))</f>
        <v/>
      </c>
      <c r="J200" s="0" t="str">
        <f aca="false">IF($G200=0,"",IF(资金日记账!$D193=0,"",资金日记账!$D193))</f>
        <v/>
      </c>
      <c r="K200" s="0" t="str">
        <f aca="false">IF($G200=0,"",IF(""=0,"",""))</f>
        <v/>
      </c>
      <c r="L200" s="0" t="str">
        <f aca="false">IF($G200=0,"",IF(""=0,"",""))</f>
        <v/>
      </c>
      <c r="M200" s="0" t="str">
        <f aca="false">IF($G200=0,"",IF(""=0,"",""))</f>
        <v/>
      </c>
      <c r="N200" s="0" t="str">
        <f aca="false">IF($G200=0,"",IF(IF(N(资金日记账!$I193)=0,"",-ROUND(N(资金日记账!$I193),2))=0,"",IF(N(资金日记账!$I193)=0,"",-ROUND(N(资金日记账!$I193),2))))</f>
        <v/>
      </c>
      <c r="O200" s="0" t="str">
        <f aca="false">IF($G200=0,"",IF(IF(N(资金日记账!$H193)=0,"",ROUND(N(资金日记账!$H193),2))=0,"",IF(N(资金日记账!$H193)=0,"",ROUND(N(资金日记账!$H193),2))))</f>
        <v/>
      </c>
      <c r="P200" s="0" t="str">
        <f aca="false">IF($G200=0,"",IF(资金日记账!$L193=0,"",资金日记账!$L193))</f>
        <v/>
      </c>
      <c r="T200" s="0" t="str">
        <f aca="false">IF(资金日记账!$G200="","",资金日记账!$G200)</f>
        <v/>
      </c>
      <c r="U200" s="0" t="n">
        <f aca="false">IF(T200="",0,IF(MATCH(T200,$T$4:$T$903,0)=ROW()-3,1,0))</f>
        <v>0</v>
      </c>
      <c r="V200" s="0" t="n">
        <f aca="false">N(V199)+U200</f>
        <v>30</v>
      </c>
      <c r="Z200" s="0" t="str">
        <f aca="false">IF(成本费用登记表!$C200="","",成本费用登记表!$C200)</f>
        <v/>
      </c>
      <c r="AA200" s="0" t="n">
        <f aca="false">IF(Z200="",0,IF(MATCH(Z200,$Z$4:$Z$303,0)=ROW()-3,1,0))</f>
        <v>0</v>
      </c>
      <c r="AB200" s="0" t="n">
        <f aca="false">N(AB199)+AA200</f>
        <v>0</v>
      </c>
      <c r="AF200" s="0" t="str">
        <f aca="false">IF(OR(资金日记账!$E200="",N(资金日记账!$H200)=0),"",资金日记账!$E200)</f>
        <v/>
      </c>
      <c r="AG200" s="0" t="n">
        <f aca="false">IF(AF200="",0,IF(MATCH(AF200,$AF$4:$AF$603,0)=ROW()-3,1,0))</f>
        <v>0</v>
      </c>
      <c r="AH200" s="0" t="n">
        <f aca="false">N(AH199)+AG200</f>
        <v>5</v>
      </c>
    </row>
    <row r="201" customFormat="false" ht="13.5" hidden="false" customHeight="false" outlineLevel="0" collapsed="false">
      <c r="A201" s="0" t="str">
        <f aca="false">IF(((进销存对接!$D201="客户应收")+(进销存对接!$D201="成品销售款")+(进销存对接!$D201="公司购买果品款")+(进销存对接!$D201="筐子销售款")+(进销存对接!$D201="物料销售款"))&gt;0,进销存对接!$C201,"")</f>
        <v/>
      </c>
      <c r="B201" s="0" t="n">
        <f aca="false">IF(A201="",0,IF(MATCH(A201,$A$4:$A$1925,0)=ROW()-3,1,0))</f>
        <v>0</v>
      </c>
      <c r="C201" s="0" t="n">
        <f aca="false">N(C200)+B201</f>
        <v>6</v>
      </c>
      <c r="E201" s="0" t="str">
        <f aca="false">IFERROR(INDEX($A$4:$A$1925,MATCH(ROW()-3,$C$4:$C$1925,0)),"")</f>
        <v/>
      </c>
      <c r="G201" s="0" t="n">
        <f aca="false">IF(OR($G$1="",资金日记账!$E194="",资金日记账!$E194&lt;&gt;$G$1),0,IF(NOT(OR(N(资金日记账!$H194)&lt;&gt;0,N(资金日记账!$I194)&lt;&gt;0)),0,IF(资金日记账!$B194="",1,IF(OR(N(资金日记账!$B194)&lt;$H$1,N(资金日记账!$B194)&gt;$I$1),0,1))))</f>
        <v>0</v>
      </c>
      <c r="H201" s="0" t="n">
        <f aca="false">N(H200)+$G201</f>
        <v>3</v>
      </c>
      <c r="I201" s="0" t="str">
        <f aca="false">IF($G201=0,"",IF(资金日记账!$B194=0,"",资金日记账!$B194))</f>
        <v/>
      </c>
      <c r="J201" s="0" t="str">
        <f aca="false">IF($G201=0,"",IF(资金日记账!$D194=0,"",资金日记账!$D194))</f>
        <v/>
      </c>
      <c r="K201" s="0" t="str">
        <f aca="false">IF($G201=0,"",IF(""=0,"",""))</f>
        <v/>
      </c>
      <c r="L201" s="0" t="str">
        <f aca="false">IF($G201=0,"",IF(""=0,"",""))</f>
        <v/>
      </c>
      <c r="M201" s="0" t="str">
        <f aca="false">IF($G201=0,"",IF(""=0,"",""))</f>
        <v/>
      </c>
      <c r="N201" s="0" t="str">
        <f aca="false">IF($G201=0,"",IF(IF(N(资金日记账!$I194)=0,"",-ROUND(N(资金日记账!$I194),2))=0,"",IF(N(资金日记账!$I194)=0,"",-ROUND(N(资金日记账!$I194),2))))</f>
        <v/>
      </c>
      <c r="O201" s="0" t="str">
        <f aca="false">IF($G201=0,"",IF(IF(N(资金日记账!$H194)=0,"",ROUND(N(资金日记账!$H194),2))=0,"",IF(N(资金日记账!$H194)=0,"",ROUND(N(资金日记账!$H194),2))))</f>
        <v/>
      </c>
      <c r="P201" s="0" t="str">
        <f aca="false">IF($G201=0,"",IF(资金日记账!$L194=0,"",资金日记账!$L194))</f>
        <v/>
      </c>
      <c r="T201" s="0" t="str">
        <f aca="false">IF(资金日记账!$G201="","",资金日记账!$G201)</f>
        <v/>
      </c>
      <c r="U201" s="0" t="n">
        <f aca="false">IF(T201="",0,IF(MATCH(T201,$T$4:$T$903,0)=ROW()-3,1,0))</f>
        <v>0</v>
      </c>
      <c r="V201" s="0" t="n">
        <f aca="false">N(V200)+U201</f>
        <v>30</v>
      </c>
      <c r="Z201" s="0" t="str">
        <f aca="false">IF(成本费用登记表!$C201="","",成本费用登记表!$C201)</f>
        <v/>
      </c>
      <c r="AA201" s="0" t="n">
        <f aca="false">IF(Z201="",0,IF(MATCH(Z201,$Z$4:$Z$303,0)=ROW()-3,1,0))</f>
        <v>0</v>
      </c>
      <c r="AB201" s="0" t="n">
        <f aca="false">N(AB200)+AA201</f>
        <v>0</v>
      </c>
      <c r="AF201" s="0" t="str">
        <f aca="false">IF(OR(资金日记账!$E201="",N(资金日记账!$H201)=0),"",资金日记账!$E201)</f>
        <v/>
      </c>
      <c r="AG201" s="0" t="n">
        <f aca="false">IF(AF201="",0,IF(MATCH(AF201,$AF$4:$AF$603,0)=ROW()-3,1,0))</f>
        <v>0</v>
      </c>
      <c r="AH201" s="0" t="n">
        <f aca="false">N(AH200)+AG201</f>
        <v>5</v>
      </c>
    </row>
    <row r="202" customFormat="false" ht="13.5" hidden="false" customHeight="false" outlineLevel="0" collapsed="false">
      <c r="A202" s="0" t="str">
        <f aca="false">IF(((进销存对接!$D202="客户应收")+(进销存对接!$D202="成品销售款")+(进销存对接!$D202="公司购买果品款")+(进销存对接!$D202="筐子销售款")+(进销存对接!$D202="物料销售款"))&gt;0,进销存对接!$C202,"")</f>
        <v/>
      </c>
      <c r="B202" s="0" t="n">
        <f aca="false">IF(A202="",0,IF(MATCH(A202,$A$4:$A$1925,0)=ROW()-3,1,0))</f>
        <v>0</v>
      </c>
      <c r="C202" s="0" t="n">
        <f aca="false">N(C201)+B202</f>
        <v>6</v>
      </c>
      <c r="E202" s="0" t="str">
        <f aca="false">IFERROR(INDEX($A$4:$A$1925,MATCH(ROW()-3,$C$4:$C$1925,0)),"")</f>
        <v/>
      </c>
      <c r="G202" s="0" t="n">
        <f aca="false">IF(OR($G$1="",资金日记账!$E195="",资金日记账!$E195&lt;&gt;$G$1),0,IF(NOT(OR(N(资金日记账!$H195)&lt;&gt;0,N(资金日记账!$I195)&lt;&gt;0)),0,IF(资金日记账!$B195="",1,IF(OR(N(资金日记账!$B195)&lt;$H$1,N(资金日记账!$B195)&gt;$I$1),0,1))))</f>
        <v>0</v>
      </c>
      <c r="H202" s="0" t="n">
        <f aca="false">N(H201)+$G202</f>
        <v>3</v>
      </c>
      <c r="I202" s="0" t="str">
        <f aca="false">IF($G202=0,"",IF(资金日记账!$B195=0,"",资金日记账!$B195))</f>
        <v/>
      </c>
      <c r="J202" s="0" t="str">
        <f aca="false">IF($G202=0,"",IF(资金日记账!$D195=0,"",资金日记账!$D195))</f>
        <v/>
      </c>
      <c r="K202" s="0" t="str">
        <f aca="false">IF($G202=0,"",IF(""=0,"",""))</f>
        <v/>
      </c>
      <c r="L202" s="0" t="str">
        <f aca="false">IF($G202=0,"",IF(""=0,"",""))</f>
        <v/>
      </c>
      <c r="M202" s="0" t="str">
        <f aca="false">IF($G202=0,"",IF(""=0,"",""))</f>
        <v/>
      </c>
      <c r="N202" s="0" t="str">
        <f aca="false">IF($G202=0,"",IF(IF(N(资金日记账!$I195)=0,"",-ROUND(N(资金日记账!$I195),2))=0,"",IF(N(资金日记账!$I195)=0,"",-ROUND(N(资金日记账!$I195),2))))</f>
        <v/>
      </c>
      <c r="O202" s="0" t="str">
        <f aca="false">IF($G202=0,"",IF(IF(N(资金日记账!$H195)=0,"",ROUND(N(资金日记账!$H195),2))=0,"",IF(N(资金日记账!$H195)=0,"",ROUND(N(资金日记账!$H195),2))))</f>
        <v/>
      </c>
      <c r="P202" s="0" t="str">
        <f aca="false">IF($G202=0,"",IF(资金日记账!$L195=0,"",资金日记账!$L195))</f>
        <v/>
      </c>
      <c r="T202" s="0" t="str">
        <f aca="false">IF(资金日记账!$G202="","",资金日记账!$G202)</f>
        <v/>
      </c>
      <c r="U202" s="0" t="n">
        <f aca="false">IF(T202="",0,IF(MATCH(T202,$T$4:$T$903,0)=ROW()-3,1,0))</f>
        <v>0</v>
      </c>
      <c r="V202" s="0" t="n">
        <f aca="false">N(V201)+U202</f>
        <v>30</v>
      </c>
      <c r="Z202" s="0" t="str">
        <f aca="false">IF(成本费用登记表!$C202="","",成本费用登记表!$C202)</f>
        <v/>
      </c>
      <c r="AA202" s="0" t="n">
        <f aca="false">IF(Z202="",0,IF(MATCH(Z202,$Z$4:$Z$303,0)=ROW()-3,1,0))</f>
        <v>0</v>
      </c>
      <c r="AB202" s="0" t="n">
        <f aca="false">N(AB201)+AA202</f>
        <v>0</v>
      </c>
      <c r="AF202" s="0" t="str">
        <f aca="false">IF(OR(资金日记账!$E202="",N(资金日记账!$H202)=0),"",资金日记账!$E202)</f>
        <v/>
      </c>
      <c r="AG202" s="0" t="n">
        <f aca="false">IF(AF202="",0,IF(MATCH(AF202,$AF$4:$AF$603,0)=ROW()-3,1,0))</f>
        <v>0</v>
      </c>
      <c r="AH202" s="0" t="n">
        <f aca="false">N(AH201)+AG202</f>
        <v>5</v>
      </c>
    </row>
    <row r="203" customFormat="false" ht="13.5" hidden="false" customHeight="false" outlineLevel="0" collapsed="false">
      <c r="A203" s="0" t="str">
        <f aca="false">IF(((进销存对接!$D203="客户应收")+(进销存对接!$D203="成品销售款")+(进销存对接!$D203="公司购买果品款")+(进销存对接!$D203="筐子销售款")+(进销存对接!$D203="物料销售款"))&gt;0,进销存对接!$C203,"")</f>
        <v/>
      </c>
      <c r="B203" s="0" t="n">
        <f aca="false">IF(A203="",0,IF(MATCH(A203,$A$4:$A$1925,0)=ROW()-3,1,0))</f>
        <v>0</v>
      </c>
      <c r="C203" s="0" t="n">
        <f aca="false">N(C202)+B203</f>
        <v>6</v>
      </c>
      <c r="E203" s="0" t="str">
        <f aca="false">IFERROR(INDEX($A$4:$A$1925,MATCH(ROW()-3,$C$4:$C$1925,0)),"")</f>
        <v/>
      </c>
      <c r="G203" s="0" t="n">
        <f aca="false">IF(OR($G$1="",资金日记账!$E196="",资金日记账!$E196&lt;&gt;$G$1),0,IF(NOT(OR(N(资金日记账!$H196)&lt;&gt;0,N(资金日记账!$I196)&lt;&gt;0)),0,IF(资金日记账!$B196="",1,IF(OR(N(资金日记账!$B196)&lt;$H$1,N(资金日记账!$B196)&gt;$I$1),0,1))))</f>
        <v>0</v>
      </c>
      <c r="H203" s="0" t="n">
        <f aca="false">N(H202)+$G203</f>
        <v>3</v>
      </c>
      <c r="I203" s="0" t="str">
        <f aca="false">IF($G203=0,"",IF(资金日记账!$B196=0,"",资金日记账!$B196))</f>
        <v/>
      </c>
      <c r="J203" s="0" t="str">
        <f aca="false">IF($G203=0,"",IF(资金日记账!$D196=0,"",资金日记账!$D196))</f>
        <v/>
      </c>
      <c r="K203" s="0" t="str">
        <f aca="false">IF($G203=0,"",IF(""=0,"",""))</f>
        <v/>
      </c>
      <c r="L203" s="0" t="str">
        <f aca="false">IF($G203=0,"",IF(""=0,"",""))</f>
        <v/>
      </c>
      <c r="M203" s="0" t="str">
        <f aca="false">IF($G203=0,"",IF(""=0,"",""))</f>
        <v/>
      </c>
      <c r="N203" s="0" t="str">
        <f aca="false">IF($G203=0,"",IF(IF(N(资金日记账!$I196)=0,"",-ROUND(N(资金日记账!$I196),2))=0,"",IF(N(资金日记账!$I196)=0,"",-ROUND(N(资金日记账!$I196),2))))</f>
        <v/>
      </c>
      <c r="O203" s="0" t="str">
        <f aca="false">IF($G203=0,"",IF(IF(N(资金日记账!$H196)=0,"",ROUND(N(资金日记账!$H196),2))=0,"",IF(N(资金日记账!$H196)=0,"",ROUND(N(资金日记账!$H196),2))))</f>
        <v/>
      </c>
      <c r="P203" s="0" t="str">
        <f aca="false">IF($G203=0,"",IF(资金日记账!$L196=0,"",资金日记账!$L196))</f>
        <v/>
      </c>
      <c r="T203" s="0" t="str">
        <f aca="false">IF(资金日记账!$G203="","",资金日记账!$G203)</f>
        <v/>
      </c>
      <c r="U203" s="0" t="n">
        <f aca="false">IF(T203="",0,IF(MATCH(T203,$T$4:$T$903,0)=ROW()-3,1,0))</f>
        <v>0</v>
      </c>
      <c r="V203" s="0" t="n">
        <f aca="false">N(V202)+U203</f>
        <v>30</v>
      </c>
      <c r="Z203" s="0" t="str">
        <f aca="false">IF(成本费用登记表!$C203="","",成本费用登记表!$C203)</f>
        <v/>
      </c>
      <c r="AA203" s="0" t="n">
        <f aca="false">IF(Z203="",0,IF(MATCH(Z203,$Z$4:$Z$303,0)=ROW()-3,1,0))</f>
        <v>0</v>
      </c>
      <c r="AB203" s="0" t="n">
        <f aca="false">N(AB202)+AA203</f>
        <v>0</v>
      </c>
      <c r="AF203" s="0" t="str">
        <f aca="false">IF(OR(资金日记账!$E203="",N(资金日记账!$H203)=0),"",资金日记账!$E203)</f>
        <v/>
      </c>
      <c r="AG203" s="0" t="n">
        <f aca="false">IF(AF203="",0,IF(MATCH(AF203,$AF$4:$AF$603,0)=ROW()-3,1,0))</f>
        <v>0</v>
      </c>
      <c r="AH203" s="0" t="n">
        <f aca="false">N(AH202)+AG203</f>
        <v>5</v>
      </c>
    </row>
    <row r="204" customFormat="false" ht="13.5" hidden="false" customHeight="false" outlineLevel="0" collapsed="false">
      <c r="A204" s="0" t="str">
        <f aca="false">IF(((进销存对接!$D204="客户应收")+(进销存对接!$D204="成品销售款")+(进销存对接!$D204="公司购买果品款")+(进销存对接!$D204="筐子销售款")+(进销存对接!$D204="物料销售款"))&gt;0,进销存对接!$C204,"")</f>
        <v/>
      </c>
      <c r="B204" s="0" t="n">
        <f aca="false">IF(A204="",0,IF(MATCH(A204,$A$4:$A$1925,0)=ROW()-3,1,0))</f>
        <v>0</v>
      </c>
      <c r="C204" s="0" t="n">
        <f aca="false">N(C203)+B204</f>
        <v>6</v>
      </c>
      <c r="E204" s="0" t="str">
        <f aca="false">IFERROR(INDEX($A$4:$A$1925,MATCH(ROW()-3,$C$4:$C$1925,0)),"")</f>
        <v/>
      </c>
      <c r="G204" s="0" t="n">
        <f aca="false">IF(OR($G$1="",资金日记账!$E197="",资金日记账!$E197&lt;&gt;$G$1),0,IF(NOT(OR(N(资金日记账!$H197)&lt;&gt;0,N(资金日记账!$I197)&lt;&gt;0)),0,IF(资金日记账!$B197="",1,IF(OR(N(资金日记账!$B197)&lt;$H$1,N(资金日记账!$B197)&gt;$I$1),0,1))))</f>
        <v>0</v>
      </c>
      <c r="H204" s="0" t="n">
        <f aca="false">N(H203)+$G204</f>
        <v>3</v>
      </c>
      <c r="I204" s="0" t="str">
        <f aca="false">IF($G204=0,"",IF(资金日记账!$B197=0,"",资金日记账!$B197))</f>
        <v/>
      </c>
      <c r="J204" s="0" t="str">
        <f aca="false">IF($G204=0,"",IF(资金日记账!$D197=0,"",资金日记账!$D197))</f>
        <v/>
      </c>
      <c r="K204" s="0" t="str">
        <f aca="false">IF($G204=0,"",IF(""=0,"",""))</f>
        <v/>
      </c>
      <c r="L204" s="0" t="str">
        <f aca="false">IF($G204=0,"",IF(""=0,"",""))</f>
        <v/>
      </c>
      <c r="M204" s="0" t="str">
        <f aca="false">IF($G204=0,"",IF(""=0,"",""))</f>
        <v/>
      </c>
      <c r="N204" s="0" t="str">
        <f aca="false">IF($G204=0,"",IF(IF(N(资金日记账!$I197)=0,"",-ROUND(N(资金日记账!$I197),2))=0,"",IF(N(资金日记账!$I197)=0,"",-ROUND(N(资金日记账!$I197),2))))</f>
        <v/>
      </c>
      <c r="O204" s="0" t="str">
        <f aca="false">IF($G204=0,"",IF(IF(N(资金日记账!$H197)=0,"",ROUND(N(资金日记账!$H197),2))=0,"",IF(N(资金日记账!$H197)=0,"",ROUND(N(资金日记账!$H197),2))))</f>
        <v/>
      </c>
      <c r="P204" s="0" t="str">
        <f aca="false">IF($G204=0,"",IF(资金日记账!$L197=0,"",资金日记账!$L197))</f>
        <v/>
      </c>
      <c r="T204" s="0" t="str">
        <f aca="false">IF(资金日记账!$G204="","",资金日记账!$G204)</f>
        <v/>
      </c>
      <c r="U204" s="0" t="n">
        <f aca="false">IF(T204="",0,IF(MATCH(T204,$T$4:$T$903,0)=ROW()-3,1,0))</f>
        <v>0</v>
      </c>
      <c r="V204" s="0" t="n">
        <f aca="false">N(V203)+U204</f>
        <v>30</v>
      </c>
      <c r="Z204" s="0" t="str">
        <f aca="false">IF(成本费用登记表!$C204="","",成本费用登记表!$C204)</f>
        <v/>
      </c>
      <c r="AA204" s="0" t="n">
        <f aca="false">IF(Z204="",0,IF(MATCH(Z204,$Z$4:$Z$303,0)=ROW()-3,1,0))</f>
        <v>0</v>
      </c>
      <c r="AB204" s="0" t="n">
        <f aca="false">N(AB203)+AA204</f>
        <v>0</v>
      </c>
      <c r="AF204" s="0" t="str">
        <f aca="false">IF(OR(资金日记账!$E204="",N(资金日记账!$H204)=0),"",资金日记账!$E204)</f>
        <v/>
      </c>
      <c r="AG204" s="0" t="n">
        <f aca="false">IF(AF204="",0,IF(MATCH(AF204,$AF$4:$AF$603,0)=ROW()-3,1,0))</f>
        <v>0</v>
      </c>
      <c r="AH204" s="0" t="n">
        <f aca="false">N(AH203)+AG204</f>
        <v>5</v>
      </c>
    </row>
    <row r="205" customFormat="false" ht="13.5" hidden="false" customHeight="false" outlineLevel="0" collapsed="false">
      <c r="A205" s="0" t="str">
        <f aca="false">IF(((进销存对接!$D205="客户应收")+(进销存对接!$D205="成品销售款")+(进销存对接!$D205="公司购买果品款")+(进销存对接!$D205="筐子销售款")+(进销存对接!$D205="物料销售款"))&gt;0,进销存对接!$C205,"")</f>
        <v/>
      </c>
      <c r="B205" s="0" t="n">
        <f aca="false">IF(A205="",0,IF(MATCH(A205,$A$4:$A$1925,0)=ROW()-3,1,0))</f>
        <v>0</v>
      </c>
      <c r="C205" s="0" t="n">
        <f aca="false">N(C204)+B205</f>
        <v>6</v>
      </c>
      <c r="E205" s="0" t="str">
        <f aca="false">IFERROR(INDEX($A$4:$A$1925,MATCH(ROW()-3,$C$4:$C$1925,0)),"")</f>
        <v/>
      </c>
      <c r="G205" s="0" t="n">
        <f aca="false">IF(OR($G$1="",资金日记账!$E198="",资金日记账!$E198&lt;&gt;$G$1),0,IF(NOT(OR(N(资金日记账!$H198)&lt;&gt;0,N(资金日记账!$I198)&lt;&gt;0)),0,IF(资金日记账!$B198="",1,IF(OR(N(资金日记账!$B198)&lt;$H$1,N(资金日记账!$B198)&gt;$I$1),0,1))))</f>
        <v>0</v>
      </c>
      <c r="H205" s="0" t="n">
        <f aca="false">N(H204)+$G205</f>
        <v>3</v>
      </c>
      <c r="I205" s="0" t="str">
        <f aca="false">IF($G205=0,"",IF(资金日记账!$B198=0,"",资金日记账!$B198))</f>
        <v/>
      </c>
      <c r="J205" s="0" t="str">
        <f aca="false">IF($G205=0,"",IF(资金日记账!$D198=0,"",资金日记账!$D198))</f>
        <v/>
      </c>
      <c r="K205" s="0" t="str">
        <f aca="false">IF($G205=0,"",IF(""=0,"",""))</f>
        <v/>
      </c>
      <c r="L205" s="0" t="str">
        <f aca="false">IF($G205=0,"",IF(""=0,"",""))</f>
        <v/>
      </c>
      <c r="M205" s="0" t="str">
        <f aca="false">IF($G205=0,"",IF(""=0,"",""))</f>
        <v/>
      </c>
      <c r="N205" s="0" t="str">
        <f aca="false">IF($G205=0,"",IF(IF(N(资金日记账!$I198)=0,"",-ROUND(N(资金日记账!$I198),2))=0,"",IF(N(资金日记账!$I198)=0,"",-ROUND(N(资金日记账!$I198),2))))</f>
        <v/>
      </c>
      <c r="O205" s="0" t="str">
        <f aca="false">IF($G205=0,"",IF(IF(N(资金日记账!$H198)=0,"",ROUND(N(资金日记账!$H198),2))=0,"",IF(N(资金日记账!$H198)=0,"",ROUND(N(资金日记账!$H198),2))))</f>
        <v/>
      </c>
      <c r="P205" s="0" t="str">
        <f aca="false">IF($G205=0,"",IF(资金日记账!$L198=0,"",资金日记账!$L198))</f>
        <v/>
      </c>
      <c r="T205" s="0" t="str">
        <f aca="false">IF(资金日记账!$G205="","",资金日记账!$G205)</f>
        <v/>
      </c>
      <c r="U205" s="0" t="n">
        <f aca="false">IF(T205="",0,IF(MATCH(T205,$T$4:$T$903,0)=ROW()-3,1,0))</f>
        <v>0</v>
      </c>
      <c r="V205" s="0" t="n">
        <f aca="false">N(V204)+U205</f>
        <v>30</v>
      </c>
      <c r="Z205" s="0" t="str">
        <f aca="false">IF(成本费用登记表!$C205="","",成本费用登记表!$C205)</f>
        <v/>
      </c>
      <c r="AA205" s="0" t="n">
        <f aca="false">IF(Z205="",0,IF(MATCH(Z205,$Z$4:$Z$303,0)=ROW()-3,1,0))</f>
        <v>0</v>
      </c>
      <c r="AB205" s="0" t="n">
        <f aca="false">N(AB204)+AA205</f>
        <v>0</v>
      </c>
      <c r="AF205" s="0" t="str">
        <f aca="false">IF(OR(资金日记账!$E205="",N(资金日记账!$H205)=0),"",资金日记账!$E205)</f>
        <v/>
      </c>
      <c r="AG205" s="0" t="n">
        <f aca="false">IF(AF205="",0,IF(MATCH(AF205,$AF$4:$AF$603,0)=ROW()-3,1,0))</f>
        <v>0</v>
      </c>
      <c r="AH205" s="0" t="n">
        <f aca="false">N(AH204)+AG205</f>
        <v>5</v>
      </c>
    </row>
    <row r="206" customFormat="false" ht="13.5" hidden="false" customHeight="false" outlineLevel="0" collapsed="false">
      <c r="A206" s="0" t="str">
        <f aca="false">IF(((进销存对接!$D206="客户应收")+(进销存对接!$D206="成品销售款")+(进销存对接!$D206="公司购买果品款")+(进销存对接!$D206="筐子销售款")+(进销存对接!$D206="物料销售款"))&gt;0,进销存对接!$C206,"")</f>
        <v/>
      </c>
      <c r="B206" s="0" t="n">
        <f aca="false">IF(A206="",0,IF(MATCH(A206,$A$4:$A$1925,0)=ROW()-3,1,0))</f>
        <v>0</v>
      </c>
      <c r="C206" s="0" t="n">
        <f aca="false">N(C205)+B206</f>
        <v>6</v>
      </c>
      <c r="E206" s="0" t="str">
        <f aca="false">IFERROR(INDEX($A$4:$A$1925,MATCH(ROW()-3,$C$4:$C$1925,0)),"")</f>
        <v/>
      </c>
      <c r="G206" s="0" t="n">
        <f aca="false">IF(OR($G$1="",资金日记账!$E199="",资金日记账!$E199&lt;&gt;$G$1),0,IF(NOT(OR(N(资金日记账!$H199)&lt;&gt;0,N(资金日记账!$I199)&lt;&gt;0)),0,IF(资金日记账!$B199="",1,IF(OR(N(资金日记账!$B199)&lt;$H$1,N(资金日记账!$B199)&gt;$I$1),0,1))))</f>
        <v>0</v>
      </c>
      <c r="H206" s="0" t="n">
        <f aca="false">N(H205)+$G206</f>
        <v>3</v>
      </c>
      <c r="I206" s="0" t="str">
        <f aca="false">IF($G206=0,"",IF(资金日记账!$B199=0,"",资金日记账!$B199))</f>
        <v/>
      </c>
      <c r="J206" s="0" t="str">
        <f aca="false">IF($G206=0,"",IF(资金日记账!$D199=0,"",资金日记账!$D199))</f>
        <v/>
      </c>
      <c r="K206" s="0" t="str">
        <f aca="false">IF($G206=0,"",IF(""=0,"",""))</f>
        <v/>
      </c>
      <c r="L206" s="0" t="str">
        <f aca="false">IF($G206=0,"",IF(""=0,"",""))</f>
        <v/>
      </c>
      <c r="M206" s="0" t="str">
        <f aca="false">IF($G206=0,"",IF(""=0,"",""))</f>
        <v/>
      </c>
      <c r="N206" s="0" t="str">
        <f aca="false">IF($G206=0,"",IF(IF(N(资金日记账!$I199)=0,"",-ROUND(N(资金日记账!$I199),2))=0,"",IF(N(资金日记账!$I199)=0,"",-ROUND(N(资金日记账!$I199),2))))</f>
        <v/>
      </c>
      <c r="O206" s="0" t="str">
        <f aca="false">IF($G206=0,"",IF(IF(N(资金日记账!$H199)=0,"",ROUND(N(资金日记账!$H199),2))=0,"",IF(N(资金日记账!$H199)=0,"",ROUND(N(资金日记账!$H199),2))))</f>
        <v/>
      </c>
      <c r="P206" s="0" t="str">
        <f aca="false">IF($G206=0,"",IF(资金日记账!$L199=0,"",资金日记账!$L199))</f>
        <v/>
      </c>
      <c r="T206" s="0" t="str">
        <f aca="false">IF(资金日记账!$G206="","",资金日记账!$G206)</f>
        <v/>
      </c>
      <c r="U206" s="0" t="n">
        <f aca="false">IF(T206="",0,IF(MATCH(T206,$T$4:$T$903,0)=ROW()-3,1,0))</f>
        <v>0</v>
      </c>
      <c r="V206" s="0" t="n">
        <f aca="false">N(V205)+U206</f>
        <v>30</v>
      </c>
      <c r="Z206" s="0" t="str">
        <f aca="false">IF(成本费用登记表!$C206="","",成本费用登记表!$C206)</f>
        <v/>
      </c>
      <c r="AA206" s="0" t="n">
        <f aca="false">IF(Z206="",0,IF(MATCH(Z206,$Z$4:$Z$303,0)=ROW()-3,1,0))</f>
        <v>0</v>
      </c>
      <c r="AB206" s="0" t="n">
        <f aca="false">N(AB205)+AA206</f>
        <v>0</v>
      </c>
      <c r="AF206" s="0" t="str">
        <f aca="false">IF(OR(资金日记账!$E206="",N(资金日记账!$H206)=0),"",资金日记账!$E206)</f>
        <v/>
      </c>
      <c r="AG206" s="0" t="n">
        <f aca="false">IF(AF206="",0,IF(MATCH(AF206,$AF$4:$AF$603,0)=ROW()-3,1,0))</f>
        <v>0</v>
      </c>
      <c r="AH206" s="0" t="n">
        <f aca="false">N(AH205)+AG206</f>
        <v>5</v>
      </c>
    </row>
    <row r="207" customFormat="false" ht="13.5" hidden="false" customHeight="false" outlineLevel="0" collapsed="false">
      <c r="A207" s="0" t="str">
        <f aca="false">IF(((进销存对接!$D207="客户应收")+(进销存对接!$D207="成品销售款")+(进销存对接!$D207="公司购买果品款")+(进销存对接!$D207="筐子销售款")+(进销存对接!$D207="物料销售款"))&gt;0,进销存对接!$C207,"")</f>
        <v/>
      </c>
      <c r="B207" s="0" t="n">
        <f aca="false">IF(A207="",0,IF(MATCH(A207,$A$4:$A$1925,0)=ROW()-3,1,0))</f>
        <v>0</v>
      </c>
      <c r="C207" s="0" t="n">
        <f aca="false">N(C206)+B207</f>
        <v>6</v>
      </c>
      <c r="E207" s="0" t="str">
        <f aca="false">IFERROR(INDEX($A$4:$A$1925,MATCH(ROW()-3,$C$4:$C$1925,0)),"")</f>
        <v/>
      </c>
      <c r="G207" s="0" t="n">
        <f aca="false">IF(OR($G$1="",资金日记账!$E200="",资金日记账!$E200&lt;&gt;$G$1),0,IF(NOT(OR(N(资金日记账!$H200)&lt;&gt;0,N(资金日记账!$I200)&lt;&gt;0)),0,IF(资金日记账!$B200="",1,IF(OR(N(资金日记账!$B200)&lt;$H$1,N(资金日记账!$B200)&gt;$I$1),0,1))))</f>
        <v>0</v>
      </c>
      <c r="H207" s="0" t="n">
        <f aca="false">N(H206)+$G207</f>
        <v>3</v>
      </c>
      <c r="I207" s="0" t="str">
        <f aca="false">IF($G207=0,"",IF(资金日记账!$B200=0,"",资金日记账!$B200))</f>
        <v/>
      </c>
      <c r="J207" s="0" t="str">
        <f aca="false">IF($G207=0,"",IF(资金日记账!$D200=0,"",资金日记账!$D200))</f>
        <v/>
      </c>
      <c r="K207" s="0" t="str">
        <f aca="false">IF($G207=0,"",IF(""=0,"",""))</f>
        <v/>
      </c>
      <c r="L207" s="0" t="str">
        <f aca="false">IF($G207=0,"",IF(""=0,"",""))</f>
        <v/>
      </c>
      <c r="M207" s="0" t="str">
        <f aca="false">IF($G207=0,"",IF(""=0,"",""))</f>
        <v/>
      </c>
      <c r="N207" s="0" t="str">
        <f aca="false">IF($G207=0,"",IF(IF(N(资金日记账!$I200)=0,"",-ROUND(N(资金日记账!$I200),2))=0,"",IF(N(资金日记账!$I200)=0,"",-ROUND(N(资金日记账!$I200),2))))</f>
        <v/>
      </c>
      <c r="O207" s="0" t="str">
        <f aca="false">IF($G207=0,"",IF(IF(N(资金日记账!$H200)=0,"",ROUND(N(资金日记账!$H200),2))=0,"",IF(N(资金日记账!$H200)=0,"",ROUND(N(资金日记账!$H200),2))))</f>
        <v/>
      </c>
      <c r="P207" s="0" t="str">
        <f aca="false">IF($G207=0,"",IF(资金日记账!$L200=0,"",资金日记账!$L200))</f>
        <v/>
      </c>
      <c r="T207" s="0" t="str">
        <f aca="false">IF(资金日记账!$G207="","",资金日记账!$G207)</f>
        <v/>
      </c>
      <c r="U207" s="0" t="n">
        <f aca="false">IF(T207="",0,IF(MATCH(T207,$T$4:$T$903,0)=ROW()-3,1,0))</f>
        <v>0</v>
      </c>
      <c r="V207" s="0" t="n">
        <f aca="false">N(V206)+U207</f>
        <v>30</v>
      </c>
      <c r="Z207" s="0" t="str">
        <f aca="false">IF(成本费用登记表!$C207="","",成本费用登记表!$C207)</f>
        <v/>
      </c>
      <c r="AA207" s="0" t="n">
        <f aca="false">IF(Z207="",0,IF(MATCH(Z207,$Z$4:$Z$303,0)=ROW()-3,1,0))</f>
        <v>0</v>
      </c>
      <c r="AB207" s="0" t="n">
        <f aca="false">N(AB206)+AA207</f>
        <v>0</v>
      </c>
      <c r="AF207" s="0" t="str">
        <f aca="false">IF(OR(资金日记账!$E207="",N(资金日记账!$H207)=0),"",资金日记账!$E207)</f>
        <v/>
      </c>
      <c r="AG207" s="0" t="n">
        <f aca="false">IF(AF207="",0,IF(MATCH(AF207,$AF$4:$AF$603,0)=ROW()-3,1,0))</f>
        <v>0</v>
      </c>
      <c r="AH207" s="0" t="n">
        <f aca="false">N(AH206)+AG207</f>
        <v>5</v>
      </c>
    </row>
    <row r="208" customFormat="false" ht="13.5" hidden="false" customHeight="false" outlineLevel="0" collapsed="false">
      <c r="A208" s="0" t="str">
        <f aca="false">IF(((进销存对接!$D208="客户应收")+(进销存对接!$D208="成品销售款")+(进销存对接!$D208="公司购买果品款")+(进销存对接!$D208="筐子销售款")+(进销存对接!$D208="物料销售款"))&gt;0,进销存对接!$C208,"")</f>
        <v/>
      </c>
      <c r="B208" s="0" t="n">
        <f aca="false">IF(A208="",0,IF(MATCH(A208,$A$4:$A$1925,0)=ROW()-3,1,0))</f>
        <v>0</v>
      </c>
      <c r="C208" s="0" t="n">
        <f aca="false">N(C207)+B208</f>
        <v>6</v>
      </c>
      <c r="E208" s="0" t="str">
        <f aca="false">IFERROR(INDEX($A$4:$A$1925,MATCH(ROW()-3,$C$4:$C$1925,0)),"")</f>
        <v/>
      </c>
      <c r="G208" s="0" t="n">
        <f aca="false">IF(OR($G$1="",资金日记账!$E201="",资金日记账!$E201&lt;&gt;$G$1),0,IF(NOT(OR(N(资金日记账!$H201)&lt;&gt;0,N(资金日记账!$I201)&lt;&gt;0)),0,IF(资金日记账!$B201="",1,IF(OR(N(资金日记账!$B201)&lt;$H$1,N(资金日记账!$B201)&gt;$I$1),0,1))))</f>
        <v>0</v>
      </c>
      <c r="H208" s="0" t="n">
        <f aca="false">N(H207)+$G208</f>
        <v>3</v>
      </c>
      <c r="I208" s="0" t="str">
        <f aca="false">IF($G208=0,"",IF(资金日记账!$B201=0,"",资金日记账!$B201))</f>
        <v/>
      </c>
      <c r="J208" s="0" t="str">
        <f aca="false">IF($G208=0,"",IF(资金日记账!$D201=0,"",资金日记账!$D201))</f>
        <v/>
      </c>
      <c r="K208" s="0" t="str">
        <f aca="false">IF($G208=0,"",IF(""=0,"",""))</f>
        <v/>
      </c>
      <c r="L208" s="0" t="str">
        <f aca="false">IF($G208=0,"",IF(""=0,"",""))</f>
        <v/>
      </c>
      <c r="M208" s="0" t="str">
        <f aca="false">IF($G208=0,"",IF(""=0,"",""))</f>
        <v/>
      </c>
      <c r="N208" s="0" t="str">
        <f aca="false">IF($G208=0,"",IF(IF(N(资金日记账!$I201)=0,"",-ROUND(N(资金日记账!$I201),2))=0,"",IF(N(资金日记账!$I201)=0,"",-ROUND(N(资金日记账!$I201),2))))</f>
        <v/>
      </c>
      <c r="O208" s="0" t="str">
        <f aca="false">IF($G208=0,"",IF(IF(N(资金日记账!$H201)=0,"",ROUND(N(资金日记账!$H201),2))=0,"",IF(N(资金日记账!$H201)=0,"",ROUND(N(资金日记账!$H201),2))))</f>
        <v/>
      </c>
      <c r="P208" s="0" t="str">
        <f aca="false">IF($G208=0,"",IF(资金日记账!$L201=0,"",资金日记账!$L201))</f>
        <v/>
      </c>
      <c r="T208" s="0" t="str">
        <f aca="false">IF(资金日记账!$G208="","",资金日记账!$G208)</f>
        <v/>
      </c>
      <c r="U208" s="0" t="n">
        <f aca="false">IF(T208="",0,IF(MATCH(T208,$T$4:$T$903,0)=ROW()-3,1,0))</f>
        <v>0</v>
      </c>
      <c r="V208" s="0" t="n">
        <f aca="false">N(V207)+U208</f>
        <v>30</v>
      </c>
      <c r="Z208" s="0" t="str">
        <f aca="false">IF(成本费用登记表!$C208="","",成本费用登记表!$C208)</f>
        <v/>
      </c>
      <c r="AA208" s="0" t="n">
        <f aca="false">IF(Z208="",0,IF(MATCH(Z208,$Z$4:$Z$303,0)=ROW()-3,1,0))</f>
        <v>0</v>
      </c>
      <c r="AB208" s="0" t="n">
        <f aca="false">N(AB207)+AA208</f>
        <v>0</v>
      </c>
      <c r="AF208" s="0" t="str">
        <f aca="false">IF(OR(资金日记账!$E208="",N(资金日记账!$H208)=0),"",资金日记账!$E208)</f>
        <v/>
      </c>
      <c r="AG208" s="0" t="n">
        <f aca="false">IF(AF208="",0,IF(MATCH(AF208,$AF$4:$AF$603,0)=ROW()-3,1,0))</f>
        <v>0</v>
      </c>
      <c r="AH208" s="0" t="n">
        <f aca="false">N(AH207)+AG208</f>
        <v>5</v>
      </c>
    </row>
    <row r="209" customFormat="false" ht="13.5" hidden="false" customHeight="false" outlineLevel="0" collapsed="false">
      <c r="A209" s="0" t="str">
        <f aca="false">IF(((进销存对接!$D209="客户应收")+(进销存对接!$D209="成品销售款")+(进销存对接!$D209="公司购买果品款")+(进销存对接!$D209="筐子销售款")+(进销存对接!$D209="物料销售款"))&gt;0,进销存对接!$C209,"")</f>
        <v/>
      </c>
      <c r="B209" s="0" t="n">
        <f aca="false">IF(A209="",0,IF(MATCH(A209,$A$4:$A$1925,0)=ROW()-3,1,0))</f>
        <v>0</v>
      </c>
      <c r="C209" s="0" t="n">
        <f aca="false">N(C208)+B209</f>
        <v>6</v>
      </c>
      <c r="E209" s="0" t="str">
        <f aca="false">IFERROR(INDEX($A$4:$A$1925,MATCH(ROW()-3,$C$4:$C$1925,0)),"")</f>
        <v/>
      </c>
      <c r="G209" s="0" t="n">
        <f aca="false">IF(OR($G$1="",资金日记账!$E202="",资金日记账!$E202&lt;&gt;$G$1),0,IF(NOT(OR(N(资金日记账!$H202)&lt;&gt;0,N(资金日记账!$I202)&lt;&gt;0)),0,IF(资金日记账!$B202="",1,IF(OR(N(资金日记账!$B202)&lt;$H$1,N(资金日记账!$B202)&gt;$I$1),0,1))))</f>
        <v>0</v>
      </c>
      <c r="H209" s="0" t="n">
        <f aca="false">N(H208)+$G209</f>
        <v>3</v>
      </c>
      <c r="I209" s="0" t="str">
        <f aca="false">IF($G209=0,"",IF(资金日记账!$B202=0,"",资金日记账!$B202))</f>
        <v/>
      </c>
      <c r="J209" s="0" t="str">
        <f aca="false">IF($G209=0,"",IF(资金日记账!$D202=0,"",资金日记账!$D202))</f>
        <v/>
      </c>
      <c r="K209" s="0" t="str">
        <f aca="false">IF($G209=0,"",IF(""=0,"",""))</f>
        <v/>
      </c>
      <c r="L209" s="0" t="str">
        <f aca="false">IF($G209=0,"",IF(""=0,"",""))</f>
        <v/>
      </c>
      <c r="M209" s="0" t="str">
        <f aca="false">IF($G209=0,"",IF(""=0,"",""))</f>
        <v/>
      </c>
      <c r="N209" s="0" t="str">
        <f aca="false">IF($G209=0,"",IF(IF(N(资金日记账!$I202)=0,"",-ROUND(N(资金日记账!$I202),2))=0,"",IF(N(资金日记账!$I202)=0,"",-ROUND(N(资金日记账!$I202),2))))</f>
        <v/>
      </c>
      <c r="O209" s="0" t="str">
        <f aca="false">IF($G209=0,"",IF(IF(N(资金日记账!$H202)=0,"",ROUND(N(资金日记账!$H202),2))=0,"",IF(N(资金日记账!$H202)=0,"",ROUND(N(资金日记账!$H202),2))))</f>
        <v/>
      </c>
      <c r="P209" s="0" t="str">
        <f aca="false">IF($G209=0,"",IF(资金日记账!$L202=0,"",资金日记账!$L202))</f>
        <v/>
      </c>
      <c r="T209" s="0" t="str">
        <f aca="false">IF(资金日记账!$G209="","",资金日记账!$G209)</f>
        <v/>
      </c>
      <c r="U209" s="0" t="n">
        <f aca="false">IF(T209="",0,IF(MATCH(T209,$T$4:$T$903,0)=ROW()-3,1,0))</f>
        <v>0</v>
      </c>
      <c r="V209" s="0" t="n">
        <f aca="false">N(V208)+U209</f>
        <v>30</v>
      </c>
      <c r="Z209" s="0" t="str">
        <f aca="false">IF(成本费用登记表!$C209="","",成本费用登记表!$C209)</f>
        <v/>
      </c>
      <c r="AA209" s="0" t="n">
        <f aca="false">IF(Z209="",0,IF(MATCH(Z209,$Z$4:$Z$303,0)=ROW()-3,1,0))</f>
        <v>0</v>
      </c>
      <c r="AB209" s="0" t="n">
        <f aca="false">N(AB208)+AA209</f>
        <v>0</v>
      </c>
      <c r="AF209" s="0" t="str">
        <f aca="false">IF(OR(资金日记账!$E209="",N(资金日记账!$H209)=0),"",资金日记账!$E209)</f>
        <v/>
      </c>
      <c r="AG209" s="0" t="n">
        <f aca="false">IF(AF209="",0,IF(MATCH(AF209,$AF$4:$AF$603,0)=ROW()-3,1,0))</f>
        <v>0</v>
      </c>
      <c r="AH209" s="0" t="n">
        <f aca="false">N(AH208)+AG209</f>
        <v>5</v>
      </c>
    </row>
    <row r="210" customFormat="false" ht="13.5" hidden="false" customHeight="false" outlineLevel="0" collapsed="false">
      <c r="A210" s="0" t="str">
        <f aca="false">IF(((进销存对接!$D210="客户应收")+(进销存对接!$D210="成品销售款")+(进销存对接!$D210="公司购买果品款")+(进销存对接!$D210="筐子销售款")+(进销存对接!$D210="物料销售款"))&gt;0,进销存对接!$C210,"")</f>
        <v/>
      </c>
      <c r="B210" s="0" t="n">
        <f aca="false">IF(A210="",0,IF(MATCH(A210,$A$4:$A$1925,0)=ROW()-3,1,0))</f>
        <v>0</v>
      </c>
      <c r="C210" s="0" t="n">
        <f aca="false">N(C209)+B210</f>
        <v>6</v>
      </c>
      <c r="E210" s="0" t="str">
        <f aca="false">IFERROR(INDEX($A$4:$A$1925,MATCH(ROW()-3,$C$4:$C$1925,0)),"")</f>
        <v/>
      </c>
      <c r="G210" s="0" t="n">
        <f aca="false">IF(OR($G$1="",资金日记账!$E203="",资金日记账!$E203&lt;&gt;$G$1),0,IF(NOT(OR(N(资金日记账!$H203)&lt;&gt;0,N(资金日记账!$I203)&lt;&gt;0)),0,IF(资金日记账!$B203="",1,IF(OR(N(资金日记账!$B203)&lt;$H$1,N(资金日记账!$B203)&gt;$I$1),0,1))))</f>
        <v>0</v>
      </c>
      <c r="H210" s="0" t="n">
        <f aca="false">N(H209)+$G210</f>
        <v>3</v>
      </c>
      <c r="I210" s="0" t="str">
        <f aca="false">IF($G210=0,"",IF(资金日记账!$B203=0,"",资金日记账!$B203))</f>
        <v/>
      </c>
      <c r="J210" s="0" t="str">
        <f aca="false">IF($G210=0,"",IF(资金日记账!$D203=0,"",资金日记账!$D203))</f>
        <v/>
      </c>
      <c r="K210" s="0" t="str">
        <f aca="false">IF($G210=0,"",IF(""=0,"",""))</f>
        <v/>
      </c>
      <c r="L210" s="0" t="str">
        <f aca="false">IF($G210=0,"",IF(""=0,"",""))</f>
        <v/>
      </c>
      <c r="M210" s="0" t="str">
        <f aca="false">IF($G210=0,"",IF(""=0,"",""))</f>
        <v/>
      </c>
      <c r="N210" s="0" t="str">
        <f aca="false">IF($G210=0,"",IF(IF(N(资金日记账!$I203)=0,"",-ROUND(N(资金日记账!$I203),2))=0,"",IF(N(资金日记账!$I203)=0,"",-ROUND(N(资金日记账!$I203),2))))</f>
        <v/>
      </c>
      <c r="O210" s="0" t="str">
        <f aca="false">IF($G210=0,"",IF(IF(N(资金日记账!$H203)=0,"",ROUND(N(资金日记账!$H203),2))=0,"",IF(N(资金日记账!$H203)=0,"",ROUND(N(资金日记账!$H203),2))))</f>
        <v/>
      </c>
      <c r="P210" s="0" t="str">
        <f aca="false">IF($G210=0,"",IF(资金日记账!$L203=0,"",资金日记账!$L203))</f>
        <v/>
      </c>
      <c r="T210" s="0" t="str">
        <f aca="false">IF(资金日记账!$G210="","",资金日记账!$G210)</f>
        <v/>
      </c>
      <c r="U210" s="0" t="n">
        <f aca="false">IF(T210="",0,IF(MATCH(T210,$T$4:$T$903,0)=ROW()-3,1,0))</f>
        <v>0</v>
      </c>
      <c r="V210" s="0" t="n">
        <f aca="false">N(V209)+U210</f>
        <v>30</v>
      </c>
      <c r="Z210" s="0" t="str">
        <f aca="false">IF(成本费用登记表!$C210="","",成本费用登记表!$C210)</f>
        <v/>
      </c>
      <c r="AA210" s="0" t="n">
        <f aca="false">IF(Z210="",0,IF(MATCH(Z210,$Z$4:$Z$303,0)=ROW()-3,1,0))</f>
        <v>0</v>
      </c>
      <c r="AB210" s="0" t="n">
        <f aca="false">N(AB209)+AA210</f>
        <v>0</v>
      </c>
      <c r="AF210" s="0" t="str">
        <f aca="false">IF(OR(资金日记账!$E210="",N(资金日记账!$H210)=0),"",资金日记账!$E210)</f>
        <v/>
      </c>
      <c r="AG210" s="0" t="n">
        <f aca="false">IF(AF210="",0,IF(MATCH(AF210,$AF$4:$AF$603,0)=ROW()-3,1,0))</f>
        <v>0</v>
      </c>
      <c r="AH210" s="0" t="n">
        <f aca="false">N(AH209)+AG210</f>
        <v>5</v>
      </c>
    </row>
    <row r="211" customFormat="false" ht="13.5" hidden="false" customHeight="false" outlineLevel="0" collapsed="false">
      <c r="A211" s="0" t="str">
        <f aca="false">IF(((进销存对接!$D211="客户应收")+(进销存对接!$D211="成品销售款")+(进销存对接!$D211="公司购买果品款")+(进销存对接!$D211="筐子销售款")+(进销存对接!$D211="物料销售款"))&gt;0,进销存对接!$C211,"")</f>
        <v/>
      </c>
      <c r="B211" s="0" t="n">
        <f aca="false">IF(A211="",0,IF(MATCH(A211,$A$4:$A$1925,0)=ROW()-3,1,0))</f>
        <v>0</v>
      </c>
      <c r="C211" s="0" t="n">
        <f aca="false">N(C210)+B211</f>
        <v>6</v>
      </c>
      <c r="E211" s="0" t="str">
        <f aca="false">IFERROR(INDEX($A$4:$A$1925,MATCH(ROW()-3,$C$4:$C$1925,0)),"")</f>
        <v/>
      </c>
      <c r="G211" s="0" t="n">
        <f aca="false">IF(OR($G$1="",资金日记账!$E204="",资金日记账!$E204&lt;&gt;$G$1),0,IF(NOT(OR(N(资金日记账!$H204)&lt;&gt;0,N(资金日记账!$I204)&lt;&gt;0)),0,IF(资金日记账!$B204="",1,IF(OR(N(资金日记账!$B204)&lt;$H$1,N(资金日记账!$B204)&gt;$I$1),0,1))))</f>
        <v>0</v>
      </c>
      <c r="H211" s="0" t="n">
        <f aca="false">N(H210)+$G211</f>
        <v>3</v>
      </c>
      <c r="I211" s="0" t="str">
        <f aca="false">IF($G211=0,"",IF(资金日记账!$B204=0,"",资金日记账!$B204))</f>
        <v/>
      </c>
      <c r="J211" s="0" t="str">
        <f aca="false">IF($G211=0,"",IF(资金日记账!$D204=0,"",资金日记账!$D204))</f>
        <v/>
      </c>
      <c r="K211" s="0" t="str">
        <f aca="false">IF($G211=0,"",IF(""=0,"",""))</f>
        <v/>
      </c>
      <c r="L211" s="0" t="str">
        <f aca="false">IF($G211=0,"",IF(""=0,"",""))</f>
        <v/>
      </c>
      <c r="M211" s="0" t="str">
        <f aca="false">IF($G211=0,"",IF(""=0,"",""))</f>
        <v/>
      </c>
      <c r="N211" s="0" t="str">
        <f aca="false">IF($G211=0,"",IF(IF(N(资金日记账!$I204)=0,"",-ROUND(N(资金日记账!$I204),2))=0,"",IF(N(资金日记账!$I204)=0,"",-ROUND(N(资金日记账!$I204),2))))</f>
        <v/>
      </c>
      <c r="O211" s="0" t="str">
        <f aca="false">IF($G211=0,"",IF(IF(N(资金日记账!$H204)=0,"",ROUND(N(资金日记账!$H204),2))=0,"",IF(N(资金日记账!$H204)=0,"",ROUND(N(资金日记账!$H204),2))))</f>
        <v/>
      </c>
      <c r="P211" s="0" t="str">
        <f aca="false">IF($G211=0,"",IF(资金日记账!$L204=0,"",资金日记账!$L204))</f>
        <v/>
      </c>
      <c r="T211" s="0" t="str">
        <f aca="false">IF(资金日记账!$G211="","",资金日记账!$G211)</f>
        <v/>
      </c>
      <c r="U211" s="0" t="n">
        <f aca="false">IF(T211="",0,IF(MATCH(T211,$T$4:$T$903,0)=ROW()-3,1,0))</f>
        <v>0</v>
      </c>
      <c r="V211" s="0" t="n">
        <f aca="false">N(V210)+U211</f>
        <v>30</v>
      </c>
      <c r="Z211" s="0" t="str">
        <f aca="false">IF(成本费用登记表!$C211="","",成本费用登记表!$C211)</f>
        <v/>
      </c>
      <c r="AA211" s="0" t="n">
        <f aca="false">IF(Z211="",0,IF(MATCH(Z211,$Z$4:$Z$303,0)=ROW()-3,1,0))</f>
        <v>0</v>
      </c>
      <c r="AB211" s="0" t="n">
        <f aca="false">N(AB210)+AA211</f>
        <v>0</v>
      </c>
      <c r="AF211" s="0" t="str">
        <f aca="false">IF(OR(资金日记账!$E211="",N(资金日记账!$H211)=0),"",资金日记账!$E211)</f>
        <v/>
      </c>
      <c r="AG211" s="0" t="n">
        <f aca="false">IF(AF211="",0,IF(MATCH(AF211,$AF$4:$AF$603,0)=ROW()-3,1,0))</f>
        <v>0</v>
      </c>
      <c r="AH211" s="0" t="n">
        <f aca="false">N(AH210)+AG211</f>
        <v>5</v>
      </c>
    </row>
    <row r="212" customFormat="false" ht="13.5" hidden="false" customHeight="false" outlineLevel="0" collapsed="false">
      <c r="A212" s="0" t="str">
        <f aca="false">IF(((进销存对接!$D212="客户应收")+(进销存对接!$D212="成品销售款")+(进销存对接!$D212="公司购买果品款")+(进销存对接!$D212="筐子销售款")+(进销存对接!$D212="物料销售款"))&gt;0,进销存对接!$C212,"")</f>
        <v/>
      </c>
      <c r="B212" s="0" t="n">
        <f aca="false">IF(A212="",0,IF(MATCH(A212,$A$4:$A$1925,0)=ROW()-3,1,0))</f>
        <v>0</v>
      </c>
      <c r="C212" s="0" t="n">
        <f aca="false">N(C211)+B212</f>
        <v>6</v>
      </c>
      <c r="E212" s="0" t="str">
        <f aca="false">IFERROR(INDEX($A$4:$A$1925,MATCH(ROW()-3,$C$4:$C$1925,0)),"")</f>
        <v/>
      </c>
      <c r="G212" s="0" t="n">
        <f aca="false">IF(OR($G$1="",资金日记账!$E205="",资金日记账!$E205&lt;&gt;$G$1),0,IF(NOT(OR(N(资金日记账!$H205)&lt;&gt;0,N(资金日记账!$I205)&lt;&gt;0)),0,IF(资金日记账!$B205="",1,IF(OR(N(资金日记账!$B205)&lt;$H$1,N(资金日记账!$B205)&gt;$I$1),0,1))))</f>
        <v>0</v>
      </c>
      <c r="H212" s="0" t="n">
        <f aca="false">N(H211)+$G212</f>
        <v>3</v>
      </c>
      <c r="I212" s="0" t="str">
        <f aca="false">IF($G212=0,"",IF(资金日记账!$B205=0,"",资金日记账!$B205))</f>
        <v/>
      </c>
      <c r="J212" s="0" t="str">
        <f aca="false">IF($G212=0,"",IF(资金日记账!$D205=0,"",资金日记账!$D205))</f>
        <v/>
      </c>
      <c r="K212" s="0" t="str">
        <f aca="false">IF($G212=0,"",IF(""=0,"",""))</f>
        <v/>
      </c>
      <c r="L212" s="0" t="str">
        <f aca="false">IF($G212=0,"",IF(""=0,"",""))</f>
        <v/>
      </c>
      <c r="M212" s="0" t="str">
        <f aca="false">IF($G212=0,"",IF(""=0,"",""))</f>
        <v/>
      </c>
      <c r="N212" s="0" t="str">
        <f aca="false">IF($G212=0,"",IF(IF(N(资金日记账!$I205)=0,"",-ROUND(N(资金日记账!$I205),2))=0,"",IF(N(资金日记账!$I205)=0,"",-ROUND(N(资金日记账!$I205),2))))</f>
        <v/>
      </c>
      <c r="O212" s="0" t="str">
        <f aca="false">IF($G212=0,"",IF(IF(N(资金日记账!$H205)=0,"",ROUND(N(资金日记账!$H205),2))=0,"",IF(N(资金日记账!$H205)=0,"",ROUND(N(资金日记账!$H205),2))))</f>
        <v/>
      </c>
      <c r="P212" s="0" t="str">
        <f aca="false">IF($G212=0,"",IF(资金日记账!$L205=0,"",资金日记账!$L205))</f>
        <v/>
      </c>
      <c r="T212" s="0" t="str">
        <f aca="false">IF(资金日记账!$G212="","",资金日记账!$G212)</f>
        <v/>
      </c>
      <c r="U212" s="0" t="n">
        <f aca="false">IF(T212="",0,IF(MATCH(T212,$T$4:$T$903,0)=ROW()-3,1,0))</f>
        <v>0</v>
      </c>
      <c r="V212" s="0" t="n">
        <f aca="false">N(V211)+U212</f>
        <v>30</v>
      </c>
      <c r="Z212" s="0" t="str">
        <f aca="false">IF(成本费用登记表!$C212="","",成本费用登记表!$C212)</f>
        <v/>
      </c>
      <c r="AA212" s="0" t="n">
        <f aca="false">IF(Z212="",0,IF(MATCH(Z212,$Z$4:$Z$303,0)=ROW()-3,1,0))</f>
        <v>0</v>
      </c>
      <c r="AB212" s="0" t="n">
        <f aca="false">N(AB211)+AA212</f>
        <v>0</v>
      </c>
      <c r="AF212" s="0" t="str">
        <f aca="false">IF(OR(资金日记账!$E212="",N(资金日记账!$H212)=0),"",资金日记账!$E212)</f>
        <v/>
      </c>
      <c r="AG212" s="0" t="n">
        <f aca="false">IF(AF212="",0,IF(MATCH(AF212,$AF$4:$AF$603,0)=ROW()-3,1,0))</f>
        <v>0</v>
      </c>
      <c r="AH212" s="0" t="n">
        <f aca="false">N(AH211)+AG212</f>
        <v>5</v>
      </c>
    </row>
    <row r="213" customFormat="false" ht="13.5" hidden="false" customHeight="false" outlineLevel="0" collapsed="false">
      <c r="A213" s="0" t="str">
        <f aca="false">IF(((进销存对接!$D213="客户应收")+(进销存对接!$D213="成品销售款")+(进销存对接!$D213="公司购买果品款")+(进销存对接!$D213="筐子销售款")+(进销存对接!$D213="物料销售款"))&gt;0,进销存对接!$C213,"")</f>
        <v/>
      </c>
      <c r="B213" s="0" t="n">
        <f aca="false">IF(A213="",0,IF(MATCH(A213,$A$4:$A$1925,0)=ROW()-3,1,0))</f>
        <v>0</v>
      </c>
      <c r="C213" s="0" t="n">
        <f aca="false">N(C212)+B213</f>
        <v>6</v>
      </c>
      <c r="E213" s="0" t="str">
        <f aca="false">IFERROR(INDEX($A$4:$A$1925,MATCH(ROW()-3,$C$4:$C$1925,0)),"")</f>
        <v/>
      </c>
      <c r="G213" s="0" t="n">
        <f aca="false">IF(OR($G$1="",资金日记账!$E206="",资金日记账!$E206&lt;&gt;$G$1),0,IF(NOT(OR(N(资金日记账!$H206)&lt;&gt;0,N(资金日记账!$I206)&lt;&gt;0)),0,IF(资金日记账!$B206="",1,IF(OR(N(资金日记账!$B206)&lt;$H$1,N(资金日记账!$B206)&gt;$I$1),0,1))))</f>
        <v>0</v>
      </c>
      <c r="H213" s="0" t="n">
        <f aca="false">N(H212)+$G213</f>
        <v>3</v>
      </c>
      <c r="I213" s="0" t="str">
        <f aca="false">IF($G213=0,"",IF(资金日记账!$B206=0,"",资金日记账!$B206))</f>
        <v/>
      </c>
      <c r="J213" s="0" t="str">
        <f aca="false">IF($G213=0,"",IF(资金日记账!$D206=0,"",资金日记账!$D206))</f>
        <v/>
      </c>
      <c r="K213" s="0" t="str">
        <f aca="false">IF($G213=0,"",IF(""=0,"",""))</f>
        <v/>
      </c>
      <c r="L213" s="0" t="str">
        <f aca="false">IF($G213=0,"",IF(""=0,"",""))</f>
        <v/>
      </c>
      <c r="M213" s="0" t="str">
        <f aca="false">IF($G213=0,"",IF(""=0,"",""))</f>
        <v/>
      </c>
      <c r="N213" s="0" t="str">
        <f aca="false">IF($G213=0,"",IF(IF(N(资金日记账!$I206)=0,"",-ROUND(N(资金日记账!$I206),2))=0,"",IF(N(资金日记账!$I206)=0,"",-ROUND(N(资金日记账!$I206),2))))</f>
        <v/>
      </c>
      <c r="O213" s="0" t="str">
        <f aca="false">IF($G213=0,"",IF(IF(N(资金日记账!$H206)=0,"",ROUND(N(资金日记账!$H206),2))=0,"",IF(N(资金日记账!$H206)=0,"",ROUND(N(资金日记账!$H206),2))))</f>
        <v/>
      </c>
      <c r="P213" s="0" t="str">
        <f aca="false">IF($G213=0,"",IF(资金日记账!$L206=0,"",资金日记账!$L206))</f>
        <v/>
      </c>
      <c r="T213" s="0" t="str">
        <f aca="false">IF(资金日记账!$G213="","",资金日记账!$G213)</f>
        <v/>
      </c>
      <c r="U213" s="0" t="n">
        <f aca="false">IF(T213="",0,IF(MATCH(T213,$T$4:$T$903,0)=ROW()-3,1,0))</f>
        <v>0</v>
      </c>
      <c r="V213" s="0" t="n">
        <f aca="false">N(V212)+U213</f>
        <v>30</v>
      </c>
      <c r="Z213" s="0" t="str">
        <f aca="false">IF(成本费用登记表!$C213="","",成本费用登记表!$C213)</f>
        <v/>
      </c>
      <c r="AA213" s="0" t="n">
        <f aca="false">IF(Z213="",0,IF(MATCH(Z213,$Z$4:$Z$303,0)=ROW()-3,1,0))</f>
        <v>0</v>
      </c>
      <c r="AB213" s="0" t="n">
        <f aca="false">N(AB212)+AA213</f>
        <v>0</v>
      </c>
      <c r="AF213" s="0" t="str">
        <f aca="false">IF(OR(资金日记账!$E213="",N(资金日记账!$H213)=0),"",资金日记账!$E213)</f>
        <v/>
      </c>
      <c r="AG213" s="0" t="n">
        <f aca="false">IF(AF213="",0,IF(MATCH(AF213,$AF$4:$AF$603,0)=ROW()-3,1,0))</f>
        <v>0</v>
      </c>
      <c r="AH213" s="0" t="n">
        <f aca="false">N(AH212)+AG213</f>
        <v>5</v>
      </c>
    </row>
    <row r="214" customFormat="false" ht="13.5" hidden="false" customHeight="false" outlineLevel="0" collapsed="false">
      <c r="A214" s="0" t="str">
        <f aca="false">IF(((进销存对接!$D214="客户应收")+(进销存对接!$D214="成品销售款")+(进销存对接!$D214="公司购买果品款")+(进销存对接!$D214="筐子销售款")+(进销存对接!$D214="物料销售款"))&gt;0,进销存对接!$C214,"")</f>
        <v/>
      </c>
      <c r="B214" s="0" t="n">
        <f aca="false">IF(A214="",0,IF(MATCH(A214,$A$4:$A$1925,0)=ROW()-3,1,0))</f>
        <v>0</v>
      </c>
      <c r="C214" s="0" t="n">
        <f aca="false">N(C213)+B214</f>
        <v>6</v>
      </c>
      <c r="E214" s="0" t="str">
        <f aca="false">IFERROR(INDEX($A$4:$A$1925,MATCH(ROW()-3,$C$4:$C$1925,0)),"")</f>
        <v/>
      </c>
      <c r="G214" s="0" t="n">
        <f aca="false">IF(OR($G$1="",资金日记账!$E207="",资金日记账!$E207&lt;&gt;$G$1),0,IF(NOT(OR(N(资金日记账!$H207)&lt;&gt;0,N(资金日记账!$I207)&lt;&gt;0)),0,IF(资金日记账!$B207="",1,IF(OR(N(资金日记账!$B207)&lt;$H$1,N(资金日记账!$B207)&gt;$I$1),0,1))))</f>
        <v>0</v>
      </c>
      <c r="H214" s="0" t="n">
        <f aca="false">N(H213)+$G214</f>
        <v>3</v>
      </c>
      <c r="I214" s="0" t="str">
        <f aca="false">IF($G214=0,"",IF(资金日记账!$B207=0,"",资金日记账!$B207))</f>
        <v/>
      </c>
      <c r="J214" s="0" t="str">
        <f aca="false">IF($G214=0,"",IF(资金日记账!$D207=0,"",资金日记账!$D207))</f>
        <v/>
      </c>
      <c r="K214" s="0" t="str">
        <f aca="false">IF($G214=0,"",IF(""=0,"",""))</f>
        <v/>
      </c>
      <c r="L214" s="0" t="str">
        <f aca="false">IF($G214=0,"",IF(""=0,"",""))</f>
        <v/>
      </c>
      <c r="M214" s="0" t="str">
        <f aca="false">IF($G214=0,"",IF(""=0,"",""))</f>
        <v/>
      </c>
      <c r="N214" s="0" t="str">
        <f aca="false">IF($G214=0,"",IF(IF(N(资金日记账!$I207)=0,"",-ROUND(N(资金日记账!$I207),2))=0,"",IF(N(资金日记账!$I207)=0,"",-ROUND(N(资金日记账!$I207),2))))</f>
        <v/>
      </c>
      <c r="O214" s="0" t="str">
        <f aca="false">IF($G214=0,"",IF(IF(N(资金日记账!$H207)=0,"",ROUND(N(资金日记账!$H207),2))=0,"",IF(N(资金日记账!$H207)=0,"",ROUND(N(资金日记账!$H207),2))))</f>
        <v/>
      </c>
      <c r="P214" s="0" t="str">
        <f aca="false">IF($G214=0,"",IF(资金日记账!$L207=0,"",资金日记账!$L207))</f>
        <v/>
      </c>
      <c r="T214" s="0" t="str">
        <f aca="false">IF(资金日记账!$G214="","",资金日记账!$G214)</f>
        <v/>
      </c>
      <c r="U214" s="0" t="n">
        <f aca="false">IF(T214="",0,IF(MATCH(T214,$T$4:$T$903,0)=ROW()-3,1,0))</f>
        <v>0</v>
      </c>
      <c r="V214" s="0" t="n">
        <f aca="false">N(V213)+U214</f>
        <v>30</v>
      </c>
      <c r="Z214" s="0" t="str">
        <f aca="false">IF(成本费用登记表!$C214="","",成本费用登记表!$C214)</f>
        <v/>
      </c>
      <c r="AA214" s="0" t="n">
        <f aca="false">IF(Z214="",0,IF(MATCH(Z214,$Z$4:$Z$303,0)=ROW()-3,1,0))</f>
        <v>0</v>
      </c>
      <c r="AB214" s="0" t="n">
        <f aca="false">N(AB213)+AA214</f>
        <v>0</v>
      </c>
      <c r="AF214" s="0" t="str">
        <f aca="false">IF(OR(资金日记账!$E214="",N(资金日记账!$H214)=0),"",资金日记账!$E214)</f>
        <v/>
      </c>
      <c r="AG214" s="0" t="n">
        <f aca="false">IF(AF214="",0,IF(MATCH(AF214,$AF$4:$AF$603,0)=ROW()-3,1,0))</f>
        <v>0</v>
      </c>
      <c r="AH214" s="0" t="n">
        <f aca="false">N(AH213)+AG214</f>
        <v>5</v>
      </c>
    </row>
    <row r="215" customFormat="false" ht="13.5" hidden="false" customHeight="false" outlineLevel="0" collapsed="false">
      <c r="A215" s="0" t="str">
        <f aca="false">IF(((进销存对接!$D215="客户应收")+(进销存对接!$D215="成品销售款")+(进销存对接!$D215="公司购买果品款")+(进销存对接!$D215="筐子销售款")+(进销存对接!$D215="物料销售款"))&gt;0,进销存对接!$C215,"")</f>
        <v/>
      </c>
      <c r="B215" s="0" t="n">
        <f aca="false">IF(A215="",0,IF(MATCH(A215,$A$4:$A$1925,0)=ROW()-3,1,0))</f>
        <v>0</v>
      </c>
      <c r="C215" s="0" t="n">
        <f aca="false">N(C214)+B215</f>
        <v>6</v>
      </c>
      <c r="E215" s="0" t="str">
        <f aca="false">IFERROR(INDEX($A$4:$A$1925,MATCH(ROW()-3,$C$4:$C$1925,0)),"")</f>
        <v/>
      </c>
      <c r="G215" s="0" t="n">
        <f aca="false">IF(OR($G$1="",资金日记账!$E208="",资金日记账!$E208&lt;&gt;$G$1),0,IF(NOT(OR(N(资金日记账!$H208)&lt;&gt;0,N(资金日记账!$I208)&lt;&gt;0)),0,IF(资金日记账!$B208="",1,IF(OR(N(资金日记账!$B208)&lt;$H$1,N(资金日记账!$B208)&gt;$I$1),0,1))))</f>
        <v>0</v>
      </c>
      <c r="H215" s="0" t="n">
        <f aca="false">N(H214)+$G215</f>
        <v>3</v>
      </c>
      <c r="I215" s="0" t="str">
        <f aca="false">IF($G215=0,"",IF(资金日记账!$B208=0,"",资金日记账!$B208))</f>
        <v/>
      </c>
      <c r="J215" s="0" t="str">
        <f aca="false">IF($G215=0,"",IF(资金日记账!$D208=0,"",资金日记账!$D208))</f>
        <v/>
      </c>
      <c r="K215" s="0" t="str">
        <f aca="false">IF($G215=0,"",IF(""=0,"",""))</f>
        <v/>
      </c>
      <c r="L215" s="0" t="str">
        <f aca="false">IF($G215=0,"",IF(""=0,"",""))</f>
        <v/>
      </c>
      <c r="M215" s="0" t="str">
        <f aca="false">IF($G215=0,"",IF(""=0,"",""))</f>
        <v/>
      </c>
      <c r="N215" s="0" t="str">
        <f aca="false">IF($G215=0,"",IF(IF(N(资金日记账!$I208)=0,"",-ROUND(N(资金日记账!$I208),2))=0,"",IF(N(资金日记账!$I208)=0,"",-ROUND(N(资金日记账!$I208),2))))</f>
        <v/>
      </c>
      <c r="O215" s="0" t="str">
        <f aca="false">IF($G215=0,"",IF(IF(N(资金日记账!$H208)=0,"",ROUND(N(资金日记账!$H208),2))=0,"",IF(N(资金日记账!$H208)=0,"",ROUND(N(资金日记账!$H208),2))))</f>
        <v/>
      </c>
      <c r="P215" s="0" t="str">
        <f aca="false">IF($G215=0,"",IF(资金日记账!$L208=0,"",资金日记账!$L208))</f>
        <v/>
      </c>
      <c r="T215" s="0" t="str">
        <f aca="false">IF(资金日记账!$G215="","",资金日记账!$G215)</f>
        <v/>
      </c>
      <c r="U215" s="0" t="n">
        <f aca="false">IF(T215="",0,IF(MATCH(T215,$T$4:$T$903,0)=ROW()-3,1,0))</f>
        <v>0</v>
      </c>
      <c r="V215" s="0" t="n">
        <f aca="false">N(V214)+U215</f>
        <v>30</v>
      </c>
      <c r="Z215" s="0" t="str">
        <f aca="false">IF(成本费用登记表!$C215="","",成本费用登记表!$C215)</f>
        <v/>
      </c>
      <c r="AA215" s="0" t="n">
        <f aca="false">IF(Z215="",0,IF(MATCH(Z215,$Z$4:$Z$303,0)=ROW()-3,1,0))</f>
        <v>0</v>
      </c>
      <c r="AB215" s="0" t="n">
        <f aca="false">N(AB214)+AA215</f>
        <v>0</v>
      </c>
      <c r="AF215" s="0" t="str">
        <f aca="false">IF(OR(资金日记账!$E215="",N(资金日记账!$H215)=0),"",资金日记账!$E215)</f>
        <v/>
      </c>
      <c r="AG215" s="0" t="n">
        <f aca="false">IF(AF215="",0,IF(MATCH(AF215,$AF$4:$AF$603,0)=ROW()-3,1,0))</f>
        <v>0</v>
      </c>
      <c r="AH215" s="0" t="n">
        <f aca="false">N(AH214)+AG215</f>
        <v>5</v>
      </c>
    </row>
    <row r="216" customFormat="false" ht="13.5" hidden="false" customHeight="false" outlineLevel="0" collapsed="false">
      <c r="A216" s="0" t="str">
        <f aca="false">IF(((进销存对接!$D216="客户应收")+(进销存对接!$D216="成品销售款")+(进销存对接!$D216="公司购买果品款")+(进销存对接!$D216="筐子销售款")+(进销存对接!$D216="物料销售款"))&gt;0,进销存对接!$C216,"")</f>
        <v/>
      </c>
      <c r="B216" s="0" t="n">
        <f aca="false">IF(A216="",0,IF(MATCH(A216,$A$4:$A$1925,0)=ROW()-3,1,0))</f>
        <v>0</v>
      </c>
      <c r="C216" s="0" t="n">
        <f aca="false">N(C215)+B216</f>
        <v>6</v>
      </c>
      <c r="E216" s="0" t="str">
        <f aca="false">IFERROR(INDEX($A$4:$A$1925,MATCH(ROW()-3,$C$4:$C$1925,0)),"")</f>
        <v/>
      </c>
      <c r="G216" s="0" t="n">
        <f aca="false">IF(OR($G$1="",资金日记账!$E209="",资金日记账!$E209&lt;&gt;$G$1),0,IF(NOT(OR(N(资金日记账!$H209)&lt;&gt;0,N(资金日记账!$I209)&lt;&gt;0)),0,IF(资金日记账!$B209="",1,IF(OR(N(资金日记账!$B209)&lt;$H$1,N(资金日记账!$B209)&gt;$I$1),0,1))))</f>
        <v>0</v>
      </c>
      <c r="H216" s="0" t="n">
        <f aca="false">N(H215)+$G216</f>
        <v>3</v>
      </c>
      <c r="I216" s="0" t="str">
        <f aca="false">IF($G216=0,"",IF(资金日记账!$B209=0,"",资金日记账!$B209))</f>
        <v/>
      </c>
      <c r="J216" s="0" t="str">
        <f aca="false">IF($G216=0,"",IF(资金日记账!$D209=0,"",资金日记账!$D209))</f>
        <v/>
      </c>
      <c r="K216" s="0" t="str">
        <f aca="false">IF($G216=0,"",IF(""=0,"",""))</f>
        <v/>
      </c>
      <c r="L216" s="0" t="str">
        <f aca="false">IF($G216=0,"",IF(""=0,"",""))</f>
        <v/>
      </c>
      <c r="M216" s="0" t="str">
        <f aca="false">IF($G216=0,"",IF(""=0,"",""))</f>
        <v/>
      </c>
      <c r="N216" s="0" t="str">
        <f aca="false">IF($G216=0,"",IF(IF(N(资金日记账!$I209)=0,"",-ROUND(N(资金日记账!$I209),2))=0,"",IF(N(资金日记账!$I209)=0,"",-ROUND(N(资金日记账!$I209),2))))</f>
        <v/>
      </c>
      <c r="O216" s="0" t="str">
        <f aca="false">IF($G216=0,"",IF(IF(N(资金日记账!$H209)=0,"",ROUND(N(资金日记账!$H209),2))=0,"",IF(N(资金日记账!$H209)=0,"",ROUND(N(资金日记账!$H209),2))))</f>
        <v/>
      </c>
      <c r="P216" s="0" t="str">
        <f aca="false">IF($G216=0,"",IF(资金日记账!$L209=0,"",资金日记账!$L209))</f>
        <v/>
      </c>
      <c r="T216" s="0" t="str">
        <f aca="false">IF(资金日记账!$G216="","",资金日记账!$G216)</f>
        <v/>
      </c>
      <c r="U216" s="0" t="n">
        <f aca="false">IF(T216="",0,IF(MATCH(T216,$T$4:$T$903,0)=ROW()-3,1,0))</f>
        <v>0</v>
      </c>
      <c r="V216" s="0" t="n">
        <f aca="false">N(V215)+U216</f>
        <v>30</v>
      </c>
      <c r="Z216" s="0" t="str">
        <f aca="false">IF(成本费用登记表!$C216="","",成本费用登记表!$C216)</f>
        <v/>
      </c>
      <c r="AA216" s="0" t="n">
        <f aca="false">IF(Z216="",0,IF(MATCH(Z216,$Z$4:$Z$303,0)=ROW()-3,1,0))</f>
        <v>0</v>
      </c>
      <c r="AB216" s="0" t="n">
        <f aca="false">N(AB215)+AA216</f>
        <v>0</v>
      </c>
      <c r="AF216" s="0" t="str">
        <f aca="false">IF(OR(资金日记账!$E216="",N(资金日记账!$H216)=0),"",资金日记账!$E216)</f>
        <v/>
      </c>
      <c r="AG216" s="0" t="n">
        <f aca="false">IF(AF216="",0,IF(MATCH(AF216,$AF$4:$AF$603,0)=ROW()-3,1,0))</f>
        <v>0</v>
      </c>
      <c r="AH216" s="0" t="n">
        <f aca="false">N(AH215)+AG216</f>
        <v>5</v>
      </c>
    </row>
    <row r="217" customFormat="false" ht="13.5" hidden="false" customHeight="false" outlineLevel="0" collapsed="false">
      <c r="A217" s="0" t="str">
        <f aca="false">IF(((进销存对接!$D217="客户应收")+(进销存对接!$D217="成品销售款")+(进销存对接!$D217="公司购买果品款")+(进销存对接!$D217="筐子销售款")+(进销存对接!$D217="物料销售款"))&gt;0,进销存对接!$C217,"")</f>
        <v/>
      </c>
      <c r="B217" s="0" t="n">
        <f aca="false">IF(A217="",0,IF(MATCH(A217,$A$4:$A$1925,0)=ROW()-3,1,0))</f>
        <v>0</v>
      </c>
      <c r="C217" s="0" t="n">
        <f aca="false">N(C216)+B217</f>
        <v>6</v>
      </c>
      <c r="E217" s="0" t="str">
        <f aca="false">IFERROR(INDEX($A$4:$A$1925,MATCH(ROW()-3,$C$4:$C$1925,0)),"")</f>
        <v/>
      </c>
      <c r="G217" s="0" t="n">
        <f aca="false">IF(OR($G$1="",资金日记账!$E210="",资金日记账!$E210&lt;&gt;$G$1),0,IF(NOT(OR(N(资金日记账!$H210)&lt;&gt;0,N(资金日记账!$I210)&lt;&gt;0)),0,IF(资金日记账!$B210="",1,IF(OR(N(资金日记账!$B210)&lt;$H$1,N(资金日记账!$B210)&gt;$I$1),0,1))))</f>
        <v>0</v>
      </c>
      <c r="H217" s="0" t="n">
        <f aca="false">N(H216)+$G217</f>
        <v>3</v>
      </c>
      <c r="I217" s="0" t="str">
        <f aca="false">IF($G217=0,"",IF(资金日记账!$B210=0,"",资金日记账!$B210))</f>
        <v/>
      </c>
      <c r="J217" s="0" t="str">
        <f aca="false">IF($G217=0,"",IF(资金日记账!$D210=0,"",资金日记账!$D210))</f>
        <v/>
      </c>
      <c r="K217" s="0" t="str">
        <f aca="false">IF($G217=0,"",IF(""=0,"",""))</f>
        <v/>
      </c>
      <c r="L217" s="0" t="str">
        <f aca="false">IF($G217=0,"",IF(""=0,"",""))</f>
        <v/>
      </c>
      <c r="M217" s="0" t="str">
        <f aca="false">IF($G217=0,"",IF(""=0,"",""))</f>
        <v/>
      </c>
      <c r="N217" s="0" t="str">
        <f aca="false">IF($G217=0,"",IF(IF(N(资金日记账!$I210)=0,"",-ROUND(N(资金日记账!$I210),2))=0,"",IF(N(资金日记账!$I210)=0,"",-ROUND(N(资金日记账!$I210),2))))</f>
        <v/>
      </c>
      <c r="O217" s="0" t="str">
        <f aca="false">IF($G217=0,"",IF(IF(N(资金日记账!$H210)=0,"",ROUND(N(资金日记账!$H210),2))=0,"",IF(N(资金日记账!$H210)=0,"",ROUND(N(资金日记账!$H210),2))))</f>
        <v/>
      </c>
      <c r="P217" s="0" t="str">
        <f aca="false">IF($G217=0,"",IF(资金日记账!$L210=0,"",资金日记账!$L210))</f>
        <v/>
      </c>
      <c r="T217" s="0" t="str">
        <f aca="false">IF(资金日记账!$G217="","",资金日记账!$G217)</f>
        <v/>
      </c>
      <c r="U217" s="0" t="n">
        <f aca="false">IF(T217="",0,IF(MATCH(T217,$T$4:$T$903,0)=ROW()-3,1,0))</f>
        <v>0</v>
      </c>
      <c r="V217" s="0" t="n">
        <f aca="false">N(V216)+U217</f>
        <v>30</v>
      </c>
      <c r="Z217" s="0" t="str">
        <f aca="false">IF(成本费用登记表!$C217="","",成本费用登记表!$C217)</f>
        <v/>
      </c>
      <c r="AA217" s="0" t="n">
        <f aca="false">IF(Z217="",0,IF(MATCH(Z217,$Z$4:$Z$303,0)=ROW()-3,1,0))</f>
        <v>0</v>
      </c>
      <c r="AB217" s="0" t="n">
        <f aca="false">N(AB216)+AA217</f>
        <v>0</v>
      </c>
      <c r="AF217" s="0" t="str">
        <f aca="false">IF(OR(资金日记账!$E217="",N(资金日记账!$H217)=0),"",资金日记账!$E217)</f>
        <v/>
      </c>
      <c r="AG217" s="0" t="n">
        <f aca="false">IF(AF217="",0,IF(MATCH(AF217,$AF$4:$AF$603,0)=ROW()-3,1,0))</f>
        <v>0</v>
      </c>
      <c r="AH217" s="0" t="n">
        <f aca="false">N(AH216)+AG217</f>
        <v>5</v>
      </c>
    </row>
    <row r="218" customFormat="false" ht="13.5" hidden="false" customHeight="false" outlineLevel="0" collapsed="false">
      <c r="A218" s="0" t="str">
        <f aca="false">IF(((进销存对接!$D218="客户应收")+(进销存对接!$D218="成品销售款")+(进销存对接!$D218="公司购买果品款")+(进销存对接!$D218="筐子销售款")+(进销存对接!$D218="物料销售款"))&gt;0,进销存对接!$C218,"")</f>
        <v/>
      </c>
      <c r="B218" s="0" t="n">
        <f aca="false">IF(A218="",0,IF(MATCH(A218,$A$4:$A$1925,0)=ROW()-3,1,0))</f>
        <v>0</v>
      </c>
      <c r="C218" s="0" t="n">
        <f aca="false">N(C217)+B218</f>
        <v>6</v>
      </c>
      <c r="E218" s="0" t="str">
        <f aca="false">IFERROR(INDEX($A$4:$A$1925,MATCH(ROW()-3,$C$4:$C$1925,0)),"")</f>
        <v/>
      </c>
      <c r="G218" s="0" t="n">
        <f aca="false">IF(OR($G$1="",资金日记账!$E211="",资金日记账!$E211&lt;&gt;$G$1),0,IF(NOT(OR(N(资金日记账!$H211)&lt;&gt;0,N(资金日记账!$I211)&lt;&gt;0)),0,IF(资金日记账!$B211="",1,IF(OR(N(资金日记账!$B211)&lt;$H$1,N(资金日记账!$B211)&gt;$I$1),0,1))))</f>
        <v>0</v>
      </c>
      <c r="H218" s="0" t="n">
        <f aca="false">N(H217)+$G218</f>
        <v>3</v>
      </c>
      <c r="I218" s="0" t="str">
        <f aca="false">IF($G218=0,"",IF(资金日记账!$B211=0,"",资金日记账!$B211))</f>
        <v/>
      </c>
      <c r="J218" s="0" t="str">
        <f aca="false">IF($G218=0,"",IF(资金日记账!$D211=0,"",资金日记账!$D211))</f>
        <v/>
      </c>
      <c r="K218" s="0" t="str">
        <f aca="false">IF($G218=0,"",IF(""=0,"",""))</f>
        <v/>
      </c>
      <c r="L218" s="0" t="str">
        <f aca="false">IF($G218=0,"",IF(""=0,"",""))</f>
        <v/>
      </c>
      <c r="M218" s="0" t="str">
        <f aca="false">IF($G218=0,"",IF(""=0,"",""))</f>
        <v/>
      </c>
      <c r="N218" s="0" t="str">
        <f aca="false">IF($G218=0,"",IF(IF(N(资金日记账!$I211)=0,"",-ROUND(N(资金日记账!$I211),2))=0,"",IF(N(资金日记账!$I211)=0,"",-ROUND(N(资金日记账!$I211),2))))</f>
        <v/>
      </c>
      <c r="O218" s="0" t="str">
        <f aca="false">IF($G218=0,"",IF(IF(N(资金日记账!$H211)=0,"",ROUND(N(资金日记账!$H211),2))=0,"",IF(N(资金日记账!$H211)=0,"",ROUND(N(资金日记账!$H211),2))))</f>
        <v/>
      </c>
      <c r="P218" s="0" t="str">
        <f aca="false">IF($G218=0,"",IF(资金日记账!$L211=0,"",资金日记账!$L211))</f>
        <v/>
      </c>
      <c r="T218" s="0" t="str">
        <f aca="false">IF(资金日记账!$G218="","",资金日记账!$G218)</f>
        <v/>
      </c>
      <c r="U218" s="0" t="n">
        <f aca="false">IF(T218="",0,IF(MATCH(T218,$T$4:$T$903,0)=ROW()-3,1,0))</f>
        <v>0</v>
      </c>
      <c r="V218" s="0" t="n">
        <f aca="false">N(V217)+U218</f>
        <v>30</v>
      </c>
      <c r="Z218" s="0" t="str">
        <f aca="false">IF(成本费用登记表!$C218="","",成本费用登记表!$C218)</f>
        <v/>
      </c>
      <c r="AA218" s="0" t="n">
        <f aca="false">IF(Z218="",0,IF(MATCH(Z218,$Z$4:$Z$303,0)=ROW()-3,1,0))</f>
        <v>0</v>
      </c>
      <c r="AB218" s="0" t="n">
        <f aca="false">N(AB217)+AA218</f>
        <v>0</v>
      </c>
      <c r="AF218" s="0" t="str">
        <f aca="false">IF(OR(资金日记账!$E218="",N(资金日记账!$H218)=0),"",资金日记账!$E218)</f>
        <v/>
      </c>
      <c r="AG218" s="0" t="n">
        <f aca="false">IF(AF218="",0,IF(MATCH(AF218,$AF$4:$AF$603,0)=ROW()-3,1,0))</f>
        <v>0</v>
      </c>
      <c r="AH218" s="0" t="n">
        <f aca="false">N(AH217)+AG218</f>
        <v>5</v>
      </c>
    </row>
    <row r="219" customFormat="false" ht="13.5" hidden="false" customHeight="false" outlineLevel="0" collapsed="false">
      <c r="A219" s="0" t="str">
        <f aca="false">IF(((进销存对接!$D219="客户应收")+(进销存对接!$D219="成品销售款")+(进销存对接!$D219="公司购买果品款")+(进销存对接!$D219="筐子销售款")+(进销存对接!$D219="物料销售款"))&gt;0,进销存对接!$C219,"")</f>
        <v/>
      </c>
      <c r="B219" s="0" t="n">
        <f aca="false">IF(A219="",0,IF(MATCH(A219,$A$4:$A$1925,0)=ROW()-3,1,0))</f>
        <v>0</v>
      </c>
      <c r="C219" s="0" t="n">
        <f aca="false">N(C218)+B219</f>
        <v>6</v>
      </c>
      <c r="E219" s="0" t="str">
        <f aca="false">IFERROR(INDEX($A$4:$A$1925,MATCH(ROW()-3,$C$4:$C$1925,0)),"")</f>
        <v/>
      </c>
      <c r="G219" s="0" t="n">
        <f aca="false">IF(OR($G$1="",资金日记账!$E212="",资金日记账!$E212&lt;&gt;$G$1),0,IF(NOT(OR(N(资金日记账!$H212)&lt;&gt;0,N(资金日记账!$I212)&lt;&gt;0)),0,IF(资金日记账!$B212="",1,IF(OR(N(资金日记账!$B212)&lt;$H$1,N(资金日记账!$B212)&gt;$I$1),0,1))))</f>
        <v>0</v>
      </c>
      <c r="H219" s="0" t="n">
        <f aca="false">N(H218)+$G219</f>
        <v>3</v>
      </c>
      <c r="I219" s="0" t="str">
        <f aca="false">IF($G219=0,"",IF(资金日记账!$B212=0,"",资金日记账!$B212))</f>
        <v/>
      </c>
      <c r="J219" s="0" t="str">
        <f aca="false">IF($G219=0,"",IF(资金日记账!$D212=0,"",资金日记账!$D212))</f>
        <v/>
      </c>
      <c r="K219" s="0" t="str">
        <f aca="false">IF($G219=0,"",IF(""=0,"",""))</f>
        <v/>
      </c>
      <c r="L219" s="0" t="str">
        <f aca="false">IF($G219=0,"",IF(""=0,"",""))</f>
        <v/>
      </c>
      <c r="M219" s="0" t="str">
        <f aca="false">IF($G219=0,"",IF(""=0,"",""))</f>
        <v/>
      </c>
      <c r="N219" s="0" t="str">
        <f aca="false">IF($G219=0,"",IF(IF(N(资金日记账!$I212)=0,"",-ROUND(N(资金日记账!$I212),2))=0,"",IF(N(资金日记账!$I212)=0,"",-ROUND(N(资金日记账!$I212),2))))</f>
        <v/>
      </c>
      <c r="O219" s="0" t="str">
        <f aca="false">IF($G219=0,"",IF(IF(N(资金日记账!$H212)=0,"",ROUND(N(资金日记账!$H212),2))=0,"",IF(N(资金日记账!$H212)=0,"",ROUND(N(资金日记账!$H212),2))))</f>
        <v/>
      </c>
      <c r="P219" s="0" t="str">
        <f aca="false">IF($G219=0,"",IF(资金日记账!$L212=0,"",资金日记账!$L212))</f>
        <v/>
      </c>
      <c r="T219" s="0" t="str">
        <f aca="false">IF(资金日记账!$G219="","",资金日记账!$G219)</f>
        <v/>
      </c>
      <c r="U219" s="0" t="n">
        <f aca="false">IF(T219="",0,IF(MATCH(T219,$T$4:$T$903,0)=ROW()-3,1,0))</f>
        <v>0</v>
      </c>
      <c r="V219" s="0" t="n">
        <f aca="false">N(V218)+U219</f>
        <v>30</v>
      </c>
      <c r="Z219" s="0" t="str">
        <f aca="false">IF(成本费用登记表!$C219="","",成本费用登记表!$C219)</f>
        <v/>
      </c>
      <c r="AA219" s="0" t="n">
        <f aca="false">IF(Z219="",0,IF(MATCH(Z219,$Z$4:$Z$303,0)=ROW()-3,1,0))</f>
        <v>0</v>
      </c>
      <c r="AB219" s="0" t="n">
        <f aca="false">N(AB218)+AA219</f>
        <v>0</v>
      </c>
      <c r="AF219" s="0" t="str">
        <f aca="false">IF(OR(资金日记账!$E219="",N(资金日记账!$H219)=0),"",资金日记账!$E219)</f>
        <v/>
      </c>
      <c r="AG219" s="0" t="n">
        <f aca="false">IF(AF219="",0,IF(MATCH(AF219,$AF$4:$AF$603,0)=ROW()-3,1,0))</f>
        <v>0</v>
      </c>
      <c r="AH219" s="0" t="n">
        <f aca="false">N(AH218)+AG219</f>
        <v>5</v>
      </c>
    </row>
    <row r="220" customFormat="false" ht="13.5" hidden="false" customHeight="false" outlineLevel="0" collapsed="false">
      <c r="A220" s="0" t="str">
        <f aca="false">IF(((进销存对接!$D220="客户应收")+(进销存对接!$D220="成品销售款")+(进销存对接!$D220="公司购买果品款")+(进销存对接!$D220="筐子销售款")+(进销存对接!$D220="物料销售款"))&gt;0,进销存对接!$C220,"")</f>
        <v/>
      </c>
      <c r="B220" s="0" t="n">
        <f aca="false">IF(A220="",0,IF(MATCH(A220,$A$4:$A$1925,0)=ROW()-3,1,0))</f>
        <v>0</v>
      </c>
      <c r="C220" s="0" t="n">
        <f aca="false">N(C219)+B220</f>
        <v>6</v>
      </c>
      <c r="E220" s="0" t="str">
        <f aca="false">IFERROR(INDEX($A$4:$A$1925,MATCH(ROW()-3,$C$4:$C$1925,0)),"")</f>
        <v/>
      </c>
      <c r="G220" s="0" t="n">
        <f aca="false">IF(OR($G$1="",资金日记账!$E213="",资金日记账!$E213&lt;&gt;$G$1),0,IF(NOT(OR(N(资金日记账!$H213)&lt;&gt;0,N(资金日记账!$I213)&lt;&gt;0)),0,IF(资金日记账!$B213="",1,IF(OR(N(资金日记账!$B213)&lt;$H$1,N(资金日记账!$B213)&gt;$I$1),0,1))))</f>
        <v>0</v>
      </c>
      <c r="H220" s="0" t="n">
        <f aca="false">N(H219)+$G220</f>
        <v>3</v>
      </c>
      <c r="I220" s="0" t="str">
        <f aca="false">IF($G220=0,"",IF(资金日记账!$B213=0,"",资金日记账!$B213))</f>
        <v/>
      </c>
      <c r="J220" s="0" t="str">
        <f aca="false">IF($G220=0,"",IF(资金日记账!$D213=0,"",资金日记账!$D213))</f>
        <v/>
      </c>
      <c r="K220" s="0" t="str">
        <f aca="false">IF($G220=0,"",IF(""=0,"",""))</f>
        <v/>
      </c>
      <c r="L220" s="0" t="str">
        <f aca="false">IF($G220=0,"",IF(""=0,"",""))</f>
        <v/>
      </c>
      <c r="M220" s="0" t="str">
        <f aca="false">IF($G220=0,"",IF(""=0,"",""))</f>
        <v/>
      </c>
      <c r="N220" s="0" t="str">
        <f aca="false">IF($G220=0,"",IF(IF(N(资金日记账!$I213)=0,"",-ROUND(N(资金日记账!$I213),2))=0,"",IF(N(资金日记账!$I213)=0,"",-ROUND(N(资金日记账!$I213),2))))</f>
        <v/>
      </c>
      <c r="O220" s="0" t="str">
        <f aca="false">IF($G220=0,"",IF(IF(N(资金日记账!$H213)=0,"",ROUND(N(资金日记账!$H213),2))=0,"",IF(N(资金日记账!$H213)=0,"",ROUND(N(资金日记账!$H213),2))))</f>
        <v/>
      </c>
      <c r="P220" s="0" t="str">
        <f aca="false">IF($G220=0,"",IF(资金日记账!$L213=0,"",资金日记账!$L213))</f>
        <v/>
      </c>
      <c r="T220" s="0" t="str">
        <f aca="false">IF(资金日记账!$G220="","",资金日记账!$G220)</f>
        <v/>
      </c>
      <c r="U220" s="0" t="n">
        <f aca="false">IF(T220="",0,IF(MATCH(T220,$T$4:$T$903,0)=ROW()-3,1,0))</f>
        <v>0</v>
      </c>
      <c r="V220" s="0" t="n">
        <f aca="false">N(V219)+U220</f>
        <v>30</v>
      </c>
      <c r="Z220" s="0" t="str">
        <f aca="false">IF(成本费用登记表!$C220="","",成本费用登记表!$C220)</f>
        <v/>
      </c>
      <c r="AA220" s="0" t="n">
        <f aca="false">IF(Z220="",0,IF(MATCH(Z220,$Z$4:$Z$303,0)=ROW()-3,1,0))</f>
        <v>0</v>
      </c>
      <c r="AB220" s="0" t="n">
        <f aca="false">N(AB219)+AA220</f>
        <v>0</v>
      </c>
      <c r="AF220" s="0" t="str">
        <f aca="false">IF(OR(资金日记账!$E220="",N(资金日记账!$H220)=0),"",资金日记账!$E220)</f>
        <v/>
      </c>
      <c r="AG220" s="0" t="n">
        <f aca="false">IF(AF220="",0,IF(MATCH(AF220,$AF$4:$AF$603,0)=ROW()-3,1,0))</f>
        <v>0</v>
      </c>
      <c r="AH220" s="0" t="n">
        <f aca="false">N(AH219)+AG220</f>
        <v>5</v>
      </c>
    </row>
    <row r="221" customFormat="false" ht="13.5" hidden="false" customHeight="false" outlineLevel="0" collapsed="false">
      <c r="A221" s="0" t="str">
        <f aca="false">IF(((进销存对接!$D221="客户应收")+(进销存对接!$D221="成品销售款")+(进销存对接!$D221="公司购买果品款")+(进销存对接!$D221="筐子销售款")+(进销存对接!$D221="物料销售款"))&gt;0,进销存对接!$C221,"")</f>
        <v/>
      </c>
      <c r="B221" s="0" t="n">
        <f aca="false">IF(A221="",0,IF(MATCH(A221,$A$4:$A$1925,0)=ROW()-3,1,0))</f>
        <v>0</v>
      </c>
      <c r="C221" s="0" t="n">
        <f aca="false">N(C220)+B221</f>
        <v>6</v>
      </c>
      <c r="E221" s="0" t="str">
        <f aca="false">IFERROR(INDEX($A$4:$A$1925,MATCH(ROW()-3,$C$4:$C$1925,0)),"")</f>
        <v/>
      </c>
      <c r="G221" s="0" t="n">
        <f aca="false">IF(OR($G$1="",资金日记账!$E214="",资金日记账!$E214&lt;&gt;$G$1),0,IF(NOT(OR(N(资金日记账!$H214)&lt;&gt;0,N(资金日记账!$I214)&lt;&gt;0)),0,IF(资金日记账!$B214="",1,IF(OR(N(资金日记账!$B214)&lt;$H$1,N(资金日记账!$B214)&gt;$I$1),0,1))))</f>
        <v>0</v>
      </c>
      <c r="H221" s="0" t="n">
        <f aca="false">N(H220)+$G221</f>
        <v>3</v>
      </c>
      <c r="I221" s="0" t="str">
        <f aca="false">IF($G221=0,"",IF(资金日记账!$B214=0,"",资金日记账!$B214))</f>
        <v/>
      </c>
      <c r="J221" s="0" t="str">
        <f aca="false">IF($G221=0,"",IF(资金日记账!$D214=0,"",资金日记账!$D214))</f>
        <v/>
      </c>
      <c r="K221" s="0" t="str">
        <f aca="false">IF($G221=0,"",IF(""=0,"",""))</f>
        <v/>
      </c>
      <c r="L221" s="0" t="str">
        <f aca="false">IF($G221=0,"",IF(""=0,"",""))</f>
        <v/>
      </c>
      <c r="M221" s="0" t="str">
        <f aca="false">IF($G221=0,"",IF(""=0,"",""))</f>
        <v/>
      </c>
      <c r="N221" s="0" t="str">
        <f aca="false">IF($G221=0,"",IF(IF(N(资金日记账!$I214)=0,"",-ROUND(N(资金日记账!$I214),2))=0,"",IF(N(资金日记账!$I214)=0,"",-ROUND(N(资金日记账!$I214),2))))</f>
        <v/>
      </c>
      <c r="O221" s="0" t="str">
        <f aca="false">IF($G221=0,"",IF(IF(N(资金日记账!$H214)=0,"",ROUND(N(资金日记账!$H214),2))=0,"",IF(N(资金日记账!$H214)=0,"",ROUND(N(资金日记账!$H214),2))))</f>
        <v/>
      </c>
      <c r="P221" s="0" t="str">
        <f aca="false">IF($G221=0,"",IF(资金日记账!$L214=0,"",资金日记账!$L214))</f>
        <v/>
      </c>
      <c r="T221" s="0" t="str">
        <f aca="false">IF(资金日记账!$G221="","",资金日记账!$G221)</f>
        <v/>
      </c>
      <c r="U221" s="0" t="n">
        <f aca="false">IF(T221="",0,IF(MATCH(T221,$T$4:$T$903,0)=ROW()-3,1,0))</f>
        <v>0</v>
      </c>
      <c r="V221" s="0" t="n">
        <f aca="false">N(V220)+U221</f>
        <v>30</v>
      </c>
      <c r="Z221" s="0" t="str">
        <f aca="false">IF(成本费用登记表!$C221="","",成本费用登记表!$C221)</f>
        <v/>
      </c>
      <c r="AA221" s="0" t="n">
        <f aca="false">IF(Z221="",0,IF(MATCH(Z221,$Z$4:$Z$303,0)=ROW()-3,1,0))</f>
        <v>0</v>
      </c>
      <c r="AB221" s="0" t="n">
        <f aca="false">N(AB220)+AA221</f>
        <v>0</v>
      </c>
      <c r="AF221" s="0" t="str">
        <f aca="false">IF(OR(资金日记账!$E221="",N(资金日记账!$H221)=0),"",资金日记账!$E221)</f>
        <v/>
      </c>
      <c r="AG221" s="0" t="n">
        <f aca="false">IF(AF221="",0,IF(MATCH(AF221,$AF$4:$AF$603,0)=ROW()-3,1,0))</f>
        <v>0</v>
      </c>
      <c r="AH221" s="0" t="n">
        <f aca="false">N(AH220)+AG221</f>
        <v>5</v>
      </c>
    </row>
    <row r="222" customFormat="false" ht="13.5" hidden="false" customHeight="false" outlineLevel="0" collapsed="false">
      <c r="A222" s="0" t="str">
        <f aca="false">IF(((进销存对接!$D222="客户应收")+(进销存对接!$D222="成品销售款")+(进销存对接!$D222="公司购买果品款")+(进销存对接!$D222="筐子销售款")+(进销存对接!$D222="物料销售款"))&gt;0,进销存对接!$C222,"")</f>
        <v/>
      </c>
      <c r="B222" s="0" t="n">
        <f aca="false">IF(A222="",0,IF(MATCH(A222,$A$4:$A$1925,0)=ROW()-3,1,0))</f>
        <v>0</v>
      </c>
      <c r="C222" s="0" t="n">
        <f aca="false">N(C221)+B222</f>
        <v>6</v>
      </c>
      <c r="E222" s="0" t="str">
        <f aca="false">IFERROR(INDEX($A$4:$A$1925,MATCH(ROW()-3,$C$4:$C$1925,0)),"")</f>
        <v/>
      </c>
      <c r="G222" s="0" t="n">
        <f aca="false">IF(OR($G$1="",资金日记账!$E215="",资金日记账!$E215&lt;&gt;$G$1),0,IF(NOT(OR(N(资金日记账!$H215)&lt;&gt;0,N(资金日记账!$I215)&lt;&gt;0)),0,IF(资金日记账!$B215="",1,IF(OR(N(资金日记账!$B215)&lt;$H$1,N(资金日记账!$B215)&gt;$I$1),0,1))))</f>
        <v>0</v>
      </c>
      <c r="H222" s="0" t="n">
        <f aca="false">N(H221)+$G222</f>
        <v>3</v>
      </c>
      <c r="I222" s="0" t="str">
        <f aca="false">IF($G222=0,"",IF(资金日记账!$B215=0,"",资金日记账!$B215))</f>
        <v/>
      </c>
      <c r="J222" s="0" t="str">
        <f aca="false">IF($G222=0,"",IF(资金日记账!$D215=0,"",资金日记账!$D215))</f>
        <v/>
      </c>
      <c r="K222" s="0" t="str">
        <f aca="false">IF($G222=0,"",IF(""=0,"",""))</f>
        <v/>
      </c>
      <c r="L222" s="0" t="str">
        <f aca="false">IF($G222=0,"",IF(""=0,"",""))</f>
        <v/>
      </c>
      <c r="M222" s="0" t="str">
        <f aca="false">IF($G222=0,"",IF(""=0,"",""))</f>
        <v/>
      </c>
      <c r="N222" s="0" t="str">
        <f aca="false">IF($G222=0,"",IF(IF(N(资金日记账!$I215)=0,"",-ROUND(N(资金日记账!$I215),2))=0,"",IF(N(资金日记账!$I215)=0,"",-ROUND(N(资金日记账!$I215),2))))</f>
        <v/>
      </c>
      <c r="O222" s="0" t="str">
        <f aca="false">IF($G222=0,"",IF(IF(N(资金日记账!$H215)=0,"",ROUND(N(资金日记账!$H215),2))=0,"",IF(N(资金日记账!$H215)=0,"",ROUND(N(资金日记账!$H215),2))))</f>
        <v/>
      </c>
      <c r="P222" s="0" t="str">
        <f aca="false">IF($G222=0,"",IF(资金日记账!$L215=0,"",资金日记账!$L215))</f>
        <v/>
      </c>
      <c r="T222" s="0" t="str">
        <f aca="false">IF(资金日记账!$G222="","",资金日记账!$G222)</f>
        <v/>
      </c>
      <c r="U222" s="0" t="n">
        <f aca="false">IF(T222="",0,IF(MATCH(T222,$T$4:$T$903,0)=ROW()-3,1,0))</f>
        <v>0</v>
      </c>
      <c r="V222" s="0" t="n">
        <f aca="false">N(V221)+U222</f>
        <v>30</v>
      </c>
      <c r="Z222" s="0" t="str">
        <f aca="false">IF(成本费用登记表!$C222="","",成本费用登记表!$C222)</f>
        <v/>
      </c>
      <c r="AA222" s="0" t="n">
        <f aca="false">IF(Z222="",0,IF(MATCH(Z222,$Z$4:$Z$303,0)=ROW()-3,1,0))</f>
        <v>0</v>
      </c>
      <c r="AB222" s="0" t="n">
        <f aca="false">N(AB221)+AA222</f>
        <v>0</v>
      </c>
      <c r="AF222" s="0" t="str">
        <f aca="false">IF(OR(资金日记账!$E222="",N(资金日记账!$H222)=0),"",资金日记账!$E222)</f>
        <v/>
      </c>
      <c r="AG222" s="0" t="n">
        <f aca="false">IF(AF222="",0,IF(MATCH(AF222,$AF$4:$AF$603,0)=ROW()-3,1,0))</f>
        <v>0</v>
      </c>
      <c r="AH222" s="0" t="n">
        <f aca="false">N(AH221)+AG222</f>
        <v>5</v>
      </c>
    </row>
    <row r="223" customFormat="false" ht="13.5" hidden="false" customHeight="false" outlineLevel="0" collapsed="false">
      <c r="A223" s="0" t="str">
        <f aca="false">IF(((进销存对接!$D223="客户应收")+(进销存对接!$D223="成品销售款")+(进销存对接!$D223="公司购买果品款")+(进销存对接!$D223="筐子销售款")+(进销存对接!$D223="物料销售款"))&gt;0,进销存对接!$C223,"")</f>
        <v/>
      </c>
      <c r="B223" s="0" t="n">
        <f aca="false">IF(A223="",0,IF(MATCH(A223,$A$4:$A$1925,0)=ROW()-3,1,0))</f>
        <v>0</v>
      </c>
      <c r="C223" s="0" t="n">
        <f aca="false">N(C222)+B223</f>
        <v>6</v>
      </c>
      <c r="E223" s="0" t="str">
        <f aca="false">IFERROR(INDEX($A$4:$A$1925,MATCH(ROW()-3,$C$4:$C$1925,0)),"")</f>
        <v/>
      </c>
      <c r="G223" s="0" t="n">
        <f aca="false">IF(OR($G$1="",资金日记账!$E216="",资金日记账!$E216&lt;&gt;$G$1),0,IF(NOT(OR(N(资金日记账!$H216)&lt;&gt;0,N(资金日记账!$I216)&lt;&gt;0)),0,IF(资金日记账!$B216="",1,IF(OR(N(资金日记账!$B216)&lt;$H$1,N(资金日记账!$B216)&gt;$I$1),0,1))))</f>
        <v>0</v>
      </c>
      <c r="H223" s="0" t="n">
        <f aca="false">N(H222)+$G223</f>
        <v>3</v>
      </c>
      <c r="I223" s="0" t="str">
        <f aca="false">IF($G223=0,"",IF(资金日记账!$B216=0,"",资金日记账!$B216))</f>
        <v/>
      </c>
      <c r="J223" s="0" t="str">
        <f aca="false">IF($G223=0,"",IF(资金日记账!$D216=0,"",资金日记账!$D216))</f>
        <v/>
      </c>
      <c r="K223" s="0" t="str">
        <f aca="false">IF($G223=0,"",IF(""=0,"",""))</f>
        <v/>
      </c>
      <c r="L223" s="0" t="str">
        <f aca="false">IF($G223=0,"",IF(""=0,"",""))</f>
        <v/>
      </c>
      <c r="M223" s="0" t="str">
        <f aca="false">IF($G223=0,"",IF(""=0,"",""))</f>
        <v/>
      </c>
      <c r="N223" s="0" t="str">
        <f aca="false">IF($G223=0,"",IF(IF(N(资金日记账!$I216)=0,"",-ROUND(N(资金日记账!$I216),2))=0,"",IF(N(资金日记账!$I216)=0,"",-ROUND(N(资金日记账!$I216),2))))</f>
        <v/>
      </c>
      <c r="O223" s="0" t="str">
        <f aca="false">IF($G223=0,"",IF(IF(N(资金日记账!$H216)=0,"",ROUND(N(资金日记账!$H216),2))=0,"",IF(N(资金日记账!$H216)=0,"",ROUND(N(资金日记账!$H216),2))))</f>
        <v/>
      </c>
      <c r="P223" s="0" t="str">
        <f aca="false">IF($G223=0,"",IF(资金日记账!$L216=0,"",资金日记账!$L216))</f>
        <v/>
      </c>
      <c r="T223" s="0" t="str">
        <f aca="false">IF(资金日记账!$G223="","",资金日记账!$G223)</f>
        <v/>
      </c>
      <c r="U223" s="0" t="n">
        <f aca="false">IF(T223="",0,IF(MATCH(T223,$T$4:$T$903,0)=ROW()-3,1,0))</f>
        <v>0</v>
      </c>
      <c r="V223" s="0" t="n">
        <f aca="false">N(V222)+U223</f>
        <v>30</v>
      </c>
      <c r="Z223" s="0" t="str">
        <f aca="false">IF(成本费用登记表!$C223="","",成本费用登记表!$C223)</f>
        <v/>
      </c>
      <c r="AA223" s="0" t="n">
        <f aca="false">IF(Z223="",0,IF(MATCH(Z223,$Z$4:$Z$303,0)=ROW()-3,1,0))</f>
        <v>0</v>
      </c>
      <c r="AB223" s="0" t="n">
        <f aca="false">N(AB222)+AA223</f>
        <v>0</v>
      </c>
      <c r="AF223" s="0" t="str">
        <f aca="false">IF(OR(资金日记账!$E223="",N(资金日记账!$H223)=0),"",资金日记账!$E223)</f>
        <v/>
      </c>
      <c r="AG223" s="0" t="n">
        <f aca="false">IF(AF223="",0,IF(MATCH(AF223,$AF$4:$AF$603,0)=ROW()-3,1,0))</f>
        <v>0</v>
      </c>
      <c r="AH223" s="0" t="n">
        <f aca="false">N(AH222)+AG223</f>
        <v>5</v>
      </c>
    </row>
    <row r="224" customFormat="false" ht="13.5" hidden="false" customHeight="false" outlineLevel="0" collapsed="false">
      <c r="A224" s="0" t="str">
        <f aca="false">IF(((进销存对接!$D224="客户应收")+(进销存对接!$D224="成品销售款")+(进销存对接!$D224="公司购买果品款")+(进销存对接!$D224="筐子销售款")+(进销存对接!$D224="物料销售款"))&gt;0,进销存对接!$C224,"")</f>
        <v/>
      </c>
      <c r="B224" s="0" t="n">
        <f aca="false">IF(A224="",0,IF(MATCH(A224,$A$4:$A$1925,0)=ROW()-3,1,0))</f>
        <v>0</v>
      </c>
      <c r="C224" s="0" t="n">
        <f aca="false">N(C223)+B224</f>
        <v>6</v>
      </c>
      <c r="E224" s="0" t="str">
        <f aca="false">IFERROR(INDEX($A$4:$A$1925,MATCH(ROW()-3,$C$4:$C$1925,0)),"")</f>
        <v/>
      </c>
      <c r="G224" s="0" t="n">
        <f aca="false">IF(OR($G$1="",资金日记账!$E217="",资金日记账!$E217&lt;&gt;$G$1),0,IF(NOT(OR(N(资金日记账!$H217)&lt;&gt;0,N(资金日记账!$I217)&lt;&gt;0)),0,IF(资金日记账!$B217="",1,IF(OR(N(资金日记账!$B217)&lt;$H$1,N(资金日记账!$B217)&gt;$I$1),0,1))))</f>
        <v>0</v>
      </c>
      <c r="H224" s="0" t="n">
        <f aca="false">N(H223)+$G224</f>
        <v>3</v>
      </c>
      <c r="I224" s="0" t="str">
        <f aca="false">IF($G224=0,"",IF(资金日记账!$B217=0,"",资金日记账!$B217))</f>
        <v/>
      </c>
      <c r="J224" s="0" t="str">
        <f aca="false">IF($G224=0,"",IF(资金日记账!$D217=0,"",资金日记账!$D217))</f>
        <v/>
      </c>
      <c r="K224" s="0" t="str">
        <f aca="false">IF($G224=0,"",IF(""=0,"",""))</f>
        <v/>
      </c>
      <c r="L224" s="0" t="str">
        <f aca="false">IF($G224=0,"",IF(""=0,"",""))</f>
        <v/>
      </c>
      <c r="M224" s="0" t="str">
        <f aca="false">IF($G224=0,"",IF(""=0,"",""))</f>
        <v/>
      </c>
      <c r="N224" s="0" t="str">
        <f aca="false">IF($G224=0,"",IF(IF(N(资金日记账!$I217)=0,"",-ROUND(N(资金日记账!$I217),2))=0,"",IF(N(资金日记账!$I217)=0,"",-ROUND(N(资金日记账!$I217),2))))</f>
        <v/>
      </c>
      <c r="O224" s="0" t="str">
        <f aca="false">IF($G224=0,"",IF(IF(N(资金日记账!$H217)=0,"",ROUND(N(资金日记账!$H217),2))=0,"",IF(N(资金日记账!$H217)=0,"",ROUND(N(资金日记账!$H217),2))))</f>
        <v/>
      </c>
      <c r="P224" s="0" t="str">
        <f aca="false">IF($G224=0,"",IF(资金日记账!$L217=0,"",资金日记账!$L217))</f>
        <v/>
      </c>
      <c r="T224" s="0" t="str">
        <f aca="false">IF(资金日记账!$G224="","",资金日记账!$G224)</f>
        <v/>
      </c>
      <c r="U224" s="0" t="n">
        <f aca="false">IF(T224="",0,IF(MATCH(T224,$T$4:$T$903,0)=ROW()-3,1,0))</f>
        <v>0</v>
      </c>
      <c r="V224" s="0" t="n">
        <f aca="false">N(V223)+U224</f>
        <v>30</v>
      </c>
      <c r="Z224" s="0" t="str">
        <f aca="false">IF(成本费用登记表!$C224="","",成本费用登记表!$C224)</f>
        <v/>
      </c>
      <c r="AA224" s="0" t="n">
        <f aca="false">IF(Z224="",0,IF(MATCH(Z224,$Z$4:$Z$303,0)=ROW()-3,1,0))</f>
        <v>0</v>
      </c>
      <c r="AB224" s="0" t="n">
        <f aca="false">N(AB223)+AA224</f>
        <v>0</v>
      </c>
      <c r="AF224" s="0" t="str">
        <f aca="false">IF(OR(资金日记账!$E224="",N(资金日记账!$H224)=0),"",资金日记账!$E224)</f>
        <v/>
      </c>
      <c r="AG224" s="0" t="n">
        <f aca="false">IF(AF224="",0,IF(MATCH(AF224,$AF$4:$AF$603,0)=ROW()-3,1,0))</f>
        <v>0</v>
      </c>
      <c r="AH224" s="0" t="n">
        <f aca="false">N(AH223)+AG224</f>
        <v>5</v>
      </c>
    </row>
    <row r="225" customFormat="false" ht="13.5" hidden="false" customHeight="false" outlineLevel="0" collapsed="false">
      <c r="A225" s="0" t="str">
        <f aca="false">IF(((进销存对接!$D225="客户应收")+(进销存对接!$D225="成品销售款")+(进销存对接!$D225="公司购买果品款")+(进销存对接!$D225="筐子销售款")+(进销存对接!$D225="物料销售款"))&gt;0,进销存对接!$C225,"")</f>
        <v/>
      </c>
      <c r="B225" s="0" t="n">
        <f aca="false">IF(A225="",0,IF(MATCH(A225,$A$4:$A$1925,0)=ROW()-3,1,0))</f>
        <v>0</v>
      </c>
      <c r="C225" s="0" t="n">
        <f aca="false">N(C224)+B225</f>
        <v>6</v>
      </c>
      <c r="E225" s="0" t="str">
        <f aca="false">IFERROR(INDEX($A$4:$A$1925,MATCH(ROW()-3,$C$4:$C$1925,0)),"")</f>
        <v/>
      </c>
      <c r="G225" s="0" t="n">
        <f aca="false">IF(OR($G$1="",资金日记账!$E218="",资金日记账!$E218&lt;&gt;$G$1),0,IF(NOT(OR(N(资金日记账!$H218)&lt;&gt;0,N(资金日记账!$I218)&lt;&gt;0)),0,IF(资金日记账!$B218="",1,IF(OR(N(资金日记账!$B218)&lt;$H$1,N(资金日记账!$B218)&gt;$I$1),0,1))))</f>
        <v>0</v>
      </c>
      <c r="H225" s="0" t="n">
        <f aca="false">N(H224)+$G225</f>
        <v>3</v>
      </c>
      <c r="I225" s="0" t="str">
        <f aca="false">IF($G225=0,"",IF(资金日记账!$B218=0,"",资金日记账!$B218))</f>
        <v/>
      </c>
      <c r="J225" s="0" t="str">
        <f aca="false">IF($G225=0,"",IF(资金日记账!$D218=0,"",资金日记账!$D218))</f>
        <v/>
      </c>
      <c r="K225" s="0" t="str">
        <f aca="false">IF($G225=0,"",IF(""=0,"",""))</f>
        <v/>
      </c>
      <c r="L225" s="0" t="str">
        <f aca="false">IF($G225=0,"",IF(""=0,"",""))</f>
        <v/>
      </c>
      <c r="M225" s="0" t="str">
        <f aca="false">IF($G225=0,"",IF(""=0,"",""))</f>
        <v/>
      </c>
      <c r="N225" s="0" t="str">
        <f aca="false">IF($G225=0,"",IF(IF(N(资金日记账!$I218)=0,"",-ROUND(N(资金日记账!$I218),2))=0,"",IF(N(资金日记账!$I218)=0,"",-ROUND(N(资金日记账!$I218),2))))</f>
        <v/>
      </c>
      <c r="O225" s="0" t="str">
        <f aca="false">IF($G225=0,"",IF(IF(N(资金日记账!$H218)=0,"",ROUND(N(资金日记账!$H218),2))=0,"",IF(N(资金日记账!$H218)=0,"",ROUND(N(资金日记账!$H218),2))))</f>
        <v/>
      </c>
      <c r="P225" s="0" t="str">
        <f aca="false">IF($G225=0,"",IF(资金日记账!$L218=0,"",资金日记账!$L218))</f>
        <v/>
      </c>
      <c r="T225" s="0" t="str">
        <f aca="false">IF(资金日记账!$G225="","",资金日记账!$G225)</f>
        <v/>
      </c>
      <c r="U225" s="0" t="n">
        <f aca="false">IF(T225="",0,IF(MATCH(T225,$T$4:$T$903,0)=ROW()-3,1,0))</f>
        <v>0</v>
      </c>
      <c r="V225" s="0" t="n">
        <f aca="false">N(V224)+U225</f>
        <v>30</v>
      </c>
      <c r="Z225" s="0" t="str">
        <f aca="false">IF(成本费用登记表!$C225="","",成本费用登记表!$C225)</f>
        <v/>
      </c>
      <c r="AA225" s="0" t="n">
        <f aca="false">IF(Z225="",0,IF(MATCH(Z225,$Z$4:$Z$303,0)=ROW()-3,1,0))</f>
        <v>0</v>
      </c>
      <c r="AB225" s="0" t="n">
        <f aca="false">N(AB224)+AA225</f>
        <v>0</v>
      </c>
      <c r="AF225" s="0" t="str">
        <f aca="false">IF(OR(资金日记账!$E225="",N(资金日记账!$H225)=0),"",资金日记账!$E225)</f>
        <v/>
      </c>
      <c r="AG225" s="0" t="n">
        <f aca="false">IF(AF225="",0,IF(MATCH(AF225,$AF$4:$AF$603,0)=ROW()-3,1,0))</f>
        <v>0</v>
      </c>
      <c r="AH225" s="0" t="n">
        <f aca="false">N(AH224)+AG225</f>
        <v>5</v>
      </c>
    </row>
    <row r="226" customFormat="false" ht="13.5" hidden="false" customHeight="false" outlineLevel="0" collapsed="false">
      <c r="A226" s="0" t="str">
        <f aca="false">IF(((进销存对接!$D226="客户应收")+(进销存对接!$D226="成品销售款")+(进销存对接!$D226="公司购买果品款")+(进销存对接!$D226="筐子销售款")+(进销存对接!$D226="物料销售款"))&gt;0,进销存对接!$C226,"")</f>
        <v/>
      </c>
      <c r="B226" s="0" t="n">
        <f aca="false">IF(A226="",0,IF(MATCH(A226,$A$4:$A$1925,0)=ROW()-3,1,0))</f>
        <v>0</v>
      </c>
      <c r="C226" s="0" t="n">
        <f aca="false">N(C225)+B226</f>
        <v>6</v>
      </c>
      <c r="E226" s="0" t="str">
        <f aca="false">IFERROR(INDEX($A$4:$A$1925,MATCH(ROW()-3,$C$4:$C$1925,0)),"")</f>
        <v/>
      </c>
      <c r="G226" s="0" t="n">
        <f aca="false">IF(OR($G$1="",资金日记账!$E219="",资金日记账!$E219&lt;&gt;$G$1),0,IF(NOT(OR(N(资金日记账!$H219)&lt;&gt;0,N(资金日记账!$I219)&lt;&gt;0)),0,IF(资金日记账!$B219="",1,IF(OR(N(资金日记账!$B219)&lt;$H$1,N(资金日记账!$B219)&gt;$I$1),0,1))))</f>
        <v>0</v>
      </c>
      <c r="H226" s="0" t="n">
        <f aca="false">N(H225)+$G226</f>
        <v>3</v>
      </c>
      <c r="I226" s="0" t="str">
        <f aca="false">IF($G226=0,"",IF(资金日记账!$B219=0,"",资金日记账!$B219))</f>
        <v/>
      </c>
      <c r="J226" s="0" t="str">
        <f aca="false">IF($G226=0,"",IF(资金日记账!$D219=0,"",资金日记账!$D219))</f>
        <v/>
      </c>
      <c r="K226" s="0" t="str">
        <f aca="false">IF($G226=0,"",IF(""=0,"",""))</f>
        <v/>
      </c>
      <c r="L226" s="0" t="str">
        <f aca="false">IF($G226=0,"",IF(""=0,"",""))</f>
        <v/>
      </c>
      <c r="M226" s="0" t="str">
        <f aca="false">IF($G226=0,"",IF(""=0,"",""))</f>
        <v/>
      </c>
      <c r="N226" s="0" t="str">
        <f aca="false">IF($G226=0,"",IF(IF(N(资金日记账!$I219)=0,"",-ROUND(N(资金日记账!$I219),2))=0,"",IF(N(资金日记账!$I219)=0,"",-ROUND(N(资金日记账!$I219),2))))</f>
        <v/>
      </c>
      <c r="O226" s="0" t="str">
        <f aca="false">IF($G226=0,"",IF(IF(N(资金日记账!$H219)=0,"",ROUND(N(资金日记账!$H219),2))=0,"",IF(N(资金日记账!$H219)=0,"",ROUND(N(资金日记账!$H219),2))))</f>
        <v/>
      </c>
      <c r="P226" s="0" t="str">
        <f aca="false">IF($G226=0,"",IF(资金日记账!$L219=0,"",资金日记账!$L219))</f>
        <v/>
      </c>
      <c r="T226" s="0" t="str">
        <f aca="false">IF(资金日记账!$G226="","",资金日记账!$G226)</f>
        <v/>
      </c>
      <c r="U226" s="0" t="n">
        <f aca="false">IF(T226="",0,IF(MATCH(T226,$T$4:$T$903,0)=ROW()-3,1,0))</f>
        <v>0</v>
      </c>
      <c r="V226" s="0" t="n">
        <f aca="false">N(V225)+U226</f>
        <v>30</v>
      </c>
      <c r="Z226" s="0" t="str">
        <f aca="false">IF(成本费用登记表!$C226="","",成本费用登记表!$C226)</f>
        <v/>
      </c>
      <c r="AA226" s="0" t="n">
        <f aca="false">IF(Z226="",0,IF(MATCH(Z226,$Z$4:$Z$303,0)=ROW()-3,1,0))</f>
        <v>0</v>
      </c>
      <c r="AB226" s="0" t="n">
        <f aca="false">N(AB225)+AA226</f>
        <v>0</v>
      </c>
      <c r="AF226" s="0" t="str">
        <f aca="false">IF(OR(资金日记账!$E226="",N(资金日记账!$H226)=0),"",资金日记账!$E226)</f>
        <v/>
      </c>
      <c r="AG226" s="0" t="n">
        <f aca="false">IF(AF226="",0,IF(MATCH(AF226,$AF$4:$AF$603,0)=ROW()-3,1,0))</f>
        <v>0</v>
      </c>
      <c r="AH226" s="0" t="n">
        <f aca="false">N(AH225)+AG226</f>
        <v>5</v>
      </c>
    </row>
    <row r="227" customFormat="false" ht="13.5" hidden="false" customHeight="false" outlineLevel="0" collapsed="false">
      <c r="A227" s="0" t="str">
        <f aca="false">IF(((进销存对接!$D227="客户应收")+(进销存对接!$D227="成品销售款")+(进销存对接!$D227="公司购买果品款")+(进销存对接!$D227="筐子销售款")+(进销存对接!$D227="物料销售款"))&gt;0,进销存对接!$C227,"")</f>
        <v/>
      </c>
      <c r="B227" s="0" t="n">
        <f aca="false">IF(A227="",0,IF(MATCH(A227,$A$4:$A$1925,0)=ROW()-3,1,0))</f>
        <v>0</v>
      </c>
      <c r="C227" s="0" t="n">
        <f aca="false">N(C226)+B227</f>
        <v>6</v>
      </c>
      <c r="E227" s="0" t="str">
        <f aca="false">IFERROR(INDEX($A$4:$A$1925,MATCH(ROW()-3,$C$4:$C$1925,0)),"")</f>
        <v/>
      </c>
      <c r="G227" s="0" t="n">
        <f aca="false">IF(OR($G$1="",资金日记账!$E220="",资金日记账!$E220&lt;&gt;$G$1),0,IF(NOT(OR(N(资金日记账!$H220)&lt;&gt;0,N(资金日记账!$I220)&lt;&gt;0)),0,IF(资金日记账!$B220="",1,IF(OR(N(资金日记账!$B220)&lt;$H$1,N(资金日记账!$B220)&gt;$I$1),0,1))))</f>
        <v>0</v>
      </c>
      <c r="H227" s="0" t="n">
        <f aca="false">N(H226)+$G227</f>
        <v>3</v>
      </c>
      <c r="I227" s="0" t="str">
        <f aca="false">IF($G227=0,"",IF(资金日记账!$B220=0,"",资金日记账!$B220))</f>
        <v/>
      </c>
      <c r="J227" s="0" t="str">
        <f aca="false">IF($G227=0,"",IF(资金日记账!$D220=0,"",资金日记账!$D220))</f>
        <v/>
      </c>
      <c r="K227" s="0" t="str">
        <f aca="false">IF($G227=0,"",IF(""=0,"",""))</f>
        <v/>
      </c>
      <c r="L227" s="0" t="str">
        <f aca="false">IF($G227=0,"",IF(""=0,"",""))</f>
        <v/>
      </c>
      <c r="M227" s="0" t="str">
        <f aca="false">IF($G227=0,"",IF(""=0,"",""))</f>
        <v/>
      </c>
      <c r="N227" s="0" t="str">
        <f aca="false">IF($G227=0,"",IF(IF(N(资金日记账!$I220)=0,"",-ROUND(N(资金日记账!$I220),2))=0,"",IF(N(资金日记账!$I220)=0,"",-ROUND(N(资金日记账!$I220),2))))</f>
        <v/>
      </c>
      <c r="O227" s="0" t="str">
        <f aca="false">IF($G227=0,"",IF(IF(N(资金日记账!$H220)=0,"",ROUND(N(资金日记账!$H220),2))=0,"",IF(N(资金日记账!$H220)=0,"",ROUND(N(资金日记账!$H220),2))))</f>
        <v/>
      </c>
      <c r="P227" s="0" t="str">
        <f aca="false">IF($G227=0,"",IF(资金日记账!$L220=0,"",资金日记账!$L220))</f>
        <v/>
      </c>
      <c r="T227" s="0" t="str">
        <f aca="false">IF(资金日记账!$G227="","",资金日记账!$G227)</f>
        <v/>
      </c>
      <c r="U227" s="0" t="n">
        <f aca="false">IF(T227="",0,IF(MATCH(T227,$T$4:$T$903,0)=ROW()-3,1,0))</f>
        <v>0</v>
      </c>
      <c r="V227" s="0" t="n">
        <f aca="false">N(V226)+U227</f>
        <v>30</v>
      </c>
      <c r="Z227" s="0" t="str">
        <f aca="false">IF(成本费用登记表!$C227="","",成本费用登记表!$C227)</f>
        <v/>
      </c>
      <c r="AA227" s="0" t="n">
        <f aca="false">IF(Z227="",0,IF(MATCH(Z227,$Z$4:$Z$303,0)=ROW()-3,1,0))</f>
        <v>0</v>
      </c>
      <c r="AB227" s="0" t="n">
        <f aca="false">N(AB226)+AA227</f>
        <v>0</v>
      </c>
      <c r="AF227" s="0" t="str">
        <f aca="false">IF(OR(资金日记账!$E227="",N(资金日记账!$H227)=0),"",资金日记账!$E227)</f>
        <v/>
      </c>
      <c r="AG227" s="0" t="n">
        <f aca="false">IF(AF227="",0,IF(MATCH(AF227,$AF$4:$AF$603,0)=ROW()-3,1,0))</f>
        <v>0</v>
      </c>
      <c r="AH227" s="0" t="n">
        <f aca="false">N(AH226)+AG227</f>
        <v>5</v>
      </c>
    </row>
    <row r="228" customFormat="false" ht="13.5" hidden="false" customHeight="false" outlineLevel="0" collapsed="false">
      <c r="A228" s="0" t="str">
        <f aca="false">IF(((进销存对接!$D228="客户应收")+(进销存对接!$D228="成品销售款")+(进销存对接!$D228="公司购买果品款")+(进销存对接!$D228="筐子销售款")+(进销存对接!$D228="物料销售款"))&gt;0,进销存对接!$C228,"")</f>
        <v/>
      </c>
      <c r="B228" s="0" t="n">
        <f aca="false">IF(A228="",0,IF(MATCH(A228,$A$4:$A$1925,0)=ROW()-3,1,0))</f>
        <v>0</v>
      </c>
      <c r="C228" s="0" t="n">
        <f aca="false">N(C227)+B228</f>
        <v>6</v>
      </c>
      <c r="E228" s="0" t="str">
        <f aca="false">IFERROR(INDEX($A$4:$A$1925,MATCH(ROW()-3,$C$4:$C$1925,0)),"")</f>
        <v/>
      </c>
      <c r="G228" s="0" t="n">
        <f aca="false">IF(OR($G$1="",资金日记账!$E221="",资金日记账!$E221&lt;&gt;$G$1),0,IF(NOT(OR(N(资金日记账!$H221)&lt;&gt;0,N(资金日记账!$I221)&lt;&gt;0)),0,IF(资金日记账!$B221="",1,IF(OR(N(资金日记账!$B221)&lt;$H$1,N(资金日记账!$B221)&gt;$I$1),0,1))))</f>
        <v>0</v>
      </c>
      <c r="H228" s="0" t="n">
        <f aca="false">N(H227)+$G228</f>
        <v>3</v>
      </c>
      <c r="I228" s="0" t="str">
        <f aca="false">IF($G228=0,"",IF(资金日记账!$B221=0,"",资金日记账!$B221))</f>
        <v/>
      </c>
      <c r="J228" s="0" t="str">
        <f aca="false">IF($G228=0,"",IF(资金日记账!$D221=0,"",资金日记账!$D221))</f>
        <v/>
      </c>
      <c r="K228" s="0" t="str">
        <f aca="false">IF($G228=0,"",IF(""=0,"",""))</f>
        <v/>
      </c>
      <c r="L228" s="0" t="str">
        <f aca="false">IF($G228=0,"",IF(""=0,"",""))</f>
        <v/>
      </c>
      <c r="M228" s="0" t="str">
        <f aca="false">IF($G228=0,"",IF(""=0,"",""))</f>
        <v/>
      </c>
      <c r="N228" s="0" t="str">
        <f aca="false">IF($G228=0,"",IF(IF(N(资金日记账!$I221)=0,"",-ROUND(N(资金日记账!$I221),2))=0,"",IF(N(资金日记账!$I221)=0,"",-ROUND(N(资金日记账!$I221),2))))</f>
        <v/>
      </c>
      <c r="O228" s="0" t="str">
        <f aca="false">IF($G228=0,"",IF(IF(N(资金日记账!$H221)=0,"",ROUND(N(资金日记账!$H221),2))=0,"",IF(N(资金日记账!$H221)=0,"",ROUND(N(资金日记账!$H221),2))))</f>
        <v/>
      </c>
      <c r="P228" s="0" t="str">
        <f aca="false">IF($G228=0,"",IF(资金日记账!$L221=0,"",资金日记账!$L221))</f>
        <v/>
      </c>
      <c r="T228" s="0" t="str">
        <f aca="false">IF(资金日记账!$G228="","",资金日记账!$G228)</f>
        <v/>
      </c>
      <c r="U228" s="0" t="n">
        <f aca="false">IF(T228="",0,IF(MATCH(T228,$T$4:$T$903,0)=ROW()-3,1,0))</f>
        <v>0</v>
      </c>
      <c r="V228" s="0" t="n">
        <f aca="false">N(V227)+U228</f>
        <v>30</v>
      </c>
      <c r="Z228" s="0" t="str">
        <f aca="false">IF(成本费用登记表!$C228="","",成本费用登记表!$C228)</f>
        <v/>
      </c>
      <c r="AA228" s="0" t="n">
        <f aca="false">IF(Z228="",0,IF(MATCH(Z228,$Z$4:$Z$303,0)=ROW()-3,1,0))</f>
        <v>0</v>
      </c>
      <c r="AB228" s="0" t="n">
        <f aca="false">N(AB227)+AA228</f>
        <v>0</v>
      </c>
      <c r="AF228" s="0" t="str">
        <f aca="false">IF(OR(资金日记账!$E228="",N(资金日记账!$H228)=0),"",资金日记账!$E228)</f>
        <v/>
      </c>
      <c r="AG228" s="0" t="n">
        <f aca="false">IF(AF228="",0,IF(MATCH(AF228,$AF$4:$AF$603,0)=ROW()-3,1,0))</f>
        <v>0</v>
      </c>
      <c r="AH228" s="0" t="n">
        <f aca="false">N(AH227)+AG228</f>
        <v>5</v>
      </c>
    </row>
    <row r="229" customFormat="false" ht="13.5" hidden="false" customHeight="false" outlineLevel="0" collapsed="false">
      <c r="A229" s="0" t="str">
        <f aca="false">IF(((进销存对接!$D229="客户应收")+(进销存对接!$D229="成品销售款")+(进销存对接!$D229="公司购买果品款")+(进销存对接!$D229="筐子销售款")+(进销存对接!$D229="物料销售款"))&gt;0,进销存对接!$C229,"")</f>
        <v/>
      </c>
      <c r="B229" s="0" t="n">
        <f aca="false">IF(A229="",0,IF(MATCH(A229,$A$4:$A$1925,0)=ROW()-3,1,0))</f>
        <v>0</v>
      </c>
      <c r="C229" s="0" t="n">
        <f aca="false">N(C228)+B229</f>
        <v>6</v>
      </c>
      <c r="E229" s="0" t="str">
        <f aca="false">IFERROR(INDEX($A$4:$A$1925,MATCH(ROW()-3,$C$4:$C$1925,0)),"")</f>
        <v/>
      </c>
      <c r="G229" s="0" t="n">
        <f aca="false">IF(OR($G$1="",资金日记账!$E222="",资金日记账!$E222&lt;&gt;$G$1),0,IF(NOT(OR(N(资金日记账!$H222)&lt;&gt;0,N(资金日记账!$I222)&lt;&gt;0)),0,IF(资金日记账!$B222="",1,IF(OR(N(资金日记账!$B222)&lt;$H$1,N(资金日记账!$B222)&gt;$I$1),0,1))))</f>
        <v>0</v>
      </c>
      <c r="H229" s="0" t="n">
        <f aca="false">N(H228)+$G229</f>
        <v>3</v>
      </c>
      <c r="I229" s="0" t="str">
        <f aca="false">IF($G229=0,"",IF(资金日记账!$B222=0,"",资金日记账!$B222))</f>
        <v/>
      </c>
      <c r="J229" s="0" t="str">
        <f aca="false">IF($G229=0,"",IF(资金日记账!$D222=0,"",资金日记账!$D222))</f>
        <v/>
      </c>
      <c r="K229" s="0" t="str">
        <f aca="false">IF($G229=0,"",IF(""=0,"",""))</f>
        <v/>
      </c>
      <c r="L229" s="0" t="str">
        <f aca="false">IF($G229=0,"",IF(""=0,"",""))</f>
        <v/>
      </c>
      <c r="M229" s="0" t="str">
        <f aca="false">IF($G229=0,"",IF(""=0,"",""))</f>
        <v/>
      </c>
      <c r="N229" s="0" t="str">
        <f aca="false">IF($G229=0,"",IF(IF(N(资金日记账!$I222)=0,"",-ROUND(N(资金日记账!$I222),2))=0,"",IF(N(资金日记账!$I222)=0,"",-ROUND(N(资金日记账!$I222),2))))</f>
        <v/>
      </c>
      <c r="O229" s="0" t="str">
        <f aca="false">IF($G229=0,"",IF(IF(N(资金日记账!$H222)=0,"",ROUND(N(资金日记账!$H222),2))=0,"",IF(N(资金日记账!$H222)=0,"",ROUND(N(资金日记账!$H222),2))))</f>
        <v/>
      </c>
      <c r="P229" s="0" t="str">
        <f aca="false">IF($G229=0,"",IF(资金日记账!$L222=0,"",资金日记账!$L222))</f>
        <v/>
      </c>
      <c r="T229" s="0" t="str">
        <f aca="false">IF(资金日记账!$G229="","",资金日记账!$G229)</f>
        <v/>
      </c>
      <c r="U229" s="0" t="n">
        <f aca="false">IF(T229="",0,IF(MATCH(T229,$T$4:$T$903,0)=ROW()-3,1,0))</f>
        <v>0</v>
      </c>
      <c r="V229" s="0" t="n">
        <f aca="false">N(V228)+U229</f>
        <v>30</v>
      </c>
      <c r="Z229" s="0" t="str">
        <f aca="false">IF(成本费用登记表!$C229="","",成本费用登记表!$C229)</f>
        <v/>
      </c>
      <c r="AA229" s="0" t="n">
        <f aca="false">IF(Z229="",0,IF(MATCH(Z229,$Z$4:$Z$303,0)=ROW()-3,1,0))</f>
        <v>0</v>
      </c>
      <c r="AB229" s="0" t="n">
        <f aca="false">N(AB228)+AA229</f>
        <v>0</v>
      </c>
      <c r="AF229" s="0" t="str">
        <f aca="false">IF(OR(资金日记账!$E229="",N(资金日记账!$H229)=0),"",资金日记账!$E229)</f>
        <v/>
      </c>
      <c r="AG229" s="0" t="n">
        <f aca="false">IF(AF229="",0,IF(MATCH(AF229,$AF$4:$AF$603,0)=ROW()-3,1,0))</f>
        <v>0</v>
      </c>
      <c r="AH229" s="0" t="n">
        <f aca="false">N(AH228)+AG229</f>
        <v>5</v>
      </c>
    </row>
    <row r="230" customFormat="false" ht="13.5" hidden="false" customHeight="false" outlineLevel="0" collapsed="false">
      <c r="A230" s="0" t="str">
        <f aca="false">IF(((进销存对接!$D230="客户应收")+(进销存对接!$D230="成品销售款")+(进销存对接!$D230="公司购买果品款")+(进销存对接!$D230="筐子销售款")+(进销存对接!$D230="物料销售款"))&gt;0,进销存对接!$C230,"")</f>
        <v/>
      </c>
      <c r="B230" s="0" t="n">
        <f aca="false">IF(A230="",0,IF(MATCH(A230,$A$4:$A$1925,0)=ROW()-3,1,0))</f>
        <v>0</v>
      </c>
      <c r="C230" s="0" t="n">
        <f aca="false">N(C229)+B230</f>
        <v>6</v>
      </c>
      <c r="E230" s="0" t="str">
        <f aca="false">IFERROR(INDEX($A$4:$A$1925,MATCH(ROW()-3,$C$4:$C$1925,0)),"")</f>
        <v/>
      </c>
      <c r="G230" s="0" t="n">
        <f aca="false">IF(OR($G$1="",资金日记账!$E223="",资金日记账!$E223&lt;&gt;$G$1),0,IF(NOT(OR(N(资金日记账!$H223)&lt;&gt;0,N(资金日记账!$I223)&lt;&gt;0)),0,IF(资金日记账!$B223="",1,IF(OR(N(资金日记账!$B223)&lt;$H$1,N(资金日记账!$B223)&gt;$I$1),0,1))))</f>
        <v>0</v>
      </c>
      <c r="H230" s="0" t="n">
        <f aca="false">N(H229)+$G230</f>
        <v>3</v>
      </c>
      <c r="I230" s="0" t="str">
        <f aca="false">IF($G230=0,"",IF(资金日记账!$B223=0,"",资金日记账!$B223))</f>
        <v/>
      </c>
      <c r="J230" s="0" t="str">
        <f aca="false">IF($G230=0,"",IF(资金日记账!$D223=0,"",资金日记账!$D223))</f>
        <v/>
      </c>
      <c r="K230" s="0" t="str">
        <f aca="false">IF($G230=0,"",IF(""=0,"",""))</f>
        <v/>
      </c>
      <c r="L230" s="0" t="str">
        <f aca="false">IF($G230=0,"",IF(""=0,"",""))</f>
        <v/>
      </c>
      <c r="M230" s="0" t="str">
        <f aca="false">IF($G230=0,"",IF(""=0,"",""))</f>
        <v/>
      </c>
      <c r="N230" s="0" t="str">
        <f aca="false">IF($G230=0,"",IF(IF(N(资金日记账!$I223)=0,"",-ROUND(N(资金日记账!$I223),2))=0,"",IF(N(资金日记账!$I223)=0,"",-ROUND(N(资金日记账!$I223),2))))</f>
        <v/>
      </c>
      <c r="O230" s="0" t="str">
        <f aca="false">IF($G230=0,"",IF(IF(N(资金日记账!$H223)=0,"",ROUND(N(资金日记账!$H223),2))=0,"",IF(N(资金日记账!$H223)=0,"",ROUND(N(资金日记账!$H223),2))))</f>
        <v/>
      </c>
      <c r="P230" s="0" t="str">
        <f aca="false">IF($G230=0,"",IF(资金日记账!$L223=0,"",资金日记账!$L223))</f>
        <v/>
      </c>
      <c r="T230" s="0" t="str">
        <f aca="false">IF(资金日记账!$G230="","",资金日记账!$G230)</f>
        <v/>
      </c>
      <c r="U230" s="0" t="n">
        <f aca="false">IF(T230="",0,IF(MATCH(T230,$T$4:$T$903,0)=ROW()-3,1,0))</f>
        <v>0</v>
      </c>
      <c r="V230" s="0" t="n">
        <f aca="false">N(V229)+U230</f>
        <v>30</v>
      </c>
      <c r="Z230" s="0" t="str">
        <f aca="false">IF(成本费用登记表!$C230="","",成本费用登记表!$C230)</f>
        <v/>
      </c>
      <c r="AA230" s="0" t="n">
        <f aca="false">IF(Z230="",0,IF(MATCH(Z230,$Z$4:$Z$303,0)=ROW()-3,1,0))</f>
        <v>0</v>
      </c>
      <c r="AB230" s="0" t="n">
        <f aca="false">N(AB229)+AA230</f>
        <v>0</v>
      </c>
      <c r="AF230" s="0" t="str">
        <f aca="false">IF(OR(资金日记账!$E230="",N(资金日记账!$H230)=0),"",资金日记账!$E230)</f>
        <v/>
      </c>
      <c r="AG230" s="0" t="n">
        <f aca="false">IF(AF230="",0,IF(MATCH(AF230,$AF$4:$AF$603,0)=ROW()-3,1,0))</f>
        <v>0</v>
      </c>
      <c r="AH230" s="0" t="n">
        <f aca="false">N(AH229)+AG230</f>
        <v>5</v>
      </c>
    </row>
    <row r="231" customFormat="false" ht="13.5" hidden="false" customHeight="false" outlineLevel="0" collapsed="false">
      <c r="A231" s="0" t="str">
        <f aca="false">IF(((进销存对接!$D231="客户应收")+(进销存对接!$D231="成品销售款")+(进销存对接!$D231="公司购买果品款")+(进销存对接!$D231="筐子销售款")+(进销存对接!$D231="物料销售款"))&gt;0,进销存对接!$C231,"")</f>
        <v/>
      </c>
      <c r="B231" s="0" t="n">
        <f aca="false">IF(A231="",0,IF(MATCH(A231,$A$4:$A$1925,0)=ROW()-3,1,0))</f>
        <v>0</v>
      </c>
      <c r="C231" s="0" t="n">
        <f aca="false">N(C230)+B231</f>
        <v>6</v>
      </c>
      <c r="E231" s="0" t="str">
        <f aca="false">IFERROR(INDEX($A$4:$A$1925,MATCH(ROW()-3,$C$4:$C$1925,0)),"")</f>
        <v/>
      </c>
      <c r="G231" s="0" t="n">
        <f aca="false">IF(OR($G$1="",资金日记账!$E224="",资金日记账!$E224&lt;&gt;$G$1),0,IF(NOT(OR(N(资金日记账!$H224)&lt;&gt;0,N(资金日记账!$I224)&lt;&gt;0)),0,IF(资金日记账!$B224="",1,IF(OR(N(资金日记账!$B224)&lt;$H$1,N(资金日记账!$B224)&gt;$I$1),0,1))))</f>
        <v>0</v>
      </c>
      <c r="H231" s="0" t="n">
        <f aca="false">N(H230)+$G231</f>
        <v>3</v>
      </c>
      <c r="I231" s="0" t="str">
        <f aca="false">IF($G231=0,"",IF(资金日记账!$B224=0,"",资金日记账!$B224))</f>
        <v/>
      </c>
      <c r="J231" s="0" t="str">
        <f aca="false">IF($G231=0,"",IF(资金日记账!$D224=0,"",资金日记账!$D224))</f>
        <v/>
      </c>
      <c r="K231" s="0" t="str">
        <f aca="false">IF($G231=0,"",IF(""=0,"",""))</f>
        <v/>
      </c>
      <c r="L231" s="0" t="str">
        <f aca="false">IF($G231=0,"",IF(""=0,"",""))</f>
        <v/>
      </c>
      <c r="M231" s="0" t="str">
        <f aca="false">IF($G231=0,"",IF(""=0,"",""))</f>
        <v/>
      </c>
      <c r="N231" s="0" t="str">
        <f aca="false">IF($G231=0,"",IF(IF(N(资金日记账!$I224)=0,"",-ROUND(N(资金日记账!$I224),2))=0,"",IF(N(资金日记账!$I224)=0,"",-ROUND(N(资金日记账!$I224),2))))</f>
        <v/>
      </c>
      <c r="O231" s="0" t="str">
        <f aca="false">IF($G231=0,"",IF(IF(N(资金日记账!$H224)=0,"",ROUND(N(资金日记账!$H224),2))=0,"",IF(N(资金日记账!$H224)=0,"",ROUND(N(资金日记账!$H224),2))))</f>
        <v/>
      </c>
      <c r="P231" s="0" t="str">
        <f aca="false">IF($G231=0,"",IF(资金日记账!$L224=0,"",资金日记账!$L224))</f>
        <v/>
      </c>
      <c r="T231" s="0" t="str">
        <f aca="false">IF(资金日记账!$G231="","",资金日记账!$G231)</f>
        <v/>
      </c>
      <c r="U231" s="0" t="n">
        <f aca="false">IF(T231="",0,IF(MATCH(T231,$T$4:$T$903,0)=ROW()-3,1,0))</f>
        <v>0</v>
      </c>
      <c r="V231" s="0" t="n">
        <f aca="false">N(V230)+U231</f>
        <v>30</v>
      </c>
      <c r="Z231" s="0" t="str">
        <f aca="false">IF(成本费用登记表!$C231="","",成本费用登记表!$C231)</f>
        <v/>
      </c>
      <c r="AA231" s="0" t="n">
        <f aca="false">IF(Z231="",0,IF(MATCH(Z231,$Z$4:$Z$303,0)=ROW()-3,1,0))</f>
        <v>0</v>
      </c>
      <c r="AB231" s="0" t="n">
        <f aca="false">N(AB230)+AA231</f>
        <v>0</v>
      </c>
      <c r="AF231" s="0" t="str">
        <f aca="false">IF(OR(资金日记账!$E231="",N(资金日记账!$H231)=0),"",资金日记账!$E231)</f>
        <v/>
      </c>
      <c r="AG231" s="0" t="n">
        <f aca="false">IF(AF231="",0,IF(MATCH(AF231,$AF$4:$AF$603,0)=ROW()-3,1,0))</f>
        <v>0</v>
      </c>
      <c r="AH231" s="0" t="n">
        <f aca="false">N(AH230)+AG231</f>
        <v>5</v>
      </c>
    </row>
    <row r="232" customFormat="false" ht="13.5" hidden="false" customHeight="false" outlineLevel="0" collapsed="false">
      <c r="A232" s="0" t="str">
        <f aca="false">IF(((进销存对接!$D232="客户应收")+(进销存对接!$D232="成品销售款")+(进销存对接!$D232="公司购买果品款")+(进销存对接!$D232="筐子销售款")+(进销存对接!$D232="物料销售款"))&gt;0,进销存对接!$C232,"")</f>
        <v/>
      </c>
      <c r="B232" s="0" t="n">
        <f aca="false">IF(A232="",0,IF(MATCH(A232,$A$4:$A$1925,0)=ROW()-3,1,0))</f>
        <v>0</v>
      </c>
      <c r="C232" s="0" t="n">
        <f aca="false">N(C231)+B232</f>
        <v>6</v>
      </c>
      <c r="E232" s="0" t="str">
        <f aca="false">IFERROR(INDEX($A$4:$A$1925,MATCH(ROW()-3,$C$4:$C$1925,0)),"")</f>
        <v/>
      </c>
      <c r="G232" s="0" t="n">
        <f aca="false">IF(OR($G$1="",资金日记账!$E225="",资金日记账!$E225&lt;&gt;$G$1),0,IF(NOT(OR(N(资金日记账!$H225)&lt;&gt;0,N(资金日记账!$I225)&lt;&gt;0)),0,IF(资金日记账!$B225="",1,IF(OR(N(资金日记账!$B225)&lt;$H$1,N(资金日记账!$B225)&gt;$I$1),0,1))))</f>
        <v>0</v>
      </c>
      <c r="H232" s="0" t="n">
        <f aca="false">N(H231)+$G232</f>
        <v>3</v>
      </c>
      <c r="I232" s="0" t="str">
        <f aca="false">IF($G232=0,"",IF(资金日记账!$B225=0,"",资金日记账!$B225))</f>
        <v/>
      </c>
      <c r="J232" s="0" t="str">
        <f aca="false">IF($G232=0,"",IF(资金日记账!$D225=0,"",资金日记账!$D225))</f>
        <v/>
      </c>
      <c r="K232" s="0" t="str">
        <f aca="false">IF($G232=0,"",IF(""=0,"",""))</f>
        <v/>
      </c>
      <c r="L232" s="0" t="str">
        <f aca="false">IF($G232=0,"",IF(""=0,"",""))</f>
        <v/>
      </c>
      <c r="M232" s="0" t="str">
        <f aca="false">IF($G232=0,"",IF(""=0,"",""))</f>
        <v/>
      </c>
      <c r="N232" s="0" t="str">
        <f aca="false">IF($G232=0,"",IF(IF(N(资金日记账!$I225)=0,"",-ROUND(N(资金日记账!$I225),2))=0,"",IF(N(资金日记账!$I225)=0,"",-ROUND(N(资金日记账!$I225),2))))</f>
        <v/>
      </c>
      <c r="O232" s="0" t="str">
        <f aca="false">IF($G232=0,"",IF(IF(N(资金日记账!$H225)=0,"",ROUND(N(资金日记账!$H225),2))=0,"",IF(N(资金日记账!$H225)=0,"",ROUND(N(资金日记账!$H225),2))))</f>
        <v/>
      </c>
      <c r="P232" s="0" t="str">
        <f aca="false">IF($G232=0,"",IF(资金日记账!$L225=0,"",资金日记账!$L225))</f>
        <v/>
      </c>
      <c r="T232" s="0" t="str">
        <f aca="false">IF(资金日记账!$G232="","",资金日记账!$G232)</f>
        <v/>
      </c>
      <c r="U232" s="0" t="n">
        <f aca="false">IF(T232="",0,IF(MATCH(T232,$T$4:$T$903,0)=ROW()-3,1,0))</f>
        <v>0</v>
      </c>
      <c r="V232" s="0" t="n">
        <f aca="false">N(V231)+U232</f>
        <v>30</v>
      </c>
      <c r="Z232" s="0" t="str">
        <f aca="false">IF(成本费用登记表!$C232="","",成本费用登记表!$C232)</f>
        <v/>
      </c>
      <c r="AA232" s="0" t="n">
        <f aca="false">IF(Z232="",0,IF(MATCH(Z232,$Z$4:$Z$303,0)=ROW()-3,1,0))</f>
        <v>0</v>
      </c>
      <c r="AB232" s="0" t="n">
        <f aca="false">N(AB231)+AA232</f>
        <v>0</v>
      </c>
      <c r="AF232" s="0" t="str">
        <f aca="false">IF(OR(资金日记账!$E232="",N(资金日记账!$H232)=0),"",资金日记账!$E232)</f>
        <v/>
      </c>
      <c r="AG232" s="0" t="n">
        <f aca="false">IF(AF232="",0,IF(MATCH(AF232,$AF$4:$AF$603,0)=ROW()-3,1,0))</f>
        <v>0</v>
      </c>
      <c r="AH232" s="0" t="n">
        <f aca="false">N(AH231)+AG232</f>
        <v>5</v>
      </c>
    </row>
    <row r="233" customFormat="false" ht="13.5" hidden="false" customHeight="false" outlineLevel="0" collapsed="false">
      <c r="A233" s="0" t="str">
        <f aca="false">IF(((进销存对接!$D233="客户应收")+(进销存对接!$D233="成品销售款")+(进销存对接!$D233="公司购买果品款")+(进销存对接!$D233="筐子销售款")+(进销存对接!$D233="物料销售款"))&gt;0,进销存对接!$C233,"")</f>
        <v/>
      </c>
      <c r="B233" s="0" t="n">
        <f aca="false">IF(A233="",0,IF(MATCH(A233,$A$4:$A$1925,0)=ROW()-3,1,0))</f>
        <v>0</v>
      </c>
      <c r="C233" s="0" t="n">
        <f aca="false">N(C232)+B233</f>
        <v>6</v>
      </c>
      <c r="E233" s="0" t="str">
        <f aca="false">IFERROR(INDEX($A$4:$A$1925,MATCH(ROW()-3,$C$4:$C$1925,0)),"")</f>
        <v/>
      </c>
      <c r="G233" s="0" t="n">
        <f aca="false">IF(OR($G$1="",资金日记账!$E226="",资金日记账!$E226&lt;&gt;$G$1),0,IF(NOT(OR(N(资金日记账!$H226)&lt;&gt;0,N(资金日记账!$I226)&lt;&gt;0)),0,IF(资金日记账!$B226="",1,IF(OR(N(资金日记账!$B226)&lt;$H$1,N(资金日记账!$B226)&gt;$I$1),0,1))))</f>
        <v>0</v>
      </c>
      <c r="H233" s="0" t="n">
        <f aca="false">N(H232)+$G233</f>
        <v>3</v>
      </c>
      <c r="I233" s="0" t="str">
        <f aca="false">IF($G233=0,"",IF(资金日记账!$B226=0,"",资金日记账!$B226))</f>
        <v/>
      </c>
      <c r="J233" s="0" t="str">
        <f aca="false">IF($G233=0,"",IF(资金日记账!$D226=0,"",资金日记账!$D226))</f>
        <v/>
      </c>
      <c r="K233" s="0" t="str">
        <f aca="false">IF($G233=0,"",IF(""=0,"",""))</f>
        <v/>
      </c>
      <c r="L233" s="0" t="str">
        <f aca="false">IF($G233=0,"",IF(""=0,"",""))</f>
        <v/>
      </c>
      <c r="M233" s="0" t="str">
        <f aca="false">IF($G233=0,"",IF(""=0,"",""))</f>
        <v/>
      </c>
      <c r="N233" s="0" t="str">
        <f aca="false">IF($G233=0,"",IF(IF(N(资金日记账!$I226)=0,"",-ROUND(N(资金日记账!$I226),2))=0,"",IF(N(资金日记账!$I226)=0,"",-ROUND(N(资金日记账!$I226),2))))</f>
        <v/>
      </c>
      <c r="O233" s="0" t="str">
        <f aca="false">IF($G233=0,"",IF(IF(N(资金日记账!$H226)=0,"",ROUND(N(资金日记账!$H226),2))=0,"",IF(N(资金日记账!$H226)=0,"",ROUND(N(资金日记账!$H226),2))))</f>
        <v/>
      </c>
      <c r="P233" s="0" t="str">
        <f aca="false">IF($G233=0,"",IF(资金日记账!$L226=0,"",资金日记账!$L226))</f>
        <v/>
      </c>
      <c r="T233" s="0" t="str">
        <f aca="false">IF(资金日记账!$G233="","",资金日记账!$G233)</f>
        <v/>
      </c>
      <c r="U233" s="0" t="n">
        <f aca="false">IF(T233="",0,IF(MATCH(T233,$T$4:$T$903,0)=ROW()-3,1,0))</f>
        <v>0</v>
      </c>
      <c r="V233" s="0" t="n">
        <f aca="false">N(V232)+U233</f>
        <v>30</v>
      </c>
      <c r="Z233" s="0" t="str">
        <f aca="false">IF(成本费用登记表!$C233="","",成本费用登记表!$C233)</f>
        <v/>
      </c>
      <c r="AA233" s="0" t="n">
        <f aca="false">IF(Z233="",0,IF(MATCH(Z233,$Z$4:$Z$303,0)=ROW()-3,1,0))</f>
        <v>0</v>
      </c>
      <c r="AB233" s="0" t="n">
        <f aca="false">N(AB232)+AA233</f>
        <v>0</v>
      </c>
      <c r="AF233" s="0" t="str">
        <f aca="false">IF(OR(资金日记账!$E233="",N(资金日记账!$H233)=0),"",资金日记账!$E233)</f>
        <v/>
      </c>
      <c r="AG233" s="0" t="n">
        <f aca="false">IF(AF233="",0,IF(MATCH(AF233,$AF$4:$AF$603,0)=ROW()-3,1,0))</f>
        <v>0</v>
      </c>
      <c r="AH233" s="0" t="n">
        <f aca="false">N(AH232)+AG233</f>
        <v>5</v>
      </c>
    </row>
    <row r="234" customFormat="false" ht="13.5" hidden="false" customHeight="false" outlineLevel="0" collapsed="false">
      <c r="A234" s="0" t="str">
        <f aca="false">IF(((进销存对接!$D234="客户应收")+(进销存对接!$D234="成品销售款")+(进销存对接!$D234="公司购买果品款")+(进销存对接!$D234="筐子销售款")+(进销存对接!$D234="物料销售款"))&gt;0,进销存对接!$C234,"")</f>
        <v/>
      </c>
      <c r="B234" s="0" t="n">
        <f aca="false">IF(A234="",0,IF(MATCH(A234,$A$4:$A$1925,0)=ROW()-3,1,0))</f>
        <v>0</v>
      </c>
      <c r="C234" s="0" t="n">
        <f aca="false">N(C233)+B234</f>
        <v>6</v>
      </c>
      <c r="E234" s="0" t="str">
        <f aca="false">IFERROR(INDEX($A$4:$A$1925,MATCH(ROW()-3,$C$4:$C$1925,0)),"")</f>
        <v/>
      </c>
      <c r="G234" s="0" t="n">
        <f aca="false">IF(OR($G$1="",资金日记账!$E227="",资金日记账!$E227&lt;&gt;$G$1),0,IF(NOT(OR(N(资金日记账!$H227)&lt;&gt;0,N(资金日记账!$I227)&lt;&gt;0)),0,IF(资金日记账!$B227="",1,IF(OR(N(资金日记账!$B227)&lt;$H$1,N(资金日记账!$B227)&gt;$I$1),0,1))))</f>
        <v>0</v>
      </c>
      <c r="H234" s="0" t="n">
        <f aca="false">N(H233)+$G234</f>
        <v>3</v>
      </c>
      <c r="I234" s="0" t="str">
        <f aca="false">IF($G234=0,"",IF(资金日记账!$B227=0,"",资金日记账!$B227))</f>
        <v/>
      </c>
      <c r="J234" s="0" t="str">
        <f aca="false">IF($G234=0,"",IF(资金日记账!$D227=0,"",资金日记账!$D227))</f>
        <v/>
      </c>
      <c r="K234" s="0" t="str">
        <f aca="false">IF($G234=0,"",IF(""=0,"",""))</f>
        <v/>
      </c>
      <c r="L234" s="0" t="str">
        <f aca="false">IF($G234=0,"",IF(""=0,"",""))</f>
        <v/>
      </c>
      <c r="M234" s="0" t="str">
        <f aca="false">IF($G234=0,"",IF(""=0,"",""))</f>
        <v/>
      </c>
      <c r="N234" s="0" t="str">
        <f aca="false">IF($G234=0,"",IF(IF(N(资金日记账!$I227)=0,"",-ROUND(N(资金日记账!$I227),2))=0,"",IF(N(资金日记账!$I227)=0,"",-ROUND(N(资金日记账!$I227),2))))</f>
        <v/>
      </c>
      <c r="O234" s="0" t="str">
        <f aca="false">IF($G234=0,"",IF(IF(N(资金日记账!$H227)=0,"",ROUND(N(资金日记账!$H227),2))=0,"",IF(N(资金日记账!$H227)=0,"",ROUND(N(资金日记账!$H227),2))))</f>
        <v/>
      </c>
      <c r="P234" s="0" t="str">
        <f aca="false">IF($G234=0,"",IF(资金日记账!$L227=0,"",资金日记账!$L227))</f>
        <v/>
      </c>
      <c r="T234" s="0" t="str">
        <f aca="false">IF(资金日记账!$G234="","",资金日记账!$G234)</f>
        <v/>
      </c>
      <c r="U234" s="0" t="n">
        <f aca="false">IF(T234="",0,IF(MATCH(T234,$T$4:$T$903,0)=ROW()-3,1,0))</f>
        <v>0</v>
      </c>
      <c r="V234" s="0" t="n">
        <f aca="false">N(V233)+U234</f>
        <v>30</v>
      </c>
      <c r="Z234" s="0" t="str">
        <f aca="false">IF(成本费用登记表!$C234="","",成本费用登记表!$C234)</f>
        <v/>
      </c>
      <c r="AA234" s="0" t="n">
        <f aca="false">IF(Z234="",0,IF(MATCH(Z234,$Z$4:$Z$303,0)=ROW()-3,1,0))</f>
        <v>0</v>
      </c>
      <c r="AB234" s="0" t="n">
        <f aca="false">N(AB233)+AA234</f>
        <v>0</v>
      </c>
      <c r="AF234" s="0" t="str">
        <f aca="false">IF(OR(资金日记账!$E234="",N(资金日记账!$H234)=0),"",资金日记账!$E234)</f>
        <v/>
      </c>
      <c r="AG234" s="0" t="n">
        <f aca="false">IF(AF234="",0,IF(MATCH(AF234,$AF$4:$AF$603,0)=ROW()-3,1,0))</f>
        <v>0</v>
      </c>
      <c r="AH234" s="0" t="n">
        <f aca="false">N(AH233)+AG234</f>
        <v>5</v>
      </c>
    </row>
    <row r="235" customFormat="false" ht="13.5" hidden="false" customHeight="false" outlineLevel="0" collapsed="false">
      <c r="A235" s="0" t="str">
        <f aca="false">IF(((进销存对接!$D235="客户应收")+(进销存对接!$D235="成品销售款")+(进销存对接!$D235="公司购买果品款")+(进销存对接!$D235="筐子销售款")+(进销存对接!$D235="物料销售款"))&gt;0,进销存对接!$C235,"")</f>
        <v/>
      </c>
      <c r="B235" s="0" t="n">
        <f aca="false">IF(A235="",0,IF(MATCH(A235,$A$4:$A$1925,0)=ROW()-3,1,0))</f>
        <v>0</v>
      </c>
      <c r="C235" s="0" t="n">
        <f aca="false">N(C234)+B235</f>
        <v>6</v>
      </c>
      <c r="E235" s="0" t="str">
        <f aca="false">IFERROR(INDEX($A$4:$A$1925,MATCH(ROW()-3,$C$4:$C$1925,0)),"")</f>
        <v/>
      </c>
      <c r="G235" s="0" t="n">
        <f aca="false">IF(OR($G$1="",资金日记账!$E228="",资金日记账!$E228&lt;&gt;$G$1),0,IF(NOT(OR(N(资金日记账!$H228)&lt;&gt;0,N(资金日记账!$I228)&lt;&gt;0)),0,IF(资金日记账!$B228="",1,IF(OR(N(资金日记账!$B228)&lt;$H$1,N(资金日记账!$B228)&gt;$I$1),0,1))))</f>
        <v>0</v>
      </c>
      <c r="H235" s="0" t="n">
        <f aca="false">N(H234)+$G235</f>
        <v>3</v>
      </c>
      <c r="I235" s="0" t="str">
        <f aca="false">IF($G235=0,"",IF(资金日记账!$B228=0,"",资金日记账!$B228))</f>
        <v/>
      </c>
      <c r="J235" s="0" t="str">
        <f aca="false">IF($G235=0,"",IF(资金日记账!$D228=0,"",资金日记账!$D228))</f>
        <v/>
      </c>
      <c r="K235" s="0" t="str">
        <f aca="false">IF($G235=0,"",IF(""=0,"",""))</f>
        <v/>
      </c>
      <c r="L235" s="0" t="str">
        <f aca="false">IF($G235=0,"",IF(""=0,"",""))</f>
        <v/>
      </c>
      <c r="M235" s="0" t="str">
        <f aca="false">IF($G235=0,"",IF(""=0,"",""))</f>
        <v/>
      </c>
      <c r="N235" s="0" t="str">
        <f aca="false">IF($G235=0,"",IF(IF(N(资金日记账!$I228)=0,"",-ROUND(N(资金日记账!$I228),2))=0,"",IF(N(资金日记账!$I228)=0,"",-ROUND(N(资金日记账!$I228),2))))</f>
        <v/>
      </c>
      <c r="O235" s="0" t="str">
        <f aca="false">IF($G235=0,"",IF(IF(N(资金日记账!$H228)=0,"",ROUND(N(资金日记账!$H228),2))=0,"",IF(N(资金日记账!$H228)=0,"",ROUND(N(资金日记账!$H228),2))))</f>
        <v/>
      </c>
      <c r="P235" s="0" t="str">
        <f aca="false">IF($G235=0,"",IF(资金日记账!$L228=0,"",资金日记账!$L228))</f>
        <v/>
      </c>
      <c r="T235" s="0" t="str">
        <f aca="false">IF(资金日记账!$G235="","",资金日记账!$G235)</f>
        <v/>
      </c>
      <c r="U235" s="0" t="n">
        <f aca="false">IF(T235="",0,IF(MATCH(T235,$T$4:$T$903,0)=ROW()-3,1,0))</f>
        <v>0</v>
      </c>
      <c r="V235" s="0" t="n">
        <f aca="false">N(V234)+U235</f>
        <v>30</v>
      </c>
      <c r="Z235" s="0" t="str">
        <f aca="false">IF(成本费用登记表!$C235="","",成本费用登记表!$C235)</f>
        <v/>
      </c>
      <c r="AA235" s="0" t="n">
        <f aca="false">IF(Z235="",0,IF(MATCH(Z235,$Z$4:$Z$303,0)=ROW()-3,1,0))</f>
        <v>0</v>
      </c>
      <c r="AB235" s="0" t="n">
        <f aca="false">N(AB234)+AA235</f>
        <v>0</v>
      </c>
      <c r="AF235" s="0" t="str">
        <f aca="false">IF(OR(资金日记账!$E235="",N(资金日记账!$H235)=0),"",资金日记账!$E235)</f>
        <v/>
      </c>
      <c r="AG235" s="0" t="n">
        <f aca="false">IF(AF235="",0,IF(MATCH(AF235,$AF$4:$AF$603,0)=ROW()-3,1,0))</f>
        <v>0</v>
      </c>
      <c r="AH235" s="0" t="n">
        <f aca="false">N(AH234)+AG235</f>
        <v>5</v>
      </c>
    </row>
    <row r="236" customFormat="false" ht="13.5" hidden="false" customHeight="false" outlineLevel="0" collapsed="false">
      <c r="A236" s="0" t="str">
        <f aca="false">IF(((进销存对接!$D236="客户应收")+(进销存对接!$D236="成品销售款")+(进销存对接!$D236="公司购买果品款")+(进销存对接!$D236="筐子销售款")+(进销存对接!$D236="物料销售款"))&gt;0,进销存对接!$C236,"")</f>
        <v/>
      </c>
      <c r="B236" s="0" t="n">
        <f aca="false">IF(A236="",0,IF(MATCH(A236,$A$4:$A$1925,0)=ROW()-3,1,0))</f>
        <v>0</v>
      </c>
      <c r="C236" s="0" t="n">
        <f aca="false">N(C235)+B236</f>
        <v>6</v>
      </c>
      <c r="E236" s="0" t="str">
        <f aca="false">IFERROR(INDEX($A$4:$A$1925,MATCH(ROW()-3,$C$4:$C$1925,0)),"")</f>
        <v/>
      </c>
      <c r="G236" s="0" t="n">
        <f aca="false">IF(OR($G$1="",资金日记账!$E229="",资金日记账!$E229&lt;&gt;$G$1),0,IF(NOT(OR(N(资金日记账!$H229)&lt;&gt;0,N(资金日记账!$I229)&lt;&gt;0)),0,IF(资金日记账!$B229="",1,IF(OR(N(资金日记账!$B229)&lt;$H$1,N(资金日记账!$B229)&gt;$I$1),0,1))))</f>
        <v>0</v>
      </c>
      <c r="H236" s="0" t="n">
        <f aca="false">N(H235)+$G236</f>
        <v>3</v>
      </c>
      <c r="I236" s="0" t="str">
        <f aca="false">IF($G236=0,"",IF(资金日记账!$B229=0,"",资金日记账!$B229))</f>
        <v/>
      </c>
      <c r="J236" s="0" t="str">
        <f aca="false">IF($G236=0,"",IF(资金日记账!$D229=0,"",资金日记账!$D229))</f>
        <v/>
      </c>
      <c r="K236" s="0" t="str">
        <f aca="false">IF($G236=0,"",IF(""=0,"",""))</f>
        <v/>
      </c>
      <c r="L236" s="0" t="str">
        <f aca="false">IF($G236=0,"",IF(""=0,"",""))</f>
        <v/>
      </c>
      <c r="M236" s="0" t="str">
        <f aca="false">IF($G236=0,"",IF(""=0,"",""))</f>
        <v/>
      </c>
      <c r="N236" s="0" t="str">
        <f aca="false">IF($G236=0,"",IF(IF(N(资金日记账!$I229)=0,"",-ROUND(N(资金日记账!$I229),2))=0,"",IF(N(资金日记账!$I229)=0,"",-ROUND(N(资金日记账!$I229),2))))</f>
        <v/>
      </c>
      <c r="O236" s="0" t="str">
        <f aca="false">IF($G236=0,"",IF(IF(N(资金日记账!$H229)=0,"",ROUND(N(资金日记账!$H229),2))=0,"",IF(N(资金日记账!$H229)=0,"",ROUND(N(资金日记账!$H229),2))))</f>
        <v/>
      </c>
      <c r="P236" s="0" t="str">
        <f aca="false">IF($G236=0,"",IF(资金日记账!$L229=0,"",资金日记账!$L229))</f>
        <v/>
      </c>
      <c r="T236" s="0" t="str">
        <f aca="false">IF(资金日记账!$G236="","",资金日记账!$G236)</f>
        <v/>
      </c>
      <c r="U236" s="0" t="n">
        <f aca="false">IF(T236="",0,IF(MATCH(T236,$T$4:$T$903,0)=ROW()-3,1,0))</f>
        <v>0</v>
      </c>
      <c r="V236" s="0" t="n">
        <f aca="false">N(V235)+U236</f>
        <v>30</v>
      </c>
      <c r="Z236" s="0" t="str">
        <f aca="false">IF(成本费用登记表!$C236="","",成本费用登记表!$C236)</f>
        <v/>
      </c>
      <c r="AA236" s="0" t="n">
        <f aca="false">IF(Z236="",0,IF(MATCH(Z236,$Z$4:$Z$303,0)=ROW()-3,1,0))</f>
        <v>0</v>
      </c>
      <c r="AB236" s="0" t="n">
        <f aca="false">N(AB235)+AA236</f>
        <v>0</v>
      </c>
      <c r="AF236" s="0" t="str">
        <f aca="false">IF(OR(资金日记账!$E236="",N(资金日记账!$H236)=0),"",资金日记账!$E236)</f>
        <v/>
      </c>
      <c r="AG236" s="0" t="n">
        <f aca="false">IF(AF236="",0,IF(MATCH(AF236,$AF$4:$AF$603,0)=ROW()-3,1,0))</f>
        <v>0</v>
      </c>
      <c r="AH236" s="0" t="n">
        <f aca="false">N(AH235)+AG236</f>
        <v>5</v>
      </c>
    </row>
    <row r="237" customFormat="false" ht="13.5" hidden="false" customHeight="false" outlineLevel="0" collapsed="false">
      <c r="A237" s="0" t="str">
        <f aca="false">IF(((进销存对接!$D237="客户应收")+(进销存对接!$D237="成品销售款")+(进销存对接!$D237="公司购买果品款")+(进销存对接!$D237="筐子销售款")+(进销存对接!$D237="物料销售款"))&gt;0,进销存对接!$C237,"")</f>
        <v/>
      </c>
      <c r="B237" s="0" t="n">
        <f aca="false">IF(A237="",0,IF(MATCH(A237,$A$4:$A$1925,0)=ROW()-3,1,0))</f>
        <v>0</v>
      </c>
      <c r="C237" s="0" t="n">
        <f aca="false">N(C236)+B237</f>
        <v>6</v>
      </c>
      <c r="E237" s="0" t="str">
        <f aca="false">IFERROR(INDEX($A$4:$A$1925,MATCH(ROW()-3,$C$4:$C$1925,0)),"")</f>
        <v/>
      </c>
      <c r="G237" s="0" t="n">
        <f aca="false">IF(OR($G$1="",资金日记账!$E230="",资金日记账!$E230&lt;&gt;$G$1),0,IF(NOT(OR(N(资金日记账!$H230)&lt;&gt;0,N(资金日记账!$I230)&lt;&gt;0)),0,IF(资金日记账!$B230="",1,IF(OR(N(资金日记账!$B230)&lt;$H$1,N(资金日记账!$B230)&gt;$I$1),0,1))))</f>
        <v>0</v>
      </c>
      <c r="H237" s="0" t="n">
        <f aca="false">N(H236)+$G237</f>
        <v>3</v>
      </c>
      <c r="I237" s="0" t="str">
        <f aca="false">IF($G237=0,"",IF(资金日记账!$B230=0,"",资金日记账!$B230))</f>
        <v/>
      </c>
      <c r="J237" s="0" t="str">
        <f aca="false">IF($G237=0,"",IF(资金日记账!$D230=0,"",资金日记账!$D230))</f>
        <v/>
      </c>
      <c r="K237" s="0" t="str">
        <f aca="false">IF($G237=0,"",IF(""=0,"",""))</f>
        <v/>
      </c>
      <c r="L237" s="0" t="str">
        <f aca="false">IF($G237=0,"",IF(""=0,"",""))</f>
        <v/>
      </c>
      <c r="M237" s="0" t="str">
        <f aca="false">IF($G237=0,"",IF(""=0,"",""))</f>
        <v/>
      </c>
      <c r="N237" s="0" t="str">
        <f aca="false">IF($G237=0,"",IF(IF(N(资金日记账!$I230)=0,"",-ROUND(N(资金日记账!$I230),2))=0,"",IF(N(资金日记账!$I230)=0,"",-ROUND(N(资金日记账!$I230),2))))</f>
        <v/>
      </c>
      <c r="O237" s="0" t="str">
        <f aca="false">IF($G237=0,"",IF(IF(N(资金日记账!$H230)=0,"",ROUND(N(资金日记账!$H230),2))=0,"",IF(N(资金日记账!$H230)=0,"",ROUND(N(资金日记账!$H230),2))))</f>
        <v/>
      </c>
      <c r="P237" s="0" t="str">
        <f aca="false">IF($G237=0,"",IF(资金日记账!$L230=0,"",资金日记账!$L230))</f>
        <v/>
      </c>
      <c r="T237" s="0" t="str">
        <f aca="false">IF(资金日记账!$G237="","",资金日记账!$G237)</f>
        <v/>
      </c>
      <c r="U237" s="0" t="n">
        <f aca="false">IF(T237="",0,IF(MATCH(T237,$T$4:$T$903,0)=ROW()-3,1,0))</f>
        <v>0</v>
      </c>
      <c r="V237" s="0" t="n">
        <f aca="false">N(V236)+U237</f>
        <v>30</v>
      </c>
      <c r="Z237" s="0" t="str">
        <f aca="false">IF(成本费用登记表!$C237="","",成本费用登记表!$C237)</f>
        <v/>
      </c>
      <c r="AA237" s="0" t="n">
        <f aca="false">IF(Z237="",0,IF(MATCH(Z237,$Z$4:$Z$303,0)=ROW()-3,1,0))</f>
        <v>0</v>
      </c>
      <c r="AB237" s="0" t="n">
        <f aca="false">N(AB236)+AA237</f>
        <v>0</v>
      </c>
      <c r="AF237" s="0" t="str">
        <f aca="false">IF(OR(资金日记账!$E237="",N(资金日记账!$H237)=0),"",资金日记账!$E237)</f>
        <v/>
      </c>
      <c r="AG237" s="0" t="n">
        <f aca="false">IF(AF237="",0,IF(MATCH(AF237,$AF$4:$AF$603,0)=ROW()-3,1,0))</f>
        <v>0</v>
      </c>
      <c r="AH237" s="0" t="n">
        <f aca="false">N(AH236)+AG237</f>
        <v>5</v>
      </c>
    </row>
    <row r="238" customFormat="false" ht="13.5" hidden="false" customHeight="false" outlineLevel="0" collapsed="false">
      <c r="A238" s="0" t="str">
        <f aca="false">IF(((进销存对接!$D238="客户应收")+(进销存对接!$D238="成品销售款")+(进销存对接!$D238="公司购买果品款")+(进销存对接!$D238="筐子销售款")+(进销存对接!$D238="物料销售款"))&gt;0,进销存对接!$C238,"")</f>
        <v/>
      </c>
      <c r="B238" s="0" t="n">
        <f aca="false">IF(A238="",0,IF(MATCH(A238,$A$4:$A$1925,0)=ROW()-3,1,0))</f>
        <v>0</v>
      </c>
      <c r="C238" s="0" t="n">
        <f aca="false">N(C237)+B238</f>
        <v>6</v>
      </c>
      <c r="E238" s="0" t="str">
        <f aca="false">IFERROR(INDEX($A$4:$A$1925,MATCH(ROW()-3,$C$4:$C$1925,0)),"")</f>
        <v/>
      </c>
      <c r="G238" s="0" t="n">
        <f aca="false">IF(OR($G$1="",资金日记账!$E231="",资金日记账!$E231&lt;&gt;$G$1),0,IF(NOT(OR(N(资金日记账!$H231)&lt;&gt;0,N(资金日记账!$I231)&lt;&gt;0)),0,IF(资金日记账!$B231="",1,IF(OR(N(资金日记账!$B231)&lt;$H$1,N(资金日记账!$B231)&gt;$I$1),0,1))))</f>
        <v>0</v>
      </c>
      <c r="H238" s="0" t="n">
        <f aca="false">N(H237)+$G238</f>
        <v>3</v>
      </c>
      <c r="I238" s="0" t="str">
        <f aca="false">IF($G238=0,"",IF(资金日记账!$B231=0,"",资金日记账!$B231))</f>
        <v/>
      </c>
      <c r="J238" s="0" t="str">
        <f aca="false">IF($G238=0,"",IF(资金日记账!$D231=0,"",资金日记账!$D231))</f>
        <v/>
      </c>
      <c r="K238" s="0" t="str">
        <f aca="false">IF($G238=0,"",IF(""=0,"",""))</f>
        <v/>
      </c>
      <c r="L238" s="0" t="str">
        <f aca="false">IF($G238=0,"",IF(""=0,"",""))</f>
        <v/>
      </c>
      <c r="M238" s="0" t="str">
        <f aca="false">IF($G238=0,"",IF(""=0,"",""))</f>
        <v/>
      </c>
      <c r="N238" s="0" t="str">
        <f aca="false">IF($G238=0,"",IF(IF(N(资金日记账!$I231)=0,"",-ROUND(N(资金日记账!$I231),2))=0,"",IF(N(资金日记账!$I231)=0,"",-ROUND(N(资金日记账!$I231),2))))</f>
        <v/>
      </c>
      <c r="O238" s="0" t="str">
        <f aca="false">IF($G238=0,"",IF(IF(N(资金日记账!$H231)=0,"",ROUND(N(资金日记账!$H231),2))=0,"",IF(N(资金日记账!$H231)=0,"",ROUND(N(资金日记账!$H231),2))))</f>
        <v/>
      </c>
      <c r="P238" s="0" t="str">
        <f aca="false">IF($G238=0,"",IF(资金日记账!$L231=0,"",资金日记账!$L231))</f>
        <v/>
      </c>
      <c r="T238" s="0" t="str">
        <f aca="false">IF(资金日记账!$G238="","",资金日记账!$G238)</f>
        <v/>
      </c>
      <c r="U238" s="0" t="n">
        <f aca="false">IF(T238="",0,IF(MATCH(T238,$T$4:$T$903,0)=ROW()-3,1,0))</f>
        <v>0</v>
      </c>
      <c r="V238" s="0" t="n">
        <f aca="false">N(V237)+U238</f>
        <v>30</v>
      </c>
      <c r="Z238" s="0" t="str">
        <f aca="false">IF(成本费用登记表!$C238="","",成本费用登记表!$C238)</f>
        <v/>
      </c>
      <c r="AA238" s="0" t="n">
        <f aca="false">IF(Z238="",0,IF(MATCH(Z238,$Z$4:$Z$303,0)=ROW()-3,1,0))</f>
        <v>0</v>
      </c>
      <c r="AB238" s="0" t="n">
        <f aca="false">N(AB237)+AA238</f>
        <v>0</v>
      </c>
      <c r="AF238" s="0" t="str">
        <f aca="false">IF(OR(资金日记账!$E238="",N(资金日记账!$H238)=0),"",资金日记账!$E238)</f>
        <v/>
      </c>
      <c r="AG238" s="0" t="n">
        <f aca="false">IF(AF238="",0,IF(MATCH(AF238,$AF$4:$AF$603,0)=ROW()-3,1,0))</f>
        <v>0</v>
      </c>
      <c r="AH238" s="0" t="n">
        <f aca="false">N(AH237)+AG238</f>
        <v>5</v>
      </c>
    </row>
    <row r="239" customFormat="false" ht="13.5" hidden="false" customHeight="false" outlineLevel="0" collapsed="false">
      <c r="A239" s="0" t="str">
        <f aca="false">IF(((进销存对接!$D239="客户应收")+(进销存对接!$D239="成品销售款")+(进销存对接!$D239="公司购买果品款")+(进销存对接!$D239="筐子销售款")+(进销存对接!$D239="物料销售款"))&gt;0,进销存对接!$C239,"")</f>
        <v/>
      </c>
      <c r="B239" s="0" t="n">
        <f aca="false">IF(A239="",0,IF(MATCH(A239,$A$4:$A$1925,0)=ROW()-3,1,0))</f>
        <v>0</v>
      </c>
      <c r="C239" s="0" t="n">
        <f aca="false">N(C238)+B239</f>
        <v>6</v>
      </c>
      <c r="E239" s="0" t="str">
        <f aca="false">IFERROR(INDEX($A$4:$A$1925,MATCH(ROW()-3,$C$4:$C$1925,0)),"")</f>
        <v/>
      </c>
      <c r="G239" s="0" t="n">
        <f aca="false">IF(OR($G$1="",资金日记账!$E232="",资金日记账!$E232&lt;&gt;$G$1),0,IF(NOT(OR(N(资金日记账!$H232)&lt;&gt;0,N(资金日记账!$I232)&lt;&gt;0)),0,IF(资金日记账!$B232="",1,IF(OR(N(资金日记账!$B232)&lt;$H$1,N(资金日记账!$B232)&gt;$I$1),0,1))))</f>
        <v>0</v>
      </c>
      <c r="H239" s="0" t="n">
        <f aca="false">N(H238)+$G239</f>
        <v>3</v>
      </c>
      <c r="I239" s="0" t="str">
        <f aca="false">IF($G239=0,"",IF(资金日记账!$B232=0,"",资金日记账!$B232))</f>
        <v/>
      </c>
      <c r="J239" s="0" t="str">
        <f aca="false">IF($G239=0,"",IF(资金日记账!$D232=0,"",资金日记账!$D232))</f>
        <v/>
      </c>
      <c r="K239" s="0" t="str">
        <f aca="false">IF($G239=0,"",IF(""=0,"",""))</f>
        <v/>
      </c>
      <c r="L239" s="0" t="str">
        <f aca="false">IF($G239=0,"",IF(""=0,"",""))</f>
        <v/>
      </c>
      <c r="M239" s="0" t="str">
        <f aca="false">IF($G239=0,"",IF(""=0,"",""))</f>
        <v/>
      </c>
      <c r="N239" s="0" t="str">
        <f aca="false">IF($G239=0,"",IF(IF(N(资金日记账!$I232)=0,"",-ROUND(N(资金日记账!$I232),2))=0,"",IF(N(资金日记账!$I232)=0,"",-ROUND(N(资金日记账!$I232),2))))</f>
        <v/>
      </c>
      <c r="O239" s="0" t="str">
        <f aca="false">IF($G239=0,"",IF(IF(N(资金日记账!$H232)=0,"",ROUND(N(资金日记账!$H232),2))=0,"",IF(N(资金日记账!$H232)=0,"",ROUND(N(资金日记账!$H232),2))))</f>
        <v/>
      </c>
      <c r="P239" s="0" t="str">
        <f aca="false">IF($G239=0,"",IF(资金日记账!$L232=0,"",资金日记账!$L232))</f>
        <v/>
      </c>
      <c r="T239" s="0" t="str">
        <f aca="false">IF(资金日记账!$G239="","",资金日记账!$G239)</f>
        <v/>
      </c>
      <c r="U239" s="0" t="n">
        <f aca="false">IF(T239="",0,IF(MATCH(T239,$T$4:$T$903,0)=ROW()-3,1,0))</f>
        <v>0</v>
      </c>
      <c r="V239" s="0" t="n">
        <f aca="false">N(V238)+U239</f>
        <v>30</v>
      </c>
      <c r="Z239" s="0" t="str">
        <f aca="false">IF(成本费用登记表!$C239="","",成本费用登记表!$C239)</f>
        <v/>
      </c>
      <c r="AA239" s="0" t="n">
        <f aca="false">IF(Z239="",0,IF(MATCH(Z239,$Z$4:$Z$303,0)=ROW()-3,1,0))</f>
        <v>0</v>
      </c>
      <c r="AB239" s="0" t="n">
        <f aca="false">N(AB238)+AA239</f>
        <v>0</v>
      </c>
      <c r="AF239" s="0" t="str">
        <f aca="false">IF(OR(资金日记账!$E239="",N(资金日记账!$H239)=0),"",资金日记账!$E239)</f>
        <v/>
      </c>
      <c r="AG239" s="0" t="n">
        <f aca="false">IF(AF239="",0,IF(MATCH(AF239,$AF$4:$AF$603,0)=ROW()-3,1,0))</f>
        <v>0</v>
      </c>
      <c r="AH239" s="0" t="n">
        <f aca="false">N(AH238)+AG239</f>
        <v>5</v>
      </c>
    </row>
    <row r="240" customFormat="false" ht="13.5" hidden="false" customHeight="false" outlineLevel="0" collapsed="false">
      <c r="A240" s="0" t="str">
        <f aca="false">IF(((进销存对接!$D240="客户应收")+(进销存对接!$D240="成品销售款")+(进销存对接!$D240="公司购买果品款")+(进销存对接!$D240="筐子销售款")+(进销存对接!$D240="物料销售款"))&gt;0,进销存对接!$C240,"")</f>
        <v/>
      </c>
      <c r="B240" s="0" t="n">
        <f aca="false">IF(A240="",0,IF(MATCH(A240,$A$4:$A$1925,0)=ROW()-3,1,0))</f>
        <v>0</v>
      </c>
      <c r="C240" s="0" t="n">
        <f aca="false">N(C239)+B240</f>
        <v>6</v>
      </c>
      <c r="E240" s="0" t="str">
        <f aca="false">IFERROR(INDEX($A$4:$A$1925,MATCH(ROW()-3,$C$4:$C$1925,0)),"")</f>
        <v/>
      </c>
      <c r="G240" s="0" t="n">
        <f aca="false">IF(OR($G$1="",资金日记账!$E233="",资金日记账!$E233&lt;&gt;$G$1),0,IF(NOT(OR(N(资金日记账!$H233)&lt;&gt;0,N(资金日记账!$I233)&lt;&gt;0)),0,IF(资金日记账!$B233="",1,IF(OR(N(资金日记账!$B233)&lt;$H$1,N(资金日记账!$B233)&gt;$I$1),0,1))))</f>
        <v>0</v>
      </c>
      <c r="H240" s="0" t="n">
        <f aca="false">N(H239)+$G240</f>
        <v>3</v>
      </c>
      <c r="I240" s="0" t="str">
        <f aca="false">IF($G240=0,"",IF(资金日记账!$B233=0,"",资金日记账!$B233))</f>
        <v/>
      </c>
      <c r="J240" s="0" t="str">
        <f aca="false">IF($G240=0,"",IF(资金日记账!$D233=0,"",资金日记账!$D233))</f>
        <v/>
      </c>
      <c r="K240" s="0" t="str">
        <f aca="false">IF($G240=0,"",IF(""=0,"",""))</f>
        <v/>
      </c>
      <c r="L240" s="0" t="str">
        <f aca="false">IF($G240=0,"",IF(""=0,"",""))</f>
        <v/>
      </c>
      <c r="M240" s="0" t="str">
        <f aca="false">IF($G240=0,"",IF(""=0,"",""))</f>
        <v/>
      </c>
      <c r="N240" s="0" t="str">
        <f aca="false">IF($G240=0,"",IF(IF(N(资金日记账!$I233)=0,"",-ROUND(N(资金日记账!$I233),2))=0,"",IF(N(资金日记账!$I233)=0,"",-ROUND(N(资金日记账!$I233),2))))</f>
        <v/>
      </c>
      <c r="O240" s="0" t="str">
        <f aca="false">IF($G240=0,"",IF(IF(N(资金日记账!$H233)=0,"",ROUND(N(资金日记账!$H233),2))=0,"",IF(N(资金日记账!$H233)=0,"",ROUND(N(资金日记账!$H233),2))))</f>
        <v/>
      </c>
      <c r="P240" s="0" t="str">
        <f aca="false">IF($G240=0,"",IF(资金日记账!$L233=0,"",资金日记账!$L233))</f>
        <v/>
      </c>
      <c r="T240" s="0" t="str">
        <f aca="false">IF(资金日记账!$G240="","",资金日记账!$G240)</f>
        <v/>
      </c>
      <c r="U240" s="0" t="n">
        <f aca="false">IF(T240="",0,IF(MATCH(T240,$T$4:$T$903,0)=ROW()-3,1,0))</f>
        <v>0</v>
      </c>
      <c r="V240" s="0" t="n">
        <f aca="false">N(V239)+U240</f>
        <v>30</v>
      </c>
      <c r="Z240" s="0" t="str">
        <f aca="false">IF(成本费用登记表!$C240="","",成本费用登记表!$C240)</f>
        <v/>
      </c>
      <c r="AA240" s="0" t="n">
        <f aca="false">IF(Z240="",0,IF(MATCH(Z240,$Z$4:$Z$303,0)=ROW()-3,1,0))</f>
        <v>0</v>
      </c>
      <c r="AB240" s="0" t="n">
        <f aca="false">N(AB239)+AA240</f>
        <v>0</v>
      </c>
      <c r="AF240" s="0" t="str">
        <f aca="false">IF(OR(资金日记账!$E240="",N(资金日记账!$H240)=0),"",资金日记账!$E240)</f>
        <v/>
      </c>
      <c r="AG240" s="0" t="n">
        <f aca="false">IF(AF240="",0,IF(MATCH(AF240,$AF$4:$AF$603,0)=ROW()-3,1,0))</f>
        <v>0</v>
      </c>
      <c r="AH240" s="0" t="n">
        <f aca="false">N(AH239)+AG240</f>
        <v>5</v>
      </c>
    </row>
    <row r="241" customFormat="false" ht="13.5" hidden="false" customHeight="false" outlineLevel="0" collapsed="false">
      <c r="A241" s="0" t="str">
        <f aca="false">IF(((进销存对接!$D241="客户应收")+(进销存对接!$D241="成品销售款")+(进销存对接!$D241="公司购买果品款")+(进销存对接!$D241="筐子销售款")+(进销存对接!$D241="物料销售款"))&gt;0,进销存对接!$C241,"")</f>
        <v/>
      </c>
      <c r="B241" s="0" t="n">
        <f aca="false">IF(A241="",0,IF(MATCH(A241,$A$4:$A$1925,0)=ROW()-3,1,0))</f>
        <v>0</v>
      </c>
      <c r="C241" s="0" t="n">
        <f aca="false">N(C240)+B241</f>
        <v>6</v>
      </c>
      <c r="E241" s="0" t="str">
        <f aca="false">IFERROR(INDEX($A$4:$A$1925,MATCH(ROW()-3,$C$4:$C$1925,0)),"")</f>
        <v/>
      </c>
      <c r="G241" s="0" t="n">
        <f aca="false">IF(OR($G$1="",资金日记账!$E234="",资金日记账!$E234&lt;&gt;$G$1),0,IF(NOT(OR(N(资金日记账!$H234)&lt;&gt;0,N(资金日记账!$I234)&lt;&gt;0)),0,IF(资金日记账!$B234="",1,IF(OR(N(资金日记账!$B234)&lt;$H$1,N(资金日记账!$B234)&gt;$I$1),0,1))))</f>
        <v>0</v>
      </c>
      <c r="H241" s="0" t="n">
        <f aca="false">N(H240)+$G241</f>
        <v>3</v>
      </c>
      <c r="I241" s="0" t="str">
        <f aca="false">IF($G241=0,"",IF(资金日记账!$B234=0,"",资金日记账!$B234))</f>
        <v/>
      </c>
      <c r="J241" s="0" t="str">
        <f aca="false">IF($G241=0,"",IF(资金日记账!$D234=0,"",资金日记账!$D234))</f>
        <v/>
      </c>
      <c r="K241" s="0" t="str">
        <f aca="false">IF($G241=0,"",IF(""=0,"",""))</f>
        <v/>
      </c>
      <c r="L241" s="0" t="str">
        <f aca="false">IF($G241=0,"",IF(""=0,"",""))</f>
        <v/>
      </c>
      <c r="M241" s="0" t="str">
        <f aca="false">IF($G241=0,"",IF(""=0,"",""))</f>
        <v/>
      </c>
      <c r="N241" s="0" t="str">
        <f aca="false">IF($G241=0,"",IF(IF(N(资金日记账!$I234)=0,"",-ROUND(N(资金日记账!$I234),2))=0,"",IF(N(资金日记账!$I234)=0,"",-ROUND(N(资金日记账!$I234),2))))</f>
        <v/>
      </c>
      <c r="O241" s="0" t="str">
        <f aca="false">IF($G241=0,"",IF(IF(N(资金日记账!$H234)=0,"",ROUND(N(资金日记账!$H234),2))=0,"",IF(N(资金日记账!$H234)=0,"",ROUND(N(资金日记账!$H234),2))))</f>
        <v/>
      </c>
      <c r="P241" s="0" t="str">
        <f aca="false">IF($G241=0,"",IF(资金日记账!$L234=0,"",资金日记账!$L234))</f>
        <v/>
      </c>
      <c r="T241" s="0" t="str">
        <f aca="false">IF(资金日记账!$G241="","",资金日记账!$G241)</f>
        <v/>
      </c>
      <c r="U241" s="0" t="n">
        <f aca="false">IF(T241="",0,IF(MATCH(T241,$T$4:$T$903,0)=ROW()-3,1,0))</f>
        <v>0</v>
      </c>
      <c r="V241" s="0" t="n">
        <f aca="false">N(V240)+U241</f>
        <v>30</v>
      </c>
      <c r="Z241" s="0" t="str">
        <f aca="false">IF(成本费用登记表!$C241="","",成本费用登记表!$C241)</f>
        <v/>
      </c>
      <c r="AA241" s="0" t="n">
        <f aca="false">IF(Z241="",0,IF(MATCH(Z241,$Z$4:$Z$303,0)=ROW()-3,1,0))</f>
        <v>0</v>
      </c>
      <c r="AB241" s="0" t="n">
        <f aca="false">N(AB240)+AA241</f>
        <v>0</v>
      </c>
      <c r="AF241" s="0" t="str">
        <f aca="false">IF(OR(资金日记账!$E241="",N(资金日记账!$H241)=0),"",资金日记账!$E241)</f>
        <v/>
      </c>
      <c r="AG241" s="0" t="n">
        <f aca="false">IF(AF241="",0,IF(MATCH(AF241,$AF$4:$AF$603,0)=ROW()-3,1,0))</f>
        <v>0</v>
      </c>
      <c r="AH241" s="0" t="n">
        <f aca="false">N(AH240)+AG241</f>
        <v>5</v>
      </c>
    </row>
    <row r="242" customFormat="false" ht="13.5" hidden="false" customHeight="false" outlineLevel="0" collapsed="false">
      <c r="A242" s="0" t="str">
        <f aca="false">IF(((进销存对接!$D242="客户应收")+(进销存对接!$D242="成品销售款")+(进销存对接!$D242="公司购买果品款")+(进销存对接!$D242="筐子销售款")+(进销存对接!$D242="物料销售款"))&gt;0,进销存对接!$C242,"")</f>
        <v/>
      </c>
      <c r="B242" s="0" t="n">
        <f aca="false">IF(A242="",0,IF(MATCH(A242,$A$4:$A$1925,0)=ROW()-3,1,0))</f>
        <v>0</v>
      </c>
      <c r="C242" s="0" t="n">
        <f aca="false">N(C241)+B242</f>
        <v>6</v>
      </c>
      <c r="E242" s="0" t="str">
        <f aca="false">IFERROR(INDEX($A$4:$A$1925,MATCH(ROW()-3,$C$4:$C$1925,0)),"")</f>
        <v/>
      </c>
      <c r="G242" s="0" t="n">
        <f aca="false">IF(OR($G$1="",资金日记账!$E235="",资金日记账!$E235&lt;&gt;$G$1),0,IF(NOT(OR(N(资金日记账!$H235)&lt;&gt;0,N(资金日记账!$I235)&lt;&gt;0)),0,IF(资金日记账!$B235="",1,IF(OR(N(资金日记账!$B235)&lt;$H$1,N(资金日记账!$B235)&gt;$I$1),0,1))))</f>
        <v>0</v>
      </c>
      <c r="H242" s="0" t="n">
        <f aca="false">N(H241)+$G242</f>
        <v>3</v>
      </c>
      <c r="I242" s="0" t="str">
        <f aca="false">IF($G242=0,"",IF(资金日记账!$B235=0,"",资金日记账!$B235))</f>
        <v/>
      </c>
      <c r="J242" s="0" t="str">
        <f aca="false">IF($G242=0,"",IF(资金日记账!$D235=0,"",资金日记账!$D235))</f>
        <v/>
      </c>
      <c r="K242" s="0" t="str">
        <f aca="false">IF($G242=0,"",IF(""=0,"",""))</f>
        <v/>
      </c>
      <c r="L242" s="0" t="str">
        <f aca="false">IF($G242=0,"",IF(""=0,"",""))</f>
        <v/>
      </c>
      <c r="M242" s="0" t="str">
        <f aca="false">IF($G242=0,"",IF(""=0,"",""))</f>
        <v/>
      </c>
      <c r="N242" s="0" t="str">
        <f aca="false">IF($G242=0,"",IF(IF(N(资金日记账!$I235)=0,"",-ROUND(N(资金日记账!$I235),2))=0,"",IF(N(资金日记账!$I235)=0,"",-ROUND(N(资金日记账!$I235),2))))</f>
        <v/>
      </c>
      <c r="O242" s="0" t="str">
        <f aca="false">IF($G242=0,"",IF(IF(N(资金日记账!$H235)=0,"",ROUND(N(资金日记账!$H235),2))=0,"",IF(N(资金日记账!$H235)=0,"",ROUND(N(资金日记账!$H235),2))))</f>
        <v/>
      </c>
      <c r="P242" s="0" t="str">
        <f aca="false">IF($G242=0,"",IF(资金日记账!$L235=0,"",资金日记账!$L235))</f>
        <v/>
      </c>
      <c r="T242" s="0" t="str">
        <f aca="false">IF(资金日记账!$G242="","",资金日记账!$G242)</f>
        <v/>
      </c>
      <c r="U242" s="0" t="n">
        <f aca="false">IF(T242="",0,IF(MATCH(T242,$T$4:$T$903,0)=ROW()-3,1,0))</f>
        <v>0</v>
      </c>
      <c r="V242" s="0" t="n">
        <f aca="false">N(V241)+U242</f>
        <v>30</v>
      </c>
      <c r="Z242" s="0" t="str">
        <f aca="false">IF(成本费用登记表!$C242="","",成本费用登记表!$C242)</f>
        <v/>
      </c>
      <c r="AA242" s="0" t="n">
        <f aca="false">IF(Z242="",0,IF(MATCH(Z242,$Z$4:$Z$303,0)=ROW()-3,1,0))</f>
        <v>0</v>
      </c>
      <c r="AB242" s="0" t="n">
        <f aca="false">N(AB241)+AA242</f>
        <v>0</v>
      </c>
      <c r="AF242" s="0" t="str">
        <f aca="false">IF(OR(资金日记账!$E242="",N(资金日记账!$H242)=0),"",资金日记账!$E242)</f>
        <v/>
      </c>
      <c r="AG242" s="0" t="n">
        <f aca="false">IF(AF242="",0,IF(MATCH(AF242,$AF$4:$AF$603,0)=ROW()-3,1,0))</f>
        <v>0</v>
      </c>
      <c r="AH242" s="0" t="n">
        <f aca="false">N(AH241)+AG242</f>
        <v>5</v>
      </c>
    </row>
    <row r="243" customFormat="false" ht="13.5" hidden="false" customHeight="false" outlineLevel="0" collapsed="false">
      <c r="A243" s="0" t="str">
        <f aca="false">IF(((进销存对接!$D243="客户应收")+(进销存对接!$D243="成品销售款")+(进销存对接!$D243="公司购买果品款")+(进销存对接!$D243="筐子销售款")+(进销存对接!$D243="物料销售款"))&gt;0,进销存对接!$C243,"")</f>
        <v/>
      </c>
      <c r="B243" s="0" t="n">
        <f aca="false">IF(A243="",0,IF(MATCH(A243,$A$4:$A$1925,0)=ROW()-3,1,0))</f>
        <v>0</v>
      </c>
      <c r="C243" s="0" t="n">
        <f aca="false">N(C242)+B243</f>
        <v>6</v>
      </c>
      <c r="E243" s="0" t="str">
        <f aca="false">IFERROR(INDEX($A$4:$A$1925,MATCH(ROW()-3,$C$4:$C$1925,0)),"")</f>
        <v/>
      </c>
      <c r="G243" s="0" t="n">
        <f aca="false">IF(OR($G$1="",资金日记账!$E236="",资金日记账!$E236&lt;&gt;$G$1),0,IF(NOT(OR(N(资金日记账!$H236)&lt;&gt;0,N(资金日记账!$I236)&lt;&gt;0)),0,IF(资金日记账!$B236="",1,IF(OR(N(资金日记账!$B236)&lt;$H$1,N(资金日记账!$B236)&gt;$I$1),0,1))))</f>
        <v>0</v>
      </c>
      <c r="H243" s="0" t="n">
        <f aca="false">N(H242)+$G243</f>
        <v>3</v>
      </c>
      <c r="I243" s="0" t="str">
        <f aca="false">IF($G243=0,"",IF(资金日记账!$B236=0,"",资金日记账!$B236))</f>
        <v/>
      </c>
      <c r="J243" s="0" t="str">
        <f aca="false">IF($G243=0,"",IF(资金日记账!$D236=0,"",资金日记账!$D236))</f>
        <v/>
      </c>
      <c r="K243" s="0" t="str">
        <f aca="false">IF($G243=0,"",IF(""=0,"",""))</f>
        <v/>
      </c>
      <c r="L243" s="0" t="str">
        <f aca="false">IF($G243=0,"",IF(""=0,"",""))</f>
        <v/>
      </c>
      <c r="M243" s="0" t="str">
        <f aca="false">IF($G243=0,"",IF(""=0,"",""))</f>
        <v/>
      </c>
      <c r="N243" s="0" t="str">
        <f aca="false">IF($G243=0,"",IF(IF(N(资金日记账!$I236)=0,"",-ROUND(N(资金日记账!$I236),2))=0,"",IF(N(资金日记账!$I236)=0,"",-ROUND(N(资金日记账!$I236),2))))</f>
        <v/>
      </c>
      <c r="O243" s="0" t="str">
        <f aca="false">IF($G243=0,"",IF(IF(N(资金日记账!$H236)=0,"",ROUND(N(资金日记账!$H236),2))=0,"",IF(N(资金日记账!$H236)=0,"",ROUND(N(资金日记账!$H236),2))))</f>
        <v/>
      </c>
      <c r="P243" s="0" t="str">
        <f aca="false">IF($G243=0,"",IF(资金日记账!$L236=0,"",资金日记账!$L236))</f>
        <v/>
      </c>
      <c r="T243" s="0" t="str">
        <f aca="false">IF(资金日记账!$G243="","",资金日记账!$G243)</f>
        <v/>
      </c>
      <c r="U243" s="0" t="n">
        <f aca="false">IF(T243="",0,IF(MATCH(T243,$T$4:$T$903,0)=ROW()-3,1,0))</f>
        <v>0</v>
      </c>
      <c r="V243" s="0" t="n">
        <f aca="false">N(V242)+U243</f>
        <v>30</v>
      </c>
      <c r="Z243" s="0" t="str">
        <f aca="false">IF(成本费用登记表!$C243="","",成本费用登记表!$C243)</f>
        <v/>
      </c>
      <c r="AA243" s="0" t="n">
        <f aca="false">IF(Z243="",0,IF(MATCH(Z243,$Z$4:$Z$303,0)=ROW()-3,1,0))</f>
        <v>0</v>
      </c>
      <c r="AB243" s="0" t="n">
        <f aca="false">N(AB242)+AA243</f>
        <v>0</v>
      </c>
      <c r="AF243" s="0" t="str">
        <f aca="false">IF(OR(资金日记账!$E243="",N(资金日记账!$H243)=0),"",资金日记账!$E243)</f>
        <v/>
      </c>
      <c r="AG243" s="0" t="n">
        <f aca="false">IF(AF243="",0,IF(MATCH(AF243,$AF$4:$AF$603,0)=ROW()-3,1,0))</f>
        <v>0</v>
      </c>
      <c r="AH243" s="0" t="n">
        <f aca="false">N(AH242)+AG243</f>
        <v>5</v>
      </c>
    </row>
    <row r="244" customFormat="false" ht="13.5" hidden="false" customHeight="false" outlineLevel="0" collapsed="false">
      <c r="A244" s="0" t="str">
        <f aca="false">IF(((进销存对接!$D244="客户应收")+(进销存对接!$D244="成品销售款")+(进销存对接!$D244="公司购买果品款")+(进销存对接!$D244="筐子销售款")+(进销存对接!$D244="物料销售款"))&gt;0,进销存对接!$C244,"")</f>
        <v/>
      </c>
      <c r="B244" s="0" t="n">
        <f aca="false">IF(A244="",0,IF(MATCH(A244,$A$4:$A$1925,0)=ROW()-3,1,0))</f>
        <v>0</v>
      </c>
      <c r="C244" s="0" t="n">
        <f aca="false">N(C243)+B244</f>
        <v>6</v>
      </c>
      <c r="E244" s="0" t="str">
        <f aca="false">IFERROR(INDEX($A$4:$A$1925,MATCH(ROW()-3,$C$4:$C$1925,0)),"")</f>
        <v/>
      </c>
      <c r="G244" s="0" t="n">
        <f aca="false">IF(OR($G$1="",资金日记账!$E237="",资金日记账!$E237&lt;&gt;$G$1),0,IF(NOT(OR(N(资金日记账!$H237)&lt;&gt;0,N(资金日记账!$I237)&lt;&gt;0)),0,IF(资金日记账!$B237="",1,IF(OR(N(资金日记账!$B237)&lt;$H$1,N(资金日记账!$B237)&gt;$I$1),0,1))))</f>
        <v>0</v>
      </c>
      <c r="H244" s="0" t="n">
        <f aca="false">N(H243)+$G244</f>
        <v>3</v>
      </c>
      <c r="I244" s="0" t="str">
        <f aca="false">IF($G244=0,"",IF(资金日记账!$B237=0,"",资金日记账!$B237))</f>
        <v/>
      </c>
      <c r="J244" s="0" t="str">
        <f aca="false">IF($G244=0,"",IF(资金日记账!$D237=0,"",资金日记账!$D237))</f>
        <v/>
      </c>
      <c r="K244" s="0" t="str">
        <f aca="false">IF($G244=0,"",IF(""=0,"",""))</f>
        <v/>
      </c>
      <c r="L244" s="0" t="str">
        <f aca="false">IF($G244=0,"",IF(""=0,"",""))</f>
        <v/>
      </c>
      <c r="M244" s="0" t="str">
        <f aca="false">IF($G244=0,"",IF(""=0,"",""))</f>
        <v/>
      </c>
      <c r="N244" s="0" t="str">
        <f aca="false">IF($G244=0,"",IF(IF(N(资金日记账!$I237)=0,"",-ROUND(N(资金日记账!$I237),2))=0,"",IF(N(资金日记账!$I237)=0,"",-ROUND(N(资金日记账!$I237),2))))</f>
        <v/>
      </c>
      <c r="O244" s="0" t="str">
        <f aca="false">IF($G244=0,"",IF(IF(N(资金日记账!$H237)=0,"",ROUND(N(资金日记账!$H237),2))=0,"",IF(N(资金日记账!$H237)=0,"",ROUND(N(资金日记账!$H237),2))))</f>
        <v/>
      </c>
      <c r="P244" s="0" t="str">
        <f aca="false">IF($G244=0,"",IF(资金日记账!$L237=0,"",资金日记账!$L237))</f>
        <v/>
      </c>
      <c r="T244" s="0" t="str">
        <f aca="false">IF(资金日记账!$G244="","",资金日记账!$G244)</f>
        <v/>
      </c>
      <c r="U244" s="0" t="n">
        <f aca="false">IF(T244="",0,IF(MATCH(T244,$T$4:$T$903,0)=ROW()-3,1,0))</f>
        <v>0</v>
      </c>
      <c r="V244" s="0" t="n">
        <f aca="false">N(V243)+U244</f>
        <v>30</v>
      </c>
      <c r="Z244" s="0" t="str">
        <f aca="false">IF(成本费用登记表!$C244="","",成本费用登记表!$C244)</f>
        <v/>
      </c>
      <c r="AA244" s="0" t="n">
        <f aca="false">IF(Z244="",0,IF(MATCH(Z244,$Z$4:$Z$303,0)=ROW()-3,1,0))</f>
        <v>0</v>
      </c>
      <c r="AB244" s="0" t="n">
        <f aca="false">N(AB243)+AA244</f>
        <v>0</v>
      </c>
      <c r="AF244" s="0" t="str">
        <f aca="false">IF(OR(资金日记账!$E244="",N(资金日记账!$H244)=0),"",资金日记账!$E244)</f>
        <v/>
      </c>
      <c r="AG244" s="0" t="n">
        <f aca="false">IF(AF244="",0,IF(MATCH(AF244,$AF$4:$AF$603,0)=ROW()-3,1,0))</f>
        <v>0</v>
      </c>
      <c r="AH244" s="0" t="n">
        <f aca="false">N(AH243)+AG244</f>
        <v>5</v>
      </c>
    </row>
    <row r="245" customFormat="false" ht="13.5" hidden="false" customHeight="false" outlineLevel="0" collapsed="false">
      <c r="A245" s="0" t="str">
        <f aca="false">IF(((进销存对接!$D245="客户应收")+(进销存对接!$D245="成品销售款")+(进销存对接!$D245="公司购买果品款")+(进销存对接!$D245="筐子销售款")+(进销存对接!$D245="物料销售款"))&gt;0,进销存对接!$C245,"")</f>
        <v/>
      </c>
      <c r="B245" s="0" t="n">
        <f aca="false">IF(A245="",0,IF(MATCH(A245,$A$4:$A$1925,0)=ROW()-3,1,0))</f>
        <v>0</v>
      </c>
      <c r="C245" s="0" t="n">
        <f aca="false">N(C244)+B245</f>
        <v>6</v>
      </c>
      <c r="E245" s="0" t="str">
        <f aca="false">IFERROR(INDEX($A$4:$A$1925,MATCH(ROW()-3,$C$4:$C$1925,0)),"")</f>
        <v/>
      </c>
      <c r="G245" s="0" t="n">
        <f aca="false">IF(OR($G$1="",资金日记账!$E238="",资金日记账!$E238&lt;&gt;$G$1),0,IF(NOT(OR(N(资金日记账!$H238)&lt;&gt;0,N(资金日记账!$I238)&lt;&gt;0)),0,IF(资金日记账!$B238="",1,IF(OR(N(资金日记账!$B238)&lt;$H$1,N(资金日记账!$B238)&gt;$I$1),0,1))))</f>
        <v>0</v>
      </c>
      <c r="H245" s="0" t="n">
        <f aca="false">N(H244)+$G245</f>
        <v>3</v>
      </c>
      <c r="I245" s="0" t="str">
        <f aca="false">IF($G245=0,"",IF(资金日记账!$B238=0,"",资金日记账!$B238))</f>
        <v/>
      </c>
      <c r="J245" s="0" t="str">
        <f aca="false">IF($G245=0,"",IF(资金日记账!$D238=0,"",资金日记账!$D238))</f>
        <v/>
      </c>
      <c r="K245" s="0" t="str">
        <f aca="false">IF($G245=0,"",IF(""=0,"",""))</f>
        <v/>
      </c>
      <c r="L245" s="0" t="str">
        <f aca="false">IF($G245=0,"",IF(""=0,"",""))</f>
        <v/>
      </c>
      <c r="M245" s="0" t="str">
        <f aca="false">IF($G245=0,"",IF(""=0,"",""))</f>
        <v/>
      </c>
      <c r="N245" s="0" t="str">
        <f aca="false">IF($G245=0,"",IF(IF(N(资金日记账!$I238)=0,"",-ROUND(N(资金日记账!$I238),2))=0,"",IF(N(资金日记账!$I238)=0,"",-ROUND(N(资金日记账!$I238),2))))</f>
        <v/>
      </c>
      <c r="O245" s="0" t="str">
        <f aca="false">IF($G245=0,"",IF(IF(N(资金日记账!$H238)=0,"",ROUND(N(资金日记账!$H238),2))=0,"",IF(N(资金日记账!$H238)=0,"",ROUND(N(资金日记账!$H238),2))))</f>
        <v/>
      </c>
      <c r="P245" s="0" t="str">
        <f aca="false">IF($G245=0,"",IF(资金日记账!$L238=0,"",资金日记账!$L238))</f>
        <v/>
      </c>
      <c r="T245" s="0" t="str">
        <f aca="false">IF(资金日记账!$G245="","",资金日记账!$G245)</f>
        <v/>
      </c>
      <c r="U245" s="0" t="n">
        <f aca="false">IF(T245="",0,IF(MATCH(T245,$T$4:$T$903,0)=ROW()-3,1,0))</f>
        <v>0</v>
      </c>
      <c r="V245" s="0" t="n">
        <f aca="false">N(V244)+U245</f>
        <v>30</v>
      </c>
      <c r="Z245" s="0" t="str">
        <f aca="false">IF(成本费用登记表!$C245="","",成本费用登记表!$C245)</f>
        <v/>
      </c>
      <c r="AA245" s="0" t="n">
        <f aca="false">IF(Z245="",0,IF(MATCH(Z245,$Z$4:$Z$303,0)=ROW()-3,1,0))</f>
        <v>0</v>
      </c>
      <c r="AB245" s="0" t="n">
        <f aca="false">N(AB244)+AA245</f>
        <v>0</v>
      </c>
      <c r="AF245" s="0" t="str">
        <f aca="false">IF(OR(资金日记账!$E245="",N(资金日记账!$H245)=0),"",资金日记账!$E245)</f>
        <v/>
      </c>
      <c r="AG245" s="0" t="n">
        <f aca="false">IF(AF245="",0,IF(MATCH(AF245,$AF$4:$AF$603,0)=ROW()-3,1,0))</f>
        <v>0</v>
      </c>
      <c r="AH245" s="0" t="n">
        <f aca="false">N(AH244)+AG245</f>
        <v>5</v>
      </c>
    </row>
    <row r="246" customFormat="false" ht="13.5" hidden="false" customHeight="false" outlineLevel="0" collapsed="false">
      <c r="A246" s="0" t="str">
        <f aca="false">IF(((进销存对接!$D246="客户应收")+(进销存对接!$D246="成品销售款")+(进销存对接!$D246="公司购买果品款")+(进销存对接!$D246="筐子销售款")+(进销存对接!$D246="物料销售款"))&gt;0,进销存对接!$C246,"")</f>
        <v/>
      </c>
      <c r="B246" s="0" t="n">
        <f aca="false">IF(A246="",0,IF(MATCH(A246,$A$4:$A$1925,0)=ROW()-3,1,0))</f>
        <v>0</v>
      </c>
      <c r="C246" s="0" t="n">
        <f aca="false">N(C245)+B246</f>
        <v>6</v>
      </c>
      <c r="E246" s="0" t="str">
        <f aca="false">IFERROR(INDEX($A$4:$A$1925,MATCH(ROW()-3,$C$4:$C$1925,0)),"")</f>
        <v/>
      </c>
      <c r="G246" s="0" t="n">
        <f aca="false">IF(OR($G$1="",资金日记账!$E239="",资金日记账!$E239&lt;&gt;$G$1),0,IF(NOT(OR(N(资金日记账!$H239)&lt;&gt;0,N(资金日记账!$I239)&lt;&gt;0)),0,IF(资金日记账!$B239="",1,IF(OR(N(资金日记账!$B239)&lt;$H$1,N(资金日记账!$B239)&gt;$I$1),0,1))))</f>
        <v>0</v>
      </c>
      <c r="H246" s="0" t="n">
        <f aca="false">N(H245)+$G246</f>
        <v>3</v>
      </c>
      <c r="I246" s="0" t="str">
        <f aca="false">IF($G246=0,"",IF(资金日记账!$B239=0,"",资金日记账!$B239))</f>
        <v/>
      </c>
      <c r="J246" s="0" t="str">
        <f aca="false">IF($G246=0,"",IF(资金日记账!$D239=0,"",资金日记账!$D239))</f>
        <v/>
      </c>
      <c r="K246" s="0" t="str">
        <f aca="false">IF($G246=0,"",IF(""=0,"",""))</f>
        <v/>
      </c>
      <c r="L246" s="0" t="str">
        <f aca="false">IF($G246=0,"",IF(""=0,"",""))</f>
        <v/>
      </c>
      <c r="M246" s="0" t="str">
        <f aca="false">IF($G246=0,"",IF(""=0,"",""))</f>
        <v/>
      </c>
      <c r="N246" s="0" t="str">
        <f aca="false">IF($G246=0,"",IF(IF(N(资金日记账!$I239)=0,"",-ROUND(N(资金日记账!$I239),2))=0,"",IF(N(资金日记账!$I239)=0,"",-ROUND(N(资金日记账!$I239),2))))</f>
        <v/>
      </c>
      <c r="O246" s="0" t="str">
        <f aca="false">IF($G246=0,"",IF(IF(N(资金日记账!$H239)=0,"",ROUND(N(资金日记账!$H239),2))=0,"",IF(N(资金日记账!$H239)=0,"",ROUND(N(资金日记账!$H239),2))))</f>
        <v/>
      </c>
      <c r="P246" s="0" t="str">
        <f aca="false">IF($G246=0,"",IF(资金日记账!$L239=0,"",资金日记账!$L239))</f>
        <v/>
      </c>
      <c r="T246" s="0" t="str">
        <f aca="false">IF(资金日记账!$G246="","",资金日记账!$G246)</f>
        <v/>
      </c>
      <c r="U246" s="0" t="n">
        <f aca="false">IF(T246="",0,IF(MATCH(T246,$T$4:$T$903,0)=ROW()-3,1,0))</f>
        <v>0</v>
      </c>
      <c r="V246" s="0" t="n">
        <f aca="false">N(V245)+U246</f>
        <v>30</v>
      </c>
      <c r="Z246" s="0" t="str">
        <f aca="false">IF(成本费用登记表!$C246="","",成本费用登记表!$C246)</f>
        <v/>
      </c>
      <c r="AA246" s="0" t="n">
        <f aca="false">IF(Z246="",0,IF(MATCH(Z246,$Z$4:$Z$303,0)=ROW()-3,1,0))</f>
        <v>0</v>
      </c>
      <c r="AB246" s="0" t="n">
        <f aca="false">N(AB245)+AA246</f>
        <v>0</v>
      </c>
      <c r="AF246" s="0" t="str">
        <f aca="false">IF(OR(资金日记账!$E246="",N(资金日记账!$H246)=0),"",资金日记账!$E246)</f>
        <v/>
      </c>
      <c r="AG246" s="0" t="n">
        <f aca="false">IF(AF246="",0,IF(MATCH(AF246,$AF$4:$AF$603,0)=ROW()-3,1,0))</f>
        <v>0</v>
      </c>
      <c r="AH246" s="0" t="n">
        <f aca="false">N(AH245)+AG246</f>
        <v>5</v>
      </c>
    </row>
    <row r="247" customFormat="false" ht="13.5" hidden="false" customHeight="false" outlineLevel="0" collapsed="false">
      <c r="A247" s="0" t="str">
        <f aca="false">IF(((进销存对接!$D247="客户应收")+(进销存对接!$D247="成品销售款")+(进销存对接!$D247="公司购买果品款")+(进销存对接!$D247="筐子销售款")+(进销存对接!$D247="物料销售款"))&gt;0,进销存对接!$C247,"")</f>
        <v/>
      </c>
      <c r="B247" s="0" t="n">
        <f aca="false">IF(A247="",0,IF(MATCH(A247,$A$4:$A$1925,0)=ROW()-3,1,0))</f>
        <v>0</v>
      </c>
      <c r="C247" s="0" t="n">
        <f aca="false">N(C246)+B247</f>
        <v>6</v>
      </c>
      <c r="E247" s="0" t="str">
        <f aca="false">IFERROR(INDEX($A$4:$A$1925,MATCH(ROW()-3,$C$4:$C$1925,0)),"")</f>
        <v/>
      </c>
      <c r="G247" s="0" t="n">
        <f aca="false">IF(OR($G$1="",资金日记账!$E240="",资金日记账!$E240&lt;&gt;$G$1),0,IF(NOT(OR(N(资金日记账!$H240)&lt;&gt;0,N(资金日记账!$I240)&lt;&gt;0)),0,IF(资金日记账!$B240="",1,IF(OR(N(资金日记账!$B240)&lt;$H$1,N(资金日记账!$B240)&gt;$I$1),0,1))))</f>
        <v>0</v>
      </c>
      <c r="H247" s="0" t="n">
        <f aca="false">N(H246)+$G247</f>
        <v>3</v>
      </c>
      <c r="I247" s="0" t="str">
        <f aca="false">IF($G247=0,"",IF(资金日记账!$B240=0,"",资金日记账!$B240))</f>
        <v/>
      </c>
      <c r="J247" s="0" t="str">
        <f aca="false">IF($G247=0,"",IF(资金日记账!$D240=0,"",资金日记账!$D240))</f>
        <v/>
      </c>
      <c r="K247" s="0" t="str">
        <f aca="false">IF($G247=0,"",IF(""=0,"",""))</f>
        <v/>
      </c>
      <c r="L247" s="0" t="str">
        <f aca="false">IF($G247=0,"",IF(""=0,"",""))</f>
        <v/>
      </c>
      <c r="M247" s="0" t="str">
        <f aca="false">IF($G247=0,"",IF(""=0,"",""))</f>
        <v/>
      </c>
      <c r="N247" s="0" t="str">
        <f aca="false">IF($G247=0,"",IF(IF(N(资金日记账!$I240)=0,"",-ROUND(N(资金日记账!$I240),2))=0,"",IF(N(资金日记账!$I240)=0,"",-ROUND(N(资金日记账!$I240),2))))</f>
        <v/>
      </c>
      <c r="O247" s="0" t="str">
        <f aca="false">IF($G247=0,"",IF(IF(N(资金日记账!$H240)=0,"",ROUND(N(资金日记账!$H240),2))=0,"",IF(N(资金日记账!$H240)=0,"",ROUND(N(资金日记账!$H240),2))))</f>
        <v/>
      </c>
      <c r="P247" s="0" t="str">
        <f aca="false">IF($G247=0,"",IF(资金日记账!$L240=0,"",资金日记账!$L240))</f>
        <v/>
      </c>
      <c r="T247" s="0" t="str">
        <f aca="false">IF(资金日记账!$G247="","",资金日记账!$G247)</f>
        <v/>
      </c>
      <c r="U247" s="0" t="n">
        <f aca="false">IF(T247="",0,IF(MATCH(T247,$T$4:$T$903,0)=ROW()-3,1,0))</f>
        <v>0</v>
      </c>
      <c r="V247" s="0" t="n">
        <f aca="false">N(V246)+U247</f>
        <v>30</v>
      </c>
      <c r="Z247" s="0" t="str">
        <f aca="false">IF(成本费用登记表!$C247="","",成本费用登记表!$C247)</f>
        <v/>
      </c>
      <c r="AA247" s="0" t="n">
        <f aca="false">IF(Z247="",0,IF(MATCH(Z247,$Z$4:$Z$303,0)=ROW()-3,1,0))</f>
        <v>0</v>
      </c>
      <c r="AB247" s="0" t="n">
        <f aca="false">N(AB246)+AA247</f>
        <v>0</v>
      </c>
      <c r="AF247" s="0" t="str">
        <f aca="false">IF(OR(资金日记账!$E247="",N(资金日记账!$H247)=0),"",资金日记账!$E247)</f>
        <v/>
      </c>
      <c r="AG247" s="0" t="n">
        <f aca="false">IF(AF247="",0,IF(MATCH(AF247,$AF$4:$AF$603,0)=ROW()-3,1,0))</f>
        <v>0</v>
      </c>
      <c r="AH247" s="0" t="n">
        <f aca="false">N(AH246)+AG247</f>
        <v>5</v>
      </c>
    </row>
    <row r="248" customFormat="false" ht="13.5" hidden="false" customHeight="false" outlineLevel="0" collapsed="false">
      <c r="A248" s="0" t="str">
        <f aca="false">IF(((进销存对接!$D248="客户应收")+(进销存对接!$D248="成品销售款")+(进销存对接!$D248="公司购买果品款")+(进销存对接!$D248="筐子销售款")+(进销存对接!$D248="物料销售款"))&gt;0,进销存对接!$C248,"")</f>
        <v/>
      </c>
      <c r="B248" s="0" t="n">
        <f aca="false">IF(A248="",0,IF(MATCH(A248,$A$4:$A$1925,0)=ROW()-3,1,0))</f>
        <v>0</v>
      </c>
      <c r="C248" s="0" t="n">
        <f aca="false">N(C247)+B248</f>
        <v>6</v>
      </c>
      <c r="E248" s="0" t="str">
        <f aca="false">IFERROR(INDEX($A$4:$A$1925,MATCH(ROW()-3,$C$4:$C$1925,0)),"")</f>
        <v/>
      </c>
      <c r="G248" s="0" t="n">
        <f aca="false">IF(OR($G$1="",资金日记账!$E241="",资金日记账!$E241&lt;&gt;$G$1),0,IF(NOT(OR(N(资金日记账!$H241)&lt;&gt;0,N(资金日记账!$I241)&lt;&gt;0)),0,IF(资金日记账!$B241="",1,IF(OR(N(资金日记账!$B241)&lt;$H$1,N(资金日记账!$B241)&gt;$I$1),0,1))))</f>
        <v>0</v>
      </c>
      <c r="H248" s="0" t="n">
        <f aca="false">N(H247)+$G248</f>
        <v>3</v>
      </c>
      <c r="I248" s="0" t="str">
        <f aca="false">IF($G248=0,"",IF(资金日记账!$B241=0,"",资金日记账!$B241))</f>
        <v/>
      </c>
      <c r="J248" s="0" t="str">
        <f aca="false">IF($G248=0,"",IF(资金日记账!$D241=0,"",资金日记账!$D241))</f>
        <v/>
      </c>
      <c r="K248" s="0" t="str">
        <f aca="false">IF($G248=0,"",IF(""=0,"",""))</f>
        <v/>
      </c>
      <c r="L248" s="0" t="str">
        <f aca="false">IF($G248=0,"",IF(""=0,"",""))</f>
        <v/>
      </c>
      <c r="M248" s="0" t="str">
        <f aca="false">IF($G248=0,"",IF(""=0,"",""))</f>
        <v/>
      </c>
      <c r="N248" s="0" t="str">
        <f aca="false">IF($G248=0,"",IF(IF(N(资金日记账!$I241)=0,"",-ROUND(N(资金日记账!$I241),2))=0,"",IF(N(资金日记账!$I241)=0,"",-ROUND(N(资金日记账!$I241),2))))</f>
        <v/>
      </c>
      <c r="O248" s="0" t="str">
        <f aca="false">IF($G248=0,"",IF(IF(N(资金日记账!$H241)=0,"",ROUND(N(资金日记账!$H241),2))=0,"",IF(N(资金日记账!$H241)=0,"",ROUND(N(资金日记账!$H241),2))))</f>
        <v/>
      </c>
      <c r="P248" s="0" t="str">
        <f aca="false">IF($G248=0,"",IF(资金日记账!$L241=0,"",资金日记账!$L241))</f>
        <v/>
      </c>
      <c r="T248" s="0" t="str">
        <f aca="false">IF(资金日记账!$G248="","",资金日记账!$G248)</f>
        <v/>
      </c>
      <c r="U248" s="0" t="n">
        <f aca="false">IF(T248="",0,IF(MATCH(T248,$T$4:$T$903,0)=ROW()-3,1,0))</f>
        <v>0</v>
      </c>
      <c r="V248" s="0" t="n">
        <f aca="false">N(V247)+U248</f>
        <v>30</v>
      </c>
      <c r="Z248" s="0" t="str">
        <f aca="false">IF(成本费用登记表!$C248="","",成本费用登记表!$C248)</f>
        <v/>
      </c>
      <c r="AA248" s="0" t="n">
        <f aca="false">IF(Z248="",0,IF(MATCH(Z248,$Z$4:$Z$303,0)=ROW()-3,1,0))</f>
        <v>0</v>
      </c>
      <c r="AB248" s="0" t="n">
        <f aca="false">N(AB247)+AA248</f>
        <v>0</v>
      </c>
      <c r="AF248" s="0" t="str">
        <f aca="false">IF(OR(资金日记账!$E248="",N(资金日记账!$H248)=0),"",资金日记账!$E248)</f>
        <v/>
      </c>
      <c r="AG248" s="0" t="n">
        <f aca="false">IF(AF248="",0,IF(MATCH(AF248,$AF$4:$AF$603,0)=ROW()-3,1,0))</f>
        <v>0</v>
      </c>
      <c r="AH248" s="0" t="n">
        <f aca="false">N(AH247)+AG248</f>
        <v>5</v>
      </c>
    </row>
    <row r="249" customFormat="false" ht="13.5" hidden="false" customHeight="false" outlineLevel="0" collapsed="false">
      <c r="A249" s="0" t="str">
        <f aca="false">IF(((进销存对接!$D249="客户应收")+(进销存对接!$D249="成品销售款")+(进销存对接!$D249="公司购买果品款")+(进销存对接!$D249="筐子销售款")+(进销存对接!$D249="物料销售款"))&gt;0,进销存对接!$C249,"")</f>
        <v/>
      </c>
      <c r="B249" s="0" t="n">
        <f aca="false">IF(A249="",0,IF(MATCH(A249,$A$4:$A$1925,0)=ROW()-3,1,0))</f>
        <v>0</v>
      </c>
      <c r="C249" s="0" t="n">
        <f aca="false">N(C248)+B249</f>
        <v>6</v>
      </c>
      <c r="E249" s="0" t="str">
        <f aca="false">IFERROR(INDEX($A$4:$A$1925,MATCH(ROW()-3,$C$4:$C$1925,0)),"")</f>
        <v/>
      </c>
      <c r="G249" s="0" t="n">
        <f aca="false">IF(OR($G$1="",资金日记账!$E242="",资金日记账!$E242&lt;&gt;$G$1),0,IF(NOT(OR(N(资金日记账!$H242)&lt;&gt;0,N(资金日记账!$I242)&lt;&gt;0)),0,IF(资金日记账!$B242="",1,IF(OR(N(资金日记账!$B242)&lt;$H$1,N(资金日记账!$B242)&gt;$I$1),0,1))))</f>
        <v>0</v>
      </c>
      <c r="H249" s="0" t="n">
        <f aca="false">N(H248)+$G249</f>
        <v>3</v>
      </c>
      <c r="I249" s="0" t="str">
        <f aca="false">IF($G249=0,"",IF(资金日记账!$B242=0,"",资金日记账!$B242))</f>
        <v/>
      </c>
      <c r="J249" s="0" t="str">
        <f aca="false">IF($G249=0,"",IF(资金日记账!$D242=0,"",资金日记账!$D242))</f>
        <v/>
      </c>
      <c r="K249" s="0" t="str">
        <f aca="false">IF($G249=0,"",IF(""=0,"",""))</f>
        <v/>
      </c>
      <c r="L249" s="0" t="str">
        <f aca="false">IF($G249=0,"",IF(""=0,"",""))</f>
        <v/>
      </c>
      <c r="M249" s="0" t="str">
        <f aca="false">IF($G249=0,"",IF(""=0,"",""))</f>
        <v/>
      </c>
      <c r="N249" s="0" t="str">
        <f aca="false">IF($G249=0,"",IF(IF(N(资金日记账!$I242)=0,"",-ROUND(N(资金日记账!$I242),2))=0,"",IF(N(资金日记账!$I242)=0,"",-ROUND(N(资金日记账!$I242),2))))</f>
        <v/>
      </c>
      <c r="O249" s="0" t="str">
        <f aca="false">IF($G249=0,"",IF(IF(N(资金日记账!$H242)=0,"",ROUND(N(资金日记账!$H242),2))=0,"",IF(N(资金日记账!$H242)=0,"",ROUND(N(资金日记账!$H242),2))))</f>
        <v/>
      </c>
      <c r="P249" s="0" t="str">
        <f aca="false">IF($G249=0,"",IF(资金日记账!$L242=0,"",资金日记账!$L242))</f>
        <v/>
      </c>
      <c r="T249" s="0" t="str">
        <f aca="false">IF(资金日记账!$G249="","",资金日记账!$G249)</f>
        <v/>
      </c>
      <c r="U249" s="0" t="n">
        <f aca="false">IF(T249="",0,IF(MATCH(T249,$T$4:$T$903,0)=ROW()-3,1,0))</f>
        <v>0</v>
      </c>
      <c r="V249" s="0" t="n">
        <f aca="false">N(V248)+U249</f>
        <v>30</v>
      </c>
      <c r="Z249" s="0" t="str">
        <f aca="false">IF(成本费用登记表!$C249="","",成本费用登记表!$C249)</f>
        <v/>
      </c>
      <c r="AA249" s="0" t="n">
        <f aca="false">IF(Z249="",0,IF(MATCH(Z249,$Z$4:$Z$303,0)=ROW()-3,1,0))</f>
        <v>0</v>
      </c>
      <c r="AB249" s="0" t="n">
        <f aca="false">N(AB248)+AA249</f>
        <v>0</v>
      </c>
      <c r="AF249" s="0" t="str">
        <f aca="false">IF(OR(资金日记账!$E249="",N(资金日记账!$H249)=0),"",资金日记账!$E249)</f>
        <v/>
      </c>
      <c r="AG249" s="0" t="n">
        <f aca="false">IF(AF249="",0,IF(MATCH(AF249,$AF$4:$AF$603,0)=ROW()-3,1,0))</f>
        <v>0</v>
      </c>
      <c r="AH249" s="0" t="n">
        <f aca="false">N(AH248)+AG249</f>
        <v>5</v>
      </c>
    </row>
    <row r="250" customFormat="false" ht="13.5" hidden="false" customHeight="false" outlineLevel="0" collapsed="false">
      <c r="A250" s="0" t="str">
        <f aca="false">IF(((进销存对接!$D250="客户应收")+(进销存对接!$D250="成品销售款")+(进销存对接!$D250="公司购买果品款")+(进销存对接!$D250="筐子销售款")+(进销存对接!$D250="物料销售款"))&gt;0,进销存对接!$C250,"")</f>
        <v/>
      </c>
      <c r="B250" s="0" t="n">
        <f aca="false">IF(A250="",0,IF(MATCH(A250,$A$4:$A$1925,0)=ROW()-3,1,0))</f>
        <v>0</v>
      </c>
      <c r="C250" s="0" t="n">
        <f aca="false">N(C249)+B250</f>
        <v>6</v>
      </c>
      <c r="E250" s="0" t="str">
        <f aca="false">IFERROR(INDEX($A$4:$A$1925,MATCH(ROW()-3,$C$4:$C$1925,0)),"")</f>
        <v/>
      </c>
      <c r="G250" s="0" t="n">
        <f aca="false">IF(OR($G$1="",资金日记账!$E243="",资金日记账!$E243&lt;&gt;$G$1),0,IF(NOT(OR(N(资金日记账!$H243)&lt;&gt;0,N(资金日记账!$I243)&lt;&gt;0)),0,IF(资金日记账!$B243="",1,IF(OR(N(资金日记账!$B243)&lt;$H$1,N(资金日记账!$B243)&gt;$I$1),0,1))))</f>
        <v>0</v>
      </c>
      <c r="H250" s="0" t="n">
        <f aca="false">N(H249)+$G250</f>
        <v>3</v>
      </c>
      <c r="I250" s="0" t="str">
        <f aca="false">IF($G250=0,"",IF(资金日记账!$B243=0,"",资金日记账!$B243))</f>
        <v/>
      </c>
      <c r="J250" s="0" t="str">
        <f aca="false">IF($G250=0,"",IF(资金日记账!$D243=0,"",资金日记账!$D243))</f>
        <v/>
      </c>
      <c r="K250" s="0" t="str">
        <f aca="false">IF($G250=0,"",IF(""=0,"",""))</f>
        <v/>
      </c>
      <c r="L250" s="0" t="str">
        <f aca="false">IF($G250=0,"",IF(""=0,"",""))</f>
        <v/>
      </c>
      <c r="M250" s="0" t="str">
        <f aca="false">IF($G250=0,"",IF(""=0,"",""))</f>
        <v/>
      </c>
      <c r="N250" s="0" t="str">
        <f aca="false">IF($G250=0,"",IF(IF(N(资金日记账!$I243)=0,"",-ROUND(N(资金日记账!$I243),2))=0,"",IF(N(资金日记账!$I243)=0,"",-ROUND(N(资金日记账!$I243),2))))</f>
        <v/>
      </c>
      <c r="O250" s="0" t="str">
        <f aca="false">IF($G250=0,"",IF(IF(N(资金日记账!$H243)=0,"",ROUND(N(资金日记账!$H243),2))=0,"",IF(N(资金日记账!$H243)=0,"",ROUND(N(资金日记账!$H243),2))))</f>
        <v/>
      </c>
      <c r="P250" s="0" t="str">
        <f aca="false">IF($G250=0,"",IF(资金日记账!$L243=0,"",资金日记账!$L243))</f>
        <v/>
      </c>
      <c r="T250" s="0" t="str">
        <f aca="false">IF(资金日记账!$G250="","",资金日记账!$G250)</f>
        <v/>
      </c>
      <c r="U250" s="0" t="n">
        <f aca="false">IF(T250="",0,IF(MATCH(T250,$T$4:$T$903,0)=ROW()-3,1,0))</f>
        <v>0</v>
      </c>
      <c r="V250" s="0" t="n">
        <f aca="false">N(V249)+U250</f>
        <v>30</v>
      </c>
      <c r="Z250" s="0" t="str">
        <f aca="false">IF(成本费用登记表!$C250="","",成本费用登记表!$C250)</f>
        <v/>
      </c>
      <c r="AA250" s="0" t="n">
        <f aca="false">IF(Z250="",0,IF(MATCH(Z250,$Z$4:$Z$303,0)=ROW()-3,1,0))</f>
        <v>0</v>
      </c>
      <c r="AB250" s="0" t="n">
        <f aca="false">N(AB249)+AA250</f>
        <v>0</v>
      </c>
      <c r="AF250" s="0" t="str">
        <f aca="false">IF(OR(资金日记账!$E250="",N(资金日记账!$H250)=0),"",资金日记账!$E250)</f>
        <v/>
      </c>
      <c r="AG250" s="0" t="n">
        <f aca="false">IF(AF250="",0,IF(MATCH(AF250,$AF$4:$AF$603,0)=ROW()-3,1,0))</f>
        <v>0</v>
      </c>
      <c r="AH250" s="0" t="n">
        <f aca="false">N(AH249)+AG250</f>
        <v>5</v>
      </c>
    </row>
    <row r="251" customFormat="false" ht="13.5" hidden="false" customHeight="false" outlineLevel="0" collapsed="false">
      <c r="A251" s="0" t="str">
        <f aca="false">IF(((进销存对接!$D251="客户应收")+(进销存对接!$D251="成品销售款")+(进销存对接!$D251="公司购买果品款")+(进销存对接!$D251="筐子销售款")+(进销存对接!$D251="物料销售款"))&gt;0,进销存对接!$C251,"")</f>
        <v/>
      </c>
      <c r="B251" s="0" t="n">
        <f aca="false">IF(A251="",0,IF(MATCH(A251,$A$4:$A$1925,0)=ROW()-3,1,0))</f>
        <v>0</v>
      </c>
      <c r="C251" s="0" t="n">
        <f aca="false">N(C250)+B251</f>
        <v>6</v>
      </c>
      <c r="E251" s="0" t="str">
        <f aca="false">IFERROR(INDEX($A$4:$A$1925,MATCH(ROW()-3,$C$4:$C$1925,0)),"")</f>
        <v/>
      </c>
      <c r="G251" s="0" t="n">
        <f aca="false">IF(OR($G$1="",资金日记账!$E244="",资金日记账!$E244&lt;&gt;$G$1),0,IF(NOT(OR(N(资金日记账!$H244)&lt;&gt;0,N(资金日记账!$I244)&lt;&gt;0)),0,IF(资金日记账!$B244="",1,IF(OR(N(资金日记账!$B244)&lt;$H$1,N(资金日记账!$B244)&gt;$I$1),0,1))))</f>
        <v>0</v>
      </c>
      <c r="H251" s="0" t="n">
        <f aca="false">N(H250)+$G251</f>
        <v>3</v>
      </c>
      <c r="I251" s="0" t="str">
        <f aca="false">IF($G251=0,"",IF(资金日记账!$B244=0,"",资金日记账!$B244))</f>
        <v/>
      </c>
      <c r="J251" s="0" t="str">
        <f aca="false">IF($G251=0,"",IF(资金日记账!$D244=0,"",资金日记账!$D244))</f>
        <v/>
      </c>
      <c r="K251" s="0" t="str">
        <f aca="false">IF($G251=0,"",IF(""=0,"",""))</f>
        <v/>
      </c>
      <c r="L251" s="0" t="str">
        <f aca="false">IF($G251=0,"",IF(""=0,"",""))</f>
        <v/>
      </c>
      <c r="M251" s="0" t="str">
        <f aca="false">IF($G251=0,"",IF(""=0,"",""))</f>
        <v/>
      </c>
      <c r="N251" s="0" t="str">
        <f aca="false">IF($G251=0,"",IF(IF(N(资金日记账!$I244)=0,"",-ROUND(N(资金日记账!$I244),2))=0,"",IF(N(资金日记账!$I244)=0,"",-ROUND(N(资金日记账!$I244),2))))</f>
        <v/>
      </c>
      <c r="O251" s="0" t="str">
        <f aca="false">IF($G251=0,"",IF(IF(N(资金日记账!$H244)=0,"",ROUND(N(资金日记账!$H244),2))=0,"",IF(N(资金日记账!$H244)=0,"",ROUND(N(资金日记账!$H244),2))))</f>
        <v/>
      </c>
      <c r="P251" s="0" t="str">
        <f aca="false">IF($G251=0,"",IF(资金日记账!$L244=0,"",资金日记账!$L244))</f>
        <v/>
      </c>
      <c r="T251" s="0" t="str">
        <f aca="false">IF(资金日记账!$G251="","",资金日记账!$G251)</f>
        <v/>
      </c>
      <c r="U251" s="0" t="n">
        <f aca="false">IF(T251="",0,IF(MATCH(T251,$T$4:$T$903,0)=ROW()-3,1,0))</f>
        <v>0</v>
      </c>
      <c r="V251" s="0" t="n">
        <f aca="false">N(V250)+U251</f>
        <v>30</v>
      </c>
      <c r="Z251" s="0" t="str">
        <f aca="false">IF(成本费用登记表!$C251="","",成本费用登记表!$C251)</f>
        <v/>
      </c>
      <c r="AA251" s="0" t="n">
        <f aca="false">IF(Z251="",0,IF(MATCH(Z251,$Z$4:$Z$303,0)=ROW()-3,1,0))</f>
        <v>0</v>
      </c>
      <c r="AB251" s="0" t="n">
        <f aca="false">N(AB250)+AA251</f>
        <v>0</v>
      </c>
      <c r="AF251" s="0" t="str">
        <f aca="false">IF(OR(资金日记账!$E251="",N(资金日记账!$H251)=0),"",资金日记账!$E251)</f>
        <v/>
      </c>
      <c r="AG251" s="0" t="n">
        <f aca="false">IF(AF251="",0,IF(MATCH(AF251,$AF$4:$AF$603,0)=ROW()-3,1,0))</f>
        <v>0</v>
      </c>
      <c r="AH251" s="0" t="n">
        <f aca="false">N(AH250)+AG251</f>
        <v>5</v>
      </c>
    </row>
    <row r="252" customFormat="false" ht="13.5" hidden="false" customHeight="false" outlineLevel="0" collapsed="false">
      <c r="A252" s="0" t="str">
        <f aca="false">IF(((进销存对接!$D252="客户应收")+(进销存对接!$D252="成品销售款")+(进销存对接!$D252="公司购买果品款")+(进销存对接!$D252="筐子销售款")+(进销存对接!$D252="物料销售款"))&gt;0,进销存对接!$C252,"")</f>
        <v/>
      </c>
      <c r="B252" s="0" t="n">
        <f aca="false">IF(A252="",0,IF(MATCH(A252,$A$4:$A$1925,0)=ROW()-3,1,0))</f>
        <v>0</v>
      </c>
      <c r="C252" s="0" t="n">
        <f aca="false">N(C251)+B252</f>
        <v>6</v>
      </c>
      <c r="E252" s="0" t="str">
        <f aca="false">IFERROR(INDEX($A$4:$A$1925,MATCH(ROW()-3,$C$4:$C$1925,0)),"")</f>
        <v/>
      </c>
      <c r="G252" s="0" t="n">
        <f aca="false">IF(OR($G$1="",资金日记账!$E245="",资金日记账!$E245&lt;&gt;$G$1),0,IF(NOT(OR(N(资金日记账!$H245)&lt;&gt;0,N(资金日记账!$I245)&lt;&gt;0)),0,IF(资金日记账!$B245="",1,IF(OR(N(资金日记账!$B245)&lt;$H$1,N(资金日记账!$B245)&gt;$I$1),0,1))))</f>
        <v>0</v>
      </c>
      <c r="H252" s="0" t="n">
        <f aca="false">N(H251)+$G252</f>
        <v>3</v>
      </c>
      <c r="I252" s="0" t="str">
        <f aca="false">IF($G252=0,"",IF(资金日记账!$B245=0,"",资金日记账!$B245))</f>
        <v/>
      </c>
      <c r="J252" s="0" t="str">
        <f aca="false">IF($G252=0,"",IF(资金日记账!$D245=0,"",资金日记账!$D245))</f>
        <v/>
      </c>
      <c r="K252" s="0" t="str">
        <f aca="false">IF($G252=0,"",IF(""=0,"",""))</f>
        <v/>
      </c>
      <c r="L252" s="0" t="str">
        <f aca="false">IF($G252=0,"",IF(""=0,"",""))</f>
        <v/>
      </c>
      <c r="M252" s="0" t="str">
        <f aca="false">IF($G252=0,"",IF(""=0,"",""))</f>
        <v/>
      </c>
      <c r="N252" s="0" t="str">
        <f aca="false">IF($G252=0,"",IF(IF(N(资金日记账!$I245)=0,"",-ROUND(N(资金日记账!$I245),2))=0,"",IF(N(资金日记账!$I245)=0,"",-ROUND(N(资金日记账!$I245),2))))</f>
        <v/>
      </c>
      <c r="O252" s="0" t="str">
        <f aca="false">IF($G252=0,"",IF(IF(N(资金日记账!$H245)=0,"",ROUND(N(资金日记账!$H245),2))=0,"",IF(N(资金日记账!$H245)=0,"",ROUND(N(资金日记账!$H245),2))))</f>
        <v/>
      </c>
      <c r="P252" s="0" t="str">
        <f aca="false">IF($G252=0,"",IF(资金日记账!$L245=0,"",资金日记账!$L245))</f>
        <v/>
      </c>
      <c r="T252" s="0" t="str">
        <f aca="false">IF(资金日记账!$G252="","",资金日记账!$G252)</f>
        <v/>
      </c>
      <c r="U252" s="0" t="n">
        <f aca="false">IF(T252="",0,IF(MATCH(T252,$T$4:$T$903,0)=ROW()-3,1,0))</f>
        <v>0</v>
      </c>
      <c r="V252" s="0" t="n">
        <f aca="false">N(V251)+U252</f>
        <v>30</v>
      </c>
      <c r="Z252" s="0" t="str">
        <f aca="false">IF(成本费用登记表!$C252="","",成本费用登记表!$C252)</f>
        <v/>
      </c>
      <c r="AA252" s="0" t="n">
        <f aca="false">IF(Z252="",0,IF(MATCH(Z252,$Z$4:$Z$303,0)=ROW()-3,1,0))</f>
        <v>0</v>
      </c>
      <c r="AB252" s="0" t="n">
        <f aca="false">N(AB251)+AA252</f>
        <v>0</v>
      </c>
      <c r="AF252" s="0" t="str">
        <f aca="false">IF(OR(资金日记账!$E252="",N(资金日记账!$H252)=0),"",资金日记账!$E252)</f>
        <v/>
      </c>
      <c r="AG252" s="0" t="n">
        <f aca="false">IF(AF252="",0,IF(MATCH(AF252,$AF$4:$AF$603,0)=ROW()-3,1,0))</f>
        <v>0</v>
      </c>
      <c r="AH252" s="0" t="n">
        <f aca="false">N(AH251)+AG252</f>
        <v>5</v>
      </c>
    </row>
    <row r="253" customFormat="false" ht="13.5" hidden="false" customHeight="false" outlineLevel="0" collapsed="false">
      <c r="A253" s="0" t="str">
        <f aca="false">IF(((进销存对接!$D253="客户应收")+(进销存对接!$D253="成品销售款")+(进销存对接!$D253="公司购买果品款")+(进销存对接!$D253="筐子销售款")+(进销存对接!$D253="物料销售款"))&gt;0,进销存对接!$C253,"")</f>
        <v/>
      </c>
      <c r="B253" s="0" t="n">
        <f aca="false">IF(A253="",0,IF(MATCH(A253,$A$4:$A$1925,0)=ROW()-3,1,0))</f>
        <v>0</v>
      </c>
      <c r="C253" s="0" t="n">
        <f aca="false">N(C252)+B253</f>
        <v>6</v>
      </c>
      <c r="E253" s="0" t="str">
        <f aca="false">IFERROR(INDEX($A$4:$A$1925,MATCH(ROW()-3,$C$4:$C$1925,0)),"")</f>
        <v/>
      </c>
      <c r="G253" s="0" t="n">
        <f aca="false">IF(OR($G$1="",资金日记账!$E246="",资金日记账!$E246&lt;&gt;$G$1),0,IF(NOT(OR(N(资金日记账!$H246)&lt;&gt;0,N(资金日记账!$I246)&lt;&gt;0)),0,IF(资金日记账!$B246="",1,IF(OR(N(资金日记账!$B246)&lt;$H$1,N(资金日记账!$B246)&gt;$I$1),0,1))))</f>
        <v>0</v>
      </c>
      <c r="H253" s="0" t="n">
        <f aca="false">N(H252)+$G253</f>
        <v>3</v>
      </c>
      <c r="I253" s="0" t="str">
        <f aca="false">IF($G253=0,"",IF(资金日记账!$B246=0,"",资金日记账!$B246))</f>
        <v/>
      </c>
      <c r="J253" s="0" t="str">
        <f aca="false">IF($G253=0,"",IF(资金日记账!$D246=0,"",资金日记账!$D246))</f>
        <v/>
      </c>
      <c r="K253" s="0" t="str">
        <f aca="false">IF($G253=0,"",IF(""=0,"",""))</f>
        <v/>
      </c>
      <c r="L253" s="0" t="str">
        <f aca="false">IF($G253=0,"",IF(""=0,"",""))</f>
        <v/>
      </c>
      <c r="M253" s="0" t="str">
        <f aca="false">IF($G253=0,"",IF(""=0,"",""))</f>
        <v/>
      </c>
      <c r="N253" s="0" t="str">
        <f aca="false">IF($G253=0,"",IF(IF(N(资金日记账!$I246)=0,"",-ROUND(N(资金日记账!$I246),2))=0,"",IF(N(资金日记账!$I246)=0,"",-ROUND(N(资金日记账!$I246),2))))</f>
        <v/>
      </c>
      <c r="O253" s="0" t="str">
        <f aca="false">IF($G253=0,"",IF(IF(N(资金日记账!$H246)=0,"",ROUND(N(资金日记账!$H246),2))=0,"",IF(N(资金日记账!$H246)=0,"",ROUND(N(资金日记账!$H246),2))))</f>
        <v/>
      </c>
      <c r="P253" s="0" t="str">
        <f aca="false">IF($G253=0,"",IF(资金日记账!$L246=0,"",资金日记账!$L246))</f>
        <v/>
      </c>
      <c r="T253" s="0" t="str">
        <f aca="false">IF(资金日记账!$G253="","",资金日记账!$G253)</f>
        <v/>
      </c>
      <c r="U253" s="0" t="n">
        <f aca="false">IF(T253="",0,IF(MATCH(T253,$T$4:$T$903,0)=ROW()-3,1,0))</f>
        <v>0</v>
      </c>
      <c r="V253" s="0" t="n">
        <f aca="false">N(V252)+U253</f>
        <v>30</v>
      </c>
      <c r="Z253" s="0" t="str">
        <f aca="false">IF(成本费用登记表!$C253="","",成本费用登记表!$C253)</f>
        <v/>
      </c>
      <c r="AA253" s="0" t="n">
        <f aca="false">IF(Z253="",0,IF(MATCH(Z253,$Z$4:$Z$303,0)=ROW()-3,1,0))</f>
        <v>0</v>
      </c>
      <c r="AB253" s="0" t="n">
        <f aca="false">N(AB252)+AA253</f>
        <v>0</v>
      </c>
      <c r="AF253" s="0" t="str">
        <f aca="false">IF(OR(资金日记账!$E253="",N(资金日记账!$H253)=0),"",资金日记账!$E253)</f>
        <v/>
      </c>
      <c r="AG253" s="0" t="n">
        <f aca="false">IF(AF253="",0,IF(MATCH(AF253,$AF$4:$AF$603,0)=ROW()-3,1,0))</f>
        <v>0</v>
      </c>
      <c r="AH253" s="0" t="n">
        <f aca="false">N(AH252)+AG253</f>
        <v>5</v>
      </c>
    </row>
    <row r="254" customFormat="false" ht="13.5" hidden="false" customHeight="false" outlineLevel="0" collapsed="false">
      <c r="A254" s="0" t="str">
        <f aca="false">IF(((进销存对接!$D254="客户应收")+(进销存对接!$D254="成品销售款")+(进销存对接!$D254="公司购买果品款")+(进销存对接!$D254="筐子销售款")+(进销存对接!$D254="物料销售款"))&gt;0,进销存对接!$C254,"")</f>
        <v/>
      </c>
      <c r="B254" s="0" t="n">
        <f aca="false">IF(A254="",0,IF(MATCH(A254,$A$4:$A$1925,0)=ROW()-3,1,0))</f>
        <v>0</v>
      </c>
      <c r="C254" s="0" t="n">
        <f aca="false">N(C253)+B254</f>
        <v>6</v>
      </c>
      <c r="G254" s="0" t="n">
        <f aca="false">IF(OR($G$1="",资金日记账!$E247="",资金日记账!$E247&lt;&gt;$G$1),0,IF(NOT(OR(N(资金日记账!$H247)&lt;&gt;0,N(资金日记账!$I247)&lt;&gt;0)),0,IF(资金日记账!$B247="",1,IF(OR(N(资金日记账!$B247)&lt;$H$1,N(资金日记账!$B247)&gt;$I$1),0,1))))</f>
        <v>0</v>
      </c>
      <c r="H254" s="0" t="n">
        <f aca="false">N(H253)+$G254</f>
        <v>3</v>
      </c>
      <c r="I254" s="0" t="str">
        <f aca="false">IF($G254=0,"",IF(资金日记账!$B247=0,"",资金日记账!$B247))</f>
        <v/>
      </c>
      <c r="J254" s="0" t="str">
        <f aca="false">IF($G254=0,"",IF(资金日记账!$D247=0,"",资金日记账!$D247))</f>
        <v/>
      </c>
      <c r="K254" s="0" t="str">
        <f aca="false">IF($G254=0,"",IF(""=0,"",""))</f>
        <v/>
      </c>
      <c r="L254" s="0" t="str">
        <f aca="false">IF($G254=0,"",IF(""=0,"",""))</f>
        <v/>
      </c>
      <c r="M254" s="0" t="str">
        <f aca="false">IF($G254=0,"",IF(""=0,"",""))</f>
        <v/>
      </c>
      <c r="N254" s="0" t="str">
        <f aca="false">IF($G254=0,"",IF(IF(N(资金日记账!$I247)=0,"",-ROUND(N(资金日记账!$I247),2))=0,"",IF(N(资金日记账!$I247)=0,"",-ROUND(N(资金日记账!$I247),2))))</f>
        <v/>
      </c>
      <c r="O254" s="0" t="str">
        <f aca="false">IF($G254=0,"",IF(IF(N(资金日记账!$H247)=0,"",ROUND(N(资金日记账!$H247),2))=0,"",IF(N(资金日记账!$H247)=0,"",ROUND(N(资金日记账!$H247),2))))</f>
        <v/>
      </c>
      <c r="P254" s="0" t="str">
        <f aca="false">IF($G254=0,"",IF(资金日记账!$L247=0,"",资金日记账!$L247))</f>
        <v/>
      </c>
      <c r="T254" s="0" t="str">
        <f aca="false">IF(资金日记账!$G254="","",资金日记账!$G254)</f>
        <v/>
      </c>
      <c r="U254" s="0" t="n">
        <f aca="false">IF(T254="",0,IF(MATCH(T254,$T$4:$T$903,0)=ROW()-3,1,0))</f>
        <v>0</v>
      </c>
      <c r="V254" s="0" t="n">
        <f aca="false">N(V253)+U254</f>
        <v>30</v>
      </c>
      <c r="Z254" s="0" t="str">
        <f aca="false">IF(成本费用登记表!$C254="","",成本费用登记表!$C254)</f>
        <v/>
      </c>
      <c r="AA254" s="0" t="n">
        <f aca="false">IF(Z254="",0,IF(MATCH(Z254,$Z$4:$Z$303,0)=ROW()-3,1,0))</f>
        <v>0</v>
      </c>
      <c r="AB254" s="0" t="n">
        <f aca="false">N(AB253)+AA254</f>
        <v>0</v>
      </c>
      <c r="AF254" s="0" t="str">
        <f aca="false">IF(OR(资金日记账!$E254="",N(资金日记账!$H254)=0),"",资金日记账!$E254)</f>
        <v/>
      </c>
      <c r="AG254" s="0" t="n">
        <f aca="false">IF(AF254="",0,IF(MATCH(AF254,$AF$4:$AF$603,0)=ROW()-3,1,0))</f>
        <v>0</v>
      </c>
      <c r="AH254" s="0" t="n">
        <f aca="false">N(AH253)+AG254</f>
        <v>5</v>
      </c>
    </row>
    <row r="255" customFormat="false" ht="13.5" hidden="false" customHeight="false" outlineLevel="0" collapsed="false">
      <c r="A255" s="0" t="str">
        <f aca="false">IF(((进销存对接!$D255="客户应收")+(进销存对接!$D255="成品销售款")+(进销存对接!$D255="公司购买果品款")+(进销存对接!$D255="筐子销售款")+(进销存对接!$D255="物料销售款"))&gt;0,进销存对接!$C255,"")</f>
        <v/>
      </c>
      <c r="B255" s="0" t="n">
        <f aca="false">IF(A255="",0,IF(MATCH(A255,$A$4:$A$1925,0)=ROW()-3,1,0))</f>
        <v>0</v>
      </c>
      <c r="C255" s="0" t="n">
        <f aca="false">N(C254)+B255</f>
        <v>6</v>
      </c>
      <c r="G255" s="0" t="n">
        <f aca="false">IF(OR($G$1="",资金日记账!$E248="",资金日记账!$E248&lt;&gt;$G$1),0,IF(NOT(OR(N(资金日记账!$H248)&lt;&gt;0,N(资金日记账!$I248)&lt;&gt;0)),0,IF(资金日记账!$B248="",1,IF(OR(N(资金日记账!$B248)&lt;$H$1,N(资金日记账!$B248)&gt;$I$1),0,1))))</f>
        <v>0</v>
      </c>
      <c r="H255" s="0" t="n">
        <f aca="false">N(H254)+$G255</f>
        <v>3</v>
      </c>
      <c r="I255" s="0" t="str">
        <f aca="false">IF($G255=0,"",IF(资金日记账!$B248=0,"",资金日记账!$B248))</f>
        <v/>
      </c>
      <c r="J255" s="0" t="str">
        <f aca="false">IF($G255=0,"",IF(资金日记账!$D248=0,"",资金日记账!$D248))</f>
        <v/>
      </c>
      <c r="K255" s="0" t="str">
        <f aca="false">IF($G255=0,"",IF(""=0,"",""))</f>
        <v/>
      </c>
      <c r="L255" s="0" t="str">
        <f aca="false">IF($G255=0,"",IF(""=0,"",""))</f>
        <v/>
      </c>
      <c r="M255" s="0" t="str">
        <f aca="false">IF($G255=0,"",IF(""=0,"",""))</f>
        <v/>
      </c>
      <c r="N255" s="0" t="str">
        <f aca="false">IF($G255=0,"",IF(IF(N(资金日记账!$I248)=0,"",-ROUND(N(资金日记账!$I248),2))=0,"",IF(N(资金日记账!$I248)=0,"",-ROUND(N(资金日记账!$I248),2))))</f>
        <v/>
      </c>
      <c r="O255" s="0" t="str">
        <f aca="false">IF($G255=0,"",IF(IF(N(资金日记账!$H248)=0,"",ROUND(N(资金日记账!$H248),2))=0,"",IF(N(资金日记账!$H248)=0,"",ROUND(N(资金日记账!$H248),2))))</f>
        <v/>
      </c>
      <c r="P255" s="0" t="str">
        <f aca="false">IF($G255=0,"",IF(资金日记账!$L248=0,"",资金日记账!$L248))</f>
        <v/>
      </c>
      <c r="T255" s="0" t="str">
        <f aca="false">IF(资金日记账!$G255="","",资金日记账!$G255)</f>
        <v/>
      </c>
      <c r="U255" s="0" t="n">
        <f aca="false">IF(T255="",0,IF(MATCH(T255,$T$4:$T$903,0)=ROW()-3,1,0))</f>
        <v>0</v>
      </c>
      <c r="V255" s="0" t="n">
        <f aca="false">N(V254)+U255</f>
        <v>30</v>
      </c>
      <c r="Z255" s="0" t="str">
        <f aca="false">IF(成本费用登记表!$C255="","",成本费用登记表!$C255)</f>
        <v/>
      </c>
      <c r="AA255" s="0" t="n">
        <f aca="false">IF(Z255="",0,IF(MATCH(Z255,$Z$4:$Z$303,0)=ROW()-3,1,0))</f>
        <v>0</v>
      </c>
      <c r="AB255" s="0" t="n">
        <f aca="false">N(AB254)+AA255</f>
        <v>0</v>
      </c>
      <c r="AF255" s="0" t="str">
        <f aca="false">IF(OR(资金日记账!$E255="",N(资金日记账!$H255)=0),"",资金日记账!$E255)</f>
        <v/>
      </c>
      <c r="AG255" s="0" t="n">
        <f aca="false">IF(AF255="",0,IF(MATCH(AF255,$AF$4:$AF$603,0)=ROW()-3,1,0))</f>
        <v>0</v>
      </c>
      <c r="AH255" s="0" t="n">
        <f aca="false">N(AH254)+AG255</f>
        <v>5</v>
      </c>
    </row>
    <row r="256" customFormat="false" ht="13.5" hidden="false" customHeight="false" outlineLevel="0" collapsed="false">
      <c r="A256" s="0" t="str">
        <f aca="false">IF(((进销存对接!$D256="客户应收")+(进销存对接!$D256="成品销售款")+(进销存对接!$D256="公司购买果品款")+(进销存对接!$D256="筐子销售款")+(进销存对接!$D256="物料销售款"))&gt;0,进销存对接!$C256,"")</f>
        <v/>
      </c>
      <c r="B256" s="0" t="n">
        <f aca="false">IF(A256="",0,IF(MATCH(A256,$A$4:$A$1925,0)=ROW()-3,1,0))</f>
        <v>0</v>
      </c>
      <c r="C256" s="0" t="n">
        <f aca="false">N(C255)+B256</f>
        <v>6</v>
      </c>
      <c r="G256" s="0" t="n">
        <f aca="false">IF(OR($G$1="",资金日记账!$E249="",资金日记账!$E249&lt;&gt;$G$1),0,IF(NOT(OR(N(资金日记账!$H249)&lt;&gt;0,N(资金日记账!$I249)&lt;&gt;0)),0,IF(资金日记账!$B249="",1,IF(OR(N(资金日记账!$B249)&lt;$H$1,N(资金日记账!$B249)&gt;$I$1),0,1))))</f>
        <v>0</v>
      </c>
      <c r="H256" s="0" t="n">
        <f aca="false">N(H255)+$G256</f>
        <v>3</v>
      </c>
      <c r="I256" s="0" t="str">
        <f aca="false">IF($G256=0,"",IF(资金日记账!$B249=0,"",资金日记账!$B249))</f>
        <v/>
      </c>
      <c r="J256" s="0" t="str">
        <f aca="false">IF($G256=0,"",IF(资金日记账!$D249=0,"",资金日记账!$D249))</f>
        <v/>
      </c>
      <c r="K256" s="0" t="str">
        <f aca="false">IF($G256=0,"",IF(""=0,"",""))</f>
        <v/>
      </c>
      <c r="L256" s="0" t="str">
        <f aca="false">IF($G256=0,"",IF(""=0,"",""))</f>
        <v/>
      </c>
      <c r="M256" s="0" t="str">
        <f aca="false">IF($G256=0,"",IF(""=0,"",""))</f>
        <v/>
      </c>
      <c r="N256" s="0" t="str">
        <f aca="false">IF($G256=0,"",IF(IF(N(资金日记账!$I249)=0,"",-ROUND(N(资金日记账!$I249),2))=0,"",IF(N(资金日记账!$I249)=0,"",-ROUND(N(资金日记账!$I249),2))))</f>
        <v/>
      </c>
      <c r="O256" s="0" t="str">
        <f aca="false">IF($G256=0,"",IF(IF(N(资金日记账!$H249)=0,"",ROUND(N(资金日记账!$H249),2))=0,"",IF(N(资金日记账!$H249)=0,"",ROUND(N(资金日记账!$H249),2))))</f>
        <v/>
      </c>
      <c r="P256" s="0" t="str">
        <f aca="false">IF($G256=0,"",IF(资金日记账!$L249=0,"",资金日记账!$L249))</f>
        <v/>
      </c>
      <c r="T256" s="0" t="str">
        <f aca="false">IF(资金日记账!$G256="","",资金日记账!$G256)</f>
        <v/>
      </c>
      <c r="U256" s="0" t="n">
        <f aca="false">IF(T256="",0,IF(MATCH(T256,$T$4:$T$903,0)=ROW()-3,1,0))</f>
        <v>0</v>
      </c>
      <c r="V256" s="0" t="n">
        <f aca="false">N(V255)+U256</f>
        <v>30</v>
      </c>
      <c r="Z256" s="0" t="str">
        <f aca="false">IF(成本费用登记表!$C256="","",成本费用登记表!$C256)</f>
        <v/>
      </c>
      <c r="AA256" s="0" t="n">
        <f aca="false">IF(Z256="",0,IF(MATCH(Z256,$Z$4:$Z$303,0)=ROW()-3,1,0))</f>
        <v>0</v>
      </c>
      <c r="AB256" s="0" t="n">
        <f aca="false">N(AB255)+AA256</f>
        <v>0</v>
      </c>
      <c r="AF256" s="0" t="str">
        <f aca="false">IF(OR(资金日记账!$E256="",N(资金日记账!$H256)=0),"",资金日记账!$E256)</f>
        <v/>
      </c>
      <c r="AG256" s="0" t="n">
        <f aca="false">IF(AF256="",0,IF(MATCH(AF256,$AF$4:$AF$603,0)=ROW()-3,1,0))</f>
        <v>0</v>
      </c>
      <c r="AH256" s="0" t="n">
        <f aca="false">N(AH255)+AG256</f>
        <v>5</v>
      </c>
    </row>
    <row r="257" customFormat="false" ht="13.5" hidden="false" customHeight="false" outlineLevel="0" collapsed="false">
      <c r="A257" s="0" t="str">
        <f aca="false">IF(((进销存对接!$D257="客户应收")+(进销存对接!$D257="成品销售款")+(进销存对接!$D257="公司购买果品款")+(进销存对接!$D257="筐子销售款")+(进销存对接!$D257="物料销售款"))&gt;0,进销存对接!$C257,"")</f>
        <v/>
      </c>
      <c r="B257" s="0" t="n">
        <f aca="false">IF(A257="",0,IF(MATCH(A257,$A$4:$A$1925,0)=ROW()-3,1,0))</f>
        <v>0</v>
      </c>
      <c r="C257" s="0" t="n">
        <f aca="false">N(C256)+B257</f>
        <v>6</v>
      </c>
      <c r="G257" s="0" t="n">
        <f aca="false">IF(OR($G$1="",资金日记账!$E250="",资金日记账!$E250&lt;&gt;$G$1),0,IF(NOT(OR(N(资金日记账!$H250)&lt;&gt;0,N(资金日记账!$I250)&lt;&gt;0)),0,IF(资金日记账!$B250="",1,IF(OR(N(资金日记账!$B250)&lt;$H$1,N(资金日记账!$B250)&gt;$I$1),0,1))))</f>
        <v>0</v>
      </c>
      <c r="H257" s="0" t="n">
        <f aca="false">N(H256)+$G257</f>
        <v>3</v>
      </c>
      <c r="I257" s="0" t="str">
        <f aca="false">IF($G257=0,"",IF(资金日记账!$B250=0,"",资金日记账!$B250))</f>
        <v/>
      </c>
      <c r="J257" s="0" t="str">
        <f aca="false">IF($G257=0,"",IF(资金日记账!$D250=0,"",资金日记账!$D250))</f>
        <v/>
      </c>
      <c r="K257" s="0" t="str">
        <f aca="false">IF($G257=0,"",IF(""=0,"",""))</f>
        <v/>
      </c>
      <c r="L257" s="0" t="str">
        <f aca="false">IF($G257=0,"",IF(""=0,"",""))</f>
        <v/>
      </c>
      <c r="M257" s="0" t="str">
        <f aca="false">IF($G257=0,"",IF(""=0,"",""))</f>
        <v/>
      </c>
      <c r="N257" s="0" t="str">
        <f aca="false">IF($G257=0,"",IF(IF(N(资金日记账!$I250)=0,"",-ROUND(N(资金日记账!$I250),2))=0,"",IF(N(资金日记账!$I250)=0,"",-ROUND(N(资金日记账!$I250),2))))</f>
        <v/>
      </c>
      <c r="O257" s="0" t="str">
        <f aca="false">IF($G257=0,"",IF(IF(N(资金日记账!$H250)=0,"",ROUND(N(资金日记账!$H250),2))=0,"",IF(N(资金日记账!$H250)=0,"",ROUND(N(资金日记账!$H250),2))))</f>
        <v/>
      </c>
      <c r="P257" s="0" t="str">
        <f aca="false">IF($G257=0,"",IF(资金日记账!$L250=0,"",资金日记账!$L250))</f>
        <v/>
      </c>
      <c r="T257" s="0" t="str">
        <f aca="false">IF(资金日记账!$G257="","",资金日记账!$G257)</f>
        <v/>
      </c>
      <c r="U257" s="0" t="n">
        <f aca="false">IF(T257="",0,IF(MATCH(T257,$T$4:$T$903,0)=ROW()-3,1,0))</f>
        <v>0</v>
      </c>
      <c r="V257" s="0" t="n">
        <f aca="false">N(V256)+U257</f>
        <v>30</v>
      </c>
      <c r="Z257" s="0" t="str">
        <f aca="false">IF(成本费用登记表!$C257="","",成本费用登记表!$C257)</f>
        <v/>
      </c>
      <c r="AA257" s="0" t="n">
        <f aca="false">IF(Z257="",0,IF(MATCH(Z257,$Z$4:$Z$303,0)=ROW()-3,1,0))</f>
        <v>0</v>
      </c>
      <c r="AB257" s="0" t="n">
        <f aca="false">N(AB256)+AA257</f>
        <v>0</v>
      </c>
      <c r="AF257" s="0" t="str">
        <f aca="false">IF(OR(资金日记账!$E257="",N(资金日记账!$H257)=0),"",资金日记账!$E257)</f>
        <v/>
      </c>
      <c r="AG257" s="0" t="n">
        <f aca="false">IF(AF257="",0,IF(MATCH(AF257,$AF$4:$AF$603,0)=ROW()-3,1,0))</f>
        <v>0</v>
      </c>
      <c r="AH257" s="0" t="n">
        <f aca="false">N(AH256)+AG257</f>
        <v>5</v>
      </c>
    </row>
    <row r="258" customFormat="false" ht="13.5" hidden="false" customHeight="false" outlineLevel="0" collapsed="false">
      <c r="A258" s="0" t="str">
        <f aca="false">IF(((进销存对接!$D258="客户应收")+(进销存对接!$D258="成品销售款")+(进销存对接!$D258="公司购买果品款")+(进销存对接!$D258="筐子销售款")+(进销存对接!$D258="物料销售款"))&gt;0,进销存对接!$C258,"")</f>
        <v/>
      </c>
      <c r="B258" s="0" t="n">
        <f aca="false">IF(A258="",0,IF(MATCH(A258,$A$4:$A$1925,0)=ROW()-3,1,0))</f>
        <v>0</v>
      </c>
      <c r="C258" s="0" t="n">
        <f aca="false">N(C257)+B258</f>
        <v>6</v>
      </c>
      <c r="G258" s="0" t="n">
        <f aca="false">IF(OR($G$1="",资金日记账!$E251="",资金日记账!$E251&lt;&gt;$G$1),0,IF(NOT(OR(N(资金日记账!$H251)&lt;&gt;0,N(资金日记账!$I251)&lt;&gt;0)),0,IF(资金日记账!$B251="",1,IF(OR(N(资金日记账!$B251)&lt;$H$1,N(资金日记账!$B251)&gt;$I$1),0,1))))</f>
        <v>0</v>
      </c>
      <c r="H258" s="0" t="n">
        <f aca="false">N(H257)+$G258</f>
        <v>3</v>
      </c>
      <c r="I258" s="0" t="str">
        <f aca="false">IF($G258=0,"",IF(资金日记账!$B251=0,"",资金日记账!$B251))</f>
        <v/>
      </c>
      <c r="J258" s="0" t="str">
        <f aca="false">IF($G258=0,"",IF(资金日记账!$D251=0,"",资金日记账!$D251))</f>
        <v/>
      </c>
      <c r="K258" s="0" t="str">
        <f aca="false">IF($G258=0,"",IF(""=0,"",""))</f>
        <v/>
      </c>
      <c r="L258" s="0" t="str">
        <f aca="false">IF($G258=0,"",IF(""=0,"",""))</f>
        <v/>
      </c>
      <c r="M258" s="0" t="str">
        <f aca="false">IF($G258=0,"",IF(""=0,"",""))</f>
        <v/>
      </c>
      <c r="N258" s="0" t="str">
        <f aca="false">IF($G258=0,"",IF(IF(N(资金日记账!$I251)=0,"",-ROUND(N(资金日记账!$I251),2))=0,"",IF(N(资金日记账!$I251)=0,"",-ROUND(N(资金日记账!$I251),2))))</f>
        <v/>
      </c>
      <c r="O258" s="0" t="str">
        <f aca="false">IF($G258=0,"",IF(IF(N(资金日记账!$H251)=0,"",ROUND(N(资金日记账!$H251),2))=0,"",IF(N(资金日记账!$H251)=0,"",ROUND(N(资金日记账!$H251),2))))</f>
        <v/>
      </c>
      <c r="P258" s="0" t="str">
        <f aca="false">IF($G258=0,"",IF(资金日记账!$L251=0,"",资金日记账!$L251))</f>
        <v/>
      </c>
      <c r="T258" s="0" t="str">
        <f aca="false">IF(资金日记账!$G258="","",资金日记账!$G258)</f>
        <v/>
      </c>
      <c r="U258" s="0" t="n">
        <f aca="false">IF(T258="",0,IF(MATCH(T258,$T$4:$T$903,0)=ROW()-3,1,0))</f>
        <v>0</v>
      </c>
      <c r="V258" s="0" t="n">
        <f aca="false">N(V257)+U258</f>
        <v>30</v>
      </c>
      <c r="Z258" s="0" t="str">
        <f aca="false">IF(成本费用登记表!$C258="","",成本费用登记表!$C258)</f>
        <v/>
      </c>
      <c r="AA258" s="0" t="n">
        <f aca="false">IF(Z258="",0,IF(MATCH(Z258,$Z$4:$Z$303,0)=ROW()-3,1,0))</f>
        <v>0</v>
      </c>
      <c r="AB258" s="0" t="n">
        <f aca="false">N(AB257)+AA258</f>
        <v>0</v>
      </c>
      <c r="AF258" s="0" t="str">
        <f aca="false">IF(OR(资金日记账!$E258="",N(资金日记账!$H258)=0),"",资金日记账!$E258)</f>
        <v/>
      </c>
      <c r="AG258" s="0" t="n">
        <f aca="false">IF(AF258="",0,IF(MATCH(AF258,$AF$4:$AF$603,0)=ROW()-3,1,0))</f>
        <v>0</v>
      </c>
      <c r="AH258" s="0" t="n">
        <f aca="false">N(AH257)+AG258</f>
        <v>5</v>
      </c>
    </row>
    <row r="259" customFormat="false" ht="13.5" hidden="false" customHeight="false" outlineLevel="0" collapsed="false">
      <c r="A259" s="0" t="str">
        <f aca="false">IF(((进销存对接!$D259="客户应收")+(进销存对接!$D259="成品销售款")+(进销存对接!$D259="公司购买果品款")+(进销存对接!$D259="筐子销售款")+(进销存对接!$D259="物料销售款"))&gt;0,进销存对接!$C259,"")</f>
        <v/>
      </c>
      <c r="B259" s="0" t="n">
        <f aca="false">IF(A259="",0,IF(MATCH(A259,$A$4:$A$1925,0)=ROW()-3,1,0))</f>
        <v>0</v>
      </c>
      <c r="C259" s="0" t="n">
        <f aca="false">N(C258)+B259</f>
        <v>6</v>
      </c>
      <c r="G259" s="0" t="n">
        <f aca="false">IF(OR($G$1="",资金日记账!$E252="",资金日记账!$E252&lt;&gt;$G$1),0,IF(NOT(OR(N(资金日记账!$H252)&lt;&gt;0,N(资金日记账!$I252)&lt;&gt;0)),0,IF(资金日记账!$B252="",1,IF(OR(N(资金日记账!$B252)&lt;$H$1,N(资金日记账!$B252)&gt;$I$1),0,1))))</f>
        <v>0</v>
      </c>
      <c r="H259" s="0" t="n">
        <f aca="false">N(H258)+$G259</f>
        <v>3</v>
      </c>
      <c r="I259" s="0" t="str">
        <f aca="false">IF($G259=0,"",IF(资金日记账!$B252=0,"",资金日记账!$B252))</f>
        <v/>
      </c>
      <c r="J259" s="0" t="str">
        <f aca="false">IF($G259=0,"",IF(资金日记账!$D252=0,"",资金日记账!$D252))</f>
        <v/>
      </c>
      <c r="K259" s="0" t="str">
        <f aca="false">IF($G259=0,"",IF(""=0,"",""))</f>
        <v/>
      </c>
      <c r="L259" s="0" t="str">
        <f aca="false">IF($G259=0,"",IF(""=0,"",""))</f>
        <v/>
      </c>
      <c r="M259" s="0" t="str">
        <f aca="false">IF($G259=0,"",IF(""=0,"",""))</f>
        <v/>
      </c>
      <c r="N259" s="0" t="str">
        <f aca="false">IF($G259=0,"",IF(IF(N(资金日记账!$I252)=0,"",-ROUND(N(资金日记账!$I252),2))=0,"",IF(N(资金日记账!$I252)=0,"",-ROUND(N(资金日记账!$I252),2))))</f>
        <v/>
      </c>
      <c r="O259" s="0" t="str">
        <f aca="false">IF($G259=0,"",IF(IF(N(资金日记账!$H252)=0,"",ROUND(N(资金日记账!$H252),2))=0,"",IF(N(资金日记账!$H252)=0,"",ROUND(N(资金日记账!$H252),2))))</f>
        <v/>
      </c>
      <c r="P259" s="0" t="str">
        <f aca="false">IF($G259=0,"",IF(资金日记账!$L252=0,"",资金日记账!$L252))</f>
        <v/>
      </c>
      <c r="T259" s="0" t="str">
        <f aca="false">IF(资金日记账!$G259="","",资金日记账!$G259)</f>
        <v/>
      </c>
      <c r="U259" s="0" t="n">
        <f aca="false">IF(T259="",0,IF(MATCH(T259,$T$4:$T$903,0)=ROW()-3,1,0))</f>
        <v>0</v>
      </c>
      <c r="V259" s="0" t="n">
        <f aca="false">N(V258)+U259</f>
        <v>30</v>
      </c>
      <c r="Z259" s="0" t="str">
        <f aca="false">IF(成本费用登记表!$C259="","",成本费用登记表!$C259)</f>
        <v/>
      </c>
      <c r="AA259" s="0" t="n">
        <f aca="false">IF(Z259="",0,IF(MATCH(Z259,$Z$4:$Z$303,0)=ROW()-3,1,0))</f>
        <v>0</v>
      </c>
      <c r="AB259" s="0" t="n">
        <f aca="false">N(AB258)+AA259</f>
        <v>0</v>
      </c>
      <c r="AF259" s="0" t="str">
        <f aca="false">IF(OR(资金日记账!$E259="",N(资金日记账!$H259)=0),"",资金日记账!$E259)</f>
        <v/>
      </c>
      <c r="AG259" s="0" t="n">
        <f aca="false">IF(AF259="",0,IF(MATCH(AF259,$AF$4:$AF$603,0)=ROW()-3,1,0))</f>
        <v>0</v>
      </c>
      <c r="AH259" s="0" t="n">
        <f aca="false">N(AH258)+AG259</f>
        <v>5</v>
      </c>
    </row>
    <row r="260" customFormat="false" ht="13.5" hidden="false" customHeight="false" outlineLevel="0" collapsed="false">
      <c r="A260" s="0" t="str">
        <f aca="false">IF(((进销存对接!$D260="客户应收")+(进销存对接!$D260="成品销售款")+(进销存对接!$D260="公司购买果品款")+(进销存对接!$D260="筐子销售款")+(进销存对接!$D260="物料销售款"))&gt;0,进销存对接!$C260,"")</f>
        <v/>
      </c>
      <c r="B260" s="0" t="n">
        <f aca="false">IF(A260="",0,IF(MATCH(A260,$A$4:$A$1925,0)=ROW()-3,1,0))</f>
        <v>0</v>
      </c>
      <c r="C260" s="0" t="n">
        <f aca="false">N(C259)+B260</f>
        <v>6</v>
      </c>
      <c r="G260" s="0" t="n">
        <f aca="false">IF(OR($G$1="",资金日记账!$E253="",资金日记账!$E253&lt;&gt;$G$1),0,IF(NOT(OR(N(资金日记账!$H253)&lt;&gt;0,N(资金日记账!$I253)&lt;&gt;0)),0,IF(资金日记账!$B253="",1,IF(OR(N(资金日记账!$B253)&lt;$H$1,N(资金日记账!$B253)&gt;$I$1),0,1))))</f>
        <v>0</v>
      </c>
      <c r="H260" s="0" t="n">
        <f aca="false">N(H259)+$G260</f>
        <v>3</v>
      </c>
      <c r="I260" s="0" t="str">
        <f aca="false">IF($G260=0,"",IF(资金日记账!$B253=0,"",资金日记账!$B253))</f>
        <v/>
      </c>
      <c r="J260" s="0" t="str">
        <f aca="false">IF($G260=0,"",IF(资金日记账!$D253=0,"",资金日记账!$D253))</f>
        <v/>
      </c>
      <c r="K260" s="0" t="str">
        <f aca="false">IF($G260=0,"",IF(""=0,"",""))</f>
        <v/>
      </c>
      <c r="L260" s="0" t="str">
        <f aca="false">IF($G260=0,"",IF(""=0,"",""))</f>
        <v/>
      </c>
      <c r="M260" s="0" t="str">
        <f aca="false">IF($G260=0,"",IF(""=0,"",""))</f>
        <v/>
      </c>
      <c r="N260" s="0" t="str">
        <f aca="false">IF($G260=0,"",IF(IF(N(资金日记账!$I253)=0,"",-ROUND(N(资金日记账!$I253),2))=0,"",IF(N(资金日记账!$I253)=0,"",-ROUND(N(资金日记账!$I253),2))))</f>
        <v/>
      </c>
      <c r="O260" s="0" t="str">
        <f aca="false">IF($G260=0,"",IF(IF(N(资金日记账!$H253)=0,"",ROUND(N(资金日记账!$H253),2))=0,"",IF(N(资金日记账!$H253)=0,"",ROUND(N(资金日记账!$H253),2))))</f>
        <v/>
      </c>
      <c r="P260" s="0" t="str">
        <f aca="false">IF($G260=0,"",IF(资金日记账!$L253=0,"",资金日记账!$L253))</f>
        <v/>
      </c>
      <c r="T260" s="0" t="str">
        <f aca="false">IF(资金日记账!$G260="","",资金日记账!$G260)</f>
        <v/>
      </c>
      <c r="U260" s="0" t="n">
        <f aca="false">IF(T260="",0,IF(MATCH(T260,$T$4:$T$903,0)=ROW()-3,1,0))</f>
        <v>0</v>
      </c>
      <c r="V260" s="0" t="n">
        <f aca="false">N(V259)+U260</f>
        <v>30</v>
      </c>
      <c r="Z260" s="0" t="str">
        <f aca="false">IF(成本费用登记表!$C260="","",成本费用登记表!$C260)</f>
        <v/>
      </c>
      <c r="AA260" s="0" t="n">
        <f aca="false">IF(Z260="",0,IF(MATCH(Z260,$Z$4:$Z$303,0)=ROW()-3,1,0))</f>
        <v>0</v>
      </c>
      <c r="AB260" s="0" t="n">
        <f aca="false">N(AB259)+AA260</f>
        <v>0</v>
      </c>
      <c r="AF260" s="0" t="str">
        <f aca="false">IF(OR(资金日记账!$E260="",N(资金日记账!$H260)=0),"",资金日记账!$E260)</f>
        <v/>
      </c>
      <c r="AG260" s="0" t="n">
        <f aca="false">IF(AF260="",0,IF(MATCH(AF260,$AF$4:$AF$603,0)=ROW()-3,1,0))</f>
        <v>0</v>
      </c>
      <c r="AH260" s="0" t="n">
        <f aca="false">N(AH259)+AG260</f>
        <v>5</v>
      </c>
    </row>
    <row r="261" customFormat="false" ht="13.5" hidden="false" customHeight="false" outlineLevel="0" collapsed="false">
      <c r="A261" s="0" t="str">
        <f aca="false">IF(((进销存对接!$D261="客户应收")+(进销存对接!$D261="成品销售款")+(进销存对接!$D261="公司购买果品款")+(进销存对接!$D261="筐子销售款")+(进销存对接!$D261="物料销售款"))&gt;0,进销存对接!$C261,"")</f>
        <v/>
      </c>
      <c r="B261" s="0" t="n">
        <f aca="false">IF(A261="",0,IF(MATCH(A261,$A$4:$A$1925,0)=ROW()-3,1,0))</f>
        <v>0</v>
      </c>
      <c r="C261" s="0" t="n">
        <f aca="false">N(C260)+B261</f>
        <v>6</v>
      </c>
      <c r="G261" s="0" t="n">
        <f aca="false">IF(OR($G$1="",资金日记账!$E254="",资金日记账!$E254&lt;&gt;$G$1),0,IF(NOT(OR(N(资金日记账!$H254)&lt;&gt;0,N(资金日记账!$I254)&lt;&gt;0)),0,IF(资金日记账!$B254="",1,IF(OR(N(资金日记账!$B254)&lt;$H$1,N(资金日记账!$B254)&gt;$I$1),0,1))))</f>
        <v>0</v>
      </c>
      <c r="H261" s="0" t="n">
        <f aca="false">N(H260)+$G261</f>
        <v>3</v>
      </c>
      <c r="I261" s="0" t="str">
        <f aca="false">IF($G261=0,"",IF(资金日记账!$B254=0,"",资金日记账!$B254))</f>
        <v/>
      </c>
      <c r="J261" s="0" t="str">
        <f aca="false">IF($G261=0,"",IF(资金日记账!$D254=0,"",资金日记账!$D254))</f>
        <v/>
      </c>
      <c r="K261" s="0" t="str">
        <f aca="false">IF($G261=0,"",IF(""=0,"",""))</f>
        <v/>
      </c>
      <c r="L261" s="0" t="str">
        <f aca="false">IF($G261=0,"",IF(""=0,"",""))</f>
        <v/>
      </c>
      <c r="M261" s="0" t="str">
        <f aca="false">IF($G261=0,"",IF(""=0,"",""))</f>
        <v/>
      </c>
      <c r="N261" s="0" t="str">
        <f aca="false">IF($G261=0,"",IF(IF(N(资金日记账!$I254)=0,"",-ROUND(N(资金日记账!$I254),2))=0,"",IF(N(资金日记账!$I254)=0,"",-ROUND(N(资金日记账!$I254),2))))</f>
        <v/>
      </c>
      <c r="O261" s="0" t="str">
        <f aca="false">IF($G261=0,"",IF(IF(N(资金日记账!$H254)=0,"",ROUND(N(资金日记账!$H254),2))=0,"",IF(N(资金日记账!$H254)=0,"",ROUND(N(资金日记账!$H254),2))))</f>
        <v/>
      </c>
      <c r="P261" s="0" t="str">
        <f aca="false">IF($G261=0,"",IF(资金日记账!$L254=0,"",资金日记账!$L254))</f>
        <v/>
      </c>
      <c r="T261" s="0" t="str">
        <f aca="false">IF(资金日记账!$G261="","",资金日记账!$G261)</f>
        <v/>
      </c>
      <c r="U261" s="0" t="n">
        <f aca="false">IF(T261="",0,IF(MATCH(T261,$T$4:$T$903,0)=ROW()-3,1,0))</f>
        <v>0</v>
      </c>
      <c r="V261" s="0" t="n">
        <f aca="false">N(V260)+U261</f>
        <v>30</v>
      </c>
      <c r="Z261" s="0" t="str">
        <f aca="false">IF(成本费用登记表!$C261="","",成本费用登记表!$C261)</f>
        <v/>
      </c>
      <c r="AA261" s="0" t="n">
        <f aca="false">IF(Z261="",0,IF(MATCH(Z261,$Z$4:$Z$303,0)=ROW()-3,1,0))</f>
        <v>0</v>
      </c>
      <c r="AB261" s="0" t="n">
        <f aca="false">N(AB260)+AA261</f>
        <v>0</v>
      </c>
      <c r="AF261" s="0" t="str">
        <f aca="false">IF(OR(资金日记账!$E261="",N(资金日记账!$H261)=0),"",资金日记账!$E261)</f>
        <v/>
      </c>
      <c r="AG261" s="0" t="n">
        <f aca="false">IF(AF261="",0,IF(MATCH(AF261,$AF$4:$AF$603,0)=ROW()-3,1,0))</f>
        <v>0</v>
      </c>
      <c r="AH261" s="0" t="n">
        <f aca="false">N(AH260)+AG261</f>
        <v>5</v>
      </c>
    </row>
    <row r="262" customFormat="false" ht="13.5" hidden="false" customHeight="false" outlineLevel="0" collapsed="false">
      <c r="A262" s="0" t="str">
        <f aca="false">IF(((进销存对接!$D262="客户应收")+(进销存对接!$D262="成品销售款")+(进销存对接!$D262="公司购买果品款")+(进销存对接!$D262="筐子销售款")+(进销存对接!$D262="物料销售款"))&gt;0,进销存对接!$C262,"")</f>
        <v/>
      </c>
      <c r="B262" s="0" t="n">
        <f aca="false">IF(A262="",0,IF(MATCH(A262,$A$4:$A$1925,0)=ROW()-3,1,0))</f>
        <v>0</v>
      </c>
      <c r="C262" s="0" t="n">
        <f aca="false">N(C261)+B262</f>
        <v>6</v>
      </c>
      <c r="G262" s="0" t="n">
        <f aca="false">IF(OR($G$1="",资金日记账!$E255="",资金日记账!$E255&lt;&gt;$G$1),0,IF(NOT(OR(N(资金日记账!$H255)&lt;&gt;0,N(资金日记账!$I255)&lt;&gt;0)),0,IF(资金日记账!$B255="",1,IF(OR(N(资金日记账!$B255)&lt;$H$1,N(资金日记账!$B255)&gt;$I$1),0,1))))</f>
        <v>0</v>
      </c>
      <c r="H262" s="0" t="n">
        <f aca="false">N(H261)+$G262</f>
        <v>3</v>
      </c>
      <c r="I262" s="0" t="str">
        <f aca="false">IF($G262=0,"",IF(资金日记账!$B255=0,"",资金日记账!$B255))</f>
        <v/>
      </c>
      <c r="J262" s="0" t="str">
        <f aca="false">IF($G262=0,"",IF(资金日记账!$D255=0,"",资金日记账!$D255))</f>
        <v/>
      </c>
      <c r="K262" s="0" t="str">
        <f aca="false">IF($G262=0,"",IF(""=0,"",""))</f>
        <v/>
      </c>
      <c r="L262" s="0" t="str">
        <f aca="false">IF($G262=0,"",IF(""=0,"",""))</f>
        <v/>
      </c>
      <c r="M262" s="0" t="str">
        <f aca="false">IF($G262=0,"",IF(""=0,"",""))</f>
        <v/>
      </c>
      <c r="N262" s="0" t="str">
        <f aca="false">IF($G262=0,"",IF(IF(N(资金日记账!$I255)=0,"",-ROUND(N(资金日记账!$I255),2))=0,"",IF(N(资金日记账!$I255)=0,"",-ROUND(N(资金日记账!$I255),2))))</f>
        <v/>
      </c>
      <c r="O262" s="0" t="str">
        <f aca="false">IF($G262=0,"",IF(IF(N(资金日记账!$H255)=0,"",ROUND(N(资金日记账!$H255),2))=0,"",IF(N(资金日记账!$H255)=0,"",ROUND(N(资金日记账!$H255),2))))</f>
        <v/>
      </c>
      <c r="P262" s="0" t="str">
        <f aca="false">IF($G262=0,"",IF(资金日记账!$L255=0,"",资金日记账!$L255))</f>
        <v/>
      </c>
      <c r="T262" s="0" t="str">
        <f aca="false">IF(资金日记账!$G262="","",资金日记账!$G262)</f>
        <v/>
      </c>
      <c r="U262" s="0" t="n">
        <f aca="false">IF(T262="",0,IF(MATCH(T262,$T$4:$T$903,0)=ROW()-3,1,0))</f>
        <v>0</v>
      </c>
      <c r="V262" s="0" t="n">
        <f aca="false">N(V261)+U262</f>
        <v>30</v>
      </c>
      <c r="Z262" s="0" t="str">
        <f aca="false">IF(成本费用登记表!$C262="","",成本费用登记表!$C262)</f>
        <v/>
      </c>
      <c r="AA262" s="0" t="n">
        <f aca="false">IF(Z262="",0,IF(MATCH(Z262,$Z$4:$Z$303,0)=ROW()-3,1,0))</f>
        <v>0</v>
      </c>
      <c r="AB262" s="0" t="n">
        <f aca="false">N(AB261)+AA262</f>
        <v>0</v>
      </c>
      <c r="AF262" s="0" t="str">
        <f aca="false">IF(OR(资金日记账!$E262="",N(资金日记账!$H262)=0),"",资金日记账!$E262)</f>
        <v/>
      </c>
      <c r="AG262" s="0" t="n">
        <f aca="false">IF(AF262="",0,IF(MATCH(AF262,$AF$4:$AF$603,0)=ROW()-3,1,0))</f>
        <v>0</v>
      </c>
      <c r="AH262" s="0" t="n">
        <f aca="false">N(AH261)+AG262</f>
        <v>5</v>
      </c>
    </row>
    <row r="263" customFormat="false" ht="13.5" hidden="false" customHeight="false" outlineLevel="0" collapsed="false">
      <c r="A263" s="0" t="str">
        <f aca="false">IF(((进销存对接!$D263="客户应收")+(进销存对接!$D263="成品销售款")+(进销存对接!$D263="公司购买果品款")+(进销存对接!$D263="筐子销售款")+(进销存对接!$D263="物料销售款"))&gt;0,进销存对接!$C263,"")</f>
        <v/>
      </c>
      <c r="B263" s="0" t="n">
        <f aca="false">IF(A263="",0,IF(MATCH(A263,$A$4:$A$1925,0)=ROW()-3,1,0))</f>
        <v>0</v>
      </c>
      <c r="C263" s="0" t="n">
        <f aca="false">N(C262)+B263</f>
        <v>6</v>
      </c>
      <c r="G263" s="0" t="n">
        <f aca="false">IF(OR($G$1="",资金日记账!$E256="",资金日记账!$E256&lt;&gt;$G$1),0,IF(NOT(OR(N(资金日记账!$H256)&lt;&gt;0,N(资金日记账!$I256)&lt;&gt;0)),0,IF(资金日记账!$B256="",1,IF(OR(N(资金日记账!$B256)&lt;$H$1,N(资金日记账!$B256)&gt;$I$1),0,1))))</f>
        <v>0</v>
      </c>
      <c r="H263" s="0" t="n">
        <f aca="false">N(H262)+$G263</f>
        <v>3</v>
      </c>
      <c r="I263" s="0" t="str">
        <f aca="false">IF($G263=0,"",IF(资金日记账!$B256=0,"",资金日记账!$B256))</f>
        <v/>
      </c>
      <c r="J263" s="0" t="str">
        <f aca="false">IF($G263=0,"",IF(资金日记账!$D256=0,"",资金日记账!$D256))</f>
        <v/>
      </c>
      <c r="K263" s="0" t="str">
        <f aca="false">IF($G263=0,"",IF(""=0,"",""))</f>
        <v/>
      </c>
      <c r="L263" s="0" t="str">
        <f aca="false">IF($G263=0,"",IF(""=0,"",""))</f>
        <v/>
      </c>
      <c r="M263" s="0" t="str">
        <f aca="false">IF($G263=0,"",IF(""=0,"",""))</f>
        <v/>
      </c>
      <c r="N263" s="0" t="str">
        <f aca="false">IF($G263=0,"",IF(IF(N(资金日记账!$I256)=0,"",-ROUND(N(资金日记账!$I256),2))=0,"",IF(N(资金日记账!$I256)=0,"",-ROUND(N(资金日记账!$I256),2))))</f>
        <v/>
      </c>
      <c r="O263" s="0" t="str">
        <f aca="false">IF($G263=0,"",IF(IF(N(资金日记账!$H256)=0,"",ROUND(N(资金日记账!$H256),2))=0,"",IF(N(资金日记账!$H256)=0,"",ROUND(N(资金日记账!$H256),2))))</f>
        <v/>
      </c>
      <c r="P263" s="0" t="str">
        <f aca="false">IF($G263=0,"",IF(资金日记账!$L256=0,"",资金日记账!$L256))</f>
        <v/>
      </c>
      <c r="T263" s="0" t="str">
        <f aca="false">IF(资金日记账!$G263="","",资金日记账!$G263)</f>
        <v/>
      </c>
      <c r="U263" s="0" t="n">
        <f aca="false">IF(T263="",0,IF(MATCH(T263,$T$4:$T$903,0)=ROW()-3,1,0))</f>
        <v>0</v>
      </c>
      <c r="V263" s="0" t="n">
        <f aca="false">N(V262)+U263</f>
        <v>30</v>
      </c>
      <c r="Z263" s="0" t="str">
        <f aca="false">IF(成本费用登记表!$C263="","",成本费用登记表!$C263)</f>
        <v/>
      </c>
      <c r="AA263" s="0" t="n">
        <f aca="false">IF(Z263="",0,IF(MATCH(Z263,$Z$4:$Z$303,0)=ROW()-3,1,0))</f>
        <v>0</v>
      </c>
      <c r="AB263" s="0" t="n">
        <f aca="false">N(AB262)+AA263</f>
        <v>0</v>
      </c>
      <c r="AF263" s="0" t="str">
        <f aca="false">IF(OR(资金日记账!$E263="",N(资金日记账!$H263)=0),"",资金日记账!$E263)</f>
        <v/>
      </c>
      <c r="AG263" s="0" t="n">
        <f aca="false">IF(AF263="",0,IF(MATCH(AF263,$AF$4:$AF$603,0)=ROW()-3,1,0))</f>
        <v>0</v>
      </c>
      <c r="AH263" s="0" t="n">
        <f aca="false">N(AH262)+AG263</f>
        <v>5</v>
      </c>
    </row>
    <row r="264" customFormat="false" ht="13.5" hidden="false" customHeight="false" outlineLevel="0" collapsed="false">
      <c r="A264" s="0" t="str">
        <f aca="false">IF(((进销存对接!$D264="客户应收")+(进销存对接!$D264="成品销售款")+(进销存对接!$D264="公司购买果品款")+(进销存对接!$D264="筐子销售款")+(进销存对接!$D264="物料销售款"))&gt;0,进销存对接!$C264,"")</f>
        <v/>
      </c>
      <c r="B264" s="0" t="n">
        <f aca="false">IF(A264="",0,IF(MATCH(A264,$A$4:$A$1925,0)=ROW()-3,1,0))</f>
        <v>0</v>
      </c>
      <c r="C264" s="0" t="n">
        <f aca="false">N(C263)+B264</f>
        <v>6</v>
      </c>
      <c r="G264" s="0" t="n">
        <f aca="false">IF(OR($G$1="",资金日记账!$E257="",资金日记账!$E257&lt;&gt;$G$1),0,IF(NOT(OR(N(资金日记账!$H257)&lt;&gt;0,N(资金日记账!$I257)&lt;&gt;0)),0,IF(资金日记账!$B257="",1,IF(OR(N(资金日记账!$B257)&lt;$H$1,N(资金日记账!$B257)&gt;$I$1),0,1))))</f>
        <v>0</v>
      </c>
      <c r="H264" s="0" t="n">
        <f aca="false">N(H263)+$G264</f>
        <v>3</v>
      </c>
      <c r="I264" s="0" t="str">
        <f aca="false">IF($G264=0,"",IF(资金日记账!$B257=0,"",资金日记账!$B257))</f>
        <v/>
      </c>
      <c r="J264" s="0" t="str">
        <f aca="false">IF($G264=0,"",IF(资金日记账!$D257=0,"",资金日记账!$D257))</f>
        <v/>
      </c>
      <c r="K264" s="0" t="str">
        <f aca="false">IF($G264=0,"",IF(""=0,"",""))</f>
        <v/>
      </c>
      <c r="L264" s="0" t="str">
        <f aca="false">IF($G264=0,"",IF(""=0,"",""))</f>
        <v/>
      </c>
      <c r="M264" s="0" t="str">
        <f aca="false">IF($G264=0,"",IF(""=0,"",""))</f>
        <v/>
      </c>
      <c r="N264" s="0" t="str">
        <f aca="false">IF($G264=0,"",IF(IF(N(资金日记账!$I257)=0,"",-ROUND(N(资金日记账!$I257),2))=0,"",IF(N(资金日记账!$I257)=0,"",-ROUND(N(资金日记账!$I257),2))))</f>
        <v/>
      </c>
      <c r="O264" s="0" t="str">
        <f aca="false">IF($G264=0,"",IF(IF(N(资金日记账!$H257)=0,"",ROUND(N(资金日记账!$H257),2))=0,"",IF(N(资金日记账!$H257)=0,"",ROUND(N(资金日记账!$H257),2))))</f>
        <v/>
      </c>
      <c r="P264" s="0" t="str">
        <f aca="false">IF($G264=0,"",IF(资金日记账!$L257=0,"",资金日记账!$L257))</f>
        <v/>
      </c>
      <c r="T264" s="0" t="str">
        <f aca="false">IF(资金日记账!$G264="","",资金日记账!$G264)</f>
        <v/>
      </c>
      <c r="U264" s="0" t="n">
        <f aca="false">IF(T264="",0,IF(MATCH(T264,$T$4:$T$903,0)=ROW()-3,1,0))</f>
        <v>0</v>
      </c>
      <c r="V264" s="0" t="n">
        <f aca="false">N(V263)+U264</f>
        <v>30</v>
      </c>
      <c r="Z264" s="0" t="str">
        <f aca="false">IF(成本费用登记表!$C264="","",成本费用登记表!$C264)</f>
        <v/>
      </c>
      <c r="AA264" s="0" t="n">
        <f aca="false">IF(Z264="",0,IF(MATCH(Z264,$Z$4:$Z$303,0)=ROW()-3,1,0))</f>
        <v>0</v>
      </c>
      <c r="AB264" s="0" t="n">
        <f aca="false">N(AB263)+AA264</f>
        <v>0</v>
      </c>
      <c r="AF264" s="0" t="str">
        <f aca="false">IF(OR(资金日记账!$E264="",N(资金日记账!$H264)=0),"",资金日记账!$E264)</f>
        <v/>
      </c>
      <c r="AG264" s="0" t="n">
        <f aca="false">IF(AF264="",0,IF(MATCH(AF264,$AF$4:$AF$603,0)=ROW()-3,1,0))</f>
        <v>0</v>
      </c>
      <c r="AH264" s="0" t="n">
        <f aca="false">N(AH263)+AG264</f>
        <v>5</v>
      </c>
    </row>
    <row r="265" customFormat="false" ht="13.5" hidden="false" customHeight="false" outlineLevel="0" collapsed="false">
      <c r="A265" s="0" t="str">
        <f aca="false">IF(((进销存对接!$D265="客户应收")+(进销存对接!$D265="成品销售款")+(进销存对接!$D265="公司购买果品款")+(进销存对接!$D265="筐子销售款")+(进销存对接!$D265="物料销售款"))&gt;0,进销存对接!$C265,"")</f>
        <v/>
      </c>
      <c r="B265" s="0" t="n">
        <f aca="false">IF(A265="",0,IF(MATCH(A265,$A$4:$A$1925,0)=ROW()-3,1,0))</f>
        <v>0</v>
      </c>
      <c r="C265" s="0" t="n">
        <f aca="false">N(C264)+B265</f>
        <v>6</v>
      </c>
      <c r="G265" s="0" t="n">
        <f aca="false">IF(OR($G$1="",资金日记账!$E258="",资金日记账!$E258&lt;&gt;$G$1),0,IF(NOT(OR(N(资金日记账!$H258)&lt;&gt;0,N(资金日记账!$I258)&lt;&gt;0)),0,IF(资金日记账!$B258="",1,IF(OR(N(资金日记账!$B258)&lt;$H$1,N(资金日记账!$B258)&gt;$I$1),0,1))))</f>
        <v>0</v>
      </c>
      <c r="H265" s="0" t="n">
        <f aca="false">N(H264)+$G265</f>
        <v>3</v>
      </c>
      <c r="I265" s="0" t="str">
        <f aca="false">IF($G265=0,"",IF(资金日记账!$B258=0,"",资金日记账!$B258))</f>
        <v/>
      </c>
      <c r="J265" s="0" t="str">
        <f aca="false">IF($G265=0,"",IF(资金日记账!$D258=0,"",资金日记账!$D258))</f>
        <v/>
      </c>
      <c r="K265" s="0" t="str">
        <f aca="false">IF($G265=0,"",IF(""=0,"",""))</f>
        <v/>
      </c>
      <c r="L265" s="0" t="str">
        <f aca="false">IF($G265=0,"",IF(""=0,"",""))</f>
        <v/>
      </c>
      <c r="M265" s="0" t="str">
        <f aca="false">IF($G265=0,"",IF(""=0,"",""))</f>
        <v/>
      </c>
      <c r="N265" s="0" t="str">
        <f aca="false">IF($G265=0,"",IF(IF(N(资金日记账!$I258)=0,"",-ROUND(N(资金日记账!$I258),2))=0,"",IF(N(资金日记账!$I258)=0,"",-ROUND(N(资金日记账!$I258),2))))</f>
        <v/>
      </c>
      <c r="O265" s="0" t="str">
        <f aca="false">IF($G265=0,"",IF(IF(N(资金日记账!$H258)=0,"",ROUND(N(资金日记账!$H258),2))=0,"",IF(N(资金日记账!$H258)=0,"",ROUND(N(资金日记账!$H258),2))))</f>
        <v/>
      </c>
      <c r="P265" s="0" t="str">
        <f aca="false">IF($G265=0,"",IF(资金日记账!$L258=0,"",资金日记账!$L258))</f>
        <v/>
      </c>
      <c r="T265" s="0" t="str">
        <f aca="false">IF(资金日记账!$G265="","",资金日记账!$G265)</f>
        <v/>
      </c>
      <c r="U265" s="0" t="n">
        <f aca="false">IF(T265="",0,IF(MATCH(T265,$T$4:$T$903,0)=ROW()-3,1,0))</f>
        <v>0</v>
      </c>
      <c r="V265" s="0" t="n">
        <f aca="false">N(V264)+U265</f>
        <v>30</v>
      </c>
      <c r="Z265" s="0" t="str">
        <f aca="false">IF(成本费用登记表!$C265="","",成本费用登记表!$C265)</f>
        <v/>
      </c>
      <c r="AA265" s="0" t="n">
        <f aca="false">IF(Z265="",0,IF(MATCH(Z265,$Z$4:$Z$303,0)=ROW()-3,1,0))</f>
        <v>0</v>
      </c>
      <c r="AB265" s="0" t="n">
        <f aca="false">N(AB264)+AA265</f>
        <v>0</v>
      </c>
      <c r="AF265" s="0" t="str">
        <f aca="false">IF(OR(资金日记账!$E265="",N(资金日记账!$H265)=0),"",资金日记账!$E265)</f>
        <v/>
      </c>
      <c r="AG265" s="0" t="n">
        <f aca="false">IF(AF265="",0,IF(MATCH(AF265,$AF$4:$AF$603,0)=ROW()-3,1,0))</f>
        <v>0</v>
      </c>
      <c r="AH265" s="0" t="n">
        <f aca="false">N(AH264)+AG265</f>
        <v>5</v>
      </c>
    </row>
    <row r="266" customFormat="false" ht="13.5" hidden="false" customHeight="false" outlineLevel="0" collapsed="false">
      <c r="A266" s="0" t="str">
        <f aca="false">IF(((进销存对接!$D266="客户应收")+(进销存对接!$D266="成品销售款")+(进销存对接!$D266="公司购买果品款")+(进销存对接!$D266="筐子销售款")+(进销存对接!$D266="物料销售款"))&gt;0,进销存对接!$C266,"")</f>
        <v/>
      </c>
      <c r="B266" s="0" t="n">
        <f aca="false">IF(A266="",0,IF(MATCH(A266,$A$4:$A$1925,0)=ROW()-3,1,0))</f>
        <v>0</v>
      </c>
      <c r="C266" s="0" t="n">
        <f aca="false">N(C265)+B266</f>
        <v>6</v>
      </c>
      <c r="G266" s="0" t="n">
        <f aca="false">IF(OR($G$1="",资金日记账!$E259="",资金日记账!$E259&lt;&gt;$G$1),0,IF(NOT(OR(N(资金日记账!$H259)&lt;&gt;0,N(资金日记账!$I259)&lt;&gt;0)),0,IF(资金日记账!$B259="",1,IF(OR(N(资金日记账!$B259)&lt;$H$1,N(资金日记账!$B259)&gt;$I$1),0,1))))</f>
        <v>0</v>
      </c>
      <c r="H266" s="0" t="n">
        <f aca="false">N(H265)+$G266</f>
        <v>3</v>
      </c>
      <c r="I266" s="0" t="str">
        <f aca="false">IF($G266=0,"",IF(资金日记账!$B259=0,"",资金日记账!$B259))</f>
        <v/>
      </c>
      <c r="J266" s="0" t="str">
        <f aca="false">IF($G266=0,"",IF(资金日记账!$D259=0,"",资金日记账!$D259))</f>
        <v/>
      </c>
      <c r="K266" s="0" t="str">
        <f aca="false">IF($G266=0,"",IF(""=0,"",""))</f>
        <v/>
      </c>
      <c r="L266" s="0" t="str">
        <f aca="false">IF($G266=0,"",IF(""=0,"",""))</f>
        <v/>
      </c>
      <c r="M266" s="0" t="str">
        <f aca="false">IF($G266=0,"",IF(""=0,"",""))</f>
        <v/>
      </c>
      <c r="N266" s="0" t="str">
        <f aca="false">IF($G266=0,"",IF(IF(N(资金日记账!$I259)=0,"",-ROUND(N(资金日记账!$I259),2))=0,"",IF(N(资金日记账!$I259)=0,"",-ROUND(N(资金日记账!$I259),2))))</f>
        <v/>
      </c>
      <c r="O266" s="0" t="str">
        <f aca="false">IF($G266=0,"",IF(IF(N(资金日记账!$H259)=0,"",ROUND(N(资金日记账!$H259),2))=0,"",IF(N(资金日记账!$H259)=0,"",ROUND(N(资金日记账!$H259),2))))</f>
        <v/>
      </c>
      <c r="P266" s="0" t="str">
        <f aca="false">IF($G266=0,"",IF(资金日记账!$L259=0,"",资金日记账!$L259))</f>
        <v/>
      </c>
      <c r="T266" s="0" t="str">
        <f aca="false">IF(资金日记账!$G266="","",资金日记账!$G266)</f>
        <v/>
      </c>
      <c r="U266" s="0" t="n">
        <f aca="false">IF(T266="",0,IF(MATCH(T266,$T$4:$T$903,0)=ROW()-3,1,0))</f>
        <v>0</v>
      </c>
      <c r="V266" s="0" t="n">
        <f aca="false">N(V265)+U266</f>
        <v>30</v>
      </c>
      <c r="Z266" s="0" t="str">
        <f aca="false">IF(成本费用登记表!$C266="","",成本费用登记表!$C266)</f>
        <v/>
      </c>
      <c r="AA266" s="0" t="n">
        <f aca="false">IF(Z266="",0,IF(MATCH(Z266,$Z$4:$Z$303,0)=ROW()-3,1,0))</f>
        <v>0</v>
      </c>
      <c r="AB266" s="0" t="n">
        <f aca="false">N(AB265)+AA266</f>
        <v>0</v>
      </c>
      <c r="AF266" s="0" t="str">
        <f aca="false">IF(OR(资金日记账!$E266="",N(资金日记账!$H266)=0),"",资金日记账!$E266)</f>
        <v/>
      </c>
      <c r="AG266" s="0" t="n">
        <f aca="false">IF(AF266="",0,IF(MATCH(AF266,$AF$4:$AF$603,0)=ROW()-3,1,0))</f>
        <v>0</v>
      </c>
      <c r="AH266" s="0" t="n">
        <f aca="false">N(AH265)+AG266</f>
        <v>5</v>
      </c>
    </row>
    <row r="267" customFormat="false" ht="13.5" hidden="false" customHeight="false" outlineLevel="0" collapsed="false">
      <c r="A267" s="0" t="str">
        <f aca="false">IF(((进销存对接!$D267="客户应收")+(进销存对接!$D267="成品销售款")+(进销存对接!$D267="公司购买果品款")+(进销存对接!$D267="筐子销售款")+(进销存对接!$D267="物料销售款"))&gt;0,进销存对接!$C267,"")</f>
        <v/>
      </c>
      <c r="B267" s="0" t="n">
        <f aca="false">IF(A267="",0,IF(MATCH(A267,$A$4:$A$1925,0)=ROW()-3,1,0))</f>
        <v>0</v>
      </c>
      <c r="C267" s="0" t="n">
        <f aca="false">N(C266)+B267</f>
        <v>6</v>
      </c>
      <c r="G267" s="0" t="n">
        <f aca="false">IF(OR($G$1="",资金日记账!$E260="",资金日记账!$E260&lt;&gt;$G$1),0,IF(NOT(OR(N(资金日记账!$H260)&lt;&gt;0,N(资金日记账!$I260)&lt;&gt;0)),0,IF(资金日记账!$B260="",1,IF(OR(N(资金日记账!$B260)&lt;$H$1,N(资金日记账!$B260)&gt;$I$1),0,1))))</f>
        <v>0</v>
      </c>
      <c r="H267" s="0" t="n">
        <f aca="false">N(H266)+$G267</f>
        <v>3</v>
      </c>
      <c r="I267" s="0" t="str">
        <f aca="false">IF($G267=0,"",IF(资金日记账!$B260=0,"",资金日记账!$B260))</f>
        <v/>
      </c>
      <c r="J267" s="0" t="str">
        <f aca="false">IF($G267=0,"",IF(资金日记账!$D260=0,"",资金日记账!$D260))</f>
        <v/>
      </c>
      <c r="K267" s="0" t="str">
        <f aca="false">IF($G267=0,"",IF(""=0,"",""))</f>
        <v/>
      </c>
      <c r="L267" s="0" t="str">
        <f aca="false">IF($G267=0,"",IF(""=0,"",""))</f>
        <v/>
      </c>
      <c r="M267" s="0" t="str">
        <f aca="false">IF($G267=0,"",IF(""=0,"",""))</f>
        <v/>
      </c>
      <c r="N267" s="0" t="str">
        <f aca="false">IF($G267=0,"",IF(IF(N(资金日记账!$I260)=0,"",-ROUND(N(资金日记账!$I260),2))=0,"",IF(N(资金日记账!$I260)=0,"",-ROUND(N(资金日记账!$I260),2))))</f>
        <v/>
      </c>
      <c r="O267" s="0" t="str">
        <f aca="false">IF($G267=0,"",IF(IF(N(资金日记账!$H260)=0,"",ROUND(N(资金日记账!$H260),2))=0,"",IF(N(资金日记账!$H260)=0,"",ROUND(N(资金日记账!$H260),2))))</f>
        <v/>
      </c>
      <c r="P267" s="0" t="str">
        <f aca="false">IF($G267=0,"",IF(资金日记账!$L260=0,"",资金日记账!$L260))</f>
        <v/>
      </c>
      <c r="T267" s="0" t="str">
        <f aca="false">IF(资金日记账!$G267="","",资金日记账!$G267)</f>
        <v/>
      </c>
      <c r="U267" s="0" t="n">
        <f aca="false">IF(T267="",0,IF(MATCH(T267,$T$4:$T$903,0)=ROW()-3,1,0))</f>
        <v>0</v>
      </c>
      <c r="V267" s="0" t="n">
        <f aca="false">N(V266)+U267</f>
        <v>30</v>
      </c>
      <c r="Z267" s="0" t="str">
        <f aca="false">IF(成本费用登记表!$C267="","",成本费用登记表!$C267)</f>
        <v/>
      </c>
      <c r="AA267" s="0" t="n">
        <f aca="false">IF(Z267="",0,IF(MATCH(Z267,$Z$4:$Z$303,0)=ROW()-3,1,0))</f>
        <v>0</v>
      </c>
      <c r="AB267" s="0" t="n">
        <f aca="false">N(AB266)+AA267</f>
        <v>0</v>
      </c>
      <c r="AF267" s="0" t="str">
        <f aca="false">IF(OR(资金日记账!$E267="",N(资金日记账!$H267)=0),"",资金日记账!$E267)</f>
        <v/>
      </c>
      <c r="AG267" s="0" t="n">
        <f aca="false">IF(AF267="",0,IF(MATCH(AF267,$AF$4:$AF$603,0)=ROW()-3,1,0))</f>
        <v>0</v>
      </c>
      <c r="AH267" s="0" t="n">
        <f aca="false">N(AH266)+AG267</f>
        <v>5</v>
      </c>
    </row>
    <row r="268" customFormat="false" ht="13.5" hidden="false" customHeight="false" outlineLevel="0" collapsed="false">
      <c r="A268" s="0" t="str">
        <f aca="false">IF(((进销存对接!$D268="客户应收")+(进销存对接!$D268="成品销售款")+(进销存对接!$D268="公司购买果品款")+(进销存对接!$D268="筐子销售款")+(进销存对接!$D268="物料销售款"))&gt;0,进销存对接!$C268,"")</f>
        <v/>
      </c>
      <c r="B268" s="0" t="n">
        <f aca="false">IF(A268="",0,IF(MATCH(A268,$A$4:$A$1925,0)=ROW()-3,1,0))</f>
        <v>0</v>
      </c>
      <c r="C268" s="0" t="n">
        <f aca="false">N(C267)+B268</f>
        <v>6</v>
      </c>
      <c r="G268" s="0" t="n">
        <f aca="false">IF(OR($G$1="",资金日记账!$E261="",资金日记账!$E261&lt;&gt;$G$1),0,IF(NOT(OR(N(资金日记账!$H261)&lt;&gt;0,N(资金日记账!$I261)&lt;&gt;0)),0,IF(资金日记账!$B261="",1,IF(OR(N(资金日记账!$B261)&lt;$H$1,N(资金日记账!$B261)&gt;$I$1),0,1))))</f>
        <v>0</v>
      </c>
      <c r="H268" s="0" t="n">
        <f aca="false">N(H267)+$G268</f>
        <v>3</v>
      </c>
      <c r="I268" s="0" t="str">
        <f aca="false">IF($G268=0,"",IF(资金日记账!$B261=0,"",资金日记账!$B261))</f>
        <v/>
      </c>
      <c r="J268" s="0" t="str">
        <f aca="false">IF($G268=0,"",IF(资金日记账!$D261=0,"",资金日记账!$D261))</f>
        <v/>
      </c>
      <c r="K268" s="0" t="str">
        <f aca="false">IF($G268=0,"",IF(""=0,"",""))</f>
        <v/>
      </c>
      <c r="L268" s="0" t="str">
        <f aca="false">IF($G268=0,"",IF(""=0,"",""))</f>
        <v/>
      </c>
      <c r="M268" s="0" t="str">
        <f aca="false">IF($G268=0,"",IF(""=0,"",""))</f>
        <v/>
      </c>
      <c r="N268" s="0" t="str">
        <f aca="false">IF($G268=0,"",IF(IF(N(资金日记账!$I261)=0,"",-ROUND(N(资金日记账!$I261),2))=0,"",IF(N(资金日记账!$I261)=0,"",-ROUND(N(资金日记账!$I261),2))))</f>
        <v/>
      </c>
      <c r="O268" s="0" t="str">
        <f aca="false">IF($G268=0,"",IF(IF(N(资金日记账!$H261)=0,"",ROUND(N(资金日记账!$H261),2))=0,"",IF(N(资金日记账!$H261)=0,"",ROUND(N(资金日记账!$H261),2))))</f>
        <v/>
      </c>
      <c r="P268" s="0" t="str">
        <f aca="false">IF($G268=0,"",IF(资金日记账!$L261=0,"",资金日记账!$L261))</f>
        <v/>
      </c>
      <c r="T268" s="0" t="str">
        <f aca="false">IF(资金日记账!$G268="","",资金日记账!$G268)</f>
        <v/>
      </c>
      <c r="U268" s="0" t="n">
        <f aca="false">IF(T268="",0,IF(MATCH(T268,$T$4:$T$903,0)=ROW()-3,1,0))</f>
        <v>0</v>
      </c>
      <c r="V268" s="0" t="n">
        <f aca="false">N(V267)+U268</f>
        <v>30</v>
      </c>
      <c r="Z268" s="0" t="str">
        <f aca="false">IF(成本费用登记表!$C268="","",成本费用登记表!$C268)</f>
        <v/>
      </c>
      <c r="AA268" s="0" t="n">
        <f aca="false">IF(Z268="",0,IF(MATCH(Z268,$Z$4:$Z$303,0)=ROW()-3,1,0))</f>
        <v>0</v>
      </c>
      <c r="AB268" s="0" t="n">
        <f aca="false">N(AB267)+AA268</f>
        <v>0</v>
      </c>
      <c r="AF268" s="0" t="str">
        <f aca="false">IF(OR(资金日记账!$E268="",N(资金日记账!$H268)=0),"",资金日记账!$E268)</f>
        <v/>
      </c>
      <c r="AG268" s="0" t="n">
        <f aca="false">IF(AF268="",0,IF(MATCH(AF268,$AF$4:$AF$603,0)=ROW()-3,1,0))</f>
        <v>0</v>
      </c>
      <c r="AH268" s="0" t="n">
        <f aca="false">N(AH267)+AG268</f>
        <v>5</v>
      </c>
    </row>
    <row r="269" customFormat="false" ht="13.5" hidden="false" customHeight="false" outlineLevel="0" collapsed="false">
      <c r="A269" s="0" t="str">
        <f aca="false">IF(((进销存对接!$D269="客户应收")+(进销存对接!$D269="成品销售款")+(进销存对接!$D269="公司购买果品款")+(进销存对接!$D269="筐子销售款")+(进销存对接!$D269="物料销售款"))&gt;0,进销存对接!$C269,"")</f>
        <v/>
      </c>
      <c r="B269" s="0" t="n">
        <f aca="false">IF(A269="",0,IF(MATCH(A269,$A$4:$A$1925,0)=ROW()-3,1,0))</f>
        <v>0</v>
      </c>
      <c r="C269" s="0" t="n">
        <f aca="false">N(C268)+B269</f>
        <v>6</v>
      </c>
      <c r="G269" s="0" t="n">
        <f aca="false">IF(OR($G$1="",资金日记账!$E262="",资金日记账!$E262&lt;&gt;$G$1),0,IF(NOT(OR(N(资金日记账!$H262)&lt;&gt;0,N(资金日记账!$I262)&lt;&gt;0)),0,IF(资金日记账!$B262="",1,IF(OR(N(资金日记账!$B262)&lt;$H$1,N(资金日记账!$B262)&gt;$I$1),0,1))))</f>
        <v>0</v>
      </c>
      <c r="H269" s="0" t="n">
        <f aca="false">N(H268)+$G269</f>
        <v>3</v>
      </c>
      <c r="I269" s="0" t="str">
        <f aca="false">IF($G269=0,"",IF(资金日记账!$B262=0,"",资金日记账!$B262))</f>
        <v/>
      </c>
      <c r="J269" s="0" t="str">
        <f aca="false">IF($G269=0,"",IF(资金日记账!$D262=0,"",资金日记账!$D262))</f>
        <v/>
      </c>
      <c r="K269" s="0" t="str">
        <f aca="false">IF($G269=0,"",IF(""=0,"",""))</f>
        <v/>
      </c>
      <c r="L269" s="0" t="str">
        <f aca="false">IF($G269=0,"",IF(""=0,"",""))</f>
        <v/>
      </c>
      <c r="M269" s="0" t="str">
        <f aca="false">IF($G269=0,"",IF(""=0,"",""))</f>
        <v/>
      </c>
      <c r="N269" s="0" t="str">
        <f aca="false">IF($G269=0,"",IF(IF(N(资金日记账!$I262)=0,"",-ROUND(N(资金日记账!$I262),2))=0,"",IF(N(资金日记账!$I262)=0,"",-ROUND(N(资金日记账!$I262),2))))</f>
        <v/>
      </c>
      <c r="O269" s="0" t="str">
        <f aca="false">IF($G269=0,"",IF(IF(N(资金日记账!$H262)=0,"",ROUND(N(资金日记账!$H262),2))=0,"",IF(N(资金日记账!$H262)=0,"",ROUND(N(资金日记账!$H262),2))))</f>
        <v/>
      </c>
      <c r="P269" s="0" t="str">
        <f aca="false">IF($G269=0,"",IF(资金日记账!$L262=0,"",资金日记账!$L262))</f>
        <v/>
      </c>
      <c r="T269" s="0" t="str">
        <f aca="false">IF(资金日记账!$G269="","",资金日记账!$G269)</f>
        <v/>
      </c>
      <c r="U269" s="0" t="n">
        <f aca="false">IF(T269="",0,IF(MATCH(T269,$T$4:$T$903,0)=ROW()-3,1,0))</f>
        <v>0</v>
      </c>
      <c r="V269" s="0" t="n">
        <f aca="false">N(V268)+U269</f>
        <v>30</v>
      </c>
      <c r="Z269" s="0" t="str">
        <f aca="false">IF(成本费用登记表!$C269="","",成本费用登记表!$C269)</f>
        <v/>
      </c>
      <c r="AA269" s="0" t="n">
        <f aca="false">IF(Z269="",0,IF(MATCH(Z269,$Z$4:$Z$303,0)=ROW()-3,1,0))</f>
        <v>0</v>
      </c>
      <c r="AB269" s="0" t="n">
        <f aca="false">N(AB268)+AA269</f>
        <v>0</v>
      </c>
      <c r="AF269" s="0" t="str">
        <f aca="false">IF(OR(资金日记账!$E269="",N(资金日记账!$H269)=0),"",资金日记账!$E269)</f>
        <v/>
      </c>
      <c r="AG269" s="0" t="n">
        <f aca="false">IF(AF269="",0,IF(MATCH(AF269,$AF$4:$AF$603,0)=ROW()-3,1,0))</f>
        <v>0</v>
      </c>
      <c r="AH269" s="0" t="n">
        <f aca="false">N(AH268)+AG269</f>
        <v>5</v>
      </c>
    </row>
    <row r="270" customFormat="false" ht="13.5" hidden="false" customHeight="false" outlineLevel="0" collapsed="false">
      <c r="A270" s="0" t="str">
        <f aca="false">IF(((进销存对接!$D270="客户应收")+(进销存对接!$D270="成品销售款")+(进销存对接!$D270="公司购买果品款")+(进销存对接!$D270="筐子销售款")+(进销存对接!$D270="物料销售款"))&gt;0,进销存对接!$C270,"")</f>
        <v/>
      </c>
      <c r="B270" s="0" t="n">
        <f aca="false">IF(A270="",0,IF(MATCH(A270,$A$4:$A$1925,0)=ROW()-3,1,0))</f>
        <v>0</v>
      </c>
      <c r="C270" s="0" t="n">
        <f aca="false">N(C269)+B270</f>
        <v>6</v>
      </c>
      <c r="G270" s="0" t="n">
        <f aca="false">IF(OR($G$1="",资金日记账!$E263="",资金日记账!$E263&lt;&gt;$G$1),0,IF(NOT(OR(N(资金日记账!$H263)&lt;&gt;0,N(资金日记账!$I263)&lt;&gt;0)),0,IF(资金日记账!$B263="",1,IF(OR(N(资金日记账!$B263)&lt;$H$1,N(资金日记账!$B263)&gt;$I$1),0,1))))</f>
        <v>0</v>
      </c>
      <c r="H270" s="0" t="n">
        <f aca="false">N(H269)+$G270</f>
        <v>3</v>
      </c>
      <c r="I270" s="0" t="str">
        <f aca="false">IF($G270=0,"",IF(资金日记账!$B263=0,"",资金日记账!$B263))</f>
        <v/>
      </c>
      <c r="J270" s="0" t="str">
        <f aca="false">IF($G270=0,"",IF(资金日记账!$D263=0,"",资金日记账!$D263))</f>
        <v/>
      </c>
      <c r="K270" s="0" t="str">
        <f aca="false">IF($G270=0,"",IF(""=0,"",""))</f>
        <v/>
      </c>
      <c r="L270" s="0" t="str">
        <f aca="false">IF($G270=0,"",IF(""=0,"",""))</f>
        <v/>
      </c>
      <c r="M270" s="0" t="str">
        <f aca="false">IF($G270=0,"",IF(""=0,"",""))</f>
        <v/>
      </c>
      <c r="N270" s="0" t="str">
        <f aca="false">IF($G270=0,"",IF(IF(N(资金日记账!$I263)=0,"",-ROUND(N(资金日记账!$I263),2))=0,"",IF(N(资金日记账!$I263)=0,"",-ROUND(N(资金日记账!$I263),2))))</f>
        <v/>
      </c>
      <c r="O270" s="0" t="str">
        <f aca="false">IF($G270=0,"",IF(IF(N(资金日记账!$H263)=0,"",ROUND(N(资金日记账!$H263),2))=0,"",IF(N(资金日记账!$H263)=0,"",ROUND(N(资金日记账!$H263),2))))</f>
        <v/>
      </c>
      <c r="P270" s="0" t="str">
        <f aca="false">IF($G270=0,"",IF(资金日记账!$L263=0,"",资金日记账!$L263))</f>
        <v/>
      </c>
      <c r="T270" s="0" t="str">
        <f aca="false">IF(资金日记账!$G270="","",资金日记账!$G270)</f>
        <v/>
      </c>
      <c r="U270" s="0" t="n">
        <f aca="false">IF(T270="",0,IF(MATCH(T270,$T$4:$T$903,0)=ROW()-3,1,0))</f>
        <v>0</v>
      </c>
      <c r="V270" s="0" t="n">
        <f aca="false">N(V269)+U270</f>
        <v>30</v>
      </c>
      <c r="Z270" s="0" t="str">
        <f aca="false">IF(成本费用登记表!$C270="","",成本费用登记表!$C270)</f>
        <v/>
      </c>
      <c r="AA270" s="0" t="n">
        <f aca="false">IF(Z270="",0,IF(MATCH(Z270,$Z$4:$Z$303,0)=ROW()-3,1,0))</f>
        <v>0</v>
      </c>
      <c r="AB270" s="0" t="n">
        <f aca="false">N(AB269)+AA270</f>
        <v>0</v>
      </c>
      <c r="AF270" s="0" t="str">
        <f aca="false">IF(OR(资金日记账!$E270="",N(资金日记账!$H270)=0),"",资金日记账!$E270)</f>
        <v/>
      </c>
      <c r="AG270" s="0" t="n">
        <f aca="false">IF(AF270="",0,IF(MATCH(AF270,$AF$4:$AF$603,0)=ROW()-3,1,0))</f>
        <v>0</v>
      </c>
      <c r="AH270" s="0" t="n">
        <f aca="false">N(AH269)+AG270</f>
        <v>5</v>
      </c>
    </row>
    <row r="271" customFormat="false" ht="13.5" hidden="false" customHeight="false" outlineLevel="0" collapsed="false">
      <c r="A271" s="0" t="str">
        <f aca="false">IF(((进销存对接!$D271="客户应收")+(进销存对接!$D271="成品销售款")+(进销存对接!$D271="公司购买果品款")+(进销存对接!$D271="筐子销售款")+(进销存对接!$D271="物料销售款"))&gt;0,进销存对接!$C271,"")</f>
        <v/>
      </c>
      <c r="B271" s="0" t="n">
        <f aca="false">IF(A271="",0,IF(MATCH(A271,$A$4:$A$1925,0)=ROW()-3,1,0))</f>
        <v>0</v>
      </c>
      <c r="C271" s="0" t="n">
        <f aca="false">N(C270)+B271</f>
        <v>6</v>
      </c>
      <c r="G271" s="0" t="n">
        <f aca="false">IF(OR($G$1="",资金日记账!$E264="",资金日记账!$E264&lt;&gt;$G$1),0,IF(NOT(OR(N(资金日记账!$H264)&lt;&gt;0,N(资金日记账!$I264)&lt;&gt;0)),0,IF(资金日记账!$B264="",1,IF(OR(N(资金日记账!$B264)&lt;$H$1,N(资金日记账!$B264)&gt;$I$1),0,1))))</f>
        <v>0</v>
      </c>
      <c r="H271" s="0" t="n">
        <f aca="false">N(H270)+$G271</f>
        <v>3</v>
      </c>
      <c r="I271" s="0" t="str">
        <f aca="false">IF($G271=0,"",IF(资金日记账!$B264=0,"",资金日记账!$B264))</f>
        <v/>
      </c>
      <c r="J271" s="0" t="str">
        <f aca="false">IF($G271=0,"",IF(资金日记账!$D264=0,"",资金日记账!$D264))</f>
        <v/>
      </c>
      <c r="K271" s="0" t="str">
        <f aca="false">IF($G271=0,"",IF(""=0,"",""))</f>
        <v/>
      </c>
      <c r="L271" s="0" t="str">
        <f aca="false">IF($G271=0,"",IF(""=0,"",""))</f>
        <v/>
      </c>
      <c r="M271" s="0" t="str">
        <f aca="false">IF($G271=0,"",IF(""=0,"",""))</f>
        <v/>
      </c>
      <c r="N271" s="0" t="str">
        <f aca="false">IF($G271=0,"",IF(IF(N(资金日记账!$I264)=0,"",-ROUND(N(资金日记账!$I264),2))=0,"",IF(N(资金日记账!$I264)=0,"",-ROUND(N(资金日记账!$I264),2))))</f>
        <v/>
      </c>
      <c r="O271" s="0" t="str">
        <f aca="false">IF($G271=0,"",IF(IF(N(资金日记账!$H264)=0,"",ROUND(N(资金日记账!$H264),2))=0,"",IF(N(资金日记账!$H264)=0,"",ROUND(N(资金日记账!$H264),2))))</f>
        <v/>
      </c>
      <c r="P271" s="0" t="str">
        <f aca="false">IF($G271=0,"",IF(资金日记账!$L264=0,"",资金日记账!$L264))</f>
        <v/>
      </c>
      <c r="T271" s="0" t="str">
        <f aca="false">IF(资金日记账!$G271="","",资金日记账!$G271)</f>
        <v/>
      </c>
      <c r="U271" s="0" t="n">
        <f aca="false">IF(T271="",0,IF(MATCH(T271,$T$4:$T$903,0)=ROW()-3,1,0))</f>
        <v>0</v>
      </c>
      <c r="V271" s="0" t="n">
        <f aca="false">N(V270)+U271</f>
        <v>30</v>
      </c>
      <c r="Z271" s="0" t="str">
        <f aca="false">IF(成本费用登记表!$C271="","",成本费用登记表!$C271)</f>
        <v/>
      </c>
      <c r="AA271" s="0" t="n">
        <f aca="false">IF(Z271="",0,IF(MATCH(Z271,$Z$4:$Z$303,0)=ROW()-3,1,0))</f>
        <v>0</v>
      </c>
      <c r="AB271" s="0" t="n">
        <f aca="false">N(AB270)+AA271</f>
        <v>0</v>
      </c>
      <c r="AF271" s="0" t="str">
        <f aca="false">IF(OR(资金日记账!$E271="",N(资金日记账!$H271)=0),"",资金日记账!$E271)</f>
        <v/>
      </c>
      <c r="AG271" s="0" t="n">
        <f aca="false">IF(AF271="",0,IF(MATCH(AF271,$AF$4:$AF$603,0)=ROW()-3,1,0))</f>
        <v>0</v>
      </c>
      <c r="AH271" s="0" t="n">
        <f aca="false">N(AH270)+AG271</f>
        <v>5</v>
      </c>
    </row>
    <row r="272" customFormat="false" ht="13.5" hidden="false" customHeight="false" outlineLevel="0" collapsed="false">
      <c r="A272" s="0" t="str">
        <f aca="false">IF(((进销存对接!$D272="客户应收")+(进销存对接!$D272="成品销售款")+(进销存对接!$D272="公司购买果品款")+(进销存对接!$D272="筐子销售款")+(进销存对接!$D272="物料销售款"))&gt;0,进销存对接!$C272,"")</f>
        <v/>
      </c>
      <c r="B272" s="0" t="n">
        <f aca="false">IF(A272="",0,IF(MATCH(A272,$A$4:$A$1925,0)=ROW()-3,1,0))</f>
        <v>0</v>
      </c>
      <c r="C272" s="0" t="n">
        <f aca="false">N(C271)+B272</f>
        <v>6</v>
      </c>
      <c r="G272" s="0" t="n">
        <f aca="false">IF(OR($G$1="",资金日记账!$E265="",资金日记账!$E265&lt;&gt;$G$1),0,IF(NOT(OR(N(资金日记账!$H265)&lt;&gt;0,N(资金日记账!$I265)&lt;&gt;0)),0,IF(资金日记账!$B265="",1,IF(OR(N(资金日记账!$B265)&lt;$H$1,N(资金日记账!$B265)&gt;$I$1),0,1))))</f>
        <v>0</v>
      </c>
      <c r="H272" s="0" t="n">
        <f aca="false">N(H271)+$G272</f>
        <v>3</v>
      </c>
      <c r="I272" s="0" t="str">
        <f aca="false">IF($G272=0,"",IF(资金日记账!$B265=0,"",资金日记账!$B265))</f>
        <v/>
      </c>
      <c r="J272" s="0" t="str">
        <f aca="false">IF($G272=0,"",IF(资金日记账!$D265=0,"",资金日记账!$D265))</f>
        <v/>
      </c>
      <c r="K272" s="0" t="str">
        <f aca="false">IF($G272=0,"",IF(""=0,"",""))</f>
        <v/>
      </c>
      <c r="L272" s="0" t="str">
        <f aca="false">IF($G272=0,"",IF(""=0,"",""))</f>
        <v/>
      </c>
      <c r="M272" s="0" t="str">
        <f aca="false">IF($G272=0,"",IF(""=0,"",""))</f>
        <v/>
      </c>
      <c r="N272" s="0" t="str">
        <f aca="false">IF($G272=0,"",IF(IF(N(资金日记账!$I265)=0,"",-ROUND(N(资金日记账!$I265),2))=0,"",IF(N(资金日记账!$I265)=0,"",-ROUND(N(资金日记账!$I265),2))))</f>
        <v/>
      </c>
      <c r="O272" s="0" t="str">
        <f aca="false">IF($G272=0,"",IF(IF(N(资金日记账!$H265)=0,"",ROUND(N(资金日记账!$H265),2))=0,"",IF(N(资金日记账!$H265)=0,"",ROUND(N(资金日记账!$H265),2))))</f>
        <v/>
      </c>
      <c r="P272" s="0" t="str">
        <f aca="false">IF($G272=0,"",IF(资金日记账!$L265=0,"",资金日记账!$L265))</f>
        <v/>
      </c>
      <c r="T272" s="0" t="str">
        <f aca="false">IF(资金日记账!$G272="","",资金日记账!$G272)</f>
        <v/>
      </c>
      <c r="U272" s="0" t="n">
        <f aca="false">IF(T272="",0,IF(MATCH(T272,$T$4:$T$903,0)=ROW()-3,1,0))</f>
        <v>0</v>
      </c>
      <c r="V272" s="0" t="n">
        <f aca="false">N(V271)+U272</f>
        <v>30</v>
      </c>
      <c r="Z272" s="0" t="str">
        <f aca="false">IF(成本费用登记表!$C272="","",成本费用登记表!$C272)</f>
        <v/>
      </c>
      <c r="AA272" s="0" t="n">
        <f aca="false">IF(Z272="",0,IF(MATCH(Z272,$Z$4:$Z$303,0)=ROW()-3,1,0))</f>
        <v>0</v>
      </c>
      <c r="AB272" s="0" t="n">
        <f aca="false">N(AB271)+AA272</f>
        <v>0</v>
      </c>
      <c r="AF272" s="0" t="str">
        <f aca="false">IF(OR(资金日记账!$E272="",N(资金日记账!$H272)=0),"",资金日记账!$E272)</f>
        <v/>
      </c>
      <c r="AG272" s="0" t="n">
        <f aca="false">IF(AF272="",0,IF(MATCH(AF272,$AF$4:$AF$603,0)=ROW()-3,1,0))</f>
        <v>0</v>
      </c>
      <c r="AH272" s="0" t="n">
        <f aca="false">N(AH271)+AG272</f>
        <v>5</v>
      </c>
    </row>
    <row r="273" customFormat="false" ht="13.5" hidden="false" customHeight="false" outlineLevel="0" collapsed="false">
      <c r="A273" s="0" t="str">
        <f aca="false">IF(((进销存对接!$D273="客户应收")+(进销存对接!$D273="成品销售款")+(进销存对接!$D273="公司购买果品款")+(进销存对接!$D273="筐子销售款")+(进销存对接!$D273="物料销售款"))&gt;0,进销存对接!$C273,"")</f>
        <v/>
      </c>
      <c r="B273" s="0" t="n">
        <f aca="false">IF(A273="",0,IF(MATCH(A273,$A$4:$A$1925,0)=ROW()-3,1,0))</f>
        <v>0</v>
      </c>
      <c r="C273" s="0" t="n">
        <f aca="false">N(C272)+B273</f>
        <v>6</v>
      </c>
      <c r="G273" s="0" t="n">
        <f aca="false">IF(OR($G$1="",资金日记账!$E266="",资金日记账!$E266&lt;&gt;$G$1),0,IF(NOT(OR(N(资金日记账!$H266)&lt;&gt;0,N(资金日记账!$I266)&lt;&gt;0)),0,IF(资金日记账!$B266="",1,IF(OR(N(资金日记账!$B266)&lt;$H$1,N(资金日记账!$B266)&gt;$I$1),0,1))))</f>
        <v>0</v>
      </c>
      <c r="H273" s="0" t="n">
        <f aca="false">N(H272)+$G273</f>
        <v>3</v>
      </c>
      <c r="I273" s="0" t="str">
        <f aca="false">IF($G273=0,"",IF(资金日记账!$B266=0,"",资金日记账!$B266))</f>
        <v/>
      </c>
      <c r="J273" s="0" t="str">
        <f aca="false">IF($G273=0,"",IF(资金日记账!$D266=0,"",资金日记账!$D266))</f>
        <v/>
      </c>
      <c r="K273" s="0" t="str">
        <f aca="false">IF($G273=0,"",IF(""=0,"",""))</f>
        <v/>
      </c>
      <c r="L273" s="0" t="str">
        <f aca="false">IF($G273=0,"",IF(""=0,"",""))</f>
        <v/>
      </c>
      <c r="M273" s="0" t="str">
        <f aca="false">IF($G273=0,"",IF(""=0,"",""))</f>
        <v/>
      </c>
      <c r="N273" s="0" t="str">
        <f aca="false">IF($G273=0,"",IF(IF(N(资金日记账!$I266)=0,"",-ROUND(N(资金日记账!$I266),2))=0,"",IF(N(资金日记账!$I266)=0,"",-ROUND(N(资金日记账!$I266),2))))</f>
        <v/>
      </c>
      <c r="O273" s="0" t="str">
        <f aca="false">IF($G273=0,"",IF(IF(N(资金日记账!$H266)=0,"",ROUND(N(资金日记账!$H266),2))=0,"",IF(N(资金日记账!$H266)=0,"",ROUND(N(资金日记账!$H266),2))))</f>
        <v/>
      </c>
      <c r="P273" s="0" t="str">
        <f aca="false">IF($G273=0,"",IF(资金日记账!$L266=0,"",资金日记账!$L266))</f>
        <v/>
      </c>
      <c r="T273" s="0" t="str">
        <f aca="false">IF(资金日记账!$G273="","",资金日记账!$G273)</f>
        <v/>
      </c>
      <c r="U273" s="0" t="n">
        <f aca="false">IF(T273="",0,IF(MATCH(T273,$T$4:$T$903,0)=ROW()-3,1,0))</f>
        <v>0</v>
      </c>
      <c r="V273" s="0" t="n">
        <f aca="false">N(V272)+U273</f>
        <v>30</v>
      </c>
      <c r="Z273" s="0" t="str">
        <f aca="false">IF(成本费用登记表!$C273="","",成本费用登记表!$C273)</f>
        <v/>
      </c>
      <c r="AA273" s="0" t="n">
        <f aca="false">IF(Z273="",0,IF(MATCH(Z273,$Z$4:$Z$303,0)=ROW()-3,1,0))</f>
        <v>0</v>
      </c>
      <c r="AB273" s="0" t="n">
        <f aca="false">N(AB272)+AA273</f>
        <v>0</v>
      </c>
      <c r="AF273" s="0" t="str">
        <f aca="false">IF(OR(资金日记账!$E273="",N(资金日记账!$H273)=0),"",资金日记账!$E273)</f>
        <v/>
      </c>
      <c r="AG273" s="0" t="n">
        <f aca="false">IF(AF273="",0,IF(MATCH(AF273,$AF$4:$AF$603,0)=ROW()-3,1,0))</f>
        <v>0</v>
      </c>
      <c r="AH273" s="0" t="n">
        <f aca="false">N(AH272)+AG273</f>
        <v>5</v>
      </c>
    </row>
    <row r="274" customFormat="false" ht="13.5" hidden="false" customHeight="false" outlineLevel="0" collapsed="false">
      <c r="A274" s="0" t="str">
        <f aca="false">IF(((进销存对接!$D274="客户应收")+(进销存对接!$D274="成品销售款")+(进销存对接!$D274="公司购买果品款")+(进销存对接!$D274="筐子销售款")+(进销存对接!$D274="物料销售款"))&gt;0,进销存对接!$C274,"")</f>
        <v/>
      </c>
      <c r="B274" s="0" t="n">
        <f aca="false">IF(A274="",0,IF(MATCH(A274,$A$4:$A$1925,0)=ROW()-3,1,0))</f>
        <v>0</v>
      </c>
      <c r="C274" s="0" t="n">
        <f aca="false">N(C273)+B274</f>
        <v>6</v>
      </c>
      <c r="G274" s="0" t="n">
        <f aca="false">IF(OR($G$1="",资金日记账!$E267="",资金日记账!$E267&lt;&gt;$G$1),0,IF(NOT(OR(N(资金日记账!$H267)&lt;&gt;0,N(资金日记账!$I267)&lt;&gt;0)),0,IF(资金日记账!$B267="",1,IF(OR(N(资金日记账!$B267)&lt;$H$1,N(资金日记账!$B267)&gt;$I$1),0,1))))</f>
        <v>0</v>
      </c>
      <c r="H274" s="0" t="n">
        <f aca="false">N(H273)+$G274</f>
        <v>3</v>
      </c>
      <c r="I274" s="0" t="str">
        <f aca="false">IF($G274=0,"",IF(资金日记账!$B267=0,"",资金日记账!$B267))</f>
        <v/>
      </c>
      <c r="J274" s="0" t="str">
        <f aca="false">IF($G274=0,"",IF(资金日记账!$D267=0,"",资金日记账!$D267))</f>
        <v/>
      </c>
      <c r="K274" s="0" t="str">
        <f aca="false">IF($G274=0,"",IF(""=0,"",""))</f>
        <v/>
      </c>
      <c r="L274" s="0" t="str">
        <f aca="false">IF($G274=0,"",IF(""=0,"",""))</f>
        <v/>
      </c>
      <c r="M274" s="0" t="str">
        <f aca="false">IF($G274=0,"",IF(""=0,"",""))</f>
        <v/>
      </c>
      <c r="N274" s="0" t="str">
        <f aca="false">IF($G274=0,"",IF(IF(N(资金日记账!$I267)=0,"",-ROUND(N(资金日记账!$I267),2))=0,"",IF(N(资金日记账!$I267)=0,"",-ROUND(N(资金日记账!$I267),2))))</f>
        <v/>
      </c>
      <c r="O274" s="0" t="str">
        <f aca="false">IF($G274=0,"",IF(IF(N(资金日记账!$H267)=0,"",ROUND(N(资金日记账!$H267),2))=0,"",IF(N(资金日记账!$H267)=0,"",ROUND(N(资金日记账!$H267),2))))</f>
        <v/>
      </c>
      <c r="P274" s="0" t="str">
        <f aca="false">IF($G274=0,"",IF(资金日记账!$L267=0,"",资金日记账!$L267))</f>
        <v/>
      </c>
      <c r="T274" s="0" t="str">
        <f aca="false">IF(资金日记账!$G274="","",资金日记账!$G274)</f>
        <v/>
      </c>
      <c r="U274" s="0" t="n">
        <f aca="false">IF(T274="",0,IF(MATCH(T274,$T$4:$T$903,0)=ROW()-3,1,0))</f>
        <v>0</v>
      </c>
      <c r="V274" s="0" t="n">
        <f aca="false">N(V273)+U274</f>
        <v>30</v>
      </c>
      <c r="Z274" s="0" t="str">
        <f aca="false">IF(成本费用登记表!$C274="","",成本费用登记表!$C274)</f>
        <v/>
      </c>
      <c r="AA274" s="0" t="n">
        <f aca="false">IF(Z274="",0,IF(MATCH(Z274,$Z$4:$Z$303,0)=ROW()-3,1,0))</f>
        <v>0</v>
      </c>
      <c r="AB274" s="0" t="n">
        <f aca="false">N(AB273)+AA274</f>
        <v>0</v>
      </c>
      <c r="AF274" s="0" t="str">
        <f aca="false">IF(OR(资金日记账!$E274="",N(资金日记账!$H274)=0),"",资金日记账!$E274)</f>
        <v/>
      </c>
      <c r="AG274" s="0" t="n">
        <f aca="false">IF(AF274="",0,IF(MATCH(AF274,$AF$4:$AF$603,0)=ROW()-3,1,0))</f>
        <v>0</v>
      </c>
      <c r="AH274" s="0" t="n">
        <f aca="false">N(AH273)+AG274</f>
        <v>5</v>
      </c>
    </row>
    <row r="275" customFormat="false" ht="13.5" hidden="false" customHeight="false" outlineLevel="0" collapsed="false">
      <c r="A275" s="0" t="str">
        <f aca="false">IF(((进销存对接!$D275="客户应收")+(进销存对接!$D275="成品销售款")+(进销存对接!$D275="公司购买果品款")+(进销存对接!$D275="筐子销售款")+(进销存对接!$D275="物料销售款"))&gt;0,进销存对接!$C275,"")</f>
        <v/>
      </c>
      <c r="B275" s="0" t="n">
        <f aca="false">IF(A275="",0,IF(MATCH(A275,$A$4:$A$1925,0)=ROW()-3,1,0))</f>
        <v>0</v>
      </c>
      <c r="C275" s="0" t="n">
        <f aca="false">N(C274)+B275</f>
        <v>6</v>
      </c>
      <c r="G275" s="0" t="n">
        <f aca="false">IF(OR($G$1="",资金日记账!$E268="",资金日记账!$E268&lt;&gt;$G$1),0,IF(NOT(OR(N(资金日记账!$H268)&lt;&gt;0,N(资金日记账!$I268)&lt;&gt;0)),0,IF(资金日记账!$B268="",1,IF(OR(N(资金日记账!$B268)&lt;$H$1,N(资金日记账!$B268)&gt;$I$1),0,1))))</f>
        <v>0</v>
      </c>
      <c r="H275" s="0" t="n">
        <f aca="false">N(H274)+$G275</f>
        <v>3</v>
      </c>
      <c r="I275" s="0" t="str">
        <f aca="false">IF($G275=0,"",IF(资金日记账!$B268=0,"",资金日记账!$B268))</f>
        <v/>
      </c>
      <c r="J275" s="0" t="str">
        <f aca="false">IF($G275=0,"",IF(资金日记账!$D268=0,"",资金日记账!$D268))</f>
        <v/>
      </c>
      <c r="K275" s="0" t="str">
        <f aca="false">IF($G275=0,"",IF(""=0,"",""))</f>
        <v/>
      </c>
      <c r="L275" s="0" t="str">
        <f aca="false">IF($G275=0,"",IF(""=0,"",""))</f>
        <v/>
      </c>
      <c r="M275" s="0" t="str">
        <f aca="false">IF($G275=0,"",IF(""=0,"",""))</f>
        <v/>
      </c>
      <c r="N275" s="0" t="str">
        <f aca="false">IF($G275=0,"",IF(IF(N(资金日记账!$I268)=0,"",-ROUND(N(资金日记账!$I268),2))=0,"",IF(N(资金日记账!$I268)=0,"",-ROUND(N(资金日记账!$I268),2))))</f>
        <v/>
      </c>
      <c r="O275" s="0" t="str">
        <f aca="false">IF($G275=0,"",IF(IF(N(资金日记账!$H268)=0,"",ROUND(N(资金日记账!$H268),2))=0,"",IF(N(资金日记账!$H268)=0,"",ROUND(N(资金日记账!$H268),2))))</f>
        <v/>
      </c>
      <c r="P275" s="0" t="str">
        <f aca="false">IF($G275=0,"",IF(资金日记账!$L268=0,"",资金日记账!$L268))</f>
        <v/>
      </c>
      <c r="T275" s="0" t="str">
        <f aca="false">IF(资金日记账!$G275="","",资金日记账!$G275)</f>
        <v/>
      </c>
      <c r="U275" s="0" t="n">
        <f aca="false">IF(T275="",0,IF(MATCH(T275,$T$4:$T$903,0)=ROW()-3,1,0))</f>
        <v>0</v>
      </c>
      <c r="V275" s="0" t="n">
        <f aca="false">N(V274)+U275</f>
        <v>30</v>
      </c>
      <c r="Z275" s="0" t="str">
        <f aca="false">IF(成本费用登记表!$C275="","",成本费用登记表!$C275)</f>
        <v/>
      </c>
      <c r="AA275" s="0" t="n">
        <f aca="false">IF(Z275="",0,IF(MATCH(Z275,$Z$4:$Z$303,0)=ROW()-3,1,0))</f>
        <v>0</v>
      </c>
      <c r="AB275" s="0" t="n">
        <f aca="false">N(AB274)+AA275</f>
        <v>0</v>
      </c>
      <c r="AF275" s="0" t="str">
        <f aca="false">IF(OR(资金日记账!$E275="",N(资金日记账!$H275)=0),"",资金日记账!$E275)</f>
        <v/>
      </c>
      <c r="AG275" s="0" t="n">
        <f aca="false">IF(AF275="",0,IF(MATCH(AF275,$AF$4:$AF$603,0)=ROW()-3,1,0))</f>
        <v>0</v>
      </c>
      <c r="AH275" s="0" t="n">
        <f aca="false">N(AH274)+AG275</f>
        <v>5</v>
      </c>
    </row>
    <row r="276" customFormat="false" ht="13.5" hidden="false" customHeight="false" outlineLevel="0" collapsed="false">
      <c r="A276" s="0" t="str">
        <f aca="false">IF(((进销存对接!$D276="客户应收")+(进销存对接!$D276="成品销售款")+(进销存对接!$D276="公司购买果品款")+(进销存对接!$D276="筐子销售款")+(进销存对接!$D276="物料销售款"))&gt;0,进销存对接!$C276,"")</f>
        <v/>
      </c>
      <c r="B276" s="0" t="n">
        <f aca="false">IF(A276="",0,IF(MATCH(A276,$A$4:$A$1925,0)=ROW()-3,1,0))</f>
        <v>0</v>
      </c>
      <c r="C276" s="0" t="n">
        <f aca="false">N(C275)+B276</f>
        <v>6</v>
      </c>
      <c r="G276" s="0" t="n">
        <f aca="false">IF(OR($G$1="",资金日记账!$E269="",资金日记账!$E269&lt;&gt;$G$1),0,IF(NOT(OR(N(资金日记账!$H269)&lt;&gt;0,N(资金日记账!$I269)&lt;&gt;0)),0,IF(资金日记账!$B269="",1,IF(OR(N(资金日记账!$B269)&lt;$H$1,N(资金日记账!$B269)&gt;$I$1),0,1))))</f>
        <v>0</v>
      </c>
      <c r="H276" s="0" t="n">
        <f aca="false">N(H275)+$G276</f>
        <v>3</v>
      </c>
      <c r="I276" s="0" t="str">
        <f aca="false">IF($G276=0,"",IF(资金日记账!$B269=0,"",资金日记账!$B269))</f>
        <v/>
      </c>
      <c r="J276" s="0" t="str">
        <f aca="false">IF($G276=0,"",IF(资金日记账!$D269=0,"",资金日记账!$D269))</f>
        <v/>
      </c>
      <c r="K276" s="0" t="str">
        <f aca="false">IF($G276=0,"",IF(""=0,"",""))</f>
        <v/>
      </c>
      <c r="L276" s="0" t="str">
        <f aca="false">IF($G276=0,"",IF(""=0,"",""))</f>
        <v/>
      </c>
      <c r="M276" s="0" t="str">
        <f aca="false">IF($G276=0,"",IF(""=0,"",""))</f>
        <v/>
      </c>
      <c r="N276" s="0" t="str">
        <f aca="false">IF($G276=0,"",IF(IF(N(资金日记账!$I269)=0,"",-ROUND(N(资金日记账!$I269),2))=0,"",IF(N(资金日记账!$I269)=0,"",-ROUND(N(资金日记账!$I269),2))))</f>
        <v/>
      </c>
      <c r="O276" s="0" t="str">
        <f aca="false">IF($G276=0,"",IF(IF(N(资金日记账!$H269)=0,"",ROUND(N(资金日记账!$H269),2))=0,"",IF(N(资金日记账!$H269)=0,"",ROUND(N(资金日记账!$H269),2))))</f>
        <v/>
      </c>
      <c r="P276" s="0" t="str">
        <f aca="false">IF($G276=0,"",IF(资金日记账!$L269=0,"",资金日记账!$L269))</f>
        <v/>
      </c>
      <c r="T276" s="0" t="str">
        <f aca="false">IF(资金日记账!$G276="","",资金日记账!$G276)</f>
        <v/>
      </c>
      <c r="U276" s="0" t="n">
        <f aca="false">IF(T276="",0,IF(MATCH(T276,$T$4:$T$903,0)=ROW()-3,1,0))</f>
        <v>0</v>
      </c>
      <c r="V276" s="0" t="n">
        <f aca="false">N(V275)+U276</f>
        <v>30</v>
      </c>
      <c r="Z276" s="0" t="str">
        <f aca="false">IF(成本费用登记表!$C276="","",成本费用登记表!$C276)</f>
        <v/>
      </c>
      <c r="AA276" s="0" t="n">
        <f aca="false">IF(Z276="",0,IF(MATCH(Z276,$Z$4:$Z$303,0)=ROW()-3,1,0))</f>
        <v>0</v>
      </c>
      <c r="AB276" s="0" t="n">
        <f aca="false">N(AB275)+AA276</f>
        <v>0</v>
      </c>
      <c r="AF276" s="0" t="str">
        <f aca="false">IF(OR(资金日记账!$E276="",N(资金日记账!$H276)=0),"",资金日记账!$E276)</f>
        <v/>
      </c>
      <c r="AG276" s="0" t="n">
        <f aca="false">IF(AF276="",0,IF(MATCH(AF276,$AF$4:$AF$603,0)=ROW()-3,1,0))</f>
        <v>0</v>
      </c>
      <c r="AH276" s="0" t="n">
        <f aca="false">N(AH275)+AG276</f>
        <v>5</v>
      </c>
    </row>
    <row r="277" customFormat="false" ht="13.5" hidden="false" customHeight="false" outlineLevel="0" collapsed="false">
      <c r="A277" s="0" t="str">
        <f aca="false">IF(((进销存对接!$D277="客户应收")+(进销存对接!$D277="成品销售款")+(进销存对接!$D277="公司购买果品款")+(进销存对接!$D277="筐子销售款")+(进销存对接!$D277="物料销售款"))&gt;0,进销存对接!$C277,"")</f>
        <v/>
      </c>
      <c r="B277" s="0" t="n">
        <f aca="false">IF(A277="",0,IF(MATCH(A277,$A$4:$A$1925,0)=ROW()-3,1,0))</f>
        <v>0</v>
      </c>
      <c r="C277" s="0" t="n">
        <f aca="false">N(C276)+B277</f>
        <v>6</v>
      </c>
      <c r="G277" s="0" t="n">
        <f aca="false">IF(OR($G$1="",资金日记账!$E270="",资金日记账!$E270&lt;&gt;$G$1),0,IF(NOT(OR(N(资金日记账!$H270)&lt;&gt;0,N(资金日记账!$I270)&lt;&gt;0)),0,IF(资金日记账!$B270="",1,IF(OR(N(资金日记账!$B270)&lt;$H$1,N(资金日记账!$B270)&gt;$I$1),0,1))))</f>
        <v>0</v>
      </c>
      <c r="H277" s="0" t="n">
        <f aca="false">N(H276)+$G277</f>
        <v>3</v>
      </c>
      <c r="I277" s="0" t="str">
        <f aca="false">IF($G277=0,"",IF(资金日记账!$B270=0,"",资金日记账!$B270))</f>
        <v/>
      </c>
      <c r="J277" s="0" t="str">
        <f aca="false">IF($G277=0,"",IF(资金日记账!$D270=0,"",资金日记账!$D270))</f>
        <v/>
      </c>
      <c r="K277" s="0" t="str">
        <f aca="false">IF($G277=0,"",IF(""=0,"",""))</f>
        <v/>
      </c>
      <c r="L277" s="0" t="str">
        <f aca="false">IF($G277=0,"",IF(""=0,"",""))</f>
        <v/>
      </c>
      <c r="M277" s="0" t="str">
        <f aca="false">IF($G277=0,"",IF(""=0,"",""))</f>
        <v/>
      </c>
      <c r="N277" s="0" t="str">
        <f aca="false">IF($G277=0,"",IF(IF(N(资金日记账!$I270)=0,"",-ROUND(N(资金日记账!$I270),2))=0,"",IF(N(资金日记账!$I270)=0,"",-ROUND(N(资金日记账!$I270),2))))</f>
        <v/>
      </c>
      <c r="O277" s="0" t="str">
        <f aca="false">IF($G277=0,"",IF(IF(N(资金日记账!$H270)=0,"",ROUND(N(资金日记账!$H270),2))=0,"",IF(N(资金日记账!$H270)=0,"",ROUND(N(资金日记账!$H270),2))))</f>
        <v/>
      </c>
      <c r="P277" s="0" t="str">
        <f aca="false">IF($G277=0,"",IF(资金日记账!$L270=0,"",资金日记账!$L270))</f>
        <v/>
      </c>
      <c r="T277" s="0" t="str">
        <f aca="false">IF(资金日记账!$G277="","",资金日记账!$G277)</f>
        <v/>
      </c>
      <c r="U277" s="0" t="n">
        <f aca="false">IF(T277="",0,IF(MATCH(T277,$T$4:$T$903,0)=ROW()-3,1,0))</f>
        <v>0</v>
      </c>
      <c r="V277" s="0" t="n">
        <f aca="false">N(V276)+U277</f>
        <v>30</v>
      </c>
      <c r="Z277" s="0" t="str">
        <f aca="false">IF(成本费用登记表!$C277="","",成本费用登记表!$C277)</f>
        <v/>
      </c>
      <c r="AA277" s="0" t="n">
        <f aca="false">IF(Z277="",0,IF(MATCH(Z277,$Z$4:$Z$303,0)=ROW()-3,1,0))</f>
        <v>0</v>
      </c>
      <c r="AB277" s="0" t="n">
        <f aca="false">N(AB276)+AA277</f>
        <v>0</v>
      </c>
      <c r="AF277" s="0" t="str">
        <f aca="false">IF(OR(资金日记账!$E277="",N(资金日记账!$H277)=0),"",资金日记账!$E277)</f>
        <v/>
      </c>
      <c r="AG277" s="0" t="n">
        <f aca="false">IF(AF277="",0,IF(MATCH(AF277,$AF$4:$AF$603,0)=ROW()-3,1,0))</f>
        <v>0</v>
      </c>
      <c r="AH277" s="0" t="n">
        <f aca="false">N(AH276)+AG277</f>
        <v>5</v>
      </c>
    </row>
    <row r="278" customFormat="false" ht="13.5" hidden="false" customHeight="false" outlineLevel="0" collapsed="false">
      <c r="A278" s="0" t="str">
        <f aca="false">IF(((进销存对接!$D278="客户应收")+(进销存对接!$D278="成品销售款")+(进销存对接!$D278="公司购买果品款")+(进销存对接!$D278="筐子销售款")+(进销存对接!$D278="物料销售款"))&gt;0,进销存对接!$C278,"")</f>
        <v/>
      </c>
      <c r="B278" s="0" t="n">
        <f aca="false">IF(A278="",0,IF(MATCH(A278,$A$4:$A$1925,0)=ROW()-3,1,0))</f>
        <v>0</v>
      </c>
      <c r="C278" s="0" t="n">
        <f aca="false">N(C277)+B278</f>
        <v>6</v>
      </c>
      <c r="G278" s="0" t="n">
        <f aca="false">IF(OR($G$1="",资金日记账!$E271="",资金日记账!$E271&lt;&gt;$G$1),0,IF(NOT(OR(N(资金日记账!$H271)&lt;&gt;0,N(资金日记账!$I271)&lt;&gt;0)),0,IF(资金日记账!$B271="",1,IF(OR(N(资金日记账!$B271)&lt;$H$1,N(资金日记账!$B271)&gt;$I$1),0,1))))</f>
        <v>0</v>
      </c>
      <c r="H278" s="0" t="n">
        <f aca="false">N(H277)+$G278</f>
        <v>3</v>
      </c>
      <c r="I278" s="0" t="str">
        <f aca="false">IF($G278=0,"",IF(资金日记账!$B271=0,"",资金日记账!$B271))</f>
        <v/>
      </c>
      <c r="J278" s="0" t="str">
        <f aca="false">IF($G278=0,"",IF(资金日记账!$D271=0,"",资金日记账!$D271))</f>
        <v/>
      </c>
      <c r="K278" s="0" t="str">
        <f aca="false">IF($G278=0,"",IF(""=0,"",""))</f>
        <v/>
      </c>
      <c r="L278" s="0" t="str">
        <f aca="false">IF($G278=0,"",IF(""=0,"",""))</f>
        <v/>
      </c>
      <c r="M278" s="0" t="str">
        <f aca="false">IF($G278=0,"",IF(""=0,"",""))</f>
        <v/>
      </c>
      <c r="N278" s="0" t="str">
        <f aca="false">IF($G278=0,"",IF(IF(N(资金日记账!$I271)=0,"",-ROUND(N(资金日记账!$I271),2))=0,"",IF(N(资金日记账!$I271)=0,"",-ROUND(N(资金日记账!$I271),2))))</f>
        <v/>
      </c>
      <c r="O278" s="0" t="str">
        <f aca="false">IF($G278=0,"",IF(IF(N(资金日记账!$H271)=0,"",ROUND(N(资金日记账!$H271),2))=0,"",IF(N(资金日记账!$H271)=0,"",ROUND(N(资金日记账!$H271),2))))</f>
        <v/>
      </c>
      <c r="P278" s="0" t="str">
        <f aca="false">IF($G278=0,"",IF(资金日记账!$L271=0,"",资金日记账!$L271))</f>
        <v/>
      </c>
      <c r="T278" s="0" t="str">
        <f aca="false">IF(资金日记账!$G278="","",资金日记账!$G278)</f>
        <v/>
      </c>
      <c r="U278" s="0" t="n">
        <f aca="false">IF(T278="",0,IF(MATCH(T278,$T$4:$T$903,0)=ROW()-3,1,0))</f>
        <v>0</v>
      </c>
      <c r="V278" s="0" t="n">
        <f aca="false">N(V277)+U278</f>
        <v>30</v>
      </c>
      <c r="Z278" s="0" t="str">
        <f aca="false">IF(成本费用登记表!$C278="","",成本费用登记表!$C278)</f>
        <v/>
      </c>
      <c r="AA278" s="0" t="n">
        <f aca="false">IF(Z278="",0,IF(MATCH(Z278,$Z$4:$Z$303,0)=ROW()-3,1,0))</f>
        <v>0</v>
      </c>
      <c r="AB278" s="0" t="n">
        <f aca="false">N(AB277)+AA278</f>
        <v>0</v>
      </c>
      <c r="AF278" s="0" t="str">
        <f aca="false">IF(OR(资金日记账!$E278="",N(资金日记账!$H278)=0),"",资金日记账!$E278)</f>
        <v/>
      </c>
      <c r="AG278" s="0" t="n">
        <f aca="false">IF(AF278="",0,IF(MATCH(AF278,$AF$4:$AF$603,0)=ROW()-3,1,0))</f>
        <v>0</v>
      </c>
      <c r="AH278" s="0" t="n">
        <f aca="false">N(AH277)+AG278</f>
        <v>5</v>
      </c>
    </row>
    <row r="279" customFormat="false" ht="13.5" hidden="false" customHeight="false" outlineLevel="0" collapsed="false">
      <c r="A279" s="0" t="str">
        <f aca="false">IF(((进销存对接!$D279="客户应收")+(进销存对接!$D279="成品销售款")+(进销存对接!$D279="公司购买果品款")+(进销存对接!$D279="筐子销售款")+(进销存对接!$D279="物料销售款"))&gt;0,进销存对接!$C279,"")</f>
        <v/>
      </c>
      <c r="B279" s="0" t="n">
        <f aca="false">IF(A279="",0,IF(MATCH(A279,$A$4:$A$1925,0)=ROW()-3,1,0))</f>
        <v>0</v>
      </c>
      <c r="C279" s="0" t="n">
        <f aca="false">N(C278)+B279</f>
        <v>6</v>
      </c>
      <c r="G279" s="0" t="n">
        <f aca="false">IF(OR($G$1="",资金日记账!$E272="",资金日记账!$E272&lt;&gt;$G$1),0,IF(NOT(OR(N(资金日记账!$H272)&lt;&gt;0,N(资金日记账!$I272)&lt;&gt;0)),0,IF(资金日记账!$B272="",1,IF(OR(N(资金日记账!$B272)&lt;$H$1,N(资金日记账!$B272)&gt;$I$1),0,1))))</f>
        <v>0</v>
      </c>
      <c r="H279" s="0" t="n">
        <f aca="false">N(H278)+$G279</f>
        <v>3</v>
      </c>
      <c r="I279" s="0" t="str">
        <f aca="false">IF($G279=0,"",IF(资金日记账!$B272=0,"",资金日记账!$B272))</f>
        <v/>
      </c>
      <c r="J279" s="0" t="str">
        <f aca="false">IF($G279=0,"",IF(资金日记账!$D272=0,"",资金日记账!$D272))</f>
        <v/>
      </c>
      <c r="K279" s="0" t="str">
        <f aca="false">IF($G279=0,"",IF(""=0,"",""))</f>
        <v/>
      </c>
      <c r="L279" s="0" t="str">
        <f aca="false">IF($G279=0,"",IF(""=0,"",""))</f>
        <v/>
      </c>
      <c r="M279" s="0" t="str">
        <f aca="false">IF($G279=0,"",IF(""=0,"",""))</f>
        <v/>
      </c>
      <c r="N279" s="0" t="str">
        <f aca="false">IF($G279=0,"",IF(IF(N(资金日记账!$I272)=0,"",-ROUND(N(资金日记账!$I272),2))=0,"",IF(N(资金日记账!$I272)=0,"",-ROUND(N(资金日记账!$I272),2))))</f>
        <v/>
      </c>
      <c r="O279" s="0" t="str">
        <f aca="false">IF($G279=0,"",IF(IF(N(资金日记账!$H272)=0,"",ROUND(N(资金日记账!$H272),2))=0,"",IF(N(资金日记账!$H272)=0,"",ROUND(N(资金日记账!$H272),2))))</f>
        <v/>
      </c>
      <c r="P279" s="0" t="str">
        <f aca="false">IF($G279=0,"",IF(资金日记账!$L272=0,"",资金日记账!$L272))</f>
        <v/>
      </c>
      <c r="T279" s="0" t="str">
        <f aca="false">IF(资金日记账!$G279="","",资金日记账!$G279)</f>
        <v/>
      </c>
      <c r="U279" s="0" t="n">
        <f aca="false">IF(T279="",0,IF(MATCH(T279,$T$4:$T$903,0)=ROW()-3,1,0))</f>
        <v>0</v>
      </c>
      <c r="V279" s="0" t="n">
        <f aca="false">N(V278)+U279</f>
        <v>30</v>
      </c>
      <c r="Z279" s="0" t="str">
        <f aca="false">IF(成本费用登记表!$C279="","",成本费用登记表!$C279)</f>
        <v/>
      </c>
      <c r="AA279" s="0" t="n">
        <f aca="false">IF(Z279="",0,IF(MATCH(Z279,$Z$4:$Z$303,0)=ROW()-3,1,0))</f>
        <v>0</v>
      </c>
      <c r="AB279" s="0" t="n">
        <f aca="false">N(AB278)+AA279</f>
        <v>0</v>
      </c>
      <c r="AF279" s="0" t="str">
        <f aca="false">IF(OR(资金日记账!$E279="",N(资金日记账!$H279)=0),"",资金日记账!$E279)</f>
        <v/>
      </c>
      <c r="AG279" s="0" t="n">
        <f aca="false">IF(AF279="",0,IF(MATCH(AF279,$AF$4:$AF$603,0)=ROW()-3,1,0))</f>
        <v>0</v>
      </c>
      <c r="AH279" s="0" t="n">
        <f aca="false">N(AH278)+AG279</f>
        <v>5</v>
      </c>
    </row>
    <row r="280" customFormat="false" ht="13.5" hidden="false" customHeight="false" outlineLevel="0" collapsed="false">
      <c r="A280" s="0" t="str">
        <f aca="false">IF(((进销存对接!$D280="客户应收")+(进销存对接!$D280="成品销售款")+(进销存对接!$D280="公司购买果品款")+(进销存对接!$D280="筐子销售款")+(进销存对接!$D280="物料销售款"))&gt;0,进销存对接!$C280,"")</f>
        <v/>
      </c>
      <c r="B280" s="0" t="n">
        <f aca="false">IF(A280="",0,IF(MATCH(A280,$A$4:$A$1925,0)=ROW()-3,1,0))</f>
        <v>0</v>
      </c>
      <c r="C280" s="0" t="n">
        <f aca="false">N(C279)+B280</f>
        <v>6</v>
      </c>
      <c r="G280" s="0" t="n">
        <f aca="false">IF(OR($G$1="",资金日记账!$E273="",资金日记账!$E273&lt;&gt;$G$1),0,IF(NOT(OR(N(资金日记账!$H273)&lt;&gt;0,N(资金日记账!$I273)&lt;&gt;0)),0,IF(资金日记账!$B273="",1,IF(OR(N(资金日记账!$B273)&lt;$H$1,N(资金日记账!$B273)&gt;$I$1),0,1))))</f>
        <v>0</v>
      </c>
      <c r="H280" s="0" t="n">
        <f aca="false">N(H279)+$G280</f>
        <v>3</v>
      </c>
      <c r="I280" s="0" t="str">
        <f aca="false">IF($G280=0,"",IF(资金日记账!$B273=0,"",资金日记账!$B273))</f>
        <v/>
      </c>
      <c r="J280" s="0" t="str">
        <f aca="false">IF($G280=0,"",IF(资金日记账!$D273=0,"",资金日记账!$D273))</f>
        <v/>
      </c>
      <c r="K280" s="0" t="str">
        <f aca="false">IF($G280=0,"",IF(""=0,"",""))</f>
        <v/>
      </c>
      <c r="L280" s="0" t="str">
        <f aca="false">IF($G280=0,"",IF(""=0,"",""))</f>
        <v/>
      </c>
      <c r="M280" s="0" t="str">
        <f aca="false">IF($G280=0,"",IF(""=0,"",""))</f>
        <v/>
      </c>
      <c r="N280" s="0" t="str">
        <f aca="false">IF($G280=0,"",IF(IF(N(资金日记账!$I273)=0,"",-ROUND(N(资金日记账!$I273),2))=0,"",IF(N(资金日记账!$I273)=0,"",-ROUND(N(资金日记账!$I273),2))))</f>
        <v/>
      </c>
      <c r="O280" s="0" t="str">
        <f aca="false">IF($G280=0,"",IF(IF(N(资金日记账!$H273)=0,"",ROUND(N(资金日记账!$H273),2))=0,"",IF(N(资金日记账!$H273)=0,"",ROUND(N(资金日记账!$H273),2))))</f>
        <v/>
      </c>
      <c r="P280" s="0" t="str">
        <f aca="false">IF($G280=0,"",IF(资金日记账!$L273=0,"",资金日记账!$L273))</f>
        <v/>
      </c>
      <c r="T280" s="0" t="str">
        <f aca="false">IF(资金日记账!$G280="","",资金日记账!$G280)</f>
        <v/>
      </c>
      <c r="U280" s="0" t="n">
        <f aca="false">IF(T280="",0,IF(MATCH(T280,$T$4:$T$903,0)=ROW()-3,1,0))</f>
        <v>0</v>
      </c>
      <c r="V280" s="0" t="n">
        <f aca="false">N(V279)+U280</f>
        <v>30</v>
      </c>
      <c r="Z280" s="0" t="str">
        <f aca="false">IF(成本费用登记表!$C280="","",成本费用登记表!$C280)</f>
        <v/>
      </c>
      <c r="AA280" s="0" t="n">
        <f aca="false">IF(Z280="",0,IF(MATCH(Z280,$Z$4:$Z$303,0)=ROW()-3,1,0))</f>
        <v>0</v>
      </c>
      <c r="AB280" s="0" t="n">
        <f aca="false">N(AB279)+AA280</f>
        <v>0</v>
      </c>
      <c r="AF280" s="0" t="str">
        <f aca="false">IF(OR(资金日记账!$E280="",N(资金日记账!$H280)=0),"",资金日记账!$E280)</f>
        <v/>
      </c>
      <c r="AG280" s="0" t="n">
        <f aca="false">IF(AF280="",0,IF(MATCH(AF280,$AF$4:$AF$603,0)=ROW()-3,1,0))</f>
        <v>0</v>
      </c>
      <c r="AH280" s="0" t="n">
        <f aca="false">N(AH279)+AG280</f>
        <v>5</v>
      </c>
    </row>
    <row r="281" customFormat="false" ht="13.5" hidden="false" customHeight="false" outlineLevel="0" collapsed="false">
      <c r="A281" s="0" t="str">
        <f aca="false">IF(((进销存对接!$D281="客户应收")+(进销存对接!$D281="成品销售款")+(进销存对接!$D281="公司购买果品款")+(进销存对接!$D281="筐子销售款")+(进销存对接!$D281="物料销售款"))&gt;0,进销存对接!$C281,"")</f>
        <v/>
      </c>
      <c r="B281" s="0" t="n">
        <f aca="false">IF(A281="",0,IF(MATCH(A281,$A$4:$A$1925,0)=ROW()-3,1,0))</f>
        <v>0</v>
      </c>
      <c r="C281" s="0" t="n">
        <f aca="false">N(C280)+B281</f>
        <v>6</v>
      </c>
      <c r="G281" s="0" t="n">
        <f aca="false">IF(OR($G$1="",资金日记账!$E274="",资金日记账!$E274&lt;&gt;$G$1),0,IF(NOT(OR(N(资金日记账!$H274)&lt;&gt;0,N(资金日记账!$I274)&lt;&gt;0)),0,IF(资金日记账!$B274="",1,IF(OR(N(资金日记账!$B274)&lt;$H$1,N(资金日记账!$B274)&gt;$I$1),0,1))))</f>
        <v>0</v>
      </c>
      <c r="H281" s="0" t="n">
        <f aca="false">N(H280)+$G281</f>
        <v>3</v>
      </c>
      <c r="I281" s="0" t="str">
        <f aca="false">IF($G281=0,"",IF(资金日记账!$B274=0,"",资金日记账!$B274))</f>
        <v/>
      </c>
      <c r="J281" s="0" t="str">
        <f aca="false">IF($G281=0,"",IF(资金日记账!$D274=0,"",资金日记账!$D274))</f>
        <v/>
      </c>
      <c r="K281" s="0" t="str">
        <f aca="false">IF($G281=0,"",IF(""=0,"",""))</f>
        <v/>
      </c>
      <c r="L281" s="0" t="str">
        <f aca="false">IF($G281=0,"",IF(""=0,"",""))</f>
        <v/>
      </c>
      <c r="M281" s="0" t="str">
        <f aca="false">IF($G281=0,"",IF(""=0,"",""))</f>
        <v/>
      </c>
      <c r="N281" s="0" t="str">
        <f aca="false">IF($G281=0,"",IF(IF(N(资金日记账!$I274)=0,"",-ROUND(N(资金日记账!$I274),2))=0,"",IF(N(资金日记账!$I274)=0,"",-ROUND(N(资金日记账!$I274),2))))</f>
        <v/>
      </c>
      <c r="O281" s="0" t="str">
        <f aca="false">IF($G281=0,"",IF(IF(N(资金日记账!$H274)=0,"",ROUND(N(资金日记账!$H274),2))=0,"",IF(N(资金日记账!$H274)=0,"",ROUND(N(资金日记账!$H274),2))))</f>
        <v/>
      </c>
      <c r="P281" s="0" t="str">
        <f aca="false">IF($G281=0,"",IF(资金日记账!$L274=0,"",资金日记账!$L274))</f>
        <v/>
      </c>
      <c r="T281" s="0" t="str">
        <f aca="false">IF(资金日记账!$G281="","",资金日记账!$G281)</f>
        <v/>
      </c>
      <c r="U281" s="0" t="n">
        <f aca="false">IF(T281="",0,IF(MATCH(T281,$T$4:$T$903,0)=ROW()-3,1,0))</f>
        <v>0</v>
      </c>
      <c r="V281" s="0" t="n">
        <f aca="false">N(V280)+U281</f>
        <v>30</v>
      </c>
      <c r="Z281" s="0" t="str">
        <f aca="false">IF(成本费用登记表!$C281="","",成本费用登记表!$C281)</f>
        <v/>
      </c>
      <c r="AA281" s="0" t="n">
        <f aca="false">IF(Z281="",0,IF(MATCH(Z281,$Z$4:$Z$303,0)=ROW()-3,1,0))</f>
        <v>0</v>
      </c>
      <c r="AB281" s="0" t="n">
        <f aca="false">N(AB280)+AA281</f>
        <v>0</v>
      </c>
      <c r="AF281" s="0" t="str">
        <f aca="false">IF(OR(资金日记账!$E281="",N(资金日记账!$H281)=0),"",资金日记账!$E281)</f>
        <v/>
      </c>
      <c r="AG281" s="0" t="n">
        <f aca="false">IF(AF281="",0,IF(MATCH(AF281,$AF$4:$AF$603,0)=ROW()-3,1,0))</f>
        <v>0</v>
      </c>
      <c r="AH281" s="0" t="n">
        <f aca="false">N(AH280)+AG281</f>
        <v>5</v>
      </c>
    </row>
    <row r="282" customFormat="false" ht="13.5" hidden="false" customHeight="false" outlineLevel="0" collapsed="false">
      <c r="A282" s="0" t="str">
        <f aca="false">IF(((进销存对接!$D282="客户应收")+(进销存对接!$D282="成品销售款")+(进销存对接!$D282="公司购买果品款")+(进销存对接!$D282="筐子销售款")+(进销存对接!$D282="物料销售款"))&gt;0,进销存对接!$C282,"")</f>
        <v/>
      </c>
      <c r="B282" s="0" t="n">
        <f aca="false">IF(A282="",0,IF(MATCH(A282,$A$4:$A$1925,0)=ROW()-3,1,0))</f>
        <v>0</v>
      </c>
      <c r="C282" s="0" t="n">
        <f aca="false">N(C281)+B282</f>
        <v>6</v>
      </c>
      <c r="G282" s="0" t="n">
        <f aca="false">IF(OR($G$1="",资金日记账!$E275="",资金日记账!$E275&lt;&gt;$G$1),0,IF(NOT(OR(N(资金日记账!$H275)&lt;&gt;0,N(资金日记账!$I275)&lt;&gt;0)),0,IF(资金日记账!$B275="",1,IF(OR(N(资金日记账!$B275)&lt;$H$1,N(资金日记账!$B275)&gt;$I$1),0,1))))</f>
        <v>0</v>
      </c>
      <c r="H282" s="0" t="n">
        <f aca="false">N(H281)+$G282</f>
        <v>3</v>
      </c>
      <c r="I282" s="0" t="str">
        <f aca="false">IF($G282=0,"",IF(资金日记账!$B275=0,"",资金日记账!$B275))</f>
        <v/>
      </c>
      <c r="J282" s="0" t="str">
        <f aca="false">IF($G282=0,"",IF(资金日记账!$D275=0,"",资金日记账!$D275))</f>
        <v/>
      </c>
      <c r="K282" s="0" t="str">
        <f aca="false">IF($G282=0,"",IF(""=0,"",""))</f>
        <v/>
      </c>
      <c r="L282" s="0" t="str">
        <f aca="false">IF($G282=0,"",IF(""=0,"",""))</f>
        <v/>
      </c>
      <c r="M282" s="0" t="str">
        <f aca="false">IF($G282=0,"",IF(""=0,"",""))</f>
        <v/>
      </c>
      <c r="N282" s="0" t="str">
        <f aca="false">IF($G282=0,"",IF(IF(N(资金日记账!$I275)=0,"",-ROUND(N(资金日记账!$I275),2))=0,"",IF(N(资金日记账!$I275)=0,"",-ROUND(N(资金日记账!$I275),2))))</f>
        <v/>
      </c>
      <c r="O282" s="0" t="str">
        <f aca="false">IF($G282=0,"",IF(IF(N(资金日记账!$H275)=0,"",ROUND(N(资金日记账!$H275),2))=0,"",IF(N(资金日记账!$H275)=0,"",ROUND(N(资金日记账!$H275),2))))</f>
        <v/>
      </c>
      <c r="P282" s="0" t="str">
        <f aca="false">IF($G282=0,"",IF(资金日记账!$L275=0,"",资金日记账!$L275))</f>
        <v/>
      </c>
      <c r="T282" s="0" t="str">
        <f aca="false">IF(资金日记账!$G282="","",资金日记账!$G282)</f>
        <v/>
      </c>
      <c r="U282" s="0" t="n">
        <f aca="false">IF(T282="",0,IF(MATCH(T282,$T$4:$T$903,0)=ROW()-3,1,0))</f>
        <v>0</v>
      </c>
      <c r="V282" s="0" t="n">
        <f aca="false">N(V281)+U282</f>
        <v>30</v>
      </c>
      <c r="Z282" s="0" t="str">
        <f aca="false">IF(成本费用登记表!$C282="","",成本费用登记表!$C282)</f>
        <v/>
      </c>
      <c r="AA282" s="0" t="n">
        <f aca="false">IF(Z282="",0,IF(MATCH(Z282,$Z$4:$Z$303,0)=ROW()-3,1,0))</f>
        <v>0</v>
      </c>
      <c r="AB282" s="0" t="n">
        <f aca="false">N(AB281)+AA282</f>
        <v>0</v>
      </c>
      <c r="AF282" s="0" t="str">
        <f aca="false">IF(OR(资金日记账!$E282="",N(资金日记账!$H282)=0),"",资金日记账!$E282)</f>
        <v/>
      </c>
      <c r="AG282" s="0" t="n">
        <f aca="false">IF(AF282="",0,IF(MATCH(AF282,$AF$4:$AF$603,0)=ROW()-3,1,0))</f>
        <v>0</v>
      </c>
      <c r="AH282" s="0" t="n">
        <f aca="false">N(AH281)+AG282</f>
        <v>5</v>
      </c>
    </row>
    <row r="283" customFormat="false" ht="13.5" hidden="false" customHeight="false" outlineLevel="0" collapsed="false">
      <c r="A283" s="0" t="str">
        <f aca="false">IF(((进销存对接!$D283="客户应收")+(进销存对接!$D283="成品销售款")+(进销存对接!$D283="公司购买果品款")+(进销存对接!$D283="筐子销售款")+(进销存对接!$D283="物料销售款"))&gt;0,进销存对接!$C283,"")</f>
        <v/>
      </c>
      <c r="B283" s="0" t="n">
        <f aca="false">IF(A283="",0,IF(MATCH(A283,$A$4:$A$1925,0)=ROW()-3,1,0))</f>
        <v>0</v>
      </c>
      <c r="C283" s="0" t="n">
        <f aca="false">N(C282)+B283</f>
        <v>6</v>
      </c>
      <c r="G283" s="0" t="n">
        <f aca="false">IF(OR($G$1="",资金日记账!$E276="",资金日记账!$E276&lt;&gt;$G$1),0,IF(NOT(OR(N(资金日记账!$H276)&lt;&gt;0,N(资金日记账!$I276)&lt;&gt;0)),0,IF(资金日记账!$B276="",1,IF(OR(N(资金日记账!$B276)&lt;$H$1,N(资金日记账!$B276)&gt;$I$1),0,1))))</f>
        <v>0</v>
      </c>
      <c r="H283" s="0" t="n">
        <f aca="false">N(H282)+$G283</f>
        <v>3</v>
      </c>
      <c r="I283" s="0" t="str">
        <f aca="false">IF($G283=0,"",IF(资金日记账!$B276=0,"",资金日记账!$B276))</f>
        <v/>
      </c>
      <c r="J283" s="0" t="str">
        <f aca="false">IF($G283=0,"",IF(资金日记账!$D276=0,"",资金日记账!$D276))</f>
        <v/>
      </c>
      <c r="K283" s="0" t="str">
        <f aca="false">IF($G283=0,"",IF(""=0,"",""))</f>
        <v/>
      </c>
      <c r="L283" s="0" t="str">
        <f aca="false">IF($G283=0,"",IF(""=0,"",""))</f>
        <v/>
      </c>
      <c r="M283" s="0" t="str">
        <f aca="false">IF($G283=0,"",IF(""=0,"",""))</f>
        <v/>
      </c>
      <c r="N283" s="0" t="str">
        <f aca="false">IF($G283=0,"",IF(IF(N(资金日记账!$I276)=0,"",-ROUND(N(资金日记账!$I276),2))=0,"",IF(N(资金日记账!$I276)=0,"",-ROUND(N(资金日记账!$I276),2))))</f>
        <v/>
      </c>
      <c r="O283" s="0" t="str">
        <f aca="false">IF($G283=0,"",IF(IF(N(资金日记账!$H276)=0,"",ROUND(N(资金日记账!$H276),2))=0,"",IF(N(资金日记账!$H276)=0,"",ROUND(N(资金日记账!$H276),2))))</f>
        <v/>
      </c>
      <c r="P283" s="0" t="str">
        <f aca="false">IF($G283=0,"",IF(资金日记账!$L276=0,"",资金日记账!$L276))</f>
        <v/>
      </c>
      <c r="T283" s="0" t="str">
        <f aca="false">IF(资金日记账!$G283="","",资金日记账!$G283)</f>
        <v/>
      </c>
      <c r="U283" s="0" t="n">
        <f aca="false">IF(T283="",0,IF(MATCH(T283,$T$4:$T$903,0)=ROW()-3,1,0))</f>
        <v>0</v>
      </c>
      <c r="V283" s="0" t="n">
        <f aca="false">N(V282)+U283</f>
        <v>30</v>
      </c>
      <c r="Z283" s="0" t="str">
        <f aca="false">IF(成本费用登记表!$C283="","",成本费用登记表!$C283)</f>
        <v/>
      </c>
      <c r="AA283" s="0" t="n">
        <f aca="false">IF(Z283="",0,IF(MATCH(Z283,$Z$4:$Z$303,0)=ROW()-3,1,0))</f>
        <v>0</v>
      </c>
      <c r="AB283" s="0" t="n">
        <f aca="false">N(AB282)+AA283</f>
        <v>0</v>
      </c>
      <c r="AF283" s="0" t="str">
        <f aca="false">IF(OR(资金日记账!$E283="",N(资金日记账!$H283)=0),"",资金日记账!$E283)</f>
        <v/>
      </c>
      <c r="AG283" s="0" t="n">
        <f aca="false">IF(AF283="",0,IF(MATCH(AF283,$AF$4:$AF$603,0)=ROW()-3,1,0))</f>
        <v>0</v>
      </c>
      <c r="AH283" s="0" t="n">
        <f aca="false">N(AH282)+AG283</f>
        <v>5</v>
      </c>
    </row>
    <row r="284" customFormat="false" ht="13.5" hidden="false" customHeight="false" outlineLevel="0" collapsed="false">
      <c r="A284" s="0" t="str">
        <f aca="false">IF(((进销存对接!$D284="客户应收")+(进销存对接!$D284="成品销售款")+(进销存对接!$D284="公司购买果品款")+(进销存对接!$D284="筐子销售款")+(进销存对接!$D284="物料销售款"))&gt;0,进销存对接!$C284,"")</f>
        <v/>
      </c>
      <c r="B284" s="0" t="n">
        <f aca="false">IF(A284="",0,IF(MATCH(A284,$A$4:$A$1925,0)=ROW()-3,1,0))</f>
        <v>0</v>
      </c>
      <c r="C284" s="0" t="n">
        <f aca="false">N(C283)+B284</f>
        <v>6</v>
      </c>
      <c r="G284" s="0" t="n">
        <f aca="false">IF(OR($G$1="",资金日记账!$E277="",资金日记账!$E277&lt;&gt;$G$1),0,IF(NOT(OR(N(资金日记账!$H277)&lt;&gt;0,N(资金日记账!$I277)&lt;&gt;0)),0,IF(资金日记账!$B277="",1,IF(OR(N(资金日记账!$B277)&lt;$H$1,N(资金日记账!$B277)&gt;$I$1),0,1))))</f>
        <v>0</v>
      </c>
      <c r="H284" s="0" t="n">
        <f aca="false">N(H283)+$G284</f>
        <v>3</v>
      </c>
      <c r="I284" s="0" t="str">
        <f aca="false">IF($G284=0,"",IF(资金日记账!$B277=0,"",资金日记账!$B277))</f>
        <v/>
      </c>
      <c r="J284" s="0" t="str">
        <f aca="false">IF($G284=0,"",IF(资金日记账!$D277=0,"",资金日记账!$D277))</f>
        <v/>
      </c>
      <c r="K284" s="0" t="str">
        <f aca="false">IF($G284=0,"",IF(""=0,"",""))</f>
        <v/>
      </c>
      <c r="L284" s="0" t="str">
        <f aca="false">IF($G284=0,"",IF(""=0,"",""))</f>
        <v/>
      </c>
      <c r="M284" s="0" t="str">
        <f aca="false">IF($G284=0,"",IF(""=0,"",""))</f>
        <v/>
      </c>
      <c r="N284" s="0" t="str">
        <f aca="false">IF($G284=0,"",IF(IF(N(资金日记账!$I277)=0,"",-ROUND(N(资金日记账!$I277),2))=0,"",IF(N(资金日记账!$I277)=0,"",-ROUND(N(资金日记账!$I277),2))))</f>
        <v/>
      </c>
      <c r="O284" s="0" t="str">
        <f aca="false">IF($G284=0,"",IF(IF(N(资金日记账!$H277)=0,"",ROUND(N(资金日记账!$H277),2))=0,"",IF(N(资金日记账!$H277)=0,"",ROUND(N(资金日记账!$H277),2))))</f>
        <v/>
      </c>
      <c r="P284" s="0" t="str">
        <f aca="false">IF($G284=0,"",IF(资金日记账!$L277=0,"",资金日记账!$L277))</f>
        <v/>
      </c>
      <c r="T284" s="0" t="str">
        <f aca="false">IF(资金日记账!$G284="","",资金日记账!$G284)</f>
        <v/>
      </c>
      <c r="U284" s="0" t="n">
        <f aca="false">IF(T284="",0,IF(MATCH(T284,$T$4:$T$903,0)=ROW()-3,1,0))</f>
        <v>0</v>
      </c>
      <c r="V284" s="0" t="n">
        <f aca="false">N(V283)+U284</f>
        <v>30</v>
      </c>
      <c r="Z284" s="0" t="str">
        <f aca="false">IF(成本费用登记表!$C284="","",成本费用登记表!$C284)</f>
        <v/>
      </c>
      <c r="AA284" s="0" t="n">
        <f aca="false">IF(Z284="",0,IF(MATCH(Z284,$Z$4:$Z$303,0)=ROW()-3,1,0))</f>
        <v>0</v>
      </c>
      <c r="AB284" s="0" t="n">
        <f aca="false">N(AB283)+AA284</f>
        <v>0</v>
      </c>
      <c r="AF284" s="0" t="str">
        <f aca="false">IF(OR(资金日记账!$E284="",N(资金日记账!$H284)=0),"",资金日记账!$E284)</f>
        <v/>
      </c>
      <c r="AG284" s="0" t="n">
        <f aca="false">IF(AF284="",0,IF(MATCH(AF284,$AF$4:$AF$603,0)=ROW()-3,1,0))</f>
        <v>0</v>
      </c>
      <c r="AH284" s="0" t="n">
        <f aca="false">N(AH283)+AG284</f>
        <v>5</v>
      </c>
    </row>
    <row r="285" customFormat="false" ht="13.5" hidden="false" customHeight="false" outlineLevel="0" collapsed="false">
      <c r="A285" s="0" t="str">
        <f aca="false">IF(((进销存对接!$D285="客户应收")+(进销存对接!$D285="成品销售款")+(进销存对接!$D285="公司购买果品款")+(进销存对接!$D285="筐子销售款")+(进销存对接!$D285="物料销售款"))&gt;0,进销存对接!$C285,"")</f>
        <v/>
      </c>
      <c r="B285" s="0" t="n">
        <f aca="false">IF(A285="",0,IF(MATCH(A285,$A$4:$A$1925,0)=ROW()-3,1,0))</f>
        <v>0</v>
      </c>
      <c r="C285" s="0" t="n">
        <f aca="false">N(C284)+B285</f>
        <v>6</v>
      </c>
      <c r="G285" s="0" t="n">
        <f aca="false">IF(OR($G$1="",资金日记账!$E278="",资金日记账!$E278&lt;&gt;$G$1),0,IF(NOT(OR(N(资金日记账!$H278)&lt;&gt;0,N(资金日记账!$I278)&lt;&gt;0)),0,IF(资金日记账!$B278="",1,IF(OR(N(资金日记账!$B278)&lt;$H$1,N(资金日记账!$B278)&gt;$I$1),0,1))))</f>
        <v>0</v>
      </c>
      <c r="H285" s="0" t="n">
        <f aca="false">N(H284)+$G285</f>
        <v>3</v>
      </c>
      <c r="I285" s="0" t="str">
        <f aca="false">IF($G285=0,"",IF(资金日记账!$B278=0,"",资金日记账!$B278))</f>
        <v/>
      </c>
      <c r="J285" s="0" t="str">
        <f aca="false">IF($G285=0,"",IF(资金日记账!$D278=0,"",资金日记账!$D278))</f>
        <v/>
      </c>
      <c r="K285" s="0" t="str">
        <f aca="false">IF($G285=0,"",IF(""=0,"",""))</f>
        <v/>
      </c>
      <c r="L285" s="0" t="str">
        <f aca="false">IF($G285=0,"",IF(""=0,"",""))</f>
        <v/>
      </c>
      <c r="M285" s="0" t="str">
        <f aca="false">IF($G285=0,"",IF(""=0,"",""))</f>
        <v/>
      </c>
      <c r="N285" s="0" t="str">
        <f aca="false">IF($G285=0,"",IF(IF(N(资金日记账!$I278)=0,"",-ROUND(N(资金日记账!$I278),2))=0,"",IF(N(资金日记账!$I278)=0,"",-ROUND(N(资金日记账!$I278),2))))</f>
        <v/>
      </c>
      <c r="O285" s="0" t="str">
        <f aca="false">IF($G285=0,"",IF(IF(N(资金日记账!$H278)=0,"",ROUND(N(资金日记账!$H278),2))=0,"",IF(N(资金日记账!$H278)=0,"",ROUND(N(资金日记账!$H278),2))))</f>
        <v/>
      </c>
      <c r="P285" s="0" t="str">
        <f aca="false">IF($G285=0,"",IF(资金日记账!$L278=0,"",资金日记账!$L278))</f>
        <v/>
      </c>
      <c r="T285" s="0" t="str">
        <f aca="false">IF(资金日记账!$G285="","",资金日记账!$G285)</f>
        <v/>
      </c>
      <c r="U285" s="0" t="n">
        <f aca="false">IF(T285="",0,IF(MATCH(T285,$T$4:$T$903,0)=ROW()-3,1,0))</f>
        <v>0</v>
      </c>
      <c r="V285" s="0" t="n">
        <f aca="false">N(V284)+U285</f>
        <v>30</v>
      </c>
      <c r="Z285" s="0" t="str">
        <f aca="false">IF(成本费用登记表!$C285="","",成本费用登记表!$C285)</f>
        <v/>
      </c>
      <c r="AA285" s="0" t="n">
        <f aca="false">IF(Z285="",0,IF(MATCH(Z285,$Z$4:$Z$303,0)=ROW()-3,1,0))</f>
        <v>0</v>
      </c>
      <c r="AB285" s="0" t="n">
        <f aca="false">N(AB284)+AA285</f>
        <v>0</v>
      </c>
      <c r="AF285" s="0" t="str">
        <f aca="false">IF(OR(资金日记账!$E285="",N(资金日记账!$H285)=0),"",资金日记账!$E285)</f>
        <v/>
      </c>
      <c r="AG285" s="0" t="n">
        <f aca="false">IF(AF285="",0,IF(MATCH(AF285,$AF$4:$AF$603,0)=ROW()-3,1,0))</f>
        <v>0</v>
      </c>
      <c r="AH285" s="0" t="n">
        <f aca="false">N(AH284)+AG285</f>
        <v>5</v>
      </c>
    </row>
    <row r="286" customFormat="false" ht="13.5" hidden="false" customHeight="false" outlineLevel="0" collapsed="false">
      <c r="A286" s="0" t="str">
        <f aca="false">IF(((进销存对接!$D286="客户应收")+(进销存对接!$D286="成品销售款")+(进销存对接!$D286="公司购买果品款")+(进销存对接!$D286="筐子销售款")+(进销存对接!$D286="物料销售款"))&gt;0,进销存对接!$C286,"")</f>
        <v/>
      </c>
      <c r="B286" s="0" t="n">
        <f aca="false">IF(A286="",0,IF(MATCH(A286,$A$4:$A$1925,0)=ROW()-3,1,0))</f>
        <v>0</v>
      </c>
      <c r="C286" s="0" t="n">
        <f aca="false">N(C285)+B286</f>
        <v>6</v>
      </c>
      <c r="G286" s="0" t="n">
        <f aca="false">IF(OR($G$1="",资金日记账!$E279="",资金日记账!$E279&lt;&gt;$G$1),0,IF(NOT(OR(N(资金日记账!$H279)&lt;&gt;0,N(资金日记账!$I279)&lt;&gt;0)),0,IF(资金日记账!$B279="",1,IF(OR(N(资金日记账!$B279)&lt;$H$1,N(资金日记账!$B279)&gt;$I$1),0,1))))</f>
        <v>0</v>
      </c>
      <c r="H286" s="0" t="n">
        <f aca="false">N(H285)+$G286</f>
        <v>3</v>
      </c>
      <c r="I286" s="0" t="str">
        <f aca="false">IF($G286=0,"",IF(资金日记账!$B279=0,"",资金日记账!$B279))</f>
        <v/>
      </c>
      <c r="J286" s="0" t="str">
        <f aca="false">IF($G286=0,"",IF(资金日记账!$D279=0,"",资金日记账!$D279))</f>
        <v/>
      </c>
      <c r="K286" s="0" t="str">
        <f aca="false">IF($G286=0,"",IF(""=0,"",""))</f>
        <v/>
      </c>
      <c r="L286" s="0" t="str">
        <f aca="false">IF($G286=0,"",IF(""=0,"",""))</f>
        <v/>
      </c>
      <c r="M286" s="0" t="str">
        <f aca="false">IF($G286=0,"",IF(""=0,"",""))</f>
        <v/>
      </c>
      <c r="N286" s="0" t="str">
        <f aca="false">IF($G286=0,"",IF(IF(N(资金日记账!$I279)=0,"",-ROUND(N(资金日记账!$I279),2))=0,"",IF(N(资金日记账!$I279)=0,"",-ROUND(N(资金日记账!$I279),2))))</f>
        <v/>
      </c>
      <c r="O286" s="0" t="str">
        <f aca="false">IF($G286=0,"",IF(IF(N(资金日记账!$H279)=0,"",ROUND(N(资金日记账!$H279),2))=0,"",IF(N(资金日记账!$H279)=0,"",ROUND(N(资金日记账!$H279),2))))</f>
        <v/>
      </c>
      <c r="P286" s="0" t="str">
        <f aca="false">IF($G286=0,"",IF(资金日记账!$L279=0,"",资金日记账!$L279))</f>
        <v/>
      </c>
      <c r="T286" s="0" t="str">
        <f aca="false">IF(资金日记账!$G286="","",资金日记账!$G286)</f>
        <v/>
      </c>
      <c r="U286" s="0" t="n">
        <f aca="false">IF(T286="",0,IF(MATCH(T286,$T$4:$T$903,0)=ROW()-3,1,0))</f>
        <v>0</v>
      </c>
      <c r="V286" s="0" t="n">
        <f aca="false">N(V285)+U286</f>
        <v>30</v>
      </c>
      <c r="Z286" s="0" t="str">
        <f aca="false">IF(成本费用登记表!$C286="","",成本费用登记表!$C286)</f>
        <v/>
      </c>
      <c r="AA286" s="0" t="n">
        <f aca="false">IF(Z286="",0,IF(MATCH(Z286,$Z$4:$Z$303,0)=ROW()-3,1,0))</f>
        <v>0</v>
      </c>
      <c r="AB286" s="0" t="n">
        <f aca="false">N(AB285)+AA286</f>
        <v>0</v>
      </c>
      <c r="AF286" s="0" t="str">
        <f aca="false">IF(OR(资金日记账!$E286="",N(资金日记账!$H286)=0),"",资金日记账!$E286)</f>
        <v/>
      </c>
      <c r="AG286" s="0" t="n">
        <f aca="false">IF(AF286="",0,IF(MATCH(AF286,$AF$4:$AF$603,0)=ROW()-3,1,0))</f>
        <v>0</v>
      </c>
      <c r="AH286" s="0" t="n">
        <f aca="false">N(AH285)+AG286</f>
        <v>5</v>
      </c>
    </row>
    <row r="287" customFormat="false" ht="13.5" hidden="false" customHeight="false" outlineLevel="0" collapsed="false">
      <c r="A287" s="0" t="str">
        <f aca="false">IF(((进销存对接!$D287="客户应收")+(进销存对接!$D287="成品销售款")+(进销存对接!$D287="公司购买果品款")+(进销存对接!$D287="筐子销售款")+(进销存对接!$D287="物料销售款"))&gt;0,进销存对接!$C287,"")</f>
        <v/>
      </c>
      <c r="B287" s="0" t="n">
        <f aca="false">IF(A287="",0,IF(MATCH(A287,$A$4:$A$1925,0)=ROW()-3,1,0))</f>
        <v>0</v>
      </c>
      <c r="C287" s="0" t="n">
        <f aca="false">N(C286)+B287</f>
        <v>6</v>
      </c>
      <c r="G287" s="0" t="n">
        <f aca="false">IF(OR($G$1="",资金日记账!$E280="",资金日记账!$E280&lt;&gt;$G$1),0,IF(NOT(OR(N(资金日记账!$H280)&lt;&gt;0,N(资金日记账!$I280)&lt;&gt;0)),0,IF(资金日记账!$B280="",1,IF(OR(N(资金日记账!$B280)&lt;$H$1,N(资金日记账!$B280)&gt;$I$1),0,1))))</f>
        <v>0</v>
      </c>
      <c r="H287" s="0" t="n">
        <f aca="false">N(H286)+$G287</f>
        <v>3</v>
      </c>
      <c r="I287" s="0" t="str">
        <f aca="false">IF($G287=0,"",IF(资金日记账!$B280=0,"",资金日记账!$B280))</f>
        <v/>
      </c>
      <c r="J287" s="0" t="str">
        <f aca="false">IF($G287=0,"",IF(资金日记账!$D280=0,"",资金日记账!$D280))</f>
        <v/>
      </c>
      <c r="K287" s="0" t="str">
        <f aca="false">IF($G287=0,"",IF(""=0,"",""))</f>
        <v/>
      </c>
      <c r="L287" s="0" t="str">
        <f aca="false">IF($G287=0,"",IF(""=0,"",""))</f>
        <v/>
      </c>
      <c r="M287" s="0" t="str">
        <f aca="false">IF($G287=0,"",IF(""=0,"",""))</f>
        <v/>
      </c>
      <c r="N287" s="0" t="str">
        <f aca="false">IF($G287=0,"",IF(IF(N(资金日记账!$I280)=0,"",-ROUND(N(资金日记账!$I280),2))=0,"",IF(N(资金日记账!$I280)=0,"",-ROUND(N(资金日记账!$I280),2))))</f>
        <v/>
      </c>
      <c r="O287" s="0" t="str">
        <f aca="false">IF($G287=0,"",IF(IF(N(资金日记账!$H280)=0,"",ROUND(N(资金日记账!$H280),2))=0,"",IF(N(资金日记账!$H280)=0,"",ROUND(N(资金日记账!$H280),2))))</f>
        <v/>
      </c>
      <c r="P287" s="0" t="str">
        <f aca="false">IF($G287=0,"",IF(资金日记账!$L280=0,"",资金日记账!$L280))</f>
        <v/>
      </c>
      <c r="T287" s="0" t="str">
        <f aca="false">IF(资金日记账!$G287="","",资金日记账!$G287)</f>
        <v/>
      </c>
      <c r="U287" s="0" t="n">
        <f aca="false">IF(T287="",0,IF(MATCH(T287,$T$4:$T$903,0)=ROW()-3,1,0))</f>
        <v>0</v>
      </c>
      <c r="V287" s="0" t="n">
        <f aca="false">N(V286)+U287</f>
        <v>30</v>
      </c>
      <c r="Z287" s="0" t="str">
        <f aca="false">IF(成本费用登记表!$C287="","",成本费用登记表!$C287)</f>
        <v/>
      </c>
      <c r="AA287" s="0" t="n">
        <f aca="false">IF(Z287="",0,IF(MATCH(Z287,$Z$4:$Z$303,0)=ROW()-3,1,0))</f>
        <v>0</v>
      </c>
      <c r="AB287" s="0" t="n">
        <f aca="false">N(AB286)+AA287</f>
        <v>0</v>
      </c>
      <c r="AF287" s="0" t="str">
        <f aca="false">IF(OR(资金日记账!$E287="",N(资金日记账!$H287)=0),"",资金日记账!$E287)</f>
        <v/>
      </c>
      <c r="AG287" s="0" t="n">
        <f aca="false">IF(AF287="",0,IF(MATCH(AF287,$AF$4:$AF$603,0)=ROW()-3,1,0))</f>
        <v>0</v>
      </c>
      <c r="AH287" s="0" t="n">
        <f aca="false">N(AH286)+AG287</f>
        <v>5</v>
      </c>
    </row>
    <row r="288" customFormat="false" ht="13.5" hidden="false" customHeight="false" outlineLevel="0" collapsed="false">
      <c r="A288" s="0" t="str">
        <f aca="false">IF(((进销存对接!$D288="客户应收")+(进销存对接!$D288="成品销售款")+(进销存对接!$D288="公司购买果品款")+(进销存对接!$D288="筐子销售款")+(进销存对接!$D288="物料销售款"))&gt;0,进销存对接!$C288,"")</f>
        <v/>
      </c>
      <c r="B288" s="0" t="n">
        <f aca="false">IF(A288="",0,IF(MATCH(A288,$A$4:$A$1925,0)=ROW()-3,1,0))</f>
        <v>0</v>
      </c>
      <c r="C288" s="0" t="n">
        <f aca="false">N(C287)+B288</f>
        <v>6</v>
      </c>
      <c r="G288" s="0" t="n">
        <f aca="false">IF(OR($G$1="",资金日记账!$E281="",资金日记账!$E281&lt;&gt;$G$1),0,IF(NOT(OR(N(资金日记账!$H281)&lt;&gt;0,N(资金日记账!$I281)&lt;&gt;0)),0,IF(资金日记账!$B281="",1,IF(OR(N(资金日记账!$B281)&lt;$H$1,N(资金日记账!$B281)&gt;$I$1),0,1))))</f>
        <v>0</v>
      </c>
      <c r="H288" s="0" t="n">
        <f aca="false">N(H287)+$G288</f>
        <v>3</v>
      </c>
      <c r="I288" s="0" t="str">
        <f aca="false">IF($G288=0,"",IF(资金日记账!$B281=0,"",资金日记账!$B281))</f>
        <v/>
      </c>
      <c r="J288" s="0" t="str">
        <f aca="false">IF($G288=0,"",IF(资金日记账!$D281=0,"",资金日记账!$D281))</f>
        <v/>
      </c>
      <c r="K288" s="0" t="str">
        <f aca="false">IF($G288=0,"",IF(""=0,"",""))</f>
        <v/>
      </c>
      <c r="L288" s="0" t="str">
        <f aca="false">IF($G288=0,"",IF(""=0,"",""))</f>
        <v/>
      </c>
      <c r="M288" s="0" t="str">
        <f aca="false">IF($G288=0,"",IF(""=0,"",""))</f>
        <v/>
      </c>
      <c r="N288" s="0" t="str">
        <f aca="false">IF($G288=0,"",IF(IF(N(资金日记账!$I281)=0,"",-ROUND(N(资金日记账!$I281),2))=0,"",IF(N(资金日记账!$I281)=0,"",-ROUND(N(资金日记账!$I281),2))))</f>
        <v/>
      </c>
      <c r="O288" s="0" t="str">
        <f aca="false">IF($G288=0,"",IF(IF(N(资金日记账!$H281)=0,"",ROUND(N(资金日记账!$H281),2))=0,"",IF(N(资金日记账!$H281)=0,"",ROUND(N(资金日记账!$H281),2))))</f>
        <v/>
      </c>
      <c r="P288" s="0" t="str">
        <f aca="false">IF($G288=0,"",IF(资金日记账!$L281=0,"",资金日记账!$L281))</f>
        <v/>
      </c>
      <c r="T288" s="0" t="str">
        <f aca="false">IF(资金日记账!$G288="","",资金日记账!$G288)</f>
        <v/>
      </c>
      <c r="U288" s="0" t="n">
        <f aca="false">IF(T288="",0,IF(MATCH(T288,$T$4:$T$903,0)=ROW()-3,1,0))</f>
        <v>0</v>
      </c>
      <c r="V288" s="0" t="n">
        <f aca="false">N(V287)+U288</f>
        <v>30</v>
      </c>
      <c r="Z288" s="0" t="str">
        <f aca="false">IF(成本费用登记表!$C288="","",成本费用登记表!$C288)</f>
        <v/>
      </c>
      <c r="AA288" s="0" t="n">
        <f aca="false">IF(Z288="",0,IF(MATCH(Z288,$Z$4:$Z$303,0)=ROW()-3,1,0))</f>
        <v>0</v>
      </c>
      <c r="AB288" s="0" t="n">
        <f aca="false">N(AB287)+AA288</f>
        <v>0</v>
      </c>
      <c r="AF288" s="0" t="str">
        <f aca="false">IF(OR(资金日记账!$E288="",N(资金日记账!$H288)=0),"",资金日记账!$E288)</f>
        <v/>
      </c>
      <c r="AG288" s="0" t="n">
        <f aca="false">IF(AF288="",0,IF(MATCH(AF288,$AF$4:$AF$603,0)=ROW()-3,1,0))</f>
        <v>0</v>
      </c>
      <c r="AH288" s="0" t="n">
        <f aca="false">N(AH287)+AG288</f>
        <v>5</v>
      </c>
    </row>
    <row r="289" customFormat="false" ht="13.5" hidden="false" customHeight="false" outlineLevel="0" collapsed="false">
      <c r="A289" s="0" t="str">
        <f aca="false">IF(((进销存对接!$D289="客户应收")+(进销存对接!$D289="成品销售款")+(进销存对接!$D289="公司购买果品款")+(进销存对接!$D289="筐子销售款")+(进销存对接!$D289="物料销售款"))&gt;0,进销存对接!$C289,"")</f>
        <v/>
      </c>
      <c r="B289" s="0" t="n">
        <f aca="false">IF(A289="",0,IF(MATCH(A289,$A$4:$A$1925,0)=ROW()-3,1,0))</f>
        <v>0</v>
      </c>
      <c r="C289" s="0" t="n">
        <f aca="false">N(C288)+B289</f>
        <v>6</v>
      </c>
      <c r="G289" s="0" t="n">
        <f aca="false">IF(OR($G$1="",资金日记账!$E282="",资金日记账!$E282&lt;&gt;$G$1),0,IF(NOT(OR(N(资金日记账!$H282)&lt;&gt;0,N(资金日记账!$I282)&lt;&gt;0)),0,IF(资金日记账!$B282="",1,IF(OR(N(资金日记账!$B282)&lt;$H$1,N(资金日记账!$B282)&gt;$I$1),0,1))))</f>
        <v>0</v>
      </c>
      <c r="H289" s="0" t="n">
        <f aca="false">N(H288)+$G289</f>
        <v>3</v>
      </c>
      <c r="I289" s="0" t="str">
        <f aca="false">IF($G289=0,"",IF(资金日记账!$B282=0,"",资金日记账!$B282))</f>
        <v/>
      </c>
      <c r="J289" s="0" t="str">
        <f aca="false">IF($G289=0,"",IF(资金日记账!$D282=0,"",资金日记账!$D282))</f>
        <v/>
      </c>
      <c r="K289" s="0" t="str">
        <f aca="false">IF($G289=0,"",IF(""=0,"",""))</f>
        <v/>
      </c>
      <c r="L289" s="0" t="str">
        <f aca="false">IF($G289=0,"",IF(""=0,"",""))</f>
        <v/>
      </c>
      <c r="M289" s="0" t="str">
        <f aca="false">IF($G289=0,"",IF(""=0,"",""))</f>
        <v/>
      </c>
      <c r="N289" s="0" t="str">
        <f aca="false">IF($G289=0,"",IF(IF(N(资金日记账!$I282)=0,"",-ROUND(N(资金日记账!$I282),2))=0,"",IF(N(资金日记账!$I282)=0,"",-ROUND(N(资金日记账!$I282),2))))</f>
        <v/>
      </c>
      <c r="O289" s="0" t="str">
        <f aca="false">IF($G289=0,"",IF(IF(N(资金日记账!$H282)=0,"",ROUND(N(资金日记账!$H282),2))=0,"",IF(N(资金日记账!$H282)=0,"",ROUND(N(资金日记账!$H282),2))))</f>
        <v/>
      </c>
      <c r="P289" s="0" t="str">
        <f aca="false">IF($G289=0,"",IF(资金日记账!$L282=0,"",资金日记账!$L282))</f>
        <v/>
      </c>
      <c r="T289" s="0" t="str">
        <f aca="false">IF(资金日记账!$G289="","",资金日记账!$G289)</f>
        <v/>
      </c>
      <c r="U289" s="0" t="n">
        <f aca="false">IF(T289="",0,IF(MATCH(T289,$T$4:$T$903,0)=ROW()-3,1,0))</f>
        <v>0</v>
      </c>
      <c r="V289" s="0" t="n">
        <f aca="false">N(V288)+U289</f>
        <v>30</v>
      </c>
      <c r="Z289" s="0" t="str">
        <f aca="false">IF(成本费用登记表!$C289="","",成本费用登记表!$C289)</f>
        <v/>
      </c>
      <c r="AA289" s="0" t="n">
        <f aca="false">IF(Z289="",0,IF(MATCH(Z289,$Z$4:$Z$303,0)=ROW()-3,1,0))</f>
        <v>0</v>
      </c>
      <c r="AB289" s="0" t="n">
        <f aca="false">N(AB288)+AA289</f>
        <v>0</v>
      </c>
      <c r="AF289" s="0" t="str">
        <f aca="false">IF(OR(资金日记账!$E289="",N(资金日记账!$H289)=0),"",资金日记账!$E289)</f>
        <v/>
      </c>
      <c r="AG289" s="0" t="n">
        <f aca="false">IF(AF289="",0,IF(MATCH(AF289,$AF$4:$AF$603,0)=ROW()-3,1,0))</f>
        <v>0</v>
      </c>
      <c r="AH289" s="0" t="n">
        <f aca="false">N(AH288)+AG289</f>
        <v>5</v>
      </c>
    </row>
    <row r="290" customFormat="false" ht="13.5" hidden="false" customHeight="false" outlineLevel="0" collapsed="false">
      <c r="A290" s="0" t="str">
        <f aca="false">IF(((进销存对接!$D290="客户应收")+(进销存对接!$D290="成品销售款")+(进销存对接!$D290="公司购买果品款")+(进销存对接!$D290="筐子销售款")+(进销存对接!$D290="物料销售款"))&gt;0,进销存对接!$C290,"")</f>
        <v/>
      </c>
      <c r="B290" s="0" t="n">
        <f aca="false">IF(A290="",0,IF(MATCH(A290,$A$4:$A$1925,0)=ROW()-3,1,0))</f>
        <v>0</v>
      </c>
      <c r="C290" s="0" t="n">
        <f aca="false">N(C289)+B290</f>
        <v>6</v>
      </c>
      <c r="G290" s="0" t="n">
        <f aca="false">IF(OR($G$1="",资金日记账!$E283="",资金日记账!$E283&lt;&gt;$G$1),0,IF(NOT(OR(N(资金日记账!$H283)&lt;&gt;0,N(资金日记账!$I283)&lt;&gt;0)),0,IF(资金日记账!$B283="",1,IF(OR(N(资金日记账!$B283)&lt;$H$1,N(资金日记账!$B283)&gt;$I$1),0,1))))</f>
        <v>0</v>
      </c>
      <c r="H290" s="0" t="n">
        <f aca="false">N(H289)+$G290</f>
        <v>3</v>
      </c>
      <c r="I290" s="0" t="str">
        <f aca="false">IF($G290=0,"",IF(资金日记账!$B283=0,"",资金日记账!$B283))</f>
        <v/>
      </c>
      <c r="J290" s="0" t="str">
        <f aca="false">IF($G290=0,"",IF(资金日记账!$D283=0,"",资金日记账!$D283))</f>
        <v/>
      </c>
      <c r="K290" s="0" t="str">
        <f aca="false">IF($G290=0,"",IF(""=0,"",""))</f>
        <v/>
      </c>
      <c r="L290" s="0" t="str">
        <f aca="false">IF($G290=0,"",IF(""=0,"",""))</f>
        <v/>
      </c>
      <c r="M290" s="0" t="str">
        <f aca="false">IF($G290=0,"",IF(""=0,"",""))</f>
        <v/>
      </c>
      <c r="N290" s="0" t="str">
        <f aca="false">IF($G290=0,"",IF(IF(N(资金日记账!$I283)=0,"",-ROUND(N(资金日记账!$I283),2))=0,"",IF(N(资金日记账!$I283)=0,"",-ROUND(N(资金日记账!$I283),2))))</f>
        <v/>
      </c>
      <c r="O290" s="0" t="str">
        <f aca="false">IF($G290=0,"",IF(IF(N(资金日记账!$H283)=0,"",ROUND(N(资金日记账!$H283),2))=0,"",IF(N(资金日记账!$H283)=0,"",ROUND(N(资金日记账!$H283),2))))</f>
        <v/>
      </c>
      <c r="P290" s="0" t="str">
        <f aca="false">IF($G290=0,"",IF(资金日记账!$L283=0,"",资金日记账!$L283))</f>
        <v/>
      </c>
      <c r="T290" s="0" t="str">
        <f aca="false">IF(资金日记账!$G290="","",资金日记账!$G290)</f>
        <v/>
      </c>
      <c r="U290" s="0" t="n">
        <f aca="false">IF(T290="",0,IF(MATCH(T290,$T$4:$T$903,0)=ROW()-3,1,0))</f>
        <v>0</v>
      </c>
      <c r="V290" s="0" t="n">
        <f aca="false">N(V289)+U290</f>
        <v>30</v>
      </c>
      <c r="Z290" s="0" t="str">
        <f aca="false">IF(成本费用登记表!$C290="","",成本费用登记表!$C290)</f>
        <v/>
      </c>
      <c r="AA290" s="0" t="n">
        <f aca="false">IF(Z290="",0,IF(MATCH(Z290,$Z$4:$Z$303,0)=ROW()-3,1,0))</f>
        <v>0</v>
      </c>
      <c r="AB290" s="0" t="n">
        <f aca="false">N(AB289)+AA290</f>
        <v>0</v>
      </c>
      <c r="AF290" s="0" t="str">
        <f aca="false">IF(OR(资金日记账!$E290="",N(资金日记账!$H290)=0),"",资金日记账!$E290)</f>
        <v/>
      </c>
      <c r="AG290" s="0" t="n">
        <f aca="false">IF(AF290="",0,IF(MATCH(AF290,$AF$4:$AF$603,0)=ROW()-3,1,0))</f>
        <v>0</v>
      </c>
      <c r="AH290" s="0" t="n">
        <f aca="false">N(AH289)+AG290</f>
        <v>5</v>
      </c>
    </row>
    <row r="291" customFormat="false" ht="13.5" hidden="false" customHeight="false" outlineLevel="0" collapsed="false">
      <c r="A291" s="0" t="str">
        <f aca="false">IF(((进销存对接!$D291="客户应收")+(进销存对接!$D291="成品销售款")+(进销存对接!$D291="公司购买果品款")+(进销存对接!$D291="筐子销售款")+(进销存对接!$D291="物料销售款"))&gt;0,进销存对接!$C291,"")</f>
        <v/>
      </c>
      <c r="B291" s="0" t="n">
        <f aca="false">IF(A291="",0,IF(MATCH(A291,$A$4:$A$1925,0)=ROW()-3,1,0))</f>
        <v>0</v>
      </c>
      <c r="C291" s="0" t="n">
        <f aca="false">N(C290)+B291</f>
        <v>6</v>
      </c>
      <c r="G291" s="0" t="n">
        <f aca="false">IF(OR($G$1="",资金日记账!$E284="",资金日记账!$E284&lt;&gt;$G$1),0,IF(NOT(OR(N(资金日记账!$H284)&lt;&gt;0,N(资金日记账!$I284)&lt;&gt;0)),0,IF(资金日记账!$B284="",1,IF(OR(N(资金日记账!$B284)&lt;$H$1,N(资金日记账!$B284)&gt;$I$1),0,1))))</f>
        <v>0</v>
      </c>
      <c r="H291" s="0" t="n">
        <f aca="false">N(H290)+$G291</f>
        <v>3</v>
      </c>
      <c r="I291" s="0" t="str">
        <f aca="false">IF($G291=0,"",IF(资金日记账!$B284=0,"",资金日记账!$B284))</f>
        <v/>
      </c>
      <c r="J291" s="0" t="str">
        <f aca="false">IF($G291=0,"",IF(资金日记账!$D284=0,"",资金日记账!$D284))</f>
        <v/>
      </c>
      <c r="K291" s="0" t="str">
        <f aca="false">IF($G291=0,"",IF(""=0,"",""))</f>
        <v/>
      </c>
      <c r="L291" s="0" t="str">
        <f aca="false">IF($G291=0,"",IF(""=0,"",""))</f>
        <v/>
      </c>
      <c r="M291" s="0" t="str">
        <f aca="false">IF($G291=0,"",IF(""=0,"",""))</f>
        <v/>
      </c>
      <c r="N291" s="0" t="str">
        <f aca="false">IF($G291=0,"",IF(IF(N(资金日记账!$I284)=0,"",-ROUND(N(资金日记账!$I284),2))=0,"",IF(N(资金日记账!$I284)=0,"",-ROUND(N(资金日记账!$I284),2))))</f>
        <v/>
      </c>
      <c r="O291" s="0" t="str">
        <f aca="false">IF($G291=0,"",IF(IF(N(资金日记账!$H284)=0,"",ROUND(N(资金日记账!$H284),2))=0,"",IF(N(资金日记账!$H284)=0,"",ROUND(N(资金日记账!$H284),2))))</f>
        <v/>
      </c>
      <c r="P291" s="0" t="str">
        <f aca="false">IF($G291=0,"",IF(资金日记账!$L284=0,"",资金日记账!$L284))</f>
        <v/>
      </c>
      <c r="T291" s="0" t="str">
        <f aca="false">IF(资金日记账!$G291="","",资金日记账!$G291)</f>
        <v/>
      </c>
      <c r="U291" s="0" t="n">
        <f aca="false">IF(T291="",0,IF(MATCH(T291,$T$4:$T$903,0)=ROW()-3,1,0))</f>
        <v>0</v>
      </c>
      <c r="V291" s="0" t="n">
        <f aca="false">N(V290)+U291</f>
        <v>30</v>
      </c>
      <c r="Z291" s="0" t="str">
        <f aca="false">IF(成本费用登记表!$C291="","",成本费用登记表!$C291)</f>
        <v/>
      </c>
      <c r="AA291" s="0" t="n">
        <f aca="false">IF(Z291="",0,IF(MATCH(Z291,$Z$4:$Z$303,0)=ROW()-3,1,0))</f>
        <v>0</v>
      </c>
      <c r="AB291" s="0" t="n">
        <f aca="false">N(AB290)+AA291</f>
        <v>0</v>
      </c>
      <c r="AF291" s="0" t="str">
        <f aca="false">IF(OR(资金日记账!$E291="",N(资金日记账!$H291)=0),"",资金日记账!$E291)</f>
        <v/>
      </c>
      <c r="AG291" s="0" t="n">
        <f aca="false">IF(AF291="",0,IF(MATCH(AF291,$AF$4:$AF$603,0)=ROW()-3,1,0))</f>
        <v>0</v>
      </c>
      <c r="AH291" s="0" t="n">
        <f aca="false">N(AH290)+AG291</f>
        <v>5</v>
      </c>
    </row>
    <row r="292" customFormat="false" ht="13.5" hidden="false" customHeight="false" outlineLevel="0" collapsed="false">
      <c r="A292" s="0" t="str">
        <f aca="false">IF(((进销存对接!$D292="客户应收")+(进销存对接!$D292="成品销售款")+(进销存对接!$D292="公司购买果品款")+(进销存对接!$D292="筐子销售款")+(进销存对接!$D292="物料销售款"))&gt;0,进销存对接!$C292,"")</f>
        <v/>
      </c>
      <c r="B292" s="0" t="n">
        <f aca="false">IF(A292="",0,IF(MATCH(A292,$A$4:$A$1925,0)=ROW()-3,1,0))</f>
        <v>0</v>
      </c>
      <c r="C292" s="0" t="n">
        <f aca="false">N(C291)+B292</f>
        <v>6</v>
      </c>
      <c r="G292" s="0" t="n">
        <f aca="false">IF(OR($G$1="",资金日记账!$E285="",资金日记账!$E285&lt;&gt;$G$1),0,IF(NOT(OR(N(资金日记账!$H285)&lt;&gt;0,N(资金日记账!$I285)&lt;&gt;0)),0,IF(资金日记账!$B285="",1,IF(OR(N(资金日记账!$B285)&lt;$H$1,N(资金日记账!$B285)&gt;$I$1),0,1))))</f>
        <v>0</v>
      </c>
      <c r="H292" s="0" t="n">
        <f aca="false">N(H291)+$G292</f>
        <v>3</v>
      </c>
      <c r="I292" s="0" t="str">
        <f aca="false">IF($G292=0,"",IF(资金日记账!$B285=0,"",资金日记账!$B285))</f>
        <v/>
      </c>
      <c r="J292" s="0" t="str">
        <f aca="false">IF($G292=0,"",IF(资金日记账!$D285=0,"",资金日记账!$D285))</f>
        <v/>
      </c>
      <c r="K292" s="0" t="str">
        <f aca="false">IF($G292=0,"",IF(""=0,"",""))</f>
        <v/>
      </c>
      <c r="L292" s="0" t="str">
        <f aca="false">IF($G292=0,"",IF(""=0,"",""))</f>
        <v/>
      </c>
      <c r="M292" s="0" t="str">
        <f aca="false">IF($G292=0,"",IF(""=0,"",""))</f>
        <v/>
      </c>
      <c r="N292" s="0" t="str">
        <f aca="false">IF($G292=0,"",IF(IF(N(资金日记账!$I285)=0,"",-ROUND(N(资金日记账!$I285),2))=0,"",IF(N(资金日记账!$I285)=0,"",-ROUND(N(资金日记账!$I285),2))))</f>
        <v/>
      </c>
      <c r="O292" s="0" t="str">
        <f aca="false">IF($G292=0,"",IF(IF(N(资金日记账!$H285)=0,"",ROUND(N(资金日记账!$H285),2))=0,"",IF(N(资金日记账!$H285)=0,"",ROUND(N(资金日记账!$H285),2))))</f>
        <v/>
      </c>
      <c r="P292" s="0" t="str">
        <f aca="false">IF($G292=0,"",IF(资金日记账!$L285=0,"",资金日记账!$L285))</f>
        <v/>
      </c>
      <c r="T292" s="0" t="str">
        <f aca="false">IF(资金日记账!$G292="","",资金日记账!$G292)</f>
        <v/>
      </c>
      <c r="U292" s="0" t="n">
        <f aca="false">IF(T292="",0,IF(MATCH(T292,$T$4:$T$903,0)=ROW()-3,1,0))</f>
        <v>0</v>
      </c>
      <c r="V292" s="0" t="n">
        <f aca="false">N(V291)+U292</f>
        <v>30</v>
      </c>
      <c r="Z292" s="0" t="str">
        <f aca="false">IF(成本费用登记表!$C292="","",成本费用登记表!$C292)</f>
        <v/>
      </c>
      <c r="AA292" s="0" t="n">
        <f aca="false">IF(Z292="",0,IF(MATCH(Z292,$Z$4:$Z$303,0)=ROW()-3,1,0))</f>
        <v>0</v>
      </c>
      <c r="AB292" s="0" t="n">
        <f aca="false">N(AB291)+AA292</f>
        <v>0</v>
      </c>
      <c r="AF292" s="0" t="str">
        <f aca="false">IF(OR(资金日记账!$E292="",N(资金日记账!$H292)=0),"",资金日记账!$E292)</f>
        <v/>
      </c>
      <c r="AG292" s="0" t="n">
        <f aca="false">IF(AF292="",0,IF(MATCH(AF292,$AF$4:$AF$603,0)=ROW()-3,1,0))</f>
        <v>0</v>
      </c>
      <c r="AH292" s="0" t="n">
        <f aca="false">N(AH291)+AG292</f>
        <v>5</v>
      </c>
    </row>
    <row r="293" customFormat="false" ht="13.5" hidden="false" customHeight="false" outlineLevel="0" collapsed="false">
      <c r="A293" s="0" t="str">
        <f aca="false">IF(((进销存对接!$D293="客户应收")+(进销存对接!$D293="成品销售款")+(进销存对接!$D293="公司购买果品款")+(进销存对接!$D293="筐子销售款")+(进销存对接!$D293="物料销售款"))&gt;0,进销存对接!$C293,"")</f>
        <v/>
      </c>
      <c r="B293" s="0" t="n">
        <f aca="false">IF(A293="",0,IF(MATCH(A293,$A$4:$A$1925,0)=ROW()-3,1,0))</f>
        <v>0</v>
      </c>
      <c r="C293" s="0" t="n">
        <f aca="false">N(C292)+B293</f>
        <v>6</v>
      </c>
      <c r="G293" s="0" t="n">
        <f aca="false">IF(OR($G$1="",资金日记账!$E286="",资金日记账!$E286&lt;&gt;$G$1),0,IF(NOT(OR(N(资金日记账!$H286)&lt;&gt;0,N(资金日记账!$I286)&lt;&gt;0)),0,IF(资金日记账!$B286="",1,IF(OR(N(资金日记账!$B286)&lt;$H$1,N(资金日记账!$B286)&gt;$I$1),0,1))))</f>
        <v>0</v>
      </c>
      <c r="H293" s="0" t="n">
        <f aca="false">N(H292)+$G293</f>
        <v>3</v>
      </c>
      <c r="I293" s="0" t="str">
        <f aca="false">IF($G293=0,"",IF(资金日记账!$B286=0,"",资金日记账!$B286))</f>
        <v/>
      </c>
      <c r="J293" s="0" t="str">
        <f aca="false">IF($G293=0,"",IF(资金日记账!$D286=0,"",资金日记账!$D286))</f>
        <v/>
      </c>
      <c r="K293" s="0" t="str">
        <f aca="false">IF($G293=0,"",IF(""=0,"",""))</f>
        <v/>
      </c>
      <c r="L293" s="0" t="str">
        <f aca="false">IF($G293=0,"",IF(""=0,"",""))</f>
        <v/>
      </c>
      <c r="M293" s="0" t="str">
        <f aca="false">IF($G293=0,"",IF(""=0,"",""))</f>
        <v/>
      </c>
      <c r="N293" s="0" t="str">
        <f aca="false">IF($G293=0,"",IF(IF(N(资金日记账!$I286)=0,"",-ROUND(N(资金日记账!$I286),2))=0,"",IF(N(资金日记账!$I286)=0,"",-ROUND(N(资金日记账!$I286),2))))</f>
        <v/>
      </c>
      <c r="O293" s="0" t="str">
        <f aca="false">IF($G293=0,"",IF(IF(N(资金日记账!$H286)=0,"",ROUND(N(资金日记账!$H286),2))=0,"",IF(N(资金日记账!$H286)=0,"",ROUND(N(资金日记账!$H286),2))))</f>
        <v/>
      </c>
      <c r="P293" s="0" t="str">
        <f aca="false">IF($G293=0,"",IF(资金日记账!$L286=0,"",资金日记账!$L286))</f>
        <v/>
      </c>
      <c r="T293" s="0" t="str">
        <f aca="false">IF(资金日记账!$G293="","",资金日记账!$G293)</f>
        <v/>
      </c>
      <c r="U293" s="0" t="n">
        <f aca="false">IF(T293="",0,IF(MATCH(T293,$T$4:$T$903,0)=ROW()-3,1,0))</f>
        <v>0</v>
      </c>
      <c r="V293" s="0" t="n">
        <f aca="false">N(V292)+U293</f>
        <v>30</v>
      </c>
      <c r="Z293" s="0" t="str">
        <f aca="false">IF(成本费用登记表!$C293="","",成本费用登记表!$C293)</f>
        <v/>
      </c>
      <c r="AA293" s="0" t="n">
        <f aca="false">IF(Z293="",0,IF(MATCH(Z293,$Z$4:$Z$303,0)=ROW()-3,1,0))</f>
        <v>0</v>
      </c>
      <c r="AB293" s="0" t="n">
        <f aca="false">N(AB292)+AA293</f>
        <v>0</v>
      </c>
      <c r="AF293" s="0" t="str">
        <f aca="false">IF(OR(资金日记账!$E293="",N(资金日记账!$H293)=0),"",资金日记账!$E293)</f>
        <v/>
      </c>
      <c r="AG293" s="0" t="n">
        <f aca="false">IF(AF293="",0,IF(MATCH(AF293,$AF$4:$AF$603,0)=ROW()-3,1,0))</f>
        <v>0</v>
      </c>
      <c r="AH293" s="0" t="n">
        <f aca="false">N(AH292)+AG293</f>
        <v>5</v>
      </c>
    </row>
    <row r="294" customFormat="false" ht="13.5" hidden="false" customHeight="false" outlineLevel="0" collapsed="false">
      <c r="A294" s="0" t="str">
        <f aca="false">IF(((进销存对接!$D294="客户应收")+(进销存对接!$D294="成品销售款")+(进销存对接!$D294="公司购买果品款")+(进销存对接!$D294="筐子销售款")+(进销存对接!$D294="物料销售款"))&gt;0,进销存对接!$C294,"")</f>
        <v/>
      </c>
      <c r="B294" s="0" t="n">
        <f aca="false">IF(A294="",0,IF(MATCH(A294,$A$4:$A$1925,0)=ROW()-3,1,0))</f>
        <v>0</v>
      </c>
      <c r="C294" s="0" t="n">
        <f aca="false">N(C293)+B294</f>
        <v>6</v>
      </c>
      <c r="G294" s="0" t="n">
        <f aca="false">IF(OR($G$1="",资金日记账!$E287="",资金日记账!$E287&lt;&gt;$G$1),0,IF(NOT(OR(N(资金日记账!$H287)&lt;&gt;0,N(资金日记账!$I287)&lt;&gt;0)),0,IF(资金日记账!$B287="",1,IF(OR(N(资金日记账!$B287)&lt;$H$1,N(资金日记账!$B287)&gt;$I$1),0,1))))</f>
        <v>0</v>
      </c>
      <c r="H294" s="0" t="n">
        <f aca="false">N(H293)+$G294</f>
        <v>3</v>
      </c>
      <c r="I294" s="0" t="str">
        <f aca="false">IF($G294=0,"",IF(资金日记账!$B287=0,"",资金日记账!$B287))</f>
        <v/>
      </c>
      <c r="J294" s="0" t="str">
        <f aca="false">IF($G294=0,"",IF(资金日记账!$D287=0,"",资金日记账!$D287))</f>
        <v/>
      </c>
      <c r="K294" s="0" t="str">
        <f aca="false">IF($G294=0,"",IF(""=0,"",""))</f>
        <v/>
      </c>
      <c r="L294" s="0" t="str">
        <f aca="false">IF($G294=0,"",IF(""=0,"",""))</f>
        <v/>
      </c>
      <c r="M294" s="0" t="str">
        <f aca="false">IF($G294=0,"",IF(""=0,"",""))</f>
        <v/>
      </c>
      <c r="N294" s="0" t="str">
        <f aca="false">IF($G294=0,"",IF(IF(N(资金日记账!$I287)=0,"",-ROUND(N(资金日记账!$I287),2))=0,"",IF(N(资金日记账!$I287)=0,"",-ROUND(N(资金日记账!$I287),2))))</f>
        <v/>
      </c>
      <c r="O294" s="0" t="str">
        <f aca="false">IF($G294=0,"",IF(IF(N(资金日记账!$H287)=0,"",ROUND(N(资金日记账!$H287),2))=0,"",IF(N(资金日记账!$H287)=0,"",ROUND(N(资金日记账!$H287),2))))</f>
        <v/>
      </c>
      <c r="P294" s="0" t="str">
        <f aca="false">IF($G294=0,"",IF(资金日记账!$L287=0,"",资金日记账!$L287))</f>
        <v/>
      </c>
      <c r="T294" s="0" t="str">
        <f aca="false">IF(资金日记账!$G294="","",资金日记账!$G294)</f>
        <v/>
      </c>
      <c r="U294" s="0" t="n">
        <f aca="false">IF(T294="",0,IF(MATCH(T294,$T$4:$T$903,0)=ROW()-3,1,0))</f>
        <v>0</v>
      </c>
      <c r="V294" s="0" t="n">
        <f aca="false">N(V293)+U294</f>
        <v>30</v>
      </c>
      <c r="Z294" s="0" t="str">
        <f aca="false">IF(成本费用登记表!$C294="","",成本费用登记表!$C294)</f>
        <v/>
      </c>
      <c r="AA294" s="0" t="n">
        <f aca="false">IF(Z294="",0,IF(MATCH(Z294,$Z$4:$Z$303,0)=ROW()-3,1,0))</f>
        <v>0</v>
      </c>
      <c r="AB294" s="0" t="n">
        <f aca="false">N(AB293)+AA294</f>
        <v>0</v>
      </c>
      <c r="AF294" s="0" t="str">
        <f aca="false">IF(OR(资金日记账!$E294="",N(资金日记账!$H294)=0),"",资金日记账!$E294)</f>
        <v/>
      </c>
      <c r="AG294" s="0" t="n">
        <f aca="false">IF(AF294="",0,IF(MATCH(AF294,$AF$4:$AF$603,0)=ROW()-3,1,0))</f>
        <v>0</v>
      </c>
      <c r="AH294" s="0" t="n">
        <f aca="false">N(AH293)+AG294</f>
        <v>5</v>
      </c>
    </row>
    <row r="295" customFormat="false" ht="13.5" hidden="false" customHeight="false" outlineLevel="0" collapsed="false">
      <c r="A295" s="0" t="str">
        <f aca="false">IF(((进销存对接!$D295="客户应收")+(进销存对接!$D295="成品销售款")+(进销存对接!$D295="公司购买果品款")+(进销存对接!$D295="筐子销售款")+(进销存对接!$D295="物料销售款"))&gt;0,进销存对接!$C295,"")</f>
        <v/>
      </c>
      <c r="B295" s="0" t="n">
        <f aca="false">IF(A295="",0,IF(MATCH(A295,$A$4:$A$1925,0)=ROW()-3,1,0))</f>
        <v>0</v>
      </c>
      <c r="C295" s="0" t="n">
        <f aca="false">N(C294)+B295</f>
        <v>6</v>
      </c>
      <c r="G295" s="0" t="n">
        <f aca="false">IF(OR($G$1="",资金日记账!$E288="",资金日记账!$E288&lt;&gt;$G$1),0,IF(NOT(OR(N(资金日记账!$H288)&lt;&gt;0,N(资金日记账!$I288)&lt;&gt;0)),0,IF(资金日记账!$B288="",1,IF(OR(N(资金日记账!$B288)&lt;$H$1,N(资金日记账!$B288)&gt;$I$1),0,1))))</f>
        <v>0</v>
      </c>
      <c r="H295" s="0" t="n">
        <f aca="false">N(H294)+$G295</f>
        <v>3</v>
      </c>
      <c r="I295" s="0" t="str">
        <f aca="false">IF($G295=0,"",IF(资金日记账!$B288=0,"",资金日记账!$B288))</f>
        <v/>
      </c>
      <c r="J295" s="0" t="str">
        <f aca="false">IF($G295=0,"",IF(资金日记账!$D288=0,"",资金日记账!$D288))</f>
        <v/>
      </c>
      <c r="K295" s="0" t="str">
        <f aca="false">IF($G295=0,"",IF(""=0,"",""))</f>
        <v/>
      </c>
      <c r="L295" s="0" t="str">
        <f aca="false">IF($G295=0,"",IF(""=0,"",""))</f>
        <v/>
      </c>
      <c r="M295" s="0" t="str">
        <f aca="false">IF($G295=0,"",IF(""=0,"",""))</f>
        <v/>
      </c>
      <c r="N295" s="0" t="str">
        <f aca="false">IF($G295=0,"",IF(IF(N(资金日记账!$I288)=0,"",-ROUND(N(资金日记账!$I288),2))=0,"",IF(N(资金日记账!$I288)=0,"",-ROUND(N(资金日记账!$I288),2))))</f>
        <v/>
      </c>
      <c r="O295" s="0" t="str">
        <f aca="false">IF($G295=0,"",IF(IF(N(资金日记账!$H288)=0,"",ROUND(N(资金日记账!$H288),2))=0,"",IF(N(资金日记账!$H288)=0,"",ROUND(N(资金日记账!$H288),2))))</f>
        <v/>
      </c>
      <c r="P295" s="0" t="str">
        <f aca="false">IF($G295=0,"",IF(资金日记账!$L288=0,"",资金日记账!$L288))</f>
        <v/>
      </c>
      <c r="T295" s="0" t="str">
        <f aca="false">IF(资金日记账!$G295="","",资金日记账!$G295)</f>
        <v/>
      </c>
      <c r="U295" s="0" t="n">
        <f aca="false">IF(T295="",0,IF(MATCH(T295,$T$4:$T$903,0)=ROW()-3,1,0))</f>
        <v>0</v>
      </c>
      <c r="V295" s="0" t="n">
        <f aca="false">N(V294)+U295</f>
        <v>30</v>
      </c>
      <c r="Z295" s="0" t="str">
        <f aca="false">IF(成本费用登记表!$C295="","",成本费用登记表!$C295)</f>
        <v/>
      </c>
      <c r="AA295" s="0" t="n">
        <f aca="false">IF(Z295="",0,IF(MATCH(Z295,$Z$4:$Z$303,0)=ROW()-3,1,0))</f>
        <v>0</v>
      </c>
      <c r="AB295" s="0" t="n">
        <f aca="false">N(AB294)+AA295</f>
        <v>0</v>
      </c>
      <c r="AF295" s="0" t="str">
        <f aca="false">IF(OR(资金日记账!$E295="",N(资金日记账!$H295)=0),"",资金日记账!$E295)</f>
        <v/>
      </c>
      <c r="AG295" s="0" t="n">
        <f aca="false">IF(AF295="",0,IF(MATCH(AF295,$AF$4:$AF$603,0)=ROW()-3,1,0))</f>
        <v>0</v>
      </c>
      <c r="AH295" s="0" t="n">
        <f aca="false">N(AH294)+AG295</f>
        <v>5</v>
      </c>
    </row>
    <row r="296" customFormat="false" ht="13.5" hidden="false" customHeight="false" outlineLevel="0" collapsed="false">
      <c r="A296" s="0" t="str">
        <f aca="false">IF(((进销存对接!$D296="客户应收")+(进销存对接!$D296="成品销售款")+(进销存对接!$D296="公司购买果品款")+(进销存对接!$D296="筐子销售款")+(进销存对接!$D296="物料销售款"))&gt;0,进销存对接!$C296,"")</f>
        <v/>
      </c>
      <c r="B296" s="0" t="n">
        <f aca="false">IF(A296="",0,IF(MATCH(A296,$A$4:$A$1925,0)=ROW()-3,1,0))</f>
        <v>0</v>
      </c>
      <c r="C296" s="0" t="n">
        <f aca="false">N(C295)+B296</f>
        <v>6</v>
      </c>
      <c r="G296" s="0" t="n">
        <f aca="false">IF(OR($G$1="",资金日记账!$E289="",资金日记账!$E289&lt;&gt;$G$1),0,IF(NOT(OR(N(资金日记账!$H289)&lt;&gt;0,N(资金日记账!$I289)&lt;&gt;0)),0,IF(资金日记账!$B289="",1,IF(OR(N(资金日记账!$B289)&lt;$H$1,N(资金日记账!$B289)&gt;$I$1),0,1))))</f>
        <v>0</v>
      </c>
      <c r="H296" s="0" t="n">
        <f aca="false">N(H295)+$G296</f>
        <v>3</v>
      </c>
      <c r="I296" s="0" t="str">
        <f aca="false">IF($G296=0,"",IF(资金日记账!$B289=0,"",资金日记账!$B289))</f>
        <v/>
      </c>
      <c r="J296" s="0" t="str">
        <f aca="false">IF($G296=0,"",IF(资金日记账!$D289=0,"",资金日记账!$D289))</f>
        <v/>
      </c>
      <c r="K296" s="0" t="str">
        <f aca="false">IF($G296=0,"",IF(""=0,"",""))</f>
        <v/>
      </c>
      <c r="L296" s="0" t="str">
        <f aca="false">IF($G296=0,"",IF(""=0,"",""))</f>
        <v/>
      </c>
      <c r="M296" s="0" t="str">
        <f aca="false">IF($G296=0,"",IF(""=0,"",""))</f>
        <v/>
      </c>
      <c r="N296" s="0" t="str">
        <f aca="false">IF($G296=0,"",IF(IF(N(资金日记账!$I289)=0,"",-ROUND(N(资金日记账!$I289),2))=0,"",IF(N(资金日记账!$I289)=0,"",-ROUND(N(资金日记账!$I289),2))))</f>
        <v/>
      </c>
      <c r="O296" s="0" t="str">
        <f aca="false">IF($G296=0,"",IF(IF(N(资金日记账!$H289)=0,"",ROUND(N(资金日记账!$H289),2))=0,"",IF(N(资金日记账!$H289)=0,"",ROUND(N(资金日记账!$H289),2))))</f>
        <v/>
      </c>
      <c r="P296" s="0" t="str">
        <f aca="false">IF($G296=0,"",IF(资金日记账!$L289=0,"",资金日记账!$L289))</f>
        <v/>
      </c>
      <c r="T296" s="0" t="str">
        <f aca="false">IF(资金日记账!$G296="","",资金日记账!$G296)</f>
        <v/>
      </c>
      <c r="U296" s="0" t="n">
        <f aca="false">IF(T296="",0,IF(MATCH(T296,$T$4:$T$903,0)=ROW()-3,1,0))</f>
        <v>0</v>
      </c>
      <c r="V296" s="0" t="n">
        <f aca="false">N(V295)+U296</f>
        <v>30</v>
      </c>
      <c r="Z296" s="0" t="str">
        <f aca="false">IF(成本费用登记表!$C296="","",成本费用登记表!$C296)</f>
        <v/>
      </c>
      <c r="AA296" s="0" t="n">
        <f aca="false">IF(Z296="",0,IF(MATCH(Z296,$Z$4:$Z$303,0)=ROW()-3,1,0))</f>
        <v>0</v>
      </c>
      <c r="AB296" s="0" t="n">
        <f aca="false">N(AB295)+AA296</f>
        <v>0</v>
      </c>
      <c r="AF296" s="0" t="str">
        <f aca="false">IF(OR(资金日记账!$E296="",N(资金日记账!$H296)=0),"",资金日记账!$E296)</f>
        <v/>
      </c>
      <c r="AG296" s="0" t="n">
        <f aca="false">IF(AF296="",0,IF(MATCH(AF296,$AF$4:$AF$603,0)=ROW()-3,1,0))</f>
        <v>0</v>
      </c>
      <c r="AH296" s="0" t="n">
        <f aca="false">N(AH295)+AG296</f>
        <v>5</v>
      </c>
    </row>
    <row r="297" customFormat="false" ht="13.5" hidden="false" customHeight="false" outlineLevel="0" collapsed="false">
      <c r="A297" s="0" t="str">
        <f aca="false">IF(((进销存对接!$D297="客户应收")+(进销存对接!$D297="成品销售款")+(进销存对接!$D297="公司购买果品款")+(进销存对接!$D297="筐子销售款")+(进销存对接!$D297="物料销售款"))&gt;0,进销存对接!$C297,"")</f>
        <v/>
      </c>
      <c r="B297" s="0" t="n">
        <f aca="false">IF(A297="",0,IF(MATCH(A297,$A$4:$A$1925,0)=ROW()-3,1,0))</f>
        <v>0</v>
      </c>
      <c r="C297" s="0" t="n">
        <f aca="false">N(C296)+B297</f>
        <v>6</v>
      </c>
      <c r="G297" s="0" t="n">
        <f aca="false">IF(OR($G$1="",资金日记账!$E290="",资金日记账!$E290&lt;&gt;$G$1),0,IF(NOT(OR(N(资金日记账!$H290)&lt;&gt;0,N(资金日记账!$I290)&lt;&gt;0)),0,IF(资金日记账!$B290="",1,IF(OR(N(资金日记账!$B290)&lt;$H$1,N(资金日记账!$B290)&gt;$I$1),0,1))))</f>
        <v>0</v>
      </c>
      <c r="H297" s="0" t="n">
        <f aca="false">N(H296)+$G297</f>
        <v>3</v>
      </c>
      <c r="I297" s="0" t="str">
        <f aca="false">IF($G297=0,"",IF(资金日记账!$B290=0,"",资金日记账!$B290))</f>
        <v/>
      </c>
      <c r="J297" s="0" t="str">
        <f aca="false">IF($G297=0,"",IF(资金日记账!$D290=0,"",资金日记账!$D290))</f>
        <v/>
      </c>
      <c r="K297" s="0" t="str">
        <f aca="false">IF($G297=0,"",IF(""=0,"",""))</f>
        <v/>
      </c>
      <c r="L297" s="0" t="str">
        <f aca="false">IF($G297=0,"",IF(""=0,"",""))</f>
        <v/>
      </c>
      <c r="M297" s="0" t="str">
        <f aca="false">IF($G297=0,"",IF(""=0,"",""))</f>
        <v/>
      </c>
      <c r="N297" s="0" t="str">
        <f aca="false">IF($G297=0,"",IF(IF(N(资金日记账!$I290)=0,"",-ROUND(N(资金日记账!$I290),2))=0,"",IF(N(资金日记账!$I290)=0,"",-ROUND(N(资金日记账!$I290),2))))</f>
        <v/>
      </c>
      <c r="O297" s="0" t="str">
        <f aca="false">IF($G297=0,"",IF(IF(N(资金日记账!$H290)=0,"",ROUND(N(资金日记账!$H290),2))=0,"",IF(N(资金日记账!$H290)=0,"",ROUND(N(资金日记账!$H290),2))))</f>
        <v/>
      </c>
      <c r="P297" s="0" t="str">
        <f aca="false">IF($G297=0,"",IF(资金日记账!$L290=0,"",资金日记账!$L290))</f>
        <v/>
      </c>
      <c r="T297" s="0" t="str">
        <f aca="false">IF(资金日记账!$G297="","",资金日记账!$G297)</f>
        <v/>
      </c>
      <c r="U297" s="0" t="n">
        <f aca="false">IF(T297="",0,IF(MATCH(T297,$T$4:$T$903,0)=ROW()-3,1,0))</f>
        <v>0</v>
      </c>
      <c r="V297" s="0" t="n">
        <f aca="false">N(V296)+U297</f>
        <v>30</v>
      </c>
      <c r="Z297" s="0" t="str">
        <f aca="false">IF(成本费用登记表!$C297="","",成本费用登记表!$C297)</f>
        <v/>
      </c>
      <c r="AA297" s="0" t="n">
        <f aca="false">IF(Z297="",0,IF(MATCH(Z297,$Z$4:$Z$303,0)=ROW()-3,1,0))</f>
        <v>0</v>
      </c>
      <c r="AB297" s="0" t="n">
        <f aca="false">N(AB296)+AA297</f>
        <v>0</v>
      </c>
      <c r="AF297" s="0" t="str">
        <f aca="false">IF(OR(资金日记账!$E297="",N(资金日记账!$H297)=0),"",资金日记账!$E297)</f>
        <v/>
      </c>
      <c r="AG297" s="0" t="n">
        <f aca="false">IF(AF297="",0,IF(MATCH(AF297,$AF$4:$AF$603,0)=ROW()-3,1,0))</f>
        <v>0</v>
      </c>
      <c r="AH297" s="0" t="n">
        <f aca="false">N(AH296)+AG297</f>
        <v>5</v>
      </c>
    </row>
    <row r="298" customFormat="false" ht="13.5" hidden="false" customHeight="false" outlineLevel="0" collapsed="false">
      <c r="A298" s="0" t="str">
        <f aca="false">IF(((进销存对接!$D298="客户应收")+(进销存对接!$D298="成品销售款")+(进销存对接!$D298="公司购买果品款")+(进销存对接!$D298="筐子销售款")+(进销存对接!$D298="物料销售款"))&gt;0,进销存对接!$C298,"")</f>
        <v/>
      </c>
      <c r="B298" s="0" t="n">
        <f aca="false">IF(A298="",0,IF(MATCH(A298,$A$4:$A$1925,0)=ROW()-3,1,0))</f>
        <v>0</v>
      </c>
      <c r="C298" s="0" t="n">
        <f aca="false">N(C297)+B298</f>
        <v>6</v>
      </c>
      <c r="G298" s="0" t="n">
        <f aca="false">IF(OR($G$1="",资金日记账!$E291="",资金日记账!$E291&lt;&gt;$G$1),0,IF(NOT(OR(N(资金日记账!$H291)&lt;&gt;0,N(资金日记账!$I291)&lt;&gt;0)),0,IF(资金日记账!$B291="",1,IF(OR(N(资金日记账!$B291)&lt;$H$1,N(资金日记账!$B291)&gt;$I$1),0,1))))</f>
        <v>0</v>
      </c>
      <c r="H298" s="0" t="n">
        <f aca="false">N(H297)+$G298</f>
        <v>3</v>
      </c>
      <c r="I298" s="0" t="str">
        <f aca="false">IF($G298=0,"",IF(资金日记账!$B291=0,"",资金日记账!$B291))</f>
        <v/>
      </c>
      <c r="J298" s="0" t="str">
        <f aca="false">IF($G298=0,"",IF(资金日记账!$D291=0,"",资金日记账!$D291))</f>
        <v/>
      </c>
      <c r="K298" s="0" t="str">
        <f aca="false">IF($G298=0,"",IF(""=0,"",""))</f>
        <v/>
      </c>
      <c r="L298" s="0" t="str">
        <f aca="false">IF($G298=0,"",IF(""=0,"",""))</f>
        <v/>
      </c>
      <c r="M298" s="0" t="str">
        <f aca="false">IF($G298=0,"",IF(""=0,"",""))</f>
        <v/>
      </c>
      <c r="N298" s="0" t="str">
        <f aca="false">IF($G298=0,"",IF(IF(N(资金日记账!$I291)=0,"",-ROUND(N(资金日记账!$I291),2))=0,"",IF(N(资金日记账!$I291)=0,"",-ROUND(N(资金日记账!$I291),2))))</f>
        <v/>
      </c>
      <c r="O298" s="0" t="str">
        <f aca="false">IF($G298=0,"",IF(IF(N(资金日记账!$H291)=0,"",ROUND(N(资金日记账!$H291),2))=0,"",IF(N(资金日记账!$H291)=0,"",ROUND(N(资金日记账!$H291),2))))</f>
        <v/>
      </c>
      <c r="P298" s="0" t="str">
        <f aca="false">IF($G298=0,"",IF(资金日记账!$L291=0,"",资金日记账!$L291))</f>
        <v/>
      </c>
      <c r="T298" s="0" t="str">
        <f aca="false">IF(资金日记账!$G298="","",资金日记账!$G298)</f>
        <v/>
      </c>
      <c r="U298" s="0" t="n">
        <f aca="false">IF(T298="",0,IF(MATCH(T298,$T$4:$T$903,0)=ROW()-3,1,0))</f>
        <v>0</v>
      </c>
      <c r="V298" s="0" t="n">
        <f aca="false">N(V297)+U298</f>
        <v>30</v>
      </c>
      <c r="Z298" s="0" t="str">
        <f aca="false">IF(成本费用登记表!$C298="","",成本费用登记表!$C298)</f>
        <v/>
      </c>
      <c r="AA298" s="0" t="n">
        <f aca="false">IF(Z298="",0,IF(MATCH(Z298,$Z$4:$Z$303,0)=ROW()-3,1,0))</f>
        <v>0</v>
      </c>
      <c r="AB298" s="0" t="n">
        <f aca="false">N(AB297)+AA298</f>
        <v>0</v>
      </c>
      <c r="AF298" s="0" t="str">
        <f aca="false">IF(OR(资金日记账!$E298="",N(资金日记账!$H298)=0),"",资金日记账!$E298)</f>
        <v/>
      </c>
      <c r="AG298" s="0" t="n">
        <f aca="false">IF(AF298="",0,IF(MATCH(AF298,$AF$4:$AF$603,0)=ROW()-3,1,0))</f>
        <v>0</v>
      </c>
      <c r="AH298" s="0" t="n">
        <f aca="false">N(AH297)+AG298</f>
        <v>5</v>
      </c>
    </row>
    <row r="299" customFormat="false" ht="13.5" hidden="false" customHeight="false" outlineLevel="0" collapsed="false">
      <c r="A299" s="0" t="str">
        <f aca="false">IF(((进销存对接!$D299="客户应收")+(进销存对接!$D299="成品销售款")+(进销存对接!$D299="公司购买果品款")+(进销存对接!$D299="筐子销售款")+(进销存对接!$D299="物料销售款"))&gt;0,进销存对接!$C299,"")</f>
        <v/>
      </c>
      <c r="B299" s="0" t="n">
        <f aca="false">IF(A299="",0,IF(MATCH(A299,$A$4:$A$1925,0)=ROW()-3,1,0))</f>
        <v>0</v>
      </c>
      <c r="C299" s="0" t="n">
        <f aca="false">N(C298)+B299</f>
        <v>6</v>
      </c>
      <c r="G299" s="0" t="n">
        <f aca="false">IF(OR($G$1="",资金日记账!$E292="",资金日记账!$E292&lt;&gt;$G$1),0,IF(NOT(OR(N(资金日记账!$H292)&lt;&gt;0,N(资金日记账!$I292)&lt;&gt;0)),0,IF(资金日记账!$B292="",1,IF(OR(N(资金日记账!$B292)&lt;$H$1,N(资金日记账!$B292)&gt;$I$1),0,1))))</f>
        <v>0</v>
      </c>
      <c r="H299" s="0" t="n">
        <f aca="false">N(H298)+$G299</f>
        <v>3</v>
      </c>
      <c r="I299" s="0" t="str">
        <f aca="false">IF($G299=0,"",IF(资金日记账!$B292=0,"",资金日记账!$B292))</f>
        <v/>
      </c>
      <c r="J299" s="0" t="str">
        <f aca="false">IF($G299=0,"",IF(资金日记账!$D292=0,"",资金日记账!$D292))</f>
        <v/>
      </c>
      <c r="K299" s="0" t="str">
        <f aca="false">IF($G299=0,"",IF(""=0,"",""))</f>
        <v/>
      </c>
      <c r="L299" s="0" t="str">
        <f aca="false">IF($G299=0,"",IF(""=0,"",""))</f>
        <v/>
      </c>
      <c r="M299" s="0" t="str">
        <f aca="false">IF($G299=0,"",IF(""=0,"",""))</f>
        <v/>
      </c>
      <c r="N299" s="0" t="str">
        <f aca="false">IF($G299=0,"",IF(IF(N(资金日记账!$I292)=0,"",-ROUND(N(资金日记账!$I292),2))=0,"",IF(N(资金日记账!$I292)=0,"",-ROUND(N(资金日记账!$I292),2))))</f>
        <v/>
      </c>
      <c r="O299" s="0" t="str">
        <f aca="false">IF($G299=0,"",IF(IF(N(资金日记账!$H292)=0,"",ROUND(N(资金日记账!$H292),2))=0,"",IF(N(资金日记账!$H292)=0,"",ROUND(N(资金日记账!$H292),2))))</f>
        <v/>
      </c>
      <c r="P299" s="0" t="str">
        <f aca="false">IF($G299=0,"",IF(资金日记账!$L292=0,"",资金日记账!$L292))</f>
        <v/>
      </c>
      <c r="T299" s="0" t="str">
        <f aca="false">IF(资金日记账!$G299="","",资金日记账!$G299)</f>
        <v/>
      </c>
      <c r="U299" s="0" t="n">
        <f aca="false">IF(T299="",0,IF(MATCH(T299,$T$4:$T$903,0)=ROW()-3,1,0))</f>
        <v>0</v>
      </c>
      <c r="V299" s="0" t="n">
        <f aca="false">N(V298)+U299</f>
        <v>30</v>
      </c>
      <c r="Z299" s="0" t="str">
        <f aca="false">IF(成本费用登记表!$C299="","",成本费用登记表!$C299)</f>
        <v/>
      </c>
      <c r="AA299" s="0" t="n">
        <f aca="false">IF(Z299="",0,IF(MATCH(Z299,$Z$4:$Z$303,0)=ROW()-3,1,0))</f>
        <v>0</v>
      </c>
      <c r="AB299" s="0" t="n">
        <f aca="false">N(AB298)+AA299</f>
        <v>0</v>
      </c>
      <c r="AF299" s="0" t="str">
        <f aca="false">IF(OR(资金日记账!$E299="",N(资金日记账!$H299)=0),"",资金日记账!$E299)</f>
        <v/>
      </c>
      <c r="AG299" s="0" t="n">
        <f aca="false">IF(AF299="",0,IF(MATCH(AF299,$AF$4:$AF$603,0)=ROW()-3,1,0))</f>
        <v>0</v>
      </c>
      <c r="AH299" s="0" t="n">
        <f aca="false">N(AH298)+AG299</f>
        <v>5</v>
      </c>
    </row>
    <row r="300" customFormat="false" ht="13.5" hidden="false" customHeight="false" outlineLevel="0" collapsed="false">
      <c r="A300" s="0" t="str">
        <f aca="false">IF(((进销存对接!$D300="客户应收")+(进销存对接!$D300="成品销售款")+(进销存对接!$D300="公司购买果品款")+(进销存对接!$D300="筐子销售款")+(进销存对接!$D300="物料销售款"))&gt;0,进销存对接!$C300,"")</f>
        <v/>
      </c>
      <c r="B300" s="0" t="n">
        <f aca="false">IF(A300="",0,IF(MATCH(A300,$A$4:$A$1925,0)=ROW()-3,1,0))</f>
        <v>0</v>
      </c>
      <c r="C300" s="0" t="n">
        <f aca="false">N(C299)+B300</f>
        <v>6</v>
      </c>
      <c r="G300" s="0" t="n">
        <f aca="false">IF(OR($G$1="",资金日记账!$E293="",资金日记账!$E293&lt;&gt;$G$1),0,IF(NOT(OR(N(资金日记账!$H293)&lt;&gt;0,N(资金日记账!$I293)&lt;&gt;0)),0,IF(资金日记账!$B293="",1,IF(OR(N(资金日记账!$B293)&lt;$H$1,N(资金日记账!$B293)&gt;$I$1),0,1))))</f>
        <v>0</v>
      </c>
      <c r="H300" s="0" t="n">
        <f aca="false">N(H299)+$G300</f>
        <v>3</v>
      </c>
      <c r="I300" s="0" t="str">
        <f aca="false">IF($G300=0,"",IF(资金日记账!$B293=0,"",资金日记账!$B293))</f>
        <v/>
      </c>
      <c r="J300" s="0" t="str">
        <f aca="false">IF($G300=0,"",IF(资金日记账!$D293=0,"",资金日记账!$D293))</f>
        <v/>
      </c>
      <c r="K300" s="0" t="str">
        <f aca="false">IF($G300=0,"",IF(""=0,"",""))</f>
        <v/>
      </c>
      <c r="L300" s="0" t="str">
        <f aca="false">IF($G300=0,"",IF(""=0,"",""))</f>
        <v/>
      </c>
      <c r="M300" s="0" t="str">
        <f aca="false">IF($G300=0,"",IF(""=0,"",""))</f>
        <v/>
      </c>
      <c r="N300" s="0" t="str">
        <f aca="false">IF($G300=0,"",IF(IF(N(资金日记账!$I293)=0,"",-ROUND(N(资金日记账!$I293),2))=0,"",IF(N(资金日记账!$I293)=0,"",-ROUND(N(资金日记账!$I293),2))))</f>
        <v/>
      </c>
      <c r="O300" s="0" t="str">
        <f aca="false">IF($G300=0,"",IF(IF(N(资金日记账!$H293)=0,"",ROUND(N(资金日记账!$H293),2))=0,"",IF(N(资金日记账!$H293)=0,"",ROUND(N(资金日记账!$H293),2))))</f>
        <v/>
      </c>
      <c r="P300" s="0" t="str">
        <f aca="false">IF($G300=0,"",IF(资金日记账!$L293=0,"",资金日记账!$L293))</f>
        <v/>
      </c>
      <c r="T300" s="0" t="str">
        <f aca="false">IF(资金日记账!$G300="","",资金日记账!$G300)</f>
        <v/>
      </c>
      <c r="U300" s="0" t="n">
        <f aca="false">IF(T300="",0,IF(MATCH(T300,$T$4:$T$903,0)=ROW()-3,1,0))</f>
        <v>0</v>
      </c>
      <c r="V300" s="0" t="n">
        <f aca="false">N(V299)+U300</f>
        <v>30</v>
      </c>
      <c r="Z300" s="0" t="str">
        <f aca="false">IF(成本费用登记表!$C300="","",成本费用登记表!$C300)</f>
        <v/>
      </c>
      <c r="AA300" s="0" t="n">
        <f aca="false">IF(Z300="",0,IF(MATCH(Z300,$Z$4:$Z$303,0)=ROW()-3,1,0))</f>
        <v>0</v>
      </c>
      <c r="AB300" s="0" t="n">
        <f aca="false">N(AB299)+AA300</f>
        <v>0</v>
      </c>
      <c r="AF300" s="0" t="str">
        <f aca="false">IF(OR(资金日记账!$E300="",N(资金日记账!$H300)=0),"",资金日记账!$E300)</f>
        <v/>
      </c>
      <c r="AG300" s="0" t="n">
        <f aca="false">IF(AF300="",0,IF(MATCH(AF300,$AF$4:$AF$603,0)=ROW()-3,1,0))</f>
        <v>0</v>
      </c>
      <c r="AH300" s="0" t="n">
        <f aca="false">N(AH299)+AG300</f>
        <v>5</v>
      </c>
    </row>
    <row r="301" customFormat="false" ht="13.5" hidden="false" customHeight="false" outlineLevel="0" collapsed="false">
      <c r="A301" s="0" t="str">
        <f aca="false">IF(((进销存对接!$D301="客户应收")+(进销存对接!$D301="成品销售款")+(进销存对接!$D301="公司购买果品款")+(进销存对接!$D301="筐子销售款")+(进销存对接!$D301="物料销售款"))&gt;0,进销存对接!$C301,"")</f>
        <v/>
      </c>
      <c r="B301" s="0" t="n">
        <f aca="false">IF(A301="",0,IF(MATCH(A301,$A$4:$A$1925,0)=ROW()-3,1,0))</f>
        <v>0</v>
      </c>
      <c r="C301" s="0" t="n">
        <f aca="false">N(C300)+B301</f>
        <v>6</v>
      </c>
      <c r="G301" s="0" t="n">
        <f aca="false">IF(OR($G$1="",资金日记账!$E294="",资金日记账!$E294&lt;&gt;$G$1),0,IF(NOT(OR(N(资金日记账!$H294)&lt;&gt;0,N(资金日记账!$I294)&lt;&gt;0)),0,IF(资金日记账!$B294="",1,IF(OR(N(资金日记账!$B294)&lt;$H$1,N(资金日记账!$B294)&gt;$I$1),0,1))))</f>
        <v>0</v>
      </c>
      <c r="H301" s="0" t="n">
        <f aca="false">N(H300)+$G301</f>
        <v>3</v>
      </c>
      <c r="I301" s="0" t="str">
        <f aca="false">IF($G301=0,"",IF(资金日记账!$B294=0,"",资金日记账!$B294))</f>
        <v/>
      </c>
      <c r="J301" s="0" t="str">
        <f aca="false">IF($G301=0,"",IF(资金日记账!$D294=0,"",资金日记账!$D294))</f>
        <v/>
      </c>
      <c r="K301" s="0" t="str">
        <f aca="false">IF($G301=0,"",IF(""=0,"",""))</f>
        <v/>
      </c>
      <c r="L301" s="0" t="str">
        <f aca="false">IF($G301=0,"",IF(""=0,"",""))</f>
        <v/>
      </c>
      <c r="M301" s="0" t="str">
        <f aca="false">IF($G301=0,"",IF(""=0,"",""))</f>
        <v/>
      </c>
      <c r="N301" s="0" t="str">
        <f aca="false">IF($G301=0,"",IF(IF(N(资金日记账!$I294)=0,"",-ROUND(N(资金日记账!$I294),2))=0,"",IF(N(资金日记账!$I294)=0,"",-ROUND(N(资金日记账!$I294),2))))</f>
        <v/>
      </c>
      <c r="O301" s="0" t="str">
        <f aca="false">IF($G301=0,"",IF(IF(N(资金日记账!$H294)=0,"",ROUND(N(资金日记账!$H294),2))=0,"",IF(N(资金日记账!$H294)=0,"",ROUND(N(资金日记账!$H294),2))))</f>
        <v/>
      </c>
      <c r="P301" s="0" t="str">
        <f aca="false">IF($G301=0,"",IF(资金日记账!$L294=0,"",资金日记账!$L294))</f>
        <v/>
      </c>
      <c r="T301" s="0" t="str">
        <f aca="false">IF(资金日记账!$G301="","",资金日记账!$G301)</f>
        <v/>
      </c>
      <c r="U301" s="0" t="n">
        <f aca="false">IF(T301="",0,IF(MATCH(T301,$T$4:$T$903,0)=ROW()-3,1,0))</f>
        <v>0</v>
      </c>
      <c r="V301" s="0" t="n">
        <f aca="false">N(V300)+U301</f>
        <v>30</v>
      </c>
      <c r="Z301" s="0" t="str">
        <f aca="false">IF(成本费用登记表!$C301="","",成本费用登记表!$C301)</f>
        <v/>
      </c>
      <c r="AA301" s="0" t="n">
        <f aca="false">IF(Z301="",0,IF(MATCH(Z301,$Z$4:$Z$303,0)=ROW()-3,1,0))</f>
        <v>0</v>
      </c>
      <c r="AB301" s="0" t="n">
        <f aca="false">N(AB300)+AA301</f>
        <v>0</v>
      </c>
      <c r="AF301" s="0" t="str">
        <f aca="false">IF(OR(资金日记账!$E301="",N(资金日记账!$H301)=0),"",资金日记账!$E301)</f>
        <v/>
      </c>
      <c r="AG301" s="0" t="n">
        <f aca="false">IF(AF301="",0,IF(MATCH(AF301,$AF$4:$AF$603,0)=ROW()-3,1,0))</f>
        <v>0</v>
      </c>
      <c r="AH301" s="0" t="n">
        <f aca="false">N(AH300)+AG301</f>
        <v>5</v>
      </c>
    </row>
    <row r="302" customFormat="false" ht="13.5" hidden="false" customHeight="false" outlineLevel="0" collapsed="false">
      <c r="A302" s="0" t="str">
        <f aca="false">IF(((进销存对接!$D302="客户应收")+(进销存对接!$D302="成品销售款")+(进销存对接!$D302="公司购买果品款")+(进销存对接!$D302="筐子销售款")+(进销存对接!$D302="物料销售款"))&gt;0,进销存对接!$C302,"")</f>
        <v/>
      </c>
      <c r="B302" s="0" t="n">
        <f aca="false">IF(A302="",0,IF(MATCH(A302,$A$4:$A$1925,0)=ROW()-3,1,0))</f>
        <v>0</v>
      </c>
      <c r="C302" s="0" t="n">
        <f aca="false">N(C301)+B302</f>
        <v>6</v>
      </c>
      <c r="G302" s="0" t="n">
        <f aca="false">IF(OR($G$1="",资金日记账!$E295="",资金日记账!$E295&lt;&gt;$G$1),0,IF(NOT(OR(N(资金日记账!$H295)&lt;&gt;0,N(资金日记账!$I295)&lt;&gt;0)),0,IF(资金日记账!$B295="",1,IF(OR(N(资金日记账!$B295)&lt;$H$1,N(资金日记账!$B295)&gt;$I$1),0,1))))</f>
        <v>0</v>
      </c>
      <c r="H302" s="0" t="n">
        <f aca="false">N(H301)+$G302</f>
        <v>3</v>
      </c>
      <c r="I302" s="0" t="str">
        <f aca="false">IF($G302=0,"",IF(资金日记账!$B295=0,"",资金日记账!$B295))</f>
        <v/>
      </c>
      <c r="J302" s="0" t="str">
        <f aca="false">IF($G302=0,"",IF(资金日记账!$D295=0,"",资金日记账!$D295))</f>
        <v/>
      </c>
      <c r="K302" s="0" t="str">
        <f aca="false">IF($G302=0,"",IF(""=0,"",""))</f>
        <v/>
      </c>
      <c r="L302" s="0" t="str">
        <f aca="false">IF($G302=0,"",IF(""=0,"",""))</f>
        <v/>
      </c>
      <c r="M302" s="0" t="str">
        <f aca="false">IF($G302=0,"",IF(""=0,"",""))</f>
        <v/>
      </c>
      <c r="N302" s="0" t="str">
        <f aca="false">IF($G302=0,"",IF(IF(N(资金日记账!$I295)=0,"",-ROUND(N(资金日记账!$I295),2))=0,"",IF(N(资金日记账!$I295)=0,"",-ROUND(N(资金日记账!$I295),2))))</f>
        <v/>
      </c>
      <c r="O302" s="0" t="str">
        <f aca="false">IF($G302=0,"",IF(IF(N(资金日记账!$H295)=0,"",ROUND(N(资金日记账!$H295),2))=0,"",IF(N(资金日记账!$H295)=0,"",ROUND(N(资金日记账!$H295),2))))</f>
        <v/>
      </c>
      <c r="P302" s="0" t="str">
        <f aca="false">IF($G302=0,"",IF(资金日记账!$L295=0,"",资金日记账!$L295))</f>
        <v/>
      </c>
      <c r="T302" s="0" t="str">
        <f aca="false">IF(资金日记账!$G302="","",资金日记账!$G302)</f>
        <v/>
      </c>
      <c r="U302" s="0" t="n">
        <f aca="false">IF(T302="",0,IF(MATCH(T302,$T$4:$T$903,0)=ROW()-3,1,0))</f>
        <v>0</v>
      </c>
      <c r="V302" s="0" t="n">
        <f aca="false">N(V301)+U302</f>
        <v>30</v>
      </c>
      <c r="Z302" s="0" t="str">
        <f aca="false">IF(成本费用登记表!$C302="","",成本费用登记表!$C302)</f>
        <v/>
      </c>
      <c r="AA302" s="0" t="n">
        <f aca="false">IF(Z302="",0,IF(MATCH(Z302,$Z$4:$Z$303,0)=ROW()-3,1,0))</f>
        <v>0</v>
      </c>
      <c r="AB302" s="0" t="n">
        <f aca="false">N(AB301)+AA302</f>
        <v>0</v>
      </c>
      <c r="AF302" s="0" t="str">
        <f aca="false">IF(OR(资金日记账!$E302="",N(资金日记账!$H302)=0),"",资金日记账!$E302)</f>
        <v/>
      </c>
      <c r="AG302" s="0" t="n">
        <f aca="false">IF(AF302="",0,IF(MATCH(AF302,$AF$4:$AF$603,0)=ROW()-3,1,0))</f>
        <v>0</v>
      </c>
      <c r="AH302" s="0" t="n">
        <f aca="false">N(AH301)+AG302</f>
        <v>5</v>
      </c>
    </row>
    <row r="303" customFormat="false" ht="13.5" hidden="false" customHeight="false" outlineLevel="0" collapsed="false">
      <c r="A303" s="0" t="str">
        <f aca="false">IF(((进销存对接!$D303="客户应收")+(进销存对接!$D303="成品销售款")+(进销存对接!$D303="公司购买果品款")+(进销存对接!$D303="筐子销售款")+(进销存对接!$D303="物料销售款"))&gt;0,进销存对接!$C303,"")</f>
        <v/>
      </c>
      <c r="B303" s="0" t="n">
        <f aca="false">IF(A303="",0,IF(MATCH(A303,$A$4:$A$1925,0)=ROW()-3,1,0))</f>
        <v>0</v>
      </c>
      <c r="C303" s="0" t="n">
        <f aca="false">N(C302)+B303</f>
        <v>6</v>
      </c>
      <c r="G303" s="0" t="n">
        <f aca="false">IF(OR($G$1="",资金日记账!$E296="",资金日记账!$E296&lt;&gt;$G$1),0,IF(NOT(OR(N(资金日记账!$H296)&lt;&gt;0,N(资金日记账!$I296)&lt;&gt;0)),0,IF(资金日记账!$B296="",1,IF(OR(N(资金日记账!$B296)&lt;$H$1,N(资金日记账!$B296)&gt;$I$1),0,1))))</f>
        <v>0</v>
      </c>
      <c r="H303" s="0" t="n">
        <f aca="false">N(H302)+$G303</f>
        <v>3</v>
      </c>
      <c r="I303" s="0" t="str">
        <f aca="false">IF($G303=0,"",IF(资金日记账!$B296=0,"",资金日记账!$B296))</f>
        <v/>
      </c>
      <c r="J303" s="0" t="str">
        <f aca="false">IF($G303=0,"",IF(资金日记账!$D296=0,"",资金日记账!$D296))</f>
        <v/>
      </c>
      <c r="K303" s="0" t="str">
        <f aca="false">IF($G303=0,"",IF(""=0,"",""))</f>
        <v/>
      </c>
      <c r="L303" s="0" t="str">
        <f aca="false">IF($G303=0,"",IF(""=0,"",""))</f>
        <v/>
      </c>
      <c r="M303" s="0" t="str">
        <f aca="false">IF($G303=0,"",IF(""=0,"",""))</f>
        <v/>
      </c>
      <c r="N303" s="0" t="str">
        <f aca="false">IF($G303=0,"",IF(IF(N(资金日记账!$I296)=0,"",-ROUND(N(资金日记账!$I296),2))=0,"",IF(N(资金日记账!$I296)=0,"",-ROUND(N(资金日记账!$I296),2))))</f>
        <v/>
      </c>
      <c r="O303" s="0" t="str">
        <f aca="false">IF($G303=0,"",IF(IF(N(资金日记账!$H296)=0,"",ROUND(N(资金日记账!$H296),2))=0,"",IF(N(资金日记账!$H296)=0,"",ROUND(N(资金日记账!$H296),2))))</f>
        <v/>
      </c>
      <c r="P303" s="0" t="str">
        <f aca="false">IF($G303=0,"",IF(资金日记账!$L296=0,"",资金日记账!$L296))</f>
        <v/>
      </c>
      <c r="T303" s="0" t="str">
        <f aca="false">IF(资金日记账!$G303="","",资金日记账!$G303)</f>
        <v/>
      </c>
      <c r="U303" s="0" t="n">
        <f aca="false">IF(T303="",0,IF(MATCH(T303,$T$4:$T$903,0)=ROW()-3,1,0))</f>
        <v>0</v>
      </c>
      <c r="V303" s="0" t="n">
        <f aca="false">N(V302)+U303</f>
        <v>30</v>
      </c>
      <c r="Z303" s="0" t="str">
        <f aca="false">IF(成本费用登记表!$C303="","",成本费用登记表!$C303)</f>
        <v/>
      </c>
      <c r="AA303" s="0" t="n">
        <f aca="false">IF(Z303="",0,IF(MATCH(Z303,$Z$4:$Z$303,0)=ROW()-3,1,0))</f>
        <v>0</v>
      </c>
      <c r="AB303" s="0" t="n">
        <f aca="false">N(AB302)+AA303</f>
        <v>0</v>
      </c>
      <c r="AF303" s="0" t="str">
        <f aca="false">IF(OR(资金日记账!$E303="",N(资金日记账!$H303)=0),"",资金日记账!$E303)</f>
        <v/>
      </c>
      <c r="AG303" s="0" t="n">
        <f aca="false">IF(AF303="",0,IF(MATCH(AF303,$AF$4:$AF$603,0)=ROW()-3,1,0))</f>
        <v>0</v>
      </c>
      <c r="AH303" s="0" t="n">
        <f aca="false">N(AH302)+AG303</f>
        <v>5</v>
      </c>
    </row>
    <row r="304" customFormat="false" ht="13.5" hidden="false" customHeight="false" outlineLevel="0" collapsed="false">
      <c r="A304" s="0" t="str">
        <f aca="false">IF(((进销存对接!$D304="客户应收")+(进销存对接!$D304="成品销售款")+(进销存对接!$D304="公司购买果品款")+(进销存对接!$D304="筐子销售款")+(进销存对接!$D304="物料销售款"))&gt;0,进销存对接!$C304,"")</f>
        <v/>
      </c>
      <c r="B304" s="0" t="n">
        <f aca="false">IF(A304="",0,IF(MATCH(A304,$A$4:$A$1925,0)=ROW()-3,1,0))</f>
        <v>0</v>
      </c>
      <c r="C304" s="0" t="n">
        <f aca="false">N(C303)+B304</f>
        <v>6</v>
      </c>
      <c r="G304" s="0" t="n">
        <f aca="false">IF(OR($G$1="",资金日记账!$E297="",资金日记账!$E297&lt;&gt;$G$1),0,IF(NOT(OR(N(资金日记账!$H297)&lt;&gt;0,N(资金日记账!$I297)&lt;&gt;0)),0,IF(资金日记账!$B297="",1,IF(OR(N(资金日记账!$B297)&lt;$H$1,N(资金日记账!$B297)&gt;$I$1),0,1))))</f>
        <v>0</v>
      </c>
      <c r="H304" s="0" t="n">
        <f aca="false">N(H303)+$G304</f>
        <v>3</v>
      </c>
      <c r="I304" s="0" t="str">
        <f aca="false">IF($G304=0,"",IF(资金日记账!$B297=0,"",资金日记账!$B297))</f>
        <v/>
      </c>
      <c r="J304" s="0" t="str">
        <f aca="false">IF($G304=0,"",IF(资金日记账!$D297=0,"",资金日记账!$D297))</f>
        <v/>
      </c>
      <c r="K304" s="0" t="str">
        <f aca="false">IF($G304=0,"",IF(""=0,"",""))</f>
        <v/>
      </c>
      <c r="L304" s="0" t="str">
        <f aca="false">IF($G304=0,"",IF(""=0,"",""))</f>
        <v/>
      </c>
      <c r="M304" s="0" t="str">
        <f aca="false">IF($G304=0,"",IF(""=0,"",""))</f>
        <v/>
      </c>
      <c r="N304" s="0" t="str">
        <f aca="false">IF($G304=0,"",IF(IF(N(资金日记账!$I297)=0,"",-ROUND(N(资金日记账!$I297),2))=0,"",IF(N(资金日记账!$I297)=0,"",-ROUND(N(资金日记账!$I297),2))))</f>
        <v/>
      </c>
      <c r="O304" s="0" t="str">
        <f aca="false">IF($G304=0,"",IF(IF(N(资金日记账!$H297)=0,"",ROUND(N(资金日记账!$H297),2))=0,"",IF(N(资金日记账!$H297)=0,"",ROUND(N(资金日记账!$H297),2))))</f>
        <v/>
      </c>
      <c r="P304" s="0" t="str">
        <f aca="false">IF($G304=0,"",IF(资金日记账!$L297=0,"",资金日记账!$L297))</f>
        <v/>
      </c>
      <c r="T304" s="0" t="str">
        <f aca="false">IF(资金日记账!$G304="","",资金日记账!$G304)</f>
        <v/>
      </c>
      <c r="U304" s="0" t="n">
        <f aca="false">IF(T304="",0,IF(MATCH(T304,$T$4:$T$903,0)=ROW()-3,1,0))</f>
        <v>0</v>
      </c>
      <c r="V304" s="0" t="n">
        <f aca="false">N(V303)+U304</f>
        <v>30</v>
      </c>
      <c r="AF304" s="0" t="str">
        <f aca="false">IF(OR(资金日记账!$E304="",N(资金日记账!$H304)=0),"",资金日记账!$E304)</f>
        <v/>
      </c>
      <c r="AG304" s="0" t="n">
        <f aca="false">IF(AF304="",0,IF(MATCH(AF304,$AF$4:$AF$603,0)=ROW()-3,1,0))</f>
        <v>0</v>
      </c>
      <c r="AH304" s="0" t="n">
        <f aca="false">N(AH303)+AG304</f>
        <v>5</v>
      </c>
    </row>
    <row r="305" customFormat="false" ht="13.5" hidden="false" customHeight="false" outlineLevel="0" collapsed="false">
      <c r="A305" s="0" t="str">
        <f aca="false">IF(((进销存对接!$D305="客户应收")+(进销存对接!$D305="成品销售款")+(进销存对接!$D305="公司购买果品款")+(进销存对接!$D305="筐子销售款")+(进销存对接!$D305="物料销售款"))&gt;0,进销存对接!$C305,"")</f>
        <v/>
      </c>
      <c r="B305" s="0" t="n">
        <f aca="false">IF(A305="",0,IF(MATCH(A305,$A$4:$A$1925,0)=ROW()-3,1,0))</f>
        <v>0</v>
      </c>
      <c r="C305" s="0" t="n">
        <f aca="false">N(C304)+B305</f>
        <v>6</v>
      </c>
      <c r="G305" s="0" t="n">
        <f aca="false">IF(OR($G$1="",资金日记账!$E298="",资金日记账!$E298&lt;&gt;$G$1),0,IF(NOT(OR(N(资金日记账!$H298)&lt;&gt;0,N(资金日记账!$I298)&lt;&gt;0)),0,IF(资金日记账!$B298="",1,IF(OR(N(资金日记账!$B298)&lt;$H$1,N(资金日记账!$B298)&gt;$I$1),0,1))))</f>
        <v>0</v>
      </c>
      <c r="H305" s="0" t="n">
        <f aca="false">N(H304)+$G305</f>
        <v>3</v>
      </c>
      <c r="I305" s="0" t="str">
        <f aca="false">IF($G305=0,"",IF(资金日记账!$B298=0,"",资金日记账!$B298))</f>
        <v/>
      </c>
      <c r="J305" s="0" t="str">
        <f aca="false">IF($G305=0,"",IF(资金日记账!$D298=0,"",资金日记账!$D298))</f>
        <v/>
      </c>
      <c r="K305" s="0" t="str">
        <f aca="false">IF($G305=0,"",IF(""=0,"",""))</f>
        <v/>
      </c>
      <c r="L305" s="0" t="str">
        <f aca="false">IF($G305=0,"",IF(""=0,"",""))</f>
        <v/>
      </c>
      <c r="M305" s="0" t="str">
        <f aca="false">IF($G305=0,"",IF(""=0,"",""))</f>
        <v/>
      </c>
      <c r="N305" s="0" t="str">
        <f aca="false">IF($G305=0,"",IF(IF(N(资金日记账!$I298)=0,"",-ROUND(N(资金日记账!$I298),2))=0,"",IF(N(资金日记账!$I298)=0,"",-ROUND(N(资金日记账!$I298),2))))</f>
        <v/>
      </c>
      <c r="O305" s="0" t="str">
        <f aca="false">IF($G305=0,"",IF(IF(N(资金日记账!$H298)=0,"",ROUND(N(资金日记账!$H298),2))=0,"",IF(N(资金日记账!$H298)=0,"",ROUND(N(资金日记账!$H298),2))))</f>
        <v/>
      </c>
      <c r="P305" s="0" t="str">
        <f aca="false">IF($G305=0,"",IF(资金日记账!$L298=0,"",资金日记账!$L298))</f>
        <v/>
      </c>
      <c r="T305" s="0" t="str">
        <f aca="false">IF(资金日记账!$G305="","",资金日记账!$G305)</f>
        <v/>
      </c>
      <c r="U305" s="0" t="n">
        <f aca="false">IF(T305="",0,IF(MATCH(T305,$T$4:$T$903,0)=ROW()-3,1,0))</f>
        <v>0</v>
      </c>
      <c r="V305" s="0" t="n">
        <f aca="false">N(V304)+U305</f>
        <v>30</v>
      </c>
      <c r="AF305" s="0" t="str">
        <f aca="false">IF(OR(资金日记账!$E305="",N(资金日记账!$H305)=0),"",资金日记账!$E305)</f>
        <v/>
      </c>
      <c r="AG305" s="0" t="n">
        <f aca="false">IF(AF305="",0,IF(MATCH(AF305,$AF$4:$AF$603,0)=ROW()-3,1,0))</f>
        <v>0</v>
      </c>
      <c r="AH305" s="0" t="n">
        <f aca="false">N(AH304)+AG305</f>
        <v>5</v>
      </c>
    </row>
    <row r="306" customFormat="false" ht="13.5" hidden="false" customHeight="false" outlineLevel="0" collapsed="false">
      <c r="A306" s="0" t="str">
        <f aca="false">IF(资金日记账!$E4="","",资金日记账!$E4)</f>
        <v/>
      </c>
      <c r="B306" s="0" t="n">
        <f aca="false">IF(A306="",0,IF(MATCH(A306,$A$4:$A$1925,0)=ROW()-3,1,0))</f>
        <v>0</v>
      </c>
      <c r="C306" s="0" t="n">
        <f aca="false">N(C305)+B306</f>
        <v>6</v>
      </c>
      <c r="G306" s="0" t="n">
        <f aca="false">IF(OR($G$1="",资金日记账!$E299="",资金日记账!$E299&lt;&gt;$G$1),0,IF(NOT(OR(N(资金日记账!$H299)&lt;&gt;0,N(资金日记账!$I299)&lt;&gt;0)),0,IF(资金日记账!$B299="",1,IF(OR(N(资金日记账!$B299)&lt;$H$1,N(资金日记账!$B299)&gt;$I$1),0,1))))</f>
        <v>0</v>
      </c>
      <c r="H306" s="0" t="n">
        <f aca="false">N(H305)+$G306</f>
        <v>3</v>
      </c>
      <c r="I306" s="0" t="str">
        <f aca="false">IF($G306=0,"",IF(资金日记账!$B299=0,"",资金日记账!$B299))</f>
        <v/>
      </c>
      <c r="J306" s="0" t="str">
        <f aca="false">IF($G306=0,"",IF(资金日记账!$D299=0,"",资金日记账!$D299))</f>
        <v/>
      </c>
      <c r="K306" s="0" t="str">
        <f aca="false">IF($G306=0,"",IF(""=0,"",""))</f>
        <v/>
      </c>
      <c r="L306" s="0" t="str">
        <f aca="false">IF($G306=0,"",IF(""=0,"",""))</f>
        <v/>
      </c>
      <c r="M306" s="0" t="str">
        <f aca="false">IF($G306=0,"",IF(""=0,"",""))</f>
        <v/>
      </c>
      <c r="N306" s="0" t="str">
        <f aca="false">IF($G306=0,"",IF(IF(N(资金日记账!$I299)=0,"",-ROUND(N(资金日记账!$I299),2))=0,"",IF(N(资金日记账!$I299)=0,"",-ROUND(N(资金日记账!$I299),2))))</f>
        <v/>
      </c>
      <c r="O306" s="0" t="str">
        <f aca="false">IF($G306=0,"",IF(IF(N(资金日记账!$H299)=0,"",ROUND(N(资金日记账!$H299),2))=0,"",IF(N(资金日记账!$H299)=0,"",ROUND(N(资金日记账!$H299),2))))</f>
        <v/>
      </c>
      <c r="P306" s="0" t="str">
        <f aca="false">IF($G306=0,"",IF(资金日记账!$L299=0,"",资金日记账!$L299))</f>
        <v/>
      </c>
      <c r="T306" s="0" t="str">
        <f aca="false">IF(资金日记账!$G306="","",资金日记账!$G306)</f>
        <v/>
      </c>
      <c r="U306" s="0" t="n">
        <f aca="false">IF(T306="",0,IF(MATCH(T306,$T$4:$T$903,0)=ROW()-3,1,0))</f>
        <v>0</v>
      </c>
      <c r="V306" s="0" t="n">
        <f aca="false">N(V305)+U306</f>
        <v>30</v>
      </c>
      <c r="AF306" s="0" t="str">
        <f aca="false">IF(OR(资金日记账!$E306="",N(资金日记账!$H306)=0),"",资金日记账!$E306)</f>
        <v/>
      </c>
      <c r="AG306" s="0" t="n">
        <f aca="false">IF(AF306="",0,IF(MATCH(AF306,$AF$4:$AF$603,0)=ROW()-3,1,0))</f>
        <v>0</v>
      </c>
      <c r="AH306" s="0" t="n">
        <f aca="false">N(AH305)+AG306</f>
        <v>5</v>
      </c>
    </row>
    <row r="307" customFormat="false" ht="13.5" hidden="false" customHeight="false" outlineLevel="0" collapsed="false">
      <c r="A307" s="0" t="str">
        <f aca="false">IF(资金日记账!$E5="","",资金日记账!$E5)</f>
        <v/>
      </c>
      <c r="B307" s="0" t="n">
        <f aca="false">IF(A307="",0,IF(MATCH(A307,$A$4:$A$1925,0)=ROW()-3,1,0))</f>
        <v>0</v>
      </c>
      <c r="C307" s="0" t="n">
        <f aca="false">N(C306)+B307</f>
        <v>6</v>
      </c>
      <c r="G307" s="0" t="n">
        <f aca="false">IF(OR($G$1="",资金日记账!$E300="",资金日记账!$E300&lt;&gt;$G$1),0,IF(NOT(OR(N(资金日记账!$H300)&lt;&gt;0,N(资金日记账!$I300)&lt;&gt;0)),0,IF(资金日记账!$B300="",1,IF(OR(N(资金日记账!$B300)&lt;$H$1,N(资金日记账!$B300)&gt;$I$1),0,1))))</f>
        <v>0</v>
      </c>
      <c r="H307" s="0" t="n">
        <f aca="false">N(H306)+$G307</f>
        <v>3</v>
      </c>
      <c r="I307" s="0" t="str">
        <f aca="false">IF($G307=0,"",IF(资金日记账!$B300=0,"",资金日记账!$B300))</f>
        <v/>
      </c>
      <c r="J307" s="0" t="str">
        <f aca="false">IF($G307=0,"",IF(资金日记账!$D300=0,"",资金日记账!$D300))</f>
        <v/>
      </c>
      <c r="K307" s="0" t="str">
        <f aca="false">IF($G307=0,"",IF(""=0,"",""))</f>
        <v/>
      </c>
      <c r="L307" s="0" t="str">
        <f aca="false">IF($G307=0,"",IF(""=0,"",""))</f>
        <v/>
      </c>
      <c r="M307" s="0" t="str">
        <f aca="false">IF($G307=0,"",IF(""=0,"",""))</f>
        <v/>
      </c>
      <c r="N307" s="0" t="str">
        <f aca="false">IF($G307=0,"",IF(IF(N(资金日记账!$I300)=0,"",-ROUND(N(资金日记账!$I300),2))=0,"",IF(N(资金日记账!$I300)=0,"",-ROUND(N(资金日记账!$I300),2))))</f>
        <v/>
      </c>
      <c r="O307" s="0" t="str">
        <f aca="false">IF($G307=0,"",IF(IF(N(资金日记账!$H300)=0,"",ROUND(N(资金日记账!$H300),2))=0,"",IF(N(资金日记账!$H300)=0,"",ROUND(N(资金日记账!$H300),2))))</f>
        <v/>
      </c>
      <c r="P307" s="0" t="str">
        <f aca="false">IF($G307=0,"",IF(资金日记账!$L300=0,"",资金日记账!$L300))</f>
        <v/>
      </c>
      <c r="T307" s="0" t="str">
        <f aca="false">IF(资金日记账!$G307="","",资金日记账!$G307)</f>
        <v/>
      </c>
      <c r="U307" s="0" t="n">
        <f aca="false">IF(T307="",0,IF(MATCH(T307,$T$4:$T$903,0)=ROW()-3,1,0))</f>
        <v>0</v>
      </c>
      <c r="V307" s="0" t="n">
        <f aca="false">N(V306)+U307</f>
        <v>30</v>
      </c>
      <c r="AF307" s="0" t="str">
        <f aca="false">IF(OR(资金日记账!$E307="",N(资金日记账!$H307)=0),"",资金日记账!$E307)</f>
        <v/>
      </c>
      <c r="AG307" s="0" t="n">
        <f aca="false">IF(AF307="",0,IF(MATCH(AF307,$AF$4:$AF$603,0)=ROW()-3,1,0))</f>
        <v>0</v>
      </c>
      <c r="AH307" s="0" t="n">
        <f aca="false">N(AH306)+AG307</f>
        <v>5</v>
      </c>
    </row>
    <row r="308" customFormat="false" ht="13.5" hidden="false" customHeight="false" outlineLevel="0" collapsed="false">
      <c r="A308" s="0" t="str">
        <f aca="false">IF(资金日记账!$E6="","",资金日记账!$E6)</f>
        <v/>
      </c>
      <c r="B308" s="0" t="n">
        <f aca="false">IF(A308="",0,IF(MATCH(A308,$A$4:$A$1925,0)=ROW()-3,1,0))</f>
        <v>0</v>
      </c>
      <c r="C308" s="0" t="n">
        <f aca="false">N(C307)+B308</f>
        <v>6</v>
      </c>
      <c r="G308" s="0" t="n">
        <f aca="false">IF(OR($G$1="",资金日记账!$E301="",资金日记账!$E301&lt;&gt;$G$1),0,IF(NOT(OR(N(资金日记账!$H301)&lt;&gt;0,N(资金日记账!$I301)&lt;&gt;0)),0,IF(资金日记账!$B301="",1,IF(OR(N(资金日记账!$B301)&lt;$H$1,N(资金日记账!$B301)&gt;$I$1),0,1))))</f>
        <v>0</v>
      </c>
      <c r="H308" s="0" t="n">
        <f aca="false">N(H307)+$G308</f>
        <v>3</v>
      </c>
      <c r="I308" s="0" t="str">
        <f aca="false">IF($G308=0,"",IF(资金日记账!$B301=0,"",资金日记账!$B301))</f>
        <v/>
      </c>
      <c r="J308" s="0" t="str">
        <f aca="false">IF($G308=0,"",IF(资金日记账!$D301=0,"",资金日记账!$D301))</f>
        <v/>
      </c>
      <c r="K308" s="0" t="str">
        <f aca="false">IF($G308=0,"",IF(""=0,"",""))</f>
        <v/>
      </c>
      <c r="L308" s="0" t="str">
        <f aca="false">IF($G308=0,"",IF(""=0,"",""))</f>
        <v/>
      </c>
      <c r="M308" s="0" t="str">
        <f aca="false">IF($G308=0,"",IF(""=0,"",""))</f>
        <v/>
      </c>
      <c r="N308" s="0" t="str">
        <f aca="false">IF($G308=0,"",IF(IF(N(资金日记账!$I301)=0,"",-ROUND(N(资金日记账!$I301),2))=0,"",IF(N(资金日记账!$I301)=0,"",-ROUND(N(资金日记账!$I301),2))))</f>
        <v/>
      </c>
      <c r="O308" s="0" t="str">
        <f aca="false">IF($G308=0,"",IF(IF(N(资金日记账!$H301)=0,"",ROUND(N(资金日记账!$H301),2))=0,"",IF(N(资金日记账!$H301)=0,"",ROUND(N(资金日记账!$H301),2))))</f>
        <v/>
      </c>
      <c r="P308" s="0" t="str">
        <f aca="false">IF($G308=0,"",IF(资金日记账!$L301=0,"",资金日记账!$L301))</f>
        <v/>
      </c>
      <c r="T308" s="0" t="str">
        <f aca="false">IF(资金日记账!$G308="","",资金日记账!$G308)</f>
        <v/>
      </c>
      <c r="U308" s="0" t="n">
        <f aca="false">IF(T308="",0,IF(MATCH(T308,$T$4:$T$903,0)=ROW()-3,1,0))</f>
        <v>0</v>
      </c>
      <c r="V308" s="0" t="n">
        <f aca="false">N(V307)+U308</f>
        <v>30</v>
      </c>
      <c r="AF308" s="0" t="str">
        <f aca="false">IF(OR(资金日记账!$E308="",N(资金日记账!$H308)=0),"",资金日记账!$E308)</f>
        <v/>
      </c>
      <c r="AG308" s="0" t="n">
        <f aca="false">IF(AF308="",0,IF(MATCH(AF308,$AF$4:$AF$603,0)=ROW()-3,1,0))</f>
        <v>0</v>
      </c>
      <c r="AH308" s="0" t="n">
        <f aca="false">N(AH307)+AG308</f>
        <v>5</v>
      </c>
    </row>
    <row r="309" customFormat="false" ht="13.5" hidden="false" customHeight="false" outlineLevel="0" collapsed="false">
      <c r="A309" s="0" t="str">
        <f aca="false">IF(资金日记账!$E7="","",资金日记账!$E7)</f>
        <v/>
      </c>
      <c r="B309" s="0" t="n">
        <f aca="false">IF(A309="",0,IF(MATCH(A309,$A$4:$A$1925,0)=ROW()-3,1,0))</f>
        <v>0</v>
      </c>
      <c r="C309" s="0" t="n">
        <f aca="false">N(C308)+B309</f>
        <v>6</v>
      </c>
      <c r="G309" s="0" t="n">
        <f aca="false">IF(OR($G$1="",资金日记账!$E302="",资金日记账!$E302&lt;&gt;$G$1),0,IF(NOT(OR(N(资金日记账!$H302)&lt;&gt;0,N(资金日记账!$I302)&lt;&gt;0)),0,IF(资金日记账!$B302="",1,IF(OR(N(资金日记账!$B302)&lt;$H$1,N(资金日记账!$B302)&gt;$I$1),0,1))))</f>
        <v>0</v>
      </c>
      <c r="H309" s="0" t="n">
        <f aca="false">N(H308)+$G309</f>
        <v>3</v>
      </c>
      <c r="I309" s="0" t="str">
        <f aca="false">IF($G309=0,"",IF(资金日记账!$B302=0,"",资金日记账!$B302))</f>
        <v/>
      </c>
      <c r="J309" s="0" t="str">
        <f aca="false">IF($G309=0,"",IF(资金日记账!$D302=0,"",资金日记账!$D302))</f>
        <v/>
      </c>
      <c r="K309" s="0" t="str">
        <f aca="false">IF($G309=0,"",IF(""=0,"",""))</f>
        <v/>
      </c>
      <c r="L309" s="0" t="str">
        <f aca="false">IF($G309=0,"",IF(""=0,"",""))</f>
        <v/>
      </c>
      <c r="M309" s="0" t="str">
        <f aca="false">IF($G309=0,"",IF(""=0,"",""))</f>
        <v/>
      </c>
      <c r="N309" s="0" t="str">
        <f aca="false">IF($G309=0,"",IF(IF(N(资金日记账!$I302)=0,"",-ROUND(N(资金日记账!$I302),2))=0,"",IF(N(资金日记账!$I302)=0,"",-ROUND(N(资金日记账!$I302),2))))</f>
        <v/>
      </c>
      <c r="O309" s="0" t="str">
        <f aca="false">IF($G309=0,"",IF(IF(N(资金日记账!$H302)=0,"",ROUND(N(资金日记账!$H302),2))=0,"",IF(N(资金日记账!$H302)=0,"",ROUND(N(资金日记账!$H302),2))))</f>
        <v/>
      </c>
      <c r="P309" s="0" t="str">
        <f aca="false">IF($G309=0,"",IF(资金日记账!$L302=0,"",资金日记账!$L302))</f>
        <v/>
      </c>
      <c r="T309" s="0" t="str">
        <f aca="false">IF(资金日记账!$G309="","",资金日记账!$G309)</f>
        <v/>
      </c>
      <c r="U309" s="0" t="n">
        <f aca="false">IF(T309="",0,IF(MATCH(T309,$T$4:$T$903,0)=ROW()-3,1,0))</f>
        <v>0</v>
      </c>
      <c r="V309" s="0" t="n">
        <f aca="false">N(V308)+U309</f>
        <v>30</v>
      </c>
      <c r="AF309" s="0" t="str">
        <f aca="false">IF(OR(资金日记账!$E309="",N(资金日记账!$H309)=0),"",资金日记账!$E309)</f>
        <v/>
      </c>
      <c r="AG309" s="0" t="n">
        <f aca="false">IF(AF309="",0,IF(MATCH(AF309,$AF$4:$AF$603,0)=ROW()-3,1,0))</f>
        <v>0</v>
      </c>
      <c r="AH309" s="0" t="n">
        <f aca="false">N(AH308)+AG309</f>
        <v>5</v>
      </c>
    </row>
    <row r="310" customFormat="false" ht="13.5" hidden="false" customHeight="false" outlineLevel="0" collapsed="false">
      <c r="A310" s="0" t="str">
        <f aca="false">IF(资金日记账!$E8="","",资金日记账!$E8)</f>
        <v/>
      </c>
      <c r="B310" s="0" t="n">
        <f aca="false">IF(A310="",0,IF(MATCH(A310,$A$4:$A$1925,0)=ROW()-3,1,0))</f>
        <v>0</v>
      </c>
      <c r="C310" s="0" t="n">
        <f aca="false">N(C309)+B310</f>
        <v>6</v>
      </c>
      <c r="G310" s="0" t="n">
        <f aca="false">IF(OR($G$1="",资金日记账!$E303="",资金日记账!$E303&lt;&gt;$G$1),0,IF(NOT(OR(N(资金日记账!$H303)&lt;&gt;0,N(资金日记账!$I303)&lt;&gt;0)),0,IF(资金日记账!$B303="",1,IF(OR(N(资金日记账!$B303)&lt;$H$1,N(资金日记账!$B303)&gt;$I$1),0,1))))</f>
        <v>0</v>
      </c>
      <c r="H310" s="0" t="n">
        <f aca="false">N(H309)+$G310</f>
        <v>3</v>
      </c>
      <c r="I310" s="0" t="str">
        <f aca="false">IF($G310=0,"",IF(资金日记账!$B303=0,"",资金日记账!$B303))</f>
        <v/>
      </c>
      <c r="J310" s="0" t="str">
        <f aca="false">IF($G310=0,"",IF(资金日记账!$D303=0,"",资金日记账!$D303))</f>
        <v/>
      </c>
      <c r="K310" s="0" t="str">
        <f aca="false">IF($G310=0,"",IF(""=0,"",""))</f>
        <v/>
      </c>
      <c r="L310" s="0" t="str">
        <f aca="false">IF($G310=0,"",IF(""=0,"",""))</f>
        <v/>
      </c>
      <c r="M310" s="0" t="str">
        <f aca="false">IF($G310=0,"",IF(""=0,"",""))</f>
        <v/>
      </c>
      <c r="N310" s="0" t="str">
        <f aca="false">IF($G310=0,"",IF(IF(N(资金日记账!$I303)=0,"",-ROUND(N(资金日记账!$I303),2))=0,"",IF(N(资金日记账!$I303)=0,"",-ROUND(N(资金日记账!$I303),2))))</f>
        <v/>
      </c>
      <c r="O310" s="0" t="str">
        <f aca="false">IF($G310=0,"",IF(IF(N(资金日记账!$H303)=0,"",ROUND(N(资金日记账!$H303),2))=0,"",IF(N(资金日记账!$H303)=0,"",ROUND(N(资金日记账!$H303),2))))</f>
        <v/>
      </c>
      <c r="P310" s="0" t="str">
        <f aca="false">IF($G310=0,"",IF(资金日记账!$L303=0,"",资金日记账!$L303))</f>
        <v/>
      </c>
      <c r="T310" s="0" t="str">
        <f aca="false">IF(资金日记账!$G310="","",资金日记账!$G310)</f>
        <v/>
      </c>
      <c r="U310" s="0" t="n">
        <f aca="false">IF(T310="",0,IF(MATCH(T310,$T$4:$T$903,0)=ROW()-3,1,0))</f>
        <v>0</v>
      </c>
      <c r="V310" s="0" t="n">
        <f aca="false">N(V309)+U310</f>
        <v>30</v>
      </c>
      <c r="AF310" s="0" t="str">
        <f aca="false">IF(OR(资金日记账!$E310="",N(资金日记账!$H310)=0),"",资金日记账!$E310)</f>
        <v/>
      </c>
      <c r="AG310" s="0" t="n">
        <f aca="false">IF(AF310="",0,IF(MATCH(AF310,$AF$4:$AF$603,0)=ROW()-3,1,0))</f>
        <v>0</v>
      </c>
      <c r="AH310" s="0" t="n">
        <f aca="false">N(AH309)+AG310</f>
        <v>5</v>
      </c>
    </row>
    <row r="311" customFormat="false" ht="13.5" hidden="false" customHeight="false" outlineLevel="0" collapsed="false">
      <c r="A311" s="0" t="str">
        <f aca="false">IF(资金日记账!$E9="","",资金日记账!$E9)</f>
        <v/>
      </c>
      <c r="B311" s="0" t="n">
        <f aca="false">IF(A311="",0,IF(MATCH(A311,$A$4:$A$1925,0)=ROW()-3,1,0))</f>
        <v>0</v>
      </c>
      <c r="C311" s="0" t="n">
        <f aca="false">N(C310)+B311</f>
        <v>6</v>
      </c>
      <c r="G311" s="0" t="n">
        <f aca="false">IF(OR($G$1="",资金日记账!$E304="",资金日记账!$E304&lt;&gt;$G$1),0,IF(NOT(OR(N(资金日记账!$H304)&lt;&gt;0,N(资金日记账!$I304)&lt;&gt;0)),0,IF(资金日记账!$B304="",1,IF(OR(N(资金日记账!$B304)&lt;$H$1,N(资金日记账!$B304)&gt;$I$1),0,1))))</f>
        <v>0</v>
      </c>
      <c r="H311" s="0" t="n">
        <f aca="false">N(H310)+$G311</f>
        <v>3</v>
      </c>
      <c r="I311" s="0" t="str">
        <f aca="false">IF($G311=0,"",IF(资金日记账!$B304=0,"",资金日记账!$B304))</f>
        <v/>
      </c>
      <c r="J311" s="0" t="str">
        <f aca="false">IF($G311=0,"",IF(资金日记账!$D304=0,"",资金日记账!$D304))</f>
        <v/>
      </c>
      <c r="K311" s="0" t="str">
        <f aca="false">IF($G311=0,"",IF(""=0,"",""))</f>
        <v/>
      </c>
      <c r="L311" s="0" t="str">
        <f aca="false">IF($G311=0,"",IF(""=0,"",""))</f>
        <v/>
      </c>
      <c r="M311" s="0" t="str">
        <f aca="false">IF($G311=0,"",IF(""=0,"",""))</f>
        <v/>
      </c>
      <c r="N311" s="0" t="str">
        <f aca="false">IF($G311=0,"",IF(IF(N(资金日记账!$I304)=0,"",-ROUND(N(资金日记账!$I304),2))=0,"",IF(N(资金日记账!$I304)=0,"",-ROUND(N(资金日记账!$I304),2))))</f>
        <v/>
      </c>
      <c r="O311" s="0" t="str">
        <f aca="false">IF($G311=0,"",IF(IF(N(资金日记账!$H304)=0,"",ROUND(N(资金日记账!$H304),2))=0,"",IF(N(资金日记账!$H304)=0,"",ROUND(N(资金日记账!$H304),2))))</f>
        <v/>
      </c>
      <c r="P311" s="0" t="str">
        <f aca="false">IF($G311=0,"",IF(资金日记账!$L304=0,"",资金日记账!$L304))</f>
        <v/>
      </c>
      <c r="T311" s="0" t="str">
        <f aca="false">IF(资金日记账!$G311="","",资金日记账!$G311)</f>
        <v/>
      </c>
      <c r="U311" s="0" t="n">
        <f aca="false">IF(T311="",0,IF(MATCH(T311,$T$4:$T$903,0)=ROW()-3,1,0))</f>
        <v>0</v>
      </c>
      <c r="V311" s="0" t="n">
        <f aca="false">N(V310)+U311</f>
        <v>30</v>
      </c>
      <c r="AF311" s="0" t="str">
        <f aca="false">IF(OR(资金日记账!$E311="",N(资金日记账!$H311)=0),"",资金日记账!$E311)</f>
        <v/>
      </c>
      <c r="AG311" s="0" t="n">
        <f aca="false">IF(AF311="",0,IF(MATCH(AF311,$AF$4:$AF$603,0)=ROW()-3,1,0))</f>
        <v>0</v>
      </c>
      <c r="AH311" s="0" t="n">
        <f aca="false">N(AH310)+AG311</f>
        <v>5</v>
      </c>
    </row>
    <row r="312" customFormat="false" ht="13.5" hidden="false" customHeight="false" outlineLevel="0" collapsed="false">
      <c r="A312" s="0" t="str">
        <f aca="false">IF(资金日记账!$E10="","",资金日记账!$E10)</f>
        <v/>
      </c>
      <c r="B312" s="0" t="n">
        <f aca="false">IF(A312="",0,IF(MATCH(A312,$A$4:$A$1925,0)=ROW()-3,1,0))</f>
        <v>0</v>
      </c>
      <c r="C312" s="0" t="n">
        <f aca="false">N(C311)+B312</f>
        <v>6</v>
      </c>
      <c r="G312" s="0" t="n">
        <f aca="false">IF(OR($G$1="",资金日记账!$E305="",资金日记账!$E305&lt;&gt;$G$1),0,IF(NOT(OR(N(资金日记账!$H305)&lt;&gt;0,N(资金日记账!$I305)&lt;&gt;0)),0,IF(资金日记账!$B305="",1,IF(OR(N(资金日记账!$B305)&lt;$H$1,N(资金日记账!$B305)&gt;$I$1),0,1))))</f>
        <v>0</v>
      </c>
      <c r="H312" s="0" t="n">
        <f aca="false">N(H311)+$G312</f>
        <v>3</v>
      </c>
      <c r="I312" s="0" t="str">
        <f aca="false">IF($G312=0,"",IF(资金日记账!$B305=0,"",资金日记账!$B305))</f>
        <v/>
      </c>
      <c r="J312" s="0" t="str">
        <f aca="false">IF($G312=0,"",IF(资金日记账!$D305=0,"",资金日记账!$D305))</f>
        <v/>
      </c>
      <c r="K312" s="0" t="str">
        <f aca="false">IF($G312=0,"",IF(""=0,"",""))</f>
        <v/>
      </c>
      <c r="L312" s="0" t="str">
        <f aca="false">IF($G312=0,"",IF(""=0,"",""))</f>
        <v/>
      </c>
      <c r="M312" s="0" t="str">
        <f aca="false">IF($G312=0,"",IF(""=0,"",""))</f>
        <v/>
      </c>
      <c r="N312" s="0" t="str">
        <f aca="false">IF($G312=0,"",IF(IF(N(资金日记账!$I305)=0,"",-ROUND(N(资金日记账!$I305),2))=0,"",IF(N(资金日记账!$I305)=0,"",-ROUND(N(资金日记账!$I305),2))))</f>
        <v/>
      </c>
      <c r="O312" s="0" t="str">
        <f aca="false">IF($G312=0,"",IF(IF(N(资金日记账!$H305)=0,"",ROUND(N(资金日记账!$H305),2))=0,"",IF(N(资金日记账!$H305)=0,"",ROUND(N(资金日记账!$H305),2))))</f>
        <v/>
      </c>
      <c r="P312" s="0" t="str">
        <f aca="false">IF($G312=0,"",IF(资金日记账!$L305=0,"",资金日记账!$L305))</f>
        <v/>
      </c>
      <c r="T312" s="0" t="str">
        <f aca="false">IF(资金日记账!$G312="","",资金日记账!$G312)</f>
        <v/>
      </c>
      <c r="U312" s="0" t="n">
        <f aca="false">IF(T312="",0,IF(MATCH(T312,$T$4:$T$903,0)=ROW()-3,1,0))</f>
        <v>0</v>
      </c>
      <c r="V312" s="0" t="n">
        <f aca="false">N(V311)+U312</f>
        <v>30</v>
      </c>
      <c r="AF312" s="0" t="str">
        <f aca="false">IF(OR(资金日记账!$E312="",N(资金日记账!$H312)=0),"",资金日记账!$E312)</f>
        <v/>
      </c>
      <c r="AG312" s="0" t="n">
        <f aca="false">IF(AF312="",0,IF(MATCH(AF312,$AF$4:$AF$603,0)=ROW()-3,1,0))</f>
        <v>0</v>
      </c>
      <c r="AH312" s="0" t="n">
        <f aca="false">N(AH311)+AG312</f>
        <v>5</v>
      </c>
    </row>
    <row r="313" customFormat="false" ht="13.5" hidden="false" customHeight="false" outlineLevel="0" collapsed="false">
      <c r="A313" s="0" t="str">
        <f aca="false">IF(资金日记账!$E11="","",资金日记账!$E11)</f>
        <v/>
      </c>
      <c r="B313" s="0" t="n">
        <f aca="false">IF(A313="",0,IF(MATCH(A313,$A$4:$A$1925,0)=ROW()-3,1,0))</f>
        <v>0</v>
      </c>
      <c r="C313" s="0" t="n">
        <f aca="false">N(C312)+B313</f>
        <v>6</v>
      </c>
      <c r="G313" s="0" t="n">
        <f aca="false">IF(OR($G$1="",资金日记账!$E306="",资金日记账!$E306&lt;&gt;$G$1),0,IF(NOT(OR(N(资金日记账!$H306)&lt;&gt;0,N(资金日记账!$I306)&lt;&gt;0)),0,IF(资金日记账!$B306="",1,IF(OR(N(资金日记账!$B306)&lt;$H$1,N(资金日记账!$B306)&gt;$I$1),0,1))))</f>
        <v>0</v>
      </c>
      <c r="H313" s="0" t="n">
        <f aca="false">N(H312)+$G313</f>
        <v>3</v>
      </c>
      <c r="I313" s="0" t="str">
        <f aca="false">IF($G313=0,"",IF(资金日记账!$B306=0,"",资金日记账!$B306))</f>
        <v/>
      </c>
      <c r="J313" s="0" t="str">
        <f aca="false">IF($G313=0,"",IF(资金日记账!$D306=0,"",资金日记账!$D306))</f>
        <v/>
      </c>
      <c r="K313" s="0" t="str">
        <f aca="false">IF($G313=0,"",IF(""=0,"",""))</f>
        <v/>
      </c>
      <c r="L313" s="0" t="str">
        <f aca="false">IF($G313=0,"",IF(""=0,"",""))</f>
        <v/>
      </c>
      <c r="M313" s="0" t="str">
        <f aca="false">IF($G313=0,"",IF(""=0,"",""))</f>
        <v/>
      </c>
      <c r="N313" s="0" t="str">
        <f aca="false">IF($G313=0,"",IF(IF(N(资金日记账!$I306)=0,"",-ROUND(N(资金日记账!$I306),2))=0,"",IF(N(资金日记账!$I306)=0,"",-ROUND(N(资金日记账!$I306),2))))</f>
        <v/>
      </c>
      <c r="O313" s="0" t="str">
        <f aca="false">IF($G313=0,"",IF(IF(N(资金日记账!$H306)=0,"",ROUND(N(资金日记账!$H306),2))=0,"",IF(N(资金日记账!$H306)=0,"",ROUND(N(资金日记账!$H306),2))))</f>
        <v/>
      </c>
      <c r="P313" s="0" t="str">
        <f aca="false">IF($G313=0,"",IF(资金日记账!$L306=0,"",资金日记账!$L306))</f>
        <v/>
      </c>
      <c r="T313" s="0" t="str">
        <f aca="false">IF(资金日记账!$G313="","",资金日记账!$G313)</f>
        <v/>
      </c>
      <c r="U313" s="0" t="n">
        <f aca="false">IF(T313="",0,IF(MATCH(T313,$T$4:$T$903,0)=ROW()-3,1,0))</f>
        <v>0</v>
      </c>
      <c r="V313" s="0" t="n">
        <f aca="false">N(V312)+U313</f>
        <v>30</v>
      </c>
      <c r="AF313" s="0" t="str">
        <f aca="false">IF(OR(资金日记账!$E313="",N(资金日记账!$H313)=0),"",资金日记账!$E313)</f>
        <v/>
      </c>
      <c r="AG313" s="0" t="n">
        <f aca="false">IF(AF313="",0,IF(MATCH(AF313,$AF$4:$AF$603,0)=ROW()-3,1,0))</f>
        <v>0</v>
      </c>
      <c r="AH313" s="0" t="n">
        <f aca="false">N(AH312)+AG313</f>
        <v>5</v>
      </c>
    </row>
    <row r="314" customFormat="false" ht="13.5" hidden="false" customHeight="false" outlineLevel="0" collapsed="false">
      <c r="A314" s="0" t="str">
        <f aca="false">IF(资金日记账!$E12="","",资金日记账!$E12)</f>
        <v/>
      </c>
      <c r="B314" s="0" t="n">
        <f aca="false">IF(A314="",0,IF(MATCH(A314,$A$4:$A$1925,0)=ROW()-3,1,0))</f>
        <v>0</v>
      </c>
      <c r="C314" s="0" t="n">
        <f aca="false">N(C313)+B314</f>
        <v>6</v>
      </c>
      <c r="G314" s="0" t="n">
        <f aca="false">IF(OR($G$1="",资金日记账!$E307="",资金日记账!$E307&lt;&gt;$G$1),0,IF(NOT(OR(N(资金日记账!$H307)&lt;&gt;0,N(资金日记账!$I307)&lt;&gt;0)),0,IF(资金日记账!$B307="",1,IF(OR(N(资金日记账!$B307)&lt;$H$1,N(资金日记账!$B307)&gt;$I$1),0,1))))</f>
        <v>0</v>
      </c>
      <c r="H314" s="0" t="n">
        <f aca="false">N(H313)+$G314</f>
        <v>3</v>
      </c>
      <c r="I314" s="0" t="str">
        <f aca="false">IF($G314=0,"",IF(资金日记账!$B307=0,"",资金日记账!$B307))</f>
        <v/>
      </c>
      <c r="J314" s="0" t="str">
        <f aca="false">IF($G314=0,"",IF(资金日记账!$D307=0,"",资金日记账!$D307))</f>
        <v/>
      </c>
      <c r="K314" s="0" t="str">
        <f aca="false">IF($G314=0,"",IF(""=0,"",""))</f>
        <v/>
      </c>
      <c r="L314" s="0" t="str">
        <f aca="false">IF($G314=0,"",IF(""=0,"",""))</f>
        <v/>
      </c>
      <c r="M314" s="0" t="str">
        <f aca="false">IF($G314=0,"",IF(""=0,"",""))</f>
        <v/>
      </c>
      <c r="N314" s="0" t="str">
        <f aca="false">IF($G314=0,"",IF(IF(N(资金日记账!$I307)=0,"",-ROUND(N(资金日记账!$I307),2))=0,"",IF(N(资金日记账!$I307)=0,"",-ROUND(N(资金日记账!$I307),2))))</f>
        <v/>
      </c>
      <c r="O314" s="0" t="str">
        <f aca="false">IF($G314=0,"",IF(IF(N(资金日记账!$H307)=0,"",ROUND(N(资金日记账!$H307),2))=0,"",IF(N(资金日记账!$H307)=0,"",ROUND(N(资金日记账!$H307),2))))</f>
        <v/>
      </c>
      <c r="P314" s="0" t="str">
        <f aca="false">IF($G314=0,"",IF(资金日记账!$L307=0,"",资金日记账!$L307))</f>
        <v/>
      </c>
      <c r="T314" s="0" t="str">
        <f aca="false">IF(资金日记账!$G314="","",资金日记账!$G314)</f>
        <v/>
      </c>
      <c r="U314" s="0" t="n">
        <f aca="false">IF(T314="",0,IF(MATCH(T314,$T$4:$T$903,0)=ROW()-3,1,0))</f>
        <v>0</v>
      </c>
      <c r="V314" s="0" t="n">
        <f aca="false">N(V313)+U314</f>
        <v>30</v>
      </c>
      <c r="AF314" s="0" t="str">
        <f aca="false">IF(OR(资金日记账!$E314="",N(资金日记账!$H314)=0),"",资金日记账!$E314)</f>
        <v/>
      </c>
      <c r="AG314" s="0" t="n">
        <f aca="false">IF(AF314="",0,IF(MATCH(AF314,$AF$4:$AF$603,0)=ROW()-3,1,0))</f>
        <v>0</v>
      </c>
      <c r="AH314" s="0" t="n">
        <f aca="false">N(AH313)+AG314</f>
        <v>5</v>
      </c>
    </row>
    <row r="315" customFormat="false" ht="13.5" hidden="false" customHeight="false" outlineLevel="0" collapsed="false">
      <c r="A315" s="0" t="str">
        <f aca="false">IF(资金日记账!$E13="","",资金日记账!$E13)</f>
        <v/>
      </c>
      <c r="B315" s="0" t="n">
        <f aca="false">IF(A315="",0,IF(MATCH(A315,$A$4:$A$1925,0)=ROW()-3,1,0))</f>
        <v>0</v>
      </c>
      <c r="C315" s="0" t="n">
        <f aca="false">N(C314)+B315</f>
        <v>6</v>
      </c>
      <c r="G315" s="0" t="n">
        <f aca="false">IF(OR($G$1="",资金日记账!$E308="",资金日记账!$E308&lt;&gt;$G$1),0,IF(NOT(OR(N(资金日记账!$H308)&lt;&gt;0,N(资金日记账!$I308)&lt;&gt;0)),0,IF(资金日记账!$B308="",1,IF(OR(N(资金日记账!$B308)&lt;$H$1,N(资金日记账!$B308)&gt;$I$1),0,1))))</f>
        <v>0</v>
      </c>
      <c r="H315" s="0" t="n">
        <f aca="false">N(H314)+$G315</f>
        <v>3</v>
      </c>
      <c r="I315" s="0" t="str">
        <f aca="false">IF($G315=0,"",IF(资金日记账!$B308=0,"",资金日记账!$B308))</f>
        <v/>
      </c>
      <c r="J315" s="0" t="str">
        <f aca="false">IF($G315=0,"",IF(资金日记账!$D308=0,"",资金日记账!$D308))</f>
        <v/>
      </c>
      <c r="K315" s="0" t="str">
        <f aca="false">IF($G315=0,"",IF(""=0,"",""))</f>
        <v/>
      </c>
      <c r="L315" s="0" t="str">
        <f aca="false">IF($G315=0,"",IF(""=0,"",""))</f>
        <v/>
      </c>
      <c r="M315" s="0" t="str">
        <f aca="false">IF($G315=0,"",IF(""=0,"",""))</f>
        <v/>
      </c>
      <c r="N315" s="0" t="str">
        <f aca="false">IF($G315=0,"",IF(IF(N(资金日记账!$I308)=0,"",-ROUND(N(资金日记账!$I308),2))=0,"",IF(N(资金日记账!$I308)=0,"",-ROUND(N(资金日记账!$I308),2))))</f>
        <v/>
      </c>
      <c r="O315" s="0" t="str">
        <f aca="false">IF($G315=0,"",IF(IF(N(资金日记账!$H308)=0,"",ROUND(N(资金日记账!$H308),2))=0,"",IF(N(资金日记账!$H308)=0,"",ROUND(N(资金日记账!$H308),2))))</f>
        <v/>
      </c>
      <c r="P315" s="0" t="str">
        <f aca="false">IF($G315=0,"",IF(资金日记账!$L308=0,"",资金日记账!$L308))</f>
        <v/>
      </c>
      <c r="T315" s="0" t="str">
        <f aca="false">IF(资金日记账!$G315="","",资金日记账!$G315)</f>
        <v/>
      </c>
      <c r="U315" s="0" t="n">
        <f aca="false">IF(T315="",0,IF(MATCH(T315,$T$4:$T$903,0)=ROW()-3,1,0))</f>
        <v>0</v>
      </c>
      <c r="V315" s="0" t="n">
        <f aca="false">N(V314)+U315</f>
        <v>30</v>
      </c>
      <c r="AF315" s="0" t="str">
        <f aca="false">IF(OR(资金日记账!$E315="",N(资金日记账!$H315)=0),"",资金日记账!$E315)</f>
        <v/>
      </c>
      <c r="AG315" s="0" t="n">
        <f aca="false">IF(AF315="",0,IF(MATCH(AF315,$AF$4:$AF$603,0)=ROW()-3,1,0))</f>
        <v>0</v>
      </c>
      <c r="AH315" s="0" t="n">
        <f aca="false">N(AH314)+AG315</f>
        <v>5</v>
      </c>
    </row>
    <row r="316" customFormat="false" ht="13.5" hidden="false" customHeight="false" outlineLevel="0" collapsed="false">
      <c r="A316" s="0" t="str">
        <f aca="false">IF(资金日记账!$E14="","",资金日记账!$E14)</f>
        <v/>
      </c>
      <c r="B316" s="0" t="n">
        <f aca="false">IF(A316="",0,IF(MATCH(A316,$A$4:$A$1925,0)=ROW()-3,1,0))</f>
        <v>0</v>
      </c>
      <c r="C316" s="0" t="n">
        <f aca="false">N(C315)+B316</f>
        <v>6</v>
      </c>
      <c r="G316" s="0" t="n">
        <f aca="false">IF(OR($G$1="",资金日记账!$E309="",资金日记账!$E309&lt;&gt;$G$1),0,IF(NOT(OR(N(资金日记账!$H309)&lt;&gt;0,N(资金日记账!$I309)&lt;&gt;0)),0,IF(资金日记账!$B309="",1,IF(OR(N(资金日记账!$B309)&lt;$H$1,N(资金日记账!$B309)&gt;$I$1),0,1))))</f>
        <v>0</v>
      </c>
      <c r="H316" s="0" t="n">
        <f aca="false">N(H315)+$G316</f>
        <v>3</v>
      </c>
      <c r="I316" s="0" t="str">
        <f aca="false">IF($G316=0,"",IF(资金日记账!$B309=0,"",资金日记账!$B309))</f>
        <v/>
      </c>
      <c r="J316" s="0" t="str">
        <f aca="false">IF($G316=0,"",IF(资金日记账!$D309=0,"",资金日记账!$D309))</f>
        <v/>
      </c>
      <c r="K316" s="0" t="str">
        <f aca="false">IF($G316=0,"",IF(""=0,"",""))</f>
        <v/>
      </c>
      <c r="L316" s="0" t="str">
        <f aca="false">IF($G316=0,"",IF(""=0,"",""))</f>
        <v/>
      </c>
      <c r="M316" s="0" t="str">
        <f aca="false">IF($G316=0,"",IF(""=0,"",""))</f>
        <v/>
      </c>
      <c r="N316" s="0" t="str">
        <f aca="false">IF($G316=0,"",IF(IF(N(资金日记账!$I309)=0,"",-ROUND(N(资金日记账!$I309),2))=0,"",IF(N(资金日记账!$I309)=0,"",-ROUND(N(资金日记账!$I309),2))))</f>
        <v/>
      </c>
      <c r="O316" s="0" t="str">
        <f aca="false">IF($G316=0,"",IF(IF(N(资金日记账!$H309)=0,"",ROUND(N(资金日记账!$H309),2))=0,"",IF(N(资金日记账!$H309)=0,"",ROUND(N(资金日记账!$H309),2))))</f>
        <v/>
      </c>
      <c r="P316" s="0" t="str">
        <f aca="false">IF($G316=0,"",IF(资金日记账!$L309=0,"",资金日记账!$L309))</f>
        <v/>
      </c>
      <c r="T316" s="0" t="str">
        <f aca="false">IF(资金日记账!$G316="","",资金日记账!$G316)</f>
        <v/>
      </c>
      <c r="U316" s="0" t="n">
        <f aca="false">IF(T316="",0,IF(MATCH(T316,$T$4:$T$903,0)=ROW()-3,1,0))</f>
        <v>0</v>
      </c>
      <c r="V316" s="0" t="n">
        <f aca="false">N(V315)+U316</f>
        <v>30</v>
      </c>
      <c r="AF316" s="0" t="str">
        <f aca="false">IF(OR(资金日记账!$E316="",N(资金日记账!$H316)=0),"",资金日记账!$E316)</f>
        <v/>
      </c>
      <c r="AG316" s="0" t="n">
        <f aca="false">IF(AF316="",0,IF(MATCH(AF316,$AF$4:$AF$603,0)=ROW()-3,1,0))</f>
        <v>0</v>
      </c>
      <c r="AH316" s="0" t="n">
        <f aca="false">N(AH315)+AG316</f>
        <v>5</v>
      </c>
    </row>
    <row r="317" customFormat="false" ht="13.5" hidden="false" customHeight="false" outlineLevel="0" collapsed="false">
      <c r="A317" s="0" t="str">
        <f aca="false">IF(资金日记账!$E15="","",资金日记账!$E15)</f>
        <v/>
      </c>
      <c r="B317" s="0" t="n">
        <f aca="false">IF(A317="",0,IF(MATCH(A317,$A$4:$A$1925,0)=ROW()-3,1,0))</f>
        <v>0</v>
      </c>
      <c r="C317" s="0" t="n">
        <f aca="false">N(C316)+B317</f>
        <v>6</v>
      </c>
      <c r="G317" s="0" t="n">
        <f aca="false">IF(OR($G$1="",资金日记账!$E310="",资金日记账!$E310&lt;&gt;$G$1),0,IF(NOT(OR(N(资金日记账!$H310)&lt;&gt;0,N(资金日记账!$I310)&lt;&gt;0)),0,IF(资金日记账!$B310="",1,IF(OR(N(资金日记账!$B310)&lt;$H$1,N(资金日记账!$B310)&gt;$I$1),0,1))))</f>
        <v>0</v>
      </c>
      <c r="H317" s="0" t="n">
        <f aca="false">N(H316)+$G317</f>
        <v>3</v>
      </c>
      <c r="I317" s="0" t="str">
        <f aca="false">IF($G317=0,"",IF(资金日记账!$B310=0,"",资金日记账!$B310))</f>
        <v/>
      </c>
      <c r="J317" s="0" t="str">
        <f aca="false">IF($G317=0,"",IF(资金日记账!$D310=0,"",资金日记账!$D310))</f>
        <v/>
      </c>
      <c r="K317" s="0" t="str">
        <f aca="false">IF($G317=0,"",IF(""=0,"",""))</f>
        <v/>
      </c>
      <c r="L317" s="0" t="str">
        <f aca="false">IF($G317=0,"",IF(""=0,"",""))</f>
        <v/>
      </c>
      <c r="M317" s="0" t="str">
        <f aca="false">IF($G317=0,"",IF(""=0,"",""))</f>
        <v/>
      </c>
      <c r="N317" s="0" t="str">
        <f aca="false">IF($G317=0,"",IF(IF(N(资金日记账!$I310)=0,"",-ROUND(N(资金日记账!$I310),2))=0,"",IF(N(资金日记账!$I310)=0,"",-ROUND(N(资金日记账!$I310),2))))</f>
        <v/>
      </c>
      <c r="O317" s="0" t="str">
        <f aca="false">IF($G317=0,"",IF(IF(N(资金日记账!$H310)=0,"",ROUND(N(资金日记账!$H310),2))=0,"",IF(N(资金日记账!$H310)=0,"",ROUND(N(资金日记账!$H310),2))))</f>
        <v/>
      </c>
      <c r="P317" s="0" t="str">
        <f aca="false">IF($G317=0,"",IF(资金日记账!$L310=0,"",资金日记账!$L310))</f>
        <v/>
      </c>
      <c r="T317" s="0" t="str">
        <f aca="false">IF(资金日记账!$G317="","",资金日记账!$G317)</f>
        <v/>
      </c>
      <c r="U317" s="0" t="n">
        <f aca="false">IF(T317="",0,IF(MATCH(T317,$T$4:$T$903,0)=ROW()-3,1,0))</f>
        <v>0</v>
      </c>
      <c r="V317" s="0" t="n">
        <f aca="false">N(V316)+U317</f>
        <v>30</v>
      </c>
      <c r="AF317" s="0" t="str">
        <f aca="false">IF(OR(资金日记账!$E317="",N(资金日记账!$H317)=0),"",资金日记账!$E317)</f>
        <v/>
      </c>
      <c r="AG317" s="0" t="n">
        <f aca="false">IF(AF317="",0,IF(MATCH(AF317,$AF$4:$AF$603,0)=ROW()-3,1,0))</f>
        <v>0</v>
      </c>
      <c r="AH317" s="0" t="n">
        <f aca="false">N(AH316)+AG317</f>
        <v>5</v>
      </c>
    </row>
    <row r="318" customFormat="false" ht="13.5" hidden="false" customHeight="false" outlineLevel="0" collapsed="false">
      <c r="A318" s="0" t="str">
        <f aca="false">IF(资金日记账!$E16="","",资金日记账!$E16)</f>
        <v/>
      </c>
      <c r="B318" s="0" t="n">
        <f aca="false">IF(A318="",0,IF(MATCH(A318,$A$4:$A$1925,0)=ROW()-3,1,0))</f>
        <v>0</v>
      </c>
      <c r="C318" s="0" t="n">
        <f aca="false">N(C317)+B318</f>
        <v>6</v>
      </c>
      <c r="G318" s="0" t="n">
        <f aca="false">IF(OR($G$1="",资金日记账!$E311="",资金日记账!$E311&lt;&gt;$G$1),0,IF(NOT(OR(N(资金日记账!$H311)&lt;&gt;0,N(资金日记账!$I311)&lt;&gt;0)),0,IF(资金日记账!$B311="",1,IF(OR(N(资金日记账!$B311)&lt;$H$1,N(资金日记账!$B311)&gt;$I$1),0,1))))</f>
        <v>0</v>
      </c>
      <c r="H318" s="0" t="n">
        <f aca="false">N(H317)+$G318</f>
        <v>3</v>
      </c>
      <c r="I318" s="0" t="str">
        <f aca="false">IF($G318=0,"",IF(资金日记账!$B311=0,"",资金日记账!$B311))</f>
        <v/>
      </c>
      <c r="J318" s="0" t="str">
        <f aca="false">IF($G318=0,"",IF(资金日记账!$D311=0,"",资金日记账!$D311))</f>
        <v/>
      </c>
      <c r="K318" s="0" t="str">
        <f aca="false">IF($G318=0,"",IF(""=0,"",""))</f>
        <v/>
      </c>
      <c r="L318" s="0" t="str">
        <f aca="false">IF($G318=0,"",IF(""=0,"",""))</f>
        <v/>
      </c>
      <c r="M318" s="0" t="str">
        <f aca="false">IF($G318=0,"",IF(""=0,"",""))</f>
        <v/>
      </c>
      <c r="N318" s="0" t="str">
        <f aca="false">IF($G318=0,"",IF(IF(N(资金日记账!$I311)=0,"",-ROUND(N(资金日记账!$I311),2))=0,"",IF(N(资金日记账!$I311)=0,"",-ROUND(N(资金日记账!$I311),2))))</f>
        <v/>
      </c>
      <c r="O318" s="0" t="str">
        <f aca="false">IF($G318=0,"",IF(IF(N(资金日记账!$H311)=0,"",ROUND(N(资金日记账!$H311),2))=0,"",IF(N(资金日记账!$H311)=0,"",ROUND(N(资金日记账!$H311),2))))</f>
        <v/>
      </c>
      <c r="P318" s="0" t="str">
        <f aca="false">IF($G318=0,"",IF(资金日记账!$L311=0,"",资金日记账!$L311))</f>
        <v/>
      </c>
      <c r="T318" s="0" t="str">
        <f aca="false">IF(资金日记账!$G318="","",资金日记账!$G318)</f>
        <v/>
      </c>
      <c r="U318" s="0" t="n">
        <f aca="false">IF(T318="",0,IF(MATCH(T318,$T$4:$T$903,0)=ROW()-3,1,0))</f>
        <v>0</v>
      </c>
      <c r="V318" s="0" t="n">
        <f aca="false">N(V317)+U318</f>
        <v>30</v>
      </c>
      <c r="AF318" s="0" t="str">
        <f aca="false">IF(OR(资金日记账!$E318="",N(资金日记账!$H318)=0),"",资金日记账!$E318)</f>
        <v/>
      </c>
      <c r="AG318" s="0" t="n">
        <f aca="false">IF(AF318="",0,IF(MATCH(AF318,$AF$4:$AF$603,0)=ROW()-3,1,0))</f>
        <v>0</v>
      </c>
      <c r="AH318" s="0" t="n">
        <f aca="false">N(AH317)+AG318</f>
        <v>5</v>
      </c>
    </row>
    <row r="319" customFormat="false" ht="13.5" hidden="false" customHeight="false" outlineLevel="0" collapsed="false">
      <c r="A319" s="0" t="str">
        <f aca="false">IF(资金日记账!$E17="","",资金日记账!$E17)</f>
        <v/>
      </c>
      <c r="B319" s="0" t="n">
        <f aca="false">IF(A319="",0,IF(MATCH(A319,$A$4:$A$1925,0)=ROW()-3,1,0))</f>
        <v>0</v>
      </c>
      <c r="C319" s="0" t="n">
        <f aca="false">N(C318)+B319</f>
        <v>6</v>
      </c>
      <c r="G319" s="0" t="n">
        <f aca="false">IF(OR($G$1="",资金日记账!$E312="",资金日记账!$E312&lt;&gt;$G$1),0,IF(NOT(OR(N(资金日记账!$H312)&lt;&gt;0,N(资金日记账!$I312)&lt;&gt;0)),0,IF(资金日记账!$B312="",1,IF(OR(N(资金日记账!$B312)&lt;$H$1,N(资金日记账!$B312)&gt;$I$1),0,1))))</f>
        <v>0</v>
      </c>
      <c r="H319" s="0" t="n">
        <f aca="false">N(H318)+$G319</f>
        <v>3</v>
      </c>
      <c r="I319" s="0" t="str">
        <f aca="false">IF($G319=0,"",IF(资金日记账!$B312=0,"",资金日记账!$B312))</f>
        <v/>
      </c>
      <c r="J319" s="0" t="str">
        <f aca="false">IF($G319=0,"",IF(资金日记账!$D312=0,"",资金日记账!$D312))</f>
        <v/>
      </c>
      <c r="K319" s="0" t="str">
        <f aca="false">IF($G319=0,"",IF(""=0,"",""))</f>
        <v/>
      </c>
      <c r="L319" s="0" t="str">
        <f aca="false">IF($G319=0,"",IF(""=0,"",""))</f>
        <v/>
      </c>
      <c r="M319" s="0" t="str">
        <f aca="false">IF($G319=0,"",IF(""=0,"",""))</f>
        <v/>
      </c>
      <c r="N319" s="0" t="str">
        <f aca="false">IF($G319=0,"",IF(IF(N(资金日记账!$I312)=0,"",-ROUND(N(资金日记账!$I312),2))=0,"",IF(N(资金日记账!$I312)=0,"",-ROUND(N(资金日记账!$I312),2))))</f>
        <v/>
      </c>
      <c r="O319" s="0" t="str">
        <f aca="false">IF($G319=0,"",IF(IF(N(资金日记账!$H312)=0,"",ROUND(N(资金日记账!$H312),2))=0,"",IF(N(资金日记账!$H312)=0,"",ROUND(N(资金日记账!$H312),2))))</f>
        <v/>
      </c>
      <c r="P319" s="0" t="str">
        <f aca="false">IF($G319=0,"",IF(资金日记账!$L312=0,"",资金日记账!$L312))</f>
        <v/>
      </c>
      <c r="T319" s="0" t="str">
        <f aca="false">IF(资金日记账!$G319="","",资金日记账!$G319)</f>
        <v/>
      </c>
      <c r="U319" s="0" t="n">
        <f aca="false">IF(T319="",0,IF(MATCH(T319,$T$4:$T$903,0)=ROW()-3,1,0))</f>
        <v>0</v>
      </c>
      <c r="V319" s="0" t="n">
        <f aca="false">N(V318)+U319</f>
        <v>30</v>
      </c>
      <c r="AF319" s="0" t="str">
        <f aca="false">IF(OR(资金日记账!$E319="",N(资金日记账!$H319)=0),"",资金日记账!$E319)</f>
        <v/>
      </c>
      <c r="AG319" s="0" t="n">
        <f aca="false">IF(AF319="",0,IF(MATCH(AF319,$AF$4:$AF$603,0)=ROW()-3,1,0))</f>
        <v>0</v>
      </c>
      <c r="AH319" s="0" t="n">
        <f aca="false">N(AH318)+AG319</f>
        <v>5</v>
      </c>
    </row>
    <row r="320" customFormat="false" ht="13.5" hidden="false" customHeight="false" outlineLevel="0" collapsed="false">
      <c r="A320" s="0" t="str">
        <f aca="false">IF(资金日记账!$E18="","",资金日记账!$E18)</f>
        <v/>
      </c>
      <c r="B320" s="0" t="n">
        <f aca="false">IF(A320="",0,IF(MATCH(A320,$A$4:$A$1925,0)=ROW()-3,1,0))</f>
        <v>0</v>
      </c>
      <c r="C320" s="0" t="n">
        <f aca="false">N(C319)+B320</f>
        <v>6</v>
      </c>
      <c r="G320" s="0" t="n">
        <f aca="false">IF(OR($G$1="",资金日记账!$E313="",资金日记账!$E313&lt;&gt;$G$1),0,IF(NOT(OR(N(资金日记账!$H313)&lt;&gt;0,N(资金日记账!$I313)&lt;&gt;0)),0,IF(资金日记账!$B313="",1,IF(OR(N(资金日记账!$B313)&lt;$H$1,N(资金日记账!$B313)&gt;$I$1),0,1))))</f>
        <v>0</v>
      </c>
      <c r="H320" s="0" t="n">
        <f aca="false">N(H319)+$G320</f>
        <v>3</v>
      </c>
      <c r="I320" s="0" t="str">
        <f aca="false">IF($G320=0,"",IF(资金日记账!$B313=0,"",资金日记账!$B313))</f>
        <v/>
      </c>
      <c r="J320" s="0" t="str">
        <f aca="false">IF($G320=0,"",IF(资金日记账!$D313=0,"",资金日记账!$D313))</f>
        <v/>
      </c>
      <c r="K320" s="0" t="str">
        <f aca="false">IF($G320=0,"",IF(""=0,"",""))</f>
        <v/>
      </c>
      <c r="L320" s="0" t="str">
        <f aca="false">IF($G320=0,"",IF(""=0,"",""))</f>
        <v/>
      </c>
      <c r="M320" s="0" t="str">
        <f aca="false">IF($G320=0,"",IF(""=0,"",""))</f>
        <v/>
      </c>
      <c r="N320" s="0" t="str">
        <f aca="false">IF($G320=0,"",IF(IF(N(资金日记账!$I313)=0,"",-ROUND(N(资金日记账!$I313),2))=0,"",IF(N(资金日记账!$I313)=0,"",-ROUND(N(资金日记账!$I313),2))))</f>
        <v/>
      </c>
      <c r="O320" s="0" t="str">
        <f aca="false">IF($G320=0,"",IF(IF(N(资金日记账!$H313)=0,"",ROUND(N(资金日记账!$H313),2))=0,"",IF(N(资金日记账!$H313)=0,"",ROUND(N(资金日记账!$H313),2))))</f>
        <v/>
      </c>
      <c r="P320" s="0" t="str">
        <f aca="false">IF($G320=0,"",IF(资金日记账!$L313=0,"",资金日记账!$L313))</f>
        <v/>
      </c>
      <c r="T320" s="0" t="str">
        <f aca="false">IF(资金日记账!$G320="","",资金日记账!$G320)</f>
        <v/>
      </c>
      <c r="U320" s="0" t="n">
        <f aca="false">IF(T320="",0,IF(MATCH(T320,$T$4:$T$903,0)=ROW()-3,1,0))</f>
        <v>0</v>
      </c>
      <c r="V320" s="0" t="n">
        <f aca="false">N(V319)+U320</f>
        <v>30</v>
      </c>
      <c r="AF320" s="0" t="str">
        <f aca="false">IF(OR(资金日记账!$E320="",N(资金日记账!$H320)=0),"",资金日记账!$E320)</f>
        <v/>
      </c>
      <c r="AG320" s="0" t="n">
        <f aca="false">IF(AF320="",0,IF(MATCH(AF320,$AF$4:$AF$603,0)=ROW()-3,1,0))</f>
        <v>0</v>
      </c>
      <c r="AH320" s="0" t="n">
        <f aca="false">N(AH319)+AG320</f>
        <v>5</v>
      </c>
    </row>
    <row r="321" customFormat="false" ht="13.5" hidden="false" customHeight="false" outlineLevel="0" collapsed="false">
      <c r="A321" s="0" t="str">
        <f aca="false">IF(资金日记账!$E19="","",资金日记账!$E19)</f>
        <v/>
      </c>
      <c r="B321" s="0" t="n">
        <f aca="false">IF(A321="",0,IF(MATCH(A321,$A$4:$A$1925,0)=ROW()-3,1,0))</f>
        <v>0</v>
      </c>
      <c r="C321" s="0" t="n">
        <f aca="false">N(C320)+B321</f>
        <v>6</v>
      </c>
      <c r="G321" s="0" t="n">
        <f aca="false">IF(OR($G$1="",资金日记账!$E314="",资金日记账!$E314&lt;&gt;$G$1),0,IF(NOT(OR(N(资金日记账!$H314)&lt;&gt;0,N(资金日记账!$I314)&lt;&gt;0)),0,IF(资金日记账!$B314="",1,IF(OR(N(资金日记账!$B314)&lt;$H$1,N(资金日记账!$B314)&gt;$I$1),0,1))))</f>
        <v>0</v>
      </c>
      <c r="H321" s="0" t="n">
        <f aca="false">N(H320)+$G321</f>
        <v>3</v>
      </c>
      <c r="I321" s="0" t="str">
        <f aca="false">IF($G321=0,"",IF(资金日记账!$B314=0,"",资金日记账!$B314))</f>
        <v/>
      </c>
      <c r="J321" s="0" t="str">
        <f aca="false">IF($G321=0,"",IF(资金日记账!$D314=0,"",资金日记账!$D314))</f>
        <v/>
      </c>
      <c r="K321" s="0" t="str">
        <f aca="false">IF($G321=0,"",IF(""=0,"",""))</f>
        <v/>
      </c>
      <c r="L321" s="0" t="str">
        <f aca="false">IF($G321=0,"",IF(""=0,"",""))</f>
        <v/>
      </c>
      <c r="M321" s="0" t="str">
        <f aca="false">IF($G321=0,"",IF(""=0,"",""))</f>
        <v/>
      </c>
      <c r="N321" s="0" t="str">
        <f aca="false">IF($G321=0,"",IF(IF(N(资金日记账!$I314)=0,"",-ROUND(N(资金日记账!$I314),2))=0,"",IF(N(资金日记账!$I314)=0,"",-ROUND(N(资金日记账!$I314),2))))</f>
        <v/>
      </c>
      <c r="O321" s="0" t="str">
        <f aca="false">IF($G321=0,"",IF(IF(N(资金日记账!$H314)=0,"",ROUND(N(资金日记账!$H314),2))=0,"",IF(N(资金日记账!$H314)=0,"",ROUND(N(资金日记账!$H314),2))))</f>
        <v/>
      </c>
      <c r="P321" s="0" t="str">
        <f aca="false">IF($G321=0,"",IF(资金日记账!$L314=0,"",资金日记账!$L314))</f>
        <v/>
      </c>
      <c r="T321" s="0" t="str">
        <f aca="false">IF(资金日记账!$G321="","",资金日记账!$G321)</f>
        <v/>
      </c>
      <c r="U321" s="0" t="n">
        <f aca="false">IF(T321="",0,IF(MATCH(T321,$T$4:$T$903,0)=ROW()-3,1,0))</f>
        <v>0</v>
      </c>
      <c r="V321" s="0" t="n">
        <f aca="false">N(V320)+U321</f>
        <v>30</v>
      </c>
      <c r="AF321" s="0" t="str">
        <f aca="false">IF(OR(资金日记账!$E321="",N(资金日记账!$H321)=0),"",资金日记账!$E321)</f>
        <v/>
      </c>
      <c r="AG321" s="0" t="n">
        <f aca="false">IF(AF321="",0,IF(MATCH(AF321,$AF$4:$AF$603,0)=ROW()-3,1,0))</f>
        <v>0</v>
      </c>
      <c r="AH321" s="0" t="n">
        <f aca="false">N(AH320)+AG321</f>
        <v>5</v>
      </c>
    </row>
    <row r="322" customFormat="false" ht="13.5" hidden="false" customHeight="false" outlineLevel="0" collapsed="false">
      <c r="A322" s="0" t="str">
        <f aca="false">IF(资金日记账!$E20="","",资金日记账!$E20)</f>
        <v/>
      </c>
      <c r="B322" s="0" t="n">
        <f aca="false">IF(A322="",0,IF(MATCH(A322,$A$4:$A$1925,0)=ROW()-3,1,0))</f>
        <v>0</v>
      </c>
      <c r="C322" s="0" t="n">
        <f aca="false">N(C321)+B322</f>
        <v>6</v>
      </c>
      <c r="G322" s="0" t="n">
        <f aca="false">IF(OR($G$1="",资金日记账!$E315="",资金日记账!$E315&lt;&gt;$G$1),0,IF(NOT(OR(N(资金日记账!$H315)&lt;&gt;0,N(资金日记账!$I315)&lt;&gt;0)),0,IF(资金日记账!$B315="",1,IF(OR(N(资金日记账!$B315)&lt;$H$1,N(资金日记账!$B315)&gt;$I$1),0,1))))</f>
        <v>0</v>
      </c>
      <c r="H322" s="0" t="n">
        <f aca="false">N(H321)+$G322</f>
        <v>3</v>
      </c>
      <c r="I322" s="0" t="str">
        <f aca="false">IF($G322=0,"",IF(资金日记账!$B315=0,"",资金日记账!$B315))</f>
        <v/>
      </c>
      <c r="J322" s="0" t="str">
        <f aca="false">IF($G322=0,"",IF(资金日记账!$D315=0,"",资金日记账!$D315))</f>
        <v/>
      </c>
      <c r="K322" s="0" t="str">
        <f aca="false">IF($G322=0,"",IF(""=0,"",""))</f>
        <v/>
      </c>
      <c r="L322" s="0" t="str">
        <f aca="false">IF($G322=0,"",IF(""=0,"",""))</f>
        <v/>
      </c>
      <c r="M322" s="0" t="str">
        <f aca="false">IF($G322=0,"",IF(""=0,"",""))</f>
        <v/>
      </c>
      <c r="N322" s="0" t="str">
        <f aca="false">IF($G322=0,"",IF(IF(N(资金日记账!$I315)=0,"",-ROUND(N(资金日记账!$I315),2))=0,"",IF(N(资金日记账!$I315)=0,"",-ROUND(N(资金日记账!$I315),2))))</f>
        <v/>
      </c>
      <c r="O322" s="0" t="str">
        <f aca="false">IF($G322=0,"",IF(IF(N(资金日记账!$H315)=0,"",ROUND(N(资金日记账!$H315),2))=0,"",IF(N(资金日记账!$H315)=0,"",ROUND(N(资金日记账!$H315),2))))</f>
        <v/>
      </c>
      <c r="P322" s="0" t="str">
        <f aca="false">IF($G322=0,"",IF(资金日记账!$L315=0,"",资金日记账!$L315))</f>
        <v/>
      </c>
      <c r="T322" s="0" t="str">
        <f aca="false">IF(资金日记账!$G322="","",资金日记账!$G322)</f>
        <v/>
      </c>
      <c r="U322" s="0" t="n">
        <f aca="false">IF(T322="",0,IF(MATCH(T322,$T$4:$T$903,0)=ROW()-3,1,0))</f>
        <v>0</v>
      </c>
      <c r="V322" s="0" t="n">
        <f aca="false">N(V321)+U322</f>
        <v>30</v>
      </c>
      <c r="AF322" s="0" t="str">
        <f aca="false">IF(OR(资金日记账!$E322="",N(资金日记账!$H322)=0),"",资金日记账!$E322)</f>
        <v/>
      </c>
      <c r="AG322" s="0" t="n">
        <f aca="false">IF(AF322="",0,IF(MATCH(AF322,$AF$4:$AF$603,0)=ROW()-3,1,0))</f>
        <v>0</v>
      </c>
      <c r="AH322" s="0" t="n">
        <f aca="false">N(AH321)+AG322</f>
        <v>5</v>
      </c>
    </row>
    <row r="323" customFormat="false" ht="13.5" hidden="false" customHeight="false" outlineLevel="0" collapsed="false">
      <c r="A323" s="0" t="str">
        <f aca="false">IF(资金日记账!$E21="","",资金日记账!$E21)</f>
        <v/>
      </c>
      <c r="B323" s="0" t="n">
        <f aca="false">IF(A323="",0,IF(MATCH(A323,$A$4:$A$1925,0)=ROW()-3,1,0))</f>
        <v>0</v>
      </c>
      <c r="C323" s="0" t="n">
        <f aca="false">N(C322)+B323</f>
        <v>6</v>
      </c>
      <c r="G323" s="0" t="n">
        <f aca="false">IF(OR($G$1="",资金日记账!$E316="",资金日记账!$E316&lt;&gt;$G$1),0,IF(NOT(OR(N(资金日记账!$H316)&lt;&gt;0,N(资金日记账!$I316)&lt;&gt;0)),0,IF(资金日记账!$B316="",1,IF(OR(N(资金日记账!$B316)&lt;$H$1,N(资金日记账!$B316)&gt;$I$1),0,1))))</f>
        <v>0</v>
      </c>
      <c r="H323" s="0" t="n">
        <f aca="false">N(H322)+$G323</f>
        <v>3</v>
      </c>
      <c r="I323" s="0" t="str">
        <f aca="false">IF($G323=0,"",IF(资金日记账!$B316=0,"",资金日记账!$B316))</f>
        <v/>
      </c>
      <c r="J323" s="0" t="str">
        <f aca="false">IF($G323=0,"",IF(资金日记账!$D316=0,"",资金日记账!$D316))</f>
        <v/>
      </c>
      <c r="K323" s="0" t="str">
        <f aca="false">IF($G323=0,"",IF(""=0,"",""))</f>
        <v/>
      </c>
      <c r="L323" s="0" t="str">
        <f aca="false">IF($G323=0,"",IF(""=0,"",""))</f>
        <v/>
      </c>
      <c r="M323" s="0" t="str">
        <f aca="false">IF($G323=0,"",IF(""=0,"",""))</f>
        <v/>
      </c>
      <c r="N323" s="0" t="str">
        <f aca="false">IF($G323=0,"",IF(IF(N(资金日记账!$I316)=0,"",-ROUND(N(资金日记账!$I316),2))=0,"",IF(N(资金日记账!$I316)=0,"",-ROUND(N(资金日记账!$I316),2))))</f>
        <v/>
      </c>
      <c r="O323" s="0" t="str">
        <f aca="false">IF($G323=0,"",IF(IF(N(资金日记账!$H316)=0,"",ROUND(N(资金日记账!$H316),2))=0,"",IF(N(资金日记账!$H316)=0,"",ROUND(N(资金日记账!$H316),2))))</f>
        <v/>
      </c>
      <c r="P323" s="0" t="str">
        <f aca="false">IF($G323=0,"",IF(资金日记账!$L316=0,"",资金日记账!$L316))</f>
        <v/>
      </c>
      <c r="T323" s="0" t="str">
        <f aca="false">IF(资金日记账!$G323="","",资金日记账!$G323)</f>
        <v/>
      </c>
      <c r="U323" s="0" t="n">
        <f aca="false">IF(T323="",0,IF(MATCH(T323,$T$4:$T$903,0)=ROW()-3,1,0))</f>
        <v>0</v>
      </c>
      <c r="V323" s="0" t="n">
        <f aca="false">N(V322)+U323</f>
        <v>30</v>
      </c>
      <c r="AF323" s="0" t="str">
        <f aca="false">IF(OR(资金日记账!$E323="",N(资金日记账!$H323)=0),"",资金日记账!$E323)</f>
        <v/>
      </c>
      <c r="AG323" s="0" t="n">
        <f aca="false">IF(AF323="",0,IF(MATCH(AF323,$AF$4:$AF$603,0)=ROW()-3,1,0))</f>
        <v>0</v>
      </c>
      <c r="AH323" s="0" t="n">
        <f aca="false">N(AH322)+AG323</f>
        <v>5</v>
      </c>
    </row>
    <row r="324" customFormat="false" ht="13.5" hidden="false" customHeight="false" outlineLevel="0" collapsed="false">
      <c r="A324" s="0" t="str">
        <f aca="false">IF(资金日记账!$E22="","",资金日记账!$E22)</f>
        <v/>
      </c>
      <c r="B324" s="0" t="n">
        <f aca="false">IF(A324="",0,IF(MATCH(A324,$A$4:$A$1925,0)=ROW()-3,1,0))</f>
        <v>0</v>
      </c>
      <c r="C324" s="0" t="n">
        <f aca="false">N(C323)+B324</f>
        <v>6</v>
      </c>
      <c r="G324" s="0" t="n">
        <f aca="false">IF(OR($G$1="",资金日记账!$E317="",资金日记账!$E317&lt;&gt;$G$1),0,IF(NOT(OR(N(资金日记账!$H317)&lt;&gt;0,N(资金日记账!$I317)&lt;&gt;0)),0,IF(资金日记账!$B317="",1,IF(OR(N(资金日记账!$B317)&lt;$H$1,N(资金日记账!$B317)&gt;$I$1),0,1))))</f>
        <v>0</v>
      </c>
      <c r="H324" s="0" t="n">
        <f aca="false">N(H323)+$G324</f>
        <v>3</v>
      </c>
      <c r="I324" s="0" t="str">
        <f aca="false">IF($G324=0,"",IF(资金日记账!$B317=0,"",资金日记账!$B317))</f>
        <v/>
      </c>
      <c r="J324" s="0" t="str">
        <f aca="false">IF($G324=0,"",IF(资金日记账!$D317=0,"",资金日记账!$D317))</f>
        <v/>
      </c>
      <c r="K324" s="0" t="str">
        <f aca="false">IF($G324=0,"",IF(""=0,"",""))</f>
        <v/>
      </c>
      <c r="L324" s="0" t="str">
        <f aca="false">IF($G324=0,"",IF(""=0,"",""))</f>
        <v/>
      </c>
      <c r="M324" s="0" t="str">
        <f aca="false">IF($G324=0,"",IF(""=0,"",""))</f>
        <v/>
      </c>
      <c r="N324" s="0" t="str">
        <f aca="false">IF($G324=0,"",IF(IF(N(资金日记账!$I317)=0,"",-ROUND(N(资金日记账!$I317),2))=0,"",IF(N(资金日记账!$I317)=0,"",-ROUND(N(资金日记账!$I317),2))))</f>
        <v/>
      </c>
      <c r="O324" s="0" t="str">
        <f aca="false">IF($G324=0,"",IF(IF(N(资金日记账!$H317)=0,"",ROUND(N(资金日记账!$H317),2))=0,"",IF(N(资金日记账!$H317)=0,"",ROUND(N(资金日记账!$H317),2))))</f>
        <v/>
      </c>
      <c r="P324" s="0" t="str">
        <f aca="false">IF($G324=0,"",IF(资金日记账!$L317=0,"",资金日记账!$L317))</f>
        <v/>
      </c>
      <c r="T324" s="0" t="str">
        <f aca="false">IF(资金日记账!$G324="","",资金日记账!$G324)</f>
        <v/>
      </c>
      <c r="U324" s="0" t="n">
        <f aca="false">IF(T324="",0,IF(MATCH(T324,$T$4:$T$903,0)=ROW()-3,1,0))</f>
        <v>0</v>
      </c>
      <c r="V324" s="0" t="n">
        <f aca="false">N(V323)+U324</f>
        <v>30</v>
      </c>
      <c r="AF324" s="0" t="str">
        <f aca="false">IF(OR(资金日记账!$E324="",N(资金日记账!$H324)=0),"",资金日记账!$E324)</f>
        <v/>
      </c>
      <c r="AG324" s="0" t="n">
        <f aca="false">IF(AF324="",0,IF(MATCH(AF324,$AF$4:$AF$603,0)=ROW()-3,1,0))</f>
        <v>0</v>
      </c>
      <c r="AH324" s="0" t="n">
        <f aca="false">N(AH323)+AG324</f>
        <v>5</v>
      </c>
    </row>
    <row r="325" customFormat="false" ht="13.5" hidden="false" customHeight="false" outlineLevel="0" collapsed="false">
      <c r="A325" s="0" t="str">
        <f aca="false">IF(资金日记账!$E23="","",资金日记账!$E23)</f>
        <v/>
      </c>
      <c r="B325" s="0" t="n">
        <f aca="false">IF(A325="",0,IF(MATCH(A325,$A$4:$A$1925,0)=ROW()-3,1,0))</f>
        <v>0</v>
      </c>
      <c r="C325" s="0" t="n">
        <f aca="false">N(C324)+B325</f>
        <v>6</v>
      </c>
      <c r="G325" s="0" t="n">
        <f aca="false">IF(OR($G$1="",资金日记账!$E318="",资金日记账!$E318&lt;&gt;$G$1),0,IF(NOT(OR(N(资金日记账!$H318)&lt;&gt;0,N(资金日记账!$I318)&lt;&gt;0)),0,IF(资金日记账!$B318="",1,IF(OR(N(资金日记账!$B318)&lt;$H$1,N(资金日记账!$B318)&gt;$I$1),0,1))))</f>
        <v>0</v>
      </c>
      <c r="H325" s="0" t="n">
        <f aca="false">N(H324)+$G325</f>
        <v>3</v>
      </c>
      <c r="I325" s="0" t="str">
        <f aca="false">IF($G325=0,"",IF(资金日记账!$B318=0,"",资金日记账!$B318))</f>
        <v/>
      </c>
      <c r="J325" s="0" t="str">
        <f aca="false">IF($G325=0,"",IF(资金日记账!$D318=0,"",资金日记账!$D318))</f>
        <v/>
      </c>
      <c r="K325" s="0" t="str">
        <f aca="false">IF($G325=0,"",IF(""=0,"",""))</f>
        <v/>
      </c>
      <c r="L325" s="0" t="str">
        <f aca="false">IF($G325=0,"",IF(""=0,"",""))</f>
        <v/>
      </c>
      <c r="M325" s="0" t="str">
        <f aca="false">IF($G325=0,"",IF(""=0,"",""))</f>
        <v/>
      </c>
      <c r="N325" s="0" t="str">
        <f aca="false">IF($G325=0,"",IF(IF(N(资金日记账!$I318)=0,"",-ROUND(N(资金日记账!$I318),2))=0,"",IF(N(资金日记账!$I318)=0,"",-ROUND(N(资金日记账!$I318),2))))</f>
        <v/>
      </c>
      <c r="O325" s="0" t="str">
        <f aca="false">IF($G325=0,"",IF(IF(N(资金日记账!$H318)=0,"",ROUND(N(资金日记账!$H318),2))=0,"",IF(N(资金日记账!$H318)=0,"",ROUND(N(资金日记账!$H318),2))))</f>
        <v/>
      </c>
      <c r="P325" s="0" t="str">
        <f aca="false">IF($G325=0,"",IF(资金日记账!$L318=0,"",资金日记账!$L318))</f>
        <v/>
      </c>
      <c r="T325" s="0" t="str">
        <f aca="false">IF(资金日记账!$G325="","",资金日记账!$G325)</f>
        <v/>
      </c>
      <c r="U325" s="0" t="n">
        <f aca="false">IF(T325="",0,IF(MATCH(T325,$T$4:$T$903,0)=ROW()-3,1,0))</f>
        <v>0</v>
      </c>
      <c r="V325" s="0" t="n">
        <f aca="false">N(V324)+U325</f>
        <v>30</v>
      </c>
      <c r="AF325" s="0" t="str">
        <f aca="false">IF(OR(资金日记账!$E325="",N(资金日记账!$H325)=0),"",资金日记账!$E325)</f>
        <v/>
      </c>
      <c r="AG325" s="0" t="n">
        <f aca="false">IF(AF325="",0,IF(MATCH(AF325,$AF$4:$AF$603,0)=ROW()-3,1,0))</f>
        <v>0</v>
      </c>
      <c r="AH325" s="0" t="n">
        <f aca="false">N(AH324)+AG325</f>
        <v>5</v>
      </c>
    </row>
    <row r="326" customFormat="false" ht="13.5" hidden="false" customHeight="false" outlineLevel="0" collapsed="false">
      <c r="A326" s="0" t="str">
        <f aca="false">IF(资金日记账!$E24="","",资金日记账!$E24)</f>
        <v/>
      </c>
      <c r="B326" s="0" t="n">
        <f aca="false">IF(A326="",0,IF(MATCH(A326,$A$4:$A$1925,0)=ROW()-3,1,0))</f>
        <v>0</v>
      </c>
      <c r="C326" s="0" t="n">
        <f aca="false">N(C325)+B326</f>
        <v>6</v>
      </c>
      <c r="G326" s="0" t="n">
        <f aca="false">IF(OR($G$1="",资金日记账!$E319="",资金日记账!$E319&lt;&gt;$G$1),0,IF(NOT(OR(N(资金日记账!$H319)&lt;&gt;0,N(资金日记账!$I319)&lt;&gt;0)),0,IF(资金日记账!$B319="",1,IF(OR(N(资金日记账!$B319)&lt;$H$1,N(资金日记账!$B319)&gt;$I$1),0,1))))</f>
        <v>0</v>
      </c>
      <c r="H326" s="0" t="n">
        <f aca="false">N(H325)+$G326</f>
        <v>3</v>
      </c>
      <c r="I326" s="0" t="str">
        <f aca="false">IF($G326=0,"",IF(资金日记账!$B319=0,"",资金日记账!$B319))</f>
        <v/>
      </c>
      <c r="J326" s="0" t="str">
        <f aca="false">IF($G326=0,"",IF(资金日记账!$D319=0,"",资金日记账!$D319))</f>
        <v/>
      </c>
      <c r="K326" s="0" t="str">
        <f aca="false">IF($G326=0,"",IF(""=0,"",""))</f>
        <v/>
      </c>
      <c r="L326" s="0" t="str">
        <f aca="false">IF($G326=0,"",IF(""=0,"",""))</f>
        <v/>
      </c>
      <c r="M326" s="0" t="str">
        <f aca="false">IF($G326=0,"",IF(""=0,"",""))</f>
        <v/>
      </c>
      <c r="N326" s="0" t="str">
        <f aca="false">IF($G326=0,"",IF(IF(N(资金日记账!$I319)=0,"",-ROUND(N(资金日记账!$I319),2))=0,"",IF(N(资金日记账!$I319)=0,"",-ROUND(N(资金日记账!$I319),2))))</f>
        <v/>
      </c>
      <c r="O326" s="0" t="str">
        <f aca="false">IF($G326=0,"",IF(IF(N(资金日记账!$H319)=0,"",ROUND(N(资金日记账!$H319),2))=0,"",IF(N(资金日记账!$H319)=0,"",ROUND(N(资金日记账!$H319),2))))</f>
        <v/>
      </c>
      <c r="P326" s="0" t="str">
        <f aca="false">IF($G326=0,"",IF(资金日记账!$L319=0,"",资金日记账!$L319))</f>
        <v/>
      </c>
      <c r="T326" s="0" t="str">
        <f aca="false">IF(资金日记账!$G326="","",资金日记账!$G326)</f>
        <v/>
      </c>
      <c r="U326" s="0" t="n">
        <f aca="false">IF(T326="",0,IF(MATCH(T326,$T$4:$T$903,0)=ROW()-3,1,0))</f>
        <v>0</v>
      </c>
      <c r="V326" s="0" t="n">
        <f aca="false">N(V325)+U326</f>
        <v>30</v>
      </c>
      <c r="AF326" s="0" t="str">
        <f aca="false">IF(OR(资金日记账!$E326="",N(资金日记账!$H326)=0),"",资金日记账!$E326)</f>
        <v/>
      </c>
      <c r="AG326" s="0" t="n">
        <f aca="false">IF(AF326="",0,IF(MATCH(AF326,$AF$4:$AF$603,0)=ROW()-3,1,0))</f>
        <v>0</v>
      </c>
      <c r="AH326" s="0" t="n">
        <f aca="false">N(AH325)+AG326</f>
        <v>5</v>
      </c>
    </row>
    <row r="327" customFormat="false" ht="13.5" hidden="false" customHeight="false" outlineLevel="0" collapsed="false">
      <c r="A327" s="0" t="str">
        <f aca="false">IF(资金日记账!$E25="","",资金日记账!$E25)</f>
        <v/>
      </c>
      <c r="B327" s="0" t="n">
        <f aca="false">IF(A327="",0,IF(MATCH(A327,$A$4:$A$1925,0)=ROW()-3,1,0))</f>
        <v>0</v>
      </c>
      <c r="C327" s="0" t="n">
        <f aca="false">N(C326)+B327</f>
        <v>6</v>
      </c>
      <c r="G327" s="0" t="n">
        <f aca="false">IF(OR($G$1="",资金日记账!$E320="",资金日记账!$E320&lt;&gt;$G$1),0,IF(NOT(OR(N(资金日记账!$H320)&lt;&gt;0,N(资金日记账!$I320)&lt;&gt;0)),0,IF(资金日记账!$B320="",1,IF(OR(N(资金日记账!$B320)&lt;$H$1,N(资金日记账!$B320)&gt;$I$1),0,1))))</f>
        <v>0</v>
      </c>
      <c r="H327" s="0" t="n">
        <f aca="false">N(H326)+$G327</f>
        <v>3</v>
      </c>
      <c r="I327" s="0" t="str">
        <f aca="false">IF($G327=0,"",IF(资金日记账!$B320=0,"",资金日记账!$B320))</f>
        <v/>
      </c>
      <c r="J327" s="0" t="str">
        <f aca="false">IF($G327=0,"",IF(资金日记账!$D320=0,"",资金日记账!$D320))</f>
        <v/>
      </c>
      <c r="K327" s="0" t="str">
        <f aca="false">IF($G327=0,"",IF(""=0,"",""))</f>
        <v/>
      </c>
      <c r="L327" s="0" t="str">
        <f aca="false">IF($G327=0,"",IF(""=0,"",""))</f>
        <v/>
      </c>
      <c r="M327" s="0" t="str">
        <f aca="false">IF($G327=0,"",IF(""=0,"",""))</f>
        <v/>
      </c>
      <c r="N327" s="0" t="str">
        <f aca="false">IF($G327=0,"",IF(IF(N(资金日记账!$I320)=0,"",-ROUND(N(资金日记账!$I320),2))=0,"",IF(N(资金日记账!$I320)=0,"",-ROUND(N(资金日记账!$I320),2))))</f>
        <v/>
      </c>
      <c r="O327" s="0" t="str">
        <f aca="false">IF($G327=0,"",IF(IF(N(资金日记账!$H320)=0,"",ROUND(N(资金日记账!$H320),2))=0,"",IF(N(资金日记账!$H320)=0,"",ROUND(N(资金日记账!$H320),2))))</f>
        <v/>
      </c>
      <c r="P327" s="0" t="str">
        <f aca="false">IF($G327=0,"",IF(资金日记账!$L320=0,"",资金日记账!$L320))</f>
        <v/>
      </c>
      <c r="T327" s="0" t="str">
        <f aca="false">IF(资金日记账!$G327="","",资金日记账!$G327)</f>
        <v/>
      </c>
      <c r="U327" s="0" t="n">
        <f aca="false">IF(T327="",0,IF(MATCH(T327,$T$4:$T$903,0)=ROW()-3,1,0))</f>
        <v>0</v>
      </c>
      <c r="V327" s="0" t="n">
        <f aca="false">N(V326)+U327</f>
        <v>30</v>
      </c>
      <c r="AF327" s="0" t="str">
        <f aca="false">IF(OR(资金日记账!$E327="",N(资金日记账!$H327)=0),"",资金日记账!$E327)</f>
        <v/>
      </c>
      <c r="AG327" s="0" t="n">
        <f aca="false">IF(AF327="",0,IF(MATCH(AF327,$AF$4:$AF$603,0)=ROW()-3,1,0))</f>
        <v>0</v>
      </c>
      <c r="AH327" s="0" t="n">
        <f aca="false">N(AH326)+AG327</f>
        <v>5</v>
      </c>
    </row>
    <row r="328" customFormat="false" ht="13.5" hidden="false" customHeight="false" outlineLevel="0" collapsed="false">
      <c r="A328" s="0" t="str">
        <f aca="false">IF(资金日记账!$E26="","",资金日记账!$E26)</f>
        <v/>
      </c>
      <c r="B328" s="0" t="n">
        <f aca="false">IF(A328="",0,IF(MATCH(A328,$A$4:$A$1925,0)=ROW()-3,1,0))</f>
        <v>0</v>
      </c>
      <c r="C328" s="0" t="n">
        <f aca="false">N(C327)+B328</f>
        <v>6</v>
      </c>
      <c r="G328" s="0" t="n">
        <f aca="false">IF(OR($G$1="",资金日记账!$E321="",资金日记账!$E321&lt;&gt;$G$1),0,IF(NOT(OR(N(资金日记账!$H321)&lt;&gt;0,N(资金日记账!$I321)&lt;&gt;0)),0,IF(资金日记账!$B321="",1,IF(OR(N(资金日记账!$B321)&lt;$H$1,N(资金日记账!$B321)&gt;$I$1),0,1))))</f>
        <v>0</v>
      </c>
      <c r="H328" s="0" t="n">
        <f aca="false">N(H327)+$G328</f>
        <v>3</v>
      </c>
      <c r="I328" s="0" t="str">
        <f aca="false">IF($G328=0,"",IF(资金日记账!$B321=0,"",资金日记账!$B321))</f>
        <v/>
      </c>
      <c r="J328" s="0" t="str">
        <f aca="false">IF($G328=0,"",IF(资金日记账!$D321=0,"",资金日记账!$D321))</f>
        <v/>
      </c>
      <c r="K328" s="0" t="str">
        <f aca="false">IF($G328=0,"",IF(""=0,"",""))</f>
        <v/>
      </c>
      <c r="L328" s="0" t="str">
        <f aca="false">IF($G328=0,"",IF(""=0,"",""))</f>
        <v/>
      </c>
      <c r="M328" s="0" t="str">
        <f aca="false">IF($G328=0,"",IF(""=0,"",""))</f>
        <v/>
      </c>
      <c r="N328" s="0" t="str">
        <f aca="false">IF($G328=0,"",IF(IF(N(资金日记账!$I321)=0,"",-ROUND(N(资金日记账!$I321),2))=0,"",IF(N(资金日记账!$I321)=0,"",-ROUND(N(资金日记账!$I321),2))))</f>
        <v/>
      </c>
      <c r="O328" s="0" t="str">
        <f aca="false">IF($G328=0,"",IF(IF(N(资金日记账!$H321)=0,"",ROUND(N(资金日记账!$H321),2))=0,"",IF(N(资金日记账!$H321)=0,"",ROUND(N(资金日记账!$H321),2))))</f>
        <v/>
      </c>
      <c r="P328" s="0" t="str">
        <f aca="false">IF($G328=0,"",IF(资金日记账!$L321=0,"",资金日记账!$L321))</f>
        <v/>
      </c>
      <c r="T328" s="0" t="str">
        <f aca="false">IF(资金日记账!$G328="","",资金日记账!$G328)</f>
        <v/>
      </c>
      <c r="U328" s="0" t="n">
        <f aca="false">IF(T328="",0,IF(MATCH(T328,$T$4:$T$903,0)=ROW()-3,1,0))</f>
        <v>0</v>
      </c>
      <c r="V328" s="0" t="n">
        <f aca="false">N(V327)+U328</f>
        <v>30</v>
      </c>
      <c r="AF328" s="0" t="str">
        <f aca="false">IF(OR(资金日记账!$E328="",N(资金日记账!$H328)=0),"",资金日记账!$E328)</f>
        <v/>
      </c>
      <c r="AG328" s="0" t="n">
        <f aca="false">IF(AF328="",0,IF(MATCH(AF328,$AF$4:$AF$603,0)=ROW()-3,1,0))</f>
        <v>0</v>
      </c>
      <c r="AH328" s="0" t="n">
        <f aca="false">N(AH327)+AG328</f>
        <v>5</v>
      </c>
    </row>
    <row r="329" customFormat="false" ht="13.5" hidden="false" customHeight="false" outlineLevel="0" collapsed="false">
      <c r="A329" s="0" t="str">
        <f aca="false">IF(资金日记账!$E27="","",资金日记账!$E27)</f>
        <v/>
      </c>
      <c r="B329" s="0" t="n">
        <f aca="false">IF(A329="",0,IF(MATCH(A329,$A$4:$A$1925,0)=ROW()-3,1,0))</f>
        <v>0</v>
      </c>
      <c r="C329" s="0" t="n">
        <f aca="false">N(C328)+B329</f>
        <v>6</v>
      </c>
      <c r="G329" s="0" t="n">
        <f aca="false">IF(OR($G$1="",资金日记账!$E322="",资金日记账!$E322&lt;&gt;$G$1),0,IF(NOT(OR(N(资金日记账!$H322)&lt;&gt;0,N(资金日记账!$I322)&lt;&gt;0)),0,IF(资金日记账!$B322="",1,IF(OR(N(资金日记账!$B322)&lt;$H$1,N(资金日记账!$B322)&gt;$I$1),0,1))))</f>
        <v>0</v>
      </c>
      <c r="H329" s="0" t="n">
        <f aca="false">N(H328)+$G329</f>
        <v>3</v>
      </c>
      <c r="I329" s="0" t="str">
        <f aca="false">IF($G329=0,"",IF(资金日记账!$B322=0,"",资金日记账!$B322))</f>
        <v/>
      </c>
      <c r="J329" s="0" t="str">
        <f aca="false">IF($G329=0,"",IF(资金日记账!$D322=0,"",资金日记账!$D322))</f>
        <v/>
      </c>
      <c r="K329" s="0" t="str">
        <f aca="false">IF($G329=0,"",IF(""=0,"",""))</f>
        <v/>
      </c>
      <c r="L329" s="0" t="str">
        <f aca="false">IF($G329=0,"",IF(""=0,"",""))</f>
        <v/>
      </c>
      <c r="M329" s="0" t="str">
        <f aca="false">IF($G329=0,"",IF(""=0,"",""))</f>
        <v/>
      </c>
      <c r="N329" s="0" t="str">
        <f aca="false">IF($G329=0,"",IF(IF(N(资金日记账!$I322)=0,"",-ROUND(N(资金日记账!$I322),2))=0,"",IF(N(资金日记账!$I322)=0,"",-ROUND(N(资金日记账!$I322),2))))</f>
        <v/>
      </c>
      <c r="O329" s="0" t="str">
        <f aca="false">IF($G329=0,"",IF(IF(N(资金日记账!$H322)=0,"",ROUND(N(资金日记账!$H322),2))=0,"",IF(N(资金日记账!$H322)=0,"",ROUND(N(资金日记账!$H322),2))))</f>
        <v/>
      </c>
      <c r="P329" s="0" t="str">
        <f aca="false">IF($G329=0,"",IF(资金日记账!$L322=0,"",资金日记账!$L322))</f>
        <v/>
      </c>
      <c r="T329" s="0" t="str">
        <f aca="false">IF(资金日记账!$G329="","",资金日记账!$G329)</f>
        <v/>
      </c>
      <c r="U329" s="0" t="n">
        <f aca="false">IF(T329="",0,IF(MATCH(T329,$T$4:$T$903,0)=ROW()-3,1,0))</f>
        <v>0</v>
      </c>
      <c r="V329" s="0" t="n">
        <f aca="false">N(V328)+U329</f>
        <v>30</v>
      </c>
      <c r="AF329" s="0" t="str">
        <f aca="false">IF(OR(资金日记账!$E329="",N(资金日记账!$H329)=0),"",资金日记账!$E329)</f>
        <v/>
      </c>
      <c r="AG329" s="0" t="n">
        <f aca="false">IF(AF329="",0,IF(MATCH(AF329,$AF$4:$AF$603,0)=ROW()-3,1,0))</f>
        <v>0</v>
      </c>
      <c r="AH329" s="0" t="n">
        <f aca="false">N(AH328)+AG329</f>
        <v>5</v>
      </c>
    </row>
    <row r="330" customFormat="false" ht="13.5" hidden="false" customHeight="false" outlineLevel="0" collapsed="false">
      <c r="A330" s="0" t="str">
        <f aca="false">IF(资金日记账!$E28="","",资金日记账!$E28)</f>
        <v/>
      </c>
      <c r="B330" s="0" t="n">
        <f aca="false">IF(A330="",0,IF(MATCH(A330,$A$4:$A$1925,0)=ROW()-3,1,0))</f>
        <v>0</v>
      </c>
      <c r="C330" s="0" t="n">
        <f aca="false">N(C329)+B330</f>
        <v>6</v>
      </c>
      <c r="G330" s="0" t="n">
        <f aca="false">IF(OR($G$1="",资金日记账!$E323="",资金日记账!$E323&lt;&gt;$G$1),0,IF(NOT(OR(N(资金日记账!$H323)&lt;&gt;0,N(资金日记账!$I323)&lt;&gt;0)),0,IF(资金日记账!$B323="",1,IF(OR(N(资金日记账!$B323)&lt;$H$1,N(资金日记账!$B323)&gt;$I$1),0,1))))</f>
        <v>0</v>
      </c>
      <c r="H330" s="0" t="n">
        <f aca="false">N(H329)+$G330</f>
        <v>3</v>
      </c>
      <c r="I330" s="0" t="str">
        <f aca="false">IF($G330=0,"",IF(资金日记账!$B323=0,"",资金日记账!$B323))</f>
        <v/>
      </c>
      <c r="J330" s="0" t="str">
        <f aca="false">IF($G330=0,"",IF(资金日记账!$D323=0,"",资金日记账!$D323))</f>
        <v/>
      </c>
      <c r="K330" s="0" t="str">
        <f aca="false">IF($G330=0,"",IF(""=0,"",""))</f>
        <v/>
      </c>
      <c r="L330" s="0" t="str">
        <f aca="false">IF($G330=0,"",IF(""=0,"",""))</f>
        <v/>
      </c>
      <c r="M330" s="0" t="str">
        <f aca="false">IF($G330=0,"",IF(""=0,"",""))</f>
        <v/>
      </c>
      <c r="N330" s="0" t="str">
        <f aca="false">IF($G330=0,"",IF(IF(N(资金日记账!$I323)=0,"",-ROUND(N(资金日记账!$I323),2))=0,"",IF(N(资金日记账!$I323)=0,"",-ROUND(N(资金日记账!$I323),2))))</f>
        <v/>
      </c>
      <c r="O330" s="0" t="str">
        <f aca="false">IF($G330=0,"",IF(IF(N(资金日记账!$H323)=0,"",ROUND(N(资金日记账!$H323),2))=0,"",IF(N(资金日记账!$H323)=0,"",ROUND(N(资金日记账!$H323),2))))</f>
        <v/>
      </c>
      <c r="P330" s="0" t="str">
        <f aca="false">IF($G330=0,"",IF(资金日记账!$L323=0,"",资金日记账!$L323))</f>
        <v/>
      </c>
      <c r="T330" s="0" t="str">
        <f aca="false">IF(资金日记账!$G330="","",资金日记账!$G330)</f>
        <v/>
      </c>
      <c r="U330" s="0" t="n">
        <f aca="false">IF(T330="",0,IF(MATCH(T330,$T$4:$T$903,0)=ROW()-3,1,0))</f>
        <v>0</v>
      </c>
      <c r="V330" s="0" t="n">
        <f aca="false">N(V329)+U330</f>
        <v>30</v>
      </c>
      <c r="AF330" s="0" t="str">
        <f aca="false">IF(OR(资金日记账!$E330="",N(资金日记账!$H330)=0),"",资金日记账!$E330)</f>
        <v/>
      </c>
      <c r="AG330" s="0" t="n">
        <f aca="false">IF(AF330="",0,IF(MATCH(AF330,$AF$4:$AF$603,0)=ROW()-3,1,0))</f>
        <v>0</v>
      </c>
      <c r="AH330" s="0" t="n">
        <f aca="false">N(AH329)+AG330</f>
        <v>5</v>
      </c>
    </row>
    <row r="331" customFormat="false" ht="13.5" hidden="false" customHeight="false" outlineLevel="0" collapsed="false">
      <c r="A331" s="0" t="str">
        <f aca="false">IF(资金日记账!$E29="","",资金日记账!$E29)</f>
        <v/>
      </c>
      <c r="B331" s="0" t="n">
        <f aca="false">IF(A331="",0,IF(MATCH(A331,$A$4:$A$1925,0)=ROW()-3,1,0))</f>
        <v>0</v>
      </c>
      <c r="C331" s="0" t="n">
        <f aca="false">N(C330)+B331</f>
        <v>6</v>
      </c>
      <c r="G331" s="0" t="n">
        <f aca="false">IF(OR($G$1="",资金日记账!$E324="",资金日记账!$E324&lt;&gt;$G$1),0,IF(NOT(OR(N(资金日记账!$H324)&lt;&gt;0,N(资金日记账!$I324)&lt;&gt;0)),0,IF(资金日记账!$B324="",1,IF(OR(N(资金日记账!$B324)&lt;$H$1,N(资金日记账!$B324)&gt;$I$1),0,1))))</f>
        <v>0</v>
      </c>
      <c r="H331" s="0" t="n">
        <f aca="false">N(H330)+$G331</f>
        <v>3</v>
      </c>
      <c r="I331" s="0" t="str">
        <f aca="false">IF($G331=0,"",IF(资金日记账!$B324=0,"",资金日记账!$B324))</f>
        <v/>
      </c>
      <c r="J331" s="0" t="str">
        <f aca="false">IF($G331=0,"",IF(资金日记账!$D324=0,"",资金日记账!$D324))</f>
        <v/>
      </c>
      <c r="K331" s="0" t="str">
        <f aca="false">IF($G331=0,"",IF(""=0,"",""))</f>
        <v/>
      </c>
      <c r="L331" s="0" t="str">
        <f aca="false">IF($G331=0,"",IF(""=0,"",""))</f>
        <v/>
      </c>
      <c r="M331" s="0" t="str">
        <f aca="false">IF($G331=0,"",IF(""=0,"",""))</f>
        <v/>
      </c>
      <c r="N331" s="0" t="str">
        <f aca="false">IF($G331=0,"",IF(IF(N(资金日记账!$I324)=0,"",-ROUND(N(资金日记账!$I324),2))=0,"",IF(N(资金日记账!$I324)=0,"",-ROUND(N(资金日记账!$I324),2))))</f>
        <v/>
      </c>
      <c r="O331" s="0" t="str">
        <f aca="false">IF($G331=0,"",IF(IF(N(资金日记账!$H324)=0,"",ROUND(N(资金日记账!$H324),2))=0,"",IF(N(资金日记账!$H324)=0,"",ROUND(N(资金日记账!$H324),2))))</f>
        <v/>
      </c>
      <c r="P331" s="0" t="str">
        <f aca="false">IF($G331=0,"",IF(资金日记账!$L324=0,"",资金日记账!$L324))</f>
        <v/>
      </c>
      <c r="T331" s="0" t="str">
        <f aca="false">IF(资金日记账!$G331="","",资金日记账!$G331)</f>
        <v/>
      </c>
      <c r="U331" s="0" t="n">
        <f aca="false">IF(T331="",0,IF(MATCH(T331,$T$4:$T$903,0)=ROW()-3,1,0))</f>
        <v>0</v>
      </c>
      <c r="V331" s="0" t="n">
        <f aca="false">N(V330)+U331</f>
        <v>30</v>
      </c>
      <c r="AF331" s="0" t="str">
        <f aca="false">IF(OR(资金日记账!$E331="",N(资金日记账!$H331)=0),"",资金日记账!$E331)</f>
        <v/>
      </c>
      <c r="AG331" s="0" t="n">
        <f aca="false">IF(AF331="",0,IF(MATCH(AF331,$AF$4:$AF$603,0)=ROW()-3,1,0))</f>
        <v>0</v>
      </c>
      <c r="AH331" s="0" t="n">
        <f aca="false">N(AH330)+AG331</f>
        <v>5</v>
      </c>
    </row>
    <row r="332" customFormat="false" ht="13.5" hidden="false" customHeight="false" outlineLevel="0" collapsed="false">
      <c r="A332" s="0" t="str">
        <f aca="false">IF(资金日记账!$E30="","",资金日记账!$E30)</f>
        <v/>
      </c>
      <c r="B332" s="0" t="n">
        <f aca="false">IF(A332="",0,IF(MATCH(A332,$A$4:$A$1925,0)=ROW()-3,1,0))</f>
        <v>0</v>
      </c>
      <c r="C332" s="0" t="n">
        <f aca="false">N(C331)+B332</f>
        <v>6</v>
      </c>
      <c r="G332" s="0" t="n">
        <f aca="false">IF(OR($G$1="",资金日记账!$E325="",资金日记账!$E325&lt;&gt;$G$1),0,IF(NOT(OR(N(资金日记账!$H325)&lt;&gt;0,N(资金日记账!$I325)&lt;&gt;0)),0,IF(资金日记账!$B325="",1,IF(OR(N(资金日记账!$B325)&lt;$H$1,N(资金日记账!$B325)&gt;$I$1),0,1))))</f>
        <v>0</v>
      </c>
      <c r="H332" s="0" t="n">
        <f aca="false">N(H331)+$G332</f>
        <v>3</v>
      </c>
      <c r="I332" s="0" t="str">
        <f aca="false">IF($G332=0,"",IF(资金日记账!$B325=0,"",资金日记账!$B325))</f>
        <v/>
      </c>
      <c r="J332" s="0" t="str">
        <f aca="false">IF($G332=0,"",IF(资金日记账!$D325=0,"",资金日记账!$D325))</f>
        <v/>
      </c>
      <c r="K332" s="0" t="str">
        <f aca="false">IF($G332=0,"",IF(""=0,"",""))</f>
        <v/>
      </c>
      <c r="L332" s="0" t="str">
        <f aca="false">IF($G332=0,"",IF(""=0,"",""))</f>
        <v/>
      </c>
      <c r="M332" s="0" t="str">
        <f aca="false">IF($G332=0,"",IF(""=0,"",""))</f>
        <v/>
      </c>
      <c r="N332" s="0" t="str">
        <f aca="false">IF($G332=0,"",IF(IF(N(资金日记账!$I325)=0,"",-ROUND(N(资金日记账!$I325),2))=0,"",IF(N(资金日记账!$I325)=0,"",-ROUND(N(资金日记账!$I325),2))))</f>
        <v/>
      </c>
      <c r="O332" s="0" t="str">
        <f aca="false">IF($G332=0,"",IF(IF(N(资金日记账!$H325)=0,"",ROUND(N(资金日记账!$H325),2))=0,"",IF(N(资金日记账!$H325)=0,"",ROUND(N(资金日记账!$H325),2))))</f>
        <v/>
      </c>
      <c r="P332" s="0" t="str">
        <f aca="false">IF($G332=0,"",IF(资金日记账!$L325=0,"",资金日记账!$L325))</f>
        <v/>
      </c>
      <c r="T332" s="0" t="str">
        <f aca="false">IF(资金日记账!$G332="","",资金日记账!$G332)</f>
        <v/>
      </c>
      <c r="U332" s="0" t="n">
        <f aca="false">IF(T332="",0,IF(MATCH(T332,$T$4:$T$903,0)=ROW()-3,1,0))</f>
        <v>0</v>
      </c>
      <c r="V332" s="0" t="n">
        <f aca="false">N(V331)+U332</f>
        <v>30</v>
      </c>
      <c r="AF332" s="0" t="str">
        <f aca="false">IF(OR(资金日记账!$E332="",N(资金日记账!$H332)=0),"",资金日记账!$E332)</f>
        <v/>
      </c>
      <c r="AG332" s="0" t="n">
        <f aca="false">IF(AF332="",0,IF(MATCH(AF332,$AF$4:$AF$603,0)=ROW()-3,1,0))</f>
        <v>0</v>
      </c>
      <c r="AH332" s="0" t="n">
        <f aca="false">N(AH331)+AG332</f>
        <v>5</v>
      </c>
    </row>
    <row r="333" customFormat="false" ht="13.5" hidden="false" customHeight="false" outlineLevel="0" collapsed="false">
      <c r="A333" s="0" t="str">
        <f aca="false">IF(资金日记账!$E31="","",资金日记账!$E31)</f>
        <v/>
      </c>
      <c r="B333" s="0" t="n">
        <f aca="false">IF(A333="",0,IF(MATCH(A333,$A$4:$A$1925,0)=ROW()-3,1,0))</f>
        <v>0</v>
      </c>
      <c r="C333" s="0" t="n">
        <f aca="false">N(C332)+B333</f>
        <v>6</v>
      </c>
      <c r="G333" s="0" t="n">
        <f aca="false">IF(OR($G$1="",资金日记账!$E326="",资金日记账!$E326&lt;&gt;$G$1),0,IF(NOT(OR(N(资金日记账!$H326)&lt;&gt;0,N(资金日记账!$I326)&lt;&gt;0)),0,IF(资金日记账!$B326="",1,IF(OR(N(资金日记账!$B326)&lt;$H$1,N(资金日记账!$B326)&gt;$I$1),0,1))))</f>
        <v>0</v>
      </c>
      <c r="H333" s="0" t="n">
        <f aca="false">N(H332)+$G333</f>
        <v>3</v>
      </c>
      <c r="I333" s="0" t="str">
        <f aca="false">IF($G333=0,"",IF(资金日记账!$B326=0,"",资金日记账!$B326))</f>
        <v/>
      </c>
      <c r="J333" s="0" t="str">
        <f aca="false">IF($G333=0,"",IF(资金日记账!$D326=0,"",资金日记账!$D326))</f>
        <v/>
      </c>
      <c r="K333" s="0" t="str">
        <f aca="false">IF($G333=0,"",IF(""=0,"",""))</f>
        <v/>
      </c>
      <c r="L333" s="0" t="str">
        <f aca="false">IF($G333=0,"",IF(""=0,"",""))</f>
        <v/>
      </c>
      <c r="M333" s="0" t="str">
        <f aca="false">IF($G333=0,"",IF(""=0,"",""))</f>
        <v/>
      </c>
      <c r="N333" s="0" t="str">
        <f aca="false">IF($G333=0,"",IF(IF(N(资金日记账!$I326)=0,"",-ROUND(N(资金日记账!$I326),2))=0,"",IF(N(资金日记账!$I326)=0,"",-ROUND(N(资金日记账!$I326),2))))</f>
        <v/>
      </c>
      <c r="O333" s="0" t="str">
        <f aca="false">IF($G333=0,"",IF(IF(N(资金日记账!$H326)=0,"",ROUND(N(资金日记账!$H326),2))=0,"",IF(N(资金日记账!$H326)=0,"",ROUND(N(资金日记账!$H326),2))))</f>
        <v/>
      </c>
      <c r="P333" s="0" t="str">
        <f aca="false">IF($G333=0,"",IF(资金日记账!$L326=0,"",资金日记账!$L326))</f>
        <v/>
      </c>
      <c r="T333" s="0" t="str">
        <f aca="false">IF(资金日记账!$G333="","",资金日记账!$G333)</f>
        <v/>
      </c>
      <c r="U333" s="0" t="n">
        <f aca="false">IF(T333="",0,IF(MATCH(T333,$T$4:$T$903,0)=ROW()-3,1,0))</f>
        <v>0</v>
      </c>
      <c r="V333" s="0" t="n">
        <f aca="false">N(V332)+U333</f>
        <v>30</v>
      </c>
      <c r="AF333" s="0" t="str">
        <f aca="false">IF(OR(资金日记账!$E333="",N(资金日记账!$H333)=0),"",资金日记账!$E333)</f>
        <v/>
      </c>
      <c r="AG333" s="0" t="n">
        <f aca="false">IF(AF333="",0,IF(MATCH(AF333,$AF$4:$AF$603,0)=ROW()-3,1,0))</f>
        <v>0</v>
      </c>
      <c r="AH333" s="0" t="n">
        <f aca="false">N(AH332)+AG333</f>
        <v>5</v>
      </c>
    </row>
    <row r="334" customFormat="false" ht="13.5" hidden="false" customHeight="false" outlineLevel="0" collapsed="false">
      <c r="A334" s="0" t="str">
        <f aca="false">IF(资金日记账!$E32="","",资金日记账!$E32)</f>
        <v/>
      </c>
      <c r="B334" s="0" t="n">
        <f aca="false">IF(A334="",0,IF(MATCH(A334,$A$4:$A$1925,0)=ROW()-3,1,0))</f>
        <v>0</v>
      </c>
      <c r="C334" s="0" t="n">
        <f aca="false">N(C333)+B334</f>
        <v>6</v>
      </c>
      <c r="G334" s="0" t="n">
        <f aca="false">IF(OR($G$1="",资金日记账!$E327="",资金日记账!$E327&lt;&gt;$G$1),0,IF(NOT(OR(N(资金日记账!$H327)&lt;&gt;0,N(资金日记账!$I327)&lt;&gt;0)),0,IF(资金日记账!$B327="",1,IF(OR(N(资金日记账!$B327)&lt;$H$1,N(资金日记账!$B327)&gt;$I$1),0,1))))</f>
        <v>0</v>
      </c>
      <c r="H334" s="0" t="n">
        <f aca="false">N(H333)+$G334</f>
        <v>3</v>
      </c>
      <c r="I334" s="0" t="str">
        <f aca="false">IF($G334=0,"",IF(资金日记账!$B327=0,"",资金日记账!$B327))</f>
        <v/>
      </c>
      <c r="J334" s="0" t="str">
        <f aca="false">IF($G334=0,"",IF(资金日记账!$D327=0,"",资金日记账!$D327))</f>
        <v/>
      </c>
      <c r="K334" s="0" t="str">
        <f aca="false">IF($G334=0,"",IF(""=0,"",""))</f>
        <v/>
      </c>
      <c r="L334" s="0" t="str">
        <f aca="false">IF($G334=0,"",IF(""=0,"",""))</f>
        <v/>
      </c>
      <c r="M334" s="0" t="str">
        <f aca="false">IF($G334=0,"",IF(""=0,"",""))</f>
        <v/>
      </c>
      <c r="N334" s="0" t="str">
        <f aca="false">IF($G334=0,"",IF(IF(N(资金日记账!$I327)=0,"",-ROUND(N(资金日记账!$I327),2))=0,"",IF(N(资金日记账!$I327)=0,"",-ROUND(N(资金日记账!$I327),2))))</f>
        <v/>
      </c>
      <c r="O334" s="0" t="str">
        <f aca="false">IF($G334=0,"",IF(IF(N(资金日记账!$H327)=0,"",ROUND(N(资金日记账!$H327),2))=0,"",IF(N(资金日记账!$H327)=0,"",ROUND(N(资金日记账!$H327),2))))</f>
        <v/>
      </c>
      <c r="P334" s="0" t="str">
        <f aca="false">IF($G334=0,"",IF(资金日记账!$L327=0,"",资金日记账!$L327))</f>
        <v/>
      </c>
      <c r="T334" s="0" t="str">
        <f aca="false">IF(资金日记账!$G334="","",资金日记账!$G334)</f>
        <v/>
      </c>
      <c r="U334" s="0" t="n">
        <f aca="false">IF(T334="",0,IF(MATCH(T334,$T$4:$T$903,0)=ROW()-3,1,0))</f>
        <v>0</v>
      </c>
      <c r="V334" s="0" t="n">
        <f aca="false">N(V333)+U334</f>
        <v>30</v>
      </c>
      <c r="AF334" s="0" t="str">
        <f aca="false">IF(OR(资金日记账!$E334="",N(资金日记账!$H334)=0),"",资金日记账!$E334)</f>
        <v/>
      </c>
      <c r="AG334" s="0" t="n">
        <f aca="false">IF(AF334="",0,IF(MATCH(AF334,$AF$4:$AF$603,0)=ROW()-3,1,0))</f>
        <v>0</v>
      </c>
      <c r="AH334" s="0" t="n">
        <f aca="false">N(AH333)+AG334</f>
        <v>5</v>
      </c>
    </row>
    <row r="335" customFormat="false" ht="13.5" hidden="false" customHeight="false" outlineLevel="0" collapsed="false">
      <c r="A335" s="0" t="str">
        <f aca="false">IF(资金日记账!$E33="","",资金日记账!$E33)</f>
        <v/>
      </c>
      <c r="B335" s="0" t="n">
        <f aca="false">IF(A335="",0,IF(MATCH(A335,$A$4:$A$1925,0)=ROW()-3,1,0))</f>
        <v>0</v>
      </c>
      <c r="C335" s="0" t="n">
        <f aca="false">N(C334)+B335</f>
        <v>6</v>
      </c>
      <c r="G335" s="0" t="n">
        <f aca="false">IF(OR($G$1="",资金日记账!$E328="",资金日记账!$E328&lt;&gt;$G$1),0,IF(NOT(OR(N(资金日记账!$H328)&lt;&gt;0,N(资金日记账!$I328)&lt;&gt;0)),0,IF(资金日记账!$B328="",1,IF(OR(N(资金日记账!$B328)&lt;$H$1,N(资金日记账!$B328)&gt;$I$1),0,1))))</f>
        <v>0</v>
      </c>
      <c r="H335" s="0" t="n">
        <f aca="false">N(H334)+$G335</f>
        <v>3</v>
      </c>
      <c r="I335" s="0" t="str">
        <f aca="false">IF($G335=0,"",IF(资金日记账!$B328=0,"",资金日记账!$B328))</f>
        <v/>
      </c>
      <c r="J335" s="0" t="str">
        <f aca="false">IF($G335=0,"",IF(资金日记账!$D328=0,"",资金日记账!$D328))</f>
        <v/>
      </c>
      <c r="K335" s="0" t="str">
        <f aca="false">IF($G335=0,"",IF(""=0,"",""))</f>
        <v/>
      </c>
      <c r="L335" s="0" t="str">
        <f aca="false">IF($G335=0,"",IF(""=0,"",""))</f>
        <v/>
      </c>
      <c r="M335" s="0" t="str">
        <f aca="false">IF($G335=0,"",IF(""=0,"",""))</f>
        <v/>
      </c>
      <c r="N335" s="0" t="str">
        <f aca="false">IF($G335=0,"",IF(IF(N(资金日记账!$I328)=0,"",-ROUND(N(资金日记账!$I328),2))=0,"",IF(N(资金日记账!$I328)=0,"",-ROUND(N(资金日记账!$I328),2))))</f>
        <v/>
      </c>
      <c r="O335" s="0" t="str">
        <f aca="false">IF($G335=0,"",IF(IF(N(资金日记账!$H328)=0,"",ROUND(N(资金日记账!$H328),2))=0,"",IF(N(资金日记账!$H328)=0,"",ROUND(N(资金日记账!$H328),2))))</f>
        <v/>
      </c>
      <c r="P335" s="0" t="str">
        <f aca="false">IF($G335=0,"",IF(资金日记账!$L328=0,"",资金日记账!$L328))</f>
        <v/>
      </c>
      <c r="T335" s="0" t="str">
        <f aca="false">IF(资金日记账!$G335="","",资金日记账!$G335)</f>
        <v/>
      </c>
      <c r="U335" s="0" t="n">
        <f aca="false">IF(T335="",0,IF(MATCH(T335,$T$4:$T$903,0)=ROW()-3,1,0))</f>
        <v>0</v>
      </c>
      <c r="V335" s="0" t="n">
        <f aca="false">N(V334)+U335</f>
        <v>30</v>
      </c>
      <c r="AF335" s="0" t="str">
        <f aca="false">IF(OR(资金日记账!$E335="",N(资金日记账!$H335)=0),"",资金日记账!$E335)</f>
        <v/>
      </c>
      <c r="AG335" s="0" t="n">
        <f aca="false">IF(AF335="",0,IF(MATCH(AF335,$AF$4:$AF$603,0)=ROW()-3,1,0))</f>
        <v>0</v>
      </c>
      <c r="AH335" s="0" t="n">
        <f aca="false">N(AH334)+AG335</f>
        <v>5</v>
      </c>
    </row>
    <row r="336" customFormat="false" ht="13.5" hidden="false" customHeight="false" outlineLevel="0" collapsed="false">
      <c r="A336" s="0" t="str">
        <f aca="false">IF(资金日记账!$E34="","",资金日记账!$E34)</f>
        <v/>
      </c>
      <c r="B336" s="0" t="n">
        <f aca="false">IF(A336="",0,IF(MATCH(A336,$A$4:$A$1925,0)=ROW()-3,1,0))</f>
        <v>0</v>
      </c>
      <c r="C336" s="0" t="n">
        <f aca="false">N(C335)+B336</f>
        <v>6</v>
      </c>
      <c r="G336" s="0" t="n">
        <f aca="false">IF(OR($G$1="",资金日记账!$E329="",资金日记账!$E329&lt;&gt;$G$1),0,IF(NOT(OR(N(资金日记账!$H329)&lt;&gt;0,N(资金日记账!$I329)&lt;&gt;0)),0,IF(资金日记账!$B329="",1,IF(OR(N(资金日记账!$B329)&lt;$H$1,N(资金日记账!$B329)&gt;$I$1),0,1))))</f>
        <v>0</v>
      </c>
      <c r="H336" s="0" t="n">
        <f aca="false">N(H335)+$G336</f>
        <v>3</v>
      </c>
      <c r="I336" s="0" t="str">
        <f aca="false">IF($G336=0,"",IF(资金日记账!$B329=0,"",资金日记账!$B329))</f>
        <v/>
      </c>
      <c r="J336" s="0" t="str">
        <f aca="false">IF($G336=0,"",IF(资金日记账!$D329=0,"",资金日记账!$D329))</f>
        <v/>
      </c>
      <c r="K336" s="0" t="str">
        <f aca="false">IF($G336=0,"",IF(""=0,"",""))</f>
        <v/>
      </c>
      <c r="L336" s="0" t="str">
        <f aca="false">IF($G336=0,"",IF(""=0,"",""))</f>
        <v/>
      </c>
      <c r="M336" s="0" t="str">
        <f aca="false">IF($G336=0,"",IF(""=0,"",""))</f>
        <v/>
      </c>
      <c r="N336" s="0" t="str">
        <f aca="false">IF($G336=0,"",IF(IF(N(资金日记账!$I329)=0,"",-ROUND(N(资金日记账!$I329),2))=0,"",IF(N(资金日记账!$I329)=0,"",-ROUND(N(资金日记账!$I329),2))))</f>
        <v/>
      </c>
      <c r="O336" s="0" t="str">
        <f aca="false">IF($G336=0,"",IF(IF(N(资金日记账!$H329)=0,"",ROUND(N(资金日记账!$H329),2))=0,"",IF(N(资金日记账!$H329)=0,"",ROUND(N(资金日记账!$H329),2))))</f>
        <v/>
      </c>
      <c r="P336" s="0" t="str">
        <f aca="false">IF($G336=0,"",IF(资金日记账!$L329=0,"",资金日记账!$L329))</f>
        <v/>
      </c>
      <c r="T336" s="0" t="str">
        <f aca="false">IF(资金日记账!$G336="","",资金日记账!$G336)</f>
        <v/>
      </c>
      <c r="U336" s="0" t="n">
        <f aca="false">IF(T336="",0,IF(MATCH(T336,$T$4:$T$903,0)=ROW()-3,1,0))</f>
        <v>0</v>
      </c>
      <c r="V336" s="0" t="n">
        <f aca="false">N(V335)+U336</f>
        <v>30</v>
      </c>
      <c r="AF336" s="0" t="str">
        <f aca="false">IF(OR(资金日记账!$E336="",N(资金日记账!$H336)=0),"",资金日记账!$E336)</f>
        <v/>
      </c>
      <c r="AG336" s="0" t="n">
        <f aca="false">IF(AF336="",0,IF(MATCH(AF336,$AF$4:$AF$603,0)=ROW()-3,1,0))</f>
        <v>0</v>
      </c>
      <c r="AH336" s="0" t="n">
        <f aca="false">N(AH335)+AG336</f>
        <v>5</v>
      </c>
    </row>
    <row r="337" customFormat="false" ht="13.5" hidden="false" customHeight="false" outlineLevel="0" collapsed="false">
      <c r="A337" s="0" t="str">
        <f aca="false">IF(资金日记账!$E35="","",资金日记账!$E35)</f>
        <v/>
      </c>
      <c r="B337" s="0" t="n">
        <f aca="false">IF(A337="",0,IF(MATCH(A337,$A$4:$A$1925,0)=ROW()-3,1,0))</f>
        <v>0</v>
      </c>
      <c r="C337" s="0" t="n">
        <f aca="false">N(C336)+B337</f>
        <v>6</v>
      </c>
      <c r="G337" s="0" t="n">
        <f aca="false">IF(OR($G$1="",资金日记账!$E330="",资金日记账!$E330&lt;&gt;$G$1),0,IF(NOT(OR(N(资金日记账!$H330)&lt;&gt;0,N(资金日记账!$I330)&lt;&gt;0)),0,IF(资金日记账!$B330="",1,IF(OR(N(资金日记账!$B330)&lt;$H$1,N(资金日记账!$B330)&gt;$I$1),0,1))))</f>
        <v>0</v>
      </c>
      <c r="H337" s="0" t="n">
        <f aca="false">N(H336)+$G337</f>
        <v>3</v>
      </c>
      <c r="I337" s="0" t="str">
        <f aca="false">IF($G337=0,"",IF(资金日记账!$B330=0,"",资金日记账!$B330))</f>
        <v/>
      </c>
      <c r="J337" s="0" t="str">
        <f aca="false">IF($G337=0,"",IF(资金日记账!$D330=0,"",资金日记账!$D330))</f>
        <v/>
      </c>
      <c r="K337" s="0" t="str">
        <f aca="false">IF($G337=0,"",IF(""=0,"",""))</f>
        <v/>
      </c>
      <c r="L337" s="0" t="str">
        <f aca="false">IF($G337=0,"",IF(""=0,"",""))</f>
        <v/>
      </c>
      <c r="M337" s="0" t="str">
        <f aca="false">IF($G337=0,"",IF(""=0,"",""))</f>
        <v/>
      </c>
      <c r="N337" s="0" t="str">
        <f aca="false">IF($G337=0,"",IF(IF(N(资金日记账!$I330)=0,"",-ROUND(N(资金日记账!$I330),2))=0,"",IF(N(资金日记账!$I330)=0,"",-ROUND(N(资金日记账!$I330),2))))</f>
        <v/>
      </c>
      <c r="O337" s="0" t="str">
        <f aca="false">IF($G337=0,"",IF(IF(N(资金日记账!$H330)=0,"",ROUND(N(资金日记账!$H330),2))=0,"",IF(N(资金日记账!$H330)=0,"",ROUND(N(资金日记账!$H330),2))))</f>
        <v/>
      </c>
      <c r="P337" s="0" t="str">
        <f aca="false">IF($G337=0,"",IF(资金日记账!$L330=0,"",资金日记账!$L330))</f>
        <v/>
      </c>
      <c r="T337" s="0" t="str">
        <f aca="false">IF(资金日记账!$G337="","",资金日记账!$G337)</f>
        <v/>
      </c>
      <c r="U337" s="0" t="n">
        <f aca="false">IF(T337="",0,IF(MATCH(T337,$T$4:$T$903,0)=ROW()-3,1,0))</f>
        <v>0</v>
      </c>
      <c r="V337" s="0" t="n">
        <f aca="false">N(V336)+U337</f>
        <v>30</v>
      </c>
      <c r="AF337" s="0" t="str">
        <f aca="false">IF(OR(资金日记账!$E337="",N(资金日记账!$H337)=0),"",资金日记账!$E337)</f>
        <v/>
      </c>
      <c r="AG337" s="0" t="n">
        <f aca="false">IF(AF337="",0,IF(MATCH(AF337,$AF$4:$AF$603,0)=ROW()-3,1,0))</f>
        <v>0</v>
      </c>
      <c r="AH337" s="0" t="n">
        <f aca="false">N(AH336)+AG337</f>
        <v>5</v>
      </c>
    </row>
    <row r="338" customFormat="false" ht="13.5" hidden="false" customHeight="false" outlineLevel="0" collapsed="false">
      <c r="A338" s="0" t="str">
        <f aca="false">IF(资金日记账!$E36="","",资金日记账!$E36)</f>
        <v/>
      </c>
      <c r="B338" s="0" t="n">
        <f aca="false">IF(A338="",0,IF(MATCH(A338,$A$4:$A$1925,0)=ROW()-3,1,0))</f>
        <v>0</v>
      </c>
      <c r="C338" s="0" t="n">
        <f aca="false">N(C337)+B338</f>
        <v>6</v>
      </c>
      <c r="G338" s="0" t="n">
        <f aca="false">IF(OR($G$1="",资金日记账!$E331="",资金日记账!$E331&lt;&gt;$G$1),0,IF(NOT(OR(N(资金日记账!$H331)&lt;&gt;0,N(资金日记账!$I331)&lt;&gt;0)),0,IF(资金日记账!$B331="",1,IF(OR(N(资金日记账!$B331)&lt;$H$1,N(资金日记账!$B331)&gt;$I$1),0,1))))</f>
        <v>0</v>
      </c>
      <c r="H338" s="0" t="n">
        <f aca="false">N(H337)+$G338</f>
        <v>3</v>
      </c>
      <c r="I338" s="0" t="str">
        <f aca="false">IF($G338=0,"",IF(资金日记账!$B331=0,"",资金日记账!$B331))</f>
        <v/>
      </c>
      <c r="J338" s="0" t="str">
        <f aca="false">IF($G338=0,"",IF(资金日记账!$D331=0,"",资金日记账!$D331))</f>
        <v/>
      </c>
      <c r="K338" s="0" t="str">
        <f aca="false">IF($G338=0,"",IF(""=0,"",""))</f>
        <v/>
      </c>
      <c r="L338" s="0" t="str">
        <f aca="false">IF($G338=0,"",IF(""=0,"",""))</f>
        <v/>
      </c>
      <c r="M338" s="0" t="str">
        <f aca="false">IF($G338=0,"",IF(""=0,"",""))</f>
        <v/>
      </c>
      <c r="N338" s="0" t="str">
        <f aca="false">IF($G338=0,"",IF(IF(N(资金日记账!$I331)=0,"",-ROUND(N(资金日记账!$I331),2))=0,"",IF(N(资金日记账!$I331)=0,"",-ROUND(N(资金日记账!$I331),2))))</f>
        <v/>
      </c>
      <c r="O338" s="0" t="str">
        <f aca="false">IF($G338=0,"",IF(IF(N(资金日记账!$H331)=0,"",ROUND(N(资金日记账!$H331),2))=0,"",IF(N(资金日记账!$H331)=0,"",ROUND(N(资金日记账!$H331),2))))</f>
        <v/>
      </c>
      <c r="P338" s="0" t="str">
        <f aca="false">IF($G338=0,"",IF(资金日记账!$L331=0,"",资金日记账!$L331))</f>
        <v/>
      </c>
      <c r="T338" s="0" t="str">
        <f aca="false">IF(资金日记账!$G338="","",资金日记账!$G338)</f>
        <v/>
      </c>
      <c r="U338" s="0" t="n">
        <f aca="false">IF(T338="",0,IF(MATCH(T338,$T$4:$T$903,0)=ROW()-3,1,0))</f>
        <v>0</v>
      </c>
      <c r="V338" s="0" t="n">
        <f aca="false">N(V337)+U338</f>
        <v>30</v>
      </c>
      <c r="AF338" s="0" t="str">
        <f aca="false">IF(OR(资金日记账!$E338="",N(资金日记账!$H338)=0),"",资金日记账!$E338)</f>
        <v/>
      </c>
      <c r="AG338" s="0" t="n">
        <f aca="false">IF(AF338="",0,IF(MATCH(AF338,$AF$4:$AF$603,0)=ROW()-3,1,0))</f>
        <v>0</v>
      </c>
      <c r="AH338" s="0" t="n">
        <f aca="false">N(AH337)+AG338</f>
        <v>5</v>
      </c>
    </row>
    <row r="339" customFormat="false" ht="13.5" hidden="false" customHeight="false" outlineLevel="0" collapsed="false">
      <c r="A339" s="0" t="str">
        <f aca="false">IF(资金日记账!$E37="","",资金日记账!$E37)</f>
        <v/>
      </c>
      <c r="B339" s="0" t="n">
        <f aca="false">IF(A339="",0,IF(MATCH(A339,$A$4:$A$1925,0)=ROW()-3,1,0))</f>
        <v>0</v>
      </c>
      <c r="C339" s="0" t="n">
        <f aca="false">N(C338)+B339</f>
        <v>6</v>
      </c>
      <c r="G339" s="0" t="n">
        <f aca="false">IF(OR($G$1="",资金日记账!$E332="",资金日记账!$E332&lt;&gt;$G$1),0,IF(NOT(OR(N(资金日记账!$H332)&lt;&gt;0,N(资金日记账!$I332)&lt;&gt;0)),0,IF(资金日记账!$B332="",1,IF(OR(N(资金日记账!$B332)&lt;$H$1,N(资金日记账!$B332)&gt;$I$1),0,1))))</f>
        <v>0</v>
      </c>
      <c r="H339" s="0" t="n">
        <f aca="false">N(H338)+$G339</f>
        <v>3</v>
      </c>
      <c r="I339" s="0" t="str">
        <f aca="false">IF($G339=0,"",IF(资金日记账!$B332=0,"",资金日记账!$B332))</f>
        <v/>
      </c>
      <c r="J339" s="0" t="str">
        <f aca="false">IF($G339=0,"",IF(资金日记账!$D332=0,"",资金日记账!$D332))</f>
        <v/>
      </c>
      <c r="K339" s="0" t="str">
        <f aca="false">IF($G339=0,"",IF(""=0,"",""))</f>
        <v/>
      </c>
      <c r="L339" s="0" t="str">
        <f aca="false">IF($G339=0,"",IF(""=0,"",""))</f>
        <v/>
      </c>
      <c r="M339" s="0" t="str">
        <f aca="false">IF($G339=0,"",IF(""=0,"",""))</f>
        <v/>
      </c>
      <c r="N339" s="0" t="str">
        <f aca="false">IF($G339=0,"",IF(IF(N(资金日记账!$I332)=0,"",-ROUND(N(资金日记账!$I332),2))=0,"",IF(N(资金日记账!$I332)=0,"",-ROUND(N(资金日记账!$I332),2))))</f>
        <v/>
      </c>
      <c r="O339" s="0" t="str">
        <f aca="false">IF($G339=0,"",IF(IF(N(资金日记账!$H332)=0,"",ROUND(N(资金日记账!$H332),2))=0,"",IF(N(资金日记账!$H332)=0,"",ROUND(N(资金日记账!$H332),2))))</f>
        <v/>
      </c>
      <c r="P339" s="0" t="str">
        <f aca="false">IF($G339=0,"",IF(资金日记账!$L332=0,"",资金日记账!$L332))</f>
        <v/>
      </c>
      <c r="T339" s="0" t="str">
        <f aca="false">IF(资金日记账!$G339="","",资金日记账!$G339)</f>
        <v/>
      </c>
      <c r="U339" s="0" t="n">
        <f aca="false">IF(T339="",0,IF(MATCH(T339,$T$4:$T$903,0)=ROW()-3,1,0))</f>
        <v>0</v>
      </c>
      <c r="V339" s="0" t="n">
        <f aca="false">N(V338)+U339</f>
        <v>30</v>
      </c>
      <c r="AF339" s="0" t="str">
        <f aca="false">IF(OR(资金日记账!$E339="",N(资金日记账!$H339)=0),"",资金日记账!$E339)</f>
        <v/>
      </c>
      <c r="AG339" s="0" t="n">
        <f aca="false">IF(AF339="",0,IF(MATCH(AF339,$AF$4:$AF$603,0)=ROW()-3,1,0))</f>
        <v>0</v>
      </c>
      <c r="AH339" s="0" t="n">
        <f aca="false">N(AH338)+AG339</f>
        <v>5</v>
      </c>
    </row>
    <row r="340" customFormat="false" ht="13.5" hidden="false" customHeight="false" outlineLevel="0" collapsed="false">
      <c r="A340" s="0" t="str">
        <f aca="false">IF(资金日记账!$E38="","",资金日记账!$E38)</f>
        <v/>
      </c>
      <c r="B340" s="0" t="n">
        <f aca="false">IF(A340="",0,IF(MATCH(A340,$A$4:$A$1925,0)=ROW()-3,1,0))</f>
        <v>0</v>
      </c>
      <c r="C340" s="0" t="n">
        <f aca="false">N(C339)+B340</f>
        <v>6</v>
      </c>
      <c r="G340" s="0" t="n">
        <f aca="false">IF(OR($G$1="",资金日记账!$E333="",资金日记账!$E333&lt;&gt;$G$1),0,IF(NOT(OR(N(资金日记账!$H333)&lt;&gt;0,N(资金日记账!$I333)&lt;&gt;0)),0,IF(资金日记账!$B333="",1,IF(OR(N(资金日记账!$B333)&lt;$H$1,N(资金日记账!$B333)&gt;$I$1),0,1))))</f>
        <v>0</v>
      </c>
      <c r="H340" s="0" t="n">
        <f aca="false">N(H339)+$G340</f>
        <v>3</v>
      </c>
      <c r="I340" s="0" t="str">
        <f aca="false">IF($G340=0,"",IF(资金日记账!$B333=0,"",资金日记账!$B333))</f>
        <v/>
      </c>
      <c r="J340" s="0" t="str">
        <f aca="false">IF($G340=0,"",IF(资金日记账!$D333=0,"",资金日记账!$D333))</f>
        <v/>
      </c>
      <c r="K340" s="0" t="str">
        <f aca="false">IF($G340=0,"",IF(""=0,"",""))</f>
        <v/>
      </c>
      <c r="L340" s="0" t="str">
        <f aca="false">IF($G340=0,"",IF(""=0,"",""))</f>
        <v/>
      </c>
      <c r="M340" s="0" t="str">
        <f aca="false">IF($G340=0,"",IF(""=0,"",""))</f>
        <v/>
      </c>
      <c r="N340" s="0" t="str">
        <f aca="false">IF($G340=0,"",IF(IF(N(资金日记账!$I333)=0,"",-ROUND(N(资金日记账!$I333),2))=0,"",IF(N(资金日记账!$I333)=0,"",-ROUND(N(资金日记账!$I333),2))))</f>
        <v/>
      </c>
      <c r="O340" s="0" t="str">
        <f aca="false">IF($G340=0,"",IF(IF(N(资金日记账!$H333)=0,"",ROUND(N(资金日记账!$H333),2))=0,"",IF(N(资金日记账!$H333)=0,"",ROUND(N(资金日记账!$H333),2))))</f>
        <v/>
      </c>
      <c r="P340" s="0" t="str">
        <f aca="false">IF($G340=0,"",IF(资金日记账!$L333=0,"",资金日记账!$L333))</f>
        <v/>
      </c>
      <c r="T340" s="0" t="str">
        <f aca="false">IF(资金日记账!$G340="","",资金日记账!$G340)</f>
        <v/>
      </c>
      <c r="U340" s="0" t="n">
        <f aca="false">IF(T340="",0,IF(MATCH(T340,$T$4:$T$903,0)=ROW()-3,1,0))</f>
        <v>0</v>
      </c>
      <c r="V340" s="0" t="n">
        <f aca="false">N(V339)+U340</f>
        <v>30</v>
      </c>
      <c r="AF340" s="0" t="str">
        <f aca="false">IF(OR(资金日记账!$E340="",N(资金日记账!$H340)=0),"",资金日记账!$E340)</f>
        <v/>
      </c>
      <c r="AG340" s="0" t="n">
        <f aca="false">IF(AF340="",0,IF(MATCH(AF340,$AF$4:$AF$603,0)=ROW()-3,1,0))</f>
        <v>0</v>
      </c>
      <c r="AH340" s="0" t="n">
        <f aca="false">N(AH339)+AG340</f>
        <v>5</v>
      </c>
    </row>
    <row r="341" customFormat="false" ht="13.5" hidden="false" customHeight="false" outlineLevel="0" collapsed="false">
      <c r="A341" s="0" t="str">
        <f aca="false">IF(资金日记账!$E39="","",资金日记账!$E39)</f>
        <v/>
      </c>
      <c r="B341" s="0" t="n">
        <f aca="false">IF(A341="",0,IF(MATCH(A341,$A$4:$A$1925,0)=ROW()-3,1,0))</f>
        <v>0</v>
      </c>
      <c r="C341" s="0" t="n">
        <f aca="false">N(C340)+B341</f>
        <v>6</v>
      </c>
      <c r="G341" s="0" t="n">
        <f aca="false">IF(OR($G$1="",资金日记账!$E334="",资金日记账!$E334&lt;&gt;$G$1),0,IF(NOT(OR(N(资金日记账!$H334)&lt;&gt;0,N(资金日记账!$I334)&lt;&gt;0)),0,IF(资金日记账!$B334="",1,IF(OR(N(资金日记账!$B334)&lt;$H$1,N(资金日记账!$B334)&gt;$I$1),0,1))))</f>
        <v>0</v>
      </c>
      <c r="H341" s="0" t="n">
        <f aca="false">N(H340)+$G341</f>
        <v>3</v>
      </c>
      <c r="I341" s="0" t="str">
        <f aca="false">IF($G341=0,"",IF(资金日记账!$B334=0,"",资金日记账!$B334))</f>
        <v/>
      </c>
      <c r="J341" s="0" t="str">
        <f aca="false">IF($G341=0,"",IF(资金日记账!$D334=0,"",资金日记账!$D334))</f>
        <v/>
      </c>
      <c r="K341" s="0" t="str">
        <f aca="false">IF($G341=0,"",IF(""=0,"",""))</f>
        <v/>
      </c>
      <c r="L341" s="0" t="str">
        <f aca="false">IF($G341=0,"",IF(""=0,"",""))</f>
        <v/>
      </c>
      <c r="M341" s="0" t="str">
        <f aca="false">IF($G341=0,"",IF(""=0,"",""))</f>
        <v/>
      </c>
      <c r="N341" s="0" t="str">
        <f aca="false">IF($G341=0,"",IF(IF(N(资金日记账!$I334)=0,"",-ROUND(N(资金日记账!$I334),2))=0,"",IF(N(资金日记账!$I334)=0,"",-ROUND(N(资金日记账!$I334),2))))</f>
        <v/>
      </c>
      <c r="O341" s="0" t="str">
        <f aca="false">IF($G341=0,"",IF(IF(N(资金日记账!$H334)=0,"",ROUND(N(资金日记账!$H334),2))=0,"",IF(N(资金日记账!$H334)=0,"",ROUND(N(资金日记账!$H334),2))))</f>
        <v/>
      </c>
      <c r="P341" s="0" t="str">
        <f aca="false">IF($G341=0,"",IF(资金日记账!$L334=0,"",资金日记账!$L334))</f>
        <v/>
      </c>
      <c r="T341" s="0" t="str">
        <f aca="false">IF(资金日记账!$G341="","",资金日记账!$G341)</f>
        <v/>
      </c>
      <c r="U341" s="0" t="n">
        <f aca="false">IF(T341="",0,IF(MATCH(T341,$T$4:$T$903,0)=ROW()-3,1,0))</f>
        <v>0</v>
      </c>
      <c r="V341" s="0" t="n">
        <f aca="false">N(V340)+U341</f>
        <v>30</v>
      </c>
      <c r="AF341" s="0" t="str">
        <f aca="false">IF(OR(资金日记账!$E341="",N(资金日记账!$H341)=0),"",资金日记账!$E341)</f>
        <v/>
      </c>
      <c r="AG341" s="0" t="n">
        <f aca="false">IF(AF341="",0,IF(MATCH(AF341,$AF$4:$AF$603,0)=ROW()-3,1,0))</f>
        <v>0</v>
      </c>
      <c r="AH341" s="0" t="n">
        <f aca="false">N(AH340)+AG341</f>
        <v>5</v>
      </c>
    </row>
    <row r="342" customFormat="false" ht="13.5" hidden="false" customHeight="false" outlineLevel="0" collapsed="false">
      <c r="A342" s="0" t="str">
        <f aca="false">IF(资金日记账!$E40="","",资金日记账!$E40)</f>
        <v/>
      </c>
      <c r="B342" s="0" t="n">
        <f aca="false">IF(A342="",0,IF(MATCH(A342,$A$4:$A$1925,0)=ROW()-3,1,0))</f>
        <v>0</v>
      </c>
      <c r="C342" s="0" t="n">
        <f aca="false">N(C341)+B342</f>
        <v>6</v>
      </c>
      <c r="G342" s="0" t="n">
        <f aca="false">IF(OR($G$1="",资金日记账!$E335="",资金日记账!$E335&lt;&gt;$G$1),0,IF(NOT(OR(N(资金日记账!$H335)&lt;&gt;0,N(资金日记账!$I335)&lt;&gt;0)),0,IF(资金日记账!$B335="",1,IF(OR(N(资金日记账!$B335)&lt;$H$1,N(资金日记账!$B335)&gt;$I$1),0,1))))</f>
        <v>0</v>
      </c>
      <c r="H342" s="0" t="n">
        <f aca="false">N(H341)+$G342</f>
        <v>3</v>
      </c>
      <c r="I342" s="0" t="str">
        <f aca="false">IF($G342=0,"",IF(资金日记账!$B335=0,"",资金日记账!$B335))</f>
        <v/>
      </c>
      <c r="J342" s="0" t="str">
        <f aca="false">IF($G342=0,"",IF(资金日记账!$D335=0,"",资金日记账!$D335))</f>
        <v/>
      </c>
      <c r="K342" s="0" t="str">
        <f aca="false">IF($G342=0,"",IF(""=0,"",""))</f>
        <v/>
      </c>
      <c r="L342" s="0" t="str">
        <f aca="false">IF($G342=0,"",IF(""=0,"",""))</f>
        <v/>
      </c>
      <c r="M342" s="0" t="str">
        <f aca="false">IF($G342=0,"",IF(""=0,"",""))</f>
        <v/>
      </c>
      <c r="N342" s="0" t="str">
        <f aca="false">IF($G342=0,"",IF(IF(N(资金日记账!$I335)=0,"",-ROUND(N(资金日记账!$I335),2))=0,"",IF(N(资金日记账!$I335)=0,"",-ROUND(N(资金日记账!$I335),2))))</f>
        <v/>
      </c>
      <c r="O342" s="0" t="str">
        <f aca="false">IF($G342=0,"",IF(IF(N(资金日记账!$H335)=0,"",ROUND(N(资金日记账!$H335),2))=0,"",IF(N(资金日记账!$H335)=0,"",ROUND(N(资金日记账!$H335),2))))</f>
        <v/>
      </c>
      <c r="P342" s="0" t="str">
        <f aca="false">IF($G342=0,"",IF(资金日记账!$L335=0,"",资金日记账!$L335))</f>
        <v/>
      </c>
      <c r="T342" s="0" t="str">
        <f aca="false">IF(资金日记账!$G342="","",资金日记账!$G342)</f>
        <v/>
      </c>
      <c r="U342" s="0" t="n">
        <f aca="false">IF(T342="",0,IF(MATCH(T342,$T$4:$T$903,0)=ROW()-3,1,0))</f>
        <v>0</v>
      </c>
      <c r="V342" s="0" t="n">
        <f aca="false">N(V341)+U342</f>
        <v>30</v>
      </c>
      <c r="AF342" s="0" t="str">
        <f aca="false">IF(OR(资金日记账!$E342="",N(资金日记账!$H342)=0),"",资金日记账!$E342)</f>
        <v/>
      </c>
      <c r="AG342" s="0" t="n">
        <f aca="false">IF(AF342="",0,IF(MATCH(AF342,$AF$4:$AF$603,0)=ROW()-3,1,0))</f>
        <v>0</v>
      </c>
      <c r="AH342" s="0" t="n">
        <f aca="false">N(AH341)+AG342</f>
        <v>5</v>
      </c>
    </row>
    <row r="343" customFormat="false" ht="13.5" hidden="false" customHeight="false" outlineLevel="0" collapsed="false">
      <c r="A343" s="0" t="str">
        <f aca="false">IF(资金日记账!$E41="","",资金日记账!$E41)</f>
        <v/>
      </c>
      <c r="B343" s="0" t="n">
        <f aca="false">IF(A343="",0,IF(MATCH(A343,$A$4:$A$1925,0)=ROW()-3,1,0))</f>
        <v>0</v>
      </c>
      <c r="C343" s="0" t="n">
        <f aca="false">N(C342)+B343</f>
        <v>6</v>
      </c>
      <c r="G343" s="0" t="n">
        <f aca="false">IF(OR($G$1="",资金日记账!$E336="",资金日记账!$E336&lt;&gt;$G$1),0,IF(NOT(OR(N(资金日记账!$H336)&lt;&gt;0,N(资金日记账!$I336)&lt;&gt;0)),0,IF(资金日记账!$B336="",1,IF(OR(N(资金日记账!$B336)&lt;$H$1,N(资金日记账!$B336)&gt;$I$1),0,1))))</f>
        <v>0</v>
      </c>
      <c r="H343" s="0" t="n">
        <f aca="false">N(H342)+$G343</f>
        <v>3</v>
      </c>
      <c r="I343" s="0" t="str">
        <f aca="false">IF($G343=0,"",IF(资金日记账!$B336=0,"",资金日记账!$B336))</f>
        <v/>
      </c>
      <c r="J343" s="0" t="str">
        <f aca="false">IF($G343=0,"",IF(资金日记账!$D336=0,"",资金日记账!$D336))</f>
        <v/>
      </c>
      <c r="K343" s="0" t="str">
        <f aca="false">IF($G343=0,"",IF(""=0,"",""))</f>
        <v/>
      </c>
      <c r="L343" s="0" t="str">
        <f aca="false">IF($G343=0,"",IF(""=0,"",""))</f>
        <v/>
      </c>
      <c r="M343" s="0" t="str">
        <f aca="false">IF($G343=0,"",IF(""=0,"",""))</f>
        <v/>
      </c>
      <c r="N343" s="0" t="str">
        <f aca="false">IF($G343=0,"",IF(IF(N(资金日记账!$I336)=0,"",-ROUND(N(资金日记账!$I336),2))=0,"",IF(N(资金日记账!$I336)=0,"",-ROUND(N(资金日记账!$I336),2))))</f>
        <v/>
      </c>
      <c r="O343" s="0" t="str">
        <f aca="false">IF($G343=0,"",IF(IF(N(资金日记账!$H336)=0,"",ROUND(N(资金日记账!$H336),2))=0,"",IF(N(资金日记账!$H336)=0,"",ROUND(N(资金日记账!$H336),2))))</f>
        <v/>
      </c>
      <c r="P343" s="0" t="str">
        <f aca="false">IF($G343=0,"",IF(资金日记账!$L336=0,"",资金日记账!$L336))</f>
        <v/>
      </c>
      <c r="T343" s="0" t="str">
        <f aca="false">IF(资金日记账!$G343="","",资金日记账!$G343)</f>
        <v/>
      </c>
      <c r="U343" s="0" t="n">
        <f aca="false">IF(T343="",0,IF(MATCH(T343,$T$4:$T$903,0)=ROW()-3,1,0))</f>
        <v>0</v>
      </c>
      <c r="V343" s="0" t="n">
        <f aca="false">N(V342)+U343</f>
        <v>30</v>
      </c>
      <c r="AF343" s="0" t="str">
        <f aca="false">IF(OR(资金日记账!$E343="",N(资金日记账!$H343)=0),"",资金日记账!$E343)</f>
        <v/>
      </c>
      <c r="AG343" s="0" t="n">
        <f aca="false">IF(AF343="",0,IF(MATCH(AF343,$AF$4:$AF$603,0)=ROW()-3,1,0))</f>
        <v>0</v>
      </c>
      <c r="AH343" s="0" t="n">
        <f aca="false">N(AH342)+AG343</f>
        <v>5</v>
      </c>
    </row>
    <row r="344" customFormat="false" ht="13.5" hidden="false" customHeight="false" outlineLevel="0" collapsed="false">
      <c r="A344" s="0" t="str">
        <f aca="false">IF(资金日记账!$E42="","",资金日记账!$E42)</f>
        <v/>
      </c>
      <c r="B344" s="0" t="n">
        <f aca="false">IF(A344="",0,IF(MATCH(A344,$A$4:$A$1925,0)=ROW()-3,1,0))</f>
        <v>0</v>
      </c>
      <c r="C344" s="0" t="n">
        <f aca="false">N(C343)+B344</f>
        <v>6</v>
      </c>
      <c r="G344" s="0" t="n">
        <f aca="false">IF(OR($G$1="",资金日记账!$E337="",资金日记账!$E337&lt;&gt;$G$1),0,IF(NOT(OR(N(资金日记账!$H337)&lt;&gt;0,N(资金日记账!$I337)&lt;&gt;0)),0,IF(资金日记账!$B337="",1,IF(OR(N(资金日记账!$B337)&lt;$H$1,N(资金日记账!$B337)&gt;$I$1),0,1))))</f>
        <v>0</v>
      </c>
      <c r="H344" s="0" t="n">
        <f aca="false">N(H343)+$G344</f>
        <v>3</v>
      </c>
      <c r="I344" s="0" t="str">
        <f aca="false">IF($G344=0,"",IF(资金日记账!$B337=0,"",资金日记账!$B337))</f>
        <v/>
      </c>
      <c r="J344" s="0" t="str">
        <f aca="false">IF($G344=0,"",IF(资金日记账!$D337=0,"",资金日记账!$D337))</f>
        <v/>
      </c>
      <c r="K344" s="0" t="str">
        <f aca="false">IF($G344=0,"",IF(""=0,"",""))</f>
        <v/>
      </c>
      <c r="L344" s="0" t="str">
        <f aca="false">IF($G344=0,"",IF(""=0,"",""))</f>
        <v/>
      </c>
      <c r="M344" s="0" t="str">
        <f aca="false">IF($G344=0,"",IF(""=0,"",""))</f>
        <v/>
      </c>
      <c r="N344" s="0" t="str">
        <f aca="false">IF($G344=0,"",IF(IF(N(资金日记账!$I337)=0,"",-ROUND(N(资金日记账!$I337),2))=0,"",IF(N(资金日记账!$I337)=0,"",-ROUND(N(资金日记账!$I337),2))))</f>
        <v/>
      </c>
      <c r="O344" s="0" t="str">
        <f aca="false">IF($G344=0,"",IF(IF(N(资金日记账!$H337)=0,"",ROUND(N(资金日记账!$H337),2))=0,"",IF(N(资金日记账!$H337)=0,"",ROUND(N(资金日记账!$H337),2))))</f>
        <v/>
      </c>
      <c r="P344" s="0" t="str">
        <f aca="false">IF($G344=0,"",IF(资金日记账!$L337=0,"",资金日记账!$L337))</f>
        <v/>
      </c>
      <c r="T344" s="0" t="str">
        <f aca="false">IF(资金日记账!$G344="","",资金日记账!$G344)</f>
        <v/>
      </c>
      <c r="U344" s="0" t="n">
        <f aca="false">IF(T344="",0,IF(MATCH(T344,$T$4:$T$903,0)=ROW()-3,1,0))</f>
        <v>0</v>
      </c>
      <c r="V344" s="0" t="n">
        <f aca="false">N(V343)+U344</f>
        <v>30</v>
      </c>
      <c r="AF344" s="0" t="str">
        <f aca="false">IF(OR(资金日记账!$E344="",N(资金日记账!$H344)=0),"",资金日记账!$E344)</f>
        <v/>
      </c>
      <c r="AG344" s="0" t="n">
        <f aca="false">IF(AF344="",0,IF(MATCH(AF344,$AF$4:$AF$603,0)=ROW()-3,1,0))</f>
        <v>0</v>
      </c>
      <c r="AH344" s="0" t="n">
        <f aca="false">N(AH343)+AG344</f>
        <v>5</v>
      </c>
    </row>
    <row r="345" customFormat="false" ht="13.5" hidden="false" customHeight="false" outlineLevel="0" collapsed="false">
      <c r="A345" s="0" t="str">
        <f aca="false">IF(资金日记账!$E43="","",资金日记账!$E43)</f>
        <v/>
      </c>
      <c r="B345" s="0" t="n">
        <f aca="false">IF(A345="",0,IF(MATCH(A345,$A$4:$A$1925,0)=ROW()-3,1,0))</f>
        <v>0</v>
      </c>
      <c r="C345" s="0" t="n">
        <f aca="false">N(C344)+B345</f>
        <v>6</v>
      </c>
      <c r="G345" s="0" t="n">
        <f aca="false">IF(OR($G$1="",资金日记账!$E338="",资金日记账!$E338&lt;&gt;$G$1),0,IF(NOT(OR(N(资金日记账!$H338)&lt;&gt;0,N(资金日记账!$I338)&lt;&gt;0)),0,IF(资金日记账!$B338="",1,IF(OR(N(资金日记账!$B338)&lt;$H$1,N(资金日记账!$B338)&gt;$I$1),0,1))))</f>
        <v>0</v>
      </c>
      <c r="H345" s="0" t="n">
        <f aca="false">N(H344)+$G345</f>
        <v>3</v>
      </c>
      <c r="I345" s="0" t="str">
        <f aca="false">IF($G345=0,"",IF(资金日记账!$B338=0,"",资金日记账!$B338))</f>
        <v/>
      </c>
      <c r="J345" s="0" t="str">
        <f aca="false">IF($G345=0,"",IF(资金日记账!$D338=0,"",资金日记账!$D338))</f>
        <v/>
      </c>
      <c r="K345" s="0" t="str">
        <f aca="false">IF($G345=0,"",IF(""=0,"",""))</f>
        <v/>
      </c>
      <c r="L345" s="0" t="str">
        <f aca="false">IF($G345=0,"",IF(""=0,"",""))</f>
        <v/>
      </c>
      <c r="M345" s="0" t="str">
        <f aca="false">IF($G345=0,"",IF(""=0,"",""))</f>
        <v/>
      </c>
      <c r="N345" s="0" t="str">
        <f aca="false">IF($G345=0,"",IF(IF(N(资金日记账!$I338)=0,"",-ROUND(N(资金日记账!$I338),2))=0,"",IF(N(资金日记账!$I338)=0,"",-ROUND(N(资金日记账!$I338),2))))</f>
        <v/>
      </c>
      <c r="O345" s="0" t="str">
        <f aca="false">IF($G345=0,"",IF(IF(N(资金日记账!$H338)=0,"",ROUND(N(资金日记账!$H338),2))=0,"",IF(N(资金日记账!$H338)=0,"",ROUND(N(资金日记账!$H338),2))))</f>
        <v/>
      </c>
      <c r="P345" s="0" t="str">
        <f aca="false">IF($G345=0,"",IF(资金日记账!$L338=0,"",资金日记账!$L338))</f>
        <v/>
      </c>
      <c r="T345" s="0" t="str">
        <f aca="false">IF(资金日记账!$G345="","",资金日记账!$G345)</f>
        <v/>
      </c>
      <c r="U345" s="0" t="n">
        <f aca="false">IF(T345="",0,IF(MATCH(T345,$T$4:$T$903,0)=ROW()-3,1,0))</f>
        <v>0</v>
      </c>
      <c r="V345" s="0" t="n">
        <f aca="false">N(V344)+U345</f>
        <v>30</v>
      </c>
      <c r="AF345" s="0" t="str">
        <f aca="false">IF(OR(资金日记账!$E345="",N(资金日记账!$H345)=0),"",资金日记账!$E345)</f>
        <v/>
      </c>
      <c r="AG345" s="0" t="n">
        <f aca="false">IF(AF345="",0,IF(MATCH(AF345,$AF$4:$AF$603,0)=ROW()-3,1,0))</f>
        <v>0</v>
      </c>
      <c r="AH345" s="0" t="n">
        <f aca="false">N(AH344)+AG345</f>
        <v>5</v>
      </c>
    </row>
    <row r="346" customFormat="false" ht="13.5" hidden="false" customHeight="false" outlineLevel="0" collapsed="false">
      <c r="A346" s="0" t="str">
        <f aca="false">IF(资金日记账!$E44="","",资金日记账!$E44)</f>
        <v/>
      </c>
      <c r="B346" s="0" t="n">
        <f aca="false">IF(A346="",0,IF(MATCH(A346,$A$4:$A$1925,0)=ROW()-3,1,0))</f>
        <v>0</v>
      </c>
      <c r="C346" s="0" t="n">
        <f aca="false">N(C345)+B346</f>
        <v>6</v>
      </c>
      <c r="G346" s="0" t="n">
        <f aca="false">IF(OR($G$1="",资金日记账!$E339="",资金日记账!$E339&lt;&gt;$G$1),0,IF(NOT(OR(N(资金日记账!$H339)&lt;&gt;0,N(资金日记账!$I339)&lt;&gt;0)),0,IF(资金日记账!$B339="",1,IF(OR(N(资金日记账!$B339)&lt;$H$1,N(资金日记账!$B339)&gt;$I$1),0,1))))</f>
        <v>0</v>
      </c>
      <c r="H346" s="0" t="n">
        <f aca="false">N(H345)+$G346</f>
        <v>3</v>
      </c>
      <c r="I346" s="0" t="str">
        <f aca="false">IF($G346=0,"",IF(资金日记账!$B339=0,"",资金日记账!$B339))</f>
        <v/>
      </c>
      <c r="J346" s="0" t="str">
        <f aca="false">IF($G346=0,"",IF(资金日记账!$D339=0,"",资金日记账!$D339))</f>
        <v/>
      </c>
      <c r="K346" s="0" t="str">
        <f aca="false">IF($G346=0,"",IF(""=0,"",""))</f>
        <v/>
      </c>
      <c r="L346" s="0" t="str">
        <f aca="false">IF($G346=0,"",IF(""=0,"",""))</f>
        <v/>
      </c>
      <c r="M346" s="0" t="str">
        <f aca="false">IF($G346=0,"",IF(""=0,"",""))</f>
        <v/>
      </c>
      <c r="N346" s="0" t="str">
        <f aca="false">IF($G346=0,"",IF(IF(N(资金日记账!$I339)=0,"",-ROUND(N(资金日记账!$I339),2))=0,"",IF(N(资金日记账!$I339)=0,"",-ROUND(N(资金日记账!$I339),2))))</f>
        <v/>
      </c>
      <c r="O346" s="0" t="str">
        <f aca="false">IF($G346=0,"",IF(IF(N(资金日记账!$H339)=0,"",ROUND(N(资金日记账!$H339),2))=0,"",IF(N(资金日记账!$H339)=0,"",ROUND(N(资金日记账!$H339),2))))</f>
        <v/>
      </c>
      <c r="P346" s="0" t="str">
        <f aca="false">IF($G346=0,"",IF(资金日记账!$L339=0,"",资金日记账!$L339))</f>
        <v/>
      </c>
      <c r="T346" s="0" t="str">
        <f aca="false">IF(资金日记账!$G346="","",资金日记账!$G346)</f>
        <v/>
      </c>
      <c r="U346" s="0" t="n">
        <f aca="false">IF(T346="",0,IF(MATCH(T346,$T$4:$T$903,0)=ROW()-3,1,0))</f>
        <v>0</v>
      </c>
      <c r="V346" s="0" t="n">
        <f aca="false">N(V345)+U346</f>
        <v>30</v>
      </c>
      <c r="AF346" s="0" t="str">
        <f aca="false">IF(OR(资金日记账!$E346="",N(资金日记账!$H346)=0),"",资金日记账!$E346)</f>
        <v/>
      </c>
      <c r="AG346" s="0" t="n">
        <f aca="false">IF(AF346="",0,IF(MATCH(AF346,$AF$4:$AF$603,0)=ROW()-3,1,0))</f>
        <v>0</v>
      </c>
      <c r="AH346" s="0" t="n">
        <f aca="false">N(AH345)+AG346</f>
        <v>5</v>
      </c>
    </row>
    <row r="347" customFormat="false" ht="13.5" hidden="false" customHeight="false" outlineLevel="0" collapsed="false">
      <c r="A347" s="0" t="str">
        <f aca="false">IF(资金日记账!$E45="","",资金日记账!$E45)</f>
        <v/>
      </c>
      <c r="B347" s="0" t="n">
        <f aca="false">IF(A347="",0,IF(MATCH(A347,$A$4:$A$1925,0)=ROW()-3,1,0))</f>
        <v>0</v>
      </c>
      <c r="C347" s="0" t="n">
        <f aca="false">N(C346)+B347</f>
        <v>6</v>
      </c>
      <c r="G347" s="0" t="n">
        <f aca="false">IF(OR($G$1="",资金日记账!$E340="",资金日记账!$E340&lt;&gt;$G$1),0,IF(NOT(OR(N(资金日记账!$H340)&lt;&gt;0,N(资金日记账!$I340)&lt;&gt;0)),0,IF(资金日记账!$B340="",1,IF(OR(N(资金日记账!$B340)&lt;$H$1,N(资金日记账!$B340)&gt;$I$1),0,1))))</f>
        <v>0</v>
      </c>
      <c r="H347" s="0" t="n">
        <f aca="false">N(H346)+$G347</f>
        <v>3</v>
      </c>
      <c r="I347" s="0" t="str">
        <f aca="false">IF($G347=0,"",IF(资金日记账!$B340=0,"",资金日记账!$B340))</f>
        <v/>
      </c>
      <c r="J347" s="0" t="str">
        <f aca="false">IF($G347=0,"",IF(资金日记账!$D340=0,"",资金日记账!$D340))</f>
        <v/>
      </c>
      <c r="K347" s="0" t="str">
        <f aca="false">IF($G347=0,"",IF(""=0,"",""))</f>
        <v/>
      </c>
      <c r="L347" s="0" t="str">
        <f aca="false">IF($G347=0,"",IF(""=0,"",""))</f>
        <v/>
      </c>
      <c r="M347" s="0" t="str">
        <f aca="false">IF($G347=0,"",IF(""=0,"",""))</f>
        <v/>
      </c>
      <c r="N347" s="0" t="str">
        <f aca="false">IF($G347=0,"",IF(IF(N(资金日记账!$I340)=0,"",-ROUND(N(资金日记账!$I340),2))=0,"",IF(N(资金日记账!$I340)=0,"",-ROUND(N(资金日记账!$I340),2))))</f>
        <v/>
      </c>
      <c r="O347" s="0" t="str">
        <f aca="false">IF($G347=0,"",IF(IF(N(资金日记账!$H340)=0,"",ROUND(N(资金日记账!$H340),2))=0,"",IF(N(资金日记账!$H340)=0,"",ROUND(N(资金日记账!$H340),2))))</f>
        <v/>
      </c>
      <c r="P347" s="0" t="str">
        <f aca="false">IF($G347=0,"",IF(资金日记账!$L340=0,"",资金日记账!$L340))</f>
        <v/>
      </c>
      <c r="T347" s="0" t="str">
        <f aca="false">IF(资金日记账!$G347="","",资金日记账!$G347)</f>
        <v/>
      </c>
      <c r="U347" s="0" t="n">
        <f aca="false">IF(T347="",0,IF(MATCH(T347,$T$4:$T$903,0)=ROW()-3,1,0))</f>
        <v>0</v>
      </c>
      <c r="V347" s="0" t="n">
        <f aca="false">N(V346)+U347</f>
        <v>30</v>
      </c>
      <c r="AF347" s="0" t="str">
        <f aca="false">IF(OR(资金日记账!$E347="",N(资金日记账!$H347)=0),"",资金日记账!$E347)</f>
        <v/>
      </c>
      <c r="AG347" s="0" t="n">
        <f aca="false">IF(AF347="",0,IF(MATCH(AF347,$AF$4:$AF$603,0)=ROW()-3,1,0))</f>
        <v>0</v>
      </c>
      <c r="AH347" s="0" t="n">
        <f aca="false">N(AH346)+AG347</f>
        <v>5</v>
      </c>
    </row>
    <row r="348" customFormat="false" ht="13.5" hidden="false" customHeight="false" outlineLevel="0" collapsed="false">
      <c r="A348" s="0" t="str">
        <f aca="false">IF(资金日记账!$E46="","",资金日记账!$E46)</f>
        <v/>
      </c>
      <c r="B348" s="0" t="n">
        <f aca="false">IF(A348="",0,IF(MATCH(A348,$A$4:$A$1925,0)=ROW()-3,1,0))</f>
        <v>0</v>
      </c>
      <c r="C348" s="0" t="n">
        <f aca="false">N(C347)+B348</f>
        <v>6</v>
      </c>
      <c r="G348" s="0" t="n">
        <f aca="false">IF(OR($G$1="",资金日记账!$E341="",资金日记账!$E341&lt;&gt;$G$1),0,IF(NOT(OR(N(资金日记账!$H341)&lt;&gt;0,N(资金日记账!$I341)&lt;&gt;0)),0,IF(资金日记账!$B341="",1,IF(OR(N(资金日记账!$B341)&lt;$H$1,N(资金日记账!$B341)&gt;$I$1),0,1))))</f>
        <v>0</v>
      </c>
      <c r="H348" s="0" t="n">
        <f aca="false">N(H347)+$G348</f>
        <v>3</v>
      </c>
      <c r="I348" s="0" t="str">
        <f aca="false">IF($G348=0,"",IF(资金日记账!$B341=0,"",资金日记账!$B341))</f>
        <v/>
      </c>
      <c r="J348" s="0" t="str">
        <f aca="false">IF($G348=0,"",IF(资金日记账!$D341=0,"",资金日记账!$D341))</f>
        <v/>
      </c>
      <c r="K348" s="0" t="str">
        <f aca="false">IF($G348=0,"",IF(""=0,"",""))</f>
        <v/>
      </c>
      <c r="L348" s="0" t="str">
        <f aca="false">IF($G348=0,"",IF(""=0,"",""))</f>
        <v/>
      </c>
      <c r="M348" s="0" t="str">
        <f aca="false">IF($G348=0,"",IF(""=0,"",""))</f>
        <v/>
      </c>
      <c r="N348" s="0" t="str">
        <f aca="false">IF($G348=0,"",IF(IF(N(资金日记账!$I341)=0,"",-ROUND(N(资金日记账!$I341),2))=0,"",IF(N(资金日记账!$I341)=0,"",-ROUND(N(资金日记账!$I341),2))))</f>
        <v/>
      </c>
      <c r="O348" s="0" t="str">
        <f aca="false">IF($G348=0,"",IF(IF(N(资金日记账!$H341)=0,"",ROUND(N(资金日记账!$H341),2))=0,"",IF(N(资金日记账!$H341)=0,"",ROUND(N(资金日记账!$H341),2))))</f>
        <v/>
      </c>
      <c r="P348" s="0" t="str">
        <f aca="false">IF($G348=0,"",IF(资金日记账!$L341=0,"",资金日记账!$L341))</f>
        <v/>
      </c>
      <c r="T348" s="0" t="str">
        <f aca="false">IF(资金日记账!$G348="","",资金日记账!$G348)</f>
        <v/>
      </c>
      <c r="U348" s="0" t="n">
        <f aca="false">IF(T348="",0,IF(MATCH(T348,$T$4:$T$903,0)=ROW()-3,1,0))</f>
        <v>0</v>
      </c>
      <c r="V348" s="0" t="n">
        <f aca="false">N(V347)+U348</f>
        <v>30</v>
      </c>
      <c r="AF348" s="0" t="str">
        <f aca="false">IF(OR(资金日记账!$E348="",N(资金日记账!$H348)=0),"",资金日记账!$E348)</f>
        <v/>
      </c>
      <c r="AG348" s="0" t="n">
        <f aca="false">IF(AF348="",0,IF(MATCH(AF348,$AF$4:$AF$603,0)=ROW()-3,1,0))</f>
        <v>0</v>
      </c>
      <c r="AH348" s="0" t="n">
        <f aca="false">N(AH347)+AG348</f>
        <v>5</v>
      </c>
    </row>
    <row r="349" customFormat="false" ht="13.5" hidden="false" customHeight="false" outlineLevel="0" collapsed="false">
      <c r="A349" s="0" t="str">
        <f aca="false">IF(资金日记账!$E47="","",资金日记账!$E47)</f>
        <v/>
      </c>
      <c r="B349" s="0" t="n">
        <f aca="false">IF(A349="",0,IF(MATCH(A349,$A$4:$A$1925,0)=ROW()-3,1,0))</f>
        <v>0</v>
      </c>
      <c r="C349" s="0" t="n">
        <f aca="false">N(C348)+B349</f>
        <v>6</v>
      </c>
      <c r="G349" s="0" t="n">
        <f aca="false">IF(OR($G$1="",资金日记账!$E342="",资金日记账!$E342&lt;&gt;$G$1),0,IF(NOT(OR(N(资金日记账!$H342)&lt;&gt;0,N(资金日记账!$I342)&lt;&gt;0)),0,IF(资金日记账!$B342="",1,IF(OR(N(资金日记账!$B342)&lt;$H$1,N(资金日记账!$B342)&gt;$I$1),0,1))))</f>
        <v>0</v>
      </c>
      <c r="H349" s="0" t="n">
        <f aca="false">N(H348)+$G349</f>
        <v>3</v>
      </c>
      <c r="I349" s="0" t="str">
        <f aca="false">IF($G349=0,"",IF(资金日记账!$B342=0,"",资金日记账!$B342))</f>
        <v/>
      </c>
      <c r="J349" s="0" t="str">
        <f aca="false">IF($G349=0,"",IF(资金日记账!$D342=0,"",资金日记账!$D342))</f>
        <v/>
      </c>
      <c r="K349" s="0" t="str">
        <f aca="false">IF($G349=0,"",IF(""=0,"",""))</f>
        <v/>
      </c>
      <c r="L349" s="0" t="str">
        <f aca="false">IF($G349=0,"",IF(""=0,"",""))</f>
        <v/>
      </c>
      <c r="M349" s="0" t="str">
        <f aca="false">IF($G349=0,"",IF(""=0,"",""))</f>
        <v/>
      </c>
      <c r="N349" s="0" t="str">
        <f aca="false">IF($G349=0,"",IF(IF(N(资金日记账!$I342)=0,"",-ROUND(N(资金日记账!$I342),2))=0,"",IF(N(资金日记账!$I342)=0,"",-ROUND(N(资金日记账!$I342),2))))</f>
        <v/>
      </c>
      <c r="O349" s="0" t="str">
        <f aca="false">IF($G349=0,"",IF(IF(N(资金日记账!$H342)=0,"",ROUND(N(资金日记账!$H342),2))=0,"",IF(N(资金日记账!$H342)=0,"",ROUND(N(资金日记账!$H342),2))))</f>
        <v/>
      </c>
      <c r="P349" s="0" t="str">
        <f aca="false">IF($G349=0,"",IF(资金日记账!$L342=0,"",资金日记账!$L342))</f>
        <v/>
      </c>
      <c r="T349" s="0" t="str">
        <f aca="false">IF(资金日记账!$G349="","",资金日记账!$G349)</f>
        <v/>
      </c>
      <c r="U349" s="0" t="n">
        <f aca="false">IF(T349="",0,IF(MATCH(T349,$T$4:$T$903,0)=ROW()-3,1,0))</f>
        <v>0</v>
      </c>
      <c r="V349" s="0" t="n">
        <f aca="false">N(V348)+U349</f>
        <v>30</v>
      </c>
      <c r="AF349" s="0" t="str">
        <f aca="false">IF(OR(资金日记账!$E349="",N(资金日记账!$H349)=0),"",资金日记账!$E349)</f>
        <v/>
      </c>
      <c r="AG349" s="0" t="n">
        <f aca="false">IF(AF349="",0,IF(MATCH(AF349,$AF$4:$AF$603,0)=ROW()-3,1,0))</f>
        <v>0</v>
      </c>
      <c r="AH349" s="0" t="n">
        <f aca="false">N(AH348)+AG349</f>
        <v>5</v>
      </c>
    </row>
    <row r="350" customFormat="false" ht="13.5" hidden="false" customHeight="false" outlineLevel="0" collapsed="false">
      <c r="A350" s="0" t="str">
        <f aca="false">IF(资金日记账!$E48="","",资金日记账!$E48)</f>
        <v/>
      </c>
      <c r="B350" s="0" t="n">
        <f aca="false">IF(A350="",0,IF(MATCH(A350,$A$4:$A$1925,0)=ROW()-3,1,0))</f>
        <v>0</v>
      </c>
      <c r="C350" s="0" t="n">
        <f aca="false">N(C349)+B350</f>
        <v>6</v>
      </c>
      <c r="G350" s="0" t="n">
        <f aca="false">IF(OR($G$1="",资金日记账!$E343="",资金日记账!$E343&lt;&gt;$G$1),0,IF(NOT(OR(N(资金日记账!$H343)&lt;&gt;0,N(资金日记账!$I343)&lt;&gt;0)),0,IF(资金日记账!$B343="",1,IF(OR(N(资金日记账!$B343)&lt;$H$1,N(资金日记账!$B343)&gt;$I$1),0,1))))</f>
        <v>0</v>
      </c>
      <c r="H350" s="0" t="n">
        <f aca="false">N(H349)+$G350</f>
        <v>3</v>
      </c>
      <c r="I350" s="0" t="str">
        <f aca="false">IF($G350=0,"",IF(资金日记账!$B343=0,"",资金日记账!$B343))</f>
        <v/>
      </c>
      <c r="J350" s="0" t="str">
        <f aca="false">IF($G350=0,"",IF(资金日记账!$D343=0,"",资金日记账!$D343))</f>
        <v/>
      </c>
      <c r="K350" s="0" t="str">
        <f aca="false">IF($G350=0,"",IF(""=0,"",""))</f>
        <v/>
      </c>
      <c r="L350" s="0" t="str">
        <f aca="false">IF($G350=0,"",IF(""=0,"",""))</f>
        <v/>
      </c>
      <c r="M350" s="0" t="str">
        <f aca="false">IF($G350=0,"",IF(""=0,"",""))</f>
        <v/>
      </c>
      <c r="N350" s="0" t="str">
        <f aca="false">IF($G350=0,"",IF(IF(N(资金日记账!$I343)=0,"",-ROUND(N(资金日记账!$I343),2))=0,"",IF(N(资金日记账!$I343)=0,"",-ROUND(N(资金日记账!$I343),2))))</f>
        <v/>
      </c>
      <c r="O350" s="0" t="str">
        <f aca="false">IF($G350=0,"",IF(IF(N(资金日记账!$H343)=0,"",ROUND(N(资金日记账!$H343),2))=0,"",IF(N(资金日记账!$H343)=0,"",ROUND(N(资金日记账!$H343),2))))</f>
        <v/>
      </c>
      <c r="P350" s="0" t="str">
        <f aca="false">IF($G350=0,"",IF(资金日记账!$L343=0,"",资金日记账!$L343))</f>
        <v/>
      </c>
      <c r="T350" s="0" t="str">
        <f aca="false">IF(资金日记账!$G350="","",资金日记账!$G350)</f>
        <v/>
      </c>
      <c r="U350" s="0" t="n">
        <f aca="false">IF(T350="",0,IF(MATCH(T350,$T$4:$T$903,0)=ROW()-3,1,0))</f>
        <v>0</v>
      </c>
      <c r="V350" s="0" t="n">
        <f aca="false">N(V349)+U350</f>
        <v>30</v>
      </c>
      <c r="AF350" s="0" t="str">
        <f aca="false">IF(OR(资金日记账!$E350="",N(资金日记账!$H350)=0),"",资金日记账!$E350)</f>
        <v/>
      </c>
      <c r="AG350" s="0" t="n">
        <f aca="false">IF(AF350="",0,IF(MATCH(AF350,$AF$4:$AF$603,0)=ROW()-3,1,0))</f>
        <v>0</v>
      </c>
      <c r="AH350" s="0" t="n">
        <f aca="false">N(AH349)+AG350</f>
        <v>5</v>
      </c>
    </row>
    <row r="351" customFormat="false" ht="13.5" hidden="false" customHeight="false" outlineLevel="0" collapsed="false">
      <c r="A351" s="0" t="str">
        <f aca="false">IF(资金日记账!$E49="","",资金日记账!$E49)</f>
        <v/>
      </c>
      <c r="B351" s="0" t="n">
        <f aca="false">IF(A351="",0,IF(MATCH(A351,$A$4:$A$1925,0)=ROW()-3,1,0))</f>
        <v>0</v>
      </c>
      <c r="C351" s="0" t="n">
        <f aca="false">N(C350)+B351</f>
        <v>6</v>
      </c>
      <c r="G351" s="0" t="n">
        <f aca="false">IF(OR($G$1="",资金日记账!$E344="",资金日记账!$E344&lt;&gt;$G$1),0,IF(NOT(OR(N(资金日记账!$H344)&lt;&gt;0,N(资金日记账!$I344)&lt;&gt;0)),0,IF(资金日记账!$B344="",1,IF(OR(N(资金日记账!$B344)&lt;$H$1,N(资金日记账!$B344)&gt;$I$1),0,1))))</f>
        <v>0</v>
      </c>
      <c r="H351" s="0" t="n">
        <f aca="false">N(H350)+$G351</f>
        <v>3</v>
      </c>
      <c r="I351" s="0" t="str">
        <f aca="false">IF($G351=0,"",IF(资金日记账!$B344=0,"",资金日记账!$B344))</f>
        <v/>
      </c>
      <c r="J351" s="0" t="str">
        <f aca="false">IF($G351=0,"",IF(资金日记账!$D344=0,"",资金日记账!$D344))</f>
        <v/>
      </c>
      <c r="K351" s="0" t="str">
        <f aca="false">IF($G351=0,"",IF(""=0,"",""))</f>
        <v/>
      </c>
      <c r="L351" s="0" t="str">
        <f aca="false">IF($G351=0,"",IF(""=0,"",""))</f>
        <v/>
      </c>
      <c r="M351" s="0" t="str">
        <f aca="false">IF($G351=0,"",IF(""=0,"",""))</f>
        <v/>
      </c>
      <c r="N351" s="0" t="str">
        <f aca="false">IF($G351=0,"",IF(IF(N(资金日记账!$I344)=0,"",-ROUND(N(资金日记账!$I344),2))=0,"",IF(N(资金日记账!$I344)=0,"",-ROUND(N(资金日记账!$I344),2))))</f>
        <v/>
      </c>
      <c r="O351" s="0" t="str">
        <f aca="false">IF($G351=0,"",IF(IF(N(资金日记账!$H344)=0,"",ROUND(N(资金日记账!$H344),2))=0,"",IF(N(资金日记账!$H344)=0,"",ROUND(N(资金日记账!$H344),2))))</f>
        <v/>
      </c>
      <c r="P351" s="0" t="str">
        <f aca="false">IF($G351=0,"",IF(资金日记账!$L344=0,"",资金日记账!$L344))</f>
        <v/>
      </c>
      <c r="T351" s="0" t="str">
        <f aca="false">IF(资金日记账!$G351="","",资金日记账!$G351)</f>
        <v/>
      </c>
      <c r="U351" s="0" t="n">
        <f aca="false">IF(T351="",0,IF(MATCH(T351,$T$4:$T$903,0)=ROW()-3,1,0))</f>
        <v>0</v>
      </c>
      <c r="V351" s="0" t="n">
        <f aca="false">N(V350)+U351</f>
        <v>30</v>
      </c>
      <c r="AF351" s="0" t="str">
        <f aca="false">IF(OR(资金日记账!$E351="",N(资金日记账!$H351)=0),"",资金日记账!$E351)</f>
        <v/>
      </c>
      <c r="AG351" s="0" t="n">
        <f aca="false">IF(AF351="",0,IF(MATCH(AF351,$AF$4:$AF$603,0)=ROW()-3,1,0))</f>
        <v>0</v>
      </c>
      <c r="AH351" s="0" t="n">
        <f aca="false">N(AH350)+AG351</f>
        <v>5</v>
      </c>
    </row>
    <row r="352" customFormat="false" ht="13.5" hidden="false" customHeight="false" outlineLevel="0" collapsed="false">
      <c r="A352" s="0" t="str">
        <f aca="false">IF(资金日记账!$E50="","",资金日记账!$E50)</f>
        <v/>
      </c>
      <c r="B352" s="0" t="n">
        <f aca="false">IF(A352="",0,IF(MATCH(A352,$A$4:$A$1925,0)=ROW()-3,1,0))</f>
        <v>0</v>
      </c>
      <c r="C352" s="0" t="n">
        <f aca="false">N(C351)+B352</f>
        <v>6</v>
      </c>
      <c r="G352" s="0" t="n">
        <f aca="false">IF(OR($G$1="",资金日记账!$E345="",资金日记账!$E345&lt;&gt;$G$1),0,IF(NOT(OR(N(资金日记账!$H345)&lt;&gt;0,N(资金日记账!$I345)&lt;&gt;0)),0,IF(资金日记账!$B345="",1,IF(OR(N(资金日记账!$B345)&lt;$H$1,N(资金日记账!$B345)&gt;$I$1),0,1))))</f>
        <v>0</v>
      </c>
      <c r="H352" s="0" t="n">
        <f aca="false">N(H351)+$G352</f>
        <v>3</v>
      </c>
      <c r="I352" s="0" t="str">
        <f aca="false">IF($G352=0,"",IF(资金日记账!$B345=0,"",资金日记账!$B345))</f>
        <v/>
      </c>
      <c r="J352" s="0" t="str">
        <f aca="false">IF($G352=0,"",IF(资金日记账!$D345=0,"",资金日记账!$D345))</f>
        <v/>
      </c>
      <c r="K352" s="0" t="str">
        <f aca="false">IF($G352=0,"",IF(""=0,"",""))</f>
        <v/>
      </c>
      <c r="L352" s="0" t="str">
        <f aca="false">IF($G352=0,"",IF(""=0,"",""))</f>
        <v/>
      </c>
      <c r="M352" s="0" t="str">
        <f aca="false">IF($G352=0,"",IF(""=0,"",""))</f>
        <v/>
      </c>
      <c r="N352" s="0" t="str">
        <f aca="false">IF($G352=0,"",IF(IF(N(资金日记账!$I345)=0,"",-ROUND(N(资金日记账!$I345),2))=0,"",IF(N(资金日记账!$I345)=0,"",-ROUND(N(资金日记账!$I345),2))))</f>
        <v/>
      </c>
      <c r="O352" s="0" t="str">
        <f aca="false">IF($G352=0,"",IF(IF(N(资金日记账!$H345)=0,"",ROUND(N(资金日记账!$H345),2))=0,"",IF(N(资金日记账!$H345)=0,"",ROUND(N(资金日记账!$H345),2))))</f>
        <v/>
      </c>
      <c r="P352" s="0" t="str">
        <f aca="false">IF($G352=0,"",IF(资金日记账!$L345=0,"",资金日记账!$L345))</f>
        <v/>
      </c>
      <c r="T352" s="0" t="str">
        <f aca="false">IF(资金日记账!$G352="","",资金日记账!$G352)</f>
        <v/>
      </c>
      <c r="U352" s="0" t="n">
        <f aca="false">IF(T352="",0,IF(MATCH(T352,$T$4:$T$903,0)=ROW()-3,1,0))</f>
        <v>0</v>
      </c>
      <c r="V352" s="0" t="n">
        <f aca="false">N(V351)+U352</f>
        <v>30</v>
      </c>
      <c r="AF352" s="0" t="str">
        <f aca="false">IF(OR(资金日记账!$E352="",N(资金日记账!$H352)=0),"",资金日记账!$E352)</f>
        <v/>
      </c>
      <c r="AG352" s="0" t="n">
        <f aca="false">IF(AF352="",0,IF(MATCH(AF352,$AF$4:$AF$603,0)=ROW()-3,1,0))</f>
        <v>0</v>
      </c>
      <c r="AH352" s="0" t="n">
        <f aca="false">N(AH351)+AG352</f>
        <v>5</v>
      </c>
    </row>
    <row r="353" customFormat="false" ht="13.5" hidden="false" customHeight="false" outlineLevel="0" collapsed="false">
      <c r="A353" s="0" t="str">
        <f aca="false">IF(资金日记账!$E51="","",资金日记账!$E51)</f>
        <v/>
      </c>
      <c r="B353" s="0" t="n">
        <f aca="false">IF(A353="",0,IF(MATCH(A353,$A$4:$A$1925,0)=ROW()-3,1,0))</f>
        <v>0</v>
      </c>
      <c r="C353" s="0" t="n">
        <f aca="false">N(C352)+B353</f>
        <v>6</v>
      </c>
      <c r="G353" s="0" t="n">
        <f aca="false">IF(OR($G$1="",资金日记账!$E346="",资金日记账!$E346&lt;&gt;$G$1),0,IF(NOT(OR(N(资金日记账!$H346)&lt;&gt;0,N(资金日记账!$I346)&lt;&gt;0)),0,IF(资金日记账!$B346="",1,IF(OR(N(资金日记账!$B346)&lt;$H$1,N(资金日记账!$B346)&gt;$I$1),0,1))))</f>
        <v>0</v>
      </c>
      <c r="H353" s="0" t="n">
        <f aca="false">N(H352)+$G353</f>
        <v>3</v>
      </c>
      <c r="I353" s="0" t="str">
        <f aca="false">IF($G353=0,"",IF(资金日记账!$B346=0,"",资金日记账!$B346))</f>
        <v/>
      </c>
      <c r="J353" s="0" t="str">
        <f aca="false">IF($G353=0,"",IF(资金日记账!$D346=0,"",资金日记账!$D346))</f>
        <v/>
      </c>
      <c r="K353" s="0" t="str">
        <f aca="false">IF($G353=0,"",IF(""=0,"",""))</f>
        <v/>
      </c>
      <c r="L353" s="0" t="str">
        <f aca="false">IF($G353=0,"",IF(""=0,"",""))</f>
        <v/>
      </c>
      <c r="M353" s="0" t="str">
        <f aca="false">IF($G353=0,"",IF(""=0,"",""))</f>
        <v/>
      </c>
      <c r="N353" s="0" t="str">
        <f aca="false">IF($G353=0,"",IF(IF(N(资金日记账!$I346)=0,"",-ROUND(N(资金日记账!$I346),2))=0,"",IF(N(资金日记账!$I346)=0,"",-ROUND(N(资金日记账!$I346),2))))</f>
        <v/>
      </c>
      <c r="O353" s="0" t="str">
        <f aca="false">IF($G353=0,"",IF(IF(N(资金日记账!$H346)=0,"",ROUND(N(资金日记账!$H346),2))=0,"",IF(N(资金日记账!$H346)=0,"",ROUND(N(资金日记账!$H346),2))))</f>
        <v/>
      </c>
      <c r="P353" s="0" t="str">
        <f aca="false">IF($G353=0,"",IF(资金日记账!$L346=0,"",资金日记账!$L346))</f>
        <v/>
      </c>
      <c r="T353" s="0" t="str">
        <f aca="false">IF(资金日记账!$G353="","",资金日记账!$G353)</f>
        <v/>
      </c>
      <c r="U353" s="0" t="n">
        <f aca="false">IF(T353="",0,IF(MATCH(T353,$T$4:$T$903,0)=ROW()-3,1,0))</f>
        <v>0</v>
      </c>
      <c r="V353" s="0" t="n">
        <f aca="false">N(V352)+U353</f>
        <v>30</v>
      </c>
      <c r="AF353" s="0" t="str">
        <f aca="false">IF(OR(资金日记账!$E353="",N(资金日记账!$H353)=0),"",资金日记账!$E353)</f>
        <v/>
      </c>
      <c r="AG353" s="0" t="n">
        <f aca="false">IF(AF353="",0,IF(MATCH(AF353,$AF$4:$AF$603,0)=ROW()-3,1,0))</f>
        <v>0</v>
      </c>
      <c r="AH353" s="0" t="n">
        <f aca="false">N(AH352)+AG353</f>
        <v>5</v>
      </c>
    </row>
    <row r="354" customFormat="false" ht="13.5" hidden="false" customHeight="false" outlineLevel="0" collapsed="false">
      <c r="A354" s="0" t="str">
        <f aca="false">IF(资金日记账!$E52="","",资金日记账!$E52)</f>
        <v/>
      </c>
      <c r="B354" s="0" t="n">
        <f aca="false">IF(A354="",0,IF(MATCH(A354,$A$4:$A$1925,0)=ROW()-3,1,0))</f>
        <v>0</v>
      </c>
      <c r="C354" s="0" t="n">
        <f aca="false">N(C353)+B354</f>
        <v>6</v>
      </c>
      <c r="G354" s="0" t="n">
        <f aca="false">IF(OR($G$1="",资金日记账!$E347="",资金日记账!$E347&lt;&gt;$G$1),0,IF(NOT(OR(N(资金日记账!$H347)&lt;&gt;0,N(资金日记账!$I347)&lt;&gt;0)),0,IF(资金日记账!$B347="",1,IF(OR(N(资金日记账!$B347)&lt;$H$1,N(资金日记账!$B347)&gt;$I$1),0,1))))</f>
        <v>0</v>
      </c>
      <c r="H354" s="0" t="n">
        <f aca="false">N(H353)+$G354</f>
        <v>3</v>
      </c>
      <c r="I354" s="0" t="str">
        <f aca="false">IF($G354=0,"",IF(资金日记账!$B347=0,"",资金日记账!$B347))</f>
        <v/>
      </c>
      <c r="J354" s="0" t="str">
        <f aca="false">IF($G354=0,"",IF(资金日记账!$D347=0,"",资金日记账!$D347))</f>
        <v/>
      </c>
      <c r="K354" s="0" t="str">
        <f aca="false">IF($G354=0,"",IF(""=0,"",""))</f>
        <v/>
      </c>
      <c r="L354" s="0" t="str">
        <f aca="false">IF($G354=0,"",IF(""=0,"",""))</f>
        <v/>
      </c>
      <c r="M354" s="0" t="str">
        <f aca="false">IF($G354=0,"",IF(""=0,"",""))</f>
        <v/>
      </c>
      <c r="N354" s="0" t="str">
        <f aca="false">IF($G354=0,"",IF(IF(N(资金日记账!$I347)=0,"",-ROUND(N(资金日记账!$I347),2))=0,"",IF(N(资金日记账!$I347)=0,"",-ROUND(N(资金日记账!$I347),2))))</f>
        <v/>
      </c>
      <c r="O354" s="0" t="str">
        <f aca="false">IF($G354=0,"",IF(IF(N(资金日记账!$H347)=0,"",ROUND(N(资金日记账!$H347),2))=0,"",IF(N(资金日记账!$H347)=0,"",ROUND(N(资金日记账!$H347),2))))</f>
        <v/>
      </c>
      <c r="P354" s="0" t="str">
        <f aca="false">IF($G354=0,"",IF(资金日记账!$L347=0,"",资金日记账!$L347))</f>
        <v/>
      </c>
      <c r="T354" s="0" t="str">
        <f aca="false">IF(资金日记账!$G354="","",资金日记账!$G354)</f>
        <v/>
      </c>
      <c r="U354" s="0" t="n">
        <f aca="false">IF(T354="",0,IF(MATCH(T354,$T$4:$T$903,0)=ROW()-3,1,0))</f>
        <v>0</v>
      </c>
      <c r="V354" s="0" t="n">
        <f aca="false">N(V353)+U354</f>
        <v>30</v>
      </c>
      <c r="AF354" s="0" t="str">
        <f aca="false">IF(OR(资金日记账!$E354="",N(资金日记账!$H354)=0),"",资金日记账!$E354)</f>
        <v/>
      </c>
      <c r="AG354" s="0" t="n">
        <f aca="false">IF(AF354="",0,IF(MATCH(AF354,$AF$4:$AF$603,0)=ROW()-3,1,0))</f>
        <v>0</v>
      </c>
      <c r="AH354" s="0" t="n">
        <f aca="false">N(AH353)+AG354</f>
        <v>5</v>
      </c>
    </row>
    <row r="355" customFormat="false" ht="13.5" hidden="false" customHeight="false" outlineLevel="0" collapsed="false">
      <c r="A355" s="0" t="str">
        <f aca="false">IF(资金日记账!$E53="","",资金日记账!$E53)</f>
        <v/>
      </c>
      <c r="B355" s="0" t="n">
        <f aca="false">IF(A355="",0,IF(MATCH(A355,$A$4:$A$1925,0)=ROW()-3,1,0))</f>
        <v>0</v>
      </c>
      <c r="C355" s="0" t="n">
        <f aca="false">N(C354)+B355</f>
        <v>6</v>
      </c>
      <c r="G355" s="0" t="n">
        <f aca="false">IF(OR($G$1="",资金日记账!$E348="",资金日记账!$E348&lt;&gt;$G$1),0,IF(NOT(OR(N(资金日记账!$H348)&lt;&gt;0,N(资金日记账!$I348)&lt;&gt;0)),0,IF(资金日记账!$B348="",1,IF(OR(N(资金日记账!$B348)&lt;$H$1,N(资金日记账!$B348)&gt;$I$1),0,1))))</f>
        <v>0</v>
      </c>
      <c r="H355" s="0" t="n">
        <f aca="false">N(H354)+$G355</f>
        <v>3</v>
      </c>
      <c r="I355" s="0" t="str">
        <f aca="false">IF($G355=0,"",IF(资金日记账!$B348=0,"",资金日记账!$B348))</f>
        <v/>
      </c>
      <c r="J355" s="0" t="str">
        <f aca="false">IF($G355=0,"",IF(资金日记账!$D348=0,"",资金日记账!$D348))</f>
        <v/>
      </c>
      <c r="K355" s="0" t="str">
        <f aca="false">IF($G355=0,"",IF(""=0,"",""))</f>
        <v/>
      </c>
      <c r="L355" s="0" t="str">
        <f aca="false">IF($G355=0,"",IF(""=0,"",""))</f>
        <v/>
      </c>
      <c r="M355" s="0" t="str">
        <f aca="false">IF($G355=0,"",IF(""=0,"",""))</f>
        <v/>
      </c>
      <c r="N355" s="0" t="str">
        <f aca="false">IF($G355=0,"",IF(IF(N(资金日记账!$I348)=0,"",-ROUND(N(资金日记账!$I348),2))=0,"",IF(N(资金日记账!$I348)=0,"",-ROUND(N(资金日记账!$I348),2))))</f>
        <v/>
      </c>
      <c r="O355" s="0" t="str">
        <f aca="false">IF($G355=0,"",IF(IF(N(资金日记账!$H348)=0,"",ROUND(N(资金日记账!$H348),2))=0,"",IF(N(资金日记账!$H348)=0,"",ROUND(N(资金日记账!$H348),2))))</f>
        <v/>
      </c>
      <c r="P355" s="0" t="str">
        <f aca="false">IF($G355=0,"",IF(资金日记账!$L348=0,"",资金日记账!$L348))</f>
        <v/>
      </c>
      <c r="T355" s="0" t="str">
        <f aca="false">IF(资金日记账!$G355="","",资金日记账!$G355)</f>
        <v/>
      </c>
      <c r="U355" s="0" t="n">
        <f aca="false">IF(T355="",0,IF(MATCH(T355,$T$4:$T$903,0)=ROW()-3,1,0))</f>
        <v>0</v>
      </c>
      <c r="V355" s="0" t="n">
        <f aca="false">N(V354)+U355</f>
        <v>30</v>
      </c>
      <c r="AF355" s="0" t="str">
        <f aca="false">IF(OR(资金日记账!$E355="",N(资金日记账!$H355)=0),"",资金日记账!$E355)</f>
        <v/>
      </c>
      <c r="AG355" s="0" t="n">
        <f aca="false">IF(AF355="",0,IF(MATCH(AF355,$AF$4:$AF$603,0)=ROW()-3,1,0))</f>
        <v>0</v>
      </c>
      <c r="AH355" s="0" t="n">
        <f aca="false">N(AH354)+AG355</f>
        <v>5</v>
      </c>
    </row>
    <row r="356" customFormat="false" ht="13.5" hidden="false" customHeight="false" outlineLevel="0" collapsed="false">
      <c r="A356" s="0" t="str">
        <f aca="false">IF(资金日记账!$E54="","",资金日记账!$E54)</f>
        <v/>
      </c>
      <c r="B356" s="0" t="n">
        <f aca="false">IF(A356="",0,IF(MATCH(A356,$A$4:$A$1925,0)=ROW()-3,1,0))</f>
        <v>0</v>
      </c>
      <c r="C356" s="0" t="n">
        <f aca="false">N(C355)+B356</f>
        <v>6</v>
      </c>
      <c r="G356" s="0" t="n">
        <f aca="false">IF(OR($G$1="",资金日记账!$E349="",资金日记账!$E349&lt;&gt;$G$1),0,IF(NOT(OR(N(资金日记账!$H349)&lt;&gt;0,N(资金日记账!$I349)&lt;&gt;0)),0,IF(资金日记账!$B349="",1,IF(OR(N(资金日记账!$B349)&lt;$H$1,N(资金日记账!$B349)&gt;$I$1),0,1))))</f>
        <v>0</v>
      </c>
      <c r="H356" s="0" t="n">
        <f aca="false">N(H355)+$G356</f>
        <v>3</v>
      </c>
      <c r="I356" s="0" t="str">
        <f aca="false">IF($G356=0,"",IF(资金日记账!$B349=0,"",资金日记账!$B349))</f>
        <v/>
      </c>
      <c r="J356" s="0" t="str">
        <f aca="false">IF($G356=0,"",IF(资金日记账!$D349=0,"",资金日记账!$D349))</f>
        <v/>
      </c>
      <c r="K356" s="0" t="str">
        <f aca="false">IF($G356=0,"",IF(""=0,"",""))</f>
        <v/>
      </c>
      <c r="L356" s="0" t="str">
        <f aca="false">IF($G356=0,"",IF(""=0,"",""))</f>
        <v/>
      </c>
      <c r="M356" s="0" t="str">
        <f aca="false">IF($G356=0,"",IF(""=0,"",""))</f>
        <v/>
      </c>
      <c r="N356" s="0" t="str">
        <f aca="false">IF($G356=0,"",IF(IF(N(资金日记账!$I349)=0,"",-ROUND(N(资金日记账!$I349),2))=0,"",IF(N(资金日记账!$I349)=0,"",-ROUND(N(资金日记账!$I349),2))))</f>
        <v/>
      </c>
      <c r="O356" s="0" t="str">
        <f aca="false">IF($G356=0,"",IF(IF(N(资金日记账!$H349)=0,"",ROUND(N(资金日记账!$H349),2))=0,"",IF(N(资金日记账!$H349)=0,"",ROUND(N(资金日记账!$H349),2))))</f>
        <v/>
      </c>
      <c r="P356" s="0" t="str">
        <f aca="false">IF($G356=0,"",IF(资金日记账!$L349=0,"",资金日记账!$L349))</f>
        <v/>
      </c>
      <c r="T356" s="0" t="str">
        <f aca="false">IF(资金日记账!$G356="","",资金日记账!$G356)</f>
        <v/>
      </c>
      <c r="U356" s="0" t="n">
        <f aca="false">IF(T356="",0,IF(MATCH(T356,$T$4:$T$903,0)=ROW()-3,1,0))</f>
        <v>0</v>
      </c>
      <c r="V356" s="0" t="n">
        <f aca="false">N(V355)+U356</f>
        <v>30</v>
      </c>
      <c r="AF356" s="0" t="str">
        <f aca="false">IF(OR(资金日记账!$E356="",N(资金日记账!$H356)=0),"",资金日记账!$E356)</f>
        <v/>
      </c>
      <c r="AG356" s="0" t="n">
        <f aca="false">IF(AF356="",0,IF(MATCH(AF356,$AF$4:$AF$603,0)=ROW()-3,1,0))</f>
        <v>0</v>
      </c>
      <c r="AH356" s="0" t="n">
        <f aca="false">N(AH355)+AG356</f>
        <v>5</v>
      </c>
    </row>
    <row r="357" customFormat="false" ht="13.5" hidden="false" customHeight="false" outlineLevel="0" collapsed="false">
      <c r="A357" s="0" t="str">
        <f aca="false">IF(资金日记账!$E55="","",资金日记账!$E55)</f>
        <v>伍元虎</v>
      </c>
      <c r="B357" s="0" t="n">
        <f aca="false">IF(A357="",0,IF(MATCH(A357,$A$4:$A$1925,0)=ROW()-3,1,0))</f>
        <v>1</v>
      </c>
      <c r="C357" s="0" t="n">
        <f aca="false">N(C356)+B357</f>
        <v>7</v>
      </c>
      <c r="G357" s="0" t="n">
        <f aca="false">IF(OR($G$1="",资金日记账!$E350="",资金日记账!$E350&lt;&gt;$G$1),0,IF(NOT(OR(N(资金日记账!$H350)&lt;&gt;0,N(资金日记账!$I350)&lt;&gt;0)),0,IF(资金日记账!$B350="",1,IF(OR(N(资金日记账!$B350)&lt;$H$1,N(资金日记账!$B350)&gt;$I$1),0,1))))</f>
        <v>0</v>
      </c>
      <c r="H357" s="0" t="n">
        <f aca="false">N(H356)+$G357</f>
        <v>3</v>
      </c>
      <c r="I357" s="0" t="str">
        <f aca="false">IF($G357=0,"",IF(资金日记账!$B350=0,"",资金日记账!$B350))</f>
        <v/>
      </c>
      <c r="J357" s="0" t="str">
        <f aca="false">IF($G357=0,"",IF(资金日记账!$D350=0,"",资金日记账!$D350))</f>
        <v/>
      </c>
      <c r="K357" s="0" t="str">
        <f aca="false">IF($G357=0,"",IF(""=0,"",""))</f>
        <v/>
      </c>
      <c r="L357" s="0" t="str">
        <f aca="false">IF($G357=0,"",IF(""=0,"",""))</f>
        <v/>
      </c>
      <c r="M357" s="0" t="str">
        <f aca="false">IF($G357=0,"",IF(""=0,"",""))</f>
        <v/>
      </c>
      <c r="N357" s="0" t="str">
        <f aca="false">IF($G357=0,"",IF(IF(N(资金日记账!$I350)=0,"",-ROUND(N(资金日记账!$I350),2))=0,"",IF(N(资金日记账!$I350)=0,"",-ROUND(N(资金日记账!$I350),2))))</f>
        <v/>
      </c>
      <c r="O357" s="0" t="str">
        <f aca="false">IF($G357=0,"",IF(IF(N(资金日记账!$H350)=0,"",ROUND(N(资金日记账!$H350),2))=0,"",IF(N(资金日记账!$H350)=0,"",ROUND(N(资金日记账!$H350),2))))</f>
        <v/>
      </c>
      <c r="P357" s="0" t="str">
        <f aca="false">IF($G357=0,"",IF(资金日记账!$L350=0,"",资金日记账!$L350))</f>
        <v/>
      </c>
      <c r="T357" s="0" t="str">
        <f aca="false">IF(资金日记账!$G357="","",资金日记账!$G357)</f>
        <v/>
      </c>
      <c r="U357" s="0" t="n">
        <f aca="false">IF(T357="",0,IF(MATCH(T357,$T$4:$T$903,0)=ROW()-3,1,0))</f>
        <v>0</v>
      </c>
      <c r="V357" s="0" t="n">
        <f aca="false">N(V356)+U357</f>
        <v>30</v>
      </c>
      <c r="AF357" s="0" t="str">
        <f aca="false">IF(OR(资金日记账!$E357="",N(资金日记账!$H357)=0),"",资金日记账!$E357)</f>
        <v/>
      </c>
      <c r="AG357" s="0" t="n">
        <f aca="false">IF(AF357="",0,IF(MATCH(AF357,$AF$4:$AF$603,0)=ROW()-3,1,0))</f>
        <v>0</v>
      </c>
      <c r="AH357" s="0" t="n">
        <f aca="false">N(AH356)+AG357</f>
        <v>5</v>
      </c>
    </row>
    <row r="358" customFormat="false" ht="13.5" hidden="false" customHeight="false" outlineLevel="0" collapsed="false">
      <c r="A358" s="0" t="str">
        <f aca="false">IF(资金日记账!$E56="","",资金日记账!$E56)</f>
        <v/>
      </c>
      <c r="B358" s="0" t="n">
        <f aca="false">IF(A358="",0,IF(MATCH(A358,$A$4:$A$1925,0)=ROW()-3,1,0))</f>
        <v>0</v>
      </c>
      <c r="C358" s="0" t="n">
        <f aca="false">N(C357)+B358</f>
        <v>7</v>
      </c>
      <c r="G358" s="0" t="n">
        <f aca="false">IF(OR($G$1="",资金日记账!$E351="",资金日记账!$E351&lt;&gt;$G$1),0,IF(NOT(OR(N(资金日记账!$H351)&lt;&gt;0,N(资金日记账!$I351)&lt;&gt;0)),0,IF(资金日记账!$B351="",1,IF(OR(N(资金日记账!$B351)&lt;$H$1,N(资金日记账!$B351)&gt;$I$1),0,1))))</f>
        <v>0</v>
      </c>
      <c r="H358" s="0" t="n">
        <f aca="false">N(H357)+$G358</f>
        <v>3</v>
      </c>
      <c r="I358" s="0" t="str">
        <f aca="false">IF($G358=0,"",IF(资金日记账!$B351=0,"",资金日记账!$B351))</f>
        <v/>
      </c>
      <c r="J358" s="0" t="str">
        <f aca="false">IF($G358=0,"",IF(资金日记账!$D351=0,"",资金日记账!$D351))</f>
        <v/>
      </c>
      <c r="K358" s="0" t="str">
        <f aca="false">IF($G358=0,"",IF(""=0,"",""))</f>
        <v/>
      </c>
      <c r="L358" s="0" t="str">
        <f aca="false">IF($G358=0,"",IF(""=0,"",""))</f>
        <v/>
      </c>
      <c r="M358" s="0" t="str">
        <f aca="false">IF($G358=0,"",IF(""=0,"",""))</f>
        <v/>
      </c>
      <c r="N358" s="0" t="str">
        <f aca="false">IF($G358=0,"",IF(IF(N(资金日记账!$I351)=0,"",-ROUND(N(资金日记账!$I351),2))=0,"",IF(N(资金日记账!$I351)=0,"",-ROUND(N(资金日记账!$I351),2))))</f>
        <v/>
      </c>
      <c r="O358" s="0" t="str">
        <f aca="false">IF($G358=0,"",IF(IF(N(资金日记账!$H351)=0,"",ROUND(N(资金日记账!$H351),2))=0,"",IF(N(资金日记账!$H351)=0,"",ROUND(N(资金日记账!$H351),2))))</f>
        <v/>
      </c>
      <c r="P358" s="0" t="str">
        <f aca="false">IF($G358=0,"",IF(资金日记账!$L351=0,"",资金日记账!$L351))</f>
        <v/>
      </c>
      <c r="T358" s="0" t="str">
        <f aca="false">IF(资金日记账!$G358="","",资金日记账!$G358)</f>
        <v/>
      </c>
      <c r="U358" s="0" t="n">
        <f aca="false">IF(T358="",0,IF(MATCH(T358,$T$4:$T$903,0)=ROW()-3,1,0))</f>
        <v>0</v>
      </c>
      <c r="V358" s="0" t="n">
        <f aca="false">N(V357)+U358</f>
        <v>30</v>
      </c>
      <c r="AF358" s="0" t="str">
        <f aca="false">IF(OR(资金日记账!$E358="",N(资金日记账!$H358)=0),"",资金日记账!$E358)</f>
        <v/>
      </c>
      <c r="AG358" s="0" t="n">
        <f aca="false">IF(AF358="",0,IF(MATCH(AF358,$AF$4:$AF$603,0)=ROW()-3,1,0))</f>
        <v>0</v>
      </c>
      <c r="AH358" s="0" t="n">
        <f aca="false">N(AH357)+AG358</f>
        <v>5</v>
      </c>
    </row>
    <row r="359" customFormat="false" ht="13.5" hidden="false" customHeight="false" outlineLevel="0" collapsed="false">
      <c r="A359" s="0" t="str">
        <f aca="false">IF(资金日记账!$E57="","",资金日记账!$E57)</f>
        <v>吐尔逊</v>
      </c>
      <c r="B359" s="0" t="n">
        <f aca="false">IF(A359="",0,IF(MATCH(A359,$A$4:$A$1925,0)=ROW()-3,1,0))</f>
        <v>1</v>
      </c>
      <c r="C359" s="0" t="n">
        <f aca="false">N(C358)+B359</f>
        <v>8</v>
      </c>
      <c r="G359" s="0" t="n">
        <f aca="false">IF(OR($G$1="",资金日记账!$E352="",资金日记账!$E352&lt;&gt;$G$1),0,IF(NOT(OR(N(资金日记账!$H352)&lt;&gt;0,N(资金日记账!$I352)&lt;&gt;0)),0,IF(资金日记账!$B352="",1,IF(OR(N(资金日记账!$B352)&lt;$H$1,N(资金日记账!$B352)&gt;$I$1),0,1))))</f>
        <v>0</v>
      </c>
      <c r="H359" s="0" t="n">
        <f aca="false">N(H358)+$G359</f>
        <v>3</v>
      </c>
      <c r="I359" s="0" t="str">
        <f aca="false">IF($G359=0,"",IF(资金日记账!$B352=0,"",资金日记账!$B352))</f>
        <v/>
      </c>
      <c r="J359" s="0" t="str">
        <f aca="false">IF($G359=0,"",IF(资金日记账!$D352=0,"",资金日记账!$D352))</f>
        <v/>
      </c>
      <c r="K359" s="0" t="str">
        <f aca="false">IF($G359=0,"",IF(""=0,"",""))</f>
        <v/>
      </c>
      <c r="L359" s="0" t="str">
        <f aca="false">IF($G359=0,"",IF(""=0,"",""))</f>
        <v/>
      </c>
      <c r="M359" s="0" t="str">
        <f aca="false">IF($G359=0,"",IF(""=0,"",""))</f>
        <v/>
      </c>
      <c r="N359" s="0" t="str">
        <f aca="false">IF($G359=0,"",IF(IF(N(资金日记账!$I352)=0,"",-ROUND(N(资金日记账!$I352),2))=0,"",IF(N(资金日记账!$I352)=0,"",-ROUND(N(资金日记账!$I352),2))))</f>
        <v/>
      </c>
      <c r="O359" s="0" t="str">
        <f aca="false">IF($G359=0,"",IF(IF(N(资金日记账!$H352)=0,"",ROUND(N(资金日记账!$H352),2))=0,"",IF(N(资金日记账!$H352)=0,"",ROUND(N(资金日记账!$H352),2))))</f>
        <v/>
      </c>
      <c r="P359" s="0" t="str">
        <f aca="false">IF($G359=0,"",IF(资金日记账!$L352=0,"",资金日记账!$L352))</f>
        <v/>
      </c>
      <c r="T359" s="0" t="str">
        <f aca="false">IF(资金日记账!$G359="","",资金日记账!$G359)</f>
        <v/>
      </c>
      <c r="U359" s="0" t="n">
        <f aca="false">IF(T359="",0,IF(MATCH(T359,$T$4:$T$903,0)=ROW()-3,1,0))</f>
        <v>0</v>
      </c>
      <c r="V359" s="0" t="n">
        <f aca="false">N(V358)+U359</f>
        <v>30</v>
      </c>
      <c r="AF359" s="0" t="str">
        <f aca="false">IF(OR(资金日记账!$E359="",N(资金日记账!$H359)=0),"",资金日记账!$E359)</f>
        <v/>
      </c>
      <c r="AG359" s="0" t="n">
        <f aca="false">IF(AF359="",0,IF(MATCH(AF359,$AF$4:$AF$603,0)=ROW()-3,1,0))</f>
        <v>0</v>
      </c>
      <c r="AH359" s="0" t="n">
        <f aca="false">N(AH358)+AG359</f>
        <v>5</v>
      </c>
    </row>
    <row r="360" customFormat="false" ht="13.5" hidden="false" customHeight="false" outlineLevel="0" collapsed="false">
      <c r="A360" s="0" t="str">
        <f aca="false">IF(资金日记账!$E58="","",资金日记账!$E58)</f>
        <v/>
      </c>
      <c r="B360" s="0" t="n">
        <f aca="false">IF(A360="",0,IF(MATCH(A360,$A$4:$A$1925,0)=ROW()-3,1,0))</f>
        <v>0</v>
      </c>
      <c r="C360" s="0" t="n">
        <f aca="false">N(C359)+B360</f>
        <v>8</v>
      </c>
      <c r="G360" s="0" t="n">
        <f aca="false">IF(OR($G$1="",资金日记账!$E353="",资金日记账!$E353&lt;&gt;$G$1),0,IF(NOT(OR(N(资金日记账!$H353)&lt;&gt;0,N(资金日记账!$I353)&lt;&gt;0)),0,IF(资金日记账!$B353="",1,IF(OR(N(资金日记账!$B353)&lt;$H$1,N(资金日记账!$B353)&gt;$I$1),0,1))))</f>
        <v>0</v>
      </c>
      <c r="H360" s="0" t="n">
        <f aca="false">N(H359)+$G360</f>
        <v>3</v>
      </c>
      <c r="I360" s="0" t="str">
        <f aca="false">IF($G360=0,"",IF(资金日记账!$B353=0,"",资金日记账!$B353))</f>
        <v/>
      </c>
      <c r="J360" s="0" t="str">
        <f aca="false">IF($G360=0,"",IF(资金日记账!$D353=0,"",资金日记账!$D353))</f>
        <v/>
      </c>
      <c r="K360" s="0" t="str">
        <f aca="false">IF($G360=0,"",IF(""=0,"",""))</f>
        <v/>
      </c>
      <c r="L360" s="0" t="str">
        <f aca="false">IF($G360=0,"",IF(""=0,"",""))</f>
        <v/>
      </c>
      <c r="M360" s="0" t="str">
        <f aca="false">IF($G360=0,"",IF(""=0,"",""))</f>
        <v/>
      </c>
      <c r="N360" s="0" t="str">
        <f aca="false">IF($G360=0,"",IF(IF(N(资金日记账!$I353)=0,"",-ROUND(N(资金日记账!$I353),2))=0,"",IF(N(资金日记账!$I353)=0,"",-ROUND(N(资金日记账!$I353),2))))</f>
        <v/>
      </c>
      <c r="O360" s="0" t="str">
        <f aca="false">IF($G360=0,"",IF(IF(N(资金日记账!$H353)=0,"",ROUND(N(资金日记账!$H353),2))=0,"",IF(N(资金日记账!$H353)=0,"",ROUND(N(资金日记账!$H353),2))))</f>
        <v/>
      </c>
      <c r="P360" s="0" t="str">
        <f aca="false">IF($G360=0,"",IF(资金日记账!$L353=0,"",资金日记账!$L353))</f>
        <v/>
      </c>
      <c r="T360" s="0" t="str">
        <f aca="false">IF(资金日记账!$G360="","",资金日记账!$G360)</f>
        <v/>
      </c>
      <c r="U360" s="0" t="n">
        <f aca="false">IF(T360="",0,IF(MATCH(T360,$T$4:$T$903,0)=ROW()-3,1,0))</f>
        <v>0</v>
      </c>
      <c r="V360" s="0" t="n">
        <f aca="false">N(V359)+U360</f>
        <v>30</v>
      </c>
      <c r="AF360" s="0" t="str">
        <f aca="false">IF(OR(资金日记账!$E360="",N(资金日记账!$H360)=0),"",资金日记账!$E360)</f>
        <v/>
      </c>
      <c r="AG360" s="0" t="n">
        <f aca="false">IF(AF360="",0,IF(MATCH(AF360,$AF$4:$AF$603,0)=ROW()-3,1,0))</f>
        <v>0</v>
      </c>
      <c r="AH360" s="0" t="n">
        <f aca="false">N(AH359)+AG360</f>
        <v>5</v>
      </c>
    </row>
    <row r="361" customFormat="false" ht="13.5" hidden="false" customHeight="false" outlineLevel="0" collapsed="false">
      <c r="A361" s="0" t="str">
        <f aca="false">IF(资金日记账!$E59="","",资金日记账!$E59)</f>
        <v/>
      </c>
      <c r="B361" s="0" t="n">
        <f aca="false">IF(A361="",0,IF(MATCH(A361,$A$4:$A$1925,0)=ROW()-3,1,0))</f>
        <v>0</v>
      </c>
      <c r="C361" s="0" t="n">
        <f aca="false">N(C360)+B361</f>
        <v>8</v>
      </c>
      <c r="G361" s="0" t="n">
        <f aca="false">IF(OR($G$1="",资金日记账!$E354="",资金日记账!$E354&lt;&gt;$G$1),0,IF(NOT(OR(N(资金日记账!$H354)&lt;&gt;0,N(资金日记账!$I354)&lt;&gt;0)),0,IF(资金日记账!$B354="",1,IF(OR(N(资金日记账!$B354)&lt;$H$1,N(资金日记账!$B354)&gt;$I$1),0,1))))</f>
        <v>0</v>
      </c>
      <c r="H361" s="0" t="n">
        <f aca="false">N(H360)+$G361</f>
        <v>3</v>
      </c>
      <c r="I361" s="0" t="str">
        <f aca="false">IF($G361=0,"",IF(资金日记账!$B354=0,"",资金日记账!$B354))</f>
        <v/>
      </c>
      <c r="J361" s="0" t="str">
        <f aca="false">IF($G361=0,"",IF(资金日记账!$D354=0,"",资金日记账!$D354))</f>
        <v/>
      </c>
      <c r="K361" s="0" t="str">
        <f aca="false">IF($G361=0,"",IF(""=0,"",""))</f>
        <v/>
      </c>
      <c r="L361" s="0" t="str">
        <f aca="false">IF($G361=0,"",IF(""=0,"",""))</f>
        <v/>
      </c>
      <c r="M361" s="0" t="str">
        <f aca="false">IF($G361=0,"",IF(""=0,"",""))</f>
        <v/>
      </c>
      <c r="N361" s="0" t="str">
        <f aca="false">IF($G361=0,"",IF(IF(N(资金日记账!$I354)=0,"",-ROUND(N(资金日记账!$I354),2))=0,"",IF(N(资金日记账!$I354)=0,"",-ROUND(N(资金日记账!$I354),2))))</f>
        <v/>
      </c>
      <c r="O361" s="0" t="str">
        <f aca="false">IF($G361=0,"",IF(IF(N(资金日记账!$H354)=0,"",ROUND(N(资金日记账!$H354),2))=0,"",IF(N(资金日记账!$H354)=0,"",ROUND(N(资金日记账!$H354),2))))</f>
        <v/>
      </c>
      <c r="P361" s="0" t="str">
        <f aca="false">IF($G361=0,"",IF(资金日记账!$L354=0,"",资金日记账!$L354))</f>
        <v/>
      </c>
      <c r="T361" s="0" t="str">
        <f aca="false">IF(资金日记账!$G361="","",资金日记账!$G361)</f>
        <v/>
      </c>
      <c r="U361" s="0" t="n">
        <f aca="false">IF(T361="",0,IF(MATCH(T361,$T$4:$T$903,0)=ROW()-3,1,0))</f>
        <v>0</v>
      </c>
      <c r="V361" s="0" t="n">
        <f aca="false">N(V360)+U361</f>
        <v>30</v>
      </c>
      <c r="AF361" s="0" t="str">
        <f aca="false">IF(OR(资金日记账!$E361="",N(资金日记账!$H361)=0),"",资金日记账!$E361)</f>
        <v/>
      </c>
      <c r="AG361" s="0" t="n">
        <f aca="false">IF(AF361="",0,IF(MATCH(AF361,$AF$4:$AF$603,0)=ROW()-3,1,0))</f>
        <v>0</v>
      </c>
      <c r="AH361" s="0" t="n">
        <f aca="false">N(AH360)+AG361</f>
        <v>5</v>
      </c>
    </row>
    <row r="362" customFormat="false" ht="13.5" hidden="false" customHeight="false" outlineLevel="0" collapsed="false">
      <c r="A362" s="0" t="str">
        <f aca="false">IF(资金日记账!$E60="","",资金日记账!$E60)</f>
        <v/>
      </c>
      <c r="B362" s="0" t="n">
        <f aca="false">IF(A362="",0,IF(MATCH(A362,$A$4:$A$1925,0)=ROW()-3,1,0))</f>
        <v>0</v>
      </c>
      <c r="C362" s="0" t="n">
        <f aca="false">N(C361)+B362</f>
        <v>8</v>
      </c>
      <c r="G362" s="0" t="n">
        <f aca="false">IF(OR($G$1="",资金日记账!$E355="",资金日记账!$E355&lt;&gt;$G$1),0,IF(NOT(OR(N(资金日记账!$H355)&lt;&gt;0,N(资金日记账!$I355)&lt;&gt;0)),0,IF(资金日记账!$B355="",1,IF(OR(N(资金日记账!$B355)&lt;$H$1,N(资金日记账!$B355)&gt;$I$1),0,1))))</f>
        <v>0</v>
      </c>
      <c r="H362" s="0" t="n">
        <f aca="false">N(H361)+$G362</f>
        <v>3</v>
      </c>
      <c r="I362" s="0" t="str">
        <f aca="false">IF($G362=0,"",IF(资金日记账!$B355=0,"",资金日记账!$B355))</f>
        <v/>
      </c>
      <c r="J362" s="0" t="str">
        <f aca="false">IF($G362=0,"",IF(资金日记账!$D355=0,"",资金日记账!$D355))</f>
        <v/>
      </c>
      <c r="K362" s="0" t="str">
        <f aca="false">IF($G362=0,"",IF(""=0,"",""))</f>
        <v/>
      </c>
      <c r="L362" s="0" t="str">
        <f aca="false">IF($G362=0,"",IF(""=0,"",""))</f>
        <v/>
      </c>
      <c r="M362" s="0" t="str">
        <f aca="false">IF($G362=0,"",IF(""=0,"",""))</f>
        <v/>
      </c>
      <c r="N362" s="0" t="str">
        <f aca="false">IF($G362=0,"",IF(IF(N(资金日记账!$I355)=0,"",-ROUND(N(资金日记账!$I355),2))=0,"",IF(N(资金日记账!$I355)=0,"",-ROUND(N(资金日记账!$I355),2))))</f>
        <v/>
      </c>
      <c r="O362" s="0" t="str">
        <f aca="false">IF($G362=0,"",IF(IF(N(资金日记账!$H355)=0,"",ROUND(N(资金日记账!$H355),2))=0,"",IF(N(资金日记账!$H355)=0,"",ROUND(N(资金日记账!$H355),2))))</f>
        <v/>
      </c>
      <c r="P362" s="0" t="str">
        <f aca="false">IF($G362=0,"",IF(资金日记账!$L355=0,"",资金日记账!$L355))</f>
        <v/>
      </c>
      <c r="T362" s="0" t="str">
        <f aca="false">IF(资金日记账!$G362="","",资金日记账!$G362)</f>
        <v/>
      </c>
      <c r="U362" s="0" t="n">
        <f aca="false">IF(T362="",0,IF(MATCH(T362,$T$4:$T$903,0)=ROW()-3,1,0))</f>
        <v>0</v>
      </c>
      <c r="V362" s="0" t="n">
        <f aca="false">N(V361)+U362</f>
        <v>30</v>
      </c>
      <c r="AF362" s="0" t="str">
        <f aca="false">IF(OR(资金日记账!$E362="",N(资金日记账!$H362)=0),"",资金日记账!$E362)</f>
        <v/>
      </c>
      <c r="AG362" s="0" t="n">
        <f aca="false">IF(AF362="",0,IF(MATCH(AF362,$AF$4:$AF$603,0)=ROW()-3,1,0))</f>
        <v>0</v>
      </c>
      <c r="AH362" s="0" t="n">
        <f aca="false">N(AH361)+AG362</f>
        <v>5</v>
      </c>
    </row>
    <row r="363" customFormat="false" ht="13.5" hidden="false" customHeight="false" outlineLevel="0" collapsed="false">
      <c r="A363" s="0" t="str">
        <f aca="false">IF(资金日记账!$E61="","",资金日记账!$E61)</f>
        <v/>
      </c>
      <c r="B363" s="0" t="n">
        <f aca="false">IF(A363="",0,IF(MATCH(A363,$A$4:$A$1925,0)=ROW()-3,1,0))</f>
        <v>0</v>
      </c>
      <c r="C363" s="0" t="n">
        <f aca="false">N(C362)+B363</f>
        <v>8</v>
      </c>
      <c r="G363" s="0" t="n">
        <f aca="false">IF(OR($G$1="",资金日记账!$E356="",资金日记账!$E356&lt;&gt;$G$1),0,IF(NOT(OR(N(资金日记账!$H356)&lt;&gt;0,N(资金日记账!$I356)&lt;&gt;0)),0,IF(资金日记账!$B356="",1,IF(OR(N(资金日记账!$B356)&lt;$H$1,N(资金日记账!$B356)&gt;$I$1),0,1))))</f>
        <v>0</v>
      </c>
      <c r="H363" s="0" t="n">
        <f aca="false">N(H362)+$G363</f>
        <v>3</v>
      </c>
      <c r="I363" s="0" t="str">
        <f aca="false">IF($G363=0,"",IF(资金日记账!$B356=0,"",资金日记账!$B356))</f>
        <v/>
      </c>
      <c r="J363" s="0" t="str">
        <f aca="false">IF($G363=0,"",IF(资金日记账!$D356=0,"",资金日记账!$D356))</f>
        <v/>
      </c>
      <c r="K363" s="0" t="str">
        <f aca="false">IF($G363=0,"",IF(""=0,"",""))</f>
        <v/>
      </c>
      <c r="L363" s="0" t="str">
        <f aca="false">IF($G363=0,"",IF(""=0,"",""))</f>
        <v/>
      </c>
      <c r="M363" s="0" t="str">
        <f aca="false">IF($G363=0,"",IF(""=0,"",""))</f>
        <v/>
      </c>
      <c r="N363" s="0" t="str">
        <f aca="false">IF($G363=0,"",IF(IF(N(资金日记账!$I356)=0,"",-ROUND(N(资金日记账!$I356),2))=0,"",IF(N(资金日记账!$I356)=0,"",-ROUND(N(资金日记账!$I356),2))))</f>
        <v/>
      </c>
      <c r="O363" s="0" t="str">
        <f aca="false">IF($G363=0,"",IF(IF(N(资金日记账!$H356)=0,"",ROUND(N(资金日记账!$H356),2))=0,"",IF(N(资金日记账!$H356)=0,"",ROUND(N(资金日记账!$H356),2))))</f>
        <v/>
      </c>
      <c r="P363" s="0" t="str">
        <f aca="false">IF($G363=0,"",IF(资金日记账!$L356=0,"",资金日记账!$L356))</f>
        <v/>
      </c>
      <c r="T363" s="0" t="str">
        <f aca="false">IF(资金日记账!$G363="","",资金日记账!$G363)</f>
        <v/>
      </c>
      <c r="U363" s="0" t="n">
        <f aca="false">IF(T363="",0,IF(MATCH(T363,$T$4:$T$903,0)=ROW()-3,1,0))</f>
        <v>0</v>
      </c>
      <c r="V363" s="0" t="n">
        <f aca="false">N(V362)+U363</f>
        <v>30</v>
      </c>
      <c r="AF363" s="0" t="str">
        <f aca="false">IF(OR(资金日记账!$E363="",N(资金日记账!$H363)=0),"",资金日记账!$E363)</f>
        <v/>
      </c>
      <c r="AG363" s="0" t="n">
        <f aca="false">IF(AF363="",0,IF(MATCH(AF363,$AF$4:$AF$603,0)=ROW()-3,1,0))</f>
        <v>0</v>
      </c>
      <c r="AH363" s="0" t="n">
        <f aca="false">N(AH362)+AG363</f>
        <v>5</v>
      </c>
    </row>
    <row r="364" customFormat="false" ht="13.5" hidden="false" customHeight="false" outlineLevel="0" collapsed="false">
      <c r="A364" s="0" t="str">
        <f aca="false">IF(资金日记账!$E62="","",资金日记账!$E62)</f>
        <v/>
      </c>
      <c r="B364" s="0" t="n">
        <f aca="false">IF(A364="",0,IF(MATCH(A364,$A$4:$A$1925,0)=ROW()-3,1,0))</f>
        <v>0</v>
      </c>
      <c r="C364" s="0" t="n">
        <f aca="false">N(C363)+B364</f>
        <v>8</v>
      </c>
      <c r="G364" s="0" t="n">
        <f aca="false">IF(OR($G$1="",资金日记账!$E357="",资金日记账!$E357&lt;&gt;$G$1),0,IF(NOT(OR(N(资金日记账!$H357)&lt;&gt;0,N(资金日记账!$I357)&lt;&gt;0)),0,IF(资金日记账!$B357="",1,IF(OR(N(资金日记账!$B357)&lt;$H$1,N(资金日记账!$B357)&gt;$I$1),0,1))))</f>
        <v>0</v>
      </c>
      <c r="H364" s="0" t="n">
        <f aca="false">N(H363)+$G364</f>
        <v>3</v>
      </c>
      <c r="I364" s="0" t="str">
        <f aca="false">IF($G364=0,"",IF(资金日记账!$B357=0,"",资金日记账!$B357))</f>
        <v/>
      </c>
      <c r="J364" s="0" t="str">
        <f aca="false">IF($G364=0,"",IF(资金日记账!$D357=0,"",资金日记账!$D357))</f>
        <v/>
      </c>
      <c r="K364" s="0" t="str">
        <f aca="false">IF($G364=0,"",IF(""=0,"",""))</f>
        <v/>
      </c>
      <c r="L364" s="0" t="str">
        <f aca="false">IF($G364=0,"",IF(""=0,"",""))</f>
        <v/>
      </c>
      <c r="M364" s="0" t="str">
        <f aca="false">IF($G364=0,"",IF(""=0,"",""))</f>
        <v/>
      </c>
      <c r="N364" s="0" t="str">
        <f aca="false">IF($G364=0,"",IF(IF(N(资金日记账!$I357)=0,"",-ROUND(N(资金日记账!$I357),2))=0,"",IF(N(资金日记账!$I357)=0,"",-ROUND(N(资金日记账!$I357),2))))</f>
        <v/>
      </c>
      <c r="O364" s="0" t="str">
        <f aca="false">IF($G364=0,"",IF(IF(N(资金日记账!$H357)=0,"",ROUND(N(资金日记账!$H357),2))=0,"",IF(N(资金日记账!$H357)=0,"",ROUND(N(资金日记账!$H357),2))))</f>
        <v/>
      </c>
      <c r="P364" s="0" t="str">
        <f aca="false">IF($G364=0,"",IF(资金日记账!$L357=0,"",资金日记账!$L357))</f>
        <v/>
      </c>
      <c r="T364" s="0" t="str">
        <f aca="false">IF(资金日记账!$G364="","",资金日记账!$G364)</f>
        <v/>
      </c>
      <c r="U364" s="0" t="n">
        <f aca="false">IF(T364="",0,IF(MATCH(T364,$T$4:$T$903,0)=ROW()-3,1,0))</f>
        <v>0</v>
      </c>
      <c r="V364" s="0" t="n">
        <f aca="false">N(V363)+U364</f>
        <v>30</v>
      </c>
      <c r="AF364" s="0" t="str">
        <f aca="false">IF(OR(资金日记账!$E364="",N(资金日记账!$H364)=0),"",资金日记账!$E364)</f>
        <v/>
      </c>
      <c r="AG364" s="0" t="n">
        <f aca="false">IF(AF364="",0,IF(MATCH(AF364,$AF$4:$AF$603,0)=ROW()-3,1,0))</f>
        <v>0</v>
      </c>
      <c r="AH364" s="0" t="n">
        <f aca="false">N(AH363)+AG364</f>
        <v>5</v>
      </c>
    </row>
    <row r="365" customFormat="false" ht="13.5" hidden="false" customHeight="false" outlineLevel="0" collapsed="false">
      <c r="A365" s="0" t="str">
        <f aca="false">IF(资金日记账!$E63="","",资金日记账!$E63)</f>
        <v/>
      </c>
      <c r="B365" s="0" t="n">
        <f aca="false">IF(A365="",0,IF(MATCH(A365,$A$4:$A$1925,0)=ROW()-3,1,0))</f>
        <v>0</v>
      </c>
      <c r="C365" s="0" t="n">
        <f aca="false">N(C364)+B365</f>
        <v>8</v>
      </c>
      <c r="G365" s="0" t="n">
        <f aca="false">IF(OR($G$1="",资金日记账!$E358="",资金日记账!$E358&lt;&gt;$G$1),0,IF(NOT(OR(N(资金日记账!$H358)&lt;&gt;0,N(资金日记账!$I358)&lt;&gt;0)),0,IF(资金日记账!$B358="",1,IF(OR(N(资金日记账!$B358)&lt;$H$1,N(资金日记账!$B358)&gt;$I$1),0,1))))</f>
        <v>0</v>
      </c>
      <c r="H365" s="0" t="n">
        <f aca="false">N(H364)+$G365</f>
        <v>3</v>
      </c>
      <c r="I365" s="0" t="str">
        <f aca="false">IF($G365=0,"",IF(资金日记账!$B358=0,"",资金日记账!$B358))</f>
        <v/>
      </c>
      <c r="J365" s="0" t="str">
        <f aca="false">IF($G365=0,"",IF(资金日记账!$D358=0,"",资金日记账!$D358))</f>
        <v/>
      </c>
      <c r="K365" s="0" t="str">
        <f aca="false">IF($G365=0,"",IF(""=0,"",""))</f>
        <v/>
      </c>
      <c r="L365" s="0" t="str">
        <f aca="false">IF($G365=0,"",IF(""=0,"",""))</f>
        <v/>
      </c>
      <c r="M365" s="0" t="str">
        <f aca="false">IF($G365=0,"",IF(""=0,"",""))</f>
        <v/>
      </c>
      <c r="N365" s="0" t="str">
        <f aca="false">IF($G365=0,"",IF(IF(N(资金日记账!$I358)=0,"",-ROUND(N(资金日记账!$I358),2))=0,"",IF(N(资金日记账!$I358)=0,"",-ROUND(N(资金日记账!$I358),2))))</f>
        <v/>
      </c>
      <c r="O365" s="0" t="str">
        <f aca="false">IF($G365=0,"",IF(IF(N(资金日记账!$H358)=0,"",ROUND(N(资金日记账!$H358),2))=0,"",IF(N(资金日记账!$H358)=0,"",ROUND(N(资金日记账!$H358),2))))</f>
        <v/>
      </c>
      <c r="P365" s="0" t="str">
        <f aca="false">IF($G365=0,"",IF(资金日记账!$L358=0,"",资金日记账!$L358))</f>
        <v/>
      </c>
      <c r="T365" s="0" t="str">
        <f aca="false">IF(资金日记账!$G365="","",资金日记账!$G365)</f>
        <v/>
      </c>
      <c r="U365" s="0" t="n">
        <f aca="false">IF(T365="",0,IF(MATCH(T365,$T$4:$T$903,0)=ROW()-3,1,0))</f>
        <v>0</v>
      </c>
      <c r="V365" s="0" t="n">
        <f aca="false">N(V364)+U365</f>
        <v>30</v>
      </c>
      <c r="AF365" s="0" t="str">
        <f aca="false">IF(OR(资金日记账!$E365="",N(资金日记账!$H365)=0),"",资金日记账!$E365)</f>
        <v/>
      </c>
      <c r="AG365" s="0" t="n">
        <f aca="false">IF(AF365="",0,IF(MATCH(AF365,$AF$4:$AF$603,0)=ROW()-3,1,0))</f>
        <v>0</v>
      </c>
      <c r="AH365" s="0" t="n">
        <f aca="false">N(AH364)+AG365</f>
        <v>5</v>
      </c>
    </row>
    <row r="366" customFormat="false" ht="13.5" hidden="false" customHeight="false" outlineLevel="0" collapsed="false">
      <c r="A366" s="0" t="str">
        <f aca="false">IF(资金日记账!$E64="","",资金日记账!$E64)</f>
        <v/>
      </c>
      <c r="B366" s="0" t="n">
        <f aca="false">IF(A366="",0,IF(MATCH(A366,$A$4:$A$1925,0)=ROW()-3,1,0))</f>
        <v>0</v>
      </c>
      <c r="C366" s="0" t="n">
        <f aca="false">N(C365)+B366</f>
        <v>8</v>
      </c>
      <c r="G366" s="0" t="n">
        <f aca="false">IF(OR($G$1="",资金日记账!$E359="",资金日记账!$E359&lt;&gt;$G$1),0,IF(NOT(OR(N(资金日记账!$H359)&lt;&gt;0,N(资金日记账!$I359)&lt;&gt;0)),0,IF(资金日记账!$B359="",1,IF(OR(N(资金日记账!$B359)&lt;$H$1,N(资金日记账!$B359)&gt;$I$1),0,1))))</f>
        <v>0</v>
      </c>
      <c r="H366" s="0" t="n">
        <f aca="false">N(H365)+$G366</f>
        <v>3</v>
      </c>
      <c r="I366" s="0" t="str">
        <f aca="false">IF($G366=0,"",IF(资金日记账!$B359=0,"",资金日记账!$B359))</f>
        <v/>
      </c>
      <c r="J366" s="0" t="str">
        <f aca="false">IF($G366=0,"",IF(资金日记账!$D359=0,"",资金日记账!$D359))</f>
        <v/>
      </c>
      <c r="K366" s="0" t="str">
        <f aca="false">IF($G366=0,"",IF(""=0,"",""))</f>
        <v/>
      </c>
      <c r="L366" s="0" t="str">
        <f aca="false">IF($G366=0,"",IF(""=0,"",""))</f>
        <v/>
      </c>
      <c r="M366" s="0" t="str">
        <f aca="false">IF($G366=0,"",IF(""=0,"",""))</f>
        <v/>
      </c>
      <c r="N366" s="0" t="str">
        <f aca="false">IF($G366=0,"",IF(IF(N(资金日记账!$I359)=0,"",-ROUND(N(资金日记账!$I359),2))=0,"",IF(N(资金日记账!$I359)=0,"",-ROUND(N(资金日记账!$I359),2))))</f>
        <v/>
      </c>
      <c r="O366" s="0" t="str">
        <f aca="false">IF($G366=0,"",IF(IF(N(资金日记账!$H359)=0,"",ROUND(N(资金日记账!$H359),2))=0,"",IF(N(资金日记账!$H359)=0,"",ROUND(N(资金日记账!$H359),2))))</f>
        <v/>
      </c>
      <c r="P366" s="0" t="str">
        <f aca="false">IF($G366=0,"",IF(资金日记账!$L359=0,"",资金日记账!$L359))</f>
        <v/>
      </c>
      <c r="T366" s="0" t="str">
        <f aca="false">IF(资金日记账!$G366="","",资金日记账!$G366)</f>
        <v/>
      </c>
      <c r="U366" s="0" t="n">
        <f aca="false">IF(T366="",0,IF(MATCH(T366,$T$4:$T$903,0)=ROW()-3,1,0))</f>
        <v>0</v>
      </c>
      <c r="V366" s="0" t="n">
        <f aca="false">N(V365)+U366</f>
        <v>30</v>
      </c>
      <c r="AF366" s="0" t="str">
        <f aca="false">IF(OR(资金日记账!$E366="",N(资金日记账!$H366)=0),"",资金日记账!$E366)</f>
        <v/>
      </c>
      <c r="AG366" s="0" t="n">
        <f aca="false">IF(AF366="",0,IF(MATCH(AF366,$AF$4:$AF$603,0)=ROW()-3,1,0))</f>
        <v>0</v>
      </c>
      <c r="AH366" s="0" t="n">
        <f aca="false">N(AH365)+AG366</f>
        <v>5</v>
      </c>
    </row>
    <row r="367" customFormat="false" ht="13.5" hidden="false" customHeight="false" outlineLevel="0" collapsed="false">
      <c r="A367" s="0" t="str">
        <f aca="false">IF(资金日记账!$E65="","",资金日记账!$E65)</f>
        <v/>
      </c>
      <c r="B367" s="0" t="n">
        <f aca="false">IF(A367="",0,IF(MATCH(A367,$A$4:$A$1925,0)=ROW()-3,1,0))</f>
        <v>0</v>
      </c>
      <c r="C367" s="0" t="n">
        <f aca="false">N(C366)+B367</f>
        <v>8</v>
      </c>
      <c r="G367" s="0" t="n">
        <f aca="false">IF(OR($G$1="",资金日记账!$E360="",资金日记账!$E360&lt;&gt;$G$1),0,IF(NOT(OR(N(资金日记账!$H360)&lt;&gt;0,N(资金日记账!$I360)&lt;&gt;0)),0,IF(资金日记账!$B360="",1,IF(OR(N(资金日记账!$B360)&lt;$H$1,N(资金日记账!$B360)&gt;$I$1),0,1))))</f>
        <v>0</v>
      </c>
      <c r="H367" s="0" t="n">
        <f aca="false">N(H366)+$G367</f>
        <v>3</v>
      </c>
      <c r="I367" s="0" t="str">
        <f aca="false">IF($G367=0,"",IF(资金日记账!$B360=0,"",资金日记账!$B360))</f>
        <v/>
      </c>
      <c r="J367" s="0" t="str">
        <f aca="false">IF($G367=0,"",IF(资金日记账!$D360=0,"",资金日记账!$D360))</f>
        <v/>
      </c>
      <c r="K367" s="0" t="str">
        <f aca="false">IF($G367=0,"",IF(""=0,"",""))</f>
        <v/>
      </c>
      <c r="L367" s="0" t="str">
        <f aca="false">IF($G367=0,"",IF(""=0,"",""))</f>
        <v/>
      </c>
      <c r="M367" s="0" t="str">
        <f aca="false">IF($G367=0,"",IF(""=0,"",""))</f>
        <v/>
      </c>
      <c r="N367" s="0" t="str">
        <f aca="false">IF($G367=0,"",IF(IF(N(资金日记账!$I360)=0,"",-ROUND(N(资金日记账!$I360),2))=0,"",IF(N(资金日记账!$I360)=0,"",-ROUND(N(资金日记账!$I360),2))))</f>
        <v/>
      </c>
      <c r="O367" s="0" t="str">
        <f aca="false">IF($G367=0,"",IF(IF(N(资金日记账!$H360)=0,"",ROUND(N(资金日记账!$H360),2))=0,"",IF(N(资金日记账!$H360)=0,"",ROUND(N(资金日记账!$H360),2))))</f>
        <v/>
      </c>
      <c r="P367" s="0" t="str">
        <f aca="false">IF($G367=0,"",IF(资金日记账!$L360=0,"",资金日记账!$L360))</f>
        <v/>
      </c>
      <c r="T367" s="0" t="str">
        <f aca="false">IF(资金日记账!$G367="","",资金日记账!$G367)</f>
        <v/>
      </c>
      <c r="U367" s="0" t="n">
        <f aca="false">IF(T367="",0,IF(MATCH(T367,$T$4:$T$903,0)=ROW()-3,1,0))</f>
        <v>0</v>
      </c>
      <c r="V367" s="0" t="n">
        <f aca="false">N(V366)+U367</f>
        <v>30</v>
      </c>
      <c r="AF367" s="0" t="str">
        <f aca="false">IF(OR(资金日记账!$E367="",N(资金日记账!$H367)=0),"",资金日记账!$E367)</f>
        <v/>
      </c>
      <c r="AG367" s="0" t="n">
        <f aca="false">IF(AF367="",0,IF(MATCH(AF367,$AF$4:$AF$603,0)=ROW()-3,1,0))</f>
        <v>0</v>
      </c>
      <c r="AH367" s="0" t="n">
        <f aca="false">N(AH366)+AG367</f>
        <v>5</v>
      </c>
    </row>
    <row r="368" customFormat="false" ht="13.5" hidden="false" customHeight="false" outlineLevel="0" collapsed="false">
      <c r="A368" s="0" t="str">
        <f aca="false">IF(资金日记账!$E66="","",资金日记账!$E66)</f>
        <v/>
      </c>
      <c r="B368" s="0" t="n">
        <f aca="false">IF(A368="",0,IF(MATCH(A368,$A$4:$A$1925,0)=ROW()-3,1,0))</f>
        <v>0</v>
      </c>
      <c r="C368" s="0" t="n">
        <f aca="false">N(C367)+B368</f>
        <v>8</v>
      </c>
      <c r="G368" s="0" t="n">
        <f aca="false">IF(OR($G$1="",资金日记账!$E361="",资金日记账!$E361&lt;&gt;$G$1),0,IF(NOT(OR(N(资金日记账!$H361)&lt;&gt;0,N(资金日记账!$I361)&lt;&gt;0)),0,IF(资金日记账!$B361="",1,IF(OR(N(资金日记账!$B361)&lt;$H$1,N(资金日记账!$B361)&gt;$I$1),0,1))))</f>
        <v>0</v>
      </c>
      <c r="H368" s="0" t="n">
        <f aca="false">N(H367)+$G368</f>
        <v>3</v>
      </c>
      <c r="I368" s="0" t="str">
        <f aca="false">IF($G368=0,"",IF(资金日记账!$B361=0,"",资金日记账!$B361))</f>
        <v/>
      </c>
      <c r="J368" s="0" t="str">
        <f aca="false">IF($G368=0,"",IF(资金日记账!$D361=0,"",资金日记账!$D361))</f>
        <v/>
      </c>
      <c r="K368" s="0" t="str">
        <f aca="false">IF($G368=0,"",IF(""=0,"",""))</f>
        <v/>
      </c>
      <c r="L368" s="0" t="str">
        <f aca="false">IF($G368=0,"",IF(""=0,"",""))</f>
        <v/>
      </c>
      <c r="M368" s="0" t="str">
        <f aca="false">IF($G368=0,"",IF(""=0,"",""))</f>
        <v/>
      </c>
      <c r="N368" s="0" t="str">
        <f aca="false">IF($G368=0,"",IF(IF(N(资金日记账!$I361)=0,"",-ROUND(N(资金日记账!$I361),2))=0,"",IF(N(资金日记账!$I361)=0,"",-ROUND(N(资金日记账!$I361),2))))</f>
        <v/>
      </c>
      <c r="O368" s="0" t="str">
        <f aca="false">IF($G368=0,"",IF(IF(N(资金日记账!$H361)=0,"",ROUND(N(资金日记账!$H361),2))=0,"",IF(N(资金日记账!$H361)=0,"",ROUND(N(资金日记账!$H361),2))))</f>
        <v/>
      </c>
      <c r="P368" s="0" t="str">
        <f aca="false">IF($G368=0,"",IF(资金日记账!$L361=0,"",资金日记账!$L361))</f>
        <v/>
      </c>
      <c r="T368" s="0" t="str">
        <f aca="false">IF(资金日记账!$G368="","",资金日记账!$G368)</f>
        <v/>
      </c>
      <c r="U368" s="0" t="n">
        <f aca="false">IF(T368="",0,IF(MATCH(T368,$T$4:$T$903,0)=ROW()-3,1,0))</f>
        <v>0</v>
      </c>
      <c r="V368" s="0" t="n">
        <f aca="false">N(V367)+U368</f>
        <v>30</v>
      </c>
      <c r="AF368" s="0" t="str">
        <f aca="false">IF(OR(资金日记账!$E368="",N(资金日记账!$H368)=0),"",资金日记账!$E368)</f>
        <v/>
      </c>
      <c r="AG368" s="0" t="n">
        <f aca="false">IF(AF368="",0,IF(MATCH(AF368,$AF$4:$AF$603,0)=ROW()-3,1,0))</f>
        <v>0</v>
      </c>
      <c r="AH368" s="0" t="n">
        <f aca="false">N(AH367)+AG368</f>
        <v>5</v>
      </c>
    </row>
    <row r="369" customFormat="false" ht="13.5" hidden="false" customHeight="false" outlineLevel="0" collapsed="false">
      <c r="A369" s="0" t="str">
        <f aca="false">IF(资金日记账!$E67="","",资金日记账!$E67)</f>
        <v/>
      </c>
      <c r="B369" s="0" t="n">
        <f aca="false">IF(A369="",0,IF(MATCH(A369,$A$4:$A$1925,0)=ROW()-3,1,0))</f>
        <v>0</v>
      </c>
      <c r="C369" s="0" t="n">
        <f aca="false">N(C368)+B369</f>
        <v>8</v>
      </c>
      <c r="G369" s="0" t="n">
        <f aca="false">IF(OR($G$1="",资金日记账!$E362="",资金日记账!$E362&lt;&gt;$G$1),0,IF(NOT(OR(N(资金日记账!$H362)&lt;&gt;0,N(资金日记账!$I362)&lt;&gt;0)),0,IF(资金日记账!$B362="",1,IF(OR(N(资金日记账!$B362)&lt;$H$1,N(资金日记账!$B362)&gt;$I$1),0,1))))</f>
        <v>0</v>
      </c>
      <c r="H369" s="0" t="n">
        <f aca="false">N(H368)+$G369</f>
        <v>3</v>
      </c>
      <c r="I369" s="0" t="str">
        <f aca="false">IF($G369=0,"",IF(资金日记账!$B362=0,"",资金日记账!$B362))</f>
        <v/>
      </c>
      <c r="J369" s="0" t="str">
        <f aca="false">IF($G369=0,"",IF(资金日记账!$D362=0,"",资金日记账!$D362))</f>
        <v/>
      </c>
      <c r="K369" s="0" t="str">
        <f aca="false">IF($G369=0,"",IF(""=0,"",""))</f>
        <v/>
      </c>
      <c r="L369" s="0" t="str">
        <f aca="false">IF($G369=0,"",IF(""=0,"",""))</f>
        <v/>
      </c>
      <c r="M369" s="0" t="str">
        <f aca="false">IF($G369=0,"",IF(""=0,"",""))</f>
        <v/>
      </c>
      <c r="N369" s="0" t="str">
        <f aca="false">IF($G369=0,"",IF(IF(N(资金日记账!$I362)=0,"",-ROUND(N(资金日记账!$I362),2))=0,"",IF(N(资金日记账!$I362)=0,"",-ROUND(N(资金日记账!$I362),2))))</f>
        <v/>
      </c>
      <c r="O369" s="0" t="str">
        <f aca="false">IF($G369=0,"",IF(IF(N(资金日记账!$H362)=0,"",ROUND(N(资金日记账!$H362),2))=0,"",IF(N(资金日记账!$H362)=0,"",ROUND(N(资金日记账!$H362),2))))</f>
        <v/>
      </c>
      <c r="P369" s="0" t="str">
        <f aca="false">IF($G369=0,"",IF(资金日记账!$L362=0,"",资金日记账!$L362))</f>
        <v/>
      </c>
      <c r="T369" s="0" t="str">
        <f aca="false">IF(资金日记账!$G369="","",资金日记账!$G369)</f>
        <v/>
      </c>
      <c r="U369" s="0" t="n">
        <f aca="false">IF(T369="",0,IF(MATCH(T369,$T$4:$T$903,0)=ROW()-3,1,0))</f>
        <v>0</v>
      </c>
      <c r="V369" s="0" t="n">
        <f aca="false">N(V368)+U369</f>
        <v>30</v>
      </c>
      <c r="AF369" s="0" t="str">
        <f aca="false">IF(OR(资金日记账!$E369="",N(资金日记账!$H369)=0),"",资金日记账!$E369)</f>
        <v/>
      </c>
      <c r="AG369" s="0" t="n">
        <f aca="false">IF(AF369="",0,IF(MATCH(AF369,$AF$4:$AF$603,0)=ROW()-3,1,0))</f>
        <v>0</v>
      </c>
      <c r="AH369" s="0" t="n">
        <f aca="false">N(AH368)+AG369</f>
        <v>5</v>
      </c>
    </row>
    <row r="370" customFormat="false" ht="13.5" hidden="false" customHeight="false" outlineLevel="0" collapsed="false">
      <c r="A370" s="0" t="str">
        <f aca="false">IF(资金日记账!$E68="","",资金日记账!$E68)</f>
        <v/>
      </c>
      <c r="B370" s="0" t="n">
        <f aca="false">IF(A370="",0,IF(MATCH(A370,$A$4:$A$1925,0)=ROW()-3,1,0))</f>
        <v>0</v>
      </c>
      <c r="C370" s="0" t="n">
        <f aca="false">N(C369)+B370</f>
        <v>8</v>
      </c>
      <c r="G370" s="0" t="n">
        <f aca="false">IF(OR($G$1="",资金日记账!$E363="",资金日记账!$E363&lt;&gt;$G$1),0,IF(NOT(OR(N(资金日记账!$H363)&lt;&gt;0,N(资金日记账!$I363)&lt;&gt;0)),0,IF(资金日记账!$B363="",1,IF(OR(N(资金日记账!$B363)&lt;$H$1,N(资金日记账!$B363)&gt;$I$1),0,1))))</f>
        <v>0</v>
      </c>
      <c r="H370" s="0" t="n">
        <f aca="false">N(H369)+$G370</f>
        <v>3</v>
      </c>
      <c r="I370" s="0" t="str">
        <f aca="false">IF($G370=0,"",IF(资金日记账!$B363=0,"",资金日记账!$B363))</f>
        <v/>
      </c>
      <c r="J370" s="0" t="str">
        <f aca="false">IF($G370=0,"",IF(资金日记账!$D363=0,"",资金日记账!$D363))</f>
        <v/>
      </c>
      <c r="K370" s="0" t="str">
        <f aca="false">IF($G370=0,"",IF(""=0,"",""))</f>
        <v/>
      </c>
      <c r="L370" s="0" t="str">
        <f aca="false">IF($G370=0,"",IF(""=0,"",""))</f>
        <v/>
      </c>
      <c r="M370" s="0" t="str">
        <f aca="false">IF($G370=0,"",IF(""=0,"",""))</f>
        <v/>
      </c>
      <c r="N370" s="0" t="str">
        <f aca="false">IF($G370=0,"",IF(IF(N(资金日记账!$I363)=0,"",-ROUND(N(资金日记账!$I363),2))=0,"",IF(N(资金日记账!$I363)=0,"",-ROUND(N(资金日记账!$I363),2))))</f>
        <v/>
      </c>
      <c r="O370" s="0" t="str">
        <f aca="false">IF($G370=0,"",IF(IF(N(资金日记账!$H363)=0,"",ROUND(N(资金日记账!$H363),2))=0,"",IF(N(资金日记账!$H363)=0,"",ROUND(N(资金日记账!$H363),2))))</f>
        <v/>
      </c>
      <c r="P370" s="0" t="str">
        <f aca="false">IF($G370=0,"",IF(资金日记账!$L363=0,"",资金日记账!$L363))</f>
        <v/>
      </c>
      <c r="T370" s="0" t="str">
        <f aca="false">IF(资金日记账!$G370="","",资金日记账!$G370)</f>
        <v/>
      </c>
      <c r="U370" s="0" t="n">
        <f aca="false">IF(T370="",0,IF(MATCH(T370,$T$4:$T$903,0)=ROW()-3,1,0))</f>
        <v>0</v>
      </c>
      <c r="V370" s="0" t="n">
        <f aca="false">N(V369)+U370</f>
        <v>30</v>
      </c>
      <c r="AF370" s="0" t="str">
        <f aca="false">IF(OR(资金日记账!$E370="",N(资金日记账!$H370)=0),"",资金日记账!$E370)</f>
        <v/>
      </c>
      <c r="AG370" s="0" t="n">
        <f aca="false">IF(AF370="",0,IF(MATCH(AF370,$AF$4:$AF$603,0)=ROW()-3,1,0))</f>
        <v>0</v>
      </c>
      <c r="AH370" s="0" t="n">
        <f aca="false">N(AH369)+AG370</f>
        <v>5</v>
      </c>
    </row>
    <row r="371" customFormat="false" ht="13.5" hidden="false" customHeight="false" outlineLevel="0" collapsed="false">
      <c r="A371" s="0" t="str">
        <f aca="false">IF(资金日记账!$E69="","",资金日记账!$E69)</f>
        <v/>
      </c>
      <c r="B371" s="0" t="n">
        <f aca="false">IF(A371="",0,IF(MATCH(A371,$A$4:$A$1925,0)=ROW()-3,1,0))</f>
        <v>0</v>
      </c>
      <c r="C371" s="0" t="n">
        <f aca="false">N(C370)+B371</f>
        <v>8</v>
      </c>
      <c r="G371" s="0" t="n">
        <f aca="false">IF(OR($G$1="",资金日记账!$E364="",资金日记账!$E364&lt;&gt;$G$1),0,IF(NOT(OR(N(资金日记账!$H364)&lt;&gt;0,N(资金日记账!$I364)&lt;&gt;0)),0,IF(资金日记账!$B364="",1,IF(OR(N(资金日记账!$B364)&lt;$H$1,N(资金日记账!$B364)&gt;$I$1),0,1))))</f>
        <v>0</v>
      </c>
      <c r="H371" s="0" t="n">
        <f aca="false">N(H370)+$G371</f>
        <v>3</v>
      </c>
      <c r="I371" s="0" t="str">
        <f aca="false">IF($G371=0,"",IF(资金日记账!$B364=0,"",资金日记账!$B364))</f>
        <v/>
      </c>
      <c r="J371" s="0" t="str">
        <f aca="false">IF($G371=0,"",IF(资金日记账!$D364=0,"",资金日记账!$D364))</f>
        <v/>
      </c>
      <c r="K371" s="0" t="str">
        <f aca="false">IF($G371=0,"",IF(""=0,"",""))</f>
        <v/>
      </c>
      <c r="L371" s="0" t="str">
        <f aca="false">IF($G371=0,"",IF(""=0,"",""))</f>
        <v/>
      </c>
      <c r="M371" s="0" t="str">
        <f aca="false">IF($G371=0,"",IF(""=0,"",""))</f>
        <v/>
      </c>
      <c r="N371" s="0" t="str">
        <f aca="false">IF($G371=0,"",IF(IF(N(资金日记账!$I364)=0,"",-ROUND(N(资金日记账!$I364),2))=0,"",IF(N(资金日记账!$I364)=0,"",-ROUND(N(资金日记账!$I364),2))))</f>
        <v/>
      </c>
      <c r="O371" s="0" t="str">
        <f aca="false">IF($G371=0,"",IF(IF(N(资金日记账!$H364)=0,"",ROUND(N(资金日记账!$H364),2))=0,"",IF(N(资金日记账!$H364)=0,"",ROUND(N(资金日记账!$H364),2))))</f>
        <v/>
      </c>
      <c r="P371" s="0" t="str">
        <f aca="false">IF($G371=0,"",IF(资金日记账!$L364=0,"",资金日记账!$L364))</f>
        <v/>
      </c>
      <c r="T371" s="0" t="str">
        <f aca="false">IF(资金日记账!$G371="","",资金日记账!$G371)</f>
        <v/>
      </c>
      <c r="U371" s="0" t="n">
        <f aca="false">IF(T371="",0,IF(MATCH(T371,$T$4:$T$903,0)=ROW()-3,1,0))</f>
        <v>0</v>
      </c>
      <c r="V371" s="0" t="n">
        <f aca="false">N(V370)+U371</f>
        <v>30</v>
      </c>
      <c r="AF371" s="0" t="str">
        <f aca="false">IF(OR(资金日记账!$E371="",N(资金日记账!$H371)=0),"",资金日记账!$E371)</f>
        <v/>
      </c>
      <c r="AG371" s="0" t="n">
        <f aca="false">IF(AF371="",0,IF(MATCH(AF371,$AF$4:$AF$603,0)=ROW()-3,1,0))</f>
        <v>0</v>
      </c>
      <c r="AH371" s="0" t="n">
        <f aca="false">N(AH370)+AG371</f>
        <v>5</v>
      </c>
    </row>
    <row r="372" customFormat="false" ht="13.5" hidden="false" customHeight="false" outlineLevel="0" collapsed="false">
      <c r="A372" s="0" t="str">
        <f aca="false">IF(资金日记账!$E70="","",资金日记账!$E70)</f>
        <v/>
      </c>
      <c r="B372" s="0" t="n">
        <f aca="false">IF(A372="",0,IF(MATCH(A372,$A$4:$A$1925,0)=ROW()-3,1,0))</f>
        <v>0</v>
      </c>
      <c r="C372" s="0" t="n">
        <f aca="false">N(C371)+B372</f>
        <v>8</v>
      </c>
      <c r="G372" s="0" t="n">
        <f aca="false">IF(OR($G$1="",资金日记账!$E365="",资金日记账!$E365&lt;&gt;$G$1),0,IF(NOT(OR(N(资金日记账!$H365)&lt;&gt;0,N(资金日记账!$I365)&lt;&gt;0)),0,IF(资金日记账!$B365="",1,IF(OR(N(资金日记账!$B365)&lt;$H$1,N(资金日记账!$B365)&gt;$I$1),0,1))))</f>
        <v>0</v>
      </c>
      <c r="H372" s="0" t="n">
        <f aca="false">N(H371)+$G372</f>
        <v>3</v>
      </c>
      <c r="I372" s="0" t="str">
        <f aca="false">IF($G372=0,"",IF(资金日记账!$B365=0,"",资金日记账!$B365))</f>
        <v/>
      </c>
      <c r="J372" s="0" t="str">
        <f aca="false">IF($G372=0,"",IF(资金日记账!$D365=0,"",资金日记账!$D365))</f>
        <v/>
      </c>
      <c r="K372" s="0" t="str">
        <f aca="false">IF($G372=0,"",IF(""=0,"",""))</f>
        <v/>
      </c>
      <c r="L372" s="0" t="str">
        <f aca="false">IF($G372=0,"",IF(""=0,"",""))</f>
        <v/>
      </c>
      <c r="M372" s="0" t="str">
        <f aca="false">IF($G372=0,"",IF(""=0,"",""))</f>
        <v/>
      </c>
      <c r="N372" s="0" t="str">
        <f aca="false">IF($G372=0,"",IF(IF(N(资金日记账!$I365)=0,"",-ROUND(N(资金日记账!$I365),2))=0,"",IF(N(资金日记账!$I365)=0,"",-ROUND(N(资金日记账!$I365),2))))</f>
        <v/>
      </c>
      <c r="O372" s="0" t="str">
        <f aca="false">IF($G372=0,"",IF(IF(N(资金日记账!$H365)=0,"",ROUND(N(资金日记账!$H365),2))=0,"",IF(N(资金日记账!$H365)=0,"",ROUND(N(资金日记账!$H365),2))))</f>
        <v/>
      </c>
      <c r="P372" s="0" t="str">
        <f aca="false">IF($G372=0,"",IF(资金日记账!$L365=0,"",资金日记账!$L365))</f>
        <v/>
      </c>
      <c r="T372" s="0" t="str">
        <f aca="false">IF(资金日记账!$G372="","",资金日记账!$G372)</f>
        <v/>
      </c>
      <c r="U372" s="0" t="n">
        <f aca="false">IF(T372="",0,IF(MATCH(T372,$T$4:$T$903,0)=ROW()-3,1,0))</f>
        <v>0</v>
      </c>
      <c r="V372" s="0" t="n">
        <f aca="false">N(V371)+U372</f>
        <v>30</v>
      </c>
      <c r="AF372" s="0" t="str">
        <f aca="false">IF(OR(资金日记账!$E372="",N(资金日记账!$H372)=0),"",资金日记账!$E372)</f>
        <v/>
      </c>
      <c r="AG372" s="0" t="n">
        <f aca="false">IF(AF372="",0,IF(MATCH(AF372,$AF$4:$AF$603,0)=ROW()-3,1,0))</f>
        <v>0</v>
      </c>
      <c r="AH372" s="0" t="n">
        <f aca="false">N(AH371)+AG372</f>
        <v>5</v>
      </c>
    </row>
    <row r="373" customFormat="false" ht="13.5" hidden="false" customHeight="false" outlineLevel="0" collapsed="false">
      <c r="A373" s="0" t="str">
        <f aca="false">IF(资金日记账!$E71="","",资金日记账!$E71)</f>
        <v/>
      </c>
      <c r="B373" s="0" t="n">
        <f aca="false">IF(A373="",0,IF(MATCH(A373,$A$4:$A$1925,0)=ROW()-3,1,0))</f>
        <v>0</v>
      </c>
      <c r="C373" s="0" t="n">
        <f aca="false">N(C372)+B373</f>
        <v>8</v>
      </c>
      <c r="G373" s="0" t="n">
        <f aca="false">IF(OR($G$1="",资金日记账!$E366="",资金日记账!$E366&lt;&gt;$G$1),0,IF(NOT(OR(N(资金日记账!$H366)&lt;&gt;0,N(资金日记账!$I366)&lt;&gt;0)),0,IF(资金日记账!$B366="",1,IF(OR(N(资金日记账!$B366)&lt;$H$1,N(资金日记账!$B366)&gt;$I$1),0,1))))</f>
        <v>0</v>
      </c>
      <c r="H373" s="0" t="n">
        <f aca="false">N(H372)+$G373</f>
        <v>3</v>
      </c>
      <c r="I373" s="0" t="str">
        <f aca="false">IF($G373=0,"",IF(资金日记账!$B366=0,"",资金日记账!$B366))</f>
        <v/>
      </c>
      <c r="J373" s="0" t="str">
        <f aca="false">IF($G373=0,"",IF(资金日记账!$D366=0,"",资金日记账!$D366))</f>
        <v/>
      </c>
      <c r="K373" s="0" t="str">
        <f aca="false">IF($G373=0,"",IF(""=0,"",""))</f>
        <v/>
      </c>
      <c r="L373" s="0" t="str">
        <f aca="false">IF($G373=0,"",IF(""=0,"",""))</f>
        <v/>
      </c>
      <c r="M373" s="0" t="str">
        <f aca="false">IF($G373=0,"",IF(""=0,"",""))</f>
        <v/>
      </c>
      <c r="N373" s="0" t="str">
        <f aca="false">IF($G373=0,"",IF(IF(N(资金日记账!$I366)=0,"",-ROUND(N(资金日记账!$I366),2))=0,"",IF(N(资金日记账!$I366)=0,"",-ROUND(N(资金日记账!$I366),2))))</f>
        <v/>
      </c>
      <c r="O373" s="0" t="str">
        <f aca="false">IF($G373=0,"",IF(IF(N(资金日记账!$H366)=0,"",ROUND(N(资金日记账!$H366),2))=0,"",IF(N(资金日记账!$H366)=0,"",ROUND(N(资金日记账!$H366),2))))</f>
        <v/>
      </c>
      <c r="P373" s="0" t="str">
        <f aca="false">IF($G373=0,"",IF(资金日记账!$L366=0,"",资金日记账!$L366))</f>
        <v/>
      </c>
      <c r="T373" s="0" t="str">
        <f aca="false">IF(资金日记账!$G373="","",资金日记账!$G373)</f>
        <v/>
      </c>
      <c r="U373" s="0" t="n">
        <f aca="false">IF(T373="",0,IF(MATCH(T373,$T$4:$T$903,0)=ROW()-3,1,0))</f>
        <v>0</v>
      </c>
      <c r="V373" s="0" t="n">
        <f aca="false">N(V372)+U373</f>
        <v>30</v>
      </c>
      <c r="AF373" s="0" t="str">
        <f aca="false">IF(OR(资金日记账!$E373="",N(资金日记账!$H373)=0),"",资金日记账!$E373)</f>
        <v/>
      </c>
      <c r="AG373" s="0" t="n">
        <f aca="false">IF(AF373="",0,IF(MATCH(AF373,$AF$4:$AF$603,0)=ROW()-3,1,0))</f>
        <v>0</v>
      </c>
      <c r="AH373" s="0" t="n">
        <f aca="false">N(AH372)+AG373</f>
        <v>5</v>
      </c>
    </row>
    <row r="374" customFormat="false" ht="13.5" hidden="false" customHeight="false" outlineLevel="0" collapsed="false">
      <c r="A374" s="0" t="str">
        <f aca="false">IF(资金日记账!$E72="","",资金日记账!$E72)</f>
        <v/>
      </c>
      <c r="B374" s="0" t="n">
        <f aca="false">IF(A374="",0,IF(MATCH(A374,$A$4:$A$1925,0)=ROW()-3,1,0))</f>
        <v>0</v>
      </c>
      <c r="C374" s="0" t="n">
        <f aca="false">N(C373)+B374</f>
        <v>8</v>
      </c>
      <c r="G374" s="0" t="n">
        <f aca="false">IF(OR($G$1="",资金日记账!$E367="",资金日记账!$E367&lt;&gt;$G$1),0,IF(NOT(OR(N(资金日记账!$H367)&lt;&gt;0,N(资金日记账!$I367)&lt;&gt;0)),0,IF(资金日记账!$B367="",1,IF(OR(N(资金日记账!$B367)&lt;$H$1,N(资金日记账!$B367)&gt;$I$1),0,1))))</f>
        <v>0</v>
      </c>
      <c r="H374" s="0" t="n">
        <f aca="false">N(H373)+$G374</f>
        <v>3</v>
      </c>
      <c r="I374" s="0" t="str">
        <f aca="false">IF($G374=0,"",IF(资金日记账!$B367=0,"",资金日记账!$B367))</f>
        <v/>
      </c>
      <c r="J374" s="0" t="str">
        <f aca="false">IF($G374=0,"",IF(资金日记账!$D367=0,"",资金日记账!$D367))</f>
        <v/>
      </c>
      <c r="K374" s="0" t="str">
        <f aca="false">IF($G374=0,"",IF(""=0,"",""))</f>
        <v/>
      </c>
      <c r="L374" s="0" t="str">
        <f aca="false">IF($G374=0,"",IF(""=0,"",""))</f>
        <v/>
      </c>
      <c r="M374" s="0" t="str">
        <f aca="false">IF($G374=0,"",IF(""=0,"",""))</f>
        <v/>
      </c>
      <c r="N374" s="0" t="str">
        <f aca="false">IF($G374=0,"",IF(IF(N(资金日记账!$I367)=0,"",-ROUND(N(资金日记账!$I367),2))=0,"",IF(N(资金日记账!$I367)=0,"",-ROUND(N(资金日记账!$I367),2))))</f>
        <v/>
      </c>
      <c r="O374" s="0" t="str">
        <f aca="false">IF($G374=0,"",IF(IF(N(资金日记账!$H367)=0,"",ROUND(N(资金日记账!$H367),2))=0,"",IF(N(资金日记账!$H367)=0,"",ROUND(N(资金日记账!$H367),2))))</f>
        <v/>
      </c>
      <c r="P374" s="0" t="str">
        <f aca="false">IF($G374=0,"",IF(资金日记账!$L367=0,"",资金日记账!$L367))</f>
        <v/>
      </c>
      <c r="T374" s="0" t="str">
        <f aca="false">IF(资金日记账!$G374="","",资金日记账!$G374)</f>
        <v/>
      </c>
      <c r="U374" s="0" t="n">
        <f aca="false">IF(T374="",0,IF(MATCH(T374,$T$4:$T$903,0)=ROW()-3,1,0))</f>
        <v>0</v>
      </c>
      <c r="V374" s="0" t="n">
        <f aca="false">N(V373)+U374</f>
        <v>30</v>
      </c>
      <c r="AF374" s="0" t="str">
        <f aca="false">IF(OR(资金日记账!$E374="",N(资金日记账!$H374)=0),"",资金日记账!$E374)</f>
        <v/>
      </c>
      <c r="AG374" s="0" t="n">
        <f aca="false">IF(AF374="",0,IF(MATCH(AF374,$AF$4:$AF$603,0)=ROW()-3,1,0))</f>
        <v>0</v>
      </c>
      <c r="AH374" s="0" t="n">
        <f aca="false">N(AH373)+AG374</f>
        <v>5</v>
      </c>
    </row>
    <row r="375" customFormat="false" ht="13.5" hidden="false" customHeight="false" outlineLevel="0" collapsed="false">
      <c r="A375" s="0" t="str">
        <f aca="false">IF(资金日记账!$E73="","",资金日记账!$E73)</f>
        <v/>
      </c>
      <c r="B375" s="0" t="n">
        <f aca="false">IF(A375="",0,IF(MATCH(A375,$A$4:$A$1925,0)=ROW()-3,1,0))</f>
        <v>0</v>
      </c>
      <c r="C375" s="0" t="n">
        <f aca="false">N(C374)+B375</f>
        <v>8</v>
      </c>
      <c r="G375" s="0" t="n">
        <f aca="false">IF(OR($G$1="",资金日记账!$E368="",资金日记账!$E368&lt;&gt;$G$1),0,IF(NOT(OR(N(资金日记账!$H368)&lt;&gt;0,N(资金日记账!$I368)&lt;&gt;0)),0,IF(资金日记账!$B368="",1,IF(OR(N(资金日记账!$B368)&lt;$H$1,N(资金日记账!$B368)&gt;$I$1),0,1))))</f>
        <v>0</v>
      </c>
      <c r="H375" s="0" t="n">
        <f aca="false">N(H374)+$G375</f>
        <v>3</v>
      </c>
      <c r="I375" s="0" t="str">
        <f aca="false">IF($G375=0,"",IF(资金日记账!$B368=0,"",资金日记账!$B368))</f>
        <v/>
      </c>
      <c r="J375" s="0" t="str">
        <f aca="false">IF($G375=0,"",IF(资金日记账!$D368=0,"",资金日记账!$D368))</f>
        <v/>
      </c>
      <c r="K375" s="0" t="str">
        <f aca="false">IF($G375=0,"",IF(""=0,"",""))</f>
        <v/>
      </c>
      <c r="L375" s="0" t="str">
        <f aca="false">IF($G375=0,"",IF(""=0,"",""))</f>
        <v/>
      </c>
      <c r="M375" s="0" t="str">
        <f aca="false">IF($G375=0,"",IF(""=0,"",""))</f>
        <v/>
      </c>
      <c r="N375" s="0" t="str">
        <f aca="false">IF($G375=0,"",IF(IF(N(资金日记账!$I368)=0,"",-ROUND(N(资金日记账!$I368),2))=0,"",IF(N(资金日记账!$I368)=0,"",-ROUND(N(资金日记账!$I368),2))))</f>
        <v/>
      </c>
      <c r="O375" s="0" t="str">
        <f aca="false">IF($G375=0,"",IF(IF(N(资金日记账!$H368)=0,"",ROUND(N(资金日记账!$H368),2))=0,"",IF(N(资金日记账!$H368)=0,"",ROUND(N(资金日记账!$H368),2))))</f>
        <v/>
      </c>
      <c r="P375" s="0" t="str">
        <f aca="false">IF($G375=0,"",IF(资金日记账!$L368=0,"",资金日记账!$L368))</f>
        <v/>
      </c>
      <c r="T375" s="0" t="str">
        <f aca="false">IF(资金日记账!$G375="","",资金日记账!$G375)</f>
        <v/>
      </c>
      <c r="U375" s="0" t="n">
        <f aca="false">IF(T375="",0,IF(MATCH(T375,$T$4:$T$903,0)=ROW()-3,1,0))</f>
        <v>0</v>
      </c>
      <c r="V375" s="0" t="n">
        <f aca="false">N(V374)+U375</f>
        <v>30</v>
      </c>
      <c r="AF375" s="0" t="str">
        <f aca="false">IF(OR(资金日记账!$E375="",N(资金日记账!$H375)=0),"",资金日记账!$E375)</f>
        <v/>
      </c>
      <c r="AG375" s="0" t="n">
        <f aca="false">IF(AF375="",0,IF(MATCH(AF375,$AF$4:$AF$603,0)=ROW()-3,1,0))</f>
        <v>0</v>
      </c>
      <c r="AH375" s="0" t="n">
        <f aca="false">N(AH374)+AG375</f>
        <v>5</v>
      </c>
    </row>
    <row r="376" customFormat="false" ht="13.5" hidden="false" customHeight="false" outlineLevel="0" collapsed="false">
      <c r="A376" s="0" t="str">
        <f aca="false">IF(资金日记账!$E74="","",资金日记账!$E74)</f>
        <v/>
      </c>
      <c r="B376" s="0" t="n">
        <f aca="false">IF(A376="",0,IF(MATCH(A376,$A$4:$A$1925,0)=ROW()-3,1,0))</f>
        <v>0</v>
      </c>
      <c r="C376" s="0" t="n">
        <f aca="false">N(C375)+B376</f>
        <v>8</v>
      </c>
      <c r="G376" s="0" t="n">
        <f aca="false">IF(OR($G$1="",资金日记账!$E369="",资金日记账!$E369&lt;&gt;$G$1),0,IF(NOT(OR(N(资金日记账!$H369)&lt;&gt;0,N(资金日记账!$I369)&lt;&gt;0)),0,IF(资金日记账!$B369="",1,IF(OR(N(资金日记账!$B369)&lt;$H$1,N(资金日记账!$B369)&gt;$I$1),0,1))))</f>
        <v>0</v>
      </c>
      <c r="H376" s="0" t="n">
        <f aca="false">N(H375)+$G376</f>
        <v>3</v>
      </c>
      <c r="I376" s="0" t="str">
        <f aca="false">IF($G376=0,"",IF(资金日记账!$B369=0,"",资金日记账!$B369))</f>
        <v/>
      </c>
      <c r="J376" s="0" t="str">
        <f aca="false">IF($G376=0,"",IF(资金日记账!$D369=0,"",资金日记账!$D369))</f>
        <v/>
      </c>
      <c r="K376" s="0" t="str">
        <f aca="false">IF($G376=0,"",IF(""=0,"",""))</f>
        <v/>
      </c>
      <c r="L376" s="0" t="str">
        <f aca="false">IF($G376=0,"",IF(""=0,"",""))</f>
        <v/>
      </c>
      <c r="M376" s="0" t="str">
        <f aca="false">IF($G376=0,"",IF(""=0,"",""))</f>
        <v/>
      </c>
      <c r="N376" s="0" t="str">
        <f aca="false">IF($G376=0,"",IF(IF(N(资金日记账!$I369)=0,"",-ROUND(N(资金日记账!$I369),2))=0,"",IF(N(资金日记账!$I369)=0,"",-ROUND(N(资金日记账!$I369),2))))</f>
        <v/>
      </c>
      <c r="O376" s="0" t="str">
        <f aca="false">IF($G376=0,"",IF(IF(N(资金日记账!$H369)=0,"",ROUND(N(资金日记账!$H369),2))=0,"",IF(N(资金日记账!$H369)=0,"",ROUND(N(资金日记账!$H369),2))))</f>
        <v/>
      </c>
      <c r="P376" s="0" t="str">
        <f aca="false">IF($G376=0,"",IF(资金日记账!$L369=0,"",资金日记账!$L369))</f>
        <v/>
      </c>
      <c r="T376" s="0" t="str">
        <f aca="false">IF(资金日记账!$G376="","",资金日记账!$G376)</f>
        <v/>
      </c>
      <c r="U376" s="0" t="n">
        <f aca="false">IF(T376="",0,IF(MATCH(T376,$T$4:$T$903,0)=ROW()-3,1,0))</f>
        <v>0</v>
      </c>
      <c r="V376" s="0" t="n">
        <f aca="false">N(V375)+U376</f>
        <v>30</v>
      </c>
      <c r="AF376" s="0" t="str">
        <f aca="false">IF(OR(资金日记账!$E376="",N(资金日记账!$H376)=0),"",资金日记账!$E376)</f>
        <v/>
      </c>
      <c r="AG376" s="0" t="n">
        <f aca="false">IF(AF376="",0,IF(MATCH(AF376,$AF$4:$AF$603,0)=ROW()-3,1,0))</f>
        <v>0</v>
      </c>
      <c r="AH376" s="0" t="n">
        <f aca="false">N(AH375)+AG376</f>
        <v>5</v>
      </c>
    </row>
    <row r="377" customFormat="false" ht="13.5" hidden="false" customHeight="false" outlineLevel="0" collapsed="false">
      <c r="A377" s="0" t="str">
        <f aca="false">IF(资金日记账!$E75="","",资金日记账!$E75)</f>
        <v/>
      </c>
      <c r="B377" s="0" t="n">
        <f aca="false">IF(A377="",0,IF(MATCH(A377,$A$4:$A$1925,0)=ROW()-3,1,0))</f>
        <v>0</v>
      </c>
      <c r="C377" s="0" t="n">
        <f aca="false">N(C376)+B377</f>
        <v>8</v>
      </c>
      <c r="G377" s="0" t="n">
        <f aca="false">IF(OR($G$1="",资金日记账!$E370="",资金日记账!$E370&lt;&gt;$G$1),0,IF(NOT(OR(N(资金日记账!$H370)&lt;&gt;0,N(资金日记账!$I370)&lt;&gt;0)),0,IF(资金日记账!$B370="",1,IF(OR(N(资金日记账!$B370)&lt;$H$1,N(资金日记账!$B370)&gt;$I$1),0,1))))</f>
        <v>0</v>
      </c>
      <c r="H377" s="0" t="n">
        <f aca="false">N(H376)+$G377</f>
        <v>3</v>
      </c>
      <c r="I377" s="0" t="str">
        <f aca="false">IF($G377=0,"",IF(资金日记账!$B370=0,"",资金日记账!$B370))</f>
        <v/>
      </c>
      <c r="J377" s="0" t="str">
        <f aca="false">IF($G377=0,"",IF(资金日记账!$D370=0,"",资金日记账!$D370))</f>
        <v/>
      </c>
      <c r="K377" s="0" t="str">
        <f aca="false">IF($G377=0,"",IF(""=0,"",""))</f>
        <v/>
      </c>
      <c r="L377" s="0" t="str">
        <f aca="false">IF($G377=0,"",IF(""=0,"",""))</f>
        <v/>
      </c>
      <c r="M377" s="0" t="str">
        <f aca="false">IF($G377=0,"",IF(""=0,"",""))</f>
        <v/>
      </c>
      <c r="N377" s="0" t="str">
        <f aca="false">IF($G377=0,"",IF(IF(N(资金日记账!$I370)=0,"",-ROUND(N(资金日记账!$I370),2))=0,"",IF(N(资金日记账!$I370)=0,"",-ROUND(N(资金日记账!$I370),2))))</f>
        <v/>
      </c>
      <c r="O377" s="0" t="str">
        <f aca="false">IF($G377=0,"",IF(IF(N(资金日记账!$H370)=0,"",ROUND(N(资金日记账!$H370),2))=0,"",IF(N(资金日记账!$H370)=0,"",ROUND(N(资金日记账!$H370),2))))</f>
        <v/>
      </c>
      <c r="P377" s="0" t="str">
        <f aca="false">IF($G377=0,"",IF(资金日记账!$L370=0,"",资金日记账!$L370))</f>
        <v/>
      </c>
      <c r="T377" s="0" t="str">
        <f aca="false">IF(资金日记账!$G377="","",资金日记账!$G377)</f>
        <v/>
      </c>
      <c r="U377" s="0" t="n">
        <f aca="false">IF(T377="",0,IF(MATCH(T377,$T$4:$T$903,0)=ROW()-3,1,0))</f>
        <v>0</v>
      </c>
      <c r="V377" s="0" t="n">
        <f aca="false">N(V376)+U377</f>
        <v>30</v>
      </c>
      <c r="AF377" s="0" t="str">
        <f aca="false">IF(OR(资金日记账!$E377="",N(资金日记账!$H377)=0),"",资金日记账!$E377)</f>
        <v/>
      </c>
      <c r="AG377" s="0" t="n">
        <f aca="false">IF(AF377="",0,IF(MATCH(AF377,$AF$4:$AF$603,0)=ROW()-3,1,0))</f>
        <v>0</v>
      </c>
      <c r="AH377" s="0" t="n">
        <f aca="false">N(AH376)+AG377</f>
        <v>5</v>
      </c>
    </row>
    <row r="378" customFormat="false" ht="13.5" hidden="false" customHeight="false" outlineLevel="0" collapsed="false">
      <c r="A378" s="0" t="str">
        <f aca="false">IF(资金日记账!$E76="","",资金日记账!$E76)</f>
        <v/>
      </c>
      <c r="B378" s="0" t="n">
        <f aca="false">IF(A378="",0,IF(MATCH(A378,$A$4:$A$1925,0)=ROW()-3,1,0))</f>
        <v>0</v>
      </c>
      <c r="C378" s="0" t="n">
        <f aca="false">N(C377)+B378</f>
        <v>8</v>
      </c>
      <c r="G378" s="0" t="n">
        <f aca="false">IF(OR($G$1="",资金日记账!$E371="",资金日记账!$E371&lt;&gt;$G$1),0,IF(NOT(OR(N(资金日记账!$H371)&lt;&gt;0,N(资金日记账!$I371)&lt;&gt;0)),0,IF(资金日记账!$B371="",1,IF(OR(N(资金日记账!$B371)&lt;$H$1,N(资金日记账!$B371)&gt;$I$1),0,1))))</f>
        <v>0</v>
      </c>
      <c r="H378" s="0" t="n">
        <f aca="false">N(H377)+$G378</f>
        <v>3</v>
      </c>
      <c r="I378" s="0" t="str">
        <f aca="false">IF($G378=0,"",IF(资金日记账!$B371=0,"",资金日记账!$B371))</f>
        <v/>
      </c>
      <c r="J378" s="0" t="str">
        <f aca="false">IF($G378=0,"",IF(资金日记账!$D371=0,"",资金日记账!$D371))</f>
        <v/>
      </c>
      <c r="K378" s="0" t="str">
        <f aca="false">IF($G378=0,"",IF(""=0,"",""))</f>
        <v/>
      </c>
      <c r="L378" s="0" t="str">
        <f aca="false">IF($G378=0,"",IF(""=0,"",""))</f>
        <v/>
      </c>
      <c r="M378" s="0" t="str">
        <f aca="false">IF($G378=0,"",IF(""=0,"",""))</f>
        <v/>
      </c>
      <c r="N378" s="0" t="str">
        <f aca="false">IF($G378=0,"",IF(IF(N(资金日记账!$I371)=0,"",-ROUND(N(资金日记账!$I371),2))=0,"",IF(N(资金日记账!$I371)=0,"",-ROUND(N(资金日记账!$I371),2))))</f>
        <v/>
      </c>
      <c r="O378" s="0" t="str">
        <f aca="false">IF($G378=0,"",IF(IF(N(资金日记账!$H371)=0,"",ROUND(N(资金日记账!$H371),2))=0,"",IF(N(资金日记账!$H371)=0,"",ROUND(N(资金日记账!$H371),2))))</f>
        <v/>
      </c>
      <c r="P378" s="0" t="str">
        <f aca="false">IF($G378=0,"",IF(资金日记账!$L371=0,"",资金日记账!$L371))</f>
        <v/>
      </c>
      <c r="T378" s="0" t="str">
        <f aca="false">IF(资金日记账!$G378="","",资金日记账!$G378)</f>
        <v/>
      </c>
      <c r="U378" s="0" t="n">
        <f aca="false">IF(T378="",0,IF(MATCH(T378,$T$4:$T$903,0)=ROW()-3,1,0))</f>
        <v>0</v>
      </c>
      <c r="V378" s="0" t="n">
        <f aca="false">N(V377)+U378</f>
        <v>30</v>
      </c>
      <c r="AF378" s="0" t="str">
        <f aca="false">IF(OR(资金日记账!$E378="",N(资金日记账!$H378)=0),"",资金日记账!$E378)</f>
        <v/>
      </c>
      <c r="AG378" s="0" t="n">
        <f aca="false">IF(AF378="",0,IF(MATCH(AF378,$AF$4:$AF$603,0)=ROW()-3,1,0))</f>
        <v>0</v>
      </c>
      <c r="AH378" s="0" t="n">
        <f aca="false">N(AH377)+AG378</f>
        <v>5</v>
      </c>
    </row>
    <row r="379" customFormat="false" ht="13.5" hidden="false" customHeight="false" outlineLevel="0" collapsed="false">
      <c r="A379" s="0" t="str">
        <f aca="false">IF(资金日记账!$E77="","",资金日记账!$E77)</f>
        <v/>
      </c>
      <c r="B379" s="0" t="n">
        <f aca="false">IF(A379="",0,IF(MATCH(A379,$A$4:$A$1925,0)=ROW()-3,1,0))</f>
        <v>0</v>
      </c>
      <c r="C379" s="0" t="n">
        <f aca="false">N(C378)+B379</f>
        <v>8</v>
      </c>
      <c r="G379" s="0" t="n">
        <f aca="false">IF(OR($G$1="",资金日记账!$E372="",资金日记账!$E372&lt;&gt;$G$1),0,IF(NOT(OR(N(资金日记账!$H372)&lt;&gt;0,N(资金日记账!$I372)&lt;&gt;0)),0,IF(资金日记账!$B372="",1,IF(OR(N(资金日记账!$B372)&lt;$H$1,N(资金日记账!$B372)&gt;$I$1),0,1))))</f>
        <v>0</v>
      </c>
      <c r="H379" s="0" t="n">
        <f aca="false">N(H378)+$G379</f>
        <v>3</v>
      </c>
      <c r="I379" s="0" t="str">
        <f aca="false">IF($G379=0,"",IF(资金日记账!$B372=0,"",资金日记账!$B372))</f>
        <v/>
      </c>
      <c r="J379" s="0" t="str">
        <f aca="false">IF($G379=0,"",IF(资金日记账!$D372=0,"",资金日记账!$D372))</f>
        <v/>
      </c>
      <c r="K379" s="0" t="str">
        <f aca="false">IF($G379=0,"",IF(""=0,"",""))</f>
        <v/>
      </c>
      <c r="L379" s="0" t="str">
        <f aca="false">IF($G379=0,"",IF(""=0,"",""))</f>
        <v/>
      </c>
      <c r="M379" s="0" t="str">
        <f aca="false">IF($G379=0,"",IF(""=0,"",""))</f>
        <v/>
      </c>
      <c r="N379" s="0" t="str">
        <f aca="false">IF($G379=0,"",IF(IF(N(资金日记账!$I372)=0,"",-ROUND(N(资金日记账!$I372),2))=0,"",IF(N(资金日记账!$I372)=0,"",-ROUND(N(资金日记账!$I372),2))))</f>
        <v/>
      </c>
      <c r="O379" s="0" t="str">
        <f aca="false">IF($G379=0,"",IF(IF(N(资金日记账!$H372)=0,"",ROUND(N(资金日记账!$H372),2))=0,"",IF(N(资金日记账!$H372)=0,"",ROUND(N(资金日记账!$H372),2))))</f>
        <v/>
      </c>
      <c r="P379" s="0" t="str">
        <f aca="false">IF($G379=0,"",IF(资金日记账!$L372=0,"",资金日记账!$L372))</f>
        <v/>
      </c>
      <c r="T379" s="0" t="str">
        <f aca="false">IF(资金日记账!$G379="","",资金日记账!$G379)</f>
        <v/>
      </c>
      <c r="U379" s="0" t="n">
        <f aca="false">IF(T379="",0,IF(MATCH(T379,$T$4:$T$903,0)=ROW()-3,1,0))</f>
        <v>0</v>
      </c>
      <c r="V379" s="0" t="n">
        <f aca="false">N(V378)+U379</f>
        <v>30</v>
      </c>
      <c r="AF379" s="0" t="str">
        <f aca="false">IF(OR(资金日记账!$E379="",N(资金日记账!$H379)=0),"",资金日记账!$E379)</f>
        <v/>
      </c>
      <c r="AG379" s="0" t="n">
        <f aca="false">IF(AF379="",0,IF(MATCH(AF379,$AF$4:$AF$603,0)=ROW()-3,1,0))</f>
        <v>0</v>
      </c>
      <c r="AH379" s="0" t="n">
        <f aca="false">N(AH378)+AG379</f>
        <v>5</v>
      </c>
    </row>
    <row r="380" customFormat="false" ht="13.5" hidden="false" customHeight="false" outlineLevel="0" collapsed="false">
      <c r="A380" s="0" t="str">
        <f aca="false">IF(资金日记账!$E78="","",资金日记账!$E78)</f>
        <v/>
      </c>
      <c r="B380" s="0" t="n">
        <f aca="false">IF(A380="",0,IF(MATCH(A380,$A$4:$A$1925,0)=ROW()-3,1,0))</f>
        <v>0</v>
      </c>
      <c r="C380" s="0" t="n">
        <f aca="false">N(C379)+B380</f>
        <v>8</v>
      </c>
      <c r="G380" s="0" t="n">
        <f aca="false">IF(OR($G$1="",资金日记账!$E373="",资金日记账!$E373&lt;&gt;$G$1),0,IF(NOT(OR(N(资金日记账!$H373)&lt;&gt;0,N(资金日记账!$I373)&lt;&gt;0)),0,IF(资金日记账!$B373="",1,IF(OR(N(资金日记账!$B373)&lt;$H$1,N(资金日记账!$B373)&gt;$I$1),0,1))))</f>
        <v>0</v>
      </c>
      <c r="H380" s="0" t="n">
        <f aca="false">N(H379)+$G380</f>
        <v>3</v>
      </c>
      <c r="I380" s="0" t="str">
        <f aca="false">IF($G380=0,"",IF(资金日记账!$B373=0,"",资金日记账!$B373))</f>
        <v/>
      </c>
      <c r="J380" s="0" t="str">
        <f aca="false">IF($G380=0,"",IF(资金日记账!$D373=0,"",资金日记账!$D373))</f>
        <v/>
      </c>
      <c r="K380" s="0" t="str">
        <f aca="false">IF($G380=0,"",IF(""=0,"",""))</f>
        <v/>
      </c>
      <c r="L380" s="0" t="str">
        <f aca="false">IF($G380=0,"",IF(""=0,"",""))</f>
        <v/>
      </c>
      <c r="M380" s="0" t="str">
        <f aca="false">IF($G380=0,"",IF(""=0,"",""))</f>
        <v/>
      </c>
      <c r="N380" s="0" t="str">
        <f aca="false">IF($G380=0,"",IF(IF(N(资金日记账!$I373)=0,"",-ROUND(N(资金日记账!$I373),2))=0,"",IF(N(资金日记账!$I373)=0,"",-ROUND(N(资金日记账!$I373),2))))</f>
        <v/>
      </c>
      <c r="O380" s="0" t="str">
        <f aca="false">IF($G380=0,"",IF(IF(N(资金日记账!$H373)=0,"",ROUND(N(资金日记账!$H373),2))=0,"",IF(N(资金日记账!$H373)=0,"",ROUND(N(资金日记账!$H373),2))))</f>
        <v/>
      </c>
      <c r="P380" s="0" t="str">
        <f aca="false">IF($G380=0,"",IF(资金日记账!$L373=0,"",资金日记账!$L373))</f>
        <v/>
      </c>
      <c r="T380" s="0" t="str">
        <f aca="false">IF(资金日记账!$G380="","",资金日记账!$G380)</f>
        <v/>
      </c>
      <c r="U380" s="0" t="n">
        <f aca="false">IF(T380="",0,IF(MATCH(T380,$T$4:$T$903,0)=ROW()-3,1,0))</f>
        <v>0</v>
      </c>
      <c r="V380" s="0" t="n">
        <f aca="false">N(V379)+U380</f>
        <v>30</v>
      </c>
      <c r="AF380" s="0" t="str">
        <f aca="false">IF(OR(资金日记账!$E380="",N(资金日记账!$H380)=0),"",资金日记账!$E380)</f>
        <v/>
      </c>
      <c r="AG380" s="0" t="n">
        <f aca="false">IF(AF380="",0,IF(MATCH(AF380,$AF$4:$AF$603,0)=ROW()-3,1,0))</f>
        <v>0</v>
      </c>
      <c r="AH380" s="0" t="n">
        <f aca="false">N(AH379)+AG380</f>
        <v>5</v>
      </c>
    </row>
    <row r="381" customFormat="false" ht="13.5" hidden="false" customHeight="false" outlineLevel="0" collapsed="false">
      <c r="A381" s="0" t="str">
        <f aca="false">IF(资金日记账!$E79="","",资金日记账!$E79)</f>
        <v/>
      </c>
      <c r="B381" s="0" t="n">
        <f aca="false">IF(A381="",0,IF(MATCH(A381,$A$4:$A$1925,0)=ROW()-3,1,0))</f>
        <v>0</v>
      </c>
      <c r="C381" s="0" t="n">
        <f aca="false">N(C380)+B381</f>
        <v>8</v>
      </c>
      <c r="G381" s="0" t="n">
        <f aca="false">IF(OR($G$1="",资金日记账!$E374="",资金日记账!$E374&lt;&gt;$G$1),0,IF(NOT(OR(N(资金日记账!$H374)&lt;&gt;0,N(资金日记账!$I374)&lt;&gt;0)),0,IF(资金日记账!$B374="",1,IF(OR(N(资金日记账!$B374)&lt;$H$1,N(资金日记账!$B374)&gt;$I$1),0,1))))</f>
        <v>0</v>
      </c>
      <c r="H381" s="0" t="n">
        <f aca="false">N(H380)+$G381</f>
        <v>3</v>
      </c>
      <c r="I381" s="0" t="str">
        <f aca="false">IF($G381=0,"",IF(资金日记账!$B374=0,"",资金日记账!$B374))</f>
        <v/>
      </c>
      <c r="J381" s="0" t="str">
        <f aca="false">IF($G381=0,"",IF(资金日记账!$D374=0,"",资金日记账!$D374))</f>
        <v/>
      </c>
      <c r="K381" s="0" t="str">
        <f aca="false">IF($G381=0,"",IF(""=0,"",""))</f>
        <v/>
      </c>
      <c r="L381" s="0" t="str">
        <f aca="false">IF($G381=0,"",IF(""=0,"",""))</f>
        <v/>
      </c>
      <c r="M381" s="0" t="str">
        <f aca="false">IF($G381=0,"",IF(""=0,"",""))</f>
        <v/>
      </c>
      <c r="N381" s="0" t="str">
        <f aca="false">IF($G381=0,"",IF(IF(N(资金日记账!$I374)=0,"",-ROUND(N(资金日记账!$I374),2))=0,"",IF(N(资金日记账!$I374)=0,"",-ROUND(N(资金日记账!$I374),2))))</f>
        <v/>
      </c>
      <c r="O381" s="0" t="str">
        <f aca="false">IF($G381=0,"",IF(IF(N(资金日记账!$H374)=0,"",ROUND(N(资金日记账!$H374),2))=0,"",IF(N(资金日记账!$H374)=0,"",ROUND(N(资金日记账!$H374),2))))</f>
        <v/>
      </c>
      <c r="P381" s="0" t="str">
        <f aca="false">IF($G381=0,"",IF(资金日记账!$L374=0,"",资金日记账!$L374))</f>
        <v/>
      </c>
      <c r="T381" s="0" t="str">
        <f aca="false">IF(资金日记账!$G381="","",资金日记账!$G381)</f>
        <v/>
      </c>
      <c r="U381" s="0" t="n">
        <f aca="false">IF(T381="",0,IF(MATCH(T381,$T$4:$T$903,0)=ROW()-3,1,0))</f>
        <v>0</v>
      </c>
      <c r="V381" s="0" t="n">
        <f aca="false">N(V380)+U381</f>
        <v>30</v>
      </c>
      <c r="AF381" s="0" t="str">
        <f aca="false">IF(OR(资金日记账!$E381="",N(资金日记账!$H381)=0),"",资金日记账!$E381)</f>
        <v/>
      </c>
      <c r="AG381" s="0" t="n">
        <f aca="false">IF(AF381="",0,IF(MATCH(AF381,$AF$4:$AF$603,0)=ROW()-3,1,0))</f>
        <v>0</v>
      </c>
      <c r="AH381" s="0" t="n">
        <f aca="false">N(AH380)+AG381</f>
        <v>5</v>
      </c>
    </row>
    <row r="382" customFormat="false" ht="13.5" hidden="false" customHeight="false" outlineLevel="0" collapsed="false">
      <c r="A382" s="0" t="str">
        <f aca="false">IF(资金日记账!$E80="","",资金日记账!$E80)</f>
        <v/>
      </c>
      <c r="B382" s="0" t="n">
        <f aca="false">IF(A382="",0,IF(MATCH(A382,$A$4:$A$1925,0)=ROW()-3,1,0))</f>
        <v>0</v>
      </c>
      <c r="C382" s="0" t="n">
        <f aca="false">N(C381)+B382</f>
        <v>8</v>
      </c>
      <c r="G382" s="0" t="n">
        <f aca="false">IF(OR($G$1="",资金日记账!$E375="",资金日记账!$E375&lt;&gt;$G$1),0,IF(NOT(OR(N(资金日记账!$H375)&lt;&gt;0,N(资金日记账!$I375)&lt;&gt;0)),0,IF(资金日记账!$B375="",1,IF(OR(N(资金日记账!$B375)&lt;$H$1,N(资金日记账!$B375)&gt;$I$1),0,1))))</f>
        <v>0</v>
      </c>
      <c r="H382" s="0" t="n">
        <f aca="false">N(H381)+$G382</f>
        <v>3</v>
      </c>
      <c r="I382" s="0" t="str">
        <f aca="false">IF($G382=0,"",IF(资金日记账!$B375=0,"",资金日记账!$B375))</f>
        <v/>
      </c>
      <c r="J382" s="0" t="str">
        <f aca="false">IF($G382=0,"",IF(资金日记账!$D375=0,"",资金日记账!$D375))</f>
        <v/>
      </c>
      <c r="K382" s="0" t="str">
        <f aca="false">IF($G382=0,"",IF(""=0,"",""))</f>
        <v/>
      </c>
      <c r="L382" s="0" t="str">
        <f aca="false">IF($G382=0,"",IF(""=0,"",""))</f>
        <v/>
      </c>
      <c r="M382" s="0" t="str">
        <f aca="false">IF($G382=0,"",IF(""=0,"",""))</f>
        <v/>
      </c>
      <c r="N382" s="0" t="str">
        <f aca="false">IF($G382=0,"",IF(IF(N(资金日记账!$I375)=0,"",-ROUND(N(资金日记账!$I375),2))=0,"",IF(N(资金日记账!$I375)=0,"",-ROUND(N(资金日记账!$I375),2))))</f>
        <v/>
      </c>
      <c r="O382" s="0" t="str">
        <f aca="false">IF($G382=0,"",IF(IF(N(资金日记账!$H375)=0,"",ROUND(N(资金日记账!$H375),2))=0,"",IF(N(资金日记账!$H375)=0,"",ROUND(N(资金日记账!$H375),2))))</f>
        <v/>
      </c>
      <c r="P382" s="0" t="str">
        <f aca="false">IF($G382=0,"",IF(资金日记账!$L375=0,"",资金日记账!$L375))</f>
        <v/>
      </c>
      <c r="T382" s="0" t="str">
        <f aca="false">IF(资金日记账!$G382="","",资金日记账!$G382)</f>
        <v/>
      </c>
      <c r="U382" s="0" t="n">
        <f aca="false">IF(T382="",0,IF(MATCH(T382,$T$4:$T$903,0)=ROW()-3,1,0))</f>
        <v>0</v>
      </c>
      <c r="V382" s="0" t="n">
        <f aca="false">N(V381)+U382</f>
        <v>30</v>
      </c>
      <c r="AF382" s="0" t="str">
        <f aca="false">IF(OR(资金日记账!$E382="",N(资金日记账!$H382)=0),"",资金日记账!$E382)</f>
        <v/>
      </c>
      <c r="AG382" s="0" t="n">
        <f aca="false">IF(AF382="",0,IF(MATCH(AF382,$AF$4:$AF$603,0)=ROW()-3,1,0))</f>
        <v>0</v>
      </c>
      <c r="AH382" s="0" t="n">
        <f aca="false">N(AH381)+AG382</f>
        <v>5</v>
      </c>
    </row>
    <row r="383" customFormat="false" ht="13.5" hidden="false" customHeight="false" outlineLevel="0" collapsed="false">
      <c r="A383" s="0" t="str">
        <f aca="false">IF(资金日记账!$E81="","",资金日记账!$E81)</f>
        <v/>
      </c>
      <c r="B383" s="0" t="n">
        <f aca="false">IF(A383="",0,IF(MATCH(A383,$A$4:$A$1925,0)=ROW()-3,1,0))</f>
        <v>0</v>
      </c>
      <c r="C383" s="0" t="n">
        <f aca="false">N(C382)+B383</f>
        <v>8</v>
      </c>
      <c r="G383" s="0" t="n">
        <f aca="false">IF(OR($G$1="",资金日记账!$E376="",资金日记账!$E376&lt;&gt;$G$1),0,IF(NOT(OR(N(资金日记账!$H376)&lt;&gt;0,N(资金日记账!$I376)&lt;&gt;0)),0,IF(资金日记账!$B376="",1,IF(OR(N(资金日记账!$B376)&lt;$H$1,N(资金日记账!$B376)&gt;$I$1),0,1))))</f>
        <v>0</v>
      </c>
      <c r="H383" s="0" t="n">
        <f aca="false">N(H382)+$G383</f>
        <v>3</v>
      </c>
      <c r="I383" s="0" t="str">
        <f aca="false">IF($G383=0,"",IF(资金日记账!$B376=0,"",资金日记账!$B376))</f>
        <v/>
      </c>
      <c r="J383" s="0" t="str">
        <f aca="false">IF($G383=0,"",IF(资金日记账!$D376=0,"",资金日记账!$D376))</f>
        <v/>
      </c>
      <c r="K383" s="0" t="str">
        <f aca="false">IF($G383=0,"",IF(""=0,"",""))</f>
        <v/>
      </c>
      <c r="L383" s="0" t="str">
        <f aca="false">IF($G383=0,"",IF(""=0,"",""))</f>
        <v/>
      </c>
      <c r="M383" s="0" t="str">
        <f aca="false">IF($G383=0,"",IF(""=0,"",""))</f>
        <v/>
      </c>
      <c r="N383" s="0" t="str">
        <f aca="false">IF($G383=0,"",IF(IF(N(资金日记账!$I376)=0,"",-ROUND(N(资金日记账!$I376),2))=0,"",IF(N(资金日记账!$I376)=0,"",-ROUND(N(资金日记账!$I376),2))))</f>
        <v/>
      </c>
      <c r="O383" s="0" t="str">
        <f aca="false">IF($G383=0,"",IF(IF(N(资金日记账!$H376)=0,"",ROUND(N(资金日记账!$H376),2))=0,"",IF(N(资金日记账!$H376)=0,"",ROUND(N(资金日记账!$H376),2))))</f>
        <v/>
      </c>
      <c r="P383" s="0" t="str">
        <f aca="false">IF($G383=0,"",IF(资金日记账!$L376=0,"",资金日记账!$L376))</f>
        <v/>
      </c>
      <c r="T383" s="0" t="str">
        <f aca="false">IF(资金日记账!$G383="","",资金日记账!$G383)</f>
        <v/>
      </c>
      <c r="U383" s="0" t="n">
        <f aca="false">IF(T383="",0,IF(MATCH(T383,$T$4:$T$903,0)=ROW()-3,1,0))</f>
        <v>0</v>
      </c>
      <c r="V383" s="0" t="n">
        <f aca="false">N(V382)+U383</f>
        <v>30</v>
      </c>
      <c r="AF383" s="0" t="str">
        <f aca="false">IF(OR(资金日记账!$E383="",N(资金日记账!$H383)=0),"",资金日记账!$E383)</f>
        <v/>
      </c>
      <c r="AG383" s="0" t="n">
        <f aca="false">IF(AF383="",0,IF(MATCH(AF383,$AF$4:$AF$603,0)=ROW()-3,1,0))</f>
        <v>0</v>
      </c>
      <c r="AH383" s="0" t="n">
        <f aca="false">N(AH382)+AG383</f>
        <v>5</v>
      </c>
    </row>
    <row r="384" customFormat="false" ht="13.5" hidden="false" customHeight="false" outlineLevel="0" collapsed="false">
      <c r="A384" s="0" t="str">
        <f aca="false">IF(资金日记账!$E82="","",资金日记账!$E82)</f>
        <v/>
      </c>
      <c r="B384" s="0" t="n">
        <f aca="false">IF(A384="",0,IF(MATCH(A384,$A$4:$A$1925,0)=ROW()-3,1,0))</f>
        <v>0</v>
      </c>
      <c r="C384" s="0" t="n">
        <f aca="false">N(C383)+B384</f>
        <v>8</v>
      </c>
      <c r="G384" s="0" t="n">
        <f aca="false">IF(OR($G$1="",资金日记账!$E377="",资金日记账!$E377&lt;&gt;$G$1),0,IF(NOT(OR(N(资金日记账!$H377)&lt;&gt;0,N(资金日记账!$I377)&lt;&gt;0)),0,IF(资金日记账!$B377="",1,IF(OR(N(资金日记账!$B377)&lt;$H$1,N(资金日记账!$B377)&gt;$I$1),0,1))))</f>
        <v>0</v>
      </c>
      <c r="H384" s="0" t="n">
        <f aca="false">N(H383)+$G384</f>
        <v>3</v>
      </c>
      <c r="I384" s="0" t="str">
        <f aca="false">IF($G384=0,"",IF(资金日记账!$B377=0,"",资金日记账!$B377))</f>
        <v/>
      </c>
      <c r="J384" s="0" t="str">
        <f aca="false">IF($G384=0,"",IF(资金日记账!$D377=0,"",资金日记账!$D377))</f>
        <v/>
      </c>
      <c r="K384" s="0" t="str">
        <f aca="false">IF($G384=0,"",IF(""=0,"",""))</f>
        <v/>
      </c>
      <c r="L384" s="0" t="str">
        <f aca="false">IF($G384=0,"",IF(""=0,"",""))</f>
        <v/>
      </c>
      <c r="M384" s="0" t="str">
        <f aca="false">IF($G384=0,"",IF(""=0,"",""))</f>
        <v/>
      </c>
      <c r="N384" s="0" t="str">
        <f aca="false">IF($G384=0,"",IF(IF(N(资金日记账!$I377)=0,"",-ROUND(N(资金日记账!$I377),2))=0,"",IF(N(资金日记账!$I377)=0,"",-ROUND(N(资金日记账!$I377),2))))</f>
        <v/>
      </c>
      <c r="O384" s="0" t="str">
        <f aca="false">IF($G384=0,"",IF(IF(N(资金日记账!$H377)=0,"",ROUND(N(资金日记账!$H377),2))=0,"",IF(N(资金日记账!$H377)=0,"",ROUND(N(资金日记账!$H377),2))))</f>
        <v/>
      </c>
      <c r="P384" s="0" t="str">
        <f aca="false">IF($G384=0,"",IF(资金日记账!$L377=0,"",资金日记账!$L377))</f>
        <v/>
      </c>
      <c r="T384" s="0" t="str">
        <f aca="false">IF(资金日记账!$G384="","",资金日记账!$G384)</f>
        <v/>
      </c>
      <c r="U384" s="0" t="n">
        <f aca="false">IF(T384="",0,IF(MATCH(T384,$T$4:$T$903,0)=ROW()-3,1,0))</f>
        <v>0</v>
      </c>
      <c r="V384" s="0" t="n">
        <f aca="false">N(V383)+U384</f>
        <v>30</v>
      </c>
      <c r="AF384" s="0" t="str">
        <f aca="false">IF(OR(资金日记账!$E384="",N(资金日记账!$H384)=0),"",资金日记账!$E384)</f>
        <v/>
      </c>
      <c r="AG384" s="0" t="n">
        <f aca="false">IF(AF384="",0,IF(MATCH(AF384,$AF$4:$AF$603,0)=ROW()-3,1,0))</f>
        <v>0</v>
      </c>
      <c r="AH384" s="0" t="n">
        <f aca="false">N(AH383)+AG384</f>
        <v>5</v>
      </c>
    </row>
    <row r="385" customFormat="false" ht="13.5" hidden="false" customHeight="false" outlineLevel="0" collapsed="false">
      <c r="A385" s="0" t="str">
        <f aca="false">IF(资金日记账!$E83="","",资金日记账!$E83)</f>
        <v/>
      </c>
      <c r="B385" s="0" t="n">
        <f aca="false">IF(A385="",0,IF(MATCH(A385,$A$4:$A$1925,0)=ROW()-3,1,0))</f>
        <v>0</v>
      </c>
      <c r="C385" s="0" t="n">
        <f aca="false">N(C384)+B385</f>
        <v>8</v>
      </c>
      <c r="G385" s="0" t="n">
        <f aca="false">IF(OR($G$1="",资金日记账!$E378="",资金日记账!$E378&lt;&gt;$G$1),0,IF(NOT(OR(N(资金日记账!$H378)&lt;&gt;0,N(资金日记账!$I378)&lt;&gt;0)),0,IF(资金日记账!$B378="",1,IF(OR(N(资金日记账!$B378)&lt;$H$1,N(资金日记账!$B378)&gt;$I$1),0,1))))</f>
        <v>0</v>
      </c>
      <c r="H385" s="0" t="n">
        <f aca="false">N(H384)+$G385</f>
        <v>3</v>
      </c>
      <c r="I385" s="0" t="str">
        <f aca="false">IF($G385=0,"",IF(资金日记账!$B378=0,"",资金日记账!$B378))</f>
        <v/>
      </c>
      <c r="J385" s="0" t="str">
        <f aca="false">IF($G385=0,"",IF(资金日记账!$D378=0,"",资金日记账!$D378))</f>
        <v/>
      </c>
      <c r="K385" s="0" t="str">
        <f aca="false">IF($G385=0,"",IF(""=0,"",""))</f>
        <v/>
      </c>
      <c r="L385" s="0" t="str">
        <f aca="false">IF($G385=0,"",IF(""=0,"",""))</f>
        <v/>
      </c>
      <c r="M385" s="0" t="str">
        <f aca="false">IF($G385=0,"",IF(""=0,"",""))</f>
        <v/>
      </c>
      <c r="N385" s="0" t="str">
        <f aca="false">IF($G385=0,"",IF(IF(N(资金日记账!$I378)=0,"",-ROUND(N(资金日记账!$I378),2))=0,"",IF(N(资金日记账!$I378)=0,"",-ROUND(N(资金日记账!$I378),2))))</f>
        <v/>
      </c>
      <c r="O385" s="0" t="str">
        <f aca="false">IF($G385=0,"",IF(IF(N(资金日记账!$H378)=0,"",ROUND(N(资金日记账!$H378),2))=0,"",IF(N(资金日记账!$H378)=0,"",ROUND(N(资金日记账!$H378),2))))</f>
        <v/>
      </c>
      <c r="P385" s="0" t="str">
        <f aca="false">IF($G385=0,"",IF(资金日记账!$L378=0,"",资金日记账!$L378))</f>
        <v/>
      </c>
      <c r="T385" s="0" t="str">
        <f aca="false">IF(资金日记账!$G385="","",资金日记账!$G385)</f>
        <v/>
      </c>
      <c r="U385" s="0" t="n">
        <f aca="false">IF(T385="",0,IF(MATCH(T385,$T$4:$T$903,0)=ROW()-3,1,0))</f>
        <v>0</v>
      </c>
      <c r="V385" s="0" t="n">
        <f aca="false">N(V384)+U385</f>
        <v>30</v>
      </c>
      <c r="AF385" s="0" t="str">
        <f aca="false">IF(OR(资金日记账!$E385="",N(资金日记账!$H385)=0),"",资金日记账!$E385)</f>
        <v/>
      </c>
      <c r="AG385" s="0" t="n">
        <f aca="false">IF(AF385="",0,IF(MATCH(AF385,$AF$4:$AF$603,0)=ROW()-3,1,0))</f>
        <v>0</v>
      </c>
      <c r="AH385" s="0" t="n">
        <f aca="false">N(AH384)+AG385</f>
        <v>5</v>
      </c>
    </row>
    <row r="386" customFormat="false" ht="13.5" hidden="false" customHeight="false" outlineLevel="0" collapsed="false">
      <c r="A386" s="0" t="str">
        <f aca="false">IF(资金日记账!$E84="","",资金日记账!$E84)</f>
        <v/>
      </c>
      <c r="B386" s="0" t="n">
        <f aca="false">IF(A386="",0,IF(MATCH(A386,$A$4:$A$1925,0)=ROW()-3,1,0))</f>
        <v>0</v>
      </c>
      <c r="C386" s="0" t="n">
        <f aca="false">N(C385)+B386</f>
        <v>8</v>
      </c>
      <c r="G386" s="0" t="n">
        <f aca="false">IF(OR($G$1="",资金日记账!$E379="",资金日记账!$E379&lt;&gt;$G$1),0,IF(NOT(OR(N(资金日记账!$H379)&lt;&gt;0,N(资金日记账!$I379)&lt;&gt;0)),0,IF(资金日记账!$B379="",1,IF(OR(N(资金日记账!$B379)&lt;$H$1,N(资金日记账!$B379)&gt;$I$1),0,1))))</f>
        <v>0</v>
      </c>
      <c r="H386" s="0" t="n">
        <f aca="false">N(H385)+$G386</f>
        <v>3</v>
      </c>
      <c r="I386" s="0" t="str">
        <f aca="false">IF($G386=0,"",IF(资金日记账!$B379=0,"",资金日记账!$B379))</f>
        <v/>
      </c>
      <c r="J386" s="0" t="str">
        <f aca="false">IF($G386=0,"",IF(资金日记账!$D379=0,"",资金日记账!$D379))</f>
        <v/>
      </c>
      <c r="K386" s="0" t="str">
        <f aca="false">IF($G386=0,"",IF(""=0,"",""))</f>
        <v/>
      </c>
      <c r="L386" s="0" t="str">
        <f aca="false">IF($G386=0,"",IF(""=0,"",""))</f>
        <v/>
      </c>
      <c r="M386" s="0" t="str">
        <f aca="false">IF($G386=0,"",IF(""=0,"",""))</f>
        <v/>
      </c>
      <c r="N386" s="0" t="str">
        <f aca="false">IF($G386=0,"",IF(IF(N(资金日记账!$I379)=0,"",-ROUND(N(资金日记账!$I379),2))=0,"",IF(N(资金日记账!$I379)=0,"",-ROUND(N(资金日记账!$I379),2))))</f>
        <v/>
      </c>
      <c r="O386" s="0" t="str">
        <f aca="false">IF($G386=0,"",IF(IF(N(资金日记账!$H379)=0,"",ROUND(N(资金日记账!$H379),2))=0,"",IF(N(资金日记账!$H379)=0,"",ROUND(N(资金日记账!$H379),2))))</f>
        <v/>
      </c>
      <c r="P386" s="0" t="str">
        <f aca="false">IF($G386=0,"",IF(资金日记账!$L379=0,"",资金日记账!$L379))</f>
        <v/>
      </c>
      <c r="T386" s="0" t="str">
        <f aca="false">IF(资金日记账!$G386="","",资金日记账!$G386)</f>
        <v/>
      </c>
      <c r="U386" s="0" t="n">
        <f aca="false">IF(T386="",0,IF(MATCH(T386,$T$4:$T$903,0)=ROW()-3,1,0))</f>
        <v>0</v>
      </c>
      <c r="V386" s="0" t="n">
        <f aca="false">N(V385)+U386</f>
        <v>30</v>
      </c>
      <c r="AF386" s="0" t="str">
        <f aca="false">IF(OR(资金日记账!$E386="",N(资金日记账!$H386)=0),"",资金日记账!$E386)</f>
        <v/>
      </c>
      <c r="AG386" s="0" t="n">
        <f aca="false">IF(AF386="",0,IF(MATCH(AF386,$AF$4:$AF$603,0)=ROW()-3,1,0))</f>
        <v>0</v>
      </c>
      <c r="AH386" s="0" t="n">
        <f aca="false">N(AH385)+AG386</f>
        <v>5</v>
      </c>
    </row>
    <row r="387" customFormat="false" ht="13.5" hidden="false" customHeight="false" outlineLevel="0" collapsed="false">
      <c r="A387" s="0" t="str">
        <f aca="false">IF(资金日记账!$E85="","",资金日记账!$E85)</f>
        <v/>
      </c>
      <c r="B387" s="0" t="n">
        <f aca="false">IF(A387="",0,IF(MATCH(A387,$A$4:$A$1925,0)=ROW()-3,1,0))</f>
        <v>0</v>
      </c>
      <c r="C387" s="0" t="n">
        <f aca="false">N(C386)+B387</f>
        <v>8</v>
      </c>
      <c r="G387" s="0" t="n">
        <f aca="false">IF(OR($G$1="",资金日记账!$E380="",资金日记账!$E380&lt;&gt;$G$1),0,IF(NOT(OR(N(资金日记账!$H380)&lt;&gt;0,N(资金日记账!$I380)&lt;&gt;0)),0,IF(资金日记账!$B380="",1,IF(OR(N(资金日记账!$B380)&lt;$H$1,N(资金日记账!$B380)&gt;$I$1),0,1))))</f>
        <v>0</v>
      </c>
      <c r="H387" s="0" t="n">
        <f aca="false">N(H386)+$G387</f>
        <v>3</v>
      </c>
      <c r="I387" s="0" t="str">
        <f aca="false">IF($G387=0,"",IF(资金日记账!$B380=0,"",资金日记账!$B380))</f>
        <v/>
      </c>
      <c r="J387" s="0" t="str">
        <f aca="false">IF($G387=0,"",IF(资金日记账!$D380=0,"",资金日记账!$D380))</f>
        <v/>
      </c>
      <c r="K387" s="0" t="str">
        <f aca="false">IF($G387=0,"",IF(""=0,"",""))</f>
        <v/>
      </c>
      <c r="L387" s="0" t="str">
        <f aca="false">IF($G387=0,"",IF(""=0,"",""))</f>
        <v/>
      </c>
      <c r="M387" s="0" t="str">
        <f aca="false">IF($G387=0,"",IF(""=0,"",""))</f>
        <v/>
      </c>
      <c r="N387" s="0" t="str">
        <f aca="false">IF($G387=0,"",IF(IF(N(资金日记账!$I380)=0,"",-ROUND(N(资金日记账!$I380),2))=0,"",IF(N(资金日记账!$I380)=0,"",-ROUND(N(资金日记账!$I380),2))))</f>
        <v/>
      </c>
      <c r="O387" s="0" t="str">
        <f aca="false">IF($G387=0,"",IF(IF(N(资金日记账!$H380)=0,"",ROUND(N(资金日记账!$H380),2))=0,"",IF(N(资金日记账!$H380)=0,"",ROUND(N(资金日记账!$H380),2))))</f>
        <v/>
      </c>
      <c r="P387" s="0" t="str">
        <f aca="false">IF($G387=0,"",IF(资金日记账!$L380=0,"",资金日记账!$L380))</f>
        <v/>
      </c>
      <c r="T387" s="0" t="str">
        <f aca="false">IF(资金日记账!$G387="","",资金日记账!$G387)</f>
        <v/>
      </c>
      <c r="U387" s="0" t="n">
        <f aca="false">IF(T387="",0,IF(MATCH(T387,$T$4:$T$903,0)=ROW()-3,1,0))</f>
        <v>0</v>
      </c>
      <c r="V387" s="0" t="n">
        <f aca="false">N(V386)+U387</f>
        <v>30</v>
      </c>
      <c r="AF387" s="0" t="str">
        <f aca="false">IF(OR(资金日记账!$E387="",N(资金日记账!$H387)=0),"",资金日记账!$E387)</f>
        <v/>
      </c>
      <c r="AG387" s="0" t="n">
        <f aca="false">IF(AF387="",0,IF(MATCH(AF387,$AF$4:$AF$603,0)=ROW()-3,1,0))</f>
        <v>0</v>
      </c>
      <c r="AH387" s="0" t="n">
        <f aca="false">N(AH386)+AG387</f>
        <v>5</v>
      </c>
    </row>
    <row r="388" customFormat="false" ht="13.5" hidden="false" customHeight="false" outlineLevel="0" collapsed="false">
      <c r="A388" s="0" t="str">
        <f aca="false">IF(资金日记账!$E86="","",资金日记账!$E86)</f>
        <v/>
      </c>
      <c r="B388" s="0" t="n">
        <f aca="false">IF(A388="",0,IF(MATCH(A388,$A$4:$A$1925,0)=ROW()-3,1,0))</f>
        <v>0</v>
      </c>
      <c r="C388" s="0" t="n">
        <f aca="false">N(C387)+B388</f>
        <v>8</v>
      </c>
      <c r="G388" s="0" t="n">
        <f aca="false">IF(OR($G$1="",资金日记账!$E381="",资金日记账!$E381&lt;&gt;$G$1),0,IF(NOT(OR(N(资金日记账!$H381)&lt;&gt;0,N(资金日记账!$I381)&lt;&gt;0)),0,IF(资金日记账!$B381="",1,IF(OR(N(资金日记账!$B381)&lt;$H$1,N(资金日记账!$B381)&gt;$I$1),0,1))))</f>
        <v>0</v>
      </c>
      <c r="H388" s="0" t="n">
        <f aca="false">N(H387)+$G388</f>
        <v>3</v>
      </c>
      <c r="I388" s="0" t="str">
        <f aca="false">IF($G388=0,"",IF(资金日记账!$B381=0,"",资金日记账!$B381))</f>
        <v/>
      </c>
      <c r="J388" s="0" t="str">
        <f aca="false">IF($G388=0,"",IF(资金日记账!$D381=0,"",资金日记账!$D381))</f>
        <v/>
      </c>
      <c r="K388" s="0" t="str">
        <f aca="false">IF($G388=0,"",IF(""=0,"",""))</f>
        <v/>
      </c>
      <c r="L388" s="0" t="str">
        <f aca="false">IF($G388=0,"",IF(""=0,"",""))</f>
        <v/>
      </c>
      <c r="M388" s="0" t="str">
        <f aca="false">IF($G388=0,"",IF(""=0,"",""))</f>
        <v/>
      </c>
      <c r="N388" s="0" t="str">
        <f aca="false">IF($G388=0,"",IF(IF(N(资金日记账!$I381)=0,"",-ROUND(N(资金日记账!$I381),2))=0,"",IF(N(资金日记账!$I381)=0,"",-ROUND(N(资金日记账!$I381),2))))</f>
        <v/>
      </c>
      <c r="O388" s="0" t="str">
        <f aca="false">IF($G388=0,"",IF(IF(N(资金日记账!$H381)=0,"",ROUND(N(资金日记账!$H381),2))=0,"",IF(N(资金日记账!$H381)=0,"",ROUND(N(资金日记账!$H381),2))))</f>
        <v/>
      </c>
      <c r="P388" s="0" t="str">
        <f aca="false">IF($G388=0,"",IF(资金日记账!$L381=0,"",资金日记账!$L381))</f>
        <v/>
      </c>
      <c r="T388" s="0" t="str">
        <f aca="false">IF(资金日记账!$G388="","",资金日记账!$G388)</f>
        <v/>
      </c>
      <c r="U388" s="0" t="n">
        <f aca="false">IF(T388="",0,IF(MATCH(T388,$T$4:$T$903,0)=ROW()-3,1,0))</f>
        <v>0</v>
      </c>
      <c r="V388" s="0" t="n">
        <f aca="false">N(V387)+U388</f>
        <v>30</v>
      </c>
      <c r="AF388" s="0" t="str">
        <f aca="false">IF(OR(资金日记账!$E388="",N(资金日记账!$H388)=0),"",资金日记账!$E388)</f>
        <v/>
      </c>
      <c r="AG388" s="0" t="n">
        <f aca="false">IF(AF388="",0,IF(MATCH(AF388,$AF$4:$AF$603,0)=ROW()-3,1,0))</f>
        <v>0</v>
      </c>
      <c r="AH388" s="0" t="n">
        <f aca="false">N(AH387)+AG388</f>
        <v>5</v>
      </c>
    </row>
    <row r="389" customFormat="false" ht="13.5" hidden="false" customHeight="false" outlineLevel="0" collapsed="false">
      <c r="A389" s="0" t="str">
        <f aca="false">IF(资金日记账!$E87="","",资金日记账!$E87)</f>
        <v/>
      </c>
      <c r="B389" s="0" t="n">
        <f aca="false">IF(A389="",0,IF(MATCH(A389,$A$4:$A$1925,0)=ROW()-3,1,0))</f>
        <v>0</v>
      </c>
      <c r="C389" s="0" t="n">
        <f aca="false">N(C388)+B389</f>
        <v>8</v>
      </c>
      <c r="G389" s="0" t="n">
        <f aca="false">IF(OR($G$1="",资金日记账!$E382="",资金日记账!$E382&lt;&gt;$G$1),0,IF(NOT(OR(N(资金日记账!$H382)&lt;&gt;0,N(资金日记账!$I382)&lt;&gt;0)),0,IF(资金日记账!$B382="",1,IF(OR(N(资金日记账!$B382)&lt;$H$1,N(资金日记账!$B382)&gt;$I$1),0,1))))</f>
        <v>0</v>
      </c>
      <c r="H389" s="0" t="n">
        <f aca="false">N(H388)+$G389</f>
        <v>3</v>
      </c>
      <c r="I389" s="0" t="str">
        <f aca="false">IF($G389=0,"",IF(资金日记账!$B382=0,"",资金日记账!$B382))</f>
        <v/>
      </c>
      <c r="J389" s="0" t="str">
        <f aca="false">IF($G389=0,"",IF(资金日记账!$D382=0,"",资金日记账!$D382))</f>
        <v/>
      </c>
      <c r="K389" s="0" t="str">
        <f aca="false">IF($G389=0,"",IF(""=0,"",""))</f>
        <v/>
      </c>
      <c r="L389" s="0" t="str">
        <f aca="false">IF($G389=0,"",IF(""=0,"",""))</f>
        <v/>
      </c>
      <c r="M389" s="0" t="str">
        <f aca="false">IF($G389=0,"",IF(""=0,"",""))</f>
        <v/>
      </c>
      <c r="N389" s="0" t="str">
        <f aca="false">IF($G389=0,"",IF(IF(N(资金日记账!$I382)=0,"",-ROUND(N(资金日记账!$I382),2))=0,"",IF(N(资金日记账!$I382)=0,"",-ROUND(N(资金日记账!$I382),2))))</f>
        <v/>
      </c>
      <c r="O389" s="0" t="str">
        <f aca="false">IF($G389=0,"",IF(IF(N(资金日记账!$H382)=0,"",ROUND(N(资金日记账!$H382),2))=0,"",IF(N(资金日记账!$H382)=0,"",ROUND(N(资金日记账!$H382),2))))</f>
        <v/>
      </c>
      <c r="P389" s="0" t="str">
        <f aca="false">IF($G389=0,"",IF(资金日记账!$L382=0,"",资金日记账!$L382))</f>
        <v/>
      </c>
      <c r="T389" s="0" t="str">
        <f aca="false">IF(资金日记账!$G389="","",资金日记账!$G389)</f>
        <v/>
      </c>
      <c r="U389" s="0" t="n">
        <f aca="false">IF(T389="",0,IF(MATCH(T389,$T$4:$T$903,0)=ROW()-3,1,0))</f>
        <v>0</v>
      </c>
      <c r="V389" s="0" t="n">
        <f aca="false">N(V388)+U389</f>
        <v>30</v>
      </c>
      <c r="AF389" s="0" t="str">
        <f aca="false">IF(OR(资金日记账!$E389="",N(资金日记账!$H389)=0),"",资金日记账!$E389)</f>
        <v/>
      </c>
      <c r="AG389" s="0" t="n">
        <f aca="false">IF(AF389="",0,IF(MATCH(AF389,$AF$4:$AF$603,0)=ROW()-3,1,0))</f>
        <v>0</v>
      </c>
      <c r="AH389" s="0" t="n">
        <f aca="false">N(AH388)+AG389</f>
        <v>5</v>
      </c>
    </row>
    <row r="390" customFormat="false" ht="13.5" hidden="false" customHeight="false" outlineLevel="0" collapsed="false">
      <c r="A390" s="0" t="str">
        <f aca="false">IF(资金日记账!$E88="","",资金日记账!$E88)</f>
        <v/>
      </c>
      <c r="B390" s="0" t="n">
        <f aca="false">IF(A390="",0,IF(MATCH(A390,$A$4:$A$1925,0)=ROW()-3,1,0))</f>
        <v>0</v>
      </c>
      <c r="C390" s="0" t="n">
        <f aca="false">N(C389)+B390</f>
        <v>8</v>
      </c>
      <c r="G390" s="0" t="n">
        <f aca="false">IF(OR($G$1="",资金日记账!$E383="",资金日记账!$E383&lt;&gt;$G$1),0,IF(NOT(OR(N(资金日记账!$H383)&lt;&gt;0,N(资金日记账!$I383)&lt;&gt;0)),0,IF(资金日记账!$B383="",1,IF(OR(N(资金日记账!$B383)&lt;$H$1,N(资金日记账!$B383)&gt;$I$1),0,1))))</f>
        <v>0</v>
      </c>
      <c r="H390" s="0" t="n">
        <f aca="false">N(H389)+$G390</f>
        <v>3</v>
      </c>
      <c r="I390" s="0" t="str">
        <f aca="false">IF($G390=0,"",IF(资金日记账!$B383=0,"",资金日记账!$B383))</f>
        <v/>
      </c>
      <c r="J390" s="0" t="str">
        <f aca="false">IF($G390=0,"",IF(资金日记账!$D383=0,"",资金日记账!$D383))</f>
        <v/>
      </c>
      <c r="K390" s="0" t="str">
        <f aca="false">IF($G390=0,"",IF(""=0,"",""))</f>
        <v/>
      </c>
      <c r="L390" s="0" t="str">
        <f aca="false">IF($G390=0,"",IF(""=0,"",""))</f>
        <v/>
      </c>
      <c r="M390" s="0" t="str">
        <f aca="false">IF($G390=0,"",IF(""=0,"",""))</f>
        <v/>
      </c>
      <c r="N390" s="0" t="str">
        <f aca="false">IF($G390=0,"",IF(IF(N(资金日记账!$I383)=0,"",-ROUND(N(资金日记账!$I383),2))=0,"",IF(N(资金日记账!$I383)=0,"",-ROUND(N(资金日记账!$I383),2))))</f>
        <v/>
      </c>
      <c r="O390" s="0" t="str">
        <f aca="false">IF($G390=0,"",IF(IF(N(资金日记账!$H383)=0,"",ROUND(N(资金日记账!$H383),2))=0,"",IF(N(资金日记账!$H383)=0,"",ROUND(N(资金日记账!$H383),2))))</f>
        <v/>
      </c>
      <c r="P390" s="0" t="str">
        <f aca="false">IF($G390=0,"",IF(资金日记账!$L383=0,"",资金日记账!$L383))</f>
        <v/>
      </c>
      <c r="T390" s="0" t="str">
        <f aca="false">IF(资金日记账!$G390="","",资金日记账!$G390)</f>
        <v/>
      </c>
      <c r="U390" s="0" t="n">
        <f aca="false">IF(T390="",0,IF(MATCH(T390,$T$4:$T$903,0)=ROW()-3,1,0))</f>
        <v>0</v>
      </c>
      <c r="V390" s="0" t="n">
        <f aca="false">N(V389)+U390</f>
        <v>30</v>
      </c>
      <c r="AF390" s="0" t="str">
        <f aca="false">IF(OR(资金日记账!$E390="",N(资金日记账!$H390)=0),"",资金日记账!$E390)</f>
        <v/>
      </c>
      <c r="AG390" s="0" t="n">
        <f aca="false">IF(AF390="",0,IF(MATCH(AF390,$AF$4:$AF$603,0)=ROW()-3,1,0))</f>
        <v>0</v>
      </c>
      <c r="AH390" s="0" t="n">
        <f aca="false">N(AH389)+AG390</f>
        <v>5</v>
      </c>
    </row>
    <row r="391" customFormat="false" ht="13.5" hidden="false" customHeight="false" outlineLevel="0" collapsed="false">
      <c r="A391" s="0" t="str">
        <f aca="false">IF(资金日记账!$E89="","",资金日记账!$E89)</f>
        <v/>
      </c>
      <c r="B391" s="0" t="n">
        <f aca="false">IF(A391="",0,IF(MATCH(A391,$A$4:$A$1925,0)=ROW()-3,1,0))</f>
        <v>0</v>
      </c>
      <c r="C391" s="0" t="n">
        <f aca="false">N(C390)+B391</f>
        <v>8</v>
      </c>
      <c r="G391" s="0" t="n">
        <f aca="false">IF(OR($G$1="",资金日记账!$E384="",资金日记账!$E384&lt;&gt;$G$1),0,IF(NOT(OR(N(资金日记账!$H384)&lt;&gt;0,N(资金日记账!$I384)&lt;&gt;0)),0,IF(资金日记账!$B384="",1,IF(OR(N(资金日记账!$B384)&lt;$H$1,N(资金日记账!$B384)&gt;$I$1),0,1))))</f>
        <v>0</v>
      </c>
      <c r="H391" s="0" t="n">
        <f aca="false">N(H390)+$G391</f>
        <v>3</v>
      </c>
      <c r="I391" s="0" t="str">
        <f aca="false">IF($G391=0,"",IF(资金日记账!$B384=0,"",资金日记账!$B384))</f>
        <v/>
      </c>
      <c r="J391" s="0" t="str">
        <f aca="false">IF($G391=0,"",IF(资金日记账!$D384=0,"",资金日记账!$D384))</f>
        <v/>
      </c>
      <c r="K391" s="0" t="str">
        <f aca="false">IF($G391=0,"",IF(""=0,"",""))</f>
        <v/>
      </c>
      <c r="L391" s="0" t="str">
        <f aca="false">IF($G391=0,"",IF(""=0,"",""))</f>
        <v/>
      </c>
      <c r="M391" s="0" t="str">
        <f aca="false">IF($G391=0,"",IF(""=0,"",""))</f>
        <v/>
      </c>
      <c r="N391" s="0" t="str">
        <f aca="false">IF($G391=0,"",IF(IF(N(资金日记账!$I384)=0,"",-ROUND(N(资金日记账!$I384),2))=0,"",IF(N(资金日记账!$I384)=0,"",-ROUND(N(资金日记账!$I384),2))))</f>
        <v/>
      </c>
      <c r="O391" s="0" t="str">
        <f aca="false">IF($G391=0,"",IF(IF(N(资金日记账!$H384)=0,"",ROUND(N(资金日记账!$H384),2))=0,"",IF(N(资金日记账!$H384)=0,"",ROUND(N(资金日记账!$H384),2))))</f>
        <v/>
      </c>
      <c r="P391" s="0" t="str">
        <f aca="false">IF($G391=0,"",IF(资金日记账!$L384=0,"",资金日记账!$L384))</f>
        <v/>
      </c>
      <c r="T391" s="0" t="str">
        <f aca="false">IF(资金日记账!$G391="","",资金日记账!$G391)</f>
        <v/>
      </c>
      <c r="U391" s="0" t="n">
        <f aca="false">IF(T391="",0,IF(MATCH(T391,$T$4:$T$903,0)=ROW()-3,1,0))</f>
        <v>0</v>
      </c>
      <c r="V391" s="0" t="n">
        <f aca="false">N(V390)+U391</f>
        <v>30</v>
      </c>
      <c r="AF391" s="0" t="str">
        <f aca="false">IF(OR(资金日记账!$E391="",N(资金日记账!$H391)=0),"",资金日记账!$E391)</f>
        <v/>
      </c>
      <c r="AG391" s="0" t="n">
        <f aca="false">IF(AF391="",0,IF(MATCH(AF391,$AF$4:$AF$603,0)=ROW()-3,1,0))</f>
        <v>0</v>
      </c>
      <c r="AH391" s="0" t="n">
        <f aca="false">N(AH390)+AG391</f>
        <v>5</v>
      </c>
    </row>
    <row r="392" customFormat="false" ht="13.5" hidden="false" customHeight="false" outlineLevel="0" collapsed="false">
      <c r="A392" s="0" t="str">
        <f aca="false">IF(资金日记账!$E90="","",资金日记账!$E90)</f>
        <v/>
      </c>
      <c r="B392" s="0" t="n">
        <f aca="false">IF(A392="",0,IF(MATCH(A392,$A$4:$A$1925,0)=ROW()-3,1,0))</f>
        <v>0</v>
      </c>
      <c r="C392" s="0" t="n">
        <f aca="false">N(C391)+B392</f>
        <v>8</v>
      </c>
      <c r="G392" s="0" t="n">
        <f aca="false">IF(OR($G$1="",资金日记账!$E385="",资金日记账!$E385&lt;&gt;$G$1),0,IF(NOT(OR(N(资金日记账!$H385)&lt;&gt;0,N(资金日记账!$I385)&lt;&gt;0)),0,IF(资金日记账!$B385="",1,IF(OR(N(资金日记账!$B385)&lt;$H$1,N(资金日记账!$B385)&gt;$I$1),0,1))))</f>
        <v>0</v>
      </c>
      <c r="H392" s="0" t="n">
        <f aca="false">N(H391)+$G392</f>
        <v>3</v>
      </c>
      <c r="I392" s="0" t="str">
        <f aca="false">IF($G392=0,"",IF(资金日记账!$B385=0,"",资金日记账!$B385))</f>
        <v/>
      </c>
      <c r="J392" s="0" t="str">
        <f aca="false">IF($G392=0,"",IF(资金日记账!$D385=0,"",资金日记账!$D385))</f>
        <v/>
      </c>
      <c r="K392" s="0" t="str">
        <f aca="false">IF($G392=0,"",IF(""=0,"",""))</f>
        <v/>
      </c>
      <c r="L392" s="0" t="str">
        <f aca="false">IF($G392=0,"",IF(""=0,"",""))</f>
        <v/>
      </c>
      <c r="M392" s="0" t="str">
        <f aca="false">IF($G392=0,"",IF(""=0,"",""))</f>
        <v/>
      </c>
      <c r="N392" s="0" t="str">
        <f aca="false">IF($G392=0,"",IF(IF(N(资金日记账!$I385)=0,"",-ROUND(N(资金日记账!$I385),2))=0,"",IF(N(资金日记账!$I385)=0,"",-ROUND(N(资金日记账!$I385),2))))</f>
        <v/>
      </c>
      <c r="O392" s="0" t="str">
        <f aca="false">IF($G392=0,"",IF(IF(N(资金日记账!$H385)=0,"",ROUND(N(资金日记账!$H385),2))=0,"",IF(N(资金日记账!$H385)=0,"",ROUND(N(资金日记账!$H385),2))))</f>
        <v/>
      </c>
      <c r="P392" s="0" t="str">
        <f aca="false">IF($G392=0,"",IF(资金日记账!$L385=0,"",资金日记账!$L385))</f>
        <v/>
      </c>
      <c r="T392" s="0" t="str">
        <f aca="false">IF(资金日记账!$G392="","",资金日记账!$G392)</f>
        <v/>
      </c>
      <c r="U392" s="0" t="n">
        <f aca="false">IF(T392="",0,IF(MATCH(T392,$T$4:$T$903,0)=ROW()-3,1,0))</f>
        <v>0</v>
      </c>
      <c r="V392" s="0" t="n">
        <f aca="false">N(V391)+U392</f>
        <v>30</v>
      </c>
      <c r="AF392" s="0" t="str">
        <f aca="false">IF(OR(资金日记账!$E392="",N(资金日记账!$H392)=0),"",资金日记账!$E392)</f>
        <v/>
      </c>
      <c r="AG392" s="0" t="n">
        <f aca="false">IF(AF392="",0,IF(MATCH(AF392,$AF$4:$AF$603,0)=ROW()-3,1,0))</f>
        <v>0</v>
      </c>
      <c r="AH392" s="0" t="n">
        <f aca="false">N(AH391)+AG392</f>
        <v>5</v>
      </c>
    </row>
    <row r="393" customFormat="false" ht="13.5" hidden="false" customHeight="false" outlineLevel="0" collapsed="false">
      <c r="A393" s="0" t="str">
        <f aca="false">IF(资金日记账!$E91="","",资金日记账!$E91)</f>
        <v/>
      </c>
      <c r="B393" s="0" t="n">
        <f aca="false">IF(A393="",0,IF(MATCH(A393,$A$4:$A$1925,0)=ROW()-3,1,0))</f>
        <v>0</v>
      </c>
      <c r="C393" s="0" t="n">
        <f aca="false">N(C392)+B393</f>
        <v>8</v>
      </c>
      <c r="G393" s="0" t="n">
        <f aca="false">IF(OR($G$1="",资金日记账!$E386="",资金日记账!$E386&lt;&gt;$G$1),0,IF(NOT(OR(N(资金日记账!$H386)&lt;&gt;0,N(资金日记账!$I386)&lt;&gt;0)),0,IF(资金日记账!$B386="",1,IF(OR(N(资金日记账!$B386)&lt;$H$1,N(资金日记账!$B386)&gt;$I$1),0,1))))</f>
        <v>0</v>
      </c>
      <c r="H393" s="0" t="n">
        <f aca="false">N(H392)+$G393</f>
        <v>3</v>
      </c>
      <c r="I393" s="0" t="str">
        <f aca="false">IF($G393=0,"",IF(资金日记账!$B386=0,"",资金日记账!$B386))</f>
        <v/>
      </c>
      <c r="J393" s="0" t="str">
        <f aca="false">IF($G393=0,"",IF(资金日记账!$D386=0,"",资金日记账!$D386))</f>
        <v/>
      </c>
      <c r="K393" s="0" t="str">
        <f aca="false">IF($G393=0,"",IF(""=0,"",""))</f>
        <v/>
      </c>
      <c r="L393" s="0" t="str">
        <f aca="false">IF($G393=0,"",IF(""=0,"",""))</f>
        <v/>
      </c>
      <c r="M393" s="0" t="str">
        <f aca="false">IF($G393=0,"",IF(""=0,"",""))</f>
        <v/>
      </c>
      <c r="N393" s="0" t="str">
        <f aca="false">IF($G393=0,"",IF(IF(N(资金日记账!$I386)=0,"",-ROUND(N(资金日记账!$I386),2))=0,"",IF(N(资金日记账!$I386)=0,"",-ROUND(N(资金日记账!$I386),2))))</f>
        <v/>
      </c>
      <c r="O393" s="0" t="str">
        <f aca="false">IF($G393=0,"",IF(IF(N(资金日记账!$H386)=0,"",ROUND(N(资金日记账!$H386),2))=0,"",IF(N(资金日记账!$H386)=0,"",ROUND(N(资金日记账!$H386),2))))</f>
        <v/>
      </c>
      <c r="P393" s="0" t="str">
        <f aca="false">IF($G393=0,"",IF(资金日记账!$L386=0,"",资金日记账!$L386))</f>
        <v/>
      </c>
      <c r="T393" s="0" t="str">
        <f aca="false">IF(资金日记账!$G393="","",资金日记账!$G393)</f>
        <v/>
      </c>
      <c r="U393" s="0" t="n">
        <f aca="false">IF(T393="",0,IF(MATCH(T393,$T$4:$T$903,0)=ROW()-3,1,0))</f>
        <v>0</v>
      </c>
      <c r="V393" s="0" t="n">
        <f aca="false">N(V392)+U393</f>
        <v>30</v>
      </c>
      <c r="AF393" s="0" t="str">
        <f aca="false">IF(OR(资金日记账!$E393="",N(资金日记账!$H393)=0),"",资金日记账!$E393)</f>
        <v/>
      </c>
      <c r="AG393" s="0" t="n">
        <f aca="false">IF(AF393="",0,IF(MATCH(AF393,$AF$4:$AF$603,0)=ROW()-3,1,0))</f>
        <v>0</v>
      </c>
      <c r="AH393" s="0" t="n">
        <f aca="false">N(AH392)+AG393</f>
        <v>5</v>
      </c>
    </row>
    <row r="394" customFormat="false" ht="13.5" hidden="false" customHeight="false" outlineLevel="0" collapsed="false">
      <c r="A394" s="0" t="str">
        <f aca="false">IF(资金日记账!$E92="","",资金日记账!$E92)</f>
        <v/>
      </c>
      <c r="B394" s="0" t="n">
        <f aca="false">IF(A394="",0,IF(MATCH(A394,$A$4:$A$1925,0)=ROW()-3,1,0))</f>
        <v>0</v>
      </c>
      <c r="C394" s="0" t="n">
        <f aca="false">N(C393)+B394</f>
        <v>8</v>
      </c>
      <c r="G394" s="0" t="n">
        <f aca="false">IF(OR($G$1="",资金日记账!$E387="",资金日记账!$E387&lt;&gt;$G$1),0,IF(NOT(OR(N(资金日记账!$H387)&lt;&gt;0,N(资金日记账!$I387)&lt;&gt;0)),0,IF(资金日记账!$B387="",1,IF(OR(N(资金日记账!$B387)&lt;$H$1,N(资金日记账!$B387)&gt;$I$1),0,1))))</f>
        <v>0</v>
      </c>
      <c r="H394" s="0" t="n">
        <f aca="false">N(H393)+$G394</f>
        <v>3</v>
      </c>
      <c r="I394" s="0" t="str">
        <f aca="false">IF($G394=0,"",IF(资金日记账!$B387=0,"",资金日记账!$B387))</f>
        <v/>
      </c>
      <c r="J394" s="0" t="str">
        <f aca="false">IF($G394=0,"",IF(资金日记账!$D387=0,"",资金日记账!$D387))</f>
        <v/>
      </c>
      <c r="K394" s="0" t="str">
        <f aca="false">IF($G394=0,"",IF(""=0,"",""))</f>
        <v/>
      </c>
      <c r="L394" s="0" t="str">
        <f aca="false">IF($G394=0,"",IF(""=0,"",""))</f>
        <v/>
      </c>
      <c r="M394" s="0" t="str">
        <f aca="false">IF($G394=0,"",IF(""=0,"",""))</f>
        <v/>
      </c>
      <c r="N394" s="0" t="str">
        <f aca="false">IF($G394=0,"",IF(IF(N(资金日记账!$I387)=0,"",-ROUND(N(资金日记账!$I387),2))=0,"",IF(N(资金日记账!$I387)=0,"",-ROUND(N(资金日记账!$I387),2))))</f>
        <v/>
      </c>
      <c r="O394" s="0" t="str">
        <f aca="false">IF($G394=0,"",IF(IF(N(资金日记账!$H387)=0,"",ROUND(N(资金日记账!$H387),2))=0,"",IF(N(资金日记账!$H387)=0,"",ROUND(N(资金日记账!$H387),2))))</f>
        <v/>
      </c>
      <c r="P394" s="0" t="str">
        <f aca="false">IF($G394=0,"",IF(资金日记账!$L387=0,"",资金日记账!$L387))</f>
        <v/>
      </c>
      <c r="T394" s="0" t="str">
        <f aca="false">IF(资金日记账!$G394="","",资金日记账!$G394)</f>
        <v/>
      </c>
      <c r="U394" s="0" t="n">
        <f aca="false">IF(T394="",0,IF(MATCH(T394,$T$4:$T$903,0)=ROW()-3,1,0))</f>
        <v>0</v>
      </c>
      <c r="V394" s="0" t="n">
        <f aca="false">N(V393)+U394</f>
        <v>30</v>
      </c>
      <c r="AF394" s="0" t="str">
        <f aca="false">IF(OR(资金日记账!$E394="",N(资金日记账!$H394)=0),"",资金日记账!$E394)</f>
        <v/>
      </c>
      <c r="AG394" s="0" t="n">
        <f aca="false">IF(AF394="",0,IF(MATCH(AF394,$AF$4:$AF$603,0)=ROW()-3,1,0))</f>
        <v>0</v>
      </c>
      <c r="AH394" s="0" t="n">
        <f aca="false">N(AH393)+AG394</f>
        <v>5</v>
      </c>
    </row>
    <row r="395" customFormat="false" ht="13.5" hidden="false" customHeight="false" outlineLevel="0" collapsed="false">
      <c r="A395" s="0" t="str">
        <f aca="false">IF(资金日记账!$E93="","",资金日记账!$E93)</f>
        <v/>
      </c>
      <c r="B395" s="0" t="n">
        <f aca="false">IF(A395="",0,IF(MATCH(A395,$A$4:$A$1925,0)=ROW()-3,1,0))</f>
        <v>0</v>
      </c>
      <c r="C395" s="0" t="n">
        <f aca="false">N(C394)+B395</f>
        <v>8</v>
      </c>
      <c r="G395" s="0" t="n">
        <f aca="false">IF(OR($G$1="",资金日记账!$E388="",资金日记账!$E388&lt;&gt;$G$1),0,IF(NOT(OR(N(资金日记账!$H388)&lt;&gt;0,N(资金日记账!$I388)&lt;&gt;0)),0,IF(资金日记账!$B388="",1,IF(OR(N(资金日记账!$B388)&lt;$H$1,N(资金日记账!$B388)&gt;$I$1),0,1))))</f>
        <v>0</v>
      </c>
      <c r="H395" s="0" t="n">
        <f aca="false">N(H394)+$G395</f>
        <v>3</v>
      </c>
      <c r="I395" s="0" t="str">
        <f aca="false">IF($G395=0,"",IF(资金日记账!$B388=0,"",资金日记账!$B388))</f>
        <v/>
      </c>
      <c r="J395" s="0" t="str">
        <f aca="false">IF($G395=0,"",IF(资金日记账!$D388=0,"",资金日记账!$D388))</f>
        <v/>
      </c>
      <c r="K395" s="0" t="str">
        <f aca="false">IF($G395=0,"",IF(""=0,"",""))</f>
        <v/>
      </c>
      <c r="L395" s="0" t="str">
        <f aca="false">IF($G395=0,"",IF(""=0,"",""))</f>
        <v/>
      </c>
      <c r="M395" s="0" t="str">
        <f aca="false">IF($G395=0,"",IF(""=0,"",""))</f>
        <v/>
      </c>
      <c r="N395" s="0" t="str">
        <f aca="false">IF($G395=0,"",IF(IF(N(资金日记账!$I388)=0,"",-ROUND(N(资金日记账!$I388),2))=0,"",IF(N(资金日记账!$I388)=0,"",-ROUND(N(资金日记账!$I388),2))))</f>
        <v/>
      </c>
      <c r="O395" s="0" t="str">
        <f aca="false">IF($G395=0,"",IF(IF(N(资金日记账!$H388)=0,"",ROUND(N(资金日记账!$H388),2))=0,"",IF(N(资金日记账!$H388)=0,"",ROUND(N(资金日记账!$H388),2))))</f>
        <v/>
      </c>
      <c r="P395" s="0" t="str">
        <f aca="false">IF($G395=0,"",IF(资金日记账!$L388=0,"",资金日记账!$L388))</f>
        <v/>
      </c>
      <c r="T395" s="0" t="str">
        <f aca="false">IF(资金日记账!$G395="","",资金日记账!$G395)</f>
        <v/>
      </c>
      <c r="U395" s="0" t="n">
        <f aca="false">IF(T395="",0,IF(MATCH(T395,$T$4:$T$903,0)=ROW()-3,1,0))</f>
        <v>0</v>
      </c>
      <c r="V395" s="0" t="n">
        <f aca="false">N(V394)+U395</f>
        <v>30</v>
      </c>
      <c r="AF395" s="0" t="str">
        <f aca="false">IF(OR(资金日记账!$E395="",N(资金日记账!$H395)=0),"",资金日记账!$E395)</f>
        <v/>
      </c>
      <c r="AG395" s="0" t="n">
        <f aca="false">IF(AF395="",0,IF(MATCH(AF395,$AF$4:$AF$603,0)=ROW()-3,1,0))</f>
        <v>0</v>
      </c>
      <c r="AH395" s="0" t="n">
        <f aca="false">N(AH394)+AG395</f>
        <v>5</v>
      </c>
    </row>
    <row r="396" customFormat="false" ht="13.5" hidden="false" customHeight="false" outlineLevel="0" collapsed="false">
      <c r="A396" s="0" t="str">
        <f aca="false">IF(资金日记账!$E94="","",资金日记账!$E94)</f>
        <v/>
      </c>
      <c r="B396" s="0" t="n">
        <f aca="false">IF(A396="",0,IF(MATCH(A396,$A$4:$A$1925,0)=ROW()-3,1,0))</f>
        <v>0</v>
      </c>
      <c r="C396" s="0" t="n">
        <f aca="false">N(C395)+B396</f>
        <v>8</v>
      </c>
      <c r="G396" s="0" t="n">
        <f aca="false">IF(OR($G$1="",资金日记账!$E389="",资金日记账!$E389&lt;&gt;$G$1),0,IF(NOT(OR(N(资金日记账!$H389)&lt;&gt;0,N(资金日记账!$I389)&lt;&gt;0)),0,IF(资金日记账!$B389="",1,IF(OR(N(资金日记账!$B389)&lt;$H$1,N(资金日记账!$B389)&gt;$I$1),0,1))))</f>
        <v>0</v>
      </c>
      <c r="H396" s="0" t="n">
        <f aca="false">N(H395)+$G396</f>
        <v>3</v>
      </c>
      <c r="I396" s="0" t="str">
        <f aca="false">IF($G396=0,"",IF(资金日记账!$B389=0,"",资金日记账!$B389))</f>
        <v/>
      </c>
      <c r="J396" s="0" t="str">
        <f aca="false">IF($G396=0,"",IF(资金日记账!$D389=0,"",资金日记账!$D389))</f>
        <v/>
      </c>
      <c r="K396" s="0" t="str">
        <f aca="false">IF($G396=0,"",IF(""=0,"",""))</f>
        <v/>
      </c>
      <c r="L396" s="0" t="str">
        <f aca="false">IF($G396=0,"",IF(""=0,"",""))</f>
        <v/>
      </c>
      <c r="M396" s="0" t="str">
        <f aca="false">IF($G396=0,"",IF(""=0,"",""))</f>
        <v/>
      </c>
      <c r="N396" s="0" t="str">
        <f aca="false">IF($G396=0,"",IF(IF(N(资金日记账!$I389)=0,"",-ROUND(N(资金日记账!$I389),2))=0,"",IF(N(资金日记账!$I389)=0,"",-ROUND(N(资金日记账!$I389),2))))</f>
        <v/>
      </c>
      <c r="O396" s="0" t="str">
        <f aca="false">IF($G396=0,"",IF(IF(N(资金日记账!$H389)=0,"",ROUND(N(资金日记账!$H389),2))=0,"",IF(N(资金日记账!$H389)=0,"",ROUND(N(资金日记账!$H389),2))))</f>
        <v/>
      </c>
      <c r="P396" s="0" t="str">
        <f aca="false">IF($G396=0,"",IF(资金日记账!$L389=0,"",资金日记账!$L389))</f>
        <v/>
      </c>
      <c r="T396" s="0" t="str">
        <f aca="false">IF(资金日记账!$G396="","",资金日记账!$G396)</f>
        <v/>
      </c>
      <c r="U396" s="0" t="n">
        <f aca="false">IF(T396="",0,IF(MATCH(T396,$T$4:$T$903,0)=ROW()-3,1,0))</f>
        <v>0</v>
      </c>
      <c r="V396" s="0" t="n">
        <f aca="false">N(V395)+U396</f>
        <v>30</v>
      </c>
      <c r="AF396" s="0" t="str">
        <f aca="false">IF(OR(资金日记账!$E396="",N(资金日记账!$H396)=0),"",资金日记账!$E396)</f>
        <v/>
      </c>
      <c r="AG396" s="0" t="n">
        <f aca="false">IF(AF396="",0,IF(MATCH(AF396,$AF$4:$AF$603,0)=ROW()-3,1,0))</f>
        <v>0</v>
      </c>
      <c r="AH396" s="0" t="n">
        <f aca="false">N(AH395)+AG396</f>
        <v>5</v>
      </c>
    </row>
    <row r="397" customFormat="false" ht="13.5" hidden="false" customHeight="false" outlineLevel="0" collapsed="false">
      <c r="A397" s="0" t="str">
        <f aca="false">IF(资金日记账!$E95="","",资金日记账!$E95)</f>
        <v/>
      </c>
      <c r="B397" s="0" t="n">
        <f aca="false">IF(A397="",0,IF(MATCH(A397,$A$4:$A$1925,0)=ROW()-3,1,0))</f>
        <v>0</v>
      </c>
      <c r="C397" s="0" t="n">
        <f aca="false">N(C396)+B397</f>
        <v>8</v>
      </c>
      <c r="G397" s="0" t="n">
        <f aca="false">IF(OR($G$1="",资金日记账!$E390="",资金日记账!$E390&lt;&gt;$G$1),0,IF(NOT(OR(N(资金日记账!$H390)&lt;&gt;0,N(资金日记账!$I390)&lt;&gt;0)),0,IF(资金日记账!$B390="",1,IF(OR(N(资金日记账!$B390)&lt;$H$1,N(资金日记账!$B390)&gt;$I$1),0,1))))</f>
        <v>0</v>
      </c>
      <c r="H397" s="0" t="n">
        <f aca="false">N(H396)+$G397</f>
        <v>3</v>
      </c>
      <c r="I397" s="0" t="str">
        <f aca="false">IF($G397=0,"",IF(资金日记账!$B390=0,"",资金日记账!$B390))</f>
        <v/>
      </c>
      <c r="J397" s="0" t="str">
        <f aca="false">IF($G397=0,"",IF(资金日记账!$D390=0,"",资金日记账!$D390))</f>
        <v/>
      </c>
      <c r="K397" s="0" t="str">
        <f aca="false">IF($G397=0,"",IF(""=0,"",""))</f>
        <v/>
      </c>
      <c r="L397" s="0" t="str">
        <f aca="false">IF($G397=0,"",IF(""=0,"",""))</f>
        <v/>
      </c>
      <c r="M397" s="0" t="str">
        <f aca="false">IF($G397=0,"",IF(""=0,"",""))</f>
        <v/>
      </c>
      <c r="N397" s="0" t="str">
        <f aca="false">IF($G397=0,"",IF(IF(N(资金日记账!$I390)=0,"",-ROUND(N(资金日记账!$I390),2))=0,"",IF(N(资金日记账!$I390)=0,"",-ROUND(N(资金日记账!$I390),2))))</f>
        <v/>
      </c>
      <c r="O397" s="0" t="str">
        <f aca="false">IF($G397=0,"",IF(IF(N(资金日记账!$H390)=0,"",ROUND(N(资金日记账!$H390),2))=0,"",IF(N(资金日记账!$H390)=0,"",ROUND(N(资金日记账!$H390),2))))</f>
        <v/>
      </c>
      <c r="P397" s="0" t="str">
        <f aca="false">IF($G397=0,"",IF(资金日记账!$L390=0,"",资金日记账!$L390))</f>
        <v/>
      </c>
      <c r="T397" s="0" t="str">
        <f aca="false">IF(资金日记账!$G397="","",资金日记账!$G397)</f>
        <v/>
      </c>
      <c r="U397" s="0" t="n">
        <f aca="false">IF(T397="",0,IF(MATCH(T397,$T$4:$T$903,0)=ROW()-3,1,0))</f>
        <v>0</v>
      </c>
      <c r="V397" s="0" t="n">
        <f aca="false">N(V396)+U397</f>
        <v>30</v>
      </c>
      <c r="AF397" s="0" t="str">
        <f aca="false">IF(OR(资金日记账!$E397="",N(资金日记账!$H397)=0),"",资金日记账!$E397)</f>
        <v/>
      </c>
      <c r="AG397" s="0" t="n">
        <f aca="false">IF(AF397="",0,IF(MATCH(AF397,$AF$4:$AF$603,0)=ROW()-3,1,0))</f>
        <v>0</v>
      </c>
      <c r="AH397" s="0" t="n">
        <f aca="false">N(AH396)+AG397</f>
        <v>5</v>
      </c>
    </row>
    <row r="398" customFormat="false" ht="13.5" hidden="false" customHeight="false" outlineLevel="0" collapsed="false">
      <c r="A398" s="0" t="str">
        <f aca="false">IF(资金日记账!$E96="","",资金日记账!$E96)</f>
        <v>贾建国</v>
      </c>
      <c r="B398" s="0" t="n">
        <f aca="false">IF(A398="",0,IF(MATCH(A398,$A$4:$A$1925,0)=ROW()-3,1,0))</f>
        <v>1</v>
      </c>
      <c r="C398" s="0" t="n">
        <f aca="false">N(C397)+B398</f>
        <v>9</v>
      </c>
      <c r="G398" s="0" t="n">
        <f aca="false">IF(OR($G$1="",资金日记账!$E391="",资金日记账!$E391&lt;&gt;$G$1),0,IF(NOT(OR(N(资金日记账!$H391)&lt;&gt;0,N(资金日记账!$I391)&lt;&gt;0)),0,IF(资金日记账!$B391="",1,IF(OR(N(资金日记账!$B391)&lt;$H$1,N(资金日记账!$B391)&gt;$I$1),0,1))))</f>
        <v>0</v>
      </c>
      <c r="H398" s="0" t="n">
        <f aca="false">N(H397)+$G398</f>
        <v>3</v>
      </c>
      <c r="I398" s="0" t="str">
        <f aca="false">IF($G398=0,"",IF(资金日记账!$B391=0,"",资金日记账!$B391))</f>
        <v/>
      </c>
      <c r="J398" s="0" t="str">
        <f aca="false">IF($G398=0,"",IF(资金日记账!$D391=0,"",资金日记账!$D391))</f>
        <v/>
      </c>
      <c r="K398" s="0" t="str">
        <f aca="false">IF($G398=0,"",IF(""=0,"",""))</f>
        <v/>
      </c>
      <c r="L398" s="0" t="str">
        <f aca="false">IF($G398=0,"",IF(""=0,"",""))</f>
        <v/>
      </c>
      <c r="M398" s="0" t="str">
        <f aca="false">IF($G398=0,"",IF(""=0,"",""))</f>
        <v/>
      </c>
      <c r="N398" s="0" t="str">
        <f aca="false">IF($G398=0,"",IF(IF(N(资金日记账!$I391)=0,"",-ROUND(N(资金日记账!$I391),2))=0,"",IF(N(资金日记账!$I391)=0,"",-ROUND(N(资金日记账!$I391),2))))</f>
        <v/>
      </c>
      <c r="O398" s="0" t="str">
        <f aca="false">IF($G398=0,"",IF(IF(N(资金日记账!$H391)=0,"",ROUND(N(资金日记账!$H391),2))=0,"",IF(N(资金日记账!$H391)=0,"",ROUND(N(资金日记账!$H391),2))))</f>
        <v/>
      </c>
      <c r="P398" s="0" t="str">
        <f aca="false">IF($G398=0,"",IF(资金日记账!$L391=0,"",资金日记账!$L391))</f>
        <v/>
      </c>
      <c r="T398" s="0" t="str">
        <f aca="false">IF(资金日记账!$G398="","",资金日记账!$G398)</f>
        <v/>
      </c>
      <c r="U398" s="0" t="n">
        <f aca="false">IF(T398="",0,IF(MATCH(T398,$T$4:$T$903,0)=ROW()-3,1,0))</f>
        <v>0</v>
      </c>
      <c r="V398" s="0" t="n">
        <f aca="false">N(V397)+U398</f>
        <v>30</v>
      </c>
      <c r="AF398" s="0" t="str">
        <f aca="false">IF(OR(资金日记账!$E398="",N(资金日记账!$H398)=0),"",资金日记账!$E398)</f>
        <v/>
      </c>
      <c r="AG398" s="0" t="n">
        <f aca="false">IF(AF398="",0,IF(MATCH(AF398,$AF$4:$AF$603,0)=ROW()-3,1,0))</f>
        <v>0</v>
      </c>
      <c r="AH398" s="0" t="n">
        <f aca="false">N(AH397)+AG398</f>
        <v>5</v>
      </c>
    </row>
    <row r="399" customFormat="false" ht="13.5" hidden="false" customHeight="false" outlineLevel="0" collapsed="false">
      <c r="A399" s="0" t="str">
        <f aca="false">IF(资金日记账!$E97="","",资金日记账!$E97)</f>
        <v/>
      </c>
      <c r="B399" s="0" t="n">
        <f aca="false">IF(A399="",0,IF(MATCH(A399,$A$4:$A$1925,0)=ROW()-3,1,0))</f>
        <v>0</v>
      </c>
      <c r="C399" s="0" t="n">
        <f aca="false">N(C398)+B399</f>
        <v>9</v>
      </c>
      <c r="G399" s="0" t="n">
        <f aca="false">IF(OR($G$1="",资金日记账!$E392="",资金日记账!$E392&lt;&gt;$G$1),0,IF(NOT(OR(N(资金日记账!$H392)&lt;&gt;0,N(资金日记账!$I392)&lt;&gt;0)),0,IF(资金日记账!$B392="",1,IF(OR(N(资金日记账!$B392)&lt;$H$1,N(资金日记账!$B392)&gt;$I$1),0,1))))</f>
        <v>0</v>
      </c>
      <c r="H399" s="0" t="n">
        <f aca="false">N(H398)+$G399</f>
        <v>3</v>
      </c>
      <c r="I399" s="0" t="str">
        <f aca="false">IF($G399=0,"",IF(资金日记账!$B392=0,"",资金日记账!$B392))</f>
        <v/>
      </c>
      <c r="J399" s="0" t="str">
        <f aca="false">IF($G399=0,"",IF(资金日记账!$D392=0,"",资金日记账!$D392))</f>
        <v/>
      </c>
      <c r="K399" s="0" t="str">
        <f aca="false">IF($G399=0,"",IF(""=0,"",""))</f>
        <v/>
      </c>
      <c r="L399" s="0" t="str">
        <f aca="false">IF($G399=0,"",IF(""=0,"",""))</f>
        <v/>
      </c>
      <c r="M399" s="0" t="str">
        <f aca="false">IF($G399=0,"",IF(""=0,"",""))</f>
        <v/>
      </c>
      <c r="N399" s="0" t="str">
        <f aca="false">IF($G399=0,"",IF(IF(N(资金日记账!$I392)=0,"",-ROUND(N(资金日记账!$I392),2))=0,"",IF(N(资金日记账!$I392)=0,"",-ROUND(N(资金日记账!$I392),2))))</f>
        <v/>
      </c>
      <c r="O399" s="0" t="str">
        <f aca="false">IF($G399=0,"",IF(IF(N(资金日记账!$H392)=0,"",ROUND(N(资金日记账!$H392),2))=0,"",IF(N(资金日记账!$H392)=0,"",ROUND(N(资金日记账!$H392),2))))</f>
        <v/>
      </c>
      <c r="P399" s="0" t="str">
        <f aca="false">IF($G399=0,"",IF(资金日记账!$L392=0,"",资金日记账!$L392))</f>
        <v/>
      </c>
      <c r="T399" s="0" t="str">
        <f aca="false">IF(资金日记账!$G399="","",资金日记账!$G399)</f>
        <v/>
      </c>
      <c r="U399" s="0" t="n">
        <f aca="false">IF(T399="",0,IF(MATCH(T399,$T$4:$T$903,0)=ROW()-3,1,0))</f>
        <v>0</v>
      </c>
      <c r="V399" s="0" t="n">
        <f aca="false">N(V398)+U399</f>
        <v>30</v>
      </c>
      <c r="AF399" s="0" t="str">
        <f aca="false">IF(OR(资金日记账!$E399="",N(资金日记账!$H399)=0),"",资金日记账!$E399)</f>
        <v/>
      </c>
      <c r="AG399" s="0" t="n">
        <f aca="false">IF(AF399="",0,IF(MATCH(AF399,$AF$4:$AF$603,0)=ROW()-3,1,0))</f>
        <v>0</v>
      </c>
      <c r="AH399" s="0" t="n">
        <f aca="false">N(AH398)+AG399</f>
        <v>5</v>
      </c>
    </row>
    <row r="400" customFormat="false" ht="13.5" hidden="false" customHeight="false" outlineLevel="0" collapsed="false">
      <c r="A400" s="0" t="str">
        <f aca="false">IF(资金日记账!$E98="","",资金日记账!$E98)</f>
        <v/>
      </c>
      <c r="B400" s="0" t="n">
        <f aca="false">IF(A400="",0,IF(MATCH(A400,$A$4:$A$1925,0)=ROW()-3,1,0))</f>
        <v>0</v>
      </c>
      <c r="C400" s="0" t="n">
        <f aca="false">N(C399)+B400</f>
        <v>9</v>
      </c>
      <c r="G400" s="0" t="n">
        <f aca="false">IF(OR($G$1="",资金日记账!$E393="",资金日记账!$E393&lt;&gt;$G$1),0,IF(NOT(OR(N(资金日记账!$H393)&lt;&gt;0,N(资金日记账!$I393)&lt;&gt;0)),0,IF(资金日记账!$B393="",1,IF(OR(N(资金日记账!$B393)&lt;$H$1,N(资金日记账!$B393)&gt;$I$1),0,1))))</f>
        <v>0</v>
      </c>
      <c r="H400" s="0" t="n">
        <f aca="false">N(H399)+$G400</f>
        <v>3</v>
      </c>
      <c r="I400" s="0" t="str">
        <f aca="false">IF($G400=0,"",IF(资金日记账!$B393=0,"",资金日记账!$B393))</f>
        <v/>
      </c>
      <c r="J400" s="0" t="str">
        <f aca="false">IF($G400=0,"",IF(资金日记账!$D393=0,"",资金日记账!$D393))</f>
        <v/>
      </c>
      <c r="K400" s="0" t="str">
        <f aca="false">IF($G400=0,"",IF(""=0,"",""))</f>
        <v/>
      </c>
      <c r="L400" s="0" t="str">
        <f aca="false">IF($G400=0,"",IF(""=0,"",""))</f>
        <v/>
      </c>
      <c r="M400" s="0" t="str">
        <f aca="false">IF($G400=0,"",IF(""=0,"",""))</f>
        <v/>
      </c>
      <c r="N400" s="0" t="str">
        <f aca="false">IF($G400=0,"",IF(IF(N(资金日记账!$I393)=0,"",-ROUND(N(资金日记账!$I393),2))=0,"",IF(N(资金日记账!$I393)=0,"",-ROUND(N(资金日记账!$I393),2))))</f>
        <v/>
      </c>
      <c r="O400" s="0" t="str">
        <f aca="false">IF($G400=0,"",IF(IF(N(资金日记账!$H393)=0,"",ROUND(N(资金日记账!$H393),2))=0,"",IF(N(资金日记账!$H393)=0,"",ROUND(N(资金日记账!$H393),2))))</f>
        <v/>
      </c>
      <c r="P400" s="0" t="str">
        <f aca="false">IF($G400=0,"",IF(资金日记账!$L393=0,"",资金日记账!$L393))</f>
        <v/>
      </c>
      <c r="T400" s="0" t="str">
        <f aca="false">IF(资金日记账!$G400="","",资金日记账!$G400)</f>
        <v/>
      </c>
      <c r="U400" s="0" t="n">
        <f aca="false">IF(T400="",0,IF(MATCH(T400,$T$4:$T$903,0)=ROW()-3,1,0))</f>
        <v>0</v>
      </c>
      <c r="V400" s="0" t="n">
        <f aca="false">N(V399)+U400</f>
        <v>30</v>
      </c>
      <c r="AF400" s="0" t="str">
        <f aca="false">IF(OR(资金日记账!$E400="",N(资金日记账!$H400)=0),"",资金日记账!$E400)</f>
        <v/>
      </c>
      <c r="AG400" s="0" t="n">
        <f aca="false">IF(AF400="",0,IF(MATCH(AF400,$AF$4:$AF$603,0)=ROW()-3,1,0))</f>
        <v>0</v>
      </c>
      <c r="AH400" s="0" t="n">
        <f aca="false">N(AH399)+AG400</f>
        <v>5</v>
      </c>
    </row>
    <row r="401" customFormat="false" ht="13.5" hidden="false" customHeight="false" outlineLevel="0" collapsed="false">
      <c r="A401" s="0" t="str">
        <f aca="false">IF(资金日记账!$E99="","",资金日记账!$E99)</f>
        <v>王灵云</v>
      </c>
      <c r="B401" s="0" t="n">
        <f aca="false">IF(A401="",0,IF(MATCH(A401,$A$4:$A$1925,0)=ROW()-3,1,0))</f>
        <v>0</v>
      </c>
      <c r="C401" s="0" t="n">
        <f aca="false">N(C400)+B401</f>
        <v>9</v>
      </c>
      <c r="G401" s="0" t="n">
        <f aca="false">IF(OR($G$1="",资金日记账!$E394="",资金日记账!$E394&lt;&gt;$G$1),0,IF(NOT(OR(N(资金日记账!$H394)&lt;&gt;0,N(资金日记账!$I394)&lt;&gt;0)),0,IF(资金日记账!$B394="",1,IF(OR(N(资金日记账!$B394)&lt;$H$1,N(资金日记账!$B394)&gt;$I$1),0,1))))</f>
        <v>0</v>
      </c>
      <c r="H401" s="0" t="n">
        <f aca="false">N(H400)+$G401</f>
        <v>3</v>
      </c>
      <c r="I401" s="0" t="str">
        <f aca="false">IF($G401=0,"",IF(资金日记账!$B394=0,"",资金日记账!$B394))</f>
        <v/>
      </c>
      <c r="J401" s="0" t="str">
        <f aca="false">IF($G401=0,"",IF(资金日记账!$D394=0,"",资金日记账!$D394))</f>
        <v/>
      </c>
      <c r="K401" s="0" t="str">
        <f aca="false">IF($G401=0,"",IF(""=0,"",""))</f>
        <v/>
      </c>
      <c r="L401" s="0" t="str">
        <f aca="false">IF($G401=0,"",IF(""=0,"",""))</f>
        <v/>
      </c>
      <c r="M401" s="0" t="str">
        <f aca="false">IF($G401=0,"",IF(""=0,"",""))</f>
        <v/>
      </c>
      <c r="N401" s="0" t="str">
        <f aca="false">IF($G401=0,"",IF(IF(N(资金日记账!$I394)=0,"",-ROUND(N(资金日记账!$I394),2))=0,"",IF(N(资金日记账!$I394)=0,"",-ROUND(N(资金日记账!$I394),2))))</f>
        <v/>
      </c>
      <c r="O401" s="0" t="str">
        <f aca="false">IF($G401=0,"",IF(IF(N(资金日记账!$H394)=0,"",ROUND(N(资金日记账!$H394),2))=0,"",IF(N(资金日记账!$H394)=0,"",ROUND(N(资金日记账!$H394),2))))</f>
        <v/>
      </c>
      <c r="P401" s="0" t="str">
        <f aca="false">IF($G401=0,"",IF(资金日记账!$L394=0,"",资金日记账!$L394))</f>
        <v/>
      </c>
      <c r="T401" s="0" t="str">
        <f aca="false">IF(资金日记账!$G401="","",资金日记账!$G401)</f>
        <v/>
      </c>
      <c r="U401" s="0" t="n">
        <f aca="false">IF(T401="",0,IF(MATCH(T401,$T$4:$T$903,0)=ROW()-3,1,0))</f>
        <v>0</v>
      </c>
      <c r="V401" s="0" t="n">
        <f aca="false">N(V400)+U401</f>
        <v>30</v>
      </c>
      <c r="AF401" s="0" t="str">
        <f aca="false">IF(OR(资金日记账!$E401="",N(资金日记账!$H401)=0),"",资金日记账!$E401)</f>
        <v/>
      </c>
      <c r="AG401" s="0" t="n">
        <f aca="false">IF(AF401="",0,IF(MATCH(AF401,$AF$4:$AF$603,0)=ROW()-3,1,0))</f>
        <v>0</v>
      </c>
      <c r="AH401" s="0" t="n">
        <f aca="false">N(AH400)+AG401</f>
        <v>5</v>
      </c>
    </row>
    <row r="402" customFormat="false" ht="13.5" hidden="false" customHeight="false" outlineLevel="0" collapsed="false">
      <c r="A402" s="0" t="str">
        <f aca="false">IF(资金日记账!$E100="","",资金日记账!$E100)</f>
        <v/>
      </c>
      <c r="B402" s="0" t="n">
        <f aca="false">IF(A402="",0,IF(MATCH(A402,$A$4:$A$1925,0)=ROW()-3,1,0))</f>
        <v>0</v>
      </c>
      <c r="C402" s="0" t="n">
        <f aca="false">N(C401)+B402</f>
        <v>9</v>
      </c>
      <c r="G402" s="0" t="n">
        <f aca="false">IF(OR($G$1="",资金日记账!$E395="",资金日记账!$E395&lt;&gt;$G$1),0,IF(NOT(OR(N(资金日记账!$H395)&lt;&gt;0,N(资金日记账!$I395)&lt;&gt;0)),0,IF(资金日记账!$B395="",1,IF(OR(N(资金日记账!$B395)&lt;$H$1,N(资金日记账!$B395)&gt;$I$1),0,1))))</f>
        <v>0</v>
      </c>
      <c r="H402" s="0" t="n">
        <f aca="false">N(H401)+$G402</f>
        <v>3</v>
      </c>
      <c r="I402" s="0" t="str">
        <f aca="false">IF($G402=0,"",IF(资金日记账!$B395=0,"",资金日记账!$B395))</f>
        <v/>
      </c>
      <c r="J402" s="0" t="str">
        <f aca="false">IF($G402=0,"",IF(资金日记账!$D395=0,"",资金日记账!$D395))</f>
        <v/>
      </c>
      <c r="K402" s="0" t="str">
        <f aca="false">IF($G402=0,"",IF(""=0,"",""))</f>
        <v/>
      </c>
      <c r="L402" s="0" t="str">
        <f aca="false">IF($G402=0,"",IF(""=0,"",""))</f>
        <v/>
      </c>
      <c r="M402" s="0" t="str">
        <f aca="false">IF($G402=0,"",IF(""=0,"",""))</f>
        <v/>
      </c>
      <c r="N402" s="0" t="str">
        <f aca="false">IF($G402=0,"",IF(IF(N(资金日记账!$I395)=0,"",-ROUND(N(资金日记账!$I395),2))=0,"",IF(N(资金日记账!$I395)=0,"",-ROUND(N(资金日记账!$I395),2))))</f>
        <v/>
      </c>
      <c r="O402" s="0" t="str">
        <f aca="false">IF($G402=0,"",IF(IF(N(资金日记账!$H395)=0,"",ROUND(N(资金日记账!$H395),2))=0,"",IF(N(资金日记账!$H395)=0,"",ROUND(N(资金日记账!$H395),2))))</f>
        <v/>
      </c>
      <c r="P402" s="0" t="str">
        <f aca="false">IF($G402=0,"",IF(资金日记账!$L395=0,"",资金日记账!$L395))</f>
        <v/>
      </c>
      <c r="T402" s="0" t="str">
        <f aca="false">IF(资金日记账!$G402="","",资金日记账!$G402)</f>
        <v/>
      </c>
      <c r="U402" s="0" t="n">
        <f aca="false">IF(T402="",0,IF(MATCH(T402,$T$4:$T$903,0)=ROW()-3,1,0))</f>
        <v>0</v>
      </c>
      <c r="V402" s="0" t="n">
        <f aca="false">N(V401)+U402</f>
        <v>30</v>
      </c>
      <c r="AF402" s="0" t="str">
        <f aca="false">IF(OR(资金日记账!$E402="",N(资金日记账!$H402)=0),"",资金日记账!$E402)</f>
        <v/>
      </c>
      <c r="AG402" s="0" t="n">
        <f aca="false">IF(AF402="",0,IF(MATCH(AF402,$AF$4:$AF$603,0)=ROW()-3,1,0))</f>
        <v>0</v>
      </c>
      <c r="AH402" s="0" t="n">
        <f aca="false">N(AH401)+AG402</f>
        <v>5</v>
      </c>
    </row>
    <row r="403" customFormat="false" ht="13.5" hidden="false" customHeight="false" outlineLevel="0" collapsed="false">
      <c r="A403" s="0" t="str">
        <f aca="false">IF(资金日记账!$E101="","",资金日记账!$E101)</f>
        <v/>
      </c>
      <c r="B403" s="0" t="n">
        <f aca="false">IF(A403="",0,IF(MATCH(A403,$A$4:$A$1925,0)=ROW()-3,1,0))</f>
        <v>0</v>
      </c>
      <c r="C403" s="0" t="n">
        <f aca="false">N(C402)+B403</f>
        <v>9</v>
      </c>
      <c r="G403" s="0" t="n">
        <f aca="false">IF(OR($G$1="",资金日记账!$E396="",资金日记账!$E396&lt;&gt;$G$1),0,IF(NOT(OR(N(资金日记账!$H396)&lt;&gt;0,N(资金日记账!$I396)&lt;&gt;0)),0,IF(资金日记账!$B396="",1,IF(OR(N(资金日记账!$B396)&lt;$H$1,N(资金日记账!$B396)&gt;$I$1),0,1))))</f>
        <v>0</v>
      </c>
      <c r="H403" s="0" t="n">
        <f aca="false">N(H402)+$G403</f>
        <v>3</v>
      </c>
      <c r="I403" s="0" t="str">
        <f aca="false">IF($G403=0,"",IF(资金日记账!$B396=0,"",资金日记账!$B396))</f>
        <v/>
      </c>
      <c r="J403" s="0" t="str">
        <f aca="false">IF($G403=0,"",IF(资金日记账!$D396=0,"",资金日记账!$D396))</f>
        <v/>
      </c>
      <c r="K403" s="0" t="str">
        <f aca="false">IF($G403=0,"",IF(""=0,"",""))</f>
        <v/>
      </c>
      <c r="L403" s="0" t="str">
        <f aca="false">IF($G403=0,"",IF(""=0,"",""))</f>
        <v/>
      </c>
      <c r="M403" s="0" t="str">
        <f aca="false">IF($G403=0,"",IF(""=0,"",""))</f>
        <v/>
      </c>
      <c r="N403" s="0" t="str">
        <f aca="false">IF($G403=0,"",IF(IF(N(资金日记账!$I396)=0,"",-ROUND(N(资金日记账!$I396),2))=0,"",IF(N(资金日记账!$I396)=0,"",-ROUND(N(资金日记账!$I396),2))))</f>
        <v/>
      </c>
      <c r="O403" s="0" t="str">
        <f aca="false">IF($G403=0,"",IF(IF(N(资金日记账!$H396)=0,"",ROUND(N(资金日记账!$H396),2))=0,"",IF(N(资金日记账!$H396)=0,"",ROUND(N(资金日记账!$H396),2))))</f>
        <v/>
      </c>
      <c r="P403" s="0" t="str">
        <f aca="false">IF($G403=0,"",IF(资金日记账!$L396=0,"",资金日记账!$L396))</f>
        <v/>
      </c>
      <c r="T403" s="0" t="str">
        <f aca="false">IF(资金日记账!$G403="","",资金日记账!$G403)</f>
        <v/>
      </c>
      <c r="U403" s="0" t="n">
        <f aca="false">IF(T403="",0,IF(MATCH(T403,$T$4:$T$903,0)=ROW()-3,1,0))</f>
        <v>0</v>
      </c>
      <c r="V403" s="0" t="n">
        <f aca="false">N(V402)+U403</f>
        <v>30</v>
      </c>
      <c r="AF403" s="0" t="str">
        <f aca="false">IF(OR(资金日记账!$E403="",N(资金日记账!$H403)=0),"",资金日记账!$E403)</f>
        <v/>
      </c>
      <c r="AG403" s="0" t="n">
        <f aca="false">IF(AF403="",0,IF(MATCH(AF403,$AF$4:$AF$603,0)=ROW()-3,1,0))</f>
        <v>0</v>
      </c>
      <c r="AH403" s="0" t="n">
        <f aca="false">N(AH402)+AG403</f>
        <v>5</v>
      </c>
    </row>
    <row r="404" customFormat="false" ht="13.5" hidden="false" customHeight="false" outlineLevel="0" collapsed="false">
      <c r="A404" s="0" t="str">
        <f aca="false">IF(资金日记账!$E102="","",资金日记账!$E102)</f>
        <v/>
      </c>
      <c r="B404" s="0" t="n">
        <f aca="false">IF(A404="",0,IF(MATCH(A404,$A$4:$A$1925,0)=ROW()-3,1,0))</f>
        <v>0</v>
      </c>
      <c r="C404" s="0" t="n">
        <f aca="false">N(C403)+B404</f>
        <v>9</v>
      </c>
      <c r="G404" s="0" t="n">
        <f aca="false">IF(OR($G$1="",资金日记账!$E397="",资金日记账!$E397&lt;&gt;$G$1),0,IF(NOT(OR(N(资金日记账!$H397)&lt;&gt;0,N(资金日记账!$I397)&lt;&gt;0)),0,IF(资金日记账!$B397="",1,IF(OR(N(资金日记账!$B397)&lt;$H$1,N(资金日记账!$B397)&gt;$I$1),0,1))))</f>
        <v>0</v>
      </c>
      <c r="H404" s="0" t="n">
        <f aca="false">N(H403)+$G404</f>
        <v>3</v>
      </c>
      <c r="I404" s="0" t="str">
        <f aca="false">IF($G404=0,"",IF(资金日记账!$B397=0,"",资金日记账!$B397))</f>
        <v/>
      </c>
      <c r="J404" s="0" t="str">
        <f aca="false">IF($G404=0,"",IF(资金日记账!$D397=0,"",资金日记账!$D397))</f>
        <v/>
      </c>
      <c r="K404" s="0" t="str">
        <f aca="false">IF($G404=0,"",IF(""=0,"",""))</f>
        <v/>
      </c>
      <c r="L404" s="0" t="str">
        <f aca="false">IF($G404=0,"",IF(""=0,"",""))</f>
        <v/>
      </c>
      <c r="M404" s="0" t="str">
        <f aca="false">IF($G404=0,"",IF(""=0,"",""))</f>
        <v/>
      </c>
      <c r="N404" s="0" t="str">
        <f aca="false">IF($G404=0,"",IF(IF(N(资金日记账!$I397)=0,"",-ROUND(N(资金日记账!$I397),2))=0,"",IF(N(资金日记账!$I397)=0,"",-ROUND(N(资金日记账!$I397),2))))</f>
        <v/>
      </c>
      <c r="O404" s="0" t="str">
        <f aca="false">IF($G404=0,"",IF(IF(N(资金日记账!$H397)=0,"",ROUND(N(资金日记账!$H397),2))=0,"",IF(N(资金日记账!$H397)=0,"",ROUND(N(资金日记账!$H397),2))))</f>
        <v/>
      </c>
      <c r="P404" s="0" t="str">
        <f aca="false">IF($G404=0,"",IF(资金日记账!$L397=0,"",资金日记账!$L397))</f>
        <v/>
      </c>
      <c r="T404" s="0" t="str">
        <f aca="false">IF(资金日记账!$G404="","",资金日记账!$G404)</f>
        <v/>
      </c>
      <c r="U404" s="0" t="n">
        <f aca="false">IF(T404="",0,IF(MATCH(T404,$T$4:$T$903,0)=ROW()-3,1,0))</f>
        <v>0</v>
      </c>
      <c r="V404" s="0" t="n">
        <f aca="false">N(V403)+U404</f>
        <v>30</v>
      </c>
      <c r="AF404" s="0" t="str">
        <f aca="false">IF(OR(资金日记账!$E404="",N(资金日记账!$H404)=0),"",资金日记账!$E404)</f>
        <v/>
      </c>
      <c r="AG404" s="0" t="n">
        <f aca="false">IF(AF404="",0,IF(MATCH(AF404,$AF$4:$AF$603,0)=ROW()-3,1,0))</f>
        <v>0</v>
      </c>
      <c r="AH404" s="0" t="n">
        <f aca="false">N(AH403)+AG404</f>
        <v>5</v>
      </c>
    </row>
    <row r="405" customFormat="false" ht="13.5" hidden="false" customHeight="false" outlineLevel="0" collapsed="false">
      <c r="A405" s="0" t="str">
        <f aca="false">IF(资金日记账!$E103="","",资金日记账!$E103)</f>
        <v/>
      </c>
      <c r="B405" s="0" t="n">
        <f aca="false">IF(A405="",0,IF(MATCH(A405,$A$4:$A$1925,0)=ROW()-3,1,0))</f>
        <v>0</v>
      </c>
      <c r="C405" s="0" t="n">
        <f aca="false">N(C404)+B405</f>
        <v>9</v>
      </c>
      <c r="G405" s="0" t="n">
        <f aca="false">IF(OR($G$1="",资金日记账!$E398="",资金日记账!$E398&lt;&gt;$G$1),0,IF(NOT(OR(N(资金日记账!$H398)&lt;&gt;0,N(资金日记账!$I398)&lt;&gt;0)),0,IF(资金日记账!$B398="",1,IF(OR(N(资金日记账!$B398)&lt;$H$1,N(资金日记账!$B398)&gt;$I$1),0,1))))</f>
        <v>0</v>
      </c>
      <c r="H405" s="0" t="n">
        <f aca="false">N(H404)+$G405</f>
        <v>3</v>
      </c>
      <c r="I405" s="0" t="str">
        <f aca="false">IF($G405=0,"",IF(资金日记账!$B398=0,"",资金日记账!$B398))</f>
        <v/>
      </c>
      <c r="J405" s="0" t="str">
        <f aca="false">IF($G405=0,"",IF(资金日记账!$D398=0,"",资金日记账!$D398))</f>
        <v/>
      </c>
      <c r="K405" s="0" t="str">
        <f aca="false">IF($G405=0,"",IF(""=0,"",""))</f>
        <v/>
      </c>
      <c r="L405" s="0" t="str">
        <f aca="false">IF($G405=0,"",IF(""=0,"",""))</f>
        <v/>
      </c>
      <c r="M405" s="0" t="str">
        <f aca="false">IF($G405=0,"",IF(""=0,"",""))</f>
        <v/>
      </c>
      <c r="N405" s="0" t="str">
        <f aca="false">IF($G405=0,"",IF(IF(N(资金日记账!$I398)=0,"",-ROUND(N(资金日记账!$I398),2))=0,"",IF(N(资金日记账!$I398)=0,"",-ROUND(N(资金日记账!$I398),2))))</f>
        <v/>
      </c>
      <c r="O405" s="0" t="str">
        <f aca="false">IF($G405=0,"",IF(IF(N(资金日记账!$H398)=0,"",ROUND(N(资金日记账!$H398),2))=0,"",IF(N(资金日记账!$H398)=0,"",ROUND(N(资金日记账!$H398),2))))</f>
        <v/>
      </c>
      <c r="P405" s="0" t="str">
        <f aca="false">IF($G405=0,"",IF(资金日记账!$L398=0,"",资金日记账!$L398))</f>
        <v/>
      </c>
      <c r="T405" s="0" t="str">
        <f aca="false">IF(资金日记账!$G405="","",资金日记账!$G405)</f>
        <v/>
      </c>
      <c r="U405" s="0" t="n">
        <f aca="false">IF(T405="",0,IF(MATCH(T405,$T$4:$T$903,0)=ROW()-3,1,0))</f>
        <v>0</v>
      </c>
      <c r="V405" s="0" t="n">
        <f aca="false">N(V404)+U405</f>
        <v>30</v>
      </c>
      <c r="AF405" s="0" t="str">
        <f aca="false">IF(OR(资金日记账!$E405="",N(资金日记账!$H405)=0),"",资金日记账!$E405)</f>
        <v/>
      </c>
      <c r="AG405" s="0" t="n">
        <f aca="false">IF(AF405="",0,IF(MATCH(AF405,$AF$4:$AF$603,0)=ROW()-3,1,0))</f>
        <v>0</v>
      </c>
      <c r="AH405" s="0" t="n">
        <f aca="false">N(AH404)+AG405</f>
        <v>5</v>
      </c>
    </row>
    <row r="406" customFormat="false" ht="13.5" hidden="false" customHeight="false" outlineLevel="0" collapsed="false">
      <c r="A406" s="0" t="str">
        <f aca="false">IF(资金日记账!$E104="","",资金日记账!$E104)</f>
        <v/>
      </c>
      <c r="B406" s="0" t="n">
        <f aca="false">IF(A406="",0,IF(MATCH(A406,$A$4:$A$1925,0)=ROW()-3,1,0))</f>
        <v>0</v>
      </c>
      <c r="C406" s="0" t="n">
        <f aca="false">N(C405)+B406</f>
        <v>9</v>
      </c>
      <c r="G406" s="0" t="n">
        <f aca="false">IF(OR($G$1="",资金日记账!$E399="",资金日记账!$E399&lt;&gt;$G$1),0,IF(NOT(OR(N(资金日记账!$H399)&lt;&gt;0,N(资金日记账!$I399)&lt;&gt;0)),0,IF(资金日记账!$B399="",1,IF(OR(N(资金日记账!$B399)&lt;$H$1,N(资金日记账!$B399)&gt;$I$1),0,1))))</f>
        <v>0</v>
      </c>
      <c r="H406" s="0" t="n">
        <f aca="false">N(H405)+$G406</f>
        <v>3</v>
      </c>
      <c r="I406" s="0" t="str">
        <f aca="false">IF($G406=0,"",IF(资金日记账!$B399=0,"",资金日记账!$B399))</f>
        <v/>
      </c>
      <c r="J406" s="0" t="str">
        <f aca="false">IF($G406=0,"",IF(资金日记账!$D399=0,"",资金日记账!$D399))</f>
        <v/>
      </c>
      <c r="K406" s="0" t="str">
        <f aca="false">IF($G406=0,"",IF(""=0,"",""))</f>
        <v/>
      </c>
      <c r="L406" s="0" t="str">
        <f aca="false">IF($G406=0,"",IF(""=0,"",""))</f>
        <v/>
      </c>
      <c r="M406" s="0" t="str">
        <f aca="false">IF($G406=0,"",IF(""=0,"",""))</f>
        <v/>
      </c>
      <c r="N406" s="0" t="str">
        <f aca="false">IF($G406=0,"",IF(IF(N(资金日记账!$I399)=0,"",-ROUND(N(资金日记账!$I399),2))=0,"",IF(N(资金日记账!$I399)=0,"",-ROUND(N(资金日记账!$I399),2))))</f>
        <v/>
      </c>
      <c r="O406" s="0" t="str">
        <f aca="false">IF($G406=0,"",IF(IF(N(资金日记账!$H399)=0,"",ROUND(N(资金日记账!$H399),2))=0,"",IF(N(资金日记账!$H399)=0,"",ROUND(N(资金日记账!$H399),2))))</f>
        <v/>
      </c>
      <c r="P406" s="0" t="str">
        <f aca="false">IF($G406=0,"",IF(资金日记账!$L399=0,"",资金日记账!$L399))</f>
        <v/>
      </c>
      <c r="T406" s="0" t="str">
        <f aca="false">IF(资金日记账!$G406="","",资金日记账!$G406)</f>
        <v/>
      </c>
      <c r="U406" s="0" t="n">
        <f aca="false">IF(T406="",0,IF(MATCH(T406,$T$4:$T$903,0)=ROW()-3,1,0))</f>
        <v>0</v>
      </c>
      <c r="V406" s="0" t="n">
        <f aca="false">N(V405)+U406</f>
        <v>30</v>
      </c>
      <c r="AF406" s="0" t="str">
        <f aca="false">IF(OR(资金日记账!$E406="",N(资金日记账!$H406)=0),"",资金日记账!$E406)</f>
        <v/>
      </c>
      <c r="AG406" s="0" t="n">
        <f aca="false">IF(AF406="",0,IF(MATCH(AF406,$AF$4:$AF$603,0)=ROW()-3,1,0))</f>
        <v>0</v>
      </c>
      <c r="AH406" s="0" t="n">
        <f aca="false">N(AH405)+AG406</f>
        <v>5</v>
      </c>
    </row>
    <row r="407" customFormat="false" ht="13.5" hidden="false" customHeight="false" outlineLevel="0" collapsed="false">
      <c r="A407" s="0" t="str">
        <f aca="false">IF(资金日记账!$E105="","",资金日记账!$E105)</f>
        <v/>
      </c>
      <c r="B407" s="0" t="n">
        <f aca="false">IF(A407="",0,IF(MATCH(A407,$A$4:$A$1925,0)=ROW()-3,1,0))</f>
        <v>0</v>
      </c>
      <c r="C407" s="0" t="n">
        <f aca="false">N(C406)+B407</f>
        <v>9</v>
      </c>
      <c r="G407" s="0" t="n">
        <f aca="false">IF(OR($G$1="",资金日记账!$E400="",资金日记账!$E400&lt;&gt;$G$1),0,IF(NOT(OR(N(资金日记账!$H400)&lt;&gt;0,N(资金日记账!$I400)&lt;&gt;0)),0,IF(资金日记账!$B400="",1,IF(OR(N(资金日记账!$B400)&lt;$H$1,N(资金日记账!$B400)&gt;$I$1),0,1))))</f>
        <v>0</v>
      </c>
      <c r="H407" s="0" t="n">
        <f aca="false">N(H406)+$G407</f>
        <v>3</v>
      </c>
      <c r="I407" s="0" t="str">
        <f aca="false">IF($G407=0,"",IF(资金日记账!$B400=0,"",资金日记账!$B400))</f>
        <v/>
      </c>
      <c r="J407" s="0" t="str">
        <f aca="false">IF($G407=0,"",IF(资金日记账!$D400=0,"",资金日记账!$D400))</f>
        <v/>
      </c>
      <c r="K407" s="0" t="str">
        <f aca="false">IF($G407=0,"",IF(""=0,"",""))</f>
        <v/>
      </c>
      <c r="L407" s="0" t="str">
        <f aca="false">IF($G407=0,"",IF(""=0,"",""))</f>
        <v/>
      </c>
      <c r="M407" s="0" t="str">
        <f aca="false">IF($G407=0,"",IF(""=0,"",""))</f>
        <v/>
      </c>
      <c r="N407" s="0" t="str">
        <f aca="false">IF($G407=0,"",IF(IF(N(资金日记账!$I400)=0,"",-ROUND(N(资金日记账!$I400),2))=0,"",IF(N(资金日记账!$I400)=0,"",-ROUND(N(资金日记账!$I400),2))))</f>
        <v/>
      </c>
      <c r="O407" s="0" t="str">
        <f aca="false">IF($G407=0,"",IF(IF(N(资金日记账!$H400)=0,"",ROUND(N(资金日记账!$H400),2))=0,"",IF(N(资金日记账!$H400)=0,"",ROUND(N(资金日记账!$H400),2))))</f>
        <v/>
      </c>
      <c r="P407" s="0" t="str">
        <f aca="false">IF($G407=0,"",IF(资金日记账!$L400=0,"",资金日记账!$L400))</f>
        <v/>
      </c>
      <c r="T407" s="0" t="str">
        <f aca="false">IF(资金日记账!$G407="","",资金日记账!$G407)</f>
        <v/>
      </c>
      <c r="U407" s="0" t="n">
        <f aca="false">IF(T407="",0,IF(MATCH(T407,$T$4:$T$903,0)=ROW()-3,1,0))</f>
        <v>0</v>
      </c>
      <c r="V407" s="0" t="n">
        <f aca="false">N(V406)+U407</f>
        <v>30</v>
      </c>
      <c r="AF407" s="0" t="str">
        <f aca="false">IF(OR(资金日记账!$E407="",N(资金日记账!$H407)=0),"",资金日记账!$E407)</f>
        <v/>
      </c>
      <c r="AG407" s="0" t="n">
        <f aca="false">IF(AF407="",0,IF(MATCH(AF407,$AF$4:$AF$603,0)=ROW()-3,1,0))</f>
        <v>0</v>
      </c>
      <c r="AH407" s="0" t="n">
        <f aca="false">N(AH406)+AG407</f>
        <v>5</v>
      </c>
    </row>
    <row r="408" customFormat="false" ht="13.5" hidden="false" customHeight="false" outlineLevel="0" collapsed="false">
      <c r="A408" s="0" t="str">
        <f aca="false">IF(资金日记账!$E106="","",资金日记账!$E106)</f>
        <v/>
      </c>
      <c r="B408" s="0" t="n">
        <f aca="false">IF(A408="",0,IF(MATCH(A408,$A$4:$A$1925,0)=ROW()-3,1,0))</f>
        <v>0</v>
      </c>
      <c r="C408" s="0" t="n">
        <f aca="false">N(C407)+B408</f>
        <v>9</v>
      </c>
      <c r="G408" s="0" t="n">
        <f aca="false">IF(OR($G$1="",资金日记账!$E401="",资金日记账!$E401&lt;&gt;$G$1),0,IF(NOT(OR(N(资金日记账!$H401)&lt;&gt;0,N(资金日记账!$I401)&lt;&gt;0)),0,IF(资金日记账!$B401="",1,IF(OR(N(资金日记账!$B401)&lt;$H$1,N(资金日记账!$B401)&gt;$I$1),0,1))))</f>
        <v>0</v>
      </c>
      <c r="H408" s="0" t="n">
        <f aca="false">N(H407)+$G408</f>
        <v>3</v>
      </c>
      <c r="I408" s="0" t="str">
        <f aca="false">IF($G408=0,"",IF(资金日记账!$B401=0,"",资金日记账!$B401))</f>
        <v/>
      </c>
      <c r="J408" s="0" t="str">
        <f aca="false">IF($G408=0,"",IF(资金日记账!$D401=0,"",资金日记账!$D401))</f>
        <v/>
      </c>
      <c r="K408" s="0" t="str">
        <f aca="false">IF($G408=0,"",IF(""=0,"",""))</f>
        <v/>
      </c>
      <c r="L408" s="0" t="str">
        <f aca="false">IF($G408=0,"",IF(""=0,"",""))</f>
        <v/>
      </c>
      <c r="M408" s="0" t="str">
        <f aca="false">IF($G408=0,"",IF(""=0,"",""))</f>
        <v/>
      </c>
      <c r="N408" s="0" t="str">
        <f aca="false">IF($G408=0,"",IF(IF(N(资金日记账!$I401)=0,"",-ROUND(N(资金日记账!$I401),2))=0,"",IF(N(资金日记账!$I401)=0,"",-ROUND(N(资金日记账!$I401),2))))</f>
        <v/>
      </c>
      <c r="O408" s="0" t="str">
        <f aca="false">IF($G408=0,"",IF(IF(N(资金日记账!$H401)=0,"",ROUND(N(资金日记账!$H401),2))=0,"",IF(N(资金日记账!$H401)=0,"",ROUND(N(资金日记账!$H401),2))))</f>
        <v/>
      </c>
      <c r="P408" s="0" t="str">
        <f aca="false">IF($G408=0,"",IF(资金日记账!$L401=0,"",资金日记账!$L401))</f>
        <v/>
      </c>
      <c r="T408" s="0" t="str">
        <f aca="false">IF(资金日记账!$G408="","",资金日记账!$G408)</f>
        <v/>
      </c>
      <c r="U408" s="0" t="n">
        <f aca="false">IF(T408="",0,IF(MATCH(T408,$T$4:$T$903,0)=ROW()-3,1,0))</f>
        <v>0</v>
      </c>
      <c r="V408" s="0" t="n">
        <f aca="false">N(V407)+U408</f>
        <v>30</v>
      </c>
      <c r="AF408" s="0" t="str">
        <f aca="false">IF(OR(资金日记账!$E408="",N(资金日记账!$H408)=0),"",资金日记账!$E408)</f>
        <v/>
      </c>
      <c r="AG408" s="0" t="n">
        <f aca="false">IF(AF408="",0,IF(MATCH(AF408,$AF$4:$AF$603,0)=ROW()-3,1,0))</f>
        <v>0</v>
      </c>
      <c r="AH408" s="0" t="n">
        <f aca="false">N(AH407)+AG408</f>
        <v>5</v>
      </c>
    </row>
    <row r="409" customFormat="false" ht="13.5" hidden="false" customHeight="false" outlineLevel="0" collapsed="false">
      <c r="A409" s="0" t="str">
        <f aca="false">IF(资金日记账!$E107="","",资金日记账!$E107)</f>
        <v/>
      </c>
      <c r="B409" s="0" t="n">
        <f aca="false">IF(A409="",0,IF(MATCH(A409,$A$4:$A$1925,0)=ROW()-3,1,0))</f>
        <v>0</v>
      </c>
      <c r="C409" s="0" t="n">
        <f aca="false">N(C408)+B409</f>
        <v>9</v>
      </c>
      <c r="G409" s="0" t="n">
        <f aca="false">IF(OR($G$1="",资金日记账!$E402="",资金日记账!$E402&lt;&gt;$G$1),0,IF(NOT(OR(N(资金日记账!$H402)&lt;&gt;0,N(资金日记账!$I402)&lt;&gt;0)),0,IF(资金日记账!$B402="",1,IF(OR(N(资金日记账!$B402)&lt;$H$1,N(资金日记账!$B402)&gt;$I$1),0,1))))</f>
        <v>0</v>
      </c>
      <c r="H409" s="0" t="n">
        <f aca="false">N(H408)+$G409</f>
        <v>3</v>
      </c>
      <c r="I409" s="0" t="str">
        <f aca="false">IF($G409=0,"",IF(资金日记账!$B402=0,"",资金日记账!$B402))</f>
        <v/>
      </c>
      <c r="J409" s="0" t="str">
        <f aca="false">IF($G409=0,"",IF(资金日记账!$D402=0,"",资金日记账!$D402))</f>
        <v/>
      </c>
      <c r="K409" s="0" t="str">
        <f aca="false">IF($G409=0,"",IF(""=0,"",""))</f>
        <v/>
      </c>
      <c r="L409" s="0" t="str">
        <f aca="false">IF($G409=0,"",IF(""=0,"",""))</f>
        <v/>
      </c>
      <c r="M409" s="0" t="str">
        <f aca="false">IF($G409=0,"",IF(""=0,"",""))</f>
        <v/>
      </c>
      <c r="N409" s="0" t="str">
        <f aca="false">IF($G409=0,"",IF(IF(N(资金日记账!$I402)=0,"",-ROUND(N(资金日记账!$I402),2))=0,"",IF(N(资金日记账!$I402)=0,"",-ROUND(N(资金日记账!$I402),2))))</f>
        <v/>
      </c>
      <c r="O409" s="0" t="str">
        <f aca="false">IF($G409=0,"",IF(IF(N(资金日记账!$H402)=0,"",ROUND(N(资金日记账!$H402),2))=0,"",IF(N(资金日记账!$H402)=0,"",ROUND(N(资金日记账!$H402),2))))</f>
        <v/>
      </c>
      <c r="P409" s="0" t="str">
        <f aca="false">IF($G409=0,"",IF(资金日记账!$L402=0,"",资金日记账!$L402))</f>
        <v/>
      </c>
      <c r="T409" s="0" t="str">
        <f aca="false">IF(资金日记账!$G409="","",资金日记账!$G409)</f>
        <v/>
      </c>
      <c r="U409" s="0" t="n">
        <f aca="false">IF(T409="",0,IF(MATCH(T409,$T$4:$T$903,0)=ROW()-3,1,0))</f>
        <v>0</v>
      </c>
      <c r="V409" s="0" t="n">
        <f aca="false">N(V408)+U409</f>
        <v>30</v>
      </c>
      <c r="AF409" s="0" t="str">
        <f aca="false">IF(OR(资金日记账!$E409="",N(资金日记账!$H409)=0),"",资金日记账!$E409)</f>
        <v/>
      </c>
      <c r="AG409" s="0" t="n">
        <f aca="false">IF(AF409="",0,IF(MATCH(AF409,$AF$4:$AF$603,0)=ROW()-3,1,0))</f>
        <v>0</v>
      </c>
      <c r="AH409" s="0" t="n">
        <f aca="false">N(AH408)+AG409</f>
        <v>5</v>
      </c>
    </row>
    <row r="410" customFormat="false" ht="13.5" hidden="false" customHeight="false" outlineLevel="0" collapsed="false">
      <c r="A410" s="0" t="str">
        <f aca="false">IF(资金日记账!$E108="","",资金日记账!$E108)</f>
        <v>王灵云</v>
      </c>
      <c r="B410" s="0" t="n">
        <f aca="false">IF(A410="",0,IF(MATCH(A410,$A$4:$A$1925,0)=ROW()-3,1,0))</f>
        <v>0</v>
      </c>
      <c r="C410" s="0" t="n">
        <f aca="false">N(C409)+B410</f>
        <v>9</v>
      </c>
      <c r="G410" s="0" t="n">
        <f aca="false">IF(OR($G$1="",资金日记账!$E403="",资金日记账!$E403&lt;&gt;$G$1),0,IF(NOT(OR(N(资金日记账!$H403)&lt;&gt;0,N(资金日记账!$I403)&lt;&gt;0)),0,IF(资金日记账!$B403="",1,IF(OR(N(资金日记账!$B403)&lt;$H$1,N(资金日记账!$B403)&gt;$I$1),0,1))))</f>
        <v>0</v>
      </c>
      <c r="H410" s="0" t="n">
        <f aca="false">N(H409)+$G410</f>
        <v>3</v>
      </c>
      <c r="I410" s="0" t="str">
        <f aca="false">IF($G410=0,"",IF(资金日记账!$B403=0,"",资金日记账!$B403))</f>
        <v/>
      </c>
      <c r="J410" s="0" t="str">
        <f aca="false">IF($G410=0,"",IF(资金日记账!$D403=0,"",资金日记账!$D403))</f>
        <v/>
      </c>
      <c r="K410" s="0" t="str">
        <f aca="false">IF($G410=0,"",IF(""=0,"",""))</f>
        <v/>
      </c>
      <c r="L410" s="0" t="str">
        <f aca="false">IF($G410=0,"",IF(""=0,"",""))</f>
        <v/>
      </c>
      <c r="M410" s="0" t="str">
        <f aca="false">IF($G410=0,"",IF(""=0,"",""))</f>
        <v/>
      </c>
      <c r="N410" s="0" t="str">
        <f aca="false">IF($G410=0,"",IF(IF(N(资金日记账!$I403)=0,"",-ROUND(N(资金日记账!$I403),2))=0,"",IF(N(资金日记账!$I403)=0,"",-ROUND(N(资金日记账!$I403),2))))</f>
        <v/>
      </c>
      <c r="O410" s="0" t="str">
        <f aca="false">IF($G410=0,"",IF(IF(N(资金日记账!$H403)=0,"",ROUND(N(资金日记账!$H403),2))=0,"",IF(N(资金日记账!$H403)=0,"",ROUND(N(资金日记账!$H403),2))))</f>
        <v/>
      </c>
      <c r="P410" s="0" t="str">
        <f aca="false">IF($G410=0,"",IF(资金日记账!$L403=0,"",资金日记账!$L403))</f>
        <v/>
      </c>
      <c r="T410" s="0" t="str">
        <f aca="false">IF(资金日记账!$G410="","",资金日记账!$G410)</f>
        <v/>
      </c>
      <c r="U410" s="0" t="n">
        <f aca="false">IF(T410="",0,IF(MATCH(T410,$T$4:$T$903,0)=ROW()-3,1,0))</f>
        <v>0</v>
      </c>
      <c r="V410" s="0" t="n">
        <f aca="false">N(V409)+U410</f>
        <v>30</v>
      </c>
      <c r="AF410" s="0" t="str">
        <f aca="false">IF(OR(资金日记账!$E410="",N(资金日记账!$H410)=0),"",资金日记账!$E410)</f>
        <v/>
      </c>
      <c r="AG410" s="0" t="n">
        <f aca="false">IF(AF410="",0,IF(MATCH(AF410,$AF$4:$AF$603,0)=ROW()-3,1,0))</f>
        <v>0</v>
      </c>
      <c r="AH410" s="0" t="n">
        <f aca="false">N(AH409)+AG410</f>
        <v>5</v>
      </c>
    </row>
    <row r="411" customFormat="false" ht="13.5" hidden="false" customHeight="false" outlineLevel="0" collapsed="false">
      <c r="A411" s="0" t="str">
        <f aca="false">IF(资金日记账!$E109="","",资金日记账!$E109)</f>
        <v>聂新平</v>
      </c>
      <c r="B411" s="0" t="n">
        <f aca="false">IF(A411="",0,IF(MATCH(A411,$A$4:$A$1925,0)=ROW()-3,1,0))</f>
        <v>1</v>
      </c>
      <c r="C411" s="0" t="n">
        <f aca="false">N(C410)+B411</f>
        <v>10</v>
      </c>
      <c r="G411" s="0" t="n">
        <f aca="false">IF(OR($G$1="",资金日记账!$E404="",资金日记账!$E404&lt;&gt;$G$1),0,IF(NOT(OR(N(资金日记账!$H404)&lt;&gt;0,N(资金日记账!$I404)&lt;&gt;0)),0,IF(资金日记账!$B404="",1,IF(OR(N(资金日记账!$B404)&lt;$H$1,N(资金日记账!$B404)&gt;$I$1),0,1))))</f>
        <v>0</v>
      </c>
      <c r="H411" s="0" t="n">
        <f aca="false">N(H410)+$G411</f>
        <v>3</v>
      </c>
      <c r="I411" s="0" t="str">
        <f aca="false">IF($G411=0,"",IF(资金日记账!$B404=0,"",资金日记账!$B404))</f>
        <v/>
      </c>
      <c r="J411" s="0" t="str">
        <f aca="false">IF($G411=0,"",IF(资金日记账!$D404=0,"",资金日记账!$D404))</f>
        <v/>
      </c>
      <c r="K411" s="0" t="str">
        <f aca="false">IF($G411=0,"",IF(""=0,"",""))</f>
        <v/>
      </c>
      <c r="L411" s="0" t="str">
        <f aca="false">IF($G411=0,"",IF(""=0,"",""))</f>
        <v/>
      </c>
      <c r="M411" s="0" t="str">
        <f aca="false">IF($G411=0,"",IF(""=0,"",""))</f>
        <v/>
      </c>
      <c r="N411" s="0" t="str">
        <f aca="false">IF($G411=0,"",IF(IF(N(资金日记账!$I404)=0,"",-ROUND(N(资金日记账!$I404),2))=0,"",IF(N(资金日记账!$I404)=0,"",-ROUND(N(资金日记账!$I404),2))))</f>
        <v/>
      </c>
      <c r="O411" s="0" t="str">
        <f aca="false">IF($G411=0,"",IF(IF(N(资金日记账!$H404)=0,"",ROUND(N(资金日记账!$H404),2))=0,"",IF(N(资金日记账!$H404)=0,"",ROUND(N(资金日记账!$H404),2))))</f>
        <v/>
      </c>
      <c r="P411" s="0" t="str">
        <f aca="false">IF($G411=0,"",IF(资金日记账!$L404=0,"",资金日记账!$L404))</f>
        <v/>
      </c>
      <c r="T411" s="0" t="str">
        <f aca="false">IF(资金日记账!$G411="","",资金日记账!$G411)</f>
        <v/>
      </c>
      <c r="U411" s="0" t="n">
        <f aca="false">IF(T411="",0,IF(MATCH(T411,$T$4:$T$903,0)=ROW()-3,1,0))</f>
        <v>0</v>
      </c>
      <c r="V411" s="0" t="n">
        <f aca="false">N(V410)+U411</f>
        <v>30</v>
      </c>
      <c r="AF411" s="0" t="str">
        <f aca="false">IF(OR(资金日记账!$E411="",N(资金日记账!$H411)=0),"",资金日记账!$E411)</f>
        <v/>
      </c>
      <c r="AG411" s="0" t="n">
        <f aca="false">IF(AF411="",0,IF(MATCH(AF411,$AF$4:$AF$603,0)=ROW()-3,1,0))</f>
        <v>0</v>
      </c>
      <c r="AH411" s="0" t="n">
        <f aca="false">N(AH410)+AG411</f>
        <v>5</v>
      </c>
    </row>
    <row r="412" customFormat="false" ht="13.5" hidden="false" customHeight="false" outlineLevel="0" collapsed="false">
      <c r="A412" s="0" t="str">
        <f aca="false">IF(资金日记账!$E110="","",资金日记账!$E110)</f>
        <v/>
      </c>
      <c r="B412" s="0" t="n">
        <f aca="false">IF(A412="",0,IF(MATCH(A412,$A$4:$A$1925,0)=ROW()-3,1,0))</f>
        <v>0</v>
      </c>
      <c r="C412" s="0" t="n">
        <f aca="false">N(C411)+B412</f>
        <v>10</v>
      </c>
      <c r="G412" s="0" t="n">
        <f aca="false">IF(OR($G$1="",资金日记账!$E405="",资金日记账!$E405&lt;&gt;$G$1),0,IF(NOT(OR(N(资金日记账!$H405)&lt;&gt;0,N(资金日记账!$I405)&lt;&gt;0)),0,IF(资金日记账!$B405="",1,IF(OR(N(资金日记账!$B405)&lt;$H$1,N(资金日记账!$B405)&gt;$I$1),0,1))))</f>
        <v>0</v>
      </c>
      <c r="H412" s="0" t="n">
        <f aca="false">N(H411)+$G412</f>
        <v>3</v>
      </c>
      <c r="I412" s="0" t="str">
        <f aca="false">IF($G412=0,"",IF(资金日记账!$B405=0,"",资金日记账!$B405))</f>
        <v/>
      </c>
      <c r="J412" s="0" t="str">
        <f aca="false">IF($G412=0,"",IF(资金日记账!$D405=0,"",资金日记账!$D405))</f>
        <v/>
      </c>
      <c r="K412" s="0" t="str">
        <f aca="false">IF($G412=0,"",IF(""=0,"",""))</f>
        <v/>
      </c>
      <c r="L412" s="0" t="str">
        <f aca="false">IF($G412=0,"",IF(""=0,"",""))</f>
        <v/>
      </c>
      <c r="M412" s="0" t="str">
        <f aca="false">IF($G412=0,"",IF(""=0,"",""))</f>
        <v/>
      </c>
      <c r="N412" s="0" t="str">
        <f aca="false">IF($G412=0,"",IF(IF(N(资金日记账!$I405)=0,"",-ROUND(N(资金日记账!$I405),2))=0,"",IF(N(资金日记账!$I405)=0,"",-ROUND(N(资金日记账!$I405),2))))</f>
        <v/>
      </c>
      <c r="O412" s="0" t="str">
        <f aca="false">IF($G412=0,"",IF(IF(N(资金日记账!$H405)=0,"",ROUND(N(资金日记账!$H405),2))=0,"",IF(N(资金日记账!$H405)=0,"",ROUND(N(资金日记账!$H405),2))))</f>
        <v/>
      </c>
      <c r="P412" s="0" t="str">
        <f aca="false">IF($G412=0,"",IF(资金日记账!$L405=0,"",资金日记账!$L405))</f>
        <v/>
      </c>
      <c r="T412" s="0" t="str">
        <f aca="false">IF(资金日记账!$G412="","",资金日记账!$G412)</f>
        <v/>
      </c>
      <c r="U412" s="0" t="n">
        <f aca="false">IF(T412="",0,IF(MATCH(T412,$T$4:$T$903,0)=ROW()-3,1,0))</f>
        <v>0</v>
      </c>
      <c r="V412" s="0" t="n">
        <f aca="false">N(V411)+U412</f>
        <v>30</v>
      </c>
      <c r="AF412" s="0" t="str">
        <f aca="false">IF(OR(资金日记账!$E412="",N(资金日记账!$H412)=0),"",资金日记账!$E412)</f>
        <v/>
      </c>
      <c r="AG412" s="0" t="n">
        <f aca="false">IF(AF412="",0,IF(MATCH(AF412,$AF$4:$AF$603,0)=ROW()-3,1,0))</f>
        <v>0</v>
      </c>
      <c r="AH412" s="0" t="n">
        <f aca="false">N(AH411)+AG412</f>
        <v>5</v>
      </c>
    </row>
    <row r="413" customFormat="false" ht="13.5" hidden="false" customHeight="false" outlineLevel="0" collapsed="false">
      <c r="A413" s="0" t="str">
        <f aca="false">IF(资金日记账!$E111="","",资金日记账!$E111)</f>
        <v/>
      </c>
      <c r="B413" s="0" t="n">
        <f aca="false">IF(A413="",0,IF(MATCH(A413,$A$4:$A$1925,0)=ROW()-3,1,0))</f>
        <v>0</v>
      </c>
      <c r="C413" s="0" t="n">
        <f aca="false">N(C412)+B413</f>
        <v>10</v>
      </c>
      <c r="G413" s="0" t="n">
        <f aca="false">IF(OR($G$1="",资金日记账!$E406="",资金日记账!$E406&lt;&gt;$G$1),0,IF(NOT(OR(N(资金日记账!$H406)&lt;&gt;0,N(资金日记账!$I406)&lt;&gt;0)),0,IF(资金日记账!$B406="",1,IF(OR(N(资金日记账!$B406)&lt;$H$1,N(资金日记账!$B406)&gt;$I$1),0,1))))</f>
        <v>0</v>
      </c>
      <c r="H413" s="0" t="n">
        <f aca="false">N(H412)+$G413</f>
        <v>3</v>
      </c>
      <c r="I413" s="0" t="str">
        <f aca="false">IF($G413=0,"",IF(资金日记账!$B406=0,"",资金日记账!$B406))</f>
        <v/>
      </c>
      <c r="J413" s="0" t="str">
        <f aca="false">IF($G413=0,"",IF(资金日记账!$D406=0,"",资金日记账!$D406))</f>
        <v/>
      </c>
      <c r="K413" s="0" t="str">
        <f aca="false">IF($G413=0,"",IF(""=0,"",""))</f>
        <v/>
      </c>
      <c r="L413" s="0" t="str">
        <f aca="false">IF($G413=0,"",IF(""=0,"",""))</f>
        <v/>
      </c>
      <c r="M413" s="0" t="str">
        <f aca="false">IF($G413=0,"",IF(""=0,"",""))</f>
        <v/>
      </c>
      <c r="N413" s="0" t="str">
        <f aca="false">IF($G413=0,"",IF(IF(N(资金日记账!$I406)=0,"",-ROUND(N(资金日记账!$I406),2))=0,"",IF(N(资金日记账!$I406)=0,"",-ROUND(N(资金日记账!$I406),2))))</f>
        <v/>
      </c>
      <c r="O413" s="0" t="str">
        <f aca="false">IF($G413=0,"",IF(IF(N(资金日记账!$H406)=0,"",ROUND(N(资金日记账!$H406),2))=0,"",IF(N(资金日记账!$H406)=0,"",ROUND(N(资金日记账!$H406),2))))</f>
        <v/>
      </c>
      <c r="P413" s="0" t="str">
        <f aca="false">IF($G413=0,"",IF(资金日记账!$L406=0,"",资金日记账!$L406))</f>
        <v/>
      </c>
      <c r="T413" s="0" t="str">
        <f aca="false">IF(资金日记账!$G413="","",资金日记账!$G413)</f>
        <v/>
      </c>
      <c r="U413" s="0" t="n">
        <f aca="false">IF(T413="",0,IF(MATCH(T413,$T$4:$T$903,0)=ROW()-3,1,0))</f>
        <v>0</v>
      </c>
      <c r="V413" s="0" t="n">
        <f aca="false">N(V412)+U413</f>
        <v>30</v>
      </c>
      <c r="AF413" s="0" t="str">
        <f aca="false">IF(OR(资金日记账!$E413="",N(资金日记账!$H413)=0),"",资金日记账!$E413)</f>
        <v/>
      </c>
      <c r="AG413" s="0" t="n">
        <f aca="false">IF(AF413="",0,IF(MATCH(AF413,$AF$4:$AF$603,0)=ROW()-3,1,0))</f>
        <v>0</v>
      </c>
      <c r="AH413" s="0" t="n">
        <f aca="false">N(AH412)+AG413</f>
        <v>5</v>
      </c>
    </row>
    <row r="414" customFormat="false" ht="13.5" hidden="false" customHeight="false" outlineLevel="0" collapsed="false">
      <c r="A414" s="0" t="str">
        <f aca="false">IF(资金日记账!$E112="","",资金日记账!$E112)</f>
        <v/>
      </c>
      <c r="B414" s="0" t="n">
        <f aca="false">IF(A414="",0,IF(MATCH(A414,$A$4:$A$1925,0)=ROW()-3,1,0))</f>
        <v>0</v>
      </c>
      <c r="C414" s="0" t="n">
        <f aca="false">N(C413)+B414</f>
        <v>10</v>
      </c>
      <c r="G414" s="0" t="n">
        <f aca="false">IF(OR($G$1="",资金日记账!$E407="",资金日记账!$E407&lt;&gt;$G$1),0,IF(NOT(OR(N(资金日记账!$H407)&lt;&gt;0,N(资金日记账!$I407)&lt;&gt;0)),0,IF(资金日记账!$B407="",1,IF(OR(N(资金日记账!$B407)&lt;$H$1,N(资金日记账!$B407)&gt;$I$1),0,1))))</f>
        <v>0</v>
      </c>
      <c r="H414" s="0" t="n">
        <f aca="false">N(H413)+$G414</f>
        <v>3</v>
      </c>
      <c r="I414" s="0" t="str">
        <f aca="false">IF($G414=0,"",IF(资金日记账!$B407=0,"",资金日记账!$B407))</f>
        <v/>
      </c>
      <c r="J414" s="0" t="str">
        <f aca="false">IF($G414=0,"",IF(资金日记账!$D407=0,"",资金日记账!$D407))</f>
        <v/>
      </c>
      <c r="K414" s="0" t="str">
        <f aca="false">IF($G414=0,"",IF(""=0,"",""))</f>
        <v/>
      </c>
      <c r="L414" s="0" t="str">
        <f aca="false">IF($G414=0,"",IF(""=0,"",""))</f>
        <v/>
      </c>
      <c r="M414" s="0" t="str">
        <f aca="false">IF($G414=0,"",IF(""=0,"",""))</f>
        <v/>
      </c>
      <c r="N414" s="0" t="str">
        <f aca="false">IF($G414=0,"",IF(IF(N(资金日记账!$I407)=0,"",-ROUND(N(资金日记账!$I407),2))=0,"",IF(N(资金日记账!$I407)=0,"",-ROUND(N(资金日记账!$I407),2))))</f>
        <v/>
      </c>
      <c r="O414" s="0" t="str">
        <f aca="false">IF($G414=0,"",IF(IF(N(资金日记账!$H407)=0,"",ROUND(N(资金日记账!$H407),2))=0,"",IF(N(资金日记账!$H407)=0,"",ROUND(N(资金日记账!$H407),2))))</f>
        <v/>
      </c>
      <c r="P414" s="0" t="str">
        <f aca="false">IF($G414=0,"",IF(资金日记账!$L407=0,"",资金日记账!$L407))</f>
        <v/>
      </c>
      <c r="T414" s="0" t="str">
        <f aca="false">IF(资金日记账!$G414="","",资金日记账!$G414)</f>
        <v/>
      </c>
      <c r="U414" s="0" t="n">
        <f aca="false">IF(T414="",0,IF(MATCH(T414,$T$4:$T$903,0)=ROW()-3,1,0))</f>
        <v>0</v>
      </c>
      <c r="V414" s="0" t="n">
        <f aca="false">N(V413)+U414</f>
        <v>30</v>
      </c>
      <c r="AF414" s="0" t="str">
        <f aca="false">IF(OR(资金日记账!$E414="",N(资金日记账!$H414)=0),"",资金日记账!$E414)</f>
        <v/>
      </c>
      <c r="AG414" s="0" t="n">
        <f aca="false">IF(AF414="",0,IF(MATCH(AF414,$AF$4:$AF$603,0)=ROW()-3,1,0))</f>
        <v>0</v>
      </c>
      <c r="AH414" s="0" t="n">
        <f aca="false">N(AH413)+AG414</f>
        <v>5</v>
      </c>
    </row>
    <row r="415" customFormat="false" ht="13.5" hidden="false" customHeight="false" outlineLevel="0" collapsed="false">
      <c r="A415" s="0" t="str">
        <f aca="false">IF(资金日记账!$E113="","",资金日记账!$E113)</f>
        <v/>
      </c>
      <c r="B415" s="0" t="n">
        <f aca="false">IF(A415="",0,IF(MATCH(A415,$A$4:$A$1925,0)=ROW()-3,1,0))</f>
        <v>0</v>
      </c>
      <c r="C415" s="0" t="n">
        <f aca="false">N(C414)+B415</f>
        <v>10</v>
      </c>
      <c r="G415" s="0" t="n">
        <f aca="false">IF(OR($G$1="",资金日记账!$E408="",资金日记账!$E408&lt;&gt;$G$1),0,IF(NOT(OR(N(资金日记账!$H408)&lt;&gt;0,N(资金日记账!$I408)&lt;&gt;0)),0,IF(资金日记账!$B408="",1,IF(OR(N(资金日记账!$B408)&lt;$H$1,N(资金日记账!$B408)&gt;$I$1),0,1))))</f>
        <v>0</v>
      </c>
      <c r="H415" s="0" t="n">
        <f aca="false">N(H414)+$G415</f>
        <v>3</v>
      </c>
      <c r="I415" s="0" t="str">
        <f aca="false">IF($G415=0,"",IF(资金日记账!$B408=0,"",资金日记账!$B408))</f>
        <v/>
      </c>
      <c r="J415" s="0" t="str">
        <f aca="false">IF($G415=0,"",IF(资金日记账!$D408=0,"",资金日记账!$D408))</f>
        <v/>
      </c>
      <c r="K415" s="0" t="str">
        <f aca="false">IF($G415=0,"",IF(""=0,"",""))</f>
        <v/>
      </c>
      <c r="L415" s="0" t="str">
        <f aca="false">IF($G415=0,"",IF(""=0,"",""))</f>
        <v/>
      </c>
      <c r="M415" s="0" t="str">
        <f aca="false">IF($G415=0,"",IF(""=0,"",""))</f>
        <v/>
      </c>
      <c r="N415" s="0" t="str">
        <f aca="false">IF($G415=0,"",IF(IF(N(资金日记账!$I408)=0,"",-ROUND(N(资金日记账!$I408),2))=0,"",IF(N(资金日记账!$I408)=0,"",-ROUND(N(资金日记账!$I408),2))))</f>
        <v/>
      </c>
      <c r="O415" s="0" t="str">
        <f aca="false">IF($G415=0,"",IF(IF(N(资金日记账!$H408)=0,"",ROUND(N(资金日记账!$H408),2))=0,"",IF(N(资金日记账!$H408)=0,"",ROUND(N(资金日记账!$H408),2))))</f>
        <v/>
      </c>
      <c r="P415" s="0" t="str">
        <f aca="false">IF($G415=0,"",IF(资金日记账!$L408=0,"",资金日记账!$L408))</f>
        <v/>
      </c>
      <c r="T415" s="0" t="str">
        <f aca="false">IF(资金日记账!$G415="","",资金日记账!$G415)</f>
        <v/>
      </c>
      <c r="U415" s="0" t="n">
        <f aca="false">IF(T415="",0,IF(MATCH(T415,$T$4:$T$903,0)=ROW()-3,1,0))</f>
        <v>0</v>
      </c>
      <c r="V415" s="0" t="n">
        <f aca="false">N(V414)+U415</f>
        <v>30</v>
      </c>
      <c r="AF415" s="0" t="str">
        <f aca="false">IF(OR(资金日记账!$E415="",N(资金日记账!$H415)=0),"",资金日记账!$E415)</f>
        <v/>
      </c>
      <c r="AG415" s="0" t="n">
        <f aca="false">IF(AF415="",0,IF(MATCH(AF415,$AF$4:$AF$603,0)=ROW()-3,1,0))</f>
        <v>0</v>
      </c>
      <c r="AH415" s="0" t="n">
        <f aca="false">N(AH414)+AG415</f>
        <v>5</v>
      </c>
    </row>
    <row r="416" customFormat="false" ht="13.5" hidden="false" customHeight="false" outlineLevel="0" collapsed="false">
      <c r="A416" s="0" t="str">
        <f aca="false">IF(资金日记账!$E114="","",资金日记账!$E114)</f>
        <v>热合曼</v>
      </c>
      <c r="B416" s="0" t="n">
        <f aca="false">IF(A416="",0,IF(MATCH(A416,$A$4:$A$1925,0)=ROW()-3,1,0))</f>
        <v>0</v>
      </c>
      <c r="C416" s="0" t="n">
        <f aca="false">N(C415)+B416</f>
        <v>10</v>
      </c>
      <c r="G416" s="0" t="n">
        <f aca="false">IF(OR($G$1="",资金日记账!$E409="",资金日记账!$E409&lt;&gt;$G$1),0,IF(NOT(OR(N(资金日记账!$H409)&lt;&gt;0,N(资金日记账!$I409)&lt;&gt;0)),0,IF(资金日记账!$B409="",1,IF(OR(N(资金日记账!$B409)&lt;$H$1,N(资金日记账!$B409)&gt;$I$1),0,1))))</f>
        <v>0</v>
      </c>
      <c r="H416" s="0" t="n">
        <f aca="false">N(H415)+$G416</f>
        <v>3</v>
      </c>
      <c r="I416" s="0" t="str">
        <f aca="false">IF($G416=0,"",IF(资金日记账!$B409=0,"",资金日记账!$B409))</f>
        <v/>
      </c>
      <c r="J416" s="0" t="str">
        <f aca="false">IF($G416=0,"",IF(资金日记账!$D409=0,"",资金日记账!$D409))</f>
        <v/>
      </c>
      <c r="K416" s="0" t="str">
        <f aca="false">IF($G416=0,"",IF(""=0,"",""))</f>
        <v/>
      </c>
      <c r="L416" s="0" t="str">
        <f aca="false">IF($G416=0,"",IF(""=0,"",""))</f>
        <v/>
      </c>
      <c r="M416" s="0" t="str">
        <f aca="false">IF($G416=0,"",IF(""=0,"",""))</f>
        <v/>
      </c>
      <c r="N416" s="0" t="str">
        <f aca="false">IF($G416=0,"",IF(IF(N(资金日记账!$I409)=0,"",-ROUND(N(资金日记账!$I409),2))=0,"",IF(N(资金日记账!$I409)=0,"",-ROUND(N(资金日记账!$I409),2))))</f>
        <v/>
      </c>
      <c r="O416" s="0" t="str">
        <f aca="false">IF($G416=0,"",IF(IF(N(资金日记账!$H409)=0,"",ROUND(N(资金日记账!$H409),2))=0,"",IF(N(资金日记账!$H409)=0,"",ROUND(N(资金日记账!$H409),2))))</f>
        <v/>
      </c>
      <c r="P416" s="0" t="str">
        <f aca="false">IF($G416=0,"",IF(资金日记账!$L409=0,"",资金日记账!$L409))</f>
        <v/>
      </c>
      <c r="T416" s="0" t="str">
        <f aca="false">IF(资金日记账!$G416="","",资金日记账!$G416)</f>
        <v/>
      </c>
      <c r="U416" s="0" t="n">
        <f aca="false">IF(T416="",0,IF(MATCH(T416,$T$4:$T$903,0)=ROW()-3,1,0))</f>
        <v>0</v>
      </c>
      <c r="V416" s="0" t="n">
        <f aca="false">N(V415)+U416</f>
        <v>30</v>
      </c>
      <c r="AF416" s="0" t="str">
        <f aca="false">IF(OR(资金日记账!$E416="",N(资金日记账!$H416)=0),"",资金日记账!$E416)</f>
        <v/>
      </c>
      <c r="AG416" s="0" t="n">
        <f aca="false">IF(AF416="",0,IF(MATCH(AF416,$AF$4:$AF$603,0)=ROW()-3,1,0))</f>
        <v>0</v>
      </c>
      <c r="AH416" s="0" t="n">
        <f aca="false">N(AH415)+AG416</f>
        <v>5</v>
      </c>
    </row>
    <row r="417" customFormat="false" ht="13.5" hidden="false" customHeight="false" outlineLevel="0" collapsed="false">
      <c r="A417" s="0" t="str">
        <f aca="false">IF(资金日记账!$E115="","",资金日记账!$E115)</f>
        <v>麦麦提</v>
      </c>
      <c r="B417" s="0" t="n">
        <f aca="false">IF(A417="",0,IF(MATCH(A417,$A$4:$A$1925,0)=ROW()-3,1,0))</f>
        <v>0</v>
      </c>
      <c r="C417" s="0" t="n">
        <f aca="false">N(C416)+B417</f>
        <v>10</v>
      </c>
      <c r="G417" s="0" t="n">
        <f aca="false">IF(OR($G$1="",资金日记账!$E410="",资金日记账!$E410&lt;&gt;$G$1),0,IF(NOT(OR(N(资金日记账!$H410)&lt;&gt;0,N(资金日记账!$I410)&lt;&gt;0)),0,IF(资金日记账!$B410="",1,IF(OR(N(资金日记账!$B410)&lt;$H$1,N(资金日记账!$B410)&gt;$I$1),0,1))))</f>
        <v>0</v>
      </c>
      <c r="H417" s="0" t="n">
        <f aca="false">N(H416)+$G417</f>
        <v>3</v>
      </c>
      <c r="I417" s="0" t="str">
        <f aca="false">IF($G417=0,"",IF(资金日记账!$B410=0,"",资金日记账!$B410))</f>
        <v/>
      </c>
      <c r="J417" s="0" t="str">
        <f aca="false">IF($G417=0,"",IF(资金日记账!$D410=0,"",资金日记账!$D410))</f>
        <v/>
      </c>
      <c r="K417" s="0" t="str">
        <f aca="false">IF($G417=0,"",IF(""=0,"",""))</f>
        <v/>
      </c>
      <c r="L417" s="0" t="str">
        <f aca="false">IF($G417=0,"",IF(""=0,"",""))</f>
        <v/>
      </c>
      <c r="M417" s="0" t="str">
        <f aca="false">IF($G417=0,"",IF(""=0,"",""))</f>
        <v/>
      </c>
      <c r="N417" s="0" t="str">
        <f aca="false">IF($G417=0,"",IF(IF(N(资金日记账!$I410)=0,"",-ROUND(N(资金日记账!$I410),2))=0,"",IF(N(资金日记账!$I410)=0,"",-ROUND(N(资金日记账!$I410),2))))</f>
        <v/>
      </c>
      <c r="O417" s="0" t="str">
        <f aca="false">IF($G417=0,"",IF(IF(N(资金日记账!$H410)=0,"",ROUND(N(资金日记账!$H410),2))=0,"",IF(N(资金日记账!$H410)=0,"",ROUND(N(资金日记账!$H410),2))))</f>
        <v/>
      </c>
      <c r="P417" s="0" t="str">
        <f aca="false">IF($G417=0,"",IF(资金日记账!$L410=0,"",资金日记账!$L410))</f>
        <v/>
      </c>
      <c r="T417" s="0" t="str">
        <f aca="false">IF(资金日记账!$G417="","",资金日记账!$G417)</f>
        <v/>
      </c>
      <c r="U417" s="0" t="n">
        <f aca="false">IF(T417="",0,IF(MATCH(T417,$T$4:$T$903,0)=ROW()-3,1,0))</f>
        <v>0</v>
      </c>
      <c r="V417" s="0" t="n">
        <f aca="false">N(V416)+U417</f>
        <v>30</v>
      </c>
      <c r="AF417" s="0" t="str">
        <f aca="false">IF(OR(资金日记账!$E417="",N(资金日记账!$H417)=0),"",资金日记账!$E417)</f>
        <v/>
      </c>
      <c r="AG417" s="0" t="n">
        <f aca="false">IF(AF417="",0,IF(MATCH(AF417,$AF$4:$AF$603,0)=ROW()-3,1,0))</f>
        <v>0</v>
      </c>
      <c r="AH417" s="0" t="n">
        <f aca="false">N(AH416)+AG417</f>
        <v>5</v>
      </c>
    </row>
    <row r="418" customFormat="false" ht="13.5" hidden="false" customHeight="false" outlineLevel="0" collapsed="false">
      <c r="A418" s="0" t="str">
        <f aca="false">IF(资金日记账!$E116="","",资金日记账!$E116)</f>
        <v>荆建君</v>
      </c>
      <c r="B418" s="0" t="n">
        <f aca="false">IF(A418="",0,IF(MATCH(A418,$A$4:$A$1925,0)=ROW()-3,1,0))</f>
        <v>1</v>
      </c>
      <c r="C418" s="0" t="n">
        <f aca="false">N(C417)+B418</f>
        <v>11</v>
      </c>
      <c r="G418" s="0" t="n">
        <f aca="false">IF(OR($G$1="",资金日记账!$E411="",资金日记账!$E411&lt;&gt;$G$1),0,IF(NOT(OR(N(资金日记账!$H411)&lt;&gt;0,N(资金日记账!$I411)&lt;&gt;0)),0,IF(资金日记账!$B411="",1,IF(OR(N(资金日记账!$B411)&lt;$H$1,N(资金日记账!$B411)&gt;$I$1),0,1))))</f>
        <v>0</v>
      </c>
      <c r="H418" s="0" t="n">
        <f aca="false">N(H417)+$G418</f>
        <v>3</v>
      </c>
      <c r="I418" s="0" t="str">
        <f aca="false">IF($G418=0,"",IF(资金日记账!$B411=0,"",资金日记账!$B411))</f>
        <v/>
      </c>
      <c r="J418" s="0" t="str">
        <f aca="false">IF($G418=0,"",IF(资金日记账!$D411=0,"",资金日记账!$D411))</f>
        <v/>
      </c>
      <c r="K418" s="0" t="str">
        <f aca="false">IF($G418=0,"",IF(""=0,"",""))</f>
        <v/>
      </c>
      <c r="L418" s="0" t="str">
        <f aca="false">IF($G418=0,"",IF(""=0,"",""))</f>
        <v/>
      </c>
      <c r="M418" s="0" t="str">
        <f aca="false">IF($G418=0,"",IF(""=0,"",""))</f>
        <v/>
      </c>
      <c r="N418" s="0" t="str">
        <f aca="false">IF($G418=0,"",IF(IF(N(资金日记账!$I411)=0,"",-ROUND(N(资金日记账!$I411),2))=0,"",IF(N(资金日记账!$I411)=0,"",-ROUND(N(资金日记账!$I411),2))))</f>
        <v/>
      </c>
      <c r="O418" s="0" t="str">
        <f aca="false">IF($G418=0,"",IF(IF(N(资金日记账!$H411)=0,"",ROUND(N(资金日记账!$H411),2))=0,"",IF(N(资金日记账!$H411)=0,"",ROUND(N(资金日记账!$H411),2))))</f>
        <v/>
      </c>
      <c r="P418" s="0" t="str">
        <f aca="false">IF($G418=0,"",IF(资金日记账!$L411=0,"",资金日记账!$L411))</f>
        <v/>
      </c>
      <c r="T418" s="0" t="str">
        <f aca="false">IF(资金日记账!$G418="","",资金日记账!$G418)</f>
        <v/>
      </c>
      <c r="U418" s="0" t="n">
        <f aca="false">IF(T418="",0,IF(MATCH(T418,$T$4:$T$903,0)=ROW()-3,1,0))</f>
        <v>0</v>
      </c>
      <c r="V418" s="0" t="n">
        <f aca="false">N(V417)+U418</f>
        <v>30</v>
      </c>
      <c r="AF418" s="0" t="str">
        <f aca="false">IF(OR(资金日记账!$E418="",N(资金日记账!$H418)=0),"",资金日记账!$E418)</f>
        <v/>
      </c>
      <c r="AG418" s="0" t="n">
        <f aca="false">IF(AF418="",0,IF(MATCH(AF418,$AF$4:$AF$603,0)=ROW()-3,1,0))</f>
        <v>0</v>
      </c>
      <c r="AH418" s="0" t="n">
        <f aca="false">N(AH417)+AG418</f>
        <v>5</v>
      </c>
    </row>
    <row r="419" customFormat="false" ht="13.5" hidden="false" customHeight="false" outlineLevel="0" collapsed="false">
      <c r="A419" s="0" t="str">
        <f aca="false">IF(资金日记账!$E117="","",资金日记账!$E117)</f>
        <v/>
      </c>
      <c r="B419" s="0" t="n">
        <f aca="false">IF(A419="",0,IF(MATCH(A419,$A$4:$A$1925,0)=ROW()-3,1,0))</f>
        <v>0</v>
      </c>
      <c r="C419" s="0" t="n">
        <f aca="false">N(C418)+B419</f>
        <v>11</v>
      </c>
      <c r="G419" s="0" t="n">
        <f aca="false">IF(OR($G$1="",资金日记账!$E412="",资金日记账!$E412&lt;&gt;$G$1),0,IF(NOT(OR(N(资金日记账!$H412)&lt;&gt;0,N(资金日记账!$I412)&lt;&gt;0)),0,IF(资金日记账!$B412="",1,IF(OR(N(资金日记账!$B412)&lt;$H$1,N(资金日记账!$B412)&gt;$I$1),0,1))))</f>
        <v>0</v>
      </c>
      <c r="H419" s="0" t="n">
        <f aca="false">N(H418)+$G419</f>
        <v>3</v>
      </c>
      <c r="I419" s="0" t="str">
        <f aca="false">IF($G419=0,"",IF(资金日记账!$B412=0,"",资金日记账!$B412))</f>
        <v/>
      </c>
      <c r="J419" s="0" t="str">
        <f aca="false">IF($G419=0,"",IF(资金日记账!$D412=0,"",资金日记账!$D412))</f>
        <v/>
      </c>
      <c r="K419" s="0" t="str">
        <f aca="false">IF($G419=0,"",IF(""=0,"",""))</f>
        <v/>
      </c>
      <c r="L419" s="0" t="str">
        <f aca="false">IF($G419=0,"",IF(""=0,"",""))</f>
        <v/>
      </c>
      <c r="M419" s="0" t="str">
        <f aca="false">IF($G419=0,"",IF(""=0,"",""))</f>
        <v/>
      </c>
      <c r="N419" s="0" t="str">
        <f aca="false">IF($G419=0,"",IF(IF(N(资金日记账!$I412)=0,"",-ROUND(N(资金日记账!$I412),2))=0,"",IF(N(资金日记账!$I412)=0,"",-ROUND(N(资金日记账!$I412),2))))</f>
        <v/>
      </c>
      <c r="O419" s="0" t="str">
        <f aca="false">IF($G419=0,"",IF(IF(N(资金日记账!$H412)=0,"",ROUND(N(资金日记账!$H412),2))=0,"",IF(N(资金日记账!$H412)=0,"",ROUND(N(资金日记账!$H412),2))))</f>
        <v/>
      </c>
      <c r="P419" s="0" t="str">
        <f aca="false">IF($G419=0,"",IF(资金日记账!$L412=0,"",资金日记账!$L412))</f>
        <v/>
      </c>
      <c r="T419" s="0" t="str">
        <f aca="false">IF(资金日记账!$G419="","",资金日记账!$G419)</f>
        <v/>
      </c>
      <c r="U419" s="0" t="n">
        <f aca="false">IF(T419="",0,IF(MATCH(T419,$T$4:$T$903,0)=ROW()-3,1,0))</f>
        <v>0</v>
      </c>
      <c r="V419" s="0" t="n">
        <f aca="false">N(V418)+U419</f>
        <v>30</v>
      </c>
      <c r="AF419" s="0" t="str">
        <f aca="false">IF(OR(资金日记账!$E419="",N(资金日记账!$H419)=0),"",资金日记账!$E419)</f>
        <v/>
      </c>
      <c r="AG419" s="0" t="n">
        <f aca="false">IF(AF419="",0,IF(MATCH(AF419,$AF$4:$AF$603,0)=ROW()-3,1,0))</f>
        <v>0</v>
      </c>
      <c r="AH419" s="0" t="n">
        <f aca="false">N(AH418)+AG419</f>
        <v>5</v>
      </c>
    </row>
    <row r="420" customFormat="false" ht="13.5" hidden="false" customHeight="false" outlineLevel="0" collapsed="false">
      <c r="A420" s="0" t="str">
        <f aca="false">IF(资金日记账!$E118="","",资金日记账!$E118)</f>
        <v/>
      </c>
      <c r="B420" s="0" t="n">
        <f aca="false">IF(A420="",0,IF(MATCH(A420,$A$4:$A$1925,0)=ROW()-3,1,0))</f>
        <v>0</v>
      </c>
      <c r="C420" s="0" t="n">
        <f aca="false">N(C419)+B420</f>
        <v>11</v>
      </c>
      <c r="G420" s="0" t="n">
        <f aca="false">IF(OR($G$1="",资金日记账!$E413="",资金日记账!$E413&lt;&gt;$G$1),0,IF(NOT(OR(N(资金日记账!$H413)&lt;&gt;0,N(资金日记账!$I413)&lt;&gt;0)),0,IF(资金日记账!$B413="",1,IF(OR(N(资金日记账!$B413)&lt;$H$1,N(资金日记账!$B413)&gt;$I$1),0,1))))</f>
        <v>0</v>
      </c>
      <c r="H420" s="0" t="n">
        <f aca="false">N(H419)+$G420</f>
        <v>3</v>
      </c>
      <c r="I420" s="0" t="str">
        <f aca="false">IF($G420=0,"",IF(资金日记账!$B413=0,"",资金日记账!$B413))</f>
        <v/>
      </c>
      <c r="J420" s="0" t="str">
        <f aca="false">IF($G420=0,"",IF(资金日记账!$D413=0,"",资金日记账!$D413))</f>
        <v/>
      </c>
      <c r="K420" s="0" t="str">
        <f aca="false">IF($G420=0,"",IF(""=0,"",""))</f>
        <v/>
      </c>
      <c r="L420" s="0" t="str">
        <f aca="false">IF($G420=0,"",IF(""=0,"",""))</f>
        <v/>
      </c>
      <c r="M420" s="0" t="str">
        <f aca="false">IF($G420=0,"",IF(""=0,"",""))</f>
        <v/>
      </c>
      <c r="N420" s="0" t="str">
        <f aca="false">IF($G420=0,"",IF(IF(N(资金日记账!$I413)=0,"",-ROUND(N(资金日记账!$I413),2))=0,"",IF(N(资金日记账!$I413)=0,"",-ROUND(N(资金日记账!$I413),2))))</f>
        <v/>
      </c>
      <c r="O420" s="0" t="str">
        <f aca="false">IF($G420=0,"",IF(IF(N(资金日记账!$H413)=0,"",ROUND(N(资金日记账!$H413),2))=0,"",IF(N(资金日记账!$H413)=0,"",ROUND(N(资金日记账!$H413),2))))</f>
        <v/>
      </c>
      <c r="P420" s="0" t="str">
        <f aca="false">IF($G420=0,"",IF(资金日记账!$L413=0,"",资金日记账!$L413))</f>
        <v/>
      </c>
      <c r="T420" s="0" t="str">
        <f aca="false">IF(资金日记账!$G420="","",资金日记账!$G420)</f>
        <v/>
      </c>
      <c r="U420" s="0" t="n">
        <f aca="false">IF(T420="",0,IF(MATCH(T420,$T$4:$T$903,0)=ROW()-3,1,0))</f>
        <v>0</v>
      </c>
      <c r="V420" s="0" t="n">
        <f aca="false">N(V419)+U420</f>
        <v>30</v>
      </c>
      <c r="AF420" s="0" t="str">
        <f aca="false">IF(OR(资金日记账!$E420="",N(资金日记账!$H420)=0),"",资金日记账!$E420)</f>
        <v/>
      </c>
      <c r="AG420" s="0" t="n">
        <f aca="false">IF(AF420="",0,IF(MATCH(AF420,$AF$4:$AF$603,0)=ROW()-3,1,0))</f>
        <v>0</v>
      </c>
      <c r="AH420" s="0" t="n">
        <f aca="false">N(AH419)+AG420</f>
        <v>5</v>
      </c>
    </row>
    <row r="421" customFormat="false" ht="13.5" hidden="false" customHeight="false" outlineLevel="0" collapsed="false">
      <c r="A421" s="0" t="str">
        <f aca="false">IF(资金日记账!$E119="","",资金日记账!$E119)</f>
        <v/>
      </c>
      <c r="B421" s="0" t="n">
        <f aca="false">IF(A421="",0,IF(MATCH(A421,$A$4:$A$1925,0)=ROW()-3,1,0))</f>
        <v>0</v>
      </c>
      <c r="C421" s="0" t="n">
        <f aca="false">N(C420)+B421</f>
        <v>11</v>
      </c>
      <c r="G421" s="0" t="n">
        <f aca="false">IF(OR($G$1="",资金日记账!$E414="",资金日记账!$E414&lt;&gt;$G$1),0,IF(NOT(OR(N(资金日记账!$H414)&lt;&gt;0,N(资金日记账!$I414)&lt;&gt;0)),0,IF(资金日记账!$B414="",1,IF(OR(N(资金日记账!$B414)&lt;$H$1,N(资金日记账!$B414)&gt;$I$1),0,1))))</f>
        <v>0</v>
      </c>
      <c r="H421" s="0" t="n">
        <f aca="false">N(H420)+$G421</f>
        <v>3</v>
      </c>
      <c r="I421" s="0" t="str">
        <f aca="false">IF($G421=0,"",IF(资金日记账!$B414=0,"",资金日记账!$B414))</f>
        <v/>
      </c>
      <c r="J421" s="0" t="str">
        <f aca="false">IF($G421=0,"",IF(资金日记账!$D414=0,"",资金日记账!$D414))</f>
        <v/>
      </c>
      <c r="K421" s="0" t="str">
        <f aca="false">IF($G421=0,"",IF(""=0,"",""))</f>
        <v/>
      </c>
      <c r="L421" s="0" t="str">
        <f aca="false">IF($G421=0,"",IF(""=0,"",""))</f>
        <v/>
      </c>
      <c r="M421" s="0" t="str">
        <f aca="false">IF($G421=0,"",IF(""=0,"",""))</f>
        <v/>
      </c>
      <c r="N421" s="0" t="str">
        <f aca="false">IF($G421=0,"",IF(IF(N(资金日记账!$I414)=0,"",-ROUND(N(资金日记账!$I414),2))=0,"",IF(N(资金日记账!$I414)=0,"",-ROUND(N(资金日记账!$I414),2))))</f>
        <v/>
      </c>
      <c r="O421" s="0" t="str">
        <f aca="false">IF($G421=0,"",IF(IF(N(资金日记账!$H414)=0,"",ROUND(N(资金日记账!$H414),2))=0,"",IF(N(资金日记账!$H414)=0,"",ROUND(N(资金日记账!$H414),2))))</f>
        <v/>
      </c>
      <c r="P421" s="0" t="str">
        <f aca="false">IF($G421=0,"",IF(资金日记账!$L414=0,"",资金日记账!$L414))</f>
        <v/>
      </c>
      <c r="T421" s="0" t="str">
        <f aca="false">IF(资金日记账!$G421="","",资金日记账!$G421)</f>
        <v/>
      </c>
      <c r="U421" s="0" t="n">
        <f aca="false">IF(T421="",0,IF(MATCH(T421,$T$4:$T$903,0)=ROW()-3,1,0))</f>
        <v>0</v>
      </c>
      <c r="V421" s="0" t="n">
        <f aca="false">N(V420)+U421</f>
        <v>30</v>
      </c>
      <c r="AF421" s="0" t="str">
        <f aca="false">IF(OR(资金日记账!$E421="",N(资金日记账!$H421)=0),"",资金日记账!$E421)</f>
        <v/>
      </c>
      <c r="AG421" s="0" t="n">
        <f aca="false">IF(AF421="",0,IF(MATCH(AF421,$AF$4:$AF$603,0)=ROW()-3,1,0))</f>
        <v>0</v>
      </c>
      <c r="AH421" s="0" t="n">
        <f aca="false">N(AH420)+AG421</f>
        <v>5</v>
      </c>
    </row>
    <row r="422" customFormat="false" ht="13.5" hidden="false" customHeight="false" outlineLevel="0" collapsed="false">
      <c r="A422" s="0" t="str">
        <f aca="false">IF(资金日记账!$E120="","",资金日记账!$E120)</f>
        <v/>
      </c>
      <c r="B422" s="0" t="n">
        <f aca="false">IF(A422="",0,IF(MATCH(A422,$A$4:$A$1925,0)=ROW()-3,1,0))</f>
        <v>0</v>
      </c>
      <c r="C422" s="0" t="n">
        <f aca="false">N(C421)+B422</f>
        <v>11</v>
      </c>
      <c r="G422" s="0" t="n">
        <f aca="false">IF(OR($G$1="",资金日记账!$E415="",资金日记账!$E415&lt;&gt;$G$1),0,IF(NOT(OR(N(资金日记账!$H415)&lt;&gt;0,N(资金日记账!$I415)&lt;&gt;0)),0,IF(资金日记账!$B415="",1,IF(OR(N(资金日记账!$B415)&lt;$H$1,N(资金日记账!$B415)&gt;$I$1),0,1))))</f>
        <v>0</v>
      </c>
      <c r="H422" s="0" t="n">
        <f aca="false">N(H421)+$G422</f>
        <v>3</v>
      </c>
      <c r="I422" s="0" t="str">
        <f aca="false">IF($G422=0,"",IF(资金日记账!$B415=0,"",资金日记账!$B415))</f>
        <v/>
      </c>
      <c r="J422" s="0" t="str">
        <f aca="false">IF($G422=0,"",IF(资金日记账!$D415=0,"",资金日记账!$D415))</f>
        <v/>
      </c>
      <c r="K422" s="0" t="str">
        <f aca="false">IF($G422=0,"",IF(""=0,"",""))</f>
        <v/>
      </c>
      <c r="L422" s="0" t="str">
        <f aca="false">IF($G422=0,"",IF(""=0,"",""))</f>
        <v/>
      </c>
      <c r="M422" s="0" t="str">
        <f aca="false">IF($G422=0,"",IF(""=0,"",""))</f>
        <v/>
      </c>
      <c r="N422" s="0" t="str">
        <f aca="false">IF($G422=0,"",IF(IF(N(资金日记账!$I415)=0,"",-ROUND(N(资金日记账!$I415),2))=0,"",IF(N(资金日记账!$I415)=0,"",-ROUND(N(资金日记账!$I415),2))))</f>
        <v/>
      </c>
      <c r="O422" s="0" t="str">
        <f aca="false">IF($G422=0,"",IF(IF(N(资金日记账!$H415)=0,"",ROUND(N(资金日记账!$H415),2))=0,"",IF(N(资金日记账!$H415)=0,"",ROUND(N(资金日记账!$H415),2))))</f>
        <v/>
      </c>
      <c r="P422" s="0" t="str">
        <f aca="false">IF($G422=0,"",IF(资金日记账!$L415=0,"",资金日记账!$L415))</f>
        <v/>
      </c>
      <c r="T422" s="0" t="str">
        <f aca="false">IF(资金日记账!$G422="","",资金日记账!$G422)</f>
        <v/>
      </c>
      <c r="U422" s="0" t="n">
        <f aca="false">IF(T422="",0,IF(MATCH(T422,$T$4:$T$903,0)=ROW()-3,1,0))</f>
        <v>0</v>
      </c>
      <c r="V422" s="0" t="n">
        <f aca="false">N(V421)+U422</f>
        <v>30</v>
      </c>
      <c r="AF422" s="0" t="str">
        <f aca="false">IF(OR(资金日记账!$E422="",N(资金日记账!$H422)=0),"",资金日记账!$E422)</f>
        <v/>
      </c>
      <c r="AG422" s="0" t="n">
        <f aca="false">IF(AF422="",0,IF(MATCH(AF422,$AF$4:$AF$603,0)=ROW()-3,1,0))</f>
        <v>0</v>
      </c>
      <c r="AH422" s="0" t="n">
        <f aca="false">N(AH421)+AG422</f>
        <v>5</v>
      </c>
    </row>
    <row r="423" customFormat="false" ht="13.5" hidden="false" customHeight="false" outlineLevel="0" collapsed="false">
      <c r="A423" s="0" t="str">
        <f aca="false">IF(资金日记账!$E121="","",资金日记账!$E121)</f>
        <v/>
      </c>
      <c r="B423" s="0" t="n">
        <f aca="false">IF(A423="",0,IF(MATCH(A423,$A$4:$A$1925,0)=ROW()-3,1,0))</f>
        <v>0</v>
      </c>
      <c r="C423" s="0" t="n">
        <f aca="false">N(C422)+B423</f>
        <v>11</v>
      </c>
      <c r="G423" s="0" t="n">
        <f aca="false">IF(OR($G$1="",资金日记账!$E416="",资金日记账!$E416&lt;&gt;$G$1),0,IF(NOT(OR(N(资金日记账!$H416)&lt;&gt;0,N(资金日记账!$I416)&lt;&gt;0)),0,IF(资金日记账!$B416="",1,IF(OR(N(资金日记账!$B416)&lt;$H$1,N(资金日记账!$B416)&gt;$I$1),0,1))))</f>
        <v>0</v>
      </c>
      <c r="H423" s="0" t="n">
        <f aca="false">N(H422)+$G423</f>
        <v>3</v>
      </c>
      <c r="I423" s="0" t="str">
        <f aca="false">IF($G423=0,"",IF(资金日记账!$B416=0,"",资金日记账!$B416))</f>
        <v/>
      </c>
      <c r="J423" s="0" t="str">
        <f aca="false">IF($G423=0,"",IF(资金日记账!$D416=0,"",资金日记账!$D416))</f>
        <v/>
      </c>
      <c r="K423" s="0" t="str">
        <f aca="false">IF($G423=0,"",IF(""=0,"",""))</f>
        <v/>
      </c>
      <c r="L423" s="0" t="str">
        <f aca="false">IF($G423=0,"",IF(""=0,"",""))</f>
        <v/>
      </c>
      <c r="M423" s="0" t="str">
        <f aca="false">IF($G423=0,"",IF(""=0,"",""))</f>
        <v/>
      </c>
      <c r="N423" s="0" t="str">
        <f aca="false">IF($G423=0,"",IF(IF(N(资金日记账!$I416)=0,"",-ROUND(N(资金日记账!$I416),2))=0,"",IF(N(资金日记账!$I416)=0,"",-ROUND(N(资金日记账!$I416),2))))</f>
        <v/>
      </c>
      <c r="O423" s="0" t="str">
        <f aca="false">IF($G423=0,"",IF(IF(N(资金日记账!$H416)=0,"",ROUND(N(资金日记账!$H416),2))=0,"",IF(N(资金日记账!$H416)=0,"",ROUND(N(资金日记账!$H416),2))))</f>
        <v/>
      </c>
      <c r="P423" s="0" t="str">
        <f aca="false">IF($G423=0,"",IF(资金日记账!$L416=0,"",资金日记账!$L416))</f>
        <v/>
      </c>
      <c r="T423" s="0" t="str">
        <f aca="false">IF(资金日记账!$G423="","",资金日记账!$G423)</f>
        <v/>
      </c>
      <c r="U423" s="0" t="n">
        <f aca="false">IF(T423="",0,IF(MATCH(T423,$T$4:$T$903,0)=ROW()-3,1,0))</f>
        <v>0</v>
      </c>
      <c r="V423" s="0" t="n">
        <f aca="false">N(V422)+U423</f>
        <v>30</v>
      </c>
      <c r="AF423" s="0" t="str">
        <f aca="false">IF(OR(资金日记账!$E423="",N(资金日记账!$H423)=0),"",资金日记账!$E423)</f>
        <v/>
      </c>
      <c r="AG423" s="0" t="n">
        <f aca="false">IF(AF423="",0,IF(MATCH(AF423,$AF$4:$AF$603,0)=ROW()-3,1,0))</f>
        <v>0</v>
      </c>
      <c r="AH423" s="0" t="n">
        <f aca="false">N(AH422)+AG423</f>
        <v>5</v>
      </c>
    </row>
    <row r="424" customFormat="false" ht="13.5" hidden="false" customHeight="false" outlineLevel="0" collapsed="false">
      <c r="A424" s="0" t="str">
        <f aca="false">IF(资金日记账!$E122="","",资金日记账!$E122)</f>
        <v/>
      </c>
      <c r="B424" s="0" t="n">
        <f aca="false">IF(A424="",0,IF(MATCH(A424,$A$4:$A$1925,0)=ROW()-3,1,0))</f>
        <v>0</v>
      </c>
      <c r="C424" s="0" t="n">
        <f aca="false">N(C423)+B424</f>
        <v>11</v>
      </c>
      <c r="G424" s="0" t="n">
        <f aca="false">IF(OR($G$1="",资金日记账!$E417="",资金日记账!$E417&lt;&gt;$G$1),0,IF(NOT(OR(N(资金日记账!$H417)&lt;&gt;0,N(资金日记账!$I417)&lt;&gt;0)),0,IF(资金日记账!$B417="",1,IF(OR(N(资金日记账!$B417)&lt;$H$1,N(资金日记账!$B417)&gt;$I$1),0,1))))</f>
        <v>0</v>
      </c>
      <c r="H424" s="0" t="n">
        <f aca="false">N(H423)+$G424</f>
        <v>3</v>
      </c>
      <c r="I424" s="0" t="str">
        <f aca="false">IF($G424=0,"",IF(资金日记账!$B417=0,"",资金日记账!$B417))</f>
        <v/>
      </c>
      <c r="J424" s="0" t="str">
        <f aca="false">IF($G424=0,"",IF(资金日记账!$D417=0,"",资金日记账!$D417))</f>
        <v/>
      </c>
      <c r="K424" s="0" t="str">
        <f aca="false">IF($G424=0,"",IF(""=0,"",""))</f>
        <v/>
      </c>
      <c r="L424" s="0" t="str">
        <f aca="false">IF($G424=0,"",IF(""=0,"",""))</f>
        <v/>
      </c>
      <c r="M424" s="0" t="str">
        <f aca="false">IF($G424=0,"",IF(""=0,"",""))</f>
        <v/>
      </c>
      <c r="N424" s="0" t="str">
        <f aca="false">IF($G424=0,"",IF(IF(N(资金日记账!$I417)=0,"",-ROUND(N(资金日记账!$I417),2))=0,"",IF(N(资金日记账!$I417)=0,"",-ROUND(N(资金日记账!$I417),2))))</f>
        <v/>
      </c>
      <c r="O424" s="0" t="str">
        <f aca="false">IF($G424=0,"",IF(IF(N(资金日记账!$H417)=0,"",ROUND(N(资金日记账!$H417),2))=0,"",IF(N(资金日记账!$H417)=0,"",ROUND(N(资金日记账!$H417),2))))</f>
        <v/>
      </c>
      <c r="P424" s="0" t="str">
        <f aca="false">IF($G424=0,"",IF(资金日记账!$L417=0,"",资金日记账!$L417))</f>
        <v/>
      </c>
      <c r="T424" s="0" t="str">
        <f aca="false">IF(资金日记账!$G424="","",资金日记账!$G424)</f>
        <v/>
      </c>
      <c r="U424" s="0" t="n">
        <f aca="false">IF(T424="",0,IF(MATCH(T424,$T$4:$T$903,0)=ROW()-3,1,0))</f>
        <v>0</v>
      </c>
      <c r="V424" s="0" t="n">
        <f aca="false">N(V423)+U424</f>
        <v>30</v>
      </c>
      <c r="AF424" s="0" t="str">
        <f aca="false">IF(OR(资金日记账!$E424="",N(资金日记账!$H424)=0),"",资金日记账!$E424)</f>
        <v/>
      </c>
      <c r="AG424" s="0" t="n">
        <f aca="false">IF(AF424="",0,IF(MATCH(AF424,$AF$4:$AF$603,0)=ROW()-3,1,0))</f>
        <v>0</v>
      </c>
      <c r="AH424" s="0" t="n">
        <f aca="false">N(AH423)+AG424</f>
        <v>5</v>
      </c>
    </row>
    <row r="425" customFormat="false" ht="13.5" hidden="false" customHeight="false" outlineLevel="0" collapsed="false">
      <c r="A425" s="0" t="str">
        <f aca="false">IF(资金日记账!$E123="","",资金日记账!$E123)</f>
        <v/>
      </c>
      <c r="B425" s="0" t="n">
        <f aca="false">IF(A425="",0,IF(MATCH(A425,$A$4:$A$1925,0)=ROW()-3,1,0))</f>
        <v>0</v>
      </c>
      <c r="C425" s="0" t="n">
        <f aca="false">N(C424)+B425</f>
        <v>11</v>
      </c>
      <c r="G425" s="0" t="n">
        <f aca="false">IF(OR($G$1="",资金日记账!$E418="",资金日记账!$E418&lt;&gt;$G$1),0,IF(NOT(OR(N(资金日记账!$H418)&lt;&gt;0,N(资金日记账!$I418)&lt;&gt;0)),0,IF(资金日记账!$B418="",1,IF(OR(N(资金日记账!$B418)&lt;$H$1,N(资金日记账!$B418)&gt;$I$1),0,1))))</f>
        <v>0</v>
      </c>
      <c r="H425" s="0" t="n">
        <f aca="false">N(H424)+$G425</f>
        <v>3</v>
      </c>
      <c r="I425" s="0" t="str">
        <f aca="false">IF($G425=0,"",IF(资金日记账!$B418=0,"",资金日记账!$B418))</f>
        <v/>
      </c>
      <c r="J425" s="0" t="str">
        <f aca="false">IF($G425=0,"",IF(资金日记账!$D418=0,"",资金日记账!$D418))</f>
        <v/>
      </c>
      <c r="K425" s="0" t="str">
        <f aca="false">IF($G425=0,"",IF(""=0,"",""))</f>
        <v/>
      </c>
      <c r="L425" s="0" t="str">
        <f aca="false">IF($G425=0,"",IF(""=0,"",""))</f>
        <v/>
      </c>
      <c r="M425" s="0" t="str">
        <f aca="false">IF($G425=0,"",IF(""=0,"",""))</f>
        <v/>
      </c>
      <c r="N425" s="0" t="str">
        <f aca="false">IF($G425=0,"",IF(IF(N(资金日记账!$I418)=0,"",-ROUND(N(资金日记账!$I418),2))=0,"",IF(N(资金日记账!$I418)=0,"",-ROUND(N(资金日记账!$I418),2))))</f>
        <v/>
      </c>
      <c r="O425" s="0" t="str">
        <f aca="false">IF($G425=0,"",IF(IF(N(资金日记账!$H418)=0,"",ROUND(N(资金日记账!$H418),2))=0,"",IF(N(资金日记账!$H418)=0,"",ROUND(N(资金日记账!$H418),2))))</f>
        <v/>
      </c>
      <c r="P425" s="0" t="str">
        <f aca="false">IF($G425=0,"",IF(资金日记账!$L418=0,"",资金日记账!$L418))</f>
        <v/>
      </c>
      <c r="T425" s="0" t="str">
        <f aca="false">IF(资金日记账!$G425="","",资金日记账!$G425)</f>
        <v/>
      </c>
      <c r="U425" s="0" t="n">
        <f aca="false">IF(T425="",0,IF(MATCH(T425,$T$4:$T$903,0)=ROW()-3,1,0))</f>
        <v>0</v>
      </c>
      <c r="V425" s="0" t="n">
        <f aca="false">N(V424)+U425</f>
        <v>30</v>
      </c>
      <c r="AF425" s="0" t="str">
        <f aca="false">IF(OR(资金日记账!$E425="",N(资金日记账!$H425)=0),"",资金日记账!$E425)</f>
        <v/>
      </c>
      <c r="AG425" s="0" t="n">
        <f aca="false">IF(AF425="",0,IF(MATCH(AF425,$AF$4:$AF$603,0)=ROW()-3,1,0))</f>
        <v>0</v>
      </c>
      <c r="AH425" s="0" t="n">
        <f aca="false">N(AH424)+AG425</f>
        <v>5</v>
      </c>
    </row>
    <row r="426" customFormat="false" ht="13.5" hidden="false" customHeight="false" outlineLevel="0" collapsed="false">
      <c r="A426" s="0" t="str">
        <f aca="false">IF(资金日记账!$E124="","",资金日记账!$E124)</f>
        <v/>
      </c>
      <c r="B426" s="0" t="n">
        <f aca="false">IF(A426="",0,IF(MATCH(A426,$A$4:$A$1925,0)=ROW()-3,1,0))</f>
        <v>0</v>
      </c>
      <c r="C426" s="0" t="n">
        <f aca="false">N(C425)+B426</f>
        <v>11</v>
      </c>
      <c r="G426" s="0" t="n">
        <f aca="false">IF(OR($G$1="",资金日记账!$E419="",资金日记账!$E419&lt;&gt;$G$1),0,IF(NOT(OR(N(资金日记账!$H419)&lt;&gt;0,N(资金日记账!$I419)&lt;&gt;0)),0,IF(资金日记账!$B419="",1,IF(OR(N(资金日记账!$B419)&lt;$H$1,N(资金日记账!$B419)&gt;$I$1),0,1))))</f>
        <v>0</v>
      </c>
      <c r="H426" s="0" t="n">
        <f aca="false">N(H425)+$G426</f>
        <v>3</v>
      </c>
      <c r="I426" s="0" t="str">
        <f aca="false">IF($G426=0,"",IF(资金日记账!$B419=0,"",资金日记账!$B419))</f>
        <v/>
      </c>
      <c r="J426" s="0" t="str">
        <f aca="false">IF($G426=0,"",IF(资金日记账!$D419=0,"",资金日记账!$D419))</f>
        <v/>
      </c>
      <c r="K426" s="0" t="str">
        <f aca="false">IF($G426=0,"",IF(""=0,"",""))</f>
        <v/>
      </c>
      <c r="L426" s="0" t="str">
        <f aca="false">IF($G426=0,"",IF(""=0,"",""))</f>
        <v/>
      </c>
      <c r="M426" s="0" t="str">
        <f aca="false">IF($G426=0,"",IF(""=0,"",""))</f>
        <v/>
      </c>
      <c r="N426" s="0" t="str">
        <f aca="false">IF($G426=0,"",IF(IF(N(资金日记账!$I419)=0,"",-ROUND(N(资金日记账!$I419),2))=0,"",IF(N(资金日记账!$I419)=0,"",-ROUND(N(资金日记账!$I419),2))))</f>
        <v/>
      </c>
      <c r="O426" s="0" t="str">
        <f aca="false">IF($G426=0,"",IF(IF(N(资金日记账!$H419)=0,"",ROUND(N(资金日记账!$H419),2))=0,"",IF(N(资金日记账!$H419)=0,"",ROUND(N(资金日记账!$H419),2))))</f>
        <v/>
      </c>
      <c r="P426" s="0" t="str">
        <f aca="false">IF($G426=0,"",IF(资金日记账!$L419=0,"",资金日记账!$L419))</f>
        <v/>
      </c>
      <c r="T426" s="0" t="str">
        <f aca="false">IF(资金日记账!$G426="","",资金日记账!$G426)</f>
        <v/>
      </c>
      <c r="U426" s="0" t="n">
        <f aca="false">IF(T426="",0,IF(MATCH(T426,$T$4:$T$903,0)=ROW()-3,1,0))</f>
        <v>0</v>
      </c>
      <c r="V426" s="0" t="n">
        <f aca="false">N(V425)+U426</f>
        <v>30</v>
      </c>
      <c r="AF426" s="0" t="str">
        <f aca="false">IF(OR(资金日记账!$E426="",N(资金日记账!$H426)=0),"",资金日记账!$E426)</f>
        <v/>
      </c>
      <c r="AG426" s="0" t="n">
        <f aca="false">IF(AF426="",0,IF(MATCH(AF426,$AF$4:$AF$603,0)=ROW()-3,1,0))</f>
        <v>0</v>
      </c>
      <c r="AH426" s="0" t="n">
        <f aca="false">N(AH425)+AG426</f>
        <v>5</v>
      </c>
    </row>
    <row r="427" customFormat="false" ht="13.5" hidden="false" customHeight="false" outlineLevel="0" collapsed="false">
      <c r="A427" s="0" t="str">
        <f aca="false">IF(资金日记账!$E125="","",资金日记账!$E125)</f>
        <v/>
      </c>
      <c r="B427" s="0" t="n">
        <f aca="false">IF(A427="",0,IF(MATCH(A427,$A$4:$A$1925,0)=ROW()-3,1,0))</f>
        <v>0</v>
      </c>
      <c r="C427" s="0" t="n">
        <f aca="false">N(C426)+B427</f>
        <v>11</v>
      </c>
      <c r="G427" s="0" t="n">
        <f aca="false">IF(OR($G$1="",资金日记账!$E420="",资金日记账!$E420&lt;&gt;$G$1),0,IF(NOT(OR(N(资金日记账!$H420)&lt;&gt;0,N(资金日记账!$I420)&lt;&gt;0)),0,IF(资金日记账!$B420="",1,IF(OR(N(资金日记账!$B420)&lt;$H$1,N(资金日记账!$B420)&gt;$I$1),0,1))))</f>
        <v>0</v>
      </c>
      <c r="H427" s="0" t="n">
        <f aca="false">N(H426)+$G427</f>
        <v>3</v>
      </c>
      <c r="I427" s="0" t="str">
        <f aca="false">IF($G427=0,"",IF(资金日记账!$B420=0,"",资金日记账!$B420))</f>
        <v/>
      </c>
      <c r="J427" s="0" t="str">
        <f aca="false">IF($G427=0,"",IF(资金日记账!$D420=0,"",资金日记账!$D420))</f>
        <v/>
      </c>
      <c r="K427" s="0" t="str">
        <f aca="false">IF($G427=0,"",IF(""=0,"",""))</f>
        <v/>
      </c>
      <c r="L427" s="0" t="str">
        <f aca="false">IF($G427=0,"",IF(""=0,"",""))</f>
        <v/>
      </c>
      <c r="M427" s="0" t="str">
        <f aca="false">IF($G427=0,"",IF(""=0,"",""))</f>
        <v/>
      </c>
      <c r="N427" s="0" t="str">
        <f aca="false">IF($G427=0,"",IF(IF(N(资金日记账!$I420)=0,"",-ROUND(N(资金日记账!$I420),2))=0,"",IF(N(资金日记账!$I420)=0,"",-ROUND(N(资金日记账!$I420),2))))</f>
        <v/>
      </c>
      <c r="O427" s="0" t="str">
        <f aca="false">IF($G427=0,"",IF(IF(N(资金日记账!$H420)=0,"",ROUND(N(资金日记账!$H420),2))=0,"",IF(N(资金日记账!$H420)=0,"",ROUND(N(资金日记账!$H420),2))))</f>
        <v/>
      </c>
      <c r="P427" s="0" t="str">
        <f aca="false">IF($G427=0,"",IF(资金日记账!$L420=0,"",资金日记账!$L420))</f>
        <v/>
      </c>
      <c r="T427" s="0" t="str">
        <f aca="false">IF(资金日记账!$G427="","",资金日记账!$G427)</f>
        <v/>
      </c>
      <c r="U427" s="0" t="n">
        <f aca="false">IF(T427="",0,IF(MATCH(T427,$T$4:$T$903,0)=ROW()-3,1,0))</f>
        <v>0</v>
      </c>
      <c r="V427" s="0" t="n">
        <f aca="false">N(V426)+U427</f>
        <v>30</v>
      </c>
      <c r="AF427" s="0" t="str">
        <f aca="false">IF(OR(资金日记账!$E427="",N(资金日记账!$H427)=0),"",资金日记账!$E427)</f>
        <v/>
      </c>
      <c r="AG427" s="0" t="n">
        <f aca="false">IF(AF427="",0,IF(MATCH(AF427,$AF$4:$AF$603,0)=ROW()-3,1,0))</f>
        <v>0</v>
      </c>
      <c r="AH427" s="0" t="n">
        <f aca="false">N(AH426)+AG427</f>
        <v>5</v>
      </c>
    </row>
    <row r="428" customFormat="false" ht="13.5" hidden="false" customHeight="false" outlineLevel="0" collapsed="false">
      <c r="A428" s="0" t="str">
        <f aca="false">IF(资金日记账!$E126="","",资金日记账!$E126)</f>
        <v/>
      </c>
      <c r="B428" s="0" t="n">
        <f aca="false">IF(A428="",0,IF(MATCH(A428,$A$4:$A$1925,0)=ROW()-3,1,0))</f>
        <v>0</v>
      </c>
      <c r="C428" s="0" t="n">
        <f aca="false">N(C427)+B428</f>
        <v>11</v>
      </c>
      <c r="G428" s="0" t="n">
        <f aca="false">IF(OR($G$1="",资金日记账!$E421="",资金日记账!$E421&lt;&gt;$G$1),0,IF(NOT(OR(N(资金日记账!$H421)&lt;&gt;0,N(资金日记账!$I421)&lt;&gt;0)),0,IF(资金日记账!$B421="",1,IF(OR(N(资金日记账!$B421)&lt;$H$1,N(资金日记账!$B421)&gt;$I$1),0,1))))</f>
        <v>0</v>
      </c>
      <c r="H428" s="0" t="n">
        <f aca="false">N(H427)+$G428</f>
        <v>3</v>
      </c>
      <c r="I428" s="0" t="str">
        <f aca="false">IF($G428=0,"",IF(资金日记账!$B421=0,"",资金日记账!$B421))</f>
        <v/>
      </c>
      <c r="J428" s="0" t="str">
        <f aca="false">IF($G428=0,"",IF(资金日记账!$D421=0,"",资金日记账!$D421))</f>
        <v/>
      </c>
      <c r="K428" s="0" t="str">
        <f aca="false">IF($G428=0,"",IF(""=0,"",""))</f>
        <v/>
      </c>
      <c r="L428" s="0" t="str">
        <f aca="false">IF($G428=0,"",IF(""=0,"",""))</f>
        <v/>
      </c>
      <c r="M428" s="0" t="str">
        <f aca="false">IF($G428=0,"",IF(""=0,"",""))</f>
        <v/>
      </c>
      <c r="N428" s="0" t="str">
        <f aca="false">IF($G428=0,"",IF(IF(N(资金日记账!$I421)=0,"",-ROUND(N(资金日记账!$I421),2))=0,"",IF(N(资金日记账!$I421)=0,"",-ROUND(N(资金日记账!$I421),2))))</f>
        <v/>
      </c>
      <c r="O428" s="0" t="str">
        <f aca="false">IF($G428=0,"",IF(IF(N(资金日记账!$H421)=0,"",ROUND(N(资金日记账!$H421),2))=0,"",IF(N(资金日记账!$H421)=0,"",ROUND(N(资金日记账!$H421),2))))</f>
        <v/>
      </c>
      <c r="P428" s="0" t="str">
        <f aca="false">IF($G428=0,"",IF(资金日记账!$L421=0,"",资金日记账!$L421))</f>
        <v/>
      </c>
      <c r="T428" s="0" t="str">
        <f aca="false">IF(资金日记账!$G428="","",资金日记账!$G428)</f>
        <v/>
      </c>
      <c r="U428" s="0" t="n">
        <f aca="false">IF(T428="",0,IF(MATCH(T428,$T$4:$T$903,0)=ROW()-3,1,0))</f>
        <v>0</v>
      </c>
      <c r="V428" s="0" t="n">
        <f aca="false">N(V427)+U428</f>
        <v>30</v>
      </c>
      <c r="AF428" s="0" t="str">
        <f aca="false">IF(OR(资金日记账!$E428="",N(资金日记账!$H428)=0),"",资金日记账!$E428)</f>
        <v/>
      </c>
      <c r="AG428" s="0" t="n">
        <f aca="false">IF(AF428="",0,IF(MATCH(AF428,$AF$4:$AF$603,0)=ROW()-3,1,0))</f>
        <v>0</v>
      </c>
      <c r="AH428" s="0" t="n">
        <f aca="false">N(AH427)+AG428</f>
        <v>5</v>
      </c>
    </row>
    <row r="429" customFormat="false" ht="13.5" hidden="false" customHeight="false" outlineLevel="0" collapsed="false">
      <c r="A429" s="0" t="str">
        <f aca="false">IF(资金日记账!$E127="","",资金日记账!$E127)</f>
        <v/>
      </c>
      <c r="B429" s="0" t="n">
        <f aca="false">IF(A429="",0,IF(MATCH(A429,$A$4:$A$1925,0)=ROW()-3,1,0))</f>
        <v>0</v>
      </c>
      <c r="C429" s="0" t="n">
        <f aca="false">N(C428)+B429</f>
        <v>11</v>
      </c>
      <c r="G429" s="0" t="n">
        <f aca="false">IF(OR($G$1="",资金日记账!$E422="",资金日记账!$E422&lt;&gt;$G$1),0,IF(NOT(OR(N(资金日记账!$H422)&lt;&gt;0,N(资金日记账!$I422)&lt;&gt;0)),0,IF(资金日记账!$B422="",1,IF(OR(N(资金日记账!$B422)&lt;$H$1,N(资金日记账!$B422)&gt;$I$1),0,1))))</f>
        <v>0</v>
      </c>
      <c r="H429" s="0" t="n">
        <f aca="false">N(H428)+$G429</f>
        <v>3</v>
      </c>
      <c r="I429" s="0" t="str">
        <f aca="false">IF($G429=0,"",IF(资金日记账!$B422=0,"",资金日记账!$B422))</f>
        <v/>
      </c>
      <c r="J429" s="0" t="str">
        <f aca="false">IF($G429=0,"",IF(资金日记账!$D422=0,"",资金日记账!$D422))</f>
        <v/>
      </c>
      <c r="K429" s="0" t="str">
        <f aca="false">IF($G429=0,"",IF(""=0,"",""))</f>
        <v/>
      </c>
      <c r="L429" s="0" t="str">
        <f aca="false">IF($G429=0,"",IF(""=0,"",""))</f>
        <v/>
      </c>
      <c r="M429" s="0" t="str">
        <f aca="false">IF($G429=0,"",IF(""=0,"",""))</f>
        <v/>
      </c>
      <c r="N429" s="0" t="str">
        <f aca="false">IF($G429=0,"",IF(IF(N(资金日记账!$I422)=0,"",-ROUND(N(资金日记账!$I422),2))=0,"",IF(N(资金日记账!$I422)=0,"",-ROUND(N(资金日记账!$I422),2))))</f>
        <v/>
      </c>
      <c r="O429" s="0" t="str">
        <f aca="false">IF($G429=0,"",IF(IF(N(资金日记账!$H422)=0,"",ROUND(N(资金日记账!$H422),2))=0,"",IF(N(资金日记账!$H422)=0,"",ROUND(N(资金日记账!$H422),2))))</f>
        <v/>
      </c>
      <c r="P429" s="0" t="str">
        <f aca="false">IF($G429=0,"",IF(资金日记账!$L422=0,"",资金日记账!$L422))</f>
        <v/>
      </c>
      <c r="T429" s="0" t="str">
        <f aca="false">IF(资金日记账!$G429="","",资金日记账!$G429)</f>
        <v/>
      </c>
      <c r="U429" s="0" t="n">
        <f aca="false">IF(T429="",0,IF(MATCH(T429,$T$4:$T$903,0)=ROW()-3,1,0))</f>
        <v>0</v>
      </c>
      <c r="V429" s="0" t="n">
        <f aca="false">N(V428)+U429</f>
        <v>30</v>
      </c>
      <c r="AF429" s="0" t="str">
        <f aca="false">IF(OR(资金日记账!$E429="",N(资金日记账!$H429)=0),"",资金日记账!$E429)</f>
        <v/>
      </c>
      <c r="AG429" s="0" t="n">
        <f aca="false">IF(AF429="",0,IF(MATCH(AF429,$AF$4:$AF$603,0)=ROW()-3,1,0))</f>
        <v>0</v>
      </c>
      <c r="AH429" s="0" t="n">
        <f aca="false">N(AH428)+AG429</f>
        <v>5</v>
      </c>
    </row>
    <row r="430" customFormat="false" ht="13.5" hidden="false" customHeight="false" outlineLevel="0" collapsed="false">
      <c r="A430" s="0" t="str">
        <f aca="false">IF(资金日记账!$E128="","",资金日记账!$E128)</f>
        <v/>
      </c>
      <c r="B430" s="0" t="n">
        <f aca="false">IF(A430="",0,IF(MATCH(A430,$A$4:$A$1925,0)=ROW()-3,1,0))</f>
        <v>0</v>
      </c>
      <c r="C430" s="0" t="n">
        <f aca="false">N(C429)+B430</f>
        <v>11</v>
      </c>
      <c r="G430" s="0" t="n">
        <f aca="false">IF(OR($G$1="",资金日记账!$E423="",资金日记账!$E423&lt;&gt;$G$1),0,IF(NOT(OR(N(资金日记账!$H423)&lt;&gt;0,N(资金日记账!$I423)&lt;&gt;0)),0,IF(资金日记账!$B423="",1,IF(OR(N(资金日记账!$B423)&lt;$H$1,N(资金日记账!$B423)&gt;$I$1),0,1))))</f>
        <v>0</v>
      </c>
      <c r="H430" s="0" t="n">
        <f aca="false">N(H429)+$G430</f>
        <v>3</v>
      </c>
      <c r="I430" s="0" t="str">
        <f aca="false">IF($G430=0,"",IF(资金日记账!$B423=0,"",资金日记账!$B423))</f>
        <v/>
      </c>
      <c r="J430" s="0" t="str">
        <f aca="false">IF($G430=0,"",IF(资金日记账!$D423=0,"",资金日记账!$D423))</f>
        <v/>
      </c>
      <c r="K430" s="0" t="str">
        <f aca="false">IF($G430=0,"",IF(""=0,"",""))</f>
        <v/>
      </c>
      <c r="L430" s="0" t="str">
        <f aca="false">IF($G430=0,"",IF(""=0,"",""))</f>
        <v/>
      </c>
      <c r="M430" s="0" t="str">
        <f aca="false">IF($G430=0,"",IF(""=0,"",""))</f>
        <v/>
      </c>
      <c r="N430" s="0" t="str">
        <f aca="false">IF($G430=0,"",IF(IF(N(资金日记账!$I423)=0,"",-ROUND(N(资金日记账!$I423),2))=0,"",IF(N(资金日记账!$I423)=0,"",-ROUND(N(资金日记账!$I423),2))))</f>
        <v/>
      </c>
      <c r="O430" s="0" t="str">
        <f aca="false">IF($G430=0,"",IF(IF(N(资金日记账!$H423)=0,"",ROUND(N(资金日记账!$H423),2))=0,"",IF(N(资金日记账!$H423)=0,"",ROUND(N(资金日记账!$H423),2))))</f>
        <v/>
      </c>
      <c r="P430" s="0" t="str">
        <f aca="false">IF($G430=0,"",IF(资金日记账!$L423=0,"",资金日记账!$L423))</f>
        <v/>
      </c>
      <c r="T430" s="0" t="str">
        <f aca="false">IF(资金日记账!$G430="","",资金日记账!$G430)</f>
        <v/>
      </c>
      <c r="U430" s="0" t="n">
        <f aca="false">IF(T430="",0,IF(MATCH(T430,$T$4:$T$903,0)=ROW()-3,1,0))</f>
        <v>0</v>
      </c>
      <c r="V430" s="0" t="n">
        <f aca="false">N(V429)+U430</f>
        <v>30</v>
      </c>
      <c r="AF430" s="0" t="str">
        <f aca="false">IF(OR(资金日记账!$E430="",N(资金日记账!$H430)=0),"",资金日记账!$E430)</f>
        <v/>
      </c>
      <c r="AG430" s="0" t="n">
        <f aca="false">IF(AF430="",0,IF(MATCH(AF430,$AF$4:$AF$603,0)=ROW()-3,1,0))</f>
        <v>0</v>
      </c>
      <c r="AH430" s="0" t="n">
        <f aca="false">N(AH429)+AG430</f>
        <v>5</v>
      </c>
    </row>
    <row r="431" customFormat="false" ht="13.5" hidden="false" customHeight="false" outlineLevel="0" collapsed="false">
      <c r="A431" s="0" t="str">
        <f aca="false">IF(资金日记账!$E129="","",资金日记账!$E129)</f>
        <v/>
      </c>
      <c r="B431" s="0" t="n">
        <f aca="false">IF(A431="",0,IF(MATCH(A431,$A$4:$A$1925,0)=ROW()-3,1,0))</f>
        <v>0</v>
      </c>
      <c r="C431" s="0" t="n">
        <f aca="false">N(C430)+B431</f>
        <v>11</v>
      </c>
      <c r="G431" s="0" t="n">
        <f aca="false">IF(OR($G$1="",资金日记账!$E424="",资金日记账!$E424&lt;&gt;$G$1),0,IF(NOT(OR(N(资金日记账!$H424)&lt;&gt;0,N(资金日记账!$I424)&lt;&gt;0)),0,IF(资金日记账!$B424="",1,IF(OR(N(资金日记账!$B424)&lt;$H$1,N(资金日记账!$B424)&gt;$I$1),0,1))))</f>
        <v>0</v>
      </c>
      <c r="H431" s="0" t="n">
        <f aca="false">N(H430)+$G431</f>
        <v>3</v>
      </c>
      <c r="I431" s="0" t="str">
        <f aca="false">IF($G431=0,"",IF(资金日记账!$B424=0,"",资金日记账!$B424))</f>
        <v/>
      </c>
      <c r="J431" s="0" t="str">
        <f aca="false">IF($G431=0,"",IF(资金日记账!$D424=0,"",资金日记账!$D424))</f>
        <v/>
      </c>
      <c r="K431" s="0" t="str">
        <f aca="false">IF($G431=0,"",IF(""=0,"",""))</f>
        <v/>
      </c>
      <c r="L431" s="0" t="str">
        <f aca="false">IF($G431=0,"",IF(""=0,"",""))</f>
        <v/>
      </c>
      <c r="M431" s="0" t="str">
        <f aca="false">IF($G431=0,"",IF(""=0,"",""))</f>
        <v/>
      </c>
      <c r="N431" s="0" t="str">
        <f aca="false">IF($G431=0,"",IF(IF(N(资金日记账!$I424)=0,"",-ROUND(N(资金日记账!$I424),2))=0,"",IF(N(资金日记账!$I424)=0,"",-ROUND(N(资金日记账!$I424),2))))</f>
        <v/>
      </c>
      <c r="O431" s="0" t="str">
        <f aca="false">IF($G431=0,"",IF(IF(N(资金日记账!$H424)=0,"",ROUND(N(资金日记账!$H424),2))=0,"",IF(N(资金日记账!$H424)=0,"",ROUND(N(资金日记账!$H424),2))))</f>
        <v/>
      </c>
      <c r="P431" s="0" t="str">
        <f aca="false">IF($G431=0,"",IF(资金日记账!$L424=0,"",资金日记账!$L424))</f>
        <v/>
      </c>
      <c r="T431" s="0" t="str">
        <f aca="false">IF(资金日记账!$G431="","",资金日记账!$G431)</f>
        <v/>
      </c>
      <c r="U431" s="0" t="n">
        <f aca="false">IF(T431="",0,IF(MATCH(T431,$T$4:$T$903,0)=ROW()-3,1,0))</f>
        <v>0</v>
      </c>
      <c r="V431" s="0" t="n">
        <f aca="false">N(V430)+U431</f>
        <v>30</v>
      </c>
      <c r="AF431" s="0" t="str">
        <f aca="false">IF(OR(资金日记账!$E431="",N(资金日记账!$H431)=0),"",资金日记账!$E431)</f>
        <v/>
      </c>
      <c r="AG431" s="0" t="n">
        <f aca="false">IF(AF431="",0,IF(MATCH(AF431,$AF$4:$AF$603,0)=ROW()-3,1,0))</f>
        <v>0</v>
      </c>
      <c r="AH431" s="0" t="n">
        <f aca="false">N(AH430)+AG431</f>
        <v>5</v>
      </c>
    </row>
    <row r="432" customFormat="false" ht="13.5" hidden="false" customHeight="false" outlineLevel="0" collapsed="false">
      <c r="A432" s="0" t="str">
        <f aca="false">IF(资金日记账!$E130="","",资金日记账!$E130)</f>
        <v/>
      </c>
      <c r="B432" s="0" t="n">
        <f aca="false">IF(A432="",0,IF(MATCH(A432,$A$4:$A$1925,0)=ROW()-3,1,0))</f>
        <v>0</v>
      </c>
      <c r="C432" s="0" t="n">
        <f aca="false">N(C431)+B432</f>
        <v>11</v>
      </c>
      <c r="G432" s="0" t="n">
        <f aca="false">IF(OR($G$1="",资金日记账!$E425="",资金日记账!$E425&lt;&gt;$G$1),0,IF(NOT(OR(N(资金日记账!$H425)&lt;&gt;0,N(资金日记账!$I425)&lt;&gt;0)),0,IF(资金日记账!$B425="",1,IF(OR(N(资金日记账!$B425)&lt;$H$1,N(资金日记账!$B425)&gt;$I$1),0,1))))</f>
        <v>0</v>
      </c>
      <c r="H432" s="0" t="n">
        <f aca="false">N(H431)+$G432</f>
        <v>3</v>
      </c>
      <c r="I432" s="0" t="str">
        <f aca="false">IF($G432=0,"",IF(资金日记账!$B425=0,"",资金日记账!$B425))</f>
        <v/>
      </c>
      <c r="J432" s="0" t="str">
        <f aca="false">IF($G432=0,"",IF(资金日记账!$D425=0,"",资金日记账!$D425))</f>
        <v/>
      </c>
      <c r="K432" s="0" t="str">
        <f aca="false">IF($G432=0,"",IF(""=0,"",""))</f>
        <v/>
      </c>
      <c r="L432" s="0" t="str">
        <f aca="false">IF($G432=0,"",IF(""=0,"",""))</f>
        <v/>
      </c>
      <c r="M432" s="0" t="str">
        <f aca="false">IF($G432=0,"",IF(""=0,"",""))</f>
        <v/>
      </c>
      <c r="N432" s="0" t="str">
        <f aca="false">IF($G432=0,"",IF(IF(N(资金日记账!$I425)=0,"",-ROUND(N(资金日记账!$I425),2))=0,"",IF(N(资金日记账!$I425)=0,"",-ROUND(N(资金日记账!$I425),2))))</f>
        <v/>
      </c>
      <c r="O432" s="0" t="str">
        <f aca="false">IF($G432=0,"",IF(IF(N(资金日记账!$H425)=0,"",ROUND(N(资金日记账!$H425),2))=0,"",IF(N(资金日记账!$H425)=0,"",ROUND(N(资金日记账!$H425),2))))</f>
        <v/>
      </c>
      <c r="P432" s="0" t="str">
        <f aca="false">IF($G432=0,"",IF(资金日记账!$L425=0,"",资金日记账!$L425))</f>
        <v/>
      </c>
      <c r="T432" s="0" t="str">
        <f aca="false">IF(资金日记账!$G432="","",资金日记账!$G432)</f>
        <v/>
      </c>
      <c r="U432" s="0" t="n">
        <f aca="false">IF(T432="",0,IF(MATCH(T432,$T$4:$T$903,0)=ROW()-3,1,0))</f>
        <v>0</v>
      </c>
      <c r="V432" s="0" t="n">
        <f aca="false">N(V431)+U432</f>
        <v>30</v>
      </c>
      <c r="AF432" s="0" t="str">
        <f aca="false">IF(OR(资金日记账!$E432="",N(资金日记账!$H432)=0),"",资金日记账!$E432)</f>
        <v/>
      </c>
      <c r="AG432" s="0" t="n">
        <f aca="false">IF(AF432="",0,IF(MATCH(AF432,$AF$4:$AF$603,0)=ROW()-3,1,0))</f>
        <v>0</v>
      </c>
      <c r="AH432" s="0" t="n">
        <f aca="false">N(AH431)+AG432</f>
        <v>5</v>
      </c>
    </row>
    <row r="433" customFormat="false" ht="13.5" hidden="false" customHeight="false" outlineLevel="0" collapsed="false">
      <c r="A433" s="0" t="str">
        <f aca="false">IF(资金日记账!$E131="","",资金日记账!$E131)</f>
        <v/>
      </c>
      <c r="B433" s="0" t="n">
        <f aca="false">IF(A433="",0,IF(MATCH(A433,$A$4:$A$1925,0)=ROW()-3,1,0))</f>
        <v>0</v>
      </c>
      <c r="C433" s="0" t="n">
        <f aca="false">N(C432)+B433</f>
        <v>11</v>
      </c>
      <c r="G433" s="0" t="n">
        <f aca="false">IF(OR($G$1="",资金日记账!$E426="",资金日记账!$E426&lt;&gt;$G$1),0,IF(NOT(OR(N(资金日记账!$H426)&lt;&gt;0,N(资金日记账!$I426)&lt;&gt;0)),0,IF(资金日记账!$B426="",1,IF(OR(N(资金日记账!$B426)&lt;$H$1,N(资金日记账!$B426)&gt;$I$1),0,1))))</f>
        <v>0</v>
      </c>
      <c r="H433" s="0" t="n">
        <f aca="false">N(H432)+$G433</f>
        <v>3</v>
      </c>
      <c r="I433" s="0" t="str">
        <f aca="false">IF($G433=0,"",IF(资金日记账!$B426=0,"",资金日记账!$B426))</f>
        <v/>
      </c>
      <c r="J433" s="0" t="str">
        <f aca="false">IF($G433=0,"",IF(资金日记账!$D426=0,"",资金日记账!$D426))</f>
        <v/>
      </c>
      <c r="K433" s="0" t="str">
        <f aca="false">IF($G433=0,"",IF(""=0,"",""))</f>
        <v/>
      </c>
      <c r="L433" s="0" t="str">
        <f aca="false">IF($G433=0,"",IF(""=0,"",""))</f>
        <v/>
      </c>
      <c r="M433" s="0" t="str">
        <f aca="false">IF($G433=0,"",IF(""=0,"",""))</f>
        <v/>
      </c>
      <c r="N433" s="0" t="str">
        <f aca="false">IF($G433=0,"",IF(IF(N(资金日记账!$I426)=0,"",-ROUND(N(资金日记账!$I426),2))=0,"",IF(N(资金日记账!$I426)=0,"",-ROUND(N(资金日记账!$I426),2))))</f>
        <v/>
      </c>
      <c r="O433" s="0" t="str">
        <f aca="false">IF($G433=0,"",IF(IF(N(资金日记账!$H426)=0,"",ROUND(N(资金日记账!$H426),2))=0,"",IF(N(资金日记账!$H426)=0,"",ROUND(N(资金日记账!$H426),2))))</f>
        <v/>
      </c>
      <c r="P433" s="0" t="str">
        <f aca="false">IF($G433=0,"",IF(资金日记账!$L426=0,"",资金日记账!$L426))</f>
        <v/>
      </c>
      <c r="T433" s="0" t="str">
        <f aca="false">IF(资金日记账!$G433="","",资金日记账!$G433)</f>
        <v/>
      </c>
      <c r="U433" s="0" t="n">
        <f aca="false">IF(T433="",0,IF(MATCH(T433,$T$4:$T$903,0)=ROW()-3,1,0))</f>
        <v>0</v>
      </c>
      <c r="V433" s="0" t="n">
        <f aca="false">N(V432)+U433</f>
        <v>30</v>
      </c>
      <c r="AF433" s="0" t="str">
        <f aca="false">IF(OR(资金日记账!$E433="",N(资金日记账!$H433)=0),"",资金日记账!$E433)</f>
        <v/>
      </c>
      <c r="AG433" s="0" t="n">
        <f aca="false">IF(AF433="",0,IF(MATCH(AF433,$AF$4:$AF$603,0)=ROW()-3,1,0))</f>
        <v>0</v>
      </c>
      <c r="AH433" s="0" t="n">
        <f aca="false">N(AH432)+AG433</f>
        <v>5</v>
      </c>
    </row>
    <row r="434" customFormat="false" ht="13.5" hidden="false" customHeight="false" outlineLevel="0" collapsed="false">
      <c r="A434" s="0" t="str">
        <f aca="false">IF(资金日记账!$E132="","",资金日记账!$E132)</f>
        <v/>
      </c>
      <c r="B434" s="0" t="n">
        <f aca="false">IF(A434="",0,IF(MATCH(A434,$A$4:$A$1925,0)=ROW()-3,1,0))</f>
        <v>0</v>
      </c>
      <c r="C434" s="0" t="n">
        <f aca="false">N(C433)+B434</f>
        <v>11</v>
      </c>
      <c r="G434" s="0" t="n">
        <f aca="false">IF(OR($G$1="",资金日记账!$E427="",资金日记账!$E427&lt;&gt;$G$1),0,IF(NOT(OR(N(资金日记账!$H427)&lt;&gt;0,N(资金日记账!$I427)&lt;&gt;0)),0,IF(资金日记账!$B427="",1,IF(OR(N(资金日记账!$B427)&lt;$H$1,N(资金日记账!$B427)&gt;$I$1),0,1))))</f>
        <v>0</v>
      </c>
      <c r="H434" s="0" t="n">
        <f aca="false">N(H433)+$G434</f>
        <v>3</v>
      </c>
      <c r="I434" s="0" t="str">
        <f aca="false">IF($G434=0,"",IF(资金日记账!$B427=0,"",资金日记账!$B427))</f>
        <v/>
      </c>
      <c r="J434" s="0" t="str">
        <f aca="false">IF($G434=0,"",IF(资金日记账!$D427=0,"",资金日记账!$D427))</f>
        <v/>
      </c>
      <c r="K434" s="0" t="str">
        <f aca="false">IF($G434=0,"",IF(""=0,"",""))</f>
        <v/>
      </c>
      <c r="L434" s="0" t="str">
        <f aca="false">IF($G434=0,"",IF(""=0,"",""))</f>
        <v/>
      </c>
      <c r="M434" s="0" t="str">
        <f aca="false">IF($G434=0,"",IF(""=0,"",""))</f>
        <v/>
      </c>
      <c r="N434" s="0" t="str">
        <f aca="false">IF($G434=0,"",IF(IF(N(资金日记账!$I427)=0,"",-ROUND(N(资金日记账!$I427),2))=0,"",IF(N(资金日记账!$I427)=0,"",-ROUND(N(资金日记账!$I427),2))))</f>
        <v/>
      </c>
      <c r="O434" s="0" t="str">
        <f aca="false">IF($G434=0,"",IF(IF(N(资金日记账!$H427)=0,"",ROUND(N(资金日记账!$H427),2))=0,"",IF(N(资金日记账!$H427)=0,"",ROUND(N(资金日记账!$H427),2))))</f>
        <v/>
      </c>
      <c r="P434" s="0" t="str">
        <f aca="false">IF($G434=0,"",IF(资金日记账!$L427=0,"",资金日记账!$L427))</f>
        <v/>
      </c>
      <c r="T434" s="0" t="str">
        <f aca="false">IF(资金日记账!$G434="","",资金日记账!$G434)</f>
        <v/>
      </c>
      <c r="U434" s="0" t="n">
        <f aca="false">IF(T434="",0,IF(MATCH(T434,$T$4:$T$903,0)=ROW()-3,1,0))</f>
        <v>0</v>
      </c>
      <c r="V434" s="0" t="n">
        <f aca="false">N(V433)+U434</f>
        <v>30</v>
      </c>
      <c r="AF434" s="0" t="str">
        <f aca="false">IF(OR(资金日记账!$E434="",N(资金日记账!$H434)=0),"",资金日记账!$E434)</f>
        <v/>
      </c>
      <c r="AG434" s="0" t="n">
        <f aca="false">IF(AF434="",0,IF(MATCH(AF434,$AF$4:$AF$603,0)=ROW()-3,1,0))</f>
        <v>0</v>
      </c>
      <c r="AH434" s="0" t="n">
        <f aca="false">N(AH433)+AG434</f>
        <v>5</v>
      </c>
    </row>
    <row r="435" customFormat="false" ht="13.5" hidden="false" customHeight="false" outlineLevel="0" collapsed="false">
      <c r="A435" s="0" t="str">
        <f aca="false">IF(资金日记账!$E133="","",资金日记账!$E133)</f>
        <v/>
      </c>
      <c r="B435" s="0" t="n">
        <f aca="false">IF(A435="",0,IF(MATCH(A435,$A$4:$A$1925,0)=ROW()-3,1,0))</f>
        <v>0</v>
      </c>
      <c r="C435" s="0" t="n">
        <f aca="false">N(C434)+B435</f>
        <v>11</v>
      </c>
      <c r="G435" s="0" t="n">
        <f aca="false">IF(OR($G$1="",资金日记账!$E428="",资金日记账!$E428&lt;&gt;$G$1),0,IF(NOT(OR(N(资金日记账!$H428)&lt;&gt;0,N(资金日记账!$I428)&lt;&gt;0)),0,IF(资金日记账!$B428="",1,IF(OR(N(资金日记账!$B428)&lt;$H$1,N(资金日记账!$B428)&gt;$I$1),0,1))))</f>
        <v>0</v>
      </c>
      <c r="H435" s="0" t="n">
        <f aca="false">N(H434)+$G435</f>
        <v>3</v>
      </c>
      <c r="I435" s="0" t="str">
        <f aca="false">IF($G435=0,"",IF(资金日记账!$B428=0,"",资金日记账!$B428))</f>
        <v/>
      </c>
      <c r="J435" s="0" t="str">
        <f aca="false">IF($G435=0,"",IF(资金日记账!$D428=0,"",资金日记账!$D428))</f>
        <v/>
      </c>
      <c r="K435" s="0" t="str">
        <f aca="false">IF($G435=0,"",IF(""=0,"",""))</f>
        <v/>
      </c>
      <c r="L435" s="0" t="str">
        <f aca="false">IF($G435=0,"",IF(""=0,"",""))</f>
        <v/>
      </c>
      <c r="M435" s="0" t="str">
        <f aca="false">IF($G435=0,"",IF(""=0,"",""))</f>
        <v/>
      </c>
      <c r="N435" s="0" t="str">
        <f aca="false">IF($G435=0,"",IF(IF(N(资金日记账!$I428)=0,"",-ROUND(N(资金日记账!$I428),2))=0,"",IF(N(资金日记账!$I428)=0,"",-ROUND(N(资金日记账!$I428),2))))</f>
        <v/>
      </c>
      <c r="O435" s="0" t="str">
        <f aca="false">IF($G435=0,"",IF(IF(N(资金日记账!$H428)=0,"",ROUND(N(资金日记账!$H428),2))=0,"",IF(N(资金日记账!$H428)=0,"",ROUND(N(资金日记账!$H428),2))))</f>
        <v/>
      </c>
      <c r="P435" s="0" t="str">
        <f aca="false">IF($G435=0,"",IF(资金日记账!$L428=0,"",资金日记账!$L428))</f>
        <v/>
      </c>
      <c r="T435" s="0" t="str">
        <f aca="false">IF(资金日记账!$G435="","",资金日记账!$G435)</f>
        <v/>
      </c>
      <c r="U435" s="0" t="n">
        <f aca="false">IF(T435="",0,IF(MATCH(T435,$T$4:$T$903,0)=ROW()-3,1,0))</f>
        <v>0</v>
      </c>
      <c r="V435" s="0" t="n">
        <f aca="false">N(V434)+U435</f>
        <v>30</v>
      </c>
      <c r="AF435" s="0" t="str">
        <f aca="false">IF(OR(资金日记账!$E435="",N(资金日记账!$H435)=0),"",资金日记账!$E435)</f>
        <v/>
      </c>
      <c r="AG435" s="0" t="n">
        <f aca="false">IF(AF435="",0,IF(MATCH(AF435,$AF$4:$AF$603,0)=ROW()-3,1,0))</f>
        <v>0</v>
      </c>
      <c r="AH435" s="0" t="n">
        <f aca="false">N(AH434)+AG435</f>
        <v>5</v>
      </c>
    </row>
    <row r="436" customFormat="false" ht="13.5" hidden="false" customHeight="false" outlineLevel="0" collapsed="false">
      <c r="A436" s="0" t="str">
        <f aca="false">IF(资金日记账!$E134="","",资金日记账!$E134)</f>
        <v/>
      </c>
      <c r="B436" s="0" t="n">
        <f aca="false">IF(A436="",0,IF(MATCH(A436,$A$4:$A$1925,0)=ROW()-3,1,0))</f>
        <v>0</v>
      </c>
      <c r="C436" s="0" t="n">
        <f aca="false">N(C435)+B436</f>
        <v>11</v>
      </c>
      <c r="G436" s="0" t="n">
        <f aca="false">IF(OR($G$1="",资金日记账!$E429="",资金日记账!$E429&lt;&gt;$G$1),0,IF(NOT(OR(N(资金日记账!$H429)&lt;&gt;0,N(资金日记账!$I429)&lt;&gt;0)),0,IF(资金日记账!$B429="",1,IF(OR(N(资金日记账!$B429)&lt;$H$1,N(资金日记账!$B429)&gt;$I$1),0,1))))</f>
        <v>0</v>
      </c>
      <c r="H436" s="0" t="n">
        <f aca="false">N(H435)+$G436</f>
        <v>3</v>
      </c>
      <c r="I436" s="0" t="str">
        <f aca="false">IF($G436=0,"",IF(资金日记账!$B429=0,"",资金日记账!$B429))</f>
        <v/>
      </c>
      <c r="J436" s="0" t="str">
        <f aca="false">IF($G436=0,"",IF(资金日记账!$D429=0,"",资金日记账!$D429))</f>
        <v/>
      </c>
      <c r="K436" s="0" t="str">
        <f aca="false">IF($G436=0,"",IF(""=0,"",""))</f>
        <v/>
      </c>
      <c r="L436" s="0" t="str">
        <f aca="false">IF($G436=0,"",IF(""=0,"",""))</f>
        <v/>
      </c>
      <c r="M436" s="0" t="str">
        <f aca="false">IF($G436=0,"",IF(""=0,"",""))</f>
        <v/>
      </c>
      <c r="N436" s="0" t="str">
        <f aca="false">IF($G436=0,"",IF(IF(N(资金日记账!$I429)=0,"",-ROUND(N(资金日记账!$I429),2))=0,"",IF(N(资金日记账!$I429)=0,"",-ROUND(N(资金日记账!$I429),2))))</f>
        <v/>
      </c>
      <c r="O436" s="0" t="str">
        <f aca="false">IF($G436=0,"",IF(IF(N(资金日记账!$H429)=0,"",ROUND(N(资金日记账!$H429),2))=0,"",IF(N(资金日记账!$H429)=0,"",ROUND(N(资金日记账!$H429),2))))</f>
        <v/>
      </c>
      <c r="P436" s="0" t="str">
        <f aca="false">IF($G436=0,"",IF(资金日记账!$L429=0,"",资金日记账!$L429))</f>
        <v/>
      </c>
      <c r="T436" s="0" t="str">
        <f aca="false">IF(资金日记账!$G436="","",资金日记账!$G436)</f>
        <v/>
      </c>
      <c r="U436" s="0" t="n">
        <f aca="false">IF(T436="",0,IF(MATCH(T436,$T$4:$T$903,0)=ROW()-3,1,0))</f>
        <v>0</v>
      </c>
      <c r="V436" s="0" t="n">
        <f aca="false">N(V435)+U436</f>
        <v>30</v>
      </c>
      <c r="AF436" s="0" t="str">
        <f aca="false">IF(OR(资金日记账!$E436="",N(资金日记账!$H436)=0),"",资金日记账!$E436)</f>
        <v/>
      </c>
      <c r="AG436" s="0" t="n">
        <f aca="false">IF(AF436="",0,IF(MATCH(AF436,$AF$4:$AF$603,0)=ROW()-3,1,0))</f>
        <v>0</v>
      </c>
      <c r="AH436" s="0" t="n">
        <f aca="false">N(AH435)+AG436</f>
        <v>5</v>
      </c>
    </row>
    <row r="437" customFormat="false" ht="13.5" hidden="false" customHeight="false" outlineLevel="0" collapsed="false">
      <c r="A437" s="0" t="str">
        <f aca="false">IF(资金日记账!$E135="","",资金日记账!$E135)</f>
        <v/>
      </c>
      <c r="B437" s="0" t="n">
        <f aca="false">IF(A437="",0,IF(MATCH(A437,$A$4:$A$1925,0)=ROW()-3,1,0))</f>
        <v>0</v>
      </c>
      <c r="C437" s="0" t="n">
        <f aca="false">N(C436)+B437</f>
        <v>11</v>
      </c>
      <c r="G437" s="0" t="n">
        <f aca="false">IF(OR($G$1="",资金日记账!$E430="",资金日记账!$E430&lt;&gt;$G$1),0,IF(NOT(OR(N(资金日记账!$H430)&lt;&gt;0,N(资金日记账!$I430)&lt;&gt;0)),0,IF(资金日记账!$B430="",1,IF(OR(N(资金日记账!$B430)&lt;$H$1,N(资金日记账!$B430)&gt;$I$1),0,1))))</f>
        <v>0</v>
      </c>
      <c r="H437" s="0" t="n">
        <f aca="false">N(H436)+$G437</f>
        <v>3</v>
      </c>
      <c r="I437" s="0" t="str">
        <f aca="false">IF($G437=0,"",IF(资金日记账!$B430=0,"",资金日记账!$B430))</f>
        <v/>
      </c>
      <c r="J437" s="0" t="str">
        <f aca="false">IF($G437=0,"",IF(资金日记账!$D430=0,"",资金日记账!$D430))</f>
        <v/>
      </c>
      <c r="K437" s="0" t="str">
        <f aca="false">IF($G437=0,"",IF(""=0,"",""))</f>
        <v/>
      </c>
      <c r="L437" s="0" t="str">
        <f aca="false">IF($G437=0,"",IF(""=0,"",""))</f>
        <v/>
      </c>
      <c r="M437" s="0" t="str">
        <f aca="false">IF($G437=0,"",IF(""=0,"",""))</f>
        <v/>
      </c>
      <c r="N437" s="0" t="str">
        <f aca="false">IF($G437=0,"",IF(IF(N(资金日记账!$I430)=0,"",-ROUND(N(资金日记账!$I430),2))=0,"",IF(N(资金日记账!$I430)=0,"",-ROUND(N(资金日记账!$I430),2))))</f>
        <v/>
      </c>
      <c r="O437" s="0" t="str">
        <f aca="false">IF($G437=0,"",IF(IF(N(资金日记账!$H430)=0,"",ROUND(N(资金日记账!$H430),2))=0,"",IF(N(资金日记账!$H430)=0,"",ROUND(N(资金日记账!$H430),2))))</f>
        <v/>
      </c>
      <c r="P437" s="0" t="str">
        <f aca="false">IF($G437=0,"",IF(资金日记账!$L430=0,"",资金日记账!$L430))</f>
        <v/>
      </c>
      <c r="T437" s="0" t="str">
        <f aca="false">IF(资金日记账!$G437="","",资金日记账!$G437)</f>
        <v/>
      </c>
      <c r="U437" s="0" t="n">
        <f aca="false">IF(T437="",0,IF(MATCH(T437,$T$4:$T$903,0)=ROW()-3,1,0))</f>
        <v>0</v>
      </c>
      <c r="V437" s="0" t="n">
        <f aca="false">N(V436)+U437</f>
        <v>30</v>
      </c>
      <c r="AF437" s="0" t="str">
        <f aca="false">IF(OR(资金日记账!$E437="",N(资金日记账!$H437)=0),"",资金日记账!$E437)</f>
        <v/>
      </c>
      <c r="AG437" s="0" t="n">
        <f aca="false">IF(AF437="",0,IF(MATCH(AF437,$AF$4:$AF$603,0)=ROW()-3,1,0))</f>
        <v>0</v>
      </c>
      <c r="AH437" s="0" t="n">
        <f aca="false">N(AH436)+AG437</f>
        <v>5</v>
      </c>
    </row>
    <row r="438" customFormat="false" ht="13.5" hidden="false" customHeight="false" outlineLevel="0" collapsed="false">
      <c r="A438" s="0" t="str">
        <f aca="false">IF(资金日记账!$E136="","",资金日记账!$E136)</f>
        <v/>
      </c>
      <c r="B438" s="0" t="n">
        <f aca="false">IF(A438="",0,IF(MATCH(A438,$A$4:$A$1925,0)=ROW()-3,1,0))</f>
        <v>0</v>
      </c>
      <c r="C438" s="0" t="n">
        <f aca="false">N(C437)+B438</f>
        <v>11</v>
      </c>
      <c r="G438" s="0" t="n">
        <f aca="false">IF(OR($G$1="",资金日记账!$E431="",资金日记账!$E431&lt;&gt;$G$1),0,IF(NOT(OR(N(资金日记账!$H431)&lt;&gt;0,N(资金日记账!$I431)&lt;&gt;0)),0,IF(资金日记账!$B431="",1,IF(OR(N(资金日记账!$B431)&lt;$H$1,N(资金日记账!$B431)&gt;$I$1),0,1))))</f>
        <v>0</v>
      </c>
      <c r="H438" s="0" t="n">
        <f aca="false">N(H437)+$G438</f>
        <v>3</v>
      </c>
      <c r="I438" s="0" t="str">
        <f aca="false">IF($G438=0,"",IF(资金日记账!$B431=0,"",资金日记账!$B431))</f>
        <v/>
      </c>
      <c r="J438" s="0" t="str">
        <f aca="false">IF($G438=0,"",IF(资金日记账!$D431=0,"",资金日记账!$D431))</f>
        <v/>
      </c>
      <c r="K438" s="0" t="str">
        <f aca="false">IF($G438=0,"",IF(""=0,"",""))</f>
        <v/>
      </c>
      <c r="L438" s="0" t="str">
        <f aca="false">IF($G438=0,"",IF(""=0,"",""))</f>
        <v/>
      </c>
      <c r="M438" s="0" t="str">
        <f aca="false">IF($G438=0,"",IF(""=0,"",""))</f>
        <v/>
      </c>
      <c r="N438" s="0" t="str">
        <f aca="false">IF($G438=0,"",IF(IF(N(资金日记账!$I431)=0,"",-ROUND(N(资金日记账!$I431),2))=0,"",IF(N(资金日记账!$I431)=0,"",-ROUND(N(资金日记账!$I431),2))))</f>
        <v/>
      </c>
      <c r="O438" s="0" t="str">
        <f aca="false">IF($G438=0,"",IF(IF(N(资金日记账!$H431)=0,"",ROUND(N(资金日记账!$H431),2))=0,"",IF(N(资金日记账!$H431)=0,"",ROUND(N(资金日记账!$H431),2))))</f>
        <v/>
      </c>
      <c r="P438" s="0" t="str">
        <f aca="false">IF($G438=0,"",IF(资金日记账!$L431=0,"",资金日记账!$L431))</f>
        <v/>
      </c>
      <c r="T438" s="0" t="str">
        <f aca="false">IF(资金日记账!$G438="","",资金日记账!$G438)</f>
        <v/>
      </c>
      <c r="U438" s="0" t="n">
        <f aca="false">IF(T438="",0,IF(MATCH(T438,$T$4:$T$903,0)=ROW()-3,1,0))</f>
        <v>0</v>
      </c>
      <c r="V438" s="0" t="n">
        <f aca="false">N(V437)+U438</f>
        <v>30</v>
      </c>
      <c r="AF438" s="0" t="str">
        <f aca="false">IF(OR(资金日记账!$E438="",N(资金日记账!$H438)=0),"",资金日记账!$E438)</f>
        <v/>
      </c>
      <c r="AG438" s="0" t="n">
        <f aca="false">IF(AF438="",0,IF(MATCH(AF438,$AF$4:$AF$603,0)=ROW()-3,1,0))</f>
        <v>0</v>
      </c>
      <c r="AH438" s="0" t="n">
        <f aca="false">N(AH437)+AG438</f>
        <v>5</v>
      </c>
    </row>
    <row r="439" customFormat="false" ht="13.5" hidden="false" customHeight="false" outlineLevel="0" collapsed="false">
      <c r="A439" s="0" t="str">
        <f aca="false">IF(资金日记账!$E137="","",资金日记账!$E137)</f>
        <v/>
      </c>
      <c r="B439" s="0" t="n">
        <f aca="false">IF(A439="",0,IF(MATCH(A439,$A$4:$A$1925,0)=ROW()-3,1,0))</f>
        <v>0</v>
      </c>
      <c r="C439" s="0" t="n">
        <f aca="false">N(C438)+B439</f>
        <v>11</v>
      </c>
      <c r="G439" s="0" t="n">
        <f aca="false">IF(OR($G$1="",资金日记账!$E432="",资金日记账!$E432&lt;&gt;$G$1),0,IF(NOT(OR(N(资金日记账!$H432)&lt;&gt;0,N(资金日记账!$I432)&lt;&gt;0)),0,IF(资金日记账!$B432="",1,IF(OR(N(资金日记账!$B432)&lt;$H$1,N(资金日记账!$B432)&gt;$I$1),0,1))))</f>
        <v>0</v>
      </c>
      <c r="H439" s="0" t="n">
        <f aca="false">N(H438)+$G439</f>
        <v>3</v>
      </c>
      <c r="I439" s="0" t="str">
        <f aca="false">IF($G439=0,"",IF(资金日记账!$B432=0,"",资金日记账!$B432))</f>
        <v/>
      </c>
      <c r="J439" s="0" t="str">
        <f aca="false">IF($G439=0,"",IF(资金日记账!$D432=0,"",资金日记账!$D432))</f>
        <v/>
      </c>
      <c r="K439" s="0" t="str">
        <f aca="false">IF($G439=0,"",IF(""=0,"",""))</f>
        <v/>
      </c>
      <c r="L439" s="0" t="str">
        <f aca="false">IF($G439=0,"",IF(""=0,"",""))</f>
        <v/>
      </c>
      <c r="M439" s="0" t="str">
        <f aca="false">IF($G439=0,"",IF(""=0,"",""))</f>
        <v/>
      </c>
      <c r="N439" s="0" t="str">
        <f aca="false">IF($G439=0,"",IF(IF(N(资金日记账!$I432)=0,"",-ROUND(N(资金日记账!$I432),2))=0,"",IF(N(资金日记账!$I432)=0,"",-ROUND(N(资金日记账!$I432),2))))</f>
        <v/>
      </c>
      <c r="O439" s="0" t="str">
        <f aca="false">IF($G439=0,"",IF(IF(N(资金日记账!$H432)=0,"",ROUND(N(资金日记账!$H432),2))=0,"",IF(N(资金日记账!$H432)=0,"",ROUND(N(资金日记账!$H432),2))))</f>
        <v/>
      </c>
      <c r="P439" s="0" t="str">
        <f aca="false">IF($G439=0,"",IF(资金日记账!$L432=0,"",资金日记账!$L432))</f>
        <v/>
      </c>
      <c r="T439" s="0" t="str">
        <f aca="false">IF(资金日记账!$G439="","",资金日记账!$G439)</f>
        <v/>
      </c>
      <c r="U439" s="0" t="n">
        <f aca="false">IF(T439="",0,IF(MATCH(T439,$T$4:$T$903,0)=ROW()-3,1,0))</f>
        <v>0</v>
      </c>
      <c r="V439" s="0" t="n">
        <f aca="false">N(V438)+U439</f>
        <v>30</v>
      </c>
      <c r="AF439" s="0" t="str">
        <f aca="false">IF(OR(资金日记账!$E439="",N(资金日记账!$H439)=0),"",资金日记账!$E439)</f>
        <v/>
      </c>
      <c r="AG439" s="0" t="n">
        <f aca="false">IF(AF439="",0,IF(MATCH(AF439,$AF$4:$AF$603,0)=ROW()-3,1,0))</f>
        <v>0</v>
      </c>
      <c r="AH439" s="0" t="n">
        <f aca="false">N(AH438)+AG439</f>
        <v>5</v>
      </c>
    </row>
    <row r="440" customFormat="false" ht="13.5" hidden="false" customHeight="false" outlineLevel="0" collapsed="false">
      <c r="A440" s="0" t="str">
        <f aca="false">IF(资金日记账!$E138="","",资金日记账!$E138)</f>
        <v/>
      </c>
      <c r="B440" s="0" t="n">
        <f aca="false">IF(A440="",0,IF(MATCH(A440,$A$4:$A$1925,0)=ROW()-3,1,0))</f>
        <v>0</v>
      </c>
      <c r="C440" s="0" t="n">
        <f aca="false">N(C439)+B440</f>
        <v>11</v>
      </c>
      <c r="G440" s="0" t="n">
        <f aca="false">IF(OR($G$1="",资金日记账!$E433="",资金日记账!$E433&lt;&gt;$G$1),0,IF(NOT(OR(N(资金日记账!$H433)&lt;&gt;0,N(资金日记账!$I433)&lt;&gt;0)),0,IF(资金日记账!$B433="",1,IF(OR(N(资金日记账!$B433)&lt;$H$1,N(资金日记账!$B433)&gt;$I$1),0,1))))</f>
        <v>0</v>
      </c>
      <c r="H440" s="0" t="n">
        <f aca="false">N(H439)+$G440</f>
        <v>3</v>
      </c>
      <c r="I440" s="0" t="str">
        <f aca="false">IF($G440=0,"",IF(资金日记账!$B433=0,"",资金日记账!$B433))</f>
        <v/>
      </c>
      <c r="J440" s="0" t="str">
        <f aca="false">IF($G440=0,"",IF(资金日记账!$D433=0,"",资金日记账!$D433))</f>
        <v/>
      </c>
      <c r="K440" s="0" t="str">
        <f aca="false">IF($G440=0,"",IF(""=0,"",""))</f>
        <v/>
      </c>
      <c r="L440" s="0" t="str">
        <f aca="false">IF($G440=0,"",IF(""=0,"",""))</f>
        <v/>
      </c>
      <c r="M440" s="0" t="str">
        <f aca="false">IF($G440=0,"",IF(""=0,"",""))</f>
        <v/>
      </c>
      <c r="N440" s="0" t="str">
        <f aca="false">IF($G440=0,"",IF(IF(N(资金日记账!$I433)=0,"",-ROUND(N(资金日记账!$I433),2))=0,"",IF(N(资金日记账!$I433)=0,"",-ROUND(N(资金日记账!$I433),2))))</f>
        <v/>
      </c>
      <c r="O440" s="0" t="str">
        <f aca="false">IF($G440=0,"",IF(IF(N(资金日记账!$H433)=0,"",ROUND(N(资金日记账!$H433),2))=0,"",IF(N(资金日记账!$H433)=0,"",ROUND(N(资金日记账!$H433),2))))</f>
        <v/>
      </c>
      <c r="P440" s="0" t="str">
        <f aca="false">IF($G440=0,"",IF(资金日记账!$L433=0,"",资金日记账!$L433))</f>
        <v/>
      </c>
      <c r="T440" s="0" t="str">
        <f aca="false">IF(资金日记账!$G440="","",资金日记账!$G440)</f>
        <v/>
      </c>
      <c r="U440" s="0" t="n">
        <f aca="false">IF(T440="",0,IF(MATCH(T440,$T$4:$T$903,0)=ROW()-3,1,0))</f>
        <v>0</v>
      </c>
      <c r="V440" s="0" t="n">
        <f aca="false">N(V439)+U440</f>
        <v>30</v>
      </c>
      <c r="AF440" s="0" t="str">
        <f aca="false">IF(OR(资金日记账!$E440="",N(资金日记账!$H440)=0),"",资金日记账!$E440)</f>
        <v/>
      </c>
      <c r="AG440" s="0" t="n">
        <f aca="false">IF(AF440="",0,IF(MATCH(AF440,$AF$4:$AF$603,0)=ROW()-3,1,0))</f>
        <v>0</v>
      </c>
      <c r="AH440" s="0" t="n">
        <f aca="false">N(AH439)+AG440</f>
        <v>5</v>
      </c>
    </row>
    <row r="441" customFormat="false" ht="13.5" hidden="false" customHeight="false" outlineLevel="0" collapsed="false">
      <c r="A441" s="0" t="str">
        <f aca="false">IF(资金日记账!$E139="","",资金日记账!$E139)</f>
        <v/>
      </c>
      <c r="B441" s="0" t="n">
        <f aca="false">IF(A441="",0,IF(MATCH(A441,$A$4:$A$1925,0)=ROW()-3,1,0))</f>
        <v>0</v>
      </c>
      <c r="C441" s="0" t="n">
        <f aca="false">N(C440)+B441</f>
        <v>11</v>
      </c>
      <c r="G441" s="0" t="n">
        <f aca="false">IF(OR($G$1="",资金日记账!$E434="",资金日记账!$E434&lt;&gt;$G$1),0,IF(NOT(OR(N(资金日记账!$H434)&lt;&gt;0,N(资金日记账!$I434)&lt;&gt;0)),0,IF(资金日记账!$B434="",1,IF(OR(N(资金日记账!$B434)&lt;$H$1,N(资金日记账!$B434)&gt;$I$1),0,1))))</f>
        <v>0</v>
      </c>
      <c r="H441" s="0" t="n">
        <f aca="false">N(H440)+$G441</f>
        <v>3</v>
      </c>
      <c r="I441" s="0" t="str">
        <f aca="false">IF($G441=0,"",IF(资金日记账!$B434=0,"",资金日记账!$B434))</f>
        <v/>
      </c>
      <c r="J441" s="0" t="str">
        <f aca="false">IF($G441=0,"",IF(资金日记账!$D434=0,"",资金日记账!$D434))</f>
        <v/>
      </c>
      <c r="K441" s="0" t="str">
        <f aca="false">IF($G441=0,"",IF(""=0,"",""))</f>
        <v/>
      </c>
      <c r="L441" s="0" t="str">
        <f aca="false">IF($G441=0,"",IF(""=0,"",""))</f>
        <v/>
      </c>
      <c r="M441" s="0" t="str">
        <f aca="false">IF($G441=0,"",IF(""=0,"",""))</f>
        <v/>
      </c>
      <c r="N441" s="0" t="str">
        <f aca="false">IF($G441=0,"",IF(IF(N(资金日记账!$I434)=0,"",-ROUND(N(资金日记账!$I434),2))=0,"",IF(N(资金日记账!$I434)=0,"",-ROUND(N(资金日记账!$I434),2))))</f>
        <v/>
      </c>
      <c r="O441" s="0" t="str">
        <f aca="false">IF($G441=0,"",IF(IF(N(资金日记账!$H434)=0,"",ROUND(N(资金日记账!$H434),2))=0,"",IF(N(资金日记账!$H434)=0,"",ROUND(N(资金日记账!$H434),2))))</f>
        <v/>
      </c>
      <c r="P441" s="0" t="str">
        <f aca="false">IF($G441=0,"",IF(资金日记账!$L434=0,"",资金日记账!$L434))</f>
        <v/>
      </c>
      <c r="T441" s="0" t="str">
        <f aca="false">IF(资金日记账!$G441="","",资金日记账!$G441)</f>
        <v/>
      </c>
      <c r="U441" s="0" t="n">
        <f aca="false">IF(T441="",0,IF(MATCH(T441,$T$4:$T$903,0)=ROW()-3,1,0))</f>
        <v>0</v>
      </c>
      <c r="V441" s="0" t="n">
        <f aca="false">N(V440)+U441</f>
        <v>30</v>
      </c>
      <c r="AF441" s="0" t="str">
        <f aca="false">IF(OR(资金日记账!$E441="",N(资金日记账!$H441)=0),"",资金日记账!$E441)</f>
        <v/>
      </c>
      <c r="AG441" s="0" t="n">
        <f aca="false">IF(AF441="",0,IF(MATCH(AF441,$AF$4:$AF$603,0)=ROW()-3,1,0))</f>
        <v>0</v>
      </c>
      <c r="AH441" s="0" t="n">
        <f aca="false">N(AH440)+AG441</f>
        <v>5</v>
      </c>
    </row>
    <row r="442" customFormat="false" ht="13.5" hidden="false" customHeight="false" outlineLevel="0" collapsed="false">
      <c r="A442" s="0" t="str">
        <f aca="false">IF(资金日记账!$E140="","",资金日记账!$E140)</f>
        <v/>
      </c>
      <c r="B442" s="0" t="n">
        <f aca="false">IF(A442="",0,IF(MATCH(A442,$A$4:$A$1925,0)=ROW()-3,1,0))</f>
        <v>0</v>
      </c>
      <c r="C442" s="0" t="n">
        <f aca="false">N(C441)+B442</f>
        <v>11</v>
      </c>
      <c r="G442" s="0" t="n">
        <f aca="false">IF(OR($G$1="",资金日记账!$E435="",资金日记账!$E435&lt;&gt;$G$1),0,IF(NOT(OR(N(资金日记账!$H435)&lt;&gt;0,N(资金日记账!$I435)&lt;&gt;0)),0,IF(资金日记账!$B435="",1,IF(OR(N(资金日记账!$B435)&lt;$H$1,N(资金日记账!$B435)&gt;$I$1),0,1))))</f>
        <v>0</v>
      </c>
      <c r="H442" s="0" t="n">
        <f aca="false">N(H441)+$G442</f>
        <v>3</v>
      </c>
      <c r="I442" s="0" t="str">
        <f aca="false">IF($G442=0,"",IF(资金日记账!$B435=0,"",资金日记账!$B435))</f>
        <v/>
      </c>
      <c r="J442" s="0" t="str">
        <f aca="false">IF($G442=0,"",IF(资金日记账!$D435=0,"",资金日记账!$D435))</f>
        <v/>
      </c>
      <c r="K442" s="0" t="str">
        <f aca="false">IF($G442=0,"",IF(""=0,"",""))</f>
        <v/>
      </c>
      <c r="L442" s="0" t="str">
        <f aca="false">IF($G442=0,"",IF(""=0,"",""))</f>
        <v/>
      </c>
      <c r="M442" s="0" t="str">
        <f aca="false">IF($G442=0,"",IF(""=0,"",""))</f>
        <v/>
      </c>
      <c r="N442" s="0" t="str">
        <f aca="false">IF($G442=0,"",IF(IF(N(资金日记账!$I435)=0,"",-ROUND(N(资金日记账!$I435),2))=0,"",IF(N(资金日记账!$I435)=0,"",-ROUND(N(资金日记账!$I435),2))))</f>
        <v/>
      </c>
      <c r="O442" s="0" t="str">
        <f aca="false">IF($G442=0,"",IF(IF(N(资金日记账!$H435)=0,"",ROUND(N(资金日记账!$H435),2))=0,"",IF(N(资金日记账!$H435)=0,"",ROUND(N(资金日记账!$H435),2))))</f>
        <v/>
      </c>
      <c r="P442" s="0" t="str">
        <f aca="false">IF($G442=0,"",IF(资金日记账!$L435=0,"",资金日记账!$L435))</f>
        <v/>
      </c>
      <c r="T442" s="0" t="str">
        <f aca="false">IF(资金日记账!$G442="","",资金日记账!$G442)</f>
        <v/>
      </c>
      <c r="U442" s="0" t="n">
        <f aca="false">IF(T442="",0,IF(MATCH(T442,$T$4:$T$903,0)=ROW()-3,1,0))</f>
        <v>0</v>
      </c>
      <c r="V442" s="0" t="n">
        <f aca="false">N(V441)+U442</f>
        <v>30</v>
      </c>
      <c r="AF442" s="0" t="str">
        <f aca="false">IF(OR(资金日记账!$E442="",N(资金日记账!$H442)=0),"",资金日记账!$E442)</f>
        <v/>
      </c>
      <c r="AG442" s="0" t="n">
        <f aca="false">IF(AF442="",0,IF(MATCH(AF442,$AF$4:$AF$603,0)=ROW()-3,1,0))</f>
        <v>0</v>
      </c>
      <c r="AH442" s="0" t="n">
        <f aca="false">N(AH441)+AG442</f>
        <v>5</v>
      </c>
    </row>
    <row r="443" customFormat="false" ht="13.5" hidden="false" customHeight="false" outlineLevel="0" collapsed="false">
      <c r="A443" s="0" t="str">
        <f aca="false">IF(资金日记账!$E141="","",资金日记账!$E141)</f>
        <v/>
      </c>
      <c r="B443" s="0" t="n">
        <f aca="false">IF(A443="",0,IF(MATCH(A443,$A$4:$A$1925,0)=ROW()-3,1,0))</f>
        <v>0</v>
      </c>
      <c r="C443" s="0" t="n">
        <f aca="false">N(C442)+B443</f>
        <v>11</v>
      </c>
      <c r="G443" s="0" t="n">
        <f aca="false">IF(OR($G$1="",资金日记账!$E436="",资金日记账!$E436&lt;&gt;$G$1),0,IF(NOT(OR(N(资金日记账!$H436)&lt;&gt;0,N(资金日记账!$I436)&lt;&gt;0)),0,IF(资金日记账!$B436="",1,IF(OR(N(资金日记账!$B436)&lt;$H$1,N(资金日记账!$B436)&gt;$I$1),0,1))))</f>
        <v>0</v>
      </c>
      <c r="H443" s="0" t="n">
        <f aca="false">N(H442)+$G443</f>
        <v>3</v>
      </c>
      <c r="I443" s="0" t="str">
        <f aca="false">IF($G443=0,"",IF(资金日记账!$B436=0,"",资金日记账!$B436))</f>
        <v/>
      </c>
      <c r="J443" s="0" t="str">
        <f aca="false">IF($G443=0,"",IF(资金日记账!$D436=0,"",资金日记账!$D436))</f>
        <v/>
      </c>
      <c r="K443" s="0" t="str">
        <f aca="false">IF($G443=0,"",IF(""=0,"",""))</f>
        <v/>
      </c>
      <c r="L443" s="0" t="str">
        <f aca="false">IF($G443=0,"",IF(""=0,"",""))</f>
        <v/>
      </c>
      <c r="M443" s="0" t="str">
        <f aca="false">IF($G443=0,"",IF(""=0,"",""))</f>
        <v/>
      </c>
      <c r="N443" s="0" t="str">
        <f aca="false">IF($G443=0,"",IF(IF(N(资金日记账!$I436)=0,"",-ROUND(N(资金日记账!$I436),2))=0,"",IF(N(资金日记账!$I436)=0,"",-ROUND(N(资金日记账!$I436),2))))</f>
        <v/>
      </c>
      <c r="O443" s="0" t="str">
        <f aca="false">IF($G443=0,"",IF(IF(N(资金日记账!$H436)=0,"",ROUND(N(资金日记账!$H436),2))=0,"",IF(N(资金日记账!$H436)=0,"",ROUND(N(资金日记账!$H436),2))))</f>
        <v/>
      </c>
      <c r="P443" s="0" t="str">
        <f aca="false">IF($G443=0,"",IF(资金日记账!$L436=0,"",资金日记账!$L436))</f>
        <v/>
      </c>
      <c r="T443" s="0" t="str">
        <f aca="false">IF(资金日记账!$G443="","",资金日记账!$G443)</f>
        <v/>
      </c>
      <c r="U443" s="0" t="n">
        <f aca="false">IF(T443="",0,IF(MATCH(T443,$T$4:$T$903,0)=ROW()-3,1,0))</f>
        <v>0</v>
      </c>
      <c r="V443" s="0" t="n">
        <f aca="false">N(V442)+U443</f>
        <v>30</v>
      </c>
      <c r="AF443" s="0" t="str">
        <f aca="false">IF(OR(资金日记账!$E443="",N(资金日记账!$H443)=0),"",资金日记账!$E443)</f>
        <v/>
      </c>
      <c r="AG443" s="0" t="n">
        <f aca="false">IF(AF443="",0,IF(MATCH(AF443,$AF$4:$AF$603,0)=ROW()-3,1,0))</f>
        <v>0</v>
      </c>
      <c r="AH443" s="0" t="n">
        <f aca="false">N(AH442)+AG443</f>
        <v>5</v>
      </c>
    </row>
    <row r="444" customFormat="false" ht="13.5" hidden="false" customHeight="false" outlineLevel="0" collapsed="false">
      <c r="A444" s="0" t="str">
        <f aca="false">IF(资金日记账!$E142="","",资金日记账!$E142)</f>
        <v/>
      </c>
      <c r="B444" s="0" t="n">
        <f aca="false">IF(A444="",0,IF(MATCH(A444,$A$4:$A$1925,0)=ROW()-3,1,0))</f>
        <v>0</v>
      </c>
      <c r="C444" s="0" t="n">
        <f aca="false">N(C443)+B444</f>
        <v>11</v>
      </c>
      <c r="G444" s="0" t="n">
        <f aca="false">IF(OR($G$1="",资金日记账!$E437="",资金日记账!$E437&lt;&gt;$G$1),0,IF(NOT(OR(N(资金日记账!$H437)&lt;&gt;0,N(资金日记账!$I437)&lt;&gt;0)),0,IF(资金日记账!$B437="",1,IF(OR(N(资金日记账!$B437)&lt;$H$1,N(资金日记账!$B437)&gt;$I$1),0,1))))</f>
        <v>0</v>
      </c>
      <c r="H444" s="0" t="n">
        <f aca="false">N(H443)+$G444</f>
        <v>3</v>
      </c>
      <c r="I444" s="0" t="str">
        <f aca="false">IF($G444=0,"",IF(资金日记账!$B437=0,"",资金日记账!$B437))</f>
        <v/>
      </c>
      <c r="J444" s="0" t="str">
        <f aca="false">IF($G444=0,"",IF(资金日记账!$D437=0,"",资金日记账!$D437))</f>
        <v/>
      </c>
      <c r="K444" s="0" t="str">
        <f aca="false">IF($G444=0,"",IF(""=0,"",""))</f>
        <v/>
      </c>
      <c r="L444" s="0" t="str">
        <f aca="false">IF($G444=0,"",IF(""=0,"",""))</f>
        <v/>
      </c>
      <c r="M444" s="0" t="str">
        <f aca="false">IF($G444=0,"",IF(""=0,"",""))</f>
        <v/>
      </c>
      <c r="N444" s="0" t="str">
        <f aca="false">IF($G444=0,"",IF(IF(N(资金日记账!$I437)=0,"",-ROUND(N(资金日记账!$I437),2))=0,"",IF(N(资金日记账!$I437)=0,"",-ROUND(N(资金日记账!$I437),2))))</f>
        <v/>
      </c>
      <c r="O444" s="0" t="str">
        <f aca="false">IF($G444=0,"",IF(IF(N(资金日记账!$H437)=0,"",ROUND(N(资金日记账!$H437),2))=0,"",IF(N(资金日记账!$H437)=0,"",ROUND(N(资金日记账!$H437),2))))</f>
        <v/>
      </c>
      <c r="P444" s="0" t="str">
        <f aca="false">IF($G444=0,"",IF(资金日记账!$L437=0,"",资金日记账!$L437))</f>
        <v/>
      </c>
      <c r="T444" s="0" t="str">
        <f aca="false">IF(资金日记账!$G444="","",资金日记账!$G444)</f>
        <v/>
      </c>
      <c r="U444" s="0" t="n">
        <f aca="false">IF(T444="",0,IF(MATCH(T444,$T$4:$T$903,0)=ROW()-3,1,0))</f>
        <v>0</v>
      </c>
      <c r="V444" s="0" t="n">
        <f aca="false">N(V443)+U444</f>
        <v>30</v>
      </c>
      <c r="AF444" s="0" t="str">
        <f aca="false">IF(OR(资金日记账!$E444="",N(资金日记账!$H444)=0),"",资金日记账!$E444)</f>
        <v/>
      </c>
      <c r="AG444" s="0" t="n">
        <f aca="false">IF(AF444="",0,IF(MATCH(AF444,$AF$4:$AF$603,0)=ROW()-3,1,0))</f>
        <v>0</v>
      </c>
      <c r="AH444" s="0" t="n">
        <f aca="false">N(AH443)+AG444</f>
        <v>5</v>
      </c>
    </row>
    <row r="445" customFormat="false" ht="13.5" hidden="false" customHeight="false" outlineLevel="0" collapsed="false">
      <c r="A445" s="0" t="str">
        <f aca="false">IF(资金日记账!$E143="","",资金日记账!$E143)</f>
        <v/>
      </c>
      <c r="B445" s="0" t="n">
        <f aca="false">IF(A445="",0,IF(MATCH(A445,$A$4:$A$1925,0)=ROW()-3,1,0))</f>
        <v>0</v>
      </c>
      <c r="C445" s="0" t="n">
        <f aca="false">N(C444)+B445</f>
        <v>11</v>
      </c>
      <c r="G445" s="0" t="n">
        <f aca="false">IF(OR($G$1="",资金日记账!$E438="",资金日记账!$E438&lt;&gt;$G$1),0,IF(NOT(OR(N(资金日记账!$H438)&lt;&gt;0,N(资金日记账!$I438)&lt;&gt;0)),0,IF(资金日记账!$B438="",1,IF(OR(N(资金日记账!$B438)&lt;$H$1,N(资金日记账!$B438)&gt;$I$1),0,1))))</f>
        <v>0</v>
      </c>
      <c r="H445" s="0" t="n">
        <f aca="false">N(H444)+$G445</f>
        <v>3</v>
      </c>
      <c r="I445" s="0" t="str">
        <f aca="false">IF($G445=0,"",IF(资金日记账!$B438=0,"",资金日记账!$B438))</f>
        <v/>
      </c>
      <c r="J445" s="0" t="str">
        <f aca="false">IF($G445=0,"",IF(资金日记账!$D438=0,"",资金日记账!$D438))</f>
        <v/>
      </c>
      <c r="K445" s="0" t="str">
        <f aca="false">IF($G445=0,"",IF(""=0,"",""))</f>
        <v/>
      </c>
      <c r="L445" s="0" t="str">
        <f aca="false">IF($G445=0,"",IF(""=0,"",""))</f>
        <v/>
      </c>
      <c r="M445" s="0" t="str">
        <f aca="false">IF($G445=0,"",IF(""=0,"",""))</f>
        <v/>
      </c>
      <c r="N445" s="0" t="str">
        <f aca="false">IF($G445=0,"",IF(IF(N(资金日记账!$I438)=0,"",-ROUND(N(资金日记账!$I438),2))=0,"",IF(N(资金日记账!$I438)=0,"",-ROUND(N(资金日记账!$I438),2))))</f>
        <v/>
      </c>
      <c r="O445" s="0" t="str">
        <f aca="false">IF($G445=0,"",IF(IF(N(资金日记账!$H438)=0,"",ROUND(N(资金日记账!$H438),2))=0,"",IF(N(资金日记账!$H438)=0,"",ROUND(N(资金日记账!$H438),2))))</f>
        <v/>
      </c>
      <c r="P445" s="0" t="str">
        <f aca="false">IF($G445=0,"",IF(资金日记账!$L438=0,"",资金日记账!$L438))</f>
        <v/>
      </c>
      <c r="T445" s="0" t="str">
        <f aca="false">IF(资金日记账!$G445="","",资金日记账!$G445)</f>
        <v/>
      </c>
      <c r="U445" s="0" t="n">
        <f aca="false">IF(T445="",0,IF(MATCH(T445,$T$4:$T$903,0)=ROW()-3,1,0))</f>
        <v>0</v>
      </c>
      <c r="V445" s="0" t="n">
        <f aca="false">N(V444)+U445</f>
        <v>30</v>
      </c>
      <c r="AF445" s="0" t="str">
        <f aca="false">IF(OR(资金日记账!$E445="",N(资金日记账!$H445)=0),"",资金日记账!$E445)</f>
        <v/>
      </c>
      <c r="AG445" s="0" t="n">
        <f aca="false">IF(AF445="",0,IF(MATCH(AF445,$AF$4:$AF$603,0)=ROW()-3,1,0))</f>
        <v>0</v>
      </c>
      <c r="AH445" s="0" t="n">
        <f aca="false">N(AH444)+AG445</f>
        <v>5</v>
      </c>
    </row>
    <row r="446" customFormat="false" ht="13.5" hidden="false" customHeight="false" outlineLevel="0" collapsed="false">
      <c r="A446" s="0" t="str">
        <f aca="false">IF(资金日记账!$E144="","",资金日记账!$E144)</f>
        <v/>
      </c>
      <c r="B446" s="0" t="n">
        <f aca="false">IF(A446="",0,IF(MATCH(A446,$A$4:$A$1925,0)=ROW()-3,1,0))</f>
        <v>0</v>
      </c>
      <c r="C446" s="0" t="n">
        <f aca="false">N(C445)+B446</f>
        <v>11</v>
      </c>
      <c r="G446" s="0" t="n">
        <f aca="false">IF(OR($G$1="",资金日记账!$E439="",资金日记账!$E439&lt;&gt;$G$1),0,IF(NOT(OR(N(资金日记账!$H439)&lt;&gt;0,N(资金日记账!$I439)&lt;&gt;0)),0,IF(资金日记账!$B439="",1,IF(OR(N(资金日记账!$B439)&lt;$H$1,N(资金日记账!$B439)&gt;$I$1),0,1))))</f>
        <v>0</v>
      </c>
      <c r="H446" s="0" t="n">
        <f aca="false">N(H445)+$G446</f>
        <v>3</v>
      </c>
      <c r="I446" s="0" t="str">
        <f aca="false">IF($G446=0,"",IF(资金日记账!$B439=0,"",资金日记账!$B439))</f>
        <v/>
      </c>
      <c r="J446" s="0" t="str">
        <f aca="false">IF($G446=0,"",IF(资金日记账!$D439=0,"",资金日记账!$D439))</f>
        <v/>
      </c>
      <c r="K446" s="0" t="str">
        <f aca="false">IF($G446=0,"",IF(""=0,"",""))</f>
        <v/>
      </c>
      <c r="L446" s="0" t="str">
        <f aca="false">IF($G446=0,"",IF(""=0,"",""))</f>
        <v/>
      </c>
      <c r="M446" s="0" t="str">
        <f aca="false">IF($G446=0,"",IF(""=0,"",""))</f>
        <v/>
      </c>
      <c r="N446" s="0" t="str">
        <f aca="false">IF($G446=0,"",IF(IF(N(资金日记账!$I439)=0,"",-ROUND(N(资金日记账!$I439),2))=0,"",IF(N(资金日记账!$I439)=0,"",-ROUND(N(资金日记账!$I439),2))))</f>
        <v/>
      </c>
      <c r="O446" s="0" t="str">
        <f aca="false">IF($G446=0,"",IF(IF(N(资金日记账!$H439)=0,"",ROUND(N(资金日记账!$H439),2))=0,"",IF(N(资金日记账!$H439)=0,"",ROUND(N(资金日记账!$H439),2))))</f>
        <v/>
      </c>
      <c r="P446" s="0" t="str">
        <f aca="false">IF($G446=0,"",IF(资金日记账!$L439=0,"",资金日记账!$L439))</f>
        <v/>
      </c>
      <c r="T446" s="0" t="str">
        <f aca="false">IF(资金日记账!$G446="","",资金日记账!$G446)</f>
        <v/>
      </c>
      <c r="U446" s="0" t="n">
        <f aca="false">IF(T446="",0,IF(MATCH(T446,$T$4:$T$903,0)=ROW()-3,1,0))</f>
        <v>0</v>
      </c>
      <c r="V446" s="0" t="n">
        <f aca="false">N(V445)+U446</f>
        <v>30</v>
      </c>
      <c r="AF446" s="0" t="str">
        <f aca="false">IF(OR(资金日记账!$E446="",N(资金日记账!$H446)=0),"",资金日记账!$E446)</f>
        <v/>
      </c>
      <c r="AG446" s="0" t="n">
        <f aca="false">IF(AF446="",0,IF(MATCH(AF446,$AF$4:$AF$603,0)=ROW()-3,1,0))</f>
        <v>0</v>
      </c>
      <c r="AH446" s="0" t="n">
        <f aca="false">N(AH445)+AG446</f>
        <v>5</v>
      </c>
    </row>
    <row r="447" customFormat="false" ht="13.5" hidden="false" customHeight="false" outlineLevel="0" collapsed="false">
      <c r="A447" s="0" t="str">
        <f aca="false">IF(资金日记账!$E145="","",资金日记账!$E145)</f>
        <v/>
      </c>
      <c r="B447" s="0" t="n">
        <f aca="false">IF(A447="",0,IF(MATCH(A447,$A$4:$A$1925,0)=ROW()-3,1,0))</f>
        <v>0</v>
      </c>
      <c r="C447" s="0" t="n">
        <f aca="false">N(C446)+B447</f>
        <v>11</v>
      </c>
      <c r="G447" s="0" t="n">
        <f aca="false">IF(OR($G$1="",资金日记账!$E440="",资金日记账!$E440&lt;&gt;$G$1),0,IF(NOT(OR(N(资金日记账!$H440)&lt;&gt;0,N(资金日记账!$I440)&lt;&gt;0)),0,IF(资金日记账!$B440="",1,IF(OR(N(资金日记账!$B440)&lt;$H$1,N(资金日记账!$B440)&gt;$I$1),0,1))))</f>
        <v>0</v>
      </c>
      <c r="H447" s="0" t="n">
        <f aca="false">N(H446)+$G447</f>
        <v>3</v>
      </c>
      <c r="I447" s="0" t="str">
        <f aca="false">IF($G447=0,"",IF(资金日记账!$B440=0,"",资金日记账!$B440))</f>
        <v/>
      </c>
      <c r="J447" s="0" t="str">
        <f aca="false">IF($G447=0,"",IF(资金日记账!$D440=0,"",资金日记账!$D440))</f>
        <v/>
      </c>
      <c r="K447" s="0" t="str">
        <f aca="false">IF($G447=0,"",IF(""=0,"",""))</f>
        <v/>
      </c>
      <c r="L447" s="0" t="str">
        <f aca="false">IF($G447=0,"",IF(""=0,"",""))</f>
        <v/>
      </c>
      <c r="M447" s="0" t="str">
        <f aca="false">IF($G447=0,"",IF(""=0,"",""))</f>
        <v/>
      </c>
      <c r="N447" s="0" t="str">
        <f aca="false">IF($G447=0,"",IF(IF(N(资金日记账!$I440)=0,"",-ROUND(N(资金日记账!$I440),2))=0,"",IF(N(资金日记账!$I440)=0,"",-ROUND(N(资金日记账!$I440),2))))</f>
        <v/>
      </c>
      <c r="O447" s="0" t="str">
        <f aca="false">IF($G447=0,"",IF(IF(N(资金日记账!$H440)=0,"",ROUND(N(资金日记账!$H440),2))=0,"",IF(N(资金日记账!$H440)=0,"",ROUND(N(资金日记账!$H440),2))))</f>
        <v/>
      </c>
      <c r="P447" s="0" t="str">
        <f aca="false">IF($G447=0,"",IF(资金日记账!$L440=0,"",资金日记账!$L440))</f>
        <v/>
      </c>
      <c r="T447" s="0" t="str">
        <f aca="false">IF(资金日记账!$G447="","",资金日记账!$G447)</f>
        <v/>
      </c>
      <c r="U447" s="0" t="n">
        <f aca="false">IF(T447="",0,IF(MATCH(T447,$T$4:$T$903,0)=ROW()-3,1,0))</f>
        <v>0</v>
      </c>
      <c r="V447" s="0" t="n">
        <f aca="false">N(V446)+U447</f>
        <v>30</v>
      </c>
      <c r="AF447" s="0" t="str">
        <f aca="false">IF(OR(资金日记账!$E447="",N(资金日记账!$H447)=0),"",资金日记账!$E447)</f>
        <v/>
      </c>
      <c r="AG447" s="0" t="n">
        <f aca="false">IF(AF447="",0,IF(MATCH(AF447,$AF$4:$AF$603,0)=ROW()-3,1,0))</f>
        <v>0</v>
      </c>
      <c r="AH447" s="0" t="n">
        <f aca="false">N(AH446)+AG447</f>
        <v>5</v>
      </c>
    </row>
    <row r="448" customFormat="false" ht="13.5" hidden="false" customHeight="false" outlineLevel="0" collapsed="false">
      <c r="A448" s="0" t="str">
        <f aca="false">IF(资金日记账!$E146="","",资金日记账!$E146)</f>
        <v/>
      </c>
      <c r="B448" s="0" t="n">
        <f aca="false">IF(A448="",0,IF(MATCH(A448,$A$4:$A$1925,0)=ROW()-3,1,0))</f>
        <v>0</v>
      </c>
      <c r="C448" s="0" t="n">
        <f aca="false">N(C447)+B448</f>
        <v>11</v>
      </c>
      <c r="G448" s="0" t="n">
        <f aca="false">IF(OR($G$1="",资金日记账!$E441="",资金日记账!$E441&lt;&gt;$G$1),0,IF(NOT(OR(N(资金日记账!$H441)&lt;&gt;0,N(资金日记账!$I441)&lt;&gt;0)),0,IF(资金日记账!$B441="",1,IF(OR(N(资金日记账!$B441)&lt;$H$1,N(资金日记账!$B441)&gt;$I$1),0,1))))</f>
        <v>0</v>
      </c>
      <c r="H448" s="0" t="n">
        <f aca="false">N(H447)+$G448</f>
        <v>3</v>
      </c>
      <c r="I448" s="0" t="str">
        <f aca="false">IF($G448=0,"",IF(资金日记账!$B441=0,"",资金日记账!$B441))</f>
        <v/>
      </c>
      <c r="J448" s="0" t="str">
        <f aca="false">IF($G448=0,"",IF(资金日记账!$D441=0,"",资金日记账!$D441))</f>
        <v/>
      </c>
      <c r="K448" s="0" t="str">
        <f aca="false">IF($G448=0,"",IF(""=0,"",""))</f>
        <v/>
      </c>
      <c r="L448" s="0" t="str">
        <f aca="false">IF($G448=0,"",IF(""=0,"",""))</f>
        <v/>
      </c>
      <c r="M448" s="0" t="str">
        <f aca="false">IF($G448=0,"",IF(""=0,"",""))</f>
        <v/>
      </c>
      <c r="N448" s="0" t="str">
        <f aca="false">IF($G448=0,"",IF(IF(N(资金日记账!$I441)=0,"",-ROUND(N(资金日记账!$I441),2))=0,"",IF(N(资金日记账!$I441)=0,"",-ROUND(N(资金日记账!$I441),2))))</f>
        <v/>
      </c>
      <c r="O448" s="0" t="str">
        <f aca="false">IF($G448=0,"",IF(IF(N(资金日记账!$H441)=0,"",ROUND(N(资金日记账!$H441),2))=0,"",IF(N(资金日记账!$H441)=0,"",ROUND(N(资金日记账!$H441),2))))</f>
        <v/>
      </c>
      <c r="P448" s="0" t="str">
        <f aca="false">IF($G448=0,"",IF(资金日记账!$L441=0,"",资金日记账!$L441))</f>
        <v/>
      </c>
      <c r="T448" s="0" t="str">
        <f aca="false">IF(资金日记账!$G448="","",资金日记账!$G448)</f>
        <v/>
      </c>
      <c r="U448" s="0" t="n">
        <f aca="false">IF(T448="",0,IF(MATCH(T448,$T$4:$T$903,0)=ROW()-3,1,0))</f>
        <v>0</v>
      </c>
      <c r="V448" s="0" t="n">
        <f aca="false">N(V447)+U448</f>
        <v>30</v>
      </c>
      <c r="AF448" s="0" t="str">
        <f aca="false">IF(OR(资金日记账!$E448="",N(资金日记账!$H448)=0),"",资金日记账!$E448)</f>
        <v/>
      </c>
      <c r="AG448" s="0" t="n">
        <f aca="false">IF(AF448="",0,IF(MATCH(AF448,$AF$4:$AF$603,0)=ROW()-3,1,0))</f>
        <v>0</v>
      </c>
      <c r="AH448" s="0" t="n">
        <f aca="false">N(AH447)+AG448</f>
        <v>5</v>
      </c>
    </row>
    <row r="449" customFormat="false" ht="13.5" hidden="false" customHeight="false" outlineLevel="0" collapsed="false">
      <c r="A449" s="0" t="str">
        <f aca="false">IF(资金日记账!$E147="","",资金日记账!$E147)</f>
        <v/>
      </c>
      <c r="B449" s="0" t="n">
        <f aca="false">IF(A449="",0,IF(MATCH(A449,$A$4:$A$1925,0)=ROW()-3,1,0))</f>
        <v>0</v>
      </c>
      <c r="C449" s="0" t="n">
        <f aca="false">N(C448)+B449</f>
        <v>11</v>
      </c>
      <c r="G449" s="0" t="n">
        <f aca="false">IF(OR($G$1="",资金日记账!$E442="",资金日记账!$E442&lt;&gt;$G$1),0,IF(NOT(OR(N(资金日记账!$H442)&lt;&gt;0,N(资金日记账!$I442)&lt;&gt;0)),0,IF(资金日记账!$B442="",1,IF(OR(N(资金日记账!$B442)&lt;$H$1,N(资金日记账!$B442)&gt;$I$1),0,1))))</f>
        <v>0</v>
      </c>
      <c r="H449" s="0" t="n">
        <f aca="false">N(H448)+$G449</f>
        <v>3</v>
      </c>
      <c r="I449" s="0" t="str">
        <f aca="false">IF($G449=0,"",IF(资金日记账!$B442=0,"",资金日记账!$B442))</f>
        <v/>
      </c>
      <c r="J449" s="0" t="str">
        <f aca="false">IF($G449=0,"",IF(资金日记账!$D442=0,"",资金日记账!$D442))</f>
        <v/>
      </c>
      <c r="K449" s="0" t="str">
        <f aca="false">IF($G449=0,"",IF(""=0,"",""))</f>
        <v/>
      </c>
      <c r="L449" s="0" t="str">
        <f aca="false">IF($G449=0,"",IF(""=0,"",""))</f>
        <v/>
      </c>
      <c r="M449" s="0" t="str">
        <f aca="false">IF($G449=0,"",IF(""=0,"",""))</f>
        <v/>
      </c>
      <c r="N449" s="0" t="str">
        <f aca="false">IF($G449=0,"",IF(IF(N(资金日记账!$I442)=0,"",-ROUND(N(资金日记账!$I442),2))=0,"",IF(N(资金日记账!$I442)=0,"",-ROUND(N(资金日记账!$I442),2))))</f>
        <v/>
      </c>
      <c r="O449" s="0" t="str">
        <f aca="false">IF($G449=0,"",IF(IF(N(资金日记账!$H442)=0,"",ROUND(N(资金日记账!$H442),2))=0,"",IF(N(资金日记账!$H442)=0,"",ROUND(N(资金日记账!$H442),2))))</f>
        <v/>
      </c>
      <c r="P449" s="0" t="str">
        <f aca="false">IF($G449=0,"",IF(资金日记账!$L442=0,"",资金日记账!$L442))</f>
        <v/>
      </c>
      <c r="T449" s="0" t="str">
        <f aca="false">IF(资金日记账!$G449="","",资金日记账!$G449)</f>
        <v/>
      </c>
      <c r="U449" s="0" t="n">
        <f aca="false">IF(T449="",0,IF(MATCH(T449,$T$4:$T$903,0)=ROW()-3,1,0))</f>
        <v>0</v>
      </c>
      <c r="V449" s="0" t="n">
        <f aca="false">N(V448)+U449</f>
        <v>30</v>
      </c>
      <c r="AF449" s="0" t="str">
        <f aca="false">IF(OR(资金日记账!$E449="",N(资金日记账!$H449)=0),"",资金日记账!$E449)</f>
        <v/>
      </c>
      <c r="AG449" s="0" t="n">
        <f aca="false">IF(AF449="",0,IF(MATCH(AF449,$AF$4:$AF$603,0)=ROW()-3,1,0))</f>
        <v>0</v>
      </c>
      <c r="AH449" s="0" t="n">
        <f aca="false">N(AH448)+AG449</f>
        <v>5</v>
      </c>
    </row>
    <row r="450" customFormat="false" ht="13.5" hidden="false" customHeight="false" outlineLevel="0" collapsed="false">
      <c r="A450" s="0" t="str">
        <f aca="false">IF(资金日记账!$E148="","",资金日记账!$E148)</f>
        <v/>
      </c>
      <c r="B450" s="0" t="n">
        <f aca="false">IF(A450="",0,IF(MATCH(A450,$A$4:$A$1925,0)=ROW()-3,1,0))</f>
        <v>0</v>
      </c>
      <c r="C450" s="0" t="n">
        <f aca="false">N(C449)+B450</f>
        <v>11</v>
      </c>
      <c r="G450" s="0" t="n">
        <f aca="false">IF(OR($G$1="",资金日记账!$E443="",资金日记账!$E443&lt;&gt;$G$1),0,IF(NOT(OR(N(资金日记账!$H443)&lt;&gt;0,N(资金日记账!$I443)&lt;&gt;0)),0,IF(资金日记账!$B443="",1,IF(OR(N(资金日记账!$B443)&lt;$H$1,N(资金日记账!$B443)&gt;$I$1),0,1))))</f>
        <v>0</v>
      </c>
      <c r="H450" s="0" t="n">
        <f aca="false">N(H449)+$G450</f>
        <v>3</v>
      </c>
      <c r="I450" s="0" t="str">
        <f aca="false">IF($G450=0,"",IF(资金日记账!$B443=0,"",资金日记账!$B443))</f>
        <v/>
      </c>
      <c r="J450" s="0" t="str">
        <f aca="false">IF($G450=0,"",IF(资金日记账!$D443=0,"",资金日记账!$D443))</f>
        <v/>
      </c>
      <c r="K450" s="0" t="str">
        <f aca="false">IF($G450=0,"",IF(""=0,"",""))</f>
        <v/>
      </c>
      <c r="L450" s="0" t="str">
        <f aca="false">IF($G450=0,"",IF(""=0,"",""))</f>
        <v/>
      </c>
      <c r="M450" s="0" t="str">
        <f aca="false">IF($G450=0,"",IF(""=0,"",""))</f>
        <v/>
      </c>
      <c r="N450" s="0" t="str">
        <f aca="false">IF($G450=0,"",IF(IF(N(资金日记账!$I443)=0,"",-ROUND(N(资金日记账!$I443),2))=0,"",IF(N(资金日记账!$I443)=0,"",-ROUND(N(资金日记账!$I443),2))))</f>
        <v/>
      </c>
      <c r="O450" s="0" t="str">
        <f aca="false">IF($G450=0,"",IF(IF(N(资金日记账!$H443)=0,"",ROUND(N(资金日记账!$H443),2))=0,"",IF(N(资金日记账!$H443)=0,"",ROUND(N(资金日记账!$H443),2))))</f>
        <v/>
      </c>
      <c r="P450" s="0" t="str">
        <f aca="false">IF($G450=0,"",IF(资金日记账!$L443=0,"",资金日记账!$L443))</f>
        <v/>
      </c>
      <c r="T450" s="0" t="str">
        <f aca="false">IF(资金日记账!$G450="","",资金日记账!$G450)</f>
        <v/>
      </c>
      <c r="U450" s="0" t="n">
        <f aca="false">IF(T450="",0,IF(MATCH(T450,$T$4:$T$903,0)=ROW()-3,1,0))</f>
        <v>0</v>
      </c>
      <c r="V450" s="0" t="n">
        <f aca="false">N(V449)+U450</f>
        <v>30</v>
      </c>
      <c r="AF450" s="0" t="str">
        <f aca="false">IF(OR(资金日记账!$E450="",N(资金日记账!$H450)=0),"",资金日记账!$E450)</f>
        <v/>
      </c>
      <c r="AG450" s="0" t="n">
        <f aca="false">IF(AF450="",0,IF(MATCH(AF450,$AF$4:$AF$603,0)=ROW()-3,1,0))</f>
        <v>0</v>
      </c>
      <c r="AH450" s="0" t="n">
        <f aca="false">N(AH449)+AG450</f>
        <v>5</v>
      </c>
    </row>
    <row r="451" customFormat="false" ht="13.5" hidden="false" customHeight="false" outlineLevel="0" collapsed="false">
      <c r="A451" s="0" t="str">
        <f aca="false">IF(资金日记账!$E149="","",资金日记账!$E149)</f>
        <v/>
      </c>
      <c r="B451" s="0" t="n">
        <f aca="false">IF(A451="",0,IF(MATCH(A451,$A$4:$A$1925,0)=ROW()-3,1,0))</f>
        <v>0</v>
      </c>
      <c r="C451" s="0" t="n">
        <f aca="false">N(C450)+B451</f>
        <v>11</v>
      </c>
      <c r="G451" s="0" t="n">
        <f aca="false">IF(OR($G$1="",资金日记账!$E444="",资金日记账!$E444&lt;&gt;$G$1),0,IF(NOT(OR(N(资金日记账!$H444)&lt;&gt;0,N(资金日记账!$I444)&lt;&gt;0)),0,IF(资金日记账!$B444="",1,IF(OR(N(资金日记账!$B444)&lt;$H$1,N(资金日记账!$B444)&gt;$I$1),0,1))))</f>
        <v>0</v>
      </c>
      <c r="H451" s="0" t="n">
        <f aca="false">N(H450)+$G451</f>
        <v>3</v>
      </c>
      <c r="I451" s="0" t="str">
        <f aca="false">IF($G451=0,"",IF(资金日记账!$B444=0,"",资金日记账!$B444))</f>
        <v/>
      </c>
      <c r="J451" s="0" t="str">
        <f aca="false">IF($G451=0,"",IF(资金日记账!$D444=0,"",资金日记账!$D444))</f>
        <v/>
      </c>
      <c r="K451" s="0" t="str">
        <f aca="false">IF($G451=0,"",IF(""=0,"",""))</f>
        <v/>
      </c>
      <c r="L451" s="0" t="str">
        <f aca="false">IF($G451=0,"",IF(""=0,"",""))</f>
        <v/>
      </c>
      <c r="M451" s="0" t="str">
        <f aca="false">IF($G451=0,"",IF(""=0,"",""))</f>
        <v/>
      </c>
      <c r="N451" s="0" t="str">
        <f aca="false">IF($G451=0,"",IF(IF(N(资金日记账!$I444)=0,"",-ROUND(N(资金日记账!$I444),2))=0,"",IF(N(资金日记账!$I444)=0,"",-ROUND(N(资金日记账!$I444),2))))</f>
        <v/>
      </c>
      <c r="O451" s="0" t="str">
        <f aca="false">IF($G451=0,"",IF(IF(N(资金日记账!$H444)=0,"",ROUND(N(资金日记账!$H444),2))=0,"",IF(N(资金日记账!$H444)=0,"",ROUND(N(资金日记账!$H444),2))))</f>
        <v/>
      </c>
      <c r="P451" s="0" t="str">
        <f aca="false">IF($G451=0,"",IF(资金日记账!$L444=0,"",资金日记账!$L444))</f>
        <v/>
      </c>
      <c r="T451" s="0" t="str">
        <f aca="false">IF(资金日记账!$G451="","",资金日记账!$G451)</f>
        <v/>
      </c>
      <c r="U451" s="0" t="n">
        <f aca="false">IF(T451="",0,IF(MATCH(T451,$T$4:$T$903,0)=ROW()-3,1,0))</f>
        <v>0</v>
      </c>
      <c r="V451" s="0" t="n">
        <f aca="false">N(V450)+U451</f>
        <v>30</v>
      </c>
      <c r="AF451" s="0" t="str">
        <f aca="false">IF(OR(资金日记账!$E451="",N(资金日记账!$H451)=0),"",资金日记账!$E451)</f>
        <v/>
      </c>
      <c r="AG451" s="0" t="n">
        <f aca="false">IF(AF451="",0,IF(MATCH(AF451,$AF$4:$AF$603,0)=ROW()-3,1,0))</f>
        <v>0</v>
      </c>
      <c r="AH451" s="0" t="n">
        <f aca="false">N(AH450)+AG451</f>
        <v>5</v>
      </c>
    </row>
    <row r="452" customFormat="false" ht="13.5" hidden="false" customHeight="false" outlineLevel="0" collapsed="false">
      <c r="A452" s="0" t="str">
        <f aca="false">IF(资金日记账!$E150="","",资金日记账!$E150)</f>
        <v/>
      </c>
      <c r="B452" s="0" t="n">
        <f aca="false">IF(A452="",0,IF(MATCH(A452,$A$4:$A$1925,0)=ROW()-3,1,0))</f>
        <v>0</v>
      </c>
      <c r="C452" s="0" t="n">
        <f aca="false">N(C451)+B452</f>
        <v>11</v>
      </c>
      <c r="G452" s="0" t="n">
        <f aca="false">IF(OR($G$1="",资金日记账!$E445="",资金日记账!$E445&lt;&gt;$G$1),0,IF(NOT(OR(N(资金日记账!$H445)&lt;&gt;0,N(资金日记账!$I445)&lt;&gt;0)),0,IF(资金日记账!$B445="",1,IF(OR(N(资金日记账!$B445)&lt;$H$1,N(资金日记账!$B445)&gt;$I$1),0,1))))</f>
        <v>0</v>
      </c>
      <c r="H452" s="0" t="n">
        <f aca="false">N(H451)+$G452</f>
        <v>3</v>
      </c>
      <c r="I452" s="0" t="str">
        <f aca="false">IF($G452=0,"",IF(资金日记账!$B445=0,"",资金日记账!$B445))</f>
        <v/>
      </c>
      <c r="J452" s="0" t="str">
        <f aca="false">IF($G452=0,"",IF(资金日记账!$D445=0,"",资金日记账!$D445))</f>
        <v/>
      </c>
      <c r="K452" s="0" t="str">
        <f aca="false">IF($G452=0,"",IF(""=0,"",""))</f>
        <v/>
      </c>
      <c r="L452" s="0" t="str">
        <f aca="false">IF($G452=0,"",IF(""=0,"",""))</f>
        <v/>
      </c>
      <c r="M452" s="0" t="str">
        <f aca="false">IF($G452=0,"",IF(""=0,"",""))</f>
        <v/>
      </c>
      <c r="N452" s="0" t="str">
        <f aca="false">IF($G452=0,"",IF(IF(N(资金日记账!$I445)=0,"",-ROUND(N(资金日记账!$I445),2))=0,"",IF(N(资金日记账!$I445)=0,"",-ROUND(N(资金日记账!$I445),2))))</f>
        <v/>
      </c>
      <c r="O452" s="0" t="str">
        <f aca="false">IF($G452=0,"",IF(IF(N(资金日记账!$H445)=0,"",ROUND(N(资金日记账!$H445),2))=0,"",IF(N(资金日记账!$H445)=0,"",ROUND(N(资金日记账!$H445),2))))</f>
        <v/>
      </c>
      <c r="P452" s="0" t="str">
        <f aca="false">IF($G452=0,"",IF(资金日记账!$L445=0,"",资金日记账!$L445))</f>
        <v/>
      </c>
      <c r="T452" s="0" t="str">
        <f aca="false">IF(资金日记账!$G452="","",资金日记账!$G452)</f>
        <v/>
      </c>
      <c r="U452" s="0" t="n">
        <f aca="false">IF(T452="",0,IF(MATCH(T452,$T$4:$T$903,0)=ROW()-3,1,0))</f>
        <v>0</v>
      </c>
      <c r="V452" s="0" t="n">
        <f aca="false">N(V451)+U452</f>
        <v>30</v>
      </c>
      <c r="AF452" s="0" t="str">
        <f aca="false">IF(OR(资金日记账!$E452="",N(资金日记账!$H452)=0),"",资金日记账!$E452)</f>
        <v/>
      </c>
      <c r="AG452" s="0" t="n">
        <f aca="false">IF(AF452="",0,IF(MATCH(AF452,$AF$4:$AF$603,0)=ROW()-3,1,0))</f>
        <v>0</v>
      </c>
      <c r="AH452" s="0" t="n">
        <f aca="false">N(AH451)+AG452</f>
        <v>5</v>
      </c>
    </row>
    <row r="453" customFormat="false" ht="13.5" hidden="false" customHeight="false" outlineLevel="0" collapsed="false">
      <c r="A453" s="0" t="str">
        <f aca="false">IF(资金日记账!$E151="","",资金日记账!$E151)</f>
        <v/>
      </c>
      <c r="B453" s="0" t="n">
        <f aca="false">IF(A453="",0,IF(MATCH(A453,$A$4:$A$1925,0)=ROW()-3,1,0))</f>
        <v>0</v>
      </c>
      <c r="C453" s="0" t="n">
        <f aca="false">N(C452)+B453</f>
        <v>11</v>
      </c>
      <c r="G453" s="0" t="n">
        <f aca="false">IF(OR($G$1="",资金日记账!$E446="",资金日记账!$E446&lt;&gt;$G$1),0,IF(NOT(OR(N(资金日记账!$H446)&lt;&gt;0,N(资金日记账!$I446)&lt;&gt;0)),0,IF(资金日记账!$B446="",1,IF(OR(N(资金日记账!$B446)&lt;$H$1,N(资金日记账!$B446)&gt;$I$1),0,1))))</f>
        <v>0</v>
      </c>
      <c r="H453" s="0" t="n">
        <f aca="false">N(H452)+$G453</f>
        <v>3</v>
      </c>
      <c r="I453" s="0" t="str">
        <f aca="false">IF($G453=0,"",IF(资金日记账!$B446=0,"",资金日记账!$B446))</f>
        <v/>
      </c>
      <c r="J453" s="0" t="str">
        <f aca="false">IF($G453=0,"",IF(资金日记账!$D446=0,"",资金日记账!$D446))</f>
        <v/>
      </c>
      <c r="K453" s="0" t="str">
        <f aca="false">IF($G453=0,"",IF(""=0,"",""))</f>
        <v/>
      </c>
      <c r="L453" s="0" t="str">
        <f aca="false">IF($G453=0,"",IF(""=0,"",""))</f>
        <v/>
      </c>
      <c r="M453" s="0" t="str">
        <f aca="false">IF($G453=0,"",IF(""=0,"",""))</f>
        <v/>
      </c>
      <c r="N453" s="0" t="str">
        <f aca="false">IF($G453=0,"",IF(IF(N(资金日记账!$I446)=0,"",-ROUND(N(资金日记账!$I446),2))=0,"",IF(N(资金日记账!$I446)=0,"",-ROUND(N(资金日记账!$I446),2))))</f>
        <v/>
      </c>
      <c r="O453" s="0" t="str">
        <f aca="false">IF($G453=0,"",IF(IF(N(资金日记账!$H446)=0,"",ROUND(N(资金日记账!$H446),2))=0,"",IF(N(资金日记账!$H446)=0,"",ROUND(N(资金日记账!$H446),2))))</f>
        <v/>
      </c>
      <c r="P453" s="0" t="str">
        <f aca="false">IF($G453=0,"",IF(资金日记账!$L446=0,"",资金日记账!$L446))</f>
        <v/>
      </c>
      <c r="T453" s="0" t="str">
        <f aca="false">IF(资金日记账!$G453="","",资金日记账!$G453)</f>
        <v/>
      </c>
      <c r="U453" s="0" t="n">
        <f aca="false">IF(T453="",0,IF(MATCH(T453,$T$4:$T$903,0)=ROW()-3,1,0))</f>
        <v>0</v>
      </c>
      <c r="V453" s="0" t="n">
        <f aca="false">N(V452)+U453</f>
        <v>30</v>
      </c>
      <c r="AF453" s="0" t="str">
        <f aca="false">IF(OR(资金日记账!$E453="",N(资金日记账!$H453)=0),"",资金日记账!$E453)</f>
        <v/>
      </c>
      <c r="AG453" s="0" t="n">
        <f aca="false">IF(AF453="",0,IF(MATCH(AF453,$AF$4:$AF$603,0)=ROW()-3,1,0))</f>
        <v>0</v>
      </c>
      <c r="AH453" s="0" t="n">
        <f aca="false">N(AH452)+AG453</f>
        <v>5</v>
      </c>
    </row>
    <row r="454" customFormat="false" ht="13.5" hidden="false" customHeight="false" outlineLevel="0" collapsed="false">
      <c r="A454" s="0" t="str">
        <f aca="false">IF(资金日记账!$E152="","",资金日记账!$E152)</f>
        <v/>
      </c>
      <c r="B454" s="0" t="n">
        <f aca="false">IF(A454="",0,IF(MATCH(A454,$A$4:$A$1925,0)=ROW()-3,1,0))</f>
        <v>0</v>
      </c>
      <c r="C454" s="0" t="n">
        <f aca="false">N(C453)+B454</f>
        <v>11</v>
      </c>
      <c r="G454" s="0" t="n">
        <f aca="false">IF(OR($G$1="",资金日记账!$E447="",资金日记账!$E447&lt;&gt;$G$1),0,IF(NOT(OR(N(资金日记账!$H447)&lt;&gt;0,N(资金日记账!$I447)&lt;&gt;0)),0,IF(资金日记账!$B447="",1,IF(OR(N(资金日记账!$B447)&lt;$H$1,N(资金日记账!$B447)&gt;$I$1),0,1))))</f>
        <v>0</v>
      </c>
      <c r="H454" s="0" t="n">
        <f aca="false">N(H453)+$G454</f>
        <v>3</v>
      </c>
      <c r="I454" s="0" t="str">
        <f aca="false">IF($G454=0,"",IF(资金日记账!$B447=0,"",资金日记账!$B447))</f>
        <v/>
      </c>
      <c r="J454" s="0" t="str">
        <f aca="false">IF($G454=0,"",IF(资金日记账!$D447=0,"",资金日记账!$D447))</f>
        <v/>
      </c>
      <c r="K454" s="0" t="str">
        <f aca="false">IF($G454=0,"",IF(""=0,"",""))</f>
        <v/>
      </c>
      <c r="L454" s="0" t="str">
        <f aca="false">IF($G454=0,"",IF(""=0,"",""))</f>
        <v/>
      </c>
      <c r="M454" s="0" t="str">
        <f aca="false">IF($G454=0,"",IF(""=0,"",""))</f>
        <v/>
      </c>
      <c r="N454" s="0" t="str">
        <f aca="false">IF($G454=0,"",IF(IF(N(资金日记账!$I447)=0,"",-ROUND(N(资金日记账!$I447),2))=0,"",IF(N(资金日记账!$I447)=0,"",-ROUND(N(资金日记账!$I447),2))))</f>
        <v/>
      </c>
      <c r="O454" s="0" t="str">
        <f aca="false">IF($G454=0,"",IF(IF(N(资金日记账!$H447)=0,"",ROUND(N(资金日记账!$H447),2))=0,"",IF(N(资金日记账!$H447)=0,"",ROUND(N(资金日记账!$H447),2))))</f>
        <v/>
      </c>
      <c r="P454" s="0" t="str">
        <f aca="false">IF($G454=0,"",IF(资金日记账!$L447=0,"",资金日记账!$L447))</f>
        <v/>
      </c>
      <c r="T454" s="0" t="str">
        <f aca="false">IF(资金日记账!$G454="","",资金日记账!$G454)</f>
        <v/>
      </c>
      <c r="U454" s="0" t="n">
        <f aca="false">IF(T454="",0,IF(MATCH(T454,$T$4:$T$903,0)=ROW()-3,1,0))</f>
        <v>0</v>
      </c>
      <c r="V454" s="0" t="n">
        <f aca="false">N(V453)+U454</f>
        <v>30</v>
      </c>
      <c r="AF454" s="0" t="str">
        <f aca="false">IF(OR(资金日记账!$E454="",N(资金日记账!$H454)=0),"",资金日记账!$E454)</f>
        <v/>
      </c>
      <c r="AG454" s="0" t="n">
        <f aca="false">IF(AF454="",0,IF(MATCH(AF454,$AF$4:$AF$603,0)=ROW()-3,1,0))</f>
        <v>0</v>
      </c>
      <c r="AH454" s="0" t="n">
        <f aca="false">N(AH453)+AG454</f>
        <v>5</v>
      </c>
    </row>
    <row r="455" customFormat="false" ht="13.5" hidden="false" customHeight="false" outlineLevel="0" collapsed="false">
      <c r="A455" s="0" t="str">
        <f aca="false">IF(资金日记账!$E153="","",资金日记账!$E153)</f>
        <v/>
      </c>
      <c r="B455" s="0" t="n">
        <f aca="false">IF(A455="",0,IF(MATCH(A455,$A$4:$A$1925,0)=ROW()-3,1,0))</f>
        <v>0</v>
      </c>
      <c r="C455" s="0" t="n">
        <f aca="false">N(C454)+B455</f>
        <v>11</v>
      </c>
      <c r="G455" s="0" t="n">
        <f aca="false">IF(OR($G$1="",资金日记账!$E448="",资金日记账!$E448&lt;&gt;$G$1),0,IF(NOT(OR(N(资金日记账!$H448)&lt;&gt;0,N(资金日记账!$I448)&lt;&gt;0)),0,IF(资金日记账!$B448="",1,IF(OR(N(资金日记账!$B448)&lt;$H$1,N(资金日记账!$B448)&gt;$I$1),0,1))))</f>
        <v>0</v>
      </c>
      <c r="H455" s="0" t="n">
        <f aca="false">N(H454)+$G455</f>
        <v>3</v>
      </c>
      <c r="I455" s="0" t="str">
        <f aca="false">IF($G455=0,"",IF(资金日记账!$B448=0,"",资金日记账!$B448))</f>
        <v/>
      </c>
      <c r="J455" s="0" t="str">
        <f aca="false">IF($G455=0,"",IF(资金日记账!$D448=0,"",资金日记账!$D448))</f>
        <v/>
      </c>
      <c r="K455" s="0" t="str">
        <f aca="false">IF($G455=0,"",IF(""=0,"",""))</f>
        <v/>
      </c>
      <c r="L455" s="0" t="str">
        <f aca="false">IF($G455=0,"",IF(""=0,"",""))</f>
        <v/>
      </c>
      <c r="M455" s="0" t="str">
        <f aca="false">IF($G455=0,"",IF(""=0,"",""))</f>
        <v/>
      </c>
      <c r="N455" s="0" t="str">
        <f aca="false">IF($G455=0,"",IF(IF(N(资金日记账!$I448)=0,"",-ROUND(N(资金日记账!$I448),2))=0,"",IF(N(资金日记账!$I448)=0,"",-ROUND(N(资金日记账!$I448),2))))</f>
        <v/>
      </c>
      <c r="O455" s="0" t="str">
        <f aca="false">IF($G455=0,"",IF(IF(N(资金日记账!$H448)=0,"",ROUND(N(资金日记账!$H448),2))=0,"",IF(N(资金日记账!$H448)=0,"",ROUND(N(资金日记账!$H448),2))))</f>
        <v/>
      </c>
      <c r="P455" s="0" t="str">
        <f aca="false">IF($G455=0,"",IF(资金日记账!$L448=0,"",资金日记账!$L448))</f>
        <v/>
      </c>
      <c r="T455" s="0" t="str">
        <f aca="false">IF(资金日记账!$G455="","",资金日记账!$G455)</f>
        <v/>
      </c>
      <c r="U455" s="0" t="n">
        <f aca="false">IF(T455="",0,IF(MATCH(T455,$T$4:$T$903,0)=ROW()-3,1,0))</f>
        <v>0</v>
      </c>
      <c r="V455" s="0" t="n">
        <f aca="false">N(V454)+U455</f>
        <v>30</v>
      </c>
      <c r="AF455" s="0" t="str">
        <f aca="false">IF(OR(资金日记账!$E455="",N(资金日记账!$H455)=0),"",资金日记账!$E455)</f>
        <v/>
      </c>
      <c r="AG455" s="0" t="n">
        <f aca="false">IF(AF455="",0,IF(MATCH(AF455,$AF$4:$AF$603,0)=ROW()-3,1,0))</f>
        <v>0</v>
      </c>
      <c r="AH455" s="0" t="n">
        <f aca="false">N(AH454)+AG455</f>
        <v>5</v>
      </c>
    </row>
    <row r="456" customFormat="false" ht="13.5" hidden="false" customHeight="false" outlineLevel="0" collapsed="false">
      <c r="A456" s="0" t="str">
        <f aca="false">IF(资金日记账!$E154="","",资金日记账!$E154)</f>
        <v/>
      </c>
      <c r="B456" s="0" t="n">
        <f aca="false">IF(A456="",0,IF(MATCH(A456,$A$4:$A$1925,0)=ROW()-3,1,0))</f>
        <v>0</v>
      </c>
      <c r="C456" s="0" t="n">
        <f aca="false">N(C455)+B456</f>
        <v>11</v>
      </c>
      <c r="G456" s="0" t="n">
        <f aca="false">IF(OR($G$1="",资金日记账!$E449="",资金日记账!$E449&lt;&gt;$G$1),0,IF(NOT(OR(N(资金日记账!$H449)&lt;&gt;0,N(资金日记账!$I449)&lt;&gt;0)),0,IF(资金日记账!$B449="",1,IF(OR(N(资金日记账!$B449)&lt;$H$1,N(资金日记账!$B449)&gt;$I$1),0,1))))</f>
        <v>0</v>
      </c>
      <c r="H456" s="0" t="n">
        <f aca="false">N(H455)+$G456</f>
        <v>3</v>
      </c>
      <c r="I456" s="0" t="str">
        <f aca="false">IF($G456=0,"",IF(资金日记账!$B449=0,"",资金日记账!$B449))</f>
        <v/>
      </c>
      <c r="J456" s="0" t="str">
        <f aca="false">IF($G456=0,"",IF(资金日记账!$D449=0,"",资金日记账!$D449))</f>
        <v/>
      </c>
      <c r="K456" s="0" t="str">
        <f aca="false">IF($G456=0,"",IF(""=0,"",""))</f>
        <v/>
      </c>
      <c r="L456" s="0" t="str">
        <f aca="false">IF($G456=0,"",IF(""=0,"",""))</f>
        <v/>
      </c>
      <c r="M456" s="0" t="str">
        <f aca="false">IF($G456=0,"",IF(""=0,"",""))</f>
        <v/>
      </c>
      <c r="N456" s="0" t="str">
        <f aca="false">IF($G456=0,"",IF(IF(N(资金日记账!$I449)=0,"",-ROUND(N(资金日记账!$I449),2))=0,"",IF(N(资金日记账!$I449)=0,"",-ROUND(N(资金日记账!$I449),2))))</f>
        <v/>
      </c>
      <c r="O456" s="0" t="str">
        <f aca="false">IF($G456=0,"",IF(IF(N(资金日记账!$H449)=0,"",ROUND(N(资金日记账!$H449),2))=0,"",IF(N(资金日记账!$H449)=0,"",ROUND(N(资金日记账!$H449),2))))</f>
        <v/>
      </c>
      <c r="P456" s="0" t="str">
        <f aca="false">IF($G456=0,"",IF(资金日记账!$L449=0,"",资金日记账!$L449))</f>
        <v/>
      </c>
      <c r="T456" s="0" t="str">
        <f aca="false">IF(资金日记账!$G456="","",资金日记账!$G456)</f>
        <v/>
      </c>
      <c r="U456" s="0" t="n">
        <f aca="false">IF(T456="",0,IF(MATCH(T456,$T$4:$T$903,0)=ROW()-3,1,0))</f>
        <v>0</v>
      </c>
      <c r="V456" s="0" t="n">
        <f aca="false">N(V455)+U456</f>
        <v>30</v>
      </c>
      <c r="AF456" s="0" t="str">
        <f aca="false">IF(OR(资金日记账!$E456="",N(资金日记账!$H456)=0),"",资金日记账!$E456)</f>
        <v/>
      </c>
      <c r="AG456" s="0" t="n">
        <f aca="false">IF(AF456="",0,IF(MATCH(AF456,$AF$4:$AF$603,0)=ROW()-3,1,0))</f>
        <v>0</v>
      </c>
      <c r="AH456" s="0" t="n">
        <f aca="false">N(AH455)+AG456</f>
        <v>5</v>
      </c>
    </row>
    <row r="457" customFormat="false" ht="13.5" hidden="false" customHeight="false" outlineLevel="0" collapsed="false">
      <c r="A457" s="0" t="str">
        <f aca="false">IF(资金日记账!$E155="","",资金日记账!$E155)</f>
        <v/>
      </c>
      <c r="B457" s="0" t="n">
        <f aca="false">IF(A457="",0,IF(MATCH(A457,$A$4:$A$1925,0)=ROW()-3,1,0))</f>
        <v>0</v>
      </c>
      <c r="C457" s="0" t="n">
        <f aca="false">N(C456)+B457</f>
        <v>11</v>
      </c>
      <c r="G457" s="0" t="n">
        <f aca="false">IF(OR($G$1="",资金日记账!$E450="",资金日记账!$E450&lt;&gt;$G$1),0,IF(NOT(OR(N(资金日记账!$H450)&lt;&gt;0,N(资金日记账!$I450)&lt;&gt;0)),0,IF(资金日记账!$B450="",1,IF(OR(N(资金日记账!$B450)&lt;$H$1,N(资金日记账!$B450)&gt;$I$1),0,1))))</f>
        <v>0</v>
      </c>
      <c r="H457" s="0" t="n">
        <f aca="false">N(H456)+$G457</f>
        <v>3</v>
      </c>
      <c r="I457" s="0" t="str">
        <f aca="false">IF($G457=0,"",IF(资金日记账!$B450=0,"",资金日记账!$B450))</f>
        <v/>
      </c>
      <c r="J457" s="0" t="str">
        <f aca="false">IF($G457=0,"",IF(资金日记账!$D450=0,"",资金日记账!$D450))</f>
        <v/>
      </c>
      <c r="K457" s="0" t="str">
        <f aca="false">IF($G457=0,"",IF(""=0,"",""))</f>
        <v/>
      </c>
      <c r="L457" s="0" t="str">
        <f aca="false">IF($G457=0,"",IF(""=0,"",""))</f>
        <v/>
      </c>
      <c r="M457" s="0" t="str">
        <f aca="false">IF($G457=0,"",IF(""=0,"",""))</f>
        <v/>
      </c>
      <c r="N457" s="0" t="str">
        <f aca="false">IF($G457=0,"",IF(IF(N(资金日记账!$I450)=0,"",-ROUND(N(资金日记账!$I450),2))=0,"",IF(N(资金日记账!$I450)=0,"",-ROUND(N(资金日记账!$I450),2))))</f>
        <v/>
      </c>
      <c r="O457" s="0" t="str">
        <f aca="false">IF($G457=0,"",IF(IF(N(资金日记账!$H450)=0,"",ROUND(N(资金日记账!$H450),2))=0,"",IF(N(资金日记账!$H450)=0,"",ROUND(N(资金日记账!$H450),2))))</f>
        <v/>
      </c>
      <c r="P457" s="0" t="str">
        <f aca="false">IF($G457=0,"",IF(资金日记账!$L450=0,"",资金日记账!$L450))</f>
        <v/>
      </c>
      <c r="T457" s="0" t="str">
        <f aca="false">IF(资金日记账!$G457="","",资金日记账!$G457)</f>
        <v/>
      </c>
      <c r="U457" s="0" t="n">
        <f aca="false">IF(T457="",0,IF(MATCH(T457,$T$4:$T$903,0)=ROW()-3,1,0))</f>
        <v>0</v>
      </c>
      <c r="V457" s="0" t="n">
        <f aca="false">N(V456)+U457</f>
        <v>30</v>
      </c>
      <c r="AF457" s="0" t="str">
        <f aca="false">IF(OR(资金日记账!$E457="",N(资金日记账!$H457)=0),"",资金日记账!$E457)</f>
        <v/>
      </c>
      <c r="AG457" s="0" t="n">
        <f aca="false">IF(AF457="",0,IF(MATCH(AF457,$AF$4:$AF$603,0)=ROW()-3,1,0))</f>
        <v>0</v>
      </c>
      <c r="AH457" s="0" t="n">
        <f aca="false">N(AH456)+AG457</f>
        <v>5</v>
      </c>
    </row>
    <row r="458" customFormat="false" ht="13.5" hidden="false" customHeight="false" outlineLevel="0" collapsed="false">
      <c r="A458" s="0" t="str">
        <f aca="false">IF(资金日记账!$E156="","",资金日记账!$E156)</f>
        <v/>
      </c>
      <c r="B458" s="0" t="n">
        <f aca="false">IF(A458="",0,IF(MATCH(A458,$A$4:$A$1925,0)=ROW()-3,1,0))</f>
        <v>0</v>
      </c>
      <c r="C458" s="0" t="n">
        <f aca="false">N(C457)+B458</f>
        <v>11</v>
      </c>
      <c r="G458" s="0" t="n">
        <f aca="false">IF(OR($G$1="",资金日记账!$E451="",资金日记账!$E451&lt;&gt;$G$1),0,IF(NOT(OR(N(资金日记账!$H451)&lt;&gt;0,N(资金日记账!$I451)&lt;&gt;0)),0,IF(资金日记账!$B451="",1,IF(OR(N(资金日记账!$B451)&lt;$H$1,N(资金日记账!$B451)&gt;$I$1),0,1))))</f>
        <v>0</v>
      </c>
      <c r="H458" s="0" t="n">
        <f aca="false">N(H457)+$G458</f>
        <v>3</v>
      </c>
      <c r="I458" s="0" t="str">
        <f aca="false">IF($G458=0,"",IF(资金日记账!$B451=0,"",资金日记账!$B451))</f>
        <v/>
      </c>
      <c r="J458" s="0" t="str">
        <f aca="false">IF($G458=0,"",IF(资金日记账!$D451=0,"",资金日记账!$D451))</f>
        <v/>
      </c>
      <c r="K458" s="0" t="str">
        <f aca="false">IF($G458=0,"",IF(""=0,"",""))</f>
        <v/>
      </c>
      <c r="L458" s="0" t="str">
        <f aca="false">IF($G458=0,"",IF(""=0,"",""))</f>
        <v/>
      </c>
      <c r="M458" s="0" t="str">
        <f aca="false">IF($G458=0,"",IF(""=0,"",""))</f>
        <v/>
      </c>
      <c r="N458" s="0" t="str">
        <f aca="false">IF($G458=0,"",IF(IF(N(资金日记账!$I451)=0,"",-ROUND(N(资金日记账!$I451),2))=0,"",IF(N(资金日记账!$I451)=0,"",-ROUND(N(资金日记账!$I451),2))))</f>
        <v/>
      </c>
      <c r="O458" s="0" t="str">
        <f aca="false">IF($G458=0,"",IF(IF(N(资金日记账!$H451)=0,"",ROUND(N(资金日记账!$H451),2))=0,"",IF(N(资金日记账!$H451)=0,"",ROUND(N(资金日记账!$H451),2))))</f>
        <v/>
      </c>
      <c r="P458" s="0" t="str">
        <f aca="false">IF($G458=0,"",IF(资金日记账!$L451=0,"",资金日记账!$L451))</f>
        <v/>
      </c>
      <c r="T458" s="0" t="str">
        <f aca="false">IF(资金日记账!$G458="","",资金日记账!$G458)</f>
        <v/>
      </c>
      <c r="U458" s="0" t="n">
        <f aca="false">IF(T458="",0,IF(MATCH(T458,$T$4:$T$903,0)=ROW()-3,1,0))</f>
        <v>0</v>
      </c>
      <c r="V458" s="0" t="n">
        <f aca="false">N(V457)+U458</f>
        <v>30</v>
      </c>
      <c r="AF458" s="0" t="str">
        <f aca="false">IF(OR(资金日记账!$E458="",N(资金日记账!$H458)=0),"",资金日记账!$E458)</f>
        <v/>
      </c>
      <c r="AG458" s="0" t="n">
        <f aca="false">IF(AF458="",0,IF(MATCH(AF458,$AF$4:$AF$603,0)=ROW()-3,1,0))</f>
        <v>0</v>
      </c>
      <c r="AH458" s="0" t="n">
        <f aca="false">N(AH457)+AG458</f>
        <v>5</v>
      </c>
    </row>
    <row r="459" customFormat="false" ht="13.5" hidden="false" customHeight="false" outlineLevel="0" collapsed="false">
      <c r="A459" s="0" t="str">
        <f aca="false">IF(资金日记账!$E157="","",资金日记账!$E157)</f>
        <v/>
      </c>
      <c r="B459" s="0" t="n">
        <f aca="false">IF(A459="",0,IF(MATCH(A459,$A$4:$A$1925,0)=ROW()-3,1,0))</f>
        <v>0</v>
      </c>
      <c r="C459" s="0" t="n">
        <f aca="false">N(C458)+B459</f>
        <v>11</v>
      </c>
      <c r="G459" s="0" t="n">
        <f aca="false">IF(OR($G$1="",资金日记账!$E452="",资金日记账!$E452&lt;&gt;$G$1),0,IF(NOT(OR(N(资金日记账!$H452)&lt;&gt;0,N(资金日记账!$I452)&lt;&gt;0)),0,IF(资金日记账!$B452="",1,IF(OR(N(资金日记账!$B452)&lt;$H$1,N(资金日记账!$B452)&gt;$I$1),0,1))))</f>
        <v>0</v>
      </c>
      <c r="H459" s="0" t="n">
        <f aca="false">N(H458)+$G459</f>
        <v>3</v>
      </c>
      <c r="I459" s="0" t="str">
        <f aca="false">IF($G459=0,"",IF(资金日记账!$B452=0,"",资金日记账!$B452))</f>
        <v/>
      </c>
      <c r="J459" s="0" t="str">
        <f aca="false">IF($G459=0,"",IF(资金日记账!$D452=0,"",资金日记账!$D452))</f>
        <v/>
      </c>
      <c r="K459" s="0" t="str">
        <f aca="false">IF($G459=0,"",IF(""=0,"",""))</f>
        <v/>
      </c>
      <c r="L459" s="0" t="str">
        <f aca="false">IF($G459=0,"",IF(""=0,"",""))</f>
        <v/>
      </c>
      <c r="M459" s="0" t="str">
        <f aca="false">IF($G459=0,"",IF(""=0,"",""))</f>
        <v/>
      </c>
      <c r="N459" s="0" t="str">
        <f aca="false">IF($G459=0,"",IF(IF(N(资金日记账!$I452)=0,"",-ROUND(N(资金日记账!$I452),2))=0,"",IF(N(资金日记账!$I452)=0,"",-ROUND(N(资金日记账!$I452),2))))</f>
        <v/>
      </c>
      <c r="O459" s="0" t="str">
        <f aca="false">IF($G459=0,"",IF(IF(N(资金日记账!$H452)=0,"",ROUND(N(资金日记账!$H452),2))=0,"",IF(N(资金日记账!$H452)=0,"",ROUND(N(资金日记账!$H452),2))))</f>
        <v/>
      </c>
      <c r="P459" s="0" t="str">
        <f aca="false">IF($G459=0,"",IF(资金日记账!$L452=0,"",资金日记账!$L452))</f>
        <v/>
      </c>
      <c r="T459" s="0" t="str">
        <f aca="false">IF(资金日记账!$G459="","",资金日记账!$G459)</f>
        <v/>
      </c>
      <c r="U459" s="0" t="n">
        <f aca="false">IF(T459="",0,IF(MATCH(T459,$T$4:$T$903,0)=ROW()-3,1,0))</f>
        <v>0</v>
      </c>
      <c r="V459" s="0" t="n">
        <f aca="false">N(V458)+U459</f>
        <v>30</v>
      </c>
      <c r="AF459" s="0" t="str">
        <f aca="false">IF(OR(资金日记账!$E459="",N(资金日记账!$H459)=0),"",资金日记账!$E459)</f>
        <v/>
      </c>
      <c r="AG459" s="0" t="n">
        <f aca="false">IF(AF459="",0,IF(MATCH(AF459,$AF$4:$AF$603,0)=ROW()-3,1,0))</f>
        <v>0</v>
      </c>
      <c r="AH459" s="0" t="n">
        <f aca="false">N(AH458)+AG459</f>
        <v>5</v>
      </c>
    </row>
    <row r="460" customFormat="false" ht="13.5" hidden="false" customHeight="false" outlineLevel="0" collapsed="false">
      <c r="A460" s="0" t="str">
        <f aca="false">IF(资金日记账!$E158="","",资金日记账!$E158)</f>
        <v/>
      </c>
      <c r="B460" s="0" t="n">
        <f aca="false">IF(A460="",0,IF(MATCH(A460,$A$4:$A$1925,0)=ROW()-3,1,0))</f>
        <v>0</v>
      </c>
      <c r="C460" s="0" t="n">
        <f aca="false">N(C459)+B460</f>
        <v>11</v>
      </c>
      <c r="G460" s="0" t="n">
        <f aca="false">IF(OR($G$1="",资金日记账!$E453="",资金日记账!$E453&lt;&gt;$G$1),0,IF(NOT(OR(N(资金日记账!$H453)&lt;&gt;0,N(资金日记账!$I453)&lt;&gt;0)),0,IF(资金日记账!$B453="",1,IF(OR(N(资金日记账!$B453)&lt;$H$1,N(资金日记账!$B453)&gt;$I$1),0,1))))</f>
        <v>0</v>
      </c>
      <c r="H460" s="0" t="n">
        <f aca="false">N(H459)+$G460</f>
        <v>3</v>
      </c>
      <c r="I460" s="0" t="str">
        <f aca="false">IF($G460=0,"",IF(资金日记账!$B453=0,"",资金日记账!$B453))</f>
        <v/>
      </c>
      <c r="J460" s="0" t="str">
        <f aca="false">IF($G460=0,"",IF(资金日记账!$D453=0,"",资金日记账!$D453))</f>
        <v/>
      </c>
      <c r="K460" s="0" t="str">
        <f aca="false">IF($G460=0,"",IF(""=0,"",""))</f>
        <v/>
      </c>
      <c r="L460" s="0" t="str">
        <f aca="false">IF($G460=0,"",IF(""=0,"",""))</f>
        <v/>
      </c>
      <c r="M460" s="0" t="str">
        <f aca="false">IF($G460=0,"",IF(""=0,"",""))</f>
        <v/>
      </c>
      <c r="N460" s="0" t="str">
        <f aca="false">IF($G460=0,"",IF(IF(N(资金日记账!$I453)=0,"",-ROUND(N(资金日记账!$I453),2))=0,"",IF(N(资金日记账!$I453)=0,"",-ROUND(N(资金日记账!$I453),2))))</f>
        <v/>
      </c>
      <c r="O460" s="0" t="str">
        <f aca="false">IF($G460=0,"",IF(IF(N(资金日记账!$H453)=0,"",ROUND(N(资金日记账!$H453),2))=0,"",IF(N(资金日记账!$H453)=0,"",ROUND(N(资金日记账!$H453),2))))</f>
        <v/>
      </c>
      <c r="P460" s="0" t="str">
        <f aca="false">IF($G460=0,"",IF(资金日记账!$L453=0,"",资金日记账!$L453))</f>
        <v/>
      </c>
      <c r="T460" s="0" t="str">
        <f aca="false">IF(资金日记账!$G460="","",资金日记账!$G460)</f>
        <v/>
      </c>
      <c r="U460" s="0" t="n">
        <f aca="false">IF(T460="",0,IF(MATCH(T460,$T$4:$T$903,0)=ROW()-3,1,0))</f>
        <v>0</v>
      </c>
      <c r="V460" s="0" t="n">
        <f aca="false">N(V459)+U460</f>
        <v>30</v>
      </c>
      <c r="AF460" s="0" t="str">
        <f aca="false">IF(OR(资金日记账!$E460="",N(资金日记账!$H460)=0),"",资金日记账!$E460)</f>
        <v/>
      </c>
      <c r="AG460" s="0" t="n">
        <f aca="false">IF(AF460="",0,IF(MATCH(AF460,$AF$4:$AF$603,0)=ROW()-3,1,0))</f>
        <v>0</v>
      </c>
      <c r="AH460" s="0" t="n">
        <f aca="false">N(AH459)+AG460</f>
        <v>5</v>
      </c>
    </row>
    <row r="461" customFormat="false" ht="13.5" hidden="false" customHeight="false" outlineLevel="0" collapsed="false">
      <c r="A461" s="0" t="str">
        <f aca="false">IF(资金日记账!$E159="","",资金日记账!$E159)</f>
        <v/>
      </c>
      <c r="B461" s="0" t="n">
        <f aca="false">IF(A461="",0,IF(MATCH(A461,$A$4:$A$1925,0)=ROW()-3,1,0))</f>
        <v>0</v>
      </c>
      <c r="C461" s="0" t="n">
        <f aca="false">N(C460)+B461</f>
        <v>11</v>
      </c>
      <c r="G461" s="0" t="n">
        <f aca="false">IF(OR($G$1="",资金日记账!$E454="",资金日记账!$E454&lt;&gt;$G$1),0,IF(NOT(OR(N(资金日记账!$H454)&lt;&gt;0,N(资金日记账!$I454)&lt;&gt;0)),0,IF(资金日记账!$B454="",1,IF(OR(N(资金日记账!$B454)&lt;$H$1,N(资金日记账!$B454)&gt;$I$1),0,1))))</f>
        <v>0</v>
      </c>
      <c r="H461" s="0" t="n">
        <f aca="false">N(H460)+$G461</f>
        <v>3</v>
      </c>
      <c r="I461" s="0" t="str">
        <f aca="false">IF($G461=0,"",IF(资金日记账!$B454=0,"",资金日记账!$B454))</f>
        <v/>
      </c>
      <c r="J461" s="0" t="str">
        <f aca="false">IF($G461=0,"",IF(资金日记账!$D454=0,"",资金日记账!$D454))</f>
        <v/>
      </c>
      <c r="K461" s="0" t="str">
        <f aca="false">IF($G461=0,"",IF(""=0,"",""))</f>
        <v/>
      </c>
      <c r="L461" s="0" t="str">
        <f aca="false">IF($G461=0,"",IF(""=0,"",""))</f>
        <v/>
      </c>
      <c r="M461" s="0" t="str">
        <f aca="false">IF($G461=0,"",IF(""=0,"",""))</f>
        <v/>
      </c>
      <c r="N461" s="0" t="str">
        <f aca="false">IF($G461=0,"",IF(IF(N(资金日记账!$I454)=0,"",-ROUND(N(资金日记账!$I454),2))=0,"",IF(N(资金日记账!$I454)=0,"",-ROUND(N(资金日记账!$I454),2))))</f>
        <v/>
      </c>
      <c r="O461" s="0" t="str">
        <f aca="false">IF($G461=0,"",IF(IF(N(资金日记账!$H454)=0,"",ROUND(N(资金日记账!$H454),2))=0,"",IF(N(资金日记账!$H454)=0,"",ROUND(N(资金日记账!$H454),2))))</f>
        <v/>
      </c>
      <c r="P461" s="0" t="str">
        <f aca="false">IF($G461=0,"",IF(资金日记账!$L454=0,"",资金日记账!$L454))</f>
        <v/>
      </c>
      <c r="T461" s="0" t="str">
        <f aca="false">IF(资金日记账!$G461="","",资金日记账!$G461)</f>
        <v/>
      </c>
      <c r="U461" s="0" t="n">
        <f aca="false">IF(T461="",0,IF(MATCH(T461,$T$4:$T$903,0)=ROW()-3,1,0))</f>
        <v>0</v>
      </c>
      <c r="V461" s="0" t="n">
        <f aca="false">N(V460)+U461</f>
        <v>30</v>
      </c>
      <c r="AF461" s="0" t="str">
        <f aca="false">IF(OR(资金日记账!$E461="",N(资金日记账!$H461)=0),"",资金日记账!$E461)</f>
        <v/>
      </c>
      <c r="AG461" s="0" t="n">
        <f aca="false">IF(AF461="",0,IF(MATCH(AF461,$AF$4:$AF$603,0)=ROW()-3,1,0))</f>
        <v>0</v>
      </c>
      <c r="AH461" s="0" t="n">
        <f aca="false">N(AH460)+AG461</f>
        <v>5</v>
      </c>
    </row>
    <row r="462" customFormat="false" ht="13.5" hidden="false" customHeight="false" outlineLevel="0" collapsed="false">
      <c r="A462" s="0" t="str">
        <f aca="false">IF(资金日记账!$E160="","",资金日记账!$E160)</f>
        <v/>
      </c>
      <c r="B462" s="0" t="n">
        <f aca="false">IF(A462="",0,IF(MATCH(A462,$A$4:$A$1925,0)=ROW()-3,1,0))</f>
        <v>0</v>
      </c>
      <c r="C462" s="0" t="n">
        <f aca="false">N(C461)+B462</f>
        <v>11</v>
      </c>
      <c r="G462" s="0" t="n">
        <f aca="false">IF(OR($G$1="",资金日记账!$E455="",资金日记账!$E455&lt;&gt;$G$1),0,IF(NOT(OR(N(资金日记账!$H455)&lt;&gt;0,N(资金日记账!$I455)&lt;&gt;0)),0,IF(资金日记账!$B455="",1,IF(OR(N(资金日记账!$B455)&lt;$H$1,N(资金日记账!$B455)&gt;$I$1),0,1))))</f>
        <v>0</v>
      </c>
      <c r="H462" s="0" t="n">
        <f aca="false">N(H461)+$G462</f>
        <v>3</v>
      </c>
      <c r="I462" s="0" t="str">
        <f aca="false">IF($G462=0,"",IF(资金日记账!$B455=0,"",资金日记账!$B455))</f>
        <v/>
      </c>
      <c r="J462" s="0" t="str">
        <f aca="false">IF($G462=0,"",IF(资金日记账!$D455=0,"",资金日记账!$D455))</f>
        <v/>
      </c>
      <c r="K462" s="0" t="str">
        <f aca="false">IF($G462=0,"",IF(""=0,"",""))</f>
        <v/>
      </c>
      <c r="L462" s="0" t="str">
        <f aca="false">IF($G462=0,"",IF(""=0,"",""))</f>
        <v/>
      </c>
      <c r="M462" s="0" t="str">
        <f aca="false">IF($G462=0,"",IF(""=0,"",""))</f>
        <v/>
      </c>
      <c r="N462" s="0" t="str">
        <f aca="false">IF($G462=0,"",IF(IF(N(资金日记账!$I455)=0,"",-ROUND(N(资金日记账!$I455),2))=0,"",IF(N(资金日记账!$I455)=0,"",-ROUND(N(资金日记账!$I455),2))))</f>
        <v/>
      </c>
      <c r="O462" s="0" t="str">
        <f aca="false">IF($G462=0,"",IF(IF(N(资金日记账!$H455)=0,"",ROUND(N(资金日记账!$H455),2))=0,"",IF(N(资金日记账!$H455)=0,"",ROUND(N(资金日记账!$H455),2))))</f>
        <v/>
      </c>
      <c r="P462" s="0" t="str">
        <f aca="false">IF($G462=0,"",IF(资金日记账!$L455=0,"",资金日记账!$L455))</f>
        <v/>
      </c>
      <c r="T462" s="0" t="str">
        <f aca="false">IF(资金日记账!$G462="","",资金日记账!$G462)</f>
        <v/>
      </c>
      <c r="U462" s="0" t="n">
        <f aca="false">IF(T462="",0,IF(MATCH(T462,$T$4:$T$903,0)=ROW()-3,1,0))</f>
        <v>0</v>
      </c>
      <c r="V462" s="0" t="n">
        <f aca="false">N(V461)+U462</f>
        <v>30</v>
      </c>
      <c r="AF462" s="0" t="str">
        <f aca="false">IF(OR(资金日记账!$E462="",N(资金日记账!$H462)=0),"",资金日记账!$E462)</f>
        <v/>
      </c>
      <c r="AG462" s="0" t="n">
        <f aca="false">IF(AF462="",0,IF(MATCH(AF462,$AF$4:$AF$603,0)=ROW()-3,1,0))</f>
        <v>0</v>
      </c>
      <c r="AH462" s="0" t="n">
        <f aca="false">N(AH461)+AG462</f>
        <v>5</v>
      </c>
    </row>
    <row r="463" customFormat="false" ht="13.5" hidden="false" customHeight="false" outlineLevel="0" collapsed="false">
      <c r="A463" s="0" t="str">
        <f aca="false">IF(资金日记账!$E161="","",资金日记账!$E161)</f>
        <v/>
      </c>
      <c r="B463" s="0" t="n">
        <f aca="false">IF(A463="",0,IF(MATCH(A463,$A$4:$A$1925,0)=ROW()-3,1,0))</f>
        <v>0</v>
      </c>
      <c r="C463" s="0" t="n">
        <f aca="false">N(C462)+B463</f>
        <v>11</v>
      </c>
      <c r="G463" s="0" t="n">
        <f aca="false">IF(OR($G$1="",资金日记账!$E456="",资金日记账!$E456&lt;&gt;$G$1),0,IF(NOT(OR(N(资金日记账!$H456)&lt;&gt;0,N(资金日记账!$I456)&lt;&gt;0)),0,IF(资金日记账!$B456="",1,IF(OR(N(资金日记账!$B456)&lt;$H$1,N(资金日记账!$B456)&gt;$I$1),0,1))))</f>
        <v>0</v>
      </c>
      <c r="H463" s="0" t="n">
        <f aca="false">N(H462)+$G463</f>
        <v>3</v>
      </c>
      <c r="I463" s="0" t="str">
        <f aca="false">IF($G463=0,"",IF(资金日记账!$B456=0,"",资金日记账!$B456))</f>
        <v/>
      </c>
      <c r="J463" s="0" t="str">
        <f aca="false">IF($G463=0,"",IF(资金日记账!$D456=0,"",资金日记账!$D456))</f>
        <v/>
      </c>
      <c r="K463" s="0" t="str">
        <f aca="false">IF($G463=0,"",IF(""=0,"",""))</f>
        <v/>
      </c>
      <c r="L463" s="0" t="str">
        <f aca="false">IF($G463=0,"",IF(""=0,"",""))</f>
        <v/>
      </c>
      <c r="M463" s="0" t="str">
        <f aca="false">IF($G463=0,"",IF(""=0,"",""))</f>
        <v/>
      </c>
      <c r="N463" s="0" t="str">
        <f aca="false">IF($G463=0,"",IF(IF(N(资金日记账!$I456)=0,"",-ROUND(N(资金日记账!$I456),2))=0,"",IF(N(资金日记账!$I456)=0,"",-ROUND(N(资金日记账!$I456),2))))</f>
        <v/>
      </c>
      <c r="O463" s="0" t="str">
        <f aca="false">IF($G463=0,"",IF(IF(N(资金日记账!$H456)=0,"",ROUND(N(资金日记账!$H456),2))=0,"",IF(N(资金日记账!$H456)=0,"",ROUND(N(资金日记账!$H456),2))))</f>
        <v/>
      </c>
      <c r="P463" s="0" t="str">
        <f aca="false">IF($G463=0,"",IF(资金日记账!$L456=0,"",资金日记账!$L456))</f>
        <v/>
      </c>
      <c r="T463" s="0" t="str">
        <f aca="false">IF(资金日记账!$G463="","",资金日记账!$G463)</f>
        <v/>
      </c>
      <c r="U463" s="0" t="n">
        <f aca="false">IF(T463="",0,IF(MATCH(T463,$T$4:$T$903,0)=ROW()-3,1,0))</f>
        <v>0</v>
      </c>
      <c r="V463" s="0" t="n">
        <f aca="false">N(V462)+U463</f>
        <v>30</v>
      </c>
      <c r="AF463" s="0" t="str">
        <f aca="false">IF(OR(资金日记账!$E463="",N(资金日记账!$H463)=0),"",资金日记账!$E463)</f>
        <v/>
      </c>
      <c r="AG463" s="0" t="n">
        <f aca="false">IF(AF463="",0,IF(MATCH(AF463,$AF$4:$AF$603,0)=ROW()-3,1,0))</f>
        <v>0</v>
      </c>
      <c r="AH463" s="0" t="n">
        <f aca="false">N(AH462)+AG463</f>
        <v>5</v>
      </c>
    </row>
    <row r="464" customFormat="false" ht="13.5" hidden="false" customHeight="false" outlineLevel="0" collapsed="false">
      <c r="A464" s="0" t="str">
        <f aca="false">IF(资金日记账!$E162="","",资金日记账!$E162)</f>
        <v/>
      </c>
      <c r="B464" s="0" t="n">
        <f aca="false">IF(A464="",0,IF(MATCH(A464,$A$4:$A$1925,0)=ROW()-3,1,0))</f>
        <v>0</v>
      </c>
      <c r="C464" s="0" t="n">
        <f aca="false">N(C463)+B464</f>
        <v>11</v>
      </c>
      <c r="G464" s="0" t="n">
        <f aca="false">IF(OR($G$1="",资金日记账!$E457="",资金日记账!$E457&lt;&gt;$G$1),0,IF(NOT(OR(N(资金日记账!$H457)&lt;&gt;0,N(资金日记账!$I457)&lt;&gt;0)),0,IF(资金日记账!$B457="",1,IF(OR(N(资金日记账!$B457)&lt;$H$1,N(资金日记账!$B457)&gt;$I$1),0,1))))</f>
        <v>0</v>
      </c>
      <c r="H464" s="0" t="n">
        <f aca="false">N(H463)+$G464</f>
        <v>3</v>
      </c>
      <c r="I464" s="0" t="str">
        <f aca="false">IF($G464=0,"",IF(资金日记账!$B457=0,"",资金日记账!$B457))</f>
        <v/>
      </c>
      <c r="J464" s="0" t="str">
        <f aca="false">IF($G464=0,"",IF(资金日记账!$D457=0,"",资金日记账!$D457))</f>
        <v/>
      </c>
      <c r="K464" s="0" t="str">
        <f aca="false">IF($G464=0,"",IF(""=0,"",""))</f>
        <v/>
      </c>
      <c r="L464" s="0" t="str">
        <f aca="false">IF($G464=0,"",IF(""=0,"",""))</f>
        <v/>
      </c>
      <c r="M464" s="0" t="str">
        <f aca="false">IF($G464=0,"",IF(""=0,"",""))</f>
        <v/>
      </c>
      <c r="N464" s="0" t="str">
        <f aca="false">IF($G464=0,"",IF(IF(N(资金日记账!$I457)=0,"",-ROUND(N(资金日记账!$I457),2))=0,"",IF(N(资金日记账!$I457)=0,"",-ROUND(N(资金日记账!$I457),2))))</f>
        <v/>
      </c>
      <c r="O464" s="0" t="str">
        <f aca="false">IF($G464=0,"",IF(IF(N(资金日记账!$H457)=0,"",ROUND(N(资金日记账!$H457),2))=0,"",IF(N(资金日记账!$H457)=0,"",ROUND(N(资金日记账!$H457),2))))</f>
        <v/>
      </c>
      <c r="P464" s="0" t="str">
        <f aca="false">IF($G464=0,"",IF(资金日记账!$L457=0,"",资金日记账!$L457))</f>
        <v/>
      </c>
      <c r="T464" s="0" t="str">
        <f aca="false">IF(资金日记账!$G464="","",资金日记账!$G464)</f>
        <v/>
      </c>
      <c r="U464" s="0" t="n">
        <f aca="false">IF(T464="",0,IF(MATCH(T464,$T$4:$T$903,0)=ROW()-3,1,0))</f>
        <v>0</v>
      </c>
      <c r="V464" s="0" t="n">
        <f aca="false">N(V463)+U464</f>
        <v>30</v>
      </c>
      <c r="AF464" s="0" t="str">
        <f aca="false">IF(OR(资金日记账!$E464="",N(资金日记账!$H464)=0),"",资金日记账!$E464)</f>
        <v/>
      </c>
      <c r="AG464" s="0" t="n">
        <f aca="false">IF(AF464="",0,IF(MATCH(AF464,$AF$4:$AF$603,0)=ROW()-3,1,0))</f>
        <v>0</v>
      </c>
      <c r="AH464" s="0" t="n">
        <f aca="false">N(AH463)+AG464</f>
        <v>5</v>
      </c>
    </row>
    <row r="465" customFormat="false" ht="13.5" hidden="false" customHeight="false" outlineLevel="0" collapsed="false">
      <c r="A465" s="0" t="str">
        <f aca="false">IF(资金日记账!$E163="","",资金日记账!$E163)</f>
        <v/>
      </c>
      <c r="B465" s="0" t="n">
        <f aca="false">IF(A465="",0,IF(MATCH(A465,$A$4:$A$1925,0)=ROW()-3,1,0))</f>
        <v>0</v>
      </c>
      <c r="C465" s="0" t="n">
        <f aca="false">N(C464)+B465</f>
        <v>11</v>
      </c>
      <c r="G465" s="0" t="n">
        <f aca="false">IF(OR($G$1="",资金日记账!$E458="",资金日记账!$E458&lt;&gt;$G$1),0,IF(NOT(OR(N(资金日记账!$H458)&lt;&gt;0,N(资金日记账!$I458)&lt;&gt;0)),0,IF(资金日记账!$B458="",1,IF(OR(N(资金日记账!$B458)&lt;$H$1,N(资金日记账!$B458)&gt;$I$1),0,1))))</f>
        <v>0</v>
      </c>
      <c r="H465" s="0" t="n">
        <f aca="false">N(H464)+$G465</f>
        <v>3</v>
      </c>
      <c r="I465" s="0" t="str">
        <f aca="false">IF($G465=0,"",IF(资金日记账!$B458=0,"",资金日记账!$B458))</f>
        <v/>
      </c>
      <c r="J465" s="0" t="str">
        <f aca="false">IF($G465=0,"",IF(资金日记账!$D458=0,"",资金日记账!$D458))</f>
        <v/>
      </c>
      <c r="K465" s="0" t="str">
        <f aca="false">IF($G465=0,"",IF(""=0,"",""))</f>
        <v/>
      </c>
      <c r="L465" s="0" t="str">
        <f aca="false">IF($G465=0,"",IF(""=0,"",""))</f>
        <v/>
      </c>
      <c r="M465" s="0" t="str">
        <f aca="false">IF($G465=0,"",IF(""=0,"",""))</f>
        <v/>
      </c>
      <c r="N465" s="0" t="str">
        <f aca="false">IF($G465=0,"",IF(IF(N(资金日记账!$I458)=0,"",-ROUND(N(资金日记账!$I458),2))=0,"",IF(N(资金日记账!$I458)=0,"",-ROUND(N(资金日记账!$I458),2))))</f>
        <v/>
      </c>
      <c r="O465" s="0" t="str">
        <f aca="false">IF($G465=0,"",IF(IF(N(资金日记账!$H458)=0,"",ROUND(N(资金日记账!$H458),2))=0,"",IF(N(资金日记账!$H458)=0,"",ROUND(N(资金日记账!$H458),2))))</f>
        <v/>
      </c>
      <c r="P465" s="0" t="str">
        <f aca="false">IF($G465=0,"",IF(资金日记账!$L458=0,"",资金日记账!$L458))</f>
        <v/>
      </c>
      <c r="T465" s="0" t="str">
        <f aca="false">IF(资金日记账!$G465="","",资金日记账!$G465)</f>
        <v/>
      </c>
      <c r="U465" s="0" t="n">
        <f aca="false">IF(T465="",0,IF(MATCH(T465,$T$4:$T$903,0)=ROW()-3,1,0))</f>
        <v>0</v>
      </c>
      <c r="V465" s="0" t="n">
        <f aca="false">N(V464)+U465</f>
        <v>30</v>
      </c>
      <c r="AF465" s="0" t="str">
        <f aca="false">IF(OR(资金日记账!$E465="",N(资金日记账!$H465)=0),"",资金日记账!$E465)</f>
        <v/>
      </c>
      <c r="AG465" s="0" t="n">
        <f aca="false">IF(AF465="",0,IF(MATCH(AF465,$AF$4:$AF$603,0)=ROW()-3,1,0))</f>
        <v>0</v>
      </c>
      <c r="AH465" s="0" t="n">
        <f aca="false">N(AH464)+AG465</f>
        <v>5</v>
      </c>
    </row>
    <row r="466" customFormat="false" ht="13.5" hidden="false" customHeight="false" outlineLevel="0" collapsed="false">
      <c r="A466" s="0" t="str">
        <f aca="false">IF(资金日记账!$E164="","",资金日记账!$E164)</f>
        <v/>
      </c>
      <c r="B466" s="0" t="n">
        <f aca="false">IF(A466="",0,IF(MATCH(A466,$A$4:$A$1925,0)=ROW()-3,1,0))</f>
        <v>0</v>
      </c>
      <c r="C466" s="0" t="n">
        <f aca="false">N(C465)+B466</f>
        <v>11</v>
      </c>
      <c r="G466" s="0" t="n">
        <f aca="false">IF(OR($G$1="",资金日记账!$E459="",资金日记账!$E459&lt;&gt;$G$1),0,IF(NOT(OR(N(资金日记账!$H459)&lt;&gt;0,N(资金日记账!$I459)&lt;&gt;0)),0,IF(资金日记账!$B459="",1,IF(OR(N(资金日记账!$B459)&lt;$H$1,N(资金日记账!$B459)&gt;$I$1),0,1))))</f>
        <v>0</v>
      </c>
      <c r="H466" s="0" t="n">
        <f aca="false">N(H465)+$G466</f>
        <v>3</v>
      </c>
      <c r="I466" s="0" t="str">
        <f aca="false">IF($G466=0,"",IF(资金日记账!$B459=0,"",资金日记账!$B459))</f>
        <v/>
      </c>
      <c r="J466" s="0" t="str">
        <f aca="false">IF($G466=0,"",IF(资金日记账!$D459=0,"",资金日记账!$D459))</f>
        <v/>
      </c>
      <c r="K466" s="0" t="str">
        <f aca="false">IF($G466=0,"",IF(""=0,"",""))</f>
        <v/>
      </c>
      <c r="L466" s="0" t="str">
        <f aca="false">IF($G466=0,"",IF(""=0,"",""))</f>
        <v/>
      </c>
      <c r="M466" s="0" t="str">
        <f aca="false">IF($G466=0,"",IF(""=0,"",""))</f>
        <v/>
      </c>
      <c r="N466" s="0" t="str">
        <f aca="false">IF($G466=0,"",IF(IF(N(资金日记账!$I459)=0,"",-ROUND(N(资金日记账!$I459),2))=0,"",IF(N(资金日记账!$I459)=0,"",-ROUND(N(资金日记账!$I459),2))))</f>
        <v/>
      </c>
      <c r="O466" s="0" t="str">
        <f aca="false">IF($G466=0,"",IF(IF(N(资金日记账!$H459)=0,"",ROUND(N(资金日记账!$H459),2))=0,"",IF(N(资金日记账!$H459)=0,"",ROUND(N(资金日记账!$H459),2))))</f>
        <v/>
      </c>
      <c r="P466" s="0" t="str">
        <f aca="false">IF($G466=0,"",IF(资金日记账!$L459=0,"",资金日记账!$L459))</f>
        <v/>
      </c>
      <c r="T466" s="0" t="str">
        <f aca="false">IF(资金日记账!$G466="","",资金日记账!$G466)</f>
        <v/>
      </c>
      <c r="U466" s="0" t="n">
        <f aca="false">IF(T466="",0,IF(MATCH(T466,$T$4:$T$903,0)=ROW()-3,1,0))</f>
        <v>0</v>
      </c>
      <c r="V466" s="0" t="n">
        <f aca="false">N(V465)+U466</f>
        <v>30</v>
      </c>
      <c r="AF466" s="0" t="str">
        <f aca="false">IF(OR(资金日记账!$E466="",N(资金日记账!$H466)=0),"",资金日记账!$E466)</f>
        <v/>
      </c>
      <c r="AG466" s="0" t="n">
        <f aca="false">IF(AF466="",0,IF(MATCH(AF466,$AF$4:$AF$603,0)=ROW()-3,1,0))</f>
        <v>0</v>
      </c>
      <c r="AH466" s="0" t="n">
        <f aca="false">N(AH465)+AG466</f>
        <v>5</v>
      </c>
    </row>
    <row r="467" customFormat="false" ht="13.5" hidden="false" customHeight="false" outlineLevel="0" collapsed="false">
      <c r="A467" s="0" t="str">
        <f aca="false">IF(资金日记账!$E165="","",资金日记账!$E165)</f>
        <v/>
      </c>
      <c r="B467" s="0" t="n">
        <f aca="false">IF(A467="",0,IF(MATCH(A467,$A$4:$A$1925,0)=ROW()-3,1,0))</f>
        <v>0</v>
      </c>
      <c r="C467" s="0" t="n">
        <f aca="false">N(C466)+B467</f>
        <v>11</v>
      </c>
      <c r="G467" s="0" t="n">
        <f aca="false">IF(OR($G$1="",资金日记账!$E460="",资金日记账!$E460&lt;&gt;$G$1),0,IF(NOT(OR(N(资金日记账!$H460)&lt;&gt;0,N(资金日记账!$I460)&lt;&gt;0)),0,IF(资金日记账!$B460="",1,IF(OR(N(资金日记账!$B460)&lt;$H$1,N(资金日记账!$B460)&gt;$I$1),0,1))))</f>
        <v>0</v>
      </c>
      <c r="H467" s="0" t="n">
        <f aca="false">N(H466)+$G467</f>
        <v>3</v>
      </c>
      <c r="I467" s="0" t="str">
        <f aca="false">IF($G467=0,"",IF(资金日记账!$B460=0,"",资金日记账!$B460))</f>
        <v/>
      </c>
      <c r="J467" s="0" t="str">
        <f aca="false">IF($G467=0,"",IF(资金日记账!$D460=0,"",资金日记账!$D460))</f>
        <v/>
      </c>
      <c r="K467" s="0" t="str">
        <f aca="false">IF($G467=0,"",IF(""=0,"",""))</f>
        <v/>
      </c>
      <c r="L467" s="0" t="str">
        <f aca="false">IF($G467=0,"",IF(""=0,"",""))</f>
        <v/>
      </c>
      <c r="M467" s="0" t="str">
        <f aca="false">IF($G467=0,"",IF(""=0,"",""))</f>
        <v/>
      </c>
      <c r="N467" s="0" t="str">
        <f aca="false">IF($G467=0,"",IF(IF(N(资金日记账!$I460)=0,"",-ROUND(N(资金日记账!$I460),2))=0,"",IF(N(资金日记账!$I460)=0,"",-ROUND(N(资金日记账!$I460),2))))</f>
        <v/>
      </c>
      <c r="O467" s="0" t="str">
        <f aca="false">IF($G467=0,"",IF(IF(N(资金日记账!$H460)=0,"",ROUND(N(资金日记账!$H460),2))=0,"",IF(N(资金日记账!$H460)=0,"",ROUND(N(资金日记账!$H460),2))))</f>
        <v/>
      </c>
      <c r="P467" s="0" t="str">
        <f aca="false">IF($G467=0,"",IF(资金日记账!$L460=0,"",资金日记账!$L460))</f>
        <v/>
      </c>
      <c r="T467" s="0" t="str">
        <f aca="false">IF(资金日记账!$G467="","",资金日记账!$G467)</f>
        <v/>
      </c>
      <c r="U467" s="0" t="n">
        <f aca="false">IF(T467="",0,IF(MATCH(T467,$T$4:$T$903,0)=ROW()-3,1,0))</f>
        <v>0</v>
      </c>
      <c r="V467" s="0" t="n">
        <f aca="false">N(V466)+U467</f>
        <v>30</v>
      </c>
      <c r="AF467" s="0" t="str">
        <f aca="false">IF(OR(资金日记账!$E467="",N(资金日记账!$H467)=0),"",资金日记账!$E467)</f>
        <v/>
      </c>
      <c r="AG467" s="0" t="n">
        <f aca="false">IF(AF467="",0,IF(MATCH(AF467,$AF$4:$AF$603,0)=ROW()-3,1,0))</f>
        <v>0</v>
      </c>
      <c r="AH467" s="0" t="n">
        <f aca="false">N(AH466)+AG467</f>
        <v>5</v>
      </c>
    </row>
    <row r="468" customFormat="false" ht="13.5" hidden="false" customHeight="false" outlineLevel="0" collapsed="false">
      <c r="A468" s="0" t="str">
        <f aca="false">IF(资金日记账!$E166="","",资金日记账!$E166)</f>
        <v/>
      </c>
      <c r="B468" s="0" t="n">
        <f aca="false">IF(A468="",0,IF(MATCH(A468,$A$4:$A$1925,0)=ROW()-3,1,0))</f>
        <v>0</v>
      </c>
      <c r="C468" s="0" t="n">
        <f aca="false">N(C467)+B468</f>
        <v>11</v>
      </c>
      <c r="G468" s="0" t="n">
        <f aca="false">IF(OR($G$1="",资金日记账!$E461="",资金日记账!$E461&lt;&gt;$G$1),0,IF(NOT(OR(N(资金日记账!$H461)&lt;&gt;0,N(资金日记账!$I461)&lt;&gt;0)),0,IF(资金日记账!$B461="",1,IF(OR(N(资金日记账!$B461)&lt;$H$1,N(资金日记账!$B461)&gt;$I$1),0,1))))</f>
        <v>0</v>
      </c>
      <c r="H468" s="0" t="n">
        <f aca="false">N(H467)+$G468</f>
        <v>3</v>
      </c>
      <c r="I468" s="0" t="str">
        <f aca="false">IF($G468=0,"",IF(资金日记账!$B461=0,"",资金日记账!$B461))</f>
        <v/>
      </c>
      <c r="J468" s="0" t="str">
        <f aca="false">IF($G468=0,"",IF(资金日记账!$D461=0,"",资金日记账!$D461))</f>
        <v/>
      </c>
      <c r="K468" s="0" t="str">
        <f aca="false">IF($G468=0,"",IF(""=0,"",""))</f>
        <v/>
      </c>
      <c r="L468" s="0" t="str">
        <f aca="false">IF($G468=0,"",IF(""=0,"",""))</f>
        <v/>
      </c>
      <c r="M468" s="0" t="str">
        <f aca="false">IF($G468=0,"",IF(""=0,"",""))</f>
        <v/>
      </c>
      <c r="N468" s="0" t="str">
        <f aca="false">IF($G468=0,"",IF(IF(N(资金日记账!$I461)=0,"",-ROUND(N(资金日记账!$I461),2))=0,"",IF(N(资金日记账!$I461)=0,"",-ROUND(N(资金日记账!$I461),2))))</f>
        <v/>
      </c>
      <c r="O468" s="0" t="str">
        <f aca="false">IF($G468=0,"",IF(IF(N(资金日记账!$H461)=0,"",ROUND(N(资金日记账!$H461),2))=0,"",IF(N(资金日记账!$H461)=0,"",ROUND(N(资金日记账!$H461),2))))</f>
        <v/>
      </c>
      <c r="P468" s="0" t="str">
        <f aca="false">IF($G468=0,"",IF(资金日记账!$L461=0,"",资金日记账!$L461))</f>
        <v/>
      </c>
      <c r="T468" s="0" t="str">
        <f aca="false">IF(资金日记账!$G468="","",资金日记账!$G468)</f>
        <v/>
      </c>
      <c r="U468" s="0" t="n">
        <f aca="false">IF(T468="",0,IF(MATCH(T468,$T$4:$T$903,0)=ROW()-3,1,0))</f>
        <v>0</v>
      </c>
      <c r="V468" s="0" t="n">
        <f aca="false">N(V467)+U468</f>
        <v>30</v>
      </c>
      <c r="AF468" s="0" t="str">
        <f aca="false">IF(OR(资金日记账!$E468="",N(资金日记账!$H468)=0),"",资金日记账!$E468)</f>
        <v/>
      </c>
      <c r="AG468" s="0" t="n">
        <f aca="false">IF(AF468="",0,IF(MATCH(AF468,$AF$4:$AF$603,0)=ROW()-3,1,0))</f>
        <v>0</v>
      </c>
      <c r="AH468" s="0" t="n">
        <f aca="false">N(AH467)+AG468</f>
        <v>5</v>
      </c>
    </row>
    <row r="469" customFormat="false" ht="13.5" hidden="false" customHeight="false" outlineLevel="0" collapsed="false">
      <c r="A469" s="0" t="str">
        <f aca="false">IF(资金日记账!$E167="","",资金日记账!$E167)</f>
        <v/>
      </c>
      <c r="B469" s="0" t="n">
        <f aca="false">IF(A469="",0,IF(MATCH(A469,$A$4:$A$1925,0)=ROW()-3,1,0))</f>
        <v>0</v>
      </c>
      <c r="C469" s="0" t="n">
        <f aca="false">N(C468)+B469</f>
        <v>11</v>
      </c>
      <c r="G469" s="0" t="n">
        <f aca="false">IF(OR($G$1="",资金日记账!$E462="",资金日记账!$E462&lt;&gt;$G$1),0,IF(NOT(OR(N(资金日记账!$H462)&lt;&gt;0,N(资金日记账!$I462)&lt;&gt;0)),0,IF(资金日记账!$B462="",1,IF(OR(N(资金日记账!$B462)&lt;$H$1,N(资金日记账!$B462)&gt;$I$1),0,1))))</f>
        <v>0</v>
      </c>
      <c r="H469" s="0" t="n">
        <f aca="false">N(H468)+$G469</f>
        <v>3</v>
      </c>
      <c r="I469" s="0" t="str">
        <f aca="false">IF($G469=0,"",IF(资金日记账!$B462=0,"",资金日记账!$B462))</f>
        <v/>
      </c>
      <c r="J469" s="0" t="str">
        <f aca="false">IF($G469=0,"",IF(资金日记账!$D462=0,"",资金日记账!$D462))</f>
        <v/>
      </c>
      <c r="K469" s="0" t="str">
        <f aca="false">IF($G469=0,"",IF(""=0,"",""))</f>
        <v/>
      </c>
      <c r="L469" s="0" t="str">
        <f aca="false">IF($G469=0,"",IF(""=0,"",""))</f>
        <v/>
      </c>
      <c r="M469" s="0" t="str">
        <f aca="false">IF($G469=0,"",IF(""=0,"",""))</f>
        <v/>
      </c>
      <c r="N469" s="0" t="str">
        <f aca="false">IF($G469=0,"",IF(IF(N(资金日记账!$I462)=0,"",-ROUND(N(资金日记账!$I462),2))=0,"",IF(N(资金日记账!$I462)=0,"",-ROUND(N(资金日记账!$I462),2))))</f>
        <v/>
      </c>
      <c r="O469" s="0" t="str">
        <f aca="false">IF($G469=0,"",IF(IF(N(资金日记账!$H462)=0,"",ROUND(N(资金日记账!$H462),2))=0,"",IF(N(资金日记账!$H462)=0,"",ROUND(N(资金日记账!$H462),2))))</f>
        <v/>
      </c>
      <c r="P469" s="0" t="str">
        <f aca="false">IF($G469=0,"",IF(资金日记账!$L462=0,"",资金日记账!$L462))</f>
        <v/>
      </c>
      <c r="T469" s="0" t="str">
        <f aca="false">IF(资金日记账!$G469="","",资金日记账!$G469)</f>
        <v/>
      </c>
      <c r="U469" s="0" t="n">
        <f aca="false">IF(T469="",0,IF(MATCH(T469,$T$4:$T$903,0)=ROW()-3,1,0))</f>
        <v>0</v>
      </c>
      <c r="V469" s="0" t="n">
        <f aca="false">N(V468)+U469</f>
        <v>30</v>
      </c>
      <c r="AF469" s="0" t="str">
        <f aca="false">IF(OR(资金日记账!$E469="",N(资金日记账!$H469)=0),"",资金日记账!$E469)</f>
        <v/>
      </c>
      <c r="AG469" s="0" t="n">
        <f aca="false">IF(AF469="",0,IF(MATCH(AF469,$AF$4:$AF$603,0)=ROW()-3,1,0))</f>
        <v>0</v>
      </c>
      <c r="AH469" s="0" t="n">
        <f aca="false">N(AH468)+AG469</f>
        <v>5</v>
      </c>
    </row>
    <row r="470" customFormat="false" ht="13.5" hidden="false" customHeight="false" outlineLevel="0" collapsed="false">
      <c r="A470" s="0" t="str">
        <f aca="false">IF(资金日记账!$E168="","",资金日记账!$E168)</f>
        <v/>
      </c>
      <c r="B470" s="0" t="n">
        <f aca="false">IF(A470="",0,IF(MATCH(A470,$A$4:$A$1925,0)=ROW()-3,1,0))</f>
        <v>0</v>
      </c>
      <c r="C470" s="0" t="n">
        <f aca="false">N(C469)+B470</f>
        <v>11</v>
      </c>
      <c r="G470" s="0" t="n">
        <f aca="false">IF(OR($G$1="",资金日记账!$E463="",资金日记账!$E463&lt;&gt;$G$1),0,IF(NOT(OR(N(资金日记账!$H463)&lt;&gt;0,N(资金日记账!$I463)&lt;&gt;0)),0,IF(资金日记账!$B463="",1,IF(OR(N(资金日记账!$B463)&lt;$H$1,N(资金日记账!$B463)&gt;$I$1),0,1))))</f>
        <v>0</v>
      </c>
      <c r="H470" s="0" t="n">
        <f aca="false">N(H469)+$G470</f>
        <v>3</v>
      </c>
      <c r="I470" s="0" t="str">
        <f aca="false">IF($G470=0,"",IF(资金日记账!$B463=0,"",资金日记账!$B463))</f>
        <v/>
      </c>
      <c r="J470" s="0" t="str">
        <f aca="false">IF($G470=0,"",IF(资金日记账!$D463=0,"",资金日记账!$D463))</f>
        <v/>
      </c>
      <c r="K470" s="0" t="str">
        <f aca="false">IF($G470=0,"",IF(""=0,"",""))</f>
        <v/>
      </c>
      <c r="L470" s="0" t="str">
        <f aca="false">IF($G470=0,"",IF(""=0,"",""))</f>
        <v/>
      </c>
      <c r="M470" s="0" t="str">
        <f aca="false">IF($G470=0,"",IF(""=0,"",""))</f>
        <v/>
      </c>
      <c r="N470" s="0" t="str">
        <f aca="false">IF($G470=0,"",IF(IF(N(资金日记账!$I463)=0,"",-ROUND(N(资金日记账!$I463),2))=0,"",IF(N(资金日记账!$I463)=0,"",-ROUND(N(资金日记账!$I463),2))))</f>
        <v/>
      </c>
      <c r="O470" s="0" t="str">
        <f aca="false">IF($G470=0,"",IF(IF(N(资金日记账!$H463)=0,"",ROUND(N(资金日记账!$H463),2))=0,"",IF(N(资金日记账!$H463)=0,"",ROUND(N(资金日记账!$H463),2))))</f>
        <v/>
      </c>
      <c r="P470" s="0" t="str">
        <f aca="false">IF($G470=0,"",IF(资金日记账!$L463=0,"",资金日记账!$L463))</f>
        <v/>
      </c>
      <c r="T470" s="0" t="str">
        <f aca="false">IF(资金日记账!$G470="","",资金日记账!$G470)</f>
        <v/>
      </c>
      <c r="U470" s="0" t="n">
        <f aca="false">IF(T470="",0,IF(MATCH(T470,$T$4:$T$903,0)=ROW()-3,1,0))</f>
        <v>0</v>
      </c>
      <c r="V470" s="0" t="n">
        <f aca="false">N(V469)+U470</f>
        <v>30</v>
      </c>
      <c r="AF470" s="0" t="str">
        <f aca="false">IF(OR(资金日记账!$E470="",N(资金日记账!$H470)=0),"",资金日记账!$E470)</f>
        <v/>
      </c>
      <c r="AG470" s="0" t="n">
        <f aca="false">IF(AF470="",0,IF(MATCH(AF470,$AF$4:$AF$603,0)=ROW()-3,1,0))</f>
        <v>0</v>
      </c>
      <c r="AH470" s="0" t="n">
        <f aca="false">N(AH469)+AG470</f>
        <v>5</v>
      </c>
    </row>
    <row r="471" customFormat="false" ht="13.5" hidden="false" customHeight="false" outlineLevel="0" collapsed="false">
      <c r="A471" s="0" t="str">
        <f aca="false">IF(资金日记账!$E169="","",资金日记账!$E169)</f>
        <v/>
      </c>
      <c r="B471" s="0" t="n">
        <f aca="false">IF(A471="",0,IF(MATCH(A471,$A$4:$A$1925,0)=ROW()-3,1,0))</f>
        <v>0</v>
      </c>
      <c r="C471" s="0" t="n">
        <f aca="false">N(C470)+B471</f>
        <v>11</v>
      </c>
      <c r="G471" s="0" t="n">
        <f aca="false">IF(OR($G$1="",资金日记账!$E464="",资金日记账!$E464&lt;&gt;$G$1),0,IF(NOT(OR(N(资金日记账!$H464)&lt;&gt;0,N(资金日记账!$I464)&lt;&gt;0)),0,IF(资金日记账!$B464="",1,IF(OR(N(资金日记账!$B464)&lt;$H$1,N(资金日记账!$B464)&gt;$I$1),0,1))))</f>
        <v>0</v>
      </c>
      <c r="H471" s="0" t="n">
        <f aca="false">N(H470)+$G471</f>
        <v>3</v>
      </c>
      <c r="I471" s="0" t="str">
        <f aca="false">IF($G471=0,"",IF(资金日记账!$B464=0,"",资金日记账!$B464))</f>
        <v/>
      </c>
      <c r="J471" s="0" t="str">
        <f aca="false">IF($G471=0,"",IF(资金日记账!$D464=0,"",资金日记账!$D464))</f>
        <v/>
      </c>
      <c r="K471" s="0" t="str">
        <f aca="false">IF($G471=0,"",IF(""=0,"",""))</f>
        <v/>
      </c>
      <c r="L471" s="0" t="str">
        <f aca="false">IF($G471=0,"",IF(""=0,"",""))</f>
        <v/>
      </c>
      <c r="M471" s="0" t="str">
        <f aca="false">IF($G471=0,"",IF(""=0,"",""))</f>
        <v/>
      </c>
      <c r="N471" s="0" t="str">
        <f aca="false">IF($G471=0,"",IF(IF(N(资金日记账!$I464)=0,"",-ROUND(N(资金日记账!$I464),2))=0,"",IF(N(资金日记账!$I464)=0,"",-ROUND(N(资金日记账!$I464),2))))</f>
        <v/>
      </c>
      <c r="O471" s="0" t="str">
        <f aca="false">IF($G471=0,"",IF(IF(N(资金日记账!$H464)=0,"",ROUND(N(资金日记账!$H464),2))=0,"",IF(N(资金日记账!$H464)=0,"",ROUND(N(资金日记账!$H464),2))))</f>
        <v/>
      </c>
      <c r="P471" s="0" t="str">
        <f aca="false">IF($G471=0,"",IF(资金日记账!$L464=0,"",资金日记账!$L464))</f>
        <v/>
      </c>
      <c r="T471" s="0" t="str">
        <f aca="false">IF(资金日记账!$G471="","",资金日记账!$G471)</f>
        <v/>
      </c>
      <c r="U471" s="0" t="n">
        <f aca="false">IF(T471="",0,IF(MATCH(T471,$T$4:$T$903,0)=ROW()-3,1,0))</f>
        <v>0</v>
      </c>
      <c r="V471" s="0" t="n">
        <f aca="false">N(V470)+U471</f>
        <v>30</v>
      </c>
      <c r="AF471" s="0" t="str">
        <f aca="false">IF(OR(资金日记账!$E471="",N(资金日记账!$H471)=0),"",资金日记账!$E471)</f>
        <v/>
      </c>
      <c r="AG471" s="0" t="n">
        <f aca="false">IF(AF471="",0,IF(MATCH(AF471,$AF$4:$AF$603,0)=ROW()-3,1,0))</f>
        <v>0</v>
      </c>
      <c r="AH471" s="0" t="n">
        <f aca="false">N(AH470)+AG471</f>
        <v>5</v>
      </c>
    </row>
    <row r="472" customFormat="false" ht="13.5" hidden="false" customHeight="false" outlineLevel="0" collapsed="false">
      <c r="A472" s="0" t="str">
        <f aca="false">IF(资金日记账!$E170="","",资金日记账!$E170)</f>
        <v/>
      </c>
      <c r="B472" s="0" t="n">
        <f aca="false">IF(A472="",0,IF(MATCH(A472,$A$4:$A$1925,0)=ROW()-3,1,0))</f>
        <v>0</v>
      </c>
      <c r="C472" s="0" t="n">
        <f aca="false">N(C471)+B472</f>
        <v>11</v>
      </c>
      <c r="G472" s="0" t="n">
        <f aca="false">IF(OR($G$1="",资金日记账!$E465="",资金日记账!$E465&lt;&gt;$G$1),0,IF(NOT(OR(N(资金日记账!$H465)&lt;&gt;0,N(资金日记账!$I465)&lt;&gt;0)),0,IF(资金日记账!$B465="",1,IF(OR(N(资金日记账!$B465)&lt;$H$1,N(资金日记账!$B465)&gt;$I$1),0,1))))</f>
        <v>0</v>
      </c>
      <c r="H472" s="0" t="n">
        <f aca="false">N(H471)+$G472</f>
        <v>3</v>
      </c>
      <c r="I472" s="0" t="str">
        <f aca="false">IF($G472=0,"",IF(资金日记账!$B465=0,"",资金日记账!$B465))</f>
        <v/>
      </c>
      <c r="J472" s="0" t="str">
        <f aca="false">IF($G472=0,"",IF(资金日记账!$D465=0,"",资金日记账!$D465))</f>
        <v/>
      </c>
      <c r="K472" s="0" t="str">
        <f aca="false">IF($G472=0,"",IF(""=0,"",""))</f>
        <v/>
      </c>
      <c r="L472" s="0" t="str">
        <f aca="false">IF($G472=0,"",IF(""=0,"",""))</f>
        <v/>
      </c>
      <c r="M472" s="0" t="str">
        <f aca="false">IF($G472=0,"",IF(""=0,"",""))</f>
        <v/>
      </c>
      <c r="N472" s="0" t="str">
        <f aca="false">IF($G472=0,"",IF(IF(N(资金日记账!$I465)=0,"",-ROUND(N(资金日记账!$I465),2))=0,"",IF(N(资金日记账!$I465)=0,"",-ROUND(N(资金日记账!$I465),2))))</f>
        <v/>
      </c>
      <c r="O472" s="0" t="str">
        <f aca="false">IF($G472=0,"",IF(IF(N(资金日记账!$H465)=0,"",ROUND(N(资金日记账!$H465),2))=0,"",IF(N(资金日记账!$H465)=0,"",ROUND(N(资金日记账!$H465),2))))</f>
        <v/>
      </c>
      <c r="P472" s="0" t="str">
        <f aca="false">IF($G472=0,"",IF(资金日记账!$L465=0,"",资金日记账!$L465))</f>
        <v/>
      </c>
      <c r="T472" s="0" t="str">
        <f aca="false">IF(资金日记账!$G472="","",资金日记账!$G472)</f>
        <v/>
      </c>
      <c r="U472" s="0" t="n">
        <f aca="false">IF(T472="",0,IF(MATCH(T472,$T$4:$T$903,0)=ROW()-3,1,0))</f>
        <v>0</v>
      </c>
      <c r="V472" s="0" t="n">
        <f aca="false">N(V471)+U472</f>
        <v>30</v>
      </c>
      <c r="AF472" s="0" t="str">
        <f aca="false">IF(OR(资金日记账!$E472="",N(资金日记账!$H472)=0),"",资金日记账!$E472)</f>
        <v/>
      </c>
      <c r="AG472" s="0" t="n">
        <f aca="false">IF(AF472="",0,IF(MATCH(AF472,$AF$4:$AF$603,0)=ROW()-3,1,0))</f>
        <v>0</v>
      </c>
      <c r="AH472" s="0" t="n">
        <f aca="false">N(AH471)+AG472</f>
        <v>5</v>
      </c>
    </row>
    <row r="473" customFormat="false" ht="13.5" hidden="false" customHeight="false" outlineLevel="0" collapsed="false">
      <c r="A473" s="0" t="str">
        <f aca="false">IF(资金日记账!$E171="","",资金日记账!$E171)</f>
        <v/>
      </c>
      <c r="B473" s="0" t="n">
        <f aca="false">IF(A473="",0,IF(MATCH(A473,$A$4:$A$1925,0)=ROW()-3,1,0))</f>
        <v>0</v>
      </c>
      <c r="C473" s="0" t="n">
        <f aca="false">N(C472)+B473</f>
        <v>11</v>
      </c>
      <c r="G473" s="0" t="n">
        <f aca="false">IF(OR($G$1="",资金日记账!$E466="",资金日记账!$E466&lt;&gt;$G$1),0,IF(NOT(OR(N(资金日记账!$H466)&lt;&gt;0,N(资金日记账!$I466)&lt;&gt;0)),0,IF(资金日记账!$B466="",1,IF(OR(N(资金日记账!$B466)&lt;$H$1,N(资金日记账!$B466)&gt;$I$1),0,1))))</f>
        <v>0</v>
      </c>
      <c r="H473" s="0" t="n">
        <f aca="false">N(H472)+$G473</f>
        <v>3</v>
      </c>
      <c r="I473" s="0" t="str">
        <f aca="false">IF($G473=0,"",IF(资金日记账!$B466=0,"",资金日记账!$B466))</f>
        <v/>
      </c>
      <c r="J473" s="0" t="str">
        <f aca="false">IF($G473=0,"",IF(资金日记账!$D466=0,"",资金日记账!$D466))</f>
        <v/>
      </c>
      <c r="K473" s="0" t="str">
        <f aca="false">IF($G473=0,"",IF(""=0,"",""))</f>
        <v/>
      </c>
      <c r="L473" s="0" t="str">
        <f aca="false">IF($G473=0,"",IF(""=0,"",""))</f>
        <v/>
      </c>
      <c r="M473" s="0" t="str">
        <f aca="false">IF($G473=0,"",IF(""=0,"",""))</f>
        <v/>
      </c>
      <c r="N473" s="0" t="str">
        <f aca="false">IF($G473=0,"",IF(IF(N(资金日记账!$I466)=0,"",-ROUND(N(资金日记账!$I466),2))=0,"",IF(N(资金日记账!$I466)=0,"",-ROUND(N(资金日记账!$I466),2))))</f>
        <v/>
      </c>
      <c r="O473" s="0" t="str">
        <f aca="false">IF($G473=0,"",IF(IF(N(资金日记账!$H466)=0,"",ROUND(N(资金日记账!$H466),2))=0,"",IF(N(资金日记账!$H466)=0,"",ROUND(N(资金日记账!$H466),2))))</f>
        <v/>
      </c>
      <c r="P473" s="0" t="str">
        <f aca="false">IF($G473=0,"",IF(资金日记账!$L466=0,"",资金日记账!$L466))</f>
        <v/>
      </c>
      <c r="T473" s="0" t="str">
        <f aca="false">IF(资金日记账!$G473="","",资金日记账!$G473)</f>
        <v/>
      </c>
      <c r="U473" s="0" t="n">
        <f aca="false">IF(T473="",0,IF(MATCH(T473,$T$4:$T$903,0)=ROW()-3,1,0))</f>
        <v>0</v>
      </c>
      <c r="V473" s="0" t="n">
        <f aca="false">N(V472)+U473</f>
        <v>30</v>
      </c>
      <c r="AF473" s="0" t="str">
        <f aca="false">IF(OR(资金日记账!$E473="",N(资金日记账!$H473)=0),"",资金日记账!$E473)</f>
        <v/>
      </c>
      <c r="AG473" s="0" t="n">
        <f aca="false">IF(AF473="",0,IF(MATCH(AF473,$AF$4:$AF$603,0)=ROW()-3,1,0))</f>
        <v>0</v>
      </c>
      <c r="AH473" s="0" t="n">
        <f aca="false">N(AH472)+AG473</f>
        <v>5</v>
      </c>
    </row>
    <row r="474" customFormat="false" ht="13.5" hidden="false" customHeight="false" outlineLevel="0" collapsed="false">
      <c r="A474" s="0" t="str">
        <f aca="false">IF(资金日记账!$E172="","",资金日记账!$E172)</f>
        <v/>
      </c>
      <c r="B474" s="0" t="n">
        <f aca="false">IF(A474="",0,IF(MATCH(A474,$A$4:$A$1925,0)=ROW()-3,1,0))</f>
        <v>0</v>
      </c>
      <c r="C474" s="0" t="n">
        <f aca="false">N(C473)+B474</f>
        <v>11</v>
      </c>
      <c r="G474" s="0" t="n">
        <f aca="false">IF(OR($G$1="",资金日记账!$E467="",资金日记账!$E467&lt;&gt;$G$1),0,IF(NOT(OR(N(资金日记账!$H467)&lt;&gt;0,N(资金日记账!$I467)&lt;&gt;0)),0,IF(资金日记账!$B467="",1,IF(OR(N(资金日记账!$B467)&lt;$H$1,N(资金日记账!$B467)&gt;$I$1),0,1))))</f>
        <v>0</v>
      </c>
      <c r="H474" s="0" t="n">
        <f aca="false">N(H473)+$G474</f>
        <v>3</v>
      </c>
      <c r="I474" s="0" t="str">
        <f aca="false">IF($G474=0,"",IF(资金日记账!$B467=0,"",资金日记账!$B467))</f>
        <v/>
      </c>
      <c r="J474" s="0" t="str">
        <f aca="false">IF($G474=0,"",IF(资金日记账!$D467=0,"",资金日记账!$D467))</f>
        <v/>
      </c>
      <c r="K474" s="0" t="str">
        <f aca="false">IF($G474=0,"",IF(""=0,"",""))</f>
        <v/>
      </c>
      <c r="L474" s="0" t="str">
        <f aca="false">IF($G474=0,"",IF(""=0,"",""))</f>
        <v/>
      </c>
      <c r="M474" s="0" t="str">
        <f aca="false">IF($G474=0,"",IF(""=0,"",""))</f>
        <v/>
      </c>
      <c r="N474" s="0" t="str">
        <f aca="false">IF($G474=0,"",IF(IF(N(资金日记账!$I467)=0,"",-ROUND(N(资金日记账!$I467),2))=0,"",IF(N(资金日记账!$I467)=0,"",-ROUND(N(资金日记账!$I467),2))))</f>
        <v/>
      </c>
      <c r="O474" s="0" t="str">
        <f aca="false">IF($G474=0,"",IF(IF(N(资金日记账!$H467)=0,"",ROUND(N(资金日记账!$H467),2))=0,"",IF(N(资金日记账!$H467)=0,"",ROUND(N(资金日记账!$H467),2))))</f>
        <v/>
      </c>
      <c r="P474" s="0" t="str">
        <f aca="false">IF($G474=0,"",IF(资金日记账!$L467=0,"",资金日记账!$L467))</f>
        <v/>
      </c>
      <c r="T474" s="0" t="str">
        <f aca="false">IF(资金日记账!$G474="","",资金日记账!$G474)</f>
        <v/>
      </c>
      <c r="U474" s="0" t="n">
        <f aca="false">IF(T474="",0,IF(MATCH(T474,$T$4:$T$903,0)=ROW()-3,1,0))</f>
        <v>0</v>
      </c>
      <c r="V474" s="0" t="n">
        <f aca="false">N(V473)+U474</f>
        <v>30</v>
      </c>
      <c r="AF474" s="0" t="str">
        <f aca="false">IF(OR(资金日记账!$E474="",N(资金日记账!$H474)=0),"",资金日记账!$E474)</f>
        <v/>
      </c>
      <c r="AG474" s="0" t="n">
        <f aca="false">IF(AF474="",0,IF(MATCH(AF474,$AF$4:$AF$603,0)=ROW()-3,1,0))</f>
        <v>0</v>
      </c>
      <c r="AH474" s="0" t="n">
        <f aca="false">N(AH473)+AG474</f>
        <v>5</v>
      </c>
    </row>
    <row r="475" customFormat="false" ht="13.5" hidden="false" customHeight="false" outlineLevel="0" collapsed="false">
      <c r="A475" s="0" t="str">
        <f aca="false">IF(资金日记账!$E173="","",资金日记账!$E173)</f>
        <v/>
      </c>
      <c r="B475" s="0" t="n">
        <f aca="false">IF(A475="",0,IF(MATCH(A475,$A$4:$A$1925,0)=ROW()-3,1,0))</f>
        <v>0</v>
      </c>
      <c r="C475" s="0" t="n">
        <f aca="false">N(C474)+B475</f>
        <v>11</v>
      </c>
      <c r="G475" s="0" t="n">
        <f aca="false">IF(OR($G$1="",资金日记账!$E468="",资金日记账!$E468&lt;&gt;$G$1),0,IF(NOT(OR(N(资金日记账!$H468)&lt;&gt;0,N(资金日记账!$I468)&lt;&gt;0)),0,IF(资金日记账!$B468="",1,IF(OR(N(资金日记账!$B468)&lt;$H$1,N(资金日记账!$B468)&gt;$I$1),0,1))))</f>
        <v>0</v>
      </c>
      <c r="H475" s="0" t="n">
        <f aca="false">N(H474)+$G475</f>
        <v>3</v>
      </c>
      <c r="I475" s="0" t="str">
        <f aca="false">IF($G475=0,"",IF(资金日记账!$B468=0,"",资金日记账!$B468))</f>
        <v/>
      </c>
      <c r="J475" s="0" t="str">
        <f aca="false">IF($G475=0,"",IF(资金日记账!$D468=0,"",资金日记账!$D468))</f>
        <v/>
      </c>
      <c r="K475" s="0" t="str">
        <f aca="false">IF($G475=0,"",IF(""=0,"",""))</f>
        <v/>
      </c>
      <c r="L475" s="0" t="str">
        <f aca="false">IF($G475=0,"",IF(""=0,"",""))</f>
        <v/>
      </c>
      <c r="M475" s="0" t="str">
        <f aca="false">IF($G475=0,"",IF(""=0,"",""))</f>
        <v/>
      </c>
      <c r="N475" s="0" t="str">
        <f aca="false">IF($G475=0,"",IF(IF(N(资金日记账!$I468)=0,"",-ROUND(N(资金日记账!$I468),2))=0,"",IF(N(资金日记账!$I468)=0,"",-ROUND(N(资金日记账!$I468),2))))</f>
        <v/>
      </c>
      <c r="O475" s="0" t="str">
        <f aca="false">IF($G475=0,"",IF(IF(N(资金日记账!$H468)=0,"",ROUND(N(资金日记账!$H468),2))=0,"",IF(N(资金日记账!$H468)=0,"",ROUND(N(资金日记账!$H468),2))))</f>
        <v/>
      </c>
      <c r="P475" s="0" t="str">
        <f aca="false">IF($G475=0,"",IF(资金日记账!$L468=0,"",资金日记账!$L468))</f>
        <v/>
      </c>
      <c r="T475" s="0" t="str">
        <f aca="false">IF(资金日记账!$G475="","",资金日记账!$G475)</f>
        <v/>
      </c>
      <c r="U475" s="0" t="n">
        <f aca="false">IF(T475="",0,IF(MATCH(T475,$T$4:$T$903,0)=ROW()-3,1,0))</f>
        <v>0</v>
      </c>
      <c r="V475" s="0" t="n">
        <f aca="false">N(V474)+U475</f>
        <v>30</v>
      </c>
      <c r="AF475" s="0" t="str">
        <f aca="false">IF(OR(资金日记账!$E475="",N(资金日记账!$H475)=0),"",资金日记账!$E475)</f>
        <v/>
      </c>
      <c r="AG475" s="0" t="n">
        <f aca="false">IF(AF475="",0,IF(MATCH(AF475,$AF$4:$AF$603,0)=ROW()-3,1,0))</f>
        <v>0</v>
      </c>
      <c r="AH475" s="0" t="n">
        <f aca="false">N(AH474)+AG475</f>
        <v>5</v>
      </c>
    </row>
    <row r="476" customFormat="false" ht="13.5" hidden="false" customHeight="false" outlineLevel="0" collapsed="false">
      <c r="A476" s="0" t="str">
        <f aca="false">IF(资金日记账!$E174="","",资金日记账!$E174)</f>
        <v/>
      </c>
      <c r="B476" s="0" t="n">
        <f aca="false">IF(A476="",0,IF(MATCH(A476,$A$4:$A$1925,0)=ROW()-3,1,0))</f>
        <v>0</v>
      </c>
      <c r="C476" s="0" t="n">
        <f aca="false">N(C475)+B476</f>
        <v>11</v>
      </c>
      <c r="G476" s="0" t="n">
        <f aca="false">IF(OR($G$1="",资金日记账!$E469="",资金日记账!$E469&lt;&gt;$G$1),0,IF(NOT(OR(N(资金日记账!$H469)&lt;&gt;0,N(资金日记账!$I469)&lt;&gt;0)),0,IF(资金日记账!$B469="",1,IF(OR(N(资金日记账!$B469)&lt;$H$1,N(资金日记账!$B469)&gt;$I$1),0,1))))</f>
        <v>0</v>
      </c>
      <c r="H476" s="0" t="n">
        <f aca="false">N(H475)+$G476</f>
        <v>3</v>
      </c>
      <c r="I476" s="0" t="str">
        <f aca="false">IF($G476=0,"",IF(资金日记账!$B469=0,"",资金日记账!$B469))</f>
        <v/>
      </c>
      <c r="J476" s="0" t="str">
        <f aca="false">IF($G476=0,"",IF(资金日记账!$D469=0,"",资金日记账!$D469))</f>
        <v/>
      </c>
      <c r="K476" s="0" t="str">
        <f aca="false">IF($G476=0,"",IF(""=0,"",""))</f>
        <v/>
      </c>
      <c r="L476" s="0" t="str">
        <f aca="false">IF($G476=0,"",IF(""=0,"",""))</f>
        <v/>
      </c>
      <c r="M476" s="0" t="str">
        <f aca="false">IF($G476=0,"",IF(""=0,"",""))</f>
        <v/>
      </c>
      <c r="N476" s="0" t="str">
        <f aca="false">IF($G476=0,"",IF(IF(N(资金日记账!$I469)=0,"",-ROUND(N(资金日记账!$I469),2))=0,"",IF(N(资金日记账!$I469)=0,"",-ROUND(N(资金日记账!$I469),2))))</f>
        <v/>
      </c>
      <c r="O476" s="0" t="str">
        <f aca="false">IF($G476=0,"",IF(IF(N(资金日记账!$H469)=0,"",ROUND(N(资金日记账!$H469),2))=0,"",IF(N(资金日记账!$H469)=0,"",ROUND(N(资金日记账!$H469),2))))</f>
        <v/>
      </c>
      <c r="P476" s="0" t="str">
        <f aca="false">IF($G476=0,"",IF(资金日记账!$L469=0,"",资金日记账!$L469))</f>
        <v/>
      </c>
      <c r="T476" s="0" t="str">
        <f aca="false">IF(资金日记账!$G476="","",资金日记账!$G476)</f>
        <v/>
      </c>
      <c r="U476" s="0" t="n">
        <f aca="false">IF(T476="",0,IF(MATCH(T476,$T$4:$T$903,0)=ROW()-3,1,0))</f>
        <v>0</v>
      </c>
      <c r="V476" s="0" t="n">
        <f aca="false">N(V475)+U476</f>
        <v>30</v>
      </c>
      <c r="AF476" s="0" t="str">
        <f aca="false">IF(OR(资金日记账!$E476="",N(资金日记账!$H476)=0),"",资金日记账!$E476)</f>
        <v/>
      </c>
      <c r="AG476" s="0" t="n">
        <f aca="false">IF(AF476="",0,IF(MATCH(AF476,$AF$4:$AF$603,0)=ROW()-3,1,0))</f>
        <v>0</v>
      </c>
      <c r="AH476" s="0" t="n">
        <f aca="false">N(AH475)+AG476</f>
        <v>5</v>
      </c>
    </row>
    <row r="477" customFormat="false" ht="13.5" hidden="false" customHeight="false" outlineLevel="0" collapsed="false">
      <c r="A477" s="0" t="str">
        <f aca="false">IF(资金日记账!$E175="","",资金日记账!$E175)</f>
        <v/>
      </c>
      <c r="B477" s="0" t="n">
        <f aca="false">IF(A477="",0,IF(MATCH(A477,$A$4:$A$1925,0)=ROW()-3,1,0))</f>
        <v>0</v>
      </c>
      <c r="C477" s="0" t="n">
        <f aca="false">N(C476)+B477</f>
        <v>11</v>
      </c>
      <c r="G477" s="0" t="n">
        <f aca="false">IF(OR($G$1="",资金日记账!$E470="",资金日记账!$E470&lt;&gt;$G$1),0,IF(NOT(OR(N(资金日记账!$H470)&lt;&gt;0,N(资金日记账!$I470)&lt;&gt;0)),0,IF(资金日记账!$B470="",1,IF(OR(N(资金日记账!$B470)&lt;$H$1,N(资金日记账!$B470)&gt;$I$1),0,1))))</f>
        <v>0</v>
      </c>
      <c r="H477" s="0" t="n">
        <f aca="false">N(H476)+$G477</f>
        <v>3</v>
      </c>
      <c r="I477" s="0" t="str">
        <f aca="false">IF($G477=0,"",IF(资金日记账!$B470=0,"",资金日记账!$B470))</f>
        <v/>
      </c>
      <c r="J477" s="0" t="str">
        <f aca="false">IF($G477=0,"",IF(资金日记账!$D470=0,"",资金日记账!$D470))</f>
        <v/>
      </c>
      <c r="K477" s="0" t="str">
        <f aca="false">IF($G477=0,"",IF(""=0,"",""))</f>
        <v/>
      </c>
      <c r="L477" s="0" t="str">
        <f aca="false">IF($G477=0,"",IF(""=0,"",""))</f>
        <v/>
      </c>
      <c r="M477" s="0" t="str">
        <f aca="false">IF($G477=0,"",IF(""=0,"",""))</f>
        <v/>
      </c>
      <c r="N477" s="0" t="str">
        <f aca="false">IF($G477=0,"",IF(IF(N(资金日记账!$I470)=0,"",-ROUND(N(资金日记账!$I470),2))=0,"",IF(N(资金日记账!$I470)=0,"",-ROUND(N(资金日记账!$I470),2))))</f>
        <v/>
      </c>
      <c r="O477" s="0" t="str">
        <f aca="false">IF($G477=0,"",IF(IF(N(资金日记账!$H470)=0,"",ROUND(N(资金日记账!$H470),2))=0,"",IF(N(资金日记账!$H470)=0,"",ROUND(N(资金日记账!$H470),2))))</f>
        <v/>
      </c>
      <c r="P477" s="0" t="str">
        <f aca="false">IF($G477=0,"",IF(资金日记账!$L470=0,"",资金日记账!$L470))</f>
        <v/>
      </c>
      <c r="T477" s="0" t="str">
        <f aca="false">IF(资金日记账!$G477="","",资金日记账!$G477)</f>
        <v/>
      </c>
      <c r="U477" s="0" t="n">
        <f aca="false">IF(T477="",0,IF(MATCH(T477,$T$4:$T$903,0)=ROW()-3,1,0))</f>
        <v>0</v>
      </c>
      <c r="V477" s="0" t="n">
        <f aca="false">N(V476)+U477</f>
        <v>30</v>
      </c>
      <c r="AF477" s="0" t="str">
        <f aca="false">IF(OR(资金日记账!$E477="",N(资金日记账!$H477)=0),"",资金日记账!$E477)</f>
        <v/>
      </c>
      <c r="AG477" s="0" t="n">
        <f aca="false">IF(AF477="",0,IF(MATCH(AF477,$AF$4:$AF$603,0)=ROW()-3,1,0))</f>
        <v>0</v>
      </c>
      <c r="AH477" s="0" t="n">
        <f aca="false">N(AH476)+AG477</f>
        <v>5</v>
      </c>
    </row>
    <row r="478" customFormat="false" ht="13.5" hidden="false" customHeight="false" outlineLevel="0" collapsed="false">
      <c r="A478" s="0" t="str">
        <f aca="false">IF(资金日记账!$E176="","",资金日记账!$E176)</f>
        <v/>
      </c>
      <c r="B478" s="0" t="n">
        <f aca="false">IF(A478="",0,IF(MATCH(A478,$A$4:$A$1925,0)=ROW()-3,1,0))</f>
        <v>0</v>
      </c>
      <c r="C478" s="0" t="n">
        <f aca="false">N(C477)+B478</f>
        <v>11</v>
      </c>
      <c r="G478" s="0" t="n">
        <f aca="false">IF(OR($G$1="",资金日记账!$E471="",资金日记账!$E471&lt;&gt;$G$1),0,IF(NOT(OR(N(资金日记账!$H471)&lt;&gt;0,N(资金日记账!$I471)&lt;&gt;0)),0,IF(资金日记账!$B471="",1,IF(OR(N(资金日记账!$B471)&lt;$H$1,N(资金日记账!$B471)&gt;$I$1),0,1))))</f>
        <v>0</v>
      </c>
      <c r="H478" s="0" t="n">
        <f aca="false">N(H477)+$G478</f>
        <v>3</v>
      </c>
      <c r="I478" s="0" t="str">
        <f aca="false">IF($G478=0,"",IF(资金日记账!$B471=0,"",资金日记账!$B471))</f>
        <v/>
      </c>
      <c r="J478" s="0" t="str">
        <f aca="false">IF($G478=0,"",IF(资金日记账!$D471=0,"",资金日记账!$D471))</f>
        <v/>
      </c>
      <c r="K478" s="0" t="str">
        <f aca="false">IF($G478=0,"",IF(""=0,"",""))</f>
        <v/>
      </c>
      <c r="L478" s="0" t="str">
        <f aca="false">IF($G478=0,"",IF(""=0,"",""))</f>
        <v/>
      </c>
      <c r="M478" s="0" t="str">
        <f aca="false">IF($G478=0,"",IF(""=0,"",""))</f>
        <v/>
      </c>
      <c r="N478" s="0" t="str">
        <f aca="false">IF($G478=0,"",IF(IF(N(资金日记账!$I471)=0,"",-ROUND(N(资金日记账!$I471),2))=0,"",IF(N(资金日记账!$I471)=0,"",-ROUND(N(资金日记账!$I471),2))))</f>
        <v/>
      </c>
      <c r="O478" s="0" t="str">
        <f aca="false">IF($G478=0,"",IF(IF(N(资金日记账!$H471)=0,"",ROUND(N(资金日记账!$H471),2))=0,"",IF(N(资金日记账!$H471)=0,"",ROUND(N(资金日记账!$H471),2))))</f>
        <v/>
      </c>
      <c r="P478" s="0" t="str">
        <f aca="false">IF($G478=0,"",IF(资金日记账!$L471=0,"",资金日记账!$L471))</f>
        <v/>
      </c>
      <c r="T478" s="0" t="str">
        <f aca="false">IF(资金日记账!$G478="","",资金日记账!$G478)</f>
        <v/>
      </c>
      <c r="U478" s="0" t="n">
        <f aca="false">IF(T478="",0,IF(MATCH(T478,$T$4:$T$903,0)=ROW()-3,1,0))</f>
        <v>0</v>
      </c>
      <c r="V478" s="0" t="n">
        <f aca="false">N(V477)+U478</f>
        <v>30</v>
      </c>
      <c r="AF478" s="0" t="str">
        <f aca="false">IF(OR(资金日记账!$E478="",N(资金日记账!$H478)=0),"",资金日记账!$E478)</f>
        <v/>
      </c>
      <c r="AG478" s="0" t="n">
        <f aca="false">IF(AF478="",0,IF(MATCH(AF478,$AF$4:$AF$603,0)=ROW()-3,1,0))</f>
        <v>0</v>
      </c>
      <c r="AH478" s="0" t="n">
        <f aca="false">N(AH477)+AG478</f>
        <v>5</v>
      </c>
    </row>
    <row r="479" customFormat="false" ht="13.5" hidden="false" customHeight="false" outlineLevel="0" collapsed="false">
      <c r="A479" s="0" t="str">
        <f aca="false">IF(资金日记账!$E177="","",资金日记账!$E177)</f>
        <v/>
      </c>
      <c r="B479" s="0" t="n">
        <f aca="false">IF(A479="",0,IF(MATCH(A479,$A$4:$A$1925,0)=ROW()-3,1,0))</f>
        <v>0</v>
      </c>
      <c r="C479" s="0" t="n">
        <f aca="false">N(C478)+B479</f>
        <v>11</v>
      </c>
      <c r="G479" s="0" t="n">
        <f aca="false">IF(OR($G$1="",资金日记账!$E472="",资金日记账!$E472&lt;&gt;$G$1),0,IF(NOT(OR(N(资金日记账!$H472)&lt;&gt;0,N(资金日记账!$I472)&lt;&gt;0)),0,IF(资金日记账!$B472="",1,IF(OR(N(资金日记账!$B472)&lt;$H$1,N(资金日记账!$B472)&gt;$I$1),0,1))))</f>
        <v>0</v>
      </c>
      <c r="H479" s="0" t="n">
        <f aca="false">N(H478)+$G479</f>
        <v>3</v>
      </c>
      <c r="I479" s="0" t="str">
        <f aca="false">IF($G479=0,"",IF(资金日记账!$B472=0,"",资金日记账!$B472))</f>
        <v/>
      </c>
      <c r="J479" s="0" t="str">
        <f aca="false">IF($G479=0,"",IF(资金日记账!$D472=0,"",资金日记账!$D472))</f>
        <v/>
      </c>
      <c r="K479" s="0" t="str">
        <f aca="false">IF($G479=0,"",IF(""=0,"",""))</f>
        <v/>
      </c>
      <c r="L479" s="0" t="str">
        <f aca="false">IF($G479=0,"",IF(""=0,"",""))</f>
        <v/>
      </c>
      <c r="M479" s="0" t="str">
        <f aca="false">IF($G479=0,"",IF(""=0,"",""))</f>
        <v/>
      </c>
      <c r="N479" s="0" t="str">
        <f aca="false">IF($G479=0,"",IF(IF(N(资金日记账!$I472)=0,"",-ROUND(N(资金日记账!$I472),2))=0,"",IF(N(资金日记账!$I472)=0,"",-ROUND(N(资金日记账!$I472),2))))</f>
        <v/>
      </c>
      <c r="O479" s="0" t="str">
        <f aca="false">IF($G479=0,"",IF(IF(N(资金日记账!$H472)=0,"",ROUND(N(资金日记账!$H472),2))=0,"",IF(N(资金日记账!$H472)=0,"",ROUND(N(资金日记账!$H472),2))))</f>
        <v/>
      </c>
      <c r="P479" s="0" t="str">
        <f aca="false">IF($G479=0,"",IF(资金日记账!$L472=0,"",资金日记账!$L472))</f>
        <v/>
      </c>
      <c r="T479" s="0" t="str">
        <f aca="false">IF(资金日记账!$G479="","",资金日记账!$G479)</f>
        <v/>
      </c>
      <c r="U479" s="0" t="n">
        <f aca="false">IF(T479="",0,IF(MATCH(T479,$T$4:$T$903,0)=ROW()-3,1,0))</f>
        <v>0</v>
      </c>
      <c r="V479" s="0" t="n">
        <f aca="false">N(V478)+U479</f>
        <v>30</v>
      </c>
      <c r="AF479" s="0" t="str">
        <f aca="false">IF(OR(资金日记账!$E479="",N(资金日记账!$H479)=0),"",资金日记账!$E479)</f>
        <v/>
      </c>
      <c r="AG479" s="0" t="n">
        <f aca="false">IF(AF479="",0,IF(MATCH(AF479,$AF$4:$AF$603,0)=ROW()-3,1,0))</f>
        <v>0</v>
      </c>
      <c r="AH479" s="0" t="n">
        <f aca="false">N(AH478)+AG479</f>
        <v>5</v>
      </c>
    </row>
    <row r="480" customFormat="false" ht="13.5" hidden="false" customHeight="false" outlineLevel="0" collapsed="false">
      <c r="A480" s="0" t="str">
        <f aca="false">IF(资金日记账!$E178="","",资金日记账!$E178)</f>
        <v/>
      </c>
      <c r="B480" s="0" t="n">
        <f aca="false">IF(A480="",0,IF(MATCH(A480,$A$4:$A$1925,0)=ROW()-3,1,0))</f>
        <v>0</v>
      </c>
      <c r="C480" s="0" t="n">
        <f aca="false">N(C479)+B480</f>
        <v>11</v>
      </c>
      <c r="G480" s="0" t="n">
        <f aca="false">IF(OR($G$1="",资金日记账!$E473="",资金日记账!$E473&lt;&gt;$G$1),0,IF(NOT(OR(N(资金日记账!$H473)&lt;&gt;0,N(资金日记账!$I473)&lt;&gt;0)),0,IF(资金日记账!$B473="",1,IF(OR(N(资金日记账!$B473)&lt;$H$1,N(资金日记账!$B473)&gt;$I$1),0,1))))</f>
        <v>0</v>
      </c>
      <c r="H480" s="0" t="n">
        <f aca="false">N(H479)+$G480</f>
        <v>3</v>
      </c>
      <c r="I480" s="0" t="str">
        <f aca="false">IF($G480=0,"",IF(资金日记账!$B473=0,"",资金日记账!$B473))</f>
        <v/>
      </c>
      <c r="J480" s="0" t="str">
        <f aca="false">IF($G480=0,"",IF(资金日记账!$D473=0,"",资金日记账!$D473))</f>
        <v/>
      </c>
      <c r="K480" s="0" t="str">
        <f aca="false">IF($G480=0,"",IF(""=0,"",""))</f>
        <v/>
      </c>
      <c r="L480" s="0" t="str">
        <f aca="false">IF($G480=0,"",IF(""=0,"",""))</f>
        <v/>
      </c>
      <c r="M480" s="0" t="str">
        <f aca="false">IF($G480=0,"",IF(""=0,"",""))</f>
        <v/>
      </c>
      <c r="N480" s="0" t="str">
        <f aca="false">IF($G480=0,"",IF(IF(N(资金日记账!$I473)=0,"",-ROUND(N(资金日记账!$I473),2))=0,"",IF(N(资金日记账!$I473)=0,"",-ROUND(N(资金日记账!$I473),2))))</f>
        <v/>
      </c>
      <c r="O480" s="0" t="str">
        <f aca="false">IF($G480=0,"",IF(IF(N(资金日记账!$H473)=0,"",ROUND(N(资金日记账!$H473),2))=0,"",IF(N(资金日记账!$H473)=0,"",ROUND(N(资金日记账!$H473),2))))</f>
        <v/>
      </c>
      <c r="P480" s="0" t="str">
        <f aca="false">IF($G480=0,"",IF(资金日记账!$L473=0,"",资金日记账!$L473))</f>
        <v/>
      </c>
      <c r="T480" s="0" t="str">
        <f aca="false">IF(资金日记账!$G480="","",资金日记账!$G480)</f>
        <v/>
      </c>
      <c r="U480" s="0" t="n">
        <f aca="false">IF(T480="",0,IF(MATCH(T480,$T$4:$T$903,0)=ROW()-3,1,0))</f>
        <v>0</v>
      </c>
      <c r="V480" s="0" t="n">
        <f aca="false">N(V479)+U480</f>
        <v>30</v>
      </c>
      <c r="AF480" s="0" t="str">
        <f aca="false">IF(OR(资金日记账!$E480="",N(资金日记账!$H480)=0),"",资金日记账!$E480)</f>
        <v/>
      </c>
      <c r="AG480" s="0" t="n">
        <f aca="false">IF(AF480="",0,IF(MATCH(AF480,$AF$4:$AF$603,0)=ROW()-3,1,0))</f>
        <v>0</v>
      </c>
      <c r="AH480" s="0" t="n">
        <f aca="false">N(AH479)+AG480</f>
        <v>5</v>
      </c>
    </row>
    <row r="481" customFormat="false" ht="13.5" hidden="false" customHeight="false" outlineLevel="0" collapsed="false">
      <c r="A481" s="0" t="str">
        <f aca="false">IF(资金日记账!$E179="","",资金日记账!$E179)</f>
        <v/>
      </c>
      <c r="B481" s="0" t="n">
        <f aca="false">IF(A481="",0,IF(MATCH(A481,$A$4:$A$1925,0)=ROW()-3,1,0))</f>
        <v>0</v>
      </c>
      <c r="C481" s="0" t="n">
        <f aca="false">N(C480)+B481</f>
        <v>11</v>
      </c>
      <c r="G481" s="0" t="n">
        <f aca="false">IF(OR($G$1="",资金日记账!$E474="",资金日记账!$E474&lt;&gt;$G$1),0,IF(NOT(OR(N(资金日记账!$H474)&lt;&gt;0,N(资金日记账!$I474)&lt;&gt;0)),0,IF(资金日记账!$B474="",1,IF(OR(N(资金日记账!$B474)&lt;$H$1,N(资金日记账!$B474)&gt;$I$1),0,1))))</f>
        <v>0</v>
      </c>
      <c r="H481" s="0" t="n">
        <f aca="false">N(H480)+$G481</f>
        <v>3</v>
      </c>
      <c r="I481" s="0" t="str">
        <f aca="false">IF($G481=0,"",IF(资金日记账!$B474=0,"",资金日记账!$B474))</f>
        <v/>
      </c>
      <c r="J481" s="0" t="str">
        <f aca="false">IF($G481=0,"",IF(资金日记账!$D474=0,"",资金日记账!$D474))</f>
        <v/>
      </c>
      <c r="K481" s="0" t="str">
        <f aca="false">IF($G481=0,"",IF(""=0,"",""))</f>
        <v/>
      </c>
      <c r="L481" s="0" t="str">
        <f aca="false">IF($G481=0,"",IF(""=0,"",""))</f>
        <v/>
      </c>
      <c r="M481" s="0" t="str">
        <f aca="false">IF($G481=0,"",IF(""=0,"",""))</f>
        <v/>
      </c>
      <c r="N481" s="0" t="str">
        <f aca="false">IF($G481=0,"",IF(IF(N(资金日记账!$I474)=0,"",-ROUND(N(资金日记账!$I474),2))=0,"",IF(N(资金日记账!$I474)=0,"",-ROUND(N(资金日记账!$I474),2))))</f>
        <v/>
      </c>
      <c r="O481" s="0" t="str">
        <f aca="false">IF($G481=0,"",IF(IF(N(资金日记账!$H474)=0,"",ROUND(N(资金日记账!$H474),2))=0,"",IF(N(资金日记账!$H474)=0,"",ROUND(N(资金日记账!$H474),2))))</f>
        <v/>
      </c>
      <c r="P481" s="0" t="str">
        <f aca="false">IF($G481=0,"",IF(资金日记账!$L474=0,"",资金日记账!$L474))</f>
        <v/>
      </c>
      <c r="T481" s="0" t="str">
        <f aca="false">IF(资金日记账!$G481="","",资金日记账!$G481)</f>
        <v/>
      </c>
      <c r="U481" s="0" t="n">
        <f aca="false">IF(T481="",0,IF(MATCH(T481,$T$4:$T$903,0)=ROW()-3,1,0))</f>
        <v>0</v>
      </c>
      <c r="V481" s="0" t="n">
        <f aca="false">N(V480)+U481</f>
        <v>30</v>
      </c>
      <c r="AF481" s="0" t="str">
        <f aca="false">IF(OR(资金日记账!$E481="",N(资金日记账!$H481)=0),"",资金日记账!$E481)</f>
        <v/>
      </c>
      <c r="AG481" s="0" t="n">
        <f aca="false">IF(AF481="",0,IF(MATCH(AF481,$AF$4:$AF$603,0)=ROW()-3,1,0))</f>
        <v>0</v>
      </c>
      <c r="AH481" s="0" t="n">
        <f aca="false">N(AH480)+AG481</f>
        <v>5</v>
      </c>
    </row>
    <row r="482" customFormat="false" ht="13.5" hidden="false" customHeight="false" outlineLevel="0" collapsed="false">
      <c r="A482" s="0" t="str">
        <f aca="false">IF(资金日记账!$E180="","",资金日记账!$E180)</f>
        <v/>
      </c>
      <c r="B482" s="0" t="n">
        <f aca="false">IF(A482="",0,IF(MATCH(A482,$A$4:$A$1925,0)=ROW()-3,1,0))</f>
        <v>0</v>
      </c>
      <c r="C482" s="0" t="n">
        <f aca="false">N(C481)+B482</f>
        <v>11</v>
      </c>
      <c r="G482" s="0" t="n">
        <f aca="false">IF(OR($G$1="",资金日记账!$E475="",资金日记账!$E475&lt;&gt;$G$1),0,IF(NOT(OR(N(资金日记账!$H475)&lt;&gt;0,N(资金日记账!$I475)&lt;&gt;0)),0,IF(资金日记账!$B475="",1,IF(OR(N(资金日记账!$B475)&lt;$H$1,N(资金日记账!$B475)&gt;$I$1),0,1))))</f>
        <v>0</v>
      </c>
      <c r="H482" s="0" t="n">
        <f aca="false">N(H481)+$G482</f>
        <v>3</v>
      </c>
      <c r="I482" s="0" t="str">
        <f aca="false">IF($G482=0,"",IF(资金日记账!$B475=0,"",资金日记账!$B475))</f>
        <v/>
      </c>
      <c r="J482" s="0" t="str">
        <f aca="false">IF($G482=0,"",IF(资金日记账!$D475=0,"",资金日记账!$D475))</f>
        <v/>
      </c>
      <c r="K482" s="0" t="str">
        <f aca="false">IF($G482=0,"",IF(""=0,"",""))</f>
        <v/>
      </c>
      <c r="L482" s="0" t="str">
        <f aca="false">IF($G482=0,"",IF(""=0,"",""))</f>
        <v/>
      </c>
      <c r="M482" s="0" t="str">
        <f aca="false">IF($G482=0,"",IF(""=0,"",""))</f>
        <v/>
      </c>
      <c r="N482" s="0" t="str">
        <f aca="false">IF($G482=0,"",IF(IF(N(资金日记账!$I475)=0,"",-ROUND(N(资金日记账!$I475),2))=0,"",IF(N(资金日记账!$I475)=0,"",-ROUND(N(资金日记账!$I475),2))))</f>
        <v/>
      </c>
      <c r="O482" s="0" t="str">
        <f aca="false">IF($G482=0,"",IF(IF(N(资金日记账!$H475)=0,"",ROUND(N(资金日记账!$H475),2))=0,"",IF(N(资金日记账!$H475)=0,"",ROUND(N(资金日记账!$H475),2))))</f>
        <v/>
      </c>
      <c r="P482" s="0" t="str">
        <f aca="false">IF($G482=0,"",IF(资金日记账!$L475=0,"",资金日记账!$L475))</f>
        <v/>
      </c>
      <c r="T482" s="0" t="str">
        <f aca="false">IF(资金日记账!$G482="","",资金日记账!$G482)</f>
        <v/>
      </c>
      <c r="U482" s="0" t="n">
        <f aca="false">IF(T482="",0,IF(MATCH(T482,$T$4:$T$903,0)=ROW()-3,1,0))</f>
        <v>0</v>
      </c>
      <c r="V482" s="0" t="n">
        <f aca="false">N(V481)+U482</f>
        <v>30</v>
      </c>
      <c r="AF482" s="0" t="str">
        <f aca="false">IF(OR(资金日记账!$E482="",N(资金日记账!$H482)=0),"",资金日记账!$E482)</f>
        <v/>
      </c>
      <c r="AG482" s="0" t="n">
        <f aca="false">IF(AF482="",0,IF(MATCH(AF482,$AF$4:$AF$603,0)=ROW()-3,1,0))</f>
        <v>0</v>
      </c>
      <c r="AH482" s="0" t="n">
        <f aca="false">N(AH481)+AG482</f>
        <v>5</v>
      </c>
    </row>
    <row r="483" customFormat="false" ht="13.5" hidden="false" customHeight="false" outlineLevel="0" collapsed="false">
      <c r="A483" s="0" t="str">
        <f aca="false">IF(资金日记账!$E181="","",资金日记账!$E181)</f>
        <v/>
      </c>
      <c r="B483" s="0" t="n">
        <f aca="false">IF(A483="",0,IF(MATCH(A483,$A$4:$A$1925,0)=ROW()-3,1,0))</f>
        <v>0</v>
      </c>
      <c r="C483" s="0" t="n">
        <f aca="false">N(C482)+B483</f>
        <v>11</v>
      </c>
      <c r="G483" s="0" t="n">
        <f aca="false">IF(OR($G$1="",资金日记账!$E476="",资金日记账!$E476&lt;&gt;$G$1),0,IF(NOT(OR(N(资金日记账!$H476)&lt;&gt;0,N(资金日记账!$I476)&lt;&gt;0)),0,IF(资金日记账!$B476="",1,IF(OR(N(资金日记账!$B476)&lt;$H$1,N(资金日记账!$B476)&gt;$I$1),0,1))))</f>
        <v>0</v>
      </c>
      <c r="H483" s="0" t="n">
        <f aca="false">N(H482)+$G483</f>
        <v>3</v>
      </c>
      <c r="I483" s="0" t="str">
        <f aca="false">IF($G483=0,"",IF(资金日记账!$B476=0,"",资金日记账!$B476))</f>
        <v/>
      </c>
      <c r="J483" s="0" t="str">
        <f aca="false">IF($G483=0,"",IF(资金日记账!$D476=0,"",资金日记账!$D476))</f>
        <v/>
      </c>
      <c r="K483" s="0" t="str">
        <f aca="false">IF($G483=0,"",IF(""=0,"",""))</f>
        <v/>
      </c>
      <c r="L483" s="0" t="str">
        <f aca="false">IF($G483=0,"",IF(""=0,"",""))</f>
        <v/>
      </c>
      <c r="M483" s="0" t="str">
        <f aca="false">IF($G483=0,"",IF(""=0,"",""))</f>
        <v/>
      </c>
      <c r="N483" s="0" t="str">
        <f aca="false">IF($G483=0,"",IF(IF(N(资金日记账!$I476)=0,"",-ROUND(N(资金日记账!$I476),2))=0,"",IF(N(资金日记账!$I476)=0,"",-ROUND(N(资金日记账!$I476),2))))</f>
        <v/>
      </c>
      <c r="O483" s="0" t="str">
        <f aca="false">IF($G483=0,"",IF(IF(N(资金日记账!$H476)=0,"",ROUND(N(资金日记账!$H476),2))=0,"",IF(N(资金日记账!$H476)=0,"",ROUND(N(资金日记账!$H476),2))))</f>
        <v/>
      </c>
      <c r="P483" s="0" t="str">
        <f aca="false">IF($G483=0,"",IF(资金日记账!$L476=0,"",资金日记账!$L476))</f>
        <v/>
      </c>
      <c r="T483" s="0" t="str">
        <f aca="false">IF(资金日记账!$G483="","",资金日记账!$G483)</f>
        <v/>
      </c>
      <c r="U483" s="0" t="n">
        <f aca="false">IF(T483="",0,IF(MATCH(T483,$T$4:$T$903,0)=ROW()-3,1,0))</f>
        <v>0</v>
      </c>
      <c r="V483" s="0" t="n">
        <f aca="false">N(V482)+U483</f>
        <v>30</v>
      </c>
      <c r="AF483" s="0" t="str">
        <f aca="false">IF(OR(资金日记账!$E483="",N(资金日记账!$H483)=0),"",资金日记账!$E483)</f>
        <v/>
      </c>
      <c r="AG483" s="0" t="n">
        <f aca="false">IF(AF483="",0,IF(MATCH(AF483,$AF$4:$AF$603,0)=ROW()-3,1,0))</f>
        <v>0</v>
      </c>
      <c r="AH483" s="0" t="n">
        <f aca="false">N(AH482)+AG483</f>
        <v>5</v>
      </c>
    </row>
    <row r="484" customFormat="false" ht="13.5" hidden="false" customHeight="false" outlineLevel="0" collapsed="false">
      <c r="A484" s="0" t="str">
        <f aca="false">IF(资金日记账!$E182="","",资金日记账!$E182)</f>
        <v/>
      </c>
      <c r="B484" s="0" t="n">
        <f aca="false">IF(A484="",0,IF(MATCH(A484,$A$4:$A$1925,0)=ROW()-3,1,0))</f>
        <v>0</v>
      </c>
      <c r="C484" s="0" t="n">
        <f aca="false">N(C483)+B484</f>
        <v>11</v>
      </c>
      <c r="G484" s="0" t="n">
        <f aca="false">IF(OR($G$1="",资金日记账!$E477="",资金日记账!$E477&lt;&gt;$G$1),0,IF(NOT(OR(N(资金日记账!$H477)&lt;&gt;0,N(资金日记账!$I477)&lt;&gt;0)),0,IF(资金日记账!$B477="",1,IF(OR(N(资金日记账!$B477)&lt;$H$1,N(资金日记账!$B477)&gt;$I$1),0,1))))</f>
        <v>0</v>
      </c>
      <c r="H484" s="0" t="n">
        <f aca="false">N(H483)+$G484</f>
        <v>3</v>
      </c>
      <c r="I484" s="0" t="str">
        <f aca="false">IF($G484=0,"",IF(资金日记账!$B477=0,"",资金日记账!$B477))</f>
        <v/>
      </c>
      <c r="J484" s="0" t="str">
        <f aca="false">IF($G484=0,"",IF(资金日记账!$D477=0,"",资金日记账!$D477))</f>
        <v/>
      </c>
      <c r="K484" s="0" t="str">
        <f aca="false">IF($G484=0,"",IF(""=0,"",""))</f>
        <v/>
      </c>
      <c r="L484" s="0" t="str">
        <f aca="false">IF($G484=0,"",IF(""=0,"",""))</f>
        <v/>
      </c>
      <c r="M484" s="0" t="str">
        <f aca="false">IF($G484=0,"",IF(""=0,"",""))</f>
        <v/>
      </c>
      <c r="N484" s="0" t="str">
        <f aca="false">IF($G484=0,"",IF(IF(N(资金日记账!$I477)=0,"",-ROUND(N(资金日记账!$I477),2))=0,"",IF(N(资金日记账!$I477)=0,"",-ROUND(N(资金日记账!$I477),2))))</f>
        <v/>
      </c>
      <c r="O484" s="0" t="str">
        <f aca="false">IF($G484=0,"",IF(IF(N(资金日记账!$H477)=0,"",ROUND(N(资金日记账!$H477),2))=0,"",IF(N(资金日记账!$H477)=0,"",ROUND(N(资金日记账!$H477),2))))</f>
        <v/>
      </c>
      <c r="P484" s="0" t="str">
        <f aca="false">IF($G484=0,"",IF(资金日记账!$L477=0,"",资金日记账!$L477))</f>
        <v/>
      </c>
      <c r="T484" s="0" t="str">
        <f aca="false">IF(资金日记账!$G484="","",资金日记账!$G484)</f>
        <v/>
      </c>
      <c r="U484" s="0" t="n">
        <f aca="false">IF(T484="",0,IF(MATCH(T484,$T$4:$T$903,0)=ROW()-3,1,0))</f>
        <v>0</v>
      </c>
      <c r="V484" s="0" t="n">
        <f aca="false">N(V483)+U484</f>
        <v>30</v>
      </c>
      <c r="AF484" s="0" t="str">
        <f aca="false">IF(OR(资金日记账!$E484="",N(资金日记账!$H484)=0),"",资金日记账!$E484)</f>
        <v/>
      </c>
      <c r="AG484" s="0" t="n">
        <f aca="false">IF(AF484="",0,IF(MATCH(AF484,$AF$4:$AF$603,0)=ROW()-3,1,0))</f>
        <v>0</v>
      </c>
      <c r="AH484" s="0" t="n">
        <f aca="false">N(AH483)+AG484</f>
        <v>5</v>
      </c>
    </row>
    <row r="485" customFormat="false" ht="13.5" hidden="false" customHeight="false" outlineLevel="0" collapsed="false">
      <c r="A485" s="0" t="str">
        <f aca="false">IF(资金日记账!$E183="","",资金日记账!$E183)</f>
        <v/>
      </c>
      <c r="B485" s="0" t="n">
        <f aca="false">IF(A485="",0,IF(MATCH(A485,$A$4:$A$1925,0)=ROW()-3,1,0))</f>
        <v>0</v>
      </c>
      <c r="C485" s="0" t="n">
        <f aca="false">N(C484)+B485</f>
        <v>11</v>
      </c>
      <c r="G485" s="0" t="n">
        <f aca="false">IF(OR($G$1="",资金日记账!$E478="",资金日记账!$E478&lt;&gt;$G$1),0,IF(NOT(OR(N(资金日记账!$H478)&lt;&gt;0,N(资金日记账!$I478)&lt;&gt;0)),0,IF(资金日记账!$B478="",1,IF(OR(N(资金日记账!$B478)&lt;$H$1,N(资金日记账!$B478)&gt;$I$1),0,1))))</f>
        <v>0</v>
      </c>
      <c r="H485" s="0" t="n">
        <f aca="false">N(H484)+$G485</f>
        <v>3</v>
      </c>
      <c r="I485" s="0" t="str">
        <f aca="false">IF($G485=0,"",IF(资金日记账!$B478=0,"",资金日记账!$B478))</f>
        <v/>
      </c>
      <c r="J485" s="0" t="str">
        <f aca="false">IF($G485=0,"",IF(资金日记账!$D478=0,"",资金日记账!$D478))</f>
        <v/>
      </c>
      <c r="K485" s="0" t="str">
        <f aca="false">IF($G485=0,"",IF(""=0,"",""))</f>
        <v/>
      </c>
      <c r="L485" s="0" t="str">
        <f aca="false">IF($G485=0,"",IF(""=0,"",""))</f>
        <v/>
      </c>
      <c r="M485" s="0" t="str">
        <f aca="false">IF($G485=0,"",IF(""=0,"",""))</f>
        <v/>
      </c>
      <c r="N485" s="0" t="str">
        <f aca="false">IF($G485=0,"",IF(IF(N(资金日记账!$I478)=0,"",-ROUND(N(资金日记账!$I478),2))=0,"",IF(N(资金日记账!$I478)=0,"",-ROUND(N(资金日记账!$I478),2))))</f>
        <v/>
      </c>
      <c r="O485" s="0" t="str">
        <f aca="false">IF($G485=0,"",IF(IF(N(资金日记账!$H478)=0,"",ROUND(N(资金日记账!$H478),2))=0,"",IF(N(资金日记账!$H478)=0,"",ROUND(N(资金日记账!$H478),2))))</f>
        <v/>
      </c>
      <c r="P485" s="0" t="str">
        <f aca="false">IF($G485=0,"",IF(资金日记账!$L478=0,"",资金日记账!$L478))</f>
        <v/>
      </c>
      <c r="T485" s="0" t="str">
        <f aca="false">IF(资金日记账!$G485="","",资金日记账!$G485)</f>
        <v/>
      </c>
      <c r="U485" s="0" t="n">
        <f aca="false">IF(T485="",0,IF(MATCH(T485,$T$4:$T$903,0)=ROW()-3,1,0))</f>
        <v>0</v>
      </c>
      <c r="V485" s="0" t="n">
        <f aca="false">N(V484)+U485</f>
        <v>30</v>
      </c>
      <c r="AF485" s="0" t="str">
        <f aca="false">IF(OR(资金日记账!$E485="",N(资金日记账!$H485)=0),"",资金日记账!$E485)</f>
        <v/>
      </c>
      <c r="AG485" s="0" t="n">
        <f aca="false">IF(AF485="",0,IF(MATCH(AF485,$AF$4:$AF$603,0)=ROW()-3,1,0))</f>
        <v>0</v>
      </c>
      <c r="AH485" s="0" t="n">
        <f aca="false">N(AH484)+AG485</f>
        <v>5</v>
      </c>
    </row>
    <row r="486" customFormat="false" ht="13.5" hidden="false" customHeight="false" outlineLevel="0" collapsed="false">
      <c r="A486" s="0" t="str">
        <f aca="false">IF(资金日记账!$E184="","",资金日记账!$E184)</f>
        <v/>
      </c>
      <c r="B486" s="0" t="n">
        <f aca="false">IF(A486="",0,IF(MATCH(A486,$A$4:$A$1925,0)=ROW()-3,1,0))</f>
        <v>0</v>
      </c>
      <c r="C486" s="0" t="n">
        <f aca="false">N(C485)+B486</f>
        <v>11</v>
      </c>
      <c r="G486" s="0" t="n">
        <f aca="false">IF(OR($G$1="",资金日记账!$E479="",资金日记账!$E479&lt;&gt;$G$1),0,IF(NOT(OR(N(资金日记账!$H479)&lt;&gt;0,N(资金日记账!$I479)&lt;&gt;0)),0,IF(资金日记账!$B479="",1,IF(OR(N(资金日记账!$B479)&lt;$H$1,N(资金日记账!$B479)&gt;$I$1),0,1))))</f>
        <v>0</v>
      </c>
      <c r="H486" s="0" t="n">
        <f aca="false">N(H485)+$G486</f>
        <v>3</v>
      </c>
      <c r="I486" s="0" t="str">
        <f aca="false">IF($G486=0,"",IF(资金日记账!$B479=0,"",资金日记账!$B479))</f>
        <v/>
      </c>
      <c r="J486" s="0" t="str">
        <f aca="false">IF($G486=0,"",IF(资金日记账!$D479=0,"",资金日记账!$D479))</f>
        <v/>
      </c>
      <c r="K486" s="0" t="str">
        <f aca="false">IF($G486=0,"",IF(""=0,"",""))</f>
        <v/>
      </c>
      <c r="L486" s="0" t="str">
        <f aca="false">IF($G486=0,"",IF(""=0,"",""))</f>
        <v/>
      </c>
      <c r="M486" s="0" t="str">
        <f aca="false">IF($G486=0,"",IF(""=0,"",""))</f>
        <v/>
      </c>
      <c r="N486" s="0" t="str">
        <f aca="false">IF($G486=0,"",IF(IF(N(资金日记账!$I479)=0,"",-ROUND(N(资金日记账!$I479),2))=0,"",IF(N(资金日记账!$I479)=0,"",-ROUND(N(资金日记账!$I479),2))))</f>
        <v/>
      </c>
      <c r="O486" s="0" t="str">
        <f aca="false">IF($G486=0,"",IF(IF(N(资金日记账!$H479)=0,"",ROUND(N(资金日记账!$H479),2))=0,"",IF(N(资金日记账!$H479)=0,"",ROUND(N(资金日记账!$H479),2))))</f>
        <v/>
      </c>
      <c r="P486" s="0" t="str">
        <f aca="false">IF($G486=0,"",IF(资金日记账!$L479=0,"",资金日记账!$L479))</f>
        <v/>
      </c>
      <c r="T486" s="0" t="str">
        <f aca="false">IF(资金日记账!$G486="","",资金日记账!$G486)</f>
        <v/>
      </c>
      <c r="U486" s="0" t="n">
        <f aca="false">IF(T486="",0,IF(MATCH(T486,$T$4:$T$903,0)=ROW()-3,1,0))</f>
        <v>0</v>
      </c>
      <c r="V486" s="0" t="n">
        <f aca="false">N(V485)+U486</f>
        <v>30</v>
      </c>
      <c r="AF486" s="0" t="str">
        <f aca="false">IF(OR(资金日记账!$E486="",N(资金日记账!$H486)=0),"",资金日记账!$E486)</f>
        <v/>
      </c>
      <c r="AG486" s="0" t="n">
        <f aca="false">IF(AF486="",0,IF(MATCH(AF486,$AF$4:$AF$603,0)=ROW()-3,1,0))</f>
        <v>0</v>
      </c>
      <c r="AH486" s="0" t="n">
        <f aca="false">N(AH485)+AG486</f>
        <v>5</v>
      </c>
    </row>
    <row r="487" customFormat="false" ht="13.5" hidden="false" customHeight="false" outlineLevel="0" collapsed="false">
      <c r="A487" s="0" t="str">
        <f aca="false">IF(资金日记账!$E185="","",资金日记账!$E185)</f>
        <v/>
      </c>
      <c r="B487" s="0" t="n">
        <f aca="false">IF(A487="",0,IF(MATCH(A487,$A$4:$A$1925,0)=ROW()-3,1,0))</f>
        <v>0</v>
      </c>
      <c r="C487" s="0" t="n">
        <f aca="false">N(C486)+B487</f>
        <v>11</v>
      </c>
      <c r="G487" s="0" t="n">
        <f aca="false">IF(OR($G$1="",资金日记账!$E480="",资金日记账!$E480&lt;&gt;$G$1),0,IF(NOT(OR(N(资金日记账!$H480)&lt;&gt;0,N(资金日记账!$I480)&lt;&gt;0)),0,IF(资金日记账!$B480="",1,IF(OR(N(资金日记账!$B480)&lt;$H$1,N(资金日记账!$B480)&gt;$I$1),0,1))))</f>
        <v>0</v>
      </c>
      <c r="H487" s="0" t="n">
        <f aca="false">N(H486)+$G487</f>
        <v>3</v>
      </c>
      <c r="I487" s="0" t="str">
        <f aca="false">IF($G487=0,"",IF(资金日记账!$B480=0,"",资金日记账!$B480))</f>
        <v/>
      </c>
      <c r="J487" s="0" t="str">
        <f aca="false">IF($G487=0,"",IF(资金日记账!$D480=0,"",资金日记账!$D480))</f>
        <v/>
      </c>
      <c r="K487" s="0" t="str">
        <f aca="false">IF($G487=0,"",IF(""=0,"",""))</f>
        <v/>
      </c>
      <c r="L487" s="0" t="str">
        <f aca="false">IF($G487=0,"",IF(""=0,"",""))</f>
        <v/>
      </c>
      <c r="M487" s="0" t="str">
        <f aca="false">IF($G487=0,"",IF(""=0,"",""))</f>
        <v/>
      </c>
      <c r="N487" s="0" t="str">
        <f aca="false">IF($G487=0,"",IF(IF(N(资金日记账!$I480)=0,"",-ROUND(N(资金日记账!$I480),2))=0,"",IF(N(资金日记账!$I480)=0,"",-ROUND(N(资金日记账!$I480),2))))</f>
        <v/>
      </c>
      <c r="O487" s="0" t="str">
        <f aca="false">IF($G487=0,"",IF(IF(N(资金日记账!$H480)=0,"",ROUND(N(资金日记账!$H480),2))=0,"",IF(N(资金日记账!$H480)=0,"",ROUND(N(资金日记账!$H480),2))))</f>
        <v/>
      </c>
      <c r="P487" s="0" t="str">
        <f aca="false">IF($G487=0,"",IF(资金日记账!$L480=0,"",资金日记账!$L480))</f>
        <v/>
      </c>
      <c r="T487" s="0" t="str">
        <f aca="false">IF(资金日记账!$G487="","",资金日记账!$G487)</f>
        <v/>
      </c>
      <c r="U487" s="0" t="n">
        <f aca="false">IF(T487="",0,IF(MATCH(T487,$T$4:$T$903,0)=ROW()-3,1,0))</f>
        <v>0</v>
      </c>
      <c r="V487" s="0" t="n">
        <f aca="false">N(V486)+U487</f>
        <v>30</v>
      </c>
      <c r="AF487" s="0" t="str">
        <f aca="false">IF(OR(资金日记账!$E487="",N(资金日记账!$H487)=0),"",资金日记账!$E487)</f>
        <v/>
      </c>
      <c r="AG487" s="0" t="n">
        <f aca="false">IF(AF487="",0,IF(MATCH(AF487,$AF$4:$AF$603,0)=ROW()-3,1,0))</f>
        <v>0</v>
      </c>
      <c r="AH487" s="0" t="n">
        <f aca="false">N(AH486)+AG487</f>
        <v>5</v>
      </c>
    </row>
    <row r="488" customFormat="false" ht="13.5" hidden="false" customHeight="false" outlineLevel="0" collapsed="false">
      <c r="A488" s="0" t="str">
        <f aca="false">IF(资金日记账!$E186="","",资金日记账!$E186)</f>
        <v/>
      </c>
      <c r="B488" s="0" t="n">
        <f aca="false">IF(A488="",0,IF(MATCH(A488,$A$4:$A$1925,0)=ROW()-3,1,0))</f>
        <v>0</v>
      </c>
      <c r="C488" s="0" t="n">
        <f aca="false">N(C487)+B488</f>
        <v>11</v>
      </c>
      <c r="G488" s="0" t="n">
        <f aca="false">IF(OR($G$1="",资金日记账!$E481="",资金日记账!$E481&lt;&gt;$G$1),0,IF(NOT(OR(N(资金日记账!$H481)&lt;&gt;0,N(资金日记账!$I481)&lt;&gt;0)),0,IF(资金日记账!$B481="",1,IF(OR(N(资金日记账!$B481)&lt;$H$1,N(资金日记账!$B481)&gt;$I$1),0,1))))</f>
        <v>0</v>
      </c>
      <c r="H488" s="0" t="n">
        <f aca="false">N(H487)+$G488</f>
        <v>3</v>
      </c>
      <c r="I488" s="0" t="str">
        <f aca="false">IF($G488=0,"",IF(资金日记账!$B481=0,"",资金日记账!$B481))</f>
        <v/>
      </c>
      <c r="J488" s="0" t="str">
        <f aca="false">IF($G488=0,"",IF(资金日记账!$D481=0,"",资金日记账!$D481))</f>
        <v/>
      </c>
      <c r="K488" s="0" t="str">
        <f aca="false">IF($G488=0,"",IF(""=0,"",""))</f>
        <v/>
      </c>
      <c r="L488" s="0" t="str">
        <f aca="false">IF($G488=0,"",IF(""=0,"",""))</f>
        <v/>
      </c>
      <c r="M488" s="0" t="str">
        <f aca="false">IF($G488=0,"",IF(""=0,"",""))</f>
        <v/>
      </c>
      <c r="N488" s="0" t="str">
        <f aca="false">IF($G488=0,"",IF(IF(N(资金日记账!$I481)=0,"",-ROUND(N(资金日记账!$I481),2))=0,"",IF(N(资金日记账!$I481)=0,"",-ROUND(N(资金日记账!$I481),2))))</f>
        <v/>
      </c>
      <c r="O488" s="0" t="str">
        <f aca="false">IF($G488=0,"",IF(IF(N(资金日记账!$H481)=0,"",ROUND(N(资金日记账!$H481),2))=0,"",IF(N(资金日记账!$H481)=0,"",ROUND(N(资金日记账!$H481),2))))</f>
        <v/>
      </c>
      <c r="P488" s="0" t="str">
        <f aca="false">IF($G488=0,"",IF(资金日记账!$L481=0,"",资金日记账!$L481))</f>
        <v/>
      </c>
      <c r="T488" s="0" t="str">
        <f aca="false">IF(资金日记账!$G488="","",资金日记账!$G488)</f>
        <v/>
      </c>
      <c r="U488" s="0" t="n">
        <f aca="false">IF(T488="",0,IF(MATCH(T488,$T$4:$T$903,0)=ROW()-3,1,0))</f>
        <v>0</v>
      </c>
      <c r="V488" s="0" t="n">
        <f aca="false">N(V487)+U488</f>
        <v>30</v>
      </c>
      <c r="AF488" s="0" t="str">
        <f aca="false">IF(OR(资金日记账!$E488="",N(资金日记账!$H488)=0),"",资金日记账!$E488)</f>
        <v/>
      </c>
      <c r="AG488" s="0" t="n">
        <f aca="false">IF(AF488="",0,IF(MATCH(AF488,$AF$4:$AF$603,0)=ROW()-3,1,0))</f>
        <v>0</v>
      </c>
      <c r="AH488" s="0" t="n">
        <f aca="false">N(AH487)+AG488</f>
        <v>5</v>
      </c>
    </row>
    <row r="489" customFormat="false" ht="13.5" hidden="false" customHeight="false" outlineLevel="0" collapsed="false">
      <c r="A489" s="0" t="str">
        <f aca="false">IF(资金日记账!$E187="","",资金日记账!$E187)</f>
        <v/>
      </c>
      <c r="B489" s="0" t="n">
        <f aca="false">IF(A489="",0,IF(MATCH(A489,$A$4:$A$1925,0)=ROW()-3,1,0))</f>
        <v>0</v>
      </c>
      <c r="C489" s="0" t="n">
        <f aca="false">N(C488)+B489</f>
        <v>11</v>
      </c>
      <c r="G489" s="0" t="n">
        <f aca="false">IF(OR($G$1="",资金日记账!$E482="",资金日记账!$E482&lt;&gt;$G$1),0,IF(NOT(OR(N(资金日记账!$H482)&lt;&gt;0,N(资金日记账!$I482)&lt;&gt;0)),0,IF(资金日记账!$B482="",1,IF(OR(N(资金日记账!$B482)&lt;$H$1,N(资金日记账!$B482)&gt;$I$1),0,1))))</f>
        <v>0</v>
      </c>
      <c r="H489" s="0" t="n">
        <f aca="false">N(H488)+$G489</f>
        <v>3</v>
      </c>
      <c r="I489" s="0" t="str">
        <f aca="false">IF($G489=0,"",IF(资金日记账!$B482=0,"",资金日记账!$B482))</f>
        <v/>
      </c>
      <c r="J489" s="0" t="str">
        <f aca="false">IF($G489=0,"",IF(资金日记账!$D482=0,"",资金日记账!$D482))</f>
        <v/>
      </c>
      <c r="K489" s="0" t="str">
        <f aca="false">IF($G489=0,"",IF(""=0,"",""))</f>
        <v/>
      </c>
      <c r="L489" s="0" t="str">
        <f aca="false">IF($G489=0,"",IF(""=0,"",""))</f>
        <v/>
      </c>
      <c r="M489" s="0" t="str">
        <f aca="false">IF($G489=0,"",IF(""=0,"",""))</f>
        <v/>
      </c>
      <c r="N489" s="0" t="str">
        <f aca="false">IF($G489=0,"",IF(IF(N(资金日记账!$I482)=0,"",-ROUND(N(资金日记账!$I482),2))=0,"",IF(N(资金日记账!$I482)=0,"",-ROUND(N(资金日记账!$I482),2))))</f>
        <v/>
      </c>
      <c r="O489" s="0" t="str">
        <f aca="false">IF($G489=0,"",IF(IF(N(资金日记账!$H482)=0,"",ROUND(N(资金日记账!$H482),2))=0,"",IF(N(资金日记账!$H482)=0,"",ROUND(N(资金日记账!$H482),2))))</f>
        <v/>
      </c>
      <c r="P489" s="0" t="str">
        <f aca="false">IF($G489=0,"",IF(资金日记账!$L482=0,"",资金日记账!$L482))</f>
        <v/>
      </c>
      <c r="T489" s="0" t="str">
        <f aca="false">IF(资金日记账!$G489="","",资金日记账!$G489)</f>
        <v/>
      </c>
      <c r="U489" s="0" t="n">
        <f aca="false">IF(T489="",0,IF(MATCH(T489,$T$4:$T$903,0)=ROW()-3,1,0))</f>
        <v>0</v>
      </c>
      <c r="V489" s="0" t="n">
        <f aca="false">N(V488)+U489</f>
        <v>30</v>
      </c>
      <c r="AF489" s="0" t="str">
        <f aca="false">IF(OR(资金日记账!$E489="",N(资金日记账!$H489)=0),"",资金日记账!$E489)</f>
        <v/>
      </c>
      <c r="AG489" s="0" t="n">
        <f aca="false">IF(AF489="",0,IF(MATCH(AF489,$AF$4:$AF$603,0)=ROW()-3,1,0))</f>
        <v>0</v>
      </c>
      <c r="AH489" s="0" t="n">
        <f aca="false">N(AH488)+AG489</f>
        <v>5</v>
      </c>
    </row>
    <row r="490" customFormat="false" ht="13.5" hidden="false" customHeight="false" outlineLevel="0" collapsed="false">
      <c r="A490" s="0" t="str">
        <f aca="false">IF(资金日记账!$E188="","",资金日记账!$E188)</f>
        <v/>
      </c>
      <c r="B490" s="0" t="n">
        <f aca="false">IF(A490="",0,IF(MATCH(A490,$A$4:$A$1925,0)=ROW()-3,1,0))</f>
        <v>0</v>
      </c>
      <c r="C490" s="0" t="n">
        <f aca="false">N(C489)+B490</f>
        <v>11</v>
      </c>
      <c r="G490" s="0" t="n">
        <f aca="false">IF(OR($G$1="",资金日记账!$E483="",资金日记账!$E483&lt;&gt;$G$1),0,IF(NOT(OR(N(资金日记账!$H483)&lt;&gt;0,N(资金日记账!$I483)&lt;&gt;0)),0,IF(资金日记账!$B483="",1,IF(OR(N(资金日记账!$B483)&lt;$H$1,N(资金日记账!$B483)&gt;$I$1),0,1))))</f>
        <v>0</v>
      </c>
      <c r="H490" s="0" t="n">
        <f aca="false">N(H489)+$G490</f>
        <v>3</v>
      </c>
      <c r="I490" s="0" t="str">
        <f aca="false">IF($G490=0,"",IF(资金日记账!$B483=0,"",资金日记账!$B483))</f>
        <v/>
      </c>
      <c r="J490" s="0" t="str">
        <f aca="false">IF($G490=0,"",IF(资金日记账!$D483=0,"",资金日记账!$D483))</f>
        <v/>
      </c>
      <c r="K490" s="0" t="str">
        <f aca="false">IF($G490=0,"",IF(""=0,"",""))</f>
        <v/>
      </c>
      <c r="L490" s="0" t="str">
        <f aca="false">IF($G490=0,"",IF(""=0,"",""))</f>
        <v/>
      </c>
      <c r="M490" s="0" t="str">
        <f aca="false">IF($G490=0,"",IF(""=0,"",""))</f>
        <v/>
      </c>
      <c r="N490" s="0" t="str">
        <f aca="false">IF($G490=0,"",IF(IF(N(资金日记账!$I483)=0,"",-ROUND(N(资金日记账!$I483),2))=0,"",IF(N(资金日记账!$I483)=0,"",-ROUND(N(资金日记账!$I483),2))))</f>
        <v/>
      </c>
      <c r="O490" s="0" t="str">
        <f aca="false">IF($G490=0,"",IF(IF(N(资金日记账!$H483)=0,"",ROUND(N(资金日记账!$H483),2))=0,"",IF(N(资金日记账!$H483)=0,"",ROUND(N(资金日记账!$H483),2))))</f>
        <v/>
      </c>
      <c r="P490" s="0" t="str">
        <f aca="false">IF($G490=0,"",IF(资金日记账!$L483=0,"",资金日记账!$L483))</f>
        <v/>
      </c>
      <c r="T490" s="0" t="str">
        <f aca="false">IF(资金日记账!$G490="","",资金日记账!$G490)</f>
        <v/>
      </c>
      <c r="U490" s="0" t="n">
        <f aca="false">IF(T490="",0,IF(MATCH(T490,$T$4:$T$903,0)=ROW()-3,1,0))</f>
        <v>0</v>
      </c>
      <c r="V490" s="0" t="n">
        <f aca="false">N(V489)+U490</f>
        <v>30</v>
      </c>
      <c r="AF490" s="0" t="str">
        <f aca="false">IF(OR(资金日记账!$E490="",N(资金日记账!$H490)=0),"",资金日记账!$E490)</f>
        <v/>
      </c>
      <c r="AG490" s="0" t="n">
        <f aca="false">IF(AF490="",0,IF(MATCH(AF490,$AF$4:$AF$603,0)=ROW()-3,1,0))</f>
        <v>0</v>
      </c>
      <c r="AH490" s="0" t="n">
        <f aca="false">N(AH489)+AG490</f>
        <v>5</v>
      </c>
    </row>
    <row r="491" customFormat="false" ht="13.5" hidden="false" customHeight="false" outlineLevel="0" collapsed="false">
      <c r="A491" s="0" t="str">
        <f aca="false">IF(资金日记账!$E189="","",资金日记账!$E189)</f>
        <v/>
      </c>
      <c r="B491" s="0" t="n">
        <f aca="false">IF(A491="",0,IF(MATCH(A491,$A$4:$A$1925,0)=ROW()-3,1,0))</f>
        <v>0</v>
      </c>
      <c r="C491" s="0" t="n">
        <f aca="false">N(C490)+B491</f>
        <v>11</v>
      </c>
      <c r="G491" s="0" t="n">
        <f aca="false">IF(OR($G$1="",资金日记账!$E484="",资金日记账!$E484&lt;&gt;$G$1),0,IF(NOT(OR(N(资金日记账!$H484)&lt;&gt;0,N(资金日记账!$I484)&lt;&gt;0)),0,IF(资金日记账!$B484="",1,IF(OR(N(资金日记账!$B484)&lt;$H$1,N(资金日记账!$B484)&gt;$I$1),0,1))))</f>
        <v>0</v>
      </c>
      <c r="H491" s="0" t="n">
        <f aca="false">N(H490)+$G491</f>
        <v>3</v>
      </c>
      <c r="I491" s="0" t="str">
        <f aca="false">IF($G491=0,"",IF(资金日记账!$B484=0,"",资金日记账!$B484))</f>
        <v/>
      </c>
      <c r="J491" s="0" t="str">
        <f aca="false">IF($G491=0,"",IF(资金日记账!$D484=0,"",资金日记账!$D484))</f>
        <v/>
      </c>
      <c r="K491" s="0" t="str">
        <f aca="false">IF($G491=0,"",IF(""=0,"",""))</f>
        <v/>
      </c>
      <c r="L491" s="0" t="str">
        <f aca="false">IF($G491=0,"",IF(""=0,"",""))</f>
        <v/>
      </c>
      <c r="M491" s="0" t="str">
        <f aca="false">IF($G491=0,"",IF(""=0,"",""))</f>
        <v/>
      </c>
      <c r="N491" s="0" t="str">
        <f aca="false">IF($G491=0,"",IF(IF(N(资金日记账!$I484)=0,"",-ROUND(N(资金日记账!$I484),2))=0,"",IF(N(资金日记账!$I484)=0,"",-ROUND(N(资金日记账!$I484),2))))</f>
        <v/>
      </c>
      <c r="O491" s="0" t="str">
        <f aca="false">IF($G491=0,"",IF(IF(N(资金日记账!$H484)=0,"",ROUND(N(资金日记账!$H484),2))=0,"",IF(N(资金日记账!$H484)=0,"",ROUND(N(资金日记账!$H484),2))))</f>
        <v/>
      </c>
      <c r="P491" s="0" t="str">
        <f aca="false">IF($G491=0,"",IF(资金日记账!$L484=0,"",资金日记账!$L484))</f>
        <v/>
      </c>
      <c r="T491" s="0" t="str">
        <f aca="false">IF(资金日记账!$G491="","",资金日记账!$G491)</f>
        <v/>
      </c>
      <c r="U491" s="0" t="n">
        <f aca="false">IF(T491="",0,IF(MATCH(T491,$T$4:$T$903,0)=ROW()-3,1,0))</f>
        <v>0</v>
      </c>
      <c r="V491" s="0" t="n">
        <f aca="false">N(V490)+U491</f>
        <v>30</v>
      </c>
      <c r="AF491" s="0" t="str">
        <f aca="false">IF(OR(资金日记账!$E491="",N(资金日记账!$H491)=0),"",资金日记账!$E491)</f>
        <v/>
      </c>
      <c r="AG491" s="0" t="n">
        <f aca="false">IF(AF491="",0,IF(MATCH(AF491,$AF$4:$AF$603,0)=ROW()-3,1,0))</f>
        <v>0</v>
      </c>
      <c r="AH491" s="0" t="n">
        <f aca="false">N(AH490)+AG491</f>
        <v>5</v>
      </c>
    </row>
    <row r="492" customFormat="false" ht="13.5" hidden="false" customHeight="false" outlineLevel="0" collapsed="false">
      <c r="A492" s="0" t="str">
        <f aca="false">IF(资金日记账!$E190="","",资金日记账!$E190)</f>
        <v/>
      </c>
      <c r="B492" s="0" t="n">
        <f aca="false">IF(A492="",0,IF(MATCH(A492,$A$4:$A$1925,0)=ROW()-3,1,0))</f>
        <v>0</v>
      </c>
      <c r="C492" s="0" t="n">
        <f aca="false">N(C491)+B492</f>
        <v>11</v>
      </c>
      <c r="G492" s="0" t="n">
        <f aca="false">IF(OR($G$1="",资金日记账!$E485="",资金日记账!$E485&lt;&gt;$G$1),0,IF(NOT(OR(N(资金日记账!$H485)&lt;&gt;0,N(资金日记账!$I485)&lt;&gt;0)),0,IF(资金日记账!$B485="",1,IF(OR(N(资金日记账!$B485)&lt;$H$1,N(资金日记账!$B485)&gt;$I$1),0,1))))</f>
        <v>0</v>
      </c>
      <c r="H492" s="0" t="n">
        <f aca="false">N(H491)+$G492</f>
        <v>3</v>
      </c>
      <c r="I492" s="0" t="str">
        <f aca="false">IF($G492=0,"",IF(资金日记账!$B485=0,"",资金日记账!$B485))</f>
        <v/>
      </c>
      <c r="J492" s="0" t="str">
        <f aca="false">IF($G492=0,"",IF(资金日记账!$D485=0,"",资金日记账!$D485))</f>
        <v/>
      </c>
      <c r="K492" s="0" t="str">
        <f aca="false">IF($G492=0,"",IF(""=0,"",""))</f>
        <v/>
      </c>
      <c r="L492" s="0" t="str">
        <f aca="false">IF($G492=0,"",IF(""=0,"",""))</f>
        <v/>
      </c>
      <c r="M492" s="0" t="str">
        <f aca="false">IF($G492=0,"",IF(""=0,"",""))</f>
        <v/>
      </c>
      <c r="N492" s="0" t="str">
        <f aca="false">IF($G492=0,"",IF(IF(N(资金日记账!$I485)=0,"",-ROUND(N(资金日记账!$I485),2))=0,"",IF(N(资金日记账!$I485)=0,"",-ROUND(N(资金日记账!$I485),2))))</f>
        <v/>
      </c>
      <c r="O492" s="0" t="str">
        <f aca="false">IF($G492=0,"",IF(IF(N(资金日记账!$H485)=0,"",ROUND(N(资金日记账!$H485),2))=0,"",IF(N(资金日记账!$H485)=0,"",ROUND(N(资金日记账!$H485),2))))</f>
        <v/>
      </c>
      <c r="P492" s="0" t="str">
        <f aca="false">IF($G492=0,"",IF(资金日记账!$L485=0,"",资金日记账!$L485))</f>
        <v/>
      </c>
      <c r="T492" s="0" t="str">
        <f aca="false">IF(资金日记账!$G492="","",资金日记账!$G492)</f>
        <v/>
      </c>
      <c r="U492" s="0" t="n">
        <f aca="false">IF(T492="",0,IF(MATCH(T492,$T$4:$T$903,0)=ROW()-3,1,0))</f>
        <v>0</v>
      </c>
      <c r="V492" s="0" t="n">
        <f aca="false">N(V491)+U492</f>
        <v>30</v>
      </c>
      <c r="AF492" s="0" t="str">
        <f aca="false">IF(OR(资金日记账!$E492="",N(资金日记账!$H492)=0),"",资金日记账!$E492)</f>
        <v/>
      </c>
      <c r="AG492" s="0" t="n">
        <f aca="false">IF(AF492="",0,IF(MATCH(AF492,$AF$4:$AF$603,0)=ROW()-3,1,0))</f>
        <v>0</v>
      </c>
      <c r="AH492" s="0" t="n">
        <f aca="false">N(AH491)+AG492</f>
        <v>5</v>
      </c>
    </row>
    <row r="493" customFormat="false" ht="13.5" hidden="false" customHeight="false" outlineLevel="0" collapsed="false">
      <c r="A493" s="0" t="str">
        <f aca="false">IF(资金日记账!$E191="","",资金日记账!$E191)</f>
        <v/>
      </c>
      <c r="B493" s="0" t="n">
        <f aca="false">IF(A493="",0,IF(MATCH(A493,$A$4:$A$1925,0)=ROW()-3,1,0))</f>
        <v>0</v>
      </c>
      <c r="C493" s="0" t="n">
        <f aca="false">N(C492)+B493</f>
        <v>11</v>
      </c>
      <c r="G493" s="0" t="n">
        <f aca="false">IF(OR($G$1="",资金日记账!$E486="",资金日记账!$E486&lt;&gt;$G$1),0,IF(NOT(OR(N(资金日记账!$H486)&lt;&gt;0,N(资金日记账!$I486)&lt;&gt;0)),0,IF(资金日记账!$B486="",1,IF(OR(N(资金日记账!$B486)&lt;$H$1,N(资金日记账!$B486)&gt;$I$1),0,1))))</f>
        <v>0</v>
      </c>
      <c r="H493" s="0" t="n">
        <f aca="false">N(H492)+$G493</f>
        <v>3</v>
      </c>
      <c r="I493" s="0" t="str">
        <f aca="false">IF($G493=0,"",IF(资金日记账!$B486=0,"",资金日记账!$B486))</f>
        <v/>
      </c>
      <c r="J493" s="0" t="str">
        <f aca="false">IF($G493=0,"",IF(资金日记账!$D486=0,"",资金日记账!$D486))</f>
        <v/>
      </c>
      <c r="K493" s="0" t="str">
        <f aca="false">IF($G493=0,"",IF(""=0,"",""))</f>
        <v/>
      </c>
      <c r="L493" s="0" t="str">
        <f aca="false">IF($G493=0,"",IF(""=0,"",""))</f>
        <v/>
      </c>
      <c r="M493" s="0" t="str">
        <f aca="false">IF($G493=0,"",IF(""=0,"",""))</f>
        <v/>
      </c>
      <c r="N493" s="0" t="str">
        <f aca="false">IF($G493=0,"",IF(IF(N(资金日记账!$I486)=0,"",-ROUND(N(资金日记账!$I486),2))=0,"",IF(N(资金日记账!$I486)=0,"",-ROUND(N(资金日记账!$I486),2))))</f>
        <v/>
      </c>
      <c r="O493" s="0" t="str">
        <f aca="false">IF($G493=0,"",IF(IF(N(资金日记账!$H486)=0,"",ROUND(N(资金日记账!$H486),2))=0,"",IF(N(资金日记账!$H486)=0,"",ROUND(N(资金日记账!$H486),2))))</f>
        <v/>
      </c>
      <c r="P493" s="0" t="str">
        <f aca="false">IF($G493=0,"",IF(资金日记账!$L486=0,"",资金日记账!$L486))</f>
        <v/>
      </c>
      <c r="T493" s="0" t="str">
        <f aca="false">IF(资金日记账!$G493="","",资金日记账!$G493)</f>
        <v/>
      </c>
      <c r="U493" s="0" t="n">
        <f aca="false">IF(T493="",0,IF(MATCH(T493,$T$4:$T$903,0)=ROW()-3,1,0))</f>
        <v>0</v>
      </c>
      <c r="V493" s="0" t="n">
        <f aca="false">N(V492)+U493</f>
        <v>30</v>
      </c>
      <c r="AF493" s="0" t="str">
        <f aca="false">IF(OR(资金日记账!$E493="",N(资金日记账!$H493)=0),"",资金日记账!$E493)</f>
        <v/>
      </c>
      <c r="AG493" s="0" t="n">
        <f aca="false">IF(AF493="",0,IF(MATCH(AF493,$AF$4:$AF$603,0)=ROW()-3,1,0))</f>
        <v>0</v>
      </c>
      <c r="AH493" s="0" t="n">
        <f aca="false">N(AH492)+AG493</f>
        <v>5</v>
      </c>
    </row>
    <row r="494" customFormat="false" ht="13.5" hidden="false" customHeight="false" outlineLevel="0" collapsed="false">
      <c r="A494" s="0" t="str">
        <f aca="false">IF(资金日记账!$E192="","",资金日记账!$E192)</f>
        <v/>
      </c>
      <c r="B494" s="0" t="n">
        <f aca="false">IF(A494="",0,IF(MATCH(A494,$A$4:$A$1925,0)=ROW()-3,1,0))</f>
        <v>0</v>
      </c>
      <c r="C494" s="0" t="n">
        <f aca="false">N(C493)+B494</f>
        <v>11</v>
      </c>
      <c r="G494" s="0" t="n">
        <f aca="false">IF(OR($G$1="",资金日记账!$E487="",资金日记账!$E487&lt;&gt;$G$1),0,IF(NOT(OR(N(资金日记账!$H487)&lt;&gt;0,N(资金日记账!$I487)&lt;&gt;0)),0,IF(资金日记账!$B487="",1,IF(OR(N(资金日记账!$B487)&lt;$H$1,N(资金日记账!$B487)&gt;$I$1),0,1))))</f>
        <v>0</v>
      </c>
      <c r="H494" s="0" t="n">
        <f aca="false">N(H493)+$G494</f>
        <v>3</v>
      </c>
      <c r="I494" s="0" t="str">
        <f aca="false">IF($G494=0,"",IF(资金日记账!$B487=0,"",资金日记账!$B487))</f>
        <v/>
      </c>
      <c r="J494" s="0" t="str">
        <f aca="false">IF($G494=0,"",IF(资金日记账!$D487=0,"",资金日记账!$D487))</f>
        <v/>
      </c>
      <c r="K494" s="0" t="str">
        <f aca="false">IF($G494=0,"",IF(""=0,"",""))</f>
        <v/>
      </c>
      <c r="L494" s="0" t="str">
        <f aca="false">IF($G494=0,"",IF(""=0,"",""))</f>
        <v/>
      </c>
      <c r="M494" s="0" t="str">
        <f aca="false">IF($G494=0,"",IF(""=0,"",""))</f>
        <v/>
      </c>
      <c r="N494" s="0" t="str">
        <f aca="false">IF($G494=0,"",IF(IF(N(资金日记账!$I487)=0,"",-ROUND(N(资金日记账!$I487),2))=0,"",IF(N(资金日记账!$I487)=0,"",-ROUND(N(资金日记账!$I487),2))))</f>
        <v/>
      </c>
      <c r="O494" s="0" t="str">
        <f aca="false">IF($G494=0,"",IF(IF(N(资金日记账!$H487)=0,"",ROUND(N(资金日记账!$H487),2))=0,"",IF(N(资金日记账!$H487)=0,"",ROUND(N(资金日记账!$H487),2))))</f>
        <v/>
      </c>
      <c r="P494" s="0" t="str">
        <f aca="false">IF($G494=0,"",IF(资金日记账!$L487=0,"",资金日记账!$L487))</f>
        <v/>
      </c>
      <c r="T494" s="0" t="str">
        <f aca="false">IF(资金日记账!$G494="","",资金日记账!$G494)</f>
        <v/>
      </c>
      <c r="U494" s="0" t="n">
        <f aca="false">IF(T494="",0,IF(MATCH(T494,$T$4:$T$903,0)=ROW()-3,1,0))</f>
        <v>0</v>
      </c>
      <c r="V494" s="0" t="n">
        <f aca="false">N(V493)+U494</f>
        <v>30</v>
      </c>
      <c r="AF494" s="0" t="str">
        <f aca="false">IF(OR(资金日记账!$E494="",N(资金日记账!$H494)=0),"",资金日记账!$E494)</f>
        <v/>
      </c>
      <c r="AG494" s="0" t="n">
        <f aca="false">IF(AF494="",0,IF(MATCH(AF494,$AF$4:$AF$603,0)=ROW()-3,1,0))</f>
        <v>0</v>
      </c>
      <c r="AH494" s="0" t="n">
        <f aca="false">N(AH493)+AG494</f>
        <v>5</v>
      </c>
    </row>
    <row r="495" customFormat="false" ht="13.5" hidden="false" customHeight="false" outlineLevel="0" collapsed="false">
      <c r="A495" s="0" t="str">
        <f aca="false">IF(资金日记账!$E193="","",资金日记账!$E193)</f>
        <v/>
      </c>
      <c r="B495" s="0" t="n">
        <f aca="false">IF(A495="",0,IF(MATCH(A495,$A$4:$A$1925,0)=ROW()-3,1,0))</f>
        <v>0</v>
      </c>
      <c r="C495" s="0" t="n">
        <f aca="false">N(C494)+B495</f>
        <v>11</v>
      </c>
      <c r="G495" s="0" t="n">
        <f aca="false">IF(OR($G$1="",资金日记账!$E488="",资金日记账!$E488&lt;&gt;$G$1),0,IF(NOT(OR(N(资金日记账!$H488)&lt;&gt;0,N(资金日记账!$I488)&lt;&gt;0)),0,IF(资金日记账!$B488="",1,IF(OR(N(资金日记账!$B488)&lt;$H$1,N(资金日记账!$B488)&gt;$I$1),0,1))))</f>
        <v>0</v>
      </c>
      <c r="H495" s="0" t="n">
        <f aca="false">N(H494)+$G495</f>
        <v>3</v>
      </c>
      <c r="I495" s="0" t="str">
        <f aca="false">IF($G495=0,"",IF(资金日记账!$B488=0,"",资金日记账!$B488))</f>
        <v/>
      </c>
      <c r="J495" s="0" t="str">
        <f aca="false">IF($G495=0,"",IF(资金日记账!$D488=0,"",资金日记账!$D488))</f>
        <v/>
      </c>
      <c r="K495" s="0" t="str">
        <f aca="false">IF($G495=0,"",IF(""=0,"",""))</f>
        <v/>
      </c>
      <c r="L495" s="0" t="str">
        <f aca="false">IF($G495=0,"",IF(""=0,"",""))</f>
        <v/>
      </c>
      <c r="M495" s="0" t="str">
        <f aca="false">IF($G495=0,"",IF(""=0,"",""))</f>
        <v/>
      </c>
      <c r="N495" s="0" t="str">
        <f aca="false">IF($G495=0,"",IF(IF(N(资金日记账!$I488)=0,"",-ROUND(N(资金日记账!$I488),2))=0,"",IF(N(资金日记账!$I488)=0,"",-ROUND(N(资金日记账!$I488),2))))</f>
        <v/>
      </c>
      <c r="O495" s="0" t="str">
        <f aca="false">IF($G495=0,"",IF(IF(N(资金日记账!$H488)=0,"",ROUND(N(资金日记账!$H488),2))=0,"",IF(N(资金日记账!$H488)=0,"",ROUND(N(资金日记账!$H488),2))))</f>
        <v/>
      </c>
      <c r="P495" s="0" t="str">
        <f aca="false">IF($G495=0,"",IF(资金日记账!$L488=0,"",资金日记账!$L488))</f>
        <v/>
      </c>
      <c r="T495" s="0" t="str">
        <f aca="false">IF(资金日记账!$G495="","",资金日记账!$G495)</f>
        <v/>
      </c>
      <c r="U495" s="0" t="n">
        <f aca="false">IF(T495="",0,IF(MATCH(T495,$T$4:$T$903,0)=ROW()-3,1,0))</f>
        <v>0</v>
      </c>
      <c r="V495" s="0" t="n">
        <f aca="false">N(V494)+U495</f>
        <v>30</v>
      </c>
      <c r="AF495" s="0" t="str">
        <f aca="false">IF(OR(资金日记账!$E495="",N(资金日记账!$H495)=0),"",资金日记账!$E495)</f>
        <v/>
      </c>
      <c r="AG495" s="0" t="n">
        <f aca="false">IF(AF495="",0,IF(MATCH(AF495,$AF$4:$AF$603,0)=ROW()-3,1,0))</f>
        <v>0</v>
      </c>
      <c r="AH495" s="0" t="n">
        <f aca="false">N(AH494)+AG495</f>
        <v>5</v>
      </c>
    </row>
    <row r="496" customFormat="false" ht="13.5" hidden="false" customHeight="false" outlineLevel="0" collapsed="false">
      <c r="A496" s="0" t="str">
        <f aca="false">IF(资金日记账!$E194="","",资金日记账!$E194)</f>
        <v/>
      </c>
      <c r="B496" s="0" t="n">
        <f aca="false">IF(A496="",0,IF(MATCH(A496,$A$4:$A$1925,0)=ROW()-3,1,0))</f>
        <v>0</v>
      </c>
      <c r="C496" s="0" t="n">
        <f aca="false">N(C495)+B496</f>
        <v>11</v>
      </c>
      <c r="G496" s="0" t="n">
        <f aca="false">IF(OR($G$1="",资金日记账!$E489="",资金日记账!$E489&lt;&gt;$G$1),0,IF(NOT(OR(N(资金日记账!$H489)&lt;&gt;0,N(资金日记账!$I489)&lt;&gt;0)),0,IF(资金日记账!$B489="",1,IF(OR(N(资金日记账!$B489)&lt;$H$1,N(资金日记账!$B489)&gt;$I$1),0,1))))</f>
        <v>0</v>
      </c>
      <c r="H496" s="0" t="n">
        <f aca="false">N(H495)+$G496</f>
        <v>3</v>
      </c>
      <c r="I496" s="0" t="str">
        <f aca="false">IF($G496=0,"",IF(资金日记账!$B489=0,"",资金日记账!$B489))</f>
        <v/>
      </c>
      <c r="J496" s="0" t="str">
        <f aca="false">IF($G496=0,"",IF(资金日记账!$D489=0,"",资金日记账!$D489))</f>
        <v/>
      </c>
      <c r="K496" s="0" t="str">
        <f aca="false">IF($G496=0,"",IF(""=0,"",""))</f>
        <v/>
      </c>
      <c r="L496" s="0" t="str">
        <f aca="false">IF($G496=0,"",IF(""=0,"",""))</f>
        <v/>
      </c>
      <c r="M496" s="0" t="str">
        <f aca="false">IF($G496=0,"",IF(""=0,"",""))</f>
        <v/>
      </c>
      <c r="N496" s="0" t="str">
        <f aca="false">IF($G496=0,"",IF(IF(N(资金日记账!$I489)=0,"",-ROUND(N(资金日记账!$I489),2))=0,"",IF(N(资金日记账!$I489)=0,"",-ROUND(N(资金日记账!$I489),2))))</f>
        <v/>
      </c>
      <c r="O496" s="0" t="str">
        <f aca="false">IF($G496=0,"",IF(IF(N(资金日记账!$H489)=0,"",ROUND(N(资金日记账!$H489),2))=0,"",IF(N(资金日记账!$H489)=0,"",ROUND(N(资金日记账!$H489),2))))</f>
        <v/>
      </c>
      <c r="P496" s="0" t="str">
        <f aca="false">IF($G496=0,"",IF(资金日记账!$L489=0,"",资金日记账!$L489))</f>
        <v/>
      </c>
      <c r="T496" s="0" t="str">
        <f aca="false">IF(资金日记账!$G496="","",资金日记账!$G496)</f>
        <v/>
      </c>
      <c r="U496" s="0" t="n">
        <f aca="false">IF(T496="",0,IF(MATCH(T496,$T$4:$T$903,0)=ROW()-3,1,0))</f>
        <v>0</v>
      </c>
      <c r="V496" s="0" t="n">
        <f aca="false">N(V495)+U496</f>
        <v>30</v>
      </c>
      <c r="AF496" s="0" t="str">
        <f aca="false">IF(OR(资金日记账!$E496="",N(资金日记账!$H496)=0),"",资金日记账!$E496)</f>
        <v/>
      </c>
      <c r="AG496" s="0" t="n">
        <f aca="false">IF(AF496="",0,IF(MATCH(AF496,$AF$4:$AF$603,0)=ROW()-3,1,0))</f>
        <v>0</v>
      </c>
      <c r="AH496" s="0" t="n">
        <f aca="false">N(AH495)+AG496</f>
        <v>5</v>
      </c>
    </row>
    <row r="497" customFormat="false" ht="13.5" hidden="false" customHeight="false" outlineLevel="0" collapsed="false">
      <c r="A497" s="0" t="str">
        <f aca="false">IF(资金日记账!$E195="","",资金日记账!$E195)</f>
        <v/>
      </c>
      <c r="B497" s="0" t="n">
        <f aca="false">IF(A497="",0,IF(MATCH(A497,$A$4:$A$1925,0)=ROW()-3,1,0))</f>
        <v>0</v>
      </c>
      <c r="C497" s="0" t="n">
        <f aca="false">N(C496)+B497</f>
        <v>11</v>
      </c>
      <c r="G497" s="0" t="n">
        <f aca="false">IF(OR($G$1="",资金日记账!$E490="",资金日记账!$E490&lt;&gt;$G$1),0,IF(NOT(OR(N(资金日记账!$H490)&lt;&gt;0,N(资金日记账!$I490)&lt;&gt;0)),0,IF(资金日记账!$B490="",1,IF(OR(N(资金日记账!$B490)&lt;$H$1,N(资金日记账!$B490)&gt;$I$1),0,1))))</f>
        <v>0</v>
      </c>
      <c r="H497" s="0" t="n">
        <f aca="false">N(H496)+$G497</f>
        <v>3</v>
      </c>
      <c r="I497" s="0" t="str">
        <f aca="false">IF($G497=0,"",IF(资金日记账!$B490=0,"",资金日记账!$B490))</f>
        <v/>
      </c>
      <c r="J497" s="0" t="str">
        <f aca="false">IF($G497=0,"",IF(资金日记账!$D490=0,"",资金日记账!$D490))</f>
        <v/>
      </c>
      <c r="K497" s="0" t="str">
        <f aca="false">IF($G497=0,"",IF(""=0,"",""))</f>
        <v/>
      </c>
      <c r="L497" s="0" t="str">
        <f aca="false">IF($G497=0,"",IF(""=0,"",""))</f>
        <v/>
      </c>
      <c r="M497" s="0" t="str">
        <f aca="false">IF($G497=0,"",IF(""=0,"",""))</f>
        <v/>
      </c>
      <c r="N497" s="0" t="str">
        <f aca="false">IF($G497=0,"",IF(IF(N(资金日记账!$I490)=0,"",-ROUND(N(资金日记账!$I490),2))=0,"",IF(N(资金日记账!$I490)=0,"",-ROUND(N(资金日记账!$I490),2))))</f>
        <v/>
      </c>
      <c r="O497" s="0" t="str">
        <f aca="false">IF($G497=0,"",IF(IF(N(资金日记账!$H490)=0,"",ROUND(N(资金日记账!$H490),2))=0,"",IF(N(资金日记账!$H490)=0,"",ROUND(N(资金日记账!$H490),2))))</f>
        <v/>
      </c>
      <c r="P497" s="0" t="str">
        <f aca="false">IF($G497=0,"",IF(资金日记账!$L490=0,"",资金日记账!$L490))</f>
        <v/>
      </c>
      <c r="T497" s="0" t="str">
        <f aca="false">IF(资金日记账!$G497="","",资金日记账!$G497)</f>
        <v/>
      </c>
      <c r="U497" s="0" t="n">
        <f aca="false">IF(T497="",0,IF(MATCH(T497,$T$4:$T$903,0)=ROW()-3,1,0))</f>
        <v>0</v>
      </c>
      <c r="V497" s="0" t="n">
        <f aca="false">N(V496)+U497</f>
        <v>30</v>
      </c>
      <c r="AF497" s="0" t="str">
        <f aca="false">IF(OR(资金日记账!$E497="",N(资金日记账!$H497)=0),"",资金日记账!$E497)</f>
        <v/>
      </c>
      <c r="AG497" s="0" t="n">
        <f aca="false">IF(AF497="",0,IF(MATCH(AF497,$AF$4:$AF$603,0)=ROW()-3,1,0))</f>
        <v>0</v>
      </c>
      <c r="AH497" s="0" t="n">
        <f aca="false">N(AH496)+AG497</f>
        <v>5</v>
      </c>
    </row>
    <row r="498" customFormat="false" ht="13.5" hidden="false" customHeight="false" outlineLevel="0" collapsed="false">
      <c r="A498" s="0" t="str">
        <f aca="false">IF(资金日记账!$E196="","",资金日记账!$E196)</f>
        <v/>
      </c>
      <c r="B498" s="0" t="n">
        <f aca="false">IF(A498="",0,IF(MATCH(A498,$A$4:$A$1925,0)=ROW()-3,1,0))</f>
        <v>0</v>
      </c>
      <c r="C498" s="0" t="n">
        <f aca="false">N(C497)+B498</f>
        <v>11</v>
      </c>
      <c r="G498" s="0" t="n">
        <f aca="false">IF(OR($G$1="",资金日记账!$E491="",资金日记账!$E491&lt;&gt;$G$1),0,IF(NOT(OR(N(资金日记账!$H491)&lt;&gt;0,N(资金日记账!$I491)&lt;&gt;0)),0,IF(资金日记账!$B491="",1,IF(OR(N(资金日记账!$B491)&lt;$H$1,N(资金日记账!$B491)&gt;$I$1),0,1))))</f>
        <v>0</v>
      </c>
      <c r="H498" s="0" t="n">
        <f aca="false">N(H497)+$G498</f>
        <v>3</v>
      </c>
      <c r="I498" s="0" t="str">
        <f aca="false">IF($G498=0,"",IF(资金日记账!$B491=0,"",资金日记账!$B491))</f>
        <v/>
      </c>
      <c r="J498" s="0" t="str">
        <f aca="false">IF($G498=0,"",IF(资金日记账!$D491=0,"",资金日记账!$D491))</f>
        <v/>
      </c>
      <c r="K498" s="0" t="str">
        <f aca="false">IF($G498=0,"",IF(""=0,"",""))</f>
        <v/>
      </c>
      <c r="L498" s="0" t="str">
        <f aca="false">IF($G498=0,"",IF(""=0,"",""))</f>
        <v/>
      </c>
      <c r="M498" s="0" t="str">
        <f aca="false">IF($G498=0,"",IF(""=0,"",""))</f>
        <v/>
      </c>
      <c r="N498" s="0" t="str">
        <f aca="false">IF($G498=0,"",IF(IF(N(资金日记账!$I491)=0,"",-ROUND(N(资金日记账!$I491),2))=0,"",IF(N(资金日记账!$I491)=0,"",-ROUND(N(资金日记账!$I491),2))))</f>
        <v/>
      </c>
      <c r="O498" s="0" t="str">
        <f aca="false">IF($G498=0,"",IF(IF(N(资金日记账!$H491)=0,"",ROUND(N(资金日记账!$H491),2))=0,"",IF(N(资金日记账!$H491)=0,"",ROUND(N(资金日记账!$H491),2))))</f>
        <v/>
      </c>
      <c r="P498" s="0" t="str">
        <f aca="false">IF($G498=0,"",IF(资金日记账!$L491=0,"",资金日记账!$L491))</f>
        <v/>
      </c>
      <c r="T498" s="0" t="str">
        <f aca="false">IF(资金日记账!$G498="","",资金日记账!$G498)</f>
        <v/>
      </c>
      <c r="U498" s="0" t="n">
        <f aca="false">IF(T498="",0,IF(MATCH(T498,$T$4:$T$903,0)=ROW()-3,1,0))</f>
        <v>0</v>
      </c>
      <c r="V498" s="0" t="n">
        <f aca="false">N(V497)+U498</f>
        <v>30</v>
      </c>
      <c r="AF498" s="0" t="str">
        <f aca="false">IF(OR(资金日记账!$E498="",N(资金日记账!$H498)=0),"",资金日记账!$E498)</f>
        <v/>
      </c>
      <c r="AG498" s="0" t="n">
        <f aca="false">IF(AF498="",0,IF(MATCH(AF498,$AF$4:$AF$603,0)=ROW()-3,1,0))</f>
        <v>0</v>
      </c>
      <c r="AH498" s="0" t="n">
        <f aca="false">N(AH497)+AG498</f>
        <v>5</v>
      </c>
    </row>
    <row r="499" customFormat="false" ht="13.5" hidden="false" customHeight="false" outlineLevel="0" collapsed="false">
      <c r="A499" s="0" t="str">
        <f aca="false">IF(资金日记账!$E197="","",资金日记账!$E197)</f>
        <v/>
      </c>
      <c r="B499" s="0" t="n">
        <f aca="false">IF(A499="",0,IF(MATCH(A499,$A$4:$A$1925,0)=ROW()-3,1,0))</f>
        <v>0</v>
      </c>
      <c r="C499" s="0" t="n">
        <f aca="false">N(C498)+B499</f>
        <v>11</v>
      </c>
      <c r="G499" s="0" t="n">
        <f aca="false">IF(OR($G$1="",资金日记账!$E492="",资金日记账!$E492&lt;&gt;$G$1),0,IF(NOT(OR(N(资金日记账!$H492)&lt;&gt;0,N(资金日记账!$I492)&lt;&gt;0)),0,IF(资金日记账!$B492="",1,IF(OR(N(资金日记账!$B492)&lt;$H$1,N(资金日记账!$B492)&gt;$I$1),0,1))))</f>
        <v>0</v>
      </c>
      <c r="H499" s="0" t="n">
        <f aca="false">N(H498)+$G499</f>
        <v>3</v>
      </c>
      <c r="I499" s="0" t="str">
        <f aca="false">IF($G499=0,"",IF(资金日记账!$B492=0,"",资金日记账!$B492))</f>
        <v/>
      </c>
      <c r="J499" s="0" t="str">
        <f aca="false">IF($G499=0,"",IF(资金日记账!$D492=0,"",资金日记账!$D492))</f>
        <v/>
      </c>
      <c r="K499" s="0" t="str">
        <f aca="false">IF($G499=0,"",IF(""=0,"",""))</f>
        <v/>
      </c>
      <c r="L499" s="0" t="str">
        <f aca="false">IF($G499=0,"",IF(""=0,"",""))</f>
        <v/>
      </c>
      <c r="M499" s="0" t="str">
        <f aca="false">IF($G499=0,"",IF(""=0,"",""))</f>
        <v/>
      </c>
      <c r="N499" s="0" t="str">
        <f aca="false">IF($G499=0,"",IF(IF(N(资金日记账!$I492)=0,"",-ROUND(N(资金日记账!$I492),2))=0,"",IF(N(资金日记账!$I492)=0,"",-ROUND(N(资金日记账!$I492),2))))</f>
        <v/>
      </c>
      <c r="O499" s="0" t="str">
        <f aca="false">IF($G499=0,"",IF(IF(N(资金日记账!$H492)=0,"",ROUND(N(资金日记账!$H492),2))=0,"",IF(N(资金日记账!$H492)=0,"",ROUND(N(资金日记账!$H492),2))))</f>
        <v/>
      </c>
      <c r="P499" s="0" t="str">
        <f aca="false">IF($G499=0,"",IF(资金日记账!$L492=0,"",资金日记账!$L492))</f>
        <v/>
      </c>
      <c r="T499" s="0" t="str">
        <f aca="false">IF(资金日记账!$G499="","",资金日记账!$G499)</f>
        <v/>
      </c>
      <c r="U499" s="0" t="n">
        <f aca="false">IF(T499="",0,IF(MATCH(T499,$T$4:$T$903,0)=ROW()-3,1,0))</f>
        <v>0</v>
      </c>
      <c r="V499" s="0" t="n">
        <f aca="false">N(V498)+U499</f>
        <v>30</v>
      </c>
      <c r="AF499" s="0" t="str">
        <f aca="false">IF(OR(资金日记账!$E499="",N(资金日记账!$H499)=0),"",资金日记账!$E499)</f>
        <v/>
      </c>
      <c r="AG499" s="0" t="n">
        <f aca="false">IF(AF499="",0,IF(MATCH(AF499,$AF$4:$AF$603,0)=ROW()-3,1,0))</f>
        <v>0</v>
      </c>
      <c r="AH499" s="0" t="n">
        <f aca="false">N(AH498)+AG499</f>
        <v>5</v>
      </c>
    </row>
    <row r="500" customFormat="false" ht="13.5" hidden="false" customHeight="false" outlineLevel="0" collapsed="false">
      <c r="A500" s="0" t="str">
        <f aca="false">IF(资金日记账!$E198="","",资金日记账!$E198)</f>
        <v/>
      </c>
      <c r="B500" s="0" t="n">
        <f aca="false">IF(A500="",0,IF(MATCH(A500,$A$4:$A$1925,0)=ROW()-3,1,0))</f>
        <v>0</v>
      </c>
      <c r="C500" s="0" t="n">
        <f aca="false">N(C499)+B500</f>
        <v>11</v>
      </c>
      <c r="G500" s="0" t="n">
        <f aca="false">IF(OR($G$1="",资金日记账!$E493="",资金日记账!$E493&lt;&gt;$G$1),0,IF(NOT(OR(N(资金日记账!$H493)&lt;&gt;0,N(资金日记账!$I493)&lt;&gt;0)),0,IF(资金日记账!$B493="",1,IF(OR(N(资金日记账!$B493)&lt;$H$1,N(资金日记账!$B493)&gt;$I$1),0,1))))</f>
        <v>0</v>
      </c>
      <c r="H500" s="0" t="n">
        <f aca="false">N(H499)+$G500</f>
        <v>3</v>
      </c>
      <c r="I500" s="0" t="str">
        <f aca="false">IF($G500=0,"",IF(资金日记账!$B493=0,"",资金日记账!$B493))</f>
        <v/>
      </c>
      <c r="J500" s="0" t="str">
        <f aca="false">IF($G500=0,"",IF(资金日记账!$D493=0,"",资金日记账!$D493))</f>
        <v/>
      </c>
      <c r="K500" s="0" t="str">
        <f aca="false">IF($G500=0,"",IF(""=0,"",""))</f>
        <v/>
      </c>
      <c r="L500" s="0" t="str">
        <f aca="false">IF($G500=0,"",IF(""=0,"",""))</f>
        <v/>
      </c>
      <c r="M500" s="0" t="str">
        <f aca="false">IF($G500=0,"",IF(""=0,"",""))</f>
        <v/>
      </c>
      <c r="N500" s="0" t="str">
        <f aca="false">IF($G500=0,"",IF(IF(N(资金日记账!$I493)=0,"",-ROUND(N(资金日记账!$I493),2))=0,"",IF(N(资金日记账!$I493)=0,"",-ROUND(N(资金日记账!$I493),2))))</f>
        <v/>
      </c>
      <c r="O500" s="0" t="str">
        <f aca="false">IF($G500=0,"",IF(IF(N(资金日记账!$H493)=0,"",ROUND(N(资金日记账!$H493),2))=0,"",IF(N(资金日记账!$H493)=0,"",ROUND(N(资金日记账!$H493),2))))</f>
        <v/>
      </c>
      <c r="P500" s="0" t="str">
        <f aca="false">IF($G500=0,"",IF(资金日记账!$L493=0,"",资金日记账!$L493))</f>
        <v/>
      </c>
      <c r="T500" s="0" t="str">
        <f aca="false">IF(资金日记账!$G500="","",资金日记账!$G500)</f>
        <v/>
      </c>
      <c r="U500" s="0" t="n">
        <f aca="false">IF(T500="",0,IF(MATCH(T500,$T$4:$T$903,0)=ROW()-3,1,0))</f>
        <v>0</v>
      </c>
      <c r="V500" s="0" t="n">
        <f aca="false">N(V499)+U500</f>
        <v>30</v>
      </c>
      <c r="AF500" s="0" t="str">
        <f aca="false">IF(OR(资金日记账!$E500="",N(资金日记账!$H500)=0),"",资金日记账!$E500)</f>
        <v/>
      </c>
      <c r="AG500" s="0" t="n">
        <f aca="false">IF(AF500="",0,IF(MATCH(AF500,$AF$4:$AF$603,0)=ROW()-3,1,0))</f>
        <v>0</v>
      </c>
      <c r="AH500" s="0" t="n">
        <f aca="false">N(AH499)+AG500</f>
        <v>5</v>
      </c>
    </row>
    <row r="501" customFormat="false" ht="13.5" hidden="false" customHeight="false" outlineLevel="0" collapsed="false">
      <c r="A501" s="0" t="str">
        <f aca="false">IF(资金日记账!$E199="","",资金日记账!$E199)</f>
        <v/>
      </c>
      <c r="B501" s="0" t="n">
        <f aca="false">IF(A501="",0,IF(MATCH(A501,$A$4:$A$1925,0)=ROW()-3,1,0))</f>
        <v>0</v>
      </c>
      <c r="C501" s="0" t="n">
        <f aca="false">N(C500)+B501</f>
        <v>11</v>
      </c>
      <c r="G501" s="0" t="n">
        <f aca="false">IF(OR($G$1="",资金日记账!$E494="",资金日记账!$E494&lt;&gt;$G$1),0,IF(NOT(OR(N(资金日记账!$H494)&lt;&gt;0,N(资金日记账!$I494)&lt;&gt;0)),0,IF(资金日记账!$B494="",1,IF(OR(N(资金日记账!$B494)&lt;$H$1,N(资金日记账!$B494)&gt;$I$1),0,1))))</f>
        <v>0</v>
      </c>
      <c r="H501" s="0" t="n">
        <f aca="false">N(H500)+$G501</f>
        <v>3</v>
      </c>
      <c r="I501" s="0" t="str">
        <f aca="false">IF($G501=0,"",IF(资金日记账!$B494=0,"",资金日记账!$B494))</f>
        <v/>
      </c>
      <c r="J501" s="0" t="str">
        <f aca="false">IF($G501=0,"",IF(资金日记账!$D494=0,"",资金日记账!$D494))</f>
        <v/>
      </c>
      <c r="K501" s="0" t="str">
        <f aca="false">IF($G501=0,"",IF(""=0,"",""))</f>
        <v/>
      </c>
      <c r="L501" s="0" t="str">
        <f aca="false">IF($G501=0,"",IF(""=0,"",""))</f>
        <v/>
      </c>
      <c r="M501" s="0" t="str">
        <f aca="false">IF($G501=0,"",IF(""=0,"",""))</f>
        <v/>
      </c>
      <c r="N501" s="0" t="str">
        <f aca="false">IF($G501=0,"",IF(IF(N(资金日记账!$I494)=0,"",-ROUND(N(资金日记账!$I494),2))=0,"",IF(N(资金日记账!$I494)=0,"",-ROUND(N(资金日记账!$I494),2))))</f>
        <v/>
      </c>
      <c r="O501" s="0" t="str">
        <f aca="false">IF($G501=0,"",IF(IF(N(资金日记账!$H494)=0,"",ROUND(N(资金日记账!$H494),2))=0,"",IF(N(资金日记账!$H494)=0,"",ROUND(N(资金日记账!$H494),2))))</f>
        <v/>
      </c>
      <c r="P501" s="0" t="str">
        <f aca="false">IF($G501=0,"",IF(资金日记账!$L494=0,"",资金日记账!$L494))</f>
        <v/>
      </c>
      <c r="T501" s="0" t="str">
        <f aca="false">IF(资金日记账!$G501="","",资金日记账!$G501)</f>
        <v/>
      </c>
      <c r="U501" s="0" t="n">
        <f aca="false">IF(T501="",0,IF(MATCH(T501,$T$4:$T$903,0)=ROW()-3,1,0))</f>
        <v>0</v>
      </c>
      <c r="V501" s="0" t="n">
        <f aca="false">N(V500)+U501</f>
        <v>30</v>
      </c>
      <c r="AF501" s="0" t="str">
        <f aca="false">IF(OR(资金日记账!$E501="",N(资金日记账!$H501)=0),"",资金日记账!$E501)</f>
        <v/>
      </c>
      <c r="AG501" s="0" t="n">
        <f aca="false">IF(AF501="",0,IF(MATCH(AF501,$AF$4:$AF$603,0)=ROW()-3,1,0))</f>
        <v>0</v>
      </c>
      <c r="AH501" s="0" t="n">
        <f aca="false">N(AH500)+AG501</f>
        <v>5</v>
      </c>
    </row>
    <row r="502" customFormat="false" ht="13.5" hidden="false" customHeight="false" outlineLevel="0" collapsed="false">
      <c r="A502" s="0" t="str">
        <f aca="false">IF(资金日记账!$E200="","",资金日记账!$E200)</f>
        <v/>
      </c>
      <c r="B502" s="0" t="n">
        <f aca="false">IF(A502="",0,IF(MATCH(A502,$A$4:$A$1925,0)=ROW()-3,1,0))</f>
        <v>0</v>
      </c>
      <c r="C502" s="0" t="n">
        <f aca="false">N(C501)+B502</f>
        <v>11</v>
      </c>
      <c r="G502" s="0" t="n">
        <f aca="false">IF(OR($G$1="",资金日记账!$E495="",资金日记账!$E495&lt;&gt;$G$1),0,IF(NOT(OR(N(资金日记账!$H495)&lt;&gt;0,N(资金日记账!$I495)&lt;&gt;0)),0,IF(资金日记账!$B495="",1,IF(OR(N(资金日记账!$B495)&lt;$H$1,N(资金日记账!$B495)&gt;$I$1),0,1))))</f>
        <v>0</v>
      </c>
      <c r="H502" s="0" t="n">
        <f aca="false">N(H501)+$G502</f>
        <v>3</v>
      </c>
      <c r="I502" s="0" t="str">
        <f aca="false">IF($G502=0,"",IF(资金日记账!$B495=0,"",资金日记账!$B495))</f>
        <v/>
      </c>
      <c r="J502" s="0" t="str">
        <f aca="false">IF($G502=0,"",IF(资金日记账!$D495=0,"",资金日记账!$D495))</f>
        <v/>
      </c>
      <c r="K502" s="0" t="str">
        <f aca="false">IF($G502=0,"",IF(""=0,"",""))</f>
        <v/>
      </c>
      <c r="L502" s="0" t="str">
        <f aca="false">IF($G502=0,"",IF(""=0,"",""))</f>
        <v/>
      </c>
      <c r="M502" s="0" t="str">
        <f aca="false">IF($G502=0,"",IF(""=0,"",""))</f>
        <v/>
      </c>
      <c r="N502" s="0" t="str">
        <f aca="false">IF($G502=0,"",IF(IF(N(资金日记账!$I495)=0,"",-ROUND(N(资金日记账!$I495),2))=0,"",IF(N(资金日记账!$I495)=0,"",-ROUND(N(资金日记账!$I495),2))))</f>
        <v/>
      </c>
      <c r="O502" s="0" t="str">
        <f aca="false">IF($G502=0,"",IF(IF(N(资金日记账!$H495)=0,"",ROUND(N(资金日记账!$H495),2))=0,"",IF(N(资金日记账!$H495)=0,"",ROUND(N(资金日记账!$H495),2))))</f>
        <v/>
      </c>
      <c r="P502" s="0" t="str">
        <f aca="false">IF($G502=0,"",IF(资金日记账!$L495=0,"",资金日记账!$L495))</f>
        <v/>
      </c>
      <c r="T502" s="0" t="str">
        <f aca="false">IF(资金日记账!$G502="","",资金日记账!$G502)</f>
        <v/>
      </c>
      <c r="U502" s="0" t="n">
        <f aca="false">IF(T502="",0,IF(MATCH(T502,$T$4:$T$903,0)=ROW()-3,1,0))</f>
        <v>0</v>
      </c>
      <c r="V502" s="0" t="n">
        <f aca="false">N(V501)+U502</f>
        <v>30</v>
      </c>
      <c r="AF502" s="0" t="str">
        <f aca="false">IF(OR(资金日记账!$E502="",N(资金日记账!$H502)=0),"",资金日记账!$E502)</f>
        <v/>
      </c>
      <c r="AG502" s="0" t="n">
        <f aca="false">IF(AF502="",0,IF(MATCH(AF502,$AF$4:$AF$603,0)=ROW()-3,1,0))</f>
        <v>0</v>
      </c>
      <c r="AH502" s="0" t="n">
        <f aca="false">N(AH501)+AG502</f>
        <v>5</v>
      </c>
    </row>
    <row r="503" customFormat="false" ht="13.5" hidden="false" customHeight="false" outlineLevel="0" collapsed="false">
      <c r="A503" s="0" t="str">
        <f aca="false">IF(资金日记账!$E201="","",资金日记账!$E201)</f>
        <v/>
      </c>
      <c r="B503" s="0" t="n">
        <f aca="false">IF(A503="",0,IF(MATCH(A503,$A$4:$A$1925,0)=ROW()-3,1,0))</f>
        <v>0</v>
      </c>
      <c r="C503" s="0" t="n">
        <f aca="false">N(C502)+B503</f>
        <v>11</v>
      </c>
      <c r="G503" s="0" t="n">
        <f aca="false">IF(OR($G$1="",资金日记账!$E496="",资金日记账!$E496&lt;&gt;$G$1),0,IF(NOT(OR(N(资金日记账!$H496)&lt;&gt;0,N(资金日记账!$I496)&lt;&gt;0)),0,IF(资金日记账!$B496="",1,IF(OR(N(资金日记账!$B496)&lt;$H$1,N(资金日记账!$B496)&gt;$I$1),0,1))))</f>
        <v>0</v>
      </c>
      <c r="H503" s="0" t="n">
        <f aca="false">N(H502)+$G503</f>
        <v>3</v>
      </c>
      <c r="I503" s="0" t="str">
        <f aca="false">IF($G503=0,"",IF(资金日记账!$B496=0,"",资金日记账!$B496))</f>
        <v/>
      </c>
      <c r="J503" s="0" t="str">
        <f aca="false">IF($G503=0,"",IF(资金日记账!$D496=0,"",资金日记账!$D496))</f>
        <v/>
      </c>
      <c r="K503" s="0" t="str">
        <f aca="false">IF($G503=0,"",IF(""=0,"",""))</f>
        <v/>
      </c>
      <c r="L503" s="0" t="str">
        <f aca="false">IF($G503=0,"",IF(""=0,"",""))</f>
        <v/>
      </c>
      <c r="M503" s="0" t="str">
        <f aca="false">IF($G503=0,"",IF(""=0,"",""))</f>
        <v/>
      </c>
      <c r="N503" s="0" t="str">
        <f aca="false">IF($G503=0,"",IF(IF(N(资金日记账!$I496)=0,"",-ROUND(N(资金日记账!$I496),2))=0,"",IF(N(资金日记账!$I496)=0,"",-ROUND(N(资金日记账!$I496),2))))</f>
        <v/>
      </c>
      <c r="O503" s="0" t="str">
        <f aca="false">IF($G503=0,"",IF(IF(N(资金日记账!$H496)=0,"",ROUND(N(资金日记账!$H496),2))=0,"",IF(N(资金日记账!$H496)=0,"",ROUND(N(资金日记账!$H496),2))))</f>
        <v/>
      </c>
      <c r="P503" s="0" t="str">
        <f aca="false">IF($G503=0,"",IF(资金日记账!$L496=0,"",资金日记账!$L496))</f>
        <v/>
      </c>
      <c r="T503" s="0" t="str">
        <f aca="false">IF(资金日记账!$G503="","",资金日记账!$G503)</f>
        <v/>
      </c>
      <c r="U503" s="0" t="n">
        <f aca="false">IF(T503="",0,IF(MATCH(T503,$T$4:$T$903,0)=ROW()-3,1,0))</f>
        <v>0</v>
      </c>
      <c r="V503" s="0" t="n">
        <f aca="false">N(V502)+U503</f>
        <v>30</v>
      </c>
      <c r="AF503" s="0" t="str">
        <f aca="false">IF(OR(资金日记账!$E503="",N(资金日记账!$H503)=0),"",资金日记账!$E503)</f>
        <v/>
      </c>
      <c r="AG503" s="0" t="n">
        <f aca="false">IF(AF503="",0,IF(MATCH(AF503,$AF$4:$AF$603,0)=ROW()-3,1,0))</f>
        <v>0</v>
      </c>
      <c r="AH503" s="0" t="n">
        <f aca="false">N(AH502)+AG503</f>
        <v>5</v>
      </c>
    </row>
    <row r="504" customFormat="false" ht="13.5" hidden="false" customHeight="false" outlineLevel="0" collapsed="false">
      <c r="A504" s="0" t="str">
        <f aca="false">IF(资金日记账!$E202="","",资金日记账!$E202)</f>
        <v/>
      </c>
      <c r="B504" s="0" t="n">
        <f aca="false">IF(A504="",0,IF(MATCH(A504,$A$4:$A$1925,0)=ROW()-3,1,0))</f>
        <v>0</v>
      </c>
      <c r="C504" s="0" t="n">
        <f aca="false">N(C503)+B504</f>
        <v>11</v>
      </c>
      <c r="G504" s="0" t="n">
        <f aca="false">IF(OR($G$1="",资金日记账!$E497="",资金日记账!$E497&lt;&gt;$G$1),0,IF(NOT(OR(N(资金日记账!$H497)&lt;&gt;0,N(资金日记账!$I497)&lt;&gt;0)),0,IF(资金日记账!$B497="",1,IF(OR(N(资金日记账!$B497)&lt;$H$1,N(资金日记账!$B497)&gt;$I$1),0,1))))</f>
        <v>0</v>
      </c>
      <c r="H504" s="0" t="n">
        <f aca="false">N(H503)+$G504</f>
        <v>3</v>
      </c>
      <c r="I504" s="0" t="str">
        <f aca="false">IF($G504=0,"",IF(资金日记账!$B497=0,"",资金日记账!$B497))</f>
        <v/>
      </c>
      <c r="J504" s="0" t="str">
        <f aca="false">IF($G504=0,"",IF(资金日记账!$D497=0,"",资金日记账!$D497))</f>
        <v/>
      </c>
      <c r="K504" s="0" t="str">
        <f aca="false">IF($G504=0,"",IF(""=0,"",""))</f>
        <v/>
      </c>
      <c r="L504" s="0" t="str">
        <f aca="false">IF($G504=0,"",IF(""=0,"",""))</f>
        <v/>
      </c>
      <c r="M504" s="0" t="str">
        <f aca="false">IF($G504=0,"",IF(""=0,"",""))</f>
        <v/>
      </c>
      <c r="N504" s="0" t="str">
        <f aca="false">IF($G504=0,"",IF(IF(N(资金日记账!$I497)=0,"",-ROUND(N(资金日记账!$I497),2))=0,"",IF(N(资金日记账!$I497)=0,"",-ROUND(N(资金日记账!$I497),2))))</f>
        <v/>
      </c>
      <c r="O504" s="0" t="str">
        <f aca="false">IF($G504=0,"",IF(IF(N(资金日记账!$H497)=0,"",ROUND(N(资金日记账!$H497),2))=0,"",IF(N(资金日记账!$H497)=0,"",ROUND(N(资金日记账!$H497),2))))</f>
        <v/>
      </c>
      <c r="P504" s="0" t="str">
        <f aca="false">IF($G504=0,"",IF(资金日记账!$L497=0,"",资金日记账!$L497))</f>
        <v/>
      </c>
      <c r="T504" s="0" t="str">
        <f aca="false">IF(资金日记账!$G504="","",资金日记账!$G504)</f>
        <v/>
      </c>
      <c r="U504" s="0" t="n">
        <f aca="false">IF(T504="",0,IF(MATCH(T504,$T$4:$T$903,0)=ROW()-3,1,0))</f>
        <v>0</v>
      </c>
      <c r="V504" s="0" t="n">
        <f aca="false">N(V503)+U504</f>
        <v>30</v>
      </c>
      <c r="AF504" s="0" t="str">
        <f aca="false">IF(OR(资金日记账!$E504="",N(资金日记账!$H504)=0),"",资金日记账!$E504)</f>
        <v/>
      </c>
      <c r="AG504" s="0" t="n">
        <f aca="false">IF(AF504="",0,IF(MATCH(AF504,$AF$4:$AF$603,0)=ROW()-3,1,0))</f>
        <v>0</v>
      </c>
      <c r="AH504" s="0" t="n">
        <f aca="false">N(AH503)+AG504</f>
        <v>5</v>
      </c>
    </row>
    <row r="505" customFormat="false" ht="13.5" hidden="false" customHeight="false" outlineLevel="0" collapsed="false">
      <c r="A505" s="0" t="str">
        <f aca="false">IF(资金日记账!$E203="","",资金日记账!$E203)</f>
        <v/>
      </c>
      <c r="B505" s="0" t="n">
        <f aca="false">IF(A505="",0,IF(MATCH(A505,$A$4:$A$1925,0)=ROW()-3,1,0))</f>
        <v>0</v>
      </c>
      <c r="C505" s="0" t="n">
        <f aca="false">N(C504)+B505</f>
        <v>11</v>
      </c>
      <c r="G505" s="0" t="n">
        <f aca="false">IF(OR($G$1="",资金日记账!$E498="",资金日记账!$E498&lt;&gt;$G$1),0,IF(NOT(OR(N(资金日记账!$H498)&lt;&gt;0,N(资金日记账!$I498)&lt;&gt;0)),0,IF(资金日记账!$B498="",1,IF(OR(N(资金日记账!$B498)&lt;$H$1,N(资金日记账!$B498)&gt;$I$1),0,1))))</f>
        <v>0</v>
      </c>
      <c r="H505" s="0" t="n">
        <f aca="false">N(H504)+$G505</f>
        <v>3</v>
      </c>
      <c r="I505" s="0" t="str">
        <f aca="false">IF($G505=0,"",IF(资金日记账!$B498=0,"",资金日记账!$B498))</f>
        <v/>
      </c>
      <c r="J505" s="0" t="str">
        <f aca="false">IF($G505=0,"",IF(资金日记账!$D498=0,"",资金日记账!$D498))</f>
        <v/>
      </c>
      <c r="K505" s="0" t="str">
        <f aca="false">IF($G505=0,"",IF(""=0,"",""))</f>
        <v/>
      </c>
      <c r="L505" s="0" t="str">
        <f aca="false">IF($G505=0,"",IF(""=0,"",""))</f>
        <v/>
      </c>
      <c r="M505" s="0" t="str">
        <f aca="false">IF($G505=0,"",IF(""=0,"",""))</f>
        <v/>
      </c>
      <c r="N505" s="0" t="str">
        <f aca="false">IF($G505=0,"",IF(IF(N(资金日记账!$I498)=0,"",-ROUND(N(资金日记账!$I498),2))=0,"",IF(N(资金日记账!$I498)=0,"",-ROUND(N(资金日记账!$I498),2))))</f>
        <v/>
      </c>
      <c r="O505" s="0" t="str">
        <f aca="false">IF($G505=0,"",IF(IF(N(资金日记账!$H498)=0,"",ROUND(N(资金日记账!$H498),2))=0,"",IF(N(资金日记账!$H498)=0,"",ROUND(N(资金日记账!$H498),2))))</f>
        <v/>
      </c>
      <c r="P505" s="0" t="str">
        <f aca="false">IF($G505=0,"",IF(资金日记账!$L498=0,"",资金日记账!$L498))</f>
        <v/>
      </c>
      <c r="T505" s="0" t="str">
        <f aca="false">IF(资金日记账!$G505="","",资金日记账!$G505)</f>
        <v/>
      </c>
      <c r="U505" s="0" t="n">
        <f aca="false">IF(T505="",0,IF(MATCH(T505,$T$4:$T$903,0)=ROW()-3,1,0))</f>
        <v>0</v>
      </c>
      <c r="V505" s="0" t="n">
        <f aca="false">N(V504)+U505</f>
        <v>30</v>
      </c>
      <c r="AF505" s="0" t="str">
        <f aca="false">IF(OR(资金日记账!$E505="",N(资金日记账!$H505)=0),"",资金日记账!$E505)</f>
        <v/>
      </c>
      <c r="AG505" s="0" t="n">
        <f aca="false">IF(AF505="",0,IF(MATCH(AF505,$AF$4:$AF$603,0)=ROW()-3,1,0))</f>
        <v>0</v>
      </c>
      <c r="AH505" s="0" t="n">
        <f aca="false">N(AH504)+AG505</f>
        <v>5</v>
      </c>
    </row>
    <row r="506" customFormat="false" ht="13.5" hidden="false" customHeight="false" outlineLevel="0" collapsed="false">
      <c r="A506" s="0" t="str">
        <f aca="false">IF(资金日记账!$E204="","",资金日记账!$E204)</f>
        <v/>
      </c>
      <c r="B506" s="0" t="n">
        <f aca="false">IF(A506="",0,IF(MATCH(A506,$A$4:$A$1925,0)=ROW()-3,1,0))</f>
        <v>0</v>
      </c>
      <c r="C506" s="0" t="n">
        <f aca="false">N(C505)+B506</f>
        <v>11</v>
      </c>
      <c r="G506" s="0" t="n">
        <f aca="false">IF(OR($G$1="",资金日记账!$E499="",资金日记账!$E499&lt;&gt;$G$1),0,IF(NOT(OR(N(资金日记账!$H499)&lt;&gt;0,N(资金日记账!$I499)&lt;&gt;0)),0,IF(资金日记账!$B499="",1,IF(OR(N(资金日记账!$B499)&lt;$H$1,N(资金日记账!$B499)&gt;$I$1),0,1))))</f>
        <v>0</v>
      </c>
      <c r="H506" s="0" t="n">
        <f aca="false">N(H505)+$G506</f>
        <v>3</v>
      </c>
      <c r="I506" s="0" t="str">
        <f aca="false">IF($G506=0,"",IF(资金日记账!$B499=0,"",资金日记账!$B499))</f>
        <v/>
      </c>
      <c r="J506" s="0" t="str">
        <f aca="false">IF($G506=0,"",IF(资金日记账!$D499=0,"",资金日记账!$D499))</f>
        <v/>
      </c>
      <c r="K506" s="0" t="str">
        <f aca="false">IF($G506=0,"",IF(""=0,"",""))</f>
        <v/>
      </c>
      <c r="L506" s="0" t="str">
        <f aca="false">IF($G506=0,"",IF(""=0,"",""))</f>
        <v/>
      </c>
      <c r="M506" s="0" t="str">
        <f aca="false">IF($G506=0,"",IF(""=0,"",""))</f>
        <v/>
      </c>
      <c r="N506" s="0" t="str">
        <f aca="false">IF($G506=0,"",IF(IF(N(资金日记账!$I499)=0,"",-ROUND(N(资金日记账!$I499),2))=0,"",IF(N(资金日记账!$I499)=0,"",-ROUND(N(资金日记账!$I499),2))))</f>
        <v/>
      </c>
      <c r="O506" s="0" t="str">
        <f aca="false">IF($G506=0,"",IF(IF(N(资金日记账!$H499)=0,"",ROUND(N(资金日记账!$H499),2))=0,"",IF(N(资金日记账!$H499)=0,"",ROUND(N(资金日记账!$H499),2))))</f>
        <v/>
      </c>
      <c r="P506" s="0" t="str">
        <f aca="false">IF($G506=0,"",IF(资金日记账!$L499=0,"",资金日记账!$L499))</f>
        <v/>
      </c>
      <c r="T506" s="0" t="str">
        <f aca="false">IF(资金日记账!$G506="","",资金日记账!$G506)</f>
        <v/>
      </c>
      <c r="U506" s="0" t="n">
        <f aca="false">IF(T506="",0,IF(MATCH(T506,$T$4:$T$903,0)=ROW()-3,1,0))</f>
        <v>0</v>
      </c>
      <c r="V506" s="0" t="n">
        <f aca="false">N(V505)+U506</f>
        <v>30</v>
      </c>
      <c r="AF506" s="0" t="str">
        <f aca="false">IF(OR(资金日记账!$E506="",N(资金日记账!$H506)=0),"",资金日记账!$E506)</f>
        <v/>
      </c>
      <c r="AG506" s="0" t="n">
        <f aca="false">IF(AF506="",0,IF(MATCH(AF506,$AF$4:$AF$603,0)=ROW()-3,1,0))</f>
        <v>0</v>
      </c>
      <c r="AH506" s="0" t="n">
        <f aca="false">N(AH505)+AG506</f>
        <v>5</v>
      </c>
    </row>
    <row r="507" customFormat="false" ht="13.5" hidden="false" customHeight="false" outlineLevel="0" collapsed="false">
      <c r="A507" s="0" t="str">
        <f aca="false">IF(资金日记账!$E205="","",资金日记账!$E205)</f>
        <v/>
      </c>
      <c r="B507" s="0" t="n">
        <f aca="false">IF(A507="",0,IF(MATCH(A507,$A$4:$A$1925,0)=ROW()-3,1,0))</f>
        <v>0</v>
      </c>
      <c r="C507" s="0" t="n">
        <f aca="false">N(C506)+B507</f>
        <v>11</v>
      </c>
      <c r="G507" s="0" t="n">
        <f aca="false">IF(OR($G$1="",资金日记账!$E500="",资金日记账!$E500&lt;&gt;$G$1),0,IF(NOT(OR(N(资金日记账!$H500)&lt;&gt;0,N(资金日记账!$I500)&lt;&gt;0)),0,IF(资金日记账!$B500="",1,IF(OR(N(资金日记账!$B500)&lt;$H$1,N(资金日记账!$B500)&gt;$I$1),0,1))))</f>
        <v>0</v>
      </c>
      <c r="H507" s="0" t="n">
        <f aca="false">N(H506)+$G507</f>
        <v>3</v>
      </c>
      <c r="I507" s="0" t="str">
        <f aca="false">IF($G507=0,"",IF(资金日记账!$B500=0,"",资金日记账!$B500))</f>
        <v/>
      </c>
      <c r="J507" s="0" t="str">
        <f aca="false">IF($G507=0,"",IF(资金日记账!$D500=0,"",资金日记账!$D500))</f>
        <v/>
      </c>
      <c r="K507" s="0" t="str">
        <f aca="false">IF($G507=0,"",IF(""=0,"",""))</f>
        <v/>
      </c>
      <c r="L507" s="0" t="str">
        <f aca="false">IF($G507=0,"",IF(""=0,"",""))</f>
        <v/>
      </c>
      <c r="M507" s="0" t="str">
        <f aca="false">IF($G507=0,"",IF(""=0,"",""))</f>
        <v/>
      </c>
      <c r="N507" s="0" t="str">
        <f aca="false">IF($G507=0,"",IF(IF(N(资金日记账!$I500)=0,"",-ROUND(N(资金日记账!$I500),2))=0,"",IF(N(资金日记账!$I500)=0,"",-ROUND(N(资金日记账!$I500),2))))</f>
        <v/>
      </c>
      <c r="O507" s="0" t="str">
        <f aca="false">IF($G507=0,"",IF(IF(N(资金日记账!$H500)=0,"",ROUND(N(资金日记账!$H500),2))=0,"",IF(N(资金日记账!$H500)=0,"",ROUND(N(资金日记账!$H500),2))))</f>
        <v/>
      </c>
      <c r="P507" s="0" t="str">
        <f aca="false">IF($G507=0,"",IF(资金日记账!$L500=0,"",资金日记账!$L500))</f>
        <v/>
      </c>
      <c r="T507" s="0" t="str">
        <f aca="false">IF(资金日记账!$G507="","",资金日记账!$G507)</f>
        <v/>
      </c>
      <c r="U507" s="0" t="n">
        <f aca="false">IF(T507="",0,IF(MATCH(T507,$T$4:$T$903,0)=ROW()-3,1,0))</f>
        <v>0</v>
      </c>
      <c r="V507" s="0" t="n">
        <f aca="false">N(V506)+U507</f>
        <v>30</v>
      </c>
      <c r="AF507" s="0" t="str">
        <f aca="false">IF(OR(资金日记账!$E507="",N(资金日记账!$H507)=0),"",资金日记账!$E507)</f>
        <v/>
      </c>
      <c r="AG507" s="0" t="n">
        <f aca="false">IF(AF507="",0,IF(MATCH(AF507,$AF$4:$AF$603,0)=ROW()-3,1,0))</f>
        <v>0</v>
      </c>
      <c r="AH507" s="0" t="n">
        <f aca="false">N(AH506)+AG507</f>
        <v>5</v>
      </c>
    </row>
    <row r="508" customFormat="false" ht="13.5" hidden="false" customHeight="false" outlineLevel="0" collapsed="false">
      <c r="A508" s="0" t="str">
        <f aca="false">IF(资金日记账!$E206="","",资金日记账!$E206)</f>
        <v/>
      </c>
      <c r="B508" s="0" t="n">
        <f aca="false">IF(A508="",0,IF(MATCH(A508,$A$4:$A$1925,0)=ROW()-3,1,0))</f>
        <v>0</v>
      </c>
      <c r="C508" s="0" t="n">
        <f aca="false">N(C507)+B508</f>
        <v>11</v>
      </c>
      <c r="G508" s="0" t="n">
        <f aca="false">IF(OR($G$1="",资金日记账!$E501="",资金日记账!$E501&lt;&gt;$G$1),0,IF(NOT(OR(N(资金日记账!$H501)&lt;&gt;0,N(资金日记账!$I501)&lt;&gt;0)),0,IF(资金日记账!$B501="",1,IF(OR(N(资金日记账!$B501)&lt;$H$1,N(资金日记账!$B501)&gt;$I$1),0,1))))</f>
        <v>0</v>
      </c>
      <c r="H508" s="0" t="n">
        <f aca="false">N(H507)+$G508</f>
        <v>3</v>
      </c>
      <c r="I508" s="0" t="str">
        <f aca="false">IF($G508=0,"",IF(资金日记账!$B501=0,"",资金日记账!$B501))</f>
        <v/>
      </c>
      <c r="J508" s="0" t="str">
        <f aca="false">IF($G508=0,"",IF(资金日记账!$D501=0,"",资金日记账!$D501))</f>
        <v/>
      </c>
      <c r="K508" s="0" t="str">
        <f aca="false">IF($G508=0,"",IF(""=0,"",""))</f>
        <v/>
      </c>
      <c r="L508" s="0" t="str">
        <f aca="false">IF($G508=0,"",IF(""=0,"",""))</f>
        <v/>
      </c>
      <c r="M508" s="0" t="str">
        <f aca="false">IF($G508=0,"",IF(""=0,"",""))</f>
        <v/>
      </c>
      <c r="N508" s="0" t="str">
        <f aca="false">IF($G508=0,"",IF(IF(N(资金日记账!$I501)=0,"",-ROUND(N(资金日记账!$I501),2))=0,"",IF(N(资金日记账!$I501)=0,"",-ROUND(N(资金日记账!$I501),2))))</f>
        <v/>
      </c>
      <c r="O508" s="0" t="str">
        <f aca="false">IF($G508=0,"",IF(IF(N(资金日记账!$H501)=0,"",ROUND(N(资金日记账!$H501),2))=0,"",IF(N(资金日记账!$H501)=0,"",ROUND(N(资金日记账!$H501),2))))</f>
        <v/>
      </c>
      <c r="P508" s="0" t="str">
        <f aca="false">IF($G508=0,"",IF(资金日记账!$L501=0,"",资金日记账!$L501))</f>
        <v/>
      </c>
      <c r="T508" s="0" t="str">
        <f aca="false">IF(资金日记账!$G508="","",资金日记账!$G508)</f>
        <v/>
      </c>
      <c r="U508" s="0" t="n">
        <f aca="false">IF(T508="",0,IF(MATCH(T508,$T$4:$T$903,0)=ROW()-3,1,0))</f>
        <v>0</v>
      </c>
      <c r="V508" s="0" t="n">
        <f aca="false">N(V507)+U508</f>
        <v>30</v>
      </c>
      <c r="AF508" s="0" t="str">
        <f aca="false">IF(OR(资金日记账!$E508="",N(资金日记账!$H508)=0),"",资金日记账!$E508)</f>
        <v/>
      </c>
      <c r="AG508" s="0" t="n">
        <f aca="false">IF(AF508="",0,IF(MATCH(AF508,$AF$4:$AF$603,0)=ROW()-3,1,0))</f>
        <v>0</v>
      </c>
      <c r="AH508" s="0" t="n">
        <f aca="false">N(AH507)+AG508</f>
        <v>5</v>
      </c>
    </row>
    <row r="509" customFormat="false" ht="13.5" hidden="false" customHeight="false" outlineLevel="0" collapsed="false">
      <c r="A509" s="0" t="str">
        <f aca="false">IF(资金日记账!$E207="","",资金日记账!$E207)</f>
        <v/>
      </c>
      <c r="B509" s="0" t="n">
        <f aca="false">IF(A509="",0,IF(MATCH(A509,$A$4:$A$1925,0)=ROW()-3,1,0))</f>
        <v>0</v>
      </c>
      <c r="C509" s="0" t="n">
        <f aca="false">N(C508)+B509</f>
        <v>11</v>
      </c>
      <c r="G509" s="0" t="n">
        <f aca="false">IF(OR($G$1="",资金日记账!$E502="",资金日记账!$E502&lt;&gt;$G$1),0,IF(NOT(OR(N(资金日记账!$H502)&lt;&gt;0,N(资金日记账!$I502)&lt;&gt;0)),0,IF(资金日记账!$B502="",1,IF(OR(N(资金日记账!$B502)&lt;$H$1,N(资金日记账!$B502)&gt;$I$1),0,1))))</f>
        <v>0</v>
      </c>
      <c r="H509" s="0" t="n">
        <f aca="false">N(H508)+$G509</f>
        <v>3</v>
      </c>
      <c r="I509" s="0" t="str">
        <f aca="false">IF($G509=0,"",IF(资金日记账!$B502=0,"",资金日记账!$B502))</f>
        <v/>
      </c>
      <c r="J509" s="0" t="str">
        <f aca="false">IF($G509=0,"",IF(资金日记账!$D502=0,"",资金日记账!$D502))</f>
        <v/>
      </c>
      <c r="K509" s="0" t="str">
        <f aca="false">IF($G509=0,"",IF(""=0,"",""))</f>
        <v/>
      </c>
      <c r="L509" s="0" t="str">
        <f aca="false">IF($G509=0,"",IF(""=0,"",""))</f>
        <v/>
      </c>
      <c r="M509" s="0" t="str">
        <f aca="false">IF($G509=0,"",IF(""=0,"",""))</f>
        <v/>
      </c>
      <c r="N509" s="0" t="str">
        <f aca="false">IF($G509=0,"",IF(IF(N(资金日记账!$I502)=0,"",-ROUND(N(资金日记账!$I502),2))=0,"",IF(N(资金日记账!$I502)=0,"",-ROUND(N(资金日记账!$I502),2))))</f>
        <v/>
      </c>
      <c r="O509" s="0" t="str">
        <f aca="false">IF($G509=0,"",IF(IF(N(资金日记账!$H502)=0,"",ROUND(N(资金日记账!$H502),2))=0,"",IF(N(资金日记账!$H502)=0,"",ROUND(N(资金日记账!$H502),2))))</f>
        <v/>
      </c>
      <c r="P509" s="0" t="str">
        <f aca="false">IF($G509=0,"",IF(资金日记账!$L502=0,"",资金日记账!$L502))</f>
        <v/>
      </c>
      <c r="T509" s="0" t="str">
        <f aca="false">IF(资金日记账!$G509="","",资金日记账!$G509)</f>
        <v/>
      </c>
      <c r="U509" s="0" t="n">
        <f aca="false">IF(T509="",0,IF(MATCH(T509,$T$4:$T$903,0)=ROW()-3,1,0))</f>
        <v>0</v>
      </c>
      <c r="V509" s="0" t="n">
        <f aca="false">N(V508)+U509</f>
        <v>30</v>
      </c>
      <c r="AF509" s="0" t="str">
        <f aca="false">IF(OR(资金日记账!$E509="",N(资金日记账!$H509)=0),"",资金日记账!$E509)</f>
        <v/>
      </c>
      <c r="AG509" s="0" t="n">
        <f aca="false">IF(AF509="",0,IF(MATCH(AF509,$AF$4:$AF$603,0)=ROW()-3,1,0))</f>
        <v>0</v>
      </c>
      <c r="AH509" s="0" t="n">
        <f aca="false">N(AH508)+AG509</f>
        <v>5</v>
      </c>
    </row>
    <row r="510" customFormat="false" ht="13.5" hidden="false" customHeight="false" outlineLevel="0" collapsed="false">
      <c r="A510" s="0" t="str">
        <f aca="false">IF(资金日记账!$E208="","",资金日记账!$E208)</f>
        <v/>
      </c>
      <c r="B510" s="0" t="n">
        <f aca="false">IF(A510="",0,IF(MATCH(A510,$A$4:$A$1925,0)=ROW()-3,1,0))</f>
        <v>0</v>
      </c>
      <c r="C510" s="0" t="n">
        <f aca="false">N(C509)+B510</f>
        <v>11</v>
      </c>
      <c r="G510" s="0" t="n">
        <f aca="false">IF(OR($G$1="",资金日记账!$E503="",资金日记账!$E503&lt;&gt;$G$1),0,IF(NOT(OR(N(资金日记账!$H503)&lt;&gt;0,N(资金日记账!$I503)&lt;&gt;0)),0,IF(资金日记账!$B503="",1,IF(OR(N(资金日记账!$B503)&lt;$H$1,N(资金日记账!$B503)&gt;$I$1),0,1))))</f>
        <v>0</v>
      </c>
      <c r="H510" s="0" t="n">
        <f aca="false">N(H509)+$G510</f>
        <v>3</v>
      </c>
      <c r="I510" s="0" t="str">
        <f aca="false">IF($G510=0,"",IF(资金日记账!$B503=0,"",资金日记账!$B503))</f>
        <v/>
      </c>
      <c r="J510" s="0" t="str">
        <f aca="false">IF($G510=0,"",IF(资金日记账!$D503=0,"",资金日记账!$D503))</f>
        <v/>
      </c>
      <c r="K510" s="0" t="str">
        <f aca="false">IF($G510=0,"",IF(""=0,"",""))</f>
        <v/>
      </c>
      <c r="L510" s="0" t="str">
        <f aca="false">IF($G510=0,"",IF(""=0,"",""))</f>
        <v/>
      </c>
      <c r="M510" s="0" t="str">
        <f aca="false">IF($G510=0,"",IF(""=0,"",""))</f>
        <v/>
      </c>
      <c r="N510" s="0" t="str">
        <f aca="false">IF($G510=0,"",IF(IF(N(资金日记账!$I503)=0,"",-ROUND(N(资金日记账!$I503),2))=0,"",IF(N(资金日记账!$I503)=0,"",-ROUND(N(资金日记账!$I503),2))))</f>
        <v/>
      </c>
      <c r="O510" s="0" t="str">
        <f aca="false">IF($G510=0,"",IF(IF(N(资金日记账!$H503)=0,"",ROUND(N(资金日记账!$H503),2))=0,"",IF(N(资金日记账!$H503)=0,"",ROUND(N(资金日记账!$H503),2))))</f>
        <v/>
      </c>
      <c r="P510" s="0" t="str">
        <f aca="false">IF($G510=0,"",IF(资金日记账!$L503=0,"",资金日记账!$L503))</f>
        <v/>
      </c>
      <c r="T510" s="0" t="str">
        <f aca="false">IF(资金日记账!$G510="","",资金日记账!$G510)</f>
        <v/>
      </c>
      <c r="U510" s="0" t="n">
        <f aca="false">IF(T510="",0,IF(MATCH(T510,$T$4:$T$903,0)=ROW()-3,1,0))</f>
        <v>0</v>
      </c>
      <c r="V510" s="0" t="n">
        <f aca="false">N(V509)+U510</f>
        <v>30</v>
      </c>
      <c r="AF510" s="0" t="str">
        <f aca="false">IF(OR(资金日记账!$E510="",N(资金日记账!$H510)=0),"",资金日记账!$E510)</f>
        <v/>
      </c>
      <c r="AG510" s="0" t="n">
        <f aca="false">IF(AF510="",0,IF(MATCH(AF510,$AF$4:$AF$603,0)=ROW()-3,1,0))</f>
        <v>0</v>
      </c>
      <c r="AH510" s="0" t="n">
        <f aca="false">N(AH509)+AG510</f>
        <v>5</v>
      </c>
    </row>
    <row r="511" customFormat="false" ht="13.5" hidden="false" customHeight="false" outlineLevel="0" collapsed="false">
      <c r="A511" s="0" t="str">
        <f aca="false">IF(资金日记账!$E209="","",资金日记账!$E209)</f>
        <v/>
      </c>
      <c r="B511" s="0" t="n">
        <f aca="false">IF(A511="",0,IF(MATCH(A511,$A$4:$A$1925,0)=ROW()-3,1,0))</f>
        <v>0</v>
      </c>
      <c r="C511" s="0" t="n">
        <f aca="false">N(C510)+B511</f>
        <v>11</v>
      </c>
      <c r="G511" s="0" t="n">
        <f aca="false">IF(OR($G$1="",资金日记账!$E504="",资金日记账!$E504&lt;&gt;$G$1),0,IF(NOT(OR(N(资金日记账!$H504)&lt;&gt;0,N(资金日记账!$I504)&lt;&gt;0)),0,IF(资金日记账!$B504="",1,IF(OR(N(资金日记账!$B504)&lt;$H$1,N(资金日记账!$B504)&gt;$I$1),0,1))))</f>
        <v>0</v>
      </c>
      <c r="H511" s="0" t="n">
        <f aca="false">N(H510)+$G511</f>
        <v>3</v>
      </c>
      <c r="I511" s="0" t="str">
        <f aca="false">IF($G511=0,"",IF(资金日记账!$B504=0,"",资金日记账!$B504))</f>
        <v/>
      </c>
      <c r="J511" s="0" t="str">
        <f aca="false">IF($G511=0,"",IF(资金日记账!$D504=0,"",资金日记账!$D504))</f>
        <v/>
      </c>
      <c r="K511" s="0" t="str">
        <f aca="false">IF($G511=0,"",IF(""=0,"",""))</f>
        <v/>
      </c>
      <c r="L511" s="0" t="str">
        <f aca="false">IF($G511=0,"",IF(""=0,"",""))</f>
        <v/>
      </c>
      <c r="M511" s="0" t="str">
        <f aca="false">IF($G511=0,"",IF(""=0,"",""))</f>
        <v/>
      </c>
      <c r="N511" s="0" t="str">
        <f aca="false">IF($G511=0,"",IF(IF(N(资金日记账!$I504)=0,"",-ROUND(N(资金日记账!$I504),2))=0,"",IF(N(资金日记账!$I504)=0,"",-ROUND(N(资金日记账!$I504),2))))</f>
        <v/>
      </c>
      <c r="O511" s="0" t="str">
        <f aca="false">IF($G511=0,"",IF(IF(N(资金日记账!$H504)=0,"",ROUND(N(资金日记账!$H504),2))=0,"",IF(N(资金日记账!$H504)=0,"",ROUND(N(资金日记账!$H504),2))))</f>
        <v/>
      </c>
      <c r="P511" s="0" t="str">
        <f aca="false">IF($G511=0,"",IF(资金日记账!$L504=0,"",资金日记账!$L504))</f>
        <v/>
      </c>
      <c r="T511" s="0" t="str">
        <f aca="false">IF(资金日记账!$G511="","",资金日记账!$G511)</f>
        <v/>
      </c>
      <c r="U511" s="0" t="n">
        <f aca="false">IF(T511="",0,IF(MATCH(T511,$T$4:$T$903,0)=ROW()-3,1,0))</f>
        <v>0</v>
      </c>
      <c r="V511" s="0" t="n">
        <f aca="false">N(V510)+U511</f>
        <v>30</v>
      </c>
      <c r="AF511" s="0" t="str">
        <f aca="false">IF(OR(资金日记账!$E511="",N(资金日记账!$H511)=0),"",资金日记账!$E511)</f>
        <v/>
      </c>
      <c r="AG511" s="0" t="n">
        <f aca="false">IF(AF511="",0,IF(MATCH(AF511,$AF$4:$AF$603,0)=ROW()-3,1,0))</f>
        <v>0</v>
      </c>
      <c r="AH511" s="0" t="n">
        <f aca="false">N(AH510)+AG511</f>
        <v>5</v>
      </c>
    </row>
    <row r="512" customFormat="false" ht="13.5" hidden="false" customHeight="false" outlineLevel="0" collapsed="false">
      <c r="A512" s="0" t="str">
        <f aca="false">IF(资金日记账!$E210="","",资金日记账!$E210)</f>
        <v/>
      </c>
      <c r="B512" s="0" t="n">
        <f aca="false">IF(A512="",0,IF(MATCH(A512,$A$4:$A$1925,0)=ROW()-3,1,0))</f>
        <v>0</v>
      </c>
      <c r="C512" s="0" t="n">
        <f aca="false">N(C511)+B512</f>
        <v>11</v>
      </c>
      <c r="G512" s="0" t="n">
        <f aca="false">IF(OR($G$1="",资金日记账!$E505="",资金日记账!$E505&lt;&gt;$G$1),0,IF(NOT(OR(N(资金日记账!$H505)&lt;&gt;0,N(资金日记账!$I505)&lt;&gt;0)),0,IF(资金日记账!$B505="",1,IF(OR(N(资金日记账!$B505)&lt;$H$1,N(资金日记账!$B505)&gt;$I$1),0,1))))</f>
        <v>0</v>
      </c>
      <c r="H512" s="0" t="n">
        <f aca="false">N(H511)+$G512</f>
        <v>3</v>
      </c>
      <c r="I512" s="0" t="str">
        <f aca="false">IF($G512=0,"",IF(资金日记账!$B505=0,"",资金日记账!$B505))</f>
        <v/>
      </c>
      <c r="J512" s="0" t="str">
        <f aca="false">IF($G512=0,"",IF(资金日记账!$D505=0,"",资金日记账!$D505))</f>
        <v/>
      </c>
      <c r="K512" s="0" t="str">
        <f aca="false">IF($G512=0,"",IF(""=0,"",""))</f>
        <v/>
      </c>
      <c r="L512" s="0" t="str">
        <f aca="false">IF($G512=0,"",IF(""=0,"",""))</f>
        <v/>
      </c>
      <c r="M512" s="0" t="str">
        <f aca="false">IF($G512=0,"",IF(""=0,"",""))</f>
        <v/>
      </c>
      <c r="N512" s="0" t="str">
        <f aca="false">IF($G512=0,"",IF(IF(N(资金日记账!$I505)=0,"",-ROUND(N(资金日记账!$I505),2))=0,"",IF(N(资金日记账!$I505)=0,"",-ROUND(N(资金日记账!$I505),2))))</f>
        <v/>
      </c>
      <c r="O512" s="0" t="str">
        <f aca="false">IF($G512=0,"",IF(IF(N(资金日记账!$H505)=0,"",ROUND(N(资金日记账!$H505),2))=0,"",IF(N(资金日记账!$H505)=0,"",ROUND(N(资金日记账!$H505),2))))</f>
        <v/>
      </c>
      <c r="P512" s="0" t="str">
        <f aca="false">IF($G512=0,"",IF(资金日记账!$L505=0,"",资金日记账!$L505))</f>
        <v/>
      </c>
      <c r="T512" s="0" t="str">
        <f aca="false">IF(资金日记账!$G512="","",资金日记账!$G512)</f>
        <v/>
      </c>
      <c r="U512" s="0" t="n">
        <f aca="false">IF(T512="",0,IF(MATCH(T512,$T$4:$T$903,0)=ROW()-3,1,0))</f>
        <v>0</v>
      </c>
      <c r="V512" s="0" t="n">
        <f aca="false">N(V511)+U512</f>
        <v>30</v>
      </c>
      <c r="AF512" s="0" t="str">
        <f aca="false">IF(OR(资金日记账!$E512="",N(资金日记账!$H512)=0),"",资金日记账!$E512)</f>
        <v/>
      </c>
      <c r="AG512" s="0" t="n">
        <f aca="false">IF(AF512="",0,IF(MATCH(AF512,$AF$4:$AF$603,0)=ROW()-3,1,0))</f>
        <v>0</v>
      </c>
      <c r="AH512" s="0" t="n">
        <f aca="false">N(AH511)+AG512</f>
        <v>5</v>
      </c>
    </row>
    <row r="513" customFormat="false" ht="13.5" hidden="false" customHeight="false" outlineLevel="0" collapsed="false">
      <c r="A513" s="0" t="str">
        <f aca="false">IF(资金日记账!$E211="","",资金日记账!$E211)</f>
        <v/>
      </c>
      <c r="B513" s="0" t="n">
        <f aca="false">IF(A513="",0,IF(MATCH(A513,$A$4:$A$1925,0)=ROW()-3,1,0))</f>
        <v>0</v>
      </c>
      <c r="C513" s="0" t="n">
        <f aca="false">N(C512)+B513</f>
        <v>11</v>
      </c>
      <c r="G513" s="0" t="n">
        <f aca="false">IF(OR($G$1="",资金日记账!$E506="",资金日记账!$E506&lt;&gt;$G$1),0,IF(NOT(OR(N(资金日记账!$H506)&lt;&gt;0,N(资金日记账!$I506)&lt;&gt;0)),0,IF(资金日记账!$B506="",1,IF(OR(N(资金日记账!$B506)&lt;$H$1,N(资金日记账!$B506)&gt;$I$1),0,1))))</f>
        <v>0</v>
      </c>
      <c r="H513" s="0" t="n">
        <f aca="false">N(H512)+$G513</f>
        <v>3</v>
      </c>
      <c r="I513" s="0" t="str">
        <f aca="false">IF($G513=0,"",IF(资金日记账!$B506=0,"",资金日记账!$B506))</f>
        <v/>
      </c>
      <c r="J513" s="0" t="str">
        <f aca="false">IF($G513=0,"",IF(资金日记账!$D506=0,"",资金日记账!$D506))</f>
        <v/>
      </c>
      <c r="K513" s="0" t="str">
        <f aca="false">IF($G513=0,"",IF(""=0,"",""))</f>
        <v/>
      </c>
      <c r="L513" s="0" t="str">
        <f aca="false">IF($G513=0,"",IF(""=0,"",""))</f>
        <v/>
      </c>
      <c r="M513" s="0" t="str">
        <f aca="false">IF($G513=0,"",IF(""=0,"",""))</f>
        <v/>
      </c>
      <c r="N513" s="0" t="str">
        <f aca="false">IF($G513=0,"",IF(IF(N(资金日记账!$I506)=0,"",-ROUND(N(资金日记账!$I506),2))=0,"",IF(N(资金日记账!$I506)=0,"",-ROUND(N(资金日记账!$I506),2))))</f>
        <v/>
      </c>
      <c r="O513" s="0" t="str">
        <f aca="false">IF($G513=0,"",IF(IF(N(资金日记账!$H506)=0,"",ROUND(N(资金日记账!$H506),2))=0,"",IF(N(资金日记账!$H506)=0,"",ROUND(N(资金日记账!$H506),2))))</f>
        <v/>
      </c>
      <c r="P513" s="0" t="str">
        <f aca="false">IF($G513=0,"",IF(资金日记账!$L506=0,"",资金日记账!$L506))</f>
        <v/>
      </c>
      <c r="T513" s="0" t="str">
        <f aca="false">IF(资金日记账!$G513="","",资金日记账!$G513)</f>
        <v/>
      </c>
      <c r="U513" s="0" t="n">
        <f aca="false">IF(T513="",0,IF(MATCH(T513,$T$4:$T$903,0)=ROW()-3,1,0))</f>
        <v>0</v>
      </c>
      <c r="V513" s="0" t="n">
        <f aca="false">N(V512)+U513</f>
        <v>30</v>
      </c>
      <c r="AF513" s="0" t="str">
        <f aca="false">IF(OR(资金日记账!$E513="",N(资金日记账!$H513)=0),"",资金日记账!$E513)</f>
        <v/>
      </c>
      <c r="AG513" s="0" t="n">
        <f aca="false">IF(AF513="",0,IF(MATCH(AF513,$AF$4:$AF$603,0)=ROW()-3,1,0))</f>
        <v>0</v>
      </c>
      <c r="AH513" s="0" t="n">
        <f aca="false">N(AH512)+AG513</f>
        <v>5</v>
      </c>
    </row>
    <row r="514" customFormat="false" ht="13.5" hidden="false" customHeight="false" outlineLevel="0" collapsed="false">
      <c r="A514" s="0" t="str">
        <f aca="false">IF(资金日记账!$E212="","",资金日记账!$E212)</f>
        <v/>
      </c>
      <c r="B514" s="0" t="n">
        <f aca="false">IF(A514="",0,IF(MATCH(A514,$A$4:$A$1925,0)=ROW()-3,1,0))</f>
        <v>0</v>
      </c>
      <c r="C514" s="0" t="n">
        <f aca="false">N(C513)+B514</f>
        <v>11</v>
      </c>
      <c r="G514" s="0" t="n">
        <f aca="false">IF(OR($G$1="",资金日记账!$E507="",资金日记账!$E507&lt;&gt;$G$1),0,IF(NOT(OR(N(资金日记账!$H507)&lt;&gt;0,N(资金日记账!$I507)&lt;&gt;0)),0,IF(资金日记账!$B507="",1,IF(OR(N(资金日记账!$B507)&lt;$H$1,N(资金日记账!$B507)&gt;$I$1),0,1))))</f>
        <v>0</v>
      </c>
      <c r="H514" s="0" t="n">
        <f aca="false">N(H513)+$G514</f>
        <v>3</v>
      </c>
      <c r="I514" s="0" t="str">
        <f aca="false">IF($G514=0,"",IF(资金日记账!$B507=0,"",资金日记账!$B507))</f>
        <v/>
      </c>
      <c r="J514" s="0" t="str">
        <f aca="false">IF($G514=0,"",IF(资金日记账!$D507=0,"",资金日记账!$D507))</f>
        <v/>
      </c>
      <c r="K514" s="0" t="str">
        <f aca="false">IF($G514=0,"",IF(""=0,"",""))</f>
        <v/>
      </c>
      <c r="L514" s="0" t="str">
        <f aca="false">IF($G514=0,"",IF(""=0,"",""))</f>
        <v/>
      </c>
      <c r="M514" s="0" t="str">
        <f aca="false">IF($G514=0,"",IF(""=0,"",""))</f>
        <v/>
      </c>
      <c r="N514" s="0" t="str">
        <f aca="false">IF($G514=0,"",IF(IF(N(资金日记账!$I507)=0,"",-ROUND(N(资金日记账!$I507),2))=0,"",IF(N(资金日记账!$I507)=0,"",-ROUND(N(资金日记账!$I507),2))))</f>
        <v/>
      </c>
      <c r="O514" s="0" t="str">
        <f aca="false">IF($G514=0,"",IF(IF(N(资金日记账!$H507)=0,"",ROUND(N(资金日记账!$H507),2))=0,"",IF(N(资金日记账!$H507)=0,"",ROUND(N(资金日记账!$H507),2))))</f>
        <v/>
      </c>
      <c r="P514" s="0" t="str">
        <f aca="false">IF($G514=0,"",IF(资金日记账!$L507=0,"",资金日记账!$L507))</f>
        <v/>
      </c>
      <c r="T514" s="0" t="str">
        <f aca="false">IF(资金日记账!$G514="","",资金日记账!$G514)</f>
        <v/>
      </c>
      <c r="U514" s="0" t="n">
        <f aca="false">IF(T514="",0,IF(MATCH(T514,$T$4:$T$903,0)=ROW()-3,1,0))</f>
        <v>0</v>
      </c>
      <c r="V514" s="0" t="n">
        <f aca="false">N(V513)+U514</f>
        <v>30</v>
      </c>
      <c r="AF514" s="0" t="str">
        <f aca="false">IF(OR(资金日记账!$E514="",N(资金日记账!$H514)=0),"",资金日记账!$E514)</f>
        <v/>
      </c>
      <c r="AG514" s="0" t="n">
        <f aca="false">IF(AF514="",0,IF(MATCH(AF514,$AF$4:$AF$603,0)=ROW()-3,1,0))</f>
        <v>0</v>
      </c>
      <c r="AH514" s="0" t="n">
        <f aca="false">N(AH513)+AG514</f>
        <v>5</v>
      </c>
    </row>
    <row r="515" customFormat="false" ht="13.5" hidden="false" customHeight="false" outlineLevel="0" collapsed="false">
      <c r="A515" s="0" t="str">
        <f aca="false">IF(资金日记账!$E213="","",资金日记账!$E213)</f>
        <v/>
      </c>
      <c r="B515" s="0" t="n">
        <f aca="false">IF(A515="",0,IF(MATCH(A515,$A$4:$A$1925,0)=ROW()-3,1,0))</f>
        <v>0</v>
      </c>
      <c r="C515" s="0" t="n">
        <f aca="false">N(C514)+B515</f>
        <v>11</v>
      </c>
      <c r="G515" s="0" t="n">
        <f aca="false">IF(OR($G$1="",资金日记账!$E508="",资金日记账!$E508&lt;&gt;$G$1),0,IF(NOT(OR(N(资金日记账!$H508)&lt;&gt;0,N(资金日记账!$I508)&lt;&gt;0)),0,IF(资金日记账!$B508="",1,IF(OR(N(资金日记账!$B508)&lt;$H$1,N(资金日记账!$B508)&gt;$I$1),0,1))))</f>
        <v>0</v>
      </c>
      <c r="H515" s="0" t="n">
        <f aca="false">N(H514)+$G515</f>
        <v>3</v>
      </c>
      <c r="I515" s="0" t="str">
        <f aca="false">IF($G515=0,"",IF(资金日记账!$B508=0,"",资金日记账!$B508))</f>
        <v/>
      </c>
      <c r="J515" s="0" t="str">
        <f aca="false">IF($G515=0,"",IF(资金日记账!$D508=0,"",资金日记账!$D508))</f>
        <v/>
      </c>
      <c r="K515" s="0" t="str">
        <f aca="false">IF($G515=0,"",IF(""=0,"",""))</f>
        <v/>
      </c>
      <c r="L515" s="0" t="str">
        <f aca="false">IF($G515=0,"",IF(""=0,"",""))</f>
        <v/>
      </c>
      <c r="M515" s="0" t="str">
        <f aca="false">IF($G515=0,"",IF(""=0,"",""))</f>
        <v/>
      </c>
      <c r="N515" s="0" t="str">
        <f aca="false">IF($G515=0,"",IF(IF(N(资金日记账!$I508)=0,"",-ROUND(N(资金日记账!$I508),2))=0,"",IF(N(资金日记账!$I508)=0,"",-ROUND(N(资金日记账!$I508),2))))</f>
        <v/>
      </c>
      <c r="O515" s="0" t="str">
        <f aca="false">IF($G515=0,"",IF(IF(N(资金日记账!$H508)=0,"",ROUND(N(资金日记账!$H508),2))=0,"",IF(N(资金日记账!$H508)=0,"",ROUND(N(资金日记账!$H508),2))))</f>
        <v/>
      </c>
      <c r="P515" s="0" t="str">
        <f aca="false">IF($G515=0,"",IF(资金日记账!$L508=0,"",资金日记账!$L508))</f>
        <v/>
      </c>
      <c r="T515" s="0" t="str">
        <f aca="false">IF(资金日记账!$G515="","",资金日记账!$G515)</f>
        <v/>
      </c>
      <c r="U515" s="0" t="n">
        <f aca="false">IF(T515="",0,IF(MATCH(T515,$T$4:$T$903,0)=ROW()-3,1,0))</f>
        <v>0</v>
      </c>
      <c r="V515" s="0" t="n">
        <f aca="false">N(V514)+U515</f>
        <v>30</v>
      </c>
      <c r="AF515" s="0" t="str">
        <f aca="false">IF(OR(资金日记账!$E515="",N(资金日记账!$H515)=0),"",资金日记账!$E515)</f>
        <v/>
      </c>
      <c r="AG515" s="0" t="n">
        <f aca="false">IF(AF515="",0,IF(MATCH(AF515,$AF$4:$AF$603,0)=ROW()-3,1,0))</f>
        <v>0</v>
      </c>
      <c r="AH515" s="0" t="n">
        <f aca="false">N(AH514)+AG515</f>
        <v>5</v>
      </c>
    </row>
    <row r="516" customFormat="false" ht="13.5" hidden="false" customHeight="false" outlineLevel="0" collapsed="false">
      <c r="A516" s="0" t="str">
        <f aca="false">IF(资金日记账!$E214="","",资金日记账!$E214)</f>
        <v/>
      </c>
      <c r="B516" s="0" t="n">
        <f aca="false">IF(A516="",0,IF(MATCH(A516,$A$4:$A$1925,0)=ROW()-3,1,0))</f>
        <v>0</v>
      </c>
      <c r="C516" s="0" t="n">
        <f aca="false">N(C515)+B516</f>
        <v>11</v>
      </c>
      <c r="G516" s="0" t="n">
        <f aca="false">IF(OR($G$1="",资金日记账!$E509="",资金日记账!$E509&lt;&gt;$G$1),0,IF(NOT(OR(N(资金日记账!$H509)&lt;&gt;0,N(资金日记账!$I509)&lt;&gt;0)),0,IF(资金日记账!$B509="",1,IF(OR(N(资金日记账!$B509)&lt;$H$1,N(资金日记账!$B509)&gt;$I$1),0,1))))</f>
        <v>0</v>
      </c>
      <c r="H516" s="0" t="n">
        <f aca="false">N(H515)+$G516</f>
        <v>3</v>
      </c>
      <c r="I516" s="0" t="str">
        <f aca="false">IF($G516=0,"",IF(资金日记账!$B509=0,"",资金日记账!$B509))</f>
        <v/>
      </c>
      <c r="J516" s="0" t="str">
        <f aca="false">IF($G516=0,"",IF(资金日记账!$D509=0,"",资金日记账!$D509))</f>
        <v/>
      </c>
      <c r="K516" s="0" t="str">
        <f aca="false">IF($G516=0,"",IF(""=0,"",""))</f>
        <v/>
      </c>
      <c r="L516" s="0" t="str">
        <f aca="false">IF($G516=0,"",IF(""=0,"",""))</f>
        <v/>
      </c>
      <c r="M516" s="0" t="str">
        <f aca="false">IF($G516=0,"",IF(""=0,"",""))</f>
        <v/>
      </c>
      <c r="N516" s="0" t="str">
        <f aca="false">IF($G516=0,"",IF(IF(N(资金日记账!$I509)=0,"",-ROUND(N(资金日记账!$I509),2))=0,"",IF(N(资金日记账!$I509)=0,"",-ROUND(N(资金日记账!$I509),2))))</f>
        <v/>
      </c>
      <c r="O516" s="0" t="str">
        <f aca="false">IF($G516=0,"",IF(IF(N(资金日记账!$H509)=0,"",ROUND(N(资金日记账!$H509),2))=0,"",IF(N(资金日记账!$H509)=0,"",ROUND(N(资金日记账!$H509),2))))</f>
        <v/>
      </c>
      <c r="P516" s="0" t="str">
        <f aca="false">IF($G516=0,"",IF(资金日记账!$L509=0,"",资金日记账!$L509))</f>
        <v/>
      </c>
      <c r="T516" s="0" t="str">
        <f aca="false">IF(资金日记账!$G516="","",资金日记账!$G516)</f>
        <v/>
      </c>
      <c r="U516" s="0" t="n">
        <f aca="false">IF(T516="",0,IF(MATCH(T516,$T$4:$T$903,0)=ROW()-3,1,0))</f>
        <v>0</v>
      </c>
      <c r="V516" s="0" t="n">
        <f aca="false">N(V515)+U516</f>
        <v>30</v>
      </c>
      <c r="AF516" s="0" t="str">
        <f aca="false">IF(OR(资金日记账!$E516="",N(资金日记账!$H516)=0),"",资金日记账!$E516)</f>
        <v/>
      </c>
      <c r="AG516" s="0" t="n">
        <f aca="false">IF(AF516="",0,IF(MATCH(AF516,$AF$4:$AF$603,0)=ROW()-3,1,0))</f>
        <v>0</v>
      </c>
      <c r="AH516" s="0" t="n">
        <f aca="false">N(AH515)+AG516</f>
        <v>5</v>
      </c>
    </row>
    <row r="517" customFormat="false" ht="13.5" hidden="false" customHeight="false" outlineLevel="0" collapsed="false">
      <c r="A517" s="0" t="str">
        <f aca="false">IF(资金日记账!$E215="","",资金日记账!$E215)</f>
        <v/>
      </c>
      <c r="B517" s="0" t="n">
        <f aca="false">IF(A517="",0,IF(MATCH(A517,$A$4:$A$1925,0)=ROW()-3,1,0))</f>
        <v>0</v>
      </c>
      <c r="C517" s="0" t="n">
        <f aca="false">N(C516)+B517</f>
        <v>11</v>
      </c>
      <c r="G517" s="0" t="n">
        <f aca="false">IF(OR($G$1="",资金日记账!$E510="",资金日记账!$E510&lt;&gt;$G$1),0,IF(NOT(OR(N(资金日记账!$H510)&lt;&gt;0,N(资金日记账!$I510)&lt;&gt;0)),0,IF(资金日记账!$B510="",1,IF(OR(N(资金日记账!$B510)&lt;$H$1,N(资金日记账!$B510)&gt;$I$1),0,1))))</f>
        <v>0</v>
      </c>
      <c r="H517" s="0" t="n">
        <f aca="false">N(H516)+$G517</f>
        <v>3</v>
      </c>
      <c r="I517" s="0" t="str">
        <f aca="false">IF($G517=0,"",IF(资金日记账!$B510=0,"",资金日记账!$B510))</f>
        <v/>
      </c>
      <c r="J517" s="0" t="str">
        <f aca="false">IF($G517=0,"",IF(资金日记账!$D510=0,"",资金日记账!$D510))</f>
        <v/>
      </c>
      <c r="K517" s="0" t="str">
        <f aca="false">IF($G517=0,"",IF(""=0,"",""))</f>
        <v/>
      </c>
      <c r="L517" s="0" t="str">
        <f aca="false">IF($G517=0,"",IF(""=0,"",""))</f>
        <v/>
      </c>
      <c r="M517" s="0" t="str">
        <f aca="false">IF($G517=0,"",IF(""=0,"",""))</f>
        <v/>
      </c>
      <c r="N517" s="0" t="str">
        <f aca="false">IF($G517=0,"",IF(IF(N(资金日记账!$I510)=0,"",-ROUND(N(资金日记账!$I510),2))=0,"",IF(N(资金日记账!$I510)=0,"",-ROUND(N(资金日记账!$I510),2))))</f>
        <v/>
      </c>
      <c r="O517" s="0" t="str">
        <f aca="false">IF($G517=0,"",IF(IF(N(资金日记账!$H510)=0,"",ROUND(N(资金日记账!$H510),2))=0,"",IF(N(资金日记账!$H510)=0,"",ROUND(N(资金日记账!$H510),2))))</f>
        <v/>
      </c>
      <c r="P517" s="0" t="str">
        <f aca="false">IF($G517=0,"",IF(资金日记账!$L510=0,"",资金日记账!$L510))</f>
        <v/>
      </c>
      <c r="T517" s="0" t="str">
        <f aca="false">IF(资金日记账!$G517="","",资金日记账!$G517)</f>
        <v/>
      </c>
      <c r="U517" s="0" t="n">
        <f aca="false">IF(T517="",0,IF(MATCH(T517,$T$4:$T$903,0)=ROW()-3,1,0))</f>
        <v>0</v>
      </c>
      <c r="V517" s="0" t="n">
        <f aca="false">N(V516)+U517</f>
        <v>30</v>
      </c>
      <c r="AF517" s="0" t="str">
        <f aca="false">IF(OR(资金日记账!$E517="",N(资金日记账!$H517)=0),"",资金日记账!$E517)</f>
        <v/>
      </c>
      <c r="AG517" s="0" t="n">
        <f aca="false">IF(AF517="",0,IF(MATCH(AF517,$AF$4:$AF$603,0)=ROW()-3,1,0))</f>
        <v>0</v>
      </c>
      <c r="AH517" s="0" t="n">
        <f aca="false">N(AH516)+AG517</f>
        <v>5</v>
      </c>
    </row>
    <row r="518" customFormat="false" ht="13.5" hidden="false" customHeight="false" outlineLevel="0" collapsed="false">
      <c r="A518" s="0" t="str">
        <f aca="false">IF(资金日记账!$E216="","",资金日记账!$E216)</f>
        <v/>
      </c>
      <c r="B518" s="0" t="n">
        <f aca="false">IF(A518="",0,IF(MATCH(A518,$A$4:$A$1925,0)=ROW()-3,1,0))</f>
        <v>0</v>
      </c>
      <c r="C518" s="0" t="n">
        <f aca="false">N(C517)+B518</f>
        <v>11</v>
      </c>
      <c r="G518" s="0" t="n">
        <f aca="false">IF(OR($G$1="",资金日记账!$E511="",资金日记账!$E511&lt;&gt;$G$1),0,IF(NOT(OR(N(资金日记账!$H511)&lt;&gt;0,N(资金日记账!$I511)&lt;&gt;0)),0,IF(资金日记账!$B511="",1,IF(OR(N(资金日记账!$B511)&lt;$H$1,N(资金日记账!$B511)&gt;$I$1),0,1))))</f>
        <v>0</v>
      </c>
      <c r="H518" s="0" t="n">
        <f aca="false">N(H517)+$G518</f>
        <v>3</v>
      </c>
      <c r="I518" s="0" t="str">
        <f aca="false">IF($G518=0,"",IF(资金日记账!$B511=0,"",资金日记账!$B511))</f>
        <v/>
      </c>
      <c r="J518" s="0" t="str">
        <f aca="false">IF($G518=0,"",IF(资金日记账!$D511=0,"",资金日记账!$D511))</f>
        <v/>
      </c>
      <c r="K518" s="0" t="str">
        <f aca="false">IF($G518=0,"",IF(""=0,"",""))</f>
        <v/>
      </c>
      <c r="L518" s="0" t="str">
        <f aca="false">IF($G518=0,"",IF(""=0,"",""))</f>
        <v/>
      </c>
      <c r="M518" s="0" t="str">
        <f aca="false">IF($G518=0,"",IF(""=0,"",""))</f>
        <v/>
      </c>
      <c r="N518" s="0" t="str">
        <f aca="false">IF($G518=0,"",IF(IF(N(资金日记账!$I511)=0,"",-ROUND(N(资金日记账!$I511),2))=0,"",IF(N(资金日记账!$I511)=0,"",-ROUND(N(资金日记账!$I511),2))))</f>
        <v/>
      </c>
      <c r="O518" s="0" t="str">
        <f aca="false">IF($G518=0,"",IF(IF(N(资金日记账!$H511)=0,"",ROUND(N(资金日记账!$H511),2))=0,"",IF(N(资金日记账!$H511)=0,"",ROUND(N(资金日记账!$H511),2))))</f>
        <v/>
      </c>
      <c r="P518" s="0" t="str">
        <f aca="false">IF($G518=0,"",IF(资金日记账!$L511=0,"",资金日记账!$L511))</f>
        <v/>
      </c>
      <c r="T518" s="0" t="str">
        <f aca="false">IF(资金日记账!$G518="","",资金日记账!$G518)</f>
        <v/>
      </c>
      <c r="U518" s="0" t="n">
        <f aca="false">IF(T518="",0,IF(MATCH(T518,$T$4:$T$903,0)=ROW()-3,1,0))</f>
        <v>0</v>
      </c>
      <c r="V518" s="0" t="n">
        <f aca="false">N(V517)+U518</f>
        <v>30</v>
      </c>
      <c r="AF518" s="0" t="str">
        <f aca="false">IF(OR(资金日记账!$E518="",N(资金日记账!$H518)=0),"",资金日记账!$E518)</f>
        <v/>
      </c>
      <c r="AG518" s="0" t="n">
        <f aca="false">IF(AF518="",0,IF(MATCH(AF518,$AF$4:$AF$603,0)=ROW()-3,1,0))</f>
        <v>0</v>
      </c>
      <c r="AH518" s="0" t="n">
        <f aca="false">N(AH517)+AG518</f>
        <v>5</v>
      </c>
    </row>
    <row r="519" customFormat="false" ht="13.5" hidden="false" customHeight="false" outlineLevel="0" collapsed="false">
      <c r="A519" s="0" t="str">
        <f aca="false">IF(资金日记账!$E217="","",资金日记账!$E217)</f>
        <v/>
      </c>
      <c r="B519" s="0" t="n">
        <f aca="false">IF(A519="",0,IF(MATCH(A519,$A$4:$A$1925,0)=ROW()-3,1,0))</f>
        <v>0</v>
      </c>
      <c r="C519" s="0" t="n">
        <f aca="false">N(C518)+B519</f>
        <v>11</v>
      </c>
      <c r="G519" s="0" t="n">
        <f aca="false">IF(OR($G$1="",资金日记账!$E512="",资金日记账!$E512&lt;&gt;$G$1),0,IF(NOT(OR(N(资金日记账!$H512)&lt;&gt;0,N(资金日记账!$I512)&lt;&gt;0)),0,IF(资金日记账!$B512="",1,IF(OR(N(资金日记账!$B512)&lt;$H$1,N(资金日记账!$B512)&gt;$I$1),0,1))))</f>
        <v>0</v>
      </c>
      <c r="H519" s="0" t="n">
        <f aca="false">N(H518)+$G519</f>
        <v>3</v>
      </c>
      <c r="I519" s="0" t="str">
        <f aca="false">IF($G519=0,"",IF(资金日记账!$B512=0,"",资金日记账!$B512))</f>
        <v/>
      </c>
      <c r="J519" s="0" t="str">
        <f aca="false">IF($G519=0,"",IF(资金日记账!$D512=0,"",资金日记账!$D512))</f>
        <v/>
      </c>
      <c r="K519" s="0" t="str">
        <f aca="false">IF($G519=0,"",IF(""=0,"",""))</f>
        <v/>
      </c>
      <c r="L519" s="0" t="str">
        <f aca="false">IF($G519=0,"",IF(""=0,"",""))</f>
        <v/>
      </c>
      <c r="M519" s="0" t="str">
        <f aca="false">IF($G519=0,"",IF(""=0,"",""))</f>
        <v/>
      </c>
      <c r="N519" s="0" t="str">
        <f aca="false">IF($G519=0,"",IF(IF(N(资金日记账!$I512)=0,"",-ROUND(N(资金日记账!$I512),2))=0,"",IF(N(资金日记账!$I512)=0,"",-ROUND(N(资金日记账!$I512),2))))</f>
        <v/>
      </c>
      <c r="O519" s="0" t="str">
        <f aca="false">IF($G519=0,"",IF(IF(N(资金日记账!$H512)=0,"",ROUND(N(资金日记账!$H512),2))=0,"",IF(N(资金日记账!$H512)=0,"",ROUND(N(资金日记账!$H512),2))))</f>
        <v/>
      </c>
      <c r="P519" s="0" t="str">
        <f aca="false">IF($G519=0,"",IF(资金日记账!$L512=0,"",资金日记账!$L512))</f>
        <v/>
      </c>
      <c r="T519" s="0" t="str">
        <f aca="false">IF(资金日记账!$G519="","",资金日记账!$G519)</f>
        <v/>
      </c>
      <c r="U519" s="0" t="n">
        <f aca="false">IF(T519="",0,IF(MATCH(T519,$T$4:$T$903,0)=ROW()-3,1,0))</f>
        <v>0</v>
      </c>
      <c r="V519" s="0" t="n">
        <f aca="false">N(V518)+U519</f>
        <v>30</v>
      </c>
      <c r="AF519" s="0" t="str">
        <f aca="false">IF(OR(资金日记账!$E519="",N(资金日记账!$H519)=0),"",资金日记账!$E519)</f>
        <v/>
      </c>
      <c r="AG519" s="0" t="n">
        <f aca="false">IF(AF519="",0,IF(MATCH(AF519,$AF$4:$AF$603,0)=ROW()-3,1,0))</f>
        <v>0</v>
      </c>
      <c r="AH519" s="0" t="n">
        <f aca="false">N(AH518)+AG519</f>
        <v>5</v>
      </c>
    </row>
    <row r="520" customFormat="false" ht="13.5" hidden="false" customHeight="false" outlineLevel="0" collapsed="false">
      <c r="A520" s="0" t="str">
        <f aca="false">IF(资金日记账!$E218="","",资金日记账!$E218)</f>
        <v/>
      </c>
      <c r="B520" s="0" t="n">
        <f aca="false">IF(A520="",0,IF(MATCH(A520,$A$4:$A$1925,0)=ROW()-3,1,0))</f>
        <v>0</v>
      </c>
      <c r="C520" s="0" t="n">
        <f aca="false">N(C519)+B520</f>
        <v>11</v>
      </c>
      <c r="G520" s="0" t="n">
        <f aca="false">IF(OR($G$1="",资金日记账!$E513="",资金日记账!$E513&lt;&gt;$G$1),0,IF(NOT(OR(N(资金日记账!$H513)&lt;&gt;0,N(资金日记账!$I513)&lt;&gt;0)),0,IF(资金日记账!$B513="",1,IF(OR(N(资金日记账!$B513)&lt;$H$1,N(资金日记账!$B513)&gt;$I$1),0,1))))</f>
        <v>0</v>
      </c>
      <c r="H520" s="0" t="n">
        <f aca="false">N(H519)+$G520</f>
        <v>3</v>
      </c>
      <c r="I520" s="0" t="str">
        <f aca="false">IF($G520=0,"",IF(资金日记账!$B513=0,"",资金日记账!$B513))</f>
        <v/>
      </c>
      <c r="J520" s="0" t="str">
        <f aca="false">IF($G520=0,"",IF(资金日记账!$D513=0,"",资金日记账!$D513))</f>
        <v/>
      </c>
      <c r="K520" s="0" t="str">
        <f aca="false">IF($G520=0,"",IF(""=0,"",""))</f>
        <v/>
      </c>
      <c r="L520" s="0" t="str">
        <f aca="false">IF($G520=0,"",IF(""=0,"",""))</f>
        <v/>
      </c>
      <c r="M520" s="0" t="str">
        <f aca="false">IF($G520=0,"",IF(""=0,"",""))</f>
        <v/>
      </c>
      <c r="N520" s="0" t="str">
        <f aca="false">IF($G520=0,"",IF(IF(N(资金日记账!$I513)=0,"",-ROUND(N(资金日记账!$I513),2))=0,"",IF(N(资金日记账!$I513)=0,"",-ROUND(N(资金日记账!$I513),2))))</f>
        <v/>
      </c>
      <c r="O520" s="0" t="str">
        <f aca="false">IF($G520=0,"",IF(IF(N(资金日记账!$H513)=0,"",ROUND(N(资金日记账!$H513),2))=0,"",IF(N(资金日记账!$H513)=0,"",ROUND(N(资金日记账!$H513),2))))</f>
        <v/>
      </c>
      <c r="P520" s="0" t="str">
        <f aca="false">IF($G520=0,"",IF(资金日记账!$L513=0,"",资金日记账!$L513))</f>
        <v/>
      </c>
      <c r="T520" s="0" t="str">
        <f aca="false">IF(资金日记账!$G520="","",资金日记账!$G520)</f>
        <v/>
      </c>
      <c r="U520" s="0" t="n">
        <f aca="false">IF(T520="",0,IF(MATCH(T520,$T$4:$T$903,0)=ROW()-3,1,0))</f>
        <v>0</v>
      </c>
      <c r="V520" s="0" t="n">
        <f aca="false">N(V519)+U520</f>
        <v>30</v>
      </c>
      <c r="AF520" s="0" t="str">
        <f aca="false">IF(OR(资金日记账!$E520="",N(资金日记账!$H520)=0),"",资金日记账!$E520)</f>
        <v/>
      </c>
      <c r="AG520" s="0" t="n">
        <f aca="false">IF(AF520="",0,IF(MATCH(AF520,$AF$4:$AF$603,0)=ROW()-3,1,0))</f>
        <v>0</v>
      </c>
      <c r="AH520" s="0" t="n">
        <f aca="false">N(AH519)+AG520</f>
        <v>5</v>
      </c>
    </row>
    <row r="521" customFormat="false" ht="13.5" hidden="false" customHeight="false" outlineLevel="0" collapsed="false">
      <c r="A521" s="0" t="str">
        <f aca="false">IF(资金日记账!$E219="","",资金日记账!$E219)</f>
        <v/>
      </c>
      <c r="B521" s="0" t="n">
        <f aca="false">IF(A521="",0,IF(MATCH(A521,$A$4:$A$1925,0)=ROW()-3,1,0))</f>
        <v>0</v>
      </c>
      <c r="C521" s="0" t="n">
        <f aca="false">N(C520)+B521</f>
        <v>11</v>
      </c>
      <c r="G521" s="0" t="n">
        <f aca="false">IF(OR($G$1="",资金日记账!$E514="",资金日记账!$E514&lt;&gt;$G$1),0,IF(NOT(OR(N(资金日记账!$H514)&lt;&gt;0,N(资金日记账!$I514)&lt;&gt;0)),0,IF(资金日记账!$B514="",1,IF(OR(N(资金日记账!$B514)&lt;$H$1,N(资金日记账!$B514)&gt;$I$1),0,1))))</f>
        <v>0</v>
      </c>
      <c r="H521" s="0" t="n">
        <f aca="false">N(H520)+$G521</f>
        <v>3</v>
      </c>
      <c r="I521" s="0" t="str">
        <f aca="false">IF($G521=0,"",IF(资金日记账!$B514=0,"",资金日记账!$B514))</f>
        <v/>
      </c>
      <c r="J521" s="0" t="str">
        <f aca="false">IF($G521=0,"",IF(资金日记账!$D514=0,"",资金日记账!$D514))</f>
        <v/>
      </c>
      <c r="K521" s="0" t="str">
        <f aca="false">IF($G521=0,"",IF(""=0,"",""))</f>
        <v/>
      </c>
      <c r="L521" s="0" t="str">
        <f aca="false">IF($G521=0,"",IF(""=0,"",""))</f>
        <v/>
      </c>
      <c r="M521" s="0" t="str">
        <f aca="false">IF($G521=0,"",IF(""=0,"",""))</f>
        <v/>
      </c>
      <c r="N521" s="0" t="str">
        <f aca="false">IF($G521=0,"",IF(IF(N(资金日记账!$I514)=0,"",-ROUND(N(资金日记账!$I514),2))=0,"",IF(N(资金日记账!$I514)=0,"",-ROUND(N(资金日记账!$I514),2))))</f>
        <v/>
      </c>
      <c r="O521" s="0" t="str">
        <f aca="false">IF($G521=0,"",IF(IF(N(资金日记账!$H514)=0,"",ROUND(N(资金日记账!$H514),2))=0,"",IF(N(资金日记账!$H514)=0,"",ROUND(N(资金日记账!$H514),2))))</f>
        <v/>
      </c>
      <c r="P521" s="0" t="str">
        <f aca="false">IF($G521=0,"",IF(资金日记账!$L514=0,"",资金日记账!$L514))</f>
        <v/>
      </c>
      <c r="T521" s="0" t="str">
        <f aca="false">IF(资金日记账!$G521="","",资金日记账!$G521)</f>
        <v/>
      </c>
      <c r="U521" s="0" t="n">
        <f aca="false">IF(T521="",0,IF(MATCH(T521,$T$4:$T$903,0)=ROW()-3,1,0))</f>
        <v>0</v>
      </c>
      <c r="V521" s="0" t="n">
        <f aca="false">N(V520)+U521</f>
        <v>30</v>
      </c>
      <c r="AF521" s="0" t="str">
        <f aca="false">IF(OR(资金日记账!$E521="",N(资金日记账!$H521)=0),"",资金日记账!$E521)</f>
        <v/>
      </c>
      <c r="AG521" s="0" t="n">
        <f aca="false">IF(AF521="",0,IF(MATCH(AF521,$AF$4:$AF$603,0)=ROW()-3,1,0))</f>
        <v>0</v>
      </c>
      <c r="AH521" s="0" t="n">
        <f aca="false">N(AH520)+AG521</f>
        <v>5</v>
      </c>
    </row>
    <row r="522" customFormat="false" ht="13.5" hidden="false" customHeight="false" outlineLevel="0" collapsed="false">
      <c r="A522" s="0" t="str">
        <f aca="false">IF(资金日记账!$E220="","",资金日记账!$E220)</f>
        <v/>
      </c>
      <c r="B522" s="0" t="n">
        <f aca="false">IF(A522="",0,IF(MATCH(A522,$A$4:$A$1925,0)=ROW()-3,1,0))</f>
        <v>0</v>
      </c>
      <c r="C522" s="0" t="n">
        <f aca="false">N(C521)+B522</f>
        <v>11</v>
      </c>
      <c r="G522" s="0" t="n">
        <f aca="false">IF(OR($G$1="",资金日记账!$E515="",资金日记账!$E515&lt;&gt;$G$1),0,IF(NOT(OR(N(资金日记账!$H515)&lt;&gt;0,N(资金日记账!$I515)&lt;&gt;0)),0,IF(资金日记账!$B515="",1,IF(OR(N(资金日记账!$B515)&lt;$H$1,N(资金日记账!$B515)&gt;$I$1),0,1))))</f>
        <v>0</v>
      </c>
      <c r="H522" s="0" t="n">
        <f aca="false">N(H521)+$G522</f>
        <v>3</v>
      </c>
      <c r="I522" s="0" t="str">
        <f aca="false">IF($G522=0,"",IF(资金日记账!$B515=0,"",资金日记账!$B515))</f>
        <v/>
      </c>
      <c r="J522" s="0" t="str">
        <f aca="false">IF($G522=0,"",IF(资金日记账!$D515=0,"",资金日记账!$D515))</f>
        <v/>
      </c>
      <c r="K522" s="0" t="str">
        <f aca="false">IF($G522=0,"",IF(""=0,"",""))</f>
        <v/>
      </c>
      <c r="L522" s="0" t="str">
        <f aca="false">IF($G522=0,"",IF(""=0,"",""))</f>
        <v/>
      </c>
      <c r="M522" s="0" t="str">
        <f aca="false">IF($G522=0,"",IF(""=0,"",""))</f>
        <v/>
      </c>
      <c r="N522" s="0" t="str">
        <f aca="false">IF($G522=0,"",IF(IF(N(资金日记账!$I515)=0,"",-ROUND(N(资金日记账!$I515),2))=0,"",IF(N(资金日记账!$I515)=0,"",-ROUND(N(资金日记账!$I515),2))))</f>
        <v/>
      </c>
      <c r="O522" s="0" t="str">
        <f aca="false">IF($G522=0,"",IF(IF(N(资金日记账!$H515)=0,"",ROUND(N(资金日记账!$H515),2))=0,"",IF(N(资金日记账!$H515)=0,"",ROUND(N(资金日记账!$H515),2))))</f>
        <v/>
      </c>
      <c r="P522" s="0" t="str">
        <f aca="false">IF($G522=0,"",IF(资金日记账!$L515=0,"",资金日记账!$L515))</f>
        <v/>
      </c>
      <c r="T522" s="0" t="str">
        <f aca="false">IF(资金日记账!$G522="","",资金日记账!$G522)</f>
        <v/>
      </c>
      <c r="U522" s="0" t="n">
        <f aca="false">IF(T522="",0,IF(MATCH(T522,$T$4:$T$903,0)=ROW()-3,1,0))</f>
        <v>0</v>
      </c>
      <c r="V522" s="0" t="n">
        <f aca="false">N(V521)+U522</f>
        <v>30</v>
      </c>
      <c r="AF522" s="0" t="str">
        <f aca="false">IF(OR(资金日记账!$E522="",N(资金日记账!$H522)=0),"",资金日记账!$E522)</f>
        <v/>
      </c>
      <c r="AG522" s="0" t="n">
        <f aca="false">IF(AF522="",0,IF(MATCH(AF522,$AF$4:$AF$603,0)=ROW()-3,1,0))</f>
        <v>0</v>
      </c>
      <c r="AH522" s="0" t="n">
        <f aca="false">N(AH521)+AG522</f>
        <v>5</v>
      </c>
    </row>
    <row r="523" customFormat="false" ht="13.5" hidden="false" customHeight="false" outlineLevel="0" collapsed="false">
      <c r="A523" s="0" t="str">
        <f aca="false">IF(资金日记账!$E221="","",资金日记账!$E221)</f>
        <v/>
      </c>
      <c r="B523" s="0" t="n">
        <f aca="false">IF(A523="",0,IF(MATCH(A523,$A$4:$A$1925,0)=ROW()-3,1,0))</f>
        <v>0</v>
      </c>
      <c r="C523" s="0" t="n">
        <f aca="false">N(C522)+B523</f>
        <v>11</v>
      </c>
      <c r="G523" s="0" t="n">
        <f aca="false">IF(OR($G$1="",资金日记账!$E516="",资金日记账!$E516&lt;&gt;$G$1),0,IF(NOT(OR(N(资金日记账!$H516)&lt;&gt;0,N(资金日记账!$I516)&lt;&gt;0)),0,IF(资金日记账!$B516="",1,IF(OR(N(资金日记账!$B516)&lt;$H$1,N(资金日记账!$B516)&gt;$I$1),0,1))))</f>
        <v>0</v>
      </c>
      <c r="H523" s="0" t="n">
        <f aca="false">N(H522)+$G523</f>
        <v>3</v>
      </c>
      <c r="I523" s="0" t="str">
        <f aca="false">IF($G523=0,"",IF(资金日记账!$B516=0,"",资金日记账!$B516))</f>
        <v/>
      </c>
      <c r="J523" s="0" t="str">
        <f aca="false">IF($G523=0,"",IF(资金日记账!$D516=0,"",资金日记账!$D516))</f>
        <v/>
      </c>
      <c r="K523" s="0" t="str">
        <f aca="false">IF($G523=0,"",IF(""=0,"",""))</f>
        <v/>
      </c>
      <c r="L523" s="0" t="str">
        <f aca="false">IF($G523=0,"",IF(""=0,"",""))</f>
        <v/>
      </c>
      <c r="M523" s="0" t="str">
        <f aca="false">IF($G523=0,"",IF(""=0,"",""))</f>
        <v/>
      </c>
      <c r="N523" s="0" t="str">
        <f aca="false">IF($G523=0,"",IF(IF(N(资金日记账!$I516)=0,"",-ROUND(N(资金日记账!$I516),2))=0,"",IF(N(资金日记账!$I516)=0,"",-ROUND(N(资金日记账!$I516),2))))</f>
        <v/>
      </c>
      <c r="O523" s="0" t="str">
        <f aca="false">IF($G523=0,"",IF(IF(N(资金日记账!$H516)=0,"",ROUND(N(资金日记账!$H516),2))=0,"",IF(N(资金日记账!$H516)=0,"",ROUND(N(资金日记账!$H516),2))))</f>
        <v/>
      </c>
      <c r="P523" s="0" t="str">
        <f aca="false">IF($G523=0,"",IF(资金日记账!$L516=0,"",资金日记账!$L516))</f>
        <v/>
      </c>
      <c r="T523" s="0" t="str">
        <f aca="false">IF(资金日记账!$G523="","",资金日记账!$G523)</f>
        <v/>
      </c>
      <c r="U523" s="0" t="n">
        <f aca="false">IF(T523="",0,IF(MATCH(T523,$T$4:$T$903,0)=ROW()-3,1,0))</f>
        <v>0</v>
      </c>
      <c r="V523" s="0" t="n">
        <f aca="false">N(V522)+U523</f>
        <v>30</v>
      </c>
      <c r="AF523" s="0" t="str">
        <f aca="false">IF(OR(资金日记账!$E523="",N(资金日记账!$H523)=0),"",资金日记账!$E523)</f>
        <v/>
      </c>
      <c r="AG523" s="0" t="n">
        <f aca="false">IF(AF523="",0,IF(MATCH(AF523,$AF$4:$AF$603,0)=ROW()-3,1,0))</f>
        <v>0</v>
      </c>
      <c r="AH523" s="0" t="n">
        <f aca="false">N(AH522)+AG523</f>
        <v>5</v>
      </c>
    </row>
    <row r="524" customFormat="false" ht="13.5" hidden="false" customHeight="false" outlineLevel="0" collapsed="false">
      <c r="A524" s="0" t="str">
        <f aca="false">IF(资金日记账!$E222="","",资金日记账!$E222)</f>
        <v/>
      </c>
      <c r="B524" s="0" t="n">
        <f aca="false">IF(A524="",0,IF(MATCH(A524,$A$4:$A$1925,0)=ROW()-3,1,0))</f>
        <v>0</v>
      </c>
      <c r="C524" s="0" t="n">
        <f aca="false">N(C523)+B524</f>
        <v>11</v>
      </c>
      <c r="G524" s="0" t="n">
        <f aca="false">IF(OR($G$1="",资金日记账!$E517="",资金日记账!$E517&lt;&gt;$G$1),0,IF(NOT(OR(N(资金日记账!$H517)&lt;&gt;0,N(资金日记账!$I517)&lt;&gt;0)),0,IF(资金日记账!$B517="",1,IF(OR(N(资金日记账!$B517)&lt;$H$1,N(资金日记账!$B517)&gt;$I$1),0,1))))</f>
        <v>0</v>
      </c>
      <c r="H524" s="0" t="n">
        <f aca="false">N(H523)+$G524</f>
        <v>3</v>
      </c>
      <c r="I524" s="0" t="str">
        <f aca="false">IF($G524=0,"",IF(资金日记账!$B517=0,"",资金日记账!$B517))</f>
        <v/>
      </c>
      <c r="J524" s="0" t="str">
        <f aca="false">IF($G524=0,"",IF(资金日记账!$D517=0,"",资金日记账!$D517))</f>
        <v/>
      </c>
      <c r="K524" s="0" t="str">
        <f aca="false">IF($G524=0,"",IF(""=0,"",""))</f>
        <v/>
      </c>
      <c r="L524" s="0" t="str">
        <f aca="false">IF($G524=0,"",IF(""=0,"",""))</f>
        <v/>
      </c>
      <c r="M524" s="0" t="str">
        <f aca="false">IF($G524=0,"",IF(""=0,"",""))</f>
        <v/>
      </c>
      <c r="N524" s="0" t="str">
        <f aca="false">IF($G524=0,"",IF(IF(N(资金日记账!$I517)=0,"",-ROUND(N(资金日记账!$I517),2))=0,"",IF(N(资金日记账!$I517)=0,"",-ROUND(N(资金日记账!$I517),2))))</f>
        <v/>
      </c>
      <c r="O524" s="0" t="str">
        <f aca="false">IF($G524=0,"",IF(IF(N(资金日记账!$H517)=0,"",ROUND(N(资金日记账!$H517),2))=0,"",IF(N(资金日记账!$H517)=0,"",ROUND(N(资金日记账!$H517),2))))</f>
        <v/>
      </c>
      <c r="P524" s="0" t="str">
        <f aca="false">IF($G524=0,"",IF(资金日记账!$L517=0,"",资金日记账!$L517))</f>
        <v/>
      </c>
      <c r="T524" s="0" t="str">
        <f aca="false">IF(资金日记账!$G524="","",资金日记账!$G524)</f>
        <v/>
      </c>
      <c r="U524" s="0" t="n">
        <f aca="false">IF(T524="",0,IF(MATCH(T524,$T$4:$T$903,0)=ROW()-3,1,0))</f>
        <v>0</v>
      </c>
      <c r="V524" s="0" t="n">
        <f aca="false">N(V523)+U524</f>
        <v>30</v>
      </c>
      <c r="AF524" s="0" t="str">
        <f aca="false">IF(OR(资金日记账!$E524="",N(资金日记账!$H524)=0),"",资金日记账!$E524)</f>
        <v/>
      </c>
      <c r="AG524" s="0" t="n">
        <f aca="false">IF(AF524="",0,IF(MATCH(AF524,$AF$4:$AF$603,0)=ROW()-3,1,0))</f>
        <v>0</v>
      </c>
      <c r="AH524" s="0" t="n">
        <f aca="false">N(AH523)+AG524</f>
        <v>5</v>
      </c>
    </row>
    <row r="525" customFormat="false" ht="13.5" hidden="false" customHeight="false" outlineLevel="0" collapsed="false">
      <c r="A525" s="0" t="str">
        <f aca="false">IF(资金日记账!$E223="","",资金日记账!$E223)</f>
        <v/>
      </c>
      <c r="B525" s="0" t="n">
        <f aca="false">IF(A525="",0,IF(MATCH(A525,$A$4:$A$1925,0)=ROW()-3,1,0))</f>
        <v>0</v>
      </c>
      <c r="C525" s="0" t="n">
        <f aca="false">N(C524)+B525</f>
        <v>11</v>
      </c>
      <c r="G525" s="0" t="n">
        <f aca="false">IF(OR($G$1="",资金日记账!$E518="",资金日记账!$E518&lt;&gt;$G$1),0,IF(NOT(OR(N(资金日记账!$H518)&lt;&gt;0,N(资金日记账!$I518)&lt;&gt;0)),0,IF(资金日记账!$B518="",1,IF(OR(N(资金日记账!$B518)&lt;$H$1,N(资金日记账!$B518)&gt;$I$1),0,1))))</f>
        <v>0</v>
      </c>
      <c r="H525" s="0" t="n">
        <f aca="false">N(H524)+$G525</f>
        <v>3</v>
      </c>
      <c r="I525" s="0" t="str">
        <f aca="false">IF($G525=0,"",IF(资金日记账!$B518=0,"",资金日记账!$B518))</f>
        <v/>
      </c>
      <c r="J525" s="0" t="str">
        <f aca="false">IF($G525=0,"",IF(资金日记账!$D518=0,"",资金日记账!$D518))</f>
        <v/>
      </c>
      <c r="K525" s="0" t="str">
        <f aca="false">IF($G525=0,"",IF(""=0,"",""))</f>
        <v/>
      </c>
      <c r="L525" s="0" t="str">
        <f aca="false">IF($G525=0,"",IF(""=0,"",""))</f>
        <v/>
      </c>
      <c r="M525" s="0" t="str">
        <f aca="false">IF($G525=0,"",IF(""=0,"",""))</f>
        <v/>
      </c>
      <c r="N525" s="0" t="str">
        <f aca="false">IF($G525=0,"",IF(IF(N(资金日记账!$I518)=0,"",-ROUND(N(资金日记账!$I518),2))=0,"",IF(N(资金日记账!$I518)=0,"",-ROUND(N(资金日记账!$I518),2))))</f>
        <v/>
      </c>
      <c r="O525" s="0" t="str">
        <f aca="false">IF($G525=0,"",IF(IF(N(资金日记账!$H518)=0,"",ROUND(N(资金日记账!$H518),2))=0,"",IF(N(资金日记账!$H518)=0,"",ROUND(N(资金日记账!$H518),2))))</f>
        <v/>
      </c>
      <c r="P525" s="0" t="str">
        <f aca="false">IF($G525=0,"",IF(资金日记账!$L518=0,"",资金日记账!$L518))</f>
        <v/>
      </c>
      <c r="T525" s="0" t="str">
        <f aca="false">IF(资金日记账!$G525="","",资金日记账!$G525)</f>
        <v/>
      </c>
      <c r="U525" s="0" t="n">
        <f aca="false">IF(T525="",0,IF(MATCH(T525,$T$4:$T$903,0)=ROW()-3,1,0))</f>
        <v>0</v>
      </c>
      <c r="V525" s="0" t="n">
        <f aca="false">N(V524)+U525</f>
        <v>30</v>
      </c>
      <c r="AF525" s="0" t="str">
        <f aca="false">IF(OR(资金日记账!$E525="",N(资金日记账!$H525)=0),"",资金日记账!$E525)</f>
        <v/>
      </c>
      <c r="AG525" s="0" t="n">
        <f aca="false">IF(AF525="",0,IF(MATCH(AF525,$AF$4:$AF$603,0)=ROW()-3,1,0))</f>
        <v>0</v>
      </c>
      <c r="AH525" s="0" t="n">
        <f aca="false">N(AH524)+AG525</f>
        <v>5</v>
      </c>
    </row>
    <row r="526" customFormat="false" ht="13.5" hidden="false" customHeight="false" outlineLevel="0" collapsed="false">
      <c r="A526" s="0" t="str">
        <f aca="false">IF(资金日记账!$E224="","",资金日记账!$E224)</f>
        <v/>
      </c>
      <c r="B526" s="0" t="n">
        <f aca="false">IF(A526="",0,IF(MATCH(A526,$A$4:$A$1925,0)=ROW()-3,1,0))</f>
        <v>0</v>
      </c>
      <c r="C526" s="0" t="n">
        <f aca="false">N(C525)+B526</f>
        <v>11</v>
      </c>
      <c r="G526" s="0" t="n">
        <f aca="false">IF(OR($G$1="",资金日记账!$E519="",资金日记账!$E519&lt;&gt;$G$1),0,IF(NOT(OR(N(资金日记账!$H519)&lt;&gt;0,N(资金日记账!$I519)&lt;&gt;0)),0,IF(资金日记账!$B519="",1,IF(OR(N(资金日记账!$B519)&lt;$H$1,N(资金日记账!$B519)&gt;$I$1),0,1))))</f>
        <v>0</v>
      </c>
      <c r="H526" s="0" t="n">
        <f aca="false">N(H525)+$G526</f>
        <v>3</v>
      </c>
      <c r="I526" s="0" t="str">
        <f aca="false">IF($G526=0,"",IF(资金日记账!$B519=0,"",资金日记账!$B519))</f>
        <v/>
      </c>
      <c r="J526" s="0" t="str">
        <f aca="false">IF($G526=0,"",IF(资金日记账!$D519=0,"",资金日记账!$D519))</f>
        <v/>
      </c>
      <c r="K526" s="0" t="str">
        <f aca="false">IF($G526=0,"",IF(""=0,"",""))</f>
        <v/>
      </c>
      <c r="L526" s="0" t="str">
        <f aca="false">IF($G526=0,"",IF(""=0,"",""))</f>
        <v/>
      </c>
      <c r="M526" s="0" t="str">
        <f aca="false">IF($G526=0,"",IF(""=0,"",""))</f>
        <v/>
      </c>
      <c r="N526" s="0" t="str">
        <f aca="false">IF($G526=0,"",IF(IF(N(资金日记账!$I519)=0,"",-ROUND(N(资金日记账!$I519),2))=0,"",IF(N(资金日记账!$I519)=0,"",-ROUND(N(资金日记账!$I519),2))))</f>
        <v/>
      </c>
      <c r="O526" s="0" t="str">
        <f aca="false">IF($G526=0,"",IF(IF(N(资金日记账!$H519)=0,"",ROUND(N(资金日记账!$H519),2))=0,"",IF(N(资金日记账!$H519)=0,"",ROUND(N(资金日记账!$H519),2))))</f>
        <v/>
      </c>
      <c r="P526" s="0" t="str">
        <f aca="false">IF($G526=0,"",IF(资金日记账!$L519=0,"",资金日记账!$L519))</f>
        <v/>
      </c>
      <c r="T526" s="0" t="str">
        <f aca="false">IF(资金日记账!$G526="","",资金日记账!$G526)</f>
        <v/>
      </c>
      <c r="U526" s="0" t="n">
        <f aca="false">IF(T526="",0,IF(MATCH(T526,$T$4:$T$903,0)=ROW()-3,1,0))</f>
        <v>0</v>
      </c>
      <c r="V526" s="0" t="n">
        <f aca="false">N(V525)+U526</f>
        <v>30</v>
      </c>
      <c r="AF526" s="0" t="str">
        <f aca="false">IF(OR(资金日记账!$E526="",N(资金日记账!$H526)=0),"",资金日记账!$E526)</f>
        <v/>
      </c>
      <c r="AG526" s="0" t="n">
        <f aca="false">IF(AF526="",0,IF(MATCH(AF526,$AF$4:$AF$603,0)=ROW()-3,1,0))</f>
        <v>0</v>
      </c>
      <c r="AH526" s="0" t="n">
        <f aca="false">N(AH525)+AG526</f>
        <v>5</v>
      </c>
    </row>
    <row r="527" customFormat="false" ht="13.5" hidden="false" customHeight="false" outlineLevel="0" collapsed="false">
      <c r="A527" s="0" t="str">
        <f aca="false">IF(资金日记账!$E225="","",资金日记账!$E225)</f>
        <v/>
      </c>
      <c r="B527" s="0" t="n">
        <f aca="false">IF(A527="",0,IF(MATCH(A527,$A$4:$A$1925,0)=ROW()-3,1,0))</f>
        <v>0</v>
      </c>
      <c r="C527" s="0" t="n">
        <f aca="false">N(C526)+B527</f>
        <v>11</v>
      </c>
      <c r="G527" s="0" t="n">
        <f aca="false">IF(OR($G$1="",资金日记账!$E520="",资金日记账!$E520&lt;&gt;$G$1),0,IF(NOT(OR(N(资金日记账!$H520)&lt;&gt;0,N(资金日记账!$I520)&lt;&gt;0)),0,IF(资金日记账!$B520="",1,IF(OR(N(资金日记账!$B520)&lt;$H$1,N(资金日记账!$B520)&gt;$I$1),0,1))))</f>
        <v>0</v>
      </c>
      <c r="H527" s="0" t="n">
        <f aca="false">N(H526)+$G527</f>
        <v>3</v>
      </c>
      <c r="I527" s="0" t="str">
        <f aca="false">IF($G527=0,"",IF(资金日记账!$B520=0,"",资金日记账!$B520))</f>
        <v/>
      </c>
      <c r="J527" s="0" t="str">
        <f aca="false">IF($G527=0,"",IF(资金日记账!$D520=0,"",资金日记账!$D520))</f>
        <v/>
      </c>
      <c r="K527" s="0" t="str">
        <f aca="false">IF($G527=0,"",IF(""=0,"",""))</f>
        <v/>
      </c>
      <c r="L527" s="0" t="str">
        <f aca="false">IF($G527=0,"",IF(""=0,"",""))</f>
        <v/>
      </c>
      <c r="M527" s="0" t="str">
        <f aca="false">IF($G527=0,"",IF(""=0,"",""))</f>
        <v/>
      </c>
      <c r="N527" s="0" t="str">
        <f aca="false">IF($G527=0,"",IF(IF(N(资金日记账!$I520)=0,"",-ROUND(N(资金日记账!$I520),2))=0,"",IF(N(资金日记账!$I520)=0,"",-ROUND(N(资金日记账!$I520),2))))</f>
        <v/>
      </c>
      <c r="O527" s="0" t="str">
        <f aca="false">IF($G527=0,"",IF(IF(N(资金日记账!$H520)=0,"",ROUND(N(资金日记账!$H520),2))=0,"",IF(N(资金日记账!$H520)=0,"",ROUND(N(资金日记账!$H520),2))))</f>
        <v/>
      </c>
      <c r="P527" s="0" t="str">
        <f aca="false">IF($G527=0,"",IF(资金日记账!$L520=0,"",资金日记账!$L520))</f>
        <v/>
      </c>
      <c r="T527" s="0" t="str">
        <f aca="false">IF(资金日记账!$G527="","",资金日记账!$G527)</f>
        <v/>
      </c>
      <c r="U527" s="0" t="n">
        <f aca="false">IF(T527="",0,IF(MATCH(T527,$T$4:$T$903,0)=ROW()-3,1,0))</f>
        <v>0</v>
      </c>
      <c r="V527" s="0" t="n">
        <f aca="false">N(V526)+U527</f>
        <v>30</v>
      </c>
      <c r="AF527" s="0" t="str">
        <f aca="false">IF(OR(资金日记账!$E527="",N(资金日记账!$H527)=0),"",资金日记账!$E527)</f>
        <v/>
      </c>
      <c r="AG527" s="0" t="n">
        <f aca="false">IF(AF527="",0,IF(MATCH(AF527,$AF$4:$AF$603,0)=ROW()-3,1,0))</f>
        <v>0</v>
      </c>
      <c r="AH527" s="0" t="n">
        <f aca="false">N(AH526)+AG527</f>
        <v>5</v>
      </c>
    </row>
    <row r="528" customFormat="false" ht="13.5" hidden="false" customHeight="false" outlineLevel="0" collapsed="false">
      <c r="A528" s="0" t="str">
        <f aca="false">IF(资金日记账!$E226="","",资金日记账!$E226)</f>
        <v/>
      </c>
      <c r="B528" s="0" t="n">
        <f aca="false">IF(A528="",0,IF(MATCH(A528,$A$4:$A$1925,0)=ROW()-3,1,0))</f>
        <v>0</v>
      </c>
      <c r="C528" s="0" t="n">
        <f aca="false">N(C527)+B528</f>
        <v>11</v>
      </c>
      <c r="G528" s="0" t="n">
        <f aca="false">IF(OR($G$1="",资金日记账!$E521="",资金日记账!$E521&lt;&gt;$G$1),0,IF(NOT(OR(N(资金日记账!$H521)&lt;&gt;0,N(资金日记账!$I521)&lt;&gt;0)),0,IF(资金日记账!$B521="",1,IF(OR(N(资金日记账!$B521)&lt;$H$1,N(资金日记账!$B521)&gt;$I$1),0,1))))</f>
        <v>0</v>
      </c>
      <c r="H528" s="0" t="n">
        <f aca="false">N(H527)+$G528</f>
        <v>3</v>
      </c>
      <c r="I528" s="0" t="str">
        <f aca="false">IF($G528=0,"",IF(资金日记账!$B521=0,"",资金日记账!$B521))</f>
        <v/>
      </c>
      <c r="J528" s="0" t="str">
        <f aca="false">IF($G528=0,"",IF(资金日记账!$D521=0,"",资金日记账!$D521))</f>
        <v/>
      </c>
      <c r="K528" s="0" t="str">
        <f aca="false">IF($G528=0,"",IF(""=0,"",""))</f>
        <v/>
      </c>
      <c r="L528" s="0" t="str">
        <f aca="false">IF($G528=0,"",IF(""=0,"",""))</f>
        <v/>
      </c>
      <c r="M528" s="0" t="str">
        <f aca="false">IF($G528=0,"",IF(""=0,"",""))</f>
        <v/>
      </c>
      <c r="N528" s="0" t="str">
        <f aca="false">IF($G528=0,"",IF(IF(N(资金日记账!$I521)=0,"",-ROUND(N(资金日记账!$I521),2))=0,"",IF(N(资金日记账!$I521)=0,"",-ROUND(N(资金日记账!$I521),2))))</f>
        <v/>
      </c>
      <c r="O528" s="0" t="str">
        <f aca="false">IF($G528=0,"",IF(IF(N(资金日记账!$H521)=0,"",ROUND(N(资金日记账!$H521),2))=0,"",IF(N(资金日记账!$H521)=0,"",ROUND(N(资金日记账!$H521),2))))</f>
        <v/>
      </c>
      <c r="P528" s="0" t="str">
        <f aca="false">IF($G528=0,"",IF(资金日记账!$L521=0,"",资金日记账!$L521))</f>
        <v/>
      </c>
      <c r="T528" s="0" t="str">
        <f aca="false">IF(资金日记账!$G528="","",资金日记账!$G528)</f>
        <v/>
      </c>
      <c r="U528" s="0" t="n">
        <f aca="false">IF(T528="",0,IF(MATCH(T528,$T$4:$T$903,0)=ROW()-3,1,0))</f>
        <v>0</v>
      </c>
      <c r="V528" s="0" t="n">
        <f aca="false">N(V527)+U528</f>
        <v>30</v>
      </c>
      <c r="AF528" s="0" t="str">
        <f aca="false">IF(OR(资金日记账!$E528="",N(资金日记账!$H528)=0),"",资金日记账!$E528)</f>
        <v/>
      </c>
      <c r="AG528" s="0" t="n">
        <f aca="false">IF(AF528="",0,IF(MATCH(AF528,$AF$4:$AF$603,0)=ROW()-3,1,0))</f>
        <v>0</v>
      </c>
      <c r="AH528" s="0" t="n">
        <f aca="false">N(AH527)+AG528</f>
        <v>5</v>
      </c>
    </row>
    <row r="529" customFormat="false" ht="13.5" hidden="false" customHeight="false" outlineLevel="0" collapsed="false">
      <c r="A529" s="0" t="str">
        <f aca="false">IF(资金日记账!$E227="","",资金日记账!$E227)</f>
        <v/>
      </c>
      <c r="B529" s="0" t="n">
        <f aca="false">IF(A529="",0,IF(MATCH(A529,$A$4:$A$1925,0)=ROW()-3,1,0))</f>
        <v>0</v>
      </c>
      <c r="C529" s="0" t="n">
        <f aca="false">N(C528)+B529</f>
        <v>11</v>
      </c>
      <c r="G529" s="0" t="n">
        <f aca="false">IF(OR($G$1="",资金日记账!$E522="",资金日记账!$E522&lt;&gt;$G$1),0,IF(NOT(OR(N(资金日记账!$H522)&lt;&gt;0,N(资金日记账!$I522)&lt;&gt;0)),0,IF(资金日记账!$B522="",1,IF(OR(N(资金日记账!$B522)&lt;$H$1,N(资金日记账!$B522)&gt;$I$1),0,1))))</f>
        <v>0</v>
      </c>
      <c r="H529" s="0" t="n">
        <f aca="false">N(H528)+$G529</f>
        <v>3</v>
      </c>
      <c r="I529" s="0" t="str">
        <f aca="false">IF($G529=0,"",IF(资金日记账!$B522=0,"",资金日记账!$B522))</f>
        <v/>
      </c>
      <c r="J529" s="0" t="str">
        <f aca="false">IF($G529=0,"",IF(资金日记账!$D522=0,"",资金日记账!$D522))</f>
        <v/>
      </c>
      <c r="K529" s="0" t="str">
        <f aca="false">IF($G529=0,"",IF(""=0,"",""))</f>
        <v/>
      </c>
      <c r="L529" s="0" t="str">
        <f aca="false">IF($G529=0,"",IF(""=0,"",""))</f>
        <v/>
      </c>
      <c r="M529" s="0" t="str">
        <f aca="false">IF($G529=0,"",IF(""=0,"",""))</f>
        <v/>
      </c>
      <c r="N529" s="0" t="str">
        <f aca="false">IF($G529=0,"",IF(IF(N(资金日记账!$I522)=0,"",-ROUND(N(资金日记账!$I522),2))=0,"",IF(N(资金日记账!$I522)=0,"",-ROUND(N(资金日记账!$I522),2))))</f>
        <v/>
      </c>
      <c r="O529" s="0" t="str">
        <f aca="false">IF($G529=0,"",IF(IF(N(资金日记账!$H522)=0,"",ROUND(N(资金日记账!$H522),2))=0,"",IF(N(资金日记账!$H522)=0,"",ROUND(N(资金日记账!$H522),2))))</f>
        <v/>
      </c>
      <c r="P529" s="0" t="str">
        <f aca="false">IF($G529=0,"",IF(资金日记账!$L522=0,"",资金日记账!$L522))</f>
        <v/>
      </c>
      <c r="T529" s="0" t="str">
        <f aca="false">IF(资金日记账!$G529="","",资金日记账!$G529)</f>
        <v/>
      </c>
      <c r="U529" s="0" t="n">
        <f aca="false">IF(T529="",0,IF(MATCH(T529,$T$4:$T$903,0)=ROW()-3,1,0))</f>
        <v>0</v>
      </c>
      <c r="V529" s="0" t="n">
        <f aca="false">N(V528)+U529</f>
        <v>30</v>
      </c>
      <c r="AF529" s="0" t="str">
        <f aca="false">IF(OR(资金日记账!$E529="",N(资金日记账!$H529)=0),"",资金日记账!$E529)</f>
        <v/>
      </c>
      <c r="AG529" s="0" t="n">
        <f aca="false">IF(AF529="",0,IF(MATCH(AF529,$AF$4:$AF$603,0)=ROW()-3,1,0))</f>
        <v>0</v>
      </c>
      <c r="AH529" s="0" t="n">
        <f aca="false">N(AH528)+AG529</f>
        <v>5</v>
      </c>
    </row>
    <row r="530" customFormat="false" ht="13.5" hidden="false" customHeight="false" outlineLevel="0" collapsed="false">
      <c r="A530" s="0" t="str">
        <f aca="false">IF(资金日记账!$E228="","",资金日记账!$E228)</f>
        <v/>
      </c>
      <c r="B530" s="0" t="n">
        <f aca="false">IF(A530="",0,IF(MATCH(A530,$A$4:$A$1925,0)=ROW()-3,1,0))</f>
        <v>0</v>
      </c>
      <c r="C530" s="0" t="n">
        <f aca="false">N(C529)+B530</f>
        <v>11</v>
      </c>
      <c r="G530" s="0" t="n">
        <f aca="false">IF(OR($G$1="",资金日记账!$E523="",资金日记账!$E523&lt;&gt;$G$1),0,IF(NOT(OR(N(资金日记账!$H523)&lt;&gt;0,N(资金日记账!$I523)&lt;&gt;0)),0,IF(资金日记账!$B523="",1,IF(OR(N(资金日记账!$B523)&lt;$H$1,N(资金日记账!$B523)&gt;$I$1),0,1))))</f>
        <v>0</v>
      </c>
      <c r="H530" s="0" t="n">
        <f aca="false">N(H529)+$G530</f>
        <v>3</v>
      </c>
      <c r="I530" s="0" t="str">
        <f aca="false">IF($G530=0,"",IF(资金日记账!$B523=0,"",资金日记账!$B523))</f>
        <v/>
      </c>
      <c r="J530" s="0" t="str">
        <f aca="false">IF($G530=0,"",IF(资金日记账!$D523=0,"",资金日记账!$D523))</f>
        <v/>
      </c>
      <c r="K530" s="0" t="str">
        <f aca="false">IF($G530=0,"",IF(""=0,"",""))</f>
        <v/>
      </c>
      <c r="L530" s="0" t="str">
        <f aca="false">IF($G530=0,"",IF(""=0,"",""))</f>
        <v/>
      </c>
      <c r="M530" s="0" t="str">
        <f aca="false">IF($G530=0,"",IF(""=0,"",""))</f>
        <v/>
      </c>
      <c r="N530" s="0" t="str">
        <f aca="false">IF($G530=0,"",IF(IF(N(资金日记账!$I523)=0,"",-ROUND(N(资金日记账!$I523),2))=0,"",IF(N(资金日记账!$I523)=0,"",-ROUND(N(资金日记账!$I523),2))))</f>
        <v/>
      </c>
      <c r="O530" s="0" t="str">
        <f aca="false">IF($G530=0,"",IF(IF(N(资金日记账!$H523)=0,"",ROUND(N(资金日记账!$H523),2))=0,"",IF(N(资金日记账!$H523)=0,"",ROUND(N(资金日记账!$H523),2))))</f>
        <v/>
      </c>
      <c r="P530" s="0" t="str">
        <f aca="false">IF($G530=0,"",IF(资金日记账!$L523=0,"",资金日记账!$L523))</f>
        <v/>
      </c>
      <c r="T530" s="0" t="str">
        <f aca="false">IF(资金日记账!$G530="","",资金日记账!$G530)</f>
        <v/>
      </c>
      <c r="U530" s="0" t="n">
        <f aca="false">IF(T530="",0,IF(MATCH(T530,$T$4:$T$903,0)=ROW()-3,1,0))</f>
        <v>0</v>
      </c>
      <c r="V530" s="0" t="n">
        <f aca="false">N(V529)+U530</f>
        <v>30</v>
      </c>
      <c r="AF530" s="0" t="str">
        <f aca="false">IF(OR(资金日记账!$E530="",N(资金日记账!$H530)=0),"",资金日记账!$E530)</f>
        <v/>
      </c>
      <c r="AG530" s="0" t="n">
        <f aca="false">IF(AF530="",0,IF(MATCH(AF530,$AF$4:$AF$603,0)=ROW()-3,1,0))</f>
        <v>0</v>
      </c>
      <c r="AH530" s="0" t="n">
        <f aca="false">N(AH529)+AG530</f>
        <v>5</v>
      </c>
    </row>
    <row r="531" customFormat="false" ht="13.5" hidden="false" customHeight="false" outlineLevel="0" collapsed="false">
      <c r="A531" s="0" t="str">
        <f aca="false">IF(资金日记账!$E229="","",资金日记账!$E229)</f>
        <v/>
      </c>
      <c r="B531" s="0" t="n">
        <f aca="false">IF(A531="",0,IF(MATCH(A531,$A$4:$A$1925,0)=ROW()-3,1,0))</f>
        <v>0</v>
      </c>
      <c r="C531" s="0" t="n">
        <f aca="false">N(C530)+B531</f>
        <v>11</v>
      </c>
      <c r="G531" s="0" t="n">
        <f aca="false">IF(OR($G$1="",资金日记账!$E524="",资金日记账!$E524&lt;&gt;$G$1),0,IF(NOT(OR(N(资金日记账!$H524)&lt;&gt;0,N(资金日记账!$I524)&lt;&gt;0)),0,IF(资金日记账!$B524="",1,IF(OR(N(资金日记账!$B524)&lt;$H$1,N(资金日记账!$B524)&gt;$I$1),0,1))))</f>
        <v>0</v>
      </c>
      <c r="H531" s="0" t="n">
        <f aca="false">N(H530)+$G531</f>
        <v>3</v>
      </c>
      <c r="I531" s="0" t="str">
        <f aca="false">IF($G531=0,"",IF(资金日记账!$B524=0,"",资金日记账!$B524))</f>
        <v/>
      </c>
      <c r="J531" s="0" t="str">
        <f aca="false">IF($G531=0,"",IF(资金日记账!$D524=0,"",资金日记账!$D524))</f>
        <v/>
      </c>
      <c r="K531" s="0" t="str">
        <f aca="false">IF($G531=0,"",IF(""=0,"",""))</f>
        <v/>
      </c>
      <c r="L531" s="0" t="str">
        <f aca="false">IF($G531=0,"",IF(""=0,"",""))</f>
        <v/>
      </c>
      <c r="M531" s="0" t="str">
        <f aca="false">IF($G531=0,"",IF(""=0,"",""))</f>
        <v/>
      </c>
      <c r="N531" s="0" t="str">
        <f aca="false">IF($G531=0,"",IF(IF(N(资金日记账!$I524)=0,"",-ROUND(N(资金日记账!$I524),2))=0,"",IF(N(资金日记账!$I524)=0,"",-ROUND(N(资金日记账!$I524),2))))</f>
        <v/>
      </c>
      <c r="O531" s="0" t="str">
        <f aca="false">IF($G531=0,"",IF(IF(N(资金日记账!$H524)=0,"",ROUND(N(资金日记账!$H524),2))=0,"",IF(N(资金日记账!$H524)=0,"",ROUND(N(资金日记账!$H524),2))))</f>
        <v/>
      </c>
      <c r="P531" s="0" t="str">
        <f aca="false">IF($G531=0,"",IF(资金日记账!$L524=0,"",资金日记账!$L524))</f>
        <v/>
      </c>
      <c r="T531" s="0" t="str">
        <f aca="false">IF(资金日记账!$G531="","",资金日记账!$G531)</f>
        <v/>
      </c>
      <c r="U531" s="0" t="n">
        <f aca="false">IF(T531="",0,IF(MATCH(T531,$T$4:$T$903,0)=ROW()-3,1,0))</f>
        <v>0</v>
      </c>
      <c r="V531" s="0" t="n">
        <f aca="false">N(V530)+U531</f>
        <v>30</v>
      </c>
      <c r="AF531" s="0" t="str">
        <f aca="false">IF(OR(资金日记账!$E531="",N(资金日记账!$H531)=0),"",资金日记账!$E531)</f>
        <v/>
      </c>
      <c r="AG531" s="0" t="n">
        <f aca="false">IF(AF531="",0,IF(MATCH(AF531,$AF$4:$AF$603,0)=ROW()-3,1,0))</f>
        <v>0</v>
      </c>
      <c r="AH531" s="0" t="n">
        <f aca="false">N(AH530)+AG531</f>
        <v>5</v>
      </c>
    </row>
    <row r="532" customFormat="false" ht="13.5" hidden="false" customHeight="false" outlineLevel="0" collapsed="false">
      <c r="A532" s="0" t="str">
        <f aca="false">IF(资金日记账!$E230="","",资金日记账!$E230)</f>
        <v/>
      </c>
      <c r="B532" s="0" t="n">
        <f aca="false">IF(A532="",0,IF(MATCH(A532,$A$4:$A$1925,0)=ROW()-3,1,0))</f>
        <v>0</v>
      </c>
      <c r="C532" s="0" t="n">
        <f aca="false">N(C531)+B532</f>
        <v>11</v>
      </c>
      <c r="G532" s="0" t="n">
        <f aca="false">IF(OR($G$1="",资金日记账!$E525="",资金日记账!$E525&lt;&gt;$G$1),0,IF(NOT(OR(N(资金日记账!$H525)&lt;&gt;0,N(资金日记账!$I525)&lt;&gt;0)),0,IF(资金日记账!$B525="",1,IF(OR(N(资金日记账!$B525)&lt;$H$1,N(资金日记账!$B525)&gt;$I$1),0,1))))</f>
        <v>0</v>
      </c>
      <c r="H532" s="0" t="n">
        <f aca="false">N(H531)+$G532</f>
        <v>3</v>
      </c>
      <c r="I532" s="0" t="str">
        <f aca="false">IF($G532=0,"",IF(资金日记账!$B525=0,"",资金日记账!$B525))</f>
        <v/>
      </c>
      <c r="J532" s="0" t="str">
        <f aca="false">IF($G532=0,"",IF(资金日记账!$D525=0,"",资金日记账!$D525))</f>
        <v/>
      </c>
      <c r="K532" s="0" t="str">
        <f aca="false">IF($G532=0,"",IF(""=0,"",""))</f>
        <v/>
      </c>
      <c r="L532" s="0" t="str">
        <f aca="false">IF($G532=0,"",IF(""=0,"",""))</f>
        <v/>
      </c>
      <c r="M532" s="0" t="str">
        <f aca="false">IF($G532=0,"",IF(""=0,"",""))</f>
        <v/>
      </c>
      <c r="N532" s="0" t="str">
        <f aca="false">IF($G532=0,"",IF(IF(N(资金日记账!$I525)=0,"",-ROUND(N(资金日记账!$I525),2))=0,"",IF(N(资金日记账!$I525)=0,"",-ROUND(N(资金日记账!$I525),2))))</f>
        <v/>
      </c>
      <c r="O532" s="0" t="str">
        <f aca="false">IF($G532=0,"",IF(IF(N(资金日记账!$H525)=0,"",ROUND(N(资金日记账!$H525),2))=0,"",IF(N(资金日记账!$H525)=0,"",ROUND(N(资金日记账!$H525),2))))</f>
        <v/>
      </c>
      <c r="P532" s="0" t="str">
        <f aca="false">IF($G532=0,"",IF(资金日记账!$L525=0,"",资金日记账!$L525))</f>
        <v/>
      </c>
      <c r="T532" s="0" t="str">
        <f aca="false">IF(资金日记账!$G532="","",资金日记账!$G532)</f>
        <v/>
      </c>
      <c r="U532" s="0" t="n">
        <f aca="false">IF(T532="",0,IF(MATCH(T532,$T$4:$T$903,0)=ROW()-3,1,0))</f>
        <v>0</v>
      </c>
      <c r="V532" s="0" t="n">
        <f aca="false">N(V531)+U532</f>
        <v>30</v>
      </c>
      <c r="AF532" s="0" t="str">
        <f aca="false">IF(OR(资金日记账!$E532="",N(资金日记账!$H532)=0),"",资金日记账!$E532)</f>
        <v/>
      </c>
      <c r="AG532" s="0" t="n">
        <f aca="false">IF(AF532="",0,IF(MATCH(AF532,$AF$4:$AF$603,0)=ROW()-3,1,0))</f>
        <v>0</v>
      </c>
      <c r="AH532" s="0" t="n">
        <f aca="false">N(AH531)+AG532</f>
        <v>5</v>
      </c>
    </row>
    <row r="533" customFormat="false" ht="13.5" hidden="false" customHeight="false" outlineLevel="0" collapsed="false">
      <c r="A533" s="0" t="str">
        <f aca="false">IF(资金日记账!$E231="","",资金日记账!$E231)</f>
        <v/>
      </c>
      <c r="B533" s="0" t="n">
        <f aca="false">IF(A533="",0,IF(MATCH(A533,$A$4:$A$1925,0)=ROW()-3,1,0))</f>
        <v>0</v>
      </c>
      <c r="C533" s="0" t="n">
        <f aca="false">N(C532)+B533</f>
        <v>11</v>
      </c>
      <c r="G533" s="0" t="n">
        <f aca="false">IF(OR($G$1="",资金日记账!$E526="",资金日记账!$E526&lt;&gt;$G$1),0,IF(NOT(OR(N(资金日记账!$H526)&lt;&gt;0,N(资金日记账!$I526)&lt;&gt;0)),0,IF(资金日记账!$B526="",1,IF(OR(N(资金日记账!$B526)&lt;$H$1,N(资金日记账!$B526)&gt;$I$1),0,1))))</f>
        <v>0</v>
      </c>
      <c r="H533" s="0" t="n">
        <f aca="false">N(H532)+$G533</f>
        <v>3</v>
      </c>
      <c r="I533" s="0" t="str">
        <f aca="false">IF($G533=0,"",IF(资金日记账!$B526=0,"",资金日记账!$B526))</f>
        <v/>
      </c>
      <c r="J533" s="0" t="str">
        <f aca="false">IF($G533=0,"",IF(资金日记账!$D526=0,"",资金日记账!$D526))</f>
        <v/>
      </c>
      <c r="K533" s="0" t="str">
        <f aca="false">IF($G533=0,"",IF(""=0,"",""))</f>
        <v/>
      </c>
      <c r="L533" s="0" t="str">
        <f aca="false">IF($G533=0,"",IF(""=0,"",""))</f>
        <v/>
      </c>
      <c r="M533" s="0" t="str">
        <f aca="false">IF($G533=0,"",IF(""=0,"",""))</f>
        <v/>
      </c>
      <c r="N533" s="0" t="str">
        <f aca="false">IF($G533=0,"",IF(IF(N(资金日记账!$I526)=0,"",-ROUND(N(资金日记账!$I526),2))=0,"",IF(N(资金日记账!$I526)=0,"",-ROUND(N(资金日记账!$I526),2))))</f>
        <v/>
      </c>
      <c r="O533" s="0" t="str">
        <f aca="false">IF($G533=0,"",IF(IF(N(资金日记账!$H526)=0,"",ROUND(N(资金日记账!$H526),2))=0,"",IF(N(资金日记账!$H526)=0,"",ROUND(N(资金日记账!$H526),2))))</f>
        <v/>
      </c>
      <c r="P533" s="0" t="str">
        <f aca="false">IF($G533=0,"",IF(资金日记账!$L526=0,"",资金日记账!$L526))</f>
        <v/>
      </c>
      <c r="T533" s="0" t="str">
        <f aca="false">IF(资金日记账!$G533="","",资金日记账!$G533)</f>
        <v/>
      </c>
      <c r="U533" s="0" t="n">
        <f aca="false">IF(T533="",0,IF(MATCH(T533,$T$4:$T$903,0)=ROW()-3,1,0))</f>
        <v>0</v>
      </c>
      <c r="V533" s="0" t="n">
        <f aca="false">N(V532)+U533</f>
        <v>30</v>
      </c>
      <c r="AF533" s="0" t="str">
        <f aca="false">IF(OR(资金日记账!$E533="",N(资金日记账!$H533)=0),"",资金日记账!$E533)</f>
        <v/>
      </c>
      <c r="AG533" s="0" t="n">
        <f aca="false">IF(AF533="",0,IF(MATCH(AF533,$AF$4:$AF$603,0)=ROW()-3,1,0))</f>
        <v>0</v>
      </c>
      <c r="AH533" s="0" t="n">
        <f aca="false">N(AH532)+AG533</f>
        <v>5</v>
      </c>
    </row>
    <row r="534" customFormat="false" ht="13.5" hidden="false" customHeight="false" outlineLevel="0" collapsed="false">
      <c r="A534" s="0" t="str">
        <f aca="false">IF(资金日记账!$E232="","",资金日记账!$E232)</f>
        <v/>
      </c>
      <c r="B534" s="0" t="n">
        <f aca="false">IF(A534="",0,IF(MATCH(A534,$A$4:$A$1925,0)=ROW()-3,1,0))</f>
        <v>0</v>
      </c>
      <c r="C534" s="0" t="n">
        <f aca="false">N(C533)+B534</f>
        <v>11</v>
      </c>
      <c r="G534" s="0" t="n">
        <f aca="false">IF(OR($G$1="",资金日记账!$E527="",资金日记账!$E527&lt;&gt;$G$1),0,IF(NOT(OR(N(资金日记账!$H527)&lt;&gt;0,N(资金日记账!$I527)&lt;&gt;0)),0,IF(资金日记账!$B527="",1,IF(OR(N(资金日记账!$B527)&lt;$H$1,N(资金日记账!$B527)&gt;$I$1),0,1))))</f>
        <v>0</v>
      </c>
      <c r="H534" s="0" t="n">
        <f aca="false">N(H533)+$G534</f>
        <v>3</v>
      </c>
      <c r="I534" s="0" t="str">
        <f aca="false">IF($G534=0,"",IF(资金日记账!$B527=0,"",资金日记账!$B527))</f>
        <v/>
      </c>
      <c r="J534" s="0" t="str">
        <f aca="false">IF($G534=0,"",IF(资金日记账!$D527=0,"",资金日记账!$D527))</f>
        <v/>
      </c>
      <c r="K534" s="0" t="str">
        <f aca="false">IF($G534=0,"",IF(""=0,"",""))</f>
        <v/>
      </c>
      <c r="L534" s="0" t="str">
        <f aca="false">IF($G534=0,"",IF(""=0,"",""))</f>
        <v/>
      </c>
      <c r="M534" s="0" t="str">
        <f aca="false">IF($G534=0,"",IF(""=0,"",""))</f>
        <v/>
      </c>
      <c r="N534" s="0" t="str">
        <f aca="false">IF($G534=0,"",IF(IF(N(资金日记账!$I527)=0,"",-ROUND(N(资金日记账!$I527),2))=0,"",IF(N(资金日记账!$I527)=0,"",-ROUND(N(资金日记账!$I527),2))))</f>
        <v/>
      </c>
      <c r="O534" s="0" t="str">
        <f aca="false">IF($G534=0,"",IF(IF(N(资金日记账!$H527)=0,"",ROUND(N(资金日记账!$H527),2))=0,"",IF(N(资金日记账!$H527)=0,"",ROUND(N(资金日记账!$H527),2))))</f>
        <v/>
      </c>
      <c r="P534" s="0" t="str">
        <f aca="false">IF($G534=0,"",IF(资金日记账!$L527=0,"",资金日记账!$L527))</f>
        <v/>
      </c>
      <c r="T534" s="0" t="str">
        <f aca="false">IF(资金日记账!$G534="","",资金日记账!$G534)</f>
        <v/>
      </c>
      <c r="U534" s="0" t="n">
        <f aca="false">IF(T534="",0,IF(MATCH(T534,$T$4:$T$903,0)=ROW()-3,1,0))</f>
        <v>0</v>
      </c>
      <c r="V534" s="0" t="n">
        <f aca="false">N(V533)+U534</f>
        <v>30</v>
      </c>
      <c r="AF534" s="0" t="str">
        <f aca="false">IF(OR(资金日记账!$E534="",N(资金日记账!$H534)=0),"",资金日记账!$E534)</f>
        <v/>
      </c>
      <c r="AG534" s="0" t="n">
        <f aca="false">IF(AF534="",0,IF(MATCH(AF534,$AF$4:$AF$603,0)=ROW()-3,1,0))</f>
        <v>0</v>
      </c>
      <c r="AH534" s="0" t="n">
        <f aca="false">N(AH533)+AG534</f>
        <v>5</v>
      </c>
    </row>
    <row r="535" customFormat="false" ht="13.5" hidden="false" customHeight="false" outlineLevel="0" collapsed="false">
      <c r="A535" s="0" t="str">
        <f aca="false">IF(资金日记账!$E233="","",资金日记账!$E233)</f>
        <v/>
      </c>
      <c r="B535" s="0" t="n">
        <f aca="false">IF(A535="",0,IF(MATCH(A535,$A$4:$A$1925,0)=ROW()-3,1,0))</f>
        <v>0</v>
      </c>
      <c r="C535" s="0" t="n">
        <f aca="false">N(C534)+B535</f>
        <v>11</v>
      </c>
      <c r="G535" s="0" t="n">
        <f aca="false">IF(OR($G$1="",资金日记账!$E528="",资金日记账!$E528&lt;&gt;$G$1),0,IF(NOT(OR(N(资金日记账!$H528)&lt;&gt;0,N(资金日记账!$I528)&lt;&gt;0)),0,IF(资金日记账!$B528="",1,IF(OR(N(资金日记账!$B528)&lt;$H$1,N(资金日记账!$B528)&gt;$I$1),0,1))))</f>
        <v>0</v>
      </c>
      <c r="H535" s="0" t="n">
        <f aca="false">N(H534)+$G535</f>
        <v>3</v>
      </c>
      <c r="I535" s="0" t="str">
        <f aca="false">IF($G535=0,"",IF(资金日记账!$B528=0,"",资金日记账!$B528))</f>
        <v/>
      </c>
      <c r="J535" s="0" t="str">
        <f aca="false">IF($G535=0,"",IF(资金日记账!$D528=0,"",资金日记账!$D528))</f>
        <v/>
      </c>
      <c r="K535" s="0" t="str">
        <f aca="false">IF($G535=0,"",IF(""=0,"",""))</f>
        <v/>
      </c>
      <c r="L535" s="0" t="str">
        <f aca="false">IF($G535=0,"",IF(""=0,"",""))</f>
        <v/>
      </c>
      <c r="M535" s="0" t="str">
        <f aca="false">IF($G535=0,"",IF(""=0,"",""))</f>
        <v/>
      </c>
      <c r="N535" s="0" t="str">
        <f aca="false">IF($G535=0,"",IF(IF(N(资金日记账!$I528)=0,"",-ROUND(N(资金日记账!$I528),2))=0,"",IF(N(资金日记账!$I528)=0,"",-ROUND(N(资金日记账!$I528),2))))</f>
        <v/>
      </c>
      <c r="O535" s="0" t="str">
        <f aca="false">IF($G535=0,"",IF(IF(N(资金日记账!$H528)=0,"",ROUND(N(资金日记账!$H528),2))=0,"",IF(N(资金日记账!$H528)=0,"",ROUND(N(资金日记账!$H528),2))))</f>
        <v/>
      </c>
      <c r="P535" s="0" t="str">
        <f aca="false">IF($G535=0,"",IF(资金日记账!$L528=0,"",资金日记账!$L528))</f>
        <v/>
      </c>
      <c r="T535" s="0" t="str">
        <f aca="false">IF(资金日记账!$G535="","",资金日记账!$G535)</f>
        <v/>
      </c>
      <c r="U535" s="0" t="n">
        <f aca="false">IF(T535="",0,IF(MATCH(T535,$T$4:$T$903,0)=ROW()-3,1,0))</f>
        <v>0</v>
      </c>
      <c r="V535" s="0" t="n">
        <f aca="false">N(V534)+U535</f>
        <v>30</v>
      </c>
      <c r="AF535" s="0" t="str">
        <f aca="false">IF(OR(资金日记账!$E535="",N(资金日记账!$H535)=0),"",资金日记账!$E535)</f>
        <v/>
      </c>
      <c r="AG535" s="0" t="n">
        <f aca="false">IF(AF535="",0,IF(MATCH(AF535,$AF$4:$AF$603,0)=ROW()-3,1,0))</f>
        <v>0</v>
      </c>
      <c r="AH535" s="0" t="n">
        <f aca="false">N(AH534)+AG535</f>
        <v>5</v>
      </c>
    </row>
    <row r="536" customFormat="false" ht="13.5" hidden="false" customHeight="false" outlineLevel="0" collapsed="false">
      <c r="A536" s="0" t="str">
        <f aca="false">IF(资金日记账!$E234="","",资金日记账!$E234)</f>
        <v/>
      </c>
      <c r="B536" s="0" t="n">
        <f aca="false">IF(A536="",0,IF(MATCH(A536,$A$4:$A$1925,0)=ROW()-3,1,0))</f>
        <v>0</v>
      </c>
      <c r="C536" s="0" t="n">
        <f aca="false">N(C535)+B536</f>
        <v>11</v>
      </c>
      <c r="G536" s="0" t="n">
        <f aca="false">IF(OR($G$1="",资金日记账!$E529="",资金日记账!$E529&lt;&gt;$G$1),0,IF(NOT(OR(N(资金日记账!$H529)&lt;&gt;0,N(资金日记账!$I529)&lt;&gt;0)),0,IF(资金日记账!$B529="",1,IF(OR(N(资金日记账!$B529)&lt;$H$1,N(资金日记账!$B529)&gt;$I$1),0,1))))</f>
        <v>0</v>
      </c>
      <c r="H536" s="0" t="n">
        <f aca="false">N(H535)+$G536</f>
        <v>3</v>
      </c>
      <c r="I536" s="0" t="str">
        <f aca="false">IF($G536=0,"",IF(资金日记账!$B529=0,"",资金日记账!$B529))</f>
        <v/>
      </c>
      <c r="J536" s="0" t="str">
        <f aca="false">IF($G536=0,"",IF(资金日记账!$D529=0,"",资金日记账!$D529))</f>
        <v/>
      </c>
      <c r="K536" s="0" t="str">
        <f aca="false">IF($G536=0,"",IF(""=0,"",""))</f>
        <v/>
      </c>
      <c r="L536" s="0" t="str">
        <f aca="false">IF($G536=0,"",IF(""=0,"",""))</f>
        <v/>
      </c>
      <c r="M536" s="0" t="str">
        <f aca="false">IF($G536=0,"",IF(""=0,"",""))</f>
        <v/>
      </c>
      <c r="N536" s="0" t="str">
        <f aca="false">IF($G536=0,"",IF(IF(N(资金日记账!$I529)=0,"",-ROUND(N(资金日记账!$I529),2))=0,"",IF(N(资金日记账!$I529)=0,"",-ROUND(N(资金日记账!$I529),2))))</f>
        <v/>
      </c>
      <c r="O536" s="0" t="str">
        <f aca="false">IF($G536=0,"",IF(IF(N(资金日记账!$H529)=0,"",ROUND(N(资金日记账!$H529),2))=0,"",IF(N(资金日记账!$H529)=0,"",ROUND(N(资金日记账!$H529),2))))</f>
        <v/>
      </c>
      <c r="P536" s="0" t="str">
        <f aca="false">IF($G536=0,"",IF(资金日记账!$L529=0,"",资金日记账!$L529))</f>
        <v/>
      </c>
      <c r="T536" s="0" t="str">
        <f aca="false">IF(资金日记账!$G536="","",资金日记账!$G536)</f>
        <v/>
      </c>
      <c r="U536" s="0" t="n">
        <f aca="false">IF(T536="",0,IF(MATCH(T536,$T$4:$T$903,0)=ROW()-3,1,0))</f>
        <v>0</v>
      </c>
      <c r="V536" s="0" t="n">
        <f aca="false">N(V535)+U536</f>
        <v>30</v>
      </c>
      <c r="AF536" s="0" t="str">
        <f aca="false">IF(OR(资金日记账!$E536="",N(资金日记账!$H536)=0),"",资金日记账!$E536)</f>
        <v/>
      </c>
      <c r="AG536" s="0" t="n">
        <f aca="false">IF(AF536="",0,IF(MATCH(AF536,$AF$4:$AF$603,0)=ROW()-3,1,0))</f>
        <v>0</v>
      </c>
      <c r="AH536" s="0" t="n">
        <f aca="false">N(AH535)+AG536</f>
        <v>5</v>
      </c>
    </row>
    <row r="537" customFormat="false" ht="13.5" hidden="false" customHeight="false" outlineLevel="0" collapsed="false">
      <c r="A537" s="0" t="str">
        <f aca="false">IF(资金日记账!$E235="","",资金日记账!$E235)</f>
        <v/>
      </c>
      <c r="B537" s="0" t="n">
        <f aca="false">IF(A537="",0,IF(MATCH(A537,$A$4:$A$1925,0)=ROW()-3,1,0))</f>
        <v>0</v>
      </c>
      <c r="C537" s="0" t="n">
        <f aca="false">N(C536)+B537</f>
        <v>11</v>
      </c>
      <c r="G537" s="0" t="n">
        <f aca="false">IF(OR($G$1="",资金日记账!$E530="",资金日记账!$E530&lt;&gt;$G$1),0,IF(NOT(OR(N(资金日记账!$H530)&lt;&gt;0,N(资金日记账!$I530)&lt;&gt;0)),0,IF(资金日记账!$B530="",1,IF(OR(N(资金日记账!$B530)&lt;$H$1,N(资金日记账!$B530)&gt;$I$1),0,1))))</f>
        <v>0</v>
      </c>
      <c r="H537" s="0" t="n">
        <f aca="false">N(H536)+$G537</f>
        <v>3</v>
      </c>
      <c r="I537" s="0" t="str">
        <f aca="false">IF($G537=0,"",IF(资金日记账!$B530=0,"",资金日记账!$B530))</f>
        <v/>
      </c>
      <c r="J537" s="0" t="str">
        <f aca="false">IF($G537=0,"",IF(资金日记账!$D530=0,"",资金日记账!$D530))</f>
        <v/>
      </c>
      <c r="K537" s="0" t="str">
        <f aca="false">IF($G537=0,"",IF(""=0,"",""))</f>
        <v/>
      </c>
      <c r="L537" s="0" t="str">
        <f aca="false">IF($G537=0,"",IF(""=0,"",""))</f>
        <v/>
      </c>
      <c r="M537" s="0" t="str">
        <f aca="false">IF($G537=0,"",IF(""=0,"",""))</f>
        <v/>
      </c>
      <c r="N537" s="0" t="str">
        <f aca="false">IF($G537=0,"",IF(IF(N(资金日记账!$I530)=0,"",-ROUND(N(资金日记账!$I530),2))=0,"",IF(N(资金日记账!$I530)=0,"",-ROUND(N(资金日记账!$I530),2))))</f>
        <v/>
      </c>
      <c r="O537" s="0" t="str">
        <f aca="false">IF($G537=0,"",IF(IF(N(资金日记账!$H530)=0,"",ROUND(N(资金日记账!$H530),2))=0,"",IF(N(资金日记账!$H530)=0,"",ROUND(N(资金日记账!$H530),2))))</f>
        <v/>
      </c>
      <c r="P537" s="0" t="str">
        <f aca="false">IF($G537=0,"",IF(资金日记账!$L530=0,"",资金日记账!$L530))</f>
        <v/>
      </c>
      <c r="T537" s="0" t="str">
        <f aca="false">IF(资金日记账!$G537="","",资金日记账!$G537)</f>
        <v/>
      </c>
      <c r="U537" s="0" t="n">
        <f aca="false">IF(T537="",0,IF(MATCH(T537,$T$4:$T$903,0)=ROW()-3,1,0))</f>
        <v>0</v>
      </c>
      <c r="V537" s="0" t="n">
        <f aca="false">N(V536)+U537</f>
        <v>30</v>
      </c>
      <c r="AF537" s="0" t="str">
        <f aca="false">IF(OR(资金日记账!$E537="",N(资金日记账!$H537)=0),"",资金日记账!$E537)</f>
        <v/>
      </c>
      <c r="AG537" s="0" t="n">
        <f aca="false">IF(AF537="",0,IF(MATCH(AF537,$AF$4:$AF$603,0)=ROW()-3,1,0))</f>
        <v>0</v>
      </c>
      <c r="AH537" s="0" t="n">
        <f aca="false">N(AH536)+AG537</f>
        <v>5</v>
      </c>
    </row>
    <row r="538" customFormat="false" ht="13.5" hidden="false" customHeight="false" outlineLevel="0" collapsed="false">
      <c r="A538" s="0" t="str">
        <f aca="false">IF(资金日记账!$E236="","",资金日记账!$E236)</f>
        <v/>
      </c>
      <c r="B538" s="0" t="n">
        <f aca="false">IF(A538="",0,IF(MATCH(A538,$A$4:$A$1925,0)=ROW()-3,1,0))</f>
        <v>0</v>
      </c>
      <c r="C538" s="0" t="n">
        <f aca="false">N(C537)+B538</f>
        <v>11</v>
      </c>
      <c r="G538" s="0" t="n">
        <f aca="false">IF(OR($G$1="",资金日记账!$E531="",资金日记账!$E531&lt;&gt;$G$1),0,IF(NOT(OR(N(资金日记账!$H531)&lt;&gt;0,N(资金日记账!$I531)&lt;&gt;0)),0,IF(资金日记账!$B531="",1,IF(OR(N(资金日记账!$B531)&lt;$H$1,N(资金日记账!$B531)&gt;$I$1),0,1))))</f>
        <v>0</v>
      </c>
      <c r="H538" s="0" t="n">
        <f aca="false">N(H537)+$G538</f>
        <v>3</v>
      </c>
      <c r="I538" s="0" t="str">
        <f aca="false">IF($G538=0,"",IF(资金日记账!$B531=0,"",资金日记账!$B531))</f>
        <v/>
      </c>
      <c r="J538" s="0" t="str">
        <f aca="false">IF($G538=0,"",IF(资金日记账!$D531=0,"",资金日记账!$D531))</f>
        <v/>
      </c>
      <c r="K538" s="0" t="str">
        <f aca="false">IF($G538=0,"",IF(""=0,"",""))</f>
        <v/>
      </c>
      <c r="L538" s="0" t="str">
        <f aca="false">IF($G538=0,"",IF(""=0,"",""))</f>
        <v/>
      </c>
      <c r="M538" s="0" t="str">
        <f aca="false">IF($G538=0,"",IF(""=0,"",""))</f>
        <v/>
      </c>
      <c r="N538" s="0" t="str">
        <f aca="false">IF($G538=0,"",IF(IF(N(资金日记账!$I531)=0,"",-ROUND(N(资金日记账!$I531),2))=0,"",IF(N(资金日记账!$I531)=0,"",-ROUND(N(资金日记账!$I531),2))))</f>
        <v/>
      </c>
      <c r="O538" s="0" t="str">
        <f aca="false">IF($G538=0,"",IF(IF(N(资金日记账!$H531)=0,"",ROUND(N(资金日记账!$H531),2))=0,"",IF(N(资金日记账!$H531)=0,"",ROUND(N(资金日记账!$H531),2))))</f>
        <v/>
      </c>
      <c r="P538" s="0" t="str">
        <f aca="false">IF($G538=0,"",IF(资金日记账!$L531=0,"",资金日记账!$L531))</f>
        <v/>
      </c>
      <c r="T538" s="0" t="str">
        <f aca="false">IF(资金日记账!$G538="","",资金日记账!$G538)</f>
        <v/>
      </c>
      <c r="U538" s="0" t="n">
        <f aca="false">IF(T538="",0,IF(MATCH(T538,$T$4:$T$903,0)=ROW()-3,1,0))</f>
        <v>0</v>
      </c>
      <c r="V538" s="0" t="n">
        <f aca="false">N(V537)+U538</f>
        <v>30</v>
      </c>
      <c r="AF538" s="0" t="str">
        <f aca="false">IF(OR(资金日记账!$E538="",N(资金日记账!$H538)=0),"",资金日记账!$E538)</f>
        <v/>
      </c>
      <c r="AG538" s="0" t="n">
        <f aca="false">IF(AF538="",0,IF(MATCH(AF538,$AF$4:$AF$603,0)=ROW()-3,1,0))</f>
        <v>0</v>
      </c>
      <c r="AH538" s="0" t="n">
        <f aca="false">N(AH537)+AG538</f>
        <v>5</v>
      </c>
    </row>
    <row r="539" customFormat="false" ht="13.5" hidden="false" customHeight="false" outlineLevel="0" collapsed="false">
      <c r="A539" s="0" t="str">
        <f aca="false">IF(资金日记账!$E237="","",资金日记账!$E237)</f>
        <v/>
      </c>
      <c r="B539" s="0" t="n">
        <f aca="false">IF(A539="",0,IF(MATCH(A539,$A$4:$A$1925,0)=ROW()-3,1,0))</f>
        <v>0</v>
      </c>
      <c r="C539" s="0" t="n">
        <f aca="false">N(C538)+B539</f>
        <v>11</v>
      </c>
      <c r="G539" s="0" t="n">
        <f aca="false">IF(OR($G$1="",资金日记账!$E532="",资金日记账!$E532&lt;&gt;$G$1),0,IF(NOT(OR(N(资金日记账!$H532)&lt;&gt;0,N(资金日记账!$I532)&lt;&gt;0)),0,IF(资金日记账!$B532="",1,IF(OR(N(资金日记账!$B532)&lt;$H$1,N(资金日记账!$B532)&gt;$I$1),0,1))))</f>
        <v>0</v>
      </c>
      <c r="H539" s="0" t="n">
        <f aca="false">N(H538)+$G539</f>
        <v>3</v>
      </c>
      <c r="I539" s="0" t="str">
        <f aca="false">IF($G539=0,"",IF(资金日记账!$B532=0,"",资金日记账!$B532))</f>
        <v/>
      </c>
      <c r="J539" s="0" t="str">
        <f aca="false">IF($G539=0,"",IF(资金日记账!$D532=0,"",资金日记账!$D532))</f>
        <v/>
      </c>
      <c r="K539" s="0" t="str">
        <f aca="false">IF($G539=0,"",IF(""=0,"",""))</f>
        <v/>
      </c>
      <c r="L539" s="0" t="str">
        <f aca="false">IF($G539=0,"",IF(""=0,"",""))</f>
        <v/>
      </c>
      <c r="M539" s="0" t="str">
        <f aca="false">IF($G539=0,"",IF(""=0,"",""))</f>
        <v/>
      </c>
      <c r="N539" s="0" t="str">
        <f aca="false">IF($G539=0,"",IF(IF(N(资金日记账!$I532)=0,"",-ROUND(N(资金日记账!$I532),2))=0,"",IF(N(资金日记账!$I532)=0,"",-ROUND(N(资金日记账!$I532),2))))</f>
        <v/>
      </c>
      <c r="O539" s="0" t="str">
        <f aca="false">IF($G539=0,"",IF(IF(N(资金日记账!$H532)=0,"",ROUND(N(资金日记账!$H532),2))=0,"",IF(N(资金日记账!$H532)=0,"",ROUND(N(资金日记账!$H532),2))))</f>
        <v/>
      </c>
      <c r="P539" s="0" t="str">
        <f aca="false">IF($G539=0,"",IF(资金日记账!$L532=0,"",资金日记账!$L532))</f>
        <v/>
      </c>
      <c r="T539" s="0" t="str">
        <f aca="false">IF(资金日记账!$G539="","",资金日记账!$G539)</f>
        <v/>
      </c>
      <c r="U539" s="0" t="n">
        <f aca="false">IF(T539="",0,IF(MATCH(T539,$T$4:$T$903,0)=ROW()-3,1,0))</f>
        <v>0</v>
      </c>
      <c r="V539" s="0" t="n">
        <f aca="false">N(V538)+U539</f>
        <v>30</v>
      </c>
      <c r="AF539" s="0" t="str">
        <f aca="false">IF(OR(资金日记账!$E539="",N(资金日记账!$H539)=0),"",资金日记账!$E539)</f>
        <v/>
      </c>
      <c r="AG539" s="0" t="n">
        <f aca="false">IF(AF539="",0,IF(MATCH(AF539,$AF$4:$AF$603,0)=ROW()-3,1,0))</f>
        <v>0</v>
      </c>
      <c r="AH539" s="0" t="n">
        <f aca="false">N(AH538)+AG539</f>
        <v>5</v>
      </c>
    </row>
    <row r="540" customFormat="false" ht="13.5" hidden="false" customHeight="false" outlineLevel="0" collapsed="false">
      <c r="A540" s="0" t="str">
        <f aca="false">IF(资金日记账!$E238="","",资金日记账!$E238)</f>
        <v/>
      </c>
      <c r="B540" s="0" t="n">
        <f aca="false">IF(A540="",0,IF(MATCH(A540,$A$4:$A$1925,0)=ROW()-3,1,0))</f>
        <v>0</v>
      </c>
      <c r="C540" s="0" t="n">
        <f aca="false">N(C539)+B540</f>
        <v>11</v>
      </c>
      <c r="G540" s="0" t="n">
        <f aca="false">IF(OR($G$1="",资金日记账!$E533="",资金日记账!$E533&lt;&gt;$G$1),0,IF(NOT(OR(N(资金日记账!$H533)&lt;&gt;0,N(资金日记账!$I533)&lt;&gt;0)),0,IF(资金日记账!$B533="",1,IF(OR(N(资金日记账!$B533)&lt;$H$1,N(资金日记账!$B533)&gt;$I$1),0,1))))</f>
        <v>0</v>
      </c>
      <c r="H540" s="0" t="n">
        <f aca="false">N(H539)+$G540</f>
        <v>3</v>
      </c>
      <c r="I540" s="0" t="str">
        <f aca="false">IF($G540=0,"",IF(资金日记账!$B533=0,"",资金日记账!$B533))</f>
        <v/>
      </c>
      <c r="J540" s="0" t="str">
        <f aca="false">IF($G540=0,"",IF(资金日记账!$D533=0,"",资金日记账!$D533))</f>
        <v/>
      </c>
      <c r="K540" s="0" t="str">
        <f aca="false">IF($G540=0,"",IF(""=0,"",""))</f>
        <v/>
      </c>
      <c r="L540" s="0" t="str">
        <f aca="false">IF($G540=0,"",IF(""=0,"",""))</f>
        <v/>
      </c>
      <c r="M540" s="0" t="str">
        <f aca="false">IF($G540=0,"",IF(""=0,"",""))</f>
        <v/>
      </c>
      <c r="N540" s="0" t="str">
        <f aca="false">IF($G540=0,"",IF(IF(N(资金日记账!$I533)=0,"",-ROUND(N(资金日记账!$I533),2))=0,"",IF(N(资金日记账!$I533)=0,"",-ROUND(N(资金日记账!$I533),2))))</f>
        <v/>
      </c>
      <c r="O540" s="0" t="str">
        <f aca="false">IF($G540=0,"",IF(IF(N(资金日记账!$H533)=0,"",ROUND(N(资金日记账!$H533),2))=0,"",IF(N(资金日记账!$H533)=0,"",ROUND(N(资金日记账!$H533),2))))</f>
        <v/>
      </c>
      <c r="P540" s="0" t="str">
        <f aca="false">IF($G540=0,"",IF(资金日记账!$L533=0,"",资金日记账!$L533))</f>
        <v/>
      </c>
      <c r="T540" s="0" t="str">
        <f aca="false">IF(资金日记账!$G540="","",资金日记账!$G540)</f>
        <v/>
      </c>
      <c r="U540" s="0" t="n">
        <f aca="false">IF(T540="",0,IF(MATCH(T540,$T$4:$T$903,0)=ROW()-3,1,0))</f>
        <v>0</v>
      </c>
      <c r="V540" s="0" t="n">
        <f aca="false">N(V539)+U540</f>
        <v>30</v>
      </c>
      <c r="AF540" s="0" t="str">
        <f aca="false">IF(OR(资金日记账!$E540="",N(资金日记账!$H540)=0),"",资金日记账!$E540)</f>
        <v/>
      </c>
      <c r="AG540" s="0" t="n">
        <f aca="false">IF(AF540="",0,IF(MATCH(AF540,$AF$4:$AF$603,0)=ROW()-3,1,0))</f>
        <v>0</v>
      </c>
      <c r="AH540" s="0" t="n">
        <f aca="false">N(AH539)+AG540</f>
        <v>5</v>
      </c>
    </row>
    <row r="541" customFormat="false" ht="13.5" hidden="false" customHeight="false" outlineLevel="0" collapsed="false">
      <c r="A541" s="0" t="str">
        <f aca="false">IF(资金日记账!$E239="","",资金日记账!$E239)</f>
        <v/>
      </c>
      <c r="B541" s="0" t="n">
        <f aca="false">IF(A541="",0,IF(MATCH(A541,$A$4:$A$1925,0)=ROW()-3,1,0))</f>
        <v>0</v>
      </c>
      <c r="C541" s="0" t="n">
        <f aca="false">N(C540)+B541</f>
        <v>11</v>
      </c>
      <c r="G541" s="0" t="n">
        <f aca="false">IF(OR($G$1="",资金日记账!$E534="",资金日记账!$E534&lt;&gt;$G$1),0,IF(NOT(OR(N(资金日记账!$H534)&lt;&gt;0,N(资金日记账!$I534)&lt;&gt;0)),0,IF(资金日记账!$B534="",1,IF(OR(N(资金日记账!$B534)&lt;$H$1,N(资金日记账!$B534)&gt;$I$1),0,1))))</f>
        <v>0</v>
      </c>
      <c r="H541" s="0" t="n">
        <f aca="false">N(H540)+$G541</f>
        <v>3</v>
      </c>
      <c r="I541" s="0" t="str">
        <f aca="false">IF($G541=0,"",IF(资金日记账!$B534=0,"",资金日记账!$B534))</f>
        <v/>
      </c>
      <c r="J541" s="0" t="str">
        <f aca="false">IF($G541=0,"",IF(资金日记账!$D534=0,"",资金日记账!$D534))</f>
        <v/>
      </c>
      <c r="K541" s="0" t="str">
        <f aca="false">IF($G541=0,"",IF(""=0,"",""))</f>
        <v/>
      </c>
      <c r="L541" s="0" t="str">
        <f aca="false">IF($G541=0,"",IF(""=0,"",""))</f>
        <v/>
      </c>
      <c r="M541" s="0" t="str">
        <f aca="false">IF($G541=0,"",IF(""=0,"",""))</f>
        <v/>
      </c>
      <c r="N541" s="0" t="str">
        <f aca="false">IF($G541=0,"",IF(IF(N(资金日记账!$I534)=0,"",-ROUND(N(资金日记账!$I534),2))=0,"",IF(N(资金日记账!$I534)=0,"",-ROUND(N(资金日记账!$I534),2))))</f>
        <v/>
      </c>
      <c r="O541" s="0" t="str">
        <f aca="false">IF($G541=0,"",IF(IF(N(资金日记账!$H534)=0,"",ROUND(N(资金日记账!$H534),2))=0,"",IF(N(资金日记账!$H534)=0,"",ROUND(N(资金日记账!$H534),2))))</f>
        <v/>
      </c>
      <c r="P541" s="0" t="str">
        <f aca="false">IF($G541=0,"",IF(资金日记账!$L534=0,"",资金日记账!$L534))</f>
        <v/>
      </c>
      <c r="T541" s="0" t="str">
        <f aca="false">IF(资金日记账!$G541="","",资金日记账!$G541)</f>
        <v/>
      </c>
      <c r="U541" s="0" t="n">
        <f aca="false">IF(T541="",0,IF(MATCH(T541,$T$4:$T$903,0)=ROW()-3,1,0))</f>
        <v>0</v>
      </c>
      <c r="V541" s="0" t="n">
        <f aca="false">N(V540)+U541</f>
        <v>30</v>
      </c>
      <c r="AF541" s="0" t="str">
        <f aca="false">IF(OR(资金日记账!$E541="",N(资金日记账!$H541)=0),"",资金日记账!$E541)</f>
        <v/>
      </c>
      <c r="AG541" s="0" t="n">
        <f aca="false">IF(AF541="",0,IF(MATCH(AF541,$AF$4:$AF$603,0)=ROW()-3,1,0))</f>
        <v>0</v>
      </c>
      <c r="AH541" s="0" t="n">
        <f aca="false">N(AH540)+AG541</f>
        <v>5</v>
      </c>
    </row>
    <row r="542" customFormat="false" ht="13.5" hidden="false" customHeight="false" outlineLevel="0" collapsed="false">
      <c r="A542" s="0" t="str">
        <f aca="false">IF(资金日记账!$E240="","",资金日记账!$E240)</f>
        <v/>
      </c>
      <c r="B542" s="0" t="n">
        <f aca="false">IF(A542="",0,IF(MATCH(A542,$A$4:$A$1925,0)=ROW()-3,1,0))</f>
        <v>0</v>
      </c>
      <c r="C542" s="0" t="n">
        <f aca="false">N(C541)+B542</f>
        <v>11</v>
      </c>
      <c r="G542" s="0" t="n">
        <f aca="false">IF(OR($G$1="",资金日记账!$E535="",资金日记账!$E535&lt;&gt;$G$1),0,IF(NOT(OR(N(资金日记账!$H535)&lt;&gt;0,N(资金日记账!$I535)&lt;&gt;0)),0,IF(资金日记账!$B535="",1,IF(OR(N(资金日记账!$B535)&lt;$H$1,N(资金日记账!$B535)&gt;$I$1),0,1))))</f>
        <v>0</v>
      </c>
      <c r="H542" s="0" t="n">
        <f aca="false">N(H541)+$G542</f>
        <v>3</v>
      </c>
      <c r="I542" s="0" t="str">
        <f aca="false">IF($G542=0,"",IF(资金日记账!$B535=0,"",资金日记账!$B535))</f>
        <v/>
      </c>
      <c r="J542" s="0" t="str">
        <f aca="false">IF($G542=0,"",IF(资金日记账!$D535=0,"",资金日记账!$D535))</f>
        <v/>
      </c>
      <c r="K542" s="0" t="str">
        <f aca="false">IF($G542=0,"",IF(""=0,"",""))</f>
        <v/>
      </c>
      <c r="L542" s="0" t="str">
        <f aca="false">IF($G542=0,"",IF(""=0,"",""))</f>
        <v/>
      </c>
      <c r="M542" s="0" t="str">
        <f aca="false">IF($G542=0,"",IF(""=0,"",""))</f>
        <v/>
      </c>
      <c r="N542" s="0" t="str">
        <f aca="false">IF($G542=0,"",IF(IF(N(资金日记账!$I535)=0,"",-ROUND(N(资金日记账!$I535),2))=0,"",IF(N(资金日记账!$I535)=0,"",-ROUND(N(资金日记账!$I535),2))))</f>
        <v/>
      </c>
      <c r="O542" s="0" t="str">
        <f aca="false">IF($G542=0,"",IF(IF(N(资金日记账!$H535)=0,"",ROUND(N(资金日记账!$H535),2))=0,"",IF(N(资金日记账!$H535)=0,"",ROUND(N(资金日记账!$H535),2))))</f>
        <v/>
      </c>
      <c r="P542" s="0" t="str">
        <f aca="false">IF($G542=0,"",IF(资金日记账!$L535=0,"",资金日记账!$L535))</f>
        <v/>
      </c>
      <c r="T542" s="0" t="str">
        <f aca="false">IF(资金日记账!$G542="","",资金日记账!$G542)</f>
        <v/>
      </c>
      <c r="U542" s="0" t="n">
        <f aca="false">IF(T542="",0,IF(MATCH(T542,$T$4:$T$903,0)=ROW()-3,1,0))</f>
        <v>0</v>
      </c>
      <c r="V542" s="0" t="n">
        <f aca="false">N(V541)+U542</f>
        <v>30</v>
      </c>
      <c r="AF542" s="0" t="str">
        <f aca="false">IF(OR(资金日记账!$E542="",N(资金日记账!$H542)=0),"",资金日记账!$E542)</f>
        <v/>
      </c>
      <c r="AG542" s="0" t="n">
        <f aca="false">IF(AF542="",0,IF(MATCH(AF542,$AF$4:$AF$603,0)=ROW()-3,1,0))</f>
        <v>0</v>
      </c>
      <c r="AH542" s="0" t="n">
        <f aca="false">N(AH541)+AG542</f>
        <v>5</v>
      </c>
    </row>
    <row r="543" customFormat="false" ht="13.5" hidden="false" customHeight="false" outlineLevel="0" collapsed="false">
      <c r="A543" s="0" t="str">
        <f aca="false">IF(资金日记账!$E241="","",资金日记账!$E241)</f>
        <v/>
      </c>
      <c r="B543" s="0" t="n">
        <f aca="false">IF(A543="",0,IF(MATCH(A543,$A$4:$A$1925,0)=ROW()-3,1,0))</f>
        <v>0</v>
      </c>
      <c r="C543" s="0" t="n">
        <f aca="false">N(C542)+B543</f>
        <v>11</v>
      </c>
      <c r="G543" s="0" t="n">
        <f aca="false">IF(OR($G$1="",资金日记账!$E536="",资金日记账!$E536&lt;&gt;$G$1),0,IF(NOT(OR(N(资金日记账!$H536)&lt;&gt;0,N(资金日记账!$I536)&lt;&gt;0)),0,IF(资金日记账!$B536="",1,IF(OR(N(资金日记账!$B536)&lt;$H$1,N(资金日记账!$B536)&gt;$I$1),0,1))))</f>
        <v>0</v>
      </c>
      <c r="H543" s="0" t="n">
        <f aca="false">N(H542)+$G543</f>
        <v>3</v>
      </c>
      <c r="I543" s="0" t="str">
        <f aca="false">IF($G543=0,"",IF(资金日记账!$B536=0,"",资金日记账!$B536))</f>
        <v/>
      </c>
      <c r="J543" s="0" t="str">
        <f aca="false">IF($G543=0,"",IF(资金日记账!$D536=0,"",资金日记账!$D536))</f>
        <v/>
      </c>
      <c r="K543" s="0" t="str">
        <f aca="false">IF($G543=0,"",IF(""=0,"",""))</f>
        <v/>
      </c>
      <c r="L543" s="0" t="str">
        <f aca="false">IF($G543=0,"",IF(""=0,"",""))</f>
        <v/>
      </c>
      <c r="M543" s="0" t="str">
        <f aca="false">IF($G543=0,"",IF(""=0,"",""))</f>
        <v/>
      </c>
      <c r="N543" s="0" t="str">
        <f aca="false">IF($G543=0,"",IF(IF(N(资金日记账!$I536)=0,"",-ROUND(N(资金日记账!$I536),2))=0,"",IF(N(资金日记账!$I536)=0,"",-ROUND(N(资金日记账!$I536),2))))</f>
        <v/>
      </c>
      <c r="O543" s="0" t="str">
        <f aca="false">IF($G543=0,"",IF(IF(N(资金日记账!$H536)=0,"",ROUND(N(资金日记账!$H536),2))=0,"",IF(N(资金日记账!$H536)=0,"",ROUND(N(资金日记账!$H536),2))))</f>
        <v/>
      </c>
      <c r="P543" s="0" t="str">
        <f aca="false">IF($G543=0,"",IF(资金日记账!$L536=0,"",资金日记账!$L536))</f>
        <v/>
      </c>
      <c r="T543" s="0" t="str">
        <f aca="false">IF(资金日记账!$G543="","",资金日记账!$G543)</f>
        <v/>
      </c>
      <c r="U543" s="0" t="n">
        <f aca="false">IF(T543="",0,IF(MATCH(T543,$T$4:$T$903,0)=ROW()-3,1,0))</f>
        <v>0</v>
      </c>
      <c r="V543" s="0" t="n">
        <f aca="false">N(V542)+U543</f>
        <v>30</v>
      </c>
      <c r="AF543" s="0" t="str">
        <f aca="false">IF(OR(资金日记账!$E543="",N(资金日记账!$H543)=0),"",资金日记账!$E543)</f>
        <v/>
      </c>
      <c r="AG543" s="0" t="n">
        <f aca="false">IF(AF543="",0,IF(MATCH(AF543,$AF$4:$AF$603,0)=ROW()-3,1,0))</f>
        <v>0</v>
      </c>
      <c r="AH543" s="0" t="n">
        <f aca="false">N(AH542)+AG543</f>
        <v>5</v>
      </c>
    </row>
    <row r="544" customFormat="false" ht="13.5" hidden="false" customHeight="false" outlineLevel="0" collapsed="false">
      <c r="A544" s="0" t="str">
        <f aca="false">IF(资金日记账!$E242="","",资金日记账!$E242)</f>
        <v/>
      </c>
      <c r="B544" s="0" t="n">
        <f aca="false">IF(A544="",0,IF(MATCH(A544,$A$4:$A$1925,0)=ROW()-3,1,0))</f>
        <v>0</v>
      </c>
      <c r="C544" s="0" t="n">
        <f aca="false">N(C543)+B544</f>
        <v>11</v>
      </c>
      <c r="G544" s="0" t="n">
        <f aca="false">IF(OR($G$1="",资金日记账!$E537="",资金日记账!$E537&lt;&gt;$G$1),0,IF(NOT(OR(N(资金日记账!$H537)&lt;&gt;0,N(资金日记账!$I537)&lt;&gt;0)),0,IF(资金日记账!$B537="",1,IF(OR(N(资金日记账!$B537)&lt;$H$1,N(资金日记账!$B537)&gt;$I$1),0,1))))</f>
        <v>0</v>
      </c>
      <c r="H544" s="0" t="n">
        <f aca="false">N(H543)+$G544</f>
        <v>3</v>
      </c>
      <c r="I544" s="0" t="str">
        <f aca="false">IF($G544=0,"",IF(资金日记账!$B537=0,"",资金日记账!$B537))</f>
        <v/>
      </c>
      <c r="J544" s="0" t="str">
        <f aca="false">IF($G544=0,"",IF(资金日记账!$D537=0,"",资金日记账!$D537))</f>
        <v/>
      </c>
      <c r="K544" s="0" t="str">
        <f aca="false">IF($G544=0,"",IF(""=0,"",""))</f>
        <v/>
      </c>
      <c r="L544" s="0" t="str">
        <f aca="false">IF($G544=0,"",IF(""=0,"",""))</f>
        <v/>
      </c>
      <c r="M544" s="0" t="str">
        <f aca="false">IF($G544=0,"",IF(""=0,"",""))</f>
        <v/>
      </c>
      <c r="N544" s="0" t="str">
        <f aca="false">IF($G544=0,"",IF(IF(N(资金日记账!$I537)=0,"",-ROUND(N(资金日记账!$I537),2))=0,"",IF(N(资金日记账!$I537)=0,"",-ROUND(N(资金日记账!$I537),2))))</f>
        <v/>
      </c>
      <c r="O544" s="0" t="str">
        <f aca="false">IF($G544=0,"",IF(IF(N(资金日记账!$H537)=0,"",ROUND(N(资金日记账!$H537),2))=0,"",IF(N(资金日记账!$H537)=0,"",ROUND(N(资金日记账!$H537),2))))</f>
        <v/>
      </c>
      <c r="P544" s="0" t="str">
        <f aca="false">IF($G544=0,"",IF(资金日记账!$L537=0,"",资金日记账!$L537))</f>
        <v/>
      </c>
      <c r="T544" s="0" t="str">
        <f aca="false">IF(资金日记账!$G544="","",资金日记账!$G544)</f>
        <v/>
      </c>
      <c r="U544" s="0" t="n">
        <f aca="false">IF(T544="",0,IF(MATCH(T544,$T$4:$T$903,0)=ROW()-3,1,0))</f>
        <v>0</v>
      </c>
      <c r="V544" s="0" t="n">
        <f aca="false">N(V543)+U544</f>
        <v>30</v>
      </c>
      <c r="AF544" s="0" t="str">
        <f aca="false">IF(OR(资金日记账!$E544="",N(资金日记账!$H544)=0),"",资金日记账!$E544)</f>
        <v/>
      </c>
      <c r="AG544" s="0" t="n">
        <f aca="false">IF(AF544="",0,IF(MATCH(AF544,$AF$4:$AF$603,0)=ROW()-3,1,0))</f>
        <v>0</v>
      </c>
      <c r="AH544" s="0" t="n">
        <f aca="false">N(AH543)+AG544</f>
        <v>5</v>
      </c>
    </row>
    <row r="545" customFormat="false" ht="13.5" hidden="false" customHeight="false" outlineLevel="0" collapsed="false">
      <c r="A545" s="0" t="str">
        <f aca="false">IF(资金日记账!$E243="","",资金日记账!$E243)</f>
        <v/>
      </c>
      <c r="B545" s="0" t="n">
        <f aca="false">IF(A545="",0,IF(MATCH(A545,$A$4:$A$1925,0)=ROW()-3,1,0))</f>
        <v>0</v>
      </c>
      <c r="C545" s="0" t="n">
        <f aca="false">N(C544)+B545</f>
        <v>11</v>
      </c>
      <c r="G545" s="0" t="n">
        <f aca="false">IF(OR($G$1="",资金日记账!$E538="",资金日记账!$E538&lt;&gt;$G$1),0,IF(NOT(OR(N(资金日记账!$H538)&lt;&gt;0,N(资金日记账!$I538)&lt;&gt;0)),0,IF(资金日记账!$B538="",1,IF(OR(N(资金日记账!$B538)&lt;$H$1,N(资金日记账!$B538)&gt;$I$1),0,1))))</f>
        <v>0</v>
      </c>
      <c r="H545" s="0" t="n">
        <f aca="false">N(H544)+$G545</f>
        <v>3</v>
      </c>
      <c r="I545" s="0" t="str">
        <f aca="false">IF($G545=0,"",IF(资金日记账!$B538=0,"",资金日记账!$B538))</f>
        <v/>
      </c>
      <c r="J545" s="0" t="str">
        <f aca="false">IF($G545=0,"",IF(资金日记账!$D538=0,"",资金日记账!$D538))</f>
        <v/>
      </c>
      <c r="K545" s="0" t="str">
        <f aca="false">IF($G545=0,"",IF(""=0,"",""))</f>
        <v/>
      </c>
      <c r="L545" s="0" t="str">
        <f aca="false">IF($G545=0,"",IF(""=0,"",""))</f>
        <v/>
      </c>
      <c r="M545" s="0" t="str">
        <f aca="false">IF($G545=0,"",IF(""=0,"",""))</f>
        <v/>
      </c>
      <c r="N545" s="0" t="str">
        <f aca="false">IF($G545=0,"",IF(IF(N(资金日记账!$I538)=0,"",-ROUND(N(资金日记账!$I538),2))=0,"",IF(N(资金日记账!$I538)=0,"",-ROUND(N(资金日记账!$I538),2))))</f>
        <v/>
      </c>
      <c r="O545" s="0" t="str">
        <f aca="false">IF($G545=0,"",IF(IF(N(资金日记账!$H538)=0,"",ROUND(N(资金日记账!$H538),2))=0,"",IF(N(资金日记账!$H538)=0,"",ROUND(N(资金日记账!$H538),2))))</f>
        <v/>
      </c>
      <c r="P545" s="0" t="str">
        <f aca="false">IF($G545=0,"",IF(资金日记账!$L538=0,"",资金日记账!$L538))</f>
        <v/>
      </c>
      <c r="T545" s="0" t="str">
        <f aca="false">IF(资金日记账!$G545="","",资金日记账!$G545)</f>
        <v/>
      </c>
      <c r="U545" s="0" t="n">
        <f aca="false">IF(T545="",0,IF(MATCH(T545,$T$4:$T$903,0)=ROW()-3,1,0))</f>
        <v>0</v>
      </c>
      <c r="V545" s="0" t="n">
        <f aca="false">N(V544)+U545</f>
        <v>30</v>
      </c>
      <c r="AF545" s="0" t="str">
        <f aca="false">IF(OR(资金日记账!$E545="",N(资金日记账!$H545)=0),"",资金日记账!$E545)</f>
        <v/>
      </c>
      <c r="AG545" s="0" t="n">
        <f aca="false">IF(AF545="",0,IF(MATCH(AF545,$AF$4:$AF$603,0)=ROW()-3,1,0))</f>
        <v>0</v>
      </c>
      <c r="AH545" s="0" t="n">
        <f aca="false">N(AH544)+AG545</f>
        <v>5</v>
      </c>
    </row>
    <row r="546" customFormat="false" ht="13.5" hidden="false" customHeight="false" outlineLevel="0" collapsed="false">
      <c r="A546" s="0" t="str">
        <f aca="false">IF(资金日记账!$E244="","",资金日记账!$E244)</f>
        <v/>
      </c>
      <c r="B546" s="0" t="n">
        <f aca="false">IF(A546="",0,IF(MATCH(A546,$A$4:$A$1925,0)=ROW()-3,1,0))</f>
        <v>0</v>
      </c>
      <c r="C546" s="0" t="n">
        <f aca="false">N(C545)+B546</f>
        <v>11</v>
      </c>
      <c r="G546" s="0" t="n">
        <f aca="false">IF(OR($G$1="",资金日记账!$E539="",资金日记账!$E539&lt;&gt;$G$1),0,IF(NOT(OR(N(资金日记账!$H539)&lt;&gt;0,N(资金日记账!$I539)&lt;&gt;0)),0,IF(资金日记账!$B539="",1,IF(OR(N(资金日记账!$B539)&lt;$H$1,N(资金日记账!$B539)&gt;$I$1),0,1))))</f>
        <v>0</v>
      </c>
      <c r="H546" s="0" t="n">
        <f aca="false">N(H545)+$G546</f>
        <v>3</v>
      </c>
      <c r="I546" s="0" t="str">
        <f aca="false">IF($G546=0,"",IF(资金日记账!$B539=0,"",资金日记账!$B539))</f>
        <v/>
      </c>
      <c r="J546" s="0" t="str">
        <f aca="false">IF($G546=0,"",IF(资金日记账!$D539=0,"",资金日记账!$D539))</f>
        <v/>
      </c>
      <c r="K546" s="0" t="str">
        <f aca="false">IF($G546=0,"",IF(""=0,"",""))</f>
        <v/>
      </c>
      <c r="L546" s="0" t="str">
        <f aca="false">IF($G546=0,"",IF(""=0,"",""))</f>
        <v/>
      </c>
      <c r="M546" s="0" t="str">
        <f aca="false">IF($G546=0,"",IF(""=0,"",""))</f>
        <v/>
      </c>
      <c r="N546" s="0" t="str">
        <f aca="false">IF($G546=0,"",IF(IF(N(资金日记账!$I539)=0,"",-ROUND(N(资金日记账!$I539),2))=0,"",IF(N(资金日记账!$I539)=0,"",-ROUND(N(资金日记账!$I539),2))))</f>
        <v/>
      </c>
      <c r="O546" s="0" t="str">
        <f aca="false">IF($G546=0,"",IF(IF(N(资金日记账!$H539)=0,"",ROUND(N(资金日记账!$H539),2))=0,"",IF(N(资金日记账!$H539)=0,"",ROUND(N(资金日记账!$H539),2))))</f>
        <v/>
      </c>
      <c r="P546" s="0" t="str">
        <f aca="false">IF($G546=0,"",IF(资金日记账!$L539=0,"",资金日记账!$L539))</f>
        <v/>
      </c>
      <c r="T546" s="0" t="str">
        <f aca="false">IF(资金日记账!$G546="","",资金日记账!$G546)</f>
        <v/>
      </c>
      <c r="U546" s="0" t="n">
        <f aca="false">IF(T546="",0,IF(MATCH(T546,$T$4:$T$903,0)=ROW()-3,1,0))</f>
        <v>0</v>
      </c>
      <c r="V546" s="0" t="n">
        <f aca="false">N(V545)+U546</f>
        <v>30</v>
      </c>
      <c r="AF546" s="0" t="str">
        <f aca="false">IF(OR(资金日记账!$E546="",N(资金日记账!$H546)=0),"",资金日记账!$E546)</f>
        <v/>
      </c>
      <c r="AG546" s="0" t="n">
        <f aca="false">IF(AF546="",0,IF(MATCH(AF546,$AF$4:$AF$603,0)=ROW()-3,1,0))</f>
        <v>0</v>
      </c>
      <c r="AH546" s="0" t="n">
        <f aca="false">N(AH545)+AG546</f>
        <v>5</v>
      </c>
    </row>
    <row r="547" customFormat="false" ht="13.5" hidden="false" customHeight="false" outlineLevel="0" collapsed="false">
      <c r="A547" s="0" t="str">
        <f aca="false">IF(资金日记账!$E245="","",资金日记账!$E245)</f>
        <v/>
      </c>
      <c r="B547" s="0" t="n">
        <f aca="false">IF(A547="",0,IF(MATCH(A547,$A$4:$A$1925,0)=ROW()-3,1,0))</f>
        <v>0</v>
      </c>
      <c r="C547" s="0" t="n">
        <f aca="false">N(C546)+B547</f>
        <v>11</v>
      </c>
      <c r="G547" s="0" t="n">
        <f aca="false">IF(OR($G$1="",资金日记账!$E540="",资金日记账!$E540&lt;&gt;$G$1),0,IF(NOT(OR(N(资金日记账!$H540)&lt;&gt;0,N(资金日记账!$I540)&lt;&gt;0)),0,IF(资金日记账!$B540="",1,IF(OR(N(资金日记账!$B540)&lt;$H$1,N(资金日记账!$B540)&gt;$I$1),0,1))))</f>
        <v>0</v>
      </c>
      <c r="H547" s="0" t="n">
        <f aca="false">N(H546)+$G547</f>
        <v>3</v>
      </c>
      <c r="I547" s="0" t="str">
        <f aca="false">IF($G547=0,"",IF(资金日记账!$B540=0,"",资金日记账!$B540))</f>
        <v/>
      </c>
      <c r="J547" s="0" t="str">
        <f aca="false">IF($G547=0,"",IF(资金日记账!$D540=0,"",资金日记账!$D540))</f>
        <v/>
      </c>
      <c r="K547" s="0" t="str">
        <f aca="false">IF($G547=0,"",IF(""=0,"",""))</f>
        <v/>
      </c>
      <c r="L547" s="0" t="str">
        <f aca="false">IF($G547=0,"",IF(""=0,"",""))</f>
        <v/>
      </c>
      <c r="M547" s="0" t="str">
        <f aca="false">IF($G547=0,"",IF(""=0,"",""))</f>
        <v/>
      </c>
      <c r="N547" s="0" t="str">
        <f aca="false">IF($G547=0,"",IF(IF(N(资金日记账!$I540)=0,"",-ROUND(N(资金日记账!$I540),2))=0,"",IF(N(资金日记账!$I540)=0,"",-ROUND(N(资金日记账!$I540),2))))</f>
        <v/>
      </c>
      <c r="O547" s="0" t="str">
        <f aca="false">IF($G547=0,"",IF(IF(N(资金日记账!$H540)=0,"",ROUND(N(资金日记账!$H540),2))=0,"",IF(N(资金日记账!$H540)=0,"",ROUND(N(资金日记账!$H540),2))))</f>
        <v/>
      </c>
      <c r="P547" s="0" t="str">
        <f aca="false">IF($G547=0,"",IF(资金日记账!$L540=0,"",资金日记账!$L540))</f>
        <v/>
      </c>
      <c r="T547" s="0" t="str">
        <f aca="false">IF(资金日记账!$G547="","",资金日记账!$G547)</f>
        <v/>
      </c>
      <c r="U547" s="0" t="n">
        <f aca="false">IF(T547="",0,IF(MATCH(T547,$T$4:$T$903,0)=ROW()-3,1,0))</f>
        <v>0</v>
      </c>
      <c r="V547" s="0" t="n">
        <f aca="false">N(V546)+U547</f>
        <v>30</v>
      </c>
      <c r="AF547" s="0" t="str">
        <f aca="false">IF(OR(资金日记账!$E547="",N(资金日记账!$H547)=0),"",资金日记账!$E547)</f>
        <v/>
      </c>
      <c r="AG547" s="0" t="n">
        <f aca="false">IF(AF547="",0,IF(MATCH(AF547,$AF$4:$AF$603,0)=ROW()-3,1,0))</f>
        <v>0</v>
      </c>
      <c r="AH547" s="0" t="n">
        <f aca="false">N(AH546)+AG547</f>
        <v>5</v>
      </c>
    </row>
    <row r="548" customFormat="false" ht="13.5" hidden="false" customHeight="false" outlineLevel="0" collapsed="false">
      <c r="A548" s="0" t="str">
        <f aca="false">IF(资金日记账!$E246="","",资金日记账!$E246)</f>
        <v/>
      </c>
      <c r="B548" s="0" t="n">
        <f aca="false">IF(A548="",0,IF(MATCH(A548,$A$4:$A$1925,0)=ROW()-3,1,0))</f>
        <v>0</v>
      </c>
      <c r="C548" s="0" t="n">
        <f aca="false">N(C547)+B548</f>
        <v>11</v>
      </c>
      <c r="G548" s="0" t="n">
        <f aca="false">IF(OR($G$1="",资金日记账!$E541="",资金日记账!$E541&lt;&gt;$G$1),0,IF(NOT(OR(N(资金日记账!$H541)&lt;&gt;0,N(资金日记账!$I541)&lt;&gt;0)),0,IF(资金日记账!$B541="",1,IF(OR(N(资金日记账!$B541)&lt;$H$1,N(资金日记账!$B541)&gt;$I$1),0,1))))</f>
        <v>0</v>
      </c>
      <c r="H548" s="0" t="n">
        <f aca="false">N(H547)+$G548</f>
        <v>3</v>
      </c>
      <c r="I548" s="0" t="str">
        <f aca="false">IF($G548=0,"",IF(资金日记账!$B541=0,"",资金日记账!$B541))</f>
        <v/>
      </c>
      <c r="J548" s="0" t="str">
        <f aca="false">IF($G548=0,"",IF(资金日记账!$D541=0,"",资金日记账!$D541))</f>
        <v/>
      </c>
      <c r="K548" s="0" t="str">
        <f aca="false">IF($G548=0,"",IF(""=0,"",""))</f>
        <v/>
      </c>
      <c r="L548" s="0" t="str">
        <f aca="false">IF($G548=0,"",IF(""=0,"",""))</f>
        <v/>
      </c>
      <c r="M548" s="0" t="str">
        <f aca="false">IF($G548=0,"",IF(""=0,"",""))</f>
        <v/>
      </c>
      <c r="N548" s="0" t="str">
        <f aca="false">IF($G548=0,"",IF(IF(N(资金日记账!$I541)=0,"",-ROUND(N(资金日记账!$I541),2))=0,"",IF(N(资金日记账!$I541)=0,"",-ROUND(N(资金日记账!$I541),2))))</f>
        <v/>
      </c>
      <c r="O548" s="0" t="str">
        <f aca="false">IF($G548=0,"",IF(IF(N(资金日记账!$H541)=0,"",ROUND(N(资金日记账!$H541),2))=0,"",IF(N(资金日记账!$H541)=0,"",ROUND(N(资金日记账!$H541),2))))</f>
        <v/>
      </c>
      <c r="P548" s="0" t="str">
        <f aca="false">IF($G548=0,"",IF(资金日记账!$L541=0,"",资金日记账!$L541))</f>
        <v/>
      </c>
      <c r="T548" s="0" t="str">
        <f aca="false">IF(资金日记账!$G548="","",资金日记账!$G548)</f>
        <v/>
      </c>
      <c r="U548" s="0" t="n">
        <f aca="false">IF(T548="",0,IF(MATCH(T548,$T$4:$T$903,0)=ROW()-3,1,0))</f>
        <v>0</v>
      </c>
      <c r="V548" s="0" t="n">
        <f aca="false">N(V547)+U548</f>
        <v>30</v>
      </c>
      <c r="AF548" s="0" t="str">
        <f aca="false">IF(OR(资金日记账!$E548="",N(资金日记账!$H548)=0),"",资金日记账!$E548)</f>
        <v/>
      </c>
      <c r="AG548" s="0" t="n">
        <f aca="false">IF(AF548="",0,IF(MATCH(AF548,$AF$4:$AF$603,0)=ROW()-3,1,0))</f>
        <v>0</v>
      </c>
      <c r="AH548" s="0" t="n">
        <f aca="false">N(AH547)+AG548</f>
        <v>5</v>
      </c>
    </row>
    <row r="549" customFormat="false" ht="13.5" hidden="false" customHeight="false" outlineLevel="0" collapsed="false">
      <c r="A549" s="0" t="str">
        <f aca="false">IF(资金日记账!$E247="","",资金日记账!$E247)</f>
        <v/>
      </c>
      <c r="B549" s="0" t="n">
        <f aca="false">IF(A549="",0,IF(MATCH(A549,$A$4:$A$1925,0)=ROW()-3,1,0))</f>
        <v>0</v>
      </c>
      <c r="C549" s="0" t="n">
        <f aca="false">N(C548)+B549</f>
        <v>11</v>
      </c>
      <c r="G549" s="0" t="n">
        <f aca="false">IF(OR($G$1="",资金日记账!$E542="",资金日记账!$E542&lt;&gt;$G$1),0,IF(NOT(OR(N(资金日记账!$H542)&lt;&gt;0,N(资金日记账!$I542)&lt;&gt;0)),0,IF(资金日记账!$B542="",1,IF(OR(N(资金日记账!$B542)&lt;$H$1,N(资金日记账!$B542)&gt;$I$1),0,1))))</f>
        <v>0</v>
      </c>
      <c r="H549" s="0" t="n">
        <f aca="false">N(H548)+$G549</f>
        <v>3</v>
      </c>
      <c r="I549" s="0" t="str">
        <f aca="false">IF($G549=0,"",IF(资金日记账!$B542=0,"",资金日记账!$B542))</f>
        <v/>
      </c>
      <c r="J549" s="0" t="str">
        <f aca="false">IF($G549=0,"",IF(资金日记账!$D542=0,"",资金日记账!$D542))</f>
        <v/>
      </c>
      <c r="K549" s="0" t="str">
        <f aca="false">IF($G549=0,"",IF(""=0,"",""))</f>
        <v/>
      </c>
      <c r="L549" s="0" t="str">
        <f aca="false">IF($G549=0,"",IF(""=0,"",""))</f>
        <v/>
      </c>
      <c r="M549" s="0" t="str">
        <f aca="false">IF($G549=0,"",IF(""=0,"",""))</f>
        <v/>
      </c>
      <c r="N549" s="0" t="str">
        <f aca="false">IF($G549=0,"",IF(IF(N(资金日记账!$I542)=0,"",-ROUND(N(资金日记账!$I542),2))=0,"",IF(N(资金日记账!$I542)=0,"",-ROUND(N(资金日记账!$I542),2))))</f>
        <v/>
      </c>
      <c r="O549" s="0" t="str">
        <f aca="false">IF($G549=0,"",IF(IF(N(资金日记账!$H542)=0,"",ROUND(N(资金日记账!$H542),2))=0,"",IF(N(资金日记账!$H542)=0,"",ROUND(N(资金日记账!$H542),2))))</f>
        <v/>
      </c>
      <c r="P549" s="0" t="str">
        <f aca="false">IF($G549=0,"",IF(资金日记账!$L542=0,"",资金日记账!$L542))</f>
        <v/>
      </c>
      <c r="T549" s="0" t="str">
        <f aca="false">IF(资金日记账!$G549="","",资金日记账!$G549)</f>
        <v/>
      </c>
      <c r="U549" s="0" t="n">
        <f aca="false">IF(T549="",0,IF(MATCH(T549,$T$4:$T$903,0)=ROW()-3,1,0))</f>
        <v>0</v>
      </c>
      <c r="V549" s="0" t="n">
        <f aca="false">N(V548)+U549</f>
        <v>30</v>
      </c>
      <c r="AF549" s="0" t="str">
        <f aca="false">IF(OR(资金日记账!$E549="",N(资金日记账!$H549)=0),"",资金日记账!$E549)</f>
        <v/>
      </c>
      <c r="AG549" s="0" t="n">
        <f aca="false">IF(AF549="",0,IF(MATCH(AF549,$AF$4:$AF$603,0)=ROW()-3,1,0))</f>
        <v>0</v>
      </c>
      <c r="AH549" s="0" t="n">
        <f aca="false">N(AH548)+AG549</f>
        <v>5</v>
      </c>
    </row>
    <row r="550" customFormat="false" ht="13.5" hidden="false" customHeight="false" outlineLevel="0" collapsed="false">
      <c r="A550" s="0" t="str">
        <f aca="false">IF(资金日记账!$E248="","",资金日记账!$E248)</f>
        <v/>
      </c>
      <c r="B550" s="0" t="n">
        <f aca="false">IF(A550="",0,IF(MATCH(A550,$A$4:$A$1925,0)=ROW()-3,1,0))</f>
        <v>0</v>
      </c>
      <c r="C550" s="0" t="n">
        <f aca="false">N(C549)+B550</f>
        <v>11</v>
      </c>
      <c r="G550" s="0" t="n">
        <f aca="false">IF(OR($G$1="",资金日记账!$E543="",资金日记账!$E543&lt;&gt;$G$1),0,IF(NOT(OR(N(资金日记账!$H543)&lt;&gt;0,N(资金日记账!$I543)&lt;&gt;0)),0,IF(资金日记账!$B543="",1,IF(OR(N(资金日记账!$B543)&lt;$H$1,N(资金日记账!$B543)&gt;$I$1),0,1))))</f>
        <v>0</v>
      </c>
      <c r="H550" s="0" t="n">
        <f aca="false">N(H549)+$G550</f>
        <v>3</v>
      </c>
      <c r="I550" s="0" t="str">
        <f aca="false">IF($G550=0,"",IF(资金日记账!$B543=0,"",资金日记账!$B543))</f>
        <v/>
      </c>
      <c r="J550" s="0" t="str">
        <f aca="false">IF($G550=0,"",IF(资金日记账!$D543=0,"",资金日记账!$D543))</f>
        <v/>
      </c>
      <c r="K550" s="0" t="str">
        <f aca="false">IF($G550=0,"",IF(""=0,"",""))</f>
        <v/>
      </c>
      <c r="L550" s="0" t="str">
        <f aca="false">IF($G550=0,"",IF(""=0,"",""))</f>
        <v/>
      </c>
      <c r="M550" s="0" t="str">
        <f aca="false">IF($G550=0,"",IF(""=0,"",""))</f>
        <v/>
      </c>
      <c r="N550" s="0" t="str">
        <f aca="false">IF($G550=0,"",IF(IF(N(资金日记账!$I543)=0,"",-ROUND(N(资金日记账!$I543),2))=0,"",IF(N(资金日记账!$I543)=0,"",-ROUND(N(资金日记账!$I543),2))))</f>
        <v/>
      </c>
      <c r="O550" s="0" t="str">
        <f aca="false">IF($G550=0,"",IF(IF(N(资金日记账!$H543)=0,"",ROUND(N(资金日记账!$H543),2))=0,"",IF(N(资金日记账!$H543)=0,"",ROUND(N(资金日记账!$H543),2))))</f>
        <v/>
      </c>
      <c r="P550" s="0" t="str">
        <f aca="false">IF($G550=0,"",IF(资金日记账!$L543=0,"",资金日记账!$L543))</f>
        <v/>
      </c>
      <c r="T550" s="0" t="str">
        <f aca="false">IF(资金日记账!$G550="","",资金日记账!$G550)</f>
        <v/>
      </c>
      <c r="U550" s="0" t="n">
        <f aca="false">IF(T550="",0,IF(MATCH(T550,$T$4:$T$903,0)=ROW()-3,1,0))</f>
        <v>0</v>
      </c>
      <c r="V550" s="0" t="n">
        <f aca="false">N(V549)+U550</f>
        <v>30</v>
      </c>
      <c r="AF550" s="0" t="str">
        <f aca="false">IF(OR(资金日记账!$E550="",N(资金日记账!$H550)=0),"",资金日记账!$E550)</f>
        <v/>
      </c>
      <c r="AG550" s="0" t="n">
        <f aca="false">IF(AF550="",0,IF(MATCH(AF550,$AF$4:$AF$603,0)=ROW()-3,1,0))</f>
        <v>0</v>
      </c>
      <c r="AH550" s="0" t="n">
        <f aca="false">N(AH549)+AG550</f>
        <v>5</v>
      </c>
    </row>
    <row r="551" customFormat="false" ht="13.5" hidden="false" customHeight="false" outlineLevel="0" collapsed="false">
      <c r="A551" s="0" t="str">
        <f aca="false">IF(资金日记账!$E249="","",资金日记账!$E249)</f>
        <v/>
      </c>
      <c r="B551" s="0" t="n">
        <f aca="false">IF(A551="",0,IF(MATCH(A551,$A$4:$A$1925,0)=ROW()-3,1,0))</f>
        <v>0</v>
      </c>
      <c r="C551" s="0" t="n">
        <f aca="false">N(C550)+B551</f>
        <v>11</v>
      </c>
      <c r="G551" s="0" t="n">
        <f aca="false">IF(OR($G$1="",资金日记账!$E544="",资金日记账!$E544&lt;&gt;$G$1),0,IF(NOT(OR(N(资金日记账!$H544)&lt;&gt;0,N(资金日记账!$I544)&lt;&gt;0)),0,IF(资金日记账!$B544="",1,IF(OR(N(资金日记账!$B544)&lt;$H$1,N(资金日记账!$B544)&gt;$I$1),0,1))))</f>
        <v>0</v>
      </c>
      <c r="H551" s="0" t="n">
        <f aca="false">N(H550)+$G551</f>
        <v>3</v>
      </c>
      <c r="I551" s="0" t="str">
        <f aca="false">IF($G551=0,"",IF(资金日记账!$B544=0,"",资金日记账!$B544))</f>
        <v/>
      </c>
      <c r="J551" s="0" t="str">
        <f aca="false">IF($G551=0,"",IF(资金日记账!$D544=0,"",资金日记账!$D544))</f>
        <v/>
      </c>
      <c r="K551" s="0" t="str">
        <f aca="false">IF($G551=0,"",IF(""=0,"",""))</f>
        <v/>
      </c>
      <c r="L551" s="0" t="str">
        <f aca="false">IF($G551=0,"",IF(""=0,"",""))</f>
        <v/>
      </c>
      <c r="M551" s="0" t="str">
        <f aca="false">IF($G551=0,"",IF(""=0,"",""))</f>
        <v/>
      </c>
      <c r="N551" s="0" t="str">
        <f aca="false">IF($G551=0,"",IF(IF(N(资金日记账!$I544)=0,"",-ROUND(N(资金日记账!$I544),2))=0,"",IF(N(资金日记账!$I544)=0,"",-ROUND(N(资金日记账!$I544),2))))</f>
        <v/>
      </c>
      <c r="O551" s="0" t="str">
        <f aca="false">IF($G551=0,"",IF(IF(N(资金日记账!$H544)=0,"",ROUND(N(资金日记账!$H544),2))=0,"",IF(N(资金日记账!$H544)=0,"",ROUND(N(资金日记账!$H544),2))))</f>
        <v/>
      </c>
      <c r="P551" s="0" t="str">
        <f aca="false">IF($G551=0,"",IF(资金日记账!$L544=0,"",资金日记账!$L544))</f>
        <v/>
      </c>
      <c r="T551" s="0" t="str">
        <f aca="false">IF(资金日记账!$G551="","",资金日记账!$G551)</f>
        <v/>
      </c>
      <c r="U551" s="0" t="n">
        <f aca="false">IF(T551="",0,IF(MATCH(T551,$T$4:$T$903,0)=ROW()-3,1,0))</f>
        <v>0</v>
      </c>
      <c r="V551" s="0" t="n">
        <f aca="false">N(V550)+U551</f>
        <v>30</v>
      </c>
      <c r="AF551" s="0" t="str">
        <f aca="false">IF(OR(资金日记账!$E551="",N(资金日记账!$H551)=0),"",资金日记账!$E551)</f>
        <v/>
      </c>
      <c r="AG551" s="0" t="n">
        <f aca="false">IF(AF551="",0,IF(MATCH(AF551,$AF$4:$AF$603,0)=ROW()-3,1,0))</f>
        <v>0</v>
      </c>
      <c r="AH551" s="0" t="n">
        <f aca="false">N(AH550)+AG551</f>
        <v>5</v>
      </c>
    </row>
    <row r="552" customFormat="false" ht="13.5" hidden="false" customHeight="false" outlineLevel="0" collapsed="false">
      <c r="A552" s="0" t="str">
        <f aca="false">IF(资金日记账!$E250="","",资金日记账!$E250)</f>
        <v/>
      </c>
      <c r="B552" s="0" t="n">
        <f aca="false">IF(A552="",0,IF(MATCH(A552,$A$4:$A$1925,0)=ROW()-3,1,0))</f>
        <v>0</v>
      </c>
      <c r="C552" s="0" t="n">
        <f aca="false">N(C551)+B552</f>
        <v>11</v>
      </c>
      <c r="G552" s="0" t="n">
        <f aca="false">IF(OR($G$1="",资金日记账!$E545="",资金日记账!$E545&lt;&gt;$G$1),0,IF(NOT(OR(N(资金日记账!$H545)&lt;&gt;0,N(资金日记账!$I545)&lt;&gt;0)),0,IF(资金日记账!$B545="",1,IF(OR(N(资金日记账!$B545)&lt;$H$1,N(资金日记账!$B545)&gt;$I$1),0,1))))</f>
        <v>0</v>
      </c>
      <c r="H552" s="0" t="n">
        <f aca="false">N(H551)+$G552</f>
        <v>3</v>
      </c>
      <c r="I552" s="0" t="str">
        <f aca="false">IF($G552=0,"",IF(资金日记账!$B545=0,"",资金日记账!$B545))</f>
        <v/>
      </c>
      <c r="J552" s="0" t="str">
        <f aca="false">IF($G552=0,"",IF(资金日记账!$D545=0,"",资金日记账!$D545))</f>
        <v/>
      </c>
      <c r="K552" s="0" t="str">
        <f aca="false">IF($G552=0,"",IF(""=0,"",""))</f>
        <v/>
      </c>
      <c r="L552" s="0" t="str">
        <f aca="false">IF($G552=0,"",IF(""=0,"",""))</f>
        <v/>
      </c>
      <c r="M552" s="0" t="str">
        <f aca="false">IF($G552=0,"",IF(""=0,"",""))</f>
        <v/>
      </c>
      <c r="N552" s="0" t="str">
        <f aca="false">IF($G552=0,"",IF(IF(N(资金日记账!$I545)=0,"",-ROUND(N(资金日记账!$I545),2))=0,"",IF(N(资金日记账!$I545)=0,"",-ROUND(N(资金日记账!$I545),2))))</f>
        <v/>
      </c>
      <c r="O552" s="0" t="str">
        <f aca="false">IF($G552=0,"",IF(IF(N(资金日记账!$H545)=0,"",ROUND(N(资金日记账!$H545),2))=0,"",IF(N(资金日记账!$H545)=0,"",ROUND(N(资金日记账!$H545),2))))</f>
        <v/>
      </c>
      <c r="P552" s="0" t="str">
        <f aca="false">IF($G552=0,"",IF(资金日记账!$L545=0,"",资金日记账!$L545))</f>
        <v/>
      </c>
      <c r="T552" s="0" t="str">
        <f aca="false">IF(资金日记账!$G552="","",资金日记账!$G552)</f>
        <v/>
      </c>
      <c r="U552" s="0" t="n">
        <f aca="false">IF(T552="",0,IF(MATCH(T552,$T$4:$T$903,0)=ROW()-3,1,0))</f>
        <v>0</v>
      </c>
      <c r="V552" s="0" t="n">
        <f aca="false">N(V551)+U552</f>
        <v>30</v>
      </c>
      <c r="AF552" s="0" t="str">
        <f aca="false">IF(OR(资金日记账!$E552="",N(资金日记账!$H552)=0),"",资金日记账!$E552)</f>
        <v/>
      </c>
      <c r="AG552" s="0" t="n">
        <f aca="false">IF(AF552="",0,IF(MATCH(AF552,$AF$4:$AF$603,0)=ROW()-3,1,0))</f>
        <v>0</v>
      </c>
      <c r="AH552" s="0" t="n">
        <f aca="false">N(AH551)+AG552</f>
        <v>5</v>
      </c>
    </row>
    <row r="553" customFormat="false" ht="13.5" hidden="false" customHeight="false" outlineLevel="0" collapsed="false">
      <c r="A553" s="0" t="str">
        <f aca="false">IF(资金日记账!$E251="","",资金日记账!$E251)</f>
        <v/>
      </c>
      <c r="B553" s="0" t="n">
        <f aca="false">IF(A553="",0,IF(MATCH(A553,$A$4:$A$1925,0)=ROW()-3,1,0))</f>
        <v>0</v>
      </c>
      <c r="C553" s="0" t="n">
        <f aca="false">N(C552)+B553</f>
        <v>11</v>
      </c>
      <c r="G553" s="0" t="n">
        <f aca="false">IF(OR($G$1="",资金日记账!$E546="",资金日记账!$E546&lt;&gt;$G$1),0,IF(NOT(OR(N(资金日记账!$H546)&lt;&gt;0,N(资金日记账!$I546)&lt;&gt;0)),0,IF(资金日记账!$B546="",1,IF(OR(N(资金日记账!$B546)&lt;$H$1,N(资金日记账!$B546)&gt;$I$1),0,1))))</f>
        <v>0</v>
      </c>
      <c r="H553" s="0" t="n">
        <f aca="false">N(H552)+$G553</f>
        <v>3</v>
      </c>
      <c r="I553" s="0" t="str">
        <f aca="false">IF($G553=0,"",IF(资金日记账!$B546=0,"",资金日记账!$B546))</f>
        <v/>
      </c>
      <c r="J553" s="0" t="str">
        <f aca="false">IF($G553=0,"",IF(资金日记账!$D546=0,"",资金日记账!$D546))</f>
        <v/>
      </c>
      <c r="K553" s="0" t="str">
        <f aca="false">IF($G553=0,"",IF(""=0,"",""))</f>
        <v/>
      </c>
      <c r="L553" s="0" t="str">
        <f aca="false">IF($G553=0,"",IF(""=0,"",""))</f>
        <v/>
      </c>
      <c r="M553" s="0" t="str">
        <f aca="false">IF($G553=0,"",IF(""=0,"",""))</f>
        <v/>
      </c>
      <c r="N553" s="0" t="str">
        <f aca="false">IF($G553=0,"",IF(IF(N(资金日记账!$I546)=0,"",-ROUND(N(资金日记账!$I546),2))=0,"",IF(N(资金日记账!$I546)=0,"",-ROUND(N(资金日记账!$I546),2))))</f>
        <v/>
      </c>
      <c r="O553" s="0" t="str">
        <f aca="false">IF($G553=0,"",IF(IF(N(资金日记账!$H546)=0,"",ROUND(N(资金日记账!$H546),2))=0,"",IF(N(资金日记账!$H546)=0,"",ROUND(N(资金日记账!$H546),2))))</f>
        <v/>
      </c>
      <c r="P553" s="0" t="str">
        <f aca="false">IF($G553=0,"",IF(资金日记账!$L546=0,"",资金日记账!$L546))</f>
        <v/>
      </c>
      <c r="T553" s="0" t="str">
        <f aca="false">IF(资金日记账!$G553="","",资金日记账!$G553)</f>
        <v/>
      </c>
      <c r="U553" s="0" t="n">
        <f aca="false">IF(T553="",0,IF(MATCH(T553,$T$4:$T$903,0)=ROW()-3,1,0))</f>
        <v>0</v>
      </c>
      <c r="V553" s="0" t="n">
        <f aca="false">N(V552)+U553</f>
        <v>30</v>
      </c>
      <c r="AF553" s="0" t="str">
        <f aca="false">IF(OR(资金日记账!$E553="",N(资金日记账!$H553)=0),"",资金日记账!$E553)</f>
        <v/>
      </c>
      <c r="AG553" s="0" t="n">
        <f aca="false">IF(AF553="",0,IF(MATCH(AF553,$AF$4:$AF$603,0)=ROW()-3,1,0))</f>
        <v>0</v>
      </c>
      <c r="AH553" s="0" t="n">
        <f aca="false">N(AH552)+AG553</f>
        <v>5</v>
      </c>
    </row>
    <row r="554" customFormat="false" ht="13.5" hidden="false" customHeight="false" outlineLevel="0" collapsed="false">
      <c r="A554" s="0" t="str">
        <f aca="false">IF(资金日记账!$E252="","",资金日记账!$E252)</f>
        <v/>
      </c>
      <c r="B554" s="0" t="n">
        <f aca="false">IF(A554="",0,IF(MATCH(A554,$A$4:$A$1925,0)=ROW()-3,1,0))</f>
        <v>0</v>
      </c>
      <c r="C554" s="0" t="n">
        <f aca="false">N(C553)+B554</f>
        <v>11</v>
      </c>
      <c r="G554" s="0" t="n">
        <f aca="false">IF(OR($G$1="",资金日记账!$E547="",资金日记账!$E547&lt;&gt;$G$1),0,IF(NOT(OR(N(资金日记账!$H547)&lt;&gt;0,N(资金日记账!$I547)&lt;&gt;0)),0,IF(资金日记账!$B547="",1,IF(OR(N(资金日记账!$B547)&lt;$H$1,N(资金日记账!$B547)&gt;$I$1),0,1))))</f>
        <v>0</v>
      </c>
      <c r="H554" s="0" t="n">
        <f aca="false">N(H553)+$G554</f>
        <v>3</v>
      </c>
      <c r="I554" s="0" t="str">
        <f aca="false">IF($G554=0,"",IF(资金日记账!$B547=0,"",资金日记账!$B547))</f>
        <v/>
      </c>
      <c r="J554" s="0" t="str">
        <f aca="false">IF($G554=0,"",IF(资金日记账!$D547=0,"",资金日记账!$D547))</f>
        <v/>
      </c>
      <c r="K554" s="0" t="str">
        <f aca="false">IF($G554=0,"",IF(""=0,"",""))</f>
        <v/>
      </c>
      <c r="L554" s="0" t="str">
        <f aca="false">IF($G554=0,"",IF(""=0,"",""))</f>
        <v/>
      </c>
      <c r="M554" s="0" t="str">
        <f aca="false">IF($G554=0,"",IF(""=0,"",""))</f>
        <v/>
      </c>
      <c r="N554" s="0" t="str">
        <f aca="false">IF($G554=0,"",IF(IF(N(资金日记账!$I547)=0,"",-ROUND(N(资金日记账!$I547),2))=0,"",IF(N(资金日记账!$I547)=0,"",-ROUND(N(资金日记账!$I547),2))))</f>
        <v/>
      </c>
      <c r="O554" s="0" t="str">
        <f aca="false">IF($G554=0,"",IF(IF(N(资金日记账!$H547)=0,"",ROUND(N(资金日记账!$H547),2))=0,"",IF(N(资金日记账!$H547)=0,"",ROUND(N(资金日记账!$H547),2))))</f>
        <v/>
      </c>
      <c r="P554" s="0" t="str">
        <f aca="false">IF($G554=0,"",IF(资金日记账!$L547=0,"",资金日记账!$L547))</f>
        <v/>
      </c>
      <c r="T554" s="0" t="str">
        <f aca="false">IF(资金日记账!$G554="","",资金日记账!$G554)</f>
        <v/>
      </c>
      <c r="U554" s="0" t="n">
        <f aca="false">IF(T554="",0,IF(MATCH(T554,$T$4:$T$903,0)=ROW()-3,1,0))</f>
        <v>0</v>
      </c>
      <c r="V554" s="0" t="n">
        <f aca="false">N(V553)+U554</f>
        <v>30</v>
      </c>
      <c r="AF554" s="0" t="str">
        <f aca="false">IF(OR(资金日记账!$E554="",N(资金日记账!$H554)=0),"",资金日记账!$E554)</f>
        <v/>
      </c>
      <c r="AG554" s="0" t="n">
        <f aca="false">IF(AF554="",0,IF(MATCH(AF554,$AF$4:$AF$603,0)=ROW()-3,1,0))</f>
        <v>0</v>
      </c>
      <c r="AH554" s="0" t="n">
        <f aca="false">N(AH553)+AG554</f>
        <v>5</v>
      </c>
    </row>
    <row r="555" customFormat="false" ht="13.5" hidden="false" customHeight="false" outlineLevel="0" collapsed="false">
      <c r="A555" s="0" t="str">
        <f aca="false">IF(资金日记账!$E253="","",资金日记账!$E253)</f>
        <v/>
      </c>
      <c r="B555" s="0" t="n">
        <f aca="false">IF(A555="",0,IF(MATCH(A555,$A$4:$A$1925,0)=ROW()-3,1,0))</f>
        <v>0</v>
      </c>
      <c r="C555" s="0" t="n">
        <f aca="false">N(C554)+B555</f>
        <v>11</v>
      </c>
      <c r="G555" s="0" t="n">
        <f aca="false">IF(OR($G$1="",资金日记账!$E548="",资金日记账!$E548&lt;&gt;$G$1),0,IF(NOT(OR(N(资金日记账!$H548)&lt;&gt;0,N(资金日记账!$I548)&lt;&gt;0)),0,IF(资金日记账!$B548="",1,IF(OR(N(资金日记账!$B548)&lt;$H$1,N(资金日记账!$B548)&gt;$I$1),0,1))))</f>
        <v>0</v>
      </c>
      <c r="H555" s="0" t="n">
        <f aca="false">N(H554)+$G555</f>
        <v>3</v>
      </c>
      <c r="I555" s="0" t="str">
        <f aca="false">IF($G555=0,"",IF(资金日记账!$B548=0,"",资金日记账!$B548))</f>
        <v/>
      </c>
      <c r="J555" s="0" t="str">
        <f aca="false">IF($G555=0,"",IF(资金日记账!$D548=0,"",资金日记账!$D548))</f>
        <v/>
      </c>
      <c r="K555" s="0" t="str">
        <f aca="false">IF($G555=0,"",IF(""=0,"",""))</f>
        <v/>
      </c>
      <c r="L555" s="0" t="str">
        <f aca="false">IF($G555=0,"",IF(""=0,"",""))</f>
        <v/>
      </c>
      <c r="M555" s="0" t="str">
        <f aca="false">IF($G555=0,"",IF(""=0,"",""))</f>
        <v/>
      </c>
      <c r="N555" s="0" t="str">
        <f aca="false">IF($G555=0,"",IF(IF(N(资金日记账!$I548)=0,"",-ROUND(N(资金日记账!$I548),2))=0,"",IF(N(资金日记账!$I548)=0,"",-ROUND(N(资金日记账!$I548),2))))</f>
        <v/>
      </c>
      <c r="O555" s="0" t="str">
        <f aca="false">IF($G555=0,"",IF(IF(N(资金日记账!$H548)=0,"",ROUND(N(资金日记账!$H548),2))=0,"",IF(N(资金日记账!$H548)=0,"",ROUND(N(资金日记账!$H548),2))))</f>
        <v/>
      </c>
      <c r="P555" s="0" t="str">
        <f aca="false">IF($G555=0,"",IF(资金日记账!$L548=0,"",资金日记账!$L548))</f>
        <v/>
      </c>
      <c r="T555" s="0" t="str">
        <f aca="false">IF(资金日记账!$G555="","",资金日记账!$G555)</f>
        <v/>
      </c>
      <c r="U555" s="0" t="n">
        <f aca="false">IF(T555="",0,IF(MATCH(T555,$T$4:$T$903,0)=ROW()-3,1,0))</f>
        <v>0</v>
      </c>
      <c r="V555" s="0" t="n">
        <f aca="false">N(V554)+U555</f>
        <v>30</v>
      </c>
      <c r="AF555" s="0" t="str">
        <f aca="false">IF(OR(资金日记账!$E555="",N(资金日记账!$H555)=0),"",资金日记账!$E555)</f>
        <v/>
      </c>
      <c r="AG555" s="0" t="n">
        <f aca="false">IF(AF555="",0,IF(MATCH(AF555,$AF$4:$AF$603,0)=ROW()-3,1,0))</f>
        <v>0</v>
      </c>
      <c r="AH555" s="0" t="n">
        <f aca="false">N(AH554)+AG555</f>
        <v>5</v>
      </c>
    </row>
    <row r="556" customFormat="false" ht="13.5" hidden="false" customHeight="false" outlineLevel="0" collapsed="false">
      <c r="A556" s="0" t="str">
        <f aca="false">IF(资金日记账!$E254="","",资金日记账!$E254)</f>
        <v/>
      </c>
      <c r="B556" s="0" t="n">
        <f aca="false">IF(A556="",0,IF(MATCH(A556,$A$4:$A$1925,0)=ROW()-3,1,0))</f>
        <v>0</v>
      </c>
      <c r="C556" s="0" t="n">
        <f aca="false">N(C555)+B556</f>
        <v>11</v>
      </c>
      <c r="G556" s="0" t="n">
        <f aca="false">IF(OR($G$1="",资金日记账!$E549="",资金日记账!$E549&lt;&gt;$G$1),0,IF(NOT(OR(N(资金日记账!$H549)&lt;&gt;0,N(资金日记账!$I549)&lt;&gt;0)),0,IF(资金日记账!$B549="",1,IF(OR(N(资金日记账!$B549)&lt;$H$1,N(资金日记账!$B549)&gt;$I$1),0,1))))</f>
        <v>0</v>
      </c>
      <c r="H556" s="0" t="n">
        <f aca="false">N(H555)+$G556</f>
        <v>3</v>
      </c>
      <c r="I556" s="0" t="str">
        <f aca="false">IF($G556=0,"",IF(资金日记账!$B549=0,"",资金日记账!$B549))</f>
        <v/>
      </c>
      <c r="J556" s="0" t="str">
        <f aca="false">IF($G556=0,"",IF(资金日记账!$D549=0,"",资金日记账!$D549))</f>
        <v/>
      </c>
      <c r="K556" s="0" t="str">
        <f aca="false">IF($G556=0,"",IF(""=0,"",""))</f>
        <v/>
      </c>
      <c r="L556" s="0" t="str">
        <f aca="false">IF($G556=0,"",IF(""=0,"",""))</f>
        <v/>
      </c>
      <c r="M556" s="0" t="str">
        <f aca="false">IF($G556=0,"",IF(""=0,"",""))</f>
        <v/>
      </c>
      <c r="N556" s="0" t="str">
        <f aca="false">IF($G556=0,"",IF(IF(N(资金日记账!$I549)=0,"",-ROUND(N(资金日记账!$I549),2))=0,"",IF(N(资金日记账!$I549)=0,"",-ROUND(N(资金日记账!$I549),2))))</f>
        <v/>
      </c>
      <c r="O556" s="0" t="str">
        <f aca="false">IF($G556=0,"",IF(IF(N(资金日记账!$H549)=0,"",ROUND(N(资金日记账!$H549),2))=0,"",IF(N(资金日记账!$H549)=0,"",ROUND(N(资金日记账!$H549),2))))</f>
        <v/>
      </c>
      <c r="P556" s="0" t="str">
        <f aca="false">IF($G556=0,"",IF(资金日记账!$L549=0,"",资金日记账!$L549))</f>
        <v/>
      </c>
      <c r="T556" s="0" t="str">
        <f aca="false">IF(资金日记账!$G556="","",资金日记账!$G556)</f>
        <v/>
      </c>
      <c r="U556" s="0" t="n">
        <f aca="false">IF(T556="",0,IF(MATCH(T556,$T$4:$T$903,0)=ROW()-3,1,0))</f>
        <v>0</v>
      </c>
      <c r="V556" s="0" t="n">
        <f aca="false">N(V555)+U556</f>
        <v>30</v>
      </c>
      <c r="AF556" s="0" t="str">
        <f aca="false">IF(OR(资金日记账!$E556="",N(资金日记账!$H556)=0),"",资金日记账!$E556)</f>
        <v/>
      </c>
      <c r="AG556" s="0" t="n">
        <f aca="false">IF(AF556="",0,IF(MATCH(AF556,$AF$4:$AF$603,0)=ROW()-3,1,0))</f>
        <v>0</v>
      </c>
      <c r="AH556" s="0" t="n">
        <f aca="false">N(AH555)+AG556</f>
        <v>5</v>
      </c>
    </row>
    <row r="557" customFormat="false" ht="13.5" hidden="false" customHeight="false" outlineLevel="0" collapsed="false">
      <c r="A557" s="0" t="str">
        <f aca="false">IF(资金日记账!$E255="","",资金日记账!$E255)</f>
        <v/>
      </c>
      <c r="B557" s="0" t="n">
        <f aca="false">IF(A557="",0,IF(MATCH(A557,$A$4:$A$1925,0)=ROW()-3,1,0))</f>
        <v>0</v>
      </c>
      <c r="C557" s="0" t="n">
        <f aca="false">N(C556)+B557</f>
        <v>11</v>
      </c>
      <c r="G557" s="0" t="n">
        <f aca="false">IF(OR($G$1="",资金日记账!$E550="",资金日记账!$E550&lt;&gt;$G$1),0,IF(NOT(OR(N(资金日记账!$H550)&lt;&gt;0,N(资金日记账!$I550)&lt;&gt;0)),0,IF(资金日记账!$B550="",1,IF(OR(N(资金日记账!$B550)&lt;$H$1,N(资金日记账!$B550)&gt;$I$1),0,1))))</f>
        <v>0</v>
      </c>
      <c r="H557" s="0" t="n">
        <f aca="false">N(H556)+$G557</f>
        <v>3</v>
      </c>
      <c r="I557" s="0" t="str">
        <f aca="false">IF($G557=0,"",IF(资金日记账!$B550=0,"",资金日记账!$B550))</f>
        <v/>
      </c>
      <c r="J557" s="0" t="str">
        <f aca="false">IF($G557=0,"",IF(资金日记账!$D550=0,"",资金日记账!$D550))</f>
        <v/>
      </c>
      <c r="K557" s="0" t="str">
        <f aca="false">IF($G557=0,"",IF(""=0,"",""))</f>
        <v/>
      </c>
      <c r="L557" s="0" t="str">
        <f aca="false">IF($G557=0,"",IF(""=0,"",""))</f>
        <v/>
      </c>
      <c r="M557" s="0" t="str">
        <f aca="false">IF($G557=0,"",IF(""=0,"",""))</f>
        <v/>
      </c>
      <c r="N557" s="0" t="str">
        <f aca="false">IF($G557=0,"",IF(IF(N(资金日记账!$I550)=0,"",-ROUND(N(资金日记账!$I550),2))=0,"",IF(N(资金日记账!$I550)=0,"",-ROUND(N(资金日记账!$I550),2))))</f>
        <v/>
      </c>
      <c r="O557" s="0" t="str">
        <f aca="false">IF($G557=0,"",IF(IF(N(资金日记账!$H550)=0,"",ROUND(N(资金日记账!$H550),2))=0,"",IF(N(资金日记账!$H550)=0,"",ROUND(N(资金日记账!$H550),2))))</f>
        <v/>
      </c>
      <c r="P557" s="0" t="str">
        <f aca="false">IF($G557=0,"",IF(资金日记账!$L550=0,"",资金日记账!$L550))</f>
        <v/>
      </c>
      <c r="T557" s="0" t="str">
        <f aca="false">IF(资金日记账!$G557="","",资金日记账!$G557)</f>
        <v/>
      </c>
      <c r="U557" s="0" t="n">
        <f aca="false">IF(T557="",0,IF(MATCH(T557,$T$4:$T$903,0)=ROW()-3,1,0))</f>
        <v>0</v>
      </c>
      <c r="V557" s="0" t="n">
        <f aca="false">N(V556)+U557</f>
        <v>30</v>
      </c>
      <c r="AF557" s="0" t="str">
        <f aca="false">IF(OR(资金日记账!$E557="",N(资金日记账!$H557)=0),"",资金日记账!$E557)</f>
        <v/>
      </c>
      <c r="AG557" s="0" t="n">
        <f aca="false">IF(AF557="",0,IF(MATCH(AF557,$AF$4:$AF$603,0)=ROW()-3,1,0))</f>
        <v>0</v>
      </c>
      <c r="AH557" s="0" t="n">
        <f aca="false">N(AH556)+AG557</f>
        <v>5</v>
      </c>
    </row>
    <row r="558" customFormat="false" ht="13.5" hidden="false" customHeight="false" outlineLevel="0" collapsed="false">
      <c r="A558" s="0" t="str">
        <f aca="false">IF(资金日记账!$E256="","",资金日记账!$E256)</f>
        <v/>
      </c>
      <c r="B558" s="0" t="n">
        <f aca="false">IF(A558="",0,IF(MATCH(A558,$A$4:$A$1925,0)=ROW()-3,1,0))</f>
        <v>0</v>
      </c>
      <c r="C558" s="0" t="n">
        <f aca="false">N(C557)+B558</f>
        <v>11</v>
      </c>
      <c r="G558" s="0" t="n">
        <f aca="false">IF(OR($G$1="",资金日记账!$E551="",资金日记账!$E551&lt;&gt;$G$1),0,IF(NOT(OR(N(资金日记账!$H551)&lt;&gt;0,N(资金日记账!$I551)&lt;&gt;0)),0,IF(资金日记账!$B551="",1,IF(OR(N(资金日记账!$B551)&lt;$H$1,N(资金日记账!$B551)&gt;$I$1),0,1))))</f>
        <v>0</v>
      </c>
      <c r="H558" s="0" t="n">
        <f aca="false">N(H557)+$G558</f>
        <v>3</v>
      </c>
      <c r="I558" s="0" t="str">
        <f aca="false">IF($G558=0,"",IF(资金日记账!$B551=0,"",资金日记账!$B551))</f>
        <v/>
      </c>
      <c r="J558" s="0" t="str">
        <f aca="false">IF($G558=0,"",IF(资金日记账!$D551=0,"",资金日记账!$D551))</f>
        <v/>
      </c>
      <c r="K558" s="0" t="str">
        <f aca="false">IF($G558=0,"",IF(""=0,"",""))</f>
        <v/>
      </c>
      <c r="L558" s="0" t="str">
        <f aca="false">IF($G558=0,"",IF(""=0,"",""))</f>
        <v/>
      </c>
      <c r="M558" s="0" t="str">
        <f aca="false">IF($G558=0,"",IF(""=0,"",""))</f>
        <v/>
      </c>
      <c r="N558" s="0" t="str">
        <f aca="false">IF($G558=0,"",IF(IF(N(资金日记账!$I551)=0,"",-ROUND(N(资金日记账!$I551),2))=0,"",IF(N(资金日记账!$I551)=0,"",-ROUND(N(资金日记账!$I551),2))))</f>
        <v/>
      </c>
      <c r="O558" s="0" t="str">
        <f aca="false">IF($G558=0,"",IF(IF(N(资金日记账!$H551)=0,"",ROUND(N(资金日记账!$H551),2))=0,"",IF(N(资金日记账!$H551)=0,"",ROUND(N(资金日记账!$H551),2))))</f>
        <v/>
      </c>
      <c r="P558" s="0" t="str">
        <f aca="false">IF($G558=0,"",IF(资金日记账!$L551=0,"",资金日记账!$L551))</f>
        <v/>
      </c>
      <c r="T558" s="0" t="str">
        <f aca="false">IF(资金日记账!$G558="","",资金日记账!$G558)</f>
        <v/>
      </c>
      <c r="U558" s="0" t="n">
        <f aca="false">IF(T558="",0,IF(MATCH(T558,$T$4:$T$903,0)=ROW()-3,1,0))</f>
        <v>0</v>
      </c>
      <c r="V558" s="0" t="n">
        <f aca="false">N(V557)+U558</f>
        <v>30</v>
      </c>
      <c r="AF558" s="0" t="str">
        <f aca="false">IF(OR(资金日记账!$E558="",N(资金日记账!$H558)=0),"",资金日记账!$E558)</f>
        <v/>
      </c>
      <c r="AG558" s="0" t="n">
        <f aca="false">IF(AF558="",0,IF(MATCH(AF558,$AF$4:$AF$603,0)=ROW()-3,1,0))</f>
        <v>0</v>
      </c>
      <c r="AH558" s="0" t="n">
        <f aca="false">N(AH557)+AG558</f>
        <v>5</v>
      </c>
    </row>
    <row r="559" customFormat="false" ht="13.5" hidden="false" customHeight="false" outlineLevel="0" collapsed="false">
      <c r="A559" s="0" t="str">
        <f aca="false">IF(资金日记账!$E257="","",资金日记账!$E257)</f>
        <v/>
      </c>
      <c r="B559" s="0" t="n">
        <f aca="false">IF(A559="",0,IF(MATCH(A559,$A$4:$A$1925,0)=ROW()-3,1,0))</f>
        <v>0</v>
      </c>
      <c r="C559" s="0" t="n">
        <f aca="false">N(C558)+B559</f>
        <v>11</v>
      </c>
      <c r="G559" s="0" t="n">
        <f aca="false">IF(OR($G$1="",资金日记账!$E552="",资金日记账!$E552&lt;&gt;$G$1),0,IF(NOT(OR(N(资金日记账!$H552)&lt;&gt;0,N(资金日记账!$I552)&lt;&gt;0)),0,IF(资金日记账!$B552="",1,IF(OR(N(资金日记账!$B552)&lt;$H$1,N(资金日记账!$B552)&gt;$I$1),0,1))))</f>
        <v>0</v>
      </c>
      <c r="H559" s="0" t="n">
        <f aca="false">N(H558)+$G559</f>
        <v>3</v>
      </c>
      <c r="I559" s="0" t="str">
        <f aca="false">IF($G559=0,"",IF(资金日记账!$B552=0,"",资金日记账!$B552))</f>
        <v/>
      </c>
      <c r="J559" s="0" t="str">
        <f aca="false">IF($G559=0,"",IF(资金日记账!$D552=0,"",资金日记账!$D552))</f>
        <v/>
      </c>
      <c r="K559" s="0" t="str">
        <f aca="false">IF($G559=0,"",IF(""=0,"",""))</f>
        <v/>
      </c>
      <c r="L559" s="0" t="str">
        <f aca="false">IF($G559=0,"",IF(""=0,"",""))</f>
        <v/>
      </c>
      <c r="M559" s="0" t="str">
        <f aca="false">IF($G559=0,"",IF(""=0,"",""))</f>
        <v/>
      </c>
      <c r="N559" s="0" t="str">
        <f aca="false">IF($G559=0,"",IF(IF(N(资金日记账!$I552)=0,"",-ROUND(N(资金日记账!$I552),2))=0,"",IF(N(资金日记账!$I552)=0,"",-ROUND(N(资金日记账!$I552),2))))</f>
        <v/>
      </c>
      <c r="O559" s="0" t="str">
        <f aca="false">IF($G559=0,"",IF(IF(N(资金日记账!$H552)=0,"",ROUND(N(资金日记账!$H552),2))=0,"",IF(N(资金日记账!$H552)=0,"",ROUND(N(资金日记账!$H552),2))))</f>
        <v/>
      </c>
      <c r="P559" s="0" t="str">
        <f aca="false">IF($G559=0,"",IF(资金日记账!$L552=0,"",资金日记账!$L552))</f>
        <v/>
      </c>
      <c r="T559" s="0" t="str">
        <f aca="false">IF(资金日记账!$G559="","",资金日记账!$G559)</f>
        <v/>
      </c>
      <c r="U559" s="0" t="n">
        <f aca="false">IF(T559="",0,IF(MATCH(T559,$T$4:$T$903,0)=ROW()-3,1,0))</f>
        <v>0</v>
      </c>
      <c r="V559" s="0" t="n">
        <f aca="false">N(V558)+U559</f>
        <v>30</v>
      </c>
      <c r="AF559" s="0" t="str">
        <f aca="false">IF(OR(资金日记账!$E559="",N(资金日记账!$H559)=0),"",资金日记账!$E559)</f>
        <v/>
      </c>
      <c r="AG559" s="0" t="n">
        <f aca="false">IF(AF559="",0,IF(MATCH(AF559,$AF$4:$AF$603,0)=ROW()-3,1,0))</f>
        <v>0</v>
      </c>
      <c r="AH559" s="0" t="n">
        <f aca="false">N(AH558)+AG559</f>
        <v>5</v>
      </c>
    </row>
    <row r="560" customFormat="false" ht="13.5" hidden="false" customHeight="false" outlineLevel="0" collapsed="false">
      <c r="A560" s="0" t="str">
        <f aca="false">IF(资金日记账!$E258="","",资金日记账!$E258)</f>
        <v/>
      </c>
      <c r="B560" s="0" t="n">
        <f aca="false">IF(A560="",0,IF(MATCH(A560,$A$4:$A$1925,0)=ROW()-3,1,0))</f>
        <v>0</v>
      </c>
      <c r="C560" s="0" t="n">
        <f aca="false">N(C559)+B560</f>
        <v>11</v>
      </c>
      <c r="G560" s="0" t="n">
        <f aca="false">IF(OR($G$1="",资金日记账!$E553="",资金日记账!$E553&lt;&gt;$G$1),0,IF(NOT(OR(N(资金日记账!$H553)&lt;&gt;0,N(资金日记账!$I553)&lt;&gt;0)),0,IF(资金日记账!$B553="",1,IF(OR(N(资金日记账!$B553)&lt;$H$1,N(资金日记账!$B553)&gt;$I$1),0,1))))</f>
        <v>0</v>
      </c>
      <c r="H560" s="0" t="n">
        <f aca="false">N(H559)+$G560</f>
        <v>3</v>
      </c>
      <c r="I560" s="0" t="str">
        <f aca="false">IF($G560=0,"",IF(资金日记账!$B553=0,"",资金日记账!$B553))</f>
        <v/>
      </c>
      <c r="J560" s="0" t="str">
        <f aca="false">IF($G560=0,"",IF(资金日记账!$D553=0,"",资金日记账!$D553))</f>
        <v/>
      </c>
      <c r="K560" s="0" t="str">
        <f aca="false">IF($G560=0,"",IF(""=0,"",""))</f>
        <v/>
      </c>
      <c r="L560" s="0" t="str">
        <f aca="false">IF($G560=0,"",IF(""=0,"",""))</f>
        <v/>
      </c>
      <c r="M560" s="0" t="str">
        <f aca="false">IF($G560=0,"",IF(""=0,"",""))</f>
        <v/>
      </c>
      <c r="N560" s="0" t="str">
        <f aca="false">IF($G560=0,"",IF(IF(N(资金日记账!$I553)=0,"",-ROUND(N(资金日记账!$I553),2))=0,"",IF(N(资金日记账!$I553)=0,"",-ROUND(N(资金日记账!$I553),2))))</f>
        <v/>
      </c>
      <c r="O560" s="0" t="str">
        <f aca="false">IF($G560=0,"",IF(IF(N(资金日记账!$H553)=0,"",ROUND(N(资金日记账!$H553),2))=0,"",IF(N(资金日记账!$H553)=0,"",ROUND(N(资金日记账!$H553),2))))</f>
        <v/>
      </c>
      <c r="P560" s="0" t="str">
        <f aca="false">IF($G560=0,"",IF(资金日记账!$L553=0,"",资金日记账!$L553))</f>
        <v/>
      </c>
      <c r="T560" s="0" t="str">
        <f aca="false">IF(资金日记账!$G560="","",资金日记账!$G560)</f>
        <v/>
      </c>
      <c r="U560" s="0" t="n">
        <f aca="false">IF(T560="",0,IF(MATCH(T560,$T$4:$T$903,0)=ROW()-3,1,0))</f>
        <v>0</v>
      </c>
      <c r="V560" s="0" t="n">
        <f aca="false">N(V559)+U560</f>
        <v>30</v>
      </c>
      <c r="AF560" s="0" t="str">
        <f aca="false">IF(OR(资金日记账!$E560="",N(资金日记账!$H560)=0),"",资金日记账!$E560)</f>
        <v/>
      </c>
      <c r="AG560" s="0" t="n">
        <f aca="false">IF(AF560="",0,IF(MATCH(AF560,$AF$4:$AF$603,0)=ROW()-3,1,0))</f>
        <v>0</v>
      </c>
      <c r="AH560" s="0" t="n">
        <f aca="false">N(AH559)+AG560</f>
        <v>5</v>
      </c>
    </row>
    <row r="561" customFormat="false" ht="13.5" hidden="false" customHeight="false" outlineLevel="0" collapsed="false">
      <c r="A561" s="0" t="str">
        <f aca="false">IF(资金日记账!$E259="","",资金日记账!$E259)</f>
        <v/>
      </c>
      <c r="B561" s="0" t="n">
        <f aca="false">IF(A561="",0,IF(MATCH(A561,$A$4:$A$1925,0)=ROW()-3,1,0))</f>
        <v>0</v>
      </c>
      <c r="C561" s="0" t="n">
        <f aca="false">N(C560)+B561</f>
        <v>11</v>
      </c>
      <c r="G561" s="0" t="n">
        <f aca="false">IF(OR($G$1="",资金日记账!$E554="",资金日记账!$E554&lt;&gt;$G$1),0,IF(NOT(OR(N(资金日记账!$H554)&lt;&gt;0,N(资金日记账!$I554)&lt;&gt;0)),0,IF(资金日记账!$B554="",1,IF(OR(N(资金日记账!$B554)&lt;$H$1,N(资金日记账!$B554)&gt;$I$1),0,1))))</f>
        <v>0</v>
      </c>
      <c r="H561" s="0" t="n">
        <f aca="false">N(H560)+$G561</f>
        <v>3</v>
      </c>
      <c r="I561" s="0" t="str">
        <f aca="false">IF($G561=0,"",IF(资金日记账!$B554=0,"",资金日记账!$B554))</f>
        <v/>
      </c>
      <c r="J561" s="0" t="str">
        <f aca="false">IF($G561=0,"",IF(资金日记账!$D554=0,"",资金日记账!$D554))</f>
        <v/>
      </c>
      <c r="K561" s="0" t="str">
        <f aca="false">IF($G561=0,"",IF(""=0,"",""))</f>
        <v/>
      </c>
      <c r="L561" s="0" t="str">
        <f aca="false">IF($G561=0,"",IF(""=0,"",""))</f>
        <v/>
      </c>
      <c r="M561" s="0" t="str">
        <f aca="false">IF($G561=0,"",IF(""=0,"",""))</f>
        <v/>
      </c>
      <c r="N561" s="0" t="str">
        <f aca="false">IF($G561=0,"",IF(IF(N(资金日记账!$I554)=0,"",-ROUND(N(资金日记账!$I554),2))=0,"",IF(N(资金日记账!$I554)=0,"",-ROUND(N(资金日记账!$I554),2))))</f>
        <v/>
      </c>
      <c r="O561" s="0" t="str">
        <f aca="false">IF($G561=0,"",IF(IF(N(资金日记账!$H554)=0,"",ROUND(N(资金日记账!$H554),2))=0,"",IF(N(资金日记账!$H554)=0,"",ROUND(N(资金日记账!$H554),2))))</f>
        <v/>
      </c>
      <c r="P561" s="0" t="str">
        <f aca="false">IF($G561=0,"",IF(资金日记账!$L554=0,"",资金日记账!$L554))</f>
        <v/>
      </c>
      <c r="T561" s="0" t="str">
        <f aca="false">IF(资金日记账!$G561="","",资金日记账!$G561)</f>
        <v/>
      </c>
      <c r="U561" s="0" t="n">
        <f aca="false">IF(T561="",0,IF(MATCH(T561,$T$4:$T$903,0)=ROW()-3,1,0))</f>
        <v>0</v>
      </c>
      <c r="V561" s="0" t="n">
        <f aca="false">N(V560)+U561</f>
        <v>30</v>
      </c>
      <c r="AF561" s="0" t="str">
        <f aca="false">IF(OR(资金日记账!$E561="",N(资金日记账!$H561)=0),"",资金日记账!$E561)</f>
        <v/>
      </c>
      <c r="AG561" s="0" t="n">
        <f aca="false">IF(AF561="",0,IF(MATCH(AF561,$AF$4:$AF$603,0)=ROW()-3,1,0))</f>
        <v>0</v>
      </c>
      <c r="AH561" s="0" t="n">
        <f aca="false">N(AH560)+AG561</f>
        <v>5</v>
      </c>
    </row>
    <row r="562" customFormat="false" ht="13.5" hidden="false" customHeight="false" outlineLevel="0" collapsed="false">
      <c r="A562" s="0" t="str">
        <f aca="false">IF(资金日记账!$E260="","",资金日记账!$E260)</f>
        <v/>
      </c>
      <c r="B562" s="0" t="n">
        <f aca="false">IF(A562="",0,IF(MATCH(A562,$A$4:$A$1925,0)=ROW()-3,1,0))</f>
        <v>0</v>
      </c>
      <c r="C562" s="0" t="n">
        <f aca="false">N(C561)+B562</f>
        <v>11</v>
      </c>
      <c r="G562" s="0" t="n">
        <f aca="false">IF(OR($G$1="",资金日记账!$E555="",资金日记账!$E555&lt;&gt;$G$1),0,IF(NOT(OR(N(资金日记账!$H555)&lt;&gt;0,N(资金日记账!$I555)&lt;&gt;0)),0,IF(资金日记账!$B555="",1,IF(OR(N(资金日记账!$B555)&lt;$H$1,N(资金日记账!$B555)&gt;$I$1),0,1))))</f>
        <v>0</v>
      </c>
      <c r="H562" s="0" t="n">
        <f aca="false">N(H561)+$G562</f>
        <v>3</v>
      </c>
      <c r="I562" s="0" t="str">
        <f aca="false">IF($G562=0,"",IF(资金日记账!$B555=0,"",资金日记账!$B555))</f>
        <v/>
      </c>
      <c r="J562" s="0" t="str">
        <f aca="false">IF($G562=0,"",IF(资金日记账!$D555=0,"",资金日记账!$D555))</f>
        <v/>
      </c>
      <c r="K562" s="0" t="str">
        <f aca="false">IF($G562=0,"",IF(""=0,"",""))</f>
        <v/>
      </c>
      <c r="L562" s="0" t="str">
        <f aca="false">IF($G562=0,"",IF(""=0,"",""))</f>
        <v/>
      </c>
      <c r="M562" s="0" t="str">
        <f aca="false">IF($G562=0,"",IF(""=0,"",""))</f>
        <v/>
      </c>
      <c r="N562" s="0" t="str">
        <f aca="false">IF($G562=0,"",IF(IF(N(资金日记账!$I555)=0,"",-ROUND(N(资金日记账!$I555),2))=0,"",IF(N(资金日记账!$I555)=0,"",-ROUND(N(资金日记账!$I555),2))))</f>
        <v/>
      </c>
      <c r="O562" s="0" t="str">
        <f aca="false">IF($G562=0,"",IF(IF(N(资金日记账!$H555)=0,"",ROUND(N(资金日记账!$H555),2))=0,"",IF(N(资金日记账!$H555)=0,"",ROUND(N(资金日记账!$H555),2))))</f>
        <v/>
      </c>
      <c r="P562" s="0" t="str">
        <f aca="false">IF($G562=0,"",IF(资金日记账!$L555=0,"",资金日记账!$L555))</f>
        <v/>
      </c>
      <c r="T562" s="0" t="str">
        <f aca="false">IF(资金日记账!$G562="","",资金日记账!$G562)</f>
        <v/>
      </c>
      <c r="U562" s="0" t="n">
        <f aca="false">IF(T562="",0,IF(MATCH(T562,$T$4:$T$903,0)=ROW()-3,1,0))</f>
        <v>0</v>
      </c>
      <c r="V562" s="0" t="n">
        <f aca="false">N(V561)+U562</f>
        <v>30</v>
      </c>
      <c r="AF562" s="0" t="str">
        <f aca="false">IF(OR(资金日记账!$E562="",N(资金日记账!$H562)=0),"",资金日记账!$E562)</f>
        <v/>
      </c>
      <c r="AG562" s="0" t="n">
        <f aca="false">IF(AF562="",0,IF(MATCH(AF562,$AF$4:$AF$603,0)=ROW()-3,1,0))</f>
        <v>0</v>
      </c>
      <c r="AH562" s="0" t="n">
        <f aca="false">N(AH561)+AG562</f>
        <v>5</v>
      </c>
    </row>
    <row r="563" customFormat="false" ht="13.5" hidden="false" customHeight="false" outlineLevel="0" collapsed="false">
      <c r="A563" s="0" t="str">
        <f aca="false">IF(资金日记账!$E261="","",资金日记账!$E261)</f>
        <v/>
      </c>
      <c r="B563" s="0" t="n">
        <f aca="false">IF(A563="",0,IF(MATCH(A563,$A$4:$A$1925,0)=ROW()-3,1,0))</f>
        <v>0</v>
      </c>
      <c r="C563" s="0" t="n">
        <f aca="false">N(C562)+B563</f>
        <v>11</v>
      </c>
      <c r="G563" s="0" t="n">
        <f aca="false">IF(OR($G$1="",资金日记账!$E556="",资金日记账!$E556&lt;&gt;$G$1),0,IF(NOT(OR(N(资金日记账!$H556)&lt;&gt;0,N(资金日记账!$I556)&lt;&gt;0)),0,IF(资金日记账!$B556="",1,IF(OR(N(资金日记账!$B556)&lt;$H$1,N(资金日记账!$B556)&gt;$I$1),0,1))))</f>
        <v>0</v>
      </c>
      <c r="H563" s="0" t="n">
        <f aca="false">N(H562)+$G563</f>
        <v>3</v>
      </c>
      <c r="I563" s="0" t="str">
        <f aca="false">IF($G563=0,"",IF(资金日记账!$B556=0,"",资金日记账!$B556))</f>
        <v/>
      </c>
      <c r="J563" s="0" t="str">
        <f aca="false">IF($G563=0,"",IF(资金日记账!$D556=0,"",资金日记账!$D556))</f>
        <v/>
      </c>
      <c r="K563" s="0" t="str">
        <f aca="false">IF($G563=0,"",IF(""=0,"",""))</f>
        <v/>
      </c>
      <c r="L563" s="0" t="str">
        <f aca="false">IF($G563=0,"",IF(""=0,"",""))</f>
        <v/>
      </c>
      <c r="M563" s="0" t="str">
        <f aca="false">IF($G563=0,"",IF(""=0,"",""))</f>
        <v/>
      </c>
      <c r="N563" s="0" t="str">
        <f aca="false">IF($G563=0,"",IF(IF(N(资金日记账!$I556)=0,"",-ROUND(N(资金日记账!$I556),2))=0,"",IF(N(资金日记账!$I556)=0,"",-ROUND(N(资金日记账!$I556),2))))</f>
        <v/>
      </c>
      <c r="O563" s="0" t="str">
        <f aca="false">IF($G563=0,"",IF(IF(N(资金日记账!$H556)=0,"",ROUND(N(资金日记账!$H556),2))=0,"",IF(N(资金日记账!$H556)=0,"",ROUND(N(资金日记账!$H556),2))))</f>
        <v/>
      </c>
      <c r="P563" s="0" t="str">
        <f aca="false">IF($G563=0,"",IF(资金日记账!$L556=0,"",资金日记账!$L556))</f>
        <v/>
      </c>
      <c r="T563" s="0" t="str">
        <f aca="false">IF(资金日记账!$G563="","",资金日记账!$G563)</f>
        <v/>
      </c>
      <c r="U563" s="0" t="n">
        <f aca="false">IF(T563="",0,IF(MATCH(T563,$T$4:$T$903,0)=ROW()-3,1,0))</f>
        <v>0</v>
      </c>
      <c r="V563" s="0" t="n">
        <f aca="false">N(V562)+U563</f>
        <v>30</v>
      </c>
      <c r="AF563" s="0" t="str">
        <f aca="false">IF(OR(资金日记账!$E563="",N(资金日记账!$H563)=0),"",资金日记账!$E563)</f>
        <v/>
      </c>
      <c r="AG563" s="0" t="n">
        <f aca="false">IF(AF563="",0,IF(MATCH(AF563,$AF$4:$AF$603,0)=ROW()-3,1,0))</f>
        <v>0</v>
      </c>
      <c r="AH563" s="0" t="n">
        <f aca="false">N(AH562)+AG563</f>
        <v>5</v>
      </c>
    </row>
    <row r="564" customFormat="false" ht="13.5" hidden="false" customHeight="false" outlineLevel="0" collapsed="false">
      <c r="A564" s="0" t="str">
        <f aca="false">IF(资金日记账!$E262="","",资金日记账!$E262)</f>
        <v/>
      </c>
      <c r="B564" s="0" t="n">
        <f aca="false">IF(A564="",0,IF(MATCH(A564,$A$4:$A$1925,0)=ROW()-3,1,0))</f>
        <v>0</v>
      </c>
      <c r="C564" s="0" t="n">
        <f aca="false">N(C563)+B564</f>
        <v>11</v>
      </c>
      <c r="G564" s="0" t="n">
        <f aca="false">IF(OR($G$1="",资金日记账!$E557="",资金日记账!$E557&lt;&gt;$G$1),0,IF(NOT(OR(N(资金日记账!$H557)&lt;&gt;0,N(资金日记账!$I557)&lt;&gt;0)),0,IF(资金日记账!$B557="",1,IF(OR(N(资金日记账!$B557)&lt;$H$1,N(资金日记账!$B557)&gt;$I$1),0,1))))</f>
        <v>0</v>
      </c>
      <c r="H564" s="0" t="n">
        <f aca="false">N(H563)+$G564</f>
        <v>3</v>
      </c>
      <c r="I564" s="0" t="str">
        <f aca="false">IF($G564=0,"",IF(资金日记账!$B557=0,"",资金日记账!$B557))</f>
        <v/>
      </c>
      <c r="J564" s="0" t="str">
        <f aca="false">IF($G564=0,"",IF(资金日记账!$D557=0,"",资金日记账!$D557))</f>
        <v/>
      </c>
      <c r="K564" s="0" t="str">
        <f aca="false">IF($G564=0,"",IF(""=0,"",""))</f>
        <v/>
      </c>
      <c r="L564" s="0" t="str">
        <f aca="false">IF($G564=0,"",IF(""=0,"",""))</f>
        <v/>
      </c>
      <c r="M564" s="0" t="str">
        <f aca="false">IF($G564=0,"",IF(""=0,"",""))</f>
        <v/>
      </c>
      <c r="N564" s="0" t="str">
        <f aca="false">IF($G564=0,"",IF(IF(N(资金日记账!$I557)=0,"",-ROUND(N(资金日记账!$I557),2))=0,"",IF(N(资金日记账!$I557)=0,"",-ROUND(N(资金日记账!$I557),2))))</f>
        <v/>
      </c>
      <c r="O564" s="0" t="str">
        <f aca="false">IF($G564=0,"",IF(IF(N(资金日记账!$H557)=0,"",ROUND(N(资金日记账!$H557),2))=0,"",IF(N(资金日记账!$H557)=0,"",ROUND(N(资金日记账!$H557),2))))</f>
        <v/>
      </c>
      <c r="P564" s="0" t="str">
        <f aca="false">IF($G564=0,"",IF(资金日记账!$L557=0,"",资金日记账!$L557))</f>
        <v/>
      </c>
      <c r="T564" s="0" t="str">
        <f aca="false">IF(资金日记账!$G564="","",资金日记账!$G564)</f>
        <v/>
      </c>
      <c r="U564" s="0" t="n">
        <f aca="false">IF(T564="",0,IF(MATCH(T564,$T$4:$T$903,0)=ROW()-3,1,0))</f>
        <v>0</v>
      </c>
      <c r="V564" s="0" t="n">
        <f aca="false">N(V563)+U564</f>
        <v>30</v>
      </c>
      <c r="AF564" s="0" t="str">
        <f aca="false">IF(OR(资金日记账!$E564="",N(资金日记账!$H564)=0),"",资金日记账!$E564)</f>
        <v/>
      </c>
      <c r="AG564" s="0" t="n">
        <f aca="false">IF(AF564="",0,IF(MATCH(AF564,$AF$4:$AF$603,0)=ROW()-3,1,0))</f>
        <v>0</v>
      </c>
      <c r="AH564" s="0" t="n">
        <f aca="false">N(AH563)+AG564</f>
        <v>5</v>
      </c>
    </row>
    <row r="565" customFormat="false" ht="13.5" hidden="false" customHeight="false" outlineLevel="0" collapsed="false">
      <c r="A565" s="0" t="str">
        <f aca="false">IF(资金日记账!$E263="","",资金日记账!$E263)</f>
        <v/>
      </c>
      <c r="B565" s="0" t="n">
        <f aca="false">IF(A565="",0,IF(MATCH(A565,$A$4:$A$1925,0)=ROW()-3,1,0))</f>
        <v>0</v>
      </c>
      <c r="C565" s="0" t="n">
        <f aca="false">N(C564)+B565</f>
        <v>11</v>
      </c>
      <c r="G565" s="0" t="n">
        <f aca="false">IF(OR($G$1="",资金日记账!$E558="",资金日记账!$E558&lt;&gt;$G$1),0,IF(NOT(OR(N(资金日记账!$H558)&lt;&gt;0,N(资金日记账!$I558)&lt;&gt;0)),0,IF(资金日记账!$B558="",1,IF(OR(N(资金日记账!$B558)&lt;$H$1,N(资金日记账!$B558)&gt;$I$1),0,1))))</f>
        <v>0</v>
      </c>
      <c r="H565" s="0" t="n">
        <f aca="false">N(H564)+$G565</f>
        <v>3</v>
      </c>
      <c r="I565" s="0" t="str">
        <f aca="false">IF($G565=0,"",IF(资金日记账!$B558=0,"",资金日记账!$B558))</f>
        <v/>
      </c>
      <c r="J565" s="0" t="str">
        <f aca="false">IF($G565=0,"",IF(资金日记账!$D558=0,"",资金日记账!$D558))</f>
        <v/>
      </c>
      <c r="K565" s="0" t="str">
        <f aca="false">IF($G565=0,"",IF(""=0,"",""))</f>
        <v/>
      </c>
      <c r="L565" s="0" t="str">
        <f aca="false">IF($G565=0,"",IF(""=0,"",""))</f>
        <v/>
      </c>
      <c r="M565" s="0" t="str">
        <f aca="false">IF($G565=0,"",IF(""=0,"",""))</f>
        <v/>
      </c>
      <c r="N565" s="0" t="str">
        <f aca="false">IF($G565=0,"",IF(IF(N(资金日记账!$I558)=0,"",-ROUND(N(资金日记账!$I558),2))=0,"",IF(N(资金日记账!$I558)=0,"",-ROUND(N(资金日记账!$I558),2))))</f>
        <v/>
      </c>
      <c r="O565" s="0" t="str">
        <f aca="false">IF($G565=0,"",IF(IF(N(资金日记账!$H558)=0,"",ROUND(N(资金日记账!$H558),2))=0,"",IF(N(资金日记账!$H558)=0,"",ROUND(N(资金日记账!$H558),2))))</f>
        <v/>
      </c>
      <c r="P565" s="0" t="str">
        <f aca="false">IF($G565=0,"",IF(资金日记账!$L558=0,"",资金日记账!$L558))</f>
        <v/>
      </c>
      <c r="T565" s="0" t="str">
        <f aca="false">IF(资金日记账!$G565="","",资金日记账!$G565)</f>
        <v/>
      </c>
      <c r="U565" s="0" t="n">
        <f aca="false">IF(T565="",0,IF(MATCH(T565,$T$4:$T$903,0)=ROW()-3,1,0))</f>
        <v>0</v>
      </c>
      <c r="V565" s="0" t="n">
        <f aca="false">N(V564)+U565</f>
        <v>30</v>
      </c>
      <c r="AF565" s="0" t="str">
        <f aca="false">IF(OR(资金日记账!$E565="",N(资金日记账!$H565)=0),"",资金日记账!$E565)</f>
        <v/>
      </c>
      <c r="AG565" s="0" t="n">
        <f aca="false">IF(AF565="",0,IF(MATCH(AF565,$AF$4:$AF$603,0)=ROW()-3,1,0))</f>
        <v>0</v>
      </c>
      <c r="AH565" s="0" t="n">
        <f aca="false">N(AH564)+AG565</f>
        <v>5</v>
      </c>
    </row>
    <row r="566" customFormat="false" ht="13.5" hidden="false" customHeight="false" outlineLevel="0" collapsed="false">
      <c r="A566" s="0" t="str">
        <f aca="false">IF(资金日记账!$E264="","",资金日记账!$E264)</f>
        <v/>
      </c>
      <c r="B566" s="0" t="n">
        <f aca="false">IF(A566="",0,IF(MATCH(A566,$A$4:$A$1925,0)=ROW()-3,1,0))</f>
        <v>0</v>
      </c>
      <c r="C566" s="0" t="n">
        <f aca="false">N(C565)+B566</f>
        <v>11</v>
      </c>
      <c r="G566" s="0" t="n">
        <f aca="false">IF(OR($G$1="",资金日记账!$E559="",资金日记账!$E559&lt;&gt;$G$1),0,IF(NOT(OR(N(资金日记账!$H559)&lt;&gt;0,N(资金日记账!$I559)&lt;&gt;0)),0,IF(资金日记账!$B559="",1,IF(OR(N(资金日记账!$B559)&lt;$H$1,N(资金日记账!$B559)&gt;$I$1),0,1))))</f>
        <v>0</v>
      </c>
      <c r="H566" s="0" t="n">
        <f aca="false">N(H565)+$G566</f>
        <v>3</v>
      </c>
      <c r="I566" s="0" t="str">
        <f aca="false">IF($G566=0,"",IF(资金日记账!$B559=0,"",资金日记账!$B559))</f>
        <v/>
      </c>
      <c r="J566" s="0" t="str">
        <f aca="false">IF($G566=0,"",IF(资金日记账!$D559=0,"",资金日记账!$D559))</f>
        <v/>
      </c>
      <c r="K566" s="0" t="str">
        <f aca="false">IF($G566=0,"",IF(""=0,"",""))</f>
        <v/>
      </c>
      <c r="L566" s="0" t="str">
        <f aca="false">IF($G566=0,"",IF(""=0,"",""))</f>
        <v/>
      </c>
      <c r="M566" s="0" t="str">
        <f aca="false">IF($G566=0,"",IF(""=0,"",""))</f>
        <v/>
      </c>
      <c r="N566" s="0" t="str">
        <f aca="false">IF($G566=0,"",IF(IF(N(资金日记账!$I559)=0,"",-ROUND(N(资金日记账!$I559),2))=0,"",IF(N(资金日记账!$I559)=0,"",-ROUND(N(资金日记账!$I559),2))))</f>
        <v/>
      </c>
      <c r="O566" s="0" t="str">
        <f aca="false">IF($G566=0,"",IF(IF(N(资金日记账!$H559)=0,"",ROUND(N(资金日记账!$H559),2))=0,"",IF(N(资金日记账!$H559)=0,"",ROUND(N(资金日记账!$H559),2))))</f>
        <v/>
      </c>
      <c r="P566" s="0" t="str">
        <f aca="false">IF($G566=0,"",IF(资金日记账!$L559=0,"",资金日记账!$L559))</f>
        <v/>
      </c>
      <c r="T566" s="0" t="str">
        <f aca="false">IF(资金日记账!$G566="","",资金日记账!$G566)</f>
        <v/>
      </c>
      <c r="U566" s="0" t="n">
        <f aca="false">IF(T566="",0,IF(MATCH(T566,$T$4:$T$903,0)=ROW()-3,1,0))</f>
        <v>0</v>
      </c>
      <c r="V566" s="0" t="n">
        <f aca="false">N(V565)+U566</f>
        <v>30</v>
      </c>
      <c r="AF566" s="0" t="str">
        <f aca="false">IF(OR(资金日记账!$E566="",N(资金日记账!$H566)=0),"",资金日记账!$E566)</f>
        <v/>
      </c>
      <c r="AG566" s="0" t="n">
        <f aca="false">IF(AF566="",0,IF(MATCH(AF566,$AF$4:$AF$603,0)=ROW()-3,1,0))</f>
        <v>0</v>
      </c>
      <c r="AH566" s="0" t="n">
        <f aca="false">N(AH565)+AG566</f>
        <v>5</v>
      </c>
    </row>
    <row r="567" customFormat="false" ht="13.5" hidden="false" customHeight="false" outlineLevel="0" collapsed="false">
      <c r="A567" s="0" t="str">
        <f aca="false">IF(资金日记账!$E265="","",资金日记账!$E265)</f>
        <v/>
      </c>
      <c r="B567" s="0" t="n">
        <f aca="false">IF(A567="",0,IF(MATCH(A567,$A$4:$A$1925,0)=ROW()-3,1,0))</f>
        <v>0</v>
      </c>
      <c r="C567" s="0" t="n">
        <f aca="false">N(C566)+B567</f>
        <v>11</v>
      </c>
      <c r="G567" s="0" t="n">
        <f aca="false">IF(OR($G$1="",资金日记账!$E560="",资金日记账!$E560&lt;&gt;$G$1),0,IF(NOT(OR(N(资金日记账!$H560)&lt;&gt;0,N(资金日记账!$I560)&lt;&gt;0)),0,IF(资金日记账!$B560="",1,IF(OR(N(资金日记账!$B560)&lt;$H$1,N(资金日记账!$B560)&gt;$I$1),0,1))))</f>
        <v>0</v>
      </c>
      <c r="H567" s="0" t="n">
        <f aca="false">N(H566)+$G567</f>
        <v>3</v>
      </c>
      <c r="I567" s="0" t="str">
        <f aca="false">IF($G567=0,"",IF(资金日记账!$B560=0,"",资金日记账!$B560))</f>
        <v/>
      </c>
      <c r="J567" s="0" t="str">
        <f aca="false">IF($G567=0,"",IF(资金日记账!$D560=0,"",资金日记账!$D560))</f>
        <v/>
      </c>
      <c r="K567" s="0" t="str">
        <f aca="false">IF($G567=0,"",IF(""=0,"",""))</f>
        <v/>
      </c>
      <c r="L567" s="0" t="str">
        <f aca="false">IF($G567=0,"",IF(""=0,"",""))</f>
        <v/>
      </c>
      <c r="M567" s="0" t="str">
        <f aca="false">IF($G567=0,"",IF(""=0,"",""))</f>
        <v/>
      </c>
      <c r="N567" s="0" t="str">
        <f aca="false">IF($G567=0,"",IF(IF(N(资金日记账!$I560)=0,"",-ROUND(N(资金日记账!$I560),2))=0,"",IF(N(资金日记账!$I560)=0,"",-ROUND(N(资金日记账!$I560),2))))</f>
        <v/>
      </c>
      <c r="O567" s="0" t="str">
        <f aca="false">IF($G567=0,"",IF(IF(N(资金日记账!$H560)=0,"",ROUND(N(资金日记账!$H560),2))=0,"",IF(N(资金日记账!$H560)=0,"",ROUND(N(资金日记账!$H560),2))))</f>
        <v/>
      </c>
      <c r="P567" s="0" t="str">
        <f aca="false">IF($G567=0,"",IF(资金日记账!$L560=0,"",资金日记账!$L560))</f>
        <v/>
      </c>
      <c r="T567" s="0" t="str">
        <f aca="false">IF(资金日记账!$G567="","",资金日记账!$G567)</f>
        <v/>
      </c>
      <c r="U567" s="0" t="n">
        <f aca="false">IF(T567="",0,IF(MATCH(T567,$T$4:$T$903,0)=ROW()-3,1,0))</f>
        <v>0</v>
      </c>
      <c r="V567" s="0" t="n">
        <f aca="false">N(V566)+U567</f>
        <v>30</v>
      </c>
      <c r="AF567" s="0" t="str">
        <f aca="false">IF(OR(资金日记账!$E567="",N(资金日记账!$H567)=0),"",资金日记账!$E567)</f>
        <v/>
      </c>
      <c r="AG567" s="0" t="n">
        <f aca="false">IF(AF567="",0,IF(MATCH(AF567,$AF$4:$AF$603,0)=ROW()-3,1,0))</f>
        <v>0</v>
      </c>
      <c r="AH567" s="0" t="n">
        <f aca="false">N(AH566)+AG567</f>
        <v>5</v>
      </c>
    </row>
    <row r="568" customFormat="false" ht="13.5" hidden="false" customHeight="false" outlineLevel="0" collapsed="false">
      <c r="A568" s="0" t="str">
        <f aca="false">IF(资金日记账!$E266="","",资金日记账!$E266)</f>
        <v/>
      </c>
      <c r="B568" s="0" t="n">
        <f aca="false">IF(A568="",0,IF(MATCH(A568,$A$4:$A$1925,0)=ROW()-3,1,0))</f>
        <v>0</v>
      </c>
      <c r="C568" s="0" t="n">
        <f aca="false">N(C567)+B568</f>
        <v>11</v>
      </c>
      <c r="G568" s="0" t="n">
        <f aca="false">IF(OR($G$1="",资金日记账!$E561="",资金日记账!$E561&lt;&gt;$G$1),0,IF(NOT(OR(N(资金日记账!$H561)&lt;&gt;0,N(资金日记账!$I561)&lt;&gt;0)),0,IF(资金日记账!$B561="",1,IF(OR(N(资金日记账!$B561)&lt;$H$1,N(资金日记账!$B561)&gt;$I$1),0,1))))</f>
        <v>0</v>
      </c>
      <c r="H568" s="0" t="n">
        <f aca="false">N(H567)+$G568</f>
        <v>3</v>
      </c>
      <c r="I568" s="0" t="str">
        <f aca="false">IF($G568=0,"",IF(资金日记账!$B561=0,"",资金日记账!$B561))</f>
        <v/>
      </c>
      <c r="J568" s="0" t="str">
        <f aca="false">IF($G568=0,"",IF(资金日记账!$D561=0,"",资金日记账!$D561))</f>
        <v/>
      </c>
      <c r="K568" s="0" t="str">
        <f aca="false">IF($G568=0,"",IF(""=0,"",""))</f>
        <v/>
      </c>
      <c r="L568" s="0" t="str">
        <f aca="false">IF($G568=0,"",IF(""=0,"",""))</f>
        <v/>
      </c>
      <c r="M568" s="0" t="str">
        <f aca="false">IF($G568=0,"",IF(""=0,"",""))</f>
        <v/>
      </c>
      <c r="N568" s="0" t="str">
        <f aca="false">IF($G568=0,"",IF(IF(N(资金日记账!$I561)=0,"",-ROUND(N(资金日记账!$I561),2))=0,"",IF(N(资金日记账!$I561)=0,"",-ROUND(N(资金日记账!$I561),2))))</f>
        <v/>
      </c>
      <c r="O568" s="0" t="str">
        <f aca="false">IF($G568=0,"",IF(IF(N(资金日记账!$H561)=0,"",ROUND(N(资金日记账!$H561),2))=0,"",IF(N(资金日记账!$H561)=0,"",ROUND(N(资金日记账!$H561),2))))</f>
        <v/>
      </c>
      <c r="P568" s="0" t="str">
        <f aca="false">IF($G568=0,"",IF(资金日记账!$L561=0,"",资金日记账!$L561))</f>
        <v/>
      </c>
      <c r="T568" s="0" t="str">
        <f aca="false">IF(资金日记账!$G568="","",资金日记账!$G568)</f>
        <v/>
      </c>
      <c r="U568" s="0" t="n">
        <f aca="false">IF(T568="",0,IF(MATCH(T568,$T$4:$T$903,0)=ROW()-3,1,0))</f>
        <v>0</v>
      </c>
      <c r="V568" s="0" t="n">
        <f aca="false">N(V567)+U568</f>
        <v>30</v>
      </c>
      <c r="AF568" s="0" t="str">
        <f aca="false">IF(OR(资金日记账!$E568="",N(资金日记账!$H568)=0),"",资金日记账!$E568)</f>
        <v/>
      </c>
      <c r="AG568" s="0" t="n">
        <f aca="false">IF(AF568="",0,IF(MATCH(AF568,$AF$4:$AF$603,0)=ROW()-3,1,0))</f>
        <v>0</v>
      </c>
      <c r="AH568" s="0" t="n">
        <f aca="false">N(AH567)+AG568</f>
        <v>5</v>
      </c>
    </row>
    <row r="569" customFormat="false" ht="13.5" hidden="false" customHeight="false" outlineLevel="0" collapsed="false">
      <c r="A569" s="0" t="str">
        <f aca="false">IF(资金日记账!$E267="","",资金日记账!$E267)</f>
        <v/>
      </c>
      <c r="B569" s="0" t="n">
        <f aca="false">IF(A569="",0,IF(MATCH(A569,$A$4:$A$1925,0)=ROW()-3,1,0))</f>
        <v>0</v>
      </c>
      <c r="C569" s="0" t="n">
        <f aca="false">N(C568)+B569</f>
        <v>11</v>
      </c>
      <c r="G569" s="0" t="n">
        <f aca="false">IF(OR($G$1="",资金日记账!$E562="",资金日记账!$E562&lt;&gt;$G$1),0,IF(NOT(OR(N(资金日记账!$H562)&lt;&gt;0,N(资金日记账!$I562)&lt;&gt;0)),0,IF(资金日记账!$B562="",1,IF(OR(N(资金日记账!$B562)&lt;$H$1,N(资金日记账!$B562)&gt;$I$1),0,1))))</f>
        <v>0</v>
      </c>
      <c r="H569" s="0" t="n">
        <f aca="false">N(H568)+$G569</f>
        <v>3</v>
      </c>
      <c r="I569" s="0" t="str">
        <f aca="false">IF($G569=0,"",IF(资金日记账!$B562=0,"",资金日记账!$B562))</f>
        <v/>
      </c>
      <c r="J569" s="0" t="str">
        <f aca="false">IF($G569=0,"",IF(资金日记账!$D562=0,"",资金日记账!$D562))</f>
        <v/>
      </c>
      <c r="K569" s="0" t="str">
        <f aca="false">IF($G569=0,"",IF(""=0,"",""))</f>
        <v/>
      </c>
      <c r="L569" s="0" t="str">
        <f aca="false">IF($G569=0,"",IF(""=0,"",""))</f>
        <v/>
      </c>
      <c r="M569" s="0" t="str">
        <f aca="false">IF($G569=0,"",IF(""=0,"",""))</f>
        <v/>
      </c>
      <c r="N569" s="0" t="str">
        <f aca="false">IF($G569=0,"",IF(IF(N(资金日记账!$I562)=0,"",-ROUND(N(资金日记账!$I562),2))=0,"",IF(N(资金日记账!$I562)=0,"",-ROUND(N(资金日记账!$I562),2))))</f>
        <v/>
      </c>
      <c r="O569" s="0" t="str">
        <f aca="false">IF($G569=0,"",IF(IF(N(资金日记账!$H562)=0,"",ROUND(N(资金日记账!$H562),2))=0,"",IF(N(资金日记账!$H562)=0,"",ROUND(N(资金日记账!$H562),2))))</f>
        <v/>
      </c>
      <c r="P569" s="0" t="str">
        <f aca="false">IF($G569=0,"",IF(资金日记账!$L562=0,"",资金日记账!$L562))</f>
        <v/>
      </c>
      <c r="T569" s="0" t="str">
        <f aca="false">IF(资金日记账!$G569="","",资金日记账!$G569)</f>
        <v/>
      </c>
      <c r="U569" s="0" t="n">
        <f aca="false">IF(T569="",0,IF(MATCH(T569,$T$4:$T$903,0)=ROW()-3,1,0))</f>
        <v>0</v>
      </c>
      <c r="V569" s="0" t="n">
        <f aca="false">N(V568)+U569</f>
        <v>30</v>
      </c>
      <c r="AF569" s="0" t="str">
        <f aca="false">IF(OR(资金日记账!$E569="",N(资金日记账!$H569)=0),"",资金日记账!$E569)</f>
        <v/>
      </c>
      <c r="AG569" s="0" t="n">
        <f aca="false">IF(AF569="",0,IF(MATCH(AF569,$AF$4:$AF$603,0)=ROW()-3,1,0))</f>
        <v>0</v>
      </c>
      <c r="AH569" s="0" t="n">
        <f aca="false">N(AH568)+AG569</f>
        <v>5</v>
      </c>
    </row>
    <row r="570" customFormat="false" ht="13.5" hidden="false" customHeight="false" outlineLevel="0" collapsed="false">
      <c r="A570" s="0" t="str">
        <f aca="false">IF(资金日记账!$E268="","",资金日记账!$E268)</f>
        <v/>
      </c>
      <c r="B570" s="0" t="n">
        <f aca="false">IF(A570="",0,IF(MATCH(A570,$A$4:$A$1925,0)=ROW()-3,1,0))</f>
        <v>0</v>
      </c>
      <c r="C570" s="0" t="n">
        <f aca="false">N(C569)+B570</f>
        <v>11</v>
      </c>
      <c r="G570" s="0" t="n">
        <f aca="false">IF(OR($G$1="",资金日记账!$E563="",资金日记账!$E563&lt;&gt;$G$1),0,IF(NOT(OR(N(资金日记账!$H563)&lt;&gt;0,N(资金日记账!$I563)&lt;&gt;0)),0,IF(资金日记账!$B563="",1,IF(OR(N(资金日记账!$B563)&lt;$H$1,N(资金日记账!$B563)&gt;$I$1),0,1))))</f>
        <v>0</v>
      </c>
      <c r="H570" s="0" t="n">
        <f aca="false">N(H569)+$G570</f>
        <v>3</v>
      </c>
      <c r="I570" s="0" t="str">
        <f aca="false">IF($G570=0,"",IF(资金日记账!$B563=0,"",资金日记账!$B563))</f>
        <v/>
      </c>
      <c r="J570" s="0" t="str">
        <f aca="false">IF($G570=0,"",IF(资金日记账!$D563=0,"",资金日记账!$D563))</f>
        <v/>
      </c>
      <c r="K570" s="0" t="str">
        <f aca="false">IF($G570=0,"",IF(""=0,"",""))</f>
        <v/>
      </c>
      <c r="L570" s="0" t="str">
        <f aca="false">IF($G570=0,"",IF(""=0,"",""))</f>
        <v/>
      </c>
      <c r="M570" s="0" t="str">
        <f aca="false">IF($G570=0,"",IF(""=0,"",""))</f>
        <v/>
      </c>
      <c r="N570" s="0" t="str">
        <f aca="false">IF($G570=0,"",IF(IF(N(资金日记账!$I563)=0,"",-ROUND(N(资金日记账!$I563),2))=0,"",IF(N(资金日记账!$I563)=0,"",-ROUND(N(资金日记账!$I563),2))))</f>
        <v/>
      </c>
      <c r="O570" s="0" t="str">
        <f aca="false">IF($G570=0,"",IF(IF(N(资金日记账!$H563)=0,"",ROUND(N(资金日记账!$H563),2))=0,"",IF(N(资金日记账!$H563)=0,"",ROUND(N(资金日记账!$H563),2))))</f>
        <v/>
      </c>
      <c r="P570" s="0" t="str">
        <f aca="false">IF($G570=0,"",IF(资金日记账!$L563=0,"",资金日记账!$L563))</f>
        <v/>
      </c>
      <c r="T570" s="0" t="str">
        <f aca="false">IF(资金日记账!$G570="","",资金日记账!$G570)</f>
        <v/>
      </c>
      <c r="U570" s="0" t="n">
        <f aca="false">IF(T570="",0,IF(MATCH(T570,$T$4:$T$903,0)=ROW()-3,1,0))</f>
        <v>0</v>
      </c>
      <c r="V570" s="0" t="n">
        <f aca="false">N(V569)+U570</f>
        <v>30</v>
      </c>
      <c r="AF570" s="0" t="str">
        <f aca="false">IF(OR(资金日记账!$E570="",N(资金日记账!$H570)=0),"",资金日记账!$E570)</f>
        <v/>
      </c>
      <c r="AG570" s="0" t="n">
        <f aca="false">IF(AF570="",0,IF(MATCH(AF570,$AF$4:$AF$603,0)=ROW()-3,1,0))</f>
        <v>0</v>
      </c>
      <c r="AH570" s="0" t="n">
        <f aca="false">N(AH569)+AG570</f>
        <v>5</v>
      </c>
    </row>
    <row r="571" customFormat="false" ht="13.5" hidden="false" customHeight="false" outlineLevel="0" collapsed="false">
      <c r="A571" s="0" t="str">
        <f aca="false">IF(资金日记账!$E269="","",资金日记账!$E269)</f>
        <v/>
      </c>
      <c r="B571" s="0" t="n">
        <f aca="false">IF(A571="",0,IF(MATCH(A571,$A$4:$A$1925,0)=ROW()-3,1,0))</f>
        <v>0</v>
      </c>
      <c r="C571" s="0" t="n">
        <f aca="false">N(C570)+B571</f>
        <v>11</v>
      </c>
      <c r="G571" s="0" t="n">
        <f aca="false">IF(OR($G$1="",资金日记账!$E564="",资金日记账!$E564&lt;&gt;$G$1),0,IF(NOT(OR(N(资金日记账!$H564)&lt;&gt;0,N(资金日记账!$I564)&lt;&gt;0)),0,IF(资金日记账!$B564="",1,IF(OR(N(资金日记账!$B564)&lt;$H$1,N(资金日记账!$B564)&gt;$I$1),0,1))))</f>
        <v>0</v>
      </c>
      <c r="H571" s="0" t="n">
        <f aca="false">N(H570)+$G571</f>
        <v>3</v>
      </c>
      <c r="I571" s="0" t="str">
        <f aca="false">IF($G571=0,"",IF(资金日记账!$B564=0,"",资金日记账!$B564))</f>
        <v/>
      </c>
      <c r="J571" s="0" t="str">
        <f aca="false">IF($G571=0,"",IF(资金日记账!$D564=0,"",资金日记账!$D564))</f>
        <v/>
      </c>
      <c r="K571" s="0" t="str">
        <f aca="false">IF($G571=0,"",IF(""=0,"",""))</f>
        <v/>
      </c>
      <c r="L571" s="0" t="str">
        <f aca="false">IF($G571=0,"",IF(""=0,"",""))</f>
        <v/>
      </c>
      <c r="M571" s="0" t="str">
        <f aca="false">IF($G571=0,"",IF(""=0,"",""))</f>
        <v/>
      </c>
      <c r="N571" s="0" t="str">
        <f aca="false">IF($G571=0,"",IF(IF(N(资金日记账!$I564)=0,"",-ROUND(N(资金日记账!$I564),2))=0,"",IF(N(资金日记账!$I564)=0,"",-ROUND(N(资金日记账!$I564),2))))</f>
        <v/>
      </c>
      <c r="O571" s="0" t="str">
        <f aca="false">IF($G571=0,"",IF(IF(N(资金日记账!$H564)=0,"",ROUND(N(资金日记账!$H564),2))=0,"",IF(N(资金日记账!$H564)=0,"",ROUND(N(资金日记账!$H564),2))))</f>
        <v/>
      </c>
      <c r="P571" s="0" t="str">
        <f aca="false">IF($G571=0,"",IF(资金日记账!$L564=0,"",资金日记账!$L564))</f>
        <v/>
      </c>
      <c r="T571" s="0" t="str">
        <f aca="false">IF(资金日记账!$G571="","",资金日记账!$G571)</f>
        <v/>
      </c>
      <c r="U571" s="0" t="n">
        <f aca="false">IF(T571="",0,IF(MATCH(T571,$T$4:$T$903,0)=ROW()-3,1,0))</f>
        <v>0</v>
      </c>
      <c r="V571" s="0" t="n">
        <f aca="false">N(V570)+U571</f>
        <v>30</v>
      </c>
      <c r="AF571" s="0" t="str">
        <f aca="false">IF(OR(资金日记账!$E571="",N(资金日记账!$H571)=0),"",资金日记账!$E571)</f>
        <v/>
      </c>
      <c r="AG571" s="0" t="n">
        <f aca="false">IF(AF571="",0,IF(MATCH(AF571,$AF$4:$AF$603,0)=ROW()-3,1,0))</f>
        <v>0</v>
      </c>
      <c r="AH571" s="0" t="n">
        <f aca="false">N(AH570)+AG571</f>
        <v>5</v>
      </c>
    </row>
    <row r="572" customFormat="false" ht="13.5" hidden="false" customHeight="false" outlineLevel="0" collapsed="false">
      <c r="A572" s="0" t="str">
        <f aca="false">IF(资金日记账!$E270="","",资金日记账!$E270)</f>
        <v/>
      </c>
      <c r="B572" s="0" t="n">
        <f aca="false">IF(A572="",0,IF(MATCH(A572,$A$4:$A$1925,0)=ROW()-3,1,0))</f>
        <v>0</v>
      </c>
      <c r="C572" s="0" t="n">
        <f aca="false">N(C571)+B572</f>
        <v>11</v>
      </c>
      <c r="G572" s="0" t="n">
        <f aca="false">IF(OR($G$1="",资金日记账!$E565="",资金日记账!$E565&lt;&gt;$G$1),0,IF(NOT(OR(N(资金日记账!$H565)&lt;&gt;0,N(资金日记账!$I565)&lt;&gt;0)),0,IF(资金日记账!$B565="",1,IF(OR(N(资金日记账!$B565)&lt;$H$1,N(资金日记账!$B565)&gt;$I$1),0,1))))</f>
        <v>0</v>
      </c>
      <c r="H572" s="0" t="n">
        <f aca="false">N(H571)+$G572</f>
        <v>3</v>
      </c>
      <c r="I572" s="0" t="str">
        <f aca="false">IF($G572=0,"",IF(资金日记账!$B565=0,"",资金日记账!$B565))</f>
        <v/>
      </c>
      <c r="J572" s="0" t="str">
        <f aca="false">IF($G572=0,"",IF(资金日记账!$D565=0,"",资金日记账!$D565))</f>
        <v/>
      </c>
      <c r="K572" s="0" t="str">
        <f aca="false">IF($G572=0,"",IF(""=0,"",""))</f>
        <v/>
      </c>
      <c r="L572" s="0" t="str">
        <f aca="false">IF($G572=0,"",IF(""=0,"",""))</f>
        <v/>
      </c>
      <c r="M572" s="0" t="str">
        <f aca="false">IF($G572=0,"",IF(""=0,"",""))</f>
        <v/>
      </c>
      <c r="N572" s="0" t="str">
        <f aca="false">IF($G572=0,"",IF(IF(N(资金日记账!$I565)=0,"",-ROUND(N(资金日记账!$I565),2))=0,"",IF(N(资金日记账!$I565)=0,"",-ROUND(N(资金日记账!$I565),2))))</f>
        <v/>
      </c>
      <c r="O572" s="0" t="str">
        <f aca="false">IF($G572=0,"",IF(IF(N(资金日记账!$H565)=0,"",ROUND(N(资金日记账!$H565),2))=0,"",IF(N(资金日记账!$H565)=0,"",ROUND(N(资金日记账!$H565),2))))</f>
        <v/>
      </c>
      <c r="P572" s="0" t="str">
        <f aca="false">IF($G572=0,"",IF(资金日记账!$L565=0,"",资金日记账!$L565))</f>
        <v/>
      </c>
      <c r="T572" s="0" t="str">
        <f aca="false">IF(资金日记账!$G572="","",资金日记账!$G572)</f>
        <v/>
      </c>
      <c r="U572" s="0" t="n">
        <f aca="false">IF(T572="",0,IF(MATCH(T572,$T$4:$T$903,0)=ROW()-3,1,0))</f>
        <v>0</v>
      </c>
      <c r="V572" s="0" t="n">
        <f aca="false">N(V571)+U572</f>
        <v>30</v>
      </c>
      <c r="AF572" s="0" t="str">
        <f aca="false">IF(OR(资金日记账!$E572="",N(资金日记账!$H572)=0),"",资金日记账!$E572)</f>
        <v/>
      </c>
      <c r="AG572" s="0" t="n">
        <f aca="false">IF(AF572="",0,IF(MATCH(AF572,$AF$4:$AF$603,0)=ROW()-3,1,0))</f>
        <v>0</v>
      </c>
      <c r="AH572" s="0" t="n">
        <f aca="false">N(AH571)+AG572</f>
        <v>5</v>
      </c>
    </row>
    <row r="573" customFormat="false" ht="13.5" hidden="false" customHeight="false" outlineLevel="0" collapsed="false">
      <c r="A573" s="0" t="str">
        <f aca="false">IF(资金日记账!$E271="","",资金日记账!$E271)</f>
        <v/>
      </c>
      <c r="B573" s="0" t="n">
        <f aca="false">IF(A573="",0,IF(MATCH(A573,$A$4:$A$1925,0)=ROW()-3,1,0))</f>
        <v>0</v>
      </c>
      <c r="C573" s="0" t="n">
        <f aca="false">N(C572)+B573</f>
        <v>11</v>
      </c>
      <c r="G573" s="0" t="n">
        <f aca="false">IF(OR($G$1="",资金日记账!$E566="",资金日记账!$E566&lt;&gt;$G$1),0,IF(NOT(OR(N(资金日记账!$H566)&lt;&gt;0,N(资金日记账!$I566)&lt;&gt;0)),0,IF(资金日记账!$B566="",1,IF(OR(N(资金日记账!$B566)&lt;$H$1,N(资金日记账!$B566)&gt;$I$1),0,1))))</f>
        <v>0</v>
      </c>
      <c r="H573" s="0" t="n">
        <f aca="false">N(H572)+$G573</f>
        <v>3</v>
      </c>
      <c r="I573" s="0" t="str">
        <f aca="false">IF($G573=0,"",IF(资金日记账!$B566=0,"",资金日记账!$B566))</f>
        <v/>
      </c>
      <c r="J573" s="0" t="str">
        <f aca="false">IF($G573=0,"",IF(资金日记账!$D566=0,"",资金日记账!$D566))</f>
        <v/>
      </c>
      <c r="K573" s="0" t="str">
        <f aca="false">IF($G573=0,"",IF(""=0,"",""))</f>
        <v/>
      </c>
      <c r="L573" s="0" t="str">
        <f aca="false">IF($G573=0,"",IF(""=0,"",""))</f>
        <v/>
      </c>
      <c r="M573" s="0" t="str">
        <f aca="false">IF($G573=0,"",IF(""=0,"",""))</f>
        <v/>
      </c>
      <c r="N573" s="0" t="str">
        <f aca="false">IF($G573=0,"",IF(IF(N(资金日记账!$I566)=0,"",-ROUND(N(资金日记账!$I566),2))=0,"",IF(N(资金日记账!$I566)=0,"",-ROUND(N(资金日记账!$I566),2))))</f>
        <v/>
      </c>
      <c r="O573" s="0" t="str">
        <f aca="false">IF($G573=0,"",IF(IF(N(资金日记账!$H566)=0,"",ROUND(N(资金日记账!$H566),2))=0,"",IF(N(资金日记账!$H566)=0,"",ROUND(N(资金日记账!$H566),2))))</f>
        <v/>
      </c>
      <c r="P573" s="0" t="str">
        <f aca="false">IF($G573=0,"",IF(资金日记账!$L566=0,"",资金日记账!$L566))</f>
        <v/>
      </c>
      <c r="T573" s="0" t="str">
        <f aca="false">IF(资金日记账!$G573="","",资金日记账!$G573)</f>
        <v/>
      </c>
      <c r="U573" s="0" t="n">
        <f aca="false">IF(T573="",0,IF(MATCH(T573,$T$4:$T$903,0)=ROW()-3,1,0))</f>
        <v>0</v>
      </c>
      <c r="V573" s="0" t="n">
        <f aca="false">N(V572)+U573</f>
        <v>30</v>
      </c>
      <c r="AF573" s="0" t="str">
        <f aca="false">IF(OR(资金日记账!$E573="",N(资金日记账!$H573)=0),"",资金日记账!$E573)</f>
        <v/>
      </c>
      <c r="AG573" s="0" t="n">
        <f aca="false">IF(AF573="",0,IF(MATCH(AF573,$AF$4:$AF$603,0)=ROW()-3,1,0))</f>
        <v>0</v>
      </c>
      <c r="AH573" s="0" t="n">
        <f aca="false">N(AH572)+AG573</f>
        <v>5</v>
      </c>
    </row>
    <row r="574" customFormat="false" ht="13.5" hidden="false" customHeight="false" outlineLevel="0" collapsed="false">
      <c r="A574" s="0" t="str">
        <f aca="false">IF(资金日记账!$E272="","",资金日记账!$E272)</f>
        <v/>
      </c>
      <c r="B574" s="0" t="n">
        <f aca="false">IF(A574="",0,IF(MATCH(A574,$A$4:$A$1925,0)=ROW()-3,1,0))</f>
        <v>0</v>
      </c>
      <c r="C574" s="0" t="n">
        <f aca="false">N(C573)+B574</f>
        <v>11</v>
      </c>
      <c r="G574" s="0" t="n">
        <f aca="false">IF(OR($G$1="",资金日记账!$E567="",资金日记账!$E567&lt;&gt;$G$1),0,IF(NOT(OR(N(资金日记账!$H567)&lt;&gt;0,N(资金日记账!$I567)&lt;&gt;0)),0,IF(资金日记账!$B567="",1,IF(OR(N(资金日记账!$B567)&lt;$H$1,N(资金日记账!$B567)&gt;$I$1),0,1))))</f>
        <v>0</v>
      </c>
      <c r="H574" s="0" t="n">
        <f aca="false">N(H573)+$G574</f>
        <v>3</v>
      </c>
      <c r="I574" s="0" t="str">
        <f aca="false">IF($G574=0,"",IF(资金日记账!$B567=0,"",资金日记账!$B567))</f>
        <v/>
      </c>
      <c r="J574" s="0" t="str">
        <f aca="false">IF($G574=0,"",IF(资金日记账!$D567=0,"",资金日记账!$D567))</f>
        <v/>
      </c>
      <c r="K574" s="0" t="str">
        <f aca="false">IF($G574=0,"",IF(""=0,"",""))</f>
        <v/>
      </c>
      <c r="L574" s="0" t="str">
        <f aca="false">IF($G574=0,"",IF(""=0,"",""))</f>
        <v/>
      </c>
      <c r="M574" s="0" t="str">
        <f aca="false">IF($G574=0,"",IF(""=0,"",""))</f>
        <v/>
      </c>
      <c r="N574" s="0" t="str">
        <f aca="false">IF($G574=0,"",IF(IF(N(资金日记账!$I567)=0,"",-ROUND(N(资金日记账!$I567),2))=0,"",IF(N(资金日记账!$I567)=0,"",-ROUND(N(资金日记账!$I567),2))))</f>
        <v/>
      </c>
      <c r="O574" s="0" t="str">
        <f aca="false">IF($G574=0,"",IF(IF(N(资金日记账!$H567)=0,"",ROUND(N(资金日记账!$H567),2))=0,"",IF(N(资金日记账!$H567)=0,"",ROUND(N(资金日记账!$H567),2))))</f>
        <v/>
      </c>
      <c r="P574" s="0" t="str">
        <f aca="false">IF($G574=0,"",IF(资金日记账!$L567=0,"",资金日记账!$L567))</f>
        <v/>
      </c>
      <c r="T574" s="0" t="str">
        <f aca="false">IF(资金日记账!$G574="","",资金日记账!$G574)</f>
        <v/>
      </c>
      <c r="U574" s="0" t="n">
        <f aca="false">IF(T574="",0,IF(MATCH(T574,$T$4:$T$903,0)=ROW()-3,1,0))</f>
        <v>0</v>
      </c>
      <c r="V574" s="0" t="n">
        <f aca="false">N(V573)+U574</f>
        <v>30</v>
      </c>
      <c r="AF574" s="0" t="str">
        <f aca="false">IF(OR(资金日记账!$E574="",N(资金日记账!$H574)=0),"",资金日记账!$E574)</f>
        <v/>
      </c>
      <c r="AG574" s="0" t="n">
        <f aca="false">IF(AF574="",0,IF(MATCH(AF574,$AF$4:$AF$603,0)=ROW()-3,1,0))</f>
        <v>0</v>
      </c>
      <c r="AH574" s="0" t="n">
        <f aca="false">N(AH573)+AG574</f>
        <v>5</v>
      </c>
    </row>
    <row r="575" customFormat="false" ht="13.5" hidden="false" customHeight="false" outlineLevel="0" collapsed="false">
      <c r="A575" s="0" t="str">
        <f aca="false">IF(资金日记账!$E273="","",资金日记账!$E273)</f>
        <v/>
      </c>
      <c r="B575" s="0" t="n">
        <f aca="false">IF(A575="",0,IF(MATCH(A575,$A$4:$A$1925,0)=ROW()-3,1,0))</f>
        <v>0</v>
      </c>
      <c r="C575" s="0" t="n">
        <f aca="false">N(C574)+B575</f>
        <v>11</v>
      </c>
      <c r="G575" s="0" t="n">
        <f aca="false">IF(OR($G$1="",资金日记账!$E568="",资金日记账!$E568&lt;&gt;$G$1),0,IF(NOT(OR(N(资金日记账!$H568)&lt;&gt;0,N(资金日记账!$I568)&lt;&gt;0)),0,IF(资金日记账!$B568="",1,IF(OR(N(资金日记账!$B568)&lt;$H$1,N(资金日记账!$B568)&gt;$I$1),0,1))))</f>
        <v>0</v>
      </c>
      <c r="H575" s="0" t="n">
        <f aca="false">N(H574)+$G575</f>
        <v>3</v>
      </c>
      <c r="I575" s="0" t="str">
        <f aca="false">IF($G575=0,"",IF(资金日记账!$B568=0,"",资金日记账!$B568))</f>
        <v/>
      </c>
      <c r="J575" s="0" t="str">
        <f aca="false">IF($G575=0,"",IF(资金日记账!$D568=0,"",资金日记账!$D568))</f>
        <v/>
      </c>
      <c r="K575" s="0" t="str">
        <f aca="false">IF($G575=0,"",IF(""=0,"",""))</f>
        <v/>
      </c>
      <c r="L575" s="0" t="str">
        <f aca="false">IF($G575=0,"",IF(""=0,"",""))</f>
        <v/>
      </c>
      <c r="M575" s="0" t="str">
        <f aca="false">IF($G575=0,"",IF(""=0,"",""))</f>
        <v/>
      </c>
      <c r="N575" s="0" t="str">
        <f aca="false">IF($G575=0,"",IF(IF(N(资金日记账!$I568)=0,"",-ROUND(N(资金日记账!$I568),2))=0,"",IF(N(资金日记账!$I568)=0,"",-ROUND(N(资金日记账!$I568),2))))</f>
        <v/>
      </c>
      <c r="O575" s="0" t="str">
        <f aca="false">IF($G575=0,"",IF(IF(N(资金日记账!$H568)=0,"",ROUND(N(资金日记账!$H568),2))=0,"",IF(N(资金日记账!$H568)=0,"",ROUND(N(资金日记账!$H568),2))))</f>
        <v/>
      </c>
      <c r="P575" s="0" t="str">
        <f aca="false">IF($G575=0,"",IF(资金日记账!$L568=0,"",资金日记账!$L568))</f>
        <v/>
      </c>
      <c r="T575" s="0" t="str">
        <f aca="false">IF(资金日记账!$G575="","",资金日记账!$G575)</f>
        <v/>
      </c>
      <c r="U575" s="0" t="n">
        <f aca="false">IF(T575="",0,IF(MATCH(T575,$T$4:$T$903,0)=ROW()-3,1,0))</f>
        <v>0</v>
      </c>
      <c r="V575" s="0" t="n">
        <f aca="false">N(V574)+U575</f>
        <v>30</v>
      </c>
      <c r="AF575" s="0" t="str">
        <f aca="false">IF(OR(资金日记账!$E575="",N(资金日记账!$H575)=0),"",资金日记账!$E575)</f>
        <v/>
      </c>
      <c r="AG575" s="0" t="n">
        <f aca="false">IF(AF575="",0,IF(MATCH(AF575,$AF$4:$AF$603,0)=ROW()-3,1,0))</f>
        <v>0</v>
      </c>
      <c r="AH575" s="0" t="n">
        <f aca="false">N(AH574)+AG575</f>
        <v>5</v>
      </c>
    </row>
    <row r="576" customFormat="false" ht="13.5" hidden="false" customHeight="false" outlineLevel="0" collapsed="false">
      <c r="A576" s="0" t="str">
        <f aca="false">IF(资金日记账!$E274="","",资金日记账!$E274)</f>
        <v/>
      </c>
      <c r="B576" s="0" t="n">
        <f aca="false">IF(A576="",0,IF(MATCH(A576,$A$4:$A$1925,0)=ROW()-3,1,0))</f>
        <v>0</v>
      </c>
      <c r="C576" s="0" t="n">
        <f aca="false">N(C575)+B576</f>
        <v>11</v>
      </c>
      <c r="G576" s="0" t="n">
        <f aca="false">IF(OR($G$1="",资金日记账!$E569="",资金日记账!$E569&lt;&gt;$G$1),0,IF(NOT(OR(N(资金日记账!$H569)&lt;&gt;0,N(资金日记账!$I569)&lt;&gt;0)),0,IF(资金日记账!$B569="",1,IF(OR(N(资金日记账!$B569)&lt;$H$1,N(资金日记账!$B569)&gt;$I$1),0,1))))</f>
        <v>0</v>
      </c>
      <c r="H576" s="0" t="n">
        <f aca="false">N(H575)+$G576</f>
        <v>3</v>
      </c>
      <c r="I576" s="0" t="str">
        <f aca="false">IF($G576=0,"",IF(资金日记账!$B569=0,"",资金日记账!$B569))</f>
        <v/>
      </c>
      <c r="J576" s="0" t="str">
        <f aca="false">IF($G576=0,"",IF(资金日记账!$D569=0,"",资金日记账!$D569))</f>
        <v/>
      </c>
      <c r="K576" s="0" t="str">
        <f aca="false">IF($G576=0,"",IF(""=0,"",""))</f>
        <v/>
      </c>
      <c r="L576" s="0" t="str">
        <f aca="false">IF($G576=0,"",IF(""=0,"",""))</f>
        <v/>
      </c>
      <c r="M576" s="0" t="str">
        <f aca="false">IF($G576=0,"",IF(""=0,"",""))</f>
        <v/>
      </c>
      <c r="N576" s="0" t="str">
        <f aca="false">IF($G576=0,"",IF(IF(N(资金日记账!$I569)=0,"",-ROUND(N(资金日记账!$I569),2))=0,"",IF(N(资金日记账!$I569)=0,"",-ROUND(N(资金日记账!$I569),2))))</f>
        <v/>
      </c>
      <c r="O576" s="0" t="str">
        <f aca="false">IF($G576=0,"",IF(IF(N(资金日记账!$H569)=0,"",ROUND(N(资金日记账!$H569),2))=0,"",IF(N(资金日记账!$H569)=0,"",ROUND(N(资金日记账!$H569),2))))</f>
        <v/>
      </c>
      <c r="P576" s="0" t="str">
        <f aca="false">IF($G576=0,"",IF(资金日记账!$L569=0,"",资金日记账!$L569))</f>
        <v/>
      </c>
      <c r="T576" s="0" t="str">
        <f aca="false">IF(资金日记账!$G576="","",资金日记账!$G576)</f>
        <v/>
      </c>
      <c r="U576" s="0" t="n">
        <f aca="false">IF(T576="",0,IF(MATCH(T576,$T$4:$T$903,0)=ROW()-3,1,0))</f>
        <v>0</v>
      </c>
      <c r="V576" s="0" t="n">
        <f aca="false">N(V575)+U576</f>
        <v>30</v>
      </c>
      <c r="AF576" s="0" t="str">
        <f aca="false">IF(OR(资金日记账!$E576="",N(资金日记账!$H576)=0),"",资金日记账!$E576)</f>
        <v/>
      </c>
      <c r="AG576" s="0" t="n">
        <f aca="false">IF(AF576="",0,IF(MATCH(AF576,$AF$4:$AF$603,0)=ROW()-3,1,0))</f>
        <v>0</v>
      </c>
      <c r="AH576" s="0" t="n">
        <f aca="false">N(AH575)+AG576</f>
        <v>5</v>
      </c>
    </row>
    <row r="577" customFormat="false" ht="13.5" hidden="false" customHeight="false" outlineLevel="0" collapsed="false">
      <c r="A577" s="0" t="str">
        <f aca="false">IF(资金日记账!$E275="","",资金日记账!$E275)</f>
        <v/>
      </c>
      <c r="B577" s="0" t="n">
        <f aca="false">IF(A577="",0,IF(MATCH(A577,$A$4:$A$1925,0)=ROW()-3,1,0))</f>
        <v>0</v>
      </c>
      <c r="C577" s="0" t="n">
        <f aca="false">N(C576)+B577</f>
        <v>11</v>
      </c>
      <c r="G577" s="0" t="n">
        <f aca="false">IF(OR($G$1="",资金日记账!$E570="",资金日记账!$E570&lt;&gt;$G$1),0,IF(NOT(OR(N(资金日记账!$H570)&lt;&gt;0,N(资金日记账!$I570)&lt;&gt;0)),0,IF(资金日记账!$B570="",1,IF(OR(N(资金日记账!$B570)&lt;$H$1,N(资金日记账!$B570)&gt;$I$1),0,1))))</f>
        <v>0</v>
      </c>
      <c r="H577" s="0" t="n">
        <f aca="false">N(H576)+$G577</f>
        <v>3</v>
      </c>
      <c r="I577" s="0" t="str">
        <f aca="false">IF($G577=0,"",IF(资金日记账!$B570=0,"",资金日记账!$B570))</f>
        <v/>
      </c>
      <c r="J577" s="0" t="str">
        <f aca="false">IF($G577=0,"",IF(资金日记账!$D570=0,"",资金日记账!$D570))</f>
        <v/>
      </c>
      <c r="K577" s="0" t="str">
        <f aca="false">IF($G577=0,"",IF(""=0,"",""))</f>
        <v/>
      </c>
      <c r="L577" s="0" t="str">
        <f aca="false">IF($G577=0,"",IF(""=0,"",""))</f>
        <v/>
      </c>
      <c r="M577" s="0" t="str">
        <f aca="false">IF($G577=0,"",IF(""=0,"",""))</f>
        <v/>
      </c>
      <c r="N577" s="0" t="str">
        <f aca="false">IF($G577=0,"",IF(IF(N(资金日记账!$I570)=0,"",-ROUND(N(资金日记账!$I570),2))=0,"",IF(N(资金日记账!$I570)=0,"",-ROUND(N(资金日记账!$I570),2))))</f>
        <v/>
      </c>
      <c r="O577" s="0" t="str">
        <f aca="false">IF($G577=0,"",IF(IF(N(资金日记账!$H570)=0,"",ROUND(N(资金日记账!$H570),2))=0,"",IF(N(资金日记账!$H570)=0,"",ROUND(N(资金日记账!$H570),2))))</f>
        <v/>
      </c>
      <c r="P577" s="0" t="str">
        <f aca="false">IF($G577=0,"",IF(资金日记账!$L570=0,"",资金日记账!$L570))</f>
        <v/>
      </c>
      <c r="T577" s="0" t="str">
        <f aca="false">IF(资金日记账!$G577="","",资金日记账!$G577)</f>
        <v/>
      </c>
      <c r="U577" s="0" t="n">
        <f aca="false">IF(T577="",0,IF(MATCH(T577,$T$4:$T$903,0)=ROW()-3,1,0))</f>
        <v>0</v>
      </c>
      <c r="V577" s="0" t="n">
        <f aca="false">N(V576)+U577</f>
        <v>30</v>
      </c>
      <c r="AF577" s="0" t="str">
        <f aca="false">IF(OR(资金日记账!$E577="",N(资金日记账!$H577)=0),"",资金日记账!$E577)</f>
        <v/>
      </c>
      <c r="AG577" s="0" t="n">
        <f aca="false">IF(AF577="",0,IF(MATCH(AF577,$AF$4:$AF$603,0)=ROW()-3,1,0))</f>
        <v>0</v>
      </c>
      <c r="AH577" s="0" t="n">
        <f aca="false">N(AH576)+AG577</f>
        <v>5</v>
      </c>
    </row>
    <row r="578" customFormat="false" ht="13.5" hidden="false" customHeight="false" outlineLevel="0" collapsed="false">
      <c r="A578" s="0" t="str">
        <f aca="false">IF(资金日记账!$E276="","",资金日记账!$E276)</f>
        <v/>
      </c>
      <c r="B578" s="0" t="n">
        <f aca="false">IF(A578="",0,IF(MATCH(A578,$A$4:$A$1925,0)=ROW()-3,1,0))</f>
        <v>0</v>
      </c>
      <c r="C578" s="0" t="n">
        <f aca="false">N(C577)+B578</f>
        <v>11</v>
      </c>
      <c r="G578" s="0" t="n">
        <f aca="false">IF(OR($G$1="",资金日记账!$E571="",资金日记账!$E571&lt;&gt;$G$1),0,IF(NOT(OR(N(资金日记账!$H571)&lt;&gt;0,N(资金日记账!$I571)&lt;&gt;0)),0,IF(资金日记账!$B571="",1,IF(OR(N(资金日记账!$B571)&lt;$H$1,N(资金日记账!$B571)&gt;$I$1),0,1))))</f>
        <v>0</v>
      </c>
      <c r="H578" s="0" t="n">
        <f aca="false">N(H577)+$G578</f>
        <v>3</v>
      </c>
      <c r="I578" s="0" t="str">
        <f aca="false">IF($G578=0,"",IF(资金日记账!$B571=0,"",资金日记账!$B571))</f>
        <v/>
      </c>
      <c r="J578" s="0" t="str">
        <f aca="false">IF($G578=0,"",IF(资金日记账!$D571=0,"",资金日记账!$D571))</f>
        <v/>
      </c>
      <c r="K578" s="0" t="str">
        <f aca="false">IF($G578=0,"",IF(""=0,"",""))</f>
        <v/>
      </c>
      <c r="L578" s="0" t="str">
        <f aca="false">IF($G578=0,"",IF(""=0,"",""))</f>
        <v/>
      </c>
      <c r="M578" s="0" t="str">
        <f aca="false">IF($G578=0,"",IF(""=0,"",""))</f>
        <v/>
      </c>
      <c r="N578" s="0" t="str">
        <f aca="false">IF($G578=0,"",IF(IF(N(资金日记账!$I571)=0,"",-ROUND(N(资金日记账!$I571),2))=0,"",IF(N(资金日记账!$I571)=0,"",-ROUND(N(资金日记账!$I571),2))))</f>
        <v/>
      </c>
      <c r="O578" s="0" t="str">
        <f aca="false">IF($G578=0,"",IF(IF(N(资金日记账!$H571)=0,"",ROUND(N(资金日记账!$H571),2))=0,"",IF(N(资金日记账!$H571)=0,"",ROUND(N(资金日记账!$H571),2))))</f>
        <v/>
      </c>
      <c r="P578" s="0" t="str">
        <f aca="false">IF($G578=0,"",IF(资金日记账!$L571=0,"",资金日记账!$L571))</f>
        <v/>
      </c>
      <c r="T578" s="0" t="str">
        <f aca="false">IF(资金日记账!$G578="","",资金日记账!$G578)</f>
        <v/>
      </c>
      <c r="U578" s="0" t="n">
        <f aca="false">IF(T578="",0,IF(MATCH(T578,$T$4:$T$903,0)=ROW()-3,1,0))</f>
        <v>0</v>
      </c>
      <c r="V578" s="0" t="n">
        <f aca="false">N(V577)+U578</f>
        <v>30</v>
      </c>
      <c r="AF578" s="0" t="str">
        <f aca="false">IF(OR(资金日记账!$E578="",N(资金日记账!$H578)=0),"",资金日记账!$E578)</f>
        <v/>
      </c>
      <c r="AG578" s="0" t="n">
        <f aca="false">IF(AF578="",0,IF(MATCH(AF578,$AF$4:$AF$603,0)=ROW()-3,1,0))</f>
        <v>0</v>
      </c>
      <c r="AH578" s="0" t="n">
        <f aca="false">N(AH577)+AG578</f>
        <v>5</v>
      </c>
    </row>
    <row r="579" customFormat="false" ht="13.5" hidden="false" customHeight="false" outlineLevel="0" collapsed="false">
      <c r="A579" s="0" t="str">
        <f aca="false">IF(资金日记账!$E277="","",资金日记账!$E277)</f>
        <v/>
      </c>
      <c r="B579" s="0" t="n">
        <f aca="false">IF(A579="",0,IF(MATCH(A579,$A$4:$A$1925,0)=ROW()-3,1,0))</f>
        <v>0</v>
      </c>
      <c r="C579" s="0" t="n">
        <f aca="false">N(C578)+B579</f>
        <v>11</v>
      </c>
      <c r="G579" s="0" t="n">
        <f aca="false">IF(OR($G$1="",资金日记账!$E572="",资金日记账!$E572&lt;&gt;$G$1),0,IF(NOT(OR(N(资金日记账!$H572)&lt;&gt;0,N(资金日记账!$I572)&lt;&gt;0)),0,IF(资金日记账!$B572="",1,IF(OR(N(资金日记账!$B572)&lt;$H$1,N(资金日记账!$B572)&gt;$I$1),0,1))))</f>
        <v>0</v>
      </c>
      <c r="H579" s="0" t="n">
        <f aca="false">N(H578)+$G579</f>
        <v>3</v>
      </c>
      <c r="I579" s="0" t="str">
        <f aca="false">IF($G579=0,"",IF(资金日记账!$B572=0,"",资金日记账!$B572))</f>
        <v/>
      </c>
      <c r="J579" s="0" t="str">
        <f aca="false">IF($G579=0,"",IF(资金日记账!$D572=0,"",资金日记账!$D572))</f>
        <v/>
      </c>
      <c r="K579" s="0" t="str">
        <f aca="false">IF($G579=0,"",IF(""=0,"",""))</f>
        <v/>
      </c>
      <c r="L579" s="0" t="str">
        <f aca="false">IF($G579=0,"",IF(""=0,"",""))</f>
        <v/>
      </c>
      <c r="M579" s="0" t="str">
        <f aca="false">IF($G579=0,"",IF(""=0,"",""))</f>
        <v/>
      </c>
      <c r="N579" s="0" t="str">
        <f aca="false">IF($G579=0,"",IF(IF(N(资金日记账!$I572)=0,"",-ROUND(N(资金日记账!$I572),2))=0,"",IF(N(资金日记账!$I572)=0,"",-ROUND(N(资金日记账!$I572),2))))</f>
        <v/>
      </c>
      <c r="O579" s="0" t="str">
        <f aca="false">IF($G579=0,"",IF(IF(N(资金日记账!$H572)=0,"",ROUND(N(资金日记账!$H572),2))=0,"",IF(N(资金日记账!$H572)=0,"",ROUND(N(资金日记账!$H572),2))))</f>
        <v/>
      </c>
      <c r="P579" s="0" t="str">
        <f aca="false">IF($G579=0,"",IF(资金日记账!$L572=0,"",资金日记账!$L572))</f>
        <v/>
      </c>
      <c r="T579" s="0" t="str">
        <f aca="false">IF(资金日记账!$G579="","",资金日记账!$G579)</f>
        <v/>
      </c>
      <c r="U579" s="0" t="n">
        <f aca="false">IF(T579="",0,IF(MATCH(T579,$T$4:$T$903,0)=ROW()-3,1,0))</f>
        <v>0</v>
      </c>
      <c r="V579" s="0" t="n">
        <f aca="false">N(V578)+U579</f>
        <v>30</v>
      </c>
      <c r="AF579" s="0" t="str">
        <f aca="false">IF(OR(资金日记账!$E579="",N(资金日记账!$H579)=0),"",资金日记账!$E579)</f>
        <v/>
      </c>
      <c r="AG579" s="0" t="n">
        <f aca="false">IF(AF579="",0,IF(MATCH(AF579,$AF$4:$AF$603,0)=ROW()-3,1,0))</f>
        <v>0</v>
      </c>
      <c r="AH579" s="0" t="n">
        <f aca="false">N(AH578)+AG579</f>
        <v>5</v>
      </c>
    </row>
    <row r="580" customFormat="false" ht="13.5" hidden="false" customHeight="false" outlineLevel="0" collapsed="false">
      <c r="A580" s="0" t="str">
        <f aca="false">IF(资金日记账!$E278="","",资金日记账!$E278)</f>
        <v/>
      </c>
      <c r="B580" s="0" t="n">
        <f aca="false">IF(A580="",0,IF(MATCH(A580,$A$4:$A$1925,0)=ROW()-3,1,0))</f>
        <v>0</v>
      </c>
      <c r="C580" s="0" t="n">
        <f aca="false">N(C579)+B580</f>
        <v>11</v>
      </c>
      <c r="G580" s="0" t="n">
        <f aca="false">IF(OR($G$1="",资金日记账!$E573="",资金日记账!$E573&lt;&gt;$G$1),0,IF(NOT(OR(N(资金日记账!$H573)&lt;&gt;0,N(资金日记账!$I573)&lt;&gt;0)),0,IF(资金日记账!$B573="",1,IF(OR(N(资金日记账!$B573)&lt;$H$1,N(资金日记账!$B573)&gt;$I$1),0,1))))</f>
        <v>0</v>
      </c>
      <c r="H580" s="0" t="n">
        <f aca="false">N(H579)+$G580</f>
        <v>3</v>
      </c>
      <c r="I580" s="0" t="str">
        <f aca="false">IF($G580=0,"",IF(资金日记账!$B573=0,"",资金日记账!$B573))</f>
        <v/>
      </c>
      <c r="J580" s="0" t="str">
        <f aca="false">IF($G580=0,"",IF(资金日记账!$D573=0,"",资金日记账!$D573))</f>
        <v/>
      </c>
      <c r="K580" s="0" t="str">
        <f aca="false">IF($G580=0,"",IF(""=0,"",""))</f>
        <v/>
      </c>
      <c r="L580" s="0" t="str">
        <f aca="false">IF($G580=0,"",IF(""=0,"",""))</f>
        <v/>
      </c>
      <c r="M580" s="0" t="str">
        <f aca="false">IF($G580=0,"",IF(""=0,"",""))</f>
        <v/>
      </c>
      <c r="N580" s="0" t="str">
        <f aca="false">IF($G580=0,"",IF(IF(N(资金日记账!$I573)=0,"",-ROUND(N(资金日记账!$I573),2))=0,"",IF(N(资金日记账!$I573)=0,"",-ROUND(N(资金日记账!$I573),2))))</f>
        <v/>
      </c>
      <c r="O580" s="0" t="str">
        <f aca="false">IF($G580=0,"",IF(IF(N(资金日记账!$H573)=0,"",ROUND(N(资金日记账!$H573),2))=0,"",IF(N(资金日记账!$H573)=0,"",ROUND(N(资金日记账!$H573),2))))</f>
        <v/>
      </c>
      <c r="P580" s="0" t="str">
        <f aca="false">IF($G580=0,"",IF(资金日记账!$L573=0,"",资金日记账!$L573))</f>
        <v/>
      </c>
      <c r="T580" s="0" t="str">
        <f aca="false">IF(资金日记账!$G580="","",资金日记账!$G580)</f>
        <v/>
      </c>
      <c r="U580" s="0" t="n">
        <f aca="false">IF(T580="",0,IF(MATCH(T580,$T$4:$T$903,0)=ROW()-3,1,0))</f>
        <v>0</v>
      </c>
      <c r="V580" s="0" t="n">
        <f aca="false">N(V579)+U580</f>
        <v>30</v>
      </c>
      <c r="AF580" s="0" t="str">
        <f aca="false">IF(OR(资金日记账!$E580="",N(资金日记账!$H580)=0),"",资金日记账!$E580)</f>
        <v/>
      </c>
      <c r="AG580" s="0" t="n">
        <f aca="false">IF(AF580="",0,IF(MATCH(AF580,$AF$4:$AF$603,0)=ROW()-3,1,0))</f>
        <v>0</v>
      </c>
      <c r="AH580" s="0" t="n">
        <f aca="false">N(AH579)+AG580</f>
        <v>5</v>
      </c>
    </row>
    <row r="581" customFormat="false" ht="13.5" hidden="false" customHeight="false" outlineLevel="0" collapsed="false">
      <c r="A581" s="0" t="str">
        <f aca="false">IF(资金日记账!$E279="","",资金日记账!$E279)</f>
        <v/>
      </c>
      <c r="B581" s="0" t="n">
        <f aca="false">IF(A581="",0,IF(MATCH(A581,$A$4:$A$1925,0)=ROW()-3,1,0))</f>
        <v>0</v>
      </c>
      <c r="C581" s="0" t="n">
        <f aca="false">N(C580)+B581</f>
        <v>11</v>
      </c>
      <c r="G581" s="0" t="n">
        <f aca="false">IF(OR($G$1="",资金日记账!$E574="",资金日记账!$E574&lt;&gt;$G$1),0,IF(NOT(OR(N(资金日记账!$H574)&lt;&gt;0,N(资金日记账!$I574)&lt;&gt;0)),0,IF(资金日记账!$B574="",1,IF(OR(N(资金日记账!$B574)&lt;$H$1,N(资金日记账!$B574)&gt;$I$1),0,1))))</f>
        <v>0</v>
      </c>
      <c r="H581" s="0" t="n">
        <f aca="false">N(H580)+$G581</f>
        <v>3</v>
      </c>
      <c r="I581" s="0" t="str">
        <f aca="false">IF($G581=0,"",IF(资金日记账!$B574=0,"",资金日记账!$B574))</f>
        <v/>
      </c>
      <c r="J581" s="0" t="str">
        <f aca="false">IF($G581=0,"",IF(资金日记账!$D574=0,"",资金日记账!$D574))</f>
        <v/>
      </c>
      <c r="K581" s="0" t="str">
        <f aca="false">IF($G581=0,"",IF(""=0,"",""))</f>
        <v/>
      </c>
      <c r="L581" s="0" t="str">
        <f aca="false">IF($G581=0,"",IF(""=0,"",""))</f>
        <v/>
      </c>
      <c r="M581" s="0" t="str">
        <f aca="false">IF($G581=0,"",IF(""=0,"",""))</f>
        <v/>
      </c>
      <c r="N581" s="0" t="str">
        <f aca="false">IF($G581=0,"",IF(IF(N(资金日记账!$I574)=0,"",-ROUND(N(资金日记账!$I574),2))=0,"",IF(N(资金日记账!$I574)=0,"",-ROUND(N(资金日记账!$I574),2))))</f>
        <v/>
      </c>
      <c r="O581" s="0" t="str">
        <f aca="false">IF($G581=0,"",IF(IF(N(资金日记账!$H574)=0,"",ROUND(N(资金日记账!$H574),2))=0,"",IF(N(资金日记账!$H574)=0,"",ROUND(N(资金日记账!$H574),2))))</f>
        <v/>
      </c>
      <c r="P581" s="0" t="str">
        <f aca="false">IF($G581=0,"",IF(资金日记账!$L574=0,"",资金日记账!$L574))</f>
        <v/>
      </c>
      <c r="T581" s="0" t="str">
        <f aca="false">IF(资金日记账!$G581="","",资金日记账!$G581)</f>
        <v/>
      </c>
      <c r="U581" s="0" t="n">
        <f aca="false">IF(T581="",0,IF(MATCH(T581,$T$4:$T$903,0)=ROW()-3,1,0))</f>
        <v>0</v>
      </c>
      <c r="V581" s="0" t="n">
        <f aca="false">N(V580)+U581</f>
        <v>30</v>
      </c>
      <c r="AF581" s="0" t="str">
        <f aca="false">IF(OR(资金日记账!$E581="",N(资金日记账!$H581)=0),"",资金日记账!$E581)</f>
        <v/>
      </c>
      <c r="AG581" s="0" t="n">
        <f aca="false">IF(AF581="",0,IF(MATCH(AF581,$AF$4:$AF$603,0)=ROW()-3,1,0))</f>
        <v>0</v>
      </c>
      <c r="AH581" s="0" t="n">
        <f aca="false">N(AH580)+AG581</f>
        <v>5</v>
      </c>
    </row>
    <row r="582" customFormat="false" ht="13.5" hidden="false" customHeight="false" outlineLevel="0" collapsed="false">
      <c r="A582" s="0" t="str">
        <f aca="false">IF(资金日记账!$E280="","",资金日记账!$E280)</f>
        <v/>
      </c>
      <c r="B582" s="0" t="n">
        <f aca="false">IF(A582="",0,IF(MATCH(A582,$A$4:$A$1925,0)=ROW()-3,1,0))</f>
        <v>0</v>
      </c>
      <c r="C582" s="0" t="n">
        <f aca="false">N(C581)+B582</f>
        <v>11</v>
      </c>
      <c r="G582" s="0" t="n">
        <f aca="false">IF(OR($G$1="",资金日记账!$E575="",资金日记账!$E575&lt;&gt;$G$1),0,IF(NOT(OR(N(资金日记账!$H575)&lt;&gt;0,N(资金日记账!$I575)&lt;&gt;0)),0,IF(资金日记账!$B575="",1,IF(OR(N(资金日记账!$B575)&lt;$H$1,N(资金日记账!$B575)&gt;$I$1),0,1))))</f>
        <v>0</v>
      </c>
      <c r="H582" s="0" t="n">
        <f aca="false">N(H581)+$G582</f>
        <v>3</v>
      </c>
      <c r="I582" s="0" t="str">
        <f aca="false">IF($G582=0,"",IF(资金日记账!$B575=0,"",资金日记账!$B575))</f>
        <v/>
      </c>
      <c r="J582" s="0" t="str">
        <f aca="false">IF($G582=0,"",IF(资金日记账!$D575=0,"",资金日记账!$D575))</f>
        <v/>
      </c>
      <c r="K582" s="0" t="str">
        <f aca="false">IF($G582=0,"",IF(""=0,"",""))</f>
        <v/>
      </c>
      <c r="L582" s="0" t="str">
        <f aca="false">IF($G582=0,"",IF(""=0,"",""))</f>
        <v/>
      </c>
      <c r="M582" s="0" t="str">
        <f aca="false">IF($G582=0,"",IF(""=0,"",""))</f>
        <v/>
      </c>
      <c r="N582" s="0" t="str">
        <f aca="false">IF($G582=0,"",IF(IF(N(资金日记账!$I575)=0,"",-ROUND(N(资金日记账!$I575),2))=0,"",IF(N(资金日记账!$I575)=0,"",-ROUND(N(资金日记账!$I575),2))))</f>
        <v/>
      </c>
      <c r="O582" s="0" t="str">
        <f aca="false">IF($G582=0,"",IF(IF(N(资金日记账!$H575)=0,"",ROUND(N(资金日记账!$H575),2))=0,"",IF(N(资金日记账!$H575)=0,"",ROUND(N(资金日记账!$H575),2))))</f>
        <v/>
      </c>
      <c r="P582" s="0" t="str">
        <f aca="false">IF($G582=0,"",IF(资金日记账!$L575=0,"",资金日记账!$L575))</f>
        <v/>
      </c>
      <c r="T582" s="0" t="str">
        <f aca="false">IF(资金日记账!$G582="","",资金日记账!$G582)</f>
        <v/>
      </c>
      <c r="U582" s="0" t="n">
        <f aca="false">IF(T582="",0,IF(MATCH(T582,$T$4:$T$903,0)=ROW()-3,1,0))</f>
        <v>0</v>
      </c>
      <c r="V582" s="0" t="n">
        <f aca="false">N(V581)+U582</f>
        <v>30</v>
      </c>
      <c r="AF582" s="0" t="str">
        <f aca="false">IF(OR(资金日记账!$E582="",N(资金日记账!$H582)=0),"",资金日记账!$E582)</f>
        <v/>
      </c>
      <c r="AG582" s="0" t="n">
        <f aca="false">IF(AF582="",0,IF(MATCH(AF582,$AF$4:$AF$603,0)=ROW()-3,1,0))</f>
        <v>0</v>
      </c>
      <c r="AH582" s="0" t="n">
        <f aca="false">N(AH581)+AG582</f>
        <v>5</v>
      </c>
    </row>
    <row r="583" customFormat="false" ht="13.5" hidden="false" customHeight="false" outlineLevel="0" collapsed="false">
      <c r="A583" s="0" t="str">
        <f aca="false">IF(资金日记账!$E281="","",资金日记账!$E281)</f>
        <v/>
      </c>
      <c r="B583" s="0" t="n">
        <f aca="false">IF(A583="",0,IF(MATCH(A583,$A$4:$A$1925,0)=ROW()-3,1,0))</f>
        <v>0</v>
      </c>
      <c r="C583" s="0" t="n">
        <f aca="false">N(C582)+B583</f>
        <v>11</v>
      </c>
      <c r="G583" s="0" t="n">
        <f aca="false">IF(OR($G$1="",资金日记账!$E576="",资金日记账!$E576&lt;&gt;$G$1),0,IF(NOT(OR(N(资金日记账!$H576)&lt;&gt;0,N(资金日记账!$I576)&lt;&gt;0)),0,IF(资金日记账!$B576="",1,IF(OR(N(资金日记账!$B576)&lt;$H$1,N(资金日记账!$B576)&gt;$I$1),0,1))))</f>
        <v>0</v>
      </c>
      <c r="H583" s="0" t="n">
        <f aca="false">N(H582)+$G583</f>
        <v>3</v>
      </c>
      <c r="I583" s="0" t="str">
        <f aca="false">IF($G583=0,"",IF(资金日记账!$B576=0,"",资金日记账!$B576))</f>
        <v/>
      </c>
      <c r="J583" s="0" t="str">
        <f aca="false">IF($G583=0,"",IF(资金日记账!$D576=0,"",资金日记账!$D576))</f>
        <v/>
      </c>
      <c r="K583" s="0" t="str">
        <f aca="false">IF($G583=0,"",IF(""=0,"",""))</f>
        <v/>
      </c>
      <c r="L583" s="0" t="str">
        <f aca="false">IF($G583=0,"",IF(""=0,"",""))</f>
        <v/>
      </c>
      <c r="M583" s="0" t="str">
        <f aca="false">IF($G583=0,"",IF(""=0,"",""))</f>
        <v/>
      </c>
      <c r="N583" s="0" t="str">
        <f aca="false">IF($G583=0,"",IF(IF(N(资金日记账!$I576)=0,"",-ROUND(N(资金日记账!$I576),2))=0,"",IF(N(资金日记账!$I576)=0,"",-ROUND(N(资金日记账!$I576),2))))</f>
        <v/>
      </c>
      <c r="O583" s="0" t="str">
        <f aca="false">IF($G583=0,"",IF(IF(N(资金日记账!$H576)=0,"",ROUND(N(资金日记账!$H576),2))=0,"",IF(N(资金日记账!$H576)=0,"",ROUND(N(资金日记账!$H576),2))))</f>
        <v/>
      </c>
      <c r="P583" s="0" t="str">
        <f aca="false">IF($G583=0,"",IF(资金日记账!$L576=0,"",资金日记账!$L576))</f>
        <v/>
      </c>
      <c r="T583" s="0" t="str">
        <f aca="false">IF(资金日记账!$G583="","",资金日记账!$G583)</f>
        <v/>
      </c>
      <c r="U583" s="0" t="n">
        <f aca="false">IF(T583="",0,IF(MATCH(T583,$T$4:$T$903,0)=ROW()-3,1,0))</f>
        <v>0</v>
      </c>
      <c r="V583" s="0" t="n">
        <f aca="false">N(V582)+U583</f>
        <v>30</v>
      </c>
      <c r="AF583" s="0" t="str">
        <f aca="false">IF(OR(资金日记账!$E583="",N(资金日记账!$H583)=0),"",资金日记账!$E583)</f>
        <v/>
      </c>
      <c r="AG583" s="0" t="n">
        <f aca="false">IF(AF583="",0,IF(MATCH(AF583,$AF$4:$AF$603,0)=ROW()-3,1,0))</f>
        <v>0</v>
      </c>
      <c r="AH583" s="0" t="n">
        <f aca="false">N(AH582)+AG583</f>
        <v>5</v>
      </c>
    </row>
    <row r="584" customFormat="false" ht="13.5" hidden="false" customHeight="false" outlineLevel="0" collapsed="false">
      <c r="A584" s="0" t="str">
        <f aca="false">IF(资金日记账!$E282="","",资金日记账!$E282)</f>
        <v/>
      </c>
      <c r="B584" s="0" t="n">
        <f aca="false">IF(A584="",0,IF(MATCH(A584,$A$4:$A$1925,0)=ROW()-3,1,0))</f>
        <v>0</v>
      </c>
      <c r="C584" s="0" t="n">
        <f aca="false">N(C583)+B584</f>
        <v>11</v>
      </c>
      <c r="G584" s="0" t="n">
        <f aca="false">IF(OR($G$1="",资金日记账!$E577="",资金日记账!$E577&lt;&gt;$G$1),0,IF(NOT(OR(N(资金日记账!$H577)&lt;&gt;0,N(资金日记账!$I577)&lt;&gt;0)),0,IF(资金日记账!$B577="",1,IF(OR(N(资金日记账!$B577)&lt;$H$1,N(资金日记账!$B577)&gt;$I$1),0,1))))</f>
        <v>0</v>
      </c>
      <c r="H584" s="0" t="n">
        <f aca="false">N(H583)+$G584</f>
        <v>3</v>
      </c>
      <c r="I584" s="0" t="str">
        <f aca="false">IF($G584=0,"",IF(资金日记账!$B577=0,"",资金日记账!$B577))</f>
        <v/>
      </c>
      <c r="J584" s="0" t="str">
        <f aca="false">IF($G584=0,"",IF(资金日记账!$D577=0,"",资金日记账!$D577))</f>
        <v/>
      </c>
      <c r="K584" s="0" t="str">
        <f aca="false">IF($G584=0,"",IF(""=0,"",""))</f>
        <v/>
      </c>
      <c r="L584" s="0" t="str">
        <f aca="false">IF($G584=0,"",IF(""=0,"",""))</f>
        <v/>
      </c>
      <c r="M584" s="0" t="str">
        <f aca="false">IF($G584=0,"",IF(""=0,"",""))</f>
        <v/>
      </c>
      <c r="N584" s="0" t="str">
        <f aca="false">IF($G584=0,"",IF(IF(N(资金日记账!$I577)=0,"",-ROUND(N(资金日记账!$I577),2))=0,"",IF(N(资金日记账!$I577)=0,"",-ROUND(N(资金日记账!$I577),2))))</f>
        <v/>
      </c>
      <c r="O584" s="0" t="str">
        <f aca="false">IF($G584=0,"",IF(IF(N(资金日记账!$H577)=0,"",ROUND(N(资金日记账!$H577),2))=0,"",IF(N(资金日记账!$H577)=0,"",ROUND(N(资金日记账!$H577),2))))</f>
        <v/>
      </c>
      <c r="P584" s="0" t="str">
        <f aca="false">IF($G584=0,"",IF(资金日记账!$L577=0,"",资金日记账!$L577))</f>
        <v/>
      </c>
      <c r="T584" s="0" t="str">
        <f aca="false">IF(资金日记账!$G584="","",资金日记账!$G584)</f>
        <v/>
      </c>
      <c r="U584" s="0" t="n">
        <f aca="false">IF(T584="",0,IF(MATCH(T584,$T$4:$T$903,0)=ROW()-3,1,0))</f>
        <v>0</v>
      </c>
      <c r="V584" s="0" t="n">
        <f aca="false">N(V583)+U584</f>
        <v>30</v>
      </c>
      <c r="AF584" s="0" t="str">
        <f aca="false">IF(OR(资金日记账!$E584="",N(资金日记账!$H584)=0),"",资金日记账!$E584)</f>
        <v/>
      </c>
      <c r="AG584" s="0" t="n">
        <f aca="false">IF(AF584="",0,IF(MATCH(AF584,$AF$4:$AF$603,0)=ROW()-3,1,0))</f>
        <v>0</v>
      </c>
      <c r="AH584" s="0" t="n">
        <f aca="false">N(AH583)+AG584</f>
        <v>5</v>
      </c>
    </row>
    <row r="585" customFormat="false" ht="13.5" hidden="false" customHeight="false" outlineLevel="0" collapsed="false">
      <c r="A585" s="0" t="str">
        <f aca="false">IF(资金日记账!$E283="","",资金日记账!$E283)</f>
        <v/>
      </c>
      <c r="B585" s="0" t="n">
        <f aca="false">IF(A585="",0,IF(MATCH(A585,$A$4:$A$1925,0)=ROW()-3,1,0))</f>
        <v>0</v>
      </c>
      <c r="C585" s="0" t="n">
        <f aca="false">N(C584)+B585</f>
        <v>11</v>
      </c>
      <c r="G585" s="0" t="n">
        <f aca="false">IF(OR($G$1="",资金日记账!$E578="",资金日记账!$E578&lt;&gt;$G$1),0,IF(NOT(OR(N(资金日记账!$H578)&lt;&gt;0,N(资金日记账!$I578)&lt;&gt;0)),0,IF(资金日记账!$B578="",1,IF(OR(N(资金日记账!$B578)&lt;$H$1,N(资金日记账!$B578)&gt;$I$1),0,1))))</f>
        <v>0</v>
      </c>
      <c r="H585" s="0" t="n">
        <f aca="false">N(H584)+$G585</f>
        <v>3</v>
      </c>
      <c r="I585" s="0" t="str">
        <f aca="false">IF($G585=0,"",IF(资金日记账!$B578=0,"",资金日记账!$B578))</f>
        <v/>
      </c>
      <c r="J585" s="0" t="str">
        <f aca="false">IF($G585=0,"",IF(资金日记账!$D578=0,"",资金日记账!$D578))</f>
        <v/>
      </c>
      <c r="K585" s="0" t="str">
        <f aca="false">IF($G585=0,"",IF(""=0,"",""))</f>
        <v/>
      </c>
      <c r="L585" s="0" t="str">
        <f aca="false">IF($G585=0,"",IF(""=0,"",""))</f>
        <v/>
      </c>
      <c r="M585" s="0" t="str">
        <f aca="false">IF($G585=0,"",IF(""=0,"",""))</f>
        <v/>
      </c>
      <c r="N585" s="0" t="str">
        <f aca="false">IF($G585=0,"",IF(IF(N(资金日记账!$I578)=0,"",-ROUND(N(资金日记账!$I578),2))=0,"",IF(N(资金日记账!$I578)=0,"",-ROUND(N(资金日记账!$I578),2))))</f>
        <v/>
      </c>
      <c r="O585" s="0" t="str">
        <f aca="false">IF($G585=0,"",IF(IF(N(资金日记账!$H578)=0,"",ROUND(N(资金日记账!$H578),2))=0,"",IF(N(资金日记账!$H578)=0,"",ROUND(N(资金日记账!$H578),2))))</f>
        <v/>
      </c>
      <c r="P585" s="0" t="str">
        <f aca="false">IF($G585=0,"",IF(资金日记账!$L578=0,"",资金日记账!$L578))</f>
        <v/>
      </c>
      <c r="T585" s="0" t="str">
        <f aca="false">IF(资金日记账!$G585="","",资金日记账!$G585)</f>
        <v/>
      </c>
      <c r="U585" s="0" t="n">
        <f aca="false">IF(T585="",0,IF(MATCH(T585,$T$4:$T$903,0)=ROW()-3,1,0))</f>
        <v>0</v>
      </c>
      <c r="V585" s="0" t="n">
        <f aca="false">N(V584)+U585</f>
        <v>30</v>
      </c>
      <c r="AF585" s="0" t="str">
        <f aca="false">IF(OR(资金日记账!$E585="",N(资金日记账!$H585)=0),"",资金日记账!$E585)</f>
        <v/>
      </c>
      <c r="AG585" s="0" t="n">
        <f aca="false">IF(AF585="",0,IF(MATCH(AF585,$AF$4:$AF$603,0)=ROW()-3,1,0))</f>
        <v>0</v>
      </c>
      <c r="AH585" s="0" t="n">
        <f aca="false">N(AH584)+AG585</f>
        <v>5</v>
      </c>
    </row>
    <row r="586" customFormat="false" ht="13.5" hidden="false" customHeight="false" outlineLevel="0" collapsed="false">
      <c r="A586" s="0" t="str">
        <f aca="false">IF(资金日记账!$E284="","",资金日记账!$E284)</f>
        <v/>
      </c>
      <c r="B586" s="0" t="n">
        <f aca="false">IF(A586="",0,IF(MATCH(A586,$A$4:$A$1925,0)=ROW()-3,1,0))</f>
        <v>0</v>
      </c>
      <c r="C586" s="0" t="n">
        <f aca="false">N(C585)+B586</f>
        <v>11</v>
      </c>
      <c r="G586" s="0" t="n">
        <f aca="false">IF(OR($G$1="",资金日记账!$E579="",资金日记账!$E579&lt;&gt;$G$1),0,IF(NOT(OR(N(资金日记账!$H579)&lt;&gt;0,N(资金日记账!$I579)&lt;&gt;0)),0,IF(资金日记账!$B579="",1,IF(OR(N(资金日记账!$B579)&lt;$H$1,N(资金日记账!$B579)&gt;$I$1),0,1))))</f>
        <v>0</v>
      </c>
      <c r="H586" s="0" t="n">
        <f aca="false">N(H585)+$G586</f>
        <v>3</v>
      </c>
      <c r="I586" s="0" t="str">
        <f aca="false">IF($G586=0,"",IF(资金日记账!$B579=0,"",资金日记账!$B579))</f>
        <v/>
      </c>
      <c r="J586" s="0" t="str">
        <f aca="false">IF($G586=0,"",IF(资金日记账!$D579=0,"",资金日记账!$D579))</f>
        <v/>
      </c>
      <c r="K586" s="0" t="str">
        <f aca="false">IF($G586=0,"",IF(""=0,"",""))</f>
        <v/>
      </c>
      <c r="L586" s="0" t="str">
        <f aca="false">IF($G586=0,"",IF(""=0,"",""))</f>
        <v/>
      </c>
      <c r="M586" s="0" t="str">
        <f aca="false">IF($G586=0,"",IF(""=0,"",""))</f>
        <v/>
      </c>
      <c r="N586" s="0" t="str">
        <f aca="false">IF($G586=0,"",IF(IF(N(资金日记账!$I579)=0,"",-ROUND(N(资金日记账!$I579),2))=0,"",IF(N(资金日记账!$I579)=0,"",-ROUND(N(资金日记账!$I579),2))))</f>
        <v/>
      </c>
      <c r="O586" s="0" t="str">
        <f aca="false">IF($G586=0,"",IF(IF(N(资金日记账!$H579)=0,"",ROUND(N(资金日记账!$H579),2))=0,"",IF(N(资金日记账!$H579)=0,"",ROUND(N(资金日记账!$H579),2))))</f>
        <v/>
      </c>
      <c r="P586" s="0" t="str">
        <f aca="false">IF($G586=0,"",IF(资金日记账!$L579=0,"",资金日记账!$L579))</f>
        <v/>
      </c>
      <c r="T586" s="0" t="str">
        <f aca="false">IF(资金日记账!$G586="","",资金日记账!$G586)</f>
        <v/>
      </c>
      <c r="U586" s="0" t="n">
        <f aca="false">IF(T586="",0,IF(MATCH(T586,$T$4:$T$903,0)=ROW()-3,1,0))</f>
        <v>0</v>
      </c>
      <c r="V586" s="0" t="n">
        <f aca="false">N(V585)+U586</f>
        <v>30</v>
      </c>
      <c r="AF586" s="0" t="str">
        <f aca="false">IF(OR(资金日记账!$E586="",N(资金日记账!$H586)=0),"",资金日记账!$E586)</f>
        <v/>
      </c>
      <c r="AG586" s="0" t="n">
        <f aca="false">IF(AF586="",0,IF(MATCH(AF586,$AF$4:$AF$603,0)=ROW()-3,1,0))</f>
        <v>0</v>
      </c>
      <c r="AH586" s="0" t="n">
        <f aca="false">N(AH585)+AG586</f>
        <v>5</v>
      </c>
    </row>
    <row r="587" customFormat="false" ht="13.5" hidden="false" customHeight="false" outlineLevel="0" collapsed="false">
      <c r="A587" s="0" t="str">
        <f aca="false">IF(资金日记账!$E285="","",资金日记账!$E285)</f>
        <v/>
      </c>
      <c r="B587" s="0" t="n">
        <f aca="false">IF(A587="",0,IF(MATCH(A587,$A$4:$A$1925,0)=ROW()-3,1,0))</f>
        <v>0</v>
      </c>
      <c r="C587" s="0" t="n">
        <f aca="false">N(C586)+B587</f>
        <v>11</v>
      </c>
      <c r="G587" s="0" t="n">
        <f aca="false">IF(OR($G$1="",资金日记账!$E580="",资金日记账!$E580&lt;&gt;$G$1),0,IF(NOT(OR(N(资金日记账!$H580)&lt;&gt;0,N(资金日记账!$I580)&lt;&gt;0)),0,IF(资金日记账!$B580="",1,IF(OR(N(资金日记账!$B580)&lt;$H$1,N(资金日记账!$B580)&gt;$I$1),0,1))))</f>
        <v>0</v>
      </c>
      <c r="H587" s="0" t="n">
        <f aca="false">N(H586)+$G587</f>
        <v>3</v>
      </c>
      <c r="I587" s="0" t="str">
        <f aca="false">IF($G587=0,"",IF(资金日记账!$B580=0,"",资金日记账!$B580))</f>
        <v/>
      </c>
      <c r="J587" s="0" t="str">
        <f aca="false">IF($G587=0,"",IF(资金日记账!$D580=0,"",资金日记账!$D580))</f>
        <v/>
      </c>
      <c r="K587" s="0" t="str">
        <f aca="false">IF($G587=0,"",IF(""=0,"",""))</f>
        <v/>
      </c>
      <c r="L587" s="0" t="str">
        <f aca="false">IF($G587=0,"",IF(""=0,"",""))</f>
        <v/>
      </c>
      <c r="M587" s="0" t="str">
        <f aca="false">IF($G587=0,"",IF(""=0,"",""))</f>
        <v/>
      </c>
      <c r="N587" s="0" t="str">
        <f aca="false">IF($G587=0,"",IF(IF(N(资金日记账!$I580)=0,"",-ROUND(N(资金日记账!$I580),2))=0,"",IF(N(资金日记账!$I580)=0,"",-ROUND(N(资金日记账!$I580),2))))</f>
        <v/>
      </c>
      <c r="O587" s="0" t="str">
        <f aca="false">IF($G587=0,"",IF(IF(N(资金日记账!$H580)=0,"",ROUND(N(资金日记账!$H580),2))=0,"",IF(N(资金日记账!$H580)=0,"",ROUND(N(资金日记账!$H580),2))))</f>
        <v/>
      </c>
      <c r="P587" s="0" t="str">
        <f aca="false">IF($G587=0,"",IF(资金日记账!$L580=0,"",资金日记账!$L580))</f>
        <v/>
      </c>
      <c r="T587" s="0" t="str">
        <f aca="false">IF(资金日记账!$G587="","",资金日记账!$G587)</f>
        <v/>
      </c>
      <c r="U587" s="0" t="n">
        <f aca="false">IF(T587="",0,IF(MATCH(T587,$T$4:$T$903,0)=ROW()-3,1,0))</f>
        <v>0</v>
      </c>
      <c r="V587" s="0" t="n">
        <f aca="false">N(V586)+U587</f>
        <v>30</v>
      </c>
      <c r="AF587" s="0" t="str">
        <f aca="false">IF(OR(资金日记账!$E587="",N(资金日记账!$H587)=0),"",资金日记账!$E587)</f>
        <v/>
      </c>
      <c r="AG587" s="0" t="n">
        <f aca="false">IF(AF587="",0,IF(MATCH(AF587,$AF$4:$AF$603,0)=ROW()-3,1,0))</f>
        <v>0</v>
      </c>
      <c r="AH587" s="0" t="n">
        <f aca="false">N(AH586)+AG587</f>
        <v>5</v>
      </c>
    </row>
    <row r="588" customFormat="false" ht="13.5" hidden="false" customHeight="false" outlineLevel="0" collapsed="false">
      <c r="A588" s="0" t="str">
        <f aca="false">IF(资金日记账!$E286="","",资金日记账!$E286)</f>
        <v/>
      </c>
      <c r="B588" s="0" t="n">
        <f aca="false">IF(A588="",0,IF(MATCH(A588,$A$4:$A$1925,0)=ROW()-3,1,0))</f>
        <v>0</v>
      </c>
      <c r="C588" s="0" t="n">
        <f aca="false">N(C587)+B588</f>
        <v>11</v>
      </c>
      <c r="G588" s="0" t="n">
        <f aca="false">IF(OR($G$1="",资金日记账!$E581="",资金日记账!$E581&lt;&gt;$G$1),0,IF(NOT(OR(N(资金日记账!$H581)&lt;&gt;0,N(资金日记账!$I581)&lt;&gt;0)),0,IF(资金日记账!$B581="",1,IF(OR(N(资金日记账!$B581)&lt;$H$1,N(资金日记账!$B581)&gt;$I$1),0,1))))</f>
        <v>0</v>
      </c>
      <c r="H588" s="0" t="n">
        <f aca="false">N(H587)+$G588</f>
        <v>3</v>
      </c>
      <c r="I588" s="0" t="str">
        <f aca="false">IF($G588=0,"",IF(资金日记账!$B581=0,"",资金日记账!$B581))</f>
        <v/>
      </c>
      <c r="J588" s="0" t="str">
        <f aca="false">IF($G588=0,"",IF(资金日记账!$D581=0,"",资金日记账!$D581))</f>
        <v/>
      </c>
      <c r="K588" s="0" t="str">
        <f aca="false">IF($G588=0,"",IF(""=0,"",""))</f>
        <v/>
      </c>
      <c r="L588" s="0" t="str">
        <f aca="false">IF($G588=0,"",IF(""=0,"",""))</f>
        <v/>
      </c>
      <c r="M588" s="0" t="str">
        <f aca="false">IF($G588=0,"",IF(""=0,"",""))</f>
        <v/>
      </c>
      <c r="N588" s="0" t="str">
        <f aca="false">IF($G588=0,"",IF(IF(N(资金日记账!$I581)=0,"",-ROUND(N(资金日记账!$I581),2))=0,"",IF(N(资金日记账!$I581)=0,"",-ROUND(N(资金日记账!$I581),2))))</f>
        <v/>
      </c>
      <c r="O588" s="0" t="str">
        <f aca="false">IF($G588=0,"",IF(IF(N(资金日记账!$H581)=0,"",ROUND(N(资金日记账!$H581),2))=0,"",IF(N(资金日记账!$H581)=0,"",ROUND(N(资金日记账!$H581),2))))</f>
        <v/>
      </c>
      <c r="P588" s="0" t="str">
        <f aca="false">IF($G588=0,"",IF(资金日记账!$L581=0,"",资金日记账!$L581))</f>
        <v/>
      </c>
      <c r="T588" s="0" t="str">
        <f aca="false">IF(资金日记账!$G588="","",资金日记账!$G588)</f>
        <v/>
      </c>
      <c r="U588" s="0" t="n">
        <f aca="false">IF(T588="",0,IF(MATCH(T588,$T$4:$T$903,0)=ROW()-3,1,0))</f>
        <v>0</v>
      </c>
      <c r="V588" s="0" t="n">
        <f aca="false">N(V587)+U588</f>
        <v>30</v>
      </c>
      <c r="AF588" s="0" t="str">
        <f aca="false">IF(OR(资金日记账!$E588="",N(资金日记账!$H588)=0),"",资金日记账!$E588)</f>
        <v/>
      </c>
      <c r="AG588" s="0" t="n">
        <f aca="false">IF(AF588="",0,IF(MATCH(AF588,$AF$4:$AF$603,0)=ROW()-3,1,0))</f>
        <v>0</v>
      </c>
      <c r="AH588" s="0" t="n">
        <f aca="false">N(AH587)+AG588</f>
        <v>5</v>
      </c>
    </row>
    <row r="589" customFormat="false" ht="13.5" hidden="false" customHeight="false" outlineLevel="0" collapsed="false">
      <c r="A589" s="0" t="str">
        <f aca="false">IF(资金日记账!$E287="","",资金日记账!$E287)</f>
        <v/>
      </c>
      <c r="B589" s="0" t="n">
        <f aca="false">IF(A589="",0,IF(MATCH(A589,$A$4:$A$1925,0)=ROW()-3,1,0))</f>
        <v>0</v>
      </c>
      <c r="C589" s="0" t="n">
        <f aca="false">N(C588)+B589</f>
        <v>11</v>
      </c>
      <c r="G589" s="0" t="n">
        <f aca="false">IF(OR($G$1="",资金日记账!$E582="",资金日记账!$E582&lt;&gt;$G$1),0,IF(NOT(OR(N(资金日记账!$H582)&lt;&gt;0,N(资金日记账!$I582)&lt;&gt;0)),0,IF(资金日记账!$B582="",1,IF(OR(N(资金日记账!$B582)&lt;$H$1,N(资金日记账!$B582)&gt;$I$1),0,1))))</f>
        <v>0</v>
      </c>
      <c r="H589" s="0" t="n">
        <f aca="false">N(H588)+$G589</f>
        <v>3</v>
      </c>
      <c r="I589" s="0" t="str">
        <f aca="false">IF($G589=0,"",IF(资金日记账!$B582=0,"",资金日记账!$B582))</f>
        <v/>
      </c>
      <c r="J589" s="0" t="str">
        <f aca="false">IF($G589=0,"",IF(资金日记账!$D582=0,"",资金日记账!$D582))</f>
        <v/>
      </c>
      <c r="K589" s="0" t="str">
        <f aca="false">IF($G589=0,"",IF(""=0,"",""))</f>
        <v/>
      </c>
      <c r="L589" s="0" t="str">
        <f aca="false">IF($G589=0,"",IF(""=0,"",""))</f>
        <v/>
      </c>
      <c r="M589" s="0" t="str">
        <f aca="false">IF($G589=0,"",IF(""=0,"",""))</f>
        <v/>
      </c>
      <c r="N589" s="0" t="str">
        <f aca="false">IF($G589=0,"",IF(IF(N(资金日记账!$I582)=0,"",-ROUND(N(资金日记账!$I582),2))=0,"",IF(N(资金日记账!$I582)=0,"",-ROUND(N(资金日记账!$I582),2))))</f>
        <v/>
      </c>
      <c r="O589" s="0" t="str">
        <f aca="false">IF($G589=0,"",IF(IF(N(资金日记账!$H582)=0,"",ROUND(N(资金日记账!$H582),2))=0,"",IF(N(资金日记账!$H582)=0,"",ROUND(N(资金日记账!$H582),2))))</f>
        <v/>
      </c>
      <c r="P589" s="0" t="str">
        <f aca="false">IF($G589=0,"",IF(资金日记账!$L582=0,"",资金日记账!$L582))</f>
        <v/>
      </c>
      <c r="T589" s="0" t="str">
        <f aca="false">IF(资金日记账!$G589="","",资金日记账!$G589)</f>
        <v/>
      </c>
      <c r="U589" s="0" t="n">
        <f aca="false">IF(T589="",0,IF(MATCH(T589,$T$4:$T$903,0)=ROW()-3,1,0))</f>
        <v>0</v>
      </c>
      <c r="V589" s="0" t="n">
        <f aca="false">N(V588)+U589</f>
        <v>30</v>
      </c>
      <c r="AF589" s="0" t="str">
        <f aca="false">IF(OR(资金日记账!$E589="",N(资金日记账!$H589)=0),"",资金日记账!$E589)</f>
        <v/>
      </c>
      <c r="AG589" s="0" t="n">
        <f aca="false">IF(AF589="",0,IF(MATCH(AF589,$AF$4:$AF$603,0)=ROW()-3,1,0))</f>
        <v>0</v>
      </c>
      <c r="AH589" s="0" t="n">
        <f aca="false">N(AH588)+AG589</f>
        <v>5</v>
      </c>
    </row>
    <row r="590" customFormat="false" ht="13.5" hidden="false" customHeight="false" outlineLevel="0" collapsed="false">
      <c r="A590" s="0" t="str">
        <f aca="false">IF(资金日记账!$E288="","",资金日记账!$E288)</f>
        <v/>
      </c>
      <c r="B590" s="0" t="n">
        <f aca="false">IF(A590="",0,IF(MATCH(A590,$A$4:$A$1925,0)=ROW()-3,1,0))</f>
        <v>0</v>
      </c>
      <c r="C590" s="0" t="n">
        <f aca="false">N(C589)+B590</f>
        <v>11</v>
      </c>
      <c r="G590" s="0" t="n">
        <f aca="false">IF(OR($G$1="",资金日记账!$E583="",资金日记账!$E583&lt;&gt;$G$1),0,IF(NOT(OR(N(资金日记账!$H583)&lt;&gt;0,N(资金日记账!$I583)&lt;&gt;0)),0,IF(资金日记账!$B583="",1,IF(OR(N(资金日记账!$B583)&lt;$H$1,N(资金日记账!$B583)&gt;$I$1),0,1))))</f>
        <v>0</v>
      </c>
      <c r="H590" s="0" t="n">
        <f aca="false">N(H589)+$G590</f>
        <v>3</v>
      </c>
      <c r="I590" s="0" t="str">
        <f aca="false">IF($G590=0,"",IF(资金日记账!$B583=0,"",资金日记账!$B583))</f>
        <v/>
      </c>
      <c r="J590" s="0" t="str">
        <f aca="false">IF($G590=0,"",IF(资金日记账!$D583=0,"",资金日记账!$D583))</f>
        <v/>
      </c>
      <c r="K590" s="0" t="str">
        <f aca="false">IF($G590=0,"",IF(""=0,"",""))</f>
        <v/>
      </c>
      <c r="L590" s="0" t="str">
        <f aca="false">IF($G590=0,"",IF(""=0,"",""))</f>
        <v/>
      </c>
      <c r="M590" s="0" t="str">
        <f aca="false">IF($G590=0,"",IF(""=0,"",""))</f>
        <v/>
      </c>
      <c r="N590" s="0" t="str">
        <f aca="false">IF($G590=0,"",IF(IF(N(资金日记账!$I583)=0,"",-ROUND(N(资金日记账!$I583),2))=0,"",IF(N(资金日记账!$I583)=0,"",-ROUND(N(资金日记账!$I583),2))))</f>
        <v/>
      </c>
      <c r="O590" s="0" t="str">
        <f aca="false">IF($G590=0,"",IF(IF(N(资金日记账!$H583)=0,"",ROUND(N(资金日记账!$H583),2))=0,"",IF(N(资金日记账!$H583)=0,"",ROUND(N(资金日记账!$H583),2))))</f>
        <v/>
      </c>
      <c r="P590" s="0" t="str">
        <f aca="false">IF($G590=0,"",IF(资金日记账!$L583=0,"",资金日记账!$L583))</f>
        <v/>
      </c>
      <c r="T590" s="0" t="str">
        <f aca="false">IF(资金日记账!$G590="","",资金日记账!$G590)</f>
        <v/>
      </c>
      <c r="U590" s="0" t="n">
        <f aca="false">IF(T590="",0,IF(MATCH(T590,$T$4:$T$903,0)=ROW()-3,1,0))</f>
        <v>0</v>
      </c>
      <c r="V590" s="0" t="n">
        <f aca="false">N(V589)+U590</f>
        <v>30</v>
      </c>
      <c r="AF590" s="0" t="str">
        <f aca="false">IF(OR(资金日记账!$E590="",N(资金日记账!$H590)=0),"",资金日记账!$E590)</f>
        <v/>
      </c>
      <c r="AG590" s="0" t="n">
        <f aca="false">IF(AF590="",0,IF(MATCH(AF590,$AF$4:$AF$603,0)=ROW()-3,1,0))</f>
        <v>0</v>
      </c>
      <c r="AH590" s="0" t="n">
        <f aca="false">N(AH589)+AG590</f>
        <v>5</v>
      </c>
    </row>
    <row r="591" customFormat="false" ht="13.5" hidden="false" customHeight="false" outlineLevel="0" collapsed="false">
      <c r="A591" s="0" t="str">
        <f aca="false">IF(资金日记账!$E289="","",资金日记账!$E289)</f>
        <v/>
      </c>
      <c r="B591" s="0" t="n">
        <f aca="false">IF(A591="",0,IF(MATCH(A591,$A$4:$A$1925,0)=ROW()-3,1,0))</f>
        <v>0</v>
      </c>
      <c r="C591" s="0" t="n">
        <f aca="false">N(C590)+B591</f>
        <v>11</v>
      </c>
      <c r="G591" s="0" t="n">
        <f aca="false">IF(OR($G$1="",资金日记账!$E584="",资金日记账!$E584&lt;&gt;$G$1),0,IF(NOT(OR(N(资金日记账!$H584)&lt;&gt;0,N(资金日记账!$I584)&lt;&gt;0)),0,IF(资金日记账!$B584="",1,IF(OR(N(资金日记账!$B584)&lt;$H$1,N(资金日记账!$B584)&gt;$I$1),0,1))))</f>
        <v>0</v>
      </c>
      <c r="H591" s="0" t="n">
        <f aca="false">N(H590)+$G591</f>
        <v>3</v>
      </c>
      <c r="I591" s="0" t="str">
        <f aca="false">IF($G591=0,"",IF(资金日记账!$B584=0,"",资金日记账!$B584))</f>
        <v/>
      </c>
      <c r="J591" s="0" t="str">
        <f aca="false">IF($G591=0,"",IF(资金日记账!$D584=0,"",资金日记账!$D584))</f>
        <v/>
      </c>
      <c r="K591" s="0" t="str">
        <f aca="false">IF($G591=0,"",IF(""=0,"",""))</f>
        <v/>
      </c>
      <c r="L591" s="0" t="str">
        <f aca="false">IF($G591=0,"",IF(""=0,"",""))</f>
        <v/>
      </c>
      <c r="M591" s="0" t="str">
        <f aca="false">IF($G591=0,"",IF(""=0,"",""))</f>
        <v/>
      </c>
      <c r="N591" s="0" t="str">
        <f aca="false">IF($G591=0,"",IF(IF(N(资金日记账!$I584)=0,"",-ROUND(N(资金日记账!$I584),2))=0,"",IF(N(资金日记账!$I584)=0,"",-ROUND(N(资金日记账!$I584),2))))</f>
        <v/>
      </c>
      <c r="O591" s="0" t="str">
        <f aca="false">IF($G591=0,"",IF(IF(N(资金日记账!$H584)=0,"",ROUND(N(资金日记账!$H584),2))=0,"",IF(N(资金日记账!$H584)=0,"",ROUND(N(资金日记账!$H584),2))))</f>
        <v/>
      </c>
      <c r="P591" s="0" t="str">
        <f aca="false">IF($G591=0,"",IF(资金日记账!$L584=0,"",资金日记账!$L584))</f>
        <v/>
      </c>
      <c r="T591" s="0" t="str">
        <f aca="false">IF(资金日记账!$G591="","",资金日记账!$G591)</f>
        <v/>
      </c>
      <c r="U591" s="0" t="n">
        <f aca="false">IF(T591="",0,IF(MATCH(T591,$T$4:$T$903,0)=ROW()-3,1,0))</f>
        <v>0</v>
      </c>
      <c r="V591" s="0" t="n">
        <f aca="false">N(V590)+U591</f>
        <v>30</v>
      </c>
      <c r="AF591" s="0" t="str">
        <f aca="false">IF(OR(资金日记账!$E591="",N(资金日记账!$H591)=0),"",资金日记账!$E591)</f>
        <v/>
      </c>
      <c r="AG591" s="0" t="n">
        <f aca="false">IF(AF591="",0,IF(MATCH(AF591,$AF$4:$AF$603,0)=ROW()-3,1,0))</f>
        <v>0</v>
      </c>
      <c r="AH591" s="0" t="n">
        <f aca="false">N(AH590)+AG591</f>
        <v>5</v>
      </c>
    </row>
    <row r="592" customFormat="false" ht="13.5" hidden="false" customHeight="false" outlineLevel="0" collapsed="false">
      <c r="A592" s="0" t="str">
        <f aca="false">IF(资金日记账!$E290="","",资金日记账!$E290)</f>
        <v/>
      </c>
      <c r="B592" s="0" t="n">
        <f aca="false">IF(A592="",0,IF(MATCH(A592,$A$4:$A$1925,0)=ROW()-3,1,0))</f>
        <v>0</v>
      </c>
      <c r="C592" s="0" t="n">
        <f aca="false">N(C591)+B592</f>
        <v>11</v>
      </c>
      <c r="G592" s="0" t="n">
        <f aca="false">IF(OR($G$1="",资金日记账!$E585="",资金日记账!$E585&lt;&gt;$G$1),0,IF(NOT(OR(N(资金日记账!$H585)&lt;&gt;0,N(资金日记账!$I585)&lt;&gt;0)),0,IF(资金日记账!$B585="",1,IF(OR(N(资金日记账!$B585)&lt;$H$1,N(资金日记账!$B585)&gt;$I$1),0,1))))</f>
        <v>0</v>
      </c>
      <c r="H592" s="0" t="n">
        <f aca="false">N(H591)+$G592</f>
        <v>3</v>
      </c>
      <c r="I592" s="0" t="str">
        <f aca="false">IF($G592=0,"",IF(资金日记账!$B585=0,"",资金日记账!$B585))</f>
        <v/>
      </c>
      <c r="J592" s="0" t="str">
        <f aca="false">IF($G592=0,"",IF(资金日记账!$D585=0,"",资金日记账!$D585))</f>
        <v/>
      </c>
      <c r="K592" s="0" t="str">
        <f aca="false">IF($G592=0,"",IF(""=0,"",""))</f>
        <v/>
      </c>
      <c r="L592" s="0" t="str">
        <f aca="false">IF($G592=0,"",IF(""=0,"",""))</f>
        <v/>
      </c>
      <c r="M592" s="0" t="str">
        <f aca="false">IF($G592=0,"",IF(""=0,"",""))</f>
        <v/>
      </c>
      <c r="N592" s="0" t="str">
        <f aca="false">IF($G592=0,"",IF(IF(N(资金日记账!$I585)=0,"",-ROUND(N(资金日记账!$I585),2))=0,"",IF(N(资金日记账!$I585)=0,"",-ROUND(N(资金日记账!$I585),2))))</f>
        <v/>
      </c>
      <c r="O592" s="0" t="str">
        <f aca="false">IF($G592=0,"",IF(IF(N(资金日记账!$H585)=0,"",ROUND(N(资金日记账!$H585),2))=0,"",IF(N(资金日记账!$H585)=0,"",ROUND(N(资金日记账!$H585),2))))</f>
        <v/>
      </c>
      <c r="P592" s="0" t="str">
        <f aca="false">IF($G592=0,"",IF(资金日记账!$L585=0,"",资金日记账!$L585))</f>
        <v/>
      </c>
      <c r="T592" s="0" t="str">
        <f aca="false">IF(资金日记账!$G592="","",资金日记账!$G592)</f>
        <v/>
      </c>
      <c r="U592" s="0" t="n">
        <f aca="false">IF(T592="",0,IF(MATCH(T592,$T$4:$T$903,0)=ROW()-3,1,0))</f>
        <v>0</v>
      </c>
      <c r="V592" s="0" t="n">
        <f aca="false">N(V591)+U592</f>
        <v>30</v>
      </c>
      <c r="AF592" s="0" t="str">
        <f aca="false">IF(OR(资金日记账!$E592="",N(资金日记账!$H592)=0),"",资金日记账!$E592)</f>
        <v/>
      </c>
      <c r="AG592" s="0" t="n">
        <f aca="false">IF(AF592="",0,IF(MATCH(AF592,$AF$4:$AF$603,0)=ROW()-3,1,0))</f>
        <v>0</v>
      </c>
      <c r="AH592" s="0" t="n">
        <f aca="false">N(AH591)+AG592</f>
        <v>5</v>
      </c>
    </row>
    <row r="593" customFormat="false" ht="13.5" hidden="false" customHeight="false" outlineLevel="0" collapsed="false">
      <c r="A593" s="0" t="str">
        <f aca="false">IF(资金日记账!$E291="","",资金日记账!$E291)</f>
        <v/>
      </c>
      <c r="B593" s="0" t="n">
        <f aca="false">IF(A593="",0,IF(MATCH(A593,$A$4:$A$1925,0)=ROW()-3,1,0))</f>
        <v>0</v>
      </c>
      <c r="C593" s="0" t="n">
        <f aca="false">N(C592)+B593</f>
        <v>11</v>
      </c>
      <c r="G593" s="0" t="n">
        <f aca="false">IF(OR($G$1="",资金日记账!$E586="",资金日记账!$E586&lt;&gt;$G$1),0,IF(NOT(OR(N(资金日记账!$H586)&lt;&gt;0,N(资金日记账!$I586)&lt;&gt;0)),0,IF(资金日记账!$B586="",1,IF(OR(N(资金日记账!$B586)&lt;$H$1,N(资金日记账!$B586)&gt;$I$1),0,1))))</f>
        <v>0</v>
      </c>
      <c r="H593" s="0" t="n">
        <f aca="false">N(H592)+$G593</f>
        <v>3</v>
      </c>
      <c r="I593" s="0" t="str">
        <f aca="false">IF($G593=0,"",IF(资金日记账!$B586=0,"",资金日记账!$B586))</f>
        <v/>
      </c>
      <c r="J593" s="0" t="str">
        <f aca="false">IF($G593=0,"",IF(资金日记账!$D586=0,"",资金日记账!$D586))</f>
        <v/>
      </c>
      <c r="K593" s="0" t="str">
        <f aca="false">IF($G593=0,"",IF(""=0,"",""))</f>
        <v/>
      </c>
      <c r="L593" s="0" t="str">
        <f aca="false">IF($G593=0,"",IF(""=0,"",""))</f>
        <v/>
      </c>
      <c r="M593" s="0" t="str">
        <f aca="false">IF($G593=0,"",IF(""=0,"",""))</f>
        <v/>
      </c>
      <c r="N593" s="0" t="str">
        <f aca="false">IF($G593=0,"",IF(IF(N(资金日记账!$I586)=0,"",-ROUND(N(资金日记账!$I586),2))=0,"",IF(N(资金日记账!$I586)=0,"",-ROUND(N(资金日记账!$I586),2))))</f>
        <v/>
      </c>
      <c r="O593" s="0" t="str">
        <f aca="false">IF($G593=0,"",IF(IF(N(资金日记账!$H586)=0,"",ROUND(N(资金日记账!$H586),2))=0,"",IF(N(资金日记账!$H586)=0,"",ROUND(N(资金日记账!$H586),2))))</f>
        <v/>
      </c>
      <c r="P593" s="0" t="str">
        <f aca="false">IF($G593=0,"",IF(资金日记账!$L586=0,"",资金日记账!$L586))</f>
        <v/>
      </c>
      <c r="T593" s="0" t="str">
        <f aca="false">IF(资金日记账!$G593="","",资金日记账!$G593)</f>
        <v/>
      </c>
      <c r="U593" s="0" t="n">
        <f aca="false">IF(T593="",0,IF(MATCH(T593,$T$4:$T$903,0)=ROW()-3,1,0))</f>
        <v>0</v>
      </c>
      <c r="V593" s="0" t="n">
        <f aca="false">N(V592)+U593</f>
        <v>30</v>
      </c>
      <c r="AF593" s="0" t="str">
        <f aca="false">IF(OR(资金日记账!$E593="",N(资金日记账!$H593)=0),"",资金日记账!$E593)</f>
        <v/>
      </c>
      <c r="AG593" s="0" t="n">
        <f aca="false">IF(AF593="",0,IF(MATCH(AF593,$AF$4:$AF$603,0)=ROW()-3,1,0))</f>
        <v>0</v>
      </c>
      <c r="AH593" s="0" t="n">
        <f aca="false">N(AH592)+AG593</f>
        <v>5</v>
      </c>
    </row>
    <row r="594" customFormat="false" ht="13.5" hidden="false" customHeight="false" outlineLevel="0" collapsed="false">
      <c r="A594" s="0" t="str">
        <f aca="false">IF(资金日记账!$E292="","",资金日记账!$E292)</f>
        <v/>
      </c>
      <c r="B594" s="0" t="n">
        <f aca="false">IF(A594="",0,IF(MATCH(A594,$A$4:$A$1925,0)=ROW()-3,1,0))</f>
        <v>0</v>
      </c>
      <c r="C594" s="0" t="n">
        <f aca="false">N(C593)+B594</f>
        <v>11</v>
      </c>
      <c r="G594" s="0" t="n">
        <f aca="false">IF(OR($G$1="",资金日记账!$E587="",资金日记账!$E587&lt;&gt;$G$1),0,IF(NOT(OR(N(资金日记账!$H587)&lt;&gt;0,N(资金日记账!$I587)&lt;&gt;0)),0,IF(资金日记账!$B587="",1,IF(OR(N(资金日记账!$B587)&lt;$H$1,N(资金日记账!$B587)&gt;$I$1),0,1))))</f>
        <v>0</v>
      </c>
      <c r="H594" s="0" t="n">
        <f aca="false">N(H593)+$G594</f>
        <v>3</v>
      </c>
      <c r="I594" s="0" t="str">
        <f aca="false">IF($G594=0,"",IF(资金日记账!$B587=0,"",资金日记账!$B587))</f>
        <v/>
      </c>
      <c r="J594" s="0" t="str">
        <f aca="false">IF($G594=0,"",IF(资金日记账!$D587=0,"",资金日记账!$D587))</f>
        <v/>
      </c>
      <c r="K594" s="0" t="str">
        <f aca="false">IF($G594=0,"",IF(""=0,"",""))</f>
        <v/>
      </c>
      <c r="L594" s="0" t="str">
        <f aca="false">IF($G594=0,"",IF(""=0,"",""))</f>
        <v/>
      </c>
      <c r="M594" s="0" t="str">
        <f aca="false">IF($G594=0,"",IF(""=0,"",""))</f>
        <v/>
      </c>
      <c r="N594" s="0" t="str">
        <f aca="false">IF($G594=0,"",IF(IF(N(资金日记账!$I587)=0,"",-ROUND(N(资金日记账!$I587),2))=0,"",IF(N(资金日记账!$I587)=0,"",-ROUND(N(资金日记账!$I587),2))))</f>
        <v/>
      </c>
      <c r="O594" s="0" t="str">
        <f aca="false">IF($G594=0,"",IF(IF(N(资金日记账!$H587)=0,"",ROUND(N(资金日记账!$H587),2))=0,"",IF(N(资金日记账!$H587)=0,"",ROUND(N(资金日记账!$H587),2))))</f>
        <v/>
      </c>
      <c r="P594" s="0" t="str">
        <f aca="false">IF($G594=0,"",IF(资金日记账!$L587=0,"",资金日记账!$L587))</f>
        <v/>
      </c>
      <c r="T594" s="0" t="str">
        <f aca="false">IF(资金日记账!$G594="","",资金日记账!$G594)</f>
        <v/>
      </c>
      <c r="U594" s="0" t="n">
        <f aca="false">IF(T594="",0,IF(MATCH(T594,$T$4:$T$903,0)=ROW()-3,1,0))</f>
        <v>0</v>
      </c>
      <c r="V594" s="0" t="n">
        <f aca="false">N(V593)+U594</f>
        <v>30</v>
      </c>
      <c r="AF594" s="0" t="str">
        <f aca="false">IF(OR(资金日记账!$E594="",N(资金日记账!$H594)=0),"",资金日记账!$E594)</f>
        <v/>
      </c>
      <c r="AG594" s="0" t="n">
        <f aca="false">IF(AF594="",0,IF(MATCH(AF594,$AF$4:$AF$603,0)=ROW()-3,1,0))</f>
        <v>0</v>
      </c>
      <c r="AH594" s="0" t="n">
        <f aca="false">N(AH593)+AG594</f>
        <v>5</v>
      </c>
    </row>
    <row r="595" customFormat="false" ht="13.5" hidden="false" customHeight="false" outlineLevel="0" collapsed="false">
      <c r="A595" s="0" t="str">
        <f aca="false">IF(资金日记账!$E293="","",资金日记账!$E293)</f>
        <v/>
      </c>
      <c r="B595" s="0" t="n">
        <f aca="false">IF(A595="",0,IF(MATCH(A595,$A$4:$A$1925,0)=ROW()-3,1,0))</f>
        <v>0</v>
      </c>
      <c r="C595" s="0" t="n">
        <f aca="false">N(C594)+B595</f>
        <v>11</v>
      </c>
      <c r="G595" s="0" t="n">
        <f aca="false">IF(OR($G$1="",资金日记账!$E588="",资金日记账!$E588&lt;&gt;$G$1),0,IF(NOT(OR(N(资金日记账!$H588)&lt;&gt;0,N(资金日记账!$I588)&lt;&gt;0)),0,IF(资金日记账!$B588="",1,IF(OR(N(资金日记账!$B588)&lt;$H$1,N(资金日记账!$B588)&gt;$I$1),0,1))))</f>
        <v>0</v>
      </c>
      <c r="H595" s="0" t="n">
        <f aca="false">N(H594)+$G595</f>
        <v>3</v>
      </c>
      <c r="I595" s="0" t="str">
        <f aca="false">IF($G595=0,"",IF(资金日记账!$B588=0,"",资金日记账!$B588))</f>
        <v/>
      </c>
      <c r="J595" s="0" t="str">
        <f aca="false">IF($G595=0,"",IF(资金日记账!$D588=0,"",资金日记账!$D588))</f>
        <v/>
      </c>
      <c r="K595" s="0" t="str">
        <f aca="false">IF($G595=0,"",IF(""=0,"",""))</f>
        <v/>
      </c>
      <c r="L595" s="0" t="str">
        <f aca="false">IF($G595=0,"",IF(""=0,"",""))</f>
        <v/>
      </c>
      <c r="M595" s="0" t="str">
        <f aca="false">IF($G595=0,"",IF(""=0,"",""))</f>
        <v/>
      </c>
      <c r="N595" s="0" t="str">
        <f aca="false">IF($G595=0,"",IF(IF(N(资金日记账!$I588)=0,"",-ROUND(N(资金日记账!$I588),2))=0,"",IF(N(资金日记账!$I588)=0,"",-ROUND(N(资金日记账!$I588),2))))</f>
        <v/>
      </c>
      <c r="O595" s="0" t="str">
        <f aca="false">IF($G595=0,"",IF(IF(N(资金日记账!$H588)=0,"",ROUND(N(资金日记账!$H588),2))=0,"",IF(N(资金日记账!$H588)=0,"",ROUND(N(资金日记账!$H588),2))))</f>
        <v/>
      </c>
      <c r="P595" s="0" t="str">
        <f aca="false">IF($G595=0,"",IF(资金日记账!$L588=0,"",资金日记账!$L588))</f>
        <v/>
      </c>
      <c r="T595" s="0" t="str">
        <f aca="false">IF(资金日记账!$G595="","",资金日记账!$G595)</f>
        <v/>
      </c>
      <c r="U595" s="0" t="n">
        <f aca="false">IF(T595="",0,IF(MATCH(T595,$T$4:$T$903,0)=ROW()-3,1,0))</f>
        <v>0</v>
      </c>
      <c r="V595" s="0" t="n">
        <f aca="false">N(V594)+U595</f>
        <v>30</v>
      </c>
      <c r="AF595" s="0" t="str">
        <f aca="false">IF(OR(资金日记账!$E595="",N(资金日记账!$H595)=0),"",资金日记账!$E595)</f>
        <v/>
      </c>
      <c r="AG595" s="0" t="n">
        <f aca="false">IF(AF595="",0,IF(MATCH(AF595,$AF$4:$AF$603,0)=ROW()-3,1,0))</f>
        <v>0</v>
      </c>
      <c r="AH595" s="0" t="n">
        <f aca="false">N(AH594)+AG595</f>
        <v>5</v>
      </c>
    </row>
    <row r="596" customFormat="false" ht="13.5" hidden="false" customHeight="false" outlineLevel="0" collapsed="false">
      <c r="A596" s="0" t="str">
        <f aca="false">IF(资金日记账!$E294="","",资金日记账!$E294)</f>
        <v/>
      </c>
      <c r="B596" s="0" t="n">
        <f aca="false">IF(A596="",0,IF(MATCH(A596,$A$4:$A$1925,0)=ROW()-3,1,0))</f>
        <v>0</v>
      </c>
      <c r="C596" s="0" t="n">
        <f aca="false">N(C595)+B596</f>
        <v>11</v>
      </c>
      <c r="G596" s="0" t="n">
        <f aca="false">IF(OR($G$1="",资金日记账!$E589="",资金日记账!$E589&lt;&gt;$G$1),0,IF(NOT(OR(N(资金日记账!$H589)&lt;&gt;0,N(资金日记账!$I589)&lt;&gt;0)),0,IF(资金日记账!$B589="",1,IF(OR(N(资金日记账!$B589)&lt;$H$1,N(资金日记账!$B589)&gt;$I$1),0,1))))</f>
        <v>0</v>
      </c>
      <c r="H596" s="0" t="n">
        <f aca="false">N(H595)+$G596</f>
        <v>3</v>
      </c>
      <c r="I596" s="0" t="str">
        <f aca="false">IF($G596=0,"",IF(资金日记账!$B589=0,"",资金日记账!$B589))</f>
        <v/>
      </c>
      <c r="J596" s="0" t="str">
        <f aca="false">IF($G596=0,"",IF(资金日记账!$D589=0,"",资金日记账!$D589))</f>
        <v/>
      </c>
      <c r="K596" s="0" t="str">
        <f aca="false">IF($G596=0,"",IF(""=0,"",""))</f>
        <v/>
      </c>
      <c r="L596" s="0" t="str">
        <f aca="false">IF($G596=0,"",IF(""=0,"",""))</f>
        <v/>
      </c>
      <c r="M596" s="0" t="str">
        <f aca="false">IF($G596=0,"",IF(""=0,"",""))</f>
        <v/>
      </c>
      <c r="N596" s="0" t="str">
        <f aca="false">IF($G596=0,"",IF(IF(N(资金日记账!$I589)=0,"",-ROUND(N(资金日记账!$I589),2))=0,"",IF(N(资金日记账!$I589)=0,"",-ROUND(N(资金日记账!$I589),2))))</f>
        <v/>
      </c>
      <c r="O596" s="0" t="str">
        <f aca="false">IF($G596=0,"",IF(IF(N(资金日记账!$H589)=0,"",ROUND(N(资金日记账!$H589),2))=0,"",IF(N(资金日记账!$H589)=0,"",ROUND(N(资金日记账!$H589),2))))</f>
        <v/>
      </c>
      <c r="P596" s="0" t="str">
        <f aca="false">IF($G596=0,"",IF(资金日记账!$L589=0,"",资金日记账!$L589))</f>
        <v/>
      </c>
      <c r="T596" s="0" t="str">
        <f aca="false">IF(资金日记账!$G596="","",资金日记账!$G596)</f>
        <v/>
      </c>
      <c r="U596" s="0" t="n">
        <f aca="false">IF(T596="",0,IF(MATCH(T596,$T$4:$T$903,0)=ROW()-3,1,0))</f>
        <v>0</v>
      </c>
      <c r="V596" s="0" t="n">
        <f aca="false">N(V595)+U596</f>
        <v>30</v>
      </c>
      <c r="AF596" s="0" t="str">
        <f aca="false">IF(OR(资金日记账!$E596="",N(资金日记账!$H596)=0),"",资金日记账!$E596)</f>
        <v/>
      </c>
      <c r="AG596" s="0" t="n">
        <f aca="false">IF(AF596="",0,IF(MATCH(AF596,$AF$4:$AF$603,0)=ROW()-3,1,0))</f>
        <v>0</v>
      </c>
      <c r="AH596" s="0" t="n">
        <f aca="false">N(AH595)+AG596</f>
        <v>5</v>
      </c>
    </row>
    <row r="597" customFormat="false" ht="13.5" hidden="false" customHeight="false" outlineLevel="0" collapsed="false">
      <c r="A597" s="0" t="str">
        <f aca="false">IF(资金日记账!$E295="","",资金日记账!$E295)</f>
        <v/>
      </c>
      <c r="B597" s="0" t="n">
        <f aca="false">IF(A597="",0,IF(MATCH(A597,$A$4:$A$1925,0)=ROW()-3,1,0))</f>
        <v>0</v>
      </c>
      <c r="C597" s="0" t="n">
        <f aca="false">N(C596)+B597</f>
        <v>11</v>
      </c>
      <c r="G597" s="0" t="n">
        <f aca="false">IF(OR($G$1="",资金日记账!$E590="",资金日记账!$E590&lt;&gt;$G$1),0,IF(NOT(OR(N(资金日记账!$H590)&lt;&gt;0,N(资金日记账!$I590)&lt;&gt;0)),0,IF(资金日记账!$B590="",1,IF(OR(N(资金日记账!$B590)&lt;$H$1,N(资金日记账!$B590)&gt;$I$1),0,1))))</f>
        <v>0</v>
      </c>
      <c r="H597" s="0" t="n">
        <f aca="false">N(H596)+$G597</f>
        <v>3</v>
      </c>
      <c r="I597" s="0" t="str">
        <f aca="false">IF($G597=0,"",IF(资金日记账!$B590=0,"",资金日记账!$B590))</f>
        <v/>
      </c>
      <c r="J597" s="0" t="str">
        <f aca="false">IF($G597=0,"",IF(资金日记账!$D590=0,"",资金日记账!$D590))</f>
        <v/>
      </c>
      <c r="K597" s="0" t="str">
        <f aca="false">IF($G597=0,"",IF(""=0,"",""))</f>
        <v/>
      </c>
      <c r="L597" s="0" t="str">
        <f aca="false">IF($G597=0,"",IF(""=0,"",""))</f>
        <v/>
      </c>
      <c r="M597" s="0" t="str">
        <f aca="false">IF($G597=0,"",IF(""=0,"",""))</f>
        <v/>
      </c>
      <c r="N597" s="0" t="str">
        <f aca="false">IF($G597=0,"",IF(IF(N(资金日记账!$I590)=0,"",-ROUND(N(资金日记账!$I590),2))=0,"",IF(N(资金日记账!$I590)=0,"",-ROUND(N(资金日记账!$I590),2))))</f>
        <v/>
      </c>
      <c r="O597" s="0" t="str">
        <f aca="false">IF($G597=0,"",IF(IF(N(资金日记账!$H590)=0,"",ROUND(N(资金日记账!$H590),2))=0,"",IF(N(资金日记账!$H590)=0,"",ROUND(N(资金日记账!$H590),2))))</f>
        <v/>
      </c>
      <c r="P597" s="0" t="str">
        <f aca="false">IF($G597=0,"",IF(资金日记账!$L590=0,"",资金日记账!$L590))</f>
        <v/>
      </c>
      <c r="T597" s="0" t="str">
        <f aca="false">IF(资金日记账!$G597="","",资金日记账!$G597)</f>
        <v/>
      </c>
      <c r="U597" s="0" t="n">
        <f aca="false">IF(T597="",0,IF(MATCH(T597,$T$4:$T$903,0)=ROW()-3,1,0))</f>
        <v>0</v>
      </c>
      <c r="V597" s="0" t="n">
        <f aca="false">N(V596)+U597</f>
        <v>30</v>
      </c>
      <c r="AF597" s="0" t="str">
        <f aca="false">IF(OR(资金日记账!$E597="",N(资金日记账!$H597)=0),"",资金日记账!$E597)</f>
        <v/>
      </c>
      <c r="AG597" s="0" t="n">
        <f aca="false">IF(AF597="",0,IF(MATCH(AF597,$AF$4:$AF$603,0)=ROW()-3,1,0))</f>
        <v>0</v>
      </c>
      <c r="AH597" s="0" t="n">
        <f aca="false">N(AH596)+AG597</f>
        <v>5</v>
      </c>
    </row>
    <row r="598" customFormat="false" ht="13.5" hidden="false" customHeight="false" outlineLevel="0" collapsed="false">
      <c r="A598" s="0" t="str">
        <f aca="false">IF(资金日记账!$E296="","",资金日记账!$E296)</f>
        <v/>
      </c>
      <c r="B598" s="0" t="n">
        <f aca="false">IF(A598="",0,IF(MATCH(A598,$A$4:$A$1925,0)=ROW()-3,1,0))</f>
        <v>0</v>
      </c>
      <c r="C598" s="0" t="n">
        <f aca="false">N(C597)+B598</f>
        <v>11</v>
      </c>
      <c r="G598" s="0" t="n">
        <f aca="false">IF(OR($G$1="",资金日记账!$E591="",资金日记账!$E591&lt;&gt;$G$1),0,IF(NOT(OR(N(资金日记账!$H591)&lt;&gt;0,N(资金日记账!$I591)&lt;&gt;0)),0,IF(资金日记账!$B591="",1,IF(OR(N(资金日记账!$B591)&lt;$H$1,N(资金日记账!$B591)&gt;$I$1),0,1))))</f>
        <v>0</v>
      </c>
      <c r="H598" s="0" t="n">
        <f aca="false">N(H597)+$G598</f>
        <v>3</v>
      </c>
      <c r="I598" s="0" t="str">
        <f aca="false">IF($G598=0,"",IF(资金日记账!$B591=0,"",资金日记账!$B591))</f>
        <v/>
      </c>
      <c r="J598" s="0" t="str">
        <f aca="false">IF($G598=0,"",IF(资金日记账!$D591=0,"",资金日记账!$D591))</f>
        <v/>
      </c>
      <c r="K598" s="0" t="str">
        <f aca="false">IF($G598=0,"",IF(""=0,"",""))</f>
        <v/>
      </c>
      <c r="L598" s="0" t="str">
        <f aca="false">IF($G598=0,"",IF(""=0,"",""))</f>
        <v/>
      </c>
      <c r="M598" s="0" t="str">
        <f aca="false">IF($G598=0,"",IF(""=0,"",""))</f>
        <v/>
      </c>
      <c r="N598" s="0" t="str">
        <f aca="false">IF($G598=0,"",IF(IF(N(资金日记账!$I591)=0,"",-ROUND(N(资金日记账!$I591),2))=0,"",IF(N(资金日记账!$I591)=0,"",-ROUND(N(资金日记账!$I591),2))))</f>
        <v/>
      </c>
      <c r="O598" s="0" t="str">
        <f aca="false">IF($G598=0,"",IF(IF(N(资金日记账!$H591)=0,"",ROUND(N(资金日记账!$H591),2))=0,"",IF(N(资金日记账!$H591)=0,"",ROUND(N(资金日记账!$H591),2))))</f>
        <v/>
      </c>
      <c r="P598" s="0" t="str">
        <f aca="false">IF($G598=0,"",IF(资金日记账!$L591=0,"",资金日记账!$L591))</f>
        <v/>
      </c>
      <c r="T598" s="0" t="str">
        <f aca="false">IF(资金日记账!$G598="","",资金日记账!$G598)</f>
        <v/>
      </c>
      <c r="U598" s="0" t="n">
        <f aca="false">IF(T598="",0,IF(MATCH(T598,$T$4:$T$903,0)=ROW()-3,1,0))</f>
        <v>0</v>
      </c>
      <c r="V598" s="0" t="n">
        <f aca="false">N(V597)+U598</f>
        <v>30</v>
      </c>
      <c r="AF598" s="0" t="str">
        <f aca="false">IF(OR(资金日记账!$E598="",N(资金日记账!$H598)=0),"",资金日记账!$E598)</f>
        <v/>
      </c>
      <c r="AG598" s="0" t="n">
        <f aca="false">IF(AF598="",0,IF(MATCH(AF598,$AF$4:$AF$603,0)=ROW()-3,1,0))</f>
        <v>0</v>
      </c>
      <c r="AH598" s="0" t="n">
        <f aca="false">N(AH597)+AG598</f>
        <v>5</v>
      </c>
    </row>
    <row r="599" customFormat="false" ht="13.5" hidden="false" customHeight="false" outlineLevel="0" collapsed="false">
      <c r="A599" s="0" t="str">
        <f aca="false">IF(资金日记账!$E297="","",资金日记账!$E297)</f>
        <v/>
      </c>
      <c r="B599" s="0" t="n">
        <f aca="false">IF(A599="",0,IF(MATCH(A599,$A$4:$A$1925,0)=ROW()-3,1,0))</f>
        <v>0</v>
      </c>
      <c r="C599" s="0" t="n">
        <f aca="false">N(C598)+B599</f>
        <v>11</v>
      </c>
      <c r="G599" s="0" t="n">
        <f aca="false">IF(OR($G$1="",资金日记账!$E592="",资金日记账!$E592&lt;&gt;$G$1),0,IF(NOT(OR(N(资金日记账!$H592)&lt;&gt;0,N(资金日记账!$I592)&lt;&gt;0)),0,IF(资金日记账!$B592="",1,IF(OR(N(资金日记账!$B592)&lt;$H$1,N(资金日记账!$B592)&gt;$I$1),0,1))))</f>
        <v>0</v>
      </c>
      <c r="H599" s="0" t="n">
        <f aca="false">N(H598)+$G599</f>
        <v>3</v>
      </c>
      <c r="I599" s="0" t="str">
        <f aca="false">IF($G599=0,"",IF(资金日记账!$B592=0,"",资金日记账!$B592))</f>
        <v/>
      </c>
      <c r="J599" s="0" t="str">
        <f aca="false">IF($G599=0,"",IF(资金日记账!$D592=0,"",资金日记账!$D592))</f>
        <v/>
      </c>
      <c r="K599" s="0" t="str">
        <f aca="false">IF($G599=0,"",IF(""=0,"",""))</f>
        <v/>
      </c>
      <c r="L599" s="0" t="str">
        <f aca="false">IF($G599=0,"",IF(""=0,"",""))</f>
        <v/>
      </c>
      <c r="M599" s="0" t="str">
        <f aca="false">IF($G599=0,"",IF(""=0,"",""))</f>
        <v/>
      </c>
      <c r="N599" s="0" t="str">
        <f aca="false">IF($G599=0,"",IF(IF(N(资金日记账!$I592)=0,"",-ROUND(N(资金日记账!$I592),2))=0,"",IF(N(资金日记账!$I592)=0,"",-ROUND(N(资金日记账!$I592),2))))</f>
        <v/>
      </c>
      <c r="O599" s="0" t="str">
        <f aca="false">IF($G599=0,"",IF(IF(N(资金日记账!$H592)=0,"",ROUND(N(资金日记账!$H592),2))=0,"",IF(N(资金日记账!$H592)=0,"",ROUND(N(资金日记账!$H592),2))))</f>
        <v/>
      </c>
      <c r="P599" s="0" t="str">
        <f aca="false">IF($G599=0,"",IF(资金日记账!$L592=0,"",资金日记账!$L592))</f>
        <v/>
      </c>
      <c r="T599" s="0" t="str">
        <f aca="false">IF(资金日记账!$G599="","",资金日记账!$G599)</f>
        <v/>
      </c>
      <c r="U599" s="0" t="n">
        <f aca="false">IF(T599="",0,IF(MATCH(T599,$T$4:$T$903,0)=ROW()-3,1,0))</f>
        <v>0</v>
      </c>
      <c r="V599" s="0" t="n">
        <f aca="false">N(V598)+U599</f>
        <v>30</v>
      </c>
      <c r="AF599" s="0" t="str">
        <f aca="false">IF(OR(资金日记账!$E599="",N(资金日记账!$H599)=0),"",资金日记账!$E599)</f>
        <v/>
      </c>
      <c r="AG599" s="0" t="n">
        <f aca="false">IF(AF599="",0,IF(MATCH(AF599,$AF$4:$AF$603,0)=ROW()-3,1,0))</f>
        <v>0</v>
      </c>
      <c r="AH599" s="0" t="n">
        <f aca="false">N(AH598)+AG599</f>
        <v>5</v>
      </c>
    </row>
    <row r="600" customFormat="false" ht="13.5" hidden="false" customHeight="false" outlineLevel="0" collapsed="false">
      <c r="A600" s="0" t="str">
        <f aca="false">IF(资金日记账!$E298="","",资金日记账!$E298)</f>
        <v/>
      </c>
      <c r="B600" s="0" t="n">
        <f aca="false">IF(A600="",0,IF(MATCH(A600,$A$4:$A$1925,0)=ROW()-3,1,0))</f>
        <v>0</v>
      </c>
      <c r="C600" s="0" t="n">
        <f aca="false">N(C599)+B600</f>
        <v>11</v>
      </c>
      <c r="G600" s="0" t="n">
        <f aca="false">IF(OR($G$1="",资金日记账!$E593="",资金日记账!$E593&lt;&gt;$G$1),0,IF(NOT(OR(N(资金日记账!$H593)&lt;&gt;0,N(资金日记账!$I593)&lt;&gt;0)),0,IF(资金日记账!$B593="",1,IF(OR(N(资金日记账!$B593)&lt;$H$1,N(资金日记账!$B593)&gt;$I$1),0,1))))</f>
        <v>0</v>
      </c>
      <c r="H600" s="0" t="n">
        <f aca="false">N(H599)+$G600</f>
        <v>3</v>
      </c>
      <c r="I600" s="0" t="str">
        <f aca="false">IF($G600=0,"",IF(资金日记账!$B593=0,"",资金日记账!$B593))</f>
        <v/>
      </c>
      <c r="J600" s="0" t="str">
        <f aca="false">IF($G600=0,"",IF(资金日记账!$D593=0,"",资金日记账!$D593))</f>
        <v/>
      </c>
      <c r="K600" s="0" t="str">
        <f aca="false">IF($G600=0,"",IF(""=0,"",""))</f>
        <v/>
      </c>
      <c r="L600" s="0" t="str">
        <f aca="false">IF($G600=0,"",IF(""=0,"",""))</f>
        <v/>
      </c>
      <c r="M600" s="0" t="str">
        <f aca="false">IF($G600=0,"",IF(""=0,"",""))</f>
        <v/>
      </c>
      <c r="N600" s="0" t="str">
        <f aca="false">IF($G600=0,"",IF(IF(N(资金日记账!$I593)=0,"",-ROUND(N(资金日记账!$I593),2))=0,"",IF(N(资金日记账!$I593)=0,"",-ROUND(N(资金日记账!$I593),2))))</f>
        <v/>
      </c>
      <c r="O600" s="0" t="str">
        <f aca="false">IF($G600=0,"",IF(IF(N(资金日记账!$H593)=0,"",ROUND(N(资金日记账!$H593),2))=0,"",IF(N(资金日记账!$H593)=0,"",ROUND(N(资金日记账!$H593),2))))</f>
        <v/>
      </c>
      <c r="P600" s="0" t="str">
        <f aca="false">IF($G600=0,"",IF(资金日记账!$L593=0,"",资金日记账!$L593))</f>
        <v/>
      </c>
      <c r="T600" s="0" t="str">
        <f aca="false">IF(资金日记账!$G600="","",资金日记账!$G600)</f>
        <v/>
      </c>
      <c r="U600" s="0" t="n">
        <f aca="false">IF(T600="",0,IF(MATCH(T600,$T$4:$T$903,0)=ROW()-3,1,0))</f>
        <v>0</v>
      </c>
      <c r="V600" s="0" t="n">
        <f aca="false">N(V599)+U600</f>
        <v>30</v>
      </c>
      <c r="AF600" s="0" t="str">
        <f aca="false">IF(OR(资金日记账!$E600="",N(资金日记账!$H600)=0),"",资金日记账!$E600)</f>
        <v/>
      </c>
      <c r="AG600" s="0" t="n">
        <f aca="false">IF(AF600="",0,IF(MATCH(AF600,$AF$4:$AF$603,0)=ROW()-3,1,0))</f>
        <v>0</v>
      </c>
      <c r="AH600" s="0" t="n">
        <f aca="false">N(AH599)+AG600</f>
        <v>5</v>
      </c>
    </row>
    <row r="601" customFormat="false" ht="13.5" hidden="false" customHeight="false" outlineLevel="0" collapsed="false">
      <c r="A601" s="0" t="str">
        <f aca="false">IF(资金日记账!$E299="","",资金日记账!$E299)</f>
        <v/>
      </c>
      <c r="B601" s="0" t="n">
        <f aca="false">IF(A601="",0,IF(MATCH(A601,$A$4:$A$1925,0)=ROW()-3,1,0))</f>
        <v>0</v>
      </c>
      <c r="C601" s="0" t="n">
        <f aca="false">N(C600)+B601</f>
        <v>11</v>
      </c>
      <c r="G601" s="0" t="n">
        <f aca="false">IF(OR($G$1="",资金日记账!$E594="",资金日记账!$E594&lt;&gt;$G$1),0,IF(NOT(OR(N(资金日记账!$H594)&lt;&gt;0,N(资金日记账!$I594)&lt;&gt;0)),0,IF(资金日记账!$B594="",1,IF(OR(N(资金日记账!$B594)&lt;$H$1,N(资金日记账!$B594)&gt;$I$1),0,1))))</f>
        <v>0</v>
      </c>
      <c r="H601" s="0" t="n">
        <f aca="false">N(H600)+$G601</f>
        <v>3</v>
      </c>
      <c r="I601" s="0" t="str">
        <f aca="false">IF($G601=0,"",IF(资金日记账!$B594=0,"",资金日记账!$B594))</f>
        <v/>
      </c>
      <c r="J601" s="0" t="str">
        <f aca="false">IF($G601=0,"",IF(资金日记账!$D594=0,"",资金日记账!$D594))</f>
        <v/>
      </c>
      <c r="K601" s="0" t="str">
        <f aca="false">IF($G601=0,"",IF(""=0,"",""))</f>
        <v/>
      </c>
      <c r="L601" s="0" t="str">
        <f aca="false">IF($G601=0,"",IF(""=0,"",""))</f>
        <v/>
      </c>
      <c r="M601" s="0" t="str">
        <f aca="false">IF($G601=0,"",IF(""=0,"",""))</f>
        <v/>
      </c>
      <c r="N601" s="0" t="str">
        <f aca="false">IF($G601=0,"",IF(IF(N(资金日记账!$I594)=0,"",-ROUND(N(资金日记账!$I594),2))=0,"",IF(N(资金日记账!$I594)=0,"",-ROUND(N(资金日记账!$I594),2))))</f>
        <v/>
      </c>
      <c r="O601" s="0" t="str">
        <f aca="false">IF($G601=0,"",IF(IF(N(资金日记账!$H594)=0,"",ROUND(N(资金日记账!$H594),2))=0,"",IF(N(资金日记账!$H594)=0,"",ROUND(N(资金日记账!$H594),2))))</f>
        <v/>
      </c>
      <c r="P601" s="0" t="str">
        <f aca="false">IF($G601=0,"",IF(资金日记账!$L594=0,"",资金日记账!$L594))</f>
        <v/>
      </c>
      <c r="T601" s="0" t="str">
        <f aca="false">IF(资金日记账!$G601="","",资金日记账!$G601)</f>
        <v/>
      </c>
      <c r="U601" s="0" t="n">
        <f aca="false">IF(T601="",0,IF(MATCH(T601,$T$4:$T$903,0)=ROW()-3,1,0))</f>
        <v>0</v>
      </c>
      <c r="V601" s="0" t="n">
        <f aca="false">N(V600)+U601</f>
        <v>30</v>
      </c>
      <c r="AF601" s="0" t="str">
        <f aca="false">IF(OR(资金日记账!$E601="",N(资金日记账!$H601)=0),"",资金日记账!$E601)</f>
        <v/>
      </c>
      <c r="AG601" s="0" t="n">
        <f aca="false">IF(AF601="",0,IF(MATCH(AF601,$AF$4:$AF$603,0)=ROW()-3,1,0))</f>
        <v>0</v>
      </c>
      <c r="AH601" s="0" t="n">
        <f aca="false">N(AH600)+AG601</f>
        <v>5</v>
      </c>
    </row>
    <row r="602" customFormat="false" ht="13.5" hidden="false" customHeight="false" outlineLevel="0" collapsed="false">
      <c r="A602" s="0" t="str">
        <f aca="false">IF(资金日记账!$E300="","",资金日记账!$E300)</f>
        <v/>
      </c>
      <c r="B602" s="0" t="n">
        <f aca="false">IF(A602="",0,IF(MATCH(A602,$A$4:$A$1925,0)=ROW()-3,1,0))</f>
        <v>0</v>
      </c>
      <c r="C602" s="0" t="n">
        <f aca="false">N(C601)+B602</f>
        <v>11</v>
      </c>
      <c r="G602" s="0" t="n">
        <f aca="false">IF(OR($G$1="",资金日记账!$E595="",资金日记账!$E595&lt;&gt;$G$1),0,IF(NOT(OR(N(资金日记账!$H595)&lt;&gt;0,N(资金日记账!$I595)&lt;&gt;0)),0,IF(资金日记账!$B595="",1,IF(OR(N(资金日记账!$B595)&lt;$H$1,N(资金日记账!$B595)&gt;$I$1),0,1))))</f>
        <v>0</v>
      </c>
      <c r="H602" s="0" t="n">
        <f aca="false">N(H601)+$G602</f>
        <v>3</v>
      </c>
      <c r="I602" s="0" t="str">
        <f aca="false">IF($G602=0,"",IF(资金日记账!$B595=0,"",资金日记账!$B595))</f>
        <v/>
      </c>
      <c r="J602" s="0" t="str">
        <f aca="false">IF($G602=0,"",IF(资金日记账!$D595=0,"",资金日记账!$D595))</f>
        <v/>
      </c>
      <c r="K602" s="0" t="str">
        <f aca="false">IF($G602=0,"",IF(""=0,"",""))</f>
        <v/>
      </c>
      <c r="L602" s="0" t="str">
        <f aca="false">IF($G602=0,"",IF(""=0,"",""))</f>
        <v/>
      </c>
      <c r="M602" s="0" t="str">
        <f aca="false">IF($G602=0,"",IF(""=0,"",""))</f>
        <v/>
      </c>
      <c r="N602" s="0" t="str">
        <f aca="false">IF($G602=0,"",IF(IF(N(资金日记账!$I595)=0,"",-ROUND(N(资金日记账!$I595),2))=0,"",IF(N(资金日记账!$I595)=0,"",-ROUND(N(资金日记账!$I595),2))))</f>
        <v/>
      </c>
      <c r="O602" s="0" t="str">
        <f aca="false">IF($G602=0,"",IF(IF(N(资金日记账!$H595)=0,"",ROUND(N(资金日记账!$H595),2))=0,"",IF(N(资金日记账!$H595)=0,"",ROUND(N(资金日记账!$H595),2))))</f>
        <v/>
      </c>
      <c r="P602" s="0" t="str">
        <f aca="false">IF($G602=0,"",IF(资金日记账!$L595=0,"",资金日记账!$L595))</f>
        <v/>
      </c>
      <c r="T602" s="0" t="str">
        <f aca="false">IF(资金日记账!$G602="","",资金日记账!$G602)</f>
        <v/>
      </c>
      <c r="U602" s="0" t="n">
        <f aca="false">IF(T602="",0,IF(MATCH(T602,$T$4:$T$903,0)=ROW()-3,1,0))</f>
        <v>0</v>
      </c>
      <c r="V602" s="0" t="n">
        <f aca="false">N(V601)+U602</f>
        <v>30</v>
      </c>
      <c r="AF602" s="0" t="str">
        <f aca="false">IF(OR(资金日记账!$E602="",N(资金日记账!$H602)=0),"",资金日记账!$E602)</f>
        <v/>
      </c>
      <c r="AG602" s="0" t="n">
        <f aca="false">IF(AF602="",0,IF(MATCH(AF602,$AF$4:$AF$603,0)=ROW()-3,1,0))</f>
        <v>0</v>
      </c>
      <c r="AH602" s="0" t="n">
        <f aca="false">N(AH601)+AG602</f>
        <v>5</v>
      </c>
    </row>
    <row r="603" customFormat="false" ht="13.5" hidden="false" customHeight="false" outlineLevel="0" collapsed="false">
      <c r="A603" s="0" t="str">
        <f aca="false">IF(资金日记账!$E301="","",资金日记账!$E301)</f>
        <v/>
      </c>
      <c r="B603" s="0" t="n">
        <f aca="false">IF(A603="",0,IF(MATCH(A603,$A$4:$A$1925,0)=ROW()-3,1,0))</f>
        <v>0</v>
      </c>
      <c r="C603" s="0" t="n">
        <f aca="false">N(C602)+B603</f>
        <v>11</v>
      </c>
      <c r="G603" s="0" t="n">
        <f aca="false">IF(OR($G$1="",资金日记账!$E596="",资金日记账!$E596&lt;&gt;$G$1),0,IF(NOT(OR(N(资金日记账!$H596)&lt;&gt;0,N(资金日记账!$I596)&lt;&gt;0)),0,IF(资金日记账!$B596="",1,IF(OR(N(资金日记账!$B596)&lt;$H$1,N(资金日记账!$B596)&gt;$I$1),0,1))))</f>
        <v>0</v>
      </c>
      <c r="H603" s="0" t="n">
        <f aca="false">N(H602)+$G603</f>
        <v>3</v>
      </c>
      <c r="I603" s="0" t="str">
        <f aca="false">IF($G603=0,"",IF(资金日记账!$B596=0,"",资金日记账!$B596))</f>
        <v/>
      </c>
      <c r="J603" s="0" t="str">
        <f aca="false">IF($G603=0,"",IF(资金日记账!$D596=0,"",资金日记账!$D596))</f>
        <v/>
      </c>
      <c r="K603" s="0" t="str">
        <f aca="false">IF($G603=0,"",IF(""=0,"",""))</f>
        <v/>
      </c>
      <c r="L603" s="0" t="str">
        <f aca="false">IF($G603=0,"",IF(""=0,"",""))</f>
        <v/>
      </c>
      <c r="M603" s="0" t="str">
        <f aca="false">IF($G603=0,"",IF(""=0,"",""))</f>
        <v/>
      </c>
      <c r="N603" s="0" t="str">
        <f aca="false">IF($G603=0,"",IF(IF(N(资金日记账!$I596)=0,"",-ROUND(N(资金日记账!$I596),2))=0,"",IF(N(资金日记账!$I596)=0,"",-ROUND(N(资金日记账!$I596),2))))</f>
        <v/>
      </c>
      <c r="O603" s="0" t="str">
        <f aca="false">IF($G603=0,"",IF(IF(N(资金日记账!$H596)=0,"",ROUND(N(资金日记账!$H596),2))=0,"",IF(N(资金日记账!$H596)=0,"",ROUND(N(资金日记账!$H596),2))))</f>
        <v/>
      </c>
      <c r="P603" s="0" t="str">
        <f aca="false">IF($G603=0,"",IF(资金日记账!$L596=0,"",资金日记账!$L596))</f>
        <v/>
      </c>
      <c r="T603" s="0" t="str">
        <f aca="false">IF(资金日记账!$G603="","",资金日记账!$G603)</f>
        <v/>
      </c>
      <c r="U603" s="0" t="n">
        <f aca="false">IF(T603="",0,IF(MATCH(T603,$T$4:$T$903,0)=ROW()-3,1,0))</f>
        <v>0</v>
      </c>
      <c r="V603" s="0" t="n">
        <f aca="false">N(V602)+U603</f>
        <v>30</v>
      </c>
      <c r="AF603" s="0" t="str">
        <f aca="false">IF(OR(资金日记账!$E603="",N(资金日记账!$H603)=0),"",资金日记账!$E603)</f>
        <v/>
      </c>
      <c r="AG603" s="0" t="n">
        <f aca="false">IF(AF603="",0,IF(MATCH(AF603,$AF$4:$AF$603,0)=ROW()-3,1,0))</f>
        <v>0</v>
      </c>
      <c r="AH603" s="0" t="n">
        <f aca="false">N(AH602)+AG603</f>
        <v>5</v>
      </c>
    </row>
    <row r="604" customFormat="false" ht="13.5" hidden="false" customHeight="false" outlineLevel="0" collapsed="false">
      <c r="A604" s="0" t="str">
        <f aca="false">IF(资金日记账!$E302="","",资金日记账!$E302)</f>
        <v/>
      </c>
      <c r="B604" s="0" t="n">
        <f aca="false">IF(A604="",0,IF(MATCH(A604,$A$4:$A$1925,0)=ROW()-3,1,0))</f>
        <v>0</v>
      </c>
      <c r="C604" s="0" t="n">
        <f aca="false">N(C603)+B604</f>
        <v>11</v>
      </c>
      <c r="G604" s="0" t="n">
        <f aca="false">IF(OR($G$1="",资金日记账!$E597="",资金日记账!$E597&lt;&gt;$G$1),0,IF(NOT(OR(N(资金日记账!$H597)&lt;&gt;0,N(资金日记账!$I597)&lt;&gt;0)),0,IF(资金日记账!$B597="",1,IF(OR(N(资金日记账!$B597)&lt;$H$1,N(资金日记账!$B597)&gt;$I$1),0,1))))</f>
        <v>0</v>
      </c>
      <c r="H604" s="0" t="n">
        <f aca="false">N(H603)+$G604</f>
        <v>3</v>
      </c>
      <c r="I604" s="0" t="str">
        <f aca="false">IF($G604=0,"",IF(资金日记账!$B597=0,"",资金日记账!$B597))</f>
        <v/>
      </c>
      <c r="J604" s="0" t="str">
        <f aca="false">IF($G604=0,"",IF(资金日记账!$D597=0,"",资金日记账!$D597))</f>
        <v/>
      </c>
      <c r="K604" s="0" t="str">
        <f aca="false">IF($G604=0,"",IF(""=0,"",""))</f>
        <v/>
      </c>
      <c r="L604" s="0" t="str">
        <f aca="false">IF($G604=0,"",IF(""=0,"",""))</f>
        <v/>
      </c>
      <c r="M604" s="0" t="str">
        <f aca="false">IF($G604=0,"",IF(""=0,"",""))</f>
        <v/>
      </c>
      <c r="N604" s="0" t="str">
        <f aca="false">IF($G604=0,"",IF(IF(N(资金日记账!$I597)=0,"",-ROUND(N(资金日记账!$I597),2))=0,"",IF(N(资金日记账!$I597)=0,"",-ROUND(N(资金日记账!$I597),2))))</f>
        <v/>
      </c>
      <c r="O604" s="0" t="str">
        <f aca="false">IF($G604=0,"",IF(IF(N(资金日记账!$H597)=0,"",ROUND(N(资金日记账!$H597),2))=0,"",IF(N(资金日记账!$H597)=0,"",ROUND(N(资金日记账!$H597),2))))</f>
        <v/>
      </c>
      <c r="P604" s="0" t="str">
        <f aca="false">IF($G604=0,"",IF(资金日记账!$L597=0,"",资金日记账!$L597))</f>
        <v/>
      </c>
      <c r="T604" s="0" t="str">
        <f aca="false">IF(成本费用登记表!$D4="","",成本费用登记表!$D4)</f>
        <v/>
      </c>
      <c r="U604" s="0" t="n">
        <f aca="false">IF(T604="",0,IF(MATCH(T604,$T$4:$T$903,0)=ROW()-3,1,0))</f>
        <v>0</v>
      </c>
      <c r="V604" s="0" t="n">
        <f aca="false">N(V603)+U604</f>
        <v>30</v>
      </c>
    </row>
    <row r="605" customFormat="false" ht="13.5" hidden="false" customHeight="false" outlineLevel="0" collapsed="false">
      <c r="A605" s="0" t="str">
        <f aca="false">IF(资金日记账!$E303="","",资金日记账!$E303)</f>
        <v/>
      </c>
      <c r="B605" s="0" t="n">
        <f aca="false">IF(A605="",0,IF(MATCH(A605,$A$4:$A$1925,0)=ROW()-3,1,0))</f>
        <v>0</v>
      </c>
      <c r="C605" s="0" t="n">
        <f aca="false">N(C604)+B605</f>
        <v>11</v>
      </c>
      <c r="G605" s="0" t="n">
        <f aca="false">IF(OR($G$1="",资金日记账!$E598="",资金日记账!$E598&lt;&gt;$G$1),0,IF(NOT(OR(N(资金日记账!$H598)&lt;&gt;0,N(资金日记账!$I598)&lt;&gt;0)),0,IF(资金日记账!$B598="",1,IF(OR(N(资金日记账!$B598)&lt;$H$1,N(资金日记账!$B598)&gt;$I$1),0,1))))</f>
        <v>0</v>
      </c>
      <c r="H605" s="0" t="n">
        <f aca="false">N(H604)+$G605</f>
        <v>3</v>
      </c>
      <c r="I605" s="0" t="str">
        <f aca="false">IF($G605=0,"",IF(资金日记账!$B598=0,"",资金日记账!$B598))</f>
        <v/>
      </c>
      <c r="J605" s="0" t="str">
        <f aca="false">IF($G605=0,"",IF(资金日记账!$D598=0,"",资金日记账!$D598))</f>
        <v/>
      </c>
      <c r="K605" s="0" t="str">
        <f aca="false">IF($G605=0,"",IF(""=0,"",""))</f>
        <v/>
      </c>
      <c r="L605" s="0" t="str">
        <f aca="false">IF($G605=0,"",IF(""=0,"",""))</f>
        <v/>
      </c>
      <c r="M605" s="0" t="str">
        <f aca="false">IF($G605=0,"",IF(""=0,"",""))</f>
        <v/>
      </c>
      <c r="N605" s="0" t="str">
        <f aca="false">IF($G605=0,"",IF(IF(N(资金日记账!$I598)=0,"",-ROUND(N(资金日记账!$I598),2))=0,"",IF(N(资金日记账!$I598)=0,"",-ROUND(N(资金日记账!$I598),2))))</f>
        <v/>
      </c>
      <c r="O605" s="0" t="str">
        <f aca="false">IF($G605=0,"",IF(IF(N(资金日记账!$H598)=0,"",ROUND(N(资金日记账!$H598),2))=0,"",IF(N(资金日记账!$H598)=0,"",ROUND(N(资金日记账!$H598),2))))</f>
        <v/>
      </c>
      <c r="P605" s="0" t="str">
        <f aca="false">IF($G605=0,"",IF(资金日记账!$L598=0,"",资金日记账!$L598))</f>
        <v/>
      </c>
      <c r="T605" s="0" t="str">
        <f aca="false">IF(成本费用登记表!$D5="","",成本费用登记表!$D5)</f>
        <v/>
      </c>
      <c r="U605" s="0" t="n">
        <f aca="false">IF(T605="",0,IF(MATCH(T605,$T$4:$T$903,0)=ROW()-3,1,0))</f>
        <v>0</v>
      </c>
      <c r="V605" s="0" t="n">
        <f aca="false">N(V604)+U605</f>
        <v>30</v>
      </c>
    </row>
    <row r="606" customFormat="false" ht="13.5" hidden="false" customHeight="false" outlineLevel="0" collapsed="false">
      <c r="A606" s="0" t="str">
        <f aca="false">IF(资金日记账!$E304="","",资金日记账!$E304)</f>
        <v/>
      </c>
      <c r="B606" s="0" t="n">
        <f aca="false">IF(A606="",0,IF(MATCH(A606,$A$4:$A$1925,0)=ROW()-3,1,0))</f>
        <v>0</v>
      </c>
      <c r="C606" s="0" t="n">
        <f aca="false">N(C605)+B606</f>
        <v>11</v>
      </c>
      <c r="G606" s="0" t="n">
        <f aca="false">IF(OR($G$1="",资金日记账!$E599="",资金日记账!$E599&lt;&gt;$G$1),0,IF(NOT(OR(N(资金日记账!$H599)&lt;&gt;0,N(资金日记账!$I599)&lt;&gt;0)),0,IF(资金日记账!$B599="",1,IF(OR(N(资金日记账!$B599)&lt;$H$1,N(资金日记账!$B599)&gt;$I$1),0,1))))</f>
        <v>0</v>
      </c>
      <c r="H606" s="0" t="n">
        <f aca="false">N(H605)+$G606</f>
        <v>3</v>
      </c>
      <c r="I606" s="0" t="str">
        <f aca="false">IF($G606=0,"",IF(资金日记账!$B599=0,"",资金日记账!$B599))</f>
        <v/>
      </c>
      <c r="J606" s="0" t="str">
        <f aca="false">IF($G606=0,"",IF(资金日记账!$D599=0,"",资金日记账!$D599))</f>
        <v/>
      </c>
      <c r="K606" s="0" t="str">
        <f aca="false">IF($G606=0,"",IF(""=0,"",""))</f>
        <v/>
      </c>
      <c r="L606" s="0" t="str">
        <f aca="false">IF($G606=0,"",IF(""=0,"",""))</f>
        <v/>
      </c>
      <c r="M606" s="0" t="str">
        <f aca="false">IF($G606=0,"",IF(""=0,"",""))</f>
        <v/>
      </c>
      <c r="N606" s="0" t="str">
        <f aca="false">IF($G606=0,"",IF(IF(N(资金日记账!$I599)=0,"",-ROUND(N(资金日记账!$I599),2))=0,"",IF(N(资金日记账!$I599)=0,"",-ROUND(N(资金日记账!$I599),2))))</f>
        <v/>
      </c>
      <c r="O606" s="0" t="str">
        <f aca="false">IF($G606=0,"",IF(IF(N(资金日记账!$H599)=0,"",ROUND(N(资金日记账!$H599),2))=0,"",IF(N(资金日记账!$H599)=0,"",ROUND(N(资金日记账!$H599),2))))</f>
        <v/>
      </c>
      <c r="P606" s="0" t="str">
        <f aca="false">IF($G606=0,"",IF(资金日记账!$L599=0,"",资金日记账!$L599))</f>
        <v/>
      </c>
      <c r="T606" s="0" t="str">
        <f aca="false">IF(成本费用登记表!$D6="","",成本费用登记表!$D6)</f>
        <v/>
      </c>
      <c r="U606" s="0" t="n">
        <f aca="false">IF(T606="",0,IF(MATCH(T606,$T$4:$T$903,0)=ROW()-3,1,0))</f>
        <v>0</v>
      </c>
      <c r="V606" s="0" t="n">
        <f aca="false">N(V605)+U606</f>
        <v>30</v>
      </c>
    </row>
    <row r="607" customFormat="false" ht="13.5" hidden="false" customHeight="false" outlineLevel="0" collapsed="false">
      <c r="A607" s="0" t="str">
        <f aca="false">IF(资金日记账!$E305="","",资金日记账!$E305)</f>
        <v/>
      </c>
      <c r="B607" s="0" t="n">
        <f aca="false">IF(A607="",0,IF(MATCH(A607,$A$4:$A$1925,0)=ROW()-3,1,0))</f>
        <v>0</v>
      </c>
      <c r="C607" s="0" t="n">
        <f aca="false">N(C606)+B607</f>
        <v>11</v>
      </c>
      <c r="G607" s="0" t="n">
        <f aca="false">IF(OR($G$1="",资金日记账!$E600="",资金日记账!$E600&lt;&gt;$G$1),0,IF(NOT(OR(N(资金日记账!$H600)&lt;&gt;0,N(资金日记账!$I600)&lt;&gt;0)),0,IF(资金日记账!$B600="",1,IF(OR(N(资金日记账!$B600)&lt;$H$1,N(资金日记账!$B600)&gt;$I$1),0,1))))</f>
        <v>0</v>
      </c>
      <c r="H607" s="0" t="n">
        <f aca="false">N(H606)+$G607</f>
        <v>3</v>
      </c>
      <c r="I607" s="0" t="str">
        <f aca="false">IF($G607=0,"",IF(资金日记账!$B600=0,"",资金日记账!$B600))</f>
        <v/>
      </c>
      <c r="J607" s="0" t="str">
        <f aca="false">IF($G607=0,"",IF(资金日记账!$D600=0,"",资金日记账!$D600))</f>
        <v/>
      </c>
      <c r="K607" s="0" t="str">
        <f aca="false">IF($G607=0,"",IF(""=0,"",""))</f>
        <v/>
      </c>
      <c r="L607" s="0" t="str">
        <f aca="false">IF($G607=0,"",IF(""=0,"",""))</f>
        <v/>
      </c>
      <c r="M607" s="0" t="str">
        <f aca="false">IF($G607=0,"",IF(""=0,"",""))</f>
        <v/>
      </c>
      <c r="N607" s="0" t="str">
        <f aca="false">IF($G607=0,"",IF(IF(N(资金日记账!$I600)=0,"",-ROUND(N(资金日记账!$I600),2))=0,"",IF(N(资金日记账!$I600)=0,"",-ROUND(N(资金日记账!$I600),2))))</f>
        <v/>
      </c>
      <c r="O607" s="0" t="str">
        <f aca="false">IF($G607=0,"",IF(IF(N(资金日记账!$H600)=0,"",ROUND(N(资金日记账!$H600),2))=0,"",IF(N(资金日记账!$H600)=0,"",ROUND(N(资金日记账!$H600),2))))</f>
        <v/>
      </c>
      <c r="P607" s="0" t="str">
        <f aca="false">IF($G607=0,"",IF(资金日记账!$L600=0,"",资金日记账!$L600))</f>
        <v/>
      </c>
      <c r="T607" s="0" t="str">
        <f aca="false">IF(成本费用登记表!$D7="","",成本费用登记表!$D7)</f>
        <v/>
      </c>
      <c r="U607" s="0" t="n">
        <f aca="false">IF(T607="",0,IF(MATCH(T607,$T$4:$T$903,0)=ROW()-3,1,0))</f>
        <v>0</v>
      </c>
      <c r="V607" s="0" t="n">
        <f aca="false">N(V606)+U607</f>
        <v>30</v>
      </c>
    </row>
    <row r="608" customFormat="false" ht="13.5" hidden="false" customHeight="false" outlineLevel="0" collapsed="false">
      <c r="A608" s="0" t="str">
        <f aca="false">IF(资金日记账!$E306="","",资金日记账!$E306)</f>
        <v/>
      </c>
      <c r="B608" s="0" t="n">
        <f aca="false">IF(A608="",0,IF(MATCH(A608,$A$4:$A$1925,0)=ROW()-3,1,0))</f>
        <v>0</v>
      </c>
      <c r="C608" s="0" t="n">
        <f aca="false">N(C607)+B608</f>
        <v>11</v>
      </c>
      <c r="G608" s="0" t="n">
        <f aca="false">IF(OR($G$1="",资金日记账!$E601="",资金日记账!$E601&lt;&gt;$G$1),0,IF(NOT(OR(N(资金日记账!$H601)&lt;&gt;0,N(资金日记账!$I601)&lt;&gt;0)),0,IF(资金日记账!$B601="",1,IF(OR(N(资金日记账!$B601)&lt;$H$1,N(资金日记账!$B601)&gt;$I$1),0,1))))</f>
        <v>0</v>
      </c>
      <c r="H608" s="0" t="n">
        <f aca="false">N(H607)+$G608</f>
        <v>3</v>
      </c>
      <c r="I608" s="0" t="str">
        <f aca="false">IF($G608=0,"",IF(资金日记账!$B601=0,"",资金日记账!$B601))</f>
        <v/>
      </c>
      <c r="J608" s="0" t="str">
        <f aca="false">IF($G608=0,"",IF(资金日记账!$D601=0,"",资金日记账!$D601))</f>
        <v/>
      </c>
      <c r="K608" s="0" t="str">
        <f aca="false">IF($G608=0,"",IF(""=0,"",""))</f>
        <v/>
      </c>
      <c r="L608" s="0" t="str">
        <f aca="false">IF($G608=0,"",IF(""=0,"",""))</f>
        <v/>
      </c>
      <c r="M608" s="0" t="str">
        <f aca="false">IF($G608=0,"",IF(""=0,"",""))</f>
        <v/>
      </c>
      <c r="N608" s="0" t="str">
        <f aca="false">IF($G608=0,"",IF(IF(N(资金日记账!$I601)=0,"",-ROUND(N(资金日记账!$I601),2))=0,"",IF(N(资金日记账!$I601)=0,"",-ROUND(N(资金日记账!$I601),2))))</f>
        <v/>
      </c>
      <c r="O608" s="0" t="str">
        <f aca="false">IF($G608=0,"",IF(IF(N(资金日记账!$H601)=0,"",ROUND(N(资金日记账!$H601),2))=0,"",IF(N(资金日记账!$H601)=0,"",ROUND(N(资金日记账!$H601),2))))</f>
        <v/>
      </c>
      <c r="P608" s="0" t="str">
        <f aca="false">IF($G608=0,"",IF(资金日记账!$L601=0,"",资金日记账!$L601))</f>
        <v/>
      </c>
      <c r="T608" s="0" t="str">
        <f aca="false">IF(成本费用登记表!$D8="","",成本费用登记表!$D8)</f>
        <v/>
      </c>
      <c r="U608" s="0" t="n">
        <f aca="false">IF(T608="",0,IF(MATCH(T608,$T$4:$T$903,0)=ROW()-3,1,0))</f>
        <v>0</v>
      </c>
      <c r="V608" s="0" t="n">
        <f aca="false">N(V607)+U608</f>
        <v>30</v>
      </c>
    </row>
    <row r="609" customFormat="false" ht="13.5" hidden="false" customHeight="false" outlineLevel="0" collapsed="false">
      <c r="A609" s="0" t="str">
        <f aca="false">IF(资金日记账!$E307="","",资金日记账!$E307)</f>
        <v/>
      </c>
      <c r="B609" s="0" t="n">
        <f aca="false">IF(A609="",0,IF(MATCH(A609,$A$4:$A$1925,0)=ROW()-3,1,0))</f>
        <v>0</v>
      </c>
      <c r="C609" s="0" t="n">
        <f aca="false">N(C608)+B609</f>
        <v>11</v>
      </c>
      <c r="G609" s="0" t="n">
        <f aca="false">IF(OR($G$1="",资金日记账!$E602="",资金日记账!$E602&lt;&gt;$G$1),0,IF(NOT(OR(N(资金日记账!$H602)&lt;&gt;0,N(资金日记账!$I602)&lt;&gt;0)),0,IF(资金日记账!$B602="",1,IF(OR(N(资金日记账!$B602)&lt;$H$1,N(资金日记账!$B602)&gt;$I$1),0,1))))</f>
        <v>0</v>
      </c>
      <c r="H609" s="0" t="n">
        <f aca="false">N(H608)+$G609</f>
        <v>3</v>
      </c>
      <c r="I609" s="0" t="str">
        <f aca="false">IF($G609=0,"",IF(资金日记账!$B602=0,"",资金日记账!$B602))</f>
        <v/>
      </c>
      <c r="J609" s="0" t="str">
        <f aca="false">IF($G609=0,"",IF(资金日记账!$D602=0,"",资金日记账!$D602))</f>
        <v/>
      </c>
      <c r="K609" s="0" t="str">
        <f aca="false">IF($G609=0,"",IF(""=0,"",""))</f>
        <v/>
      </c>
      <c r="L609" s="0" t="str">
        <f aca="false">IF($G609=0,"",IF(""=0,"",""))</f>
        <v/>
      </c>
      <c r="M609" s="0" t="str">
        <f aca="false">IF($G609=0,"",IF(""=0,"",""))</f>
        <v/>
      </c>
      <c r="N609" s="0" t="str">
        <f aca="false">IF($G609=0,"",IF(IF(N(资金日记账!$I602)=0,"",-ROUND(N(资金日记账!$I602),2))=0,"",IF(N(资金日记账!$I602)=0,"",-ROUND(N(资金日记账!$I602),2))))</f>
        <v/>
      </c>
      <c r="O609" s="0" t="str">
        <f aca="false">IF($G609=0,"",IF(IF(N(资金日记账!$H602)=0,"",ROUND(N(资金日记账!$H602),2))=0,"",IF(N(资金日记账!$H602)=0,"",ROUND(N(资金日记账!$H602),2))))</f>
        <v/>
      </c>
      <c r="P609" s="0" t="str">
        <f aca="false">IF($G609=0,"",IF(资金日记账!$L602=0,"",资金日记账!$L602))</f>
        <v/>
      </c>
      <c r="T609" s="0" t="str">
        <f aca="false">IF(成本费用登记表!$D9="","",成本费用登记表!$D9)</f>
        <v/>
      </c>
      <c r="U609" s="0" t="n">
        <f aca="false">IF(T609="",0,IF(MATCH(T609,$T$4:$T$903,0)=ROW()-3,1,0))</f>
        <v>0</v>
      </c>
      <c r="V609" s="0" t="n">
        <f aca="false">N(V608)+U609</f>
        <v>30</v>
      </c>
    </row>
    <row r="610" customFormat="false" ht="13.5" hidden="false" customHeight="false" outlineLevel="0" collapsed="false">
      <c r="A610" s="0" t="str">
        <f aca="false">IF(资金日记账!$E308="","",资金日记账!$E308)</f>
        <v/>
      </c>
      <c r="B610" s="0" t="n">
        <f aca="false">IF(A610="",0,IF(MATCH(A610,$A$4:$A$1925,0)=ROW()-3,1,0))</f>
        <v>0</v>
      </c>
      <c r="C610" s="0" t="n">
        <f aca="false">N(C609)+B610</f>
        <v>11</v>
      </c>
      <c r="G610" s="0" t="n">
        <f aca="false">IF(OR($G$1="",资金日记账!$E603="",资金日记账!$E603&lt;&gt;$G$1),0,IF(NOT(OR(N(资金日记账!$H603)&lt;&gt;0,N(资金日记账!$I603)&lt;&gt;0)),0,IF(资金日记账!$B603="",1,IF(OR(N(资金日记账!$B603)&lt;$H$1,N(资金日记账!$B603)&gt;$I$1),0,1))))</f>
        <v>0</v>
      </c>
      <c r="H610" s="0" t="n">
        <f aca="false">N(H609)+$G610</f>
        <v>3</v>
      </c>
      <c r="I610" s="0" t="str">
        <f aca="false">IF($G610=0,"",IF(资金日记账!$B603=0,"",资金日记账!$B603))</f>
        <v/>
      </c>
      <c r="J610" s="0" t="str">
        <f aca="false">IF($G610=0,"",IF(资金日记账!$D603=0,"",资金日记账!$D603))</f>
        <v/>
      </c>
      <c r="K610" s="0" t="str">
        <f aca="false">IF($G610=0,"",IF(""=0,"",""))</f>
        <v/>
      </c>
      <c r="L610" s="0" t="str">
        <f aca="false">IF($G610=0,"",IF(""=0,"",""))</f>
        <v/>
      </c>
      <c r="M610" s="0" t="str">
        <f aca="false">IF($G610=0,"",IF(""=0,"",""))</f>
        <v/>
      </c>
      <c r="N610" s="0" t="str">
        <f aca="false">IF($G610=0,"",IF(IF(N(资金日记账!$I603)=0,"",-ROUND(N(资金日记账!$I603),2))=0,"",IF(N(资金日记账!$I603)=0,"",-ROUND(N(资金日记账!$I603),2))))</f>
        <v/>
      </c>
      <c r="O610" s="0" t="str">
        <f aca="false">IF($G610=0,"",IF(IF(N(资金日记账!$H603)=0,"",ROUND(N(资金日记账!$H603),2))=0,"",IF(N(资金日记账!$H603)=0,"",ROUND(N(资金日记账!$H603),2))))</f>
        <v/>
      </c>
      <c r="P610" s="0" t="str">
        <f aca="false">IF($G610=0,"",IF(资金日记账!$L603=0,"",资金日记账!$L603))</f>
        <v/>
      </c>
      <c r="T610" s="0" t="str">
        <f aca="false">IF(成本费用登记表!$D10="","",成本费用登记表!$D10)</f>
        <v/>
      </c>
      <c r="U610" s="0" t="n">
        <f aca="false">IF(T610="",0,IF(MATCH(T610,$T$4:$T$903,0)=ROW()-3,1,0))</f>
        <v>0</v>
      </c>
      <c r="V610" s="0" t="n">
        <f aca="false">N(V609)+U610</f>
        <v>30</v>
      </c>
    </row>
    <row r="611" customFormat="false" ht="13.5" hidden="false" customHeight="false" outlineLevel="0" collapsed="false">
      <c r="A611" s="0" t="str">
        <f aca="false">IF(资金日记账!$E309="","",资金日记账!$E309)</f>
        <v/>
      </c>
      <c r="B611" s="0" t="n">
        <f aca="false">IF(A611="",0,IF(MATCH(A611,$A$4:$A$1925,0)=ROW()-3,1,0))</f>
        <v>0</v>
      </c>
      <c r="C611" s="0" t="n">
        <f aca="false">N(C610)+B611</f>
        <v>11</v>
      </c>
      <c r="G611" s="0" t="n">
        <f aca="false">IF(OR($G$1="",对账补充行!$C4="",对账补充行!$C4&lt;&gt;$G$1),0,IF(NOT(OR(N(对账补充行!$H4)&lt;&gt;0,N(对账补充行!$I4)&lt;&gt;0)),0,IF(对账补充行!$B4="",1,IF(OR(N(对账补充行!$B4)&lt;$H$1,N(对账补充行!$B4)&gt;$I$1),0,1))))</f>
        <v>0</v>
      </c>
      <c r="H611" s="0" t="n">
        <f aca="false">N(H610)+$G611</f>
        <v>3</v>
      </c>
      <c r="I611" s="0" t="str">
        <f aca="false">IF($G611=0,"",IF(对账补充行!$B4=0,"",对账补充行!$B4))</f>
        <v/>
      </c>
      <c r="J611" s="0" t="str">
        <f aca="false">IF($G611=0,"",IF(对账补充行!$D4=0,"",对账补充行!$D4))</f>
        <v/>
      </c>
      <c r="K611" s="0" t="str">
        <f aca="false">IF($G611=0,"",IF(对账补充行!$E4=0,"",对账补充行!$E4))</f>
        <v/>
      </c>
      <c r="L611" s="0" t="str">
        <f aca="false">IF($G611=0,"",IF(对账补充行!$F4=0,"",对账补充行!$F4))</f>
        <v/>
      </c>
      <c r="M611" s="0" t="str">
        <f aca="false">IF($G611=0,"",IF(对账补充行!$G4=0,"",对账补充行!$G4))</f>
        <v/>
      </c>
      <c r="N611" s="0" t="str">
        <f aca="false">IF($G611=0,"",IF(对账补充行!$H4=0,"",对账补充行!$H4))</f>
        <v/>
      </c>
      <c r="O611" s="0" t="str">
        <f aca="false">IF($G611=0,"",IF(对账补充行!$I4=0,"",对账补充行!$I4))</f>
        <v/>
      </c>
      <c r="P611" s="0" t="str">
        <f aca="false">IF($G611=0,"",IF(对账补充行!$J4=0,"",对账补充行!$J4))</f>
        <v/>
      </c>
      <c r="T611" s="0" t="str">
        <f aca="false">IF(成本费用登记表!$D11="","",成本费用登记表!$D11)</f>
        <v/>
      </c>
      <c r="U611" s="0" t="n">
        <f aca="false">IF(T611="",0,IF(MATCH(T611,$T$4:$T$903,0)=ROW()-3,1,0))</f>
        <v>0</v>
      </c>
      <c r="V611" s="0" t="n">
        <f aca="false">N(V610)+U611</f>
        <v>30</v>
      </c>
    </row>
    <row r="612" customFormat="false" ht="13.5" hidden="false" customHeight="false" outlineLevel="0" collapsed="false">
      <c r="A612" s="0" t="str">
        <f aca="false">IF(资金日记账!$E310="","",资金日记账!$E310)</f>
        <v/>
      </c>
      <c r="B612" s="0" t="n">
        <f aca="false">IF(A612="",0,IF(MATCH(A612,$A$4:$A$1925,0)=ROW()-3,1,0))</f>
        <v>0</v>
      </c>
      <c r="C612" s="0" t="n">
        <f aca="false">N(C611)+B612</f>
        <v>11</v>
      </c>
      <c r="G612" s="0" t="n">
        <f aca="false">IF(OR($G$1="",对账补充行!$C5="",对账补充行!$C5&lt;&gt;$G$1),0,IF(NOT(OR(N(对账补充行!$H5)&lt;&gt;0,N(对账补充行!$I5)&lt;&gt;0)),0,IF(对账补充行!$B5="",1,IF(OR(N(对账补充行!$B5)&lt;$H$1,N(对账补充行!$B5)&gt;$I$1),0,1))))</f>
        <v>0</v>
      </c>
      <c r="H612" s="0" t="n">
        <f aca="false">N(H611)+$G612</f>
        <v>3</v>
      </c>
      <c r="I612" s="0" t="str">
        <f aca="false">IF($G612=0,"",IF(对账补充行!$B5=0,"",对账补充行!$B5))</f>
        <v/>
      </c>
      <c r="J612" s="0" t="str">
        <f aca="false">IF($G612=0,"",IF(对账补充行!$D5=0,"",对账补充行!$D5))</f>
        <v/>
      </c>
      <c r="K612" s="0" t="str">
        <f aca="false">IF($G612=0,"",IF(对账补充行!$E5=0,"",对账补充行!$E5))</f>
        <v/>
      </c>
      <c r="L612" s="0" t="str">
        <f aca="false">IF($G612=0,"",IF(对账补充行!$F5=0,"",对账补充行!$F5))</f>
        <v/>
      </c>
      <c r="M612" s="0" t="str">
        <f aca="false">IF($G612=0,"",IF(对账补充行!$G5=0,"",对账补充行!$G5))</f>
        <v/>
      </c>
      <c r="N612" s="0" t="str">
        <f aca="false">IF($G612=0,"",IF(对账补充行!$H5=0,"",对账补充行!$H5))</f>
        <v/>
      </c>
      <c r="O612" s="0" t="str">
        <f aca="false">IF($G612=0,"",IF(对账补充行!$I5=0,"",对账补充行!$I5))</f>
        <v/>
      </c>
      <c r="P612" s="0" t="str">
        <f aca="false">IF($G612=0,"",IF(对账补充行!$J5=0,"",对账补充行!$J5))</f>
        <v/>
      </c>
      <c r="T612" s="0" t="str">
        <f aca="false">IF(成本费用登记表!$D12="","",成本费用登记表!$D12)</f>
        <v/>
      </c>
      <c r="U612" s="0" t="n">
        <f aca="false">IF(T612="",0,IF(MATCH(T612,$T$4:$T$903,0)=ROW()-3,1,0))</f>
        <v>0</v>
      </c>
      <c r="V612" s="0" t="n">
        <f aca="false">N(V611)+U612</f>
        <v>30</v>
      </c>
    </row>
    <row r="613" customFormat="false" ht="13.5" hidden="false" customHeight="false" outlineLevel="0" collapsed="false">
      <c r="A613" s="0" t="str">
        <f aca="false">IF(资金日记账!$E311="","",资金日记账!$E311)</f>
        <v/>
      </c>
      <c r="B613" s="0" t="n">
        <f aca="false">IF(A613="",0,IF(MATCH(A613,$A$4:$A$1925,0)=ROW()-3,1,0))</f>
        <v>0</v>
      </c>
      <c r="C613" s="0" t="n">
        <f aca="false">N(C612)+B613</f>
        <v>11</v>
      </c>
      <c r="G613" s="0" t="n">
        <f aca="false">IF(OR($G$1="",对账补充行!$C6="",对账补充行!$C6&lt;&gt;$G$1),0,IF(NOT(OR(N(对账补充行!$H6)&lt;&gt;0,N(对账补充行!$I6)&lt;&gt;0)),0,IF(对账补充行!$B6="",1,IF(OR(N(对账补充行!$B6)&lt;$H$1,N(对账补充行!$B6)&gt;$I$1),0,1))))</f>
        <v>0</v>
      </c>
      <c r="H613" s="0" t="n">
        <f aca="false">N(H612)+$G613</f>
        <v>3</v>
      </c>
      <c r="I613" s="0" t="str">
        <f aca="false">IF($G613=0,"",IF(对账补充行!$B6=0,"",对账补充行!$B6))</f>
        <v/>
      </c>
      <c r="J613" s="0" t="str">
        <f aca="false">IF($G613=0,"",IF(对账补充行!$D6=0,"",对账补充行!$D6))</f>
        <v/>
      </c>
      <c r="K613" s="0" t="str">
        <f aca="false">IF($G613=0,"",IF(对账补充行!$E6=0,"",对账补充行!$E6))</f>
        <v/>
      </c>
      <c r="L613" s="0" t="str">
        <f aca="false">IF($G613=0,"",IF(对账补充行!$F6=0,"",对账补充行!$F6))</f>
        <v/>
      </c>
      <c r="M613" s="0" t="str">
        <f aca="false">IF($G613=0,"",IF(对账补充行!$G6=0,"",对账补充行!$G6))</f>
        <v/>
      </c>
      <c r="N613" s="0" t="str">
        <f aca="false">IF($G613=0,"",IF(对账补充行!$H6=0,"",对账补充行!$H6))</f>
        <v/>
      </c>
      <c r="O613" s="0" t="str">
        <f aca="false">IF($G613=0,"",IF(对账补充行!$I6=0,"",对账补充行!$I6))</f>
        <v/>
      </c>
      <c r="P613" s="0" t="str">
        <f aca="false">IF($G613=0,"",IF(对账补充行!$J6=0,"",对账补充行!$J6))</f>
        <v/>
      </c>
      <c r="T613" s="0" t="str">
        <f aca="false">IF(成本费用登记表!$D13="","",成本费用登记表!$D13)</f>
        <v/>
      </c>
      <c r="U613" s="0" t="n">
        <f aca="false">IF(T613="",0,IF(MATCH(T613,$T$4:$T$903,0)=ROW()-3,1,0))</f>
        <v>0</v>
      </c>
      <c r="V613" s="0" t="n">
        <f aca="false">N(V612)+U613</f>
        <v>30</v>
      </c>
    </row>
    <row r="614" customFormat="false" ht="13.5" hidden="false" customHeight="false" outlineLevel="0" collapsed="false">
      <c r="A614" s="0" t="str">
        <f aca="false">IF(资金日记账!$E312="","",资金日记账!$E312)</f>
        <v/>
      </c>
      <c r="B614" s="0" t="n">
        <f aca="false">IF(A614="",0,IF(MATCH(A614,$A$4:$A$1925,0)=ROW()-3,1,0))</f>
        <v>0</v>
      </c>
      <c r="C614" s="0" t="n">
        <f aca="false">N(C613)+B614</f>
        <v>11</v>
      </c>
      <c r="G614" s="0" t="n">
        <f aca="false">IF(OR($G$1="",对账补充行!$C7="",对账补充行!$C7&lt;&gt;$G$1),0,IF(NOT(OR(N(对账补充行!$H7)&lt;&gt;0,N(对账补充行!$I7)&lt;&gt;0)),0,IF(对账补充行!$B7="",1,IF(OR(N(对账补充行!$B7)&lt;$H$1,N(对账补充行!$B7)&gt;$I$1),0,1))))</f>
        <v>0</v>
      </c>
      <c r="H614" s="0" t="n">
        <f aca="false">N(H613)+$G614</f>
        <v>3</v>
      </c>
      <c r="I614" s="0" t="str">
        <f aca="false">IF($G614=0,"",IF(对账补充行!$B7=0,"",对账补充行!$B7))</f>
        <v/>
      </c>
      <c r="J614" s="0" t="str">
        <f aca="false">IF($G614=0,"",IF(对账补充行!$D7=0,"",对账补充行!$D7))</f>
        <v/>
      </c>
      <c r="K614" s="0" t="str">
        <f aca="false">IF($G614=0,"",IF(对账补充行!$E7=0,"",对账补充行!$E7))</f>
        <v/>
      </c>
      <c r="L614" s="0" t="str">
        <f aca="false">IF($G614=0,"",IF(对账补充行!$F7=0,"",对账补充行!$F7))</f>
        <v/>
      </c>
      <c r="M614" s="0" t="str">
        <f aca="false">IF($G614=0,"",IF(对账补充行!$G7=0,"",对账补充行!$G7))</f>
        <v/>
      </c>
      <c r="N614" s="0" t="str">
        <f aca="false">IF($G614=0,"",IF(对账补充行!$H7=0,"",对账补充行!$H7))</f>
        <v/>
      </c>
      <c r="O614" s="0" t="str">
        <f aca="false">IF($G614=0,"",IF(对账补充行!$I7=0,"",对账补充行!$I7))</f>
        <v/>
      </c>
      <c r="P614" s="0" t="str">
        <f aca="false">IF($G614=0,"",IF(对账补充行!$J7=0,"",对账补充行!$J7))</f>
        <v/>
      </c>
      <c r="T614" s="0" t="str">
        <f aca="false">IF(成本费用登记表!$D14="","",成本费用登记表!$D14)</f>
        <v/>
      </c>
      <c r="U614" s="0" t="n">
        <f aca="false">IF(T614="",0,IF(MATCH(T614,$T$4:$T$903,0)=ROW()-3,1,0))</f>
        <v>0</v>
      </c>
      <c r="V614" s="0" t="n">
        <f aca="false">N(V613)+U614</f>
        <v>30</v>
      </c>
    </row>
    <row r="615" customFormat="false" ht="13.5" hidden="false" customHeight="false" outlineLevel="0" collapsed="false">
      <c r="A615" s="0" t="str">
        <f aca="false">IF(资金日记账!$E313="","",资金日记账!$E313)</f>
        <v/>
      </c>
      <c r="B615" s="0" t="n">
        <f aca="false">IF(A615="",0,IF(MATCH(A615,$A$4:$A$1925,0)=ROW()-3,1,0))</f>
        <v>0</v>
      </c>
      <c r="C615" s="0" t="n">
        <f aca="false">N(C614)+B615</f>
        <v>11</v>
      </c>
      <c r="G615" s="0" t="n">
        <f aca="false">IF(OR($G$1="",对账补充行!$C8="",对账补充行!$C8&lt;&gt;$G$1),0,IF(NOT(OR(N(对账补充行!$H8)&lt;&gt;0,N(对账补充行!$I8)&lt;&gt;0)),0,IF(对账补充行!$B8="",1,IF(OR(N(对账补充行!$B8)&lt;$H$1,N(对账补充行!$B8)&gt;$I$1),0,1))))</f>
        <v>0</v>
      </c>
      <c r="H615" s="0" t="n">
        <f aca="false">N(H614)+$G615</f>
        <v>3</v>
      </c>
      <c r="I615" s="0" t="str">
        <f aca="false">IF($G615=0,"",IF(对账补充行!$B8=0,"",对账补充行!$B8))</f>
        <v/>
      </c>
      <c r="J615" s="0" t="str">
        <f aca="false">IF($G615=0,"",IF(对账补充行!$D8=0,"",对账补充行!$D8))</f>
        <v/>
      </c>
      <c r="K615" s="0" t="str">
        <f aca="false">IF($G615=0,"",IF(对账补充行!$E8=0,"",对账补充行!$E8))</f>
        <v/>
      </c>
      <c r="L615" s="0" t="str">
        <f aca="false">IF($G615=0,"",IF(对账补充行!$F8=0,"",对账补充行!$F8))</f>
        <v/>
      </c>
      <c r="M615" s="0" t="str">
        <f aca="false">IF($G615=0,"",IF(对账补充行!$G8=0,"",对账补充行!$G8))</f>
        <v/>
      </c>
      <c r="N615" s="0" t="str">
        <f aca="false">IF($G615=0,"",IF(对账补充行!$H8=0,"",对账补充行!$H8))</f>
        <v/>
      </c>
      <c r="O615" s="0" t="str">
        <f aca="false">IF($G615=0,"",IF(对账补充行!$I8=0,"",对账补充行!$I8))</f>
        <v/>
      </c>
      <c r="P615" s="0" t="str">
        <f aca="false">IF($G615=0,"",IF(对账补充行!$J8=0,"",对账补充行!$J8))</f>
        <v/>
      </c>
      <c r="T615" s="0" t="str">
        <f aca="false">IF(成本费用登记表!$D15="","",成本费用登记表!$D15)</f>
        <v/>
      </c>
      <c r="U615" s="0" t="n">
        <f aca="false">IF(T615="",0,IF(MATCH(T615,$T$4:$T$903,0)=ROW()-3,1,0))</f>
        <v>0</v>
      </c>
      <c r="V615" s="0" t="n">
        <f aca="false">N(V614)+U615</f>
        <v>30</v>
      </c>
    </row>
    <row r="616" customFormat="false" ht="13.5" hidden="false" customHeight="false" outlineLevel="0" collapsed="false">
      <c r="A616" s="0" t="str">
        <f aca="false">IF(资金日记账!$E314="","",资金日记账!$E314)</f>
        <v/>
      </c>
      <c r="B616" s="0" t="n">
        <f aca="false">IF(A616="",0,IF(MATCH(A616,$A$4:$A$1925,0)=ROW()-3,1,0))</f>
        <v>0</v>
      </c>
      <c r="C616" s="0" t="n">
        <f aca="false">N(C615)+B616</f>
        <v>11</v>
      </c>
      <c r="G616" s="0" t="n">
        <f aca="false">IF(OR($G$1="",对账补充行!$C9="",对账补充行!$C9&lt;&gt;$G$1),0,IF(NOT(OR(N(对账补充行!$H9)&lt;&gt;0,N(对账补充行!$I9)&lt;&gt;0)),0,IF(对账补充行!$B9="",1,IF(OR(N(对账补充行!$B9)&lt;$H$1,N(对账补充行!$B9)&gt;$I$1),0,1))))</f>
        <v>0</v>
      </c>
      <c r="H616" s="0" t="n">
        <f aca="false">N(H615)+$G616</f>
        <v>3</v>
      </c>
      <c r="I616" s="0" t="str">
        <f aca="false">IF($G616=0,"",IF(对账补充行!$B9=0,"",对账补充行!$B9))</f>
        <v/>
      </c>
      <c r="J616" s="0" t="str">
        <f aca="false">IF($G616=0,"",IF(对账补充行!$D9=0,"",对账补充行!$D9))</f>
        <v/>
      </c>
      <c r="K616" s="0" t="str">
        <f aca="false">IF($G616=0,"",IF(对账补充行!$E9=0,"",对账补充行!$E9))</f>
        <v/>
      </c>
      <c r="L616" s="0" t="str">
        <f aca="false">IF($G616=0,"",IF(对账补充行!$F9=0,"",对账补充行!$F9))</f>
        <v/>
      </c>
      <c r="M616" s="0" t="str">
        <f aca="false">IF($G616=0,"",IF(对账补充行!$G9=0,"",对账补充行!$G9))</f>
        <v/>
      </c>
      <c r="N616" s="0" t="str">
        <f aca="false">IF($G616=0,"",IF(对账补充行!$H9=0,"",对账补充行!$H9))</f>
        <v/>
      </c>
      <c r="O616" s="0" t="str">
        <f aca="false">IF($G616=0,"",IF(对账补充行!$I9=0,"",对账补充行!$I9))</f>
        <v/>
      </c>
      <c r="P616" s="0" t="str">
        <f aca="false">IF($G616=0,"",IF(对账补充行!$J9=0,"",对账补充行!$J9))</f>
        <v/>
      </c>
      <c r="T616" s="0" t="str">
        <f aca="false">IF(成本费用登记表!$D16="","",成本费用登记表!$D16)</f>
        <v/>
      </c>
      <c r="U616" s="0" t="n">
        <f aca="false">IF(T616="",0,IF(MATCH(T616,$T$4:$T$903,0)=ROW()-3,1,0))</f>
        <v>0</v>
      </c>
      <c r="V616" s="0" t="n">
        <f aca="false">N(V615)+U616</f>
        <v>30</v>
      </c>
    </row>
    <row r="617" customFormat="false" ht="13.5" hidden="false" customHeight="false" outlineLevel="0" collapsed="false">
      <c r="A617" s="0" t="str">
        <f aca="false">IF(资金日记账!$E315="","",资金日记账!$E315)</f>
        <v/>
      </c>
      <c r="B617" s="0" t="n">
        <f aca="false">IF(A617="",0,IF(MATCH(A617,$A$4:$A$1925,0)=ROW()-3,1,0))</f>
        <v>0</v>
      </c>
      <c r="C617" s="0" t="n">
        <f aca="false">N(C616)+B617</f>
        <v>11</v>
      </c>
      <c r="G617" s="0" t="n">
        <f aca="false">IF(OR($G$1="",对账补充行!$C10="",对账补充行!$C10&lt;&gt;$G$1),0,IF(NOT(OR(N(对账补充行!$H10)&lt;&gt;0,N(对账补充行!$I10)&lt;&gt;0)),0,IF(对账补充行!$B10="",1,IF(OR(N(对账补充行!$B10)&lt;$H$1,N(对账补充行!$B10)&gt;$I$1),0,1))))</f>
        <v>0</v>
      </c>
      <c r="H617" s="0" t="n">
        <f aca="false">N(H616)+$G617</f>
        <v>3</v>
      </c>
      <c r="I617" s="0" t="str">
        <f aca="false">IF($G617=0,"",IF(对账补充行!$B10=0,"",对账补充行!$B10))</f>
        <v/>
      </c>
      <c r="J617" s="0" t="str">
        <f aca="false">IF($G617=0,"",IF(对账补充行!$D10=0,"",对账补充行!$D10))</f>
        <v/>
      </c>
      <c r="K617" s="0" t="str">
        <f aca="false">IF($G617=0,"",IF(对账补充行!$E10=0,"",对账补充行!$E10))</f>
        <v/>
      </c>
      <c r="L617" s="0" t="str">
        <f aca="false">IF($G617=0,"",IF(对账补充行!$F10=0,"",对账补充行!$F10))</f>
        <v/>
      </c>
      <c r="M617" s="0" t="str">
        <f aca="false">IF($G617=0,"",IF(对账补充行!$G10=0,"",对账补充行!$G10))</f>
        <v/>
      </c>
      <c r="N617" s="0" t="str">
        <f aca="false">IF($G617=0,"",IF(对账补充行!$H10=0,"",对账补充行!$H10))</f>
        <v/>
      </c>
      <c r="O617" s="0" t="str">
        <f aca="false">IF($G617=0,"",IF(对账补充行!$I10=0,"",对账补充行!$I10))</f>
        <v/>
      </c>
      <c r="P617" s="0" t="str">
        <f aca="false">IF($G617=0,"",IF(对账补充行!$J10=0,"",对账补充行!$J10))</f>
        <v/>
      </c>
      <c r="T617" s="0" t="str">
        <f aca="false">IF(成本费用登记表!$D17="","",成本费用登记表!$D17)</f>
        <v/>
      </c>
      <c r="U617" s="0" t="n">
        <f aca="false">IF(T617="",0,IF(MATCH(T617,$T$4:$T$903,0)=ROW()-3,1,0))</f>
        <v>0</v>
      </c>
      <c r="V617" s="0" t="n">
        <f aca="false">N(V616)+U617</f>
        <v>30</v>
      </c>
    </row>
    <row r="618" customFormat="false" ht="13.5" hidden="false" customHeight="false" outlineLevel="0" collapsed="false">
      <c r="A618" s="0" t="str">
        <f aca="false">IF(资金日记账!$E316="","",资金日记账!$E316)</f>
        <v/>
      </c>
      <c r="B618" s="0" t="n">
        <f aca="false">IF(A618="",0,IF(MATCH(A618,$A$4:$A$1925,0)=ROW()-3,1,0))</f>
        <v>0</v>
      </c>
      <c r="C618" s="0" t="n">
        <f aca="false">N(C617)+B618</f>
        <v>11</v>
      </c>
      <c r="G618" s="0" t="n">
        <f aca="false">IF(OR($G$1="",对账补充行!$C11="",对账补充行!$C11&lt;&gt;$G$1),0,IF(NOT(OR(N(对账补充行!$H11)&lt;&gt;0,N(对账补充行!$I11)&lt;&gt;0)),0,IF(对账补充行!$B11="",1,IF(OR(N(对账补充行!$B11)&lt;$H$1,N(对账补充行!$B11)&gt;$I$1),0,1))))</f>
        <v>0</v>
      </c>
      <c r="H618" s="0" t="n">
        <f aca="false">N(H617)+$G618</f>
        <v>3</v>
      </c>
      <c r="I618" s="0" t="str">
        <f aca="false">IF($G618=0,"",IF(对账补充行!$B11=0,"",对账补充行!$B11))</f>
        <v/>
      </c>
      <c r="J618" s="0" t="str">
        <f aca="false">IF($G618=0,"",IF(对账补充行!$D11=0,"",对账补充行!$D11))</f>
        <v/>
      </c>
      <c r="K618" s="0" t="str">
        <f aca="false">IF($G618=0,"",IF(对账补充行!$E11=0,"",对账补充行!$E11))</f>
        <v/>
      </c>
      <c r="L618" s="0" t="str">
        <f aca="false">IF($G618=0,"",IF(对账补充行!$F11=0,"",对账补充行!$F11))</f>
        <v/>
      </c>
      <c r="M618" s="0" t="str">
        <f aca="false">IF($G618=0,"",IF(对账补充行!$G11=0,"",对账补充行!$G11))</f>
        <v/>
      </c>
      <c r="N618" s="0" t="str">
        <f aca="false">IF($G618=0,"",IF(对账补充行!$H11=0,"",对账补充行!$H11))</f>
        <v/>
      </c>
      <c r="O618" s="0" t="str">
        <f aca="false">IF($G618=0,"",IF(对账补充行!$I11=0,"",对账补充行!$I11))</f>
        <v/>
      </c>
      <c r="P618" s="0" t="str">
        <f aca="false">IF($G618=0,"",IF(对账补充行!$J11=0,"",对账补充行!$J11))</f>
        <v/>
      </c>
      <c r="T618" s="0" t="str">
        <f aca="false">IF(成本费用登记表!$D18="","",成本费用登记表!$D18)</f>
        <v/>
      </c>
      <c r="U618" s="0" t="n">
        <f aca="false">IF(T618="",0,IF(MATCH(T618,$T$4:$T$903,0)=ROW()-3,1,0))</f>
        <v>0</v>
      </c>
      <c r="V618" s="0" t="n">
        <f aca="false">N(V617)+U618</f>
        <v>30</v>
      </c>
    </row>
    <row r="619" customFormat="false" ht="13.5" hidden="false" customHeight="false" outlineLevel="0" collapsed="false">
      <c r="A619" s="0" t="str">
        <f aca="false">IF(资金日记账!$E317="","",资金日记账!$E317)</f>
        <v/>
      </c>
      <c r="B619" s="0" t="n">
        <f aca="false">IF(A619="",0,IF(MATCH(A619,$A$4:$A$1925,0)=ROW()-3,1,0))</f>
        <v>0</v>
      </c>
      <c r="C619" s="0" t="n">
        <f aca="false">N(C618)+B619</f>
        <v>11</v>
      </c>
      <c r="G619" s="0" t="n">
        <f aca="false">IF(OR($G$1="",对账补充行!$C12="",对账补充行!$C12&lt;&gt;$G$1),0,IF(NOT(OR(N(对账补充行!$H12)&lt;&gt;0,N(对账补充行!$I12)&lt;&gt;0)),0,IF(对账补充行!$B12="",1,IF(OR(N(对账补充行!$B12)&lt;$H$1,N(对账补充行!$B12)&gt;$I$1),0,1))))</f>
        <v>0</v>
      </c>
      <c r="H619" s="0" t="n">
        <f aca="false">N(H618)+$G619</f>
        <v>3</v>
      </c>
      <c r="I619" s="0" t="str">
        <f aca="false">IF($G619=0,"",IF(对账补充行!$B12=0,"",对账补充行!$B12))</f>
        <v/>
      </c>
      <c r="J619" s="0" t="str">
        <f aca="false">IF($G619=0,"",IF(对账补充行!$D12=0,"",对账补充行!$D12))</f>
        <v/>
      </c>
      <c r="K619" s="0" t="str">
        <f aca="false">IF($G619=0,"",IF(对账补充行!$E12=0,"",对账补充行!$E12))</f>
        <v/>
      </c>
      <c r="L619" s="0" t="str">
        <f aca="false">IF($G619=0,"",IF(对账补充行!$F12=0,"",对账补充行!$F12))</f>
        <v/>
      </c>
      <c r="M619" s="0" t="str">
        <f aca="false">IF($G619=0,"",IF(对账补充行!$G12=0,"",对账补充行!$G12))</f>
        <v/>
      </c>
      <c r="N619" s="0" t="str">
        <f aca="false">IF($G619=0,"",IF(对账补充行!$H12=0,"",对账补充行!$H12))</f>
        <v/>
      </c>
      <c r="O619" s="0" t="str">
        <f aca="false">IF($G619=0,"",IF(对账补充行!$I12=0,"",对账补充行!$I12))</f>
        <v/>
      </c>
      <c r="P619" s="0" t="str">
        <f aca="false">IF($G619=0,"",IF(对账补充行!$J12=0,"",对账补充行!$J12))</f>
        <v/>
      </c>
      <c r="T619" s="0" t="str">
        <f aca="false">IF(成本费用登记表!$D19="","",成本费用登记表!$D19)</f>
        <v/>
      </c>
      <c r="U619" s="0" t="n">
        <f aca="false">IF(T619="",0,IF(MATCH(T619,$T$4:$T$903,0)=ROW()-3,1,0))</f>
        <v>0</v>
      </c>
      <c r="V619" s="0" t="n">
        <f aca="false">N(V618)+U619</f>
        <v>30</v>
      </c>
    </row>
    <row r="620" customFormat="false" ht="13.5" hidden="false" customHeight="false" outlineLevel="0" collapsed="false">
      <c r="A620" s="0" t="str">
        <f aca="false">IF(资金日记账!$E318="","",资金日记账!$E318)</f>
        <v/>
      </c>
      <c r="B620" s="0" t="n">
        <f aca="false">IF(A620="",0,IF(MATCH(A620,$A$4:$A$1925,0)=ROW()-3,1,0))</f>
        <v>0</v>
      </c>
      <c r="C620" s="0" t="n">
        <f aca="false">N(C619)+B620</f>
        <v>11</v>
      </c>
      <c r="G620" s="0" t="n">
        <f aca="false">IF(OR($G$1="",对账补充行!$C13="",对账补充行!$C13&lt;&gt;$G$1),0,IF(NOT(OR(N(对账补充行!$H13)&lt;&gt;0,N(对账补充行!$I13)&lt;&gt;0)),0,IF(对账补充行!$B13="",1,IF(OR(N(对账补充行!$B13)&lt;$H$1,N(对账补充行!$B13)&gt;$I$1),0,1))))</f>
        <v>0</v>
      </c>
      <c r="H620" s="0" t="n">
        <f aca="false">N(H619)+$G620</f>
        <v>3</v>
      </c>
      <c r="I620" s="0" t="str">
        <f aca="false">IF($G620=0,"",IF(对账补充行!$B13=0,"",对账补充行!$B13))</f>
        <v/>
      </c>
      <c r="J620" s="0" t="str">
        <f aca="false">IF($G620=0,"",IF(对账补充行!$D13=0,"",对账补充行!$D13))</f>
        <v/>
      </c>
      <c r="K620" s="0" t="str">
        <f aca="false">IF($G620=0,"",IF(对账补充行!$E13=0,"",对账补充行!$E13))</f>
        <v/>
      </c>
      <c r="L620" s="0" t="str">
        <f aca="false">IF($G620=0,"",IF(对账补充行!$F13=0,"",对账补充行!$F13))</f>
        <v/>
      </c>
      <c r="M620" s="0" t="str">
        <f aca="false">IF($G620=0,"",IF(对账补充行!$G13=0,"",对账补充行!$G13))</f>
        <v/>
      </c>
      <c r="N620" s="0" t="str">
        <f aca="false">IF($G620=0,"",IF(对账补充行!$H13=0,"",对账补充行!$H13))</f>
        <v/>
      </c>
      <c r="O620" s="0" t="str">
        <f aca="false">IF($G620=0,"",IF(对账补充行!$I13=0,"",对账补充行!$I13))</f>
        <v/>
      </c>
      <c r="P620" s="0" t="str">
        <f aca="false">IF($G620=0,"",IF(对账补充行!$J13=0,"",对账补充行!$J13))</f>
        <v/>
      </c>
      <c r="T620" s="0" t="str">
        <f aca="false">IF(成本费用登记表!$D20="","",成本费用登记表!$D20)</f>
        <v/>
      </c>
      <c r="U620" s="0" t="n">
        <f aca="false">IF(T620="",0,IF(MATCH(T620,$T$4:$T$903,0)=ROW()-3,1,0))</f>
        <v>0</v>
      </c>
      <c r="V620" s="0" t="n">
        <f aca="false">N(V619)+U620</f>
        <v>30</v>
      </c>
    </row>
    <row r="621" customFormat="false" ht="13.5" hidden="false" customHeight="false" outlineLevel="0" collapsed="false">
      <c r="A621" s="0" t="str">
        <f aca="false">IF(资金日记账!$E319="","",资金日记账!$E319)</f>
        <v/>
      </c>
      <c r="B621" s="0" t="n">
        <f aca="false">IF(A621="",0,IF(MATCH(A621,$A$4:$A$1925,0)=ROW()-3,1,0))</f>
        <v>0</v>
      </c>
      <c r="C621" s="0" t="n">
        <f aca="false">N(C620)+B621</f>
        <v>11</v>
      </c>
      <c r="G621" s="0" t="n">
        <f aca="false">IF(OR($G$1="",对账补充行!$C14="",对账补充行!$C14&lt;&gt;$G$1),0,IF(NOT(OR(N(对账补充行!$H14)&lt;&gt;0,N(对账补充行!$I14)&lt;&gt;0)),0,IF(对账补充行!$B14="",1,IF(OR(N(对账补充行!$B14)&lt;$H$1,N(对账补充行!$B14)&gt;$I$1),0,1))))</f>
        <v>0</v>
      </c>
      <c r="H621" s="0" t="n">
        <f aca="false">N(H620)+$G621</f>
        <v>3</v>
      </c>
      <c r="I621" s="0" t="str">
        <f aca="false">IF($G621=0,"",IF(对账补充行!$B14=0,"",对账补充行!$B14))</f>
        <v/>
      </c>
      <c r="J621" s="0" t="str">
        <f aca="false">IF($G621=0,"",IF(对账补充行!$D14=0,"",对账补充行!$D14))</f>
        <v/>
      </c>
      <c r="K621" s="0" t="str">
        <f aca="false">IF($G621=0,"",IF(对账补充行!$E14=0,"",对账补充行!$E14))</f>
        <v/>
      </c>
      <c r="L621" s="0" t="str">
        <f aca="false">IF($G621=0,"",IF(对账补充行!$F14=0,"",对账补充行!$F14))</f>
        <v/>
      </c>
      <c r="M621" s="0" t="str">
        <f aca="false">IF($G621=0,"",IF(对账补充行!$G14=0,"",对账补充行!$G14))</f>
        <v/>
      </c>
      <c r="N621" s="0" t="str">
        <f aca="false">IF($G621=0,"",IF(对账补充行!$H14=0,"",对账补充行!$H14))</f>
        <v/>
      </c>
      <c r="O621" s="0" t="str">
        <f aca="false">IF($G621=0,"",IF(对账补充行!$I14=0,"",对账补充行!$I14))</f>
        <v/>
      </c>
      <c r="P621" s="0" t="str">
        <f aca="false">IF($G621=0,"",IF(对账补充行!$J14=0,"",对账补充行!$J14))</f>
        <v/>
      </c>
      <c r="T621" s="0" t="str">
        <f aca="false">IF(成本费用登记表!$D21="","",成本费用登记表!$D21)</f>
        <v/>
      </c>
      <c r="U621" s="0" t="n">
        <f aca="false">IF(T621="",0,IF(MATCH(T621,$T$4:$T$903,0)=ROW()-3,1,0))</f>
        <v>0</v>
      </c>
      <c r="V621" s="0" t="n">
        <f aca="false">N(V620)+U621</f>
        <v>30</v>
      </c>
    </row>
    <row r="622" customFormat="false" ht="13.5" hidden="false" customHeight="false" outlineLevel="0" collapsed="false">
      <c r="A622" s="0" t="str">
        <f aca="false">IF(资金日记账!$E320="","",资金日记账!$E320)</f>
        <v/>
      </c>
      <c r="B622" s="0" t="n">
        <f aca="false">IF(A622="",0,IF(MATCH(A622,$A$4:$A$1925,0)=ROW()-3,1,0))</f>
        <v>0</v>
      </c>
      <c r="C622" s="0" t="n">
        <f aca="false">N(C621)+B622</f>
        <v>11</v>
      </c>
      <c r="G622" s="0" t="n">
        <f aca="false">IF(OR($G$1="",对账补充行!$C15="",对账补充行!$C15&lt;&gt;$G$1),0,IF(NOT(OR(N(对账补充行!$H15)&lt;&gt;0,N(对账补充行!$I15)&lt;&gt;0)),0,IF(对账补充行!$B15="",1,IF(OR(N(对账补充行!$B15)&lt;$H$1,N(对账补充行!$B15)&gt;$I$1),0,1))))</f>
        <v>0</v>
      </c>
      <c r="H622" s="0" t="n">
        <f aca="false">N(H621)+$G622</f>
        <v>3</v>
      </c>
      <c r="I622" s="0" t="str">
        <f aca="false">IF($G622=0,"",IF(对账补充行!$B15=0,"",对账补充行!$B15))</f>
        <v/>
      </c>
      <c r="J622" s="0" t="str">
        <f aca="false">IF($G622=0,"",IF(对账补充行!$D15=0,"",对账补充行!$D15))</f>
        <v/>
      </c>
      <c r="K622" s="0" t="str">
        <f aca="false">IF($G622=0,"",IF(对账补充行!$E15=0,"",对账补充行!$E15))</f>
        <v/>
      </c>
      <c r="L622" s="0" t="str">
        <f aca="false">IF($G622=0,"",IF(对账补充行!$F15=0,"",对账补充行!$F15))</f>
        <v/>
      </c>
      <c r="M622" s="0" t="str">
        <f aca="false">IF($G622=0,"",IF(对账补充行!$G15=0,"",对账补充行!$G15))</f>
        <v/>
      </c>
      <c r="N622" s="0" t="str">
        <f aca="false">IF($G622=0,"",IF(对账补充行!$H15=0,"",对账补充行!$H15))</f>
        <v/>
      </c>
      <c r="O622" s="0" t="str">
        <f aca="false">IF($G622=0,"",IF(对账补充行!$I15=0,"",对账补充行!$I15))</f>
        <v/>
      </c>
      <c r="P622" s="0" t="str">
        <f aca="false">IF($G622=0,"",IF(对账补充行!$J15=0,"",对账补充行!$J15))</f>
        <v/>
      </c>
      <c r="T622" s="0" t="str">
        <f aca="false">IF(成本费用登记表!$D22="","",成本费用登记表!$D22)</f>
        <v/>
      </c>
      <c r="U622" s="0" t="n">
        <f aca="false">IF(T622="",0,IF(MATCH(T622,$T$4:$T$903,0)=ROW()-3,1,0))</f>
        <v>0</v>
      </c>
      <c r="V622" s="0" t="n">
        <f aca="false">N(V621)+U622</f>
        <v>30</v>
      </c>
    </row>
    <row r="623" customFormat="false" ht="13.5" hidden="false" customHeight="false" outlineLevel="0" collapsed="false">
      <c r="A623" s="0" t="str">
        <f aca="false">IF(资金日记账!$E321="","",资金日记账!$E321)</f>
        <v/>
      </c>
      <c r="B623" s="0" t="n">
        <f aca="false">IF(A623="",0,IF(MATCH(A623,$A$4:$A$1925,0)=ROW()-3,1,0))</f>
        <v>0</v>
      </c>
      <c r="C623" s="0" t="n">
        <f aca="false">N(C622)+B623</f>
        <v>11</v>
      </c>
      <c r="G623" s="0" t="n">
        <f aca="false">IF(OR($G$1="",对账补充行!$C16="",对账补充行!$C16&lt;&gt;$G$1),0,IF(NOT(OR(N(对账补充行!$H16)&lt;&gt;0,N(对账补充行!$I16)&lt;&gt;0)),0,IF(对账补充行!$B16="",1,IF(OR(N(对账补充行!$B16)&lt;$H$1,N(对账补充行!$B16)&gt;$I$1),0,1))))</f>
        <v>0</v>
      </c>
      <c r="H623" s="0" t="n">
        <f aca="false">N(H622)+$G623</f>
        <v>3</v>
      </c>
      <c r="I623" s="0" t="str">
        <f aca="false">IF($G623=0,"",IF(对账补充行!$B16=0,"",对账补充行!$B16))</f>
        <v/>
      </c>
      <c r="J623" s="0" t="str">
        <f aca="false">IF($G623=0,"",IF(对账补充行!$D16=0,"",对账补充行!$D16))</f>
        <v/>
      </c>
      <c r="K623" s="0" t="str">
        <f aca="false">IF($G623=0,"",IF(对账补充行!$E16=0,"",对账补充行!$E16))</f>
        <v/>
      </c>
      <c r="L623" s="0" t="str">
        <f aca="false">IF($G623=0,"",IF(对账补充行!$F16=0,"",对账补充行!$F16))</f>
        <v/>
      </c>
      <c r="M623" s="0" t="str">
        <f aca="false">IF($G623=0,"",IF(对账补充行!$G16=0,"",对账补充行!$G16))</f>
        <v/>
      </c>
      <c r="N623" s="0" t="str">
        <f aca="false">IF($G623=0,"",IF(对账补充行!$H16=0,"",对账补充行!$H16))</f>
        <v/>
      </c>
      <c r="O623" s="0" t="str">
        <f aca="false">IF($G623=0,"",IF(对账补充行!$I16=0,"",对账补充行!$I16))</f>
        <v/>
      </c>
      <c r="P623" s="0" t="str">
        <f aca="false">IF($G623=0,"",IF(对账补充行!$J16=0,"",对账补充行!$J16))</f>
        <v/>
      </c>
      <c r="T623" s="0" t="str">
        <f aca="false">IF(成本费用登记表!$D23="","",成本费用登记表!$D23)</f>
        <v/>
      </c>
      <c r="U623" s="0" t="n">
        <f aca="false">IF(T623="",0,IF(MATCH(T623,$T$4:$T$903,0)=ROW()-3,1,0))</f>
        <v>0</v>
      </c>
      <c r="V623" s="0" t="n">
        <f aca="false">N(V622)+U623</f>
        <v>30</v>
      </c>
    </row>
    <row r="624" customFormat="false" ht="13.5" hidden="false" customHeight="false" outlineLevel="0" collapsed="false">
      <c r="A624" s="0" t="str">
        <f aca="false">IF(资金日记账!$E322="","",资金日记账!$E322)</f>
        <v/>
      </c>
      <c r="B624" s="0" t="n">
        <f aca="false">IF(A624="",0,IF(MATCH(A624,$A$4:$A$1925,0)=ROW()-3,1,0))</f>
        <v>0</v>
      </c>
      <c r="C624" s="0" t="n">
        <f aca="false">N(C623)+B624</f>
        <v>11</v>
      </c>
      <c r="G624" s="0" t="n">
        <f aca="false">IF(OR($G$1="",对账补充行!$C17="",对账补充行!$C17&lt;&gt;$G$1),0,IF(NOT(OR(N(对账补充行!$H17)&lt;&gt;0,N(对账补充行!$I17)&lt;&gt;0)),0,IF(对账补充行!$B17="",1,IF(OR(N(对账补充行!$B17)&lt;$H$1,N(对账补充行!$B17)&gt;$I$1),0,1))))</f>
        <v>0</v>
      </c>
      <c r="H624" s="0" t="n">
        <f aca="false">N(H623)+$G624</f>
        <v>3</v>
      </c>
      <c r="I624" s="0" t="str">
        <f aca="false">IF($G624=0,"",IF(对账补充行!$B17=0,"",对账补充行!$B17))</f>
        <v/>
      </c>
      <c r="J624" s="0" t="str">
        <f aca="false">IF($G624=0,"",IF(对账补充行!$D17=0,"",对账补充行!$D17))</f>
        <v/>
      </c>
      <c r="K624" s="0" t="str">
        <f aca="false">IF($G624=0,"",IF(对账补充行!$E17=0,"",对账补充行!$E17))</f>
        <v/>
      </c>
      <c r="L624" s="0" t="str">
        <f aca="false">IF($G624=0,"",IF(对账补充行!$F17=0,"",对账补充行!$F17))</f>
        <v/>
      </c>
      <c r="M624" s="0" t="str">
        <f aca="false">IF($G624=0,"",IF(对账补充行!$G17=0,"",对账补充行!$G17))</f>
        <v/>
      </c>
      <c r="N624" s="0" t="str">
        <f aca="false">IF($G624=0,"",IF(对账补充行!$H17=0,"",对账补充行!$H17))</f>
        <v/>
      </c>
      <c r="O624" s="0" t="str">
        <f aca="false">IF($G624=0,"",IF(对账补充行!$I17=0,"",对账补充行!$I17))</f>
        <v/>
      </c>
      <c r="P624" s="0" t="str">
        <f aca="false">IF($G624=0,"",IF(对账补充行!$J17=0,"",对账补充行!$J17))</f>
        <v/>
      </c>
      <c r="T624" s="0" t="str">
        <f aca="false">IF(成本费用登记表!$D24="","",成本费用登记表!$D24)</f>
        <v/>
      </c>
      <c r="U624" s="0" t="n">
        <f aca="false">IF(T624="",0,IF(MATCH(T624,$T$4:$T$903,0)=ROW()-3,1,0))</f>
        <v>0</v>
      </c>
      <c r="V624" s="0" t="n">
        <f aca="false">N(V623)+U624</f>
        <v>30</v>
      </c>
    </row>
    <row r="625" customFormat="false" ht="13.5" hidden="false" customHeight="false" outlineLevel="0" collapsed="false">
      <c r="A625" s="0" t="str">
        <f aca="false">IF(资金日记账!$E323="","",资金日记账!$E323)</f>
        <v/>
      </c>
      <c r="B625" s="0" t="n">
        <f aca="false">IF(A625="",0,IF(MATCH(A625,$A$4:$A$1925,0)=ROW()-3,1,0))</f>
        <v>0</v>
      </c>
      <c r="C625" s="0" t="n">
        <f aca="false">N(C624)+B625</f>
        <v>11</v>
      </c>
      <c r="G625" s="0" t="n">
        <f aca="false">IF(OR($G$1="",对账补充行!$C18="",对账补充行!$C18&lt;&gt;$G$1),0,IF(NOT(OR(N(对账补充行!$H18)&lt;&gt;0,N(对账补充行!$I18)&lt;&gt;0)),0,IF(对账补充行!$B18="",1,IF(OR(N(对账补充行!$B18)&lt;$H$1,N(对账补充行!$B18)&gt;$I$1),0,1))))</f>
        <v>0</v>
      </c>
      <c r="H625" s="0" t="n">
        <f aca="false">N(H624)+$G625</f>
        <v>3</v>
      </c>
      <c r="I625" s="0" t="str">
        <f aca="false">IF($G625=0,"",IF(对账补充行!$B18=0,"",对账补充行!$B18))</f>
        <v/>
      </c>
      <c r="J625" s="0" t="str">
        <f aca="false">IF($G625=0,"",IF(对账补充行!$D18=0,"",对账补充行!$D18))</f>
        <v/>
      </c>
      <c r="K625" s="0" t="str">
        <f aca="false">IF($G625=0,"",IF(对账补充行!$E18=0,"",对账补充行!$E18))</f>
        <v/>
      </c>
      <c r="L625" s="0" t="str">
        <f aca="false">IF($G625=0,"",IF(对账补充行!$F18=0,"",对账补充行!$F18))</f>
        <v/>
      </c>
      <c r="M625" s="0" t="str">
        <f aca="false">IF($G625=0,"",IF(对账补充行!$G18=0,"",对账补充行!$G18))</f>
        <v/>
      </c>
      <c r="N625" s="0" t="str">
        <f aca="false">IF($G625=0,"",IF(对账补充行!$H18=0,"",对账补充行!$H18))</f>
        <v/>
      </c>
      <c r="O625" s="0" t="str">
        <f aca="false">IF($G625=0,"",IF(对账补充行!$I18=0,"",对账补充行!$I18))</f>
        <v/>
      </c>
      <c r="P625" s="0" t="str">
        <f aca="false">IF($G625=0,"",IF(对账补充行!$J18=0,"",对账补充行!$J18))</f>
        <v/>
      </c>
      <c r="T625" s="0" t="str">
        <f aca="false">IF(成本费用登记表!$D25="","",成本费用登记表!$D25)</f>
        <v/>
      </c>
      <c r="U625" s="0" t="n">
        <f aca="false">IF(T625="",0,IF(MATCH(T625,$T$4:$T$903,0)=ROW()-3,1,0))</f>
        <v>0</v>
      </c>
      <c r="V625" s="0" t="n">
        <f aca="false">N(V624)+U625</f>
        <v>30</v>
      </c>
    </row>
    <row r="626" customFormat="false" ht="13.5" hidden="false" customHeight="false" outlineLevel="0" collapsed="false">
      <c r="A626" s="0" t="str">
        <f aca="false">IF(资金日记账!$E324="","",资金日记账!$E324)</f>
        <v/>
      </c>
      <c r="B626" s="0" t="n">
        <f aca="false">IF(A626="",0,IF(MATCH(A626,$A$4:$A$1925,0)=ROW()-3,1,0))</f>
        <v>0</v>
      </c>
      <c r="C626" s="0" t="n">
        <f aca="false">N(C625)+B626</f>
        <v>11</v>
      </c>
      <c r="G626" s="0" t="n">
        <f aca="false">IF(OR($G$1="",对账补充行!$C19="",对账补充行!$C19&lt;&gt;$G$1),0,IF(NOT(OR(N(对账补充行!$H19)&lt;&gt;0,N(对账补充行!$I19)&lt;&gt;0)),0,IF(对账补充行!$B19="",1,IF(OR(N(对账补充行!$B19)&lt;$H$1,N(对账补充行!$B19)&gt;$I$1),0,1))))</f>
        <v>0</v>
      </c>
      <c r="H626" s="0" t="n">
        <f aca="false">N(H625)+$G626</f>
        <v>3</v>
      </c>
      <c r="I626" s="0" t="str">
        <f aca="false">IF($G626=0,"",IF(对账补充行!$B19=0,"",对账补充行!$B19))</f>
        <v/>
      </c>
      <c r="J626" s="0" t="str">
        <f aca="false">IF($G626=0,"",IF(对账补充行!$D19=0,"",对账补充行!$D19))</f>
        <v/>
      </c>
      <c r="K626" s="0" t="str">
        <f aca="false">IF($G626=0,"",IF(对账补充行!$E19=0,"",对账补充行!$E19))</f>
        <v/>
      </c>
      <c r="L626" s="0" t="str">
        <f aca="false">IF($G626=0,"",IF(对账补充行!$F19=0,"",对账补充行!$F19))</f>
        <v/>
      </c>
      <c r="M626" s="0" t="str">
        <f aca="false">IF($G626=0,"",IF(对账补充行!$G19=0,"",对账补充行!$G19))</f>
        <v/>
      </c>
      <c r="N626" s="0" t="str">
        <f aca="false">IF($G626=0,"",IF(对账补充行!$H19=0,"",对账补充行!$H19))</f>
        <v/>
      </c>
      <c r="O626" s="0" t="str">
        <f aca="false">IF($G626=0,"",IF(对账补充行!$I19=0,"",对账补充行!$I19))</f>
        <v/>
      </c>
      <c r="P626" s="0" t="str">
        <f aca="false">IF($G626=0,"",IF(对账补充行!$J19=0,"",对账补充行!$J19))</f>
        <v/>
      </c>
      <c r="T626" s="0" t="str">
        <f aca="false">IF(成本费用登记表!$D26="","",成本费用登记表!$D26)</f>
        <v/>
      </c>
      <c r="U626" s="0" t="n">
        <f aca="false">IF(T626="",0,IF(MATCH(T626,$T$4:$T$903,0)=ROW()-3,1,0))</f>
        <v>0</v>
      </c>
      <c r="V626" s="0" t="n">
        <f aca="false">N(V625)+U626</f>
        <v>30</v>
      </c>
    </row>
    <row r="627" customFormat="false" ht="13.5" hidden="false" customHeight="false" outlineLevel="0" collapsed="false">
      <c r="A627" s="0" t="str">
        <f aca="false">IF(资金日记账!$E325="","",资金日记账!$E325)</f>
        <v/>
      </c>
      <c r="B627" s="0" t="n">
        <f aca="false">IF(A627="",0,IF(MATCH(A627,$A$4:$A$1925,0)=ROW()-3,1,0))</f>
        <v>0</v>
      </c>
      <c r="C627" s="0" t="n">
        <f aca="false">N(C626)+B627</f>
        <v>11</v>
      </c>
      <c r="G627" s="0" t="n">
        <f aca="false">IF(OR($G$1="",对账补充行!$C20="",对账补充行!$C20&lt;&gt;$G$1),0,IF(NOT(OR(N(对账补充行!$H20)&lt;&gt;0,N(对账补充行!$I20)&lt;&gt;0)),0,IF(对账补充行!$B20="",1,IF(OR(N(对账补充行!$B20)&lt;$H$1,N(对账补充行!$B20)&gt;$I$1),0,1))))</f>
        <v>0</v>
      </c>
      <c r="H627" s="0" t="n">
        <f aca="false">N(H626)+$G627</f>
        <v>3</v>
      </c>
      <c r="I627" s="0" t="str">
        <f aca="false">IF($G627=0,"",IF(对账补充行!$B20=0,"",对账补充行!$B20))</f>
        <v/>
      </c>
      <c r="J627" s="0" t="str">
        <f aca="false">IF($G627=0,"",IF(对账补充行!$D20=0,"",对账补充行!$D20))</f>
        <v/>
      </c>
      <c r="K627" s="0" t="str">
        <f aca="false">IF($G627=0,"",IF(对账补充行!$E20=0,"",对账补充行!$E20))</f>
        <v/>
      </c>
      <c r="L627" s="0" t="str">
        <f aca="false">IF($G627=0,"",IF(对账补充行!$F20=0,"",对账补充行!$F20))</f>
        <v/>
      </c>
      <c r="M627" s="0" t="str">
        <f aca="false">IF($G627=0,"",IF(对账补充行!$G20=0,"",对账补充行!$G20))</f>
        <v/>
      </c>
      <c r="N627" s="0" t="str">
        <f aca="false">IF($G627=0,"",IF(对账补充行!$H20=0,"",对账补充行!$H20))</f>
        <v/>
      </c>
      <c r="O627" s="0" t="str">
        <f aca="false">IF($G627=0,"",IF(对账补充行!$I20=0,"",对账补充行!$I20))</f>
        <v/>
      </c>
      <c r="P627" s="0" t="str">
        <f aca="false">IF($G627=0,"",IF(对账补充行!$J20=0,"",对账补充行!$J20))</f>
        <v/>
      </c>
      <c r="T627" s="0" t="str">
        <f aca="false">IF(成本费用登记表!$D27="","",成本费用登记表!$D27)</f>
        <v/>
      </c>
      <c r="U627" s="0" t="n">
        <f aca="false">IF(T627="",0,IF(MATCH(T627,$T$4:$T$903,0)=ROW()-3,1,0))</f>
        <v>0</v>
      </c>
      <c r="V627" s="0" t="n">
        <f aca="false">N(V626)+U627</f>
        <v>30</v>
      </c>
    </row>
    <row r="628" customFormat="false" ht="13.5" hidden="false" customHeight="false" outlineLevel="0" collapsed="false">
      <c r="A628" s="0" t="str">
        <f aca="false">IF(资金日记账!$E326="","",资金日记账!$E326)</f>
        <v/>
      </c>
      <c r="B628" s="0" t="n">
        <f aca="false">IF(A628="",0,IF(MATCH(A628,$A$4:$A$1925,0)=ROW()-3,1,0))</f>
        <v>0</v>
      </c>
      <c r="C628" s="0" t="n">
        <f aca="false">N(C627)+B628</f>
        <v>11</v>
      </c>
      <c r="G628" s="0" t="n">
        <f aca="false">IF(OR($G$1="",对账补充行!$C21="",对账补充行!$C21&lt;&gt;$G$1),0,IF(NOT(OR(N(对账补充行!$H21)&lt;&gt;0,N(对账补充行!$I21)&lt;&gt;0)),0,IF(对账补充行!$B21="",1,IF(OR(N(对账补充行!$B21)&lt;$H$1,N(对账补充行!$B21)&gt;$I$1),0,1))))</f>
        <v>0</v>
      </c>
      <c r="H628" s="0" t="n">
        <f aca="false">N(H627)+$G628</f>
        <v>3</v>
      </c>
      <c r="I628" s="0" t="str">
        <f aca="false">IF($G628=0,"",IF(对账补充行!$B21=0,"",对账补充行!$B21))</f>
        <v/>
      </c>
      <c r="J628" s="0" t="str">
        <f aca="false">IF($G628=0,"",IF(对账补充行!$D21=0,"",对账补充行!$D21))</f>
        <v/>
      </c>
      <c r="K628" s="0" t="str">
        <f aca="false">IF($G628=0,"",IF(对账补充行!$E21=0,"",对账补充行!$E21))</f>
        <v/>
      </c>
      <c r="L628" s="0" t="str">
        <f aca="false">IF($G628=0,"",IF(对账补充行!$F21=0,"",对账补充行!$F21))</f>
        <v/>
      </c>
      <c r="M628" s="0" t="str">
        <f aca="false">IF($G628=0,"",IF(对账补充行!$G21=0,"",对账补充行!$G21))</f>
        <v/>
      </c>
      <c r="N628" s="0" t="str">
        <f aca="false">IF($G628=0,"",IF(对账补充行!$H21=0,"",对账补充行!$H21))</f>
        <v/>
      </c>
      <c r="O628" s="0" t="str">
        <f aca="false">IF($G628=0,"",IF(对账补充行!$I21=0,"",对账补充行!$I21))</f>
        <v/>
      </c>
      <c r="P628" s="0" t="str">
        <f aca="false">IF($G628=0,"",IF(对账补充行!$J21=0,"",对账补充行!$J21))</f>
        <v/>
      </c>
      <c r="T628" s="0" t="str">
        <f aca="false">IF(成本费用登记表!$D28="","",成本费用登记表!$D28)</f>
        <v/>
      </c>
      <c r="U628" s="0" t="n">
        <f aca="false">IF(T628="",0,IF(MATCH(T628,$T$4:$T$903,0)=ROW()-3,1,0))</f>
        <v>0</v>
      </c>
      <c r="V628" s="0" t="n">
        <f aca="false">N(V627)+U628</f>
        <v>30</v>
      </c>
    </row>
    <row r="629" customFormat="false" ht="13.5" hidden="false" customHeight="false" outlineLevel="0" collapsed="false">
      <c r="A629" s="0" t="str">
        <f aca="false">IF(资金日记账!$E327="","",资金日记账!$E327)</f>
        <v/>
      </c>
      <c r="B629" s="0" t="n">
        <f aca="false">IF(A629="",0,IF(MATCH(A629,$A$4:$A$1925,0)=ROW()-3,1,0))</f>
        <v>0</v>
      </c>
      <c r="C629" s="0" t="n">
        <f aca="false">N(C628)+B629</f>
        <v>11</v>
      </c>
      <c r="G629" s="0" t="n">
        <f aca="false">IF(OR($G$1="",对账补充行!$C22="",对账补充行!$C22&lt;&gt;$G$1),0,IF(NOT(OR(N(对账补充行!$H22)&lt;&gt;0,N(对账补充行!$I22)&lt;&gt;0)),0,IF(对账补充行!$B22="",1,IF(OR(N(对账补充行!$B22)&lt;$H$1,N(对账补充行!$B22)&gt;$I$1),0,1))))</f>
        <v>0</v>
      </c>
      <c r="H629" s="0" t="n">
        <f aca="false">N(H628)+$G629</f>
        <v>3</v>
      </c>
      <c r="I629" s="0" t="str">
        <f aca="false">IF($G629=0,"",IF(对账补充行!$B22=0,"",对账补充行!$B22))</f>
        <v/>
      </c>
      <c r="J629" s="0" t="str">
        <f aca="false">IF($G629=0,"",IF(对账补充行!$D22=0,"",对账补充行!$D22))</f>
        <v/>
      </c>
      <c r="K629" s="0" t="str">
        <f aca="false">IF($G629=0,"",IF(对账补充行!$E22=0,"",对账补充行!$E22))</f>
        <v/>
      </c>
      <c r="L629" s="0" t="str">
        <f aca="false">IF($G629=0,"",IF(对账补充行!$F22=0,"",对账补充行!$F22))</f>
        <v/>
      </c>
      <c r="M629" s="0" t="str">
        <f aca="false">IF($G629=0,"",IF(对账补充行!$G22=0,"",对账补充行!$G22))</f>
        <v/>
      </c>
      <c r="N629" s="0" t="str">
        <f aca="false">IF($G629=0,"",IF(对账补充行!$H22=0,"",对账补充行!$H22))</f>
        <v/>
      </c>
      <c r="O629" s="0" t="str">
        <f aca="false">IF($G629=0,"",IF(对账补充行!$I22=0,"",对账补充行!$I22))</f>
        <v/>
      </c>
      <c r="P629" s="0" t="str">
        <f aca="false">IF($G629=0,"",IF(对账补充行!$J22=0,"",对账补充行!$J22))</f>
        <v/>
      </c>
      <c r="T629" s="0" t="str">
        <f aca="false">IF(成本费用登记表!$D29="","",成本费用登记表!$D29)</f>
        <v/>
      </c>
      <c r="U629" s="0" t="n">
        <f aca="false">IF(T629="",0,IF(MATCH(T629,$T$4:$T$903,0)=ROW()-3,1,0))</f>
        <v>0</v>
      </c>
      <c r="V629" s="0" t="n">
        <f aca="false">N(V628)+U629</f>
        <v>30</v>
      </c>
    </row>
    <row r="630" customFormat="false" ht="13.5" hidden="false" customHeight="false" outlineLevel="0" collapsed="false">
      <c r="A630" s="0" t="str">
        <f aca="false">IF(资金日记账!$E328="","",资金日记账!$E328)</f>
        <v/>
      </c>
      <c r="B630" s="0" t="n">
        <f aca="false">IF(A630="",0,IF(MATCH(A630,$A$4:$A$1925,0)=ROW()-3,1,0))</f>
        <v>0</v>
      </c>
      <c r="C630" s="0" t="n">
        <f aca="false">N(C629)+B630</f>
        <v>11</v>
      </c>
      <c r="G630" s="0" t="n">
        <f aca="false">IF(OR($G$1="",对账补充行!$C23="",对账补充行!$C23&lt;&gt;$G$1),0,IF(NOT(OR(N(对账补充行!$H23)&lt;&gt;0,N(对账补充行!$I23)&lt;&gt;0)),0,IF(对账补充行!$B23="",1,IF(OR(N(对账补充行!$B23)&lt;$H$1,N(对账补充行!$B23)&gt;$I$1),0,1))))</f>
        <v>0</v>
      </c>
      <c r="H630" s="0" t="n">
        <f aca="false">N(H629)+$G630</f>
        <v>3</v>
      </c>
      <c r="I630" s="0" t="str">
        <f aca="false">IF($G630=0,"",IF(对账补充行!$B23=0,"",对账补充行!$B23))</f>
        <v/>
      </c>
      <c r="J630" s="0" t="str">
        <f aca="false">IF($G630=0,"",IF(对账补充行!$D23=0,"",对账补充行!$D23))</f>
        <v/>
      </c>
      <c r="K630" s="0" t="str">
        <f aca="false">IF($G630=0,"",IF(对账补充行!$E23=0,"",对账补充行!$E23))</f>
        <v/>
      </c>
      <c r="L630" s="0" t="str">
        <f aca="false">IF($G630=0,"",IF(对账补充行!$F23=0,"",对账补充行!$F23))</f>
        <v/>
      </c>
      <c r="M630" s="0" t="str">
        <f aca="false">IF($G630=0,"",IF(对账补充行!$G23=0,"",对账补充行!$G23))</f>
        <v/>
      </c>
      <c r="N630" s="0" t="str">
        <f aca="false">IF($G630=0,"",IF(对账补充行!$H23=0,"",对账补充行!$H23))</f>
        <v/>
      </c>
      <c r="O630" s="0" t="str">
        <f aca="false">IF($G630=0,"",IF(对账补充行!$I23=0,"",对账补充行!$I23))</f>
        <v/>
      </c>
      <c r="P630" s="0" t="str">
        <f aca="false">IF($G630=0,"",IF(对账补充行!$J23=0,"",对账补充行!$J23))</f>
        <v/>
      </c>
      <c r="T630" s="0" t="str">
        <f aca="false">IF(成本费用登记表!$D30="","",成本费用登记表!$D30)</f>
        <v/>
      </c>
      <c r="U630" s="0" t="n">
        <f aca="false">IF(T630="",0,IF(MATCH(T630,$T$4:$T$903,0)=ROW()-3,1,0))</f>
        <v>0</v>
      </c>
      <c r="V630" s="0" t="n">
        <f aca="false">N(V629)+U630</f>
        <v>30</v>
      </c>
    </row>
    <row r="631" customFormat="false" ht="13.5" hidden="false" customHeight="false" outlineLevel="0" collapsed="false">
      <c r="A631" s="0" t="str">
        <f aca="false">IF(资金日记账!$E329="","",资金日记账!$E329)</f>
        <v/>
      </c>
      <c r="B631" s="0" t="n">
        <f aca="false">IF(A631="",0,IF(MATCH(A631,$A$4:$A$1925,0)=ROW()-3,1,0))</f>
        <v>0</v>
      </c>
      <c r="C631" s="0" t="n">
        <f aca="false">N(C630)+B631</f>
        <v>11</v>
      </c>
      <c r="G631" s="0" t="n">
        <f aca="false">IF(OR($G$1="",对账补充行!$C24="",对账补充行!$C24&lt;&gt;$G$1),0,IF(NOT(OR(N(对账补充行!$H24)&lt;&gt;0,N(对账补充行!$I24)&lt;&gt;0)),0,IF(对账补充行!$B24="",1,IF(OR(N(对账补充行!$B24)&lt;$H$1,N(对账补充行!$B24)&gt;$I$1),0,1))))</f>
        <v>0</v>
      </c>
      <c r="H631" s="0" t="n">
        <f aca="false">N(H630)+$G631</f>
        <v>3</v>
      </c>
      <c r="I631" s="0" t="str">
        <f aca="false">IF($G631=0,"",IF(对账补充行!$B24=0,"",对账补充行!$B24))</f>
        <v/>
      </c>
      <c r="J631" s="0" t="str">
        <f aca="false">IF($G631=0,"",IF(对账补充行!$D24=0,"",对账补充行!$D24))</f>
        <v/>
      </c>
      <c r="K631" s="0" t="str">
        <f aca="false">IF($G631=0,"",IF(对账补充行!$E24=0,"",对账补充行!$E24))</f>
        <v/>
      </c>
      <c r="L631" s="0" t="str">
        <f aca="false">IF($G631=0,"",IF(对账补充行!$F24=0,"",对账补充行!$F24))</f>
        <v/>
      </c>
      <c r="M631" s="0" t="str">
        <f aca="false">IF($G631=0,"",IF(对账补充行!$G24=0,"",对账补充行!$G24))</f>
        <v/>
      </c>
      <c r="N631" s="0" t="str">
        <f aca="false">IF($G631=0,"",IF(对账补充行!$H24=0,"",对账补充行!$H24))</f>
        <v/>
      </c>
      <c r="O631" s="0" t="str">
        <f aca="false">IF($G631=0,"",IF(对账补充行!$I24=0,"",对账补充行!$I24))</f>
        <v/>
      </c>
      <c r="P631" s="0" t="str">
        <f aca="false">IF($G631=0,"",IF(对账补充行!$J24=0,"",对账补充行!$J24))</f>
        <v/>
      </c>
      <c r="T631" s="0" t="str">
        <f aca="false">IF(成本费用登记表!$D31="","",成本费用登记表!$D31)</f>
        <v/>
      </c>
      <c r="U631" s="0" t="n">
        <f aca="false">IF(T631="",0,IF(MATCH(T631,$T$4:$T$903,0)=ROW()-3,1,0))</f>
        <v>0</v>
      </c>
      <c r="V631" s="0" t="n">
        <f aca="false">N(V630)+U631</f>
        <v>30</v>
      </c>
    </row>
    <row r="632" customFormat="false" ht="13.5" hidden="false" customHeight="false" outlineLevel="0" collapsed="false">
      <c r="A632" s="0" t="str">
        <f aca="false">IF(资金日记账!$E330="","",资金日记账!$E330)</f>
        <v/>
      </c>
      <c r="B632" s="0" t="n">
        <f aca="false">IF(A632="",0,IF(MATCH(A632,$A$4:$A$1925,0)=ROW()-3,1,0))</f>
        <v>0</v>
      </c>
      <c r="C632" s="0" t="n">
        <f aca="false">N(C631)+B632</f>
        <v>11</v>
      </c>
      <c r="G632" s="0" t="n">
        <f aca="false">IF(OR($G$1="",对账补充行!$C25="",对账补充行!$C25&lt;&gt;$G$1),0,IF(NOT(OR(N(对账补充行!$H25)&lt;&gt;0,N(对账补充行!$I25)&lt;&gt;0)),0,IF(对账补充行!$B25="",1,IF(OR(N(对账补充行!$B25)&lt;$H$1,N(对账补充行!$B25)&gt;$I$1),0,1))))</f>
        <v>0</v>
      </c>
      <c r="H632" s="0" t="n">
        <f aca="false">N(H631)+$G632</f>
        <v>3</v>
      </c>
      <c r="I632" s="0" t="str">
        <f aca="false">IF($G632=0,"",IF(对账补充行!$B25=0,"",对账补充行!$B25))</f>
        <v/>
      </c>
      <c r="J632" s="0" t="str">
        <f aca="false">IF($G632=0,"",IF(对账补充行!$D25=0,"",对账补充行!$D25))</f>
        <v/>
      </c>
      <c r="K632" s="0" t="str">
        <f aca="false">IF($G632=0,"",IF(对账补充行!$E25=0,"",对账补充行!$E25))</f>
        <v/>
      </c>
      <c r="L632" s="0" t="str">
        <f aca="false">IF($G632=0,"",IF(对账补充行!$F25=0,"",对账补充行!$F25))</f>
        <v/>
      </c>
      <c r="M632" s="0" t="str">
        <f aca="false">IF($G632=0,"",IF(对账补充行!$G25=0,"",对账补充行!$G25))</f>
        <v/>
      </c>
      <c r="N632" s="0" t="str">
        <f aca="false">IF($G632=0,"",IF(对账补充行!$H25=0,"",对账补充行!$H25))</f>
        <v/>
      </c>
      <c r="O632" s="0" t="str">
        <f aca="false">IF($G632=0,"",IF(对账补充行!$I25=0,"",对账补充行!$I25))</f>
        <v/>
      </c>
      <c r="P632" s="0" t="str">
        <f aca="false">IF($G632=0,"",IF(对账补充行!$J25=0,"",对账补充行!$J25))</f>
        <v/>
      </c>
      <c r="T632" s="0" t="str">
        <f aca="false">IF(成本费用登记表!$D32="","",成本费用登记表!$D32)</f>
        <v/>
      </c>
      <c r="U632" s="0" t="n">
        <f aca="false">IF(T632="",0,IF(MATCH(T632,$T$4:$T$903,0)=ROW()-3,1,0))</f>
        <v>0</v>
      </c>
      <c r="V632" s="0" t="n">
        <f aca="false">N(V631)+U632</f>
        <v>30</v>
      </c>
    </row>
    <row r="633" customFormat="false" ht="13.5" hidden="false" customHeight="false" outlineLevel="0" collapsed="false">
      <c r="A633" s="0" t="str">
        <f aca="false">IF(资金日记账!$E331="","",资金日记账!$E331)</f>
        <v/>
      </c>
      <c r="B633" s="0" t="n">
        <f aca="false">IF(A633="",0,IF(MATCH(A633,$A$4:$A$1925,0)=ROW()-3,1,0))</f>
        <v>0</v>
      </c>
      <c r="C633" s="0" t="n">
        <f aca="false">N(C632)+B633</f>
        <v>11</v>
      </c>
      <c r="G633" s="0" t="n">
        <f aca="false">IF(OR($G$1="",对账补充行!$C26="",对账补充行!$C26&lt;&gt;$G$1),0,IF(NOT(OR(N(对账补充行!$H26)&lt;&gt;0,N(对账补充行!$I26)&lt;&gt;0)),0,IF(对账补充行!$B26="",1,IF(OR(N(对账补充行!$B26)&lt;$H$1,N(对账补充行!$B26)&gt;$I$1),0,1))))</f>
        <v>0</v>
      </c>
      <c r="H633" s="0" t="n">
        <f aca="false">N(H632)+$G633</f>
        <v>3</v>
      </c>
      <c r="I633" s="0" t="str">
        <f aca="false">IF($G633=0,"",IF(对账补充行!$B26=0,"",对账补充行!$B26))</f>
        <v/>
      </c>
      <c r="J633" s="0" t="str">
        <f aca="false">IF($G633=0,"",IF(对账补充行!$D26=0,"",对账补充行!$D26))</f>
        <v/>
      </c>
      <c r="K633" s="0" t="str">
        <f aca="false">IF($G633=0,"",IF(对账补充行!$E26=0,"",对账补充行!$E26))</f>
        <v/>
      </c>
      <c r="L633" s="0" t="str">
        <f aca="false">IF($G633=0,"",IF(对账补充行!$F26=0,"",对账补充行!$F26))</f>
        <v/>
      </c>
      <c r="M633" s="0" t="str">
        <f aca="false">IF($G633=0,"",IF(对账补充行!$G26=0,"",对账补充行!$G26))</f>
        <v/>
      </c>
      <c r="N633" s="0" t="str">
        <f aca="false">IF($G633=0,"",IF(对账补充行!$H26=0,"",对账补充行!$H26))</f>
        <v/>
      </c>
      <c r="O633" s="0" t="str">
        <f aca="false">IF($G633=0,"",IF(对账补充行!$I26=0,"",对账补充行!$I26))</f>
        <v/>
      </c>
      <c r="P633" s="0" t="str">
        <f aca="false">IF($G633=0,"",IF(对账补充行!$J26=0,"",对账补充行!$J26))</f>
        <v/>
      </c>
      <c r="T633" s="0" t="str">
        <f aca="false">IF(成本费用登记表!$D33="","",成本费用登记表!$D33)</f>
        <v/>
      </c>
      <c r="U633" s="0" t="n">
        <f aca="false">IF(T633="",0,IF(MATCH(T633,$T$4:$T$903,0)=ROW()-3,1,0))</f>
        <v>0</v>
      </c>
      <c r="V633" s="0" t="n">
        <f aca="false">N(V632)+U633</f>
        <v>30</v>
      </c>
    </row>
    <row r="634" customFormat="false" ht="13.5" hidden="false" customHeight="false" outlineLevel="0" collapsed="false">
      <c r="A634" s="0" t="str">
        <f aca="false">IF(资金日记账!$E332="","",资金日记账!$E332)</f>
        <v/>
      </c>
      <c r="B634" s="0" t="n">
        <f aca="false">IF(A634="",0,IF(MATCH(A634,$A$4:$A$1925,0)=ROW()-3,1,0))</f>
        <v>0</v>
      </c>
      <c r="C634" s="0" t="n">
        <f aca="false">N(C633)+B634</f>
        <v>11</v>
      </c>
      <c r="G634" s="0" t="n">
        <f aca="false">IF(OR($G$1="",对账补充行!$C27="",对账补充行!$C27&lt;&gt;$G$1),0,IF(NOT(OR(N(对账补充行!$H27)&lt;&gt;0,N(对账补充行!$I27)&lt;&gt;0)),0,IF(对账补充行!$B27="",1,IF(OR(N(对账补充行!$B27)&lt;$H$1,N(对账补充行!$B27)&gt;$I$1),0,1))))</f>
        <v>0</v>
      </c>
      <c r="H634" s="0" t="n">
        <f aca="false">N(H633)+$G634</f>
        <v>3</v>
      </c>
      <c r="I634" s="0" t="str">
        <f aca="false">IF($G634=0,"",IF(对账补充行!$B27=0,"",对账补充行!$B27))</f>
        <v/>
      </c>
      <c r="J634" s="0" t="str">
        <f aca="false">IF($G634=0,"",IF(对账补充行!$D27=0,"",对账补充行!$D27))</f>
        <v/>
      </c>
      <c r="K634" s="0" t="str">
        <f aca="false">IF($G634=0,"",IF(对账补充行!$E27=0,"",对账补充行!$E27))</f>
        <v/>
      </c>
      <c r="L634" s="0" t="str">
        <f aca="false">IF($G634=0,"",IF(对账补充行!$F27=0,"",对账补充行!$F27))</f>
        <v/>
      </c>
      <c r="M634" s="0" t="str">
        <f aca="false">IF($G634=0,"",IF(对账补充行!$G27=0,"",对账补充行!$G27))</f>
        <v/>
      </c>
      <c r="N634" s="0" t="str">
        <f aca="false">IF($G634=0,"",IF(对账补充行!$H27=0,"",对账补充行!$H27))</f>
        <v/>
      </c>
      <c r="O634" s="0" t="str">
        <f aca="false">IF($G634=0,"",IF(对账补充行!$I27=0,"",对账补充行!$I27))</f>
        <v/>
      </c>
      <c r="P634" s="0" t="str">
        <f aca="false">IF($G634=0,"",IF(对账补充行!$J27=0,"",对账补充行!$J27))</f>
        <v/>
      </c>
      <c r="T634" s="0" t="str">
        <f aca="false">IF(成本费用登记表!$D34="","",成本费用登记表!$D34)</f>
        <v/>
      </c>
      <c r="U634" s="0" t="n">
        <f aca="false">IF(T634="",0,IF(MATCH(T634,$T$4:$T$903,0)=ROW()-3,1,0))</f>
        <v>0</v>
      </c>
      <c r="V634" s="0" t="n">
        <f aca="false">N(V633)+U634</f>
        <v>30</v>
      </c>
    </row>
    <row r="635" customFormat="false" ht="13.5" hidden="false" customHeight="false" outlineLevel="0" collapsed="false">
      <c r="A635" s="0" t="str">
        <f aca="false">IF(资金日记账!$E333="","",资金日记账!$E333)</f>
        <v/>
      </c>
      <c r="B635" s="0" t="n">
        <f aca="false">IF(A635="",0,IF(MATCH(A635,$A$4:$A$1925,0)=ROW()-3,1,0))</f>
        <v>0</v>
      </c>
      <c r="C635" s="0" t="n">
        <f aca="false">N(C634)+B635</f>
        <v>11</v>
      </c>
      <c r="G635" s="0" t="n">
        <f aca="false">IF(OR($G$1="",对账补充行!$C28="",对账补充行!$C28&lt;&gt;$G$1),0,IF(NOT(OR(N(对账补充行!$H28)&lt;&gt;0,N(对账补充行!$I28)&lt;&gt;0)),0,IF(对账补充行!$B28="",1,IF(OR(N(对账补充行!$B28)&lt;$H$1,N(对账补充行!$B28)&gt;$I$1),0,1))))</f>
        <v>0</v>
      </c>
      <c r="H635" s="0" t="n">
        <f aca="false">N(H634)+$G635</f>
        <v>3</v>
      </c>
      <c r="I635" s="0" t="str">
        <f aca="false">IF($G635=0,"",IF(对账补充行!$B28=0,"",对账补充行!$B28))</f>
        <v/>
      </c>
      <c r="J635" s="0" t="str">
        <f aca="false">IF($G635=0,"",IF(对账补充行!$D28=0,"",对账补充行!$D28))</f>
        <v/>
      </c>
      <c r="K635" s="0" t="str">
        <f aca="false">IF($G635=0,"",IF(对账补充行!$E28=0,"",对账补充行!$E28))</f>
        <v/>
      </c>
      <c r="L635" s="0" t="str">
        <f aca="false">IF($G635=0,"",IF(对账补充行!$F28=0,"",对账补充行!$F28))</f>
        <v/>
      </c>
      <c r="M635" s="0" t="str">
        <f aca="false">IF($G635=0,"",IF(对账补充行!$G28=0,"",对账补充行!$G28))</f>
        <v/>
      </c>
      <c r="N635" s="0" t="str">
        <f aca="false">IF($G635=0,"",IF(对账补充行!$H28=0,"",对账补充行!$H28))</f>
        <v/>
      </c>
      <c r="O635" s="0" t="str">
        <f aca="false">IF($G635=0,"",IF(对账补充行!$I28=0,"",对账补充行!$I28))</f>
        <v/>
      </c>
      <c r="P635" s="0" t="str">
        <f aca="false">IF($G635=0,"",IF(对账补充行!$J28=0,"",对账补充行!$J28))</f>
        <v/>
      </c>
      <c r="T635" s="0" t="str">
        <f aca="false">IF(成本费用登记表!$D35="","",成本费用登记表!$D35)</f>
        <v/>
      </c>
      <c r="U635" s="0" t="n">
        <f aca="false">IF(T635="",0,IF(MATCH(T635,$T$4:$T$903,0)=ROW()-3,1,0))</f>
        <v>0</v>
      </c>
      <c r="V635" s="0" t="n">
        <f aca="false">N(V634)+U635</f>
        <v>30</v>
      </c>
    </row>
    <row r="636" customFormat="false" ht="13.5" hidden="false" customHeight="false" outlineLevel="0" collapsed="false">
      <c r="A636" s="0" t="str">
        <f aca="false">IF(资金日记账!$E334="","",资金日记账!$E334)</f>
        <v/>
      </c>
      <c r="B636" s="0" t="n">
        <f aca="false">IF(A636="",0,IF(MATCH(A636,$A$4:$A$1925,0)=ROW()-3,1,0))</f>
        <v>0</v>
      </c>
      <c r="C636" s="0" t="n">
        <f aca="false">N(C635)+B636</f>
        <v>11</v>
      </c>
      <c r="G636" s="0" t="n">
        <f aca="false">IF(OR($G$1="",对账补充行!$C29="",对账补充行!$C29&lt;&gt;$G$1),0,IF(NOT(OR(N(对账补充行!$H29)&lt;&gt;0,N(对账补充行!$I29)&lt;&gt;0)),0,IF(对账补充行!$B29="",1,IF(OR(N(对账补充行!$B29)&lt;$H$1,N(对账补充行!$B29)&gt;$I$1),0,1))))</f>
        <v>0</v>
      </c>
      <c r="H636" s="0" t="n">
        <f aca="false">N(H635)+$G636</f>
        <v>3</v>
      </c>
      <c r="I636" s="0" t="str">
        <f aca="false">IF($G636=0,"",IF(对账补充行!$B29=0,"",对账补充行!$B29))</f>
        <v/>
      </c>
      <c r="J636" s="0" t="str">
        <f aca="false">IF($G636=0,"",IF(对账补充行!$D29=0,"",对账补充行!$D29))</f>
        <v/>
      </c>
      <c r="K636" s="0" t="str">
        <f aca="false">IF($G636=0,"",IF(对账补充行!$E29=0,"",对账补充行!$E29))</f>
        <v/>
      </c>
      <c r="L636" s="0" t="str">
        <f aca="false">IF($G636=0,"",IF(对账补充行!$F29=0,"",对账补充行!$F29))</f>
        <v/>
      </c>
      <c r="M636" s="0" t="str">
        <f aca="false">IF($G636=0,"",IF(对账补充行!$G29=0,"",对账补充行!$G29))</f>
        <v/>
      </c>
      <c r="N636" s="0" t="str">
        <f aca="false">IF($G636=0,"",IF(对账补充行!$H29=0,"",对账补充行!$H29))</f>
        <v/>
      </c>
      <c r="O636" s="0" t="str">
        <f aca="false">IF($G636=0,"",IF(对账补充行!$I29=0,"",对账补充行!$I29))</f>
        <v/>
      </c>
      <c r="P636" s="0" t="str">
        <f aca="false">IF($G636=0,"",IF(对账补充行!$J29=0,"",对账补充行!$J29))</f>
        <v/>
      </c>
      <c r="T636" s="0" t="str">
        <f aca="false">IF(成本费用登记表!$D36="","",成本费用登记表!$D36)</f>
        <v/>
      </c>
      <c r="U636" s="0" t="n">
        <f aca="false">IF(T636="",0,IF(MATCH(T636,$T$4:$T$903,0)=ROW()-3,1,0))</f>
        <v>0</v>
      </c>
      <c r="V636" s="0" t="n">
        <f aca="false">N(V635)+U636</f>
        <v>30</v>
      </c>
    </row>
    <row r="637" customFormat="false" ht="13.5" hidden="false" customHeight="false" outlineLevel="0" collapsed="false">
      <c r="A637" s="0" t="str">
        <f aca="false">IF(资金日记账!$E335="","",资金日记账!$E335)</f>
        <v/>
      </c>
      <c r="B637" s="0" t="n">
        <f aca="false">IF(A637="",0,IF(MATCH(A637,$A$4:$A$1925,0)=ROW()-3,1,0))</f>
        <v>0</v>
      </c>
      <c r="C637" s="0" t="n">
        <f aca="false">N(C636)+B637</f>
        <v>11</v>
      </c>
      <c r="G637" s="0" t="n">
        <f aca="false">IF(OR($G$1="",对账补充行!$C30="",对账补充行!$C30&lt;&gt;$G$1),0,IF(NOT(OR(N(对账补充行!$H30)&lt;&gt;0,N(对账补充行!$I30)&lt;&gt;0)),0,IF(对账补充行!$B30="",1,IF(OR(N(对账补充行!$B30)&lt;$H$1,N(对账补充行!$B30)&gt;$I$1),0,1))))</f>
        <v>0</v>
      </c>
      <c r="H637" s="0" t="n">
        <f aca="false">N(H636)+$G637</f>
        <v>3</v>
      </c>
      <c r="I637" s="0" t="str">
        <f aca="false">IF($G637=0,"",IF(对账补充行!$B30=0,"",对账补充行!$B30))</f>
        <v/>
      </c>
      <c r="J637" s="0" t="str">
        <f aca="false">IF($G637=0,"",IF(对账补充行!$D30=0,"",对账补充行!$D30))</f>
        <v/>
      </c>
      <c r="K637" s="0" t="str">
        <f aca="false">IF($G637=0,"",IF(对账补充行!$E30=0,"",对账补充行!$E30))</f>
        <v/>
      </c>
      <c r="L637" s="0" t="str">
        <f aca="false">IF($G637=0,"",IF(对账补充行!$F30=0,"",对账补充行!$F30))</f>
        <v/>
      </c>
      <c r="M637" s="0" t="str">
        <f aca="false">IF($G637=0,"",IF(对账补充行!$G30=0,"",对账补充行!$G30))</f>
        <v/>
      </c>
      <c r="N637" s="0" t="str">
        <f aca="false">IF($G637=0,"",IF(对账补充行!$H30=0,"",对账补充行!$H30))</f>
        <v/>
      </c>
      <c r="O637" s="0" t="str">
        <f aca="false">IF($G637=0,"",IF(对账补充行!$I30=0,"",对账补充行!$I30))</f>
        <v/>
      </c>
      <c r="P637" s="0" t="str">
        <f aca="false">IF($G637=0,"",IF(对账补充行!$J30=0,"",对账补充行!$J30))</f>
        <v/>
      </c>
      <c r="T637" s="0" t="str">
        <f aca="false">IF(成本费用登记表!$D37="","",成本费用登记表!$D37)</f>
        <v/>
      </c>
      <c r="U637" s="0" t="n">
        <f aca="false">IF(T637="",0,IF(MATCH(T637,$T$4:$T$903,0)=ROW()-3,1,0))</f>
        <v>0</v>
      </c>
      <c r="V637" s="0" t="n">
        <f aca="false">N(V636)+U637</f>
        <v>30</v>
      </c>
    </row>
    <row r="638" customFormat="false" ht="13.5" hidden="false" customHeight="false" outlineLevel="0" collapsed="false">
      <c r="A638" s="0" t="str">
        <f aca="false">IF(资金日记账!$E336="","",资金日记账!$E336)</f>
        <v/>
      </c>
      <c r="B638" s="0" t="n">
        <f aca="false">IF(A638="",0,IF(MATCH(A638,$A$4:$A$1925,0)=ROW()-3,1,0))</f>
        <v>0</v>
      </c>
      <c r="C638" s="0" t="n">
        <f aca="false">N(C637)+B638</f>
        <v>11</v>
      </c>
      <c r="G638" s="0" t="n">
        <f aca="false">IF(OR($G$1="",对账补充行!$C31="",对账补充行!$C31&lt;&gt;$G$1),0,IF(NOT(OR(N(对账补充行!$H31)&lt;&gt;0,N(对账补充行!$I31)&lt;&gt;0)),0,IF(对账补充行!$B31="",1,IF(OR(N(对账补充行!$B31)&lt;$H$1,N(对账补充行!$B31)&gt;$I$1),0,1))))</f>
        <v>0</v>
      </c>
      <c r="H638" s="0" t="n">
        <f aca="false">N(H637)+$G638</f>
        <v>3</v>
      </c>
      <c r="I638" s="0" t="str">
        <f aca="false">IF($G638=0,"",IF(对账补充行!$B31=0,"",对账补充行!$B31))</f>
        <v/>
      </c>
      <c r="J638" s="0" t="str">
        <f aca="false">IF($G638=0,"",IF(对账补充行!$D31=0,"",对账补充行!$D31))</f>
        <v/>
      </c>
      <c r="K638" s="0" t="str">
        <f aca="false">IF($G638=0,"",IF(对账补充行!$E31=0,"",对账补充行!$E31))</f>
        <v/>
      </c>
      <c r="L638" s="0" t="str">
        <f aca="false">IF($G638=0,"",IF(对账补充行!$F31=0,"",对账补充行!$F31))</f>
        <v/>
      </c>
      <c r="M638" s="0" t="str">
        <f aca="false">IF($G638=0,"",IF(对账补充行!$G31=0,"",对账补充行!$G31))</f>
        <v/>
      </c>
      <c r="N638" s="0" t="str">
        <f aca="false">IF($G638=0,"",IF(对账补充行!$H31=0,"",对账补充行!$H31))</f>
        <v/>
      </c>
      <c r="O638" s="0" t="str">
        <f aca="false">IF($G638=0,"",IF(对账补充行!$I31=0,"",对账补充行!$I31))</f>
        <v/>
      </c>
      <c r="P638" s="0" t="str">
        <f aca="false">IF($G638=0,"",IF(对账补充行!$J31=0,"",对账补充行!$J31))</f>
        <v/>
      </c>
      <c r="T638" s="0" t="str">
        <f aca="false">IF(成本费用登记表!$D38="","",成本费用登记表!$D38)</f>
        <v/>
      </c>
      <c r="U638" s="0" t="n">
        <f aca="false">IF(T638="",0,IF(MATCH(T638,$T$4:$T$903,0)=ROW()-3,1,0))</f>
        <v>0</v>
      </c>
      <c r="V638" s="0" t="n">
        <f aca="false">N(V637)+U638</f>
        <v>30</v>
      </c>
    </row>
    <row r="639" customFormat="false" ht="13.5" hidden="false" customHeight="false" outlineLevel="0" collapsed="false">
      <c r="A639" s="0" t="str">
        <f aca="false">IF(资金日记账!$E337="","",资金日记账!$E337)</f>
        <v/>
      </c>
      <c r="B639" s="0" t="n">
        <f aca="false">IF(A639="",0,IF(MATCH(A639,$A$4:$A$1925,0)=ROW()-3,1,0))</f>
        <v>0</v>
      </c>
      <c r="C639" s="0" t="n">
        <f aca="false">N(C638)+B639</f>
        <v>11</v>
      </c>
      <c r="G639" s="0" t="n">
        <f aca="false">IF(OR($G$1="",对账补充行!$C32="",对账补充行!$C32&lt;&gt;$G$1),0,IF(NOT(OR(N(对账补充行!$H32)&lt;&gt;0,N(对账补充行!$I32)&lt;&gt;0)),0,IF(对账补充行!$B32="",1,IF(OR(N(对账补充行!$B32)&lt;$H$1,N(对账补充行!$B32)&gt;$I$1),0,1))))</f>
        <v>0</v>
      </c>
      <c r="H639" s="0" t="n">
        <f aca="false">N(H638)+$G639</f>
        <v>3</v>
      </c>
      <c r="I639" s="0" t="str">
        <f aca="false">IF($G639=0,"",IF(对账补充行!$B32=0,"",对账补充行!$B32))</f>
        <v/>
      </c>
      <c r="J639" s="0" t="str">
        <f aca="false">IF($G639=0,"",IF(对账补充行!$D32=0,"",对账补充行!$D32))</f>
        <v/>
      </c>
      <c r="K639" s="0" t="str">
        <f aca="false">IF($G639=0,"",IF(对账补充行!$E32=0,"",对账补充行!$E32))</f>
        <v/>
      </c>
      <c r="L639" s="0" t="str">
        <f aca="false">IF($G639=0,"",IF(对账补充行!$F32=0,"",对账补充行!$F32))</f>
        <v/>
      </c>
      <c r="M639" s="0" t="str">
        <f aca="false">IF($G639=0,"",IF(对账补充行!$G32=0,"",对账补充行!$G32))</f>
        <v/>
      </c>
      <c r="N639" s="0" t="str">
        <f aca="false">IF($G639=0,"",IF(对账补充行!$H32=0,"",对账补充行!$H32))</f>
        <v/>
      </c>
      <c r="O639" s="0" t="str">
        <f aca="false">IF($G639=0,"",IF(对账补充行!$I32=0,"",对账补充行!$I32))</f>
        <v/>
      </c>
      <c r="P639" s="0" t="str">
        <f aca="false">IF($G639=0,"",IF(对账补充行!$J32=0,"",对账补充行!$J32))</f>
        <v/>
      </c>
      <c r="T639" s="0" t="str">
        <f aca="false">IF(成本费用登记表!$D39="","",成本费用登记表!$D39)</f>
        <v/>
      </c>
      <c r="U639" s="0" t="n">
        <f aca="false">IF(T639="",0,IF(MATCH(T639,$T$4:$T$903,0)=ROW()-3,1,0))</f>
        <v>0</v>
      </c>
      <c r="V639" s="0" t="n">
        <f aca="false">N(V638)+U639</f>
        <v>30</v>
      </c>
    </row>
    <row r="640" customFormat="false" ht="13.5" hidden="false" customHeight="false" outlineLevel="0" collapsed="false">
      <c r="A640" s="0" t="str">
        <f aca="false">IF(资金日记账!$E338="","",资金日记账!$E338)</f>
        <v/>
      </c>
      <c r="B640" s="0" t="n">
        <f aca="false">IF(A640="",0,IF(MATCH(A640,$A$4:$A$1925,0)=ROW()-3,1,0))</f>
        <v>0</v>
      </c>
      <c r="C640" s="0" t="n">
        <f aca="false">N(C639)+B640</f>
        <v>11</v>
      </c>
      <c r="G640" s="0" t="n">
        <f aca="false">IF(OR($G$1="",对账补充行!$C33="",对账补充行!$C33&lt;&gt;$G$1),0,IF(NOT(OR(N(对账补充行!$H33)&lt;&gt;0,N(对账补充行!$I33)&lt;&gt;0)),0,IF(对账补充行!$B33="",1,IF(OR(N(对账补充行!$B33)&lt;$H$1,N(对账补充行!$B33)&gt;$I$1),0,1))))</f>
        <v>0</v>
      </c>
      <c r="H640" s="0" t="n">
        <f aca="false">N(H639)+$G640</f>
        <v>3</v>
      </c>
      <c r="I640" s="0" t="str">
        <f aca="false">IF($G640=0,"",IF(对账补充行!$B33=0,"",对账补充行!$B33))</f>
        <v/>
      </c>
      <c r="J640" s="0" t="str">
        <f aca="false">IF($G640=0,"",IF(对账补充行!$D33=0,"",对账补充行!$D33))</f>
        <v/>
      </c>
      <c r="K640" s="0" t="str">
        <f aca="false">IF($G640=0,"",IF(对账补充行!$E33=0,"",对账补充行!$E33))</f>
        <v/>
      </c>
      <c r="L640" s="0" t="str">
        <f aca="false">IF($G640=0,"",IF(对账补充行!$F33=0,"",对账补充行!$F33))</f>
        <v/>
      </c>
      <c r="M640" s="0" t="str">
        <f aca="false">IF($G640=0,"",IF(对账补充行!$G33=0,"",对账补充行!$G33))</f>
        <v/>
      </c>
      <c r="N640" s="0" t="str">
        <f aca="false">IF($G640=0,"",IF(对账补充行!$H33=0,"",对账补充行!$H33))</f>
        <v/>
      </c>
      <c r="O640" s="0" t="str">
        <f aca="false">IF($G640=0,"",IF(对账补充行!$I33=0,"",对账补充行!$I33))</f>
        <v/>
      </c>
      <c r="P640" s="0" t="str">
        <f aca="false">IF($G640=0,"",IF(对账补充行!$J33=0,"",对账补充行!$J33))</f>
        <v/>
      </c>
      <c r="T640" s="0" t="str">
        <f aca="false">IF(成本费用登记表!$D40="","",成本费用登记表!$D40)</f>
        <v/>
      </c>
      <c r="U640" s="0" t="n">
        <f aca="false">IF(T640="",0,IF(MATCH(T640,$T$4:$T$903,0)=ROW()-3,1,0))</f>
        <v>0</v>
      </c>
      <c r="V640" s="0" t="n">
        <f aca="false">N(V639)+U640</f>
        <v>30</v>
      </c>
    </row>
    <row r="641" customFormat="false" ht="13.5" hidden="false" customHeight="false" outlineLevel="0" collapsed="false">
      <c r="A641" s="0" t="str">
        <f aca="false">IF(资金日记账!$E339="","",资金日记账!$E339)</f>
        <v/>
      </c>
      <c r="B641" s="0" t="n">
        <f aca="false">IF(A641="",0,IF(MATCH(A641,$A$4:$A$1925,0)=ROW()-3,1,0))</f>
        <v>0</v>
      </c>
      <c r="C641" s="0" t="n">
        <f aca="false">N(C640)+B641</f>
        <v>11</v>
      </c>
      <c r="G641" s="0" t="n">
        <f aca="false">IF(OR($G$1="",对账补充行!$C34="",对账补充行!$C34&lt;&gt;$G$1),0,IF(NOT(OR(N(对账补充行!$H34)&lt;&gt;0,N(对账补充行!$I34)&lt;&gt;0)),0,IF(对账补充行!$B34="",1,IF(OR(N(对账补充行!$B34)&lt;$H$1,N(对账补充行!$B34)&gt;$I$1),0,1))))</f>
        <v>0</v>
      </c>
      <c r="H641" s="0" t="n">
        <f aca="false">N(H640)+$G641</f>
        <v>3</v>
      </c>
      <c r="I641" s="0" t="str">
        <f aca="false">IF($G641=0,"",IF(对账补充行!$B34=0,"",对账补充行!$B34))</f>
        <v/>
      </c>
      <c r="J641" s="0" t="str">
        <f aca="false">IF($G641=0,"",IF(对账补充行!$D34=0,"",对账补充行!$D34))</f>
        <v/>
      </c>
      <c r="K641" s="0" t="str">
        <f aca="false">IF($G641=0,"",IF(对账补充行!$E34=0,"",对账补充行!$E34))</f>
        <v/>
      </c>
      <c r="L641" s="0" t="str">
        <f aca="false">IF($G641=0,"",IF(对账补充行!$F34=0,"",对账补充行!$F34))</f>
        <v/>
      </c>
      <c r="M641" s="0" t="str">
        <f aca="false">IF($G641=0,"",IF(对账补充行!$G34=0,"",对账补充行!$G34))</f>
        <v/>
      </c>
      <c r="N641" s="0" t="str">
        <f aca="false">IF($G641=0,"",IF(对账补充行!$H34=0,"",对账补充行!$H34))</f>
        <v/>
      </c>
      <c r="O641" s="0" t="str">
        <f aca="false">IF($G641=0,"",IF(对账补充行!$I34=0,"",对账补充行!$I34))</f>
        <v/>
      </c>
      <c r="P641" s="0" t="str">
        <f aca="false">IF($G641=0,"",IF(对账补充行!$J34=0,"",对账补充行!$J34))</f>
        <v/>
      </c>
      <c r="T641" s="0" t="str">
        <f aca="false">IF(成本费用登记表!$D41="","",成本费用登记表!$D41)</f>
        <v/>
      </c>
      <c r="U641" s="0" t="n">
        <f aca="false">IF(T641="",0,IF(MATCH(T641,$T$4:$T$903,0)=ROW()-3,1,0))</f>
        <v>0</v>
      </c>
      <c r="V641" s="0" t="n">
        <f aca="false">N(V640)+U641</f>
        <v>30</v>
      </c>
    </row>
    <row r="642" customFormat="false" ht="13.5" hidden="false" customHeight="false" outlineLevel="0" collapsed="false">
      <c r="A642" s="0" t="str">
        <f aca="false">IF(资金日记账!$E340="","",资金日记账!$E340)</f>
        <v/>
      </c>
      <c r="B642" s="0" t="n">
        <f aca="false">IF(A642="",0,IF(MATCH(A642,$A$4:$A$1925,0)=ROW()-3,1,0))</f>
        <v>0</v>
      </c>
      <c r="C642" s="0" t="n">
        <f aca="false">N(C641)+B642</f>
        <v>11</v>
      </c>
      <c r="G642" s="0" t="n">
        <f aca="false">IF(OR($G$1="",对账补充行!$C35="",对账补充行!$C35&lt;&gt;$G$1),0,IF(NOT(OR(N(对账补充行!$H35)&lt;&gt;0,N(对账补充行!$I35)&lt;&gt;0)),0,IF(对账补充行!$B35="",1,IF(OR(N(对账补充行!$B35)&lt;$H$1,N(对账补充行!$B35)&gt;$I$1),0,1))))</f>
        <v>0</v>
      </c>
      <c r="H642" s="0" t="n">
        <f aca="false">N(H641)+$G642</f>
        <v>3</v>
      </c>
      <c r="I642" s="0" t="str">
        <f aca="false">IF($G642=0,"",IF(对账补充行!$B35=0,"",对账补充行!$B35))</f>
        <v/>
      </c>
      <c r="J642" s="0" t="str">
        <f aca="false">IF($G642=0,"",IF(对账补充行!$D35=0,"",对账补充行!$D35))</f>
        <v/>
      </c>
      <c r="K642" s="0" t="str">
        <f aca="false">IF($G642=0,"",IF(对账补充行!$E35=0,"",对账补充行!$E35))</f>
        <v/>
      </c>
      <c r="L642" s="0" t="str">
        <f aca="false">IF($G642=0,"",IF(对账补充行!$F35=0,"",对账补充行!$F35))</f>
        <v/>
      </c>
      <c r="M642" s="0" t="str">
        <f aca="false">IF($G642=0,"",IF(对账补充行!$G35=0,"",对账补充行!$G35))</f>
        <v/>
      </c>
      <c r="N642" s="0" t="str">
        <f aca="false">IF($G642=0,"",IF(对账补充行!$H35=0,"",对账补充行!$H35))</f>
        <v/>
      </c>
      <c r="O642" s="0" t="str">
        <f aca="false">IF($G642=0,"",IF(对账补充行!$I35=0,"",对账补充行!$I35))</f>
        <v/>
      </c>
      <c r="P642" s="0" t="str">
        <f aca="false">IF($G642=0,"",IF(对账补充行!$J35=0,"",对账补充行!$J35))</f>
        <v/>
      </c>
      <c r="T642" s="0" t="str">
        <f aca="false">IF(成本费用登记表!$D42="","",成本费用登记表!$D42)</f>
        <v/>
      </c>
      <c r="U642" s="0" t="n">
        <f aca="false">IF(T642="",0,IF(MATCH(T642,$T$4:$T$903,0)=ROW()-3,1,0))</f>
        <v>0</v>
      </c>
      <c r="V642" s="0" t="n">
        <f aca="false">N(V641)+U642</f>
        <v>30</v>
      </c>
    </row>
    <row r="643" customFormat="false" ht="13.5" hidden="false" customHeight="false" outlineLevel="0" collapsed="false">
      <c r="A643" s="0" t="str">
        <f aca="false">IF(资金日记账!$E341="","",资金日记账!$E341)</f>
        <v/>
      </c>
      <c r="B643" s="0" t="n">
        <f aca="false">IF(A643="",0,IF(MATCH(A643,$A$4:$A$1925,0)=ROW()-3,1,0))</f>
        <v>0</v>
      </c>
      <c r="C643" s="0" t="n">
        <f aca="false">N(C642)+B643</f>
        <v>11</v>
      </c>
      <c r="G643" s="0" t="n">
        <f aca="false">IF(OR($G$1="",对账补充行!$C36="",对账补充行!$C36&lt;&gt;$G$1),0,IF(NOT(OR(N(对账补充行!$H36)&lt;&gt;0,N(对账补充行!$I36)&lt;&gt;0)),0,IF(对账补充行!$B36="",1,IF(OR(N(对账补充行!$B36)&lt;$H$1,N(对账补充行!$B36)&gt;$I$1),0,1))))</f>
        <v>0</v>
      </c>
      <c r="H643" s="0" t="n">
        <f aca="false">N(H642)+$G643</f>
        <v>3</v>
      </c>
      <c r="I643" s="0" t="str">
        <f aca="false">IF($G643=0,"",IF(对账补充行!$B36=0,"",对账补充行!$B36))</f>
        <v/>
      </c>
      <c r="J643" s="0" t="str">
        <f aca="false">IF($G643=0,"",IF(对账补充行!$D36=0,"",对账补充行!$D36))</f>
        <v/>
      </c>
      <c r="K643" s="0" t="str">
        <f aca="false">IF($G643=0,"",IF(对账补充行!$E36=0,"",对账补充行!$E36))</f>
        <v/>
      </c>
      <c r="L643" s="0" t="str">
        <f aca="false">IF($G643=0,"",IF(对账补充行!$F36=0,"",对账补充行!$F36))</f>
        <v/>
      </c>
      <c r="M643" s="0" t="str">
        <f aca="false">IF($G643=0,"",IF(对账补充行!$G36=0,"",对账补充行!$G36))</f>
        <v/>
      </c>
      <c r="N643" s="0" t="str">
        <f aca="false">IF($G643=0,"",IF(对账补充行!$H36=0,"",对账补充行!$H36))</f>
        <v/>
      </c>
      <c r="O643" s="0" t="str">
        <f aca="false">IF($G643=0,"",IF(对账补充行!$I36=0,"",对账补充行!$I36))</f>
        <v/>
      </c>
      <c r="P643" s="0" t="str">
        <f aca="false">IF($G643=0,"",IF(对账补充行!$J36=0,"",对账补充行!$J36))</f>
        <v/>
      </c>
      <c r="T643" s="0" t="str">
        <f aca="false">IF(成本费用登记表!$D43="","",成本费用登记表!$D43)</f>
        <v/>
      </c>
      <c r="U643" s="0" t="n">
        <f aca="false">IF(T643="",0,IF(MATCH(T643,$T$4:$T$903,0)=ROW()-3,1,0))</f>
        <v>0</v>
      </c>
      <c r="V643" s="0" t="n">
        <f aca="false">N(V642)+U643</f>
        <v>30</v>
      </c>
    </row>
    <row r="644" customFormat="false" ht="13.5" hidden="false" customHeight="false" outlineLevel="0" collapsed="false">
      <c r="A644" s="0" t="str">
        <f aca="false">IF(资金日记账!$E342="","",资金日记账!$E342)</f>
        <v/>
      </c>
      <c r="B644" s="0" t="n">
        <f aca="false">IF(A644="",0,IF(MATCH(A644,$A$4:$A$1925,0)=ROW()-3,1,0))</f>
        <v>0</v>
      </c>
      <c r="C644" s="0" t="n">
        <f aca="false">N(C643)+B644</f>
        <v>11</v>
      </c>
      <c r="G644" s="0" t="n">
        <f aca="false">IF(OR($G$1="",对账补充行!$C37="",对账补充行!$C37&lt;&gt;$G$1),0,IF(NOT(OR(N(对账补充行!$H37)&lt;&gt;0,N(对账补充行!$I37)&lt;&gt;0)),0,IF(对账补充行!$B37="",1,IF(OR(N(对账补充行!$B37)&lt;$H$1,N(对账补充行!$B37)&gt;$I$1),0,1))))</f>
        <v>0</v>
      </c>
      <c r="H644" s="0" t="n">
        <f aca="false">N(H643)+$G644</f>
        <v>3</v>
      </c>
      <c r="I644" s="0" t="str">
        <f aca="false">IF($G644=0,"",IF(对账补充行!$B37=0,"",对账补充行!$B37))</f>
        <v/>
      </c>
      <c r="J644" s="0" t="str">
        <f aca="false">IF($G644=0,"",IF(对账补充行!$D37=0,"",对账补充行!$D37))</f>
        <v/>
      </c>
      <c r="K644" s="0" t="str">
        <f aca="false">IF($G644=0,"",IF(对账补充行!$E37=0,"",对账补充行!$E37))</f>
        <v/>
      </c>
      <c r="L644" s="0" t="str">
        <f aca="false">IF($G644=0,"",IF(对账补充行!$F37=0,"",对账补充行!$F37))</f>
        <v/>
      </c>
      <c r="M644" s="0" t="str">
        <f aca="false">IF($G644=0,"",IF(对账补充行!$G37=0,"",对账补充行!$G37))</f>
        <v/>
      </c>
      <c r="N644" s="0" t="str">
        <f aca="false">IF($G644=0,"",IF(对账补充行!$H37=0,"",对账补充行!$H37))</f>
        <v/>
      </c>
      <c r="O644" s="0" t="str">
        <f aca="false">IF($G644=0,"",IF(对账补充行!$I37=0,"",对账补充行!$I37))</f>
        <v/>
      </c>
      <c r="P644" s="0" t="str">
        <f aca="false">IF($G644=0,"",IF(对账补充行!$J37=0,"",对账补充行!$J37))</f>
        <v/>
      </c>
      <c r="T644" s="0" t="str">
        <f aca="false">IF(成本费用登记表!$D44="","",成本费用登记表!$D44)</f>
        <v/>
      </c>
      <c r="U644" s="0" t="n">
        <f aca="false">IF(T644="",0,IF(MATCH(T644,$T$4:$T$903,0)=ROW()-3,1,0))</f>
        <v>0</v>
      </c>
      <c r="V644" s="0" t="n">
        <f aca="false">N(V643)+U644</f>
        <v>30</v>
      </c>
    </row>
    <row r="645" customFormat="false" ht="13.5" hidden="false" customHeight="false" outlineLevel="0" collapsed="false">
      <c r="A645" s="0" t="str">
        <f aca="false">IF(资金日记账!$E343="","",资金日记账!$E343)</f>
        <v/>
      </c>
      <c r="B645" s="0" t="n">
        <f aca="false">IF(A645="",0,IF(MATCH(A645,$A$4:$A$1925,0)=ROW()-3,1,0))</f>
        <v>0</v>
      </c>
      <c r="C645" s="0" t="n">
        <f aca="false">N(C644)+B645</f>
        <v>11</v>
      </c>
      <c r="G645" s="0" t="n">
        <f aca="false">IF(OR($G$1="",对账补充行!$C38="",对账补充行!$C38&lt;&gt;$G$1),0,IF(NOT(OR(N(对账补充行!$H38)&lt;&gt;0,N(对账补充行!$I38)&lt;&gt;0)),0,IF(对账补充行!$B38="",1,IF(OR(N(对账补充行!$B38)&lt;$H$1,N(对账补充行!$B38)&gt;$I$1),0,1))))</f>
        <v>0</v>
      </c>
      <c r="H645" s="0" t="n">
        <f aca="false">N(H644)+$G645</f>
        <v>3</v>
      </c>
      <c r="I645" s="0" t="str">
        <f aca="false">IF($G645=0,"",IF(对账补充行!$B38=0,"",对账补充行!$B38))</f>
        <v/>
      </c>
      <c r="J645" s="0" t="str">
        <f aca="false">IF($G645=0,"",IF(对账补充行!$D38=0,"",对账补充行!$D38))</f>
        <v/>
      </c>
      <c r="K645" s="0" t="str">
        <f aca="false">IF($G645=0,"",IF(对账补充行!$E38=0,"",对账补充行!$E38))</f>
        <v/>
      </c>
      <c r="L645" s="0" t="str">
        <f aca="false">IF($G645=0,"",IF(对账补充行!$F38=0,"",对账补充行!$F38))</f>
        <v/>
      </c>
      <c r="M645" s="0" t="str">
        <f aca="false">IF($G645=0,"",IF(对账补充行!$G38=0,"",对账补充行!$G38))</f>
        <v/>
      </c>
      <c r="N645" s="0" t="str">
        <f aca="false">IF($G645=0,"",IF(对账补充行!$H38=0,"",对账补充行!$H38))</f>
        <v/>
      </c>
      <c r="O645" s="0" t="str">
        <f aca="false">IF($G645=0,"",IF(对账补充行!$I38=0,"",对账补充行!$I38))</f>
        <v/>
      </c>
      <c r="P645" s="0" t="str">
        <f aca="false">IF($G645=0,"",IF(对账补充行!$J38=0,"",对账补充行!$J38))</f>
        <v/>
      </c>
      <c r="T645" s="0" t="str">
        <f aca="false">IF(成本费用登记表!$D45="","",成本费用登记表!$D45)</f>
        <v/>
      </c>
      <c r="U645" s="0" t="n">
        <f aca="false">IF(T645="",0,IF(MATCH(T645,$T$4:$T$903,0)=ROW()-3,1,0))</f>
        <v>0</v>
      </c>
      <c r="V645" s="0" t="n">
        <f aca="false">N(V644)+U645</f>
        <v>30</v>
      </c>
    </row>
    <row r="646" customFormat="false" ht="13.5" hidden="false" customHeight="false" outlineLevel="0" collapsed="false">
      <c r="A646" s="0" t="str">
        <f aca="false">IF(资金日记账!$E344="","",资金日记账!$E344)</f>
        <v/>
      </c>
      <c r="B646" s="0" t="n">
        <f aca="false">IF(A646="",0,IF(MATCH(A646,$A$4:$A$1925,0)=ROW()-3,1,0))</f>
        <v>0</v>
      </c>
      <c r="C646" s="0" t="n">
        <f aca="false">N(C645)+B646</f>
        <v>11</v>
      </c>
      <c r="G646" s="0" t="n">
        <f aca="false">IF(OR($G$1="",对账补充行!$C39="",对账补充行!$C39&lt;&gt;$G$1),0,IF(NOT(OR(N(对账补充行!$H39)&lt;&gt;0,N(对账补充行!$I39)&lt;&gt;0)),0,IF(对账补充行!$B39="",1,IF(OR(N(对账补充行!$B39)&lt;$H$1,N(对账补充行!$B39)&gt;$I$1),0,1))))</f>
        <v>0</v>
      </c>
      <c r="H646" s="0" t="n">
        <f aca="false">N(H645)+$G646</f>
        <v>3</v>
      </c>
      <c r="I646" s="0" t="str">
        <f aca="false">IF($G646=0,"",IF(对账补充行!$B39=0,"",对账补充行!$B39))</f>
        <v/>
      </c>
      <c r="J646" s="0" t="str">
        <f aca="false">IF($G646=0,"",IF(对账补充行!$D39=0,"",对账补充行!$D39))</f>
        <v/>
      </c>
      <c r="K646" s="0" t="str">
        <f aca="false">IF($G646=0,"",IF(对账补充行!$E39=0,"",对账补充行!$E39))</f>
        <v/>
      </c>
      <c r="L646" s="0" t="str">
        <f aca="false">IF($G646=0,"",IF(对账补充行!$F39=0,"",对账补充行!$F39))</f>
        <v/>
      </c>
      <c r="M646" s="0" t="str">
        <f aca="false">IF($G646=0,"",IF(对账补充行!$G39=0,"",对账补充行!$G39))</f>
        <v/>
      </c>
      <c r="N646" s="0" t="str">
        <f aca="false">IF($G646=0,"",IF(对账补充行!$H39=0,"",对账补充行!$H39))</f>
        <v/>
      </c>
      <c r="O646" s="0" t="str">
        <f aca="false">IF($G646=0,"",IF(对账补充行!$I39=0,"",对账补充行!$I39))</f>
        <v/>
      </c>
      <c r="P646" s="0" t="str">
        <f aca="false">IF($G646=0,"",IF(对账补充行!$J39=0,"",对账补充行!$J39))</f>
        <v/>
      </c>
      <c r="T646" s="0" t="str">
        <f aca="false">IF(成本费用登记表!$D46="","",成本费用登记表!$D46)</f>
        <v/>
      </c>
      <c r="U646" s="0" t="n">
        <f aca="false">IF(T646="",0,IF(MATCH(T646,$T$4:$T$903,0)=ROW()-3,1,0))</f>
        <v>0</v>
      </c>
      <c r="V646" s="0" t="n">
        <f aca="false">N(V645)+U646</f>
        <v>30</v>
      </c>
    </row>
    <row r="647" customFormat="false" ht="13.5" hidden="false" customHeight="false" outlineLevel="0" collapsed="false">
      <c r="A647" s="0" t="str">
        <f aca="false">IF(资金日记账!$E345="","",资金日记账!$E345)</f>
        <v/>
      </c>
      <c r="B647" s="0" t="n">
        <f aca="false">IF(A647="",0,IF(MATCH(A647,$A$4:$A$1925,0)=ROW()-3,1,0))</f>
        <v>0</v>
      </c>
      <c r="C647" s="0" t="n">
        <f aca="false">N(C646)+B647</f>
        <v>11</v>
      </c>
      <c r="G647" s="0" t="n">
        <f aca="false">IF(OR($G$1="",对账补充行!$C40="",对账补充行!$C40&lt;&gt;$G$1),0,IF(NOT(OR(N(对账补充行!$H40)&lt;&gt;0,N(对账补充行!$I40)&lt;&gt;0)),0,IF(对账补充行!$B40="",1,IF(OR(N(对账补充行!$B40)&lt;$H$1,N(对账补充行!$B40)&gt;$I$1),0,1))))</f>
        <v>0</v>
      </c>
      <c r="H647" s="0" t="n">
        <f aca="false">N(H646)+$G647</f>
        <v>3</v>
      </c>
      <c r="I647" s="0" t="str">
        <f aca="false">IF($G647=0,"",IF(对账补充行!$B40=0,"",对账补充行!$B40))</f>
        <v/>
      </c>
      <c r="J647" s="0" t="str">
        <f aca="false">IF($G647=0,"",IF(对账补充行!$D40=0,"",对账补充行!$D40))</f>
        <v/>
      </c>
      <c r="K647" s="0" t="str">
        <f aca="false">IF($G647=0,"",IF(对账补充行!$E40=0,"",对账补充行!$E40))</f>
        <v/>
      </c>
      <c r="L647" s="0" t="str">
        <f aca="false">IF($G647=0,"",IF(对账补充行!$F40=0,"",对账补充行!$F40))</f>
        <v/>
      </c>
      <c r="M647" s="0" t="str">
        <f aca="false">IF($G647=0,"",IF(对账补充行!$G40=0,"",对账补充行!$G40))</f>
        <v/>
      </c>
      <c r="N647" s="0" t="str">
        <f aca="false">IF($G647=0,"",IF(对账补充行!$H40=0,"",对账补充行!$H40))</f>
        <v/>
      </c>
      <c r="O647" s="0" t="str">
        <f aca="false">IF($G647=0,"",IF(对账补充行!$I40=0,"",对账补充行!$I40))</f>
        <v/>
      </c>
      <c r="P647" s="0" t="str">
        <f aca="false">IF($G647=0,"",IF(对账补充行!$J40=0,"",对账补充行!$J40))</f>
        <v/>
      </c>
      <c r="T647" s="0" t="str">
        <f aca="false">IF(成本费用登记表!$D47="","",成本费用登记表!$D47)</f>
        <v/>
      </c>
      <c r="U647" s="0" t="n">
        <f aca="false">IF(T647="",0,IF(MATCH(T647,$T$4:$T$903,0)=ROW()-3,1,0))</f>
        <v>0</v>
      </c>
      <c r="V647" s="0" t="n">
        <f aca="false">N(V646)+U647</f>
        <v>30</v>
      </c>
    </row>
    <row r="648" customFormat="false" ht="13.5" hidden="false" customHeight="false" outlineLevel="0" collapsed="false">
      <c r="A648" s="0" t="str">
        <f aca="false">IF(资金日记账!$E346="","",资金日记账!$E346)</f>
        <v/>
      </c>
      <c r="B648" s="0" t="n">
        <f aca="false">IF(A648="",0,IF(MATCH(A648,$A$4:$A$1925,0)=ROW()-3,1,0))</f>
        <v>0</v>
      </c>
      <c r="C648" s="0" t="n">
        <f aca="false">N(C647)+B648</f>
        <v>11</v>
      </c>
      <c r="G648" s="0" t="n">
        <f aca="false">IF(OR($G$1="",对账补充行!$C41="",对账补充行!$C41&lt;&gt;$G$1),0,IF(NOT(OR(N(对账补充行!$H41)&lt;&gt;0,N(对账补充行!$I41)&lt;&gt;0)),0,IF(对账补充行!$B41="",1,IF(OR(N(对账补充行!$B41)&lt;$H$1,N(对账补充行!$B41)&gt;$I$1),0,1))))</f>
        <v>0</v>
      </c>
      <c r="H648" s="0" t="n">
        <f aca="false">N(H647)+$G648</f>
        <v>3</v>
      </c>
      <c r="I648" s="0" t="str">
        <f aca="false">IF($G648=0,"",IF(对账补充行!$B41=0,"",对账补充行!$B41))</f>
        <v/>
      </c>
      <c r="J648" s="0" t="str">
        <f aca="false">IF($G648=0,"",IF(对账补充行!$D41=0,"",对账补充行!$D41))</f>
        <v/>
      </c>
      <c r="K648" s="0" t="str">
        <f aca="false">IF($G648=0,"",IF(对账补充行!$E41=0,"",对账补充行!$E41))</f>
        <v/>
      </c>
      <c r="L648" s="0" t="str">
        <f aca="false">IF($G648=0,"",IF(对账补充行!$F41=0,"",对账补充行!$F41))</f>
        <v/>
      </c>
      <c r="M648" s="0" t="str">
        <f aca="false">IF($G648=0,"",IF(对账补充行!$G41=0,"",对账补充行!$G41))</f>
        <v/>
      </c>
      <c r="N648" s="0" t="str">
        <f aca="false">IF($G648=0,"",IF(对账补充行!$H41=0,"",对账补充行!$H41))</f>
        <v/>
      </c>
      <c r="O648" s="0" t="str">
        <f aca="false">IF($G648=0,"",IF(对账补充行!$I41=0,"",对账补充行!$I41))</f>
        <v/>
      </c>
      <c r="P648" s="0" t="str">
        <f aca="false">IF($G648=0,"",IF(对账补充行!$J41=0,"",对账补充行!$J41))</f>
        <v/>
      </c>
      <c r="T648" s="0" t="str">
        <f aca="false">IF(成本费用登记表!$D48="","",成本费用登记表!$D48)</f>
        <v/>
      </c>
      <c r="U648" s="0" t="n">
        <f aca="false">IF(T648="",0,IF(MATCH(T648,$T$4:$T$903,0)=ROW()-3,1,0))</f>
        <v>0</v>
      </c>
      <c r="V648" s="0" t="n">
        <f aca="false">N(V647)+U648</f>
        <v>30</v>
      </c>
    </row>
    <row r="649" customFormat="false" ht="13.5" hidden="false" customHeight="false" outlineLevel="0" collapsed="false">
      <c r="A649" s="0" t="str">
        <f aca="false">IF(资金日记账!$E347="","",资金日记账!$E347)</f>
        <v/>
      </c>
      <c r="B649" s="0" t="n">
        <f aca="false">IF(A649="",0,IF(MATCH(A649,$A$4:$A$1925,0)=ROW()-3,1,0))</f>
        <v>0</v>
      </c>
      <c r="C649" s="0" t="n">
        <f aca="false">N(C648)+B649</f>
        <v>11</v>
      </c>
      <c r="G649" s="0" t="n">
        <f aca="false">IF(OR($G$1="",对账补充行!$C42="",对账补充行!$C42&lt;&gt;$G$1),0,IF(NOT(OR(N(对账补充行!$H42)&lt;&gt;0,N(对账补充行!$I42)&lt;&gt;0)),0,IF(对账补充行!$B42="",1,IF(OR(N(对账补充行!$B42)&lt;$H$1,N(对账补充行!$B42)&gt;$I$1),0,1))))</f>
        <v>0</v>
      </c>
      <c r="H649" s="0" t="n">
        <f aca="false">N(H648)+$G649</f>
        <v>3</v>
      </c>
      <c r="I649" s="0" t="str">
        <f aca="false">IF($G649=0,"",IF(对账补充行!$B42=0,"",对账补充行!$B42))</f>
        <v/>
      </c>
      <c r="J649" s="0" t="str">
        <f aca="false">IF($G649=0,"",IF(对账补充行!$D42=0,"",对账补充行!$D42))</f>
        <v/>
      </c>
      <c r="K649" s="0" t="str">
        <f aca="false">IF($G649=0,"",IF(对账补充行!$E42=0,"",对账补充行!$E42))</f>
        <v/>
      </c>
      <c r="L649" s="0" t="str">
        <f aca="false">IF($G649=0,"",IF(对账补充行!$F42=0,"",对账补充行!$F42))</f>
        <v/>
      </c>
      <c r="M649" s="0" t="str">
        <f aca="false">IF($G649=0,"",IF(对账补充行!$G42=0,"",对账补充行!$G42))</f>
        <v/>
      </c>
      <c r="N649" s="0" t="str">
        <f aca="false">IF($G649=0,"",IF(对账补充行!$H42=0,"",对账补充行!$H42))</f>
        <v/>
      </c>
      <c r="O649" s="0" t="str">
        <f aca="false">IF($G649=0,"",IF(对账补充行!$I42=0,"",对账补充行!$I42))</f>
        <v/>
      </c>
      <c r="P649" s="0" t="str">
        <f aca="false">IF($G649=0,"",IF(对账补充行!$J42=0,"",对账补充行!$J42))</f>
        <v/>
      </c>
      <c r="T649" s="0" t="str">
        <f aca="false">IF(成本费用登记表!$D49="","",成本费用登记表!$D49)</f>
        <v/>
      </c>
      <c r="U649" s="0" t="n">
        <f aca="false">IF(T649="",0,IF(MATCH(T649,$T$4:$T$903,0)=ROW()-3,1,0))</f>
        <v>0</v>
      </c>
      <c r="V649" s="0" t="n">
        <f aca="false">N(V648)+U649</f>
        <v>30</v>
      </c>
    </row>
    <row r="650" customFormat="false" ht="13.5" hidden="false" customHeight="false" outlineLevel="0" collapsed="false">
      <c r="A650" s="0" t="str">
        <f aca="false">IF(资金日记账!$E348="","",资金日记账!$E348)</f>
        <v/>
      </c>
      <c r="B650" s="0" t="n">
        <f aca="false">IF(A650="",0,IF(MATCH(A650,$A$4:$A$1925,0)=ROW()-3,1,0))</f>
        <v>0</v>
      </c>
      <c r="C650" s="0" t="n">
        <f aca="false">N(C649)+B650</f>
        <v>11</v>
      </c>
      <c r="G650" s="0" t="n">
        <f aca="false">IF(OR($G$1="",对账补充行!$C43="",对账补充行!$C43&lt;&gt;$G$1),0,IF(NOT(OR(N(对账补充行!$H43)&lt;&gt;0,N(对账补充行!$I43)&lt;&gt;0)),0,IF(对账补充行!$B43="",1,IF(OR(N(对账补充行!$B43)&lt;$H$1,N(对账补充行!$B43)&gt;$I$1),0,1))))</f>
        <v>0</v>
      </c>
      <c r="H650" s="0" t="n">
        <f aca="false">N(H649)+$G650</f>
        <v>3</v>
      </c>
      <c r="I650" s="0" t="str">
        <f aca="false">IF($G650=0,"",IF(对账补充行!$B43=0,"",对账补充行!$B43))</f>
        <v/>
      </c>
      <c r="J650" s="0" t="str">
        <f aca="false">IF($G650=0,"",IF(对账补充行!$D43=0,"",对账补充行!$D43))</f>
        <v/>
      </c>
      <c r="K650" s="0" t="str">
        <f aca="false">IF($G650=0,"",IF(对账补充行!$E43=0,"",对账补充行!$E43))</f>
        <v/>
      </c>
      <c r="L650" s="0" t="str">
        <f aca="false">IF($G650=0,"",IF(对账补充行!$F43=0,"",对账补充行!$F43))</f>
        <v/>
      </c>
      <c r="M650" s="0" t="str">
        <f aca="false">IF($G650=0,"",IF(对账补充行!$G43=0,"",对账补充行!$G43))</f>
        <v/>
      </c>
      <c r="N650" s="0" t="str">
        <f aca="false">IF($G650=0,"",IF(对账补充行!$H43=0,"",对账补充行!$H43))</f>
        <v/>
      </c>
      <c r="O650" s="0" t="str">
        <f aca="false">IF($G650=0,"",IF(对账补充行!$I43=0,"",对账补充行!$I43))</f>
        <v/>
      </c>
      <c r="P650" s="0" t="str">
        <f aca="false">IF($G650=0,"",IF(对账补充行!$J43=0,"",对账补充行!$J43))</f>
        <v/>
      </c>
      <c r="T650" s="0" t="str">
        <f aca="false">IF(成本费用登记表!$D50="","",成本费用登记表!$D50)</f>
        <v/>
      </c>
      <c r="U650" s="0" t="n">
        <f aca="false">IF(T650="",0,IF(MATCH(T650,$T$4:$T$903,0)=ROW()-3,1,0))</f>
        <v>0</v>
      </c>
      <c r="V650" s="0" t="n">
        <f aca="false">N(V649)+U650</f>
        <v>30</v>
      </c>
    </row>
    <row r="651" customFormat="false" ht="13.5" hidden="false" customHeight="false" outlineLevel="0" collapsed="false">
      <c r="A651" s="0" t="str">
        <f aca="false">IF(资金日记账!$E349="","",资金日记账!$E349)</f>
        <v/>
      </c>
      <c r="B651" s="0" t="n">
        <f aca="false">IF(A651="",0,IF(MATCH(A651,$A$4:$A$1925,0)=ROW()-3,1,0))</f>
        <v>0</v>
      </c>
      <c r="C651" s="0" t="n">
        <f aca="false">N(C650)+B651</f>
        <v>11</v>
      </c>
      <c r="G651" s="0" t="n">
        <f aca="false">IF(OR($G$1="",对账补充行!$C44="",对账补充行!$C44&lt;&gt;$G$1),0,IF(NOT(OR(N(对账补充行!$H44)&lt;&gt;0,N(对账补充行!$I44)&lt;&gt;0)),0,IF(对账补充行!$B44="",1,IF(OR(N(对账补充行!$B44)&lt;$H$1,N(对账补充行!$B44)&gt;$I$1),0,1))))</f>
        <v>0</v>
      </c>
      <c r="H651" s="0" t="n">
        <f aca="false">N(H650)+$G651</f>
        <v>3</v>
      </c>
      <c r="I651" s="0" t="str">
        <f aca="false">IF($G651=0,"",IF(对账补充行!$B44=0,"",对账补充行!$B44))</f>
        <v/>
      </c>
      <c r="J651" s="0" t="str">
        <f aca="false">IF($G651=0,"",IF(对账补充行!$D44=0,"",对账补充行!$D44))</f>
        <v/>
      </c>
      <c r="K651" s="0" t="str">
        <f aca="false">IF($G651=0,"",IF(对账补充行!$E44=0,"",对账补充行!$E44))</f>
        <v/>
      </c>
      <c r="L651" s="0" t="str">
        <f aca="false">IF($G651=0,"",IF(对账补充行!$F44=0,"",对账补充行!$F44))</f>
        <v/>
      </c>
      <c r="M651" s="0" t="str">
        <f aca="false">IF($G651=0,"",IF(对账补充行!$G44=0,"",对账补充行!$G44))</f>
        <v/>
      </c>
      <c r="N651" s="0" t="str">
        <f aca="false">IF($G651=0,"",IF(对账补充行!$H44=0,"",对账补充行!$H44))</f>
        <v/>
      </c>
      <c r="O651" s="0" t="str">
        <f aca="false">IF($G651=0,"",IF(对账补充行!$I44=0,"",对账补充行!$I44))</f>
        <v/>
      </c>
      <c r="P651" s="0" t="str">
        <f aca="false">IF($G651=0,"",IF(对账补充行!$J44=0,"",对账补充行!$J44))</f>
        <v/>
      </c>
      <c r="T651" s="0" t="str">
        <f aca="false">IF(成本费用登记表!$D51="","",成本费用登记表!$D51)</f>
        <v/>
      </c>
      <c r="U651" s="0" t="n">
        <f aca="false">IF(T651="",0,IF(MATCH(T651,$T$4:$T$903,0)=ROW()-3,1,0))</f>
        <v>0</v>
      </c>
      <c r="V651" s="0" t="n">
        <f aca="false">N(V650)+U651</f>
        <v>30</v>
      </c>
    </row>
    <row r="652" customFormat="false" ht="13.5" hidden="false" customHeight="false" outlineLevel="0" collapsed="false">
      <c r="A652" s="0" t="str">
        <f aca="false">IF(资金日记账!$E350="","",资金日记账!$E350)</f>
        <v/>
      </c>
      <c r="B652" s="0" t="n">
        <f aca="false">IF(A652="",0,IF(MATCH(A652,$A$4:$A$1925,0)=ROW()-3,1,0))</f>
        <v>0</v>
      </c>
      <c r="C652" s="0" t="n">
        <f aca="false">N(C651)+B652</f>
        <v>11</v>
      </c>
      <c r="G652" s="0" t="n">
        <f aca="false">IF(OR($G$1="",对账补充行!$C45="",对账补充行!$C45&lt;&gt;$G$1),0,IF(NOT(OR(N(对账补充行!$H45)&lt;&gt;0,N(对账补充行!$I45)&lt;&gt;0)),0,IF(对账补充行!$B45="",1,IF(OR(N(对账补充行!$B45)&lt;$H$1,N(对账补充行!$B45)&gt;$I$1),0,1))))</f>
        <v>0</v>
      </c>
      <c r="H652" s="0" t="n">
        <f aca="false">N(H651)+$G652</f>
        <v>3</v>
      </c>
      <c r="I652" s="0" t="str">
        <f aca="false">IF($G652=0,"",IF(对账补充行!$B45=0,"",对账补充行!$B45))</f>
        <v/>
      </c>
      <c r="J652" s="0" t="str">
        <f aca="false">IF($G652=0,"",IF(对账补充行!$D45=0,"",对账补充行!$D45))</f>
        <v/>
      </c>
      <c r="K652" s="0" t="str">
        <f aca="false">IF($G652=0,"",IF(对账补充行!$E45=0,"",对账补充行!$E45))</f>
        <v/>
      </c>
      <c r="L652" s="0" t="str">
        <f aca="false">IF($G652=0,"",IF(对账补充行!$F45=0,"",对账补充行!$F45))</f>
        <v/>
      </c>
      <c r="M652" s="0" t="str">
        <f aca="false">IF($G652=0,"",IF(对账补充行!$G45=0,"",对账补充行!$G45))</f>
        <v/>
      </c>
      <c r="N652" s="0" t="str">
        <f aca="false">IF($G652=0,"",IF(对账补充行!$H45=0,"",对账补充行!$H45))</f>
        <v/>
      </c>
      <c r="O652" s="0" t="str">
        <f aca="false">IF($G652=0,"",IF(对账补充行!$I45=0,"",对账补充行!$I45))</f>
        <v/>
      </c>
      <c r="P652" s="0" t="str">
        <f aca="false">IF($G652=0,"",IF(对账补充行!$J45=0,"",对账补充行!$J45))</f>
        <v/>
      </c>
      <c r="T652" s="0" t="str">
        <f aca="false">IF(成本费用登记表!$D52="","",成本费用登记表!$D52)</f>
        <v/>
      </c>
      <c r="U652" s="0" t="n">
        <f aca="false">IF(T652="",0,IF(MATCH(T652,$T$4:$T$903,0)=ROW()-3,1,0))</f>
        <v>0</v>
      </c>
      <c r="V652" s="0" t="n">
        <f aca="false">N(V651)+U652</f>
        <v>30</v>
      </c>
    </row>
    <row r="653" customFormat="false" ht="13.5" hidden="false" customHeight="false" outlineLevel="0" collapsed="false">
      <c r="A653" s="0" t="str">
        <f aca="false">IF(资金日记账!$E351="","",资金日记账!$E351)</f>
        <v/>
      </c>
      <c r="B653" s="0" t="n">
        <f aca="false">IF(A653="",0,IF(MATCH(A653,$A$4:$A$1925,0)=ROW()-3,1,0))</f>
        <v>0</v>
      </c>
      <c r="C653" s="0" t="n">
        <f aca="false">N(C652)+B653</f>
        <v>11</v>
      </c>
      <c r="G653" s="0" t="n">
        <f aca="false">IF(OR($G$1="",对账补充行!$C46="",对账补充行!$C46&lt;&gt;$G$1),0,IF(NOT(OR(N(对账补充行!$H46)&lt;&gt;0,N(对账补充行!$I46)&lt;&gt;0)),0,IF(对账补充行!$B46="",1,IF(OR(N(对账补充行!$B46)&lt;$H$1,N(对账补充行!$B46)&gt;$I$1),0,1))))</f>
        <v>0</v>
      </c>
      <c r="H653" s="0" t="n">
        <f aca="false">N(H652)+$G653</f>
        <v>3</v>
      </c>
      <c r="I653" s="0" t="str">
        <f aca="false">IF($G653=0,"",IF(对账补充行!$B46=0,"",对账补充行!$B46))</f>
        <v/>
      </c>
      <c r="J653" s="0" t="str">
        <f aca="false">IF($G653=0,"",IF(对账补充行!$D46=0,"",对账补充行!$D46))</f>
        <v/>
      </c>
      <c r="K653" s="0" t="str">
        <f aca="false">IF($G653=0,"",IF(对账补充行!$E46=0,"",对账补充行!$E46))</f>
        <v/>
      </c>
      <c r="L653" s="0" t="str">
        <f aca="false">IF($G653=0,"",IF(对账补充行!$F46=0,"",对账补充行!$F46))</f>
        <v/>
      </c>
      <c r="M653" s="0" t="str">
        <f aca="false">IF($G653=0,"",IF(对账补充行!$G46=0,"",对账补充行!$G46))</f>
        <v/>
      </c>
      <c r="N653" s="0" t="str">
        <f aca="false">IF($G653=0,"",IF(对账补充行!$H46=0,"",对账补充行!$H46))</f>
        <v/>
      </c>
      <c r="O653" s="0" t="str">
        <f aca="false">IF($G653=0,"",IF(对账补充行!$I46=0,"",对账补充行!$I46))</f>
        <v/>
      </c>
      <c r="P653" s="0" t="str">
        <f aca="false">IF($G653=0,"",IF(对账补充行!$J46=0,"",对账补充行!$J46))</f>
        <v/>
      </c>
      <c r="T653" s="0" t="str">
        <f aca="false">IF(成本费用登记表!$D53="","",成本费用登记表!$D53)</f>
        <v/>
      </c>
      <c r="U653" s="0" t="n">
        <f aca="false">IF(T653="",0,IF(MATCH(T653,$T$4:$T$903,0)=ROW()-3,1,0))</f>
        <v>0</v>
      </c>
      <c r="V653" s="0" t="n">
        <f aca="false">N(V652)+U653</f>
        <v>30</v>
      </c>
    </row>
    <row r="654" customFormat="false" ht="13.5" hidden="false" customHeight="false" outlineLevel="0" collapsed="false">
      <c r="A654" s="0" t="str">
        <f aca="false">IF(资金日记账!$E352="","",资金日记账!$E352)</f>
        <v/>
      </c>
      <c r="B654" s="0" t="n">
        <f aca="false">IF(A654="",0,IF(MATCH(A654,$A$4:$A$1925,0)=ROW()-3,1,0))</f>
        <v>0</v>
      </c>
      <c r="C654" s="0" t="n">
        <f aca="false">N(C653)+B654</f>
        <v>11</v>
      </c>
      <c r="G654" s="0" t="n">
        <f aca="false">IF(OR($G$1="",对账补充行!$C47="",对账补充行!$C47&lt;&gt;$G$1),0,IF(NOT(OR(N(对账补充行!$H47)&lt;&gt;0,N(对账补充行!$I47)&lt;&gt;0)),0,IF(对账补充行!$B47="",1,IF(OR(N(对账补充行!$B47)&lt;$H$1,N(对账补充行!$B47)&gt;$I$1),0,1))))</f>
        <v>0</v>
      </c>
      <c r="H654" s="0" t="n">
        <f aca="false">N(H653)+$G654</f>
        <v>3</v>
      </c>
      <c r="I654" s="0" t="str">
        <f aca="false">IF($G654=0,"",IF(对账补充行!$B47=0,"",对账补充行!$B47))</f>
        <v/>
      </c>
      <c r="J654" s="0" t="str">
        <f aca="false">IF($G654=0,"",IF(对账补充行!$D47=0,"",对账补充行!$D47))</f>
        <v/>
      </c>
      <c r="K654" s="0" t="str">
        <f aca="false">IF($G654=0,"",IF(对账补充行!$E47=0,"",对账补充行!$E47))</f>
        <v/>
      </c>
      <c r="L654" s="0" t="str">
        <f aca="false">IF($G654=0,"",IF(对账补充行!$F47=0,"",对账补充行!$F47))</f>
        <v/>
      </c>
      <c r="M654" s="0" t="str">
        <f aca="false">IF($G654=0,"",IF(对账补充行!$G47=0,"",对账补充行!$G47))</f>
        <v/>
      </c>
      <c r="N654" s="0" t="str">
        <f aca="false">IF($G654=0,"",IF(对账补充行!$H47=0,"",对账补充行!$H47))</f>
        <v/>
      </c>
      <c r="O654" s="0" t="str">
        <f aca="false">IF($G654=0,"",IF(对账补充行!$I47=0,"",对账补充行!$I47))</f>
        <v/>
      </c>
      <c r="P654" s="0" t="str">
        <f aca="false">IF($G654=0,"",IF(对账补充行!$J47=0,"",对账补充行!$J47))</f>
        <v/>
      </c>
      <c r="T654" s="0" t="str">
        <f aca="false">IF(成本费用登记表!$D54="","",成本费用登记表!$D54)</f>
        <v/>
      </c>
      <c r="U654" s="0" t="n">
        <f aca="false">IF(T654="",0,IF(MATCH(T654,$T$4:$T$903,0)=ROW()-3,1,0))</f>
        <v>0</v>
      </c>
      <c r="V654" s="0" t="n">
        <f aca="false">N(V653)+U654</f>
        <v>30</v>
      </c>
    </row>
    <row r="655" customFormat="false" ht="13.5" hidden="false" customHeight="false" outlineLevel="0" collapsed="false">
      <c r="A655" s="0" t="str">
        <f aca="false">IF(资金日记账!$E353="","",资金日记账!$E353)</f>
        <v/>
      </c>
      <c r="B655" s="0" t="n">
        <f aca="false">IF(A655="",0,IF(MATCH(A655,$A$4:$A$1925,0)=ROW()-3,1,0))</f>
        <v>0</v>
      </c>
      <c r="C655" s="0" t="n">
        <f aca="false">N(C654)+B655</f>
        <v>11</v>
      </c>
      <c r="G655" s="0" t="n">
        <f aca="false">IF(OR($G$1="",对账补充行!$C48="",对账补充行!$C48&lt;&gt;$G$1),0,IF(NOT(OR(N(对账补充行!$H48)&lt;&gt;0,N(对账补充行!$I48)&lt;&gt;0)),0,IF(对账补充行!$B48="",1,IF(OR(N(对账补充行!$B48)&lt;$H$1,N(对账补充行!$B48)&gt;$I$1),0,1))))</f>
        <v>0</v>
      </c>
      <c r="H655" s="0" t="n">
        <f aca="false">N(H654)+$G655</f>
        <v>3</v>
      </c>
      <c r="I655" s="0" t="str">
        <f aca="false">IF($G655=0,"",IF(对账补充行!$B48=0,"",对账补充行!$B48))</f>
        <v/>
      </c>
      <c r="J655" s="0" t="str">
        <f aca="false">IF($G655=0,"",IF(对账补充行!$D48=0,"",对账补充行!$D48))</f>
        <v/>
      </c>
      <c r="K655" s="0" t="str">
        <f aca="false">IF($G655=0,"",IF(对账补充行!$E48=0,"",对账补充行!$E48))</f>
        <v/>
      </c>
      <c r="L655" s="0" t="str">
        <f aca="false">IF($G655=0,"",IF(对账补充行!$F48=0,"",对账补充行!$F48))</f>
        <v/>
      </c>
      <c r="M655" s="0" t="str">
        <f aca="false">IF($G655=0,"",IF(对账补充行!$G48=0,"",对账补充行!$G48))</f>
        <v/>
      </c>
      <c r="N655" s="0" t="str">
        <f aca="false">IF($G655=0,"",IF(对账补充行!$H48=0,"",对账补充行!$H48))</f>
        <v/>
      </c>
      <c r="O655" s="0" t="str">
        <f aca="false">IF($G655=0,"",IF(对账补充行!$I48=0,"",对账补充行!$I48))</f>
        <v/>
      </c>
      <c r="P655" s="0" t="str">
        <f aca="false">IF($G655=0,"",IF(对账补充行!$J48=0,"",对账补充行!$J48))</f>
        <v/>
      </c>
      <c r="T655" s="0" t="str">
        <f aca="false">IF(成本费用登记表!$D55="","",成本费用登记表!$D55)</f>
        <v/>
      </c>
      <c r="U655" s="0" t="n">
        <f aca="false">IF(T655="",0,IF(MATCH(T655,$T$4:$T$903,0)=ROW()-3,1,0))</f>
        <v>0</v>
      </c>
      <c r="V655" s="0" t="n">
        <f aca="false">N(V654)+U655</f>
        <v>30</v>
      </c>
    </row>
    <row r="656" customFormat="false" ht="13.5" hidden="false" customHeight="false" outlineLevel="0" collapsed="false">
      <c r="A656" s="0" t="str">
        <f aca="false">IF(资金日记账!$E354="","",资金日记账!$E354)</f>
        <v/>
      </c>
      <c r="B656" s="0" t="n">
        <f aca="false">IF(A656="",0,IF(MATCH(A656,$A$4:$A$1925,0)=ROW()-3,1,0))</f>
        <v>0</v>
      </c>
      <c r="C656" s="0" t="n">
        <f aca="false">N(C655)+B656</f>
        <v>11</v>
      </c>
      <c r="G656" s="0" t="n">
        <f aca="false">IF(OR($G$1="",对账补充行!$C49="",对账补充行!$C49&lt;&gt;$G$1),0,IF(NOT(OR(N(对账补充行!$H49)&lt;&gt;0,N(对账补充行!$I49)&lt;&gt;0)),0,IF(对账补充行!$B49="",1,IF(OR(N(对账补充行!$B49)&lt;$H$1,N(对账补充行!$B49)&gt;$I$1),0,1))))</f>
        <v>0</v>
      </c>
      <c r="H656" s="0" t="n">
        <f aca="false">N(H655)+$G656</f>
        <v>3</v>
      </c>
      <c r="I656" s="0" t="str">
        <f aca="false">IF($G656=0,"",IF(对账补充行!$B49=0,"",对账补充行!$B49))</f>
        <v/>
      </c>
      <c r="J656" s="0" t="str">
        <f aca="false">IF($G656=0,"",IF(对账补充行!$D49=0,"",对账补充行!$D49))</f>
        <v/>
      </c>
      <c r="K656" s="0" t="str">
        <f aca="false">IF($G656=0,"",IF(对账补充行!$E49=0,"",对账补充行!$E49))</f>
        <v/>
      </c>
      <c r="L656" s="0" t="str">
        <f aca="false">IF($G656=0,"",IF(对账补充行!$F49=0,"",对账补充行!$F49))</f>
        <v/>
      </c>
      <c r="M656" s="0" t="str">
        <f aca="false">IF($G656=0,"",IF(对账补充行!$G49=0,"",对账补充行!$G49))</f>
        <v/>
      </c>
      <c r="N656" s="0" t="str">
        <f aca="false">IF($G656=0,"",IF(对账补充行!$H49=0,"",对账补充行!$H49))</f>
        <v/>
      </c>
      <c r="O656" s="0" t="str">
        <f aca="false">IF($G656=0,"",IF(对账补充行!$I49=0,"",对账补充行!$I49))</f>
        <v/>
      </c>
      <c r="P656" s="0" t="str">
        <f aca="false">IF($G656=0,"",IF(对账补充行!$J49=0,"",对账补充行!$J49))</f>
        <v/>
      </c>
      <c r="T656" s="0" t="str">
        <f aca="false">IF(成本费用登记表!$D56="","",成本费用登记表!$D56)</f>
        <v/>
      </c>
      <c r="U656" s="0" t="n">
        <f aca="false">IF(T656="",0,IF(MATCH(T656,$T$4:$T$903,0)=ROW()-3,1,0))</f>
        <v>0</v>
      </c>
      <c r="V656" s="0" t="n">
        <f aca="false">N(V655)+U656</f>
        <v>30</v>
      </c>
    </row>
    <row r="657" customFormat="false" ht="13.5" hidden="false" customHeight="false" outlineLevel="0" collapsed="false">
      <c r="A657" s="0" t="str">
        <f aca="false">IF(资金日记账!$E355="","",资金日记账!$E355)</f>
        <v/>
      </c>
      <c r="B657" s="0" t="n">
        <f aca="false">IF(A657="",0,IF(MATCH(A657,$A$4:$A$1925,0)=ROW()-3,1,0))</f>
        <v>0</v>
      </c>
      <c r="C657" s="0" t="n">
        <f aca="false">N(C656)+B657</f>
        <v>11</v>
      </c>
      <c r="G657" s="0" t="n">
        <f aca="false">IF(OR($G$1="",对账补充行!$C50="",对账补充行!$C50&lt;&gt;$G$1),0,IF(NOT(OR(N(对账补充行!$H50)&lt;&gt;0,N(对账补充行!$I50)&lt;&gt;0)),0,IF(对账补充行!$B50="",1,IF(OR(N(对账补充行!$B50)&lt;$H$1,N(对账补充行!$B50)&gt;$I$1),0,1))))</f>
        <v>0</v>
      </c>
      <c r="H657" s="0" t="n">
        <f aca="false">N(H656)+$G657</f>
        <v>3</v>
      </c>
      <c r="I657" s="0" t="str">
        <f aca="false">IF($G657=0,"",IF(对账补充行!$B50=0,"",对账补充行!$B50))</f>
        <v/>
      </c>
      <c r="J657" s="0" t="str">
        <f aca="false">IF($G657=0,"",IF(对账补充行!$D50=0,"",对账补充行!$D50))</f>
        <v/>
      </c>
      <c r="K657" s="0" t="str">
        <f aca="false">IF($G657=0,"",IF(对账补充行!$E50=0,"",对账补充行!$E50))</f>
        <v/>
      </c>
      <c r="L657" s="0" t="str">
        <f aca="false">IF($G657=0,"",IF(对账补充行!$F50=0,"",对账补充行!$F50))</f>
        <v/>
      </c>
      <c r="M657" s="0" t="str">
        <f aca="false">IF($G657=0,"",IF(对账补充行!$G50=0,"",对账补充行!$G50))</f>
        <v/>
      </c>
      <c r="N657" s="0" t="str">
        <f aca="false">IF($G657=0,"",IF(对账补充行!$H50=0,"",对账补充行!$H50))</f>
        <v/>
      </c>
      <c r="O657" s="0" t="str">
        <f aca="false">IF($G657=0,"",IF(对账补充行!$I50=0,"",对账补充行!$I50))</f>
        <v/>
      </c>
      <c r="P657" s="0" t="str">
        <f aca="false">IF($G657=0,"",IF(对账补充行!$J50=0,"",对账补充行!$J50))</f>
        <v/>
      </c>
      <c r="T657" s="0" t="str">
        <f aca="false">IF(成本费用登记表!$D57="","",成本费用登记表!$D57)</f>
        <v/>
      </c>
      <c r="U657" s="0" t="n">
        <f aca="false">IF(T657="",0,IF(MATCH(T657,$T$4:$T$903,0)=ROW()-3,1,0))</f>
        <v>0</v>
      </c>
      <c r="V657" s="0" t="n">
        <f aca="false">N(V656)+U657</f>
        <v>30</v>
      </c>
    </row>
    <row r="658" customFormat="false" ht="13.5" hidden="false" customHeight="false" outlineLevel="0" collapsed="false">
      <c r="A658" s="0" t="str">
        <f aca="false">IF(资金日记账!$E356="","",资金日记账!$E356)</f>
        <v/>
      </c>
      <c r="B658" s="0" t="n">
        <f aca="false">IF(A658="",0,IF(MATCH(A658,$A$4:$A$1925,0)=ROW()-3,1,0))</f>
        <v>0</v>
      </c>
      <c r="C658" s="0" t="n">
        <f aca="false">N(C657)+B658</f>
        <v>11</v>
      </c>
      <c r="G658" s="0" t="n">
        <f aca="false">IF(OR($G$1="",对账补充行!$C51="",对账补充行!$C51&lt;&gt;$G$1),0,IF(NOT(OR(N(对账补充行!$H51)&lt;&gt;0,N(对账补充行!$I51)&lt;&gt;0)),0,IF(对账补充行!$B51="",1,IF(OR(N(对账补充行!$B51)&lt;$H$1,N(对账补充行!$B51)&gt;$I$1),0,1))))</f>
        <v>0</v>
      </c>
      <c r="H658" s="0" t="n">
        <f aca="false">N(H657)+$G658</f>
        <v>3</v>
      </c>
      <c r="I658" s="0" t="str">
        <f aca="false">IF($G658=0,"",IF(对账补充行!$B51=0,"",对账补充行!$B51))</f>
        <v/>
      </c>
      <c r="J658" s="0" t="str">
        <f aca="false">IF($G658=0,"",IF(对账补充行!$D51=0,"",对账补充行!$D51))</f>
        <v/>
      </c>
      <c r="K658" s="0" t="str">
        <f aca="false">IF($G658=0,"",IF(对账补充行!$E51=0,"",对账补充行!$E51))</f>
        <v/>
      </c>
      <c r="L658" s="0" t="str">
        <f aca="false">IF($G658=0,"",IF(对账补充行!$F51=0,"",对账补充行!$F51))</f>
        <v/>
      </c>
      <c r="M658" s="0" t="str">
        <f aca="false">IF($G658=0,"",IF(对账补充行!$G51=0,"",对账补充行!$G51))</f>
        <v/>
      </c>
      <c r="N658" s="0" t="str">
        <f aca="false">IF($G658=0,"",IF(对账补充行!$H51=0,"",对账补充行!$H51))</f>
        <v/>
      </c>
      <c r="O658" s="0" t="str">
        <f aca="false">IF($G658=0,"",IF(对账补充行!$I51=0,"",对账补充行!$I51))</f>
        <v/>
      </c>
      <c r="P658" s="0" t="str">
        <f aca="false">IF($G658=0,"",IF(对账补充行!$J51=0,"",对账补充行!$J51))</f>
        <v/>
      </c>
      <c r="T658" s="0" t="str">
        <f aca="false">IF(成本费用登记表!$D58="","",成本费用登记表!$D58)</f>
        <v/>
      </c>
      <c r="U658" s="0" t="n">
        <f aca="false">IF(T658="",0,IF(MATCH(T658,$T$4:$T$903,0)=ROW()-3,1,0))</f>
        <v>0</v>
      </c>
      <c r="V658" s="0" t="n">
        <f aca="false">N(V657)+U658</f>
        <v>30</v>
      </c>
    </row>
    <row r="659" customFormat="false" ht="13.5" hidden="false" customHeight="false" outlineLevel="0" collapsed="false">
      <c r="A659" s="0" t="str">
        <f aca="false">IF(资金日记账!$E357="","",资金日记账!$E357)</f>
        <v/>
      </c>
      <c r="B659" s="0" t="n">
        <f aca="false">IF(A659="",0,IF(MATCH(A659,$A$4:$A$1925,0)=ROW()-3,1,0))</f>
        <v>0</v>
      </c>
      <c r="C659" s="0" t="n">
        <f aca="false">N(C658)+B659</f>
        <v>11</v>
      </c>
      <c r="G659" s="0" t="n">
        <f aca="false">IF(OR($G$1="",对账补充行!$C52="",对账补充行!$C52&lt;&gt;$G$1),0,IF(NOT(OR(N(对账补充行!$H52)&lt;&gt;0,N(对账补充行!$I52)&lt;&gt;0)),0,IF(对账补充行!$B52="",1,IF(OR(N(对账补充行!$B52)&lt;$H$1,N(对账补充行!$B52)&gt;$I$1),0,1))))</f>
        <v>0</v>
      </c>
      <c r="H659" s="0" t="n">
        <f aca="false">N(H658)+$G659</f>
        <v>3</v>
      </c>
      <c r="I659" s="0" t="str">
        <f aca="false">IF($G659=0,"",IF(对账补充行!$B52=0,"",对账补充行!$B52))</f>
        <v/>
      </c>
      <c r="J659" s="0" t="str">
        <f aca="false">IF($G659=0,"",IF(对账补充行!$D52=0,"",对账补充行!$D52))</f>
        <v/>
      </c>
      <c r="K659" s="0" t="str">
        <f aca="false">IF($G659=0,"",IF(对账补充行!$E52=0,"",对账补充行!$E52))</f>
        <v/>
      </c>
      <c r="L659" s="0" t="str">
        <f aca="false">IF($G659=0,"",IF(对账补充行!$F52=0,"",对账补充行!$F52))</f>
        <v/>
      </c>
      <c r="M659" s="0" t="str">
        <f aca="false">IF($G659=0,"",IF(对账补充行!$G52=0,"",对账补充行!$G52))</f>
        <v/>
      </c>
      <c r="N659" s="0" t="str">
        <f aca="false">IF($G659=0,"",IF(对账补充行!$H52=0,"",对账补充行!$H52))</f>
        <v/>
      </c>
      <c r="O659" s="0" t="str">
        <f aca="false">IF($G659=0,"",IF(对账补充行!$I52=0,"",对账补充行!$I52))</f>
        <v/>
      </c>
      <c r="P659" s="0" t="str">
        <f aca="false">IF($G659=0,"",IF(对账补充行!$J52=0,"",对账补充行!$J52))</f>
        <v/>
      </c>
      <c r="T659" s="0" t="str">
        <f aca="false">IF(成本费用登记表!$D59="","",成本费用登记表!$D59)</f>
        <v/>
      </c>
      <c r="U659" s="0" t="n">
        <f aca="false">IF(T659="",0,IF(MATCH(T659,$T$4:$T$903,0)=ROW()-3,1,0))</f>
        <v>0</v>
      </c>
      <c r="V659" s="0" t="n">
        <f aca="false">N(V658)+U659</f>
        <v>30</v>
      </c>
    </row>
    <row r="660" customFormat="false" ht="13.5" hidden="false" customHeight="false" outlineLevel="0" collapsed="false">
      <c r="A660" s="0" t="str">
        <f aca="false">IF(资金日记账!$E358="","",资金日记账!$E358)</f>
        <v/>
      </c>
      <c r="B660" s="0" t="n">
        <f aca="false">IF(A660="",0,IF(MATCH(A660,$A$4:$A$1925,0)=ROW()-3,1,0))</f>
        <v>0</v>
      </c>
      <c r="C660" s="0" t="n">
        <f aca="false">N(C659)+B660</f>
        <v>11</v>
      </c>
      <c r="G660" s="0" t="n">
        <f aca="false">IF(OR($G$1="",对账补充行!$C53="",对账补充行!$C53&lt;&gt;$G$1),0,IF(NOT(OR(N(对账补充行!$H53)&lt;&gt;0,N(对账补充行!$I53)&lt;&gt;0)),0,IF(对账补充行!$B53="",1,IF(OR(N(对账补充行!$B53)&lt;$H$1,N(对账补充行!$B53)&gt;$I$1),0,1))))</f>
        <v>0</v>
      </c>
      <c r="H660" s="0" t="n">
        <f aca="false">N(H659)+$G660</f>
        <v>3</v>
      </c>
      <c r="I660" s="0" t="str">
        <f aca="false">IF($G660=0,"",IF(对账补充行!$B53=0,"",对账补充行!$B53))</f>
        <v/>
      </c>
      <c r="J660" s="0" t="str">
        <f aca="false">IF($G660=0,"",IF(对账补充行!$D53=0,"",对账补充行!$D53))</f>
        <v/>
      </c>
      <c r="K660" s="0" t="str">
        <f aca="false">IF($G660=0,"",IF(对账补充行!$E53=0,"",对账补充行!$E53))</f>
        <v/>
      </c>
      <c r="L660" s="0" t="str">
        <f aca="false">IF($G660=0,"",IF(对账补充行!$F53=0,"",对账补充行!$F53))</f>
        <v/>
      </c>
      <c r="M660" s="0" t="str">
        <f aca="false">IF($G660=0,"",IF(对账补充行!$G53=0,"",对账补充行!$G53))</f>
        <v/>
      </c>
      <c r="N660" s="0" t="str">
        <f aca="false">IF($G660=0,"",IF(对账补充行!$H53=0,"",对账补充行!$H53))</f>
        <v/>
      </c>
      <c r="O660" s="0" t="str">
        <f aca="false">IF($G660=0,"",IF(对账补充行!$I53=0,"",对账补充行!$I53))</f>
        <v/>
      </c>
      <c r="P660" s="0" t="str">
        <f aca="false">IF($G660=0,"",IF(对账补充行!$J53=0,"",对账补充行!$J53))</f>
        <v/>
      </c>
      <c r="T660" s="0" t="str">
        <f aca="false">IF(成本费用登记表!$D60="","",成本费用登记表!$D60)</f>
        <v/>
      </c>
      <c r="U660" s="0" t="n">
        <f aca="false">IF(T660="",0,IF(MATCH(T660,$T$4:$T$903,0)=ROW()-3,1,0))</f>
        <v>0</v>
      </c>
      <c r="V660" s="0" t="n">
        <f aca="false">N(V659)+U660</f>
        <v>30</v>
      </c>
    </row>
    <row r="661" customFormat="false" ht="13.5" hidden="false" customHeight="false" outlineLevel="0" collapsed="false">
      <c r="A661" s="0" t="str">
        <f aca="false">IF(资金日记账!$E359="","",资金日记账!$E359)</f>
        <v/>
      </c>
      <c r="B661" s="0" t="n">
        <f aca="false">IF(A661="",0,IF(MATCH(A661,$A$4:$A$1925,0)=ROW()-3,1,0))</f>
        <v>0</v>
      </c>
      <c r="C661" s="0" t="n">
        <f aca="false">N(C660)+B661</f>
        <v>11</v>
      </c>
      <c r="G661" s="0" t="n">
        <f aca="false">IF(OR($G$1="",对账补充行!$C54="",对账补充行!$C54&lt;&gt;$G$1),0,IF(NOT(OR(N(对账补充行!$H54)&lt;&gt;0,N(对账补充行!$I54)&lt;&gt;0)),0,IF(对账补充行!$B54="",1,IF(OR(N(对账补充行!$B54)&lt;$H$1,N(对账补充行!$B54)&gt;$I$1),0,1))))</f>
        <v>0</v>
      </c>
      <c r="H661" s="0" t="n">
        <f aca="false">N(H660)+$G661</f>
        <v>3</v>
      </c>
      <c r="I661" s="0" t="str">
        <f aca="false">IF($G661=0,"",IF(对账补充行!$B54=0,"",对账补充行!$B54))</f>
        <v/>
      </c>
      <c r="J661" s="0" t="str">
        <f aca="false">IF($G661=0,"",IF(对账补充行!$D54=0,"",对账补充行!$D54))</f>
        <v/>
      </c>
      <c r="K661" s="0" t="str">
        <f aca="false">IF($G661=0,"",IF(对账补充行!$E54=0,"",对账补充行!$E54))</f>
        <v/>
      </c>
      <c r="L661" s="0" t="str">
        <f aca="false">IF($G661=0,"",IF(对账补充行!$F54=0,"",对账补充行!$F54))</f>
        <v/>
      </c>
      <c r="M661" s="0" t="str">
        <f aca="false">IF($G661=0,"",IF(对账补充行!$G54=0,"",对账补充行!$G54))</f>
        <v/>
      </c>
      <c r="N661" s="0" t="str">
        <f aca="false">IF($G661=0,"",IF(对账补充行!$H54=0,"",对账补充行!$H54))</f>
        <v/>
      </c>
      <c r="O661" s="0" t="str">
        <f aca="false">IF($G661=0,"",IF(对账补充行!$I54=0,"",对账补充行!$I54))</f>
        <v/>
      </c>
      <c r="P661" s="0" t="str">
        <f aca="false">IF($G661=0,"",IF(对账补充行!$J54=0,"",对账补充行!$J54))</f>
        <v/>
      </c>
      <c r="T661" s="0" t="str">
        <f aca="false">IF(成本费用登记表!$D61="","",成本费用登记表!$D61)</f>
        <v/>
      </c>
      <c r="U661" s="0" t="n">
        <f aca="false">IF(T661="",0,IF(MATCH(T661,$T$4:$T$903,0)=ROW()-3,1,0))</f>
        <v>0</v>
      </c>
      <c r="V661" s="0" t="n">
        <f aca="false">N(V660)+U661</f>
        <v>30</v>
      </c>
    </row>
    <row r="662" customFormat="false" ht="13.5" hidden="false" customHeight="false" outlineLevel="0" collapsed="false">
      <c r="A662" s="0" t="str">
        <f aca="false">IF(资金日记账!$E360="","",资金日记账!$E360)</f>
        <v/>
      </c>
      <c r="B662" s="0" t="n">
        <f aca="false">IF(A662="",0,IF(MATCH(A662,$A$4:$A$1925,0)=ROW()-3,1,0))</f>
        <v>0</v>
      </c>
      <c r="C662" s="0" t="n">
        <f aca="false">N(C661)+B662</f>
        <v>11</v>
      </c>
      <c r="G662" s="0" t="n">
        <f aca="false">IF(OR($G$1="",对账补充行!$C55="",对账补充行!$C55&lt;&gt;$G$1),0,IF(NOT(OR(N(对账补充行!$H55)&lt;&gt;0,N(对账补充行!$I55)&lt;&gt;0)),0,IF(对账补充行!$B55="",1,IF(OR(N(对账补充行!$B55)&lt;$H$1,N(对账补充行!$B55)&gt;$I$1),0,1))))</f>
        <v>0</v>
      </c>
      <c r="H662" s="0" t="n">
        <f aca="false">N(H661)+$G662</f>
        <v>3</v>
      </c>
      <c r="I662" s="0" t="str">
        <f aca="false">IF($G662=0,"",IF(对账补充行!$B55=0,"",对账补充行!$B55))</f>
        <v/>
      </c>
      <c r="J662" s="0" t="str">
        <f aca="false">IF($G662=0,"",IF(对账补充行!$D55=0,"",对账补充行!$D55))</f>
        <v/>
      </c>
      <c r="K662" s="0" t="str">
        <f aca="false">IF($G662=0,"",IF(对账补充行!$E55=0,"",对账补充行!$E55))</f>
        <v/>
      </c>
      <c r="L662" s="0" t="str">
        <f aca="false">IF($G662=0,"",IF(对账补充行!$F55=0,"",对账补充行!$F55))</f>
        <v/>
      </c>
      <c r="M662" s="0" t="str">
        <f aca="false">IF($G662=0,"",IF(对账补充行!$G55=0,"",对账补充行!$G55))</f>
        <v/>
      </c>
      <c r="N662" s="0" t="str">
        <f aca="false">IF($G662=0,"",IF(对账补充行!$H55=0,"",对账补充行!$H55))</f>
        <v/>
      </c>
      <c r="O662" s="0" t="str">
        <f aca="false">IF($G662=0,"",IF(对账补充行!$I55=0,"",对账补充行!$I55))</f>
        <v/>
      </c>
      <c r="P662" s="0" t="str">
        <f aca="false">IF($G662=0,"",IF(对账补充行!$J55=0,"",对账补充行!$J55))</f>
        <v/>
      </c>
      <c r="T662" s="0" t="str">
        <f aca="false">IF(成本费用登记表!$D62="","",成本费用登记表!$D62)</f>
        <v/>
      </c>
      <c r="U662" s="0" t="n">
        <f aca="false">IF(T662="",0,IF(MATCH(T662,$T$4:$T$903,0)=ROW()-3,1,0))</f>
        <v>0</v>
      </c>
      <c r="V662" s="0" t="n">
        <f aca="false">N(V661)+U662</f>
        <v>30</v>
      </c>
    </row>
    <row r="663" customFormat="false" ht="13.5" hidden="false" customHeight="false" outlineLevel="0" collapsed="false">
      <c r="A663" s="0" t="str">
        <f aca="false">IF(资金日记账!$E361="","",资金日记账!$E361)</f>
        <v/>
      </c>
      <c r="B663" s="0" t="n">
        <f aca="false">IF(A663="",0,IF(MATCH(A663,$A$4:$A$1925,0)=ROW()-3,1,0))</f>
        <v>0</v>
      </c>
      <c r="C663" s="0" t="n">
        <f aca="false">N(C662)+B663</f>
        <v>11</v>
      </c>
      <c r="G663" s="0" t="n">
        <f aca="false">IF(OR($G$1="",对账补充行!$C56="",对账补充行!$C56&lt;&gt;$G$1),0,IF(NOT(OR(N(对账补充行!$H56)&lt;&gt;0,N(对账补充行!$I56)&lt;&gt;0)),0,IF(对账补充行!$B56="",1,IF(OR(N(对账补充行!$B56)&lt;$H$1,N(对账补充行!$B56)&gt;$I$1),0,1))))</f>
        <v>0</v>
      </c>
      <c r="H663" s="0" t="n">
        <f aca="false">N(H662)+$G663</f>
        <v>3</v>
      </c>
      <c r="I663" s="0" t="str">
        <f aca="false">IF($G663=0,"",IF(对账补充行!$B56=0,"",对账补充行!$B56))</f>
        <v/>
      </c>
      <c r="J663" s="0" t="str">
        <f aca="false">IF($G663=0,"",IF(对账补充行!$D56=0,"",对账补充行!$D56))</f>
        <v/>
      </c>
      <c r="K663" s="0" t="str">
        <f aca="false">IF($G663=0,"",IF(对账补充行!$E56=0,"",对账补充行!$E56))</f>
        <v/>
      </c>
      <c r="L663" s="0" t="str">
        <f aca="false">IF($G663=0,"",IF(对账补充行!$F56=0,"",对账补充行!$F56))</f>
        <v/>
      </c>
      <c r="M663" s="0" t="str">
        <f aca="false">IF($G663=0,"",IF(对账补充行!$G56=0,"",对账补充行!$G56))</f>
        <v/>
      </c>
      <c r="N663" s="0" t="str">
        <f aca="false">IF($G663=0,"",IF(对账补充行!$H56=0,"",对账补充行!$H56))</f>
        <v/>
      </c>
      <c r="O663" s="0" t="str">
        <f aca="false">IF($G663=0,"",IF(对账补充行!$I56=0,"",对账补充行!$I56))</f>
        <v/>
      </c>
      <c r="P663" s="0" t="str">
        <f aca="false">IF($G663=0,"",IF(对账补充行!$J56=0,"",对账补充行!$J56))</f>
        <v/>
      </c>
      <c r="T663" s="0" t="str">
        <f aca="false">IF(成本费用登记表!$D63="","",成本费用登记表!$D63)</f>
        <v/>
      </c>
      <c r="U663" s="0" t="n">
        <f aca="false">IF(T663="",0,IF(MATCH(T663,$T$4:$T$903,0)=ROW()-3,1,0))</f>
        <v>0</v>
      </c>
      <c r="V663" s="0" t="n">
        <f aca="false">N(V662)+U663</f>
        <v>30</v>
      </c>
    </row>
    <row r="664" customFormat="false" ht="13.5" hidden="false" customHeight="false" outlineLevel="0" collapsed="false">
      <c r="A664" s="0" t="str">
        <f aca="false">IF(资金日记账!$E362="","",资金日记账!$E362)</f>
        <v/>
      </c>
      <c r="B664" s="0" t="n">
        <f aca="false">IF(A664="",0,IF(MATCH(A664,$A$4:$A$1925,0)=ROW()-3,1,0))</f>
        <v>0</v>
      </c>
      <c r="C664" s="0" t="n">
        <f aca="false">N(C663)+B664</f>
        <v>11</v>
      </c>
      <c r="G664" s="0" t="n">
        <f aca="false">IF(OR($G$1="",对账补充行!$C57="",对账补充行!$C57&lt;&gt;$G$1),0,IF(NOT(OR(N(对账补充行!$H57)&lt;&gt;0,N(对账补充行!$I57)&lt;&gt;0)),0,IF(对账补充行!$B57="",1,IF(OR(N(对账补充行!$B57)&lt;$H$1,N(对账补充行!$B57)&gt;$I$1),0,1))))</f>
        <v>0</v>
      </c>
      <c r="H664" s="0" t="n">
        <f aca="false">N(H663)+$G664</f>
        <v>3</v>
      </c>
      <c r="I664" s="0" t="str">
        <f aca="false">IF($G664=0,"",IF(对账补充行!$B57=0,"",对账补充行!$B57))</f>
        <v/>
      </c>
      <c r="J664" s="0" t="str">
        <f aca="false">IF($G664=0,"",IF(对账补充行!$D57=0,"",对账补充行!$D57))</f>
        <v/>
      </c>
      <c r="K664" s="0" t="str">
        <f aca="false">IF($G664=0,"",IF(对账补充行!$E57=0,"",对账补充行!$E57))</f>
        <v/>
      </c>
      <c r="L664" s="0" t="str">
        <f aca="false">IF($G664=0,"",IF(对账补充行!$F57=0,"",对账补充行!$F57))</f>
        <v/>
      </c>
      <c r="M664" s="0" t="str">
        <f aca="false">IF($G664=0,"",IF(对账补充行!$G57=0,"",对账补充行!$G57))</f>
        <v/>
      </c>
      <c r="N664" s="0" t="str">
        <f aca="false">IF($G664=0,"",IF(对账补充行!$H57=0,"",对账补充行!$H57))</f>
        <v/>
      </c>
      <c r="O664" s="0" t="str">
        <f aca="false">IF($G664=0,"",IF(对账补充行!$I57=0,"",对账补充行!$I57))</f>
        <v/>
      </c>
      <c r="P664" s="0" t="str">
        <f aca="false">IF($G664=0,"",IF(对账补充行!$J57=0,"",对账补充行!$J57))</f>
        <v/>
      </c>
      <c r="T664" s="0" t="str">
        <f aca="false">IF(成本费用登记表!$D64="","",成本费用登记表!$D64)</f>
        <v/>
      </c>
      <c r="U664" s="0" t="n">
        <f aca="false">IF(T664="",0,IF(MATCH(T664,$T$4:$T$903,0)=ROW()-3,1,0))</f>
        <v>0</v>
      </c>
      <c r="V664" s="0" t="n">
        <f aca="false">N(V663)+U664</f>
        <v>30</v>
      </c>
    </row>
    <row r="665" customFormat="false" ht="13.5" hidden="false" customHeight="false" outlineLevel="0" collapsed="false">
      <c r="A665" s="0" t="str">
        <f aca="false">IF(资金日记账!$E363="","",资金日记账!$E363)</f>
        <v/>
      </c>
      <c r="B665" s="0" t="n">
        <f aca="false">IF(A665="",0,IF(MATCH(A665,$A$4:$A$1925,0)=ROW()-3,1,0))</f>
        <v>0</v>
      </c>
      <c r="C665" s="0" t="n">
        <f aca="false">N(C664)+B665</f>
        <v>11</v>
      </c>
      <c r="G665" s="0" t="n">
        <f aca="false">IF(OR($G$1="",对账补充行!$C58="",对账补充行!$C58&lt;&gt;$G$1),0,IF(NOT(OR(N(对账补充行!$H58)&lt;&gt;0,N(对账补充行!$I58)&lt;&gt;0)),0,IF(对账补充行!$B58="",1,IF(OR(N(对账补充行!$B58)&lt;$H$1,N(对账补充行!$B58)&gt;$I$1),0,1))))</f>
        <v>0</v>
      </c>
      <c r="H665" s="0" t="n">
        <f aca="false">N(H664)+$G665</f>
        <v>3</v>
      </c>
      <c r="I665" s="0" t="str">
        <f aca="false">IF($G665=0,"",IF(对账补充行!$B58=0,"",对账补充行!$B58))</f>
        <v/>
      </c>
      <c r="J665" s="0" t="str">
        <f aca="false">IF($G665=0,"",IF(对账补充行!$D58=0,"",对账补充行!$D58))</f>
        <v/>
      </c>
      <c r="K665" s="0" t="str">
        <f aca="false">IF($G665=0,"",IF(对账补充行!$E58=0,"",对账补充行!$E58))</f>
        <v/>
      </c>
      <c r="L665" s="0" t="str">
        <f aca="false">IF($G665=0,"",IF(对账补充行!$F58=0,"",对账补充行!$F58))</f>
        <v/>
      </c>
      <c r="M665" s="0" t="str">
        <f aca="false">IF($G665=0,"",IF(对账补充行!$G58=0,"",对账补充行!$G58))</f>
        <v/>
      </c>
      <c r="N665" s="0" t="str">
        <f aca="false">IF($G665=0,"",IF(对账补充行!$H58=0,"",对账补充行!$H58))</f>
        <v/>
      </c>
      <c r="O665" s="0" t="str">
        <f aca="false">IF($G665=0,"",IF(对账补充行!$I58=0,"",对账补充行!$I58))</f>
        <v/>
      </c>
      <c r="P665" s="0" t="str">
        <f aca="false">IF($G665=0,"",IF(对账补充行!$J58=0,"",对账补充行!$J58))</f>
        <v/>
      </c>
      <c r="T665" s="0" t="str">
        <f aca="false">IF(成本费用登记表!$D65="","",成本费用登记表!$D65)</f>
        <v/>
      </c>
      <c r="U665" s="0" t="n">
        <f aca="false">IF(T665="",0,IF(MATCH(T665,$T$4:$T$903,0)=ROW()-3,1,0))</f>
        <v>0</v>
      </c>
      <c r="V665" s="0" t="n">
        <f aca="false">N(V664)+U665</f>
        <v>30</v>
      </c>
    </row>
    <row r="666" customFormat="false" ht="13.5" hidden="false" customHeight="false" outlineLevel="0" collapsed="false">
      <c r="A666" s="0" t="str">
        <f aca="false">IF(资金日记账!$E364="","",资金日记账!$E364)</f>
        <v/>
      </c>
      <c r="B666" s="0" t="n">
        <f aca="false">IF(A666="",0,IF(MATCH(A666,$A$4:$A$1925,0)=ROW()-3,1,0))</f>
        <v>0</v>
      </c>
      <c r="C666" s="0" t="n">
        <f aca="false">N(C665)+B666</f>
        <v>11</v>
      </c>
      <c r="G666" s="0" t="n">
        <f aca="false">IF(OR($G$1="",对账补充行!$C59="",对账补充行!$C59&lt;&gt;$G$1),0,IF(NOT(OR(N(对账补充行!$H59)&lt;&gt;0,N(对账补充行!$I59)&lt;&gt;0)),0,IF(对账补充行!$B59="",1,IF(OR(N(对账补充行!$B59)&lt;$H$1,N(对账补充行!$B59)&gt;$I$1),0,1))))</f>
        <v>0</v>
      </c>
      <c r="H666" s="0" t="n">
        <f aca="false">N(H665)+$G666</f>
        <v>3</v>
      </c>
      <c r="I666" s="0" t="str">
        <f aca="false">IF($G666=0,"",IF(对账补充行!$B59=0,"",对账补充行!$B59))</f>
        <v/>
      </c>
      <c r="J666" s="0" t="str">
        <f aca="false">IF($G666=0,"",IF(对账补充行!$D59=0,"",对账补充行!$D59))</f>
        <v/>
      </c>
      <c r="K666" s="0" t="str">
        <f aca="false">IF($G666=0,"",IF(对账补充行!$E59=0,"",对账补充行!$E59))</f>
        <v/>
      </c>
      <c r="L666" s="0" t="str">
        <f aca="false">IF($G666=0,"",IF(对账补充行!$F59=0,"",对账补充行!$F59))</f>
        <v/>
      </c>
      <c r="M666" s="0" t="str">
        <f aca="false">IF($G666=0,"",IF(对账补充行!$G59=0,"",对账补充行!$G59))</f>
        <v/>
      </c>
      <c r="N666" s="0" t="str">
        <f aca="false">IF($G666=0,"",IF(对账补充行!$H59=0,"",对账补充行!$H59))</f>
        <v/>
      </c>
      <c r="O666" s="0" t="str">
        <f aca="false">IF($G666=0,"",IF(对账补充行!$I59=0,"",对账补充行!$I59))</f>
        <v/>
      </c>
      <c r="P666" s="0" t="str">
        <f aca="false">IF($G666=0,"",IF(对账补充行!$J59=0,"",对账补充行!$J59))</f>
        <v/>
      </c>
      <c r="T666" s="0" t="str">
        <f aca="false">IF(成本费用登记表!$D66="","",成本费用登记表!$D66)</f>
        <v/>
      </c>
      <c r="U666" s="0" t="n">
        <f aca="false">IF(T666="",0,IF(MATCH(T666,$T$4:$T$903,0)=ROW()-3,1,0))</f>
        <v>0</v>
      </c>
      <c r="V666" s="0" t="n">
        <f aca="false">N(V665)+U666</f>
        <v>30</v>
      </c>
    </row>
    <row r="667" customFormat="false" ht="13.5" hidden="false" customHeight="false" outlineLevel="0" collapsed="false">
      <c r="A667" s="0" t="str">
        <f aca="false">IF(资金日记账!$E365="","",资金日记账!$E365)</f>
        <v/>
      </c>
      <c r="B667" s="0" t="n">
        <f aca="false">IF(A667="",0,IF(MATCH(A667,$A$4:$A$1925,0)=ROW()-3,1,0))</f>
        <v>0</v>
      </c>
      <c r="C667" s="0" t="n">
        <f aca="false">N(C666)+B667</f>
        <v>11</v>
      </c>
      <c r="G667" s="0" t="n">
        <f aca="false">IF(OR($G$1="",对账补充行!$C60="",对账补充行!$C60&lt;&gt;$G$1),0,IF(NOT(OR(N(对账补充行!$H60)&lt;&gt;0,N(对账补充行!$I60)&lt;&gt;0)),0,IF(对账补充行!$B60="",1,IF(OR(N(对账补充行!$B60)&lt;$H$1,N(对账补充行!$B60)&gt;$I$1),0,1))))</f>
        <v>0</v>
      </c>
      <c r="H667" s="0" t="n">
        <f aca="false">N(H666)+$G667</f>
        <v>3</v>
      </c>
      <c r="I667" s="0" t="str">
        <f aca="false">IF($G667=0,"",IF(对账补充行!$B60=0,"",对账补充行!$B60))</f>
        <v/>
      </c>
      <c r="J667" s="0" t="str">
        <f aca="false">IF($G667=0,"",IF(对账补充行!$D60=0,"",对账补充行!$D60))</f>
        <v/>
      </c>
      <c r="K667" s="0" t="str">
        <f aca="false">IF($G667=0,"",IF(对账补充行!$E60=0,"",对账补充行!$E60))</f>
        <v/>
      </c>
      <c r="L667" s="0" t="str">
        <f aca="false">IF($G667=0,"",IF(对账补充行!$F60=0,"",对账补充行!$F60))</f>
        <v/>
      </c>
      <c r="M667" s="0" t="str">
        <f aca="false">IF($G667=0,"",IF(对账补充行!$G60=0,"",对账补充行!$G60))</f>
        <v/>
      </c>
      <c r="N667" s="0" t="str">
        <f aca="false">IF($G667=0,"",IF(对账补充行!$H60=0,"",对账补充行!$H60))</f>
        <v/>
      </c>
      <c r="O667" s="0" t="str">
        <f aca="false">IF($G667=0,"",IF(对账补充行!$I60=0,"",对账补充行!$I60))</f>
        <v/>
      </c>
      <c r="P667" s="0" t="str">
        <f aca="false">IF($G667=0,"",IF(对账补充行!$J60=0,"",对账补充行!$J60))</f>
        <v/>
      </c>
      <c r="T667" s="0" t="str">
        <f aca="false">IF(成本费用登记表!$D67="","",成本费用登记表!$D67)</f>
        <v/>
      </c>
      <c r="U667" s="0" t="n">
        <f aca="false">IF(T667="",0,IF(MATCH(T667,$T$4:$T$903,0)=ROW()-3,1,0))</f>
        <v>0</v>
      </c>
      <c r="V667" s="0" t="n">
        <f aca="false">N(V666)+U667</f>
        <v>30</v>
      </c>
    </row>
    <row r="668" customFormat="false" ht="13.5" hidden="false" customHeight="false" outlineLevel="0" collapsed="false">
      <c r="A668" s="0" t="str">
        <f aca="false">IF(资金日记账!$E366="","",资金日记账!$E366)</f>
        <v/>
      </c>
      <c r="B668" s="0" t="n">
        <f aca="false">IF(A668="",0,IF(MATCH(A668,$A$4:$A$1925,0)=ROW()-3,1,0))</f>
        <v>0</v>
      </c>
      <c r="C668" s="0" t="n">
        <f aca="false">N(C667)+B668</f>
        <v>11</v>
      </c>
      <c r="G668" s="0" t="n">
        <f aca="false">IF(OR($G$1="",对账补充行!$C61="",对账补充行!$C61&lt;&gt;$G$1),0,IF(NOT(OR(N(对账补充行!$H61)&lt;&gt;0,N(对账补充行!$I61)&lt;&gt;0)),0,IF(对账补充行!$B61="",1,IF(OR(N(对账补充行!$B61)&lt;$H$1,N(对账补充行!$B61)&gt;$I$1),0,1))))</f>
        <v>0</v>
      </c>
      <c r="H668" s="0" t="n">
        <f aca="false">N(H667)+$G668</f>
        <v>3</v>
      </c>
      <c r="I668" s="0" t="str">
        <f aca="false">IF($G668=0,"",IF(对账补充行!$B61=0,"",对账补充行!$B61))</f>
        <v/>
      </c>
      <c r="J668" s="0" t="str">
        <f aca="false">IF($G668=0,"",IF(对账补充行!$D61=0,"",对账补充行!$D61))</f>
        <v/>
      </c>
      <c r="K668" s="0" t="str">
        <f aca="false">IF($G668=0,"",IF(对账补充行!$E61=0,"",对账补充行!$E61))</f>
        <v/>
      </c>
      <c r="L668" s="0" t="str">
        <f aca="false">IF($G668=0,"",IF(对账补充行!$F61=0,"",对账补充行!$F61))</f>
        <v/>
      </c>
      <c r="M668" s="0" t="str">
        <f aca="false">IF($G668=0,"",IF(对账补充行!$G61=0,"",对账补充行!$G61))</f>
        <v/>
      </c>
      <c r="N668" s="0" t="str">
        <f aca="false">IF($G668=0,"",IF(对账补充行!$H61=0,"",对账补充行!$H61))</f>
        <v/>
      </c>
      <c r="O668" s="0" t="str">
        <f aca="false">IF($G668=0,"",IF(对账补充行!$I61=0,"",对账补充行!$I61))</f>
        <v/>
      </c>
      <c r="P668" s="0" t="str">
        <f aca="false">IF($G668=0,"",IF(对账补充行!$J61=0,"",对账补充行!$J61))</f>
        <v/>
      </c>
      <c r="T668" s="0" t="str">
        <f aca="false">IF(成本费用登记表!$D68="","",成本费用登记表!$D68)</f>
        <v/>
      </c>
      <c r="U668" s="0" t="n">
        <f aca="false">IF(T668="",0,IF(MATCH(T668,$T$4:$T$903,0)=ROW()-3,1,0))</f>
        <v>0</v>
      </c>
      <c r="V668" s="0" t="n">
        <f aca="false">N(V667)+U668</f>
        <v>30</v>
      </c>
    </row>
    <row r="669" customFormat="false" ht="13.5" hidden="false" customHeight="false" outlineLevel="0" collapsed="false">
      <c r="A669" s="0" t="str">
        <f aca="false">IF(资金日记账!$E367="","",资金日记账!$E367)</f>
        <v/>
      </c>
      <c r="B669" s="0" t="n">
        <f aca="false">IF(A669="",0,IF(MATCH(A669,$A$4:$A$1925,0)=ROW()-3,1,0))</f>
        <v>0</v>
      </c>
      <c r="C669" s="0" t="n">
        <f aca="false">N(C668)+B669</f>
        <v>11</v>
      </c>
      <c r="G669" s="0" t="n">
        <f aca="false">IF(OR($G$1="",对账补充行!$C62="",对账补充行!$C62&lt;&gt;$G$1),0,IF(NOT(OR(N(对账补充行!$H62)&lt;&gt;0,N(对账补充行!$I62)&lt;&gt;0)),0,IF(对账补充行!$B62="",1,IF(OR(N(对账补充行!$B62)&lt;$H$1,N(对账补充行!$B62)&gt;$I$1),0,1))))</f>
        <v>0</v>
      </c>
      <c r="H669" s="0" t="n">
        <f aca="false">N(H668)+$G669</f>
        <v>3</v>
      </c>
      <c r="I669" s="0" t="str">
        <f aca="false">IF($G669=0,"",IF(对账补充行!$B62=0,"",对账补充行!$B62))</f>
        <v/>
      </c>
      <c r="J669" s="0" t="str">
        <f aca="false">IF($G669=0,"",IF(对账补充行!$D62=0,"",对账补充行!$D62))</f>
        <v/>
      </c>
      <c r="K669" s="0" t="str">
        <f aca="false">IF($G669=0,"",IF(对账补充行!$E62=0,"",对账补充行!$E62))</f>
        <v/>
      </c>
      <c r="L669" s="0" t="str">
        <f aca="false">IF($G669=0,"",IF(对账补充行!$F62=0,"",对账补充行!$F62))</f>
        <v/>
      </c>
      <c r="M669" s="0" t="str">
        <f aca="false">IF($G669=0,"",IF(对账补充行!$G62=0,"",对账补充行!$G62))</f>
        <v/>
      </c>
      <c r="N669" s="0" t="str">
        <f aca="false">IF($G669=0,"",IF(对账补充行!$H62=0,"",对账补充行!$H62))</f>
        <v/>
      </c>
      <c r="O669" s="0" t="str">
        <f aca="false">IF($G669=0,"",IF(对账补充行!$I62=0,"",对账补充行!$I62))</f>
        <v/>
      </c>
      <c r="P669" s="0" t="str">
        <f aca="false">IF($G669=0,"",IF(对账补充行!$J62=0,"",对账补充行!$J62))</f>
        <v/>
      </c>
      <c r="T669" s="0" t="str">
        <f aca="false">IF(成本费用登记表!$D69="","",成本费用登记表!$D69)</f>
        <v/>
      </c>
      <c r="U669" s="0" t="n">
        <f aca="false">IF(T669="",0,IF(MATCH(T669,$T$4:$T$903,0)=ROW()-3,1,0))</f>
        <v>0</v>
      </c>
      <c r="V669" s="0" t="n">
        <f aca="false">N(V668)+U669</f>
        <v>30</v>
      </c>
    </row>
    <row r="670" customFormat="false" ht="13.5" hidden="false" customHeight="false" outlineLevel="0" collapsed="false">
      <c r="A670" s="0" t="str">
        <f aca="false">IF(资金日记账!$E368="","",资金日记账!$E368)</f>
        <v/>
      </c>
      <c r="B670" s="0" t="n">
        <f aca="false">IF(A670="",0,IF(MATCH(A670,$A$4:$A$1925,0)=ROW()-3,1,0))</f>
        <v>0</v>
      </c>
      <c r="C670" s="0" t="n">
        <f aca="false">N(C669)+B670</f>
        <v>11</v>
      </c>
      <c r="G670" s="0" t="n">
        <f aca="false">IF(OR($G$1="",对账补充行!$C63="",对账补充行!$C63&lt;&gt;$G$1),0,IF(NOT(OR(N(对账补充行!$H63)&lt;&gt;0,N(对账补充行!$I63)&lt;&gt;0)),0,IF(对账补充行!$B63="",1,IF(OR(N(对账补充行!$B63)&lt;$H$1,N(对账补充行!$B63)&gt;$I$1),0,1))))</f>
        <v>0</v>
      </c>
      <c r="H670" s="0" t="n">
        <f aca="false">N(H669)+$G670</f>
        <v>3</v>
      </c>
      <c r="I670" s="0" t="str">
        <f aca="false">IF($G670=0,"",IF(对账补充行!$B63=0,"",对账补充行!$B63))</f>
        <v/>
      </c>
      <c r="J670" s="0" t="str">
        <f aca="false">IF($G670=0,"",IF(对账补充行!$D63=0,"",对账补充行!$D63))</f>
        <v/>
      </c>
      <c r="K670" s="0" t="str">
        <f aca="false">IF($G670=0,"",IF(对账补充行!$E63=0,"",对账补充行!$E63))</f>
        <v/>
      </c>
      <c r="L670" s="0" t="str">
        <f aca="false">IF($G670=0,"",IF(对账补充行!$F63=0,"",对账补充行!$F63))</f>
        <v/>
      </c>
      <c r="M670" s="0" t="str">
        <f aca="false">IF($G670=0,"",IF(对账补充行!$G63=0,"",对账补充行!$G63))</f>
        <v/>
      </c>
      <c r="N670" s="0" t="str">
        <f aca="false">IF($G670=0,"",IF(对账补充行!$H63=0,"",对账补充行!$H63))</f>
        <v/>
      </c>
      <c r="O670" s="0" t="str">
        <f aca="false">IF($G670=0,"",IF(对账补充行!$I63=0,"",对账补充行!$I63))</f>
        <v/>
      </c>
      <c r="P670" s="0" t="str">
        <f aca="false">IF($G670=0,"",IF(对账补充行!$J63=0,"",对账补充行!$J63))</f>
        <v/>
      </c>
      <c r="T670" s="0" t="str">
        <f aca="false">IF(成本费用登记表!$D70="","",成本费用登记表!$D70)</f>
        <v/>
      </c>
      <c r="U670" s="0" t="n">
        <f aca="false">IF(T670="",0,IF(MATCH(T670,$T$4:$T$903,0)=ROW()-3,1,0))</f>
        <v>0</v>
      </c>
      <c r="V670" s="0" t="n">
        <f aca="false">N(V669)+U670</f>
        <v>30</v>
      </c>
    </row>
    <row r="671" customFormat="false" ht="13.5" hidden="false" customHeight="false" outlineLevel="0" collapsed="false">
      <c r="A671" s="0" t="str">
        <f aca="false">IF(资金日记账!$E369="","",资金日记账!$E369)</f>
        <v/>
      </c>
      <c r="B671" s="0" t="n">
        <f aca="false">IF(A671="",0,IF(MATCH(A671,$A$4:$A$1925,0)=ROW()-3,1,0))</f>
        <v>0</v>
      </c>
      <c r="C671" s="0" t="n">
        <f aca="false">N(C670)+B671</f>
        <v>11</v>
      </c>
      <c r="G671" s="0" t="n">
        <f aca="false">IF(OR($G$1="",对账补充行!$C64="",对账补充行!$C64&lt;&gt;$G$1),0,IF(NOT(OR(N(对账补充行!$H64)&lt;&gt;0,N(对账补充行!$I64)&lt;&gt;0)),0,IF(对账补充行!$B64="",1,IF(OR(N(对账补充行!$B64)&lt;$H$1,N(对账补充行!$B64)&gt;$I$1),0,1))))</f>
        <v>0</v>
      </c>
      <c r="H671" s="0" t="n">
        <f aca="false">N(H670)+$G671</f>
        <v>3</v>
      </c>
      <c r="I671" s="0" t="str">
        <f aca="false">IF($G671=0,"",IF(对账补充行!$B64=0,"",对账补充行!$B64))</f>
        <v/>
      </c>
      <c r="J671" s="0" t="str">
        <f aca="false">IF($G671=0,"",IF(对账补充行!$D64=0,"",对账补充行!$D64))</f>
        <v/>
      </c>
      <c r="K671" s="0" t="str">
        <f aca="false">IF($G671=0,"",IF(对账补充行!$E64=0,"",对账补充行!$E64))</f>
        <v/>
      </c>
      <c r="L671" s="0" t="str">
        <f aca="false">IF($G671=0,"",IF(对账补充行!$F64=0,"",对账补充行!$F64))</f>
        <v/>
      </c>
      <c r="M671" s="0" t="str">
        <f aca="false">IF($G671=0,"",IF(对账补充行!$G64=0,"",对账补充行!$G64))</f>
        <v/>
      </c>
      <c r="N671" s="0" t="str">
        <f aca="false">IF($G671=0,"",IF(对账补充行!$H64=0,"",对账补充行!$H64))</f>
        <v/>
      </c>
      <c r="O671" s="0" t="str">
        <f aca="false">IF($G671=0,"",IF(对账补充行!$I64=0,"",对账补充行!$I64))</f>
        <v/>
      </c>
      <c r="P671" s="0" t="str">
        <f aca="false">IF($G671=0,"",IF(对账补充行!$J64=0,"",对账补充行!$J64))</f>
        <v/>
      </c>
      <c r="T671" s="0" t="str">
        <f aca="false">IF(成本费用登记表!$D71="","",成本费用登记表!$D71)</f>
        <v/>
      </c>
      <c r="U671" s="0" t="n">
        <f aca="false">IF(T671="",0,IF(MATCH(T671,$T$4:$T$903,0)=ROW()-3,1,0))</f>
        <v>0</v>
      </c>
      <c r="V671" s="0" t="n">
        <f aca="false">N(V670)+U671</f>
        <v>30</v>
      </c>
    </row>
    <row r="672" customFormat="false" ht="13.5" hidden="false" customHeight="false" outlineLevel="0" collapsed="false">
      <c r="A672" s="0" t="str">
        <f aca="false">IF(资金日记账!$E370="","",资金日记账!$E370)</f>
        <v/>
      </c>
      <c r="B672" s="0" t="n">
        <f aca="false">IF(A672="",0,IF(MATCH(A672,$A$4:$A$1925,0)=ROW()-3,1,0))</f>
        <v>0</v>
      </c>
      <c r="C672" s="0" t="n">
        <f aca="false">N(C671)+B672</f>
        <v>11</v>
      </c>
      <c r="G672" s="0" t="n">
        <f aca="false">IF(OR($G$1="",对账补充行!$C65="",对账补充行!$C65&lt;&gt;$G$1),0,IF(NOT(OR(N(对账补充行!$H65)&lt;&gt;0,N(对账补充行!$I65)&lt;&gt;0)),0,IF(对账补充行!$B65="",1,IF(OR(N(对账补充行!$B65)&lt;$H$1,N(对账补充行!$B65)&gt;$I$1),0,1))))</f>
        <v>0</v>
      </c>
      <c r="H672" s="0" t="n">
        <f aca="false">N(H671)+$G672</f>
        <v>3</v>
      </c>
      <c r="I672" s="0" t="str">
        <f aca="false">IF($G672=0,"",IF(对账补充行!$B65=0,"",对账补充行!$B65))</f>
        <v/>
      </c>
      <c r="J672" s="0" t="str">
        <f aca="false">IF($G672=0,"",IF(对账补充行!$D65=0,"",对账补充行!$D65))</f>
        <v/>
      </c>
      <c r="K672" s="0" t="str">
        <f aca="false">IF($G672=0,"",IF(对账补充行!$E65=0,"",对账补充行!$E65))</f>
        <v/>
      </c>
      <c r="L672" s="0" t="str">
        <f aca="false">IF($G672=0,"",IF(对账补充行!$F65=0,"",对账补充行!$F65))</f>
        <v/>
      </c>
      <c r="M672" s="0" t="str">
        <f aca="false">IF($G672=0,"",IF(对账补充行!$G65=0,"",对账补充行!$G65))</f>
        <v/>
      </c>
      <c r="N672" s="0" t="str">
        <f aca="false">IF($G672=0,"",IF(对账补充行!$H65=0,"",对账补充行!$H65))</f>
        <v/>
      </c>
      <c r="O672" s="0" t="str">
        <f aca="false">IF($G672=0,"",IF(对账补充行!$I65=0,"",对账补充行!$I65))</f>
        <v/>
      </c>
      <c r="P672" s="0" t="str">
        <f aca="false">IF($G672=0,"",IF(对账补充行!$J65=0,"",对账补充行!$J65))</f>
        <v/>
      </c>
      <c r="T672" s="0" t="str">
        <f aca="false">IF(成本费用登记表!$D72="","",成本费用登记表!$D72)</f>
        <v/>
      </c>
      <c r="U672" s="0" t="n">
        <f aca="false">IF(T672="",0,IF(MATCH(T672,$T$4:$T$903,0)=ROW()-3,1,0))</f>
        <v>0</v>
      </c>
      <c r="V672" s="0" t="n">
        <f aca="false">N(V671)+U672</f>
        <v>30</v>
      </c>
    </row>
    <row r="673" customFormat="false" ht="13.5" hidden="false" customHeight="false" outlineLevel="0" collapsed="false">
      <c r="A673" s="0" t="str">
        <f aca="false">IF(资金日记账!$E371="","",资金日记账!$E371)</f>
        <v/>
      </c>
      <c r="B673" s="0" t="n">
        <f aca="false">IF(A673="",0,IF(MATCH(A673,$A$4:$A$1925,0)=ROW()-3,1,0))</f>
        <v>0</v>
      </c>
      <c r="C673" s="0" t="n">
        <f aca="false">N(C672)+B673</f>
        <v>11</v>
      </c>
      <c r="G673" s="0" t="n">
        <f aca="false">IF(OR($G$1="",对账补充行!$C66="",对账补充行!$C66&lt;&gt;$G$1),0,IF(NOT(OR(N(对账补充行!$H66)&lt;&gt;0,N(对账补充行!$I66)&lt;&gt;0)),0,IF(对账补充行!$B66="",1,IF(OR(N(对账补充行!$B66)&lt;$H$1,N(对账补充行!$B66)&gt;$I$1),0,1))))</f>
        <v>0</v>
      </c>
      <c r="H673" s="0" t="n">
        <f aca="false">N(H672)+$G673</f>
        <v>3</v>
      </c>
      <c r="I673" s="0" t="str">
        <f aca="false">IF($G673=0,"",IF(对账补充行!$B66=0,"",对账补充行!$B66))</f>
        <v/>
      </c>
      <c r="J673" s="0" t="str">
        <f aca="false">IF($G673=0,"",IF(对账补充行!$D66=0,"",对账补充行!$D66))</f>
        <v/>
      </c>
      <c r="K673" s="0" t="str">
        <f aca="false">IF($G673=0,"",IF(对账补充行!$E66=0,"",对账补充行!$E66))</f>
        <v/>
      </c>
      <c r="L673" s="0" t="str">
        <f aca="false">IF($G673=0,"",IF(对账补充行!$F66=0,"",对账补充行!$F66))</f>
        <v/>
      </c>
      <c r="M673" s="0" t="str">
        <f aca="false">IF($G673=0,"",IF(对账补充行!$G66=0,"",对账补充行!$G66))</f>
        <v/>
      </c>
      <c r="N673" s="0" t="str">
        <f aca="false">IF($G673=0,"",IF(对账补充行!$H66=0,"",对账补充行!$H66))</f>
        <v/>
      </c>
      <c r="O673" s="0" t="str">
        <f aca="false">IF($G673=0,"",IF(对账补充行!$I66=0,"",对账补充行!$I66))</f>
        <v/>
      </c>
      <c r="P673" s="0" t="str">
        <f aca="false">IF($G673=0,"",IF(对账补充行!$J66=0,"",对账补充行!$J66))</f>
        <v/>
      </c>
      <c r="T673" s="0" t="str">
        <f aca="false">IF(成本费用登记表!$D73="","",成本费用登记表!$D73)</f>
        <v/>
      </c>
      <c r="U673" s="0" t="n">
        <f aca="false">IF(T673="",0,IF(MATCH(T673,$T$4:$T$903,0)=ROW()-3,1,0))</f>
        <v>0</v>
      </c>
      <c r="V673" s="0" t="n">
        <f aca="false">N(V672)+U673</f>
        <v>30</v>
      </c>
    </row>
    <row r="674" customFormat="false" ht="13.5" hidden="false" customHeight="false" outlineLevel="0" collapsed="false">
      <c r="A674" s="0" t="str">
        <f aca="false">IF(资金日记账!$E372="","",资金日记账!$E372)</f>
        <v/>
      </c>
      <c r="B674" s="0" t="n">
        <f aca="false">IF(A674="",0,IF(MATCH(A674,$A$4:$A$1925,0)=ROW()-3,1,0))</f>
        <v>0</v>
      </c>
      <c r="C674" s="0" t="n">
        <f aca="false">N(C673)+B674</f>
        <v>11</v>
      </c>
      <c r="G674" s="0" t="n">
        <f aca="false">IF(OR($G$1="",对账补充行!$C67="",对账补充行!$C67&lt;&gt;$G$1),0,IF(NOT(OR(N(对账补充行!$H67)&lt;&gt;0,N(对账补充行!$I67)&lt;&gt;0)),0,IF(对账补充行!$B67="",1,IF(OR(N(对账补充行!$B67)&lt;$H$1,N(对账补充行!$B67)&gt;$I$1),0,1))))</f>
        <v>0</v>
      </c>
      <c r="H674" s="0" t="n">
        <f aca="false">N(H673)+$G674</f>
        <v>3</v>
      </c>
      <c r="I674" s="0" t="str">
        <f aca="false">IF($G674=0,"",IF(对账补充行!$B67=0,"",对账补充行!$B67))</f>
        <v/>
      </c>
      <c r="J674" s="0" t="str">
        <f aca="false">IF($G674=0,"",IF(对账补充行!$D67=0,"",对账补充行!$D67))</f>
        <v/>
      </c>
      <c r="K674" s="0" t="str">
        <f aca="false">IF($G674=0,"",IF(对账补充行!$E67=0,"",对账补充行!$E67))</f>
        <v/>
      </c>
      <c r="L674" s="0" t="str">
        <f aca="false">IF($G674=0,"",IF(对账补充行!$F67=0,"",对账补充行!$F67))</f>
        <v/>
      </c>
      <c r="M674" s="0" t="str">
        <f aca="false">IF($G674=0,"",IF(对账补充行!$G67=0,"",对账补充行!$G67))</f>
        <v/>
      </c>
      <c r="N674" s="0" t="str">
        <f aca="false">IF($G674=0,"",IF(对账补充行!$H67=0,"",对账补充行!$H67))</f>
        <v/>
      </c>
      <c r="O674" s="0" t="str">
        <f aca="false">IF($G674=0,"",IF(对账补充行!$I67=0,"",对账补充行!$I67))</f>
        <v/>
      </c>
      <c r="P674" s="0" t="str">
        <f aca="false">IF($G674=0,"",IF(对账补充行!$J67=0,"",对账补充行!$J67))</f>
        <v/>
      </c>
      <c r="T674" s="0" t="str">
        <f aca="false">IF(成本费用登记表!$D74="","",成本费用登记表!$D74)</f>
        <v/>
      </c>
      <c r="U674" s="0" t="n">
        <f aca="false">IF(T674="",0,IF(MATCH(T674,$T$4:$T$903,0)=ROW()-3,1,0))</f>
        <v>0</v>
      </c>
      <c r="V674" s="0" t="n">
        <f aca="false">N(V673)+U674</f>
        <v>30</v>
      </c>
    </row>
    <row r="675" customFormat="false" ht="13.5" hidden="false" customHeight="false" outlineLevel="0" collapsed="false">
      <c r="A675" s="0" t="str">
        <f aca="false">IF(资金日记账!$E373="","",资金日记账!$E373)</f>
        <v/>
      </c>
      <c r="B675" s="0" t="n">
        <f aca="false">IF(A675="",0,IF(MATCH(A675,$A$4:$A$1925,0)=ROW()-3,1,0))</f>
        <v>0</v>
      </c>
      <c r="C675" s="0" t="n">
        <f aca="false">N(C674)+B675</f>
        <v>11</v>
      </c>
      <c r="G675" s="0" t="n">
        <f aca="false">IF(OR($G$1="",对账补充行!$C68="",对账补充行!$C68&lt;&gt;$G$1),0,IF(NOT(OR(N(对账补充行!$H68)&lt;&gt;0,N(对账补充行!$I68)&lt;&gt;0)),0,IF(对账补充行!$B68="",1,IF(OR(N(对账补充行!$B68)&lt;$H$1,N(对账补充行!$B68)&gt;$I$1),0,1))))</f>
        <v>0</v>
      </c>
      <c r="H675" s="0" t="n">
        <f aca="false">N(H674)+$G675</f>
        <v>3</v>
      </c>
      <c r="I675" s="0" t="str">
        <f aca="false">IF($G675=0,"",IF(对账补充行!$B68=0,"",对账补充行!$B68))</f>
        <v/>
      </c>
      <c r="J675" s="0" t="str">
        <f aca="false">IF($G675=0,"",IF(对账补充行!$D68=0,"",对账补充行!$D68))</f>
        <v/>
      </c>
      <c r="K675" s="0" t="str">
        <f aca="false">IF($G675=0,"",IF(对账补充行!$E68=0,"",对账补充行!$E68))</f>
        <v/>
      </c>
      <c r="L675" s="0" t="str">
        <f aca="false">IF($G675=0,"",IF(对账补充行!$F68=0,"",对账补充行!$F68))</f>
        <v/>
      </c>
      <c r="M675" s="0" t="str">
        <f aca="false">IF($G675=0,"",IF(对账补充行!$G68=0,"",对账补充行!$G68))</f>
        <v/>
      </c>
      <c r="N675" s="0" t="str">
        <f aca="false">IF($G675=0,"",IF(对账补充行!$H68=0,"",对账补充行!$H68))</f>
        <v/>
      </c>
      <c r="O675" s="0" t="str">
        <f aca="false">IF($G675=0,"",IF(对账补充行!$I68=0,"",对账补充行!$I68))</f>
        <v/>
      </c>
      <c r="P675" s="0" t="str">
        <f aca="false">IF($G675=0,"",IF(对账补充行!$J68=0,"",对账补充行!$J68))</f>
        <v/>
      </c>
      <c r="T675" s="0" t="str">
        <f aca="false">IF(成本费用登记表!$D75="","",成本费用登记表!$D75)</f>
        <v/>
      </c>
      <c r="U675" s="0" t="n">
        <f aca="false">IF(T675="",0,IF(MATCH(T675,$T$4:$T$903,0)=ROW()-3,1,0))</f>
        <v>0</v>
      </c>
      <c r="V675" s="0" t="n">
        <f aca="false">N(V674)+U675</f>
        <v>30</v>
      </c>
    </row>
    <row r="676" customFormat="false" ht="13.5" hidden="false" customHeight="false" outlineLevel="0" collapsed="false">
      <c r="A676" s="0" t="str">
        <f aca="false">IF(资金日记账!$E374="","",资金日记账!$E374)</f>
        <v/>
      </c>
      <c r="B676" s="0" t="n">
        <f aca="false">IF(A676="",0,IF(MATCH(A676,$A$4:$A$1925,0)=ROW()-3,1,0))</f>
        <v>0</v>
      </c>
      <c r="C676" s="0" t="n">
        <f aca="false">N(C675)+B676</f>
        <v>11</v>
      </c>
      <c r="G676" s="0" t="n">
        <f aca="false">IF(OR($G$1="",对账补充行!$C69="",对账补充行!$C69&lt;&gt;$G$1),0,IF(NOT(OR(N(对账补充行!$H69)&lt;&gt;0,N(对账补充行!$I69)&lt;&gt;0)),0,IF(对账补充行!$B69="",1,IF(OR(N(对账补充行!$B69)&lt;$H$1,N(对账补充行!$B69)&gt;$I$1),0,1))))</f>
        <v>0</v>
      </c>
      <c r="H676" s="0" t="n">
        <f aca="false">N(H675)+$G676</f>
        <v>3</v>
      </c>
      <c r="I676" s="0" t="str">
        <f aca="false">IF($G676=0,"",IF(对账补充行!$B69=0,"",对账补充行!$B69))</f>
        <v/>
      </c>
      <c r="J676" s="0" t="str">
        <f aca="false">IF($G676=0,"",IF(对账补充行!$D69=0,"",对账补充行!$D69))</f>
        <v/>
      </c>
      <c r="K676" s="0" t="str">
        <f aca="false">IF($G676=0,"",IF(对账补充行!$E69=0,"",对账补充行!$E69))</f>
        <v/>
      </c>
      <c r="L676" s="0" t="str">
        <f aca="false">IF($G676=0,"",IF(对账补充行!$F69=0,"",对账补充行!$F69))</f>
        <v/>
      </c>
      <c r="M676" s="0" t="str">
        <f aca="false">IF($G676=0,"",IF(对账补充行!$G69=0,"",对账补充行!$G69))</f>
        <v/>
      </c>
      <c r="N676" s="0" t="str">
        <f aca="false">IF($G676=0,"",IF(对账补充行!$H69=0,"",对账补充行!$H69))</f>
        <v/>
      </c>
      <c r="O676" s="0" t="str">
        <f aca="false">IF($G676=0,"",IF(对账补充行!$I69=0,"",对账补充行!$I69))</f>
        <v/>
      </c>
      <c r="P676" s="0" t="str">
        <f aca="false">IF($G676=0,"",IF(对账补充行!$J69=0,"",对账补充行!$J69))</f>
        <v/>
      </c>
      <c r="T676" s="0" t="str">
        <f aca="false">IF(成本费用登记表!$D76="","",成本费用登记表!$D76)</f>
        <v/>
      </c>
      <c r="U676" s="0" t="n">
        <f aca="false">IF(T676="",0,IF(MATCH(T676,$T$4:$T$903,0)=ROW()-3,1,0))</f>
        <v>0</v>
      </c>
      <c r="V676" s="0" t="n">
        <f aca="false">N(V675)+U676</f>
        <v>30</v>
      </c>
    </row>
    <row r="677" customFormat="false" ht="13.5" hidden="false" customHeight="false" outlineLevel="0" collapsed="false">
      <c r="A677" s="0" t="str">
        <f aca="false">IF(资金日记账!$E375="","",资金日记账!$E375)</f>
        <v/>
      </c>
      <c r="B677" s="0" t="n">
        <f aca="false">IF(A677="",0,IF(MATCH(A677,$A$4:$A$1925,0)=ROW()-3,1,0))</f>
        <v>0</v>
      </c>
      <c r="C677" s="0" t="n">
        <f aca="false">N(C676)+B677</f>
        <v>11</v>
      </c>
      <c r="G677" s="0" t="n">
        <f aca="false">IF(OR($G$1="",对账补充行!$C70="",对账补充行!$C70&lt;&gt;$G$1),0,IF(NOT(OR(N(对账补充行!$H70)&lt;&gt;0,N(对账补充行!$I70)&lt;&gt;0)),0,IF(对账补充行!$B70="",1,IF(OR(N(对账补充行!$B70)&lt;$H$1,N(对账补充行!$B70)&gt;$I$1),0,1))))</f>
        <v>0</v>
      </c>
      <c r="H677" s="0" t="n">
        <f aca="false">N(H676)+$G677</f>
        <v>3</v>
      </c>
      <c r="I677" s="0" t="str">
        <f aca="false">IF($G677=0,"",IF(对账补充行!$B70=0,"",对账补充行!$B70))</f>
        <v/>
      </c>
      <c r="J677" s="0" t="str">
        <f aca="false">IF($G677=0,"",IF(对账补充行!$D70=0,"",对账补充行!$D70))</f>
        <v/>
      </c>
      <c r="K677" s="0" t="str">
        <f aca="false">IF($G677=0,"",IF(对账补充行!$E70=0,"",对账补充行!$E70))</f>
        <v/>
      </c>
      <c r="L677" s="0" t="str">
        <f aca="false">IF($G677=0,"",IF(对账补充行!$F70=0,"",对账补充行!$F70))</f>
        <v/>
      </c>
      <c r="M677" s="0" t="str">
        <f aca="false">IF($G677=0,"",IF(对账补充行!$G70=0,"",对账补充行!$G70))</f>
        <v/>
      </c>
      <c r="N677" s="0" t="str">
        <f aca="false">IF($G677=0,"",IF(对账补充行!$H70=0,"",对账补充行!$H70))</f>
        <v/>
      </c>
      <c r="O677" s="0" t="str">
        <f aca="false">IF($G677=0,"",IF(对账补充行!$I70=0,"",对账补充行!$I70))</f>
        <v/>
      </c>
      <c r="P677" s="0" t="str">
        <f aca="false">IF($G677=0,"",IF(对账补充行!$J70=0,"",对账补充行!$J70))</f>
        <v/>
      </c>
      <c r="T677" s="0" t="str">
        <f aca="false">IF(成本费用登记表!$D77="","",成本费用登记表!$D77)</f>
        <v/>
      </c>
      <c r="U677" s="0" t="n">
        <f aca="false">IF(T677="",0,IF(MATCH(T677,$T$4:$T$903,0)=ROW()-3,1,0))</f>
        <v>0</v>
      </c>
      <c r="V677" s="0" t="n">
        <f aca="false">N(V676)+U677</f>
        <v>30</v>
      </c>
    </row>
    <row r="678" customFormat="false" ht="13.5" hidden="false" customHeight="false" outlineLevel="0" collapsed="false">
      <c r="A678" s="0" t="str">
        <f aca="false">IF(资金日记账!$E376="","",资金日记账!$E376)</f>
        <v/>
      </c>
      <c r="B678" s="0" t="n">
        <f aca="false">IF(A678="",0,IF(MATCH(A678,$A$4:$A$1925,0)=ROW()-3,1,0))</f>
        <v>0</v>
      </c>
      <c r="C678" s="0" t="n">
        <f aca="false">N(C677)+B678</f>
        <v>11</v>
      </c>
      <c r="G678" s="0" t="n">
        <f aca="false">IF(OR($G$1="",对账补充行!$C71="",对账补充行!$C71&lt;&gt;$G$1),0,IF(NOT(OR(N(对账补充行!$H71)&lt;&gt;0,N(对账补充行!$I71)&lt;&gt;0)),0,IF(对账补充行!$B71="",1,IF(OR(N(对账补充行!$B71)&lt;$H$1,N(对账补充行!$B71)&gt;$I$1),0,1))))</f>
        <v>0</v>
      </c>
      <c r="H678" s="0" t="n">
        <f aca="false">N(H677)+$G678</f>
        <v>3</v>
      </c>
      <c r="I678" s="0" t="str">
        <f aca="false">IF($G678=0,"",IF(对账补充行!$B71=0,"",对账补充行!$B71))</f>
        <v/>
      </c>
      <c r="J678" s="0" t="str">
        <f aca="false">IF($G678=0,"",IF(对账补充行!$D71=0,"",对账补充行!$D71))</f>
        <v/>
      </c>
      <c r="K678" s="0" t="str">
        <f aca="false">IF($G678=0,"",IF(对账补充行!$E71=0,"",对账补充行!$E71))</f>
        <v/>
      </c>
      <c r="L678" s="0" t="str">
        <f aca="false">IF($G678=0,"",IF(对账补充行!$F71=0,"",对账补充行!$F71))</f>
        <v/>
      </c>
      <c r="M678" s="0" t="str">
        <f aca="false">IF($G678=0,"",IF(对账补充行!$G71=0,"",对账补充行!$G71))</f>
        <v/>
      </c>
      <c r="N678" s="0" t="str">
        <f aca="false">IF($G678=0,"",IF(对账补充行!$H71=0,"",对账补充行!$H71))</f>
        <v/>
      </c>
      <c r="O678" s="0" t="str">
        <f aca="false">IF($G678=0,"",IF(对账补充行!$I71=0,"",对账补充行!$I71))</f>
        <v/>
      </c>
      <c r="P678" s="0" t="str">
        <f aca="false">IF($G678=0,"",IF(对账补充行!$J71=0,"",对账补充行!$J71))</f>
        <v/>
      </c>
      <c r="T678" s="0" t="str">
        <f aca="false">IF(成本费用登记表!$D78="","",成本费用登记表!$D78)</f>
        <v/>
      </c>
      <c r="U678" s="0" t="n">
        <f aca="false">IF(T678="",0,IF(MATCH(T678,$T$4:$T$903,0)=ROW()-3,1,0))</f>
        <v>0</v>
      </c>
      <c r="V678" s="0" t="n">
        <f aca="false">N(V677)+U678</f>
        <v>30</v>
      </c>
    </row>
    <row r="679" customFormat="false" ht="13.5" hidden="false" customHeight="false" outlineLevel="0" collapsed="false">
      <c r="A679" s="0" t="str">
        <f aca="false">IF(资金日记账!$E377="","",资金日记账!$E377)</f>
        <v/>
      </c>
      <c r="B679" s="0" t="n">
        <f aca="false">IF(A679="",0,IF(MATCH(A679,$A$4:$A$1925,0)=ROW()-3,1,0))</f>
        <v>0</v>
      </c>
      <c r="C679" s="0" t="n">
        <f aca="false">N(C678)+B679</f>
        <v>11</v>
      </c>
      <c r="G679" s="0" t="n">
        <f aca="false">IF(OR($G$1="",对账补充行!$C72="",对账补充行!$C72&lt;&gt;$G$1),0,IF(NOT(OR(N(对账补充行!$H72)&lt;&gt;0,N(对账补充行!$I72)&lt;&gt;0)),0,IF(对账补充行!$B72="",1,IF(OR(N(对账补充行!$B72)&lt;$H$1,N(对账补充行!$B72)&gt;$I$1),0,1))))</f>
        <v>0</v>
      </c>
      <c r="H679" s="0" t="n">
        <f aca="false">N(H678)+$G679</f>
        <v>3</v>
      </c>
      <c r="I679" s="0" t="str">
        <f aca="false">IF($G679=0,"",IF(对账补充行!$B72=0,"",对账补充行!$B72))</f>
        <v/>
      </c>
      <c r="J679" s="0" t="str">
        <f aca="false">IF($G679=0,"",IF(对账补充行!$D72=0,"",对账补充行!$D72))</f>
        <v/>
      </c>
      <c r="K679" s="0" t="str">
        <f aca="false">IF($G679=0,"",IF(对账补充行!$E72=0,"",对账补充行!$E72))</f>
        <v/>
      </c>
      <c r="L679" s="0" t="str">
        <f aca="false">IF($G679=0,"",IF(对账补充行!$F72=0,"",对账补充行!$F72))</f>
        <v/>
      </c>
      <c r="M679" s="0" t="str">
        <f aca="false">IF($G679=0,"",IF(对账补充行!$G72=0,"",对账补充行!$G72))</f>
        <v/>
      </c>
      <c r="N679" s="0" t="str">
        <f aca="false">IF($G679=0,"",IF(对账补充行!$H72=0,"",对账补充行!$H72))</f>
        <v/>
      </c>
      <c r="O679" s="0" t="str">
        <f aca="false">IF($G679=0,"",IF(对账补充行!$I72=0,"",对账补充行!$I72))</f>
        <v/>
      </c>
      <c r="P679" s="0" t="str">
        <f aca="false">IF($G679=0,"",IF(对账补充行!$J72=0,"",对账补充行!$J72))</f>
        <v/>
      </c>
      <c r="T679" s="0" t="str">
        <f aca="false">IF(成本费用登记表!$D79="","",成本费用登记表!$D79)</f>
        <v/>
      </c>
      <c r="U679" s="0" t="n">
        <f aca="false">IF(T679="",0,IF(MATCH(T679,$T$4:$T$903,0)=ROW()-3,1,0))</f>
        <v>0</v>
      </c>
      <c r="V679" s="0" t="n">
        <f aca="false">N(V678)+U679</f>
        <v>30</v>
      </c>
    </row>
    <row r="680" customFormat="false" ht="13.5" hidden="false" customHeight="false" outlineLevel="0" collapsed="false">
      <c r="A680" s="0" t="str">
        <f aca="false">IF(资金日记账!$E378="","",资金日记账!$E378)</f>
        <v/>
      </c>
      <c r="B680" s="0" t="n">
        <f aca="false">IF(A680="",0,IF(MATCH(A680,$A$4:$A$1925,0)=ROW()-3,1,0))</f>
        <v>0</v>
      </c>
      <c r="C680" s="0" t="n">
        <f aca="false">N(C679)+B680</f>
        <v>11</v>
      </c>
      <c r="G680" s="0" t="n">
        <f aca="false">IF(OR($G$1="",对账补充行!$C73="",对账补充行!$C73&lt;&gt;$G$1),0,IF(NOT(OR(N(对账补充行!$H73)&lt;&gt;0,N(对账补充行!$I73)&lt;&gt;0)),0,IF(对账补充行!$B73="",1,IF(OR(N(对账补充行!$B73)&lt;$H$1,N(对账补充行!$B73)&gt;$I$1),0,1))))</f>
        <v>0</v>
      </c>
      <c r="H680" s="0" t="n">
        <f aca="false">N(H679)+$G680</f>
        <v>3</v>
      </c>
      <c r="I680" s="0" t="str">
        <f aca="false">IF($G680=0,"",IF(对账补充行!$B73=0,"",对账补充行!$B73))</f>
        <v/>
      </c>
      <c r="J680" s="0" t="str">
        <f aca="false">IF($G680=0,"",IF(对账补充行!$D73=0,"",对账补充行!$D73))</f>
        <v/>
      </c>
      <c r="K680" s="0" t="str">
        <f aca="false">IF($G680=0,"",IF(对账补充行!$E73=0,"",对账补充行!$E73))</f>
        <v/>
      </c>
      <c r="L680" s="0" t="str">
        <f aca="false">IF($G680=0,"",IF(对账补充行!$F73=0,"",对账补充行!$F73))</f>
        <v/>
      </c>
      <c r="M680" s="0" t="str">
        <f aca="false">IF($G680=0,"",IF(对账补充行!$G73=0,"",对账补充行!$G73))</f>
        <v/>
      </c>
      <c r="N680" s="0" t="str">
        <f aca="false">IF($G680=0,"",IF(对账补充行!$H73=0,"",对账补充行!$H73))</f>
        <v/>
      </c>
      <c r="O680" s="0" t="str">
        <f aca="false">IF($G680=0,"",IF(对账补充行!$I73=0,"",对账补充行!$I73))</f>
        <v/>
      </c>
      <c r="P680" s="0" t="str">
        <f aca="false">IF($G680=0,"",IF(对账补充行!$J73=0,"",对账补充行!$J73))</f>
        <v/>
      </c>
      <c r="T680" s="0" t="str">
        <f aca="false">IF(成本费用登记表!$D80="","",成本费用登记表!$D80)</f>
        <v/>
      </c>
      <c r="U680" s="0" t="n">
        <f aca="false">IF(T680="",0,IF(MATCH(T680,$T$4:$T$903,0)=ROW()-3,1,0))</f>
        <v>0</v>
      </c>
      <c r="V680" s="0" t="n">
        <f aca="false">N(V679)+U680</f>
        <v>30</v>
      </c>
    </row>
    <row r="681" customFormat="false" ht="13.5" hidden="false" customHeight="false" outlineLevel="0" collapsed="false">
      <c r="A681" s="0" t="str">
        <f aca="false">IF(资金日记账!$E379="","",资金日记账!$E379)</f>
        <v/>
      </c>
      <c r="B681" s="0" t="n">
        <f aca="false">IF(A681="",0,IF(MATCH(A681,$A$4:$A$1925,0)=ROW()-3,1,0))</f>
        <v>0</v>
      </c>
      <c r="C681" s="0" t="n">
        <f aca="false">N(C680)+B681</f>
        <v>11</v>
      </c>
      <c r="G681" s="0" t="n">
        <f aca="false">IF(OR($G$1="",对账补充行!$C74="",对账补充行!$C74&lt;&gt;$G$1),0,IF(NOT(OR(N(对账补充行!$H74)&lt;&gt;0,N(对账补充行!$I74)&lt;&gt;0)),0,IF(对账补充行!$B74="",1,IF(OR(N(对账补充行!$B74)&lt;$H$1,N(对账补充行!$B74)&gt;$I$1),0,1))))</f>
        <v>0</v>
      </c>
      <c r="H681" s="0" t="n">
        <f aca="false">N(H680)+$G681</f>
        <v>3</v>
      </c>
      <c r="I681" s="0" t="str">
        <f aca="false">IF($G681=0,"",IF(对账补充行!$B74=0,"",对账补充行!$B74))</f>
        <v/>
      </c>
      <c r="J681" s="0" t="str">
        <f aca="false">IF($G681=0,"",IF(对账补充行!$D74=0,"",对账补充行!$D74))</f>
        <v/>
      </c>
      <c r="K681" s="0" t="str">
        <f aca="false">IF($G681=0,"",IF(对账补充行!$E74=0,"",对账补充行!$E74))</f>
        <v/>
      </c>
      <c r="L681" s="0" t="str">
        <f aca="false">IF($G681=0,"",IF(对账补充行!$F74=0,"",对账补充行!$F74))</f>
        <v/>
      </c>
      <c r="M681" s="0" t="str">
        <f aca="false">IF($G681=0,"",IF(对账补充行!$G74=0,"",对账补充行!$G74))</f>
        <v/>
      </c>
      <c r="N681" s="0" t="str">
        <f aca="false">IF($G681=0,"",IF(对账补充行!$H74=0,"",对账补充行!$H74))</f>
        <v/>
      </c>
      <c r="O681" s="0" t="str">
        <f aca="false">IF($G681=0,"",IF(对账补充行!$I74=0,"",对账补充行!$I74))</f>
        <v/>
      </c>
      <c r="P681" s="0" t="str">
        <f aca="false">IF($G681=0,"",IF(对账补充行!$J74=0,"",对账补充行!$J74))</f>
        <v/>
      </c>
      <c r="T681" s="0" t="str">
        <f aca="false">IF(成本费用登记表!$D81="","",成本费用登记表!$D81)</f>
        <v/>
      </c>
      <c r="U681" s="0" t="n">
        <f aca="false">IF(T681="",0,IF(MATCH(T681,$T$4:$T$903,0)=ROW()-3,1,0))</f>
        <v>0</v>
      </c>
      <c r="V681" s="0" t="n">
        <f aca="false">N(V680)+U681</f>
        <v>30</v>
      </c>
    </row>
    <row r="682" customFormat="false" ht="13.5" hidden="false" customHeight="false" outlineLevel="0" collapsed="false">
      <c r="A682" s="0" t="str">
        <f aca="false">IF(资金日记账!$E380="","",资金日记账!$E380)</f>
        <v/>
      </c>
      <c r="B682" s="0" t="n">
        <f aca="false">IF(A682="",0,IF(MATCH(A682,$A$4:$A$1925,0)=ROW()-3,1,0))</f>
        <v>0</v>
      </c>
      <c r="C682" s="0" t="n">
        <f aca="false">N(C681)+B682</f>
        <v>11</v>
      </c>
      <c r="G682" s="0" t="n">
        <f aca="false">IF(OR($G$1="",对账补充行!$C75="",对账补充行!$C75&lt;&gt;$G$1),0,IF(NOT(OR(N(对账补充行!$H75)&lt;&gt;0,N(对账补充行!$I75)&lt;&gt;0)),0,IF(对账补充行!$B75="",1,IF(OR(N(对账补充行!$B75)&lt;$H$1,N(对账补充行!$B75)&gt;$I$1),0,1))))</f>
        <v>0</v>
      </c>
      <c r="H682" s="0" t="n">
        <f aca="false">N(H681)+$G682</f>
        <v>3</v>
      </c>
      <c r="I682" s="0" t="str">
        <f aca="false">IF($G682=0,"",IF(对账补充行!$B75=0,"",对账补充行!$B75))</f>
        <v/>
      </c>
      <c r="J682" s="0" t="str">
        <f aca="false">IF($G682=0,"",IF(对账补充行!$D75=0,"",对账补充行!$D75))</f>
        <v/>
      </c>
      <c r="K682" s="0" t="str">
        <f aca="false">IF($G682=0,"",IF(对账补充行!$E75=0,"",对账补充行!$E75))</f>
        <v/>
      </c>
      <c r="L682" s="0" t="str">
        <f aca="false">IF($G682=0,"",IF(对账补充行!$F75=0,"",对账补充行!$F75))</f>
        <v/>
      </c>
      <c r="M682" s="0" t="str">
        <f aca="false">IF($G682=0,"",IF(对账补充行!$G75=0,"",对账补充行!$G75))</f>
        <v/>
      </c>
      <c r="N682" s="0" t="str">
        <f aca="false">IF($G682=0,"",IF(对账补充行!$H75=0,"",对账补充行!$H75))</f>
        <v/>
      </c>
      <c r="O682" s="0" t="str">
        <f aca="false">IF($G682=0,"",IF(对账补充行!$I75=0,"",对账补充行!$I75))</f>
        <v/>
      </c>
      <c r="P682" s="0" t="str">
        <f aca="false">IF($G682=0,"",IF(对账补充行!$J75=0,"",对账补充行!$J75))</f>
        <v/>
      </c>
      <c r="T682" s="0" t="str">
        <f aca="false">IF(成本费用登记表!$D82="","",成本费用登记表!$D82)</f>
        <v/>
      </c>
      <c r="U682" s="0" t="n">
        <f aca="false">IF(T682="",0,IF(MATCH(T682,$T$4:$T$903,0)=ROW()-3,1,0))</f>
        <v>0</v>
      </c>
      <c r="V682" s="0" t="n">
        <f aca="false">N(V681)+U682</f>
        <v>30</v>
      </c>
    </row>
    <row r="683" customFormat="false" ht="13.5" hidden="false" customHeight="false" outlineLevel="0" collapsed="false">
      <c r="A683" s="0" t="str">
        <f aca="false">IF(资金日记账!$E381="","",资金日记账!$E381)</f>
        <v/>
      </c>
      <c r="B683" s="0" t="n">
        <f aca="false">IF(A683="",0,IF(MATCH(A683,$A$4:$A$1925,0)=ROW()-3,1,0))</f>
        <v>0</v>
      </c>
      <c r="C683" s="0" t="n">
        <f aca="false">N(C682)+B683</f>
        <v>11</v>
      </c>
      <c r="G683" s="0" t="n">
        <f aca="false">IF(OR($G$1="",对账补充行!$C76="",对账补充行!$C76&lt;&gt;$G$1),0,IF(NOT(OR(N(对账补充行!$H76)&lt;&gt;0,N(对账补充行!$I76)&lt;&gt;0)),0,IF(对账补充行!$B76="",1,IF(OR(N(对账补充行!$B76)&lt;$H$1,N(对账补充行!$B76)&gt;$I$1),0,1))))</f>
        <v>0</v>
      </c>
      <c r="H683" s="0" t="n">
        <f aca="false">N(H682)+$G683</f>
        <v>3</v>
      </c>
      <c r="I683" s="0" t="str">
        <f aca="false">IF($G683=0,"",IF(对账补充行!$B76=0,"",对账补充行!$B76))</f>
        <v/>
      </c>
      <c r="J683" s="0" t="str">
        <f aca="false">IF($G683=0,"",IF(对账补充行!$D76=0,"",对账补充行!$D76))</f>
        <v/>
      </c>
      <c r="K683" s="0" t="str">
        <f aca="false">IF($G683=0,"",IF(对账补充行!$E76=0,"",对账补充行!$E76))</f>
        <v/>
      </c>
      <c r="L683" s="0" t="str">
        <f aca="false">IF($G683=0,"",IF(对账补充行!$F76=0,"",对账补充行!$F76))</f>
        <v/>
      </c>
      <c r="M683" s="0" t="str">
        <f aca="false">IF($G683=0,"",IF(对账补充行!$G76=0,"",对账补充行!$G76))</f>
        <v/>
      </c>
      <c r="N683" s="0" t="str">
        <f aca="false">IF($G683=0,"",IF(对账补充行!$H76=0,"",对账补充行!$H76))</f>
        <v/>
      </c>
      <c r="O683" s="0" t="str">
        <f aca="false">IF($G683=0,"",IF(对账补充行!$I76=0,"",对账补充行!$I76))</f>
        <v/>
      </c>
      <c r="P683" s="0" t="str">
        <f aca="false">IF($G683=0,"",IF(对账补充行!$J76=0,"",对账补充行!$J76))</f>
        <v/>
      </c>
      <c r="T683" s="0" t="str">
        <f aca="false">IF(成本费用登记表!$D83="","",成本费用登记表!$D83)</f>
        <v/>
      </c>
      <c r="U683" s="0" t="n">
        <f aca="false">IF(T683="",0,IF(MATCH(T683,$T$4:$T$903,0)=ROW()-3,1,0))</f>
        <v>0</v>
      </c>
      <c r="V683" s="0" t="n">
        <f aca="false">N(V682)+U683</f>
        <v>30</v>
      </c>
    </row>
    <row r="684" customFormat="false" ht="13.5" hidden="false" customHeight="false" outlineLevel="0" collapsed="false">
      <c r="A684" s="0" t="str">
        <f aca="false">IF(资金日记账!$E382="","",资金日记账!$E382)</f>
        <v/>
      </c>
      <c r="B684" s="0" t="n">
        <f aca="false">IF(A684="",0,IF(MATCH(A684,$A$4:$A$1925,0)=ROW()-3,1,0))</f>
        <v>0</v>
      </c>
      <c r="C684" s="0" t="n">
        <f aca="false">N(C683)+B684</f>
        <v>11</v>
      </c>
      <c r="G684" s="0" t="n">
        <f aca="false">IF(OR($G$1="",对账补充行!$C77="",对账补充行!$C77&lt;&gt;$G$1),0,IF(NOT(OR(N(对账补充行!$H77)&lt;&gt;0,N(对账补充行!$I77)&lt;&gt;0)),0,IF(对账补充行!$B77="",1,IF(OR(N(对账补充行!$B77)&lt;$H$1,N(对账补充行!$B77)&gt;$I$1),0,1))))</f>
        <v>0</v>
      </c>
      <c r="H684" s="0" t="n">
        <f aca="false">N(H683)+$G684</f>
        <v>3</v>
      </c>
      <c r="I684" s="0" t="str">
        <f aca="false">IF($G684=0,"",IF(对账补充行!$B77=0,"",对账补充行!$B77))</f>
        <v/>
      </c>
      <c r="J684" s="0" t="str">
        <f aca="false">IF($G684=0,"",IF(对账补充行!$D77=0,"",对账补充行!$D77))</f>
        <v/>
      </c>
      <c r="K684" s="0" t="str">
        <f aca="false">IF($G684=0,"",IF(对账补充行!$E77=0,"",对账补充行!$E77))</f>
        <v/>
      </c>
      <c r="L684" s="0" t="str">
        <f aca="false">IF($G684=0,"",IF(对账补充行!$F77=0,"",对账补充行!$F77))</f>
        <v/>
      </c>
      <c r="M684" s="0" t="str">
        <f aca="false">IF($G684=0,"",IF(对账补充行!$G77=0,"",对账补充行!$G77))</f>
        <v/>
      </c>
      <c r="N684" s="0" t="str">
        <f aca="false">IF($G684=0,"",IF(对账补充行!$H77=0,"",对账补充行!$H77))</f>
        <v/>
      </c>
      <c r="O684" s="0" t="str">
        <f aca="false">IF($G684=0,"",IF(对账补充行!$I77=0,"",对账补充行!$I77))</f>
        <v/>
      </c>
      <c r="P684" s="0" t="str">
        <f aca="false">IF($G684=0,"",IF(对账补充行!$J77=0,"",对账补充行!$J77))</f>
        <v/>
      </c>
      <c r="T684" s="0" t="str">
        <f aca="false">IF(成本费用登记表!$D84="","",成本费用登记表!$D84)</f>
        <v/>
      </c>
      <c r="U684" s="0" t="n">
        <f aca="false">IF(T684="",0,IF(MATCH(T684,$T$4:$T$903,0)=ROW()-3,1,0))</f>
        <v>0</v>
      </c>
      <c r="V684" s="0" t="n">
        <f aca="false">N(V683)+U684</f>
        <v>30</v>
      </c>
    </row>
    <row r="685" customFormat="false" ht="13.5" hidden="false" customHeight="false" outlineLevel="0" collapsed="false">
      <c r="A685" s="0" t="str">
        <f aca="false">IF(资金日记账!$E383="","",资金日记账!$E383)</f>
        <v/>
      </c>
      <c r="B685" s="0" t="n">
        <f aca="false">IF(A685="",0,IF(MATCH(A685,$A$4:$A$1925,0)=ROW()-3,1,0))</f>
        <v>0</v>
      </c>
      <c r="C685" s="0" t="n">
        <f aca="false">N(C684)+B685</f>
        <v>11</v>
      </c>
      <c r="G685" s="0" t="n">
        <f aca="false">IF(OR($G$1="",对账补充行!$C78="",对账补充行!$C78&lt;&gt;$G$1),0,IF(NOT(OR(N(对账补充行!$H78)&lt;&gt;0,N(对账补充行!$I78)&lt;&gt;0)),0,IF(对账补充行!$B78="",1,IF(OR(N(对账补充行!$B78)&lt;$H$1,N(对账补充行!$B78)&gt;$I$1),0,1))))</f>
        <v>0</v>
      </c>
      <c r="H685" s="0" t="n">
        <f aca="false">N(H684)+$G685</f>
        <v>3</v>
      </c>
      <c r="I685" s="0" t="str">
        <f aca="false">IF($G685=0,"",IF(对账补充行!$B78=0,"",对账补充行!$B78))</f>
        <v/>
      </c>
      <c r="J685" s="0" t="str">
        <f aca="false">IF($G685=0,"",IF(对账补充行!$D78=0,"",对账补充行!$D78))</f>
        <v/>
      </c>
      <c r="K685" s="0" t="str">
        <f aca="false">IF($G685=0,"",IF(对账补充行!$E78=0,"",对账补充行!$E78))</f>
        <v/>
      </c>
      <c r="L685" s="0" t="str">
        <f aca="false">IF($G685=0,"",IF(对账补充行!$F78=0,"",对账补充行!$F78))</f>
        <v/>
      </c>
      <c r="M685" s="0" t="str">
        <f aca="false">IF($G685=0,"",IF(对账补充行!$G78=0,"",对账补充行!$G78))</f>
        <v/>
      </c>
      <c r="N685" s="0" t="str">
        <f aca="false">IF($G685=0,"",IF(对账补充行!$H78=0,"",对账补充行!$H78))</f>
        <v/>
      </c>
      <c r="O685" s="0" t="str">
        <f aca="false">IF($G685=0,"",IF(对账补充行!$I78=0,"",对账补充行!$I78))</f>
        <v/>
      </c>
      <c r="P685" s="0" t="str">
        <f aca="false">IF($G685=0,"",IF(对账补充行!$J78=0,"",对账补充行!$J78))</f>
        <v/>
      </c>
      <c r="T685" s="0" t="str">
        <f aca="false">IF(成本费用登记表!$D85="","",成本费用登记表!$D85)</f>
        <v/>
      </c>
      <c r="U685" s="0" t="n">
        <f aca="false">IF(T685="",0,IF(MATCH(T685,$T$4:$T$903,0)=ROW()-3,1,0))</f>
        <v>0</v>
      </c>
      <c r="V685" s="0" t="n">
        <f aca="false">N(V684)+U685</f>
        <v>30</v>
      </c>
    </row>
    <row r="686" customFormat="false" ht="13.5" hidden="false" customHeight="false" outlineLevel="0" collapsed="false">
      <c r="A686" s="0" t="str">
        <f aca="false">IF(资金日记账!$E384="","",资金日记账!$E384)</f>
        <v/>
      </c>
      <c r="B686" s="0" t="n">
        <f aca="false">IF(A686="",0,IF(MATCH(A686,$A$4:$A$1925,0)=ROW()-3,1,0))</f>
        <v>0</v>
      </c>
      <c r="C686" s="0" t="n">
        <f aca="false">N(C685)+B686</f>
        <v>11</v>
      </c>
      <c r="G686" s="0" t="n">
        <f aca="false">IF(OR($G$1="",对账补充行!$C79="",对账补充行!$C79&lt;&gt;$G$1),0,IF(NOT(OR(N(对账补充行!$H79)&lt;&gt;0,N(对账补充行!$I79)&lt;&gt;0)),0,IF(对账补充行!$B79="",1,IF(OR(N(对账补充行!$B79)&lt;$H$1,N(对账补充行!$B79)&gt;$I$1),0,1))))</f>
        <v>0</v>
      </c>
      <c r="H686" s="0" t="n">
        <f aca="false">N(H685)+$G686</f>
        <v>3</v>
      </c>
      <c r="I686" s="0" t="str">
        <f aca="false">IF($G686=0,"",IF(对账补充行!$B79=0,"",对账补充行!$B79))</f>
        <v/>
      </c>
      <c r="J686" s="0" t="str">
        <f aca="false">IF($G686=0,"",IF(对账补充行!$D79=0,"",对账补充行!$D79))</f>
        <v/>
      </c>
      <c r="K686" s="0" t="str">
        <f aca="false">IF($G686=0,"",IF(对账补充行!$E79=0,"",对账补充行!$E79))</f>
        <v/>
      </c>
      <c r="L686" s="0" t="str">
        <f aca="false">IF($G686=0,"",IF(对账补充行!$F79=0,"",对账补充行!$F79))</f>
        <v/>
      </c>
      <c r="M686" s="0" t="str">
        <f aca="false">IF($G686=0,"",IF(对账补充行!$G79=0,"",对账补充行!$G79))</f>
        <v/>
      </c>
      <c r="N686" s="0" t="str">
        <f aca="false">IF($G686=0,"",IF(对账补充行!$H79=0,"",对账补充行!$H79))</f>
        <v/>
      </c>
      <c r="O686" s="0" t="str">
        <f aca="false">IF($G686=0,"",IF(对账补充行!$I79=0,"",对账补充行!$I79))</f>
        <v/>
      </c>
      <c r="P686" s="0" t="str">
        <f aca="false">IF($G686=0,"",IF(对账补充行!$J79=0,"",对账补充行!$J79))</f>
        <v/>
      </c>
      <c r="T686" s="0" t="str">
        <f aca="false">IF(成本费用登记表!$D86="","",成本费用登记表!$D86)</f>
        <v/>
      </c>
      <c r="U686" s="0" t="n">
        <f aca="false">IF(T686="",0,IF(MATCH(T686,$T$4:$T$903,0)=ROW()-3,1,0))</f>
        <v>0</v>
      </c>
      <c r="V686" s="0" t="n">
        <f aca="false">N(V685)+U686</f>
        <v>30</v>
      </c>
    </row>
    <row r="687" customFormat="false" ht="13.5" hidden="false" customHeight="false" outlineLevel="0" collapsed="false">
      <c r="A687" s="0" t="str">
        <f aca="false">IF(资金日记账!$E385="","",资金日记账!$E385)</f>
        <v/>
      </c>
      <c r="B687" s="0" t="n">
        <f aca="false">IF(A687="",0,IF(MATCH(A687,$A$4:$A$1925,0)=ROW()-3,1,0))</f>
        <v>0</v>
      </c>
      <c r="C687" s="0" t="n">
        <f aca="false">N(C686)+B687</f>
        <v>11</v>
      </c>
      <c r="G687" s="0" t="n">
        <f aca="false">IF(OR($G$1="",对账补充行!$C80="",对账补充行!$C80&lt;&gt;$G$1),0,IF(NOT(OR(N(对账补充行!$H80)&lt;&gt;0,N(对账补充行!$I80)&lt;&gt;0)),0,IF(对账补充行!$B80="",1,IF(OR(N(对账补充行!$B80)&lt;$H$1,N(对账补充行!$B80)&gt;$I$1),0,1))))</f>
        <v>0</v>
      </c>
      <c r="H687" s="0" t="n">
        <f aca="false">N(H686)+$G687</f>
        <v>3</v>
      </c>
      <c r="I687" s="0" t="str">
        <f aca="false">IF($G687=0,"",IF(对账补充行!$B80=0,"",对账补充行!$B80))</f>
        <v/>
      </c>
      <c r="J687" s="0" t="str">
        <f aca="false">IF($G687=0,"",IF(对账补充行!$D80=0,"",对账补充行!$D80))</f>
        <v/>
      </c>
      <c r="K687" s="0" t="str">
        <f aca="false">IF($G687=0,"",IF(对账补充行!$E80=0,"",对账补充行!$E80))</f>
        <v/>
      </c>
      <c r="L687" s="0" t="str">
        <f aca="false">IF($G687=0,"",IF(对账补充行!$F80=0,"",对账补充行!$F80))</f>
        <v/>
      </c>
      <c r="M687" s="0" t="str">
        <f aca="false">IF($G687=0,"",IF(对账补充行!$G80=0,"",对账补充行!$G80))</f>
        <v/>
      </c>
      <c r="N687" s="0" t="str">
        <f aca="false">IF($G687=0,"",IF(对账补充行!$H80=0,"",对账补充行!$H80))</f>
        <v/>
      </c>
      <c r="O687" s="0" t="str">
        <f aca="false">IF($G687=0,"",IF(对账补充行!$I80=0,"",对账补充行!$I80))</f>
        <v/>
      </c>
      <c r="P687" s="0" t="str">
        <f aca="false">IF($G687=0,"",IF(对账补充行!$J80=0,"",对账补充行!$J80))</f>
        <v/>
      </c>
      <c r="T687" s="0" t="str">
        <f aca="false">IF(成本费用登记表!$D87="","",成本费用登记表!$D87)</f>
        <v/>
      </c>
      <c r="U687" s="0" t="n">
        <f aca="false">IF(T687="",0,IF(MATCH(T687,$T$4:$T$903,0)=ROW()-3,1,0))</f>
        <v>0</v>
      </c>
      <c r="V687" s="0" t="n">
        <f aca="false">N(V686)+U687</f>
        <v>30</v>
      </c>
    </row>
    <row r="688" customFormat="false" ht="13.5" hidden="false" customHeight="false" outlineLevel="0" collapsed="false">
      <c r="A688" s="0" t="str">
        <f aca="false">IF(资金日记账!$E386="","",资金日记账!$E386)</f>
        <v/>
      </c>
      <c r="B688" s="0" t="n">
        <f aca="false">IF(A688="",0,IF(MATCH(A688,$A$4:$A$1925,0)=ROW()-3,1,0))</f>
        <v>0</v>
      </c>
      <c r="C688" s="0" t="n">
        <f aca="false">N(C687)+B688</f>
        <v>11</v>
      </c>
      <c r="G688" s="0" t="n">
        <f aca="false">IF(OR($G$1="",对账补充行!$C81="",对账补充行!$C81&lt;&gt;$G$1),0,IF(NOT(OR(N(对账补充行!$H81)&lt;&gt;0,N(对账补充行!$I81)&lt;&gt;0)),0,IF(对账补充行!$B81="",1,IF(OR(N(对账补充行!$B81)&lt;$H$1,N(对账补充行!$B81)&gt;$I$1),0,1))))</f>
        <v>0</v>
      </c>
      <c r="H688" s="0" t="n">
        <f aca="false">N(H687)+$G688</f>
        <v>3</v>
      </c>
      <c r="I688" s="0" t="str">
        <f aca="false">IF($G688=0,"",IF(对账补充行!$B81=0,"",对账补充行!$B81))</f>
        <v/>
      </c>
      <c r="J688" s="0" t="str">
        <f aca="false">IF($G688=0,"",IF(对账补充行!$D81=0,"",对账补充行!$D81))</f>
        <v/>
      </c>
      <c r="K688" s="0" t="str">
        <f aca="false">IF($G688=0,"",IF(对账补充行!$E81=0,"",对账补充行!$E81))</f>
        <v/>
      </c>
      <c r="L688" s="0" t="str">
        <f aca="false">IF($G688=0,"",IF(对账补充行!$F81=0,"",对账补充行!$F81))</f>
        <v/>
      </c>
      <c r="M688" s="0" t="str">
        <f aca="false">IF($G688=0,"",IF(对账补充行!$G81=0,"",对账补充行!$G81))</f>
        <v/>
      </c>
      <c r="N688" s="0" t="str">
        <f aca="false">IF($G688=0,"",IF(对账补充行!$H81=0,"",对账补充行!$H81))</f>
        <v/>
      </c>
      <c r="O688" s="0" t="str">
        <f aca="false">IF($G688=0,"",IF(对账补充行!$I81=0,"",对账补充行!$I81))</f>
        <v/>
      </c>
      <c r="P688" s="0" t="str">
        <f aca="false">IF($G688=0,"",IF(对账补充行!$J81=0,"",对账补充行!$J81))</f>
        <v/>
      </c>
      <c r="T688" s="0" t="str">
        <f aca="false">IF(成本费用登记表!$D88="","",成本费用登记表!$D88)</f>
        <v/>
      </c>
      <c r="U688" s="0" t="n">
        <f aca="false">IF(T688="",0,IF(MATCH(T688,$T$4:$T$903,0)=ROW()-3,1,0))</f>
        <v>0</v>
      </c>
      <c r="V688" s="0" t="n">
        <f aca="false">N(V687)+U688</f>
        <v>30</v>
      </c>
    </row>
    <row r="689" customFormat="false" ht="13.5" hidden="false" customHeight="false" outlineLevel="0" collapsed="false">
      <c r="A689" s="0" t="str">
        <f aca="false">IF(资金日记账!$E387="","",资金日记账!$E387)</f>
        <v/>
      </c>
      <c r="B689" s="0" t="n">
        <f aca="false">IF(A689="",0,IF(MATCH(A689,$A$4:$A$1925,0)=ROW()-3,1,0))</f>
        <v>0</v>
      </c>
      <c r="C689" s="0" t="n">
        <f aca="false">N(C688)+B689</f>
        <v>11</v>
      </c>
      <c r="G689" s="0" t="n">
        <f aca="false">IF(OR($G$1="",对账补充行!$C82="",对账补充行!$C82&lt;&gt;$G$1),0,IF(NOT(OR(N(对账补充行!$H82)&lt;&gt;0,N(对账补充行!$I82)&lt;&gt;0)),0,IF(对账补充行!$B82="",1,IF(OR(N(对账补充行!$B82)&lt;$H$1,N(对账补充行!$B82)&gt;$I$1),0,1))))</f>
        <v>0</v>
      </c>
      <c r="H689" s="0" t="n">
        <f aca="false">N(H688)+$G689</f>
        <v>3</v>
      </c>
      <c r="I689" s="0" t="str">
        <f aca="false">IF($G689=0,"",IF(对账补充行!$B82=0,"",对账补充行!$B82))</f>
        <v/>
      </c>
      <c r="J689" s="0" t="str">
        <f aca="false">IF($G689=0,"",IF(对账补充行!$D82=0,"",对账补充行!$D82))</f>
        <v/>
      </c>
      <c r="K689" s="0" t="str">
        <f aca="false">IF($G689=0,"",IF(对账补充行!$E82=0,"",对账补充行!$E82))</f>
        <v/>
      </c>
      <c r="L689" s="0" t="str">
        <f aca="false">IF($G689=0,"",IF(对账补充行!$F82=0,"",对账补充行!$F82))</f>
        <v/>
      </c>
      <c r="M689" s="0" t="str">
        <f aca="false">IF($G689=0,"",IF(对账补充行!$G82=0,"",对账补充行!$G82))</f>
        <v/>
      </c>
      <c r="N689" s="0" t="str">
        <f aca="false">IF($G689=0,"",IF(对账补充行!$H82=0,"",对账补充行!$H82))</f>
        <v/>
      </c>
      <c r="O689" s="0" t="str">
        <f aca="false">IF($G689=0,"",IF(对账补充行!$I82=0,"",对账补充行!$I82))</f>
        <v/>
      </c>
      <c r="P689" s="0" t="str">
        <f aca="false">IF($G689=0,"",IF(对账补充行!$J82=0,"",对账补充行!$J82))</f>
        <v/>
      </c>
      <c r="T689" s="0" t="str">
        <f aca="false">IF(成本费用登记表!$D89="","",成本费用登记表!$D89)</f>
        <v/>
      </c>
      <c r="U689" s="0" t="n">
        <f aca="false">IF(T689="",0,IF(MATCH(T689,$T$4:$T$903,0)=ROW()-3,1,0))</f>
        <v>0</v>
      </c>
      <c r="V689" s="0" t="n">
        <f aca="false">N(V688)+U689</f>
        <v>30</v>
      </c>
    </row>
    <row r="690" customFormat="false" ht="13.5" hidden="false" customHeight="false" outlineLevel="0" collapsed="false">
      <c r="A690" s="0" t="str">
        <f aca="false">IF(资金日记账!$E388="","",资金日记账!$E388)</f>
        <v/>
      </c>
      <c r="B690" s="0" t="n">
        <f aca="false">IF(A690="",0,IF(MATCH(A690,$A$4:$A$1925,0)=ROW()-3,1,0))</f>
        <v>0</v>
      </c>
      <c r="C690" s="0" t="n">
        <f aca="false">N(C689)+B690</f>
        <v>11</v>
      </c>
      <c r="G690" s="0" t="n">
        <f aca="false">IF(OR($G$1="",对账补充行!$C83="",对账补充行!$C83&lt;&gt;$G$1),0,IF(NOT(OR(N(对账补充行!$H83)&lt;&gt;0,N(对账补充行!$I83)&lt;&gt;0)),0,IF(对账补充行!$B83="",1,IF(OR(N(对账补充行!$B83)&lt;$H$1,N(对账补充行!$B83)&gt;$I$1),0,1))))</f>
        <v>0</v>
      </c>
      <c r="H690" s="0" t="n">
        <f aca="false">N(H689)+$G690</f>
        <v>3</v>
      </c>
      <c r="I690" s="0" t="str">
        <f aca="false">IF($G690=0,"",IF(对账补充行!$B83=0,"",对账补充行!$B83))</f>
        <v/>
      </c>
      <c r="J690" s="0" t="str">
        <f aca="false">IF($G690=0,"",IF(对账补充行!$D83=0,"",对账补充行!$D83))</f>
        <v/>
      </c>
      <c r="K690" s="0" t="str">
        <f aca="false">IF($G690=0,"",IF(对账补充行!$E83=0,"",对账补充行!$E83))</f>
        <v/>
      </c>
      <c r="L690" s="0" t="str">
        <f aca="false">IF($G690=0,"",IF(对账补充行!$F83=0,"",对账补充行!$F83))</f>
        <v/>
      </c>
      <c r="M690" s="0" t="str">
        <f aca="false">IF($G690=0,"",IF(对账补充行!$G83=0,"",对账补充行!$G83))</f>
        <v/>
      </c>
      <c r="N690" s="0" t="str">
        <f aca="false">IF($G690=0,"",IF(对账补充行!$H83=0,"",对账补充行!$H83))</f>
        <v/>
      </c>
      <c r="O690" s="0" t="str">
        <f aca="false">IF($G690=0,"",IF(对账补充行!$I83=0,"",对账补充行!$I83))</f>
        <v/>
      </c>
      <c r="P690" s="0" t="str">
        <f aca="false">IF($G690=0,"",IF(对账补充行!$J83=0,"",对账补充行!$J83))</f>
        <v/>
      </c>
      <c r="T690" s="0" t="str">
        <f aca="false">IF(成本费用登记表!$D90="","",成本费用登记表!$D90)</f>
        <v/>
      </c>
      <c r="U690" s="0" t="n">
        <f aca="false">IF(T690="",0,IF(MATCH(T690,$T$4:$T$903,0)=ROW()-3,1,0))</f>
        <v>0</v>
      </c>
      <c r="V690" s="0" t="n">
        <f aca="false">N(V689)+U690</f>
        <v>30</v>
      </c>
    </row>
    <row r="691" customFormat="false" ht="13.5" hidden="false" customHeight="false" outlineLevel="0" collapsed="false">
      <c r="A691" s="0" t="str">
        <f aca="false">IF(资金日记账!$E389="","",资金日记账!$E389)</f>
        <v/>
      </c>
      <c r="B691" s="0" t="n">
        <f aca="false">IF(A691="",0,IF(MATCH(A691,$A$4:$A$1925,0)=ROW()-3,1,0))</f>
        <v>0</v>
      </c>
      <c r="C691" s="0" t="n">
        <f aca="false">N(C690)+B691</f>
        <v>11</v>
      </c>
      <c r="G691" s="0" t="n">
        <f aca="false">IF(OR($G$1="",对账补充行!$C84="",对账补充行!$C84&lt;&gt;$G$1),0,IF(NOT(OR(N(对账补充行!$H84)&lt;&gt;0,N(对账补充行!$I84)&lt;&gt;0)),0,IF(对账补充行!$B84="",1,IF(OR(N(对账补充行!$B84)&lt;$H$1,N(对账补充行!$B84)&gt;$I$1),0,1))))</f>
        <v>0</v>
      </c>
      <c r="H691" s="0" t="n">
        <f aca="false">N(H690)+$G691</f>
        <v>3</v>
      </c>
      <c r="I691" s="0" t="str">
        <f aca="false">IF($G691=0,"",IF(对账补充行!$B84=0,"",对账补充行!$B84))</f>
        <v/>
      </c>
      <c r="J691" s="0" t="str">
        <f aca="false">IF($G691=0,"",IF(对账补充行!$D84=0,"",对账补充行!$D84))</f>
        <v/>
      </c>
      <c r="K691" s="0" t="str">
        <f aca="false">IF($G691=0,"",IF(对账补充行!$E84=0,"",对账补充行!$E84))</f>
        <v/>
      </c>
      <c r="L691" s="0" t="str">
        <f aca="false">IF($G691=0,"",IF(对账补充行!$F84=0,"",对账补充行!$F84))</f>
        <v/>
      </c>
      <c r="M691" s="0" t="str">
        <f aca="false">IF($G691=0,"",IF(对账补充行!$G84=0,"",对账补充行!$G84))</f>
        <v/>
      </c>
      <c r="N691" s="0" t="str">
        <f aca="false">IF($G691=0,"",IF(对账补充行!$H84=0,"",对账补充行!$H84))</f>
        <v/>
      </c>
      <c r="O691" s="0" t="str">
        <f aca="false">IF($G691=0,"",IF(对账补充行!$I84=0,"",对账补充行!$I84))</f>
        <v/>
      </c>
      <c r="P691" s="0" t="str">
        <f aca="false">IF($G691=0,"",IF(对账补充行!$J84=0,"",对账补充行!$J84))</f>
        <v/>
      </c>
      <c r="T691" s="0" t="str">
        <f aca="false">IF(成本费用登记表!$D91="","",成本费用登记表!$D91)</f>
        <v/>
      </c>
      <c r="U691" s="0" t="n">
        <f aca="false">IF(T691="",0,IF(MATCH(T691,$T$4:$T$903,0)=ROW()-3,1,0))</f>
        <v>0</v>
      </c>
      <c r="V691" s="0" t="n">
        <f aca="false">N(V690)+U691</f>
        <v>30</v>
      </c>
    </row>
    <row r="692" customFormat="false" ht="13.5" hidden="false" customHeight="false" outlineLevel="0" collapsed="false">
      <c r="A692" s="0" t="str">
        <f aca="false">IF(资金日记账!$E390="","",资金日记账!$E390)</f>
        <v/>
      </c>
      <c r="B692" s="0" t="n">
        <f aca="false">IF(A692="",0,IF(MATCH(A692,$A$4:$A$1925,0)=ROW()-3,1,0))</f>
        <v>0</v>
      </c>
      <c r="C692" s="0" t="n">
        <f aca="false">N(C691)+B692</f>
        <v>11</v>
      </c>
      <c r="G692" s="0" t="n">
        <f aca="false">IF(OR($G$1="",对账补充行!$C85="",对账补充行!$C85&lt;&gt;$G$1),0,IF(NOT(OR(N(对账补充行!$H85)&lt;&gt;0,N(对账补充行!$I85)&lt;&gt;0)),0,IF(对账补充行!$B85="",1,IF(OR(N(对账补充行!$B85)&lt;$H$1,N(对账补充行!$B85)&gt;$I$1),0,1))))</f>
        <v>0</v>
      </c>
      <c r="H692" s="0" t="n">
        <f aca="false">N(H691)+$G692</f>
        <v>3</v>
      </c>
      <c r="I692" s="0" t="str">
        <f aca="false">IF($G692=0,"",IF(对账补充行!$B85=0,"",对账补充行!$B85))</f>
        <v/>
      </c>
      <c r="J692" s="0" t="str">
        <f aca="false">IF($G692=0,"",IF(对账补充行!$D85=0,"",对账补充行!$D85))</f>
        <v/>
      </c>
      <c r="K692" s="0" t="str">
        <f aca="false">IF($G692=0,"",IF(对账补充行!$E85=0,"",对账补充行!$E85))</f>
        <v/>
      </c>
      <c r="L692" s="0" t="str">
        <f aca="false">IF($G692=0,"",IF(对账补充行!$F85=0,"",对账补充行!$F85))</f>
        <v/>
      </c>
      <c r="M692" s="0" t="str">
        <f aca="false">IF($G692=0,"",IF(对账补充行!$G85=0,"",对账补充行!$G85))</f>
        <v/>
      </c>
      <c r="N692" s="0" t="str">
        <f aca="false">IF($G692=0,"",IF(对账补充行!$H85=0,"",对账补充行!$H85))</f>
        <v/>
      </c>
      <c r="O692" s="0" t="str">
        <f aca="false">IF($G692=0,"",IF(对账补充行!$I85=0,"",对账补充行!$I85))</f>
        <v/>
      </c>
      <c r="P692" s="0" t="str">
        <f aca="false">IF($G692=0,"",IF(对账补充行!$J85=0,"",对账补充行!$J85))</f>
        <v/>
      </c>
      <c r="T692" s="0" t="str">
        <f aca="false">IF(成本费用登记表!$D92="","",成本费用登记表!$D92)</f>
        <v/>
      </c>
      <c r="U692" s="0" t="n">
        <f aca="false">IF(T692="",0,IF(MATCH(T692,$T$4:$T$903,0)=ROW()-3,1,0))</f>
        <v>0</v>
      </c>
      <c r="V692" s="0" t="n">
        <f aca="false">N(V691)+U692</f>
        <v>30</v>
      </c>
    </row>
    <row r="693" customFormat="false" ht="13.5" hidden="false" customHeight="false" outlineLevel="0" collapsed="false">
      <c r="A693" s="0" t="str">
        <f aca="false">IF(资金日记账!$E391="","",资金日记账!$E391)</f>
        <v/>
      </c>
      <c r="B693" s="0" t="n">
        <f aca="false">IF(A693="",0,IF(MATCH(A693,$A$4:$A$1925,0)=ROW()-3,1,0))</f>
        <v>0</v>
      </c>
      <c r="C693" s="0" t="n">
        <f aca="false">N(C692)+B693</f>
        <v>11</v>
      </c>
      <c r="G693" s="0" t="n">
        <f aca="false">IF(OR($G$1="",对账补充行!$C86="",对账补充行!$C86&lt;&gt;$G$1),0,IF(NOT(OR(N(对账补充行!$H86)&lt;&gt;0,N(对账补充行!$I86)&lt;&gt;0)),0,IF(对账补充行!$B86="",1,IF(OR(N(对账补充行!$B86)&lt;$H$1,N(对账补充行!$B86)&gt;$I$1),0,1))))</f>
        <v>0</v>
      </c>
      <c r="H693" s="0" t="n">
        <f aca="false">N(H692)+$G693</f>
        <v>3</v>
      </c>
      <c r="I693" s="0" t="str">
        <f aca="false">IF($G693=0,"",IF(对账补充行!$B86=0,"",对账补充行!$B86))</f>
        <v/>
      </c>
      <c r="J693" s="0" t="str">
        <f aca="false">IF($G693=0,"",IF(对账补充行!$D86=0,"",对账补充行!$D86))</f>
        <v/>
      </c>
      <c r="K693" s="0" t="str">
        <f aca="false">IF($G693=0,"",IF(对账补充行!$E86=0,"",对账补充行!$E86))</f>
        <v/>
      </c>
      <c r="L693" s="0" t="str">
        <f aca="false">IF($G693=0,"",IF(对账补充行!$F86=0,"",对账补充行!$F86))</f>
        <v/>
      </c>
      <c r="M693" s="0" t="str">
        <f aca="false">IF($G693=0,"",IF(对账补充行!$G86=0,"",对账补充行!$G86))</f>
        <v/>
      </c>
      <c r="N693" s="0" t="str">
        <f aca="false">IF($G693=0,"",IF(对账补充行!$H86=0,"",对账补充行!$H86))</f>
        <v/>
      </c>
      <c r="O693" s="0" t="str">
        <f aca="false">IF($G693=0,"",IF(对账补充行!$I86=0,"",对账补充行!$I86))</f>
        <v/>
      </c>
      <c r="P693" s="0" t="str">
        <f aca="false">IF($G693=0,"",IF(对账补充行!$J86=0,"",对账补充行!$J86))</f>
        <v/>
      </c>
      <c r="T693" s="0" t="str">
        <f aca="false">IF(成本费用登记表!$D93="","",成本费用登记表!$D93)</f>
        <v/>
      </c>
      <c r="U693" s="0" t="n">
        <f aca="false">IF(T693="",0,IF(MATCH(T693,$T$4:$T$903,0)=ROW()-3,1,0))</f>
        <v>0</v>
      </c>
      <c r="V693" s="0" t="n">
        <f aca="false">N(V692)+U693</f>
        <v>30</v>
      </c>
    </row>
    <row r="694" customFormat="false" ht="13.5" hidden="false" customHeight="false" outlineLevel="0" collapsed="false">
      <c r="A694" s="0" t="str">
        <f aca="false">IF(资金日记账!$E392="","",资金日记账!$E392)</f>
        <v/>
      </c>
      <c r="B694" s="0" t="n">
        <f aca="false">IF(A694="",0,IF(MATCH(A694,$A$4:$A$1925,0)=ROW()-3,1,0))</f>
        <v>0</v>
      </c>
      <c r="C694" s="0" t="n">
        <f aca="false">N(C693)+B694</f>
        <v>11</v>
      </c>
      <c r="G694" s="0" t="n">
        <f aca="false">IF(OR($G$1="",对账补充行!$C87="",对账补充行!$C87&lt;&gt;$G$1),0,IF(NOT(OR(N(对账补充行!$H87)&lt;&gt;0,N(对账补充行!$I87)&lt;&gt;0)),0,IF(对账补充行!$B87="",1,IF(OR(N(对账补充行!$B87)&lt;$H$1,N(对账补充行!$B87)&gt;$I$1),0,1))))</f>
        <v>0</v>
      </c>
      <c r="H694" s="0" t="n">
        <f aca="false">N(H693)+$G694</f>
        <v>3</v>
      </c>
      <c r="I694" s="0" t="str">
        <f aca="false">IF($G694=0,"",IF(对账补充行!$B87=0,"",对账补充行!$B87))</f>
        <v/>
      </c>
      <c r="J694" s="0" t="str">
        <f aca="false">IF($G694=0,"",IF(对账补充行!$D87=0,"",对账补充行!$D87))</f>
        <v/>
      </c>
      <c r="K694" s="0" t="str">
        <f aca="false">IF($G694=0,"",IF(对账补充行!$E87=0,"",对账补充行!$E87))</f>
        <v/>
      </c>
      <c r="L694" s="0" t="str">
        <f aca="false">IF($G694=0,"",IF(对账补充行!$F87=0,"",对账补充行!$F87))</f>
        <v/>
      </c>
      <c r="M694" s="0" t="str">
        <f aca="false">IF($G694=0,"",IF(对账补充行!$G87=0,"",对账补充行!$G87))</f>
        <v/>
      </c>
      <c r="N694" s="0" t="str">
        <f aca="false">IF($G694=0,"",IF(对账补充行!$H87=0,"",对账补充行!$H87))</f>
        <v/>
      </c>
      <c r="O694" s="0" t="str">
        <f aca="false">IF($G694=0,"",IF(对账补充行!$I87=0,"",对账补充行!$I87))</f>
        <v/>
      </c>
      <c r="P694" s="0" t="str">
        <f aca="false">IF($G694=0,"",IF(对账补充行!$J87=0,"",对账补充行!$J87))</f>
        <v/>
      </c>
      <c r="T694" s="0" t="str">
        <f aca="false">IF(成本费用登记表!$D94="","",成本费用登记表!$D94)</f>
        <v/>
      </c>
      <c r="U694" s="0" t="n">
        <f aca="false">IF(T694="",0,IF(MATCH(T694,$T$4:$T$903,0)=ROW()-3,1,0))</f>
        <v>0</v>
      </c>
      <c r="V694" s="0" t="n">
        <f aca="false">N(V693)+U694</f>
        <v>30</v>
      </c>
    </row>
    <row r="695" customFormat="false" ht="13.5" hidden="false" customHeight="false" outlineLevel="0" collapsed="false">
      <c r="A695" s="0" t="str">
        <f aca="false">IF(资金日记账!$E393="","",资金日记账!$E393)</f>
        <v/>
      </c>
      <c r="B695" s="0" t="n">
        <f aca="false">IF(A695="",0,IF(MATCH(A695,$A$4:$A$1925,0)=ROW()-3,1,0))</f>
        <v>0</v>
      </c>
      <c r="C695" s="0" t="n">
        <f aca="false">N(C694)+B695</f>
        <v>11</v>
      </c>
      <c r="G695" s="0" t="n">
        <f aca="false">IF(OR($G$1="",对账补充行!$C88="",对账补充行!$C88&lt;&gt;$G$1),0,IF(NOT(OR(N(对账补充行!$H88)&lt;&gt;0,N(对账补充行!$I88)&lt;&gt;0)),0,IF(对账补充行!$B88="",1,IF(OR(N(对账补充行!$B88)&lt;$H$1,N(对账补充行!$B88)&gt;$I$1),0,1))))</f>
        <v>0</v>
      </c>
      <c r="H695" s="0" t="n">
        <f aca="false">N(H694)+$G695</f>
        <v>3</v>
      </c>
      <c r="I695" s="0" t="str">
        <f aca="false">IF($G695=0,"",IF(对账补充行!$B88=0,"",对账补充行!$B88))</f>
        <v/>
      </c>
      <c r="J695" s="0" t="str">
        <f aca="false">IF($G695=0,"",IF(对账补充行!$D88=0,"",对账补充行!$D88))</f>
        <v/>
      </c>
      <c r="K695" s="0" t="str">
        <f aca="false">IF($G695=0,"",IF(对账补充行!$E88=0,"",对账补充行!$E88))</f>
        <v/>
      </c>
      <c r="L695" s="0" t="str">
        <f aca="false">IF($G695=0,"",IF(对账补充行!$F88=0,"",对账补充行!$F88))</f>
        <v/>
      </c>
      <c r="M695" s="0" t="str">
        <f aca="false">IF($G695=0,"",IF(对账补充行!$G88=0,"",对账补充行!$G88))</f>
        <v/>
      </c>
      <c r="N695" s="0" t="str">
        <f aca="false">IF($G695=0,"",IF(对账补充行!$H88=0,"",对账补充行!$H88))</f>
        <v/>
      </c>
      <c r="O695" s="0" t="str">
        <f aca="false">IF($G695=0,"",IF(对账补充行!$I88=0,"",对账补充行!$I88))</f>
        <v/>
      </c>
      <c r="P695" s="0" t="str">
        <f aca="false">IF($G695=0,"",IF(对账补充行!$J88=0,"",对账补充行!$J88))</f>
        <v/>
      </c>
      <c r="T695" s="0" t="str">
        <f aca="false">IF(成本费用登记表!$D95="","",成本费用登记表!$D95)</f>
        <v/>
      </c>
      <c r="U695" s="0" t="n">
        <f aca="false">IF(T695="",0,IF(MATCH(T695,$T$4:$T$903,0)=ROW()-3,1,0))</f>
        <v>0</v>
      </c>
      <c r="V695" s="0" t="n">
        <f aca="false">N(V694)+U695</f>
        <v>30</v>
      </c>
    </row>
    <row r="696" customFormat="false" ht="13.5" hidden="false" customHeight="false" outlineLevel="0" collapsed="false">
      <c r="A696" s="0" t="str">
        <f aca="false">IF(资金日记账!$E394="","",资金日记账!$E394)</f>
        <v/>
      </c>
      <c r="B696" s="0" t="n">
        <f aca="false">IF(A696="",0,IF(MATCH(A696,$A$4:$A$1925,0)=ROW()-3,1,0))</f>
        <v>0</v>
      </c>
      <c r="C696" s="0" t="n">
        <f aca="false">N(C695)+B696</f>
        <v>11</v>
      </c>
      <c r="G696" s="0" t="n">
        <f aca="false">IF(OR($G$1="",对账补充行!$C89="",对账补充行!$C89&lt;&gt;$G$1),0,IF(NOT(OR(N(对账补充行!$H89)&lt;&gt;0,N(对账补充行!$I89)&lt;&gt;0)),0,IF(对账补充行!$B89="",1,IF(OR(N(对账补充行!$B89)&lt;$H$1,N(对账补充行!$B89)&gt;$I$1),0,1))))</f>
        <v>0</v>
      </c>
      <c r="H696" s="0" t="n">
        <f aca="false">N(H695)+$G696</f>
        <v>3</v>
      </c>
      <c r="I696" s="0" t="str">
        <f aca="false">IF($G696=0,"",IF(对账补充行!$B89=0,"",对账补充行!$B89))</f>
        <v/>
      </c>
      <c r="J696" s="0" t="str">
        <f aca="false">IF($G696=0,"",IF(对账补充行!$D89=0,"",对账补充行!$D89))</f>
        <v/>
      </c>
      <c r="K696" s="0" t="str">
        <f aca="false">IF($G696=0,"",IF(对账补充行!$E89=0,"",对账补充行!$E89))</f>
        <v/>
      </c>
      <c r="L696" s="0" t="str">
        <f aca="false">IF($G696=0,"",IF(对账补充行!$F89=0,"",对账补充行!$F89))</f>
        <v/>
      </c>
      <c r="M696" s="0" t="str">
        <f aca="false">IF($G696=0,"",IF(对账补充行!$G89=0,"",对账补充行!$G89))</f>
        <v/>
      </c>
      <c r="N696" s="0" t="str">
        <f aca="false">IF($G696=0,"",IF(对账补充行!$H89=0,"",对账补充行!$H89))</f>
        <v/>
      </c>
      <c r="O696" s="0" t="str">
        <f aca="false">IF($G696=0,"",IF(对账补充行!$I89=0,"",对账补充行!$I89))</f>
        <v/>
      </c>
      <c r="P696" s="0" t="str">
        <f aca="false">IF($G696=0,"",IF(对账补充行!$J89=0,"",对账补充行!$J89))</f>
        <v/>
      </c>
      <c r="T696" s="0" t="str">
        <f aca="false">IF(成本费用登记表!$D96="","",成本费用登记表!$D96)</f>
        <v/>
      </c>
      <c r="U696" s="0" t="n">
        <f aca="false">IF(T696="",0,IF(MATCH(T696,$T$4:$T$903,0)=ROW()-3,1,0))</f>
        <v>0</v>
      </c>
      <c r="V696" s="0" t="n">
        <f aca="false">N(V695)+U696</f>
        <v>30</v>
      </c>
    </row>
    <row r="697" customFormat="false" ht="13.5" hidden="false" customHeight="false" outlineLevel="0" collapsed="false">
      <c r="A697" s="0" t="str">
        <f aca="false">IF(资金日记账!$E395="","",资金日记账!$E395)</f>
        <v/>
      </c>
      <c r="B697" s="0" t="n">
        <f aca="false">IF(A697="",0,IF(MATCH(A697,$A$4:$A$1925,0)=ROW()-3,1,0))</f>
        <v>0</v>
      </c>
      <c r="C697" s="0" t="n">
        <f aca="false">N(C696)+B697</f>
        <v>11</v>
      </c>
      <c r="G697" s="0" t="n">
        <f aca="false">IF(OR($G$1="",对账补充行!$C90="",对账补充行!$C90&lt;&gt;$G$1),0,IF(NOT(OR(N(对账补充行!$H90)&lt;&gt;0,N(对账补充行!$I90)&lt;&gt;0)),0,IF(对账补充行!$B90="",1,IF(OR(N(对账补充行!$B90)&lt;$H$1,N(对账补充行!$B90)&gt;$I$1),0,1))))</f>
        <v>0</v>
      </c>
      <c r="H697" s="0" t="n">
        <f aca="false">N(H696)+$G697</f>
        <v>3</v>
      </c>
      <c r="I697" s="0" t="str">
        <f aca="false">IF($G697=0,"",IF(对账补充行!$B90=0,"",对账补充行!$B90))</f>
        <v/>
      </c>
      <c r="J697" s="0" t="str">
        <f aca="false">IF($G697=0,"",IF(对账补充行!$D90=0,"",对账补充行!$D90))</f>
        <v/>
      </c>
      <c r="K697" s="0" t="str">
        <f aca="false">IF($G697=0,"",IF(对账补充行!$E90=0,"",对账补充行!$E90))</f>
        <v/>
      </c>
      <c r="L697" s="0" t="str">
        <f aca="false">IF($G697=0,"",IF(对账补充行!$F90=0,"",对账补充行!$F90))</f>
        <v/>
      </c>
      <c r="M697" s="0" t="str">
        <f aca="false">IF($G697=0,"",IF(对账补充行!$G90=0,"",对账补充行!$G90))</f>
        <v/>
      </c>
      <c r="N697" s="0" t="str">
        <f aca="false">IF($G697=0,"",IF(对账补充行!$H90=0,"",对账补充行!$H90))</f>
        <v/>
      </c>
      <c r="O697" s="0" t="str">
        <f aca="false">IF($G697=0,"",IF(对账补充行!$I90=0,"",对账补充行!$I90))</f>
        <v/>
      </c>
      <c r="P697" s="0" t="str">
        <f aca="false">IF($G697=0,"",IF(对账补充行!$J90=0,"",对账补充行!$J90))</f>
        <v/>
      </c>
      <c r="T697" s="0" t="str">
        <f aca="false">IF(成本费用登记表!$D97="","",成本费用登记表!$D97)</f>
        <v/>
      </c>
      <c r="U697" s="0" t="n">
        <f aca="false">IF(T697="",0,IF(MATCH(T697,$T$4:$T$903,0)=ROW()-3,1,0))</f>
        <v>0</v>
      </c>
      <c r="V697" s="0" t="n">
        <f aca="false">N(V696)+U697</f>
        <v>30</v>
      </c>
    </row>
    <row r="698" customFormat="false" ht="13.5" hidden="false" customHeight="false" outlineLevel="0" collapsed="false">
      <c r="A698" s="0" t="str">
        <f aca="false">IF(资金日记账!$E396="","",资金日记账!$E396)</f>
        <v/>
      </c>
      <c r="B698" s="0" t="n">
        <f aca="false">IF(A698="",0,IF(MATCH(A698,$A$4:$A$1925,0)=ROW()-3,1,0))</f>
        <v>0</v>
      </c>
      <c r="C698" s="0" t="n">
        <f aca="false">N(C697)+B698</f>
        <v>11</v>
      </c>
      <c r="G698" s="0" t="n">
        <f aca="false">IF(OR($G$1="",对账补充行!$C91="",对账补充行!$C91&lt;&gt;$G$1),0,IF(NOT(OR(N(对账补充行!$H91)&lt;&gt;0,N(对账补充行!$I91)&lt;&gt;0)),0,IF(对账补充行!$B91="",1,IF(OR(N(对账补充行!$B91)&lt;$H$1,N(对账补充行!$B91)&gt;$I$1),0,1))))</f>
        <v>0</v>
      </c>
      <c r="H698" s="0" t="n">
        <f aca="false">N(H697)+$G698</f>
        <v>3</v>
      </c>
      <c r="I698" s="0" t="str">
        <f aca="false">IF($G698=0,"",IF(对账补充行!$B91=0,"",对账补充行!$B91))</f>
        <v/>
      </c>
      <c r="J698" s="0" t="str">
        <f aca="false">IF($G698=0,"",IF(对账补充行!$D91=0,"",对账补充行!$D91))</f>
        <v/>
      </c>
      <c r="K698" s="0" t="str">
        <f aca="false">IF($G698=0,"",IF(对账补充行!$E91=0,"",对账补充行!$E91))</f>
        <v/>
      </c>
      <c r="L698" s="0" t="str">
        <f aca="false">IF($G698=0,"",IF(对账补充行!$F91=0,"",对账补充行!$F91))</f>
        <v/>
      </c>
      <c r="M698" s="0" t="str">
        <f aca="false">IF($G698=0,"",IF(对账补充行!$G91=0,"",对账补充行!$G91))</f>
        <v/>
      </c>
      <c r="N698" s="0" t="str">
        <f aca="false">IF($G698=0,"",IF(对账补充行!$H91=0,"",对账补充行!$H91))</f>
        <v/>
      </c>
      <c r="O698" s="0" t="str">
        <f aca="false">IF($G698=0,"",IF(对账补充行!$I91=0,"",对账补充行!$I91))</f>
        <v/>
      </c>
      <c r="P698" s="0" t="str">
        <f aca="false">IF($G698=0,"",IF(对账补充行!$J91=0,"",对账补充行!$J91))</f>
        <v/>
      </c>
      <c r="T698" s="0" t="str">
        <f aca="false">IF(成本费用登记表!$D98="","",成本费用登记表!$D98)</f>
        <v/>
      </c>
      <c r="U698" s="0" t="n">
        <f aca="false">IF(T698="",0,IF(MATCH(T698,$T$4:$T$903,0)=ROW()-3,1,0))</f>
        <v>0</v>
      </c>
      <c r="V698" s="0" t="n">
        <f aca="false">N(V697)+U698</f>
        <v>30</v>
      </c>
    </row>
    <row r="699" customFormat="false" ht="13.5" hidden="false" customHeight="false" outlineLevel="0" collapsed="false">
      <c r="A699" s="0" t="str">
        <f aca="false">IF(资金日记账!$E397="","",资金日记账!$E397)</f>
        <v/>
      </c>
      <c r="B699" s="0" t="n">
        <f aca="false">IF(A699="",0,IF(MATCH(A699,$A$4:$A$1925,0)=ROW()-3,1,0))</f>
        <v>0</v>
      </c>
      <c r="C699" s="0" t="n">
        <f aca="false">N(C698)+B699</f>
        <v>11</v>
      </c>
      <c r="G699" s="0" t="n">
        <f aca="false">IF(OR($G$1="",对账补充行!$C92="",对账补充行!$C92&lt;&gt;$G$1),0,IF(NOT(OR(N(对账补充行!$H92)&lt;&gt;0,N(对账补充行!$I92)&lt;&gt;0)),0,IF(对账补充行!$B92="",1,IF(OR(N(对账补充行!$B92)&lt;$H$1,N(对账补充行!$B92)&gt;$I$1),0,1))))</f>
        <v>0</v>
      </c>
      <c r="H699" s="0" t="n">
        <f aca="false">N(H698)+$G699</f>
        <v>3</v>
      </c>
      <c r="I699" s="0" t="str">
        <f aca="false">IF($G699=0,"",IF(对账补充行!$B92=0,"",对账补充行!$B92))</f>
        <v/>
      </c>
      <c r="J699" s="0" t="str">
        <f aca="false">IF($G699=0,"",IF(对账补充行!$D92=0,"",对账补充行!$D92))</f>
        <v/>
      </c>
      <c r="K699" s="0" t="str">
        <f aca="false">IF($G699=0,"",IF(对账补充行!$E92=0,"",对账补充行!$E92))</f>
        <v/>
      </c>
      <c r="L699" s="0" t="str">
        <f aca="false">IF($G699=0,"",IF(对账补充行!$F92=0,"",对账补充行!$F92))</f>
        <v/>
      </c>
      <c r="M699" s="0" t="str">
        <f aca="false">IF($G699=0,"",IF(对账补充行!$G92=0,"",对账补充行!$G92))</f>
        <v/>
      </c>
      <c r="N699" s="0" t="str">
        <f aca="false">IF($G699=0,"",IF(对账补充行!$H92=0,"",对账补充行!$H92))</f>
        <v/>
      </c>
      <c r="O699" s="0" t="str">
        <f aca="false">IF($G699=0,"",IF(对账补充行!$I92=0,"",对账补充行!$I92))</f>
        <v/>
      </c>
      <c r="P699" s="0" t="str">
        <f aca="false">IF($G699=0,"",IF(对账补充行!$J92=0,"",对账补充行!$J92))</f>
        <v/>
      </c>
      <c r="T699" s="0" t="str">
        <f aca="false">IF(成本费用登记表!$D99="","",成本费用登记表!$D99)</f>
        <v/>
      </c>
      <c r="U699" s="0" t="n">
        <f aca="false">IF(T699="",0,IF(MATCH(T699,$T$4:$T$903,0)=ROW()-3,1,0))</f>
        <v>0</v>
      </c>
      <c r="V699" s="0" t="n">
        <f aca="false">N(V698)+U699</f>
        <v>30</v>
      </c>
    </row>
    <row r="700" customFormat="false" ht="13.5" hidden="false" customHeight="false" outlineLevel="0" collapsed="false">
      <c r="A700" s="0" t="str">
        <f aca="false">IF(资金日记账!$E398="","",资金日记账!$E398)</f>
        <v/>
      </c>
      <c r="B700" s="0" t="n">
        <f aca="false">IF(A700="",0,IF(MATCH(A700,$A$4:$A$1925,0)=ROW()-3,1,0))</f>
        <v>0</v>
      </c>
      <c r="C700" s="0" t="n">
        <f aca="false">N(C699)+B700</f>
        <v>11</v>
      </c>
      <c r="G700" s="0" t="n">
        <f aca="false">IF(OR($G$1="",对账补充行!$C93="",对账补充行!$C93&lt;&gt;$G$1),0,IF(NOT(OR(N(对账补充行!$H93)&lt;&gt;0,N(对账补充行!$I93)&lt;&gt;0)),0,IF(对账补充行!$B93="",1,IF(OR(N(对账补充行!$B93)&lt;$H$1,N(对账补充行!$B93)&gt;$I$1),0,1))))</f>
        <v>0</v>
      </c>
      <c r="H700" s="0" t="n">
        <f aca="false">N(H699)+$G700</f>
        <v>3</v>
      </c>
      <c r="I700" s="0" t="str">
        <f aca="false">IF($G700=0,"",IF(对账补充行!$B93=0,"",对账补充行!$B93))</f>
        <v/>
      </c>
      <c r="J700" s="0" t="str">
        <f aca="false">IF($G700=0,"",IF(对账补充行!$D93=0,"",对账补充行!$D93))</f>
        <v/>
      </c>
      <c r="K700" s="0" t="str">
        <f aca="false">IF($G700=0,"",IF(对账补充行!$E93=0,"",对账补充行!$E93))</f>
        <v/>
      </c>
      <c r="L700" s="0" t="str">
        <f aca="false">IF($G700=0,"",IF(对账补充行!$F93=0,"",对账补充行!$F93))</f>
        <v/>
      </c>
      <c r="M700" s="0" t="str">
        <f aca="false">IF($G700=0,"",IF(对账补充行!$G93=0,"",对账补充行!$G93))</f>
        <v/>
      </c>
      <c r="N700" s="0" t="str">
        <f aca="false">IF($G700=0,"",IF(对账补充行!$H93=0,"",对账补充行!$H93))</f>
        <v/>
      </c>
      <c r="O700" s="0" t="str">
        <f aca="false">IF($G700=0,"",IF(对账补充行!$I93=0,"",对账补充行!$I93))</f>
        <v/>
      </c>
      <c r="P700" s="0" t="str">
        <f aca="false">IF($G700=0,"",IF(对账补充行!$J93=0,"",对账补充行!$J93))</f>
        <v/>
      </c>
      <c r="T700" s="0" t="str">
        <f aca="false">IF(成本费用登记表!$D100="","",成本费用登记表!$D100)</f>
        <v/>
      </c>
      <c r="U700" s="0" t="n">
        <f aca="false">IF(T700="",0,IF(MATCH(T700,$T$4:$T$903,0)=ROW()-3,1,0))</f>
        <v>0</v>
      </c>
      <c r="V700" s="0" t="n">
        <f aca="false">N(V699)+U700</f>
        <v>30</v>
      </c>
    </row>
    <row r="701" customFormat="false" ht="13.5" hidden="false" customHeight="false" outlineLevel="0" collapsed="false">
      <c r="A701" s="0" t="str">
        <f aca="false">IF(资金日记账!$E399="","",资金日记账!$E399)</f>
        <v/>
      </c>
      <c r="B701" s="0" t="n">
        <f aca="false">IF(A701="",0,IF(MATCH(A701,$A$4:$A$1925,0)=ROW()-3,1,0))</f>
        <v>0</v>
      </c>
      <c r="C701" s="0" t="n">
        <f aca="false">N(C700)+B701</f>
        <v>11</v>
      </c>
      <c r="G701" s="0" t="n">
        <f aca="false">IF(OR($G$1="",对账补充行!$C94="",对账补充行!$C94&lt;&gt;$G$1),0,IF(NOT(OR(N(对账补充行!$H94)&lt;&gt;0,N(对账补充行!$I94)&lt;&gt;0)),0,IF(对账补充行!$B94="",1,IF(OR(N(对账补充行!$B94)&lt;$H$1,N(对账补充行!$B94)&gt;$I$1),0,1))))</f>
        <v>0</v>
      </c>
      <c r="H701" s="0" t="n">
        <f aca="false">N(H700)+$G701</f>
        <v>3</v>
      </c>
      <c r="I701" s="0" t="str">
        <f aca="false">IF($G701=0,"",IF(对账补充行!$B94=0,"",对账补充行!$B94))</f>
        <v/>
      </c>
      <c r="J701" s="0" t="str">
        <f aca="false">IF($G701=0,"",IF(对账补充行!$D94=0,"",对账补充行!$D94))</f>
        <v/>
      </c>
      <c r="K701" s="0" t="str">
        <f aca="false">IF($G701=0,"",IF(对账补充行!$E94=0,"",对账补充行!$E94))</f>
        <v/>
      </c>
      <c r="L701" s="0" t="str">
        <f aca="false">IF($G701=0,"",IF(对账补充行!$F94=0,"",对账补充行!$F94))</f>
        <v/>
      </c>
      <c r="M701" s="0" t="str">
        <f aca="false">IF($G701=0,"",IF(对账补充行!$G94=0,"",对账补充行!$G94))</f>
        <v/>
      </c>
      <c r="N701" s="0" t="str">
        <f aca="false">IF($G701=0,"",IF(对账补充行!$H94=0,"",对账补充行!$H94))</f>
        <v/>
      </c>
      <c r="O701" s="0" t="str">
        <f aca="false">IF($G701=0,"",IF(对账补充行!$I94=0,"",对账补充行!$I94))</f>
        <v/>
      </c>
      <c r="P701" s="0" t="str">
        <f aca="false">IF($G701=0,"",IF(对账补充行!$J94=0,"",对账补充行!$J94))</f>
        <v/>
      </c>
      <c r="T701" s="0" t="str">
        <f aca="false">IF(成本费用登记表!$D101="","",成本费用登记表!$D101)</f>
        <v/>
      </c>
      <c r="U701" s="0" t="n">
        <f aca="false">IF(T701="",0,IF(MATCH(T701,$T$4:$T$903,0)=ROW()-3,1,0))</f>
        <v>0</v>
      </c>
      <c r="V701" s="0" t="n">
        <f aca="false">N(V700)+U701</f>
        <v>30</v>
      </c>
    </row>
    <row r="702" customFormat="false" ht="13.5" hidden="false" customHeight="false" outlineLevel="0" collapsed="false">
      <c r="A702" s="0" t="str">
        <f aca="false">IF(资金日记账!$E400="","",资金日记账!$E400)</f>
        <v/>
      </c>
      <c r="B702" s="0" t="n">
        <f aca="false">IF(A702="",0,IF(MATCH(A702,$A$4:$A$1925,0)=ROW()-3,1,0))</f>
        <v>0</v>
      </c>
      <c r="C702" s="0" t="n">
        <f aca="false">N(C701)+B702</f>
        <v>11</v>
      </c>
      <c r="G702" s="0" t="n">
        <f aca="false">IF(OR($G$1="",对账补充行!$C95="",对账补充行!$C95&lt;&gt;$G$1),0,IF(NOT(OR(N(对账补充行!$H95)&lt;&gt;0,N(对账补充行!$I95)&lt;&gt;0)),0,IF(对账补充行!$B95="",1,IF(OR(N(对账补充行!$B95)&lt;$H$1,N(对账补充行!$B95)&gt;$I$1),0,1))))</f>
        <v>0</v>
      </c>
      <c r="H702" s="0" t="n">
        <f aca="false">N(H701)+$G702</f>
        <v>3</v>
      </c>
      <c r="I702" s="0" t="str">
        <f aca="false">IF($G702=0,"",IF(对账补充行!$B95=0,"",对账补充行!$B95))</f>
        <v/>
      </c>
      <c r="J702" s="0" t="str">
        <f aca="false">IF($G702=0,"",IF(对账补充行!$D95=0,"",对账补充行!$D95))</f>
        <v/>
      </c>
      <c r="K702" s="0" t="str">
        <f aca="false">IF($G702=0,"",IF(对账补充行!$E95=0,"",对账补充行!$E95))</f>
        <v/>
      </c>
      <c r="L702" s="0" t="str">
        <f aca="false">IF($G702=0,"",IF(对账补充行!$F95=0,"",对账补充行!$F95))</f>
        <v/>
      </c>
      <c r="M702" s="0" t="str">
        <f aca="false">IF($G702=0,"",IF(对账补充行!$G95=0,"",对账补充行!$G95))</f>
        <v/>
      </c>
      <c r="N702" s="0" t="str">
        <f aca="false">IF($G702=0,"",IF(对账补充行!$H95=0,"",对账补充行!$H95))</f>
        <v/>
      </c>
      <c r="O702" s="0" t="str">
        <f aca="false">IF($G702=0,"",IF(对账补充行!$I95=0,"",对账补充行!$I95))</f>
        <v/>
      </c>
      <c r="P702" s="0" t="str">
        <f aca="false">IF($G702=0,"",IF(对账补充行!$J95=0,"",对账补充行!$J95))</f>
        <v/>
      </c>
      <c r="T702" s="0" t="str">
        <f aca="false">IF(成本费用登记表!$D102="","",成本费用登记表!$D102)</f>
        <v/>
      </c>
      <c r="U702" s="0" t="n">
        <f aca="false">IF(T702="",0,IF(MATCH(T702,$T$4:$T$903,0)=ROW()-3,1,0))</f>
        <v>0</v>
      </c>
      <c r="V702" s="0" t="n">
        <f aca="false">N(V701)+U702</f>
        <v>30</v>
      </c>
    </row>
    <row r="703" customFormat="false" ht="13.5" hidden="false" customHeight="false" outlineLevel="0" collapsed="false">
      <c r="A703" s="0" t="str">
        <f aca="false">IF(资金日记账!$E401="","",资金日记账!$E401)</f>
        <v/>
      </c>
      <c r="B703" s="0" t="n">
        <f aca="false">IF(A703="",0,IF(MATCH(A703,$A$4:$A$1925,0)=ROW()-3,1,0))</f>
        <v>0</v>
      </c>
      <c r="C703" s="0" t="n">
        <f aca="false">N(C702)+B703</f>
        <v>11</v>
      </c>
      <c r="G703" s="0" t="n">
        <f aca="false">IF(OR($G$1="",对账补充行!$C96="",对账补充行!$C96&lt;&gt;$G$1),0,IF(NOT(OR(N(对账补充行!$H96)&lt;&gt;0,N(对账补充行!$I96)&lt;&gt;0)),0,IF(对账补充行!$B96="",1,IF(OR(N(对账补充行!$B96)&lt;$H$1,N(对账补充行!$B96)&gt;$I$1),0,1))))</f>
        <v>0</v>
      </c>
      <c r="H703" s="0" t="n">
        <f aca="false">N(H702)+$G703</f>
        <v>3</v>
      </c>
      <c r="I703" s="0" t="str">
        <f aca="false">IF($G703=0,"",IF(对账补充行!$B96=0,"",对账补充行!$B96))</f>
        <v/>
      </c>
      <c r="J703" s="0" t="str">
        <f aca="false">IF($G703=0,"",IF(对账补充行!$D96=0,"",对账补充行!$D96))</f>
        <v/>
      </c>
      <c r="K703" s="0" t="str">
        <f aca="false">IF($G703=0,"",IF(对账补充行!$E96=0,"",对账补充行!$E96))</f>
        <v/>
      </c>
      <c r="L703" s="0" t="str">
        <f aca="false">IF($G703=0,"",IF(对账补充行!$F96=0,"",对账补充行!$F96))</f>
        <v/>
      </c>
      <c r="M703" s="0" t="str">
        <f aca="false">IF($G703=0,"",IF(对账补充行!$G96=0,"",对账补充行!$G96))</f>
        <v/>
      </c>
      <c r="N703" s="0" t="str">
        <f aca="false">IF($G703=0,"",IF(对账补充行!$H96=0,"",对账补充行!$H96))</f>
        <v/>
      </c>
      <c r="O703" s="0" t="str">
        <f aca="false">IF($G703=0,"",IF(对账补充行!$I96=0,"",对账补充行!$I96))</f>
        <v/>
      </c>
      <c r="P703" s="0" t="str">
        <f aca="false">IF($G703=0,"",IF(对账补充行!$J96=0,"",对账补充行!$J96))</f>
        <v/>
      </c>
      <c r="T703" s="0" t="str">
        <f aca="false">IF(成本费用登记表!$D103="","",成本费用登记表!$D103)</f>
        <v/>
      </c>
      <c r="U703" s="0" t="n">
        <f aca="false">IF(T703="",0,IF(MATCH(T703,$T$4:$T$903,0)=ROW()-3,1,0))</f>
        <v>0</v>
      </c>
      <c r="V703" s="0" t="n">
        <f aca="false">N(V702)+U703</f>
        <v>30</v>
      </c>
    </row>
    <row r="704" customFormat="false" ht="13.5" hidden="false" customHeight="false" outlineLevel="0" collapsed="false">
      <c r="A704" s="0" t="str">
        <f aca="false">IF(资金日记账!$E402="","",资金日记账!$E402)</f>
        <v/>
      </c>
      <c r="B704" s="0" t="n">
        <f aca="false">IF(A704="",0,IF(MATCH(A704,$A$4:$A$1925,0)=ROW()-3,1,0))</f>
        <v>0</v>
      </c>
      <c r="C704" s="0" t="n">
        <f aca="false">N(C703)+B704</f>
        <v>11</v>
      </c>
      <c r="G704" s="0" t="n">
        <f aca="false">IF(OR($G$1="",对账补充行!$C97="",对账补充行!$C97&lt;&gt;$G$1),0,IF(NOT(OR(N(对账补充行!$H97)&lt;&gt;0,N(对账补充行!$I97)&lt;&gt;0)),0,IF(对账补充行!$B97="",1,IF(OR(N(对账补充行!$B97)&lt;$H$1,N(对账补充行!$B97)&gt;$I$1),0,1))))</f>
        <v>0</v>
      </c>
      <c r="H704" s="0" t="n">
        <f aca="false">N(H703)+$G704</f>
        <v>3</v>
      </c>
      <c r="I704" s="0" t="str">
        <f aca="false">IF($G704=0,"",IF(对账补充行!$B97=0,"",对账补充行!$B97))</f>
        <v/>
      </c>
      <c r="J704" s="0" t="str">
        <f aca="false">IF($G704=0,"",IF(对账补充行!$D97=0,"",对账补充行!$D97))</f>
        <v/>
      </c>
      <c r="K704" s="0" t="str">
        <f aca="false">IF($G704=0,"",IF(对账补充行!$E97=0,"",对账补充行!$E97))</f>
        <v/>
      </c>
      <c r="L704" s="0" t="str">
        <f aca="false">IF($G704=0,"",IF(对账补充行!$F97=0,"",对账补充行!$F97))</f>
        <v/>
      </c>
      <c r="M704" s="0" t="str">
        <f aca="false">IF($G704=0,"",IF(对账补充行!$G97=0,"",对账补充行!$G97))</f>
        <v/>
      </c>
      <c r="N704" s="0" t="str">
        <f aca="false">IF($G704=0,"",IF(对账补充行!$H97=0,"",对账补充行!$H97))</f>
        <v/>
      </c>
      <c r="O704" s="0" t="str">
        <f aca="false">IF($G704=0,"",IF(对账补充行!$I97=0,"",对账补充行!$I97))</f>
        <v/>
      </c>
      <c r="P704" s="0" t="str">
        <f aca="false">IF($G704=0,"",IF(对账补充行!$J97=0,"",对账补充行!$J97))</f>
        <v/>
      </c>
      <c r="T704" s="0" t="str">
        <f aca="false">IF(成本费用登记表!$D104="","",成本费用登记表!$D104)</f>
        <v/>
      </c>
      <c r="U704" s="0" t="n">
        <f aca="false">IF(T704="",0,IF(MATCH(T704,$T$4:$T$903,0)=ROW()-3,1,0))</f>
        <v>0</v>
      </c>
      <c r="V704" s="0" t="n">
        <f aca="false">N(V703)+U704</f>
        <v>30</v>
      </c>
    </row>
    <row r="705" customFormat="false" ht="13.5" hidden="false" customHeight="false" outlineLevel="0" collapsed="false">
      <c r="A705" s="0" t="str">
        <f aca="false">IF(资金日记账!$E403="","",资金日记账!$E403)</f>
        <v/>
      </c>
      <c r="B705" s="0" t="n">
        <f aca="false">IF(A705="",0,IF(MATCH(A705,$A$4:$A$1925,0)=ROW()-3,1,0))</f>
        <v>0</v>
      </c>
      <c r="C705" s="0" t="n">
        <f aca="false">N(C704)+B705</f>
        <v>11</v>
      </c>
      <c r="G705" s="0" t="n">
        <f aca="false">IF(OR($G$1="",对账补充行!$C98="",对账补充行!$C98&lt;&gt;$G$1),0,IF(NOT(OR(N(对账补充行!$H98)&lt;&gt;0,N(对账补充行!$I98)&lt;&gt;0)),0,IF(对账补充行!$B98="",1,IF(OR(N(对账补充行!$B98)&lt;$H$1,N(对账补充行!$B98)&gt;$I$1),0,1))))</f>
        <v>0</v>
      </c>
      <c r="H705" s="0" t="n">
        <f aca="false">N(H704)+$G705</f>
        <v>3</v>
      </c>
      <c r="I705" s="0" t="str">
        <f aca="false">IF($G705=0,"",IF(对账补充行!$B98=0,"",对账补充行!$B98))</f>
        <v/>
      </c>
      <c r="J705" s="0" t="str">
        <f aca="false">IF($G705=0,"",IF(对账补充行!$D98=0,"",对账补充行!$D98))</f>
        <v/>
      </c>
      <c r="K705" s="0" t="str">
        <f aca="false">IF($G705=0,"",IF(对账补充行!$E98=0,"",对账补充行!$E98))</f>
        <v/>
      </c>
      <c r="L705" s="0" t="str">
        <f aca="false">IF($G705=0,"",IF(对账补充行!$F98=0,"",对账补充行!$F98))</f>
        <v/>
      </c>
      <c r="M705" s="0" t="str">
        <f aca="false">IF($G705=0,"",IF(对账补充行!$G98=0,"",对账补充行!$G98))</f>
        <v/>
      </c>
      <c r="N705" s="0" t="str">
        <f aca="false">IF($G705=0,"",IF(对账补充行!$H98=0,"",对账补充行!$H98))</f>
        <v/>
      </c>
      <c r="O705" s="0" t="str">
        <f aca="false">IF($G705=0,"",IF(对账补充行!$I98=0,"",对账补充行!$I98))</f>
        <v/>
      </c>
      <c r="P705" s="0" t="str">
        <f aca="false">IF($G705=0,"",IF(对账补充行!$J98=0,"",对账补充行!$J98))</f>
        <v/>
      </c>
      <c r="T705" s="0" t="str">
        <f aca="false">IF(成本费用登记表!$D105="","",成本费用登记表!$D105)</f>
        <v/>
      </c>
      <c r="U705" s="0" t="n">
        <f aca="false">IF(T705="",0,IF(MATCH(T705,$T$4:$T$903,0)=ROW()-3,1,0))</f>
        <v>0</v>
      </c>
      <c r="V705" s="0" t="n">
        <f aca="false">N(V704)+U705</f>
        <v>30</v>
      </c>
    </row>
    <row r="706" customFormat="false" ht="13.5" hidden="false" customHeight="false" outlineLevel="0" collapsed="false">
      <c r="A706" s="0" t="str">
        <f aca="false">IF(资金日记账!$E404="","",资金日记账!$E404)</f>
        <v/>
      </c>
      <c r="B706" s="0" t="n">
        <f aca="false">IF(A706="",0,IF(MATCH(A706,$A$4:$A$1925,0)=ROW()-3,1,0))</f>
        <v>0</v>
      </c>
      <c r="C706" s="0" t="n">
        <f aca="false">N(C705)+B706</f>
        <v>11</v>
      </c>
      <c r="G706" s="0" t="n">
        <f aca="false">IF(OR($G$1="",对账补充行!$C99="",对账补充行!$C99&lt;&gt;$G$1),0,IF(NOT(OR(N(对账补充行!$H99)&lt;&gt;0,N(对账补充行!$I99)&lt;&gt;0)),0,IF(对账补充行!$B99="",1,IF(OR(N(对账补充行!$B99)&lt;$H$1,N(对账补充行!$B99)&gt;$I$1),0,1))))</f>
        <v>0</v>
      </c>
      <c r="H706" s="0" t="n">
        <f aca="false">N(H705)+$G706</f>
        <v>3</v>
      </c>
      <c r="I706" s="0" t="str">
        <f aca="false">IF($G706=0,"",IF(对账补充行!$B99=0,"",对账补充行!$B99))</f>
        <v/>
      </c>
      <c r="J706" s="0" t="str">
        <f aca="false">IF($G706=0,"",IF(对账补充行!$D99=0,"",对账补充行!$D99))</f>
        <v/>
      </c>
      <c r="K706" s="0" t="str">
        <f aca="false">IF($G706=0,"",IF(对账补充行!$E99=0,"",对账补充行!$E99))</f>
        <v/>
      </c>
      <c r="L706" s="0" t="str">
        <f aca="false">IF($G706=0,"",IF(对账补充行!$F99=0,"",对账补充行!$F99))</f>
        <v/>
      </c>
      <c r="M706" s="0" t="str">
        <f aca="false">IF($G706=0,"",IF(对账补充行!$G99=0,"",对账补充行!$G99))</f>
        <v/>
      </c>
      <c r="N706" s="0" t="str">
        <f aca="false">IF($G706=0,"",IF(对账补充行!$H99=0,"",对账补充行!$H99))</f>
        <v/>
      </c>
      <c r="O706" s="0" t="str">
        <f aca="false">IF($G706=0,"",IF(对账补充行!$I99=0,"",对账补充行!$I99))</f>
        <v/>
      </c>
      <c r="P706" s="0" t="str">
        <f aca="false">IF($G706=0,"",IF(对账补充行!$J99=0,"",对账补充行!$J99))</f>
        <v/>
      </c>
      <c r="T706" s="0" t="str">
        <f aca="false">IF(成本费用登记表!$D106="","",成本费用登记表!$D106)</f>
        <v/>
      </c>
      <c r="U706" s="0" t="n">
        <f aca="false">IF(T706="",0,IF(MATCH(T706,$T$4:$T$903,0)=ROW()-3,1,0))</f>
        <v>0</v>
      </c>
      <c r="V706" s="0" t="n">
        <f aca="false">N(V705)+U706</f>
        <v>30</v>
      </c>
    </row>
    <row r="707" customFormat="false" ht="13.5" hidden="false" customHeight="false" outlineLevel="0" collapsed="false">
      <c r="A707" s="0" t="str">
        <f aca="false">IF(资金日记账!$E405="","",资金日记账!$E405)</f>
        <v/>
      </c>
      <c r="B707" s="0" t="n">
        <f aca="false">IF(A707="",0,IF(MATCH(A707,$A$4:$A$1925,0)=ROW()-3,1,0))</f>
        <v>0</v>
      </c>
      <c r="C707" s="0" t="n">
        <f aca="false">N(C706)+B707</f>
        <v>11</v>
      </c>
      <c r="G707" s="0" t="n">
        <f aca="false">IF(OR($G$1="",对账补充行!$C100="",对账补充行!$C100&lt;&gt;$G$1),0,IF(NOT(OR(N(对账补充行!$H100)&lt;&gt;0,N(对账补充行!$I100)&lt;&gt;0)),0,IF(对账补充行!$B100="",1,IF(OR(N(对账补充行!$B100)&lt;$H$1,N(对账补充行!$B100)&gt;$I$1),0,1))))</f>
        <v>0</v>
      </c>
      <c r="H707" s="0" t="n">
        <f aca="false">N(H706)+$G707</f>
        <v>3</v>
      </c>
      <c r="I707" s="0" t="str">
        <f aca="false">IF($G707=0,"",IF(对账补充行!$B100=0,"",对账补充行!$B100))</f>
        <v/>
      </c>
      <c r="J707" s="0" t="str">
        <f aca="false">IF($G707=0,"",IF(对账补充行!$D100=0,"",对账补充行!$D100))</f>
        <v/>
      </c>
      <c r="K707" s="0" t="str">
        <f aca="false">IF($G707=0,"",IF(对账补充行!$E100=0,"",对账补充行!$E100))</f>
        <v/>
      </c>
      <c r="L707" s="0" t="str">
        <f aca="false">IF($G707=0,"",IF(对账补充行!$F100=0,"",对账补充行!$F100))</f>
        <v/>
      </c>
      <c r="M707" s="0" t="str">
        <f aca="false">IF($G707=0,"",IF(对账补充行!$G100=0,"",对账补充行!$G100))</f>
        <v/>
      </c>
      <c r="N707" s="0" t="str">
        <f aca="false">IF($G707=0,"",IF(对账补充行!$H100=0,"",对账补充行!$H100))</f>
        <v/>
      </c>
      <c r="O707" s="0" t="str">
        <f aca="false">IF($G707=0,"",IF(对账补充行!$I100=0,"",对账补充行!$I100))</f>
        <v/>
      </c>
      <c r="P707" s="0" t="str">
        <f aca="false">IF($G707=0,"",IF(对账补充行!$J100=0,"",对账补充行!$J100))</f>
        <v/>
      </c>
      <c r="T707" s="0" t="str">
        <f aca="false">IF(成本费用登记表!$D107="","",成本费用登记表!$D107)</f>
        <v/>
      </c>
      <c r="U707" s="0" t="n">
        <f aca="false">IF(T707="",0,IF(MATCH(T707,$T$4:$T$903,0)=ROW()-3,1,0))</f>
        <v>0</v>
      </c>
      <c r="V707" s="0" t="n">
        <f aca="false">N(V706)+U707</f>
        <v>30</v>
      </c>
    </row>
    <row r="708" customFormat="false" ht="13.5" hidden="false" customHeight="false" outlineLevel="0" collapsed="false">
      <c r="A708" s="0" t="str">
        <f aca="false">IF(资金日记账!$E406="","",资金日记账!$E406)</f>
        <v/>
      </c>
      <c r="B708" s="0" t="n">
        <f aca="false">IF(A708="",0,IF(MATCH(A708,$A$4:$A$1925,0)=ROW()-3,1,0))</f>
        <v>0</v>
      </c>
      <c r="C708" s="0" t="n">
        <f aca="false">N(C707)+B708</f>
        <v>11</v>
      </c>
      <c r="G708" s="0" t="n">
        <f aca="false">IF(OR($G$1="",对账补充行!$C101="",对账补充行!$C101&lt;&gt;$G$1),0,IF(NOT(OR(N(对账补充行!$H101)&lt;&gt;0,N(对账补充行!$I101)&lt;&gt;0)),0,IF(对账补充行!$B101="",1,IF(OR(N(对账补充行!$B101)&lt;$H$1,N(对账补充行!$B101)&gt;$I$1),0,1))))</f>
        <v>0</v>
      </c>
      <c r="H708" s="0" t="n">
        <f aca="false">N(H707)+$G708</f>
        <v>3</v>
      </c>
      <c r="I708" s="0" t="str">
        <f aca="false">IF($G708=0,"",IF(对账补充行!$B101=0,"",对账补充行!$B101))</f>
        <v/>
      </c>
      <c r="J708" s="0" t="str">
        <f aca="false">IF($G708=0,"",IF(对账补充行!$D101=0,"",对账补充行!$D101))</f>
        <v/>
      </c>
      <c r="K708" s="0" t="str">
        <f aca="false">IF($G708=0,"",IF(对账补充行!$E101=0,"",对账补充行!$E101))</f>
        <v/>
      </c>
      <c r="L708" s="0" t="str">
        <f aca="false">IF($G708=0,"",IF(对账补充行!$F101=0,"",对账补充行!$F101))</f>
        <v/>
      </c>
      <c r="M708" s="0" t="str">
        <f aca="false">IF($G708=0,"",IF(对账补充行!$G101=0,"",对账补充行!$G101))</f>
        <v/>
      </c>
      <c r="N708" s="0" t="str">
        <f aca="false">IF($G708=0,"",IF(对账补充行!$H101=0,"",对账补充行!$H101))</f>
        <v/>
      </c>
      <c r="O708" s="0" t="str">
        <f aca="false">IF($G708=0,"",IF(对账补充行!$I101=0,"",对账补充行!$I101))</f>
        <v/>
      </c>
      <c r="P708" s="0" t="str">
        <f aca="false">IF($G708=0,"",IF(对账补充行!$J101=0,"",对账补充行!$J101))</f>
        <v/>
      </c>
      <c r="T708" s="0" t="str">
        <f aca="false">IF(成本费用登记表!$D108="","",成本费用登记表!$D108)</f>
        <v/>
      </c>
      <c r="U708" s="0" t="n">
        <f aca="false">IF(T708="",0,IF(MATCH(T708,$T$4:$T$903,0)=ROW()-3,1,0))</f>
        <v>0</v>
      </c>
      <c r="V708" s="0" t="n">
        <f aca="false">N(V707)+U708</f>
        <v>30</v>
      </c>
    </row>
    <row r="709" customFormat="false" ht="13.5" hidden="false" customHeight="false" outlineLevel="0" collapsed="false">
      <c r="A709" s="0" t="str">
        <f aca="false">IF(资金日记账!$E407="","",资金日记账!$E407)</f>
        <v/>
      </c>
      <c r="B709" s="0" t="n">
        <f aca="false">IF(A709="",0,IF(MATCH(A709,$A$4:$A$1925,0)=ROW()-3,1,0))</f>
        <v>0</v>
      </c>
      <c r="C709" s="0" t="n">
        <f aca="false">N(C708)+B709</f>
        <v>11</v>
      </c>
      <c r="G709" s="0" t="n">
        <f aca="false">IF(OR($G$1="",对账补充行!$C102="",对账补充行!$C102&lt;&gt;$G$1),0,IF(NOT(OR(N(对账补充行!$H102)&lt;&gt;0,N(对账补充行!$I102)&lt;&gt;0)),0,IF(对账补充行!$B102="",1,IF(OR(N(对账补充行!$B102)&lt;$H$1,N(对账补充行!$B102)&gt;$I$1),0,1))))</f>
        <v>0</v>
      </c>
      <c r="H709" s="0" t="n">
        <f aca="false">N(H708)+$G709</f>
        <v>3</v>
      </c>
      <c r="I709" s="0" t="str">
        <f aca="false">IF($G709=0,"",IF(对账补充行!$B102=0,"",对账补充行!$B102))</f>
        <v/>
      </c>
      <c r="J709" s="0" t="str">
        <f aca="false">IF($G709=0,"",IF(对账补充行!$D102=0,"",对账补充行!$D102))</f>
        <v/>
      </c>
      <c r="K709" s="0" t="str">
        <f aca="false">IF($G709=0,"",IF(对账补充行!$E102=0,"",对账补充行!$E102))</f>
        <v/>
      </c>
      <c r="L709" s="0" t="str">
        <f aca="false">IF($G709=0,"",IF(对账补充行!$F102=0,"",对账补充行!$F102))</f>
        <v/>
      </c>
      <c r="M709" s="0" t="str">
        <f aca="false">IF($G709=0,"",IF(对账补充行!$G102=0,"",对账补充行!$G102))</f>
        <v/>
      </c>
      <c r="N709" s="0" t="str">
        <f aca="false">IF($G709=0,"",IF(对账补充行!$H102=0,"",对账补充行!$H102))</f>
        <v/>
      </c>
      <c r="O709" s="0" t="str">
        <f aca="false">IF($G709=0,"",IF(对账补充行!$I102=0,"",对账补充行!$I102))</f>
        <v/>
      </c>
      <c r="P709" s="0" t="str">
        <f aca="false">IF($G709=0,"",IF(对账补充行!$J102=0,"",对账补充行!$J102))</f>
        <v/>
      </c>
      <c r="T709" s="0" t="str">
        <f aca="false">IF(成本费用登记表!$D109="","",成本费用登记表!$D109)</f>
        <v/>
      </c>
      <c r="U709" s="0" t="n">
        <f aca="false">IF(T709="",0,IF(MATCH(T709,$T$4:$T$903,0)=ROW()-3,1,0))</f>
        <v>0</v>
      </c>
      <c r="V709" s="0" t="n">
        <f aca="false">N(V708)+U709</f>
        <v>30</v>
      </c>
    </row>
    <row r="710" customFormat="false" ht="13.5" hidden="false" customHeight="false" outlineLevel="0" collapsed="false">
      <c r="A710" s="0" t="str">
        <f aca="false">IF(资金日记账!$E408="","",资金日记账!$E408)</f>
        <v/>
      </c>
      <c r="B710" s="0" t="n">
        <f aca="false">IF(A710="",0,IF(MATCH(A710,$A$4:$A$1925,0)=ROW()-3,1,0))</f>
        <v>0</v>
      </c>
      <c r="C710" s="0" t="n">
        <f aca="false">N(C709)+B710</f>
        <v>11</v>
      </c>
      <c r="G710" s="0" t="n">
        <f aca="false">IF(OR($G$1="",对账补充行!$C103="",对账补充行!$C103&lt;&gt;$G$1),0,IF(NOT(OR(N(对账补充行!$H103)&lt;&gt;0,N(对账补充行!$I103)&lt;&gt;0)),0,IF(对账补充行!$B103="",1,IF(OR(N(对账补充行!$B103)&lt;$H$1,N(对账补充行!$B103)&gt;$I$1),0,1))))</f>
        <v>0</v>
      </c>
      <c r="H710" s="0" t="n">
        <f aca="false">N(H709)+$G710</f>
        <v>3</v>
      </c>
      <c r="I710" s="0" t="str">
        <f aca="false">IF($G710=0,"",IF(对账补充行!$B103=0,"",对账补充行!$B103))</f>
        <v/>
      </c>
      <c r="J710" s="0" t="str">
        <f aca="false">IF($G710=0,"",IF(对账补充行!$D103=0,"",对账补充行!$D103))</f>
        <v/>
      </c>
      <c r="K710" s="0" t="str">
        <f aca="false">IF($G710=0,"",IF(对账补充行!$E103=0,"",对账补充行!$E103))</f>
        <v/>
      </c>
      <c r="L710" s="0" t="str">
        <f aca="false">IF($G710=0,"",IF(对账补充行!$F103=0,"",对账补充行!$F103))</f>
        <v/>
      </c>
      <c r="M710" s="0" t="str">
        <f aca="false">IF($G710=0,"",IF(对账补充行!$G103=0,"",对账补充行!$G103))</f>
        <v/>
      </c>
      <c r="N710" s="0" t="str">
        <f aca="false">IF($G710=0,"",IF(对账补充行!$H103=0,"",对账补充行!$H103))</f>
        <v/>
      </c>
      <c r="O710" s="0" t="str">
        <f aca="false">IF($G710=0,"",IF(对账补充行!$I103=0,"",对账补充行!$I103))</f>
        <v/>
      </c>
      <c r="P710" s="0" t="str">
        <f aca="false">IF($G710=0,"",IF(对账补充行!$J103=0,"",对账补充行!$J103))</f>
        <v/>
      </c>
      <c r="T710" s="0" t="str">
        <f aca="false">IF(成本费用登记表!$D110="","",成本费用登记表!$D110)</f>
        <v/>
      </c>
      <c r="U710" s="0" t="n">
        <f aca="false">IF(T710="",0,IF(MATCH(T710,$T$4:$T$903,0)=ROW()-3,1,0))</f>
        <v>0</v>
      </c>
      <c r="V710" s="0" t="n">
        <f aca="false">N(V709)+U710</f>
        <v>30</v>
      </c>
    </row>
    <row r="711" customFormat="false" ht="13.5" hidden="false" customHeight="false" outlineLevel="0" collapsed="false">
      <c r="A711" s="0" t="str">
        <f aca="false">IF(资金日记账!$E409="","",资金日记账!$E409)</f>
        <v/>
      </c>
      <c r="B711" s="0" t="n">
        <f aca="false">IF(A711="",0,IF(MATCH(A711,$A$4:$A$1925,0)=ROW()-3,1,0))</f>
        <v>0</v>
      </c>
      <c r="C711" s="0" t="n">
        <f aca="false">N(C710)+B711</f>
        <v>11</v>
      </c>
      <c r="G711" s="0" t="n">
        <f aca="false">IF(OR($G$1="",对账补充行!$C104="",对账补充行!$C104&lt;&gt;$G$1),0,IF(NOT(OR(N(对账补充行!$H104)&lt;&gt;0,N(对账补充行!$I104)&lt;&gt;0)),0,IF(对账补充行!$B104="",1,IF(OR(N(对账补充行!$B104)&lt;$H$1,N(对账补充行!$B104)&gt;$I$1),0,1))))</f>
        <v>0</v>
      </c>
      <c r="H711" s="0" t="n">
        <f aca="false">N(H710)+$G711</f>
        <v>3</v>
      </c>
      <c r="I711" s="0" t="str">
        <f aca="false">IF($G711=0,"",IF(对账补充行!$B104=0,"",对账补充行!$B104))</f>
        <v/>
      </c>
      <c r="J711" s="0" t="str">
        <f aca="false">IF($G711=0,"",IF(对账补充行!$D104=0,"",对账补充行!$D104))</f>
        <v/>
      </c>
      <c r="K711" s="0" t="str">
        <f aca="false">IF($G711=0,"",IF(对账补充行!$E104=0,"",对账补充行!$E104))</f>
        <v/>
      </c>
      <c r="L711" s="0" t="str">
        <f aca="false">IF($G711=0,"",IF(对账补充行!$F104=0,"",对账补充行!$F104))</f>
        <v/>
      </c>
      <c r="M711" s="0" t="str">
        <f aca="false">IF($G711=0,"",IF(对账补充行!$G104=0,"",对账补充行!$G104))</f>
        <v/>
      </c>
      <c r="N711" s="0" t="str">
        <f aca="false">IF($G711=0,"",IF(对账补充行!$H104=0,"",对账补充行!$H104))</f>
        <v/>
      </c>
      <c r="O711" s="0" t="str">
        <f aca="false">IF($G711=0,"",IF(对账补充行!$I104=0,"",对账补充行!$I104))</f>
        <v/>
      </c>
      <c r="P711" s="0" t="str">
        <f aca="false">IF($G711=0,"",IF(对账补充行!$J104=0,"",对账补充行!$J104))</f>
        <v/>
      </c>
      <c r="T711" s="0" t="str">
        <f aca="false">IF(成本费用登记表!$D111="","",成本费用登记表!$D111)</f>
        <v/>
      </c>
      <c r="U711" s="0" t="n">
        <f aca="false">IF(T711="",0,IF(MATCH(T711,$T$4:$T$903,0)=ROW()-3,1,0))</f>
        <v>0</v>
      </c>
      <c r="V711" s="0" t="n">
        <f aca="false">N(V710)+U711</f>
        <v>30</v>
      </c>
    </row>
    <row r="712" customFormat="false" ht="13.5" hidden="false" customHeight="false" outlineLevel="0" collapsed="false">
      <c r="A712" s="0" t="str">
        <f aca="false">IF(资金日记账!$E410="","",资金日记账!$E410)</f>
        <v/>
      </c>
      <c r="B712" s="0" t="n">
        <f aca="false">IF(A712="",0,IF(MATCH(A712,$A$4:$A$1925,0)=ROW()-3,1,0))</f>
        <v>0</v>
      </c>
      <c r="C712" s="0" t="n">
        <f aca="false">N(C711)+B712</f>
        <v>11</v>
      </c>
      <c r="G712" s="0" t="n">
        <f aca="false">IF(OR($G$1="",对账补充行!$C105="",对账补充行!$C105&lt;&gt;$G$1),0,IF(NOT(OR(N(对账补充行!$H105)&lt;&gt;0,N(对账补充行!$I105)&lt;&gt;0)),0,IF(对账补充行!$B105="",1,IF(OR(N(对账补充行!$B105)&lt;$H$1,N(对账补充行!$B105)&gt;$I$1),0,1))))</f>
        <v>0</v>
      </c>
      <c r="H712" s="0" t="n">
        <f aca="false">N(H711)+$G712</f>
        <v>3</v>
      </c>
      <c r="I712" s="0" t="str">
        <f aca="false">IF($G712=0,"",IF(对账补充行!$B105=0,"",对账补充行!$B105))</f>
        <v/>
      </c>
      <c r="J712" s="0" t="str">
        <f aca="false">IF($G712=0,"",IF(对账补充行!$D105=0,"",对账补充行!$D105))</f>
        <v/>
      </c>
      <c r="K712" s="0" t="str">
        <f aca="false">IF($G712=0,"",IF(对账补充行!$E105=0,"",对账补充行!$E105))</f>
        <v/>
      </c>
      <c r="L712" s="0" t="str">
        <f aca="false">IF($G712=0,"",IF(对账补充行!$F105=0,"",对账补充行!$F105))</f>
        <v/>
      </c>
      <c r="M712" s="0" t="str">
        <f aca="false">IF($G712=0,"",IF(对账补充行!$G105=0,"",对账补充行!$G105))</f>
        <v/>
      </c>
      <c r="N712" s="0" t="str">
        <f aca="false">IF($G712=0,"",IF(对账补充行!$H105=0,"",对账补充行!$H105))</f>
        <v/>
      </c>
      <c r="O712" s="0" t="str">
        <f aca="false">IF($G712=0,"",IF(对账补充行!$I105=0,"",对账补充行!$I105))</f>
        <v/>
      </c>
      <c r="P712" s="0" t="str">
        <f aca="false">IF($G712=0,"",IF(对账补充行!$J105=0,"",对账补充行!$J105))</f>
        <v/>
      </c>
      <c r="T712" s="0" t="str">
        <f aca="false">IF(成本费用登记表!$D112="","",成本费用登记表!$D112)</f>
        <v/>
      </c>
      <c r="U712" s="0" t="n">
        <f aca="false">IF(T712="",0,IF(MATCH(T712,$T$4:$T$903,0)=ROW()-3,1,0))</f>
        <v>0</v>
      </c>
      <c r="V712" s="0" t="n">
        <f aca="false">N(V711)+U712</f>
        <v>30</v>
      </c>
    </row>
    <row r="713" customFormat="false" ht="13.5" hidden="false" customHeight="false" outlineLevel="0" collapsed="false">
      <c r="A713" s="0" t="str">
        <f aca="false">IF(资金日记账!$E411="","",资金日记账!$E411)</f>
        <v/>
      </c>
      <c r="B713" s="0" t="n">
        <f aca="false">IF(A713="",0,IF(MATCH(A713,$A$4:$A$1925,0)=ROW()-3,1,0))</f>
        <v>0</v>
      </c>
      <c r="C713" s="0" t="n">
        <f aca="false">N(C712)+B713</f>
        <v>11</v>
      </c>
      <c r="G713" s="0" t="n">
        <f aca="false">IF(OR($G$1="",对账补充行!$C106="",对账补充行!$C106&lt;&gt;$G$1),0,IF(NOT(OR(N(对账补充行!$H106)&lt;&gt;0,N(对账补充行!$I106)&lt;&gt;0)),0,IF(对账补充行!$B106="",1,IF(OR(N(对账补充行!$B106)&lt;$H$1,N(对账补充行!$B106)&gt;$I$1),0,1))))</f>
        <v>0</v>
      </c>
      <c r="H713" s="0" t="n">
        <f aca="false">N(H712)+$G713</f>
        <v>3</v>
      </c>
      <c r="I713" s="0" t="str">
        <f aca="false">IF($G713=0,"",IF(对账补充行!$B106=0,"",对账补充行!$B106))</f>
        <v/>
      </c>
      <c r="J713" s="0" t="str">
        <f aca="false">IF($G713=0,"",IF(对账补充行!$D106=0,"",对账补充行!$D106))</f>
        <v/>
      </c>
      <c r="K713" s="0" t="str">
        <f aca="false">IF($G713=0,"",IF(对账补充行!$E106=0,"",对账补充行!$E106))</f>
        <v/>
      </c>
      <c r="L713" s="0" t="str">
        <f aca="false">IF($G713=0,"",IF(对账补充行!$F106=0,"",对账补充行!$F106))</f>
        <v/>
      </c>
      <c r="M713" s="0" t="str">
        <f aca="false">IF($G713=0,"",IF(对账补充行!$G106=0,"",对账补充行!$G106))</f>
        <v/>
      </c>
      <c r="N713" s="0" t="str">
        <f aca="false">IF($G713=0,"",IF(对账补充行!$H106=0,"",对账补充行!$H106))</f>
        <v/>
      </c>
      <c r="O713" s="0" t="str">
        <f aca="false">IF($G713=0,"",IF(对账补充行!$I106=0,"",对账补充行!$I106))</f>
        <v/>
      </c>
      <c r="P713" s="0" t="str">
        <f aca="false">IF($G713=0,"",IF(对账补充行!$J106=0,"",对账补充行!$J106))</f>
        <v/>
      </c>
      <c r="T713" s="0" t="str">
        <f aca="false">IF(成本费用登记表!$D113="","",成本费用登记表!$D113)</f>
        <v/>
      </c>
      <c r="U713" s="0" t="n">
        <f aca="false">IF(T713="",0,IF(MATCH(T713,$T$4:$T$903,0)=ROW()-3,1,0))</f>
        <v>0</v>
      </c>
      <c r="V713" s="0" t="n">
        <f aca="false">N(V712)+U713</f>
        <v>30</v>
      </c>
    </row>
    <row r="714" customFormat="false" ht="13.5" hidden="false" customHeight="false" outlineLevel="0" collapsed="false">
      <c r="A714" s="0" t="str">
        <f aca="false">IF(资金日记账!$E412="","",资金日记账!$E412)</f>
        <v/>
      </c>
      <c r="B714" s="0" t="n">
        <f aca="false">IF(A714="",0,IF(MATCH(A714,$A$4:$A$1925,0)=ROW()-3,1,0))</f>
        <v>0</v>
      </c>
      <c r="C714" s="0" t="n">
        <f aca="false">N(C713)+B714</f>
        <v>11</v>
      </c>
      <c r="G714" s="0" t="n">
        <f aca="false">IF(OR($G$1="",对账补充行!$C107="",对账补充行!$C107&lt;&gt;$G$1),0,IF(NOT(OR(N(对账补充行!$H107)&lt;&gt;0,N(对账补充行!$I107)&lt;&gt;0)),0,IF(对账补充行!$B107="",1,IF(OR(N(对账补充行!$B107)&lt;$H$1,N(对账补充行!$B107)&gt;$I$1),0,1))))</f>
        <v>0</v>
      </c>
      <c r="H714" s="0" t="n">
        <f aca="false">N(H713)+$G714</f>
        <v>3</v>
      </c>
      <c r="I714" s="0" t="str">
        <f aca="false">IF($G714=0,"",IF(对账补充行!$B107=0,"",对账补充行!$B107))</f>
        <v/>
      </c>
      <c r="J714" s="0" t="str">
        <f aca="false">IF($G714=0,"",IF(对账补充行!$D107=0,"",对账补充行!$D107))</f>
        <v/>
      </c>
      <c r="K714" s="0" t="str">
        <f aca="false">IF($G714=0,"",IF(对账补充行!$E107=0,"",对账补充行!$E107))</f>
        <v/>
      </c>
      <c r="L714" s="0" t="str">
        <f aca="false">IF($G714=0,"",IF(对账补充行!$F107=0,"",对账补充行!$F107))</f>
        <v/>
      </c>
      <c r="M714" s="0" t="str">
        <f aca="false">IF($G714=0,"",IF(对账补充行!$G107=0,"",对账补充行!$G107))</f>
        <v/>
      </c>
      <c r="N714" s="0" t="str">
        <f aca="false">IF($G714=0,"",IF(对账补充行!$H107=0,"",对账补充行!$H107))</f>
        <v/>
      </c>
      <c r="O714" s="0" t="str">
        <f aca="false">IF($G714=0,"",IF(对账补充行!$I107=0,"",对账补充行!$I107))</f>
        <v/>
      </c>
      <c r="P714" s="0" t="str">
        <f aca="false">IF($G714=0,"",IF(对账补充行!$J107=0,"",对账补充行!$J107))</f>
        <v/>
      </c>
      <c r="T714" s="0" t="str">
        <f aca="false">IF(成本费用登记表!$D114="","",成本费用登记表!$D114)</f>
        <v/>
      </c>
      <c r="U714" s="0" t="n">
        <f aca="false">IF(T714="",0,IF(MATCH(T714,$T$4:$T$903,0)=ROW()-3,1,0))</f>
        <v>0</v>
      </c>
      <c r="V714" s="0" t="n">
        <f aca="false">N(V713)+U714</f>
        <v>30</v>
      </c>
    </row>
    <row r="715" customFormat="false" ht="13.5" hidden="false" customHeight="false" outlineLevel="0" collapsed="false">
      <c r="A715" s="0" t="str">
        <f aca="false">IF(资金日记账!$E413="","",资金日记账!$E413)</f>
        <v/>
      </c>
      <c r="B715" s="0" t="n">
        <f aca="false">IF(A715="",0,IF(MATCH(A715,$A$4:$A$1925,0)=ROW()-3,1,0))</f>
        <v>0</v>
      </c>
      <c r="C715" s="0" t="n">
        <f aca="false">N(C714)+B715</f>
        <v>11</v>
      </c>
      <c r="G715" s="0" t="n">
        <f aca="false">IF(OR($G$1="",对账补充行!$C108="",对账补充行!$C108&lt;&gt;$G$1),0,IF(NOT(OR(N(对账补充行!$H108)&lt;&gt;0,N(对账补充行!$I108)&lt;&gt;0)),0,IF(对账补充行!$B108="",1,IF(OR(N(对账补充行!$B108)&lt;$H$1,N(对账补充行!$B108)&gt;$I$1),0,1))))</f>
        <v>0</v>
      </c>
      <c r="H715" s="0" t="n">
        <f aca="false">N(H714)+$G715</f>
        <v>3</v>
      </c>
      <c r="I715" s="0" t="str">
        <f aca="false">IF($G715=0,"",IF(对账补充行!$B108=0,"",对账补充行!$B108))</f>
        <v/>
      </c>
      <c r="J715" s="0" t="str">
        <f aca="false">IF($G715=0,"",IF(对账补充行!$D108=0,"",对账补充行!$D108))</f>
        <v/>
      </c>
      <c r="K715" s="0" t="str">
        <f aca="false">IF($G715=0,"",IF(对账补充行!$E108=0,"",对账补充行!$E108))</f>
        <v/>
      </c>
      <c r="L715" s="0" t="str">
        <f aca="false">IF($G715=0,"",IF(对账补充行!$F108=0,"",对账补充行!$F108))</f>
        <v/>
      </c>
      <c r="M715" s="0" t="str">
        <f aca="false">IF($G715=0,"",IF(对账补充行!$G108=0,"",对账补充行!$G108))</f>
        <v/>
      </c>
      <c r="N715" s="0" t="str">
        <f aca="false">IF($G715=0,"",IF(对账补充行!$H108=0,"",对账补充行!$H108))</f>
        <v/>
      </c>
      <c r="O715" s="0" t="str">
        <f aca="false">IF($G715=0,"",IF(对账补充行!$I108=0,"",对账补充行!$I108))</f>
        <v/>
      </c>
      <c r="P715" s="0" t="str">
        <f aca="false">IF($G715=0,"",IF(对账补充行!$J108=0,"",对账补充行!$J108))</f>
        <v/>
      </c>
      <c r="T715" s="0" t="str">
        <f aca="false">IF(成本费用登记表!$D115="","",成本费用登记表!$D115)</f>
        <v/>
      </c>
      <c r="U715" s="0" t="n">
        <f aca="false">IF(T715="",0,IF(MATCH(T715,$T$4:$T$903,0)=ROW()-3,1,0))</f>
        <v>0</v>
      </c>
      <c r="V715" s="0" t="n">
        <f aca="false">N(V714)+U715</f>
        <v>30</v>
      </c>
    </row>
    <row r="716" customFormat="false" ht="13.5" hidden="false" customHeight="false" outlineLevel="0" collapsed="false">
      <c r="A716" s="0" t="str">
        <f aca="false">IF(资金日记账!$E414="","",资金日记账!$E414)</f>
        <v/>
      </c>
      <c r="B716" s="0" t="n">
        <f aca="false">IF(A716="",0,IF(MATCH(A716,$A$4:$A$1925,0)=ROW()-3,1,0))</f>
        <v>0</v>
      </c>
      <c r="C716" s="0" t="n">
        <f aca="false">N(C715)+B716</f>
        <v>11</v>
      </c>
      <c r="G716" s="0" t="n">
        <f aca="false">IF(OR($G$1="",对账补充行!$C109="",对账补充行!$C109&lt;&gt;$G$1),0,IF(NOT(OR(N(对账补充行!$H109)&lt;&gt;0,N(对账补充行!$I109)&lt;&gt;0)),0,IF(对账补充行!$B109="",1,IF(OR(N(对账补充行!$B109)&lt;$H$1,N(对账补充行!$B109)&gt;$I$1),0,1))))</f>
        <v>0</v>
      </c>
      <c r="H716" s="0" t="n">
        <f aca="false">N(H715)+$G716</f>
        <v>3</v>
      </c>
      <c r="I716" s="0" t="str">
        <f aca="false">IF($G716=0,"",IF(对账补充行!$B109=0,"",对账补充行!$B109))</f>
        <v/>
      </c>
      <c r="J716" s="0" t="str">
        <f aca="false">IF($G716=0,"",IF(对账补充行!$D109=0,"",对账补充行!$D109))</f>
        <v/>
      </c>
      <c r="K716" s="0" t="str">
        <f aca="false">IF($G716=0,"",IF(对账补充行!$E109=0,"",对账补充行!$E109))</f>
        <v/>
      </c>
      <c r="L716" s="0" t="str">
        <f aca="false">IF($G716=0,"",IF(对账补充行!$F109=0,"",对账补充行!$F109))</f>
        <v/>
      </c>
      <c r="M716" s="0" t="str">
        <f aca="false">IF($G716=0,"",IF(对账补充行!$G109=0,"",对账补充行!$G109))</f>
        <v/>
      </c>
      <c r="N716" s="0" t="str">
        <f aca="false">IF($G716=0,"",IF(对账补充行!$H109=0,"",对账补充行!$H109))</f>
        <v/>
      </c>
      <c r="O716" s="0" t="str">
        <f aca="false">IF($G716=0,"",IF(对账补充行!$I109=0,"",对账补充行!$I109))</f>
        <v/>
      </c>
      <c r="P716" s="0" t="str">
        <f aca="false">IF($G716=0,"",IF(对账补充行!$J109=0,"",对账补充行!$J109))</f>
        <v/>
      </c>
      <c r="T716" s="0" t="str">
        <f aca="false">IF(成本费用登记表!$D116="","",成本费用登记表!$D116)</f>
        <v/>
      </c>
      <c r="U716" s="0" t="n">
        <f aca="false">IF(T716="",0,IF(MATCH(T716,$T$4:$T$903,0)=ROW()-3,1,0))</f>
        <v>0</v>
      </c>
      <c r="V716" s="0" t="n">
        <f aca="false">N(V715)+U716</f>
        <v>30</v>
      </c>
    </row>
    <row r="717" customFormat="false" ht="13.5" hidden="false" customHeight="false" outlineLevel="0" collapsed="false">
      <c r="A717" s="0" t="str">
        <f aca="false">IF(资金日记账!$E415="","",资金日记账!$E415)</f>
        <v/>
      </c>
      <c r="B717" s="0" t="n">
        <f aca="false">IF(A717="",0,IF(MATCH(A717,$A$4:$A$1925,0)=ROW()-3,1,0))</f>
        <v>0</v>
      </c>
      <c r="C717" s="0" t="n">
        <f aca="false">N(C716)+B717</f>
        <v>11</v>
      </c>
      <c r="G717" s="0" t="n">
        <f aca="false">IF(OR($G$1="",对账补充行!$C110="",对账补充行!$C110&lt;&gt;$G$1),0,IF(NOT(OR(N(对账补充行!$H110)&lt;&gt;0,N(对账补充行!$I110)&lt;&gt;0)),0,IF(对账补充行!$B110="",1,IF(OR(N(对账补充行!$B110)&lt;$H$1,N(对账补充行!$B110)&gt;$I$1),0,1))))</f>
        <v>0</v>
      </c>
      <c r="H717" s="0" t="n">
        <f aca="false">N(H716)+$G717</f>
        <v>3</v>
      </c>
      <c r="I717" s="0" t="str">
        <f aca="false">IF($G717=0,"",IF(对账补充行!$B110=0,"",对账补充行!$B110))</f>
        <v/>
      </c>
      <c r="J717" s="0" t="str">
        <f aca="false">IF($G717=0,"",IF(对账补充行!$D110=0,"",对账补充行!$D110))</f>
        <v/>
      </c>
      <c r="K717" s="0" t="str">
        <f aca="false">IF($G717=0,"",IF(对账补充行!$E110=0,"",对账补充行!$E110))</f>
        <v/>
      </c>
      <c r="L717" s="0" t="str">
        <f aca="false">IF($G717=0,"",IF(对账补充行!$F110=0,"",对账补充行!$F110))</f>
        <v/>
      </c>
      <c r="M717" s="0" t="str">
        <f aca="false">IF($G717=0,"",IF(对账补充行!$G110=0,"",对账补充行!$G110))</f>
        <v/>
      </c>
      <c r="N717" s="0" t="str">
        <f aca="false">IF($G717=0,"",IF(对账补充行!$H110=0,"",对账补充行!$H110))</f>
        <v/>
      </c>
      <c r="O717" s="0" t="str">
        <f aca="false">IF($G717=0,"",IF(对账补充行!$I110=0,"",对账补充行!$I110))</f>
        <v/>
      </c>
      <c r="P717" s="0" t="str">
        <f aca="false">IF($G717=0,"",IF(对账补充行!$J110=0,"",对账补充行!$J110))</f>
        <v/>
      </c>
      <c r="T717" s="0" t="str">
        <f aca="false">IF(成本费用登记表!$D117="","",成本费用登记表!$D117)</f>
        <v/>
      </c>
      <c r="U717" s="0" t="n">
        <f aca="false">IF(T717="",0,IF(MATCH(T717,$T$4:$T$903,0)=ROW()-3,1,0))</f>
        <v>0</v>
      </c>
      <c r="V717" s="0" t="n">
        <f aca="false">N(V716)+U717</f>
        <v>30</v>
      </c>
    </row>
    <row r="718" customFormat="false" ht="13.5" hidden="false" customHeight="false" outlineLevel="0" collapsed="false">
      <c r="A718" s="0" t="str">
        <f aca="false">IF(资金日记账!$E416="","",资金日记账!$E416)</f>
        <v/>
      </c>
      <c r="B718" s="0" t="n">
        <f aca="false">IF(A718="",0,IF(MATCH(A718,$A$4:$A$1925,0)=ROW()-3,1,0))</f>
        <v>0</v>
      </c>
      <c r="C718" s="0" t="n">
        <f aca="false">N(C717)+B718</f>
        <v>11</v>
      </c>
      <c r="G718" s="0" t="n">
        <f aca="false">IF(OR($G$1="",对账补充行!$C111="",对账补充行!$C111&lt;&gt;$G$1),0,IF(NOT(OR(N(对账补充行!$H111)&lt;&gt;0,N(对账补充行!$I111)&lt;&gt;0)),0,IF(对账补充行!$B111="",1,IF(OR(N(对账补充行!$B111)&lt;$H$1,N(对账补充行!$B111)&gt;$I$1),0,1))))</f>
        <v>0</v>
      </c>
      <c r="H718" s="0" t="n">
        <f aca="false">N(H717)+$G718</f>
        <v>3</v>
      </c>
      <c r="I718" s="0" t="str">
        <f aca="false">IF($G718=0,"",IF(对账补充行!$B111=0,"",对账补充行!$B111))</f>
        <v/>
      </c>
      <c r="J718" s="0" t="str">
        <f aca="false">IF($G718=0,"",IF(对账补充行!$D111=0,"",对账补充行!$D111))</f>
        <v/>
      </c>
      <c r="K718" s="0" t="str">
        <f aca="false">IF($G718=0,"",IF(对账补充行!$E111=0,"",对账补充行!$E111))</f>
        <v/>
      </c>
      <c r="L718" s="0" t="str">
        <f aca="false">IF($G718=0,"",IF(对账补充行!$F111=0,"",对账补充行!$F111))</f>
        <v/>
      </c>
      <c r="M718" s="0" t="str">
        <f aca="false">IF($G718=0,"",IF(对账补充行!$G111=0,"",对账补充行!$G111))</f>
        <v/>
      </c>
      <c r="N718" s="0" t="str">
        <f aca="false">IF($G718=0,"",IF(对账补充行!$H111=0,"",对账补充行!$H111))</f>
        <v/>
      </c>
      <c r="O718" s="0" t="str">
        <f aca="false">IF($G718=0,"",IF(对账补充行!$I111=0,"",对账补充行!$I111))</f>
        <v/>
      </c>
      <c r="P718" s="0" t="str">
        <f aca="false">IF($G718=0,"",IF(对账补充行!$J111=0,"",对账补充行!$J111))</f>
        <v/>
      </c>
      <c r="T718" s="0" t="str">
        <f aca="false">IF(成本费用登记表!$D118="","",成本费用登记表!$D118)</f>
        <v/>
      </c>
      <c r="U718" s="0" t="n">
        <f aca="false">IF(T718="",0,IF(MATCH(T718,$T$4:$T$903,0)=ROW()-3,1,0))</f>
        <v>0</v>
      </c>
      <c r="V718" s="0" t="n">
        <f aca="false">N(V717)+U718</f>
        <v>30</v>
      </c>
    </row>
    <row r="719" customFormat="false" ht="13.5" hidden="false" customHeight="false" outlineLevel="0" collapsed="false">
      <c r="A719" s="0" t="str">
        <f aca="false">IF(资金日记账!$E417="","",资金日记账!$E417)</f>
        <v/>
      </c>
      <c r="B719" s="0" t="n">
        <f aca="false">IF(A719="",0,IF(MATCH(A719,$A$4:$A$1925,0)=ROW()-3,1,0))</f>
        <v>0</v>
      </c>
      <c r="C719" s="0" t="n">
        <f aca="false">N(C718)+B719</f>
        <v>11</v>
      </c>
      <c r="G719" s="0" t="n">
        <f aca="false">IF(OR($G$1="",对账补充行!$C112="",对账补充行!$C112&lt;&gt;$G$1),0,IF(NOT(OR(N(对账补充行!$H112)&lt;&gt;0,N(对账补充行!$I112)&lt;&gt;0)),0,IF(对账补充行!$B112="",1,IF(OR(N(对账补充行!$B112)&lt;$H$1,N(对账补充行!$B112)&gt;$I$1),0,1))))</f>
        <v>0</v>
      </c>
      <c r="H719" s="0" t="n">
        <f aca="false">N(H718)+$G719</f>
        <v>3</v>
      </c>
      <c r="I719" s="0" t="str">
        <f aca="false">IF($G719=0,"",IF(对账补充行!$B112=0,"",对账补充行!$B112))</f>
        <v/>
      </c>
      <c r="J719" s="0" t="str">
        <f aca="false">IF($G719=0,"",IF(对账补充行!$D112=0,"",对账补充行!$D112))</f>
        <v/>
      </c>
      <c r="K719" s="0" t="str">
        <f aca="false">IF($G719=0,"",IF(对账补充行!$E112=0,"",对账补充行!$E112))</f>
        <v/>
      </c>
      <c r="L719" s="0" t="str">
        <f aca="false">IF($G719=0,"",IF(对账补充行!$F112=0,"",对账补充行!$F112))</f>
        <v/>
      </c>
      <c r="M719" s="0" t="str">
        <f aca="false">IF($G719=0,"",IF(对账补充行!$G112=0,"",对账补充行!$G112))</f>
        <v/>
      </c>
      <c r="N719" s="0" t="str">
        <f aca="false">IF($G719=0,"",IF(对账补充行!$H112=0,"",对账补充行!$H112))</f>
        <v/>
      </c>
      <c r="O719" s="0" t="str">
        <f aca="false">IF($G719=0,"",IF(对账补充行!$I112=0,"",对账补充行!$I112))</f>
        <v/>
      </c>
      <c r="P719" s="0" t="str">
        <f aca="false">IF($G719=0,"",IF(对账补充行!$J112=0,"",对账补充行!$J112))</f>
        <v/>
      </c>
      <c r="T719" s="0" t="str">
        <f aca="false">IF(成本费用登记表!$D119="","",成本费用登记表!$D119)</f>
        <v/>
      </c>
      <c r="U719" s="0" t="n">
        <f aca="false">IF(T719="",0,IF(MATCH(T719,$T$4:$T$903,0)=ROW()-3,1,0))</f>
        <v>0</v>
      </c>
      <c r="V719" s="0" t="n">
        <f aca="false">N(V718)+U719</f>
        <v>30</v>
      </c>
    </row>
    <row r="720" customFormat="false" ht="13.5" hidden="false" customHeight="false" outlineLevel="0" collapsed="false">
      <c r="A720" s="0" t="str">
        <f aca="false">IF(资金日记账!$E418="","",资金日记账!$E418)</f>
        <v/>
      </c>
      <c r="B720" s="0" t="n">
        <f aca="false">IF(A720="",0,IF(MATCH(A720,$A$4:$A$1925,0)=ROW()-3,1,0))</f>
        <v>0</v>
      </c>
      <c r="C720" s="0" t="n">
        <f aca="false">N(C719)+B720</f>
        <v>11</v>
      </c>
      <c r="G720" s="0" t="n">
        <f aca="false">IF(OR($G$1="",对账补充行!$C113="",对账补充行!$C113&lt;&gt;$G$1),0,IF(NOT(OR(N(对账补充行!$H113)&lt;&gt;0,N(对账补充行!$I113)&lt;&gt;0)),0,IF(对账补充行!$B113="",1,IF(OR(N(对账补充行!$B113)&lt;$H$1,N(对账补充行!$B113)&gt;$I$1),0,1))))</f>
        <v>0</v>
      </c>
      <c r="H720" s="0" t="n">
        <f aca="false">N(H719)+$G720</f>
        <v>3</v>
      </c>
      <c r="I720" s="0" t="str">
        <f aca="false">IF($G720=0,"",IF(对账补充行!$B113=0,"",对账补充行!$B113))</f>
        <v/>
      </c>
      <c r="J720" s="0" t="str">
        <f aca="false">IF($G720=0,"",IF(对账补充行!$D113=0,"",对账补充行!$D113))</f>
        <v/>
      </c>
      <c r="K720" s="0" t="str">
        <f aca="false">IF($G720=0,"",IF(对账补充行!$E113=0,"",对账补充行!$E113))</f>
        <v/>
      </c>
      <c r="L720" s="0" t="str">
        <f aca="false">IF($G720=0,"",IF(对账补充行!$F113=0,"",对账补充行!$F113))</f>
        <v/>
      </c>
      <c r="M720" s="0" t="str">
        <f aca="false">IF($G720=0,"",IF(对账补充行!$G113=0,"",对账补充行!$G113))</f>
        <v/>
      </c>
      <c r="N720" s="0" t="str">
        <f aca="false">IF($G720=0,"",IF(对账补充行!$H113=0,"",对账补充行!$H113))</f>
        <v/>
      </c>
      <c r="O720" s="0" t="str">
        <f aca="false">IF($G720=0,"",IF(对账补充行!$I113=0,"",对账补充行!$I113))</f>
        <v/>
      </c>
      <c r="P720" s="0" t="str">
        <f aca="false">IF($G720=0,"",IF(对账补充行!$J113=0,"",对账补充行!$J113))</f>
        <v/>
      </c>
      <c r="T720" s="0" t="str">
        <f aca="false">IF(成本费用登记表!$D120="","",成本费用登记表!$D120)</f>
        <v/>
      </c>
      <c r="U720" s="0" t="n">
        <f aca="false">IF(T720="",0,IF(MATCH(T720,$T$4:$T$903,0)=ROW()-3,1,0))</f>
        <v>0</v>
      </c>
      <c r="V720" s="0" t="n">
        <f aca="false">N(V719)+U720</f>
        <v>30</v>
      </c>
    </row>
    <row r="721" customFormat="false" ht="13.5" hidden="false" customHeight="false" outlineLevel="0" collapsed="false">
      <c r="A721" s="0" t="str">
        <f aca="false">IF(资金日记账!$E419="","",资金日记账!$E419)</f>
        <v/>
      </c>
      <c r="B721" s="0" t="n">
        <f aca="false">IF(A721="",0,IF(MATCH(A721,$A$4:$A$1925,0)=ROW()-3,1,0))</f>
        <v>0</v>
      </c>
      <c r="C721" s="0" t="n">
        <f aca="false">N(C720)+B721</f>
        <v>11</v>
      </c>
      <c r="G721" s="0" t="n">
        <f aca="false">IF(OR($G$1="",对账补充行!$C114="",对账补充行!$C114&lt;&gt;$G$1),0,IF(NOT(OR(N(对账补充行!$H114)&lt;&gt;0,N(对账补充行!$I114)&lt;&gt;0)),0,IF(对账补充行!$B114="",1,IF(OR(N(对账补充行!$B114)&lt;$H$1,N(对账补充行!$B114)&gt;$I$1),0,1))))</f>
        <v>0</v>
      </c>
      <c r="H721" s="0" t="n">
        <f aca="false">N(H720)+$G721</f>
        <v>3</v>
      </c>
      <c r="I721" s="0" t="str">
        <f aca="false">IF($G721=0,"",IF(对账补充行!$B114=0,"",对账补充行!$B114))</f>
        <v/>
      </c>
      <c r="J721" s="0" t="str">
        <f aca="false">IF($G721=0,"",IF(对账补充行!$D114=0,"",对账补充行!$D114))</f>
        <v/>
      </c>
      <c r="K721" s="0" t="str">
        <f aca="false">IF($G721=0,"",IF(对账补充行!$E114=0,"",对账补充行!$E114))</f>
        <v/>
      </c>
      <c r="L721" s="0" t="str">
        <f aca="false">IF($G721=0,"",IF(对账补充行!$F114=0,"",对账补充行!$F114))</f>
        <v/>
      </c>
      <c r="M721" s="0" t="str">
        <f aca="false">IF($G721=0,"",IF(对账补充行!$G114=0,"",对账补充行!$G114))</f>
        <v/>
      </c>
      <c r="N721" s="0" t="str">
        <f aca="false">IF($G721=0,"",IF(对账补充行!$H114=0,"",对账补充行!$H114))</f>
        <v/>
      </c>
      <c r="O721" s="0" t="str">
        <f aca="false">IF($G721=0,"",IF(对账补充行!$I114=0,"",对账补充行!$I114))</f>
        <v/>
      </c>
      <c r="P721" s="0" t="str">
        <f aca="false">IF($G721=0,"",IF(对账补充行!$J114=0,"",对账补充行!$J114))</f>
        <v/>
      </c>
      <c r="T721" s="0" t="str">
        <f aca="false">IF(成本费用登记表!$D121="","",成本费用登记表!$D121)</f>
        <v/>
      </c>
      <c r="U721" s="0" t="n">
        <f aca="false">IF(T721="",0,IF(MATCH(T721,$T$4:$T$903,0)=ROW()-3,1,0))</f>
        <v>0</v>
      </c>
      <c r="V721" s="0" t="n">
        <f aca="false">N(V720)+U721</f>
        <v>30</v>
      </c>
    </row>
    <row r="722" customFormat="false" ht="13.5" hidden="false" customHeight="false" outlineLevel="0" collapsed="false">
      <c r="A722" s="0" t="str">
        <f aca="false">IF(资金日记账!$E420="","",资金日记账!$E420)</f>
        <v/>
      </c>
      <c r="B722" s="0" t="n">
        <f aca="false">IF(A722="",0,IF(MATCH(A722,$A$4:$A$1925,0)=ROW()-3,1,0))</f>
        <v>0</v>
      </c>
      <c r="C722" s="0" t="n">
        <f aca="false">N(C721)+B722</f>
        <v>11</v>
      </c>
      <c r="G722" s="0" t="n">
        <f aca="false">IF(OR($G$1="",对账补充行!$C115="",对账补充行!$C115&lt;&gt;$G$1),0,IF(NOT(OR(N(对账补充行!$H115)&lt;&gt;0,N(对账补充行!$I115)&lt;&gt;0)),0,IF(对账补充行!$B115="",1,IF(OR(N(对账补充行!$B115)&lt;$H$1,N(对账补充行!$B115)&gt;$I$1),0,1))))</f>
        <v>0</v>
      </c>
      <c r="H722" s="0" t="n">
        <f aca="false">N(H721)+$G722</f>
        <v>3</v>
      </c>
      <c r="I722" s="0" t="str">
        <f aca="false">IF($G722=0,"",IF(对账补充行!$B115=0,"",对账补充行!$B115))</f>
        <v/>
      </c>
      <c r="J722" s="0" t="str">
        <f aca="false">IF($G722=0,"",IF(对账补充行!$D115=0,"",对账补充行!$D115))</f>
        <v/>
      </c>
      <c r="K722" s="0" t="str">
        <f aca="false">IF($G722=0,"",IF(对账补充行!$E115=0,"",对账补充行!$E115))</f>
        <v/>
      </c>
      <c r="L722" s="0" t="str">
        <f aca="false">IF($G722=0,"",IF(对账补充行!$F115=0,"",对账补充行!$F115))</f>
        <v/>
      </c>
      <c r="M722" s="0" t="str">
        <f aca="false">IF($G722=0,"",IF(对账补充行!$G115=0,"",对账补充行!$G115))</f>
        <v/>
      </c>
      <c r="N722" s="0" t="str">
        <f aca="false">IF($G722=0,"",IF(对账补充行!$H115=0,"",对账补充行!$H115))</f>
        <v/>
      </c>
      <c r="O722" s="0" t="str">
        <f aca="false">IF($G722=0,"",IF(对账补充行!$I115=0,"",对账补充行!$I115))</f>
        <v/>
      </c>
      <c r="P722" s="0" t="str">
        <f aca="false">IF($G722=0,"",IF(对账补充行!$J115=0,"",对账补充行!$J115))</f>
        <v/>
      </c>
      <c r="T722" s="0" t="str">
        <f aca="false">IF(成本费用登记表!$D122="","",成本费用登记表!$D122)</f>
        <v/>
      </c>
      <c r="U722" s="0" t="n">
        <f aca="false">IF(T722="",0,IF(MATCH(T722,$T$4:$T$903,0)=ROW()-3,1,0))</f>
        <v>0</v>
      </c>
      <c r="V722" s="0" t="n">
        <f aca="false">N(V721)+U722</f>
        <v>30</v>
      </c>
    </row>
    <row r="723" customFormat="false" ht="13.5" hidden="false" customHeight="false" outlineLevel="0" collapsed="false">
      <c r="A723" s="0" t="str">
        <f aca="false">IF(资金日记账!$E421="","",资金日记账!$E421)</f>
        <v/>
      </c>
      <c r="B723" s="0" t="n">
        <f aca="false">IF(A723="",0,IF(MATCH(A723,$A$4:$A$1925,0)=ROW()-3,1,0))</f>
        <v>0</v>
      </c>
      <c r="C723" s="0" t="n">
        <f aca="false">N(C722)+B723</f>
        <v>11</v>
      </c>
      <c r="G723" s="0" t="n">
        <f aca="false">IF(OR($G$1="",对账补充行!$C116="",对账补充行!$C116&lt;&gt;$G$1),0,IF(NOT(OR(N(对账补充行!$H116)&lt;&gt;0,N(对账补充行!$I116)&lt;&gt;0)),0,IF(对账补充行!$B116="",1,IF(OR(N(对账补充行!$B116)&lt;$H$1,N(对账补充行!$B116)&gt;$I$1),0,1))))</f>
        <v>0</v>
      </c>
      <c r="H723" s="0" t="n">
        <f aca="false">N(H722)+$G723</f>
        <v>3</v>
      </c>
      <c r="I723" s="0" t="str">
        <f aca="false">IF($G723=0,"",IF(对账补充行!$B116=0,"",对账补充行!$B116))</f>
        <v/>
      </c>
      <c r="J723" s="0" t="str">
        <f aca="false">IF($G723=0,"",IF(对账补充行!$D116=0,"",对账补充行!$D116))</f>
        <v/>
      </c>
      <c r="K723" s="0" t="str">
        <f aca="false">IF($G723=0,"",IF(对账补充行!$E116=0,"",对账补充行!$E116))</f>
        <v/>
      </c>
      <c r="L723" s="0" t="str">
        <f aca="false">IF($G723=0,"",IF(对账补充行!$F116=0,"",对账补充行!$F116))</f>
        <v/>
      </c>
      <c r="M723" s="0" t="str">
        <f aca="false">IF($G723=0,"",IF(对账补充行!$G116=0,"",对账补充行!$G116))</f>
        <v/>
      </c>
      <c r="N723" s="0" t="str">
        <f aca="false">IF($G723=0,"",IF(对账补充行!$H116=0,"",对账补充行!$H116))</f>
        <v/>
      </c>
      <c r="O723" s="0" t="str">
        <f aca="false">IF($G723=0,"",IF(对账补充行!$I116=0,"",对账补充行!$I116))</f>
        <v/>
      </c>
      <c r="P723" s="0" t="str">
        <f aca="false">IF($G723=0,"",IF(对账补充行!$J116=0,"",对账补充行!$J116))</f>
        <v/>
      </c>
      <c r="T723" s="0" t="str">
        <f aca="false">IF(成本费用登记表!$D123="","",成本费用登记表!$D123)</f>
        <v/>
      </c>
      <c r="U723" s="0" t="n">
        <f aca="false">IF(T723="",0,IF(MATCH(T723,$T$4:$T$903,0)=ROW()-3,1,0))</f>
        <v>0</v>
      </c>
      <c r="V723" s="0" t="n">
        <f aca="false">N(V722)+U723</f>
        <v>30</v>
      </c>
    </row>
    <row r="724" customFormat="false" ht="13.5" hidden="false" customHeight="false" outlineLevel="0" collapsed="false">
      <c r="A724" s="0" t="str">
        <f aca="false">IF(资金日记账!$E422="","",资金日记账!$E422)</f>
        <v/>
      </c>
      <c r="B724" s="0" t="n">
        <f aca="false">IF(A724="",0,IF(MATCH(A724,$A$4:$A$1925,0)=ROW()-3,1,0))</f>
        <v>0</v>
      </c>
      <c r="C724" s="0" t="n">
        <f aca="false">N(C723)+B724</f>
        <v>11</v>
      </c>
      <c r="G724" s="0" t="n">
        <f aca="false">IF(OR($G$1="",对账补充行!$C117="",对账补充行!$C117&lt;&gt;$G$1),0,IF(NOT(OR(N(对账补充行!$H117)&lt;&gt;0,N(对账补充行!$I117)&lt;&gt;0)),0,IF(对账补充行!$B117="",1,IF(OR(N(对账补充行!$B117)&lt;$H$1,N(对账补充行!$B117)&gt;$I$1),0,1))))</f>
        <v>0</v>
      </c>
      <c r="H724" s="0" t="n">
        <f aca="false">N(H723)+$G724</f>
        <v>3</v>
      </c>
      <c r="I724" s="0" t="str">
        <f aca="false">IF($G724=0,"",IF(对账补充行!$B117=0,"",对账补充行!$B117))</f>
        <v/>
      </c>
      <c r="J724" s="0" t="str">
        <f aca="false">IF($G724=0,"",IF(对账补充行!$D117=0,"",对账补充行!$D117))</f>
        <v/>
      </c>
      <c r="K724" s="0" t="str">
        <f aca="false">IF($G724=0,"",IF(对账补充行!$E117=0,"",对账补充行!$E117))</f>
        <v/>
      </c>
      <c r="L724" s="0" t="str">
        <f aca="false">IF($G724=0,"",IF(对账补充行!$F117=0,"",对账补充行!$F117))</f>
        <v/>
      </c>
      <c r="M724" s="0" t="str">
        <f aca="false">IF($G724=0,"",IF(对账补充行!$G117=0,"",对账补充行!$G117))</f>
        <v/>
      </c>
      <c r="N724" s="0" t="str">
        <f aca="false">IF($G724=0,"",IF(对账补充行!$H117=0,"",对账补充行!$H117))</f>
        <v/>
      </c>
      <c r="O724" s="0" t="str">
        <f aca="false">IF($G724=0,"",IF(对账补充行!$I117=0,"",对账补充行!$I117))</f>
        <v/>
      </c>
      <c r="P724" s="0" t="str">
        <f aca="false">IF($G724=0,"",IF(对账补充行!$J117=0,"",对账补充行!$J117))</f>
        <v/>
      </c>
      <c r="T724" s="0" t="str">
        <f aca="false">IF(成本费用登记表!$D124="","",成本费用登记表!$D124)</f>
        <v/>
      </c>
      <c r="U724" s="0" t="n">
        <f aca="false">IF(T724="",0,IF(MATCH(T724,$T$4:$T$903,0)=ROW()-3,1,0))</f>
        <v>0</v>
      </c>
      <c r="V724" s="0" t="n">
        <f aca="false">N(V723)+U724</f>
        <v>30</v>
      </c>
    </row>
    <row r="725" customFormat="false" ht="13.5" hidden="false" customHeight="false" outlineLevel="0" collapsed="false">
      <c r="A725" s="0" t="str">
        <f aca="false">IF(资金日记账!$E423="","",资金日记账!$E423)</f>
        <v/>
      </c>
      <c r="B725" s="0" t="n">
        <f aca="false">IF(A725="",0,IF(MATCH(A725,$A$4:$A$1925,0)=ROW()-3,1,0))</f>
        <v>0</v>
      </c>
      <c r="C725" s="0" t="n">
        <f aca="false">N(C724)+B725</f>
        <v>11</v>
      </c>
      <c r="G725" s="0" t="n">
        <f aca="false">IF(OR($G$1="",对账补充行!$C118="",对账补充行!$C118&lt;&gt;$G$1),0,IF(NOT(OR(N(对账补充行!$H118)&lt;&gt;0,N(对账补充行!$I118)&lt;&gt;0)),0,IF(对账补充行!$B118="",1,IF(OR(N(对账补充行!$B118)&lt;$H$1,N(对账补充行!$B118)&gt;$I$1),0,1))))</f>
        <v>0</v>
      </c>
      <c r="H725" s="0" t="n">
        <f aca="false">N(H724)+$G725</f>
        <v>3</v>
      </c>
      <c r="I725" s="0" t="str">
        <f aca="false">IF($G725=0,"",IF(对账补充行!$B118=0,"",对账补充行!$B118))</f>
        <v/>
      </c>
      <c r="J725" s="0" t="str">
        <f aca="false">IF($G725=0,"",IF(对账补充行!$D118=0,"",对账补充行!$D118))</f>
        <v/>
      </c>
      <c r="K725" s="0" t="str">
        <f aca="false">IF($G725=0,"",IF(对账补充行!$E118=0,"",对账补充行!$E118))</f>
        <v/>
      </c>
      <c r="L725" s="0" t="str">
        <f aca="false">IF($G725=0,"",IF(对账补充行!$F118=0,"",对账补充行!$F118))</f>
        <v/>
      </c>
      <c r="M725" s="0" t="str">
        <f aca="false">IF($G725=0,"",IF(对账补充行!$G118=0,"",对账补充行!$G118))</f>
        <v/>
      </c>
      <c r="N725" s="0" t="str">
        <f aca="false">IF($G725=0,"",IF(对账补充行!$H118=0,"",对账补充行!$H118))</f>
        <v/>
      </c>
      <c r="O725" s="0" t="str">
        <f aca="false">IF($G725=0,"",IF(对账补充行!$I118=0,"",对账补充行!$I118))</f>
        <v/>
      </c>
      <c r="P725" s="0" t="str">
        <f aca="false">IF($G725=0,"",IF(对账补充行!$J118=0,"",对账补充行!$J118))</f>
        <v/>
      </c>
      <c r="T725" s="0" t="str">
        <f aca="false">IF(成本费用登记表!$D125="","",成本费用登记表!$D125)</f>
        <v/>
      </c>
      <c r="U725" s="0" t="n">
        <f aca="false">IF(T725="",0,IF(MATCH(T725,$T$4:$T$903,0)=ROW()-3,1,0))</f>
        <v>0</v>
      </c>
      <c r="V725" s="0" t="n">
        <f aca="false">N(V724)+U725</f>
        <v>30</v>
      </c>
    </row>
    <row r="726" customFormat="false" ht="13.5" hidden="false" customHeight="false" outlineLevel="0" collapsed="false">
      <c r="A726" s="0" t="str">
        <f aca="false">IF(资金日记账!$E424="","",资金日记账!$E424)</f>
        <v/>
      </c>
      <c r="B726" s="0" t="n">
        <f aca="false">IF(A726="",0,IF(MATCH(A726,$A$4:$A$1925,0)=ROW()-3,1,0))</f>
        <v>0</v>
      </c>
      <c r="C726" s="0" t="n">
        <f aca="false">N(C725)+B726</f>
        <v>11</v>
      </c>
      <c r="G726" s="0" t="n">
        <f aca="false">IF(OR($G$1="",对账补充行!$C119="",对账补充行!$C119&lt;&gt;$G$1),0,IF(NOT(OR(N(对账补充行!$H119)&lt;&gt;0,N(对账补充行!$I119)&lt;&gt;0)),0,IF(对账补充行!$B119="",1,IF(OR(N(对账补充行!$B119)&lt;$H$1,N(对账补充行!$B119)&gt;$I$1),0,1))))</f>
        <v>0</v>
      </c>
      <c r="H726" s="0" t="n">
        <f aca="false">N(H725)+$G726</f>
        <v>3</v>
      </c>
      <c r="I726" s="0" t="str">
        <f aca="false">IF($G726=0,"",IF(对账补充行!$B119=0,"",对账补充行!$B119))</f>
        <v/>
      </c>
      <c r="J726" s="0" t="str">
        <f aca="false">IF($G726=0,"",IF(对账补充行!$D119=0,"",对账补充行!$D119))</f>
        <v/>
      </c>
      <c r="K726" s="0" t="str">
        <f aca="false">IF($G726=0,"",IF(对账补充行!$E119=0,"",对账补充行!$E119))</f>
        <v/>
      </c>
      <c r="L726" s="0" t="str">
        <f aca="false">IF($G726=0,"",IF(对账补充行!$F119=0,"",对账补充行!$F119))</f>
        <v/>
      </c>
      <c r="M726" s="0" t="str">
        <f aca="false">IF($G726=0,"",IF(对账补充行!$G119=0,"",对账补充行!$G119))</f>
        <v/>
      </c>
      <c r="N726" s="0" t="str">
        <f aca="false">IF($G726=0,"",IF(对账补充行!$H119=0,"",对账补充行!$H119))</f>
        <v/>
      </c>
      <c r="O726" s="0" t="str">
        <f aca="false">IF($G726=0,"",IF(对账补充行!$I119=0,"",对账补充行!$I119))</f>
        <v/>
      </c>
      <c r="P726" s="0" t="str">
        <f aca="false">IF($G726=0,"",IF(对账补充行!$J119=0,"",对账补充行!$J119))</f>
        <v/>
      </c>
      <c r="T726" s="0" t="str">
        <f aca="false">IF(成本费用登记表!$D126="","",成本费用登记表!$D126)</f>
        <v/>
      </c>
      <c r="U726" s="0" t="n">
        <f aca="false">IF(T726="",0,IF(MATCH(T726,$T$4:$T$903,0)=ROW()-3,1,0))</f>
        <v>0</v>
      </c>
      <c r="V726" s="0" t="n">
        <f aca="false">N(V725)+U726</f>
        <v>30</v>
      </c>
    </row>
    <row r="727" customFormat="false" ht="13.5" hidden="false" customHeight="false" outlineLevel="0" collapsed="false">
      <c r="A727" s="0" t="str">
        <f aca="false">IF(资金日记账!$E425="","",资金日记账!$E425)</f>
        <v/>
      </c>
      <c r="B727" s="0" t="n">
        <f aca="false">IF(A727="",0,IF(MATCH(A727,$A$4:$A$1925,0)=ROW()-3,1,0))</f>
        <v>0</v>
      </c>
      <c r="C727" s="0" t="n">
        <f aca="false">N(C726)+B727</f>
        <v>11</v>
      </c>
      <c r="G727" s="0" t="n">
        <f aca="false">IF(OR($G$1="",对账补充行!$C120="",对账补充行!$C120&lt;&gt;$G$1),0,IF(NOT(OR(N(对账补充行!$H120)&lt;&gt;0,N(对账补充行!$I120)&lt;&gt;0)),0,IF(对账补充行!$B120="",1,IF(OR(N(对账补充行!$B120)&lt;$H$1,N(对账补充行!$B120)&gt;$I$1),0,1))))</f>
        <v>0</v>
      </c>
      <c r="H727" s="0" t="n">
        <f aca="false">N(H726)+$G727</f>
        <v>3</v>
      </c>
      <c r="I727" s="0" t="str">
        <f aca="false">IF($G727=0,"",IF(对账补充行!$B120=0,"",对账补充行!$B120))</f>
        <v/>
      </c>
      <c r="J727" s="0" t="str">
        <f aca="false">IF($G727=0,"",IF(对账补充行!$D120=0,"",对账补充行!$D120))</f>
        <v/>
      </c>
      <c r="K727" s="0" t="str">
        <f aca="false">IF($G727=0,"",IF(对账补充行!$E120=0,"",对账补充行!$E120))</f>
        <v/>
      </c>
      <c r="L727" s="0" t="str">
        <f aca="false">IF($G727=0,"",IF(对账补充行!$F120=0,"",对账补充行!$F120))</f>
        <v/>
      </c>
      <c r="M727" s="0" t="str">
        <f aca="false">IF($G727=0,"",IF(对账补充行!$G120=0,"",对账补充行!$G120))</f>
        <v/>
      </c>
      <c r="N727" s="0" t="str">
        <f aca="false">IF($G727=0,"",IF(对账补充行!$H120=0,"",对账补充行!$H120))</f>
        <v/>
      </c>
      <c r="O727" s="0" t="str">
        <f aca="false">IF($G727=0,"",IF(对账补充行!$I120=0,"",对账补充行!$I120))</f>
        <v/>
      </c>
      <c r="P727" s="0" t="str">
        <f aca="false">IF($G727=0,"",IF(对账补充行!$J120=0,"",对账补充行!$J120))</f>
        <v/>
      </c>
      <c r="T727" s="0" t="str">
        <f aca="false">IF(成本费用登记表!$D127="","",成本费用登记表!$D127)</f>
        <v/>
      </c>
      <c r="U727" s="0" t="n">
        <f aca="false">IF(T727="",0,IF(MATCH(T727,$T$4:$T$903,0)=ROW()-3,1,0))</f>
        <v>0</v>
      </c>
      <c r="V727" s="0" t="n">
        <f aca="false">N(V726)+U727</f>
        <v>30</v>
      </c>
    </row>
    <row r="728" customFormat="false" ht="13.5" hidden="false" customHeight="false" outlineLevel="0" collapsed="false">
      <c r="A728" s="0" t="str">
        <f aca="false">IF(资金日记账!$E426="","",资金日记账!$E426)</f>
        <v/>
      </c>
      <c r="B728" s="0" t="n">
        <f aca="false">IF(A728="",0,IF(MATCH(A728,$A$4:$A$1925,0)=ROW()-3,1,0))</f>
        <v>0</v>
      </c>
      <c r="C728" s="0" t="n">
        <f aca="false">N(C727)+B728</f>
        <v>11</v>
      </c>
      <c r="G728" s="0" t="n">
        <f aca="false">IF(OR($G$1="",对账补充行!$C121="",对账补充行!$C121&lt;&gt;$G$1),0,IF(NOT(OR(N(对账补充行!$H121)&lt;&gt;0,N(对账补充行!$I121)&lt;&gt;0)),0,IF(对账补充行!$B121="",1,IF(OR(N(对账补充行!$B121)&lt;$H$1,N(对账补充行!$B121)&gt;$I$1),0,1))))</f>
        <v>0</v>
      </c>
      <c r="H728" s="0" t="n">
        <f aca="false">N(H727)+$G728</f>
        <v>3</v>
      </c>
      <c r="I728" s="0" t="str">
        <f aca="false">IF($G728=0,"",IF(对账补充行!$B121=0,"",对账补充行!$B121))</f>
        <v/>
      </c>
      <c r="J728" s="0" t="str">
        <f aca="false">IF($G728=0,"",IF(对账补充行!$D121=0,"",对账补充行!$D121))</f>
        <v/>
      </c>
      <c r="K728" s="0" t="str">
        <f aca="false">IF($G728=0,"",IF(对账补充行!$E121=0,"",对账补充行!$E121))</f>
        <v/>
      </c>
      <c r="L728" s="0" t="str">
        <f aca="false">IF($G728=0,"",IF(对账补充行!$F121=0,"",对账补充行!$F121))</f>
        <v/>
      </c>
      <c r="M728" s="0" t="str">
        <f aca="false">IF($G728=0,"",IF(对账补充行!$G121=0,"",对账补充行!$G121))</f>
        <v/>
      </c>
      <c r="N728" s="0" t="str">
        <f aca="false">IF($G728=0,"",IF(对账补充行!$H121=0,"",对账补充行!$H121))</f>
        <v/>
      </c>
      <c r="O728" s="0" t="str">
        <f aca="false">IF($G728=0,"",IF(对账补充行!$I121=0,"",对账补充行!$I121))</f>
        <v/>
      </c>
      <c r="P728" s="0" t="str">
        <f aca="false">IF($G728=0,"",IF(对账补充行!$J121=0,"",对账补充行!$J121))</f>
        <v/>
      </c>
      <c r="T728" s="0" t="str">
        <f aca="false">IF(成本费用登记表!$D128="","",成本费用登记表!$D128)</f>
        <v/>
      </c>
      <c r="U728" s="0" t="n">
        <f aca="false">IF(T728="",0,IF(MATCH(T728,$T$4:$T$903,0)=ROW()-3,1,0))</f>
        <v>0</v>
      </c>
      <c r="V728" s="0" t="n">
        <f aca="false">N(V727)+U728</f>
        <v>30</v>
      </c>
    </row>
    <row r="729" customFormat="false" ht="13.5" hidden="false" customHeight="false" outlineLevel="0" collapsed="false">
      <c r="A729" s="0" t="str">
        <f aca="false">IF(资金日记账!$E427="","",资金日记账!$E427)</f>
        <v/>
      </c>
      <c r="B729" s="0" t="n">
        <f aca="false">IF(A729="",0,IF(MATCH(A729,$A$4:$A$1925,0)=ROW()-3,1,0))</f>
        <v>0</v>
      </c>
      <c r="C729" s="0" t="n">
        <f aca="false">N(C728)+B729</f>
        <v>11</v>
      </c>
      <c r="G729" s="0" t="n">
        <f aca="false">IF(OR($G$1="",对账补充行!$C122="",对账补充行!$C122&lt;&gt;$G$1),0,IF(NOT(OR(N(对账补充行!$H122)&lt;&gt;0,N(对账补充行!$I122)&lt;&gt;0)),0,IF(对账补充行!$B122="",1,IF(OR(N(对账补充行!$B122)&lt;$H$1,N(对账补充行!$B122)&gt;$I$1),0,1))))</f>
        <v>0</v>
      </c>
      <c r="H729" s="0" t="n">
        <f aca="false">N(H728)+$G729</f>
        <v>3</v>
      </c>
      <c r="I729" s="0" t="str">
        <f aca="false">IF($G729=0,"",IF(对账补充行!$B122=0,"",对账补充行!$B122))</f>
        <v/>
      </c>
      <c r="J729" s="0" t="str">
        <f aca="false">IF($G729=0,"",IF(对账补充行!$D122=0,"",对账补充行!$D122))</f>
        <v/>
      </c>
      <c r="K729" s="0" t="str">
        <f aca="false">IF($G729=0,"",IF(对账补充行!$E122=0,"",对账补充行!$E122))</f>
        <v/>
      </c>
      <c r="L729" s="0" t="str">
        <f aca="false">IF($G729=0,"",IF(对账补充行!$F122=0,"",对账补充行!$F122))</f>
        <v/>
      </c>
      <c r="M729" s="0" t="str">
        <f aca="false">IF($G729=0,"",IF(对账补充行!$G122=0,"",对账补充行!$G122))</f>
        <v/>
      </c>
      <c r="N729" s="0" t="str">
        <f aca="false">IF($G729=0,"",IF(对账补充行!$H122=0,"",对账补充行!$H122))</f>
        <v/>
      </c>
      <c r="O729" s="0" t="str">
        <f aca="false">IF($G729=0,"",IF(对账补充行!$I122=0,"",对账补充行!$I122))</f>
        <v/>
      </c>
      <c r="P729" s="0" t="str">
        <f aca="false">IF($G729=0,"",IF(对账补充行!$J122=0,"",对账补充行!$J122))</f>
        <v/>
      </c>
      <c r="T729" s="0" t="str">
        <f aca="false">IF(成本费用登记表!$D129="","",成本费用登记表!$D129)</f>
        <v/>
      </c>
      <c r="U729" s="0" t="n">
        <f aca="false">IF(T729="",0,IF(MATCH(T729,$T$4:$T$903,0)=ROW()-3,1,0))</f>
        <v>0</v>
      </c>
      <c r="V729" s="0" t="n">
        <f aca="false">N(V728)+U729</f>
        <v>30</v>
      </c>
    </row>
    <row r="730" customFormat="false" ht="13.5" hidden="false" customHeight="false" outlineLevel="0" collapsed="false">
      <c r="A730" s="0" t="str">
        <f aca="false">IF(资金日记账!$E428="","",资金日记账!$E428)</f>
        <v/>
      </c>
      <c r="B730" s="0" t="n">
        <f aca="false">IF(A730="",0,IF(MATCH(A730,$A$4:$A$1925,0)=ROW()-3,1,0))</f>
        <v>0</v>
      </c>
      <c r="C730" s="0" t="n">
        <f aca="false">N(C729)+B730</f>
        <v>11</v>
      </c>
      <c r="G730" s="0" t="n">
        <f aca="false">IF(OR($G$1="",对账补充行!$C123="",对账补充行!$C123&lt;&gt;$G$1),0,IF(NOT(OR(N(对账补充行!$H123)&lt;&gt;0,N(对账补充行!$I123)&lt;&gt;0)),0,IF(对账补充行!$B123="",1,IF(OR(N(对账补充行!$B123)&lt;$H$1,N(对账补充行!$B123)&gt;$I$1),0,1))))</f>
        <v>0</v>
      </c>
      <c r="H730" s="0" t="n">
        <f aca="false">N(H729)+$G730</f>
        <v>3</v>
      </c>
      <c r="I730" s="0" t="str">
        <f aca="false">IF($G730=0,"",IF(对账补充行!$B123=0,"",对账补充行!$B123))</f>
        <v/>
      </c>
      <c r="J730" s="0" t="str">
        <f aca="false">IF($G730=0,"",IF(对账补充行!$D123=0,"",对账补充行!$D123))</f>
        <v/>
      </c>
      <c r="K730" s="0" t="str">
        <f aca="false">IF($G730=0,"",IF(对账补充行!$E123=0,"",对账补充行!$E123))</f>
        <v/>
      </c>
      <c r="L730" s="0" t="str">
        <f aca="false">IF($G730=0,"",IF(对账补充行!$F123=0,"",对账补充行!$F123))</f>
        <v/>
      </c>
      <c r="M730" s="0" t="str">
        <f aca="false">IF($G730=0,"",IF(对账补充行!$G123=0,"",对账补充行!$G123))</f>
        <v/>
      </c>
      <c r="N730" s="0" t="str">
        <f aca="false">IF($G730=0,"",IF(对账补充行!$H123=0,"",对账补充行!$H123))</f>
        <v/>
      </c>
      <c r="O730" s="0" t="str">
        <f aca="false">IF($G730=0,"",IF(对账补充行!$I123=0,"",对账补充行!$I123))</f>
        <v/>
      </c>
      <c r="P730" s="0" t="str">
        <f aca="false">IF($G730=0,"",IF(对账补充行!$J123=0,"",对账补充行!$J123))</f>
        <v/>
      </c>
      <c r="T730" s="0" t="str">
        <f aca="false">IF(成本费用登记表!$D130="","",成本费用登记表!$D130)</f>
        <v/>
      </c>
      <c r="U730" s="0" t="n">
        <f aca="false">IF(T730="",0,IF(MATCH(T730,$T$4:$T$903,0)=ROW()-3,1,0))</f>
        <v>0</v>
      </c>
      <c r="V730" s="0" t="n">
        <f aca="false">N(V729)+U730</f>
        <v>30</v>
      </c>
    </row>
    <row r="731" customFormat="false" ht="13.5" hidden="false" customHeight="false" outlineLevel="0" collapsed="false">
      <c r="A731" s="0" t="str">
        <f aca="false">IF(资金日记账!$E429="","",资金日记账!$E429)</f>
        <v/>
      </c>
      <c r="B731" s="0" t="n">
        <f aca="false">IF(A731="",0,IF(MATCH(A731,$A$4:$A$1925,0)=ROW()-3,1,0))</f>
        <v>0</v>
      </c>
      <c r="C731" s="0" t="n">
        <f aca="false">N(C730)+B731</f>
        <v>11</v>
      </c>
      <c r="G731" s="0" t="n">
        <f aca="false">IF(OR($G$1="",对账补充行!$C124="",对账补充行!$C124&lt;&gt;$G$1),0,IF(NOT(OR(N(对账补充行!$H124)&lt;&gt;0,N(对账补充行!$I124)&lt;&gt;0)),0,IF(对账补充行!$B124="",1,IF(OR(N(对账补充行!$B124)&lt;$H$1,N(对账补充行!$B124)&gt;$I$1),0,1))))</f>
        <v>0</v>
      </c>
      <c r="H731" s="0" t="n">
        <f aca="false">N(H730)+$G731</f>
        <v>3</v>
      </c>
      <c r="I731" s="0" t="str">
        <f aca="false">IF($G731=0,"",IF(对账补充行!$B124=0,"",对账补充行!$B124))</f>
        <v/>
      </c>
      <c r="J731" s="0" t="str">
        <f aca="false">IF($G731=0,"",IF(对账补充行!$D124=0,"",对账补充行!$D124))</f>
        <v/>
      </c>
      <c r="K731" s="0" t="str">
        <f aca="false">IF($G731=0,"",IF(对账补充行!$E124=0,"",对账补充行!$E124))</f>
        <v/>
      </c>
      <c r="L731" s="0" t="str">
        <f aca="false">IF($G731=0,"",IF(对账补充行!$F124=0,"",对账补充行!$F124))</f>
        <v/>
      </c>
      <c r="M731" s="0" t="str">
        <f aca="false">IF($G731=0,"",IF(对账补充行!$G124=0,"",对账补充行!$G124))</f>
        <v/>
      </c>
      <c r="N731" s="0" t="str">
        <f aca="false">IF($G731=0,"",IF(对账补充行!$H124=0,"",对账补充行!$H124))</f>
        <v/>
      </c>
      <c r="O731" s="0" t="str">
        <f aca="false">IF($G731=0,"",IF(对账补充行!$I124=0,"",对账补充行!$I124))</f>
        <v/>
      </c>
      <c r="P731" s="0" t="str">
        <f aca="false">IF($G731=0,"",IF(对账补充行!$J124=0,"",对账补充行!$J124))</f>
        <v/>
      </c>
      <c r="T731" s="0" t="str">
        <f aca="false">IF(成本费用登记表!$D131="","",成本费用登记表!$D131)</f>
        <v/>
      </c>
      <c r="U731" s="0" t="n">
        <f aca="false">IF(T731="",0,IF(MATCH(T731,$T$4:$T$903,0)=ROW()-3,1,0))</f>
        <v>0</v>
      </c>
      <c r="V731" s="0" t="n">
        <f aca="false">N(V730)+U731</f>
        <v>30</v>
      </c>
    </row>
    <row r="732" customFormat="false" ht="13.5" hidden="false" customHeight="false" outlineLevel="0" collapsed="false">
      <c r="A732" s="0" t="str">
        <f aca="false">IF(资金日记账!$E430="","",资金日记账!$E430)</f>
        <v/>
      </c>
      <c r="B732" s="0" t="n">
        <f aca="false">IF(A732="",0,IF(MATCH(A732,$A$4:$A$1925,0)=ROW()-3,1,0))</f>
        <v>0</v>
      </c>
      <c r="C732" s="0" t="n">
        <f aca="false">N(C731)+B732</f>
        <v>11</v>
      </c>
      <c r="G732" s="0" t="n">
        <f aca="false">IF(OR($G$1="",对账补充行!$C125="",对账补充行!$C125&lt;&gt;$G$1),0,IF(NOT(OR(N(对账补充行!$H125)&lt;&gt;0,N(对账补充行!$I125)&lt;&gt;0)),0,IF(对账补充行!$B125="",1,IF(OR(N(对账补充行!$B125)&lt;$H$1,N(对账补充行!$B125)&gt;$I$1),0,1))))</f>
        <v>0</v>
      </c>
      <c r="H732" s="0" t="n">
        <f aca="false">N(H731)+$G732</f>
        <v>3</v>
      </c>
      <c r="I732" s="0" t="str">
        <f aca="false">IF($G732=0,"",IF(对账补充行!$B125=0,"",对账补充行!$B125))</f>
        <v/>
      </c>
      <c r="J732" s="0" t="str">
        <f aca="false">IF($G732=0,"",IF(对账补充行!$D125=0,"",对账补充行!$D125))</f>
        <v/>
      </c>
      <c r="K732" s="0" t="str">
        <f aca="false">IF($G732=0,"",IF(对账补充行!$E125=0,"",对账补充行!$E125))</f>
        <v/>
      </c>
      <c r="L732" s="0" t="str">
        <f aca="false">IF($G732=0,"",IF(对账补充行!$F125=0,"",对账补充行!$F125))</f>
        <v/>
      </c>
      <c r="M732" s="0" t="str">
        <f aca="false">IF($G732=0,"",IF(对账补充行!$G125=0,"",对账补充行!$G125))</f>
        <v/>
      </c>
      <c r="N732" s="0" t="str">
        <f aca="false">IF($G732=0,"",IF(对账补充行!$H125=0,"",对账补充行!$H125))</f>
        <v/>
      </c>
      <c r="O732" s="0" t="str">
        <f aca="false">IF($G732=0,"",IF(对账补充行!$I125=0,"",对账补充行!$I125))</f>
        <v/>
      </c>
      <c r="P732" s="0" t="str">
        <f aca="false">IF($G732=0,"",IF(对账补充行!$J125=0,"",对账补充行!$J125))</f>
        <v/>
      </c>
      <c r="T732" s="0" t="str">
        <f aca="false">IF(成本费用登记表!$D132="","",成本费用登记表!$D132)</f>
        <v/>
      </c>
      <c r="U732" s="0" t="n">
        <f aca="false">IF(T732="",0,IF(MATCH(T732,$T$4:$T$903,0)=ROW()-3,1,0))</f>
        <v>0</v>
      </c>
      <c r="V732" s="0" t="n">
        <f aca="false">N(V731)+U732</f>
        <v>30</v>
      </c>
    </row>
    <row r="733" customFormat="false" ht="13.5" hidden="false" customHeight="false" outlineLevel="0" collapsed="false">
      <c r="A733" s="0" t="str">
        <f aca="false">IF(资金日记账!$E431="","",资金日记账!$E431)</f>
        <v/>
      </c>
      <c r="B733" s="0" t="n">
        <f aca="false">IF(A733="",0,IF(MATCH(A733,$A$4:$A$1925,0)=ROW()-3,1,0))</f>
        <v>0</v>
      </c>
      <c r="C733" s="0" t="n">
        <f aca="false">N(C732)+B733</f>
        <v>11</v>
      </c>
      <c r="G733" s="0" t="n">
        <f aca="false">IF(OR($G$1="",对账补充行!$C126="",对账补充行!$C126&lt;&gt;$G$1),0,IF(NOT(OR(N(对账补充行!$H126)&lt;&gt;0,N(对账补充行!$I126)&lt;&gt;0)),0,IF(对账补充行!$B126="",1,IF(OR(N(对账补充行!$B126)&lt;$H$1,N(对账补充行!$B126)&gt;$I$1),0,1))))</f>
        <v>0</v>
      </c>
      <c r="H733" s="0" t="n">
        <f aca="false">N(H732)+$G733</f>
        <v>3</v>
      </c>
      <c r="I733" s="0" t="str">
        <f aca="false">IF($G733=0,"",IF(对账补充行!$B126=0,"",对账补充行!$B126))</f>
        <v/>
      </c>
      <c r="J733" s="0" t="str">
        <f aca="false">IF($G733=0,"",IF(对账补充行!$D126=0,"",对账补充行!$D126))</f>
        <v/>
      </c>
      <c r="K733" s="0" t="str">
        <f aca="false">IF($G733=0,"",IF(对账补充行!$E126=0,"",对账补充行!$E126))</f>
        <v/>
      </c>
      <c r="L733" s="0" t="str">
        <f aca="false">IF($G733=0,"",IF(对账补充行!$F126=0,"",对账补充行!$F126))</f>
        <v/>
      </c>
      <c r="M733" s="0" t="str">
        <f aca="false">IF($G733=0,"",IF(对账补充行!$G126=0,"",对账补充行!$G126))</f>
        <v/>
      </c>
      <c r="N733" s="0" t="str">
        <f aca="false">IF($G733=0,"",IF(对账补充行!$H126=0,"",对账补充行!$H126))</f>
        <v/>
      </c>
      <c r="O733" s="0" t="str">
        <f aca="false">IF($G733=0,"",IF(对账补充行!$I126=0,"",对账补充行!$I126))</f>
        <v/>
      </c>
      <c r="P733" s="0" t="str">
        <f aca="false">IF($G733=0,"",IF(对账补充行!$J126=0,"",对账补充行!$J126))</f>
        <v/>
      </c>
      <c r="T733" s="0" t="str">
        <f aca="false">IF(成本费用登记表!$D133="","",成本费用登记表!$D133)</f>
        <v/>
      </c>
      <c r="U733" s="0" t="n">
        <f aca="false">IF(T733="",0,IF(MATCH(T733,$T$4:$T$903,0)=ROW()-3,1,0))</f>
        <v>0</v>
      </c>
      <c r="V733" s="0" t="n">
        <f aca="false">N(V732)+U733</f>
        <v>30</v>
      </c>
    </row>
    <row r="734" customFormat="false" ht="13.5" hidden="false" customHeight="false" outlineLevel="0" collapsed="false">
      <c r="A734" s="0" t="str">
        <f aca="false">IF(资金日记账!$E432="","",资金日记账!$E432)</f>
        <v/>
      </c>
      <c r="B734" s="0" t="n">
        <f aca="false">IF(A734="",0,IF(MATCH(A734,$A$4:$A$1925,0)=ROW()-3,1,0))</f>
        <v>0</v>
      </c>
      <c r="C734" s="0" t="n">
        <f aca="false">N(C733)+B734</f>
        <v>11</v>
      </c>
      <c r="G734" s="0" t="n">
        <f aca="false">IF(OR($G$1="",对账补充行!$C127="",对账补充行!$C127&lt;&gt;$G$1),0,IF(NOT(OR(N(对账补充行!$H127)&lt;&gt;0,N(对账补充行!$I127)&lt;&gt;0)),0,IF(对账补充行!$B127="",1,IF(OR(N(对账补充行!$B127)&lt;$H$1,N(对账补充行!$B127)&gt;$I$1),0,1))))</f>
        <v>0</v>
      </c>
      <c r="H734" s="0" t="n">
        <f aca="false">N(H733)+$G734</f>
        <v>3</v>
      </c>
      <c r="I734" s="0" t="str">
        <f aca="false">IF($G734=0,"",IF(对账补充行!$B127=0,"",对账补充行!$B127))</f>
        <v/>
      </c>
      <c r="J734" s="0" t="str">
        <f aca="false">IF($G734=0,"",IF(对账补充行!$D127=0,"",对账补充行!$D127))</f>
        <v/>
      </c>
      <c r="K734" s="0" t="str">
        <f aca="false">IF($G734=0,"",IF(对账补充行!$E127=0,"",对账补充行!$E127))</f>
        <v/>
      </c>
      <c r="L734" s="0" t="str">
        <f aca="false">IF($G734=0,"",IF(对账补充行!$F127=0,"",对账补充行!$F127))</f>
        <v/>
      </c>
      <c r="M734" s="0" t="str">
        <f aca="false">IF($G734=0,"",IF(对账补充行!$G127=0,"",对账补充行!$G127))</f>
        <v/>
      </c>
      <c r="N734" s="0" t="str">
        <f aca="false">IF($G734=0,"",IF(对账补充行!$H127=0,"",对账补充行!$H127))</f>
        <v/>
      </c>
      <c r="O734" s="0" t="str">
        <f aca="false">IF($G734=0,"",IF(对账补充行!$I127=0,"",对账补充行!$I127))</f>
        <v/>
      </c>
      <c r="P734" s="0" t="str">
        <f aca="false">IF($G734=0,"",IF(对账补充行!$J127=0,"",对账补充行!$J127))</f>
        <v/>
      </c>
      <c r="T734" s="0" t="str">
        <f aca="false">IF(成本费用登记表!$D134="","",成本费用登记表!$D134)</f>
        <v/>
      </c>
      <c r="U734" s="0" t="n">
        <f aca="false">IF(T734="",0,IF(MATCH(T734,$T$4:$T$903,0)=ROW()-3,1,0))</f>
        <v>0</v>
      </c>
      <c r="V734" s="0" t="n">
        <f aca="false">N(V733)+U734</f>
        <v>30</v>
      </c>
    </row>
    <row r="735" customFormat="false" ht="13.5" hidden="false" customHeight="false" outlineLevel="0" collapsed="false">
      <c r="A735" s="0" t="str">
        <f aca="false">IF(资金日记账!$E433="","",资金日记账!$E433)</f>
        <v/>
      </c>
      <c r="B735" s="0" t="n">
        <f aca="false">IF(A735="",0,IF(MATCH(A735,$A$4:$A$1925,0)=ROW()-3,1,0))</f>
        <v>0</v>
      </c>
      <c r="C735" s="0" t="n">
        <f aca="false">N(C734)+B735</f>
        <v>11</v>
      </c>
      <c r="G735" s="0" t="n">
        <f aca="false">IF(OR($G$1="",对账补充行!$C128="",对账补充行!$C128&lt;&gt;$G$1),0,IF(NOT(OR(N(对账补充行!$H128)&lt;&gt;0,N(对账补充行!$I128)&lt;&gt;0)),0,IF(对账补充行!$B128="",1,IF(OR(N(对账补充行!$B128)&lt;$H$1,N(对账补充行!$B128)&gt;$I$1),0,1))))</f>
        <v>0</v>
      </c>
      <c r="H735" s="0" t="n">
        <f aca="false">N(H734)+$G735</f>
        <v>3</v>
      </c>
      <c r="I735" s="0" t="str">
        <f aca="false">IF($G735=0,"",IF(对账补充行!$B128=0,"",对账补充行!$B128))</f>
        <v/>
      </c>
      <c r="J735" s="0" t="str">
        <f aca="false">IF($G735=0,"",IF(对账补充行!$D128=0,"",对账补充行!$D128))</f>
        <v/>
      </c>
      <c r="K735" s="0" t="str">
        <f aca="false">IF($G735=0,"",IF(对账补充行!$E128=0,"",对账补充行!$E128))</f>
        <v/>
      </c>
      <c r="L735" s="0" t="str">
        <f aca="false">IF($G735=0,"",IF(对账补充行!$F128=0,"",对账补充行!$F128))</f>
        <v/>
      </c>
      <c r="M735" s="0" t="str">
        <f aca="false">IF($G735=0,"",IF(对账补充行!$G128=0,"",对账补充行!$G128))</f>
        <v/>
      </c>
      <c r="N735" s="0" t="str">
        <f aca="false">IF($G735=0,"",IF(对账补充行!$H128=0,"",对账补充行!$H128))</f>
        <v/>
      </c>
      <c r="O735" s="0" t="str">
        <f aca="false">IF($G735=0,"",IF(对账补充行!$I128=0,"",对账补充行!$I128))</f>
        <v/>
      </c>
      <c r="P735" s="0" t="str">
        <f aca="false">IF($G735=0,"",IF(对账补充行!$J128=0,"",对账补充行!$J128))</f>
        <v/>
      </c>
      <c r="T735" s="0" t="str">
        <f aca="false">IF(成本费用登记表!$D135="","",成本费用登记表!$D135)</f>
        <v/>
      </c>
      <c r="U735" s="0" t="n">
        <f aca="false">IF(T735="",0,IF(MATCH(T735,$T$4:$T$903,0)=ROW()-3,1,0))</f>
        <v>0</v>
      </c>
      <c r="V735" s="0" t="n">
        <f aca="false">N(V734)+U735</f>
        <v>30</v>
      </c>
    </row>
    <row r="736" customFormat="false" ht="13.5" hidden="false" customHeight="false" outlineLevel="0" collapsed="false">
      <c r="A736" s="0" t="str">
        <f aca="false">IF(资金日记账!$E434="","",资金日记账!$E434)</f>
        <v/>
      </c>
      <c r="B736" s="0" t="n">
        <f aca="false">IF(A736="",0,IF(MATCH(A736,$A$4:$A$1925,0)=ROW()-3,1,0))</f>
        <v>0</v>
      </c>
      <c r="C736" s="0" t="n">
        <f aca="false">N(C735)+B736</f>
        <v>11</v>
      </c>
      <c r="G736" s="0" t="n">
        <f aca="false">IF(OR($G$1="",对账补充行!$C129="",对账补充行!$C129&lt;&gt;$G$1),0,IF(NOT(OR(N(对账补充行!$H129)&lt;&gt;0,N(对账补充行!$I129)&lt;&gt;0)),0,IF(对账补充行!$B129="",1,IF(OR(N(对账补充行!$B129)&lt;$H$1,N(对账补充行!$B129)&gt;$I$1),0,1))))</f>
        <v>0</v>
      </c>
      <c r="H736" s="0" t="n">
        <f aca="false">N(H735)+$G736</f>
        <v>3</v>
      </c>
      <c r="I736" s="0" t="str">
        <f aca="false">IF($G736=0,"",IF(对账补充行!$B129=0,"",对账补充行!$B129))</f>
        <v/>
      </c>
      <c r="J736" s="0" t="str">
        <f aca="false">IF($G736=0,"",IF(对账补充行!$D129=0,"",对账补充行!$D129))</f>
        <v/>
      </c>
      <c r="K736" s="0" t="str">
        <f aca="false">IF($G736=0,"",IF(对账补充行!$E129=0,"",对账补充行!$E129))</f>
        <v/>
      </c>
      <c r="L736" s="0" t="str">
        <f aca="false">IF($G736=0,"",IF(对账补充行!$F129=0,"",对账补充行!$F129))</f>
        <v/>
      </c>
      <c r="M736" s="0" t="str">
        <f aca="false">IF($G736=0,"",IF(对账补充行!$G129=0,"",对账补充行!$G129))</f>
        <v/>
      </c>
      <c r="N736" s="0" t="str">
        <f aca="false">IF($G736=0,"",IF(对账补充行!$H129=0,"",对账补充行!$H129))</f>
        <v/>
      </c>
      <c r="O736" s="0" t="str">
        <f aca="false">IF($G736=0,"",IF(对账补充行!$I129=0,"",对账补充行!$I129))</f>
        <v/>
      </c>
      <c r="P736" s="0" t="str">
        <f aca="false">IF($G736=0,"",IF(对账补充行!$J129=0,"",对账补充行!$J129))</f>
        <v/>
      </c>
      <c r="T736" s="0" t="str">
        <f aca="false">IF(成本费用登记表!$D136="","",成本费用登记表!$D136)</f>
        <v/>
      </c>
      <c r="U736" s="0" t="n">
        <f aca="false">IF(T736="",0,IF(MATCH(T736,$T$4:$T$903,0)=ROW()-3,1,0))</f>
        <v>0</v>
      </c>
      <c r="V736" s="0" t="n">
        <f aca="false">N(V735)+U736</f>
        <v>30</v>
      </c>
    </row>
    <row r="737" customFormat="false" ht="13.5" hidden="false" customHeight="false" outlineLevel="0" collapsed="false">
      <c r="A737" s="0" t="str">
        <f aca="false">IF(资金日记账!$E435="","",资金日记账!$E435)</f>
        <v/>
      </c>
      <c r="B737" s="0" t="n">
        <f aca="false">IF(A737="",0,IF(MATCH(A737,$A$4:$A$1925,0)=ROW()-3,1,0))</f>
        <v>0</v>
      </c>
      <c r="C737" s="0" t="n">
        <f aca="false">N(C736)+B737</f>
        <v>11</v>
      </c>
      <c r="G737" s="0" t="n">
        <f aca="false">IF(OR($G$1="",对账补充行!$C130="",对账补充行!$C130&lt;&gt;$G$1),0,IF(NOT(OR(N(对账补充行!$H130)&lt;&gt;0,N(对账补充行!$I130)&lt;&gt;0)),0,IF(对账补充行!$B130="",1,IF(OR(N(对账补充行!$B130)&lt;$H$1,N(对账补充行!$B130)&gt;$I$1),0,1))))</f>
        <v>0</v>
      </c>
      <c r="H737" s="0" t="n">
        <f aca="false">N(H736)+$G737</f>
        <v>3</v>
      </c>
      <c r="I737" s="0" t="str">
        <f aca="false">IF($G737=0,"",IF(对账补充行!$B130=0,"",对账补充行!$B130))</f>
        <v/>
      </c>
      <c r="J737" s="0" t="str">
        <f aca="false">IF($G737=0,"",IF(对账补充行!$D130=0,"",对账补充行!$D130))</f>
        <v/>
      </c>
      <c r="K737" s="0" t="str">
        <f aca="false">IF($G737=0,"",IF(对账补充行!$E130=0,"",对账补充行!$E130))</f>
        <v/>
      </c>
      <c r="L737" s="0" t="str">
        <f aca="false">IF($G737=0,"",IF(对账补充行!$F130=0,"",对账补充行!$F130))</f>
        <v/>
      </c>
      <c r="M737" s="0" t="str">
        <f aca="false">IF($G737=0,"",IF(对账补充行!$G130=0,"",对账补充行!$G130))</f>
        <v/>
      </c>
      <c r="N737" s="0" t="str">
        <f aca="false">IF($G737=0,"",IF(对账补充行!$H130=0,"",对账补充行!$H130))</f>
        <v/>
      </c>
      <c r="O737" s="0" t="str">
        <f aca="false">IF($G737=0,"",IF(对账补充行!$I130=0,"",对账补充行!$I130))</f>
        <v/>
      </c>
      <c r="P737" s="0" t="str">
        <f aca="false">IF($G737=0,"",IF(对账补充行!$J130=0,"",对账补充行!$J130))</f>
        <v/>
      </c>
      <c r="T737" s="0" t="str">
        <f aca="false">IF(成本费用登记表!$D137="","",成本费用登记表!$D137)</f>
        <v/>
      </c>
      <c r="U737" s="0" t="n">
        <f aca="false">IF(T737="",0,IF(MATCH(T737,$T$4:$T$903,0)=ROW()-3,1,0))</f>
        <v>0</v>
      </c>
      <c r="V737" s="0" t="n">
        <f aca="false">N(V736)+U737</f>
        <v>30</v>
      </c>
    </row>
    <row r="738" customFormat="false" ht="13.5" hidden="false" customHeight="false" outlineLevel="0" collapsed="false">
      <c r="A738" s="0" t="str">
        <f aca="false">IF(资金日记账!$E436="","",资金日记账!$E436)</f>
        <v/>
      </c>
      <c r="B738" s="0" t="n">
        <f aca="false">IF(A738="",0,IF(MATCH(A738,$A$4:$A$1925,0)=ROW()-3,1,0))</f>
        <v>0</v>
      </c>
      <c r="C738" s="0" t="n">
        <f aca="false">N(C737)+B738</f>
        <v>11</v>
      </c>
      <c r="G738" s="0" t="n">
        <f aca="false">IF(OR($G$1="",对账补充行!$C131="",对账补充行!$C131&lt;&gt;$G$1),0,IF(NOT(OR(N(对账补充行!$H131)&lt;&gt;0,N(对账补充行!$I131)&lt;&gt;0)),0,IF(对账补充行!$B131="",1,IF(OR(N(对账补充行!$B131)&lt;$H$1,N(对账补充行!$B131)&gt;$I$1),0,1))))</f>
        <v>0</v>
      </c>
      <c r="H738" s="0" t="n">
        <f aca="false">N(H737)+$G738</f>
        <v>3</v>
      </c>
      <c r="I738" s="0" t="str">
        <f aca="false">IF($G738=0,"",IF(对账补充行!$B131=0,"",对账补充行!$B131))</f>
        <v/>
      </c>
      <c r="J738" s="0" t="str">
        <f aca="false">IF($G738=0,"",IF(对账补充行!$D131=0,"",对账补充行!$D131))</f>
        <v/>
      </c>
      <c r="K738" s="0" t="str">
        <f aca="false">IF($G738=0,"",IF(对账补充行!$E131=0,"",对账补充行!$E131))</f>
        <v/>
      </c>
      <c r="L738" s="0" t="str">
        <f aca="false">IF($G738=0,"",IF(对账补充行!$F131=0,"",对账补充行!$F131))</f>
        <v/>
      </c>
      <c r="M738" s="0" t="str">
        <f aca="false">IF($G738=0,"",IF(对账补充行!$G131=0,"",对账补充行!$G131))</f>
        <v/>
      </c>
      <c r="N738" s="0" t="str">
        <f aca="false">IF($G738=0,"",IF(对账补充行!$H131=0,"",对账补充行!$H131))</f>
        <v/>
      </c>
      <c r="O738" s="0" t="str">
        <f aca="false">IF($G738=0,"",IF(对账补充行!$I131=0,"",对账补充行!$I131))</f>
        <v/>
      </c>
      <c r="P738" s="0" t="str">
        <f aca="false">IF($G738=0,"",IF(对账补充行!$J131=0,"",对账补充行!$J131))</f>
        <v/>
      </c>
      <c r="T738" s="0" t="str">
        <f aca="false">IF(成本费用登记表!$D138="","",成本费用登记表!$D138)</f>
        <v/>
      </c>
      <c r="U738" s="0" t="n">
        <f aca="false">IF(T738="",0,IF(MATCH(T738,$T$4:$T$903,0)=ROW()-3,1,0))</f>
        <v>0</v>
      </c>
      <c r="V738" s="0" t="n">
        <f aca="false">N(V737)+U738</f>
        <v>30</v>
      </c>
    </row>
    <row r="739" customFormat="false" ht="13.5" hidden="false" customHeight="false" outlineLevel="0" collapsed="false">
      <c r="A739" s="0" t="str">
        <f aca="false">IF(资金日记账!$E437="","",资金日记账!$E437)</f>
        <v/>
      </c>
      <c r="B739" s="0" t="n">
        <f aca="false">IF(A739="",0,IF(MATCH(A739,$A$4:$A$1925,0)=ROW()-3,1,0))</f>
        <v>0</v>
      </c>
      <c r="C739" s="0" t="n">
        <f aca="false">N(C738)+B739</f>
        <v>11</v>
      </c>
      <c r="G739" s="0" t="n">
        <f aca="false">IF(OR($G$1="",对账补充行!$C132="",对账补充行!$C132&lt;&gt;$G$1),0,IF(NOT(OR(N(对账补充行!$H132)&lt;&gt;0,N(对账补充行!$I132)&lt;&gt;0)),0,IF(对账补充行!$B132="",1,IF(OR(N(对账补充行!$B132)&lt;$H$1,N(对账补充行!$B132)&gt;$I$1),0,1))))</f>
        <v>0</v>
      </c>
      <c r="H739" s="0" t="n">
        <f aca="false">N(H738)+$G739</f>
        <v>3</v>
      </c>
      <c r="I739" s="0" t="str">
        <f aca="false">IF($G739=0,"",IF(对账补充行!$B132=0,"",对账补充行!$B132))</f>
        <v/>
      </c>
      <c r="J739" s="0" t="str">
        <f aca="false">IF($G739=0,"",IF(对账补充行!$D132=0,"",对账补充行!$D132))</f>
        <v/>
      </c>
      <c r="K739" s="0" t="str">
        <f aca="false">IF($G739=0,"",IF(对账补充行!$E132=0,"",对账补充行!$E132))</f>
        <v/>
      </c>
      <c r="L739" s="0" t="str">
        <f aca="false">IF($G739=0,"",IF(对账补充行!$F132=0,"",对账补充行!$F132))</f>
        <v/>
      </c>
      <c r="M739" s="0" t="str">
        <f aca="false">IF($G739=0,"",IF(对账补充行!$G132=0,"",对账补充行!$G132))</f>
        <v/>
      </c>
      <c r="N739" s="0" t="str">
        <f aca="false">IF($G739=0,"",IF(对账补充行!$H132=0,"",对账补充行!$H132))</f>
        <v/>
      </c>
      <c r="O739" s="0" t="str">
        <f aca="false">IF($G739=0,"",IF(对账补充行!$I132=0,"",对账补充行!$I132))</f>
        <v/>
      </c>
      <c r="P739" s="0" t="str">
        <f aca="false">IF($G739=0,"",IF(对账补充行!$J132=0,"",对账补充行!$J132))</f>
        <v/>
      </c>
      <c r="T739" s="0" t="str">
        <f aca="false">IF(成本费用登记表!$D139="","",成本费用登记表!$D139)</f>
        <v/>
      </c>
      <c r="U739" s="0" t="n">
        <f aca="false">IF(T739="",0,IF(MATCH(T739,$T$4:$T$903,0)=ROW()-3,1,0))</f>
        <v>0</v>
      </c>
      <c r="V739" s="0" t="n">
        <f aca="false">N(V738)+U739</f>
        <v>30</v>
      </c>
    </row>
    <row r="740" customFormat="false" ht="13.5" hidden="false" customHeight="false" outlineLevel="0" collapsed="false">
      <c r="A740" s="0" t="str">
        <f aca="false">IF(资金日记账!$E438="","",资金日记账!$E438)</f>
        <v/>
      </c>
      <c r="B740" s="0" t="n">
        <f aca="false">IF(A740="",0,IF(MATCH(A740,$A$4:$A$1925,0)=ROW()-3,1,0))</f>
        <v>0</v>
      </c>
      <c r="C740" s="0" t="n">
        <f aca="false">N(C739)+B740</f>
        <v>11</v>
      </c>
      <c r="G740" s="0" t="n">
        <f aca="false">IF(OR($G$1="",对账补充行!$C133="",对账补充行!$C133&lt;&gt;$G$1),0,IF(NOT(OR(N(对账补充行!$H133)&lt;&gt;0,N(对账补充行!$I133)&lt;&gt;0)),0,IF(对账补充行!$B133="",1,IF(OR(N(对账补充行!$B133)&lt;$H$1,N(对账补充行!$B133)&gt;$I$1),0,1))))</f>
        <v>0</v>
      </c>
      <c r="H740" s="0" t="n">
        <f aca="false">N(H739)+$G740</f>
        <v>3</v>
      </c>
      <c r="I740" s="0" t="str">
        <f aca="false">IF($G740=0,"",IF(对账补充行!$B133=0,"",对账补充行!$B133))</f>
        <v/>
      </c>
      <c r="J740" s="0" t="str">
        <f aca="false">IF($G740=0,"",IF(对账补充行!$D133=0,"",对账补充行!$D133))</f>
        <v/>
      </c>
      <c r="K740" s="0" t="str">
        <f aca="false">IF($G740=0,"",IF(对账补充行!$E133=0,"",对账补充行!$E133))</f>
        <v/>
      </c>
      <c r="L740" s="0" t="str">
        <f aca="false">IF($G740=0,"",IF(对账补充行!$F133=0,"",对账补充行!$F133))</f>
        <v/>
      </c>
      <c r="M740" s="0" t="str">
        <f aca="false">IF($G740=0,"",IF(对账补充行!$G133=0,"",对账补充行!$G133))</f>
        <v/>
      </c>
      <c r="N740" s="0" t="str">
        <f aca="false">IF($G740=0,"",IF(对账补充行!$H133=0,"",对账补充行!$H133))</f>
        <v/>
      </c>
      <c r="O740" s="0" t="str">
        <f aca="false">IF($G740=0,"",IF(对账补充行!$I133=0,"",对账补充行!$I133))</f>
        <v/>
      </c>
      <c r="P740" s="0" t="str">
        <f aca="false">IF($G740=0,"",IF(对账补充行!$J133=0,"",对账补充行!$J133))</f>
        <v/>
      </c>
      <c r="T740" s="0" t="str">
        <f aca="false">IF(成本费用登记表!$D140="","",成本费用登记表!$D140)</f>
        <v/>
      </c>
      <c r="U740" s="0" t="n">
        <f aca="false">IF(T740="",0,IF(MATCH(T740,$T$4:$T$903,0)=ROW()-3,1,0))</f>
        <v>0</v>
      </c>
      <c r="V740" s="0" t="n">
        <f aca="false">N(V739)+U740</f>
        <v>30</v>
      </c>
    </row>
    <row r="741" customFormat="false" ht="13.5" hidden="false" customHeight="false" outlineLevel="0" collapsed="false">
      <c r="A741" s="0" t="str">
        <f aca="false">IF(资金日记账!$E439="","",资金日记账!$E439)</f>
        <v/>
      </c>
      <c r="B741" s="0" t="n">
        <f aca="false">IF(A741="",0,IF(MATCH(A741,$A$4:$A$1925,0)=ROW()-3,1,0))</f>
        <v>0</v>
      </c>
      <c r="C741" s="0" t="n">
        <f aca="false">N(C740)+B741</f>
        <v>11</v>
      </c>
      <c r="G741" s="0" t="n">
        <f aca="false">IF(OR($G$1="",对账补充行!$C134="",对账补充行!$C134&lt;&gt;$G$1),0,IF(NOT(OR(N(对账补充行!$H134)&lt;&gt;0,N(对账补充行!$I134)&lt;&gt;0)),0,IF(对账补充行!$B134="",1,IF(OR(N(对账补充行!$B134)&lt;$H$1,N(对账补充行!$B134)&gt;$I$1),0,1))))</f>
        <v>0</v>
      </c>
      <c r="H741" s="0" t="n">
        <f aca="false">N(H740)+$G741</f>
        <v>3</v>
      </c>
      <c r="I741" s="0" t="str">
        <f aca="false">IF($G741=0,"",IF(对账补充行!$B134=0,"",对账补充行!$B134))</f>
        <v/>
      </c>
      <c r="J741" s="0" t="str">
        <f aca="false">IF($G741=0,"",IF(对账补充行!$D134=0,"",对账补充行!$D134))</f>
        <v/>
      </c>
      <c r="K741" s="0" t="str">
        <f aca="false">IF($G741=0,"",IF(对账补充行!$E134=0,"",对账补充行!$E134))</f>
        <v/>
      </c>
      <c r="L741" s="0" t="str">
        <f aca="false">IF($G741=0,"",IF(对账补充行!$F134=0,"",对账补充行!$F134))</f>
        <v/>
      </c>
      <c r="M741" s="0" t="str">
        <f aca="false">IF($G741=0,"",IF(对账补充行!$G134=0,"",对账补充行!$G134))</f>
        <v/>
      </c>
      <c r="N741" s="0" t="str">
        <f aca="false">IF($G741=0,"",IF(对账补充行!$H134=0,"",对账补充行!$H134))</f>
        <v/>
      </c>
      <c r="O741" s="0" t="str">
        <f aca="false">IF($G741=0,"",IF(对账补充行!$I134=0,"",对账补充行!$I134))</f>
        <v/>
      </c>
      <c r="P741" s="0" t="str">
        <f aca="false">IF($G741=0,"",IF(对账补充行!$J134=0,"",对账补充行!$J134))</f>
        <v/>
      </c>
      <c r="T741" s="0" t="str">
        <f aca="false">IF(成本费用登记表!$D141="","",成本费用登记表!$D141)</f>
        <v/>
      </c>
      <c r="U741" s="0" t="n">
        <f aca="false">IF(T741="",0,IF(MATCH(T741,$T$4:$T$903,0)=ROW()-3,1,0))</f>
        <v>0</v>
      </c>
      <c r="V741" s="0" t="n">
        <f aca="false">N(V740)+U741</f>
        <v>30</v>
      </c>
    </row>
    <row r="742" customFormat="false" ht="13.5" hidden="false" customHeight="false" outlineLevel="0" collapsed="false">
      <c r="A742" s="0" t="str">
        <f aca="false">IF(资金日记账!$E440="","",资金日记账!$E440)</f>
        <v/>
      </c>
      <c r="B742" s="0" t="n">
        <f aca="false">IF(A742="",0,IF(MATCH(A742,$A$4:$A$1925,0)=ROW()-3,1,0))</f>
        <v>0</v>
      </c>
      <c r="C742" s="0" t="n">
        <f aca="false">N(C741)+B742</f>
        <v>11</v>
      </c>
      <c r="G742" s="0" t="n">
        <f aca="false">IF(OR($G$1="",对账补充行!$C135="",对账补充行!$C135&lt;&gt;$G$1),0,IF(NOT(OR(N(对账补充行!$H135)&lt;&gt;0,N(对账补充行!$I135)&lt;&gt;0)),0,IF(对账补充行!$B135="",1,IF(OR(N(对账补充行!$B135)&lt;$H$1,N(对账补充行!$B135)&gt;$I$1),0,1))))</f>
        <v>0</v>
      </c>
      <c r="H742" s="0" t="n">
        <f aca="false">N(H741)+$G742</f>
        <v>3</v>
      </c>
      <c r="I742" s="0" t="str">
        <f aca="false">IF($G742=0,"",IF(对账补充行!$B135=0,"",对账补充行!$B135))</f>
        <v/>
      </c>
      <c r="J742" s="0" t="str">
        <f aca="false">IF($G742=0,"",IF(对账补充行!$D135=0,"",对账补充行!$D135))</f>
        <v/>
      </c>
      <c r="K742" s="0" t="str">
        <f aca="false">IF($G742=0,"",IF(对账补充行!$E135=0,"",对账补充行!$E135))</f>
        <v/>
      </c>
      <c r="L742" s="0" t="str">
        <f aca="false">IF($G742=0,"",IF(对账补充行!$F135=0,"",对账补充行!$F135))</f>
        <v/>
      </c>
      <c r="M742" s="0" t="str">
        <f aca="false">IF($G742=0,"",IF(对账补充行!$G135=0,"",对账补充行!$G135))</f>
        <v/>
      </c>
      <c r="N742" s="0" t="str">
        <f aca="false">IF($G742=0,"",IF(对账补充行!$H135=0,"",对账补充行!$H135))</f>
        <v/>
      </c>
      <c r="O742" s="0" t="str">
        <f aca="false">IF($G742=0,"",IF(对账补充行!$I135=0,"",对账补充行!$I135))</f>
        <v/>
      </c>
      <c r="P742" s="0" t="str">
        <f aca="false">IF($G742=0,"",IF(对账补充行!$J135=0,"",对账补充行!$J135))</f>
        <v/>
      </c>
      <c r="T742" s="0" t="str">
        <f aca="false">IF(成本费用登记表!$D142="","",成本费用登记表!$D142)</f>
        <v/>
      </c>
      <c r="U742" s="0" t="n">
        <f aca="false">IF(T742="",0,IF(MATCH(T742,$T$4:$T$903,0)=ROW()-3,1,0))</f>
        <v>0</v>
      </c>
      <c r="V742" s="0" t="n">
        <f aca="false">N(V741)+U742</f>
        <v>30</v>
      </c>
    </row>
    <row r="743" customFormat="false" ht="13.5" hidden="false" customHeight="false" outlineLevel="0" collapsed="false">
      <c r="A743" s="0" t="str">
        <f aca="false">IF(资金日记账!$E441="","",资金日记账!$E441)</f>
        <v/>
      </c>
      <c r="B743" s="0" t="n">
        <f aca="false">IF(A743="",0,IF(MATCH(A743,$A$4:$A$1925,0)=ROW()-3,1,0))</f>
        <v>0</v>
      </c>
      <c r="C743" s="0" t="n">
        <f aca="false">N(C742)+B743</f>
        <v>11</v>
      </c>
      <c r="G743" s="0" t="n">
        <f aca="false">IF(OR($G$1="",对账补充行!$C136="",对账补充行!$C136&lt;&gt;$G$1),0,IF(NOT(OR(N(对账补充行!$H136)&lt;&gt;0,N(对账补充行!$I136)&lt;&gt;0)),0,IF(对账补充行!$B136="",1,IF(OR(N(对账补充行!$B136)&lt;$H$1,N(对账补充行!$B136)&gt;$I$1),0,1))))</f>
        <v>0</v>
      </c>
      <c r="H743" s="0" t="n">
        <f aca="false">N(H742)+$G743</f>
        <v>3</v>
      </c>
      <c r="I743" s="0" t="str">
        <f aca="false">IF($G743=0,"",IF(对账补充行!$B136=0,"",对账补充行!$B136))</f>
        <v/>
      </c>
      <c r="J743" s="0" t="str">
        <f aca="false">IF($G743=0,"",IF(对账补充行!$D136=0,"",对账补充行!$D136))</f>
        <v/>
      </c>
      <c r="K743" s="0" t="str">
        <f aca="false">IF($G743=0,"",IF(对账补充行!$E136=0,"",对账补充行!$E136))</f>
        <v/>
      </c>
      <c r="L743" s="0" t="str">
        <f aca="false">IF($G743=0,"",IF(对账补充行!$F136=0,"",对账补充行!$F136))</f>
        <v/>
      </c>
      <c r="M743" s="0" t="str">
        <f aca="false">IF($G743=0,"",IF(对账补充行!$G136=0,"",对账补充行!$G136))</f>
        <v/>
      </c>
      <c r="N743" s="0" t="str">
        <f aca="false">IF($G743=0,"",IF(对账补充行!$H136=0,"",对账补充行!$H136))</f>
        <v/>
      </c>
      <c r="O743" s="0" t="str">
        <f aca="false">IF($G743=0,"",IF(对账补充行!$I136=0,"",对账补充行!$I136))</f>
        <v/>
      </c>
      <c r="P743" s="0" t="str">
        <f aca="false">IF($G743=0,"",IF(对账补充行!$J136=0,"",对账补充行!$J136))</f>
        <v/>
      </c>
      <c r="T743" s="0" t="str">
        <f aca="false">IF(成本费用登记表!$D143="","",成本费用登记表!$D143)</f>
        <v/>
      </c>
      <c r="U743" s="0" t="n">
        <f aca="false">IF(T743="",0,IF(MATCH(T743,$T$4:$T$903,0)=ROW()-3,1,0))</f>
        <v>0</v>
      </c>
      <c r="V743" s="0" t="n">
        <f aca="false">N(V742)+U743</f>
        <v>30</v>
      </c>
    </row>
    <row r="744" customFormat="false" ht="13.5" hidden="false" customHeight="false" outlineLevel="0" collapsed="false">
      <c r="A744" s="0" t="str">
        <f aca="false">IF(资金日记账!$E442="","",资金日记账!$E442)</f>
        <v/>
      </c>
      <c r="B744" s="0" t="n">
        <f aca="false">IF(A744="",0,IF(MATCH(A744,$A$4:$A$1925,0)=ROW()-3,1,0))</f>
        <v>0</v>
      </c>
      <c r="C744" s="0" t="n">
        <f aca="false">N(C743)+B744</f>
        <v>11</v>
      </c>
      <c r="G744" s="0" t="n">
        <f aca="false">IF(OR($G$1="",对账补充行!$C137="",对账补充行!$C137&lt;&gt;$G$1),0,IF(NOT(OR(N(对账补充行!$H137)&lt;&gt;0,N(对账补充行!$I137)&lt;&gt;0)),0,IF(对账补充行!$B137="",1,IF(OR(N(对账补充行!$B137)&lt;$H$1,N(对账补充行!$B137)&gt;$I$1),0,1))))</f>
        <v>0</v>
      </c>
      <c r="H744" s="0" t="n">
        <f aca="false">N(H743)+$G744</f>
        <v>3</v>
      </c>
      <c r="I744" s="0" t="str">
        <f aca="false">IF($G744=0,"",IF(对账补充行!$B137=0,"",对账补充行!$B137))</f>
        <v/>
      </c>
      <c r="J744" s="0" t="str">
        <f aca="false">IF($G744=0,"",IF(对账补充行!$D137=0,"",对账补充行!$D137))</f>
        <v/>
      </c>
      <c r="K744" s="0" t="str">
        <f aca="false">IF($G744=0,"",IF(对账补充行!$E137=0,"",对账补充行!$E137))</f>
        <v/>
      </c>
      <c r="L744" s="0" t="str">
        <f aca="false">IF($G744=0,"",IF(对账补充行!$F137=0,"",对账补充行!$F137))</f>
        <v/>
      </c>
      <c r="M744" s="0" t="str">
        <f aca="false">IF($G744=0,"",IF(对账补充行!$G137=0,"",对账补充行!$G137))</f>
        <v/>
      </c>
      <c r="N744" s="0" t="str">
        <f aca="false">IF($G744=0,"",IF(对账补充行!$H137=0,"",对账补充行!$H137))</f>
        <v/>
      </c>
      <c r="O744" s="0" t="str">
        <f aca="false">IF($G744=0,"",IF(对账补充行!$I137=0,"",对账补充行!$I137))</f>
        <v/>
      </c>
      <c r="P744" s="0" t="str">
        <f aca="false">IF($G744=0,"",IF(对账补充行!$J137=0,"",对账补充行!$J137))</f>
        <v/>
      </c>
      <c r="T744" s="0" t="str">
        <f aca="false">IF(成本费用登记表!$D144="","",成本费用登记表!$D144)</f>
        <v/>
      </c>
      <c r="U744" s="0" t="n">
        <f aca="false">IF(T744="",0,IF(MATCH(T744,$T$4:$T$903,0)=ROW()-3,1,0))</f>
        <v>0</v>
      </c>
      <c r="V744" s="0" t="n">
        <f aca="false">N(V743)+U744</f>
        <v>30</v>
      </c>
    </row>
    <row r="745" customFormat="false" ht="13.5" hidden="false" customHeight="false" outlineLevel="0" collapsed="false">
      <c r="A745" s="0" t="str">
        <f aca="false">IF(资金日记账!$E443="","",资金日记账!$E443)</f>
        <v/>
      </c>
      <c r="B745" s="0" t="n">
        <f aca="false">IF(A745="",0,IF(MATCH(A745,$A$4:$A$1925,0)=ROW()-3,1,0))</f>
        <v>0</v>
      </c>
      <c r="C745" s="0" t="n">
        <f aca="false">N(C744)+B745</f>
        <v>11</v>
      </c>
      <c r="G745" s="0" t="n">
        <f aca="false">IF(OR($G$1="",对账补充行!$C138="",对账补充行!$C138&lt;&gt;$G$1),0,IF(NOT(OR(N(对账补充行!$H138)&lt;&gt;0,N(对账补充行!$I138)&lt;&gt;0)),0,IF(对账补充行!$B138="",1,IF(OR(N(对账补充行!$B138)&lt;$H$1,N(对账补充行!$B138)&gt;$I$1),0,1))))</f>
        <v>0</v>
      </c>
      <c r="H745" s="0" t="n">
        <f aca="false">N(H744)+$G745</f>
        <v>3</v>
      </c>
      <c r="I745" s="0" t="str">
        <f aca="false">IF($G745=0,"",IF(对账补充行!$B138=0,"",对账补充行!$B138))</f>
        <v/>
      </c>
      <c r="J745" s="0" t="str">
        <f aca="false">IF($G745=0,"",IF(对账补充行!$D138=0,"",对账补充行!$D138))</f>
        <v/>
      </c>
      <c r="K745" s="0" t="str">
        <f aca="false">IF($G745=0,"",IF(对账补充行!$E138=0,"",对账补充行!$E138))</f>
        <v/>
      </c>
      <c r="L745" s="0" t="str">
        <f aca="false">IF($G745=0,"",IF(对账补充行!$F138=0,"",对账补充行!$F138))</f>
        <v/>
      </c>
      <c r="M745" s="0" t="str">
        <f aca="false">IF($G745=0,"",IF(对账补充行!$G138=0,"",对账补充行!$G138))</f>
        <v/>
      </c>
      <c r="N745" s="0" t="str">
        <f aca="false">IF($G745=0,"",IF(对账补充行!$H138=0,"",对账补充行!$H138))</f>
        <v/>
      </c>
      <c r="O745" s="0" t="str">
        <f aca="false">IF($G745=0,"",IF(对账补充行!$I138=0,"",对账补充行!$I138))</f>
        <v/>
      </c>
      <c r="P745" s="0" t="str">
        <f aca="false">IF($G745=0,"",IF(对账补充行!$J138=0,"",对账补充行!$J138))</f>
        <v/>
      </c>
      <c r="T745" s="0" t="str">
        <f aca="false">IF(成本费用登记表!$D145="","",成本费用登记表!$D145)</f>
        <v/>
      </c>
      <c r="U745" s="0" t="n">
        <f aca="false">IF(T745="",0,IF(MATCH(T745,$T$4:$T$903,0)=ROW()-3,1,0))</f>
        <v>0</v>
      </c>
      <c r="V745" s="0" t="n">
        <f aca="false">N(V744)+U745</f>
        <v>30</v>
      </c>
    </row>
    <row r="746" customFormat="false" ht="13.5" hidden="false" customHeight="false" outlineLevel="0" collapsed="false">
      <c r="A746" s="0" t="str">
        <f aca="false">IF(资金日记账!$E444="","",资金日记账!$E444)</f>
        <v/>
      </c>
      <c r="B746" s="0" t="n">
        <f aca="false">IF(A746="",0,IF(MATCH(A746,$A$4:$A$1925,0)=ROW()-3,1,0))</f>
        <v>0</v>
      </c>
      <c r="C746" s="0" t="n">
        <f aca="false">N(C745)+B746</f>
        <v>11</v>
      </c>
      <c r="G746" s="0" t="n">
        <f aca="false">IF(OR($G$1="",对账补充行!$C139="",对账补充行!$C139&lt;&gt;$G$1),0,IF(NOT(OR(N(对账补充行!$H139)&lt;&gt;0,N(对账补充行!$I139)&lt;&gt;0)),0,IF(对账补充行!$B139="",1,IF(OR(N(对账补充行!$B139)&lt;$H$1,N(对账补充行!$B139)&gt;$I$1),0,1))))</f>
        <v>0</v>
      </c>
      <c r="H746" s="0" t="n">
        <f aca="false">N(H745)+$G746</f>
        <v>3</v>
      </c>
      <c r="I746" s="0" t="str">
        <f aca="false">IF($G746=0,"",IF(对账补充行!$B139=0,"",对账补充行!$B139))</f>
        <v/>
      </c>
      <c r="J746" s="0" t="str">
        <f aca="false">IF($G746=0,"",IF(对账补充行!$D139=0,"",对账补充行!$D139))</f>
        <v/>
      </c>
      <c r="K746" s="0" t="str">
        <f aca="false">IF($G746=0,"",IF(对账补充行!$E139=0,"",对账补充行!$E139))</f>
        <v/>
      </c>
      <c r="L746" s="0" t="str">
        <f aca="false">IF($G746=0,"",IF(对账补充行!$F139=0,"",对账补充行!$F139))</f>
        <v/>
      </c>
      <c r="M746" s="0" t="str">
        <f aca="false">IF($G746=0,"",IF(对账补充行!$G139=0,"",对账补充行!$G139))</f>
        <v/>
      </c>
      <c r="N746" s="0" t="str">
        <f aca="false">IF($G746=0,"",IF(对账补充行!$H139=0,"",对账补充行!$H139))</f>
        <v/>
      </c>
      <c r="O746" s="0" t="str">
        <f aca="false">IF($G746=0,"",IF(对账补充行!$I139=0,"",对账补充行!$I139))</f>
        <v/>
      </c>
      <c r="P746" s="0" t="str">
        <f aca="false">IF($G746=0,"",IF(对账补充行!$J139=0,"",对账补充行!$J139))</f>
        <v/>
      </c>
      <c r="T746" s="0" t="str">
        <f aca="false">IF(成本费用登记表!$D146="","",成本费用登记表!$D146)</f>
        <v/>
      </c>
      <c r="U746" s="0" t="n">
        <f aca="false">IF(T746="",0,IF(MATCH(T746,$T$4:$T$903,0)=ROW()-3,1,0))</f>
        <v>0</v>
      </c>
      <c r="V746" s="0" t="n">
        <f aca="false">N(V745)+U746</f>
        <v>30</v>
      </c>
    </row>
    <row r="747" customFormat="false" ht="13.5" hidden="false" customHeight="false" outlineLevel="0" collapsed="false">
      <c r="A747" s="0" t="str">
        <f aca="false">IF(资金日记账!$E445="","",资金日记账!$E445)</f>
        <v/>
      </c>
      <c r="B747" s="0" t="n">
        <f aca="false">IF(A747="",0,IF(MATCH(A747,$A$4:$A$1925,0)=ROW()-3,1,0))</f>
        <v>0</v>
      </c>
      <c r="C747" s="0" t="n">
        <f aca="false">N(C746)+B747</f>
        <v>11</v>
      </c>
      <c r="G747" s="0" t="n">
        <f aca="false">IF(OR($G$1="",对账补充行!$C140="",对账补充行!$C140&lt;&gt;$G$1),0,IF(NOT(OR(N(对账补充行!$H140)&lt;&gt;0,N(对账补充行!$I140)&lt;&gt;0)),0,IF(对账补充行!$B140="",1,IF(OR(N(对账补充行!$B140)&lt;$H$1,N(对账补充行!$B140)&gt;$I$1),0,1))))</f>
        <v>0</v>
      </c>
      <c r="H747" s="0" t="n">
        <f aca="false">N(H746)+$G747</f>
        <v>3</v>
      </c>
      <c r="I747" s="0" t="str">
        <f aca="false">IF($G747=0,"",IF(对账补充行!$B140=0,"",对账补充行!$B140))</f>
        <v/>
      </c>
      <c r="J747" s="0" t="str">
        <f aca="false">IF($G747=0,"",IF(对账补充行!$D140=0,"",对账补充行!$D140))</f>
        <v/>
      </c>
      <c r="K747" s="0" t="str">
        <f aca="false">IF($G747=0,"",IF(对账补充行!$E140=0,"",对账补充行!$E140))</f>
        <v/>
      </c>
      <c r="L747" s="0" t="str">
        <f aca="false">IF($G747=0,"",IF(对账补充行!$F140=0,"",对账补充行!$F140))</f>
        <v/>
      </c>
      <c r="M747" s="0" t="str">
        <f aca="false">IF($G747=0,"",IF(对账补充行!$G140=0,"",对账补充行!$G140))</f>
        <v/>
      </c>
      <c r="N747" s="0" t="str">
        <f aca="false">IF($G747=0,"",IF(对账补充行!$H140=0,"",对账补充行!$H140))</f>
        <v/>
      </c>
      <c r="O747" s="0" t="str">
        <f aca="false">IF($G747=0,"",IF(对账补充行!$I140=0,"",对账补充行!$I140))</f>
        <v/>
      </c>
      <c r="P747" s="0" t="str">
        <f aca="false">IF($G747=0,"",IF(对账补充行!$J140=0,"",对账补充行!$J140))</f>
        <v/>
      </c>
      <c r="T747" s="0" t="str">
        <f aca="false">IF(成本费用登记表!$D147="","",成本费用登记表!$D147)</f>
        <v/>
      </c>
      <c r="U747" s="0" t="n">
        <f aca="false">IF(T747="",0,IF(MATCH(T747,$T$4:$T$903,0)=ROW()-3,1,0))</f>
        <v>0</v>
      </c>
      <c r="V747" s="0" t="n">
        <f aca="false">N(V746)+U747</f>
        <v>30</v>
      </c>
    </row>
    <row r="748" customFormat="false" ht="13.5" hidden="false" customHeight="false" outlineLevel="0" collapsed="false">
      <c r="A748" s="0" t="str">
        <f aca="false">IF(资金日记账!$E446="","",资金日记账!$E446)</f>
        <v/>
      </c>
      <c r="B748" s="0" t="n">
        <f aca="false">IF(A748="",0,IF(MATCH(A748,$A$4:$A$1925,0)=ROW()-3,1,0))</f>
        <v>0</v>
      </c>
      <c r="C748" s="0" t="n">
        <f aca="false">N(C747)+B748</f>
        <v>11</v>
      </c>
      <c r="G748" s="0" t="n">
        <f aca="false">IF(OR($G$1="",对账补充行!$C141="",对账补充行!$C141&lt;&gt;$G$1),0,IF(NOT(OR(N(对账补充行!$H141)&lt;&gt;0,N(对账补充行!$I141)&lt;&gt;0)),0,IF(对账补充行!$B141="",1,IF(OR(N(对账补充行!$B141)&lt;$H$1,N(对账补充行!$B141)&gt;$I$1),0,1))))</f>
        <v>0</v>
      </c>
      <c r="H748" s="0" t="n">
        <f aca="false">N(H747)+$G748</f>
        <v>3</v>
      </c>
      <c r="I748" s="0" t="str">
        <f aca="false">IF($G748=0,"",IF(对账补充行!$B141=0,"",对账补充行!$B141))</f>
        <v/>
      </c>
      <c r="J748" s="0" t="str">
        <f aca="false">IF($G748=0,"",IF(对账补充行!$D141=0,"",对账补充行!$D141))</f>
        <v/>
      </c>
      <c r="K748" s="0" t="str">
        <f aca="false">IF($G748=0,"",IF(对账补充行!$E141=0,"",对账补充行!$E141))</f>
        <v/>
      </c>
      <c r="L748" s="0" t="str">
        <f aca="false">IF($G748=0,"",IF(对账补充行!$F141=0,"",对账补充行!$F141))</f>
        <v/>
      </c>
      <c r="M748" s="0" t="str">
        <f aca="false">IF($G748=0,"",IF(对账补充行!$G141=0,"",对账补充行!$G141))</f>
        <v/>
      </c>
      <c r="N748" s="0" t="str">
        <f aca="false">IF($G748=0,"",IF(对账补充行!$H141=0,"",对账补充行!$H141))</f>
        <v/>
      </c>
      <c r="O748" s="0" t="str">
        <f aca="false">IF($G748=0,"",IF(对账补充行!$I141=0,"",对账补充行!$I141))</f>
        <v/>
      </c>
      <c r="P748" s="0" t="str">
        <f aca="false">IF($G748=0,"",IF(对账补充行!$J141=0,"",对账补充行!$J141))</f>
        <v/>
      </c>
      <c r="T748" s="0" t="str">
        <f aca="false">IF(成本费用登记表!$D148="","",成本费用登记表!$D148)</f>
        <v/>
      </c>
      <c r="U748" s="0" t="n">
        <f aca="false">IF(T748="",0,IF(MATCH(T748,$T$4:$T$903,0)=ROW()-3,1,0))</f>
        <v>0</v>
      </c>
      <c r="V748" s="0" t="n">
        <f aca="false">N(V747)+U748</f>
        <v>30</v>
      </c>
    </row>
    <row r="749" customFormat="false" ht="13.5" hidden="false" customHeight="false" outlineLevel="0" collapsed="false">
      <c r="A749" s="0" t="str">
        <f aca="false">IF(资金日记账!$E447="","",资金日记账!$E447)</f>
        <v/>
      </c>
      <c r="B749" s="0" t="n">
        <f aca="false">IF(A749="",0,IF(MATCH(A749,$A$4:$A$1925,0)=ROW()-3,1,0))</f>
        <v>0</v>
      </c>
      <c r="C749" s="0" t="n">
        <f aca="false">N(C748)+B749</f>
        <v>11</v>
      </c>
      <c r="G749" s="0" t="n">
        <f aca="false">IF(OR($G$1="",对账补充行!$C142="",对账补充行!$C142&lt;&gt;$G$1),0,IF(NOT(OR(N(对账补充行!$H142)&lt;&gt;0,N(对账补充行!$I142)&lt;&gt;0)),0,IF(对账补充行!$B142="",1,IF(OR(N(对账补充行!$B142)&lt;$H$1,N(对账补充行!$B142)&gt;$I$1),0,1))))</f>
        <v>0</v>
      </c>
      <c r="H749" s="0" t="n">
        <f aca="false">N(H748)+$G749</f>
        <v>3</v>
      </c>
      <c r="I749" s="0" t="str">
        <f aca="false">IF($G749=0,"",IF(对账补充行!$B142=0,"",对账补充行!$B142))</f>
        <v/>
      </c>
      <c r="J749" s="0" t="str">
        <f aca="false">IF($G749=0,"",IF(对账补充行!$D142=0,"",对账补充行!$D142))</f>
        <v/>
      </c>
      <c r="K749" s="0" t="str">
        <f aca="false">IF($G749=0,"",IF(对账补充行!$E142=0,"",对账补充行!$E142))</f>
        <v/>
      </c>
      <c r="L749" s="0" t="str">
        <f aca="false">IF($G749=0,"",IF(对账补充行!$F142=0,"",对账补充行!$F142))</f>
        <v/>
      </c>
      <c r="M749" s="0" t="str">
        <f aca="false">IF($G749=0,"",IF(对账补充行!$G142=0,"",对账补充行!$G142))</f>
        <v/>
      </c>
      <c r="N749" s="0" t="str">
        <f aca="false">IF($G749=0,"",IF(对账补充行!$H142=0,"",对账补充行!$H142))</f>
        <v/>
      </c>
      <c r="O749" s="0" t="str">
        <f aca="false">IF($G749=0,"",IF(对账补充行!$I142=0,"",对账补充行!$I142))</f>
        <v/>
      </c>
      <c r="P749" s="0" t="str">
        <f aca="false">IF($G749=0,"",IF(对账补充行!$J142=0,"",对账补充行!$J142))</f>
        <v/>
      </c>
      <c r="T749" s="0" t="str">
        <f aca="false">IF(成本费用登记表!$D149="","",成本费用登记表!$D149)</f>
        <v/>
      </c>
      <c r="U749" s="0" t="n">
        <f aca="false">IF(T749="",0,IF(MATCH(T749,$T$4:$T$903,0)=ROW()-3,1,0))</f>
        <v>0</v>
      </c>
      <c r="V749" s="0" t="n">
        <f aca="false">N(V748)+U749</f>
        <v>30</v>
      </c>
    </row>
    <row r="750" customFormat="false" ht="13.5" hidden="false" customHeight="false" outlineLevel="0" collapsed="false">
      <c r="A750" s="0" t="str">
        <f aca="false">IF(资金日记账!$E448="","",资金日记账!$E448)</f>
        <v/>
      </c>
      <c r="B750" s="0" t="n">
        <f aca="false">IF(A750="",0,IF(MATCH(A750,$A$4:$A$1925,0)=ROW()-3,1,0))</f>
        <v>0</v>
      </c>
      <c r="C750" s="0" t="n">
        <f aca="false">N(C749)+B750</f>
        <v>11</v>
      </c>
      <c r="G750" s="0" t="n">
        <f aca="false">IF(OR($G$1="",对账补充行!$C143="",对账补充行!$C143&lt;&gt;$G$1),0,IF(NOT(OR(N(对账补充行!$H143)&lt;&gt;0,N(对账补充行!$I143)&lt;&gt;0)),0,IF(对账补充行!$B143="",1,IF(OR(N(对账补充行!$B143)&lt;$H$1,N(对账补充行!$B143)&gt;$I$1),0,1))))</f>
        <v>0</v>
      </c>
      <c r="H750" s="0" t="n">
        <f aca="false">N(H749)+$G750</f>
        <v>3</v>
      </c>
      <c r="I750" s="0" t="str">
        <f aca="false">IF($G750=0,"",IF(对账补充行!$B143=0,"",对账补充行!$B143))</f>
        <v/>
      </c>
      <c r="J750" s="0" t="str">
        <f aca="false">IF($G750=0,"",IF(对账补充行!$D143=0,"",对账补充行!$D143))</f>
        <v/>
      </c>
      <c r="K750" s="0" t="str">
        <f aca="false">IF($G750=0,"",IF(对账补充行!$E143=0,"",对账补充行!$E143))</f>
        <v/>
      </c>
      <c r="L750" s="0" t="str">
        <f aca="false">IF($G750=0,"",IF(对账补充行!$F143=0,"",对账补充行!$F143))</f>
        <v/>
      </c>
      <c r="M750" s="0" t="str">
        <f aca="false">IF($G750=0,"",IF(对账补充行!$G143=0,"",对账补充行!$G143))</f>
        <v/>
      </c>
      <c r="N750" s="0" t="str">
        <f aca="false">IF($G750=0,"",IF(对账补充行!$H143=0,"",对账补充行!$H143))</f>
        <v/>
      </c>
      <c r="O750" s="0" t="str">
        <f aca="false">IF($G750=0,"",IF(对账补充行!$I143=0,"",对账补充行!$I143))</f>
        <v/>
      </c>
      <c r="P750" s="0" t="str">
        <f aca="false">IF($G750=0,"",IF(对账补充行!$J143=0,"",对账补充行!$J143))</f>
        <v/>
      </c>
      <c r="T750" s="0" t="str">
        <f aca="false">IF(成本费用登记表!$D150="","",成本费用登记表!$D150)</f>
        <v/>
      </c>
      <c r="U750" s="0" t="n">
        <f aca="false">IF(T750="",0,IF(MATCH(T750,$T$4:$T$903,0)=ROW()-3,1,0))</f>
        <v>0</v>
      </c>
      <c r="V750" s="0" t="n">
        <f aca="false">N(V749)+U750</f>
        <v>30</v>
      </c>
    </row>
    <row r="751" customFormat="false" ht="13.5" hidden="false" customHeight="false" outlineLevel="0" collapsed="false">
      <c r="A751" s="0" t="str">
        <f aca="false">IF(资金日记账!$E449="","",资金日记账!$E449)</f>
        <v/>
      </c>
      <c r="B751" s="0" t="n">
        <f aca="false">IF(A751="",0,IF(MATCH(A751,$A$4:$A$1925,0)=ROW()-3,1,0))</f>
        <v>0</v>
      </c>
      <c r="C751" s="0" t="n">
        <f aca="false">N(C750)+B751</f>
        <v>11</v>
      </c>
      <c r="G751" s="0" t="n">
        <f aca="false">IF(OR($G$1="",对账补充行!$C144="",对账补充行!$C144&lt;&gt;$G$1),0,IF(NOT(OR(N(对账补充行!$H144)&lt;&gt;0,N(对账补充行!$I144)&lt;&gt;0)),0,IF(对账补充行!$B144="",1,IF(OR(N(对账补充行!$B144)&lt;$H$1,N(对账补充行!$B144)&gt;$I$1),0,1))))</f>
        <v>0</v>
      </c>
      <c r="H751" s="0" t="n">
        <f aca="false">N(H750)+$G751</f>
        <v>3</v>
      </c>
      <c r="I751" s="0" t="str">
        <f aca="false">IF($G751=0,"",IF(对账补充行!$B144=0,"",对账补充行!$B144))</f>
        <v/>
      </c>
      <c r="J751" s="0" t="str">
        <f aca="false">IF($G751=0,"",IF(对账补充行!$D144=0,"",对账补充行!$D144))</f>
        <v/>
      </c>
      <c r="K751" s="0" t="str">
        <f aca="false">IF($G751=0,"",IF(对账补充行!$E144=0,"",对账补充行!$E144))</f>
        <v/>
      </c>
      <c r="L751" s="0" t="str">
        <f aca="false">IF($G751=0,"",IF(对账补充行!$F144=0,"",对账补充行!$F144))</f>
        <v/>
      </c>
      <c r="M751" s="0" t="str">
        <f aca="false">IF($G751=0,"",IF(对账补充行!$G144=0,"",对账补充行!$G144))</f>
        <v/>
      </c>
      <c r="N751" s="0" t="str">
        <f aca="false">IF($G751=0,"",IF(对账补充行!$H144=0,"",对账补充行!$H144))</f>
        <v/>
      </c>
      <c r="O751" s="0" t="str">
        <f aca="false">IF($G751=0,"",IF(对账补充行!$I144=0,"",对账补充行!$I144))</f>
        <v/>
      </c>
      <c r="P751" s="0" t="str">
        <f aca="false">IF($G751=0,"",IF(对账补充行!$J144=0,"",对账补充行!$J144))</f>
        <v/>
      </c>
      <c r="T751" s="0" t="str">
        <f aca="false">IF(成本费用登记表!$D151="","",成本费用登记表!$D151)</f>
        <v/>
      </c>
      <c r="U751" s="0" t="n">
        <f aca="false">IF(T751="",0,IF(MATCH(T751,$T$4:$T$903,0)=ROW()-3,1,0))</f>
        <v>0</v>
      </c>
      <c r="V751" s="0" t="n">
        <f aca="false">N(V750)+U751</f>
        <v>30</v>
      </c>
    </row>
    <row r="752" customFormat="false" ht="13.5" hidden="false" customHeight="false" outlineLevel="0" collapsed="false">
      <c r="A752" s="0" t="str">
        <f aca="false">IF(资金日记账!$E450="","",资金日记账!$E450)</f>
        <v/>
      </c>
      <c r="B752" s="0" t="n">
        <f aca="false">IF(A752="",0,IF(MATCH(A752,$A$4:$A$1925,0)=ROW()-3,1,0))</f>
        <v>0</v>
      </c>
      <c r="C752" s="0" t="n">
        <f aca="false">N(C751)+B752</f>
        <v>11</v>
      </c>
      <c r="G752" s="0" t="n">
        <f aca="false">IF(OR($G$1="",对账补充行!$C145="",对账补充行!$C145&lt;&gt;$G$1),0,IF(NOT(OR(N(对账补充行!$H145)&lt;&gt;0,N(对账补充行!$I145)&lt;&gt;0)),0,IF(对账补充行!$B145="",1,IF(OR(N(对账补充行!$B145)&lt;$H$1,N(对账补充行!$B145)&gt;$I$1),0,1))))</f>
        <v>0</v>
      </c>
      <c r="H752" s="0" t="n">
        <f aca="false">N(H751)+$G752</f>
        <v>3</v>
      </c>
      <c r="I752" s="0" t="str">
        <f aca="false">IF($G752=0,"",IF(对账补充行!$B145=0,"",对账补充行!$B145))</f>
        <v/>
      </c>
      <c r="J752" s="0" t="str">
        <f aca="false">IF($G752=0,"",IF(对账补充行!$D145=0,"",对账补充行!$D145))</f>
        <v/>
      </c>
      <c r="K752" s="0" t="str">
        <f aca="false">IF($G752=0,"",IF(对账补充行!$E145=0,"",对账补充行!$E145))</f>
        <v/>
      </c>
      <c r="L752" s="0" t="str">
        <f aca="false">IF($G752=0,"",IF(对账补充行!$F145=0,"",对账补充行!$F145))</f>
        <v/>
      </c>
      <c r="M752" s="0" t="str">
        <f aca="false">IF($G752=0,"",IF(对账补充行!$G145=0,"",对账补充行!$G145))</f>
        <v/>
      </c>
      <c r="N752" s="0" t="str">
        <f aca="false">IF($G752=0,"",IF(对账补充行!$H145=0,"",对账补充行!$H145))</f>
        <v/>
      </c>
      <c r="O752" s="0" t="str">
        <f aca="false">IF($G752=0,"",IF(对账补充行!$I145=0,"",对账补充行!$I145))</f>
        <v/>
      </c>
      <c r="P752" s="0" t="str">
        <f aca="false">IF($G752=0,"",IF(对账补充行!$J145=0,"",对账补充行!$J145))</f>
        <v/>
      </c>
      <c r="T752" s="0" t="str">
        <f aca="false">IF(成本费用登记表!$D152="","",成本费用登记表!$D152)</f>
        <v/>
      </c>
      <c r="U752" s="0" t="n">
        <f aca="false">IF(T752="",0,IF(MATCH(T752,$T$4:$T$903,0)=ROW()-3,1,0))</f>
        <v>0</v>
      </c>
      <c r="V752" s="0" t="n">
        <f aca="false">N(V751)+U752</f>
        <v>30</v>
      </c>
    </row>
    <row r="753" customFormat="false" ht="13.5" hidden="false" customHeight="false" outlineLevel="0" collapsed="false">
      <c r="A753" s="0" t="str">
        <f aca="false">IF(资金日记账!$E451="","",资金日记账!$E451)</f>
        <v/>
      </c>
      <c r="B753" s="0" t="n">
        <f aca="false">IF(A753="",0,IF(MATCH(A753,$A$4:$A$1925,0)=ROW()-3,1,0))</f>
        <v>0</v>
      </c>
      <c r="C753" s="0" t="n">
        <f aca="false">N(C752)+B753</f>
        <v>11</v>
      </c>
      <c r="G753" s="0" t="n">
        <f aca="false">IF(OR($G$1="",对账补充行!$C146="",对账补充行!$C146&lt;&gt;$G$1),0,IF(NOT(OR(N(对账补充行!$H146)&lt;&gt;0,N(对账补充行!$I146)&lt;&gt;0)),0,IF(对账补充行!$B146="",1,IF(OR(N(对账补充行!$B146)&lt;$H$1,N(对账补充行!$B146)&gt;$I$1),0,1))))</f>
        <v>0</v>
      </c>
      <c r="H753" s="0" t="n">
        <f aca="false">N(H752)+$G753</f>
        <v>3</v>
      </c>
      <c r="I753" s="0" t="str">
        <f aca="false">IF($G753=0,"",IF(对账补充行!$B146=0,"",对账补充行!$B146))</f>
        <v/>
      </c>
      <c r="J753" s="0" t="str">
        <f aca="false">IF($G753=0,"",IF(对账补充行!$D146=0,"",对账补充行!$D146))</f>
        <v/>
      </c>
      <c r="K753" s="0" t="str">
        <f aca="false">IF($G753=0,"",IF(对账补充行!$E146=0,"",对账补充行!$E146))</f>
        <v/>
      </c>
      <c r="L753" s="0" t="str">
        <f aca="false">IF($G753=0,"",IF(对账补充行!$F146=0,"",对账补充行!$F146))</f>
        <v/>
      </c>
      <c r="M753" s="0" t="str">
        <f aca="false">IF($G753=0,"",IF(对账补充行!$G146=0,"",对账补充行!$G146))</f>
        <v/>
      </c>
      <c r="N753" s="0" t="str">
        <f aca="false">IF($G753=0,"",IF(对账补充行!$H146=0,"",对账补充行!$H146))</f>
        <v/>
      </c>
      <c r="O753" s="0" t="str">
        <f aca="false">IF($G753=0,"",IF(对账补充行!$I146=0,"",对账补充行!$I146))</f>
        <v/>
      </c>
      <c r="P753" s="0" t="str">
        <f aca="false">IF($G753=0,"",IF(对账补充行!$J146=0,"",对账补充行!$J146))</f>
        <v/>
      </c>
      <c r="T753" s="0" t="str">
        <f aca="false">IF(成本费用登记表!$D153="","",成本费用登记表!$D153)</f>
        <v/>
      </c>
      <c r="U753" s="0" t="n">
        <f aca="false">IF(T753="",0,IF(MATCH(T753,$T$4:$T$903,0)=ROW()-3,1,0))</f>
        <v>0</v>
      </c>
      <c r="V753" s="0" t="n">
        <f aca="false">N(V752)+U753</f>
        <v>30</v>
      </c>
    </row>
    <row r="754" customFormat="false" ht="13.5" hidden="false" customHeight="false" outlineLevel="0" collapsed="false">
      <c r="A754" s="0" t="str">
        <f aca="false">IF(资金日记账!$E452="","",资金日记账!$E452)</f>
        <v/>
      </c>
      <c r="B754" s="0" t="n">
        <f aca="false">IF(A754="",0,IF(MATCH(A754,$A$4:$A$1925,0)=ROW()-3,1,0))</f>
        <v>0</v>
      </c>
      <c r="C754" s="0" t="n">
        <f aca="false">N(C753)+B754</f>
        <v>11</v>
      </c>
      <c r="G754" s="0" t="n">
        <f aca="false">IF(OR($G$1="",对账补充行!$C147="",对账补充行!$C147&lt;&gt;$G$1),0,IF(NOT(OR(N(对账补充行!$H147)&lt;&gt;0,N(对账补充行!$I147)&lt;&gt;0)),0,IF(对账补充行!$B147="",1,IF(OR(N(对账补充行!$B147)&lt;$H$1,N(对账补充行!$B147)&gt;$I$1),0,1))))</f>
        <v>0</v>
      </c>
      <c r="H754" s="0" t="n">
        <f aca="false">N(H753)+$G754</f>
        <v>3</v>
      </c>
      <c r="I754" s="0" t="str">
        <f aca="false">IF($G754=0,"",IF(对账补充行!$B147=0,"",对账补充行!$B147))</f>
        <v/>
      </c>
      <c r="J754" s="0" t="str">
        <f aca="false">IF($G754=0,"",IF(对账补充行!$D147=0,"",对账补充行!$D147))</f>
        <v/>
      </c>
      <c r="K754" s="0" t="str">
        <f aca="false">IF($G754=0,"",IF(对账补充行!$E147=0,"",对账补充行!$E147))</f>
        <v/>
      </c>
      <c r="L754" s="0" t="str">
        <f aca="false">IF($G754=0,"",IF(对账补充行!$F147=0,"",对账补充行!$F147))</f>
        <v/>
      </c>
      <c r="M754" s="0" t="str">
        <f aca="false">IF($G754=0,"",IF(对账补充行!$G147=0,"",对账补充行!$G147))</f>
        <v/>
      </c>
      <c r="N754" s="0" t="str">
        <f aca="false">IF($G754=0,"",IF(对账补充行!$H147=0,"",对账补充行!$H147))</f>
        <v/>
      </c>
      <c r="O754" s="0" t="str">
        <f aca="false">IF($G754=0,"",IF(对账补充行!$I147=0,"",对账补充行!$I147))</f>
        <v/>
      </c>
      <c r="P754" s="0" t="str">
        <f aca="false">IF($G754=0,"",IF(对账补充行!$J147=0,"",对账补充行!$J147))</f>
        <v/>
      </c>
      <c r="T754" s="0" t="str">
        <f aca="false">IF(成本费用登记表!$D154="","",成本费用登记表!$D154)</f>
        <v/>
      </c>
      <c r="U754" s="0" t="n">
        <f aca="false">IF(T754="",0,IF(MATCH(T754,$T$4:$T$903,0)=ROW()-3,1,0))</f>
        <v>0</v>
      </c>
      <c r="V754" s="0" t="n">
        <f aca="false">N(V753)+U754</f>
        <v>30</v>
      </c>
    </row>
    <row r="755" customFormat="false" ht="13.5" hidden="false" customHeight="false" outlineLevel="0" collapsed="false">
      <c r="A755" s="0" t="str">
        <f aca="false">IF(资金日记账!$E453="","",资金日记账!$E453)</f>
        <v/>
      </c>
      <c r="B755" s="0" t="n">
        <f aca="false">IF(A755="",0,IF(MATCH(A755,$A$4:$A$1925,0)=ROW()-3,1,0))</f>
        <v>0</v>
      </c>
      <c r="C755" s="0" t="n">
        <f aca="false">N(C754)+B755</f>
        <v>11</v>
      </c>
      <c r="G755" s="0" t="n">
        <f aca="false">IF(OR($G$1="",对账补充行!$C148="",对账补充行!$C148&lt;&gt;$G$1),0,IF(NOT(OR(N(对账补充行!$H148)&lt;&gt;0,N(对账补充行!$I148)&lt;&gt;0)),0,IF(对账补充行!$B148="",1,IF(OR(N(对账补充行!$B148)&lt;$H$1,N(对账补充行!$B148)&gt;$I$1),0,1))))</f>
        <v>0</v>
      </c>
      <c r="H755" s="0" t="n">
        <f aca="false">N(H754)+$G755</f>
        <v>3</v>
      </c>
      <c r="I755" s="0" t="str">
        <f aca="false">IF($G755=0,"",IF(对账补充行!$B148=0,"",对账补充行!$B148))</f>
        <v/>
      </c>
      <c r="J755" s="0" t="str">
        <f aca="false">IF($G755=0,"",IF(对账补充行!$D148=0,"",对账补充行!$D148))</f>
        <v/>
      </c>
      <c r="K755" s="0" t="str">
        <f aca="false">IF($G755=0,"",IF(对账补充行!$E148=0,"",对账补充行!$E148))</f>
        <v/>
      </c>
      <c r="L755" s="0" t="str">
        <f aca="false">IF($G755=0,"",IF(对账补充行!$F148=0,"",对账补充行!$F148))</f>
        <v/>
      </c>
      <c r="M755" s="0" t="str">
        <f aca="false">IF($G755=0,"",IF(对账补充行!$G148=0,"",对账补充行!$G148))</f>
        <v/>
      </c>
      <c r="N755" s="0" t="str">
        <f aca="false">IF($G755=0,"",IF(对账补充行!$H148=0,"",对账补充行!$H148))</f>
        <v/>
      </c>
      <c r="O755" s="0" t="str">
        <f aca="false">IF($G755=0,"",IF(对账补充行!$I148=0,"",对账补充行!$I148))</f>
        <v/>
      </c>
      <c r="P755" s="0" t="str">
        <f aca="false">IF($G755=0,"",IF(对账补充行!$J148=0,"",对账补充行!$J148))</f>
        <v/>
      </c>
      <c r="T755" s="0" t="str">
        <f aca="false">IF(成本费用登记表!$D155="","",成本费用登记表!$D155)</f>
        <v/>
      </c>
      <c r="U755" s="0" t="n">
        <f aca="false">IF(T755="",0,IF(MATCH(T755,$T$4:$T$903,0)=ROW()-3,1,0))</f>
        <v>0</v>
      </c>
      <c r="V755" s="0" t="n">
        <f aca="false">N(V754)+U755</f>
        <v>30</v>
      </c>
    </row>
    <row r="756" customFormat="false" ht="13.5" hidden="false" customHeight="false" outlineLevel="0" collapsed="false">
      <c r="A756" s="0" t="str">
        <f aca="false">IF(资金日记账!$E454="","",资金日记账!$E454)</f>
        <v/>
      </c>
      <c r="B756" s="0" t="n">
        <f aca="false">IF(A756="",0,IF(MATCH(A756,$A$4:$A$1925,0)=ROW()-3,1,0))</f>
        <v>0</v>
      </c>
      <c r="C756" s="0" t="n">
        <f aca="false">N(C755)+B756</f>
        <v>11</v>
      </c>
      <c r="G756" s="0" t="n">
        <f aca="false">IF(OR($G$1="",对账补充行!$C149="",对账补充行!$C149&lt;&gt;$G$1),0,IF(NOT(OR(N(对账补充行!$H149)&lt;&gt;0,N(对账补充行!$I149)&lt;&gt;0)),0,IF(对账补充行!$B149="",1,IF(OR(N(对账补充行!$B149)&lt;$H$1,N(对账补充行!$B149)&gt;$I$1),0,1))))</f>
        <v>0</v>
      </c>
      <c r="H756" s="0" t="n">
        <f aca="false">N(H755)+$G756</f>
        <v>3</v>
      </c>
      <c r="I756" s="0" t="str">
        <f aca="false">IF($G756=0,"",IF(对账补充行!$B149=0,"",对账补充行!$B149))</f>
        <v/>
      </c>
      <c r="J756" s="0" t="str">
        <f aca="false">IF($G756=0,"",IF(对账补充行!$D149=0,"",对账补充行!$D149))</f>
        <v/>
      </c>
      <c r="K756" s="0" t="str">
        <f aca="false">IF($G756=0,"",IF(对账补充行!$E149=0,"",对账补充行!$E149))</f>
        <v/>
      </c>
      <c r="L756" s="0" t="str">
        <f aca="false">IF($G756=0,"",IF(对账补充行!$F149=0,"",对账补充行!$F149))</f>
        <v/>
      </c>
      <c r="M756" s="0" t="str">
        <f aca="false">IF($G756=0,"",IF(对账补充行!$G149=0,"",对账补充行!$G149))</f>
        <v/>
      </c>
      <c r="N756" s="0" t="str">
        <f aca="false">IF($G756=0,"",IF(对账补充行!$H149=0,"",对账补充行!$H149))</f>
        <v/>
      </c>
      <c r="O756" s="0" t="str">
        <f aca="false">IF($G756=0,"",IF(对账补充行!$I149=0,"",对账补充行!$I149))</f>
        <v/>
      </c>
      <c r="P756" s="0" t="str">
        <f aca="false">IF($G756=0,"",IF(对账补充行!$J149=0,"",对账补充行!$J149))</f>
        <v/>
      </c>
      <c r="T756" s="0" t="str">
        <f aca="false">IF(成本费用登记表!$D156="","",成本费用登记表!$D156)</f>
        <v/>
      </c>
      <c r="U756" s="0" t="n">
        <f aca="false">IF(T756="",0,IF(MATCH(T756,$T$4:$T$903,0)=ROW()-3,1,0))</f>
        <v>0</v>
      </c>
      <c r="V756" s="0" t="n">
        <f aca="false">N(V755)+U756</f>
        <v>30</v>
      </c>
    </row>
    <row r="757" customFormat="false" ht="13.5" hidden="false" customHeight="false" outlineLevel="0" collapsed="false">
      <c r="A757" s="0" t="str">
        <f aca="false">IF(资金日记账!$E455="","",资金日记账!$E455)</f>
        <v/>
      </c>
      <c r="B757" s="0" t="n">
        <f aca="false">IF(A757="",0,IF(MATCH(A757,$A$4:$A$1925,0)=ROW()-3,1,0))</f>
        <v>0</v>
      </c>
      <c r="C757" s="0" t="n">
        <f aca="false">N(C756)+B757</f>
        <v>11</v>
      </c>
      <c r="G757" s="0" t="n">
        <f aca="false">IF(OR($G$1="",对账补充行!$C150="",对账补充行!$C150&lt;&gt;$G$1),0,IF(NOT(OR(N(对账补充行!$H150)&lt;&gt;0,N(对账补充行!$I150)&lt;&gt;0)),0,IF(对账补充行!$B150="",1,IF(OR(N(对账补充行!$B150)&lt;$H$1,N(对账补充行!$B150)&gt;$I$1),0,1))))</f>
        <v>0</v>
      </c>
      <c r="H757" s="0" t="n">
        <f aca="false">N(H756)+$G757</f>
        <v>3</v>
      </c>
      <c r="I757" s="0" t="str">
        <f aca="false">IF($G757=0,"",IF(对账补充行!$B150=0,"",对账补充行!$B150))</f>
        <v/>
      </c>
      <c r="J757" s="0" t="str">
        <f aca="false">IF($G757=0,"",IF(对账补充行!$D150=0,"",对账补充行!$D150))</f>
        <v/>
      </c>
      <c r="K757" s="0" t="str">
        <f aca="false">IF($G757=0,"",IF(对账补充行!$E150=0,"",对账补充行!$E150))</f>
        <v/>
      </c>
      <c r="L757" s="0" t="str">
        <f aca="false">IF($G757=0,"",IF(对账补充行!$F150=0,"",对账补充行!$F150))</f>
        <v/>
      </c>
      <c r="M757" s="0" t="str">
        <f aca="false">IF($G757=0,"",IF(对账补充行!$G150=0,"",对账补充行!$G150))</f>
        <v/>
      </c>
      <c r="N757" s="0" t="str">
        <f aca="false">IF($G757=0,"",IF(对账补充行!$H150=0,"",对账补充行!$H150))</f>
        <v/>
      </c>
      <c r="O757" s="0" t="str">
        <f aca="false">IF($G757=0,"",IF(对账补充行!$I150=0,"",对账补充行!$I150))</f>
        <v/>
      </c>
      <c r="P757" s="0" t="str">
        <f aca="false">IF($G757=0,"",IF(对账补充行!$J150=0,"",对账补充行!$J150))</f>
        <v/>
      </c>
      <c r="T757" s="0" t="str">
        <f aca="false">IF(成本费用登记表!$D157="","",成本费用登记表!$D157)</f>
        <v/>
      </c>
      <c r="U757" s="0" t="n">
        <f aca="false">IF(T757="",0,IF(MATCH(T757,$T$4:$T$903,0)=ROW()-3,1,0))</f>
        <v>0</v>
      </c>
      <c r="V757" s="0" t="n">
        <f aca="false">N(V756)+U757</f>
        <v>30</v>
      </c>
    </row>
    <row r="758" customFormat="false" ht="13.5" hidden="false" customHeight="false" outlineLevel="0" collapsed="false">
      <c r="A758" s="0" t="str">
        <f aca="false">IF(资金日记账!$E456="","",资金日记账!$E456)</f>
        <v/>
      </c>
      <c r="B758" s="0" t="n">
        <f aca="false">IF(A758="",0,IF(MATCH(A758,$A$4:$A$1925,0)=ROW()-3,1,0))</f>
        <v>0</v>
      </c>
      <c r="C758" s="0" t="n">
        <f aca="false">N(C757)+B758</f>
        <v>11</v>
      </c>
      <c r="G758" s="0" t="n">
        <f aca="false">IF(OR($G$1="",对账补充行!$C151="",对账补充行!$C151&lt;&gt;$G$1),0,IF(NOT(OR(N(对账补充行!$H151)&lt;&gt;0,N(对账补充行!$I151)&lt;&gt;0)),0,IF(对账补充行!$B151="",1,IF(OR(N(对账补充行!$B151)&lt;$H$1,N(对账补充行!$B151)&gt;$I$1),0,1))))</f>
        <v>0</v>
      </c>
      <c r="H758" s="0" t="n">
        <f aca="false">N(H757)+$G758</f>
        <v>3</v>
      </c>
      <c r="I758" s="0" t="str">
        <f aca="false">IF($G758=0,"",IF(对账补充行!$B151=0,"",对账补充行!$B151))</f>
        <v/>
      </c>
      <c r="J758" s="0" t="str">
        <f aca="false">IF($G758=0,"",IF(对账补充行!$D151=0,"",对账补充行!$D151))</f>
        <v/>
      </c>
      <c r="K758" s="0" t="str">
        <f aca="false">IF($G758=0,"",IF(对账补充行!$E151=0,"",对账补充行!$E151))</f>
        <v/>
      </c>
      <c r="L758" s="0" t="str">
        <f aca="false">IF($G758=0,"",IF(对账补充行!$F151=0,"",对账补充行!$F151))</f>
        <v/>
      </c>
      <c r="M758" s="0" t="str">
        <f aca="false">IF($G758=0,"",IF(对账补充行!$G151=0,"",对账补充行!$G151))</f>
        <v/>
      </c>
      <c r="N758" s="0" t="str">
        <f aca="false">IF($G758=0,"",IF(对账补充行!$H151=0,"",对账补充行!$H151))</f>
        <v/>
      </c>
      <c r="O758" s="0" t="str">
        <f aca="false">IF($G758=0,"",IF(对账补充行!$I151=0,"",对账补充行!$I151))</f>
        <v/>
      </c>
      <c r="P758" s="0" t="str">
        <f aca="false">IF($G758=0,"",IF(对账补充行!$J151=0,"",对账补充行!$J151))</f>
        <v/>
      </c>
      <c r="T758" s="0" t="str">
        <f aca="false">IF(成本费用登记表!$D158="","",成本费用登记表!$D158)</f>
        <v/>
      </c>
      <c r="U758" s="0" t="n">
        <f aca="false">IF(T758="",0,IF(MATCH(T758,$T$4:$T$903,0)=ROW()-3,1,0))</f>
        <v>0</v>
      </c>
      <c r="V758" s="0" t="n">
        <f aca="false">N(V757)+U758</f>
        <v>30</v>
      </c>
    </row>
    <row r="759" customFormat="false" ht="13.5" hidden="false" customHeight="false" outlineLevel="0" collapsed="false">
      <c r="A759" s="0" t="str">
        <f aca="false">IF(资金日记账!$E457="","",资金日记账!$E457)</f>
        <v/>
      </c>
      <c r="B759" s="0" t="n">
        <f aca="false">IF(A759="",0,IF(MATCH(A759,$A$4:$A$1925,0)=ROW()-3,1,0))</f>
        <v>0</v>
      </c>
      <c r="C759" s="0" t="n">
        <f aca="false">N(C758)+B759</f>
        <v>11</v>
      </c>
      <c r="G759" s="0" t="n">
        <f aca="false">IF(OR($G$1="",对账补充行!$C152="",对账补充行!$C152&lt;&gt;$G$1),0,IF(NOT(OR(N(对账补充行!$H152)&lt;&gt;0,N(对账补充行!$I152)&lt;&gt;0)),0,IF(对账补充行!$B152="",1,IF(OR(N(对账补充行!$B152)&lt;$H$1,N(对账补充行!$B152)&gt;$I$1),0,1))))</f>
        <v>0</v>
      </c>
      <c r="H759" s="0" t="n">
        <f aca="false">N(H758)+$G759</f>
        <v>3</v>
      </c>
      <c r="I759" s="0" t="str">
        <f aca="false">IF($G759=0,"",IF(对账补充行!$B152=0,"",对账补充行!$B152))</f>
        <v/>
      </c>
      <c r="J759" s="0" t="str">
        <f aca="false">IF($G759=0,"",IF(对账补充行!$D152=0,"",对账补充行!$D152))</f>
        <v/>
      </c>
      <c r="K759" s="0" t="str">
        <f aca="false">IF($G759=0,"",IF(对账补充行!$E152=0,"",对账补充行!$E152))</f>
        <v/>
      </c>
      <c r="L759" s="0" t="str">
        <f aca="false">IF($G759=0,"",IF(对账补充行!$F152=0,"",对账补充行!$F152))</f>
        <v/>
      </c>
      <c r="M759" s="0" t="str">
        <f aca="false">IF($G759=0,"",IF(对账补充行!$G152=0,"",对账补充行!$G152))</f>
        <v/>
      </c>
      <c r="N759" s="0" t="str">
        <f aca="false">IF($G759=0,"",IF(对账补充行!$H152=0,"",对账补充行!$H152))</f>
        <v/>
      </c>
      <c r="O759" s="0" t="str">
        <f aca="false">IF($G759=0,"",IF(对账补充行!$I152=0,"",对账补充行!$I152))</f>
        <v/>
      </c>
      <c r="P759" s="0" t="str">
        <f aca="false">IF($G759=0,"",IF(对账补充行!$J152=0,"",对账补充行!$J152))</f>
        <v/>
      </c>
      <c r="T759" s="0" t="str">
        <f aca="false">IF(成本费用登记表!$D159="","",成本费用登记表!$D159)</f>
        <v/>
      </c>
      <c r="U759" s="0" t="n">
        <f aca="false">IF(T759="",0,IF(MATCH(T759,$T$4:$T$903,0)=ROW()-3,1,0))</f>
        <v>0</v>
      </c>
      <c r="V759" s="0" t="n">
        <f aca="false">N(V758)+U759</f>
        <v>30</v>
      </c>
    </row>
    <row r="760" customFormat="false" ht="13.5" hidden="false" customHeight="false" outlineLevel="0" collapsed="false">
      <c r="A760" s="0" t="str">
        <f aca="false">IF(资金日记账!$E458="","",资金日记账!$E458)</f>
        <v/>
      </c>
      <c r="B760" s="0" t="n">
        <f aca="false">IF(A760="",0,IF(MATCH(A760,$A$4:$A$1925,0)=ROW()-3,1,0))</f>
        <v>0</v>
      </c>
      <c r="C760" s="0" t="n">
        <f aca="false">N(C759)+B760</f>
        <v>11</v>
      </c>
      <c r="G760" s="0" t="n">
        <f aca="false">IF(OR($G$1="",对账补充行!$C153="",对账补充行!$C153&lt;&gt;$G$1),0,IF(NOT(OR(N(对账补充行!$H153)&lt;&gt;0,N(对账补充行!$I153)&lt;&gt;0)),0,IF(对账补充行!$B153="",1,IF(OR(N(对账补充行!$B153)&lt;$H$1,N(对账补充行!$B153)&gt;$I$1),0,1))))</f>
        <v>0</v>
      </c>
      <c r="H760" s="0" t="n">
        <f aca="false">N(H759)+$G760</f>
        <v>3</v>
      </c>
      <c r="I760" s="0" t="str">
        <f aca="false">IF($G760=0,"",IF(对账补充行!$B153=0,"",对账补充行!$B153))</f>
        <v/>
      </c>
      <c r="J760" s="0" t="str">
        <f aca="false">IF($G760=0,"",IF(对账补充行!$D153=0,"",对账补充行!$D153))</f>
        <v/>
      </c>
      <c r="K760" s="0" t="str">
        <f aca="false">IF($G760=0,"",IF(对账补充行!$E153=0,"",对账补充行!$E153))</f>
        <v/>
      </c>
      <c r="L760" s="0" t="str">
        <f aca="false">IF($G760=0,"",IF(对账补充行!$F153=0,"",对账补充行!$F153))</f>
        <v/>
      </c>
      <c r="M760" s="0" t="str">
        <f aca="false">IF($G760=0,"",IF(对账补充行!$G153=0,"",对账补充行!$G153))</f>
        <v/>
      </c>
      <c r="N760" s="0" t="str">
        <f aca="false">IF($G760=0,"",IF(对账补充行!$H153=0,"",对账补充行!$H153))</f>
        <v/>
      </c>
      <c r="O760" s="0" t="str">
        <f aca="false">IF($G760=0,"",IF(对账补充行!$I153=0,"",对账补充行!$I153))</f>
        <v/>
      </c>
      <c r="P760" s="0" t="str">
        <f aca="false">IF($G760=0,"",IF(对账补充行!$J153=0,"",对账补充行!$J153))</f>
        <v/>
      </c>
      <c r="T760" s="0" t="str">
        <f aca="false">IF(成本费用登记表!$D160="","",成本费用登记表!$D160)</f>
        <v/>
      </c>
      <c r="U760" s="0" t="n">
        <f aca="false">IF(T760="",0,IF(MATCH(T760,$T$4:$T$903,0)=ROW()-3,1,0))</f>
        <v>0</v>
      </c>
      <c r="V760" s="0" t="n">
        <f aca="false">N(V759)+U760</f>
        <v>30</v>
      </c>
    </row>
    <row r="761" customFormat="false" ht="13.5" hidden="false" customHeight="false" outlineLevel="0" collapsed="false">
      <c r="A761" s="0" t="str">
        <f aca="false">IF(资金日记账!$E459="","",资金日记账!$E459)</f>
        <v/>
      </c>
      <c r="B761" s="0" t="n">
        <f aca="false">IF(A761="",0,IF(MATCH(A761,$A$4:$A$1925,0)=ROW()-3,1,0))</f>
        <v>0</v>
      </c>
      <c r="C761" s="0" t="n">
        <f aca="false">N(C760)+B761</f>
        <v>11</v>
      </c>
      <c r="G761" s="0" t="n">
        <f aca="false">IF(OR($G$1="",对账补充行!$C154="",对账补充行!$C154&lt;&gt;$G$1),0,IF(NOT(OR(N(对账补充行!$H154)&lt;&gt;0,N(对账补充行!$I154)&lt;&gt;0)),0,IF(对账补充行!$B154="",1,IF(OR(N(对账补充行!$B154)&lt;$H$1,N(对账补充行!$B154)&gt;$I$1),0,1))))</f>
        <v>0</v>
      </c>
      <c r="H761" s="0" t="n">
        <f aca="false">N(H760)+$G761</f>
        <v>3</v>
      </c>
      <c r="I761" s="0" t="str">
        <f aca="false">IF($G761=0,"",IF(对账补充行!$B154=0,"",对账补充行!$B154))</f>
        <v/>
      </c>
      <c r="J761" s="0" t="str">
        <f aca="false">IF($G761=0,"",IF(对账补充行!$D154=0,"",对账补充行!$D154))</f>
        <v/>
      </c>
      <c r="K761" s="0" t="str">
        <f aca="false">IF($G761=0,"",IF(对账补充行!$E154=0,"",对账补充行!$E154))</f>
        <v/>
      </c>
      <c r="L761" s="0" t="str">
        <f aca="false">IF($G761=0,"",IF(对账补充行!$F154=0,"",对账补充行!$F154))</f>
        <v/>
      </c>
      <c r="M761" s="0" t="str">
        <f aca="false">IF($G761=0,"",IF(对账补充行!$G154=0,"",对账补充行!$G154))</f>
        <v/>
      </c>
      <c r="N761" s="0" t="str">
        <f aca="false">IF($G761=0,"",IF(对账补充行!$H154=0,"",对账补充行!$H154))</f>
        <v/>
      </c>
      <c r="O761" s="0" t="str">
        <f aca="false">IF($G761=0,"",IF(对账补充行!$I154=0,"",对账补充行!$I154))</f>
        <v/>
      </c>
      <c r="P761" s="0" t="str">
        <f aca="false">IF($G761=0,"",IF(对账补充行!$J154=0,"",对账补充行!$J154))</f>
        <v/>
      </c>
      <c r="T761" s="0" t="str">
        <f aca="false">IF(成本费用登记表!$D161="","",成本费用登记表!$D161)</f>
        <v/>
      </c>
      <c r="U761" s="0" t="n">
        <f aca="false">IF(T761="",0,IF(MATCH(T761,$T$4:$T$903,0)=ROW()-3,1,0))</f>
        <v>0</v>
      </c>
      <c r="V761" s="0" t="n">
        <f aca="false">N(V760)+U761</f>
        <v>30</v>
      </c>
    </row>
    <row r="762" customFormat="false" ht="13.5" hidden="false" customHeight="false" outlineLevel="0" collapsed="false">
      <c r="A762" s="0" t="str">
        <f aca="false">IF(资金日记账!$E460="","",资金日记账!$E460)</f>
        <v/>
      </c>
      <c r="B762" s="0" t="n">
        <f aca="false">IF(A762="",0,IF(MATCH(A762,$A$4:$A$1925,0)=ROW()-3,1,0))</f>
        <v>0</v>
      </c>
      <c r="C762" s="0" t="n">
        <f aca="false">N(C761)+B762</f>
        <v>11</v>
      </c>
      <c r="G762" s="0" t="n">
        <f aca="false">IF(OR($G$1="",对账补充行!$C155="",对账补充行!$C155&lt;&gt;$G$1),0,IF(NOT(OR(N(对账补充行!$H155)&lt;&gt;0,N(对账补充行!$I155)&lt;&gt;0)),0,IF(对账补充行!$B155="",1,IF(OR(N(对账补充行!$B155)&lt;$H$1,N(对账补充行!$B155)&gt;$I$1),0,1))))</f>
        <v>0</v>
      </c>
      <c r="H762" s="0" t="n">
        <f aca="false">N(H761)+$G762</f>
        <v>3</v>
      </c>
      <c r="I762" s="0" t="str">
        <f aca="false">IF($G762=0,"",IF(对账补充行!$B155=0,"",对账补充行!$B155))</f>
        <v/>
      </c>
      <c r="J762" s="0" t="str">
        <f aca="false">IF($G762=0,"",IF(对账补充行!$D155=0,"",对账补充行!$D155))</f>
        <v/>
      </c>
      <c r="K762" s="0" t="str">
        <f aca="false">IF($G762=0,"",IF(对账补充行!$E155=0,"",对账补充行!$E155))</f>
        <v/>
      </c>
      <c r="L762" s="0" t="str">
        <f aca="false">IF($G762=0,"",IF(对账补充行!$F155=0,"",对账补充行!$F155))</f>
        <v/>
      </c>
      <c r="M762" s="0" t="str">
        <f aca="false">IF($G762=0,"",IF(对账补充行!$G155=0,"",对账补充行!$G155))</f>
        <v/>
      </c>
      <c r="N762" s="0" t="str">
        <f aca="false">IF($G762=0,"",IF(对账补充行!$H155=0,"",对账补充行!$H155))</f>
        <v/>
      </c>
      <c r="O762" s="0" t="str">
        <f aca="false">IF($G762=0,"",IF(对账补充行!$I155=0,"",对账补充行!$I155))</f>
        <v/>
      </c>
      <c r="P762" s="0" t="str">
        <f aca="false">IF($G762=0,"",IF(对账补充行!$J155=0,"",对账补充行!$J155))</f>
        <v/>
      </c>
      <c r="T762" s="0" t="str">
        <f aca="false">IF(成本费用登记表!$D162="","",成本费用登记表!$D162)</f>
        <v/>
      </c>
      <c r="U762" s="0" t="n">
        <f aca="false">IF(T762="",0,IF(MATCH(T762,$T$4:$T$903,0)=ROW()-3,1,0))</f>
        <v>0</v>
      </c>
      <c r="V762" s="0" t="n">
        <f aca="false">N(V761)+U762</f>
        <v>30</v>
      </c>
    </row>
    <row r="763" customFormat="false" ht="13.5" hidden="false" customHeight="false" outlineLevel="0" collapsed="false">
      <c r="A763" s="0" t="str">
        <f aca="false">IF(资金日记账!$E461="","",资金日记账!$E461)</f>
        <v/>
      </c>
      <c r="B763" s="0" t="n">
        <f aca="false">IF(A763="",0,IF(MATCH(A763,$A$4:$A$1925,0)=ROW()-3,1,0))</f>
        <v>0</v>
      </c>
      <c r="C763" s="0" t="n">
        <f aca="false">N(C762)+B763</f>
        <v>11</v>
      </c>
      <c r="G763" s="0" t="n">
        <f aca="false">IF(OR($G$1="",对账补充行!$C156="",对账补充行!$C156&lt;&gt;$G$1),0,IF(NOT(OR(N(对账补充行!$H156)&lt;&gt;0,N(对账补充行!$I156)&lt;&gt;0)),0,IF(对账补充行!$B156="",1,IF(OR(N(对账补充行!$B156)&lt;$H$1,N(对账补充行!$B156)&gt;$I$1),0,1))))</f>
        <v>0</v>
      </c>
      <c r="H763" s="0" t="n">
        <f aca="false">N(H762)+$G763</f>
        <v>3</v>
      </c>
      <c r="I763" s="0" t="str">
        <f aca="false">IF($G763=0,"",IF(对账补充行!$B156=0,"",对账补充行!$B156))</f>
        <v/>
      </c>
      <c r="J763" s="0" t="str">
        <f aca="false">IF($G763=0,"",IF(对账补充行!$D156=0,"",对账补充行!$D156))</f>
        <v/>
      </c>
      <c r="K763" s="0" t="str">
        <f aca="false">IF($G763=0,"",IF(对账补充行!$E156=0,"",对账补充行!$E156))</f>
        <v/>
      </c>
      <c r="L763" s="0" t="str">
        <f aca="false">IF($G763=0,"",IF(对账补充行!$F156=0,"",对账补充行!$F156))</f>
        <v/>
      </c>
      <c r="M763" s="0" t="str">
        <f aca="false">IF($G763=0,"",IF(对账补充行!$G156=0,"",对账补充行!$G156))</f>
        <v/>
      </c>
      <c r="N763" s="0" t="str">
        <f aca="false">IF($G763=0,"",IF(对账补充行!$H156=0,"",对账补充行!$H156))</f>
        <v/>
      </c>
      <c r="O763" s="0" t="str">
        <f aca="false">IF($G763=0,"",IF(对账补充行!$I156=0,"",对账补充行!$I156))</f>
        <v/>
      </c>
      <c r="P763" s="0" t="str">
        <f aca="false">IF($G763=0,"",IF(对账补充行!$J156=0,"",对账补充行!$J156))</f>
        <v/>
      </c>
      <c r="T763" s="0" t="str">
        <f aca="false">IF(成本费用登记表!$D163="","",成本费用登记表!$D163)</f>
        <v/>
      </c>
      <c r="U763" s="0" t="n">
        <f aca="false">IF(T763="",0,IF(MATCH(T763,$T$4:$T$903,0)=ROW()-3,1,0))</f>
        <v>0</v>
      </c>
      <c r="V763" s="0" t="n">
        <f aca="false">N(V762)+U763</f>
        <v>30</v>
      </c>
    </row>
    <row r="764" customFormat="false" ht="13.5" hidden="false" customHeight="false" outlineLevel="0" collapsed="false">
      <c r="A764" s="0" t="str">
        <f aca="false">IF(资金日记账!$E462="","",资金日记账!$E462)</f>
        <v/>
      </c>
      <c r="B764" s="0" t="n">
        <f aca="false">IF(A764="",0,IF(MATCH(A764,$A$4:$A$1925,0)=ROW()-3,1,0))</f>
        <v>0</v>
      </c>
      <c r="C764" s="0" t="n">
        <f aca="false">N(C763)+B764</f>
        <v>11</v>
      </c>
      <c r="G764" s="0" t="n">
        <f aca="false">IF(OR($G$1="",对账补充行!$C157="",对账补充行!$C157&lt;&gt;$G$1),0,IF(NOT(OR(N(对账补充行!$H157)&lt;&gt;0,N(对账补充行!$I157)&lt;&gt;0)),0,IF(对账补充行!$B157="",1,IF(OR(N(对账补充行!$B157)&lt;$H$1,N(对账补充行!$B157)&gt;$I$1),0,1))))</f>
        <v>0</v>
      </c>
      <c r="H764" s="0" t="n">
        <f aca="false">N(H763)+$G764</f>
        <v>3</v>
      </c>
      <c r="I764" s="0" t="str">
        <f aca="false">IF($G764=0,"",IF(对账补充行!$B157=0,"",对账补充行!$B157))</f>
        <v/>
      </c>
      <c r="J764" s="0" t="str">
        <f aca="false">IF($G764=0,"",IF(对账补充行!$D157=0,"",对账补充行!$D157))</f>
        <v/>
      </c>
      <c r="K764" s="0" t="str">
        <f aca="false">IF($G764=0,"",IF(对账补充行!$E157=0,"",对账补充行!$E157))</f>
        <v/>
      </c>
      <c r="L764" s="0" t="str">
        <f aca="false">IF($G764=0,"",IF(对账补充行!$F157=0,"",对账补充行!$F157))</f>
        <v/>
      </c>
      <c r="M764" s="0" t="str">
        <f aca="false">IF($G764=0,"",IF(对账补充行!$G157=0,"",对账补充行!$G157))</f>
        <v/>
      </c>
      <c r="N764" s="0" t="str">
        <f aca="false">IF($G764=0,"",IF(对账补充行!$H157=0,"",对账补充行!$H157))</f>
        <v/>
      </c>
      <c r="O764" s="0" t="str">
        <f aca="false">IF($G764=0,"",IF(对账补充行!$I157=0,"",对账补充行!$I157))</f>
        <v/>
      </c>
      <c r="P764" s="0" t="str">
        <f aca="false">IF($G764=0,"",IF(对账补充行!$J157=0,"",对账补充行!$J157))</f>
        <v/>
      </c>
      <c r="T764" s="0" t="str">
        <f aca="false">IF(成本费用登记表!$D164="","",成本费用登记表!$D164)</f>
        <v/>
      </c>
      <c r="U764" s="0" t="n">
        <f aca="false">IF(T764="",0,IF(MATCH(T764,$T$4:$T$903,0)=ROW()-3,1,0))</f>
        <v>0</v>
      </c>
      <c r="V764" s="0" t="n">
        <f aca="false">N(V763)+U764</f>
        <v>30</v>
      </c>
    </row>
    <row r="765" customFormat="false" ht="13.5" hidden="false" customHeight="false" outlineLevel="0" collapsed="false">
      <c r="A765" s="0" t="str">
        <f aca="false">IF(资金日记账!$E463="","",资金日记账!$E463)</f>
        <v/>
      </c>
      <c r="B765" s="0" t="n">
        <f aca="false">IF(A765="",0,IF(MATCH(A765,$A$4:$A$1925,0)=ROW()-3,1,0))</f>
        <v>0</v>
      </c>
      <c r="C765" s="0" t="n">
        <f aca="false">N(C764)+B765</f>
        <v>11</v>
      </c>
      <c r="G765" s="0" t="n">
        <f aca="false">IF(OR($G$1="",对账补充行!$C158="",对账补充行!$C158&lt;&gt;$G$1),0,IF(NOT(OR(N(对账补充行!$H158)&lt;&gt;0,N(对账补充行!$I158)&lt;&gt;0)),0,IF(对账补充行!$B158="",1,IF(OR(N(对账补充行!$B158)&lt;$H$1,N(对账补充行!$B158)&gt;$I$1),0,1))))</f>
        <v>0</v>
      </c>
      <c r="H765" s="0" t="n">
        <f aca="false">N(H764)+$G765</f>
        <v>3</v>
      </c>
      <c r="I765" s="0" t="str">
        <f aca="false">IF($G765=0,"",IF(对账补充行!$B158=0,"",对账补充行!$B158))</f>
        <v/>
      </c>
      <c r="J765" s="0" t="str">
        <f aca="false">IF($G765=0,"",IF(对账补充行!$D158=0,"",对账补充行!$D158))</f>
        <v/>
      </c>
      <c r="K765" s="0" t="str">
        <f aca="false">IF($G765=0,"",IF(对账补充行!$E158=0,"",对账补充行!$E158))</f>
        <v/>
      </c>
      <c r="L765" s="0" t="str">
        <f aca="false">IF($G765=0,"",IF(对账补充行!$F158=0,"",对账补充行!$F158))</f>
        <v/>
      </c>
      <c r="M765" s="0" t="str">
        <f aca="false">IF($G765=0,"",IF(对账补充行!$G158=0,"",对账补充行!$G158))</f>
        <v/>
      </c>
      <c r="N765" s="0" t="str">
        <f aca="false">IF($G765=0,"",IF(对账补充行!$H158=0,"",对账补充行!$H158))</f>
        <v/>
      </c>
      <c r="O765" s="0" t="str">
        <f aca="false">IF($G765=0,"",IF(对账补充行!$I158=0,"",对账补充行!$I158))</f>
        <v/>
      </c>
      <c r="P765" s="0" t="str">
        <f aca="false">IF($G765=0,"",IF(对账补充行!$J158=0,"",对账补充行!$J158))</f>
        <v/>
      </c>
      <c r="T765" s="0" t="str">
        <f aca="false">IF(成本费用登记表!$D165="","",成本费用登记表!$D165)</f>
        <v/>
      </c>
      <c r="U765" s="0" t="n">
        <f aca="false">IF(T765="",0,IF(MATCH(T765,$T$4:$T$903,0)=ROW()-3,1,0))</f>
        <v>0</v>
      </c>
      <c r="V765" s="0" t="n">
        <f aca="false">N(V764)+U765</f>
        <v>30</v>
      </c>
    </row>
    <row r="766" customFormat="false" ht="13.5" hidden="false" customHeight="false" outlineLevel="0" collapsed="false">
      <c r="A766" s="0" t="str">
        <f aca="false">IF(资金日记账!$E464="","",资金日记账!$E464)</f>
        <v/>
      </c>
      <c r="B766" s="0" t="n">
        <f aca="false">IF(A766="",0,IF(MATCH(A766,$A$4:$A$1925,0)=ROW()-3,1,0))</f>
        <v>0</v>
      </c>
      <c r="C766" s="0" t="n">
        <f aca="false">N(C765)+B766</f>
        <v>11</v>
      </c>
      <c r="G766" s="0" t="n">
        <f aca="false">IF(OR($G$1="",对账补充行!$C159="",对账补充行!$C159&lt;&gt;$G$1),0,IF(NOT(OR(N(对账补充行!$H159)&lt;&gt;0,N(对账补充行!$I159)&lt;&gt;0)),0,IF(对账补充行!$B159="",1,IF(OR(N(对账补充行!$B159)&lt;$H$1,N(对账补充行!$B159)&gt;$I$1),0,1))))</f>
        <v>0</v>
      </c>
      <c r="H766" s="0" t="n">
        <f aca="false">N(H765)+$G766</f>
        <v>3</v>
      </c>
      <c r="I766" s="0" t="str">
        <f aca="false">IF($G766=0,"",IF(对账补充行!$B159=0,"",对账补充行!$B159))</f>
        <v/>
      </c>
      <c r="J766" s="0" t="str">
        <f aca="false">IF($G766=0,"",IF(对账补充行!$D159=0,"",对账补充行!$D159))</f>
        <v/>
      </c>
      <c r="K766" s="0" t="str">
        <f aca="false">IF($G766=0,"",IF(对账补充行!$E159=0,"",对账补充行!$E159))</f>
        <v/>
      </c>
      <c r="L766" s="0" t="str">
        <f aca="false">IF($G766=0,"",IF(对账补充行!$F159=0,"",对账补充行!$F159))</f>
        <v/>
      </c>
      <c r="M766" s="0" t="str">
        <f aca="false">IF($G766=0,"",IF(对账补充行!$G159=0,"",对账补充行!$G159))</f>
        <v/>
      </c>
      <c r="N766" s="0" t="str">
        <f aca="false">IF($G766=0,"",IF(对账补充行!$H159=0,"",对账补充行!$H159))</f>
        <v/>
      </c>
      <c r="O766" s="0" t="str">
        <f aca="false">IF($G766=0,"",IF(对账补充行!$I159=0,"",对账补充行!$I159))</f>
        <v/>
      </c>
      <c r="P766" s="0" t="str">
        <f aca="false">IF($G766=0,"",IF(对账补充行!$J159=0,"",对账补充行!$J159))</f>
        <v/>
      </c>
      <c r="T766" s="0" t="str">
        <f aca="false">IF(成本费用登记表!$D166="","",成本费用登记表!$D166)</f>
        <v/>
      </c>
      <c r="U766" s="0" t="n">
        <f aca="false">IF(T766="",0,IF(MATCH(T766,$T$4:$T$903,0)=ROW()-3,1,0))</f>
        <v>0</v>
      </c>
      <c r="V766" s="0" t="n">
        <f aca="false">N(V765)+U766</f>
        <v>30</v>
      </c>
    </row>
    <row r="767" customFormat="false" ht="13.5" hidden="false" customHeight="false" outlineLevel="0" collapsed="false">
      <c r="A767" s="0" t="str">
        <f aca="false">IF(资金日记账!$E465="","",资金日记账!$E465)</f>
        <v/>
      </c>
      <c r="B767" s="0" t="n">
        <f aca="false">IF(A767="",0,IF(MATCH(A767,$A$4:$A$1925,0)=ROW()-3,1,0))</f>
        <v>0</v>
      </c>
      <c r="C767" s="0" t="n">
        <f aca="false">N(C766)+B767</f>
        <v>11</v>
      </c>
      <c r="G767" s="0" t="n">
        <f aca="false">IF(OR($G$1="",对账补充行!$C160="",对账补充行!$C160&lt;&gt;$G$1),0,IF(NOT(OR(N(对账补充行!$H160)&lt;&gt;0,N(对账补充行!$I160)&lt;&gt;0)),0,IF(对账补充行!$B160="",1,IF(OR(N(对账补充行!$B160)&lt;$H$1,N(对账补充行!$B160)&gt;$I$1),0,1))))</f>
        <v>0</v>
      </c>
      <c r="H767" s="0" t="n">
        <f aca="false">N(H766)+$G767</f>
        <v>3</v>
      </c>
      <c r="I767" s="0" t="str">
        <f aca="false">IF($G767=0,"",IF(对账补充行!$B160=0,"",对账补充行!$B160))</f>
        <v/>
      </c>
      <c r="J767" s="0" t="str">
        <f aca="false">IF($G767=0,"",IF(对账补充行!$D160=0,"",对账补充行!$D160))</f>
        <v/>
      </c>
      <c r="K767" s="0" t="str">
        <f aca="false">IF($G767=0,"",IF(对账补充行!$E160=0,"",对账补充行!$E160))</f>
        <v/>
      </c>
      <c r="L767" s="0" t="str">
        <f aca="false">IF($G767=0,"",IF(对账补充行!$F160=0,"",对账补充行!$F160))</f>
        <v/>
      </c>
      <c r="M767" s="0" t="str">
        <f aca="false">IF($G767=0,"",IF(对账补充行!$G160=0,"",对账补充行!$G160))</f>
        <v/>
      </c>
      <c r="N767" s="0" t="str">
        <f aca="false">IF($G767=0,"",IF(对账补充行!$H160=0,"",对账补充行!$H160))</f>
        <v/>
      </c>
      <c r="O767" s="0" t="str">
        <f aca="false">IF($G767=0,"",IF(对账补充行!$I160=0,"",对账补充行!$I160))</f>
        <v/>
      </c>
      <c r="P767" s="0" t="str">
        <f aca="false">IF($G767=0,"",IF(对账补充行!$J160=0,"",对账补充行!$J160))</f>
        <v/>
      </c>
      <c r="T767" s="0" t="str">
        <f aca="false">IF(成本费用登记表!$D167="","",成本费用登记表!$D167)</f>
        <v/>
      </c>
      <c r="U767" s="0" t="n">
        <f aca="false">IF(T767="",0,IF(MATCH(T767,$T$4:$T$903,0)=ROW()-3,1,0))</f>
        <v>0</v>
      </c>
      <c r="V767" s="0" t="n">
        <f aca="false">N(V766)+U767</f>
        <v>30</v>
      </c>
    </row>
    <row r="768" customFormat="false" ht="13.5" hidden="false" customHeight="false" outlineLevel="0" collapsed="false">
      <c r="A768" s="0" t="str">
        <f aca="false">IF(资金日记账!$E466="","",资金日记账!$E466)</f>
        <v/>
      </c>
      <c r="B768" s="0" t="n">
        <f aca="false">IF(A768="",0,IF(MATCH(A768,$A$4:$A$1925,0)=ROW()-3,1,0))</f>
        <v>0</v>
      </c>
      <c r="C768" s="0" t="n">
        <f aca="false">N(C767)+B768</f>
        <v>11</v>
      </c>
      <c r="G768" s="0" t="n">
        <f aca="false">IF(OR($G$1="",对账补充行!$C161="",对账补充行!$C161&lt;&gt;$G$1),0,IF(NOT(OR(N(对账补充行!$H161)&lt;&gt;0,N(对账补充行!$I161)&lt;&gt;0)),0,IF(对账补充行!$B161="",1,IF(OR(N(对账补充行!$B161)&lt;$H$1,N(对账补充行!$B161)&gt;$I$1),0,1))))</f>
        <v>0</v>
      </c>
      <c r="H768" s="0" t="n">
        <f aca="false">N(H767)+$G768</f>
        <v>3</v>
      </c>
      <c r="I768" s="0" t="str">
        <f aca="false">IF($G768=0,"",IF(对账补充行!$B161=0,"",对账补充行!$B161))</f>
        <v/>
      </c>
      <c r="J768" s="0" t="str">
        <f aca="false">IF($G768=0,"",IF(对账补充行!$D161=0,"",对账补充行!$D161))</f>
        <v/>
      </c>
      <c r="K768" s="0" t="str">
        <f aca="false">IF($G768=0,"",IF(对账补充行!$E161=0,"",对账补充行!$E161))</f>
        <v/>
      </c>
      <c r="L768" s="0" t="str">
        <f aca="false">IF($G768=0,"",IF(对账补充行!$F161=0,"",对账补充行!$F161))</f>
        <v/>
      </c>
      <c r="M768" s="0" t="str">
        <f aca="false">IF($G768=0,"",IF(对账补充行!$G161=0,"",对账补充行!$G161))</f>
        <v/>
      </c>
      <c r="N768" s="0" t="str">
        <f aca="false">IF($G768=0,"",IF(对账补充行!$H161=0,"",对账补充行!$H161))</f>
        <v/>
      </c>
      <c r="O768" s="0" t="str">
        <f aca="false">IF($G768=0,"",IF(对账补充行!$I161=0,"",对账补充行!$I161))</f>
        <v/>
      </c>
      <c r="P768" s="0" t="str">
        <f aca="false">IF($G768=0,"",IF(对账补充行!$J161=0,"",对账补充行!$J161))</f>
        <v/>
      </c>
      <c r="T768" s="0" t="str">
        <f aca="false">IF(成本费用登记表!$D168="","",成本费用登记表!$D168)</f>
        <v/>
      </c>
      <c r="U768" s="0" t="n">
        <f aca="false">IF(T768="",0,IF(MATCH(T768,$T$4:$T$903,0)=ROW()-3,1,0))</f>
        <v>0</v>
      </c>
      <c r="V768" s="0" t="n">
        <f aca="false">N(V767)+U768</f>
        <v>30</v>
      </c>
    </row>
    <row r="769" customFormat="false" ht="13.5" hidden="false" customHeight="false" outlineLevel="0" collapsed="false">
      <c r="A769" s="0" t="str">
        <f aca="false">IF(资金日记账!$E467="","",资金日记账!$E467)</f>
        <v/>
      </c>
      <c r="B769" s="0" t="n">
        <f aca="false">IF(A769="",0,IF(MATCH(A769,$A$4:$A$1925,0)=ROW()-3,1,0))</f>
        <v>0</v>
      </c>
      <c r="C769" s="0" t="n">
        <f aca="false">N(C768)+B769</f>
        <v>11</v>
      </c>
      <c r="G769" s="0" t="n">
        <f aca="false">IF(OR($G$1="",对账补充行!$C162="",对账补充行!$C162&lt;&gt;$G$1),0,IF(NOT(OR(N(对账补充行!$H162)&lt;&gt;0,N(对账补充行!$I162)&lt;&gt;0)),0,IF(对账补充行!$B162="",1,IF(OR(N(对账补充行!$B162)&lt;$H$1,N(对账补充行!$B162)&gt;$I$1),0,1))))</f>
        <v>0</v>
      </c>
      <c r="H769" s="0" t="n">
        <f aca="false">N(H768)+$G769</f>
        <v>3</v>
      </c>
      <c r="I769" s="0" t="str">
        <f aca="false">IF($G769=0,"",IF(对账补充行!$B162=0,"",对账补充行!$B162))</f>
        <v/>
      </c>
      <c r="J769" s="0" t="str">
        <f aca="false">IF($G769=0,"",IF(对账补充行!$D162=0,"",对账补充行!$D162))</f>
        <v/>
      </c>
      <c r="K769" s="0" t="str">
        <f aca="false">IF($G769=0,"",IF(对账补充行!$E162=0,"",对账补充行!$E162))</f>
        <v/>
      </c>
      <c r="L769" s="0" t="str">
        <f aca="false">IF($G769=0,"",IF(对账补充行!$F162=0,"",对账补充行!$F162))</f>
        <v/>
      </c>
      <c r="M769" s="0" t="str">
        <f aca="false">IF($G769=0,"",IF(对账补充行!$G162=0,"",对账补充行!$G162))</f>
        <v/>
      </c>
      <c r="N769" s="0" t="str">
        <f aca="false">IF($G769=0,"",IF(对账补充行!$H162=0,"",对账补充行!$H162))</f>
        <v/>
      </c>
      <c r="O769" s="0" t="str">
        <f aca="false">IF($G769=0,"",IF(对账补充行!$I162=0,"",对账补充行!$I162))</f>
        <v/>
      </c>
      <c r="P769" s="0" t="str">
        <f aca="false">IF($G769=0,"",IF(对账补充行!$J162=0,"",对账补充行!$J162))</f>
        <v/>
      </c>
      <c r="T769" s="0" t="str">
        <f aca="false">IF(成本费用登记表!$D169="","",成本费用登记表!$D169)</f>
        <v/>
      </c>
      <c r="U769" s="0" t="n">
        <f aca="false">IF(T769="",0,IF(MATCH(T769,$T$4:$T$903,0)=ROW()-3,1,0))</f>
        <v>0</v>
      </c>
      <c r="V769" s="0" t="n">
        <f aca="false">N(V768)+U769</f>
        <v>30</v>
      </c>
    </row>
    <row r="770" customFormat="false" ht="13.5" hidden="false" customHeight="false" outlineLevel="0" collapsed="false">
      <c r="A770" s="0" t="str">
        <f aca="false">IF(资金日记账!$E468="","",资金日记账!$E468)</f>
        <v/>
      </c>
      <c r="B770" s="0" t="n">
        <f aca="false">IF(A770="",0,IF(MATCH(A770,$A$4:$A$1925,0)=ROW()-3,1,0))</f>
        <v>0</v>
      </c>
      <c r="C770" s="0" t="n">
        <f aca="false">N(C769)+B770</f>
        <v>11</v>
      </c>
      <c r="G770" s="0" t="n">
        <f aca="false">IF(OR($G$1="",对账补充行!$C163="",对账补充行!$C163&lt;&gt;$G$1),0,IF(NOT(OR(N(对账补充行!$H163)&lt;&gt;0,N(对账补充行!$I163)&lt;&gt;0)),0,IF(对账补充行!$B163="",1,IF(OR(N(对账补充行!$B163)&lt;$H$1,N(对账补充行!$B163)&gt;$I$1),0,1))))</f>
        <v>0</v>
      </c>
      <c r="H770" s="0" t="n">
        <f aca="false">N(H769)+$G770</f>
        <v>3</v>
      </c>
      <c r="I770" s="0" t="str">
        <f aca="false">IF($G770=0,"",IF(对账补充行!$B163=0,"",对账补充行!$B163))</f>
        <v/>
      </c>
      <c r="J770" s="0" t="str">
        <f aca="false">IF($G770=0,"",IF(对账补充行!$D163=0,"",对账补充行!$D163))</f>
        <v/>
      </c>
      <c r="K770" s="0" t="str">
        <f aca="false">IF($G770=0,"",IF(对账补充行!$E163=0,"",对账补充行!$E163))</f>
        <v/>
      </c>
      <c r="L770" s="0" t="str">
        <f aca="false">IF($G770=0,"",IF(对账补充行!$F163=0,"",对账补充行!$F163))</f>
        <v/>
      </c>
      <c r="M770" s="0" t="str">
        <f aca="false">IF($G770=0,"",IF(对账补充行!$G163=0,"",对账补充行!$G163))</f>
        <v/>
      </c>
      <c r="N770" s="0" t="str">
        <f aca="false">IF($G770=0,"",IF(对账补充行!$H163=0,"",对账补充行!$H163))</f>
        <v/>
      </c>
      <c r="O770" s="0" t="str">
        <f aca="false">IF($G770=0,"",IF(对账补充行!$I163=0,"",对账补充行!$I163))</f>
        <v/>
      </c>
      <c r="P770" s="0" t="str">
        <f aca="false">IF($G770=0,"",IF(对账补充行!$J163=0,"",对账补充行!$J163))</f>
        <v/>
      </c>
      <c r="T770" s="0" t="str">
        <f aca="false">IF(成本费用登记表!$D170="","",成本费用登记表!$D170)</f>
        <v/>
      </c>
      <c r="U770" s="0" t="n">
        <f aca="false">IF(T770="",0,IF(MATCH(T770,$T$4:$T$903,0)=ROW()-3,1,0))</f>
        <v>0</v>
      </c>
      <c r="V770" s="0" t="n">
        <f aca="false">N(V769)+U770</f>
        <v>30</v>
      </c>
    </row>
    <row r="771" customFormat="false" ht="13.5" hidden="false" customHeight="false" outlineLevel="0" collapsed="false">
      <c r="A771" s="0" t="str">
        <f aca="false">IF(资金日记账!$E469="","",资金日记账!$E469)</f>
        <v/>
      </c>
      <c r="B771" s="0" t="n">
        <f aca="false">IF(A771="",0,IF(MATCH(A771,$A$4:$A$1925,0)=ROW()-3,1,0))</f>
        <v>0</v>
      </c>
      <c r="C771" s="0" t="n">
        <f aca="false">N(C770)+B771</f>
        <v>11</v>
      </c>
      <c r="G771" s="0" t="n">
        <f aca="false">IF(OR($G$1="",对账补充行!$C164="",对账补充行!$C164&lt;&gt;$G$1),0,IF(NOT(OR(N(对账补充行!$H164)&lt;&gt;0,N(对账补充行!$I164)&lt;&gt;0)),0,IF(对账补充行!$B164="",1,IF(OR(N(对账补充行!$B164)&lt;$H$1,N(对账补充行!$B164)&gt;$I$1),0,1))))</f>
        <v>0</v>
      </c>
      <c r="H771" s="0" t="n">
        <f aca="false">N(H770)+$G771</f>
        <v>3</v>
      </c>
      <c r="I771" s="0" t="str">
        <f aca="false">IF($G771=0,"",IF(对账补充行!$B164=0,"",对账补充行!$B164))</f>
        <v/>
      </c>
      <c r="J771" s="0" t="str">
        <f aca="false">IF($G771=0,"",IF(对账补充行!$D164=0,"",对账补充行!$D164))</f>
        <v/>
      </c>
      <c r="K771" s="0" t="str">
        <f aca="false">IF($G771=0,"",IF(对账补充行!$E164=0,"",对账补充行!$E164))</f>
        <v/>
      </c>
      <c r="L771" s="0" t="str">
        <f aca="false">IF($G771=0,"",IF(对账补充行!$F164=0,"",对账补充行!$F164))</f>
        <v/>
      </c>
      <c r="M771" s="0" t="str">
        <f aca="false">IF($G771=0,"",IF(对账补充行!$G164=0,"",对账补充行!$G164))</f>
        <v/>
      </c>
      <c r="N771" s="0" t="str">
        <f aca="false">IF($G771=0,"",IF(对账补充行!$H164=0,"",对账补充行!$H164))</f>
        <v/>
      </c>
      <c r="O771" s="0" t="str">
        <f aca="false">IF($G771=0,"",IF(对账补充行!$I164=0,"",对账补充行!$I164))</f>
        <v/>
      </c>
      <c r="P771" s="0" t="str">
        <f aca="false">IF($G771=0,"",IF(对账补充行!$J164=0,"",对账补充行!$J164))</f>
        <v/>
      </c>
      <c r="T771" s="0" t="str">
        <f aca="false">IF(成本费用登记表!$D171="","",成本费用登记表!$D171)</f>
        <v/>
      </c>
      <c r="U771" s="0" t="n">
        <f aca="false">IF(T771="",0,IF(MATCH(T771,$T$4:$T$903,0)=ROW()-3,1,0))</f>
        <v>0</v>
      </c>
      <c r="V771" s="0" t="n">
        <f aca="false">N(V770)+U771</f>
        <v>30</v>
      </c>
    </row>
    <row r="772" customFormat="false" ht="13.5" hidden="false" customHeight="false" outlineLevel="0" collapsed="false">
      <c r="A772" s="0" t="str">
        <f aca="false">IF(资金日记账!$E470="","",资金日记账!$E470)</f>
        <v/>
      </c>
      <c r="B772" s="0" t="n">
        <f aca="false">IF(A772="",0,IF(MATCH(A772,$A$4:$A$1925,0)=ROW()-3,1,0))</f>
        <v>0</v>
      </c>
      <c r="C772" s="0" t="n">
        <f aca="false">N(C771)+B772</f>
        <v>11</v>
      </c>
      <c r="G772" s="0" t="n">
        <f aca="false">IF(OR($G$1="",对账补充行!$C165="",对账补充行!$C165&lt;&gt;$G$1),0,IF(NOT(OR(N(对账补充行!$H165)&lt;&gt;0,N(对账补充行!$I165)&lt;&gt;0)),0,IF(对账补充行!$B165="",1,IF(OR(N(对账补充行!$B165)&lt;$H$1,N(对账补充行!$B165)&gt;$I$1),0,1))))</f>
        <v>0</v>
      </c>
      <c r="H772" s="0" t="n">
        <f aca="false">N(H771)+$G772</f>
        <v>3</v>
      </c>
      <c r="I772" s="0" t="str">
        <f aca="false">IF($G772=0,"",IF(对账补充行!$B165=0,"",对账补充行!$B165))</f>
        <v/>
      </c>
      <c r="J772" s="0" t="str">
        <f aca="false">IF($G772=0,"",IF(对账补充行!$D165=0,"",对账补充行!$D165))</f>
        <v/>
      </c>
      <c r="K772" s="0" t="str">
        <f aca="false">IF($G772=0,"",IF(对账补充行!$E165=0,"",对账补充行!$E165))</f>
        <v/>
      </c>
      <c r="L772" s="0" t="str">
        <f aca="false">IF($G772=0,"",IF(对账补充行!$F165=0,"",对账补充行!$F165))</f>
        <v/>
      </c>
      <c r="M772" s="0" t="str">
        <f aca="false">IF($G772=0,"",IF(对账补充行!$G165=0,"",对账补充行!$G165))</f>
        <v/>
      </c>
      <c r="N772" s="0" t="str">
        <f aca="false">IF($G772=0,"",IF(对账补充行!$H165=0,"",对账补充行!$H165))</f>
        <v/>
      </c>
      <c r="O772" s="0" t="str">
        <f aca="false">IF($G772=0,"",IF(对账补充行!$I165=0,"",对账补充行!$I165))</f>
        <v/>
      </c>
      <c r="P772" s="0" t="str">
        <f aca="false">IF($G772=0,"",IF(对账补充行!$J165=0,"",对账补充行!$J165))</f>
        <v/>
      </c>
      <c r="T772" s="0" t="str">
        <f aca="false">IF(成本费用登记表!$D172="","",成本费用登记表!$D172)</f>
        <v/>
      </c>
      <c r="U772" s="0" t="n">
        <f aca="false">IF(T772="",0,IF(MATCH(T772,$T$4:$T$903,0)=ROW()-3,1,0))</f>
        <v>0</v>
      </c>
      <c r="V772" s="0" t="n">
        <f aca="false">N(V771)+U772</f>
        <v>30</v>
      </c>
    </row>
    <row r="773" customFormat="false" ht="13.5" hidden="false" customHeight="false" outlineLevel="0" collapsed="false">
      <c r="A773" s="0" t="str">
        <f aca="false">IF(资金日记账!$E471="","",资金日记账!$E471)</f>
        <v/>
      </c>
      <c r="B773" s="0" t="n">
        <f aca="false">IF(A773="",0,IF(MATCH(A773,$A$4:$A$1925,0)=ROW()-3,1,0))</f>
        <v>0</v>
      </c>
      <c r="C773" s="0" t="n">
        <f aca="false">N(C772)+B773</f>
        <v>11</v>
      </c>
      <c r="G773" s="0" t="n">
        <f aca="false">IF(OR($G$1="",对账补充行!$C166="",对账补充行!$C166&lt;&gt;$G$1),0,IF(NOT(OR(N(对账补充行!$H166)&lt;&gt;0,N(对账补充行!$I166)&lt;&gt;0)),0,IF(对账补充行!$B166="",1,IF(OR(N(对账补充行!$B166)&lt;$H$1,N(对账补充行!$B166)&gt;$I$1),0,1))))</f>
        <v>0</v>
      </c>
      <c r="H773" s="0" t="n">
        <f aca="false">N(H772)+$G773</f>
        <v>3</v>
      </c>
      <c r="I773" s="0" t="str">
        <f aca="false">IF($G773=0,"",IF(对账补充行!$B166=0,"",对账补充行!$B166))</f>
        <v/>
      </c>
      <c r="J773" s="0" t="str">
        <f aca="false">IF($G773=0,"",IF(对账补充行!$D166=0,"",对账补充行!$D166))</f>
        <v/>
      </c>
      <c r="K773" s="0" t="str">
        <f aca="false">IF($G773=0,"",IF(对账补充行!$E166=0,"",对账补充行!$E166))</f>
        <v/>
      </c>
      <c r="L773" s="0" t="str">
        <f aca="false">IF($G773=0,"",IF(对账补充行!$F166=0,"",对账补充行!$F166))</f>
        <v/>
      </c>
      <c r="M773" s="0" t="str">
        <f aca="false">IF($G773=0,"",IF(对账补充行!$G166=0,"",对账补充行!$G166))</f>
        <v/>
      </c>
      <c r="N773" s="0" t="str">
        <f aca="false">IF($G773=0,"",IF(对账补充行!$H166=0,"",对账补充行!$H166))</f>
        <v/>
      </c>
      <c r="O773" s="0" t="str">
        <f aca="false">IF($G773=0,"",IF(对账补充行!$I166=0,"",对账补充行!$I166))</f>
        <v/>
      </c>
      <c r="P773" s="0" t="str">
        <f aca="false">IF($G773=0,"",IF(对账补充行!$J166=0,"",对账补充行!$J166))</f>
        <v/>
      </c>
      <c r="T773" s="0" t="str">
        <f aca="false">IF(成本费用登记表!$D173="","",成本费用登记表!$D173)</f>
        <v/>
      </c>
      <c r="U773" s="0" t="n">
        <f aca="false">IF(T773="",0,IF(MATCH(T773,$T$4:$T$903,0)=ROW()-3,1,0))</f>
        <v>0</v>
      </c>
      <c r="V773" s="0" t="n">
        <f aca="false">N(V772)+U773</f>
        <v>30</v>
      </c>
    </row>
    <row r="774" customFormat="false" ht="13.5" hidden="false" customHeight="false" outlineLevel="0" collapsed="false">
      <c r="A774" s="0" t="str">
        <f aca="false">IF(资金日记账!$E472="","",资金日记账!$E472)</f>
        <v/>
      </c>
      <c r="B774" s="0" t="n">
        <f aca="false">IF(A774="",0,IF(MATCH(A774,$A$4:$A$1925,0)=ROW()-3,1,0))</f>
        <v>0</v>
      </c>
      <c r="C774" s="0" t="n">
        <f aca="false">N(C773)+B774</f>
        <v>11</v>
      </c>
      <c r="G774" s="0" t="n">
        <f aca="false">IF(OR($G$1="",对账补充行!$C167="",对账补充行!$C167&lt;&gt;$G$1),0,IF(NOT(OR(N(对账补充行!$H167)&lt;&gt;0,N(对账补充行!$I167)&lt;&gt;0)),0,IF(对账补充行!$B167="",1,IF(OR(N(对账补充行!$B167)&lt;$H$1,N(对账补充行!$B167)&gt;$I$1),0,1))))</f>
        <v>0</v>
      </c>
      <c r="H774" s="0" t="n">
        <f aca="false">N(H773)+$G774</f>
        <v>3</v>
      </c>
      <c r="I774" s="0" t="str">
        <f aca="false">IF($G774=0,"",IF(对账补充行!$B167=0,"",对账补充行!$B167))</f>
        <v/>
      </c>
      <c r="J774" s="0" t="str">
        <f aca="false">IF($G774=0,"",IF(对账补充行!$D167=0,"",对账补充行!$D167))</f>
        <v/>
      </c>
      <c r="K774" s="0" t="str">
        <f aca="false">IF($G774=0,"",IF(对账补充行!$E167=0,"",对账补充行!$E167))</f>
        <v/>
      </c>
      <c r="L774" s="0" t="str">
        <f aca="false">IF($G774=0,"",IF(对账补充行!$F167=0,"",对账补充行!$F167))</f>
        <v/>
      </c>
      <c r="M774" s="0" t="str">
        <f aca="false">IF($G774=0,"",IF(对账补充行!$G167=0,"",对账补充行!$G167))</f>
        <v/>
      </c>
      <c r="N774" s="0" t="str">
        <f aca="false">IF($G774=0,"",IF(对账补充行!$H167=0,"",对账补充行!$H167))</f>
        <v/>
      </c>
      <c r="O774" s="0" t="str">
        <f aca="false">IF($G774=0,"",IF(对账补充行!$I167=0,"",对账补充行!$I167))</f>
        <v/>
      </c>
      <c r="P774" s="0" t="str">
        <f aca="false">IF($G774=0,"",IF(对账补充行!$J167=0,"",对账补充行!$J167))</f>
        <v/>
      </c>
      <c r="T774" s="0" t="str">
        <f aca="false">IF(成本费用登记表!$D174="","",成本费用登记表!$D174)</f>
        <v/>
      </c>
      <c r="U774" s="0" t="n">
        <f aca="false">IF(T774="",0,IF(MATCH(T774,$T$4:$T$903,0)=ROW()-3,1,0))</f>
        <v>0</v>
      </c>
      <c r="V774" s="0" t="n">
        <f aca="false">N(V773)+U774</f>
        <v>30</v>
      </c>
    </row>
    <row r="775" customFormat="false" ht="13.5" hidden="false" customHeight="false" outlineLevel="0" collapsed="false">
      <c r="A775" s="0" t="str">
        <f aca="false">IF(资金日记账!$E473="","",资金日记账!$E473)</f>
        <v/>
      </c>
      <c r="B775" s="0" t="n">
        <f aca="false">IF(A775="",0,IF(MATCH(A775,$A$4:$A$1925,0)=ROW()-3,1,0))</f>
        <v>0</v>
      </c>
      <c r="C775" s="0" t="n">
        <f aca="false">N(C774)+B775</f>
        <v>11</v>
      </c>
      <c r="G775" s="0" t="n">
        <f aca="false">IF(OR($G$1="",对账补充行!$C168="",对账补充行!$C168&lt;&gt;$G$1),0,IF(NOT(OR(N(对账补充行!$H168)&lt;&gt;0,N(对账补充行!$I168)&lt;&gt;0)),0,IF(对账补充行!$B168="",1,IF(OR(N(对账补充行!$B168)&lt;$H$1,N(对账补充行!$B168)&gt;$I$1),0,1))))</f>
        <v>0</v>
      </c>
      <c r="H775" s="0" t="n">
        <f aca="false">N(H774)+$G775</f>
        <v>3</v>
      </c>
      <c r="I775" s="0" t="str">
        <f aca="false">IF($G775=0,"",IF(对账补充行!$B168=0,"",对账补充行!$B168))</f>
        <v/>
      </c>
      <c r="J775" s="0" t="str">
        <f aca="false">IF($G775=0,"",IF(对账补充行!$D168=0,"",对账补充行!$D168))</f>
        <v/>
      </c>
      <c r="K775" s="0" t="str">
        <f aca="false">IF($G775=0,"",IF(对账补充行!$E168=0,"",对账补充行!$E168))</f>
        <v/>
      </c>
      <c r="L775" s="0" t="str">
        <f aca="false">IF($G775=0,"",IF(对账补充行!$F168=0,"",对账补充行!$F168))</f>
        <v/>
      </c>
      <c r="M775" s="0" t="str">
        <f aca="false">IF($G775=0,"",IF(对账补充行!$G168=0,"",对账补充行!$G168))</f>
        <v/>
      </c>
      <c r="N775" s="0" t="str">
        <f aca="false">IF($G775=0,"",IF(对账补充行!$H168=0,"",对账补充行!$H168))</f>
        <v/>
      </c>
      <c r="O775" s="0" t="str">
        <f aca="false">IF($G775=0,"",IF(对账补充行!$I168=0,"",对账补充行!$I168))</f>
        <v/>
      </c>
      <c r="P775" s="0" t="str">
        <f aca="false">IF($G775=0,"",IF(对账补充行!$J168=0,"",对账补充行!$J168))</f>
        <v/>
      </c>
      <c r="T775" s="0" t="str">
        <f aca="false">IF(成本费用登记表!$D175="","",成本费用登记表!$D175)</f>
        <v/>
      </c>
      <c r="U775" s="0" t="n">
        <f aca="false">IF(T775="",0,IF(MATCH(T775,$T$4:$T$903,0)=ROW()-3,1,0))</f>
        <v>0</v>
      </c>
      <c r="V775" s="0" t="n">
        <f aca="false">N(V774)+U775</f>
        <v>30</v>
      </c>
    </row>
    <row r="776" customFormat="false" ht="13.5" hidden="false" customHeight="false" outlineLevel="0" collapsed="false">
      <c r="A776" s="0" t="str">
        <f aca="false">IF(资金日记账!$E474="","",资金日记账!$E474)</f>
        <v/>
      </c>
      <c r="B776" s="0" t="n">
        <f aca="false">IF(A776="",0,IF(MATCH(A776,$A$4:$A$1925,0)=ROW()-3,1,0))</f>
        <v>0</v>
      </c>
      <c r="C776" s="0" t="n">
        <f aca="false">N(C775)+B776</f>
        <v>11</v>
      </c>
      <c r="G776" s="0" t="n">
        <f aca="false">IF(OR($G$1="",对账补充行!$C169="",对账补充行!$C169&lt;&gt;$G$1),0,IF(NOT(OR(N(对账补充行!$H169)&lt;&gt;0,N(对账补充行!$I169)&lt;&gt;0)),0,IF(对账补充行!$B169="",1,IF(OR(N(对账补充行!$B169)&lt;$H$1,N(对账补充行!$B169)&gt;$I$1),0,1))))</f>
        <v>0</v>
      </c>
      <c r="H776" s="0" t="n">
        <f aca="false">N(H775)+$G776</f>
        <v>3</v>
      </c>
      <c r="I776" s="0" t="str">
        <f aca="false">IF($G776=0,"",IF(对账补充行!$B169=0,"",对账补充行!$B169))</f>
        <v/>
      </c>
      <c r="J776" s="0" t="str">
        <f aca="false">IF($G776=0,"",IF(对账补充行!$D169=0,"",对账补充行!$D169))</f>
        <v/>
      </c>
      <c r="K776" s="0" t="str">
        <f aca="false">IF($G776=0,"",IF(对账补充行!$E169=0,"",对账补充行!$E169))</f>
        <v/>
      </c>
      <c r="L776" s="0" t="str">
        <f aca="false">IF($G776=0,"",IF(对账补充行!$F169=0,"",对账补充行!$F169))</f>
        <v/>
      </c>
      <c r="M776" s="0" t="str">
        <f aca="false">IF($G776=0,"",IF(对账补充行!$G169=0,"",对账补充行!$G169))</f>
        <v/>
      </c>
      <c r="N776" s="0" t="str">
        <f aca="false">IF($G776=0,"",IF(对账补充行!$H169=0,"",对账补充行!$H169))</f>
        <v/>
      </c>
      <c r="O776" s="0" t="str">
        <f aca="false">IF($G776=0,"",IF(对账补充行!$I169=0,"",对账补充行!$I169))</f>
        <v/>
      </c>
      <c r="P776" s="0" t="str">
        <f aca="false">IF($G776=0,"",IF(对账补充行!$J169=0,"",对账补充行!$J169))</f>
        <v/>
      </c>
      <c r="T776" s="0" t="str">
        <f aca="false">IF(成本费用登记表!$D176="","",成本费用登记表!$D176)</f>
        <v/>
      </c>
      <c r="U776" s="0" t="n">
        <f aca="false">IF(T776="",0,IF(MATCH(T776,$T$4:$T$903,0)=ROW()-3,1,0))</f>
        <v>0</v>
      </c>
      <c r="V776" s="0" t="n">
        <f aca="false">N(V775)+U776</f>
        <v>30</v>
      </c>
    </row>
    <row r="777" customFormat="false" ht="13.5" hidden="false" customHeight="false" outlineLevel="0" collapsed="false">
      <c r="A777" s="0" t="str">
        <f aca="false">IF(资金日记账!$E475="","",资金日记账!$E475)</f>
        <v/>
      </c>
      <c r="B777" s="0" t="n">
        <f aca="false">IF(A777="",0,IF(MATCH(A777,$A$4:$A$1925,0)=ROW()-3,1,0))</f>
        <v>0</v>
      </c>
      <c r="C777" s="0" t="n">
        <f aca="false">N(C776)+B777</f>
        <v>11</v>
      </c>
      <c r="G777" s="0" t="n">
        <f aca="false">IF(OR($G$1="",对账补充行!$C170="",对账补充行!$C170&lt;&gt;$G$1),0,IF(NOT(OR(N(对账补充行!$H170)&lt;&gt;0,N(对账补充行!$I170)&lt;&gt;0)),0,IF(对账补充行!$B170="",1,IF(OR(N(对账补充行!$B170)&lt;$H$1,N(对账补充行!$B170)&gt;$I$1),0,1))))</f>
        <v>0</v>
      </c>
      <c r="H777" s="0" t="n">
        <f aca="false">N(H776)+$G777</f>
        <v>3</v>
      </c>
      <c r="I777" s="0" t="str">
        <f aca="false">IF($G777=0,"",IF(对账补充行!$B170=0,"",对账补充行!$B170))</f>
        <v/>
      </c>
      <c r="J777" s="0" t="str">
        <f aca="false">IF($G777=0,"",IF(对账补充行!$D170=0,"",对账补充行!$D170))</f>
        <v/>
      </c>
      <c r="K777" s="0" t="str">
        <f aca="false">IF($G777=0,"",IF(对账补充行!$E170=0,"",对账补充行!$E170))</f>
        <v/>
      </c>
      <c r="L777" s="0" t="str">
        <f aca="false">IF($G777=0,"",IF(对账补充行!$F170=0,"",对账补充行!$F170))</f>
        <v/>
      </c>
      <c r="M777" s="0" t="str">
        <f aca="false">IF($G777=0,"",IF(对账补充行!$G170=0,"",对账补充行!$G170))</f>
        <v/>
      </c>
      <c r="N777" s="0" t="str">
        <f aca="false">IF($G777=0,"",IF(对账补充行!$H170=0,"",对账补充行!$H170))</f>
        <v/>
      </c>
      <c r="O777" s="0" t="str">
        <f aca="false">IF($G777=0,"",IF(对账补充行!$I170=0,"",对账补充行!$I170))</f>
        <v/>
      </c>
      <c r="P777" s="0" t="str">
        <f aca="false">IF($G777=0,"",IF(对账补充行!$J170=0,"",对账补充行!$J170))</f>
        <v/>
      </c>
      <c r="T777" s="0" t="str">
        <f aca="false">IF(成本费用登记表!$D177="","",成本费用登记表!$D177)</f>
        <v/>
      </c>
      <c r="U777" s="0" t="n">
        <f aca="false">IF(T777="",0,IF(MATCH(T777,$T$4:$T$903,0)=ROW()-3,1,0))</f>
        <v>0</v>
      </c>
      <c r="V777" s="0" t="n">
        <f aca="false">N(V776)+U777</f>
        <v>30</v>
      </c>
    </row>
    <row r="778" customFormat="false" ht="13.5" hidden="false" customHeight="false" outlineLevel="0" collapsed="false">
      <c r="A778" s="0" t="str">
        <f aca="false">IF(资金日记账!$E476="","",资金日记账!$E476)</f>
        <v/>
      </c>
      <c r="B778" s="0" t="n">
        <f aca="false">IF(A778="",0,IF(MATCH(A778,$A$4:$A$1925,0)=ROW()-3,1,0))</f>
        <v>0</v>
      </c>
      <c r="C778" s="0" t="n">
        <f aca="false">N(C777)+B778</f>
        <v>11</v>
      </c>
      <c r="G778" s="0" t="n">
        <f aca="false">IF(OR($G$1="",对账补充行!$C171="",对账补充行!$C171&lt;&gt;$G$1),0,IF(NOT(OR(N(对账补充行!$H171)&lt;&gt;0,N(对账补充行!$I171)&lt;&gt;0)),0,IF(对账补充行!$B171="",1,IF(OR(N(对账补充行!$B171)&lt;$H$1,N(对账补充行!$B171)&gt;$I$1),0,1))))</f>
        <v>0</v>
      </c>
      <c r="H778" s="0" t="n">
        <f aca="false">N(H777)+$G778</f>
        <v>3</v>
      </c>
      <c r="I778" s="0" t="str">
        <f aca="false">IF($G778=0,"",IF(对账补充行!$B171=0,"",对账补充行!$B171))</f>
        <v/>
      </c>
      <c r="J778" s="0" t="str">
        <f aca="false">IF($G778=0,"",IF(对账补充行!$D171=0,"",对账补充行!$D171))</f>
        <v/>
      </c>
      <c r="K778" s="0" t="str">
        <f aca="false">IF($G778=0,"",IF(对账补充行!$E171=0,"",对账补充行!$E171))</f>
        <v/>
      </c>
      <c r="L778" s="0" t="str">
        <f aca="false">IF($G778=0,"",IF(对账补充行!$F171=0,"",对账补充行!$F171))</f>
        <v/>
      </c>
      <c r="M778" s="0" t="str">
        <f aca="false">IF($G778=0,"",IF(对账补充行!$G171=0,"",对账补充行!$G171))</f>
        <v/>
      </c>
      <c r="N778" s="0" t="str">
        <f aca="false">IF($G778=0,"",IF(对账补充行!$H171=0,"",对账补充行!$H171))</f>
        <v/>
      </c>
      <c r="O778" s="0" t="str">
        <f aca="false">IF($G778=0,"",IF(对账补充行!$I171=0,"",对账补充行!$I171))</f>
        <v/>
      </c>
      <c r="P778" s="0" t="str">
        <f aca="false">IF($G778=0,"",IF(对账补充行!$J171=0,"",对账补充行!$J171))</f>
        <v/>
      </c>
      <c r="T778" s="0" t="str">
        <f aca="false">IF(成本费用登记表!$D178="","",成本费用登记表!$D178)</f>
        <v/>
      </c>
      <c r="U778" s="0" t="n">
        <f aca="false">IF(T778="",0,IF(MATCH(T778,$T$4:$T$903,0)=ROW()-3,1,0))</f>
        <v>0</v>
      </c>
      <c r="V778" s="0" t="n">
        <f aca="false">N(V777)+U778</f>
        <v>30</v>
      </c>
    </row>
    <row r="779" customFormat="false" ht="13.5" hidden="false" customHeight="false" outlineLevel="0" collapsed="false">
      <c r="A779" s="0" t="str">
        <f aca="false">IF(资金日记账!$E477="","",资金日记账!$E477)</f>
        <v/>
      </c>
      <c r="B779" s="0" t="n">
        <f aca="false">IF(A779="",0,IF(MATCH(A779,$A$4:$A$1925,0)=ROW()-3,1,0))</f>
        <v>0</v>
      </c>
      <c r="C779" s="0" t="n">
        <f aca="false">N(C778)+B779</f>
        <v>11</v>
      </c>
      <c r="G779" s="0" t="n">
        <f aca="false">IF(OR($G$1="",对账补充行!$C172="",对账补充行!$C172&lt;&gt;$G$1),0,IF(NOT(OR(N(对账补充行!$H172)&lt;&gt;0,N(对账补充行!$I172)&lt;&gt;0)),0,IF(对账补充行!$B172="",1,IF(OR(N(对账补充行!$B172)&lt;$H$1,N(对账补充行!$B172)&gt;$I$1),0,1))))</f>
        <v>0</v>
      </c>
      <c r="H779" s="0" t="n">
        <f aca="false">N(H778)+$G779</f>
        <v>3</v>
      </c>
      <c r="I779" s="0" t="str">
        <f aca="false">IF($G779=0,"",IF(对账补充行!$B172=0,"",对账补充行!$B172))</f>
        <v/>
      </c>
      <c r="J779" s="0" t="str">
        <f aca="false">IF($G779=0,"",IF(对账补充行!$D172=0,"",对账补充行!$D172))</f>
        <v/>
      </c>
      <c r="K779" s="0" t="str">
        <f aca="false">IF($G779=0,"",IF(对账补充行!$E172=0,"",对账补充行!$E172))</f>
        <v/>
      </c>
      <c r="L779" s="0" t="str">
        <f aca="false">IF($G779=0,"",IF(对账补充行!$F172=0,"",对账补充行!$F172))</f>
        <v/>
      </c>
      <c r="M779" s="0" t="str">
        <f aca="false">IF($G779=0,"",IF(对账补充行!$G172=0,"",对账补充行!$G172))</f>
        <v/>
      </c>
      <c r="N779" s="0" t="str">
        <f aca="false">IF($G779=0,"",IF(对账补充行!$H172=0,"",对账补充行!$H172))</f>
        <v/>
      </c>
      <c r="O779" s="0" t="str">
        <f aca="false">IF($G779=0,"",IF(对账补充行!$I172=0,"",对账补充行!$I172))</f>
        <v/>
      </c>
      <c r="P779" s="0" t="str">
        <f aca="false">IF($G779=0,"",IF(对账补充行!$J172=0,"",对账补充行!$J172))</f>
        <v/>
      </c>
      <c r="T779" s="0" t="str">
        <f aca="false">IF(成本费用登记表!$D179="","",成本费用登记表!$D179)</f>
        <v/>
      </c>
      <c r="U779" s="0" t="n">
        <f aca="false">IF(T779="",0,IF(MATCH(T779,$T$4:$T$903,0)=ROW()-3,1,0))</f>
        <v>0</v>
      </c>
      <c r="V779" s="0" t="n">
        <f aca="false">N(V778)+U779</f>
        <v>30</v>
      </c>
    </row>
    <row r="780" customFormat="false" ht="13.5" hidden="false" customHeight="false" outlineLevel="0" collapsed="false">
      <c r="A780" s="0" t="str">
        <f aca="false">IF(资金日记账!$E478="","",资金日记账!$E478)</f>
        <v/>
      </c>
      <c r="B780" s="0" t="n">
        <f aca="false">IF(A780="",0,IF(MATCH(A780,$A$4:$A$1925,0)=ROW()-3,1,0))</f>
        <v>0</v>
      </c>
      <c r="C780" s="0" t="n">
        <f aca="false">N(C779)+B780</f>
        <v>11</v>
      </c>
      <c r="G780" s="0" t="n">
        <f aca="false">IF(OR($G$1="",对账补充行!$C173="",对账补充行!$C173&lt;&gt;$G$1),0,IF(NOT(OR(N(对账补充行!$H173)&lt;&gt;0,N(对账补充行!$I173)&lt;&gt;0)),0,IF(对账补充行!$B173="",1,IF(OR(N(对账补充行!$B173)&lt;$H$1,N(对账补充行!$B173)&gt;$I$1),0,1))))</f>
        <v>0</v>
      </c>
      <c r="H780" s="0" t="n">
        <f aca="false">N(H779)+$G780</f>
        <v>3</v>
      </c>
      <c r="I780" s="0" t="str">
        <f aca="false">IF($G780=0,"",IF(对账补充行!$B173=0,"",对账补充行!$B173))</f>
        <v/>
      </c>
      <c r="J780" s="0" t="str">
        <f aca="false">IF($G780=0,"",IF(对账补充行!$D173=0,"",对账补充行!$D173))</f>
        <v/>
      </c>
      <c r="K780" s="0" t="str">
        <f aca="false">IF($G780=0,"",IF(对账补充行!$E173=0,"",对账补充行!$E173))</f>
        <v/>
      </c>
      <c r="L780" s="0" t="str">
        <f aca="false">IF($G780=0,"",IF(对账补充行!$F173=0,"",对账补充行!$F173))</f>
        <v/>
      </c>
      <c r="M780" s="0" t="str">
        <f aca="false">IF($G780=0,"",IF(对账补充行!$G173=0,"",对账补充行!$G173))</f>
        <v/>
      </c>
      <c r="N780" s="0" t="str">
        <f aca="false">IF($G780=0,"",IF(对账补充行!$H173=0,"",对账补充行!$H173))</f>
        <v/>
      </c>
      <c r="O780" s="0" t="str">
        <f aca="false">IF($G780=0,"",IF(对账补充行!$I173=0,"",对账补充行!$I173))</f>
        <v/>
      </c>
      <c r="P780" s="0" t="str">
        <f aca="false">IF($G780=0,"",IF(对账补充行!$J173=0,"",对账补充行!$J173))</f>
        <v/>
      </c>
      <c r="T780" s="0" t="str">
        <f aca="false">IF(成本费用登记表!$D180="","",成本费用登记表!$D180)</f>
        <v/>
      </c>
      <c r="U780" s="0" t="n">
        <f aca="false">IF(T780="",0,IF(MATCH(T780,$T$4:$T$903,0)=ROW()-3,1,0))</f>
        <v>0</v>
      </c>
      <c r="V780" s="0" t="n">
        <f aca="false">N(V779)+U780</f>
        <v>30</v>
      </c>
    </row>
    <row r="781" customFormat="false" ht="13.5" hidden="false" customHeight="false" outlineLevel="0" collapsed="false">
      <c r="A781" s="0" t="str">
        <f aca="false">IF(资金日记账!$E479="","",资金日记账!$E479)</f>
        <v/>
      </c>
      <c r="B781" s="0" t="n">
        <f aca="false">IF(A781="",0,IF(MATCH(A781,$A$4:$A$1925,0)=ROW()-3,1,0))</f>
        <v>0</v>
      </c>
      <c r="C781" s="0" t="n">
        <f aca="false">N(C780)+B781</f>
        <v>11</v>
      </c>
      <c r="G781" s="0" t="n">
        <f aca="false">IF(OR($G$1="",对账补充行!$C174="",对账补充行!$C174&lt;&gt;$G$1),0,IF(NOT(OR(N(对账补充行!$H174)&lt;&gt;0,N(对账补充行!$I174)&lt;&gt;0)),0,IF(对账补充行!$B174="",1,IF(OR(N(对账补充行!$B174)&lt;$H$1,N(对账补充行!$B174)&gt;$I$1),0,1))))</f>
        <v>0</v>
      </c>
      <c r="H781" s="0" t="n">
        <f aca="false">N(H780)+$G781</f>
        <v>3</v>
      </c>
      <c r="I781" s="0" t="str">
        <f aca="false">IF($G781=0,"",IF(对账补充行!$B174=0,"",对账补充行!$B174))</f>
        <v/>
      </c>
      <c r="J781" s="0" t="str">
        <f aca="false">IF($G781=0,"",IF(对账补充行!$D174=0,"",对账补充行!$D174))</f>
        <v/>
      </c>
      <c r="K781" s="0" t="str">
        <f aca="false">IF($G781=0,"",IF(对账补充行!$E174=0,"",对账补充行!$E174))</f>
        <v/>
      </c>
      <c r="L781" s="0" t="str">
        <f aca="false">IF($G781=0,"",IF(对账补充行!$F174=0,"",对账补充行!$F174))</f>
        <v/>
      </c>
      <c r="M781" s="0" t="str">
        <f aca="false">IF($G781=0,"",IF(对账补充行!$G174=0,"",对账补充行!$G174))</f>
        <v/>
      </c>
      <c r="N781" s="0" t="str">
        <f aca="false">IF($G781=0,"",IF(对账补充行!$H174=0,"",对账补充行!$H174))</f>
        <v/>
      </c>
      <c r="O781" s="0" t="str">
        <f aca="false">IF($G781=0,"",IF(对账补充行!$I174=0,"",对账补充行!$I174))</f>
        <v/>
      </c>
      <c r="P781" s="0" t="str">
        <f aca="false">IF($G781=0,"",IF(对账补充行!$J174=0,"",对账补充行!$J174))</f>
        <v/>
      </c>
      <c r="T781" s="0" t="str">
        <f aca="false">IF(成本费用登记表!$D181="","",成本费用登记表!$D181)</f>
        <v/>
      </c>
      <c r="U781" s="0" t="n">
        <f aca="false">IF(T781="",0,IF(MATCH(T781,$T$4:$T$903,0)=ROW()-3,1,0))</f>
        <v>0</v>
      </c>
      <c r="V781" s="0" t="n">
        <f aca="false">N(V780)+U781</f>
        <v>30</v>
      </c>
    </row>
    <row r="782" customFormat="false" ht="13.5" hidden="false" customHeight="false" outlineLevel="0" collapsed="false">
      <c r="A782" s="0" t="str">
        <f aca="false">IF(资金日记账!$E480="","",资金日记账!$E480)</f>
        <v/>
      </c>
      <c r="B782" s="0" t="n">
        <f aca="false">IF(A782="",0,IF(MATCH(A782,$A$4:$A$1925,0)=ROW()-3,1,0))</f>
        <v>0</v>
      </c>
      <c r="C782" s="0" t="n">
        <f aca="false">N(C781)+B782</f>
        <v>11</v>
      </c>
      <c r="G782" s="0" t="n">
        <f aca="false">IF(OR($G$1="",对账补充行!$C175="",对账补充行!$C175&lt;&gt;$G$1),0,IF(NOT(OR(N(对账补充行!$H175)&lt;&gt;0,N(对账补充行!$I175)&lt;&gt;0)),0,IF(对账补充行!$B175="",1,IF(OR(N(对账补充行!$B175)&lt;$H$1,N(对账补充行!$B175)&gt;$I$1),0,1))))</f>
        <v>0</v>
      </c>
      <c r="H782" s="0" t="n">
        <f aca="false">N(H781)+$G782</f>
        <v>3</v>
      </c>
      <c r="I782" s="0" t="str">
        <f aca="false">IF($G782=0,"",IF(对账补充行!$B175=0,"",对账补充行!$B175))</f>
        <v/>
      </c>
      <c r="J782" s="0" t="str">
        <f aca="false">IF($G782=0,"",IF(对账补充行!$D175=0,"",对账补充行!$D175))</f>
        <v/>
      </c>
      <c r="K782" s="0" t="str">
        <f aca="false">IF($G782=0,"",IF(对账补充行!$E175=0,"",对账补充行!$E175))</f>
        <v/>
      </c>
      <c r="L782" s="0" t="str">
        <f aca="false">IF($G782=0,"",IF(对账补充行!$F175=0,"",对账补充行!$F175))</f>
        <v/>
      </c>
      <c r="M782" s="0" t="str">
        <f aca="false">IF($G782=0,"",IF(对账补充行!$G175=0,"",对账补充行!$G175))</f>
        <v/>
      </c>
      <c r="N782" s="0" t="str">
        <f aca="false">IF($G782=0,"",IF(对账补充行!$H175=0,"",对账补充行!$H175))</f>
        <v/>
      </c>
      <c r="O782" s="0" t="str">
        <f aca="false">IF($G782=0,"",IF(对账补充行!$I175=0,"",对账补充行!$I175))</f>
        <v/>
      </c>
      <c r="P782" s="0" t="str">
        <f aca="false">IF($G782=0,"",IF(对账补充行!$J175=0,"",对账补充行!$J175))</f>
        <v/>
      </c>
      <c r="T782" s="0" t="str">
        <f aca="false">IF(成本费用登记表!$D182="","",成本费用登记表!$D182)</f>
        <v/>
      </c>
      <c r="U782" s="0" t="n">
        <f aca="false">IF(T782="",0,IF(MATCH(T782,$T$4:$T$903,0)=ROW()-3,1,0))</f>
        <v>0</v>
      </c>
      <c r="V782" s="0" t="n">
        <f aca="false">N(V781)+U782</f>
        <v>30</v>
      </c>
    </row>
    <row r="783" customFormat="false" ht="13.5" hidden="false" customHeight="false" outlineLevel="0" collapsed="false">
      <c r="A783" s="0" t="str">
        <f aca="false">IF(资金日记账!$E481="","",资金日记账!$E481)</f>
        <v/>
      </c>
      <c r="B783" s="0" t="n">
        <f aca="false">IF(A783="",0,IF(MATCH(A783,$A$4:$A$1925,0)=ROW()-3,1,0))</f>
        <v>0</v>
      </c>
      <c r="C783" s="0" t="n">
        <f aca="false">N(C782)+B783</f>
        <v>11</v>
      </c>
      <c r="G783" s="0" t="n">
        <f aca="false">IF(OR($G$1="",对账补充行!$C176="",对账补充行!$C176&lt;&gt;$G$1),0,IF(NOT(OR(N(对账补充行!$H176)&lt;&gt;0,N(对账补充行!$I176)&lt;&gt;0)),0,IF(对账补充行!$B176="",1,IF(OR(N(对账补充行!$B176)&lt;$H$1,N(对账补充行!$B176)&gt;$I$1),0,1))))</f>
        <v>0</v>
      </c>
      <c r="H783" s="0" t="n">
        <f aca="false">N(H782)+$G783</f>
        <v>3</v>
      </c>
      <c r="I783" s="0" t="str">
        <f aca="false">IF($G783=0,"",IF(对账补充行!$B176=0,"",对账补充行!$B176))</f>
        <v/>
      </c>
      <c r="J783" s="0" t="str">
        <f aca="false">IF($G783=0,"",IF(对账补充行!$D176=0,"",对账补充行!$D176))</f>
        <v/>
      </c>
      <c r="K783" s="0" t="str">
        <f aca="false">IF($G783=0,"",IF(对账补充行!$E176=0,"",对账补充行!$E176))</f>
        <v/>
      </c>
      <c r="L783" s="0" t="str">
        <f aca="false">IF($G783=0,"",IF(对账补充行!$F176=0,"",对账补充行!$F176))</f>
        <v/>
      </c>
      <c r="M783" s="0" t="str">
        <f aca="false">IF($G783=0,"",IF(对账补充行!$G176=0,"",对账补充行!$G176))</f>
        <v/>
      </c>
      <c r="N783" s="0" t="str">
        <f aca="false">IF($G783=0,"",IF(对账补充行!$H176=0,"",对账补充行!$H176))</f>
        <v/>
      </c>
      <c r="O783" s="0" t="str">
        <f aca="false">IF($G783=0,"",IF(对账补充行!$I176=0,"",对账补充行!$I176))</f>
        <v/>
      </c>
      <c r="P783" s="0" t="str">
        <f aca="false">IF($G783=0,"",IF(对账补充行!$J176=0,"",对账补充行!$J176))</f>
        <v/>
      </c>
      <c r="T783" s="0" t="str">
        <f aca="false">IF(成本费用登记表!$D183="","",成本费用登记表!$D183)</f>
        <v/>
      </c>
      <c r="U783" s="0" t="n">
        <f aca="false">IF(T783="",0,IF(MATCH(T783,$T$4:$T$903,0)=ROW()-3,1,0))</f>
        <v>0</v>
      </c>
      <c r="V783" s="0" t="n">
        <f aca="false">N(V782)+U783</f>
        <v>30</v>
      </c>
    </row>
    <row r="784" customFormat="false" ht="13.5" hidden="false" customHeight="false" outlineLevel="0" collapsed="false">
      <c r="A784" s="0" t="str">
        <f aca="false">IF(资金日记账!$E482="","",资金日记账!$E482)</f>
        <v/>
      </c>
      <c r="B784" s="0" t="n">
        <f aca="false">IF(A784="",0,IF(MATCH(A784,$A$4:$A$1925,0)=ROW()-3,1,0))</f>
        <v>0</v>
      </c>
      <c r="C784" s="0" t="n">
        <f aca="false">N(C783)+B784</f>
        <v>11</v>
      </c>
      <c r="G784" s="0" t="n">
        <f aca="false">IF(OR($G$1="",对账补充行!$C177="",对账补充行!$C177&lt;&gt;$G$1),0,IF(NOT(OR(N(对账补充行!$H177)&lt;&gt;0,N(对账补充行!$I177)&lt;&gt;0)),0,IF(对账补充行!$B177="",1,IF(OR(N(对账补充行!$B177)&lt;$H$1,N(对账补充行!$B177)&gt;$I$1),0,1))))</f>
        <v>0</v>
      </c>
      <c r="H784" s="0" t="n">
        <f aca="false">N(H783)+$G784</f>
        <v>3</v>
      </c>
      <c r="I784" s="0" t="str">
        <f aca="false">IF($G784=0,"",IF(对账补充行!$B177=0,"",对账补充行!$B177))</f>
        <v/>
      </c>
      <c r="J784" s="0" t="str">
        <f aca="false">IF($G784=0,"",IF(对账补充行!$D177=0,"",对账补充行!$D177))</f>
        <v/>
      </c>
      <c r="K784" s="0" t="str">
        <f aca="false">IF($G784=0,"",IF(对账补充行!$E177=0,"",对账补充行!$E177))</f>
        <v/>
      </c>
      <c r="L784" s="0" t="str">
        <f aca="false">IF($G784=0,"",IF(对账补充行!$F177=0,"",对账补充行!$F177))</f>
        <v/>
      </c>
      <c r="M784" s="0" t="str">
        <f aca="false">IF($G784=0,"",IF(对账补充行!$G177=0,"",对账补充行!$G177))</f>
        <v/>
      </c>
      <c r="N784" s="0" t="str">
        <f aca="false">IF($G784=0,"",IF(对账补充行!$H177=0,"",对账补充行!$H177))</f>
        <v/>
      </c>
      <c r="O784" s="0" t="str">
        <f aca="false">IF($G784=0,"",IF(对账补充行!$I177=0,"",对账补充行!$I177))</f>
        <v/>
      </c>
      <c r="P784" s="0" t="str">
        <f aca="false">IF($G784=0,"",IF(对账补充行!$J177=0,"",对账补充行!$J177))</f>
        <v/>
      </c>
      <c r="T784" s="0" t="str">
        <f aca="false">IF(成本费用登记表!$D184="","",成本费用登记表!$D184)</f>
        <v/>
      </c>
      <c r="U784" s="0" t="n">
        <f aca="false">IF(T784="",0,IF(MATCH(T784,$T$4:$T$903,0)=ROW()-3,1,0))</f>
        <v>0</v>
      </c>
      <c r="V784" s="0" t="n">
        <f aca="false">N(V783)+U784</f>
        <v>30</v>
      </c>
    </row>
    <row r="785" customFormat="false" ht="13.5" hidden="false" customHeight="false" outlineLevel="0" collapsed="false">
      <c r="A785" s="0" t="str">
        <f aca="false">IF(资金日记账!$E483="","",资金日记账!$E483)</f>
        <v/>
      </c>
      <c r="B785" s="0" t="n">
        <f aca="false">IF(A785="",0,IF(MATCH(A785,$A$4:$A$1925,0)=ROW()-3,1,0))</f>
        <v>0</v>
      </c>
      <c r="C785" s="0" t="n">
        <f aca="false">N(C784)+B785</f>
        <v>11</v>
      </c>
      <c r="G785" s="0" t="n">
        <f aca="false">IF(OR($G$1="",对账补充行!$C178="",对账补充行!$C178&lt;&gt;$G$1),0,IF(NOT(OR(N(对账补充行!$H178)&lt;&gt;0,N(对账补充行!$I178)&lt;&gt;0)),0,IF(对账补充行!$B178="",1,IF(OR(N(对账补充行!$B178)&lt;$H$1,N(对账补充行!$B178)&gt;$I$1),0,1))))</f>
        <v>0</v>
      </c>
      <c r="H785" s="0" t="n">
        <f aca="false">N(H784)+$G785</f>
        <v>3</v>
      </c>
      <c r="I785" s="0" t="str">
        <f aca="false">IF($G785=0,"",IF(对账补充行!$B178=0,"",对账补充行!$B178))</f>
        <v/>
      </c>
      <c r="J785" s="0" t="str">
        <f aca="false">IF($G785=0,"",IF(对账补充行!$D178=0,"",对账补充行!$D178))</f>
        <v/>
      </c>
      <c r="K785" s="0" t="str">
        <f aca="false">IF($G785=0,"",IF(对账补充行!$E178=0,"",对账补充行!$E178))</f>
        <v/>
      </c>
      <c r="L785" s="0" t="str">
        <f aca="false">IF($G785=0,"",IF(对账补充行!$F178=0,"",对账补充行!$F178))</f>
        <v/>
      </c>
      <c r="M785" s="0" t="str">
        <f aca="false">IF($G785=0,"",IF(对账补充行!$G178=0,"",对账补充行!$G178))</f>
        <v/>
      </c>
      <c r="N785" s="0" t="str">
        <f aca="false">IF($G785=0,"",IF(对账补充行!$H178=0,"",对账补充行!$H178))</f>
        <v/>
      </c>
      <c r="O785" s="0" t="str">
        <f aca="false">IF($G785=0,"",IF(对账补充行!$I178=0,"",对账补充行!$I178))</f>
        <v/>
      </c>
      <c r="P785" s="0" t="str">
        <f aca="false">IF($G785=0,"",IF(对账补充行!$J178=0,"",对账补充行!$J178))</f>
        <v/>
      </c>
      <c r="T785" s="0" t="str">
        <f aca="false">IF(成本费用登记表!$D185="","",成本费用登记表!$D185)</f>
        <v/>
      </c>
      <c r="U785" s="0" t="n">
        <f aca="false">IF(T785="",0,IF(MATCH(T785,$T$4:$T$903,0)=ROW()-3,1,0))</f>
        <v>0</v>
      </c>
      <c r="V785" s="0" t="n">
        <f aca="false">N(V784)+U785</f>
        <v>30</v>
      </c>
    </row>
    <row r="786" customFormat="false" ht="13.5" hidden="false" customHeight="false" outlineLevel="0" collapsed="false">
      <c r="A786" s="0" t="str">
        <f aca="false">IF(资金日记账!$E484="","",资金日记账!$E484)</f>
        <v/>
      </c>
      <c r="B786" s="0" t="n">
        <f aca="false">IF(A786="",0,IF(MATCH(A786,$A$4:$A$1925,0)=ROW()-3,1,0))</f>
        <v>0</v>
      </c>
      <c r="C786" s="0" t="n">
        <f aca="false">N(C785)+B786</f>
        <v>11</v>
      </c>
      <c r="G786" s="0" t="n">
        <f aca="false">IF(OR($G$1="",对账补充行!$C179="",对账补充行!$C179&lt;&gt;$G$1),0,IF(NOT(OR(N(对账补充行!$H179)&lt;&gt;0,N(对账补充行!$I179)&lt;&gt;0)),0,IF(对账补充行!$B179="",1,IF(OR(N(对账补充行!$B179)&lt;$H$1,N(对账补充行!$B179)&gt;$I$1),0,1))))</f>
        <v>0</v>
      </c>
      <c r="H786" s="0" t="n">
        <f aca="false">N(H785)+$G786</f>
        <v>3</v>
      </c>
      <c r="I786" s="0" t="str">
        <f aca="false">IF($G786=0,"",IF(对账补充行!$B179=0,"",对账补充行!$B179))</f>
        <v/>
      </c>
      <c r="J786" s="0" t="str">
        <f aca="false">IF($G786=0,"",IF(对账补充行!$D179=0,"",对账补充行!$D179))</f>
        <v/>
      </c>
      <c r="K786" s="0" t="str">
        <f aca="false">IF($G786=0,"",IF(对账补充行!$E179=0,"",对账补充行!$E179))</f>
        <v/>
      </c>
      <c r="L786" s="0" t="str">
        <f aca="false">IF($G786=0,"",IF(对账补充行!$F179=0,"",对账补充行!$F179))</f>
        <v/>
      </c>
      <c r="M786" s="0" t="str">
        <f aca="false">IF($G786=0,"",IF(对账补充行!$G179=0,"",对账补充行!$G179))</f>
        <v/>
      </c>
      <c r="N786" s="0" t="str">
        <f aca="false">IF($G786=0,"",IF(对账补充行!$H179=0,"",对账补充行!$H179))</f>
        <v/>
      </c>
      <c r="O786" s="0" t="str">
        <f aca="false">IF($G786=0,"",IF(对账补充行!$I179=0,"",对账补充行!$I179))</f>
        <v/>
      </c>
      <c r="P786" s="0" t="str">
        <f aca="false">IF($G786=0,"",IF(对账补充行!$J179=0,"",对账补充行!$J179))</f>
        <v/>
      </c>
      <c r="T786" s="0" t="str">
        <f aca="false">IF(成本费用登记表!$D186="","",成本费用登记表!$D186)</f>
        <v/>
      </c>
      <c r="U786" s="0" t="n">
        <f aca="false">IF(T786="",0,IF(MATCH(T786,$T$4:$T$903,0)=ROW()-3,1,0))</f>
        <v>0</v>
      </c>
      <c r="V786" s="0" t="n">
        <f aca="false">N(V785)+U786</f>
        <v>30</v>
      </c>
    </row>
    <row r="787" customFormat="false" ht="13.5" hidden="false" customHeight="false" outlineLevel="0" collapsed="false">
      <c r="A787" s="0" t="str">
        <f aca="false">IF(资金日记账!$E485="","",资金日记账!$E485)</f>
        <v/>
      </c>
      <c r="B787" s="0" t="n">
        <f aca="false">IF(A787="",0,IF(MATCH(A787,$A$4:$A$1925,0)=ROW()-3,1,0))</f>
        <v>0</v>
      </c>
      <c r="C787" s="0" t="n">
        <f aca="false">N(C786)+B787</f>
        <v>11</v>
      </c>
      <c r="G787" s="0" t="n">
        <f aca="false">IF(OR($G$1="",对账补充行!$C180="",对账补充行!$C180&lt;&gt;$G$1),0,IF(NOT(OR(N(对账补充行!$H180)&lt;&gt;0,N(对账补充行!$I180)&lt;&gt;0)),0,IF(对账补充行!$B180="",1,IF(OR(N(对账补充行!$B180)&lt;$H$1,N(对账补充行!$B180)&gt;$I$1),0,1))))</f>
        <v>0</v>
      </c>
      <c r="H787" s="0" t="n">
        <f aca="false">N(H786)+$G787</f>
        <v>3</v>
      </c>
      <c r="I787" s="0" t="str">
        <f aca="false">IF($G787=0,"",IF(对账补充行!$B180=0,"",对账补充行!$B180))</f>
        <v/>
      </c>
      <c r="J787" s="0" t="str">
        <f aca="false">IF($G787=0,"",IF(对账补充行!$D180=0,"",对账补充行!$D180))</f>
        <v/>
      </c>
      <c r="K787" s="0" t="str">
        <f aca="false">IF($G787=0,"",IF(对账补充行!$E180=0,"",对账补充行!$E180))</f>
        <v/>
      </c>
      <c r="L787" s="0" t="str">
        <f aca="false">IF($G787=0,"",IF(对账补充行!$F180=0,"",对账补充行!$F180))</f>
        <v/>
      </c>
      <c r="M787" s="0" t="str">
        <f aca="false">IF($G787=0,"",IF(对账补充行!$G180=0,"",对账补充行!$G180))</f>
        <v/>
      </c>
      <c r="N787" s="0" t="str">
        <f aca="false">IF($G787=0,"",IF(对账补充行!$H180=0,"",对账补充行!$H180))</f>
        <v/>
      </c>
      <c r="O787" s="0" t="str">
        <f aca="false">IF($G787=0,"",IF(对账补充行!$I180=0,"",对账补充行!$I180))</f>
        <v/>
      </c>
      <c r="P787" s="0" t="str">
        <f aca="false">IF($G787=0,"",IF(对账补充行!$J180=0,"",对账补充行!$J180))</f>
        <v/>
      </c>
      <c r="T787" s="0" t="str">
        <f aca="false">IF(成本费用登记表!$D187="","",成本费用登记表!$D187)</f>
        <v/>
      </c>
      <c r="U787" s="0" t="n">
        <f aca="false">IF(T787="",0,IF(MATCH(T787,$T$4:$T$903,0)=ROW()-3,1,0))</f>
        <v>0</v>
      </c>
      <c r="V787" s="0" t="n">
        <f aca="false">N(V786)+U787</f>
        <v>30</v>
      </c>
    </row>
    <row r="788" customFormat="false" ht="13.5" hidden="false" customHeight="false" outlineLevel="0" collapsed="false">
      <c r="A788" s="0" t="str">
        <f aca="false">IF(资金日记账!$E486="","",资金日记账!$E486)</f>
        <v/>
      </c>
      <c r="B788" s="0" t="n">
        <f aca="false">IF(A788="",0,IF(MATCH(A788,$A$4:$A$1925,0)=ROW()-3,1,0))</f>
        <v>0</v>
      </c>
      <c r="C788" s="0" t="n">
        <f aca="false">N(C787)+B788</f>
        <v>11</v>
      </c>
      <c r="G788" s="0" t="n">
        <f aca="false">IF(OR($G$1="",对账补充行!$C181="",对账补充行!$C181&lt;&gt;$G$1),0,IF(NOT(OR(N(对账补充行!$H181)&lt;&gt;0,N(对账补充行!$I181)&lt;&gt;0)),0,IF(对账补充行!$B181="",1,IF(OR(N(对账补充行!$B181)&lt;$H$1,N(对账补充行!$B181)&gt;$I$1),0,1))))</f>
        <v>0</v>
      </c>
      <c r="H788" s="0" t="n">
        <f aca="false">N(H787)+$G788</f>
        <v>3</v>
      </c>
      <c r="I788" s="0" t="str">
        <f aca="false">IF($G788=0,"",IF(对账补充行!$B181=0,"",对账补充行!$B181))</f>
        <v/>
      </c>
      <c r="J788" s="0" t="str">
        <f aca="false">IF($G788=0,"",IF(对账补充行!$D181=0,"",对账补充行!$D181))</f>
        <v/>
      </c>
      <c r="K788" s="0" t="str">
        <f aca="false">IF($G788=0,"",IF(对账补充行!$E181=0,"",对账补充行!$E181))</f>
        <v/>
      </c>
      <c r="L788" s="0" t="str">
        <f aca="false">IF($G788=0,"",IF(对账补充行!$F181=0,"",对账补充行!$F181))</f>
        <v/>
      </c>
      <c r="M788" s="0" t="str">
        <f aca="false">IF($G788=0,"",IF(对账补充行!$G181=0,"",对账补充行!$G181))</f>
        <v/>
      </c>
      <c r="N788" s="0" t="str">
        <f aca="false">IF($G788=0,"",IF(对账补充行!$H181=0,"",对账补充行!$H181))</f>
        <v/>
      </c>
      <c r="O788" s="0" t="str">
        <f aca="false">IF($G788=0,"",IF(对账补充行!$I181=0,"",对账补充行!$I181))</f>
        <v/>
      </c>
      <c r="P788" s="0" t="str">
        <f aca="false">IF($G788=0,"",IF(对账补充行!$J181=0,"",对账补充行!$J181))</f>
        <v/>
      </c>
      <c r="T788" s="0" t="str">
        <f aca="false">IF(成本费用登记表!$D188="","",成本费用登记表!$D188)</f>
        <v/>
      </c>
      <c r="U788" s="0" t="n">
        <f aca="false">IF(T788="",0,IF(MATCH(T788,$T$4:$T$903,0)=ROW()-3,1,0))</f>
        <v>0</v>
      </c>
      <c r="V788" s="0" t="n">
        <f aca="false">N(V787)+U788</f>
        <v>30</v>
      </c>
    </row>
    <row r="789" customFormat="false" ht="13.5" hidden="false" customHeight="false" outlineLevel="0" collapsed="false">
      <c r="A789" s="0" t="str">
        <f aca="false">IF(资金日记账!$E487="","",资金日记账!$E487)</f>
        <v/>
      </c>
      <c r="B789" s="0" t="n">
        <f aca="false">IF(A789="",0,IF(MATCH(A789,$A$4:$A$1925,0)=ROW()-3,1,0))</f>
        <v>0</v>
      </c>
      <c r="C789" s="0" t="n">
        <f aca="false">N(C788)+B789</f>
        <v>11</v>
      </c>
      <c r="G789" s="0" t="n">
        <f aca="false">IF(OR($G$1="",对账补充行!$C182="",对账补充行!$C182&lt;&gt;$G$1),0,IF(NOT(OR(N(对账补充行!$H182)&lt;&gt;0,N(对账补充行!$I182)&lt;&gt;0)),0,IF(对账补充行!$B182="",1,IF(OR(N(对账补充行!$B182)&lt;$H$1,N(对账补充行!$B182)&gt;$I$1),0,1))))</f>
        <v>0</v>
      </c>
      <c r="H789" s="0" t="n">
        <f aca="false">N(H788)+$G789</f>
        <v>3</v>
      </c>
      <c r="I789" s="0" t="str">
        <f aca="false">IF($G789=0,"",IF(对账补充行!$B182=0,"",对账补充行!$B182))</f>
        <v/>
      </c>
      <c r="J789" s="0" t="str">
        <f aca="false">IF($G789=0,"",IF(对账补充行!$D182=0,"",对账补充行!$D182))</f>
        <v/>
      </c>
      <c r="K789" s="0" t="str">
        <f aca="false">IF($G789=0,"",IF(对账补充行!$E182=0,"",对账补充行!$E182))</f>
        <v/>
      </c>
      <c r="L789" s="0" t="str">
        <f aca="false">IF($G789=0,"",IF(对账补充行!$F182=0,"",对账补充行!$F182))</f>
        <v/>
      </c>
      <c r="M789" s="0" t="str">
        <f aca="false">IF($G789=0,"",IF(对账补充行!$G182=0,"",对账补充行!$G182))</f>
        <v/>
      </c>
      <c r="N789" s="0" t="str">
        <f aca="false">IF($G789=0,"",IF(对账补充行!$H182=0,"",对账补充行!$H182))</f>
        <v/>
      </c>
      <c r="O789" s="0" t="str">
        <f aca="false">IF($G789=0,"",IF(对账补充行!$I182=0,"",对账补充行!$I182))</f>
        <v/>
      </c>
      <c r="P789" s="0" t="str">
        <f aca="false">IF($G789=0,"",IF(对账补充行!$J182=0,"",对账补充行!$J182))</f>
        <v/>
      </c>
      <c r="T789" s="0" t="str">
        <f aca="false">IF(成本费用登记表!$D189="","",成本费用登记表!$D189)</f>
        <v/>
      </c>
      <c r="U789" s="0" t="n">
        <f aca="false">IF(T789="",0,IF(MATCH(T789,$T$4:$T$903,0)=ROW()-3,1,0))</f>
        <v>0</v>
      </c>
      <c r="V789" s="0" t="n">
        <f aca="false">N(V788)+U789</f>
        <v>30</v>
      </c>
    </row>
    <row r="790" customFormat="false" ht="13.5" hidden="false" customHeight="false" outlineLevel="0" collapsed="false">
      <c r="A790" s="0" t="str">
        <f aca="false">IF(资金日记账!$E488="","",资金日记账!$E488)</f>
        <v/>
      </c>
      <c r="B790" s="0" t="n">
        <f aca="false">IF(A790="",0,IF(MATCH(A790,$A$4:$A$1925,0)=ROW()-3,1,0))</f>
        <v>0</v>
      </c>
      <c r="C790" s="0" t="n">
        <f aca="false">N(C789)+B790</f>
        <v>11</v>
      </c>
      <c r="G790" s="0" t="n">
        <f aca="false">IF(OR($G$1="",对账补充行!$C183="",对账补充行!$C183&lt;&gt;$G$1),0,IF(NOT(OR(N(对账补充行!$H183)&lt;&gt;0,N(对账补充行!$I183)&lt;&gt;0)),0,IF(对账补充行!$B183="",1,IF(OR(N(对账补充行!$B183)&lt;$H$1,N(对账补充行!$B183)&gt;$I$1),0,1))))</f>
        <v>0</v>
      </c>
      <c r="H790" s="0" t="n">
        <f aca="false">N(H789)+$G790</f>
        <v>3</v>
      </c>
      <c r="I790" s="0" t="str">
        <f aca="false">IF($G790=0,"",IF(对账补充行!$B183=0,"",对账补充行!$B183))</f>
        <v/>
      </c>
      <c r="J790" s="0" t="str">
        <f aca="false">IF($G790=0,"",IF(对账补充行!$D183=0,"",对账补充行!$D183))</f>
        <v/>
      </c>
      <c r="K790" s="0" t="str">
        <f aca="false">IF($G790=0,"",IF(对账补充行!$E183=0,"",对账补充行!$E183))</f>
        <v/>
      </c>
      <c r="L790" s="0" t="str">
        <f aca="false">IF($G790=0,"",IF(对账补充行!$F183=0,"",对账补充行!$F183))</f>
        <v/>
      </c>
      <c r="M790" s="0" t="str">
        <f aca="false">IF($G790=0,"",IF(对账补充行!$G183=0,"",对账补充行!$G183))</f>
        <v/>
      </c>
      <c r="N790" s="0" t="str">
        <f aca="false">IF($G790=0,"",IF(对账补充行!$H183=0,"",对账补充行!$H183))</f>
        <v/>
      </c>
      <c r="O790" s="0" t="str">
        <f aca="false">IF($G790=0,"",IF(对账补充行!$I183=0,"",对账补充行!$I183))</f>
        <v/>
      </c>
      <c r="P790" s="0" t="str">
        <f aca="false">IF($G790=0,"",IF(对账补充行!$J183=0,"",对账补充行!$J183))</f>
        <v/>
      </c>
      <c r="T790" s="0" t="str">
        <f aca="false">IF(成本费用登记表!$D190="","",成本费用登记表!$D190)</f>
        <v/>
      </c>
      <c r="U790" s="0" t="n">
        <f aca="false">IF(T790="",0,IF(MATCH(T790,$T$4:$T$903,0)=ROW()-3,1,0))</f>
        <v>0</v>
      </c>
      <c r="V790" s="0" t="n">
        <f aca="false">N(V789)+U790</f>
        <v>30</v>
      </c>
    </row>
    <row r="791" customFormat="false" ht="13.5" hidden="false" customHeight="false" outlineLevel="0" collapsed="false">
      <c r="A791" s="0" t="str">
        <f aca="false">IF(资金日记账!$E489="","",资金日记账!$E489)</f>
        <v/>
      </c>
      <c r="B791" s="0" t="n">
        <f aca="false">IF(A791="",0,IF(MATCH(A791,$A$4:$A$1925,0)=ROW()-3,1,0))</f>
        <v>0</v>
      </c>
      <c r="C791" s="0" t="n">
        <f aca="false">N(C790)+B791</f>
        <v>11</v>
      </c>
      <c r="G791" s="0" t="n">
        <f aca="false">IF(OR($G$1="",对账补充行!$C184="",对账补充行!$C184&lt;&gt;$G$1),0,IF(NOT(OR(N(对账补充行!$H184)&lt;&gt;0,N(对账补充行!$I184)&lt;&gt;0)),0,IF(对账补充行!$B184="",1,IF(OR(N(对账补充行!$B184)&lt;$H$1,N(对账补充行!$B184)&gt;$I$1),0,1))))</f>
        <v>0</v>
      </c>
      <c r="H791" s="0" t="n">
        <f aca="false">N(H790)+$G791</f>
        <v>3</v>
      </c>
      <c r="I791" s="0" t="str">
        <f aca="false">IF($G791=0,"",IF(对账补充行!$B184=0,"",对账补充行!$B184))</f>
        <v/>
      </c>
      <c r="J791" s="0" t="str">
        <f aca="false">IF($G791=0,"",IF(对账补充行!$D184=0,"",对账补充行!$D184))</f>
        <v/>
      </c>
      <c r="K791" s="0" t="str">
        <f aca="false">IF($G791=0,"",IF(对账补充行!$E184=0,"",对账补充行!$E184))</f>
        <v/>
      </c>
      <c r="L791" s="0" t="str">
        <f aca="false">IF($G791=0,"",IF(对账补充行!$F184=0,"",对账补充行!$F184))</f>
        <v/>
      </c>
      <c r="M791" s="0" t="str">
        <f aca="false">IF($G791=0,"",IF(对账补充行!$G184=0,"",对账补充行!$G184))</f>
        <v/>
      </c>
      <c r="N791" s="0" t="str">
        <f aca="false">IF($G791=0,"",IF(对账补充行!$H184=0,"",对账补充行!$H184))</f>
        <v/>
      </c>
      <c r="O791" s="0" t="str">
        <f aca="false">IF($G791=0,"",IF(对账补充行!$I184=0,"",对账补充行!$I184))</f>
        <v/>
      </c>
      <c r="P791" s="0" t="str">
        <f aca="false">IF($G791=0,"",IF(对账补充行!$J184=0,"",对账补充行!$J184))</f>
        <v/>
      </c>
      <c r="T791" s="0" t="str">
        <f aca="false">IF(成本费用登记表!$D191="","",成本费用登记表!$D191)</f>
        <v/>
      </c>
      <c r="U791" s="0" t="n">
        <f aca="false">IF(T791="",0,IF(MATCH(T791,$T$4:$T$903,0)=ROW()-3,1,0))</f>
        <v>0</v>
      </c>
      <c r="V791" s="0" t="n">
        <f aca="false">N(V790)+U791</f>
        <v>30</v>
      </c>
    </row>
    <row r="792" customFormat="false" ht="13.5" hidden="false" customHeight="false" outlineLevel="0" collapsed="false">
      <c r="A792" s="0" t="str">
        <f aca="false">IF(资金日记账!$E490="","",资金日记账!$E490)</f>
        <v/>
      </c>
      <c r="B792" s="0" t="n">
        <f aca="false">IF(A792="",0,IF(MATCH(A792,$A$4:$A$1925,0)=ROW()-3,1,0))</f>
        <v>0</v>
      </c>
      <c r="C792" s="0" t="n">
        <f aca="false">N(C791)+B792</f>
        <v>11</v>
      </c>
      <c r="G792" s="0" t="n">
        <f aca="false">IF(OR($G$1="",对账补充行!$C185="",对账补充行!$C185&lt;&gt;$G$1),0,IF(NOT(OR(N(对账补充行!$H185)&lt;&gt;0,N(对账补充行!$I185)&lt;&gt;0)),0,IF(对账补充行!$B185="",1,IF(OR(N(对账补充行!$B185)&lt;$H$1,N(对账补充行!$B185)&gt;$I$1),0,1))))</f>
        <v>0</v>
      </c>
      <c r="H792" s="0" t="n">
        <f aca="false">N(H791)+$G792</f>
        <v>3</v>
      </c>
      <c r="I792" s="0" t="str">
        <f aca="false">IF($G792=0,"",IF(对账补充行!$B185=0,"",对账补充行!$B185))</f>
        <v/>
      </c>
      <c r="J792" s="0" t="str">
        <f aca="false">IF($G792=0,"",IF(对账补充行!$D185=0,"",对账补充行!$D185))</f>
        <v/>
      </c>
      <c r="K792" s="0" t="str">
        <f aca="false">IF($G792=0,"",IF(对账补充行!$E185=0,"",对账补充行!$E185))</f>
        <v/>
      </c>
      <c r="L792" s="0" t="str">
        <f aca="false">IF($G792=0,"",IF(对账补充行!$F185=0,"",对账补充行!$F185))</f>
        <v/>
      </c>
      <c r="M792" s="0" t="str">
        <f aca="false">IF($G792=0,"",IF(对账补充行!$G185=0,"",对账补充行!$G185))</f>
        <v/>
      </c>
      <c r="N792" s="0" t="str">
        <f aca="false">IF($G792=0,"",IF(对账补充行!$H185=0,"",对账补充行!$H185))</f>
        <v/>
      </c>
      <c r="O792" s="0" t="str">
        <f aca="false">IF($G792=0,"",IF(对账补充行!$I185=0,"",对账补充行!$I185))</f>
        <v/>
      </c>
      <c r="P792" s="0" t="str">
        <f aca="false">IF($G792=0,"",IF(对账补充行!$J185=0,"",对账补充行!$J185))</f>
        <v/>
      </c>
      <c r="T792" s="0" t="str">
        <f aca="false">IF(成本费用登记表!$D192="","",成本费用登记表!$D192)</f>
        <v/>
      </c>
      <c r="U792" s="0" t="n">
        <f aca="false">IF(T792="",0,IF(MATCH(T792,$T$4:$T$903,0)=ROW()-3,1,0))</f>
        <v>0</v>
      </c>
      <c r="V792" s="0" t="n">
        <f aca="false">N(V791)+U792</f>
        <v>30</v>
      </c>
    </row>
    <row r="793" customFormat="false" ht="13.5" hidden="false" customHeight="false" outlineLevel="0" collapsed="false">
      <c r="A793" s="0" t="str">
        <f aca="false">IF(资金日记账!$E491="","",资金日记账!$E491)</f>
        <v/>
      </c>
      <c r="B793" s="0" t="n">
        <f aca="false">IF(A793="",0,IF(MATCH(A793,$A$4:$A$1925,0)=ROW()-3,1,0))</f>
        <v>0</v>
      </c>
      <c r="C793" s="0" t="n">
        <f aca="false">N(C792)+B793</f>
        <v>11</v>
      </c>
      <c r="G793" s="0" t="n">
        <f aca="false">IF(OR($G$1="",对账补充行!$C186="",对账补充行!$C186&lt;&gt;$G$1),0,IF(NOT(OR(N(对账补充行!$H186)&lt;&gt;0,N(对账补充行!$I186)&lt;&gt;0)),0,IF(对账补充行!$B186="",1,IF(OR(N(对账补充行!$B186)&lt;$H$1,N(对账补充行!$B186)&gt;$I$1),0,1))))</f>
        <v>0</v>
      </c>
      <c r="H793" s="0" t="n">
        <f aca="false">N(H792)+$G793</f>
        <v>3</v>
      </c>
      <c r="I793" s="0" t="str">
        <f aca="false">IF($G793=0,"",IF(对账补充行!$B186=0,"",对账补充行!$B186))</f>
        <v/>
      </c>
      <c r="J793" s="0" t="str">
        <f aca="false">IF($G793=0,"",IF(对账补充行!$D186=0,"",对账补充行!$D186))</f>
        <v/>
      </c>
      <c r="K793" s="0" t="str">
        <f aca="false">IF($G793=0,"",IF(对账补充行!$E186=0,"",对账补充行!$E186))</f>
        <v/>
      </c>
      <c r="L793" s="0" t="str">
        <f aca="false">IF($G793=0,"",IF(对账补充行!$F186=0,"",对账补充行!$F186))</f>
        <v/>
      </c>
      <c r="M793" s="0" t="str">
        <f aca="false">IF($G793=0,"",IF(对账补充行!$G186=0,"",对账补充行!$G186))</f>
        <v/>
      </c>
      <c r="N793" s="0" t="str">
        <f aca="false">IF($G793=0,"",IF(对账补充行!$H186=0,"",对账补充行!$H186))</f>
        <v/>
      </c>
      <c r="O793" s="0" t="str">
        <f aca="false">IF($G793=0,"",IF(对账补充行!$I186=0,"",对账补充行!$I186))</f>
        <v/>
      </c>
      <c r="P793" s="0" t="str">
        <f aca="false">IF($G793=0,"",IF(对账补充行!$J186=0,"",对账补充行!$J186))</f>
        <v/>
      </c>
      <c r="T793" s="0" t="str">
        <f aca="false">IF(成本费用登记表!$D193="","",成本费用登记表!$D193)</f>
        <v/>
      </c>
      <c r="U793" s="0" t="n">
        <f aca="false">IF(T793="",0,IF(MATCH(T793,$T$4:$T$903,0)=ROW()-3,1,0))</f>
        <v>0</v>
      </c>
      <c r="V793" s="0" t="n">
        <f aca="false">N(V792)+U793</f>
        <v>30</v>
      </c>
    </row>
    <row r="794" customFormat="false" ht="13.5" hidden="false" customHeight="false" outlineLevel="0" collapsed="false">
      <c r="A794" s="0" t="str">
        <f aca="false">IF(资金日记账!$E492="","",资金日记账!$E492)</f>
        <v/>
      </c>
      <c r="B794" s="0" t="n">
        <f aca="false">IF(A794="",0,IF(MATCH(A794,$A$4:$A$1925,0)=ROW()-3,1,0))</f>
        <v>0</v>
      </c>
      <c r="C794" s="0" t="n">
        <f aca="false">N(C793)+B794</f>
        <v>11</v>
      </c>
      <c r="G794" s="0" t="n">
        <f aca="false">IF(OR($G$1="",对账补充行!$C187="",对账补充行!$C187&lt;&gt;$G$1),0,IF(NOT(OR(N(对账补充行!$H187)&lt;&gt;0,N(对账补充行!$I187)&lt;&gt;0)),0,IF(对账补充行!$B187="",1,IF(OR(N(对账补充行!$B187)&lt;$H$1,N(对账补充行!$B187)&gt;$I$1),0,1))))</f>
        <v>0</v>
      </c>
      <c r="H794" s="0" t="n">
        <f aca="false">N(H793)+$G794</f>
        <v>3</v>
      </c>
      <c r="I794" s="0" t="str">
        <f aca="false">IF($G794=0,"",IF(对账补充行!$B187=0,"",对账补充行!$B187))</f>
        <v/>
      </c>
      <c r="J794" s="0" t="str">
        <f aca="false">IF($G794=0,"",IF(对账补充行!$D187=0,"",对账补充行!$D187))</f>
        <v/>
      </c>
      <c r="K794" s="0" t="str">
        <f aca="false">IF($G794=0,"",IF(对账补充行!$E187=0,"",对账补充行!$E187))</f>
        <v/>
      </c>
      <c r="L794" s="0" t="str">
        <f aca="false">IF($G794=0,"",IF(对账补充行!$F187=0,"",对账补充行!$F187))</f>
        <v/>
      </c>
      <c r="M794" s="0" t="str">
        <f aca="false">IF($G794=0,"",IF(对账补充行!$G187=0,"",对账补充行!$G187))</f>
        <v/>
      </c>
      <c r="N794" s="0" t="str">
        <f aca="false">IF($G794=0,"",IF(对账补充行!$H187=0,"",对账补充行!$H187))</f>
        <v/>
      </c>
      <c r="O794" s="0" t="str">
        <f aca="false">IF($G794=0,"",IF(对账补充行!$I187=0,"",对账补充行!$I187))</f>
        <v/>
      </c>
      <c r="P794" s="0" t="str">
        <f aca="false">IF($G794=0,"",IF(对账补充行!$J187=0,"",对账补充行!$J187))</f>
        <v/>
      </c>
      <c r="T794" s="0" t="str">
        <f aca="false">IF(成本费用登记表!$D194="","",成本费用登记表!$D194)</f>
        <v/>
      </c>
      <c r="U794" s="0" t="n">
        <f aca="false">IF(T794="",0,IF(MATCH(T794,$T$4:$T$903,0)=ROW()-3,1,0))</f>
        <v>0</v>
      </c>
      <c r="V794" s="0" t="n">
        <f aca="false">N(V793)+U794</f>
        <v>30</v>
      </c>
    </row>
    <row r="795" customFormat="false" ht="13.5" hidden="false" customHeight="false" outlineLevel="0" collapsed="false">
      <c r="A795" s="0" t="str">
        <f aca="false">IF(资金日记账!$E493="","",资金日记账!$E493)</f>
        <v/>
      </c>
      <c r="B795" s="0" t="n">
        <f aca="false">IF(A795="",0,IF(MATCH(A795,$A$4:$A$1925,0)=ROW()-3,1,0))</f>
        <v>0</v>
      </c>
      <c r="C795" s="0" t="n">
        <f aca="false">N(C794)+B795</f>
        <v>11</v>
      </c>
      <c r="G795" s="0" t="n">
        <f aca="false">IF(OR($G$1="",对账补充行!$C188="",对账补充行!$C188&lt;&gt;$G$1),0,IF(NOT(OR(N(对账补充行!$H188)&lt;&gt;0,N(对账补充行!$I188)&lt;&gt;0)),0,IF(对账补充行!$B188="",1,IF(OR(N(对账补充行!$B188)&lt;$H$1,N(对账补充行!$B188)&gt;$I$1),0,1))))</f>
        <v>0</v>
      </c>
      <c r="H795" s="0" t="n">
        <f aca="false">N(H794)+$G795</f>
        <v>3</v>
      </c>
      <c r="I795" s="0" t="str">
        <f aca="false">IF($G795=0,"",IF(对账补充行!$B188=0,"",对账补充行!$B188))</f>
        <v/>
      </c>
      <c r="J795" s="0" t="str">
        <f aca="false">IF($G795=0,"",IF(对账补充行!$D188=0,"",对账补充行!$D188))</f>
        <v/>
      </c>
      <c r="K795" s="0" t="str">
        <f aca="false">IF($G795=0,"",IF(对账补充行!$E188=0,"",对账补充行!$E188))</f>
        <v/>
      </c>
      <c r="L795" s="0" t="str">
        <f aca="false">IF($G795=0,"",IF(对账补充行!$F188=0,"",对账补充行!$F188))</f>
        <v/>
      </c>
      <c r="M795" s="0" t="str">
        <f aca="false">IF($G795=0,"",IF(对账补充行!$G188=0,"",对账补充行!$G188))</f>
        <v/>
      </c>
      <c r="N795" s="0" t="str">
        <f aca="false">IF($G795=0,"",IF(对账补充行!$H188=0,"",对账补充行!$H188))</f>
        <v/>
      </c>
      <c r="O795" s="0" t="str">
        <f aca="false">IF($G795=0,"",IF(对账补充行!$I188=0,"",对账补充行!$I188))</f>
        <v/>
      </c>
      <c r="P795" s="0" t="str">
        <f aca="false">IF($G795=0,"",IF(对账补充行!$J188=0,"",对账补充行!$J188))</f>
        <v/>
      </c>
      <c r="T795" s="0" t="str">
        <f aca="false">IF(成本费用登记表!$D195="","",成本费用登记表!$D195)</f>
        <v/>
      </c>
      <c r="U795" s="0" t="n">
        <f aca="false">IF(T795="",0,IF(MATCH(T795,$T$4:$T$903,0)=ROW()-3,1,0))</f>
        <v>0</v>
      </c>
      <c r="V795" s="0" t="n">
        <f aca="false">N(V794)+U795</f>
        <v>30</v>
      </c>
    </row>
    <row r="796" customFormat="false" ht="13.5" hidden="false" customHeight="false" outlineLevel="0" collapsed="false">
      <c r="A796" s="0" t="str">
        <f aca="false">IF(资金日记账!$E494="","",资金日记账!$E494)</f>
        <v/>
      </c>
      <c r="B796" s="0" t="n">
        <f aca="false">IF(A796="",0,IF(MATCH(A796,$A$4:$A$1925,0)=ROW()-3,1,0))</f>
        <v>0</v>
      </c>
      <c r="C796" s="0" t="n">
        <f aca="false">N(C795)+B796</f>
        <v>11</v>
      </c>
      <c r="G796" s="0" t="n">
        <f aca="false">IF(OR($G$1="",对账补充行!$C189="",对账补充行!$C189&lt;&gt;$G$1),0,IF(NOT(OR(N(对账补充行!$H189)&lt;&gt;0,N(对账补充行!$I189)&lt;&gt;0)),0,IF(对账补充行!$B189="",1,IF(OR(N(对账补充行!$B189)&lt;$H$1,N(对账补充行!$B189)&gt;$I$1),0,1))))</f>
        <v>0</v>
      </c>
      <c r="H796" s="0" t="n">
        <f aca="false">N(H795)+$G796</f>
        <v>3</v>
      </c>
      <c r="I796" s="0" t="str">
        <f aca="false">IF($G796=0,"",IF(对账补充行!$B189=0,"",对账补充行!$B189))</f>
        <v/>
      </c>
      <c r="J796" s="0" t="str">
        <f aca="false">IF($G796=0,"",IF(对账补充行!$D189=0,"",对账补充行!$D189))</f>
        <v/>
      </c>
      <c r="K796" s="0" t="str">
        <f aca="false">IF($G796=0,"",IF(对账补充行!$E189=0,"",对账补充行!$E189))</f>
        <v/>
      </c>
      <c r="L796" s="0" t="str">
        <f aca="false">IF($G796=0,"",IF(对账补充行!$F189=0,"",对账补充行!$F189))</f>
        <v/>
      </c>
      <c r="M796" s="0" t="str">
        <f aca="false">IF($G796=0,"",IF(对账补充行!$G189=0,"",对账补充行!$G189))</f>
        <v/>
      </c>
      <c r="N796" s="0" t="str">
        <f aca="false">IF($G796=0,"",IF(对账补充行!$H189=0,"",对账补充行!$H189))</f>
        <v/>
      </c>
      <c r="O796" s="0" t="str">
        <f aca="false">IF($G796=0,"",IF(对账补充行!$I189=0,"",对账补充行!$I189))</f>
        <v/>
      </c>
      <c r="P796" s="0" t="str">
        <f aca="false">IF($G796=0,"",IF(对账补充行!$J189=0,"",对账补充行!$J189))</f>
        <v/>
      </c>
      <c r="T796" s="0" t="str">
        <f aca="false">IF(成本费用登记表!$D196="","",成本费用登记表!$D196)</f>
        <v/>
      </c>
      <c r="U796" s="0" t="n">
        <f aca="false">IF(T796="",0,IF(MATCH(T796,$T$4:$T$903,0)=ROW()-3,1,0))</f>
        <v>0</v>
      </c>
      <c r="V796" s="0" t="n">
        <f aca="false">N(V795)+U796</f>
        <v>30</v>
      </c>
    </row>
    <row r="797" customFormat="false" ht="13.5" hidden="false" customHeight="false" outlineLevel="0" collapsed="false">
      <c r="A797" s="0" t="str">
        <f aca="false">IF(资金日记账!$E495="","",资金日记账!$E495)</f>
        <v/>
      </c>
      <c r="B797" s="0" t="n">
        <f aca="false">IF(A797="",0,IF(MATCH(A797,$A$4:$A$1925,0)=ROW()-3,1,0))</f>
        <v>0</v>
      </c>
      <c r="C797" s="0" t="n">
        <f aca="false">N(C796)+B797</f>
        <v>11</v>
      </c>
      <c r="G797" s="0" t="n">
        <f aca="false">IF(OR($G$1="",对账补充行!$C190="",对账补充行!$C190&lt;&gt;$G$1),0,IF(NOT(OR(N(对账补充行!$H190)&lt;&gt;0,N(对账补充行!$I190)&lt;&gt;0)),0,IF(对账补充行!$B190="",1,IF(OR(N(对账补充行!$B190)&lt;$H$1,N(对账补充行!$B190)&gt;$I$1),0,1))))</f>
        <v>0</v>
      </c>
      <c r="H797" s="0" t="n">
        <f aca="false">N(H796)+$G797</f>
        <v>3</v>
      </c>
      <c r="I797" s="0" t="str">
        <f aca="false">IF($G797=0,"",IF(对账补充行!$B190=0,"",对账补充行!$B190))</f>
        <v/>
      </c>
      <c r="J797" s="0" t="str">
        <f aca="false">IF($G797=0,"",IF(对账补充行!$D190=0,"",对账补充行!$D190))</f>
        <v/>
      </c>
      <c r="K797" s="0" t="str">
        <f aca="false">IF($G797=0,"",IF(对账补充行!$E190=0,"",对账补充行!$E190))</f>
        <v/>
      </c>
      <c r="L797" s="0" t="str">
        <f aca="false">IF($G797=0,"",IF(对账补充行!$F190=0,"",对账补充行!$F190))</f>
        <v/>
      </c>
      <c r="M797" s="0" t="str">
        <f aca="false">IF($G797=0,"",IF(对账补充行!$G190=0,"",对账补充行!$G190))</f>
        <v/>
      </c>
      <c r="N797" s="0" t="str">
        <f aca="false">IF($G797=0,"",IF(对账补充行!$H190=0,"",对账补充行!$H190))</f>
        <v/>
      </c>
      <c r="O797" s="0" t="str">
        <f aca="false">IF($G797=0,"",IF(对账补充行!$I190=0,"",对账补充行!$I190))</f>
        <v/>
      </c>
      <c r="P797" s="0" t="str">
        <f aca="false">IF($G797=0,"",IF(对账补充行!$J190=0,"",对账补充行!$J190))</f>
        <v/>
      </c>
      <c r="T797" s="0" t="str">
        <f aca="false">IF(成本费用登记表!$D197="","",成本费用登记表!$D197)</f>
        <v/>
      </c>
      <c r="U797" s="0" t="n">
        <f aca="false">IF(T797="",0,IF(MATCH(T797,$T$4:$T$903,0)=ROW()-3,1,0))</f>
        <v>0</v>
      </c>
      <c r="V797" s="0" t="n">
        <f aca="false">N(V796)+U797</f>
        <v>30</v>
      </c>
    </row>
    <row r="798" customFormat="false" ht="13.5" hidden="false" customHeight="false" outlineLevel="0" collapsed="false">
      <c r="A798" s="0" t="str">
        <f aca="false">IF(资金日记账!$E496="","",资金日记账!$E496)</f>
        <v/>
      </c>
      <c r="B798" s="0" t="n">
        <f aca="false">IF(A798="",0,IF(MATCH(A798,$A$4:$A$1925,0)=ROW()-3,1,0))</f>
        <v>0</v>
      </c>
      <c r="C798" s="0" t="n">
        <f aca="false">N(C797)+B798</f>
        <v>11</v>
      </c>
      <c r="G798" s="0" t="n">
        <f aca="false">IF(OR($G$1="",对账补充行!$C191="",对账补充行!$C191&lt;&gt;$G$1),0,IF(NOT(OR(N(对账补充行!$H191)&lt;&gt;0,N(对账补充行!$I191)&lt;&gt;0)),0,IF(对账补充行!$B191="",1,IF(OR(N(对账补充行!$B191)&lt;$H$1,N(对账补充行!$B191)&gt;$I$1),0,1))))</f>
        <v>0</v>
      </c>
      <c r="H798" s="0" t="n">
        <f aca="false">N(H797)+$G798</f>
        <v>3</v>
      </c>
      <c r="I798" s="0" t="str">
        <f aca="false">IF($G798=0,"",IF(对账补充行!$B191=0,"",对账补充行!$B191))</f>
        <v/>
      </c>
      <c r="J798" s="0" t="str">
        <f aca="false">IF($G798=0,"",IF(对账补充行!$D191=0,"",对账补充行!$D191))</f>
        <v/>
      </c>
      <c r="K798" s="0" t="str">
        <f aca="false">IF($G798=0,"",IF(对账补充行!$E191=0,"",对账补充行!$E191))</f>
        <v/>
      </c>
      <c r="L798" s="0" t="str">
        <f aca="false">IF($G798=0,"",IF(对账补充行!$F191=0,"",对账补充行!$F191))</f>
        <v/>
      </c>
      <c r="M798" s="0" t="str">
        <f aca="false">IF($G798=0,"",IF(对账补充行!$G191=0,"",对账补充行!$G191))</f>
        <v/>
      </c>
      <c r="N798" s="0" t="str">
        <f aca="false">IF($G798=0,"",IF(对账补充行!$H191=0,"",对账补充行!$H191))</f>
        <v/>
      </c>
      <c r="O798" s="0" t="str">
        <f aca="false">IF($G798=0,"",IF(对账补充行!$I191=0,"",对账补充行!$I191))</f>
        <v/>
      </c>
      <c r="P798" s="0" t="str">
        <f aca="false">IF($G798=0,"",IF(对账补充行!$J191=0,"",对账补充行!$J191))</f>
        <v/>
      </c>
      <c r="T798" s="0" t="str">
        <f aca="false">IF(成本费用登记表!$D198="","",成本费用登记表!$D198)</f>
        <v/>
      </c>
      <c r="U798" s="0" t="n">
        <f aca="false">IF(T798="",0,IF(MATCH(T798,$T$4:$T$903,0)=ROW()-3,1,0))</f>
        <v>0</v>
      </c>
      <c r="V798" s="0" t="n">
        <f aca="false">N(V797)+U798</f>
        <v>30</v>
      </c>
    </row>
    <row r="799" customFormat="false" ht="13.5" hidden="false" customHeight="false" outlineLevel="0" collapsed="false">
      <c r="A799" s="0" t="str">
        <f aca="false">IF(资金日记账!$E497="","",资金日记账!$E497)</f>
        <v/>
      </c>
      <c r="B799" s="0" t="n">
        <f aca="false">IF(A799="",0,IF(MATCH(A799,$A$4:$A$1925,0)=ROW()-3,1,0))</f>
        <v>0</v>
      </c>
      <c r="C799" s="0" t="n">
        <f aca="false">N(C798)+B799</f>
        <v>11</v>
      </c>
      <c r="G799" s="0" t="n">
        <f aca="false">IF(OR($G$1="",对账补充行!$C192="",对账补充行!$C192&lt;&gt;$G$1),0,IF(NOT(OR(N(对账补充行!$H192)&lt;&gt;0,N(对账补充行!$I192)&lt;&gt;0)),0,IF(对账补充行!$B192="",1,IF(OR(N(对账补充行!$B192)&lt;$H$1,N(对账补充行!$B192)&gt;$I$1),0,1))))</f>
        <v>0</v>
      </c>
      <c r="H799" s="0" t="n">
        <f aca="false">N(H798)+$G799</f>
        <v>3</v>
      </c>
      <c r="I799" s="0" t="str">
        <f aca="false">IF($G799=0,"",IF(对账补充行!$B192=0,"",对账补充行!$B192))</f>
        <v/>
      </c>
      <c r="J799" s="0" t="str">
        <f aca="false">IF($G799=0,"",IF(对账补充行!$D192=0,"",对账补充行!$D192))</f>
        <v/>
      </c>
      <c r="K799" s="0" t="str">
        <f aca="false">IF($G799=0,"",IF(对账补充行!$E192=0,"",对账补充行!$E192))</f>
        <v/>
      </c>
      <c r="L799" s="0" t="str">
        <f aca="false">IF($G799=0,"",IF(对账补充行!$F192=0,"",对账补充行!$F192))</f>
        <v/>
      </c>
      <c r="M799" s="0" t="str">
        <f aca="false">IF($G799=0,"",IF(对账补充行!$G192=0,"",对账补充行!$G192))</f>
        <v/>
      </c>
      <c r="N799" s="0" t="str">
        <f aca="false">IF($G799=0,"",IF(对账补充行!$H192=0,"",对账补充行!$H192))</f>
        <v/>
      </c>
      <c r="O799" s="0" t="str">
        <f aca="false">IF($G799=0,"",IF(对账补充行!$I192=0,"",对账补充行!$I192))</f>
        <v/>
      </c>
      <c r="P799" s="0" t="str">
        <f aca="false">IF($G799=0,"",IF(对账补充行!$J192=0,"",对账补充行!$J192))</f>
        <v/>
      </c>
      <c r="T799" s="0" t="str">
        <f aca="false">IF(成本费用登记表!$D199="","",成本费用登记表!$D199)</f>
        <v/>
      </c>
      <c r="U799" s="0" t="n">
        <f aca="false">IF(T799="",0,IF(MATCH(T799,$T$4:$T$903,0)=ROW()-3,1,0))</f>
        <v>0</v>
      </c>
      <c r="V799" s="0" t="n">
        <f aca="false">N(V798)+U799</f>
        <v>30</v>
      </c>
    </row>
    <row r="800" customFormat="false" ht="13.5" hidden="false" customHeight="false" outlineLevel="0" collapsed="false">
      <c r="A800" s="0" t="str">
        <f aca="false">IF(资金日记账!$E498="","",资金日记账!$E498)</f>
        <v/>
      </c>
      <c r="B800" s="0" t="n">
        <f aca="false">IF(A800="",0,IF(MATCH(A800,$A$4:$A$1925,0)=ROW()-3,1,0))</f>
        <v>0</v>
      </c>
      <c r="C800" s="0" t="n">
        <f aca="false">N(C799)+B800</f>
        <v>11</v>
      </c>
      <c r="G800" s="0" t="n">
        <f aca="false">IF(OR($G$1="",对账补充行!$C193="",对账补充行!$C193&lt;&gt;$G$1),0,IF(NOT(OR(N(对账补充行!$H193)&lt;&gt;0,N(对账补充行!$I193)&lt;&gt;0)),0,IF(对账补充行!$B193="",1,IF(OR(N(对账补充行!$B193)&lt;$H$1,N(对账补充行!$B193)&gt;$I$1),0,1))))</f>
        <v>0</v>
      </c>
      <c r="H800" s="0" t="n">
        <f aca="false">N(H799)+$G800</f>
        <v>3</v>
      </c>
      <c r="I800" s="0" t="str">
        <f aca="false">IF($G800=0,"",IF(对账补充行!$B193=0,"",对账补充行!$B193))</f>
        <v/>
      </c>
      <c r="J800" s="0" t="str">
        <f aca="false">IF($G800=0,"",IF(对账补充行!$D193=0,"",对账补充行!$D193))</f>
        <v/>
      </c>
      <c r="K800" s="0" t="str">
        <f aca="false">IF($G800=0,"",IF(对账补充行!$E193=0,"",对账补充行!$E193))</f>
        <v/>
      </c>
      <c r="L800" s="0" t="str">
        <f aca="false">IF($G800=0,"",IF(对账补充行!$F193=0,"",对账补充行!$F193))</f>
        <v/>
      </c>
      <c r="M800" s="0" t="str">
        <f aca="false">IF($G800=0,"",IF(对账补充行!$G193=0,"",对账补充行!$G193))</f>
        <v/>
      </c>
      <c r="N800" s="0" t="str">
        <f aca="false">IF($G800=0,"",IF(对账补充行!$H193=0,"",对账补充行!$H193))</f>
        <v/>
      </c>
      <c r="O800" s="0" t="str">
        <f aca="false">IF($G800=0,"",IF(对账补充行!$I193=0,"",对账补充行!$I193))</f>
        <v/>
      </c>
      <c r="P800" s="0" t="str">
        <f aca="false">IF($G800=0,"",IF(对账补充行!$J193=0,"",对账补充行!$J193))</f>
        <v/>
      </c>
      <c r="T800" s="0" t="str">
        <f aca="false">IF(成本费用登记表!$D200="","",成本费用登记表!$D200)</f>
        <v/>
      </c>
      <c r="U800" s="0" t="n">
        <f aca="false">IF(T800="",0,IF(MATCH(T800,$T$4:$T$903,0)=ROW()-3,1,0))</f>
        <v>0</v>
      </c>
      <c r="V800" s="0" t="n">
        <f aca="false">N(V799)+U800</f>
        <v>30</v>
      </c>
    </row>
    <row r="801" customFormat="false" ht="13.5" hidden="false" customHeight="false" outlineLevel="0" collapsed="false">
      <c r="A801" s="0" t="str">
        <f aca="false">IF(资金日记账!$E499="","",资金日记账!$E499)</f>
        <v/>
      </c>
      <c r="B801" s="0" t="n">
        <f aca="false">IF(A801="",0,IF(MATCH(A801,$A$4:$A$1925,0)=ROW()-3,1,0))</f>
        <v>0</v>
      </c>
      <c r="C801" s="0" t="n">
        <f aca="false">N(C800)+B801</f>
        <v>11</v>
      </c>
      <c r="G801" s="0" t="n">
        <f aca="false">IF(OR($G$1="",对账补充行!$C194="",对账补充行!$C194&lt;&gt;$G$1),0,IF(NOT(OR(N(对账补充行!$H194)&lt;&gt;0,N(对账补充行!$I194)&lt;&gt;0)),0,IF(对账补充行!$B194="",1,IF(OR(N(对账补充行!$B194)&lt;$H$1,N(对账补充行!$B194)&gt;$I$1),0,1))))</f>
        <v>0</v>
      </c>
      <c r="H801" s="0" t="n">
        <f aca="false">N(H800)+$G801</f>
        <v>3</v>
      </c>
      <c r="I801" s="0" t="str">
        <f aca="false">IF($G801=0,"",IF(对账补充行!$B194=0,"",对账补充行!$B194))</f>
        <v/>
      </c>
      <c r="J801" s="0" t="str">
        <f aca="false">IF($G801=0,"",IF(对账补充行!$D194=0,"",对账补充行!$D194))</f>
        <v/>
      </c>
      <c r="K801" s="0" t="str">
        <f aca="false">IF($G801=0,"",IF(对账补充行!$E194=0,"",对账补充行!$E194))</f>
        <v/>
      </c>
      <c r="L801" s="0" t="str">
        <f aca="false">IF($G801=0,"",IF(对账补充行!$F194=0,"",对账补充行!$F194))</f>
        <v/>
      </c>
      <c r="M801" s="0" t="str">
        <f aca="false">IF($G801=0,"",IF(对账补充行!$G194=0,"",对账补充行!$G194))</f>
        <v/>
      </c>
      <c r="N801" s="0" t="str">
        <f aca="false">IF($G801=0,"",IF(对账补充行!$H194=0,"",对账补充行!$H194))</f>
        <v/>
      </c>
      <c r="O801" s="0" t="str">
        <f aca="false">IF($G801=0,"",IF(对账补充行!$I194=0,"",对账补充行!$I194))</f>
        <v/>
      </c>
      <c r="P801" s="0" t="str">
        <f aca="false">IF($G801=0,"",IF(对账补充行!$J194=0,"",对账补充行!$J194))</f>
        <v/>
      </c>
      <c r="T801" s="0" t="str">
        <f aca="false">IF(成本费用登记表!$D201="","",成本费用登记表!$D201)</f>
        <v/>
      </c>
      <c r="U801" s="0" t="n">
        <f aca="false">IF(T801="",0,IF(MATCH(T801,$T$4:$T$903,0)=ROW()-3,1,0))</f>
        <v>0</v>
      </c>
      <c r="V801" s="0" t="n">
        <f aca="false">N(V800)+U801</f>
        <v>30</v>
      </c>
    </row>
    <row r="802" customFormat="false" ht="13.5" hidden="false" customHeight="false" outlineLevel="0" collapsed="false">
      <c r="A802" s="0" t="str">
        <f aca="false">IF(资金日记账!$E500="","",资金日记账!$E500)</f>
        <v/>
      </c>
      <c r="B802" s="0" t="n">
        <f aca="false">IF(A802="",0,IF(MATCH(A802,$A$4:$A$1925,0)=ROW()-3,1,0))</f>
        <v>0</v>
      </c>
      <c r="C802" s="0" t="n">
        <f aca="false">N(C801)+B802</f>
        <v>11</v>
      </c>
      <c r="G802" s="0" t="n">
        <f aca="false">IF(OR($G$1="",对账补充行!$C195="",对账补充行!$C195&lt;&gt;$G$1),0,IF(NOT(OR(N(对账补充行!$H195)&lt;&gt;0,N(对账补充行!$I195)&lt;&gt;0)),0,IF(对账补充行!$B195="",1,IF(OR(N(对账补充行!$B195)&lt;$H$1,N(对账补充行!$B195)&gt;$I$1),0,1))))</f>
        <v>0</v>
      </c>
      <c r="H802" s="0" t="n">
        <f aca="false">N(H801)+$G802</f>
        <v>3</v>
      </c>
      <c r="I802" s="0" t="str">
        <f aca="false">IF($G802=0,"",IF(对账补充行!$B195=0,"",对账补充行!$B195))</f>
        <v/>
      </c>
      <c r="J802" s="0" t="str">
        <f aca="false">IF($G802=0,"",IF(对账补充行!$D195=0,"",对账补充行!$D195))</f>
        <v/>
      </c>
      <c r="K802" s="0" t="str">
        <f aca="false">IF($G802=0,"",IF(对账补充行!$E195=0,"",对账补充行!$E195))</f>
        <v/>
      </c>
      <c r="L802" s="0" t="str">
        <f aca="false">IF($G802=0,"",IF(对账补充行!$F195=0,"",对账补充行!$F195))</f>
        <v/>
      </c>
      <c r="M802" s="0" t="str">
        <f aca="false">IF($G802=0,"",IF(对账补充行!$G195=0,"",对账补充行!$G195))</f>
        <v/>
      </c>
      <c r="N802" s="0" t="str">
        <f aca="false">IF($G802=0,"",IF(对账补充行!$H195=0,"",对账补充行!$H195))</f>
        <v/>
      </c>
      <c r="O802" s="0" t="str">
        <f aca="false">IF($G802=0,"",IF(对账补充行!$I195=0,"",对账补充行!$I195))</f>
        <v/>
      </c>
      <c r="P802" s="0" t="str">
        <f aca="false">IF($G802=0,"",IF(对账补充行!$J195=0,"",对账补充行!$J195))</f>
        <v/>
      </c>
      <c r="T802" s="0" t="str">
        <f aca="false">IF(成本费用登记表!$D202="","",成本费用登记表!$D202)</f>
        <v/>
      </c>
      <c r="U802" s="0" t="n">
        <f aca="false">IF(T802="",0,IF(MATCH(T802,$T$4:$T$903,0)=ROW()-3,1,0))</f>
        <v>0</v>
      </c>
      <c r="V802" s="0" t="n">
        <f aca="false">N(V801)+U802</f>
        <v>30</v>
      </c>
    </row>
    <row r="803" customFormat="false" ht="13.5" hidden="false" customHeight="false" outlineLevel="0" collapsed="false">
      <c r="A803" s="0" t="str">
        <f aca="false">IF(资金日记账!$E501="","",资金日记账!$E501)</f>
        <v/>
      </c>
      <c r="B803" s="0" t="n">
        <f aca="false">IF(A803="",0,IF(MATCH(A803,$A$4:$A$1925,0)=ROW()-3,1,0))</f>
        <v>0</v>
      </c>
      <c r="C803" s="0" t="n">
        <f aca="false">N(C802)+B803</f>
        <v>11</v>
      </c>
      <c r="G803" s="0" t="n">
        <f aca="false">IF(OR($G$1="",对账补充行!$C196="",对账补充行!$C196&lt;&gt;$G$1),0,IF(NOT(OR(N(对账补充行!$H196)&lt;&gt;0,N(对账补充行!$I196)&lt;&gt;0)),0,IF(对账补充行!$B196="",1,IF(OR(N(对账补充行!$B196)&lt;$H$1,N(对账补充行!$B196)&gt;$I$1),0,1))))</f>
        <v>0</v>
      </c>
      <c r="H803" s="0" t="n">
        <f aca="false">N(H802)+$G803</f>
        <v>3</v>
      </c>
      <c r="I803" s="0" t="str">
        <f aca="false">IF($G803=0,"",IF(对账补充行!$B196=0,"",对账补充行!$B196))</f>
        <v/>
      </c>
      <c r="J803" s="0" t="str">
        <f aca="false">IF($G803=0,"",IF(对账补充行!$D196=0,"",对账补充行!$D196))</f>
        <v/>
      </c>
      <c r="K803" s="0" t="str">
        <f aca="false">IF($G803=0,"",IF(对账补充行!$E196=0,"",对账补充行!$E196))</f>
        <v/>
      </c>
      <c r="L803" s="0" t="str">
        <f aca="false">IF($G803=0,"",IF(对账补充行!$F196=0,"",对账补充行!$F196))</f>
        <v/>
      </c>
      <c r="M803" s="0" t="str">
        <f aca="false">IF($G803=0,"",IF(对账补充行!$G196=0,"",对账补充行!$G196))</f>
        <v/>
      </c>
      <c r="N803" s="0" t="str">
        <f aca="false">IF($G803=0,"",IF(对账补充行!$H196=0,"",对账补充行!$H196))</f>
        <v/>
      </c>
      <c r="O803" s="0" t="str">
        <f aca="false">IF($G803=0,"",IF(对账补充行!$I196=0,"",对账补充行!$I196))</f>
        <v/>
      </c>
      <c r="P803" s="0" t="str">
        <f aca="false">IF($G803=0,"",IF(对账补充行!$J196=0,"",对账补充行!$J196))</f>
        <v/>
      </c>
      <c r="T803" s="0" t="str">
        <f aca="false">IF(成本费用登记表!$D203="","",成本费用登记表!$D203)</f>
        <v/>
      </c>
      <c r="U803" s="0" t="n">
        <f aca="false">IF(T803="",0,IF(MATCH(T803,$T$4:$T$903,0)=ROW()-3,1,0))</f>
        <v>0</v>
      </c>
      <c r="V803" s="0" t="n">
        <f aca="false">N(V802)+U803</f>
        <v>30</v>
      </c>
    </row>
    <row r="804" customFormat="false" ht="13.5" hidden="false" customHeight="false" outlineLevel="0" collapsed="false">
      <c r="A804" s="0" t="str">
        <f aca="false">IF(资金日记账!$E502="","",资金日记账!$E502)</f>
        <v/>
      </c>
      <c r="B804" s="0" t="n">
        <f aca="false">IF(A804="",0,IF(MATCH(A804,$A$4:$A$1925,0)=ROW()-3,1,0))</f>
        <v>0</v>
      </c>
      <c r="C804" s="0" t="n">
        <f aca="false">N(C803)+B804</f>
        <v>11</v>
      </c>
      <c r="G804" s="0" t="n">
        <f aca="false">IF(OR($G$1="",对账补充行!$C197="",对账补充行!$C197&lt;&gt;$G$1),0,IF(NOT(OR(N(对账补充行!$H197)&lt;&gt;0,N(对账补充行!$I197)&lt;&gt;0)),0,IF(对账补充行!$B197="",1,IF(OR(N(对账补充行!$B197)&lt;$H$1,N(对账补充行!$B197)&gt;$I$1),0,1))))</f>
        <v>0</v>
      </c>
      <c r="H804" s="0" t="n">
        <f aca="false">N(H803)+$G804</f>
        <v>3</v>
      </c>
      <c r="I804" s="0" t="str">
        <f aca="false">IF($G804=0,"",IF(对账补充行!$B197=0,"",对账补充行!$B197))</f>
        <v/>
      </c>
      <c r="J804" s="0" t="str">
        <f aca="false">IF($G804=0,"",IF(对账补充行!$D197=0,"",对账补充行!$D197))</f>
        <v/>
      </c>
      <c r="K804" s="0" t="str">
        <f aca="false">IF($G804=0,"",IF(对账补充行!$E197=0,"",对账补充行!$E197))</f>
        <v/>
      </c>
      <c r="L804" s="0" t="str">
        <f aca="false">IF($G804=0,"",IF(对账补充行!$F197=0,"",对账补充行!$F197))</f>
        <v/>
      </c>
      <c r="M804" s="0" t="str">
        <f aca="false">IF($G804=0,"",IF(对账补充行!$G197=0,"",对账补充行!$G197))</f>
        <v/>
      </c>
      <c r="N804" s="0" t="str">
        <f aca="false">IF($G804=0,"",IF(对账补充行!$H197=0,"",对账补充行!$H197))</f>
        <v/>
      </c>
      <c r="O804" s="0" t="str">
        <f aca="false">IF($G804=0,"",IF(对账补充行!$I197=0,"",对账补充行!$I197))</f>
        <v/>
      </c>
      <c r="P804" s="0" t="str">
        <f aca="false">IF($G804=0,"",IF(对账补充行!$J197=0,"",对账补充行!$J197))</f>
        <v/>
      </c>
      <c r="T804" s="0" t="str">
        <f aca="false">IF(成本费用登记表!$D204="","",成本费用登记表!$D204)</f>
        <v/>
      </c>
      <c r="U804" s="0" t="n">
        <f aca="false">IF(T804="",0,IF(MATCH(T804,$T$4:$T$903,0)=ROW()-3,1,0))</f>
        <v>0</v>
      </c>
      <c r="V804" s="0" t="n">
        <f aca="false">N(V803)+U804</f>
        <v>30</v>
      </c>
    </row>
    <row r="805" customFormat="false" ht="13.5" hidden="false" customHeight="false" outlineLevel="0" collapsed="false">
      <c r="A805" s="0" t="str">
        <f aca="false">IF(资金日记账!$E503="","",资金日记账!$E503)</f>
        <v/>
      </c>
      <c r="B805" s="0" t="n">
        <f aca="false">IF(A805="",0,IF(MATCH(A805,$A$4:$A$1925,0)=ROW()-3,1,0))</f>
        <v>0</v>
      </c>
      <c r="C805" s="0" t="n">
        <f aca="false">N(C804)+B805</f>
        <v>11</v>
      </c>
      <c r="G805" s="0" t="n">
        <f aca="false">IF(OR($G$1="",对账补充行!$C198="",对账补充行!$C198&lt;&gt;$G$1),0,IF(NOT(OR(N(对账补充行!$H198)&lt;&gt;0,N(对账补充行!$I198)&lt;&gt;0)),0,IF(对账补充行!$B198="",1,IF(OR(N(对账补充行!$B198)&lt;$H$1,N(对账补充行!$B198)&gt;$I$1),0,1))))</f>
        <v>0</v>
      </c>
      <c r="H805" s="0" t="n">
        <f aca="false">N(H804)+$G805</f>
        <v>3</v>
      </c>
      <c r="I805" s="0" t="str">
        <f aca="false">IF($G805=0,"",IF(对账补充行!$B198=0,"",对账补充行!$B198))</f>
        <v/>
      </c>
      <c r="J805" s="0" t="str">
        <f aca="false">IF($G805=0,"",IF(对账补充行!$D198=0,"",对账补充行!$D198))</f>
        <v/>
      </c>
      <c r="K805" s="0" t="str">
        <f aca="false">IF($G805=0,"",IF(对账补充行!$E198=0,"",对账补充行!$E198))</f>
        <v/>
      </c>
      <c r="L805" s="0" t="str">
        <f aca="false">IF($G805=0,"",IF(对账补充行!$F198=0,"",对账补充行!$F198))</f>
        <v/>
      </c>
      <c r="M805" s="0" t="str">
        <f aca="false">IF($G805=0,"",IF(对账补充行!$G198=0,"",对账补充行!$G198))</f>
        <v/>
      </c>
      <c r="N805" s="0" t="str">
        <f aca="false">IF($G805=0,"",IF(对账补充行!$H198=0,"",对账补充行!$H198))</f>
        <v/>
      </c>
      <c r="O805" s="0" t="str">
        <f aca="false">IF($G805=0,"",IF(对账补充行!$I198=0,"",对账补充行!$I198))</f>
        <v/>
      </c>
      <c r="P805" s="0" t="str">
        <f aca="false">IF($G805=0,"",IF(对账补充行!$J198=0,"",对账补充行!$J198))</f>
        <v/>
      </c>
      <c r="T805" s="0" t="str">
        <f aca="false">IF(成本费用登记表!$D205="","",成本费用登记表!$D205)</f>
        <v/>
      </c>
      <c r="U805" s="0" t="n">
        <f aca="false">IF(T805="",0,IF(MATCH(T805,$T$4:$T$903,0)=ROW()-3,1,0))</f>
        <v>0</v>
      </c>
      <c r="V805" s="0" t="n">
        <f aca="false">N(V804)+U805</f>
        <v>30</v>
      </c>
    </row>
    <row r="806" customFormat="false" ht="13.5" hidden="false" customHeight="false" outlineLevel="0" collapsed="false">
      <c r="A806" s="0" t="str">
        <f aca="false">IF(资金日记账!$E504="","",资金日记账!$E504)</f>
        <v/>
      </c>
      <c r="B806" s="0" t="n">
        <f aca="false">IF(A806="",0,IF(MATCH(A806,$A$4:$A$1925,0)=ROW()-3,1,0))</f>
        <v>0</v>
      </c>
      <c r="C806" s="0" t="n">
        <f aca="false">N(C805)+B806</f>
        <v>11</v>
      </c>
      <c r="G806" s="0" t="n">
        <f aca="false">IF(OR($G$1="",对账补充行!$C199="",对账补充行!$C199&lt;&gt;$G$1),0,IF(NOT(OR(N(对账补充行!$H199)&lt;&gt;0,N(对账补充行!$I199)&lt;&gt;0)),0,IF(对账补充行!$B199="",1,IF(OR(N(对账补充行!$B199)&lt;$H$1,N(对账补充行!$B199)&gt;$I$1),0,1))))</f>
        <v>0</v>
      </c>
      <c r="H806" s="0" t="n">
        <f aca="false">N(H805)+$G806</f>
        <v>3</v>
      </c>
      <c r="I806" s="0" t="str">
        <f aca="false">IF($G806=0,"",IF(对账补充行!$B199=0,"",对账补充行!$B199))</f>
        <v/>
      </c>
      <c r="J806" s="0" t="str">
        <f aca="false">IF($G806=0,"",IF(对账补充行!$D199=0,"",对账补充行!$D199))</f>
        <v/>
      </c>
      <c r="K806" s="0" t="str">
        <f aca="false">IF($G806=0,"",IF(对账补充行!$E199=0,"",对账补充行!$E199))</f>
        <v/>
      </c>
      <c r="L806" s="0" t="str">
        <f aca="false">IF($G806=0,"",IF(对账补充行!$F199=0,"",对账补充行!$F199))</f>
        <v/>
      </c>
      <c r="M806" s="0" t="str">
        <f aca="false">IF($G806=0,"",IF(对账补充行!$G199=0,"",对账补充行!$G199))</f>
        <v/>
      </c>
      <c r="N806" s="0" t="str">
        <f aca="false">IF($G806=0,"",IF(对账补充行!$H199=0,"",对账补充行!$H199))</f>
        <v/>
      </c>
      <c r="O806" s="0" t="str">
        <f aca="false">IF($G806=0,"",IF(对账补充行!$I199=0,"",对账补充行!$I199))</f>
        <v/>
      </c>
      <c r="P806" s="0" t="str">
        <f aca="false">IF($G806=0,"",IF(对账补充行!$J199=0,"",对账补充行!$J199))</f>
        <v/>
      </c>
      <c r="T806" s="0" t="str">
        <f aca="false">IF(成本费用登记表!$D206="","",成本费用登记表!$D206)</f>
        <v/>
      </c>
      <c r="U806" s="0" t="n">
        <f aca="false">IF(T806="",0,IF(MATCH(T806,$T$4:$T$903,0)=ROW()-3,1,0))</f>
        <v>0</v>
      </c>
      <c r="V806" s="0" t="n">
        <f aca="false">N(V805)+U806</f>
        <v>30</v>
      </c>
    </row>
    <row r="807" customFormat="false" ht="13.5" hidden="false" customHeight="false" outlineLevel="0" collapsed="false">
      <c r="A807" s="0" t="str">
        <f aca="false">IF(资金日记账!$E505="","",资金日记账!$E505)</f>
        <v/>
      </c>
      <c r="B807" s="0" t="n">
        <f aca="false">IF(A807="",0,IF(MATCH(A807,$A$4:$A$1925,0)=ROW()-3,1,0))</f>
        <v>0</v>
      </c>
      <c r="C807" s="0" t="n">
        <f aca="false">N(C806)+B807</f>
        <v>11</v>
      </c>
      <c r="G807" s="0" t="n">
        <f aca="false">IF(OR($G$1="",对账补充行!$C200="",对账补充行!$C200&lt;&gt;$G$1),0,IF(NOT(OR(N(对账补充行!$H200)&lt;&gt;0,N(对账补充行!$I200)&lt;&gt;0)),0,IF(对账补充行!$B200="",1,IF(OR(N(对账补充行!$B200)&lt;$H$1,N(对账补充行!$B200)&gt;$I$1),0,1))))</f>
        <v>0</v>
      </c>
      <c r="H807" s="0" t="n">
        <f aca="false">N(H806)+$G807</f>
        <v>3</v>
      </c>
      <c r="I807" s="0" t="str">
        <f aca="false">IF($G807=0,"",IF(对账补充行!$B200=0,"",对账补充行!$B200))</f>
        <v/>
      </c>
      <c r="J807" s="0" t="str">
        <f aca="false">IF($G807=0,"",IF(对账补充行!$D200=0,"",对账补充行!$D200))</f>
        <v/>
      </c>
      <c r="K807" s="0" t="str">
        <f aca="false">IF($G807=0,"",IF(对账补充行!$E200=0,"",对账补充行!$E200))</f>
        <v/>
      </c>
      <c r="L807" s="0" t="str">
        <f aca="false">IF($G807=0,"",IF(对账补充行!$F200=0,"",对账补充行!$F200))</f>
        <v/>
      </c>
      <c r="M807" s="0" t="str">
        <f aca="false">IF($G807=0,"",IF(对账补充行!$G200=0,"",对账补充行!$G200))</f>
        <v/>
      </c>
      <c r="N807" s="0" t="str">
        <f aca="false">IF($G807=0,"",IF(对账补充行!$H200=0,"",对账补充行!$H200))</f>
        <v/>
      </c>
      <c r="O807" s="0" t="str">
        <f aca="false">IF($G807=0,"",IF(对账补充行!$I200=0,"",对账补充行!$I200))</f>
        <v/>
      </c>
      <c r="P807" s="0" t="str">
        <f aca="false">IF($G807=0,"",IF(对账补充行!$J200=0,"",对账补充行!$J200))</f>
        <v/>
      </c>
      <c r="T807" s="0" t="str">
        <f aca="false">IF(成本费用登记表!$D207="","",成本费用登记表!$D207)</f>
        <v/>
      </c>
      <c r="U807" s="0" t="n">
        <f aca="false">IF(T807="",0,IF(MATCH(T807,$T$4:$T$903,0)=ROW()-3,1,0))</f>
        <v>0</v>
      </c>
      <c r="V807" s="0" t="n">
        <f aca="false">N(V806)+U807</f>
        <v>30</v>
      </c>
    </row>
    <row r="808" customFormat="false" ht="13.5" hidden="false" customHeight="false" outlineLevel="0" collapsed="false">
      <c r="A808" s="0" t="str">
        <f aca="false">IF(资金日记账!$E506="","",资金日记账!$E506)</f>
        <v/>
      </c>
      <c r="B808" s="0" t="n">
        <f aca="false">IF(A808="",0,IF(MATCH(A808,$A$4:$A$1925,0)=ROW()-3,1,0))</f>
        <v>0</v>
      </c>
      <c r="C808" s="0" t="n">
        <f aca="false">N(C807)+B808</f>
        <v>11</v>
      </c>
      <c r="G808" s="0" t="n">
        <f aca="false">IF(OR($G$1="",对账补充行!$C201="",对账补充行!$C201&lt;&gt;$G$1),0,IF(NOT(OR(N(对账补充行!$H201)&lt;&gt;0,N(对账补充行!$I201)&lt;&gt;0)),0,IF(对账补充行!$B201="",1,IF(OR(N(对账补充行!$B201)&lt;$H$1,N(对账补充行!$B201)&gt;$I$1),0,1))))</f>
        <v>0</v>
      </c>
      <c r="H808" s="0" t="n">
        <f aca="false">N(H807)+$G808</f>
        <v>3</v>
      </c>
      <c r="I808" s="0" t="str">
        <f aca="false">IF($G808=0,"",IF(对账补充行!$B201=0,"",对账补充行!$B201))</f>
        <v/>
      </c>
      <c r="J808" s="0" t="str">
        <f aca="false">IF($G808=0,"",IF(对账补充行!$D201=0,"",对账补充行!$D201))</f>
        <v/>
      </c>
      <c r="K808" s="0" t="str">
        <f aca="false">IF($G808=0,"",IF(对账补充行!$E201=0,"",对账补充行!$E201))</f>
        <v/>
      </c>
      <c r="L808" s="0" t="str">
        <f aca="false">IF($G808=0,"",IF(对账补充行!$F201=0,"",对账补充行!$F201))</f>
        <v/>
      </c>
      <c r="M808" s="0" t="str">
        <f aca="false">IF($G808=0,"",IF(对账补充行!$G201=0,"",对账补充行!$G201))</f>
        <v/>
      </c>
      <c r="N808" s="0" t="str">
        <f aca="false">IF($G808=0,"",IF(对账补充行!$H201=0,"",对账补充行!$H201))</f>
        <v/>
      </c>
      <c r="O808" s="0" t="str">
        <f aca="false">IF($G808=0,"",IF(对账补充行!$I201=0,"",对账补充行!$I201))</f>
        <v/>
      </c>
      <c r="P808" s="0" t="str">
        <f aca="false">IF($G808=0,"",IF(对账补充行!$J201=0,"",对账补充行!$J201))</f>
        <v/>
      </c>
      <c r="T808" s="0" t="str">
        <f aca="false">IF(成本费用登记表!$D208="","",成本费用登记表!$D208)</f>
        <v/>
      </c>
      <c r="U808" s="0" t="n">
        <f aca="false">IF(T808="",0,IF(MATCH(T808,$T$4:$T$903,0)=ROW()-3,1,0))</f>
        <v>0</v>
      </c>
      <c r="V808" s="0" t="n">
        <f aca="false">N(V807)+U808</f>
        <v>30</v>
      </c>
    </row>
    <row r="809" customFormat="false" ht="13.5" hidden="false" customHeight="false" outlineLevel="0" collapsed="false">
      <c r="A809" s="0" t="str">
        <f aca="false">IF(资金日记账!$E507="","",资金日记账!$E507)</f>
        <v/>
      </c>
      <c r="B809" s="0" t="n">
        <f aca="false">IF(A809="",0,IF(MATCH(A809,$A$4:$A$1925,0)=ROW()-3,1,0))</f>
        <v>0</v>
      </c>
      <c r="C809" s="0" t="n">
        <f aca="false">N(C808)+B809</f>
        <v>11</v>
      </c>
      <c r="G809" s="0" t="n">
        <f aca="false">IF(OR($G$1="",对账补充行!$C202="",对账补充行!$C202&lt;&gt;$G$1),0,IF(NOT(OR(N(对账补充行!$H202)&lt;&gt;0,N(对账补充行!$I202)&lt;&gt;0)),0,IF(对账补充行!$B202="",1,IF(OR(N(对账补充行!$B202)&lt;$H$1,N(对账补充行!$B202)&gt;$I$1),0,1))))</f>
        <v>0</v>
      </c>
      <c r="H809" s="0" t="n">
        <f aca="false">N(H808)+$G809</f>
        <v>3</v>
      </c>
      <c r="I809" s="0" t="str">
        <f aca="false">IF($G809=0,"",IF(对账补充行!$B202=0,"",对账补充行!$B202))</f>
        <v/>
      </c>
      <c r="J809" s="0" t="str">
        <f aca="false">IF($G809=0,"",IF(对账补充行!$D202=0,"",对账补充行!$D202))</f>
        <v/>
      </c>
      <c r="K809" s="0" t="str">
        <f aca="false">IF($G809=0,"",IF(对账补充行!$E202=0,"",对账补充行!$E202))</f>
        <v/>
      </c>
      <c r="L809" s="0" t="str">
        <f aca="false">IF($G809=0,"",IF(对账补充行!$F202=0,"",对账补充行!$F202))</f>
        <v/>
      </c>
      <c r="M809" s="0" t="str">
        <f aca="false">IF($G809=0,"",IF(对账补充行!$G202=0,"",对账补充行!$G202))</f>
        <v/>
      </c>
      <c r="N809" s="0" t="str">
        <f aca="false">IF($G809=0,"",IF(对账补充行!$H202=0,"",对账补充行!$H202))</f>
        <v/>
      </c>
      <c r="O809" s="0" t="str">
        <f aca="false">IF($G809=0,"",IF(对账补充行!$I202=0,"",对账补充行!$I202))</f>
        <v/>
      </c>
      <c r="P809" s="0" t="str">
        <f aca="false">IF($G809=0,"",IF(对账补充行!$J202=0,"",对账补充行!$J202))</f>
        <v/>
      </c>
      <c r="T809" s="0" t="str">
        <f aca="false">IF(成本费用登记表!$D209="","",成本费用登记表!$D209)</f>
        <v/>
      </c>
      <c r="U809" s="0" t="n">
        <f aca="false">IF(T809="",0,IF(MATCH(T809,$T$4:$T$903,0)=ROW()-3,1,0))</f>
        <v>0</v>
      </c>
      <c r="V809" s="0" t="n">
        <f aca="false">N(V808)+U809</f>
        <v>30</v>
      </c>
    </row>
    <row r="810" customFormat="false" ht="13.5" hidden="false" customHeight="false" outlineLevel="0" collapsed="false">
      <c r="A810" s="0" t="str">
        <f aca="false">IF(资金日记账!$E508="","",资金日记账!$E508)</f>
        <v/>
      </c>
      <c r="B810" s="0" t="n">
        <f aca="false">IF(A810="",0,IF(MATCH(A810,$A$4:$A$1925,0)=ROW()-3,1,0))</f>
        <v>0</v>
      </c>
      <c r="C810" s="0" t="n">
        <f aca="false">N(C809)+B810</f>
        <v>11</v>
      </c>
      <c r="G810" s="0" t="n">
        <f aca="false">IF(OR($G$1="",对账补充行!$C203="",对账补充行!$C203&lt;&gt;$G$1),0,IF(NOT(OR(N(对账补充行!$H203)&lt;&gt;0,N(对账补充行!$I203)&lt;&gt;0)),0,IF(对账补充行!$B203="",1,IF(OR(N(对账补充行!$B203)&lt;$H$1,N(对账补充行!$B203)&gt;$I$1),0,1))))</f>
        <v>0</v>
      </c>
      <c r="H810" s="0" t="n">
        <f aca="false">N(H809)+$G810</f>
        <v>3</v>
      </c>
      <c r="I810" s="0" t="str">
        <f aca="false">IF($G810=0,"",IF(对账补充行!$B203=0,"",对账补充行!$B203))</f>
        <v/>
      </c>
      <c r="J810" s="0" t="str">
        <f aca="false">IF($G810=0,"",IF(对账补充行!$D203=0,"",对账补充行!$D203))</f>
        <v/>
      </c>
      <c r="K810" s="0" t="str">
        <f aca="false">IF($G810=0,"",IF(对账补充行!$E203=0,"",对账补充行!$E203))</f>
        <v/>
      </c>
      <c r="L810" s="0" t="str">
        <f aca="false">IF($G810=0,"",IF(对账补充行!$F203=0,"",对账补充行!$F203))</f>
        <v/>
      </c>
      <c r="M810" s="0" t="str">
        <f aca="false">IF($G810=0,"",IF(对账补充行!$G203=0,"",对账补充行!$G203))</f>
        <v/>
      </c>
      <c r="N810" s="0" t="str">
        <f aca="false">IF($G810=0,"",IF(对账补充行!$H203=0,"",对账补充行!$H203))</f>
        <v/>
      </c>
      <c r="O810" s="0" t="str">
        <f aca="false">IF($G810=0,"",IF(对账补充行!$I203=0,"",对账补充行!$I203))</f>
        <v/>
      </c>
      <c r="P810" s="0" t="str">
        <f aca="false">IF($G810=0,"",IF(对账补充行!$J203=0,"",对账补充行!$J203))</f>
        <v/>
      </c>
      <c r="T810" s="0" t="str">
        <f aca="false">IF(成本费用登记表!$D210="","",成本费用登记表!$D210)</f>
        <v/>
      </c>
      <c r="U810" s="0" t="n">
        <f aca="false">IF(T810="",0,IF(MATCH(T810,$T$4:$T$903,0)=ROW()-3,1,0))</f>
        <v>0</v>
      </c>
      <c r="V810" s="0" t="n">
        <f aca="false">N(V809)+U810</f>
        <v>30</v>
      </c>
    </row>
    <row r="811" customFormat="false" ht="13.5" hidden="false" customHeight="false" outlineLevel="0" collapsed="false">
      <c r="A811" s="0" t="str">
        <f aca="false">IF(资金日记账!$E509="","",资金日记账!$E509)</f>
        <v/>
      </c>
      <c r="B811" s="0" t="n">
        <f aca="false">IF(A811="",0,IF(MATCH(A811,$A$4:$A$1925,0)=ROW()-3,1,0))</f>
        <v>0</v>
      </c>
      <c r="C811" s="0" t="n">
        <f aca="false">N(C810)+B811</f>
        <v>11</v>
      </c>
      <c r="G811" s="0" t="n">
        <f aca="false">IF(OR($G$1="",对账补充行!$C204="",对账补充行!$C204&lt;&gt;$G$1),0,IF(NOT(OR(N(对账补充行!$H204)&lt;&gt;0,N(对账补充行!$I204)&lt;&gt;0)),0,IF(对账补充行!$B204="",1,IF(OR(N(对账补充行!$B204)&lt;$H$1,N(对账补充行!$B204)&gt;$I$1),0,1))))</f>
        <v>0</v>
      </c>
      <c r="H811" s="0" t="n">
        <f aca="false">N(H810)+$G811</f>
        <v>3</v>
      </c>
      <c r="I811" s="0" t="str">
        <f aca="false">IF($G811=0,"",IF(对账补充行!$B204=0,"",对账补充行!$B204))</f>
        <v/>
      </c>
      <c r="J811" s="0" t="str">
        <f aca="false">IF($G811=0,"",IF(对账补充行!$D204=0,"",对账补充行!$D204))</f>
        <v/>
      </c>
      <c r="K811" s="0" t="str">
        <f aca="false">IF($G811=0,"",IF(对账补充行!$E204=0,"",对账补充行!$E204))</f>
        <v/>
      </c>
      <c r="L811" s="0" t="str">
        <f aca="false">IF($G811=0,"",IF(对账补充行!$F204=0,"",对账补充行!$F204))</f>
        <v/>
      </c>
      <c r="M811" s="0" t="str">
        <f aca="false">IF($G811=0,"",IF(对账补充行!$G204=0,"",对账补充行!$G204))</f>
        <v/>
      </c>
      <c r="N811" s="0" t="str">
        <f aca="false">IF($G811=0,"",IF(对账补充行!$H204=0,"",对账补充行!$H204))</f>
        <v/>
      </c>
      <c r="O811" s="0" t="str">
        <f aca="false">IF($G811=0,"",IF(对账补充行!$I204=0,"",对账补充行!$I204))</f>
        <v/>
      </c>
      <c r="P811" s="0" t="str">
        <f aca="false">IF($G811=0,"",IF(对账补充行!$J204=0,"",对账补充行!$J204))</f>
        <v/>
      </c>
      <c r="T811" s="0" t="str">
        <f aca="false">IF(成本费用登记表!$D211="","",成本费用登记表!$D211)</f>
        <v/>
      </c>
      <c r="U811" s="0" t="n">
        <f aca="false">IF(T811="",0,IF(MATCH(T811,$T$4:$T$903,0)=ROW()-3,1,0))</f>
        <v>0</v>
      </c>
      <c r="V811" s="0" t="n">
        <f aca="false">N(V810)+U811</f>
        <v>30</v>
      </c>
    </row>
    <row r="812" customFormat="false" ht="13.5" hidden="false" customHeight="false" outlineLevel="0" collapsed="false">
      <c r="A812" s="0" t="str">
        <f aca="false">IF(资金日记账!$E510="","",资金日记账!$E510)</f>
        <v/>
      </c>
      <c r="B812" s="0" t="n">
        <f aca="false">IF(A812="",0,IF(MATCH(A812,$A$4:$A$1925,0)=ROW()-3,1,0))</f>
        <v>0</v>
      </c>
      <c r="C812" s="0" t="n">
        <f aca="false">N(C811)+B812</f>
        <v>11</v>
      </c>
      <c r="G812" s="0" t="n">
        <f aca="false">IF(OR($G$1="",对账补充行!$C205="",对账补充行!$C205&lt;&gt;$G$1),0,IF(NOT(OR(N(对账补充行!$H205)&lt;&gt;0,N(对账补充行!$I205)&lt;&gt;0)),0,IF(对账补充行!$B205="",1,IF(OR(N(对账补充行!$B205)&lt;$H$1,N(对账补充行!$B205)&gt;$I$1),0,1))))</f>
        <v>0</v>
      </c>
      <c r="H812" s="0" t="n">
        <f aca="false">N(H811)+$G812</f>
        <v>3</v>
      </c>
      <c r="I812" s="0" t="str">
        <f aca="false">IF($G812=0,"",IF(对账补充行!$B205=0,"",对账补充行!$B205))</f>
        <v/>
      </c>
      <c r="J812" s="0" t="str">
        <f aca="false">IF($G812=0,"",IF(对账补充行!$D205=0,"",对账补充行!$D205))</f>
        <v/>
      </c>
      <c r="K812" s="0" t="str">
        <f aca="false">IF($G812=0,"",IF(对账补充行!$E205=0,"",对账补充行!$E205))</f>
        <v/>
      </c>
      <c r="L812" s="0" t="str">
        <f aca="false">IF($G812=0,"",IF(对账补充行!$F205=0,"",对账补充行!$F205))</f>
        <v/>
      </c>
      <c r="M812" s="0" t="str">
        <f aca="false">IF($G812=0,"",IF(对账补充行!$G205=0,"",对账补充行!$G205))</f>
        <v/>
      </c>
      <c r="N812" s="0" t="str">
        <f aca="false">IF($G812=0,"",IF(对账补充行!$H205=0,"",对账补充行!$H205))</f>
        <v/>
      </c>
      <c r="O812" s="0" t="str">
        <f aca="false">IF($G812=0,"",IF(对账补充行!$I205=0,"",对账补充行!$I205))</f>
        <v/>
      </c>
      <c r="P812" s="0" t="str">
        <f aca="false">IF($G812=0,"",IF(对账补充行!$J205=0,"",对账补充行!$J205))</f>
        <v/>
      </c>
      <c r="T812" s="0" t="str">
        <f aca="false">IF(成本费用登记表!$D212="","",成本费用登记表!$D212)</f>
        <v/>
      </c>
      <c r="U812" s="0" t="n">
        <f aca="false">IF(T812="",0,IF(MATCH(T812,$T$4:$T$903,0)=ROW()-3,1,0))</f>
        <v>0</v>
      </c>
      <c r="V812" s="0" t="n">
        <f aca="false">N(V811)+U812</f>
        <v>30</v>
      </c>
    </row>
    <row r="813" customFormat="false" ht="13.5" hidden="false" customHeight="false" outlineLevel="0" collapsed="false">
      <c r="A813" s="0" t="str">
        <f aca="false">IF(资金日记账!$E511="","",资金日记账!$E511)</f>
        <v/>
      </c>
      <c r="B813" s="0" t="n">
        <f aca="false">IF(A813="",0,IF(MATCH(A813,$A$4:$A$1925,0)=ROW()-3,1,0))</f>
        <v>0</v>
      </c>
      <c r="C813" s="0" t="n">
        <f aca="false">N(C812)+B813</f>
        <v>11</v>
      </c>
      <c r="G813" s="0" t="n">
        <f aca="false">IF(OR($G$1="",对账补充行!$C206="",对账补充行!$C206&lt;&gt;$G$1),0,IF(NOT(OR(N(对账补充行!$H206)&lt;&gt;0,N(对账补充行!$I206)&lt;&gt;0)),0,IF(对账补充行!$B206="",1,IF(OR(N(对账补充行!$B206)&lt;$H$1,N(对账补充行!$B206)&gt;$I$1),0,1))))</f>
        <v>0</v>
      </c>
      <c r="H813" s="0" t="n">
        <f aca="false">N(H812)+$G813</f>
        <v>3</v>
      </c>
      <c r="I813" s="0" t="str">
        <f aca="false">IF($G813=0,"",IF(对账补充行!$B206=0,"",对账补充行!$B206))</f>
        <v/>
      </c>
      <c r="J813" s="0" t="str">
        <f aca="false">IF($G813=0,"",IF(对账补充行!$D206=0,"",对账补充行!$D206))</f>
        <v/>
      </c>
      <c r="K813" s="0" t="str">
        <f aca="false">IF($G813=0,"",IF(对账补充行!$E206=0,"",对账补充行!$E206))</f>
        <v/>
      </c>
      <c r="L813" s="0" t="str">
        <f aca="false">IF($G813=0,"",IF(对账补充行!$F206=0,"",对账补充行!$F206))</f>
        <v/>
      </c>
      <c r="M813" s="0" t="str">
        <f aca="false">IF($G813=0,"",IF(对账补充行!$G206=0,"",对账补充行!$G206))</f>
        <v/>
      </c>
      <c r="N813" s="0" t="str">
        <f aca="false">IF($G813=0,"",IF(对账补充行!$H206=0,"",对账补充行!$H206))</f>
        <v/>
      </c>
      <c r="O813" s="0" t="str">
        <f aca="false">IF($G813=0,"",IF(对账补充行!$I206=0,"",对账补充行!$I206))</f>
        <v/>
      </c>
      <c r="P813" s="0" t="str">
        <f aca="false">IF($G813=0,"",IF(对账补充行!$J206=0,"",对账补充行!$J206))</f>
        <v/>
      </c>
      <c r="T813" s="0" t="str">
        <f aca="false">IF(成本费用登记表!$D213="","",成本费用登记表!$D213)</f>
        <v/>
      </c>
      <c r="U813" s="0" t="n">
        <f aca="false">IF(T813="",0,IF(MATCH(T813,$T$4:$T$903,0)=ROW()-3,1,0))</f>
        <v>0</v>
      </c>
      <c r="V813" s="0" t="n">
        <f aca="false">N(V812)+U813</f>
        <v>30</v>
      </c>
    </row>
    <row r="814" customFormat="false" ht="13.5" hidden="false" customHeight="false" outlineLevel="0" collapsed="false">
      <c r="A814" s="0" t="str">
        <f aca="false">IF(资金日记账!$E512="","",资金日记账!$E512)</f>
        <v/>
      </c>
      <c r="B814" s="0" t="n">
        <f aca="false">IF(A814="",0,IF(MATCH(A814,$A$4:$A$1925,0)=ROW()-3,1,0))</f>
        <v>0</v>
      </c>
      <c r="C814" s="0" t="n">
        <f aca="false">N(C813)+B814</f>
        <v>11</v>
      </c>
      <c r="G814" s="0" t="n">
        <f aca="false">IF(OR($G$1="",对账补充行!$C207="",对账补充行!$C207&lt;&gt;$G$1),0,IF(NOT(OR(N(对账补充行!$H207)&lt;&gt;0,N(对账补充行!$I207)&lt;&gt;0)),0,IF(对账补充行!$B207="",1,IF(OR(N(对账补充行!$B207)&lt;$H$1,N(对账补充行!$B207)&gt;$I$1),0,1))))</f>
        <v>0</v>
      </c>
      <c r="H814" s="0" t="n">
        <f aca="false">N(H813)+$G814</f>
        <v>3</v>
      </c>
      <c r="I814" s="0" t="str">
        <f aca="false">IF($G814=0,"",IF(对账补充行!$B207=0,"",对账补充行!$B207))</f>
        <v/>
      </c>
      <c r="J814" s="0" t="str">
        <f aca="false">IF($G814=0,"",IF(对账补充行!$D207=0,"",对账补充行!$D207))</f>
        <v/>
      </c>
      <c r="K814" s="0" t="str">
        <f aca="false">IF($G814=0,"",IF(对账补充行!$E207=0,"",对账补充行!$E207))</f>
        <v/>
      </c>
      <c r="L814" s="0" t="str">
        <f aca="false">IF($G814=0,"",IF(对账补充行!$F207=0,"",对账补充行!$F207))</f>
        <v/>
      </c>
      <c r="M814" s="0" t="str">
        <f aca="false">IF($G814=0,"",IF(对账补充行!$G207=0,"",对账补充行!$G207))</f>
        <v/>
      </c>
      <c r="N814" s="0" t="str">
        <f aca="false">IF($G814=0,"",IF(对账补充行!$H207=0,"",对账补充行!$H207))</f>
        <v/>
      </c>
      <c r="O814" s="0" t="str">
        <f aca="false">IF($G814=0,"",IF(对账补充行!$I207=0,"",对账补充行!$I207))</f>
        <v/>
      </c>
      <c r="P814" s="0" t="str">
        <f aca="false">IF($G814=0,"",IF(对账补充行!$J207=0,"",对账补充行!$J207))</f>
        <v/>
      </c>
      <c r="T814" s="0" t="str">
        <f aca="false">IF(成本费用登记表!$D214="","",成本费用登记表!$D214)</f>
        <v/>
      </c>
      <c r="U814" s="0" t="n">
        <f aca="false">IF(T814="",0,IF(MATCH(T814,$T$4:$T$903,0)=ROW()-3,1,0))</f>
        <v>0</v>
      </c>
      <c r="V814" s="0" t="n">
        <f aca="false">N(V813)+U814</f>
        <v>30</v>
      </c>
    </row>
    <row r="815" customFormat="false" ht="13.5" hidden="false" customHeight="false" outlineLevel="0" collapsed="false">
      <c r="A815" s="0" t="str">
        <f aca="false">IF(资金日记账!$E513="","",资金日记账!$E513)</f>
        <v/>
      </c>
      <c r="B815" s="0" t="n">
        <f aca="false">IF(A815="",0,IF(MATCH(A815,$A$4:$A$1925,0)=ROW()-3,1,0))</f>
        <v>0</v>
      </c>
      <c r="C815" s="0" t="n">
        <f aca="false">N(C814)+B815</f>
        <v>11</v>
      </c>
      <c r="G815" s="0" t="n">
        <f aca="false">IF(OR($G$1="",对账补充行!$C208="",对账补充行!$C208&lt;&gt;$G$1),0,IF(NOT(OR(N(对账补充行!$H208)&lt;&gt;0,N(对账补充行!$I208)&lt;&gt;0)),0,IF(对账补充行!$B208="",1,IF(OR(N(对账补充行!$B208)&lt;$H$1,N(对账补充行!$B208)&gt;$I$1),0,1))))</f>
        <v>0</v>
      </c>
      <c r="H815" s="0" t="n">
        <f aca="false">N(H814)+$G815</f>
        <v>3</v>
      </c>
      <c r="I815" s="0" t="str">
        <f aca="false">IF($G815=0,"",IF(对账补充行!$B208=0,"",对账补充行!$B208))</f>
        <v/>
      </c>
      <c r="J815" s="0" t="str">
        <f aca="false">IF($G815=0,"",IF(对账补充行!$D208=0,"",对账补充行!$D208))</f>
        <v/>
      </c>
      <c r="K815" s="0" t="str">
        <f aca="false">IF($G815=0,"",IF(对账补充行!$E208=0,"",对账补充行!$E208))</f>
        <v/>
      </c>
      <c r="L815" s="0" t="str">
        <f aca="false">IF($G815=0,"",IF(对账补充行!$F208=0,"",对账补充行!$F208))</f>
        <v/>
      </c>
      <c r="M815" s="0" t="str">
        <f aca="false">IF($G815=0,"",IF(对账补充行!$G208=0,"",对账补充行!$G208))</f>
        <v/>
      </c>
      <c r="N815" s="0" t="str">
        <f aca="false">IF($G815=0,"",IF(对账补充行!$H208=0,"",对账补充行!$H208))</f>
        <v/>
      </c>
      <c r="O815" s="0" t="str">
        <f aca="false">IF($G815=0,"",IF(对账补充行!$I208=0,"",对账补充行!$I208))</f>
        <v/>
      </c>
      <c r="P815" s="0" t="str">
        <f aca="false">IF($G815=0,"",IF(对账补充行!$J208=0,"",对账补充行!$J208))</f>
        <v/>
      </c>
      <c r="T815" s="0" t="str">
        <f aca="false">IF(成本费用登记表!$D215="","",成本费用登记表!$D215)</f>
        <v/>
      </c>
      <c r="U815" s="0" t="n">
        <f aca="false">IF(T815="",0,IF(MATCH(T815,$T$4:$T$903,0)=ROW()-3,1,0))</f>
        <v>0</v>
      </c>
      <c r="V815" s="0" t="n">
        <f aca="false">N(V814)+U815</f>
        <v>30</v>
      </c>
    </row>
    <row r="816" customFormat="false" ht="13.5" hidden="false" customHeight="false" outlineLevel="0" collapsed="false">
      <c r="A816" s="0" t="str">
        <f aca="false">IF(资金日记账!$E514="","",资金日记账!$E514)</f>
        <v/>
      </c>
      <c r="B816" s="0" t="n">
        <f aca="false">IF(A816="",0,IF(MATCH(A816,$A$4:$A$1925,0)=ROW()-3,1,0))</f>
        <v>0</v>
      </c>
      <c r="C816" s="0" t="n">
        <f aca="false">N(C815)+B816</f>
        <v>11</v>
      </c>
      <c r="G816" s="0" t="n">
        <f aca="false">IF(OR($G$1="",对账补充行!$C209="",对账补充行!$C209&lt;&gt;$G$1),0,IF(NOT(OR(N(对账补充行!$H209)&lt;&gt;0,N(对账补充行!$I209)&lt;&gt;0)),0,IF(对账补充行!$B209="",1,IF(OR(N(对账补充行!$B209)&lt;$H$1,N(对账补充行!$B209)&gt;$I$1),0,1))))</f>
        <v>0</v>
      </c>
      <c r="H816" s="0" t="n">
        <f aca="false">N(H815)+$G816</f>
        <v>3</v>
      </c>
      <c r="I816" s="0" t="str">
        <f aca="false">IF($G816=0,"",IF(对账补充行!$B209=0,"",对账补充行!$B209))</f>
        <v/>
      </c>
      <c r="J816" s="0" t="str">
        <f aca="false">IF($G816=0,"",IF(对账补充行!$D209=0,"",对账补充行!$D209))</f>
        <v/>
      </c>
      <c r="K816" s="0" t="str">
        <f aca="false">IF($G816=0,"",IF(对账补充行!$E209=0,"",对账补充行!$E209))</f>
        <v/>
      </c>
      <c r="L816" s="0" t="str">
        <f aca="false">IF($G816=0,"",IF(对账补充行!$F209=0,"",对账补充行!$F209))</f>
        <v/>
      </c>
      <c r="M816" s="0" t="str">
        <f aca="false">IF($G816=0,"",IF(对账补充行!$G209=0,"",对账补充行!$G209))</f>
        <v/>
      </c>
      <c r="N816" s="0" t="str">
        <f aca="false">IF($G816=0,"",IF(对账补充行!$H209=0,"",对账补充行!$H209))</f>
        <v/>
      </c>
      <c r="O816" s="0" t="str">
        <f aca="false">IF($G816=0,"",IF(对账补充行!$I209=0,"",对账补充行!$I209))</f>
        <v/>
      </c>
      <c r="P816" s="0" t="str">
        <f aca="false">IF($G816=0,"",IF(对账补充行!$J209=0,"",对账补充行!$J209))</f>
        <v/>
      </c>
      <c r="T816" s="0" t="str">
        <f aca="false">IF(成本费用登记表!$D216="","",成本费用登记表!$D216)</f>
        <v/>
      </c>
      <c r="U816" s="0" t="n">
        <f aca="false">IF(T816="",0,IF(MATCH(T816,$T$4:$T$903,0)=ROW()-3,1,0))</f>
        <v>0</v>
      </c>
      <c r="V816" s="0" t="n">
        <f aca="false">N(V815)+U816</f>
        <v>30</v>
      </c>
    </row>
    <row r="817" customFormat="false" ht="13.5" hidden="false" customHeight="false" outlineLevel="0" collapsed="false">
      <c r="A817" s="0" t="str">
        <f aca="false">IF(资金日记账!$E515="","",资金日记账!$E515)</f>
        <v/>
      </c>
      <c r="B817" s="0" t="n">
        <f aca="false">IF(A817="",0,IF(MATCH(A817,$A$4:$A$1925,0)=ROW()-3,1,0))</f>
        <v>0</v>
      </c>
      <c r="C817" s="0" t="n">
        <f aca="false">N(C816)+B817</f>
        <v>11</v>
      </c>
      <c r="G817" s="0" t="n">
        <f aca="false">IF(OR($G$1="",对账补充行!$C210="",对账补充行!$C210&lt;&gt;$G$1),0,IF(NOT(OR(N(对账补充行!$H210)&lt;&gt;0,N(对账补充行!$I210)&lt;&gt;0)),0,IF(对账补充行!$B210="",1,IF(OR(N(对账补充行!$B210)&lt;$H$1,N(对账补充行!$B210)&gt;$I$1),0,1))))</f>
        <v>0</v>
      </c>
      <c r="H817" s="0" t="n">
        <f aca="false">N(H816)+$G817</f>
        <v>3</v>
      </c>
      <c r="I817" s="0" t="str">
        <f aca="false">IF($G817=0,"",IF(对账补充行!$B210=0,"",对账补充行!$B210))</f>
        <v/>
      </c>
      <c r="J817" s="0" t="str">
        <f aca="false">IF($G817=0,"",IF(对账补充行!$D210=0,"",对账补充行!$D210))</f>
        <v/>
      </c>
      <c r="K817" s="0" t="str">
        <f aca="false">IF($G817=0,"",IF(对账补充行!$E210=0,"",对账补充行!$E210))</f>
        <v/>
      </c>
      <c r="L817" s="0" t="str">
        <f aca="false">IF($G817=0,"",IF(对账补充行!$F210=0,"",对账补充行!$F210))</f>
        <v/>
      </c>
      <c r="M817" s="0" t="str">
        <f aca="false">IF($G817=0,"",IF(对账补充行!$G210=0,"",对账补充行!$G210))</f>
        <v/>
      </c>
      <c r="N817" s="0" t="str">
        <f aca="false">IF($G817=0,"",IF(对账补充行!$H210=0,"",对账补充行!$H210))</f>
        <v/>
      </c>
      <c r="O817" s="0" t="str">
        <f aca="false">IF($G817=0,"",IF(对账补充行!$I210=0,"",对账补充行!$I210))</f>
        <v/>
      </c>
      <c r="P817" s="0" t="str">
        <f aca="false">IF($G817=0,"",IF(对账补充行!$J210=0,"",对账补充行!$J210))</f>
        <v/>
      </c>
      <c r="T817" s="0" t="str">
        <f aca="false">IF(成本费用登记表!$D217="","",成本费用登记表!$D217)</f>
        <v/>
      </c>
      <c r="U817" s="0" t="n">
        <f aca="false">IF(T817="",0,IF(MATCH(T817,$T$4:$T$903,0)=ROW()-3,1,0))</f>
        <v>0</v>
      </c>
      <c r="V817" s="0" t="n">
        <f aca="false">N(V816)+U817</f>
        <v>30</v>
      </c>
    </row>
    <row r="818" customFormat="false" ht="13.5" hidden="false" customHeight="false" outlineLevel="0" collapsed="false">
      <c r="A818" s="0" t="str">
        <f aca="false">IF(资金日记账!$E516="","",资金日记账!$E516)</f>
        <v/>
      </c>
      <c r="B818" s="0" t="n">
        <f aca="false">IF(A818="",0,IF(MATCH(A818,$A$4:$A$1925,0)=ROW()-3,1,0))</f>
        <v>0</v>
      </c>
      <c r="C818" s="0" t="n">
        <f aca="false">N(C817)+B818</f>
        <v>11</v>
      </c>
      <c r="G818" s="0" t="n">
        <f aca="false">IF(OR($G$1="",对账补充行!$C211="",对账补充行!$C211&lt;&gt;$G$1),0,IF(NOT(OR(N(对账补充行!$H211)&lt;&gt;0,N(对账补充行!$I211)&lt;&gt;0)),0,IF(对账补充行!$B211="",1,IF(OR(N(对账补充行!$B211)&lt;$H$1,N(对账补充行!$B211)&gt;$I$1),0,1))))</f>
        <v>0</v>
      </c>
      <c r="H818" s="0" t="n">
        <f aca="false">N(H817)+$G818</f>
        <v>3</v>
      </c>
      <c r="I818" s="0" t="str">
        <f aca="false">IF($G818=0,"",IF(对账补充行!$B211=0,"",对账补充行!$B211))</f>
        <v/>
      </c>
      <c r="J818" s="0" t="str">
        <f aca="false">IF($G818=0,"",IF(对账补充行!$D211=0,"",对账补充行!$D211))</f>
        <v/>
      </c>
      <c r="K818" s="0" t="str">
        <f aca="false">IF($G818=0,"",IF(对账补充行!$E211=0,"",对账补充行!$E211))</f>
        <v/>
      </c>
      <c r="L818" s="0" t="str">
        <f aca="false">IF($G818=0,"",IF(对账补充行!$F211=0,"",对账补充行!$F211))</f>
        <v/>
      </c>
      <c r="M818" s="0" t="str">
        <f aca="false">IF($G818=0,"",IF(对账补充行!$G211=0,"",对账补充行!$G211))</f>
        <v/>
      </c>
      <c r="N818" s="0" t="str">
        <f aca="false">IF($G818=0,"",IF(对账补充行!$H211=0,"",对账补充行!$H211))</f>
        <v/>
      </c>
      <c r="O818" s="0" t="str">
        <f aca="false">IF($G818=0,"",IF(对账补充行!$I211=0,"",对账补充行!$I211))</f>
        <v/>
      </c>
      <c r="P818" s="0" t="str">
        <f aca="false">IF($G818=0,"",IF(对账补充行!$J211=0,"",对账补充行!$J211))</f>
        <v/>
      </c>
      <c r="T818" s="0" t="str">
        <f aca="false">IF(成本费用登记表!$D218="","",成本费用登记表!$D218)</f>
        <v/>
      </c>
      <c r="U818" s="0" t="n">
        <f aca="false">IF(T818="",0,IF(MATCH(T818,$T$4:$T$903,0)=ROW()-3,1,0))</f>
        <v>0</v>
      </c>
      <c r="V818" s="0" t="n">
        <f aca="false">N(V817)+U818</f>
        <v>30</v>
      </c>
    </row>
    <row r="819" customFormat="false" ht="13.5" hidden="false" customHeight="false" outlineLevel="0" collapsed="false">
      <c r="A819" s="0" t="str">
        <f aca="false">IF(资金日记账!$E517="","",资金日记账!$E517)</f>
        <v/>
      </c>
      <c r="B819" s="0" t="n">
        <f aca="false">IF(A819="",0,IF(MATCH(A819,$A$4:$A$1925,0)=ROW()-3,1,0))</f>
        <v>0</v>
      </c>
      <c r="C819" s="0" t="n">
        <f aca="false">N(C818)+B819</f>
        <v>11</v>
      </c>
      <c r="G819" s="0" t="n">
        <f aca="false">IF(OR($G$1="",对账补充行!$C212="",对账补充行!$C212&lt;&gt;$G$1),0,IF(NOT(OR(N(对账补充行!$H212)&lt;&gt;0,N(对账补充行!$I212)&lt;&gt;0)),0,IF(对账补充行!$B212="",1,IF(OR(N(对账补充行!$B212)&lt;$H$1,N(对账补充行!$B212)&gt;$I$1),0,1))))</f>
        <v>0</v>
      </c>
      <c r="H819" s="0" t="n">
        <f aca="false">N(H818)+$G819</f>
        <v>3</v>
      </c>
      <c r="I819" s="0" t="str">
        <f aca="false">IF($G819=0,"",IF(对账补充行!$B212=0,"",对账补充行!$B212))</f>
        <v/>
      </c>
      <c r="J819" s="0" t="str">
        <f aca="false">IF($G819=0,"",IF(对账补充行!$D212=0,"",对账补充行!$D212))</f>
        <v/>
      </c>
      <c r="K819" s="0" t="str">
        <f aca="false">IF($G819=0,"",IF(对账补充行!$E212=0,"",对账补充行!$E212))</f>
        <v/>
      </c>
      <c r="L819" s="0" t="str">
        <f aca="false">IF($G819=0,"",IF(对账补充行!$F212=0,"",对账补充行!$F212))</f>
        <v/>
      </c>
      <c r="M819" s="0" t="str">
        <f aca="false">IF($G819=0,"",IF(对账补充行!$G212=0,"",对账补充行!$G212))</f>
        <v/>
      </c>
      <c r="N819" s="0" t="str">
        <f aca="false">IF($G819=0,"",IF(对账补充行!$H212=0,"",对账补充行!$H212))</f>
        <v/>
      </c>
      <c r="O819" s="0" t="str">
        <f aca="false">IF($G819=0,"",IF(对账补充行!$I212=0,"",对账补充行!$I212))</f>
        <v/>
      </c>
      <c r="P819" s="0" t="str">
        <f aca="false">IF($G819=0,"",IF(对账补充行!$J212=0,"",对账补充行!$J212))</f>
        <v/>
      </c>
      <c r="T819" s="0" t="str">
        <f aca="false">IF(成本费用登记表!$D219="","",成本费用登记表!$D219)</f>
        <v/>
      </c>
      <c r="U819" s="0" t="n">
        <f aca="false">IF(T819="",0,IF(MATCH(T819,$T$4:$T$903,0)=ROW()-3,1,0))</f>
        <v>0</v>
      </c>
      <c r="V819" s="0" t="n">
        <f aca="false">N(V818)+U819</f>
        <v>30</v>
      </c>
    </row>
    <row r="820" customFormat="false" ht="13.5" hidden="false" customHeight="false" outlineLevel="0" collapsed="false">
      <c r="A820" s="0" t="str">
        <f aca="false">IF(资金日记账!$E518="","",资金日记账!$E518)</f>
        <v/>
      </c>
      <c r="B820" s="0" t="n">
        <f aca="false">IF(A820="",0,IF(MATCH(A820,$A$4:$A$1925,0)=ROW()-3,1,0))</f>
        <v>0</v>
      </c>
      <c r="C820" s="0" t="n">
        <f aca="false">N(C819)+B820</f>
        <v>11</v>
      </c>
      <c r="G820" s="0" t="n">
        <f aca="false">IF(OR($G$1="",对账补充行!$C213="",对账补充行!$C213&lt;&gt;$G$1),0,IF(NOT(OR(N(对账补充行!$H213)&lt;&gt;0,N(对账补充行!$I213)&lt;&gt;0)),0,IF(对账补充行!$B213="",1,IF(OR(N(对账补充行!$B213)&lt;$H$1,N(对账补充行!$B213)&gt;$I$1),0,1))))</f>
        <v>0</v>
      </c>
      <c r="H820" s="0" t="n">
        <f aca="false">N(H819)+$G820</f>
        <v>3</v>
      </c>
      <c r="I820" s="0" t="str">
        <f aca="false">IF($G820=0,"",IF(对账补充行!$B213=0,"",对账补充行!$B213))</f>
        <v/>
      </c>
      <c r="J820" s="0" t="str">
        <f aca="false">IF($G820=0,"",IF(对账补充行!$D213=0,"",对账补充行!$D213))</f>
        <v/>
      </c>
      <c r="K820" s="0" t="str">
        <f aca="false">IF($G820=0,"",IF(对账补充行!$E213=0,"",对账补充行!$E213))</f>
        <v/>
      </c>
      <c r="L820" s="0" t="str">
        <f aca="false">IF($G820=0,"",IF(对账补充行!$F213=0,"",对账补充行!$F213))</f>
        <v/>
      </c>
      <c r="M820" s="0" t="str">
        <f aca="false">IF($G820=0,"",IF(对账补充行!$G213=0,"",对账补充行!$G213))</f>
        <v/>
      </c>
      <c r="N820" s="0" t="str">
        <f aca="false">IF($G820=0,"",IF(对账补充行!$H213=0,"",对账补充行!$H213))</f>
        <v/>
      </c>
      <c r="O820" s="0" t="str">
        <f aca="false">IF($G820=0,"",IF(对账补充行!$I213=0,"",对账补充行!$I213))</f>
        <v/>
      </c>
      <c r="P820" s="0" t="str">
        <f aca="false">IF($G820=0,"",IF(对账补充行!$J213=0,"",对账补充行!$J213))</f>
        <v/>
      </c>
      <c r="T820" s="0" t="str">
        <f aca="false">IF(成本费用登记表!$D220="","",成本费用登记表!$D220)</f>
        <v/>
      </c>
      <c r="U820" s="0" t="n">
        <f aca="false">IF(T820="",0,IF(MATCH(T820,$T$4:$T$903,0)=ROW()-3,1,0))</f>
        <v>0</v>
      </c>
      <c r="V820" s="0" t="n">
        <f aca="false">N(V819)+U820</f>
        <v>30</v>
      </c>
    </row>
    <row r="821" customFormat="false" ht="13.5" hidden="false" customHeight="false" outlineLevel="0" collapsed="false">
      <c r="A821" s="0" t="str">
        <f aca="false">IF(资金日记账!$E519="","",资金日记账!$E519)</f>
        <v/>
      </c>
      <c r="B821" s="0" t="n">
        <f aca="false">IF(A821="",0,IF(MATCH(A821,$A$4:$A$1925,0)=ROW()-3,1,0))</f>
        <v>0</v>
      </c>
      <c r="C821" s="0" t="n">
        <f aca="false">N(C820)+B821</f>
        <v>11</v>
      </c>
      <c r="G821" s="0" t="n">
        <f aca="false">IF(OR($G$1="",对账补充行!$C214="",对账补充行!$C214&lt;&gt;$G$1),0,IF(NOT(OR(N(对账补充行!$H214)&lt;&gt;0,N(对账补充行!$I214)&lt;&gt;0)),0,IF(对账补充行!$B214="",1,IF(OR(N(对账补充行!$B214)&lt;$H$1,N(对账补充行!$B214)&gt;$I$1),0,1))))</f>
        <v>0</v>
      </c>
      <c r="H821" s="0" t="n">
        <f aca="false">N(H820)+$G821</f>
        <v>3</v>
      </c>
      <c r="I821" s="0" t="str">
        <f aca="false">IF($G821=0,"",IF(对账补充行!$B214=0,"",对账补充行!$B214))</f>
        <v/>
      </c>
      <c r="J821" s="0" t="str">
        <f aca="false">IF($G821=0,"",IF(对账补充行!$D214=0,"",对账补充行!$D214))</f>
        <v/>
      </c>
      <c r="K821" s="0" t="str">
        <f aca="false">IF($G821=0,"",IF(对账补充行!$E214=0,"",对账补充行!$E214))</f>
        <v/>
      </c>
      <c r="L821" s="0" t="str">
        <f aca="false">IF($G821=0,"",IF(对账补充行!$F214=0,"",对账补充行!$F214))</f>
        <v/>
      </c>
      <c r="M821" s="0" t="str">
        <f aca="false">IF($G821=0,"",IF(对账补充行!$G214=0,"",对账补充行!$G214))</f>
        <v/>
      </c>
      <c r="N821" s="0" t="str">
        <f aca="false">IF($G821=0,"",IF(对账补充行!$H214=0,"",对账补充行!$H214))</f>
        <v/>
      </c>
      <c r="O821" s="0" t="str">
        <f aca="false">IF($G821=0,"",IF(对账补充行!$I214=0,"",对账补充行!$I214))</f>
        <v/>
      </c>
      <c r="P821" s="0" t="str">
        <f aca="false">IF($G821=0,"",IF(对账补充行!$J214=0,"",对账补充行!$J214))</f>
        <v/>
      </c>
      <c r="T821" s="0" t="str">
        <f aca="false">IF(成本费用登记表!$D221="","",成本费用登记表!$D221)</f>
        <v/>
      </c>
      <c r="U821" s="0" t="n">
        <f aca="false">IF(T821="",0,IF(MATCH(T821,$T$4:$T$903,0)=ROW()-3,1,0))</f>
        <v>0</v>
      </c>
      <c r="V821" s="0" t="n">
        <f aca="false">N(V820)+U821</f>
        <v>30</v>
      </c>
    </row>
    <row r="822" customFormat="false" ht="13.5" hidden="false" customHeight="false" outlineLevel="0" collapsed="false">
      <c r="A822" s="0" t="str">
        <f aca="false">IF(资金日记账!$E520="","",资金日记账!$E520)</f>
        <v/>
      </c>
      <c r="B822" s="0" t="n">
        <f aca="false">IF(A822="",0,IF(MATCH(A822,$A$4:$A$1925,0)=ROW()-3,1,0))</f>
        <v>0</v>
      </c>
      <c r="C822" s="0" t="n">
        <f aca="false">N(C821)+B822</f>
        <v>11</v>
      </c>
      <c r="G822" s="0" t="n">
        <f aca="false">IF(OR($G$1="",对账补充行!$C215="",对账补充行!$C215&lt;&gt;$G$1),0,IF(NOT(OR(N(对账补充行!$H215)&lt;&gt;0,N(对账补充行!$I215)&lt;&gt;0)),0,IF(对账补充行!$B215="",1,IF(OR(N(对账补充行!$B215)&lt;$H$1,N(对账补充行!$B215)&gt;$I$1),0,1))))</f>
        <v>0</v>
      </c>
      <c r="H822" s="0" t="n">
        <f aca="false">N(H821)+$G822</f>
        <v>3</v>
      </c>
      <c r="I822" s="0" t="str">
        <f aca="false">IF($G822=0,"",IF(对账补充行!$B215=0,"",对账补充行!$B215))</f>
        <v/>
      </c>
      <c r="J822" s="0" t="str">
        <f aca="false">IF($G822=0,"",IF(对账补充行!$D215=0,"",对账补充行!$D215))</f>
        <v/>
      </c>
      <c r="K822" s="0" t="str">
        <f aca="false">IF($G822=0,"",IF(对账补充行!$E215=0,"",对账补充行!$E215))</f>
        <v/>
      </c>
      <c r="L822" s="0" t="str">
        <f aca="false">IF($G822=0,"",IF(对账补充行!$F215=0,"",对账补充行!$F215))</f>
        <v/>
      </c>
      <c r="M822" s="0" t="str">
        <f aca="false">IF($G822=0,"",IF(对账补充行!$G215=0,"",对账补充行!$G215))</f>
        <v/>
      </c>
      <c r="N822" s="0" t="str">
        <f aca="false">IF($G822=0,"",IF(对账补充行!$H215=0,"",对账补充行!$H215))</f>
        <v/>
      </c>
      <c r="O822" s="0" t="str">
        <f aca="false">IF($G822=0,"",IF(对账补充行!$I215=0,"",对账补充行!$I215))</f>
        <v/>
      </c>
      <c r="P822" s="0" t="str">
        <f aca="false">IF($G822=0,"",IF(对账补充行!$J215=0,"",对账补充行!$J215))</f>
        <v/>
      </c>
      <c r="T822" s="0" t="str">
        <f aca="false">IF(成本费用登记表!$D222="","",成本费用登记表!$D222)</f>
        <v/>
      </c>
      <c r="U822" s="0" t="n">
        <f aca="false">IF(T822="",0,IF(MATCH(T822,$T$4:$T$903,0)=ROW()-3,1,0))</f>
        <v>0</v>
      </c>
      <c r="V822" s="0" t="n">
        <f aca="false">N(V821)+U822</f>
        <v>30</v>
      </c>
    </row>
    <row r="823" customFormat="false" ht="13.5" hidden="false" customHeight="false" outlineLevel="0" collapsed="false">
      <c r="A823" s="0" t="str">
        <f aca="false">IF(资金日记账!$E521="","",资金日记账!$E521)</f>
        <v/>
      </c>
      <c r="B823" s="0" t="n">
        <f aca="false">IF(A823="",0,IF(MATCH(A823,$A$4:$A$1925,0)=ROW()-3,1,0))</f>
        <v>0</v>
      </c>
      <c r="C823" s="0" t="n">
        <f aca="false">N(C822)+B823</f>
        <v>11</v>
      </c>
      <c r="G823" s="0" t="n">
        <f aca="false">IF(OR($G$1="",对账补充行!$C216="",对账补充行!$C216&lt;&gt;$G$1),0,IF(NOT(OR(N(对账补充行!$H216)&lt;&gt;0,N(对账补充行!$I216)&lt;&gt;0)),0,IF(对账补充行!$B216="",1,IF(OR(N(对账补充行!$B216)&lt;$H$1,N(对账补充行!$B216)&gt;$I$1),0,1))))</f>
        <v>0</v>
      </c>
      <c r="H823" s="0" t="n">
        <f aca="false">N(H822)+$G823</f>
        <v>3</v>
      </c>
      <c r="I823" s="0" t="str">
        <f aca="false">IF($G823=0,"",IF(对账补充行!$B216=0,"",对账补充行!$B216))</f>
        <v/>
      </c>
      <c r="J823" s="0" t="str">
        <f aca="false">IF($G823=0,"",IF(对账补充行!$D216=0,"",对账补充行!$D216))</f>
        <v/>
      </c>
      <c r="K823" s="0" t="str">
        <f aca="false">IF($G823=0,"",IF(对账补充行!$E216=0,"",对账补充行!$E216))</f>
        <v/>
      </c>
      <c r="L823" s="0" t="str">
        <f aca="false">IF($G823=0,"",IF(对账补充行!$F216=0,"",对账补充行!$F216))</f>
        <v/>
      </c>
      <c r="M823" s="0" t="str">
        <f aca="false">IF($G823=0,"",IF(对账补充行!$G216=0,"",对账补充行!$G216))</f>
        <v/>
      </c>
      <c r="N823" s="0" t="str">
        <f aca="false">IF($G823=0,"",IF(对账补充行!$H216=0,"",对账补充行!$H216))</f>
        <v/>
      </c>
      <c r="O823" s="0" t="str">
        <f aca="false">IF($G823=0,"",IF(对账补充行!$I216=0,"",对账补充行!$I216))</f>
        <v/>
      </c>
      <c r="P823" s="0" t="str">
        <f aca="false">IF($G823=0,"",IF(对账补充行!$J216=0,"",对账补充行!$J216))</f>
        <v/>
      </c>
      <c r="T823" s="0" t="str">
        <f aca="false">IF(成本费用登记表!$D223="","",成本费用登记表!$D223)</f>
        <v/>
      </c>
      <c r="U823" s="0" t="n">
        <f aca="false">IF(T823="",0,IF(MATCH(T823,$T$4:$T$903,0)=ROW()-3,1,0))</f>
        <v>0</v>
      </c>
      <c r="V823" s="0" t="n">
        <f aca="false">N(V822)+U823</f>
        <v>30</v>
      </c>
    </row>
    <row r="824" customFormat="false" ht="13.5" hidden="false" customHeight="false" outlineLevel="0" collapsed="false">
      <c r="A824" s="0" t="str">
        <f aca="false">IF(资金日记账!$E522="","",资金日记账!$E522)</f>
        <v/>
      </c>
      <c r="B824" s="0" t="n">
        <f aca="false">IF(A824="",0,IF(MATCH(A824,$A$4:$A$1925,0)=ROW()-3,1,0))</f>
        <v>0</v>
      </c>
      <c r="C824" s="0" t="n">
        <f aca="false">N(C823)+B824</f>
        <v>11</v>
      </c>
      <c r="G824" s="0" t="n">
        <f aca="false">IF(OR($G$1="",对账补充行!$C217="",对账补充行!$C217&lt;&gt;$G$1),0,IF(NOT(OR(N(对账补充行!$H217)&lt;&gt;0,N(对账补充行!$I217)&lt;&gt;0)),0,IF(对账补充行!$B217="",1,IF(OR(N(对账补充行!$B217)&lt;$H$1,N(对账补充行!$B217)&gt;$I$1),0,1))))</f>
        <v>0</v>
      </c>
      <c r="H824" s="0" t="n">
        <f aca="false">N(H823)+$G824</f>
        <v>3</v>
      </c>
      <c r="I824" s="0" t="str">
        <f aca="false">IF($G824=0,"",IF(对账补充行!$B217=0,"",对账补充行!$B217))</f>
        <v/>
      </c>
      <c r="J824" s="0" t="str">
        <f aca="false">IF($G824=0,"",IF(对账补充行!$D217=0,"",对账补充行!$D217))</f>
        <v/>
      </c>
      <c r="K824" s="0" t="str">
        <f aca="false">IF($G824=0,"",IF(对账补充行!$E217=0,"",对账补充行!$E217))</f>
        <v/>
      </c>
      <c r="L824" s="0" t="str">
        <f aca="false">IF($G824=0,"",IF(对账补充行!$F217=0,"",对账补充行!$F217))</f>
        <v/>
      </c>
      <c r="M824" s="0" t="str">
        <f aca="false">IF($G824=0,"",IF(对账补充行!$G217=0,"",对账补充行!$G217))</f>
        <v/>
      </c>
      <c r="N824" s="0" t="str">
        <f aca="false">IF($G824=0,"",IF(对账补充行!$H217=0,"",对账补充行!$H217))</f>
        <v/>
      </c>
      <c r="O824" s="0" t="str">
        <f aca="false">IF($G824=0,"",IF(对账补充行!$I217=0,"",对账补充行!$I217))</f>
        <v/>
      </c>
      <c r="P824" s="0" t="str">
        <f aca="false">IF($G824=0,"",IF(对账补充行!$J217=0,"",对账补充行!$J217))</f>
        <v/>
      </c>
      <c r="T824" s="0" t="str">
        <f aca="false">IF(成本费用登记表!$D224="","",成本费用登记表!$D224)</f>
        <v/>
      </c>
      <c r="U824" s="0" t="n">
        <f aca="false">IF(T824="",0,IF(MATCH(T824,$T$4:$T$903,0)=ROW()-3,1,0))</f>
        <v>0</v>
      </c>
      <c r="V824" s="0" t="n">
        <f aca="false">N(V823)+U824</f>
        <v>30</v>
      </c>
    </row>
    <row r="825" customFormat="false" ht="13.5" hidden="false" customHeight="false" outlineLevel="0" collapsed="false">
      <c r="A825" s="0" t="str">
        <f aca="false">IF(资金日记账!$E523="","",资金日记账!$E523)</f>
        <v/>
      </c>
      <c r="B825" s="0" t="n">
        <f aca="false">IF(A825="",0,IF(MATCH(A825,$A$4:$A$1925,0)=ROW()-3,1,0))</f>
        <v>0</v>
      </c>
      <c r="C825" s="0" t="n">
        <f aca="false">N(C824)+B825</f>
        <v>11</v>
      </c>
      <c r="G825" s="0" t="n">
        <f aca="false">IF(OR($G$1="",对账补充行!$C218="",对账补充行!$C218&lt;&gt;$G$1),0,IF(NOT(OR(N(对账补充行!$H218)&lt;&gt;0,N(对账补充行!$I218)&lt;&gt;0)),0,IF(对账补充行!$B218="",1,IF(OR(N(对账补充行!$B218)&lt;$H$1,N(对账补充行!$B218)&gt;$I$1),0,1))))</f>
        <v>0</v>
      </c>
      <c r="H825" s="0" t="n">
        <f aca="false">N(H824)+$G825</f>
        <v>3</v>
      </c>
      <c r="I825" s="0" t="str">
        <f aca="false">IF($G825=0,"",IF(对账补充行!$B218=0,"",对账补充行!$B218))</f>
        <v/>
      </c>
      <c r="J825" s="0" t="str">
        <f aca="false">IF($G825=0,"",IF(对账补充行!$D218=0,"",对账补充行!$D218))</f>
        <v/>
      </c>
      <c r="K825" s="0" t="str">
        <f aca="false">IF($G825=0,"",IF(对账补充行!$E218=0,"",对账补充行!$E218))</f>
        <v/>
      </c>
      <c r="L825" s="0" t="str">
        <f aca="false">IF($G825=0,"",IF(对账补充行!$F218=0,"",对账补充行!$F218))</f>
        <v/>
      </c>
      <c r="M825" s="0" t="str">
        <f aca="false">IF($G825=0,"",IF(对账补充行!$G218=0,"",对账补充行!$G218))</f>
        <v/>
      </c>
      <c r="N825" s="0" t="str">
        <f aca="false">IF($G825=0,"",IF(对账补充行!$H218=0,"",对账补充行!$H218))</f>
        <v/>
      </c>
      <c r="O825" s="0" t="str">
        <f aca="false">IF($G825=0,"",IF(对账补充行!$I218=0,"",对账补充行!$I218))</f>
        <v/>
      </c>
      <c r="P825" s="0" t="str">
        <f aca="false">IF($G825=0,"",IF(对账补充行!$J218=0,"",对账补充行!$J218))</f>
        <v/>
      </c>
      <c r="T825" s="0" t="str">
        <f aca="false">IF(成本费用登记表!$D225="","",成本费用登记表!$D225)</f>
        <v/>
      </c>
      <c r="U825" s="0" t="n">
        <f aca="false">IF(T825="",0,IF(MATCH(T825,$T$4:$T$903,0)=ROW()-3,1,0))</f>
        <v>0</v>
      </c>
      <c r="V825" s="0" t="n">
        <f aca="false">N(V824)+U825</f>
        <v>30</v>
      </c>
    </row>
    <row r="826" customFormat="false" ht="13.5" hidden="false" customHeight="false" outlineLevel="0" collapsed="false">
      <c r="A826" s="0" t="str">
        <f aca="false">IF(资金日记账!$E524="","",资金日记账!$E524)</f>
        <v/>
      </c>
      <c r="B826" s="0" t="n">
        <f aca="false">IF(A826="",0,IF(MATCH(A826,$A$4:$A$1925,0)=ROW()-3,1,0))</f>
        <v>0</v>
      </c>
      <c r="C826" s="0" t="n">
        <f aca="false">N(C825)+B826</f>
        <v>11</v>
      </c>
      <c r="G826" s="0" t="n">
        <f aca="false">IF(OR($G$1="",对账补充行!$C219="",对账补充行!$C219&lt;&gt;$G$1),0,IF(NOT(OR(N(对账补充行!$H219)&lt;&gt;0,N(对账补充行!$I219)&lt;&gt;0)),0,IF(对账补充行!$B219="",1,IF(OR(N(对账补充行!$B219)&lt;$H$1,N(对账补充行!$B219)&gt;$I$1),0,1))))</f>
        <v>0</v>
      </c>
      <c r="H826" s="0" t="n">
        <f aca="false">N(H825)+$G826</f>
        <v>3</v>
      </c>
      <c r="I826" s="0" t="str">
        <f aca="false">IF($G826=0,"",IF(对账补充行!$B219=0,"",对账补充行!$B219))</f>
        <v/>
      </c>
      <c r="J826" s="0" t="str">
        <f aca="false">IF($G826=0,"",IF(对账补充行!$D219=0,"",对账补充行!$D219))</f>
        <v/>
      </c>
      <c r="K826" s="0" t="str">
        <f aca="false">IF($G826=0,"",IF(对账补充行!$E219=0,"",对账补充行!$E219))</f>
        <v/>
      </c>
      <c r="L826" s="0" t="str">
        <f aca="false">IF($G826=0,"",IF(对账补充行!$F219=0,"",对账补充行!$F219))</f>
        <v/>
      </c>
      <c r="M826" s="0" t="str">
        <f aca="false">IF($G826=0,"",IF(对账补充行!$G219=0,"",对账补充行!$G219))</f>
        <v/>
      </c>
      <c r="N826" s="0" t="str">
        <f aca="false">IF($G826=0,"",IF(对账补充行!$H219=0,"",对账补充行!$H219))</f>
        <v/>
      </c>
      <c r="O826" s="0" t="str">
        <f aca="false">IF($G826=0,"",IF(对账补充行!$I219=0,"",对账补充行!$I219))</f>
        <v/>
      </c>
      <c r="P826" s="0" t="str">
        <f aca="false">IF($G826=0,"",IF(对账补充行!$J219=0,"",对账补充行!$J219))</f>
        <v/>
      </c>
      <c r="T826" s="0" t="str">
        <f aca="false">IF(成本费用登记表!$D226="","",成本费用登记表!$D226)</f>
        <v/>
      </c>
      <c r="U826" s="0" t="n">
        <f aca="false">IF(T826="",0,IF(MATCH(T826,$T$4:$T$903,0)=ROW()-3,1,0))</f>
        <v>0</v>
      </c>
      <c r="V826" s="0" t="n">
        <f aca="false">N(V825)+U826</f>
        <v>30</v>
      </c>
    </row>
    <row r="827" customFormat="false" ht="13.5" hidden="false" customHeight="false" outlineLevel="0" collapsed="false">
      <c r="A827" s="0" t="str">
        <f aca="false">IF(资金日记账!$E525="","",资金日记账!$E525)</f>
        <v/>
      </c>
      <c r="B827" s="0" t="n">
        <f aca="false">IF(A827="",0,IF(MATCH(A827,$A$4:$A$1925,0)=ROW()-3,1,0))</f>
        <v>0</v>
      </c>
      <c r="C827" s="0" t="n">
        <f aca="false">N(C826)+B827</f>
        <v>11</v>
      </c>
      <c r="G827" s="0" t="n">
        <f aca="false">IF(OR($G$1="",对账补充行!$C220="",对账补充行!$C220&lt;&gt;$G$1),0,IF(NOT(OR(N(对账补充行!$H220)&lt;&gt;0,N(对账补充行!$I220)&lt;&gt;0)),0,IF(对账补充行!$B220="",1,IF(OR(N(对账补充行!$B220)&lt;$H$1,N(对账补充行!$B220)&gt;$I$1),0,1))))</f>
        <v>0</v>
      </c>
      <c r="H827" s="0" t="n">
        <f aca="false">N(H826)+$G827</f>
        <v>3</v>
      </c>
      <c r="I827" s="0" t="str">
        <f aca="false">IF($G827=0,"",IF(对账补充行!$B220=0,"",对账补充行!$B220))</f>
        <v/>
      </c>
      <c r="J827" s="0" t="str">
        <f aca="false">IF($G827=0,"",IF(对账补充行!$D220=0,"",对账补充行!$D220))</f>
        <v/>
      </c>
      <c r="K827" s="0" t="str">
        <f aca="false">IF($G827=0,"",IF(对账补充行!$E220=0,"",对账补充行!$E220))</f>
        <v/>
      </c>
      <c r="L827" s="0" t="str">
        <f aca="false">IF($G827=0,"",IF(对账补充行!$F220=0,"",对账补充行!$F220))</f>
        <v/>
      </c>
      <c r="M827" s="0" t="str">
        <f aca="false">IF($G827=0,"",IF(对账补充行!$G220=0,"",对账补充行!$G220))</f>
        <v/>
      </c>
      <c r="N827" s="0" t="str">
        <f aca="false">IF($G827=0,"",IF(对账补充行!$H220=0,"",对账补充行!$H220))</f>
        <v/>
      </c>
      <c r="O827" s="0" t="str">
        <f aca="false">IF($G827=0,"",IF(对账补充行!$I220=0,"",对账补充行!$I220))</f>
        <v/>
      </c>
      <c r="P827" s="0" t="str">
        <f aca="false">IF($G827=0,"",IF(对账补充行!$J220=0,"",对账补充行!$J220))</f>
        <v/>
      </c>
      <c r="T827" s="0" t="str">
        <f aca="false">IF(成本费用登记表!$D227="","",成本费用登记表!$D227)</f>
        <v/>
      </c>
      <c r="U827" s="0" t="n">
        <f aca="false">IF(T827="",0,IF(MATCH(T827,$T$4:$T$903,0)=ROW()-3,1,0))</f>
        <v>0</v>
      </c>
      <c r="V827" s="0" t="n">
        <f aca="false">N(V826)+U827</f>
        <v>30</v>
      </c>
    </row>
    <row r="828" customFormat="false" ht="13.5" hidden="false" customHeight="false" outlineLevel="0" collapsed="false">
      <c r="A828" s="0" t="str">
        <f aca="false">IF(资金日记账!$E526="","",资金日记账!$E526)</f>
        <v/>
      </c>
      <c r="B828" s="0" t="n">
        <f aca="false">IF(A828="",0,IF(MATCH(A828,$A$4:$A$1925,0)=ROW()-3,1,0))</f>
        <v>0</v>
      </c>
      <c r="C828" s="0" t="n">
        <f aca="false">N(C827)+B828</f>
        <v>11</v>
      </c>
      <c r="G828" s="0" t="n">
        <f aca="false">IF(OR($G$1="",对账补充行!$C221="",对账补充行!$C221&lt;&gt;$G$1),0,IF(NOT(OR(N(对账补充行!$H221)&lt;&gt;0,N(对账补充行!$I221)&lt;&gt;0)),0,IF(对账补充行!$B221="",1,IF(OR(N(对账补充行!$B221)&lt;$H$1,N(对账补充行!$B221)&gt;$I$1),0,1))))</f>
        <v>0</v>
      </c>
      <c r="H828" s="0" t="n">
        <f aca="false">N(H827)+$G828</f>
        <v>3</v>
      </c>
      <c r="I828" s="0" t="str">
        <f aca="false">IF($G828=0,"",IF(对账补充行!$B221=0,"",对账补充行!$B221))</f>
        <v/>
      </c>
      <c r="J828" s="0" t="str">
        <f aca="false">IF($G828=0,"",IF(对账补充行!$D221=0,"",对账补充行!$D221))</f>
        <v/>
      </c>
      <c r="K828" s="0" t="str">
        <f aca="false">IF($G828=0,"",IF(对账补充行!$E221=0,"",对账补充行!$E221))</f>
        <v/>
      </c>
      <c r="L828" s="0" t="str">
        <f aca="false">IF($G828=0,"",IF(对账补充行!$F221=0,"",对账补充行!$F221))</f>
        <v/>
      </c>
      <c r="M828" s="0" t="str">
        <f aca="false">IF($G828=0,"",IF(对账补充行!$G221=0,"",对账补充行!$G221))</f>
        <v/>
      </c>
      <c r="N828" s="0" t="str">
        <f aca="false">IF($G828=0,"",IF(对账补充行!$H221=0,"",对账补充行!$H221))</f>
        <v/>
      </c>
      <c r="O828" s="0" t="str">
        <f aca="false">IF($G828=0,"",IF(对账补充行!$I221=0,"",对账补充行!$I221))</f>
        <v/>
      </c>
      <c r="P828" s="0" t="str">
        <f aca="false">IF($G828=0,"",IF(对账补充行!$J221=0,"",对账补充行!$J221))</f>
        <v/>
      </c>
      <c r="T828" s="0" t="str">
        <f aca="false">IF(成本费用登记表!$D228="","",成本费用登记表!$D228)</f>
        <v/>
      </c>
      <c r="U828" s="0" t="n">
        <f aca="false">IF(T828="",0,IF(MATCH(T828,$T$4:$T$903,0)=ROW()-3,1,0))</f>
        <v>0</v>
      </c>
      <c r="V828" s="0" t="n">
        <f aca="false">N(V827)+U828</f>
        <v>30</v>
      </c>
    </row>
    <row r="829" customFormat="false" ht="13.5" hidden="false" customHeight="false" outlineLevel="0" collapsed="false">
      <c r="A829" s="0" t="str">
        <f aca="false">IF(资金日记账!$E527="","",资金日记账!$E527)</f>
        <v/>
      </c>
      <c r="B829" s="0" t="n">
        <f aca="false">IF(A829="",0,IF(MATCH(A829,$A$4:$A$1925,0)=ROW()-3,1,0))</f>
        <v>0</v>
      </c>
      <c r="C829" s="0" t="n">
        <f aca="false">N(C828)+B829</f>
        <v>11</v>
      </c>
      <c r="G829" s="0" t="n">
        <f aca="false">IF(OR($G$1="",对账补充行!$C222="",对账补充行!$C222&lt;&gt;$G$1),0,IF(NOT(OR(N(对账补充行!$H222)&lt;&gt;0,N(对账补充行!$I222)&lt;&gt;0)),0,IF(对账补充行!$B222="",1,IF(OR(N(对账补充行!$B222)&lt;$H$1,N(对账补充行!$B222)&gt;$I$1),0,1))))</f>
        <v>0</v>
      </c>
      <c r="H829" s="0" t="n">
        <f aca="false">N(H828)+$G829</f>
        <v>3</v>
      </c>
      <c r="I829" s="0" t="str">
        <f aca="false">IF($G829=0,"",IF(对账补充行!$B222=0,"",对账补充行!$B222))</f>
        <v/>
      </c>
      <c r="J829" s="0" t="str">
        <f aca="false">IF($G829=0,"",IF(对账补充行!$D222=0,"",对账补充行!$D222))</f>
        <v/>
      </c>
      <c r="K829" s="0" t="str">
        <f aca="false">IF($G829=0,"",IF(对账补充行!$E222=0,"",对账补充行!$E222))</f>
        <v/>
      </c>
      <c r="L829" s="0" t="str">
        <f aca="false">IF($G829=0,"",IF(对账补充行!$F222=0,"",对账补充行!$F222))</f>
        <v/>
      </c>
      <c r="M829" s="0" t="str">
        <f aca="false">IF($G829=0,"",IF(对账补充行!$G222=0,"",对账补充行!$G222))</f>
        <v/>
      </c>
      <c r="N829" s="0" t="str">
        <f aca="false">IF($G829=0,"",IF(对账补充行!$H222=0,"",对账补充行!$H222))</f>
        <v/>
      </c>
      <c r="O829" s="0" t="str">
        <f aca="false">IF($G829=0,"",IF(对账补充行!$I222=0,"",对账补充行!$I222))</f>
        <v/>
      </c>
      <c r="P829" s="0" t="str">
        <f aca="false">IF($G829=0,"",IF(对账补充行!$J222=0,"",对账补充行!$J222))</f>
        <v/>
      </c>
      <c r="T829" s="0" t="str">
        <f aca="false">IF(成本费用登记表!$D229="","",成本费用登记表!$D229)</f>
        <v/>
      </c>
      <c r="U829" s="0" t="n">
        <f aca="false">IF(T829="",0,IF(MATCH(T829,$T$4:$T$903,0)=ROW()-3,1,0))</f>
        <v>0</v>
      </c>
      <c r="V829" s="0" t="n">
        <f aca="false">N(V828)+U829</f>
        <v>30</v>
      </c>
    </row>
    <row r="830" customFormat="false" ht="13.5" hidden="false" customHeight="false" outlineLevel="0" collapsed="false">
      <c r="A830" s="0" t="str">
        <f aca="false">IF(资金日记账!$E528="","",资金日记账!$E528)</f>
        <v/>
      </c>
      <c r="B830" s="0" t="n">
        <f aca="false">IF(A830="",0,IF(MATCH(A830,$A$4:$A$1925,0)=ROW()-3,1,0))</f>
        <v>0</v>
      </c>
      <c r="C830" s="0" t="n">
        <f aca="false">N(C829)+B830</f>
        <v>11</v>
      </c>
      <c r="G830" s="0" t="n">
        <f aca="false">IF(OR($G$1="",对账补充行!$C223="",对账补充行!$C223&lt;&gt;$G$1),0,IF(NOT(OR(N(对账补充行!$H223)&lt;&gt;0,N(对账补充行!$I223)&lt;&gt;0)),0,IF(对账补充行!$B223="",1,IF(OR(N(对账补充行!$B223)&lt;$H$1,N(对账补充行!$B223)&gt;$I$1),0,1))))</f>
        <v>0</v>
      </c>
      <c r="H830" s="0" t="n">
        <f aca="false">N(H829)+$G830</f>
        <v>3</v>
      </c>
      <c r="I830" s="0" t="str">
        <f aca="false">IF($G830=0,"",IF(对账补充行!$B223=0,"",对账补充行!$B223))</f>
        <v/>
      </c>
      <c r="J830" s="0" t="str">
        <f aca="false">IF($G830=0,"",IF(对账补充行!$D223=0,"",对账补充行!$D223))</f>
        <v/>
      </c>
      <c r="K830" s="0" t="str">
        <f aca="false">IF($G830=0,"",IF(对账补充行!$E223=0,"",对账补充行!$E223))</f>
        <v/>
      </c>
      <c r="L830" s="0" t="str">
        <f aca="false">IF($G830=0,"",IF(对账补充行!$F223=0,"",对账补充行!$F223))</f>
        <v/>
      </c>
      <c r="M830" s="0" t="str">
        <f aca="false">IF($G830=0,"",IF(对账补充行!$G223=0,"",对账补充行!$G223))</f>
        <v/>
      </c>
      <c r="N830" s="0" t="str">
        <f aca="false">IF($G830=0,"",IF(对账补充行!$H223=0,"",对账补充行!$H223))</f>
        <v/>
      </c>
      <c r="O830" s="0" t="str">
        <f aca="false">IF($G830=0,"",IF(对账补充行!$I223=0,"",对账补充行!$I223))</f>
        <v/>
      </c>
      <c r="P830" s="0" t="str">
        <f aca="false">IF($G830=0,"",IF(对账补充行!$J223=0,"",对账补充行!$J223))</f>
        <v/>
      </c>
      <c r="T830" s="0" t="str">
        <f aca="false">IF(成本费用登记表!$D230="","",成本费用登记表!$D230)</f>
        <v/>
      </c>
      <c r="U830" s="0" t="n">
        <f aca="false">IF(T830="",0,IF(MATCH(T830,$T$4:$T$903,0)=ROW()-3,1,0))</f>
        <v>0</v>
      </c>
      <c r="V830" s="0" t="n">
        <f aca="false">N(V829)+U830</f>
        <v>30</v>
      </c>
    </row>
    <row r="831" customFormat="false" ht="13.5" hidden="false" customHeight="false" outlineLevel="0" collapsed="false">
      <c r="A831" s="0" t="str">
        <f aca="false">IF(资金日记账!$E529="","",资金日记账!$E529)</f>
        <v/>
      </c>
      <c r="B831" s="0" t="n">
        <f aca="false">IF(A831="",0,IF(MATCH(A831,$A$4:$A$1925,0)=ROW()-3,1,0))</f>
        <v>0</v>
      </c>
      <c r="C831" s="0" t="n">
        <f aca="false">N(C830)+B831</f>
        <v>11</v>
      </c>
      <c r="G831" s="0" t="n">
        <f aca="false">IF(OR($G$1="",对账补充行!$C224="",对账补充行!$C224&lt;&gt;$G$1),0,IF(NOT(OR(N(对账补充行!$H224)&lt;&gt;0,N(对账补充行!$I224)&lt;&gt;0)),0,IF(对账补充行!$B224="",1,IF(OR(N(对账补充行!$B224)&lt;$H$1,N(对账补充行!$B224)&gt;$I$1),0,1))))</f>
        <v>0</v>
      </c>
      <c r="H831" s="0" t="n">
        <f aca="false">N(H830)+$G831</f>
        <v>3</v>
      </c>
      <c r="I831" s="0" t="str">
        <f aca="false">IF($G831=0,"",IF(对账补充行!$B224=0,"",对账补充行!$B224))</f>
        <v/>
      </c>
      <c r="J831" s="0" t="str">
        <f aca="false">IF($G831=0,"",IF(对账补充行!$D224=0,"",对账补充行!$D224))</f>
        <v/>
      </c>
      <c r="K831" s="0" t="str">
        <f aca="false">IF($G831=0,"",IF(对账补充行!$E224=0,"",对账补充行!$E224))</f>
        <v/>
      </c>
      <c r="L831" s="0" t="str">
        <f aca="false">IF($G831=0,"",IF(对账补充行!$F224=0,"",对账补充行!$F224))</f>
        <v/>
      </c>
      <c r="M831" s="0" t="str">
        <f aca="false">IF($G831=0,"",IF(对账补充行!$G224=0,"",对账补充行!$G224))</f>
        <v/>
      </c>
      <c r="N831" s="0" t="str">
        <f aca="false">IF($G831=0,"",IF(对账补充行!$H224=0,"",对账补充行!$H224))</f>
        <v/>
      </c>
      <c r="O831" s="0" t="str">
        <f aca="false">IF($G831=0,"",IF(对账补充行!$I224=0,"",对账补充行!$I224))</f>
        <v/>
      </c>
      <c r="P831" s="0" t="str">
        <f aca="false">IF($G831=0,"",IF(对账补充行!$J224=0,"",对账补充行!$J224))</f>
        <v/>
      </c>
      <c r="T831" s="0" t="str">
        <f aca="false">IF(成本费用登记表!$D231="","",成本费用登记表!$D231)</f>
        <v/>
      </c>
      <c r="U831" s="0" t="n">
        <f aca="false">IF(T831="",0,IF(MATCH(T831,$T$4:$T$903,0)=ROW()-3,1,0))</f>
        <v>0</v>
      </c>
      <c r="V831" s="0" t="n">
        <f aca="false">N(V830)+U831</f>
        <v>30</v>
      </c>
    </row>
    <row r="832" customFormat="false" ht="13.5" hidden="false" customHeight="false" outlineLevel="0" collapsed="false">
      <c r="A832" s="0" t="str">
        <f aca="false">IF(资金日记账!$E530="","",资金日记账!$E530)</f>
        <v/>
      </c>
      <c r="B832" s="0" t="n">
        <f aca="false">IF(A832="",0,IF(MATCH(A832,$A$4:$A$1925,0)=ROW()-3,1,0))</f>
        <v>0</v>
      </c>
      <c r="C832" s="0" t="n">
        <f aca="false">N(C831)+B832</f>
        <v>11</v>
      </c>
      <c r="G832" s="0" t="n">
        <f aca="false">IF(OR($G$1="",对账补充行!$C225="",对账补充行!$C225&lt;&gt;$G$1),0,IF(NOT(OR(N(对账补充行!$H225)&lt;&gt;0,N(对账补充行!$I225)&lt;&gt;0)),0,IF(对账补充行!$B225="",1,IF(OR(N(对账补充行!$B225)&lt;$H$1,N(对账补充行!$B225)&gt;$I$1),0,1))))</f>
        <v>0</v>
      </c>
      <c r="H832" s="0" t="n">
        <f aca="false">N(H831)+$G832</f>
        <v>3</v>
      </c>
      <c r="I832" s="0" t="str">
        <f aca="false">IF($G832=0,"",IF(对账补充行!$B225=0,"",对账补充行!$B225))</f>
        <v/>
      </c>
      <c r="J832" s="0" t="str">
        <f aca="false">IF($G832=0,"",IF(对账补充行!$D225=0,"",对账补充行!$D225))</f>
        <v/>
      </c>
      <c r="K832" s="0" t="str">
        <f aca="false">IF($G832=0,"",IF(对账补充行!$E225=0,"",对账补充行!$E225))</f>
        <v/>
      </c>
      <c r="L832" s="0" t="str">
        <f aca="false">IF($G832=0,"",IF(对账补充行!$F225=0,"",对账补充行!$F225))</f>
        <v/>
      </c>
      <c r="M832" s="0" t="str">
        <f aca="false">IF($G832=0,"",IF(对账补充行!$G225=0,"",对账补充行!$G225))</f>
        <v/>
      </c>
      <c r="N832" s="0" t="str">
        <f aca="false">IF($G832=0,"",IF(对账补充行!$H225=0,"",对账补充行!$H225))</f>
        <v/>
      </c>
      <c r="O832" s="0" t="str">
        <f aca="false">IF($G832=0,"",IF(对账补充行!$I225=0,"",对账补充行!$I225))</f>
        <v/>
      </c>
      <c r="P832" s="0" t="str">
        <f aca="false">IF($G832=0,"",IF(对账补充行!$J225=0,"",对账补充行!$J225))</f>
        <v/>
      </c>
      <c r="T832" s="0" t="str">
        <f aca="false">IF(成本费用登记表!$D232="","",成本费用登记表!$D232)</f>
        <v/>
      </c>
      <c r="U832" s="0" t="n">
        <f aca="false">IF(T832="",0,IF(MATCH(T832,$T$4:$T$903,0)=ROW()-3,1,0))</f>
        <v>0</v>
      </c>
      <c r="V832" s="0" t="n">
        <f aca="false">N(V831)+U832</f>
        <v>30</v>
      </c>
    </row>
    <row r="833" customFormat="false" ht="13.5" hidden="false" customHeight="false" outlineLevel="0" collapsed="false">
      <c r="A833" s="0" t="str">
        <f aca="false">IF(资金日记账!$E531="","",资金日记账!$E531)</f>
        <v/>
      </c>
      <c r="B833" s="0" t="n">
        <f aca="false">IF(A833="",0,IF(MATCH(A833,$A$4:$A$1925,0)=ROW()-3,1,0))</f>
        <v>0</v>
      </c>
      <c r="C833" s="0" t="n">
        <f aca="false">N(C832)+B833</f>
        <v>11</v>
      </c>
      <c r="G833" s="0" t="n">
        <f aca="false">IF(OR($G$1="",对账补充行!$C226="",对账补充行!$C226&lt;&gt;$G$1),0,IF(NOT(OR(N(对账补充行!$H226)&lt;&gt;0,N(对账补充行!$I226)&lt;&gt;0)),0,IF(对账补充行!$B226="",1,IF(OR(N(对账补充行!$B226)&lt;$H$1,N(对账补充行!$B226)&gt;$I$1),0,1))))</f>
        <v>0</v>
      </c>
      <c r="H833" s="0" t="n">
        <f aca="false">N(H832)+$G833</f>
        <v>3</v>
      </c>
      <c r="I833" s="0" t="str">
        <f aca="false">IF($G833=0,"",IF(对账补充行!$B226=0,"",对账补充行!$B226))</f>
        <v/>
      </c>
      <c r="J833" s="0" t="str">
        <f aca="false">IF($G833=0,"",IF(对账补充行!$D226=0,"",对账补充行!$D226))</f>
        <v/>
      </c>
      <c r="K833" s="0" t="str">
        <f aca="false">IF($G833=0,"",IF(对账补充行!$E226=0,"",对账补充行!$E226))</f>
        <v/>
      </c>
      <c r="L833" s="0" t="str">
        <f aca="false">IF($G833=0,"",IF(对账补充行!$F226=0,"",对账补充行!$F226))</f>
        <v/>
      </c>
      <c r="M833" s="0" t="str">
        <f aca="false">IF($G833=0,"",IF(对账补充行!$G226=0,"",对账补充行!$G226))</f>
        <v/>
      </c>
      <c r="N833" s="0" t="str">
        <f aca="false">IF($G833=0,"",IF(对账补充行!$H226=0,"",对账补充行!$H226))</f>
        <v/>
      </c>
      <c r="O833" s="0" t="str">
        <f aca="false">IF($G833=0,"",IF(对账补充行!$I226=0,"",对账补充行!$I226))</f>
        <v/>
      </c>
      <c r="P833" s="0" t="str">
        <f aca="false">IF($G833=0,"",IF(对账补充行!$J226=0,"",对账补充行!$J226))</f>
        <v/>
      </c>
      <c r="T833" s="0" t="str">
        <f aca="false">IF(成本费用登记表!$D233="","",成本费用登记表!$D233)</f>
        <v/>
      </c>
      <c r="U833" s="0" t="n">
        <f aca="false">IF(T833="",0,IF(MATCH(T833,$T$4:$T$903,0)=ROW()-3,1,0))</f>
        <v>0</v>
      </c>
      <c r="V833" s="0" t="n">
        <f aca="false">N(V832)+U833</f>
        <v>30</v>
      </c>
    </row>
    <row r="834" customFormat="false" ht="13.5" hidden="false" customHeight="false" outlineLevel="0" collapsed="false">
      <c r="A834" s="0" t="str">
        <f aca="false">IF(资金日记账!$E532="","",资金日记账!$E532)</f>
        <v/>
      </c>
      <c r="B834" s="0" t="n">
        <f aca="false">IF(A834="",0,IF(MATCH(A834,$A$4:$A$1925,0)=ROW()-3,1,0))</f>
        <v>0</v>
      </c>
      <c r="C834" s="0" t="n">
        <f aca="false">N(C833)+B834</f>
        <v>11</v>
      </c>
      <c r="G834" s="0" t="n">
        <f aca="false">IF(OR($G$1="",对账补充行!$C227="",对账补充行!$C227&lt;&gt;$G$1),0,IF(NOT(OR(N(对账补充行!$H227)&lt;&gt;0,N(对账补充行!$I227)&lt;&gt;0)),0,IF(对账补充行!$B227="",1,IF(OR(N(对账补充行!$B227)&lt;$H$1,N(对账补充行!$B227)&gt;$I$1),0,1))))</f>
        <v>0</v>
      </c>
      <c r="H834" s="0" t="n">
        <f aca="false">N(H833)+$G834</f>
        <v>3</v>
      </c>
      <c r="I834" s="0" t="str">
        <f aca="false">IF($G834=0,"",IF(对账补充行!$B227=0,"",对账补充行!$B227))</f>
        <v/>
      </c>
      <c r="J834" s="0" t="str">
        <f aca="false">IF($G834=0,"",IF(对账补充行!$D227=0,"",对账补充行!$D227))</f>
        <v/>
      </c>
      <c r="K834" s="0" t="str">
        <f aca="false">IF($G834=0,"",IF(对账补充行!$E227=0,"",对账补充行!$E227))</f>
        <v/>
      </c>
      <c r="L834" s="0" t="str">
        <f aca="false">IF($G834=0,"",IF(对账补充行!$F227=0,"",对账补充行!$F227))</f>
        <v/>
      </c>
      <c r="M834" s="0" t="str">
        <f aca="false">IF($G834=0,"",IF(对账补充行!$G227=0,"",对账补充行!$G227))</f>
        <v/>
      </c>
      <c r="N834" s="0" t="str">
        <f aca="false">IF($G834=0,"",IF(对账补充行!$H227=0,"",对账补充行!$H227))</f>
        <v/>
      </c>
      <c r="O834" s="0" t="str">
        <f aca="false">IF($G834=0,"",IF(对账补充行!$I227=0,"",对账补充行!$I227))</f>
        <v/>
      </c>
      <c r="P834" s="0" t="str">
        <f aca="false">IF($G834=0,"",IF(对账补充行!$J227=0,"",对账补充行!$J227))</f>
        <v/>
      </c>
      <c r="T834" s="0" t="str">
        <f aca="false">IF(成本费用登记表!$D234="","",成本费用登记表!$D234)</f>
        <v/>
      </c>
      <c r="U834" s="0" t="n">
        <f aca="false">IF(T834="",0,IF(MATCH(T834,$T$4:$T$903,0)=ROW()-3,1,0))</f>
        <v>0</v>
      </c>
      <c r="V834" s="0" t="n">
        <f aca="false">N(V833)+U834</f>
        <v>30</v>
      </c>
    </row>
    <row r="835" customFormat="false" ht="13.5" hidden="false" customHeight="false" outlineLevel="0" collapsed="false">
      <c r="A835" s="0" t="str">
        <f aca="false">IF(资金日记账!$E533="","",资金日记账!$E533)</f>
        <v/>
      </c>
      <c r="B835" s="0" t="n">
        <f aca="false">IF(A835="",0,IF(MATCH(A835,$A$4:$A$1925,0)=ROW()-3,1,0))</f>
        <v>0</v>
      </c>
      <c r="C835" s="0" t="n">
        <f aca="false">N(C834)+B835</f>
        <v>11</v>
      </c>
      <c r="G835" s="0" t="n">
        <f aca="false">IF(OR($G$1="",对账补充行!$C228="",对账补充行!$C228&lt;&gt;$G$1),0,IF(NOT(OR(N(对账补充行!$H228)&lt;&gt;0,N(对账补充行!$I228)&lt;&gt;0)),0,IF(对账补充行!$B228="",1,IF(OR(N(对账补充行!$B228)&lt;$H$1,N(对账补充行!$B228)&gt;$I$1),0,1))))</f>
        <v>0</v>
      </c>
      <c r="H835" s="0" t="n">
        <f aca="false">N(H834)+$G835</f>
        <v>3</v>
      </c>
      <c r="I835" s="0" t="str">
        <f aca="false">IF($G835=0,"",IF(对账补充行!$B228=0,"",对账补充行!$B228))</f>
        <v/>
      </c>
      <c r="J835" s="0" t="str">
        <f aca="false">IF($G835=0,"",IF(对账补充行!$D228=0,"",对账补充行!$D228))</f>
        <v/>
      </c>
      <c r="K835" s="0" t="str">
        <f aca="false">IF($G835=0,"",IF(对账补充行!$E228=0,"",对账补充行!$E228))</f>
        <v/>
      </c>
      <c r="L835" s="0" t="str">
        <f aca="false">IF($G835=0,"",IF(对账补充行!$F228=0,"",对账补充行!$F228))</f>
        <v/>
      </c>
      <c r="M835" s="0" t="str">
        <f aca="false">IF($G835=0,"",IF(对账补充行!$G228=0,"",对账补充行!$G228))</f>
        <v/>
      </c>
      <c r="N835" s="0" t="str">
        <f aca="false">IF($G835=0,"",IF(对账补充行!$H228=0,"",对账补充行!$H228))</f>
        <v/>
      </c>
      <c r="O835" s="0" t="str">
        <f aca="false">IF($G835=0,"",IF(对账补充行!$I228=0,"",对账补充行!$I228))</f>
        <v/>
      </c>
      <c r="P835" s="0" t="str">
        <f aca="false">IF($G835=0,"",IF(对账补充行!$J228=0,"",对账补充行!$J228))</f>
        <v/>
      </c>
      <c r="T835" s="0" t="str">
        <f aca="false">IF(成本费用登记表!$D235="","",成本费用登记表!$D235)</f>
        <v/>
      </c>
      <c r="U835" s="0" t="n">
        <f aca="false">IF(T835="",0,IF(MATCH(T835,$T$4:$T$903,0)=ROW()-3,1,0))</f>
        <v>0</v>
      </c>
      <c r="V835" s="0" t="n">
        <f aca="false">N(V834)+U835</f>
        <v>30</v>
      </c>
    </row>
    <row r="836" customFormat="false" ht="13.5" hidden="false" customHeight="false" outlineLevel="0" collapsed="false">
      <c r="A836" s="0" t="str">
        <f aca="false">IF(资金日记账!$E534="","",资金日记账!$E534)</f>
        <v/>
      </c>
      <c r="B836" s="0" t="n">
        <f aca="false">IF(A836="",0,IF(MATCH(A836,$A$4:$A$1925,0)=ROW()-3,1,0))</f>
        <v>0</v>
      </c>
      <c r="C836" s="0" t="n">
        <f aca="false">N(C835)+B836</f>
        <v>11</v>
      </c>
      <c r="G836" s="0" t="n">
        <f aca="false">IF(OR($G$1="",对账补充行!$C229="",对账补充行!$C229&lt;&gt;$G$1),0,IF(NOT(OR(N(对账补充行!$H229)&lt;&gt;0,N(对账补充行!$I229)&lt;&gt;0)),0,IF(对账补充行!$B229="",1,IF(OR(N(对账补充行!$B229)&lt;$H$1,N(对账补充行!$B229)&gt;$I$1),0,1))))</f>
        <v>0</v>
      </c>
      <c r="H836" s="0" t="n">
        <f aca="false">N(H835)+$G836</f>
        <v>3</v>
      </c>
      <c r="I836" s="0" t="str">
        <f aca="false">IF($G836=0,"",IF(对账补充行!$B229=0,"",对账补充行!$B229))</f>
        <v/>
      </c>
      <c r="J836" s="0" t="str">
        <f aca="false">IF($G836=0,"",IF(对账补充行!$D229=0,"",对账补充行!$D229))</f>
        <v/>
      </c>
      <c r="K836" s="0" t="str">
        <f aca="false">IF($G836=0,"",IF(对账补充行!$E229=0,"",对账补充行!$E229))</f>
        <v/>
      </c>
      <c r="L836" s="0" t="str">
        <f aca="false">IF($G836=0,"",IF(对账补充行!$F229=0,"",对账补充行!$F229))</f>
        <v/>
      </c>
      <c r="M836" s="0" t="str">
        <f aca="false">IF($G836=0,"",IF(对账补充行!$G229=0,"",对账补充行!$G229))</f>
        <v/>
      </c>
      <c r="N836" s="0" t="str">
        <f aca="false">IF($G836=0,"",IF(对账补充行!$H229=0,"",对账补充行!$H229))</f>
        <v/>
      </c>
      <c r="O836" s="0" t="str">
        <f aca="false">IF($G836=0,"",IF(对账补充行!$I229=0,"",对账补充行!$I229))</f>
        <v/>
      </c>
      <c r="P836" s="0" t="str">
        <f aca="false">IF($G836=0,"",IF(对账补充行!$J229=0,"",对账补充行!$J229))</f>
        <v/>
      </c>
      <c r="T836" s="0" t="str">
        <f aca="false">IF(成本费用登记表!$D236="","",成本费用登记表!$D236)</f>
        <v/>
      </c>
      <c r="U836" s="0" t="n">
        <f aca="false">IF(T836="",0,IF(MATCH(T836,$T$4:$T$903,0)=ROW()-3,1,0))</f>
        <v>0</v>
      </c>
      <c r="V836" s="0" t="n">
        <f aca="false">N(V835)+U836</f>
        <v>30</v>
      </c>
    </row>
    <row r="837" customFormat="false" ht="13.5" hidden="false" customHeight="false" outlineLevel="0" collapsed="false">
      <c r="A837" s="0" t="str">
        <f aca="false">IF(资金日记账!$E535="","",资金日记账!$E535)</f>
        <v/>
      </c>
      <c r="B837" s="0" t="n">
        <f aca="false">IF(A837="",0,IF(MATCH(A837,$A$4:$A$1925,0)=ROW()-3,1,0))</f>
        <v>0</v>
      </c>
      <c r="C837" s="0" t="n">
        <f aca="false">N(C836)+B837</f>
        <v>11</v>
      </c>
      <c r="G837" s="0" t="n">
        <f aca="false">IF(OR($G$1="",对账补充行!$C230="",对账补充行!$C230&lt;&gt;$G$1),0,IF(NOT(OR(N(对账补充行!$H230)&lt;&gt;0,N(对账补充行!$I230)&lt;&gt;0)),0,IF(对账补充行!$B230="",1,IF(OR(N(对账补充行!$B230)&lt;$H$1,N(对账补充行!$B230)&gt;$I$1),0,1))))</f>
        <v>0</v>
      </c>
      <c r="H837" s="0" t="n">
        <f aca="false">N(H836)+$G837</f>
        <v>3</v>
      </c>
      <c r="I837" s="0" t="str">
        <f aca="false">IF($G837=0,"",IF(对账补充行!$B230=0,"",对账补充行!$B230))</f>
        <v/>
      </c>
      <c r="J837" s="0" t="str">
        <f aca="false">IF($G837=0,"",IF(对账补充行!$D230=0,"",对账补充行!$D230))</f>
        <v/>
      </c>
      <c r="K837" s="0" t="str">
        <f aca="false">IF($G837=0,"",IF(对账补充行!$E230=0,"",对账补充行!$E230))</f>
        <v/>
      </c>
      <c r="L837" s="0" t="str">
        <f aca="false">IF($G837=0,"",IF(对账补充行!$F230=0,"",对账补充行!$F230))</f>
        <v/>
      </c>
      <c r="M837" s="0" t="str">
        <f aca="false">IF($G837=0,"",IF(对账补充行!$G230=0,"",对账补充行!$G230))</f>
        <v/>
      </c>
      <c r="N837" s="0" t="str">
        <f aca="false">IF($G837=0,"",IF(对账补充行!$H230=0,"",对账补充行!$H230))</f>
        <v/>
      </c>
      <c r="O837" s="0" t="str">
        <f aca="false">IF($G837=0,"",IF(对账补充行!$I230=0,"",对账补充行!$I230))</f>
        <v/>
      </c>
      <c r="P837" s="0" t="str">
        <f aca="false">IF($G837=0,"",IF(对账补充行!$J230=0,"",对账补充行!$J230))</f>
        <v/>
      </c>
      <c r="T837" s="0" t="str">
        <f aca="false">IF(成本费用登记表!$D237="","",成本费用登记表!$D237)</f>
        <v/>
      </c>
      <c r="U837" s="0" t="n">
        <f aca="false">IF(T837="",0,IF(MATCH(T837,$T$4:$T$903,0)=ROW()-3,1,0))</f>
        <v>0</v>
      </c>
      <c r="V837" s="0" t="n">
        <f aca="false">N(V836)+U837</f>
        <v>30</v>
      </c>
    </row>
    <row r="838" customFormat="false" ht="13.5" hidden="false" customHeight="false" outlineLevel="0" collapsed="false">
      <c r="A838" s="0" t="str">
        <f aca="false">IF(资金日记账!$E536="","",资金日记账!$E536)</f>
        <v/>
      </c>
      <c r="B838" s="0" t="n">
        <f aca="false">IF(A838="",0,IF(MATCH(A838,$A$4:$A$1925,0)=ROW()-3,1,0))</f>
        <v>0</v>
      </c>
      <c r="C838" s="0" t="n">
        <f aca="false">N(C837)+B838</f>
        <v>11</v>
      </c>
      <c r="G838" s="0" t="n">
        <f aca="false">IF(OR($G$1="",对账补充行!$C231="",对账补充行!$C231&lt;&gt;$G$1),0,IF(NOT(OR(N(对账补充行!$H231)&lt;&gt;0,N(对账补充行!$I231)&lt;&gt;0)),0,IF(对账补充行!$B231="",1,IF(OR(N(对账补充行!$B231)&lt;$H$1,N(对账补充行!$B231)&gt;$I$1),0,1))))</f>
        <v>0</v>
      </c>
      <c r="H838" s="0" t="n">
        <f aca="false">N(H837)+$G838</f>
        <v>3</v>
      </c>
      <c r="I838" s="0" t="str">
        <f aca="false">IF($G838=0,"",IF(对账补充行!$B231=0,"",对账补充行!$B231))</f>
        <v/>
      </c>
      <c r="J838" s="0" t="str">
        <f aca="false">IF($G838=0,"",IF(对账补充行!$D231=0,"",对账补充行!$D231))</f>
        <v/>
      </c>
      <c r="K838" s="0" t="str">
        <f aca="false">IF($G838=0,"",IF(对账补充行!$E231=0,"",对账补充行!$E231))</f>
        <v/>
      </c>
      <c r="L838" s="0" t="str">
        <f aca="false">IF($G838=0,"",IF(对账补充行!$F231=0,"",对账补充行!$F231))</f>
        <v/>
      </c>
      <c r="M838" s="0" t="str">
        <f aca="false">IF($G838=0,"",IF(对账补充行!$G231=0,"",对账补充行!$G231))</f>
        <v/>
      </c>
      <c r="N838" s="0" t="str">
        <f aca="false">IF($G838=0,"",IF(对账补充行!$H231=0,"",对账补充行!$H231))</f>
        <v/>
      </c>
      <c r="O838" s="0" t="str">
        <f aca="false">IF($G838=0,"",IF(对账补充行!$I231=0,"",对账补充行!$I231))</f>
        <v/>
      </c>
      <c r="P838" s="0" t="str">
        <f aca="false">IF($G838=0,"",IF(对账补充行!$J231=0,"",对账补充行!$J231))</f>
        <v/>
      </c>
      <c r="T838" s="0" t="str">
        <f aca="false">IF(成本费用登记表!$D238="","",成本费用登记表!$D238)</f>
        <v/>
      </c>
      <c r="U838" s="0" t="n">
        <f aca="false">IF(T838="",0,IF(MATCH(T838,$T$4:$T$903,0)=ROW()-3,1,0))</f>
        <v>0</v>
      </c>
      <c r="V838" s="0" t="n">
        <f aca="false">N(V837)+U838</f>
        <v>30</v>
      </c>
    </row>
    <row r="839" customFormat="false" ht="13.5" hidden="false" customHeight="false" outlineLevel="0" collapsed="false">
      <c r="A839" s="0" t="str">
        <f aca="false">IF(资金日记账!$E537="","",资金日记账!$E537)</f>
        <v/>
      </c>
      <c r="B839" s="0" t="n">
        <f aca="false">IF(A839="",0,IF(MATCH(A839,$A$4:$A$1925,0)=ROW()-3,1,0))</f>
        <v>0</v>
      </c>
      <c r="C839" s="0" t="n">
        <f aca="false">N(C838)+B839</f>
        <v>11</v>
      </c>
      <c r="G839" s="0" t="n">
        <f aca="false">IF(OR($G$1="",对账补充行!$C232="",对账补充行!$C232&lt;&gt;$G$1),0,IF(NOT(OR(N(对账补充行!$H232)&lt;&gt;0,N(对账补充行!$I232)&lt;&gt;0)),0,IF(对账补充行!$B232="",1,IF(OR(N(对账补充行!$B232)&lt;$H$1,N(对账补充行!$B232)&gt;$I$1),0,1))))</f>
        <v>0</v>
      </c>
      <c r="H839" s="0" t="n">
        <f aca="false">N(H838)+$G839</f>
        <v>3</v>
      </c>
      <c r="I839" s="0" t="str">
        <f aca="false">IF($G839=0,"",IF(对账补充行!$B232=0,"",对账补充行!$B232))</f>
        <v/>
      </c>
      <c r="J839" s="0" t="str">
        <f aca="false">IF($G839=0,"",IF(对账补充行!$D232=0,"",对账补充行!$D232))</f>
        <v/>
      </c>
      <c r="K839" s="0" t="str">
        <f aca="false">IF($G839=0,"",IF(对账补充行!$E232=0,"",对账补充行!$E232))</f>
        <v/>
      </c>
      <c r="L839" s="0" t="str">
        <f aca="false">IF($G839=0,"",IF(对账补充行!$F232=0,"",对账补充行!$F232))</f>
        <v/>
      </c>
      <c r="M839" s="0" t="str">
        <f aca="false">IF($G839=0,"",IF(对账补充行!$G232=0,"",对账补充行!$G232))</f>
        <v/>
      </c>
      <c r="N839" s="0" t="str">
        <f aca="false">IF($G839=0,"",IF(对账补充行!$H232=0,"",对账补充行!$H232))</f>
        <v/>
      </c>
      <c r="O839" s="0" t="str">
        <f aca="false">IF($G839=0,"",IF(对账补充行!$I232=0,"",对账补充行!$I232))</f>
        <v/>
      </c>
      <c r="P839" s="0" t="str">
        <f aca="false">IF($G839=0,"",IF(对账补充行!$J232=0,"",对账补充行!$J232))</f>
        <v/>
      </c>
      <c r="T839" s="0" t="str">
        <f aca="false">IF(成本费用登记表!$D239="","",成本费用登记表!$D239)</f>
        <v/>
      </c>
      <c r="U839" s="0" t="n">
        <f aca="false">IF(T839="",0,IF(MATCH(T839,$T$4:$T$903,0)=ROW()-3,1,0))</f>
        <v>0</v>
      </c>
      <c r="V839" s="0" t="n">
        <f aca="false">N(V838)+U839</f>
        <v>30</v>
      </c>
    </row>
    <row r="840" customFormat="false" ht="13.5" hidden="false" customHeight="false" outlineLevel="0" collapsed="false">
      <c r="A840" s="0" t="str">
        <f aca="false">IF(资金日记账!$E538="","",资金日记账!$E538)</f>
        <v/>
      </c>
      <c r="B840" s="0" t="n">
        <f aca="false">IF(A840="",0,IF(MATCH(A840,$A$4:$A$1925,0)=ROW()-3,1,0))</f>
        <v>0</v>
      </c>
      <c r="C840" s="0" t="n">
        <f aca="false">N(C839)+B840</f>
        <v>11</v>
      </c>
      <c r="G840" s="0" t="n">
        <f aca="false">IF(OR($G$1="",对账补充行!$C233="",对账补充行!$C233&lt;&gt;$G$1),0,IF(NOT(OR(N(对账补充行!$H233)&lt;&gt;0,N(对账补充行!$I233)&lt;&gt;0)),0,IF(对账补充行!$B233="",1,IF(OR(N(对账补充行!$B233)&lt;$H$1,N(对账补充行!$B233)&gt;$I$1),0,1))))</f>
        <v>0</v>
      </c>
      <c r="H840" s="0" t="n">
        <f aca="false">N(H839)+$G840</f>
        <v>3</v>
      </c>
      <c r="I840" s="0" t="str">
        <f aca="false">IF($G840=0,"",IF(对账补充行!$B233=0,"",对账补充行!$B233))</f>
        <v/>
      </c>
      <c r="J840" s="0" t="str">
        <f aca="false">IF($G840=0,"",IF(对账补充行!$D233=0,"",对账补充行!$D233))</f>
        <v/>
      </c>
      <c r="K840" s="0" t="str">
        <f aca="false">IF($G840=0,"",IF(对账补充行!$E233=0,"",对账补充行!$E233))</f>
        <v/>
      </c>
      <c r="L840" s="0" t="str">
        <f aca="false">IF($G840=0,"",IF(对账补充行!$F233=0,"",对账补充行!$F233))</f>
        <v/>
      </c>
      <c r="M840" s="0" t="str">
        <f aca="false">IF($G840=0,"",IF(对账补充行!$G233=0,"",对账补充行!$G233))</f>
        <v/>
      </c>
      <c r="N840" s="0" t="str">
        <f aca="false">IF($G840=0,"",IF(对账补充行!$H233=0,"",对账补充行!$H233))</f>
        <v/>
      </c>
      <c r="O840" s="0" t="str">
        <f aca="false">IF($G840=0,"",IF(对账补充行!$I233=0,"",对账补充行!$I233))</f>
        <v/>
      </c>
      <c r="P840" s="0" t="str">
        <f aca="false">IF($G840=0,"",IF(对账补充行!$J233=0,"",对账补充行!$J233))</f>
        <v/>
      </c>
      <c r="T840" s="0" t="str">
        <f aca="false">IF(成本费用登记表!$D240="","",成本费用登记表!$D240)</f>
        <v/>
      </c>
      <c r="U840" s="0" t="n">
        <f aca="false">IF(T840="",0,IF(MATCH(T840,$T$4:$T$903,0)=ROW()-3,1,0))</f>
        <v>0</v>
      </c>
      <c r="V840" s="0" t="n">
        <f aca="false">N(V839)+U840</f>
        <v>30</v>
      </c>
    </row>
    <row r="841" customFormat="false" ht="13.5" hidden="false" customHeight="false" outlineLevel="0" collapsed="false">
      <c r="A841" s="0" t="str">
        <f aca="false">IF(资金日记账!$E539="","",资金日记账!$E539)</f>
        <v/>
      </c>
      <c r="B841" s="0" t="n">
        <f aca="false">IF(A841="",0,IF(MATCH(A841,$A$4:$A$1925,0)=ROW()-3,1,0))</f>
        <v>0</v>
      </c>
      <c r="C841" s="0" t="n">
        <f aca="false">N(C840)+B841</f>
        <v>11</v>
      </c>
      <c r="G841" s="0" t="n">
        <f aca="false">IF(OR($G$1="",对账补充行!$C234="",对账补充行!$C234&lt;&gt;$G$1),0,IF(NOT(OR(N(对账补充行!$H234)&lt;&gt;0,N(对账补充行!$I234)&lt;&gt;0)),0,IF(对账补充行!$B234="",1,IF(OR(N(对账补充行!$B234)&lt;$H$1,N(对账补充行!$B234)&gt;$I$1),0,1))))</f>
        <v>0</v>
      </c>
      <c r="H841" s="0" t="n">
        <f aca="false">N(H840)+$G841</f>
        <v>3</v>
      </c>
      <c r="I841" s="0" t="str">
        <f aca="false">IF($G841=0,"",IF(对账补充行!$B234=0,"",对账补充行!$B234))</f>
        <v/>
      </c>
      <c r="J841" s="0" t="str">
        <f aca="false">IF($G841=0,"",IF(对账补充行!$D234=0,"",对账补充行!$D234))</f>
        <v/>
      </c>
      <c r="K841" s="0" t="str">
        <f aca="false">IF($G841=0,"",IF(对账补充行!$E234=0,"",对账补充行!$E234))</f>
        <v/>
      </c>
      <c r="L841" s="0" t="str">
        <f aca="false">IF($G841=0,"",IF(对账补充行!$F234=0,"",对账补充行!$F234))</f>
        <v/>
      </c>
      <c r="M841" s="0" t="str">
        <f aca="false">IF($G841=0,"",IF(对账补充行!$G234=0,"",对账补充行!$G234))</f>
        <v/>
      </c>
      <c r="N841" s="0" t="str">
        <f aca="false">IF($G841=0,"",IF(对账补充行!$H234=0,"",对账补充行!$H234))</f>
        <v/>
      </c>
      <c r="O841" s="0" t="str">
        <f aca="false">IF($G841=0,"",IF(对账补充行!$I234=0,"",对账补充行!$I234))</f>
        <v/>
      </c>
      <c r="P841" s="0" t="str">
        <f aca="false">IF($G841=0,"",IF(对账补充行!$J234=0,"",对账补充行!$J234))</f>
        <v/>
      </c>
      <c r="T841" s="0" t="str">
        <f aca="false">IF(成本费用登记表!$D241="","",成本费用登记表!$D241)</f>
        <v/>
      </c>
      <c r="U841" s="0" t="n">
        <f aca="false">IF(T841="",0,IF(MATCH(T841,$T$4:$T$903,0)=ROW()-3,1,0))</f>
        <v>0</v>
      </c>
      <c r="V841" s="0" t="n">
        <f aca="false">N(V840)+U841</f>
        <v>30</v>
      </c>
    </row>
    <row r="842" customFormat="false" ht="13.5" hidden="false" customHeight="false" outlineLevel="0" collapsed="false">
      <c r="A842" s="0" t="str">
        <f aca="false">IF(资金日记账!$E540="","",资金日记账!$E540)</f>
        <v/>
      </c>
      <c r="B842" s="0" t="n">
        <f aca="false">IF(A842="",0,IF(MATCH(A842,$A$4:$A$1925,0)=ROW()-3,1,0))</f>
        <v>0</v>
      </c>
      <c r="C842" s="0" t="n">
        <f aca="false">N(C841)+B842</f>
        <v>11</v>
      </c>
      <c r="G842" s="0" t="n">
        <f aca="false">IF(OR($G$1="",对账补充行!$C235="",对账补充行!$C235&lt;&gt;$G$1),0,IF(NOT(OR(N(对账补充行!$H235)&lt;&gt;0,N(对账补充行!$I235)&lt;&gt;0)),0,IF(对账补充行!$B235="",1,IF(OR(N(对账补充行!$B235)&lt;$H$1,N(对账补充行!$B235)&gt;$I$1),0,1))))</f>
        <v>0</v>
      </c>
      <c r="H842" s="0" t="n">
        <f aca="false">N(H841)+$G842</f>
        <v>3</v>
      </c>
      <c r="I842" s="0" t="str">
        <f aca="false">IF($G842=0,"",IF(对账补充行!$B235=0,"",对账补充行!$B235))</f>
        <v/>
      </c>
      <c r="J842" s="0" t="str">
        <f aca="false">IF($G842=0,"",IF(对账补充行!$D235=0,"",对账补充行!$D235))</f>
        <v/>
      </c>
      <c r="K842" s="0" t="str">
        <f aca="false">IF($G842=0,"",IF(对账补充行!$E235=0,"",对账补充行!$E235))</f>
        <v/>
      </c>
      <c r="L842" s="0" t="str">
        <f aca="false">IF($G842=0,"",IF(对账补充行!$F235=0,"",对账补充行!$F235))</f>
        <v/>
      </c>
      <c r="M842" s="0" t="str">
        <f aca="false">IF($G842=0,"",IF(对账补充行!$G235=0,"",对账补充行!$G235))</f>
        <v/>
      </c>
      <c r="N842" s="0" t="str">
        <f aca="false">IF($G842=0,"",IF(对账补充行!$H235=0,"",对账补充行!$H235))</f>
        <v/>
      </c>
      <c r="O842" s="0" t="str">
        <f aca="false">IF($G842=0,"",IF(对账补充行!$I235=0,"",对账补充行!$I235))</f>
        <v/>
      </c>
      <c r="P842" s="0" t="str">
        <f aca="false">IF($G842=0,"",IF(对账补充行!$J235=0,"",对账补充行!$J235))</f>
        <v/>
      </c>
      <c r="T842" s="0" t="str">
        <f aca="false">IF(成本费用登记表!$D242="","",成本费用登记表!$D242)</f>
        <v/>
      </c>
      <c r="U842" s="0" t="n">
        <f aca="false">IF(T842="",0,IF(MATCH(T842,$T$4:$T$903,0)=ROW()-3,1,0))</f>
        <v>0</v>
      </c>
      <c r="V842" s="0" t="n">
        <f aca="false">N(V841)+U842</f>
        <v>30</v>
      </c>
    </row>
    <row r="843" customFormat="false" ht="13.5" hidden="false" customHeight="false" outlineLevel="0" collapsed="false">
      <c r="A843" s="0" t="str">
        <f aca="false">IF(资金日记账!$E541="","",资金日记账!$E541)</f>
        <v/>
      </c>
      <c r="B843" s="0" t="n">
        <f aca="false">IF(A843="",0,IF(MATCH(A843,$A$4:$A$1925,0)=ROW()-3,1,0))</f>
        <v>0</v>
      </c>
      <c r="C843" s="0" t="n">
        <f aca="false">N(C842)+B843</f>
        <v>11</v>
      </c>
      <c r="G843" s="0" t="n">
        <f aca="false">IF(OR($G$1="",对账补充行!$C236="",对账补充行!$C236&lt;&gt;$G$1),0,IF(NOT(OR(N(对账补充行!$H236)&lt;&gt;0,N(对账补充行!$I236)&lt;&gt;0)),0,IF(对账补充行!$B236="",1,IF(OR(N(对账补充行!$B236)&lt;$H$1,N(对账补充行!$B236)&gt;$I$1),0,1))))</f>
        <v>0</v>
      </c>
      <c r="H843" s="0" t="n">
        <f aca="false">N(H842)+$G843</f>
        <v>3</v>
      </c>
      <c r="I843" s="0" t="str">
        <f aca="false">IF($G843=0,"",IF(对账补充行!$B236=0,"",对账补充行!$B236))</f>
        <v/>
      </c>
      <c r="J843" s="0" t="str">
        <f aca="false">IF($G843=0,"",IF(对账补充行!$D236=0,"",对账补充行!$D236))</f>
        <v/>
      </c>
      <c r="K843" s="0" t="str">
        <f aca="false">IF($G843=0,"",IF(对账补充行!$E236=0,"",对账补充行!$E236))</f>
        <v/>
      </c>
      <c r="L843" s="0" t="str">
        <f aca="false">IF($G843=0,"",IF(对账补充行!$F236=0,"",对账补充行!$F236))</f>
        <v/>
      </c>
      <c r="M843" s="0" t="str">
        <f aca="false">IF($G843=0,"",IF(对账补充行!$G236=0,"",对账补充行!$G236))</f>
        <v/>
      </c>
      <c r="N843" s="0" t="str">
        <f aca="false">IF($G843=0,"",IF(对账补充行!$H236=0,"",对账补充行!$H236))</f>
        <v/>
      </c>
      <c r="O843" s="0" t="str">
        <f aca="false">IF($G843=0,"",IF(对账补充行!$I236=0,"",对账补充行!$I236))</f>
        <v/>
      </c>
      <c r="P843" s="0" t="str">
        <f aca="false">IF($G843=0,"",IF(对账补充行!$J236=0,"",对账补充行!$J236))</f>
        <v/>
      </c>
      <c r="T843" s="0" t="str">
        <f aca="false">IF(成本费用登记表!$D243="","",成本费用登记表!$D243)</f>
        <v/>
      </c>
      <c r="U843" s="0" t="n">
        <f aca="false">IF(T843="",0,IF(MATCH(T843,$T$4:$T$903,0)=ROW()-3,1,0))</f>
        <v>0</v>
      </c>
      <c r="V843" s="0" t="n">
        <f aca="false">N(V842)+U843</f>
        <v>30</v>
      </c>
    </row>
    <row r="844" customFormat="false" ht="13.5" hidden="false" customHeight="false" outlineLevel="0" collapsed="false">
      <c r="A844" s="0" t="str">
        <f aca="false">IF(资金日记账!$E542="","",资金日记账!$E542)</f>
        <v/>
      </c>
      <c r="B844" s="0" t="n">
        <f aca="false">IF(A844="",0,IF(MATCH(A844,$A$4:$A$1925,0)=ROW()-3,1,0))</f>
        <v>0</v>
      </c>
      <c r="C844" s="0" t="n">
        <f aca="false">N(C843)+B844</f>
        <v>11</v>
      </c>
      <c r="G844" s="0" t="n">
        <f aca="false">IF(OR($G$1="",对账补充行!$C237="",对账补充行!$C237&lt;&gt;$G$1),0,IF(NOT(OR(N(对账补充行!$H237)&lt;&gt;0,N(对账补充行!$I237)&lt;&gt;0)),0,IF(对账补充行!$B237="",1,IF(OR(N(对账补充行!$B237)&lt;$H$1,N(对账补充行!$B237)&gt;$I$1),0,1))))</f>
        <v>0</v>
      </c>
      <c r="H844" s="0" t="n">
        <f aca="false">N(H843)+$G844</f>
        <v>3</v>
      </c>
      <c r="I844" s="0" t="str">
        <f aca="false">IF($G844=0,"",IF(对账补充行!$B237=0,"",对账补充行!$B237))</f>
        <v/>
      </c>
      <c r="J844" s="0" t="str">
        <f aca="false">IF($G844=0,"",IF(对账补充行!$D237=0,"",对账补充行!$D237))</f>
        <v/>
      </c>
      <c r="K844" s="0" t="str">
        <f aca="false">IF($G844=0,"",IF(对账补充行!$E237=0,"",对账补充行!$E237))</f>
        <v/>
      </c>
      <c r="L844" s="0" t="str">
        <f aca="false">IF($G844=0,"",IF(对账补充行!$F237=0,"",对账补充行!$F237))</f>
        <v/>
      </c>
      <c r="M844" s="0" t="str">
        <f aca="false">IF($G844=0,"",IF(对账补充行!$G237=0,"",对账补充行!$G237))</f>
        <v/>
      </c>
      <c r="N844" s="0" t="str">
        <f aca="false">IF($G844=0,"",IF(对账补充行!$H237=0,"",对账补充行!$H237))</f>
        <v/>
      </c>
      <c r="O844" s="0" t="str">
        <f aca="false">IF($G844=0,"",IF(对账补充行!$I237=0,"",对账补充行!$I237))</f>
        <v/>
      </c>
      <c r="P844" s="0" t="str">
        <f aca="false">IF($G844=0,"",IF(对账补充行!$J237=0,"",对账补充行!$J237))</f>
        <v/>
      </c>
      <c r="T844" s="0" t="str">
        <f aca="false">IF(成本费用登记表!$D244="","",成本费用登记表!$D244)</f>
        <v/>
      </c>
      <c r="U844" s="0" t="n">
        <f aca="false">IF(T844="",0,IF(MATCH(T844,$T$4:$T$903,0)=ROW()-3,1,0))</f>
        <v>0</v>
      </c>
      <c r="V844" s="0" t="n">
        <f aca="false">N(V843)+U844</f>
        <v>30</v>
      </c>
    </row>
    <row r="845" customFormat="false" ht="13.5" hidden="false" customHeight="false" outlineLevel="0" collapsed="false">
      <c r="A845" s="0" t="str">
        <f aca="false">IF(资金日记账!$E543="","",资金日记账!$E543)</f>
        <v/>
      </c>
      <c r="B845" s="0" t="n">
        <f aca="false">IF(A845="",0,IF(MATCH(A845,$A$4:$A$1925,0)=ROW()-3,1,0))</f>
        <v>0</v>
      </c>
      <c r="C845" s="0" t="n">
        <f aca="false">N(C844)+B845</f>
        <v>11</v>
      </c>
      <c r="G845" s="0" t="n">
        <f aca="false">IF(OR($G$1="",对账补充行!$C238="",对账补充行!$C238&lt;&gt;$G$1),0,IF(NOT(OR(N(对账补充行!$H238)&lt;&gt;0,N(对账补充行!$I238)&lt;&gt;0)),0,IF(对账补充行!$B238="",1,IF(OR(N(对账补充行!$B238)&lt;$H$1,N(对账补充行!$B238)&gt;$I$1),0,1))))</f>
        <v>0</v>
      </c>
      <c r="H845" s="0" t="n">
        <f aca="false">N(H844)+$G845</f>
        <v>3</v>
      </c>
      <c r="I845" s="0" t="str">
        <f aca="false">IF($G845=0,"",IF(对账补充行!$B238=0,"",对账补充行!$B238))</f>
        <v/>
      </c>
      <c r="J845" s="0" t="str">
        <f aca="false">IF($G845=0,"",IF(对账补充行!$D238=0,"",对账补充行!$D238))</f>
        <v/>
      </c>
      <c r="K845" s="0" t="str">
        <f aca="false">IF($G845=0,"",IF(对账补充行!$E238=0,"",对账补充行!$E238))</f>
        <v/>
      </c>
      <c r="L845" s="0" t="str">
        <f aca="false">IF($G845=0,"",IF(对账补充行!$F238=0,"",对账补充行!$F238))</f>
        <v/>
      </c>
      <c r="M845" s="0" t="str">
        <f aca="false">IF($G845=0,"",IF(对账补充行!$G238=0,"",对账补充行!$G238))</f>
        <v/>
      </c>
      <c r="N845" s="0" t="str">
        <f aca="false">IF($G845=0,"",IF(对账补充行!$H238=0,"",对账补充行!$H238))</f>
        <v/>
      </c>
      <c r="O845" s="0" t="str">
        <f aca="false">IF($G845=0,"",IF(对账补充行!$I238=0,"",对账补充行!$I238))</f>
        <v/>
      </c>
      <c r="P845" s="0" t="str">
        <f aca="false">IF($G845=0,"",IF(对账补充行!$J238=0,"",对账补充行!$J238))</f>
        <v/>
      </c>
      <c r="T845" s="0" t="str">
        <f aca="false">IF(成本费用登记表!$D245="","",成本费用登记表!$D245)</f>
        <v/>
      </c>
      <c r="U845" s="0" t="n">
        <f aca="false">IF(T845="",0,IF(MATCH(T845,$T$4:$T$903,0)=ROW()-3,1,0))</f>
        <v>0</v>
      </c>
      <c r="V845" s="0" t="n">
        <f aca="false">N(V844)+U845</f>
        <v>30</v>
      </c>
    </row>
    <row r="846" customFormat="false" ht="13.5" hidden="false" customHeight="false" outlineLevel="0" collapsed="false">
      <c r="A846" s="0" t="str">
        <f aca="false">IF(资金日记账!$E544="","",资金日记账!$E544)</f>
        <v/>
      </c>
      <c r="B846" s="0" t="n">
        <f aca="false">IF(A846="",0,IF(MATCH(A846,$A$4:$A$1925,0)=ROW()-3,1,0))</f>
        <v>0</v>
      </c>
      <c r="C846" s="0" t="n">
        <f aca="false">N(C845)+B846</f>
        <v>11</v>
      </c>
      <c r="G846" s="0" t="n">
        <f aca="false">IF(OR($G$1="",对账补充行!$C239="",对账补充行!$C239&lt;&gt;$G$1),0,IF(NOT(OR(N(对账补充行!$H239)&lt;&gt;0,N(对账补充行!$I239)&lt;&gt;0)),0,IF(对账补充行!$B239="",1,IF(OR(N(对账补充行!$B239)&lt;$H$1,N(对账补充行!$B239)&gt;$I$1),0,1))))</f>
        <v>0</v>
      </c>
      <c r="H846" s="0" t="n">
        <f aca="false">N(H845)+$G846</f>
        <v>3</v>
      </c>
      <c r="I846" s="0" t="str">
        <f aca="false">IF($G846=0,"",IF(对账补充行!$B239=0,"",对账补充行!$B239))</f>
        <v/>
      </c>
      <c r="J846" s="0" t="str">
        <f aca="false">IF($G846=0,"",IF(对账补充行!$D239=0,"",对账补充行!$D239))</f>
        <v/>
      </c>
      <c r="K846" s="0" t="str">
        <f aca="false">IF($G846=0,"",IF(对账补充行!$E239=0,"",对账补充行!$E239))</f>
        <v/>
      </c>
      <c r="L846" s="0" t="str">
        <f aca="false">IF($G846=0,"",IF(对账补充行!$F239=0,"",对账补充行!$F239))</f>
        <v/>
      </c>
      <c r="M846" s="0" t="str">
        <f aca="false">IF($G846=0,"",IF(对账补充行!$G239=0,"",对账补充行!$G239))</f>
        <v/>
      </c>
      <c r="N846" s="0" t="str">
        <f aca="false">IF($G846=0,"",IF(对账补充行!$H239=0,"",对账补充行!$H239))</f>
        <v/>
      </c>
      <c r="O846" s="0" t="str">
        <f aca="false">IF($G846=0,"",IF(对账补充行!$I239=0,"",对账补充行!$I239))</f>
        <v/>
      </c>
      <c r="P846" s="0" t="str">
        <f aca="false">IF($G846=0,"",IF(对账补充行!$J239=0,"",对账补充行!$J239))</f>
        <v/>
      </c>
      <c r="T846" s="0" t="str">
        <f aca="false">IF(成本费用登记表!$D246="","",成本费用登记表!$D246)</f>
        <v/>
      </c>
      <c r="U846" s="0" t="n">
        <f aca="false">IF(T846="",0,IF(MATCH(T846,$T$4:$T$903,0)=ROW()-3,1,0))</f>
        <v>0</v>
      </c>
      <c r="V846" s="0" t="n">
        <f aca="false">N(V845)+U846</f>
        <v>30</v>
      </c>
    </row>
    <row r="847" customFormat="false" ht="13.5" hidden="false" customHeight="false" outlineLevel="0" collapsed="false">
      <c r="A847" s="0" t="str">
        <f aca="false">IF(资金日记账!$E545="","",资金日记账!$E545)</f>
        <v/>
      </c>
      <c r="B847" s="0" t="n">
        <f aca="false">IF(A847="",0,IF(MATCH(A847,$A$4:$A$1925,0)=ROW()-3,1,0))</f>
        <v>0</v>
      </c>
      <c r="C847" s="0" t="n">
        <f aca="false">N(C846)+B847</f>
        <v>11</v>
      </c>
      <c r="G847" s="0" t="n">
        <f aca="false">IF(OR($G$1="",对账补充行!$C240="",对账补充行!$C240&lt;&gt;$G$1),0,IF(NOT(OR(N(对账补充行!$H240)&lt;&gt;0,N(对账补充行!$I240)&lt;&gt;0)),0,IF(对账补充行!$B240="",1,IF(OR(N(对账补充行!$B240)&lt;$H$1,N(对账补充行!$B240)&gt;$I$1),0,1))))</f>
        <v>0</v>
      </c>
      <c r="H847" s="0" t="n">
        <f aca="false">N(H846)+$G847</f>
        <v>3</v>
      </c>
      <c r="I847" s="0" t="str">
        <f aca="false">IF($G847=0,"",IF(对账补充行!$B240=0,"",对账补充行!$B240))</f>
        <v/>
      </c>
      <c r="J847" s="0" t="str">
        <f aca="false">IF($G847=0,"",IF(对账补充行!$D240=0,"",对账补充行!$D240))</f>
        <v/>
      </c>
      <c r="K847" s="0" t="str">
        <f aca="false">IF($G847=0,"",IF(对账补充行!$E240=0,"",对账补充行!$E240))</f>
        <v/>
      </c>
      <c r="L847" s="0" t="str">
        <f aca="false">IF($G847=0,"",IF(对账补充行!$F240=0,"",对账补充行!$F240))</f>
        <v/>
      </c>
      <c r="M847" s="0" t="str">
        <f aca="false">IF($G847=0,"",IF(对账补充行!$G240=0,"",对账补充行!$G240))</f>
        <v/>
      </c>
      <c r="N847" s="0" t="str">
        <f aca="false">IF($G847=0,"",IF(对账补充行!$H240=0,"",对账补充行!$H240))</f>
        <v/>
      </c>
      <c r="O847" s="0" t="str">
        <f aca="false">IF($G847=0,"",IF(对账补充行!$I240=0,"",对账补充行!$I240))</f>
        <v/>
      </c>
      <c r="P847" s="0" t="str">
        <f aca="false">IF($G847=0,"",IF(对账补充行!$J240=0,"",对账补充行!$J240))</f>
        <v/>
      </c>
      <c r="T847" s="0" t="str">
        <f aca="false">IF(成本费用登记表!$D247="","",成本费用登记表!$D247)</f>
        <v/>
      </c>
      <c r="U847" s="0" t="n">
        <f aca="false">IF(T847="",0,IF(MATCH(T847,$T$4:$T$903,0)=ROW()-3,1,0))</f>
        <v>0</v>
      </c>
      <c r="V847" s="0" t="n">
        <f aca="false">N(V846)+U847</f>
        <v>30</v>
      </c>
    </row>
    <row r="848" customFormat="false" ht="13.5" hidden="false" customHeight="false" outlineLevel="0" collapsed="false">
      <c r="A848" s="0" t="str">
        <f aca="false">IF(资金日记账!$E546="","",资金日记账!$E546)</f>
        <v/>
      </c>
      <c r="B848" s="0" t="n">
        <f aca="false">IF(A848="",0,IF(MATCH(A848,$A$4:$A$1925,0)=ROW()-3,1,0))</f>
        <v>0</v>
      </c>
      <c r="C848" s="0" t="n">
        <f aca="false">N(C847)+B848</f>
        <v>11</v>
      </c>
      <c r="G848" s="0" t="n">
        <f aca="false">IF(OR($G$1="",对账补充行!$C241="",对账补充行!$C241&lt;&gt;$G$1),0,IF(NOT(OR(N(对账补充行!$H241)&lt;&gt;0,N(对账补充行!$I241)&lt;&gt;0)),0,IF(对账补充行!$B241="",1,IF(OR(N(对账补充行!$B241)&lt;$H$1,N(对账补充行!$B241)&gt;$I$1),0,1))))</f>
        <v>0</v>
      </c>
      <c r="H848" s="0" t="n">
        <f aca="false">N(H847)+$G848</f>
        <v>3</v>
      </c>
      <c r="I848" s="0" t="str">
        <f aca="false">IF($G848=0,"",IF(对账补充行!$B241=0,"",对账补充行!$B241))</f>
        <v/>
      </c>
      <c r="J848" s="0" t="str">
        <f aca="false">IF($G848=0,"",IF(对账补充行!$D241=0,"",对账补充行!$D241))</f>
        <v/>
      </c>
      <c r="K848" s="0" t="str">
        <f aca="false">IF($G848=0,"",IF(对账补充行!$E241=0,"",对账补充行!$E241))</f>
        <v/>
      </c>
      <c r="L848" s="0" t="str">
        <f aca="false">IF($G848=0,"",IF(对账补充行!$F241=0,"",对账补充行!$F241))</f>
        <v/>
      </c>
      <c r="M848" s="0" t="str">
        <f aca="false">IF($G848=0,"",IF(对账补充行!$G241=0,"",对账补充行!$G241))</f>
        <v/>
      </c>
      <c r="N848" s="0" t="str">
        <f aca="false">IF($G848=0,"",IF(对账补充行!$H241=0,"",对账补充行!$H241))</f>
        <v/>
      </c>
      <c r="O848" s="0" t="str">
        <f aca="false">IF($G848=0,"",IF(对账补充行!$I241=0,"",对账补充行!$I241))</f>
        <v/>
      </c>
      <c r="P848" s="0" t="str">
        <f aca="false">IF($G848=0,"",IF(对账补充行!$J241=0,"",对账补充行!$J241))</f>
        <v/>
      </c>
      <c r="T848" s="0" t="str">
        <f aca="false">IF(成本费用登记表!$D248="","",成本费用登记表!$D248)</f>
        <v/>
      </c>
      <c r="U848" s="0" t="n">
        <f aca="false">IF(T848="",0,IF(MATCH(T848,$T$4:$T$903,0)=ROW()-3,1,0))</f>
        <v>0</v>
      </c>
      <c r="V848" s="0" t="n">
        <f aca="false">N(V847)+U848</f>
        <v>30</v>
      </c>
    </row>
    <row r="849" customFormat="false" ht="13.5" hidden="false" customHeight="false" outlineLevel="0" collapsed="false">
      <c r="A849" s="0" t="str">
        <f aca="false">IF(资金日记账!$E547="","",资金日记账!$E547)</f>
        <v/>
      </c>
      <c r="B849" s="0" t="n">
        <f aca="false">IF(A849="",0,IF(MATCH(A849,$A$4:$A$1925,0)=ROW()-3,1,0))</f>
        <v>0</v>
      </c>
      <c r="C849" s="0" t="n">
        <f aca="false">N(C848)+B849</f>
        <v>11</v>
      </c>
      <c r="G849" s="0" t="n">
        <f aca="false">IF(OR($G$1="",对账补充行!$C242="",对账补充行!$C242&lt;&gt;$G$1),0,IF(NOT(OR(N(对账补充行!$H242)&lt;&gt;0,N(对账补充行!$I242)&lt;&gt;0)),0,IF(对账补充行!$B242="",1,IF(OR(N(对账补充行!$B242)&lt;$H$1,N(对账补充行!$B242)&gt;$I$1),0,1))))</f>
        <v>0</v>
      </c>
      <c r="H849" s="0" t="n">
        <f aca="false">N(H848)+$G849</f>
        <v>3</v>
      </c>
      <c r="I849" s="0" t="str">
        <f aca="false">IF($G849=0,"",IF(对账补充行!$B242=0,"",对账补充行!$B242))</f>
        <v/>
      </c>
      <c r="J849" s="0" t="str">
        <f aca="false">IF($G849=0,"",IF(对账补充行!$D242=0,"",对账补充行!$D242))</f>
        <v/>
      </c>
      <c r="K849" s="0" t="str">
        <f aca="false">IF($G849=0,"",IF(对账补充行!$E242=0,"",对账补充行!$E242))</f>
        <v/>
      </c>
      <c r="L849" s="0" t="str">
        <f aca="false">IF($G849=0,"",IF(对账补充行!$F242=0,"",对账补充行!$F242))</f>
        <v/>
      </c>
      <c r="M849" s="0" t="str">
        <f aca="false">IF($G849=0,"",IF(对账补充行!$G242=0,"",对账补充行!$G242))</f>
        <v/>
      </c>
      <c r="N849" s="0" t="str">
        <f aca="false">IF($G849=0,"",IF(对账补充行!$H242=0,"",对账补充行!$H242))</f>
        <v/>
      </c>
      <c r="O849" s="0" t="str">
        <f aca="false">IF($G849=0,"",IF(对账补充行!$I242=0,"",对账补充行!$I242))</f>
        <v/>
      </c>
      <c r="P849" s="0" t="str">
        <f aca="false">IF($G849=0,"",IF(对账补充行!$J242=0,"",对账补充行!$J242))</f>
        <v/>
      </c>
      <c r="T849" s="0" t="str">
        <f aca="false">IF(成本费用登记表!$D249="","",成本费用登记表!$D249)</f>
        <v/>
      </c>
      <c r="U849" s="0" t="n">
        <f aca="false">IF(T849="",0,IF(MATCH(T849,$T$4:$T$903,0)=ROW()-3,1,0))</f>
        <v>0</v>
      </c>
      <c r="V849" s="0" t="n">
        <f aca="false">N(V848)+U849</f>
        <v>30</v>
      </c>
    </row>
    <row r="850" customFormat="false" ht="13.5" hidden="false" customHeight="false" outlineLevel="0" collapsed="false">
      <c r="A850" s="0" t="str">
        <f aca="false">IF(资金日记账!$E548="","",资金日记账!$E548)</f>
        <v/>
      </c>
      <c r="B850" s="0" t="n">
        <f aca="false">IF(A850="",0,IF(MATCH(A850,$A$4:$A$1925,0)=ROW()-3,1,0))</f>
        <v>0</v>
      </c>
      <c r="C850" s="0" t="n">
        <f aca="false">N(C849)+B850</f>
        <v>11</v>
      </c>
      <c r="G850" s="0" t="n">
        <f aca="false">IF(OR($G$1="",对账补充行!$C243="",对账补充行!$C243&lt;&gt;$G$1),0,IF(NOT(OR(N(对账补充行!$H243)&lt;&gt;0,N(对账补充行!$I243)&lt;&gt;0)),0,IF(对账补充行!$B243="",1,IF(OR(N(对账补充行!$B243)&lt;$H$1,N(对账补充行!$B243)&gt;$I$1),0,1))))</f>
        <v>0</v>
      </c>
      <c r="H850" s="0" t="n">
        <f aca="false">N(H849)+$G850</f>
        <v>3</v>
      </c>
      <c r="I850" s="0" t="str">
        <f aca="false">IF($G850=0,"",IF(对账补充行!$B243=0,"",对账补充行!$B243))</f>
        <v/>
      </c>
      <c r="J850" s="0" t="str">
        <f aca="false">IF($G850=0,"",IF(对账补充行!$D243=0,"",对账补充行!$D243))</f>
        <v/>
      </c>
      <c r="K850" s="0" t="str">
        <f aca="false">IF($G850=0,"",IF(对账补充行!$E243=0,"",对账补充行!$E243))</f>
        <v/>
      </c>
      <c r="L850" s="0" t="str">
        <f aca="false">IF($G850=0,"",IF(对账补充行!$F243=0,"",对账补充行!$F243))</f>
        <v/>
      </c>
      <c r="M850" s="0" t="str">
        <f aca="false">IF($G850=0,"",IF(对账补充行!$G243=0,"",对账补充行!$G243))</f>
        <v/>
      </c>
      <c r="N850" s="0" t="str">
        <f aca="false">IF($G850=0,"",IF(对账补充行!$H243=0,"",对账补充行!$H243))</f>
        <v/>
      </c>
      <c r="O850" s="0" t="str">
        <f aca="false">IF($G850=0,"",IF(对账补充行!$I243=0,"",对账补充行!$I243))</f>
        <v/>
      </c>
      <c r="P850" s="0" t="str">
        <f aca="false">IF($G850=0,"",IF(对账补充行!$J243=0,"",对账补充行!$J243))</f>
        <v/>
      </c>
      <c r="T850" s="0" t="str">
        <f aca="false">IF(成本费用登记表!$D250="","",成本费用登记表!$D250)</f>
        <v/>
      </c>
      <c r="U850" s="0" t="n">
        <f aca="false">IF(T850="",0,IF(MATCH(T850,$T$4:$T$903,0)=ROW()-3,1,0))</f>
        <v>0</v>
      </c>
      <c r="V850" s="0" t="n">
        <f aca="false">N(V849)+U850</f>
        <v>30</v>
      </c>
    </row>
    <row r="851" customFormat="false" ht="13.5" hidden="false" customHeight="false" outlineLevel="0" collapsed="false">
      <c r="A851" s="0" t="str">
        <f aca="false">IF(资金日记账!$E549="","",资金日记账!$E549)</f>
        <v/>
      </c>
      <c r="B851" s="0" t="n">
        <f aca="false">IF(A851="",0,IF(MATCH(A851,$A$4:$A$1925,0)=ROW()-3,1,0))</f>
        <v>0</v>
      </c>
      <c r="C851" s="0" t="n">
        <f aca="false">N(C850)+B851</f>
        <v>11</v>
      </c>
      <c r="G851" s="0" t="n">
        <f aca="false">IF(OR($G$1="",对账补充行!$C244="",对账补充行!$C244&lt;&gt;$G$1),0,IF(NOT(OR(N(对账补充行!$H244)&lt;&gt;0,N(对账补充行!$I244)&lt;&gt;0)),0,IF(对账补充行!$B244="",1,IF(OR(N(对账补充行!$B244)&lt;$H$1,N(对账补充行!$B244)&gt;$I$1),0,1))))</f>
        <v>0</v>
      </c>
      <c r="H851" s="0" t="n">
        <f aca="false">N(H850)+$G851</f>
        <v>3</v>
      </c>
      <c r="I851" s="0" t="str">
        <f aca="false">IF($G851=0,"",IF(对账补充行!$B244=0,"",对账补充行!$B244))</f>
        <v/>
      </c>
      <c r="J851" s="0" t="str">
        <f aca="false">IF($G851=0,"",IF(对账补充行!$D244=0,"",对账补充行!$D244))</f>
        <v/>
      </c>
      <c r="K851" s="0" t="str">
        <f aca="false">IF($G851=0,"",IF(对账补充行!$E244=0,"",对账补充行!$E244))</f>
        <v/>
      </c>
      <c r="L851" s="0" t="str">
        <f aca="false">IF($G851=0,"",IF(对账补充行!$F244=0,"",对账补充行!$F244))</f>
        <v/>
      </c>
      <c r="M851" s="0" t="str">
        <f aca="false">IF($G851=0,"",IF(对账补充行!$G244=0,"",对账补充行!$G244))</f>
        <v/>
      </c>
      <c r="N851" s="0" t="str">
        <f aca="false">IF($G851=0,"",IF(对账补充行!$H244=0,"",对账补充行!$H244))</f>
        <v/>
      </c>
      <c r="O851" s="0" t="str">
        <f aca="false">IF($G851=0,"",IF(对账补充行!$I244=0,"",对账补充行!$I244))</f>
        <v/>
      </c>
      <c r="P851" s="0" t="str">
        <f aca="false">IF($G851=0,"",IF(对账补充行!$J244=0,"",对账补充行!$J244))</f>
        <v/>
      </c>
      <c r="T851" s="0" t="str">
        <f aca="false">IF(成本费用登记表!$D251="","",成本费用登记表!$D251)</f>
        <v/>
      </c>
      <c r="U851" s="0" t="n">
        <f aca="false">IF(T851="",0,IF(MATCH(T851,$T$4:$T$903,0)=ROW()-3,1,0))</f>
        <v>0</v>
      </c>
      <c r="V851" s="0" t="n">
        <f aca="false">N(V850)+U851</f>
        <v>30</v>
      </c>
    </row>
    <row r="852" customFormat="false" ht="13.5" hidden="false" customHeight="false" outlineLevel="0" collapsed="false">
      <c r="A852" s="0" t="str">
        <f aca="false">IF(资金日记账!$E550="","",资金日记账!$E550)</f>
        <v/>
      </c>
      <c r="B852" s="0" t="n">
        <f aca="false">IF(A852="",0,IF(MATCH(A852,$A$4:$A$1925,0)=ROW()-3,1,0))</f>
        <v>0</v>
      </c>
      <c r="C852" s="0" t="n">
        <f aca="false">N(C851)+B852</f>
        <v>11</v>
      </c>
      <c r="G852" s="0" t="n">
        <f aca="false">IF(OR($G$1="",对账补充行!$C245="",对账补充行!$C245&lt;&gt;$G$1),0,IF(NOT(OR(N(对账补充行!$H245)&lt;&gt;0,N(对账补充行!$I245)&lt;&gt;0)),0,IF(对账补充行!$B245="",1,IF(OR(N(对账补充行!$B245)&lt;$H$1,N(对账补充行!$B245)&gt;$I$1),0,1))))</f>
        <v>0</v>
      </c>
      <c r="H852" s="0" t="n">
        <f aca="false">N(H851)+$G852</f>
        <v>3</v>
      </c>
      <c r="I852" s="0" t="str">
        <f aca="false">IF($G852=0,"",IF(对账补充行!$B245=0,"",对账补充行!$B245))</f>
        <v/>
      </c>
      <c r="J852" s="0" t="str">
        <f aca="false">IF($G852=0,"",IF(对账补充行!$D245=0,"",对账补充行!$D245))</f>
        <v/>
      </c>
      <c r="K852" s="0" t="str">
        <f aca="false">IF($G852=0,"",IF(对账补充行!$E245=0,"",对账补充行!$E245))</f>
        <v/>
      </c>
      <c r="L852" s="0" t="str">
        <f aca="false">IF($G852=0,"",IF(对账补充行!$F245=0,"",对账补充行!$F245))</f>
        <v/>
      </c>
      <c r="M852" s="0" t="str">
        <f aca="false">IF($G852=0,"",IF(对账补充行!$G245=0,"",对账补充行!$G245))</f>
        <v/>
      </c>
      <c r="N852" s="0" t="str">
        <f aca="false">IF($G852=0,"",IF(对账补充行!$H245=0,"",对账补充行!$H245))</f>
        <v/>
      </c>
      <c r="O852" s="0" t="str">
        <f aca="false">IF($G852=0,"",IF(对账补充行!$I245=0,"",对账补充行!$I245))</f>
        <v/>
      </c>
      <c r="P852" s="0" t="str">
        <f aca="false">IF($G852=0,"",IF(对账补充行!$J245=0,"",对账补充行!$J245))</f>
        <v/>
      </c>
      <c r="T852" s="0" t="str">
        <f aca="false">IF(成本费用登记表!$D252="","",成本费用登记表!$D252)</f>
        <v/>
      </c>
      <c r="U852" s="0" t="n">
        <f aca="false">IF(T852="",0,IF(MATCH(T852,$T$4:$T$903,0)=ROW()-3,1,0))</f>
        <v>0</v>
      </c>
      <c r="V852" s="0" t="n">
        <f aca="false">N(V851)+U852</f>
        <v>30</v>
      </c>
    </row>
    <row r="853" customFormat="false" ht="13.5" hidden="false" customHeight="false" outlineLevel="0" collapsed="false">
      <c r="A853" s="0" t="str">
        <f aca="false">IF(资金日记账!$E551="","",资金日记账!$E551)</f>
        <v/>
      </c>
      <c r="B853" s="0" t="n">
        <f aca="false">IF(A853="",0,IF(MATCH(A853,$A$4:$A$1925,0)=ROW()-3,1,0))</f>
        <v>0</v>
      </c>
      <c r="C853" s="0" t="n">
        <f aca="false">N(C852)+B853</f>
        <v>11</v>
      </c>
      <c r="G853" s="0" t="n">
        <f aca="false">IF(OR($G$1="",对账补充行!$C246="",对账补充行!$C246&lt;&gt;$G$1),0,IF(NOT(OR(N(对账补充行!$H246)&lt;&gt;0,N(对账补充行!$I246)&lt;&gt;0)),0,IF(对账补充行!$B246="",1,IF(OR(N(对账补充行!$B246)&lt;$H$1,N(对账补充行!$B246)&gt;$I$1),0,1))))</f>
        <v>0</v>
      </c>
      <c r="H853" s="0" t="n">
        <f aca="false">N(H852)+$G853</f>
        <v>3</v>
      </c>
      <c r="I853" s="0" t="str">
        <f aca="false">IF($G853=0,"",IF(对账补充行!$B246=0,"",对账补充行!$B246))</f>
        <v/>
      </c>
      <c r="J853" s="0" t="str">
        <f aca="false">IF($G853=0,"",IF(对账补充行!$D246=0,"",对账补充行!$D246))</f>
        <v/>
      </c>
      <c r="K853" s="0" t="str">
        <f aca="false">IF($G853=0,"",IF(对账补充行!$E246=0,"",对账补充行!$E246))</f>
        <v/>
      </c>
      <c r="L853" s="0" t="str">
        <f aca="false">IF($G853=0,"",IF(对账补充行!$F246=0,"",对账补充行!$F246))</f>
        <v/>
      </c>
      <c r="M853" s="0" t="str">
        <f aca="false">IF($G853=0,"",IF(对账补充行!$G246=0,"",对账补充行!$G246))</f>
        <v/>
      </c>
      <c r="N853" s="0" t="str">
        <f aca="false">IF($G853=0,"",IF(对账补充行!$H246=0,"",对账补充行!$H246))</f>
        <v/>
      </c>
      <c r="O853" s="0" t="str">
        <f aca="false">IF($G853=0,"",IF(对账补充行!$I246=0,"",对账补充行!$I246))</f>
        <v/>
      </c>
      <c r="P853" s="0" t="str">
        <f aca="false">IF($G853=0,"",IF(对账补充行!$J246=0,"",对账补充行!$J246))</f>
        <v/>
      </c>
      <c r="T853" s="0" t="str">
        <f aca="false">IF(成本费用登记表!$D253="","",成本费用登记表!$D253)</f>
        <v/>
      </c>
      <c r="U853" s="0" t="n">
        <f aca="false">IF(T853="",0,IF(MATCH(T853,$T$4:$T$903,0)=ROW()-3,1,0))</f>
        <v>0</v>
      </c>
      <c r="V853" s="0" t="n">
        <f aca="false">N(V852)+U853</f>
        <v>30</v>
      </c>
    </row>
    <row r="854" customFormat="false" ht="13.5" hidden="false" customHeight="false" outlineLevel="0" collapsed="false">
      <c r="A854" s="0" t="str">
        <f aca="false">IF(资金日记账!$E552="","",资金日记账!$E552)</f>
        <v/>
      </c>
      <c r="B854" s="0" t="n">
        <f aca="false">IF(A854="",0,IF(MATCH(A854,$A$4:$A$1925,0)=ROW()-3,1,0))</f>
        <v>0</v>
      </c>
      <c r="C854" s="0" t="n">
        <f aca="false">N(C853)+B854</f>
        <v>11</v>
      </c>
      <c r="G854" s="0" t="n">
        <f aca="false">IF(OR($G$1="",对账补充行!$C247="",对账补充行!$C247&lt;&gt;$G$1),0,IF(NOT(OR(N(对账补充行!$H247)&lt;&gt;0,N(对账补充行!$I247)&lt;&gt;0)),0,IF(对账补充行!$B247="",1,IF(OR(N(对账补充行!$B247)&lt;$H$1,N(对账补充行!$B247)&gt;$I$1),0,1))))</f>
        <v>0</v>
      </c>
      <c r="H854" s="0" t="n">
        <f aca="false">N(H853)+$G854</f>
        <v>3</v>
      </c>
      <c r="I854" s="0" t="str">
        <f aca="false">IF($G854=0,"",IF(对账补充行!$B247=0,"",对账补充行!$B247))</f>
        <v/>
      </c>
      <c r="J854" s="0" t="str">
        <f aca="false">IF($G854=0,"",IF(对账补充行!$D247=0,"",对账补充行!$D247))</f>
        <v/>
      </c>
      <c r="K854" s="0" t="str">
        <f aca="false">IF($G854=0,"",IF(对账补充行!$E247=0,"",对账补充行!$E247))</f>
        <v/>
      </c>
      <c r="L854" s="0" t="str">
        <f aca="false">IF($G854=0,"",IF(对账补充行!$F247=0,"",对账补充行!$F247))</f>
        <v/>
      </c>
      <c r="M854" s="0" t="str">
        <f aca="false">IF($G854=0,"",IF(对账补充行!$G247=0,"",对账补充行!$G247))</f>
        <v/>
      </c>
      <c r="N854" s="0" t="str">
        <f aca="false">IF($G854=0,"",IF(对账补充行!$H247=0,"",对账补充行!$H247))</f>
        <v/>
      </c>
      <c r="O854" s="0" t="str">
        <f aca="false">IF($G854=0,"",IF(对账补充行!$I247=0,"",对账补充行!$I247))</f>
        <v/>
      </c>
      <c r="P854" s="0" t="str">
        <f aca="false">IF($G854=0,"",IF(对账补充行!$J247=0,"",对账补充行!$J247))</f>
        <v/>
      </c>
      <c r="T854" s="0" t="str">
        <f aca="false">IF(成本费用登记表!$D254="","",成本费用登记表!$D254)</f>
        <v/>
      </c>
      <c r="U854" s="0" t="n">
        <f aca="false">IF(T854="",0,IF(MATCH(T854,$T$4:$T$903,0)=ROW()-3,1,0))</f>
        <v>0</v>
      </c>
      <c r="V854" s="0" t="n">
        <f aca="false">N(V853)+U854</f>
        <v>30</v>
      </c>
    </row>
    <row r="855" customFormat="false" ht="13.5" hidden="false" customHeight="false" outlineLevel="0" collapsed="false">
      <c r="A855" s="0" t="str">
        <f aca="false">IF(资金日记账!$E553="","",资金日记账!$E553)</f>
        <v/>
      </c>
      <c r="B855" s="0" t="n">
        <f aca="false">IF(A855="",0,IF(MATCH(A855,$A$4:$A$1925,0)=ROW()-3,1,0))</f>
        <v>0</v>
      </c>
      <c r="C855" s="0" t="n">
        <f aca="false">N(C854)+B855</f>
        <v>11</v>
      </c>
      <c r="G855" s="0" t="n">
        <f aca="false">IF(OR($G$1="",对账补充行!$C248="",对账补充行!$C248&lt;&gt;$G$1),0,IF(NOT(OR(N(对账补充行!$H248)&lt;&gt;0,N(对账补充行!$I248)&lt;&gt;0)),0,IF(对账补充行!$B248="",1,IF(OR(N(对账补充行!$B248)&lt;$H$1,N(对账补充行!$B248)&gt;$I$1),0,1))))</f>
        <v>0</v>
      </c>
      <c r="H855" s="0" t="n">
        <f aca="false">N(H854)+$G855</f>
        <v>3</v>
      </c>
      <c r="I855" s="0" t="str">
        <f aca="false">IF($G855=0,"",IF(对账补充行!$B248=0,"",对账补充行!$B248))</f>
        <v/>
      </c>
      <c r="J855" s="0" t="str">
        <f aca="false">IF($G855=0,"",IF(对账补充行!$D248=0,"",对账补充行!$D248))</f>
        <v/>
      </c>
      <c r="K855" s="0" t="str">
        <f aca="false">IF($G855=0,"",IF(对账补充行!$E248=0,"",对账补充行!$E248))</f>
        <v/>
      </c>
      <c r="L855" s="0" t="str">
        <f aca="false">IF($G855=0,"",IF(对账补充行!$F248=0,"",对账补充行!$F248))</f>
        <v/>
      </c>
      <c r="M855" s="0" t="str">
        <f aca="false">IF($G855=0,"",IF(对账补充行!$G248=0,"",对账补充行!$G248))</f>
        <v/>
      </c>
      <c r="N855" s="0" t="str">
        <f aca="false">IF($G855=0,"",IF(对账补充行!$H248=0,"",对账补充行!$H248))</f>
        <v/>
      </c>
      <c r="O855" s="0" t="str">
        <f aca="false">IF($G855=0,"",IF(对账补充行!$I248=0,"",对账补充行!$I248))</f>
        <v/>
      </c>
      <c r="P855" s="0" t="str">
        <f aca="false">IF($G855=0,"",IF(对账补充行!$J248=0,"",对账补充行!$J248))</f>
        <v/>
      </c>
      <c r="T855" s="0" t="str">
        <f aca="false">IF(成本费用登记表!$D255="","",成本费用登记表!$D255)</f>
        <v/>
      </c>
      <c r="U855" s="0" t="n">
        <f aca="false">IF(T855="",0,IF(MATCH(T855,$T$4:$T$903,0)=ROW()-3,1,0))</f>
        <v>0</v>
      </c>
      <c r="V855" s="0" t="n">
        <f aca="false">N(V854)+U855</f>
        <v>30</v>
      </c>
    </row>
    <row r="856" customFormat="false" ht="13.5" hidden="false" customHeight="false" outlineLevel="0" collapsed="false">
      <c r="A856" s="0" t="str">
        <f aca="false">IF(资金日记账!$E554="","",资金日记账!$E554)</f>
        <v/>
      </c>
      <c r="B856" s="0" t="n">
        <f aca="false">IF(A856="",0,IF(MATCH(A856,$A$4:$A$1925,0)=ROW()-3,1,0))</f>
        <v>0</v>
      </c>
      <c r="C856" s="0" t="n">
        <f aca="false">N(C855)+B856</f>
        <v>11</v>
      </c>
      <c r="G856" s="0" t="n">
        <f aca="false">IF(OR($G$1="",对账补充行!$C249="",对账补充行!$C249&lt;&gt;$G$1),0,IF(NOT(OR(N(对账补充行!$H249)&lt;&gt;0,N(对账补充行!$I249)&lt;&gt;0)),0,IF(对账补充行!$B249="",1,IF(OR(N(对账补充行!$B249)&lt;$H$1,N(对账补充行!$B249)&gt;$I$1),0,1))))</f>
        <v>0</v>
      </c>
      <c r="H856" s="0" t="n">
        <f aca="false">N(H855)+$G856</f>
        <v>3</v>
      </c>
      <c r="I856" s="0" t="str">
        <f aca="false">IF($G856=0,"",IF(对账补充行!$B249=0,"",对账补充行!$B249))</f>
        <v/>
      </c>
      <c r="J856" s="0" t="str">
        <f aca="false">IF($G856=0,"",IF(对账补充行!$D249=0,"",对账补充行!$D249))</f>
        <v/>
      </c>
      <c r="K856" s="0" t="str">
        <f aca="false">IF($G856=0,"",IF(对账补充行!$E249=0,"",对账补充行!$E249))</f>
        <v/>
      </c>
      <c r="L856" s="0" t="str">
        <f aca="false">IF($G856=0,"",IF(对账补充行!$F249=0,"",对账补充行!$F249))</f>
        <v/>
      </c>
      <c r="M856" s="0" t="str">
        <f aca="false">IF($G856=0,"",IF(对账补充行!$G249=0,"",对账补充行!$G249))</f>
        <v/>
      </c>
      <c r="N856" s="0" t="str">
        <f aca="false">IF($G856=0,"",IF(对账补充行!$H249=0,"",对账补充行!$H249))</f>
        <v/>
      </c>
      <c r="O856" s="0" t="str">
        <f aca="false">IF($G856=0,"",IF(对账补充行!$I249=0,"",对账补充行!$I249))</f>
        <v/>
      </c>
      <c r="P856" s="0" t="str">
        <f aca="false">IF($G856=0,"",IF(对账补充行!$J249=0,"",对账补充行!$J249))</f>
        <v/>
      </c>
      <c r="T856" s="0" t="str">
        <f aca="false">IF(成本费用登记表!$D256="","",成本费用登记表!$D256)</f>
        <v/>
      </c>
      <c r="U856" s="0" t="n">
        <f aca="false">IF(T856="",0,IF(MATCH(T856,$T$4:$T$903,0)=ROW()-3,1,0))</f>
        <v>0</v>
      </c>
      <c r="V856" s="0" t="n">
        <f aca="false">N(V855)+U856</f>
        <v>30</v>
      </c>
    </row>
    <row r="857" customFormat="false" ht="13.5" hidden="false" customHeight="false" outlineLevel="0" collapsed="false">
      <c r="A857" s="0" t="str">
        <f aca="false">IF(资金日记账!$E555="","",资金日记账!$E555)</f>
        <v/>
      </c>
      <c r="B857" s="0" t="n">
        <f aca="false">IF(A857="",0,IF(MATCH(A857,$A$4:$A$1925,0)=ROW()-3,1,0))</f>
        <v>0</v>
      </c>
      <c r="C857" s="0" t="n">
        <f aca="false">N(C856)+B857</f>
        <v>11</v>
      </c>
      <c r="G857" s="0" t="n">
        <f aca="false">IF(OR($G$1="",对账补充行!$C250="",对账补充行!$C250&lt;&gt;$G$1),0,IF(NOT(OR(N(对账补充行!$H250)&lt;&gt;0,N(对账补充行!$I250)&lt;&gt;0)),0,IF(对账补充行!$B250="",1,IF(OR(N(对账补充行!$B250)&lt;$H$1,N(对账补充行!$B250)&gt;$I$1),0,1))))</f>
        <v>0</v>
      </c>
      <c r="H857" s="0" t="n">
        <f aca="false">N(H856)+$G857</f>
        <v>3</v>
      </c>
      <c r="I857" s="0" t="str">
        <f aca="false">IF($G857=0,"",IF(对账补充行!$B250=0,"",对账补充行!$B250))</f>
        <v/>
      </c>
      <c r="J857" s="0" t="str">
        <f aca="false">IF($G857=0,"",IF(对账补充行!$D250=0,"",对账补充行!$D250))</f>
        <v/>
      </c>
      <c r="K857" s="0" t="str">
        <f aca="false">IF($G857=0,"",IF(对账补充行!$E250=0,"",对账补充行!$E250))</f>
        <v/>
      </c>
      <c r="L857" s="0" t="str">
        <f aca="false">IF($G857=0,"",IF(对账补充行!$F250=0,"",对账补充行!$F250))</f>
        <v/>
      </c>
      <c r="M857" s="0" t="str">
        <f aca="false">IF($G857=0,"",IF(对账补充行!$G250=0,"",对账补充行!$G250))</f>
        <v/>
      </c>
      <c r="N857" s="0" t="str">
        <f aca="false">IF($G857=0,"",IF(对账补充行!$H250=0,"",对账补充行!$H250))</f>
        <v/>
      </c>
      <c r="O857" s="0" t="str">
        <f aca="false">IF($G857=0,"",IF(对账补充行!$I250=0,"",对账补充行!$I250))</f>
        <v/>
      </c>
      <c r="P857" s="0" t="str">
        <f aca="false">IF($G857=0,"",IF(对账补充行!$J250=0,"",对账补充行!$J250))</f>
        <v/>
      </c>
      <c r="T857" s="0" t="str">
        <f aca="false">IF(成本费用登记表!$D257="","",成本费用登记表!$D257)</f>
        <v/>
      </c>
      <c r="U857" s="0" t="n">
        <f aca="false">IF(T857="",0,IF(MATCH(T857,$T$4:$T$903,0)=ROW()-3,1,0))</f>
        <v>0</v>
      </c>
      <c r="V857" s="0" t="n">
        <f aca="false">N(V856)+U857</f>
        <v>30</v>
      </c>
    </row>
    <row r="858" customFormat="false" ht="13.5" hidden="false" customHeight="false" outlineLevel="0" collapsed="false">
      <c r="A858" s="0" t="str">
        <f aca="false">IF(资金日记账!$E556="","",资金日记账!$E556)</f>
        <v/>
      </c>
      <c r="B858" s="0" t="n">
        <f aca="false">IF(A858="",0,IF(MATCH(A858,$A$4:$A$1925,0)=ROW()-3,1,0))</f>
        <v>0</v>
      </c>
      <c r="C858" s="0" t="n">
        <f aca="false">N(C857)+B858</f>
        <v>11</v>
      </c>
      <c r="G858" s="0" t="n">
        <f aca="false">IF(OR($G$1="",对账补充行!$C251="",对账补充行!$C251&lt;&gt;$G$1),0,IF(NOT(OR(N(对账补充行!$H251)&lt;&gt;0,N(对账补充行!$I251)&lt;&gt;0)),0,IF(对账补充行!$B251="",1,IF(OR(N(对账补充行!$B251)&lt;$H$1,N(对账补充行!$B251)&gt;$I$1),0,1))))</f>
        <v>0</v>
      </c>
      <c r="H858" s="0" t="n">
        <f aca="false">N(H857)+$G858</f>
        <v>3</v>
      </c>
      <c r="I858" s="0" t="str">
        <f aca="false">IF($G858=0,"",IF(对账补充行!$B251=0,"",对账补充行!$B251))</f>
        <v/>
      </c>
      <c r="J858" s="0" t="str">
        <f aca="false">IF($G858=0,"",IF(对账补充行!$D251=0,"",对账补充行!$D251))</f>
        <v/>
      </c>
      <c r="K858" s="0" t="str">
        <f aca="false">IF($G858=0,"",IF(对账补充行!$E251=0,"",对账补充行!$E251))</f>
        <v/>
      </c>
      <c r="L858" s="0" t="str">
        <f aca="false">IF($G858=0,"",IF(对账补充行!$F251=0,"",对账补充行!$F251))</f>
        <v/>
      </c>
      <c r="M858" s="0" t="str">
        <f aca="false">IF($G858=0,"",IF(对账补充行!$G251=0,"",对账补充行!$G251))</f>
        <v/>
      </c>
      <c r="N858" s="0" t="str">
        <f aca="false">IF($G858=0,"",IF(对账补充行!$H251=0,"",对账补充行!$H251))</f>
        <v/>
      </c>
      <c r="O858" s="0" t="str">
        <f aca="false">IF($G858=0,"",IF(对账补充行!$I251=0,"",对账补充行!$I251))</f>
        <v/>
      </c>
      <c r="P858" s="0" t="str">
        <f aca="false">IF($G858=0,"",IF(对账补充行!$J251=0,"",对账补充行!$J251))</f>
        <v/>
      </c>
      <c r="T858" s="0" t="str">
        <f aca="false">IF(成本费用登记表!$D258="","",成本费用登记表!$D258)</f>
        <v/>
      </c>
      <c r="U858" s="0" t="n">
        <f aca="false">IF(T858="",0,IF(MATCH(T858,$T$4:$T$903,0)=ROW()-3,1,0))</f>
        <v>0</v>
      </c>
      <c r="V858" s="0" t="n">
        <f aca="false">N(V857)+U858</f>
        <v>30</v>
      </c>
    </row>
    <row r="859" customFormat="false" ht="13.5" hidden="false" customHeight="false" outlineLevel="0" collapsed="false">
      <c r="A859" s="0" t="str">
        <f aca="false">IF(资金日记账!$E557="","",资金日记账!$E557)</f>
        <v/>
      </c>
      <c r="B859" s="0" t="n">
        <f aca="false">IF(A859="",0,IF(MATCH(A859,$A$4:$A$1925,0)=ROW()-3,1,0))</f>
        <v>0</v>
      </c>
      <c r="C859" s="0" t="n">
        <f aca="false">N(C858)+B859</f>
        <v>11</v>
      </c>
      <c r="G859" s="0" t="n">
        <f aca="false">IF(OR($G$1="",对账补充行!$C252="",对账补充行!$C252&lt;&gt;$G$1),0,IF(NOT(OR(N(对账补充行!$H252)&lt;&gt;0,N(对账补充行!$I252)&lt;&gt;0)),0,IF(对账补充行!$B252="",1,IF(OR(N(对账补充行!$B252)&lt;$H$1,N(对账补充行!$B252)&gt;$I$1),0,1))))</f>
        <v>0</v>
      </c>
      <c r="H859" s="0" t="n">
        <f aca="false">N(H858)+$G859</f>
        <v>3</v>
      </c>
      <c r="I859" s="0" t="str">
        <f aca="false">IF($G859=0,"",IF(对账补充行!$B252=0,"",对账补充行!$B252))</f>
        <v/>
      </c>
      <c r="J859" s="0" t="str">
        <f aca="false">IF($G859=0,"",IF(对账补充行!$D252=0,"",对账补充行!$D252))</f>
        <v/>
      </c>
      <c r="K859" s="0" t="str">
        <f aca="false">IF($G859=0,"",IF(对账补充行!$E252=0,"",对账补充行!$E252))</f>
        <v/>
      </c>
      <c r="L859" s="0" t="str">
        <f aca="false">IF($G859=0,"",IF(对账补充行!$F252=0,"",对账补充行!$F252))</f>
        <v/>
      </c>
      <c r="M859" s="0" t="str">
        <f aca="false">IF($G859=0,"",IF(对账补充行!$G252=0,"",对账补充行!$G252))</f>
        <v/>
      </c>
      <c r="N859" s="0" t="str">
        <f aca="false">IF($G859=0,"",IF(对账补充行!$H252=0,"",对账补充行!$H252))</f>
        <v/>
      </c>
      <c r="O859" s="0" t="str">
        <f aca="false">IF($G859=0,"",IF(对账补充行!$I252=0,"",对账补充行!$I252))</f>
        <v/>
      </c>
      <c r="P859" s="0" t="str">
        <f aca="false">IF($G859=0,"",IF(对账补充行!$J252=0,"",对账补充行!$J252))</f>
        <v/>
      </c>
      <c r="T859" s="0" t="str">
        <f aca="false">IF(成本费用登记表!$D259="","",成本费用登记表!$D259)</f>
        <v/>
      </c>
      <c r="U859" s="0" t="n">
        <f aca="false">IF(T859="",0,IF(MATCH(T859,$T$4:$T$903,0)=ROW()-3,1,0))</f>
        <v>0</v>
      </c>
      <c r="V859" s="0" t="n">
        <f aca="false">N(V858)+U859</f>
        <v>30</v>
      </c>
    </row>
    <row r="860" customFormat="false" ht="13.5" hidden="false" customHeight="false" outlineLevel="0" collapsed="false">
      <c r="A860" s="0" t="str">
        <f aca="false">IF(资金日记账!$E558="","",资金日记账!$E558)</f>
        <v/>
      </c>
      <c r="B860" s="0" t="n">
        <f aca="false">IF(A860="",0,IF(MATCH(A860,$A$4:$A$1925,0)=ROW()-3,1,0))</f>
        <v>0</v>
      </c>
      <c r="C860" s="0" t="n">
        <f aca="false">N(C859)+B860</f>
        <v>11</v>
      </c>
      <c r="G860" s="0" t="n">
        <f aca="false">IF(OR($G$1="",对账补充行!$C253="",对账补充行!$C253&lt;&gt;$G$1),0,IF(NOT(OR(N(对账补充行!$H253)&lt;&gt;0,N(对账补充行!$I253)&lt;&gt;0)),0,IF(对账补充行!$B253="",1,IF(OR(N(对账补充行!$B253)&lt;$H$1,N(对账补充行!$B253)&gt;$I$1),0,1))))</f>
        <v>0</v>
      </c>
      <c r="H860" s="0" t="n">
        <f aca="false">N(H859)+$G860</f>
        <v>3</v>
      </c>
      <c r="I860" s="0" t="str">
        <f aca="false">IF($G860=0,"",IF(对账补充行!$B253=0,"",对账补充行!$B253))</f>
        <v/>
      </c>
      <c r="J860" s="0" t="str">
        <f aca="false">IF($G860=0,"",IF(对账补充行!$D253=0,"",对账补充行!$D253))</f>
        <v/>
      </c>
      <c r="K860" s="0" t="str">
        <f aca="false">IF($G860=0,"",IF(对账补充行!$E253=0,"",对账补充行!$E253))</f>
        <v/>
      </c>
      <c r="L860" s="0" t="str">
        <f aca="false">IF($G860=0,"",IF(对账补充行!$F253=0,"",对账补充行!$F253))</f>
        <v/>
      </c>
      <c r="M860" s="0" t="str">
        <f aca="false">IF($G860=0,"",IF(对账补充行!$G253=0,"",对账补充行!$G253))</f>
        <v/>
      </c>
      <c r="N860" s="0" t="str">
        <f aca="false">IF($G860=0,"",IF(对账补充行!$H253=0,"",对账补充行!$H253))</f>
        <v/>
      </c>
      <c r="O860" s="0" t="str">
        <f aca="false">IF($G860=0,"",IF(对账补充行!$I253=0,"",对账补充行!$I253))</f>
        <v/>
      </c>
      <c r="P860" s="0" t="str">
        <f aca="false">IF($G860=0,"",IF(对账补充行!$J253=0,"",对账补充行!$J253))</f>
        <v/>
      </c>
      <c r="T860" s="0" t="str">
        <f aca="false">IF(成本费用登记表!$D260="","",成本费用登记表!$D260)</f>
        <v/>
      </c>
      <c r="U860" s="0" t="n">
        <f aca="false">IF(T860="",0,IF(MATCH(T860,$T$4:$T$903,0)=ROW()-3,1,0))</f>
        <v>0</v>
      </c>
      <c r="V860" s="0" t="n">
        <f aca="false">N(V859)+U860</f>
        <v>30</v>
      </c>
    </row>
    <row r="861" customFormat="false" ht="13.5" hidden="false" customHeight="false" outlineLevel="0" collapsed="false">
      <c r="A861" s="0" t="str">
        <f aca="false">IF(资金日记账!$E559="","",资金日记账!$E559)</f>
        <v/>
      </c>
      <c r="B861" s="0" t="n">
        <f aca="false">IF(A861="",0,IF(MATCH(A861,$A$4:$A$1925,0)=ROW()-3,1,0))</f>
        <v>0</v>
      </c>
      <c r="C861" s="0" t="n">
        <f aca="false">N(C860)+B861</f>
        <v>11</v>
      </c>
      <c r="G861" s="0" t="n">
        <f aca="false">IF(OR($G$1="",对账补充行!$C254="",对账补充行!$C254&lt;&gt;$G$1),0,IF(NOT(OR(N(对账补充行!$H254)&lt;&gt;0,N(对账补充行!$I254)&lt;&gt;0)),0,IF(对账补充行!$B254="",1,IF(OR(N(对账补充行!$B254)&lt;$H$1,N(对账补充行!$B254)&gt;$I$1),0,1))))</f>
        <v>0</v>
      </c>
      <c r="H861" s="0" t="n">
        <f aca="false">N(H860)+$G861</f>
        <v>3</v>
      </c>
      <c r="I861" s="0" t="str">
        <f aca="false">IF($G861=0,"",IF(对账补充行!$B254=0,"",对账补充行!$B254))</f>
        <v/>
      </c>
      <c r="J861" s="0" t="str">
        <f aca="false">IF($G861=0,"",IF(对账补充行!$D254=0,"",对账补充行!$D254))</f>
        <v/>
      </c>
      <c r="K861" s="0" t="str">
        <f aca="false">IF($G861=0,"",IF(对账补充行!$E254=0,"",对账补充行!$E254))</f>
        <v/>
      </c>
      <c r="L861" s="0" t="str">
        <f aca="false">IF($G861=0,"",IF(对账补充行!$F254=0,"",对账补充行!$F254))</f>
        <v/>
      </c>
      <c r="M861" s="0" t="str">
        <f aca="false">IF($G861=0,"",IF(对账补充行!$G254=0,"",对账补充行!$G254))</f>
        <v/>
      </c>
      <c r="N861" s="0" t="str">
        <f aca="false">IF($G861=0,"",IF(对账补充行!$H254=0,"",对账补充行!$H254))</f>
        <v/>
      </c>
      <c r="O861" s="0" t="str">
        <f aca="false">IF($G861=0,"",IF(对账补充行!$I254=0,"",对账补充行!$I254))</f>
        <v/>
      </c>
      <c r="P861" s="0" t="str">
        <f aca="false">IF($G861=0,"",IF(对账补充行!$J254=0,"",对账补充行!$J254))</f>
        <v/>
      </c>
      <c r="T861" s="0" t="str">
        <f aca="false">IF(成本费用登记表!$D261="","",成本费用登记表!$D261)</f>
        <v/>
      </c>
      <c r="U861" s="0" t="n">
        <f aca="false">IF(T861="",0,IF(MATCH(T861,$T$4:$T$903,0)=ROW()-3,1,0))</f>
        <v>0</v>
      </c>
      <c r="V861" s="0" t="n">
        <f aca="false">N(V860)+U861</f>
        <v>30</v>
      </c>
    </row>
    <row r="862" customFormat="false" ht="13.5" hidden="false" customHeight="false" outlineLevel="0" collapsed="false">
      <c r="A862" s="0" t="str">
        <f aca="false">IF(资金日记账!$E560="","",资金日记账!$E560)</f>
        <v/>
      </c>
      <c r="B862" s="0" t="n">
        <f aca="false">IF(A862="",0,IF(MATCH(A862,$A$4:$A$1925,0)=ROW()-3,1,0))</f>
        <v>0</v>
      </c>
      <c r="C862" s="0" t="n">
        <f aca="false">N(C861)+B862</f>
        <v>11</v>
      </c>
      <c r="G862" s="0" t="n">
        <f aca="false">IF(OR($G$1="",对账补充行!$C255="",对账补充行!$C255&lt;&gt;$G$1),0,IF(NOT(OR(N(对账补充行!$H255)&lt;&gt;0,N(对账补充行!$I255)&lt;&gt;0)),0,IF(对账补充行!$B255="",1,IF(OR(N(对账补充行!$B255)&lt;$H$1,N(对账补充行!$B255)&gt;$I$1),0,1))))</f>
        <v>0</v>
      </c>
      <c r="H862" s="0" t="n">
        <f aca="false">N(H861)+$G862</f>
        <v>3</v>
      </c>
      <c r="I862" s="0" t="str">
        <f aca="false">IF($G862=0,"",IF(对账补充行!$B255=0,"",对账补充行!$B255))</f>
        <v/>
      </c>
      <c r="J862" s="0" t="str">
        <f aca="false">IF($G862=0,"",IF(对账补充行!$D255=0,"",对账补充行!$D255))</f>
        <v/>
      </c>
      <c r="K862" s="0" t="str">
        <f aca="false">IF($G862=0,"",IF(对账补充行!$E255=0,"",对账补充行!$E255))</f>
        <v/>
      </c>
      <c r="L862" s="0" t="str">
        <f aca="false">IF($G862=0,"",IF(对账补充行!$F255=0,"",对账补充行!$F255))</f>
        <v/>
      </c>
      <c r="M862" s="0" t="str">
        <f aca="false">IF($G862=0,"",IF(对账补充行!$G255=0,"",对账补充行!$G255))</f>
        <v/>
      </c>
      <c r="N862" s="0" t="str">
        <f aca="false">IF($G862=0,"",IF(对账补充行!$H255=0,"",对账补充行!$H255))</f>
        <v/>
      </c>
      <c r="O862" s="0" t="str">
        <f aca="false">IF($G862=0,"",IF(对账补充行!$I255=0,"",对账补充行!$I255))</f>
        <v/>
      </c>
      <c r="P862" s="0" t="str">
        <f aca="false">IF($G862=0,"",IF(对账补充行!$J255=0,"",对账补充行!$J255))</f>
        <v/>
      </c>
      <c r="T862" s="0" t="str">
        <f aca="false">IF(成本费用登记表!$D262="","",成本费用登记表!$D262)</f>
        <v/>
      </c>
      <c r="U862" s="0" t="n">
        <f aca="false">IF(T862="",0,IF(MATCH(T862,$T$4:$T$903,0)=ROW()-3,1,0))</f>
        <v>0</v>
      </c>
      <c r="V862" s="0" t="n">
        <f aca="false">N(V861)+U862</f>
        <v>30</v>
      </c>
    </row>
    <row r="863" customFormat="false" ht="13.5" hidden="false" customHeight="false" outlineLevel="0" collapsed="false">
      <c r="A863" s="0" t="str">
        <f aca="false">IF(资金日记账!$E561="","",资金日记账!$E561)</f>
        <v/>
      </c>
      <c r="B863" s="0" t="n">
        <f aca="false">IF(A863="",0,IF(MATCH(A863,$A$4:$A$1925,0)=ROW()-3,1,0))</f>
        <v>0</v>
      </c>
      <c r="C863" s="0" t="n">
        <f aca="false">N(C862)+B863</f>
        <v>11</v>
      </c>
      <c r="G863" s="0" t="n">
        <f aca="false">IF(OR($G$1="",对账补充行!$C256="",对账补充行!$C256&lt;&gt;$G$1),0,IF(NOT(OR(N(对账补充行!$H256)&lt;&gt;0,N(对账补充行!$I256)&lt;&gt;0)),0,IF(对账补充行!$B256="",1,IF(OR(N(对账补充行!$B256)&lt;$H$1,N(对账补充行!$B256)&gt;$I$1),0,1))))</f>
        <v>0</v>
      </c>
      <c r="H863" s="0" t="n">
        <f aca="false">N(H862)+$G863</f>
        <v>3</v>
      </c>
      <c r="I863" s="0" t="str">
        <f aca="false">IF($G863=0,"",IF(对账补充行!$B256=0,"",对账补充行!$B256))</f>
        <v/>
      </c>
      <c r="J863" s="0" t="str">
        <f aca="false">IF($G863=0,"",IF(对账补充行!$D256=0,"",对账补充行!$D256))</f>
        <v/>
      </c>
      <c r="K863" s="0" t="str">
        <f aca="false">IF($G863=0,"",IF(对账补充行!$E256=0,"",对账补充行!$E256))</f>
        <v/>
      </c>
      <c r="L863" s="0" t="str">
        <f aca="false">IF($G863=0,"",IF(对账补充行!$F256=0,"",对账补充行!$F256))</f>
        <v/>
      </c>
      <c r="M863" s="0" t="str">
        <f aca="false">IF($G863=0,"",IF(对账补充行!$G256=0,"",对账补充行!$G256))</f>
        <v/>
      </c>
      <c r="N863" s="0" t="str">
        <f aca="false">IF($G863=0,"",IF(对账补充行!$H256=0,"",对账补充行!$H256))</f>
        <v/>
      </c>
      <c r="O863" s="0" t="str">
        <f aca="false">IF($G863=0,"",IF(对账补充行!$I256=0,"",对账补充行!$I256))</f>
        <v/>
      </c>
      <c r="P863" s="0" t="str">
        <f aca="false">IF($G863=0,"",IF(对账补充行!$J256=0,"",对账补充行!$J256))</f>
        <v/>
      </c>
      <c r="T863" s="0" t="str">
        <f aca="false">IF(成本费用登记表!$D263="","",成本费用登记表!$D263)</f>
        <v/>
      </c>
      <c r="U863" s="0" t="n">
        <f aca="false">IF(T863="",0,IF(MATCH(T863,$T$4:$T$903,0)=ROW()-3,1,0))</f>
        <v>0</v>
      </c>
      <c r="V863" s="0" t="n">
        <f aca="false">N(V862)+U863</f>
        <v>30</v>
      </c>
    </row>
    <row r="864" customFormat="false" ht="13.5" hidden="false" customHeight="false" outlineLevel="0" collapsed="false">
      <c r="A864" s="0" t="str">
        <f aca="false">IF(资金日记账!$E562="","",资金日记账!$E562)</f>
        <v/>
      </c>
      <c r="B864" s="0" t="n">
        <f aca="false">IF(A864="",0,IF(MATCH(A864,$A$4:$A$1925,0)=ROW()-3,1,0))</f>
        <v>0</v>
      </c>
      <c r="C864" s="0" t="n">
        <f aca="false">N(C863)+B864</f>
        <v>11</v>
      </c>
      <c r="G864" s="0" t="n">
        <f aca="false">IF(OR($G$1="",对账补充行!$C257="",对账补充行!$C257&lt;&gt;$G$1),0,IF(NOT(OR(N(对账补充行!$H257)&lt;&gt;0,N(对账补充行!$I257)&lt;&gt;0)),0,IF(对账补充行!$B257="",1,IF(OR(N(对账补充行!$B257)&lt;$H$1,N(对账补充行!$B257)&gt;$I$1),0,1))))</f>
        <v>0</v>
      </c>
      <c r="H864" s="0" t="n">
        <f aca="false">N(H863)+$G864</f>
        <v>3</v>
      </c>
      <c r="I864" s="0" t="str">
        <f aca="false">IF($G864=0,"",IF(对账补充行!$B257=0,"",对账补充行!$B257))</f>
        <v/>
      </c>
      <c r="J864" s="0" t="str">
        <f aca="false">IF($G864=0,"",IF(对账补充行!$D257=0,"",对账补充行!$D257))</f>
        <v/>
      </c>
      <c r="K864" s="0" t="str">
        <f aca="false">IF($G864=0,"",IF(对账补充行!$E257=0,"",对账补充行!$E257))</f>
        <v/>
      </c>
      <c r="L864" s="0" t="str">
        <f aca="false">IF($G864=0,"",IF(对账补充行!$F257=0,"",对账补充行!$F257))</f>
        <v/>
      </c>
      <c r="M864" s="0" t="str">
        <f aca="false">IF($G864=0,"",IF(对账补充行!$G257=0,"",对账补充行!$G257))</f>
        <v/>
      </c>
      <c r="N864" s="0" t="str">
        <f aca="false">IF($G864=0,"",IF(对账补充行!$H257=0,"",对账补充行!$H257))</f>
        <v/>
      </c>
      <c r="O864" s="0" t="str">
        <f aca="false">IF($G864=0,"",IF(对账补充行!$I257=0,"",对账补充行!$I257))</f>
        <v/>
      </c>
      <c r="P864" s="0" t="str">
        <f aca="false">IF($G864=0,"",IF(对账补充行!$J257=0,"",对账补充行!$J257))</f>
        <v/>
      </c>
      <c r="T864" s="0" t="str">
        <f aca="false">IF(成本费用登记表!$D264="","",成本费用登记表!$D264)</f>
        <v/>
      </c>
      <c r="U864" s="0" t="n">
        <f aca="false">IF(T864="",0,IF(MATCH(T864,$T$4:$T$903,0)=ROW()-3,1,0))</f>
        <v>0</v>
      </c>
      <c r="V864" s="0" t="n">
        <f aca="false">N(V863)+U864</f>
        <v>30</v>
      </c>
    </row>
    <row r="865" customFormat="false" ht="13.5" hidden="false" customHeight="false" outlineLevel="0" collapsed="false">
      <c r="A865" s="0" t="str">
        <f aca="false">IF(资金日记账!$E563="","",资金日记账!$E563)</f>
        <v/>
      </c>
      <c r="B865" s="0" t="n">
        <f aca="false">IF(A865="",0,IF(MATCH(A865,$A$4:$A$1925,0)=ROW()-3,1,0))</f>
        <v>0</v>
      </c>
      <c r="C865" s="0" t="n">
        <f aca="false">N(C864)+B865</f>
        <v>11</v>
      </c>
      <c r="G865" s="0" t="n">
        <f aca="false">IF(OR($G$1="",对账补充行!$C258="",对账补充行!$C258&lt;&gt;$G$1),0,IF(NOT(OR(N(对账补充行!$H258)&lt;&gt;0,N(对账补充行!$I258)&lt;&gt;0)),0,IF(对账补充行!$B258="",1,IF(OR(N(对账补充行!$B258)&lt;$H$1,N(对账补充行!$B258)&gt;$I$1),0,1))))</f>
        <v>0</v>
      </c>
      <c r="H865" s="0" t="n">
        <f aca="false">N(H864)+$G865</f>
        <v>3</v>
      </c>
      <c r="I865" s="0" t="str">
        <f aca="false">IF($G865=0,"",IF(对账补充行!$B258=0,"",对账补充行!$B258))</f>
        <v/>
      </c>
      <c r="J865" s="0" t="str">
        <f aca="false">IF($G865=0,"",IF(对账补充行!$D258=0,"",对账补充行!$D258))</f>
        <v/>
      </c>
      <c r="K865" s="0" t="str">
        <f aca="false">IF($G865=0,"",IF(对账补充行!$E258=0,"",对账补充行!$E258))</f>
        <v/>
      </c>
      <c r="L865" s="0" t="str">
        <f aca="false">IF($G865=0,"",IF(对账补充行!$F258=0,"",对账补充行!$F258))</f>
        <v/>
      </c>
      <c r="M865" s="0" t="str">
        <f aca="false">IF($G865=0,"",IF(对账补充行!$G258=0,"",对账补充行!$G258))</f>
        <v/>
      </c>
      <c r="N865" s="0" t="str">
        <f aca="false">IF($G865=0,"",IF(对账补充行!$H258=0,"",对账补充行!$H258))</f>
        <v/>
      </c>
      <c r="O865" s="0" t="str">
        <f aca="false">IF($G865=0,"",IF(对账补充行!$I258=0,"",对账补充行!$I258))</f>
        <v/>
      </c>
      <c r="P865" s="0" t="str">
        <f aca="false">IF($G865=0,"",IF(对账补充行!$J258=0,"",对账补充行!$J258))</f>
        <v/>
      </c>
      <c r="T865" s="0" t="str">
        <f aca="false">IF(成本费用登记表!$D265="","",成本费用登记表!$D265)</f>
        <v/>
      </c>
      <c r="U865" s="0" t="n">
        <f aca="false">IF(T865="",0,IF(MATCH(T865,$T$4:$T$903,0)=ROW()-3,1,0))</f>
        <v>0</v>
      </c>
      <c r="V865" s="0" t="n">
        <f aca="false">N(V864)+U865</f>
        <v>30</v>
      </c>
    </row>
    <row r="866" customFormat="false" ht="13.5" hidden="false" customHeight="false" outlineLevel="0" collapsed="false">
      <c r="A866" s="0" t="str">
        <f aca="false">IF(资金日记账!$E564="","",资金日记账!$E564)</f>
        <v/>
      </c>
      <c r="B866" s="0" t="n">
        <f aca="false">IF(A866="",0,IF(MATCH(A866,$A$4:$A$1925,0)=ROW()-3,1,0))</f>
        <v>0</v>
      </c>
      <c r="C866" s="0" t="n">
        <f aca="false">N(C865)+B866</f>
        <v>11</v>
      </c>
      <c r="G866" s="0" t="n">
        <f aca="false">IF(OR($G$1="",对账补充行!$C259="",对账补充行!$C259&lt;&gt;$G$1),0,IF(NOT(OR(N(对账补充行!$H259)&lt;&gt;0,N(对账补充行!$I259)&lt;&gt;0)),0,IF(对账补充行!$B259="",1,IF(OR(N(对账补充行!$B259)&lt;$H$1,N(对账补充行!$B259)&gt;$I$1),0,1))))</f>
        <v>0</v>
      </c>
      <c r="H866" s="0" t="n">
        <f aca="false">N(H865)+$G866</f>
        <v>3</v>
      </c>
      <c r="I866" s="0" t="str">
        <f aca="false">IF($G866=0,"",IF(对账补充行!$B259=0,"",对账补充行!$B259))</f>
        <v/>
      </c>
      <c r="J866" s="0" t="str">
        <f aca="false">IF($G866=0,"",IF(对账补充行!$D259=0,"",对账补充行!$D259))</f>
        <v/>
      </c>
      <c r="K866" s="0" t="str">
        <f aca="false">IF($G866=0,"",IF(对账补充行!$E259=0,"",对账补充行!$E259))</f>
        <v/>
      </c>
      <c r="L866" s="0" t="str">
        <f aca="false">IF($G866=0,"",IF(对账补充行!$F259=0,"",对账补充行!$F259))</f>
        <v/>
      </c>
      <c r="M866" s="0" t="str">
        <f aca="false">IF($G866=0,"",IF(对账补充行!$G259=0,"",对账补充行!$G259))</f>
        <v/>
      </c>
      <c r="N866" s="0" t="str">
        <f aca="false">IF($G866=0,"",IF(对账补充行!$H259=0,"",对账补充行!$H259))</f>
        <v/>
      </c>
      <c r="O866" s="0" t="str">
        <f aca="false">IF($G866=0,"",IF(对账补充行!$I259=0,"",对账补充行!$I259))</f>
        <v/>
      </c>
      <c r="P866" s="0" t="str">
        <f aca="false">IF($G866=0,"",IF(对账补充行!$J259=0,"",对账补充行!$J259))</f>
        <v/>
      </c>
      <c r="T866" s="0" t="str">
        <f aca="false">IF(成本费用登记表!$D266="","",成本费用登记表!$D266)</f>
        <v/>
      </c>
      <c r="U866" s="0" t="n">
        <f aca="false">IF(T866="",0,IF(MATCH(T866,$T$4:$T$903,0)=ROW()-3,1,0))</f>
        <v>0</v>
      </c>
      <c r="V866" s="0" t="n">
        <f aca="false">N(V865)+U866</f>
        <v>30</v>
      </c>
    </row>
    <row r="867" customFormat="false" ht="13.5" hidden="false" customHeight="false" outlineLevel="0" collapsed="false">
      <c r="A867" s="0" t="str">
        <f aca="false">IF(资金日记账!$E565="","",资金日记账!$E565)</f>
        <v/>
      </c>
      <c r="B867" s="0" t="n">
        <f aca="false">IF(A867="",0,IF(MATCH(A867,$A$4:$A$1925,0)=ROW()-3,1,0))</f>
        <v>0</v>
      </c>
      <c r="C867" s="0" t="n">
        <f aca="false">N(C866)+B867</f>
        <v>11</v>
      </c>
      <c r="G867" s="0" t="n">
        <f aca="false">IF(OR($G$1="",对账补充行!$C260="",对账补充行!$C260&lt;&gt;$G$1),0,IF(NOT(OR(N(对账补充行!$H260)&lt;&gt;0,N(对账补充行!$I260)&lt;&gt;0)),0,IF(对账补充行!$B260="",1,IF(OR(N(对账补充行!$B260)&lt;$H$1,N(对账补充行!$B260)&gt;$I$1),0,1))))</f>
        <v>0</v>
      </c>
      <c r="H867" s="0" t="n">
        <f aca="false">N(H866)+$G867</f>
        <v>3</v>
      </c>
      <c r="I867" s="0" t="str">
        <f aca="false">IF($G867=0,"",IF(对账补充行!$B260=0,"",对账补充行!$B260))</f>
        <v/>
      </c>
      <c r="J867" s="0" t="str">
        <f aca="false">IF($G867=0,"",IF(对账补充行!$D260=0,"",对账补充行!$D260))</f>
        <v/>
      </c>
      <c r="K867" s="0" t="str">
        <f aca="false">IF($G867=0,"",IF(对账补充行!$E260=0,"",对账补充行!$E260))</f>
        <v/>
      </c>
      <c r="L867" s="0" t="str">
        <f aca="false">IF($G867=0,"",IF(对账补充行!$F260=0,"",对账补充行!$F260))</f>
        <v/>
      </c>
      <c r="M867" s="0" t="str">
        <f aca="false">IF($G867=0,"",IF(对账补充行!$G260=0,"",对账补充行!$G260))</f>
        <v/>
      </c>
      <c r="N867" s="0" t="str">
        <f aca="false">IF($G867=0,"",IF(对账补充行!$H260=0,"",对账补充行!$H260))</f>
        <v/>
      </c>
      <c r="O867" s="0" t="str">
        <f aca="false">IF($G867=0,"",IF(对账补充行!$I260=0,"",对账补充行!$I260))</f>
        <v/>
      </c>
      <c r="P867" s="0" t="str">
        <f aca="false">IF($G867=0,"",IF(对账补充行!$J260=0,"",对账补充行!$J260))</f>
        <v/>
      </c>
      <c r="T867" s="0" t="str">
        <f aca="false">IF(成本费用登记表!$D267="","",成本费用登记表!$D267)</f>
        <v/>
      </c>
      <c r="U867" s="0" t="n">
        <f aca="false">IF(T867="",0,IF(MATCH(T867,$T$4:$T$903,0)=ROW()-3,1,0))</f>
        <v>0</v>
      </c>
      <c r="V867" s="0" t="n">
        <f aca="false">N(V866)+U867</f>
        <v>30</v>
      </c>
    </row>
    <row r="868" customFormat="false" ht="13.5" hidden="false" customHeight="false" outlineLevel="0" collapsed="false">
      <c r="A868" s="0" t="str">
        <f aca="false">IF(资金日记账!$E566="","",资金日记账!$E566)</f>
        <v/>
      </c>
      <c r="B868" s="0" t="n">
        <f aca="false">IF(A868="",0,IF(MATCH(A868,$A$4:$A$1925,0)=ROW()-3,1,0))</f>
        <v>0</v>
      </c>
      <c r="C868" s="0" t="n">
        <f aca="false">N(C867)+B868</f>
        <v>11</v>
      </c>
      <c r="G868" s="0" t="n">
        <f aca="false">IF(OR($G$1="",对账补充行!$C261="",对账补充行!$C261&lt;&gt;$G$1),0,IF(NOT(OR(N(对账补充行!$H261)&lt;&gt;0,N(对账补充行!$I261)&lt;&gt;0)),0,IF(对账补充行!$B261="",1,IF(OR(N(对账补充行!$B261)&lt;$H$1,N(对账补充行!$B261)&gt;$I$1),0,1))))</f>
        <v>0</v>
      </c>
      <c r="H868" s="0" t="n">
        <f aca="false">N(H867)+$G868</f>
        <v>3</v>
      </c>
      <c r="I868" s="0" t="str">
        <f aca="false">IF($G868=0,"",IF(对账补充行!$B261=0,"",对账补充行!$B261))</f>
        <v/>
      </c>
      <c r="J868" s="0" t="str">
        <f aca="false">IF($G868=0,"",IF(对账补充行!$D261=0,"",对账补充行!$D261))</f>
        <v/>
      </c>
      <c r="K868" s="0" t="str">
        <f aca="false">IF($G868=0,"",IF(对账补充行!$E261=0,"",对账补充行!$E261))</f>
        <v/>
      </c>
      <c r="L868" s="0" t="str">
        <f aca="false">IF($G868=0,"",IF(对账补充行!$F261=0,"",对账补充行!$F261))</f>
        <v/>
      </c>
      <c r="M868" s="0" t="str">
        <f aca="false">IF($G868=0,"",IF(对账补充行!$G261=0,"",对账补充行!$G261))</f>
        <v/>
      </c>
      <c r="N868" s="0" t="str">
        <f aca="false">IF($G868=0,"",IF(对账补充行!$H261=0,"",对账补充行!$H261))</f>
        <v/>
      </c>
      <c r="O868" s="0" t="str">
        <f aca="false">IF($G868=0,"",IF(对账补充行!$I261=0,"",对账补充行!$I261))</f>
        <v/>
      </c>
      <c r="P868" s="0" t="str">
        <f aca="false">IF($G868=0,"",IF(对账补充行!$J261=0,"",对账补充行!$J261))</f>
        <v/>
      </c>
      <c r="T868" s="0" t="str">
        <f aca="false">IF(成本费用登记表!$D268="","",成本费用登记表!$D268)</f>
        <v/>
      </c>
      <c r="U868" s="0" t="n">
        <f aca="false">IF(T868="",0,IF(MATCH(T868,$T$4:$T$903,0)=ROW()-3,1,0))</f>
        <v>0</v>
      </c>
      <c r="V868" s="0" t="n">
        <f aca="false">N(V867)+U868</f>
        <v>30</v>
      </c>
    </row>
    <row r="869" customFormat="false" ht="13.5" hidden="false" customHeight="false" outlineLevel="0" collapsed="false">
      <c r="A869" s="0" t="str">
        <f aca="false">IF(资金日记账!$E567="","",资金日记账!$E567)</f>
        <v/>
      </c>
      <c r="B869" s="0" t="n">
        <f aca="false">IF(A869="",0,IF(MATCH(A869,$A$4:$A$1925,0)=ROW()-3,1,0))</f>
        <v>0</v>
      </c>
      <c r="C869" s="0" t="n">
        <f aca="false">N(C868)+B869</f>
        <v>11</v>
      </c>
      <c r="G869" s="0" t="n">
        <f aca="false">IF(OR($G$1="",对账补充行!$C262="",对账补充行!$C262&lt;&gt;$G$1),0,IF(NOT(OR(N(对账补充行!$H262)&lt;&gt;0,N(对账补充行!$I262)&lt;&gt;0)),0,IF(对账补充行!$B262="",1,IF(OR(N(对账补充行!$B262)&lt;$H$1,N(对账补充行!$B262)&gt;$I$1),0,1))))</f>
        <v>0</v>
      </c>
      <c r="H869" s="0" t="n">
        <f aca="false">N(H868)+$G869</f>
        <v>3</v>
      </c>
      <c r="I869" s="0" t="str">
        <f aca="false">IF($G869=0,"",IF(对账补充行!$B262=0,"",对账补充行!$B262))</f>
        <v/>
      </c>
      <c r="J869" s="0" t="str">
        <f aca="false">IF($G869=0,"",IF(对账补充行!$D262=0,"",对账补充行!$D262))</f>
        <v/>
      </c>
      <c r="K869" s="0" t="str">
        <f aca="false">IF($G869=0,"",IF(对账补充行!$E262=0,"",对账补充行!$E262))</f>
        <v/>
      </c>
      <c r="L869" s="0" t="str">
        <f aca="false">IF($G869=0,"",IF(对账补充行!$F262=0,"",对账补充行!$F262))</f>
        <v/>
      </c>
      <c r="M869" s="0" t="str">
        <f aca="false">IF($G869=0,"",IF(对账补充行!$G262=0,"",对账补充行!$G262))</f>
        <v/>
      </c>
      <c r="N869" s="0" t="str">
        <f aca="false">IF($G869=0,"",IF(对账补充行!$H262=0,"",对账补充行!$H262))</f>
        <v/>
      </c>
      <c r="O869" s="0" t="str">
        <f aca="false">IF($G869=0,"",IF(对账补充行!$I262=0,"",对账补充行!$I262))</f>
        <v/>
      </c>
      <c r="P869" s="0" t="str">
        <f aca="false">IF($G869=0,"",IF(对账补充行!$J262=0,"",对账补充行!$J262))</f>
        <v/>
      </c>
      <c r="T869" s="0" t="str">
        <f aca="false">IF(成本费用登记表!$D269="","",成本费用登记表!$D269)</f>
        <v/>
      </c>
      <c r="U869" s="0" t="n">
        <f aca="false">IF(T869="",0,IF(MATCH(T869,$T$4:$T$903,0)=ROW()-3,1,0))</f>
        <v>0</v>
      </c>
      <c r="V869" s="0" t="n">
        <f aca="false">N(V868)+U869</f>
        <v>30</v>
      </c>
    </row>
    <row r="870" customFormat="false" ht="13.5" hidden="false" customHeight="false" outlineLevel="0" collapsed="false">
      <c r="A870" s="0" t="str">
        <f aca="false">IF(资金日记账!$E568="","",资金日记账!$E568)</f>
        <v/>
      </c>
      <c r="B870" s="0" t="n">
        <f aca="false">IF(A870="",0,IF(MATCH(A870,$A$4:$A$1925,0)=ROW()-3,1,0))</f>
        <v>0</v>
      </c>
      <c r="C870" s="0" t="n">
        <f aca="false">N(C869)+B870</f>
        <v>11</v>
      </c>
      <c r="G870" s="0" t="n">
        <f aca="false">IF(OR($G$1="",对账补充行!$C263="",对账补充行!$C263&lt;&gt;$G$1),0,IF(NOT(OR(N(对账补充行!$H263)&lt;&gt;0,N(对账补充行!$I263)&lt;&gt;0)),0,IF(对账补充行!$B263="",1,IF(OR(N(对账补充行!$B263)&lt;$H$1,N(对账补充行!$B263)&gt;$I$1),0,1))))</f>
        <v>0</v>
      </c>
      <c r="H870" s="0" t="n">
        <f aca="false">N(H869)+$G870</f>
        <v>3</v>
      </c>
      <c r="I870" s="0" t="str">
        <f aca="false">IF($G870=0,"",IF(对账补充行!$B263=0,"",对账补充行!$B263))</f>
        <v/>
      </c>
      <c r="J870" s="0" t="str">
        <f aca="false">IF($G870=0,"",IF(对账补充行!$D263=0,"",对账补充行!$D263))</f>
        <v/>
      </c>
      <c r="K870" s="0" t="str">
        <f aca="false">IF($G870=0,"",IF(对账补充行!$E263=0,"",对账补充行!$E263))</f>
        <v/>
      </c>
      <c r="L870" s="0" t="str">
        <f aca="false">IF($G870=0,"",IF(对账补充行!$F263=0,"",对账补充行!$F263))</f>
        <v/>
      </c>
      <c r="M870" s="0" t="str">
        <f aca="false">IF($G870=0,"",IF(对账补充行!$G263=0,"",对账补充行!$G263))</f>
        <v/>
      </c>
      <c r="N870" s="0" t="str">
        <f aca="false">IF($G870=0,"",IF(对账补充行!$H263=0,"",对账补充行!$H263))</f>
        <v/>
      </c>
      <c r="O870" s="0" t="str">
        <f aca="false">IF($G870=0,"",IF(对账补充行!$I263=0,"",对账补充行!$I263))</f>
        <v/>
      </c>
      <c r="P870" s="0" t="str">
        <f aca="false">IF($G870=0,"",IF(对账补充行!$J263=0,"",对账补充行!$J263))</f>
        <v/>
      </c>
      <c r="T870" s="0" t="str">
        <f aca="false">IF(成本费用登记表!$D270="","",成本费用登记表!$D270)</f>
        <v/>
      </c>
      <c r="U870" s="0" t="n">
        <f aca="false">IF(T870="",0,IF(MATCH(T870,$T$4:$T$903,0)=ROW()-3,1,0))</f>
        <v>0</v>
      </c>
      <c r="V870" s="0" t="n">
        <f aca="false">N(V869)+U870</f>
        <v>30</v>
      </c>
    </row>
    <row r="871" customFormat="false" ht="13.5" hidden="false" customHeight="false" outlineLevel="0" collapsed="false">
      <c r="A871" s="0" t="str">
        <f aca="false">IF(资金日记账!$E569="","",资金日记账!$E569)</f>
        <v/>
      </c>
      <c r="B871" s="0" t="n">
        <f aca="false">IF(A871="",0,IF(MATCH(A871,$A$4:$A$1925,0)=ROW()-3,1,0))</f>
        <v>0</v>
      </c>
      <c r="C871" s="0" t="n">
        <f aca="false">N(C870)+B871</f>
        <v>11</v>
      </c>
      <c r="G871" s="0" t="n">
        <f aca="false">IF(OR($G$1="",对账补充行!$C264="",对账补充行!$C264&lt;&gt;$G$1),0,IF(NOT(OR(N(对账补充行!$H264)&lt;&gt;0,N(对账补充行!$I264)&lt;&gt;0)),0,IF(对账补充行!$B264="",1,IF(OR(N(对账补充行!$B264)&lt;$H$1,N(对账补充行!$B264)&gt;$I$1),0,1))))</f>
        <v>0</v>
      </c>
      <c r="H871" s="0" t="n">
        <f aca="false">N(H870)+$G871</f>
        <v>3</v>
      </c>
      <c r="I871" s="0" t="str">
        <f aca="false">IF($G871=0,"",IF(对账补充行!$B264=0,"",对账补充行!$B264))</f>
        <v/>
      </c>
      <c r="J871" s="0" t="str">
        <f aca="false">IF($G871=0,"",IF(对账补充行!$D264=0,"",对账补充行!$D264))</f>
        <v/>
      </c>
      <c r="K871" s="0" t="str">
        <f aca="false">IF($G871=0,"",IF(对账补充行!$E264=0,"",对账补充行!$E264))</f>
        <v/>
      </c>
      <c r="L871" s="0" t="str">
        <f aca="false">IF($G871=0,"",IF(对账补充行!$F264=0,"",对账补充行!$F264))</f>
        <v/>
      </c>
      <c r="M871" s="0" t="str">
        <f aca="false">IF($G871=0,"",IF(对账补充行!$G264=0,"",对账补充行!$G264))</f>
        <v/>
      </c>
      <c r="N871" s="0" t="str">
        <f aca="false">IF($G871=0,"",IF(对账补充行!$H264=0,"",对账补充行!$H264))</f>
        <v/>
      </c>
      <c r="O871" s="0" t="str">
        <f aca="false">IF($G871=0,"",IF(对账补充行!$I264=0,"",对账补充行!$I264))</f>
        <v/>
      </c>
      <c r="P871" s="0" t="str">
        <f aca="false">IF($G871=0,"",IF(对账补充行!$J264=0,"",对账补充行!$J264))</f>
        <v/>
      </c>
      <c r="T871" s="0" t="str">
        <f aca="false">IF(成本费用登记表!$D271="","",成本费用登记表!$D271)</f>
        <v/>
      </c>
      <c r="U871" s="0" t="n">
        <f aca="false">IF(T871="",0,IF(MATCH(T871,$T$4:$T$903,0)=ROW()-3,1,0))</f>
        <v>0</v>
      </c>
      <c r="V871" s="0" t="n">
        <f aca="false">N(V870)+U871</f>
        <v>30</v>
      </c>
    </row>
    <row r="872" customFormat="false" ht="13.5" hidden="false" customHeight="false" outlineLevel="0" collapsed="false">
      <c r="A872" s="0" t="str">
        <f aca="false">IF(资金日记账!$E570="","",资金日记账!$E570)</f>
        <v/>
      </c>
      <c r="B872" s="0" t="n">
        <f aca="false">IF(A872="",0,IF(MATCH(A872,$A$4:$A$1925,0)=ROW()-3,1,0))</f>
        <v>0</v>
      </c>
      <c r="C872" s="0" t="n">
        <f aca="false">N(C871)+B872</f>
        <v>11</v>
      </c>
      <c r="G872" s="0" t="n">
        <f aca="false">IF(OR($G$1="",对账补充行!$C265="",对账补充行!$C265&lt;&gt;$G$1),0,IF(NOT(OR(N(对账补充行!$H265)&lt;&gt;0,N(对账补充行!$I265)&lt;&gt;0)),0,IF(对账补充行!$B265="",1,IF(OR(N(对账补充行!$B265)&lt;$H$1,N(对账补充行!$B265)&gt;$I$1),0,1))))</f>
        <v>0</v>
      </c>
      <c r="H872" s="0" t="n">
        <f aca="false">N(H871)+$G872</f>
        <v>3</v>
      </c>
      <c r="I872" s="0" t="str">
        <f aca="false">IF($G872=0,"",IF(对账补充行!$B265=0,"",对账补充行!$B265))</f>
        <v/>
      </c>
      <c r="J872" s="0" t="str">
        <f aca="false">IF($G872=0,"",IF(对账补充行!$D265=0,"",对账补充行!$D265))</f>
        <v/>
      </c>
      <c r="K872" s="0" t="str">
        <f aca="false">IF($G872=0,"",IF(对账补充行!$E265=0,"",对账补充行!$E265))</f>
        <v/>
      </c>
      <c r="L872" s="0" t="str">
        <f aca="false">IF($G872=0,"",IF(对账补充行!$F265=0,"",对账补充行!$F265))</f>
        <v/>
      </c>
      <c r="M872" s="0" t="str">
        <f aca="false">IF($G872=0,"",IF(对账补充行!$G265=0,"",对账补充行!$G265))</f>
        <v/>
      </c>
      <c r="N872" s="0" t="str">
        <f aca="false">IF($G872=0,"",IF(对账补充行!$H265=0,"",对账补充行!$H265))</f>
        <v/>
      </c>
      <c r="O872" s="0" t="str">
        <f aca="false">IF($G872=0,"",IF(对账补充行!$I265=0,"",对账补充行!$I265))</f>
        <v/>
      </c>
      <c r="P872" s="0" t="str">
        <f aca="false">IF($G872=0,"",IF(对账补充行!$J265=0,"",对账补充行!$J265))</f>
        <v/>
      </c>
      <c r="T872" s="0" t="str">
        <f aca="false">IF(成本费用登记表!$D272="","",成本费用登记表!$D272)</f>
        <v/>
      </c>
      <c r="U872" s="0" t="n">
        <f aca="false">IF(T872="",0,IF(MATCH(T872,$T$4:$T$903,0)=ROW()-3,1,0))</f>
        <v>0</v>
      </c>
      <c r="V872" s="0" t="n">
        <f aca="false">N(V871)+U872</f>
        <v>30</v>
      </c>
    </row>
    <row r="873" customFormat="false" ht="13.5" hidden="false" customHeight="false" outlineLevel="0" collapsed="false">
      <c r="A873" s="0" t="str">
        <f aca="false">IF(资金日记账!$E571="","",资金日记账!$E571)</f>
        <v/>
      </c>
      <c r="B873" s="0" t="n">
        <f aca="false">IF(A873="",0,IF(MATCH(A873,$A$4:$A$1925,0)=ROW()-3,1,0))</f>
        <v>0</v>
      </c>
      <c r="C873" s="0" t="n">
        <f aca="false">N(C872)+B873</f>
        <v>11</v>
      </c>
      <c r="G873" s="0" t="n">
        <f aca="false">IF(OR($G$1="",对账补充行!$C266="",对账补充行!$C266&lt;&gt;$G$1),0,IF(NOT(OR(N(对账补充行!$H266)&lt;&gt;0,N(对账补充行!$I266)&lt;&gt;0)),0,IF(对账补充行!$B266="",1,IF(OR(N(对账补充行!$B266)&lt;$H$1,N(对账补充行!$B266)&gt;$I$1),0,1))))</f>
        <v>0</v>
      </c>
      <c r="H873" s="0" t="n">
        <f aca="false">N(H872)+$G873</f>
        <v>3</v>
      </c>
      <c r="I873" s="0" t="str">
        <f aca="false">IF($G873=0,"",IF(对账补充行!$B266=0,"",对账补充行!$B266))</f>
        <v/>
      </c>
      <c r="J873" s="0" t="str">
        <f aca="false">IF($G873=0,"",IF(对账补充行!$D266=0,"",对账补充行!$D266))</f>
        <v/>
      </c>
      <c r="K873" s="0" t="str">
        <f aca="false">IF($G873=0,"",IF(对账补充行!$E266=0,"",对账补充行!$E266))</f>
        <v/>
      </c>
      <c r="L873" s="0" t="str">
        <f aca="false">IF($G873=0,"",IF(对账补充行!$F266=0,"",对账补充行!$F266))</f>
        <v/>
      </c>
      <c r="M873" s="0" t="str">
        <f aca="false">IF($G873=0,"",IF(对账补充行!$G266=0,"",对账补充行!$G266))</f>
        <v/>
      </c>
      <c r="N873" s="0" t="str">
        <f aca="false">IF($G873=0,"",IF(对账补充行!$H266=0,"",对账补充行!$H266))</f>
        <v/>
      </c>
      <c r="O873" s="0" t="str">
        <f aca="false">IF($G873=0,"",IF(对账补充行!$I266=0,"",对账补充行!$I266))</f>
        <v/>
      </c>
      <c r="P873" s="0" t="str">
        <f aca="false">IF($G873=0,"",IF(对账补充行!$J266=0,"",对账补充行!$J266))</f>
        <v/>
      </c>
      <c r="T873" s="0" t="str">
        <f aca="false">IF(成本费用登记表!$D273="","",成本费用登记表!$D273)</f>
        <v/>
      </c>
      <c r="U873" s="0" t="n">
        <f aca="false">IF(T873="",0,IF(MATCH(T873,$T$4:$T$903,0)=ROW()-3,1,0))</f>
        <v>0</v>
      </c>
      <c r="V873" s="0" t="n">
        <f aca="false">N(V872)+U873</f>
        <v>30</v>
      </c>
    </row>
    <row r="874" customFormat="false" ht="13.5" hidden="false" customHeight="false" outlineLevel="0" collapsed="false">
      <c r="A874" s="0" t="str">
        <f aca="false">IF(资金日记账!$E572="","",资金日记账!$E572)</f>
        <v/>
      </c>
      <c r="B874" s="0" t="n">
        <f aca="false">IF(A874="",0,IF(MATCH(A874,$A$4:$A$1925,0)=ROW()-3,1,0))</f>
        <v>0</v>
      </c>
      <c r="C874" s="0" t="n">
        <f aca="false">N(C873)+B874</f>
        <v>11</v>
      </c>
      <c r="G874" s="0" t="n">
        <f aca="false">IF(OR($G$1="",对账补充行!$C267="",对账补充行!$C267&lt;&gt;$G$1),0,IF(NOT(OR(N(对账补充行!$H267)&lt;&gt;0,N(对账补充行!$I267)&lt;&gt;0)),0,IF(对账补充行!$B267="",1,IF(OR(N(对账补充行!$B267)&lt;$H$1,N(对账补充行!$B267)&gt;$I$1),0,1))))</f>
        <v>0</v>
      </c>
      <c r="H874" s="0" t="n">
        <f aca="false">N(H873)+$G874</f>
        <v>3</v>
      </c>
      <c r="I874" s="0" t="str">
        <f aca="false">IF($G874=0,"",IF(对账补充行!$B267=0,"",对账补充行!$B267))</f>
        <v/>
      </c>
      <c r="J874" s="0" t="str">
        <f aca="false">IF($G874=0,"",IF(对账补充行!$D267=0,"",对账补充行!$D267))</f>
        <v/>
      </c>
      <c r="K874" s="0" t="str">
        <f aca="false">IF($G874=0,"",IF(对账补充行!$E267=0,"",对账补充行!$E267))</f>
        <v/>
      </c>
      <c r="L874" s="0" t="str">
        <f aca="false">IF($G874=0,"",IF(对账补充行!$F267=0,"",对账补充行!$F267))</f>
        <v/>
      </c>
      <c r="M874" s="0" t="str">
        <f aca="false">IF($G874=0,"",IF(对账补充行!$G267=0,"",对账补充行!$G267))</f>
        <v/>
      </c>
      <c r="N874" s="0" t="str">
        <f aca="false">IF($G874=0,"",IF(对账补充行!$H267=0,"",对账补充行!$H267))</f>
        <v/>
      </c>
      <c r="O874" s="0" t="str">
        <f aca="false">IF($G874=0,"",IF(对账补充行!$I267=0,"",对账补充行!$I267))</f>
        <v/>
      </c>
      <c r="P874" s="0" t="str">
        <f aca="false">IF($G874=0,"",IF(对账补充行!$J267=0,"",对账补充行!$J267))</f>
        <v/>
      </c>
      <c r="T874" s="0" t="str">
        <f aca="false">IF(成本费用登记表!$D274="","",成本费用登记表!$D274)</f>
        <v/>
      </c>
      <c r="U874" s="0" t="n">
        <f aca="false">IF(T874="",0,IF(MATCH(T874,$T$4:$T$903,0)=ROW()-3,1,0))</f>
        <v>0</v>
      </c>
      <c r="V874" s="0" t="n">
        <f aca="false">N(V873)+U874</f>
        <v>30</v>
      </c>
    </row>
    <row r="875" customFormat="false" ht="13.5" hidden="false" customHeight="false" outlineLevel="0" collapsed="false">
      <c r="A875" s="0" t="str">
        <f aca="false">IF(资金日记账!$E573="","",资金日记账!$E573)</f>
        <v/>
      </c>
      <c r="B875" s="0" t="n">
        <f aca="false">IF(A875="",0,IF(MATCH(A875,$A$4:$A$1925,0)=ROW()-3,1,0))</f>
        <v>0</v>
      </c>
      <c r="C875" s="0" t="n">
        <f aca="false">N(C874)+B875</f>
        <v>11</v>
      </c>
      <c r="G875" s="0" t="n">
        <f aca="false">IF(OR($G$1="",对账补充行!$C268="",对账补充行!$C268&lt;&gt;$G$1),0,IF(NOT(OR(N(对账补充行!$H268)&lt;&gt;0,N(对账补充行!$I268)&lt;&gt;0)),0,IF(对账补充行!$B268="",1,IF(OR(N(对账补充行!$B268)&lt;$H$1,N(对账补充行!$B268)&gt;$I$1),0,1))))</f>
        <v>0</v>
      </c>
      <c r="H875" s="0" t="n">
        <f aca="false">N(H874)+$G875</f>
        <v>3</v>
      </c>
      <c r="I875" s="0" t="str">
        <f aca="false">IF($G875=0,"",IF(对账补充行!$B268=0,"",对账补充行!$B268))</f>
        <v/>
      </c>
      <c r="J875" s="0" t="str">
        <f aca="false">IF($G875=0,"",IF(对账补充行!$D268=0,"",对账补充行!$D268))</f>
        <v/>
      </c>
      <c r="K875" s="0" t="str">
        <f aca="false">IF($G875=0,"",IF(对账补充行!$E268=0,"",对账补充行!$E268))</f>
        <v/>
      </c>
      <c r="L875" s="0" t="str">
        <f aca="false">IF($G875=0,"",IF(对账补充行!$F268=0,"",对账补充行!$F268))</f>
        <v/>
      </c>
      <c r="M875" s="0" t="str">
        <f aca="false">IF($G875=0,"",IF(对账补充行!$G268=0,"",对账补充行!$G268))</f>
        <v/>
      </c>
      <c r="N875" s="0" t="str">
        <f aca="false">IF($G875=0,"",IF(对账补充行!$H268=0,"",对账补充行!$H268))</f>
        <v/>
      </c>
      <c r="O875" s="0" t="str">
        <f aca="false">IF($G875=0,"",IF(对账补充行!$I268=0,"",对账补充行!$I268))</f>
        <v/>
      </c>
      <c r="P875" s="0" t="str">
        <f aca="false">IF($G875=0,"",IF(对账补充行!$J268=0,"",对账补充行!$J268))</f>
        <v/>
      </c>
      <c r="T875" s="0" t="str">
        <f aca="false">IF(成本费用登记表!$D275="","",成本费用登记表!$D275)</f>
        <v/>
      </c>
      <c r="U875" s="0" t="n">
        <f aca="false">IF(T875="",0,IF(MATCH(T875,$T$4:$T$903,0)=ROW()-3,1,0))</f>
        <v>0</v>
      </c>
      <c r="V875" s="0" t="n">
        <f aca="false">N(V874)+U875</f>
        <v>30</v>
      </c>
    </row>
    <row r="876" customFormat="false" ht="13.5" hidden="false" customHeight="false" outlineLevel="0" collapsed="false">
      <c r="A876" s="0" t="str">
        <f aca="false">IF(资金日记账!$E574="","",资金日记账!$E574)</f>
        <v/>
      </c>
      <c r="B876" s="0" t="n">
        <f aca="false">IF(A876="",0,IF(MATCH(A876,$A$4:$A$1925,0)=ROW()-3,1,0))</f>
        <v>0</v>
      </c>
      <c r="C876" s="0" t="n">
        <f aca="false">N(C875)+B876</f>
        <v>11</v>
      </c>
      <c r="G876" s="0" t="n">
        <f aca="false">IF(OR($G$1="",对账补充行!$C269="",对账补充行!$C269&lt;&gt;$G$1),0,IF(NOT(OR(N(对账补充行!$H269)&lt;&gt;0,N(对账补充行!$I269)&lt;&gt;0)),0,IF(对账补充行!$B269="",1,IF(OR(N(对账补充行!$B269)&lt;$H$1,N(对账补充行!$B269)&gt;$I$1),0,1))))</f>
        <v>0</v>
      </c>
      <c r="H876" s="0" t="n">
        <f aca="false">N(H875)+$G876</f>
        <v>3</v>
      </c>
      <c r="I876" s="0" t="str">
        <f aca="false">IF($G876=0,"",IF(对账补充行!$B269=0,"",对账补充行!$B269))</f>
        <v/>
      </c>
      <c r="J876" s="0" t="str">
        <f aca="false">IF($G876=0,"",IF(对账补充行!$D269=0,"",对账补充行!$D269))</f>
        <v/>
      </c>
      <c r="K876" s="0" t="str">
        <f aca="false">IF($G876=0,"",IF(对账补充行!$E269=0,"",对账补充行!$E269))</f>
        <v/>
      </c>
      <c r="L876" s="0" t="str">
        <f aca="false">IF($G876=0,"",IF(对账补充行!$F269=0,"",对账补充行!$F269))</f>
        <v/>
      </c>
      <c r="M876" s="0" t="str">
        <f aca="false">IF($G876=0,"",IF(对账补充行!$G269=0,"",对账补充行!$G269))</f>
        <v/>
      </c>
      <c r="N876" s="0" t="str">
        <f aca="false">IF($G876=0,"",IF(对账补充行!$H269=0,"",对账补充行!$H269))</f>
        <v/>
      </c>
      <c r="O876" s="0" t="str">
        <f aca="false">IF($G876=0,"",IF(对账补充行!$I269=0,"",对账补充行!$I269))</f>
        <v/>
      </c>
      <c r="P876" s="0" t="str">
        <f aca="false">IF($G876=0,"",IF(对账补充行!$J269=0,"",对账补充行!$J269))</f>
        <v/>
      </c>
      <c r="T876" s="0" t="str">
        <f aca="false">IF(成本费用登记表!$D276="","",成本费用登记表!$D276)</f>
        <v/>
      </c>
      <c r="U876" s="0" t="n">
        <f aca="false">IF(T876="",0,IF(MATCH(T876,$T$4:$T$903,0)=ROW()-3,1,0))</f>
        <v>0</v>
      </c>
      <c r="V876" s="0" t="n">
        <f aca="false">N(V875)+U876</f>
        <v>30</v>
      </c>
    </row>
    <row r="877" customFormat="false" ht="13.5" hidden="false" customHeight="false" outlineLevel="0" collapsed="false">
      <c r="A877" s="0" t="str">
        <f aca="false">IF(资金日记账!$E575="","",资金日记账!$E575)</f>
        <v/>
      </c>
      <c r="B877" s="0" t="n">
        <f aca="false">IF(A877="",0,IF(MATCH(A877,$A$4:$A$1925,0)=ROW()-3,1,0))</f>
        <v>0</v>
      </c>
      <c r="C877" s="0" t="n">
        <f aca="false">N(C876)+B877</f>
        <v>11</v>
      </c>
      <c r="G877" s="0" t="n">
        <f aca="false">IF(OR($G$1="",对账补充行!$C270="",对账补充行!$C270&lt;&gt;$G$1),0,IF(NOT(OR(N(对账补充行!$H270)&lt;&gt;0,N(对账补充行!$I270)&lt;&gt;0)),0,IF(对账补充行!$B270="",1,IF(OR(N(对账补充行!$B270)&lt;$H$1,N(对账补充行!$B270)&gt;$I$1),0,1))))</f>
        <v>0</v>
      </c>
      <c r="H877" s="0" t="n">
        <f aca="false">N(H876)+$G877</f>
        <v>3</v>
      </c>
      <c r="I877" s="0" t="str">
        <f aca="false">IF($G877=0,"",IF(对账补充行!$B270=0,"",对账补充行!$B270))</f>
        <v/>
      </c>
      <c r="J877" s="0" t="str">
        <f aca="false">IF($G877=0,"",IF(对账补充行!$D270=0,"",对账补充行!$D270))</f>
        <v/>
      </c>
      <c r="K877" s="0" t="str">
        <f aca="false">IF($G877=0,"",IF(对账补充行!$E270=0,"",对账补充行!$E270))</f>
        <v/>
      </c>
      <c r="L877" s="0" t="str">
        <f aca="false">IF($G877=0,"",IF(对账补充行!$F270=0,"",对账补充行!$F270))</f>
        <v/>
      </c>
      <c r="M877" s="0" t="str">
        <f aca="false">IF($G877=0,"",IF(对账补充行!$G270=0,"",对账补充行!$G270))</f>
        <v/>
      </c>
      <c r="N877" s="0" t="str">
        <f aca="false">IF($G877=0,"",IF(对账补充行!$H270=0,"",对账补充行!$H270))</f>
        <v/>
      </c>
      <c r="O877" s="0" t="str">
        <f aca="false">IF($G877=0,"",IF(对账补充行!$I270=0,"",对账补充行!$I270))</f>
        <v/>
      </c>
      <c r="P877" s="0" t="str">
        <f aca="false">IF($G877=0,"",IF(对账补充行!$J270=0,"",对账补充行!$J270))</f>
        <v/>
      </c>
      <c r="T877" s="0" t="str">
        <f aca="false">IF(成本费用登记表!$D277="","",成本费用登记表!$D277)</f>
        <v/>
      </c>
      <c r="U877" s="0" t="n">
        <f aca="false">IF(T877="",0,IF(MATCH(T877,$T$4:$T$903,0)=ROW()-3,1,0))</f>
        <v>0</v>
      </c>
      <c r="V877" s="0" t="n">
        <f aca="false">N(V876)+U877</f>
        <v>30</v>
      </c>
    </row>
    <row r="878" customFormat="false" ht="13.5" hidden="false" customHeight="false" outlineLevel="0" collapsed="false">
      <c r="A878" s="0" t="str">
        <f aca="false">IF(资金日记账!$E576="","",资金日记账!$E576)</f>
        <v/>
      </c>
      <c r="B878" s="0" t="n">
        <f aca="false">IF(A878="",0,IF(MATCH(A878,$A$4:$A$1925,0)=ROW()-3,1,0))</f>
        <v>0</v>
      </c>
      <c r="C878" s="0" t="n">
        <f aca="false">N(C877)+B878</f>
        <v>11</v>
      </c>
      <c r="G878" s="0" t="n">
        <f aca="false">IF(OR($G$1="",对账补充行!$C271="",对账补充行!$C271&lt;&gt;$G$1),0,IF(NOT(OR(N(对账补充行!$H271)&lt;&gt;0,N(对账补充行!$I271)&lt;&gt;0)),0,IF(对账补充行!$B271="",1,IF(OR(N(对账补充行!$B271)&lt;$H$1,N(对账补充行!$B271)&gt;$I$1),0,1))))</f>
        <v>0</v>
      </c>
      <c r="H878" s="0" t="n">
        <f aca="false">N(H877)+$G878</f>
        <v>3</v>
      </c>
      <c r="I878" s="0" t="str">
        <f aca="false">IF($G878=0,"",IF(对账补充行!$B271=0,"",对账补充行!$B271))</f>
        <v/>
      </c>
      <c r="J878" s="0" t="str">
        <f aca="false">IF($G878=0,"",IF(对账补充行!$D271=0,"",对账补充行!$D271))</f>
        <v/>
      </c>
      <c r="K878" s="0" t="str">
        <f aca="false">IF($G878=0,"",IF(对账补充行!$E271=0,"",对账补充行!$E271))</f>
        <v/>
      </c>
      <c r="L878" s="0" t="str">
        <f aca="false">IF($G878=0,"",IF(对账补充行!$F271=0,"",对账补充行!$F271))</f>
        <v/>
      </c>
      <c r="M878" s="0" t="str">
        <f aca="false">IF($G878=0,"",IF(对账补充行!$G271=0,"",对账补充行!$G271))</f>
        <v/>
      </c>
      <c r="N878" s="0" t="str">
        <f aca="false">IF($G878=0,"",IF(对账补充行!$H271=0,"",对账补充行!$H271))</f>
        <v/>
      </c>
      <c r="O878" s="0" t="str">
        <f aca="false">IF($G878=0,"",IF(对账补充行!$I271=0,"",对账补充行!$I271))</f>
        <v/>
      </c>
      <c r="P878" s="0" t="str">
        <f aca="false">IF($G878=0,"",IF(对账补充行!$J271=0,"",对账补充行!$J271))</f>
        <v/>
      </c>
      <c r="T878" s="0" t="str">
        <f aca="false">IF(成本费用登记表!$D278="","",成本费用登记表!$D278)</f>
        <v/>
      </c>
      <c r="U878" s="0" t="n">
        <f aca="false">IF(T878="",0,IF(MATCH(T878,$T$4:$T$903,0)=ROW()-3,1,0))</f>
        <v>0</v>
      </c>
      <c r="V878" s="0" t="n">
        <f aca="false">N(V877)+U878</f>
        <v>30</v>
      </c>
    </row>
    <row r="879" customFormat="false" ht="13.5" hidden="false" customHeight="false" outlineLevel="0" collapsed="false">
      <c r="A879" s="0" t="str">
        <f aca="false">IF(资金日记账!$E577="","",资金日记账!$E577)</f>
        <v/>
      </c>
      <c r="B879" s="0" t="n">
        <f aca="false">IF(A879="",0,IF(MATCH(A879,$A$4:$A$1925,0)=ROW()-3,1,0))</f>
        <v>0</v>
      </c>
      <c r="C879" s="0" t="n">
        <f aca="false">N(C878)+B879</f>
        <v>11</v>
      </c>
      <c r="G879" s="0" t="n">
        <f aca="false">IF(OR($G$1="",对账补充行!$C272="",对账补充行!$C272&lt;&gt;$G$1),0,IF(NOT(OR(N(对账补充行!$H272)&lt;&gt;0,N(对账补充行!$I272)&lt;&gt;0)),0,IF(对账补充行!$B272="",1,IF(OR(N(对账补充行!$B272)&lt;$H$1,N(对账补充行!$B272)&gt;$I$1),0,1))))</f>
        <v>0</v>
      </c>
      <c r="H879" s="0" t="n">
        <f aca="false">N(H878)+$G879</f>
        <v>3</v>
      </c>
      <c r="I879" s="0" t="str">
        <f aca="false">IF($G879=0,"",IF(对账补充行!$B272=0,"",对账补充行!$B272))</f>
        <v/>
      </c>
      <c r="J879" s="0" t="str">
        <f aca="false">IF($G879=0,"",IF(对账补充行!$D272=0,"",对账补充行!$D272))</f>
        <v/>
      </c>
      <c r="K879" s="0" t="str">
        <f aca="false">IF($G879=0,"",IF(对账补充行!$E272=0,"",对账补充行!$E272))</f>
        <v/>
      </c>
      <c r="L879" s="0" t="str">
        <f aca="false">IF($G879=0,"",IF(对账补充行!$F272=0,"",对账补充行!$F272))</f>
        <v/>
      </c>
      <c r="M879" s="0" t="str">
        <f aca="false">IF($G879=0,"",IF(对账补充行!$G272=0,"",对账补充行!$G272))</f>
        <v/>
      </c>
      <c r="N879" s="0" t="str">
        <f aca="false">IF($G879=0,"",IF(对账补充行!$H272=0,"",对账补充行!$H272))</f>
        <v/>
      </c>
      <c r="O879" s="0" t="str">
        <f aca="false">IF($G879=0,"",IF(对账补充行!$I272=0,"",对账补充行!$I272))</f>
        <v/>
      </c>
      <c r="P879" s="0" t="str">
        <f aca="false">IF($G879=0,"",IF(对账补充行!$J272=0,"",对账补充行!$J272))</f>
        <v/>
      </c>
      <c r="T879" s="0" t="str">
        <f aca="false">IF(成本费用登记表!$D279="","",成本费用登记表!$D279)</f>
        <v/>
      </c>
      <c r="U879" s="0" t="n">
        <f aca="false">IF(T879="",0,IF(MATCH(T879,$T$4:$T$903,0)=ROW()-3,1,0))</f>
        <v>0</v>
      </c>
      <c r="V879" s="0" t="n">
        <f aca="false">N(V878)+U879</f>
        <v>30</v>
      </c>
    </row>
    <row r="880" customFormat="false" ht="13.5" hidden="false" customHeight="false" outlineLevel="0" collapsed="false">
      <c r="A880" s="0" t="str">
        <f aca="false">IF(资金日记账!$E578="","",资金日记账!$E578)</f>
        <v/>
      </c>
      <c r="B880" s="0" t="n">
        <f aca="false">IF(A880="",0,IF(MATCH(A880,$A$4:$A$1925,0)=ROW()-3,1,0))</f>
        <v>0</v>
      </c>
      <c r="C880" s="0" t="n">
        <f aca="false">N(C879)+B880</f>
        <v>11</v>
      </c>
      <c r="G880" s="0" t="n">
        <f aca="false">IF(OR($G$1="",对账补充行!$C273="",对账补充行!$C273&lt;&gt;$G$1),0,IF(NOT(OR(N(对账补充行!$H273)&lt;&gt;0,N(对账补充行!$I273)&lt;&gt;0)),0,IF(对账补充行!$B273="",1,IF(OR(N(对账补充行!$B273)&lt;$H$1,N(对账补充行!$B273)&gt;$I$1),0,1))))</f>
        <v>0</v>
      </c>
      <c r="H880" s="0" t="n">
        <f aca="false">N(H879)+$G880</f>
        <v>3</v>
      </c>
      <c r="I880" s="0" t="str">
        <f aca="false">IF($G880=0,"",IF(对账补充行!$B273=0,"",对账补充行!$B273))</f>
        <v/>
      </c>
      <c r="J880" s="0" t="str">
        <f aca="false">IF($G880=0,"",IF(对账补充行!$D273=0,"",对账补充行!$D273))</f>
        <v/>
      </c>
      <c r="K880" s="0" t="str">
        <f aca="false">IF($G880=0,"",IF(对账补充行!$E273=0,"",对账补充行!$E273))</f>
        <v/>
      </c>
      <c r="L880" s="0" t="str">
        <f aca="false">IF($G880=0,"",IF(对账补充行!$F273=0,"",对账补充行!$F273))</f>
        <v/>
      </c>
      <c r="M880" s="0" t="str">
        <f aca="false">IF($G880=0,"",IF(对账补充行!$G273=0,"",对账补充行!$G273))</f>
        <v/>
      </c>
      <c r="N880" s="0" t="str">
        <f aca="false">IF($G880=0,"",IF(对账补充行!$H273=0,"",对账补充行!$H273))</f>
        <v/>
      </c>
      <c r="O880" s="0" t="str">
        <f aca="false">IF($G880=0,"",IF(对账补充行!$I273=0,"",对账补充行!$I273))</f>
        <v/>
      </c>
      <c r="P880" s="0" t="str">
        <f aca="false">IF($G880=0,"",IF(对账补充行!$J273=0,"",对账补充行!$J273))</f>
        <v/>
      </c>
      <c r="T880" s="0" t="str">
        <f aca="false">IF(成本费用登记表!$D280="","",成本费用登记表!$D280)</f>
        <v/>
      </c>
      <c r="U880" s="0" t="n">
        <f aca="false">IF(T880="",0,IF(MATCH(T880,$T$4:$T$903,0)=ROW()-3,1,0))</f>
        <v>0</v>
      </c>
      <c r="V880" s="0" t="n">
        <f aca="false">N(V879)+U880</f>
        <v>30</v>
      </c>
    </row>
    <row r="881" customFormat="false" ht="13.5" hidden="false" customHeight="false" outlineLevel="0" collapsed="false">
      <c r="A881" s="0" t="str">
        <f aca="false">IF(资金日记账!$E579="","",资金日记账!$E579)</f>
        <v/>
      </c>
      <c r="B881" s="0" t="n">
        <f aca="false">IF(A881="",0,IF(MATCH(A881,$A$4:$A$1925,0)=ROW()-3,1,0))</f>
        <v>0</v>
      </c>
      <c r="C881" s="0" t="n">
        <f aca="false">N(C880)+B881</f>
        <v>11</v>
      </c>
      <c r="G881" s="0" t="n">
        <f aca="false">IF(OR($G$1="",对账补充行!$C274="",对账补充行!$C274&lt;&gt;$G$1),0,IF(NOT(OR(N(对账补充行!$H274)&lt;&gt;0,N(对账补充行!$I274)&lt;&gt;0)),0,IF(对账补充行!$B274="",1,IF(OR(N(对账补充行!$B274)&lt;$H$1,N(对账补充行!$B274)&gt;$I$1),0,1))))</f>
        <v>0</v>
      </c>
      <c r="H881" s="0" t="n">
        <f aca="false">N(H880)+$G881</f>
        <v>3</v>
      </c>
      <c r="I881" s="0" t="str">
        <f aca="false">IF($G881=0,"",IF(对账补充行!$B274=0,"",对账补充行!$B274))</f>
        <v/>
      </c>
      <c r="J881" s="0" t="str">
        <f aca="false">IF($G881=0,"",IF(对账补充行!$D274=0,"",对账补充行!$D274))</f>
        <v/>
      </c>
      <c r="K881" s="0" t="str">
        <f aca="false">IF($G881=0,"",IF(对账补充行!$E274=0,"",对账补充行!$E274))</f>
        <v/>
      </c>
      <c r="L881" s="0" t="str">
        <f aca="false">IF($G881=0,"",IF(对账补充行!$F274=0,"",对账补充行!$F274))</f>
        <v/>
      </c>
      <c r="M881" s="0" t="str">
        <f aca="false">IF($G881=0,"",IF(对账补充行!$G274=0,"",对账补充行!$G274))</f>
        <v/>
      </c>
      <c r="N881" s="0" t="str">
        <f aca="false">IF($G881=0,"",IF(对账补充行!$H274=0,"",对账补充行!$H274))</f>
        <v/>
      </c>
      <c r="O881" s="0" t="str">
        <f aca="false">IF($G881=0,"",IF(对账补充行!$I274=0,"",对账补充行!$I274))</f>
        <v/>
      </c>
      <c r="P881" s="0" t="str">
        <f aca="false">IF($G881=0,"",IF(对账补充行!$J274=0,"",对账补充行!$J274))</f>
        <v/>
      </c>
      <c r="T881" s="0" t="str">
        <f aca="false">IF(成本费用登记表!$D281="","",成本费用登记表!$D281)</f>
        <v/>
      </c>
      <c r="U881" s="0" t="n">
        <f aca="false">IF(T881="",0,IF(MATCH(T881,$T$4:$T$903,0)=ROW()-3,1,0))</f>
        <v>0</v>
      </c>
      <c r="V881" s="0" t="n">
        <f aca="false">N(V880)+U881</f>
        <v>30</v>
      </c>
    </row>
    <row r="882" customFormat="false" ht="13.5" hidden="false" customHeight="false" outlineLevel="0" collapsed="false">
      <c r="A882" s="0" t="str">
        <f aca="false">IF(资金日记账!$E580="","",资金日记账!$E580)</f>
        <v/>
      </c>
      <c r="B882" s="0" t="n">
        <f aca="false">IF(A882="",0,IF(MATCH(A882,$A$4:$A$1925,0)=ROW()-3,1,0))</f>
        <v>0</v>
      </c>
      <c r="C882" s="0" t="n">
        <f aca="false">N(C881)+B882</f>
        <v>11</v>
      </c>
      <c r="G882" s="0" t="n">
        <f aca="false">IF(OR($G$1="",对账补充行!$C275="",对账补充行!$C275&lt;&gt;$G$1),0,IF(NOT(OR(N(对账补充行!$H275)&lt;&gt;0,N(对账补充行!$I275)&lt;&gt;0)),0,IF(对账补充行!$B275="",1,IF(OR(N(对账补充行!$B275)&lt;$H$1,N(对账补充行!$B275)&gt;$I$1),0,1))))</f>
        <v>0</v>
      </c>
      <c r="H882" s="0" t="n">
        <f aca="false">N(H881)+$G882</f>
        <v>3</v>
      </c>
      <c r="I882" s="0" t="str">
        <f aca="false">IF($G882=0,"",IF(对账补充行!$B275=0,"",对账补充行!$B275))</f>
        <v/>
      </c>
      <c r="J882" s="0" t="str">
        <f aca="false">IF($G882=0,"",IF(对账补充行!$D275=0,"",对账补充行!$D275))</f>
        <v/>
      </c>
      <c r="K882" s="0" t="str">
        <f aca="false">IF($G882=0,"",IF(对账补充行!$E275=0,"",对账补充行!$E275))</f>
        <v/>
      </c>
      <c r="L882" s="0" t="str">
        <f aca="false">IF($G882=0,"",IF(对账补充行!$F275=0,"",对账补充行!$F275))</f>
        <v/>
      </c>
      <c r="M882" s="0" t="str">
        <f aca="false">IF($G882=0,"",IF(对账补充行!$G275=0,"",对账补充行!$G275))</f>
        <v/>
      </c>
      <c r="N882" s="0" t="str">
        <f aca="false">IF($G882=0,"",IF(对账补充行!$H275=0,"",对账补充行!$H275))</f>
        <v/>
      </c>
      <c r="O882" s="0" t="str">
        <f aca="false">IF($G882=0,"",IF(对账补充行!$I275=0,"",对账补充行!$I275))</f>
        <v/>
      </c>
      <c r="P882" s="0" t="str">
        <f aca="false">IF($G882=0,"",IF(对账补充行!$J275=0,"",对账补充行!$J275))</f>
        <v/>
      </c>
      <c r="T882" s="0" t="str">
        <f aca="false">IF(成本费用登记表!$D282="","",成本费用登记表!$D282)</f>
        <v/>
      </c>
      <c r="U882" s="0" t="n">
        <f aca="false">IF(T882="",0,IF(MATCH(T882,$T$4:$T$903,0)=ROW()-3,1,0))</f>
        <v>0</v>
      </c>
      <c r="V882" s="0" t="n">
        <f aca="false">N(V881)+U882</f>
        <v>30</v>
      </c>
    </row>
    <row r="883" customFormat="false" ht="13.5" hidden="false" customHeight="false" outlineLevel="0" collapsed="false">
      <c r="A883" s="0" t="str">
        <f aca="false">IF(资金日记账!$E581="","",资金日记账!$E581)</f>
        <v/>
      </c>
      <c r="B883" s="0" t="n">
        <f aca="false">IF(A883="",0,IF(MATCH(A883,$A$4:$A$1925,0)=ROW()-3,1,0))</f>
        <v>0</v>
      </c>
      <c r="C883" s="0" t="n">
        <f aca="false">N(C882)+B883</f>
        <v>11</v>
      </c>
      <c r="G883" s="0" t="n">
        <f aca="false">IF(OR($G$1="",对账补充行!$C276="",对账补充行!$C276&lt;&gt;$G$1),0,IF(NOT(OR(N(对账补充行!$H276)&lt;&gt;0,N(对账补充行!$I276)&lt;&gt;0)),0,IF(对账补充行!$B276="",1,IF(OR(N(对账补充行!$B276)&lt;$H$1,N(对账补充行!$B276)&gt;$I$1),0,1))))</f>
        <v>0</v>
      </c>
      <c r="H883" s="0" t="n">
        <f aca="false">N(H882)+$G883</f>
        <v>3</v>
      </c>
      <c r="I883" s="0" t="str">
        <f aca="false">IF($G883=0,"",IF(对账补充行!$B276=0,"",对账补充行!$B276))</f>
        <v/>
      </c>
      <c r="J883" s="0" t="str">
        <f aca="false">IF($G883=0,"",IF(对账补充行!$D276=0,"",对账补充行!$D276))</f>
        <v/>
      </c>
      <c r="K883" s="0" t="str">
        <f aca="false">IF($G883=0,"",IF(对账补充行!$E276=0,"",对账补充行!$E276))</f>
        <v/>
      </c>
      <c r="L883" s="0" t="str">
        <f aca="false">IF($G883=0,"",IF(对账补充行!$F276=0,"",对账补充行!$F276))</f>
        <v/>
      </c>
      <c r="M883" s="0" t="str">
        <f aca="false">IF($G883=0,"",IF(对账补充行!$G276=0,"",对账补充行!$G276))</f>
        <v/>
      </c>
      <c r="N883" s="0" t="str">
        <f aca="false">IF($G883=0,"",IF(对账补充行!$H276=0,"",对账补充行!$H276))</f>
        <v/>
      </c>
      <c r="O883" s="0" t="str">
        <f aca="false">IF($G883=0,"",IF(对账补充行!$I276=0,"",对账补充行!$I276))</f>
        <v/>
      </c>
      <c r="P883" s="0" t="str">
        <f aca="false">IF($G883=0,"",IF(对账补充行!$J276=0,"",对账补充行!$J276))</f>
        <v/>
      </c>
      <c r="T883" s="0" t="str">
        <f aca="false">IF(成本费用登记表!$D283="","",成本费用登记表!$D283)</f>
        <v/>
      </c>
      <c r="U883" s="0" t="n">
        <f aca="false">IF(T883="",0,IF(MATCH(T883,$T$4:$T$903,0)=ROW()-3,1,0))</f>
        <v>0</v>
      </c>
      <c r="V883" s="0" t="n">
        <f aca="false">N(V882)+U883</f>
        <v>30</v>
      </c>
    </row>
    <row r="884" customFormat="false" ht="13.5" hidden="false" customHeight="false" outlineLevel="0" collapsed="false">
      <c r="A884" s="0" t="str">
        <f aca="false">IF(资金日记账!$E582="","",资金日记账!$E582)</f>
        <v/>
      </c>
      <c r="B884" s="0" t="n">
        <f aca="false">IF(A884="",0,IF(MATCH(A884,$A$4:$A$1925,0)=ROW()-3,1,0))</f>
        <v>0</v>
      </c>
      <c r="C884" s="0" t="n">
        <f aca="false">N(C883)+B884</f>
        <v>11</v>
      </c>
      <c r="G884" s="0" t="n">
        <f aca="false">IF(OR($G$1="",对账补充行!$C277="",对账补充行!$C277&lt;&gt;$G$1),0,IF(NOT(OR(N(对账补充行!$H277)&lt;&gt;0,N(对账补充行!$I277)&lt;&gt;0)),0,IF(对账补充行!$B277="",1,IF(OR(N(对账补充行!$B277)&lt;$H$1,N(对账补充行!$B277)&gt;$I$1),0,1))))</f>
        <v>0</v>
      </c>
      <c r="H884" s="0" t="n">
        <f aca="false">N(H883)+$G884</f>
        <v>3</v>
      </c>
      <c r="I884" s="0" t="str">
        <f aca="false">IF($G884=0,"",IF(对账补充行!$B277=0,"",对账补充行!$B277))</f>
        <v/>
      </c>
      <c r="J884" s="0" t="str">
        <f aca="false">IF($G884=0,"",IF(对账补充行!$D277=0,"",对账补充行!$D277))</f>
        <v/>
      </c>
      <c r="K884" s="0" t="str">
        <f aca="false">IF($G884=0,"",IF(对账补充行!$E277=0,"",对账补充行!$E277))</f>
        <v/>
      </c>
      <c r="L884" s="0" t="str">
        <f aca="false">IF($G884=0,"",IF(对账补充行!$F277=0,"",对账补充行!$F277))</f>
        <v/>
      </c>
      <c r="M884" s="0" t="str">
        <f aca="false">IF($G884=0,"",IF(对账补充行!$G277=0,"",对账补充行!$G277))</f>
        <v/>
      </c>
      <c r="N884" s="0" t="str">
        <f aca="false">IF($G884=0,"",IF(对账补充行!$H277=0,"",对账补充行!$H277))</f>
        <v/>
      </c>
      <c r="O884" s="0" t="str">
        <f aca="false">IF($G884=0,"",IF(对账补充行!$I277=0,"",对账补充行!$I277))</f>
        <v/>
      </c>
      <c r="P884" s="0" t="str">
        <f aca="false">IF($G884=0,"",IF(对账补充行!$J277=0,"",对账补充行!$J277))</f>
        <v/>
      </c>
      <c r="T884" s="0" t="str">
        <f aca="false">IF(成本费用登记表!$D284="","",成本费用登记表!$D284)</f>
        <v/>
      </c>
      <c r="U884" s="0" t="n">
        <f aca="false">IF(T884="",0,IF(MATCH(T884,$T$4:$T$903,0)=ROW()-3,1,0))</f>
        <v>0</v>
      </c>
      <c r="V884" s="0" t="n">
        <f aca="false">N(V883)+U884</f>
        <v>30</v>
      </c>
    </row>
    <row r="885" customFormat="false" ht="13.5" hidden="false" customHeight="false" outlineLevel="0" collapsed="false">
      <c r="A885" s="0" t="str">
        <f aca="false">IF(资金日记账!$E583="","",资金日记账!$E583)</f>
        <v/>
      </c>
      <c r="B885" s="0" t="n">
        <f aca="false">IF(A885="",0,IF(MATCH(A885,$A$4:$A$1925,0)=ROW()-3,1,0))</f>
        <v>0</v>
      </c>
      <c r="C885" s="0" t="n">
        <f aca="false">N(C884)+B885</f>
        <v>11</v>
      </c>
      <c r="G885" s="0" t="n">
        <f aca="false">IF(OR($G$1="",对账补充行!$C278="",对账补充行!$C278&lt;&gt;$G$1),0,IF(NOT(OR(N(对账补充行!$H278)&lt;&gt;0,N(对账补充行!$I278)&lt;&gt;0)),0,IF(对账补充行!$B278="",1,IF(OR(N(对账补充行!$B278)&lt;$H$1,N(对账补充行!$B278)&gt;$I$1),0,1))))</f>
        <v>0</v>
      </c>
      <c r="H885" s="0" t="n">
        <f aca="false">N(H884)+$G885</f>
        <v>3</v>
      </c>
      <c r="I885" s="0" t="str">
        <f aca="false">IF($G885=0,"",IF(对账补充行!$B278=0,"",对账补充行!$B278))</f>
        <v/>
      </c>
      <c r="J885" s="0" t="str">
        <f aca="false">IF($G885=0,"",IF(对账补充行!$D278=0,"",对账补充行!$D278))</f>
        <v/>
      </c>
      <c r="K885" s="0" t="str">
        <f aca="false">IF($G885=0,"",IF(对账补充行!$E278=0,"",对账补充行!$E278))</f>
        <v/>
      </c>
      <c r="L885" s="0" t="str">
        <f aca="false">IF($G885=0,"",IF(对账补充行!$F278=0,"",对账补充行!$F278))</f>
        <v/>
      </c>
      <c r="M885" s="0" t="str">
        <f aca="false">IF($G885=0,"",IF(对账补充行!$G278=0,"",对账补充行!$G278))</f>
        <v/>
      </c>
      <c r="N885" s="0" t="str">
        <f aca="false">IF($G885=0,"",IF(对账补充行!$H278=0,"",对账补充行!$H278))</f>
        <v/>
      </c>
      <c r="O885" s="0" t="str">
        <f aca="false">IF($G885=0,"",IF(对账补充行!$I278=0,"",对账补充行!$I278))</f>
        <v/>
      </c>
      <c r="P885" s="0" t="str">
        <f aca="false">IF($G885=0,"",IF(对账补充行!$J278=0,"",对账补充行!$J278))</f>
        <v/>
      </c>
      <c r="T885" s="0" t="str">
        <f aca="false">IF(成本费用登记表!$D285="","",成本费用登记表!$D285)</f>
        <v/>
      </c>
      <c r="U885" s="0" t="n">
        <f aca="false">IF(T885="",0,IF(MATCH(T885,$T$4:$T$903,0)=ROW()-3,1,0))</f>
        <v>0</v>
      </c>
      <c r="V885" s="0" t="n">
        <f aca="false">N(V884)+U885</f>
        <v>30</v>
      </c>
    </row>
    <row r="886" customFormat="false" ht="13.5" hidden="false" customHeight="false" outlineLevel="0" collapsed="false">
      <c r="A886" s="0" t="str">
        <f aca="false">IF(资金日记账!$E584="","",资金日记账!$E584)</f>
        <v/>
      </c>
      <c r="B886" s="0" t="n">
        <f aca="false">IF(A886="",0,IF(MATCH(A886,$A$4:$A$1925,0)=ROW()-3,1,0))</f>
        <v>0</v>
      </c>
      <c r="C886" s="0" t="n">
        <f aca="false">N(C885)+B886</f>
        <v>11</v>
      </c>
      <c r="G886" s="0" t="n">
        <f aca="false">IF(OR($G$1="",对账补充行!$C279="",对账补充行!$C279&lt;&gt;$G$1),0,IF(NOT(OR(N(对账补充行!$H279)&lt;&gt;0,N(对账补充行!$I279)&lt;&gt;0)),0,IF(对账补充行!$B279="",1,IF(OR(N(对账补充行!$B279)&lt;$H$1,N(对账补充行!$B279)&gt;$I$1),0,1))))</f>
        <v>0</v>
      </c>
      <c r="H886" s="0" t="n">
        <f aca="false">N(H885)+$G886</f>
        <v>3</v>
      </c>
      <c r="I886" s="0" t="str">
        <f aca="false">IF($G886=0,"",IF(对账补充行!$B279=0,"",对账补充行!$B279))</f>
        <v/>
      </c>
      <c r="J886" s="0" t="str">
        <f aca="false">IF($G886=0,"",IF(对账补充行!$D279=0,"",对账补充行!$D279))</f>
        <v/>
      </c>
      <c r="K886" s="0" t="str">
        <f aca="false">IF($G886=0,"",IF(对账补充行!$E279=0,"",对账补充行!$E279))</f>
        <v/>
      </c>
      <c r="L886" s="0" t="str">
        <f aca="false">IF($G886=0,"",IF(对账补充行!$F279=0,"",对账补充行!$F279))</f>
        <v/>
      </c>
      <c r="M886" s="0" t="str">
        <f aca="false">IF($G886=0,"",IF(对账补充行!$G279=0,"",对账补充行!$G279))</f>
        <v/>
      </c>
      <c r="N886" s="0" t="str">
        <f aca="false">IF($G886=0,"",IF(对账补充行!$H279=0,"",对账补充行!$H279))</f>
        <v/>
      </c>
      <c r="O886" s="0" t="str">
        <f aca="false">IF($G886=0,"",IF(对账补充行!$I279=0,"",对账补充行!$I279))</f>
        <v/>
      </c>
      <c r="P886" s="0" t="str">
        <f aca="false">IF($G886=0,"",IF(对账补充行!$J279=0,"",对账补充行!$J279))</f>
        <v/>
      </c>
      <c r="T886" s="0" t="str">
        <f aca="false">IF(成本费用登记表!$D286="","",成本费用登记表!$D286)</f>
        <v/>
      </c>
      <c r="U886" s="0" t="n">
        <f aca="false">IF(T886="",0,IF(MATCH(T886,$T$4:$T$903,0)=ROW()-3,1,0))</f>
        <v>0</v>
      </c>
      <c r="V886" s="0" t="n">
        <f aca="false">N(V885)+U886</f>
        <v>30</v>
      </c>
    </row>
    <row r="887" customFormat="false" ht="13.5" hidden="false" customHeight="false" outlineLevel="0" collapsed="false">
      <c r="A887" s="0" t="str">
        <f aca="false">IF(资金日记账!$E585="","",资金日记账!$E585)</f>
        <v/>
      </c>
      <c r="B887" s="0" t="n">
        <f aca="false">IF(A887="",0,IF(MATCH(A887,$A$4:$A$1925,0)=ROW()-3,1,0))</f>
        <v>0</v>
      </c>
      <c r="C887" s="0" t="n">
        <f aca="false">N(C886)+B887</f>
        <v>11</v>
      </c>
      <c r="G887" s="0" t="n">
        <f aca="false">IF(OR($G$1="",对账补充行!$C280="",对账补充行!$C280&lt;&gt;$G$1),0,IF(NOT(OR(N(对账补充行!$H280)&lt;&gt;0,N(对账补充行!$I280)&lt;&gt;0)),0,IF(对账补充行!$B280="",1,IF(OR(N(对账补充行!$B280)&lt;$H$1,N(对账补充行!$B280)&gt;$I$1),0,1))))</f>
        <v>0</v>
      </c>
      <c r="H887" s="0" t="n">
        <f aca="false">N(H886)+$G887</f>
        <v>3</v>
      </c>
      <c r="I887" s="0" t="str">
        <f aca="false">IF($G887=0,"",IF(对账补充行!$B280=0,"",对账补充行!$B280))</f>
        <v/>
      </c>
      <c r="J887" s="0" t="str">
        <f aca="false">IF($G887=0,"",IF(对账补充行!$D280=0,"",对账补充行!$D280))</f>
        <v/>
      </c>
      <c r="K887" s="0" t="str">
        <f aca="false">IF($G887=0,"",IF(对账补充行!$E280=0,"",对账补充行!$E280))</f>
        <v/>
      </c>
      <c r="L887" s="0" t="str">
        <f aca="false">IF($G887=0,"",IF(对账补充行!$F280=0,"",对账补充行!$F280))</f>
        <v/>
      </c>
      <c r="M887" s="0" t="str">
        <f aca="false">IF($G887=0,"",IF(对账补充行!$G280=0,"",对账补充行!$G280))</f>
        <v/>
      </c>
      <c r="N887" s="0" t="str">
        <f aca="false">IF($G887=0,"",IF(对账补充行!$H280=0,"",对账补充行!$H280))</f>
        <v/>
      </c>
      <c r="O887" s="0" t="str">
        <f aca="false">IF($G887=0,"",IF(对账补充行!$I280=0,"",对账补充行!$I280))</f>
        <v/>
      </c>
      <c r="P887" s="0" t="str">
        <f aca="false">IF($G887=0,"",IF(对账补充行!$J280=0,"",对账补充行!$J280))</f>
        <v/>
      </c>
      <c r="T887" s="0" t="str">
        <f aca="false">IF(成本费用登记表!$D287="","",成本费用登记表!$D287)</f>
        <v/>
      </c>
      <c r="U887" s="0" t="n">
        <f aca="false">IF(T887="",0,IF(MATCH(T887,$T$4:$T$903,0)=ROW()-3,1,0))</f>
        <v>0</v>
      </c>
      <c r="V887" s="0" t="n">
        <f aca="false">N(V886)+U887</f>
        <v>30</v>
      </c>
    </row>
    <row r="888" customFormat="false" ht="13.5" hidden="false" customHeight="false" outlineLevel="0" collapsed="false">
      <c r="A888" s="0" t="str">
        <f aca="false">IF(资金日记账!$E586="","",资金日记账!$E586)</f>
        <v/>
      </c>
      <c r="B888" s="0" t="n">
        <f aca="false">IF(A888="",0,IF(MATCH(A888,$A$4:$A$1925,0)=ROW()-3,1,0))</f>
        <v>0</v>
      </c>
      <c r="C888" s="0" t="n">
        <f aca="false">N(C887)+B888</f>
        <v>11</v>
      </c>
      <c r="G888" s="0" t="n">
        <f aca="false">IF(OR($G$1="",对账补充行!$C281="",对账补充行!$C281&lt;&gt;$G$1),0,IF(NOT(OR(N(对账补充行!$H281)&lt;&gt;0,N(对账补充行!$I281)&lt;&gt;0)),0,IF(对账补充行!$B281="",1,IF(OR(N(对账补充行!$B281)&lt;$H$1,N(对账补充行!$B281)&gt;$I$1),0,1))))</f>
        <v>0</v>
      </c>
      <c r="H888" s="0" t="n">
        <f aca="false">N(H887)+$G888</f>
        <v>3</v>
      </c>
      <c r="I888" s="0" t="str">
        <f aca="false">IF($G888=0,"",IF(对账补充行!$B281=0,"",对账补充行!$B281))</f>
        <v/>
      </c>
      <c r="J888" s="0" t="str">
        <f aca="false">IF($G888=0,"",IF(对账补充行!$D281=0,"",对账补充行!$D281))</f>
        <v/>
      </c>
      <c r="K888" s="0" t="str">
        <f aca="false">IF($G888=0,"",IF(对账补充行!$E281=0,"",对账补充行!$E281))</f>
        <v/>
      </c>
      <c r="L888" s="0" t="str">
        <f aca="false">IF($G888=0,"",IF(对账补充行!$F281=0,"",对账补充行!$F281))</f>
        <v/>
      </c>
      <c r="M888" s="0" t="str">
        <f aca="false">IF($G888=0,"",IF(对账补充行!$G281=0,"",对账补充行!$G281))</f>
        <v/>
      </c>
      <c r="N888" s="0" t="str">
        <f aca="false">IF($G888=0,"",IF(对账补充行!$H281=0,"",对账补充行!$H281))</f>
        <v/>
      </c>
      <c r="O888" s="0" t="str">
        <f aca="false">IF($G888=0,"",IF(对账补充行!$I281=0,"",对账补充行!$I281))</f>
        <v/>
      </c>
      <c r="P888" s="0" t="str">
        <f aca="false">IF($G888=0,"",IF(对账补充行!$J281=0,"",对账补充行!$J281))</f>
        <v/>
      </c>
      <c r="T888" s="0" t="str">
        <f aca="false">IF(成本费用登记表!$D288="","",成本费用登记表!$D288)</f>
        <v/>
      </c>
      <c r="U888" s="0" t="n">
        <f aca="false">IF(T888="",0,IF(MATCH(T888,$T$4:$T$903,0)=ROW()-3,1,0))</f>
        <v>0</v>
      </c>
      <c r="V888" s="0" t="n">
        <f aca="false">N(V887)+U888</f>
        <v>30</v>
      </c>
    </row>
    <row r="889" customFormat="false" ht="13.5" hidden="false" customHeight="false" outlineLevel="0" collapsed="false">
      <c r="A889" s="0" t="str">
        <f aca="false">IF(资金日记账!$E587="","",资金日记账!$E587)</f>
        <v/>
      </c>
      <c r="B889" s="0" t="n">
        <f aca="false">IF(A889="",0,IF(MATCH(A889,$A$4:$A$1925,0)=ROW()-3,1,0))</f>
        <v>0</v>
      </c>
      <c r="C889" s="0" t="n">
        <f aca="false">N(C888)+B889</f>
        <v>11</v>
      </c>
      <c r="G889" s="0" t="n">
        <f aca="false">IF(OR($G$1="",对账补充行!$C282="",对账补充行!$C282&lt;&gt;$G$1),0,IF(NOT(OR(N(对账补充行!$H282)&lt;&gt;0,N(对账补充行!$I282)&lt;&gt;0)),0,IF(对账补充行!$B282="",1,IF(OR(N(对账补充行!$B282)&lt;$H$1,N(对账补充行!$B282)&gt;$I$1),0,1))))</f>
        <v>0</v>
      </c>
      <c r="H889" s="0" t="n">
        <f aca="false">N(H888)+$G889</f>
        <v>3</v>
      </c>
      <c r="I889" s="0" t="str">
        <f aca="false">IF($G889=0,"",IF(对账补充行!$B282=0,"",对账补充行!$B282))</f>
        <v/>
      </c>
      <c r="J889" s="0" t="str">
        <f aca="false">IF($G889=0,"",IF(对账补充行!$D282=0,"",对账补充行!$D282))</f>
        <v/>
      </c>
      <c r="K889" s="0" t="str">
        <f aca="false">IF($G889=0,"",IF(对账补充行!$E282=0,"",对账补充行!$E282))</f>
        <v/>
      </c>
      <c r="L889" s="0" t="str">
        <f aca="false">IF($G889=0,"",IF(对账补充行!$F282=0,"",对账补充行!$F282))</f>
        <v/>
      </c>
      <c r="M889" s="0" t="str">
        <f aca="false">IF($G889=0,"",IF(对账补充行!$G282=0,"",对账补充行!$G282))</f>
        <v/>
      </c>
      <c r="N889" s="0" t="str">
        <f aca="false">IF($G889=0,"",IF(对账补充行!$H282=0,"",对账补充行!$H282))</f>
        <v/>
      </c>
      <c r="O889" s="0" t="str">
        <f aca="false">IF($G889=0,"",IF(对账补充行!$I282=0,"",对账补充行!$I282))</f>
        <v/>
      </c>
      <c r="P889" s="0" t="str">
        <f aca="false">IF($G889=0,"",IF(对账补充行!$J282=0,"",对账补充行!$J282))</f>
        <v/>
      </c>
      <c r="T889" s="0" t="str">
        <f aca="false">IF(成本费用登记表!$D289="","",成本费用登记表!$D289)</f>
        <v/>
      </c>
      <c r="U889" s="0" t="n">
        <f aca="false">IF(T889="",0,IF(MATCH(T889,$T$4:$T$903,0)=ROW()-3,1,0))</f>
        <v>0</v>
      </c>
      <c r="V889" s="0" t="n">
        <f aca="false">N(V888)+U889</f>
        <v>30</v>
      </c>
    </row>
    <row r="890" customFormat="false" ht="13.5" hidden="false" customHeight="false" outlineLevel="0" collapsed="false">
      <c r="A890" s="0" t="str">
        <f aca="false">IF(资金日记账!$E588="","",资金日记账!$E588)</f>
        <v/>
      </c>
      <c r="B890" s="0" t="n">
        <f aca="false">IF(A890="",0,IF(MATCH(A890,$A$4:$A$1925,0)=ROW()-3,1,0))</f>
        <v>0</v>
      </c>
      <c r="C890" s="0" t="n">
        <f aca="false">N(C889)+B890</f>
        <v>11</v>
      </c>
      <c r="G890" s="0" t="n">
        <f aca="false">IF(OR($G$1="",对账补充行!$C283="",对账补充行!$C283&lt;&gt;$G$1),0,IF(NOT(OR(N(对账补充行!$H283)&lt;&gt;0,N(对账补充行!$I283)&lt;&gt;0)),0,IF(对账补充行!$B283="",1,IF(OR(N(对账补充行!$B283)&lt;$H$1,N(对账补充行!$B283)&gt;$I$1),0,1))))</f>
        <v>0</v>
      </c>
      <c r="H890" s="0" t="n">
        <f aca="false">N(H889)+$G890</f>
        <v>3</v>
      </c>
      <c r="I890" s="0" t="str">
        <f aca="false">IF($G890=0,"",IF(对账补充行!$B283=0,"",对账补充行!$B283))</f>
        <v/>
      </c>
      <c r="J890" s="0" t="str">
        <f aca="false">IF($G890=0,"",IF(对账补充行!$D283=0,"",对账补充行!$D283))</f>
        <v/>
      </c>
      <c r="K890" s="0" t="str">
        <f aca="false">IF($G890=0,"",IF(对账补充行!$E283=0,"",对账补充行!$E283))</f>
        <v/>
      </c>
      <c r="L890" s="0" t="str">
        <f aca="false">IF($G890=0,"",IF(对账补充行!$F283=0,"",对账补充行!$F283))</f>
        <v/>
      </c>
      <c r="M890" s="0" t="str">
        <f aca="false">IF($G890=0,"",IF(对账补充行!$G283=0,"",对账补充行!$G283))</f>
        <v/>
      </c>
      <c r="N890" s="0" t="str">
        <f aca="false">IF($G890=0,"",IF(对账补充行!$H283=0,"",对账补充行!$H283))</f>
        <v/>
      </c>
      <c r="O890" s="0" t="str">
        <f aca="false">IF($G890=0,"",IF(对账补充行!$I283=0,"",对账补充行!$I283))</f>
        <v/>
      </c>
      <c r="P890" s="0" t="str">
        <f aca="false">IF($G890=0,"",IF(对账补充行!$J283=0,"",对账补充行!$J283))</f>
        <v/>
      </c>
      <c r="T890" s="0" t="str">
        <f aca="false">IF(成本费用登记表!$D290="","",成本费用登记表!$D290)</f>
        <v/>
      </c>
      <c r="U890" s="0" t="n">
        <f aca="false">IF(T890="",0,IF(MATCH(T890,$T$4:$T$903,0)=ROW()-3,1,0))</f>
        <v>0</v>
      </c>
      <c r="V890" s="0" t="n">
        <f aca="false">N(V889)+U890</f>
        <v>30</v>
      </c>
    </row>
    <row r="891" customFormat="false" ht="13.5" hidden="false" customHeight="false" outlineLevel="0" collapsed="false">
      <c r="A891" s="0" t="str">
        <f aca="false">IF(资金日记账!$E589="","",资金日记账!$E589)</f>
        <v/>
      </c>
      <c r="B891" s="0" t="n">
        <f aca="false">IF(A891="",0,IF(MATCH(A891,$A$4:$A$1925,0)=ROW()-3,1,0))</f>
        <v>0</v>
      </c>
      <c r="C891" s="0" t="n">
        <f aca="false">N(C890)+B891</f>
        <v>11</v>
      </c>
      <c r="G891" s="0" t="n">
        <f aca="false">IF(OR($G$1="",对账补充行!$C284="",对账补充行!$C284&lt;&gt;$G$1),0,IF(NOT(OR(N(对账补充行!$H284)&lt;&gt;0,N(对账补充行!$I284)&lt;&gt;0)),0,IF(对账补充行!$B284="",1,IF(OR(N(对账补充行!$B284)&lt;$H$1,N(对账补充行!$B284)&gt;$I$1),0,1))))</f>
        <v>0</v>
      </c>
      <c r="H891" s="0" t="n">
        <f aca="false">N(H890)+$G891</f>
        <v>3</v>
      </c>
      <c r="I891" s="0" t="str">
        <f aca="false">IF($G891=0,"",IF(对账补充行!$B284=0,"",对账补充行!$B284))</f>
        <v/>
      </c>
      <c r="J891" s="0" t="str">
        <f aca="false">IF($G891=0,"",IF(对账补充行!$D284=0,"",对账补充行!$D284))</f>
        <v/>
      </c>
      <c r="K891" s="0" t="str">
        <f aca="false">IF($G891=0,"",IF(对账补充行!$E284=0,"",对账补充行!$E284))</f>
        <v/>
      </c>
      <c r="L891" s="0" t="str">
        <f aca="false">IF($G891=0,"",IF(对账补充行!$F284=0,"",对账补充行!$F284))</f>
        <v/>
      </c>
      <c r="M891" s="0" t="str">
        <f aca="false">IF($G891=0,"",IF(对账补充行!$G284=0,"",对账补充行!$G284))</f>
        <v/>
      </c>
      <c r="N891" s="0" t="str">
        <f aca="false">IF($G891=0,"",IF(对账补充行!$H284=0,"",对账补充行!$H284))</f>
        <v/>
      </c>
      <c r="O891" s="0" t="str">
        <f aca="false">IF($G891=0,"",IF(对账补充行!$I284=0,"",对账补充行!$I284))</f>
        <v/>
      </c>
      <c r="P891" s="0" t="str">
        <f aca="false">IF($G891=0,"",IF(对账补充行!$J284=0,"",对账补充行!$J284))</f>
        <v/>
      </c>
      <c r="T891" s="0" t="str">
        <f aca="false">IF(成本费用登记表!$D291="","",成本费用登记表!$D291)</f>
        <v/>
      </c>
      <c r="U891" s="0" t="n">
        <f aca="false">IF(T891="",0,IF(MATCH(T891,$T$4:$T$903,0)=ROW()-3,1,0))</f>
        <v>0</v>
      </c>
      <c r="V891" s="0" t="n">
        <f aca="false">N(V890)+U891</f>
        <v>30</v>
      </c>
    </row>
    <row r="892" customFormat="false" ht="13.5" hidden="false" customHeight="false" outlineLevel="0" collapsed="false">
      <c r="A892" s="0" t="str">
        <f aca="false">IF(资金日记账!$E590="","",资金日记账!$E590)</f>
        <v/>
      </c>
      <c r="B892" s="0" t="n">
        <f aca="false">IF(A892="",0,IF(MATCH(A892,$A$4:$A$1925,0)=ROW()-3,1,0))</f>
        <v>0</v>
      </c>
      <c r="C892" s="0" t="n">
        <f aca="false">N(C891)+B892</f>
        <v>11</v>
      </c>
      <c r="G892" s="0" t="n">
        <f aca="false">IF(OR($G$1="",对账补充行!$C285="",对账补充行!$C285&lt;&gt;$G$1),0,IF(NOT(OR(N(对账补充行!$H285)&lt;&gt;0,N(对账补充行!$I285)&lt;&gt;0)),0,IF(对账补充行!$B285="",1,IF(OR(N(对账补充行!$B285)&lt;$H$1,N(对账补充行!$B285)&gt;$I$1),0,1))))</f>
        <v>0</v>
      </c>
      <c r="H892" s="0" t="n">
        <f aca="false">N(H891)+$G892</f>
        <v>3</v>
      </c>
      <c r="I892" s="0" t="str">
        <f aca="false">IF($G892=0,"",IF(对账补充行!$B285=0,"",对账补充行!$B285))</f>
        <v/>
      </c>
      <c r="J892" s="0" t="str">
        <f aca="false">IF($G892=0,"",IF(对账补充行!$D285=0,"",对账补充行!$D285))</f>
        <v/>
      </c>
      <c r="K892" s="0" t="str">
        <f aca="false">IF($G892=0,"",IF(对账补充行!$E285=0,"",对账补充行!$E285))</f>
        <v/>
      </c>
      <c r="L892" s="0" t="str">
        <f aca="false">IF($G892=0,"",IF(对账补充行!$F285=0,"",对账补充行!$F285))</f>
        <v/>
      </c>
      <c r="M892" s="0" t="str">
        <f aca="false">IF($G892=0,"",IF(对账补充行!$G285=0,"",对账补充行!$G285))</f>
        <v/>
      </c>
      <c r="N892" s="0" t="str">
        <f aca="false">IF($G892=0,"",IF(对账补充行!$H285=0,"",对账补充行!$H285))</f>
        <v/>
      </c>
      <c r="O892" s="0" t="str">
        <f aca="false">IF($G892=0,"",IF(对账补充行!$I285=0,"",对账补充行!$I285))</f>
        <v/>
      </c>
      <c r="P892" s="0" t="str">
        <f aca="false">IF($G892=0,"",IF(对账补充行!$J285=0,"",对账补充行!$J285))</f>
        <v/>
      </c>
      <c r="T892" s="0" t="str">
        <f aca="false">IF(成本费用登记表!$D292="","",成本费用登记表!$D292)</f>
        <v/>
      </c>
      <c r="U892" s="0" t="n">
        <f aca="false">IF(T892="",0,IF(MATCH(T892,$T$4:$T$903,0)=ROW()-3,1,0))</f>
        <v>0</v>
      </c>
      <c r="V892" s="0" t="n">
        <f aca="false">N(V891)+U892</f>
        <v>30</v>
      </c>
    </row>
    <row r="893" customFormat="false" ht="13.5" hidden="false" customHeight="false" outlineLevel="0" collapsed="false">
      <c r="A893" s="0" t="str">
        <f aca="false">IF(资金日记账!$E591="","",资金日记账!$E591)</f>
        <v/>
      </c>
      <c r="B893" s="0" t="n">
        <f aca="false">IF(A893="",0,IF(MATCH(A893,$A$4:$A$1925,0)=ROW()-3,1,0))</f>
        <v>0</v>
      </c>
      <c r="C893" s="0" t="n">
        <f aca="false">N(C892)+B893</f>
        <v>11</v>
      </c>
      <c r="G893" s="0" t="n">
        <f aca="false">IF(OR($G$1="",对账补充行!$C286="",对账补充行!$C286&lt;&gt;$G$1),0,IF(NOT(OR(N(对账补充行!$H286)&lt;&gt;0,N(对账补充行!$I286)&lt;&gt;0)),0,IF(对账补充行!$B286="",1,IF(OR(N(对账补充行!$B286)&lt;$H$1,N(对账补充行!$B286)&gt;$I$1),0,1))))</f>
        <v>0</v>
      </c>
      <c r="H893" s="0" t="n">
        <f aca="false">N(H892)+$G893</f>
        <v>3</v>
      </c>
      <c r="I893" s="0" t="str">
        <f aca="false">IF($G893=0,"",IF(对账补充行!$B286=0,"",对账补充行!$B286))</f>
        <v/>
      </c>
      <c r="J893" s="0" t="str">
        <f aca="false">IF($G893=0,"",IF(对账补充行!$D286=0,"",对账补充行!$D286))</f>
        <v/>
      </c>
      <c r="K893" s="0" t="str">
        <f aca="false">IF($G893=0,"",IF(对账补充行!$E286=0,"",对账补充行!$E286))</f>
        <v/>
      </c>
      <c r="L893" s="0" t="str">
        <f aca="false">IF($G893=0,"",IF(对账补充行!$F286=0,"",对账补充行!$F286))</f>
        <v/>
      </c>
      <c r="M893" s="0" t="str">
        <f aca="false">IF($G893=0,"",IF(对账补充行!$G286=0,"",对账补充行!$G286))</f>
        <v/>
      </c>
      <c r="N893" s="0" t="str">
        <f aca="false">IF($G893=0,"",IF(对账补充行!$H286=0,"",对账补充行!$H286))</f>
        <v/>
      </c>
      <c r="O893" s="0" t="str">
        <f aca="false">IF($G893=0,"",IF(对账补充行!$I286=0,"",对账补充行!$I286))</f>
        <v/>
      </c>
      <c r="P893" s="0" t="str">
        <f aca="false">IF($G893=0,"",IF(对账补充行!$J286=0,"",对账补充行!$J286))</f>
        <v/>
      </c>
      <c r="T893" s="0" t="str">
        <f aca="false">IF(成本费用登记表!$D293="","",成本费用登记表!$D293)</f>
        <v/>
      </c>
      <c r="U893" s="0" t="n">
        <f aca="false">IF(T893="",0,IF(MATCH(T893,$T$4:$T$903,0)=ROW()-3,1,0))</f>
        <v>0</v>
      </c>
      <c r="V893" s="0" t="n">
        <f aca="false">N(V892)+U893</f>
        <v>30</v>
      </c>
    </row>
    <row r="894" customFormat="false" ht="13.5" hidden="false" customHeight="false" outlineLevel="0" collapsed="false">
      <c r="A894" s="0" t="str">
        <f aca="false">IF(资金日记账!$E592="","",资金日记账!$E592)</f>
        <v/>
      </c>
      <c r="B894" s="0" t="n">
        <f aca="false">IF(A894="",0,IF(MATCH(A894,$A$4:$A$1925,0)=ROW()-3,1,0))</f>
        <v>0</v>
      </c>
      <c r="C894" s="0" t="n">
        <f aca="false">N(C893)+B894</f>
        <v>11</v>
      </c>
      <c r="G894" s="0" t="n">
        <f aca="false">IF(OR($G$1="",对账补充行!$C287="",对账补充行!$C287&lt;&gt;$G$1),0,IF(NOT(OR(N(对账补充行!$H287)&lt;&gt;0,N(对账补充行!$I287)&lt;&gt;0)),0,IF(对账补充行!$B287="",1,IF(OR(N(对账补充行!$B287)&lt;$H$1,N(对账补充行!$B287)&gt;$I$1),0,1))))</f>
        <v>0</v>
      </c>
      <c r="H894" s="0" t="n">
        <f aca="false">N(H893)+$G894</f>
        <v>3</v>
      </c>
      <c r="I894" s="0" t="str">
        <f aca="false">IF($G894=0,"",IF(对账补充行!$B287=0,"",对账补充行!$B287))</f>
        <v/>
      </c>
      <c r="J894" s="0" t="str">
        <f aca="false">IF($G894=0,"",IF(对账补充行!$D287=0,"",对账补充行!$D287))</f>
        <v/>
      </c>
      <c r="K894" s="0" t="str">
        <f aca="false">IF($G894=0,"",IF(对账补充行!$E287=0,"",对账补充行!$E287))</f>
        <v/>
      </c>
      <c r="L894" s="0" t="str">
        <f aca="false">IF($G894=0,"",IF(对账补充行!$F287=0,"",对账补充行!$F287))</f>
        <v/>
      </c>
      <c r="M894" s="0" t="str">
        <f aca="false">IF($G894=0,"",IF(对账补充行!$G287=0,"",对账补充行!$G287))</f>
        <v/>
      </c>
      <c r="N894" s="0" t="str">
        <f aca="false">IF($G894=0,"",IF(对账补充行!$H287=0,"",对账补充行!$H287))</f>
        <v/>
      </c>
      <c r="O894" s="0" t="str">
        <f aca="false">IF($G894=0,"",IF(对账补充行!$I287=0,"",对账补充行!$I287))</f>
        <v/>
      </c>
      <c r="P894" s="0" t="str">
        <f aca="false">IF($G894=0,"",IF(对账补充行!$J287=0,"",对账补充行!$J287))</f>
        <v/>
      </c>
      <c r="T894" s="0" t="str">
        <f aca="false">IF(成本费用登记表!$D294="","",成本费用登记表!$D294)</f>
        <v/>
      </c>
      <c r="U894" s="0" t="n">
        <f aca="false">IF(T894="",0,IF(MATCH(T894,$T$4:$T$903,0)=ROW()-3,1,0))</f>
        <v>0</v>
      </c>
      <c r="V894" s="0" t="n">
        <f aca="false">N(V893)+U894</f>
        <v>30</v>
      </c>
    </row>
    <row r="895" customFormat="false" ht="13.5" hidden="false" customHeight="false" outlineLevel="0" collapsed="false">
      <c r="A895" s="0" t="str">
        <f aca="false">IF(资金日记账!$E593="","",资金日记账!$E593)</f>
        <v/>
      </c>
      <c r="B895" s="0" t="n">
        <f aca="false">IF(A895="",0,IF(MATCH(A895,$A$4:$A$1925,0)=ROW()-3,1,0))</f>
        <v>0</v>
      </c>
      <c r="C895" s="0" t="n">
        <f aca="false">N(C894)+B895</f>
        <v>11</v>
      </c>
      <c r="G895" s="0" t="n">
        <f aca="false">IF(OR($G$1="",对账补充行!$C288="",对账补充行!$C288&lt;&gt;$G$1),0,IF(NOT(OR(N(对账补充行!$H288)&lt;&gt;0,N(对账补充行!$I288)&lt;&gt;0)),0,IF(对账补充行!$B288="",1,IF(OR(N(对账补充行!$B288)&lt;$H$1,N(对账补充行!$B288)&gt;$I$1),0,1))))</f>
        <v>0</v>
      </c>
      <c r="H895" s="0" t="n">
        <f aca="false">N(H894)+$G895</f>
        <v>3</v>
      </c>
      <c r="I895" s="0" t="str">
        <f aca="false">IF($G895=0,"",IF(对账补充行!$B288=0,"",对账补充行!$B288))</f>
        <v/>
      </c>
      <c r="J895" s="0" t="str">
        <f aca="false">IF($G895=0,"",IF(对账补充行!$D288=0,"",对账补充行!$D288))</f>
        <v/>
      </c>
      <c r="K895" s="0" t="str">
        <f aca="false">IF($G895=0,"",IF(对账补充行!$E288=0,"",对账补充行!$E288))</f>
        <v/>
      </c>
      <c r="L895" s="0" t="str">
        <f aca="false">IF($G895=0,"",IF(对账补充行!$F288=0,"",对账补充行!$F288))</f>
        <v/>
      </c>
      <c r="M895" s="0" t="str">
        <f aca="false">IF($G895=0,"",IF(对账补充行!$G288=0,"",对账补充行!$G288))</f>
        <v/>
      </c>
      <c r="N895" s="0" t="str">
        <f aca="false">IF($G895=0,"",IF(对账补充行!$H288=0,"",对账补充行!$H288))</f>
        <v/>
      </c>
      <c r="O895" s="0" t="str">
        <f aca="false">IF($G895=0,"",IF(对账补充行!$I288=0,"",对账补充行!$I288))</f>
        <v/>
      </c>
      <c r="P895" s="0" t="str">
        <f aca="false">IF($G895=0,"",IF(对账补充行!$J288=0,"",对账补充行!$J288))</f>
        <v/>
      </c>
      <c r="T895" s="0" t="str">
        <f aca="false">IF(成本费用登记表!$D295="","",成本费用登记表!$D295)</f>
        <v/>
      </c>
      <c r="U895" s="0" t="n">
        <f aca="false">IF(T895="",0,IF(MATCH(T895,$T$4:$T$903,0)=ROW()-3,1,0))</f>
        <v>0</v>
      </c>
      <c r="V895" s="0" t="n">
        <f aca="false">N(V894)+U895</f>
        <v>30</v>
      </c>
    </row>
    <row r="896" customFormat="false" ht="13.5" hidden="false" customHeight="false" outlineLevel="0" collapsed="false">
      <c r="A896" s="0" t="str">
        <f aca="false">IF(资金日记账!$E594="","",资金日记账!$E594)</f>
        <v/>
      </c>
      <c r="B896" s="0" t="n">
        <f aca="false">IF(A896="",0,IF(MATCH(A896,$A$4:$A$1925,0)=ROW()-3,1,0))</f>
        <v>0</v>
      </c>
      <c r="C896" s="0" t="n">
        <f aca="false">N(C895)+B896</f>
        <v>11</v>
      </c>
      <c r="G896" s="0" t="n">
        <f aca="false">IF(OR($G$1="",对账补充行!$C289="",对账补充行!$C289&lt;&gt;$G$1),0,IF(NOT(OR(N(对账补充行!$H289)&lt;&gt;0,N(对账补充行!$I289)&lt;&gt;0)),0,IF(对账补充行!$B289="",1,IF(OR(N(对账补充行!$B289)&lt;$H$1,N(对账补充行!$B289)&gt;$I$1),0,1))))</f>
        <v>0</v>
      </c>
      <c r="H896" s="0" t="n">
        <f aca="false">N(H895)+$G896</f>
        <v>3</v>
      </c>
      <c r="I896" s="0" t="str">
        <f aca="false">IF($G896=0,"",IF(对账补充行!$B289=0,"",对账补充行!$B289))</f>
        <v/>
      </c>
      <c r="J896" s="0" t="str">
        <f aca="false">IF($G896=0,"",IF(对账补充行!$D289=0,"",对账补充行!$D289))</f>
        <v/>
      </c>
      <c r="K896" s="0" t="str">
        <f aca="false">IF($G896=0,"",IF(对账补充行!$E289=0,"",对账补充行!$E289))</f>
        <v/>
      </c>
      <c r="L896" s="0" t="str">
        <f aca="false">IF($G896=0,"",IF(对账补充行!$F289=0,"",对账补充行!$F289))</f>
        <v/>
      </c>
      <c r="M896" s="0" t="str">
        <f aca="false">IF($G896=0,"",IF(对账补充行!$G289=0,"",对账补充行!$G289))</f>
        <v/>
      </c>
      <c r="N896" s="0" t="str">
        <f aca="false">IF($G896=0,"",IF(对账补充行!$H289=0,"",对账补充行!$H289))</f>
        <v/>
      </c>
      <c r="O896" s="0" t="str">
        <f aca="false">IF($G896=0,"",IF(对账补充行!$I289=0,"",对账补充行!$I289))</f>
        <v/>
      </c>
      <c r="P896" s="0" t="str">
        <f aca="false">IF($G896=0,"",IF(对账补充行!$J289=0,"",对账补充行!$J289))</f>
        <v/>
      </c>
      <c r="T896" s="0" t="str">
        <f aca="false">IF(成本费用登记表!$D296="","",成本费用登记表!$D296)</f>
        <v/>
      </c>
      <c r="U896" s="0" t="n">
        <f aca="false">IF(T896="",0,IF(MATCH(T896,$T$4:$T$903,0)=ROW()-3,1,0))</f>
        <v>0</v>
      </c>
      <c r="V896" s="0" t="n">
        <f aca="false">N(V895)+U896</f>
        <v>30</v>
      </c>
    </row>
    <row r="897" customFormat="false" ht="13.5" hidden="false" customHeight="false" outlineLevel="0" collapsed="false">
      <c r="A897" s="0" t="str">
        <f aca="false">IF(资金日记账!$E595="","",资金日记账!$E595)</f>
        <v/>
      </c>
      <c r="B897" s="0" t="n">
        <f aca="false">IF(A897="",0,IF(MATCH(A897,$A$4:$A$1925,0)=ROW()-3,1,0))</f>
        <v>0</v>
      </c>
      <c r="C897" s="0" t="n">
        <f aca="false">N(C896)+B897</f>
        <v>11</v>
      </c>
      <c r="G897" s="0" t="n">
        <f aca="false">IF(OR($G$1="",对账补充行!$C290="",对账补充行!$C290&lt;&gt;$G$1),0,IF(NOT(OR(N(对账补充行!$H290)&lt;&gt;0,N(对账补充行!$I290)&lt;&gt;0)),0,IF(对账补充行!$B290="",1,IF(OR(N(对账补充行!$B290)&lt;$H$1,N(对账补充行!$B290)&gt;$I$1),0,1))))</f>
        <v>0</v>
      </c>
      <c r="H897" s="0" t="n">
        <f aca="false">N(H896)+$G897</f>
        <v>3</v>
      </c>
      <c r="I897" s="0" t="str">
        <f aca="false">IF($G897=0,"",IF(对账补充行!$B290=0,"",对账补充行!$B290))</f>
        <v/>
      </c>
      <c r="J897" s="0" t="str">
        <f aca="false">IF($G897=0,"",IF(对账补充行!$D290=0,"",对账补充行!$D290))</f>
        <v/>
      </c>
      <c r="K897" s="0" t="str">
        <f aca="false">IF($G897=0,"",IF(对账补充行!$E290=0,"",对账补充行!$E290))</f>
        <v/>
      </c>
      <c r="L897" s="0" t="str">
        <f aca="false">IF($G897=0,"",IF(对账补充行!$F290=0,"",对账补充行!$F290))</f>
        <v/>
      </c>
      <c r="M897" s="0" t="str">
        <f aca="false">IF($G897=0,"",IF(对账补充行!$G290=0,"",对账补充行!$G290))</f>
        <v/>
      </c>
      <c r="N897" s="0" t="str">
        <f aca="false">IF($G897=0,"",IF(对账补充行!$H290=0,"",对账补充行!$H290))</f>
        <v/>
      </c>
      <c r="O897" s="0" t="str">
        <f aca="false">IF($G897=0,"",IF(对账补充行!$I290=0,"",对账补充行!$I290))</f>
        <v/>
      </c>
      <c r="P897" s="0" t="str">
        <f aca="false">IF($G897=0,"",IF(对账补充行!$J290=0,"",对账补充行!$J290))</f>
        <v/>
      </c>
      <c r="T897" s="0" t="str">
        <f aca="false">IF(成本费用登记表!$D297="","",成本费用登记表!$D297)</f>
        <v/>
      </c>
      <c r="U897" s="0" t="n">
        <f aca="false">IF(T897="",0,IF(MATCH(T897,$T$4:$T$903,0)=ROW()-3,1,0))</f>
        <v>0</v>
      </c>
      <c r="V897" s="0" t="n">
        <f aca="false">N(V896)+U897</f>
        <v>30</v>
      </c>
    </row>
    <row r="898" customFormat="false" ht="13.5" hidden="false" customHeight="false" outlineLevel="0" collapsed="false">
      <c r="A898" s="0" t="str">
        <f aca="false">IF(资金日记账!$E596="","",资金日记账!$E596)</f>
        <v/>
      </c>
      <c r="B898" s="0" t="n">
        <f aca="false">IF(A898="",0,IF(MATCH(A898,$A$4:$A$1925,0)=ROW()-3,1,0))</f>
        <v>0</v>
      </c>
      <c r="C898" s="0" t="n">
        <f aca="false">N(C897)+B898</f>
        <v>11</v>
      </c>
      <c r="G898" s="0" t="n">
        <f aca="false">IF(OR($G$1="",对账补充行!$C291="",对账补充行!$C291&lt;&gt;$G$1),0,IF(NOT(OR(N(对账补充行!$H291)&lt;&gt;0,N(对账补充行!$I291)&lt;&gt;0)),0,IF(对账补充行!$B291="",1,IF(OR(N(对账补充行!$B291)&lt;$H$1,N(对账补充行!$B291)&gt;$I$1),0,1))))</f>
        <v>0</v>
      </c>
      <c r="H898" s="0" t="n">
        <f aca="false">N(H897)+$G898</f>
        <v>3</v>
      </c>
      <c r="I898" s="0" t="str">
        <f aca="false">IF($G898=0,"",IF(对账补充行!$B291=0,"",对账补充行!$B291))</f>
        <v/>
      </c>
      <c r="J898" s="0" t="str">
        <f aca="false">IF($G898=0,"",IF(对账补充行!$D291=0,"",对账补充行!$D291))</f>
        <v/>
      </c>
      <c r="K898" s="0" t="str">
        <f aca="false">IF($G898=0,"",IF(对账补充行!$E291=0,"",对账补充行!$E291))</f>
        <v/>
      </c>
      <c r="L898" s="0" t="str">
        <f aca="false">IF($G898=0,"",IF(对账补充行!$F291=0,"",对账补充行!$F291))</f>
        <v/>
      </c>
      <c r="M898" s="0" t="str">
        <f aca="false">IF($G898=0,"",IF(对账补充行!$G291=0,"",对账补充行!$G291))</f>
        <v/>
      </c>
      <c r="N898" s="0" t="str">
        <f aca="false">IF($G898=0,"",IF(对账补充行!$H291=0,"",对账补充行!$H291))</f>
        <v/>
      </c>
      <c r="O898" s="0" t="str">
        <f aca="false">IF($G898=0,"",IF(对账补充行!$I291=0,"",对账补充行!$I291))</f>
        <v/>
      </c>
      <c r="P898" s="0" t="str">
        <f aca="false">IF($G898=0,"",IF(对账补充行!$J291=0,"",对账补充行!$J291))</f>
        <v/>
      </c>
      <c r="T898" s="0" t="str">
        <f aca="false">IF(成本费用登记表!$D298="","",成本费用登记表!$D298)</f>
        <v/>
      </c>
      <c r="U898" s="0" t="n">
        <f aca="false">IF(T898="",0,IF(MATCH(T898,$T$4:$T$903,0)=ROW()-3,1,0))</f>
        <v>0</v>
      </c>
      <c r="V898" s="0" t="n">
        <f aca="false">N(V897)+U898</f>
        <v>30</v>
      </c>
    </row>
    <row r="899" customFormat="false" ht="13.5" hidden="false" customHeight="false" outlineLevel="0" collapsed="false">
      <c r="A899" s="0" t="str">
        <f aca="false">IF(资金日记账!$E597="","",资金日记账!$E597)</f>
        <v/>
      </c>
      <c r="B899" s="0" t="n">
        <f aca="false">IF(A899="",0,IF(MATCH(A899,$A$4:$A$1925,0)=ROW()-3,1,0))</f>
        <v>0</v>
      </c>
      <c r="C899" s="0" t="n">
        <f aca="false">N(C898)+B899</f>
        <v>11</v>
      </c>
      <c r="G899" s="0" t="n">
        <f aca="false">IF(OR($G$1="",对账补充行!$C292="",对账补充行!$C292&lt;&gt;$G$1),0,IF(NOT(OR(N(对账补充行!$H292)&lt;&gt;0,N(对账补充行!$I292)&lt;&gt;0)),0,IF(对账补充行!$B292="",1,IF(OR(N(对账补充行!$B292)&lt;$H$1,N(对账补充行!$B292)&gt;$I$1),0,1))))</f>
        <v>0</v>
      </c>
      <c r="H899" s="0" t="n">
        <f aca="false">N(H898)+$G899</f>
        <v>3</v>
      </c>
      <c r="I899" s="0" t="str">
        <f aca="false">IF($G899=0,"",IF(对账补充行!$B292=0,"",对账补充行!$B292))</f>
        <v/>
      </c>
      <c r="J899" s="0" t="str">
        <f aca="false">IF($G899=0,"",IF(对账补充行!$D292=0,"",对账补充行!$D292))</f>
        <v/>
      </c>
      <c r="K899" s="0" t="str">
        <f aca="false">IF($G899=0,"",IF(对账补充行!$E292=0,"",对账补充行!$E292))</f>
        <v/>
      </c>
      <c r="L899" s="0" t="str">
        <f aca="false">IF($G899=0,"",IF(对账补充行!$F292=0,"",对账补充行!$F292))</f>
        <v/>
      </c>
      <c r="M899" s="0" t="str">
        <f aca="false">IF($G899=0,"",IF(对账补充行!$G292=0,"",对账补充行!$G292))</f>
        <v/>
      </c>
      <c r="N899" s="0" t="str">
        <f aca="false">IF($G899=0,"",IF(对账补充行!$H292=0,"",对账补充行!$H292))</f>
        <v/>
      </c>
      <c r="O899" s="0" t="str">
        <f aca="false">IF($G899=0,"",IF(对账补充行!$I292=0,"",对账补充行!$I292))</f>
        <v/>
      </c>
      <c r="P899" s="0" t="str">
        <f aca="false">IF($G899=0,"",IF(对账补充行!$J292=0,"",对账补充行!$J292))</f>
        <v/>
      </c>
      <c r="T899" s="0" t="str">
        <f aca="false">IF(成本费用登记表!$D299="","",成本费用登记表!$D299)</f>
        <v/>
      </c>
      <c r="U899" s="0" t="n">
        <f aca="false">IF(T899="",0,IF(MATCH(T899,$T$4:$T$903,0)=ROW()-3,1,0))</f>
        <v>0</v>
      </c>
      <c r="V899" s="0" t="n">
        <f aca="false">N(V898)+U899</f>
        <v>30</v>
      </c>
    </row>
    <row r="900" customFormat="false" ht="13.5" hidden="false" customHeight="false" outlineLevel="0" collapsed="false">
      <c r="A900" s="0" t="str">
        <f aca="false">IF(资金日记账!$E598="","",资金日记账!$E598)</f>
        <v/>
      </c>
      <c r="B900" s="0" t="n">
        <f aca="false">IF(A900="",0,IF(MATCH(A900,$A$4:$A$1925,0)=ROW()-3,1,0))</f>
        <v>0</v>
      </c>
      <c r="C900" s="0" t="n">
        <f aca="false">N(C899)+B900</f>
        <v>11</v>
      </c>
      <c r="G900" s="0" t="n">
        <f aca="false">IF(OR($G$1="",对账补充行!$C293="",对账补充行!$C293&lt;&gt;$G$1),0,IF(NOT(OR(N(对账补充行!$H293)&lt;&gt;0,N(对账补充行!$I293)&lt;&gt;0)),0,IF(对账补充行!$B293="",1,IF(OR(N(对账补充行!$B293)&lt;$H$1,N(对账补充行!$B293)&gt;$I$1),0,1))))</f>
        <v>0</v>
      </c>
      <c r="H900" s="0" t="n">
        <f aca="false">N(H899)+$G900</f>
        <v>3</v>
      </c>
      <c r="I900" s="0" t="str">
        <f aca="false">IF($G900=0,"",IF(对账补充行!$B293=0,"",对账补充行!$B293))</f>
        <v/>
      </c>
      <c r="J900" s="0" t="str">
        <f aca="false">IF($G900=0,"",IF(对账补充行!$D293=0,"",对账补充行!$D293))</f>
        <v/>
      </c>
      <c r="K900" s="0" t="str">
        <f aca="false">IF($G900=0,"",IF(对账补充行!$E293=0,"",对账补充行!$E293))</f>
        <v/>
      </c>
      <c r="L900" s="0" t="str">
        <f aca="false">IF($G900=0,"",IF(对账补充行!$F293=0,"",对账补充行!$F293))</f>
        <v/>
      </c>
      <c r="M900" s="0" t="str">
        <f aca="false">IF($G900=0,"",IF(对账补充行!$G293=0,"",对账补充行!$G293))</f>
        <v/>
      </c>
      <c r="N900" s="0" t="str">
        <f aca="false">IF($G900=0,"",IF(对账补充行!$H293=0,"",对账补充行!$H293))</f>
        <v/>
      </c>
      <c r="O900" s="0" t="str">
        <f aca="false">IF($G900=0,"",IF(对账补充行!$I293=0,"",对账补充行!$I293))</f>
        <v/>
      </c>
      <c r="P900" s="0" t="str">
        <f aca="false">IF($G900=0,"",IF(对账补充行!$J293=0,"",对账补充行!$J293))</f>
        <v/>
      </c>
      <c r="T900" s="0" t="str">
        <f aca="false">IF(成本费用登记表!$D300="","",成本费用登记表!$D300)</f>
        <v/>
      </c>
      <c r="U900" s="0" t="n">
        <f aca="false">IF(T900="",0,IF(MATCH(T900,$T$4:$T$903,0)=ROW()-3,1,0))</f>
        <v>0</v>
      </c>
      <c r="V900" s="0" t="n">
        <f aca="false">N(V899)+U900</f>
        <v>30</v>
      </c>
    </row>
    <row r="901" customFormat="false" ht="13.5" hidden="false" customHeight="false" outlineLevel="0" collapsed="false">
      <c r="A901" s="0" t="str">
        <f aca="false">IF(资金日记账!$E599="","",资金日记账!$E599)</f>
        <v/>
      </c>
      <c r="B901" s="0" t="n">
        <f aca="false">IF(A901="",0,IF(MATCH(A901,$A$4:$A$1925,0)=ROW()-3,1,0))</f>
        <v>0</v>
      </c>
      <c r="C901" s="0" t="n">
        <f aca="false">N(C900)+B901</f>
        <v>11</v>
      </c>
      <c r="G901" s="0" t="n">
        <f aca="false">IF(OR($G$1="",对账补充行!$C294="",对账补充行!$C294&lt;&gt;$G$1),0,IF(NOT(OR(N(对账补充行!$H294)&lt;&gt;0,N(对账补充行!$I294)&lt;&gt;0)),0,IF(对账补充行!$B294="",1,IF(OR(N(对账补充行!$B294)&lt;$H$1,N(对账补充行!$B294)&gt;$I$1),0,1))))</f>
        <v>0</v>
      </c>
      <c r="H901" s="0" t="n">
        <f aca="false">N(H900)+$G901</f>
        <v>3</v>
      </c>
      <c r="I901" s="0" t="str">
        <f aca="false">IF($G901=0,"",IF(对账补充行!$B294=0,"",对账补充行!$B294))</f>
        <v/>
      </c>
      <c r="J901" s="0" t="str">
        <f aca="false">IF($G901=0,"",IF(对账补充行!$D294=0,"",对账补充行!$D294))</f>
        <v/>
      </c>
      <c r="K901" s="0" t="str">
        <f aca="false">IF($G901=0,"",IF(对账补充行!$E294=0,"",对账补充行!$E294))</f>
        <v/>
      </c>
      <c r="L901" s="0" t="str">
        <f aca="false">IF($G901=0,"",IF(对账补充行!$F294=0,"",对账补充行!$F294))</f>
        <v/>
      </c>
      <c r="M901" s="0" t="str">
        <f aca="false">IF($G901=0,"",IF(对账补充行!$G294=0,"",对账补充行!$G294))</f>
        <v/>
      </c>
      <c r="N901" s="0" t="str">
        <f aca="false">IF($G901=0,"",IF(对账补充行!$H294=0,"",对账补充行!$H294))</f>
        <v/>
      </c>
      <c r="O901" s="0" t="str">
        <f aca="false">IF($G901=0,"",IF(对账补充行!$I294=0,"",对账补充行!$I294))</f>
        <v/>
      </c>
      <c r="P901" s="0" t="str">
        <f aca="false">IF($G901=0,"",IF(对账补充行!$J294=0,"",对账补充行!$J294))</f>
        <v/>
      </c>
      <c r="T901" s="0" t="str">
        <f aca="false">IF(成本费用登记表!$D301="","",成本费用登记表!$D301)</f>
        <v/>
      </c>
      <c r="U901" s="0" t="n">
        <f aca="false">IF(T901="",0,IF(MATCH(T901,$T$4:$T$903,0)=ROW()-3,1,0))</f>
        <v>0</v>
      </c>
      <c r="V901" s="0" t="n">
        <f aca="false">N(V900)+U901</f>
        <v>30</v>
      </c>
    </row>
    <row r="902" customFormat="false" ht="13.5" hidden="false" customHeight="false" outlineLevel="0" collapsed="false">
      <c r="A902" s="0" t="str">
        <f aca="false">IF(资金日记账!$E600="","",资金日记账!$E600)</f>
        <v/>
      </c>
      <c r="B902" s="0" t="n">
        <f aca="false">IF(A902="",0,IF(MATCH(A902,$A$4:$A$1925,0)=ROW()-3,1,0))</f>
        <v>0</v>
      </c>
      <c r="C902" s="0" t="n">
        <f aca="false">N(C901)+B902</f>
        <v>11</v>
      </c>
      <c r="G902" s="0" t="n">
        <f aca="false">IF(OR($G$1="",对账补充行!$C295="",对账补充行!$C295&lt;&gt;$G$1),0,IF(NOT(OR(N(对账补充行!$H295)&lt;&gt;0,N(对账补充行!$I295)&lt;&gt;0)),0,IF(对账补充行!$B295="",1,IF(OR(N(对账补充行!$B295)&lt;$H$1,N(对账补充行!$B295)&gt;$I$1),0,1))))</f>
        <v>0</v>
      </c>
      <c r="H902" s="0" t="n">
        <f aca="false">N(H901)+$G902</f>
        <v>3</v>
      </c>
      <c r="I902" s="0" t="str">
        <f aca="false">IF($G902=0,"",IF(对账补充行!$B295=0,"",对账补充行!$B295))</f>
        <v/>
      </c>
      <c r="J902" s="0" t="str">
        <f aca="false">IF($G902=0,"",IF(对账补充行!$D295=0,"",对账补充行!$D295))</f>
        <v/>
      </c>
      <c r="K902" s="0" t="str">
        <f aca="false">IF($G902=0,"",IF(对账补充行!$E295=0,"",对账补充行!$E295))</f>
        <v/>
      </c>
      <c r="L902" s="0" t="str">
        <f aca="false">IF($G902=0,"",IF(对账补充行!$F295=0,"",对账补充行!$F295))</f>
        <v/>
      </c>
      <c r="M902" s="0" t="str">
        <f aca="false">IF($G902=0,"",IF(对账补充行!$G295=0,"",对账补充行!$G295))</f>
        <v/>
      </c>
      <c r="N902" s="0" t="str">
        <f aca="false">IF($G902=0,"",IF(对账补充行!$H295=0,"",对账补充行!$H295))</f>
        <v/>
      </c>
      <c r="O902" s="0" t="str">
        <f aca="false">IF($G902=0,"",IF(对账补充行!$I295=0,"",对账补充行!$I295))</f>
        <v/>
      </c>
      <c r="P902" s="0" t="str">
        <f aca="false">IF($G902=0,"",IF(对账补充行!$J295=0,"",对账补充行!$J295))</f>
        <v/>
      </c>
      <c r="T902" s="0" t="str">
        <f aca="false">IF(成本费用登记表!$D302="","",成本费用登记表!$D302)</f>
        <v/>
      </c>
      <c r="U902" s="0" t="n">
        <f aca="false">IF(T902="",0,IF(MATCH(T902,$T$4:$T$903,0)=ROW()-3,1,0))</f>
        <v>0</v>
      </c>
      <c r="V902" s="0" t="n">
        <f aca="false">N(V901)+U902</f>
        <v>30</v>
      </c>
    </row>
    <row r="903" customFormat="false" ht="13.5" hidden="false" customHeight="false" outlineLevel="0" collapsed="false">
      <c r="A903" s="0" t="str">
        <f aca="false">IF(资金日记账!$E601="","",资金日记账!$E601)</f>
        <v/>
      </c>
      <c r="B903" s="0" t="n">
        <f aca="false">IF(A903="",0,IF(MATCH(A903,$A$4:$A$1925,0)=ROW()-3,1,0))</f>
        <v>0</v>
      </c>
      <c r="C903" s="0" t="n">
        <f aca="false">N(C902)+B903</f>
        <v>11</v>
      </c>
      <c r="G903" s="0" t="n">
        <f aca="false">IF(OR($G$1="",对账补充行!$C296="",对账补充行!$C296&lt;&gt;$G$1),0,IF(NOT(OR(N(对账补充行!$H296)&lt;&gt;0,N(对账补充行!$I296)&lt;&gt;0)),0,IF(对账补充行!$B296="",1,IF(OR(N(对账补充行!$B296)&lt;$H$1,N(对账补充行!$B296)&gt;$I$1),0,1))))</f>
        <v>0</v>
      </c>
      <c r="H903" s="0" t="n">
        <f aca="false">N(H902)+$G903</f>
        <v>3</v>
      </c>
      <c r="I903" s="0" t="str">
        <f aca="false">IF($G903=0,"",IF(对账补充行!$B296=0,"",对账补充行!$B296))</f>
        <v/>
      </c>
      <c r="J903" s="0" t="str">
        <f aca="false">IF($G903=0,"",IF(对账补充行!$D296=0,"",对账补充行!$D296))</f>
        <v/>
      </c>
      <c r="K903" s="0" t="str">
        <f aca="false">IF($G903=0,"",IF(对账补充行!$E296=0,"",对账补充行!$E296))</f>
        <v/>
      </c>
      <c r="L903" s="0" t="str">
        <f aca="false">IF($G903=0,"",IF(对账补充行!$F296=0,"",对账补充行!$F296))</f>
        <v/>
      </c>
      <c r="M903" s="0" t="str">
        <f aca="false">IF($G903=0,"",IF(对账补充行!$G296=0,"",对账补充行!$G296))</f>
        <v/>
      </c>
      <c r="N903" s="0" t="str">
        <f aca="false">IF($G903=0,"",IF(对账补充行!$H296=0,"",对账补充行!$H296))</f>
        <v/>
      </c>
      <c r="O903" s="0" t="str">
        <f aca="false">IF($G903=0,"",IF(对账补充行!$I296=0,"",对账补充行!$I296))</f>
        <v/>
      </c>
      <c r="P903" s="0" t="str">
        <f aca="false">IF($G903=0,"",IF(对账补充行!$J296=0,"",对账补充行!$J296))</f>
        <v/>
      </c>
      <c r="T903" s="0" t="str">
        <f aca="false">IF(成本费用登记表!$D303="","",成本费用登记表!$D303)</f>
        <v/>
      </c>
      <c r="U903" s="0" t="n">
        <f aca="false">IF(T903="",0,IF(MATCH(T903,$T$4:$T$903,0)=ROW()-3,1,0))</f>
        <v>0</v>
      </c>
      <c r="V903" s="0" t="n">
        <f aca="false">N(V902)+U903</f>
        <v>30</v>
      </c>
    </row>
    <row r="904" customFormat="false" ht="13.5" hidden="false" customHeight="false" outlineLevel="0" collapsed="false">
      <c r="A904" s="0" t="str">
        <f aca="false">IF(资金日记账!$E602="","",资金日记账!$E602)</f>
        <v/>
      </c>
      <c r="B904" s="0" t="n">
        <f aca="false">IF(A904="",0,IF(MATCH(A904,$A$4:$A$1925,0)=ROW()-3,1,0))</f>
        <v>0</v>
      </c>
      <c r="C904" s="0" t="n">
        <f aca="false">N(C903)+B904</f>
        <v>11</v>
      </c>
      <c r="G904" s="0" t="n">
        <f aca="false">IF(OR($G$1="",对账补充行!$C297="",对账补充行!$C297&lt;&gt;$G$1),0,IF(NOT(OR(N(对账补充行!$H297)&lt;&gt;0,N(对账补充行!$I297)&lt;&gt;0)),0,IF(对账补充行!$B297="",1,IF(OR(N(对账补充行!$B297)&lt;$H$1,N(对账补充行!$B297)&gt;$I$1),0,1))))</f>
        <v>0</v>
      </c>
      <c r="H904" s="0" t="n">
        <f aca="false">N(H903)+$G904</f>
        <v>3</v>
      </c>
      <c r="I904" s="0" t="str">
        <f aca="false">IF($G904=0,"",IF(对账补充行!$B297=0,"",对账补充行!$B297))</f>
        <v/>
      </c>
      <c r="J904" s="0" t="str">
        <f aca="false">IF($G904=0,"",IF(对账补充行!$D297=0,"",对账补充行!$D297))</f>
        <v/>
      </c>
      <c r="K904" s="0" t="str">
        <f aca="false">IF($G904=0,"",IF(对账补充行!$E297=0,"",对账补充行!$E297))</f>
        <v/>
      </c>
      <c r="L904" s="0" t="str">
        <f aca="false">IF($G904=0,"",IF(对账补充行!$F297=0,"",对账补充行!$F297))</f>
        <v/>
      </c>
      <c r="M904" s="0" t="str">
        <f aca="false">IF($G904=0,"",IF(对账补充行!$G297=0,"",对账补充行!$G297))</f>
        <v/>
      </c>
      <c r="N904" s="0" t="str">
        <f aca="false">IF($G904=0,"",IF(对账补充行!$H297=0,"",对账补充行!$H297))</f>
        <v/>
      </c>
      <c r="O904" s="0" t="str">
        <f aca="false">IF($G904=0,"",IF(对账补充行!$I297=0,"",对账补充行!$I297))</f>
        <v/>
      </c>
      <c r="P904" s="0" t="str">
        <f aca="false">IF($G904=0,"",IF(对账补充行!$J297=0,"",对账补充行!$J297))</f>
        <v/>
      </c>
    </row>
    <row r="905" customFormat="false" ht="13.5" hidden="false" customHeight="false" outlineLevel="0" collapsed="false">
      <c r="A905" s="0" t="str">
        <f aca="false">IF(资金日记账!$E603="","",资金日记账!$E603)</f>
        <v/>
      </c>
      <c r="B905" s="0" t="n">
        <f aca="false">IF(A905="",0,IF(MATCH(A905,$A$4:$A$1925,0)=ROW()-3,1,0))</f>
        <v>0</v>
      </c>
      <c r="C905" s="0" t="n">
        <f aca="false">N(C904)+B905</f>
        <v>11</v>
      </c>
      <c r="G905" s="0" t="n">
        <f aca="false">IF(OR($G$1="",对账补充行!$C298="",对账补充行!$C298&lt;&gt;$G$1),0,IF(NOT(OR(N(对账补充行!$H298)&lt;&gt;0,N(对账补充行!$I298)&lt;&gt;0)),0,IF(对账补充行!$B298="",1,IF(OR(N(对账补充行!$B298)&lt;$H$1,N(对账补充行!$B298)&gt;$I$1),0,1))))</f>
        <v>0</v>
      </c>
      <c r="H905" s="0" t="n">
        <f aca="false">N(H904)+$G905</f>
        <v>3</v>
      </c>
      <c r="I905" s="0" t="str">
        <f aca="false">IF($G905=0,"",IF(对账补充行!$B298=0,"",对账补充行!$B298))</f>
        <v/>
      </c>
      <c r="J905" s="0" t="str">
        <f aca="false">IF($G905=0,"",IF(对账补充行!$D298=0,"",对账补充行!$D298))</f>
        <v/>
      </c>
      <c r="K905" s="0" t="str">
        <f aca="false">IF($G905=0,"",IF(对账补充行!$E298=0,"",对账补充行!$E298))</f>
        <v/>
      </c>
      <c r="L905" s="0" t="str">
        <f aca="false">IF($G905=0,"",IF(对账补充行!$F298=0,"",对账补充行!$F298))</f>
        <v/>
      </c>
      <c r="M905" s="0" t="str">
        <f aca="false">IF($G905=0,"",IF(对账补充行!$G298=0,"",对账补充行!$G298))</f>
        <v/>
      </c>
      <c r="N905" s="0" t="str">
        <f aca="false">IF($G905=0,"",IF(对账补充行!$H298=0,"",对账补充行!$H298))</f>
        <v/>
      </c>
      <c r="O905" s="0" t="str">
        <f aca="false">IF($G905=0,"",IF(对账补充行!$I298=0,"",对账补充行!$I298))</f>
        <v/>
      </c>
      <c r="P905" s="0" t="str">
        <f aca="false">IF($G905=0,"",IF(对账补充行!$J298=0,"",对账补充行!$J298))</f>
        <v/>
      </c>
    </row>
    <row r="906" customFormat="false" ht="13.5" hidden="false" customHeight="false" outlineLevel="0" collapsed="false">
      <c r="A906" s="0" t="str">
        <f aca="false">IF(成本费用登记表!$C4="","",成本费用登记表!$C4)</f>
        <v/>
      </c>
      <c r="B906" s="0" t="n">
        <f aca="false">IF(A906="",0,IF(MATCH(A906,$A$4:$A$1925,0)=ROW()-3,1,0))</f>
        <v>0</v>
      </c>
      <c r="C906" s="0" t="n">
        <f aca="false">N(C905)+B906</f>
        <v>11</v>
      </c>
      <c r="G906" s="0" t="n">
        <f aca="false">IF(OR($G$1="",对账补充行!$C299="",对账补充行!$C299&lt;&gt;$G$1),0,IF(NOT(OR(N(对账补充行!$H299)&lt;&gt;0,N(对账补充行!$I299)&lt;&gt;0)),0,IF(对账补充行!$B299="",1,IF(OR(N(对账补充行!$B299)&lt;$H$1,N(对账补充行!$B299)&gt;$I$1),0,1))))</f>
        <v>0</v>
      </c>
      <c r="H906" s="0" t="n">
        <f aca="false">N(H905)+$G906</f>
        <v>3</v>
      </c>
      <c r="I906" s="0" t="str">
        <f aca="false">IF($G906=0,"",IF(对账补充行!$B299=0,"",对账补充行!$B299))</f>
        <v/>
      </c>
      <c r="J906" s="0" t="str">
        <f aca="false">IF($G906=0,"",IF(对账补充行!$D299=0,"",对账补充行!$D299))</f>
        <v/>
      </c>
      <c r="K906" s="0" t="str">
        <f aca="false">IF($G906=0,"",IF(对账补充行!$E299=0,"",对账补充行!$E299))</f>
        <v/>
      </c>
      <c r="L906" s="0" t="str">
        <f aca="false">IF($G906=0,"",IF(对账补充行!$F299=0,"",对账补充行!$F299))</f>
        <v/>
      </c>
      <c r="M906" s="0" t="str">
        <f aca="false">IF($G906=0,"",IF(对账补充行!$G299=0,"",对账补充行!$G299))</f>
        <v/>
      </c>
      <c r="N906" s="0" t="str">
        <f aca="false">IF($G906=0,"",IF(对账补充行!$H299=0,"",对账补充行!$H299))</f>
        <v/>
      </c>
      <c r="O906" s="0" t="str">
        <f aca="false">IF($G906=0,"",IF(对账补充行!$I299=0,"",对账补充行!$I299))</f>
        <v/>
      </c>
      <c r="P906" s="0" t="str">
        <f aca="false">IF($G906=0,"",IF(对账补充行!$J299=0,"",对账补充行!$J299))</f>
        <v/>
      </c>
    </row>
    <row r="907" customFormat="false" ht="13.5" hidden="false" customHeight="false" outlineLevel="0" collapsed="false">
      <c r="A907" s="0" t="str">
        <f aca="false">IF(成本费用登记表!$C5="","",成本费用登记表!$C5)</f>
        <v/>
      </c>
      <c r="B907" s="0" t="n">
        <f aca="false">IF(A907="",0,IF(MATCH(A907,$A$4:$A$1925,0)=ROW()-3,1,0))</f>
        <v>0</v>
      </c>
      <c r="C907" s="0" t="n">
        <f aca="false">N(C906)+B907</f>
        <v>11</v>
      </c>
      <c r="G907" s="0" t="n">
        <f aca="false">IF(OR($G$1="",对账补充行!$C300="",对账补充行!$C300&lt;&gt;$G$1),0,IF(NOT(OR(N(对账补充行!$H300)&lt;&gt;0,N(对账补充行!$I300)&lt;&gt;0)),0,IF(对账补充行!$B300="",1,IF(OR(N(对账补充行!$B300)&lt;$H$1,N(对账补充行!$B300)&gt;$I$1),0,1))))</f>
        <v>0</v>
      </c>
      <c r="H907" s="0" t="n">
        <f aca="false">N(H906)+$G907</f>
        <v>3</v>
      </c>
      <c r="I907" s="0" t="str">
        <f aca="false">IF($G907=0,"",IF(对账补充行!$B300=0,"",对账补充行!$B300))</f>
        <v/>
      </c>
      <c r="J907" s="0" t="str">
        <f aca="false">IF($G907=0,"",IF(对账补充行!$D300=0,"",对账补充行!$D300))</f>
        <v/>
      </c>
      <c r="K907" s="0" t="str">
        <f aca="false">IF($G907=0,"",IF(对账补充行!$E300=0,"",对账补充行!$E300))</f>
        <v/>
      </c>
      <c r="L907" s="0" t="str">
        <f aca="false">IF($G907=0,"",IF(对账补充行!$F300=0,"",对账补充行!$F300))</f>
        <v/>
      </c>
      <c r="M907" s="0" t="str">
        <f aca="false">IF($G907=0,"",IF(对账补充行!$G300=0,"",对账补充行!$G300))</f>
        <v/>
      </c>
      <c r="N907" s="0" t="str">
        <f aca="false">IF($G907=0,"",IF(对账补充行!$H300=0,"",对账补充行!$H300))</f>
        <v/>
      </c>
      <c r="O907" s="0" t="str">
        <f aca="false">IF($G907=0,"",IF(对账补充行!$I300=0,"",对账补充行!$I300))</f>
        <v/>
      </c>
      <c r="P907" s="0" t="str">
        <f aca="false">IF($G907=0,"",IF(对账补充行!$J300=0,"",对账补充行!$J300))</f>
        <v/>
      </c>
    </row>
    <row r="908" customFormat="false" ht="13.5" hidden="false" customHeight="false" outlineLevel="0" collapsed="false">
      <c r="A908" s="0" t="str">
        <f aca="false">IF(成本费用登记表!$C6="","",成本费用登记表!$C6)</f>
        <v/>
      </c>
      <c r="B908" s="0" t="n">
        <f aca="false">IF(A908="",0,IF(MATCH(A908,$A$4:$A$1925,0)=ROW()-3,1,0))</f>
        <v>0</v>
      </c>
      <c r="C908" s="0" t="n">
        <f aca="false">N(C907)+B908</f>
        <v>11</v>
      </c>
      <c r="G908" s="0" t="n">
        <f aca="false">IF(OR($G$1="",对账补充行!$C301="",对账补充行!$C301&lt;&gt;$G$1),0,IF(NOT(OR(N(对账补充行!$H301)&lt;&gt;0,N(对账补充行!$I301)&lt;&gt;0)),0,IF(对账补充行!$B301="",1,IF(OR(N(对账补充行!$B301)&lt;$H$1,N(对账补充行!$B301)&gt;$I$1),0,1))))</f>
        <v>0</v>
      </c>
      <c r="H908" s="0" t="n">
        <f aca="false">N(H907)+$G908</f>
        <v>3</v>
      </c>
      <c r="I908" s="0" t="str">
        <f aca="false">IF($G908=0,"",IF(对账补充行!$B301=0,"",对账补充行!$B301))</f>
        <v/>
      </c>
      <c r="J908" s="0" t="str">
        <f aca="false">IF($G908=0,"",IF(对账补充行!$D301=0,"",对账补充行!$D301))</f>
        <v/>
      </c>
      <c r="K908" s="0" t="str">
        <f aca="false">IF($G908=0,"",IF(对账补充行!$E301=0,"",对账补充行!$E301))</f>
        <v/>
      </c>
      <c r="L908" s="0" t="str">
        <f aca="false">IF($G908=0,"",IF(对账补充行!$F301=0,"",对账补充行!$F301))</f>
        <v/>
      </c>
      <c r="M908" s="0" t="str">
        <f aca="false">IF($G908=0,"",IF(对账补充行!$G301=0,"",对账补充行!$G301))</f>
        <v/>
      </c>
      <c r="N908" s="0" t="str">
        <f aca="false">IF($G908=0,"",IF(对账补充行!$H301=0,"",对账补充行!$H301))</f>
        <v/>
      </c>
      <c r="O908" s="0" t="str">
        <f aca="false">IF($G908=0,"",IF(对账补充行!$I301=0,"",对账补充行!$I301))</f>
        <v/>
      </c>
      <c r="P908" s="0" t="str">
        <f aca="false">IF($G908=0,"",IF(对账补充行!$J301=0,"",对账补充行!$J301))</f>
        <v/>
      </c>
    </row>
    <row r="909" customFormat="false" ht="13.5" hidden="false" customHeight="false" outlineLevel="0" collapsed="false">
      <c r="A909" s="0" t="str">
        <f aca="false">IF(成本费用登记表!$C7="","",成本费用登记表!$C7)</f>
        <v/>
      </c>
      <c r="B909" s="0" t="n">
        <f aca="false">IF(A909="",0,IF(MATCH(A909,$A$4:$A$1925,0)=ROW()-3,1,0))</f>
        <v>0</v>
      </c>
      <c r="C909" s="0" t="n">
        <f aca="false">N(C908)+B909</f>
        <v>11</v>
      </c>
      <c r="G909" s="0" t="n">
        <f aca="false">IF(OR($G$1="",对账补充行!$C302="",对账补充行!$C302&lt;&gt;$G$1),0,IF(NOT(OR(N(对账补充行!$H302)&lt;&gt;0,N(对账补充行!$I302)&lt;&gt;0)),0,IF(对账补充行!$B302="",1,IF(OR(N(对账补充行!$B302)&lt;$H$1,N(对账补充行!$B302)&gt;$I$1),0,1))))</f>
        <v>0</v>
      </c>
      <c r="H909" s="0" t="n">
        <f aca="false">N(H908)+$G909</f>
        <v>3</v>
      </c>
      <c r="I909" s="0" t="str">
        <f aca="false">IF($G909=0,"",IF(对账补充行!$B302=0,"",对账补充行!$B302))</f>
        <v/>
      </c>
      <c r="J909" s="0" t="str">
        <f aca="false">IF($G909=0,"",IF(对账补充行!$D302=0,"",对账补充行!$D302))</f>
        <v/>
      </c>
      <c r="K909" s="0" t="str">
        <f aca="false">IF($G909=0,"",IF(对账补充行!$E302=0,"",对账补充行!$E302))</f>
        <v/>
      </c>
      <c r="L909" s="0" t="str">
        <f aca="false">IF($G909=0,"",IF(对账补充行!$F302=0,"",对账补充行!$F302))</f>
        <v/>
      </c>
      <c r="M909" s="0" t="str">
        <f aca="false">IF($G909=0,"",IF(对账补充行!$G302=0,"",对账补充行!$G302))</f>
        <v/>
      </c>
      <c r="N909" s="0" t="str">
        <f aca="false">IF($G909=0,"",IF(对账补充行!$H302=0,"",对账补充行!$H302))</f>
        <v/>
      </c>
      <c r="O909" s="0" t="str">
        <f aca="false">IF($G909=0,"",IF(对账补充行!$I302=0,"",对账补充行!$I302))</f>
        <v/>
      </c>
      <c r="P909" s="0" t="str">
        <f aca="false">IF($G909=0,"",IF(对账补充行!$J302=0,"",对账补充行!$J302))</f>
        <v/>
      </c>
    </row>
    <row r="910" customFormat="false" ht="13.5" hidden="false" customHeight="false" outlineLevel="0" collapsed="false">
      <c r="A910" s="0" t="str">
        <f aca="false">IF(成本费用登记表!$C8="","",成本费用登记表!$C8)</f>
        <v/>
      </c>
      <c r="B910" s="0" t="n">
        <f aca="false">IF(A910="",0,IF(MATCH(A910,$A$4:$A$1925,0)=ROW()-3,1,0))</f>
        <v>0</v>
      </c>
      <c r="C910" s="0" t="n">
        <f aca="false">N(C909)+B910</f>
        <v>11</v>
      </c>
      <c r="G910" s="0" t="n">
        <f aca="false">IF(OR($G$1="",对账补充行!$C303="",对账补充行!$C303&lt;&gt;$G$1),0,IF(NOT(OR(N(对账补充行!$H303)&lt;&gt;0,N(对账补充行!$I303)&lt;&gt;0)),0,IF(对账补充行!$B303="",1,IF(OR(N(对账补充行!$B303)&lt;$H$1,N(对账补充行!$B303)&gt;$I$1),0,1))))</f>
        <v>0</v>
      </c>
      <c r="H910" s="0" t="n">
        <f aca="false">N(H909)+$G910</f>
        <v>3</v>
      </c>
      <c r="I910" s="0" t="str">
        <f aca="false">IF($G910=0,"",IF(对账补充行!$B303=0,"",对账补充行!$B303))</f>
        <v/>
      </c>
      <c r="J910" s="0" t="str">
        <f aca="false">IF($G910=0,"",IF(对账补充行!$D303=0,"",对账补充行!$D303))</f>
        <v/>
      </c>
      <c r="K910" s="0" t="str">
        <f aca="false">IF($G910=0,"",IF(对账补充行!$E303=0,"",对账补充行!$E303))</f>
        <v/>
      </c>
      <c r="L910" s="0" t="str">
        <f aca="false">IF($G910=0,"",IF(对账补充行!$F303=0,"",对账补充行!$F303))</f>
        <v/>
      </c>
      <c r="M910" s="0" t="str">
        <f aca="false">IF($G910=0,"",IF(对账补充行!$G303=0,"",对账补充行!$G303))</f>
        <v/>
      </c>
      <c r="N910" s="0" t="str">
        <f aca="false">IF($G910=0,"",IF(对账补充行!$H303=0,"",对账补充行!$H303))</f>
        <v/>
      </c>
      <c r="O910" s="0" t="str">
        <f aca="false">IF($G910=0,"",IF(对账补充行!$I303=0,"",对账补充行!$I303))</f>
        <v/>
      </c>
      <c r="P910" s="0" t="str">
        <f aca="false">IF($G910=0,"",IF(对账补充行!$J303=0,"",对账补充行!$J303))</f>
        <v/>
      </c>
    </row>
    <row r="911" customFormat="false" ht="13.5" hidden="false" customHeight="false" outlineLevel="0" collapsed="false">
      <c r="A911" s="0" t="str">
        <f aca="false">IF(成本费用登记表!$C9="","",成本费用登记表!$C9)</f>
        <v/>
      </c>
      <c r="B911" s="0" t="n">
        <f aca="false">IF(A911="",0,IF(MATCH(A911,$A$4:$A$1925,0)=ROW()-3,1,0))</f>
        <v>0</v>
      </c>
      <c r="C911" s="0" t="n">
        <f aca="false">N(C910)+B911</f>
        <v>11</v>
      </c>
    </row>
    <row r="912" customFormat="false" ht="13.5" hidden="false" customHeight="false" outlineLevel="0" collapsed="false">
      <c r="A912" s="0" t="str">
        <f aca="false">IF(成本费用登记表!$C10="","",成本费用登记表!$C10)</f>
        <v/>
      </c>
      <c r="B912" s="0" t="n">
        <f aca="false">IF(A912="",0,IF(MATCH(A912,$A$4:$A$1925,0)=ROW()-3,1,0))</f>
        <v>0</v>
      </c>
      <c r="C912" s="0" t="n">
        <f aca="false">N(C911)+B912</f>
        <v>11</v>
      </c>
    </row>
    <row r="913" customFormat="false" ht="13.5" hidden="false" customHeight="false" outlineLevel="0" collapsed="false">
      <c r="A913" s="0" t="str">
        <f aca="false">IF(成本费用登记表!$C11="","",成本费用登记表!$C11)</f>
        <v/>
      </c>
      <c r="B913" s="0" t="n">
        <f aca="false">IF(A913="",0,IF(MATCH(A913,$A$4:$A$1925,0)=ROW()-3,1,0))</f>
        <v>0</v>
      </c>
      <c r="C913" s="0" t="n">
        <f aca="false">N(C912)+B913</f>
        <v>11</v>
      </c>
    </row>
    <row r="914" customFormat="false" ht="13.5" hidden="false" customHeight="false" outlineLevel="0" collapsed="false">
      <c r="A914" s="0" t="str">
        <f aca="false">IF(成本费用登记表!$C12="","",成本费用登记表!$C12)</f>
        <v/>
      </c>
      <c r="B914" s="0" t="n">
        <f aca="false">IF(A914="",0,IF(MATCH(A914,$A$4:$A$1925,0)=ROW()-3,1,0))</f>
        <v>0</v>
      </c>
      <c r="C914" s="0" t="n">
        <f aca="false">N(C913)+B914</f>
        <v>11</v>
      </c>
    </row>
    <row r="915" customFormat="false" ht="13.5" hidden="false" customHeight="false" outlineLevel="0" collapsed="false">
      <c r="A915" s="0" t="str">
        <f aca="false">IF(成本费用登记表!$C13="","",成本费用登记表!$C13)</f>
        <v/>
      </c>
      <c r="B915" s="0" t="n">
        <f aca="false">IF(A915="",0,IF(MATCH(A915,$A$4:$A$1925,0)=ROW()-3,1,0))</f>
        <v>0</v>
      </c>
      <c r="C915" s="0" t="n">
        <f aca="false">N(C914)+B915</f>
        <v>11</v>
      </c>
    </row>
    <row r="916" customFormat="false" ht="13.5" hidden="false" customHeight="false" outlineLevel="0" collapsed="false">
      <c r="A916" s="0" t="str">
        <f aca="false">IF(成本费用登记表!$C14="","",成本费用登记表!$C14)</f>
        <v/>
      </c>
      <c r="B916" s="0" t="n">
        <f aca="false">IF(A916="",0,IF(MATCH(A916,$A$4:$A$1925,0)=ROW()-3,1,0))</f>
        <v>0</v>
      </c>
      <c r="C916" s="0" t="n">
        <f aca="false">N(C915)+B916</f>
        <v>11</v>
      </c>
    </row>
    <row r="917" customFormat="false" ht="13.5" hidden="false" customHeight="false" outlineLevel="0" collapsed="false">
      <c r="A917" s="0" t="str">
        <f aca="false">IF(成本费用登记表!$C15="","",成本费用登记表!$C15)</f>
        <v/>
      </c>
      <c r="B917" s="0" t="n">
        <f aca="false">IF(A917="",0,IF(MATCH(A917,$A$4:$A$1925,0)=ROW()-3,1,0))</f>
        <v>0</v>
      </c>
      <c r="C917" s="0" t="n">
        <f aca="false">N(C916)+B917</f>
        <v>11</v>
      </c>
    </row>
    <row r="918" customFormat="false" ht="13.5" hidden="false" customHeight="false" outlineLevel="0" collapsed="false">
      <c r="A918" s="0" t="str">
        <f aca="false">IF(成本费用登记表!$C16="","",成本费用登记表!$C16)</f>
        <v/>
      </c>
      <c r="B918" s="0" t="n">
        <f aca="false">IF(A918="",0,IF(MATCH(A918,$A$4:$A$1925,0)=ROW()-3,1,0))</f>
        <v>0</v>
      </c>
      <c r="C918" s="0" t="n">
        <f aca="false">N(C917)+B918</f>
        <v>11</v>
      </c>
    </row>
    <row r="919" customFormat="false" ht="13.5" hidden="false" customHeight="false" outlineLevel="0" collapsed="false">
      <c r="A919" s="0" t="str">
        <f aca="false">IF(成本费用登记表!$C17="","",成本费用登记表!$C17)</f>
        <v/>
      </c>
      <c r="B919" s="0" t="n">
        <f aca="false">IF(A919="",0,IF(MATCH(A919,$A$4:$A$1925,0)=ROW()-3,1,0))</f>
        <v>0</v>
      </c>
      <c r="C919" s="0" t="n">
        <f aca="false">N(C918)+B919</f>
        <v>11</v>
      </c>
    </row>
    <row r="920" customFormat="false" ht="13.5" hidden="false" customHeight="false" outlineLevel="0" collapsed="false">
      <c r="A920" s="0" t="str">
        <f aca="false">IF(成本费用登记表!$C18="","",成本费用登记表!$C18)</f>
        <v/>
      </c>
      <c r="B920" s="0" t="n">
        <f aca="false">IF(A920="",0,IF(MATCH(A920,$A$4:$A$1925,0)=ROW()-3,1,0))</f>
        <v>0</v>
      </c>
      <c r="C920" s="0" t="n">
        <f aca="false">N(C919)+B920</f>
        <v>11</v>
      </c>
    </row>
    <row r="921" customFormat="false" ht="13.5" hidden="false" customHeight="false" outlineLevel="0" collapsed="false">
      <c r="A921" s="0" t="str">
        <f aca="false">IF(成本费用登记表!$C19="","",成本费用登记表!$C19)</f>
        <v/>
      </c>
      <c r="B921" s="0" t="n">
        <f aca="false">IF(A921="",0,IF(MATCH(A921,$A$4:$A$1925,0)=ROW()-3,1,0))</f>
        <v>0</v>
      </c>
      <c r="C921" s="0" t="n">
        <f aca="false">N(C920)+B921</f>
        <v>11</v>
      </c>
    </row>
    <row r="922" customFormat="false" ht="13.5" hidden="false" customHeight="false" outlineLevel="0" collapsed="false">
      <c r="A922" s="0" t="str">
        <f aca="false">IF(成本费用登记表!$C20="","",成本费用登记表!$C20)</f>
        <v/>
      </c>
      <c r="B922" s="0" t="n">
        <f aca="false">IF(A922="",0,IF(MATCH(A922,$A$4:$A$1925,0)=ROW()-3,1,0))</f>
        <v>0</v>
      </c>
      <c r="C922" s="0" t="n">
        <f aca="false">N(C921)+B922</f>
        <v>11</v>
      </c>
    </row>
    <row r="923" customFormat="false" ht="13.5" hidden="false" customHeight="false" outlineLevel="0" collapsed="false">
      <c r="A923" s="0" t="str">
        <f aca="false">IF(成本费用登记表!$C21="","",成本费用登记表!$C21)</f>
        <v/>
      </c>
      <c r="B923" s="0" t="n">
        <f aca="false">IF(A923="",0,IF(MATCH(A923,$A$4:$A$1925,0)=ROW()-3,1,0))</f>
        <v>0</v>
      </c>
      <c r="C923" s="0" t="n">
        <f aca="false">N(C922)+B923</f>
        <v>11</v>
      </c>
    </row>
    <row r="924" customFormat="false" ht="13.5" hidden="false" customHeight="false" outlineLevel="0" collapsed="false">
      <c r="A924" s="0" t="str">
        <f aca="false">IF(成本费用登记表!$C22="","",成本费用登记表!$C22)</f>
        <v/>
      </c>
      <c r="B924" s="0" t="n">
        <f aca="false">IF(A924="",0,IF(MATCH(A924,$A$4:$A$1925,0)=ROW()-3,1,0))</f>
        <v>0</v>
      </c>
      <c r="C924" s="0" t="n">
        <f aca="false">N(C923)+B924</f>
        <v>11</v>
      </c>
    </row>
    <row r="925" customFormat="false" ht="13.5" hidden="false" customHeight="false" outlineLevel="0" collapsed="false">
      <c r="A925" s="0" t="str">
        <f aca="false">IF(成本费用登记表!$C23="","",成本费用登记表!$C23)</f>
        <v/>
      </c>
      <c r="B925" s="0" t="n">
        <f aca="false">IF(A925="",0,IF(MATCH(A925,$A$4:$A$1925,0)=ROW()-3,1,0))</f>
        <v>0</v>
      </c>
      <c r="C925" s="0" t="n">
        <f aca="false">N(C924)+B925</f>
        <v>11</v>
      </c>
    </row>
    <row r="926" customFormat="false" ht="13.5" hidden="false" customHeight="false" outlineLevel="0" collapsed="false">
      <c r="A926" s="0" t="str">
        <f aca="false">IF(成本费用登记表!$C24="","",成本费用登记表!$C24)</f>
        <v/>
      </c>
      <c r="B926" s="0" t="n">
        <f aca="false">IF(A926="",0,IF(MATCH(A926,$A$4:$A$1925,0)=ROW()-3,1,0))</f>
        <v>0</v>
      </c>
      <c r="C926" s="0" t="n">
        <f aca="false">N(C925)+B926</f>
        <v>11</v>
      </c>
    </row>
    <row r="927" customFormat="false" ht="13.5" hidden="false" customHeight="false" outlineLevel="0" collapsed="false">
      <c r="A927" s="0" t="str">
        <f aca="false">IF(成本费用登记表!$C25="","",成本费用登记表!$C25)</f>
        <v/>
      </c>
      <c r="B927" s="0" t="n">
        <f aca="false">IF(A927="",0,IF(MATCH(A927,$A$4:$A$1925,0)=ROW()-3,1,0))</f>
        <v>0</v>
      </c>
      <c r="C927" s="0" t="n">
        <f aca="false">N(C926)+B927</f>
        <v>11</v>
      </c>
    </row>
    <row r="928" customFormat="false" ht="13.5" hidden="false" customHeight="false" outlineLevel="0" collapsed="false">
      <c r="A928" s="0" t="str">
        <f aca="false">IF(成本费用登记表!$C26="","",成本费用登记表!$C26)</f>
        <v/>
      </c>
      <c r="B928" s="0" t="n">
        <f aca="false">IF(A928="",0,IF(MATCH(A928,$A$4:$A$1925,0)=ROW()-3,1,0))</f>
        <v>0</v>
      </c>
      <c r="C928" s="0" t="n">
        <f aca="false">N(C927)+B928</f>
        <v>11</v>
      </c>
    </row>
    <row r="929" customFormat="false" ht="13.5" hidden="false" customHeight="false" outlineLevel="0" collapsed="false">
      <c r="A929" s="0" t="str">
        <f aca="false">IF(成本费用登记表!$C27="","",成本费用登记表!$C27)</f>
        <v/>
      </c>
      <c r="B929" s="0" t="n">
        <f aca="false">IF(A929="",0,IF(MATCH(A929,$A$4:$A$1925,0)=ROW()-3,1,0))</f>
        <v>0</v>
      </c>
      <c r="C929" s="0" t="n">
        <f aca="false">N(C928)+B929</f>
        <v>11</v>
      </c>
    </row>
    <row r="930" customFormat="false" ht="13.5" hidden="false" customHeight="false" outlineLevel="0" collapsed="false">
      <c r="A930" s="0" t="str">
        <f aca="false">IF(成本费用登记表!$C28="","",成本费用登记表!$C28)</f>
        <v/>
      </c>
      <c r="B930" s="0" t="n">
        <f aca="false">IF(A930="",0,IF(MATCH(A930,$A$4:$A$1925,0)=ROW()-3,1,0))</f>
        <v>0</v>
      </c>
      <c r="C930" s="0" t="n">
        <f aca="false">N(C929)+B930</f>
        <v>11</v>
      </c>
    </row>
    <row r="931" customFormat="false" ht="13.5" hidden="false" customHeight="false" outlineLevel="0" collapsed="false">
      <c r="A931" s="0" t="str">
        <f aca="false">IF(成本费用登记表!$C29="","",成本费用登记表!$C29)</f>
        <v/>
      </c>
      <c r="B931" s="0" t="n">
        <f aca="false">IF(A931="",0,IF(MATCH(A931,$A$4:$A$1925,0)=ROW()-3,1,0))</f>
        <v>0</v>
      </c>
      <c r="C931" s="0" t="n">
        <f aca="false">N(C930)+B931</f>
        <v>11</v>
      </c>
    </row>
    <row r="932" customFormat="false" ht="13.5" hidden="false" customHeight="false" outlineLevel="0" collapsed="false">
      <c r="A932" s="0" t="str">
        <f aca="false">IF(成本费用登记表!$C30="","",成本费用登记表!$C30)</f>
        <v/>
      </c>
      <c r="B932" s="0" t="n">
        <f aca="false">IF(A932="",0,IF(MATCH(A932,$A$4:$A$1925,0)=ROW()-3,1,0))</f>
        <v>0</v>
      </c>
      <c r="C932" s="0" t="n">
        <f aca="false">N(C931)+B932</f>
        <v>11</v>
      </c>
    </row>
    <row r="933" customFormat="false" ht="13.5" hidden="false" customHeight="false" outlineLevel="0" collapsed="false">
      <c r="A933" s="0" t="str">
        <f aca="false">IF(成本费用登记表!$C31="","",成本费用登记表!$C31)</f>
        <v/>
      </c>
      <c r="B933" s="0" t="n">
        <f aca="false">IF(A933="",0,IF(MATCH(A933,$A$4:$A$1925,0)=ROW()-3,1,0))</f>
        <v>0</v>
      </c>
      <c r="C933" s="0" t="n">
        <f aca="false">N(C932)+B933</f>
        <v>11</v>
      </c>
    </row>
    <row r="934" customFormat="false" ht="13.5" hidden="false" customHeight="false" outlineLevel="0" collapsed="false">
      <c r="A934" s="0" t="str">
        <f aca="false">IF(成本费用登记表!$C32="","",成本费用登记表!$C32)</f>
        <v/>
      </c>
      <c r="B934" s="0" t="n">
        <f aca="false">IF(A934="",0,IF(MATCH(A934,$A$4:$A$1925,0)=ROW()-3,1,0))</f>
        <v>0</v>
      </c>
      <c r="C934" s="0" t="n">
        <f aca="false">N(C933)+B934</f>
        <v>11</v>
      </c>
    </row>
    <row r="935" customFormat="false" ht="13.5" hidden="false" customHeight="false" outlineLevel="0" collapsed="false">
      <c r="A935" s="0" t="str">
        <f aca="false">IF(成本费用登记表!$C33="","",成本费用登记表!$C33)</f>
        <v/>
      </c>
      <c r="B935" s="0" t="n">
        <f aca="false">IF(A935="",0,IF(MATCH(A935,$A$4:$A$1925,0)=ROW()-3,1,0))</f>
        <v>0</v>
      </c>
      <c r="C935" s="0" t="n">
        <f aca="false">N(C934)+B935</f>
        <v>11</v>
      </c>
    </row>
    <row r="936" customFormat="false" ht="13.5" hidden="false" customHeight="false" outlineLevel="0" collapsed="false">
      <c r="A936" s="0" t="str">
        <f aca="false">IF(成本费用登记表!$C34="","",成本费用登记表!$C34)</f>
        <v/>
      </c>
      <c r="B936" s="0" t="n">
        <f aca="false">IF(A936="",0,IF(MATCH(A936,$A$4:$A$1925,0)=ROW()-3,1,0))</f>
        <v>0</v>
      </c>
      <c r="C936" s="0" t="n">
        <f aca="false">N(C935)+B936</f>
        <v>11</v>
      </c>
    </row>
    <row r="937" customFormat="false" ht="13.5" hidden="false" customHeight="false" outlineLevel="0" collapsed="false">
      <c r="A937" s="0" t="str">
        <f aca="false">IF(成本费用登记表!$C35="","",成本费用登记表!$C35)</f>
        <v/>
      </c>
      <c r="B937" s="0" t="n">
        <f aca="false">IF(A937="",0,IF(MATCH(A937,$A$4:$A$1925,0)=ROW()-3,1,0))</f>
        <v>0</v>
      </c>
      <c r="C937" s="0" t="n">
        <f aca="false">N(C936)+B937</f>
        <v>11</v>
      </c>
    </row>
    <row r="938" customFormat="false" ht="13.5" hidden="false" customHeight="false" outlineLevel="0" collapsed="false">
      <c r="A938" s="0" t="str">
        <f aca="false">IF(成本费用登记表!$C36="","",成本费用登记表!$C36)</f>
        <v/>
      </c>
      <c r="B938" s="0" t="n">
        <f aca="false">IF(A938="",0,IF(MATCH(A938,$A$4:$A$1925,0)=ROW()-3,1,0))</f>
        <v>0</v>
      </c>
      <c r="C938" s="0" t="n">
        <f aca="false">N(C937)+B938</f>
        <v>11</v>
      </c>
    </row>
    <row r="939" customFormat="false" ht="13.5" hidden="false" customHeight="false" outlineLevel="0" collapsed="false">
      <c r="A939" s="0" t="str">
        <f aca="false">IF(成本费用登记表!$C37="","",成本费用登记表!$C37)</f>
        <v/>
      </c>
      <c r="B939" s="0" t="n">
        <f aca="false">IF(A939="",0,IF(MATCH(A939,$A$4:$A$1925,0)=ROW()-3,1,0))</f>
        <v>0</v>
      </c>
      <c r="C939" s="0" t="n">
        <f aca="false">N(C938)+B939</f>
        <v>11</v>
      </c>
    </row>
    <row r="940" customFormat="false" ht="13.5" hidden="false" customHeight="false" outlineLevel="0" collapsed="false">
      <c r="A940" s="0" t="str">
        <f aca="false">IF(成本费用登记表!$C38="","",成本费用登记表!$C38)</f>
        <v/>
      </c>
      <c r="B940" s="0" t="n">
        <f aca="false">IF(A940="",0,IF(MATCH(A940,$A$4:$A$1925,0)=ROW()-3,1,0))</f>
        <v>0</v>
      </c>
      <c r="C940" s="0" t="n">
        <f aca="false">N(C939)+B940</f>
        <v>11</v>
      </c>
    </row>
    <row r="941" customFormat="false" ht="13.5" hidden="false" customHeight="false" outlineLevel="0" collapsed="false">
      <c r="A941" s="0" t="str">
        <f aca="false">IF(成本费用登记表!$C39="","",成本费用登记表!$C39)</f>
        <v/>
      </c>
      <c r="B941" s="0" t="n">
        <f aca="false">IF(A941="",0,IF(MATCH(A941,$A$4:$A$1925,0)=ROW()-3,1,0))</f>
        <v>0</v>
      </c>
      <c r="C941" s="0" t="n">
        <f aca="false">N(C940)+B941</f>
        <v>11</v>
      </c>
    </row>
    <row r="942" customFormat="false" ht="13.5" hidden="false" customHeight="false" outlineLevel="0" collapsed="false">
      <c r="A942" s="0" t="str">
        <f aca="false">IF(成本费用登记表!$C40="","",成本费用登记表!$C40)</f>
        <v/>
      </c>
      <c r="B942" s="0" t="n">
        <f aca="false">IF(A942="",0,IF(MATCH(A942,$A$4:$A$1925,0)=ROW()-3,1,0))</f>
        <v>0</v>
      </c>
      <c r="C942" s="0" t="n">
        <f aca="false">N(C941)+B942</f>
        <v>11</v>
      </c>
    </row>
    <row r="943" customFormat="false" ht="13.5" hidden="false" customHeight="false" outlineLevel="0" collapsed="false">
      <c r="A943" s="0" t="str">
        <f aca="false">IF(成本费用登记表!$C41="","",成本费用登记表!$C41)</f>
        <v/>
      </c>
      <c r="B943" s="0" t="n">
        <f aca="false">IF(A943="",0,IF(MATCH(A943,$A$4:$A$1925,0)=ROW()-3,1,0))</f>
        <v>0</v>
      </c>
      <c r="C943" s="0" t="n">
        <f aca="false">N(C942)+B943</f>
        <v>11</v>
      </c>
    </row>
    <row r="944" customFormat="false" ht="13.5" hidden="false" customHeight="false" outlineLevel="0" collapsed="false">
      <c r="A944" s="0" t="str">
        <f aca="false">IF(成本费用登记表!$C42="","",成本费用登记表!$C42)</f>
        <v/>
      </c>
      <c r="B944" s="0" t="n">
        <f aca="false">IF(A944="",0,IF(MATCH(A944,$A$4:$A$1925,0)=ROW()-3,1,0))</f>
        <v>0</v>
      </c>
      <c r="C944" s="0" t="n">
        <f aca="false">N(C943)+B944</f>
        <v>11</v>
      </c>
    </row>
    <row r="945" customFormat="false" ht="13.5" hidden="false" customHeight="false" outlineLevel="0" collapsed="false">
      <c r="A945" s="0" t="str">
        <f aca="false">IF(成本费用登记表!$C43="","",成本费用登记表!$C43)</f>
        <v/>
      </c>
      <c r="B945" s="0" t="n">
        <f aca="false">IF(A945="",0,IF(MATCH(A945,$A$4:$A$1925,0)=ROW()-3,1,0))</f>
        <v>0</v>
      </c>
      <c r="C945" s="0" t="n">
        <f aca="false">N(C944)+B945</f>
        <v>11</v>
      </c>
    </row>
    <row r="946" customFormat="false" ht="13.5" hidden="false" customHeight="false" outlineLevel="0" collapsed="false">
      <c r="A946" s="0" t="str">
        <f aca="false">IF(成本费用登记表!$C44="","",成本费用登记表!$C44)</f>
        <v/>
      </c>
      <c r="B946" s="0" t="n">
        <f aca="false">IF(A946="",0,IF(MATCH(A946,$A$4:$A$1925,0)=ROW()-3,1,0))</f>
        <v>0</v>
      </c>
      <c r="C946" s="0" t="n">
        <f aca="false">N(C945)+B946</f>
        <v>11</v>
      </c>
    </row>
    <row r="947" customFormat="false" ht="13.5" hidden="false" customHeight="false" outlineLevel="0" collapsed="false">
      <c r="A947" s="0" t="str">
        <f aca="false">IF(成本费用登记表!$C45="","",成本费用登记表!$C45)</f>
        <v/>
      </c>
      <c r="B947" s="0" t="n">
        <f aca="false">IF(A947="",0,IF(MATCH(A947,$A$4:$A$1925,0)=ROW()-3,1,0))</f>
        <v>0</v>
      </c>
      <c r="C947" s="0" t="n">
        <f aca="false">N(C946)+B947</f>
        <v>11</v>
      </c>
    </row>
    <row r="948" customFormat="false" ht="13.5" hidden="false" customHeight="false" outlineLevel="0" collapsed="false">
      <c r="A948" s="0" t="str">
        <f aca="false">IF(成本费用登记表!$C46="","",成本费用登记表!$C46)</f>
        <v/>
      </c>
      <c r="B948" s="0" t="n">
        <f aca="false">IF(A948="",0,IF(MATCH(A948,$A$4:$A$1925,0)=ROW()-3,1,0))</f>
        <v>0</v>
      </c>
      <c r="C948" s="0" t="n">
        <f aca="false">N(C947)+B948</f>
        <v>11</v>
      </c>
    </row>
    <row r="949" customFormat="false" ht="13.5" hidden="false" customHeight="false" outlineLevel="0" collapsed="false">
      <c r="A949" s="0" t="str">
        <f aca="false">IF(成本费用登记表!$C47="","",成本费用登记表!$C47)</f>
        <v/>
      </c>
      <c r="B949" s="0" t="n">
        <f aca="false">IF(A949="",0,IF(MATCH(A949,$A$4:$A$1925,0)=ROW()-3,1,0))</f>
        <v>0</v>
      </c>
      <c r="C949" s="0" t="n">
        <f aca="false">N(C948)+B949</f>
        <v>11</v>
      </c>
    </row>
    <row r="950" customFormat="false" ht="13.5" hidden="false" customHeight="false" outlineLevel="0" collapsed="false">
      <c r="A950" s="0" t="str">
        <f aca="false">IF(成本费用登记表!$C48="","",成本费用登记表!$C48)</f>
        <v/>
      </c>
      <c r="B950" s="0" t="n">
        <f aca="false">IF(A950="",0,IF(MATCH(A950,$A$4:$A$1925,0)=ROW()-3,1,0))</f>
        <v>0</v>
      </c>
      <c r="C950" s="0" t="n">
        <f aca="false">N(C949)+B950</f>
        <v>11</v>
      </c>
    </row>
    <row r="951" customFormat="false" ht="13.5" hidden="false" customHeight="false" outlineLevel="0" collapsed="false">
      <c r="A951" s="0" t="str">
        <f aca="false">IF(成本费用登记表!$C49="","",成本费用登记表!$C49)</f>
        <v/>
      </c>
      <c r="B951" s="0" t="n">
        <f aca="false">IF(A951="",0,IF(MATCH(A951,$A$4:$A$1925,0)=ROW()-3,1,0))</f>
        <v>0</v>
      </c>
      <c r="C951" s="0" t="n">
        <f aca="false">N(C950)+B951</f>
        <v>11</v>
      </c>
    </row>
    <row r="952" customFormat="false" ht="13.5" hidden="false" customHeight="false" outlineLevel="0" collapsed="false">
      <c r="A952" s="0" t="str">
        <f aca="false">IF(成本费用登记表!$C50="","",成本费用登记表!$C50)</f>
        <v/>
      </c>
      <c r="B952" s="0" t="n">
        <f aca="false">IF(A952="",0,IF(MATCH(A952,$A$4:$A$1925,0)=ROW()-3,1,0))</f>
        <v>0</v>
      </c>
      <c r="C952" s="0" t="n">
        <f aca="false">N(C951)+B952</f>
        <v>11</v>
      </c>
    </row>
    <row r="953" customFormat="false" ht="13.5" hidden="false" customHeight="false" outlineLevel="0" collapsed="false">
      <c r="A953" s="0" t="str">
        <f aca="false">IF(成本费用登记表!$C51="","",成本费用登记表!$C51)</f>
        <v/>
      </c>
      <c r="B953" s="0" t="n">
        <f aca="false">IF(A953="",0,IF(MATCH(A953,$A$4:$A$1925,0)=ROW()-3,1,0))</f>
        <v>0</v>
      </c>
      <c r="C953" s="0" t="n">
        <f aca="false">N(C952)+B953</f>
        <v>11</v>
      </c>
    </row>
    <row r="954" customFormat="false" ht="13.5" hidden="false" customHeight="false" outlineLevel="0" collapsed="false">
      <c r="A954" s="0" t="str">
        <f aca="false">IF(成本费用登记表!$C52="","",成本费用登记表!$C52)</f>
        <v/>
      </c>
      <c r="B954" s="0" t="n">
        <f aca="false">IF(A954="",0,IF(MATCH(A954,$A$4:$A$1925,0)=ROW()-3,1,0))</f>
        <v>0</v>
      </c>
      <c r="C954" s="0" t="n">
        <f aca="false">N(C953)+B954</f>
        <v>11</v>
      </c>
    </row>
    <row r="955" customFormat="false" ht="13.5" hidden="false" customHeight="false" outlineLevel="0" collapsed="false">
      <c r="A955" s="0" t="str">
        <f aca="false">IF(成本费用登记表!$C53="","",成本费用登记表!$C53)</f>
        <v/>
      </c>
      <c r="B955" s="0" t="n">
        <f aca="false">IF(A955="",0,IF(MATCH(A955,$A$4:$A$1925,0)=ROW()-3,1,0))</f>
        <v>0</v>
      </c>
      <c r="C955" s="0" t="n">
        <f aca="false">N(C954)+B955</f>
        <v>11</v>
      </c>
    </row>
    <row r="956" customFormat="false" ht="13.5" hidden="false" customHeight="false" outlineLevel="0" collapsed="false">
      <c r="A956" s="0" t="str">
        <f aca="false">IF(成本费用登记表!$C54="","",成本费用登记表!$C54)</f>
        <v/>
      </c>
      <c r="B956" s="0" t="n">
        <f aca="false">IF(A956="",0,IF(MATCH(A956,$A$4:$A$1925,0)=ROW()-3,1,0))</f>
        <v>0</v>
      </c>
      <c r="C956" s="0" t="n">
        <f aca="false">N(C955)+B956</f>
        <v>11</v>
      </c>
    </row>
    <row r="957" customFormat="false" ht="13.5" hidden="false" customHeight="false" outlineLevel="0" collapsed="false">
      <c r="A957" s="0" t="str">
        <f aca="false">IF(成本费用登记表!$C55="","",成本费用登记表!$C55)</f>
        <v/>
      </c>
      <c r="B957" s="0" t="n">
        <f aca="false">IF(A957="",0,IF(MATCH(A957,$A$4:$A$1925,0)=ROW()-3,1,0))</f>
        <v>0</v>
      </c>
      <c r="C957" s="0" t="n">
        <f aca="false">N(C956)+B957</f>
        <v>11</v>
      </c>
    </row>
    <row r="958" customFormat="false" ht="13.5" hidden="false" customHeight="false" outlineLevel="0" collapsed="false">
      <c r="A958" s="0" t="str">
        <f aca="false">IF(成本费用登记表!$C56="","",成本费用登记表!$C56)</f>
        <v/>
      </c>
      <c r="B958" s="0" t="n">
        <f aca="false">IF(A958="",0,IF(MATCH(A958,$A$4:$A$1925,0)=ROW()-3,1,0))</f>
        <v>0</v>
      </c>
      <c r="C958" s="0" t="n">
        <f aca="false">N(C957)+B958</f>
        <v>11</v>
      </c>
    </row>
    <row r="959" customFormat="false" ht="13.5" hidden="false" customHeight="false" outlineLevel="0" collapsed="false">
      <c r="A959" s="0" t="str">
        <f aca="false">IF(成本费用登记表!$C57="","",成本费用登记表!$C57)</f>
        <v/>
      </c>
      <c r="B959" s="0" t="n">
        <f aca="false">IF(A959="",0,IF(MATCH(A959,$A$4:$A$1925,0)=ROW()-3,1,0))</f>
        <v>0</v>
      </c>
      <c r="C959" s="0" t="n">
        <f aca="false">N(C958)+B959</f>
        <v>11</v>
      </c>
    </row>
    <row r="960" customFormat="false" ht="13.5" hidden="false" customHeight="false" outlineLevel="0" collapsed="false">
      <c r="A960" s="0" t="str">
        <f aca="false">IF(成本费用登记表!$C58="","",成本费用登记表!$C58)</f>
        <v/>
      </c>
      <c r="B960" s="0" t="n">
        <f aca="false">IF(A960="",0,IF(MATCH(A960,$A$4:$A$1925,0)=ROW()-3,1,0))</f>
        <v>0</v>
      </c>
      <c r="C960" s="0" t="n">
        <f aca="false">N(C959)+B960</f>
        <v>11</v>
      </c>
    </row>
    <row r="961" customFormat="false" ht="13.5" hidden="false" customHeight="false" outlineLevel="0" collapsed="false">
      <c r="A961" s="0" t="str">
        <f aca="false">IF(成本费用登记表!$C59="","",成本费用登记表!$C59)</f>
        <v/>
      </c>
      <c r="B961" s="0" t="n">
        <f aca="false">IF(A961="",0,IF(MATCH(A961,$A$4:$A$1925,0)=ROW()-3,1,0))</f>
        <v>0</v>
      </c>
      <c r="C961" s="0" t="n">
        <f aca="false">N(C960)+B961</f>
        <v>11</v>
      </c>
    </row>
    <row r="962" customFormat="false" ht="13.5" hidden="false" customHeight="false" outlineLevel="0" collapsed="false">
      <c r="A962" s="0" t="str">
        <f aca="false">IF(成本费用登记表!$C60="","",成本费用登记表!$C60)</f>
        <v/>
      </c>
      <c r="B962" s="0" t="n">
        <f aca="false">IF(A962="",0,IF(MATCH(A962,$A$4:$A$1925,0)=ROW()-3,1,0))</f>
        <v>0</v>
      </c>
      <c r="C962" s="0" t="n">
        <f aca="false">N(C961)+B962</f>
        <v>11</v>
      </c>
    </row>
    <row r="963" customFormat="false" ht="13.5" hidden="false" customHeight="false" outlineLevel="0" collapsed="false">
      <c r="A963" s="0" t="str">
        <f aca="false">IF(成本费用登记表!$C61="","",成本费用登记表!$C61)</f>
        <v/>
      </c>
      <c r="B963" s="0" t="n">
        <f aca="false">IF(A963="",0,IF(MATCH(A963,$A$4:$A$1925,0)=ROW()-3,1,0))</f>
        <v>0</v>
      </c>
      <c r="C963" s="0" t="n">
        <f aca="false">N(C962)+B963</f>
        <v>11</v>
      </c>
    </row>
    <row r="964" customFormat="false" ht="13.5" hidden="false" customHeight="false" outlineLevel="0" collapsed="false">
      <c r="A964" s="0" t="str">
        <f aca="false">IF(成本费用登记表!$C62="","",成本费用登记表!$C62)</f>
        <v/>
      </c>
      <c r="B964" s="0" t="n">
        <f aca="false">IF(A964="",0,IF(MATCH(A964,$A$4:$A$1925,0)=ROW()-3,1,0))</f>
        <v>0</v>
      </c>
      <c r="C964" s="0" t="n">
        <f aca="false">N(C963)+B964</f>
        <v>11</v>
      </c>
    </row>
    <row r="965" customFormat="false" ht="13.5" hidden="false" customHeight="false" outlineLevel="0" collapsed="false">
      <c r="A965" s="0" t="str">
        <f aca="false">IF(成本费用登记表!$C63="","",成本费用登记表!$C63)</f>
        <v/>
      </c>
      <c r="B965" s="0" t="n">
        <f aca="false">IF(A965="",0,IF(MATCH(A965,$A$4:$A$1925,0)=ROW()-3,1,0))</f>
        <v>0</v>
      </c>
      <c r="C965" s="0" t="n">
        <f aca="false">N(C964)+B965</f>
        <v>11</v>
      </c>
    </row>
    <row r="966" customFormat="false" ht="13.5" hidden="false" customHeight="false" outlineLevel="0" collapsed="false">
      <c r="A966" s="0" t="str">
        <f aca="false">IF(成本费用登记表!$C64="","",成本费用登记表!$C64)</f>
        <v/>
      </c>
      <c r="B966" s="0" t="n">
        <f aca="false">IF(A966="",0,IF(MATCH(A966,$A$4:$A$1925,0)=ROW()-3,1,0))</f>
        <v>0</v>
      </c>
      <c r="C966" s="0" t="n">
        <f aca="false">N(C965)+B966</f>
        <v>11</v>
      </c>
    </row>
    <row r="967" customFormat="false" ht="13.5" hidden="false" customHeight="false" outlineLevel="0" collapsed="false">
      <c r="A967" s="0" t="str">
        <f aca="false">IF(成本费用登记表!$C65="","",成本费用登记表!$C65)</f>
        <v/>
      </c>
      <c r="B967" s="0" t="n">
        <f aca="false">IF(A967="",0,IF(MATCH(A967,$A$4:$A$1925,0)=ROW()-3,1,0))</f>
        <v>0</v>
      </c>
      <c r="C967" s="0" t="n">
        <f aca="false">N(C966)+B967</f>
        <v>11</v>
      </c>
    </row>
    <row r="968" customFormat="false" ht="13.5" hidden="false" customHeight="false" outlineLevel="0" collapsed="false">
      <c r="A968" s="0" t="str">
        <f aca="false">IF(成本费用登记表!$C66="","",成本费用登记表!$C66)</f>
        <v/>
      </c>
      <c r="B968" s="0" t="n">
        <f aca="false">IF(A968="",0,IF(MATCH(A968,$A$4:$A$1925,0)=ROW()-3,1,0))</f>
        <v>0</v>
      </c>
      <c r="C968" s="0" t="n">
        <f aca="false">N(C967)+B968</f>
        <v>11</v>
      </c>
    </row>
    <row r="969" customFormat="false" ht="13.5" hidden="false" customHeight="false" outlineLevel="0" collapsed="false">
      <c r="A969" s="0" t="str">
        <f aca="false">IF(成本费用登记表!$C67="","",成本费用登记表!$C67)</f>
        <v/>
      </c>
      <c r="B969" s="0" t="n">
        <f aca="false">IF(A969="",0,IF(MATCH(A969,$A$4:$A$1925,0)=ROW()-3,1,0))</f>
        <v>0</v>
      </c>
      <c r="C969" s="0" t="n">
        <f aca="false">N(C968)+B969</f>
        <v>11</v>
      </c>
    </row>
    <row r="970" customFormat="false" ht="13.5" hidden="false" customHeight="false" outlineLevel="0" collapsed="false">
      <c r="A970" s="0" t="str">
        <f aca="false">IF(成本费用登记表!$C68="","",成本费用登记表!$C68)</f>
        <v/>
      </c>
      <c r="B970" s="0" t="n">
        <f aca="false">IF(A970="",0,IF(MATCH(A970,$A$4:$A$1925,0)=ROW()-3,1,0))</f>
        <v>0</v>
      </c>
      <c r="C970" s="0" t="n">
        <f aca="false">N(C969)+B970</f>
        <v>11</v>
      </c>
    </row>
    <row r="971" customFormat="false" ht="13.5" hidden="false" customHeight="false" outlineLevel="0" collapsed="false">
      <c r="A971" s="0" t="str">
        <f aca="false">IF(成本费用登记表!$C69="","",成本费用登记表!$C69)</f>
        <v/>
      </c>
      <c r="B971" s="0" t="n">
        <f aca="false">IF(A971="",0,IF(MATCH(A971,$A$4:$A$1925,0)=ROW()-3,1,0))</f>
        <v>0</v>
      </c>
      <c r="C971" s="0" t="n">
        <f aca="false">N(C970)+B971</f>
        <v>11</v>
      </c>
    </row>
    <row r="972" customFormat="false" ht="13.5" hidden="false" customHeight="false" outlineLevel="0" collapsed="false">
      <c r="A972" s="0" t="str">
        <f aca="false">IF(成本费用登记表!$C70="","",成本费用登记表!$C70)</f>
        <v/>
      </c>
      <c r="B972" s="0" t="n">
        <f aca="false">IF(A972="",0,IF(MATCH(A972,$A$4:$A$1925,0)=ROW()-3,1,0))</f>
        <v>0</v>
      </c>
      <c r="C972" s="0" t="n">
        <f aca="false">N(C971)+B972</f>
        <v>11</v>
      </c>
    </row>
    <row r="973" customFormat="false" ht="13.5" hidden="false" customHeight="false" outlineLevel="0" collapsed="false">
      <c r="A973" s="0" t="str">
        <f aca="false">IF(成本费用登记表!$C71="","",成本费用登记表!$C71)</f>
        <v/>
      </c>
      <c r="B973" s="0" t="n">
        <f aca="false">IF(A973="",0,IF(MATCH(A973,$A$4:$A$1925,0)=ROW()-3,1,0))</f>
        <v>0</v>
      </c>
      <c r="C973" s="0" t="n">
        <f aca="false">N(C972)+B973</f>
        <v>11</v>
      </c>
    </row>
    <row r="974" customFormat="false" ht="13.5" hidden="false" customHeight="false" outlineLevel="0" collapsed="false">
      <c r="A974" s="0" t="str">
        <f aca="false">IF(成本费用登记表!$C72="","",成本费用登记表!$C72)</f>
        <v/>
      </c>
      <c r="B974" s="0" t="n">
        <f aca="false">IF(A974="",0,IF(MATCH(A974,$A$4:$A$1925,0)=ROW()-3,1,0))</f>
        <v>0</v>
      </c>
      <c r="C974" s="0" t="n">
        <f aca="false">N(C973)+B974</f>
        <v>11</v>
      </c>
    </row>
    <row r="975" customFormat="false" ht="13.5" hidden="false" customHeight="false" outlineLevel="0" collapsed="false">
      <c r="A975" s="0" t="str">
        <f aca="false">IF(成本费用登记表!$C73="","",成本费用登记表!$C73)</f>
        <v/>
      </c>
      <c r="B975" s="0" t="n">
        <f aca="false">IF(A975="",0,IF(MATCH(A975,$A$4:$A$1925,0)=ROW()-3,1,0))</f>
        <v>0</v>
      </c>
      <c r="C975" s="0" t="n">
        <f aca="false">N(C974)+B975</f>
        <v>11</v>
      </c>
    </row>
    <row r="976" customFormat="false" ht="13.5" hidden="false" customHeight="false" outlineLevel="0" collapsed="false">
      <c r="A976" s="0" t="str">
        <f aca="false">IF(成本费用登记表!$C74="","",成本费用登记表!$C74)</f>
        <v/>
      </c>
      <c r="B976" s="0" t="n">
        <f aca="false">IF(A976="",0,IF(MATCH(A976,$A$4:$A$1925,0)=ROW()-3,1,0))</f>
        <v>0</v>
      </c>
      <c r="C976" s="0" t="n">
        <f aca="false">N(C975)+B976</f>
        <v>11</v>
      </c>
    </row>
    <row r="977" customFormat="false" ht="13.5" hidden="false" customHeight="false" outlineLevel="0" collapsed="false">
      <c r="A977" s="0" t="str">
        <f aca="false">IF(成本费用登记表!$C75="","",成本费用登记表!$C75)</f>
        <v/>
      </c>
      <c r="B977" s="0" t="n">
        <f aca="false">IF(A977="",0,IF(MATCH(A977,$A$4:$A$1925,0)=ROW()-3,1,0))</f>
        <v>0</v>
      </c>
      <c r="C977" s="0" t="n">
        <f aca="false">N(C976)+B977</f>
        <v>11</v>
      </c>
    </row>
    <row r="978" customFormat="false" ht="13.5" hidden="false" customHeight="false" outlineLevel="0" collapsed="false">
      <c r="A978" s="0" t="str">
        <f aca="false">IF(成本费用登记表!$C76="","",成本费用登记表!$C76)</f>
        <v/>
      </c>
      <c r="B978" s="0" t="n">
        <f aca="false">IF(A978="",0,IF(MATCH(A978,$A$4:$A$1925,0)=ROW()-3,1,0))</f>
        <v>0</v>
      </c>
      <c r="C978" s="0" t="n">
        <f aca="false">N(C977)+B978</f>
        <v>11</v>
      </c>
    </row>
    <row r="979" customFormat="false" ht="13.5" hidden="false" customHeight="false" outlineLevel="0" collapsed="false">
      <c r="A979" s="0" t="str">
        <f aca="false">IF(成本费用登记表!$C77="","",成本费用登记表!$C77)</f>
        <v/>
      </c>
      <c r="B979" s="0" t="n">
        <f aca="false">IF(A979="",0,IF(MATCH(A979,$A$4:$A$1925,0)=ROW()-3,1,0))</f>
        <v>0</v>
      </c>
      <c r="C979" s="0" t="n">
        <f aca="false">N(C978)+B979</f>
        <v>11</v>
      </c>
    </row>
    <row r="980" customFormat="false" ht="13.5" hidden="false" customHeight="false" outlineLevel="0" collapsed="false">
      <c r="A980" s="0" t="str">
        <f aca="false">IF(成本费用登记表!$C78="","",成本费用登记表!$C78)</f>
        <v/>
      </c>
      <c r="B980" s="0" t="n">
        <f aca="false">IF(A980="",0,IF(MATCH(A980,$A$4:$A$1925,0)=ROW()-3,1,0))</f>
        <v>0</v>
      </c>
      <c r="C980" s="0" t="n">
        <f aca="false">N(C979)+B980</f>
        <v>11</v>
      </c>
    </row>
    <row r="981" customFormat="false" ht="13.5" hidden="false" customHeight="false" outlineLevel="0" collapsed="false">
      <c r="A981" s="0" t="str">
        <f aca="false">IF(成本费用登记表!$C79="","",成本费用登记表!$C79)</f>
        <v/>
      </c>
      <c r="B981" s="0" t="n">
        <f aca="false">IF(A981="",0,IF(MATCH(A981,$A$4:$A$1925,0)=ROW()-3,1,0))</f>
        <v>0</v>
      </c>
      <c r="C981" s="0" t="n">
        <f aca="false">N(C980)+B981</f>
        <v>11</v>
      </c>
    </row>
    <row r="982" customFormat="false" ht="13.5" hidden="false" customHeight="false" outlineLevel="0" collapsed="false">
      <c r="A982" s="0" t="str">
        <f aca="false">IF(成本费用登记表!$C80="","",成本费用登记表!$C80)</f>
        <v/>
      </c>
      <c r="B982" s="0" t="n">
        <f aca="false">IF(A982="",0,IF(MATCH(A982,$A$4:$A$1925,0)=ROW()-3,1,0))</f>
        <v>0</v>
      </c>
      <c r="C982" s="0" t="n">
        <f aca="false">N(C981)+B982</f>
        <v>11</v>
      </c>
    </row>
    <row r="983" customFormat="false" ht="13.5" hidden="false" customHeight="false" outlineLevel="0" collapsed="false">
      <c r="A983" s="0" t="str">
        <f aca="false">IF(成本费用登记表!$C81="","",成本费用登记表!$C81)</f>
        <v/>
      </c>
      <c r="B983" s="0" t="n">
        <f aca="false">IF(A983="",0,IF(MATCH(A983,$A$4:$A$1925,0)=ROW()-3,1,0))</f>
        <v>0</v>
      </c>
      <c r="C983" s="0" t="n">
        <f aca="false">N(C982)+B983</f>
        <v>11</v>
      </c>
    </row>
    <row r="984" customFormat="false" ht="13.5" hidden="false" customHeight="false" outlineLevel="0" collapsed="false">
      <c r="A984" s="0" t="str">
        <f aca="false">IF(成本费用登记表!$C82="","",成本费用登记表!$C82)</f>
        <v/>
      </c>
      <c r="B984" s="0" t="n">
        <f aca="false">IF(A984="",0,IF(MATCH(A984,$A$4:$A$1925,0)=ROW()-3,1,0))</f>
        <v>0</v>
      </c>
      <c r="C984" s="0" t="n">
        <f aca="false">N(C983)+B984</f>
        <v>11</v>
      </c>
    </row>
    <row r="985" customFormat="false" ht="13.5" hidden="false" customHeight="false" outlineLevel="0" collapsed="false">
      <c r="A985" s="0" t="str">
        <f aca="false">IF(成本费用登记表!$C83="","",成本费用登记表!$C83)</f>
        <v/>
      </c>
      <c r="B985" s="0" t="n">
        <f aca="false">IF(A985="",0,IF(MATCH(A985,$A$4:$A$1925,0)=ROW()-3,1,0))</f>
        <v>0</v>
      </c>
      <c r="C985" s="0" t="n">
        <f aca="false">N(C984)+B985</f>
        <v>11</v>
      </c>
    </row>
    <row r="986" customFormat="false" ht="13.5" hidden="false" customHeight="false" outlineLevel="0" collapsed="false">
      <c r="A986" s="0" t="str">
        <f aca="false">IF(成本费用登记表!$C84="","",成本费用登记表!$C84)</f>
        <v/>
      </c>
      <c r="B986" s="0" t="n">
        <f aca="false">IF(A986="",0,IF(MATCH(A986,$A$4:$A$1925,0)=ROW()-3,1,0))</f>
        <v>0</v>
      </c>
      <c r="C986" s="0" t="n">
        <f aca="false">N(C985)+B986</f>
        <v>11</v>
      </c>
    </row>
    <row r="987" customFormat="false" ht="13.5" hidden="false" customHeight="false" outlineLevel="0" collapsed="false">
      <c r="A987" s="0" t="str">
        <f aca="false">IF(成本费用登记表!$C85="","",成本费用登记表!$C85)</f>
        <v/>
      </c>
      <c r="B987" s="0" t="n">
        <f aca="false">IF(A987="",0,IF(MATCH(A987,$A$4:$A$1925,0)=ROW()-3,1,0))</f>
        <v>0</v>
      </c>
      <c r="C987" s="0" t="n">
        <f aca="false">N(C986)+B987</f>
        <v>11</v>
      </c>
    </row>
    <row r="988" customFormat="false" ht="13.5" hidden="false" customHeight="false" outlineLevel="0" collapsed="false">
      <c r="A988" s="0" t="str">
        <f aca="false">IF(成本费用登记表!$C86="","",成本费用登记表!$C86)</f>
        <v/>
      </c>
      <c r="B988" s="0" t="n">
        <f aca="false">IF(A988="",0,IF(MATCH(A988,$A$4:$A$1925,0)=ROW()-3,1,0))</f>
        <v>0</v>
      </c>
      <c r="C988" s="0" t="n">
        <f aca="false">N(C987)+B988</f>
        <v>11</v>
      </c>
    </row>
    <row r="989" customFormat="false" ht="13.5" hidden="false" customHeight="false" outlineLevel="0" collapsed="false">
      <c r="A989" s="0" t="str">
        <f aca="false">IF(成本费用登记表!$C87="","",成本费用登记表!$C87)</f>
        <v/>
      </c>
      <c r="B989" s="0" t="n">
        <f aca="false">IF(A989="",0,IF(MATCH(A989,$A$4:$A$1925,0)=ROW()-3,1,0))</f>
        <v>0</v>
      </c>
      <c r="C989" s="0" t="n">
        <f aca="false">N(C988)+B989</f>
        <v>11</v>
      </c>
    </row>
    <row r="990" customFormat="false" ht="13.5" hidden="false" customHeight="false" outlineLevel="0" collapsed="false">
      <c r="A990" s="0" t="str">
        <f aca="false">IF(成本费用登记表!$C88="","",成本费用登记表!$C88)</f>
        <v/>
      </c>
      <c r="B990" s="0" t="n">
        <f aca="false">IF(A990="",0,IF(MATCH(A990,$A$4:$A$1925,0)=ROW()-3,1,0))</f>
        <v>0</v>
      </c>
      <c r="C990" s="0" t="n">
        <f aca="false">N(C989)+B990</f>
        <v>11</v>
      </c>
    </row>
    <row r="991" customFormat="false" ht="13.5" hidden="false" customHeight="false" outlineLevel="0" collapsed="false">
      <c r="A991" s="0" t="str">
        <f aca="false">IF(成本费用登记表!$C89="","",成本费用登记表!$C89)</f>
        <v/>
      </c>
      <c r="B991" s="0" t="n">
        <f aca="false">IF(A991="",0,IF(MATCH(A991,$A$4:$A$1925,0)=ROW()-3,1,0))</f>
        <v>0</v>
      </c>
      <c r="C991" s="0" t="n">
        <f aca="false">N(C990)+B991</f>
        <v>11</v>
      </c>
    </row>
    <row r="992" customFormat="false" ht="13.5" hidden="false" customHeight="false" outlineLevel="0" collapsed="false">
      <c r="A992" s="0" t="str">
        <f aca="false">IF(成本费用登记表!$C90="","",成本费用登记表!$C90)</f>
        <v/>
      </c>
      <c r="B992" s="0" t="n">
        <f aca="false">IF(A992="",0,IF(MATCH(A992,$A$4:$A$1925,0)=ROW()-3,1,0))</f>
        <v>0</v>
      </c>
      <c r="C992" s="0" t="n">
        <f aca="false">N(C991)+B992</f>
        <v>11</v>
      </c>
    </row>
    <row r="993" customFormat="false" ht="13.5" hidden="false" customHeight="false" outlineLevel="0" collapsed="false">
      <c r="A993" s="0" t="str">
        <f aca="false">IF(成本费用登记表!$C91="","",成本费用登记表!$C91)</f>
        <v/>
      </c>
      <c r="B993" s="0" t="n">
        <f aca="false">IF(A993="",0,IF(MATCH(A993,$A$4:$A$1925,0)=ROW()-3,1,0))</f>
        <v>0</v>
      </c>
      <c r="C993" s="0" t="n">
        <f aca="false">N(C992)+B993</f>
        <v>11</v>
      </c>
    </row>
    <row r="994" customFormat="false" ht="13.5" hidden="false" customHeight="false" outlineLevel="0" collapsed="false">
      <c r="A994" s="0" t="str">
        <f aca="false">IF(成本费用登记表!$C92="","",成本费用登记表!$C92)</f>
        <v/>
      </c>
      <c r="B994" s="0" t="n">
        <f aca="false">IF(A994="",0,IF(MATCH(A994,$A$4:$A$1925,0)=ROW()-3,1,0))</f>
        <v>0</v>
      </c>
      <c r="C994" s="0" t="n">
        <f aca="false">N(C993)+B994</f>
        <v>11</v>
      </c>
    </row>
    <row r="995" customFormat="false" ht="13.5" hidden="false" customHeight="false" outlineLevel="0" collapsed="false">
      <c r="A995" s="0" t="str">
        <f aca="false">IF(成本费用登记表!$C93="","",成本费用登记表!$C93)</f>
        <v/>
      </c>
      <c r="B995" s="0" t="n">
        <f aca="false">IF(A995="",0,IF(MATCH(A995,$A$4:$A$1925,0)=ROW()-3,1,0))</f>
        <v>0</v>
      </c>
      <c r="C995" s="0" t="n">
        <f aca="false">N(C994)+B995</f>
        <v>11</v>
      </c>
    </row>
    <row r="996" customFormat="false" ht="13.5" hidden="false" customHeight="false" outlineLevel="0" collapsed="false">
      <c r="A996" s="0" t="str">
        <f aca="false">IF(成本费用登记表!$C94="","",成本费用登记表!$C94)</f>
        <v/>
      </c>
      <c r="B996" s="0" t="n">
        <f aca="false">IF(A996="",0,IF(MATCH(A996,$A$4:$A$1925,0)=ROW()-3,1,0))</f>
        <v>0</v>
      </c>
      <c r="C996" s="0" t="n">
        <f aca="false">N(C995)+B996</f>
        <v>11</v>
      </c>
    </row>
    <row r="997" customFormat="false" ht="13.5" hidden="false" customHeight="false" outlineLevel="0" collapsed="false">
      <c r="A997" s="0" t="str">
        <f aca="false">IF(成本费用登记表!$C95="","",成本费用登记表!$C95)</f>
        <v/>
      </c>
      <c r="B997" s="0" t="n">
        <f aca="false">IF(A997="",0,IF(MATCH(A997,$A$4:$A$1925,0)=ROW()-3,1,0))</f>
        <v>0</v>
      </c>
      <c r="C997" s="0" t="n">
        <f aca="false">N(C996)+B997</f>
        <v>11</v>
      </c>
    </row>
    <row r="998" customFormat="false" ht="13.5" hidden="false" customHeight="false" outlineLevel="0" collapsed="false">
      <c r="A998" s="0" t="str">
        <f aca="false">IF(成本费用登记表!$C96="","",成本费用登记表!$C96)</f>
        <v/>
      </c>
      <c r="B998" s="0" t="n">
        <f aca="false">IF(A998="",0,IF(MATCH(A998,$A$4:$A$1925,0)=ROW()-3,1,0))</f>
        <v>0</v>
      </c>
      <c r="C998" s="0" t="n">
        <f aca="false">N(C997)+B998</f>
        <v>11</v>
      </c>
    </row>
    <row r="999" customFormat="false" ht="13.5" hidden="false" customHeight="false" outlineLevel="0" collapsed="false">
      <c r="A999" s="0" t="str">
        <f aca="false">IF(成本费用登记表!$C97="","",成本费用登记表!$C97)</f>
        <v/>
      </c>
      <c r="B999" s="0" t="n">
        <f aca="false">IF(A999="",0,IF(MATCH(A999,$A$4:$A$1925,0)=ROW()-3,1,0))</f>
        <v>0</v>
      </c>
      <c r="C999" s="0" t="n">
        <f aca="false">N(C998)+B999</f>
        <v>11</v>
      </c>
    </row>
    <row r="1000" customFormat="false" ht="13.5" hidden="false" customHeight="false" outlineLevel="0" collapsed="false">
      <c r="A1000" s="0" t="str">
        <f aca="false">IF(成本费用登记表!$C98="","",成本费用登记表!$C98)</f>
        <v/>
      </c>
      <c r="B1000" s="0" t="n">
        <f aca="false">IF(A1000="",0,IF(MATCH(A1000,$A$4:$A$1925,0)=ROW()-3,1,0))</f>
        <v>0</v>
      </c>
      <c r="C1000" s="0" t="n">
        <f aca="false">N(C999)+B1000</f>
        <v>11</v>
      </c>
    </row>
    <row r="1001" customFormat="false" ht="13.5" hidden="false" customHeight="false" outlineLevel="0" collapsed="false">
      <c r="A1001" s="0" t="str">
        <f aca="false">IF(成本费用登记表!$C99="","",成本费用登记表!$C99)</f>
        <v/>
      </c>
      <c r="B1001" s="0" t="n">
        <f aca="false">IF(A1001="",0,IF(MATCH(A1001,$A$4:$A$1925,0)=ROW()-3,1,0))</f>
        <v>0</v>
      </c>
      <c r="C1001" s="0" t="n">
        <f aca="false">N(C1000)+B1001</f>
        <v>11</v>
      </c>
    </row>
    <row r="1002" customFormat="false" ht="13.5" hidden="false" customHeight="false" outlineLevel="0" collapsed="false">
      <c r="A1002" s="0" t="str">
        <f aca="false">IF(成本费用登记表!$C100="","",成本费用登记表!$C100)</f>
        <v/>
      </c>
      <c r="B1002" s="0" t="n">
        <f aca="false">IF(A1002="",0,IF(MATCH(A1002,$A$4:$A$1925,0)=ROW()-3,1,0))</f>
        <v>0</v>
      </c>
      <c r="C1002" s="0" t="n">
        <f aca="false">N(C1001)+B1002</f>
        <v>11</v>
      </c>
    </row>
    <row r="1003" customFormat="false" ht="13.5" hidden="false" customHeight="false" outlineLevel="0" collapsed="false">
      <c r="A1003" s="0" t="str">
        <f aca="false">IF(成本费用登记表!$C101="","",成本费用登记表!$C101)</f>
        <v/>
      </c>
      <c r="B1003" s="0" t="n">
        <f aca="false">IF(A1003="",0,IF(MATCH(A1003,$A$4:$A$1925,0)=ROW()-3,1,0))</f>
        <v>0</v>
      </c>
      <c r="C1003" s="0" t="n">
        <f aca="false">N(C1002)+B1003</f>
        <v>11</v>
      </c>
    </row>
    <row r="1004" customFormat="false" ht="13.5" hidden="false" customHeight="false" outlineLevel="0" collapsed="false">
      <c r="A1004" s="0" t="str">
        <f aca="false">IF(成本费用登记表!$C102="","",成本费用登记表!$C102)</f>
        <v/>
      </c>
      <c r="B1004" s="0" t="n">
        <f aca="false">IF(A1004="",0,IF(MATCH(A1004,$A$4:$A$1925,0)=ROW()-3,1,0))</f>
        <v>0</v>
      </c>
      <c r="C1004" s="0" t="n">
        <f aca="false">N(C1003)+B1004</f>
        <v>11</v>
      </c>
    </row>
    <row r="1005" customFormat="false" ht="13.5" hidden="false" customHeight="false" outlineLevel="0" collapsed="false">
      <c r="A1005" s="0" t="str">
        <f aca="false">IF(成本费用登记表!$C103="","",成本费用登记表!$C103)</f>
        <v/>
      </c>
      <c r="B1005" s="0" t="n">
        <f aca="false">IF(A1005="",0,IF(MATCH(A1005,$A$4:$A$1925,0)=ROW()-3,1,0))</f>
        <v>0</v>
      </c>
      <c r="C1005" s="0" t="n">
        <f aca="false">N(C1004)+B1005</f>
        <v>11</v>
      </c>
    </row>
    <row r="1006" customFormat="false" ht="13.5" hidden="false" customHeight="false" outlineLevel="0" collapsed="false">
      <c r="A1006" s="0" t="str">
        <f aca="false">IF(成本费用登记表!$C104="","",成本费用登记表!$C104)</f>
        <v/>
      </c>
      <c r="B1006" s="0" t="n">
        <f aca="false">IF(A1006="",0,IF(MATCH(A1006,$A$4:$A$1925,0)=ROW()-3,1,0))</f>
        <v>0</v>
      </c>
      <c r="C1006" s="0" t="n">
        <f aca="false">N(C1005)+B1006</f>
        <v>11</v>
      </c>
    </row>
    <row r="1007" customFormat="false" ht="13.5" hidden="false" customHeight="false" outlineLevel="0" collapsed="false">
      <c r="A1007" s="0" t="str">
        <f aca="false">IF(成本费用登记表!$C105="","",成本费用登记表!$C105)</f>
        <v/>
      </c>
      <c r="B1007" s="0" t="n">
        <f aca="false">IF(A1007="",0,IF(MATCH(A1007,$A$4:$A$1925,0)=ROW()-3,1,0))</f>
        <v>0</v>
      </c>
      <c r="C1007" s="0" t="n">
        <f aca="false">N(C1006)+B1007</f>
        <v>11</v>
      </c>
    </row>
    <row r="1008" customFormat="false" ht="13.5" hidden="false" customHeight="false" outlineLevel="0" collapsed="false">
      <c r="A1008" s="0" t="str">
        <f aca="false">IF(成本费用登记表!$C106="","",成本费用登记表!$C106)</f>
        <v/>
      </c>
      <c r="B1008" s="0" t="n">
        <f aca="false">IF(A1008="",0,IF(MATCH(A1008,$A$4:$A$1925,0)=ROW()-3,1,0))</f>
        <v>0</v>
      </c>
      <c r="C1008" s="0" t="n">
        <f aca="false">N(C1007)+B1008</f>
        <v>11</v>
      </c>
    </row>
    <row r="1009" customFormat="false" ht="13.5" hidden="false" customHeight="false" outlineLevel="0" collapsed="false">
      <c r="A1009" s="0" t="str">
        <f aca="false">IF(成本费用登记表!$C107="","",成本费用登记表!$C107)</f>
        <v/>
      </c>
      <c r="B1009" s="0" t="n">
        <f aca="false">IF(A1009="",0,IF(MATCH(A1009,$A$4:$A$1925,0)=ROW()-3,1,0))</f>
        <v>0</v>
      </c>
      <c r="C1009" s="0" t="n">
        <f aca="false">N(C1008)+B1009</f>
        <v>11</v>
      </c>
    </row>
    <row r="1010" customFormat="false" ht="13.5" hidden="false" customHeight="false" outlineLevel="0" collapsed="false">
      <c r="A1010" s="0" t="str">
        <f aca="false">IF(成本费用登记表!$C108="","",成本费用登记表!$C108)</f>
        <v/>
      </c>
      <c r="B1010" s="0" t="n">
        <f aca="false">IF(A1010="",0,IF(MATCH(A1010,$A$4:$A$1925,0)=ROW()-3,1,0))</f>
        <v>0</v>
      </c>
      <c r="C1010" s="0" t="n">
        <f aca="false">N(C1009)+B1010</f>
        <v>11</v>
      </c>
    </row>
    <row r="1011" customFormat="false" ht="13.5" hidden="false" customHeight="false" outlineLevel="0" collapsed="false">
      <c r="A1011" s="0" t="str">
        <f aca="false">IF(成本费用登记表!$C109="","",成本费用登记表!$C109)</f>
        <v/>
      </c>
      <c r="B1011" s="0" t="n">
        <f aca="false">IF(A1011="",0,IF(MATCH(A1011,$A$4:$A$1925,0)=ROW()-3,1,0))</f>
        <v>0</v>
      </c>
      <c r="C1011" s="0" t="n">
        <f aca="false">N(C1010)+B1011</f>
        <v>11</v>
      </c>
    </row>
    <row r="1012" customFormat="false" ht="13.5" hidden="false" customHeight="false" outlineLevel="0" collapsed="false">
      <c r="A1012" s="0" t="str">
        <f aca="false">IF(成本费用登记表!$C110="","",成本费用登记表!$C110)</f>
        <v/>
      </c>
      <c r="B1012" s="0" t="n">
        <f aca="false">IF(A1012="",0,IF(MATCH(A1012,$A$4:$A$1925,0)=ROW()-3,1,0))</f>
        <v>0</v>
      </c>
      <c r="C1012" s="0" t="n">
        <f aca="false">N(C1011)+B1012</f>
        <v>11</v>
      </c>
    </row>
    <row r="1013" customFormat="false" ht="13.5" hidden="false" customHeight="false" outlineLevel="0" collapsed="false">
      <c r="A1013" s="0" t="str">
        <f aca="false">IF(成本费用登记表!$C111="","",成本费用登记表!$C111)</f>
        <v/>
      </c>
      <c r="B1013" s="0" t="n">
        <f aca="false">IF(A1013="",0,IF(MATCH(A1013,$A$4:$A$1925,0)=ROW()-3,1,0))</f>
        <v>0</v>
      </c>
      <c r="C1013" s="0" t="n">
        <f aca="false">N(C1012)+B1013</f>
        <v>11</v>
      </c>
    </row>
    <row r="1014" customFormat="false" ht="13.5" hidden="false" customHeight="false" outlineLevel="0" collapsed="false">
      <c r="A1014" s="0" t="str">
        <f aca="false">IF(成本费用登记表!$C112="","",成本费用登记表!$C112)</f>
        <v/>
      </c>
      <c r="B1014" s="0" t="n">
        <f aca="false">IF(A1014="",0,IF(MATCH(A1014,$A$4:$A$1925,0)=ROW()-3,1,0))</f>
        <v>0</v>
      </c>
      <c r="C1014" s="0" t="n">
        <f aca="false">N(C1013)+B1014</f>
        <v>11</v>
      </c>
    </row>
    <row r="1015" customFormat="false" ht="13.5" hidden="false" customHeight="false" outlineLevel="0" collapsed="false">
      <c r="A1015" s="0" t="str">
        <f aca="false">IF(成本费用登记表!$C113="","",成本费用登记表!$C113)</f>
        <v/>
      </c>
      <c r="B1015" s="0" t="n">
        <f aca="false">IF(A1015="",0,IF(MATCH(A1015,$A$4:$A$1925,0)=ROW()-3,1,0))</f>
        <v>0</v>
      </c>
      <c r="C1015" s="0" t="n">
        <f aca="false">N(C1014)+B1015</f>
        <v>11</v>
      </c>
    </row>
    <row r="1016" customFormat="false" ht="13.5" hidden="false" customHeight="false" outlineLevel="0" collapsed="false">
      <c r="A1016" s="0" t="str">
        <f aca="false">IF(成本费用登记表!$C114="","",成本费用登记表!$C114)</f>
        <v/>
      </c>
      <c r="B1016" s="0" t="n">
        <f aca="false">IF(A1016="",0,IF(MATCH(A1016,$A$4:$A$1925,0)=ROW()-3,1,0))</f>
        <v>0</v>
      </c>
      <c r="C1016" s="0" t="n">
        <f aca="false">N(C1015)+B1016</f>
        <v>11</v>
      </c>
    </row>
    <row r="1017" customFormat="false" ht="13.5" hidden="false" customHeight="false" outlineLevel="0" collapsed="false">
      <c r="A1017" s="0" t="str">
        <f aca="false">IF(成本费用登记表!$C115="","",成本费用登记表!$C115)</f>
        <v/>
      </c>
      <c r="B1017" s="0" t="n">
        <f aca="false">IF(A1017="",0,IF(MATCH(A1017,$A$4:$A$1925,0)=ROW()-3,1,0))</f>
        <v>0</v>
      </c>
      <c r="C1017" s="0" t="n">
        <f aca="false">N(C1016)+B1017</f>
        <v>11</v>
      </c>
    </row>
    <row r="1018" customFormat="false" ht="13.5" hidden="false" customHeight="false" outlineLevel="0" collapsed="false">
      <c r="A1018" s="0" t="str">
        <f aca="false">IF(成本费用登记表!$C116="","",成本费用登记表!$C116)</f>
        <v/>
      </c>
      <c r="B1018" s="0" t="n">
        <f aca="false">IF(A1018="",0,IF(MATCH(A1018,$A$4:$A$1925,0)=ROW()-3,1,0))</f>
        <v>0</v>
      </c>
      <c r="C1018" s="0" t="n">
        <f aca="false">N(C1017)+B1018</f>
        <v>11</v>
      </c>
    </row>
    <row r="1019" customFormat="false" ht="13.5" hidden="false" customHeight="false" outlineLevel="0" collapsed="false">
      <c r="A1019" s="0" t="str">
        <f aca="false">IF(成本费用登记表!$C117="","",成本费用登记表!$C117)</f>
        <v/>
      </c>
      <c r="B1019" s="0" t="n">
        <f aca="false">IF(A1019="",0,IF(MATCH(A1019,$A$4:$A$1925,0)=ROW()-3,1,0))</f>
        <v>0</v>
      </c>
      <c r="C1019" s="0" t="n">
        <f aca="false">N(C1018)+B1019</f>
        <v>11</v>
      </c>
    </row>
    <row r="1020" customFormat="false" ht="13.5" hidden="false" customHeight="false" outlineLevel="0" collapsed="false">
      <c r="A1020" s="0" t="str">
        <f aca="false">IF(成本费用登记表!$C118="","",成本费用登记表!$C118)</f>
        <v/>
      </c>
      <c r="B1020" s="0" t="n">
        <f aca="false">IF(A1020="",0,IF(MATCH(A1020,$A$4:$A$1925,0)=ROW()-3,1,0))</f>
        <v>0</v>
      </c>
      <c r="C1020" s="0" t="n">
        <f aca="false">N(C1019)+B1020</f>
        <v>11</v>
      </c>
    </row>
    <row r="1021" customFormat="false" ht="13.5" hidden="false" customHeight="false" outlineLevel="0" collapsed="false">
      <c r="A1021" s="0" t="str">
        <f aca="false">IF(成本费用登记表!$C119="","",成本费用登记表!$C119)</f>
        <v/>
      </c>
      <c r="B1021" s="0" t="n">
        <f aca="false">IF(A1021="",0,IF(MATCH(A1021,$A$4:$A$1925,0)=ROW()-3,1,0))</f>
        <v>0</v>
      </c>
      <c r="C1021" s="0" t="n">
        <f aca="false">N(C1020)+B1021</f>
        <v>11</v>
      </c>
    </row>
    <row r="1022" customFormat="false" ht="13.5" hidden="false" customHeight="false" outlineLevel="0" collapsed="false">
      <c r="A1022" s="0" t="str">
        <f aca="false">IF(成本费用登记表!$C120="","",成本费用登记表!$C120)</f>
        <v/>
      </c>
      <c r="B1022" s="0" t="n">
        <f aca="false">IF(A1022="",0,IF(MATCH(A1022,$A$4:$A$1925,0)=ROW()-3,1,0))</f>
        <v>0</v>
      </c>
      <c r="C1022" s="0" t="n">
        <f aca="false">N(C1021)+B1022</f>
        <v>11</v>
      </c>
    </row>
    <row r="1023" customFormat="false" ht="13.5" hidden="false" customHeight="false" outlineLevel="0" collapsed="false">
      <c r="A1023" s="0" t="str">
        <f aca="false">IF(成本费用登记表!$C121="","",成本费用登记表!$C121)</f>
        <v/>
      </c>
      <c r="B1023" s="0" t="n">
        <f aca="false">IF(A1023="",0,IF(MATCH(A1023,$A$4:$A$1925,0)=ROW()-3,1,0))</f>
        <v>0</v>
      </c>
      <c r="C1023" s="0" t="n">
        <f aca="false">N(C1022)+B1023</f>
        <v>11</v>
      </c>
    </row>
    <row r="1024" customFormat="false" ht="13.5" hidden="false" customHeight="false" outlineLevel="0" collapsed="false">
      <c r="A1024" s="0" t="str">
        <f aca="false">IF(成本费用登记表!$C122="","",成本费用登记表!$C122)</f>
        <v/>
      </c>
      <c r="B1024" s="0" t="n">
        <f aca="false">IF(A1024="",0,IF(MATCH(A1024,$A$4:$A$1925,0)=ROW()-3,1,0))</f>
        <v>0</v>
      </c>
      <c r="C1024" s="0" t="n">
        <f aca="false">N(C1023)+B1024</f>
        <v>11</v>
      </c>
    </row>
    <row r="1025" customFormat="false" ht="13.5" hidden="false" customHeight="false" outlineLevel="0" collapsed="false">
      <c r="A1025" s="0" t="str">
        <f aca="false">IF(成本费用登记表!$C123="","",成本费用登记表!$C123)</f>
        <v/>
      </c>
      <c r="B1025" s="0" t="n">
        <f aca="false">IF(A1025="",0,IF(MATCH(A1025,$A$4:$A$1925,0)=ROW()-3,1,0))</f>
        <v>0</v>
      </c>
      <c r="C1025" s="0" t="n">
        <f aca="false">N(C1024)+B1025</f>
        <v>11</v>
      </c>
    </row>
    <row r="1026" customFormat="false" ht="13.5" hidden="false" customHeight="false" outlineLevel="0" collapsed="false">
      <c r="A1026" s="0" t="str">
        <f aca="false">IF(成本费用登记表!$C124="","",成本费用登记表!$C124)</f>
        <v/>
      </c>
      <c r="B1026" s="0" t="n">
        <f aca="false">IF(A1026="",0,IF(MATCH(A1026,$A$4:$A$1925,0)=ROW()-3,1,0))</f>
        <v>0</v>
      </c>
      <c r="C1026" s="0" t="n">
        <f aca="false">N(C1025)+B1026</f>
        <v>11</v>
      </c>
    </row>
    <row r="1027" customFormat="false" ht="13.5" hidden="false" customHeight="false" outlineLevel="0" collapsed="false">
      <c r="A1027" s="0" t="str">
        <f aca="false">IF(成本费用登记表!$C125="","",成本费用登记表!$C125)</f>
        <v/>
      </c>
      <c r="B1027" s="0" t="n">
        <f aca="false">IF(A1027="",0,IF(MATCH(A1027,$A$4:$A$1925,0)=ROW()-3,1,0))</f>
        <v>0</v>
      </c>
      <c r="C1027" s="0" t="n">
        <f aca="false">N(C1026)+B1027</f>
        <v>11</v>
      </c>
    </row>
    <row r="1028" customFormat="false" ht="13.5" hidden="false" customHeight="false" outlineLevel="0" collapsed="false">
      <c r="A1028" s="0" t="str">
        <f aca="false">IF(成本费用登记表!$C126="","",成本费用登记表!$C126)</f>
        <v/>
      </c>
      <c r="B1028" s="0" t="n">
        <f aca="false">IF(A1028="",0,IF(MATCH(A1028,$A$4:$A$1925,0)=ROW()-3,1,0))</f>
        <v>0</v>
      </c>
      <c r="C1028" s="0" t="n">
        <f aca="false">N(C1027)+B1028</f>
        <v>11</v>
      </c>
    </row>
    <row r="1029" customFormat="false" ht="13.5" hidden="false" customHeight="false" outlineLevel="0" collapsed="false">
      <c r="A1029" s="0" t="str">
        <f aca="false">IF(成本费用登记表!$C127="","",成本费用登记表!$C127)</f>
        <v/>
      </c>
      <c r="B1029" s="0" t="n">
        <f aca="false">IF(A1029="",0,IF(MATCH(A1029,$A$4:$A$1925,0)=ROW()-3,1,0))</f>
        <v>0</v>
      </c>
      <c r="C1029" s="0" t="n">
        <f aca="false">N(C1028)+B1029</f>
        <v>11</v>
      </c>
    </row>
    <row r="1030" customFormat="false" ht="13.5" hidden="false" customHeight="false" outlineLevel="0" collapsed="false">
      <c r="A1030" s="0" t="str">
        <f aca="false">IF(成本费用登记表!$C128="","",成本费用登记表!$C128)</f>
        <v/>
      </c>
      <c r="B1030" s="0" t="n">
        <f aca="false">IF(A1030="",0,IF(MATCH(A1030,$A$4:$A$1925,0)=ROW()-3,1,0))</f>
        <v>0</v>
      </c>
      <c r="C1030" s="0" t="n">
        <f aca="false">N(C1029)+B1030</f>
        <v>11</v>
      </c>
    </row>
    <row r="1031" customFormat="false" ht="13.5" hidden="false" customHeight="false" outlineLevel="0" collapsed="false">
      <c r="A1031" s="0" t="str">
        <f aca="false">IF(成本费用登记表!$C129="","",成本费用登记表!$C129)</f>
        <v/>
      </c>
      <c r="B1031" s="0" t="n">
        <f aca="false">IF(A1031="",0,IF(MATCH(A1031,$A$4:$A$1925,0)=ROW()-3,1,0))</f>
        <v>0</v>
      </c>
      <c r="C1031" s="0" t="n">
        <f aca="false">N(C1030)+B1031</f>
        <v>11</v>
      </c>
    </row>
    <row r="1032" customFormat="false" ht="13.5" hidden="false" customHeight="false" outlineLevel="0" collapsed="false">
      <c r="A1032" s="0" t="str">
        <f aca="false">IF(成本费用登记表!$C130="","",成本费用登记表!$C130)</f>
        <v/>
      </c>
      <c r="B1032" s="0" t="n">
        <f aca="false">IF(A1032="",0,IF(MATCH(A1032,$A$4:$A$1925,0)=ROW()-3,1,0))</f>
        <v>0</v>
      </c>
      <c r="C1032" s="0" t="n">
        <f aca="false">N(C1031)+B1032</f>
        <v>11</v>
      </c>
    </row>
    <row r="1033" customFormat="false" ht="13.5" hidden="false" customHeight="false" outlineLevel="0" collapsed="false">
      <c r="A1033" s="0" t="str">
        <f aca="false">IF(成本费用登记表!$C131="","",成本费用登记表!$C131)</f>
        <v/>
      </c>
      <c r="B1033" s="0" t="n">
        <f aca="false">IF(A1033="",0,IF(MATCH(A1033,$A$4:$A$1925,0)=ROW()-3,1,0))</f>
        <v>0</v>
      </c>
      <c r="C1033" s="0" t="n">
        <f aca="false">N(C1032)+B1033</f>
        <v>11</v>
      </c>
    </row>
    <row r="1034" customFormat="false" ht="13.5" hidden="false" customHeight="false" outlineLevel="0" collapsed="false">
      <c r="A1034" s="0" t="str">
        <f aca="false">IF(成本费用登记表!$C132="","",成本费用登记表!$C132)</f>
        <v/>
      </c>
      <c r="B1034" s="0" t="n">
        <f aca="false">IF(A1034="",0,IF(MATCH(A1034,$A$4:$A$1925,0)=ROW()-3,1,0))</f>
        <v>0</v>
      </c>
      <c r="C1034" s="0" t="n">
        <f aca="false">N(C1033)+B1034</f>
        <v>11</v>
      </c>
    </row>
    <row r="1035" customFormat="false" ht="13.5" hidden="false" customHeight="false" outlineLevel="0" collapsed="false">
      <c r="A1035" s="0" t="str">
        <f aca="false">IF(成本费用登记表!$C133="","",成本费用登记表!$C133)</f>
        <v/>
      </c>
      <c r="B1035" s="0" t="n">
        <f aca="false">IF(A1035="",0,IF(MATCH(A1035,$A$4:$A$1925,0)=ROW()-3,1,0))</f>
        <v>0</v>
      </c>
      <c r="C1035" s="0" t="n">
        <f aca="false">N(C1034)+B1035</f>
        <v>11</v>
      </c>
    </row>
    <row r="1036" customFormat="false" ht="13.5" hidden="false" customHeight="false" outlineLevel="0" collapsed="false">
      <c r="A1036" s="0" t="str">
        <f aca="false">IF(成本费用登记表!$C134="","",成本费用登记表!$C134)</f>
        <v/>
      </c>
      <c r="B1036" s="0" t="n">
        <f aca="false">IF(A1036="",0,IF(MATCH(A1036,$A$4:$A$1925,0)=ROW()-3,1,0))</f>
        <v>0</v>
      </c>
      <c r="C1036" s="0" t="n">
        <f aca="false">N(C1035)+B1036</f>
        <v>11</v>
      </c>
    </row>
    <row r="1037" customFormat="false" ht="13.5" hidden="false" customHeight="false" outlineLevel="0" collapsed="false">
      <c r="A1037" s="0" t="str">
        <f aca="false">IF(成本费用登记表!$C135="","",成本费用登记表!$C135)</f>
        <v/>
      </c>
      <c r="B1037" s="0" t="n">
        <f aca="false">IF(A1037="",0,IF(MATCH(A1037,$A$4:$A$1925,0)=ROW()-3,1,0))</f>
        <v>0</v>
      </c>
      <c r="C1037" s="0" t="n">
        <f aca="false">N(C1036)+B1037</f>
        <v>11</v>
      </c>
    </row>
    <row r="1038" customFormat="false" ht="13.5" hidden="false" customHeight="false" outlineLevel="0" collapsed="false">
      <c r="A1038" s="0" t="str">
        <f aca="false">IF(成本费用登记表!$C136="","",成本费用登记表!$C136)</f>
        <v/>
      </c>
      <c r="B1038" s="0" t="n">
        <f aca="false">IF(A1038="",0,IF(MATCH(A1038,$A$4:$A$1925,0)=ROW()-3,1,0))</f>
        <v>0</v>
      </c>
      <c r="C1038" s="0" t="n">
        <f aca="false">N(C1037)+B1038</f>
        <v>11</v>
      </c>
    </row>
    <row r="1039" customFormat="false" ht="13.5" hidden="false" customHeight="false" outlineLevel="0" collapsed="false">
      <c r="A1039" s="0" t="str">
        <f aca="false">IF(成本费用登记表!$C137="","",成本费用登记表!$C137)</f>
        <v/>
      </c>
      <c r="B1039" s="0" t="n">
        <f aca="false">IF(A1039="",0,IF(MATCH(A1039,$A$4:$A$1925,0)=ROW()-3,1,0))</f>
        <v>0</v>
      </c>
      <c r="C1039" s="0" t="n">
        <f aca="false">N(C1038)+B1039</f>
        <v>11</v>
      </c>
    </row>
    <row r="1040" customFormat="false" ht="13.5" hidden="false" customHeight="false" outlineLevel="0" collapsed="false">
      <c r="A1040" s="0" t="str">
        <f aca="false">IF(成本费用登记表!$C138="","",成本费用登记表!$C138)</f>
        <v/>
      </c>
      <c r="B1040" s="0" t="n">
        <f aca="false">IF(A1040="",0,IF(MATCH(A1040,$A$4:$A$1925,0)=ROW()-3,1,0))</f>
        <v>0</v>
      </c>
      <c r="C1040" s="0" t="n">
        <f aca="false">N(C1039)+B1040</f>
        <v>11</v>
      </c>
    </row>
    <row r="1041" customFormat="false" ht="13.5" hidden="false" customHeight="false" outlineLevel="0" collapsed="false">
      <c r="A1041" s="0" t="str">
        <f aca="false">IF(成本费用登记表!$C139="","",成本费用登记表!$C139)</f>
        <v/>
      </c>
      <c r="B1041" s="0" t="n">
        <f aca="false">IF(A1041="",0,IF(MATCH(A1041,$A$4:$A$1925,0)=ROW()-3,1,0))</f>
        <v>0</v>
      </c>
      <c r="C1041" s="0" t="n">
        <f aca="false">N(C1040)+B1041</f>
        <v>11</v>
      </c>
    </row>
    <row r="1042" customFormat="false" ht="13.5" hidden="false" customHeight="false" outlineLevel="0" collapsed="false">
      <c r="A1042" s="0" t="str">
        <f aca="false">IF(成本费用登记表!$C140="","",成本费用登记表!$C140)</f>
        <v/>
      </c>
      <c r="B1042" s="0" t="n">
        <f aca="false">IF(A1042="",0,IF(MATCH(A1042,$A$4:$A$1925,0)=ROW()-3,1,0))</f>
        <v>0</v>
      </c>
      <c r="C1042" s="0" t="n">
        <f aca="false">N(C1041)+B1042</f>
        <v>11</v>
      </c>
    </row>
    <row r="1043" customFormat="false" ht="13.5" hidden="false" customHeight="false" outlineLevel="0" collapsed="false">
      <c r="A1043" s="0" t="str">
        <f aca="false">IF(成本费用登记表!$C141="","",成本费用登记表!$C141)</f>
        <v/>
      </c>
      <c r="B1043" s="0" t="n">
        <f aca="false">IF(A1043="",0,IF(MATCH(A1043,$A$4:$A$1925,0)=ROW()-3,1,0))</f>
        <v>0</v>
      </c>
      <c r="C1043" s="0" t="n">
        <f aca="false">N(C1042)+B1043</f>
        <v>11</v>
      </c>
    </row>
    <row r="1044" customFormat="false" ht="13.5" hidden="false" customHeight="false" outlineLevel="0" collapsed="false">
      <c r="A1044" s="0" t="str">
        <f aca="false">IF(成本费用登记表!$C142="","",成本费用登记表!$C142)</f>
        <v/>
      </c>
      <c r="B1044" s="0" t="n">
        <f aca="false">IF(A1044="",0,IF(MATCH(A1044,$A$4:$A$1925,0)=ROW()-3,1,0))</f>
        <v>0</v>
      </c>
      <c r="C1044" s="0" t="n">
        <f aca="false">N(C1043)+B1044</f>
        <v>11</v>
      </c>
    </row>
    <row r="1045" customFormat="false" ht="13.5" hidden="false" customHeight="false" outlineLevel="0" collapsed="false">
      <c r="A1045" s="0" t="str">
        <f aca="false">IF(成本费用登记表!$C143="","",成本费用登记表!$C143)</f>
        <v/>
      </c>
      <c r="B1045" s="0" t="n">
        <f aca="false">IF(A1045="",0,IF(MATCH(A1045,$A$4:$A$1925,0)=ROW()-3,1,0))</f>
        <v>0</v>
      </c>
      <c r="C1045" s="0" t="n">
        <f aca="false">N(C1044)+B1045</f>
        <v>11</v>
      </c>
    </row>
    <row r="1046" customFormat="false" ht="13.5" hidden="false" customHeight="false" outlineLevel="0" collapsed="false">
      <c r="A1046" s="0" t="str">
        <f aca="false">IF(成本费用登记表!$C144="","",成本费用登记表!$C144)</f>
        <v/>
      </c>
      <c r="B1046" s="0" t="n">
        <f aca="false">IF(A1046="",0,IF(MATCH(A1046,$A$4:$A$1925,0)=ROW()-3,1,0))</f>
        <v>0</v>
      </c>
      <c r="C1046" s="0" t="n">
        <f aca="false">N(C1045)+B1046</f>
        <v>11</v>
      </c>
    </row>
    <row r="1047" customFormat="false" ht="13.5" hidden="false" customHeight="false" outlineLevel="0" collapsed="false">
      <c r="A1047" s="0" t="str">
        <f aca="false">IF(成本费用登记表!$C145="","",成本费用登记表!$C145)</f>
        <v/>
      </c>
      <c r="B1047" s="0" t="n">
        <f aca="false">IF(A1047="",0,IF(MATCH(A1047,$A$4:$A$1925,0)=ROW()-3,1,0))</f>
        <v>0</v>
      </c>
      <c r="C1047" s="0" t="n">
        <f aca="false">N(C1046)+B1047</f>
        <v>11</v>
      </c>
    </row>
    <row r="1048" customFormat="false" ht="13.5" hidden="false" customHeight="false" outlineLevel="0" collapsed="false">
      <c r="A1048" s="0" t="str">
        <f aca="false">IF(成本费用登记表!$C146="","",成本费用登记表!$C146)</f>
        <v/>
      </c>
      <c r="B1048" s="0" t="n">
        <f aca="false">IF(A1048="",0,IF(MATCH(A1048,$A$4:$A$1925,0)=ROW()-3,1,0))</f>
        <v>0</v>
      </c>
      <c r="C1048" s="0" t="n">
        <f aca="false">N(C1047)+B1048</f>
        <v>11</v>
      </c>
    </row>
    <row r="1049" customFormat="false" ht="13.5" hidden="false" customHeight="false" outlineLevel="0" collapsed="false">
      <c r="A1049" s="0" t="str">
        <f aca="false">IF(成本费用登记表!$C147="","",成本费用登记表!$C147)</f>
        <v/>
      </c>
      <c r="B1049" s="0" t="n">
        <f aca="false">IF(A1049="",0,IF(MATCH(A1049,$A$4:$A$1925,0)=ROW()-3,1,0))</f>
        <v>0</v>
      </c>
      <c r="C1049" s="0" t="n">
        <f aca="false">N(C1048)+B1049</f>
        <v>11</v>
      </c>
    </row>
    <row r="1050" customFormat="false" ht="13.5" hidden="false" customHeight="false" outlineLevel="0" collapsed="false">
      <c r="A1050" s="0" t="str">
        <f aca="false">IF(成本费用登记表!$C148="","",成本费用登记表!$C148)</f>
        <v/>
      </c>
      <c r="B1050" s="0" t="n">
        <f aca="false">IF(A1050="",0,IF(MATCH(A1050,$A$4:$A$1925,0)=ROW()-3,1,0))</f>
        <v>0</v>
      </c>
      <c r="C1050" s="0" t="n">
        <f aca="false">N(C1049)+B1050</f>
        <v>11</v>
      </c>
    </row>
    <row r="1051" customFormat="false" ht="13.5" hidden="false" customHeight="false" outlineLevel="0" collapsed="false">
      <c r="A1051" s="0" t="str">
        <f aca="false">IF(成本费用登记表!$C149="","",成本费用登记表!$C149)</f>
        <v/>
      </c>
      <c r="B1051" s="0" t="n">
        <f aca="false">IF(A1051="",0,IF(MATCH(A1051,$A$4:$A$1925,0)=ROW()-3,1,0))</f>
        <v>0</v>
      </c>
      <c r="C1051" s="0" t="n">
        <f aca="false">N(C1050)+B1051</f>
        <v>11</v>
      </c>
    </row>
    <row r="1052" customFormat="false" ht="13.5" hidden="false" customHeight="false" outlineLevel="0" collapsed="false">
      <c r="A1052" s="0" t="str">
        <f aca="false">IF(成本费用登记表!$C150="","",成本费用登记表!$C150)</f>
        <v/>
      </c>
      <c r="B1052" s="0" t="n">
        <f aca="false">IF(A1052="",0,IF(MATCH(A1052,$A$4:$A$1925,0)=ROW()-3,1,0))</f>
        <v>0</v>
      </c>
      <c r="C1052" s="0" t="n">
        <f aca="false">N(C1051)+B1052</f>
        <v>11</v>
      </c>
    </row>
    <row r="1053" customFormat="false" ht="13.5" hidden="false" customHeight="false" outlineLevel="0" collapsed="false">
      <c r="A1053" s="0" t="str">
        <f aca="false">IF(成本费用登记表!$C151="","",成本费用登记表!$C151)</f>
        <v/>
      </c>
      <c r="B1053" s="0" t="n">
        <f aca="false">IF(A1053="",0,IF(MATCH(A1053,$A$4:$A$1925,0)=ROW()-3,1,0))</f>
        <v>0</v>
      </c>
      <c r="C1053" s="0" t="n">
        <f aca="false">N(C1052)+B1053</f>
        <v>11</v>
      </c>
    </row>
    <row r="1054" customFormat="false" ht="13.5" hidden="false" customHeight="false" outlineLevel="0" collapsed="false">
      <c r="A1054" s="0" t="str">
        <f aca="false">IF(成本费用登记表!$C152="","",成本费用登记表!$C152)</f>
        <v/>
      </c>
      <c r="B1054" s="0" t="n">
        <f aca="false">IF(A1054="",0,IF(MATCH(A1054,$A$4:$A$1925,0)=ROW()-3,1,0))</f>
        <v>0</v>
      </c>
      <c r="C1054" s="0" t="n">
        <f aca="false">N(C1053)+B1054</f>
        <v>11</v>
      </c>
    </row>
    <row r="1055" customFormat="false" ht="13.5" hidden="false" customHeight="false" outlineLevel="0" collapsed="false">
      <c r="A1055" s="0" t="str">
        <f aca="false">IF(成本费用登记表!$C153="","",成本费用登记表!$C153)</f>
        <v/>
      </c>
      <c r="B1055" s="0" t="n">
        <f aca="false">IF(A1055="",0,IF(MATCH(A1055,$A$4:$A$1925,0)=ROW()-3,1,0))</f>
        <v>0</v>
      </c>
      <c r="C1055" s="0" t="n">
        <f aca="false">N(C1054)+B1055</f>
        <v>11</v>
      </c>
    </row>
    <row r="1056" customFormat="false" ht="13.5" hidden="false" customHeight="false" outlineLevel="0" collapsed="false">
      <c r="A1056" s="0" t="str">
        <f aca="false">IF(成本费用登记表!$C154="","",成本费用登记表!$C154)</f>
        <v/>
      </c>
      <c r="B1056" s="0" t="n">
        <f aca="false">IF(A1056="",0,IF(MATCH(A1056,$A$4:$A$1925,0)=ROW()-3,1,0))</f>
        <v>0</v>
      </c>
      <c r="C1056" s="0" t="n">
        <f aca="false">N(C1055)+B1056</f>
        <v>11</v>
      </c>
    </row>
    <row r="1057" customFormat="false" ht="13.5" hidden="false" customHeight="false" outlineLevel="0" collapsed="false">
      <c r="A1057" s="0" t="str">
        <f aca="false">IF(成本费用登记表!$C155="","",成本费用登记表!$C155)</f>
        <v/>
      </c>
      <c r="B1057" s="0" t="n">
        <f aca="false">IF(A1057="",0,IF(MATCH(A1057,$A$4:$A$1925,0)=ROW()-3,1,0))</f>
        <v>0</v>
      </c>
      <c r="C1057" s="0" t="n">
        <f aca="false">N(C1056)+B1057</f>
        <v>11</v>
      </c>
    </row>
    <row r="1058" customFormat="false" ht="13.5" hidden="false" customHeight="false" outlineLevel="0" collapsed="false">
      <c r="A1058" s="0" t="str">
        <f aca="false">IF(成本费用登记表!$C156="","",成本费用登记表!$C156)</f>
        <v/>
      </c>
      <c r="B1058" s="0" t="n">
        <f aca="false">IF(A1058="",0,IF(MATCH(A1058,$A$4:$A$1925,0)=ROW()-3,1,0))</f>
        <v>0</v>
      </c>
      <c r="C1058" s="0" t="n">
        <f aca="false">N(C1057)+B1058</f>
        <v>11</v>
      </c>
    </row>
    <row r="1059" customFormat="false" ht="13.5" hidden="false" customHeight="false" outlineLevel="0" collapsed="false">
      <c r="A1059" s="0" t="str">
        <f aca="false">IF(成本费用登记表!$C157="","",成本费用登记表!$C157)</f>
        <v/>
      </c>
      <c r="B1059" s="0" t="n">
        <f aca="false">IF(A1059="",0,IF(MATCH(A1059,$A$4:$A$1925,0)=ROW()-3,1,0))</f>
        <v>0</v>
      </c>
      <c r="C1059" s="0" t="n">
        <f aca="false">N(C1058)+B1059</f>
        <v>11</v>
      </c>
    </row>
    <row r="1060" customFormat="false" ht="13.5" hidden="false" customHeight="false" outlineLevel="0" collapsed="false">
      <c r="A1060" s="0" t="str">
        <f aca="false">IF(成本费用登记表!$C158="","",成本费用登记表!$C158)</f>
        <v/>
      </c>
      <c r="B1060" s="0" t="n">
        <f aca="false">IF(A1060="",0,IF(MATCH(A1060,$A$4:$A$1925,0)=ROW()-3,1,0))</f>
        <v>0</v>
      </c>
      <c r="C1060" s="0" t="n">
        <f aca="false">N(C1059)+B1060</f>
        <v>11</v>
      </c>
    </row>
    <row r="1061" customFormat="false" ht="13.5" hidden="false" customHeight="false" outlineLevel="0" collapsed="false">
      <c r="A1061" s="0" t="str">
        <f aca="false">IF(成本费用登记表!$C159="","",成本费用登记表!$C159)</f>
        <v/>
      </c>
      <c r="B1061" s="0" t="n">
        <f aca="false">IF(A1061="",0,IF(MATCH(A1061,$A$4:$A$1925,0)=ROW()-3,1,0))</f>
        <v>0</v>
      </c>
      <c r="C1061" s="0" t="n">
        <f aca="false">N(C1060)+B1061</f>
        <v>11</v>
      </c>
    </row>
    <row r="1062" customFormat="false" ht="13.5" hidden="false" customHeight="false" outlineLevel="0" collapsed="false">
      <c r="A1062" s="0" t="str">
        <f aca="false">IF(成本费用登记表!$C160="","",成本费用登记表!$C160)</f>
        <v/>
      </c>
      <c r="B1062" s="0" t="n">
        <f aca="false">IF(A1062="",0,IF(MATCH(A1062,$A$4:$A$1925,0)=ROW()-3,1,0))</f>
        <v>0</v>
      </c>
      <c r="C1062" s="0" t="n">
        <f aca="false">N(C1061)+B1062</f>
        <v>11</v>
      </c>
    </row>
    <row r="1063" customFormat="false" ht="13.5" hidden="false" customHeight="false" outlineLevel="0" collapsed="false">
      <c r="A1063" s="0" t="str">
        <f aca="false">IF(成本费用登记表!$C161="","",成本费用登记表!$C161)</f>
        <v/>
      </c>
      <c r="B1063" s="0" t="n">
        <f aca="false">IF(A1063="",0,IF(MATCH(A1063,$A$4:$A$1925,0)=ROW()-3,1,0))</f>
        <v>0</v>
      </c>
      <c r="C1063" s="0" t="n">
        <f aca="false">N(C1062)+B1063</f>
        <v>11</v>
      </c>
    </row>
    <row r="1064" customFormat="false" ht="13.5" hidden="false" customHeight="false" outlineLevel="0" collapsed="false">
      <c r="A1064" s="0" t="str">
        <f aca="false">IF(成本费用登记表!$C162="","",成本费用登记表!$C162)</f>
        <v/>
      </c>
      <c r="B1064" s="0" t="n">
        <f aca="false">IF(A1064="",0,IF(MATCH(A1064,$A$4:$A$1925,0)=ROW()-3,1,0))</f>
        <v>0</v>
      </c>
      <c r="C1064" s="0" t="n">
        <f aca="false">N(C1063)+B1064</f>
        <v>11</v>
      </c>
    </row>
    <row r="1065" customFormat="false" ht="13.5" hidden="false" customHeight="false" outlineLevel="0" collapsed="false">
      <c r="A1065" s="0" t="str">
        <f aca="false">IF(成本费用登记表!$C163="","",成本费用登记表!$C163)</f>
        <v/>
      </c>
      <c r="B1065" s="0" t="n">
        <f aca="false">IF(A1065="",0,IF(MATCH(A1065,$A$4:$A$1925,0)=ROW()-3,1,0))</f>
        <v>0</v>
      </c>
      <c r="C1065" s="0" t="n">
        <f aca="false">N(C1064)+B1065</f>
        <v>11</v>
      </c>
    </row>
    <row r="1066" customFormat="false" ht="13.5" hidden="false" customHeight="false" outlineLevel="0" collapsed="false">
      <c r="A1066" s="0" t="str">
        <f aca="false">IF(成本费用登记表!$C164="","",成本费用登记表!$C164)</f>
        <v/>
      </c>
      <c r="B1066" s="0" t="n">
        <f aca="false">IF(A1066="",0,IF(MATCH(A1066,$A$4:$A$1925,0)=ROW()-3,1,0))</f>
        <v>0</v>
      </c>
      <c r="C1066" s="0" t="n">
        <f aca="false">N(C1065)+B1066</f>
        <v>11</v>
      </c>
    </row>
    <row r="1067" customFormat="false" ht="13.5" hidden="false" customHeight="false" outlineLevel="0" collapsed="false">
      <c r="A1067" s="0" t="str">
        <f aca="false">IF(成本费用登记表!$C165="","",成本费用登记表!$C165)</f>
        <v/>
      </c>
      <c r="B1067" s="0" t="n">
        <f aca="false">IF(A1067="",0,IF(MATCH(A1067,$A$4:$A$1925,0)=ROW()-3,1,0))</f>
        <v>0</v>
      </c>
      <c r="C1067" s="0" t="n">
        <f aca="false">N(C1066)+B1067</f>
        <v>11</v>
      </c>
    </row>
    <row r="1068" customFormat="false" ht="13.5" hidden="false" customHeight="false" outlineLevel="0" collapsed="false">
      <c r="A1068" s="0" t="str">
        <f aca="false">IF(成本费用登记表!$C166="","",成本费用登记表!$C166)</f>
        <v/>
      </c>
      <c r="B1068" s="0" t="n">
        <f aca="false">IF(A1068="",0,IF(MATCH(A1068,$A$4:$A$1925,0)=ROW()-3,1,0))</f>
        <v>0</v>
      </c>
      <c r="C1068" s="0" t="n">
        <f aca="false">N(C1067)+B1068</f>
        <v>11</v>
      </c>
    </row>
    <row r="1069" customFormat="false" ht="13.5" hidden="false" customHeight="false" outlineLevel="0" collapsed="false">
      <c r="A1069" s="0" t="str">
        <f aca="false">IF(成本费用登记表!$C167="","",成本费用登记表!$C167)</f>
        <v/>
      </c>
      <c r="B1069" s="0" t="n">
        <f aca="false">IF(A1069="",0,IF(MATCH(A1069,$A$4:$A$1925,0)=ROW()-3,1,0))</f>
        <v>0</v>
      </c>
      <c r="C1069" s="0" t="n">
        <f aca="false">N(C1068)+B1069</f>
        <v>11</v>
      </c>
    </row>
    <row r="1070" customFormat="false" ht="13.5" hidden="false" customHeight="false" outlineLevel="0" collapsed="false">
      <c r="A1070" s="0" t="str">
        <f aca="false">IF(成本费用登记表!$C168="","",成本费用登记表!$C168)</f>
        <v/>
      </c>
      <c r="B1070" s="0" t="n">
        <f aca="false">IF(A1070="",0,IF(MATCH(A1070,$A$4:$A$1925,0)=ROW()-3,1,0))</f>
        <v>0</v>
      </c>
      <c r="C1070" s="0" t="n">
        <f aca="false">N(C1069)+B1070</f>
        <v>11</v>
      </c>
    </row>
    <row r="1071" customFormat="false" ht="13.5" hidden="false" customHeight="false" outlineLevel="0" collapsed="false">
      <c r="A1071" s="0" t="str">
        <f aca="false">IF(成本费用登记表!$C169="","",成本费用登记表!$C169)</f>
        <v/>
      </c>
      <c r="B1071" s="0" t="n">
        <f aca="false">IF(A1071="",0,IF(MATCH(A1071,$A$4:$A$1925,0)=ROW()-3,1,0))</f>
        <v>0</v>
      </c>
      <c r="C1071" s="0" t="n">
        <f aca="false">N(C1070)+B1071</f>
        <v>11</v>
      </c>
    </row>
    <row r="1072" customFormat="false" ht="13.5" hidden="false" customHeight="false" outlineLevel="0" collapsed="false">
      <c r="A1072" s="0" t="str">
        <f aca="false">IF(成本费用登记表!$C170="","",成本费用登记表!$C170)</f>
        <v/>
      </c>
      <c r="B1072" s="0" t="n">
        <f aca="false">IF(A1072="",0,IF(MATCH(A1072,$A$4:$A$1925,0)=ROW()-3,1,0))</f>
        <v>0</v>
      </c>
      <c r="C1072" s="0" t="n">
        <f aca="false">N(C1071)+B1072</f>
        <v>11</v>
      </c>
    </row>
    <row r="1073" customFormat="false" ht="13.5" hidden="false" customHeight="false" outlineLevel="0" collapsed="false">
      <c r="A1073" s="0" t="str">
        <f aca="false">IF(成本费用登记表!$C171="","",成本费用登记表!$C171)</f>
        <v/>
      </c>
      <c r="B1073" s="0" t="n">
        <f aca="false">IF(A1073="",0,IF(MATCH(A1073,$A$4:$A$1925,0)=ROW()-3,1,0))</f>
        <v>0</v>
      </c>
      <c r="C1073" s="0" t="n">
        <f aca="false">N(C1072)+B1073</f>
        <v>11</v>
      </c>
    </row>
    <row r="1074" customFormat="false" ht="13.5" hidden="false" customHeight="false" outlineLevel="0" collapsed="false">
      <c r="A1074" s="0" t="str">
        <f aca="false">IF(成本费用登记表!$C172="","",成本费用登记表!$C172)</f>
        <v/>
      </c>
      <c r="B1074" s="0" t="n">
        <f aca="false">IF(A1074="",0,IF(MATCH(A1074,$A$4:$A$1925,0)=ROW()-3,1,0))</f>
        <v>0</v>
      </c>
      <c r="C1074" s="0" t="n">
        <f aca="false">N(C1073)+B1074</f>
        <v>11</v>
      </c>
    </row>
    <row r="1075" customFormat="false" ht="13.5" hidden="false" customHeight="false" outlineLevel="0" collapsed="false">
      <c r="A1075" s="0" t="str">
        <f aca="false">IF(成本费用登记表!$C173="","",成本费用登记表!$C173)</f>
        <v/>
      </c>
      <c r="B1075" s="0" t="n">
        <f aca="false">IF(A1075="",0,IF(MATCH(A1075,$A$4:$A$1925,0)=ROW()-3,1,0))</f>
        <v>0</v>
      </c>
      <c r="C1075" s="0" t="n">
        <f aca="false">N(C1074)+B1075</f>
        <v>11</v>
      </c>
    </row>
    <row r="1076" customFormat="false" ht="13.5" hidden="false" customHeight="false" outlineLevel="0" collapsed="false">
      <c r="A1076" s="0" t="str">
        <f aca="false">IF(成本费用登记表!$C174="","",成本费用登记表!$C174)</f>
        <v/>
      </c>
      <c r="B1076" s="0" t="n">
        <f aca="false">IF(A1076="",0,IF(MATCH(A1076,$A$4:$A$1925,0)=ROW()-3,1,0))</f>
        <v>0</v>
      </c>
      <c r="C1076" s="0" t="n">
        <f aca="false">N(C1075)+B1076</f>
        <v>11</v>
      </c>
    </row>
    <row r="1077" customFormat="false" ht="13.5" hidden="false" customHeight="false" outlineLevel="0" collapsed="false">
      <c r="A1077" s="0" t="str">
        <f aca="false">IF(成本费用登记表!$C175="","",成本费用登记表!$C175)</f>
        <v/>
      </c>
      <c r="B1077" s="0" t="n">
        <f aca="false">IF(A1077="",0,IF(MATCH(A1077,$A$4:$A$1925,0)=ROW()-3,1,0))</f>
        <v>0</v>
      </c>
      <c r="C1077" s="0" t="n">
        <f aca="false">N(C1076)+B1077</f>
        <v>11</v>
      </c>
    </row>
    <row r="1078" customFormat="false" ht="13.5" hidden="false" customHeight="false" outlineLevel="0" collapsed="false">
      <c r="A1078" s="0" t="str">
        <f aca="false">IF(成本费用登记表!$C176="","",成本费用登记表!$C176)</f>
        <v/>
      </c>
      <c r="B1078" s="0" t="n">
        <f aca="false">IF(A1078="",0,IF(MATCH(A1078,$A$4:$A$1925,0)=ROW()-3,1,0))</f>
        <v>0</v>
      </c>
      <c r="C1078" s="0" t="n">
        <f aca="false">N(C1077)+B1078</f>
        <v>11</v>
      </c>
    </row>
    <row r="1079" customFormat="false" ht="13.5" hidden="false" customHeight="false" outlineLevel="0" collapsed="false">
      <c r="A1079" s="0" t="str">
        <f aca="false">IF(成本费用登记表!$C177="","",成本费用登记表!$C177)</f>
        <v/>
      </c>
      <c r="B1079" s="0" t="n">
        <f aca="false">IF(A1079="",0,IF(MATCH(A1079,$A$4:$A$1925,0)=ROW()-3,1,0))</f>
        <v>0</v>
      </c>
      <c r="C1079" s="0" t="n">
        <f aca="false">N(C1078)+B1079</f>
        <v>11</v>
      </c>
    </row>
    <row r="1080" customFormat="false" ht="13.5" hidden="false" customHeight="false" outlineLevel="0" collapsed="false">
      <c r="A1080" s="0" t="str">
        <f aca="false">IF(成本费用登记表!$C178="","",成本费用登记表!$C178)</f>
        <v/>
      </c>
      <c r="B1080" s="0" t="n">
        <f aca="false">IF(A1080="",0,IF(MATCH(A1080,$A$4:$A$1925,0)=ROW()-3,1,0))</f>
        <v>0</v>
      </c>
      <c r="C1080" s="0" t="n">
        <f aca="false">N(C1079)+B1080</f>
        <v>11</v>
      </c>
    </row>
    <row r="1081" customFormat="false" ht="13.5" hidden="false" customHeight="false" outlineLevel="0" collapsed="false">
      <c r="A1081" s="0" t="str">
        <f aca="false">IF(成本费用登记表!$C179="","",成本费用登记表!$C179)</f>
        <v/>
      </c>
      <c r="B1081" s="0" t="n">
        <f aca="false">IF(A1081="",0,IF(MATCH(A1081,$A$4:$A$1925,0)=ROW()-3,1,0))</f>
        <v>0</v>
      </c>
      <c r="C1081" s="0" t="n">
        <f aca="false">N(C1080)+B1081</f>
        <v>11</v>
      </c>
    </row>
    <row r="1082" customFormat="false" ht="13.5" hidden="false" customHeight="false" outlineLevel="0" collapsed="false">
      <c r="A1082" s="0" t="str">
        <f aca="false">IF(成本费用登记表!$C180="","",成本费用登记表!$C180)</f>
        <v/>
      </c>
      <c r="B1082" s="0" t="n">
        <f aca="false">IF(A1082="",0,IF(MATCH(A1082,$A$4:$A$1925,0)=ROW()-3,1,0))</f>
        <v>0</v>
      </c>
      <c r="C1082" s="0" t="n">
        <f aca="false">N(C1081)+B1082</f>
        <v>11</v>
      </c>
    </row>
    <row r="1083" customFormat="false" ht="13.5" hidden="false" customHeight="false" outlineLevel="0" collapsed="false">
      <c r="A1083" s="0" t="str">
        <f aca="false">IF(成本费用登记表!$C181="","",成本费用登记表!$C181)</f>
        <v/>
      </c>
      <c r="B1083" s="0" t="n">
        <f aca="false">IF(A1083="",0,IF(MATCH(A1083,$A$4:$A$1925,0)=ROW()-3,1,0))</f>
        <v>0</v>
      </c>
      <c r="C1083" s="0" t="n">
        <f aca="false">N(C1082)+B1083</f>
        <v>11</v>
      </c>
    </row>
    <row r="1084" customFormat="false" ht="13.5" hidden="false" customHeight="false" outlineLevel="0" collapsed="false">
      <c r="A1084" s="0" t="str">
        <f aca="false">IF(成本费用登记表!$C182="","",成本费用登记表!$C182)</f>
        <v/>
      </c>
      <c r="B1084" s="0" t="n">
        <f aca="false">IF(A1084="",0,IF(MATCH(A1084,$A$4:$A$1925,0)=ROW()-3,1,0))</f>
        <v>0</v>
      </c>
      <c r="C1084" s="0" t="n">
        <f aca="false">N(C1083)+B1084</f>
        <v>11</v>
      </c>
    </row>
    <row r="1085" customFormat="false" ht="13.5" hidden="false" customHeight="false" outlineLevel="0" collapsed="false">
      <c r="A1085" s="0" t="str">
        <f aca="false">IF(成本费用登记表!$C183="","",成本费用登记表!$C183)</f>
        <v/>
      </c>
      <c r="B1085" s="0" t="n">
        <f aca="false">IF(A1085="",0,IF(MATCH(A1085,$A$4:$A$1925,0)=ROW()-3,1,0))</f>
        <v>0</v>
      </c>
      <c r="C1085" s="0" t="n">
        <f aca="false">N(C1084)+B1085</f>
        <v>11</v>
      </c>
    </row>
    <row r="1086" customFormat="false" ht="13.5" hidden="false" customHeight="false" outlineLevel="0" collapsed="false">
      <c r="A1086" s="0" t="str">
        <f aca="false">IF(成本费用登记表!$C184="","",成本费用登记表!$C184)</f>
        <v/>
      </c>
      <c r="B1086" s="0" t="n">
        <f aca="false">IF(A1086="",0,IF(MATCH(A1086,$A$4:$A$1925,0)=ROW()-3,1,0))</f>
        <v>0</v>
      </c>
      <c r="C1086" s="0" t="n">
        <f aca="false">N(C1085)+B1086</f>
        <v>11</v>
      </c>
    </row>
    <row r="1087" customFormat="false" ht="13.5" hidden="false" customHeight="false" outlineLevel="0" collapsed="false">
      <c r="A1087" s="0" t="str">
        <f aca="false">IF(成本费用登记表!$C185="","",成本费用登记表!$C185)</f>
        <v/>
      </c>
      <c r="B1087" s="0" t="n">
        <f aca="false">IF(A1087="",0,IF(MATCH(A1087,$A$4:$A$1925,0)=ROW()-3,1,0))</f>
        <v>0</v>
      </c>
      <c r="C1087" s="0" t="n">
        <f aca="false">N(C1086)+B1087</f>
        <v>11</v>
      </c>
    </row>
    <row r="1088" customFormat="false" ht="13.5" hidden="false" customHeight="false" outlineLevel="0" collapsed="false">
      <c r="A1088" s="0" t="str">
        <f aca="false">IF(成本费用登记表!$C186="","",成本费用登记表!$C186)</f>
        <v/>
      </c>
      <c r="B1088" s="0" t="n">
        <f aca="false">IF(A1088="",0,IF(MATCH(A1088,$A$4:$A$1925,0)=ROW()-3,1,0))</f>
        <v>0</v>
      </c>
      <c r="C1088" s="0" t="n">
        <f aca="false">N(C1087)+B1088</f>
        <v>11</v>
      </c>
    </row>
    <row r="1089" customFormat="false" ht="13.5" hidden="false" customHeight="false" outlineLevel="0" collapsed="false">
      <c r="A1089" s="0" t="str">
        <f aca="false">IF(成本费用登记表!$C187="","",成本费用登记表!$C187)</f>
        <v/>
      </c>
      <c r="B1089" s="0" t="n">
        <f aca="false">IF(A1089="",0,IF(MATCH(A1089,$A$4:$A$1925,0)=ROW()-3,1,0))</f>
        <v>0</v>
      </c>
      <c r="C1089" s="0" t="n">
        <f aca="false">N(C1088)+B1089</f>
        <v>11</v>
      </c>
    </row>
    <row r="1090" customFormat="false" ht="13.5" hidden="false" customHeight="false" outlineLevel="0" collapsed="false">
      <c r="A1090" s="0" t="str">
        <f aca="false">IF(成本费用登记表!$C188="","",成本费用登记表!$C188)</f>
        <v/>
      </c>
      <c r="B1090" s="0" t="n">
        <f aca="false">IF(A1090="",0,IF(MATCH(A1090,$A$4:$A$1925,0)=ROW()-3,1,0))</f>
        <v>0</v>
      </c>
      <c r="C1090" s="0" t="n">
        <f aca="false">N(C1089)+B1090</f>
        <v>11</v>
      </c>
    </row>
    <row r="1091" customFormat="false" ht="13.5" hidden="false" customHeight="false" outlineLevel="0" collapsed="false">
      <c r="A1091" s="0" t="str">
        <f aca="false">IF(成本费用登记表!$C189="","",成本费用登记表!$C189)</f>
        <v/>
      </c>
      <c r="B1091" s="0" t="n">
        <f aca="false">IF(A1091="",0,IF(MATCH(A1091,$A$4:$A$1925,0)=ROW()-3,1,0))</f>
        <v>0</v>
      </c>
      <c r="C1091" s="0" t="n">
        <f aca="false">N(C1090)+B1091</f>
        <v>11</v>
      </c>
    </row>
    <row r="1092" customFormat="false" ht="13.5" hidden="false" customHeight="false" outlineLevel="0" collapsed="false">
      <c r="A1092" s="0" t="str">
        <f aca="false">IF(成本费用登记表!$C190="","",成本费用登记表!$C190)</f>
        <v/>
      </c>
      <c r="B1092" s="0" t="n">
        <f aca="false">IF(A1092="",0,IF(MATCH(A1092,$A$4:$A$1925,0)=ROW()-3,1,0))</f>
        <v>0</v>
      </c>
      <c r="C1092" s="0" t="n">
        <f aca="false">N(C1091)+B1092</f>
        <v>11</v>
      </c>
    </row>
    <row r="1093" customFormat="false" ht="13.5" hidden="false" customHeight="false" outlineLevel="0" collapsed="false">
      <c r="A1093" s="0" t="str">
        <f aca="false">IF(成本费用登记表!$C191="","",成本费用登记表!$C191)</f>
        <v/>
      </c>
      <c r="B1093" s="0" t="n">
        <f aca="false">IF(A1093="",0,IF(MATCH(A1093,$A$4:$A$1925,0)=ROW()-3,1,0))</f>
        <v>0</v>
      </c>
      <c r="C1093" s="0" t="n">
        <f aca="false">N(C1092)+B1093</f>
        <v>11</v>
      </c>
    </row>
    <row r="1094" customFormat="false" ht="13.5" hidden="false" customHeight="false" outlineLevel="0" collapsed="false">
      <c r="A1094" s="0" t="str">
        <f aca="false">IF(成本费用登记表!$C192="","",成本费用登记表!$C192)</f>
        <v/>
      </c>
      <c r="B1094" s="0" t="n">
        <f aca="false">IF(A1094="",0,IF(MATCH(A1094,$A$4:$A$1925,0)=ROW()-3,1,0))</f>
        <v>0</v>
      </c>
      <c r="C1094" s="0" t="n">
        <f aca="false">N(C1093)+B1094</f>
        <v>11</v>
      </c>
    </row>
    <row r="1095" customFormat="false" ht="13.5" hidden="false" customHeight="false" outlineLevel="0" collapsed="false">
      <c r="A1095" s="0" t="str">
        <f aca="false">IF(成本费用登记表!$C193="","",成本费用登记表!$C193)</f>
        <v/>
      </c>
      <c r="B1095" s="0" t="n">
        <f aca="false">IF(A1095="",0,IF(MATCH(A1095,$A$4:$A$1925,0)=ROW()-3,1,0))</f>
        <v>0</v>
      </c>
      <c r="C1095" s="0" t="n">
        <f aca="false">N(C1094)+B1095</f>
        <v>11</v>
      </c>
    </row>
    <row r="1096" customFormat="false" ht="13.5" hidden="false" customHeight="false" outlineLevel="0" collapsed="false">
      <c r="A1096" s="0" t="str">
        <f aca="false">IF(成本费用登记表!$C194="","",成本费用登记表!$C194)</f>
        <v/>
      </c>
      <c r="B1096" s="0" t="n">
        <f aca="false">IF(A1096="",0,IF(MATCH(A1096,$A$4:$A$1925,0)=ROW()-3,1,0))</f>
        <v>0</v>
      </c>
      <c r="C1096" s="0" t="n">
        <f aca="false">N(C1095)+B1096</f>
        <v>11</v>
      </c>
    </row>
    <row r="1097" customFormat="false" ht="13.5" hidden="false" customHeight="false" outlineLevel="0" collapsed="false">
      <c r="A1097" s="0" t="str">
        <f aca="false">IF(成本费用登记表!$C195="","",成本费用登记表!$C195)</f>
        <v/>
      </c>
      <c r="B1097" s="0" t="n">
        <f aca="false">IF(A1097="",0,IF(MATCH(A1097,$A$4:$A$1925,0)=ROW()-3,1,0))</f>
        <v>0</v>
      </c>
      <c r="C1097" s="0" t="n">
        <f aca="false">N(C1096)+B1097</f>
        <v>11</v>
      </c>
    </row>
    <row r="1098" customFormat="false" ht="13.5" hidden="false" customHeight="false" outlineLevel="0" collapsed="false">
      <c r="A1098" s="0" t="str">
        <f aca="false">IF(成本费用登记表!$C196="","",成本费用登记表!$C196)</f>
        <v/>
      </c>
      <c r="B1098" s="0" t="n">
        <f aca="false">IF(A1098="",0,IF(MATCH(A1098,$A$4:$A$1925,0)=ROW()-3,1,0))</f>
        <v>0</v>
      </c>
      <c r="C1098" s="0" t="n">
        <f aca="false">N(C1097)+B1098</f>
        <v>11</v>
      </c>
    </row>
    <row r="1099" customFormat="false" ht="13.5" hidden="false" customHeight="false" outlineLevel="0" collapsed="false">
      <c r="A1099" s="0" t="str">
        <f aca="false">IF(成本费用登记表!$C197="","",成本费用登记表!$C197)</f>
        <v/>
      </c>
      <c r="B1099" s="0" t="n">
        <f aca="false">IF(A1099="",0,IF(MATCH(A1099,$A$4:$A$1925,0)=ROW()-3,1,0))</f>
        <v>0</v>
      </c>
      <c r="C1099" s="0" t="n">
        <f aca="false">N(C1098)+B1099</f>
        <v>11</v>
      </c>
    </row>
    <row r="1100" customFormat="false" ht="13.5" hidden="false" customHeight="false" outlineLevel="0" collapsed="false">
      <c r="A1100" s="0" t="str">
        <f aca="false">IF(成本费用登记表!$C198="","",成本费用登记表!$C198)</f>
        <v/>
      </c>
      <c r="B1100" s="0" t="n">
        <f aca="false">IF(A1100="",0,IF(MATCH(A1100,$A$4:$A$1925,0)=ROW()-3,1,0))</f>
        <v>0</v>
      </c>
      <c r="C1100" s="0" t="n">
        <f aca="false">N(C1099)+B1100</f>
        <v>11</v>
      </c>
    </row>
    <row r="1101" customFormat="false" ht="13.5" hidden="false" customHeight="false" outlineLevel="0" collapsed="false">
      <c r="A1101" s="0" t="str">
        <f aca="false">IF(成本费用登记表!$C199="","",成本费用登记表!$C199)</f>
        <v/>
      </c>
      <c r="B1101" s="0" t="n">
        <f aca="false">IF(A1101="",0,IF(MATCH(A1101,$A$4:$A$1925,0)=ROW()-3,1,0))</f>
        <v>0</v>
      </c>
      <c r="C1101" s="0" t="n">
        <f aca="false">N(C1100)+B1101</f>
        <v>11</v>
      </c>
    </row>
    <row r="1102" customFormat="false" ht="13.5" hidden="false" customHeight="false" outlineLevel="0" collapsed="false">
      <c r="A1102" s="0" t="str">
        <f aca="false">IF(成本费用登记表!$C200="","",成本费用登记表!$C200)</f>
        <v/>
      </c>
      <c r="B1102" s="0" t="n">
        <f aca="false">IF(A1102="",0,IF(MATCH(A1102,$A$4:$A$1925,0)=ROW()-3,1,0))</f>
        <v>0</v>
      </c>
      <c r="C1102" s="0" t="n">
        <f aca="false">N(C1101)+B1102</f>
        <v>11</v>
      </c>
    </row>
    <row r="1103" customFormat="false" ht="13.5" hidden="false" customHeight="false" outlineLevel="0" collapsed="false">
      <c r="A1103" s="0" t="str">
        <f aca="false">IF(成本费用登记表!$C201="","",成本费用登记表!$C201)</f>
        <v/>
      </c>
      <c r="B1103" s="0" t="n">
        <f aca="false">IF(A1103="",0,IF(MATCH(A1103,$A$4:$A$1925,0)=ROW()-3,1,0))</f>
        <v>0</v>
      </c>
      <c r="C1103" s="0" t="n">
        <f aca="false">N(C1102)+B1103</f>
        <v>11</v>
      </c>
    </row>
    <row r="1104" customFormat="false" ht="13.5" hidden="false" customHeight="false" outlineLevel="0" collapsed="false">
      <c r="A1104" s="0" t="str">
        <f aca="false">IF(成本费用登记表!$C202="","",成本费用登记表!$C202)</f>
        <v/>
      </c>
      <c r="B1104" s="0" t="n">
        <f aca="false">IF(A1104="",0,IF(MATCH(A1104,$A$4:$A$1925,0)=ROW()-3,1,0))</f>
        <v>0</v>
      </c>
      <c r="C1104" s="0" t="n">
        <f aca="false">N(C1103)+B1104</f>
        <v>11</v>
      </c>
    </row>
    <row r="1105" customFormat="false" ht="13.5" hidden="false" customHeight="false" outlineLevel="0" collapsed="false">
      <c r="A1105" s="0" t="str">
        <f aca="false">IF(成本费用登记表!$C203="","",成本费用登记表!$C203)</f>
        <v/>
      </c>
      <c r="B1105" s="0" t="n">
        <f aca="false">IF(A1105="",0,IF(MATCH(A1105,$A$4:$A$1925,0)=ROW()-3,1,0))</f>
        <v>0</v>
      </c>
      <c r="C1105" s="0" t="n">
        <f aca="false">N(C1104)+B1105</f>
        <v>11</v>
      </c>
    </row>
    <row r="1106" customFormat="false" ht="13.5" hidden="false" customHeight="false" outlineLevel="0" collapsed="false">
      <c r="A1106" s="0" t="str">
        <f aca="false">IF(成本费用登记表!$C204="","",成本费用登记表!$C204)</f>
        <v/>
      </c>
      <c r="B1106" s="0" t="n">
        <f aca="false">IF(A1106="",0,IF(MATCH(A1106,$A$4:$A$1925,0)=ROW()-3,1,0))</f>
        <v>0</v>
      </c>
      <c r="C1106" s="0" t="n">
        <f aca="false">N(C1105)+B1106</f>
        <v>11</v>
      </c>
    </row>
    <row r="1107" customFormat="false" ht="13.5" hidden="false" customHeight="false" outlineLevel="0" collapsed="false">
      <c r="A1107" s="0" t="str">
        <f aca="false">IF(成本费用登记表!$C205="","",成本费用登记表!$C205)</f>
        <v/>
      </c>
      <c r="B1107" s="0" t="n">
        <f aca="false">IF(A1107="",0,IF(MATCH(A1107,$A$4:$A$1925,0)=ROW()-3,1,0))</f>
        <v>0</v>
      </c>
      <c r="C1107" s="0" t="n">
        <f aca="false">N(C1106)+B1107</f>
        <v>11</v>
      </c>
    </row>
    <row r="1108" customFormat="false" ht="13.5" hidden="false" customHeight="false" outlineLevel="0" collapsed="false">
      <c r="A1108" s="0" t="str">
        <f aca="false">IF(成本费用登记表!$C206="","",成本费用登记表!$C206)</f>
        <v/>
      </c>
      <c r="B1108" s="0" t="n">
        <f aca="false">IF(A1108="",0,IF(MATCH(A1108,$A$4:$A$1925,0)=ROW()-3,1,0))</f>
        <v>0</v>
      </c>
      <c r="C1108" s="0" t="n">
        <f aca="false">N(C1107)+B1108</f>
        <v>11</v>
      </c>
    </row>
    <row r="1109" customFormat="false" ht="13.5" hidden="false" customHeight="false" outlineLevel="0" collapsed="false">
      <c r="A1109" s="0" t="str">
        <f aca="false">IF(成本费用登记表!$C207="","",成本费用登记表!$C207)</f>
        <v/>
      </c>
      <c r="B1109" s="0" t="n">
        <f aca="false">IF(A1109="",0,IF(MATCH(A1109,$A$4:$A$1925,0)=ROW()-3,1,0))</f>
        <v>0</v>
      </c>
      <c r="C1109" s="0" t="n">
        <f aca="false">N(C1108)+B1109</f>
        <v>11</v>
      </c>
    </row>
    <row r="1110" customFormat="false" ht="13.5" hidden="false" customHeight="false" outlineLevel="0" collapsed="false">
      <c r="A1110" s="0" t="str">
        <f aca="false">IF(成本费用登记表!$C208="","",成本费用登记表!$C208)</f>
        <v/>
      </c>
      <c r="B1110" s="0" t="n">
        <f aca="false">IF(A1110="",0,IF(MATCH(A1110,$A$4:$A$1925,0)=ROW()-3,1,0))</f>
        <v>0</v>
      </c>
      <c r="C1110" s="0" t="n">
        <f aca="false">N(C1109)+B1110</f>
        <v>11</v>
      </c>
    </row>
    <row r="1111" customFormat="false" ht="13.5" hidden="false" customHeight="false" outlineLevel="0" collapsed="false">
      <c r="A1111" s="0" t="str">
        <f aca="false">IF(成本费用登记表!$C209="","",成本费用登记表!$C209)</f>
        <v/>
      </c>
      <c r="B1111" s="0" t="n">
        <f aca="false">IF(A1111="",0,IF(MATCH(A1111,$A$4:$A$1925,0)=ROW()-3,1,0))</f>
        <v>0</v>
      </c>
      <c r="C1111" s="0" t="n">
        <f aca="false">N(C1110)+B1111</f>
        <v>11</v>
      </c>
    </row>
    <row r="1112" customFormat="false" ht="13.5" hidden="false" customHeight="false" outlineLevel="0" collapsed="false">
      <c r="A1112" s="0" t="str">
        <f aca="false">IF(成本费用登记表!$C210="","",成本费用登记表!$C210)</f>
        <v/>
      </c>
      <c r="B1112" s="0" t="n">
        <f aca="false">IF(A1112="",0,IF(MATCH(A1112,$A$4:$A$1925,0)=ROW()-3,1,0))</f>
        <v>0</v>
      </c>
      <c r="C1112" s="0" t="n">
        <f aca="false">N(C1111)+B1112</f>
        <v>11</v>
      </c>
    </row>
    <row r="1113" customFormat="false" ht="13.5" hidden="false" customHeight="false" outlineLevel="0" collapsed="false">
      <c r="A1113" s="0" t="str">
        <f aca="false">IF(成本费用登记表!$C211="","",成本费用登记表!$C211)</f>
        <v/>
      </c>
      <c r="B1113" s="0" t="n">
        <f aca="false">IF(A1113="",0,IF(MATCH(A1113,$A$4:$A$1925,0)=ROW()-3,1,0))</f>
        <v>0</v>
      </c>
      <c r="C1113" s="0" t="n">
        <f aca="false">N(C1112)+B1113</f>
        <v>11</v>
      </c>
    </row>
    <row r="1114" customFormat="false" ht="13.5" hidden="false" customHeight="false" outlineLevel="0" collapsed="false">
      <c r="A1114" s="0" t="str">
        <f aca="false">IF(成本费用登记表!$C212="","",成本费用登记表!$C212)</f>
        <v/>
      </c>
      <c r="B1114" s="0" t="n">
        <f aca="false">IF(A1114="",0,IF(MATCH(A1114,$A$4:$A$1925,0)=ROW()-3,1,0))</f>
        <v>0</v>
      </c>
      <c r="C1114" s="0" t="n">
        <f aca="false">N(C1113)+B1114</f>
        <v>11</v>
      </c>
    </row>
    <row r="1115" customFormat="false" ht="13.5" hidden="false" customHeight="false" outlineLevel="0" collapsed="false">
      <c r="A1115" s="0" t="str">
        <f aca="false">IF(成本费用登记表!$C213="","",成本费用登记表!$C213)</f>
        <v/>
      </c>
      <c r="B1115" s="0" t="n">
        <f aca="false">IF(A1115="",0,IF(MATCH(A1115,$A$4:$A$1925,0)=ROW()-3,1,0))</f>
        <v>0</v>
      </c>
      <c r="C1115" s="0" t="n">
        <f aca="false">N(C1114)+B1115</f>
        <v>11</v>
      </c>
    </row>
    <row r="1116" customFormat="false" ht="13.5" hidden="false" customHeight="false" outlineLevel="0" collapsed="false">
      <c r="A1116" s="0" t="str">
        <f aca="false">IF(成本费用登记表!$C214="","",成本费用登记表!$C214)</f>
        <v/>
      </c>
      <c r="B1116" s="0" t="n">
        <f aca="false">IF(A1116="",0,IF(MATCH(A1116,$A$4:$A$1925,0)=ROW()-3,1,0))</f>
        <v>0</v>
      </c>
      <c r="C1116" s="0" t="n">
        <f aca="false">N(C1115)+B1116</f>
        <v>11</v>
      </c>
    </row>
    <row r="1117" customFormat="false" ht="13.5" hidden="false" customHeight="false" outlineLevel="0" collapsed="false">
      <c r="A1117" s="0" t="str">
        <f aca="false">IF(成本费用登记表!$C215="","",成本费用登记表!$C215)</f>
        <v/>
      </c>
      <c r="B1117" s="0" t="n">
        <f aca="false">IF(A1117="",0,IF(MATCH(A1117,$A$4:$A$1925,0)=ROW()-3,1,0))</f>
        <v>0</v>
      </c>
      <c r="C1117" s="0" t="n">
        <f aca="false">N(C1116)+B1117</f>
        <v>11</v>
      </c>
    </row>
    <row r="1118" customFormat="false" ht="13.5" hidden="false" customHeight="false" outlineLevel="0" collapsed="false">
      <c r="A1118" s="0" t="str">
        <f aca="false">IF(成本费用登记表!$C216="","",成本费用登记表!$C216)</f>
        <v/>
      </c>
      <c r="B1118" s="0" t="n">
        <f aca="false">IF(A1118="",0,IF(MATCH(A1118,$A$4:$A$1925,0)=ROW()-3,1,0))</f>
        <v>0</v>
      </c>
      <c r="C1118" s="0" t="n">
        <f aca="false">N(C1117)+B1118</f>
        <v>11</v>
      </c>
    </row>
    <row r="1119" customFormat="false" ht="13.5" hidden="false" customHeight="false" outlineLevel="0" collapsed="false">
      <c r="A1119" s="0" t="str">
        <f aca="false">IF(成本费用登记表!$C217="","",成本费用登记表!$C217)</f>
        <v/>
      </c>
      <c r="B1119" s="0" t="n">
        <f aca="false">IF(A1119="",0,IF(MATCH(A1119,$A$4:$A$1925,0)=ROW()-3,1,0))</f>
        <v>0</v>
      </c>
      <c r="C1119" s="0" t="n">
        <f aca="false">N(C1118)+B1119</f>
        <v>11</v>
      </c>
    </row>
    <row r="1120" customFormat="false" ht="13.5" hidden="false" customHeight="false" outlineLevel="0" collapsed="false">
      <c r="A1120" s="0" t="str">
        <f aca="false">IF(成本费用登记表!$C218="","",成本费用登记表!$C218)</f>
        <v/>
      </c>
      <c r="B1120" s="0" t="n">
        <f aca="false">IF(A1120="",0,IF(MATCH(A1120,$A$4:$A$1925,0)=ROW()-3,1,0))</f>
        <v>0</v>
      </c>
      <c r="C1120" s="0" t="n">
        <f aca="false">N(C1119)+B1120</f>
        <v>11</v>
      </c>
    </row>
    <row r="1121" customFormat="false" ht="13.5" hidden="false" customHeight="false" outlineLevel="0" collapsed="false">
      <c r="A1121" s="0" t="str">
        <f aca="false">IF(成本费用登记表!$C219="","",成本费用登记表!$C219)</f>
        <v/>
      </c>
      <c r="B1121" s="0" t="n">
        <f aca="false">IF(A1121="",0,IF(MATCH(A1121,$A$4:$A$1925,0)=ROW()-3,1,0))</f>
        <v>0</v>
      </c>
      <c r="C1121" s="0" t="n">
        <f aca="false">N(C1120)+B1121</f>
        <v>11</v>
      </c>
    </row>
    <row r="1122" customFormat="false" ht="13.5" hidden="false" customHeight="false" outlineLevel="0" collapsed="false">
      <c r="A1122" s="0" t="str">
        <f aca="false">IF(成本费用登记表!$C220="","",成本费用登记表!$C220)</f>
        <v/>
      </c>
      <c r="B1122" s="0" t="n">
        <f aca="false">IF(A1122="",0,IF(MATCH(A1122,$A$4:$A$1925,0)=ROW()-3,1,0))</f>
        <v>0</v>
      </c>
      <c r="C1122" s="0" t="n">
        <f aca="false">N(C1121)+B1122</f>
        <v>11</v>
      </c>
    </row>
    <row r="1123" customFormat="false" ht="13.5" hidden="false" customHeight="false" outlineLevel="0" collapsed="false">
      <c r="A1123" s="0" t="str">
        <f aca="false">IF(成本费用登记表!$C221="","",成本费用登记表!$C221)</f>
        <v/>
      </c>
      <c r="B1123" s="0" t="n">
        <f aca="false">IF(A1123="",0,IF(MATCH(A1123,$A$4:$A$1925,0)=ROW()-3,1,0))</f>
        <v>0</v>
      </c>
      <c r="C1123" s="0" t="n">
        <f aca="false">N(C1122)+B1123</f>
        <v>11</v>
      </c>
    </row>
    <row r="1124" customFormat="false" ht="13.5" hidden="false" customHeight="false" outlineLevel="0" collapsed="false">
      <c r="A1124" s="0" t="str">
        <f aca="false">IF(成本费用登记表!$C222="","",成本费用登记表!$C222)</f>
        <v/>
      </c>
      <c r="B1124" s="0" t="n">
        <f aca="false">IF(A1124="",0,IF(MATCH(A1124,$A$4:$A$1925,0)=ROW()-3,1,0))</f>
        <v>0</v>
      </c>
      <c r="C1124" s="0" t="n">
        <f aca="false">N(C1123)+B1124</f>
        <v>11</v>
      </c>
    </row>
    <row r="1125" customFormat="false" ht="13.5" hidden="false" customHeight="false" outlineLevel="0" collapsed="false">
      <c r="A1125" s="0" t="str">
        <f aca="false">IF(成本费用登记表!$C223="","",成本费用登记表!$C223)</f>
        <v/>
      </c>
      <c r="B1125" s="0" t="n">
        <f aca="false">IF(A1125="",0,IF(MATCH(A1125,$A$4:$A$1925,0)=ROW()-3,1,0))</f>
        <v>0</v>
      </c>
      <c r="C1125" s="0" t="n">
        <f aca="false">N(C1124)+B1125</f>
        <v>11</v>
      </c>
    </row>
    <row r="1126" customFormat="false" ht="13.5" hidden="false" customHeight="false" outlineLevel="0" collapsed="false">
      <c r="A1126" s="0" t="str">
        <f aca="false">IF(成本费用登记表!$C224="","",成本费用登记表!$C224)</f>
        <v/>
      </c>
      <c r="B1126" s="0" t="n">
        <f aca="false">IF(A1126="",0,IF(MATCH(A1126,$A$4:$A$1925,0)=ROW()-3,1,0))</f>
        <v>0</v>
      </c>
      <c r="C1126" s="0" t="n">
        <f aca="false">N(C1125)+B1126</f>
        <v>11</v>
      </c>
    </row>
    <row r="1127" customFormat="false" ht="13.5" hidden="false" customHeight="false" outlineLevel="0" collapsed="false">
      <c r="A1127" s="0" t="str">
        <f aca="false">IF(成本费用登记表!$C225="","",成本费用登记表!$C225)</f>
        <v/>
      </c>
      <c r="B1127" s="0" t="n">
        <f aca="false">IF(A1127="",0,IF(MATCH(A1127,$A$4:$A$1925,0)=ROW()-3,1,0))</f>
        <v>0</v>
      </c>
      <c r="C1127" s="0" t="n">
        <f aca="false">N(C1126)+B1127</f>
        <v>11</v>
      </c>
    </row>
    <row r="1128" customFormat="false" ht="13.5" hidden="false" customHeight="false" outlineLevel="0" collapsed="false">
      <c r="A1128" s="0" t="str">
        <f aca="false">IF(成本费用登记表!$C226="","",成本费用登记表!$C226)</f>
        <v/>
      </c>
      <c r="B1128" s="0" t="n">
        <f aca="false">IF(A1128="",0,IF(MATCH(A1128,$A$4:$A$1925,0)=ROW()-3,1,0))</f>
        <v>0</v>
      </c>
      <c r="C1128" s="0" t="n">
        <f aca="false">N(C1127)+B1128</f>
        <v>11</v>
      </c>
    </row>
    <row r="1129" customFormat="false" ht="13.5" hidden="false" customHeight="false" outlineLevel="0" collapsed="false">
      <c r="A1129" s="0" t="str">
        <f aca="false">IF(成本费用登记表!$C227="","",成本费用登记表!$C227)</f>
        <v/>
      </c>
      <c r="B1129" s="0" t="n">
        <f aca="false">IF(A1129="",0,IF(MATCH(A1129,$A$4:$A$1925,0)=ROW()-3,1,0))</f>
        <v>0</v>
      </c>
      <c r="C1129" s="0" t="n">
        <f aca="false">N(C1128)+B1129</f>
        <v>11</v>
      </c>
    </row>
    <row r="1130" customFormat="false" ht="13.5" hidden="false" customHeight="false" outlineLevel="0" collapsed="false">
      <c r="A1130" s="0" t="str">
        <f aca="false">IF(成本费用登记表!$C228="","",成本费用登记表!$C228)</f>
        <v/>
      </c>
      <c r="B1130" s="0" t="n">
        <f aca="false">IF(A1130="",0,IF(MATCH(A1130,$A$4:$A$1925,0)=ROW()-3,1,0))</f>
        <v>0</v>
      </c>
      <c r="C1130" s="0" t="n">
        <f aca="false">N(C1129)+B1130</f>
        <v>11</v>
      </c>
    </row>
    <row r="1131" customFormat="false" ht="13.5" hidden="false" customHeight="false" outlineLevel="0" collapsed="false">
      <c r="A1131" s="0" t="str">
        <f aca="false">IF(成本费用登记表!$C229="","",成本费用登记表!$C229)</f>
        <v/>
      </c>
      <c r="B1131" s="0" t="n">
        <f aca="false">IF(A1131="",0,IF(MATCH(A1131,$A$4:$A$1925,0)=ROW()-3,1,0))</f>
        <v>0</v>
      </c>
      <c r="C1131" s="0" t="n">
        <f aca="false">N(C1130)+B1131</f>
        <v>11</v>
      </c>
    </row>
    <row r="1132" customFormat="false" ht="13.5" hidden="false" customHeight="false" outlineLevel="0" collapsed="false">
      <c r="A1132" s="0" t="str">
        <f aca="false">IF(成本费用登记表!$C230="","",成本费用登记表!$C230)</f>
        <v/>
      </c>
      <c r="B1132" s="0" t="n">
        <f aca="false">IF(A1132="",0,IF(MATCH(A1132,$A$4:$A$1925,0)=ROW()-3,1,0))</f>
        <v>0</v>
      </c>
      <c r="C1132" s="0" t="n">
        <f aca="false">N(C1131)+B1132</f>
        <v>11</v>
      </c>
    </row>
    <row r="1133" customFormat="false" ht="13.5" hidden="false" customHeight="false" outlineLevel="0" collapsed="false">
      <c r="A1133" s="0" t="str">
        <f aca="false">IF(成本费用登记表!$C231="","",成本费用登记表!$C231)</f>
        <v/>
      </c>
      <c r="B1133" s="0" t="n">
        <f aca="false">IF(A1133="",0,IF(MATCH(A1133,$A$4:$A$1925,0)=ROW()-3,1,0))</f>
        <v>0</v>
      </c>
      <c r="C1133" s="0" t="n">
        <f aca="false">N(C1132)+B1133</f>
        <v>11</v>
      </c>
    </row>
    <row r="1134" customFormat="false" ht="13.5" hidden="false" customHeight="false" outlineLevel="0" collapsed="false">
      <c r="A1134" s="0" t="str">
        <f aca="false">IF(成本费用登记表!$C232="","",成本费用登记表!$C232)</f>
        <v/>
      </c>
      <c r="B1134" s="0" t="n">
        <f aca="false">IF(A1134="",0,IF(MATCH(A1134,$A$4:$A$1925,0)=ROW()-3,1,0))</f>
        <v>0</v>
      </c>
      <c r="C1134" s="0" t="n">
        <f aca="false">N(C1133)+B1134</f>
        <v>11</v>
      </c>
    </row>
    <row r="1135" customFormat="false" ht="13.5" hidden="false" customHeight="false" outlineLevel="0" collapsed="false">
      <c r="A1135" s="0" t="str">
        <f aca="false">IF(成本费用登记表!$C233="","",成本费用登记表!$C233)</f>
        <v/>
      </c>
      <c r="B1135" s="0" t="n">
        <f aca="false">IF(A1135="",0,IF(MATCH(A1135,$A$4:$A$1925,0)=ROW()-3,1,0))</f>
        <v>0</v>
      </c>
      <c r="C1135" s="0" t="n">
        <f aca="false">N(C1134)+B1135</f>
        <v>11</v>
      </c>
    </row>
    <row r="1136" customFormat="false" ht="13.5" hidden="false" customHeight="false" outlineLevel="0" collapsed="false">
      <c r="A1136" s="0" t="str">
        <f aca="false">IF(成本费用登记表!$C234="","",成本费用登记表!$C234)</f>
        <v/>
      </c>
      <c r="B1136" s="0" t="n">
        <f aca="false">IF(A1136="",0,IF(MATCH(A1136,$A$4:$A$1925,0)=ROW()-3,1,0))</f>
        <v>0</v>
      </c>
      <c r="C1136" s="0" t="n">
        <f aca="false">N(C1135)+B1136</f>
        <v>11</v>
      </c>
    </row>
    <row r="1137" customFormat="false" ht="13.5" hidden="false" customHeight="false" outlineLevel="0" collapsed="false">
      <c r="A1137" s="0" t="str">
        <f aca="false">IF(成本费用登记表!$C235="","",成本费用登记表!$C235)</f>
        <v/>
      </c>
      <c r="B1137" s="0" t="n">
        <f aca="false">IF(A1137="",0,IF(MATCH(A1137,$A$4:$A$1925,0)=ROW()-3,1,0))</f>
        <v>0</v>
      </c>
      <c r="C1137" s="0" t="n">
        <f aca="false">N(C1136)+B1137</f>
        <v>11</v>
      </c>
    </row>
    <row r="1138" customFormat="false" ht="13.5" hidden="false" customHeight="false" outlineLevel="0" collapsed="false">
      <c r="A1138" s="0" t="str">
        <f aca="false">IF(成本费用登记表!$C236="","",成本费用登记表!$C236)</f>
        <v/>
      </c>
      <c r="B1138" s="0" t="n">
        <f aca="false">IF(A1138="",0,IF(MATCH(A1138,$A$4:$A$1925,0)=ROW()-3,1,0))</f>
        <v>0</v>
      </c>
      <c r="C1138" s="0" t="n">
        <f aca="false">N(C1137)+B1138</f>
        <v>11</v>
      </c>
    </row>
    <row r="1139" customFormat="false" ht="13.5" hidden="false" customHeight="false" outlineLevel="0" collapsed="false">
      <c r="A1139" s="0" t="str">
        <f aca="false">IF(成本费用登记表!$C237="","",成本费用登记表!$C237)</f>
        <v/>
      </c>
      <c r="B1139" s="0" t="n">
        <f aca="false">IF(A1139="",0,IF(MATCH(A1139,$A$4:$A$1925,0)=ROW()-3,1,0))</f>
        <v>0</v>
      </c>
      <c r="C1139" s="0" t="n">
        <f aca="false">N(C1138)+B1139</f>
        <v>11</v>
      </c>
    </row>
    <row r="1140" customFormat="false" ht="13.5" hidden="false" customHeight="false" outlineLevel="0" collapsed="false">
      <c r="A1140" s="0" t="str">
        <f aca="false">IF(成本费用登记表!$C238="","",成本费用登记表!$C238)</f>
        <v/>
      </c>
      <c r="B1140" s="0" t="n">
        <f aca="false">IF(A1140="",0,IF(MATCH(A1140,$A$4:$A$1925,0)=ROW()-3,1,0))</f>
        <v>0</v>
      </c>
      <c r="C1140" s="0" t="n">
        <f aca="false">N(C1139)+B1140</f>
        <v>11</v>
      </c>
    </row>
    <row r="1141" customFormat="false" ht="13.5" hidden="false" customHeight="false" outlineLevel="0" collapsed="false">
      <c r="A1141" s="0" t="str">
        <f aca="false">IF(成本费用登记表!$C239="","",成本费用登记表!$C239)</f>
        <v/>
      </c>
      <c r="B1141" s="0" t="n">
        <f aca="false">IF(A1141="",0,IF(MATCH(A1141,$A$4:$A$1925,0)=ROW()-3,1,0))</f>
        <v>0</v>
      </c>
      <c r="C1141" s="0" t="n">
        <f aca="false">N(C1140)+B1141</f>
        <v>11</v>
      </c>
    </row>
    <row r="1142" customFormat="false" ht="13.5" hidden="false" customHeight="false" outlineLevel="0" collapsed="false">
      <c r="A1142" s="0" t="str">
        <f aca="false">IF(成本费用登记表!$C240="","",成本费用登记表!$C240)</f>
        <v/>
      </c>
      <c r="B1142" s="0" t="n">
        <f aca="false">IF(A1142="",0,IF(MATCH(A1142,$A$4:$A$1925,0)=ROW()-3,1,0))</f>
        <v>0</v>
      </c>
      <c r="C1142" s="0" t="n">
        <f aca="false">N(C1141)+B1142</f>
        <v>11</v>
      </c>
    </row>
    <row r="1143" customFormat="false" ht="13.5" hidden="false" customHeight="false" outlineLevel="0" collapsed="false">
      <c r="A1143" s="0" t="str">
        <f aca="false">IF(成本费用登记表!$C241="","",成本费用登记表!$C241)</f>
        <v/>
      </c>
      <c r="B1143" s="0" t="n">
        <f aca="false">IF(A1143="",0,IF(MATCH(A1143,$A$4:$A$1925,0)=ROW()-3,1,0))</f>
        <v>0</v>
      </c>
      <c r="C1143" s="0" t="n">
        <f aca="false">N(C1142)+B1143</f>
        <v>11</v>
      </c>
    </row>
    <row r="1144" customFormat="false" ht="13.5" hidden="false" customHeight="false" outlineLevel="0" collapsed="false">
      <c r="A1144" s="0" t="str">
        <f aca="false">IF(成本费用登记表!$C242="","",成本费用登记表!$C242)</f>
        <v/>
      </c>
      <c r="B1144" s="0" t="n">
        <f aca="false">IF(A1144="",0,IF(MATCH(A1144,$A$4:$A$1925,0)=ROW()-3,1,0))</f>
        <v>0</v>
      </c>
      <c r="C1144" s="0" t="n">
        <f aca="false">N(C1143)+B1144</f>
        <v>11</v>
      </c>
    </row>
    <row r="1145" customFormat="false" ht="13.5" hidden="false" customHeight="false" outlineLevel="0" collapsed="false">
      <c r="A1145" s="0" t="str">
        <f aca="false">IF(成本费用登记表!$C243="","",成本费用登记表!$C243)</f>
        <v/>
      </c>
      <c r="B1145" s="0" t="n">
        <f aca="false">IF(A1145="",0,IF(MATCH(A1145,$A$4:$A$1925,0)=ROW()-3,1,0))</f>
        <v>0</v>
      </c>
      <c r="C1145" s="0" t="n">
        <f aca="false">N(C1144)+B1145</f>
        <v>11</v>
      </c>
    </row>
    <row r="1146" customFormat="false" ht="13.5" hidden="false" customHeight="false" outlineLevel="0" collapsed="false">
      <c r="A1146" s="0" t="str">
        <f aca="false">IF(成本费用登记表!$C244="","",成本费用登记表!$C244)</f>
        <v/>
      </c>
      <c r="B1146" s="0" t="n">
        <f aca="false">IF(A1146="",0,IF(MATCH(A1146,$A$4:$A$1925,0)=ROW()-3,1,0))</f>
        <v>0</v>
      </c>
      <c r="C1146" s="0" t="n">
        <f aca="false">N(C1145)+B1146</f>
        <v>11</v>
      </c>
    </row>
    <row r="1147" customFormat="false" ht="13.5" hidden="false" customHeight="false" outlineLevel="0" collapsed="false">
      <c r="A1147" s="0" t="str">
        <f aca="false">IF(成本费用登记表!$C245="","",成本费用登记表!$C245)</f>
        <v/>
      </c>
      <c r="B1147" s="0" t="n">
        <f aca="false">IF(A1147="",0,IF(MATCH(A1147,$A$4:$A$1925,0)=ROW()-3,1,0))</f>
        <v>0</v>
      </c>
      <c r="C1147" s="0" t="n">
        <f aca="false">N(C1146)+B1147</f>
        <v>11</v>
      </c>
    </row>
    <row r="1148" customFormat="false" ht="13.5" hidden="false" customHeight="false" outlineLevel="0" collapsed="false">
      <c r="A1148" s="0" t="str">
        <f aca="false">IF(成本费用登记表!$C246="","",成本费用登记表!$C246)</f>
        <v/>
      </c>
      <c r="B1148" s="0" t="n">
        <f aca="false">IF(A1148="",0,IF(MATCH(A1148,$A$4:$A$1925,0)=ROW()-3,1,0))</f>
        <v>0</v>
      </c>
      <c r="C1148" s="0" t="n">
        <f aca="false">N(C1147)+B1148</f>
        <v>11</v>
      </c>
    </row>
    <row r="1149" customFormat="false" ht="13.5" hidden="false" customHeight="false" outlineLevel="0" collapsed="false">
      <c r="A1149" s="0" t="str">
        <f aca="false">IF(成本费用登记表!$C247="","",成本费用登记表!$C247)</f>
        <v/>
      </c>
      <c r="B1149" s="0" t="n">
        <f aca="false">IF(A1149="",0,IF(MATCH(A1149,$A$4:$A$1925,0)=ROW()-3,1,0))</f>
        <v>0</v>
      </c>
      <c r="C1149" s="0" t="n">
        <f aca="false">N(C1148)+B1149</f>
        <v>11</v>
      </c>
    </row>
    <row r="1150" customFormat="false" ht="13.5" hidden="false" customHeight="false" outlineLevel="0" collapsed="false">
      <c r="A1150" s="0" t="str">
        <f aca="false">IF(成本费用登记表!$C248="","",成本费用登记表!$C248)</f>
        <v/>
      </c>
      <c r="B1150" s="0" t="n">
        <f aca="false">IF(A1150="",0,IF(MATCH(A1150,$A$4:$A$1925,0)=ROW()-3,1,0))</f>
        <v>0</v>
      </c>
      <c r="C1150" s="0" t="n">
        <f aca="false">N(C1149)+B1150</f>
        <v>11</v>
      </c>
    </row>
    <row r="1151" customFormat="false" ht="13.5" hidden="false" customHeight="false" outlineLevel="0" collapsed="false">
      <c r="A1151" s="0" t="str">
        <f aca="false">IF(成本费用登记表!$C249="","",成本费用登记表!$C249)</f>
        <v/>
      </c>
      <c r="B1151" s="0" t="n">
        <f aca="false">IF(A1151="",0,IF(MATCH(A1151,$A$4:$A$1925,0)=ROW()-3,1,0))</f>
        <v>0</v>
      </c>
      <c r="C1151" s="0" t="n">
        <f aca="false">N(C1150)+B1151</f>
        <v>11</v>
      </c>
    </row>
    <row r="1152" customFormat="false" ht="13.5" hidden="false" customHeight="false" outlineLevel="0" collapsed="false">
      <c r="A1152" s="0" t="str">
        <f aca="false">IF(成本费用登记表!$C250="","",成本费用登记表!$C250)</f>
        <v/>
      </c>
      <c r="B1152" s="0" t="n">
        <f aca="false">IF(A1152="",0,IF(MATCH(A1152,$A$4:$A$1925,0)=ROW()-3,1,0))</f>
        <v>0</v>
      </c>
      <c r="C1152" s="0" t="n">
        <f aca="false">N(C1151)+B1152</f>
        <v>11</v>
      </c>
    </row>
    <row r="1153" customFormat="false" ht="13.5" hidden="false" customHeight="false" outlineLevel="0" collapsed="false">
      <c r="A1153" s="0" t="str">
        <f aca="false">IF(成本费用登记表!$C251="","",成本费用登记表!$C251)</f>
        <v/>
      </c>
      <c r="B1153" s="0" t="n">
        <f aca="false">IF(A1153="",0,IF(MATCH(A1153,$A$4:$A$1925,0)=ROW()-3,1,0))</f>
        <v>0</v>
      </c>
      <c r="C1153" s="0" t="n">
        <f aca="false">N(C1152)+B1153</f>
        <v>11</v>
      </c>
    </row>
    <row r="1154" customFormat="false" ht="13.5" hidden="false" customHeight="false" outlineLevel="0" collapsed="false">
      <c r="A1154" s="0" t="str">
        <f aca="false">IF(成本费用登记表!$C252="","",成本费用登记表!$C252)</f>
        <v/>
      </c>
      <c r="B1154" s="0" t="n">
        <f aca="false">IF(A1154="",0,IF(MATCH(A1154,$A$4:$A$1925,0)=ROW()-3,1,0))</f>
        <v>0</v>
      </c>
      <c r="C1154" s="0" t="n">
        <f aca="false">N(C1153)+B1154</f>
        <v>11</v>
      </c>
    </row>
    <row r="1155" customFormat="false" ht="13.5" hidden="false" customHeight="false" outlineLevel="0" collapsed="false">
      <c r="A1155" s="0" t="str">
        <f aca="false">IF(成本费用登记表!$C253="","",成本费用登记表!$C253)</f>
        <v/>
      </c>
      <c r="B1155" s="0" t="n">
        <f aca="false">IF(A1155="",0,IF(MATCH(A1155,$A$4:$A$1925,0)=ROW()-3,1,0))</f>
        <v>0</v>
      </c>
      <c r="C1155" s="0" t="n">
        <f aca="false">N(C1154)+B1155</f>
        <v>11</v>
      </c>
    </row>
    <row r="1156" customFormat="false" ht="13.5" hidden="false" customHeight="false" outlineLevel="0" collapsed="false">
      <c r="A1156" s="0" t="str">
        <f aca="false">IF(成本费用登记表!$C254="","",成本费用登记表!$C254)</f>
        <v/>
      </c>
      <c r="B1156" s="0" t="n">
        <f aca="false">IF(A1156="",0,IF(MATCH(A1156,$A$4:$A$1925,0)=ROW()-3,1,0))</f>
        <v>0</v>
      </c>
      <c r="C1156" s="0" t="n">
        <f aca="false">N(C1155)+B1156</f>
        <v>11</v>
      </c>
    </row>
    <row r="1157" customFormat="false" ht="13.5" hidden="false" customHeight="false" outlineLevel="0" collapsed="false">
      <c r="A1157" s="0" t="str">
        <f aca="false">IF(成本费用登记表!$C255="","",成本费用登记表!$C255)</f>
        <v/>
      </c>
      <c r="B1157" s="0" t="n">
        <f aca="false">IF(A1157="",0,IF(MATCH(A1157,$A$4:$A$1925,0)=ROW()-3,1,0))</f>
        <v>0</v>
      </c>
      <c r="C1157" s="0" t="n">
        <f aca="false">N(C1156)+B1157</f>
        <v>11</v>
      </c>
    </row>
    <row r="1158" customFormat="false" ht="13.5" hidden="false" customHeight="false" outlineLevel="0" collapsed="false">
      <c r="A1158" s="0" t="str">
        <f aca="false">IF(成本费用登记表!$C256="","",成本费用登记表!$C256)</f>
        <v/>
      </c>
      <c r="B1158" s="0" t="n">
        <f aca="false">IF(A1158="",0,IF(MATCH(A1158,$A$4:$A$1925,0)=ROW()-3,1,0))</f>
        <v>0</v>
      </c>
      <c r="C1158" s="0" t="n">
        <f aca="false">N(C1157)+B1158</f>
        <v>11</v>
      </c>
    </row>
    <row r="1159" customFormat="false" ht="13.5" hidden="false" customHeight="false" outlineLevel="0" collapsed="false">
      <c r="A1159" s="0" t="str">
        <f aca="false">IF(成本费用登记表!$C257="","",成本费用登记表!$C257)</f>
        <v/>
      </c>
      <c r="B1159" s="0" t="n">
        <f aca="false">IF(A1159="",0,IF(MATCH(A1159,$A$4:$A$1925,0)=ROW()-3,1,0))</f>
        <v>0</v>
      </c>
      <c r="C1159" s="0" t="n">
        <f aca="false">N(C1158)+B1159</f>
        <v>11</v>
      </c>
    </row>
    <row r="1160" customFormat="false" ht="13.5" hidden="false" customHeight="false" outlineLevel="0" collapsed="false">
      <c r="A1160" s="0" t="str">
        <f aca="false">IF(成本费用登记表!$C258="","",成本费用登记表!$C258)</f>
        <v/>
      </c>
      <c r="B1160" s="0" t="n">
        <f aca="false">IF(A1160="",0,IF(MATCH(A1160,$A$4:$A$1925,0)=ROW()-3,1,0))</f>
        <v>0</v>
      </c>
      <c r="C1160" s="0" t="n">
        <f aca="false">N(C1159)+B1160</f>
        <v>11</v>
      </c>
    </row>
    <row r="1161" customFormat="false" ht="13.5" hidden="false" customHeight="false" outlineLevel="0" collapsed="false">
      <c r="A1161" s="0" t="str">
        <f aca="false">IF(成本费用登记表!$C259="","",成本费用登记表!$C259)</f>
        <v/>
      </c>
      <c r="B1161" s="0" t="n">
        <f aca="false">IF(A1161="",0,IF(MATCH(A1161,$A$4:$A$1925,0)=ROW()-3,1,0))</f>
        <v>0</v>
      </c>
      <c r="C1161" s="0" t="n">
        <f aca="false">N(C1160)+B1161</f>
        <v>11</v>
      </c>
    </row>
    <row r="1162" customFormat="false" ht="13.5" hidden="false" customHeight="false" outlineLevel="0" collapsed="false">
      <c r="A1162" s="0" t="str">
        <f aca="false">IF(成本费用登记表!$C260="","",成本费用登记表!$C260)</f>
        <v/>
      </c>
      <c r="B1162" s="0" t="n">
        <f aca="false">IF(A1162="",0,IF(MATCH(A1162,$A$4:$A$1925,0)=ROW()-3,1,0))</f>
        <v>0</v>
      </c>
      <c r="C1162" s="0" t="n">
        <f aca="false">N(C1161)+B1162</f>
        <v>11</v>
      </c>
    </row>
    <row r="1163" customFormat="false" ht="13.5" hidden="false" customHeight="false" outlineLevel="0" collapsed="false">
      <c r="A1163" s="0" t="str">
        <f aca="false">IF(成本费用登记表!$C261="","",成本费用登记表!$C261)</f>
        <v/>
      </c>
      <c r="B1163" s="0" t="n">
        <f aca="false">IF(A1163="",0,IF(MATCH(A1163,$A$4:$A$1925,0)=ROW()-3,1,0))</f>
        <v>0</v>
      </c>
      <c r="C1163" s="0" t="n">
        <f aca="false">N(C1162)+B1163</f>
        <v>11</v>
      </c>
    </row>
    <row r="1164" customFormat="false" ht="13.5" hidden="false" customHeight="false" outlineLevel="0" collapsed="false">
      <c r="A1164" s="0" t="str">
        <f aca="false">IF(成本费用登记表!$C262="","",成本费用登记表!$C262)</f>
        <v/>
      </c>
      <c r="B1164" s="0" t="n">
        <f aca="false">IF(A1164="",0,IF(MATCH(A1164,$A$4:$A$1925,0)=ROW()-3,1,0))</f>
        <v>0</v>
      </c>
      <c r="C1164" s="0" t="n">
        <f aca="false">N(C1163)+B1164</f>
        <v>11</v>
      </c>
    </row>
    <row r="1165" customFormat="false" ht="13.5" hidden="false" customHeight="false" outlineLevel="0" collapsed="false">
      <c r="A1165" s="0" t="str">
        <f aca="false">IF(成本费用登记表!$C263="","",成本费用登记表!$C263)</f>
        <v/>
      </c>
      <c r="B1165" s="0" t="n">
        <f aca="false">IF(A1165="",0,IF(MATCH(A1165,$A$4:$A$1925,0)=ROW()-3,1,0))</f>
        <v>0</v>
      </c>
      <c r="C1165" s="0" t="n">
        <f aca="false">N(C1164)+B1165</f>
        <v>11</v>
      </c>
    </row>
    <row r="1166" customFormat="false" ht="13.5" hidden="false" customHeight="false" outlineLevel="0" collapsed="false">
      <c r="A1166" s="0" t="str">
        <f aca="false">IF(成本费用登记表!$C264="","",成本费用登记表!$C264)</f>
        <v/>
      </c>
      <c r="B1166" s="0" t="n">
        <f aca="false">IF(A1166="",0,IF(MATCH(A1166,$A$4:$A$1925,0)=ROW()-3,1,0))</f>
        <v>0</v>
      </c>
      <c r="C1166" s="0" t="n">
        <f aca="false">N(C1165)+B1166</f>
        <v>11</v>
      </c>
    </row>
    <row r="1167" customFormat="false" ht="13.5" hidden="false" customHeight="false" outlineLevel="0" collapsed="false">
      <c r="A1167" s="0" t="str">
        <f aca="false">IF(成本费用登记表!$C265="","",成本费用登记表!$C265)</f>
        <v/>
      </c>
      <c r="B1167" s="0" t="n">
        <f aca="false">IF(A1167="",0,IF(MATCH(A1167,$A$4:$A$1925,0)=ROW()-3,1,0))</f>
        <v>0</v>
      </c>
      <c r="C1167" s="0" t="n">
        <f aca="false">N(C1166)+B1167</f>
        <v>11</v>
      </c>
    </row>
    <row r="1168" customFormat="false" ht="13.5" hidden="false" customHeight="false" outlineLevel="0" collapsed="false">
      <c r="A1168" s="0" t="str">
        <f aca="false">IF(成本费用登记表!$C266="","",成本费用登记表!$C266)</f>
        <v/>
      </c>
      <c r="B1168" s="0" t="n">
        <f aca="false">IF(A1168="",0,IF(MATCH(A1168,$A$4:$A$1925,0)=ROW()-3,1,0))</f>
        <v>0</v>
      </c>
      <c r="C1168" s="0" t="n">
        <f aca="false">N(C1167)+B1168</f>
        <v>11</v>
      </c>
    </row>
    <row r="1169" customFormat="false" ht="13.5" hidden="false" customHeight="false" outlineLevel="0" collapsed="false">
      <c r="A1169" s="0" t="str">
        <f aca="false">IF(成本费用登记表!$C267="","",成本费用登记表!$C267)</f>
        <v/>
      </c>
      <c r="B1169" s="0" t="n">
        <f aca="false">IF(A1169="",0,IF(MATCH(A1169,$A$4:$A$1925,0)=ROW()-3,1,0))</f>
        <v>0</v>
      </c>
      <c r="C1169" s="0" t="n">
        <f aca="false">N(C1168)+B1169</f>
        <v>11</v>
      </c>
    </row>
    <row r="1170" customFormat="false" ht="13.5" hidden="false" customHeight="false" outlineLevel="0" collapsed="false">
      <c r="A1170" s="0" t="str">
        <f aca="false">IF(成本费用登记表!$C268="","",成本费用登记表!$C268)</f>
        <v/>
      </c>
      <c r="B1170" s="0" t="n">
        <f aca="false">IF(A1170="",0,IF(MATCH(A1170,$A$4:$A$1925,0)=ROW()-3,1,0))</f>
        <v>0</v>
      </c>
      <c r="C1170" s="0" t="n">
        <f aca="false">N(C1169)+B1170</f>
        <v>11</v>
      </c>
    </row>
    <row r="1171" customFormat="false" ht="13.5" hidden="false" customHeight="false" outlineLevel="0" collapsed="false">
      <c r="A1171" s="0" t="str">
        <f aca="false">IF(成本费用登记表!$C269="","",成本费用登记表!$C269)</f>
        <v/>
      </c>
      <c r="B1171" s="0" t="n">
        <f aca="false">IF(A1171="",0,IF(MATCH(A1171,$A$4:$A$1925,0)=ROW()-3,1,0))</f>
        <v>0</v>
      </c>
      <c r="C1171" s="0" t="n">
        <f aca="false">N(C1170)+B1171</f>
        <v>11</v>
      </c>
    </row>
    <row r="1172" customFormat="false" ht="13.5" hidden="false" customHeight="false" outlineLevel="0" collapsed="false">
      <c r="A1172" s="0" t="str">
        <f aca="false">IF(成本费用登记表!$C270="","",成本费用登记表!$C270)</f>
        <v/>
      </c>
      <c r="B1172" s="0" t="n">
        <f aca="false">IF(A1172="",0,IF(MATCH(A1172,$A$4:$A$1925,0)=ROW()-3,1,0))</f>
        <v>0</v>
      </c>
      <c r="C1172" s="0" t="n">
        <f aca="false">N(C1171)+B1172</f>
        <v>11</v>
      </c>
    </row>
    <row r="1173" customFormat="false" ht="13.5" hidden="false" customHeight="false" outlineLevel="0" collapsed="false">
      <c r="A1173" s="0" t="str">
        <f aca="false">IF(成本费用登记表!$C271="","",成本费用登记表!$C271)</f>
        <v/>
      </c>
      <c r="B1173" s="0" t="n">
        <f aca="false">IF(A1173="",0,IF(MATCH(A1173,$A$4:$A$1925,0)=ROW()-3,1,0))</f>
        <v>0</v>
      </c>
      <c r="C1173" s="0" t="n">
        <f aca="false">N(C1172)+B1173</f>
        <v>11</v>
      </c>
    </row>
    <row r="1174" customFormat="false" ht="13.5" hidden="false" customHeight="false" outlineLevel="0" collapsed="false">
      <c r="A1174" s="0" t="str">
        <f aca="false">IF(成本费用登记表!$C272="","",成本费用登记表!$C272)</f>
        <v/>
      </c>
      <c r="B1174" s="0" t="n">
        <f aca="false">IF(A1174="",0,IF(MATCH(A1174,$A$4:$A$1925,0)=ROW()-3,1,0))</f>
        <v>0</v>
      </c>
      <c r="C1174" s="0" t="n">
        <f aca="false">N(C1173)+B1174</f>
        <v>11</v>
      </c>
    </row>
    <row r="1175" customFormat="false" ht="13.5" hidden="false" customHeight="false" outlineLevel="0" collapsed="false">
      <c r="A1175" s="0" t="str">
        <f aca="false">IF(成本费用登记表!$C273="","",成本费用登记表!$C273)</f>
        <v/>
      </c>
      <c r="B1175" s="0" t="n">
        <f aca="false">IF(A1175="",0,IF(MATCH(A1175,$A$4:$A$1925,0)=ROW()-3,1,0))</f>
        <v>0</v>
      </c>
      <c r="C1175" s="0" t="n">
        <f aca="false">N(C1174)+B1175</f>
        <v>11</v>
      </c>
    </row>
    <row r="1176" customFormat="false" ht="13.5" hidden="false" customHeight="false" outlineLevel="0" collapsed="false">
      <c r="A1176" s="0" t="str">
        <f aca="false">IF(成本费用登记表!$C274="","",成本费用登记表!$C274)</f>
        <v/>
      </c>
      <c r="B1176" s="0" t="n">
        <f aca="false">IF(A1176="",0,IF(MATCH(A1176,$A$4:$A$1925,0)=ROW()-3,1,0))</f>
        <v>0</v>
      </c>
      <c r="C1176" s="0" t="n">
        <f aca="false">N(C1175)+B1176</f>
        <v>11</v>
      </c>
    </row>
    <row r="1177" customFormat="false" ht="13.5" hidden="false" customHeight="false" outlineLevel="0" collapsed="false">
      <c r="A1177" s="0" t="str">
        <f aca="false">IF(成本费用登记表!$C275="","",成本费用登记表!$C275)</f>
        <v/>
      </c>
      <c r="B1177" s="0" t="n">
        <f aca="false">IF(A1177="",0,IF(MATCH(A1177,$A$4:$A$1925,0)=ROW()-3,1,0))</f>
        <v>0</v>
      </c>
      <c r="C1177" s="0" t="n">
        <f aca="false">N(C1176)+B1177</f>
        <v>11</v>
      </c>
    </row>
    <row r="1178" customFormat="false" ht="13.5" hidden="false" customHeight="false" outlineLevel="0" collapsed="false">
      <c r="A1178" s="0" t="str">
        <f aca="false">IF(成本费用登记表!$C276="","",成本费用登记表!$C276)</f>
        <v/>
      </c>
      <c r="B1178" s="0" t="n">
        <f aca="false">IF(A1178="",0,IF(MATCH(A1178,$A$4:$A$1925,0)=ROW()-3,1,0))</f>
        <v>0</v>
      </c>
      <c r="C1178" s="0" t="n">
        <f aca="false">N(C1177)+B1178</f>
        <v>11</v>
      </c>
    </row>
    <row r="1179" customFormat="false" ht="13.5" hidden="false" customHeight="false" outlineLevel="0" collapsed="false">
      <c r="A1179" s="0" t="str">
        <f aca="false">IF(成本费用登记表!$C277="","",成本费用登记表!$C277)</f>
        <v/>
      </c>
      <c r="B1179" s="0" t="n">
        <f aca="false">IF(A1179="",0,IF(MATCH(A1179,$A$4:$A$1925,0)=ROW()-3,1,0))</f>
        <v>0</v>
      </c>
      <c r="C1179" s="0" t="n">
        <f aca="false">N(C1178)+B1179</f>
        <v>11</v>
      </c>
    </row>
    <row r="1180" customFormat="false" ht="13.5" hidden="false" customHeight="false" outlineLevel="0" collapsed="false">
      <c r="A1180" s="0" t="str">
        <f aca="false">IF(成本费用登记表!$C278="","",成本费用登记表!$C278)</f>
        <v/>
      </c>
      <c r="B1180" s="0" t="n">
        <f aca="false">IF(A1180="",0,IF(MATCH(A1180,$A$4:$A$1925,0)=ROW()-3,1,0))</f>
        <v>0</v>
      </c>
      <c r="C1180" s="0" t="n">
        <f aca="false">N(C1179)+B1180</f>
        <v>11</v>
      </c>
    </row>
    <row r="1181" customFormat="false" ht="13.5" hidden="false" customHeight="false" outlineLevel="0" collapsed="false">
      <c r="A1181" s="0" t="str">
        <f aca="false">IF(成本费用登记表!$C279="","",成本费用登记表!$C279)</f>
        <v/>
      </c>
      <c r="B1181" s="0" t="n">
        <f aca="false">IF(A1181="",0,IF(MATCH(A1181,$A$4:$A$1925,0)=ROW()-3,1,0))</f>
        <v>0</v>
      </c>
      <c r="C1181" s="0" t="n">
        <f aca="false">N(C1180)+B1181</f>
        <v>11</v>
      </c>
    </row>
    <row r="1182" customFormat="false" ht="13.5" hidden="false" customHeight="false" outlineLevel="0" collapsed="false">
      <c r="A1182" s="0" t="str">
        <f aca="false">IF(成本费用登记表!$C280="","",成本费用登记表!$C280)</f>
        <v/>
      </c>
      <c r="B1182" s="0" t="n">
        <f aca="false">IF(A1182="",0,IF(MATCH(A1182,$A$4:$A$1925,0)=ROW()-3,1,0))</f>
        <v>0</v>
      </c>
      <c r="C1182" s="0" t="n">
        <f aca="false">N(C1181)+B1182</f>
        <v>11</v>
      </c>
    </row>
    <row r="1183" customFormat="false" ht="13.5" hidden="false" customHeight="false" outlineLevel="0" collapsed="false">
      <c r="A1183" s="0" t="str">
        <f aca="false">IF(成本费用登记表!$C281="","",成本费用登记表!$C281)</f>
        <v/>
      </c>
      <c r="B1183" s="0" t="n">
        <f aca="false">IF(A1183="",0,IF(MATCH(A1183,$A$4:$A$1925,0)=ROW()-3,1,0))</f>
        <v>0</v>
      </c>
      <c r="C1183" s="0" t="n">
        <f aca="false">N(C1182)+B1183</f>
        <v>11</v>
      </c>
    </row>
    <row r="1184" customFormat="false" ht="13.5" hidden="false" customHeight="false" outlineLevel="0" collapsed="false">
      <c r="A1184" s="0" t="str">
        <f aca="false">IF(成本费用登记表!$C282="","",成本费用登记表!$C282)</f>
        <v/>
      </c>
      <c r="B1184" s="0" t="n">
        <f aca="false">IF(A1184="",0,IF(MATCH(A1184,$A$4:$A$1925,0)=ROW()-3,1,0))</f>
        <v>0</v>
      </c>
      <c r="C1184" s="0" t="n">
        <f aca="false">N(C1183)+B1184</f>
        <v>11</v>
      </c>
    </row>
    <row r="1185" customFormat="false" ht="13.5" hidden="false" customHeight="false" outlineLevel="0" collapsed="false">
      <c r="A1185" s="0" t="str">
        <f aca="false">IF(成本费用登记表!$C283="","",成本费用登记表!$C283)</f>
        <v/>
      </c>
      <c r="B1185" s="0" t="n">
        <f aca="false">IF(A1185="",0,IF(MATCH(A1185,$A$4:$A$1925,0)=ROW()-3,1,0))</f>
        <v>0</v>
      </c>
      <c r="C1185" s="0" t="n">
        <f aca="false">N(C1184)+B1185</f>
        <v>11</v>
      </c>
    </row>
    <row r="1186" customFormat="false" ht="13.5" hidden="false" customHeight="false" outlineLevel="0" collapsed="false">
      <c r="A1186" s="0" t="str">
        <f aca="false">IF(成本费用登记表!$C284="","",成本费用登记表!$C284)</f>
        <v/>
      </c>
      <c r="B1186" s="0" t="n">
        <f aca="false">IF(A1186="",0,IF(MATCH(A1186,$A$4:$A$1925,0)=ROW()-3,1,0))</f>
        <v>0</v>
      </c>
      <c r="C1186" s="0" t="n">
        <f aca="false">N(C1185)+B1186</f>
        <v>11</v>
      </c>
    </row>
    <row r="1187" customFormat="false" ht="13.5" hidden="false" customHeight="false" outlineLevel="0" collapsed="false">
      <c r="A1187" s="0" t="str">
        <f aca="false">IF(成本费用登记表!$C285="","",成本费用登记表!$C285)</f>
        <v/>
      </c>
      <c r="B1187" s="0" t="n">
        <f aca="false">IF(A1187="",0,IF(MATCH(A1187,$A$4:$A$1925,0)=ROW()-3,1,0))</f>
        <v>0</v>
      </c>
      <c r="C1187" s="0" t="n">
        <f aca="false">N(C1186)+B1187</f>
        <v>11</v>
      </c>
    </row>
    <row r="1188" customFormat="false" ht="13.5" hidden="false" customHeight="false" outlineLevel="0" collapsed="false">
      <c r="A1188" s="0" t="str">
        <f aca="false">IF(成本费用登记表!$C286="","",成本费用登记表!$C286)</f>
        <v/>
      </c>
      <c r="B1188" s="0" t="n">
        <f aca="false">IF(A1188="",0,IF(MATCH(A1188,$A$4:$A$1925,0)=ROW()-3,1,0))</f>
        <v>0</v>
      </c>
      <c r="C1188" s="0" t="n">
        <f aca="false">N(C1187)+B1188</f>
        <v>11</v>
      </c>
    </row>
    <row r="1189" customFormat="false" ht="13.5" hidden="false" customHeight="false" outlineLevel="0" collapsed="false">
      <c r="A1189" s="0" t="str">
        <f aca="false">IF(成本费用登记表!$C287="","",成本费用登记表!$C287)</f>
        <v/>
      </c>
      <c r="B1189" s="0" t="n">
        <f aca="false">IF(A1189="",0,IF(MATCH(A1189,$A$4:$A$1925,0)=ROW()-3,1,0))</f>
        <v>0</v>
      </c>
      <c r="C1189" s="0" t="n">
        <f aca="false">N(C1188)+B1189</f>
        <v>11</v>
      </c>
    </row>
    <row r="1190" customFormat="false" ht="13.5" hidden="false" customHeight="false" outlineLevel="0" collapsed="false">
      <c r="A1190" s="0" t="str">
        <f aca="false">IF(成本费用登记表!$C288="","",成本费用登记表!$C288)</f>
        <v/>
      </c>
      <c r="B1190" s="0" t="n">
        <f aca="false">IF(A1190="",0,IF(MATCH(A1190,$A$4:$A$1925,0)=ROW()-3,1,0))</f>
        <v>0</v>
      </c>
      <c r="C1190" s="0" t="n">
        <f aca="false">N(C1189)+B1190</f>
        <v>11</v>
      </c>
    </row>
    <row r="1191" customFormat="false" ht="13.5" hidden="false" customHeight="false" outlineLevel="0" collapsed="false">
      <c r="A1191" s="0" t="str">
        <f aca="false">IF(成本费用登记表!$C289="","",成本费用登记表!$C289)</f>
        <v/>
      </c>
      <c r="B1191" s="0" t="n">
        <f aca="false">IF(A1191="",0,IF(MATCH(A1191,$A$4:$A$1925,0)=ROW()-3,1,0))</f>
        <v>0</v>
      </c>
      <c r="C1191" s="0" t="n">
        <f aca="false">N(C1190)+B1191</f>
        <v>11</v>
      </c>
    </row>
    <row r="1192" customFormat="false" ht="13.5" hidden="false" customHeight="false" outlineLevel="0" collapsed="false">
      <c r="A1192" s="0" t="str">
        <f aca="false">IF(成本费用登记表!$C290="","",成本费用登记表!$C290)</f>
        <v/>
      </c>
      <c r="B1192" s="0" t="n">
        <f aca="false">IF(A1192="",0,IF(MATCH(A1192,$A$4:$A$1925,0)=ROW()-3,1,0))</f>
        <v>0</v>
      </c>
      <c r="C1192" s="0" t="n">
        <f aca="false">N(C1191)+B1192</f>
        <v>11</v>
      </c>
    </row>
    <row r="1193" customFormat="false" ht="13.5" hidden="false" customHeight="false" outlineLevel="0" collapsed="false">
      <c r="A1193" s="0" t="str">
        <f aca="false">IF(成本费用登记表!$C291="","",成本费用登记表!$C291)</f>
        <v/>
      </c>
      <c r="B1193" s="0" t="n">
        <f aca="false">IF(A1193="",0,IF(MATCH(A1193,$A$4:$A$1925,0)=ROW()-3,1,0))</f>
        <v>0</v>
      </c>
      <c r="C1193" s="0" t="n">
        <f aca="false">N(C1192)+B1193</f>
        <v>11</v>
      </c>
    </row>
    <row r="1194" customFormat="false" ht="13.5" hidden="false" customHeight="false" outlineLevel="0" collapsed="false">
      <c r="A1194" s="0" t="str">
        <f aca="false">IF(成本费用登记表!$C292="","",成本费用登记表!$C292)</f>
        <v/>
      </c>
      <c r="B1194" s="0" t="n">
        <f aca="false">IF(A1194="",0,IF(MATCH(A1194,$A$4:$A$1925,0)=ROW()-3,1,0))</f>
        <v>0</v>
      </c>
      <c r="C1194" s="0" t="n">
        <f aca="false">N(C1193)+B1194</f>
        <v>11</v>
      </c>
    </row>
    <row r="1195" customFormat="false" ht="13.5" hidden="false" customHeight="false" outlineLevel="0" collapsed="false">
      <c r="A1195" s="0" t="str">
        <f aca="false">IF(成本费用登记表!$C293="","",成本费用登记表!$C293)</f>
        <v/>
      </c>
      <c r="B1195" s="0" t="n">
        <f aca="false">IF(A1195="",0,IF(MATCH(A1195,$A$4:$A$1925,0)=ROW()-3,1,0))</f>
        <v>0</v>
      </c>
      <c r="C1195" s="0" t="n">
        <f aca="false">N(C1194)+B1195</f>
        <v>11</v>
      </c>
    </row>
    <row r="1196" customFormat="false" ht="13.5" hidden="false" customHeight="false" outlineLevel="0" collapsed="false">
      <c r="A1196" s="0" t="str">
        <f aca="false">IF(成本费用登记表!$C294="","",成本费用登记表!$C294)</f>
        <v/>
      </c>
      <c r="B1196" s="0" t="n">
        <f aca="false">IF(A1196="",0,IF(MATCH(A1196,$A$4:$A$1925,0)=ROW()-3,1,0))</f>
        <v>0</v>
      </c>
      <c r="C1196" s="0" t="n">
        <f aca="false">N(C1195)+B1196</f>
        <v>11</v>
      </c>
    </row>
    <row r="1197" customFormat="false" ht="13.5" hidden="false" customHeight="false" outlineLevel="0" collapsed="false">
      <c r="A1197" s="0" t="str">
        <f aca="false">IF(成本费用登记表!$C295="","",成本费用登记表!$C295)</f>
        <v/>
      </c>
      <c r="B1197" s="0" t="n">
        <f aca="false">IF(A1197="",0,IF(MATCH(A1197,$A$4:$A$1925,0)=ROW()-3,1,0))</f>
        <v>0</v>
      </c>
      <c r="C1197" s="0" t="n">
        <f aca="false">N(C1196)+B1197</f>
        <v>11</v>
      </c>
    </row>
    <row r="1198" customFormat="false" ht="13.5" hidden="false" customHeight="false" outlineLevel="0" collapsed="false">
      <c r="A1198" s="0" t="str">
        <f aca="false">IF(成本费用登记表!$C296="","",成本费用登记表!$C296)</f>
        <v/>
      </c>
      <c r="B1198" s="0" t="n">
        <f aca="false">IF(A1198="",0,IF(MATCH(A1198,$A$4:$A$1925,0)=ROW()-3,1,0))</f>
        <v>0</v>
      </c>
      <c r="C1198" s="0" t="n">
        <f aca="false">N(C1197)+B1198</f>
        <v>11</v>
      </c>
    </row>
    <row r="1199" customFormat="false" ht="13.5" hidden="false" customHeight="false" outlineLevel="0" collapsed="false">
      <c r="A1199" s="0" t="str">
        <f aca="false">IF(成本费用登记表!$C297="","",成本费用登记表!$C297)</f>
        <v/>
      </c>
      <c r="B1199" s="0" t="n">
        <f aca="false">IF(A1199="",0,IF(MATCH(A1199,$A$4:$A$1925,0)=ROW()-3,1,0))</f>
        <v>0</v>
      </c>
      <c r="C1199" s="0" t="n">
        <f aca="false">N(C1198)+B1199</f>
        <v>11</v>
      </c>
    </row>
    <row r="1200" customFormat="false" ht="13.5" hidden="false" customHeight="false" outlineLevel="0" collapsed="false">
      <c r="A1200" s="0" t="str">
        <f aca="false">IF(成本费用登记表!$C298="","",成本费用登记表!$C298)</f>
        <v/>
      </c>
      <c r="B1200" s="0" t="n">
        <f aca="false">IF(A1200="",0,IF(MATCH(A1200,$A$4:$A$1925,0)=ROW()-3,1,0))</f>
        <v>0</v>
      </c>
      <c r="C1200" s="0" t="n">
        <f aca="false">N(C1199)+B1200</f>
        <v>11</v>
      </c>
    </row>
    <row r="1201" customFormat="false" ht="13.5" hidden="false" customHeight="false" outlineLevel="0" collapsed="false">
      <c r="A1201" s="0" t="str">
        <f aca="false">IF(成本费用登记表!$C299="","",成本费用登记表!$C299)</f>
        <v/>
      </c>
      <c r="B1201" s="0" t="n">
        <f aca="false">IF(A1201="",0,IF(MATCH(A1201,$A$4:$A$1925,0)=ROW()-3,1,0))</f>
        <v>0</v>
      </c>
      <c r="C1201" s="0" t="n">
        <f aca="false">N(C1200)+B1201</f>
        <v>11</v>
      </c>
    </row>
    <row r="1202" customFormat="false" ht="13.5" hidden="false" customHeight="false" outlineLevel="0" collapsed="false">
      <c r="A1202" s="0" t="str">
        <f aca="false">IF(成本费用登记表!$C300="","",成本费用登记表!$C300)</f>
        <v/>
      </c>
      <c r="B1202" s="0" t="n">
        <f aca="false">IF(A1202="",0,IF(MATCH(A1202,$A$4:$A$1925,0)=ROW()-3,1,0))</f>
        <v>0</v>
      </c>
      <c r="C1202" s="0" t="n">
        <f aca="false">N(C1201)+B1202</f>
        <v>11</v>
      </c>
    </row>
    <row r="1203" customFormat="false" ht="13.5" hidden="false" customHeight="false" outlineLevel="0" collapsed="false">
      <c r="A1203" s="0" t="str">
        <f aca="false">IF(成本费用登记表!$C301="","",成本费用登记表!$C301)</f>
        <v/>
      </c>
      <c r="B1203" s="0" t="n">
        <f aca="false">IF(A1203="",0,IF(MATCH(A1203,$A$4:$A$1925,0)=ROW()-3,1,0))</f>
        <v>0</v>
      </c>
      <c r="C1203" s="0" t="n">
        <f aca="false">N(C1202)+B1203</f>
        <v>11</v>
      </c>
    </row>
    <row r="1204" customFormat="false" ht="13.5" hidden="false" customHeight="false" outlineLevel="0" collapsed="false">
      <c r="A1204" s="0" t="str">
        <f aca="false">IF(成本费用登记表!$C302="","",成本费用登记表!$C302)</f>
        <v/>
      </c>
      <c r="B1204" s="0" t="n">
        <f aca="false">IF(A1204="",0,IF(MATCH(A1204,$A$4:$A$1925,0)=ROW()-3,1,0))</f>
        <v>0</v>
      </c>
      <c r="C1204" s="0" t="n">
        <f aca="false">N(C1203)+B1204</f>
        <v>11</v>
      </c>
    </row>
    <row r="1205" customFormat="false" ht="13.5" hidden="false" customHeight="false" outlineLevel="0" collapsed="false">
      <c r="A1205" s="0" t="str">
        <f aca="false">IF(成本费用登记表!$C303="","",成本费用登记表!$C303)</f>
        <v/>
      </c>
      <c r="B1205" s="0" t="n">
        <f aca="false">IF(A1205="",0,IF(MATCH(A1205,$A$4:$A$1925,0)=ROW()-3,1,0))</f>
        <v>0</v>
      </c>
      <c r="C1205" s="0" t="n">
        <f aca="false">N(C1204)+B1205</f>
        <v>11</v>
      </c>
    </row>
    <row r="1206" customFormat="false" ht="13.5" hidden="false" customHeight="false" outlineLevel="0" collapsed="false">
      <c r="A1206" s="0" t="str">
        <f aca="false">IF(记账凭证!$J3010="","",记账凭证!$J3010)</f>
        <v/>
      </c>
      <c r="B1206" s="0" t="n">
        <f aca="false">IF(A1206="",0,IF(MATCH(A1206,$A$4:$A$1925,0)=ROW()-3,1,0))</f>
        <v>0</v>
      </c>
      <c r="C1206" s="0" t="n">
        <f aca="false">N(C1205)+B1206</f>
        <v>11</v>
      </c>
    </row>
    <row r="1207" customFormat="false" ht="13.5" hidden="false" customHeight="false" outlineLevel="0" collapsed="false">
      <c r="A1207" s="0" t="str">
        <f aca="false">IF(记账凭证!$J3011="","",记账凭证!$J3011)</f>
        <v/>
      </c>
      <c r="B1207" s="0" t="n">
        <f aca="false">IF(A1207="",0,IF(MATCH(A1207,$A$4:$A$1925,0)=ROW()-3,1,0))</f>
        <v>0</v>
      </c>
      <c r="C1207" s="0" t="n">
        <f aca="false">N(C1206)+B1207</f>
        <v>11</v>
      </c>
    </row>
    <row r="1208" customFormat="false" ht="13.5" hidden="false" customHeight="false" outlineLevel="0" collapsed="false">
      <c r="A1208" s="0" t="str">
        <f aca="false">IF(记账凭证!$J3012="","",记账凭证!$J3012)</f>
        <v/>
      </c>
      <c r="B1208" s="0" t="n">
        <f aca="false">IF(A1208="",0,IF(MATCH(A1208,$A$4:$A$1925,0)=ROW()-3,1,0))</f>
        <v>0</v>
      </c>
      <c r="C1208" s="0" t="n">
        <f aca="false">N(C1207)+B1208</f>
        <v>11</v>
      </c>
    </row>
    <row r="1209" customFormat="false" ht="13.5" hidden="false" customHeight="false" outlineLevel="0" collapsed="false">
      <c r="A1209" s="0" t="str">
        <f aca="false">IF(记账凭证!$J3013="","",记账凭证!$J3013)</f>
        <v/>
      </c>
      <c r="B1209" s="0" t="n">
        <f aca="false">IF(A1209="",0,IF(MATCH(A1209,$A$4:$A$1925,0)=ROW()-3,1,0))</f>
        <v>0</v>
      </c>
      <c r="C1209" s="0" t="n">
        <f aca="false">N(C1208)+B1209</f>
        <v>11</v>
      </c>
    </row>
    <row r="1210" customFormat="false" ht="13.5" hidden="false" customHeight="false" outlineLevel="0" collapsed="false">
      <c r="A1210" s="0" t="str">
        <f aca="false">IF(记账凭证!$J3014="","",记账凭证!$J3014)</f>
        <v/>
      </c>
      <c r="B1210" s="0" t="n">
        <f aca="false">IF(A1210="",0,IF(MATCH(A1210,$A$4:$A$1925,0)=ROW()-3,1,0))</f>
        <v>0</v>
      </c>
      <c r="C1210" s="0" t="n">
        <f aca="false">N(C1209)+B1210</f>
        <v>11</v>
      </c>
    </row>
    <row r="1211" customFormat="false" ht="13.5" hidden="false" customHeight="false" outlineLevel="0" collapsed="false">
      <c r="A1211" s="0" t="str">
        <f aca="false">IF(记账凭证!$J3015="","",记账凭证!$J3015)</f>
        <v/>
      </c>
      <c r="B1211" s="0" t="n">
        <f aca="false">IF(A1211="",0,IF(MATCH(A1211,$A$4:$A$1925,0)=ROW()-3,1,0))</f>
        <v>0</v>
      </c>
      <c r="C1211" s="0" t="n">
        <f aca="false">N(C1210)+B1211</f>
        <v>11</v>
      </c>
    </row>
    <row r="1212" customFormat="false" ht="13.5" hidden="false" customHeight="false" outlineLevel="0" collapsed="false">
      <c r="A1212" s="0" t="str">
        <f aca="false">IF(记账凭证!$J3016="","",记账凭证!$J3016)</f>
        <v/>
      </c>
      <c r="B1212" s="0" t="n">
        <f aca="false">IF(A1212="",0,IF(MATCH(A1212,$A$4:$A$1925,0)=ROW()-3,1,0))</f>
        <v>0</v>
      </c>
      <c r="C1212" s="0" t="n">
        <f aca="false">N(C1211)+B1212</f>
        <v>11</v>
      </c>
    </row>
    <row r="1213" customFormat="false" ht="13.5" hidden="false" customHeight="false" outlineLevel="0" collapsed="false">
      <c r="A1213" s="0" t="str">
        <f aca="false">IF(记账凭证!$J3017="","",记账凭证!$J3017)</f>
        <v/>
      </c>
      <c r="B1213" s="0" t="n">
        <f aca="false">IF(A1213="",0,IF(MATCH(A1213,$A$4:$A$1925,0)=ROW()-3,1,0))</f>
        <v>0</v>
      </c>
      <c r="C1213" s="0" t="n">
        <f aca="false">N(C1212)+B1213</f>
        <v>11</v>
      </c>
    </row>
    <row r="1214" customFormat="false" ht="13.5" hidden="false" customHeight="false" outlineLevel="0" collapsed="false">
      <c r="A1214" s="0" t="str">
        <f aca="false">IF(记账凭证!$J3018="","",记账凭证!$J3018)</f>
        <v/>
      </c>
      <c r="B1214" s="0" t="n">
        <f aca="false">IF(A1214="",0,IF(MATCH(A1214,$A$4:$A$1925,0)=ROW()-3,1,0))</f>
        <v>0</v>
      </c>
      <c r="C1214" s="0" t="n">
        <f aca="false">N(C1213)+B1214</f>
        <v>11</v>
      </c>
    </row>
    <row r="1215" customFormat="false" ht="13.5" hidden="false" customHeight="false" outlineLevel="0" collapsed="false">
      <c r="A1215" s="0" t="str">
        <f aca="false">IF(记账凭证!$J3019="","",记账凭证!$J3019)</f>
        <v/>
      </c>
      <c r="B1215" s="0" t="n">
        <f aca="false">IF(A1215="",0,IF(MATCH(A1215,$A$4:$A$1925,0)=ROW()-3,1,0))</f>
        <v>0</v>
      </c>
      <c r="C1215" s="0" t="n">
        <f aca="false">N(C1214)+B1215</f>
        <v>11</v>
      </c>
    </row>
    <row r="1216" customFormat="false" ht="13.5" hidden="false" customHeight="false" outlineLevel="0" collapsed="false">
      <c r="A1216" s="0" t="str">
        <f aca="false">IF(记账凭证!$J3020="","",记账凭证!$J3020)</f>
        <v/>
      </c>
      <c r="B1216" s="0" t="n">
        <f aca="false">IF(A1216="",0,IF(MATCH(A1216,$A$4:$A$1925,0)=ROW()-3,1,0))</f>
        <v>0</v>
      </c>
      <c r="C1216" s="0" t="n">
        <f aca="false">N(C1215)+B1216</f>
        <v>11</v>
      </c>
    </row>
    <row r="1217" customFormat="false" ht="13.5" hidden="false" customHeight="false" outlineLevel="0" collapsed="false">
      <c r="A1217" s="0" t="str">
        <f aca="false">IF(记账凭证!$J3021="","",记账凭证!$J3021)</f>
        <v/>
      </c>
      <c r="B1217" s="0" t="n">
        <f aca="false">IF(A1217="",0,IF(MATCH(A1217,$A$4:$A$1925,0)=ROW()-3,1,0))</f>
        <v>0</v>
      </c>
      <c r="C1217" s="0" t="n">
        <f aca="false">N(C1216)+B1217</f>
        <v>11</v>
      </c>
    </row>
    <row r="1218" customFormat="false" ht="13.5" hidden="false" customHeight="false" outlineLevel="0" collapsed="false">
      <c r="A1218" s="0" t="str">
        <f aca="false">IF(记账凭证!$J3022="","",记账凭证!$J3022)</f>
        <v/>
      </c>
      <c r="B1218" s="0" t="n">
        <f aca="false">IF(A1218="",0,IF(MATCH(A1218,$A$4:$A$1925,0)=ROW()-3,1,0))</f>
        <v>0</v>
      </c>
      <c r="C1218" s="0" t="n">
        <f aca="false">N(C1217)+B1218</f>
        <v>11</v>
      </c>
    </row>
    <row r="1219" customFormat="false" ht="13.5" hidden="false" customHeight="false" outlineLevel="0" collapsed="false">
      <c r="A1219" s="0" t="str">
        <f aca="false">IF(记账凭证!$J3023="","",记账凭证!$J3023)</f>
        <v/>
      </c>
      <c r="B1219" s="0" t="n">
        <f aca="false">IF(A1219="",0,IF(MATCH(A1219,$A$4:$A$1925,0)=ROW()-3,1,0))</f>
        <v>0</v>
      </c>
      <c r="C1219" s="0" t="n">
        <f aca="false">N(C1218)+B1219</f>
        <v>11</v>
      </c>
    </row>
    <row r="1220" customFormat="false" ht="13.5" hidden="false" customHeight="false" outlineLevel="0" collapsed="false">
      <c r="A1220" s="0" t="str">
        <f aca="false">IF(记账凭证!$J3024="","",记账凭证!$J3024)</f>
        <v/>
      </c>
      <c r="B1220" s="0" t="n">
        <f aca="false">IF(A1220="",0,IF(MATCH(A1220,$A$4:$A$1925,0)=ROW()-3,1,0))</f>
        <v>0</v>
      </c>
      <c r="C1220" s="0" t="n">
        <f aca="false">N(C1219)+B1220</f>
        <v>11</v>
      </c>
    </row>
    <row r="1221" customFormat="false" ht="13.5" hidden="false" customHeight="false" outlineLevel="0" collapsed="false">
      <c r="A1221" s="0" t="str">
        <f aca="false">IF(记账凭证!$J3025="","",记账凭证!$J3025)</f>
        <v/>
      </c>
      <c r="B1221" s="0" t="n">
        <f aca="false">IF(A1221="",0,IF(MATCH(A1221,$A$4:$A$1925,0)=ROW()-3,1,0))</f>
        <v>0</v>
      </c>
      <c r="C1221" s="0" t="n">
        <f aca="false">N(C1220)+B1221</f>
        <v>11</v>
      </c>
    </row>
    <row r="1222" customFormat="false" ht="13.5" hidden="false" customHeight="false" outlineLevel="0" collapsed="false">
      <c r="A1222" s="0" t="str">
        <f aca="false">IF(记账凭证!$J3026="","",记账凭证!$J3026)</f>
        <v/>
      </c>
      <c r="B1222" s="0" t="n">
        <f aca="false">IF(A1222="",0,IF(MATCH(A1222,$A$4:$A$1925,0)=ROW()-3,1,0))</f>
        <v>0</v>
      </c>
      <c r="C1222" s="0" t="n">
        <f aca="false">N(C1221)+B1222</f>
        <v>11</v>
      </c>
    </row>
    <row r="1223" customFormat="false" ht="13.5" hidden="false" customHeight="false" outlineLevel="0" collapsed="false">
      <c r="A1223" s="0" t="str">
        <f aca="false">IF(记账凭证!$J3027="","",记账凭证!$J3027)</f>
        <v/>
      </c>
      <c r="B1223" s="0" t="n">
        <f aca="false">IF(A1223="",0,IF(MATCH(A1223,$A$4:$A$1925,0)=ROW()-3,1,0))</f>
        <v>0</v>
      </c>
      <c r="C1223" s="0" t="n">
        <f aca="false">N(C1222)+B1223</f>
        <v>11</v>
      </c>
    </row>
    <row r="1224" customFormat="false" ht="13.5" hidden="false" customHeight="false" outlineLevel="0" collapsed="false">
      <c r="A1224" s="0" t="str">
        <f aca="false">IF(记账凭证!$J3028="","",记账凭证!$J3028)</f>
        <v/>
      </c>
      <c r="B1224" s="0" t="n">
        <f aca="false">IF(A1224="",0,IF(MATCH(A1224,$A$4:$A$1925,0)=ROW()-3,1,0))</f>
        <v>0</v>
      </c>
      <c r="C1224" s="0" t="n">
        <f aca="false">N(C1223)+B1224</f>
        <v>11</v>
      </c>
    </row>
    <row r="1225" customFormat="false" ht="13.5" hidden="false" customHeight="false" outlineLevel="0" collapsed="false">
      <c r="A1225" s="0" t="str">
        <f aca="false">IF(记账凭证!$J3029="","",记账凭证!$J3029)</f>
        <v/>
      </c>
      <c r="B1225" s="0" t="n">
        <f aca="false">IF(A1225="",0,IF(MATCH(A1225,$A$4:$A$1925,0)=ROW()-3,1,0))</f>
        <v>0</v>
      </c>
      <c r="C1225" s="0" t="n">
        <f aca="false">N(C1224)+B1225</f>
        <v>11</v>
      </c>
    </row>
    <row r="1226" customFormat="false" ht="13.5" hidden="false" customHeight="false" outlineLevel="0" collapsed="false">
      <c r="A1226" s="0" t="str">
        <f aca="false">IF(记账凭证!$J3030="","",记账凭证!$J3030)</f>
        <v/>
      </c>
      <c r="B1226" s="0" t="n">
        <f aca="false">IF(A1226="",0,IF(MATCH(A1226,$A$4:$A$1925,0)=ROW()-3,1,0))</f>
        <v>0</v>
      </c>
      <c r="C1226" s="0" t="n">
        <f aca="false">N(C1225)+B1226</f>
        <v>11</v>
      </c>
    </row>
    <row r="1227" customFormat="false" ht="13.5" hidden="false" customHeight="false" outlineLevel="0" collapsed="false">
      <c r="A1227" s="0" t="str">
        <f aca="false">IF(记账凭证!$J3031="","",记账凭证!$J3031)</f>
        <v/>
      </c>
      <c r="B1227" s="0" t="n">
        <f aca="false">IF(A1227="",0,IF(MATCH(A1227,$A$4:$A$1925,0)=ROW()-3,1,0))</f>
        <v>0</v>
      </c>
      <c r="C1227" s="0" t="n">
        <f aca="false">N(C1226)+B1227</f>
        <v>11</v>
      </c>
    </row>
    <row r="1228" customFormat="false" ht="13.5" hidden="false" customHeight="false" outlineLevel="0" collapsed="false">
      <c r="A1228" s="0" t="str">
        <f aca="false">IF(记账凭证!$J3032="","",记账凭证!$J3032)</f>
        <v/>
      </c>
      <c r="B1228" s="0" t="n">
        <f aca="false">IF(A1228="",0,IF(MATCH(A1228,$A$4:$A$1925,0)=ROW()-3,1,0))</f>
        <v>0</v>
      </c>
      <c r="C1228" s="0" t="n">
        <f aca="false">N(C1227)+B1228</f>
        <v>11</v>
      </c>
    </row>
    <row r="1229" customFormat="false" ht="13.5" hidden="false" customHeight="false" outlineLevel="0" collapsed="false">
      <c r="A1229" s="0" t="str">
        <f aca="false">IF(记账凭证!$J3033="","",记账凭证!$J3033)</f>
        <v/>
      </c>
      <c r="B1229" s="0" t="n">
        <f aca="false">IF(A1229="",0,IF(MATCH(A1229,$A$4:$A$1925,0)=ROW()-3,1,0))</f>
        <v>0</v>
      </c>
      <c r="C1229" s="0" t="n">
        <f aca="false">N(C1228)+B1229</f>
        <v>11</v>
      </c>
    </row>
    <row r="1230" customFormat="false" ht="13.5" hidden="false" customHeight="false" outlineLevel="0" collapsed="false">
      <c r="A1230" s="0" t="str">
        <f aca="false">IF(记账凭证!$J3034="","",记账凭证!$J3034)</f>
        <v/>
      </c>
      <c r="B1230" s="0" t="n">
        <f aca="false">IF(A1230="",0,IF(MATCH(A1230,$A$4:$A$1925,0)=ROW()-3,1,0))</f>
        <v>0</v>
      </c>
      <c r="C1230" s="0" t="n">
        <f aca="false">N(C1229)+B1230</f>
        <v>11</v>
      </c>
    </row>
    <row r="1231" customFormat="false" ht="13.5" hidden="false" customHeight="false" outlineLevel="0" collapsed="false">
      <c r="A1231" s="0" t="str">
        <f aca="false">IF(记账凭证!$J3035="","",记账凭证!$J3035)</f>
        <v/>
      </c>
      <c r="B1231" s="0" t="n">
        <f aca="false">IF(A1231="",0,IF(MATCH(A1231,$A$4:$A$1925,0)=ROW()-3,1,0))</f>
        <v>0</v>
      </c>
      <c r="C1231" s="0" t="n">
        <f aca="false">N(C1230)+B1231</f>
        <v>11</v>
      </c>
    </row>
    <row r="1232" customFormat="false" ht="13.5" hidden="false" customHeight="false" outlineLevel="0" collapsed="false">
      <c r="A1232" s="0" t="str">
        <f aca="false">IF(记账凭证!$J3036="","",记账凭证!$J3036)</f>
        <v/>
      </c>
      <c r="B1232" s="0" t="n">
        <f aca="false">IF(A1232="",0,IF(MATCH(A1232,$A$4:$A$1925,0)=ROW()-3,1,0))</f>
        <v>0</v>
      </c>
      <c r="C1232" s="0" t="n">
        <f aca="false">N(C1231)+B1232</f>
        <v>11</v>
      </c>
    </row>
    <row r="1233" customFormat="false" ht="13.5" hidden="false" customHeight="false" outlineLevel="0" collapsed="false">
      <c r="A1233" s="0" t="str">
        <f aca="false">IF(记账凭证!$J3037="","",记账凭证!$J3037)</f>
        <v/>
      </c>
      <c r="B1233" s="0" t="n">
        <f aca="false">IF(A1233="",0,IF(MATCH(A1233,$A$4:$A$1925,0)=ROW()-3,1,0))</f>
        <v>0</v>
      </c>
      <c r="C1233" s="0" t="n">
        <f aca="false">N(C1232)+B1233</f>
        <v>11</v>
      </c>
    </row>
    <row r="1234" customFormat="false" ht="13.5" hidden="false" customHeight="false" outlineLevel="0" collapsed="false">
      <c r="A1234" s="0" t="str">
        <f aca="false">IF(记账凭证!$J3038="","",记账凭证!$J3038)</f>
        <v/>
      </c>
      <c r="B1234" s="0" t="n">
        <f aca="false">IF(A1234="",0,IF(MATCH(A1234,$A$4:$A$1925,0)=ROW()-3,1,0))</f>
        <v>0</v>
      </c>
      <c r="C1234" s="0" t="n">
        <f aca="false">N(C1233)+B1234</f>
        <v>11</v>
      </c>
    </row>
    <row r="1235" customFormat="false" ht="13.5" hidden="false" customHeight="false" outlineLevel="0" collapsed="false">
      <c r="A1235" s="0" t="str">
        <f aca="false">IF(记账凭证!$J3039="","",记账凭证!$J3039)</f>
        <v/>
      </c>
      <c r="B1235" s="0" t="n">
        <f aca="false">IF(A1235="",0,IF(MATCH(A1235,$A$4:$A$1925,0)=ROW()-3,1,0))</f>
        <v>0</v>
      </c>
      <c r="C1235" s="0" t="n">
        <f aca="false">N(C1234)+B1235</f>
        <v>11</v>
      </c>
    </row>
    <row r="1236" customFormat="false" ht="13.5" hidden="false" customHeight="false" outlineLevel="0" collapsed="false">
      <c r="A1236" s="0" t="str">
        <f aca="false">IF(记账凭证!$J3040="","",记账凭证!$J3040)</f>
        <v/>
      </c>
      <c r="B1236" s="0" t="n">
        <f aca="false">IF(A1236="",0,IF(MATCH(A1236,$A$4:$A$1925,0)=ROW()-3,1,0))</f>
        <v>0</v>
      </c>
      <c r="C1236" s="0" t="n">
        <f aca="false">N(C1235)+B1236</f>
        <v>11</v>
      </c>
    </row>
    <row r="1237" customFormat="false" ht="13.5" hidden="false" customHeight="false" outlineLevel="0" collapsed="false">
      <c r="A1237" s="0" t="str">
        <f aca="false">IF(记账凭证!$J3041="","",记账凭证!$J3041)</f>
        <v/>
      </c>
      <c r="B1237" s="0" t="n">
        <f aca="false">IF(A1237="",0,IF(MATCH(A1237,$A$4:$A$1925,0)=ROW()-3,1,0))</f>
        <v>0</v>
      </c>
      <c r="C1237" s="0" t="n">
        <f aca="false">N(C1236)+B1237</f>
        <v>11</v>
      </c>
    </row>
    <row r="1238" customFormat="false" ht="13.5" hidden="false" customHeight="false" outlineLevel="0" collapsed="false">
      <c r="A1238" s="0" t="str">
        <f aca="false">IF(记账凭证!$J3042="","",记账凭证!$J3042)</f>
        <v/>
      </c>
      <c r="B1238" s="0" t="n">
        <f aca="false">IF(A1238="",0,IF(MATCH(A1238,$A$4:$A$1925,0)=ROW()-3,1,0))</f>
        <v>0</v>
      </c>
      <c r="C1238" s="0" t="n">
        <f aca="false">N(C1237)+B1238</f>
        <v>11</v>
      </c>
    </row>
    <row r="1239" customFormat="false" ht="13.5" hidden="false" customHeight="false" outlineLevel="0" collapsed="false">
      <c r="A1239" s="0" t="str">
        <f aca="false">IF(记账凭证!$J3043="","",记账凭证!$J3043)</f>
        <v/>
      </c>
      <c r="B1239" s="0" t="n">
        <f aca="false">IF(A1239="",0,IF(MATCH(A1239,$A$4:$A$1925,0)=ROW()-3,1,0))</f>
        <v>0</v>
      </c>
      <c r="C1239" s="0" t="n">
        <f aca="false">N(C1238)+B1239</f>
        <v>11</v>
      </c>
    </row>
    <row r="1240" customFormat="false" ht="13.5" hidden="false" customHeight="false" outlineLevel="0" collapsed="false">
      <c r="A1240" s="0" t="str">
        <f aca="false">IF(记账凭证!$J3044="","",记账凭证!$J3044)</f>
        <v/>
      </c>
      <c r="B1240" s="0" t="n">
        <f aca="false">IF(A1240="",0,IF(MATCH(A1240,$A$4:$A$1925,0)=ROW()-3,1,0))</f>
        <v>0</v>
      </c>
      <c r="C1240" s="0" t="n">
        <f aca="false">N(C1239)+B1240</f>
        <v>11</v>
      </c>
    </row>
    <row r="1241" customFormat="false" ht="13.5" hidden="false" customHeight="false" outlineLevel="0" collapsed="false">
      <c r="A1241" s="0" t="str">
        <f aca="false">IF(记账凭证!$J3045="","",记账凭证!$J3045)</f>
        <v/>
      </c>
      <c r="B1241" s="0" t="n">
        <f aca="false">IF(A1241="",0,IF(MATCH(A1241,$A$4:$A$1925,0)=ROW()-3,1,0))</f>
        <v>0</v>
      </c>
      <c r="C1241" s="0" t="n">
        <f aca="false">N(C1240)+B1241</f>
        <v>11</v>
      </c>
    </row>
    <row r="1242" customFormat="false" ht="13.5" hidden="false" customHeight="false" outlineLevel="0" collapsed="false">
      <c r="A1242" s="0" t="str">
        <f aca="false">IF(记账凭证!$J3046="","",记账凭证!$J3046)</f>
        <v/>
      </c>
      <c r="B1242" s="0" t="n">
        <f aca="false">IF(A1242="",0,IF(MATCH(A1242,$A$4:$A$1925,0)=ROW()-3,1,0))</f>
        <v>0</v>
      </c>
      <c r="C1242" s="0" t="n">
        <f aca="false">N(C1241)+B1242</f>
        <v>11</v>
      </c>
    </row>
    <row r="1243" customFormat="false" ht="13.5" hidden="false" customHeight="false" outlineLevel="0" collapsed="false">
      <c r="A1243" s="0" t="str">
        <f aca="false">IF(记账凭证!$J3047="","",记账凭证!$J3047)</f>
        <v/>
      </c>
      <c r="B1243" s="0" t="n">
        <f aca="false">IF(A1243="",0,IF(MATCH(A1243,$A$4:$A$1925,0)=ROW()-3,1,0))</f>
        <v>0</v>
      </c>
      <c r="C1243" s="0" t="n">
        <f aca="false">N(C1242)+B1243</f>
        <v>11</v>
      </c>
    </row>
    <row r="1244" customFormat="false" ht="13.5" hidden="false" customHeight="false" outlineLevel="0" collapsed="false">
      <c r="A1244" s="0" t="str">
        <f aca="false">IF(记账凭证!$J3048="","",记账凭证!$J3048)</f>
        <v/>
      </c>
      <c r="B1244" s="0" t="n">
        <f aca="false">IF(A1244="",0,IF(MATCH(A1244,$A$4:$A$1925,0)=ROW()-3,1,0))</f>
        <v>0</v>
      </c>
      <c r="C1244" s="0" t="n">
        <f aca="false">N(C1243)+B1244</f>
        <v>11</v>
      </c>
    </row>
    <row r="1245" customFormat="false" ht="13.5" hidden="false" customHeight="false" outlineLevel="0" collapsed="false">
      <c r="A1245" s="0" t="str">
        <f aca="false">IF(记账凭证!$J3049="","",记账凭证!$J3049)</f>
        <v/>
      </c>
      <c r="B1245" s="0" t="n">
        <f aca="false">IF(A1245="",0,IF(MATCH(A1245,$A$4:$A$1925,0)=ROW()-3,1,0))</f>
        <v>0</v>
      </c>
      <c r="C1245" s="0" t="n">
        <f aca="false">N(C1244)+B1245</f>
        <v>11</v>
      </c>
    </row>
    <row r="1246" customFormat="false" ht="13.5" hidden="false" customHeight="false" outlineLevel="0" collapsed="false">
      <c r="A1246" s="0" t="str">
        <f aca="false">IF(记账凭证!$J3050="","",记账凭证!$J3050)</f>
        <v/>
      </c>
      <c r="B1246" s="0" t="n">
        <f aca="false">IF(A1246="",0,IF(MATCH(A1246,$A$4:$A$1925,0)=ROW()-3,1,0))</f>
        <v>0</v>
      </c>
      <c r="C1246" s="0" t="n">
        <f aca="false">N(C1245)+B1246</f>
        <v>11</v>
      </c>
    </row>
    <row r="1247" customFormat="false" ht="13.5" hidden="false" customHeight="false" outlineLevel="0" collapsed="false">
      <c r="A1247" s="0" t="str">
        <f aca="false">IF(记账凭证!$J3051="","",记账凭证!$J3051)</f>
        <v/>
      </c>
      <c r="B1247" s="0" t="n">
        <f aca="false">IF(A1247="",0,IF(MATCH(A1247,$A$4:$A$1925,0)=ROW()-3,1,0))</f>
        <v>0</v>
      </c>
      <c r="C1247" s="0" t="n">
        <f aca="false">N(C1246)+B1247</f>
        <v>11</v>
      </c>
    </row>
    <row r="1248" customFormat="false" ht="13.5" hidden="false" customHeight="false" outlineLevel="0" collapsed="false">
      <c r="A1248" s="0" t="str">
        <f aca="false">IF(记账凭证!$J3052="","",记账凭证!$J3052)</f>
        <v/>
      </c>
      <c r="B1248" s="0" t="n">
        <f aca="false">IF(A1248="",0,IF(MATCH(A1248,$A$4:$A$1925,0)=ROW()-3,1,0))</f>
        <v>0</v>
      </c>
      <c r="C1248" s="0" t="n">
        <f aca="false">N(C1247)+B1248</f>
        <v>11</v>
      </c>
    </row>
    <row r="1249" customFormat="false" ht="13.5" hidden="false" customHeight="false" outlineLevel="0" collapsed="false">
      <c r="A1249" s="0" t="str">
        <f aca="false">IF(记账凭证!$J3053="","",记账凭证!$J3053)</f>
        <v/>
      </c>
      <c r="B1249" s="0" t="n">
        <f aca="false">IF(A1249="",0,IF(MATCH(A1249,$A$4:$A$1925,0)=ROW()-3,1,0))</f>
        <v>0</v>
      </c>
      <c r="C1249" s="0" t="n">
        <f aca="false">N(C1248)+B1249</f>
        <v>11</v>
      </c>
    </row>
    <row r="1250" customFormat="false" ht="13.5" hidden="false" customHeight="false" outlineLevel="0" collapsed="false">
      <c r="A1250" s="0" t="str">
        <f aca="false">IF(记账凭证!$J3054="","",记账凭证!$J3054)</f>
        <v/>
      </c>
      <c r="B1250" s="0" t="n">
        <f aca="false">IF(A1250="",0,IF(MATCH(A1250,$A$4:$A$1925,0)=ROW()-3,1,0))</f>
        <v>0</v>
      </c>
      <c r="C1250" s="0" t="n">
        <f aca="false">N(C1249)+B1250</f>
        <v>11</v>
      </c>
    </row>
    <row r="1251" customFormat="false" ht="13.5" hidden="false" customHeight="false" outlineLevel="0" collapsed="false">
      <c r="A1251" s="0" t="str">
        <f aca="false">IF(记账凭证!$J3055="","",记账凭证!$J3055)</f>
        <v/>
      </c>
      <c r="B1251" s="0" t="n">
        <f aca="false">IF(A1251="",0,IF(MATCH(A1251,$A$4:$A$1925,0)=ROW()-3,1,0))</f>
        <v>0</v>
      </c>
      <c r="C1251" s="0" t="n">
        <f aca="false">N(C1250)+B1251</f>
        <v>11</v>
      </c>
    </row>
    <row r="1252" customFormat="false" ht="13.5" hidden="false" customHeight="false" outlineLevel="0" collapsed="false">
      <c r="A1252" s="0" t="str">
        <f aca="false">IF(记账凭证!$J3056="","",记账凭证!$J3056)</f>
        <v/>
      </c>
      <c r="B1252" s="0" t="n">
        <f aca="false">IF(A1252="",0,IF(MATCH(A1252,$A$4:$A$1925,0)=ROW()-3,1,0))</f>
        <v>0</v>
      </c>
      <c r="C1252" s="0" t="n">
        <f aca="false">N(C1251)+B1252</f>
        <v>11</v>
      </c>
    </row>
    <row r="1253" customFormat="false" ht="13.5" hidden="false" customHeight="false" outlineLevel="0" collapsed="false">
      <c r="A1253" s="0" t="str">
        <f aca="false">IF(记账凭证!$J3057="","",记账凭证!$J3057)</f>
        <v/>
      </c>
      <c r="B1253" s="0" t="n">
        <f aca="false">IF(A1253="",0,IF(MATCH(A1253,$A$4:$A$1925,0)=ROW()-3,1,0))</f>
        <v>0</v>
      </c>
      <c r="C1253" s="0" t="n">
        <f aca="false">N(C1252)+B1253</f>
        <v>11</v>
      </c>
    </row>
    <row r="1254" customFormat="false" ht="13.5" hidden="false" customHeight="false" outlineLevel="0" collapsed="false">
      <c r="A1254" s="0" t="str">
        <f aca="false">IF(记账凭证!$J3058="","",记账凭证!$J3058)</f>
        <v/>
      </c>
      <c r="B1254" s="0" t="n">
        <f aca="false">IF(A1254="",0,IF(MATCH(A1254,$A$4:$A$1925,0)=ROW()-3,1,0))</f>
        <v>0</v>
      </c>
      <c r="C1254" s="0" t="n">
        <f aca="false">N(C1253)+B1254</f>
        <v>11</v>
      </c>
    </row>
    <row r="1255" customFormat="false" ht="13.5" hidden="false" customHeight="false" outlineLevel="0" collapsed="false">
      <c r="A1255" s="0" t="str">
        <f aca="false">IF(记账凭证!$J3059="","",记账凭证!$J3059)</f>
        <v/>
      </c>
      <c r="B1255" s="0" t="n">
        <f aca="false">IF(A1255="",0,IF(MATCH(A1255,$A$4:$A$1925,0)=ROW()-3,1,0))</f>
        <v>0</v>
      </c>
      <c r="C1255" s="0" t="n">
        <f aca="false">N(C1254)+B1255</f>
        <v>11</v>
      </c>
    </row>
    <row r="1256" customFormat="false" ht="13.5" hidden="false" customHeight="false" outlineLevel="0" collapsed="false">
      <c r="A1256" s="0" t="str">
        <f aca="false">IF(记账凭证!$J3060="","",记账凭证!$J3060)</f>
        <v/>
      </c>
      <c r="B1256" s="0" t="n">
        <f aca="false">IF(A1256="",0,IF(MATCH(A1256,$A$4:$A$1925,0)=ROW()-3,1,0))</f>
        <v>0</v>
      </c>
      <c r="C1256" s="0" t="n">
        <f aca="false">N(C1255)+B1256</f>
        <v>11</v>
      </c>
    </row>
    <row r="1257" customFormat="false" ht="13.5" hidden="false" customHeight="false" outlineLevel="0" collapsed="false">
      <c r="A1257" s="0" t="str">
        <f aca="false">IF(记账凭证!$J3061="","",记账凭证!$J3061)</f>
        <v/>
      </c>
      <c r="B1257" s="0" t="n">
        <f aca="false">IF(A1257="",0,IF(MATCH(A1257,$A$4:$A$1925,0)=ROW()-3,1,0))</f>
        <v>0</v>
      </c>
      <c r="C1257" s="0" t="n">
        <f aca="false">N(C1256)+B1257</f>
        <v>11</v>
      </c>
    </row>
    <row r="1258" customFormat="false" ht="13.5" hidden="false" customHeight="false" outlineLevel="0" collapsed="false">
      <c r="A1258" s="0" t="str">
        <f aca="false">IF(记账凭证!$J3062="","",记账凭证!$J3062)</f>
        <v/>
      </c>
      <c r="B1258" s="0" t="n">
        <f aca="false">IF(A1258="",0,IF(MATCH(A1258,$A$4:$A$1925,0)=ROW()-3,1,0))</f>
        <v>0</v>
      </c>
      <c r="C1258" s="0" t="n">
        <f aca="false">N(C1257)+B1258</f>
        <v>11</v>
      </c>
    </row>
    <row r="1259" customFormat="false" ht="13.5" hidden="false" customHeight="false" outlineLevel="0" collapsed="false">
      <c r="A1259" s="0" t="str">
        <f aca="false">IF(记账凭证!$J3063="","",记账凭证!$J3063)</f>
        <v/>
      </c>
      <c r="B1259" s="0" t="n">
        <f aca="false">IF(A1259="",0,IF(MATCH(A1259,$A$4:$A$1925,0)=ROW()-3,1,0))</f>
        <v>0</v>
      </c>
      <c r="C1259" s="0" t="n">
        <f aca="false">N(C1258)+B1259</f>
        <v>11</v>
      </c>
    </row>
    <row r="1260" customFormat="false" ht="13.5" hidden="false" customHeight="false" outlineLevel="0" collapsed="false">
      <c r="A1260" s="0" t="str">
        <f aca="false">IF(记账凭证!$J3064="","",记账凭证!$J3064)</f>
        <v/>
      </c>
      <c r="B1260" s="0" t="n">
        <f aca="false">IF(A1260="",0,IF(MATCH(A1260,$A$4:$A$1925,0)=ROW()-3,1,0))</f>
        <v>0</v>
      </c>
      <c r="C1260" s="0" t="n">
        <f aca="false">N(C1259)+B1260</f>
        <v>11</v>
      </c>
    </row>
    <row r="1261" customFormat="false" ht="13.5" hidden="false" customHeight="false" outlineLevel="0" collapsed="false">
      <c r="A1261" s="0" t="str">
        <f aca="false">IF(记账凭证!$J3065="","",记账凭证!$J3065)</f>
        <v/>
      </c>
      <c r="B1261" s="0" t="n">
        <f aca="false">IF(A1261="",0,IF(MATCH(A1261,$A$4:$A$1925,0)=ROW()-3,1,0))</f>
        <v>0</v>
      </c>
      <c r="C1261" s="0" t="n">
        <f aca="false">N(C1260)+B1261</f>
        <v>11</v>
      </c>
    </row>
    <row r="1262" customFormat="false" ht="13.5" hidden="false" customHeight="false" outlineLevel="0" collapsed="false">
      <c r="A1262" s="0" t="str">
        <f aca="false">IF(记账凭证!$J3066="","",记账凭证!$J3066)</f>
        <v/>
      </c>
      <c r="B1262" s="0" t="n">
        <f aca="false">IF(A1262="",0,IF(MATCH(A1262,$A$4:$A$1925,0)=ROW()-3,1,0))</f>
        <v>0</v>
      </c>
      <c r="C1262" s="0" t="n">
        <f aca="false">N(C1261)+B1262</f>
        <v>11</v>
      </c>
    </row>
    <row r="1263" customFormat="false" ht="13.5" hidden="false" customHeight="false" outlineLevel="0" collapsed="false">
      <c r="A1263" s="0" t="str">
        <f aca="false">IF(记账凭证!$J3067="","",记账凭证!$J3067)</f>
        <v/>
      </c>
      <c r="B1263" s="0" t="n">
        <f aca="false">IF(A1263="",0,IF(MATCH(A1263,$A$4:$A$1925,0)=ROW()-3,1,0))</f>
        <v>0</v>
      </c>
      <c r="C1263" s="0" t="n">
        <f aca="false">N(C1262)+B1263</f>
        <v>11</v>
      </c>
    </row>
    <row r="1264" customFormat="false" ht="13.5" hidden="false" customHeight="false" outlineLevel="0" collapsed="false">
      <c r="A1264" s="0" t="str">
        <f aca="false">IF(记账凭证!$J3068="","",记账凭证!$J3068)</f>
        <v/>
      </c>
      <c r="B1264" s="0" t="n">
        <f aca="false">IF(A1264="",0,IF(MATCH(A1264,$A$4:$A$1925,0)=ROW()-3,1,0))</f>
        <v>0</v>
      </c>
      <c r="C1264" s="0" t="n">
        <f aca="false">N(C1263)+B1264</f>
        <v>11</v>
      </c>
    </row>
    <row r="1265" customFormat="false" ht="13.5" hidden="false" customHeight="false" outlineLevel="0" collapsed="false">
      <c r="A1265" s="0" t="str">
        <f aca="false">IF(记账凭证!$J3069="","",记账凭证!$J3069)</f>
        <v/>
      </c>
      <c r="B1265" s="0" t="n">
        <f aca="false">IF(A1265="",0,IF(MATCH(A1265,$A$4:$A$1925,0)=ROW()-3,1,0))</f>
        <v>0</v>
      </c>
      <c r="C1265" s="0" t="n">
        <f aca="false">N(C1264)+B1265</f>
        <v>11</v>
      </c>
    </row>
    <row r="1266" customFormat="false" ht="13.5" hidden="false" customHeight="false" outlineLevel="0" collapsed="false">
      <c r="A1266" s="0" t="str">
        <f aca="false">IF(记账凭证!$J3070="","",记账凭证!$J3070)</f>
        <v/>
      </c>
      <c r="B1266" s="0" t="n">
        <f aca="false">IF(A1266="",0,IF(MATCH(A1266,$A$4:$A$1925,0)=ROW()-3,1,0))</f>
        <v>0</v>
      </c>
      <c r="C1266" s="0" t="n">
        <f aca="false">N(C1265)+B1266</f>
        <v>11</v>
      </c>
    </row>
    <row r="1267" customFormat="false" ht="13.5" hidden="false" customHeight="false" outlineLevel="0" collapsed="false">
      <c r="A1267" s="0" t="str">
        <f aca="false">IF(记账凭证!$J3071="","",记账凭证!$J3071)</f>
        <v/>
      </c>
      <c r="B1267" s="0" t="n">
        <f aca="false">IF(A1267="",0,IF(MATCH(A1267,$A$4:$A$1925,0)=ROW()-3,1,0))</f>
        <v>0</v>
      </c>
      <c r="C1267" s="0" t="n">
        <f aca="false">N(C1266)+B1267</f>
        <v>11</v>
      </c>
    </row>
    <row r="1268" customFormat="false" ht="13.5" hidden="false" customHeight="false" outlineLevel="0" collapsed="false">
      <c r="A1268" s="0" t="str">
        <f aca="false">IF(记账凭证!$J3072="","",记账凭证!$J3072)</f>
        <v/>
      </c>
      <c r="B1268" s="0" t="n">
        <f aca="false">IF(A1268="",0,IF(MATCH(A1268,$A$4:$A$1925,0)=ROW()-3,1,0))</f>
        <v>0</v>
      </c>
      <c r="C1268" s="0" t="n">
        <f aca="false">N(C1267)+B1268</f>
        <v>11</v>
      </c>
    </row>
    <row r="1269" customFormat="false" ht="13.5" hidden="false" customHeight="false" outlineLevel="0" collapsed="false">
      <c r="A1269" s="0" t="str">
        <f aca="false">IF(记账凭证!$J3073="","",记账凭证!$J3073)</f>
        <v/>
      </c>
      <c r="B1269" s="0" t="n">
        <f aca="false">IF(A1269="",0,IF(MATCH(A1269,$A$4:$A$1925,0)=ROW()-3,1,0))</f>
        <v>0</v>
      </c>
      <c r="C1269" s="0" t="n">
        <f aca="false">N(C1268)+B1269</f>
        <v>11</v>
      </c>
    </row>
    <row r="1270" customFormat="false" ht="13.5" hidden="false" customHeight="false" outlineLevel="0" collapsed="false">
      <c r="A1270" s="0" t="str">
        <f aca="false">IF(记账凭证!$J3074="","",记账凭证!$J3074)</f>
        <v/>
      </c>
      <c r="B1270" s="0" t="n">
        <f aca="false">IF(A1270="",0,IF(MATCH(A1270,$A$4:$A$1925,0)=ROW()-3,1,0))</f>
        <v>0</v>
      </c>
      <c r="C1270" s="0" t="n">
        <f aca="false">N(C1269)+B1270</f>
        <v>11</v>
      </c>
    </row>
    <row r="1271" customFormat="false" ht="13.5" hidden="false" customHeight="false" outlineLevel="0" collapsed="false">
      <c r="A1271" s="0" t="str">
        <f aca="false">IF(记账凭证!$J3075="","",记账凭证!$J3075)</f>
        <v/>
      </c>
      <c r="B1271" s="0" t="n">
        <f aca="false">IF(A1271="",0,IF(MATCH(A1271,$A$4:$A$1925,0)=ROW()-3,1,0))</f>
        <v>0</v>
      </c>
      <c r="C1271" s="0" t="n">
        <f aca="false">N(C1270)+B1271</f>
        <v>11</v>
      </c>
    </row>
    <row r="1272" customFormat="false" ht="13.5" hidden="false" customHeight="false" outlineLevel="0" collapsed="false">
      <c r="A1272" s="0" t="str">
        <f aca="false">IF(记账凭证!$J3076="","",记账凭证!$J3076)</f>
        <v/>
      </c>
      <c r="B1272" s="0" t="n">
        <f aca="false">IF(A1272="",0,IF(MATCH(A1272,$A$4:$A$1925,0)=ROW()-3,1,0))</f>
        <v>0</v>
      </c>
      <c r="C1272" s="0" t="n">
        <f aca="false">N(C1271)+B1272</f>
        <v>11</v>
      </c>
    </row>
    <row r="1273" customFormat="false" ht="13.5" hidden="false" customHeight="false" outlineLevel="0" collapsed="false">
      <c r="A1273" s="0" t="str">
        <f aca="false">IF(记账凭证!$J3077="","",记账凭证!$J3077)</f>
        <v/>
      </c>
      <c r="B1273" s="0" t="n">
        <f aca="false">IF(A1273="",0,IF(MATCH(A1273,$A$4:$A$1925,0)=ROW()-3,1,0))</f>
        <v>0</v>
      </c>
      <c r="C1273" s="0" t="n">
        <f aca="false">N(C1272)+B1273</f>
        <v>11</v>
      </c>
    </row>
    <row r="1274" customFormat="false" ht="13.5" hidden="false" customHeight="false" outlineLevel="0" collapsed="false">
      <c r="A1274" s="0" t="str">
        <f aca="false">IF(记账凭证!$J3078="","",记账凭证!$J3078)</f>
        <v/>
      </c>
      <c r="B1274" s="0" t="n">
        <f aca="false">IF(A1274="",0,IF(MATCH(A1274,$A$4:$A$1925,0)=ROW()-3,1,0))</f>
        <v>0</v>
      </c>
      <c r="C1274" s="0" t="n">
        <f aca="false">N(C1273)+B1274</f>
        <v>11</v>
      </c>
    </row>
    <row r="1275" customFormat="false" ht="13.5" hidden="false" customHeight="false" outlineLevel="0" collapsed="false">
      <c r="A1275" s="0" t="str">
        <f aca="false">IF(记账凭证!$J3079="","",记账凭证!$J3079)</f>
        <v/>
      </c>
      <c r="B1275" s="0" t="n">
        <f aca="false">IF(A1275="",0,IF(MATCH(A1275,$A$4:$A$1925,0)=ROW()-3,1,0))</f>
        <v>0</v>
      </c>
      <c r="C1275" s="0" t="n">
        <f aca="false">N(C1274)+B1275</f>
        <v>11</v>
      </c>
    </row>
    <row r="1276" customFormat="false" ht="13.5" hidden="false" customHeight="false" outlineLevel="0" collapsed="false">
      <c r="A1276" s="0" t="str">
        <f aca="false">IF(记账凭证!$J3080="","",记账凭证!$J3080)</f>
        <v/>
      </c>
      <c r="B1276" s="0" t="n">
        <f aca="false">IF(A1276="",0,IF(MATCH(A1276,$A$4:$A$1925,0)=ROW()-3,1,0))</f>
        <v>0</v>
      </c>
      <c r="C1276" s="0" t="n">
        <f aca="false">N(C1275)+B1276</f>
        <v>11</v>
      </c>
    </row>
    <row r="1277" customFormat="false" ht="13.5" hidden="false" customHeight="false" outlineLevel="0" collapsed="false">
      <c r="A1277" s="0" t="str">
        <f aca="false">IF(记账凭证!$J3081="","",记账凭证!$J3081)</f>
        <v/>
      </c>
      <c r="B1277" s="0" t="n">
        <f aca="false">IF(A1277="",0,IF(MATCH(A1277,$A$4:$A$1925,0)=ROW()-3,1,0))</f>
        <v>0</v>
      </c>
      <c r="C1277" s="0" t="n">
        <f aca="false">N(C1276)+B1277</f>
        <v>11</v>
      </c>
    </row>
    <row r="1278" customFormat="false" ht="13.5" hidden="false" customHeight="false" outlineLevel="0" collapsed="false">
      <c r="A1278" s="0" t="str">
        <f aca="false">IF(记账凭证!$J3082="","",记账凭证!$J3082)</f>
        <v/>
      </c>
      <c r="B1278" s="0" t="n">
        <f aca="false">IF(A1278="",0,IF(MATCH(A1278,$A$4:$A$1925,0)=ROW()-3,1,0))</f>
        <v>0</v>
      </c>
      <c r="C1278" s="0" t="n">
        <f aca="false">N(C1277)+B1278</f>
        <v>11</v>
      </c>
    </row>
    <row r="1279" customFormat="false" ht="13.5" hidden="false" customHeight="false" outlineLevel="0" collapsed="false">
      <c r="A1279" s="0" t="str">
        <f aca="false">IF(记账凭证!$J3083="","",记账凭证!$J3083)</f>
        <v/>
      </c>
      <c r="B1279" s="0" t="n">
        <f aca="false">IF(A1279="",0,IF(MATCH(A1279,$A$4:$A$1925,0)=ROW()-3,1,0))</f>
        <v>0</v>
      </c>
      <c r="C1279" s="0" t="n">
        <f aca="false">N(C1278)+B1279</f>
        <v>11</v>
      </c>
    </row>
    <row r="1280" customFormat="false" ht="13.5" hidden="false" customHeight="false" outlineLevel="0" collapsed="false">
      <c r="A1280" s="0" t="str">
        <f aca="false">IF(记账凭证!$J3084="","",记账凭证!$J3084)</f>
        <v/>
      </c>
      <c r="B1280" s="0" t="n">
        <f aca="false">IF(A1280="",0,IF(MATCH(A1280,$A$4:$A$1925,0)=ROW()-3,1,0))</f>
        <v>0</v>
      </c>
      <c r="C1280" s="0" t="n">
        <f aca="false">N(C1279)+B1280</f>
        <v>11</v>
      </c>
    </row>
    <row r="1281" customFormat="false" ht="13.5" hidden="false" customHeight="false" outlineLevel="0" collapsed="false">
      <c r="A1281" s="0" t="str">
        <f aca="false">IF(记账凭证!$J3085="","",记账凭证!$J3085)</f>
        <v/>
      </c>
      <c r="B1281" s="0" t="n">
        <f aca="false">IF(A1281="",0,IF(MATCH(A1281,$A$4:$A$1925,0)=ROW()-3,1,0))</f>
        <v>0</v>
      </c>
      <c r="C1281" s="0" t="n">
        <f aca="false">N(C1280)+B1281</f>
        <v>11</v>
      </c>
    </row>
    <row r="1282" customFormat="false" ht="13.5" hidden="false" customHeight="false" outlineLevel="0" collapsed="false">
      <c r="A1282" s="0" t="str">
        <f aca="false">IF(记账凭证!$J3086="","",记账凭证!$J3086)</f>
        <v/>
      </c>
      <c r="B1282" s="0" t="n">
        <f aca="false">IF(A1282="",0,IF(MATCH(A1282,$A$4:$A$1925,0)=ROW()-3,1,0))</f>
        <v>0</v>
      </c>
      <c r="C1282" s="0" t="n">
        <f aca="false">N(C1281)+B1282</f>
        <v>11</v>
      </c>
    </row>
    <row r="1283" customFormat="false" ht="13.5" hidden="false" customHeight="false" outlineLevel="0" collapsed="false">
      <c r="A1283" s="0" t="str">
        <f aca="false">IF(记账凭证!$J3087="","",记账凭证!$J3087)</f>
        <v/>
      </c>
      <c r="B1283" s="0" t="n">
        <f aca="false">IF(A1283="",0,IF(MATCH(A1283,$A$4:$A$1925,0)=ROW()-3,1,0))</f>
        <v>0</v>
      </c>
      <c r="C1283" s="0" t="n">
        <f aca="false">N(C1282)+B1283</f>
        <v>11</v>
      </c>
    </row>
    <row r="1284" customFormat="false" ht="13.5" hidden="false" customHeight="false" outlineLevel="0" collapsed="false">
      <c r="A1284" s="0" t="str">
        <f aca="false">IF(记账凭证!$J3088="","",记账凭证!$J3088)</f>
        <v/>
      </c>
      <c r="B1284" s="0" t="n">
        <f aca="false">IF(A1284="",0,IF(MATCH(A1284,$A$4:$A$1925,0)=ROW()-3,1,0))</f>
        <v>0</v>
      </c>
      <c r="C1284" s="0" t="n">
        <f aca="false">N(C1283)+B1284</f>
        <v>11</v>
      </c>
    </row>
    <row r="1285" customFormat="false" ht="13.5" hidden="false" customHeight="false" outlineLevel="0" collapsed="false">
      <c r="A1285" s="0" t="str">
        <f aca="false">IF(记账凭证!$J3089="","",记账凭证!$J3089)</f>
        <v/>
      </c>
      <c r="B1285" s="0" t="n">
        <f aca="false">IF(A1285="",0,IF(MATCH(A1285,$A$4:$A$1925,0)=ROW()-3,1,0))</f>
        <v>0</v>
      </c>
      <c r="C1285" s="0" t="n">
        <f aca="false">N(C1284)+B1285</f>
        <v>11</v>
      </c>
    </row>
    <row r="1286" customFormat="false" ht="13.5" hidden="false" customHeight="false" outlineLevel="0" collapsed="false">
      <c r="A1286" s="0" t="str">
        <f aca="false">IF(记账凭证!$J3090="","",记账凭证!$J3090)</f>
        <v/>
      </c>
      <c r="B1286" s="0" t="n">
        <f aca="false">IF(A1286="",0,IF(MATCH(A1286,$A$4:$A$1925,0)=ROW()-3,1,0))</f>
        <v>0</v>
      </c>
      <c r="C1286" s="0" t="n">
        <f aca="false">N(C1285)+B1286</f>
        <v>11</v>
      </c>
    </row>
    <row r="1287" customFormat="false" ht="13.5" hidden="false" customHeight="false" outlineLevel="0" collapsed="false">
      <c r="A1287" s="0" t="str">
        <f aca="false">IF(记账凭证!$J3091="","",记账凭证!$J3091)</f>
        <v/>
      </c>
      <c r="B1287" s="0" t="n">
        <f aca="false">IF(A1287="",0,IF(MATCH(A1287,$A$4:$A$1925,0)=ROW()-3,1,0))</f>
        <v>0</v>
      </c>
      <c r="C1287" s="0" t="n">
        <f aca="false">N(C1286)+B1287</f>
        <v>11</v>
      </c>
    </row>
    <row r="1288" customFormat="false" ht="13.5" hidden="false" customHeight="false" outlineLevel="0" collapsed="false">
      <c r="A1288" s="0" t="str">
        <f aca="false">IF(记账凭证!$J3092="","",记账凭证!$J3092)</f>
        <v/>
      </c>
      <c r="B1288" s="0" t="n">
        <f aca="false">IF(A1288="",0,IF(MATCH(A1288,$A$4:$A$1925,0)=ROW()-3,1,0))</f>
        <v>0</v>
      </c>
      <c r="C1288" s="0" t="n">
        <f aca="false">N(C1287)+B1288</f>
        <v>11</v>
      </c>
    </row>
    <row r="1289" customFormat="false" ht="13.5" hidden="false" customHeight="false" outlineLevel="0" collapsed="false">
      <c r="A1289" s="0" t="str">
        <f aca="false">IF(记账凭证!$J3093="","",记账凭证!$J3093)</f>
        <v/>
      </c>
      <c r="B1289" s="0" t="n">
        <f aca="false">IF(A1289="",0,IF(MATCH(A1289,$A$4:$A$1925,0)=ROW()-3,1,0))</f>
        <v>0</v>
      </c>
      <c r="C1289" s="0" t="n">
        <f aca="false">N(C1288)+B1289</f>
        <v>11</v>
      </c>
    </row>
    <row r="1290" customFormat="false" ht="13.5" hidden="false" customHeight="false" outlineLevel="0" collapsed="false">
      <c r="A1290" s="0" t="str">
        <f aca="false">IF(记账凭证!$J3094="","",记账凭证!$J3094)</f>
        <v/>
      </c>
      <c r="B1290" s="0" t="n">
        <f aca="false">IF(A1290="",0,IF(MATCH(A1290,$A$4:$A$1925,0)=ROW()-3,1,0))</f>
        <v>0</v>
      </c>
      <c r="C1290" s="0" t="n">
        <f aca="false">N(C1289)+B1290</f>
        <v>11</v>
      </c>
    </row>
    <row r="1291" customFormat="false" ht="13.5" hidden="false" customHeight="false" outlineLevel="0" collapsed="false">
      <c r="A1291" s="0" t="str">
        <f aca="false">IF(记账凭证!$J3095="","",记账凭证!$J3095)</f>
        <v/>
      </c>
      <c r="B1291" s="0" t="n">
        <f aca="false">IF(A1291="",0,IF(MATCH(A1291,$A$4:$A$1925,0)=ROW()-3,1,0))</f>
        <v>0</v>
      </c>
      <c r="C1291" s="0" t="n">
        <f aca="false">N(C1290)+B1291</f>
        <v>11</v>
      </c>
    </row>
    <row r="1292" customFormat="false" ht="13.5" hidden="false" customHeight="false" outlineLevel="0" collapsed="false">
      <c r="A1292" s="0" t="str">
        <f aca="false">IF(记账凭证!$J3096="","",记账凭证!$J3096)</f>
        <v/>
      </c>
      <c r="B1292" s="0" t="n">
        <f aca="false">IF(A1292="",0,IF(MATCH(A1292,$A$4:$A$1925,0)=ROW()-3,1,0))</f>
        <v>0</v>
      </c>
      <c r="C1292" s="0" t="n">
        <f aca="false">N(C1291)+B1292</f>
        <v>11</v>
      </c>
    </row>
    <row r="1293" customFormat="false" ht="13.5" hidden="false" customHeight="false" outlineLevel="0" collapsed="false">
      <c r="A1293" s="0" t="str">
        <f aca="false">IF(记账凭证!$J3097="","",记账凭证!$J3097)</f>
        <v/>
      </c>
      <c r="B1293" s="0" t="n">
        <f aca="false">IF(A1293="",0,IF(MATCH(A1293,$A$4:$A$1925,0)=ROW()-3,1,0))</f>
        <v>0</v>
      </c>
      <c r="C1293" s="0" t="n">
        <f aca="false">N(C1292)+B1293</f>
        <v>11</v>
      </c>
    </row>
    <row r="1294" customFormat="false" ht="13.5" hidden="false" customHeight="false" outlineLevel="0" collapsed="false">
      <c r="A1294" s="0" t="str">
        <f aca="false">IF(记账凭证!$J3098="","",记账凭证!$J3098)</f>
        <v/>
      </c>
      <c r="B1294" s="0" t="n">
        <f aca="false">IF(A1294="",0,IF(MATCH(A1294,$A$4:$A$1925,0)=ROW()-3,1,0))</f>
        <v>0</v>
      </c>
      <c r="C1294" s="0" t="n">
        <f aca="false">N(C1293)+B1294</f>
        <v>11</v>
      </c>
    </row>
    <row r="1295" customFormat="false" ht="13.5" hidden="false" customHeight="false" outlineLevel="0" collapsed="false">
      <c r="A1295" s="0" t="str">
        <f aca="false">IF(记账凭证!$J3099="","",记账凭证!$J3099)</f>
        <v/>
      </c>
      <c r="B1295" s="0" t="n">
        <f aca="false">IF(A1295="",0,IF(MATCH(A1295,$A$4:$A$1925,0)=ROW()-3,1,0))</f>
        <v>0</v>
      </c>
      <c r="C1295" s="0" t="n">
        <f aca="false">N(C1294)+B1295</f>
        <v>11</v>
      </c>
    </row>
    <row r="1296" customFormat="false" ht="13.5" hidden="false" customHeight="false" outlineLevel="0" collapsed="false">
      <c r="A1296" s="0" t="str">
        <f aca="false">IF(记账凭证!$J3100="","",记账凭证!$J3100)</f>
        <v/>
      </c>
      <c r="B1296" s="0" t="n">
        <f aca="false">IF(A1296="",0,IF(MATCH(A1296,$A$4:$A$1925,0)=ROW()-3,1,0))</f>
        <v>0</v>
      </c>
      <c r="C1296" s="0" t="n">
        <f aca="false">N(C1295)+B1296</f>
        <v>11</v>
      </c>
    </row>
    <row r="1297" customFormat="false" ht="13.5" hidden="false" customHeight="false" outlineLevel="0" collapsed="false">
      <c r="A1297" s="0" t="str">
        <f aca="false">IF(记账凭证!$J3101="","",记账凭证!$J3101)</f>
        <v/>
      </c>
      <c r="B1297" s="0" t="n">
        <f aca="false">IF(A1297="",0,IF(MATCH(A1297,$A$4:$A$1925,0)=ROW()-3,1,0))</f>
        <v>0</v>
      </c>
      <c r="C1297" s="0" t="n">
        <f aca="false">N(C1296)+B1297</f>
        <v>11</v>
      </c>
    </row>
    <row r="1298" customFormat="false" ht="13.5" hidden="false" customHeight="false" outlineLevel="0" collapsed="false">
      <c r="A1298" s="0" t="str">
        <f aca="false">IF(记账凭证!$J3102="","",记账凭证!$J3102)</f>
        <v/>
      </c>
      <c r="B1298" s="0" t="n">
        <f aca="false">IF(A1298="",0,IF(MATCH(A1298,$A$4:$A$1925,0)=ROW()-3,1,0))</f>
        <v>0</v>
      </c>
      <c r="C1298" s="0" t="n">
        <f aca="false">N(C1297)+B1298</f>
        <v>11</v>
      </c>
    </row>
    <row r="1299" customFormat="false" ht="13.5" hidden="false" customHeight="false" outlineLevel="0" collapsed="false">
      <c r="A1299" s="0" t="str">
        <f aca="false">IF(记账凭证!$J3103="","",记账凭证!$J3103)</f>
        <v/>
      </c>
      <c r="B1299" s="0" t="n">
        <f aca="false">IF(A1299="",0,IF(MATCH(A1299,$A$4:$A$1925,0)=ROW()-3,1,0))</f>
        <v>0</v>
      </c>
      <c r="C1299" s="0" t="n">
        <f aca="false">N(C1298)+B1299</f>
        <v>11</v>
      </c>
    </row>
    <row r="1300" customFormat="false" ht="13.5" hidden="false" customHeight="false" outlineLevel="0" collapsed="false">
      <c r="A1300" s="0" t="str">
        <f aca="false">IF(记账凭证!$J3104="","",记账凭证!$J3104)</f>
        <v/>
      </c>
      <c r="B1300" s="0" t="n">
        <f aca="false">IF(A1300="",0,IF(MATCH(A1300,$A$4:$A$1925,0)=ROW()-3,1,0))</f>
        <v>0</v>
      </c>
      <c r="C1300" s="0" t="n">
        <f aca="false">N(C1299)+B1300</f>
        <v>11</v>
      </c>
    </row>
    <row r="1301" customFormat="false" ht="13.5" hidden="false" customHeight="false" outlineLevel="0" collapsed="false">
      <c r="A1301" s="0" t="str">
        <f aca="false">IF(记账凭证!$J3105="","",记账凭证!$J3105)</f>
        <v/>
      </c>
      <c r="B1301" s="0" t="n">
        <f aca="false">IF(A1301="",0,IF(MATCH(A1301,$A$4:$A$1925,0)=ROW()-3,1,0))</f>
        <v>0</v>
      </c>
      <c r="C1301" s="0" t="n">
        <f aca="false">N(C1300)+B1301</f>
        <v>11</v>
      </c>
    </row>
    <row r="1302" customFormat="false" ht="13.5" hidden="false" customHeight="false" outlineLevel="0" collapsed="false">
      <c r="A1302" s="0" t="str">
        <f aca="false">IF(记账凭证!$J3106="","",记账凭证!$J3106)</f>
        <v/>
      </c>
      <c r="B1302" s="0" t="n">
        <f aca="false">IF(A1302="",0,IF(MATCH(A1302,$A$4:$A$1925,0)=ROW()-3,1,0))</f>
        <v>0</v>
      </c>
      <c r="C1302" s="0" t="n">
        <f aca="false">N(C1301)+B1302</f>
        <v>11</v>
      </c>
    </row>
    <row r="1303" customFormat="false" ht="13.5" hidden="false" customHeight="false" outlineLevel="0" collapsed="false">
      <c r="A1303" s="0" t="str">
        <f aca="false">IF(记账凭证!$J3107="","",记账凭证!$J3107)</f>
        <v/>
      </c>
      <c r="B1303" s="0" t="n">
        <f aca="false">IF(A1303="",0,IF(MATCH(A1303,$A$4:$A$1925,0)=ROW()-3,1,0))</f>
        <v>0</v>
      </c>
      <c r="C1303" s="0" t="n">
        <f aca="false">N(C1302)+B1303</f>
        <v>11</v>
      </c>
    </row>
    <row r="1304" customFormat="false" ht="13.5" hidden="false" customHeight="false" outlineLevel="0" collapsed="false">
      <c r="A1304" s="0" t="str">
        <f aca="false">IF(记账凭证!$J3108="","",记账凭证!$J3108)</f>
        <v/>
      </c>
      <c r="B1304" s="0" t="n">
        <f aca="false">IF(A1304="",0,IF(MATCH(A1304,$A$4:$A$1925,0)=ROW()-3,1,0))</f>
        <v>0</v>
      </c>
      <c r="C1304" s="0" t="n">
        <f aca="false">N(C1303)+B1304</f>
        <v>11</v>
      </c>
    </row>
    <row r="1305" customFormat="false" ht="13.5" hidden="false" customHeight="false" outlineLevel="0" collapsed="false">
      <c r="A1305" s="0" t="str">
        <f aca="false">IF(记账凭证!$J3109="","",记账凭证!$J3109)</f>
        <v/>
      </c>
      <c r="B1305" s="0" t="n">
        <f aca="false">IF(A1305="",0,IF(MATCH(A1305,$A$4:$A$1925,0)=ROW()-3,1,0))</f>
        <v>0</v>
      </c>
      <c r="C1305" s="0" t="n">
        <f aca="false">N(C1304)+B1305</f>
        <v>11</v>
      </c>
    </row>
    <row r="1306" customFormat="false" ht="13.5" hidden="false" customHeight="false" outlineLevel="0" collapsed="false">
      <c r="A1306" s="0" t="str">
        <f aca="false">IF(记账凭证!$J3110="","",记账凭证!$J3110)</f>
        <v/>
      </c>
      <c r="B1306" s="0" t="n">
        <f aca="false">IF(A1306="",0,IF(MATCH(A1306,$A$4:$A$1925,0)=ROW()-3,1,0))</f>
        <v>0</v>
      </c>
      <c r="C1306" s="0" t="n">
        <f aca="false">N(C1305)+B1306</f>
        <v>11</v>
      </c>
    </row>
    <row r="1307" customFormat="false" ht="13.5" hidden="false" customHeight="false" outlineLevel="0" collapsed="false">
      <c r="A1307" s="0" t="str">
        <f aca="false">IF(记账凭证!$J3111="","",记账凭证!$J3111)</f>
        <v/>
      </c>
      <c r="B1307" s="0" t="n">
        <f aca="false">IF(A1307="",0,IF(MATCH(A1307,$A$4:$A$1925,0)=ROW()-3,1,0))</f>
        <v>0</v>
      </c>
      <c r="C1307" s="0" t="n">
        <f aca="false">N(C1306)+B1307</f>
        <v>11</v>
      </c>
    </row>
    <row r="1308" customFormat="false" ht="13.5" hidden="false" customHeight="false" outlineLevel="0" collapsed="false">
      <c r="A1308" s="0" t="str">
        <f aca="false">IF(记账凭证!$J3112="","",记账凭证!$J3112)</f>
        <v/>
      </c>
      <c r="B1308" s="0" t="n">
        <f aca="false">IF(A1308="",0,IF(MATCH(A1308,$A$4:$A$1925,0)=ROW()-3,1,0))</f>
        <v>0</v>
      </c>
      <c r="C1308" s="0" t="n">
        <f aca="false">N(C1307)+B1308</f>
        <v>11</v>
      </c>
    </row>
    <row r="1309" customFormat="false" ht="13.5" hidden="false" customHeight="false" outlineLevel="0" collapsed="false">
      <c r="A1309" s="0" t="str">
        <f aca="false">IF(记账凭证!$J3113="","",记账凭证!$J3113)</f>
        <v/>
      </c>
      <c r="B1309" s="0" t="n">
        <f aca="false">IF(A1309="",0,IF(MATCH(A1309,$A$4:$A$1925,0)=ROW()-3,1,0))</f>
        <v>0</v>
      </c>
      <c r="C1309" s="0" t="n">
        <f aca="false">N(C1308)+B1309</f>
        <v>11</v>
      </c>
    </row>
    <row r="1310" customFormat="false" ht="13.5" hidden="false" customHeight="false" outlineLevel="0" collapsed="false">
      <c r="A1310" s="0" t="str">
        <f aca="false">IF(记账凭证!$J3114="","",记账凭证!$J3114)</f>
        <v/>
      </c>
      <c r="B1310" s="0" t="n">
        <f aca="false">IF(A1310="",0,IF(MATCH(A1310,$A$4:$A$1925,0)=ROW()-3,1,0))</f>
        <v>0</v>
      </c>
      <c r="C1310" s="0" t="n">
        <f aca="false">N(C1309)+B1310</f>
        <v>11</v>
      </c>
    </row>
    <row r="1311" customFormat="false" ht="13.5" hidden="false" customHeight="false" outlineLevel="0" collapsed="false">
      <c r="A1311" s="0" t="str">
        <f aca="false">IF(记账凭证!$J3115="","",记账凭证!$J3115)</f>
        <v/>
      </c>
      <c r="B1311" s="0" t="n">
        <f aca="false">IF(A1311="",0,IF(MATCH(A1311,$A$4:$A$1925,0)=ROW()-3,1,0))</f>
        <v>0</v>
      </c>
      <c r="C1311" s="0" t="n">
        <f aca="false">N(C1310)+B1311</f>
        <v>11</v>
      </c>
    </row>
    <row r="1312" customFormat="false" ht="13.5" hidden="false" customHeight="false" outlineLevel="0" collapsed="false">
      <c r="A1312" s="0" t="str">
        <f aca="false">IF(记账凭证!$J3116="","",记账凭证!$J3116)</f>
        <v/>
      </c>
      <c r="B1312" s="0" t="n">
        <f aca="false">IF(A1312="",0,IF(MATCH(A1312,$A$4:$A$1925,0)=ROW()-3,1,0))</f>
        <v>0</v>
      </c>
      <c r="C1312" s="0" t="n">
        <f aca="false">N(C1311)+B1312</f>
        <v>11</v>
      </c>
    </row>
    <row r="1313" customFormat="false" ht="13.5" hidden="false" customHeight="false" outlineLevel="0" collapsed="false">
      <c r="A1313" s="0" t="str">
        <f aca="false">IF(记账凭证!$J3117="","",记账凭证!$J3117)</f>
        <v/>
      </c>
      <c r="B1313" s="0" t="n">
        <f aca="false">IF(A1313="",0,IF(MATCH(A1313,$A$4:$A$1925,0)=ROW()-3,1,0))</f>
        <v>0</v>
      </c>
      <c r="C1313" s="0" t="n">
        <f aca="false">N(C1312)+B1313</f>
        <v>11</v>
      </c>
    </row>
    <row r="1314" customFormat="false" ht="13.5" hidden="false" customHeight="false" outlineLevel="0" collapsed="false">
      <c r="A1314" s="0" t="str">
        <f aca="false">IF(记账凭证!$J3118="","",记账凭证!$J3118)</f>
        <v/>
      </c>
      <c r="B1314" s="0" t="n">
        <f aca="false">IF(A1314="",0,IF(MATCH(A1314,$A$4:$A$1925,0)=ROW()-3,1,0))</f>
        <v>0</v>
      </c>
      <c r="C1314" s="0" t="n">
        <f aca="false">N(C1313)+B1314</f>
        <v>11</v>
      </c>
    </row>
    <row r="1315" customFormat="false" ht="13.5" hidden="false" customHeight="false" outlineLevel="0" collapsed="false">
      <c r="A1315" s="0" t="str">
        <f aca="false">IF(记账凭证!$J3119="","",记账凭证!$J3119)</f>
        <v/>
      </c>
      <c r="B1315" s="0" t="n">
        <f aca="false">IF(A1315="",0,IF(MATCH(A1315,$A$4:$A$1925,0)=ROW()-3,1,0))</f>
        <v>0</v>
      </c>
      <c r="C1315" s="0" t="n">
        <f aca="false">N(C1314)+B1315</f>
        <v>11</v>
      </c>
    </row>
    <row r="1316" customFormat="false" ht="13.5" hidden="false" customHeight="false" outlineLevel="0" collapsed="false">
      <c r="A1316" s="0" t="str">
        <f aca="false">IF(记账凭证!$J3120="","",记账凭证!$J3120)</f>
        <v/>
      </c>
      <c r="B1316" s="0" t="n">
        <f aca="false">IF(A1316="",0,IF(MATCH(A1316,$A$4:$A$1925,0)=ROW()-3,1,0))</f>
        <v>0</v>
      </c>
      <c r="C1316" s="0" t="n">
        <f aca="false">N(C1315)+B1316</f>
        <v>11</v>
      </c>
    </row>
    <row r="1317" customFormat="false" ht="13.5" hidden="false" customHeight="false" outlineLevel="0" collapsed="false">
      <c r="A1317" s="0" t="str">
        <f aca="false">IF(记账凭证!$J3121="","",记账凭证!$J3121)</f>
        <v/>
      </c>
      <c r="B1317" s="0" t="n">
        <f aca="false">IF(A1317="",0,IF(MATCH(A1317,$A$4:$A$1925,0)=ROW()-3,1,0))</f>
        <v>0</v>
      </c>
      <c r="C1317" s="0" t="n">
        <f aca="false">N(C1316)+B1317</f>
        <v>11</v>
      </c>
    </row>
    <row r="1318" customFormat="false" ht="13.5" hidden="false" customHeight="false" outlineLevel="0" collapsed="false">
      <c r="A1318" s="0" t="str">
        <f aca="false">IF(记账凭证!$J3122="","",记账凭证!$J3122)</f>
        <v/>
      </c>
      <c r="B1318" s="0" t="n">
        <f aca="false">IF(A1318="",0,IF(MATCH(A1318,$A$4:$A$1925,0)=ROW()-3,1,0))</f>
        <v>0</v>
      </c>
      <c r="C1318" s="0" t="n">
        <f aca="false">N(C1317)+B1318</f>
        <v>11</v>
      </c>
    </row>
    <row r="1319" customFormat="false" ht="13.5" hidden="false" customHeight="false" outlineLevel="0" collapsed="false">
      <c r="A1319" s="0" t="str">
        <f aca="false">IF(记账凭证!$J3123="","",记账凭证!$J3123)</f>
        <v/>
      </c>
      <c r="B1319" s="0" t="n">
        <f aca="false">IF(A1319="",0,IF(MATCH(A1319,$A$4:$A$1925,0)=ROW()-3,1,0))</f>
        <v>0</v>
      </c>
      <c r="C1319" s="0" t="n">
        <f aca="false">N(C1318)+B1319</f>
        <v>11</v>
      </c>
    </row>
    <row r="1320" customFormat="false" ht="13.5" hidden="false" customHeight="false" outlineLevel="0" collapsed="false">
      <c r="A1320" s="0" t="str">
        <f aca="false">IF(记账凭证!$J3124="","",记账凭证!$J3124)</f>
        <v/>
      </c>
      <c r="B1320" s="0" t="n">
        <f aca="false">IF(A1320="",0,IF(MATCH(A1320,$A$4:$A$1925,0)=ROW()-3,1,0))</f>
        <v>0</v>
      </c>
      <c r="C1320" s="0" t="n">
        <f aca="false">N(C1319)+B1320</f>
        <v>11</v>
      </c>
    </row>
    <row r="1321" customFormat="false" ht="13.5" hidden="false" customHeight="false" outlineLevel="0" collapsed="false">
      <c r="A1321" s="0" t="str">
        <f aca="false">IF(记账凭证!$J3125="","",记账凭证!$J3125)</f>
        <v/>
      </c>
      <c r="B1321" s="0" t="n">
        <f aca="false">IF(A1321="",0,IF(MATCH(A1321,$A$4:$A$1925,0)=ROW()-3,1,0))</f>
        <v>0</v>
      </c>
      <c r="C1321" s="0" t="n">
        <f aca="false">N(C1320)+B1321</f>
        <v>11</v>
      </c>
    </row>
    <row r="1322" customFormat="false" ht="13.5" hidden="false" customHeight="false" outlineLevel="0" collapsed="false">
      <c r="A1322" s="0" t="str">
        <f aca="false">IF(记账凭证!$J3126="","",记账凭证!$J3126)</f>
        <v/>
      </c>
      <c r="B1322" s="0" t="n">
        <f aca="false">IF(A1322="",0,IF(MATCH(A1322,$A$4:$A$1925,0)=ROW()-3,1,0))</f>
        <v>0</v>
      </c>
      <c r="C1322" s="0" t="n">
        <f aca="false">N(C1321)+B1322</f>
        <v>11</v>
      </c>
    </row>
    <row r="1323" customFormat="false" ht="13.5" hidden="false" customHeight="false" outlineLevel="0" collapsed="false">
      <c r="A1323" s="0" t="str">
        <f aca="false">IF(记账凭证!$J3127="","",记账凭证!$J3127)</f>
        <v/>
      </c>
      <c r="B1323" s="0" t="n">
        <f aca="false">IF(A1323="",0,IF(MATCH(A1323,$A$4:$A$1925,0)=ROW()-3,1,0))</f>
        <v>0</v>
      </c>
      <c r="C1323" s="0" t="n">
        <f aca="false">N(C1322)+B1323</f>
        <v>11</v>
      </c>
    </row>
    <row r="1324" customFormat="false" ht="13.5" hidden="false" customHeight="false" outlineLevel="0" collapsed="false">
      <c r="A1324" s="0" t="str">
        <f aca="false">IF(记账凭证!$J3128="","",记账凭证!$J3128)</f>
        <v/>
      </c>
      <c r="B1324" s="0" t="n">
        <f aca="false">IF(A1324="",0,IF(MATCH(A1324,$A$4:$A$1925,0)=ROW()-3,1,0))</f>
        <v>0</v>
      </c>
      <c r="C1324" s="0" t="n">
        <f aca="false">N(C1323)+B1324</f>
        <v>11</v>
      </c>
    </row>
    <row r="1325" customFormat="false" ht="13.5" hidden="false" customHeight="false" outlineLevel="0" collapsed="false">
      <c r="A1325" s="0" t="str">
        <f aca="false">IF(记账凭证!$J3129="","",记账凭证!$J3129)</f>
        <v/>
      </c>
      <c r="B1325" s="0" t="n">
        <f aca="false">IF(A1325="",0,IF(MATCH(A1325,$A$4:$A$1925,0)=ROW()-3,1,0))</f>
        <v>0</v>
      </c>
      <c r="C1325" s="0" t="n">
        <f aca="false">N(C1324)+B1325</f>
        <v>11</v>
      </c>
    </row>
    <row r="1326" customFormat="false" ht="13.5" hidden="false" customHeight="false" outlineLevel="0" collapsed="false">
      <c r="A1326" s="0" t="str">
        <f aca="false">IF(记账凭证!$J3130="","",记账凭证!$J3130)</f>
        <v/>
      </c>
      <c r="B1326" s="0" t="n">
        <f aca="false">IF(A1326="",0,IF(MATCH(A1326,$A$4:$A$1925,0)=ROW()-3,1,0))</f>
        <v>0</v>
      </c>
      <c r="C1326" s="0" t="n">
        <f aca="false">N(C1325)+B1326</f>
        <v>11</v>
      </c>
    </row>
    <row r="1327" customFormat="false" ht="13.5" hidden="false" customHeight="false" outlineLevel="0" collapsed="false">
      <c r="A1327" s="0" t="str">
        <f aca="false">IF(记账凭证!$J3131="","",记账凭证!$J3131)</f>
        <v/>
      </c>
      <c r="B1327" s="0" t="n">
        <f aca="false">IF(A1327="",0,IF(MATCH(A1327,$A$4:$A$1925,0)=ROW()-3,1,0))</f>
        <v>0</v>
      </c>
      <c r="C1327" s="0" t="n">
        <f aca="false">N(C1326)+B1327</f>
        <v>11</v>
      </c>
    </row>
    <row r="1328" customFormat="false" ht="13.5" hidden="false" customHeight="false" outlineLevel="0" collapsed="false">
      <c r="A1328" s="0" t="str">
        <f aca="false">IF(记账凭证!$J3132="","",记账凭证!$J3132)</f>
        <v/>
      </c>
      <c r="B1328" s="0" t="n">
        <f aca="false">IF(A1328="",0,IF(MATCH(A1328,$A$4:$A$1925,0)=ROW()-3,1,0))</f>
        <v>0</v>
      </c>
      <c r="C1328" s="0" t="n">
        <f aca="false">N(C1327)+B1328</f>
        <v>11</v>
      </c>
    </row>
    <row r="1329" customFormat="false" ht="13.5" hidden="false" customHeight="false" outlineLevel="0" collapsed="false">
      <c r="A1329" s="0" t="str">
        <f aca="false">IF(记账凭证!$J3133="","",记账凭证!$J3133)</f>
        <v/>
      </c>
      <c r="B1329" s="0" t="n">
        <f aca="false">IF(A1329="",0,IF(MATCH(A1329,$A$4:$A$1925,0)=ROW()-3,1,0))</f>
        <v>0</v>
      </c>
      <c r="C1329" s="0" t="n">
        <f aca="false">N(C1328)+B1329</f>
        <v>11</v>
      </c>
    </row>
    <row r="1330" customFormat="false" ht="13.5" hidden="false" customHeight="false" outlineLevel="0" collapsed="false">
      <c r="A1330" s="0" t="str">
        <f aca="false">IF(记账凭证!$J3134="","",记账凭证!$J3134)</f>
        <v/>
      </c>
      <c r="B1330" s="0" t="n">
        <f aca="false">IF(A1330="",0,IF(MATCH(A1330,$A$4:$A$1925,0)=ROW()-3,1,0))</f>
        <v>0</v>
      </c>
      <c r="C1330" s="0" t="n">
        <f aca="false">N(C1329)+B1330</f>
        <v>11</v>
      </c>
    </row>
    <row r="1331" customFormat="false" ht="13.5" hidden="false" customHeight="false" outlineLevel="0" collapsed="false">
      <c r="A1331" s="0" t="str">
        <f aca="false">IF(记账凭证!$J3135="","",记账凭证!$J3135)</f>
        <v/>
      </c>
      <c r="B1331" s="0" t="n">
        <f aca="false">IF(A1331="",0,IF(MATCH(A1331,$A$4:$A$1925,0)=ROW()-3,1,0))</f>
        <v>0</v>
      </c>
      <c r="C1331" s="0" t="n">
        <f aca="false">N(C1330)+B1331</f>
        <v>11</v>
      </c>
    </row>
    <row r="1332" customFormat="false" ht="13.5" hidden="false" customHeight="false" outlineLevel="0" collapsed="false">
      <c r="A1332" s="0" t="str">
        <f aca="false">IF(记账凭证!$J3136="","",记账凭证!$J3136)</f>
        <v/>
      </c>
      <c r="B1332" s="0" t="n">
        <f aca="false">IF(A1332="",0,IF(MATCH(A1332,$A$4:$A$1925,0)=ROW()-3,1,0))</f>
        <v>0</v>
      </c>
      <c r="C1332" s="0" t="n">
        <f aca="false">N(C1331)+B1332</f>
        <v>11</v>
      </c>
    </row>
    <row r="1333" customFormat="false" ht="13.5" hidden="false" customHeight="false" outlineLevel="0" collapsed="false">
      <c r="A1333" s="0" t="str">
        <f aca="false">IF(记账凭证!$J3137="","",记账凭证!$J3137)</f>
        <v/>
      </c>
      <c r="B1333" s="0" t="n">
        <f aca="false">IF(A1333="",0,IF(MATCH(A1333,$A$4:$A$1925,0)=ROW()-3,1,0))</f>
        <v>0</v>
      </c>
      <c r="C1333" s="0" t="n">
        <f aca="false">N(C1332)+B1333</f>
        <v>11</v>
      </c>
    </row>
    <row r="1334" customFormat="false" ht="13.5" hidden="false" customHeight="false" outlineLevel="0" collapsed="false">
      <c r="A1334" s="0" t="str">
        <f aca="false">IF(记账凭证!$J3138="","",记账凭证!$J3138)</f>
        <v/>
      </c>
      <c r="B1334" s="0" t="n">
        <f aca="false">IF(A1334="",0,IF(MATCH(A1334,$A$4:$A$1925,0)=ROW()-3,1,0))</f>
        <v>0</v>
      </c>
      <c r="C1334" s="0" t="n">
        <f aca="false">N(C1333)+B1334</f>
        <v>11</v>
      </c>
    </row>
    <row r="1335" customFormat="false" ht="13.5" hidden="false" customHeight="false" outlineLevel="0" collapsed="false">
      <c r="A1335" s="0" t="str">
        <f aca="false">IF(记账凭证!$J3139="","",记账凭证!$J3139)</f>
        <v/>
      </c>
      <c r="B1335" s="0" t="n">
        <f aca="false">IF(A1335="",0,IF(MATCH(A1335,$A$4:$A$1925,0)=ROW()-3,1,0))</f>
        <v>0</v>
      </c>
      <c r="C1335" s="0" t="n">
        <f aca="false">N(C1334)+B1335</f>
        <v>11</v>
      </c>
    </row>
    <row r="1336" customFormat="false" ht="13.5" hidden="false" customHeight="false" outlineLevel="0" collapsed="false">
      <c r="A1336" s="0" t="str">
        <f aca="false">IF(记账凭证!$J3140="","",记账凭证!$J3140)</f>
        <v/>
      </c>
      <c r="B1336" s="0" t="n">
        <f aca="false">IF(A1336="",0,IF(MATCH(A1336,$A$4:$A$1925,0)=ROW()-3,1,0))</f>
        <v>0</v>
      </c>
      <c r="C1336" s="0" t="n">
        <f aca="false">N(C1335)+B1336</f>
        <v>11</v>
      </c>
    </row>
    <row r="1337" customFormat="false" ht="13.5" hidden="false" customHeight="false" outlineLevel="0" collapsed="false">
      <c r="A1337" s="0" t="str">
        <f aca="false">IF(记账凭证!$J3141="","",记账凭证!$J3141)</f>
        <v/>
      </c>
      <c r="B1337" s="0" t="n">
        <f aca="false">IF(A1337="",0,IF(MATCH(A1337,$A$4:$A$1925,0)=ROW()-3,1,0))</f>
        <v>0</v>
      </c>
      <c r="C1337" s="0" t="n">
        <f aca="false">N(C1336)+B1337</f>
        <v>11</v>
      </c>
    </row>
    <row r="1338" customFormat="false" ht="13.5" hidden="false" customHeight="false" outlineLevel="0" collapsed="false">
      <c r="A1338" s="0" t="str">
        <f aca="false">IF(记账凭证!$J3142="","",记账凭证!$J3142)</f>
        <v/>
      </c>
      <c r="B1338" s="0" t="n">
        <f aca="false">IF(A1338="",0,IF(MATCH(A1338,$A$4:$A$1925,0)=ROW()-3,1,0))</f>
        <v>0</v>
      </c>
      <c r="C1338" s="0" t="n">
        <f aca="false">N(C1337)+B1338</f>
        <v>11</v>
      </c>
    </row>
    <row r="1339" customFormat="false" ht="13.5" hidden="false" customHeight="false" outlineLevel="0" collapsed="false">
      <c r="A1339" s="0" t="str">
        <f aca="false">IF(记账凭证!$J3143="","",记账凭证!$J3143)</f>
        <v/>
      </c>
      <c r="B1339" s="0" t="n">
        <f aca="false">IF(A1339="",0,IF(MATCH(A1339,$A$4:$A$1925,0)=ROW()-3,1,0))</f>
        <v>0</v>
      </c>
      <c r="C1339" s="0" t="n">
        <f aca="false">N(C1338)+B1339</f>
        <v>11</v>
      </c>
    </row>
    <row r="1340" customFormat="false" ht="13.5" hidden="false" customHeight="false" outlineLevel="0" collapsed="false">
      <c r="A1340" s="0" t="str">
        <f aca="false">IF(记账凭证!$J3144="","",记账凭证!$J3144)</f>
        <v/>
      </c>
      <c r="B1340" s="0" t="n">
        <f aca="false">IF(A1340="",0,IF(MATCH(A1340,$A$4:$A$1925,0)=ROW()-3,1,0))</f>
        <v>0</v>
      </c>
      <c r="C1340" s="0" t="n">
        <f aca="false">N(C1339)+B1340</f>
        <v>11</v>
      </c>
    </row>
    <row r="1341" customFormat="false" ht="13.5" hidden="false" customHeight="false" outlineLevel="0" collapsed="false">
      <c r="A1341" s="0" t="str">
        <f aca="false">IF(记账凭证!$J3145="","",记账凭证!$J3145)</f>
        <v/>
      </c>
      <c r="B1341" s="0" t="n">
        <f aca="false">IF(A1341="",0,IF(MATCH(A1341,$A$4:$A$1925,0)=ROW()-3,1,0))</f>
        <v>0</v>
      </c>
      <c r="C1341" s="0" t="n">
        <f aca="false">N(C1340)+B1341</f>
        <v>11</v>
      </c>
    </row>
    <row r="1342" customFormat="false" ht="13.5" hidden="false" customHeight="false" outlineLevel="0" collapsed="false">
      <c r="A1342" s="0" t="str">
        <f aca="false">IF(记账凭证!$J3146="","",记账凭证!$J3146)</f>
        <v/>
      </c>
      <c r="B1342" s="0" t="n">
        <f aca="false">IF(A1342="",0,IF(MATCH(A1342,$A$4:$A$1925,0)=ROW()-3,1,0))</f>
        <v>0</v>
      </c>
      <c r="C1342" s="0" t="n">
        <f aca="false">N(C1341)+B1342</f>
        <v>11</v>
      </c>
    </row>
    <row r="1343" customFormat="false" ht="13.5" hidden="false" customHeight="false" outlineLevel="0" collapsed="false">
      <c r="A1343" s="0" t="str">
        <f aca="false">IF(记账凭证!$J3147="","",记账凭证!$J3147)</f>
        <v/>
      </c>
      <c r="B1343" s="0" t="n">
        <f aca="false">IF(A1343="",0,IF(MATCH(A1343,$A$4:$A$1925,0)=ROW()-3,1,0))</f>
        <v>0</v>
      </c>
      <c r="C1343" s="0" t="n">
        <f aca="false">N(C1342)+B1343</f>
        <v>11</v>
      </c>
    </row>
    <row r="1344" customFormat="false" ht="13.5" hidden="false" customHeight="false" outlineLevel="0" collapsed="false">
      <c r="A1344" s="0" t="str">
        <f aca="false">IF(记账凭证!$J3148="","",记账凭证!$J3148)</f>
        <v/>
      </c>
      <c r="B1344" s="0" t="n">
        <f aca="false">IF(A1344="",0,IF(MATCH(A1344,$A$4:$A$1925,0)=ROW()-3,1,0))</f>
        <v>0</v>
      </c>
      <c r="C1344" s="0" t="n">
        <f aca="false">N(C1343)+B1344</f>
        <v>11</v>
      </c>
    </row>
    <row r="1345" customFormat="false" ht="13.5" hidden="false" customHeight="false" outlineLevel="0" collapsed="false">
      <c r="A1345" s="0" t="str">
        <f aca="false">IF(记账凭证!$J3149="","",记账凭证!$J3149)</f>
        <v/>
      </c>
      <c r="B1345" s="0" t="n">
        <f aca="false">IF(A1345="",0,IF(MATCH(A1345,$A$4:$A$1925,0)=ROW()-3,1,0))</f>
        <v>0</v>
      </c>
      <c r="C1345" s="0" t="n">
        <f aca="false">N(C1344)+B1345</f>
        <v>11</v>
      </c>
    </row>
    <row r="1346" customFormat="false" ht="13.5" hidden="false" customHeight="false" outlineLevel="0" collapsed="false">
      <c r="A1346" s="0" t="str">
        <f aca="false">IF(记账凭证!$J3150="","",记账凭证!$J3150)</f>
        <v/>
      </c>
      <c r="B1346" s="0" t="n">
        <f aca="false">IF(A1346="",0,IF(MATCH(A1346,$A$4:$A$1925,0)=ROW()-3,1,0))</f>
        <v>0</v>
      </c>
      <c r="C1346" s="0" t="n">
        <f aca="false">N(C1345)+B1346</f>
        <v>11</v>
      </c>
    </row>
    <row r="1347" customFormat="false" ht="13.5" hidden="false" customHeight="false" outlineLevel="0" collapsed="false">
      <c r="A1347" s="0" t="str">
        <f aca="false">IF(记账凭证!$J3151="","",记账凭证!$J3151)</f>
        <v/>
      </c>
      <c r="B1347" s="0" t="n">
        <f aca="false">IF(A1347="",0,IF(MATCH(A1347,$A$4:$A$1925,0)=ROW()-3,1,0))</f>
        <v>0</v>
      </c>
      <c r="C1347" s="0" t="n">
        <f aca="false">N(C1346)+B1347</f>
        <v>11</v>
      </c>
    </row>
    <row r="1348" customFormat="false" ht="13.5" hidden="false" customHeight="false" outlineLevel="0" collapsed="false">
      <c r="A1348" s="0" t="str">
        <f aca="false">IF(记账凭证!$J3152="","",记账凭证!$J3152)</f>
        <v/>
      </c>
      <c r="B1348" s="0" t="n">
        <f aca="false">IF(A1348="",0,IF(MATCH(A1348,$A$4:$A$1925,0)=ROW()-3,1,0))</f>
        <v>0</v>
      </c>
      <c r="C1348" s="0" t="n">
        <f aca="false">N(C1347)+B1348</f>
        <v>11</v>
      </c>
    </row>
    <row r="1349" customFormat="false" ht="13.5" hidden="false" customHeight="false" outlineLevel="0" collapsed="false">
      <c r="A1349" s="0" t="str">
        <f aca="false">IF(记账凭证!$J3153="","",记账凭证!$J3153)</f>
        <v/>
      </c>
      <c r="B1349" s="0" t="n">
        <f aca="false">IF(A1349="",0,IF(MATCH(A1349,$A$4:$A$1925,0)=ROW()-3,1,0))</f>
        <v>0</v>
      </c>
      <c r="C1349" s="0" t="n">
        <f aca="false">N(C1348)+B1349</f>
        <v>11</v>
      </c>
    </row>
    <row r="1350" customFormat="false" ht="13.5" hidden="false" customHeight="false" outlineLevel="0" collapsed="false">
      <c r="A1350" s="0" t="str">
        <f aca="false">IF(记账凭证!$J3154="","",记账凭证!$J3154)</f>
        <v/>
      </c>
      <c r="B1350" s="0" t="n">
        <f aca="false">IF(A1350="",0,IF(MATCH(A1350,$A$4:$A$1925,0)=ROW()-3,1,0))</f>
        <v>0</v>
      </c>
      <c r="C1350" s="0" t="n">
        <f aca="false">N(C1349)+B1350</f>
        <v>11</v>
      </c>
    </row>
    <row r="1351" customFormat="false" ht="13.5" hidden="false" customHeight="false" outlineLevel="0" collapsed="false">
      <c r="A1351" s="0" t="str">
        <f aca="false">IF(记账凭证!$J3155="","",记账凭证!$J3155)</f>
        <v/>
      </c>
      <c r="B1351" s="0" t="n">
        <f aca="false">IF(A1351="",0,IF(MATCH(A1351,$A$4:$A$1925,0)=ROW()-3,1,0))</f>
        <v>0</v>
      </c>
      <c r="C1351" s="0" t="n">
        <f aca="false">N(C1350)+B1351</f>
        <v>11</v>
      </c>
    </row>
    <row r="1352" customFormat="false" ht="13.5" hidden="false" customHeight="false" outlineLevel="0" collapsed="false">
      <c r="A1352" s="0" t="str">
        <f aca="false">IF(记账凭证!$J3156="","",记账凭证!$J3156)</f>
        <v/>
      </c>
      <c r="B1352" s="0" t="n">
        <f aca="false">IF(A1352="",0,IF(MATCH(A1352,$A$4:$A$1925,0)=ROW()-3,1,0))</f>
        <v>0</v>
      </c>
      <c r="C1352" s="0" t="n">
        <f aca="false">N(C1351)+B1352</f>
        <v>11</v>
      </c>
    </row>
    <row r="1353" customFormat="false" ht="13.5" hidden="false" customHeight="false" outlineLevel="0" collapsed="false">
      <c r="A1353" s="0" t="str">
        <f aca="false">IF(记账凭证!$J3157="","",记账凭证!$J3157)</f>
        <v/>
      </c>
      <c r="B1353" s="0" t="n">
        <f aca="false">IF(A1353="",0,IF(MATCH(A1353,$A$4:$A$1925,0)=ROW()-3,1,0))</f>
        <v>0</v>
      </c>
      <c r="C1353" s="0" t="n">
        <f aca="false">N(C1352)+B1353</f>
        <v>11</v>
      </c>
    </row>
    <row r="1354" customFormat="false" ht="13.5" hidden="false" customHeight="false" outlineLevel="0" collapsed="false">
      <c r="A1354" s="0" t="str">
        <f aca="false">IF(记账凭证!$J3158="","",记账凭证!$J3158)</f>
        <v/>
      </c>
      <c r="B1354" s="0" t="n">
        <f aca="false">IF(A1354="",0,IF(MATCH(A1354,$A$4:$A$1925,0)=ROW()-3,1,0))</f>
        <v>0</v>
      </c>
      <c r="C1354" s="0" t="n">
        <f aca="false">N(C1353)+B1354</f>
        <v>11</v>
      </c>
    </row>
    <row r="1355" customFormat="false" ht="13.5" hidden="false" customHeight="false" outlineLevel="0" collapsed="false">
      <c r="A1355" s="0" t="str">
        <f aca="false">IF(记账凭证!$J3159="","",记账凭证!$J3159)</f>
        <v/>
      </c>
      <c r="B1355" s="0" t="n">
        <f aca="false">IF(A1355="",0,IF(MATCH(A1355,$A$4:$A$1925,0)=ROW()-3,1,0))</f>
        <v>0</v>
      </c>
      <c r="C1355" s="0" t="n">
        <f aca="false">N(C1354)+B1355</f>
        <v>11</v>
      </c>
    </row>
    <row r="1356" customFormat="false" ht="13.5" hidden="false" customHeight="false" outlineLevel="0" collapsed="false">
      <c r="A1356" s="0" t="str">
        <f aca="false">IF(记账凭证!$J3160="","",记账凭证!$J3160)</f>
        <v/>
      </c>
      <c r="B1356" s="0" t="n">
        <f aca="false">IF(A1356="",0,IF(MATCH(A1356,$A$4:$A$1925,0)=ROW()-3,1,0))</f>
        <v>0</v>
      </c>
      <c r="C1356" s="0" t="n">
        <f aca="false">N(C1355)+B1356</f>
        <v>11</v>
      </c>
    </row>
    <row r="1357" customFormat="false" ht="13.5" hidden="false" customHeight="false" outlineLevel="0" collapsed="false">
      <c r="A1357" s="0" t="str">
        <f aca="false">IF(记账凭证!$J3161="","",记账凭证!$J3161)</f>
        <v/>
      </c>
      <c r="B1357" s="0" t="n">
        <f aca="false">IF(A1357="",0,IF(MATCH(A1357,$A$4:$A$1925,0)=ROW()-3,1,0))</f>
        <v>0</v>
      </c>
      <c r="C1357" s="0" t="n">
        <f aca="false">N(C1356)+B1357</f>
        <v>11</v>
      </c>
    </row>
    <row r="1358" customFormat="false" ht="13.5" hidden="false" customHeight="false" outlineLevel="0" collapsed="false">
      <c r="A1358" s="0" t="str">
        <f aca="false">IF(记账凭证!$J3162="","",记账凭证!$J3162)</f>
        <v/>
      </c>
      <c r="B1358" s="0" t="n">
        <f aca="false">IF(A1358="",0,IF(MATCH(A1358,$A$4:$A$1925,0)=ROW()-3,1,0))</f>
        <v>0</v>
      </c>
      <c r="C1358" s="0" t="n">
        <f aca="false">N(C1357)+B1358</f>
        <v>11</v>
      </c>
    </row>
    <row r="1359" customFormat="false" ht="13.5" hidden="false" customHeight="false" outlineLevel="0" collapsed="false">
      <c r="A1359" s="0" t="str">
        <f aca="false">IF(记账凭证!$J3163="","",记账凭证!$J3163)</f>
        <v/>
      </c>
      <c r="B1359" s="0" t="n">
        <f aca="false">IF(A1359="",0,IF(MATCH(A1359,$A$4:$A$1925,0)=ROW()-3,1,0))</f>
        <v>0</v>
      </c>
      <c r="C1359" s="0" t="n">
        <f aca="false">N(C1358)+B1359</f>
        <v>11</v>
      </c>
    </row>
    <row r="1360" customFormat="false" ht="13.5" hidden="false" customHeight="false" outlineLevel="0" collapsed="false">
      <c r="A1360" s="0" t="str">
        <f aca="false">IF(记账凭证!$J3164="","",记账凭证!$J3164)</f>
        <v/>
      </c>
      <c r="B1360" s="0" t="n">
        <f aca="false">IF(A1360="",0,IF(MATCH(A1360,$A$4:$A$1925,0)=ROW()-3,1,0))</f>
        <v>0</v>
      </c>
      <c r="C1360" s="0" t="n">
        <f aca="false">N(C1359)+B1360</f>
        <v>11</v>
      </c>
    </row>
    <row r="1361" customFormat="false" ht="13.5" hidden="false" customHeight="false" outlineLevel="0" collapsed="false">
      <c r="A1361" s="0" t="str">
        <f aca="false">IF(记账凭证!$J3165="","",记账凭证!$J3165)</f>
        <v/>
      </c>
      <c r="B1361" s="0" t="n">
        <f aca="false">IF(A1361="",0,IF(MATCH(A1361,$A$4:$A$1925,0)=ROW()-3,1,0))</f>
        <v>0</v>
      </c>
      <c r="C1361" s="0" t="n">
        <f aca="false">N(C1360)+B1361</f>
        <v>11</v>
      </c>
    </row>
    <row r="1362" customFormat="false" ht="13.5" hidden="false" customHeight="false" outlineLevel="0" collapsed="false">
      <c r="A1362" s="0" t="str">
        <f aca="false">IF(记账凭证!$J3166="","",记账凭证!$J3166)</f>
        <v/>
      </c>
      <c r="B1362" s="0" t="n">
        <f aca="false">IF(A1362="",0,IF(MATCH(A1362,$A$4:$A$1925,0)=ROW()-3,1,0))</f>
        <v>0</v>
      </c>
      <c r="C1362" s="0" t="n">
        <f aca="false">N(C1361)+B1362</f>
        <v>11</v>
      </c>
    </row>
    <row r="1363" customFormat="false" ht="13.5" hidden="false" customHeight="false" outlineLevel="0" collapsed="false">
      <c r="A1363" s="0" t="str">
        <f aca="false">IF(记账凭证!$J3167="","",记账凭证!$J3167)</f>
        <v/>
      </c>
      <c r="B1363" s="0" t="n">
        <f aca="false">IF(A1363="",0,IF(MATCH(A1363,$A$4:$A$1925,0)=ROW()-3,1,0))</f>
        <v>0</v>
      </c>
      <c r="C1363" s="0" t="n">
        <f aca="false">N(C1362)+B1363</f>
        <v>11</v>
      </c>
    </row>
    <row r="1364" customFormat="false" ht="13.5" hidden="false" customHeight="false" outlineLevel="0" collapsed="false">
      <c r="A1364" s="0" t="str">
        <f aca="false">IF(记账凭证!$J3168="","",记账凭证!$J3168)</f>
        <v/>
      </c>
      <c r="B1364" s="0" t="n">
        <f aca="false">IF(A1364="",0,IF(MATCH(A1364,$A$4:$A$1925,0)=ROW()-3,1,0))</f>
        <v>0</v>
      </c>
      <c r="C1364" s="0" t="n">
        <f aca="false">N(C1363)+B1364</f>
        <v>11</v>
      </c>
    </row>
    <row r="1365" customFormat="false" ht="13.5" hidden="false" customHeight="false" outlineLevel="0" collapsed="false">
      <c r="A1365" s="0" t="str">
        <f aca="false">IF(记账凭证!$J3169="","",记账凭证!$J3169)</f>
        <v/>
      </c>
      <c r="B1365" s="0" t="n">
        <f aca="false">IF(A1365="",0,IF(MATCH(A1365,$A$4:$A$1925,0)=ROW()-3,1,0))</f>
        <v>0</v>
      </c>
      <c r="C1365" s="0" t="n">
        <f aca="false">N(C1364)+B1365</f>
        <v>11</v>
      </c>
    </row>
    <row r="1366" customFormat="false" ht="13.5" hidden="false" customHeight="false" outlineLevel="0" collapsed="false">
      <c r="A1366" s="0" t="str">
        <f aca="false">IF(记账凭证!$J3170="","",记账凭证!$J3170)</f>
        <v/>
      </c>
      <c r="B1366" s="0" t="n">
        <f aca="false">IF(A1366="",0,IF(MATCH(A1366,$A$4:$A$1925,0)=ROW()-3,1,0))</f>
        <v>0</v>
      </c>
      <c r="C1366" s="0" t="n">
        <f aca="false">N(C1365)+B1366</f>
        <v>11</v>
      </c>
    </row>
    <row r="1367" customFormat="false" ht="13.5" hidden="false" customHeight="false" outlineLevel="0" collapsed="false">
      <c r="A1367" s="0" t="str">
        <f aca="false">IF(记账凭证!$J3171="","",记账凭证!$J3171)</f>
        <v/>
      </c>
      <c r="B1367" s="0" t="n">
        <f aca="false">IF(A1367="",0,IF(MATCH(A1367,$A$4:$A$1925,0)=ROW()-3,1,0))</f>
        <v>0</v>
      </c>
      <c r="C1367" s="0" t="n">
        <f aca="false">N(C1366)+B1367</f>
        <v>11</v>
      </c>
    </row>
    <row r="1368" customFormat="false" ht="13.5" hidden="false" customHeight="false" outlineLevel="0" collapsed="false">
      <c r="A1368" s="0" t="str">
        <f aca="false">IF(记账凭证!$J3172="","",记账凭证!$J3172)</f>
        <v/>
      </c>
      <c r="B1368" s="0" t="n">
        <f aca="false">IF(A1368="",0,IF(MATCH(A1368,$A$4:$A$1925,0)=ROW()-3,1,0))</f>
        <v>0</v>
      </c>
      <c r="C1368" s="0" t="n">
        <f aca="false">N(C1367)+B1368</f>
        <v>11</v>
      </c>
    </row>
    <row r="1369" customFormat="false" ht="13.5" hidden="false" customHeight="false" outlineLevel="0" collapsed="false">
      <c r="A1369" s="0" t="str">
        <f aca="false">IF(记账凭证!$J3173="","",记账凭证!$J3173)</f>
        <v/>
      </c>
      <c r="B1369" s="0" t="n">
        <f aca="false">IF(A1369="",0,IF(MATCH(A1369,$A$4:$A$1925,0)=ROW()-3,1,0))</f>
        <v>0</v>
      </c>
      <c r="C1369" s="0" t="n">
        <f aca="false">N(C1368)+B1369</f>
        <v>11</v>
      </c>
    </row>
    <row r="1370" customFormat="false" ht="13.5" hidden="false" customHeight="false" outlineLevel="0" collapsed="false">
      <c r="A1370" s="0" t="str">
        <f aca="false">IF(记账凭证!$J3174="","",记账凭证!$J3174)</f>
        <v/>
      </c>
      <c r="B1370" s="0" t="n">
        <f aca="false">IF(A1370="",0,IF(MATCH(A1370,$A$4:$A$1925,0)=ROW()-3,1,0))</f>
        <v>0</v>
      </c>
      <c r="C1370" s="0" t="n">
        <f aca="false">N(C1369)+B1370</f>
        <v>11</v>
      </c>
    </row>
    <row r="1371" customFormat="false" ht="13.5" hidden="false" customHeight="false" outlineLevel="0" collapsed="false">
      <c r="A1371" s="0" t="str">
        <f aca="false">IF(记账凭证!$J3175="","",记账凭证!$J3175)</f>
        <v/>
      </c>
      <c r="B1371" s="0" t="n">
        <f aca="false">IF(A1371="",0,IF(MATCH(A1371,$A$4:$A$1925,0)=ROW()-3,1,0))</f>
        <v>0</v>
      </c>
      <c r="C1371" s="0" t="n">
        <f aca="false">N(C1370)+B1371</f>
        <v>11</v>
      </c>
    </row>
    <row r="1372" customFormat="false" ht="13.5" hidden="false" customHeight="false" outlineLevel="0" collapsed="false">
      <c r="A1372" s="0" t="str">
        <f aca="false">IF(记账凭证!$J3176="","",记账凭证!$J3176)</f>
        <v/>
      </c>
      <c r="B1372" s="0" t="n">
        <f aca="false">IF(A1372="",0,IF(MATCH(A1372,$A$4:$A$1925,0)=ROW()-3,1,0))</f>
        <v>0</v>
      </c>
      <c r="C1372" s="0" t="n">
        <f aca="false">N(C1371)+B1372</f>
        <v>11</v>
      </c>
    </row>
    <row r="1373" customFormat="false" ht="13.5" hidden="false" customHeight="false" outlineLevel="0" collapsed="false">
      <c r="A1373" s="0" t="str">
        <f aca="false">IF(记账凭证!$J3177="","",记账凭证!$J3177)</f>
        <v/>
      </c>
      <c r="B1373" s="0" t="n">
        <f aca="false">IF(A1373="",0,IF(MATCH(A1373,$A$4:$A$1925,0)=ROW()-3,1,0))</f>
        <v>0</v>
      </c>
      <c r="C1373" s="0" t="n">
        <f aca="false">N(C1372)+B1373</f>
        <v>11</v>
      </c>
    </row>
    <row r="1374" customFormat="false" ht="13.5" hidden="false" customHeight="false" outlineLevel="0" collapsed="false">
      <c r="A1374" s="0" t="str">
        <f aca="false">IF(记账凭证!$J3178="","",记账凭证!$J3178)</f>
        <v/>
      </c>
      <c r="B1374" s="0" t="n">
        <f aca="false">IF(A1374="",0,IF(MATCH(A1374,$A$4:$A$1925,0)=ROW()-3,1,0))</f>
        <v>0</v>
      </c>
      <c r="C1374" s="0" t="n">
        <f aca="false">N(C1373)+B1374</f>
        <v>11</v>
      </c>
    </row>
    <row r="1375" customFormat="false" ht="13.5" hidden="false" customHeight="false" outlineLevel="0" collapsed="false">
      <c r="A1375" s="0" t="str">
        <f aca="false">IF(记账凭证!$J3179="","",记账凭证!$J3179)</f>
        <v/>
      </c>
      <c r="B1375" s="0" t="n">
        <f aca="false">IF(A1375="",0,IF(MATCH(A1375,$A$4:$A$1925,0)=ROW()-3,1,0))</f>
        <v>0</v>
      </c>
      <c r="C1375" s="0" t="n">
        <f aca="false">N(C1374)+B1375</f>
        <v>11</v>
      </c>
    </row>
    <row r="1376" customFormat="false" ht="13.5" hidden="false" customHeight="false" outlineLevel="0" collapsed="false">
      <c r="A1376" s="0" t="str">
        <f aca="false">IF(记账凭证!$J3180="","",记账凭证!$J3180)</f>
        <v/>
      </c>
      <c r="B1376" s="0" t="n">
        <f aca="false">IF(A1376="",0,IF(MATCH(A1376,$A$4:$A$1925,0)=ROW()-3,1,0))</f>
        <v>0</v>
      </c>
      <c r="C1376" s="0" t="n">
        <f aca="false">N(C1375)+B1376</f>
        <v>11</v>
      </c>
    </row>
    <row r="1377" customFormat="false" ht="13.5" hidden="false" customHeight="false" outlineLevel="0" collapsed="false">
      <c r="A1377" s="0" t="str">
        <f aca="false">IF(记账凭证!$J3181="","",记账凭证!$J3181)</f>
        <v/>
      </c>
      <c r="B1377" s="0" t="n">
        <f aca="false">IF(A1377="",0,IF(MATCH(A1377,$A$4:$A$1925,0)=ROW()-3,1,0))</f>
        <v>0</v>
      </c>
      <c r="C1377" s="0" t="n">
        <f aca="false">N(C1376)+B1377</f>
        <v>11</v>
      </c>
    </row>
    <row r="1378" customFormat="false" ht="13.5" hidden="false" customHeight="false" outlineLevel="0" collapsed="false">
      <c r="A1378" s="0" t="str">
        <f aca="false">IF(记账凭证!$J3182="","",记账凭证!$J3182)</f>
        <v/>
      </c>
      <c r="B1378" s="0" t="n">
        <f aca="false">IF(A1378="",0,IF(MATCH(A1378,$A$4:$A$1925,0)=ROW()-3,1,0))</f>
        <v>0</v>
      </c>
      <c r="C1378" s="0" t="n">
        <f aca="false">N(C1377)+B1378</f>
        <v>11</v>
      </c>
    </row>
    <row r="1379" customFormat="false" ht="13.5" hidden="false" customHeight="false" outlineLevel="0" collapsed="false">
      <c r="A1379" s="0" t="str">
        <f aca="false">IF(记账凭证!$J3183="","",记账凭证!$J3183)</f>
        <v/>
      </c>
      <c r="B1379" s="0" t="n">
        <f aca="false">IF(A1379="",0,IF(MATCH(A1379,$A$4:$A$1925,0)=ROW()-3,1,0))</f>
        <v>0</v>
      </c>
      <c r="C1379" s="0" t="n">
        <f aca="false">N(C1378)+B1379</f>
        <v>11</v>
      </c>
    </row>
    <row r="1380" customFormat="false" ht="13.5" hidden="false" customHeight="false" outlineLevel="0" collapsed="false">
      <c r="A1380" s="0" t="str">
        <f aca="false">IF(记账凭证!$J3184="","",记账凭证!$J3184)</f>
        <v/>
      </c>
      <c r="B1380" s="0" t="n">
        <f aca="false">IF(A1380="",0,IF(MATCH(A1380,$A$4:$A$1925,0)=ROW()-3,1,0))</f>
        <v>0</v>
      </c>
      <c r="C1380" s="0" t="n">
        <f aca="false">N(C1379)+B1380</f>
        <v>11</v>
      </c>
    </row>
    <row r="1381" customFormat="false" ht="13.5" hidden="false" customHeight="false" outlineLevel="0" collapsed="false">
      <c r="A1381" s="0" t="str">
        <f aca="false">IF(记账凭证!$J3185="","",记账凭证!$J3185)</f>
        <v/>
      </c>
      <c r="B1381" s="0" t="n">
        <f aca="false">IF(A1381="",0,IF(MATCH(A1381,$A$4:$A$1925,0)=ROW()-3,1,0))</f>
        <v>0</v>
      </c>
      <c r="C1381" s="0" t="n">
        <f aca="false">N(C1380)+B1381</f>
        <v>11</v>
      </c>
    </row>
    <row r="1382" customFormat="false" ht="13.5" hidden="false" customHeight="false" outlineLevel="0" collapsed="false">
      <c r="A1382" s="0" t="str">
        <f aca="false">IF(记账凭证!$J3186="","",记账凭证!$J3186)</f>
        <v/>
      </c>
      <c r="B1382" s="0" t="n">
        <f aca="false">IF(A1382="",0,IF(MATCH(A1382,$A$4:$A$1925,0)=ROW()-3,1,0))</f>
        <v>0</v>
      </c>
      <c r="C1382" s="0" t="n">
        <f aca="false">N(C1381)+B1382</f>
        <v>11</v>
      </c>
    </row>
    <row r="1383" customFormat="false" ht="13.5" hidden="false" customHeight="false" outlineLevel="0" collapsed="false">
      <c r="A1383" s="0" t="str">
        <f aca="false">IF(记账凭证!$J3187="","",记账凭证!$J3187)</f>
        <v/>
      </c>
      <c r="B1383" s="0" t="n">
        <f aca="false">IF(A1383="",0,IF(MATCH(A1383,$A$4:$A$1925,0)=ROW()-3,1,0))</f>
        <v>0</v>
      </c>
      <c r="C1383" s="0" t="n">
        <f aca="false">N(C1382)+B1383</f>
        <v>11</v>
      </c>
    </row>
    <row r="1384" customFormat="false" ht="13.5" hidden="false" customHeight="false" outlineLevel="0" collapsed="false">
      <c r="A1384" s="0" t="str">
        <f aca="false">IF(记账凭证!$J3188="","",记账凭证!$J3188)</f>
        <v/>
      </c>
      <c r="B1384" s="0" t="n">
        <f aca="false">IF(A1384="",0,IF(MATCH(A1384,$A$4:$A$1925,0)=ROW()-3,1,0))</f>
        <v>0</v>
      </c>
      <c r="C1384" s="0" t="n">
        <f aca="false">N(C1383)+B1384</f>
        <v>11</v>
      </c>
    </row>
    <row r="1385" customFormat="false" ht="13.5" hidden="false" customHeight="false" outlineLevel="0" collapsed="false">
      <c r="A1385" s="0" t="str">
        <f aca="false">IF(记账凭证!$J3189="","",记账凭证!$J3189)</f>
        <v/>
      </c>
      <c r="B1385" s="0" t="n">
        <f aca="false">IF(A1385="",0,IF(MATCH(A1385,$A$4:$A$1925,0)=ROW()-3,1,0))</f>
        <v>0</v>
      </c>
      <c r="C1385" s="0" t="n">
        <f aca="false">N(C1384)+B1385</f>
        <v>11</v>
      </c>
    </row>
    <row r="1386" customFormat="false" ht="13.5" hidden="false" customHeight="false" outlineLevel="0" collapsed="false">
      <c r="A1386" s="0" t="str">
        <f aca="false">IF(记账凭证!$J3190="","",记账凭证!$J3190)</f>
        <v/>
      </c>
      <c r="B1386" s="0" t="n">
        <f aca="false">IF(A1386="",0,IF(MATCH(A1386,$A$4:$A$1925,0)=ROW()-3,1,0))</f>
        <v>0</v>
      </c>
      <c r="C1386" s="0" t="n">
        <f aca="false">N(C1385)+B1386</f>
        <v>11</v>
      </c>
    </row>
    <row r="1387" customFormat="false" ht="13.5" hidden="false" customHeight="false" outlineLevel="0" collapsed="false">
      <c r="A1387" s="0" t="str">
        <f aca="false">IF(记账凭证!$J3191="","",记账凭证!$J3191)</f>
        <v/>
      </c>
      <c r="B1387" s="0" t="n">
        <f aca="false">IF(A1387="",0,IF(MATCH(A1387,$A$4:$A$1925,0)=ROW()-3,1,0))</f>
        <v>0</v>
      </c>
      <c r="C1387" s="0" t="n">
        <f aca="false">N(C1386)+B1387</f>
        <v>11</v>
      </c>
    </row>
    <row r="1388" customFormat="false" ht="13.5" hidden="false" customHeight="false" outlineLevel="0" collapsed="false">
      <c r="A1388" s="0" t="str">
        <f aca="false">IF(记账凭证!$J3192="","",记账凭证!$J3192)</f>
        <v/>
      </c>
      <c r="B1388" s="0" t="n">
        <f aca="false">IF(A1388="",0,IF(MATCH(A1388,$A$4:$A$1925,0)=ROW()-3,1,0))</f>
        <v>0</v>
      </c>
      <c r="C1388" s="0" t="n">
        <f aca="false">N(C1387)+B1388</f>
        <v>11</v>
      </c>
    </row>
    <row r="1389" customFormat="false" ht="13.5" hidden="false" customHeight="false" outlineLevel="0" collapsed="false">
      <c r="A1389" s="0" t="str">
        <f aca="false">IF(记账凭证!$J3193="","",记账凭证!$J3193)</f>
        <v/>
      </c>
      <c r="B1389" s="0" t="n">
        <f aca="false">IF(A1389="",0,IF(MATCH(A1389,$A$4:$A$1925,0)=ROW()-3,1,0))</f>
        <v>0</v>
      </c>
      <c r="C1389" s="0" t="n">
        <f aca="false">N(C1388)+B1389</f>
        <v>11</v>
      </c>
    </row>
    <row r="1390" customFormat="false" ht="13.5" hidden="false" customHeight="false" outlineLevel="0" collapsed="false">
      <c r="A1390" s="0" t="str">
        <f aca="false">IF(记账凭证!$J3194="","",记账凭证!$J3194)</f>
        <v/>
      </c>
      <c r="B1390" s="0" t="n">
        <f aca="false">IF(A1390="",0,IF(MATCH(A1390,$A$4:$A$1925,0)=ROW()-3,1,0))</f>
        <v>0</v>
      </c>
      <c r="C1390" s="0" t="n">
        <f aca="false">N(C1389)+B1390</f>
        <v>11</v>
      </c>
    </row>
    <row r="1391" customFormat="false" ht="13.5" hidden="false" customHeight="false" outlineLevel="0" collapsed="false">
      <c r="A1391" s="0" t="str">
        <f aca="false">IF(记账凭证!$J3195="","",记账凭证!$J3195)</f>
        <v/>
      </c>
      <c r="B1391" s="0" t="n">
        <f aca="false">IF(A1391="",0,IF(MATCH(A1391,$A$4:$A$1925,0)=ROW()-3,1,0))</f>
        <v>0</v>
      </c>
      <c r="C1391" s="0" t="n">
        <f aca="false">N(C1390)+B1391</f>
        <v>11</v>
      </c>
    </row>
    <row r="1392" customFormat="false" ht="13.5" hidden="false" customHeight="false" outlineLevel="0" collapsed="false">
      <c r="A1392" s="0" t="str">
        <f aca="false">IF(记账凭证!$J3196="","",记账凭证!$J3196)</f>
        <v/>
      </c>
      <c r="B1392" s="0" t="n">
        <f aca="false">IF(A1392="",0,IF(MATCH(A1392,$A$4:$A$1925,0)=ROW()-3,1,0))</f>
        <v>0</v>
      </c>
      <c r="C1392" s="0" t="n">
        <f aca="false">N(C1391)+B1392</f>
        <v>11</v>
      </c>
    </row>
    <row r="1393" customFormat="false" ht="13.5" hidden="false" customHeight="false" outlineLevel="0" collapsed="false">
      <c r="A1393" s="0" t="str">
        <f aca="false">IF(记账凭证!$J3197="","",记账凭证!$J3197)</f>
        <v/>
      </c>
      <c r="B1393" s="0" t="n">
        <f aca="false">IF(A1393="",0,IF(MATCH(A1393,$A$4:$A$1925,0)=ROW()-3,1,0))</f>
        <v>0</v>
      </c>
      <c r="C1393" s="0" t="n">
        <f aca="false">N(C1392)+B1393</f>
        <v>11</v>
      </c>
    </row>
    <row r="1394" customFormat="false" ht="13.5" hidden="false" customHeight="false" outlineLevel="0" collapsed="false">
      <c r="A1394" s="0" t="str">
        <f aca="false">IF(记账凭证!$J3198="","",记账凭证!$J3198)</f>
        <v/>
      </c>
      <c r="B1394" s="0" t="n">
        <f aca="false">IF(A1394="",0,IF(MATCH(A1394,$A$4:$A$1925,0)=ROW()-3,1,0))</f>
        <v>0</v>
      </c>
      <c r="C1394" s="0" t="n">
        <f aca="false">N(C1393)+B1394</f>
        <v>11</v>
      </c>
    </row>
    <row r="1395" customFormat="false" ht="13.5" hidden="false" customHeight="false" outlineLevel="0" collapsed="false">
      <c r="A1395" s="0" t="str">
        <f aca="false">IF(记账凭证!$J3199="","",记账凭证!$J3199)</f>
        <v/>
      </c>
      <c r="B1395" s="0" t="n">
        <f aca="false">IF(A1395="",0,IF(MATCH(A1395,$A$4:$A$1925,0)=ROW()-3,1,0))</f>
        <v>0</v>
      </c>
      <c r="C1395" s="0" t="n">
        <f aca="false">N(C1394)+B1395</f>
        <v>11</v>
      </c>
    </row>
    <row r="1396" customFormat="false" ht="13.5" hidden="false" customHeight="false" outlineLevel="0" collapsed="false">
      <c r="A1396" s="0" t="str">
        <f aca="false">IF(记账凭证!$J3200="","",记账凭证!$J3200)</f>
        <v/>
      </c>
      <c r="B1396" s="0" t="n">
        <f aca="false">IF(A1396="",0,IF(MATCH(A1396,$A$4:$A$1925,0)=ROW()-3,1,0))</f>
        <v>0</v>
      </c>
      <c r="C1396" s="0" t="n">
        <f aca="false">N(C1395)+B1396</f>
        <v>11</v>
      </c>
    </row>
    <row r="1397" customFormat="false" ht="13.5" hidden="false" customHeight="false" outlineLevel="0" collapsed="false">
      <c r="A1397" s="0" t="str">
        <f aca="false">IF(记账凭证!$J3201="","",记账凭证!$J3201)</f>
        <v/>
      </c>
      <c r="B1397" s="0" t="n">
        <f aca="false">IF(A1397="",0,IF(MATCH(A1397,$A$4:$A$1925,0)=ROW()-3,1,0))</f>
        <v>0</v>
      </c>
      <c r="C1397" s="0" t="n">
        <f aca="false">N(C1396)+B1397</f>
        <v>11</v>
      </c>
    </row>
    <row r="1398" customFormat="false" ht="13.5" hidden="false" customHeight="false" outlineLevel="0" collapsed="false">
      <c r="A1398" s="0" t="str">
        <f aca="false">IF(记账凭证!$J3202="","",记账凭证!$J3202)</f>
        <v/>
      </c>
      <c r="B1398" s="0" t="n">
        <f aca="false">IF(A1398="",0,IF(MATCH(A1398,$A$4:$A$1925,0)=ROW()-3,1,0))</f>
        <v>0</v>
      </c>
      <c r="C1398" s="0" t="n">
        <f aca="false">N(C1397)+B1398</f>
        <v>11</v>
      </c>
    </row>
    <row r="1399" customFormat="false" ht="13.5" hidden="false" customHeight="false" outlineLevel="0" collapsed="false">
      <c r="A1399" s="0" t="str">
        <f aca="false">IF(记账凭证!$J3203="","",记账凭证!$J3203)</f>
        <v/>
      </c>
      <c r="B1399" s="0" t="n">
        <f aca="false">IF(A1399="",0,IF(MATCH(A1399,$A$4:$A$1925,0)=ROW()-3,1,0))</f>
        <v>0</v>
      </c>
      <c r="C1399" s="0" t="n">
        <f aca="false">N(C1398)+B1399</f>
        <v>11</v>
      </c>
    </row>
    <row r="1400" customFormat="false" ht="13.5" hidden="false" customHeight="false" outlineLevel="0" collapsed="false">
      <c r="A1400" s="0" t="str">
        <f aca="false">IF(记账凭证!$J3204="","",记账凭证!$J3204)</f>
        <v/>
      </c>
      <c r="B1400" s="0" t="n">
        <f aca="false">IF(A1400="",0,IF(MATCH(A1400,$A$4:$A$1925,0)=ROW()-3,1,0))</f>
        <v>0</v>
      </c>
      <c r="C1400" s="0" t="n">
        <f aca="false">N(C1399)+B1400</f>
        <v>11</v>
      </c>
    </row>
    <row r="1401" customFormat="false" ht="13.5" hidden="false" customHeight="false" outlineLevel="0" collapsed="false">
      <c r="A1401" s="0" t="str">
        <f aca="false">IF(记账凭证!$J3205="","",记账凭证!$J3205)</f>
        <v/>
      </c>
      <c r="B1401" s="0" t="n">
        <f aca="false">IF(A1401="",0,IF(MATCH(A1401,$A$4:$A$1925,0)=ROW()-3,1,0))</f>
        <v>0</v>
      </c>
      <c r="C1401" s="0" t="n">
        <f aca="false">N(C1400)+B1401</f>
        <v>11</v>
      </c>
    </row>
    <row r="1402" customFormat="false" ht="13.5" hidden="false" customHeight="false" outlineLevel="0" collapsed="false">
      <c r="A1402" s="0" t="str">
        <f aca="false">IF(记账凭证!$J3206="","",记账凭证!$J3206)</f>
        <v/>
      </c>
      <c r="B1402" s="0" t="n">
        <f aca="false">IF(A1402="",0,IF(MATCH(A1402,$A$4:$A$1925,0)=ROW()-3,1,0))</f>
        <v>0</v>
      </c>
      <c r="C1402" s="0" t="n">
        <f aca="false">N(C1401)+B1402</f>
        <v>11</v>
      </c>
    </row>
    <row r="1403" customFormat="false" ht="13.5" hidden="false" customHeight="false" outlineLevel="0" collapsed="false">
      <c r="A1403" s="0" t="str">
        <f aca="false">IF(记账凭证!$J3207="","",记账凭证!$J3207)</f>
        <v/>
      </c>
      <c r="B1403" s="0" t="n">
        <f aca="false">IF(A1403="",0,IF(MATCH(A1403,$A$4:$A$1925,0)=ROW()-3,1,0))</f>
        <v>0</v>
      </c>
      <c r="C1403" s="0" t="n">
        <f aca="false">N(C1402)+B1403</f>
        <v>11</v>
      </c>
    </row>
    <row r="1404" customFormat="false" ht="13.5" hidden="false" customHeight="false" outlineLevel="0" collapsed="false">
      <c r="A1404" s="0" t="str">
        <f aca="false">IF(记账凭证!$J3208="","",记账凭证!$J3208)</f>
        <v/>
      </c>
      <c r="B1404" s="0" t="n">
        <f aca="false">IF(A1404="",0,IF(MATCH(A1404,$A$4:$A$1925,0)=ROW()-3,1,0))</f>
        <v>0</v>
      </c>
      <c r="C1404" s="0" t="n">
        <f aca="false">N(C1403)+B1404</f>
        <v>11</v>
      </c>
    </row>
    <row r="1405" customFormat="false" ht="13.5" hidden="false" customHeight="false" outlineLevel="0" collapsed="false">
      <c r="A1405" s="0" t="str">
        <f aca="false">IF(记账凭证!$J3209="","",记账凭证!$J3209)</f>
        <v/>
      </c>
      <c r="B1405" s="0" t="n">
        <f aca="false">IF(A1405="",0,IF(MATCH(A1405,$A$4:$A$1925,0)=ROW()-3,1,0))</f>
        <v>0</v>
      </c>
      <c r="C1405" s="0" t="n">
        <f aca="false">N(C1404)+B1405</f>
        <v>11</v>
      </c>
    </row>
    <row r="1406" customFormat="false" ht="13.5" hidden="false" customHeight="false" outlineLevel="0" collapsed="false">
      <c r="A1406" s="0" t="str">
        <f aca="false">IF(记账凭证!$J3210="","",记账凭证!$J3210)</f>
        <v/>
      </c>
      <c r="B1406" s="0" t="n">
        <f aca="false">IF(A1406="",0,IF(MATCH(A1406,$A$4:$A$1925,0)=ROW()-3,1,0))</f>
        <v>0</v>
      </c>
      <c r="C1406" s="0" t="n">
        <f aca="false">N(C1405)+B1406</f>
        <v>11</v>
      </c>
    </row>
    <row r="1407" customFormat="false" ht="13.5" hidden="false" customHeight="false" outlineLevel="0" collapsed="false">
      <c r="A1407" s="0" t="str">
        <f aca="false">IF(记账凭证!$J3211="","",记账凭证!$J3211)</f>
        <v/>
      </c>
      <c r="B1407" s="0" t="n">
        <f aca="false">IF(A1407="",0,IF(MATCH(A1407,$A$4:$A$1925,0)=ROW()-3,1,0))</f>
        <v>0</v>
      </c>
      <c r="C1407" s="0" t="n">
        <f aca="false">N(C1406)+B1407</f>
        <v>11</v>
      </c>
    </row>
    <row r="1408" customFormat="false" ht="13.5" hidden="false" customHeight="false" outlineLevel="0" collapsed="false">
      <c r="A1408" s="0" t="str">
        <f aca="false">IF(记账凭证!$J3212="","",记账凭证!$J3212)</f>
        <v/>
      </c>
      <c r="B1408" s="0" t="n">
        <f aca="false">IF(A1408="",0,IF(MATCH(A1408,$A$4:$A$1925,0)=ROW()-3,1,0))</f>
        <v>0</v>
      </c>
      <c r="C1408" s="0" t="n">
        <f aca="false">N(C1407)+B1408</f>
        <v>11</v>
      </c>
    </row>
    <row r="1409" customFormat="false" ht="13.5" hidden="false" customHeight="false" outlineLevel="0" collapsed="false">
      <c r="A1409" s="0" t="str">
        <f aca="false">IF(记账凭证!$J3213="","",记账凭证!$J3213)</f>
        <v/>
      </c>
      <c r="B1409" s="0" t="n">
        <f aca="false">IF(A1409="",0,IF(MATCH(A1409,$A$4:$A$1925,0)=ROW()-3,1,0))</f>
        <v>0</v>
      </c>
      <c r="C1409" s="0" t="n">
        <f aca="false">N(C1408)+B1409</f>
        <v>11</v>
      </c>
    </row>
    <row r="1410" customFormat="false" ht="13.5" hidden="false" customHeight="false" outlineLevel="0" collapsed="false">
      <c r="A1410" s="0" t="str">
        <f aca="false">IF(记账凭证!$J3214="","",记账凭证!$J3214)</f>
        <v/>
      </c>
      <c r="B1410" s="0" t="n">
        <f aca="false">IF(A1410="",0,IF(MATCH(A1410,$A$4:$A$1925,0)=ROW()-3,1,0))</f>
        <v>0</v>
      </c>
      <c r="C1410" s="0" t="n">
        <f aca="false">N(C1409)+B1410</f>
        <v>11</v>
      </c>
    </row>
    <row r="1411" customFormat="false" ht="13.5" hidden="false" customHeight="false" outlineLevel="0" collapsed="false">
      <c r="A1411" s="0" t="str">
        <f aca="false">IF(记账凭证!$J3215="","",记账凭证!$J3215)</f>
        <v/>
      </c>
      <c r="B1411" s="0" t="n">
        <f aca="false">IF(A1411="",0,IF(MATCH(A1411,$A$4:$A$1925,0)=ROW()-3,1,0))</f>
        <v>0</v>
      </c>
      <c r="C1411" s="0" t="n">
        <f aca="false">N(C1410)+B1411</f>
        <v>11</v>
      </c>
    </row>
    <row r="1412" customFormat="false" ht="13.5" hidden="false" customHeight="false" outlineLevel="0" collapsed="false">
      <c r="A1412" s="0" t="str">
        <f aca="false">IF(记账凭证!$J3216="","",记账凭证!$J3216)</f>
        <v/>
      </c>
      <c r="B1412" s="0" t="n">
        <f aca="false">IF(A1412="",0,IF(MATCH(A1412,$A$4:$A$1925,0)=ROW()-3,1,0))</f>
        <v>0</v>
      </c>
      <c r="C1412" s="0" t="n">
        <f aca="false">N(C1411)+B1412</f>
        <v>11</v>
      </c>
    </row>
    <row r="1413" customFormat="false" ht="13.5" hidden="false" customHeight="false" outlineLevel="0" collapsed="false">
      <c r="A1413" s="0" t="str">
        <f aca="false">IF(记账凭证!$J3217="","",记账凭证!$J3217)</f>
        <v/>
      </c>
      <c r="B1413" s="0" t="n">
        <f aca="false">IF(A1413="",0,IF(MATCH(A1413,$A$4:$A$1925,0)=ROW()-3,1,0))</f>
        <v>0</v>
      </c>
      <c r="C1413" s="0" t="n">
        <f aca="false">N(C1412)+B1413</f>
        <v>11</v>
      </c>
    </row>
    <row r="1414" customFormat="false" ht="13.5" hidden="false" customHeight="false" outlineLevel="0" collapsed="false">
      <c r="A1414" s="0" t="str">
        <f aca="false">IF(记账凭证!$J3218="","",记账凭证!$J3218)</f>
        <v/>
      </c>
      <c r="B1414" s="0" t="n">
        <f aca="false">IF(A1414="",0,IF(MATCH(A1414,$A$4:$A$1925,0)=ROW()-3,1,0))</f>
        <v>0</v>
      </c>
      <c r="C1414" s="0" t="n">
        <f aca="false">N(C1413)+B1414</f>
        <v>11</v>
      </c>
    </row>
    <row r="1415" customFormat="false" ht="13.5" hidden="false" customHeight="false" outlineLevel="0" collapsed="false">
      <c r="A1415" s="0" t="str">
        <f aca="false">IF(记账凭证!$J3219="","",记账凭证!$J3219)</f>
        <v/>
      </c>
      <c r="B1415" s="0" t="n">
        <f aca="false">IF(A1415="",0,IF(MATCH(A1415,$A$4:$A$1925,0)=ROW()-3,1,0))</f>
        <v>0</v>
      </c>
      <c r="C1415" s="0" t="n">
        <f aca="false">N(C1414)+B1415</f>
        <v>11</v>
      </c>
    </row>
    <row r="1416" customFormat="false" ht="13.5" hidden="false" customHeight="false" outlineLevel="0" collapsed="false">
      <c r="A1416" s="0" t="str">
        <f aca="false">IF(记账凭证!$J3220="","",记账凭证!$J3220)</f>
        <v/>
      </c>
      <c r="B1416" s="0" t="n">
        <f aca="false">IF(A1416="",0,IF(MATCH(A1416,$A$4:$A$1925,0)=ROW()-3,1,0))</f>
        <v>0</v>
      </c>
      <c r="C1416" s="0" t="n">
        <f aca="false">N(C1415)+B1416</f>
        <v>11</v>
      </c>
    </row>
    <row r="1417" customFormat="false" ht="13.5" hidden="false" customHeight="false" outlineLevel="0" collapsed="false">
      <c r="A1417" s="0" t="str">
        <f aca="false">IF(记账凭证!$J3221="","",记账凭证!$J3221)</f>
        <v/>
      </c>
      <c r="B1417" s="0" t="n">
        <f aca="false">IF(A1417="",0,IF(MATCH(A1417,$A$4:$A$1925,0)=ROW()-3,1,0))</f>
        <v>0</v>
      </c>
      <c r="C1417" s="0" t="n">
        <f aca="false">N(C1416)+B1417</f>
        <v>11</v>
      </c>
    </row>
    <row r="1418" customFormat="false" ht="13.5" hidden="false" customHeight="false" outlineLevel="0" collapsed="false">
      <c r="A1418" s="0" t="str">
        <f aca="false">IF(记账凭证!$J3222="","",记账凭证!$J3222)</f>
        <v/>
      </c>
      <c r="B1418" s="0" t="n">
        <f aca="false">IF(A1418="",0,IF(MATCH(A1418,$A$4:$A$1925,0)=ROW()-3,1,0))</f>
        <v>0</v>
      </c>
      <c r="C1418" s="0" t="n">
        <f aca="false">N(C1417)+B1418</f>
        <v>11</v>
      </c>
    </row>
    <row r="1419" customFormat="false" ht="13.5" hidden="false" customHeight="false" outlineLevel="0" collapsed="false">
      <c r="A1419" s="0" t="str">
        <f aca="false">IF(记账凭证!$J3223="","",记账凭证!$J3223)</f>
        <v/>
      </c>
      <c r="B1419" s="0" t="n">
        <f aca="false">IF(A1419="",0,IF(MATCH(A1419,$A$4:$A$1925,0)=ROW()-3,1,0))</f>
        <v>0</v>
      </c>
      <c r="C1419" s="0" t="n">
        <f aca="false">N(C1418)+B1419</f>
        <v>11</v>
      </c>
    </row>
    <row r="1420" customFormat="false" ht="13.5" hidden="false" customHeight="false" outlineLevel="0" collapsed="false">
      <c r="A1420" s="0" t="str">
        <f aca="false">IF(记账凭证!$J3224="","",记账凭证!$J3224)</f>
        <v/>
      </c>
      <c r="B1420" s="0" t="n">
        <f aca="false">IF(A1420="",0,IF(MATCH(A1420,$A$4:$A$1925,0)=ROW()-3,1,0))</f>
        <v>0</v>
      </c>
      <c r="C1420" s="0" t="n">
        <f aca="false">N(C1419)+B1420</f>
        <v>11</v>
      </c>
    </row>
    <row r="1421" customFormat="false" ht="13.5" hidden="false" customHeight="false" outlineLevel="0" collapsed="false">
      <c r="A1421" s="0" t="str">
        <f aca="false">IF(记账凭证!$J3225="","",记账凭证!$J3225)</f>
        <v/>
      </c>
      <c r="B1421" s="0" t="n">
        <f aca="false">IF(A1421="",0,IF(MATCH(A1421,$A$4:$A$1925,0)=ROW()-3,1,0))</f>
        <v>0</v>
      </c>
      <c r="C1421" s="0" t="n">
        <f aca="false">N(C1420)+B1421</f>
        <v>11</v>
      </c>
    </row>
    <row r="1422" customFormat="false" ht="13.5" hidden="false" customHeight="false" outlineLevel="0" collapsed="false">
      <c r="A1422" s="0" t="str">
        <f aca="false">IF(记账凭证!$J3226="","",记账凭证!$J3226)</f>
        <v/>
      </c>
      <c r="B1422" s="0" t="n">
        <f aca="false">IF(A1422="",0,IF(MATCH(A1422,$A$4:$A$1925,0)=ROW()-3,1,0))</f>
        <v>0</v>
      </c>
      <c r="C1422" s="0" t="n">
        <f aca="false">N(C1421)+B1422</f>
        <v>11</v>
      </c>
    </row>
    <row r="1423" customFormat="false" ht="13.5" hidden="false" customHeight="false" outlineLevel="0" collapsed="false">
      <c r="A1423" s="0" t="str">
        <f aca="false">IF(记账凭证!$J3227="","",记账凭证!$J3227)</f>
        <v/>
      </c>
      <c r="B1423" s="0" t="n">
        <f aca="false">IF(A1423="",0,IF(MATCH(A1423,$A$4:$A$1925,0)=ROW()-3,1,0))</f>
        <v>0</v>
      </c>
      <c r="C1423" s="0" t="n">
        <f aca="false">N(C1422)+B1423</f>
        <v>11</v>
      </c>
    </row>
    <row r="1424" customFormat="false" ht="13.5" hidden="false" customHeight="false" outlineLevel="0" collapsed="false">
      <c r="A1424" s="0" t="str">
        <f aca="false">IF(记账凭证!$J3228="","",记账凭证!$J3228)</f>
        <v/>
      </c>
      <c r="B1424" s="0" t="n">
        <f aca="false">IF(A1424="",0,IF(MATCH(A1424,$A$4:$A$1925,0)=ROW()-3,1,0))</f>
        <v>0</v>
      </c>
      <c r="C1424" s="0" t="n">
        <f aca="false">N(C1423)+B1424</f>
        <v>11</v>
      </c>
    </row>
    <row r="1425" customFormat="false" ht="13.5" hidden="false" customHeight="false" outlineLevel="0" collapsed="false">
      <c r="A1425" s="0" t="str">
        <f aca="false">IF(记账凭证!$J3229="","",记账凭证!$J3229)</f>
        <v/>
      </c>
      <c r="B1425" s="0" t="n">
        <f aca="false">IF(A1425="",0,IF(MATCH(A1425,$A$4:$A$1925,0)=ROW()-3,1,0))</f>
        <v>0</v>
      </c>
      <c r="C1425" s="0" t="n">
        <f aca="false">N(C1424)+B1425</f>
        <v>11</v>
      </c>
    </row>
    <row r="1426" customFormat="false" ht="13.5" hidden="false" customHeight="false" outlineLevel="0" collapsed="false">
      <c r="A1426" s="0" t="str">
        <f aca="false">IF(记账凭证!$J3230="","",记账凭证!$J3230)</f>
        <v/>
      </c>
      <c r="B1426" s="0" t="n">
        <f aca="false">IF(A1426="",0,IF(MATCH(A1426,$A$4:$A$1925,0)=ROW()-3,1,0))</f>
        <v>0</v>
      </c>
      <c r="C1426" s="0" t="n">
        <f aca="false">N(C1425)+B1426</f>
        <v>11</v>
      </c>
    </row>
    <row r="1427" customFormat="false" ht="13.5" hidden="false" customHeight="false" outlineLevel="0" collapsed="false">
      <c r="A1427" s="0" t="str">
        <f aca="false">IF(记账凭证!$J3231="","",记账凭证!$J3231)</f>
        <v/>
      </c>
      <c r="B1427" s="0" t="n">
        <f aca="false">IF(A1427="",0,IF(MATCH(A1427,$A$4:$A$1925,0)=ROW()-3,1,0))</f>
        <v>0</v>
      </c>
      <c r="C1427" s="0" t="n">
        <f aca="false">N(C1426)+B1427</f>
        <v>11</v>
      </c>
    </row>
    <row r="1428" customFormat="false" ht="13.5" hidden="false" customHeight="false" outlineLevel="0" collapsed="false">
      <c r="A1428" s="0" t="str">
        <f aca="false">IF(记账凭证!$J3232="","",记账凭证!$J3232)</f>
        <v/>
      </c>
      <c r="B1428" s="0" t="n">
        <f aca="false">IF(A1428="",0,IF(MATCH(A1428,$A$4:$A$1925,0)=ROW()-3,1,0))</f>
        <v>0</v>
      </c>
      <c r="C1428" s="0" t="n">
        <f aca="false">N(C1427)+B1428</f>
        <v>11</v>
      </c>
    </row>
    <row r="1429" customFormat="false" ht="13.5" hidden="false" customHeight="false" outlineLevel="0" collapsed="false">
      <c r="A1429" s="0" t="str">
        <f aca="false">IF(记账凭证!$J3233="","",记账凭证!$J3233)</f>
        <v/>
      </c>
      <c r="B1429" s="0" t="n">
        <f aca="false">IF(A1429="",0,IF(MATCH(A1429,$A$4:$A$1925,0)=ROW()-3,1,0))</f>
        <v>0</v>
      </c>
      <c r="C1429" s="0" t="n">
        <f aca="false">N(C1428)+B1429</f>
        <v>11</v>
      </c>
    </row>
    <row r="1430" customFormat="false" ht="13.5" hidden="false" customHeight="false" outlineLevel="0" collapsed="false">
      <c r="A1430" s="0" t="str">
        <f aca="false">IF(记账凭证!$J3234="","",记账凭证!$J3234)</f>
        <v/>
      </c>
      <c r="B1430" s="0" t="n">
        <f aca="false">IF(A1430="",0,IF(MATCH(A1430,$A$4:$A$1925,0)=ROW()-3,1,0))</f>
        <v>0</v>
      </c>
      <c r="C1430" s="0" t="n">
        <f aca="false">N(C1429)+B1430</f>
        <v>11</v>
      </c>
    </row>
    <row r="1431" customFormat="false" ht="13.5" hidden="false" customHeight="false" outlineLevel="0" collapsed="false">
      <c r="A1431" s="0" t="str">
        <f aca="false">IF(记账凭证!$J3235="","",记账凭证!$J3235)</f>
        <v/>
      </c>
      <c r="B1431" s="0" t="n">
        <f aca="false">IF(A1431="",0,IF(MATCH(A1431,$A$4:$A$1925,0)=ROW()-3,1,0))</f>
        <v>0</v>
      </c>
      <c r="C1431" s="0" t="n">
        <f aca="false">N(C1430)+B1431</f>
        <v>11</v>
      </c>
    </row>
    <row r="1432" customFormat="false" ht="13.5" hidden="false" customHeight="false" outlineLevel="0" collapsed="false">
      <c r="A1432" s="0" t="str">
        <f aca="false">IF(记账凭证!$J3236="","",记账凭证!$J3236)</f>
        <v/>
      </c>
      <c r="B1432" s="0" t="n">
        <f aca="false">IF(A1432="",0,IF(MATCH(A1432,$A$4:$A$1925,0)=ROW()-3,1,0))</f>
        <v>0</v>
      </c>
      <c r="C1432" s="0" t="n">
        <f aca="false">N(C1431)+B1432</f>
        <v>11</v>
      </c>
    </row>
    <row r="1433" customFormat="false" ht="13.5" hidden="false" customHeight="false" outlineLevel="0" collapsed="false">
      <c r="A1433" s="0" t="str">
        <f aca="false">IF(记账凭证!$J3237="","",记账凭证!$J3237)</f>
        <v/>
      </c>
      <c r="B1433" s="0" t="n">
        <f aca="false">IF(A1433="",0,IF(MATCH(A1433,$A$4:$A$1925,0)=ROW()-3,1,0))</f>
        <v>0</v>
      </c>
      <c r="C1433" s="0" t="n">
        <f aca="false">N(C1432)+B1433</f>
        <v>11</v>
      </c>
    </row>
    <row r="1434" customFormat="false" ht="13.5" hidden="false" customHeight="false" outlineLevel="0" collapsed="false">
      <c r="A1434" s="0" t="str">
        <f aca="false">IF(记账凭证!$J3238="","",记账凭证!$J3238)</f>
        <v/>
      </c>
      <c r="B1434" s="0" t="n">
        <f aca="false">IF(A1434="",0,IF(MATCH(A1434,$A$4:$A$1925,0)=ROW()-3,1,0))</f>
        <v>0</v>
      </c>
      <c r="C1434" s="0" t="n">
        <f aca="false">N(C1433)+B1434</f>
        <v>11</v>
      </c>
    </row>
    <row r="1435" customFormat="false" ht="13.5" hidden="false" customHeight="false" outlineLevel="0" collapsed="false">
      <c r="A1435" s="0" t="str">
        <f aca="false">IF(记账凭证!$J3239="","",记账凭证!$J3239)</f>
        <v/>
      </c>
      <c r="B1435" s="0" t="n">
        <f aca="false">IF(A1435="",0,IF(MATCH(A1435,$A$4:$A$1925,0)=ROW()-3,1,0))</f>
        <v>0</v>
      </c>
      <c r="C1435" s="0" t="n">
        <f aca="false">N(C1434)+B1435</f>
        <v>11</v>
      </c>
    </row>
    <row r="1436" customFormat="false" ht="13.5" hidden="false" customHeight="false" outlineLevel="0" collapsed="false">
      <c r="A1436" s="0" t="str">
        <f aca="false">IF(记账凭证!$J3240="","",记账凭证!$J3240)</f>
        <v/>
      </c>
      <c r="B1436" s="0" t="n">
        <f aca="false">IF(A1436="",0,IF(MATCH(A1436,$A$4:$A$1925,0)=ROW()-3,1,0))</f>
        <v>0</v>
      </c>
      <c r="C1436" s="0" t="n">
        <f aca="false">N(C1435)+B1436</f>
        <v>11</v>
      </c>
    </row>
    <row r="1437" customFormat="false" ht="13.5" hidden="false" customHeight="false" outlineLevel="0" collapsed="false">
      <c r="A1437" s="0" t="str">
        <f aca="false">IF(记账凭证!$J3241="","",记账凭证!$J3241)</f>
        <v/>
      </c>
      <c r="B1437" s="0" t="n">
        <f aca="false">IF(A1437="",0,IF(MATCH(A1437,$A$4:$A$1925,0)=ROW()-3,1,0))</f>
        <v>0</v>
      </c>
      <c r="C1437" s="0" t="n">
        <f aca="false">N(C1436)+B1437</f>
        <v>11</v>
      </c>
    </row>
    <row r="1438" customFormat="false" ht="13.5" hidden="false" customHeight="false" outlineLevel="0" collapsed="false">
      <c r="A1438" s="0" t="str">
        <f aca="false">IF(记账凭证!$J3242="","",记账凭证!$J3242)</f>
        <v/>
      </c>
      <c r="B1438" s="0" t="n">
        <f aca="false">IF(A1438="",0,IF(MATCH(A1438,$A$4:$A$1925,0)=ROW()-3,1,0))</f>
        <v>0</v>
      </c>
      <c r="C1438" s="0" t="n">
        <f aca="false">N(C1437)+B1438</f>
        <v>11</v>
      </c>
    </row>
    <row r="1439" customFormat="false" ht="13.5" hidden="false" customHeight="false" outlineLevel="0" collapsed="false">
      <c r="A1439" s="0" t="str">
        <f aca="false">IF(记账凭证!$J3243="","",记账凭证!$J3243)</f>
        <v/>
      </c>
      <c r="B1439" s="0" t="n">
        <f aca="false">IF(A1439="",0,IF(MATCH(A1439,$A$4:$A$1925,0)=ROW()-3,1,0))</f>
        <v>0</v>
      </c>
      <c r="C1439" s="0" t="n">
        <f aca="false">N(C1438)+B1439</f>
        <v>11</v>
      </c>
    </row>
    <row r="1440" customFormat="false" ht="13.5" hidden="false" customHeight="false" outlineLevel="0" collapsed="false">
      <c r="A1440" s="0" t="str">
        <f aca="false">IF(记账凭证!$J3244="","",记账凭证!$J3244)</f>
        <v/>
      </c>
      <c r="B1440" s="0" t="n">
        <f aca="false">IF(A1440="",0,IF(MATCH(A1440,$A$4:$A$1925,0)=ROW()-3,1,0))</f>
        <v>0</v>
      </c>
      <c r="C1440" s="0" t="n">
        <f aca="false">N(C1439)+B1440</f>
        <v>11</v>
      </c>
    </row>
    <row r="1441" customFormat="false" ht="13.5" hidden="false" customHeight="false" outlineLevel="0" collapsed="false">
      <c r="A1441" s="0" t="str">
        <f aca="false">IF(记账凭证!$J3245="","",记账凭证!$J3245)</f>
        <v/>
      </c>
      <c r="B1441" s="0" t="n">
        <f aca="false">IF(A1441="",0,IF(MATCH(A1441,$A$4:$A$1925,0)=ROW()-3,1,0))</f>
        <v>0</v>
      </c>
      <c r="C1441" s="0" t="n">
        <f aca="false">N(C1440)+B1441</f>
        <v>11</v>
      </c>
    </row>
    <row r="1442" customFormat="false" ht="13.5" hidden="false" customHeight="false" outlineLevel="0" collapsed="false">
      <c r="A1442" s="0" t="str">
        <f aca="false">IF(记账凭证!$J3246="","",记账凭证!$J3246)</f>
        <v/>
      </c>
      <c r="B1442" s="0" t="n">
        <f aca="false">IF(A1442="",0,IF(MATCH(A1442,$A$4:$A$1925,0)=ROW()-3,1,0))</f>
        <v>0</v>
      </c>
      <c r="C1442" s="0" t="n">
        <f aca="false">N(C1441)+B1442</f>
        <v>11</v>
      </c>
    </row>
    <row r="1443" customFormat="false" ht="13.5" hidden="false" customHeight="false" outlineLevel="0" collapsed="false">
      <c r="A1443" s="0" t="str">
        <f aca="false">IF(记账凭证!$J3247="","",记账凭证!$J3247)</f>
        <v/>
      </c>
      <c r="B1443" s="0" t="n">
        <f aca="false">IF(A1443="",0,IF(MATCH(A1443,$A$4:$A$1925,0)=ROW()-3,1,0))</f>
        <v>0</v>
      </c>
      <c r="C1443" s="0" t="n">
        <f aca="false">N(C1442)+B1443</f>
        <v>11</v>
      </c>
    </row>
    <row r="1444" customFormat="false" ht="13.5" hidden="false" customHeight="false" outlineLevel="0" collapsed="false">
      <c r="A1444" s="0" t="str">
        <f aca="false">IF(记账凭证!$J3248="","",记账凭证!$J3248)</f>
        <v/>
      </c>
      <c r="B1444" s="0" t="n">
        <f aca="false">IF(A1444="",0,IF(MATCH(A1444,$A$4:$A$1925,0)=ROW()-3,1,0))</f>
        <v>0</v>
      </c>
      <c r="C1444" s="0" t="n">
        <f aca="false">N(C1443)+B1444</f>
        <v>11</v>
      </c>
    </row>
    <row r="1445" customFormat="false" ht="13.5" hidden="false" customHeight="false" outlineLevel="0" collapsed="false">
      <c r="A1445" s="0" t="str">
        <f aca="false">IF(记账凭证!$J3249="","",记账凭证!$J3249)</f>
        <v/>
      </c>
      <c r="B1445" s="0" t="n">
        <f aca="false">IF(A1445="",0,IF(MATCH(A1445,$A$4:$A$1925,0)=ROW()-3,1,0))</f>
        <v>0</v>
      </c>
      <c r="C1445" s="0" t="n">
        <f aca="false">N(C1444)+B1445</f>
        <v>11</v>
      </c>
    </row>
    <row r="1446" customFormat="false" ht="13.5" hidden="false" customHeight="false" outlineLevel="0" collapsed="false">
      <c r="A1446" s="0" t="str">
        <f aca="false">IF(记账凭证!$J3250="","",记账凭证!$J3250)</f>
        <v/>
      </c>
      <c r="B1446" s="0" t="n">
        <f aca="false">IF(A1446="",0,IF(MATCH(A1446,$A$4:$A$1925,0)=ROW()-3,1,0))</f>
        <v>0</v>
      </c>
      <c r="C1446" s="0" t="n">
        <f aca="false">N(C1445)+B1446</f>
        <v>11</v>
      </c>
    </row>
    <row r="1447" customFormat="false" ht="13.5" hidden="false" customHeight="false" outlineLevel="0" collapsed="false">
      <c r="A1447" s="0" t="str">
        <f aca="false">IF(记账凭证!$J3251="","",记账凭证!$J3251)</f>
        <v/>
      </c>
      <c r="B1447" s="0" t="n">
        <f aca="false">IF(A1447="",0,IF(MATCH(A1447,$A$4:$A$1925,0)=ROW()-3,1,0))</f>
        <v>0</v>
      </c>
      <c r="C1447" s="0" t="n">
        <f aca="false">N(C1446)+B1447</f>
        <v>11</v>
      </c>
    </row>
    <row r="1448" customFormat="false" ht="13.5" hidden="false" customHeight="false" outlineLevel="0" collapsed="false">
      <c r="A1448" s="0" t="str">
        <f aca="false">IF(记账凭证!$J3252="","",记账凭证!$J3252)</f>
        <v/>
      </c>
      <c r="B1448" s="0" t="n">
        <f aca="false">IF(A1448="",0,IF(MATCH(A1448,$A$4:$A$1925,0)=ROW()-3,1,0))</f>
        <v>0</v>
      </c>
      <c r="C1448" s="0" t="n">
        <f aca="false">N(C1447)+B1448</f>
        <v>11</v>
      </c>
    </row>
    <row r="1449" customFormat="false" ht="13.5" hidden="false" customHeight="false" outlineLevel="0" collapsed="false">
      <c r="A1449" s="0" t="str">
        <f aca="false">IF(记账凭证!$J3253="","",记账凭证!$J3253)</f>
        <v/>
      </c>
      <c r="B1449" s="0" t="n">
        <f aca="false">IF(A1449="",0,IF(MATCH(A1449,$A$4:$A$1925,0)=ROW()-3,1,0))</f>
        <v>0</v>
      </c>
      <c r="C1449" s="0" t="n">
        <f aca="false">N(C1448)+B1449</f>
        <v>11</v>
      </c>
    </row>
    <row r="1450" customFormat="false" ht="13.5" hidden="false" customHeight="false" outlineLevel="0" collapsed="false">
      <c r="A1450" s="0" t="str">
        <f aca="false">IF(记账凭证!$J3254="","",记账凭证!$J3254)</f>
        <v/>
      </c>
      <c r="B1450" s="0" t="n">
        <f aca="false">IF(A1450="",0,IF(MATCH(A1450,$A$4:$A$1925,0)=ROW()-3,1,0))</f>
        <v>0</v>
      </c>
      <c r="C1450" s="0" t="n">
        <f aca="false">N(C1449)+B1450</f>
        <v>11</v>
      </c>
    </row>
    <row r="1451" customFormat="false" ht="13.5" hidden="false" customHeight="false" outlineLevel="0" collapsed="false">
      <c r="A1451" s="0" t="str">
        <f aca="false">IF(记账凭证!$J3255="","",记账凭证!$J3255)</f>
        <v/>
      </c>
      <c r="B1451" s="0" t="n">
        <f aca="false">IF(A1451="",0,IF(MATCH(A1451,$A$4:$A$1925,0)=ROW()-3,1,0))</f>
        <v>0</v>
      </c>
      <c r="C1451" s="0" t="n">
        <f aca="false">N(C1450)+B1451</f>
        <v>11</v>
      </c>
    </row>
    <row r="1452" customFormat="false" ht="13.5" hidden="false" customHeight="false" outlineLevel="0" collapsed="false">
      <c r="A1452" s="0" t="str">
        <f aca="false">IF(记账凭证!$J3256="","",记账凭证!$J3256)</f>
        <v/>
      </c>
      <c r="B1452" s="0" t="n">
        <f aca="false">IF(A1452="",0,IF(MATCH(A1452,$A$4:$A$1925,0)=ROW()-3,1,0))</f>
        <v>0</v>
      </c>
      <c r="C1452" s="0" t="n">
        <f aca="false">N(C1451)+B1452</f>
        <v>11</v>
      </c>
    </row>
    <row r="1453" customFormat="false" ht="13.5" hidden="false" customHeight="false" outlineLevel="0" collapsed="false">
      <c r="A1453" s="0" t="str">
        <f aca="false">IF(记账凭证!$J3257="","",记账凭证!$J3257)</f>
        <v/>
      </c>
      <c r="B1453" s="0" t="n">
        <f aca="false">IF(A1453="",0,IF(MATCH(A1453,$A$4:$A$1925,0)=ROW()-3,1,0))</f>
        <v>0</v>
      </c>
      <c r="C1453" s="0" t="n">
        <f aca="false">N(C1452)+B1453</f>
        <v>11</v>
      </c>
    </row>
    <row r="1454" customFormat="false" ht="13.5" hidden="false" customHeight="false" outlineLevel="0" collapsed="false">
      <c r="A1454" s="0" t="str">
        <f aca="false">IF(记账凭证!$J3258="","",记账凭证!$J3258)</f>
        <v/>
      </c>
      <c r="B1454" s="0" t="n">
        <f aca="false">IF(A1454="",0,IF(MATCH(A1454,$A$4:$A$1925,0)=ROW()-3,1,0))</f>
        <v>0</v>
      </c>
      <c r="C1454" s="0" t="n">
        <f aca="false">N(C1453)+B1454</f>
        <v>11</v>
      </c>
    </row>
    <row r="1455" customFormat="false" ht="13.5" hidden="false" customHeight="false" outlineLevel="0" collapsed="false">
      <c r="A1455" s="0" t="str">
        <f aca="false">IF(记账凭证!$J3259="","",记账凭证!$J3259)</f>
        <v/>
      </c>
      <c r="B1455" s="0" t="n">
        <f aca="false">IF(A1455="",0,IF(MATCH(A1455,$A$4:$A$1925,0)=ROW()-3,1,0))</f>
        <v>0</v>
      </c>
      <c r="C1455" s="0" t="n">
        <f aca="false">N(C1454)+B1455</f>
        <v>11</v>
      </c>
    </row>
    <row r="1456" customFormat="false" ht="13.5" hidden="false" customHeight="false" outlineLevel="0" collapsed="false">
      <c r="A1456" s="0" t="str">
        <f aca="false">IF(记账凭证!$J3260="","",记账凭证!$J3260)</f>
        <v/>
      </c>
      <c r="B1456" s="0" t="n">
        <f aca="false">IF(A1456="",0,IF(MATCH(A1456,$A$4:$A$1925,0)=ROW()-3,1,0))</f>
        <v>0</v>
      </c>
      <c r="C1456" s="0" t="n">
        <f aca="false">N(C1455)+B1456</f>
        <v>11</v>
      </c>
    </row>
    <row r="1457" customFormat="false" ht="13.5" hidden="false" customHeight="false" outlineLevel="0" collapsed="false">
      <c r="A1457" s="0" t="str">
        <f aca="false">IF(记账凭证!$J3261="","",记账凭证!$J3261)</f>
        <v/>
      </c>
      <c r="B1457" s="0" t="n">
        <f aca="false">IF(A1457="",0,IF(MATCH(A1457,$A$4:$A$1925,0)=ROW()-3,1,0))</f>
        <v>0</v>
      </c>
      <c r="C1457" s="0" t="n">
        <f aca="false">N(C1456)+B1457</f>
        <v>11</v>
      </c>
    </row>
    <row r="1458" customFormat="false" ht="13.5" hidden="false" customHeight="false" outlineLevel="0" collapsed="false">
      <c r="A1458" s="0" t="str">
        <f aca="false">IF(记账凭证!$J3262="","",记账凭证!$J3262)</f>
        <v/>
      </c>
      <c r="B1458" s="0" t="n">
        <f aca="false">IF(A1458="",0,IF(MATCH(A1458,$A$4:$A$1925,0)=ROW()-3,1,0))</f>
        <v>0</v>
      </c>
      <c r="C1458" s="0" t="n">
        <f aca="false">N(C1457)+B1458</f>
        <v>11</v>
      </c>
    </row>
    <row r="1459" customFormat="false" ht="13.5" hidden="false" customHeight="false" outlineLevel="0" collapsed="false">
      <c r="A1459" s="0" t="str">
        <f aca="false">IF(记账凭证!$J3263="","",记账凭证!$J3263)</f>
        <v/>
      </c>
      <c r="B1459" s="0" t="n">
        <f aca="false">IF(A1459="",0,IF(MATCH(A1459,$A$4:$A$1925,0)=ROW()-3,1,0))</f>
        <v>0</v>
      </c>
      <c r="C1459" s="0" t="n">
        <f aca="false">N(C1458)+B1459</f>
        <v>11</v>
      </c>
    </row>
    <row r="1460" customFormat="false" ht="13.5" hidden="false" customHeight="false" outlineLevel="0" collapsed="false">
      <c r="A1460" s="0" t="str">
        <f aca="false">IF(记账凭证!$J3264="","",记账凭证!$J3264)</f>
        <v/>
      </c>
      <c r="B1460" s="0" t="n">
        <f aca="false">IF(A1460="",0,IF(MATCH(A1460,$A$4:$A$1925,0)=ROW()-3,1,0))</f>
        <v>0</v>
      </c>
      <c r="C1460" s="0" t="n">
        <f aca="false">N(C1459)+B1460</f>
        <v>11</v>
      </c>
    </row>
    <row r="1461" customFormat="false" ht="13.5" hidden="false" customHeight="false" outlineLevel="0" collapsed="false">
      <c r="A1461" s="0" t="str">
        <f aca="false">IF(记账凭证!$J3265="","",记账凭证!$J3265)</f>
        <v/>
      </c>
      <c r="B1461" s="0" t="n">
        <f aca="false">IF(A1461="",0,IF(MATCH(A1461,$A$4:$A$1925,0)=ROW()-3,1,0))</f>
        <v>0</v>
      </c>
      <c r="C1461" s="0" t="n">
        <f aca="false">N(C1460)+B1461</f>
        <v>11</v>
      </c>
    </row>
    <row r="1462" customFormat="false" ht="13.5" hidden="false" customHeight="false" outlineLevel="0" collapsed="false">
      <c r="A1462" s="0" t="str">
        <f aca="false">IF(记账凭证!$J3266="","",记账凭证!$J3266)</f>
        <v/>
      </c>
      <c r="B1462" s="0" t="n">
        <f aca="false">IF(A1462="",0,IF(MATCH(A1462,$A$4:$A$1925,0)=ROW()-3,1,0))</f>
        <v>0</v>
      </c>
      <c r="C1462" s="0" t="n">
        <f aca="false">N(C1461)+B1462</f>
        <v>11</v>
      </c>
    </row>
    <row r="1463" customFormat="false" ht="13.5" hidden="false" customHeight="false" outlineLevel="0" collapsed="false">
      <c r="A1463" s="0" t="str">
        <f aca="false">IF(记账凭证!$J3267="","",记账凭证!$J3267)</f>
        <v/>
      </c>
      <c r="B1463" s="0" t="n">
        <f aca="false">IF(A1463="",0,IF(MATCH(A1463,$A$4:$A$1925,0)=ROW()-3,1,0))</f>
        <v>0</v>
      </c>
      <c r="C1463" s="0" t="n">
        <f aca="false">N(C1462)+B1463</f>
        <v>11</v>
      </c>
    </row>
    <row r="1464" customFormat="false" ht="13.5" hidden="false" customHeight="false" outlineLevel="0" collapsed="false">
      <c r="A1464" s="0" t="str">
        <f aca="false">IF(记账凭证!$J3268="","",记账凭证!$J3268)</f>
        <v/>
      </c>
      <c r="B1464" s="0" t="n">
        <f aca="false">IF(A1464="",0,IF(MATCH(A1464,$A$4:$A$1925,0)=ROW()-3,1,0))</f>
        <v>0</v>
      </c>
      <c r="C1464" s="0" t="n">
        <f aca="false">N(C1463)+B1464</f>
        <v>11</v>
      </c>
    </row>
    <row r="1465" customFormat="false" ht="13.5" hidden="false" customHeight="false" outlineLevel="0" collapsed="false">
      <c r="A1465" s="0" t="str">
        <f aca="false">IF(记账凭证!$J3269="","",记账凭证!$J3269)</f>
        <v/>
      </c>
      <c r="B1465" s="0" t="n">
        <f aca="false">IF(A1465="",0,IF(MATCH(A1465,$A$4:$A$1925,0)=ROW()-3,1,0))</f>
        <v>0</v>
      </c>
      <c r="C1465" s="0" t="n">
        <f aca="false">N(C1464)+B1465</f>
        <v>11</v>
      </c>
    </row>
    <row r="1466" customFormat="false" ht="13.5" hidden="false" customHeight="false" outlineLevel="0" collapsed="false">
      <c r="A1466" s="0" t="str">
        <f aca="false">IF(记账凭证!$J3270="","",记账凭证!$J3270)</f>
        <v/>
      </c>
      <c r="B1466" s="0" t="n">
        <f aca="false">IF(A1466="",0,IF(MATCH(A1466,$A$4:$A$1925,0)=ROW()-3,1,0))</f>
        <v>0</v>
      </c>
      <c r="C1466" s="0" t="n">
        <f aca="false">N(C1465)+B1466</f>
        <v>11</v>
      </c>
    </row>
    <row r="1467" customFormat="false" ht="13.5" hidden="false" customHeight="false" outlineLevel="0" collapsed="false">
      <c r="A1467" s="0" t="str">
        <f aca="false">IF(记账凭证!$J3271="","",记账凭证!$J3271)</f>
        <v/>
      </c>
      <c r="B1467" s="0" t="n">
        <f aca="false">IF(A1467="",0,IF(MATCH(A1467,$A$4:$A$1925,0)=ROW()-3,1,0))</f>
        <v>0</v>
      </c>
      <c r="C1467" s="0" t="n">
        <f aca="false">N(C1466)+B1467</f>
        <v>11</v>
      </c>
    </row>
    <row r="1468" customFormat="false" ht="13.5" hidden="false" customHeight="false" outlineLevel="0" collapsed="false">
      <c r="A1468" s="0" t="str">
        <f aca="false">IF(记账凭证!$J3272="","",记账凭证!$J3272)</f>
        <v/>
      </c>
      <c r="B1468" s="0" t="n">
        <f aca="false">IF(A1468="",0,IF(MATCH(A1468,$A$4:$A$1925,0)=ROW()-3,1,0))</f>
        <v>0</v>
      </c>
      <c r="C1468" s="0" t="n">
        <f aca="false">N(C1467)+B1468</f>
        <v>11</v>
      </c>
    </row>
    <row r="1469" customFormat="false" ht="13.5" hidden="false" customHeight="false" outlineLevel="0" collapsed="false">
      <c r="A1469" s="0" t="str">
        <f aca="false">IF(记账凭证!$J3273="","",记账凭证!$J3273)</f>
        <v/>
      </c>
      <c r="B1469" s="0" t="n">
        <f aca="false">IF(A1469="",0,IF(MATCH(A1469,$A$4:$A$1925,0)=ROW()-3,1,0))</f>
        <v>0</v>
      </c>
      <c r="C1469" s="0" t="n">
        <f aca="false">N(C1468)+B1469</f>
        <v>11</v>
      </c>
    </row>
    <row r="1470" customFormat="false" ht="13.5" hidden="false" customHeight="false" outlineLevel="0" collapsed="false">
      <c r="A1470" s="0" t="str">
        <f aca="false">IF(记账凭证!$J3274="","",记账凭证!$J3274)</f>
        <v/>
      </c>
      <c r="B1470" s="0" t="n">
        <f aca="false">IF(A1470="",0,IF(MATCH(A1470,$A$4:$A$1925,0)=ROW()-3,1,0))</f>
        <v>0</v>
      </c>
      <c r="C1470" s="0" t="n">
        <f aca="false">N(C1469)+B1470</f>
        <v>11</v>
      </c>
    </row>
    <row r="1471" customFormat="false" ht="13.5" hidden="false" customHeight="false" outlineLevel="0" collapsed="false">
      <c r="A1471" s="0" t="str">
        <f aca="false">IF(记账凭证!$J3275="","",记账凭证!$J3275)</f>
        <v/>
      </c>
      <c r="B1471" s="0" t="n">
        <f aca="false">IF(A1471="",0,IF(MATCH(A1471,$A$4:$A$1925,0)=ROW()-3,1,0))</f>
        <v>0</v>
      </c>
      <c r="C1471" s="0" t="n">
        <f aca="false">N(C1470)+B1471</f>
        <v>11</v>
      </c>
    </row>
    <row r="1472" customFormat="false" ht="13.5" hidden="false" customHeight="false" outlineLevel="0" collapsed="false">
      <c r="A1472" s="0" t="str">
        <f aca="false">IF(记账凭证!$J3276="","",记账凭证!$J3276)</f>
        <v/>
      </c>
      <c r="B1472" s="0" t="n">
        <f aca="false">IF(A1472="",0,IF(MATCH(A1472,$A$4:$A$1925,0)=ROW()-3,1,0))</f>
        <v>0</v>
      </c>
      <c r="C1472" s="0" t="n">
        <f aca="false">N(C1471)+B1472</f>
        <v>11</v>
      </c>
    </row>
    <row r="1473" customFormat="false" ht="13.5" hidden="false" customHeight="false" outlineLevel="0" collapsed="false">
      <c r="A1473" s="0" t="str">
        <f aca="false">IF(记账凭证!$J3277="","",记账凭证!$J3277)</f>
        <v/>
      </c>
      <c r="B1473" s="0" t="n">
        <f aca="false">IF(A1473="",0,IF(MATCH(A1473,$A$4:$A$1925,0)=ROW()-3,1,0))</f>
        <v>0</v>
      </c>
      <c r="C1473" s="0" t="n">
        <f aca="false">N(C1472)+B1473</f>
        <v>11</v>
      </c>
    </row>
    <row r="1474" customFormat="false" ht="13.5" hidden="false" customHeight="false" outlineLevel="0" collapsed="false">
      <c r="A1474" s="0" t="str">
        <f aca="false">IF(记账凭证!$J3278="","",记账凭证!$J3278)</f>
        <v/>
      </c>
      <c r="B1474" s="0" t="n">
        <f aca="false">IF(A1474="",0,IF(MATCH(A1474,$A$4:$A$1925,0)=ROW()-3,1,0))</f>
        <v>0</v>
      </c>
      <c r="C1474" s="0" t="n">
        <f aca="false">N(C1473)+B1474</f>
        <v>11</v>
      </c>
    </row>
    <row r="1475" customFormat="false" ht="13.5" hidden="false" customHeight="false" outlineLevel="0" collapsed="false">
      <c r="A1475" s="0" t="str">
        <f aca="false">IF(记账凭证!$J3279="","",记账凭证!$J3279)</f>
        <v/>
      </c>
      <c r="B1475" s="0" t="n">
        <f aca="false">IF(A1475="",0,IF(MATCH(A1475,$A$4:$A$1925,0)=ROW()-3,1,0))</f>
        <v>0</v>
      </c>
      <c r="C1475" s="0" t="n">
        <f aca="false">N(C1474)+B1475</f>
        <v>11</v>
      </c>
    </row>
    <row r="1476" customFormat="false" ht="13.5" hidden="false" customHeight="false" outlineLevel="0" collapsed="false">
      <c r="A1476" s="0" t="str">
        <f aca="false">IF(记账凭证!$J3280="","",记账凭证!$J3280)</f>
        <v/>
      </c>
      <c r="B1476" s="0" t="n">
        <f aca="false">IF(A1476="",0,IF(MATCH(A1476,$A$4:$A$1925,0)=ROW()-3,1,0))</f>
        <v>0</v>
      </c>
      <c r="C1476" s="0" t="n">
        <f aca="false">N(C1475)+B1476</f>
        <v>11</v>
      </c>
    </row>
    <row r="1477" customFormat="false" ht="13.5" hidden="false" customHeight="false" outlineLevel="0" collapsed="false">
      <c r="A1477" s="0" t="str">
        <f aca="false">IF(记账凭证!$J3281="","",记账凭证!$J3281)</f>
        <v/>
      </c>
      <c r="B1477" s="0" t="n">
        <f aca="false">IF(A1477="",0,IF(MATCH(A1477,$A$4:$A$1925,0)=ROW()-3,1,0))</f>
        <v>0</v>
      </c>
      <c r="C1477" s="0" t="n">
        <f aca="false">N(C1476)+B1477</f>
        <v>11</v>
      </c>
    </row>
    <row r="1478" customFormat="false" ht="13.5" hidden="false" customHeight="false" outlineLevel="0" collapsed="false">
      <c r="A1478" s="0" t="str">
        <f aca="false">IF(记账凭证!$J3282="","",记账凭证!$J3282)</f>
        <v/>
      </c>
      <c r="B1478" s="0" t="n">
        <f aca="false">IF(A1478="",0,IF(MATCH(A1478,$A$4:$A$1925,0)=ROW()-3,1,0))</f>
        <v>0</v>
      </c>
      <c r="C1478" s="0" t="n">
        <f aca="false">N(C1477)+B1478</f>
        <v>11</v>
      </c>
    </row>
    <row r="1479" customFormat="false" ht="13.5" hidden="false" customHeight="false" outlineLevel="0" collapsed="false">
      <c r="A1479" s="0" t="str">
        <f aca="false">IF(记账凭证!$J3283="","",记账凭证!$J3283)</f>
        <v/>
      </c>
      <c r="B1479" s="0" t="n">
        <f aca="false">IF(A1479="",0,IF(MATCH(A1479,$A$4:$A$1925,0)=ROW()-3,1,0))</f>
        <v>0</v>
      </c>
      <c r="C1479" s="0" t="n">
        <f aca="false">N(C1478)+B1479</f>
        <v>11</v>
      </c>
    </row>
    <row r="1480" customFormat="false" ht="13.5" hidden="false" customHeight="false" outlineLevel="0" collapsed="false">
      <c r="A1480" s="0" t="str">
        <f aca="false">IF(记账凭证!$J3284="","",记账凭证!$J3284)</f>
        <v/>
      </c>
      <c r="B1480" s="0" t="n">
        <f aca="false">IF(A1480="",0,IF(MATCH(A1480,$A$4:$A$1925,0)=ROW()-3,1,0))</f>
        <v>0</v>
      </c>
      <c r="C1480" s="0" t="n">
        <f aca="false">N(C1479)+B1480</f>
        <v>11</v>
      </c>
    </row>
    <row r="1481" customFormat="false" ht="13.5" hidden="false" customHeight="false" outlineLevel="0" collapsed="false">
      <c r="A1481" s="0" t="str">
        <f aca="false">IF(记账凭证!$J3285="","",记账凭证!$J3285)</f>
        <v/>
      </c>
      <c r="B1481" s="0" t="n">
        <f aca="false">IF(A1481="",0,IF(MATCH(A1481,$A$4:$A$1925,0)=ROW()-3,1,0))</f>
        <v>0</v>
      </c>
      <c r="C1481" s="0" t="n">
        <f aca="false">N(C1480)+B1481</f>
        <v>11</v>
      </c>
    </row>
    <row r="1482" customFormat="false" ht="13.5" hidden="false" customHeight="false" outlineLevel="0" collapsed="false">
      <c r="A1482" s="0" t="str">
        <f aca="false">IF(记账凭证!$J3286="","",记账凭证!$J3286)</f>
        <v/>
      </c>
      <c r="B1482" s="0" t="n">
        <f aca="false">IF(A1482="",0,IF(MATCH(A1482,$A$4:$A$1925,0)=ROW()-3,1,0))</f>
        <v>0</v>
      </c>
      <c r="C1482" s="0" t="n">
        <f aca="false">N(C1481)+B1482</f>
        <v>11</v>
      </c>
    </row>
    <row r="1483" customFormat="false" ht="13.5" hidden="false" customHeight="false" outlineLevel="0" collapsed="false">
      <c r="A1483" s="0" t="str">
        <f aca="false">IF(记账凭证!$J3287="","",记账凭证!$J3287)</f>
        <v/>
      </c>
      <c r="B1483" s="0" t="n">
        <f aca="false">IF(A1483="",0,IF(MATCH(A1483,$A$4:$A$1925,0)=ROW()-3,1,0))</f>
        <v>0</v>
      </c>
      <c r="C1483" s="0" t="n">
        <f aca="false">N(C1482)+B1483</f>
        <v>11</v>
      </c>
    </row>
    <row r="1484" customFormat="false" ht="13.5" hidden="false" customHeight="false" outlineLevel="0" collapsed="false">
      <c r="A1484" s="0" t="str">
        <f aca="false">IF(记账凭证!$J3288="","",记账凭证!$J3288)</f>
        <v/>
      </c>
      <c r="B1484" s="0" t="n">
        <f aca="false">IF(A1484="",0,IF(MATCH(A1484,$A$4:$A$1925,0)=ROW()-3,1,0))</f>
        <v>0</v>
      </c>
      <c r="C1484" s="0" t="n">
        <f aca="false">N(C1483)+B1484</f>
        <v>11</v>
      </c>
    </row>
    <row r="1485" customFormat="false" ht="13.5" hidden="false" customHeight="false" outlineLevel="0" collapsed="false">
      <c r="A1485" s="0" t="str">
        <f aca="false">IF(记账凭证!$J3289="","",记账凭证!$J3289)</f>
        <v/>
      </c>
      <c r="B1485" s="0" t="n">
        <f aca="false">IF(A1485="",0,IF(MATCH(A1485,$A$4:$A$1925,0)=ROW()-3,1,0))</f>
        <v>0</v>
      </c>
      <c r="C1485" s="0" t="n">
        <f aca="false">N(C1484)+B1485</f>
        <v>11</v>
      </c>
    </row>
    <row r="1486" customFormat="false" ht="13.5" hidden="false" customHeight="false" outlineLevel="0" collapsed="false">
      <c r="A1486" s="0" t="str">
        <f aca="false">IF(记账凭证!$J3290="","",记账凭证!$J3290)</f>
        <v/>
      </c>
      <c r="B1486" s="0" t="n">
        <f aca="false">IF(A1486="",0,IF(MATCH(A1486,$A$4:$A$1925,0)=ROW()-3,1,0))</f>
        <v>0</v>
      </c>
      <c r="C1486" s="0" t="n">
        <f aca="false">N(C1485)+B1486</f>
        <v>11</v>
      </c>
    </row>
    <row r="1487" customFormat="false" ht="13.5" hidden="false" customHeight="false" outlineLevel="0" collapsed="false">
      <c r="A1487" s="0" t="str">
        <f aca="false">IF(记账凭证!$J3291="","",记账凭证!$J3291)</f>
        <v/>
      </c>
      <c r="B1487" s="0" t="n">
        <f aca="false">IF(A1487="",0,IF(MATCH(A1487,$A$4:$A$1925,0)=ROW()-3,1,0))</f>
        <v>0</v>
      </c>
      <c r="C1487" s="0" t="n">
        <f aca="false">N(C1486)+B1487</f>
        <v>11</v>
      </c>
    </row>
    <row r="1488" customFormat="false" ht="13.5" hidden="false" customHeight="false" outlineLevel="0" collapsed="false">
      <c r="A1488" s="0" t="str">
        <f aca="false">IF(记账凭证!$J3292="","",记账凭证!$J3292)</f>
        <v/>
      </c>
      <c r="B1488" s="0" t="n">
        <f aca="false">IF(A1488="",0,IF(MATCH(A1488,$A$4:$A$1925,0)=ROW()-3,1,0))</f>
        <v>0</v>
      </c>
      <c r="C1488" s="0" t="n">
        <f aca="false">N(C1487)+B1488</f>
        <v>11</v>
      </c>
    </row>
    <row r="1489" customFormat="false" ht="13.5" hidden="false" customHeight="false" outlineLevel="0" collapsed="false">
      <c r="A1489" s="0" t="str">
        <f aca="false">IF(记账凭证!$J3293="","",记账凭证!$J3293)</f>
        <v/>
      </c>
      <c r="B1489" s="0" t="n">
        <f aca="false">IF(A1489="",0,IF(MATCH(A1489,$A$4:$A$1925,0)=ROW()-3,1,0))</f>
        <v>0</v>
      </c>
      <c r="C1489" s="0" t="n">
        <f aca="false">N(C1488)+B1489</f>
        <v>11</v>
      </c>
    </row>
    <row r="1490" customFormat="false" ht="13.5" hidden="false" customHeight="false" outlineLevel="0" collapsed="false">
      <c r="A1490" s="0" t="str">
        <f aca="false">IF(记账凭证!$J3294="","",记账凭证!$J3294)</f>
        <v/>
      </c>
      <c r="B1490" s="0" t="n">
        <f aca="false">IF(A1490="",0,IF(MATCH(A1490,$A$4:$A$1925,0)=ROW()-3,1,0))</f>
        <v>0</v>
      </c>
      <c r="C1490" s="0" t="n">
        <f aca="false">N(C1489)+B1490</f>
        <v>11</v>
      </c>
    </row>
    <row r="1491" customFormat="false" ht="13.5" hidden="false" customHeight="false" outlineLevel="0" collapsed="false">
      <c r="A1491" s="0" t="str">
        <f aca="false">IF(记账凭证!$J3295="","",记账凭证!$J3295)</f>
        <v/>
      </c>
      <c r="B1491" s="0" t="n">
        <f aca="false">IF(A1491="",0,IF(MATCH(A1491,$A$4:$A$1925,0)=ROW()-3,1,0))</f>
        <v>0</v>
      </c>
      <c r="C1491" s="0" t="n">
        <f aca="false">N(C1490)+B1491</f>
        <v>11</v>
      </c>
    </row>
    <row r="1492" customFormat="false" ht="13.5" hidden="false" customHeight="false" outlineLevel="0" collapsed="false">
      <c r="A1492" s="0" t="str">
        <f aca="false">IF(记账凭证!$J3296="","",记账凭证!$J3296)</f>
        <v/>
      </c>
      <c r="B1492" s="0" t="n">
        <f aca="false">IF(A1492="",0,IF(MATCH(A1492,$A$4:$A$1925,0)=ROW()-3,1,0))</f>
        <v>0</v>
      </c>
      <c r="C1492" s="0" t="n">
        <f aca="false">N(C1491)+B1492</f>
        <v>11</v>
      </c>
    </row>
    <row r="1493" customFormat="false" ht="13.5" hidden="false" customHeight="false" outlineLevel="0" collapsed="false">
      <c r="A1493" s="0" t="str">
        <f aca="false">IF(记账凭证!$J3297="","",记账凭证!$J3297)</f>
        <v/>
      </c>
      <c r="B1493" s="0" t="n">
        <f aca="false">IF(A1493="",0,IF(MATCH(A1493,$A$4:$A$1925,0)=ROW()-3,1,0))</f>
        <v>0</v>
      </c>
      <c r="C1493" s="0" t="n">
        <f aca="false">N(C1492)+B1493</f>
        <v>11</v>
      </c>
    </row>
    <row r="1494" customFormat="false" ht="13.5" hidden="false" customHeight="false" outlineLevel="0" collapsed="false">
      <c r="A1494" s="0" t="str">
        <f aca="false">IF(记账凭证!$J3298="","",记账凭证!$J3298)</f>
        <v/>
      </c>
      <c r="B1494" s="0" t="n">
        <f aca="false">IF(A1494="",0,IF(MATCH(A1494,$A$4:$A$1925,0)=ROW()-3,1,0))</f>
        <v>0</v>
      </c>
      <c r="C1494" s="0" t="n">
        <f aca="false">N(C1493)+B1494</f>
        <v>11</v>
      </c>
    </row>
    <row r="1495" customFormat="false" ht="13.5" hidden="false" customHeight="false" outlineLevel="0" collapsed="false">
      <c r="A1495" s="0" t="str">
        <f aca="false">IF(记账凭证!$J3299="","",记账凭证!$J3299)</f>
        <v/>
      </c>
      <c r="B1495" s="0" t="n">
        <f aca="false">IF(A1495="",0,IF(MATCH(A1495,$A$4:$A$1925,0)=ROW()-3,1,0))</f>
        <v>0</v>
      </c>
      <c r="C1495" s="0" t="n">
        <f aca="false">N(C1494)+B1495</f>
        <v>11</v>
      </c>
    </row>
    <row r="1496" customFormat="false" ht="13.5" hidden="false" customHeight="false" outlineLevel="0" collapsed="false">
      <c r="A1496" s="0" t="str">
        <f aca="false">IF(记账凭证!$J3300="","",记账凭证!$J3300)</f>
        <v/>
      </c>
      <c r="B1496" s="0" t="n">
        <f aca="false">IF(A1496="",0,IF(MATCH(A1496,$A$4:$A$1925,0)=ROW()-3,1,0))</f>
        <v>0</v>
      </c>
      <c r="C1496" s="0" t="n">
        <f aca="false">N(C1495)+B1496</f>
        <v>11</v>
      </c>
    </row>
    <row r="1497" customFormat="false" ht="13.5" hidden="false" customHeight="false" outlineLevel="0" collapsed="false">
      <c r="A1497" s="0" t="str">
        <f aca="false">IF(记账凭证!$J3301="","",记账凭证!$J3301)</f>
        <v/>
      </c>
      <c r="B1497" s="0" t="n">
        <f aca="false">IF(A1497="",0,IF(MATCH(A1497,$A$4:$A$1925,0)=ROW()-3,1,0))</f>
        <v>0</v>
      </c>
      <c r="C1497" s="0" t="n">
        <f aca="false">N(C1496)+B1497</f>
        <v>11</v>
      </c>
    </row>
    <row r="1498" customFormat="false" ht="13.5" hidden="false" customHeight="false" outlineLevel="0" collapsed="false">
      <c r="A1498" s="0" t="str">
        <f aca="false">IF(记账凭证!$J3302="","",记账凭证!$J3302)</f>
        <v/>
      </c>
      <c r="B1498" s="0" t="n">
        <f aca="false">IF(A1498="",0,IF(MATCH(A1498,$A$4:$A$1925,0)=ROW()-3,1,0))</f>
        <v>0</v>
      </c>
      <c r="C1498" s="0" t="n">
        <f aca="false">N(C1497)+B1498</f>
        <v>11</v>
      </c>
    </row>
    <row r="1499" customFormat="false" ht="13.5" hidden="false" customHeight="false" outlineLevel="0" collapsed="false">
      <c r="A1499" s="0" t="str">
        <f aca="false">IF(记账凭证!$J3303="","",记账凭证!$J3303)</f>
        <v/>
      </c>
      <c r="B1499" s="0" t="n">
        <f aca="false">IF(A1499="",0,IF(MATCH(A1499,$A$4:$A$1925,0)=ROW()-3,1,0))</f>
        <v>0</v>
      </c>
      <c r="C1499" s="0" t="n">
        <f aca="false">N(C1498)+B1499</f>
        <v>11</v>
      </c>
    </row>
    <row r="1500" customFormat="false" ht="13.5" hidden="false" customHeight="false" outlineLevel="0" collapsed="false">
      <c r="A1500" s="0" t="str">
        <f aca="false">IF(记账凭证!$J3304="","",记账凭证!$J3304)</f>
        <v/>
      </c>
      <c r="B1500" s="0" t="n">
        <f aca="false">IF(A1500="",0,IF(MATCH(A1500,$A$4:$A$1925,0)=ROW()-3,1,0))</f>
        <v>0</v>
      </c>
      <c r="C1500" s="0" t="n">
        <f aca="false">N(C1499)+B1500</f>
        <v>11</v>
      </c>
    </row>
    <row r="1501" customFormat="false" ht="13.5" hidden="false" customHeight="false" outlineLevel="0" collapsed="false">
      <c r="A1501" s="0" t="str">
        <f aca="false">IF(记账凭证!$J3305="","",记账凭证!$J3305)</f>
        <v/>
      </c>
      <c r="B1501" s="0" t="n">
        <f aca="false">IF(A1501="",0,IF(MATCH(A1501,$A$4:$A$1925,0)=ROW()-3,1,0))</f>
        <v>0</v>
      </c>
      <c r="C1501" s="0" t="n">
        <f aca="false">N(C1500)+B1501</f>
        <v>11</v>
      </c>
    </row>
    <row r="1502" customFormat="false" ht="13.5" hidden="false" customHeight="false" outlineLevel="0" collapsed="false">
      <c r="A1502" s="0" t="str">
        <f aca="false">IF(记账凭证!$J3306="","",记账凭证!$J3306)</f>
        <v/>
      </c>
      <c r="B1502" s="0" t="n">
        <f aca="false">IF(A1502="",0,IF(MATCH(A1502,$A$4:$A$1925,0)=ROW()-3,1,0))</f>
        <v>0</v>
      </c>
      <c r="C1502" s="0" t="n">
        <f aca="false">N(C1501)+B1502</f>
        <v>11</v>
      </c>
    </row>
    <row r="1503" customFormat="false" ht="13.5" hidden="false" customHeight="false" outlineLevel="0" collapsed="false">
      <c r="A1503" s="0" t="str">
        <f aca="false">IF(记账凭证!$J3307="","",记账凭证!$J3307)</f>
        <v/>
      </c>
      <c r="B1503" s="0" t="n">
        <f aca="false">IF(A1503="",0,IF(MATCH(A1503,$A$4:$A$1925,0)=ROW()-3,1,0))</f>
        <v>0</v>
      </c>
      <c r="C1503" s="0" t="n">
        <f aca="false">N(C1502)+B1503</f>
        <v>11</v>
      </c>
    </row>
    <row r="1504" customFormat="false" ht="13.5" hidden="false" customHeight="false" outlineLevel="0" collapsed="false">
      <c r="A1504" s="0" t="str">
        <f aca="false">IF(记账凭证!$J3308="","",记账凭证!$J3308)</f>
        <v/>
      </c>
      <c r="B1504" s="0" t="n">
        <f aca="false">IF(A1504="",0,IF(MATCH(A1504,$A$4:$A$1925,0)=ROW()-3,1,0))</f>
        <v>0</v>
      </c>
      <c r="C1504" s="0" t="n">
        <f aca="false">N(C1503)+B1504</f>
        <v>11</v>
      </c>
    </row>
    <row r="1505" customFormat="false" ht="13.5" hidden="false" customHeight="false" outlineLevel="0" collapsed="false">
      <c r="A1505" s="0" t="str">
        <f aca="false">IF(记账凭证!$J3309="","",记账凭证!$J3309)</f>
        <v/>
      </c>
      <c r="B1505" s="0" t="n">
        <f aca="false">IF(A1505="",0,IF(MATCH(A1505,$A$4:$A$1925,0)=ROW()-3,1,0))</f>
        <v>0</v>
      </c>
      <c r="C1505" s="0" t="n">
        <f aca="false">N(C1504)+B1505</f>
        <v>11</v>
      </c>
    </row>
    <row r="1506" customFormat="false" ht="13.5" hidden="false" customHeight="false" outlineLevel="0" collapsed="false">
      <c r="A1506" s="0" t="str">
        <f aca="false">IF(记账凭证!$J3310="","",记账凭证!$J3310)</f>
        <v/>
      </c>
      <c r="B1506" s="0" t="n">
        <f aca="false">IF(A1506="",0,IF(MATCH(A1506,$A$4:$A$1925,0)=ROW()-3,1,0))</f>
        <v>0</v>
      </c>
      <c r="C1506" s="0" t="n">
        <f aca="false">N(C1505)+B1506</f>
        <v>11</v>
      </c>
    </row>
    <row r="1507" customFormat="false" ht="13.5" hidden="false" customHeight="false" outlineLevel="0" collapsed="false">
      <c r="A1507" s="0" t="str">
        <f aca="false">IF(记账凭证!$J3311="","",记账凭证!$J3311)</f>
        <v/>
      </c>
      <c r="B1507" s="0" t="n">
        <f aca="false">IF(A1507="",0,IF(MATCH(A1507,$A$4:$A$1925,0)=ROW()-3,1,0))</f>
        <v>0</v>
      </c>
      <c r="C1507" s="0" t="n">
        <f aca="false">N(C1506)+B1507</f>
        <v>11</v>
      </c>
    </row>
    <row r="1508" customFormat="false" ht="13.5" hidden="false" customHeight="false" outlineLevel="0" collapsed="false">
      <c r="A1508" s="0" t="str">
        <f aca="false">IF(记账凭证!$J3312="","",记账凭证!$J3312)</f>
        <v/>
      </c>
      <c r="B1508" s="0" t="n">
        <f aca="false">IF(A1508="",0,IF(MATCH(A1508,$A$4:$A$1925,0)=ROW()-3,1,0))</f>
        <v>0</v>
      </c>
      <c r="C1508" s="0" t="n">
        <f aca="false">N(C1507)+B1508</f>
        <v>11</v>
      </c>
    </row>
    <row r="1509" customFormat="false" ht="13.5" hidden="false" customHeight="false" outlineLevel="0" collapsed="false">
      <c r="A1509" s="0" t="str">
        <f aca="false">IF(记账凭证!$J3313="","",记账凭证!$J3313)</f>
        <v/>
      </c>
      <c r="B1509" s="0" t="n">
        <f aca="false">IF(A1509="",0,IF(MATCH(A1509,$A$4:$A$1925,0)=ROW()-3,1,0))</f>
        <v>0</v>
      </c>
      <c r="C1509" s="0" t="n">
        <f aca="false">N(C1508)+B1509</f>
        <v>11</v>
      </c>
    </row>
    <row r="1510" customFormat="false" ht="13.5" hidden="false" customHeight="false" outlineLevel="0" collapsed="false">
      <c r="A1510" s="0" t="str">
        <f aca="false">IF(记账凭证!$J3314="","",记账凭证!$J3314)</f>
        <v/>
      </c>
      <c r="B1510" s="0" t="n">
        <f aca="false">IF(A1510="",0,IF(MATCH(A1510,$A$4:$A$1925,0)=ROW()-3,1,0))</f>
        <v>0</v>
      </c>
      <c r="C1510" s="0" t="n">
        <f aca="false">N(C1509)+B1510</f>
        <v>11</v>
      </c>
    </row>
    <row r="1511" customFormat="false" ht="13.5" hidden="false" customHeight="false" outlineLevel="0" collapsed="false">
      <c r="A1511" s="0" t="str">
        <f aca="false">IF(记账凭证!$J3315="","",记账凭证!$J3315)</f>
        <v/>
      </c>
      <c r="B1511" s="0" t="n">
        <f aca="false">IF(A1511="",0,IF(MATCH(A1511,$A$4:$A$1925,0)=ROW()-3,1,0))</f>
        <v>0</v>
      </c>
      <c r="C1511" s="0" t="n">
        <f aca="false">N(C1510)+B1511</f>
        <v>11</v>
      </c>
    </row>
    <row r="1512" customFormat="false" ht="13.5" hidden="false" customHeight="false" outlineLevel="0" collapsed="false">
      <c r="A1512" s="0" t="str">
        <f aca="false">IF(记账凭证!$J3316="","",记账凭证!$J3316)</f>
        <v/>
      </c>
      <c r="B1512" s="0" t="n">
        <f aca="false">IF(A1512="",0,IF(MATCH(A1512,$A$4:$A$1925,0)=ROW()-3,1,0))</f>
        <v>0</v>
      </c>
      <c r="C1512" s="0" t="n">
        <f aca="false">N(C1511)+B1512</f>
        <v>11</v>
      </c>
    </row>
    <row r="1513" customFormat="false" ht="13.5" hidden="false" customHeight="false" outlineLevel="0" collapsed="false">
      <c r="A1513" s="0" t="str">
        <f aca="false">IF(记账凭证!$J3317="","",记账凭证!$J3317)</f>
        <v/>
      </c>
      <c r="B1513" s="0" t="n">
        <f aca="false">IF(A1513="",0,IF(MATCH(A1513,$A$4:$A$1925,0)=ROW()-3,1,0))</f>
        <v>0</v>
      </c>
      <c r="C1513" s="0" t="n">
        <f aca="false">N(C1512)+B1513</f>
        <v>11</v>
      </c>
    </row>
    <row r="1514" customFormat="false" ht="13.5" hidden="false" customHeight="false" outlineLevel="0" collapsed="false">
      <c r="A1514" s="0" t="str">
        <f aca="false">IF(记账凭证!$J3318="","",记账凭证!$J3318)</f>
        <v/>
      </c>
      <c r="B1514" s="0" t="n">
        <f aca="false">IF(A1514="",0,IF(MATCH(A1514,$A$4:$A$1925,0)=ROW()-3,1,0))</f>
        <v>0</v>
      </c>
      <c r="C1514" s="0" t="n">
        <f aca="false">N(C1513)+B1514</f>
        <v>11</v>
      </c>
    </row>
    <row r="1515" customFormat="false" ht="13.5" hidden="false" customHeight="false" outlineLevel="0" collapsed="false">
      <c r="A1515" s="0" t="str">
        <f aca="false">IF(记账凭证!$J3319="","",记账凭证!$J3319)</f>
        <v/>
      </c>
      <c r="B1515" s="0" t="n">
        <f aca="false">IF(A1515="",0,IF(MATCH(A1515,$A$4:$A$1925,0)=ROW()-3,1,0))</f>
        <v>0</v>
      </c>
      <c r="C1515" s="0" t="n">
        <f aca="false">N(C1514)+B1515</f>
        <v>11</v>
      </c>
    </row>
    <row r="1516" customFormat="false" ht="13.5" hidden="false" customHeight="false" outlineLevel="0" collapsed="false">
      <c r="A1516" s="0" t="str">
        <f aca="false">IF(记账凭证!$J3320="","",记账凭证!$J3320)</f>
        <v/>
      </c>
      <c r="B1516" s="0" t="n">
        <f aca="false">IF(A1516="",0,IF(MATCH(A1516,$A$4:$A$1925,0)=ROW()-3,1,0))</f>
        <v>0</v>
      </c>
      <c r="C1516" s="0" t="n">
        <f aca="false">N(C1515)+B1516</f>
        <v>11</v>
      </c>
    </row>
    <row r="1517" customFormat="false" ht="13.5" hidden="false" customHeight="false" outlineLevel="0" collapsed="false">
      <c r="A1517" s="0" t="str">
        <f aca="false">IF(记账凭证!$J3321="","",记账凭证!$J3321)</f>
        <v/>
      </c>
      <c r="B1517" s="0" t="n">
        <f aca="false">IF(A1517="",0,IF(MATCH(A1517,$A$4:$A$1925,0)=ROW()-3,1,0))</f>
        <v>0</v>
      </c>
      <c r="C1517" s="0" t="n">
        <f aca="false">N(C1516)+B1517</f>
        <v>11</v>
      </c>
    </row>
    <row r="1518" customFormat="false" ht="13.5" hidden="false" customHeight="false" outlineLevel="0" collapsed="false">
      <c r="A1518" s="0" t="str">
        <f aca="false">IF(记账凭证!$J3322="","",记账凭证!$J3322)</f>
        <v/>
      </c>
      <c r="B1518" s="0" t="n">
        <f aca="false">IF(A1518="",0,IF(MATCH(A1518,$A$4:$A$1925,0)=ROW()-3,1,0))</f>
        <v>0</v>
      </c>
      <c r="C1518" s="0" t="n">
        <f aca="false">N(C1517)+B1518</f>
        <v>11</v>
      </c>
    </row>
    <row r="1519" customFormat="false" ht="13.5" hidden="false" customHeight="false" outlineLevel="0" collapsed="false">
      <c r="A1519" s="0" t="str">
        <f aca="false">IF(记账凭证!$J3323="","",记账凭证!$J3323)</f>
        <v/>
      </c>
      <c r="B1519" s="0" t="n">
        <f aca="false">IF(A1519="",0,IF(MATCH(A1519,$A$4:$A$1925,0)=ROW()-3,1,0))</f>
        <v>0</v>
      </c>
      <c r="C1519" s="0" t="n">
        <f aca="false">N(C1518)+B1519</f>
        <v>11</v>
      </c>
    </row>
    <row r="1520" customFormat="false" ht="13.5" hidden="false" customHeight="false" outlineLevel="0" collapsed="false">
      <c r="A1520" s="0" t="str">
        <f aca="false">IF(记账凭证!$J3324="","",记账凭证!$J3324)</f>
        <v/>
      </c>
      <c r="B1520" s="0" t="n">
        <f aca="false">IF(A1520="",0,IF(MATCH(A1520,$A$4:$A$1925,0)=ROW()-3,1,0))</f>
        <v>0</v>
      </c>
      <c r="C1520" s="0" t="n">
        <f aca="false">N(C1519)+B1520</f>
        <v>11</v>
      </c>
    </row>
    <row r="1521" customFormat="false" ht="13.5" hidden="false" customHeight="false" outlineLevel="0" collapsed="false">
      <c r="A1521" s="0" t="str">
        <f aca="false">IF(记账凭证!$J3325="","",记账凭证!$J3325)</f>
        <v/>
      </c>
      <c r="B1521" s="0" t="n">
        <f aca="false">IF(A1521="",0,IF(MATCH(A1521,$A$4:$A$1925,0)=ROW()-3,1,0))</f>
        <v>0</v>
      </c>
      <c r="C1521" s="0" t="n">
        <f aca="false">N(C1520)+B1521</f>
        <v>11</v>
      </c>
    </row>
    <row r="1522" customFormat="false" ht="13.5" hidden="false" customHeight="false" outlineLevel="0" collapsed="false">
      <c r="A1522" s="0" t="str">
        <f aca="false">IF(记账凭证!$J3326="","",记账凭证!$J3326)</f>
        <v/>
      </c>
      <c r="B1522" s="0" t="n">
        <f aca="false">IF(A1522="",0,IF(MATCH(A1522,$A$4:$A$1925,0)=ROW()-3,1,0))</f>
        <v>0</v>
      </c>
      <c r="C1522" s="0" t="n">
        <f aca="false">N(C1521)+B1522</f>
        <v>11</v>
      </c>
    </row>
    <row r="1523" customFormat="false" ht="13.5" hidden="false" customHeight="false" outlineLevel="0" collapsed="false">
      <c r="A1523" s="0" t="str">
        <f aca="false">IF(记账凭证!$J3327="","",记账凭证!$J3327)</f>
        <v/>
      </c>
      <c r="B1523" s="0" t="n">
        <f aca="false">IF(A1523="",0,IF(MATCH(A1523,$A$4:$A$1925,0)=ROW()-3,1,0))</f>
        <v>0</v>
      </c>
      <c r="C1523" s="0" t="n">
        <f aca="false">N(C1522)+B1523</f>
        <v>11</v>
      </c>
    </row>
    <row r="1524" customFormat="false" ht="13.5" hidden="false" customHeight="false" outlineLevel="0" collapsed="false">
      <c r="A1524" s="0" t="str">
        <f aca="false">IF(记账凭证!$J3328="","",记账凭证!$J3328)</f>
        <v/>
      </c>
      <c r="B1524" s="0" t="n">
        <f aca="false">IF(A1524="",0,IF(MATCH(A1524,$A$4:$A$1925,0)=ROW()-3,1,0))</f>
        <v>0</v>
      </c>
      <c r="C1524" s="0" t="n">
        <f aca="false">N(C1523)+B1524</f>
        <v>11</v>
      </c>
    </row>
    <row r="1525" customFormat="false" ht="13.5" hidden="false" customHeight="false" outlineLevel="0" collapsed="false">
      <c r="A1525" s="0" t="str">
        <f aca="false">IF(记账凭证!$J3329="","",记账凭证!$J3329)</f>
        <v/>
      </c>
      <c r="B1525" s="0" t="n">
        <f aca="false">IF(A1525="",0,IF(MATCH(A1525,$A$4:$A$1925,0)=ROW()-3,1,0))</f>
        <v>0</v>
      </c>
      <c r="C1525" s="0" t="n">
        <f aca="false">N(C1524)+B1525</f>
        <v>11</v>
      </c>
    </row>
    <row r="1526" customFormat="false" ht="13.5" hidden="false" customHeight="false" outlineLevel="0" collapsed="false">
      <c r="A1526" s="0" t="str">
        <f aca="false">IF(记账凭证!$J3330="","",记账凭证!$J3330)</f>
        <v/>
      </c>
      <c r="B1526" s="0" t="n">
        <f aca="false">IF(A1526="",0,IF(MATCH(A1526,$A$4:$A$1925,0)=ROW()-3,1,0))</f>
        <v>0</v>
      </c>
      <c r="C1526" s="0" t="n">
        <f aca="false">N(C1525)+B1526</f>
        <v>11</v>
      </c>
    </row>
    <row r="1527" customFormat="false" ht="13.5" hidden="false" customHeight="false" outlineLevel="0" collapsed="false">
      <c r="A1527" s="0" t="str">
        <f aca="false">IF(记账凭证!$J3331="","",记账凭证!$J3331)</f>
        <v/>
      </c>
      <c r="B1527" s="0" t="n">
        <f aca="false">IF(A1527="",0,IF(MATCH(A1527,$A$4:$A$1925,0)=ROW()-3,1,0))</f>
        <v>0</v>
      </c>
      <c r="C1527" s="0" t="n">
        <f aca="false">N(C1526)+B1527</f>
        <v>11</v>
      </c>
    </row>
    <row r="1528" customFormat="false" ht="13.5" hidden="false" customHeight="false" outlineLevel="0" collapsed="false">
      <c r="A1528" s="0" t="str">
        <f aca="false">IF(记账凭证!$J3332="","",记账凭证!$J3332)</f>
        <v/>
      </c>
      <c r="B1528" s="0" t="n">
        <f aca="false">IF(A1528="",0,IF(MATCH(A1528,$A$4:$A$1925,0)=ROW()-3,1,0))</f>
        <v>0</v>
      </c>
      <c r="C1528" s="0" t="n">
        <f aca="false">N(C1527)+B1528</f>
        <v>11</v>
      </c>
    </row>
    <row r="1529" customFormat="false" ht="13.5" hidden="false" customHeight="false" outlineLevel="0" collapsed="false">
      <c r="A1529" s="0" t="str">
        <f aca="false">IF(记账凭证!$J3333="","",记账凭证!$J3333)</f>
        <v/>
      </c>
      <c r="B1529" s="0" t="n">
        <f aca="false">IF(A1529="",0,IF(MATCH(A1529,$A$4:$A$1925,0)=ROW()-3,1,0))</f>
        <v>0</v>
      </c>
      <c r="C1529" s="0" t="n">
        <f aca="false">N(C1528)+B1529</f>
        <v>11</v>
      </c>
    </row>
    <row r="1530" customFormat="false" ht="13.5" hidden="false" customHeight="false" outlineLevel="0" collapsed="false">
      <c r="A1530" s="0" t="str">
        <f aca="false">IF(记账凭证!$J3334="","",记账凭证!$J3334)</f>
        <v/>
      </c>
      <c r="B1530" s="0" t="n">
        <f aca="false">IF(A1530="",0,IF(MATCH(A1530,$A$4:$A$1925,0)=ROW()-3,1,0))</f>
        <v>0</v>
      </c>
      <c r="C1530" s="0" t="n">
        <f aca="false">N(C1529)+B1530</f>
        <v>11</v>
      </c>
    </row>
    <row r="1531" customFormat="false" ht="13.5" hidden="false" customHeight="false" outlineLevel="0" collapsed="false">
      <c r="A1531" s="0" t="str">
        <f aca="false">IF(记账凭证!$J3335="","",记账凭证!$J3335)</f>
        <v/>
      </c>
      <c r="B1531" s="0" t="n">
        <f aca="false">IF(A1531="",0,IF(MATCH(A1531,$A$4:$A$1925,0)=ROW()-3,1,0))</f>
        <v>0</v>
      </c>
      <c r="C1531" s="0" t="n">
        <f aca="false">N(C1530)+B1531</f>
        <v>11</v>
      </c>
    </row>
    <row r="1532" customFormat="false" ht="13.5" hidden="false" customHeight="false" outlineLevel="0" collapsed="false">
      <c r="A1532" s="0" t="str">
        <f aca="false">IF(记账凭证!$J3336="","",记账凭证!$J3336)</f>
        <v/>
      </c>
      <c r="B1532" s="0" t="n">
        <f aca="false">IF(A1532="",0,IF(MATCH(A1532,$A$4:$A$1925,0)=ROW()-3,1,0))</f>
        <v>0</v>
      </c>
      <c r="C1532" s="0" t="n">
        <f aca="false">N(C1531)+B1532</f>
        <v>11</v>
      </c>
    </row>
    <row r="1533" customFormat="false" ht="13.5" hidden="false" customHeight="false" outlineLevel="0" collapsed="false">
      <c r="A1533" s="0" t="str">
        <f aca="false">IF(记账凭证!$J3337="","",记账凭证!$J3337)</f>
        <v/>
      </c>
      <c r="B1533" s="0" t="n">
        <f aca="false">IF(A1533="",0,IF(MATCH(A1533,$A$4:$A$1925,0)=ROW()-3,1,0))</f>
        <v>0</v>
      </c>
      <c r="C1533" s="0" t="n">
        <f aca="false">N(C1532)+B1533</f>
        <v>11</v>
      </c>
    </row>
    <row r="1534" customFormat="false" ht="13.5" hidden="false" customHeight="false" outlineLevel="0" collapsed="false">
      <c r="A1534" s="0" t="str">
        <f aca="false">IF(记账凭证!$J3338="","",记账凭证!$J3338)</f>
        <v/>
      </c>
      <c r="B1534" s="0" t="n">
        <f aca="false">IF(A1534="",0,IF(MATCH(A1534,$A$4:$A$1925,0)=ROW()-3,1,0))</f>
        <v>0</v>
      </c>
      <c r="C1534" s="0" t="n">
        <f aca="false">N(C1533)+B1534</f>
        <v>11</v>
      </c>
    </row>
    <row r="1535" customFormat="false" ht="13.5" hidden="false" customHeight="false" outlineLevel="0" collapsed="false">
      <c r="A1535" s="0" t="str">
        <f aca="false">IF(记账凭证!$J3339="","",记账凭证!$J3339)</f>
        <v/>
      </c>
      <c r="B1535" s="0" t="n">
        <f aca="false">IF(A1535="",0,IF(MATCH(A1535,$A$4:$A$1925,0)=ROW()-3,1,0))</f>
        <v>0</v>
      </c>
      <c r="C1535" s="0" t="n">
        <f aca="false">N(C1534)+B1535</f>
        <v>11</v>
      </c>
    </row>
    <row r="1536" customFormat="false" ht="13.5" hidden="false" customHeight="false" outlineLevel="0" collapsed="false">
      <c r="A1536" s="0" t="str">
        <f aca="false">IF(记账凭证!$J3340="","",记账凭证!$J3340)</f>
        <v/>
      </c>
      <c r="B1536" s="0" t="n">
        <f aca="false">IF(A1536="",0,IF(MATCH(A1536,$A$4:$A$1925,0)=ROW()-3,1,0))</f>
        <v>0</v>
      </c>
      <c r="C1536" s="0" t="n">
        <f aca="false">N(C1535)+B1536</f>
        <v>11</v>
      </c>
    </row>
    <row r="1537" customFormat="false" ht="13.5" hidden="false" customHeight="false" outlineLevel="0" collapsed="false">
      <c r="A1537" s="0" t="str">
        <f aca="false">IF(记账凭证!$J3341="","",记账凭证!$J3341)</f>
        <v/>
      </c>
      <c r="B1537" s="0" t="n">
        <f aca="false">IF(A1537="",0,IF(MATCH(A1537,$A$4:$A$1925,0)=ROW()-3,1,0))</f>
        <v>0</v>
      </c>
      <c r="C1537" s="0" t="n">
        <f aca="false">N(C1536)+B1537</f>
        <v>11</v>
      </c>
    </row>
    <row r="1538" customFormat="false" ht="13.5" hidden="false" customHeight="false" outlineLevel="0" collapsed="false">
      <c r="A1538" s="0" t="str">
        <f aca="false">IF(记账凭证!$J3342="","",记账凭证!$J3342)</f>
        <v/>
      </c>
      <c r="B1538" s="0" t="n">
        <f aca="false">IF(A1538="",0,IF(MATCH(A1538,$A$4:$A$1925,0)=ROW()-3,1,0))</f>
        <v>0</v>
      </c>
      <c r="C1538" s="0" t="n">
        <f aca="false">N(C1537)+B1538</f>
        <v>11</v>
      </c>
    </row>
    <row r="1539" customFormat="false" ht="13.5" hidden="false" customHeight="false" outlineLevel="0" collapsed="false">
      <c r="A1539" s="0" t="str">
        <f aca="false">IF(记账凭证!$J3343="","",记账凭证!$J3343)</f>
        <v/>
      </c>
      <c r="B1539" s="0" t="n">
        <f aca="false">IF(A1539="",0,IF(MATCH(A1539,$A$4:$A$1925,0)=ROW()-3,1,0))</f>
        <v>0</v>
      </c>
      <c r="C1539" s="0" t="n">
        <f aca="false">N(C1538)+B1539</f>
        <v>11</v>
      </c>
    </row>
    <row r="1540" customFormat="false" ht="13.5" hidden="false" customHeight="false" outlineLevel="0" collapsed="false">
      <c r="A1540" s="0" t="str">
        <f aca="false">IF(记账凭证!$J3344="","",记账凭证!$J3344)</f>
        <v/>
      </c>
      <c r="B1540" s="0" t="n">
        <f aca="false">IF(A1540="",0,IF(MATCH(A1540,$A$4:$A$1925,0)=ROW()-3,1,0))</f>
        <v>0</v>
      </c>
      <c r="C1540" s="0" t="n">
        <f aca="false">N(C1539)+B1540</f>
        <v>11</v>
      </c>
    </row>
    <row r="1541" customFormat="false" ht="13.5" hidden="false" customHeight="false" outlineLevel="0" collapsed="false">
      <c r="A1541" s="0" t="str">
        <f aca="false">IF(记账凭证!$J3345="","",记账凭证!$J3345)</f>
        <v/>
      </c>
      <c r="B1541" s="0" t="n">
        <f aca="false">IF(A1541="",0,IF(MATCH(A1541,$A$4:$A$1925,0)=ROW()-3,1,0))</f>
        <v>0</v>
      </c>
      <c r="C1541" s="0" t="n">
        <f aca="false">N(C1540)+B1541</f>
        <v>11</v>
      </c>
    </row>
    <row r="1542" customFormat="false" ht="13.5" hidden="false" customHeight="false" outlineLevel="0" collapsed="false">
      <c r="A1542" s="0" t="str">
        <f aca="false">IF(记账凭证!$J3346="","",记账凭证!$J3346)</f>
        <v/>
      </c>
      <c r="B1542" s="0" t="n">
        <f aca="false">IF(A1542="",0,IF(MATCH(A1542,$A$4:$A$1925,0)=ROW()-3,1,0))</f>
        <v>0</v>
      </c>
      <c r="C1542" s="0" t="n">
        <f aca="false">N(C1541)+B1542</f>
        <v>11</v>
      </c>
    </row>
    <row r="1543" customFormat="false" ht="13.5" hidden="false" customHeight="false" outlineLevel="0" collapsed="false">
      <c r="A1543" s="0" t="str">
        <f aca="false">IF(记账凭证!$J3347="","",记账凭证!$J3347)</f>
        <v/>
      </c>
      <c r="B1543" s="0" t="n">
        <f aca="false">IF(A1543="",0,IF(MATCH(A1543,$A$4:$A$1925,0)=ROW()-3,1,0))</f>
        <v>0</v>
      </c>
      <c r="C1543" s="0" t="n">
        <f aca="false">N(C1542)+B1543</f>
        <v>11</v>
      </c>
    </row>
    <row r="1544" customFormat="false" ht="13.5" hidden="false" customHeight="false" outlineLevel="0" collapsed="false">
      <c r="A1544" s="0" t="str">
        <f aca="false">IF(记账凭证!$J3348="","",记账凭证!$J3348)</f>
        <v/>
      </c>
      <c r="B1544" s="0" t="n">
        <f aca="false">IF(A1544="",0,IF(MATCH(A1544,$A$4:$A$1925,0)=ROW()-3,1,0))</f>
        <v>0</v>
      </c>
      <c r="C1544" s="0" t="n">
        <f aca="false">N(C1543)+B1544</f>
        <v>11</v>
      </c>
    </row>
    <row r="1545" customFormat="false" ht="13.5" hidden="false" customHeight="false" outlineLevel="0" collapsed="false">
      <c r="A1545" s="0" t="str">
        <f aca="false">IF(记账凭证!$J3349="","",记账凭证!$J3349)</f>
        <v/>
      </c>
      <c r="B1545" s="0" t="n">
        <f aca="false">IF(A1545="",0,IF(MATCH(A1545,$A$4:$A$1925,0)=ROW()-3,1,0))</f>
        <v>0</v>
      </c>
      <c r="C1545" s="0" t="n">
        <f aca="false">N(C1544)+B1545</f>
        <v>11</v>
      </c>
    </row>
    <row r="1546" customFormat="false" ht="13.5" hidden="false" customHeight="false" outlineLevel="0" collapsed="false">
      <c r="A1546" s="0" t="str">
        <f aca="false">IF(记账凭证!$J3350="","",记账凭证!$J3350)</f>
        <v/>
      </c>
      <c r="B1546" s="0" t="n">
        <f aca="false">IF(A1546="",0,IF(MATCH(A1546,$A$4:$A$1925,0)=ROW()-3,1,0))</f>
        <v>0</v>
      </c>
      <c r="C1546" s="0" t="n">
        <f aca="false">N(C1545)+B1546</f>
        <v>11</v>
      </c>
    </row>
    <row r="1547" customFormat="false" ht="13.5" hidden="false" customHeight="false" outlineLevel="0" collapsed="false">
      <c r="A1547" s="0" t="str">
        <f aca="false">IF(记账凭证!$J3351="","",记账凭证!$J3351)</f>
        <v/>
      </c>
      <c r="B1547" s="0" t="n">
        <f aca="false">IF(A1547="",0,IF(MATCH(A1547,$A$4:$A$1925,0)=ROW()-3,1,0))</f>
        <v>0</v>
      </c>
      <c r="C1547" s="0" t="n">
        <f aca="false">N(C1546)+B1547</f>
        <v>11</v>
      </c>
    </row>
    <row r="1548" customFormat="false" ht="13.5" hidden="false" customHeight="false" outlineLevel="0" collapsed="false">
      <c r="A1548" s="0" t="str">
        <f aca="false">IF(记账凭证!$J3352="","",记账凭证!$J3352)</f>
        <v/>
      </c>
      <c r="B1548" s="0" t="n">
        <f aca="false">IF(A1548="",0,IF(MATCH(A1548,$A$4:$A$1925,0)=ROW()-3,1,0))</f>
        <v>0</v>
      </c>
      <c r="C1548" s="0" t="n">
        <f aca="false">N(C1547)+B1548</f>
        <v>11</v>
      </c>
    </row>
    <row r="1549" customFormat="false" ht="13.5" hidden="false" customHeight="false" outlineLevel="0" collapsed="false">
      <c r="A1549" s="0" t="str">
        <f aca="false">IF(记账凭证!$J3353="","",记账凭证!$J3353)</f>
        <v/>
      </c>
      <c r="B1549" s="0" t="n">
        <f aca="false">IF(A1549="",0,IF(MATCH(A1549,$A$4:$A$1925,0)=ROW()-3,1,0))</f>
        <v>0</v>
      </c>
      <c r="C1549" s="0" t="n">
        <f aca="false">N(C1548)+B1549</f>
        <v>11</v>
      </c>
    </row>
    <row r="1550" customFormat="false" ht="13.5" hidden="false" customHeight="false" outlineLevel="0" collapsed="false">
      <c r="A1550" s="0" t="str">
        <f aca="false">IF(记账凭证!$J3354="","",记账凭证!$J3354)</f>
        <v/>
      </c>
      <c r="B1550" s="0" t="n">
        <f aca="false">IF(A1550="",0,IF(MATCH(A1550,$A$4:$A$1925,0)=ROW()-3,1,0))</f>
        <v>0</v>
      </c>
      <c r="C1550" s="0" t="n">
        <f aca="false">N(C1549)+B1550</f>
        <v>11</v>
      </c>
    </row>
    <row r="1551" customFormat="false" ht="13.5" hidden="false" customHeight="false" outlineLevel="0" collapsed="false">
      <c r="A1551" s="0" t="str">
        <f aca="false">IF(记账凭证!$J3355="","",记账凭证!$J3355)</f>
        <v/>
      </c>
      <c r="B1551" s="0" t="n">
        <f aca="false">IF(A1551="",0,IF(MATCH(A1551,$A$4:$A$1925,0)=ROW()-3,1,0))</f>
        <v>0</v>
      </c>
      <c r="C1551" s="0" t="n">
        <f aca="false">N(C1550)+B1551</f>
        <v>11</v>
      </c>
    </row>
    <row r="1552" customFormat="false" ht="13.5" hidden="false" customHeight="false" outlineLevel="0" collapsed="false">
      <c r="A1552" s="0" t="str">
        <f aca="false">IF(记账凭证!$J3356="","",记账凭证!$J3356)</f>
        <v/>
      </c>
      <c r="B1552" s="0" t="n">
        <f aca="false">IF(A1552="",0,IF(MATCH(A1552,$A$4:$A$1925,0)=ROW()-3,1,0))</f>
        <v>0</v>
      </c>
      <c r="C1552" s="0" t="n">
        <f aca="false">N(C1551)+B1552</f>
        <v>11</v>
      </c>
    </row>
    <row r="1553" customFormat="false" ht="13.5" hidden="false" customHeight="false" outlineLevel="0" collapsed="false">
      <c r="A1553" s="0" t="str">
        <f aca="false">IF(记账凭证!$J3357="","",记账凭证!$J3357)</f>
        <v/>
      </c>
      <c r="B1553" s="0" t="n">
        <f aca="false">IF(A1553="",0,IF(MATCH(A1553,$A$4:$A$1925,0)=ROW()-3,1,0))</f>
        <v>0</v>
      </c>
      <c r="C1553" s="0" t="n">
        <f aca="false">N(C1552)+B1553</f>
        <v>11</v>
      </c>
    </row>
    <row r="1554" customFormat="false" ht="13.5" hidden="false" customHeight="false" outlineLevel="0" collapsed="false">
      <c r="A1554" s="0" t="str">
        <f aca="false">IF(记账凭证!$J3358="","",记账凭证!$J3358)</f>
        <v/>
      </c>
      <c r="B1554" s="0" t="n">
        <f aca="false">IF(A1554="",0,IF(MATCH(A1554,$A$4:$A$1925,0)=ROW()-3,1,0))</f>
        <v>0</v>
      </c>
      <c r="C1554" s="0" t="n">
        <f aca="false">N(C1553)+B1554</f>
        <v>11</v>
      </c>
    </row>
    <row r="1555" customFormat="false" ht="13.5" hidden="false" customHeight="false" outlineLevel="0" collapsed="false">
      <c r="A1555" s="0" t="str">
        <f aca="false">IF(记账凭证!$J3359="","",记账凭证!$J3359)</f>
        <v/>
      </c>
      <c r="B1555" s="0" t="n">
        <f aca="false">IF(A1555="",0,IF(MATCH(A1555,$A$4:$A$1925,0)=ROW()-3,1,0))</f>
        <v>0</v>
      </c>
      <c r="C1555" s="0" t="n">
        <f aca="false">N(C1554)+B1555</f>
        <v>11</v>
      </c>
    </row>
    <row r="1556" customFormat="false" ht="13.5" hidden="false" customHeight="false" outlineLevel="0" collapsed="false">
      <c r="A1556" s="0" t="str">
        <f aca="false">IF(记账凭证!$J3360="","",记账凭证!$J3360)</f>
        <v/>
      </c>
      <c r="B1556" s="0" t="n">
        <f aca="false">IF(A1556="",0,IF(MATCH(A1556,$A$4:$A$1925,0)=ROW()-3,1,0))</f>
        <v>0</v>
      </c>
      <c r="C1556" s="0" t="n">
        <f aca="false">N(C1555)+B1556</f>
        <v>11</v>
      </c>
    </row>
    <row r="1557" customFormat="false" ht="13.5" hidden="false" customHeight="false" outlineLevel="0" collapsed="false">
      <c r="A1557" s="0" t="str">
        <f aca="false">IF(记账凭证!$J3361="","",记账凭证!$J3361)</f>
        <v/>
      </c>
      <c r="B1557" s="0" t="n">
        <f aca="false">IF(A1557="",0,IF(MATCH(A1557,$A$4:$A$1925,0)=ROW()-3,1,0))</f>
        <v>0</v>
      </c>
      <c r="C1557" s="0" t="n">
        <f aca="false">N(C1556)+B1557</f>
        <v>11</v>
      </c>
    </row>
    <row r="1558" customFormat="false" ht="13.5" hidden="false" customHeight="false" outlineLevel="0" collapsed="false">
      <c r="A1558" s="0" t="str">
        <f aca="false">IF(记账凭证!$J3362="","",记账凭证!$J3362)</f>
        <v/>
      </c>
      <c r="B1558" s="0" t="n">
        <f aca="false">IF(A1558="",0,IF(MATCH(A1558,$A$4:$A$1925,0)=ROW()-3,1,0))</f>
        <v>0</v>
      </c>
      <c r="C1558" s="0" t="n">
        <f aca="false">N(C1557)+B1558</f>
        <v>11</v>
      </c>
    </row>
    <row r="1559" customFormat="false" ht="13.5" hidden="false" customHeight="false" outlineLevel="0" collapsed="false">
      <c r="A1559" s="0" t="str">
        <f aca="false">IF(记账凭证!$J3363="","",记账凭证!$J3363)</f>
        <v/>
      </c>
      <c r="B1559" s="0" t="n">
        <f aca="false">IF(A1559="",0,IF(MATCH(A1559,$A$4:$A$1925,0)=ROW()-3,1,0))</f>
        <v>0</v>
      </c>
      <c r="C1559" s="0" t="n">
        <f aca="false">N(C1558)+B1559</f>
        <v>11</v>
      </c>
    </row>
    <row r="1560" customFormat="false" ht="13.5" hidden="false" customHeight="false" outlineLevel="0" collapsed="false">
      <c r="A1560" s="0" t="str">
        <f aca="false">IF(记账凭证!$J3364="","",记账凭证!$J3364)</f>
        <v/>
      </c>
      <c r="B1560" s="0" t="n">
        <f aca="false">IF(A1560="",0,IF(MATCH(A1560,$A$4:$A$1925,0)=ROW()-3,1,0))</f>
        <v>0</v>
      </c>
      <c r="C1560" s="0" t="n">
        <f aca="false">N(C1559)+B1560</f>
        <v>11</v>
      </c>
    </row>
    <row r="1561" customFormat="false" ht="13.5" hidden="false" customHeight="false" outlineLevel="0" collapsed="false">
      <c r="A1561" s="0" t="str">
        <f aca="false">IF(记账凭证!$J3365="","",记账凭证!$J3365)</f>
        <v/>
      </c>
      <c r="B1561" s="0" t="n">
        <f aca="false">IF(A1561="",0,IF(MATCH(A1561,$A$4:$A$1925,0)=ROW()-3,1,0))</f>
        <v>0</v>
      </c>
      <c r="C1561" s="0" t="n">
        <f aca="false">N(C1560)+B1561</f>
        <v>11</v>
      </c>
    </row>
    <row r="1562" customFormat="false" ht="13.5" hidden="false" customHeight="false" outlineLevel="0" collapsed="false">
      <c r="A1562" s="0" t="str">
        <f aca="false">IF(记账凭证!$J3366="","",记账凭证!$J3366)</f>
        <v/>
      </c>
      <c r="B1562" s="0" t="n">
        <f aca="false">IF(A1562="",0,IF(MATCH(A1562,$A$4:$A$1925,0)=ROW()-3,1,0))</f>
        <v>0</v>
      </c>
      <c r="C1562" s="0" t="n">
        <f aca="false">N(C1561)+B1562</f>
        <v>11</v>
      </c>
    </row>
    <row r="1563" customFormat="false" ht="13.5" hidden="false" customHeight="false" outlineLevel="0" collapsed="false">
      <c r="A1563" s="0" t="str">
        <f aca="false">IF(记账凭证!$J3367="","",记账凭证!$J3367)</f>
        <v/>
      </c>
      <c r="B1563" s="0" t="n">
        <f aca="false">IF(A1563="",0,IF(MATCH(A1563,$A$4:$A$1925,0)=ROW()-3,1,0))</f>
        <v>0</v>
      </c>
      <c r="C1563" s="0" t="n">
        <f aca="false">N(C1562)+B1563</f>
        <v>11</v>
      </c>
    </row>
    <row r="1564" customFormat="false" ht="13.5" hidden="false" customHeight="false" outlineLevel="0" collapsed="false">
      <c r="A1564" s="0" t="str">
        <f aca="false">IF(记账凭证!$J3368="","",记账凭证!$J3368)</f>
        <v/>
      </c>
      <c r="B1564" s="0" t="n">
        <f aca="false">IF(A1564="",0,IF(MATCH(A1564,$A$4:$A$1925,0)=ROW()-3,1,0))</f>
        <v>0</v>
      </c>
      <c r="C1564" s="0" t="n">
        <f aca="false">N(C1563)+B1564</f>
        <v>11</v>
      </c>
    </row>
    <row r="1565" customFormat="false" ht="13.5" hidden="false" customHeight="false" outlineLevel="0" collapsed="false">
      <c r="A1565" s="0" t="str">
        <f aca="false">IF(记账凭证!$J3369="","",记账凭证!$J3369)</f>
        <v/>
      </c>
      <c r="B1565" s="0" t="n">
        <f aca="false">IF(A1565="",0,IF(MATCH(A1565,$A$4:$A$1925,0)=ROW()-3,1,0))</f>
        <v>0</v>
      </c>
      <c r="C1565" s="0" t="n">
        <f aca="false">N(C1564)+B1565</f>
        <v>11</v>
      </c>
    </row>
    <row r="1566" customFormat="false" ht="13.5" hidden="false" customHeight="false" outlineLevel="0" collapsed="false">
      <c r="A1566" s="0" t="str">
        <f aca="false">IF(记账凭证!$J3370="","",记账凭证!$J3370)</f>
        <v/>
      </c>
      <c r="B1566" s="0" t="n">
        <f aca="false">IF(A1566="",0,IF(MATCH(A1566,$A$4:$A$1925,0)=ROW()-3,1,0))</f>
        <v>0</v>
      </c>
      <c r="C1566" s="0" t="n">
        <f aca="false">N(C1565)+B1566</f>
        <v>11</v>
      </c>
    </row>
    <row r="1567" customFormat="false" ht="13.5" hidden="false" customHeight="false" outlineLevel="0" collapsed="false">
      <c r="A1567" s="0" t="str">
        <f aca="false">IF(记账凭证!$J3371="","",记账凭证!$J3371)</f>
        <v/>
      </c>
      <c r="B1567" s="0" t="n">
        <f aca="false">IF(A1567="",0,IF(MATCH(A1567,$A$4:$A$1925,0)=ROW()-3,1,0))</f>
        <v>0</v>
      </c>
      <c r="C1567" s="0" t="n">
        <f aca="false">N(C1566)+B1567</f>
        <v>11</v>
      </c>
    </row>
    <row r="1568" customFormat="false" ht="13.5" hidden="false" customHeight="false" outlineLevel="0" collapsed="false">
      <c r="A1568" s="0" t="str">
        <f aca="false">IF(记账凭证!$J3372="","",记账凭证!$J3372)</f>
        <v/>
      </c>
      <c r="B1568" s="0" t="n">
        <f aca="false">IF(A1568="",0,IF(MATCH(A1568,$A$4:$A$1925,0)=ROW()-3,1,0))</f>
        <v>0</v>
      </c>
      <c r="C1568" s="0" t="n">
        <f aca="false">N(C1567)+B1568</f>
        <v>11</v>
      </c>
    </row>
    <row r="1569" customFormat="false" ht="13.5" hidden="false" customHeight="false" outlineLevel="0" collapsed="false">
      <c r="A1569" s="0" t="str">
        <f aca="false">IF(记账凭证!$J3373="","",记账凭证!$J3373)</f>
        <v/>
      </c>
      <c r="B1569" s="0" t="n">
        <f aca="false">IF(A1569="",0,IF(MATCH(A1569,$A$4:$A$1925,0)=ROW()-3,1,0))</f>
        <v>0</v>
      </c>
      <c r="C1569" s="0" t="n">
        <f aca="false">N(C1568)+B1569</f>
        <v>11</v>
      </c>
    </row>
    <row r="1570" customFormat="false" ht="13.5" hidden="false" customHeight="false" outlineLevel="0" collapsed="false">
      <c r="A1570" s="0" t="str">
        <f aca="false">IF(记账凭证!$J3374="","",记账凭证!$J3374)</f>
        <v/>
      </c>
      <c r="B1570" s="0" t="n">
        <f aca="false">IF(A1570="",0,IF(MATCH(A1570,$A$4:$A$1925,0)=ROW()-3,1,0))</f>
        <v>0</v>
      </c>
      <c r="C1570" s="0" t="n">
        <f aca="false">N(C1569)+B1570</f>
        <v>11</v>
      </c>
    </row>
    <row r="1571" customFormat="false" ht="13.5" hidden="false" customHeight="false" outlineLevel="0" collapsed="false">
      <c r="A1571" s="0" t="str">
        <f aca="false">IF(记账凭证!$J3375="","",记账凭证!$J3375)</f>
        <v/>
      </c>
      <c r="B1571" s="0" t="n">
        <f aca="false">IF(A1571="",0,IF(MATCH(A1571,$A$4:$A$1925,0)=ROW()-3,1,0))</f>
        <v>0</v>
      </c>
      <c r="C1571" s="0" t="n">
        <f aca="false">N(C1570)+B1571</f>
        <v>11</v>
      </c>
    </row>
    <row r="1572" customFormat="false" ht="13.5" hidden="false" customHeight="false" outlineLevel="0" collapsed="false">
      <c r="A1572" s="0" t="str">
        <f aca="false">IF(记账凭证!$J3376="","",记账凭证!$J3376)</f>
        <v/>
      </c>
      <c r="B1572" s="0" t="n">
        <f aca="false">IF(A1572="",0,IF(MATCH(A1572,$A$4:$A$1925,0)=ROW()-3,1,0))</f>
        <v>0</v>
      </c>
      <c r="C1572" s="0" t="n">
        <f aca="false">N(C1571)+B1572</f>
        <v>11</v>
      </c>
    </row>
    <row r="1573" customFormat="false" ht="13.5" hidden="false" customHeight="false" outlineLevel="0" collapsed="false">
      <c r="A1573" s="0" t="str">
        <f aca="false">IF(记账凭证!$J3377="","",记账凭证!$J3377)</f>
        <v/>
      </c>
      <c r="B1573" s="0" t="n">
        <f aca="false">IF(A1573="",0,IF(MATCH(A1573,$A$4:$A$1925,0)=ROW()-3,1,0))</f>
        <v>0</v>
      </c>
      <c r="C1573" s="0" t="n">
        <f aca="false">N(C1572)+B1573</f>
        <v>11</v>
      </c>
    </row>
    <row r="1574" customFormat="false" ht="13.5" hidden="false" customHeight="false" outlineLevel="0" collapsed="false">
      <c r="A1574" s="0" t="str">
        <f aca="false">IF(记账凭证!$J3378="","",记账凭证!$J3378)</f>
        <v/>
      </c>
      <c r="B1574" s="0" t="n">
        <f aca="false">IF(A1574="",0,IF(MATCH(A1574,$A$4:$A$1925,0)=ROW()-3,1,0))</f>
        <v>0</v>
      </c>
      <c r="C1574" s="0" t="n">
        <f aca="false">N(C1573)+B1574</f>
        <v>11</v>
      </c>
    </row>
    <row r="1575" customFormat="false" ht="13.5" hidden="false" customHeight="false" outlineLevel="0" collapsed="false">
      <c r="A1575" s="0" t="str">
        <f aca="false">IF(记账凭证!$J3379="","",记账凭证!$J3379)</f>
        <v/>
      </c>
      <c r="B1575" s="0" t="n">
        <f aca="false">IF(A1575="",0,IF(MATCH(A1575,$A$4:$A$1925,0)=ROW()-3,1,0))</f>
        <v>0</v>
      </c>
      <c r="C1575" s="0" t="n">
        <f aca="false">N(C1574)+B1575</f>
        <v>11</v>
      </c>
    </row>
    <row r="1576" customFormat="false" ht="13.5" hidden="false" customHeight="false" outlineLevel="0" collapsed="false">
      <c r="A1576" s="0" t="str">
        <f aca="false">IF(记账凭证!$J3380="","",记账凭证!$J3380)</f>
        <v/>
      </c>
      <c r="B1576" s="0" t="n">
        <f aca="false">IF(A1576="",0,IF(MATCH(A1576,$A$4:$A$1925,0)=ROW()-3,1,0))</f>
        <v>0</v>
      </c>
      <c r="C1576" s="0" t="n">
        <f aca="false">N(C1575)+B1576</f>
        <v>11</v>
      </c>
    </row>
    <row r="1577" customFormat="false" ht="13.5" hidden="false" customHeight="false" outlineLevel="0" collapsed="false">
      <c r="A1577" s="0" t="str">
        <f aca="false">IF(记账凭证!$J3381="","",记账凭证!$J3381)</f>
        <v/>
      </c>
      <c r="B1577" s="0" t="n">
        <f aca="false">IF(A1577="",0,IF(MATCH(A1577,$A$4:$A$1925,0)=ROW()-3,1,0))</f>
        <v>0</v>
      </c>
      <c r="C1577" s="0" t="n">
        <f aca="false">N(C1576)+B1577</f>
        <v>11</v>
      </c>
    </row>
    <row r="1578" customFormat="false" ht="13.5" hidden="false" customHeight="false" outlineLevel="0" collapsed="false">
      <c r="A1578" s="0" t="str">
        <f aca="false">IF(记账凭证!$J3382="","",记账凭证!$J3382)</f>
        <v/>
      </c>
      <c r="B1578" s="0" t="n">
        <f aca="false">IF(A1578="",0,IF(MATCH(A1578,$A$4:$A$1925,0)=ROW()-3,1,0))</f>
        <v>0</v>
      </c>
      <c r="C1578" s="0" t="n">
        <f aca="false">N(C1577)+B1578</f>
        <v>11</v>
      </c>
    </row>
    <row r="1579" customFormat="false" ht="13.5" hidden="false" customHeight="false" outlineLevel="0" collapsed="false">
      <c r="A1579" s="0" t="str">
        <f aca="false">IF(记账凭证!$J3383="","",记账凭证!$J3383)</f>
        <v/>
      </c>
      <c r="B1579" s="0" t="n">
        <f aca="false">IF(A1579="",0,IF(MATCH(A1579,$A$4:$A$1925,0)=ROW()-3,1,0))</f>
        <v>0</v>
      </c>
      <c r="C1579" s="0" t="n">
        <f aca="false">N(C1578)+B1579</f>
        <v>11</v>
      </c>
    </row>
    <row r="1580" customFormat="false" ht="13.5" hidden="false" customHeight="false" outlineLevel="0" collapsed="false">
      <c r="A1580" s="0" t="str">
        <f aca="false">IF(记账凭证!$J3384="","",记账凭证!$J3384)</f>
        <v/>
      </c>
      <c r="B1580" s="0" t="n">
        <f aca="false">IF(A1580="",0,IF(MATCH(A1580,$A$4:$A$1925,0)=ROW()-3,1,0))</f>
        <v>0</v>
      </c>
      <c r="C1580" s="0" t="n">
        <f aca="false">N(C1579)+B1580</f>
        <v>11</v>
      </c>
    </row>
    <row r="1581" customFormat="false" ht="13.5" hidden="false" customHeight="false" outlineLevel="0" collapsed="false">
      <c r="A1581" s="0" t="str">
        <f aca="false">IF(记账凭证!$J3385="","",记账凭证!$J3385)</f>
        <v/>
      </c>
      <c r="B1581" s="0" t="n">
        <f aca="false">IF(A1581="",0,IF(MATCH(A1581,$A$4:$A$1925,0)=ROW()-3,1,0))</f>
        <v>0</v>
      </c>
      <c r="C1581" s="0" t="n">
        <f aca="false">N(C1580)+B1581</f>
        <v>11</v>
      </c>
    </row>
    <row r="1582" customFormat="false" ht="13.5" hidden="false" customHeight="false" outlineLevel="0" collapsed="false">
      <c r="A1582" s="0" t="str">
        <f aca="false">IF(记账凭证!$J3386="","",记账凭证!$J3386)</f>
        <v/>
      </c>
      <c r="B1582" s="0" t="n">
        <f aca="false">IF(A1582="",0,IF(MATCH(A1582,$A$4:$A$1925,0)=ROW()-3,1,0))</f>
        <v>0</v>
      </c>
      <c r="C1582" s="0" t="n">
        <f aca="false">N(C1581)+B1582</f>
        <v>11</v>
      </c>
    </row>
    <row r="1583" customFormat="false" ht="13.5" hidden="false" customHeight="false" outlineLevel="0" collapsed="false">
      <c r="A1583" s="0" t="str">
        <f aca="false">IF(记账凭证!$J3387="","",记账凭证!$J3387)</f>
        <v/>
      </c>
      <c r="B1583" s="0" t="n">
        <f aca="false">IF(A1583="",0,IF(MATCH(A1583,$A$4:$A$1925,0)=ROW()-3,1,0))</f>
        <v>0</v>
      </c>
      <c r="C1583" s="0" t="n">
        <f aca="false">N(C1582)+B1583</f>
        <v>11</v>
      </c>
    </row>
    <row r="1584" customFormat="false" ht="13.5" hidden="false" customHeight="false" outlineLevel="0" collapsed="false">
      <c r="A1584" s="0" t="str">
        <f aca="false">IF(记账凭证!$J3388="","",记账凭证!$J3388)</f>
        <v/>
      </c>
      <c r="B1584" s="0" t="n">
        <f aca="false">IF(A1584="",0,IF(MATCH(A1584,$A$4:$A$1925,0)=ROW()-3,1,0))</f>
        <v>0</v>
      </c>
      <c r="C1584" s="0" t="n">
        <f aca="false">N(C1583)+B1584</f>
        <v>11</v>
      </c>
    </row>
    <row r="1585" customFormat="false" ht="13.5" hidden="false" customHeight="false" outlineLevel="0" collapsed="false">
      <c r="A1585" s="0" t="str">
        <f aca="false">IF(记账凭证!$J3389="","",记账凭证!$J3389)</f>
        <v/>
      </c>
      <c r="B1585" s="0" t="n">
        <f aca="false">IF(A1585="",0,IF(MATCH(A1585,$A$4:$A$1925,0)=ROW()-3,1,0))</f>
        <v>0</v>
      </c>
      <c r="C1585" s="0" t="n">
        <f aca="false">N(C1584)+B1585</f>
        <v>11</v>
      </c>
    </row>
    <row r="1586" customFormat="false" ht="13.5" hidden="false" customHeight="false" outlineLevel="0" collapsed="false">
      <c r="A1586" s="0" t="str">
        <f aca="false">IF(记账凭证!$J3390="","",记账凭证!$J3390)</f>
        <v/>
      </c>
      <c r="B1586" s="0" t="n">
        <f aca="false">IF(A1586="",0,IF(MATCH(A1586,$A$4:$A$1925,0)=ROW()-3,1,0))</f>
        <v>0</v>
      </c>
      <c r="C1586" s="0" t="n">
        <f aca="false">N(C1585)+B1586</f>
        <v>11</v>
      </c>
    </row>
    <row r="1587" customFormat="false" ht="13.5" hidden="false" customHeight="false" outlineLevel="0" collapsed="false">
      <c r="A1587" s="0" t="str">
        <f aca="false">IF(记账凭证!$J3391="","",记账凭证!$J3391)</f>
        <v/>
      </c>
      <c r="B1587" s="0" t="n">
        <f aca="false">IF(A1587="",0,IF(MATCH(A1587,$A$4:$A$1925,0)=ROW()-3,1,0))</f>
        <v>0</v>
      </c>
      <c r="C1587" s="0" t="n">
        <f aca="false">N(C1586)+B1587</f>
        <v>11</v>
      </c>
    </row>
    <row r="1588" customFormat="false" ht="13.5" hidden="false" customHeight="false" outlineLevel="0" collapsed="false">
      <c r="A1588" s="0" t="str">
        <f aca="false">IF(记账凭证!$J3392="","",记账凭证!$J3392)</f>
        <v/>
      </c>
      <c r="B1588" s="0" t="n">
        <f aca="false">IF(A1588="",0,IF(MATCH(A1588,$A$4:$A$1925,0)=ROW()-3,1,0))</f>
        <v>0</v>
      </c>
      <c r="C1588" s="0" t="n">
        <f aca="false">N(C1587)+B1588</f>
        <v>11</v>
      </c>
    </row>
    <row r="1589" customFormat="false" ht="13.5" hidden="false" customHeight="false" outlineLevel="0" collapsed="false">
      <c r="A1589" s="0" t="str">
        <f aca="false">IF(记账凭证!$J3393="","",记账凭证!$J3393)</f>
        <v/>
      </c>
      <c r="B1589" s="0" t="n">
        <f aca="false">IF(A1589="",0,IF(MATCH(A1589,$A$4:$A$1925,0)=ROW()-3,1,0))</f>
        <v>0</v>
      </c>
      <c r="C1589" s="0" t="n">
        <f aca="false">N(C1588)+B1589</f>
        <v>11</v>
      </c>
    </row>
    <row r="1590" customFormat="false" ht="13.5" hidden="false" customHeight="false" outlineLevel="0" collapsed="false">
      <c r="A1590" s="0" t="str">
        <f aca="false">IF(记账凭证!$J3394="","",记账凭证!$J3394)</f>
        <v/>
      </c>
      <c r="B1590" s="0" t="n">
        <f aca="false">IF(A1590="",0,IF(MATCH(A1590,$A$4:$A$1925,0)=ROW()-3,1,0))</f>
        <v>0</v>
      </c>
      <c r="C1590" s="0" t="n">
        <f aca="false">N(C1589)+B1590</f>
        <v>11</v>
      </c>
    </row>
    <row r="1591" customFormat="false" ht="13.5" hidden="false" customHeight="false" outlineLevel="0" collapsed="false">
      <c r="A1591" s="0" t="str">
        <f aca="false">IF(记账凭证!$J3395="","",记账凭证!$J3395)</f>
        <v/>
      </c>
      <c r="B1591" s="0" t="n">
        <f aca="false">IF(A1591="",0,IF(MATCH(A1591,$A$4:$A$1925,0)=ROW()-3,1,0))</f>
        <v>0</v>
      </c>
      <c r="C1591" s="0" t="n">
        <f aca="false">N(C1590)+B1591</f>
        <v>11</v>
      </c>
    </row>
    <row r="1592" customFormat="false" ht="13.5" hidden="false" customHeight="false" outlineLevel="0" collapsed="false">
      <c r="A1592" s="0" t="str">
        <f aca="false">IF(记账凭证!$J3396="","",记账凭证!$J3396)</f>
        <v/>
      </c>
      <c r="B1592" s="0" t="n">
        <f aca="false">IF(A1592="",0,IF(MATCH(A1592,$A$4:$A$1925,0)=ROW()-3,1,0))</f>
        <v>0</v>
      </c>
      <c r="C1592" s="0" t="n">
        <f aca="false">N(C1591)+B1592</f>
        <v>11</v>
      </c>
    </row>
    <row r="1593" customFormat="false" ht="13.5" hidden="false" customHeight="false" outlineLevel="0" collapsed="false">
      <c r="A1593" s="0" t="str">
        <f aca="false">IF(记账凭证!$J3397="","",记账凭证!$J3397)</f>
        <v/>
      </c>
      <c r="B1593" s="0" t="n">
        <f aca="false">IF(A1593="",0,IF(MATCH(A1593,$A$4:$A$1925,0)=ROW()-3,1,0))</f>
        <v>0</v>
      </c>
      <c r="C1593" s="0" t="n">
        <f aca="false">N(C1592)+B1593</f>
        <v>11</v>
      </c>
    </row>
    <row r="1594" customFormat="false" ht="13.5" hidden="false" customHeight="false" outlineLevel="0" collapsed="false">
      <c r="A1594" s="0" t="str">
        <f aca="false">IF(记账凭证!$J3398="","",记账凭证!$J3398)</f>
        <v/>
      </c>
      <c r="B1594" s="0" t="n">
        <f aca="false">IF(A1594="",0,IF(MATCH(A1594,$A$4:$A$1925,0)=ROW()-3,1,0))</f>
        <v>0</v>
      </c>
      <c r="C1594" s="0" t="n">
        <f aca="false">N(C1593)+B1594</f>
        <v>11</v>
      </c>
    </row>
    <row r="1595" customFormat="false" ht="13.5" hidden="false" customHeight="false" outlineLevel="0" collapsed="false">
      <c r="A1595" s="0" t="str">
        <f aca="false">IF(记账凭证!$J3399="","",记账凭证!$J3399)</f>
        <v/>
      </c>
      <c r="B1595" s="0" t="n">
        <f aca="false">IF(A1595="",0,IF(MATCH(A1595,$A$4:$A$1925,0)=ROW()-3,1,0))</f>
        <v>0</v>
      </c>
      <c r="C1595" s="0" t="n">
        <f aca="false">N(C1594)+B1595</f>
        <v>11</v>
      </c>
    </row>
    <row r="1596" customFormat="false" ht="13.5" hidden="false" customHeight="false" outlineLevel="0" collapsed="false">
      <c r="A1596" s="0" t="str">
        <f aca="false">IF(记账凭证!$J3400="","",记账凭证!$J3400)</f>
        <v/>
      </c>
      <c r="B1596" s="0" t="n">
        <f aca="false">IF(A1596="",0,IF(MATCH(A1596,$A$4:$A$1925,0)=ROW()-3,1,0))</f>
        <v>0</v>
      </c>
      <c r="C1596" s="0" t="n">
        <f aca="false">N(C1595)+B1596</f>
        <v>11</v>
      </c>
    </row>
    <row r="1597" customFormat="false" ht="13.5" hidden="false" customHeight="false" outlineLevel="0" collapsed="false">
      <c r="A1597" s="0" t="str">
        <f aca="false">IF(记账凭证!$J3401="","",记账凭证!$J3401)</f>
        <v/>
      </c>
      <c r="B1597" s="0" t="n">
        <f aca="false">IF(A1597="",0,IF(MATCH(A1597,$A$4:$A$1925,0)=ROW()-3,1,0))</f>
        <v>0</v>
      </c>
      <c r="C1597" s="0" t="n">
        <f aca="false">N(C1596)+B1597</f>
        <v>11</v>
      </c>
    </row>
    <row r="1598" customFormat="false" ht="13.5" hidden="false" customHeight="false" outlineLevel="0" collapsed="false">
      <c r="A1598" s="0" t="str">
        <f aca="false">IF(记账凭证!$J3402="","",记账凭证!$J3402)</f>
        <v/>
      </c>
      <c r="B1598" s="0" t="n">
        <f aca="false">IF(A1598="",0,IF(MATCH(A1598,$A$4:$A$1925,0)=ROW()-3,1,0))</f>
        <v>0</v>
      </c>
      <c r="C1598" s="0" t="n">
        <f aca="false">N(C1597)+B1598</f>
        <v>11</v>
      </c>
    </row>
    <row r="1599" customFormat="false" ht="13.5" hidden="false" customHeight="false" outlineLevel="0" collapsed="false">
      <c r="A1599" s="0" t="str">
        <f aca="false">IF(记账凭证!$J3403="","",记账凭证!$J3403)</f>
        <v/>
      </c>
      <c r="B1599" s="0" t="n">
        <f aca="false">IF(A1599="",0,IF(MATCH(A1599,$A$4:$A$1925,0)=ROW()-3,1,0))</f>
        <v>0</v>
      </c>
      <c r="C1599" s="0" t="n">
        <f aca="false">N(C1598)+B1599</f>
        <v>11</v>
      </c>
    </row>
    <row r="1600" customFormat="false" ht="13.5" hidden="false" customHeight="false" outlineLevel="0" collapsed="false">
      <c r="A1600" s="0" t="str">
        <f aca="false">IF(记账凭证!$J3404="","",记账凭证!$J3404)</f>
        <v/>
      </c>
      <c r="B1600" s="0" t="n">
        <f aca="false">IF(A1600="",0,IF(MATCH(A1600,$A$4:$A$1925,0)=ROW()-3,1,0))</f>
        <v>0</v>
      </c>
      <c r="C1600" s="0" t="n">
        <f aca="false">N(C1599)+B1600</f>
        <v>11</v>
      </c>
    </row>
    <row r="1601" customFormat="false" ht="13.5" hidden="false" customHeight="false" outlineLevel="0" collapsed="false">
      <c r="A1601" s="0" t="str">
        <f aca="false">IF(记账凭证!$J3405="","",记账凭证!$J3405)</f>
        <v/>
      </c>
      <c r="B1601" s="0" t="n">
        <f aca="false">IF(A1601="",0,IF(MATCH(A1601,$A$4:$A$1925,0)=ROW()-3,1,0))</f>
        <v>0</v>
      </c>
      <c r="C1601" s="0" t="n">
        <f aca="false">N(C1600)+B1601</f>
        <v>11</v>
      </c>
    </row>
    <row r="1602" customFormat="false" ht="13.5" hidden="false" customHeight="false" outlineLevel="0" collapsed="false">
      <c r="A1602" s="0" t="str">
        <f aca="false">IF(记账凭证!$J3406="","",记账凭证!$J3406)</f>
        <v/>
      </c>
      <c r="B1602" s="0" t="n">
        <f aca="false">IF(A1602="",0,IF(MATCH(A1602,$A$4:$A$1925,0)=ROW()-3,1,0))</f>
        <v>0</v>
      </c>
      <c r="C1602" s="0" t="n">
        <f aca="false">N(C1601)+B1602</f>
        <v>11</v>
      </c>
    </row>
    <row r="1603" customFormat="false" ht="13.5" hidden="false" customHeight="false" outlineLevel="0" collapsed="false">
      <c r="A1603" s="0" t="str">
        <f aca="false">IF(记账凭证!$J3407="","",记账凭证!$J3407)</f>
        <v/>
      </c>
      <c r="B1603" s="0" t="n">
        <f aca="false">IF(A1603="",0,IF(MATCH(A1603,$A$4:$A$1925,0)=ROW()-3,1,0))</f>
        <v>0</v>
      </c>
      <c r="C1603" s="0" t="n">
        <f aca="false">N(C1602)+B1603</f>
        <v>11</v>
      </c>
    </row>
    <row r="1604" customFormat="false" ht="13.5" hidden="false" customHeight="false" outlineLevel="0" collapsed="false">
      <c r="A1604" s="0" t="str">
        <f aca="false">IF(记账凭证!$J3408="","",记账凭证!$J3408)</f>
        <v/>
      </c>
      <c r="B1604" s="0" t="n">
        <f aca="false">IF(A1604="",0,IF(MATCH(A1604,$A$4:$A$1925,0)=ROW()-3,1,0))</f>
        <v>0</v>
      </c>
      <c r="C1604" s="0" t="n">
        <f aca="false">N(C1603)+B1604</f>
        <v>11</v>
      </c>
    </row>
    <row r="1605" customFormat="false" ht="13.5" hidden="false" customHeight="false" outlineLevel="0" collapsed="false">
      <c r="A1605" s="0" t="str">
        <f aca="false">IF(记账凭证!$J3409="","",记账凭证!$J3409)</f>
        <v/>
      </c>
      <c r="B1605" s="0" t="n">
        <f aca="false">IF(A1605="",0,IF(MATCH(A1605,$A$4:$A$1925,0)=ROW()-3,1,0))</f>
        <v>0</v>
      </c>
      <c r="C1605" s="0" t="n">
        <f aca="false">N(C1604)+B1605</f>
        <v>11</v>
      </c>
    </row>
    <row r="1606" customFormat="false" ht="13.5" hidden="false" customHeight="false" outlineLevel="0" collapsed="false">
      <c r="A1606" s="0" t="str">
        <f aca="false">IF(记账凭证!$J3410="","",记账凭证!$J3410)</f>
        <v/>
      </c>
      <c r="B1606" s="0" t="n">
        <f aca="false">IF(A1606="",0,IF(MATCH(A1606,$A$4:$A$1925,0)=ROW()-3,1,0))</f>
        <v>0</v>
      </c>
      <c r="C1606" s="0" t="n">
        <f aca="false">N(C1605)+B1606</f>
        <v>11</v>
      </c>
    </row>
    <row r="1607" customFormat="false" ht="13.5" hidden="false" customHeight="false" outlineLevel="0" collapsed="false">
      <c r="A1607" s="0" t="str">
        <f aca="false">IF(记账凭证!$J3411="","",记账凭证!$J3411)</f>
        <v/>
      </c>
      <c r="B1607" s="0" t="n">
        <f aca="false">IF(A1607="",0,IF(MATCH(A1607,$A$4:$A$1925,0)=ROW()-3,1,0))</f>
        <v>0</v>
      </c>
      <c r="C1607" s="0" t="n">
        <f aca="false">N(C1606)+B1607</f>
        <v>11</v>
      </c>
    </row>
    <row r="1608" customFormat="false" ht="13.5" hidden="false" customHeight="false" outlineLevel="0" collapsed="false">
      <c r="A1608" s="0" t="str">
        <f aca="false">IF(记账凭证!$J3412="","",记账凭证!$J3412)</f>
        <v/>
      </c>
      <c r="B1608" s="0" t="n">
        <f aca="false">IF(A1608="",0,IF(MATCH(A1608,$A$4:$A$1925,0)=ROW()-3,1,0))</f>
        <v>0</v>
      </c>
      <c r="C1608" s="0" t="n">
        <f aca="false">N(C1607)+B1608</f>
        <v>11</v>
      </c>
    </row>
    <row r="1609" customFormat="false" ht="13.5" hidden="false" customHeight="false" outlineLevel="0" collapsed="false">
      <c r="A1609" s="0" t="str">
        <f aca="false">IF(记账凭证!$J3413="","",记账凭证!$J3413)</f>
        <v/>
      </c>
      <c r="B1609" s="0" t="n">
        <f aca="false">IF(A1609="",0,IF(MATCH(A1609,$A$4:$A$1925,0)=ROW()-3,1,0))</f>
        <v>0</v>
      </c>
      <c r="C1609" s="0" t="n">
        <f aca="false">N(C1608)+B1609</f>
        <v>11</v>
      </c>
    </row>
    <row r="1610" customFormat="false" ht="13.5" hidden="false" customHeight="false" outlineLevel="0" collapsed="false">
      <c r="A1610" s="0" t="str">
        <f aca="false">IF(记账凭证!$J3414="","",记账凭证!$J3414)</f>
        <v/>
      </c>
      <c r="B1610" s="0" t="n">
        <f aca="false">IF(A1610="",0,IF(MATCH(A1610,$A$4:$A$1925,0)=ROW()-3,1,0))</f>
        <v>0</v>
      </c>
      <c r="C1610" s="0" t="n">
        <f aca="false">N(C1609)+B1610</f>
        <v>11</v>
      </c>
    </row>
    <row r="1611" customFormat="false" ht="13.5" hidden="false" customHeight="false" outlineLevel="0" collapsed="false">
      <c r="A1611" s="0" t="str">
        <f aca="false">IF(记账凭证!$J3415="","",记账凭证!$J3415)</f>
        <v/>
      </c>
      <c r="B1611" s="0" t="n">
        <f aca="false">IF(A1611="",0,IF(MATCH(A1611,$A$4:$A$1925,0)=ROW()-3,1,0))</f>
        <v>0</v>
      </c>
      <c r="C1611" s="0" t="n">
        <f aca="false">N(C1610)+B1611</f>
        <v>11</v>
      </c>
    </row>
    <row r="1612" customFormat="false" ht="13.5" hidden="false" customHeight="false" outlineLevel="0" collapsed="false">
      <c r="A1612" s="0" t="str">
        <f aca="false">IF(记账凭证!$J3416="","",记账凭证!$J3416)</f>
        <v/>
      </c>
      <c r="B1612" s="0" t="n">
        <f aca="false">IF(A1612="",0,IF(MATCH(A1612,$A$4:$A$1925,0)=ROW()-3,1,0))</f>
        <v>0</v>
      </c>
      <c r="C1612" s="0" t="n">
        <f aca="false">N(C1611)+B1612</f>
        <v>11</v>
      </c>
    </row>
    <row r="1613" customFormat="false" ht="13.5" hidden="false" customHeight="false" outlineLevel="0" collapsed="false">
      <c r="A1613" s="0" t="str">
        <f aca="false">IF(记账凭证!$J3417="","",记账凭证!$J3417)</f>
        <v/>
      </c>
      <c r="B1613" s="0" t="n">
        <f aca="false">IF(A1613="",0,IF(MATCH(A1613,$A$4:$A$1925,0)=ROW()-3,1,0))</f>
        <v>0</v>
      </c>
      <c r="C1613" s="0" t="n">
        <f aca="false">N(C1612)+B1613</f>
        <v>11</v>
      </c>
    </row>
    <row r="1614" customFormat="false" ht="13.5" hidden="false" customHeight="false" outlineLevel="0" collapsed="false">
      <c r="A1614" s="0" t="str">
        <f aca="false">IF(记账凭证!$J3418="","",记账凭证!$J3418)</f>
        <v/>
      </c>
      <c r="B1614" s="0" t="n">
        <f aca="false">IF(A1614="",0,IF(MATCH(A1614,$A$4:$A$1925,0)=ROW()-3,1,0))</f>
        <v>0</v>
      </c>
      <c r="C1614" s="0" t="n">
        <f aca="false">N(C1613)+B1614</f>
        <v>11</v>
      </c>
    </row>
    <row r="1615" customFormat="false" ht="13.5" hidden="false" customHeight="false" outlineLevel="0" collapsed="false">
      <c r="A1615" s="0" t="str">
        <f aca="false">IF(记账凭证!$J3419="","",记账凭证!$J3419)</f>
        <v/>
      </c>
      <c r="B1615" s="0" t="n">
        <f aca="false">IF(A1615="",0,IF(MATCH(A1615,$A$4:$A$1925,0)=ROW()-3,1,0))</f>
        <v>0</v>
      </c>
      <c r="C1615" s="0" t="n">
        <f aca="false">N(C1614)+B1615</f>
        <v>11</v>
      </c>
    </row>
    <row r="1616" customFormat="false" ht="13.5" hidden="false" customHeight="false" outlineLevel="0" collapsed="false">
      <c r="A1616" s="0" t="str">
        <f aca="false">IF(记账凭证!$J3420="","",记账凭证!$J3420)</f>
        <v/>
      </c>
      <c r="B1616" s="0" t="n">
        <f aca="false">IF(A1616="",0,IF(MATCH(A1616,$A$4:$A$1925,0)=ROW()-3,1,0))</f>
        <v>0</v>
      </c>
      <c r="C1616" s="0" t="n">
        <f aca="false">N(C1615)+B1616</f>
        <v>11</v>
      </c>
    </row>
    <row r="1617" customFormat="false" ht="13.5" hidden="false" customHeight="false" outlineLevel="0" collapsed="false">
      <c r="A1617" s="0" t="str">
        <f aca="false">IF(记账凭证!$J3421="","",记账凭证!$J3421)</f>
        <v/>
      </c>
      <c r="B1617" s="0" t="n">
        <f aca="false">IF(A1617="",0,IF(MATCH(A1617,$A$4:$A$1925,0)=ROW()-3,1,0))</f>
        <v>0</v>
      </c>
      <c r="C1617" s="0" t="n">
        <f aca="false">N(C1616)+B1617</f>
        <v>11</v>
      </c>
    </row>
    <row r="1618" customFormat="false" ht="13.5" hidden="false" customHeight="false" outlineLevel="0" collapsed="false">
      <c r="A1618" s="0" t="str">
        <f aca="false">IF(记账凭证!$J3422="","",记账凭证!$J3422)</f>
        <v/>
      </c>
      <c r="B1618" s="0" t="n">
        <f aca="false">IF(A1618="",0,IF(MATCH(A1618,$A$4:$A$1925,0)=ROW()-3,1,0))</f>
        <v>0</v>
      </c>
      <c r="C1618" s="0" t="n">
        <f aca="false">N(C1617)+B1618</f>
        <v>11</v>
      </c>
    </row>
    <row r="1619" customFormat="false" ht="13.5" hidden="false" customHeight="false" outlineLevel="0" collapsed="false">
      <c r="A1619" s="0" t="str">
        <f aca="false">IF(记账凭证!$J3423="","",记账凭证!$J3423)</f>
        <v/>
      </c>
      <c r="B1619" s="0" t="n">
        <f aca="false">IF(A1619="",0,IF(MATCH(A1619,$A$4:$A$1925,0)=ROW()-3,1,0))</f>
        <v>0</v>
      </c>
      <c r="C1619" s="0" t="n">
        <f aca="false">N(C1618)+B1619</f>
        <v>11</v>
      </c>
    </row>
    <row r="1620" customFormat="false" ht="13.5" hidden="false" customHeight="false" outlineLevel="0" collapsed="false">
      <c r="A1620" s="0" t="str">
        <f aca="false">IF(记账凭证!$J3424="","",记账凭证!$J3424)</f>
        <v/>
      </c>
      <c r="B1620" s="0" t="n">
        <f aca="false">IF(A1620="",0,IF(MATCH(A1620,$A$4:$A$1925,0)=ROW()-3,1,0))</f>
        <v>0</v>
      </c>
      <c r="C1620" s="0" t="n">
        <f aca="false">N(C1619)+B1620</f>
        <v>11</v>
      </c>
    </row>
    <row r="1621" customFormat="false" ht="13.5" hidden="false" customHeight="false" outlineLevel="0" collapsed="false">
      <c r="A1621" s="0" t="str">
        <f aca="false">IF(记账凭证!$J3425="","",记账凭证!$J3425)</f>
        <v/>
      </c>
      <c r="B1621" s="0" t="n">
        <f aca="false">IF(A1621="",0,IF(MATCH(A1621,$A$4:$A$1925,0)=ROW()-3,1,0))</f>
        <v>0</v>
      </c>
      <c r="C1621" s="0" t="n">
        <f aca="false">N(C1620)+B1621</f>
        <v>11</v>
      </c>
    </row>
    <row r="1622" customFormat="false" ht="13.5" hidden="false" customHeight="false" outlineLevel="0" collapsed="false">
      <c r="A1622" s="0" t="str">
        <f aca="false">IF(记账凭证!$J3426="","",记账凭证!$J3426)</f>
        <v/>
      </c>
      <c r="B1622" s="0" t="n">
        <f aca="false">IF(A1622="",0,IF(MATCH(A1622,$A$4:$A$1925,0)=ROW()-3,1,0))</f>
        <v>0</v>
      </c>
      <c r="C1622" s="0" t="n">
        <f aca="false">N(C1621)+B1622</f>
        <v>11</v>
      </c>
    </row>
    <row r="1623" customFormat="false" ht="13.5" hidden="false" customHeight="false" outlineLevel="0" collapsed="false">
      <c r="A1623" s="0" t="str">
        <f aca="false">IF(记账凭证!$J3427="","",记账凭证!$J3427)</f>
        <v/>
      </c>
      <c r="B1623" s="0" t="n">
        <f aca="false">IF(A1623="",0,IF(MATCH(A1623,$A$4:$A$1925,0)=ROW()-3,1,0))</f>
        <v>0</v>
      </c>
      <c r="C1623" s="0" t="n">
        <f aca="false">N(C1622)+B1623</f>
        <v>11</v>
      </c>
    </row>
    <row r="1624" customFormat="false" ht="13.5" hidden="false" customHeight="false" outlineLevel="0" collapsed="false">
      <c r="A1624" s="0" t="str">
        <f aca="false">IF(记账凭证!$J3428="","",记账凭证!$J3428)</f>
        <v/>
      </c>
      <c r="B1624" s="0" t="n">
        <f aca="false">IF(A1624="",0,IF(MATCH(A1624,$A$4:$A$1925,0)=ROW()-3,1,0))</f>
        <v>0</v>
      </c>
      <c r="C1624" s="0" t="n">
        <f aca="false">N(C1623)+B1624</f>
        <v>11</v>
      </c>
    </row>
    <row r="1625" customFormat="false" ht="13.5" hidden="false" customHeight="false" outlineLevel="0" collapsed="false">
      <c r="A1625" s="0" t="str">
        <f aca="false">IF(记账凭证!$J3429="","",记账凭证!$J3429)</f>
        <v/>
      </c>
      <c r="B1625" s="0" t="n">
        <f aca="false">IF(A1625="",0,IF(MATCH(A1625,$A$4:$A$1925,0)=ROW()-3,1,0))</f>
        <v>0</v>
      </c>
      <c r="C1625" s="0" t="n">
        <f aca="false">N(C1624)+B1625</f>
        <v>11</v>
      </c>
    </row>
    <row r="1626" customFormat="false" ht="13.5" hidden="false" customHeight="false" outlineLevel="0" collapsed="false">
      <c r="A1626" s="0" t="str">
        <f aca="false">IF(记账凭证!$J3430="","",记账凭证!$J3430)</f>
        <v/>
      </c>
      <c r="B1626" s="0" t="n">
        <f aca="false">IF(A1626="",0,IF(MATCH(A1626,$A$4:$A$1925,0)=ROW()-3,1,0))</f>
        <v>0</v>
      </c>
      <c r="C1626" s="0" t="n">
        <f aca="false">N(C1625)+B1626</f>
        <v>11</v>
      </c>
    </row>
    <row r="1627" customFormat="false" ht="13.5" hidden="false" customHeight="false" outlineLevel="0" collapsed="false">
      <c r="A1627" s="0" t="str">
        <f aca="false">IF(记账凭证!$J3431="","",记账凭证!$J3431)</f>
        <v/>
      </c>
      <c r="B1627" s="0" t="n">
        <f aca="false">IF(A1627="",0,IF(MATCH(A1627,$A$4:$A$1925,0)=ROW()-3,1,0))</f>
        <v>0</v>
      </c>
      <c r="C1627" s="0" t="n">
        <f aca="false">N(C1626)+B1627</f>
        <v>11</v>
      </c>
    </row>
    <row r="1628" customFormat="false" ht="13.5" hidden="false" customHeight="false" outlineLevel="0" collapsed="false">
      <c r="A1628" s="0" t="str">
        <f aca="false">IF(记账凭证!$J3432="","",记账凭证!$J3432)</f>
        <v/>
      </c>
      <c r="B1628" s="0" t="n">
        <f aca="false">IF(A1628="",0,IF(MATCH(A1628,$A$4:$A$1925,0)=ROW()-3,1,0))</f>
        <v>0</v>
      </c>
      <c r="C1628" s="0" t="n">
        <f aca="false">N(C1627)+B1628</f>
        <v>11</v>
      </c>
    </row>
    <row r="1629" customFormat="false" ht="13.5" hidden="false" customHeight="false" outlineLevel="0" collapsed="false">
      <c r="A1629" s="0" t="str">
        <f aca="false">IF(记账凭证!$J3433="","",记账凭证!$J3433)</f>
        <v/>
      </c>
      <c r="B1629" s="0" t="n">
        <f aca="false">IF(A1629="",0,IF(MATCH(A1629,$A$4:$A$1925,0)=ROW()-3,1,0))</f>
        <v>0</v>
      </c>
      <c r="C1629" s="0" t="n">
        <f aca="false">N(C1628)+B1629</f>
        <v>11</v>
      </c>
    </row>
    <row r="1630" customFormat="false" ht="13.5" hidden="false" customHeight="false" outlineLevel="0" collapsed="false">
      <c r="A1630" s="0" t="str">
        <f aca="false">IF(记账凭证!$J3434="","",记账凭证!$J3434)</f>
        <v/>
      </c>
      <c r="B1630" s="0" t="n">
        <f aca="false">IF(A1630="",0,IF(MATCH(A1630,$A$4:$A$1925,0)=ROW()-3,1,0))</f>
        <v>0</v>
      </c>
      <c r="C1630" s="0" t="n">
        <f aca="false">N(C1629)+B1630</f>
        <v>11</v>
      </c>
    </row>
    <row r="1631" customFormat="false" ht="13.5" hidden="false" customHeight="false" outlineLevel="0" collapsed="false">
      <c r="A1631" s="0" t="str">
        <f aca="false">IF(记账凭证!$J3435="","",记账凭证!$J3435)</f>
        <v/>
      </c>
      <c r="B1631" s="0" t="n">
        <f aca="false">IF(A1631="",0,IF(MATCH(A1631,$A$4:$A$1925,0)=ROW()-3,1,0))</f>
        <v>0</v>
      </c>
      <c r="C1631" s="0" t="n">
        <f aca="false">N(C1630)+B1631</f>
        <v>11</v>
      </c>
    </row>
    <row r="1632" customFormat="false" ht="13.5" hidden="false" customHeight="false" outlineLevel="0" collapsed="false">
      <c r="A1632" s="0" t="str">
        <f aca="false">IF(记账凭证!$J3436="","",记账凭证!$J3436)</f>
        <v/>
      </c>
      <c r="B1632" s="0" t="n">
        <f aca="false">IF(A1632="",0,IF(MATCH(A1632,$A$4:$A$1925,0)=ROW()-3,1,0))</f>
        <v>0</v>
      </c>
      <c r="C1632" s="0" t="n">
        <f aca="false">N(C1631)+B1632</f>
        <v>11</v>
      </c>
    </row>
    <row r="1633" customFormat="false" ht="13.5" hidden="false" customHeight="false" outlineLevel="0" collapsed="false">
      <c r="A1633" s="0" t="str">
        <f aca="false">IF(记账凭证!$J3437="","",记账凭证!$J3437)</f>
        <v/>
      </c>
      <c r="B1633" s="0" t="n">
        <f aca="false">IF(A1633="",0,IF(MATCH(A1633,$A$4:$A$1925,0)=ROW()-3,1,0))</f>
        <v>0</v>
      </c>
      <c r="C1633" s="0" t="n">
        <f aca="false">N(C1632)+B1633</f>
        <v>11</v>
      </c>
    </row>
    <row r="1634" customFormat="false" ht="13.5" hidden="false" customHeight="false" outlineLevel="0" collapsed="false">
      <c r="A1634" s="0" t="str">
        <f aca="false">IF(记账凭证!$J3438="","",记账凭证!$J3438)</f>
        <v/>
      </c>
      <c r="B1634" s="0" t="n">
        <f aca="false">IF(A1634="",0,IF(MATCH(A1634,$A$4:$A$1925,0)=ROW()-3,1,0))</f>
        <v>0</v>
      </c>
      <c r="C1634" s="0" t="n">
        <f aca="false">N(C1633)+B1634</f>
        <v>11</v>
      </c>
    </row>
    <row r="1635" customFormat="false" ht="13.5" hidden="false" customHeight="false" outlineLevel="0" collapsed="false">
      <c r="A1635" s="0" t="str">
        <f aca="false">IF(记账凭证!$J3439="","",记账凭证!$J3439)</f>
        <v/>
      </c>
      <c r="B1635" s="0" t="n">
        <f aca="false">IF(A1635="",0,IF(MATCH(A1635,$A$4:$A$1925,0)=ROW()-3,1,0))</f>
        <v>0</v>
      </c>
      <c r="C1635" s="0" t="n">
        <f aca="false">N(C1634)+B1635</f>
        <v>11</v>
      </c>
    </row>
    <row r="1636" customFormat="false" ht="13.5" hidden="false" customHeight="false" outlineLevel="0" collapsed="false">
      <c r="A1636" s="0" t="str">
        <f aca="false">IF(记账凭证!$J3440="","",记账凭证!$J3440)</f>
        <v/>
      </c>
      <c r="B1636" s="0" t="n">
        <f aca="false">IF(A1636="",0,IF(MATCH(A1636,$A$4:$A$1925,0)=ROW()-3,1,0))</f>
        <v>0</v>
      </c>
      <c r="C1636" s="0" t="n">
        <f aca="false">N(C1635)+B1636</f>
        <v>11</v>
      </c>
    </row>
    <row r="1637" customFormat="false" ht="13.5" hidden="false" customHeight="false" outlineLevel="0" collapsed="false">
      <c r="A1637" s="0" t="str">
        <f aca="false">IF(记账凭证!$J3441="","",记账凭证!$J3441)</f>
        <v/>
      </c>
      <c r="B1637" s="0" t="n">
        <f aca="false">IF(A1637="",0,IF(MATCH(A1637,$A$4:$A$1925,0)=ROW()-3,1,0))</f>
        <v>0</v>
      </c>
      <c r="C1637" s="0" t="n">
        <f aca="false">N(C1636)+B1637</f>
        <v>11</v>
      </c>
    </row>
    <row r="1638" customFormat="false" ht="13.5" hidden="false" customHeight="false" outlineLevel="0" collapsed="false">
      <c r="A1638" s="0" t="str">
        <f aca="false">IF(记账凭证!$J3442="","",记账凭证!$J3442)</f>
        <v/>
      </c>
      <c r="B1638" s="0" t="n">
        <f aca="false">IF(A1638="",0,IF(MATCH(A1638,$A$4:$A$1925,0)=ROW()-3,1,0))</f>
        <v>0</v>
      </c>
      <c r="C1638" s="0" t="n">
        <f aca="false">N(C1637)+B1638</f>
        <v>11</v>
      </c>
    </row>
    <row r="1639" customFormat="false" ht="13.5" hidden="false" customHeight="false" outlineLevel="0" collapsed="false">
      <c r="A1639" s="0" t="str">
        <f aca="false">IF(记账凭证!$J3443="","",记账凭证!$J3443)</f>
        <v/>
      </c>
      <c r="B1639" s="0" t="n">
        <f aca="false">IF(A1639="",0,IF(MATCH(A1639,$A$4:$A$1925,0)=ROW()-3,1,0))</f>
        <v>0</v>
      </c>
      <c r="C1639" s="0" t="n">
        <f aca="false">N(C1638)+B1639</f>
        <v>11</v>
      </c>
    </row>
    <row r="1640" customFormat="false" ht="13.5" hidden="false" customHeight="false" outlineLevel="0" collapsed="false">
      <c r="A1640" s="0" t="str">
        <f aca="false">IF(记账凭证!$J3444="","",记账凭证!$J3444)</f>
        <v/>
      </c>
      <c r="B1640" s="0" t="n">
        <f aca="false">IF(A1640="",0,IF(MATCH(A1640,$A$4:$A$1925,0)=ROW()-3,1,0))</f>
        <v>0</v>
      </c>
      <c r="C1640" s="0" t="n">
        <f aca="false">N(C1639)+B1640</f>
        <v>11</v>
      </c>
    </row>
    <row r="1641" customFormat="false" ht="13.5" hidden="false" customHeight="false" outlineLevel="0" collapsed="false">
      <c r="A1641" s="0" t="str">
        <f aca="false">IF(记账凭证!$J3445="","",记账凭证!$J3445)</f>
        <v/>
      </c>
      <c r="B1641" s="0" t="n">
        <f aca="false">IF(A1641="",0,IF(MATCH(A1641,$A$4:$A$1925,0)=ROW()-3,1,0))</f>
        <v>0</v>
      </c>
      <c r="C1641" s="0" t="n">
        <f aca="false">N(C1640)+B1641</f>
        <v>11</v>
      </c>
    </row>
    <row r="1642" customFormat="false" ht="13.5" hidden="false" customHeight="false" outlineLevel="0" collapsed="false">
      <c r="A1642" s="0" t="str">
        <f aca="false">IF(记账凭证!$J3446="","",记账凭证!$J3446)</f>
        <v/>
      </c>
      <c r="B1642" s="0" t="n">
        <f aca="false">IF(A1642="",0,IF(MATCH(A1642,$A$4:$A$1925,0)=ROW()-3,1,0))</f>
        <v>0</v>
      </c>
      <c r="C1642" s="0" t="n">
        <f aca="false">N(C1641)+B1642</f>
        <v>11</v>
      </c>
    </row>
    <row r="1643" customFormat="false" ht="13.5" hidden="false" customHeight="false" outlineLevel="0" collapsed="false">
      <c r="A1643" s="0" t="str">
        <f aca="false">IF(记账凭证!$J3447="","",记账凭证!$J3447)</f>
        <v/>
      </c>
      <c r="B1643" s="0" t="n">
        <f aca="false">IF(A1643="",0,IF(MATCH(A1643,$A$4:$A$1925,0)=ROW()-3,1,0))</f>
        <v>0</v>
      </c>
      <c r="C1643" s="0" t="n">
        <f aca="false">N(C1642)+B1643</f>
        <v>11</v>
      </c>
    </row>
    <row r="1644" customFormat="false" ht="13.5" hidden="false" customHeight="false" outlineLevel="0" collapsed="false">
      <c r="A1644" s="0" t="str">
        <f aca="false">IF(记账凭证!$J3448="","",记账凭证!$J3448)</f>
        <v/>
      </c>
      <c r="B1644" s="0" t="n">
        <f aca="false">IF(A1644="",0,IF(MATCH(A1644,$A$4:$A$1925,0)=ROW()-3,1,0))</f>
        <v>0</v>
      </c>
      <c r="C1644" s="0" t="n">
        <f aca="false">N(C1643)+B1644</f>
        <v>11</v>
      </c>
    </row>
    <row r="1645" customFormat="false" ht="13.5" hidden="false" customHeight="false" outlineLevel="0" collapsed="false">
      <c r="A1645" s="0" t="str">
        <f aca="false">IF(记账凭证!$J3449="","",记账凭证!$J3449)</f>
        <v/>
      </c>
      <c r="B1645" s="0" t="n">
        <f aca="false">IF(A1645="",0,IF(MATCH(A1645,$A$4:$A$1925,0)=ROW()-3,1,0))</f>
        <v>0</v>
      </c>
      <c r="C1645" s="0" t="n">
        <f aca="false">N(C1644)+B1645</f>
        <v>11</v>
      </c>
    </row>
    <row r="1646" customFormat="false" ht="13.5" hidden="false" customHeight="false" outlineLevel="0" collapsed="false">
      <c r="A1646" s="0" t="str">
        <f aca="false">IF(记账凭证!$J3450="","",记账凭证!$J3450)</f>
        <v/>
      </c>
      <c r="B1646" s="0" t="n">
        <f aca="false">IF(A1646="",0,IF(MATCH(A1646,$A$4:$A$1925,0)=ROW()-3,1,0))</f>
        <v>0</v>
      </c>
      <c r="C1646" s="0" t="n">
        <f aca="false">N(C1645)+B1646</f>
        <v>11</v>
      </c>
    </row>
    <row r="1647" customFormat="false" ht="13.5" hidden="false" customHeight="false" outlineLevel="0" collapsed="false">
      <c r="A1647" s="0" t="str">
        <f aca="false">IF(记账凭证!$J3451="","",记账凭证!$J3451)</f>
        <v/>
      </c>
      <c r="B1647" s="0" t="n">
        <f aca="false">IF(A1647="",0,IF(MATCH(A1647,$A$4:$A$1925,0)=ROW()-3,1,0))</f>
        <v>0</v>
      </c>
      <c r="C1647" s="0" t="n">
        <f aca="false">N(C1646)+B1647</f>
        <v>11</v>
      </c>
    </row>
    <row r="1648" customFormat="false" ht="13.5" hidden="false" customHeight="false" outlineLevel="0" collapsed="false">
      <c r="A1648" s="0" t="str">
        <f aca="false">IF(记账凭证!$J3452="","",记账凭证!$J3452)</f>
        <v/>
      </c>
      <c r="B1648" s="0" t="n">
        <f aca="false">IF(A1648="",0,IF(MATCH(A1648,$A$4:$A$1925,0)=ROW()-3,1,0))</f>
        <v>0</v>
      </c>
      <c r="C1648" s="0" t="n">
        <f aca="false">N(C1647)+B1648</f>
        <v>11</v>
      </c>
    </row>
    <row r="1649" customFormat="false" ht="13.5" hidden="false" customHeight="false" outlineLevel="0" collapsed="false">
      <c r="A1649" s="0" t="str">
        <f aca="false">IF(记账凭证!$J3453="","",记账凭证!$J3453)</f>
        <v/>
      </c>
      <c r="B1649" s="0" t="n">
        <f aca="false">IF(A1649="",0,IF(MATCH(A1649,$A$4:$A$1925,0)=ROW()-3,1,0))</f>
        <v>0</v>
      </c>
      <c r="C1649" s="0" t="n">
        <f aca="false">N(C1648)+B1649</f>
        <v>11</v>
      </c>
    </row>
    <row r="1650" customFormat="false" ht="13.5" hidden="false" customHeight="false" outlineLevel="0" collapsed="false">
      <c r="A1650" s="0" t="str">
        <f aca="false">IF(记账凭证!$J3454="","",记账凭证!$J3454)</f>
        <v/>
      </c>
      <c r="B1650" s="0" t="n">
        <f aca="false">IF(A1650="",0,IF(MATCH(A1650,$A$4:$A$1925,0)=ROW()-3,1,0))</f>
        <v>0</v>
      </c>
      <c r="C1650" s="0" t="n">
        <f aca="false">N(C1649)+B1650</f>
        <v>11</v>
      </c>
    </row>
    <row r="1651" customFormat="false" ht="13.5" hidden="false" customHeight="false" outlineLevel="0" collapsed="false">
      <c r="A1651" s="0" t="str">
        <f aca="false">IF(记账凭证!$J3455="","",记账凭证!$J3455)</f>
        <v/>
      </c>
      <c r="B1651" s="0" t="n">
        <f aca="false">IF(A1651="",0,IF(MATCH(A1651,$A$4:$A$1925,0)=ROW()-3,1,0))</f>
        <v>0</v>
      </c>
      <c r="C1651" s="0" t="n">
        <f aca="false">N(C1650)+B1651</f>
        <v>11</v>
      </c>
    </row>
    <row r="1652" customFormat="false" ht="13.5" hidden="false" customHeight="false" outlineLevel="0" collapsed="false">
      <c r="A1652" s="0" t="str">
        <f aca="false">IF(记账凭证!$J3456="","",记账凭证!$J3456)</f>
        <v/>
      </c>
      <c r="B1652" s="0" t="n">
        <f aca="false">IF(A1652="",0,IF(MATCH(A1652,$A$4:$A$1925,0)=ROW()-3,1,0))</f>
        <v>0</v>
      </c>
      <c r="C1652" s="0" t="n">
        <f aca="false">N(C1651)+B1652</f>
        <v>11</v>
      </c>
    </row>
    <row r="1653" customFormat="false" ht="13.5" hidden="false" customHeight="false" outlineLevel="0" collapsed="false">
      <c r="A1653" s="0" t="str">
        <f aca="false">IF(记账凭证!$J3457="","",记账凭证!$J3457)</f>
        <v/>
      </c>
      <c r="B1653" s="0" t="n">
        <f aca="false">IF(A1653="",0,IF(MATCH(A1653,$A$4:$A$1925,0)=ROW()-3,1,0))</f>
        <v>0</v>
      </c>
      <c r="C1653" s="0" t="n">
        <f aca="false">N(C1652)+B1653</f>
        <v>11</v>
      </c>
    </row>
    <row r="1654" customFormat="false" ht="13.5" hidden="false" customHeight="false" outlineLevel="0" collapsed="false">
      <c r="A1654" s="0" t="str">
        <f aca="false">IF(记账凭证!$J3458="","",记账凭证!$J3458)</f>
        <v/>
      </c>
      <c r="B1654" s="0" t="n">
        <f aca="false">IF(A1654="",0,IF(MATCH(A1654,$A$4:$A$1925,0)=ROW()-3,1,0))</f>
        <v>0</v>
      </c>
      <c r="C1654" s="0" t="n">
        <f aca="false">N(C1653)+B1654</f>
        <v>11</v>
      </c>
    </row>
    <row r="1655" customFormat="false" ht="13.5" hidden="false" customHeight="false" outlineLevel="0" collapsed="false">
      <c r="A1655" s="0" t="str">
        <f aca="false">IF(记账凭证!$J3459="","",记账凭证!$J3459)</f>
        <v/>
      </c>
      <c r="B1655" s="0" t="n">
        <f aca="false">IF(A1655="",0,IF(MATCH(A1655,$A$4:$A$1925,0)=ROW()-3,1,0))</f>
        <v>0</v>
      </c>
      <c r="C1655" s="0" t="n">
        <f aca="false">N(C1654)+B1655</f>
        <v>11</v>
      </c>
    </row>
    <row r="1656" customFormat="false" ht="13.5" hidden="false" customHeight="false" outlineLevel="0" collapsed="false">
      <c r="A1656" s="0" t="str">
        <f aca="false">IF(记账凭证!$J3460="","",记账凭证!$J3460)</f>
        <v/>
      </c>
      <c r="B1656" s="0" t="n">
        <f aca="false">IF(A1656="",0,IF(MATCH(A1656,$A$4:$A$1925,0)=ROW()-3,1,0))</f>
        <v>0</v>
      </c>
      <c r="C1656" s="0" t="n">
        <f aca="false">N(C1655)+B1656</f>
        <v>11</v>
      </c>
    </row>
    <row r="1657" customFormat="false" ht="13.5" hidden="false" customHeight="false" outlineLevel="0" collapsed="false">
      <c r="A1657" s="0" t="str">
        <f aca="false">IF(记账凭证!$J3461="","",记账凭证!$J3461)</f>
        <v/>
      </c>
      <c r="B1657" s="0" t="n">
        <f aca="false">IF(A1657="",0,IF(MATCH(A1657,$A$4:$A$1925,0)=ROW()-3,1,0))</f>
        <v>0</v>
      </c>
      <c r="C1657" s="0" t="n">
        <f aca="false">N(C1656)+B1657</f>
        <v>11</v>
      </c>
    </row>
    <row r="1658" customFormat="false" ht="13.5" hidden="false" customHeight="false" outlineLevel="0" collapsed="false">
      <c r="A1658" s="0" t="str">
        <f aca="false">IF(记账凭证!$J3462="","",记账凭证!$J3462)</f>
        <v/>
      </c>
      <c r="B1658" s="0" t="n">
        <f aca="false">IF(A1658="",0,IF(MATCH(A1658,$A$4:$A$1925,0)=ROW()-3,1,0))</f>
        <v>0</v>
      </c>
      <c r="C1658" s="0" t="n">
        <f aca="false">N(C1657)+B1658</f>
        <v>11</v>
      </c>
    </row>
    <row r="1659" customFormat="false" ht="13.5" hidden="false" customHeight="false" outlineLevel="0" collapsed="false">
      <c r="A1659" s="0" t="str">
        <f aca="false">IF(记账凭证!$J3463="","",记账凭证!$J3463)</f>
        <v/>
      </c>
      <c r="B1659" s="0" t="n">
        <f aca="false">IF(A1659="",0,IF(MATCH(A1659,$A$4:$A$1925,0)=ROW()-3,1,0))</f>
        <v>0</v>
      </c>
      <c r="C1659" s="0" t="n">
        <f aca="false">N(C1658)+B1659</f>
        <v>11</v>
      </c>
    </row>
    <row r="1660" customFormat="false" ht="13.5" hidden="false" customHeight="false" outlineLevel="0" collapsed="false">
      <c r="A1660" s="0" t="str">
        <f aca="false">IF(记账凭证!$J3464="","",记账凭证!$J3464)</f>
        <v/>
      </c>
      <c r="B1660" s="0" t="n">
        <f aca="false">IF(A1660="",0,IF(MATCH(A1660,$A$4:$A$1925,0)=ROW()-3,1,0))</f>
        <v>0</v>
      </c>
      <c r="C1660" s="0" t="n">
        <f aca="false">N(C1659)+B1660</f>
        <v>11</v>
      </c>
    </row>
    <row r="1661" customFormat="false" ht="13.5" hidden="false" customHeight="false" outlineLevel="0" collapsed="false">
      <c r="A1661" s="0" t="str">
        <f aca="false">IF(记账凭证!$J3465="","",记账凭证!$J3465)</f>
        <v/>
      </c>
      <c r="B1661" s="0" t="n">
        <f aca="false">IF(A1661="",0,IF(MATCH(A1661,$A$4:$A$1925,0)=ROW()-3,1,0))</f>
        <v>0</v>
      </c>
      <c r="C1661" s="0" t="n">
        <f aca="false">N(C1660)+B1661</f>
        <v>11</v>
      </c>
    </row>
    <row r="1662" customFormat="false" ht="13.5" hidden="false" customHeight="false" outlineLevel="0" collapsed="false">
      <c r="A1662" s="0" t="str">
        <f aca="false">IF(记账凭证!$J3466="","",记账凭证!$J3466)</f>
        <v/>
      </c>
      <c r="B1662" s="0" t="n">
        <f aca="false">IF(A1662="",0,IF(MATCH(A1662,$A$4:$A$1925,0)=ROW()-3,1,0))</f>
        <v>0</v>
      </c>
      <c r="C1662" s="0" t="n">
        <f aca="false">N(C1661)+B1662</f>
        <v>11</v>
      </c>
    </row>
    <row r="1663" customFormat="false" ht="13.5" hidden="false" customHeight="false" outlineLevel="0" collapsed="false">
      <c r="A1663" s="0" t="str">
        <f aca="false">IF(记账凭证!$J3467="","",记账凭证!$J3467)</f>
        <v/>
      </c>
      <c r="B1663" s="0" t="n">
        <f aca="false">IF(A1663="",0,IF(MATCH(A1663,$A$4:$A$1925,0)=ROW()-3,1,0))</f>
        <v>0</v>
      </c>
      <c r="C1663" s="0" t="n">
        <f aca="false">N(C1662)+B1663</f>
        <v>11</v>
      </c>
    </row>
    <row r="1664" customFormat="false" ht="13.5" hidden="false" customHeight="false" outlineLevel="0" collapsed="false">
      <c r="A1664" s="0" t="str">
        <f aca="false">IF(记账凭证!$J3468="","",记账凭证!$J3468)</f>
        <v/>
      </c>
      <c r="B1664" s="0" t="n">
        <f aca="false">IF(A1664="",0,IF(MATCH(A1664,$A$4:$A$1925,0)=ROW()-3,1,0))</f>
        <v>0</v>
      </c>
      <c r="C1664" s="0" t="n">
        <f aca="false">N(C1663)+B1664</f>
        <v>11</v>
      </c>
    </row>
    <row r="1665" customFormat="false" ht="13.5" hidden="false" customHeight="false" outlineLevel="0" collapsed="false">
      <c r="A1665" s="0" t="str">
        <f aca="false">IF(记账凭证!$J3469="","",记账凭证!$J3469)</f>
        <v/>
      </c>
      <c r="B1665" s="0" t="n">
        <f aca="false">IF(A1665="",0,IF(MATCH(A1665,$A$4:$A$1925,0)=ROW()-3,1,0))</f>
        <v>0</v>
      </c>
      <c r="C1665" s="0" t="n">
        <f aca="false">N(C1664)+B1665</f>
        <v>11</v>
      </c>
    </row>
    <row r="1666" customFormat="false" ht="13.5" hidden="false" customHeight="false" outlineLevel="0" collapsed="false">
      <c r="A1666" s="0" t="str">
        <f aca="false">IF(记账凭证!$J3470="","",记账凭证!$J3470)</f>
        <v/>
      </c>
      <c r="B1666" s="0" t="n">
        <f aca="false">IF(A1666="",0,IF(MATCH(A1666,$A$4:$A$1925,0)=ROW()-3,1,0))</f>
        <v>0</v>
      </c>
      <c r="C1666" s="0" t="n">
        <f aca="false">N(C1665)+B1666</f>
        <v>11</v>
      </c>
    </row>
    <row r="1667" customFormat="false" ht="13.5" hidden="false" customHeight="false" outlineLevel="0" collapsed="false">
      <c r="A1667" s="0" t="str">
        <f aca="false">IF(记账凭证!$J3471="","",记账凭证!$J3471)</f>
        <v/>
      </c>
      <c r="B1667" s="0" t="n">
        <f aca="false">IF(A1667="",0,IF(MATCH(A1667,$A$4:$A$1925,0)=ROW()-3,1,0))</f>
        <v>0</v>
      </c>
      <c r="C1667" s="0" t="n">
        <f aca="false">N(C1666)+B1667</f>
        <v>11</v>
      </c>
    </row>
    <row r="1668" customFormat="false" ht="13.5" hidden="false" customHeight="false" outlineLevel="0" collapsed="false">
      <c r="A1668" s="0" t="str">
        <f aca="false">IF(记账凭证!$J3472="","",记账凭证!$J3472)</f>
        <v/>
      </c>
      <c r="B1668" s="0" t="n">
        <f aca="false">IF(A1668="",0,IF(MATCH(A1668,$A$4:$A$1925,0)=ROW()-3,1,0))</f>
        <v>0</v>
      </c>
      <c r="C1668" s="0" t="n">
        <f aca="false">N(C1667)+B1668</f>
        <v>11</v>
      </c>
    </row>
    <row r="1669" customFormat="false" ht="13.5" hidden="false" customHeight="false" outlineLevel="0" collapsed="false">
      <c r="A1669" s="0" t="str">
        <f aca="false">IF(记账凭证!$J3473="","",记账凭证!$J3473)</f>
        <v/>
      </c>
      <c r="B1669" s="0" t="n">
        <f aca="false">IF(A1669="",0,IF(MATCH(A1669,$A$4:$A$1925,0)=ROW()-3,1,0))</f>
        <v>0</v>
      </c>
      <c r="C1669" s="0" t="n">
        <f aca="false">N(C1668)+B1669</f>
        <v>11</v>
      </c>
    </row>
    <row r="1670" customFormat="false" ht="13.5" hidden="false" customHeight="false" outlineLevel="0" collapsed="false">
      <c r="A1670" s="0" t="str">
        <f aca="false">IF(记账凭证!$J3474="","",记账凭证!$J3474)</f>
        <v/>
      </c>
      <c r="B1670" s="0" t="n">
        <f aca="false">IF(A1670="",0,IF(MATCH(A1670,$A$4:$A$1925,0)=ROW()-3,1,0))</f>
        <v>0</v>
      </c>
      <c r="C1670" s="0" t="n">
        <f aca="false">N(C1669)+B1670</f>
        <v>11</v>
      </c>
    </row>
    <row r="1671" customFormat="false" ht="13.5" hidden="false" customHeight="false" outlineLevel="0" collapsed="false">
      <c r="A1671" s="0" t="str">
        <f aca="false">IF(记账凭证!$J3475="","",记账凭证!$J3475)</f>
        <v/>
      </c>
      <c r="B1671" s="0" t="n">
        <f aca="false">IF(A1671="",0,IF(MATCH(A1671,$A$4:$A$1925,0)=ROW()-3,1,0))</f>
        <v>0</v>
      </c>
      <c r="C1671" s="0" t="n">
        <f aca="false">N(C1670)+B1671</f>
        <v>11</v>
      </c>
    </row>
    <row r="1672" customFormat="false" ht="13.5" hidden="false" customHeight="false" outlineLevel="0" collapsed="false">
      <c r="A1672" s="0" t="str">
        <f aca="false">IF(记账凭证!$J3476="","",记账凭证!$J3476)</f>
        <v/>
      </c>
      <c r="B1672" s="0" t="n">
        <f aca="false">IF(A1672="",0,IF(MATCH(A1672,$A$4:$A$1925,0)=ROW()-3,1,0))</f>
        <v>0</v>
      </c>
      <c r="C1672" s="0" t="n">
        <f aca="false">N(C1671)+B1672</f>
        <v>11</v>
      </c>
    </row>
    <row r="1673" customFormat="false" ht="13.5" hidden="false" customHeight="false" outlineLevel="0" collapsed="false">
      <c r="A1673" s="0" t="str">
        <f aca="false">IF(记账凭证!$J3477="","",记账凭证!$J3477)</f>
        <v/>
      </c>
      <c r="B1673" s="0" t="n">
        <f aca="false">IF(A1673="",0,IF(MATCH(A1673,$A$4:$A$1925,0)=ROW()-3,1,0))</f>
        <v>0</v>
      </c>
      <c r="C1673" s="0" t="n">
        <f aca="false">N(C1672)+B1673</f>
        <v>11</v>
      </c>
    </row>
    <row r="1674" customFormat="false" ht="13.5" hidden="false" customHeight="false" outlineLevel="0" collapsed="false">
      <c r="A1674" s="0" t="str">
        <f aca="false">IF(记账凭证!$J3478="","",记账凭证!$J3478)</f>
        <v/>
      </c>
      <c r="B1674" s="0" t="n">
        <f aca="false">IF(A1674="",0,IF(MATCH(A1674,$A$4:$A$1925,0)=ROW()-3,1,0))</f>
        <v>0</v>
      </c>
      <c r="C1674" s="0" t="n">
        <f aca="false">N(C1673)+B1674</f>
        <v>11</v>
      </c>
    </row>
    <row r="1675" customFormat="false" ht="13.5" hidden="false" customHeight="false" outlineLevel="0" collapsed="false">
      <c r="A1675" s="0" t="str">
        <f aca="false">IF(记账凭证!$J3479="","",记账凭证!$J3479)</f>
        <v/>
      </c>
      <c r="B1675" s="0" t="n">
        <f aca="false">IF(A1675="",0,IF(MATCH(A1675,$A$4:$A$1925,0)=ROW()-3,1,0))</f>
        <v>0</v>
      </c>
      <c r="C1675" s="0" t="n">
        <f aca="false">N(C1674)+B1675</f>
        <v>11</v>
      </c>
    </row>
    <row r="1676" customFormat="false" ht="13.5" hidden="false" customHeight="false" outlineLevel="0" collapsed="false">
      <c r="A1676" s="0" t="str">
        <f aca="false">IF(记账凭证!$J3480="","",记账凭证!$J3480)</f>
        <v/>
      </c>
      <c r="B1676" s="0" t="n">
        <f aca="false">IF(A1676="",0,IF(MATCH(A1676,$A$4:$A$1925,0)=ROW()-3,1,0))</f>
        <v>0</v>
      </c>
      <c r="C1676" s="0" t="n">
        <f aca="false">N(C1675)+B1676</f>
        <v>11</v>
      </c>
    </row>
    <row r="1677" customFormat="false" ht="13.5" hidden="false" customHeight="false" outlineLevel="0" collapsed="false">
      <c r="A1677" s="0" t="str">
        <f aca="false">IF(记账凭证!$J3481="","",记账凭证!$J3481)</f>
        <v/>
      </c>
      <c r="B1677" s="0" t="n">
        <f aca="false">IF(A1677="",0,IF(MATCH(A1677,$A$4:$A$1925,0)=ROW()-3,1,0))</f>
        <v>0</v>
      </c>
      <c r="C1677" s="0" t="n">
        <f aca="false">N(C1676)+B1677</f>
        <v>11</v>
      </c>
    </row>
    <row r="1678" customFormat="false" ht="13.5" hidden="false" customHeight="false" outlineLevel="0" collapsed="false">
      <c r="A1678" s="0" t="str">
        <f aca="false">IF(记账凭证!$J3482="","",记账凭证!$J3482)</f>
        <v/>
      </c>
      <c r="B1678" s="0" t="n">
        <f aca="false">IF(A1678="",0,IF(MATCH(A1678,$A$4:$A$1925,0)=ROW()-3,1,0))</f>
        <v>0</v>
      </c>
      <c r="C1678" s="0" t="n">
        <f aca="false">N(C1677)+B1678</f>
        <v>11</v>
      </c>
    </row>
    <row r="1679" customFormat="false" ht="13.5" hidden="false" customHeight="false" outlineLevel="0" collapsed="false">
      <c r="A1679" s="0" t="str">
        <f aca="false">IF(记账凭证!$J3483="","",记账凭证!$J3483)</f>
        <v/>
      </c>
      <c r="B1679" s="0" t="n">
        <f aca="false">IF(A1679="",0,IF(MATCH(A1679,$A$4:$A$1925,0)=ROW()-3,1,0))</f>
        <v>0</v>
      </c>
      <c r="C1679" s="0" t="n">
        <f aca="false">N(C1678)+B1679</f>
        <v>11</v>
      </c>
    </row>
    <row r="1680" customFormat="false" ht="13.5" hidden="false" customHeight="false" outlineLevel="0" collapsed="false">
      <c r="A1680" s="0" t="str">
        <f aca="false">IF(记账凭证!$J3484="","",记账凭证!$J3484)</f>
        <v/>
      </c>
      <c r="B1680" s="0" t="n">
        <f aca="false">IF(A1680="",0,IF(MATCH(A1680,$A$4:$A$1925,0)=ROW()-3,1,0))</f>
        <v>0</v>
      </c>
      <c r="C1680" s="0" t="n">
        <f aca="false">N(C1679)+B1680</f>
        <v>11</v>
      </c>
    </row>
    <row r="1681" customFormat="false" ht="13.5" hidden="false" customHeight="false" outlineLevel="0" collapsed="false">
      <c r="A1681" s="0" t="str">
        <f aca="false">IF(记账凭证!$J3485="","",记账凭证!$J3485)</f>
        <v/>
      </c>
      <c r="B1681" s="0" t="n">
        <f aca="false">IF(A1681="",0,IF(MATCH(A1681,$A$4:$A$1925,0)=ROW()-3,1,0))</f>
        <v>0</v>
      </c>
      <c r="C1681" s="0" t="n">
        <f aca="false">N(C1680)+B1681</f>
        <v>11</v>
      </c>
    </row>
    <row r="1682" customFormat="false" ht="13.5" hidden="false" customHeight="false" outlineLevel="0" collapsed="false">
      <c r="A1682" s="0" t="str">
        <f aca="false">IF(记账凭证!$J3486="","",记账凭证!$J3486)</f>
        <v/>
      </c>
      <c r="B1682" s="0" t="n">
        <f aca="false">IF(A1682="",0,IF(MATCH(A1682,$A$4:$A$1925,0)=ROW()-3,1,0))</f>
        <v>0</v>
      </c>
      <c r="C1682" s="0" t="n">
        <f aca="false">N(C1681)+B1682</f>
        <v>11</v>
      </c>
    </row>
    <row r="1683" customFormat="false" ht="13.5" hidden="false" customHeight="false" outlineLevel="0" collapsed="false">
      <c r="A1683" s="0" t="str">
        <f aca="false">IF(记账凭证!$J3487="","",记账凭证!$J3487)</f>
        <v/>
      </c>
      <c r="B1683" s="0" t="n">
        <f aca="false">IF(A1683="",0,IF(MATCH(A1683,$A$4:$A$1925,0)=ROW()-3,1,0))</f>
        <v>0</v>
      </c>
      <c r="C1683" s="0" t="n">
        <f aca="false">N(C1682)+B1683</f>
        <v>11</v>
      </c>
    </row>
    <row r="1684" customFormat="false" ht="13.5" hidden="false" customHeight="false" outlineLevel="0" collapsed="false">
      <c r="A1684" s="0" t="str">
        <f aca="false">IF(记账凭证!$J3488="","",记账凭证!$J3488)</f>
        <v/>
      </c>
      <c r="B1684" s="0" t="n">
        <f aca="false">IF(A1684="",0,IF(MATCH(A1684,$A$4:$A$1925,0)=ROW()-3,1,0))</f>
        <v>0</v>
      </c>
      <c r="C1684" s="0" t="n">
        <f aca="false">N(C1683)+B1684</f>
        <v>11</v>
      </c>
    </row>
    <row r="1685" customFormat="false" ht="13.5" hidden="false" customHeight="false" outlineLevel="0" collapsed="false">
      <c r="A1685" s="0" t="str">
        <f aca="false">IF(记账凭证!$J3489="","",记账凭证!$J3489)</f>
        <v/>
      </c>
      <c r="B1685" s="0" t="n">
        <f aca="false">IF(A1685="",0,IF(MATCH(A1685,$A$4:$A$1925,0)=ROW()-3,1,0))</f>
        <v>0</v>
      </c>
      <c r="C1685" s="0" t="n">
        <f aca="false">N(C1684)+B1685</f>
        <v>11</v>
      </c>
    </row>
    <row r="1686" customFormat="false" ht="13.5" hidden="false" customHeight="false" outlineLevel="0" collapsed="false">
      <c r="A1686" s="0" t="str">
        <f aca="false">IF(记账凭证!$J3490="","",记账凭证!$J3490)</f>
        <v/>
      </c>
      <c r="B1686" s="0" t="n">
        <f aca="false">IF(A1686="",0,IF(MATCH(A1686,$A$4:$A$1925,0)=ROW()-3,1,0))</f>
        <v>0</v>
      </c>
      <c r="C1686" s="0" t="n">
        <f aca="false">N(C1685)+B1686</f>
        <v>11</v>
      </c>
    </row>
    <row r="1687" customFormat="false" ht="13.5" hidden="false" customHeight="false" outlineLevel="0" collapsed="false">
      <c r="A1687" s="0" t="str">
        <f aca="false">IF(记账凭证!$J3491="","",记账凭证!$J3491)</f>
        <v/>
      </c>
      <c r="B1687" s="0" t="n">
        <f aca="false">IF(A1687="",0,IF(MATCH(A1687,$A$4:$A$1925,0)=ROW()-3,1,0))</f>
        <v>0</v>
      </c>
      <c r="C1687" s="0" t="n">
        <f aca="false">N(C1686)+B1687</f>
        <v>11</v>
      </c>
    </row>
    <row r="1688" customFormat="false" ht="13.5" hidden="false" customHeight="false" outlineLevel="0" collapsed="false">
      <c r="A1688" s="0" t="str">
        <f aca="false">IF(记账凭证!$J3492="","",记账凭证!$J3492)</f>
        <v/>
      </c>
      <c r="B1688" s="0" t="n">
        <f aca="false">IF(A1688="",0,IF(MATCH(A1688,$A$4:$A$1925,0)=ROW()-3,1,0))</f>
        <v>0</v>
      </c>
      <c r="C1688" s="0" t="n">
        <f aca="false">N(C1687)+B1688</f>
        <v>11</v>
      </c>
    </row>
    <row r="1689" customFormat="false" ht="13.5" hidden="false" customHeight="false" outlineLevel="0" collapsed="false">
      <c r="A1689" s="0" t="str">
        <f aca="false">IF(记账凭证!$J3493="","",记账凭证!$J3493)</f>
        <v/>
      </c>
      <c r="B1689" s="0" t="n">
        <f aca="false">IF(A1689="",0,IF(MATCH(A1689,$A$4:$A$1925,0)=ROW()-3,1,0))</f>
        <v>0</v>
      </c>
      <c r="C1689" s="0" t="n">
        <f aca="false">N(C1688)+B1689</f>
        <v>11</v>
      </c>
    </row>
    <row r="1690" customFormat="false" ht="13.5" hidden="false" customHeight="false" outlineLevel="0" collapsed="false">
      <c r="A1690" s="0" t="str">
        <f aca="false">IF(记账凭证!$J3494="","",记账凭证!$J3494)</f>
        <v/>
      </c>
      <c r="B1690" s="0" t="n">
        <f aca="false">IF(A1690="",0,IF(MATCH(A1690,$A$4:$A$1925,0)=ROW()-3,1,0))</f>
        <v>0</v>
      </c>
      <c r="C1690" s="0" t="n">
        <f aca="false">N(C1689)+B1690</f>
        <v>11</v>
      </c>
    </row>
    <row r="1691" customFormat="false" ht="13.5" hidden="false" customHeight="false" outlineLevel="0" collapsed="false">
      <c r="A1691" s="0" t="str">
        <f aca="false">IF(记账凭证!$J3495="","",记账凭证!$J3495)</f>
        <v/>
      </c>
      <c r="B1691" s="0" t="n">
        <f aca="false">IF(A1691="",0,IF(MATCH(A1691,$A$4:$A$1925,0)=ROW()-3,1,0))</f>
        <v>0</v>
      </c>
      <c r="C1691" s="0" t="n">
        <f aca="false">N(C1690)+B1691</f>
        <v>11</v>
      </c>
    </row>
    <row r="1692" customFormat="false" ht="13.5" hidden="false" customHeight="false" outlineLevel="0" collapsed="false">
      <c r="A1692" s="0" t="str">
        <f aca="false">IF(记账凭证!$J3496="","",记账凭证!$J3496)</f>
        <v/>
      </c>
      <c r="B1692" s="0" t="n">
        <f aca="false">IF(A1692="",0,IF(MATCH(A1692,$A$4:$A$1925,0)=ROW()-3,1,0))</f>
        <v>0</v>
      </c>
      <c r="C1692" s="0" t="n">
        <f aca="false">N(C1691)+B1692</f>
        <v>11</v>
      </c>
    </row>
    <row r="1693" customFormat="false" ht="13.5" hidden="false" customHeight="false" outlineLevel="0" collapsed="false">
      <c r="A1693" s="0" t="str">
        <f aca="false">IF(记账凭证!$J3497="","",记账凭证!$J3497)</f>
        <v/>
      </c>
      <c r="B1693" s="0" t="n">
        <f aca="false">IF(A1693="",0,IF(MATCH(A1693,$A$4:$A$1925,0)=ROW()-3,1,0))</f>
        <v>0</v>
      </c>
      <c r="C1693" s="0" t="n">
        <f aca="false">N(C1692)+B1693</f>
        <v>11</v>
      </c>
    </row>
    <row r="1694" customFormat="false" ht="13.5" hidden="false" customHeight="false" outlineLevel="0" collapsed="false">
      <c r="A1694" s="0" t="str">
        <f aca="false">IF(记账凭证!$J3498="","",记账凭证!$J3498)</f>
        <v/>
      </c>
      <c r="B1694" s="0" t="n">
        <f aca="false">IF(A1694="",0,IF(MATCH(A1694,$A$4:$A$1925,0)=ROW()-3,1,0))</f>
        <v>0</v>
      </c>
      <c r="C1694" s="0" t="n">
        <f aca="false">N(C1693)+B1694</f>
        <v>11</v>
      </c>
    </row>
    <row r="1695" customFormat="false" ht="13.5" hidden="false" customHeight="false" outlineLevel="0" collapsed="false">
      <c r="A1695" s="0" t="str">
        <f aca="false">IF(记账凭证!$J3499="","",记账凭证!$J3499)</f>
        <v/>
      </c>
      <c r="B1695" s="0" t="n">
        <f aca="false">IF(A1695="",0,IF(MATCH(A1695,$A$4:$A$1925,0)=ROW()-3,1,0))</f>
        <v>0</v>
      </c>
      <c r="C1695" s="0" t="n">
        <f aca="false">N(C1694)+B1695</f>
        <v>11</v>
      </c>
    </row>
    <row r="1696" customFormat="false" ht="13.5" hidden="false" customHeight="false" outlineLevel="0" collapsed="false">
      <c r="A1696" s="0" t="str">
        <f aca="false">IF(记账凭证!$J3500="","",记账凭证!$J3500)</f>
        <v/>
      </c>
      <c r="B1696" s="0" t="n">
        <f aca="false">IF(A1696="",0,IF(MATCH(A1696,$A$4:$A$1925,0)=ROW()-3,1,0))</f>
        <v>0</v>
      </c>
      <c r="C1696" s="0" t="n">
        <f aca="false">N(C1695)+B1696</f>
        <v>11</v>
      </c>
    </row>
    <row r="1697" customFormat="false" ht="13.5" hidden="false" customHeight="false" outlineLevel="0" collapsed="false">
      <c r="A1697" s="0" t="str">
        <f aca="false">IF(记账凭证!$J3501="","",记账凭证!$J3501)</f>
        <v/>
      </c>
      <c r="B1697" s="0" t="n">
        <f aca="false">IF(A1697="",0,IF(MATCH(A1697,$A$4:$A$1925,0)=ROW()-3,1,0))</f>
        <v>0</v>
      </c>
      <c r="C1697" s="0" t="n">
        <f aca="false">N(C1696)+B1697</f>
        <v>11</v>
      </c>
    </row>
    <row r="1698" customFormat="false" ht="13.5" hidden="false" customHeight="false" outlineLevel="0" collapsed="false">
      <c r="A1698" s="0" t="str">
        <f aca="false">IF(记账凭证!$J3502="","",记账凭证!$J3502)</f>
        <v/>
      </c>
      <c r="B1698" s="0" t="n">
        <f aca="false">IF(A1698="",0,IF(MATCH(A1698,$A$4:$A$1925,0)=ROW()-3,1,0))</f>
        <v>0</v>
      </c>
      <c r="C1698" s="0" t="n">
        <f aca="false">N(C1697)+B1698</f>
        <v>11</v>
      </c>
    </row>
    <row r="1699" customFormat="false" ht="13.5" hidden="false" customHeight="false" outlineLevel="0" collapsed="false">
      <c r="A1699" s="0" t="str">
        <f aca="false">IF(记账凭证!$J3503="","",记账凭证!$J3503)</f>
        <v/>
      </c>
      <c r="B1699" s="0" t="n">
        <f aca="false">IF(A1699="",0,IF(MATCH(A1699,$A$4:$A$1925,0)=ROW()-3,1,0))</f>
        <v>0</v>
      </c>
      <c r="C1699" s="0" t="n">
        <f aca="false">N(C1698)+B1699</f>
        <v>11</v>
      </c>
    </row>
    <row r="1700" customFormat="false" ht="13.5" hidden="false" customHeight="false" outlineLevel="0" collapsed="false">
      <c r="A1700" s="0" t="str">
        <f aca="false">IF(记账凭证!$J3504="","",记账凭证!$J3504)</f>
        <v/>
      </c>
      <c r="B1700" s="0" t="n">
        <f aca="false">IF(A1700="",0,IF(MATCH(A1700,$A$4:$A$1925,0)=ROW()-3,1,0))</f>
        <v>0</v>
      </c>
      <c r="C1700" s="0" t="n">
        <f aca="false">N(C1699)+B1700</f>
        <v>11</v>
      </c>
    </row>
    <row r="1701" customFormat="false" ht="13.5" hidden="false" customHeight="false" outlineLevel="0" collapsed="false">
      <c r="A1701" s="0" t="str">
        <f aca="false">IF(记账凭证!$J3505="","",记账凭证!$J3505)</f>
        <v/>
      </c>
      <c r="B1701" s="0" t="n">
        <f aca="false">IF(A1701="",0,IF(MATCH(A1701,$A$4:$A$1925,0)=ROW()-3,1,0))</f>
        <v>0</v>
      </c>
      <c r="C1701" s="0" t="n">
        <f aca="false">N(C1700)+B1701</f>
        <v>11</v>
      </c>
    </row>
    <row r="1702" customFormat="false" ht="13.5" hidden="false" customHeight="false" outlineLevel="0" collapsed="false">
      <c r="A1702" s="0" t="str">
        <f aca="false">IF(记账凭证!$J3506="","",记账凭证!$J3506)</f>
        <v/>
      </c>
      <c r="B1702" s="0" t="n">
        <f aca="false">IF(A1702="",0,IF(MATCH(A1702,$A$4:$A$1925,0)=ROW()-3,1,0))</f>
        <v>0</v>
      </c>
      <c r="C1702" s="0" t="n">
        <f aca="false">N(C1701)+B1702</f>
        <v>11</v>
      </c>
    </row>
    <row r="1703" customFormat="false" ht="13.5" hidden="false" customHeight="false" outlineLevel="0" collapsed="false">
      <c r="A1703" s="0" t="str">
        <f aca="false">IF(记账凭证!$J3507="","",记账凭证!$J3507)</f>
        <v/>
      </c>
      <c r="B1703" s="0" t="n">
        <f aca="false">IF(A1703="",0,IF(MATCH(A1703,$A$4:$A$1925,0)=ROW()-3,1,0))</f>
        <v>0</v>
      </c>
      <c r="C1703" s="0" t="n">
        <f aca="false">N(C1702)+B1703</f>
        <v>11</v>
      </c>
    </row>
    <row r="1704" customFormat="false" ht="13.5" hidden="false" customHeight="false" outlineLevel="0" collapsed="false">
      <c r="A1704" s="0" t="str">
        <f aca="false">IF(记账凭证!$J3508="","",记账凭证!$J3508)</f>
        <v/>
      </c>
      <c r="B1704" s="0" t="n">
        <f aca="false">IF(A1704="",0,IF(MATCH(A1704,$A$4:$A$1925,0)=ROW()-3,1,0))</f>
        <v>0</v>
      </c>
      <c r="C1704" s="0" t="n">
        <f aca="false">N(C1703)+B1704</f>
        <v>11</v>
      </c>
    </row>
    <row r="1705" customFormat="false" ht="13.5" hidden="false" customHeight="false" outlineLevel="0" collapsed="false">
      <c r="A1705" s="0" t="str">
        <f aca="false">IF(记账凭证!$J3509="","",记账凭证!$J3509)</f>
        <v/>
      </c>
      <c r="B1705" s="0" t="n">
        <f aca="false">IF(A1705="",0,IF(MATCH(A1705,$A$4:$A$1925,0)=ROW()-3,1,0))</f>
        <v>0</v>
      </c>
      <c r="C1705" s="0" t="n">
        <f aca="false">N(C1704)+B1705</f>
        <v>11</v>
      </c>
    </row>
    <row r="1706" customFormat="false" ht="13.5" hidden="false" customHeight="false" outlineLevel="0" collapsed="false">
      <c r="A1706" s="0" t="str">
        <f aca="false">IF(记账凭证!$J3510="","",记账凭证!$J3510)</f>
        <v/>
      </c>
      <c r="B1706" s="0" t="n">
        <f aca="false">IF(A1706="",0,IF(MATCH(A1706,$A$4:$A$1925,0)=ROW()-3,1,0))</f>
        <v>0</v>
      </c>
      <c r="C1706" s="0" t="n">
        <f aca="false">N(C1705)+B1706</f>
        <v>11</v>
      </c>
    </row>
    <row r="1707" customFormat="false" ht="13.5" hidden="false" customHeight="false" outlineLevel="0" collapsed="false">
      <c r="A1707" s="0" t="str">
        <f aca="false">IF(记账凭证!$J3511="","",记账凭证!$J3511)</f>
        <v/>
      </c>
      <c r="B1707" s="0" t="n">
        <f aca="false">IF(A1707="",0,IF(MATCH(A1707,$A$4:$A$1925,0)=ROW()-3,1,0))</f>
        <v>0</v>
      </c>
      <c r="C1707" s="0" t="n">
        <f aca="false">N(C1706)+B1707</f>
        <v>11</v>
      </c>
    </row>
    <row r="1708" customFormat="false" ht="13.5" hidden="false" customHeight="false" outlineLevel="0" collapsed="false">
      <c r="A1708" s="0" t="str">
        <f aca="false">IF(记账凭证!$J3512="","",记账凭证!$J3512)</f>
        <v/>
      </c>
      <c r="B1708" s="0" t="n">
        <f aca="false">IF(A1708="",0,IF(MATCH(A1708,$A$4:$A$1925,0)=ROW()-3,1,0))</f>
        <v>0</v>
      </c>
      <c r="C1708" s="0" t="n">
        <f aca="false">N(C1707)+B1708</f>
        <v>11</v>
      </c>
    </row>
    <row r="1709" customFormat="false" ht="13.5" hidden="false" customHeight="false" outlineLevel="0" collapsed="false">
      <c r="A1709" s="0" t="str">
        <f aca="false">IF(记账凭证!$J3513="","",记账凭证!$J3513)</f>
        <v/>
      </c>
      <c r="B1709" s="0" t="n">
        <f aca="false">IF(A1709="",0,IF(MATCH(A1709,$A$4:$A$1925,0)=ROW()-3,1,0))</f>
        <v>0</v>
      </c>
      <c r="C1709" s="0" t="n">
        <f aca="false">N(C1708)+B1709</f>
        <v>11</v>
      </c>
    </row>
    <row r="1710" customFormat="false" ht="13.5" hidden="false" customHeight="false" outlineLevel="0" collapsed="false">
      <c r="A1710" s="0" t="str">
        <f aca="false">IF(记账凭证!$J3514="","",记账凭证!$J3514)</f>
        <v/>
      </c>
      <c r="B1710" s="0" t="n">
        <f aca="false">IF(A1710="",0,IF(MATCH(A1710,$A$4:$A$1925,0)=ROW()-3,1,0))</f>
        <v>0</v>
      </c>
      <c r="C1710" s="0" t="n">
        <f aca="false">N(C1709)+B1710</f>
        <v>11</v>
      </c>
    </row>
    <row r="1711" customFormat="false" ht="13.5" hidden="false" customHeight="false" outlineLevel="0" collapsed="false">
      <c r="A1711" s="0" t="str">
        <f aca="false">IF(记账凭证!$J3515="","",记账凭证!$J3515)</f>
        <v/>
      </c>
      <c r="B1711" s="0" t="n">
        <f aca="false">IF(A1711="",0,IF(MATCH(A1711,$A$4:$A$1925,0)=ROW()-3,1,0))</f>
        <v>0</v>
      </c>
      <c r="C1711" s="0" t="n">
        <f aca="false">N(C1710)+B1711</f>
        <v>11</v>
      </c>
    </row>
    <row r="1712" customFormat="false" ht="13.5" hidden="false" customHeight="false" outlineLevel="0" collapsed="false">
      <c r="A1712" s="0" t="str">
        <f aca="false">IF(记账凭证!$J3516="","",记账凭证!$J3516)</f>
        <v/>
      </c>
      <c r="B1712" s="0" t="n">
        <f aca="false">IF(A1712="",0,IF(MATCH(A1712,$A$4:$A$1925,0)=ROW()-3,1,0))</f>
        <v>0</v>
      </c>
      <c r="C1712" s="0" t="n">
        <f aca="false">N(C1711)+B1712</f>
        <v>11</v>
      </c>
    </row>
    <row r="1713" customFormat="false" ht="13.5" hidden="false" customHeight="false" outlineLevel="0" collapsed="false">
      <c r="A1713" s="0" t="str">
        <f aca="false">IF(记账凭证!$J3517="","",记账凭证!$J3517)</f>
        <v/>
      </c>
      <c r="B1713" s="0" t="n">
        <f aca="false">IF(A1713="",0,IF(MATCH(A1713,$A$4:$A$1925,0)=ROW()-3,1,0))</f>
        <v>0</v>
      </c>
      <c r="C1713" s="0" t="n">
        <f aca="false">N(C1712)+B1713</f>
        <v>11</v>
      </c>
    </row>
    <row r="1714" customFormat="false" ht="13.5" hidden="false" customHeight="false" outlineLevel="0" collapsed="false">
      <c r="A1714" s="0" t="str">
        <f aca="false">IF(记账凭证!$J3518="","",记账凭证!$J3518)</f>
        <v/>
      </c>
      <c r="B1714" s="0" t="n">
        <f aca="false">IF(A1714="",0,IF(MATCH(A1714,$A$4:$A$1925,0)=ROW()-3,1,0))</f>
        <v>0</v>
      </c>
      <c r="C1714" s="0" t="n">
        <f aca="false">N(C1713)+B1714</f>
        <v>11</v>
      </c>
    </row>
    <row r="1715" customFormat="false" ht="13.5" hidden="false" customHeight="false" outlineLevel="0" collapsed="false">
      <c r="A1715" s="0" t="str">
        <f aca="false">IF(记账凭证!$J3519="","",记账凭证!$J3519)</f>
        <v/>
      </c>
      <c r="B1715" s="0" t="n">
        <f aca="false">IF(A1715="",0,IF(MATCH(A1715,$A$4:$A$1925,0)=ROW()-3,1,0))</f>
        <v>0</v>
      </c>
      <c r="C1715" s="0" t="n">
        <f aca="false">N(C1714)+B1715</f>
        <v>11</v>
      </c>
    </row>
    <row r="1716" customFormat="false" ht="13.5" hidden="false" customHeight="false" outlineLevel="0" collapsed="false">
      <c r="A1716" s="0" t="str">
        <f aca="false">IF(记账凭证!$J3520="","",记账凭证!$J3520)</f>
        <v/>
      </c>
      <c r="B1716" s="0" t="n">
        <f aca="false">IF(A1716="",0,IF(MATCH(A1716,$A$4:$A$1925,0)=ROW()-3,1,0))</f>
        <v>0</v>
      </c>
      <c r="C1716" s="0" t="n">
        <f aca="false">N(C1715)+B1716</f>
        <v>11</v>
      </c>
    </row>
    <row r="1717" customFormat="false" ht="13.5" hidden="false" customHeight="false" outlineLevel="0" collapsed="false">
      <c r="A1717" s="0" t="str">
        <f aca="false">IF(记账凭证!$J3521="","",记账凭证!$J3521)</f>
        <v/>
      </c>
      <c r="B1717" s="0" t="n">
        <f aca="false">IF(A1717="",0,IF(MATCH(A1717,$A$4:$A$1925,0)=ROW()-3,1,0))</f>
        <v>0</v>
      </c>
      <c r="C1717" s="0" t="n">
        <f aca="false">N(C1716)+B1717</f>
        <v>11</v>
      </c>
    </row>
    <row r="1718" customFormat="false" ht="13.5" hidden="false" customHeight="false" outlineLevel="0" collapsed="false">
      <c r="A1718" s="0" t="str">
        <f aca="false">IF(记账凭证!$J3522="","",记账凭证!$J3522)</f>
        <v/>
      </c>
      <c r="B1718" s="0" t="n">
        <f aca="false">IF(A1718="",0,IF(MATCH(A1718,$A$4:$A$1925,0)=ROW()-3,1,0))</f>
        <v>0</v>
      </c>
      <c r="C1718" s="0" t="n">
        <f aca="false">N(C1717)+B1718</f>
        <v>11</v>
      </c>
    </row>
    <row r="1719" customFormat="false" ht="13.5" hidden="false" customHeight="false" outlineLevel="0" collapsed="false">
      <c r="A1719" s="0" t="str">
        <f aca="false">IF(记账凭证!$J3523="","",记账凭证!$J3523)</f>
        <v/>
      </c>
      <c r="B1719" s="0" t="n">
        <f aca="false">IF(A1719="",0,IF(MATCH(A1719,$A$4:$A$1925,0)=ROW()-3,1,0))</f>
        <v>0</v>
      </c>
      <c r="C1719" s="0" t="n">
        <f aca="false">N(C1718)+B1719</f>
        <v>11</v>
      </c>
    </row>
    <row r="1720" customFormat="false" ht="13.5" hidden="false" customHeight="false" outlineLevel="0" collapsed="false">
      <c r="A1720" s="0" t="str">
        <f aca="false">IF(记账凭证!$J3524="","",记账凭证!$J3524)</f>
        <v/>
      </c>
      <c r="B1720" s="0" t="n">
        <f aca="false">IF(A1720="",0,IF(MATCH(A1720,$A$4:$A$1925,0)=ROW()-3,1,0))</f>
        <v>0</v>
      </c>
      <c r="C1720" s="0" t="n">
        <f aca="false">N(C1719)+B1720</f>
        <v>11</v>
      </c>
    </row>
    <row r="1721" customFormat="false" ht="13.5" hidden="false" customHeight="false" outlineLevel="0" collapsed="false">
      <c r="A1721" s="0" t="str">
        <f aca="false">IF(记账凭证!$J3525="","",记账凭证!$J3525)</f>
        <v/>
      </c>
      <c r="B1721" s="0" t="n">
        <f aca="false">IF(A1721="",0,IF(MATCH(A1721,$A$4:$A$1925,0)=ROW()-3,1,0))</f>
        <v>0</v>
      </c>
      <c r="C1721" s="0" t="n">
        <f aca="false">N(C1720)+B1721</f>
        <v>11</v>
      </c>
    </row>
    <row r="1722" customFormat="false" ht="13.5" hidden="false" customHeight="false" outlineLevel="0" collapsed="false">
      <c r="A1722" s="0" t="str">
        <f aca="false">IF(记账凭证!$J3526="","",记账凭证!$J3526)</f>
        <v/>
      </c>
      <c r="B1722" s="0" t="n">
        <f aca="false">IF(A1722="",0,IF(MATCH(A1722,$A$4:$A$1925,0)=ROW()-3,1,0))</f>
        <v>0</v>
      </c>
      <c r="C1722" s="0" t="n">
        <f aca="false">N(C1721)+B1722</f>
        <v>11</v>
      </c>
    </row>
    <row r="1723" customFormat="false" ht="13.5" hidden="false" customHeight="false" outlineLevel="0" collapsed="false">
      <c r="A1723" s="0" t="str">
        <f aca="false">IF(记账凭证!$J3527="","",记账凭证!$J3527)</f>
        <v/>
      </c>
      <c r="B1723" s="0" t="n">
        <f aca="false">IF(A1723="",0,IF(MATCH(A1723,$A$4:$A$1925,0)=ROW()-3,1,0))</f>
        <v>0</v>
      </c>
      <c r="C1723" s="0" t="n">
        <f aca="false">N(C1722)+B1723</f>
        <v>11</v>
      </c>
    </row>
    <row r="1724" customFormat="false" ht="13.5" hidden="false" customHeight="false" outlineLevel="0" collapsed="false">
      <c r="A1724" s="0" t="str">
        <f aca="false">IF(记账凭证!$J3528="","",记账凭证!$J3528)</f>
        <v/>
      </c>
      <c r="B1724" s="0" t="n">
        <f aca="false">IF(A1724="",0,IF(MATCH(A1724,$A$4:$A$1925,0)=ROW()-3,1,0))</f>
        <v>0</v>
      </c>
      <c r="C1724" s="0" t="n">
        <f aca="false">N(C1723)+B1724</f>
        <v>11</v>
      </c>
    </row>
    <row r="1725" customFormat="false" ht="13.5" hidden="false" customHeight="false" outlineLevel="0" collapsed="false">
      <c r="A1725" s="0" t="str">
        <f aca="false">IF(记账凭证!$J3529="","",记账凭证!$J3529)</f>
        <v/>
      </c>
      <c r="B1725" s="0" t="n">
        <f aca="false">IF(A1725="",0,IF(MATCH(A1725,$A$4:$A$1925,0)=ROW()-3,1,0))</f>
        <v>0</v>
      </c>
      <c r="C1725" s="0" t="n">
        <f aca="false">N(C1724)+B1725</f>
        <v>11</v>
      </c>
    </row>
    <row r="1726" customFormat="false" ht="13.5" hidden="false" customHeight="false" outlineLevel="0" collapsed="false">
      <c r="A1726" s="0" t="str">
        <f aca="false">IF(记账凭证!$J3530="","",记账凭证!$J3530)</f>
        <v/>
      </c>
      <c r="B1726" s="0" t="n">
        <f aca="false">IF(A1726="",0,IF(MATCH(A1726,$A$4:$A$1925,0)=ROW()-3,1,0))</f>
        <v>0</v>
      </c>
      <c r="C1726" s="0" t="n">
        <f aca="false">N(C1725)+B1726</f>
        <v>11</v>
      </c>
    </row>
    <row r="1727" customFormat="false" ht="13.5" hidden="false" customHeight="false" outlineLevel="0" collapsed="false">
      <c r="A1727" s="0" t="str">
        <f aca="false">IF(记账凭证!$J3531="","",记账凭证!$J3531)</f>
        <v/>
      </c>
      <c r="B1727" s="0" t="n">
        <f aca="false">IF(A1727="",0,IF(MATCH(A1727,$A$4:$A$1925,0)=ROW()-3,1,0))</f>
        <v>0</v>
      </c>
      <c r="C1727" s="0" t="n">
        <f aca="false">N(C1726)+B1727</f>
        <v>11</v>
      </c>
    </row>
    <row r="1728" customFormat="false" ht="13.5" hidden="false" customHeight="false" outlineLevel="0" collapsed="false">
      <c r="A1728" s="0" t="str">
        <f aca="false">IF(记账凭证!$J3532="","",记账凭证!$J3532)</f>
        <v/>
      </c>
      <c r="B1728" s="0" t="n">
        <f aca="false">IF(A1728="",0,IF(MATCH(A1728,$A$4:$A$1925,0)=ROW()-3,1,0))</f>
        <v>0</v>
      </c>
      <c r="C1728" s="0" t="n">
        <f aca="false">N(C1727)+B1728</f>
        <v>11</v>
      </c>
    </row>
    <row r="1729" customFormat="false" ht="13.5" hidden="false" customHeight="false" outlineLevel="0" collapsed="false">
      <c r="A1729" s="0" t="str">
        <f aca="false">IF(记账凭证!$J3533="","",记账凭证!$J3533)</f>
        <v/>
      </c>
      <c r="B1729" s="0" t="n">
        <f aca="false">IF(A1729="",0,IF(MATCH(A1729,$A$4:$A$1925,0)=ROW()-3,1,0))</f>
        <v>0</v>
      </c>
      <c r="C1729" s="0" t="n">
        <f aca="false">N(C1728)+B1729</f>
        <v>11</v>
      </c>
    </row>
    <row r="1730" customFormat="false" ht="13.5" hidden="false" customHeight="false" outlineLevel="0" collapsed="false">
      <c r="A1730" s="0" t="str">
        <f aca="false">IF(记账凭证!$J3534="","",记账凭证!$J3534)</f>
        <v/>
      </c>
      <c r="B1730" s="0" t="n">
        <f aca="false">IF(A1730="",0,IF(MATCH(A1730,$A$4:$A$1925,0)=ROW()-3,1,0))</f>
        <v>0</v>
      </c>
      <c r="C1730" s="0" t="n">
        <f aca="false">N(C1729)+B1730</f>
        <v>11</v>
      </c>
    </row>
    <row r="1731" customFormat="false" ht="13.5" hidden="false" customHeight="false" outlineLevel="0" collapsed="false">
      <c r="A1731" s="0" t="str">
        <f aca="false">IF(记账凭证!$J3535="","",记账凭证!$J3535)</f>
        <v/>
      </c>
      <c r="B1731" s="0" t="n">
        <f aca="false">IF(A1731="",0,IF(MATCH(A1731,$A$4:$A$1925,0)=ROW()-3,1,0))</f>
        <v>0</v>
      </c>
      <c r="C1731" s="0" t="n">
        <f aca="false">N(C1730)+B1731</f>
        <v>11</v>
      </c>
    </row>
    <row r="1732" customFormat="false" ht="13.5" hidden="false" customHeight="false" outlineLevel="0" collapsed="false">
      <c r="A1732" s="0" t="str">
        <f aca="false">IF(记账凭证!$J3536="","",记账凭证!$J3536)</f>
        <v/>
      </c>
      <c r="B1732" s="0" t="n">
        <f aca="false">IF(A1732="",0,IF(MATCH(A1732,$A$4:$A$1925,0)=ROW()-3,1,0))</f>
        <v>0</v>
      </c>
      <c r="C1732" s="0" t="n">
        <f aca="false">N(C1731)+B1732</f>
        <v>11</v>
      </c>
    </row>
    <row r="1733" customFormat="false" ht="13.5" hidden="false" customHeight="false" outlineLevel="0" collapsed="false">
      <c r="A1733" s="0" t="str">
        <f aca="false">IF(记账凭证!$J3537="","",记账凭证!$J3537)</f>
        <v/>
      </c>
      <c r="B1733" s="0" t="n">
        <f aca="false">IF(A1733="",0,IF(MATCH(A1733,$A$4:$A$1925,0)=ROW()-3,1,0))</f>
        <v>0</v>
      </c>
      <c r="C1733" s="0" t="n">
        <f aca="false">N(C1732)+B1733</f>
        <v>11</v>
      </c>
    </row>
    <row r="1734" customFormat="false" ht="13.5" hidden="false" customHeight="false" outlineLevel="0" collapsed="false">
      <c r="A1734" s="0" t="str">
        <f aca="false">IF(记账凭证!$J3538="","",记账凭证!$J3538)</f>
        <v/>
      </c>
      <c r="B1734" s="0" t="n">
        <f aca="false">IF(A1734="",0,IF(MATCH(A1734,$A$4:$A$1925,0)=ROW()-3,1,0))</f>
        <v>0</v>
      </c>
      <c r="C1734" s="0" t="n">
        <f aca="false">N(C1733)+B1734</f>
        <v>11</v>
      </c>
    </row>
    <row r="1735" customFormat="false" ht="13.5" hidden="false" customHeight="false" outlineLevel="0" collapsed="false">
      <c r="A1735" s="0" t="str">
        <f aca="false">IF(记账凭证!$J3539="","",记账凭证!$J3539)</f>
        <v/>
      </c>
      <c r="B1735" s="0" t="n">
        <f aca="false">IF(A1735="",0,IF(MATCH(A1735,$A$4:$A$1925,0)=ROW()-3,1,0))</f>
        <v>0</v>
      </c>
      <c r="C1735" s="0" t="n">
        <f aca="false">N(C1734)+B1735</f>
        <v>11</v>
      </c>
    </row>
    <row r="1736" customFormat="false" ht="13.5" hidden="false" customHeight="false" outlineLevel="0" collapsed="false">
      <c r="A1736" s="0" t="str">
        <f aca="false">IF(记账凭证!$J3540="","",记账凭证!$J3540)</f>
        <v/>
      </c>
      <c r="B1736" s="0" t="n">
        <f aca="false">IF(A1736="",0,IF(MATCH(A1736,$A$4:$A$1925,0)=ROW()-3,1,0))</f>
        <v>0</v>
      </c>
      <c r="C1736" s="0" t="n">
        <f aca="false">N(C1735)+B1736</f>
        <v>11</v>
      </c>
    </row>
    <row r="1737" customFormat="false" ht="13.5" hidden="false" customHeight="false" outlineLevel="0" collapsed="false">
      <c r="A1737" s="0" t="str">
        <f aca="false">IF(记账凭证!$J3541="","",记账凭证!$J3541)</f>
        <v/>
      </c>
      <c r="B1737" s="0" t="n">
        <f aca="false">IF(A1737="",0,IF(MATCH(A1737,$A$4:$A$1925,0)=ROW()-3,1,0))</f>
        <v>0</v>
      </c>
      <c r="C1737" s="0" t="n">
        <f aca="false">N(C1736)+B1737</f>
        <v>11</v>
      </c>
    </row>
    <row r="1738" customFormat="false" ht="13.5" hidden="false" customHeight="false" outlineLevel="0" collapsed="false">
      <c r="A1738" s="0" t="str">
        <f aca="false">IF(记账凭证!$J3542="","",记账凭证!$J3542)</f>
        <v/>
      </c>
      <c r="B1738" s="0" t="n">
        <f aca="false">IF(A1738="",0,IF(MATCH(A1738,$A$4:$A$1925,0)=ROW()-3,1,0))</f>
        <v>0</v>
      </c>
      <c r="C1738" s="0" t="n">
        <f aca="false">N(C1737)+B1738</f>
        <v>11</v>
      </c>
    </row>
    <row r="1739" customFormat="false" ht="13.5" hidden="false" customHeight="false" outlineLevel="0" collapsed="false">
      <c r="A1739" s="0" t="str">
        <f aca="false">IF(记账凭证!$J3543="","",记账凭证!$J3543)</f>
        <v/>
      </c>
      <c r="B1739" s="0" t="n">
        <f aca="false">IF(A1739="",0,IF(MATCH(A1739,$A$4:$A$1925,0)=ROW()-3,1,0))</f>
        <v>0</v>
      </c>
      <c r="C1739" s="0" t="n">
        <f aca="false">N(C1738)+B1739</f>
        <v>11</v>
      </c>
    </row>
    <row r="1740" customFormat="false" ht="13.5" hidden="false" customHeight="false" outlineLevel="0" collapsed="false">
      <c r="A1740" s="0" t="str">
        <f aca="false">IF(记账凭证!$J3544="","",记账凭证!$J3544)</f>
        <v/>
      </c>
      <c r="B1740" s="0" t="n">
        <f aca="false">IF(A1740="",0,IF(MATCH(A1740,$A$4:$A$1925,0)=ROW()-3,1,0))</f>
        <v>0</v>
      </c>
      <c r="C1740" s="0" t="n">
        <f aca="false">N(C1739)+B1740</f>
        <v>11</v>
      </c>
    </row>
    <row r="1741" customFormat="false" ht="13.5" hidden="false" customHeight="false" outlineLevel="0" collapsed="false">
      <c r="A1741" s="0" t="str">
        <f aca="false">IF(记账凭证!$J3545="","",记账凭证!$J3545)</f>
        <v/>
      </c>
      <c r="B1741" s="0" t="n">
        <f aca="false">IF(A1741="",0,IF(MATCH(A1741,$A$4:$A$1925,0)=ROW()-3,1,0))</f>
        <v>0</v>
      </c>
      <c r="C1741" s="0" t="n">
        <f aca="false">N(C1740)+B1741</f>
        <v>11</v>
      </c>
    </row>
    <row r="1742" customFormat="false" ht="13.5" hidden="false" customHeight="false" outlineLevel="0" collapsed="false">
      <c r="A1742" s="0" t="str">
        <f aca="false">IF(记账凭证!$J3546="","",记账凭证!$J3546)</f>
        <v/>
      </c>
      <c r="B1742" s="0" t="n">
        <f aca="false">IF(A1742="",0,IF(MATCH(A1742,$A$4:$A$1925,0)=ROW()-3,1,0))</f>
        <v>0</v>
      </c>
      <c r="C1742" s="0" t="n">
        <f aca="false">N(C1741)+B1742</f>
        <v>11</v>
      </c>
    </row>
    <row r="1743" customFormat="false" ht="13.5" hidden="false" customHeight="false" outlineLevel="0" collapsed="false">
      <c r="A1743" s="0" t="str">
        <f aca="false">IF(记账凭证!$J3547="","",记账凭证!$J3547)</f>
        <v/>
      </c>
      <c r="B1743" s="0" t="n">
        <f aca="false">IF(A1743="",0,IF(MATCH(A1743,$A$4:$A$1925,0)=ROW()-3,1,0))</f>
        <v>0</v>
      </c>
      <c r="C1743" s="0" t="n">
        <f aca="false">N(C1742)+B1743</f>
        <v>11</v>
      </c>
    </row>
    <row r="1744" customFormat="false" ht="13.5" hidden="false" customHeight="false" outlineLevel="0" collapsed="false">
      <c r="A1744" s="0" t="str">
        <f aca="false">IF(记账凭证!$J3548="","",记账凭证!$J3548)</f>
        <v/>
      </c>
      <c r="B1744" s="0" t="n">
        <f aca="false">IF(A1744="",0,IF(MATCH(A1744,$A$4:$A$1925,0)=ROW()-3,1,0))</f>
        <v>0</v>
      </c>
      <c r="C1744" s="0" t="n">
        <f aca="false">N(C1743)+B1744</f>
        <v>11</v>
      </c>
    </row>
    <row r="1745" customFormat="false" ht="13.5" hidden="false" customHeight="false" outlineLevel="0" collapsed="false">
      <c r="A1745" s="0" t="str">
        <f aca="false">IF(记账凭证!$J3549="","",记账凭证!$J3549)</f>
        <v/>
      </c>
      <c r="B1745" s="0" t="n">
        <f aca="false">IF(A1745="",0,IF(MATCH(A1745,$A$4:$A$1925,0)=ROW()-3,1,0))</f>
        <v>0</v>
      </c>
      <c r="C1745" s="0" t="n">
        <f aca="false">N(C1744)+B1745</f>
        <v>11</v>
      </c>
    </row>
    <row r="1746" customFormat="false" ht="13.5" hidden="false" customHeight="false" outlineLevel="0" collapsed="false">
      <c r="A1746" s="0" t="str">
        <f aca="false">IF(记账凭证!$J3550="","",记账凭证!$J3550)</f>
        <v/>
      </c>
      <c r="B1746" s="0" t="n">
        <f aca="false">IF(A1746="",0,IF(MATCH(A1746,$A$4:$A$1925,0)=ROW()-3,1,0))</f>
        <v>0</v>
      </c>
      <c r="C1746" s="0" t="n">
        <f aca="false">N(C1745)+B1746</f>
        <v>11</v>
      </c>
    </row>
    <row r="1747" customFormat="false" ht="13.5" hidden="false" customHeight="false" outlineLevel="0" collapsed="false">
      <c r="A1747" s="0" t="str">
        <f aca="false">IF(记账凭证!$J3551="","",记账凭证!$J3551)</f>
        <v/>
      </c>
      <c r="B1747" s="0" t="n">
        <f aca="false">IF(A1747="",0,IF(MATCH(A1747,$A$4:$A$1925,0)=ROW()-3,1,0))</f>
        <v>0</v>
      </c>
      <c r="C1747" s="0" t="n">
        <f aca="false">N(C1746)+B1747</f>
        <v>11</v>
      </c>
    </row>
    <row r="1748" customFormat="false" ht="13.5" hidden="false" customHeight="false" outlineLevel="0" collapsed="false">
      <c r="A1748" s="0" t="str">
        <f aca="false">IF(记账凭证!$J3552="","",记账凭证!$J3552)</f>
        <v/>
      </c>
      <c r="B1748" s="0" t="n">
        <f aca="false">IF(A1748="",0,IF(MATCH(A1748,$A$4:$A$1925,0)=ROW()-3,1,0))</f>
        <v>0</v>
      </c>
      <c r="C1748" s="0" t="n">
        <f aca="false">N(C1747)+B1748</f>
        <v>11</v>
      </c>
    </row>
    <row r="1749" customFormat="false" ht="13.5" hidden="false" customHeight="false" outlineLevel="0" collapsed="false">
      <c r="A1749" s="0" t="str">
        <f aca="false">IF(记账凭证!$J3553="","",记账凭证!$J3553)</f>
        <v/>
      </c>
      <c r="B1749" s="0" t="n">
        <f aca="false">IF(A1749="",0,IF(MATCH(A1749,$A$4:$A$1925,0)=ROW()-3,1,0))</f>
        <v>0</v>
      </c>
      <c r="C1749" s="0" t="n">
        <f aca="false">N(C1748)+B1749</f>
        <v>11</v>
      </c>
    </row>
    <row r="1750" customFormat="false" ht="13.5" hidden="false" customHeight="false" outlineLevel="0" collapsed="false">
      <c r="A1750" s="0" t="str">
        <f aca="false">IF(记账凭证!$J3554="","",记账凭证!$J3554)</f>
        <v/>
      </c>
      <c r="B1750" s="0" t="n">
        <f aca="false">IF(A1750="",0,IF(MATCH(A1750,$A$4:$A$1925,0)=ROW()-3,1,0))</f>
        <v>0</v>
      </c>
      <c r="C1750" s="0" t="n">
        <f aca="false">N(C1749)+B1750</f>
        <v>11</v>
      </c>
    </row>
    <row r="1751" customFormat="false" ht="13.5" hidden="false" customHeight="false" outlineLevel="0" collapsed="false">
      <c r="A1751" s="0" t="str">
        <f aca="false">IF(记账凭证!$J3555="","",记账凭证!$J3555)</f>
        <v/>
      </c>
      <c r="B1751" s="0" t="n">
        <f aca="false">IF(A1751="",0,IF(MATCH(A1751,$A$4:$A$1925,0)=ROW()-3,1,0))</f>
        <v>0</v>
      </c>
      <c r="C1751" s="0" t="n">
        <f aca="false">N(C1750)+B1751</f>
        <v>11</v>
      </c>
    </row>
    <row r="1752" customFormat="false" ht="13.5" hidden="false" customHeight="false" outlineLevel="0" collapsed="false">
      <c r="A1752" s="0" t="str">
        <f aca="false">IF(记账凭证!$J3556="","",记账凭证!$J3556)</f>
        <v/>
      </c>
      <c r="B1752" s="0" t="n">
        <f aca="false">IF(A1752="",0,IF(MATCH(A1752,$A$4:$A$1925,0)=ROW()-3,1,0))</f>
        <v>0</v>
      </c>
      <c r="C1752" s="0" t="n">
        <f aca="false">N(C1751)+B1752</f>
        <v>11</v>
      </c>
    </row>
    <row r="1753" customFormat="false" ht="13.5" hidden="false" customHeight="false" outlineLevel="0" collapsed="false">
      <c r="A1753" s="0" t="str">
        <f aca="false">IF(记账凭证!$J3557="","",记账凭证!$J3557)</f>
        <v/>
      </c>
      <c r="B1753" s="0" t="n">
        <f aca="false">IF(A1753="",0,IF(MATCH(A1753,$A$4:$A$1925,0)=ROW()-3,1,0))</f>
        <v>0</v>
      </c>
      <c r="C1753" s="0" t="n">
        <f aca="false">N(C1752)+B1753</f>
        <v>11</v>
      </c>
    </row>
    <row r="1754" customFormat="false" ht="13.5" hidden="false" customHeight="false" outlineLevel="0" collapsed="false">
      <c r="A1754" s="0" t="str">
        <f aca="false">IF(记账凭证!$J3558="","",记账凭证!$J3558)</f>
        <v/>
      </c>
      <c r="B1754" s="0" t="n">
        <f aca="false">IF(A1754="",0,IF(MATCH(A1754,$A$4:$A$1925,0)=ROW()-3,1,0))</f>
        <v>0</v>
      </c>
      <c r="C1754" s="0" t="n">
        <f aca="false">N(C1753)+B1754</f>
        <v>11</v>
      </c>
    </row>
    <row r="1755" customFormat="false" ht="13.5" hidden="false" customHeight="false" outlineLevel="0" collapsed="false">
      <c r="A1755" s="0" t="str">
        <f aca="false">IF(记账凭证!$J3559="","",记账凭证!$J3559)</f>
        <v/>
      </c>
      <c r="B1755" s="0" t="n">
        <f aca="false">IF(A1755="",0,IF(MATCH(A1755,$A$4:$A$1925,0)=ROW()-3,1,0))</f>
        <v>0</v>
      </c>
      <c r="C1755" s="0" t="n">
        <f aca="false">N(C1754)+B1755</f>
        <v>11</v>
      </c>
    </row>
    <row r="1756" customFormat="false" ht="13.5" hidden="false" customHeight="false" outlineLevel="0" collapsed="false">
      <c r="A1756" s="0" t="str">
        <f aca="false">IF(记账凭证!$J3560="","",记账凭证!$J3560)</f>
        <v/>
      </c>
      <c r="B1756" s="0" t="n">
        <f aca="false">IF(A1756="",0,IF(MATCH(A1756,$A$4:$A$1925,0)=ROW()-3,1,0))</f>
        <v>0</v>
      </c>
      <c r="C1756" s="0" t="n">
        <f aca="false">N(C1755)+B1756</f>
        <v>11</v>
      </c>
    </row>
    <row r="1757" customFormat="false" ht="13.5" hidden="false" customHeight="false" outlineLevel="0" collapsed="false">
      <c r="A1757" s="0" t="str">
        <f aca="false">IF(记账凭证!$J3561="","",记账凭证!$J3561)</f>
        <v/>
      </c>
      <c r="B1757" s="0" t="n">
        <f aca="false">IF(A1757="",0,IF(MATCH(A1757,$A$4:$A$1925,0)=ROW()-3,1,0))</f>
        <v>0</v>
      </c>
      <c r="C1757" s="0" t="n">
        <f aca="false">N(C1756)+B1757</f>
        <v>11</v>
      </c>
    </row>
    <row r="1758" customFormat="false" ht="13.5" hidden="false" customHeight="false" outlineLevel="0" collapsed="false">
      <c r="A1758" s="0" t="str">
        <f aca="false">IF(记账凭证!$J3562="","",记账凭证!$J3562)</f>
        <v/>
      </c>
      <c r="B1758" s="0" t="n">
        <f aca="false">IF(A1758="",0,IF(MATCH(A1758,$A$4:$A$1925,0)=ROW()-3,1,0))</f>
        <v>0</v>
      </c>
      <c r="C1758" s="0" t="n">
        <f aca="false">N(C1757)+B1758</f>
        <v>11</v>
      </c>
    </row>
    <row r="1759" customFormat="false" ht="13.5" hidden="false" customHeight="false" outlineLevel="0" collapsed="false">
      <c r="A1759" s="0" t="str">
        <f aca="false">IF(记账凭证!$J3563="","",记账凭证!$J3563)</f>
        <v/>
      </c>
      <c r="B1759" s="0" t="n">
        <f aca="false">IF(A1759="",0,IF(MATCH(A1759,$A$4:$A$1925,0)=ROW()-3,1,0))</f>
        <v>0</v>
      </c>
      <c r="C1759" s="0" t="n">
        <f aca="false">N(C1758)+B1759</f>
        <v>11</v>
      </c>
    </row>
    <row r="1760" customFormat="false" ht="13.5" hidden="false" customHeight="false" outlineLevel="0" collapsed="false">
      <c r="A1760" s="0" t="str">
        <f aca="false">IF(记账凭证!$J3564="","",记账凭证!$J3564)</f>
        <v/>
      </c>
      <c r="B1760" s="0" t="n">
        <f aca="false">IF(A1760="",0,IF(MATCH(A1760,$A$4:$A$1925,0)=ROW()-3,1,0))</f>
        <v>0</v>
      </c>
      <c r="C1760" s="0" t="n">
        <f aca="false">N(C1759)+B1760</f>
        <v>11</v>
      </c>
    </row>
    <row r="1761" customFormat="false" ht="13.5" hidden="false" customHeight="false" outlineLevel="0" collapsed="false">
      <c r="A1761" s="0" t="str">
        <f aca="false">IF(记账凭证!$J3565="","",记账凭证!$J3565)</f>
        <v/>
      </c>
      <c r="B1761" s="0" t="n">
        <f aca="false">IF(A1761="",0,IF(MATCH(A1761,$A$4:$A$1925,0)=ROW()-3,1,0))</f>
        <v>0</v>
      </c>
      <c r="C1761" s="0" t="n">
        <f aca="false">N(C1760)+B1761</f>
        <v>11</v>
      </c>
    </row>
    <row r="1762" customFormat="false" ht="13.5" hidden="false" customHeight="false" outlineLevel="0" collapsed="false">
      <c r="A1762" s="0" t="str">
        <f aca="false">IF(记账凭证!$J3566="","",记账凭证!$J3566)</f>
        <v/>
      </c>
      <c r="B1762" s="0" t="n">
        <f aca="false">IF(A1762="",0,IF(MATCH(A1762,$A$4:$A$1925,0)=ROW()-3,1,0))</f>
        <v>0</v>
      </c>
      <c r="C1762" s="0" t="n">
        <f aca="false">N(C1761)+B1762</f>
        <v>11</v>
      </c>
    </row>
    <row r="1763" customFormat="false" ht="13.5" hidden="false" customHeight="false" outlineLevel="0" collapsed="false">
      <c r="A1763" s="0" t="str">
        <f aca="false">IF(记账凭证!$J3567="","",记账凭证!$J3567)</f>
        <v/>
      </c>
      <c r="B1763" s="0" t="n">
        <f aca="false">IF(A1763="",0,IF(MATCH(A1763,$A$4:$A$1925,0)=ROW()-3,1,0))</f>
        <v>0</v>
      </c>
      <c r="C1763" s="0" t="n">
        <f aca="false">N(C1762)+B1763</f>
        <v>11</v>
      </c>
    </row>
    <row r="1764" customFormat="false" ht="13.5" hidden="false" customHeight="false" outlineLevel="0" collapsed="false">
      <c r="A1764" s="0" t="str">
        <f aca="false">IF(记账凭证!$J3568="","",记账凭证!$J3568)</f>
        <v/>
      </c>
      <c r="B1764" s="0" t="n">
        <f aca="false">IF(A1764="",0,IF(MATCH(A1764,$A$4:$A$1925,0)=ROW()-3,1,0))</f>
        <v>0</v>
      </c>
      <c r="C1764" s="0" t="n">
        <f aca="false">N(C1763)+B1764</f>
        <v>11</v>
      </c>
    </row>
    <row r="1765" customFormat="false" ht="13.5" hidden="false" customHeight="false" outlineLevel="0" collapsed="false">
      <c r="A1765" s="0" t="str">
        <f aca="false">IF(记账凭证!$J3569="","",记账凭证!$J3569)</f>
        <v/>
      </c>
      <c r="B1765" s="0" t="n">
        <f aca="false">IF(A1765="",0,IF(MATCH(A1765,$A$4:$A$1925,0)=ROW()-3,1,0))</f>
        <v>0</v>
      </c>
      <c r="C1765" s="0" t="n">
        <f aca="false">N(C1764)+B1765</f>
        <v>11</v>
      </c>
    </row>
    <row r="1766" customFormat="false" ht="13.5" hidden="false" customHeight="false" outlineLevel="0" collapsed="false">
      <c r="A1766" s="0" t="str">
        <f aca="false">IF(记账凭证!$J3570="","",记账凭证!$J3570)</f>
        <v/>
      </c>
      <c r="B1766" s="0" t="n">
        <f aca="false">IF(A1766="",0,IF(MATCH(A1766,$A$4:$A$1925,0)=ROW()-3,1,0))</f>
        <v>0</v>
      </c>
      <c r="C1766" s="0" t="n">
        <f aca="false">N(C1765)+B1766</f>
        <v>11</v>
      </c>
    </row>
    <row r="1767" customFormat="false" ht="13.5" hidden="false" customHeight="false" outlineLevel="0" collapsed="false">
      <c r="A1767" s="0" t="str">
        <f aca="false">IF(记账凭证!$J3571="","",记账凭证!$J3571)</f>
        <v/>
      </c>
      <c r="B1767" s="0" t="n">
        <f aca="false">IF(A1767="",0,IF(MATCH(A1767,$A$4:$A$1925,0)=ROW()-3,1,0))</f>
        <v>0</v>
      </c>
      <c r="C1767" s="0" t="n">
        <f aca="false">N(C1766)+B1767</f>
        <v>11</v>
      </c>
    </row>
    <row r="1768" customFormat="false" ht="13.5" hidden="false" customHeight="false" outlineLevel="0" collapsed="false">
      <c r="A1768" s="0" t="str">
        <f aca="false">IF(记账凭证!$J3572="","",记账凭证!$J3572)</f>
        <v/>
      </c>
      <c r="B1768" s="0" t="n">
        <f aca="false">IF(A1768="",0,IF(MATCH(A1768,$A$4:$A$1925,0)=ROW()-3,1,0))</f>
        <v>0</v>
      </c>
      <c r="C1768" s="0" t="n">
        <f aca="false">N(C1767)+B1768</f>
        <v>11</v>
      </c>
    </row>
    <row r="1769" customFormat="false" ht="13.5" hidden="false" customHeight="false" outlineLevel="0" collapsed="false">
      <c r="A1769" s="0" t="str">
        <f aca="false">IF(记账凭证!$J3573="","",记账凭证!$J3573)</f>
        <v/>
      </c>
      <c r="B1769" s="0" t="n">
        <f aca="false">IF(A1769="",0,IF(MATCH(A1769,$A$4:$A$1925,0)=ROW()-3,1,0))</f>
        <v>0</v>
      </c>
      <c r="C1769" s="0" t="n">
        <f aca="false">N(C1768)+B1769</f>
        <v>11</v>
      </c>
    </row>
    <row r="1770" customFormat="false" ht="13.5" hidden="false" customHeight="false" outlineLevel="0" collapsed="false">
      <c r="A1770" s="0" t="str">
        <f aca="false">IF(记账凭证!$J3574="","",记账凭证!$J3574)</f>
        <v/>
      </c>
      <c r="B1770" s="0" t="n">
        <f aca="false">IF(A1770="",0,IF(MATCH(A1770,$A$4:$A$1925,0)=ROW()-3,1,0))</f>
        <v>0</v>
      </c>
      <c r="C1770" s="0" t="n">
        <f aca="false">N(C1769)+B1770</f>
        <v>11</v>
      </c>
    </row>
    <row r="1771" customFormat="false" ht="13.5" hidden="false" customHeight="false" outlineLevel="0" collapsed="false">
      <c r="A1771" s="0" t="str">
        <f aca="false">IF(记账凭证!$J3575="","",记账凭证!$J3575)</f>
        <v/>
      </c>
      <c r="B1771" s="0" t="n">
        <f aca="false">IF(A1771="",0,IF(MATCH(A1771,$A$4:$A$1925,0)=ROW()-3,1,0))</f>
        <v>0</v>
      </c>
      <c r="C1771" s="0" t="n">
        <f aca="false">N(C1770)+B1771</f>
        <v>11</v>
      </c>
    </row>
    <row r="1772" customFormat="false" ht="13.5" hidden="false" customHeight="false" outlineLevel="0" collapsed="false">
      <c r="A1772" s="0" t="str">
        <f aca="false">IF(记账凭证!$J3576="","",记账凭证!$J3576)</f>
        <v/>
      </c>
      <c r="B1772" s="0" t="n">
        <f aca="false">IF(A1772="",0,IF(MATCH(A1772,$A$4:$A$1925,0)=ROW()-3,1,0))</f>
        <v>0</v>
      </c>
      <c r="C1772" s="0" t="n">
        <f aca="false">N(C1771)+B1772</f>
        <v>11</v>
      </c>
    </row>
    <row r="1773" customFormat="false" ht="13.5" hidden="false" customHeight="false" outlineLevel="0" collapsed="false">
      <c r="A1773" s="0" t="str">
        <f aca="false">IF(记账凭证!$J3577="","",记账凭证!$J3577)</f>
        <v/>
      </c>
      <c r="B1773" s="0" t="n">
        <f aca="false">IF(A1773="",0,IF(MATCH(A1773,$A$4:$A$1925,0)=ROW()-3,1,0))</f>
        <v>0</v>
      </c>
      <c r="C1773" s="0" t="n">
        <f aca="false">N(C1772)+B1773</f>
        <v>11</v>
      </c>
    </row>
    <row r="1774" customFormat="false" ht="13.5" hidden="false" customHeight="false" outlineLevel="0" collapsed="false">
      <c r="A1774" s="0" t="str">
        <f aca="false">IF(记账凭证!$J3578="","",记账凭证!$J3578)</f>
        <v/>
      </c>
      <c r="B1774" s="0" t="n">
        <f aca="false">IF(A1774="",0,IF(MATCH(A1774,$A$4:$A$1925,0)=ROW()-3,1,0))</f>
        <v>0</v>
      </c>
      <c r="C1774" s="0" t="n">
        <f aca="false">N(C1773)+B1774</f>
        <v>11</v>
      </c>
    </row>
    <row r="1775" customFormat="false" ht="13.5" hidden="false" customHeight="false" outlineLevel="0" collapsed="false">
      <c r="A1775" s="0" t="str">
        <f aca="false">IF(记账凭证!$J3579="","",记账凭证!$J3579)</f>
        <v/>
      </c>
      <c r="B1775" s="0" t="n">
        <f aca="false">IF(A1775="",0,IF(MATCH(A1775,$A$4:$A$1925,0)=ROW()-3,1,0))</f>
        <v>0</v>
      </c>
      <c r="C1775" s="0" t="n">
        <f aca="false">N(C1774)+B1775</f>
        <v>11</v>
      </c>
    </row>
    <row r="1776" customFormat="false" ht="13.5" hidden="false" customHeight="false" outlineLevel="0" collapsed="false">
      <c r="A1776" s="0" t="str">
        <f aca="false">IF(记账凭证!$J3580="","",记账凭证!$J3580)</f>
        <v/>
      </c>
      <c r="B1776" s="0" t="n">
        <f aca="false">IF(A1776="",0,IF(MATCH(A1776,$A$4:$A$1925,0)=ROW()-3,1,0))</f>
        <v>0</v>
      </c>
      <c r="C1776" s="0" t="n">
        <f aca="false">N(C1775)+B1776</f>
        <v>11</v>
      </c>
    </row>
    <row r="1777" customFormat="false" ht="13.5" hidden="false" customHeight="false" outlineLevel="0" collapsed="false">
      <c r="A1777" s="0" t="str">
        <f aca="false">IF(记账凭证!$J3581="","",记账凭证!$J3581)</f>
        <v/>
      </c>
      <c r="B1777" s="0" t="n">
        <f aca="false">IF(A1777="",0,IF(MATCH(A1777,$A$4:$A$1925,0)=ROW()-3,1,0))</f>
        <v>0</v>
      </c>
      <c r="C1777" s="0" t="n">
        <f aca="false">N(C1776)+B1777</f>
        <v>11</v>
      </c>
    </row>
    <row r="1778" customFormat="false" ht="13.5" hidden="false" customHeight="false" outlineLevel="0" collapsed="false">
      <c r="A1778" s="0" t="str">
        <f aca="false">IF(记账凭证!$J3582="","",记账凭证!$J3582)</f>
        <v/>
      </c>
      <c r="B1778" s="0" t="n">
        <f aca="false">IF(A1778="",0,IF(MATCH(A1778,$A$4:$A$1925,0)=ROW()-3,1,0))</f>
        <v>0</v>
      </c>
      <c r="C1778" s="0" t="n">
        <f aca="false">N(C1777)+B1778</f>
        <v>11</v>
      </c>
    </row>
    <row r="1779" customFormat="false" ht="13.5" hidden="false" customHeight="false" outlineLevel="0" collapsed="false">
      <c r="A1779" s="0" t="str">
        <f aca="false">IF(记账凭证!$J3583="","",记账凭证!$J3583)</f>
        <v/>
      </c>
      <c r="B1779" s="0" t="n">
        <f aca="false">IF(A1779="",0,IF(MATCH(A1779,$A$4:$A$1925,0)=ROW()-3,1,0))</f>
        <v>0</v>
      </c>
      <c r="C1779" s="0" t="n">
        <f aca="false">N(C1778)+B1779</f>
        <v>11</v>
      </c>
    </row>
    <row r="1780" customFormat="false" ht="13.5" hidden="false" customHeight="false" outlineLevel="0" collapsed="false">
      <c r="A1780" s="0" t="str">
        <f aca="false">IF(记账凭证!$J3584="","",记账凭证!$J3584)</f>
        <v/>
      </c>
      <c r="B1780" s="0" t="n">
        <f aca="false">IF(A1780="",0,IF(MATCH(A1780,$A$4:$A$1925,0)=ROW()-3,1,0))</f>
        <v>0</v>
      </c>
      <c r="C1780" s="0" t="n">
        <f aca="false">N(C1779)+B1780</f>
        <v>11</v>
      </c>
    </row>
    <row r="1781" customFormat="false" ht="13.5" hidden="false" customHeight="false" outlineLevel="0" collapsed="false">
      <c r="A1781" s="0" t="str">
        <f aca="false">IF(记账凭证!$J3585="","",记账凭证!$J3585)</f>
        <v/>
      </c>
      <c r="B1781" s="0" t="n">
        <f aca="false">IF(A1781="",0,IF(MATCH(A1781,$A$4:$A$1925,0)=ROW()-3,1,0))</f>
        <v>0</v>
      </c>
      <c r="C1781" s="0" t="n">
        <f aca="false">N(C1780)+B1781</f>
        <v>11</v>
      </c>
    </row>
    <row r="1782" customFormat="false" ht="13.5" hidden="false" customHeight="false" outlineLevel="0" collapsed="false">
      <c r="A1782" s="0" t="str">
        <f aca="false">IF(记账凭证!$J3586="","",记账凭证!$J3586)</f>
        <v/>
      </c>
      <c r="B1782" s="0" t="n">
        <f aca="false">IF(A1782="",0,IF(MATCH(A1782,$A$4:$A$1925,0)=ROW()-3,1,0))</f>
        <v>0</v>
      </c>
      <c r="C1782" s="0" t="n">
        <f aca="false">N(C1781)+B1782</f>
        <v>11</v>
      </c>
    </row>
    <row r="1783" customFormat="false" ht="13.5" hidden="false" customHeight="false" outlineLevel="0" collapsed="false">
      <c r="A1783" s="0" t="str">
        <f aca="false">IF(记账凭证!$J3587="","",记账凭证!$J3587)</f>
        <v/>
      </c>
      <c r="B1783" s="0" t="n">
        <f aca="false">IF(A1783="",0,IF(MATCH(A1783,$A$4:$A$1925,0)=ROW()-3,1,0))</f>
        <v>0</v>
      </c>
      <c r="C1783" s="0" t="n">
        <f aca="false">N(C1782)+B1783</f>
        <v>11</v>
      </c>
    </row>
    <row r="1784" customFormat="false" ht="13.5" hidden="false" customHeight="false" outlineLevel="0" collapsed="false">
      <c r="A1784" s="0" t="str">
        <f aca="false">IF(记账凭证!$J3588="","",记账凭证!$J3588)</f>
        <v/>
      </c>
      <c r="B1784" s="0" t="n">
        <f aca="false">IF(A1784="",0,IF(MATCH(A1784,$A$4:$A$1925,0)=ROW()-3,1,0))</f>
        <v>0</v>
      </c>
      <c r="C1784" s="0" t="n">
        <f aca="false">N(C1783)+B1784</f>
        <v>11</v>
      </c>
    </row>
    <row r="1785" customFormat="false" ht="13.5" hidden="false" customHeight="false" outlineLevel="0" collapsed="false">
      <c r="A1785" s="0" t="str">
        <f aca="false">IF(记账凭证!$J3589="","",记账凭证!$J3589)</f>
        <v/>
      </c>
      <c r="B1785" s="0" t="n">
        <f aca="false">IF(A1785="",0,IF(MATCH(A1785,$A$4:$A$1925,0)=ROW()-3,1,0))</f>
        <v>0</v>
      </c>
      <c r="C1785" s="0" t="n">
        <f aca="false">N(C1784)+B1785</f>
        <v>11</v>
      </c>
    </row>
    <row r="1786" customFormat="false" ht="13.5" hidden="false" customHeight="false" outlineLevel="0" collapsed="false">
      <c r="A1786" s="0" t="str">
        <f aca="false">IF(记账凭证!$J3590="","",记账凭证!$J3590)</f>
        <v/>
      </c>
      <c r="B1786" s="0" t="n">
        <f aca="false">IF(A1786="",0,IF(MATCH(A1786,$A$4:$A$1925,0)=ROW()-3,1,0))</f>
        <v>0</v>
      </c>
      <c r="C1786" s="0" t="n">
        <f aca="false">N(C1785)+B1786</f>
        <v>11</v>
      </c>
    </row>
    <row r="1787" customFormat="false" ht="13.5" hidden="false" customHeight="false" outlineLevel="0" collapsed="false">
      <c r="A1787" s="0" t="str">
        <f aca="false">IF(记账凭证!$J3591="","",记账凭证!$J3591)</f>
        <v/>
      </c>
      <c r="B1787" s="0" t="n">
        <f aca="false">IF(A1787="",0,IF(MATCH(A1787,$A$4:$A$1925,0)=ROW()-3,1,0))</f>
        <v>0</v>
      </c>
      <c r="C1787" s="0" t="n">
        <f aca="false">N(C1786)+B1787</f>
        <v>11</v>
      </c>
    </row>
    <row r="1788" customFormat="false" ht="13.5" hidden="false" customHeight="false" outlineLevel="0" collapsed="false">
      <c r="A1788" s="0" t="str">
        <f aca="false">IF(记账凭证!$J3592="","",记账凭证!$J3592)</f>
        <v/>
      </c>
      <c r="B1788" s="0" t="n">
        <f aca="false">IF(A1788="",0,IF(MATCH(A1788,$A$4:$A$1925,0)=ROW()-3,1,0))</f>
        <v>0</v>
      </c>
      <c r="C1788" s="0" t="n">
        <f aca="false">N(C1787)+B1788</f>
        <v>11</v>
      </c>
    </row>
    <row r="1789" customFormat="false" ht="13.5" hidden="false" customHeight="false" outlineLevel="0" collapsed="false">
      <c r="A1789" s="0" t="str">
        <f aca="false">IF(记账凭证!$J3593="","",记账凭证!$J3593)</f>
        <v/>
      </c>
      <c r="B1789" s="0" t="n">
        <f aca="false">IF(A1789="",0,IF(MATCH(A1789,$A$4:$A$1925,0)=ROW()-3,1,0))</f>
        <v>0</v>
      </c>
      <c r="C1789" s="0" t="n">
        <f aca="false">N(C1788)+B1789</f>
        <v>11</v>
      </c>
    </row>
    <row r="1790" customFormat="false" ht="13.5" hidden="false" customHeight="false" outlineLevel="0" collapsed="false">
      <c r="A1790" s="0" t="str">
        <f aca="false">IF(记账凭证!$J3594="","",记账凭证!$J3594)</f>
        <v/>
      </c>
      <c r="B1790" s="0" t="n">
        <f aca="false">IF(A1790="",0,IF(MATCH(A1790,$A$4:$A$1925,0)=ROW()-3,1,0))</f>
        <v>0</v>
      </c>
      <c r="C1790" s="0" t="n">
        <f aca="false">N(C1789)+B1790</f>
        <v>11</v>
      </c>
    </row>
    <row r="1791" customFormat="false" ht="13.5" hidden="false" customHeight="false" outlineLevel="0" collapsed="false">
      <c r="A1791" s="0" t="str">
        <f aca="false">IF(记账凭证!$J3595="","",记账凭证!$J3595)</f>
        <v/>
      </c>
      <c r="B1791" s="0" t="n">
        <f aca="false">IF(A1791="",0,IF(MATCH(A1791,$A$4:$A$1925,0)=ROW()-3,1,0))</f>
        <v>0</v>
      </c>
      <c r="C1791" s="0" t="n">
        <f aca="false">N(C1790)+B1791</f>
        <v>11</v>
      </c>
    </row>
    <row r="1792" customFormat="false" ht="13.5" hidden="false" customHeight="false" outlineLevel="0" collapsed="false">
      <c r="A1792" s="0" t="str">
        <f aca="false">IF(记账凭证!$J3596="","",记账凭证!$J3596)</f>
        <v/>
      </c>
      <c r="B1792" s="0" t="n">
        <f aca="false">IF(A1792="",0,IF(MATCH(A1792,$A$4:$A$1925,0)=ROW()-3,1,0))</f>
        <v>0</v>
      </c>
      <c r="C1792" s="0" t="n">
        <f aca="false">N(C1791)+B1792</f>
        <v>11</v>
      </c>
    </row>
    <row r="1793" customFormat="false" ht="13.5" hidden="false" customHeight="false" outlineLevel="0" collapsed="false">
      <c r="A1793" s="0" t="str">
        <f aca="false">IF(记账凭证!$J3597="","",记账凭证!$J3597)</f>
        <v/>
      </c>
      <c r="B1793" s="0" t="n">
        <f aca="false">IF(A1793="",0,IF(MATCH(A1793,$A$4:$A$1925,0)=ROW()-3,1,0))</f>
        <v>0</v>
      </c>
      <c r="C1793" s="0" t="n">
        <f aca="false">N(C1792)+B1793</f>
        <v>11</v>
      </c>
    </row>
    <row r="1794" customFormat="false" ht="13.5" hidden="false" customHeight="false" outlineLevel="0" collapsed="false">
      <c r="A1794" s="0" t="str">
        <f aca="false">IF(记账凭证!$J3598="","",记账凭证!$J3598)</f>
        <v/>
      </c>
      <c r="B1794" s="0" t="n">
        <f aca="false">IF(A1794="",0,IF(MATCH(A1794,$A$4:$A$1925,0)=ROW()-3,1,0))</f>
        <v>0</v>
      </c>
      <c r="C1794" s="0" t="n">
        <f aca="false">N(C1793)+B1794</f>
        <v>11</v>
      </c>
    </row>
    <row r="1795" customFormat="false" ht="13.5" hidden="false" customHeight="false" outlineLevel="0" collapsed="false">
      <c r="A1795" s="0" t="str">
        <f aca="false">IF(记账凭证!$J3599="","",记账凭证!$J3599)</f>
        <v/>
      </c>
      <c r="B1795" s="0" t="n">
        <f aca="false">IF(A1795="",0,IF(MATCH(A1795,$A$4:$A$1925,0)=ROW()-3,1,0))</f>
        <v>0</v>
      </c>
      <c r="C1795" s="0" t="n">
        <f aca="false">N(C1794)+B1795</f>
        <v>11</v>
      </c>
    </row>
    <row r="1796" customFormat="false" ht="13.5" hidden="false" customHeight="false" outlineLevel="0" collapsed="false">
      <c r="A1796" s="0" t="str">
        <f aca="false">IF(记账凭证!$J3600="","",记账凭证!$J3600)</f>
        <v/>
      </c>
      <c r="B1796" s="0" t="n">
        <f aca="false">IF(A1796="",0,IF(MATCH(A1796,$A$4:$A$1925,0)=ROW()-3,1,0))</f>
        <v>0</v>
      </c>
      <c r="C1796" s="0" t="n">
        <f aca="false">N(C1795)+B1796</f>
        <v>11</v>
      </c>
    </row>
    <row r="1797" customFormat="false" ht="13.5" hidden="false" customHeight="false" outlineLevel="0" collapsed="false">
      <c r="A1797" s="0" t="str">
        <f aca="false">IF(记账凭证!$J3601="","",记账凭证!$J3601)</f>
        <v/>
      </c>
      <c r="B1797" s="0" t="n">
        <f aca="false">IF(A1797="",0,IF(MATCH(A1797,$A$4:$A$1925,0)=ROW()-3,1,0))</f>
        <v>0</v>
      </c>
      <c r="C1797" s="0" t="n">
        <f aca="false">N(C1796)+B1797</f>
        <v>11</v>
      </c>
    </row>
    <row r="1798" customFormat="false" ht="13.5" hidden="false" customHeight="false" outlineLevel="0" collapsed="false">
      <c r="A1798" s="0" t="str">
        <f aca="false">IF(记账凭证!$J3602="","",记账凭证!$J3602)</f>
        <v/>
      </c>
      <c r="B1798" s="0" t="n">
        <f aca="false">IF(A1798="",0,IF(MATCH(A1798,$A$4:$A$1925,0)=ROW()-3,1,0))</f>
        <v>0</v>
      </c>
      <c r="C1798" s="0" t="n">
        <f aca="false">N(C1797)+B1798</f>
        <v>11</v>
      </c>
    </row>
    <row r="1799" customFormat="false" ht="13.5" hidden="false" customHeight="false" outlineLevel="0" collapsed="false">
      <c r="A1799" s="0" t="str">
        <f aca="false">IF(记账凭证!$J3603="","",记账凭证!$J3603)</f>
        <v/>
      </c>
      <c r="B1799" s="0" t="n">
        <f aca="false">IF(A1799="",0,IF(MATCH(A1799,$A$4:$A$1925,0)=ROW()-3,1,0))</f>
        <v>0</v>
      </c>
      <c r="C1799" s="0" t="n">
        <f aca="false">N(C1798)+B1799</f>
        <v>11</v>
      </c>
    </row>
    <row r="1800" customFormat="false" ht="13.5" hidden="false" customHeight="false" outlineLevel="0" collapsed="false">
      <c r="A1800" s="0" t="str">
        <f aca="false">IF(记账凭证!$J3604="","",记账凭证!$J3604)</f>
        <v/>
      </c>
      <c r="B1800" s="0" t="n">
        <f aca="false">IF(A1800="",0,IF(MATCH(A1800,$A$4:$A$1925,0)=ROW()-3,1,0))</f>
        <v>0</v>
      </c>
      <c r="C1800" s="0" t="n">
        <f aca="false">N(C1799)+B1800</f>
        <v>11</v>
      </c>
    </row>
    <row r="1801" customFormat="false" ht="13.5" hidden="false" customHeight="false" outlineLevel="0" collapsed="false">
      <c r="A1801" s="0" t="str">
        <f aca="false">IF(记账凭证!$J3605="","",记账凭证!$J3605)</f>
        <v/>
      </c>
      <c r="B1801" s="0" t="n">
        <f aca="false">IF(A1801="",0,IF(MATCH(A1801,$A$4:$A$1925,0)=ROW()-3,1,0))</f>
        <v>0</v>
      </c>
      <c r="C1801" s="0" t="n">
        <f aca="false">N(C1800)+B1801</f>
        <v>11</v>
      </c>
    </row>
    <row r="1802" customFormat="false" ht="13.5" hidden="false" customHeight="false" outlineLevel="0" collapsed="false">
      <c r="A1802" s="0" t="str">
        <f aca="false">IF(记账凭证!$J3606="","",记账凭证!$J3606)</f>
        <v/>
      </c>
      <c r="B1802" s="0" t="n">
        <f aca="false">IF(A1802="",0,IF(MATCH(A1802,$A$4:$A$1925,0)=ROW()-3,1,0))</f>
        <v>0</v>
      </c>
      <c r="C1802" s="0" t="n">
        <f aca="false">N(C1801)+B1802</f>
        <v>11</v>
      </c>
    </row>
    <row r="1803" customFormat="false" ht="13.5" hidden="false" customHeight="false" outlineLevel="0" collapsed="false">
      <c r="A1803" s="0" t="str">
        <f aca="false">IF(记账凭证!$J3607="","",记账凭证!$J3607)</f>
        <v/>
      </c>
      <c r="B1803" s="0" t="n">
        <f aca="false">IF(A1803="",0,IF(MATCH(A1803,$A$4:$A$1925,0)=ROW()-3,1,0))</f>
        <v>0</v>
      </c>
      <c r="C1803" s="0" t="n">
        <f aca="false">N(C1802)+B1803</f>
        <v>11</v>
      </c>
    </row>
    <row r="1804" customFormat="false" ht="13.5" hidden="false" customHeight="false" outlineLevel="0" collapsed="false">
      <c r="A1804" s="0" t="str">
        <f aca="false">IF(记账凭证!$J3608="","",记账凭证!$J3608)</f>
        <v/>
      </c>
      <c r="B1804" s="0" t="n">
        <f aca="false">IF(A1804="",0,IF(MATCH(A1804,$A$4:$A$1925,0)=ROW()-3,1,0))</f>
        <v>0</v>
      </c>
      <c r="C1804" s="0" t="n">
        <f aca="false">N(C1803)+B1804</f>
        <v>11</v>
      </c>
    </row>
    <row r="1805" customFormat="false" ht="13.5" hidden="false" customHeight="false" outlineLevel="0" collapsed="false">
      <c r="A1805" s="0" t="str">
        <f aca="false">IF(记账凭证!$J3609="","",记账凭证!$J3609)</f>
        <v/>
      </c>
      <c r="B1805" s="0" t="n">
        <f aca="false">IF(A1805="",0,IF(MATCH(A1805,$A$4:$A$1925,0)=ROW()-3,1,0))</f>
        <v>0</v>
      </c>
      <c r="C1805" s="0" t="n">
        <f aca="false">N(C1804)+B1805</f>
        <v>11</v>
      </c>
    </row>
    <row r="1806" customFormat="false" ht="13.5" hidden="false" customHeight="false" outlineLevel="0" collapsed="false">
      <c r="A1806" s="0" t="str">
        <f aca="false">IFERROR(INDEX(原料入库计价!$B$909:$B$1028,ROW()-1805),"")</f>
        <v>聂新平</v>
      </c>
      <c r="B1806" s="0" t="n">
        <f aca="false">IF(A1806="",0,IF(MATCH(A1806,$A$4:$A$1925,0)=ROW()-3,1,0))</f>
        <v>0</v>
      </c>
      <c r="C1806" s="0" t="n">
        <f aca="false">N(C1805)+B1806</f>
        <v>11</v>
      </c>
    </row>
    <row r="1807" customFormat="false" ht="13.5" hidden="false" customHeight="false" outlineLevel="0" collapsed="false">
      <c r="A1807" s="0" t="str">
        <f aca="false">IFERROR(INDEX(原料入库计价!$B$909:$B$1028,ROW()-1805),"")</f>
        <v>王照雪</v>
      </c>
      <c r="B1807" s="0" t="n">
        <f aca="false">IF(A1807="",0,IF(MATCH(A1807,$A$4:$A$1925,0)=ROW()-3,1,0))</f>
        <v>0</v>
      </c>
      <c r="C1807" s="0" t="n">
        <f aca="false">N(C1806)+B1807</f>
        <v>11</v>
      </c>
    </row>
    <row r="1808" customFormat="false" ht="13.5" hidden="false" customHeight="false" outlineLevel="0" collapsed="false">
      <c r="A1808" s="0" t="str">
        <f aca="false">IFERROR(INDEX(原料入库计价!$B$909:$B$1028,ROW()-1805),"")</f>
        <v>伍元虎</v>
      </c>
      <c r="B1808" s="0" t="n">
        <f aca="false">IF(A1808="",0,IF(MATCH(A1808,$A$4:$A$1925,0)=ROW()-3,1,0))</f>
        <v>0</v>
      </c>
      <c r="C1808" s="0" t="n">
        <f aca="false">N(C1807)+B1808</f>
        <v>11</v>
      </c>
    </row>
    <row r="1809" customFormat="false" ht="13.5" hidden="false" customHeight="false" outlineLevel="0" collapsed="false">
      <c r="A1809" s="0" t="str">
        <f aca="false">IFERROR(INDEX(原料入库计价!$B$909:$B$1028,ROW()-1805),"")</f>
        <v>马锦祥</v>
      </c>
      <c r="B1809" s="0" t="n">
        <f aca="false">IF(A1809="",0,IF(MATCH(A1809,$A$4:$A$1925,0)=ROW()-3,1,0))</f>
        <v>1</v>
      </c>
      <c r="C1809" s="0" t="n">
        <f aca="false">N(C1808)+B1809</f>
        <v>12</v>
      </c>
    </row>
    <row r="1810" customFormat="false" ht="13.5" hidden="false" customHeight="false" outlineLevel="0" collapsed="false">
      <c r="A1810" s="0" t="str">
        <f aca="false">IFERROR(INDEX(原料入库计价!$B$909:$B$1028,ROW()-1805),"")</f>
        <v>麦麦提</v>
      </c>
      <c r="B1810" s="0" t="n">
        <f aca="false">IF(A1810="",0,IF(MATCH(A1810,$A$4:$A$1925,0)=ROW()-3,1,0))</f>
        <v>0</v>
      </c>
      <c r="C1810" s="0" t="n">
        <f aca="false">N(C1809)+B1810</f>
        <v>12</v>
      </c>
    </row>
    <row r="1811" customFormat="false" ht="13.5" hidden="false" customHeight="false" outlineLevel="0" collapsed="false">
      <c r="A1811" s="0" t="str">
        <f aca="false">IFERROR(INDEX(原料入库计价!$B$909:$B$1028,ROW()-1805),"")</f>
        <v>吐尔洪</v>
      </c>
      <c r="B1811" s="0" t="n">
        <f aca="false">IF(A1811="",0,IF(MATCH(A1811,$A$4:$A$1925,0)=ROW()-3,1,0))</f>
        <v>1</v>
      </c>
      <c r="C1811" s="0" t="n">
        <f aca="false">N(C1810)+B1811</f>
        <v>13</v>
      </c>
    </row>
    <row r="1812" customFormat="false" ht="13.5" hidden="false" customHeight="false" outlineLevel="0" collapsed="false">
      <c r="A1812" s="0" t="str">
        <f aca="false">IFERROR(INDEX(原料入库计价!$B$909:$B$1028,ROW()-1805),"")</f>
        <v>热合曼</v>
      </c>
      <c r="B1812" s="0" t="n">
        <f aca="false">IF(A1812="",0,IF(MATCH(A1812,$A$4:$A$1925,0)=ROW()-3,1,0))</f>
        <v>0</v>
      </c>
      <c r="C1812" s="0" t="n">
        <f aca="false">N(C1811)+B1812</f>
        <v>13</v>
      </c>
    </row>
    <row r="1813" customFormat="false" ht="13.5" hidden="false" customHeight="false" outlineLevel="0" collapsed="false">
      <c r="A1813" s="0" t="str">
        <f aca="false">IFERROR(INDEX(原料入库计价!$B$909:$B$1028,ROW()-1805),"")</f>
        <v>贾建国</v>
      </c>
      <c r="B1813" s="0" t="n">
        <f aca="false">IF(A1813="",0,IF(MATCH(A1813,$A$4:$A$1925,0)=ROW()-3,1,0))</f>
        <v>0</v>
      </c>
      <c r="C1813" s="0" t="n">
        <f aca="false">N(C1812)+B1813</f>
        <v>13</v>
      </c>
    </row>
    <row r="1814" customFormat="false" ht="13.5" hidden="false" customHeight="false" outlineLevel="0" collapsed="false">
      <c r="A1814" s="0" t="str">
        <f aca="false">IFERROR(INDEX(原料入库计价!$B$909:$B$1028,ROW()-1805),"")</f>
        <v>王灵云</v>
      </c>
      <c r="B1814" s="0" t="n">
        <f aca="false">IF(A1814="",0,IF(MATCH(A1814,$A$4:$A$1925,0)=ROW()-3,1,0))</f>
        <v>0</v>
      </c>
      <c r="C1814" s="0" t="n">
        <f aca="false">N(C1813)+B1814</f>
        <v>13</v>
      </c>
    </row>
    <row r="1815" customFormat="false" ht="13.5" hidden="false" customHeight="false" outlineLevel="0" collapsed="false">
      <c r="A1815" s="0" t="str">
        <f aca="false">IFERROR(INDEX(原料入库计价!$B$909:$B$1028,ROW()-1805),"")</f>
        <v>杨艳玲</v>
      </c>
      <c r="B1815" s="0" t="n">
        <f aca="false">IF(A1815="",0,IF(MATCH(A1815,$A$4:$A$1925,0)=ROW()-3,1,0))</f>
        <v>1</v>
      </c>
      <c r="C1815" s="0" t="n">
        <f aca="false">N(C1814)+B1815</f>
        <v>14</v>
      </c>
    </row>
    <row r="1816" customFormat="false" ht="13.5" hidden="false" customHeight="false" outlineLevel="0" collapsed="false">
      <c r="A1816" s="0" t="str">
        <f aca="false">IFERROR(INDEX(原料入库计价!$B$909:$B$1028,ROW()-1805),"")</f>
        <v>荆建君</v>
      </c>
      <c r="B1816" s="0" t="n">
        <f aca="false">IF(A1816="",0,IF(MATCH(A1816,$A$4:$A$1925,0)=ROW()-3,1,0))</f>
        <v>0</v>
      </c>
      <c r="C1816" s="0" t="n">
        <f aca="false">N(C1815)+B1816</f>
        <v>14</v>
      </c>
    </row>
    <row r="1817" customFormat="false" ht="13.5" hidden="false" customHeight="false" outlineLevel="0" collapsed="false">
      <c r="A1817" s="0" t="str">
        <f aca="false">IFERROR(INDEX(原料入库计价!$B$909:$B$1028,ROW()-1805),"")</f>
        <v>努尔敦</v>
      </c>
      <c r="B1817" s="0" t="n">
        <f aca="false">IF(A1817="",0,IF(MATCH(A1817,$A$4:$A$1925,0)=ROW()-3,1,0))</f>
        <v>1</v>
      </c>
      <c r="C1817" s="0" t="n">
        <f aca="false">N(C1816)+B1817</f>
        <v>15</v>
      </c>
    </row>
    <row r="1818" customFormat="false" ht="13.5" hidden="false" customHeight="false" outlineLevel="0" collapsed="false">
      <c r="A1818" s="0" t="str">
        <f aca="false">IFERROR(INDEX(原料入库计价!$B$909:$B$1028,ROW()-1805),"")</f>
        <v>王浩</v>
      </c>
      <c r="B1818" s="0" t="n">
        <f aca="false">IF(A1818="",0,IF(MATCH(A1818,$A$4:$A$1925,0)=ROW()-3,1,0))</f>
        <v>1</v>
      </c>
      <c r="C1818" s="0" t="n">
        <f aca="false">N(C1817)+B1818</f>
        <v>16</v>
      </c>
    </row>
    <row r="1819" customFormat="false" ht="14.9" hidden="false" customHeight="false" outlineLevel="0" collapsed="false">
      <c r="A1819" s="0" t="str">
        <f aca="false">IFERROR(INDEX(原料入库计价!$B$909:$B$1028,ROW()-1805),"")</f>
        <v>热合曼+艾则孜</v>
      </c>
      <c r="B1819" s="0" t="n">
        <f aca="false">IF(A1819="",0,IF(MATCH(A1819,$A$4:$A$1925,0)=ROW()-3,1,0))</f>
        <v>1</v>
      </c>
      <c r="C1819" s="0" t="n">
        <f aca="false">N(C1818)+B1819</f>
        <v>17</v>
      </c>
    </row>
    <row r="1820" customFormat="false" ht="13.5" hidden="false" customHeight="false" outlineLevel="0" collapsed="false">
      <c r="A1820" s="0" t="str">
        <f aca="false">IFERROR(INDEX(原料入库计价!$B$909:$B$1028,ROW()-1805),"")</f>
        <v>李现东</v>
      </c>
      <c r="B1820" s="0" t="n">
        <f aca="false">IF(A1820="",0,IF(MATCH(A1820,$A$4:$A$1925,0)=ROW()-3,1,0))</f>
        <v>1</v>
      </c>
      <c r="C1820" s="0" t="n">
        <f aca="false">N(C1819)+B1820</f>
        <v>18</v>
      </c>
    </row>
    <row r="1821" customFormat="false" ht="13.5" hidden="false" customHeight="false" outlineLevel="0" collapsed="false">
      <c r="A1821" s="0" t="str">
        <f aca="false">IFERROR(INDEX(原料入库计价!$B$909:$B$1028,ROW()-1805),"")</f>
        <v>吐尔逊</v>
      </c>
      <c r="B1821" s="0" t="n">
        <f aca="false">IF(A1821="",0,IF(MATCH(A1821,$A$4:$A$1925,0)=ROW()-3,1,0))</f>
        <v>0</v>
      </c>
      <c r="C1821" s="0" t="n">
        <f aca="false">N(C1820)+B1821</f>
        <v>18</v>
      </c>
    </row>
    <row r="1822" customFormat="false" ht="13.5" hidden="false" customHeight="false" outlineLevel="0" collapsed="false">
      <c r="A1822" s="0" t="str">
        <f aca="false">IFERROR(INDEX(原料入库计价!$B$909:$B$1028,ROW()-1805),"")</f>
        <v>阿布都</v>
      </c>
      <c r="B1822" s="0" t="n">
        <f aca="false">IF(A1822="",0,IF(MATCH(A1822,$A$4:$A$1925,0)=ROW()-3,1,0))</f>
        <v>1</v>
      </c>
      <c r="C1822" s="0" t="n">
        <f aca="false">N(C1821)+B1822</f>
        <v>19</v>
      </c>
    </row>
    <row r="1823" customFormat="false" ht="13.5" hidden="false" customHeight="false" outlineLevel="0" collapsed="false">
      <c r="A1823" s="0" t="str">
        <f aca="false">IFERROR(INDEX(原料入库计价!$B$909:$B$1028,ROW()-1805),"")</f>
        <v>艾则孜</v>
      </c>
      <c r="B1823" s="0" t="n">
        <f aca="false">IF(A1823="",0,IF(MATCH(A1823,$A$4:$A$1925,0)=ROW()-3,1,0))</f>
        <v>1</v>
      </c>
      <c r="C1823" s="0" t="n">
        <f aca="false">N(C1822)+B1823</f>
        <v>20</v>
      </c>
    </row>
    <row r="1824" customFormat="false" ht="13.5" hidden="false" customHeight="false" outlineLevel="0" collapsed="false">
      <c r="A1824" s="0" t="str">
        <f aca="false">IFERROR(INDEX(原料入库计价!$B$909:$B$1028,ROW()-1805),"")</f>
        <v/>
      </c>
      <c r="B1824" s="0" t="n">
        <f aca="false">IF(A1824="",0,IF(MATCH(A1824,$A$4:$A$1925,0)=ROW()-3,1,0))</f>
        <v>0</v>
      </c>
      <c r="C1824" s="0" t="n">
        <f aca="false">N(C1823)+B1824</f>
        <v>20</v>
      </c>
    </row>
    <row r="1825" customFormat="false" ht="13.5" hidden="false" customHeight="false" outlineLevel="0" collapsed="false">
      <c r="A1825" s="0" t="str">
        <f aca="false">IFERROR(INDEX(原料入库计价!$B$909:$B$1028,ROW()-1805),"")</f>
        <v/>
      </c>
      <c r="B1825" s="0" t="n">
        <f aca="false">IF(A1825="",0,IF(MATCH(A1825,$A$4:$A$1925,0)=ROW()-3,1,0))</f>
        <v>0</v>
      </c>
      <c r="C1825" s="0" t="n">
        <f aca="false">N(C1824)+B1825</f>
        <v>20</v>
      </c>
    </row>
    <row r="1826" customFormat="false" ht="13.5" hidden="false" customHeight="false" outlineLevel="0" collapsed="false">
      <c r="A1826" s="0" t="str">
        <f aca="false">IFERROR(INDEX(原料入库计价!$B$909:$B$1028,ROW()-1805),"")</f>
        <v/>
      </c>
      <c r="B1826" s="0" t="n">
        <f aca="false">IF(A1826="",0,IF(MATCH(A1826,$A$4:$A$1925,0)=ROW()-3,1,0))</f>
        <v>0</v>
      </c>
      <c r="C1826" s="0" t="n">
        <f aca="false">N(C1825)+B1826</f>
        <v>20</v>
      </c>
    </row>
    <row r="1827" customFormat="false" ht="13.5" hidden="false" customHeight="false" outlineLevel="0" collapsed="false">
      <c r="A1827" s="0" t="str">
        <f aca="false">IFERROR(INDEX(原料入库计价!$B$909:$B$1028,ROW()-1805),"")</f>
        <v/>
      </c>
      <c r="B1827" s="0" t="n">
        <f aca="false">IF(A1827="",0,IF(MATCH(A1827,$A$4:$A$1925,0)=ROW()-3,1,0))</f>
        <v>0</v>
      </c>
      <c r="C1827" s="0" t="n">
        <f aca="false">N(C1826)+B1827</f>
        <v>20</v>
      </c>
    </row>
    <row r="1828" customFormat="false" ht="13.5" hidden="false" customHeight="false" outlineLevel="0" collapsed="false">
      <c r="A1828" s="0" t="str">
        <f aca="false">IFERROR(INDEX(原料入库计价!$B$909:$B$1028,ROW()-1805),"")</f>
        <v/>
      </c>
      <c r="B1828" s="0" t="n">
        <f aca="false">IF(A1828="",0,IF(MATCH(A1828,$A$4:$A$1925,0)=ROW()-3,1,0))</f>
        <v>0</v>
      </c>
      <c r="C1828" s="0" t="n">
        <f aca="false">N(C1827)+B1828</f>
        <v>20</v>
      </c>
    </row>
    <row r="1829" customFormat="false" ht="13.5" hidden="false" customHeight="false" outlineLevel="0" collapsed="false">
      <c r="A1829" s="0" t="str">
        <f aca="false">IFERROR(INDEX(原料入库计价!$B$909:$B$1028,ROW()-1805),"")</f>
        <v/>
      </c>
      <c r="B1829" s="0" t="n">
        <f aca="false">IF(A1829="",0,IF(MATCH(A1829,$A$4:$A$1925,0)=ROW()-3,1,0))</f>
        <v>0</v>
      </c>
      <c r="C1829" s="0" t="n">
        <f aca="false">N(C1828)+B1829</f>
        <v>20</v>
      </c>
    </row>
    <row r="1830" customFormat="false" ht="13.5" hidden="false" customHeight="false" outlineLevel="0" collapsed="false">
      <c r="A1830" s="0" t="str">
        <f aca="false">IFERROR(INDEX(原料入库计价!$B$909:$B$1028,ROW()-1805),"")</f>
        <v/>
      </c>
      <c r="B1830" s="0" t="n">
        <f aca="false">IF(A1830="",0,IF(MATCH(A1830,$A$4:$A$1925,0)=ROW()-3,1,0))</f>
        <v>0</v>
      </c>
      <c r="C1830" s="0" t="n">
        <f aca="false">N(C1829)+B1830</f>
        <v>20</v>
      </c>
    </row>
    <row r="1831" customFormat="false" ht="13.5" hidden="false" customHeight="false" outlineLevel="0" collapsed="false">
      <c r="A1831" s="0" t="str">
        <f aca="false">IFERROR(INDEX(原料入库计价!$B$909:$B$1028,ROW()-1805),"")</f>
        <v/>
      </c>
      <c r="B1831" s="0" t="n">
        <f aca="false">IF(A1831="",0,IF(MATCH(A1831,$A$4:$A$1925,0)=ROW()-3,1,0))</f>
        <v>0</v>
      </c>
      <c r="C1831" s="0" t="n">
        <f aca="false">N(C1830)+B1831</f>
        <v>20</v>
      </c>
    </row>
    <row r="1832" customFormat="false" ht="13.5" hidden="false" customHeight="false" outlineLevel="0" collapsed="false">
      <c r="A1832" s="0" t="str">
        <f aca="false">IFERROR(INDEX(原料入库计价!$B$909:$B$1028,ROW()-1805),"")</f>
        <v/>
      </c>
      <c r="B1832" s="0" t="n">
        <f aca="false">IF(A1832="",0,IF(MATCH(A1832,$A$4:$A$1925,0)=ROW()-3,1,0))</f>
        <v>0</v>
      </c>
      <c r="C1832" s="0" t="n">
        <f aca="false">N(C1831)+B1832</f>
        <v>20</v>
      </c>
    </row>
    <row r="1833" customFormat="false" ht="13.5" hidden="false" customHeight="false" outlineLevel="0" collapsed="false">
      <c r="A1833" s="0" t="str">
        <f aca="false">IFERROR(INDEX(原料入库计价!$B$909:$B$1028,ROW()-1805),"")</f>
        <v/>
      </c>
      <c r="B1833" s="0" t="n">
        <f aca="false">IF(A1833="",0,IF(MATCH(A1833,$A$4:$A$1925,0)=ROW()-3,1,0))</f>
        <v>0</v>
      </c>
      <c r="C1833" s="0" t="n">
        <f aca="false">N(C1832)+B1833</f>
        <v>20</v>
      </c>
    </row>
    <row r="1834" customFormat="false" ht="13.5" hidden="false" customHeight="false" outlineLevel="0" collapsed="false">
      <c r="A1834" s="0" t="str">
        <f aca="false">IFERROR(INDEX(原料入库计价!$B$909:$B$1028,ROW()-1805),"")</f>
        <v/>
      </c>
      <c r="B1834" s="0" t="n">
        <f aca="false">IF(A1834="",0,IF(MATCH(A1834,$A$4:$A$1925,0)=ROW()-3,1,0))</f>
        <v>0</v>
      </c>
      <c r="C1834" s="0" t="n">
        <f aca="false">N(C1833)+B1834</f>
        <v>20</v>
      </c>
    </row>
    <row r="1835" customFormat="false" ht="13.5" hidden="false" customHeight="false" outlineLevel="0" collapsed="false">
      <c r="A1835" s="0" t="str">
        <f aca="false">IFERROR(INDEX(原料入库计价!$B$909:$B$1028,ROW()-1805),"")</f>
        <v/>
      </c>
      <c r="B1835" s="0" t="n">
        <f aca="false">IF(A1835="",0,IF(MATCH(A1835,$A$4:$A$1925,0)=ROW()-3,1,0))</f>
        <v>0</v>
      </c>
      <c r="C1835" s="0" t="n">
        <f aca="false">N(C1834)+B1835</f>
        <v>20</v>
      </c>
    </row>
    <row r="1836" customFormat="false" ht="13.5" hidden="false" customHeight="false" outlineLevel="0" collapsed="false">
      <c r="A1836" s="0" t="str">
        <f aca="false">IFERROR(INDEX(原料入库计价!$B$909:$B$1028,ROW()-1805),"")</f>
        <v/>
      </c>
      <c r="B1836" s="0" t="n">
        <f aca="false">IF(A1836="",0,IF(MATCH(A1836,$A$4:$A$1925,0)=ROW()-3,1,0))</f>
        <v>0</v>
      </c>
      <c r="C1836" s="0" t="n">
        <f aca="false">N(C1835)+B1836</f>
        <v>20</v>
      </c>
    </row>
    <row r="1837" customFormat="false" ht="13.5" hidden="false" customHeight="false" outlineLevel="0" collapsed="false">
      <c r="A1837" s="0" t="str">
        <f aca="false">IFERROR(INDEX(原料入库计价!$B$909:$B$1028,ROW()-1805),"")</f>
        <v/>
      </c>
      <c r="B1837" s="0" t="n">
        <f aca="false">IF(A1837="",0,IF(MATCH(A1837,$A$4:$A$1925,0)=ROW()-3,1,0))</f>
        <v>0</v>
      </c>
      <c r="C1837" s="0" t="n">
        <f aca="false">N(C1836)+B1837</f>
        <v>20</v>
      </c>
    </row>
    <row r="1838" customFormat="false" ht="13.5" hidden="false" customHeight="false" outlineLevel="0" collapsed="false">
      <c r="A1838" s="0" t="str">
        <f aca="false">IFERROR(INDEX(原料入库计价!$B$909:$B$1028,ROW()-1805),"")</f>
        <v/>
      </c>
      <c r="B1838" s="0" t="n">
        <f aca="false">IF(A1838="",0,IF(MATCH(A1838,$A$4:$A$1925,0)=ROW()-3,1,0))</f>
        <v>0</v>
      </c>
      <c r="C1838" s="0" t="n">
        <f aca="false">N(C1837)+B1838</f>
        <v>20</v>
      </c>
    </row>
    <row r="1839" customFormat="false" ht="13.5" hidden="false" customHeight="false" outlineLevel="0" collapsed="false">
      <c r="A1839" s="0" t="str">
        <f aca="false">IFERROR(INDEX(原料入库计价!$B$909:$B$1028,ROW()-1805),"")</f>
        <v/>
      </c>
      <c r="B1839" s="0" t="n">
        <f aca="false">IF(A1839="",0,IF(MATCH(A1839,$A$4:$A$1925,0)=ROW()-3,1,0))</f>
        <v>0</v>
      </c>
      <c r="C1839" s="0" t="n">
        <f aca="false">N(C1838)+B1839</f>
        <v>20</v>
      </c>
    </row>
    <row r="1840" customFormat="false" ht="13.5" hidden="false" customHeight="false" outlineLevel="0" collapsed="false">
      <c r="A1840" s="0" t="str">
        <f aca="false">IFERROR(INDEX(原料入库计价!$B$909:$B$1028,ROW()-1805),"")</f>
        <v/>
      </c>
      <c r="B1840" s="0" t="n">
        <f aca="false">IF(A1840="",0,IF(MATCH(A1840,$A$4:$A$1925,0)=ROW()-3,1,0))</f>
        <v>0</v>
      </c>
      <c r="C1840" s="0" t="n">
        <f aca="false">N(C1839)+B1840</f>
        <v>20</v>
      </c>
    </row>
    <row r="1841" customFormat="false" ht="13.5" hidden="false" customHeight="false" outlineLevel="0" collapsed="false">
      <c r="A1841" s="0" t="str">
        <f aca="false">IFERROR(INDEX(原料入库计价!$B$909:$B$1028,ROW()-1805),"")</f>
        <v/>
      </c>
      <c r="B1841" s="0" t="n">
        <f aca="false">IF(A1841="",0,IF(MATCH(A1841,$A$4:$A$1925,0)=ROW()-3,1,0))</f>
        <v>0</v>
      </c>
      <c r="C1841" s="0" t="n">
        <f aca="false">N(C1840)+B1841</f>
        <v>20</v>
      </c>
    </row>
    <row r="1842" customFormat="false" ht="13.5" hidden="false" customHeight="false" outlineLevel="0" collapsed="false">
      <c r="A1842" s="0" t="str">
        <f aca="false">IFERROR(INDEX(原料入库计价!$B$909:$B$1028,ROW()-1805),"")</f>
        <v/>
      </c>
      <c r="B1842" s="0" t="n">
        <f aca="false">IF(A1842="",0,IF(MATCH(A1842,$A$4:$A$1925,0)=ROW()-3,1,0))</f>
        <v>0</v>
      </c>
      <c r="C1842" s="0" t="n">
        <f aca="false">N(C1841)+B1842</f>
        <v>20</v>
      </c>
    </row>
    <row r="1843" customFormat="false" ht="13.5" hidden="false" customHeight="false" outlineLevel="0" collapsed="false">
      <c r="A1843" s="0" t="str">
        <f aca="false">IFERROR(INDEX(原料入库计价!$B$909:$B$1028,ROW()-1805),"")</f>
        <v/>
      </c>
      <c r="B1843" s="0" t="n">
        <f aca="false">IF(A1843="",0,IF(MATCH(A1843,$A$4:$A$1925,0)=ROW()-3,1,0))</f>
        <v>0</v>
      </c>
      <c r="C1843" s="0" t="n">
        <f aca="false">N(C1842)+B1843</f>
        <v>20</v>
      </c>
    </row>
    <row r="1844" customFormat="false" ht="13.5" hidden="false" customHeight="false" outlineLevel="0" collapsed="false">
      <c r="A1844" s="0" t="str">
        <f aca="false">IFERROR(INDEX(原料入库计价!$B$909:$B$1028,ROW()-1805),"")</f>
        <v/>
      </c>
      <c r="B1844" s="0" t="n">
        <f aca="false">IF(A1844="",0,IF(MATCH(A1844,$A$4:$A$1925,0)=ROW()-3,1,0))</f>
        <v>0</v>
      </c>
      <c r="C1844" s="0" t="n">
        <f aca="false">N(C1843)+B1844</f>
        <v>20</v>
      </c>
    </row>
    <row r="1845" customFormat="false" ht="13.5" hidden="false" customHeight="false" outlineLevel="0" collapsed="false">
      <c r="A1845" s="0" t="str">
        <f aca="false">IFERROR(INDEX(原料入库计价!$B$909:$B$1028,ROW()-1805),"")</f>
        <v/>
      </c>
      <c r="B1845" s="0" t="n">
        <f aca="false">IF(A1845="",0,IF(MATCH(A1845,$A$4:$A$1925,0)=ROW()-3,1,0))</f>
        <v>0</v>
      </c>
      <c r="C1845" s="0" t="n">
        <f aca="false">N(C1844)+B1845</f>
        <v>20</v>
      </c>
    </row>
    <row r="1846" customFormat="false" ht="13.5" hidden="false" customHeight="false" outlineLevel="0" collapsed="false">
      <c r="A1846" s="0" t="str">
        <f aca="false">IFERROR(INDEX(原料入库计价!$B$909:$B$1028,ROW()-1805),"")</f>
        <v/>
      </c>
      <c r="B1846" s="0" t="n">
        <f aca="false">IF(A1846="",0,IF(MATCH(A1846,$A$4:$A$1925,0)=ROW()-3,1,0))</f>
        <v>0</v>
      </c>
      <c r="C1846" s="0" t="n">
        <f aca="false">N(C1845)+B1846</f>
        <v>20</v>
      </c>
    </row>
    <row r="1847" customFormat="false" ht="13.5" hidden="false" customHeight="false" outlineLevel="0" collapsed="false">
      <c r="A1847" s="0" t="str">
        <f aca="false">IFERROR(INDEX(原料入库计价!$B$909:$B$1028,ROW()-1805),"")</f>
        <v/>
      </c>
      <c r="B1847" s="0" t="n">
        <f aca="false">IF(A1847="",0,IF(MATCH(A1847,$A$4:$A$1925,0)=ROW()-3,1,0))</f>
        <v>0</v>
      </c>
      <c r="C1847" s="0" t="n">
        <f aca="false">N(C1846)+B1847</f>
        <v>20</v>
      </c>
    </row>
    <row r="1848" customFormat="false" ht="13.5" hidden="false" customHeight="false" outlineLevel="0" collapsed="false">
      <c r="A1848" s="0" t="str">
        <f aca="false">IFERROR(INDEX(原料入库计价!$B$909:$B$1028,ROW()-1805),"")</f>
        <v/>
      </c>
      <c r="B1848" s="0" t="n">
        <f aca="false">IF(A1848="",0,IF(MATCH(A1848,$A$4:$A$1925,0)=ROW()-3,1,0))</f>
        <v>0</v>
      </c>
      <c r="C1848" s="0" t="n">
        <f aca="false">N(C1847)+B1848</f>
        <v>20</v>
      </c>
    </row>
    <row r="1849" customFormat="false" ht="13.5" hidden="false" customHeight="false" outlineLevel="0" collapsed="false">
      <c r="A1849" s="0" t="str">
        <f aca="false">IFERROR(INDEX(原料入库计价!$B$909:$B$1028,ROW()-1805),"")</f>
        <v/>
      </c>
      <c r="B1849" s="0" t="n">
        <f aca="false">IF(A1849="",0,IF(MATCH(A1849,$A$4:$A$1925,0)=ROW()-3,1,0))</f>
        <v>0</v>
      </c>
      <c r="C1849" s="0" t="n">
        <f aca="false">N(C1848)+B1849</f>
        <v>20</v>
      </c>
    </row>
    <row r="1850" customFormat="false" ht="13.5" hidden="false" customHeight="false" outlineLevel="0" collapsed="false">
      <c r="A1850" s="0" t="str">
        <f aca="false">IFERROR(INDEX(原料入库计价!$B$909:$B$1028,ROW()-1805),"")</f>
        <v/>
      </c>
      <c r="B1850" s="0" t="n">
        <f aca="false">IF(A1850="",0,IF(MATCH(A1850,$A$4:$A$1925,0)=ROW()-3,1,0))</f>
        <v>0</v>
      </c>
      <c r="C1850" s="0" t="n">
        <f aca="false">N(C1849)+B1850</f>
        <v>20</v>
      </c>
    </row>
    <row r="1851" customFormat="false" ht="13.5" hidden="false" customHeight="false" outlineLevel="0" collapsed="false">
      <c r="A1851" s="0" t="str">
        <f aca="false">IFERROR(INDEX(原料入库计价!$B$909:$B$1028,ROW()-1805),"")</f>
        <v/>
      </c>
      <c r="B1851" s="0" t="n">
        <f aca="false">IF(A1851="",0,IF(MATCH(A1851,$A$4:$A$1925,0)=ROW()-3,1,0))</f>
        <v>0</v>
      </c>
      <c r="C1851" s="0" t="n">
        <f aca="false">N(C1850)+B1851</f>
        <v>20</v>
      </c>
    </row>
    <row r="1852" customFormat="false" ht="13.5" hidden="false" customHeight="false" outlineLevel="0" collapsed="false">
      <c r="A1852" s="0" t="str">
        <f aca="false">IFERROR(INDEX(原料入库计价!$B$909:$B$1028,ROW()-1805),"")</f>
        <v/>
      </c>
      <c r="B1852" s="0" t="n">
        <f aca="false">IF(A1852="",0,IF(MATCH(A1852,$A$4:$A$1925,0)=ROW()-3,1,0))</f>
        <v>0</v>
      </c>
      <c r="C1852" s="0" t="n">
        <f aca="false">N(C1851)+B1852</f>
        <v>20</v>
      </c>
    </row>
    <row r="1853" customFormat="false" ht="13.5" hidden="false" customHeight="false" outlineLevel="0" collapsed="false">
      <c r="A1853" s="0" t="str">
        <f aca="false">IFERROR(INDEX(原料入库计价!$B$909:$B$1028,ROW()-1805),"")</f>
        <v/>
      </c>
      <c r="B1853" s="0" t="n">
        <f aca="false">IF(A1853="",0,IF(MATCH(A1853,$A$4:$A$1925,0)=ROW()-3,1,0))</f>
        <v>0</v>
      </c>
      <c r="C1853" s="0" t="n">
        <f aca="false">N(C1852)+B1853</f>
        <v>20</v>
      </c>
    </row>
    <row r="1854" customFormat="false" ht="13.5" hidden="false" customHeight="false" outlineLevel="0" collapsed="false">
      <c r="A1854" s="0" t="str">
        <f aca="false">IFERROR(INDEX(原料入库计价!$B$909:$B$1028,ROW()-1805),"")</f>
        <v/>
      </c>
      <c r="B1854" s="0" t="n">
        <f aca="false">IF(A1854="",0,IF(MATCH(A1854,$A$4:$A$1925,0)=ROW()-3,1,0))</f>
        <v>0</v>
      </c>
      <c r="C1854" s="0" t="n">
        <f aca="false">N(C1853)+B1854</f>
        <v>20</v>
      </c>
    </row>
    <row r="1855" customFormat="false" ht="13.5" hidden="false" customHeight="false" outlineLevel="0" collapsed="false">
      <c r="A1855" s="0" t="str">
        <f aca="false">IFERROR(INDEX(原料入库计价!$B$909:$B$1028,ROW()-1805),"")</f>
        <v/>
      </c>
      <c r="B1855" s="0" t="n">
        <f aca="false">IF(A1855="",0,IF(MATCH(A1855,$A$4:$A$1925,0)=ROW()-3,1,0))</f>
        <v>0</v>
      </c>
      <c r="C1855" s="0" t="n">
        <f aca="false">N(C1854)+B1855</f>
        <v>20</v>
      </c>
    </row>
    <row r="1856" customFormat="false" ht="13.5" hidden="false" customHeight="false" outlineLevel="0" collapsed="false">
      <c r="A1856" s="0" t="str">
        <f aca="false">IFERROR(INDEX(原料入库计价!$B$909:$B$1028,ROW()-1805),"")</f>
        <v/>
      </c>
      <c r="B1856" s="0" t="n">
        <f aca="false">IF(A1856="",0,IF(MATCH(A1856,$A$4:$A$1925,0)=ROW()-3,1,0))</f>
        <v>0</v>
      </c>
      <c r="C1856" s="0" t="n">
        <f aca="false">N(C1855)+B1856</f>
        <v>20</v>
      </c>
    </row>
    <row r="1857" customFormat="false" ht="13.5" hidden="false" customHeight="false" outlineLevel="0" collapsed="false">
      <c r="A1857" s="0" t="str">
        <f aca="false">IFERROR(INDEX(原料入库计价!$B$909:$B$1028,ROW()-1805),"")</f>
        <v/>
      </c>
      <c r="B1857" s="0" t="n">
        <f aca="false">IF(A1857="",0,IF(MATCH(A1857,$A$4:$A$1925,0)=ROW()-3,1,0))</f>
        <v>0</v>
      </c>
      <c r="C1857" s="0" t="n">
        <f aca="false">N(C1856)+B1857</f>
        <v>20</v>
      </c>
    </row>
    <row r="1858" customFormat="false" ht="13.5" hidden="false" customHeight="false" outlineLevel="0" collapsed="false">
      <c r="A1858" s="0" t="str">
        <f aca="false">IFERROR(INDEX(原料入库计价!$B$909:$B$1028,ROW()-1805),"")</f>
        <v/>
      </c>
      <c r="B1858" s="0" t="n">
        <f aca="false">IF(A1858="",0,IF(MATCH(A1858,$A$4:$A$1925,0)=ROW()-3,1,0))</f>
        <v>0</v>
      </c>
      <c r="C1858" s="0" t="n">
        <f aca="false">N(C1857)+B1858</f>
        <v>20</v>
      </c>
    </row>
    <row r="1859" customFormat="false" ht="13.5" hidden="false" customHeight="false" outlineLevel="0" collapsed="false">
      <c r="A1859" s="0" t="str">
        <f aca="false">IFERROR(INDEX(原料入库计价!$B$909:$B$1028,ROW()-1805),"")</f>
        <v/>
      </c>
      <c r="B1859" s="0" t="n">
        <f aca="false">IF(A1859="",0,IF(MATCH(A1859,$A$4:$A$1925,0)=ROW()-3,1,0))</f>
        <v>0</v>
      </c>
      <c r="C1859" s="0" t="n">
        <f aca="false">N(C1858)+B1859</f>
        <v>20</v>
      </c>
    </row>
    <row r="1860" customFormat="false" ht="13.5" hidden="false" customHeight="false" outlineLevel="0" collapsed="false">
      <c r="A1860" s="0" t="str">
        <f aca="false">IFERROR(INDEX(原料入库计价!$B$909:$B$1028,ROW()-1805),"")</f>
        <v/>
      </c>
      <c r="B1860" s="0" t="n">
        <f aca="false">IF(A1860="",0,IF(MATCH(A1860,$A$4:$A$1925,0)=ROW()-3,1,0))</f>
        <v>0</v>
      </c>
      <c r="C1860" s="0" t="n">
        <f aca="false">N(C1859)+B1860</f>
        <v>20</v>
      </c>
    </row>
    <row r="1861" customFormat="false" ht="13.5" hidden="false" customHeight="false" outlineLevel="0" collapsed="false">
      <c r="A1861" s="0" t="str">
        <f aca="false">IFERROR(INDEX(原料入库计价!$B$909:$B$1028,ROW()-1805),"")</f>
        <v/>
      </c>
      <c r="B1861" s="0" t="n">
        <f aca="false">IF(A1861="",0,IF(MATCH(A1861,$A$4:$A$1925,0)=ROW()-3,1,0))</f>
        <v>0</v>
      </c>
      <c r="C1861" s="0" t="n">
        <f aca="false">N(C1860)+B1861</f>
        <v>20</v>
      </c>
    </row>
    <row r="1862" customFormat="false" ht="13.5" hidden="false" customHeight="false" outlineLevel="0" collapsed="false">
      <c r="A1862" s="0" t="str">
        <f aca="false">IFERROR(INDEX(原料入库计价!$B$909:$B$1028,ROW()-1805),"")</f>
        <v/>
      </c>
      <c r="B1862" s="0" t="n">
        <f aca="false">IF(A1862="",0,IF(MATCH(A1862,$A$4:$A$1925,0)=ROW()-3,1,0))</f>
        <v>0</v>
      </c>
      <c r="C1862" s="0" t="n">
        <f aca="false">N(C1861)+B1862</f>
        <v>20</v>
      </c>
    </row>
    <row r="1863" customFormat="false" ht="13.5" hidden="false" customHeight="false" outlineLevel="0" collapsed="false">
      <c r="A1863" s="0" t="str">
        <f aca="false">IFERROR(INDEX(原料入库计价!$B$909:$B$1028,ROW()-1805),"")</f>
        <v/>
      </c>
      <c r="B1863" s="0" t="n">
        <f aca="false">IF(A1863="",0,IF(MATCH(A1863,$A$4:$A$1925,0)=ROW()-3,1,0))</f>
        <v>0</v>
      </c>
      <c r="C1863" s="0" t="n">
        <f aca="false">N(C1862)+B1863</f>
        <v>20</v>
      </c>
    </row>
    <row r="1864" customFormat="false" ht="13.5" hidden="false" customHeight="false" outlineLevel="0" collapsed="false">
      <c r="A1864" s="0" t="str">
        <f aca="false">IFERROR(INDEX(原料入库计价!$B$909:$B$1028,ROW()-1805),"")</f>
        <v/>
      </c>
      <c r="B1864" s="0" t="n">
        <f aca="false">IF(A1864="",0,IF(MATCH(A1864,$A$4:$A$1925,0)=ROW()-3,1,0))</f>
        <v>0</v>
      </c>
      <c r="C1864" s="0" t="n">
        <f aca="false">N(C1863)+B1864</f>
        <v>20</v>
      </c>
    </row>
    <row r="1865" customFormat="false" ht="13.5" hidden="false" customHeight="false" outlineLevel="0" collapsed="false">
      <c r="A1865" s="0" t="str">
        <f aca="false">IFERROR(INDEX(原料入库计价!$B$909:$B$1028,ROW()-1805),"")</f>
        <v/>
      </c>
      <c r="B1865" s="0" t="n">
        <f aca="false">IF(A1865="",0,IF(MATCH(A1865,$A$4:$A$1925,0)=ROW()-3,1,0))</f>
        <v>0</v>
      </c>
      <c r="C1865" s="0" t="n">
        <f aca="false">N(C1864)+B1865</f>
        <v>20</v>
      </c>
    </row>
    <row r="1866" customFormat="false" ht="13.5" hidden="false" customHeight="false" outlineLevel="0" collapsed="false">
      <c r="A1866" s="0" t="str">
        <f aca="false">IFERROR(INDEX(原料入库计价!$B$909:$B$1028,ROW()-1805),"")</f>
        <v/>
      </c>
      <c r="B1866" s="0" t="n">
        <f aca="false">IF(A1866="",0,IF(MATCH(A1866,$A$4:$A$1925,0)=ROW()-3,1,0))</f>
        <v>0</v>
      </c>
      <c r="C1866" s="0" t="n">
        <f aca="false">N(C1865)+B1866</f>
        <v>20</v>
      </c>
    </row>
    <row r="1867" customFormat="false" ht="13.5" hidden="false" customHeight="false" outlineLevel="0" collapsed="false">
      <c r="A1867" s="0" t="str">
        <f aca="false">IFERROR(INDEX(原料入库计价!$B$909:$B$1028,ROW()-1805),"")</f>
        <v/>
      </c>
      <c r="B1867" s="0" t="n">
        <f aca="false">IF(A1867="",0,IF(MATCH(A1867,$A$4:$A$1925,0)=ROW()-3,1,0))</f>
        <v>0</v>
      </c>
      <c r="C1867" s="0" t="n">
        <f aca="false">N(C1866)+B1867</f>
        <v>20</v>
      </c>
    </row>
    <row r="1868" customFormat="false" ht="13.5" hidden="false" customHeight="false" outlineLevel="0" collapsed="false">
      <c r="A1868" s="0" t="str">
        <f aca="false">IFERROR(INDEX(原料入库计价!$B$909:$B$1028,ROW()-1805),"")</f>
        <v/>
      </c>
      <c r="B1868" s="0" t="n">
        <f aca="false">IF(A1868="",0,IF(MATCH(A1868,$A$4:$A$1925,0)=ROW()-3,1,0))</f>
        <v>0</v>
      </c>
      <c r="C1868" s="0" t="n">
        <f aca="false">N(C1867)+B1868</f>
        <v>20</v>
      </c>
    </row>
    <row r="1869" customFormat="false" ht="13.5" hidden="false" customHeight="false" outlineLevel="0" collapsed="false">
      <c r="A1869" s="0" t="str">
        <f aca="false">IFERROR(INDEX(原料入库计价!$B$909:$B$1028,ROW()-1805),"")</f>
        <v/>
      </c>
      <c r="B1869" s="0" t="n">
        <f aca="false">IF(A1869="",0,IF(MATCH(A1869,$A$4:$A$1925,0)=ROW()-3,1,0))</f>
        <v>0</v>
      </c>
      <c r="C1869" s="0" t="n">
        <f aca="false">N(C1868)+B1869</f>
        <v>20</v>
      </c>
    </row>
    <row r="1870" customFormat="false" ht="13.5" hidden="false" customHeight="false" outlineLevel="0" collapsed="false">
      <c r="A1870" s="0" t="str">
        <f aca="false">IFERROR(INDEX(原料入库计价!$B$909:$B$1028,ROW()-1805),"")</f>
        <v/>
      </c>
      <c r="B1870" s="0" t="n">
        <f aca="false">IF(A1870="",0,IF(MATCH(A1870,$A$4:$A$1925,0)=ROW()-3,1,0))</f>
        <v>0</v>
      </c>
      <c r="C1870" s="0" t="n">
        <f aca="false">N(C1869)+B1870</f>
        <v>20</v>
      </c>
    </row>
    <row r="1871" customFormat="false" ht="13.5" hidden="false" customHeight="false" outlineLevel="0" collapsed="false">
      <c r="A1871" s="0" t="str">
        <f aca="false">IFERROR(INDEX(原料入库计价!$B$909:$B$1028,ROW()-1805),"")</f>
        <v/>
      </c>
      <c r="B1871" s="0" t="n">
        <f aca="false">IF(A1871="",0,IF(MATCH(A1871,$A$4:$A$1925,0)=ROW()-3,1,0))</f>
        <v>0</v>
      </c>
      <c r="C1871" s="0" t="n">
        <f aca="false">N(C1870)+B1871</f>
        <v>20</v>
      </c>
    </row>
    <row r="1872" customFormat="false" ht="13.5" hidden="false" customHeight="false" outlineLevel="0" collapsed="false">
      <c r="A1872" s="0" t="str">
        <f aca="false">IFERROR(INDEX(原料入库计价!$B$909:$B$1028,ROW()-1805),"")</f>
        <v/>
      </c>
      <c r="B1872" s="0" t="n">
        <f aca="false">IF(A1872="",0,IF(MATCH(A1872,$A$4:$A$1925,0)=ROW()-3,1,0))</f>
        <v>0</v>
      </c>
      <c r="C1872" s="0" t="n">
        <f aca="false">N(C1871)+B1872</f>
        <v>20</v>
      </c>
    </row>
    <row r="1873" customFormat="false" ht="13.5" hidden="false" customHeight="false" outlineLevel="0" collapsed="false">
      <c r="A1873" s="0" t="str">
        <f aca="false">IFERROR(INDEX(原料入库计价!$B$909:$B$1028,ROW()-1805),"")</f>
        <v/>
      </c>
      <c r="B1873" s="0" t="n">
        <f aca="false">IF(A1873="",0,IF(MATCH(A1873,$A$4:$A$1925,0)=ROW()-3,1,0))</f>
        <v>0</v>
      </c>
      <c r="C1873" s="0" t="n">
        <f aca="false">N(C1872)+B1873</f>
        <v>20</v>
      </c>
    </row>
    <row r="1874" customFormat="false" ht="13.5" hidden="false" customHeight="false" outlineLevel="0" collapsed="false">
      <c r="A1874" s="0" t="str">
        <f aca="false">IFERROR(INDEX(原料入库计价!$B$909:$B$1028,ROW()-1805),"")</f>
        <v/>
      </c>
      <c r="B1874" s="0" t="n">
        <f aca="false">IF(A1874="",0,IF(MATCH(A1874,$A$4:$A$1925,0)=ROW()-3,1,0))</f>
        <v>0</v>
      </c>
      <c r="C1874" s="0" t="n">
        <f aca="false">N(C1873)+B1874</f>
        <v>20</v>
      </c>
    </row>
    <row r="1875" customFormat="false" ht="13.5" hidden="false" customHeight="false" outlineLevel="0" collapsed="false">
      <c r="A1875" s="0" t="str">
        <f aca="false">IFERROR(INDEX(原料入库计价!$B$909:$B$1028,ROW()-1805),"")</f>
        <v/>
      </c>
      <c r="B1875" s="0" t="n">
        <f aca="false">IF(A1875="",0,IF(MATCH(A1875,$A$4:$A$1925,0)=ROW()-3,1,0))</f>
        <v>0</v>
      </c>
      <c r="C1875" s="0" t="n">
        <f aca="false">N(C1874)+B1875</f>
        <v>20</v>
      </c>
    </row>
    <row r="1876" customFormat="false" ht="13.5" hidden="false" customHeight="false" outlineLevel="0" collapsed="false">
      <c r="A1876" s="0" t="str">
        <f aca="false">IFERROR(INDEX(原料入库计价!$B$909:$B$1028,ROW()-1805),"")</f>
        <v/>
      </c>
      <c r="B1876" s="0" t="n">
        <f aca="false">IF(A1876="",0,IF(MATCH(A1876,$A$4:$A$1925,0)=ROW()-3,1,0))</f>
        <v>0</v>
      </c>
      <c r="C1876" s="0" t="n">
        <f aca="false">N(C1875)+B1876</f>
        <v>20</v>
      </c>
    </row>
    <row r="1877" customFormat="false" ht="13.5" hidden="false" customHeight="false" outlineLevel="0" collapsed="false">
      <c r="A1877" s="0" t="str">
        <f aca="false">IFERROR(INDEX(原料入库计价!$B$909:$B$1028,ROW()-1805),"")</f>
        <v/>
      </c>
      <c r="B1877" s="0" t="n">
        <f aca="false">IF(A1877="",0,IF(MATCH(A1877,$A$4:$A$1925,0)=ROW()-3,1,0))</f>
        <v>0</v>
      </c>
      <c r="C1877" s="0" t="n">
        <f aca="false">N(C1876)+B1877</f>
        <v>20</v>
      </c>
    </row>
    <row r="1878" customFormat="false" ht="13.5" hidden="false" customHeight="false" outlineLevel="0" collapsed="false">
      <c r="A1878" s="0" t="str">
        <f aca="false">IFERROR(INDEX(原料入库计价!$B$909:$B$1028,ROW()-1805),"")</f>
        <v/>
      </c>
      <c r="B1878" s="0" t="n">
        <f aca="false">IF(A1878="",0,IF(MATCH(A1878,$A$4:$A$1925,0)=ROW()-3,1,0))</f>
        <v>0</v>
      </c>
      <c r="C1878" s="0" t="n">
        <f aca="false">N(C1877)+B1878</f>
        <v>20</v>
      </c>
    </row>
    <row r="1879" customFormat="false" ht="13.5" hidden="false" customHeight="false" outlineLevel="0" collapsed="false">
      <c r="A1879" s="0" t="str">
        <f aca="false">IFERROR(INDEX(原料入库计价!$B$909:$B$1028,ROW()-1805),"")</f>
        <v/>
      </c>
      <c r="B1879" s="0" t="n">
        <f aca="false">IF(A1879="",0,IF(MATCH(A1879,$A$4:$A$1925,0)=ROW()-3,1,0))</f>
        <v>0</v>
      </c>
      <c r="C1879" s="0" t="n">
        <f aca="false">N(C1878)+B1879</f>
        <v>20</v>
      </c>
    </row>
    <row r="1880" customFormat="false" ht="13.5" hidden="false" customHeight="false" outlineLevel="0" collapsed="false">
      <c r="A1880" s="0" t="str">
        <f aca="false">IFERROR(INDEX(原料入库计价!$B$909:$B$1028,ROW()-1805),"")</f>
        <v/>
      </c>
      <c r="B1880" s="0" t="n">
        <f aca="false">IF(A1880="",0,IF(MATCH(A1880,$A$4:$A$1925,0)=ROW()-3,1,0))</f>
        <v>0</v>
      </c>
      <c r="C1880" s="0" t="n">
        <f aca="false">N(C1879)+B1880</f>
        <v>20</v>
      </c>
    </row>
    <row r="1881" customFormat="false" ht="13.5" hidden="false" customHeight="false" outlineLevel="0" collapsed="false">
      <c r="A1881" s="0" t="str">
        <f aca="false">IFERROR(INDEX(原料入库计价!$B$909:$B$1028,ROW()-1805),"")</f>
        <v/>
      </c>
      <c r="B1881" s="0" t="n">
        <f aca="false">IF(A1881="",0,IF(MATCH(A1881,$A$4:$A$1925,0)=ROW()-3,1,0))</f>
        <v>0</v>
      </c>
      <c r="C1881" s="0" t="n">
        <f aca="false">N(C1880)+B1881</f>
        <v>20</v>
      </c>
    </row>
    <row r="1882" customFormat="false" ht="13.5" hidden="false" customHeight="false" outlineLevel="0" collapsed="false">
      <c r="A1882" s="0" t="str">
        <f aca="false">IFERROR(INDEX(原料入库计价!$B$909:$B$1028,ROW()-1805),"")</f>
        <v/>
      </c>
      <c r="B1882" s="0" t="n">
        <f aca="false">IF(A1882="",0,IF(MATCH(A1882,$A$4:$A$1925,0)=ROW()-3,1,0))</f>
        <v>0</v>
      </c>
      <c r="C1882" s="0" t="n">
        <f aca="false">N(C1881)+B1882</f>
        <v>20</v>
      </c>
    </row>
    <row r="1883" customFormat="false" ht="13.5" hidden="false" customHeight="false" outlineLevel="0" collapsed="false">
      <c r="A1883" s="0" t="str">
        <f aca="false">IFERROR(INDEX(原料入库计价!$B$909:$B$1028,ROW()-1805),"")</f>
        <v/>
      </c>
      <c r="B1883" s="0" t="n">
        <f aca="false">IF(A1883="",0,IF(MATCH(A1883,$A$4:$A$1925,0)=ROW()-3,1,0))</f>
        <v>0</v>
      </c>
      <c r="C1883" s="0" t="n">
        <f aca="false">N(C1882)+B1883</f>
        <v>20</v>
      </c>
    </row>
    <row r="1884" customFormat="false" ht="13.5" hidden="false" customHeight="false" outlineLevel="0" collapsed="false">
      <c r="A1884" s="0" t="str">
        <f aca="false">IFERROR(INDEX(原料入库计价!$B$909:$B$1028,ROW()-1805),"")</f>
        <v/>
      </c>
      <c r="B1884" s="0" t="n">
        <f aca="false">IF(A1884="",0,IF(MATCH(A1884,$A$4:$A$1925,0)=ROW()-3,1,0))</f>
        <v>0</v>
      </c>
      <c r="C1884" s="0" t="n">
        <f aca="false">N(C1883)+B1884</f>
        <v>20</v>
      </c>
    </row>
    <row r="1885" customFormat="false" ht="13.5" hidden="false" customHeight="false" outlineLevel="0" collapsed="false">
      <c r="A1885" s="0" t="str">
        <f aca="false">IFERROR(INDEX(原料入库计价!$B$909:$B$1028,ROW()-1805),"")</f>
        <v/>
      </c>
      <c r="B1885" s="0" t="n">
        <f aca="false">IF(A1885="",0,IF(MATCH(A1885,$A$4:$A$1925,0)=ROW()-3,1,0))</f>
        <v>0</v>
      </c>
      <c r="C1885" s="0" t="n">
        <f aca="false">N(C1884)+B1885</f>
        <v>20</v>
      </c>
    </row>
    <row r="1886" customFormat="false" ht="13.5" hidden="false" customHeight="false" outlineLevel="0" collapsed="false">
      <c r="A1886" s="0" t="str">
        <f aca="false">IFERROR(INDEX(原料入库计价!$B$909:$B$1028,ROW()-1805),"")</f>
        <v/>
      </c>
      <c r="B1886" s="0" t="n">
        <f aca="false">IF(A1886="",0,IF(MATCH(A1886,$A$4:$A$1925,0)=ROW()-3,1,0))</f>
        <v>0</v>
      </c>
      <c r="C1886" s="0" t="n">
        <f aca="false">N(C1885)+B1886</f>
        <v>20</v>
      </c>
    </row>
    <row r="1887" customFormat="false" ht="13.5" hidden="false" customHeight="false" outlineLevel="0" collapsed="false">
      <c r="A1887" s="0" t="str">
        <f aca="false">IFERROR(INDEX(原料入库计价!$B$909:$B$1028,ROW()-1805),"")</f>
        <v/>
      </c>
      <c r="B1887" s="0" t="n">
        <f aca="false">IF(A1887="",0,IF(MATCH(A1887,$A$4:$A$1925,0)=ROW()-3,1,0))</f>
        <v>0</v>
      </c>
      <c r="C1887" s="0" t="n">
        <f aca="false">N(C1886)+B1887</f>
        <v>20</v>
      </c>
    </row>
    <row r="1888" customFormat="false" ht="13.5" hidden="false" customHeight="false" outlineLevel="0" collapsed="false">
      <c r="A1888" s="0" t="str">
        <f aca="false">IFERROR(INDEX(原料入库计价!$B$909:$B$1028,ROW()-1805),"")</f>
        <v/>
      </c>
      <c r="B1888" s="0" t="n">
        <f aca="false">IF(A1888="",0,IF(MATCH(A1888,$A$4:$A$1925,0)=ROW()-3,1,0))</f>
        <v>0</v>
      </c>
      <c r="C1888" s="0" t="n">
        <f aca="false">N(C1887)+B1888</f>
        <v>20</v>
      </c>
    </row>
    <row r="1889" customFormat="false" ht="13.5" hidden="false" customHeight="false" outlineLevel="0" collapsed="false">
      <c r="A1889" s="0" t="str">
        <f aca="false">IFERROR(INDEX(原料入库计价!$B$909:$B$1028,ROW()-1805),"")</f>
        <v/>
      </c>
      <c r="B1889" s="0" t="n">
        <f aca="false">IF(A1889="",0,IF(MATCH(A1889,$A$4:$A$1925,0)=ROW()-3,1,0))</f>
        <v>0</v>
      </c>
      <c r="C1889" s="0" t="n">
        <f aca="false">N(C1888)+B1889</f>
        <v>20</v>
      </c>
    </row>
    <row r="1890" customFormat="false" ht="13.5" hidden="false" customHeight="false" outlineLevel="0" collapsed="false">
      <c r="A1890" s="0" t="str">
        <f aca="false">IFERROR(INDEX(原料入库计价!$B$909:$B$1028,ROW()-1805),"")</f>
        <v/>
      </c>
      <c r="B1890" s="0" t="n">
        <f aca="false">IF(A1890="",0,IF(MATCH(A1890,$A$4:$A$1925,0)=ROW()-3,1,0))</f>
        <v>0</v>
      </c>
      <c r="C1890" s="0" t="n">
        <f aca="false">N(C1889)+B1890</f>
        <v>20</v>
      </c>
    </row>
    <row r="1891" customFormat="false" ht="13.5" hidden="false" customHeight="false" outlineLevel="0" collapsed="false">
      <c r="A1891" s="0" t="str">
        <f aca="false">IFERROR(INDEX(原料入库计价!$B$909:$B$1028,ROW()-1805),"")</f>
        <v/>
      </c>
      <c r="B1891" s="0" t="n">
        <f aca="false">IF(A1891="",0,IF(MATCH(A1891,$A$4:$A$1925,0)=ROW()-3,1,0))</f>
        <v>0</v>
      </c>
      <c r="C1891" s="0" t="n">
        <f aca="false">N(C1890)+B1891</f>
        <v>20</v>
      </c>
    </row>
    <row r="1892" customFormat="false" ht="13.5" hidden="false" customHeight="false" outlineLevel="0" collapsed="false">
      <c r="A1892" s="0" t="str">
        <f aca="false">IFERROR(INDEX(原料入库计价!$B$909:$B$1028,ROW()-1805),"")</f>
        <v/>
      </c>
      <c r="B1892" s="0" t="n">
        <f aca="false">IF(A1892="",0,IF(MATCH(A1892,$A$4:$A$1925,0)=ROW()-3,1,0))</f>
        <v>0</v>
      </c>
      <c r="C1892" s="0" t="n">
        <f aca="false">N(C1891)+B1892</f>
        <v>20</v>
      </c>
    </row>
    <row r="1893" customFormat="false" ht="13.5" hidden="false" customHeight="false" outlineLevel="0" collapsed="false">
      <c r="A1893" s="0" t="str">
        <f aca="false">IFERROR(INDEX(原料入库计价!$B$909:$B$1028,ROW()-1805),"")</f>
        <v/>
      </c>
      <c r="B1893" s="0" t="n">
        <f aca="false">IF(A1893="",0,IF(MATCH(A1893,$A$4:$A$1925,0)=ROW()-3,1,0))</f>
        <v>0</v>
      </c>
      <c r="C1893" s="0" t="n">
        <f aca="false">N(C1892)+B1893</f>
        <v>20</v>
      </c>
    </row>
    <row r="1894" customFormat="false" ht="13.5" hidden="false" customHeight="false" outlineLevel="0" collapsed="false">
      <c r="A1894" s="0" t="str">
        <f aca="false">IFERROR(INDEX(原料入库计价!$B$909:$B$1028,ROW()-1805),"")</f>
        <v/>
      </c>
      <c r="B1894" s="0" t="n">
        <f aca="false">IF(A1894="",0,IF(MATCH(A1894,$A$4:$A$1925,0)=ROW()-3,1,0))</f>
        <v>0</v>
      </c>
      <c r="C1894" s="0" t="n">
        <f aca="false">N(C1893)+B1894</f>
        <v>20</v>
      </c>
    </row>
    <row r="1895" customFormat="false" ht="13.5" hidden="false" customHeight="false" outlineLevel="0" collapsed="false">
      <c r="A1895" s="0" t="str">
        <f aca="false">IFERROR(INDEX(原料入库计价!$B$909:$B$1028,ROW()-1805),"")</f>
        <v/>
      </c>
      <c r="B1895" s="0" t="n">
        <f aca="false">IF(A1895="",0,IF(MATCH(A1895,$A$4:$A$1925,0)=ROW()-3,1,0))</f>
        <v>0</v>
      </c>
      <c r="C1895" s="0" t="n">
        <f aca="false">N(C1894)+B1895</f>
        <v>20</v>
      </c>
    </row>
    <row r="1896" customFormat="false" ht="13.5" hidden="false" customHeight="false" outlineLevel="0" collapsed="false">
      <c r="A1896" s="0" t="str">
        <f aca="false">IFERROR(INDEX(原料入库计价!$B$909:$B$1028,ROW()-1805),"")</f>
        <v/>
      </c>
      <c r="B1896" s="0" t="n">
        <f aca="false">IF(A1896="",0,IF(MATCH(A1896,$A$4:$A$1925,0)=ROW()-3,1,0))</f>
        <v>0</v>
      </c>
      <c r="C1896" s="0" t="n">
        <f aca="false">N(C1895)+B1896</f>
        <v>20</v>
      </c>
    </row>
    <row r="1897" customFormat="false" ht="13.5" hidden="false" customHeight="false" outlineLevel="0" collapsed="false">
      <c r="A1897" s="0" t="str">
        <f aca="false">IFERROR(INDEX(原料入库计价!$B$909:$B$1028,ROW()-1805),"")</f>
        <v/>
      </c>
      <c r="B1897" s="0" t="n">
        <f aca="false">IF(A1897="",0,IF(MATCH(A1897,$A$4:$A$1925,0)=ROW()-3,1,0))</f>
        <v>0</v>
      </c>
      <c r="C1897" s="0" t="n">
        <f aca="false">N(C1896)+B1897</f>
        <v>20</v>
      </c>
    </row>
    <row r="1898" customFormat="false" ht="13.5" hidden="false" customHeight="false" outlineLevel="0" collapsed="false">
      <c r="A1898" s="0" t="str">
        <f aca="false">IFERROR(INDEX(原料入库计价!$B$909:$B$1028,ROW()-1805),"")</f>
        <v/>
      </c>
      <c r="B1898" s="0" t="n">
        <f aca="false">IF(A1898="",0,IF(MATCH(A1898,$A$4:$A$1925,0)=ROW()-3,1,0))</f>
        <v>0</v>
      </c>
      <c r="C1898" s="0" t="n">
        <f aca="false">N(C1897)+B1898</f>
        <v>20</v>
      </c>
    </row>
    <row r="1899" customFormat="false" ht="13.5" hidden="false" customHeight="false" outlineLevel="0" collapsed="false">
      <c r="A1899" s="0" t="str">
        <f aca="false">IFERROR(INDEX(原料入库计价!$B$909:$B$1028,ROW()-1805),"")</f>
        <v/>
      </c>
      <c r="B1899" s="0" t="n">
        <f aca="false">IF(A1899="",0,IF(MATCH(A1899,$A$4:$A$1925,0)=ROW()-3,1,0))</f>
        <v>0</v>
      </c>
      <c r="C1899" s="0" t="n">
        <f aca="false">N(C1898)+B1899</f>
        <v>20</v>
      </c>
    </row>
    <row r="1900" customFormat="false" ht="13.5" hidden="false" customHeight="false" outlineLevel="0" collapsed="false">
      <c r="A1900" s="0" t="str">
        <f aca="false">IFERROR(INDEX(原料入库计价!$B$909:$B$1028,ROW()-1805),"")</f>
        <v/>
      </c>
      <c r="B1900" s="0" t="n">
        <f aca="false">IF(A1900="",0,IF(MATCH(A1900,$A$4:$A$1925,0)=ROW()-3,1,0))</f>
        <v>0</v>
      </c>
      <c r="C1900" s="0" t="n">
        <f aca="false">N(C1899)+B1900</f>
        <v>20</v>
      </c>
    </row>
    <row r="1901" customFormat="false" ht="13.5" hidden="false" customHeight="false" outlineLevel="0" collapsed="false">
      <c r="A1901" s="0" t="str">
        <f aca="false">IFERROR(INDEX(原料入库计价!$B$909:$B$1028,ROW()-1805),"")</f>
        <v/>
      </c>
      <c r="B1901" s="0" t="n">
        <f aca="false">IF(A1901="",0,IF(MATCH(A1901,$A$4:$A$1925,0)=ROW()-3,1,0))</f>
        <v>0</v>
      </c>
      <c r="C1901" s="0" t="n">
        <f aca="false">N(C1900)+B1901</f>
        <v>20</v>
      </c>
    </row>
    <row r="1902" customFormat="false" ht="13.5" hidden="false" customHeight="false" outlineLevel="0" collapsed="false">
      <c r="A1902" s="0" t="str">
        <f aca="false">IFERROR(INDEX(原料入库计价!$B$909:$B$1028,ROW()-1805),"")</f>
        <v/>
      </c>
      <c r="B1902" s="0" t="n">
        <f aca="false">IF(A1902="",0,IF(MATCH(A1902,$A$4:$A$1925,0)=ROW()-3,1,0))</f>
        <v>0</v>
      </c>
      <c r="C1902" s="0" t="n">
        <f aca="false">N(C1901)+B1902</f>
        <v>20</v>
      </c>
    </row>
    <row r="1903" customFormat="false" ht="13.5" hidden="false" customHeight="false" outlineLevel="0" collapsed="false">
      <c r="A1903" s="0" t="str">
        <f aca="false">IFERROR(INDEX(原料入库计价!$B$909:$B$1028,ROW()-1805),"")</f>
        <v/>
      </c>
      <c r="B1903" s="0" t="n">
        <f aca="false">IF(A1903="",0,IF(MATCH(A1903,$A$4:$A$1925,0)=ROW()-3,1,0))</f>
        <v>0</v>
      </c>
      <c r="C1903" s="0" t="n">
        <f aca="false">N(C1902)+B1903</f>
        <v>20</v>
      </c>
    </row>
    <row r="1904" customFormat="false" ht="13.5" hidden="false" customHeight="false" outlineLevel="0" collapsed="false">
      <c r="A1904" s="0" t="str">
        <f aca="false">IFERROR(INDEX(原料入库计价!$B$909:$B$1028,ROW()-1805),"")</f>
        <v/>
      </c>
      <c r="B1904" s="0" t="n">
        <f aca="false">IF(A1904="",0,IF(MATCH(A1904,$A$4:$A$1925,0)=ROW()-3,1,0))</f>
        <v>0</v>
      </c>
      <c r="C1904" s="0" t="n">
        <f aca="false">N(C1903)+B1904</f>
        <v>20</v>
      </c>
    </row>
    <row r="1905" customFormat="false" ht="13.5" hidden="false" customHeight="false" outlineLevel="0" collapsed="false">
      <c r="A1905" s="0" t="str">
        <f aca="false">IFERROR(INDEX(原料入库计价!$B$909:$B$1028,ROW()-1805),"")</f>
        <v/>
      </c>
      <c r="B1905" s="0" t="n">
        <f aca="false">IF(A1905="",0,IF(MATCH(A1905,$A$4:$A$1925,0)=ROW()-3,1,0))</f>
        <v>0</v>
      </c>
      <c r="C1905" s="0" t="n">
        <f aca="false">N(C1904)+B1905</f>
        <v>20</v>
      </c>
    </row>
    <row r="1906" customFormat="false" ht="13.5" hidden="false" customHeight="false" outlineLevel="0" collapsed="false">
      <c r="A1906" s="0" t="str">
        <f aca="false">IFERROR(INDEX(原料入库计价!$B$909:$B$1028,ROW()-1805),"")</f>
        <v/>
      </c>
      <c r="B1906" s="0" t="n">
        <f aca="false">IF(A1906="",0,IF(MATCH(A1906,$A$4:$A$1925,0)=ROW()-3,1,0))</f>
        <v>0</v>
      </c>
      <c r="C1906" s="0" t="n">
        <f aca="false">N(C1905)+B1906</f>
        <v>20</v>
      </c>
    </row>
    <row r="1907" customFormat="false" ht="13.5" hidden="false" customHeight="false" outlineLevel="0" collapsed="false">
      <c r="A1907" s="0" t="str">
        <f aca="false">IFERROR(INDEX(原料入库计价!$B$909:$B$1028,ROW()-1805),"")</f>
        <v/>
      </c>
      <c r="B1907" s="0" t="n">
        <f aca="false">IF(A1907="",0,IF(MATCH(A1907,$A$4:$A$1925,0)=ROW()-3,1,0))</f>
        <v>0</v>
      </c>
      <c r="C1907" s="0" t="n">
        <f aca="false">N(C1906)+B1907</f>
        <v>20</v>
      </c>
    </row>
    <row r="1908" customFormat="false" ht="13.5" hidden="false" customHeight="false" outlineLevel="0" collapsed="false">
      <c r="A1908" s="0" t="str">
        <f aca="false">IFERROR(INDEX(原料入库计价!$B$909:$B$1028,ROW()-1805),"")</f>
        <v/>
      </c>
      <c r="B1908" s="0" t="n">
        <f aca="false">IF(A1908="",0,IF(MATCH(A1908,$A$4:$A$1925,0)=ROW()-3,1,0))</f>
        <v>0</v>
      </c>
      <c r="C1908" s="0" t="n">
        <f aca="false">N(C1907)+B1908</f>
        <v>20</v>
      </c>
    </row>
    <row r="1909" customFormat="false" ht="13.5" hidden="false" customHeight="false" outlineLevel="0" collapsed="false">
      <c r="A1909" s="0" t="str">
        <f aca="false">IFERROR(INDEX(原料入库计价!$B$909:$B$1028,ROW()-1805),"")</f>
        <v/>
      </c>
      <c r="B1909" s="0" t="n">
        <f aca="false">IF(A1909="",0,IF(MATCH(A1909,$A$4:$A$1925,0)=ROW()-3,1,0))</f>
        <v>0</v>
      </c>
      <c r="C1909" s="0" t="n">
        <f aca="false">N(C1908)+B1909</f>
        <v>20</v>
      </c>
    </row>
    <row r="1910" customFormat="false" ht="13.5" hidden="false" customHeight="false" outlineLevel="0" collapsed="false">
      <c r="A1910" s="0" t="str">
        <f aca="false">IFERROR(INDEX(原料入库计价!$B$909:$B$1028,ROW()-1805),"")</f>
        <v/>
      </c>
      <c r="B1910" s="0" t="n">
        <f aca="false">IF(A1910="",0,IF(MATCH(A1910,$A$4:$A$1925,0)=ROW()-3,1,0))</f>
        <v>0</v>
      </c>
      <c r="C1910" s="0" t="n">
        <f aca="false">N(C1909)+B1910</f>
        <v>20</v>
      </c>
    </row>
    <row r="1911" customFormat="false" ht="13.5" hidden="false" customHeight="false" outlineLevel="0" collapsed="false">
      <c r="A1911" s="0" t="str">
        <f aca="false">IFERROR(INDEX(原料入库计价!$B$909:$B$1028,ROW()-1805),"")</f>
        <v/>
      </c>
      <c r="B1911" s="0" t="n">
        <f aca="false">IF(A1911="",0,IF(MATCH(A1911,$A$4:$A$1925,0)=ROW()-3,1,0))</f>
        <v>0</v>
      </c>
      <c r="C1911" s="0" t="n">
        <f aca="false">N(C1910)+B1911</f>
        <v>20</v>
      </c>
    </row>
    <row r="1912" customFormat="false" ht="13.5" hidden="false" customHeight="false" outlineLevel="0" collapsed="false">
      <c r="A1912" s="0" t="str">
        <f aca="false">IFERROR(INDEX(原料入库计价!$B$909:$B$1028,ROW()-1805),"")</f>
        <v/>
      </c>
      <c r="B1912" s="0" t="n">
        <f aca="false">IF(A1912="",0,IF(MATCH(A1912,$A$4:$A$1925,0)=ROW()-3,1,0))</f>
        <v>0</v>
      </c>
      <c r="C1912" s="0" t="n">
        <f aca="false">N(C1911)+B1912</f>
        <v>20</v>
      </c>
    </row>
    <row r="1913" customFormat="false" ht="13.5" hidden="false" customHeight="false" outlineLevel="0" collapsed="false">
      <c r="A1913" s="0" t="str">
        <f aca="false">IFERROR(INDEX(原料入库计价!$B$909:$B$1028,ROW()-1805),"")</f>
        <v/>
      </c>
      <c r="B1913" s="0" t="n">
        <f aca="false">IF(A1913="",0,IF(MATCH(A1913,$A$4:$A$1925,0)=ROW()-3,1,0))</f>
        <v>0</v>
      </c>
      <c r="C1913" s="0" t="n">
        <f aca="false">N(C1912)+B1913</f>
        <v>20</v>
      </c>
    </row>
    <row r="1914" customFormat="false" ht="13.5" hidden="false" customHeight="false" outlineLevel="0" collapsed="false">
      <c r="A1914" s="0" t="str">
        <f aca="false">IFERROR(INDEX(原料入库计价!$B$909:$B$1028,ROW()-1805),"")</f>
        <v/>
      </c>
      <c r="B1914" s="0" t="n">
        <f aca="false">IF(A1914="",0,IF(MATCH(A1914,$A$4:$A$1925,0)=ROW()-3,1,0))</f>
        <v>0</v>
      </c>
      <c r="C1914" s="0" t="n">
        <f aca="false">N(C1913)+B1914</f>
        <v>20</v>
      </c>
    </row>
    <row r="1915" customFormat="false" ht="13.5" hidden="false" customHeight="false" outlineLevel="0" collapsed="false">
      <c r="A1915" s="0" t="str">
        <f aca="false">IFERROR(INDEX(原料入库计价!$B$909:$B$1028,ROW()-1805),"")</f>
        <v/>
      </c>
      <c r="B1915" s="0" t="n">
        <f aca="false">IF(A1915="",0,IF(MATCH(A1915,$A$4:$A$1925,0)=ROW()-3,1,0))</f>
        <v>0</v>
      </c>
      <c r="C1915" s="0" t="n">
        <f aca="false">N(C1914)+B1915</f>
        <v>20</v>
      </c>
    </row>
    <row r="1916" customFormat="false" ht="13.5" hidden="false" customHeight="false" outlineLevel="0" collapsed="false">
      <c r="A1916" s="0" t="str">
        <f aca="false">IFERROR(INDEX(原料入库计价!$B$909:$B$1028,ROW()-1805),"")</f>
        <v/>
      </c>
      <c r="B1916" s="0" t="n">
        <f aca="false">IF(A1916="",0,IF(MATCH(A1916,$A$4:$A$1925,0)=ROW()-3,1,0))</f>
        <v>0</v>
      </c>
      <c r="C1916" s="0" t="n">
        <f aca="false">N(C1915)+B1916</f>
        <v>20</v>
      </c>
    </row>
    <row r="1917" customFormat="false" ht="13.5" hidden="false" customHeight="false" outlineLevel="0" collapsed="false">
      <c r="A1917" s="0" t="str">
        <f aca="false">IFERROR(INDEX(原料入库计价!$B$909:$B$1028,ROW()-1805),"")</f>
        <v/>
      </c>
      <c r="B1917" s="0" t="n">
        <f aca="false">IF(A1917="",0,IF(MATCH(A1917,$A$4:$A$1925,0)=ROW()-3,1,0))</f>
        <v>0</v>
      </c>
      <c r="C1917" s="0" t="n">
        <f aca="false">N(C1916)+B1917</f>
        <v>20</v>
      </c>
    </row>
    <row r="1918" customFormat="false" ht="13.5" hidden="false" customHeight="false" outlineLevel="0" collapsed="false">
      <c r="A1918" s="0" t="str">
        <f aca="false">IFERROR(INDEX(原料入库计价!$B$909:$B$1028,ROW()-1805),"")</f>
        <v/>
      </c>
      <c r="B1918" s="0" t="n">
        <f aca="false">IF(A1918="",0,IF(MATCH(A1918,$A$4:$A$1925,0)=ROW()-3,1,0))</f>
        <v>0</v>
      </c>
      <c r="C1918" s="0" t="n">
        <f aca="false">N(C1917)+B1918</f>
        <v>20</v>
      </c>
    </row>
    <row r="1919" customFormat="false" ht="13.5" hidden="false" customHeight="false" outlineLevel="0" collapsed="false">
      <c r="A1919" s="0" t="str">
        <f aca="false">IFERROR(INDEX(原料入库计价!$B$909:$B$1028,ROW()-1805),"")</f>
        <v/>
      </c>
      <c r="B1919" s="0" t="n">
        <f aca="false">IF(A1919="",0,IF(MATCH(A1919,$A$4:$A$1925,0)=ROW()-3,1,0))</f>
        <v>0</v>
      </c>
      <c r="C1919" s="0" t="n">
        <f aca="false">N(C1918)+B1919</f>
        <v>20</v>
      </c>
    </row>
    <row r="1920" customFormat="false" ht="13.5" hidden="false" customHeight="false" outlineLevel="0" collapsed="false">
      <c r="A1920" s="0" t="str">
        <f aca="false">IFERROR(INDEX(原料入库计价!$B$909:$B$1028,ROW()-1805),"")</f>
        <v/>
      </c>
      <c r="B1920" s="0" t="n">
        <f aca="false">IF(A1920="",0,IF(MATCH(A1920,$A$4:$A$1925,0)=ROW()-3,1,0))</f>
        <v>0</v>
      </c>
      <c r="C1920" s="0" t="n">
        <f aca="false">N(C1919)+B1920</f>
        <v>20</v>
      </c>
    </row>
    <row r="1921" customFormat="false" ht="13.5" hidden="false" customHeight="false" outlineLevel="0" collapsed="false">
      <c r="A1921" s="0" t="str">
        <f aca="false">IFERROR(INDEX(原料入库计价!$B$909:$B$1028,ROW()-1805),"")</f>
        <v/>
      </c>
      <c r="B1921" s="0" t="n">
        <f aca="false">IF(A1921="",0,IF(MATCH(A1921,$A$4:$A$1925,0)=ROW()-3,1,0))</f>
        <v>0</v>
      </c>
      <c r="C1921" s="0" t="n">
        <f aca="false">N(C1920)+B1921</f>
        <v>20</v>
      </c>
    </row>
    <row r="1922" customFormat="false" ht="13.5" hidden="false" customHeight="false" outlineLevel="0" collapsed="false">
      <c r="A1922" s="0" t="str">
        <f aca="false">IFERROR(INDEX(原料入库计价!$B$909:$B$1028,ROW()-1805),"")</f>
        <v/>
      </c>
      <c r="B1922" s="0" t="n">
        <f aca="false">IF(A1922="",0,IF(MATCH(A1922,$A$4:$A$1925,0)=ROW()-3,1,0))</f>
        <v>0</v>
      </c>
      <c r="C1922" s="0" t="n">
        <f aca="false">N(C1921)+B1922</f>
        <v>20</v>
      </c>
    </row>
    <row r="1923" customFormat="false" ht="13.5" hidden="false" customHeight="false" outlineLevel="0" collapsed="false">
      <c r="A1923" s="0" t="str">
        <f aca="false">IFERROR(INDEX(原料入库计价!$B$909:$B$1028,ROW()-1805),"")</f>
        <v/>
      </c>
      <c r="B1923" s="0" t="n">
        <f aca="false">IF(A1923="",0,IF(MATCH(A1923,$A$4:$A$1925,0)=ROW()-3,1,0))</f>
        <v>0</v>
      </c>
      <c r="C1923" s="0" t="n">
        <f aca="false">N(C1922)+B1923</f>
        <v>20</v>
      </c>
    </row>
    <row r="1924" customFormat="false" ht="13.5" hidden="false" customHeight="false" outlineLevel="0" collapsed="false">
      <c r="A1924" s="0" t="str">
        <f aca="false">IFERROR(INDEX(原料入库计价!$B$909:$B$1028,ROW()-1805),"")</f>
        <v/>
      </c>
      <c r="B1924" s="0" t="n">
        <f aca="false">IF(A1924="",0,IF(MATCH(A1924,$A$4:$A$1925,0)=ROW()-3,1,0))</f>
        <v>0</v>
      </c>
      <c r="C1924" s="0" t="n">
        <f aca="false">N(C1923)+B1924</f>
        <v>20</v>
      </c>
    </row>
    <row r="1925" customFormat="false" ht="13.5" hidden="false" customHeight="false" outlineLevel="0" collapsed="false">
      <c r="A1925" s="0" t="str">
        <f aca="false">IFERROR(INDEX(原料入库计价!$B$909:$B$1028,ROW()-1805),"")</f>
        <v/>
      </c>
      <c r="B1925" s="0" t="n">
        <f aca="false">IF(A1925="",0,IF(MATCH(A1925,$A$4:$A$1925,0)=ROW()-3,1,0))</f>
        <v>0</v>
      </c>
      <c r="C1925" s="0" t="n">
        <f aca="false">N(C1924)+B1925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2026-08-26T17:17:00Z</dcterms:created>
  <dc:creator>openpyxl</dc:creator>
  <dc:description/>
  <dc:language>en-US</dc:language>
  <cp:lastModifiedBy>X</cp:lastModifiedBy>
  <dcterms:modified xsi:type="dcterms:W3CDTF">2026-09-18T16:15:05Z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5C1495C7C0BC498C9200B1E39138755D_13</vt:lpwstr>
  </property>
  <property fmtid="{D5CDD505-2E9C-101B-9397-08002B2CF9AE}" pid="4" name="KSOProductBuildVer">
    <vt:lpwstr>2052-12.1.0.28505</vt:lpwstr>
  </property>
  <property fmtid="{D5CDD505-2E9C-101B-9397-08002B2CF9AE}" pid="5" name="KSOReadingLayout">
    <vt:bool>1</vt:bool>
  </property>
</Properties>
</file>